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rbt_m\Downloads\"/>
    </mc:Choice>
  </mc:AlternateContent>
  <xr:revisionPtr revIDLastSave="0" documentId="13_ncr:1_{A022A210-0E3F-4517-894D-D58965F408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3630" i="1" l="1"/>
  <c r="J13630" i="1"/>
  <c r="I13630" i="1"/>
  <c r="G13630" i="1"/>
  <c r="F13630" i="1"/>
  <c r="E13630" i="1"/>
  <c r="D13630" i="1"/>
  <c r="C13630" i="1"/>
  <c r="B13630" i="1"/>
  <c r="A13630" i="1"/>
  <c r="R13629" i="1"/>
  <c r="J13629" i="1"/>
  <c r="I13629" i="1"/>
  <c r="G13629" i="1"/>
  <c r="F13629" i="1"/>
  <c r="E13629" i="1"/>
  <c r="D13629" i="1"/>
  <c r="C13629" i="1"/>
  <c r="B13629" i="1"/>
  <c r="A13629" i="1"/>
  <c r="R13628" i="1"/>
  <c r="J13628" i="1"/>
  <c r="I13628" i="1"/>
  <c r="G13628" i="1"/>
  <c r="F13628" i="1"/>
  <c r="E13628" i="1"/>
  <c r="D13628" i="1"/>
  <c r="C13628" i="1"/>
  <c r="B13628" i="1"/>
  <c r="A13628" i="1"/>
  <c r="S13627" i="1"/>
  <c r="O13627" i="1"/>
  <c r="K13627" i="1"/>
  <c r="J13627" i="1"/>
  <c r="I13627" i="1"/>
  <c r="H13627" i="1"/>
  <c r="G13627" i="1"/>
  <c r="F13627" i="1"/>
  <c r="E13627" i="1"/>
  <c r="D13627" i="1"/>
  <c r="C13627" i="1"/>
  <c r="B13627" i="1"/>
  <c r="A13627" i="1"/>
  <c r="R13626" i="1"/>
  <c r="J13626" i="1"/>
  <c r="I13626" i="1"/>
  <c r="G13626" i="1"/>
  <c r="F13626" i="1"/>
  <c r="E13626" i="1"/>
  <c r="D13626" i="1"/>
  <c r="C13626" i="1"/>
  <c r="B13626" i="1"/>
  <c r="A13626" i="1"/>
  <c r="S13625" i="1"/>
  <c r="O13625" i="1"/>
  <c r="K13625" i="1"/>
  <c r="J13625" i="1"/>
  <c r="I13625" i="1"/>
  <c r="H13625" i="1"/>
  <c r="G13625" i="1"/>
  <c r="F13625" i="1"/>
  <c r="E13625" i="1"/>
  <c r="D13625" i="1"/>
  <c r="C13625" i="1"/>
  <c r="B13625" i="1"/>
  <c r="A13625" i="1"/>
  <c r="R13624" i="1"/>
  <c r="J13624" i="1"/>
  <c r="I13624" i="1"/>
  <c r="G13624" i="1"/>
  <c r="F13624" i="1"/>
  <c r="E13624" i="1"/>
  <c r="D13624" i="1"/>
  <c r="C13624" i="1"/>
  <c r="B13624" i="1"/>
  <c r="A13624" i="1"/>
  <c r="S13623" i="1"/>
  <c r="O13623" i="1"/>
  <c r="K13623" i="1"/>
  <c r="J13623" i="1"/>
  <c r="I13623" i="1"/>
  <c r="H13623" i="1"/>
  <c r="G13623" i="1"/>
  <c r="F13623" i="1"/>
  <c r="E13623" i="1"/>
  <c r="D13623" i="1"/>
  <c r="C13623" i="1"/>
  <c r="B13623" i="1"/>
  <c r="A13623" i="1"/>
  <c r="S13622" i="1"/>
  <c r="O13622" i="1"/>
  <c r="K13622" i="1"/>
  <c r="J13622" i="1"/>
  <c r="I13622" i="1"/>
  <c r="H13622" i="1"/>
  <c r="G13622" i="1"/>
  <c r="F13622" i="1"/>
  <c r="D13622" i="1"/>
  <c r="C13622" i="1"/>
  <c r="B13622" i="1"/>
  <c r="A13622" i="1"/>
  <c r="S13621" i="1"/>
  <c r="O13621" i="1"/>
  <c r="K13621" i="1"/>
  <c r="J13621" i="1"/>
  <c r="I13621" i="1"/>
  <c r="H13621" i="1"/>
  <c r="G13621" i="1"/>
  <c r="F13621" i="1"/>
  <c r="D13621" i="1"/>
  <c r="C13621" i="1"/>
  <c r="B13621" i="1"/>
  <c r="A13621" i="1"/>
  <c r="R13620" i="1"/>
  <c r="J13620" i="1"/>
  <c r="I13620" i="1"/>
  <c r="G13620" i="1"/>
  <c r="F13620" i="1"/>
  <c r="E13620" i="1"/>
  <c r="D13620" i="1"/>
  <c r="C13620" i="1"/>
  <c r="B13620" i="1"/>
  <c r="A13620" i="1"/>
  <c r="S13619" i="1"/>
  <c r="O13619" i="1"/>
  <c r="K13619" i="1"/>
  <c r="J13619" i="1"/>
  <c r="I13619" i="1"/>
  <c r="H13619" i="1"/>
  <c r="G13619" i="1"/>
  <c r="F13619" i="1"/>
  <c r="E13619" i="1"/>
  <c r="D13619" i="1"/>
  <c r="C13619" i="1"/>
  <c r="B13619" i="1"/>
  <c r="A13619" i="1"/>
  <c r="R13618" i="1"/>
  <c r="J13618" i="1"/>
  <c r="I13618" i="1"/>
  <c r="G13618" i="1"/>
  <c r="F13618" i="1"/>
  <c r="E13618" i="1"/>
  <c r="D13618" i="1"/>
  <c r="C13618" i="1"/>
  <c r="B13618" i="1"/>
  <c r="A13618" i="1"/>
  <c r="S13617" i="1"/>
  <c r="O13617" i="1"/>
  <c r="K13617" i="1"/>
  <c r="J13617" i="1"/>
  <c r="I13617" i="1"/>
  <c r="H13617" i="1"/>
  <c r="G13617" i="1"/>
  <c r="F13617" i="1"/>
  <c r="E13617" i="1"/>
  <c r="D13617" i="1"/>
  <c r="C13617" i="1"/>
  <c r="B13617" i="1"/>
  <c r="A13617" i="1"/>
  <c r="R13616" i="1"/>
  <c r="J13616" i="1"/>
  <c r="I13616" i="1"/>
  <c r="G13616" i="1"/>
  <c r="F13616" i="1"/>
  <c r="E13616" i="1"/>
  <c r="D13616" i="1"/>
  <c r="C13616" i="1"/>
  <c r="B13616" i="1"/>
  <c r="A13616" i="1"/>
  <c r="S13615" i="1"/>
  <c r="O13615" i="1"/>
  <c r="K13615" i="1"/>
  <c r="J13615" i="1"/>
  <c r="I13615" i="1"/>
  <c r="H13615" i="1"/>
  <c r="G13615" i="1"/>
  <c r="F13615" i="1"/>
  <c r="E13615" i="1"/>
  <c r="D13615" i="1"/>
  <c r="C13615" i="1"/>
  <c r="B13615" i="1"/>
  <c r="A13615" i="1"/>
  <c r="S13614" i="1"/>
  <c r="O13614" i="1"/>
  <c r="K13614" i="1"/>
  <c r="J13614" i="1"/>
  <c r="I13614" i="1"/>
  <c r="H13614" i="1"/>
  <c r="G13614" i="1"/>
  <c r="F13614" i="1"/>
  <c r="D13614" i="1"/>
  <c r="C13614" i="1"/>
  <c r="B13614" i="1"/>
  <c r="A13614" i="1"/>
  <c r="S13613" i="1"/>
  <c r="O13613" i="1"/>
  <c r="K13613" i="1"/>
  <c r="J13613" i="1"/>
  <c r="I13613" i="1"/>
  <c r="H13613" i="1"/>
  <c r="G13613" i="1"/>
  <c r="F13613" i="1"/>
  <c r="D13613" i="1"/>
  <c r="C13613" i="1"/>
  <c r="B13613" i="1"/>
  <c r="A13613" i="1"/>
  <c r="S13612" i="1"/>
  <c r="O13612" i="1"/>
  <c r="K13612" i="1"/>
  <c r="J13612" i="1"/>
  <c r="I13612" i="1"/>
  <c r="H13612" i="1"/>
  <c r="G13612" i="1"/>
  <c r="F13612" i="1"/>
  <c r="D13612" i="1"/>
  <c r="C13612" i="1"/>
  <c r="B13612" i="1"/>
  <c r="A13612" i="1"/>
  <c r="S13611" i="1"/>
  <c r="O13611" i="1"/>
  <c r="K13611" i="1"/>
  <c r="J13611" i="1"/>
  <c r="I13611" i="1"/>
  <c r="H13611" i="1"/>
  <c r="G13611" i="1"/>
  <c r="F13611" i="1"/>
  <c r="D13611" i="1"/>
  <c r="C13611" i="1"/>
  <c r="B13611" i="1"/>
  <c r="A13611" i="1"/>
  <c r="S13610" i="1"/>
  <c r="O13610" i="1"/>
  <c r="K13610" i="1"/>
  <c r="J13610" i="1"/>
  <c r="I13610" i="1"/>
  <c r="H13610" i="1"/>
  <c r="G13610" i="1"/>
  <c r="F13610" i="1"/>
  <c r="D13610" i="1"/>
  <c r="C13610" i="1"/>
  <c r="B13610" i="1"/>
  <c r="A13610" i="1"/>
  <c r="R13609" i="1"/>
  <c r="J13609" i="1"/>
  <c r="I13609" i="1"/>
  <c r="G13609" i="1"/>
  <c r="F13609" i="1"/>
  <c r="E13609" i="1"/>
  <c r="D13609" i="1"/>
  <c r="C13609" i="1"/>
  <c r="B13609" i="1"/>
  <c r="A13609" i="1"/>
  <c r="S13608" i="1"/>
  <c r="O13608" i="1"/>
  <c r="K13608" i="1"/>
  <c r="J13608" i="1"/>
  <c r="I13608" i="1"/>
  <c r="H13608" i="1"/>
  <c r="G13608" i="1"/>
  <c r="F13608" i="1"/>
  <c r="E13608" i="1"/>
  <c r="D13608" i="1"/>
  <c r="C13608" i="1"/>
  <c r="B13608" i="1"/>
  <c r="A13608" i="1"/>
  <c r="R13607" i="1"/>
  <c r="J13607" i="1"/>
  <c r="I13607" i="1"/>
  <c r="G13607" i="1"/>
  <c r="F13607" i="1"/>
  <c r="E13607" i="1"/>
  <c r="D13607" i="1"/>
  <c r="C13607" i="1"/>
  <c r="B13607" i="1"/>
  <c r="A13607" i="1"/>
  <c r="S13606" i="1"/>
  <c r="O13606" i="1"/>
  <c r="K13606" i="1"/>
  <c r="J13606" i="1"/>
  <c r="I13606" i="1"/>
  <c r="H13606" i="1"/>
  <c r="G13606" i="1"/>
  <c r="F13606" i="1"/>
  <c r="E13606" i="1"/>
  <c r="D13606" i="1"/>
  <c r="C13606" i="1"/>
  <c r="B13606" i="1"/>
  <c r="A13606" i="1"/>
  <c r="S13605" i="1"/>
  <c r="O13605" i="1"/>
  <c r="K13605" i="1"/>
  <c r="J13605" i="1"/>
  <c r="I13605" i="1"/>
  <c r="H13605" i="1"/>
  <c r="G13605" i="1"/>
  <c r="F13605" i="1"/>
  <c r="D13605" i="1"/>
  <c r="C13605" i="1"/>
  <c r="B13605" i="1"/>
  <c r="A13605" i="1"/>
  <c r="S13604" i="1"/>
  <c r="O13604" i="1"/>
  <c r="K13604" i="1"/>
  <c r="J13604" i="1"/>
  <c r="I13604" i="1"/>
  <c r="H13604" i="1"/>
  <c r="G13604" i="1"/>
  <c r="F13604" i="1"/>
  <c r="D13604" i="1"/>
  <c r="C13604" i="1"/>
  <c r="B13604" i="1"/>
  <c r="A13604" i="1"/>
  <c r="S13603" i="1"/>
  <c r="O13603" i="1"/>
  <c r="K13603" i="1"/>
  <c r="J13603" i="1"/>
  <c r="I13603" i="1"/>
  <c r="H13603" i="1"/>
  <c r="G13603" i="1"/>
  <c r="F13603" i="1"/>
  <c r="D13603" i="1"/>
  <c r="C13603" i="1"/>
  <c r="B13603" i="1"/>
  <c r="A13603" i="1"/>
  <c r="S13602" i="1"/>
  <c r="O13602" i="1"/>
  <c r="K13602" i="1"/>
  <c r="J13602" i="1"/>
  <c r="I13602" i="1"/>
  <c r="H13602" i="1"/>
  <c r="G13602" i="1"/>
  <c r="F13602" i="1"/>
  <c r="D13602" i="1"/>
  <c r="C13602" i="1"/>
  <c r="B13602" i="1"/>
  <c r="A13602" i="1"/>
  <c r="R13601" i="1"/>
  <c r="J13601" i="1"/>
  <c r="I13601" i="1"/>
  <c r="G13601" i="1"/>
  <c r="F13601" i="1"/>
  <c r="E13601" i="1"/>
  <c r="D13601" i="1"/>
  <c r="C13601" i="1"/>
  <c r="B13601" i="1"/>
  <c r="A13601" i="1"/>
  <c r="S13600" i="1"/>
  <c r="O13600" i="1"/>
  <c r="K13600" i="1"/>
  <c r="J13600" i="1"/>
  <c r="I13600" i="1"/>
  <c r="H13600" i="1"/>
  <c r="G13600" i="1"/>
  <c r="F13600" i="1"/>
  <c r="E13600" i="1"/>
  <c r="D13600" i="1"/>
  <c r="C13600" i="1"/>
  <c r="B13600" i="1"/>
  <c r="A13600" i="1"/>
  <c r="R13599" i="1"/>
  <c r="J13599" i="1"/>
  <c r="I13599" i="1"/>
  <c r="G13599" i="1"/>
  <c r="F13599" i="1"/>
  <c r="E13599" i="1"/>
  <c r="D13599" i="1"/>
  <c r="C13599" i="1"/>
  <c r="B13599" i="1"/>
  <c r="A13599" i="1"/>
  <c r="S13598" i="1"/>
  <c r="O13598" i="1"/>
  <c r="K13598" i="1"/>
  <c r="J13598" i="1"/>
  <c r="I13598" i="1"/>
  <c r="H13598" i="1"/>
  <c r="G13598" i="1"/>
  <c r="F13598" i="1"/>
  <c r="E13598" i="1"/>
  <c r="D13598" i="1"/>
  <c r="C13598" i="1"/>
  <c r="B13598" i="1"/>
  <c r="A13598" i="1"/>
  <c r="R13597" i="1"/>
  <c r="J13597" i="1"/>
  <c r="I13597" i="1"/>
  <c r="G13597" i="1"/>
  <c r="F13597" i="1"/>
  <c r="E13597" i="1"/>
  <c r="D13597" i="1"/>
  <c r="C13597" i="1"/>
  <c r="B13597" i="1"/>
  <c r="A13597" i="1"/>
  <c r="S13596" i="1"/>
  <c r="O13596" i="1"/>
  <c r="K13596" i="1"/>
  <c r="J13596" i="1"/>
  <c r="I13596" i="1"/>
  <c r="H13596" i="1"/>
  <c r="G13596" i="1"/>
  <c r="F13596" i="1"/>
  <c r="E13596" i="1"/>
  <c r="D13596" i="1"/>
  <c r="C13596" i="1"/>
  <c r="B13596" i="1"/>
  <c r="A13596" i="1"/>
  <c r="R13595" i="1"/>
  <c r="J13595" i="1"/>
  <c r="I13595" i="1"/>
  <c r="G13595" i="1"/>
  <c r="F13595" i="1"/>
  <c r="E13595" i="1"/>
  <c r="D13595" i="1"/>
  <c r="C13595" i="1"/>
  <c r="B13595" i="1"/>
  <c r="A13595" i="1"/>
  <c r="S13594" i="1"/>
  <c r="O13594" i="1"/>
  <c r="K13594" i="1"/>
  <c r="J13594" i="1"/>
  <c r="I13594" i="1"/>
  <c r="H13594" i="1"/>
  <c r="G13594" i="1"/>
  <c r="F13594" i="1"/>
  <c r="E13594" i="1"/>
  <c r="D13594" i="1"/>
  <c r="C13594" i="1"/>
  <c r="B13594" i="1"/>
  <c r="A13594" i="1"/>
  <c r="R13593" i="1"/>
  <c r="J13593" i="1"/>
  <c r="I13593" i="1"/>
  <c r="G13593" i="1"/>
  <c r="F13593" i="1"/>
  <c r="E13593" i="1"/>
  <c r="D13593" i="1"/>
  <c r="C13593" i="1"/>
  <c r="B13593" i="1"/>
  <c r="A13593" i="1"/>
  <c r="S13592" i="1"/>
  <c r="O13592" i="1"/>
  <c r="K13592" i="1"/>
  <c r="J13592" i="1"/>
  <c r="I13592" i="1"/>
  <c r="H13592" i="1"/>
  <c r="G13592" i="1"/>
  <c r="F13592" i="1"/>
  <c r="E13592" i="1"/>
  <c r="D13592" i="1"/>
  <c r="C13592" i="1"/>
  <c r="B13592" i="1"/>
  <c r="A13592" i="1"/>
  <c r="R13591" i="1"/>
  <c r="J13591" i="1"/>
  <c r="I13591" i="1"/>
  <c r="G13591" i="1"/>
  <c r="F13591" i="1"/>
  <c r="E13591" i="1"/>
  <c r="D13591" i="1"/>
  <c r="C13591" i="1"/>
  <c r="B13591" i="1"/>
  <c r="A13591" i="1"/>
  <c r="S13590" i="1"/>
  <c r="O13590" i="1"/>
  <c r="K13590" i="1"/>
  <c r="J13590" i="1"/>
  <c r="I13590" i="1"/>
  <c r="H13590" i="1"/>
  <c r="G13590" i="1"/>
  <c r="F13590" i="1"/>
  <c r="E13590" i="1"/>
  <c r="D13590" i="1"/>
  <c r="C13590" i="1"/>
  <c r="B13590" i="1"/>
  <c r="A13590" i="1"/>
  <c r="R13589" i="1"/>
  <c r="J13589" i="1"/>
  <c r="I13589" i="1"/>
  <c r="G13589" i="1"/>
  <c r="F13589" i="1"/>
  <c r="E13589" i="1"/>
  <c r="D13589" i="1"/>
  <c r="C13589" i="1"/>
  <c r="B13589" i="1"/>
  <c r="A13589" i="1"/>
  <c r="S13588" i="1"/>
  <c r="O13588" i="1"/>
  <c r="K13588" i="1"/>
  <c r="J13588" i="1"/>
  <c r="I13588" i="1"/>
  <c r="H13588" i="1"/>
  <c r="G13588" i="1"/>
  <c r="F13588" i="1"/>
  <c r="E13588" i="1"/>
  <c r="D13588" i="1"/>
  <c r="C13588" i="1"/>
  <c r="B13588" i="1"/>
  <c r="A13588" i="1"/>
  <c r="R13587" i="1"/>
  <c r="J13587" i="1"/>
  <c r="I13587" i="1"/>
  <c r="G13587" i="1"/>
  <c r="F13587" i="1"/>
  <c r="E13587" i="1"/>
  <c r="D13587" i="1"/>
  <c r="C13587" i="1"/>
  <c r="B13587" i="1"/>
  <c r="A13587" i="1"/>
  <c r="S13586" i="1"/>
  <c r="O13586" i="1"/>
  <c r="K13586" i="1"/>
  <c r="J13586" i="1"/>
  <c r="I13586" i="1"/>
  <c r="H13586" i="1"/>
  <c r="G13586" i="1"/>
  <c r="F13586" i="1"/>
  <c r="E13586" i="1"/>
  <c r="D13586" i="1"/>
  <c r="C13586" i="1"/>
  <c r="B13586" i="1"/>
  <c r="A13586" i="1"/>
  <c r="R13585" i="1"/>
  <c r="J13585" i="1"/>
  <c r="I13585" i="1"/>
  <c r="G13585" i="1"/>
  <c r="F13585" i="1"/>
  <c r="E13585" i="1"/>
  <c r="D13585" i="1"/>
  <c r="C13585" i="1"/>
  <c r="B13585" i="1"/>
  <c r="A13585" i="1"/>
  <c r="S13584" i="1"/>
  <c r="O13584" i="1"/>
  <c r="K13584" i="1"/>
  <c r="J13584" i="1"/>
  <c r="I13584" i="1"/>
  <c r="H13584" i="1"/>
  <c r="G13584" i="1"/>
  <c r="F13584" i="1"/>
  <c r="E13584" i="1"/>
  <c r="D13584" i="1"/>
  <c r="C13584" i="1"/>
  <c r="B13584" i="1"/>
  <c r="A13584" i="1"/>
  <c r="R13583" i="1"/>
  <c r="J13583" i="1"/>
  <c r="I13583" i="1"/>
  <c r="G13583" i="1"/>
  <c r="F13583" i="1"/>
  <c r="E13583" i="1"/>
  <c r="D13583" i="1"/>
  <c r="C13583" i="1"/>
  <c r="B13583" i="1"/>
  <c r="A13583" i="1"/>
  <c r="S13582" i="1"/>
  <c r="O13582" i="1"/>
  <c r="K13582" i="1"/>
  <c r="J13582" i="1"/>
  <c r="I13582" i="1"/>
  <c r="H13582" i="1"/>
  <c r="G13582" i="1"/>
  <c r="F13582" i="1"/>
  <c r="E13582" i="1"/>
  <c r="D13582" i="1"/>
  <c r="C13582" i="1"/>
  <c r="B13582" i="1"/>
  <c r="A13582" i="1"/>
  <c r="R13581" i="1"/>
  <c r="J13581" i="1"/>
  <c r="I13581" i="1"/>
  <c r="G13581" i="1"/>
  <c r="F13581" i="1"/>
  <c r="E13581" i="1"/>
  <c r="D13581" i="1"/>
  <c r="C13581" i="1"/>
  <c r="B13581" i="1"/>
  <c r="A13581" i="1"/>
  <c r="S13580" i="1"/>
  <c r="O13580" i="1"/>
  <c r="K13580" i="1"/>
  <c r="J13580" i="1"/>
  <c r="I13580" i="1"/>
  <c r="H13580" i="1"/>
  <c r="G13580" i="1"/>
  <c r="F13580" i="1"/>
  <c r="E13580" i="1"/>
  <c r="D13580" i="1"/>
  <c r="C13580" i="1"/>
  <c r="B13580" i="1"/>
  <c r="A13580" i="1"/>
  <c r="R13579" i="1"/>
  <c r="J13579" i="1"/>
  <c r="I13579" i="1"/>
  <c r="G13579" i="1"/>
  <c r="F13579" i="1"/>
  <c r="E13579" i="1"/>
  <c r="D13579" i="1"/>
  <c r="C13579" i="1"/>
  <c r="B13579" i="1"/>
  <c r="A13579" i="1"/>
  <c r="S13578" i="1"/>
  <c r="O13578" i="1"/>
  <c r="K13578" i="1"/>
  <c r="J13578" i="1"/>
  <c r="I13578" i="1"/>
  <c r="H13578" i="1"/>
  <c r="G13578" i="1"/>
  <c r="F13578" i="1"/>
  <c r="E13578" i="1"/>
  <c r="D13578" i="1"/>
  <c r="C13578" i="1"/>
  <c r="B13578" i="1"/>
  <c r="A13578" i="1"/>
  <c r="R13577" i="1"/>
  <c r="J13577" i="1"/>
  <c r="I13577" i="1"/>
  <c r="G13577" i="1"/>
  <c r="F13577" i="1"/>
  <c r="E13577" i="1"/>
  <c r="D13577" i="1"/>
  <c r="C13577" i="1"/>
  <c r="B13577" i="1"/>
  <c r="A13577" i="1"/>
  <c r="S13576" i="1"/>
  <c r="O13576" i="1"/>
  <c r="K13576" i="1"/>
  <c r="J13576" i="1"/>
  <c r="I13576" i="1"/>
  <c r="H13576" i="1"/>
  <c r="G13576" i="1"/>
  <c r="F13576" i="1"/>
  <c r="E13576" i="1"/>
  <c r="D13576" i="1"/>
  <c r="C13576" i="1"/>
  <c r="B13576" i="1"/>
  <c r="A13576" i="1"/>
  <c r="R13575" i="1"/>
  <c r="J13575" i="1"/>
  <c r="I13575" i="1"/>
  <c r="G13575" i="1"/>
  <c r="F13575" i="1"/>
  <c r="E13575" i="1"/>
  <c r="D13575" i="1"/>
  <c r="C13575" i="1"/>
  <c r="B13575" i="1"/>
  <c r="A13575" i="1"/>
  <c r="S13574" i="1"/>
  <c r="O13574" i="1"/>
  <c r="K13574" i="1"/>
  <c r="J13574" i="1"/>
  <c r="I13574" i="1"/>
  <c r="H13574" i="1"/>
  <c r="G13574" i="1"/>
  <c r="F13574" i="1"/>
  <c r="E13574" i="1"/>
  <c r="D13574" i="1"/>
  <c r="C13574" i="1"/>
  <c r="B13574" i="1"/>
  <c r="A13574" i="1"/>
  <c r="R13573" i="1"/>
  <c r="J13573" i="1"/>
  <c r="I13573" i="1"/>
  <c r="G13573" i="1"/>
  <c r="F13573" i="1"/>
  <c r="E13573" i="1"/>
  <c r="D13573" i="1"/>
  <c r="C13573" i="1"/>
  <c r="B13573" i="1"/>
  <c r="A13573" i="1"/>
  <c r="S13572" i="1"/>
  <c r="O13572" i="1"/>
  <c r="K13572" i="1"/>
  <c r="J13572" i="1"/>
  <c r="I13572" i="1"/>
  <c r="H13572" i="1"/>
  <c r="G13572" i="1"/>
  <c r="F13572" i="1"/>
  <c r="E13572" i="1"/>
  <c r="D13572" i="1"/>
  <c r="C13572" i="1"/>
  <c r="B13572" i="1"/>
  <c r="A13572" i="1"/>
  <c r="R13571" i="1"/>
  <c r="J13571" i="1"/>
  <c r="I13571" i="1"/>
  <c r="G13571" i="1"/>
  <c r="F13571" i="1"/>
  <c r="E13571" i="1"/>
  <c r="D13571" i="1"/>
  <c r="C13571" i="1"/>
  <c r="B13571" i="1"/>
  <c r="A13571" i="1"/>
  <c r="S13570" i="1"/>
  <c r="O13570" i="1"/>
  <c r="K13570" i="1"/>
  <c r="J13570" i="1"/>
  <c r="I13570" i="1"/>
  <c r="H13570" i="1"/>
  <c r="G13570" i="1"/>
  <c r="F13570" i="1"/>
  <c r="E13570" i="1"/>
  <c r="D13570" i="1"/>
  <c r="C13570" i="1"/>
  <c r="B13570" i="1"/>
  <c r="A13570" i="1"/>
  <c r="S13569" i="1"/>
  <c r="O13569" i="1"/>
  <c r="K13569" i="1"/>
  <c r="J13569" i="1"/>
  <c r="I13569" i="1"/>
  <c r="H13569" i="1"/>
  <c r="G13569" i="1"/>
  <c r="F13569" i="1"/>
  <c r="D13569" i="1"/>
  <c r="C13569" i="1"/>
  <c r="B13569" i="1"/>
  <c r="A13569" i="1"/>
  <c r="S13568" i="1"/>
  <c r="O13568" i="1"/>
  <c r="K13568" i="1"/>
  <c r="J13568" i="1"/>
  <c r="I13568" i="1"/>
  <c r="H13568" i="1"/>
  <c r="G13568" i="1"/>
  <c r="F13568" i="1"/>
  <c r="D13568" i="1"/>
  <c r="C13568" i="1"/>
  <c r="B13568" i="1"/>
  <c r="A13568" i="1"/>
  <c r="R13567" i="1"/>
  <c r="J13567" i="1"/>
  <c r="I13567" i="1"/>
  <c r="G13567" i="1"/>
  <c r="F13567" i="1"/>
  <c r="E13567" i="1"/>
  <c r="D13567" i="1"/>
  <c r="C13567" i="1"/>
  <c r="B13567" i="1"/>
  <c r="A13567" i="1"/>
  <c r="S13566" i="1"/>
  <c r="O13566" i="1"/>
  <c r="K13566" i="1"/>
  <c r="J13566" i="1"/>
  <c r="I13566" i="1"/>
  <c r="H13566" i="1"/>
  <c r="G13566" i="1"/>
  <c r="F13566" i="1"/>
  <c r="E13566" i="1"/>
  <c r="D13566" i="1"/>
  <c r="C13566" i="1"/>
  <c r="B13566" i="1"/>
  <c r="A13566" i="1"/>
  <c r="R13565" i="1"/>
  <c r="J13565" i="1"/>
  <c r="I13565" i="1"/>
  <c r="G13565" i="1"/>
  <c r="F13565" i="1"/>
  <c r="E13565" i="1"/>
  <c r="D13565" i="1"/>
  <c r="C13565" i="1"/>
  <c r="B13565" i="1"/>
  <c r="A13565" i="1"/>
  <c r="S13564" i="1"/>
  <c r="O13564" i="1"/>
  <c r="K13564" i="1"/>
  <c r="J13564" i="1"/>
  <c r="I13564" i="1"/>
  <c r="H13564" i="1"/>
  <c r="G13564" i="1"/>
  <c r="F13564" i="1"/>
  <c r="E13564" i="1"/>
  <c r="D13564" i="1"/>
  <c r="C13564" i="1"/>
  <c r="B13564" i="1"/>
  <c r="A13564" i="1"/>
  <c r="R13563" i="1"/>
  <c r="J13563" i="1"/>
  <c r="I13563" i="1"/>
  <c r="G13563" i="1"/>
  <c r="F13563" i="1"/>
  <c r="E13563" i="1"/>
  <c r="D13563" i="1"/>
  <c r="C13563" i="1"/>
  <c r="B13563" i="1"/>
  <c r="A13563" i="1"/>
  <c r="S13562" i="1"/>
  <c r="O13562" i="1"/>
  <c r="K13562" i="1"/>
  <c r="J13562" i="1"/>
  <c r="I13562" i="1"/>
  <c r="H13562" i="1"/>
  <c r="G13562" i="1"/>
  <c r="F13562" i="1"/>
  <c r="E13562" i="1"/>
  <c r="D13562" i="1"/>
  <c r="C13562" i="1"/>
  <c r="B13562" i="1"/>
  <c r="A13562" i="1"/>
  <c r="R13561" i="1"/>
  <c r="J13561" i="1"/>
  <c r="I13561" i="1"/>
  <c r="G13561" i="1"/>
  <c r="F13561" i="1"/>
  <c r="E13561" i="1"/>
  <c r="D13561" i="1"/>
  <c r="C13561" i="1"/>
  <c r="B13561" i="1"/>
  <c r="A13561" i="1"/>
  <c r="S13560" i="1"/>
  <c r="O13560" i="1"/>
  <c r="K13560" i="1"/>
  <c r="J13560" i="1"/>
  <c r="I13560" i="1"/>
  <c r="H13560" i="1"/>
  <c r="G13560" i="1"/>
  <c r="F13560" i="1"/>
  <c r="E13560" i="1"/>
  <c r="D13560" i="1"/>
  <c r="C13560" i="1"/>
  <c r="B13560" i="1"/>
  <c r="A13560" i="1"/>
  <c r="R13559" i="1"/>
  <c r="J13559" i="1"/>
  <c r="I13559" i="1"/>
  <c r="G13559" i="1"/>
  <c r="F13559" i="1"/>
  <c r="E13559" i="1"/>
  <c r="D13559" i="1"/>
  <c r="C13559" i="1"/>
  <c r="B13559" i="1"/>
  <c r="A13559" i="1"/>
  <c r="S13558" i="1"/>
  <c r="O13558" i="1"/>
  <c r="K13558" i="1"/>
  <c r="J13558" i="1"/>
  <c r="I13558" i="1"/>
  <c r="H13558" i="1"/>
  <c r="G13558" i="1"/>
  <c r="F13558" i="1"/>
  <c r="E13558" i="1"/>
  <c r="D13558" i="1"/>
  <c r="C13558" i="1"/>
  <c r="B13558" i="1"/>
  <c r="A13558" i="1"/>
  <c r="R13557" i="1"/>
  <c r="J13557" i="1"/>
  <c r="I13557" i="1"/>
  <c r="G13557" i="1"/>
  <c r="F13557" i="1"/>
  <c r="E13557" i="1"/>
  <c r="D13557" i="1"/>
  <c r="C13557" i="1"/>
  <c r="B13557" i="1"/>
  <c r="A13557" i="1"/>
  <c r="S13556" i="1"/>
  <c r="O13556" i="1"/>
  <c r="K13556" i="1"/>
  <c r="J13556" i="1"/>
  <c r="I13556" i="1"/>
  <c r="H13556" i="1"/>
  <c r="G13556" i="1"/>
  <c r="F13556" i="1"/>
  <c r="E13556" i="1"/>
  <c r="D13556" i="1"/>
  <c r="C13556" i="1"/>
  <c r="B13556" i="1"/>
  <c r="A13556" i="1"/>
  <c r="R13555" i="1"/>
  <c r="J13555" i="1"/>
  <c r="I13555" i="1"/>
  <c r="G13555" i="1"/>
  <c r="F13555" i="1"/>
  <c r="E13555" i="1"/>
  <c r="D13555" i="1"/>
  <c r="C13555" i="1"/>
  <c r="B13555" i="1"/>
  <c r="A13555" i="1"/>
  <c r="S13554" i="1"/>
  <c r="O13554" i="1"/>
  <c r="K13554" i="1"/>
  <c r="J13554" i="1"/>
  <c r="I13554" i="1"/>
  <c r="H13554" i="1"/>
  <c r="G13554" i="1"/>
  <c r="F13554" i="1"/>
  <c r="E13554" i="1"/>
  <c r="D13554" i="1"/>
  <c r="C13554" i="1"/>
  <c r="B13554" i="1"/>
  <c r="A13554" i="1"/>
  <c r="R13553" i="1"/>
  <c r="J13553" i="1"/>
  <c r="I13553" i="1"/>
  <c r="G13553" i="1"/>
  <c r="F13553" i="1"/>
  <c r="E13553" i="1"/>
  <c r="D13553" i="1"/>
  <c r="C13553" i="1"/>
  <c r="B13553" i="1"/>
  <c r="A13553" i="1"/>
  <c r="S13552" i="1"/>
  <c r="O13552" i="1"/>
  <c r="K13552" i="1"/>
  <c r="J13552" i="1"/>
  <c r="I13552" i="1"/>
  <c r="H13552" i="1"/>
  <c r="G13552" i="1"/>
  <c r="F13552" i="1"/>
  <c r="E13552" i="1"/>
  <c r="D13552" i="1"/>
  <c r="C13552" i="1"/>
  <c r="B13552" i="1"/>
  <c r="A13552" i="1"/>
  <c r="R13551" i="1"/>
  <c r="J13551" i="1"/>
  <c r="I13551" i="1"/>
  <c r="G13551" i="1"/>
  <c r="F13551" i="1"/>
  <c r="E13551" i="1"/>
  <c r="D13551" i="1"/>
  <c r="C13551" i="1"/>
  <c r="B13551" i="1"/>
  <c r="A13551" i="1"/>
  <c r="S13550" i="1"/>
  <c r="O13550" i="1"/>
  <c r="K13550" i="1"/>
  <c r="J13550" i="1"/>
  <c r="I13550" i="1"/>
  <c r="H13550" i="1"/>
  <c r="G13550" i="1"/>
  <c r="F13550" i="1"/>
  <c r="E13550" i="1"/>
  <c r="D13550" i="1"/>
  <c r="C13550" i="1"/>
  <c r="B13550" i="1"/>
  <c r="A13550" i="1"/>
  <c r="R13549" i="1"/>
  <c r="J13549" i="1"/>
  <c r="I13549" i="1"/>
  <c r="G13549" i="1"/>
  <c r="F13549" i="1"/>
  <c r="E13549" i="1"/>
  <c r="D13549" i="1"/>
  <c r="C13549" i="1"/>
  <c r="B13549" i="1"/>
  <c r="A13549" i="1"/>
  <c r="S13548" i="1"/>
  <c r="O13548" i="1"/>
  <c r="K13548" i="1"/>
  <c r="J13548" i="1"/>
  <c r="I13548" i="1"/>
  <c r="H13548" i="1"/>
  <c r="G13548" i="1"/>
  <c r="F13548" i="1"/>
  <c r="E13548" i="1"/>
  <c r="D13548" i="1"/>
  <c r="C13548" i="1"/>
  <c r="B13548" i="1"/>
  <c r="A13548" i="1"/>
  <c r="R13547" i="1"/>
  <c r="J13547" i="1"/>
  <c r="I13547" i="1"/>
  <c r="G13547" i="1"/>
  <c r="F13547" i="1"/>
  <c r="E13547" i="1"/>
  <c r="D13547" i="1"/>
  <c r="C13547" i="1"/>
  <c r="B13547" i="1"/>
  <c r="A13547" i="1"/>
  <c r="S13546" i="1"/>
  <c r="O13546" i="1"/>
  <c r="K13546" i="1"/>
  <c r="J13546" i="1"/>
  <c r="I13546" i="1"/>
  <c r="H13546" i="1"/>
  <c r="G13546" i="1"/>
  <c r="F13546" i="1"/>
  <c r="E13546" i="1"/>
  <c r="D13546" i="1"/>
  <c r="C13546" i="1"/>
  <c r="B13546" i="1"/>
  <c r="A13546" i="1"/>
  <c r="R13545" i="1"/>
  <c r="J13545" i="1"/>
  <c r="I13545" i="1"/>
  <c r="G13545" i="1"/>
  <c r="F13545" i="1"/>
  <c r="E13545" i="1"/>
  <c r="D13545" i="1"/>
  <c r="C13545" i="1"/>
  <c r="B13545" i="1"/>
  <c r="A13545" i="1"/>
  <c r="S13544" i="1"/>
  <c r="O13544" i="1"/>
  <c r="K13544" i="1"/>
  <c r="J13544" i="1"/>
  <c r="I13544" i="1"/>
  <c r="H13544" i="1"/>
  <c r="G13544" i="1"/>
  <c r="F13544" i="1"/>
  <c r="E13544" i="1"/>
  <c r="D13544" i="1"/>
  <c r="C13544" i="1"/>
  <c r="B13544" i="1"/>
  <c r="A13544" i="1"/>
  <c r="R13543" i="1"/>
  <c r="J13543" i="1"/>
  <c r="I13543" i="1"/>
  <c r="G13543" i="1"/>
  <c r="F13543" i="1"/>
  <c r="E13543" i="1"/>
  <c r="D13543" i="1"/>
  <c r="C13543" i="1"/>
  <c r="B13543" i="1"/>
  <c r="A13543" i="1"/>
  <c r="S13542" i="1"/>
  <c r="O13542" i="1"/>
  <c r="K13542" i="1"/>
  <c r="J13542" i="1"/>
  <c r="I13542" i="1"/>
  <c r="H13542" i="1"/>
  <c r="G13542" i="1"/>
  <c r="F13542" i="1"/>
  <c r="E13542" i="1"/>
  <c r="D13542" i="1"/>
  <c r="C13542" i="1"/>
  <c r="B13542" i="1"/>
  <c r="A13542" i="1"/>
  <c r="R13541" i="1"/>
  <c r="J13541" i="1"/>
  <c r="I13541" i="1"/>
  <c r="G13541" i="1"/>
  <c r="F13541" i="1"/>
  <c r="E13541" i="1"/>
  <c r="D13541" i="1"/>
  <c r="C13541" i="1"/>
  <c r="B13541" i="1"/>
  <c r="A13541" i="1"/>
  <c r="S13540" i="1"/>
  <c r="O13540" i="1"/>
  <c r="K13540" i="1"/>
  <c r="J13540" i="1"/>
  <c r="I13540" i="1"/>
  <c r="H13540" i="1"/>
  <c r="G13540" i="1"/>
  <c r="F13540" i="1"/>
  <c r="E13540" i="1"/>
  <c r="D13540" i="1"/>
  <c r="C13540" i="1"/>
  <c r="B13540" i="1"/>
  <c r="A13540" i="1"/>
  <c r="R13539" i="1"/>
  <c r="J13539" i="1"/>
  <c r="I13539" i="1"/>
  <c r="G13539" i="1"/>
  <c r="F13539" i="1"/>
  <c r="E13539" i="1"/>
  <c r="D13539" i="1"/>
  <c r="C13539" i="1"/>
  <c r="B13539" i="1"/>
  <c r="A13539" i="1"/>
  <c r="S13538" i="1"/>
  <c r="O13538" i="1"/>
  <c r="K13538" i="1"/>
  <c r="J13538" i="1"/>
  <c r="I13538" i="1"/>
  <c r="H13538" i="1"/>
  <c r="G13538" i="1"/>
  <c r="F13538" i="1"/>
  <c r="E13538" i="1"/>
  <c r="D13538" i="1"/>
  <c r="C13538" i="1"/>
  <c r="B13538" i="1"/>
  <c r="A13538" i="1"/>
  <c r="R13537" i="1"/>
  <c r="J13537" i="1"/>
  <c r="I13537" i="1"/>
  <c r="G13537" i="1"/>
  <c r="F13537" i="1"/>
  <c r="E13537" i="1"/>
  <c r="D13537" i="1"/>
  <c r="C13537" i="1"/>
  <c r="B13537" i="1"/>
  <c r="A13537" i="1"/>
  <c r="S13536" i="1"/>
  <c r="O13536" i="1"/>
  <c r="K13536" i="1"/>
  <c r="J13536" i="1"/>
  <c r="I13536" i="1"/>
  <c r="H13536" i="1"/>
  <c r="G13536" i="1"/>
  <c r="F13536" i="1"/>
  <c r="E13536" i="1"/>
  <c r="D13536" i="1"/>
  <c r="C13536" i="1"/>
  <c r="B13536" i="1"/>
  <c r="A13536" i="1"/>
  <c r="R13535" i="1"/>
  <c r="J13535" i="1"/>
  <c r="I13535" i="1"/>
  <c r="G13535" i="1"/>
  <c r="F13535" i="1"/>
  <c r="E13535" i="1"/>
  <c r="D13535" i="1"/>
  <c r="C13535" i="1"/>
  <c r="B13535" i="1"/>
  <c r="A13535" i="1"/>
  <c r="S13534" i="1"/>
  <c r="O13534" i="1"/>
  <c r="K13534" i="1"/>
  <c r="J13534" i="1"/>
  <c r="I13534" i="1"/>
  <c r="H13534" i="1"/>
  <c r="G13534" i="1"/>
  <c r="F13534" i="1"/>
  <c r="E13534" i="1"/>
  <c r="D13534" i="1"/>
  <c r="C13534" i="1"/>
  <c r="B13534" i="1"/>
  <c r="A13534" i="1"/>
  <c r="R13533" i="1"/>
  <c r="J13533" i="1"/>
  <c r="I13533" i="1"/>
  <c r="G13533" i="1"/>
  <c r="F13533" i="1"/>
  <c r="E13533" i="1"/>
  <c r="D13533" i="1"/>
  <c r="C13533" i="1"/>
  <c r="B13533" i="1"/>
  <c r="A13533" i="1"/>
  <c r="S13532" i="1"/>
  <c r="O13532" i="1"/>
  <c r="K13532" i="1"/>
  <c r="J13532" i="1"/>
  <c r="I13532" i="1"/>
  <c r="H13532" i="1"/>
  <c r="G13532" i="1"/>
  <c r="F13532" i="1"/>
  <c r="E13532" i="1"/>
  <c r="D13532" i="1"/>
  <c r="C13532" i="1"/>
  <c r="B13532" i="1"/>
  <c r="A13532" i="1"/>
  <c r="R13531" i="1"/>
  <c r="J13531" i="1"/>
  <c r="I13531" i="1"/>
  <c r="G13531" i="1"/>
  <c r="F13531" i="1"/>
  <c r="E13531" i="1"/>
  <c r="D13531" i="1"/>
  <c r="C13531" i="1"/>
  <c r="B13531" i="1"/>
  <c r="A13531" i="1"/>
  <c r="S13530" i="1"/>
  <c r="O13530" i="1"/>
  <c r="K13530" i="1"/>
  <c r="J13530" i="1"/>
  <c r="I13530" i="1"/>
  <c r="H13530" i="1"/>
  <c r="G13530" i="1"/>
  <c r="F13530" i="1"/>
  <c r="E13530" i="1"/>
  <c r="D13530" i="1"/>
  <c r="C13530" i="1"/>
  <c r="B13530" i="1"/>
  <c r="A13530" i="1"/>
  <c r="R13529" i="1"/>
  <c r="J13529" i="1"/>
  <c r="I13529" i="1"/>
  <c r="G13529" i="1"/>
  <c r="F13529" i="1"/>
  <c r="E13529" i="1"/>
  <c r="D13529" i="1"/>
  <c r="C13529" i="1"/>
  <c r="B13529" i="1"/>
  <c r="A13529" i="1"/>
  <c r="S13528" i="1"/>
  <c r="O13528" i="1"/>
  <c r="K13528" i="1"/>
  <c r="J13528" i="1"/>
  <c r="I13528" i="1"/>
  <c r="H13528" i="1"/>
  <c r="G13528" i="1"/>
  <c r="F13528" i="1"/>
  <c r="E13528" i="1"/>
  <c r="D13528" i="1"/>
  <c r="C13528" i="1"/>
  <c r="B13528" i="1"/>
  <c r="A13528" i="1"/>
  <c r="R13527" i="1"/>
  <c r="J13527" i="1"/>
  <c r="I13527" i="1"/>
  <c r="G13527" i="1"/>
  <c r="F13527" i="1"/>
  <c r="E13527" i="1"/>
  <c r="D13527" i="1"/>
  <c r="C13527" i="1"/>
  <c r="B13527" i="1"/>
  <c r="A13527" i="1"/>
  <c r="S13526" i="1"/>
  <c r="O13526" i="1"/>
  <c r="K13526" i="1"/>
  <c r="J13526" i="1"/>
  <c r="I13526" i="1"/>
  <c r="H13526" i="1"/>
  <c r="G13526" i="1"/>
  <c r="F13526" i="1"/>
  <c r="E13526" i="1"/>
  <c r="D13526" i="1"/>
  <c r="C13526" i="1"/>
  <c r="B13526" i="1"/>
  <c r="A13526" i="1"/>
  <c r="R13525" i="1"/>
  <c r="J13525" i="1"/>
  <c r="I13525" i="1"/>
  <c r="G13525" i="1"/>
  <c r="F13525" i="1"/>
  <c r="E13525" i="1"/>
  <c r="D13525" i="1"/>
  <c r="C13525" i="1"/>
  <c r="B13525" i="1"/>
  <c r="A13525" i="1"/>
  <c r="S13524" i="1"/>
  <c r="O13524" i="1"/>
  <c r="K13524" i="1"/>
  <c r="J13524" i="1"/>
  <c r="I13524" i="1"/>
  <c r="H13524" i="1"/>
  <c r="G13524" i="1"/>
  <c r="F13524" i="1"/>
  <c r="E13524" i="1"/>
  <c r="D13524" i="1"/>
  <c r="C13524" i="1"/>
  <c r="B13524" i="1"/>
  <c r="A13524" i="1"/>
  <c r="R13523" i="1"/>
  <c r="J13523" i="1"/>
  <c r="I13523" i="1"/>
  <c r="G13523" i="1"/>
  <c r="F13523" i="1"/>
  <c r="E13523" i="1"/>
  <c r="D13523" i="1"/>
  <c r="C13523" i="1"/>
  <c r="B13523" i="1"/>
  <c r="A13523" i="1"/>
  <c r="S13522" i="1"/>
  <c r="O13522" i="1"/>
  <c r="K13522" i="1"/>
  <c r="J13522" i="1"/>
  <c r="I13522" i="1"/>
  <c r="H13522" i="1"/>
  <c r="G13522" i="1"/>
  <c r="F13522" i="1"/>
  <c r="E13522" i="1"/>
  <c r="D13522" i="1"/>
  <c r="C13522" i="1"/>
  <c r="B13522" i="1"/>
  <c r="A13522" i="1"/>
  <c r="R13521" i="1"/>
  <c r="J13521" i="1"/>
  <c r="I13521" i="1"/>
  <c r="G13521" i="1"/>
  <c r="F13521" i="1"/>
  <c r="E13521" i="1"/>
  <c r="D13521" i="1"/>
  <c r="C13521" i="1"/>
  <c r="B13521" i="1"/>
  <c r="A13521" i="1"/>
  <c r="S13520" i="1"/>
  <c r="O13520" i="1"/>
  <c r="K13520" i="1"/>
  <c r="J13520" i="1"/>
  <c r="I13520" i="1"/>
  <c r="H13520" i="1"/>
  <c r="G13520" i="1"/>
  <c r="F13520" i="1"/>
  <c r="E13520" i="1"/>
  <c r="D13520" i="1"/>
  <c r="C13520" i="1"/>
  <c r="B13520" i="1"/>
  <c r="A13520" i="1"/>
  <c r="R13519" i="1"/>
  <c r="J13519" i="1"/>
  <c r="I13519" i="1"/>
  <c r="G13519" i="1"/>
  <c r="F13519" i="1"/>
  <c r="E13519" i="1"/>
  <c r="D13519" i="1"/>
  <c r="C13519" i="1"/>
  <c r="B13519" i="1"/>
  <c r="A13519" i="1"/>
  <c r="S13518" i="1"/>
  <c r="O13518" i="1"/>
  <c r="K13518" i="1"/>
  <c r="J13518" i="1"/>
  <c r="I13518" i="1"/>
  <c r="H13518" i="1"/>
  <c r="G13518" i="1"/>
  <c r="F13518" i="1"/>
  <c r="E13518" i="1"/>
  <c r="D13518" i="1"/>
  <c r="C13518" i="1"/>
  <c r="B13518" i="1"/>
  <c r="A13518" i="1"/>
  <c r="R13517" i="1"/>
  <c r="J13517" i="1"/>
  <c r="I13517" i="1"/>
  <c r="G13517" i="1"/>
  <c r="F13517" i="1"/>
  <c r="E13517" i="1"/>
  <c r="D13517" i="1"/>
  <c r="C13517" i="1"/>
  <c r="B13517" i="1"/>
  <c r="A13517" i="1"/>
  <c r="S13516" i="1"/>
  <c r="O13516" i="1"/>
  <c r="K13516" i="1"/>
  <c r="J13516" i="1"/>
  <c r="I13516" i="1"/>
  <c r="H13516" i="1"/>
  <c r="G13516" i="1"/>
  <c r="F13516" i="1"/>
  <c r="E13516" i="1"/>
  <c r="D13516" i="1"/>
  <c r="C13516" i="1"/>
  <c r="B13516" i="1"/>
  <c r="A13516" i="1"/>
  <c r="R13515" i="1"/>
  <c r="J13515" i="1"/>
  <c r="I13515" i="1"/>
  <c r="G13515" i="1"/>
  <c r="F13515" i="1"/>
  <c r="E13515" i="1"/>
  <c r="D13515" i="1"/>
  <c r="C13515" i="1"/>
  <c r="B13515" i="1"/>
  <c r="A13515" i="1"/>
  <c r="S13514" i="1"/>
  <c r="O13514" i="1"/>
  <c r="K13514" i="1"/>
  <c r="J13514" i="1"/>
  <c r="I13514" i="1"/>
  <c r="H13514" i="1"/>
  <c r="G13514" i="1"/>
  <c r="F13514" i="1"/>
  <c r="E13514" i="1"/>
  <c r="D13514" i="1"/>
  <c r="C13514" i="1"/>
  <c r="B13514" i="1"/>
  <c r="A13514" i="1"/>
  <c r="R13513" i="1"/>
  <c r="J13513" i="1"/>
  <c r="I13513" i="1"/>
  <c r="G13513" i="1"/>
  <c r="F13513" i="1"/>
  <c r="E13513" i="1"/>
  <c r="D13513" i="1"/>
  <c r="C13513" i="1"/>
  <c r="B13513" i="1"/>
  <c r="A13513" i="1"/>
  <c r="S13512" i="1"/>
  <c r="O13512" i="1"/>
  <c r="K13512" i="1"/>
  <c r="J13512" i="1"/>
  <c r="I13512" i="1"/>
  <c r="H13512" i="1"/>
  <c r="G13512" i="1"/>
  <c r="F13512" i="1"/>
  <c r="E13512" i="1"/>
  <c r="D13512" i="1"/>
  <c r="C13512" i="1"/>
  <c r="B13512" i="1"/>
  <c r="A13512" i="1"/>
  <c r="R13511" i="1"/>
  <c r="J13511" i="1"/>
  <c r="I13511" i="1"/>
  <c r="G13511" i="1"/>
  <c r="F13511" i="1"/>
  <c r="E13511" i="1"/>
  <c r="D13511" i="1"/>
  <c r="C13511" i="1"/>
  <c r="B13511" i="1"/>
  <c r="A13511" i="1"/>
  <c r="S13510" i="1"/>
  <c r="O13510" i="1"/>
  <c r="K13510" i="1"/>
  <c r="J13510" i="1"/>
  <c r="I13510" i="1"/>
  <c r="H13510" i="1"/>
  <c r="G13510" i="1"/>
  <c r="F13510" i="1"/>
  <c r="E13510" i="1"/>
  <c r="D13510" i="1"/>
  <c r="C13510" i="1"/>
  <c r="B13510" i="1"/>
  <c r="A13510" i="1"/>
  <c r="R13509" i="1"/>
  <c r="J13509" i="1"/>
  <c r="I13509" i="1"/>
  <c r="G13509" i="1"/>
  <c r="F13509" i="1"/>
  <c r="E13509" i="1"/>
  <c r="D13509" i="1"/>
  <c r="C13509" i="1"/>
  <c r="B13509" i="1"/>
  <c r="A13509" i="1"/>
  <c r="S13508" i="1"/>
  <c r="O13508" i="1"/>
  <c r="K13508" i="1"/>
  <c r="J13508" i="1"/>
  <c r="I13508" i="1"/>
  <c r="H13508" i="1"/>
  <c r="G13508" i="1"/>
  <c r="F13508" i="1"/>
  <c r="E13508" i="1"/>
  <c r="D13508" i="1"/>
  <c r="C13508" i="1"/>
  <c r="B13508" i="1"/>
  <c r="A13508" i="1"/>
  <c r="R13507" i="1"/>
  <c r="J13507" i="1"/>
  <c r="I13507" i="1"/>
  <c r="G13507" i="1"/>
  <c r="F13507" i="1"/>
  <c r="E13507" i="1"/>
  <c r="D13507" i="1"/>
  <c r="C13507" i="1"/>
  <c r="B13507" i="1"/>
  <c r="A13507" i="1"/>
  <c r="S13506" i="1"/>
  <c r="O13506" i="1"/>
  <c r="K13506" i="1"/>
  <c r="J13506" i="1"/>
  <c r="I13506" i="1"/>
  <c r="H13506" i="1"/>
  <c r="G13506" i="1"/>
  <c r="F13506" i="1"/>
  <c r="E13506" i="1"/>
  <c r="D13506" i="1"/>
  <c r="C13506" i="1"/>
  <c r="B13506" i="1"/>
  <c r="A13506" i="1"/>
  <c r="R13505" i="1"/>
  <c r="J13505" i="1"/>
  <c r="I13505" i="1"/>
  <c r="G13505" i="1"/>
  <c r="F13505" i="1"/>
  <c r="E13505" i="1"/>
  <c r="D13505" i="1"/>
  <c r="C13505" i="1"/>
  <c r="B13505" i="1"/>
  <c r="A13505" i="1"/>
  <c r="S13504" i="1"/>
  <c r="O13504" i="1"/>
  <c r="K13504" i="1"/>
  <c r="J13504" i="1"/>
  <c r="I13504" i="1"/>
  <c r="H13504" i="1"/>
  <c r="G13504" i="1"/>
  <c r="F13504" i="1"/>
  <c r="E13504" i="1"/>
  <c r="D13504" i="1"/>
  <c r="C13504" i="1"/>
  <c r="B13504" i="1"/>
  <c r="A13504" i="1"/>
  <c r="R13503" i="1"/>
  <c r="J13503" i="1"/>
  <c r="I13503" i="1"/>
  <c r="G13503" i="1"/>
  <c r="F13503" i="1"/>
  <c r="E13503" i="1"/>
  <c r="D13503" i="1"/>
  <c r="C13503" i="1"/>
  <c r="B13503" i="1"/>
  <c r="A13503" i="1"/>
  <c r="S13502" i="1"/>
  <c r="O13502" i="1"/>
  <c r="K13502" i="1"/>
  <c r="J13502" i="1"/>
  <c r="I13502" i="1"/>
  <c r="H13502" i="1"/>
  <c r="G13502" i="1"/>
  <c r="F13502" i="1"/>
  <c r="E13502" i="1"/>
  <c r="D13502" i="1"/>
  <c r="C13502" i="1"/>
  <c r="B13502" i="1"/>
  <c r="A13502" i="1"/>
  <c r="R13501" i="1"/>
  <c r="J13501" i="1"/>
  <c r="I13501" i="1"/>
  <c r="G13501" i="1"/>
  <c r="F13501" i="1"/>
  <c r="E13501" i="1"/>
  <c r="D13501" i="1"/>
  <c r="C13501" i="1"/>
  <c r="B13501" i="1"/>
  <c r="A13501" i="1"/>
  <c r="S13500" i="1"/>
  <c r="O13500" i="1"/>
  <c r="K13500" i="1"/>
  <c r="J13500" i="1"/>
  <c r="I13500" i="1"/>
  <c r="H13500" i="1"/>
  <c r="G13500" i="1"/>
  <c r="F13500" i="1"/>
  <c r="E13500" i="1"/>
  <c r="D13500" i="1"/>
  <c r="C13500" i="1"/>
  <c r="B13500" i="1"/>
  <c r="A13500" i="1"/>
  <c r="R13499" i="1"/>
  <c r="J13499" i="1"/>
  <c r="I13499" i="1"/>
  <c r="G13499" i="1"/>
  <c r="F13499" i="1"/>
  <c r="E13499" i="1"/>
  <c r="D13499" i="1"/>
  <c r="C13499" i="1"/>
  <c r="B13499" i="1"/>
  <c r="A13499" i="1"/>
  <c r="S13498" i="1"/>
  <c r="O13498" i="1"/>
  <c r="K13498" i="1"/>
  <c r="J13498" i="1"/>
  <c r="I13498" i="1"/>
  <c r="H13498" i="1"/>
  <c r="G13498" i="1"/>
  <c r="F13498" i="1"/>
  <c r="E13498" i="1"/>
  <c r="D13498" i="1"/>
  <c r="C13498" i="1"/>
  <c r="B13498" i="1"/>
  <c r="A13498" i="1"/>
  <c r="R13497" i="1"/>
  <c r="J13497" i="1"/>
  <c r="I13497" i="1"/>
  <c r="G13497" i="1"/>
  <c r="F13497" i="1"/>
  <c r="E13497" i="1"/>
  <c r="D13497" i="1"/>
  <c r="C13497" i="1"/>
  <c r="B13497" i="1"/>
  <c r="A13497" i="1"/>
  <c r="S13496" i="1"/>
  <c r="O13496" i="1"/>
  <c r="K13496" i="1"/>
  <c r="J13496" i="1"/>
  <c r="I13496" i="1"/>
  <c r="H13496" i="1"/>
  <c r="G13496" i="1"/>
  <c r="F13496" i="1"/>
  <c r="E13496" i="1"/>
  <c r="D13496" i="1"/>
  <c r="C13496" i="1"/>
  <c r="B13496" i="1"/>
  <c r="A13496" i="1"/>
  <c r="R13495" i="1"/>
  <c r="J13495" i="1"/>
  <c r="I13495" i="1"/>
  <c r="G13495" i="1"/>
  <c r="F13495" i="1"/>
  <c r="E13495" i="1"/>
  <c r="D13495" i="1"/>
  <c r="C13495" i="1"/>
  <c r="B13495" i="1"/>
  <c r="A13495" i="1"/>
  <c r="S13494" i="1"/>
  <c r="O13494" i="1"/>
  <c r="K13494" i="1"/>
  <c r="J13494" i="1"/>
  <c r="I13494" i="1"/>
  <c r="H13494" i="1"/>
  <c r="G13494" i="1"/>
  <c r="F13494" i="1"/>
  <c r="E13494" i="1"/>
  <c r="D13494" i="1"/>
  <c r="C13494" i="1"/>
  <c r="B13494" i="1"/>
  <c r="A13494" i="1"/>
  <c r="R13493" i="1"/>
  <c r="J13493" i="1"/>
  <c r="I13493" i="1"/>
  <c r="G13493" i="1"/>
  <c r="F13493" i="1"/>
  <c r="E13493" i="1"/>
  <c r="D13493" i="1"/>
  <c r="C13493" i="1"/>
  <c r="B13493" i="1"/>
  <c r="A13493" i="1"/>
  <c r="S13492" i="1"/>
  <c r="O13492" i="1"/>
  <c r="K13492" i="1"/>
  <c r="J13492" i="1"/>
  <c r="I13492" i="1"/>
  <c r="H13492" i="1"/>
  <c r="G13492" i="1"/>
  <c r="F13492" i="1"/>
  <c r="E13492" i="1"/>
  <c r="D13492" i="1"/>
  <c r="C13492" i="1"/>
  <c r="B13492" i="1"/>
  <c r="A13492" i="1"/>
  <c r="R13491" i="1"/>
  <c r="J13491" i="1"/>
  <c r="I13491" i="1"/>
  <c r="G13491" i="1"/>
  <c r="F13491" i="1"/>
  <c r="E13491" i="1"/>
  <c r="D13491" i="1"/>
  <c r="C13491" i="1"/>
  <c r="B13491" i="1"/>
  <c r="A13491" i="1"/>
  <c r="S13490" i="1"/>
  <c r="O13490" i="1"/>
  <c r="K13490" i="1"/>
  <c r="J13490" i="1"/>
  <c r="I13490" i="1"/>
  <c r="H13490" i="1"/>
  <c r="G13490" i="1"/>
  <c r="F13490" i="1"/>
  <c r="E13490" i="1"/>
  <c r="D13490" i="1"/>
  <c r="C13490" i="1"/>
  <c r="B13490" i="1"/>
  <c r="A13490" i="1"/>
  <c r="R13489" i="1"/>
  <c r="J13489" i="1"/>
  <c r="I13489" i="1"/>
  <c r="G13489" i="1"/>
  <c r="F13489" i="1"/>
  <c r="E13489" i="1"/>
  <c r="D13489" i="1"/>
  <c r="C13489" i="1"/>
  <c r="B13489" i="1"/>
  <c r="A13489" i="1"/>
  <c r="S13488" i="1"/>
  <c r="O13488" i="1"/>
  <c r="K13488" i="1"/>
  <c r="J13488" i="1"/>
  <c r="I13488" i="1"/>
  <c r="H13488" i="1"/>
  <c r="G13488" i="1"/>
  <c r="F13488" i="1"/>
  <c r="E13488" i="1"/>
  <c r="D13488" i="1"/>
  <c r="C13488" i="1"/>
  <c r="B13488" i="1"/>
  <c r="A13488" i="1"/>
  <c r="R13487" i="1"/>
  <c r="J13487" i="1"/>
  <c r="I13487" i="1"/>
  <c r="G13487" i="1"/>
  <c r="F13487" i="1"/>
  <c r="E13487" i="1"/>
  <c r="D13487" i="1"/>
  <c r="C13487" i="1"/>
  <c r="B13487" i="1"/>
  <c r="A13487" i="1"/>
  <c r="S13486" i="1"/>
  <c r="O13486" i="1"/>
  <c r="K13486" i="1"/>
  <c r="J13486" i="1"/>
  <c r="I13486" i="1"/>
  <c r="H13486" i="1"/>
  <c r="G13486" i="1"/>
  <c r="F13486" i="1"/>
  <c r="E13486" i="1"/>
  <c r="D13486" i="1"/>
  <c r="C13486" i="1"/>
  <c r="B13486" i="1"/>
  <c r="A13486" i="1"/>
  <c r="R13485" i="1"/>
  <c r="J13485" i="1"/>
  <c r="I13485" i="1"/>
  <c r="G13485" i="1"/>
  <c r="F13485" i="1"/>
  <c r="E13485" i="1"/>
  <c r="D13485" i="1"/>
  <c r="C13485" i="1"/>
  <c r="B13485" i="1"/>
  <c r="A13485" i="1"/>
  <c r="S13484" i="1"/>
  <c r="O13484" i="1"/>
  <c r="K13484" i="1"/>
  <c r="J13484" i="1"/>
  <c r="I13484" i="1"/>
  <c r="H13484" i="1"/>
  <c r="G13484" i="1"/>
  <c r="F13484" i="1"/>
  <c r="E13484" i="1"/>
  <c r="D13484" i="1"/>
  <c r="C13484" i="1"/>
  <c r="B13484" i="1"/>
  <c r="A13484" i="1"/>
  <c r="R13483" i="1"/>
  <c r="J13483" i="1"/>
  <c r="I13483" i="1"/>
  <c r="G13483" i="1"/>
  <c r="F13483" i="1"/>
  <c r="E13483" i="1"/>
  <c r="D13483" i="1"/>
  <c r="C13483" i="1"/>
  <c r="B13483" i="1"/>
  <c r="A13483" i="1"/>
  <c r="R13482" i="1"/>
  <c r="J13482" i="1"/>
  <c r="I13482" i="1"/>
  <c r="G13482" i="1"/>
  <c r="F13482" i="1"/>
  <c r="E13482" i="1"/>
  <c r="D13482" i="1"/>
  <c r="C13482" i="1"/>
  <c r="B13482" i="1"/>
  <c r="A13482" i="1"/>
  <c r="R13481" i="1"/>
  <c r="J13481" i="1"/>
  <c r="I13481" i="1"/>
  <c r="G13481" i="1"/>
  <c r="F13481" i="1"/>
  <c r="E13481" i="1"/>
  <c r="D13481" i="1"/>
  <c r="C13481" i="1"/>
  <c r="B13481" i="1"/>
  <c r="A13481" i="1"/>
  <c r="R13480" i="1"/>
  <c r="J13480" i="1"/>
  <c r="I13480" i="1"/>
  <c r="G13480" i="1"/>
  <c r="F13480" i="1"/>
  <c r="E13480" i="1"/>
  <c r="D13480" i="1"/>
  <c r="C13480" i="1"/>
  <c r="B13480" i="1"/>
  <c r="A13480" i="1"/>
  <c r="S13479" i="1"/>
  <c r="O13479" i="1"/>
  <c r="K13479" i="1"/>
  <c r="J13479" i="1"/>
  <c r="I13479" i="1"/>
  <c r="H13479" i="1"/>
  <c r="G13479" i="1"/>
  <c r="F13479" i="1"/>
  <c r="E13479" i="1"/>
  <c r="D13479" i="1"/>
  <c r="C13479" i="1"/>
  <c r="B13479" i="1"/>
  <c r="A13479" i="1"/>
  <c r="R13478" i="1"/>
  <c r="J13478" i="1"/>
  <c r="I13478" i="1"/>
  <c r="G13478" i="1"/>
  <c r="F13478" i="1"/>
  <c r="E13478" i="1"/>
  <c r="D13478" i="1"/>
  <c r="C13478" i="1"/>
  <c r="B13478" i="1"/>
  <c r="A13478" i="1"/>
  <c r="R13477" i="1"/>
  <c r="J13477" i="1"/>
  <c r="I13477" i="1"/>
  <c r="G13477" i="1"/>
  <c r="F13477" i="1"/>
  <c r="E13477" i="1"/>
  <c r="D13477" i="1"/>
  <c r="C13477" i="1"/>
  <c r="B13477" i="1"/>
  <c r="A13477" i="1"/>
  <c r="R13476" i="1"/>
  <c r="J13476" i="1"/>
  <c r="I13476" i="1"/>
  <c r="G13476" i="1"/>
  <c r="F13476" i="1"/>
  <c r="E13476" i="1"/>
  <c r="D13476" i="1"/>
  <c r="C13476" i="1"/>
  <c r="B13476" i="1"/>
  <c r="A13476" i="1"/>
  <c r="S13475" i="1"/>
  <c r="O13475" i="1"/>
  <c r="K13475" i="1"/>
  <c r="J13475" i="1"/>
  <c r="I13475" i="1"/>
  <c r="H13475" i="1"/>
  <c r="G13475" i="1"/>
  <c r="F13475" i="1"/>
  <c r="E13475" i="1"/>
  <c r="D13475" i="1"/>
  <c r="C13475" i="1"/>
  <c r="B13475" i="1"/>
  <c r="A13475" i="1"/>
  <c r="R13474" i="1"/>
  <c r="J13474" i="1"/>
  <c r="I13474" i="1"/>
  <c r="G13474" i="1"/>
  <c r="F13474" i="1"/>
  <c r="E13474" i="1"/>
  <c r="D13474" i="1"/>
  <c r="C13474" i="1"/>
  <c r="B13474" i="1"/>
  <c r="A13474" i="1"/>
  <c r="R13473" i="1"/>
  <c r="J13473" i="1"/>
  <c r="I13473" i="1"/>
  <c r="G13473" i="1"/>
  <c r="F13473" i="1"/>
  <c r="E13473" i="1"/>
  <c r="D13473" i="1"/>
  <c r="C13473" i="1"/>
  <c r="B13473" i="1"/>
  <c r="A13473" i="1"/>
  <c r="R13472" i="1"/>
  <c r="J13472" i="1"/>
  <c r="I13472" i="1"/>
  <c r="G13472" i="1"/>
  <c r="F13472" i="1"/>
  <c r="E13472" i="1"/>
  <c r="D13472" i="1"/>
  <c r="C13472" i="1"/>
  <c r="B13472" i="1"/>
  <c r="A13472" i="1"/>
  <c r="S13471" i="1"/>
  <c r="O13471" i="1"/>
  <c r="K13471" i="1"/>
  <c r="J13471" i="1"/>
  <c r="I13471" i="1"/>
  <c r="H13471" i="1"/>
  <c r="G13471" i="1"/>
  <c r="F13471" i="1"/>
  <c r="E13471" i="1"/>
  <c r="D13471" i="1"/>
  <c r="C13471" i="1"/>
  <c r="B13471" i="1"/>
  <c r="A13471" i="1"/>
  <c r="R13470" i="1"/>
  <c r="J13470" i="1"/>
  <c r="I13470" i="1"/>
  <c r="G13470" i="1"/>
  <c r="F13470" i="1"/>
  <c r="E13470" i="1"/>
  <c r="D13470" i="1"/>
  <c r="C13470" i="1"/>
  <c r="B13470" i="1"/>
  <c r="A13470" i="1"/>
  <c r="R13469" i="1"/>
  <c r="J13469" i="1"/>
  <c r="I13469" i="1"/>
  <c r="G13469" i="1"/>
  <c r="F13469" i="1"/>
  <c r="E13469" i="1"/>
  <c r="D13469" i="1"/>
  <c r="C13469" i="1"/>
  <c r="B13469" i="1"/>
  <c r="A13469" i="1"/>
  <c r="R13468" i="1"/>
  <c r="J13468" i="1"/>
  <c r="I13468" i="1"/>
  <c r="G13468" i="1"/>
  <c r="F13468" i="1"/>
  <c r="E13468" i="1"/>
  <c r="D13468" i="1"/>
  <c r="C13468" i="1"/>
  <c r="B13468" i="1"/>
  <c r="A13468" i="1"/>
  <c r="R13467" i="1"/>
  <c r="J13467" i="1"/>
  <c r="I13467" i="1"/>
  <c r="G13467" i="1"/>
  <c r="F13467" i="1"/>
  <c r="E13467" i="1"/>
  <c r="D13467" i="1"/>
  <c r="C13467" i="1"/>
  <c r="B13467" i="1"/>
  <c r="A13467" i="1"/>
  <c r="R13466" i="1"/>
  <c r="J13466" i="1"/>
  <c r="I13466" i="1"/>
  <c r="G13466" i="1"/>
  <c r="F13466" i="1"/>
  <c r="E13466" i="1"/>
  <c r="D13466" i="1"/>
  <c r="C13466" i="1"/>
  <c r="B13466" i="1"/>
  <c r="A13466" i="1"/>
  <c r="R13465" i="1"/>
  <c r="J13465" i="1"/>
  <c r="I13465" i="1"/>
  <c r="G13465" i="1"/>
  <c r="F13465" i="1"/>
  <c r="E13465" i="1"/>
  <c r="D13465" i="1"/>
  <c r="C13465" i="1"/>
  <c r="B13465" i="1"/>
  <c r="A13465" i="1"/>
  <c r="S13464" i="1"/>
  <c r="O13464" i="1"/>
  <c r="K13464" i="1"/>
  <c r="J13464" i="1"/>
  <c r="I13464" i="1"/>
  <c r="H13464" i="1"/>
  <c r="G13464" i="1"/>
  <c r="F13464" i="1"/>
  <c r="E13464" i="1"/>
  <c r="D13464" i="1"/>
  <c r="C13464" i="1"/>
  <c r="B13464" i="1"/>
  <c r="A13464" i="1"/>
  <c r="R13463" i="1"/>
  <c r="J13463" i="1"/>
  <c r="I13463" i="1"/>
  <c r="G13463" i="1"/>
  <c r="F13463" i="1"/>
  <c r="E13463" i="1"/>
  <c r="D13463" i="1"/>
  <c r="C13463" i="1"/>
  <c r="B13463" i="1"/>
  <c r="A13463" i="1"/>
  <c r="S13462" i="1"/>
  <c r="O13462" i="1"/>
  <c r="K13462" i="1"/>
  <c r="J13462" i="1"/>
  <c r="I13462" i="1"/>
  <c r="H13462" i="1"/>
  <c r="G13462" i="1"/>
  <c r="F13462" i="1"/>
  <c r="E13462" i="1"/>
  <c r="D13462" i="1"/>
  <c r="C13462" i="1"/>
  <c r="B13462" i="1"/>
  <c r="A13462" i="1"/>
  <c r="R13461" i="1"/>
  <c r="J13461" i="1"/>
  <c r="I13461" i="1"/>
  <c r="G13461" i="1"/>
  <c r="F13461" i="1"/>
  <c r="E13461" i="1"/>
  <c r="D13461" i="1"/>
  <c r="C13461" i="1"/>
  <c r="B13461" i="1"/>
  <c r="A13461" i="1"/>
  <c r="R13460" i="1"/>
  <c r="J13460" i="1"/>
  <c r="I13460" i="1"/>
  <c r="G13460" i="1"/>
  <c r="F13460" i="1"/>
  <c r="E13460" i="1"/>
  <c r="D13460" i="1"/>
  <c r="C13460" i="1"/>
  <c r="B13460" i="1"/>
  <c r="A13460" i="1"/>
  <c r="S13459" i="1"/>
  <c r="O13459" i="1"/>
  <c r="K13459" i="1"/>
  <c r="J13459" i="1"/>
  <c r="I13459" i="1"/>
  <c r="H13459" i="1"/>
  <c r="G13459" i="1"/>
  <c r="F13459" i="1"/>
  <c r="E13459" i="1"/>
  <c r="D13459" i="1"/>
  <c r="C13459" i="1"/>
  <c r="B13459" i="1"/>
  <c r="A13459" i="1"/>
  <c r="R13458" i="1"/>
  <c r="J13458" i="1"/>
  <c r="I13458" i="1"/>
  <c r="G13458" i="1"/>
  <c r="F13458" i="1"/>
  <c r="E13458" i="1"/>
  <c r="D13458" i="1"/>
  <c r="C13458" i="1"/>
  <c r="B13458" i="1"/>
  <c r="A13458" i="1"/>
  <c r="R13457" i="1"/>
  <c r="J13457" i="1"/>
  <c r="I13457" i="1"/>
  <c r="G13457" i="1"/>
  <c r="F13457" i="1"/>
  <c r="E13457" i="1"/>
  <c r="D13457" i="1"/>
  <c r="C13457" i="1"/>
  <c r="B13457" i="1"/>
  <c r="A13457" i="1"/>
  <c r="R13456" i="1"/>
  <c r="J13456" i="1"/>
  <c r="I13456" i="1"/>
  <c r="G13456" i="1"/>
  <c r="F13456" i="1"/>
  <c r="E13456" i="1"/>
  <c r="D13456" i="1"/>
  <c r="C13456" i="1"/>
  <c r="B13456" i="1"/>
  <c r="A13456" i="1"/>
  <c r="R13455" i="1"/>
  <c r="J13455" i="1"/>
  <c r="I13455" i="1"/>
  <c r="G13455" i="1"/>
  <c r="F13455" i="1"/>
  <c r="E13455" i="1"/>
  <c r="D13455" i="1"/>
  <c r="C13455" i="1"/>
  <c r="B13455" i="1"/>
  <c r="A13455" i="1"/>
  <c r="R13454" i="1"/>
  <c r="J13454" i="1"/>
  <c r="I13454" i="1"/>
  <c r="G13454" i="1"/>
  <c r="F13454" i="1"/>
  <c r="E13454" i="1"/>
  <c r="D13454" i="1"/>
  <c r="C13454" i="1"/>
  <c r="B13454" i="1"/>
  <c r="A13454" i="1"/>
  <c r="S13453" i="1"/>
  <c r="O13453" i="1"/>
  <c r="K13453" i="1"/>
  <c r="J13453" i="1"/>
  <c r="I13453" i="1"/>
  <c r="H13453" i="1"/>
  <c r="G13453" i="1"/>
  <c r="F13453" i="1"/>
  <c r="E13453" i="1"/>
  <c r="D13453" i="1"/>
  <c r="C13453" i="1"/>
  <c r="B13453" i="1"/>
  <c r="A13453" i="1"/>
  <c r="R13452" i="1"/>
  <c r="J13452" i="1"/>
  <c r="I13452" i="1"/>
  <c r="G13452" i="1"/>
  <c r="F13452" i="1"/>
  <c r="E13452" i="1"/>
  <c r="D13452" i="1"/>
  <c r="C13452" i="1"/>
  <c r="B13452" i="1"/>
  <c r="A13452" i="1"/>
  <c r="S13451" i="1"/>
  <c r="O13451" i="1"/>
  <c r="K13451" i="1"/>
  <c r="J13451" i="1"/>
  <c r="I13451" i="1"/>
  <c r="H13451" i="1"/>
  <c r="G13451" i="1"/>
  <c r="F13451" i="1"/>
  <c r="E13451" i="1"/>
  <c r="D13451" i="1"/>
  <c r="C13451" i="1"/>
  <c r="B13451" i="1"/>
  <c r="A13451" i="1"/>
  <c r="R13450" i="1"/>
  <c r="J13450" i="1"/>
  <c r="I13450" i="1"/>
  <c r="G13450" i="1"/>
  <c r="F13450" i="1"/>
  <c r="E13450" i="1"/>
  <c r="D13450" i="1"/>
  <c r="C13450" i="1"/>
  <c r="B13450" i="1"/>
  <c r="A13450" i="1"/>
  <c r="S13449" i="1"/>
  <c r="O13449" i="1"/>
  <c r="K13449" i="1"/>
  <c r="J13449" i="1"/>
  <c r="I13449" i="1"/>
  <c r="H13449" i="1"/>
  <c r="G13449" i="1"/>
  <c r="F13449" i="1"/>
  <c r="E13449" i="1"/>
  <c r="D13449" i="1"/>
  <c r="C13449" i="1"/>
  <c r="B13449" i="1"/>
  <c r="A13449" i="1"/>
  <c r="R13448" i="1"/>
  <c r="J13448" i="1"/>
  <c r="I13448" i="1"/>
  <c r="G13448" i="1"/>
  <c r="F13448" i="1"/>
  <c r="E13448" i="1"/>
  <c r="D13448" i="1"/>
  <c r="C13448" i="1"/>
  <c r="B13448" i="1"/>
  <c r="A13448" i="1"/>
  <c r="S13447" i="1"/>
  <c r="O13447" i="1"/>
  <c r="K13447" i="1"/>
  <c r="J13447" i="1"/>
  <c r="I13447" i="1"/>
  <c r="H13447" i="1"/>
  <c r="G13447" i="1"/>
  <c r="F13447" i="1"/>
  <c r="E13447" i="1"/>
  <c r="D13447" i="1"/>
  <c r="C13447" i="1"/>
  <c r="B13447" i="1"/>
  <c r="A13447" i="1"/>
  <c r="R13446" i="1"/>
  <c r="J13446" i="1"/>
  <c r="I13446" i="1"/>
  <c r="G13446" i="1"/>
  <c r="F13446" i="1"/>
  <c r="E13446" i="1"/>
  <c r="D13446" i="1"/>
  <c r="C13446" i="1"/>
  <c r="B13446" i="1"/>
  <c r="A13446" i="1"/>
  <c r="R13445" i="1"/>
  <c r="J13445" i="1"/>
  <c r="I13445" i="1"/>
  <c r="G13445" i="1"/>
  <c r="F13445" i="1"/>
  <c r="E13445" i="1"/>
  <c r="D13445" i="1"/>
  <c r="C13445" i="1"/>
  <c r="B13445" i="1"/>
  <c r="A13445" i="1"/>
  <c r="R13444" i="1"/>
  <c r="J13444" i="1"/>
  <c r="I13444" i="1"/>
  <c r="G13444" i="1"/>
  <c r="F13444" i="1"/>
  <c r="E13444" i="1"/>
  <c r="D13444" i="1"/>
  <c r="C13444" i="1"/>
  <c r="B13444" i="1"/>
  <c r="A13444" i="1"/>
  <c r="R13443" i="1"/>
  <c r="J13443" i="1"/>
  <c r="I13443" i="1"/>
  <c r="G13443" i="1"/>
  <c r="F13443" i="1"/>
  <c r="E13443" i="1"/>
  <c r="D13443" i="1"/>
  <c r="C13443" i="1"/>
  <c r="B13443" i="1"/>
  <c r="A13443" i="1"/>
  <c r="S13442" i="1"/>
  <c r="O13442" i="1"/>
  <c r="K13442" i="1"/>
  <c r="J13442" i="1"/>
  <c r="I13442" i="1"/>
  <c r="H13442" i="1"/>
  <c r="G13442" i="1"/>
  <c r="F13442" i="1"/>
  <c r="E13442" i="1"/>
  <c r="D13442" i="1"/>
  <c r="C13442" i="1"/>
  <c r="B13442" i="1"/>
  <c r="A13442" i="1"/>
  <c r="R13441" i="1"/>
  <c r="J13441" i="1"/>
  <c r="I13441" i="1"/>
  <c r="G13441" i="1"/>
  <c r="F13441" i="1"/>
  <c r="E13441" i="1"/>
  <c r="D13441" i="1"/>
  <c r="C13441" i="1"/>
  <c r="B13441" i="1"/>
  <c r="A13441" i="1"/>
  <c r="S13440" i="1"/>
  <c r="O13440" i="1"/>
  <c r="K13440" i="1"/>
  <c r="J13440" i="1"/>
  <c r="I13440" i="1"/>
  <c r="H13440" i="1"/>
  <c r="G13440" i="1"/>
  <c r="F13440" i="1"/>
  <c r="E13440" i="1"/>
  <c r="D13440" i="1"/>
  <c r="C13440" i="1"/>
  <c r="B13440" i="1"/>
  <c r="A13440" i="1"/>
  <c r="R13439" i="1"/>
  <c r="J13439" i="1"/>
  <c r="I13439" i="1"/>
  <c r="G13439" i="1"/>
  <c r="F13439" i="1"/>
  <c r="E13439" i="1"/>
  <c r="D13439" i="1"/>
  <c r="C13439" i="1"/>
  <c r="B13439" i="1"/>
  <c r="A13439" i="1"/>
  <c r="S13438" i="1"/>
  <c r="O13438" i="1"/>
  <c r="K13438" i="1"/>
  <c r="J13438" i="1"/>
  <c r="I13438" i="1"/>
  <c r="H13438" i="1"/>
  <c r="G13438" i="1"/>
  <c r="F13438" i="1"/>
  <c r="E13438" i="1"/>
  <c r="D13438" i="1"/>
  <c r="C13438" i="1"/>
  <c r="B13438" i="1"/>
  <c r="A13438" i="1"/>
  <c r="R13437" i="1"/>
  <c r="J13437" i="1"/>
  <c r="I13437" i="1"/>
  <c r="G13437" i="1"/>
  <c r="F13437" i="1"/>
  <c r="E13437" i="1"/>
  <c r="D13437" i="1"/>
  <c r="C13437" i="1"/>
  <c r="B13437" i="1"/>
  <c r="A13437" i="1"/>
  <c r="R13436" i="1"/>
  <c r="J13436" i="1"/>
  <c r="I13436" i="1"/>
  <c r="G13436" i="1"/>
  <c r="F13436" i="1"/>
  <c r="E13436" i="1"/>
  <c r="D13436" i="1"/>
  <c r="C13436" i="1"/>
  <c r="B13436" i="1"/>
  <c r="A13436" i="1"/>
  <c r="S13435" i="1"/>
  <c r="O13435" i="1"/>
  <c r="K13435" i="1"/>
  <c r="J13435" i="1"/>
  <c r="I13435" i="1"/>
  <c r="H13435" i="1"/>
  <c r="G13435" i="1"/>
  <c r="F13435" i="1"/>
  <c r="E13435" i="1"/>
  <c r="D13435" i="1"/>
  <c r="C13435" i="1"/>
  <c r="B13435" i="1"/>
  <c r="A13435" i="1"/>
  <c r="R13434" i="1"/>
  <c r="J13434" i="1"/>
  <c r="I13434" i="1"/>
  <c r="G13434" i="1"/>
  <c r="F13434" i="1"/>
  <c r="E13434" i="1"/>
  <c r="D13434" i="1"/>
  <c r="C13434" i="1"/>
  <c r="B13434" i="1"/>
  <c r="A13434" i="1"/>
  <c r="R13433" i="1"/>
  <c r="J13433" i="1"/>
  <c r="I13433" i="1"/>
  <c r="G13433" i="1"/>
  <c r="F13433" i="1"/>
  <c r="E13433" i="1"/>
  <c r="D13433" i="1"/>
  <c r="C13433" i="1"/>
  <c r="B13433" i="1"/>
  <c r="A13433" i="1"/>
  <c r="R13432" i="1"/>
  <c r="J13432" i="1"/>
  <c r="I13432" i="1"/>
  <c r="G13432" i="1"/>
  <c r="F13432" i="1"/>
  <c r="E13432" i="1"/>
  <c r="D13432" i="1"/>
  <c r="C13432" i="1"/>
  <c r="B13432" i="1"/>
  <c r="A13432" i="1"/>
  <c r="S13431" i="1"/>
  <c r="O13431" i="1"/>
  <c r="K13431" i="1"/>
  <c r="J13431" i="1"/>
  <c r="I13431" i="1"/>
  <c r="H13431" i="1"/>
  <c r="G13431" i="1"/>
  <c r="F13431" i="1"/>
  <c r="E13431" i="1"/>
  <c r="D13431" i="1"/>
  <c r="C13431" i="1"/>
  <c r="B13431" i="1"/>
  <c r="A13431" i="1"/>
  <c r="R13430" i="1"/>
  <c r="J13430" i="1"/>
  <c r="I13430" i="1"/>
  <c r="G13430" i="1"/>
  <c r="F13430" i="1"/>
  <c r="E13430" i="1"/>
  <c r="D13430" i="1"/>
  <c r="C13430" i="1"/>
  <c r="B13430" i="1"/>
  <c r="A13430" i="1"/>
  <c r="S13429" i="1"/>
  <c r="O13429" i="1"/>
  <c r="K13429" i="1"/>
  <c r="J13429" i="1"/>
  <c r="I13429" i="1"/>
  <c r="H13429" i="1"/>
  <c r="G13429" i="1"/>
  <c r="F13429" i="1"/>
  <c r="E13429" i="1"/>
  <c r="D13429" i="1"/>
  <c r="C13429" i="1"/>
  <c r="B13429" i="1"/>
  <c r="A13429" i="1"/>
  <c r="R13428" i="1"/>
  <c r="J13428" i="1"/>
  <c r="I13428" i="1"/>
  <c r="G13428" i="1"/>
  <c r="F13428" i="1"/>
  <c r="E13428" i="1"/>
  <c r="D13428" i="1"/>
  <c r="C13428" i="1"/>
  <c r="B13428" i="1"/>
  <c r="A13428" i="1"/>
  <c r="S13427" i="1"/>
  <c r="O13427" i="1"/>
  <c r="K13427" i="1"/>
  <c r="J13427" i="1"/>
  <c r="I13427" i="1"/>
  <c r="H13427" i="1"/>
  <c r="G13427" i="1"/>
  <c r="F13427" i="1"/>
  <c r="E13427" i="1"/>
  <c r="D13427" i="1"/>
  <c r="C13427" i="1"/>
  <c r="B13427" i="1"/>
  <c r="A13427" i="1"/>
  <c r="R13426" i="1"/>
  <c r="J13426" i="1"/>
  <c r="I13426" i="1"/>
  <c r="G13426" i="1"/>
  <c r="F13426" i="1"/>
  <c r="E13426" i="1"/>
  <c r="D13426" i="1"/>
  <c r="C13426" i="1"/>
  <c r="B13426" i="1"/>
  <c r="A13426" i="1"/>
  <c r="S13425" i="1"/>
  <c r="O13425" i="1"/>
  <c r="K13425" i="1"/>
  <c r="J13425" i="1"/>
  <c r="I13425" i="1"/>
  <c r="H13425" i="1"/>
  <c r="G13425" i="1"/>
  <c r="F13425" i="1"/>
  <c r="E13425" i="1"/>
  <c r="D13425" i="1"/>
  <c r="C13425" i="1"/>
  <c r="B13425" i="1"/>
  <c r="A13425" i="1"/>
  <c r="R13424" i="1"/>
  <c r="J13424" i="1"/>
  <c r="I13424" i="1"/>
  <c r="G13424" i="1"/>
  <c r="F13424" i="1"/>
  <c r="E13424" i="1"/>
  <c r="D13424" i="1"/>
  <c r="C13424" i="1"/>
  <c r="B13424" i="1"/>
  <c r="A13424" i="1"/>
  <c r="R13423" i="1"/>
  <c r="J13423" i="1"/>
  <c r="I13423" i="1"/>
  <c r="G13423" i="1"/>
  <c r="F13423" i="1"/>
  <c r="E13423" i="1"/>
  <c r="D13423" i="1"/>
  <c r="C13423" i="1"/>
  <c r="B13423" i="1"/>
  <c r="A13423" i="1"/>
  <c r="S13422" i="1"/>
  <c r="O13422" i="1"/>
  <c r="K13422" i="1"/>
  <c r="J13422" i="1"/>
  <c r="I13422" i="1"/>
  <c r="H13422" i="1"/>
  <c r="G13422" i="1"/>
  <c r="F13422" i="1"/>
  <c r="E13422" i="1"/>
  <c r="D13422" i="1"/>
  <c r="C13422" i="1"/>
  <c r="B13422" i="1"/>
  <c r="A13422" i="1"/>
  <c r="R13421" i="1"/>
  <c r="J13421" i="1"/>
  <c r="I13421" i="1"/>
  <c r="G13421" i="1"/>
  <c r="F13421" i="1"/>
  <c r="E13421" i="1"/>
  <c r="D13421" i="1"/>
  <c r="C13421" i="1"/>
  <c r="B13421" i="1"/>
  <c r="A13421" i="1"/>
  <c r="S13420" i="1"/>
  <c r="O13420" i="1"/>
  <c r="K13420" i="1"/>
  <c r="J13420" i="1"/>
  <c r="I13420" i="1"/>
  <c r="H13420" i="1"/>
  <c r="G13420" i="1"/>
  <c r="F13420" i="1"/>
  <c r="E13420" i="1"/>
  <c r="D13420" i="1"/>
  <c r="C13420" i="1"/>
  <c r="B13420" i="1"/>
  <c r="A13420" i="1"/>
  <c r="R13419" i="1"/>
  <c r="J13419" i="1"/>
  <c r="I13419" i="1"/>
  <c r="G13419" i="1"/>
  <c r="F13419" i="1"/>
  <c r="E13419" i="1"/>
  <c r="D13419" i="1"/>
  <c r="C13419" i="1"/>
  <c r="B13419" i="1"/>
  <c r="A13419" i="1"/>
  <c r="S13418" i="1"/>
  <c r="O13418" i="1"/>
  <c r="K13418" i="1"/>
  <c r="J13418" i="1"/>
  <c r="I13418" i="1"/>
  <c r="H13418" i="1"/>
  <c r="G13418" i="1"/>
  <c r="F13418" i="1"/>
  <c r="E13418" i="1"/>
  <c r="D13418" i="1"/>
  <c r="C13418" i="1"/>
  <c r="B13418" i="1"/>
  <c r="A13418" i="1"/>
  <c r="R13417" i="1"/>
  <c r="J13417" i="1"/>
  <c r="I13417" i="1"/>
  <c r="G13417" i="1"/>
  <c r="F13417" i="1"/>
  <c r="E13417" i="1"/>
  <c r="D13417" i="1"/>
  <c r="C13417" i="1"/>
  <c r="B13417" i="1"/>
  <c r="A13417" i="1"/>
  <c r="S13416" i="1"/>
  <c r="O13416" i="1"/>
  <c r="K13416" i="1"/>
  <c r="J13416" i="1"/>
  <c r="I13416" i="1"/>
  <c r="H13416" i="1"/>
  <c r="G13416" i="1"/>
  <c r="F13416" i="1"/>
  <c r="E13416" i="1"/>
  <c r="D13416" i="1"/>
  <c r="C13416" i="1"/>
  <c r="B13416" i="1"/>
  <c r="A13416" i="1"/>
  <c r="R13415" i="1"/>
  <c r="J13415" i="1"/>
  <c r="I13415" i="1"/>
  <c r="G13415" i="1"/>
  <c r="F13415" i="1"/>
  <c r="E13415" i="1"/>
  <c r="D13415" i="1"/>
  <c r="C13415" i="1"/>
  <c r="B13415" i="1"/>
  <c r="A13415" i="1"/>
  <c r="S13414" i="1"/>
  <c r="O13414" i="1"/>
  <c r="K13414" i="1"/>
  <c r="J13414" i="1"/>
  <c r="I13414" i="1"/>
  <c r="H13414" i="1"/>
  <c r="G13414" i="1"/>
  <c r="F13414" i="1"/>
  <c r="E13414" i="1"/>
  <c r="D13414" i="1"/>
  <c r="C13414" i="1"/>
  <c r="B13414" i="1"/>
  <c r="A13414" i="1"/>
  <c r="R13413" i="1"/>
  <c r="J13413" i="1"/>
  <c r="I13413" i="1"/>
  <c r="G13413" i="1"/>
  <c r="F13413" i="1"/>
  <c r="E13413" i="1"/>
  <c r="D13413" i="1"/>
  <c r="C13413" i="1"/>
  <c r="B13413" i="1"/>
  <c r="A13413" i="1"/>
  <c r="S13412" i="1"/>
  <c r="O13412" i="1"/>
  <c r="K13412" i="1"/>
  <c r="J13412" i="1"/>
  <c r="I13412" i="1"/>
  <c r="H13412" i="1"/>
  <c r="G13412" i="1"/>
  <c r="F13412" i="1"/>
  <c r="E13412" i="1"/>
  <c r="D13412" i="1"/>
  <c r="C13412" i="1"/>
  <c r="B13412" i="1"/>
  <c r="A13412" i="1"/>
  <c r="R13411" i="1"/>
  <c r="J13411" i="1"/>
  <c r="I13411" i="1"/>
  <c r="G13411" i="1"/>
  <c r="F13411" i="1"/>
  <c r="E13411" i="1"/>
  <c r="D13411" i="1"/>
  <c r="C13411" i="1"/>
  <c r="B13411" i="1"/>
  <c r="A13411" i="1"/>
  <c r="S13410" i="1"/>
  <c r="O13410" i="1"/>
  <c r="K13410" i="1"/>
  <c r="J13410" i="1"/>
  <c r="I13410" i="1"/>
  <c r="H13410" i="1"/>
  <c r="G13410" i="1"/>
  <c r="F13410" i="1"/>
  <c r="E13410" i="1"/>
  <c r="D13410" i="1"/>
  <c r="C13410" i="1"/>
  <c r="B13410" i="1"/>
  <c r="A13410" i="1"/>
  <c r="R13409" i="1"/>
  <c r="J13409" i="1"/>
  <c r="I13409" i="1"/>
  <c r="G13409" i="1"/>
  <c r="F13409" i="1"/>
  <c r="E13409" i="1"/>
  <c r="D13409" i="1"/>
  <c r="C13409" i="1"/>
  <c r="B13409" i="1"/>
  <c r="A13409" i="1"/>
  <c r="S13408" i="1"/>
  <c r="O13408" i="1"/>
  <c r="K13408" i="1"/>
  <c r="J13408" i="1"/>
  <c r="I13408" i="1"/>
  <c r="H13408" i="1"/>
  <c r="G13408" i="1"/>
  <c r="F13408" i="1"/>
  <c r="E13408" i="1"/>
  <c r="D13408" i="1"/>
  <c r="C13408" i="1"/>
  <c r="B13408" i="1"/>
  <c r="A13408" i="1"/>
  <c r="R13407" i="1"/>
  <c r="J13407" i="1"/>
  <c r="I13407" i="1"/>
  <c r="G13407" i="1"/>
  <c r="F13407" i="1"/>
  <c r="E13407" i="1"/>
  <c r="D13407" i="1"/>
  <c r="C13407" i="1"/>
  <c r="B13407" i="1"/>
  <c r="A13407" i="1"/>
  <c r="S13406" i="1"/>
  <c r="O13406" i="1"/>
  <c r="K13406" i="1"/>
  <c r="J13406" i="1"/>
  <c r="I13406" i="1"/>
  <c r="H13406" i="1"/>
  <c r="G13406" i="1"/>
  <c r="F13406" i="1"/>
  <c r="E13406" i="1"/>
  <c r="D13406" i="1"/>
  <c r="C13406" i="1"/>
  <c r="B13406" i="1"/>
  <c r="A13406" i="1"/>
  <c r="R13405" i="1"/>
  <c r="J13405" i="1"/>
  <c r="I13405" i="1"/>
  <c r="G13405" i="1"/>
  <c r="F13405" i="1"/>
  <c r="E13405" i="1"/>
  <c r="D13405" i="1"/>
  <c r="C13405" i="1"/>
  <c r="B13405" i="1"/>
  <c r="A13405" i="1"/>
  <c r="S13404" i="1"/>
  <c r="O13404" i="1"/>
  <c r="K13404" i="1"/>
  <c r="J13404" i="1"/>
  <c r="I13404" i="1"/>
  <c r="H13404" i="1"/>
  <c r="G13404" i="1"/>
  <c r="F13404" i="1"/>
  <c r="E13404" i="1"/>
  <c r="D13404" i="1"/>
  <c r="C13404" i="1"/>
  <c r="B13404" i="1"/>
  <c r="A13404" i="1"/>
  <c r="R13403" i="1"/>
  <c r="J13403" i="1"/>
  <c r="I13403" i="1"/>
  <c r="G13403" i="1"/>
  <c r="F13403" i="1"/>
  <c r="E13403" i="1"/>
  <c r="D13403" i="1"/>
  <c r="C13403" i="1"/>
  <c r="B13403" i="1"/>
  <c r="A13403" i="1"/>
  <c r="S13402" i="1"/>
  <c r="O13402" i="1"/>
  <c r="K13402" i="1"/>
  <c r="J13402" i="1"/>
  <c r="I13402" i="1"/>
  <c r="H13402" i="1"/>
  <c r="G13402" i="1"/>
  <c r="F13402" i="1"/>
  <c r="E13402" i="1"/>
  <c r="D13402" i="1"/>
  <c r="C13402" i="1"/>
  <c r="B13402" i="1"/>
  <c r="A13402" i="1"/>
  <c r="R13401" i="1"/>
  <c r="J13401" i="1"/>
  <c r="I13401" i="1"/>
  <c r="G13401" i="1"/>
  <c r="F13401" i="1"/>
  <c r="E13401" i="1"/>
  <c r="D13401" i="1"/>
  <c r="C13401" i="1"/>
  <c r="B13401" i="1"/>
  <c r="A13401" i="1"/>
  <c r="S13400" i="1"/>
  <c r="O13400" i="1"/>
  <c r="K13400" i="1"/>
  <c r="J13400" i="1"/>
  <c r="I13400" i="1"/>
  <c r="H13400" i="1"/>
  <c r="G13400" i="1"/>
  <c r="F13400" i="1"/>
  <c r="E13400" i="1"/>
  <c r="D13400" i="1"/>
  <c r="C13400" i="1"/>
  <c r="B13400" i="1"/>
  <c r="A13400" i="1"/>
  <c r="R13399" i="1"/>
  <c r="J13399" i="1"/>
  <c r="I13399" i="1"/>
  <c r="G13399" i="1"/>
  <c r="F13399" i="1"/>
  <c r="E13399" i="1"/>
  <c r="D13399" i="1"/>
  <c r="C13399" i="1"/>
  <c r="B13399" i="1"/>
  <c r="A13399" i="1"/>
  <c r="S13398" i="1"/>
  <c r="O13398" i="1"/>
  <c r="K13398" i="1"/>
  <c r="J13398" i="1"/>
  <c r="I13398" i="1"/>
  <c r="H13398" i="1"/>
  <c r="G13398" i="1"/>
  <c r="F13398" i="1"/>
  <c r="E13398" i="1"/>
  <c r="D13398" i="1"/>
  <c r="C13398" i="1"/>
  <c r="B13398" i="1"/>
  <c r="A13398" i="1"/>
  <c r="R13397" i="1"/>
  <c r="J13397" i="1"/>
  <c r="I13397" i="1"/>
  <c r="G13397" i="1"/>
  <c r="F13397" i="1"/>
  <c r="E13397" i="1"/>
  <c r="D13397" i="1"/>
  <c r="C13397" i="1"/>
  <c r="B13397" i="1"/>
  <c r="A13397" i="1"/>
  <c r="S13396" i="1"/>
  <c r="O13396" i="1"/>
  <c r="K13396" i="1"/>
  <c r="J13396" i="1"/>
  <c r="I13396" i="1"/>
  <c r="H13396" i="1"/>
  <c r="G13396" i="1"/>
  <c r="F13396" i="1"/>
  <c r="E13396" i="1"/>
  <c r="D13396" i="1"/>
  <c r="C13396" i="1"/>
  <c r="B13396" i="1"/>
  <c r="A13396" i="1"/>
  <c r="R13395" i="1"/>
  <c r="J13395" i="1"/>
  <c r="I13395" i="1"/>
  <c r="G13395" i="1"/>
  <c r="F13395" i="1"/>
  <c r="E13395" i="1"/>
  <c r="D13395" i="1"/>
  <c r="C13395" i="1"/>
  <c r="B13395" i="1"/>
  <c r="A13395" i="1"/>
  <c r="S13394" i="1"/>
  <c r="O13394" i="1"/>
  <c r="K13394" i="1"/>
  <c r="J13394" i="1"/>
  <c r="I13394" i="1"/>
  <c r="H13394" i="1"/>
  <c r="G13394" i="1"/>
  <c r="F13394" i="1"/>
  <c r="E13394" i="1"/>
  <c r="D13394" i="1"/>
  <c r="C13394" i="1"/>
  <c r="B13394" i="1"/>
  <c r="A13394" i="1"/>
  <c r="R13393" i="1"/>
  <c r="J13393" i="1"/>
  <c r="I13393" i="1"/>
  <c r="G13393" i="1"/>
  <c r="F13393" i="1"/>
  <c r="E13393" i="1"/>
  <c r="D13393" i="1"/>
  <c r="C13393" i="1"/>
  <c r="B13393" i="1"/>
  <c r="A13393" i="1"/>
  <c r="S13392" i="1"/>
  <c r="O13392" i="1"/>
  <c r="K13392" i="1"/>
  <c r="J13392" i="1"/>
  <c r="I13392" i="1"/>
  <c r="H13392" i="1"/>
  <c r="G13392" i="1"/>
  <c r="F13392" i="1"/>
  <c r="E13392" i="1"/>
  <c r="D13392" i="1"/>
  <c r="C13392" i="1"/>
  <c r="B13392" i="1"/>
  <c r="A13392" i="1"/>
  <c r="R13391" i="1"/>
  <c r="J13391" i="1"/>
  <c r="I13391" i="1"/>
  <c r="G13391" i="1"/>
  <c r="F13391" i="1"/>
  <c r="E13391" i="1"/>
  <c r="D13391" i="1"/>
  <c r="C13391" i="1"/>
  <c r="B13391" i="1"/>
  <c r="A13391" i="1"/>
  <c r="S13390" i="1"/>
  <c r="O13390" i="1"/>
  <c r="K13390" i="1"/>
  <c r="J13390" i="1"/>
  <c r="I13390" i="1"/>
  <c r="H13390" i="1"/>
  <c r="G13390" i="1"/>
  <c r="F13390" i="1"/>
  <c r="E13390" i="1"/>
  <c r="D13390" i="1"/>
  <c r="C13390" i="1"/>
  <c r="B13390" i="1"/>
  <c r="A13390" i="1"/>
  <c r="R13389" i="1"/>
  <c r="J13389" i="1"/>
  <c r="I13389" i="1"/>
  <c r="G13389" i="1"/>
  <c r="F13389" i="1"/>
  <c r="E13389" i="1"/>
  <c r="D13389" i="1"/>
  <c r="C13389" i="1"/>
  <c r="B13389" i="1"/>
  <c r="A13389" i="1"/>
  <c r="S13388" i="1"/>
  <c r="O13388" i="1"/>
  <c r="K13388" i="1"/>
  <c r="J13388" i="1"/>
  <c r="I13388" i="1"/>
  <c r="H13388" i="1"/>
  <c r="G13388" i="1"/>
  <c r="F13388" i="1"/>
  <c r="E13388" i="1"/>
  <c r="D13388" i="1"/>
  <c r="C13388" i="1"/>
  <c r="B13388" i="1"/>
  <c r="A13388" i="1"/>
  <c r="R13387" i="1"/>
  <c r="J13387" i="1"/>
  <c r="I13387" i="1"/>
  <c r="G13387" i="1"/>
  <c r="F13387" i="1"/>
  <c r="E13387" i="1"/>
  <c r="D13387" i="1"/>
  <c r="C13387" i="1"/>
  <c r="B13387" i="1"/>
  <c r="A13387" i="1"/>
  <c r="S13386" i="1"/>
  <c r="O13386" i="1"/>
  <c r="K13386" i="1"/>
  <c r="J13386" i="1"/>
  <c r="I13386" i="1"/>
  <c r="H13386" i="1"/>
  <c r="G13386" i="1"/>
  <c r="F13386" i="1"/>
  <c r="E13386" i="1"/>
  <c r="D13386" i="1"/>
  <c r="C13386" i="1"/>
  <c r="B13386" i="1"/>
  <c r="A13386" i="1"/>
  <c r="R13385" i="1"/>
  <c r="J13385" i="1"/>
  <c r="I13385" i="1"/>
  <c r="G13385" i="1"/>
  <c r="F13385" i="1"/>
  <c r="E13385" i="1"/>
  <c r="D13385" i="1"/>
  <c r="C13385" i="1"/>
  <c r="B13385" i="1"/>
  <c r="A13385" i="1"/>
  <c r="S13384" i="1"/>
  <c r="O13384" i="1"/>
  <c r="K13384" i="1"/>
  <c r="J13384" i="1"/>
  <c r="I13384" i="1"/>
  <c r="H13384" i="1"/>
  <c r="G13384" i="1"/>
  <c r="F13384" i="1"/>
  <c r="E13384" i="1"/>
  <c r="D13384" i="1"/>
  <c r="C13384" i="1"/>
  <c r="B13384" i="1"/>
  <c r="A13384" i="1"/>
  <c r="R13383" i="1"/>
  <c r="J13383" i="1"/>
  <c r="I13383" i="1"/>
  <c r="G13383" i="1"/>
  <c r="F13383" i="1"/>
  <c r="E13383" i="1"/>
  <c r="D13383" i="1"/>
  <c r="C13383" i="1"/>
  <c r="B13383" i="1"/>
  <c r="A13383" i="1"/>
  <c r="S13382" i="1"/>
  <c r="O13382" i="1"/>
  <c r="K13382" i="1"/>
  <c r="J13382" i="1"/>
  <c r="I13382" i="1"/>
  <c r="H13382" i="1"/>
  <c r="G13382" i="1"/>
  <c r="F13382" i="1"/>
  <c r="E13382" i="1"/>
  <c r="D13382" i="1"/>
  <c r="C13382" i="1"/>
  <c r="B13382" i="1"/>
  <c r="A13382" i="1"/>
  <c r="R13381" i="1"/>
  <c r="J13381" i="1"/>
  <c r="I13381" i="1"/>
  <c r="G13381" i="1"/>
  <c r="F13381" i="1"/>
  <c r="E13381" i="1"/>
  <c r="D13381" i="1"/>
  <c r="C13381" i="1"/>
  <c r="B13381" i="1"/>
  <c r="A13381" i="1"/>
  <c r="S13380" i="1"/>
  <c r="O13380" i="1"/>
  <c r="K13380" i="1"/>
  <c r="J13380" i="1"/>
  <c r="I13380" i="1"/>
  <c r="H13380" i="1"/>
  <c r="G13380" i="1"/>
  <c r="F13380" i="1"/>
  <c r="E13380" i="1"/>
  <c r="D13380" i="1"/>
  <c r="C13380" i="1"/>
  <c r="B13380" i="1"/>
  <c r="A13380" i="1"/>
  <c r="R13379" i="1"/>
  <c r="J13379" i="1"/>
  <c r="I13379" i="1"/>
  <c r="G13379" i="1"/>
  <c r="F13379" i="1"/>
  <c r="E13379" i="1"/>
  <c r="D13379" i="1"/>
  <c r="C13379" i="1"/>
  <c r="B13379" i="1"/>
  <c r="A13379" i="1"/>
  <c r="S13378" i="1"/>
  <c r="O13378" i="1"/>
  <c r="K13378" i="1"/>
  <c r="J13378" i="1"/>
  <c r="I13378" i="1"/>
  <c r="H13378" i="1"/>
  <c r="G13378" i="1"/>
  <c r="F13378" i="1"/>
  <c r="E13378" i="1"/>
  <c r="D13378" i="1"/>
  <c r="C13378" i="1"/>
  <c r="B13378" i="1"/>
  <c r="A13378" i="1"/>
  <c r="R13377" i="1"/>
  <c r="J13377" i="1"/>
  <c r="I13377" i="1"/>
  <c r="G13377" i="1"/>
  <c r="F13377" i="1"/>
  <c r="E13377" i="1"/>
  <c r="D13377" i="1"/>
  <c r="C13377" i="1"/>
  <c r="B13377" i="1"/>
  <c r="A13377" i="1"/>
  <c r="R13376" i="1"/>
  <c r="J13376" i="1"/>
  <c r="I13376" i="1"/>
  <c r="G13376" i="1"/>
  <c r="F13376" i="1"/>
  <c r="E13376" i="1"/>
  <c r="D13376" i="1"/>
  <c r="C13376" i="1"/>
  <c r="B13376" i="1"/>
  <c r="A13376" i="1"/>
  <c r="S13375" i="1"/>
  <c r="O13375" i="1"/>
  <c r="K13375" i="1"/>
  <c r="J13375" i="1"/>
  <c r="I13375" i="1"/>
  <c r="H13375" i="1"/>
  <c r="G13375" i="1"/>
  <c r="F13375" i="1"/>
  <c r="E13375" i="1"/>
  <c r="D13375" i="1"/>
  <c r="C13375" i="1"/>
  <c r="B13375" i="1"/>
  <c r="A13375" i="1"/>
  <c r="R13374" i="1"/>
  <c r="J13374" i="1"/>
  <c r="I13374" i="1"/>
  <c r="G13374" i="1"/>
  <c r="F13374" i="1"/>
  <c r="E13374" i="1"/>
  <c r="D13374" i="1"/>
  <c r="C13374" i="1"/>
  <c r="B13374" i="1"/>
  <c r="A13374" i="1"/>
  <c r="S13373" i="1"/>
  <c r="O13373" i="1"/>
  <c r="K13373" i="1"/>
  <c r="J13373" i="1"/>
  <c r="I13373" i="1"/>
  <c r="H13373" i="1"/>
  <c r="G13373" i="1"/>
  <c r="F13373" i="1"/>
  <c r="E13373" i="1"/>
  <c r="D13373" i="1"/>
  <c r="C13373" i="1"/>
  <c r="B13373" i="1"/>
  <c r="A13373" i="1"/>
  <c r="R13372" i="1"/>
  <c r="J13372" i="1"/>
  <c r="I13372" i="1"/>
  <c r="G13372" i="1"/>
  <c r="F13372" i="1"/>
  <c r="E13372" i="1"/>
  <c r="D13372" i="1"/>
  <c r="C13372" i="1"/>
  <c r="B13372" i="1"/>
  <c r="A13372" i="1"/>
  <c r="S13371" i="1"/>
  <c r="O13371" i="1"/>
  <c r="K13371" i="1"/>
  <c r="J13371" i="1"/>
  <c r="I13371" i="1"/>
  <c r="H13371" i="1"/>
  <c r="G13371" i="1"/>
  <c r="F13371" i="1"/>
  <c r="E13371" i="1"/>
  <c r="D13371" i="1"/>
  <c r="C13371" i="1"/>
  <c r="B13371" i="1"/>
  <c r="A13371" i="1"/>
  <c r="R13370" i="1"/>
  <c r="J13370" i="1"/>
  <c r="I13370" i="1"/>
  <c r="G13370" i="1"/>
  <c r="F13370" i="1"/>
  <c r="E13370" i="1"/>
  <c r="D13370" i="1"/>
  <c r="C13370" i="1"/>
  <c r="B13370" i="1"/>
  <c r="A13370" i="1"/>
  <c r="S13369" i="1"/>
  <c r="O13369" i="1"/>
  <c r="K13369" i="1"/>
  <c r="J13369" i="1"/>
  <c r="I13369" i="1"/>
  <c r="H13369" i="1"/>
  <c r="G13369" i="1"/>
  <c r="F13369" i="1"/>
  <c r="E13369" i="1"/>
  <c r="D13369" i="1"/>
  <c r="C13369" i="1"/>
  <c r="B13369" i="1"/>
  <c r="A13369" i="1"/>
  <c r="R13368" i="1"/>
  <c r="J13368" i="1"/>
  <c r="I13368" i="1"/>
  <c r="G13368" i="1"/>
  <c r="F13368" i="1"/>
  <c r="E13368" i="1"/>
  <c r="D13368" i="1"/>
  <c r="C13368" i="1"/>
  <c r="B13368" i="1"/>
  <c r="A13368" i="1"/>
  <c r="S13367" i="1"/>
  <c r="O13367" i="1"/>
  <c r="K13367" i="1"/>
  <c r="J13367" i="1"/>
  <c r="I13367" i="1"/>
  <c r="H13367" i="1"/>
  <c r="G13367" i="1"/>
  <c r="F13367" i="1"/>
  <c r="E13367" i="1"/>
  <c r="D13367" i="1"/>
  <c r="C13367" i="1"/>
  <c r="B13367" i="1"/>
  <c r="A13367" i="1"/>
  <c r="R13366" i="1"/>
  <c r="J13366" i="1"/>
  <c r="I13366" i="1"/>
  <c r="G13366" i="1"/>
  <c r="F13366" i="1"/>
  <c r="E13366" i="1"/>
  <c r="D13366" i="1"/>
  <c r="C13366" i="1"/>
  <c r="B13366" i="1"/>
  <c r="A13366" i="1"/>
  <c r="S13365" i="1"/>
  <c r="O13365" i="1"/>
  <c r="K13365" i="1"/>
  <c r="J13365" i="1"/>
  <c r="I13365" i="1"/>
  <c r="H13365" i="1"/>
  <c r="G13365" i="1"/>
  <c r="F13365" i="1"/>
  <c r="E13365" i="1"/>
  <c r="D13365" i="1"/>
  <c r="C13365" i="1"/>
  <c r="B13365" i="1"/>
  <c r="A13365" i="1"/>
  <c r="R13364" i="1"/>
  <c r="J13364" i="1"/>
  <c r="I13364" i="1"/>
  <c r="G13364" i="1"/>
  <c r="F13364" i="1"/>
  <c r="E13364" i="1"/>
  <c r="D13364" i="1"/>
  <c r="C13364" i="1"/>
  <c r="B13364" i="1"/>
  <c r="A13364" i="1"/>
  <c r="S13363" i="1"/>
  <c r="O13363" i="1"/>
  <c r="K13363" i="1"/>
  <c r="J13363" i="1"/>
  <c r="I13363" i="1"/>
  <c r="H13363" i="1"/>
  <c r="G13363" i="1"/>
  <c r="F13363" i="1"/>
  <c r="E13363" i="1"/>
  <c r="D13363" i="1"/>
  <c r="C13363" i="1"/>
  <c r="B13363" i="1"/>
  <c r="A13363" i="1"/>
  <c r="R13362" i="1"/>
  <c r="J13362" i="1"/>
  <c r="I13362" i="1"/>
  <c r="G13362" i="1"/>
  <c r="F13362" i="1"/>
  <c r="E13362" i="1"/>
  <c r="D13362" i="1"/>
  <c r="C13362" i="1"/>
  <c r="B13362" i="1"/>
  <c r="A13362" i="1"/>
  <c r="S13361" i="1"/>
  <c r="O13361" i="1"/>
  <c r="K13361" i="1"/>
  <c r="J13361" i="1"/>
  <c r="I13361" i="1"/>
  <c r="H13361" i="1"/>
  <c r="G13361" i="1"/>
  <c r="F13361" i="1"/>
  <c r="E13361" i="1"/>
  <c r="D13361" i="1"/>
  <c r="C13361" i="1"/>
  <c r="B13361" i="1"/>
  <c r="A13361" i="1"/>
  <c r="R13360" i="1"/>
  <c r="J13360" i="1"/>
  <c r="I13360" i="1"/>
  <c r="G13360" i="1"/>
  <c r="F13360" i="1"/>
  <c r="E13360" i="1"/>
  <c r="D13360" i="1"/>
  <c r="C13360" i="1"/>
  <c r="B13360" i="1"/>
  <c r="A13360" i="1"/>
  <c r="S13359" i="1"/>
  <c r="O13359" i="1"/>
  <c r="K13359" i="1"/>
  <c r="J13359" i="1"/>
  <c r="I13359" i="1"/>
  <c r="H13359" i="1"/>
  <c r="G13359" i="1"/>
  <c r="F13359" i="1"/>
  <c r="E13359" i="1"/>
  <c r="D13359" i="1"/>
  <c r="C13359" i="1"/>
  <c r="B13359" i="1"/>
  <c r="A13359" i="1"/>
  <c r="R13358" i="1"/>
  <c r="J13358" i="1"/>
  <c r="I13358" i="1"/>
  <c r="G13358" i="1"/>
  <c r="F13358" i="1"/>
  <c r="E13358" i="1"/>
  <c r="D13358" i="1"/>
  <c r="C13358" i="1"/>
  <c r="B13358" i="1"/>
  <c r="A13358" i="1"/>
  <c r="S13357" i="1"/>
  <c r="O13357" i="1"/>
  <c r="K13357" i="1"/>
  <c r="J13357" i="1"/>
  <c r="I13357" i="1"/>
  <c r="H13357" i="1"/>
  <c r="G13357" i="1"/>
  <c r="F13357" i="1"/>
  <c r="E13357" i="1"/>
  <c r="D13357" i="1"/>
  <c r="C13357" i="1"/>
  <c r="B13357" i="1"/>
  <c r="A13357" i="1"/>
  <c r="R13356" i="1"/>
  <c r="J13356" i="1"/>
  <c r="I13356" i="1"/>
  <c r="G13356" i="1"/>
  <c r="F13356" i="1"/>
  <c r="E13356" i="1"/>
  <c r="D13356" i="1"/>
  <c r="C13356" i="1"/>
  <c r="B13356" i="1"/>
  <c r="A13356" i="1"/>
  <c r="S13355" i="1"/>
  <c r="O13355" i="1"/>
  <c r="K13355" i="1"/>
  <c r="J13355" i="1"/>
  <c r="I13355" i="1"/>
  <c r="H13355" i="1"/>
  <c r="G13355" i="1"/>
  <c r="F13355" i="1"/>
  <c r="E13355" i="1"/>
  <c r="D13355" i="1"/>
  <c r="C13355" i="1"/>
  <c r="B13355" i="1"/>
  <c r="A13355" i="1"/>
  <c r="R13354" i="1"/>
  <c r="J13354" i="1"/>
  <c r="I13354" i="1"/>
  <c r="G13354" i="1"/>
  <c r="F13354" i="1"/>
  <c r="E13354" i="1"/>
  <c r="D13354" i="1"/>
  <c r="C13354" i="1"/>
  <c r="B13354" i="1"/>
  <c r="A13354" i="1"/>
  <c r="S13353" i="1"/>
  <c r="O13353" i="1"/>
  <c r="K13353" i="1"/>
  <c r="J13353" i="1"/>
  <c r="I13353" i="1"/>
  <c r="H13353" i="1"/>
  <c r="G13353" i="1"/>
  <c r="F13353" i="1"/>
  <c r="E13353" i="1"/>
  <c r="D13353" i="1"/>
  <c r="C13353" i="1"/>
  <c r="B13353" i="1"/>
  <c r="A13353" i="1"/>
  <c r="R13352" i="1"/>
  <c r="J13352" i="1"/>
  <c r="I13352" i="1"/>
  <c r="G13352" i="1"/>
  <c r="F13352" i="1"/>
  <c r="E13352" i="1"/>
  <c r="D13352" i="1"/>
  <c r="C13352" i="1"/>
  <c r="B13352" i="1"/>
  <c r="A13352" i="1"/>
  <c r="S13351" i="1"/>
  <c r="O13351" i="1"/>
  <c r="K13351" i="1"/>
  <c r="J13351" i="1"/>
  <c r="I13351" i="1"/>
  <c r="H13351" i="1"/>
  <c r="G13351" i="1"/>
  <c r="F13351" i="1"/>
  <c r="E13351" i="1"/>
  <c r="D13351" i="1"/>
  <c r="C13351" i="1"/>
  <c r="B13351" i="1"/>
  <c r="A13351" i="1"/>
  <c r="R13350" i="1"/>
  <c r="J13350" i="1"/>
  <c r="I13350" i="1"/>
  <c r="G13350" i="1"/>
  <c r="F13350" i="1"/>
  <c r="E13350" i="1"/>
  <c r="D13350" i="1"/>
  <c r="C13350" i="1"/>
  <c r="B13350" i="1"/>
  <c r="A13350" i="1"/>
  <c r="S13349" i="1"/>
  <c r="O13349" i="1"/>
  <c r="K13349" i="1"/>
  <c r="J13349" i="1"/>
  <c r="I13349" i="1"/>
  <c r="H13349" i="1"/>
  <c r="G13349" i="1"/>
  <c r="F13349" i="1"/>
  <c r="E13349" i="1"/>
  <c r="D13349" i="1"/>
  <c r="C13349" i="1"/>
  <c r="B13349" i="1"/>
  <c r="A13349" i="1"/>
  <c r="R13348" i="1"/>
  <c r="J13348" i="1"/>
  <c r="I13348" i="1"/>
  <c r="G13348" i="1"/>
  <c r="F13348" i="1"/>
  <c r="E13348" i="1"/>
  <c r="D13348" i="1"/>
  <c r="C13348" i="1"/>
  <c r="B13348" i="1"/>
  <c r="A13348" i="1"/>
  <c r="S13347" i="1"/>
  <c r="O13347" i="1"/>
  <c r="K13347" i="1"/>
  <c r="J13347" i="1"/>
  <c r="I13347" i="1"/>
  <c r="H13347" i="1"/>
  <c r="G13347" i="1"/>
  <c r="F13347" i="1"/>
  <c r="E13347" i="1"/>
  <c r="D13347" i="1"/>
  <c r="C13347" i="1"/>
  <c r="B13347" i="1"/>
  <c r="A13347" i="1"/>
  <c r="R13346" i="1"/>
  <c r="J13346" i="1"/>
  <c r="I13346" i="1"/>
  <c r="G13346" i="1"/>
  <c r="F13346" i="1"/>
  <c r="E13346" i="1"/>
  <c r="D13346" i="1"/>
  <c r="C13346" i="1"/>
  <c r="B13346" i="1"/>
  <c r="A13346" i="1"/>
  <c r="S13345" i="1"/>
  <c r="O13345" i="1"/>
  <c r="K13345" i="1"/>
  <c r="J13345" i="1"/>
  <c r="I13345" i="1"/>
  <c r="H13345" i="1"/>
  <c r="G13345" i="1"/>
  <c r="F13345" i="1"/>
  <c r="E13345" i="1"/>
  <c r="D13345" i="1"/>
  <c r="C13345" i="1"/>
  <c r="B13345" i="1"/>
  <c r="A13345" i="1"/>
  <c r="R13344" i="1"/>
  <c r="J13344" i="1"/>
  <c r="I13344" i="1"/>
  <c r="G13344" i="1"/>
  <c r="F13344" i="1"/>
  <c r="E13344" i="1"/>
  <c r="D13344" i="1"/>
  <c r="C13344" i="1"/>
  <c r="B13344" i="1"/>
  <c r="A13344" i="1"/>
  <c r="S13343" i="1"/>
  <c r="O13343" i="1"/>
  <c r="K13343" i="1"/>
  <c r="J13343" i="1"/>
  <c r="I13343" i="1"/>
  <c r="H13343" i="1"/>
  <c r="G13343" i="1"/>
  <c r="F13343" i="1"/>
  <c r="E13343" i="1"/>
  <c r="D13343" i="1"/>
  <c r="C13343" i="1"/>
  <c r="B13343" i="1"/>
  <c r="A13343" i="1"/>
  <c r="R13342" i="1"/>
  <c r="J13342" i="1"/>
  <c r="I13342" i="1"/>
  <c r="G13342" i="1"/>
  <c r="F13342" i="1"/>
  <c r="E13342" i="1"/>
  <c r="D13342" i="1"/>
  <c r="C13342" i="1"/>
  <c r="B13342" i="1"/>
  <c r="A13342" i="1"/>
  <c r="S13341" i="1"/>
  <c r="O13341" i="1"/>
  <c r="K13341" i="1"/>
  <c r="J13341" i="1"/>
  <c r="I13341" i="1"/>
  <c r="H13341" i="1"/>
  <c r="G13341" i="1"/>
  <c r="F13341" i="1"/>
  <c r="E13341" i="1"/>
  <c r="D13341" i="1"/>
  <c r="C13341" i="1"/>
  <c r="B13341" i="1"/>
  <c r="A13341" i="1"/>
  <c r="R13340" i="1"/>
  <c r="J13340" i="1"/>
  <c r="I13340" i="1"/>
  <c r="G13340" i="1"/>
  <c r="F13340" i="1"/>
  <c r="E13340" i="1"/>
  <c r="D13340" i="1"/>
  <c r="C13340" i="1"/>
  <c r="B13340" i="1"/>
  <c r="A13340" i="1"/>
  <c r="S13339" i="1"/>
  <c r="O13339" i="1"/>
  <c r="K13339" i="1"/>
  <c r="J13339" i="1"/>
  <c r="I13339" i="1"/>
  <c r="H13339" i="1"/>
  <c r="G13339" i="1"/>
  <c r="F13339" i="1"/>
  <c r="E13339" i="1"/>
  <c r="D13339" i="1"/>
  <c r="C13339" i="1"/>
  <c r="B13339" i="1"/>
  <c r="A13339" i="1"/>
  <c r="R13338" i="1"/>
  <c r="J13338" i="1"/>
  <c r="I13338" i="1"/>
  <c r="G13338" i="1"/>
  <c r="F13338" i="1"/>
  <c r="E13338" i="1"/>
  <c r="D13338" i="1"/>
  <c r="C13338" i="1"/>
  <c r="B13338" i="1"/>
  <c r="A13338" i="1"/>
  <c r="S13337" i="1"/>
  <c r="O13337" i="1"/>
  <c r="K13337" i="1"/>
  <c r="J13337" i="1"/>
  <c r="I13337" i="1"/>
  <c r="H13337" i="1"/>
  <c r="G13337" i="1"/>
  <c r="F13337" i="1"/>
  <c r="E13337" i="1"/>
  <c r="D13337" i="1"/>
  <c r="C13337" i="1"/>
  <c r="B13337" i="1"/>
  <c r="A13337" i="1"/>
  <c r="R13336" i="1"/>
  <c r="J13336" i="1"/>
  <c r="I13336" i="1"/>
  <c r="G13336" i="1"/>
  <c r="F13336" i="1"/>
  <c r="E13336" i="1"/>
  <c r="D13336" i="1"/>
  <c r="C13336" i="1"/>
  <c r="B13336" i="1"/>
  <c r="A13336" i="1"/>
  <c r="S13335" i="1"/>
  <c r="O13335" i="1"/>
  <c r="K13335" i="1"/>
  <c r="J13335" i="1"/>
  <c r="I13335" i="1"/>
  <c r="H13335" i="1"/>
  <c r="G13335" i="1"/>
  <c r="F13335" i="1"/>
  <c r="E13335" i="1"/>
  <c r="D13335" i="1"/>
  <c r="C13335" i="1"/>
  <c r="B13335" i="1"/>
  <c r="A13335" i="1"/>
  <c r="R13334" i="1"/>
  <c r="J13334" i="1"/>
  <c r="I13334" i="1"/>
  <c r="G13334" i="1"/>
  <c r="F13334" i="1"/>
  <c r="E13334" i="1"/>
  <c r="D13334" i="1"/>
  <c r="C13334" i="1"/>
  <c r="B13334" i="1"/>
  <c r="A13334" i="1"/>
  <c r="S13333" i="1"/>
  <c r="O13333" i="1"/>
  <c r="K13333" i="1"/>
  <c r="J13333" i="1"/>
  <c r="I13333" i="1"/>
  <c r="H13333" i="1"/>
  <c r="G13333" i="1"/>
  <c r="F13333" i="1"/>
  <c r="E13333" i="1"/>
  <c r="D13333" i="1"/>
  <c r="C13333" i="1"/>
  <c r="B13333" i="1"/>
  <c r="A13333" i="1"/>
  <c r="R13332" i="1"/>
  <c r="J13332" i="1"/>
  <c r="I13332" i="1"/>
  <c r="G13332" i="1"/>
  <c r="F13332" i="1"/>
  <c r="E13332" i="1"/>
  <c r="D13332" i="1"/>
  <c r="C13332" i="1"/>
  <c r="B13332" i="1"/>
  <c r="A13332" i="1"/>
  <c r="S13331" i="1"/>
  <c r="O13331" i="1"/>
  <c r="K13331" i="1"/>
  <c r="J13331" i="1"/>
  <c r="I13331" i="1"/>
  <c r="H13331" i="1"/>
  <c r="G13331" i="1"/>
  <c r="F13331" i="1"/>
  <c r="E13331" i="1"/>
  <c r="D13331" i="1"/>
  <c r="C13331" i="1"/>
  <c r="B13331" i="1"/>
  <c r="A13331" i="1"/>
  <c r="R13330" i="1"/>
  <c r="J13330" i="1"/>
  <c r="I13330" i="1"/>
  <c r="G13330" i="1"/>
  <c r="F13330" i="1"/>
  <c r="E13330" i="1"/>
  <c r="D13330" i="1"/>
  <c r="C13330" i="1"/>
  <c r="B13330" i="1"/>
  <c r="A13330" i="1"/>
  <c r="S13329" i="1"/>
  <c r="O13329" i="1"/>
  <c r="K13329" i="1"/>
  <c r="J13329" i="1"/>
  <c r="I13329" i="1"/>
  <c r="H13329" i="1"/>
  <c r="G13329" i="1"/>
  <c r="F13329" i="1"/>
  <c r="E13329" i="1"/>
  <c r="D13329" i="1"/>
  <c r="C13329" i="1"/>
  <c r="B13329" i="1"/>
  <c r="A13329" i="1"/>
  <c r="R13328" i="1"/>
  <c r="J13328" i="1"/>
  <c r="I13328" i="1"/>
  <c r="G13328" i="1"/>
  <c r="F13328" i="1"/>
  <c r="E13328" i="1"/>
  <c r="D13328" i="1"/>
  <c r="C13328" i="1"/>
  <c r="B13328" i="1"/>
  <c r="A13328" i="1"/>
  <c r="S13327" i="1"/>
  <c r="O13327" i="1"/>
  <c r="K13327" i="1"/>
  <c r="J13327" i="1"/>
  <c r="I13327" i="1"/>
  <c r="H13327" i="1"/>
  <c r="G13327" i="1"/>
  <c r="F13327" i="1"/>
  <c r="E13327" i="1"/>
  <c r="D13327" i="1"/>
  <c r="C13327" i="1"/>
  <c r="B13327" i="1"/>
  <c r="A13327" i="1"/>
  <c r="R13326" i="1"/>
  <c r="J13326" i="1"/>
  <c r="I13326" i="1"/>
  <c r="G13326" i="1"/>
  <c r="F13326" i="1"/>
  <c r="E13326" i="1"/>
  <c r="D13326" i="1"/>
  <c r="C13326" i="1"/>
  <c r="B13326" i="1"/>
  <c r="A13326" i="1"/>
  <c r="S13325" i="1"/>
  <c r="O13325" i="1"/>
  <c r="K13325" i="1"/>
  <c r="J13325" i="1"/>
  <c r="I13325" i="1"/>
  <c r="H13325" i="1"/>
  <c r="G13325" i="1"/>
  <c r="F13325" i="1"/>
  <c r="E13325" i="1"/>
  <c r="D13325" i="1"/>
  <c r="C13325" i="1"/>
  <c r="B13325" i="1"/>
  <c r="A13325" i="1"/>
  <c r="R13324" i="1"/>
  <c r="J13324" i="1"/>
  <c r="I13324" i="1"/>
  <c r="G13324" i="1"/>
  <c r="F13324" i="1"/>
  <c r="E13324" i="1"/>
  <c r="D13324" i="1"/>
  <c r="C13324" i="1"/>
  <c r="B13324" i="1"/>
  <c r="A13324" i="1"/>
  <c r="S13323" i="1"/>
  <c r="O13323" i="1"/>
  <c r="K13323" i="1"/>
  <c r="J13323" i="1"/>
  <c r="I13323" i="1"/>
  <c r="H13323" i="1"/>
  <c r="G13323" i="1"/>
  <c r="F13323" i="1"/>
  <c r="E13323" i="1"/>
  <c r="D13323" i="1"/>
  <c r="C13323" i="1"/>
  <c r="B13323" i="1"/>
  <c r="A13323" i="1"/>
  <c r="R13322" i="1"/>
  <c r="J13322" i="1"/>
  <c r="I13322" i="1"/>
  <c r="G13322" i="1"/>
  <c r="F13322" i="1"/>
  <c r="E13322" i="1"/>
  <c r="D13322" i="1"/>
  <c r="C13322" i="1"/>
  <c r="B13322" i="1"/>
  <c r="A13322" i="1"/>
  <c r="R13321" i="1"/>
  <c r="J13321" i="1"/>
  <c r="I13321" i="1"/>
  <c r="G13321" i="1"/>
  <c r="F13321" i="1"/>
  <c r="E13321" i="1"/>
  <c r="D13321" i="1"/>
  <c r="C13321" i="1"/>
  <c r="B13321" i="1"/>
  <c r="A13321" i="1"/>
  <c r="R13320" i="1"/>
  <c r="J13320" i="1"/>
  <c r="I13320" i="1"/>
  <c r="G13320" i="1"/>
  <c r="F13320" i="1"/>
  <c r="E13320" i="1"/>
  <c r="D13320" i="1"/>
  <c r="C13320" i="1"/>
  <c r="B13320" i="1"/>
  <c r="A13320" i="1"/>
  <c r="R13319" i="1"/>
  <c r="J13319" i="1"/>
  <c r="I13319" i="1"/>
  <c r="G13319" i="1"/>
  <c r="F13319" i="1"/>
  <c r="E13319" i="1"/>
  <c r="D13319" i="1"/>
  <c r="C13319" i="1"/>
  <c r="B13319" i="1"/>
  <c r="A13319" i="1"/>
  <c r="R13318" i="1"/>
  <c r="J13318" i="1"/>
  <c r="I13318" i="1"/>
  <c r="G13318" i="1"/>
  <c r="F13318" i="1"/>
  <c r="E13318" i="1"/>
  <c r="D13318" i="1"/>
  <c r="C13318" i="1"/>
  <c r="B13318" i="1"/>
  <c r="A13318" i="1"/>
  <c r="S13317" i="1"/>
  <c r="O13317" i="1"/>
  <c r="K13317" i="1"/>
  <c r="J13317" i="1"/>
  <c r="I13317" i="1"/>
  <c r="H13317" i="1"/>
  <c r="G13317" i="1"/>
  <c r="F13317" i="1"/>
  <c r="E13317" i="1"/>
  <c r="D13317" i="1"/>
  <c r="C13317" i="1"/>
  <c r="B13317" i="1"/>
  <c r="A13317" i="1"/>
  <c r="R13316" i="1"/>
  <c r="J13316" i="1"/>
  <c r="I13316" i="1"/>
  <c r="G13316" i="1"/>
  <c r="F13316" i="1"/>
  <c r="E13316" i="1"/>
  <c r="D13316" i="1"/>
  <c r="C13316" i="1"/>
  <c r="B13316" i="1"/>
  <c r="A13316" i="1"/>
  <c r="R13315" i="1"/>
  <c r="J13315" i="1"/>
  <c r="I13315" i="1"/>
  <c r="G13315" i="1"/>
  <c r="F13315" i="1"/>
  <c r="E13315" i="1"/>
  <c r="D13315" i="1"/>
  <c r="C13315" i="1"/>
  <c r="B13315" i="1"/>
  <c r="A13315" i="1"/>
  <c r="R13314" i="1"/>
  <c r="J13314" i="1"/>
  <c r="I13314" i="1"/>
  <c r="G13314" i="1"/>
  <c r="F13314" i="1"/>
  <c r="E13314" i="1"/>
  <c r="D13314" i="1"/>
  <c r="C13314" i="1"/>
  <c r="B13314" i="1"/>
  <c r="A13314" i="1"/>
  <c r="R13313" i="1"/>
  <c r="J13313" i="1"/>
  <c r="I13313" i="1"/>
  <c r="G13313" i="1"/>
  <c r="F13313" i="1"/>
  <c r="E13313" i="1"/>
  <c r="D13313" i="1"/>
  <c r="C13313" i="1"/>
  <c r="B13313" i="1"/>
  <c r="A13313" i="1"/>
  <c r="R13312" i="1"/>
  <c r="J13312" i="1"/>
  <c r="I13312" i="1"/>
  <c r="G13312" i="1"/>
  <c r="F13312" i="1"/>
  <c r="E13312" i="1"/>
  <c r="D13312" i="1"/>
  <c r="C13312" i="1"/>
  <c r="B13312" i="1"/>
  <c r="A13312" i="1"/>
  <c r="S13311" i="1"/>
  <c r="O13311" i="1"/>
  <c r="K13311" i="1"/>
  <c r="J13311" i="1"/>
  <c r="I13311" i="1"/>
  <c r="H13311" i="1"/>
  <c r="G13311" i="1"/>
  <c r="F13311" i="1"/>
  <c r="E13311" i="1"/>
  <c r="D13311" i="1"/>
  <c r="C13311" i="1"/>
  <c r="B13311" i="1"/>
  <c r="A13311" i="1"/>
  <c r="R13310" i="1"/>
  <c r="J13310" i="1"/>
  <c r="I13310" i="1"/>
  <c r="G13310" i="1"/>
  <c r="F13310" i="1"/>
  <c r="E13310" i="1"/>
  <c r="D13310" i="1"/>
  <c r="C13310" i="1"/>
  <c r="B13310" i="1"/>
  <c r="A13310" i="1"/>
  <c r="R13309" i="1"/>
  <c r="J13309" i="1"/>
  <c r="I13309" i="1"/>
  <c r="G13309" i="1"/>
  <c r="F13309" i="1"/>
  <c r="E13309" i="1"/>
  <c r="D13309" i="1"/>
  <c r="C13309" i="1"/>
  <c r="B13309" i="1"/>
  <c r="A13309" i="1"/>
  <c r="R13308" i="1"/>
  <c r="J13308" i="1"/>
  <c r="I13308" i="1"/>
  <c r="G13308" i="1"/>
  <c r="F13308" i="1"/>
  <c r="E13308" i="1"/>
  <c r="D13308" i="1"/>
  <c r="C13308" i="1"/>
  <c r="B13308" i="1"/>
  <c r="A13308" i="1"/>
  <c r="R13307" i="1"/>
  <c r="J13307" i="1"/>
  <c r="I13307" i="1"/>
  <c r="G13307" i="1"/>
  <c r="F13307" i="1"/>
  <c r="E13307" i="1"/>
  <c r="D13307" i="1"/>
  <c r="C13307" i="1"/>
  <c r="B13307" i="1"/>
  <c r="A13307" i="1"/>
  <c r="R13306" i="1"/>
  <c r="J13306" i="1"/>
  <c r="I13306" i="1"/>
  <c r="G13306" i="1"/>
  <c r="F13306" i="1"/>
  <c r="E13306" i="1"/>
  <c r="D13306" i="1"/>
  <c r="C13306" i="1"/>
  <c r="B13306" i="1"/>
  <c r="A13306" i="1"/>
  <c r="S13305" i="1"/>
  <c r="O13305" i="1"/>
  <c r="K13305" i="1"/>
  <c r="J13305" i="1"/>
  <c r="I13305" i="1"/>
  <c r="H13305" i="1"/>
  <c r="G13305" i="1"/>
  <c r="F13305" i="1"/>
  <c r="E13305" i="1"/>
  <c r="D13305" i="1"/>
  <c r="C13305" i="1"/>
  <c r="B13305" i="1"/>
  <c r="A13305" i="1"/>
  <c r="R13304" i="1"/>
  <c r="J13304" i="1"/>
  <c r="I13304" i="1"/>
  <c r="G13304" i="1"/>
  <c r="F13304" i="1"/>
  <c r="E13304" i="1"/>
  <c r="D13304" i="1"/>
  <c r="C13304" i="1"/>
  <c r="B13304" i="1"/>
  <c r="A13304" i="1"/>
  <c r="S13303" i="1"/>
  <c r="O13303" i="1"/>
  <c r="K13303" i="1"/>
  <c r="J13303" i="1"/>
  <c r="I13303" i="1"/>
  <c r="H13303" i="1"/>
  <c r="G13303" i="1"/>
  <c r="F13303" i="1"/>
  <c r="E13303" i="1"/>
  <c r="D13303" i="1"/>
  <c r="C13303" i="1"/>
  <c r="B13303" i="1"/>
  <c r="A13303" i="1"/>
  <c r="R13302" i="1"/>
  <c r="J13302" i="1"/>
  <c r="I13302" i="1"/>
  <c r="G13302" i="1"/>
  <c r="F13302" i="1"/>
  <c r="E13302" i="1"/>
  <c r="D13302" i="1"/>
  <c r="C13302" i="1"/>
  <c r="B13302" i="1"/>
  <c r="A13302" i="1"/>
  <c r="S13301" i="1"/>
  <c r="O13301" i="1"/>
  <c r="K13301" i="1"/>
  <c r="J13301" i="1"/>
  <c r="I13301" i="1"/>
  <c r="H13301" i="1"/>
  <c r="G13301" i="1"/>
  <c r="F13301" i="1"/>
  <c r="E13301" i="1"/>
  <c r="D13301" i="1"/>
  <c r="C13301" i="1"/>
  <c r="B13301" i="1"/>
  <c r="A13301" i="1"/>
  <c r="R13300" i="1"/>
  <c r="J13300" i="1"/>
  <c r="I13300" i="1"/>
  <c r="G13300" i="1"/>
  <c r="F13300" i="1"/>
  <c r="E13300" i="1"/>
  <c r="D13300" i="1"/>
  <c r="C13300" i="1"/>
  <c r="B13300" i="1"/>
  <c r="A13300" i="1"/>
  <c r="S13299" i="1"/>
  <c r="O13299" i="1"/>
  <c r="K13299" i="1"/>
  <c r="J13299" i="1"/>
  <c r="I13299" i="1"/>
  <c r="H13299" i="1"/>
  <c r="G13299" i="1"/>
  <c r="F13299" i="1"/>
  <c r="E13299" i="1"/>
  <c r="D13299" i="1"/>
  <c r="C13299" i="1"/>
  <c r="B13299" i="1"/>
  <c r="A13299" i="1"/>
  <c r="R13298" i="1"/>
  <c r="J13298" i="1"/>
  <c r="I13298" i="1"/>
  <c r="G13298" i="1"/>
  <c r="F13298" i="1"/>
  <c r="E13298" i="1"/>
  <c r="D13298" i="1"/>
  <c r="C13298" i="1"/>
  <c r="B13298" i="1"/>
  <c r="A13298" i="1"/>
  <c r="S13297" i="1"/>
  <c r="O13297" i="1"/>
  <c r="K13297" i="1"/>
  <c r="J13297" i="1"/>
  <c r="I13297" i="1"/>
  <c r="H13297" i="1"/>
  <c r="G13297" i="1"/>
  <c r="F13297" i="1"/>
  <c r="E13297" i="1"/>
  <c r="D13297" i="1"/>
  <c r="C13297" i="1"/>
  <c r="B13297" i="1"/>
  <c r="A13297" i="1"/>
  <c r="R13296" i="1"/>
  <c r="J13296" i="1"/>
  <c r="I13296" i="1"/>
  <c r="G13296" i="1"/>
  <c r="F13296" i="1"/>
  <c r="E13296" i="1"/>
  <c r="D13296" i="1"/>
  <c r="C13296" i="1"/>
  <c r="B13296" i="1"/>
  <c r="A13296" i="1"/>
  <c r="R13295" i="1"/>
  <c r="J13295" i="1"/>
  <c r="I13295" i="1"/>
  <c r="G13295" i="1"/>
  <c r="F13295" i="1"/>
  <c r="E13295" i="1"/>
  <c r="D13295" i="1"/>
  <c r="C13295" i="1"/>
  <c r="B13295" i="1"/>
  <c r="A13295" i="1"/>
  <c r="R13294" i="1"/>
  <c r="J13294" i="1"/>
  <c r="I13294" i="1"/>
  <c r="G13294" i="1"/>
  <c r="F13294" i="1"/>
  <c r="E13294" i="1"/>
  <c r="D13294" i="1"/>
  <c r="C13294" i="1"/>
  <c r="B13294" i="1"/>
  <c r="A13294" i="1"/>
  <c r="S13293" i="1"/>
  <c r="O13293" i="1"/>
  <c r="K13293" i="1"/>
  <c r="J13293" i="1"/>
  <c r="I13293" i="1"/>
  <c r="H13293" i="1"/>
  <c r="G13293" i="1"/>
  <c r="F13293" i="1"/>
  <c r="E13293" i="1"/>
  <c r="D13293" i="1"/>
  <c r="C13293" i="1"/>
  <c r="B13293" i="1"/>
  <c r="A13293" i="1"/>
  <c r="R13292" i="1"/>
  <c r="J13292" i="1"/>
  <c r="I13292" i="1"/>
  <c r="G13292" i="1"/>
  <c r="F13292" i="1"/>
  <c r="E13292" i="1"/>
  <c r="D13292" i="1"/>
  <c r="C13292" i="1"/>
  <c r="B13292" i="1"/>
  <c r="A13292" i="1"/>
  <c r="R13291" i="1"/>
  <c r="J13291" i="1"/>
  <c r="I13291" i="1"/>
  <c r="G13291" i="1"/>
  <c r="F13291" i="1"/>
  <c r="E13291" i="1"/>
  <c r="D13291" i="1"/>
  <c r="C13291" i="1"/>
  <c r="B13291" i="1"/>
  <c r="A13291" i="1"/>
  <c r="R13290" i="1"/>
  <c r="J13290" i="1"/>
  <c r="I13290" i="1"/>
  <c r="G13290" i="1"/>
  <c r="F13290" i="1"/>
  <c r="E13290" i="1"/>
  <c r="D13290" i="1"/>
  <c r="C13290" i="1"/>
  <c r="B13290" i="1"/>
  <c r="A13290" i="1"/>
  <c r="S13289" i="1"/>
  <c r="O13289" i="1"/>
  <c r="K13289" i="1"/>
  <c r="J13289" i="1"/>
  <c r="I13289" i="1"/>
  <c r="H13289" i="1"/>
  <c r="G13289" i="1"/>
  <c r="F13289" i="1"/>
  <c r="E13289" i="1"/>
  <c r="D13289" i="1"/>
  <c r="C13289" i="1"/>
  <c r="B13289" i="1"/>
  <c r="A13289" i="1"/>
  <c r="R13288" i="1"/>
  <c r="J13288" i="1"/>
  <c r="I13288" i="1"/>
  <c r="G13288" i="1"/>
  <c r="F13288" i="1"/>
  <c r="E13288" i="1"/>
  <c r="D13288" i="1"/>
  <c r="C13288" i="1"/>
  <c r="B13288" i="1"/>
  <c r="A13288" i="1"/>
  <c r="R13287" i="1"/>
  <c r="J13287" i="1"/>
  <c r="I13287" i="1"/>
  <c r="G13287" i="1"/>
  <c r="F13287" i="1"/>
  <c r="E13287" i="1"/>
  <c r="D13287" i="1"/>
  <c r="C13287" i="1"/>
  <c r="B13287" i="1"/>
  <c r="A13287" i="1"/>
  <c r="R13286" i="1"/>
  <c r="J13286" i="1"/>
  <c r="I13286" i="1"/>
  <c r="G13286" i="1"/>
  <c r="F13286" i="1"/>
  <c r="E13286" i="1"/>
  <c r="D13286" i="1"/>
  <c r="C13286" i="1"/>
  <c r="B13286" i="1"/>
  <c r="A13286" i="1"/>
  <c r="S13285" i="1"/>
  <c r="O13285" i="1"/>
  <c r="K13285" i="1"/>
  <c r="J13285" i="1"/>
  <c r="I13285" i="1"/>
  <c r="H13285" i="1"/>
  <c r="G13285" i="1"/>
  <c r="F13285" i="1"/>
  <c r="E13285" i="1"/>
  <c r="D13285" i="1"/>
  <c r="C13285" i="1"/>
  <c r="B13285" i="1"/>
  <c r="A13285" i="1"/>
  <c r="R13284" i="1"/>
  <c r="J13284" i="1"/>
  <c r="I13284" i="1"/>
  <c r="G13284" i="1"/>
  <c r="F13284" i="1"/>
  <c r="E13284" i="1"/>
  <c r="D13284" i="1"/>
  <c r="C13284" i="1"/>
  <c r="B13284" i="1"/>
  <c r="A13284" i="1"/>
  <c r="R13283" i="1"/>
  <c r="J13283" i="1"/>
  <c r="I13283" i="1"/>
  <c r="G13283" i="1"/>
  <c r="F13283" i="1"/>
  <c r="E13283" i="1"/>
  <c r="D13283" i="1"/>
  <c r="C13283" i="1"/>
  <c r="B13283" i="1"/>
  <c r="A13283" i="1"/>
  <c r="R13282" i="1"/>
  <c r="J13282" i="1"/>
  <c r="I13282" i="1"/>
  <c r="G13282" i="1"/>
  <c r="F13282" i="1"/>
  <c r="E13282" i="1"/>
  <c r="D13282" i="1"/>
  <c r="C13282" i="1"/>
  <c r="B13282" i="1"/>
  <c r="A13282" i="1"/>
  <c r="R13281" i="1"/>
  <c r="J13281" i="1"/>
  <c r="I13281" i="1"/>
  <c r="G13281" i="1"/>
  <c r="F13281" i="1"/>
  <c r="E13281" i="1"/>
  <c r="D13281" i="1"/>
  <c r="C13281" i="1"/>
  <c r="B13281" i="1"/>
  <c r="A13281" i="1"/>
  <c r="R13280" i="1"/>
  <c r="J13280" i="1"/>
  <c r="I13280" i="1"/>
  <c r="G13280" i="1"/>
  <c r="F13280" i="1"/>
  <c r="E13280" i="1"/>
  <c r="D13280" i="1"/>
  <c r="C13280" i="1"/>
  <c r="B13280" i="1"/>
  <c r="A13280" i="1"/>
  <c r="S13279" i="1"/>
  <c r="O13279" i="1"/>
  <c r="K13279" i="1"/>
  <c r="J13279" i="1"/>
  <c r="I13279" i="1"/>
  <c r="H13279" i="1"/>
  <c r="G13279" i="1"/>
  <c r="F13279" i="1"/>
  <c r="E13279" i="1"/>
  <c r="D13279" i="1"/>
  <c r="C13279" i="1"/>
  <c r="B13279" i="1"/>
  <c r="A13279" i="1"/>
  <c r="R13278" i="1"/>
  <c r="J13278" i="1"/>
  <c r="I13278" i="1"/>
  <c r="G13278" i="1"/>
  <c r="F13278" i="1"/>
  <c r="E13278" i="1"/>
  <c r="D13278" i="1"/>
  <c r="C13278" i="1"/>
  <c r="B13278" i="1"/>
  <c r="A13278" i="1"/>
  <c r="R13277" i="1"/>
  <c r="J13277" i="1"/>
  <c r="I13277" i="1"/>
  <c r="G13277" i="1"/>
  <c r="F13277" i="1"/>
  <c r="E13277" i="1"/>
  <c r="D13277" i="1"/>
  <c r="C13277" i="1"/>
  <c r="B13277" i="1"/>
  <c r="A13277" i="1"/>
  <c r="R13276" i="1"/>
  <c r="J13276" i="1"/>
  <c r="I13276" i="1"/>
  <c r="G13276" i="1"/>
  <c r="F13276" i="1"/>
  <c r="E13276" i="1"/>
  <c r="D13276" i="1"/>
  <c r="C13276" i="1"/>
  <c r="B13276" i="1"/>
  <c r="A13276" i="1"/>
  <c r="R13275" i="1"/>
  <c r="J13275" i="1"/>
  <c r="I13275" i="1"/>
  <c r="G13275" i="1"/>
  <c r="F13275" i="1"/>
  <c r="E13275" i="1"/>
  <c r="D13275" i="1"/>
  <c r="C13275" i="1"/>
  <c r="B13275" i="1"/>
  <c r="A13275" i="1"/>
  <c r="S13274" i="1"/>
  <c r="O13274" i="1"/>
  <c r="K13274" i="1"/>
  <c r="J13274" i="1"/>
  <c r="I13274" i="1"/>
  <c r="H13274" i="1"/>
  <c r="G13274" i="1"/>
  <c r="F13274" i="1"/>
  <c r="E13274" i="1"/>
  <c r="D13274" i="1"/>
  <c r="C13274" i="1"/>
  <c r="B13274" i="1"/>
  <c r="A13274" i="1"/>
  <c r="R13273" i="1"/>
  <c r="J13273" i="1"/>
  <c r="I13273" i="1"/>
  <c r="G13273" i="1"/>
  <c r="F13273" i="1"/>
  <c r="E13273" i="1"/>
  <c r="D13273" i="1"/>
  <c r="C13273" i="1"/>
  <c r="B13273" i="1"/>
  <c r="A13273" i="1"/>
  <c r="R13272" i="1"/>
  <c r="J13272" i="1"/>
  <c r="I13272" i="1"/>
  <c r="G13272" i="1"/>
  <c r="F13272" i="1"/>
  <c r="E13272" i="1"/>
  <c r="D13272" i="1"/>
  <c r="C13272" i="1"/>
  <c r="B13272" i="1"/>
  <c r="A13272" i="1"/>
  <c r="R13271" i="1"/>
  <c r="J13271" i="1"/>
  <c r="I13271" i="1"/>
  <c r="G13271" i="1"/>
  <c r="F13271" i="1"/>
  <c r="E13271" i="1"/>
  <c r="D13271" i="1"/>
  <c r="C13271" i="1"/>
  <c r="B13271" i="1"/>
  <c r="A13271" i="1"/>
  <c r="R13270" i="1"/>
  <c r="J13270" i="1"/>
  <c r="I13270" i="1"/>
  <c r="G13270" i="1"/>
  <c r="F13270" i="1"/>
  <c r="E13270" i="1"/>
  <c r="D13270" i="1"/>
  <c r="C13270" i="1"/>
  <c r="B13270" i="1"/>
  <c r="A13270" i="1"/>
  <c r="R13269" i="1"/>
  <c r="J13269" i="1"/>
  <c r="I13269" i="1"/>
  <c r="G13269" i="1"/>
  <c r="F13269" i="1"/>
  <c r="E13269" i="1"/>
  <c r="D13269" i="1"/>
  <c r="C13269" i="1"/>
  <c r="B13269" i="1"/>
  <c r="A13269" i="1"/>
  <c r="S13268" i="1"/>
  <c r="O13268" i="1"/>
  <c r="K13268" i="1"/>
  <c r="J13268" i="1"/>
  <c r="I13268" i="1"/>
  <c r="H13268" i="1"/>
  <c r="G13268" i="1"/>
  <c r="F13268" i="1"/>
  <c r="E13268" i="1"/>
  <c r="D13268" i="1"/>
  <c r="C13268" i="1"/>
  <c r="B13268" i="1"/>
  <c r="A13268" i="1"/>
  <c r="R13267" i="1"/>
  <c r="J13267" i="1"/>
  <c r="I13267" i="1"/>
  <c r="G13267" i="1"/>
  <c r="F13267" i="1"/>
  <c r="E13267" i="1"/>
  <c r="D13267" i="1"/>
  <c r="C13267" i="1"/>
  <c r="B13267" i="1"/>
  <c r="A13267" i="1"/>
  <c r="R13266" i="1"/>
  <c r="J13266" i="1"/>
  <c r="I13266" i="1"/>
  <c r="G13266" i="1"/>
  <c r="F13266" i="1"/>
  <c r="E13266" i="1"/>
  <c r="D13266" i="1"/>
  <c r="C13266" i="1"/>
  <c r="B13266" i="1"/>
  <c r="A13266" i="1"/>
  <c r="R13265" i="1"/>
  <c r="J13265" i="1"/>
  <c r="I13265" i="1"/>
  <c r="G13265" i="1"/>
  <c r="F13265" i="1"/>
  <c r="E13265" i="1"/>
  <c r="D13265" i="1"/>
  <c r="C13265" i="1"/>
  <c r="B13265" i="1"/>
  <c r="A13265" i="1"/>
  <c r="R13264" i="1"/>
  <c r="J13264" i="1"/>
  <c r="I13264" i="1"/>
  <c r="G13264" i="1"/>
  <c r="F13264" i="1"/>
  <c r="E13264" i="1"/>
  <c r="D13264" i="1"/>
  <c r="C13264" i="1"/>
  <c r="B13264" i="1"/>
  <c r="A13264" i="1"/>
  <c r="R13263" i="1"/>
  <c r="J13263" i="1"/>
  <c r="I13263" i="1"/>
  <c r="G13263" i="1"/>
  <c r="F13263" i="1"/>
  <c r="E13263" i="1"/>
  <c r="D13263" i="1"/>
  <c r="C13263" i="1"/>
  <c r="B13263" i="1"/>
  <c r="A13263" i="1"/>
  <c r="S13262" i="1"/>
  <c r="O13262" i="1"/>
  <c r="K13262" i="1"/>
  <c r="J13262" i="1"/>
  <c r="I13262" i="1"/>
  <c r="H13262" i="1"/>
  <c r="G13262" i="1"/>
  <c r="F13262" i="1"/>
  <c r="E13262" i="1"/>
  <c r="D13262" i="1"/>
  <c r="C13262" i="1"/>
  <c r="B13262" i="1"/>
  <c r="A13262" i="1"/>
  <c r="R13261" i="1"/>
  <c r="J13261" i="1"/>
  <c r="I13261" i="1"/>
  <c r="G13261" i="1"/>
  <c r="F13261" i="1"/>
  <c r="E13261" i="1"/>
  <c r="D13261" i="1"/>
  <c r="C13261" i="1"/>
  <c r="B13261" i="1"/>
  <c r="A13261" i="1"/>
  <c r="R13260" i="1"/>
  <c r="J13260" i="1"/>
  <c r="I13260" i="1"/>
  <c r="G13260" i="1"/>
  <c r="F13260" i="1"/>
  <c r="E13260" i="1"/>
  <c r="D13260" i="1"/>
  <c r="C13260" i="1"/>
  <c r="B13260" i="1"/>
  <c r="A13260" i="1"/>
  <c r="R13259" i="1"/>
  <c r="J13259" i="1"/>
  <c r="I13259" i="1"/>
  <c r="G13259" i="1"/>
  <c r="F13259" i="1"/>
  <c r="E13259" i="1"/>
  <c r="D13259" i="1"/>
  <c r="C13259" i="1"/>
  <c r="B13259" i="1"/>
  <c r="A13259" i="1"/>
  <c r="R13258" i="1"/>
  <c r="J13258" i="1"/>
  <c r="I13258" i="1"/>
  <c r="G13258" i="1"/>
  <c r="F13258" i="1"/>
  <c r="E13258" i="1"/>
  <c r="D13258" i="1"/>
  <c r="C13258" i="1"/>
  <c r="B13258" i="1"/>
  <c r="A13258" i="1"/>
  <c r="R13257" i="1"/>
  <c r="J13257" i="1"/>
  <c r="I13257" i="1"/>
  <c r="G13257" i="1"/>
  <c r="F13257" i="1"/>
  <c r="E13257" i="1"/>
  <c r="D13257" i="1"/>
  <c r="C13257" i="1"/>
  <c r="B13257" i="1"/>
  <c r="A13257" i="1"/>
  <c r="S13256" i="1"/>
  <c r="O13256" i="1"/>
  <c r="K13256" i="1"/>
  <c r="J13256" i="1"/>
  <c r="I13256" i="1"/>
  <c r="H13256" i="1"/>
  <c r="G13256" i="1"/>
  <c r="F13256" i="1"/>
  <c r="E13256" i="1"/>
  <c r="D13256" i="1"/>
  <c r="C13256" i="1"/>
  <c r="B13256" i="1"/>
  <c r="A13256" i="1"/>
  <c r="R13255" i="1"/>
  <c r="J13255" i="1"/>
  <c r="I13255" i="1"/>
  <c r="G13255" i="1"/>
  <c r="F13255" i="1"/>
  <c r="E13255" i="1"/>
  <c r="D13255" i="1"/>
  <c r="C13255" i="1"/>
  <c r="B13255" i="1"/>
  <c r="A13255" i="1"/>
  <c r="R13254" i="1"/>
  <c r="J13254" i="1"/>
  <c r="I13254" i="1"/>
  <c r="G13254" i="1"/>
  <c r="F13254" i="1"/>
  <c r="E13254" i="1"/>
  <c r="D13254" i="1"/>
  <c r="C13254" i="1"/>
  <c r="B13254" i="1"/>
  <c r="A13254" i="1"/>
  <c r="R13253" i="1"/>
  <c r="J13253" i="1"/>
  <c r="I13253" i="1"/>
  <c r="G13253" i="1"/>
  <c r="F13253" i="1"/>
  <c r="E13253" i="1"/>
  <c r="D13253" i="1"/>
  <c r="C13253" i="1"/>
  <c r="B13253" i="1"/>
  <c r="A13253" i="1"/>
  <c r="S13252" i="1"/>
  <c r="O13252" i="1"/>
  <c r="K13252" i="1"/>
  <c r="J13252" i="1"/>
  <c r="I13252" i="1"/>
  <c r="H13252" i="1"/>
  <c r="G13252" i="1"/>
  <c r="F13252" i="1"/>
  <c r="E13252" i="1"/>
  <c r="D13252" i="1"/>
  <c r="C13252" i="1"/>
  <c r="B13252" i="1"/>
  <c r="A13252" i="1"/>
  <c r="R13251" i="1"/>
  <c r="J13251" i="1"/>
  <c r="I13251" i="1"/>
  <c r="G13251" i="1"/>
  <c r="F13251" i="1"/>
  <c r="E13251" i="1"/>
  <c r="D13251" i="1"/>
  <c r="C13251" i="1"/>
  <c r="B13251" i="1"/>
  <c r="A13251" i="1"/>
  <c r="R13250" i="1"/>
  <c r="J13250" i="1"/>
  <c r="I13250" i="1"/>
  <c r="G13250" i="1"/>
  <c r="F13250" i="1"/>
  <c r="E13250" i="1"/>
  <c r="D13250" i="1"/>
  <c r="C13250" i="1"/>
  <c r="B13250" i="1"/>
  <c r="A13250" i="1"/>
  <c r="R13249" i="1"/>
  <c r="J13249" i="1"/>
  <c r="I13249" i="1"/>
  <c r="G13249" i="1"/>
  <c r="F13249" i="1"/>
  <c r="E13249" i="1"/>
  <c r="D13249" i="1"/>
  <c r="C13249" i="1"/>
  <c r="B13249" i="1"/>
  <c r="A13249" i="1"/>
  <c r="S13248" i="1"/>
  <c r="O13248" i="1"/>
  <c r="K13248" i="1"/>
  <c r="J13248" i="1"/>
  <c r="I13248" i="1"/>
  <c r="H13248" i="1"/>
  <c r="G13248" i="1"/>
  <c r="F13248" i="1"/>
  <c r="E13248" i="1"/>
  <c r="D13248" i="1"/>
  <c r="C13248" i="1"/>
  <c r="B13248" i="1"/>
  <c r="A13248" i="1"/>
  <c r="R13247" i="1"/>
  <c r="J13247" i="1"/>
  <c r="I13247" i="1"/>
  <c r="G13247" i="1"/>
  <c r="F13247" i="1"/>
  <c r="E13247" i="1"/>
  <c r="D13247" i="1"/>
  <c r="C13247" i="1"/>
  <c r="B13247" i="1"/>
  <c r="A13247" i="1"/>
  <c r="R13246" i="1"/>
  <c r="J13246" i="1"/>
  <c r="I13246" i="1"/>
  <c r="G13246" i="1"/>
  <c r="F13246" i="1"/>
  <c r="E13246" i="1"/>
  <c r="D13246" i="1"/>
  <c r="C13246" i="1"/>
  <c r="B13246" i="1"/>
  <c r="A13246" i="1"/>
  <c r="R13245" i="1"/>
  <c r="J13245" i="1"/>
  <c r="I13245" i="1"/>
  <c r="G13245" i="1"/>
  <c r="F13245" i="1"/>
  <c r="E13245" i="1"/>
  <c r="D13245" i="1"/>
  <c r="C13245" i="1"/>
  <c r="B13245" i="1"/>
  <c r="A13245" i="1"/>
  <c r="R13244" i="1"/>
  <c r="J13244" i="1"/>
  <c r="I13244" i="1"/>
  <c r="G13244" i="1"/>
  <c r="F13244" i="1"/>
  <c r="E13244" i="1"/>
  <c r="D13244" i="1"/>
  <c r="C13244" i="1"/>
  <c r="B13244" i="1"/>
  <c r="A13244" i="1"/>
  <c r="R13243" i="1"/>
  <c r="J13243" i="1"/>
  <c r="I13243" i="1"/>
  <c r="G13243" i="1"/>
  <c r="F13243" i="1"/>
  <c r="E13243" i="1"/>
  <c r="D13243" i="1"/>
  <c r="C13243" i="1"/>
  <c r="B13243" i="1"/>
  <c r="A13243" i="1"/>
  <c r="R13242" i="1"/>
  <c r="J13242" i="1"/>
  <c r="I13242" i="1"/>
  <c r="G13242" i="1"/>
  <c r="F13242" i="1"/>
  <c r="E13242" i="1"/>
  <c r="D13242" i="1"/>
  <c r="C13242" i="1"/>
  <c r="B13242" i="1"/>
  <c r="A13242" i="1"/>
  <c r="S13241" i="1"/>
  <c r="O13241" i="1"/>
  <c r="K13241" i="1"/>
  <c r="J13241" i="1"/>
  <c r="I13241" i="1"/>
  <c r="H13241" i="1"/>
  <c r="G13241" i="1"/>
  <c r="F13241" i="1"/>
  <c r="E13241" i="1"/>
  <c r="D13241" i="1"/>
  <c r="C13241" i="1"/>
  <c r="B13241" i="1"/>
  <c r="A13241" i="1"/>
  <c r="R13240" i="1"/>
  <c r="J13240" i="1"/>
  <c r="I13240" i="1"/>
  <c r="G13240" i="1"/>
  <c r="F13240" i="1"/>
  <c r="E13240" i="1"/>
  <c r="D13240" i="1"/>
  <c r="C13240" i="1"/>
  <c r="B13240" i="1"/>
  <c r="A13240" i="1"/>
  <c r="R13239" i="1"/>
  <c r="J13239" i="1"/>
  <c r="I13239" i="1"/>
  <c r="G13239" i="1"/>
  <c r="F13239" i="1"/>
  <c r="E13239" i="1"/>
  <c r="D13239" i="1"/>
  <c r="C13239" i="1"/>
  <c r="B13239" i="1"/>
  <c r="A13239" i="1"/>
  <c r="R13238" i="1"/>
  <c r="J13238" i="1"/>
  <c r="I13238" i="1"/>
  <c r="G13238" i="1"/>
  <c r="F13238" i="1"/>
  <c r="E13238" i="1"/>
  <c r="D13238" i="1"/>
  <c r="C13238" i="1"/>
  <c r="B13238" i="1"/>
  <c r="A13238" i="1"/>
  <c r="R13237" i="1"/>
  <c r="J13237" i="1"/>
  <c r="I13237" i="1"/>
  <c r="G13237" i="1"/>
  <c r="F13237" i="1"/>
  <c r="E13237" i="1"/>
  <c r="D13237" i="1"/>
  <c r="C13237" i="1"/>
  <c r="B13237" i="1"/>
  <c r="A13237" i="1"/>
  <c r="R13236" i="1"/>
  <c r="J13236" i="1"/>
  <c r="I13236" i="1"/>
  <c r="G13236" i="1"/>
  <c r="F13236" i="1"/>
  <c r="E13236" i="1"/>
  <c r="D13236" i="1"/>
  <c r="C13236" i="1"/>
  <c r="B13236" i="1"/>
  <c r="A13236" i="1"/>
  <c r="R13235" i="1"/>
  <c r="J13235" i="1"/>
  <c r="I13235" i="1"/>
  <c r="G13235" i="1"/>
  <c r="F13235" i="1"/>
  <c r="E13235" i="1"/>
  <c r="D13235" i="1"/>
  <c r="C13235" i="1"/>
  <c r="B13235" i="1"/>
  <c r="A13235" i="1"/>
  <c r="S13234" i="1"/>
  <c r="O13234" i="1"/>
  <c r="K13234" i="1"/>
  <c r="J13234" i="1"/>
  <c r="I13234" i="1"/>
  <c r="H13234" i="1"/>
  <c r="G13234" i="1"/>
  <c r="F13234" i="1"/>
  <c r="E13234" i="1"/>
  <c r="D13234" i="1"/>
  <c r="C13234" i="1"/>
  <c r="B13234" i="1"/>
  <c r="A13234" i="1"/>
  <c r="R13233" i="1"/>
  <c r="J13233" i="1"/>
  <c r="I13233" i="1"/>
  <c r="G13233" i="1"/>
  <c r="F13233" i="1"/>
  <c r="E13233" i="1"/>
  <c r="D13233" i="1"/>
  <c r="C13233" i="1"/>
  <c r="B13233" i="1"/>
  <c r="A13233" i="1"/>
  <c r="R13232" i="1"/>
  <c r="J13232" i="1"/>
  <c r="I13232" i="1"/>
  <c r="G13232" i="1"/>
  <c r="F13232" i="1"/>
  <c r="E13232" i="1"/>
  <c r="D13232" i="1"/>
  <c r="C13232" i="1"/>
  <c r="B13232" i="1"/>
  <c r="A13232" i="1"/>
  <c r="R13231" i="1"/>
  <c r="J13231" i="1"/>
  <c r="I13231" i="1"/>
  <c r="G13231" i="1"/>
  <c r="F13231" i="1"/>
  <c r="E13231" i="1"/>
  <c r="D13231" i="1"/>
  <c r="C13231" i="1"/>
  <c r="B13231" i="1"/>
  <c r="A13231" i="1"/>
  <c r="R13230" i="1"/>
  <c r="J13230" i="1"/>
  <c r="I13230" i="1"/>
  <c r="G13230" i="1"/>
  <c r="F13230" i="1"/>
  <c r="E13230" i="1"/>
  <c r="D13230" i="1"/>
  <c r="C13230" i="1"/>
  <c r="B13230" i="1"/>
  <c r="A13230" i="1"/>
  <c r="R13229" i="1"/>
  <c r="J13229" i="1"/>
  <c r="I13229" i="1"/>
  <c r="G13229" i="1"/>
  <c r="F13229" i="1"/>
  <c r="E13229" i="1"/>
  <c r="D13229" i="1"/>
  <c r="C13229" i="1"/>
  <c r="B13229" i="1"/>
  <c r="A13229" i="1"/>
  <c r="R13228" i="1"/>
  <c r="J13228" i="1"/>
  <c r="I13228" i="1"/>
  <c r="G13228" i="1"/>
  <c r="F13228" i="1"/>
  <c r="E13228" i="1"/>
  <c r="D13228" i="1"/>
  <c r="C13228" i="1"/>
  <c r="B13228" i="1"/>
  <c r="A13228" i="1"/>
  <c r="S13227" i="1"/>
  <c r="O13227" i="1"/>
  <c r="K13227" i="1"/>
  <c r="J13227" i="1"/>
  <c r="I13227" i="1"/>
  <c r="H13227" i="1"/>
  <c r="G13227" i="1"/>
  <c r="F13227" i="1"/>
  <c r="E13227" i="1"/>
  <c r="D13227" i="1"/>
  <c r="C13227" i="1"/>
  <c r="B13227" i="1"/>
  <c r="A13227" i="1"/>
  <c r="R13226" i="1"/>
  <c r="J13226" i="1"/>
  <c r="I13226" i="1"/>
  <c r="G13226" i="1"/>
  <c r="F13226" i="1"/>
  <c r="E13226" i="1"/>
  <c r="D13226" i="1"/>
  <c r="C13226" i="1"/>
  <c r="B13226" i="1"/>
  <c r="A13226" i="1"/>
  <c r="S13225" i="1"/>
  <c r="O13225" i="1"/>
  <c r="K13225" i="1"/>
  <c r="J13225" i="1"/>
  <c r="I13225" i="1"/>
  <c r="H13225" i="1"/>
  <c r="G13225" i="1"/>
  <c r="F13225" i="1"/>
  <c r="E13225" i="1"/>
  <c r="D13225" i="1"/>
  <c r="C13225" i="1"/>
  <c r="B13225" i="1"/>
  <c r="A13225" i="1"/>
  <c r="R13224" i="1"/>
  <c r="J13224" i="1"/>
  <c r="I13224" i="1"/>
  <c r="G13224" i="1"/>
  <c r="F13224" i="1"/>
  <c r="E13224" i="1"/>
  <c r="D13224" i="1"/>
  <c r="C13224" i="1"/>
  <c r="B13224" i="1"/>
  <c r="A13224" i="1"/>
  <c r="S13223" i="1"/>
  <c r="O13223" i="1"/>
  <c r="K13223" i="1"/>
  <c r="J13223" i="1"/>
  <c r="I13223" i="1"/>
  <c r="H13223" i="1"/>
  <c r="G13223" i="1"/>
  <c r="F13223" i="1"/>
  <c r="E13223" i="1"/>
  <c r="D13223" i="1"/>
  <c r="C13223" i="1"/>
  <c r="B13223" i="1"/>
  <c r="A13223" i="1"/>
  <c r="R13222" i="1"/>
  <c r="J13222" i="1"/>
  <c r="I13222" i="1"/>
  <c r="G13222" i="1"/>
  <c r="F13222" i="1"/>
  <c r="E13222" i="1"/>
  <c r="D13222" i="1"/>
  <c r="C13222" i="1"/>
  <c r="B13222" i="1"/>
  <c r="A13222" i="1"/>
  <c r="R13221" i="1"/>
  <c r="J13221" i="1"/>
  <c r="I13221" i="1"/>
  <c r="G13221" i="1"/>
  <c r="F13221" i="1"/>
  <c r="E13221" i="1"/>
  <c r="D13221" i="1"/>
  <c r="C13221" i="1"/>
  <c r="B13221" i="1"/>
  <c r="A13221" i="1"/>
  <c r="S13220" i="1"/>
  <c r="O13220" i="1"/>
  <c r="K13220" i="1"/>
  <c r="J13220" i="1"/>
  <c r="I13220" i="1"/>
  <c r="H13220" i="1"/>
  <c r="G13220" i="1"/>
  <c r="F13220" i="1"/>
  <c r="E13220" i="1"/>
  <c r="D13220" i="1"/>
  <c r="C13220" i="1"/>
  <c r="B13220" i="1"/>
  <c r="A13220" i="1"/>
  <c r="R13219" i="1"/>
  <c r="J13219" i="1"/>
  <c r="I13219" i="1"/>
  <c r="G13219" i="1"/>
  <c r="F13219" i="1"/>
  <c r="E13219" i="1"/>
  <c r="D13219" i="1"/>
  <c r="C13219" i="1"/>
  <c r="B13219" i="1"/>
  <c r="A13219" i="1"/>
  <c r="R13218" i="1"/>
  <c r="J13218" i="1"/>
  <c r="I13218" i="1"/>
  <c r="G13218" i="1"/>
  <c r="F13218" i="1"/>
  <c r="E13218" i="1"/>
  <c r="D13218" i="1"/>
  <c r="C13218" i="1"/>
  <c r="B13218" i="1"/>
  <c r="A13218" i="1"/>
  <c r="R13217" i="1"/>
  <c r="J13217" i="1"/>
  <c r="I13217" i="1"/>
  <c r="G13217" i="1"/>
  <c r="F13217" i="1"/>
  <c r="E13217" i="1"/>
  <c r="D13217" i="1"/>
  <c r="C13217" i="1"/>
  <c r="B13217" i="1"/>
  <c r="A13217" i="1"/>
  <c r="R13216" i="1"/>
  <c r="J13216" i="1"/>
  <c r="I13216" i="1"/>
  <c r="G13216" i="1"/>
  <c r="F13216" i="1"/>
  <c r="E13216" i="1"/>
  <c r="D13216" i="1"/>
  <c r="C13216" i="1"/>
  <c r="B13216" i="1"/>
  <c r="A13216" i="1"/>
  <c r="R13215" i="1"/>
  <c r="J13215" i="1"/>
  <c r="I13215" i="1"/>
  <c r="G13215" i="1"/>
  <c r="F13215" i="1"/>
  <c r="E13215" i="1"/>
  <c r="D13215" i="1"/>
  <c r="C13215" i="1"/>
  <c r="B13215" i="1"/>
  <c r="A13215" i="1"/>
  <c r="S13214" i="1"/>
  <c r="O13214" i="1"/>
  <c r="K13214" i="1"/>
  <c r="J13214" i="1"/>
  <c r="I13214" i="1"/>
  <c r="H13214" i="1"/>
  <c r="G13214" i="1"/>
  <c r="F13214" i="1"/>
  <c r="E13214" i="1"/>
  <c r="D13214" i="1"/>
  <c r="C13214" i="1"/>
  <c r="B13214" i="1"/>
  <c r="A13214" i="1"/>
  <c r="R13213" i="1"/>
  <c r="J13213" i="1"/>
  <c r="I13213" i="1"/>
  <c r="G13213" i="1"/>
  <c r="F13213" i="1"/>
  <c r="E13213" i="1"/>
  <c r="D13213" i="1"/>
  <c r="C13213" i="1"/>
  <c r="B13213" i="1"/>
  <c r="A13213" i="1"/>
  <c r="R13212" i="1"/>
  <c r="J13212" i="1"/>
  <c r="I13212" i="1"/>
  <c r="G13212" i="1"/>
  <c r="F13212" i="1"/>
  <c r="E13212" i="1"/>
  <c r="D13212" i="1"/>
  <c r="C13212" i="1"/>
  <c r="B13212" i="1"/>
  <c r="A13212" i="1"/>
  <c r="R13211" i="1"/>
  <c r="J13211" i="1"/>
  <c r="I13211" i="1"/>
  <c r="G13211" i="1"/>
  <c r="F13211" i="1"/>
  <c r="E13211" i="1"/>
  <c r="D13211" i="1"/>
  <c r="C13211" i="1"/>
  <c r="B13211" i="1"/>
  <c r="A13211" i="1"/>
  <c r="R13210" i="1"/>
  <c r="J13210" i="1"/>
  <c r="I13210" i="1"/>
  <c r="G13210" i="1"/>
  <c r="F13210" i="1"/>
  <c r="E13210" i="1"/>
  <c r="D13210" i="1"/>
  <c r="C13210" i="1"/>
  <c r="B13210" i="1"/>
  <c r="A13210" i="1"/>
  <c r="R13209" i="1"/>
  <c r="J13209" i="1"/>
  <c r="I13209" i="1"/>
  <c r="G13209" i="1"/>
  <c r="F13209" i="1"/>
  <c r="E13209" i="1"/>
  <c r="D13209" i="1"/>
  <c r="C13209" i="1"/>
  <c r="B13209" i="1"/>
  <c r="A13209" i="1"/>
  <c r="S13208" i="1"/>
  <c r="O13208" i="1"/>
  <c r="K13208" i="1"/>
  <c r="J13208" i="1"/>
  <c r="I13208" i="1"/>
  <c r="H13208" i="1"/>
  <c r="G13208" i="1"/>
  <c r="F13208" i="1"/>
  <c r="E13208" i="1"/>
  <c r="D13208" i="1"/>
  <c r="C13208" i="1"/>
  <c r="B13208" i="1"/>
  <c r="A13208" i="1"/>
  <c r="R13207" i="1"/>
  <c r="J13207" i="1"/>
  <c r="I13207" i="1"/>
  <c r="G13207" i="1"/>
  <c r="F13207" i="1"/>
  <c r="E13207" i="1"/>
  <c r="D13207" i="1"/>
  <c r="C13207" i="1"/>
  <c r="B13207" i="1"/>
  <c r="A13207" i="1"/>
  <c r="S13206" i="1"/>
  <c r="O13206" i="1"/>
  <c r="K13206" i="1"/>
  <c r="J13206" i="1"/>
  <c r="I13206" i="1"/>
  <c r="H13206" i="1"/>
  <c r="G13206" i="1"/>
  <c r="F13206" i="1"/>
  <c r="E13206" i="1"/>
  <c r="D13206" i="1"/>
  <c r="C13206" i="1"/>
  <c r="B13206" i="1"/>
  <c r="A13206" i="1"/>
  <c r="R13205" i="1"/>
  <c r="J13205" i="1"/>
  <c r="I13205" i="1"/>
  <c r="G13205" i="1"/>
  <c r="F13205" i="1"/>
  <c r="E13205" i="1"/>
  <c r="D13205" i="1"/>
  <c r="C13205" i="1"/>
  <c r="B13205" i="1"/>
  <c r="A13205" i="1"/>
  <c r="S13204" i="1"/>
  <c r="O13204" i="1"/>
  <c r="K13204" i="1"/>
  <c r="J13204" i="1"/>
  <c r="I13204" i="1"/>
  <c r="H13204" i="1"/>
  <c r="G13204" i="1"/>
  <c r="F13204" i="1"/>
  <c r="E13204" i="1"/>
  <c r="D13204" i="1"/>
  <c r="C13204" i="1"/>
  <c r="B13204" i="1"/>
  <c r="A13204" i="1"/>
  <c r="R13203" i="1"/>
  <c r="J13203" i="1"/>
  <c r="I13203" i="1"/>
  <c r="G13203" i="1"/>
  <c r="F13203" i="1"/>
  <c r="E13203" i="1"/>
  <c r="D13203" i="1"/>
  <c r="C13203" i="1"/>
  <c r="B13203" i="1"/>
  <c r="A13203" i="1"/>
  <c r="S13202" i="1"/>
  <c r="O13202" i="1"/>
  <c r="K13202" i="1"/>
  <c r="J13202" i="1"/>
  <c r="I13202" i="1"/>
  <c r="H13202" i="1"/>
  <c r="G13202" i="1"/>
  <c r="F13202" i="1"/>
  <c r="E13202" i="1"/>
  <c r="D13202" i="1"/>
  <c r="C13202" i="1"/>
  <c r="B13202" i="1"/>
  <c r="A13202" i="1"/>
  <c r="R13201" i="1"/>
  <c r="J13201" i="1"/>
  <c r="I13201" i="1"/>
  <c r="G13201" i="1"/>
  <c r="F13201" i="1"/>
  <c r="E13201" i="1"/>
  <c r="D13201" i="1"/>
  <c r="C13201" i="1"/>
  <c r="B13201" i="1"/>
  <c r="A13201" i="1"/>
  <c r="S13200" i="1"/>
  <c r="O13200" i="1"/>
  <c r="K13200" i="1"/>
  <c r="J13200" i="1"/>
  <c r="I13200" i="1"/>
  <c r="H13200" i="1"/>
  <c r="G13200" i="1"/>
  <c r="F13200" i="1"/>
  <c r="E13200" i="1"/>
  <c r="D13200" i="1"/>
  <c r="C13200" i="1"/>
  <c r="B13200" i="1"/>
  <c r="A13200" i="1"/>
  <c r="R13199" i="1"/>
  <c r="J13199" i="1"/>
  <c r="I13199" i="1"/>
  <c r="G13199" i="1"/>
  <c r="F13199" i="1"/>
  <c r="E13199" i="1"/>
  <c r="D13199" i="1"/>
  <c r="C13199" i="1"/>
  <c r="B13199" i="1"/>
  <c r="A13199" i="1"/>
  <c r="R13198" i="1"/>
  <c r="J13198" i="1"/>
  <c r="I13198" i="1"/>
  <c r="G13198" i="1"/>
  <c r="F13198" i="1"/>
  <c r="E13198" i="1"/>
  <c r="D13198" i="1"/>
  <c r="C13198" i="1"/>
  <c r="B13198" i="1"/>
  <c r="A13198" i="1"/>
  <c r="R13197" i="1"/>
  <c r="J13197" i="1"/>
  <c r="I13197" i="1"/>
  <c r="G13197" i="1"/>
  <c r="F13197" i="1"/>
  <c r="E13197" i="1"/>
  <c r="D13197" i="1"/>
  <c r="C13197" i="1"/>
  <c r="B13197" i="1"/>
  <c r="A13197" i="1"/>
  <c r="R13196" i="1"/>
  <c r="J13196" i="1"/>
  <c r="I13196" i="1"/>
  <c r="G13196" i="1"/>
  <c r="F13196" i="1"/>
  <c r="E13196" i="1"/>
  <c r="D13196" i="1"/>
  <c r="C13196" i="1"/>
  <c r="B13196" i="1"/>
  <c r="A13196" i="1"/>
  <c r="S13195" i="1"/>
  <c r="O13195" i="1"/>
  <c r="K13195" i="1"/>
  <c r="J13195" i="1"/>
  <c r="I13195" i="1"/>
  <c r="H13195" i="1"/>
  <c r="G13195" i="1"/>
  <c r="F13195" i="1"/>
  <c r="E13195" i="1"/>
  <c r="D13195" i="1"/>
  <c r="C13195" i="1"/>
  <c r="B13195" i="1"/>
  <c r="A13195" i="1"/>
  <c r="R13194" i="1"/>
  <c r="J13194" i="1"/>
  <c r="I13194" i="1"/>
  <c r="G13194" i="1"/>
  <c r="F13194" i="1"/>
  <c r="E13194" i="1"/>
  <c r="D13194" i="1"/>
  <c r="C13194" i="1"/>
  <c r="B13194" i="1"/>
  <c r="A13194" i="1"/>
  <c r="R13193" i="1"/>
  <c r="J13193" i="1"/>
  <c r="I13193" i="1"/>
  <c r="G13193" i="1"/>
  <c r="F13193" i="1"/>
  <c r="E13193" i="1"/>
  <c r="D13193" i="1"/>
  <c r="C13193" i="1"/>
  <c r="B13193" i="1"/>
  <c r="A13193" i="1"/>
  <c r="R13192" i="1"/>
  <c r="J13192" i="1"/>
  <c r="I13192" i="1"/>
  <c r="G13192" i="1"/>
  <c r="F13192" i="1"/>
  <c r="E13192" i="1"/>
  <c r="D13192" i="1"/>
  <c r="C13192" i="1"/>
  <c r="B13192" i="1"/>
  <c r="A13192" i="1"/>
  <c r="R13191" i="1"/>
  <c r="J13191" i="1"/>
  <c r="I13191" i="1"/>
  <c r="G13191" i="1"/>
  <c r="F13191" i="1"/>
  <c r="E13191" i="1"/>
  <c r="D13191" i="1"/>
  <c r="C13191" i="1"/>
  <c r="B13191" i="1"/>
  <c r="A13191" i="1"/>
  <c r="S13190" i="1"/>
  <c r="O13190" i="1"/>
  <c r="K13190" i="1"/>
  <c r="J13190" i="1"/>
  <c r="I13190" i="1"/>
  <c r="H13190" i="1"/>
  <c r="G13190" i="1"/>
  <c r="F13190" i="1"/>
  <c r="E13190" i="1"/>
  <c r="D13190" i="1"/>
  <c r="C13190" i="1"/>
  <c r="B13190" i="1"/>
  <c r="A13190" i="1"/>
  <c r="R13189" i="1"/>
  <c r="J13189" i="1"/>
  <c r="I13189" i="1"/>
  <c r="G13189" i="1"/>
  <c r="F13189" i="1"/>
  <c r="E13189" i="1"/>
  <c r="D13189" i="1"/>
  <c r="C13189" i="1"/>
  <c r="B13189" i="1"/>
  <c r="A13189" i="1"/>
  <c r="S13188" i="1"/>
  <c r="O13188" i="1"/>
  <c r="K13188" i="1"/>
  <c r="J13188" i="1"/>
  <c r="I13188" i="1"/>
  <c r="H13188" i="1"/>
  <c r="G13188" i="1"/>
  <c r="F13188" i="1"/>
  <c r="E13188" i="1"/>
  <c r="D13188" i="1"/>
  <c r="C13188" i="1"/>
  <c r="B13188" i="1"/>
  <c r="A13188" i="1"/>
  <c r="R13187" i="1"/>
  <c r="J13187" i="1"/>
  <c r="I13187" i="1"/>
  <c r="G13187" i="1"/>
  <c r="F13187" i="1"/>
  <c r="E13187" i="1"/>
  <c r="D13187" i="1"/>
  <c r="C13187" i="1"/>
  <c r="B13187" i="1"/>
  <c r="A13187" i="1"/>
  <c r="S13186" i="1"/>
  <c r="O13186" i="1"/>
  <c r="K13186" i="1"/>
  <c r="J13186" i="1"/>
  <c r="I13186" i="1"/>
  <c r="H13186" i="1"/>
  <c r="G13186" i="1"/>
  <c r="F13186" i="1"/>
  <c r="E13186" i="1"/>
  <c r="D13186" i="1"/>
  <c r="C13186" i="1"/>
  <c r="B13186" i="1"/>
  <c r="A13186" i="1"/>
  <c r="R13185" i="1"/>
  <c r="J13185" i="1"/>
  <c r="I13185" i="1"/>
  <c r="G13185" i="1"/>
  <c r="F13185" i="1"/>
  <c r="E13185" i="1"/>
  <c r="D13185" i="1"/>
  <c r="C13185" i="1"/>
  <c r="B13185" i="1"/>
  <c r="A13185" i="1"/>
  <c r="S13184" i="1"/>
  <c r="O13184" i="1"/>
  <c r="K13184" i="1"/>
  <c r="J13184" i="1"/>
  <c r="I13184" i="1"/>
  <c r="H13184" i="1"/>
  <c r="G13184" i="1"/>
  <c r="F13184" i="1"/>
  <c r="E13184" i="1"/>
  <c r="D13184" i="1"/>
  <c r="C13184" i="1"/>
  <c r="B13184" i="1"/>
  <c r="A13184" i="1"/>
  <c r="R13183" i="1"/>
  <c r="J13183" i="1"/>
  <c r="I13183" i="1"/>
  <c r="G13183" i="1"/>
  <c r="F13183" i="1"/>
  <c r="E13183" i="1"/>
  <c r="D13183" i="1"/>
  <c r="C13183" i="1"/>
  <c r="B13183" i="1"/>
  <c r="A13183" i="1"/>
  <c r="R13182" i="1"/>
  <c r="J13182" i="1"/>
  <c r="I13182" i="1"/>
  <c r="G13182" i="1"/>
  <c r="F13182" i="1"/>
  <c r="E13182" i="1"/>
  <c r="D13182" i="1"/>
  <c r="C13182" i="1"/>
  <c r="B13182" i="1"/>
  <c r="A13182" i="1"/>
  <c r="S13181" i="1"/>
  <c r="O13181" i="1"/>
  <c r="K13181" i="1"/>
  <c r="J13181" i="1"/>
  <c r="I13181" i="1"/>
  <c r="H13181" i="1"/>
  <c r="G13181" i="1"/>
  <c r="F13181" i="1"/>
  <c r="E13181" i="1"/>
  <c r="D13181" i="1"/>
  <c r="C13181" i="1"/>
  <c r="B13181" i="1"/>
  <c r="A13181" i="1"/>
  <c r="R13180" i="1"/>
  <c r="J13180" i="1"/>
  <c r="I13180" i="1"/>
  <c r="G13180" i="1"/>
  <c r="F13180" i="1"/>
  <c r="E13180" i="1"/>
  <c r="D13180" i="1"/>
  <c r="C13180" i="1"/>
  <c r="B13180" i="1"/>
  <c r="A13180" i="1"/>
  <c r="R13179" i="1"/>
  <c r="J13179" i="1"/>
  <c r="I13179" i="1"/>
  <c r="G13179" i="1"/>
  <c r="F13179" i="1"/>
  <c r="E13179" i="1"/>
  <c r="D13179" i="1"/>
  <c r="C13179" i="1"/>
  <c r="B13179" i="1"/>
  <c r="A13179" i="1"/>
  <c r="S13178" i="1"/>
  <c r="O13178" i="1"/>
  <c r="K13178" i="1"/>
  <c r="J13178" i="1"/>
  <c r="I13178" i="1"/>
  <c r="H13178" i="1"/>
  <c r="G13178" i="1"/>
  <c r="F13178" i="1"/>
  <c r="E13178" i="1"/>
  <c r="D13178" i="1"/>
  <c r="C13178" i="1"/>
  <c r="B13178" i="1"/>
  <c r="A13178" i="1"/>
  <c r="R13177" i="1"/>
  <c r="J13177" i="1"/>
  <c r="I13177" i="1"/>
  <c r="G13177" i="1"/>
  <c r="F13177" i="1"/>
  <c r="E13177" i="1"/>
  <c r="D13177" i="1"/>
  <c r="C13177" i="1"/>
  <c r="B13177" i="1"/>
  <c r="A13177" i="1"/>
  <c r="R13176" i="1"/>
  <c r="J13176" i="1"/>
  <c r="I13176" i="1"/>
  <c r="G13176" i="1"/>
  <c r="F13176" i="1"/>
  <c r="E13176" i="1"/>
  <c r="D13176" i="1"/>
  <c r="C13176" i="1"/>
  <c r="B13176" i="1"/>
  <c r="A13176" i="1"/>
  <c r="R13175" i="1"/>
  <c r="J13175" i="1"/>
  <c r="I13175" i="1"/>
  <c r="G13175" i="1"/>
  <c r="F13175" i="1"/>
  <c r="E13175" i="1"/>
  <c r="D13175" i="1"/>
  <c r="C13175" i="1"/>
  <c r="B13175" i="1"/>
  <c r="A13175" i="1"/>
  <c r="S13174" i="1"/>
  <c r="O13174" i="1"/>
  <c r="K13174" i="1"/>
  <c r="J13174" i="1"/>
  <c r="I13174" i="1"/>
  <c r="H13174" i="1"/>
  <c r="G13174" i="1"/>
  <c r="F13174" i="1"/>
  <c r="E13174" i="1"/>
  <c r="D13174" i="1"/>
  <c r="C13174" i="1"/>
  <c r="B13174" i="1"/>
  <c r="A13174" i="1"/>
  <c r="R13173" i="1"/>
  <c r="J13173" i="1"/>
  <c r="I13173" i="1"/>
  <c r="G13173" i="1"/>
  <c r="F13173" i="1"/>
  <c r="E13173" i="1"/>
  <c r="D13173" i="1"/>
  <c r="C13173" i="1"/>
  <c r="B13173" i="1"/>
  <c r="A13173" i="1"/>
  <c r="R13172" i="1"/>
  <c r="J13172" i="1"/>
  <c r="I13172" i="1"/>
  <c r="G13172" i="1"/>
  <c r="F13172" i="1"/>
  <c r="E13172" i="1"/>
  <c r="D13172" i="1"/>
  <c r="C13172" i="1"/>
  <c r="B13172" i="1"/>
  <c r="A13172" i="1"/>
  <c r="S13171" i="1"/>
  <c r="O13171" i="1"/>
  <c r="K13171" i="1"/>
  <c r="J13171" i="1"/>
  <c r="I13171" i="1"/>
  <c r="H13171" i="1"/>
  <c r="G13171" i="1"/>
  <c r="F13171" i="1"/>
  <c r="E13171" i="1"/>
  <c r="D13171" i="1"/>
  <c r="C13171" i="1"/>
  <c r="B13171" i="1"/>
  <c r="A13171" i="1"/>
  <c r="R13170" i="1"/>
  <c r="J13170" i="1"/>
  <c r="I13170" i="1"/>
  <c r="G13170" i="1"/>
  <c r="F13170" i="1"/>
  <c r="E13170" i="1"/>
  <c r="D13170" i="1"/>
  <c r="C13170" i="1"/>
  <c r="B13170" i="1"/>
  <c r="A13170" i="1"/>
  <c r="S13169" i="1"/>
  <c r="O13169" i="1"/>
  <c r="K13169" i="1"/>
  <c r="J13169" i="1"/>
  <c r="I13169" i="1"/>
  <c r="H13169" i="1"/>
  <c r="G13169" i="1"/>
  <c r="F13169" i="1"/>
  <c r="E13169" i="1"/>
  <c r="D13169" i="1"/>
  <c r="C13169" i="1"/>
  <c r="B13169" i="1"/>
  <c r="A13169" i="1"/>
  <c r="R13168" i="1"/>
  <c r="J13168" i="1"/>
  <c r="I13168" i="1"/>
  <c r="G13168" i="1"/>
  <c r="F13168" i="1"/>
  <c r="E13168" i="1"/>
  <c r="D13168" i="1"/>
  <c r="C13168" i="1"/>
  <c r="B13168" i="1"/>
  <c r="A13168" i="1"/>
  <c r="S13167" i="1"/>
  <c r="O13167" i="1"/>
  <c r="K13167" i="1"/>
  <c r="J13167" i="1"/>
  <c r="I13167" i="1"/>
  <c r="H13167" i="1"/>
  <c r="G13167" i="1"/>
  <c r="F13167" i="1"/>
  <c r="E13167" i="1"/>
  <c r="D13167" i="1"/>
  <c r="C13167" i="1"/>
  <c r="B13167" i="1"/>
  <c r="A13167" i="1"/>
  <c r="R13166" i="1"/>
  <c r="J13166" i="1"/>
  <c r="I13166" i="1"/>
  <c r="G13166" i="1"/>
  <c r="F13166" i="1"/>
  <c r="E13166" i="1"/>
  <c r="D13166" i="1"/>
  <c r="C13166" i="1"/>
  <c r="B13166" i="1"/>
  <c r="A13166" i="1"/>
  <c r="S13165" i="1"/>
  <c r="O13165" i="1"/>
  <c r="K13165" i="1"/>
  <c r="J13165" i="1"/>
  <c r="I13165" i="1"/>
  <c r="H13165" i="1"/>
  <c r="G13165" i="1"/>
  <c r="F13165" i="1"/>
  <c r="E13165" i="1"/>
  <c r="D13165" i="1"/>
  <c r="C13165" i="1"/>
  <c r="B13165" i="1"/>
  <c r="A13165" i="1"/>
  <c r="R13164" i="1"/>
  <c r="J13164" i="1"/>
  <c r="I13164" i="1"/>
  <c r="G13164" i="1"/>
  <c r="F13164" i="1"/>
  <c r="E13164" i="1"/>
  <c r="D13164" i="1"/>
  <c r="C13164" i="1"/>
  <c r="B13164" i="1"/>
  <c r="A13164" i="1"/>
  <c r="S13163" i="1"/>
  <c r="O13163" i="1"/>
  <c r="K13163" i="1"/>
  <c r="J13163" i="1"/>
  <c r="I13163" i="1"/>
  <c r="H13163" i="1"/>
  <c r="G13163" i="1"/>
  <c r="F13163" i="1"/>
  <c r="E13163" i="1"/>
  <c r="D13163" i="1"/>
  <c r="C13163" i="1"/>
  <c r="B13163" i="1"/>
  <c r="A13163" i="1"/>
  <c r="R13162" i="1"/>
  <c r="J13162" i="1"/>
  <c r="I13162" i="1"/>
  <c r="G13162" i="1"/>
  <c r="F13162" i="1"/>
  <c r="E13162" i="1"/>
  <c r="D13162" i="1"/>
  <c r="C13162" i="1"/>
  <c r="B13162" i="1"/>
  <c r="A13162" i="1"/>
  <c r="S13161" i="1"/>
  <c r="O13161" i="1"/>
  <c r="K13161" i="1"/>
  <c r="J13161" i="1"/>
  <c r="I13161" i="1"/>
  <c r="H13161" i="1"/>
  <c r="G13161" i="1"/>
  <c r="F13161" i="1"/>
  <c r="E13161" i="1"/>
  <c r="D13161" i="1"/>
  <c r="C13161" i="1"/>
  <c r="B13161" i="1"/>
  <c r="A13161" i="1"/>
  <c r="R13160" i="1"/>
  <c r="J13160" i="1"/>
  <c r="I13160" i="1"/>
  <c r="G13160" i="1"/>
  <c r="F13160" i="1"/>
  <c r="E13160" i="1"/>
  <c r="D13160" i="1"/>
  <c r="C13160" i="1"/>
  <c r="B13160" i="1"/>
  <c r="A13160" i="1"/>
  <c r="S13159" i="1"/>
  <c r="O13159" i="1"/>
  <c r="K13159" i="1"/>
  <c r="J13159" i="1"/>
  <c r="I13159" i="1"/>
  <c r="H13159" i="1"/>
  <c r="G13159" i="1"/>
  <c r="F13159" i="1"/>
  <c r="E13159" i="1"/>
  <c r="D13159" i="1"/>
  <c r="C13159" i="1"/>
  <c r="B13159" i="1"/>
  <c r="A13159" i="1"/>
  <c r="R13158" i="1"/>
  <c r="J13158" i="1"/>
  <c r="I13158" i="1"/>
  <c r="G13158" i="1"/>
  <c r="F13158" i="1"/>
  <c r="E13158" i="1"/>
  <c r="D13158" i="1"/>
  <c r="C13158" i="1"/>
  <c r="B13158" i="1"/>
  <c r="A13158" i="1"/>
  <c r="S13157" i="1"/>
  <c r="O13157" i="1"/>
  <c r="K13157" i="1"/>
  <c r="J13157" i="1"/>
  <c r="I13157" i="1"/>
  <c r="H13157" i="1"/>
  <c r="G13157" i="1"/>
  <c r="F13157" i="1"/>
  <c r="E13157" i="1"/>
  <c r="D13157" i="1"/>
  <c r="C13157" i="1"/>
  <c r="B13157" i="1"/>
  <c r="A13157" i="1"/>
  <c r="R13156" i="1"/>
  <c r="J13156" i="1"/>
  <c r="I13156" i="1"/>
  <c r="G13156" i="1"/>
  <c r="F13156" i="1"/>
  <c r="E13156" i="1"/>
  <c r="D13156" i="1"/>
  <c r="C13156" i="1"/>
  <c r="B13156" i="1"/>
  <c r="A13156" i="1"/>
  <c r="S13155" i="1"/>
  <c r="O13155" i="1"/>
  <c r="K13155" i="1"/>
  <c r="J13155" i="1"/>
  <c r="I13155" i="1"/>
  <c r="H13155" i="1"/>
  <c r="G13155" i="1"/>
  <c r="F13155" i="1"/>
  <c r="E13155" i="1"/>
  <c r="D13155" i="1"/>
  <c r="C13155" i="1"/>
  <c r="B13155" i="1"/>
  <c r="A13155" i="1"/>
  <c r="R13154" i="1"/>
  <c r="J13154" i="1"/>
  <c r="I13154" i="1"/>
  <c r="G13154" i="1"/>
  <c r="F13154" i="1"/>
  <c r="E13154" i="1"/>
  <c r="D13154" i="1"/>
  <c r="C13154" i="1"/>
  <c r="B13154" i="1"/>
  <c r="A13154" i="1"/>
  <c r="S13153" i="1"/>
  <c r="O13153" i="1"/>
  <c r="K13153" i="1"/>
  <c r="J13153" i="1"/>
  <c r="I13153" i="1"/>
  <c r="H13153" i="1"/>
  <c r="G13153" i="1"/>
  <c r="F13153" i="1"/>
  <c r="E13153" i="1"/>
  <c r="D13153" i="1"/>
  <c r="C13153" i="1"/>
  <c r="B13153" i="1"/>
  <c r="A13153" i="1"/>
  <c r="R13152" i="1"/>
  <c r="J13152" i="1"/>
  <c r="I13152" i="1"/>
  <c r="G13152" i="1"/>
  <c r="F13152" i="1"/>
  <c r="E13152" i="1"/>
  <c r="D13152" i="1"/>
  <c r="C13152" i="1"/>
  <c r="B13152" i="1"/>
  <c r="A13152" i="1"/>
  <c r="S13151" i="1"/>
  <c r="O13151" i="1"/>
  <c r="K13151" i="1"/>
  <c r="J13151" i="1"/>
  <c r="I13151" i="1"/>
  <c r="H13151" i="1"/>
  <c r="G13151" i="1"/>
  <c r="F13151" i="1"/>
  <c r="E13151" i="1"/>
  <c r="D13151" i="1"/>
  <c r="C13151" i="1"/>
  <c r="B13151" i="1"/>
  <c r="A13151" i="1"/>
  <c r="R13150" i="1"/>
  <c r="J13150" i="1"/>
  <c r="I13150" i="1"/>
  <c r="G13150" i="1"/>
  <c r="F13150" i="1"/>
  <c r="E13150" i="1"/>
  <c r="D13150" i="1"/>
  <c r="C13150" i="1"/>
  <c r="B13150" i="1"/>
  <c r="A13150" i="1"/>
  <c r="S13149" i="1"/>
  <c r="O13149" i="1"/>
  <c r="K13149" i="1"/>
  <c r="J13149" i="1"/>
  <c r="I13149" i="1"/>
  <c r="H13149" i="1"/>
  <c r="G13149" i="1"/>
  <c r="F13149" i="1"/>
  <c r="E13149" i="1"/>
  <c r="D13149" i="1"/>
  <c r="C13149" i="1"/>
  <c r="B13149" i="1"/>
  <c r="A13149" i="1"/>
  <c r="R13148" i="1"/>
  <c r="J13148" i="1"/>
  <c r="I13148" i="1"/>
  <c r="G13148" i="1"/>
  <c r="F13148" i="1"/>
  <c r="E13148" i="1"/>
  <c r="D13148" i="1"/>
  <c r="C13148" i="1"/>
  <c r="B13148" i="1"/>
  <c r="A13148" i="1"/>
  <c r="S13147" i="1"/>
  <c r="O13147" i="1"/>
  <c r="K13147" i="1"/>
  <c r="J13147" i="1"/>
  <c r="I13147" i="1"/>
  <c r="H13147" i="1"/>
  <c r="G13147" i="1"/>
  <c r="F13147" i="1"/>
  <c r="E13147" i="1"/>
  <c r="D13147" i="1"/>
  <c r="C13147" i="1"/>
  <c r="B13147" i="1"/>
  <c r="A13147" i="1"/>
  <c r="R13146" i="1"/>
  <c r="J13146" i="1"/>
  <c r="I13146" i="1"/>
  <c r="G13146" i="1"/>
  <c r="F13146" i="1"/>
  <c r="E13146" i="1"/>
  <c r="D13146" i="1"/>
  <c r="C13146" i="1"/>
  <c r="B13146" i="1"/>
  <c r="A13146" i="1"/>
  <c r="S13145" i="1"/>
  <c r="O13145" i="1"/>
  <c r="K13145" i="1"/>
  <c r="J13145" i="1"/>
  <c r="I13145" i="1"/>
  <c r="H13145" i="1"/>
  <c r="G13145" i="1"/>
  <c r="F13145" i="1"/>
  <c r="E13145" i="1"/>
  <c r="D13145" i="1"/>
  <c r="C13145" i="1"/>
  <c r="B13145" i="1"/>
  <c r="A13145" i="1"/>
  <c r="R13144" i="1"/>
  <c r="J13144" i="1"/>
  <c r="I13144" i="1"/>
  <c r="G13144" i="1"/>
  <c r="F13144" i="1"/>
  <c r="E13144" i="1"/>
  <c r="D13144" i="1"/>
  <c r="C13144" i="1"/>
  <c r="B13144" i="1"/>
  <c r="A13144" i="1"/>
  <c r="S13143" i="1"/>
  <c r="O13143" i="1"/>
  <c r="K13143" i="1"/>
  <c r="J13143" i="1"/>
  <c r="I13143" i="1"/>
  <c r="H13143" i="1"/>
  <c r="G13143" i="1"/>
  <c r="F13143" i="1"/>
  <c r="E13143" i="1"/>
  <c r="D13143" i="1"/>
  <c r="C13143" i="1"/>
  <c r="B13143" i="1"/>
  <c r="A13143" i="1"/>
  <c r="R13142" i="1"/>
  <c r="J13142" i="1"/>
  <c r="I13142" i="1"/>
  <c r="G13142" i="1"/>
  <c r="F13142" i="1"/>
  <c r="E13142" i="1"/>
  <c r="D13142" i="1"/>
  <c r="C13142" i="1"/>
  <c r="B13142" i="1"/>
  <c r="A13142" i="1"/>
  <c r="S13141" i="1"/>
  <c r="O13141" i="1"/>
  <c r="K13141" i="1"/>
  <c r="J13141" i="1"/>
  <c r="I13141" i="1"/>
  <c r="H13141" i="1"/>
  <c r="G13141" i="1"/>
  <c r="F13141" i="1"/>
  <c r="E13141" i="1"/>
  <c r="D13141" i="1"/>
  <c r="C13141" i="1"/>
  <c r="B13141" i="1"/>
  <c r="A13141" i="1"/>
  <c r="R13140" i="1"/>
  <c r="J13140" i="1"/>
  <c r="I13140" i="1"/>
  <c r="G13140" i="1"/>
  <c r="F13140" i="1"/>
  <c r="E13140" i="1"/>
  <c r="D13140" i="1"/>
  <c r="C13140" i="1"/>
  <c r="B13140" i="1"/>
  <c r="A13140" i="1"/>
  <c r="R13139" i="1"/>
  <c r="J13139" i="1"/>
  <c r="I13139" i="1"/>
  <c r="G13139" i="1"/>
  <c r="F13139" i="1"/>
  <c r="E13139" i="1"/>
  <c r="D13139" i="1"/>
  <c r="C13139" i="1"/>
  <c r="B13139" i="1"/>
  <c r="A13139" i="1"/>
  <c r="S13138" i="1"/>
  <c r="O13138" i="1"/>
  <c r="K13138" i="1"/>
  <c r="J13138" i="1"/>
  <c r="I13138" i="1"/>
  <c r="H13138" i="1"/>
  <c r="G13138" i="1"/>
  <c r="F13138" i="1"/>
  <c r="E13138" i="1"/>
  <c r="D13138" i="1"/>
  <c r="C13138" i="1"/>
  <c r="B13138" i="1"/>
  <c r="A13138" i="1"/>
  <c r="R13137" i="1"/>
  <c r="J13137" i="1"/>
  <c r="I13137" i="1"/>
  <c r="G13137" i="1"/>
  <c r="F13137" i="1"/>
  <c r="E13137" i="1"/>
  <c r="D13137" i="1"/>
  <c r="C13137" i="1"/>
  <c r="B13137" i="1"/>
  <c r="A13137" i="1"/>
  <c r="R13136" i="1"/>
  <c r="J13136" i="1"/>
  <c r="I13136" i="1"/>
  <c r="G13136" i="1"/>
  <c r="F13136" i="1"/>
  <c r="E13136" i="1"/>
  <c r="D13136" i="1"/>
  <c r="C13136" i="1"/>
  <c r="B13136" i="1"/>
  <c r="A13136" i="1"/>
  <c r="S13135" i="1"/>
  <c r="O13135" i="1"/>
  <c r="K13135" i="1"/>
  <c r="J13135" i="1"/>
  <c r="I13135" i="1"/>
  <c r="H13135" i="1"/>
  <c r="G13135" i="1"/>
  <c r="F13135" i="1"/>
  <c r="E13135" i="1"/>
  <c r="D13135" i="1"/>
  <c r="C13135" i="1"/>
  <c r="B13135" i="1"/>
  <c r="A13135" i="1"/>
  <c r="R13134" i="1"/>
  <c r="J13134" i="1"/>
  <c r="I13134" i="1"/>
  <c r="G13134" i="1"/>
  <c r="F13134" i="1"/>
  <c r="E13134" i="1"/>
  <c r="D13134" i="1"/>
  <c r="C13134" i="1"/>
  <c r="B13134" i="1"/>
  <c r="A13134" i="1"/>
  <c r="S13133" i="1"/>
  <c r="O13133" i="1"/>
  <c r="K13133" i="1"/>
  <c r="J13133" i="1"/>
  <c r="I13133" i="1"/>
  <c r="H13133" i="1"/>
  <c r="G13133" i="1"/>
  <c r="F13133" i="1"/>
  <c r="E13133" i="1"/>
  <c r="D13133" i="1"/>
  <c r="C13133" i="1"/>
  <c r="B13133" i="1"/>
  <c r="A13133" i="1"/>
  <c r="R13132" i="1"/>
  <c r="J13132" i="1"/>
  <c r="I13132" i="1"/>
  <c r="G13132" i="1"/>
  <c r="F13132" i="1"/>
  <c r="E13132" i="1"/>
  <c r="D13132" i="1"/>
  <c r="C13132" i="1"/>
  <c r="B13132" i="1"/>
  <c r="A13132" i="1"/>
  <c r="S13131" i="1"/>
  <c r="O13131" i="1"/>
  <c r="K13131" i="1"/>
  <c r="J13131" i="1"/>
  <c r="I13131" i="1"/>
  <c r="H13131" i="1"/>
  <c r="G13131" i="1"/>
  <c r="F13131" i="1"/>
  <c r="E13131" i="1"/>
  <c r="D13131" i="1"/>
  <c r="C13131" i="1"/>
  <c r="B13131" i="1"/>
  <c r="A13131" i="1"/>
  <c r="R13130" i="1"/>
  <c r="J13130" i="1"/>
  <c r="I13130" i="1"/>
  <c r="G13130" i="1"/>
  <c r="F13130" i="1"/>
  <c r="E13130" i="1"/>
  <c r="D13130" i="1"/>
  <c r="C13130" i="1"/>
  <c r="B13130" i="1"/>
  <c r="A13130" i="1"/>
  <c r="S13129" i="1"/>
  <c r="O13129" i="1"/>
  <c r="K13129" i="1"/>
  <c r="J13129" i="1"/>
  <c r="I13129" i="1"/>
  <c r="H13129" i="1"/>
  <c r="G13129" i="1"/>
  <c r="F13129" i="1"/>
  <c r="E13129" i="1"/>
  <c r="D13129" i="1"/>
  <c r="C13129" i="1"/>
  <c r="B13129" i="1"/>
  <c r="A13129" i="1"/>
  <c r="R13128" i="1"/>
  <c r="J13128" i="1"/>
  <c r="I13128" i="1"/>
  <c r="G13128" i="1"/>
  <c r="F13128" i="1"/>
  <c r="E13128" i="1"/>
  <c r="D13128" i="1"/>
  <c r="C13128" i="1"/>
  <c r="B13128" i="1"/>
  <c r="A13128" i="1"/>
  <c r="S13127" i="1"/>
  <c r="O13127" i="1"/>
  <c r="K13127" i="1"/>
  <c r="J13127" i="1"/>
  <c r="I13127" i="1"/>
  <c r="H13127" i="1"/>
  <c r="G13127" i="1"/>
  <c r="F13127" i="1"/>
  <c r="E13127" i="1"/>
  <c r="D13127" i="1"/>
  <c r="C13127" i="1"/>
  <c r="B13127" i="1"/>
  <c r="A13127" i="1"/>
  <c r="R13126" i="1"/>
  <c r="J13126" i="1"/>
  <c r="I13126" i="1"/>
  <c r="G13126" i="1"/>
  <c r="F13126" i="1"/>
  <c r="E13126" i="1"/>
  <c r="D13126" i="1"/>
  <c r="C13126" i="1"/>
  <c r="B13126" i="1"/>
  <c r="A13126" i="1"/>
  <c r="S13125" i="1"/>
  <c r="O13125" i="1"/>
  <c r="K13125" i="1"/>
  <c r="J13125" i="1"/>
  <c r="I13125" i="1"/>
  <c r="H13125" i="1"/>
  <c r="G13125" i="1"/>
  <c r="F13125" i="1"/>
  <c r="E13125" i="1"/>
  <c r="D13125" i="1"/>
  <c r="C13125" i="1"/>
  <c r="B13125" i="1"/>
  <c r="A13125" i="1"/>
  <c r="R13124" i="1"/>
  <c r="J13124" i="1"/>
  <c r="I13124" i="1"/>
  <c r="G13124" i="1"/>
  <c r="F13124" i="1"/>
  <c r="E13124" i="1"/>
  <c r="D13124" i="1"/>
  <c r="C13124" i="1"/>
  <c r="B13124" i="1"/>
  <c r="A13124" i="1"/>
  <c r="S13123" i="1"/>
  <c r="O13123" i="1"/>
  <c r="K13123" i="1"/>
  <c r="J13123" i="1"/>
  <c r="I13123" i="1"/>
  <c r="H13123" i="1"/>
  <c r="G13123" i="1"/>
  <c r="F13123" i="1"/>
  <c r="E13123" i="1"/>
  <c r="D13123" i="1"/>
  <c r="C13123" i="1"/>
  <c r="B13123" i="1"/>
  <c r="A13123" i="1"/>
  <c r="R13122" i="1"/>
  <c r="J13122" i="1"/>
  <c r="I13122" i="1"/>
  <c r="G13122" i="1"/>
  <c r="F13122" i="1"/>
  <c r="E13122" i="1"/>
  <c r="D13122" i="1"/>
  <c r="C13122" i="1"/>
  <c r="B13122" i="1"/>
  <c r="A13122" i="1"/>
  <c r="S13121" i="1"/>
  <c r="O13121" i="1"/>
  <c r="K13121" i="1"/>
  <c r="J13121" i="1"/>
  <c r="I13121" i="1"/>
  <c r="H13121" i="1"/>
  <c r="G13121" i="1"/>
  <c r="F13121" i="1"/>
  <c r="E13121" i="1"/>
  <c r="D13121" i="1"/>
  <c r="C13121" i="1"/>
  <c r="B13121" i="1"/>
  <c r="A13121" i="1"/>
  <c r="R13120" i="1"/>
  <c r="J13120" i="1"/>
  <c r="I13120" i="1"/>
  <c r="G13120" i="1"/>
  <c r="F13120" i="1"/>
  <c r="E13120" i="1"/>
  <c r="D13120" i="1"/>
  <c r="C13120" i="1"/>
  <c r="B13120" i="1"/>
  <c r="A13120" i="1"/>
  <c r="S13119" i="1"/>
  <c r="O13119" i="1"/>
  <c r="K13119" i="1"/>
  <c r="J13119" i="1"/>
  <c r="I13119" i="1"/>
  <c r="H13119" i="1"/>
  <c r="G13119" i="1"/>
  <c r="F13119" i="1"/>
  <c r="E13119" i="1"/>
  <c r="D13119" i="1"/>
  <c r="C13119" i="1"/>
  <c r="B13119" i="1"/>
  <c r="A13119" i="1"/>
  <c r="R13118" i="1"/>
  <c r="J13118" i="1"/>
  <c r="I13118" i="1"/>
  <c r="G13118" i="1"/>
  <c r="F13118" i="1"/>
  <c r="E13118" i="1"/>
  <c r="D13118" i="1"/>
  <c r="C13118" i="1"/>
  <c r="B13118" i="1"/>
  <c r="A13118" i="1"/>
  <c r="S13117" i="1"/>
  <c r="O13117" i="1"/>
  <c r="K13117" i="1"/>
  <c r="J13117" i="1"/>
  <c r="I13117" i="1"/>
  <c r="H13117" i="1"/>
  <c r="G13117" i="1"/>
  <c r="F13117" i="1"/>
  <c r="E13117" i="1"/>
  <c r="D13117" i="1"/>
  <c r="C13117" i="1"/>
  <c r="B13117" i="1"/>
  <c r="A13117" i="1"/>
  <c r="R13116" i="1"/>
  <c r="J13116" i="1"/>
  <c r="I13116" i="1"/>
  <c r="G13116" i="1"/>
  <c r="F13116" i="1"/>
  <c r="E13116" i="1"/>
  <c r="D13116" i="1"/>
  <c r="C13116" i="1"/>
  <c r="B13116" i="1"/>
  <c r="A13116" i="1"/>
  <c r="S13115" i="1"/>
  <c r="O13115" i="1"/>
  <c r="K13115" i="1"/>
  <c r="J13115" i="1"/>
  <c r="I13115" i="1"/>
  <c r="H13115" i="1"/>
  <c r="G13115" i="1"/>
  <c r="F13115" i="1"/>
  <c r="E13115" i="1"/>
  <c r="D13115" i="1"/>
  <c r="C13115" i="1"/>
  <c r="B13115" i="1"/>
  <c r="A13115" i="1"/>
  <c r="R13114" i="1"/>
  <c r="J13114" i="1"/>
  <c r="I13114" i="1"/>
  <c r="G13114" i="1"/>
  <c r="F13114" i="1"/>
  <c r="E13114" i="1"/>
  <c r="D13114" i="1"/>
  <c r="C13114" i="1"/>
  <c r="B13114" i="1"/>
  <c r="A13114" i="1"/>
  <c r="S13113" i="1"/>
  <c r="O13113" i="1"/>
  <c r="K13113" i="1"/>
  <c r="J13113" i="1"/>
  <c r="I13113" i="1"/>
  <c r="H13113" i="1"/>
  <c r="G13113" i="1"/>
  <c r="F13113" i="1"/>
  <c r="E13113" i="1"/>
  <c r="D13113" i="1"/>
  <c r="C13113" i="1"/>
  <c r="B13113" i="1"/>
  <c r="A13113" i="1"/>
  <c r="R13112" i="1"/>
  <c r="J13112" i="1"/>
  <c r="I13112" i="1"/>
  <c r="G13112" i="1"/>
  <c r="F13112" i="1"/>
  <c r="E13112" i="1"/>
  <c r="D13112" i="1"/>
  <c r="C13112" i="1"/>
  <c r="B13112" i="1"/>
  <c r="A13112" i="1"/>
  <c r="S13111" i="1"/>
  <c r="O13111" i="1"/>
  <c r="K13111" i="1"/>
  <c r="J13111" i="1"/>
  <c r="I13111" i="1"/>
  <c r="H13111" i="1"/>
  <c r="G13111" i="1"/>
  <c r="F13111" i="1"/>
  <c r="E13111" i="1"/>
  <c r="D13111" i="1"/>
  <c r="C13111" i="1"/>
  <c r="B13111" i="1"/>
  <c r="A13111" i="1"/>
  <c r="R13110" i="1"/>
  <c r="J13110" i="1"/>
  <c r="I13110" i="1"/>
  <c r="G13110" i="1"/>
  <c r="F13110" i="1"/>
  <c r="E13110" i="1"/>
  <c r="D13110" i="1"/>
  <c r="C13110" i="1"/>
  <c r="B13110" i="1"/>
  <c r="A13110" i="1"/>
  <c r="S13109" i="1"/>
  <c r="O13109" i="1"/>
  <c r="K13109" i="1"/>
  <c r="J13109" i="1"/>
  <c r="I13109" i="1"/>
  <c r="H13109" i="1"/>
  <c r="G13109" i="1"/>
  <c r="F13109" i="1"/>
  <c r="E13109" i="1"/>
  <c r="D13109" i="1"/>
  <c r="C13109" i="1"/>
  <c r="B13109" i="1"/>
  <c r="A13109" i="1"/>
  <c r="R13108" i="1"/>
  <c r="J13108" i="1"/>
  <c r="I13108" i="1"/>
  <c r="G13108" i="1"/>
  <c r="F13108" i="1"/>
  <c r="E13108" i="1"/>
  <c r="D13108" i="1"/>
  <c r="C13108" i="1"/>
  <c r="B13108" i="1"/>
  <c r="A13108" i="1"/>
  <c r="S13107" i="1"/>
  <c r="O13107" i="1"/>
  <c r="K13107" i="1"/>
  <c r="J13107" i="1"/>
  <c r="I13107" i="1"/>
  <c r="H13107" i="1"/>
  <c r="G13107" i="1"/>
  <c r="F13107" i="1"/>
  <c r="E13107" i="1"/>
  <c r="D13107" i="1"/>
  <c r="C13107" i="1"/>
  <c r="B13107" i="1"/>
  <c r="A13107" i="1"/>
  <c r="R13106" i="1"/>
  <c r="J13106" i="1"/>
  <c r="I13106" i="1"/>
  <c r="G13106" i="1"/>
  <c r="F13106" i="1"/>
  <c r="E13106" i="1"/>
  <c r="D13106" i="1"/>
  <c r="C13106" i="1"/>
  <c r="B13106" i="1"/>
  <c r="A13106" i="1"/>
  <c r="S13105" i="1"/>
  <c r="O13105" i="1"/>
  <c r="K13105" i="1"/>
  <c r="J13105" i="1"/>
  <c r="I13105" i="1"/>
  <c r="H13105" i="1"/>
  <c r="G13105" i="1"/>
  <c r="F13105" i="1"/>
  <c r="E13105" i="1"/>
  <c r="D13105" i="1"/>
  <c r="C13105" i="1"/>
  <c r="B13105" i="1"/>
  <c r="A13105" i="1"/>
  <c r="R13104" i="1"/>
  <c r="J13104" i="1"/>
  <c r="I13104" i="1"/>
  <c r="G13104" i="1"/>
  <c r="F13104" i="1"/>
  <c r="E13104" i="1"/>
  <c r="D13104" i="1"/>
  <c r="C13104" i="1"/>
  <c r="B13104" i="1"/>
  <c r="A13104" i="1"/>
  <c r="S13103" i="1"/>
  <c r="O13103" i="1"/>
  <c r="K13103" i="1"/>
  <c r="J13103" i="1"/>
  <c r="I13103" i="1"/>
  <c r="H13103" i="1"/>
  <c r="G13103" i="1"/>
  <c r="F13103" i="1"/>
  <c r="E13103" i="1"/>
  <c r="D13103" i="1"/>
  <c r="C13103" i="1"/>
  <c r="B13103" i="1"/>
  <c r="A13103" i="1"/>
  <c r="R13102" i="1"/>
  <c r="J13102" i="1"/>
  <c r="I13102" i="1"/>
  <c r="G13102" i="1"/>
  <c r="F13102" i="1"/>
  <c r="E13102" i="1"/>
  <c r="D13102" i="1"/>
  <c r="C13102" i="1"/>
  <c r="B13102" i="1"/>
  <c r="A13102" i="1"/>
  <c r="S13101" i="1"/>
  <c r="O13101" i="1"/>
  <c r="K13101" i="1"/>
  <c r="J13101" i="1"/>
  <c r="I13101" i="1"/>
  <c r="H13101" i="1"/>
  <c r="G13101" i="1"/>
  <c r="F13101" i="1"/>
  <c r="E13101" i="1"/>
  <c r="D13101" i="1"/>
  <c r="C13101" i="1"/>
  <c r="B13101" i="1"/>
  <c r="A13101" i="1"/>
  <c r="R13100" i="1"/>
  <c r="J13100" i="1"/>
  <c r="I13100" i="1"/>
  <c r="G13100" i="1"/>
  <c r="F13100" i="1"/>
  <c r="E13100" i="1"/>
  <c r="D13100" i="1"/>
  <c r="C13100" i="1"/>
  <c r="B13100" i="1"/>
  <c r="A13100" i="1"/>
  <c r="S13099" i="1"/>
  <c r="O13099" i="1"/>
  <c r="K13099" i="1"/>
  <c r="J13099" i="1"/>
  <c r="I13099" i="1"/>
  <c r="H13099" i="1"/>
  <c r="G13099" i="1"/>
  <c r="F13099" i="1"/>
  <c r="E13099" i="1"/>
  <c r="D13099" i="1"/>
  <c r="C13099" i="1"/>
  <c r="B13099" i="1"/>
  <c r="A13099" i="1"/>
  <c r="R13098" i="1"/>
  <c r="J13098" i="1"/>
  <c r="I13098" i="1"/>
  <c r="G13098" i="1"/>
  <c r="F13098" i="1"/>
  <c r="E13098" i="1"/>
  <c r="D13098" i="1"/>
  <c r="C13098" i="1"/>
  <c r="B13098" i="1"/>
  <c r="A13098" i="1"/>
  <c r="R13097" i="1"/>
  <c r="J13097" i="1"/>
  <c r="I13097" i="1"/>
  <c r="G13097" i="1"/>
  <c r="F13097" i="1"/>
  <c r="E13097" i="1"/>
  <c r="D13097" i="1"/>
  <c r="C13097" i="1"/>
  <c r="B13097" i="1"/>
  <c r="A13097" i="1"/>
  <c r="S13096" i="1"/>
  <c r="O13096" i="1"/>
  <c r="K13096" i="1"/>
  <c r="J13096" i="1"/>
  <c r="I13096" i="1"/>
  <c r="H13096" i="1"/>
  <c r="G13096" i="1"/>
  <c r="F13096" i="1"/>
  <c r="E13096" i="1"/>
  <c r="D13096" i="1"/>
  <c r="C13096" i="1"/>
  <c r="B13096" i="1"/>
  <c r="A13096" i="1"/>
  <c r="R13095" i="1"/>
  <c r="J13095" i="1"/>
  <c r="I13095" i="1"/>
  <c r="G13095" i="1"/>
  <c r="F13095" i="1"/>
  <c r="E13095" i="1"/>
  <c r="D13095" i="1"/>
  <c r="C13095" i="1"/>
  <c r="B13095" i="1"/>
  <c r="A13095" i="1"/>
  <c r="R13094" i="1"/>
  <c r="J13094" i="1"/>
  <c r="I13094" i="1"/>
  <c r="G13094" i="1"/>
  <c r="F13094" i="1"/>
  <c r="E13094" i="1"/>
  <c r="D13094" i="1"/>
  <c r="C13094" i="1"/>
  <c r="B13094" i="1"/>
  <c r="A13094" i="1"/>
  <c r="S13093" i="1"/>
  <c r="O13093" i="1"/>
  <c r="K13093" i="1"/>
  <c r="J13093" i="1"/>
  <c r="I13093" i="1"/>
  <c r="H13093" i="1"/>
  <c r="G13093" i="1"/>
  <c r="F13093" i="1"/>
  <c r="E13093" i="1"/>
  <c r="D13093" i="1"/>
  <c r="C13093" i="1"/>
  <c r="B13093" i="1"/>
  <c r="A13093" i="1"/>
  <c r="R13092" i="1"/>
  <c r="J13092" i="1"/>
  <c r="I13092" i="1"/>
  <c r="G13092" i="1"/>
  <c r="F13092" i="1"/>
  <c r="E13092" i="1"/>
  <c r="D13092" i="1"/>
  <c r="C13092" i="1"/>
  <c r="B13092" i="1"/>
  <c r="A13092" i="1"/>
  <c r="R13091" i="1"/>
  <c r="J13091" i="1"/>
  <c r="I13091" i="1"/>
  <c r="G13091" i="1"/>
  <c r="F13091" i="1"/>
  <c r="E13091" i="1"/>
  <c r="D13091" i="1"/>
  <c r="C13091" i="1"/>
  <c r="B13091" i="1"/>
  <c r="A13091" i="1"/>
  <c r="S13090" i="1"/>
  <c r="O13090" i="1"/>
  <c r="K13090" i="1"/>
  <c r="J13090" i="1"/>
  <c r="I13090" i="1"/>
  <c r="H13090" i="1"/>
  <c r="G13090" i="1"/>
  <c r="F13090" i="1"/>
  <c r="E13090" i="1"/>
  <c r="D13090" i="1"/>
  <c r="C13090" i="1"/>
  <c r="B13090" i="1"/>
  <c r="A13090" i="1"/>
  <c r="R13089" i="1"/>
  <c r="J13089" i="1"/>
  <c r="I13089" i="1"/>
  <c r="G13089" i="1"/>
  <c r="F13089" i="1"/>
  <c r="E13089" i="1"/>
  <c r="D13089" i="1"/>
  <c r="C13089" i="1"/>
  <c r="B13089" i="1"/>
  <c r="A13089" i="1"/>
  <c r="S13088" i="1"/>
  <c r="O13088" i="1"/>
  <c r="K13088" i="1"/>
  <c r="J13088" i="1"/>
  <c r="I13088" i="1"/>
  <c r="H13088" i="1"/>
  <c r="G13088" i="1"/>
  <c r="F13088" i="1"/>
  <c r="E13088" i="1"/>
  <c r="D13088" i="1"/>
  <c r="C13088" i="1"/>
  <c r="B13088" i="1"/>
  <c r="A13088" i="1"/>
  <c r="R13087" i="1"/>
  <c r="J13087" i="1"/>
  <c r="I13087" i="1"/>
  <c r="G13087" i="1"/>
  <c r="F13087" i="1"/>
  <c r="E13087" i="1"/>
  <c r="D13087" i="1"/>
  <c r="C13087" i="1"/>
  <c r="B13087" i="1"/>
  <c r="A13087" i="1"/>
  <c r="R13086" i="1"/>
  <c r="J13086" i="1"/>
  <c r="I13086" i="1"/>
  <c r="G13086" i="1"/>
  <c r="F13086" i="1"/>
  <c r="E13086" i="1"/>
  <c r="D13086" i="1"/>
  <c r="C13086" i="1"/>
  <c r="B13086" i="1"/>
  <c r="A13086" i="1"/>
  <c r="S13085" i="1"/>
  <c r="O13085" i="1"/>
  <c r="K13085" i="1"/>
  <c r="J13085" i="1"/>
  <c r="I13085" i="1"/>
  <c r="H13085" i="1"/>
  <c r="G13085" i="1"/>
  <c r="F13085" i="1"/>
  <c r="E13085" i="1"/>
  <c r="D13085" i="1"/>
  <c r="C13085" i="1"/>
  <c r="B13085" i="1"/>
  <c r="A13085" i="1"/>
  <c r="R13084" i="1"/>
  <c r="J13084" i="1"/>
  <c r="I13084" i="1"/>
  <c r="G13084" i="1"/>
  <c r="F13084" i="1"/>
  <c r="E13084" i="1"/>
  <c r="D13084" i="1"/>
  <c r="C13084" i="1"/>
  <c r="B13084" i="1"/>
  <c r="A13084" i="1"/>
  <c r="S13083" i="1"/>
  <c r="O13083" i="1"/>
  <c r="K13083" i="1"/>
  <c r="J13083" i="1"/>
  <c r="I13083" i="1"/>
  <c r="H13083" i="1"/>
  <c r="G13083" i="1"/>
  <c r="F13083" i="1"/>
  <c r="E13083" i="1"/>
  <c r="D13083" i="1"/>
  <c r="C13083" i="1"/>
  <c r="B13083" i="1"/>
  <c r="A13083" i="1"/>
  <c r="R13082" i="1"/>
  <c r="J13082" i="1"/>
  <c r="I13082" i="1"/>
  <c r="G13082" i="1"/>
  <c r="F13082" i="1"/>
  <c r="E13082" i="1"/>
  <c r="D13082" i="1"/>
  <c r="C13082" i="1"/>
  <c r="B13082" i="1"/>
  <c r="A13082" i="1"/>
  <c r="S13081" i="1"/>
  <c r="O13081" i="1"/>
  <c r="K13081" i="1"/>
  <c r="J13081" i="1"/>
  <c r="I13081" i="1"/>
  <c r="H13081" i="1"/>
  <c r="G13081" i="1"/>
  <c r="F13081" i="1"/>
  <c r="E13081" i="1"/>
  <c r="D13081" i="1"/>
  <c r="C13081" i="1"/>
  <c r="B13081" i="1"/>
  <c r="A13081" i="1"/>
  <c r="R13080" i="1"/>
  <c r="J13080" i="1"/>
  <c r="I13080" i="1"/>
  <c r="G13080" i="1"/>
  <c r="F13080" i="1"/>
  <c r="E13080" i="1"/>
  <c r="D13080" i="1"/>
  <c r="C13080" i="1"/>
  <c r="B13080" i="1"/>
  <c r="A13080" i="1"/>
  <c r="S13079" i="1"/>
  <c r="O13079" i="1"/>
  <c r="K13079" i="1"/>
  <c r="J13079" i="1"/>
  <c r="I13079" i="1"/>
  <c r="H13079" i="1"/>
  <c r="G13079" i="1"/>
  <c r="F13079" i="1"/>
  <c r="E13079" i="1"/>
  <c r="D13079" i="1"/>
  <c r="C13079" i="1"/>
  <c r="B13079" i="1"/>
  <c r="A13079" i="1"/>
  <c r="R13078" i="1"/>
  <c r="J13078" i="1"/>
  <c r="I13078" i="1"/>
  <c r="G13078" i="1"/>
  <c r="F13078" i="1"/>
  <c r="E13078" i="1"/>
  <c r="D13078" i="1"/>
  <c r="C13078" i="1"/>
  <c r="B13078" i="1"/>
  <c r="A13078" i="1"/>
  <c r="S13077" i="1"/>
  <c r="O13077" i="1"/>
  <c r="K13077" i="1"/>
  <c r="J13077" i="1"/>
  <c r="I13077" i="1"/>
  <c r="H13077" i="1"/>
  <c r="G13077" i="1"/>
  <c r="F13077" i="1"/>
  <c r="E13077" i="1"/>
  <c r="D13077" i="1"/>
  <c r="C13077" i="1"/>
  <c r="B13077" i="1"/>
  <c r="A13077" i="1"/>
  <c r="R13076" i="1"/>
  <c r="J13076" i="1"/>
  <c r="I13076" i="1"/>
  <c r="G13076" i="1"/>
  <c r="F13076" i="1"/>
  <c r="E13076" i="1"/>
  <c r="D13076" i="1"/>
  <c r="C13076" i="1"/>
  <c r="B13076" i="1"/>
  <c r="A13076" i="1"/>
  <c r="S13075" i="1"/>
  <c r="O13075" i="1"/>
  <c r="K13075" i="1"/>
  <c r="J13075" i="1"/>
  <c r="I13075" i="1"/>
  <c r="H13075" i="1"/>
  <c r="G13075" i="1"/>
  <c r="F13075" i="1"/>
  <c r="E13075" i="1"/>
  <c r="D13075" i="1"/>
  <c r="C13075" i="1"/>
  <c r="B13075" i="1"/>
  <c r="A13075" i="1"/>
  <c r="R13074" i="1"/>
  <c r="J13074" i="1"/>
  <c r="I13074" i="1"/>
  <c r="G13074" i="1"/>
  <c r="F13074" i="1"/>
  <c r="E13074" i="1"/>
  <c r="D13074" i="1"/>
  <c r="C13074" i="1"/>
  <c r="B13074" i="1"/>
  <c r="A13074" i="1"/>
  <c r="S13073" i="1"/>
  <c r="O13073" i="1"/>
  <c r="K13073" i="1"/>
  <c r="J13073" i="1"/>
  <c r="I13073" i="1"/>
  <c r="H13073" i="1"/>
  <c r="G13073" i="1"/>
  <c r="F13073" i="1"/>
  <c r="E13073" i="1"/>
  <c r="D13073" i="1"/>
  <c r="C13073" i="1"/>
  <c r="B13073" i="1"/>
  <c r="A13073" i="1"/>
  <c r="R13072" i="1"/>
  <c r="J13072" i="1"/>
  <c r="I13072" i="1"/>
  <c r="G13072" i="1"/>
  <c r="F13072" i="1"/>
  <c r="E13072" i="1"/>
  <c r="D13072" i="1"/>
  <c r="C13072" i="1"/>
  <c r="B13072" i="1"/>
  <c r="A13072" i="1"/>
  <c r="S13071" i="1"/>
  <c r="O13071" i="1"/>
  <c r="K13071" i="1"/>
  <c r="J13071" i="1"/>
  <c r="I13071" i="1"/>
  <c r="H13071" i="1"/>
  <c r="G13071" i="1"/>
  <c r="F13071" i="1"/>
  <c r="E13071" i="1"/>
  <c r="D13071" i="1"/>
  <c r="C13071" i="1"/>
  <c r="B13071" i="1"/>
  <c r="A13071" i="1"/>
  <c r="R13070" i="1"/>
  <c r="J13070" i="1"/>
  <c r="I13070" i="1"/>
  <c r="G13070" i="1"/>
  <c r="F13070" i="1"/>
  <c r="E13070" i="1"/>
  <c r="D13070" i="1"/>
  <c r="C13070" i="1"/>
  <c r="B13070" i="1"/>
  <c r="A13070" i="1"/>
  <c r="S13069" i="1"/>
  <c r="O13069" i="1"/>
  <c r="K13069" i="1"/>
  <c r="J13069" i="1"/>
  <c r="I13069" i="1"/>
  <c r="H13069" i="1"/>
  <c r="G13069" i="1"/>
  <c r="F13069" i="1"/>
  <c r="E13069" i="1"/>
  <c r="D13069" i="1"/>
  <c r="C13069" i="1"/>
  <c r="B13069" i="1"/>
  <c r="A13069" i="1"/>
  <c r="R13068" i="1"/>
  <c r="J13068" i="1"/>
  <c r="I13068" i="1"/>
  <c r="G13068" i="1"/>
  <c r="F13068" i="1"/>
  <c r="E13068" i="1"/>
  <c r="D13068" i="1"/>
  <c r="C13068" i="1"/>
  <c r="B13068" i="1"/>
  <c r="A13068" i="1"/>
  <c r="S13067" i="1"/>
  <c r="O13067" i="1"/>
  <c r="K13067" i="1"/>
  <c r="J13067" i="1"/>
  <c r="I13067" i="1"/>
  <c r="H13067" i="1"/>
  <c r="G13067" i="1"/>
  <c r="F13067" i="1"/>
  <c r="E13067" i="1"/>
  <c r="D13067" i="1"/>
  <c r="C13067" i="1"/>
  <c r="B13067" i="1"/>
  <c r="A13067" i="1"/>
  <c r="R13066" i="1"/>
  <c r="J13066" i="1"/>
  <c r="I13066" i="1"/>
  <c r="G13066" i="1"/>
  <c r="F13066" i="1"/>
  <c r="E13066" i="1"/>
  <c r="D13066" i="1"/>
  <c r="C13066" i="1"/>
  <c r="B13066" i="1"/>
  <c r="A13066" i="1"/>
  <c r="S13065" i="1"/>
  <c r="O13065" i="1"/>
  <c r="K13065" i="1"/>
  <c r="J13065" i="1"/>
  <c r="I13065" i="1"/>
  <c r="H13065" i="1"/>
  <c r="G13065" i="1"/>
  <c r="F13065" i="1"/>
  <c r="E13065" i="1"/>
  <c r="D13065" i="1"/>
  <c r="C13065" i="1"/>
  <c r="B13065" i="1"/>
  <c r="A13065" i="1"/>
  <c r="R13064" i="1"/>
  <c r="J13064" i="1"/>
  <c r="I13064" i="1"/>
  <c r="G13064" i="1"/>
  <c r="F13064" i="1"/>
  <c r="E13064" i="1"/>
  <c r="D13064" i="1"/>
  <c r="C13064" i="1"/>
  <c r="B13064" i="1"/>
  <c r="A13064" i="1"/>
  <c r="S13063" i="1"/>
  <c r="O13063" i="1"/>
  <c r="K13063" i="1"/>
  <c r="J13063" i="1"/>
  <c r="I13063" i="1"/>
  <c r="H13063" i="1"/>
  <c r="G13063" i="1"/>
  <c r="F13063" i="1"/>
  <c r="E13063" i="1"/>
  <c r="D13063" i="1"/>
  <c r="C13063" i="1"/>
  <c r="B13063" i="1"/>
  <c r="A13063" i="1"/>
  <c r="R13062" i="1"/>
  <c r="J13062" i="1"/>
  <c r="I13062" i="1"/>
  <c r="G13062" i="1"/>
  <c r="F13062" i="1"/>
  <c r="E13062" i="1"/>
  <c r="D13062" i="1"/>
  <c r="C13062" i="1"/>
  <c r="B13062" i="1"/>
  <c r="A13062" i="1"/>
  <c r="R13061" i="1"/>
  <c r="J13061" i="1"/>
  <c r="I13061" i="1"/>
  <c r="G13061" i="1"/>
  <c r="F13061" i="1"/>
  <c r="E13061" i="1"/>
  <c r="D13061" i="1"/>
  <c r="C13061" i="1"/>
  <c r="B13061" i="1"/>
  <c r="A13061" i="1"/>
  <c r="S13060" i="1"/>
  <c r="O13060" i="1"/>
  <c r="K13060" i="1"/>
  <c r="J13060" i="1"/>
  <c r="I13060" i="1"/>
  <c r="H13060" i="1"/>
  <c r="G13060" i="1"/>
  <c r="F13060" i="1"/>
  <c r="E13060" i="1"/>
  <c r="D13060" i="1"/>
  <c r="C13060" i="1"/>
  <c r="B13060" i="1"/>
  <c r="A13060" i="1"/>
  <c r="R13059" i="1"/>
  <c r="J13059" i="1"/>
  <c r="I13059" i="1"/>
  <c r="G13059" i="1"/>
  <c r="F13059" i="1"/>
  <c r="E13059" i="1"/>
  <c r="D13059" i="1"/>
  <c r="C13059" i="1"/>
  <c r="B13059" i="1"/>
  <c r="A13059" i="1"/>
  <c r="R13058" i="1"/>
  <c r="J13058" i="1"/>
  <c r="I13058" i="1"/>
  <c r="G13058" i="1"/>
  <c r="F13058" i="1"/>
  <c r="E13058" i="1"/>
  <c r="D13058" i="1"/>
  <c r="C13058" i="1"/>
  <c r="B13058" i="1"/>
  <c r="A13058" i="1"/>
  <c r="S13057" i="1"/>
  <c r="O13057" i="1"/>
  <c r="K13057" i="1"/>
  <c r="J13057" i="1"/>
  <c r="I13057" i="1"/>
  <c r="H13057" i="1"/>
  <c r="G13057" i="1"/>
  <c r="F13057" i="1"/>
  <c r="E13057" i="1"/>
  <c r="D13057" i="1"/>
  <c r="C13057" i="1"/>
  <c r="B13057" i="1"/>
  <c r="A13057" i="1"/>
  <c r="R13056" i="1"/>
  <c r="J13056" i="1"/>
  <c r="I13056" i="1"/>
  <c r="G13056" i="1"/>
  <c r="F13056" i="1"/>
  <c r="E13056" i="1"/>
  <c r="D13056" i="1"/>
  <c r="C13056" i="1"/>
  <c r="B13056" i="1"/>
  <c r="A13056" i="1"/>
  <c r="S13055" i="1"/>
  <c r="O13055" i="1"/>
  <c r="K13055" i="1"/>
  <c r="J13055" i="1"/>
  <c r="I13055" i="1"/>
  <c r="H13055" i="1"/>
  <c r="G13055" i="1"/>
  <c r="F13055" i="1"/>
  <c r="E13055" i="1"/>
  <c r="D13055" i="1"/>
  <c r="C13055" i="1"/>
  <c r="B13055" i="1"/>
  <c r="A13055" i="1"/>
  <c r="R13054" i="1"/>
  <c r="J13054" i="1"/>
  <c r="I13054" i="1"/>
  <c r="G13054" i="1"/>
  <c r="F13054" i="1"/>
  <c r="E13054" i="1"/>
  <c r="D13054" i="1"/>
  <c r="C13054" i="1"/>
  <c r="B13054" i="1"/>
  <c r="A13054" i="1"/>
  <c r="S13053" i="1"/>
  <c r="O13053" i="1"/>
  <c r="K13053" i="1"/>
  <c r="J13053" i="1"/>
  <c r="I13053" i="1"/>
  <c r="H13053" i="1"/>
  <c r="G13053" i="1"/>
  <c r="F13053" i="1"/>
  <c r="E13053" i="1"/>
  <c r="D13053" i="1"/>
  <c r="C13053" i="1"/>
  <c r="B13053" i="1"/>
  <c r="A13053" i="1"/>
  <c r="R13052" i="1"/>
  <c r="J13052" i="1"/>
  <c r="I13052" i="1"/>
  <c r="G13052" i="1"/>
  <c r="F13052" i="1"/>
  <c r="E13052" i="1"/>
  <c r="D13052" i="1"/>
  <c r="C13052" i="1"/>
  <c r="B13052" i="1"/>
  <c r="A13052" i="1"/>
  <c r="S13051" i="1"/>
  <c r="O13051" i="1"/>
  <c r="K13051" i="1"/>
  <c r="J13051" i="1"/>
  <c r="I13051" i="1"/>
  <c r="H13051" i="1"/>
  <c r="G13051" i="1"/>
  <c r="F13051" i="1"/>
  <c r="E13051" i="1"/>
  <c r="D13051" i="1"/>
  <c r="C13051" i="1"/>
  <c r="B13051" i="1"/>
  <c r="A13051" i="1"/>
  <c r="R13050" i="1"/>
  <c r="J13050" i="1"/>
  <c r="I13050" i="1"/>
  <c r="G13050" i="1"/>
  <c r="F13050" i="1"/>
  <c r="E13050" i="1"/>
  <c r="D13050" i="1"/>
  <c r="C13050" i="1"/>
  <c r="B13050" i="1"/>
  <c r="A13050" i="1"/>
  <c r="S13049" i="1"/>
  <c r="O13049" i="1"/>
  <c r="K13049" i="1"/>
  <c r="J13049" i="1"/>
  <c r="I13049" i="1"/>
  <c r="H13049" i="1"/>
  <c r="G13049" i="1"/>
  <c r="F13049" i="1"/>
  <c r="E13049" i="1"/>
  <c r="D13049" i="1"/>
  <c r="C13049" i="1"/>
  <c r="B13049" i="1"/>
  <c r="A13049" i="1"/>
  <c r="R13048" i="1"/>
  <c r="J13048" i="1"/>
  <c r="I13048" i="1"/>
  <c r="G13048" i="1"/>
  <c r="F13048" i="1"/>
  <c r="E13048" i="1"/>
  <c r="D13048" i="1"/>
  <c r="C13048" i="1"/>
  <c r="B13048" i="1"/>
  <c r="A13048" i="1"/>
  <c r="S13047" i="1"/>
  <c r="O13047" i="1"/>
  <c r="K13047" i="1"/>
  <c r="J13047" i="1"/>
  <c r="I13047" i="1"/>
  <c r="H13047" i="1"/>
  <c r="G13047" i="1"/>
  <c r="F13047" i="1"/>
  <c r="E13047" i="1"/>
  <c r="D13047" i="1"/>
  <c r="C13047" i="1"/>
  <c r="B13047" i="1"/>
  <c r="A13047" i="1"/>
  <c r="R13046" i="1"/>
  <c r="J13046" i="1"/>
  <c r="I13046" i="1"/>
  <c r="G13046" i="1"/>
  <c r="F13046" i="1"/>
  <c r="E13046" i="1"/>
  <c r="D13046" i="1"/>
  <c r="C13046" i="1"/>
  <c r="B13046" i="1"/>
  <c r="A13046" i="1"/>
  <c r="S13045" i="1"/>
  <c r="O13045" i="1"/>
  <c r="K13045" i="1"/>
  <c r="J13045" i="1"/>
  <c r="I13045" i="1"/>
  <c r="H13045" i="1"/>
  <c r="G13045" i="1"/>
  <c r="F13045" i="1"/>
  <c r="E13045" i="1"/>
  <c r="D13045" i="1"/>
  <c r="C13045" i="1"/>
  <c r="B13045" i="1"/>
  <c r="A13045" i="1"/>
  <c r="R13044" i="1"/>
  <c r="J13044" i="1"/>
  <c r="I13044" i="1"/>
  <c r="G13044" i="1"/>
  <c r="F13044" i="1"/>
  <c r="E13044" i="1"/>
  <c r="D13044" i="1"/>
  <c r="C13044" i="1"/>
  <c r="B13044" i="1"/>
  <c r="A13044" i="1"/>
  <c r="R13043" i="1"/>
  <c r="J13043" i="1"/>
  <c r="I13043" i="1"/>
  <c r="G13043" i="1"/>
  <c r="F13043" i="1"/>
  <c r="E13043" i="1"/>
  <c r="D13043" i="1"/>
  <c r="C13043" i="1"/>
  <c r="B13043" i="1"/>
  <c r="A13043" i="1"/>
  <c r="S13042" i="1"/>
  <c r="O13042" i="1"/>
  <c r="K13042" i="1"/>
  <c r="J13042" i="1"/>
  <c r="I13042" i="1"/>
  <c r="H13042" i="1"/>
  <c r="G13042" i="1"/>
  <c r="F13042" i="1"/>
  <c r="E13042" i="1"/>
  <c r="D13042" i="1"/>
  <c r="C13042" i="1"/>
  <c r="B13042" i="1"/>
  <c r="A13042" i="1"/>
  <c r="R13041" i="1"/>
  <c r="J13041" i="1"/>
  <c r="I13041" i="1"/>
  <c r="G13041" i="1"/>
  <c r="F13041" i="1"/>
  <c r="E13041" i="1"/>
  <c r="D13041" i="1"/>
  <c r="C13041" i="1"/>
  <c r="B13041" i="1"/>
  <c r="A13041" i="1"/>
  <c r="R13040" i="1"/>
  <c r="J13040" i="1"/>
  <c r="I13040" i="1"/>
  <c r="G13040" i="1"/>
  <c r="F13040" i="1"/>
  <c r="E13040" i="1"/>
  <c r="D13040" i="1"/>
  <c r="C13040" i="1"/>
  <c r="B13040" i="1"/>
  <c r="A13040" i="1"/>
  <c r="S13039" i="1"/>
  <c r="O13039" i="1"/>
  <c r="K13039" i="1"/>
  <c r="J13039" i="1"/>
  <c r="I13039" i="1"/>
  <c r="H13039" i="1"/>
  <c r="G13039" i="1"/>
  <c r="F13039" i="1"/>
  <c r="E13039" i="1"/>
  <c r="D13039" i="1"/>
  <c r="C13039" i="1"/>
  <c r="B13039" i="1"/>
  <c r="A13039" i="1"/>
  <c r="R13038" i="1"/>
  <c r="J13038" i="1"/>
  <c r="I13038" i="1"/>
  <c r="G13038" i="1"/>
  <c r="F13038" i="1"/>
  <c r="E13038" i="1"/>
  <c r="D13038" i="1"/>
  <c r="C13038" i="1"/>
  <c r="B13038" i="1"/>
  <c r="A13038" i="1"/>
  <c r="S13037" i="1"/>
  <c r="O13037" i="1"/>
  <c r="K13037" i="1"/>
  <c r="J13037" i="1"/>
  <c r="I13037" i="1"/>
  <c r="H13037" i="1"/>
  <c r="G13037" i="1"/>
  <c r="F13037" i="1"/>
  <c r="E13037" i="1"/>
  <c r="D13037" i="1"/>
  <c r="C13037" i="1"/>
  <c r="B13037" i="1"/>
  <c r="A13037" i="1"/>
  <c r="R13036" i="1"/>
  <c r="J13036" i="1"/>
  <c r="I13036" i="1"/>
  <c r="G13036" i="1"/>
  <c r="F13036" i="1"/>
  <c r="E13036" i="1"/>
  <c r="D13036" i="1"/>
  <c r="C13036" i="1"/>
  <c r="B13036" i="1"/>
  <c r="A13036" i="1"/>
  <c r="R13035" i="1"/>
  <c r="J13035" i="1"/>
  <c r="I13035" i="1"/>
  <c r="G13035" i="1"/>
  <c r="F13035" i="1"/>
  <c r="E13035" i="1"/>
  <c r="D13035" i="1"/>
  <c r="C13035" i="1"/>
  <c r="B13035" i="1"/>
  <c r="A13035" i="1"/>
  <c r="S13034" i="1"/>
  <c r="O13034" i="1"/>
  <c r="K13034" i="1"/>
  <c r="J13034" i="1"/>
  <c r="I13034" i="1"/>
  <c r="H13034" i="1"/>
  <c r="G13034" i="1"/>
  <c r="F13034" i="1"/>
  <c r="E13034" i="1"/>
  <c r="D13034" i="1"/>
  <c r="C13034" i="1"/>
  <c r="B13034" i="1"/>
  <c r="A13034" i="1"/>
  <c r="R13033" i="1"/>
  <c r="J13033" i="1"/>
  <c r="I13033" i="1"/>
  <c r="G13033" i="1"/>
  <c r="F13033" i="1"/>
  <c r="E13033" i="1"/>
  <c r="D13033" i="1"/>
  <c r="C13033" i="1"/>
  <c r="B13033" i="1"/>
  <c r="A13033" i="1"/>
  <c r="S13032" i="1"/>
  <c r="O13032" i="1"/>
  <c r="K13032" i="1"/>
  <c r="J13032" i="1"/>
  <c r="I13032" i="1"/>
  <c r="H13032" i="1"/>
  <c r="G13032" i="1"/>
  <c r="F13032" i="1"/>
  <c r="E13032" i="1"/>
  <c r="D13032" i="1"/>
  <c r="C13032" i="1"/>
  <c r="B13032" i="1"/>
  <c r="A13032" i="1"/>
  <c r="R13031" i="1"/>
  <c r="J13031" i="1"/>
  <c r="I13031" i="1"/>
  <c r="G13031" i="1"/>
  <c r="F13031" i="1"/>
  <c r="E13031" i="1"/>
  <c r="D13031" i="1"/>
  <c r="C13031" i="1"/>
  <c r="B13031" i="1"/>
  <c r="A13031" i="1"/>
  <c r="S13030" i="1"/>
  <c r="O13030" i="1"/>
  <c r="K13030" i="1"/>
  <c r="J13030" i="1"/>
  <c r="I13030" i="1"/>
  <c r="H13030" i="1"/>
  <c r="G13030" i="1"/>
  <c r="F13030" i="1"/>
  <c r="E13030" i="1"/>
  <c r="D13030" i="1"/>
  <c r="C13030" i="1"/>
  <c r="B13030" i="1"/>
  <c r="A13030" i="1"/>
  <c r="R13029" i="1"/>
  <c r="J13029" i="1"/>
  <c r="I13029" i="1"/>
  <c r="G13029" i="1"/>
  <c r="F13029" i="1"/>
  <c r="E13029" i="1"/>
  <c r="D13029" i="1"/>
  <c r="C13029" i="1"/>
  <c r="B13029" i="1"/>
  <c r="A13029" i="1"/>
  <c r="R13028" i="1"/>
  <c r="J13028" i="1"/>
  <c r="I13028" i="1"/>
  <c r="G13028" i="1"/>
  <c r="F13028" i="1"/>
  <c r="E13028" i="1"/>
  <c r="D13028" i="1"/>
  <c r="C13028" i="1"/>
  <c r="B13028" i="1"/>
  <c r="A13028" i="1"/>
  <c r="S13027" i="1"/>
  <c r="O13027" i="1"/>
  <c r="K13027" i="1"/>
  <c r="J13027" i="1"/>
  <c r="I13027" i="1"/>
  <c r="H13027" i="1"/>
  <c r="G13027" i="1"/>
  <c r="F13027" i="1"/>
  <c r="E13027" i="1"/>
  <c r="D13027" i="1"/>
  <c r="C13027" i="1"/>
  <c r="B13027" i="1"/>
  <c r="A13027" i="1"/>
  <c r="R13026" i="1"/>
  <c r="J13026" i="1"/>
  <c r="I13026" i="1"/>
  <c r="G13026" i="1"/>
  <c r="F13026" i="1"/>
  <c r="E13026" i="1"/>
  <c r="D13026" i="1"/>
  <c r="C13026" i="1"/>
  <c r="B13026" i="1"/>
  <c r="A13026" i="1"/>
  <c r="S13025" i="1"/>
  <c r="O13025" i="1"/>
  <c r="K13025" i="1"/>
  <c r="J13025" i="1"/>
  <c r="I13025" i="1"/>
  <c r="H13025" i="1"/>
  <c r="G13025" i="1"/>
  <c r="F13025" i="1"/>
  <c r="E13025" i="1"/>
  <c r="D13025" i="1"/>
  <c r="C13025" i="1"/>
  <c r="B13025" i="1"/>
  <c r="A13025" i="1"/>
  <c r="R13024" i="1"/>
  <c r="J13024" i="1"/>
  <c r="I13024" i="1"/>
  <c r="G13024" i="1"/>
  <c r="F13024" i="1"/>
  <c r="E13024" i="1"/>
  <c r="D13024" i="1"/>
  <c r="C13024" i="1"/>
  <c r="B13024" i="1"/>
  <c r="A13024" i="1"/>
  <c r="R13023" i="1"/>
  <c r="J13023" i="1"/>
  <c r="I13023" i="1"/>
  <c r="G13023" i="1"/>
  <c r="F13023" i="1"/>
  <c r="E13023" i="1"/>
  <c r="D13023" i="1"/>
  <c r="C13023" i="1"/>
  <c r="B13023" i="1"/>
  <c r="A13023" i="1"/>
  <c r="S13022" i="1"/>
  <c r="O13022" i="1"/>
  <c r="K13022" i="1"/>
  <c r="J13022" i="1"/>
  <c r="I13022" i="1"/>
  <c r="H13022" i="1"/>
  <c r="G13022" i="1"/>
  <c r="F13022" i="1"/>
  <c r="E13022" i="1"/>
  <c r="D13022" i="1"/>
  <c r="C13022" i="1"/>
  <c r="B13022" i="1"/>
  <c r="A13022" i="1"/>
  <c r="R13021" i="1"/>
  <c r="J13021" i="1"/>
  <c r="I13021" i="1"/>
  <c r="G13021" i="1"/>
  <c r="F13021" i="1"/>
  <c r="E13021" i="1"/>
  <c r="D13021" i="1"/>
  <c r="C13021" i="1"/>
  <c r="B13021" i="1"/>
  <c r="A13021" i="1"/>
  <c r="S13020" i="1"/>
  <c r="O13020" i="1"/>
  <c r="K13020" i="1"/>
  <c r="J13020" i="1"/>
  <c r="I13020" i="1"/>
  <c r="H13020" i="1"/>
  <c r="G13020" i="1"/>
  <c r="F13020" i="1"/>
  <c r="E13020" i="1"/>
  <c r="D13020" i="1"/>
  <c r="C13020" i="1"/>
  <c r="B13020" i="1"/>
  <c r="A13020" i="1"/>
  <c r="R13019" i="1"/>
  <c r="J13019" i="1"/>
  <c r="I13019" i="1"/>
  <c r="G13019" i="1"/>
  <c r="F13019" i="1"/>
  <c r="E13019" i="1"/>
  <c r="D13019" i="1"/>
  <c r="C13019" i="1"/>
  <c r="B13019" i="1"/>
  <c r="A13019" i="1"/>
  <c r="S13018" i="1"/>
  <c r="O13018" i="1"/>
  <c r="K13018" i="1"/>
  <c r="J13018" i="1"/>
  <c r="I13018" i="1"/>
  <c r="H13018" i="1"/>
  <c r="G13018" i="1"/>
  <c r="F13018" i="1"/>
  <c r="E13018" i="1"/>
  <c r="D13018" i="1"/>
  <c r="C13018" i="1"/>
  <c r="B13018" i="1"/>
  <c r="A13018" i="1"/>
  <c r="R13017" i="1"/>
  <c r="J13017" i="1"/>
  <c r="I13017" i="1"/>
  <c r="G13017" i="1"/>
  <c r="F13017" i="1"/>
  <c r="E13017" i="1"/>
  <c r="D13017" i="1"/>
  <c r="C13017" i="1"/>
  <c r="B13017" i="1"/>
  <c r="A13017" i="1"/>
  <c r="S13016" i="1"/>
  <c r="O13016" i="1"/>
  <c r="K13016" i="1"/>
  <c r="J13016" i="1"/>
  <c r="I13016" i="1"/>
  <c r="H13016" i="1"/>
  <c r="G13016" i="1"/>
  <c r="F13016" i="1"/>
  <c r="E13016" i="1"/>
  <c r="D13016" i="1"/>
  <c r="C13016" i="1"/>
  <c r="B13016" i="1"/>
  <c r="A13016" i="1"/>
  <c r="R13015" i="1"/>
  <c r="J13015" i="1"/>
  <c r="I13015" i="1"/>
  <c r="G13015" i="1"/>
  <c r="F13015" i="1"/>
  <c r="E13015" i="1"/>
  <c r="D13015" i="1"/>
  <c r="C13015" i="1"/>
  <c r="B13015" i="1"/>
  <c r="A13015" i="1"/>
  <c r="S13014" i="1"/>
  <c r="O13014" i="1"/>
  <c r="K13014" i="1"/>
  <c r="J13014" i="1"/>
  <c r="I13014" i="1"/>
  <c r="H13014" i="1"/>
  <c r="G13014" i="1"/>
  <c r="F13014" i="1"/>
  <c r="E13014" i="1"/>
  <c r="D13014" i="1"/>
  <c r="C13014" i="1"/>
  <c r="B13014" i="1"/>
  <c r="A13014" i="1"/>
  <c r="R13013" i="1"/>
  <c r="J13013" i="1"/>
  <c r="I13013" i="1"/>
  <c r="G13013" i="1"/>
  <c r="F13013" i="1"/>
  <c r="E13013" i="1"/>
  <c r="D13013" i="1"/>
  <c r="C13013" i="1"/>
  <c r="B13013" i="1"/>
  <c r="A13013" i="1"/>
  <c r="R13012" i="1"/>
  <c r="J13012" i="1"/>
  <c r="I13012" i="1"/>
  <c r="G13012" i="1"/>
  <c r="F13012" i="1"/>
  <c r="E13012" i="1"/>
  <c r="D13012" i="1"/>
  <c r="C13012" i="1"/>
  <c r="B13012" i="1"/>
  <c r="A13012" i="1"/>
  <c r="S13011" i="1"/>
  <c r="O13011" i="1"/>
  <c r="K13011" i="1"/>
  <c r="J13011" i="1"/>
  <c r="I13011" i="1"/>
  <c r="H13011" i="1"/>
  <c r="G13011" i="1"/>
  <c r="F13011" i="1"/>
  <c r="E13011" i="1"/>
  <c r="D13011" i="1"/>
  <c r="C13011" i="1"/>
  <c r="B13011" i="1"/>
  <c r="A13011" i="1"/>
  <c r="R13010" i="1"/>
  <c r="J13010" i="1"/>
  <c r="I13010" i="1"/>
  <c r="G13010" i="1"/>
  <c r="F13010" i="1"/>
  <c r="E13010" i="1"/>
  <c r="D13010" i="1"/>
  <c r="C13010" i="1"/>
  <c r="B13010" i="1"/>
  <c r="A13010" i="1"/>
  <c r="S13009" i="1"/>
  <c r="O13009" i="1"/>
  <c r="K13009" i="1"/>
  <c r="J13009" i="1"/>
  <c r="I13009" i="1"/>
  <c r="H13009" i="1"/>
  <c r="G13009" i="1"/>
  <c r="F13009" i="1"/>
  <c r="E13009" i="1"/>
  <c r="D13009" i="1"/>
  <c r="C13009" i="1"/>
  <c r="B13009" i="1"/>
  <c r="A13009" i="1"/>
  <c r="R13008" i="1"/>
  <c r="J13008" i="1"/>
  <c r="I13008" i="1"/>
  <c r="G13008" i="1"/>
  <c r="F13008" i="1"/>
  <c r="E13008" i="1"/>
  <c r="D13008" i="1"/>
  <c r="C13008" i="1"/>
  <c r="B13008" i="1"/>
  <c r="A13008" i="1"/>
  <c r="S13007" i="1"/>
  <c r="O13007" i="1"/>
  <c r="K13007" i="1"/>
  <c r="J13007" i="1"/>
  <c r="I13007" i="1"/>
  <c r="H13007" i="1"/>
  <c r="G13007" i="1"/>
  <c r="F13007" i="1"/>
  <c r="E13007" i="1"/>
  <c r="D13007" i="1"/>
  <c r="C13007" i="1"/>
  <c r="B13007" i="1"/>
  <c r="A13007" i="1"/>
  <c r="R13006" i="1"/>
  <c r="J13006" i="1"/>
  <c r="I13006" i="1"/>
  <c r="G13006" i="1"/>
  <c r="F13006" i="1"/>
  <c r="E13006" i="1"/>
  <c r="D13006" i="1"/>
  <c r="C13006" i="1"/>
  <c r="B13006" i="1"/>
  <c r="A13006" i="1"/>
  <c r="S13005" i="1"/>
  <c r="O13005" i="1"/>
  <c r="K13005" i="1"/>
  <c r="J13005" i="1"/>
  <c r="I13005" i="1"/>
  <c r="H13005" i="1"/>
  <c r="G13005" i="1"/>
  <c r="F13005" i="1"/>
  <c r="E13005" i="1"/>
  <c r="D13005" i="1"/>
  <c r="C13005" i="1"/>
  <c r="B13005" i="1"/>
  <c r="A13005" i="1"/>
  <c r="R13004" i="1"/>
  <c r="J13004" i="1"/>
  <c r="I13004" i="1"/>
  <c r="G13004" i="1"/>
  <c r="F13004" i="1"/>
  <c r="E13004" i="1"/>
  <c r="D13004" i="1"/>
  <c r="C13004" i="1"/>
  <c r="B13004" i="1"/>
  <c r="A13004" i="1"/>
  <c r="R13003" i="1"/>
  <c r="J13003" i="1"/>
  <c r="I13003" i="1"/>
  <c r="G13003" i="1"/>
  <c r="F13003" i="1"/>
  <c r="E13003" i="1"/>
  <c r="D13003" i="1"/>
  <c r="C13003" i="1"/>
  <c r="B13003" i="1"/>
  <c r="A13003" i="1"/>
  <c r="S13002" i="1"/>
  <c r="O13002" i="1"/>
  <c r="K13002" i="1"/>
  <c r="J13002" i="1"/>
  <c r="I13002" i="1"/>
  <c r="H13002" i="1"/>
  <c r="G13002" i="1"/>
  <c r="F13002" i="1"/>
  <c r="E13002" i="1"/>
  <c r="D13002" i="1"/>
  <c r="C13002" i="1"/>
  <c r="B13002" i="1"/>
  <c r="A13002" i="1"/>
  <c r="R13001" i="1"/>
  <c r="J13001" i="1"/>
  <c r="I13001" i="1"/>
  <c r="G13001" i="1"/>
  <c r="F13001" i="1"/>
  <c r="E13001" i="1"/>
  <c r="D13001" i="1"/>
  <c r="C13001" i="1"/>
  <c r="B13001" i="1"/>
  <c r="A13001" i="1"/>
  <c r="S13000" i="1"/>
  <c r="O13000" i="1"/>
  <c r="K13000" i="1"/>
  <c r="J13000" i="1"/>
  <c r="I13000" i="1"/>
  <c r="H13000" i="1"/>
  <c r="G13000" i="1"/>
  <c r="F13000" i="1"/>
  <c r="E13000" i="1"/>
  <c r="D13000" i="1"/>
  <c r="C13000" i="1"/>
  <c r="B13000" i="1"/>
  <c r="A13000" i="1"/>
  <c r="R12999" i="1"/>
  <c r="J12999" i="1"/>
  <c r="I12999" i="1"/>
  <c r="G12999" i="1"/>
  <c r="F12999" i="1"/>
  <c r="E12999" i="1"/>
  <c r="D12999" i="1"/>
  <c r="C12999" i="1"/>
  <c r="B12999" i="1"/>
  <c r="A12999" i="1"/>
  <c r="R12998" i="1"/>
  <c r="J12998" i="1"/>
  <c r="I12998" i="1"/>
  <c r="G12998" i="1"/>
  <c r="F12998" i="1"/>
  <c r="E12998" i="1"/>
  <c r="D12998" i="1"/>
  <c r="C12998" i="1"/>
  <c r="B12998" i="1"/>
  <c r="A12998" i="1"/>
  <c r="R12997" i="1"/>
  <c r="J12997" i="1"/>
  <c r="I12997" i="1"/>
  <c r="G12997" i="1"/>
  <c r="F12997" i="1"/>
  <c r="E12997" i="1"/>
  <c r="D12997" i="1"/>
  <c r="C12997" i="1"/>
  <c r="B12997" i="1"/>
  <c r="A12997" i="1"/>
  <c r="R12996" i="1"/>
  <c r="J12996" i="1"/>
  <c r="I12996" i="1"/>
  <c r="G12996" i="1"/>
  <c r="F12996" i="1"/>
  <c r="E12996" i="1"/>
  <c r="D12996" i="1"/>
  <c r="C12996" i="1"/>
  <c r="B12996" i="1"/>
  <c r="A12996" i="1"/>
  <c r="S12995" i="1"/>
  <c r="O12995" i="1"/>
  <c r="K12995" i="1"/>
  <c r="J12995" i="1"/>
  <c r="I12995" i="1"/>
  <c r="H12995" i="1"/>
  <c r="G12995" i="1"/>
  <c r="F12995" i="1"/>
  <c r="E12995" i="1"/>
  <c r="D12995" i="1"/>
  <c r="C12995" i="1"/>
  <c r="B12995" i="1"/>
  <c r="A12995" i="1"/>
  <c r="R12994" i="1"/>
  <c r="J12994" i="1"/>
  <c r="I12994" i="1"/>
  <c r="G12994" i="1"/>
  <c r="F12994" i="1"/>
  <c r="E12994" i="1"/>
  <c r="D12994" i="1"/>
  <c r="C12994" i="1"/>
  <c r="B12994" i="1"/>
  <c r="A12994" i="1"/>
  <c r="R12993" i="1"/>
  <c r="J12993" i="1"/>
  <c r="I12993" i="1"/>
  <c r="G12993" i="1"/>
  <c r="F12993" i="1"/>
  <c r="E12993" i="1"/>
  <c r="D12993" i="1"/>
  <c r="C12993" i="1"/>
  <c r="B12993" i="1"/>
  <c r="A12993" i="1"/>
  <c r="S12992" i="1"/>
  <c r="O12992" i="1"/>
  <c r="K12992" i="1"/>
  <c r="J12992" i="1"/>
  <c r="I12992" i="1"/>
  <c r="H12992" i="1"/>
  <c r="G12992" i="1"/>
  <c r="F12992" i="1"/>
  <c r="E12992" i="1"/>
  <c r="D12992" i="1"/>
  <c r="C12992" i="1"/>
  <c r="B12992" i="1"/>
  <c r="A12992" i="1"/>
  <c r="R12991" i="1"/>
  <c r="J12991" i="1"/>
  <c r="I12991" i="1"/>
  <c r="G12991" i="1"/>
  <c r="F12991" i="1"/>
  <c r="E12991" i="1"/>
  <c r="D12991" i="1"/>
  <c r="C12991" i="1"/>
  <c r="B12991" i="1"/>
  <c r="A12991" i="1"/>
  <c r="S12990" i="1"/>
  <c r="O12990" i="1"/>
  <c r="K12990" i="1"/>
  <c r="J12990" i="1"/>
  <c r="I12990" i="1"/>
  <c r="H12990" i="1"/>
  <c r="G12990" i="1"/>
  <c r="F12990" i="1"/>
  <c r="E12990" i="1"/>
  <c r="D12990" i="1"/>
  <c r="C12990" i="1"/>
  <c r="B12990" i="1"/>
  <c r="A12990" i="1"/>
  <c r="R12989" i="1"/>
  <c r="J12989" i="1"/>
  <c r="I12989" i="1"/>
  <c r="G12989" i="1"/>
  <c r="F12989" i="1"/>
  <c r="E12989" i="1"/>
  <c r="D12989" i="1"/>
  <c r="C12989" i="1"/>
  <c r="B12989" i="1"/>
  <c r="A12989" i="1"/>
  <c r="S12988" i="1"/>
  <c r="O12988" i="1"/>
  <c r="K12988" i="1"/>
  <c r="J12988" i="1"/>
  <c r="I12988" i="1"/>
  <c r="H12988" i="1"/>
  <c r="G12988" i="1"/>
  <c r="F12988" i="1"/>
  <c r="E12988" i="1"/>
  <c r="D12988" i="1"/>
  <c r="C12988" i="1"/>
  <c r="B12988" i="1"/>
  <c r="A12988" i="1"/>
  <c r="R12987" i="1"/>
  <c r="J12987" i="1"/>
  <c r="I12987" i="1"/>
  <c r="G12987" i="1"/>
  <c r="F12987" i="1"/>
  <c r="E12987" i="1"/>
  <c r="D12987" i="1"/>
  <c r="C12987" i="1"/>
  <c r="B12987" i="1"/>
  <c r="A12987" i="1"/>
  <c r="S12986" i="1"/>
  <c r="O12986" i="1"/>
  <c r="K12986" i="1"/>
  <c r="J12986" i="1"/>
  <c r="I12986" i="1"/>
  <c r="H12986" i="1"/>
  <c r="G12986" i="1"/>
  <c r="F12986" i="1"/>
  <c r="E12986" i="1"/>
  <c r="D12986" i="1"/>
  <c r="C12986" i="1"/>
  <c r="B12986" i="1"/>
  <c r="A12986" i="1"/>
  <c r="R12985" i="1"/>
  <c r="J12985" i="1"/>
  <c r="I12985" i="1"/>
  <c r="G12985" i="1"/>
  <c r="F12985" i="1"/>
  <c r="E12985" i="1"/>
  <c r="D12985" i="1"/>
  <c r="C12985" i="1"/>
  <c r="B12985" i="1"/>
  <c r="A12985" i="1"/>
  <c r="S12984" i="1"/>
  <c r="O12984" i="1"/>
  <c r="K12984" i="1"/>
  <c r="J12984" i="1"/>
  <c r="I12984" i="1"/>
  <c r="H12984" i="1"/>
  <c r="G12984" i="1"/>
  <c r="F12984" i="1"/>
  <c r="E12984" i="1"/>
  <c r="D12984" i="1"/>
  <c r="C12984" i="1"/>
  <c r="B12984" i="1"/>
  <c r="A12984" i="1"/>
  <c r="R12983" i="1"/>
  <c r="J12983" i="1"/>
  <c r="I12983" i="1"/>
  <c r="G12983" i="1"/>
  <c r="F12983" i="1"/>
  <c r="E12983" i="1"/>
  <c r="D12983" i="1"/>
  <c r="C12983" i="1"/>
  <c r="B12983" i="1"/>
  <c r="A12983" i="1"/>
  <c r="S12982" i="1"/>
  <c r="O12982" i="1"/>
  <c r="K12982" i="1"/>
  <c r="J12982" i="1"/>
  <c r="I12982" i="1"/>
  <c r="H12982" i="1"/>
  <c r="G12982" i="1"/>
  <c r="F12982" i="1"/>
  <c r="E12982" i="1"/>
  <c r="D12982" i="1"/>
  <c r="C12982" i="1"/>
  <c r="B12982" i="1"/>
  <c r="A12982" i="1"/>
  <c r="R12981" i="1"/>
  <c r="J12981" i="1"/>
  <c r="I12981" i="1"/>
  <c r="G12981" i="1"/>
  <c r="F12981" i="1"/>
  <c r="E12981" i="1"/>
  <c r="D12981" i="1"/>
  <c r="C12981" i="1"/>
  <c r="B12981" i="1"/>
  <c r="A12981" i="1"/>
  <c r="S12980" i="1"/>
  <c r="O12980" i="1"/>
  <c r="K12980" i="1"/>
  <c r="J12980" i="1"/>
  <c r="I12980" i="1"/>
  <c r="H12980" i="1"/>
  <c r="G12980" i="1"/>
  <c r="F12980" i="1"/>
  <c r="E12980" i="1"/>
  <c r="D12980" i="1"/>
  <c r="C12980" i="1"/>
  <c r="B12980" i="1"/>
  <c r="A12980" i="1"/>
  <c r="R12979" i="1"/>
  <c r="J12979" i="1"/>
  <c r="I12979" i="1"/>
  <c r="G12979" i="1"/>
  <c r="F12979" i="1"/>
  <c r="E12979" i="1"/>
  <c r="D12979" i="1"/>
  <c r="C12979" i="1"/>
  <c r="B12979" i="1"/>
  <c r="A12979" i="1"/>
  <c r="R12978" i="1"/>
  <c r="J12978" i="1"/>
  <c r="I12978" i="1"/>
  <c r="G12978" i="1"/>
  <c r="F12978" i="1"/>
  <c r="E12978" i="1"/>
  <c r="D12978" i="1"/>
  <c r="C12978" i="1"/>
  <c r="B12978" i="1"/>
  <c r="A12978" i="1"/>
  <c r="R12977" i="1"/>
  <c r="J12977" i="1"/>
  <c r="I12977" i="1"/>
  <c r="G12977" i="1"/>
  <c r="F12977" i="1"/>
  <c r="E12977" i="1"/>
  <c r="D12977" i="1"/>
  <c r="C12977" i="1"/>
  <c r="B12977" i="1"/>
  <c r="A12977" i="1"/>
  <c r="S12976" i="1"/>
  <c r="O12976" i="1"/>
  <c r="K12976" i="1"/>
  <c r="J12976" i="1"/>
  <c r="I12976" i="1"/>
  <c r="H12976" i="1"/>
  <c r="G12976" i="1"/>
  <c r="F12976" i="1"/>
  <c r="E12976" i="1"/>
  <c r="D12976" i="1"/>
  <c r="C12976" i="1"/>
  <c r="B12976" i="1"/>
  <c r="A12976" i="1"/>
  <c r="R12975" i="1"/>
  <c r="J12975" i="1"/>
  <c r="I12975" i="1"/>
  <c r="G12975" i="1"/>
  <c r="F12975" i="1"/>
  <c r="E12975" i="1"/>
  <c r="D12975" i="1"/>
  <c r="C12975" i="1"/>
  <c r="B12975" i="1"/>
  <c r="A12975" i="1"/>
  <c r="S12974" i="1"/>
  <c r="O12974" i="1"/>
  <c r="K12974" i="1"/>
  <c r="J12974" i="1"/>
  <c r="I12974" i="1"/>
  <c r="H12974" i="1"/>
  <c r="G12974" i="1"/>
  <c r="F12974" i="1"/>
  <c r="E12974" i="1"/>
  <c r="D12974" i="1"/>
  <c r="C12974" i="1"/>
  <c r="B12974" i="1"/>
  <c r="A12974" i="1"/>
  <c r="R12973" i="1"/>
  <c r="J12973" i="1"/>
  <c r="I12973" i="1"/>
  <c r="G12973" i="1"/>
  <c r="F12973" i="1"/>
  <c r="E12973" i="1"/>
  <c r="D12973" i="1"/>
  <c r="C12973" i="1"/>
  <c r="B12973" i="1"/>
  <c r="A12973" i="1"/>
  <c r="S12972" i="1"/>
  <c r="O12972" i="1"/>
  <c r="K12972" i="1"/>
  <c r="J12972" i="1"/>
  <c r="I12972" i="1"/>
  <c r="H12972" i="1"/>
  <c r="G12972" i="1"/>
  <c r="F12972" i="1"/>
  <c r="E12972" i="1"/>
  <c r="D12972" i="1"/>
  <c r="C12972" i="1"/>
  <c r="B12972" i="1"/>
  <c r="A12972" i="1"/>
  <c r="R12971" i="1"/>
  <c r="J12971" i="1"/>
  <c r="I12971" i="1"/>
  <c r="G12971" i="1"/>
  <c r="F12971" i="1"/>
  <c r="E12971" i="1"/>
  <c r="D12971" i="1"/>
  <c r="C12971" i="1"/>
  <c r="B12971" i="1"/>
  <c r="A12971" i="1"/>
  <c r="S12970" i="1"/>
  <c r="O12970" i="1"/>
  <c r="K12970" i="1"/>
  <c r="J12970" i="1"/>
  <c r="I12970" i="1"/>
  <c r="H12970" i="1"/>
  <c r="G12970" i="1"/>
  <c r="F12970" i="1"/>
  <c r="E12970" i="1"/>
  <c r="D12970" i="1"/>
  <c r="C12970" i="1"/>
  <c r="B12970" i="1"/>
  <c r="A12970" i="1"/>
  <c r="R12969" i="1"/>
  <c r="J12969" i="1"/>
  <c r="I12969" i="1"/>
  <c r="G12969" i="1"/>
  <c r="F12969" i="1"/>
  <c r="E12969" i="1"/>
  <c r="D12969" i="1"/>
  <c r="C12969" i="1"/>
  <c r="B12969" i="1"/>
  <c r="A12969" i="1"/>
  <c r="S12968" i="1"/>
  <c r="O12968" i="1"/>
  <c r="K12968" i="1"/>
  <c r="J12968" i="1"/>
  <c r="I12968" i="1"/>
  <c r="H12968" i="1"/>
  <c r="G12968" i="1"/>
  <c r="F12968" i="1"/>
  <c r="E12968" i="1"/>
  <c r="D12968" i="1"/>
  <c r="C12968" i="1"/>
  <c r="B12968" i="1"/>
  <c r="A12968" i="1"/>
  <c r="R12967" i="1"/>
  <c r="J12967" i="1"/>
  <c r="I12967" i="1"/>
  <c r="G12967" i="1"/>
  <c r="F12967" i="1"/>
  <c r="E12967" i="1"/>
  <c r="D12967" i="1"/>
  <c r="C12967" i="1"/>
  <c r="B12967" i="1"/>
  <c r="A12967" i="1"/>
  <c r="S12966" i="1"/>
  <c r="O12966" i="1"/>
  <c r="K12966" i="1"/>
  <c r="J12966" i="1"/>
  <c r="I12966" i="1"/>
  <c r="H12966" i="1"/>
  <c r="G12966" i="1"/>
  <c r="F12966" i="1"/>
  <c r="E12966" i="1"/>
  <c r="D12966" i="1"/>
  <c r="C12966" i="1"/>
  <c r="B12966" i="1"/>
  <c r="A12966" i="1"/>
  <c r="R12965" i="1"/>
  <c r="J12965" i="1"/>
  <c r="I12965" i="1"/>
  <c r="G12965" i="1"/>
  <c r="F12965" i="1"/>
  <c r="E12965" i="1"/>
  <c r="D12965" i="1"/>
  <c r="C12965" i="1"/>
  <c r="B12965" i="1"/>
  <c r="A12965" i="1"/>
  <c r="S12964" i="1"/>
  <c r="O12964" i="1"/>
  <c r="K12964" i="1"/>
  <c r="J12964" i="1"/>
  <c r="I12964" i="1"/>
  <c r="H12964" i="1"/>
  <c r="G12964" i="1"/>
  <c r="F12964" i="1"/>
  <c r="E12964" i="1"/>
  <c r="D12964" i="1"/>
  <c r="C12964" i="1"/>
  <c r="B12964" i="1"/>
  <c r="A12964" i="1"/>
  <c r="R12963" i="1"/>
  <c r="J12963" i="1"/>
  <c r="I12963" i="1"/>
  <c r="G12963" i="1"/>
  <c r="F12963" i="1"/>
  <c r="E12963" i="1"/>
  <c r="D12963" i="1"/>
  <c r="C12963" i="1"/>
  <c r="B12963" i="1"/>
  <c r="A12963" i="1"/>
  <c r="R12962" i="1"/>
  <c r="J12962" i="1"/>
  <c r="I12962" i="1"/>
  <c r="G12962" i="1"/>
  <c r="F12962" i="1"/>
  <c r="E12962" i="1"/>
  <c r="D12962" i="1"/>
  <c r="C12962" i="1"/>
  <c r="B12962" i="1"/>
  <c r="A12962" i="1"/>
  <c r="R12961" i="1"/>
  <c r="J12961" i="1"/>
  <c r="I12961" i="1"/>
  <c r="G12961" i="1"/>
  <c r="F12961" i="1"/>
  <c r="E12961" i="1"/>
  <c r="D12961" i="1"/>
  <c r="C12961" i="1"/>
  <c r="B12961" i="1"/>
  <c r="A12961" i="1"/>
  <c r="S12960" i="1"/>
  <c r="O12960" i="1"/>
  <c r="K12960" i="1"/>
  <c r="J12960" i="1"/>
  <c r="I12960" i="1"/>
  <c r="H12960" i="1"/>
  <c r="G12960" i="1"/>
  <c r="F12960" i="1"/>
  <c r="E12960" i="1"/>
  <c r="D12960" i="1"/>
  <c r="C12960" i="1"/>
  <c r="B12960" i="1"/>
  <c r="A12960" i="1"/>
  <c r="R12959" i="1"/>
  <c r="J12959" i="1"/>
  <c r="I12959" i="1"/>
  <c r="G12959" i="1"/>
  <c r="F12959" i="1"/>
  <c r="E12959" i="1"/>
  <c r="D12959" i="1"/>
  <c r="C12959" i="1"/>
  <c r="B12959" i="1"/>
  <c r="A12959" i="1"/>
  <c r="S12958" i="1"/>
  <c r="O12958" i="1"/>
  <c r="K12958" i="1"/>
  <c r="J12958" i="1"/>
  <c r="I12958" i="1"/>
  <c r="H12958" i="1"/>
  <c r="G12958" i="1"/>
  <c r="F12958" i="1"/>
  <c r="E12958" i="1"/>
  <c r="D12958" i="1"/>
  <c r="C12958" i="1"/>
  <c r="B12958" i="1"/>
  <c r="A12958" i="1"/>
  <c r="R12957" i="1"/>
  <c r="J12957" i="1"/>
  <c r="I12957" i="1"/>
  <c r="G12957" i="1"/>
  <c r="F12957" i="1"/>
  <c r="E12957" i="1"/>
  <c r="D12957" i="1"/>
  <c r="C12957" i="1"/>
  <c r="B12957" i="1"/>
  <c r="A12957" i="1"/>
  <c r="S12956" i="1"/>
  <c r="O12956" i="1"/>
  <c r="K12956" i="1"/>
  <c r="J12956" i="1"/>
  <c r="I12956" i="1"/>
  <c r="H12956" i="1"/>
  <c r="G12956" i="1"/>
  <c r="F12956" i="1"/>
  <c r="E12956" i="1"/>
  <c r="D12956" i="1"/>
  <c r="C12956" i="1"/>
  <c r="B12956" i="1"/>
  <c r="A12956" i="1"/>
  <c r="R12955" i="1"/>
  <c r="J12955" i="1"/>
  <c r="I12955" i="1"/>
  <c r="G12955" i="1"/>
  <c r="F12955" i="1"/>
  <c r="E12955" i="1"/>
  <c r="D12955" i="1"/>
  <c r="C12955" i="1"/>
  <c r="B12955" i="1"/>
  <c r="A12955" i="1"/>
  <c r="S12954" i="1"/>
  <c r="O12954" i="1"/>
  <c r="K12954" i="1"/>
  <c r="J12954" i="1"/>
  <c r="I12954" i="1"/>
  <c r="H12954" i="1"/>
  <c r="G12954" i="1"/>
  <c r="F12954" i="1"/>
  <c r="E12954" i="1"/>
  <c r="D12954" i="1"/>
  <c r="C12954" i="1"/>
  <c r="B12954" i="1"/>
  <c r="A12954" i="1"/>
  <c r="R12953" i="1"/>
  <c r="J12953" i="1"/>
  <c r="I12953" i="1"/>
  <c r="G12953" i="1"/>
  <c r="F12953" i="1"/>
  <c r="E12953" i="1"/>
  <c r="D12953" i="1"/>
  <c r="C12953" i="1"/>
  <c r="B12953" i="1"/>
  <c r="A12953" i="1"/>
  <c r="S12952" i="1"/>
  <c r="O12952" i="1"/>
  <c r="K12952" i="1"/>
  <c r="J12952" i="1"/>
  <c r="I12952" i="1"/>
  <c r="H12952" i="1"/>
  <c r="G12952" i="1"/>
  <c r="F12952" i="1"/>
  <c r="E12952" i="1"/>
  <c r="D12952" i="1"/>
  <c r="C12952" i="1"/>
  <c r="B12952" i="1"/>
  <c r="A12952" i="1"/>
  <c r="R12951" i="1"/>
  <c r="J12951" i="1"/>
  <c r="I12951" i="1"/>
  <c r="G12951" i="1"/>
  <c r="F12951" i="1"/>
  <c r="E12951" i="1"/>
  <c r="D12951" i="1"/>
  <c r="C12951" i="1"/>
  <c r="B12951" i="1"/>
  <c r="A12951" i="1"/>
  <c r="S12950" i="1"/>
  <c r="O12950" i="1"/>
  <c r="K12950" i="1"/>
  <c r="J12950" i="1"/>
  <c r="I12950" i="1"/>
  <c r="H12950" i="1"/>
  <c r="G12950" i="1"/>
  <c r="F12950" i="1"/>
  <c r="E12950" i="1"/>
  <c r="D12950" i="1"/>
  <c r="C12950" i="1"/>
  <c r="B12950" i="1"/>
  <c r="A12950" i="1"/>
  <c r="R12949" i="1"/>
  <c r="J12949" i="1"/>
  <c r="I12949" i="1"/>
  <c r="G12949" i="1"/>
  <c r="F12949" i="1"/>
  <c r="E12949" i="1"/>
  <c r="D12949" i="1"/>
  <c r="C12949" i="1"/>
  <c r="B12949" i="1"/>
  <c r="A12949" i="1"/>
  <c r="S12948" i="1"/>
  <c r="O12948" i="1"/>
  <c r="K12948" i="1"/>
  <c r="J12948" i="1"/>
  <c r="I12948" i="1"/>
  <c r="H12948" i="1"/>
  <c r="G12948" i="1"/>
  <c r="F12948" i="1"/>
  <c r="E12948" i="1"/>
  <c r="D12948" i="1"/>
  <c r="C12948" i="1"/>
  <c r="B12948" i="1"/>
  <c r="A12948" i="1"/>
  <c r="R12947" i="1"/>
  <c r="J12947" i="1"/>
  <c r="I12947" i="1"/>
  <c r="G12947" i="1"/>
  <c r="F12947" i="1"/>
  <c r="E12947" i="1"/>
  <c r="D12947" i="1"/>
  <c r="C12947" i="1"/>
  <c r="B12947" i="1"/>
  <c r="A12947" i="1"/>
  <c r="S12946" i="1"/>
  <c r="O12946" i="1"/>
  <c r="K12946" i="1"/>
  <c r="J12946" i="1"/>
  <c r="I12946" i="1"/>
  <c r="H12946" i="1"/>
  <c r="G12946" i="1"/>
  <c r="F12946" i="1"/>
  <c r="E12946" i="1"/>
  <c r="D12946" i="1"/>
  <c r="C12946" i="1"/>
  <c r="B12946" i="1"/>
  <c r="A12946" i="1"/>
  <c r="R12945" i="1"/>
  <c r="J12945" i="1"/>
  <c r="I12945" i="1"/>
  <c r="G12945" i="1"/>
  <c r="F12945" i="1"/>
  <c r="E12945" i="1"/>
  <c r="D12945" i="1"/>
  <c r="C12945" i="1"/>
  <c r="B12945" i="1"/>
  <c r="A12945" i="1"/>
  <c r="S12944" i="1"/>
  <c r="O12944" i="1"/>
  <c r="K12944" i="1"/>
  <c r="J12944" i="1"/>
  <c r="I12944" i="1"/>
  <c r="H12944" i="1"/>
  <c r="G12944" i="1"/>
  <c r="F12944" i="1"/>
  <c r="E12944" i="1"/>
  <c r="D12944" i="1"/>
  <c r="C12944" i="1"/>
  <c r="B12944" i="1"/>
  <c r="A12944" i="1"/>
  <c r="R12943" i="1"/>
  <c r="J12943" i="1"/>
  <c r="I12943" i="1"/>
  <c r="G12943" i="1"/>
  <c r="F12943" i="1"/>
  <c r="E12943" i="1"/>
  <c r="D12943" i="1"/>
  <c r="C12943" i="1"/>
  <c r="B12943" i="1"/>
  <c r="A12943" i="1"/>
  <c r="S12942" i="1"/>
  <c r="O12942" i="1"/>
  <c r="K12942" i="1"/>
  <c r="J12942" i="1"/>
  <c r="I12942" i="1"/>
  <c r="H12942" i="1"/>
  <c r="G12942" i="1"/>
  <c r="F12942" i="1"/>
  <c r="E12942" i="1"/>
  <c r="D12942" i="1"/>
  <c r="C12942" i="1"/>
  <c r="B12942" i="1"/>
  <c r="A12942" i="1"/>
  <c r="R12941" i="1"/>
  <c r="J12941" i="1"/>
  <c r="I12941" i="1"/>
  <c r="G12941" i="1"/>
  <c r="F12941" i="1"/>
  <c r="E12941" i="1"/>
  <c r="D12941" i="1"/>
  <c r="C12941" i="1"/>
  <c r="B12941" i="1"/>
  <c r="A12941" i="1"/>
  <c r="S12940" i="1"/>
  <c r="O12940" i="1"/>
  <c r="K12940" i="1"/>
  <c r="J12940" i="1"/>
  <c r="I12940" i="1"/>
  <c r="H12940" i="1"/>
  <c r="G12940" i="1"/>
  <c r="F12940" i="1"/>
  <c r="E12940" i="1"/>
  <c r="D12940" i="1"/>
  <c r="C12940" i="1"/>
  <c r="B12940" i="1"/>
  <c r="A12940" i="1"/>
  <c r="R12939" i="1"/>
  <c r="J12939" i="1"/>
  <c r="I12939" i="1"/>
  <c r="G12939" i="1"/>
  <c r="F12939" i="1"/>
  <c r="E12939" i="1"/>
  <c r="D12939" i="1"/>
  <c r="C12939" i="1"/>
  <c r="B12939" i="1"/>
  <c r="A12939" i="1"/>
  <c r="R12938" i="1"/>
  <c r="J12938" i="1"/>
  <c r="I12938" i="1"/>
  <c r="G12938" i="1"/>
  <c r="F12938" i="1"/>
  <c r="E12938" i="1"/>
  <c r="D12938" i="1"/>
  <c r="C12938" i="1"/>
  <c r="B12938" i="1"/>
  <c r="A12938" i="1"/>
  <c r="S12937" i="1"/>
  <c r="O12937" i="1"/>
  <c r="K12937" i="1"/>
  <c r="J12937" i="1"/>
  <c r="I12937" i="1"/>
  <c r="H12937" i="1"/>
  <c r="G12937" i="1"/>
  <c r="F12937" i="1"/>
  <c r="E12937" i="1"/>
  <c r="D12937" i="1"/>
  <c r="C12937" i="1"/>
  <c r="B12937" i="1"/>
  <c r="A12937" i="1"/>
  <c r="R12936" i="1"/>
  <c r="J12936" i="1"/>
  <c r="I12936" i="1"/>
  <c r="G12936" i="1"/>
  <c r="F12936" i="1"/>
  <c r="E12936" i="1"/>
  <c r="D12936" i="1"/>
  <c r="C12936" i="1"/>
  <c r="B12936" i="1"/>
  <c r="A12936" i="1"/>
  <c r="R12935" i="1"/>
  <c r="J12935" i="1"/>
  <c r="I12935" i="1"/>
  <c r="G12935" i="1"/>
  <c r="F12935" i="1"/>
  <c r="E12935" i="1"/>
  <c r="D12935" i="1"/>
  <c r="C12935" i="1"/>
  <c r="B12935" i="1"/>
  <c r="A12935" i="1"/>
  <c r="S12934" i="1"/>
  <c r="O12934" i="1"/>
  <c r="K12934" i="1"/>
  <c r="J12934" i="1"/>
  <c r="I12934" i="1"/>
  <c r="H12934" i="1"/>
  <c r="G12934" i="1"/>
  <c r="F12934" i="1"/>
  <c r="E12934" i="1"/>
  <c r="D12934" i="1"/>
  <c r="C12934" i="1"/>
  <c r="B12934" i="1"/>
  <c r="A12934" i="1"/>
  <c r="R12933" i="1"/>
  <c r="J12933" i="1"/>
  <c r="I12933" i="1"/>
  <c r="G12933" i="1"/>
  <c r="F12933" i="1"/>
  <c r="E12933" i="1"/>
  <c r="D12933" i="1"/>
  <c r="C12933" i="1"/>
  <c r="B12933" i="1"/>
  <c r="A12933" i="1"/>
  <c r="S12932" i="1"/>
  <c r="O12932" i="1"/>
  <c r="K12932" i="1"/>
  <c r="J12932" i="1"/>
  <c r="I12932" i="1"/>
  <c r="H12932" i="1"/>
  <c r="G12932" i="1"/>
  <c r="F12932" i="1"/>
  <c r="E12932" i="1"/>
  <c r="D12932" i="1"/>
  <c r="C12932" i="1"/>
  <c r="B12932" i="1"/>
  <c r="A12932" i="1"/>
  <c r="R12931" i="1"/>
  <c r="J12931" i="1"/>
  <c r="I12931" i="1"/>
  <c r="G12931" i="1"/>
  <c r="F12931" i="1"/>
  <c r="E12931" i="1"/>
  <c r="D12931" i="1"/>
  <c r="C12931" i="1"/>
  <c r="B12931" i="1"/>
  <c r="A12931" i="1"/>
  <c r="S12930" i="1"/>
  <c r="O12930" i="1"/>
  <c r="K12930" i="1"/>
  <c r="J12930" i="1"/>
  <c r="I12930" i="1"/>
  <c r="H12930" i="1"/>
  <c r="G12930" i="1"/>
  <c r="F12930" i="1"/>
  <c r="E12930" i="1"/>
  <c r="D12930" i="1"/>
  <c r="C12930" i="1"/>
  <c r="B12930" i="1"/>
  <c r="A12930" i="1"/>
  <c r="R12929" i="1"/>
  <c r="J12929" i="1"/>
  <c r="I12929" i="1"/>
  <c r="G12929" i="1"/>
  <c r="F12929" i="1"/>
  <c r="E12929" i="1"/>
  <c r="D12929" i="1"/>
  <c r="C12929" i="1"/>
  <c r="B12929" i="1"/>
  <c r="A12929" i="1"/>
  <c r="R12928" i="1"/>
  <c r="J12928" i="1"/>
  <c r="I12928" i="1"/>
  <c r="G12928" i="1"/>
  <c r="F12928" i="1"/>
  <c r="E12928" i="1"/>
  <c r="D12928" i="1"/>
  <c r="C12928" i="1"/>
  <c r="B12928" i="1"/>
  <c r="A12928" i="1"/>
  <c r="S12927" i="1"/>
  <c r="O12927" i="1"/>
  <c r="K12927" i="1"/>
  <c r="J12927" i="1"/>
  <c r="I12927" i="1"/>
  <c r="H12927" i="1"/>
  <c r="G12927" i="1"/>
  <c r="F12927" i="1"/>
  <c r="E12927" i="1"/>
  <c r="D12927" i="1"/>
  <c r="C12927" i="1"/>
  <c r="B12927" i="1"/>
  <c r="A12927" i="1"/>
  <c r="R12926" i="1"/>
  <c r="J12926" i="1"/>
  <c r="I12926" i="1"/>
  <c r="G12926" i="1"/>
  <c r="F12926" i="1"/>
  <c r="E12926" i="1"/>
  <c r="D12926" i="1"/>
  <c r="C12926" i="1"/>
  <c r="B12926" i="1"/>
  <c r="A12926" i="1"/>
  <c r="S12925" i="1"/>
  <c r="O12925" i="1"/>
  <c r="K12925" i="1"/>
  <c r="J12925" i="1"/>
  <c r="I12925" i="1"/>
  <c r="H12925" i="1"/>
  <c r="G12925" i="1"/>
  <c r="F12925" i="1"/>
  <c r="E12925" i="1"/>
  <c r="D12925" i="1"/>
  <c r="C12925" i="1"/>
  <c r="B12925" i="1"/>
  <c r="A12925" i="1"/>
  <c r="R12924" i="1"/>
  <c r="J12924" i="1"/>
  <c r="I12924" i="1"/>
  <c r="G12924" i="1"/>
  <c r="F12924" i="1"/>
  <c r="E12924" i="1"/>
  <c r="D12924" i="1"/>
  <c r="C12924" i="1"/>
  <c r="B12924" i="1"/>
  <c r="A12924" i="1"/>
  <c r="S12923" i="1"/>
  <c r="O12923" i="1"/>
  <c r="K12923" i="1"/>
  <c r="J12923" i="1"/>
  <c r="I12923" i="1"/>
  <c r="H12923" i="1"/>
  <c r="G12923" i="1"/>
  <c r="F12923" i="1"/>
  <c r="E12923" i="1"/>
  <c r="D12923" i="1"/>
  <c r="C12923" i="1"/>
  <c r="B12923" i="1"/>
  <c r="A12923" i="1"/>
  <c r="R12922" i="1"/>
  <c r="J12922" i="1"/>
  <c r="I12922" i="1"/>
  <c r="G12922" i="1"/>
  <c r="F12922" i="1"/>
  <c r="E12922" i="1"/>
  <c r="D12922" i="1"/>
  <c r="C12922" i="1"/>
  <c r="B12922" i="1"/>
  <c r="A12922" i="1"/>
  <c r="R12921" i="1"/>
  <c r="J12921" i="1"/>
  <c r="I12921" i="1"/>
  <c r="G12921" i="1"/>
  <c r="F12921" i="1"/>
  <c r="E12921" i="1"/>
  <c r="D12921" i="1"/>
  <c r="C12921" i="1"/>
  <c r="B12921" i="1"/>
  <c r="A12921" i="1"/>
  <c r="S12920" i="1"/>
  <c r="O12920" i="1"/>
  <c r="K12920" i="1"/>
  <c r="J12920" i="1"/>
  <c r="I12920" i="1"/>
  <c r="H12920" i="1"/>
  <c r="G12920" i="1"/>
  <c r="F12920" i="1"/>
  <c r="E12920" i="1"/>
  <c r="D12920" i="1"/>
  <c r="C12920" i="1"/>
  <c r="B12920" i="1"/>
  <c r="A12920" i="1"/>
  <c r="R12919" i="1"/>
  <c r="J12919" i="1"/>
  <c r="I12919" i="1"/>
  <c r="G12919" i="1"/>
  <c r="F12919" i="1"/>
  <c r="E12919" i="1"/>
  <c r="D12919" i="1"/>
  <c r="C12919" i="1"/>
  <c r="B12919" i="1"/>
  <c r="A12919" i="1"/>
  <c r="S12918" i="1"/>
  <c r="O12918" i="1"/>
  <c r="K12918" i="1"/>
  <c r="J12918" i="1"/>
  <c r="I12918" i="1"/>
  <c r="H12918" i="1"/>
  <c r="G12918" i="1"/>
  <c r="F12918" i="1"/>
  <c r="E12918" i="1"/>
  <c r="D12918" i="1"/>
  <c r="C12918" i="1"/>
  <c r="B12918" i="1"/>
  <c r="A12918" i="1"/>
  <c r="R12917" i="1"/>
  <c r="J12917" i="1"/>
  <c r="I12917" i="1"/>
  <c r="G12917" i="1"/>
  <c r="F12917" i="1"/>
  <c r="E12917" i="1"/>
  <c r="D12917" i="1"/>
  <c r="C12917" i="1"/>
  <c r="B12917" i="1"/>
  <c r="A12917" i="1"/>
  <c r="S12916" i="1"/>
  <c r="O12916" i="1"/>
  <c r="K12916" i="1"/>
  <c r="J12916" i="1"/>
  <c r="I12916" i="1"/>
  <c r="H12916" i="1"/>
  <c r="G12916" i="1"/>
  <c r="F12916" i="1"/>
  <c r="E12916" i="1"/>
  <c r="D12916" i="1"/>
  <c r="C12916" i="1"/>
  <c r="B12916" i="1"/>
  <c r="A12916" i="1"/>
  <c r="R12915" i="1"/>
  <c r="J12915" i="1"/>
  <c r="I12915" i="1"/>
  <c r="G12915" i="1"/>
  <c r="F12915" i="1"/>
  <c r="E12915" i="1"/>
  <c r="D12915" i="1"/>
  <c r="C12915" i="1"/>
  <c r="B12915" i="1"/>
  <c r="A12915" i="1"/>
  <c r="S12914" i="1"/>
  <c r="O12914" i="1"/>
  <c r="K12914" i="1"/>
  <c r="J12914" i="1"/>
  <c r="I12914" i="1"/>
  <c r="H12914" i="1"/>
  <c r="G12914" i="1"/>
  <c r="F12914" i="1"/>
  <c r="E12914" i="1"/>
  <c r="D12914" i="1"/>
  <c r="C12914" i="1"/>
  <c r="B12914" i="1"/>
  <c r="A12914" i="1"/>
  <c r="R12913" i="1"/>
  <c r="J12913" i="1"/>
  <c r="I12913" i="1"/>
  <c r="G12913" i="1"/>
  <c r="F12913" i="1"/>
  <c r="E12913" i="1"/>
  <c r="D12913" i="1"/>
  <c r="C12913" i="1"/>
  <c r="B12913" i="1"/>
  <c r="A12913" i="1"/>
  <c r="S12912" i="1"/>
  <c r="O12912" i="1"/>
  <c r="K12912" i="1"/>
  <c r="J12912" i="1"/>
  <c r="I12912" i="1"/>
  <c r="H12912" i="1"/>
  <c r="G12912" i="1"/>
  <c r="F12912" i="1"/>
  <c r="E12912" i="1"/>
  <c r="D12912" i="1"/>
  <c r="C12912" i="1"/>
  <c r="B12912" i="1"/>
  <c r="A12912" i="1"/>
  <c r="R12911" i="1"/>
  <c r="J12911" i="1"/>
  <c r="I12911" i="1"/>
  <c r="G12911" i="1"/>
  <c r="F12911" i="1"/>
  <c r="E12911" i="1"/>
  <c r="D12911" i="1"/>
  <c r="C12911" i="1"/>
  <c r="B12911" i="1"/>
  <c r="A12911" i="1"/>
  <c r="S12910" i="1"/>
  <c r="O12910" i="1"/>
  <c r="K12910" i="1"/>
  <c r="J12910" i="1"/>
  <c r="I12910" i="1"/>
  <c r="H12910" i="1"/>
  <c r="G12910" i="1"/>
  <c r="F12910" i="1"/>
  <c r="E12910" i="1"/>
  <c r="D12910" i="1"/>
  <c r="C12910" i="1"/>
  <c r="B12910" i="1"/>
  <c r="A12910" i="1"/>
  <c r="R12909" i="1"/>
  <c r="J12909" i="1"/>
  <c r="I12909" i="1"/>
  <c r="G12909" i="1"/>
  <c r="F12909" i="1"/>
  <c r="E12909" i="1"/>
  <c r="D12909" i="1"/>
  <c r="C12909" i="1"/>
  <c r="B12909" i="1"/>
  <c r="A12909" i="1"/>
  <c r="S12908" i="1"/>
  <c r="O12908" i="1"/>
  <c r="K12908" i="1"/>
  <c r="J12908" i="1"/>
  <c r="I12908" i="1"/>
  <c r="H12908" i="1"/>
  <c r="G12908" i="1"/>
  <c r="F12908" i="1"/>
  <c r="E12908" i="1"/>
  <c r="D12908" i="1"/>
  <c r="C12908" i="1"/>
  <c r="B12908" i="1"/>
  <c r="A12908" i="1"/>
  <c r="R12907" i="1"/>
  <c r="J12907" i="1"/>
  <c r="I12907" i="1"/>
  <c r="G12907" i="1"/>
  <c r="F12907" i="1"/>
  <c r="E12907" i="1"/>
  <c r="D12907" i="1"/>
  <c r="C12907" i="1"/>
  <c r="B12907" i="1"/>
  <c r="A12907" i="1"/>
  <c r="S12906" i="1"/>
  <c r="O12906" i="1"/>
  <c r="K12906" i="1"/>
  <c r="J12906" i="1"/>
  <c r="I12906" i="1"/>
  <c r="H12906" i="1"/>
  <c r="G12906" i="1"/>
  <c r="F12906" i="1"/>
  <c r="E12906" i="1"/>
  <c r="D12906" i="1"/>
  <c r="C12906" i="1"/>
  <c r="B12906" i="1"/>
  <c r="A12906" i="1"/>
  <c r="R12905" i="1"/>
  <c r="J12905" i="1"/>
  <c r="I12905" i="1"/>
  <c r="G12905" i="1"/>
  <c r="F12905" i="1"/>
  <c r="E12905" i="1"/>
  <c r="D12905" i="1"/>
  <c r="C12905" i="1"/>
  <c r="B12905" i="1"/>
  <c r="A12905" i="1"/>
  <c r="S12904" i="1"/>
  <c r="O12904" i="1"/>
  <c r="K12904" i="1"/>
  <c r="J12904" i="1"/>
  <c r="I12904" i="1"/>
  <c r="H12904" i="1"/>
  <c r="G12904" i="1"/>
  <c r="F12904" i="1"/>
  <c r="E12904" i="1"/>
  <c r="D12904" i="1"/>
  <c r="C12904" i="1"/>
  <c r="B12904" i="1"/>
  <c r="A12904" i="1"/>
  <c r="R12903" i="1"/>
  <c r="J12903" i="1"/>
  <c r="I12903" i="1"/>
  <c r="G12903" i="1"/>
  <c r="F12903" i="1"/>
  <c r="E12903" i="1"/>
  <c r="D12903" i="1"/>
  <c r="C12903" i="1"/>
  <c r="B12903" i="1"/>
  <c r="A12903" i="1"/>
  <c r="R12902" i="1"/>
  <c r="J12902" i="1"/>
  <c r="I12902" i="1"/>
  <c r="G12902" i="1"/>
  <c r="F12902" i="1"/>
  <c r="E12902" i="1"/>
  <c r="D12902" i="1"/>
  <c r="C12902" i="1"/>
  <c r="B12902" i="1"/>
  <c r="A12902" i="1"/>
  <c r="S12901" i="1"/>
  <c r="O12901" i="1"/>
  <c r="K12901" i="1"/>
  <c r="J12901" i="1"/>
  <c r="I12901" i="1"/>
  <c r="H12901" i="1"/>
  <c r="G12901" i="1"/>
  <c r="F12901" i="1"/>
  <c r="E12901" i="1"/>
  <c r="D12901" i="1"/>
  <c r="C12901" i="1"/>
  <c r="B12901" i="1"/>
  <c r="A12901" i="1"/>
  <c r="R12900" i="1"/>
  <c r="J12900" i="1"/>
  <c r="I12900" i="1"/>
  <c r="G12900" i="1"/>
  <c r="F12900" i="1"/>
  <c r="E12900" i="1"/>
  <c r="D12900" i="1"/>
  <c r="C12900" i="1"/>
  <c r="B12900" i="1"/>
  <c r="A12900" i="1"/>
  <c r="S12899" i="1"/>
  <c r="O12899" i="1"/>
  <c r="K12899" i="1"/>
  <c r="J12899" i="1"/>
  <c r="I12899" i="1"/>
  <c r="H12899" i="1"/>
  <c r="G12899" i="1"/>
  <c r="F12899" i="1"/>
  <c r="E12899" i="1"/>
  <c r="D12899" i="1"/>
  <c r="C12899" i="1"/>
  <c r="B12899" i="1"/>
  <c r="A12899" i="1"/>
  <c r="R12898" i="1"/>
  <c r="J12898" i="1"/>
  <c r="I12898" i="1"/>
  <c r="G12898" i="1"/>
  <c r="F12898" i="1"/>
  <c r="E12898" i="1"/>
  <c r="D12898" i="1"/>
  <c r="C12898" i="1"/>
  <c r="B12898" i="1"/>
  <c r="A12898" i="1"/>
  <c r="S12897" i="1"/>
  <c r="O12897" i="1"/>
  <c r="K12897" i="1"/>
  <c r="J12897" i="1"/>
  <c r="I12897" i="1"/>
  <c r="H12897" i="1"/>
  <c r="G12897" i="1"/>
  <c r="F12897" i="1"/>
  <c r="E12897" i="1"/>
  <c r="D12897" i="1"/>
  <c r="C12897" i="1"/>
  <c r="B12897" i="1"/>
  <c r="A12897" i="1"/>
  <c r="R12896" i="1"/>
  <c r="J12896" i="1"/>
  <c r="I12896" i="1"/>
  <c r="G12896" i="1"/>
  <c r="F12896" i="1"/>
  <c r="E12896" i="1"/>
  <c r="D12896" i="1"/>
  <c r="C12896" i="1"/>
  <c r="B12896" i="1"/>
  <c r="A12896" i="1"/>
  <c r="R12895" i="1"/>
  <c r="J12895" i="1"/>
  <c r="I12895" i="1"/>
  <c r="G12895" i="1"/>
  <c r="F12895" i="1"/>
  <c r="E12895" i="1"/>
  <c r="D12895" i="1"/>
  <c r="C12895" i="1"/>
  <c r="B12895" i="1"/>
  <c r="A12895" i="1"/>
  <c r="S12894" i="1"/>
  <c r="O12894" i="1"/>
  <c r="K12894" i="1"/>
  <c r="J12894" i="1"/>
  <c r="I12894" i="1"/>
  <c r="H12894" i="1"/>
  <c r="G12894" i="1"/>
  <c r="F12894" i="1"/>
  <c r="E12894" i="1"/>
  <c r="D12894" i="1"/>
  <c r="C12894" i="1"/>
  <c r="B12894" i="1"/>
  <c r="A12894" i="1"/>
  <c r="R12893" i="1"/>
  <c r="J12893" i="1"/>
  <c r="I12893" i="1"/>
  <c r="G12893" i="1"/>
  <c r="F12893" i="1"/>
  <c r="E12893" i="1"/>
  <c r="D12893" i="1"/>
  <c r="C12893" i="1"/>
  <c r="B12893" i="1"/>
  <c r="A12893" i="1"/>
  <c r="S12892" i="1"/>
  <c r="O12892" i="1"/>
  <c r="K12892" i="1"/>
  <c r="J12892" i="1"/>
  <c r="I12892" i="1"/>
  <c r="H12892" i="1"/>
  <c r="G12892" i="1"/>
  <c r="F12892" i="1"/>
  <c r="E12892" i="1"/>
  <c r="D12892" i="1"/>
  <c r="C12892" i="1"/>
  <c r="B12892" i="1"/>
  <c r="A12892" i="1"/>
  <c r="R12891" i="1"/>
  <c r="J12891" i="1"/>
  <c r="I12891" i="1"/>
  <c r="G12891" i="1"/>
  <c r="F12891" i="1"/>
  <c r="E12891" i="1"/>
  <c r="D12891" i="1"/>
  <c r="C12891" i="1"/>
  <c r="B12891" i="1"/>
  <c r="A12891" i="1"/>
  <c r="S12890" i="1"/>
  <c r="O12890" i="1"/>
  <c r="K12890" i="1"/>
  <c r="J12890" i="1"/>
  <c r="I12890" i="1"/>
  <c r="H12890" i="1"/>
  <c r="G12890" i="1"/>
  <c r="F12890" i="1"/>
  <c r="E12890" i="1"/>
  <c r="D12890" i="1"/>
  <c r="C12890" i="1"/>
  <c r="B12890" i="1"/>
  <c r="A12890" i="1"/>
  <c r="R12889" i="1"/>
  <c r="J12889" i="1"/>
  <c r="I12889" i="1"/>
  <c r="G12889" i="1"/>
  <c r="F12889" i="1"/>
  <c r="E12889" i="1"/>
  <c r="D12889" i="1"/>
  <c r="C12889" i="1"/>
  <c r="B12889" i="1"/>
  <c r="A12889" i="1"/>
  <c r="S12888" i="1"/>
  <c r="O12888" i="1"/>
  <c r="K12888" i="1"/>
  <c r="J12888" i="1"/>
  <c r="I12888" i="1"/>
  <c r="H12888" i="1"/>
  <c r="G12888" i="1"/>
  <c r="F12888" i="1"/>
  <c r="E12888" i="1"/>
  <c r="D12888" i="1"/>
  <c r="C12888" i="1"/>
  <c r="B12888" i="1"/>
  <c r="A12888" i="1"/>
  <c r="R12887" i="1"/>
  <c r="J12887" i="1"/>
  <c r="I12887" i="1"/>
  <c r="G12887" i="1"/>
  <c r="F12887" i="1"/>
  <c r="E12887" i="1"/>
  <c r="D12887" i="1"/>
  <c r="C12887" i="1"/>
  <c r="B12887" i="1"/>
  <c r="A12887" i="1"/>
  <c r="S12886" i="1"/>
  <c r="O12886" i="1"/>
  <c r="K12886" i="1"/>
  <c r="J12886" i="1"/>
  <c r="I12886" i="1"/>
  <c r="H12886" i="1"/>
  <c r="G12886" i="1"/>
  <c r="F12886" i="1"/>
  <c r="E12886" i="1"/>
  <c r="D12886" i="1"/>
  <c r="C12886" i="1"/>
  <c r="B12886" i="1"/>
  <c r="A12886" i="1"/>
  <c r="R12885" i="1"/>
  <c r="J12885" i="1"/>
  <c r="I12885" i="1"/>
  <c r="G12885" i="1"/>
  <c r="F12885" i="1"/>
  <c r="E12885" i="1"/>
  <c r="D12885" i="1"/>
  <c r="C12885" i="1"/>
  <c r="B12885" i="1"/>
  <c r="A12885" i="1"/>
  <c r="S12884" i="1"/>
  <c r="O12884" i="1"/>
  <c r="K12884" i="1"/>
  <c r="J12884" i="1"/>
  <c r="I12884" i="1"/>
  <c r="H12884" i="1"/>
  <c r="G12884" i="1"/>
  <c r="F12884" i="1"/>
  <c r="E12884" i="1"/>
  <c r="D12884" i="1"/>
  <c r="C12884" i="1"/>
  <c r="B12884" i="1"/>
  <c r="A12884" i="1"/>
  <c r="R12883" i="1"/>
  <c r="J12883" i="1"/>
  <c r="I12883" i="1"/>
  <c r="G12883" i="1"/>
  <c r="F12883" i="1"/>
  <c r="E12883" i="1"/>
  <c r="D12883" i="1"/>
  <c r="C12883" i="1"/>
  <c r="B12883" i="1"/>
  <c r="A12883" i="1"/>
  <c r="S12882" i="1"/>
  <c r="O12882" i="1"/>
  <c r="K12882" i="1"/>
  <c r="J12882" i="1"/>
  <c r="I12882" i="1"/>
  <c r="H12882" i="1"/>
  <c r="G12882" i="1"/>
  <c r="F12882" i="1"/>
  <c r="E12882" i="1"/>
  <c r="D12882" i="1"/>
  <c r="C12882" i="1"/>
  <c r="B12882" i="1"/>
  <c r="A12882" i="1"/>
  <c r="R12881" i="1"/>
  <c r="J12881" i="1"/>
  <c r="I12881" i="1"/>
  <c r="G12881" i="1"/>
  <c r="F12881" i="1"/>
  <c r="E12881" i="1"/>
  <c r="D12881" i="1"/>
  <c r="C12881" i="1"/>
  <c r="B12881" i="1"/>
  <c r="A12881" i="1"/>
  <c r="S12880" i="1"/>
  <c r="O12880" i="1"/>
  <c r="K12880" i="1"/>
  <c r="J12880" i="1"/>
  <c r="I12880" i="1"/>
  <c r="H12880" i="1"/>
  <c r="G12880" i="1"/>
  <c r="F12880" i="1"/>
  <c r="E12880" i="1"/>
  <c r="D12880" i="1"/>
  <c r="C12880" i="1"/>
  <c r="B12880" i="1"/>
  <c r="A12880" i="1"/>
  <c r="R12879" i="1"/>
  <c r="J12879" i="1"/>
  <c r="I12879" i="1"/>
  <c r="G12879" i="1"/>
  <c r="F12879" i="1"/>
  <c r="E12879" i="1"/>
  <c r="D12879" i="1"/>
  <c r="C12879" i="1"/>
  <c r="B12879" i="1"/>
  <c r="A12879" i="1"/>
  <c r="S12878" i="1"/>
  <c r="O12878" i="1"/>
  <c r="K12878" i="1"/>
  <c r="J12878" i="1"/>
  <c r="I12878" i="1"/>
  <c r="H12878" i="1"/>
  <c r="G12878" i="1"/>
  <c r="F12878" i="1"/>
  <c r="E12878" i="1"/>
  <c r="D12878" i="1"/>
  <c r="C12878" i="1"/>
  <c r="B12878" i="1"/>
  <c r="A12878" i="1"/>
  <c r="R12877" i="1"/>
  <c r="J12877" i="1"/>
  <c r="I12877" i="1"/>
  <c r="G12877" i="1"/>
  <c r="F12877" i="1"/>
  <c r="E12877" i="1"/>
  <c r="D12877" i="1"/>
  <c r="C12877" i="1"/>
  <c r="B12877" i="1"/>
  <c r="A12877" i="1"/>
  <c r="S12876" i="1"/>
  <c r="O12876" i="1"/>
  <c r="K12876" i="1"/>
  <c r="J12876" i="1"/>
  <c r="I12876" i="1"/>
  <c r="H12876" i="1"/>
  <c r="G12876" i="1"/>
  <c r="F12876" i="1"/>
  <c r="E12876" i="1"/>
  <c r="D12876" i="1"/>
  <c r="C12876" i="1"/>
  <c r="B12876" i="1"/>
  <c r="A12876" i="1"/>
  <c r="R12875" i="1"/>
  <c r="J12875" i="1"/>
  <c r="I12875" i="1"/>
  <c r="G12875" i="1"/>
  <c r="F12875" i="1"/>
  <c r="E12875" i="1"/>
  <c r="D12875" i="1"/>
  <c r="C12875" i="1"/>
  <c r="B12875" i="1"/>
  <c r="A12875" i="1"/>
  <c r="S12874" i="1"/>
  <c r="O12874" i="1"/>
  <c r="K12874" i="1"/>
  <c r="J12874" i="1"/>
  <c r="I12874" i="1"/>
  <c r="H12874" i="1"/>
  <c r="G12874" i="1"/>
  <c r="F12874" i="1"/>
  <c r="E12874" i="1"/>
  <c r="D12874" i="1"/>
  <c r="C12874" i="1"/>
  <c r="B12874" i="1"/>
  <c r="A12874" i="1"/>
  <c r="R12873" i="1"/>
  <c r="J12873" i="1"/>
  <c r="I12873" i="1"/>
  <c r="G12873" i="1"/>
  <c r="F12873" i="1"/>
  <c r="E12873" i="1"/>
  <c r="D12873" i="1"/>
  <c r="C12873" i="1"/>
  <c r="B12873" i="1"/>
  <c r="A12873" i="1"/>
  <c r="S12872" i="1"/>
  <c r="O12872" i="1"/>
  <c r="K12872" i="1"/>
  <c r="J12872" i="1"/>
  <c r="I12872" i="1"/>
  <c r="H12872" i="1"/>
  <c r="G12872" i="1"/>
  <c r="F12872" i="1"/>
  <c r="E12872" i="1"/>
  <c r="D12872" i="1"/>
  <c r="C12872" i="1"/>
  <c r="B12872" i="1"/>
  <c r="A12872" i="1"/>
  <c r="R12871" i="1"/>
  <c r="J12871" i="1"/>
  <c r="I12871" i="1"/>
  <c r="G12871" i="1"/>
  <c r="F12871" i="1"/>
  <c r="E12871" i="1"/>
  <c r="D12871" i="1"/>
  <c r="C12871" i="1"/>
  <c r="B12871" i="1"/>
  <c r="A12871" i="1"/>
  <c r="S12870" i="1"/>
  <c r="O12870" i="1"/>
  <c r="K12870" i="1"/>
  <c r="J12870" i="1"/>
  <c r="I12870" i="1"/>
  <c r="H12870" i="1"/>
  <c r="G12870" i="1"/>
  <c r="F12870" i="1"/>
  <c r="E12870" i="1"/>
  <c r="D12870" i="1"/>
  <c r="C12870" i="1"/>
  <c r="B12870" i="1"/>
  <c r="A12870" i="1"/>
  <c r="R12869" i="1"/>
  <c r="J12869" i="1"/>
  <c r="I12869" i="1"/>
  <c r="G12869" i="1"/>
  <c r="F12869" i="1"/>
  <c r="E12869" i="1"/>
  <c r="D12869" i="1"/>
  <c r="C12869" i="1"/>
  <c r="B12869" i="1"/>
  <c r="A12869" i="1"/>
  <c r="R12868" i="1"/>
  <c r="J12868" i="1"/>
  <c r="I12868" i="1"/>
  <c r="G12868" i="1"/>
  <c r="F12868" i="1"/>
  <c r="E12868" i="1"/>
  <c r="D12868" i="1"/>
  <c r="C12868" i="1"/>
  <c r="B12868" i="1"/>
  <c r="A12868" i="1"/>
  <c r="S12867" i="1"/>
  <c r="O12867" i="1"/>
  <c r="K12867" i="1"/>
  <c r="J12867" i="1"/>
  <c r="I12867" i="1"/>
  <c r="H12867" i="1"/>
  <c r="G12867" i="1"/>
  <c r="F12867" i="1"/>
  <c r="E12867" i="1"/>
  <c r="D12867" i="1"/>
  <c r="C12867" i="1"/>
  <c r="B12867" i="1"/>
  <c r="A12867" i="1"/>
  <c r="R12866" i="1"/>
  <c r="J12866" i="1"/>
  <c r="I12866" i="1"/>
  <c r="G12866" i="1"/>
  <c r="F12866" i="1"/>
  <c r="E12866" i="1"/>
  <c r="D12866" i="1"/>
  <c r="C12866" i="1"/>
  <c r="B12866" i="1"/>
  <c r="A12866" i="1"/>
  <c r="S12865" i="1"/>
  <c r="O12865" i="1"/>
  <c r="K12865" i="1"/>
  <c r="J12865" i="1"/>
  <c r="I12865" i="1"/>
  <c r="H12865" i="1"/>
  <c r="G12865" i="1"/>
  <c r="F12865" i="1"/>
  <c r="E12865" i="1"/>
  <c r="D12865" i="1"/>
  <c r="C12865" i="1"/>
  <c r="B12865" i="1"/>
  <c r="A12865" i="1"/>
  <c r="R12864" i="1"/>
  <c r="J12864" i="1"/>
  <c r="I12864" i="1"/>
  <c r="G12864" i="1"/>
  <c r="F12864" i="1"/>
  <c r="E12864" i="1"/>
  <c r="D12864" i="1"/>
  <c r="C12864" i="1"/>
  <c r="B12864" i="1"/>
  <c r="A12864" i="1"/>
  <c r="S12863" i="1"/>
  <c r="O12863" i="1"/>
  <c r="K12863" i="1"/>
  <c r="J12863" i="1"/>
  <c r="I12863" i="1"/>
  <c r="H12863" i="1"/>
  <c r="G12863" i="1"/>
  <c r="F12863" i="1"/>
  <c r="E12863" i="1"/>
  <c r="D12863" i="1"/>
  <c r="C12863" i="1"/>
  <c r="B12863" i="1"/>
  <c r="A12863" i="1"/>
  <c r="R12862" i="1"/>
  <c r="J12862" i="1"/>
  <c r="I12862" i="1"/>
  <c r="G12862" i="1"/>
  <c r="F12862" i="1"/>
  <c r="E12862" i="1"/>
  <c r="D12862" i="1"/>
  <c r="C12862" i="1"/>
  <c r="B12862" i="1"/>
  <c r="A12862" i="1"/>
  <c r="S12861" i="1"/>
  <c r="O12861" i="1"/>
  <c r="K12861" i="1"/>
  <c r="J12861" i="1"/>
  <c r="I12861" i="1"/>
  <c r="H12861" i="1"/>
  <c r="G12861" i="1"/>
  <c r="F12861" i="1"/>
  <c r="E12861" i="1"/>
  <c r="D12861" i="1"/>
  <c r="C12861" i="1"/>
  <c r="B12861" i="1"/>
  <c r="A12861" i="1"/>
  <c r="R12860" i="1"/>
  <c r="J12860" i="1"/>
  <c r="I12860" i="1"/>
  <c r="G12860" i="1"/>
  <c r="F12860" i="1"/>
  <c r="E12860" i="1"/>
  <c r="D12860" i="1"/>
  <c r="C12860" i="1"/>
  <c r="B12860" i="1"/>
  <c r="A12860" i="1"/>
  <c r="S12859" i="1"/>
  <c r="O12859" i="1"/>
  <c r="K12859" i="1"/>
  <c r="J12859" i="1"/>
  <c r="I12859" i="1"/>
  <c r="H12859" i="1"/>
  <c r="G12859" i="1"/>
  <c r="F12859" i="1"/>
  <c r="E12859" i="1"/>
  <c r="D12859" i="1"/>
  <c r="C12859" i="1"/>
  <c r="B12859" i="1"/>
  <c r="A12859" i="1"/>
  <c r="R12858" i="1"/>
  <c r="J12858" i="1"/>
  <c r="I12858" i="1"/>
  <c r="G12858" i="1"/>
  <c r="F12858" i="1"/>
  <c r="E12858" i="1"/>
  <c r="D12858" i="1"/>
  <c r="C12858" i="1"/>
  <c r="B12858" i="1"/>
  <c r="A12858" i="1"/>
  <c r="S12857" i="1"/>
  <c r="O12857" i="1"/>
  <c r="K12857" i="1"/>
  <c r="J12857" i="1"/>
  <c r="I12857" i="1"/>
  <c r="H12857" i="1"/>
  <c r="G12857" i="1"/>
  <c r="F12857" i="1"/>
  <c r="E12857" i="1"/>
  <c r="D12857" i="1"/>
  <c r="C12857" i="1"/>
  <c r="B12857" i="1"/>
  <c r="A12857" i="1"/>
  <c r="R12856" i="1"/>
  <c r="J12856" i="1"/>
  <c r="I12856" i="1"/>
  <c r="G12856" i="1"/>
  <c r="F12856" i="1"/>
  <c r="E12856" i="1"/>
  <c r="D12856" i="1"/>
  <c r="C12856" i="1"/>
  <c r="B12856" i="1"/>
  <c r="A12856" i="1"/>
  <c r="S12855" i="1"/>
  <c r="O12855" i="1"/>
  <c r="K12855" i="1"/>
  <c r="J12855" i="1"/>
  <c r="I12855" i="1"/>
  <c r="H12855" i="1"/>
  <c r="G12855" i="1"/>
  <c r="F12855" i="1"/>
  <c r="E12855" i="1"/>
  <c r="D12855" i="1"/>
  <c r="C12855" i="1"/>
  <c r="B12855" i="1"/>
  <c r="A12855" i="1"/>
  <c r="R12854" i="1"/>
  <c r="J12854" i="1"/>
  <c r="I12854" i="1"/>
  <c r="G12854" i="1"/>
  <c r="F12854" i="1"/>
  <c r="E12854" i="1"/>
  <c r="D12854" i="1"/>
  <c r="C12854" i="1"/>
  <c r="B12854" i="1"/>
  <c r="A12854" i="1"/>
  <c r="S12853" i="1"/>
  <c r="O12853" i="1"/>
  <c r="K12853" i="1"/>
  <c r="J12853" i="1"/>
  <c r="I12853" i="1"/>
  <c r="H12853" i="1"/>
  <c r="G12853" i="1"/>
  <c r="F12853" i="1"/>
  <c r="E12853" i="1"/>
  <c r="D12853" i="1"/>
  <c r="C12853" i="1"/>
  <c r="B12853" i="1"/>
  <c r="A12853" i="1"/>
  <c r="R12852" i="1"/>
  <c r="J12852" i="1"/>
  <c r="I12852" i="1"/>
  <c r="G12852" i="1"/>
  <c r="F12852" i="1"/>
  <c r="E12852" i="1"/>
  <c r="D12852" i="1"/>
  <c r="C12852" i="1"/>
  <c r="B12852" i="1"/>
  <c r="A12852" i="1"/>
  <c r="S12851" i="1"/>
  <c r="O12851" i="1"/>
  <c r="K12851" i="1"/>
  <c r="J12851" i="1"/>
  <c r="I12851" i="1"/>
  <c r="H12851" i="1"/>
  <c r="G12851" i="1"/>
  <c r="F12851" i="1"/>
  <c r="E12851" i="1"/>
  <c r="D12851" i="1"/>
  <c r="C12851" i="1"/>
  <c r="B12851" i="1"/>
  <c r="A12851" i="1"/>
  <c r="R12850" i="1"/>
  <c r="J12850" i="1"/>
  <c r="I12850" i="1"/>
  <c r="G12850" i="1"/>
  <c r="F12850" i="1"/>
  <c r="E12850" i="1"/>
  <c r="D12850" i="1"/>
  <c r="C12850" i="1"/>
  <c r="B12850" i="1"/>
  <c r="A12850" i="1"/>
  <c r="R12849" i="1"/>
  <c r="J12849" i="1"/>
  <c r="I12849" i="1"/>
  <c r="G12849" i="1"/>
  <c r="F12849" i="1"/>
  <c r="E12849" i="1"/>
  <c r="D12849" i="1"/>
  <c r="C12849" i="1"/>
  <c r="B12849" i="1"/>
  <c r="A12849" i="1"/>
  <c r="S12848" i="1"/>
  <c r="O12848" i="1"/>
  <c r="K12848" i="1"/>
  <c r="J12848" i="1"/>
  <c r="I12848" i="1"/>
  <c r="H12848" i="1"/>
  <c r="G12848" i="1"/>
  <c r="F12848" i="1"/>
  <c r="E12848" i="1"/>
  <c r="D12848" i="1"/>
  <c r="C12848" i="1"/>
  <c r="B12848" i="1"/>
  <c r="A12848" i="1"/>
  <c r="R12847" i="1"/>
  <c r="J12847" i="1"/>
  <c r="I12847" i="1"/>
  <c r="G12847" i="1"/>
  <c r="F12847" i="1"/>
  <c r="E12847" i="1"/>
  <c r="D12847" i="1"/>
  <c r="C12847" i="1"/>
  <c r="B12847" i="1"/>
  <c r="A12847" i="1"/>
  <c r="S12846" i="1"/>
  <c r="O12846" i="1"/>
  <c r="K12846" i="1"/>
  <c r="J12846" i="1"/>
  <c r="I12846" i="1"/>
  <c r="H12846" i="1"/>
  <c r="G12846" i="1"/>
  <c r="F12846" i="1"/>
  <c r="E12846" i="1"/>
  <c r="D12846" i="1"/>
  <c r="C12846" i="1"/>
  <c r="B12846" i="1"/>
  <c r="A12846" i="1"/>
  <c r="R12845" i="1"/>
  <c r="J12845" i="1"/>
  <c r="I12845" i="1"/>
  <c r="G12845" i="1"/>
  <c r="F12845" i="1"/>
  <c r="E12845" i="1"/>
  <c r="D12845" i="1"/>
  <c r="C12845" i="1"/>
  <c r="B12845" i="1"/>
  <c r="A12845" i="1"/>
  <c r="R12844" i="1"/>
  <c r="J12844" i="1"/>
  <c r="I12844" i="1"/>
  <c r="G12844" i="1"/>
  <c r="F12844" i="1"/>
  <c r="E12844" i="1"/>
  <c r="D12844" i="1"/>
  <c r="C12844" i="1"/>
  <c r="B12844" i="1"/>
  <c r="A12844" i="1"/>
  <c r="S12843" i="1"/>
  <c r="O12843" i="1"/>
  <c r="K12843" i="1"/>
  <c r="J12843" i="1"/>
  <c r="I12843" i="1"/>
  <c r="H12843" i="1"/>
  <c r="G12843" i="1"/>
  <c r="F12843" i="1"/>
  <c r="E12843" i="1"/>
  <c r="D12843" i="1"/>
  <c r="C12843" i="1"/>
  <c r="B12843" i="1"/>
  <c r="A12843" i="1"/>
  <c r="R12842" i="1"/>
  <c r="J12842" i="1"/>
  <c r="I12842" i="1"/>
  <c r="G12842" i="1"/>
  <c r="F12842" i="1"/>
  <c r="E12842" i="1"/>
  <c r="D12842" i="1"/>
  <c r="C12842" i="1"/>
  <c r="B12842" i="1"/>
  <c r="A12842" i="1"/>
  <c r="S12841" i="1"/>
  <c r="O12841" i="1"/>
  <c r="K12841" i="1"/>
  <c r="J12841" i="1"/>
  <c r="I12841" i="1"/>
  <c r="H12841" i="1"/>
  <c r="G12841" i="1"/>
  <c r="F12841" i="1"/>
  <c r="E12841" i="1"/>
  <c r="D12841" i="1"/>
  <c r="C12841" i="1"/>
  <c r="B12841" i="1"/>
  <c r="A12841" i="1"/>
  <c r="R12840" i="1"/>
  <c r="J12840" i="1"/>
  <c r="I12840" i="1"/>
  <c r="G12840" i="1"/>
  <c r="F12840" i="1"/>
  <c r="E12840" i="1"/>
  <c r="D12840" i="1"/>
  <c r="C12840" i="1"/>
  <c r="B12840" i="1"/>
  <c r="A12840" i="1"/>
  <c r="S12839" i="1"/>
  <c r="O12839" i="1"/>
  <c r="K12839" i="1"/>
  <c r="J12839" i="1"/>
  <c r="I12839" i="1"/>
  <c r="H12839" i="1"/>
  <c r="G12839" i="1"/>
  <c r="F12839" i="1"/>
  <c r="E12839" i="1"/>
  <c r="D12839" i="1"/>
  <c r="C12839" i="1"/>
  <c r="B12839" i="1"/>
  <c r="A12839" i="1"/>
  <c r="R12838" i="1"/>
  <c r="J12838" i="1"/>
  <c r="I12838" i="1"/>
  <c r="G12838" i="1"/>
  <c r="F12838" i="1"/>
  <c r="E12838" i="1"/>
  <c r="D12838" i="1"/>
  <c r="C12838" i="1"/>
  <c r="B12838" i="1"/>
  <c r="A12838" i="1"/>
  <c r="S12837" i="1"/>
  <c r="O12837" i="1"/>
  <c r="K12837" i="1"/>
  <c r="J12837" i="1"/>
  <c r="I12837" i="1"/>
  <c r="H12837" i="1"/>
  <c r="G12837" i="1"/>
  <c r="F12837" i="1"/>
  <c r="E12837" i="1"/>
  <c r="D12837" i="1"/>
  <c r="C12837" i="1"/>
  <c r="B12837" i="1"/>
  <c r="A12837" i="1"/>
  <c r="R12836" i="1"/>
  <c r="J12836" i="1"/>
  <c r="I12836" i="1"/>
  <c r="G12836" i="1"/>
  <c r="F12836" i="1"/>
  <c r="E12836" i="1"/>
  <c r="D12836" i="1"/>
  <c r="C12836" i="1"/>
  <c r="B12836" i="1"/>
  <c r="A12836" i="1"/>
  <c r="S12835" i="1"/>
  <c r="O12835" i="1"/>
  <c r="K12835" i="1"/>
  <c r="J12835" i="1"/>
  <c r="I12835" i="1"/>
  <c r="H12835" i="1"/>
  <c r="G12835" i="1"/>
  <c r="F12835" i="1"/>
  <c r="E12835" i="1"/>
  <c r="D12835" i="1"/>
  <c r="C12835" i="1"/>
  <c r="B12835" i="1"/>
  <c r="A12835" i="1"/>
  <c r="R12834" i="1"/>
  <c r="J12834" i="1"/>
  <c r="I12834" i="1"/>
  <c r="G12834" i="1"/>
  <c r="F12834" i="1"/>
  <c r="E12834" i="1"/>
  <c r="D12834" i="1"/>
  <c r="C12834" i="1"/>
  <c r="B12834" i="1"/>
  <c r="A12834" i="1"/>
  <c r="S12833" i="1"/>
  <c r="O12833" i="1"/>
  <c r="K12833" i="1"/>
  <c r="J12833" i="1"/>
  <c r="I12833" i="1"/>
  <c r="H12833" i="1"/>
  <c r="G12833" i="1"/>
  <c r="F12833" i="1"/>
  <c r="E12833" i="1"/>
  <c r="D12833" i="1"/>
  <c r="C12833" i="1"/>
  <c r="B12833" i="1"/>
  <c r="A12833" i="1"/>
  <c r="R12832" i="1"/>
  <c r="J12832" i="1"/>
  <c r="I12832" i="1"/>
  <c r="G12832" i="1"/>
  <c r="F12832" i="1"/>
  <c r="E12832" i="1"/>
  <c r="D12832" i="1"/>
  <c r="C12832" i="1"/>
  <c r="B12832" i="1"/>
  <c r="A12832" i="1"/>
  <c r="S12831" i="1"/>
  <c r="O12831" i="1"/>
  <c r="K12831" i="1"/>
  <c r="J12831" i="1"/>
  <c r="I12831" i="1"/>
  <c r="H12831" i="1"/>
  <c r="G12831" i="1"/>
  <c r="F12831" i="1"/>
  <c r="E12831" i="1"/>
  <c r="D12831" i="1"/>
  <c r="C12831" i="1"/>
  <c r="B12831" i="1"/>
  <c r="A12831" i="1"/>
  <c r="R12830" i="1"/>
  <c r="J12830" i="1"/>
  <c r="I12830" i="1"/>
  <c r="G12830" i="1"/>
  <c r="F12830" i="1"/>
  <c r="E12830" i="1"/>
  <c r="D12830" i="1"/>
  <c r="C12830" i="1"/>
  <c r="B12830" i="1"/>
  <c r="A12830" i="1"/>
  <c r="S12829" i="1"/>
  <c r="O12829" i="1"/>
  <c r="K12829" i="1"/>
  <c r="J12829" i="1"/>
  <c r="I12829" i="1"/>
  <c r="H12829" i="1"/>
  <c r="G12829" i="1"/>
  <c r="F12829" i="1"/>
  <c r="E12829" i="1"/>
  <c r="D12829" i="1"/>
  <c r="C12829" i="1"/>
  <c r="B12829" i="1"/>
  <c r="A12829" i="1"/>
  <c r="R12828" i="1"/>
  <c r="J12828" i="1"/>
  <c r="I12828" i="1"/>
  <c r="G12828" i="1"/>
  <c r="F12828" i="1"/>
  <c r="E12828" i="1"/>
  <c r="D12828" i="1"/>
  <c r="C12828" i="1"/>
  <c r="B12828" i="1"/>
  <c r="A12828" i="1"/>
  <c r="S12827" i="1"/>
  <c r="O12827" i="1"/>
  <c r="K12827" i="1"/>
  <c r="J12827" i="1"/>
  <c r="I12827" i="1"/>
  <c r="H12827" i="1"/>
  <c r="G12827" i="1"/>
  <c r="F12827" i="1"/>
  <c r="E12827" i="1"/>
  <c r="D12827" i="1"/>
  <c r="C12827" i="1"/>
  <c r="B12827" i="1"/>
  <c r="A12827" i="1"/>
  <c r="R12826" i="1"/>
  <c r="J12826" i="1"/>
  <c r="I12826" i="1"/>
  <c r="G12826" i="1"/>
  <c r="F12826" i="1"/>
  <c r="E12826" i="1"/>
  <c r="D12826" i="1"/>
  <c r="C12826" i="1"/>
  <c r="B12826" i="1"/>
  <c r="A12826" i="1"/>
  <c r="S12825" i="1"/>
  <c r="O12825" i="1"/>
  <c r="K12825" i="1"/>
  <c r="J12825" i="1"/>
  <c r="I12825" i="1"/>
  <c r="H12825" i="1"/>
  <c r="G12825" i="1"/>
  <c r="F12825" i="1"/>
  <c r="E12825" i="1"/>
  <c r="D12825" i="1"/>
  <c r="C12825" i="1"/>
  <c r="B12825" i="1"/>
  <c r="A12825" i="1"/>
  <c r="R12824" i="1"/>
  <c r="J12824" i="1"/>
  <c r="I12824" i="1"/>
  <c r="G12824" i="1"/>
  <c r="F12824" i="1"/>
  <c r="E12824" i="1"/>
  <c r="D12824" i="1"/>
  <c r="C12824" i="1"/>
  <c r="B12824" i="1"/>
  <c r="A12824" i="1"/>
  <c r="S12823" i="1"/>
  <c r="O12823" i="1"/>
  <c r="K12823" i="1"/>
  <c r="J12823" i="1"/>
  <c r="I12823" i="1"/>
  <c r="H12823" i="1"/>
  <c r="G12823" i="1"/>
  <c r="F12823" i="1"/>
  <c r="E12823" i="1"/>
  <c r="D12823" i="1"/>
  <c r="C12823" i="1"/>
  <c r="B12823" i="1"/>
  <c r="A12823" i="1"/>
  <c r="R12822" i="1"/>
  <c r="J12822" i="1"/>
  <c r="I12822" i="1"/>
  <c r="G12822" i="1"/>
  <c r="F12822" i="1"/>
  <c r="E12822" i="1"/>
  <c r="D12822" i="1"/>
  <c r="C12822" i="1"/>
  <c r="B12822" i="1"/>
  <c r="A12822" i="1"/>
  <c r="S12821" i="1"/>
  <c r="O12821" i="1"/>
  <c r="K12821" i="1"/>
  <c r="J12821" i="1"/>
  <c r="I12821" i="1"/>
  <c r="H12821" i="1"/>
  <c r="G12821" i="1"/>
  <c r="F12821" i="1"/>
  <c r="E12821" i="1"/>
  <c r="D12821" i="1"/>
  <c r="C12821" i="1"/>
  <c r="B12821" i="1"/>
  <c r="A12821" i="1"/>
  <c r="R12820" i="1"/>
  <c r="J12820" i="1"/>
  <c r="I12820" i="1"/>
  <c r="G12820" i="1"/>
  <c r="F12820" i="1"/>
  <c r="E12820" i="1"/>
  <c r="D12820" i="1"/>
  <c r="C12820" i="1"/>
  <c r="B12820" i="1"/>
  <c r="A12820" i="1"/>
  <c r="R12819" i="1"/>
  <c r="J12819" i="1"/>
  <c r="I12819" i="1"/>
  <c r="G12819" i="1"/>
  <c r="F12819" i="1"/>
  <c r="E12819" i="1"/>
  <c r="D12819" i="1"/>
  <c r="C12819" i="1"/>
  <c r="B12819" i="1"/>
  <c r="A12819" i="1"/>
  <c r="S12818" i="1"/>
  <c r="O12818" i="1"/>
  <c r="K12818" i="1"/>
  <c r="J12818" i="1"/>
  <c r="I12818" i="1"/>
  <c r="H12818" i="1"/>
  <c r="G12818" i="1"/>
  <c r="F12818" i="1"/>
  <c r="E12818" i="1"/>
  <c r="D12818" i="1"/>
  <c r="C12818" i="1"/>
  <c r="B12818" i="1"/>
  <c r="A12818" i="1"/>
  <c r="R12817" i="1"/>
  <c r="J12817" i="1"/>
  <c r="I12817" i="1"/>
  <c r="G12817" i="1"/>
  <c r="F12817" i="1"/>
  <c r="E12817" i="1"/>
  <c r="D12817" i="1"/>
  <c r="C12817" i="1"/>
  <c r="B12817" i="1"/>
  <c r="A12817" i="1"/>
  <c r="S12816" i="1"/>
  <c r="O12816" i="1"/>
  <c r="K12816" i="1"/>
  <c r="J12816" i="1"/>
  <c r="I12816" i="1"/>
  <c r="H12816" i="1"/>
  <c r="G12816" i="1"/>
  <c r="F12816" i="1"/>
  <c r="E12816" i="1"/>
  <c r="D12816" i="1"/>
  <c r="C12816" i="1"/>
  <c r="B12816" i="1"/>
  <c r="A12816" i="1"/>
  <c r="R12815" i="1"/>
  <c r="J12815" i="1"/>
  <c r="I12815" i="1"/>
  <c r="G12815" i="1"/>
  <c r="F12815" i="1"/>
  <c r="E12815" i="1"/>
  <c r="D12815" i="1"/>
  <c r="C12815" i="1"/>
  <c r="B12815" i="1"/>
  <c r="A12815" i="1"/>
  <c r="S12814" i="1"/>
  <c r="O12814" i="1"/>
  <c r="K12814" i="1"/>
  <c r="J12814" i="1"/>
  <c r="I12814" i="1"/>
  <c r="H12814" i="1"/>
  <c r="G12814" i="1"/>
  <c r="F12814" i="1"/>
  <c r="E12814" i="1"/>
  <c r="D12814" i="1"/>
  <c r="C12814" i="1"/>
  <c r="B12814" i="1"/>
  <c r="A12814" i="1"/>
  <c r="R12813" i="1"/>
  <c r="J12813" i="1"/>
  <c r="I12813" i="1"/>
  <c r="G12813" i="1"/>
  <c r="F12813" i="1"/>
  <c r="E12813" i="1"/>
  <c r="D12813" i="1"/>
  <c r="C12813" i="1"/>
  <c r="B12813" i="1"/>
  <c r="A12813" i="1"/>
  <c r="R12812" i="1"/>
  <c r="J12812" i="1"/>
  <c r="I12812" i="1"/>
  <c r="G12812" i="1"/>
  <c r="F12812" i="1"/>
  <c r="E12812" i="1"/>
  <c r="D12812" i="1"/>
  <c r="C12812" i="1"/>
  <c r="B12812" i="1"/>
  <c r="A12812" i="1"/>
  <c r="S12811" i="1"/>
  <c r="O12811" i="1"/>
  <c r="K12811" i="1"/>
  <c r="J12811" i="1"/>
  <c r="I12811" i="1"/>
  <c r="H12811" i="1"/>
  <c r="G12811" i="1"/>
  <c r="F12811" i="1"/>
  <c r="E12811" i="1"/>
  <c r="D12811" i="1"/>
  <c r="C12811" i="1"/>
  <c r="B12811" i="1"/>
  <c r="A12811" i="1"/>
  <c r="R12810" i="1"/>
  <c r="J12810" i="1"/>
  <c r="I12810" i="1"/>
  <c r="G12810" i="1"/>
  <c r="F12810" i="1"/>
  <c r="E12810" i="1"/>
  <c r="D12810" i="1"/>
  <c r="C12810" i="1"/>
  <c r="B12810" i="1"/>
  <c r="A12810" i="1"/>
  <c r="S12809" i="1"/>
  <c r="O12809" i="1"/>
  <c r="K12809" i="1"/>
  <c r="J12809" i="1"/>
  <c r="I12809" i="1"/>
  <c r="H12809" i="1"/>
  <c r="G12809" i="1"/>
  <c r="F12809" i="1"/>
  <c r="E12809" i="1"/>
  <c r="D12809" i="1"/>
  <c r="C12809" i="1"/>
  <c r="B12809" i="1"/>
  <c r="A12809" i="1"/>
  <c r="R12808" i="1"/>
  <c r="J12808" i="1"/>
  <c r="I12808" i="1"/>
  <c r="G12808" i="1"/>
  <c r="F12808" i="1"/>
  <c r="E12808" i="1"/>
  <c r="D12808" i="1"/>
  <c r="C12808" i="1"/>
  <c r="B12808" i="1"/>
  <c r="A12808" i="1"/>
  <c r="R12807" i="1"/>
  <c r="J12807" i="1"/>
  <c r="I12807" i="1"/>
  <c r="G12807" i="1"/>
  <c r="F12807" i="1"/>
  <c r="E12807" i="1"/>
  <c r="D12807" i="1"/>
  <c r="C12807" i="1"/>
  <c r="B12807" i="1"/>
  <c r="A12807" i="1"/>
  <c r="S12806" i="1"/>
  <c r="O12806" i="1"/>
  <c r="K12806" i="1"/>
  <c r="J12806" i="1"/>
  <c r="I12806" i="1"/>
  <c r="H12806" i="1"/>
  <c r="G12806" i="1"/>
  <c r="F12806" i="1"/>
  <c r="E12806" i="1"/>
  <c r="D12806" i="1"/>
  <c r="C12806" i="1"/>
  <c r="B12806" i="1"/>
  <c r="A12806" i="1"/>
  <c r="R12805" i="1"/>
  <c r="J12805" i="1"/>
  <c r="I12805" i="1"/>
  <c r="G12805" i="1"/>
  <c r="F12805" i="1"/>
  <c r="E12805" i="1"/>
  <c r="D12805" i="1"/>
  <c r="C12805" i="1"/>
  <c r="B12805" i="1"/>
  <c r="A12805" i="1"/>
  <c r="R12804" i="1"/>
  <c r="J12804" i="1"/>
  <c r="I12804" i="1"/>
  <c r="G12804" i="1"/>
  <c r="F12804" i="1"/>
  <c r="E12804" i="1"/>
  <c r="D12804" i="1"/>
  <c r="C12804" i="1"/>
  <c r="B12804" i="1"/>
  <c r="A12804" i="1"/>
  <c r="S12803" i="1"/>
  <c r="O12803" i="1"/>
  <c r="K12803" i="1"/>
  <c r="J12803" i="1"/>
  <c r="I12803" i="1"/>
  <c r="H12803" i="1"/>
  <c r="G12803" i="1"/>
  <c r="F12803" i="1"/>
  <c r="E12803" i="1"/>
  <c r="D12803" i="1"/>
  <c r="C12803" i="1"/>
  <c r="B12803" i="1"/>
  <c r="A12803" i="1"/>
  <c r="R12802" i="1"/>
  <c r="J12802" i="1"/>
  <c r="I12802" i="1"/>
  <c r="G12802" i="1"/>
  <c r="F12802" i="1"/>
  <c r="E12802" i="1"/>
  <c r="D12802" i="1"/>
  <c r="C12802" i="1"/>
  <c r="B12802" i="1"/>
  <c r="A12802" i="1"/>
  <c r="S12801" i="1"/>
  <c r="O12801" i="1"/>
  <c r="K12801" i="1"/>
  <c r="J12801" i="1"/>
  <c r="I12801" i="1"/>
  <c r="H12801" i="1"/>
  <c r="G12801" i="1"/>
  <c r="F12801" i="1"/>
  <c r="E12801" i="1"/>
  <c r="D12801" i="1"/>
  <c r="C12801" i="1"/>
  <c r="B12801" i="1"/>
  <c r="A12801" i="1"/>
  <c r="R12800" i="1"/>
  <c r="J12800" i="1"/>
  <c r="I12800" i="1"/>
  <c r="G12800" i="1"/>
  <c r="F12800" i="1"/>
  <c r="E12800" i="1"/>
  <c r="D12800" i="1"/>
  <c r="C12800" i="1"/>
  <c r="B12800" i="1"/>
  <c r="A12800" i="1"/>
  <c r="S12799" i="1"/>
  <c r="O12799" i="1"/>
  <c r="K12799" i="1"/>
  <c r="J12799" i="1"/>
  <c r="I12799" i="1"/>
  <c r="H12799" i="1"/>
  <c r="G12799" i="1"/>
  <c r="F12799" i="1"/>
  <c r="E12799" i="1"/>
  <c r="D12799" i="1"/>
  <c r="C12799" i="1"/>
  <c r="B12799" i="1"/>
  <c r="A12799" i="1"/>
  <c r="R12798" i="1"/>
  <c r="J12798" i="1"/>
  <c r="I12798" i="1"/>
  <c r="G12798" i="1"/>
  <c r="F12798" i="1"/>
  <c r="E12798" i="1"/>
  <c r="D12798" i="1"/>
  <c r="C12798" i="1"/>
  <c r="B12798" i="1"/>
  <c r="A12798" i="1"/>
  <c r="R12797" i="1"/>
  <c r="J12797" i="1"/>
  <c r="I12797" i="1"/>
  <c r="G12797" i="1"/>
  <c r="F12797" i="1"/>
  <c r="E12797" i="1"/>
  <c r="D12797" i="1"/>
  <c r="C12797" i="1"/>
  <c r="B12797" i="1"/>
  <c r="A12797" i="1"/>
  <c r="S12796" i="1"/>
  <c r="O12796" i="1"/>
  <c r="K12796" i="1"/>
  <c r="J12796" i="1"/>
  <c r="I12796" i="1"/>
  <c r="H12796" i="1"/>
  <c r="G12796" i="1"/>
  <c r="F12796" i="1"/>
  <c r="E12796" i="1"/>
  <c r="D12796" i="1"/>
  <c r="C12796" i="1"/>
  <c r="B12796" i="1"/>
  <c r="A12796" i="1"/>
  <c r="R12795" i="1"/>
  <c r="J12795" i="1"/>
  <c r="I12795" i="1"/>
  <c r="G12795" i="1"/>
  <c r="F12795" i="1"/>
  <c r="E12795" i="1"/>
  <c r="D12795" i="1"/>
  <c r="C12795" i="1"/>
  <c r="B12795" i="1"/>
  <c r="A12795" i="1"/>
  <c r="S12794" i="1"/>
  <c r="O12794" i="1"/>
  <c r="K12794" i="1"/>
  <c r="J12794" i="1"/>
  <c r="I12794" i="1"/>
  <c r="H12794" i="1"/>
  <c r="G12794" i="1"/>
  <c r="F12794" i="1"/>
  <c r="E12794" i="1"/>
  <c r="D12794" i="1"/>
  <c r="C12794" i="1"/>
  <c r="B12794" i="1"/>
  <c r="A12794" i="1"/>
  <c r="R12793" i="1"/>
  <c r="J12793" i="1"/>
  <c r="I12793" i="1"/>
  <c r="G12793" i="1"/>
  <c r="F12793" i="1"/>
  <c r="E12793" i="1"/>
  <c r="D12793" i="1"/>
  <c r="C12793" i="1"/>
  <c r="B12793" i="1"/>
  <c r="A12793" i="1"/>
  <c r="R12792" i="1"/>
  <c r="J12792" i="1"/>
  <c r="I12792" i="1"/>
  <c r="G12792" i="1"/>
  <c r="F12792" i="1"/>
  <c r="E12792" i="1"/>
  <c r="D12792" i="1"/>
  <c r="C12792" i="1"/>
  <c r="B12792" i="1"/>
  <c r="A12792" i="1"/>
  <c r="S12791" i="1"/>
  <c r="O12791" i="1"/>
  <c r="K12791" i="1"/>
  <c r="J12791" i="1"/>
  <c r="I12791" i="1"/>
  <c r="H12791" i="1"/>
  <c r="G12791" i="1"/>
  <c r="F12791" i="1"/>
  <c r="E12791" i="1"/>
  <c r="D12791" i="1"/>
  <c r="C12791" i="1"/>
  <c r="B12791" i="1"/>
  <c r="A12791" i="1"/>
  <c r="R12790" i="1"/>
  <c r="J12790" i="1"/>
  <c r="I12790" i="1"/>
  <c r="G12790" i="1"/>
  <c r="F12790" i="1"/>
  <c r="E12790" i="1"/>
  <c r="D12790" i="1"/>
  <c r="C12790" i="1"/>
  <c r="B12790" i="1"/>
  <c r="A12790" i="1"/>
  <c r="S12789" i="1"/>
  <c r="O12789" i="1"/>
  <c r="K12789" i="1"/>
  <c r="J12789" i="1"/>
  <c r="I12789" i="1"/>
  <c r="H12789" i="1"/>
  <c r="G12789" i="1"/>
  <c r="F12789" i="1"/>
  <c r="E12789" i="1"/>
  <c r="D12789" i="1"/>
  <c r="C12789" i="1"/>
  <c r="B12789" i="1"/>
  <c r="A12789" i="1"/>
  <c r="R12788" i="1"/>
  <c r="J12788" i="1"/>
  <c r="I12788" i="1"/>
  <c r="G12788" i="1"/>
  <c r="F12788" i="1"/>
  <c r="E12788" i="1"/>
  <c r="D12788" i="1"/>
  <c r="C12788" i="1"/>
  <c r="B12788" i="1"/>
  <c r="A12788" i="1"/>
  <c r="S12787" i="1"/>
  <c r="O12787" i="1"/>
  <c r="K12787" i="1"/>
  <c r="J12787" i="1"/>
  <c r="I12787" i="1"/>
  <c r="H12787" i="1"/>
  <c r="G12787" i="1"/>
  <c r="F12787" i="1"/>
  <c r="E12787" i="1"/>
  <c r="D12787" i="1"/>
  <c r="C12787" i="1"/>
  <c r="B12787" i="1"/>
  <c r="A12787" i="1"/>
  <c r="R12786" i="1"/>
  <c r="J12786" i="1"/>
  <c r="I12786" i="1"/>
  <c r="G12786" i="1"/>
  <c r="F12786" i="1"/>
  <c r="E12786" i="1"/>
  <c r="D12786" i="1"/>
  <c r="C12786" i="1"/>
  <c r="B12786" i="1"/>
  <c r="A12786" i="1"/>
  <c r="R12785" i="1"/>
  <c r="J12785" i="1"/>
  <c r="I12785" i="1"/>
  <c r="G12785" i="1"/>
  <c r="F12785" i="1"/>
  <c r="E12785" i="1"/>
  <c r="D12785" i="1"/>
  <c r="C12785" i="1"/>
  <c r="B12785" i="1"/>
  <c r="A12785" i="1"/>
  <c r="R12784" i="1"/>
  <c r="J12784" i="1"/>
  <c r="I12784" i="1"/>
  <c r="G12784" i="1"/>
  <c r="F12784" i="1"/>
  <c r="E12784" i="1"/>
  <c r="D12784" i="1"/>
  <c r="C12784" i="1"/>
  <c r="B12784" i="1"/>
  <c r="A12784" i="1"/>
  <c r="R12783" i="1"/>
  <c r="J12783" i="1"/>
  <c r="I12783" i="1"/>
  <c r="G12783" i="1"/>
  <c r="F12783" i="1"/>
  <c r="E12783" i="1"/>
  <c r="D12783" i="1"/>
  <c r="C12783" i="1"/>
  <c r="B12783" i="1"/>
  <c r="A12783" i="1"/>
  <c r="R12782" i="1"/>
  <c r="J12782" i="1"/>
  <c r="I12782" i="1"/>
  <c r="G12782" i="1"/>
  <c r="F12782" i="1"/>
  <c r="E12782" i="1"/>
  <c r="D12782" i="1"/>
  <c r="C12782" i="1"/>
  <c r="B12782" i="1"/>
  <c r="A12782" i="1"/>
  <c r="R12781" i="1"/>
  <c r="J12781" i="1"/>
  <c r="I12781" i="1"/>
  <c r="G12781" i="1"/>
  <c r="F12781" i="1"/>
  <c r="E12781" i="1"/>
  <c r="D12781" i="1"/>
  <c r="C12781" i="1"/>
  <c r="B12781" i="1"/>
  <c r="A12781" i="1"/>
  <c r="R12780" i="1"/>
  <c r="J12780" i="1"/>
  <c r="I12780" i="1"/>
  <c r="G12780" i="1"/>
  <c r="F12780" i="1"/>
  <c r="E12780" i="1"/>
  <c r="D12780" i="1"/>
  <c r="C12780" i="1"/>
  <c r="B12780" i="1"/>
  <c r="A12780" i="1"/>
  <c r="R12779" i="1"/>
  <c r="J12779" i="1"/>
  <c r="I12779" i="1"/>
  <c r="G12779" i="1"/>
  <c r="F12779" i="1"/>
  <c r="E12779" i="1"/>
  <c r="D12779" i="1"/>
  <c r="C12779" i="1"/>
  <c r="B12779" i="1"/>
  <c r="A12779" i="1"/>
  <c r="R12778" i="1"/>
  <c r="J12778" i="1"/>
  <c r="I12778" i="1"/>
  <c r="G12778" i="1"/>
  <c r="F12778" i="1"/>
  <c r="E12778" i="1"/>
  <c r="D12778" i="1"/>
  <c r="C12778" i="1"/>
  <c r="B12778" i="1"/>
  <c r="A12778" i="1"/>
  <c r="R12777" i="1"/>
  <c r="J12777" i="1"/>
  <c r="I12777" i="1"/>
  <c r="G12777" i="1"/>
  <c r="F12777" i="1"/>
  <c r="E12777" i="1"/>
  <c r="D12777" i="1"/>
  <c r="C12777" i="1"/>
  <c r="B12777" i="1"/>
  <c r="A12777" i="1"/>
  <c r="S12776" i="1"/>
  <c r="O12776" i="1"/>
  <c r="K12776" i="1"/>
  <c r="J12776" i="1"/>
  <c r="I12776" i="1"/>
  <c r="H12776" i="1"/>
  <c r="G12776" i="1"/>
  <c r="F12776" i="1"/>
  <c r="E12776" i="1"/>
  <c r="D12776" i="1"/>
  <c r="C12776" i="1"/>
  <c r="B12776" i="1"/>
  <c r="A12776" i="1"/>
  <c r="R12775" i="1"/>
  <c r="J12775" i="1"/>
  <c r="I12775" i="1"/>
  <c r="G12775" i="1"/>
  <c r="F12775" i="1"/>
  <c r="E12775" i="1"/>
  <c r="D12775" i="1"/>
  <c r="C12775" i="1"/>
  <c r="B12775" i="1"/>
  <c r="A12775" i="1"/>
  <c r="R12774" i="1"/>
  <c r="J12774" i="1"/>
  <c r="I12774" i="1"/>
  <c r="G12774" i="1"/>
  <c r="F12774" i="1"/>
  <c r="E12774" i="1"/>
  <c r="D12774" i="1"/>
  <c r="C12774" i="1"/>
  <c r="B12774" i="1"/>
  <c r="A12774" i="1"/>
  <c r="R12773" i="1"/>
  <c r="J12773" i="1"/>
  <c r="I12773" i="1"/>
  <c r="G12773" i="1"/>
  <c r="F12773" i="1"/>
  <c r="E12773" i="1"/>
  <c r="D12773" i="1"/>
  <c r="C12773" i="1"/>
  <c r="B12773" i="1"/>
  <c r="A12773" i="1"/>
  <c r="R12772" i="1"/>
  <c r="J12772" i="1"/>
  <c r="I12772" i="1"/>
  <c r="G12772" i="1"/>
  <c r="F12772" i="1"/>
  <c r="E12772" i="1"/>
  <c r="D12772" i="1"/>
  <c r="C12772" i="1"/>
  <c r="B12772" i="1"/>
  <c r="A12772" i="1"/>
  <c r="R12771" i="1"/>
  <c r="J12771" i="1"/>
  <c r="I12771" i="1"/>
  <c r="G12771" i="1"/>
  <c r="F12771" i="1"/>
  <c r="E12771" i="1"/>
  <c r="D12771" i="1"/>
  <c r="C12771" i="1"/>
  <c r="B12771" i="1"/>
  <c r="A12771" i="1"/>
  <c r="R12770" i="1"/>
  <c r="J12770" i="1"/>
  <c r="I12770" i="1"/>
  <c r="G12770" i="1"/>
  <c r="F12770" i="1"/>
  <c r="E12770" i="1"/>
  <c r="D12770" i="1"/>
  <c r="C12770" i="1"/>
  <c r="B12770" i="1"/>
  <c r="A12770" i="1"/>
  <c r="R12769" i="1"/>
  <c r="J12769" i="1"/>
  <c r="I12769" i="1"/>
  <c r="G12769" i="1"/>
  <c r="F12769" i="1"/>
  <c r="E12769" i="1"/>
  <c r="D12769" i="1"/>
  <c r="C12769" i="1"/>
  <c r="B12769" i="1"/>
  <c r="A12769" i="1"/>
  <c r="R12768" i="1"/>
  <c r="J12768" i="1"/>
  <c r="I12768" i="1"/>
  <c r="G12768" i="1"/>
  <c r="F12768" i="1"/>
  <c r="E12768" i="1"/>
  <c r="D12768" i="1"/>
  <c r="C12768" i="1"/>
  <c r="B12768" i="1"/>
  <c r="A12768" i="1"/>
  <c r="R12767" i="1"/>
  <c r="J12767" i="1"/>
  <c r="I12767" i="1"/>
  <c r="G12767" i="1"/>
  <c r="F12767" i="1"/>
  <c r="E12767" i="1"/>
  <c r="D12767" i="1"/>
  <c r="C12767" i="1"/>
  <c r="B12767" i="1"/>
  <c r="A12767" i="1"/>
  <c r="R12766" i="1"/>
  <c r="J12766" i="1"/>
  <c r="I12766" i="1"/>
  <c r="G12766" i="1"/>
  <c r="F12766" i="1"/>
  <c r="E12766" i="1"/>
  <c r="D12766" i="1"/>
  <c r="C12766" i="1"/>
  <c r="B12766" i="1"/>
  <c r="A12766" i="1"/>
  <c r="R12765" i="1"/>
  <c r="J12765" i="1"/>
  <c r="I12765" i="1"/>
  <c r="G12765" i="1"/>
  <c r="F12765" i="1"/>
  <c r="E12765" i="1"/>
  <c r="D12765" i="1"/>
  <c r="C12765" i="1"/>
  <c r="B12765" i="1"/>
  <c r="A12765" i="1"/>
  <c r="R12764" i="1"/>
  <c r="J12764" i="1"/>
  <c r="I12764" i="1"/>
  <c r="G12764" i="1"/>
  <c r="F12764" i="1"/>
  <c r="E12764" i="1"/>
  <c r="D12764" i="1"/>
  <c r="C12764" i="1"/>
  <c r="B12764" i="1"/>
  <c r="A12764" i="1"/>
  <c r="R12763" i="1"/>
  <c r="J12763" i="1"/>
  <c r="I12763" i="1"/>
  <c r="G12763" i="1"/>
  <c r="F12763" i="1"/>
  <c r="E12763" i="1"/>
  <c r="D12763" i="1"/>
  <c r="C12763" i="1"/>
  <c r="B12763" i="1"/>
  <c r="A12763" i="1"/>
  <c r="S12762" i="1"/>
  <c r="O12762" i="1"/>
  <c r="K12762" i="1"/>
  <c r="J12762" i="1"/>
  <c r="I12762" i="1"/>
  <c r="H12762" i="1"/>
  <c r="G12762" i="1"/>
  <c r="F12762" i="1"/>
  <c r="E12762" i="1"/>
  <c r="D12762" i="1"/>
  <c r="C12762" i="1"/>
  <c r="B12762" i="1"/>
  <c r="A12762" i="1"/>
  <c r="R12761" i="1"/>
  <c r="J12761" i="1"/>
  <c r="I12761" i="1"/>
  <c r="G12761" i="1"/>
  <c r="F12761" i="1"/>
  <c r="E12761" i="1"/>
  <c r="D12761" i="1"/>
  <c r="C12761" i="1"/>
  <c r="B12761" i="1"/>
  <c r="A12761" i="1"/>
  <c r="R12760" i="1"/>
  <c r="J12760" i="1"/>
  <c r="I12760" i="1"/>
  <c r="G12760" i="1"/>
  <c r="F12760" i="1"/>
  <c r="E12760" i="1"/>
  <c r="D12760" i="1"/>
  <c r="C12760" i="1"/>
  <c r="B12760" i="1"/>
  <c r="A12760" i="1"/>
  <c r="R12759" i="1"/>
  <c r="J12759" i="1"/>
  <c r="I12759" i="1"/>
  <c r="G12759" i="1"/>
  <c r="F12759" i="1"/>
  <c r="E12759" i="1"/>
  <c r="D12759" i="1"/>
  <c r="C12759" i="1"/>
  <c r="B12759" i="1"/>
  <c r="A12759" i="1"/>
  <c r="R12758" i="1"/>
  <c r="J12758" i="1"/>
  <c r="I12758" i="1"/>
  <c r="G12758" i="1"/>
  <c r="F12758" i="1"/>
  <c r="E12758" i="1"/>
  <c r="D12758" i="1"/>
  <c r="C12758" i="1"/>
  <c r="B12758" i="1"/>
  <c r="A12758" i="1"/>
  <c r="R12757" i="1"/>
  <c r="J12757" i="1"/>
  <c r="I12757" i="1"/>
  <c r="G12757" i="1"/>
  <c r="F12757" i="1"/>
  <c r="E12757" i="1"/>
  <c r="D12757" i="1"/>
  <c r="C12757" i="1"/>
  <c r="B12757" i="1"/>
  <c r="A12757" i="1"/>
  <c r="R12756" i="1"/>
  <c r="J12756" i="1"/>
  <c r="I12756" i="1"/>
  <c r="G12756" i="1"/>
  <c r="F12756" i="1"/>
  <c r="E12756" i="1"/>
  <c r="D12756" i="1"/>
  <c r="C12756" i="1"/>
  <c r="B12756" i="1"/>
  <c r="A12756" i="1"/>
  <c r="R12755" i="1"/>
  <c r="J12755" i="1"/>
  <c r="I12755" i="1"/>
  <c r="G12755" i="1"/>
  <c r="F12755" i="1"/>
  <c r="E12755" i="1"/>
  <c r="D12755" i="1"/>
  <c r="C12755" i="1"/>
  <c r="B12755" i="1"/>
  <c r="A12755" i="1"/>
  <c r="R12754" i="1"/>
  <c r="J12754" i="1"/>
  <c r="I12754" i="1"/>
  <c r="G12754" i="1"/>
  <c r="F12754" i="1"/>
  <c r="E12754" i="1"/>
  <c r="D12754" i="1"/>
  <c r="C12754" i="1"/>
  <c r="B12754" i="1"/>
  <c r="A12754" i="1"/>
  <c r="R12753" i="1"/>
  <c r="J12753" i="1"/>
  <c r="I12753" i="1"/>
  <c r="G12753" i="1"/>
  <c r="F12753" i="1"/>
  <c r="E12753" i="1"/>
  <c r="D12753" i="1"/>
  <c r="C12753" i="1"/>
  <c r="B12753" i="1"/>
  <c r="A12753" i="1"/>
  <c r="R12752" i="1"/>
  <c r="J12752" i="1"/>
  <c r="I12752" i="1"/>
  <c r="G12752" i="1"/>
  <c r="F12752" i="1"/>
  <c r="E12752" i="1"/>
  <c r="D12752" i="1"/>
  <c r="C12752" i="1"/>
  <c r="B12752" i="1"/>
  <c r="A12752" i="1"/>
  <c r="R12751" i="1"/>
  <c r="J12751" i="1"/>
  <c r="I12751" i="1"/>
  <c r="G12751" i="1"/>
  <c r="F12751" i="1"/>
  <c r="E12751" i="1"/>
  <c r="D12751" i="1"/>
  <c r="C12751" i="1"/>
  <c r="B12751" i="1"/>
  <c r="A12751" i="1"/>
  <c r="R12750" i="1"/>
  <c r="J12750" i="1"/>
  <c r="I12750" i="1"/>
  <c r="G12750" i="1"/>
  <c r="F12750" i="1"/>
  <c r="E12750" i="1"/>
  <c r="D12750" i="1"/>
  <c r="C12750" i="1"/>
  <c r="B12750" i="1"/>
  <c r="A12750" i="1"/>
  <c r="R12749" i="1"/>
  <c r="J12749" i="1"/>
  <c r="I12749" i="1"/>
  <c r="G12749" i="1"/>
  <c r="F12749" i="1"/>
  <c r="E12749" i="1"/>
  <c r="D12749" i="1"/>
  <c r="C12749" i="1"/>
  <c r="B12749" i="1"/>
  <c r="A12749" i="1"/>
  <c r="R12748" i="1"/>
  <c r="J12748" i="1"/>
  <c r="I12748" i="1"/>
  <c r="G12748" i="1"/>
  <c r="F12748" i="1"/>
  <c r="E12748" i="1"/>
  <c r="D12748" i="1"/>
  <c r="C12748" i="1"/>
  <c r="B12748" i="1"/>
  <c r="A12748" i="1"/>
  <c r="R12747" i="1"/>
  <c r="J12747" i="1"/>
  <c r="I12747" i="1"/>
  <c r="G12747" i="1"/>
  <c r="F12747" i="1"/>
  <c r="E12747" i="1"/>
  <c r="D12747" i="1"/>
  <c r="C12747" i="1"/>
  <c r="B12747" i="1"/>
  <c r="A12747" i="1"/>
  <c r="R12746" i="1"/>
  <c r="J12746" i="1"/>
  <c r="I12746" i="1"/>
  <c r="G12746" i="1"/>
  <c r="F12746" i="1"/>
  <c r="E12746" i="1"/>
  <c r="D12746" i="1"/>
  <c r="C12746" i="1"/>
  <c r="B12746" i="1"/>
  <c r="A12746" i="1"/>
  <c r="R12745" i="1"/>
  <c r="J12745" i="1"/>
  <c r="I12745" i="1"/>
  <c r="G12745" i="1"/>
  <c r="F12745" i="1"/>
  <c r="E12745" i="1"/>
  <c r="D12745" i="1"/>
  <c r="C12745" i="1"/>
  <c r="B12745" i="1"/>
  <c r="A12745" i="1"/>
  <c r="R12744" i="1"/>
  <c r="J12744" i="1"/>
  <c r="I12744" i="1"/>
  <c r="G12744" i="1"/>
  <c r="F12744" i="1"/>
  <c r="E12744" i="1"/>
  <c r="D12744" i="1"/>
  <c r="C12744" i="1"/>
  <c r="B12744" i="1"/>
  <c r="A12744" i="1"/>
  <c r="R12743" i="1"/>
  <c r="J12743" i="1"/>
  <c r="I12743" i="1"/>
  <c r="G12743" i="1"/>
  <c r="F12743" i="1"/>
  <c r="E12743" i="1"/>
  <c r="D12743" i="1"/>
  <c r="C12743" i="1"/>
  <c r="B12743" i="1"/>
  <c r="A12743" i="1"/>
  <c r="R12742" i="1"/>
  <c r="J12742" i="1"/>
  <c r="I12742" i="1"/>
  <c r="G12742" i="1"/>
  <c r="F12742" i="1"/>
  <c r="E12742" i="1"/>
  <c r="D12742" i="1"/>
  <c r="C12742" i="1"/>
  <c r="B12742" i="1"/>
  <c r="A12742" i="1"/>
  <c r="R12741" i="1"/>
  <c r="J12741" i="1"/>
  <c r="I12741" i="1"/>
  <c r="G12741" i="1"/>
  <c r="F12741" i="1"/>
  <c r="E12741" i="1"/>
  <c r="D12741" i="1"/>
  <c r="C12741" i="1"/>
  <c r="B12741" i="1"/>
  <c r="A12741" i="1"/>
  <c r="R12740" i="1"/>
  <c r="J12740" i="1"/>
  <c r="I12740" i="1"/>
  <c r="G12740" i="1"/>
  <c r="F12740" i="1"/>
  <c r="E12740" i="1"/>
  <c r="D12740" i="1"/>
  <c r="C12740" i="1"/>
  <c r="B12740" i="1"/>
  <c r="A12740" i="1"/>
  <c r="R12739" i="1"/>
  <c r="J12739" i="1"/>
  <c r="I12739" i="1"/>
  <c r="G12739" i="1"/>
  <c r="F12739" i="1"/>
  <c r="E12739" i="1"/>
  <c r="D12739" i="1"/>
  <c r="C12739" i="1"/>
  <c r="B12739" i="1"/>
  <c r="A12739" i="1"/>
  <c r="R12738" i="1"/>
  <c r="J12738" i="1"/>
  <c r="I12738" i="1"/>
  <c r="G12738" i="1"/>
  <c r="F12738" i="1"/>
  <c r="E12738" i="1"/>
  <c r="D12738" i="1"/>
  <c r="C12738" i="1"/>
  <c r="B12738" i="1"/>
  <c r="A12738" i="1"/>
  <c r="R12737" i="1"/>
  <c r="J12737" i="1"/>
  <c r="I12737" i="1"/>
  <c r="G12737" i="1"/>
  <c r="F12737" i="1"/>
  <c r="E12737" i="1"/>
  <c r="D12737" i="1"/>
  <c r="C12737" i="1"/>
  <c r="B12737" i="1"/>
  <c r="A12737" i="1"/>
  <c r="R12736" i="1"/>
  <c r="J12736" i="1"/>
  <c r="I12736" i="1"/>
  <c r="G12736" i="1"/>
  <c r="F12736" i="1"/>
  <c r="E12736" i="1"/>
  <c r="D12736" i="1"/>
  <c r="C12736" i="1"/>
  <c r="B12736" i="1"/>
  <c r="A12736" i="1"/>
  <c r="R12735" i="1"/>
  <c r="J12735" i="1"/>
  <c r="I12735" i="1"/>
  <c r="G12735" i="1"/>
  <c r="F12735" i="1"/>
  <c r="E12735" i="1"/>
  <c r="D12735" i="1"/>
  <c r="C12735" i="1"/>
  <c r="B12735" i="1"/>
  <c r="A12735" i="1"/>
  <c r="R12734" i="1"/>
  <c r="J12734" i="1"/>
  <c r="I12734" i="1"/>
  <c r="G12734" i="1"/>
  <c r="F12734" i="1"/>
  <c r="E12734" i="1"/>
  <c r="D12734" i="1"/>
  <c r="C12734" i="1"/>
  <c r="B12734" i="1"/>
  <c r="A12734" i="1"/>
  <c r="R12733" i="1"/>
  <c r="J12733" i="1"/>
  <c r="I12733" i="1"/>
  <c r="G12733" i="1"/>
  <c r="F12733" i="1"/>
  <c r="E12733" i="1"/>
  <c r="D12733" i="1"/>
  <c r="C12733" i="1"/>
  <c r="B12733" i="1"/>
  <c r="A12733" i="1"/>
  <c r="R12732" i="1"/>
  <c r="J12732" i="1"/>
  <c r="I12732" i="1"/>
  <c r="G12732" i="1"/>
  <c r="F12732" i="1"/>
  <c r="E12732" i="1"/>
  <c r="D12732" i="1"/>
  <c r="C12732" i="1"/>
  <c r="B12732" i="1"/>
  <c r="A12732" i="1"/>
  <c r="R12731" i="1"/>
  <c r="J12731" i="1"/>
  <c r="I12731" i="1"/>
  <c r="G12731" i="1"/>
  <c r="F12731" i="1"/>
  <c r="E12731" i="1"/>
  <c r="D12731" i="1"/>
  <c r="C12731" i="1"/>
  <c r="B12731" i="1"/>
  <c r="A12731" i="1"/>
  <c r="R12730" i="1"/>
  <c r="J12730" i="1"/>
  <c r="I12730" i="1"/>
  <c r="G12730" i="1"/>
  <c r="F12730" i="1"/>
  <c r="E12730" i="1"/>
  <c r="D12730" i="1"/>
  <c r="C12730" i="1"/>
  <c r="B12730" i="1"/>
  <c r="A12730" i="1"/>
  <c r="R12729" i="1"/>
  <c r="J12729" i="1"/>
  <c r="I12729" i="1"/>
  <c r="G12729" i="1"/>
  <c r="F12729" i="1"/>
  <c r="E12729" i="1"/>
  <c r="D12729" i="1"/>
  <c r="C12729" i="1"/>
  <c r="B12729" i="1"/>
  <c r="A12729" i="1"/>
  <c r="R12728" i="1"/>
  <c r="J12728" i="1"/>
  <c r="I12728" i="1"/>
  <c r="G12728" i="1"/>
  <c r="F12728" i="1"/>
  <c r="E12728" i="1"/>
  <c r="D12728" i="1"/>
  <c r="C12728" i="1"/>
  <c r="B12728" i="1"/>
  <c r="A12728" i="1"/>
  <c r="R12727" i="1"/>
  <c r="J12727" i="1"/>
  <c r="I12727" i="1"/>
  <c r="G12727" i="1"/>
  <c r="F12727" i="1"/>
  <c r="E12727" i="1"/>
  <c r="D12727" i="1"/>
  <c r="C12727" i="1"/>
  <c r="B12727" i="1"/>
  <c r="A12727" i="1"/>
  <c r="R12726" i="1"/>
  <c r="J12726" i="1"/>
  <c r="I12726" i="1"/>
  <c r="G12726" i="1"/>
  <c r="F12726" i="1"/>
  <c r="E12726" i="1"/>
  <c r="D12726" i="1"/>
  <c r="C12726" i="1"/>
  <c r="B12726" i="1"/>
  <c r="A12726" i="1"/>
  <c r="R12725" i="1"/>
  <c r="J12725" i="1"/>
  <c r="I12725" i="1"/>
  <c r="G12725" i="1"/>
  <c r="F12725" i="1"/>
  <c r="E12725" i="1"/>
  <c r="D12725" i="1"/>
  <c r="C12725" i="1"/>
  <c r="B12725" i="1"/>
  <c r="A12725" i="1"/>
  <c r="R12724" i="1"/>
  <c r="J12724" i="1"/>
  <c r="I12724" i="1"/>
  <c r="G12724" i="1"/>
  <c r="F12724" i="1"/>
  <c r="E12724" i="1"/>
  <c r="D12724" i="1"/>
  <c r="C12724" i="1"/>
  <c r="B12724" i="1"/>
  <c r="A12724" i="1"/>
  <c r="R12723" i="1"/>
  <c r="J12723" i="1"/>
  <c r="I12723" i="1"/>
  <c r="G12723" i="1"/>
  <c r="F12723" i="1"/>
  <c r="E12723" i="1"/>
  <c r="D12723" i="1"/>
  <c r="C12723" i="1"/>
  <c r="B12723" i="1"/>
  <c r="A12723" i="1"/>
  <c r="R12722" i="1"/>
  <c r="J12722" i="1"/>
  <c r="I12722" i="1"/>
  <c r="G12722" i="1"/>
  <c r="F12722" i="1"/>
  <c r="E12722" i="1"/>
  <c r="D12722" i="1"/>
  <c r="C12722" i="1"/>
  <c r="B12722" i="1"/>
  <c r="A12722" i="1"/>
  <c r="R12721" i="1"/>
  <c r="J12721" i="1"/>
  <c r="I12721" i="1"/>
  <c r="G12721" i="1"/>
  <c r="F12721" i="1"/>
  <c r="E12721" i="1"/>
  <c r="D12721" i="1"/>
  <c r="C12721" i="1"/>
  <c r="B12721" i="1"/>
  <c r="A12721" i="1"/>
  <c r="R12720" i="1"/>
  <c r="J12720" i="1"/>
  <c r="I12720" i="1"/>
  <c r="G12720" i="1"/>
  <c r="F12720" i="1"/>
  <c r="E12720" i="1"/>
  <c r="D12720" i="1"/>
  <c r="C12720" i="1"/>
  <c r="B12720" i="1"/>
  <c r="A12720" i="1"/>
  <c r="R12719" i="1"/>
  <c r="J12719" i="1"/>
  <c r="I12719" i="1"/>
  <c r="G12719" i="1"/>
  <c r="F12719" i="1"/>
  <c r="E12719" i="1"/>
  <c r="D12719" i="1"/>
  <c r="C12719" i="1"/>
  <c r="B12719" i="1"/>
  <c r="A12719" i="1"/>
  <c r="R12718" i="1"/>
  <c r="J12718" i="1"/>
  <c r="I12718" i="1"/>
  <c r="G12718" i="1"/>
  <c r="F12718" i="1"/>
  <c r="E12718" i="1"/>
  <c r="D12718" i="1"/>
  <c r="C12718" i="1"/>
  <c r="B12718" i="1"/>
  <c r="A12718" i="1"/>
  <c r="R12717" i="1"/>
  <c r="J12717" i="1"/>
  <c r="I12717" i="1"/>
  <c r="G12717" i="1"/>
  <c r="F12717" i="1"/>
  <c r="E12717" i="1"/>
  <c r="D12717" i="1"/>
  <c r="C12717" i="1"/>
  <c r="B12717" i="1"/>
  <c r="A12717" i="1"/>
  <c r="R12716" i="1"/>
  <c r="J12716" i="1"/>
  <c r="I12716" i="1"/>
  <c r="G12716" i="1"/>
  <c r="F12716" i="1"/>
  <c r="E12716" i="1"/>
  <c r="D12716" i="1"/>
  <c r="C12716" i="1"/>
  <c r="B12716" i="1"/>
  <c r="A12716" i="1"/>
  <c r="R12715" i="1"/>
  <c r="J12715" i="1"/>
  <c r="I12715" i="1"/>
  <c r="G12715" i="1"/>
  <c r="F12715" i="1"/>
  <c r="E12715" i="1"/>
  <c r="D12715" i="1"/>
  <c r="C12715" i="1"/>
  <c r="B12715" i="1"/>
  <c r="A12715" i="1"/>
  <c r="R12714" i="1"/>
  <c r="J12714" i="1"/>
  <c r="I12714" i="1"/>
  <c r="G12714" i="1"/>
  <c r="F12714" i="1"/>
  <c r="E12714" i="1"/>
  <c r="D12714" i="1"/>
  <c r="C12714" i="1"/>
  <c r="B12714" i="1"/>
  <c r="A12714" i="1"/>
  <c r="S12713" i="1"/>
  <c r="O12713" i="1"/>
  <c r="K12713" i="1"/>
  <c r="J12713" i="1"/>
  <c r="I12713" i="1"/>
  <c r="H12713" i="1"/>
  <c r="G12713" i="1"/>
  <c r="F12713" i="1"/>
  <c r="E12713" i="1"/>
  <c r="D12713" i="1"/>
  <c r="C12713" i="1"/>
  <c r="B12713" i="1"/>
  <c r="A12713" i="1"/>
  <c r="R12712" i="1"/>
  <c r="J12712" i="1"/>
  <c r="I12712" i="1"/>
  <c r="G12712" i="1"/>
  <c r="F12712" i="1"/>
  <c r="E12712" i="1"/>
  <c r="D12712" i="1"/>
  <c r="C12712" i="1"/>
  <c r="B12712" i="1"/>
  <c r="A12712" i="1"/>
  <c r="S12711" i="1"/>
  <c r="O12711" i="1"/>
  <c r="K12711" i="1"/>
  <c r="J12711" i="1"/>
  <c r="I12711" i="1"/>
  <c r="H12711" i="1"/>
  <c r="G12711" i="1"/>
  <c r="F12711" i="1"/>
  <c r="E12711" i="1"/>
  <c r="D12711" i="1"/>
  <c r="C12711" i="1"/>
  <c r="B12711" i="1"/>
  <c r="A12711" i="1"/>
  <c r="R12710" i="1"/>
  <c r="J12710" i="1"/>
  <c r="I12710" i="1"/>
  <c r="G12710" i="1"/>
  <c r="F12710" i="1"/>
  <c r="E12710" i="1"/>
  <c r="D12710" i="1"/>
  <c r="C12710" i="1"/>
  <c r="B12710" i="1"/>
  <c r="A12710" i="1"/>
  <c r="S12709" i="1"/>
  <c r="O12709" i="1"/>
  <c r="K12709" i="1"/>
  <c r="J12709" i="1"/>
  <c r="I12709" i="1"/>
  <c r="H12709" i="1"/>
  <c r="G12709" i="1"/>
  <c r="F12709" i="1"/>
  <c r="E12709" i="1"/>
  <c r="D12709" i="1"/>
  <c r="C12709" i="1"/>
  <c r="B12709" i="1"/>
  <c r="A12709" i="1"/>
  <c r="R12708" i="1"/>
  <c r="J12708" i="1"/>
  <c r="I12708" i="1"/>
  <c r="G12708" i="1"/>
  <c r="F12708" i="1"/>
  <c r="E12708" i="1"/>
  <c r="D12708" i="1"/>
  <c r="C12708" i="1"/>
  <c r="B12708" i="1"/>
  <c r="A12708" i="1"/>
  <c r="S12707" i="1"/>
  <c r="O12707" i="1"/>
  <c r="K12707" i="1"/>
  <c r="J12707" i="1"/>
  <c r="I12707" i="1"/>
  <c r="H12707" i="1"/>
  <c r="G12707" i="1"/>
  <c r="F12707" i="1"/>
  <c r="E12707" i="1"/>
  <c r="D12707" i="1"/>
  <c r="C12707" i="1"/>
  <c r="B12707" i="1"/>
  <c r="A12707" i="1"/>
  <c r="R12706" i="1"/>
  <c r="J12706" i="1"/>
  <c r="I12706" i="1"/>
  <c r="G12706" i="1"/>
  <c r="F12706" i="1"/>
  <c r="E12706" i="1"/>
  <c r="D12706" i="1"/>
  <c r="C12706" i="1"/>
  <c r="B12706" i="1"/>
  <c r="A12706" i="1"/>
  <c r="S12705" i="1"/>
  <c r="O12705" i="1"/>
  <c r="K12705" i="1"/>
  <c r="J12705" i="1"/>
  <c r="I12705" i="1"/>
  <c r="H12705" i="1"/>
  <c r="G12705" i="1"/>
  <c r="F12705" i="1"/>
  <c r="E12705" i="1"/>
  <c r="D12705" i="1"/>
  <c r="C12705" i="1"/>
  <c r="B12705" i="1"/>
  <c r="A12705" i="1"/>
  <c r="R12704" i="1"/>
  <c r="J12704" i="1"/>
  <c r="I12704" i="1"/>
  <c r="G12704" i="1"/>
  <c r="F12704" i="1"/>
  <c r="E12704" i="1"/>
  <c r="D12704" i="1"/>
  <c r="C12704" i="1"/>
  <c r="B12704" i="1"/>
  <c r="A12704" i="1"/>
  <c r="S12703" i="1"/>
  <c r="O12703" i="1"/>
  <c r="K12703" i="1"/>
  <c r="J12703" i="1"/>
  <c r="I12703" i="1"/>
  <c r="H12703" i="1"/>
  <c r="G12703" i="1"/>
  <c r="F12703" i="1"/>
  <c r="E12703" i="1"/>
  <c r="D12703" i="1"/>
  <c r="C12703" i="1"/>
  <c r="B12703" i="1"/>
  <c r="A12703" i="1"/>
  <c r="R12702" i="1"/>
  <c r="J12702" i="1"/>
  <c r="I12702" i="1"/>
  <c r="G12702" i="1"/>
  <c r="F12702" i="1"/>
  <c r="E12702" i="1"/>
  <c r="D12702" i="1"/>
  <c r="C12702" i="1"/>
  <c r="B12702" i="1"/>
  <c r="A12702" i="1"/>
  <c r="S12701" i="1"/>
  <c r="O12701" i="1"/>
  <c r="K12701" i="1"/>
  <c r="J12701" i="1"/>
  <c r="I12701" i="1"/>
  <c r="H12701" i="1"/>
  <c r="G12701" i="1"/>
  <c r="F12701" i="1"/>
  <c r="E12701" i="1"/>
  <c r="D12701" i="1"/>
  <c r="C12701" i="1"/>
  <c r="B12701" i="1"/>
  <c r="A12701" i="1"/>
  <c r="R12700" i="1"/>
  <c r="J12700" i="1"/>
  <c r="I12700" i="1"/>
  <c r="G12700" i="1"/>
  <c r="F12700" i="1"/>
  <c r="E12700" i="1"/>
  <c r="D12700" i="1"/>
  <c r="C12700" i="1"/>
  <c r="B12700" i="1"/>
  <c r="A12700" i="1"/>
  <c r="S12699" i="1"/>
  <c r="O12699" i="1"/>
  <c r="K12699" i="1"/>
  <c r="J12699" i="1"/>
  <c r="I12699" i="1"/>
  <c r="H12699" i="1"/>
  <c r="G12699" i="1"/>
  <c r="F12699" i="1"/>
  <c r="E12699" i="1"/>
  <c r="D12699" i="1"/>
  <c r="C12699" i="1"/>
  <c r="B12699" i="1"/>
  <c r="A12699" i="1"/>
  <c r="R12698" i="1"/>
  <c r="J12698" i="1"/>
  <c r="I12698" i="1"/>
  <c r="G12698" i="1"/>
  <c r="F12698" i="1"/>
  <c r="E12698" i="1"/>
  <c r="D12698" i="1"/>
  <c r="C12698" i="1"/>
  <c r="B12698" i="1"/>
  <c r="A12698" i="1"/>
  <c r="S12697" i="1"/>
  <c r="O12697" i="1"/>
  <c r="K12697" i="1"/>
  <c r="J12697" i="1"/>
  <c r="I12697" i="1"/>
  <c r="H12697" i="1"/>
  <c r="G12697" i="1"/>
  <c r="F12697" i="1"/>
  <c r="E12697" i="1"/>
  <c r="D12697" i="1"/>
  <c r="C12697" i="1"/>
  <c r="B12697" i="1"/>
  <c r="A12697" i="1"/>
  <c r="R12696" i="1"/>
  <c r="J12696" i="1"/>
  <c r="I12696" i="1"/>
  <c r="G12696" i="1"/>
  <c r="F12696" i="1"/>
  <c r="E12696" i="1"/>
  <c r="D12696" i="1"/>
  <c r="C12696" i="1"/>
  <c r="B12696" i="1"/>
  <c r="A12696" i="1"/>
  <c r="S12695" i="1"/>
  <c r="O12695" i="1"/>
  <c r="K12695" i="1"/>
  <c r="J12695" i="1"/>
  <c r="I12695" i="1"/>
  <c r="H12695" i="1"/>
  <c r="G12695" i="1"/>
  <c r="F12695" i="1"/>
  <c r="E12695" i="1"/>
  <c r="D12695" i="1"/>
  <c r="C12695" i="1"/>
  <c r="B12695" i="1"/>
  <c r="A12695" i="1"/>
  <c r="R12694" i="1"/>
  <c r="J12694" i="1"/>
  <c r="I12694" i="1"/>
  <c r="G12694" i="1"/>
  <c r="F12694" i="1"/>
  <c r="E12694" i="1"/>
  <c r="D12694" i="1"/>
  <c r="C12694" i="1"/>
  <c r="B12694" i="1"/>
  <c r="A12694" i="1"/>
  <c r="S12693" i="1"/>
  <c r="O12693" i="1"/>
  <c r="K12693" i="1"/>
  <c r="J12693" i="1"/>
  <c r="I12693" i="1"/>
  <c r="H12693" i="1"/>
  <c r="G12693" i="1"/>
  <c r="F12693" i="1"/>
  <c r="E12693" i="1"/>
  <c r="D12693" i="1"/>
  <c r="C12693" i="1"/>
  <c r="B12693" i="1"/>
  <c r="A12693" i="1"/>
  <c r="R12692" i="1"/>
  <c r="J12692" i="1"/>
  <c r="I12692" i="1"/>
  <c r="G12692" i="1"/>
  <c r="F12692" i="1"/>
  <c r="E12692" i="1"/>
  <c r="D12692" i="1"/>
  <c r="C12692" i="1"/>
  <c r="B12692" i="1"/>
  <c r="A12692" i="1"/>
  <c r="S12691" i="1"/>
  <c r="O12691" i="1"/>
  <c r="K12691" i="1"/>
  <c r="J12691" i="1"/>
  <c r="I12691" i="1"/>
  <c r="H12691" i="1"/>
  <c r="G12691" i="1"/>
  <c r="F12691" i="1"/>
  <c r="E12691" i="1"/>
  <c r="D12691" i="1"/>
  <c r="C12691" i="1"/>
  <c r="B12691" i="1"/>
  <c r="A12691" i="1"/>
  <c r="S12690" i="1"/>
  <c r="O12690" i="1"/>
  <c r="K12690" i="1"/>
  <c r="J12690" i="1"/>
  <c r="I12690" i="1"/>
  <c r="H12690" i="1"/>
  <c r="G12690" i="1"/>
  <c r="F12690" i="1"/>
  <c r="D12690" i="1"/>
  <c r="C12690" i="1"/>
  <c r="B12690" i="1"/>
  <c r="A12690" i="1"/>
  <c r="R12689" i="1"/>
  <c r="J12689" i="1"/>
  <c r="I12689" i="1"/>
  <c r="G12689" i="1"/>
  <c r="F12689" i="1"/>
  <c r="E12689" i="1"/>
  <c r="D12689" i="1"/>
  <c r="C12689" i="1"/>
  <c r="B12689" i="1"/>
  <c r="A12689" i="1"/>
  <c r="S12688" i="1"/>
  <c r="O12688" i="1"/>
  <c r="K12688" i="1"/>
  <c r="J12688" i="1"/>
  <c r="I12688" i="1"/>
  <c r="H12688" i="1"/>
  <c r="G12688" i="1"/>
  <c r="F12688" i="1"/>
  <c r="E12688" i="1"/>
  <c r="D12688" i="1"/>
  <c r="C12688" i="1"/>
  <c r="B12688" i="1"/>
  <c r="A12688" i="1"/>
  <c r="R12687" i="1"/>
  <c r="J12687" i="1"/>
  <c r="I12687" i="1"/>
  <c r="G12687" i="1"/>
  <c r="F12687" i="1"/>
  <c r="E12687" i="1"/>
  <c r="D12687" i="1"/>
  <c r="C12687" i="1"/>
  <c r="B12687" i="1"/>
  <c r="A12687" i="1"/>
  <c r="S12686" i="1"/>
  <c r="O12686" i="1"/>
  <c r="K12686" i="1"/>
  <c r="J12686" i="1"/>
  <c r="I12686" i="1"/>
  <c r="H12686" i="1"/>
  <c r="G12686" i="1"/>
  <c r="F12686" i="1"/>
  <c r="E12686" i="1"/>
  <c r="D12686" i="1"/>
  <c r="C12686" i="1"/>
  <c r="B12686" i="1"/>
  <c r="A12686" i="1"/>
  <c r="R12685" i="1"/>
  <c r="J12685" i="1"/>
  <c r="I12685" i="1"/>
  <c r="G12685" i="1"/>
  <c r="F12685" i="1"/>
  <c r="E12685" i="1"/>
  <c r="D12685" i="1"/>
  <c r="C12685" i="1"/>
  <c r="B12685" i="1"/>
  <c r="A12685" i="1"/>
  <c r="S12684" i="1"/>
  <c r="O12684" i="1"/>
  <c r="K12684" i="1"/>
  <c r="J12684" i="1"/>
  <c r="I12684" i="1"/>
  <c r="H12684" i="1"/>
  <c r="G12684" i="1"/>
  <c r="F12684" i="1"/>
  <c r="E12684" i="1"/>
  <c r="D12684" i="1"/>
  <c r="C12684" i="1"/>
  <c r="B12684" i="1"/>
  <c r="A12684" i="1"/>
  <c r="R12683" i="1"/>
  <c r="J12683" i="1"/>
  <c r="I12683" i="1"/>
  <c r="G12683" i="1"/>
  <c r="F12683" i="1"/>
  <c r="E12683" i="1"/>
  <c r="D12683" i="1"/>
  <c r="C12683" i="1"/>
  <c r="B12683" i="1"/>
  <c r="A12683" i="1"/>
  <c r="S12682" i="1"/>
  <c r="O12682" i="1"/>
  <c r="K12682" i="1"/>
  <c r="J12682" i="1"/>
  <c r="I12682" i="1"/>
  <c r="H12682" i="1"/>
  <c r="G12682" i="1"/>
  <c r="F12682" i="1"/>
  <c r="E12682" i="1"/>
  <c r="D12682" i="1"/>
  <c r="C12682" i="1"/>
  <c r="B12682" i="1"/>
  <c r="A12682" i="1"/>
  <c r="R12681" i="1"/>
  <c r="J12681" i="1"/>
  <c r="I12681" i="1"/>
  <c r="G12681" i="1"/>
  <c r="F12681" i="1"/>
  <c r="E12681" i="1"/>
  <c r="D12681" i="1"/>
  <c r="C12681" i="1"/>
  <c r="B12681" i="1"/>
  <c r="A12681" i="1"/>
  <c r="S12680" i="1"/>
  <c r="O12680" i="1"/>
  <c r="K12680" i="1"/>
  <c r="J12680" i="1"/>
  <c r="I12680" i="1"/>
  <c r="H12680" i="1"/>
  <c r="G12680" i="1"/>
  <c r="F12680" i="1"/>
  <c r="E12680" i="1"/>
  <c r="D12680" i="1"/>
  <c r="C12680" i="1"/>
  <c r="B12680" i="1"/>
  <c r="A12680" i="1"/>
  <c r="R12679" i="1"/>
  <c r="J12679" i="1"/>
  <c r="I12679" i="1"/>
  <c r="G12679" i="1"/>
  <c r="F12679" i="1"/>
  <c r="E12679" i="1"/>
  <c r="D12679" i="1"/>
  <c r="C12679" i="1"/>
  <c r="B12679" i="1"/>
  <c r="A12679" i="1"/>
  <c r="S12678" i="1"/>
  <c r="O12678" i="1"/>
  <c r="K12678" i="1"/>
  <c r="J12678" i="1"/>
  <c r="I12678" i="1"/>
  <c r="H12678" i="1"/>
  <c r="G12678" i="1"/>
  <c r="F12678" i="1"/>
  <c r="E12678" i="1"/>
  <c r="D12678" i="1"/>
  <c r="C12678" i="1"/>
  <c r="B12678" i="1"/>
  <c r="A12678" i="1"/>
  <c r="R12677" i="1"/>
  <c r="J12677" i="1"/>
  <c r="I12677" i="1"/>
  <c r="G12677" i="1"/>
  <c r="F12677" i="1"/>
  <c r="E12677" i="1"/>
  <c r="D12677" i="1"/>
  <c r="C12677" i="1"/>
  <c r="B12677" i="1"/>
  <c r="A12677" i="1"/>
  <c r="S12676" i="1"/>
  <c r="O12676" i="1"/>
  <c r="K12676" i="1"/>
  <c r="J12676" i="1"/>
  <c r="I12676" i="1"/>
  <c r="H12676" i="1"/>
  <c r="G12676" i="1"/>
  <c r="F12676" i="1"/>
  <c r="E12676" i="1"/>
  <c r="D12676" i="1"/>
  <c r="C12676" i="1"/>
  <c r="B12676" i="1"/>
  <c r="A12676" i="1"/>
  <c r="R12675" i="1"/>
  <c r="J12675" i="1"/>
  <c r="I12675" i="1"/>
  <c r="G12675" i="1"/>
  <c r="F12675" i="1"/>
  <c r="E12675" i="1"/>
  <c r="D12675" i="1"/>
  <c r="C12675" i="1"/>
  <c r="B12675" i="1"/>
  <c r="A12675" i="1"/>
  <c r="S12674" i="1"/>
  <c r="O12674" i="1"/>
  <c r="K12674" i="1"/>
  <c r="J12674" i="1"/>
  <c r="I12674" i="1"/>
  <c r="H12674" i="1"/>
  <c r="G12674" i="1"/>
  <c r="F12674" i="1"/>
  <c r="E12674" i="1"/>
  <c r="D12674" i="1"/>
  <c r="C12674" i="1"/>
  <c r="B12674" i="1"/>
  <c r="A12674" i="1"/>
  <c r="R12673" i="1"/>
  <c r="J12673" i="1"/>
  <c r="I12673" i="1"/>
  <c r="G12673" i="1"/>
  <c r="F12673" i="1"/>
  <c r="E12673" i="1"/>
  <c r="D12673" i="1"/>
  <c r="C12673" i="1"/>
  <c r="B12673" i="1"/>
  <c r="A12673" i="1"/>
  <c r="R12672" i="1"/>
  <c r="J12672" i="1"/>
  <c r="I12672" i="1"/>
  <c r="G12672" i="1"/>
  <c r="F12672" i="1"/>
  <c r="E12672" i="1"/>
  <c r="D12672" i="1"/>
  <c r="C12672" i="1"/>
  <c r="B12672" i="1"/>
  <c r="A12672" i="1"/>
  <c r="R12671" i="1"/>
  <c r="J12671" i="1"/>
  <c r="I12671" i="1"/>
  <c r="G12671" i="1"/>
  <c r="F12671" i="1"/>
  <c r="E12671" i="1"/>
  <c r="D12671" i="1"/>
  <c r="C12671" i="1"/>
  <c r="B12671" i="1"/>
  <c r="A12671" i="1"/>
  <c r="R12670" i="1"/>
  <c r="J12670" i="1"/>
  <c r="I12670" i="1"/>
  <c r="G12670" i="1"/>
  <c r="F12670" i="1"/>
  <c r="E12670" i="1"/>
  <c r="D12670" i="1"/>
  <c r="C12670" i="1"/>
  <c r="B12670" i="1"/>
  <c r="A12670" i="1"/>
  <c r="R12669" i="1"/>
  <c r="J12669" i="1"/>
  <c r="I12669" i="1"/>
  <c r="G12669" i="1"/>
  <c r="F12669" i="1"/>
  <c r="E12669" i="1"/>
  <c r="D12669" i="1"/>
  <c r="C12669" i="1"/>
  <c r="B12669" i="1"/>
  <c r="A12669" i="1"/>
  <c r="S12668" i="1"/>
  <c r="O12668" i="1"/>
  <c r="K12668" i="1"/>
  <c r="J12668" i="1"/>
  <c r="I12668" i="1"/>
  <c r="H12668" i="1"/>
  <c r="G12668" i="1"/>
  <c r="F12668" i="1"/>
  <c r="E12668" i="1"/>
  <c r="D12668" i="1"/>
  <c r="C12668" i="1"/>
  <c r="B12668" i="1"/>
  <c r="A12668" i="1"/>
  <c r="R12667" i="1"/>
  <c r="J12667" i="1"/>
  <c r="I12667" i="1"/>
  <c r="G12667" i="1"/>
  <c r="F12667" i="1"/>
  <c r="E12667" i="1"/>
  <c r="D12667" i="1"/>
  <c r="C12667" i="1"/>
  <c r="B12667" i="1"/>
  <c r="A12667" i="1"/>
  <c r="R12666" i="1"/>
  <c r="J12666" i="1"/>
  <c r="I12666" i="1"/>
  <c r="G12666" i="1"/>
  <c r="F12666" i="1"/>
  <c r="E12666" i="1"/>
  <c r="D12666" i="1"/>
  <c r="C12666" i="1"/>
  <c r="B12666" i="1"/>
  <c r="A12666" i="1"/>
  <c r="R12665" i="1"/>
  <c r="J12665" i="1"/>
  <c r="I12665" i="1"/>
  <c r="G12665" i="1"/>
  <c r="F12665" i="1"/>
  <c r="E12665" i="1"/>
  <c r="D12665" i="1"/>
  <c r="C12665" i="1"/>
  <c r="B12665" i="1"/>
  <c r="A12665" i="1"/>
  <c r="R12664" i="1"/>
  <c r="J12664" i="1"/>
  <c r="I12664" i="1"/>
  <c r="G12664" i="1"/>
  <c r="F12664" i="1"/>
  <c r="E12664" i="1"/>
  <c r="D12664" i="1"/>
  <c r="C12664" i="1"/>
  <c r="B12664" i="1"/>
  <c r="A12664" i="1"/>
  <c r="R12663" i="1"/>
  <c r="J12663" i="1"/>
  <c r="I12663" i="1"/>
  <c r="G12663" i="1"/>
  <c r="F12663" i="1"/>
  <c r="E12663" i="1"/>
  <c r="D12663" i="1"/>
  <c r="C12663" i="1"/>
  <c r="B12663" i="1"/>
  <c r="A12663" i="1"/>
  <c r="S12662" i="1"/>
  <c r="O12662" i="1"/>
  <c r="K12662" i="1"/>
  <c r="J12662" i="1"/>
  <c r="I12662" i="1"/>
  <c r="H12662" i="1"/>
  <c r="G12662" i="1"/>
  <c r="F12662" i="1"/>
  <c r="E12662" i="1"/>
  <c r="D12662" i="1"/>
  <c r="C12662" i="1"/>
  <c r="B12662" i="1"/>
  <c r="A12662" i="1"/>
  <c r="R12661" i="1"/>
  <c r="J12661" i="1"/>
  <c r="I12661" i="1"/>
  <c r="G12661" i="1"/>
  <c r="F12661" i="1"/>
  <c r="E12661" i="1"/>
  <c r="D12661" i="1"/>
  <c r="C12661" i="1"/>
  <c r="B12661" i="1"/>
  <c r="A12661" i="1"/>
  <c r="R12660" i="1"/>
  <c r="J12660" i="1"/>
  <c r="I12660" i="1"/>
  <c r="G12660" i="1"/>
  <c r="F12660" i="1"/>
  <c r="E12660" i="1"/>
  <c r="D12660" i="1"/>
  <c r="C12660" i="1"/>
  <c r="B12660" i="1"/>
  <c r="A12660" i="1"/>
  <c r="S12659" i="1"/>
  <c r="O12659" i="1"/>
  <c r="K12659" i="1"/>
  <c r="J12659" i="1"/>
  <c r="I12659" i="1"/>
  <c r="H12659" i="1"/>
  <c r="G12659" i="1"/>
  <c r="F12659" i="1"/>
  <c r="E12659" i="1"/>
  <c r="D12659" i="1"/>
  <c r="C12659" i="1"/>
  <c r="B12659" i="1"/>
  <c r="A12659" i="1"/>
  <c r="R12658" i="1"/>
  <c r="J12658" i="1"/>
  <c r="I12658" i="1"/>
  <c r="G12658" i="1"/>
  <c r="F12658" i="1"/>
  <c r="E12658" i="1"/>
  <c r="D12658" i="1"/>
  <c r="C12658" i="1"/>
  <c r="B12658" i="1"/>
  <c r="A12658" i="1"/>
  <c r="S12657" i="1"/>
  <c r="O12657" i="1"/>
  <c r="K12657" i="1"/>
  <c r="J12657" i="1"/>
  <c r="I12657" i="1"/>
  <c r="H12657" i="1"/>
  <c r="G12657" i="1"/>
  <c r="F12657" i="1"/>
  <c r="E12657" i="1"/>
  <c r="D12657" i="1"/>
  <c r="C12657" i="1"/>
  <c r="B12657" i="1"/>
  <c r="A12657" i="1"/>
  <c r="R12656" i="1"/>
  <c r="J12656" i="1"/>
  <c r="I12656" i="1"/>
  <c r="G12656" i="1"/>
  <c r="F12656" i="1"/>
  <c r="E12656" i="1"/>
  <c r="D12656" i="1"/>
  <c r="C12656" i="1"/>
  <c r="B12656" i="1"/>
  <c r="A12656" i="1"/>
  <c r="S12655" i="1"/>
  <c r="O12655" i="1"/>
  <c r="K12655" i="1"/>
  <c r="J12655" i="1"/>
  <c r="I12655" i="1"/>
  <c r="H12655" i="1"/>
  <c r="G12655" i="1"/>
  <c r="F12655" i="1"/>
  <c r="E12655" i="1"/>
  <c r="D12655" i="1"/>
  <c r="C12655" i="1"/>
  <c r="B12655" i="1"/>
  <c r="A12655" i="1"/>
  <c r="R12654" i="1"/>
  <c r="J12654" i="1"/>
  <c r="I12654" i="1"/>
  <c r="G12654" i="1"/>
  <c r="F12654" i="1"/>
  <c r="E12654" i="1"/>
  <c r="D12654" i="1"/>
  <c r="C12654" i="1"/>
  <c r="B12654" i="1"/>
  <c r="A12654" i="1"/>
  <c r="S12653" i="1"/>
  <c r="O12653" i="1"/>
  <c r="K12653" i="1"/>
  <c r="J12653" i="1"/>
  <c r="I12653" i="1"/>
  <c r="H12653" i="1"/>
  <c r="G12653" i="1"/>
  <c r="F12653" i="1"/>
  <c r="E12653" i="1"/>
  <c r="D12653" i="1"/>
  <c r="C12653" i="1"/>
  <c r="B12653" i="1"/>
  <c r="A12653" i="1"/>
  <c r="R12652" i="1"/>
  <c r="J12652" i="1"/>
  <c r="I12652" i="1"/>
  <c r="G12652" i="1"/>
  <c r="F12652" i="1"/>
  <c r="E12652" i="1"/>
  <c r="D12652" i="1"/>
  <c r="C12652" i="1"/>
  <c r="B12652" i="1"/>
  <c r="A12652" i="1"/>
  <c r="R12651" i="1"/>
  <c r="J12651" i="1"/>
  <c r="I12651" i="1"/>
  <c r="G12651" i="1"/>
  <c r="F12651" i="1"/>
  <c r="E12651" i="1"/>
  <c r="D12651" i="1"/>
  <c r="C12651" i="1"/>
  <c r="B12651" i="1"/>
  <c r="A12651" i="1"/>
  <c r="S12650" i="1"/>
  <c r="O12650" i="1"/>
  <c r="K12650" i="1"/>
  <c r="J12650" i="1"/>
  <c r="I12650" i="1"/>
  <c r="H12650" i="1"/>
  <c r="G12650" i="1"/>
  <c r="F12650" i="1"/>
  <c r="E12650" i="1"/>
  <c r="D12650" i="1"/>
  <c r="C12650" i="1"/>
  <c r="B12650" i="1"/>
  <c r="A12650" i="1"/>
  <c r="R12649" i="1"/>
  <c r="J12649" i="1"/>
  <c r="I12649" i="1"/>
  <c r="G12649" i="1"/>
  <c r="F12649" i="1"/>
  <c r="E12649" i="1"/>
  <c r="D12649" i="1"/>
  <c r="C12649" i="1"/>
  <c r="B12649" i="1"/>
  <c r="A12649" i="1"/>
  <c r="S12648" i="1"/>
  <c r="O12648" i="1"/>
  <c r="K12648" i="1"/>
  <c r="J12648" i="1"/>
  <c r="I12648" i="1"/>
  <c r="H12648" i="1"/>
  <c r="G12648" i="1"/>
  <c r="F12648" i="1"/>
  <c r="E12648" i="1"/>
  <c r="D12648" i="1"/>
  <c r="C12648" i="1"/>
  <c r="B12648" i="1"/>
  <c r="A12648" i="1"/>
  <c r="R12647" i="1"/>
  <c r="J12647" i="1"/>
  <c r="I12647" i="1"/>
  <c r="G12647" i="1"/>
  <c r="F12647" i="1"/>
  <c r="E12647" i="1"/>
  <c r="D12647" i="1"/>
  <c r="C12647" i="1"/>
  <c r="B12647" i="1"/>
  <c r="A12647" i="1"/>
  <c r="S12646" i="1"/>
  <c r="O12646" i="1"/>
  <c r="K12646" i="1"/>
  <c r="J12646" i="1"/>
  <c r="I12646" i="1"/>
  <c r="H12646" i="1"/>
  <c r="G12646" i="1"/>
  <c r="F12646" i="1"/>
  <c r="E12646" i="1"/>
  <c r="D12646" i="1"/>
  <c r="C12646" i="1"/>
  <c r="B12646" i="1"/>
  <c r="A12646" i="1"/>
  <c r="R12645" i="1"/>
  <c r="J12645" i="1"/>
  <c r="I12645" i="1"/>
  <c r="G12645" i="1"/>
  <c r="F12645" i="1"/>
  <c r="E12645" i="1"/>
  <c r="D12645" i="1"/>
  <c r="C12645" i="1"/>
  <c r="B12645" i="1"/>
  <c r="A12645" i="1"/>
  <c r="S12644" i="1"/>
  <c r="O12644" i="1"/>
  <c r="K12644" i="1"/>
  <c r="J12644" i="1"/>
  <c r="I12644" i="1"/>
  <c r="H12644" i="1"/>
  <c r="G12644" i="1"/>
  <c r="F12644" i="1"/>
  <c r="E12644" i="1"/>
  <c r="D12644" i="1"/>
  <c r="C12644" i="1"/>
  <c r="B12644" i="1"/>
  <c r="A12644" i="1"/>
  <c r="R12643" i="1"/>
  <c r="J12643" i="1"/>
  <c r="I12643" i="1"/>
  <c r="G12643" i="1"/>
  <c r="F12643" i="1"/>
  <c r="E12643" i="1"/>
  <c r="D12643" i="1"/>
  <c r="C12643" i="1"/>
  <c r="B12643" i="1"/>
  <c r="A12643" i="1"/>
  <c r="S12642" i="1"/>
  <c r="O12642" i="1"/>
  <c r="K12642" i="1"/>
  <c r="J12642" i="1"/>
  <c r="I12642" i="1"/>
  <c r="H12642" i="1"/>
  <c r="G12642" i="1"/>
  <c r="F12642" i="1"/>
  <c r="E12642" i="1"/>
  <c r="D12642" i="1"/>
  <c r="C12642" i="1"/>
  <c r="B12642" i="1"/>
  <c r="A12642" i="1"/>
  <c r="R12641" i="1"/>
  <c r="J12641" i="1"/>
  <c r="I12641" i="1"/>
  <c r="G12641" i="1"/>
  <c r="F12641" i="1"/>
  <c r="E12641" i="1"/>
  <c r="D12641" i="1"/>
  <c r="C12641" i="1"/>
  <c r="B12641" i="1"/>
  <c r="A12641" i="1"/>
  <c r="S12640" i="1"/>
  <c r="O12640" i="1"/>
  <c r="K12640" i="1"/>
  <c r="J12640" i="1"/>
  <c r="I12640" i="1"/>
  <c r="H12640" i="1"/>
  <c r="G12640" i="1"/>
  <c r="F12640" i="1"/>
  <c r="E12640" i="1"/>
  <c r="D12640" i="1"/>
  <c r="C12640" i="1"/>
  <c r="B12640" i="1"/>
  <c r="A12640" i="1"/>
  <c r="R12639" i="1"/>
  <c r="J12639" i="1"/>
  <c r="I12639" i="1"/>
  <c r="G12639" i="1"/>
  <c r="F12639" i="1"/>
  <c r="E12639" i="1"/>
  <c r="D12639" i="1"/>
  <c r="C12639" i="1"/>
  <c r="B12639" i="1"/>
  <c r="A12639" i="1"/>
  <c r="S12638" i="1"/>
  <c r="O12638" i="1"/>
  <c r="K12638" i="1"/>
  <c r="J12638" i="1"/>
  <c r="I12638" i="1"/>
  <c r="H12638" i="1"/>
  <c r="G12638" i="1"/>
  <c r="F12638" i="1"/>
  <c r="E12638" i="1"/>
  <c r="D12638" i="1"/>
  <c r="C12638" i="1"/>
  <c r="B12638" i="1"/>
  <c r="A12638" i="1"/>
  <c r="R12637" i="1"/>
  <c r="J12637" i="1"/>
  <c r="I12637" i="1"/>
  <c r="G12637" i="1"/>
  <c r="F12637" i="1"/>
  <c r="E12637" i="1"/>
  <c r="D12637" i="1"/>
  <c r="C12637" i="1"/>
  <c r="B12637" i="1"/>
  <c r="A12637" i="1"/>
  <c r="S12636" i="1"/>
  <c r="O12636" i="1"/>
  <c r="K12636" i="1"/>
  <c r="J12636" i="1"/>
  <c r="I12636" i="1"/>
  <c r="H12636" i="1"/>
  <c r="G12636" i="1"/>
  <c r="F12636" i="1"/>
  <c r="E12636" i="1"/>
  <c r="D12636" i="1"/>
  <c r="C12636" i="1"/>
  <c r="B12636" i="1"/>
  <c r="A12636" i="1"/>
  <c r="R12635" i="1"/>
  <c r="J12635" i="1"/>
  <c r="I12635" i="1"/>
  <c r="G12635" i="1"/>
  <c r="F12635" i="1"/>
  <c r="E12635" i="1"/>
  <c r="D12635" i="1"/>
  <c r="C12635" i="1"/>
  <c r="B12635" i="1"/>
  <c r="A12635" i="1"/>
  <c r="S12634" i="1"/>
  <c r="O12634" i="1"/>
  <c r="K12634" i="1"/>
  <c r="J12634" i="1"/>
  <c r="I12634" i="1"/>
  <c r="H12634" i="1"/>
  <c r="G12634" i="1"/>
  <c r="F12634" i="1"/>
  <c r="E12634" i="1"/>
  <c r="D12634" i="1"/>
  <c r="C12634" i="1"/>
  <c r="B12634" i="1"/>
  <c r="A12634" i="1"/>
  <c r="R12633" i="1"/>
  <c r="J12633" i="1"/>
  <c r="I12633" i="1"/>
  <c r="G12633" i="1"/>
  <c r="F12633" i="1"/>
  <c r="E12633" i="1"/>
  <c r="D12633" i="1"/>
  <c r="C12633" i="1"/>
  <c r="B12633" i="1"/>
  <c r="A12633" i="1"/>
  <c r="S12632" i="1"/>
  <c r="O12632" i="1"/>
  <c r="K12632" i="1"/>
  <c r="J12632" i="1"/>
  <c r="I12632" i="1"/>
  <c r="H12632" i="1"/>
  <c r="G12632" i="1"/>
  <c r="F12632" i="1"/>
  <c r="E12632" i="1"/>
  <c r="D12632" i="1"/>
  <c r="C12632" i="1"/>
  <c r="B12632" i="1"/>
  <c r="A12632" i="1"/>
  <c r="R12631" i="1"/>
  <c r="J12631" i="1"/>
  <c r="I12631" i="1"/>
  <c r="G12631" i="1"/>
  <c r="F12631" i="1"/>
  <c r="E12631" i="1"/>
  <c r="D12631" i="1"/>
  <c r="C12631" i="1"/>
  <c r="B12631" i="1"/>
  <c r="A12631" i="1"/>
  <c r="S12630" i="1"/>
  <c r="O12630" i="1"/>
  <c r="K12630" i="1"/>
  <c r="J12630" i="1"/>
  <c r="I12630" i="1"/>
  <c r="H12630" i="1"/>
  <c r="G12630" i="1"/>
  <c r="F12630" i="1"/>
  <c r="E12630" i="1"/>
  <c r="D12630" i="1"/>
  <c r="C12630" i="1"/>
  <c r="B12630" i="1"/>
  <c r="A12630" i="1"/>
  <c r="R12629" i="1"/>
  <c r="J12629" i="1"/>
  <c r="I12629" i="1"/>
  <c r="G12629" i="1"/>
  <c r="F12629" i="1"/>
  <c r="E12629" i="1"/>
  <c r="D12629" i="1"/>
  <c r="C12629" i="1"/>
  <c r="B12629" i="1"/>
  <c r="A12629" i="1"/>
  <c r="S12628" i="1"/>
  <c r="O12628" i="1"/>
  <c r="K12628" i="1"/>
  <c r="J12628" i="1"/>
  <c r="I12628" i="1"/>
  <c r="H12628" i="1"/>
  <c r="G12628" i="1"/>
  <c r="F12628" i="1"/>
  <c r="E12628" i="1"/>
  <c r="D12628" i="1"/>
  <c r="C12628" i="1"/>
  <c r="B12628" i="1"/>
  <c r="A12628" i="1"/>
  <c r="R12627" i="1"/>
  <c r="J12627" i="1"/>
  <c r="I12627" i="1"/>
  <c r="G12627" i="1"/>
  <c r="F12627" i="1"/>
  <c r="E12627" i="1"/>
  <c r="D12627" i="1"/>
  <c r="C12627" i="1"/>
  <c r="B12627" i="1"/>
  <c r="A12627" i="1"/>
  <c r="S12626" i="1"/>
  <c r="O12626" i="1"/>
  <c r="K12626" i="1"/>
  <c r="J12626" i="1"/>
  <c r="I12626" i="1"/>
  <c r="H12626" i="1"/>
  <c r="G12626" i="1"/>
  <c r="F12626" i="1"/>
  <c r="E12626" i="1"/>
  <c r="D12626" i="1"/>
  <c r="C12626" i="1"/>
  <c r="B12626" i="1"/>
  <c r="A12626" i="1"/>
  <c r="R12625" i="1"/>
  <c r="J12625" i="1"/>
  <c r="I12625" i="1"/>
  <c r="G12625" i="1"/>
  <c r="F12625" i="1"/>
  <c r="E12625" i="1"/>
  <c r="D12625" i="1"/>
  <c r="C12625" i="1"/>
  <c r="B12625" i="1"/>
  <c r="A12625" i="1"/>
  <c r="S12624" i="1"/>
  <c r="O12624" i="1"/>
  <c r="K12624" i="1"/>
  <c r="J12624" i="1"/>
  <c r="I12624" i="1"/>
  <c r="H12624" i="1"/>
  <c r="G12624" i="1"/>
  <c r="F12624" i="1"/>
  <c r="E12624" i="1"/>
  <c r="D12624" i="1"/>
  <c r="C12624" i="1"/>
  <c r="B12624" i="1"/>
  <c r="A12624" i="1"/>
  <c r="R12623" i="1"/>
  <c r="J12623" i="1"/>
  <c r="I12623" i="1"/>
  <c r="G12623" i="1"/>
  <c r="F12623" i="1"/>
  <c r="E12623" i="1"/>
  <c r="D12623" i="1"/>
  <c r="C12623" i="1"/>
  <c r="B12623" i="1"/>
  <c r="A12623" i="1"/>
  <c r="S12622" i="1"/>
  <c r="O12622" i="1"/>
  <c r="K12622" i="1"/>
  <c r="J12622" i="1"/>
  <c r="I12622" i="1"/>
  <c r="H12622" i="1"/>
  <c r="G12622" i="1"/>
  <c r="F12622" i="1"/>
  <c r="E12622" i="1"/>
  <c r="D12622" i="1"/>
  <c r="C12622" i="1"/>
  <c r="B12622" i="1"/>
  <c r="A12622" i="1"/>
  <c r="R12621" i="1"/>
  <c r="J12621" i="1"/>
  <c r="I12621" i="1"/>
  <c r="G12621" i="1"/>
  <c r="F12621" i="1"/>
  <c r="E12621" i="1"/>
  <c r="D12621" i="1"/>
  <c r="C12621" i="1"/>
  <c r="B12621" i="1"/>
  <c r="A12621" i="1"/>
  <c r="S12620" i="1"/>
  <c r="O12620" i="1"/>
  <c r="K12620" i="1"/>
  <c r="J12620" i="1"/>
  <c r="I12620" i="1"/>
  <c r="H12620" i="1"/>
  <c r="G12620" i="1"/>
  <c r="F12620" i="1"/>
  <c r="E12620" i="1"/>
  <c r="D12620" i="1"/>
  <c r="C12620" i="1"/>
  <c r="B12620" i="1"/>
  <c r="A12620" i="1"/>
  <c r="R12619" i="1"/>
  <c r="J12619" i="1"/>
  <c r="I12619" i="1"/>
  <c r="G12619" i="1"/>
  <c r="F12619" i="1"/>
  <c r="E12619" i="1"/>
  <c r="D12619" i="1"/>
  <c r="C12619" i="1"/>
  <c r="B12619" i="1"/>
  <c r="A12619" i="1"/>
  <c r="S12618" i="1"/>
  <c r="O12618" i="1"/>
  <c r="K12618" i="1"/>
  <c r="J12618" i="1"/>
  <c r="I12618" i="1"/>
  <c r="H12618" i="1"/>
  <c r="G12618" i="1"/>
  <c r="F12618" i="1"/>
  <c r="E12618" i="1"/>
  <c r="D12618" i="1"/>
  <c r="C12618" i="1"/>
  <c r="B12618" i="1"/>
  <c r="A12618" i="1"/>
  <c r="R12617" i="1"/>
  <c r="J12617" i="1"/>
  <c r="I12617" i="1"/>
  <c r="G12617" i="1"/>
  <c r="F12617" i="1"/>
  <c r="E12617" i="1"/>
  <c r="D12617" i="1"/>
  <c r="C12617" i="1"/>
  <c r="B12617" i="1"/>
  <c r="A12617" i="1"/>
  <c r="S12616" i="1"/>
  <c r="O12616" i="1"/>
  <c r="K12616" i="1"/>
  <c r="J12616" i="1"/>
  <c r="I12616" i="1"/>
  <c r="H12616" i="1"/>
  <c r="G12616" i="1"/>
  <c r="F12616" i="1"/>
  <c r="E12616" i="1"/>
  <c r="D12616" i="1"/>
  <c r="C12616" i="1"/>
  <c r="B12616" i="1"/>
  <c r="A12616" i="1"/>
  <c r="R12615" i="1"/>
  <c r="J12615" i="1"/>
  <c r="I12615" i="1"/>
  <c r="G12615" i="1"/>
  <c r="F12615" i="1"/>
  <c r="E12615" i="1"/>
  <c r="D12615" i="1"/>
  <c r="C12615" i="1"/>
  <c r="B12615" i="1"/>
  <c r="A12615" i="1"/>
  <c r="S12614" i="1"/>
  <c r="O12614" i="1"/>
  <c r="K12614" i="1"/>
  <c r="J12614" i="1"/>
  <c r="I12614" i="1"/>
  <c r="H12614" i="1"/>
  <c r="G12614" i="1"/>
  <c r="F12614" i="1"/>
  <c r="E12614" i="1"/>
  <c r="D12614" i="1"/>
  <c r="C12614" i="1"/>
  <c r="B12614" i="1"/>
  <c r="A12614" i="1"/>
  <c r="R12613" i="1"/>
  <c r="J12613" i="1"/>
  <c r="I12613" i="1"/>
  <c r="G12613" i="1"/>
  <c r="F12613" i="1"/>
  <c r="E12613" i="1"/>
  <c r="D12613" i="1"/>
  <c r="C12613" i="1"/>
  <c r="B12613" i="1"/>
  <c r="A12613" i="1"/>
  <c r="S12612" i="1"/>
  <c r="O12612" i="1"/>
  <c r="K12612" i="1"/>
  <c r="J12612" i="1"/>
  <c r="I12612" i="1"/>
  <c r="H12612" i="1"/>
  <c r="G12612" i="1"/>
  <c r="F12612" i="1"/>
  <c r="E12612" i="1"/>
  <c r="D12612" i="1"/>
  <c r="C12612" i="1"/>
  <c r="B12612" i="1"/>
  <c r="A12612" i="1"/>
  <c r="R12611" i="1"/>
  <c r="J12611" i="1"/>
  <c r="I12611" i="1"/>
  <c r="G12611" i="1"/>
  <c r="F12611" i="1"/>
  <c r="E12611" i="1"/>
  <c r="D12611" i="1"/>
  <c r="C12611" i="1"/>
  <c r="B12611" i="1"/>
  <c r="A12611" i="1"/>
  <c r="S12610" i="1"/>
  <c r="O12610" i="1"/>
  <c r="K12610" i="1"/>
  <c r="J12610" i="1"/>
  <c r="I12610" i="1"/>
  <c r="H12610" i="1"/>
  <c r="G12610" i="1"/>
  <c r="F12610" i="1"/>
  <c r="E12610" i="1"/>
  <c r="D12610" i="1"/>
  <c r="C12610" i="1"/>
  <c r="B12610" i="1"/>
  <c r="A12610" i="1"/>
  <c r="R12609" i="1"/>
  <c r="J12609" i="1"/>
  <c r="I12609" i="1"/>
  <c r="G12609" i="1"/>
  <c r="F12609" i="1"/>
  <c r="E12609" i="1"/>
  <c r="D12609" i="1"/>
  <c r="C12609" i="1"/>
  <c r="B12609" i="1"/>
  <c r="A12609" i="1"/>
  <c r="S12608" i="1"/>
  <c r="O12608" i="1"/>
  <c r="K12608" i="1"/>
  <c r="J12608" i="1"/>
  <c r="I12608" i="1"/>
  <c r="H12608" i="1"/>
  <c r="G12608" i="1"/>
  <c r="F12608" i="1"/>
  <c r="E12608" i="1"/>
  <c r="D12608" i="1"/>
  <c r="C12608" i="1"/>
  <c r="B12608" i="1"/>
  <c r="A12608" i="1"/>
  <c r="R12607" i="1"/>
  <c r="J12607" i="1"/>
  <c r="I12607" i="1"/>
  <c r="G12607" i="1"/>
  <c r="F12607" i="1"/>
  <c r="E12607" i="1"/>
  <c r="D12607" i="1"/>
  <c r="C12607" i="1"/>
  <c r="B12607" i="1"/>
  <c r="A12607" i="1"/>
  <c r="S12606" i="1"/>
  <c r="O12606" i="1"/>
  <c r="K12606" i="1"/>
  <c r="J12606" i="1"/>
  <c r="I12606" i="1"/>
  <c r="H12606" i="1"/>
  <c r="G12606" i="1"/>
  <c r="F12606" i="1"/>
  <c r="E12606" i="1"/>
  <c r="D12606" i="1"/>
  <c r="C12606" i="1"/>
  <c r="B12606" i="1"/>
  <c r="A12606" i="1"/>
  <c r="R12605" i="1"/>
  <c r="J12605" i="1"/>
  <c r="I12605" i="1"/>
  <c r="G12605" i="1"/>
  <c r="F12605" i="1"/>
  <c r="E12605" i="1"/>
  <c r="D12605" i="1"/>
  <c r="C12605" i="1"/>
  <c r="B12605" i="1"/>
  <c r="A12605" i="1"/>
  <c r="S12604" i="1"/>
  <c r="O12604" i="1"/>
  <c r="K12604" i="1"/>
  <c r="J12604" i="1"/>
  <c r="I12604" i="1"/>
  <c r="H12604" i="1"/>
  <c r="G12604" i="1"/>
  <c r="F12604" i="1"/>
  <c r="E12604" i="1"/>
  <c r="D12604" i="1"/>
  <c r="C12604" i="1"/>
  <c r="B12604" i="1"/>
  <c r="A12604" i="1"/>
  <c r="R12603" i="1"/>
  <c r="J12603" i="1"/>
  <c r="I12603" i="1"/>
  <c r="G12603" i="1"/>
  <c r="F12603" i="1"/>
  <c r="E12603" i="1"/>
  <c r="D12603" i="1"/>
  <c r="C12603" i="1"/>
  <c r="B12603" i="1"/>
  <c r="A12603" i="1"/>
  <c r="S12602" i="1"/>
  <c r="O12602" i="1"/>
  <c r="K12602" i="1"/>
  <c r="J12602" i="1"/>
  <c r="I12602" i="1"/>
  <c r="H12602" i="1"/>
  <c r="G12602" i="1"/>
  <c r="F12602" i="1"/>
  <c r="E12602" i="1"/>
  <c r="D12602" i="1"/>
  <c r="C12602" i="1"/>
  <c r="B12602" i="1"/>
  <c r="A12602" i="1"/>
  <c r="R12601" i="1"/>
  <c r="J12601" i="1"/>
  <c r="I12601" i="1"/>
  <c r="G12601" i="1"/>
  <c r="F12601" i="1"/>
  <c r="E12601" i="1"/>
  <c r="D12601" i="1"/>
  <c r="C12601" i="1"/>
  <c r="B12601" i="1"/>
  <c r="A12601" i="1"/>
  <c r="S12600" i="1"/>
  <c r="O12600" i="1"/>
  <c r="K12600" i="1"/>
  <c r="J12600" i="1"/>
  <c r="I12600" i="1"/>
  <c r="H12600" i="1"/>
  <c r="G12600" i="1"/>
  <c r="F12600" i="1"/>
  <c r="E12600" i="1"/>
  <c r="D12600" i="1"/>
  <c r="C12600" i="1"/>
  <c r="B12600" i="1"/>
  <c r="A12600" i="1"/>
  <c r="R12599" i="1"/>
  <c r="J12599" i="1"/>
  <c r="I12599" i="1"/>
  <c r="G12599" i="1"/>
  <c r="F12599" i="1"/>
  <c r="E12599" i="1"/>
  <c r="D12599" i="1"/>
  <c r="C12599" i="1"/>
  <c r="B12599" i="1"/>
  <c r="A12599" i="1"/>
  <c r="R12598" i="1"/>
  <c r="J12598" i="1"/>
  <c r="I12598" i="1"/>
  <c r="G12598" i="1"/>
  <c r="F12598" i="1"/>
  <c r="E12598" i="1"/>
  <c r="D12598" i="1"/>
  <c r="C12598" i="1"/>
  <c r="B12598" i="1"/>
  <c r="A12598" i="1"/>
  <c r="S12597" i="1"/>
  <c r="O12597" i="1"/>
  <c r="K12597" i="1"/>
  <c r="J12597" i="1"/>
  <c r="I12597" i="1"/>
  <c r="H12597" i="1"/>
  <c r="G12597" i="1"/>
  <c r="F12597" i="1"/>
  <c r="E12597" i="1"/>
  <c r="D12597" i="1"/>
  <c r="C12597" i="1"/>
  <c r="B12597" i="1"/>
  <c r="A12597" i="1"/>
  <c r="R12596" i="1"/>
  <c r="J12596" i="1"/>
  <c r="I12596" i="1"/>
  <c r="G12596" i="1"/>
  <c r="F12596" i="1"/>
  <c r="E12596" i="1"/>
  <c r="D12596" i="1"/>
  <c r="C12596" i="1"/>
  <c r="B12596" i="1"/>
  <c r="A12596" i="1"/>
  <c r="S12595" i="1"/>
  <c r="O12595" i="1"/>
  <c r="K12595" i="1"/>
  <c r="J12595" i="1"/>
  <c r="I12595" i="1"/>
  <c r="H12595" i="1"/>
  <c r="G12595" i="1"/>
  <c r="F12595" i="1"/>
  <c r="E12595" i="1"/>
  <c r="D12595" i="1"/>
  <c r="C12595" i="1"/>
  <c r="B12595" i="1"/>
  <c r="A12595" i="1"/>
  <c r="R12594" i="1"/>
  <c r="J12594" i="1"/>
  <c r="I12594" i="1"/>
  <c r="G12594" i="1"/>
  <c r="F12594" i="1"/>
  <c r="E12594" i="1"/>
  <c r="D12594" i="1"/>
  <c r="C12594" i="1"/>
  <c r="B12594" i="1"/>
  <c r="A12594" i="1"/>
  <c r="S12593" i="1"/>
  <c r="O12593" i="1"/>
  <c r="K12593" i="1"/>
  <c r="J12593" i="1"/>
  <c r="I12593" i="1"/>
  <c r="H12593" i="1"/>
  <c r="G12593" i="1"/>
  <c r="F12593" i="1"/>
  <c r="E12593" i="1"/>
  <c r="D12593" i="1"/>
  <c r="C12593" i="1"/>
  <c r="B12593" i="1"/>
  <c r="A12593" i="1"/>
  <c r="R12592" i="1"/>
  <c r="J12592" i="1"/>
  <c r="I12592" i="1"/>
  <c r="G12592" i="1"/>
  <c r="F12592" i="1"/>
  <c r="E12592" i="1"/>
  <c r="D12592" i="1"/>
  <c r="C12592" i="1"/>
  <c r="B12592" i="1"/>
  <c r="A12592" i="1"/>
  <c r="S12591" i="1"/>
  <c r="O12591" i="1"/>
  <c r="K12591" i="1"/>
  <c r="J12591" i="1"/>
  <c r="I12591" i="1"/>
  <c r="H12591" i="1"/>
  <c r="G12591" i="1"/>
  <c r="F12591" i="1"/>
  <c r="E12591" i="1"/>
  <c r="D12591" i="1"/>
  <c r="C12591" i="1"/>
  <c r="B12591" i="1"/>
  <c r="A12591" i="1"/>
  <c r="R12590" i="1"/>
  <c r="J12590" i="1"/>
  <c r="I12590" i="1"/>
  <c r="G12590" i="1"/>
  <c r="F12590" i="1"/>
  <c r="E12590" i="1"/>
  <c r="D12590" i="1"/>
  <c r="C12590" i="1"/>
  <c r="B12590" i="1"/>
  <c r="A12590" i="1"/>
  <c r="S12589" i="1"/>
  <c r="O12589" i="1"/>
  <c r="K12589" i="1"/>
  <c r="J12589" i="1"/>
  <c r="I12589" i="1"/>
  <c r="H12589" i="1"/>
  <c r="G12589" i="1"/>
  <c r="F12589" i="1"/>
  <c r="E12589" i="1"/>
  <c r="D12589" i="1"/>
  <c r="C12589" i="1"/>
  <c r="B12589" i="1"/>
  <c r="A12589" i="1"/>
  <c r="R12588" i="1"/>
  <c r="J12588" i="1"/>
  <c r="I12588" i="1"/>
  <c r="G12588" i="1"/>
  <c r="F12588" i="1"/>
  <c r="E12588" i="1"/>
  <c r="D12588" i="1"/>
  <c r="C12588" i="1"/>
  <c r="B12588" i="1"/>
  <c r="A12588" i="1"/>
  <c r="R12587" i="1"/>
  <c r="J12587" i="1"/>
  <c r="I12587" i="1"/>
  <c r="G12587" i="1"/>
  <c r="F12587" i="1"/>
  <c r="E12587" i="1"/>
  <c r="D12587" i="1"/>
  <c r="C12587" i="1"/>
  <c r="B12587" i="1"/>
  <c r="A12587" i="1"/>
  <c r="R12586" i="1"/>
  <c r="J12586" i="1"/>
  <c r="I12586" i="1"/>
  <c r="G12586" i="1"/>
  <c r="F12586" i="1"/>
  <c r="E12586" i="1"/>
  <c r="D12586" i="1"/>
  <c r="C12586" i="1"/>
  <c r="B12586" i="1"/>
  <c r="A12586" i="1"/>
  <c r="S12585" i="1"/>
  <c r="O12585" i="1"/>
  <c r="K12585" i="1"/>
  <c r="J12585" i="1"/>
  <c r="I12585" i="1"/>
  <c r="H12585" i="1"/>
  <c r="G12585" i="1"/>
  <c r="F12585" i="1"/>
  <c r="E12585" i="1"/>
  <c r="D12585" i="1"/>
  <c r="C12585" i="1"/>
  <c r="B12585" i="1"/>
  <c r="A12585" i="1"/>
  <c r="R12584" i="1"/>
  <c r="J12584" i="1"/>
  <c r="I12584" i="1"/>
  <c r="G12584" i="1"/>
  <c r="F12584" i="1"/>
  <c r="E12584" i="1"/>
  <c r="D12584" i="1"/>
  <c r="C12584" i="1"/>
  <c r="B12584" i="1"/>
  <c r="A12584" i="1"/>
  <c r="S12583" i="1"/>
  <c r="O12583" i="1"/>
  <c r="K12583" i="1"/>
  <c r="J12583" i="1"/>
  <c r="I12583" i="1"/>
  <c r="H12583" i="1"/>
  <c r="G12583" i="1"/>
  <c r="F12583" i="1"/>
  <c r="E12583" i="1"/>
  <c r="D12583" i="1"/>
  <c r="C12583" i="1"/>
  <c r="B12583" i="1"/>
  <c r="A12583" i="1"/>
  <c r="R12582" i="1"/>
  <c r="J12582" i="1"/>
  <c r="I12582" i="1"/>
  <c r="G12582" i="1"/>
  <c r="F12582" i="1"/>
  <c r="E12582" i="1"/>
  <c r="D12582" i="1"/>
  <c r="C12582" i="1"/>
  <c r="B12582" i="1"/>
  <c r="A12582" i="1"/>
  <c r="S12581" i="1"/>
  <c r="O12581" i="1"/>
  <c r="K12581" i="1"/>
  <c r="J12581" i="1"/>
  <c r="I12581" i="1"/>
  <c r="H12581" i="1"/>
  <c r="G12581" i="1"/>
  <c r="F12581" i="1"/>
  <c r="E12581" i="1"/>
  <c r="D12581" i="1"/>
  <c r="C12581" i="1"/>
  <c r="B12581" i="1"/>
  <c r="A12581" i="1"/>
  <c r="R12580" i="1"/>
  <c r="J12580" i="1"/>
  <c r="I12580" i="1"/>
  <c r="G12580" i="1"/>
  <c r="F12580" i="1"/>
  <c r="E12580" i="1"/>
  <c r="D12580" i="1"/>
  <c r="C12580" i="1"/>
  <c r="B12580" i="1"/>
  <c r="A12580" i="1"/>
  <c r="S12579" i="1"/>
  <c r="O12579" i="1"/>
  <c r="K12579" i="1"/>
  <c r="J12579" i="1"/>
  <c r="I12579" i="1"/>
  <c r="H12579" i="1"/>
  <c r="G12579" i="1"/>
  <c r="F12579" i="1"/>
  <c r="E12579" i="1"/>
  <c r="D12579" i="1"/>
  <c r="C12579" i="1"/>
  <c r="B12579" i="1"/>
  <c r="A12579" i="1"/>
  <c r="R12578" i="1"/>
  <c r="J12578" i="1"/>
  <c r="I12578" i="1"/>
  <c r="G12578" i="1"/>
  <c r="F12578" i="1"/>
  <c r="E12578" i="1"/>
  <c r="D12578" i="1"/>
  <c r="C12578" i="1"/>
  <c r="B12578" i="1"/>
  <c r="A12578" i="1"/>
  <c r="S12577" i="1"/>
  <c r="O12577" i="1"/>
  <c r="K12577" i="1"/>
  <c r="J12577" i="1"/>
  <c r="I12577" i="1"/>
  <c r="H12577" i="1"/>
  <c r="G12577" i="1"/>
  <c r="F12577" i="1"/>
  <c r="E12577" i="1"/>
  <c r="D12577" i="1"/>
  <c r="C12577" i="1"/>
  <c r="B12577" i="1"/>
  <c r="A12577" i="1"/>
  <c r="R12576" i="1"/>
  <c r="J12576" i="1"/>
  <c r="I12576" i="1"/>
  <c r="G12576" i="1"/>
  <c r="F12576" i="1"/>
  <c r="E12576" i="1"/>
  <c r="D12576" i="1"/>
  <c r="C12576" i="1"/>
  <c r="B12576" i="1"/>
  <c r="A12576" i="1"/>
  <c r="R12575" i="1"/>
  <c r="J12575" i="1"/>
  <c r="I12575" i="1"/>
  <c r="G12575" i="1"/>
  <c r="F12575" i="1"/>
  <c r="E12575" i="1"/>
  <c r="D12575" i="1"/>
  <c r="C12575" i="1"/>
  <c r="B12575" i="1"/>
  <c r="A12575" i="1"/>
  <c r="R12574" i="1"/>
  <c r="J12574" i="1"/>
  <c r="I12574" i="1"/>
  <c r="G12574" i="1"/>
  <c r="F12574" i="1"/>
  <c r="E12574" i="1"/>
  <c r="D12574" i="1"/>
  <c r="C12574" i="1"/>
  <c r="B12574" i="1"/>
  <c r="A12574" i="1"/>
  <c r="S12573" i="1"/>
  <c r="O12573" i="1"/>
  <c r="K12573" i="1"/>
  <c r="J12573" i="1"/>
  <c r="I12573" i="1"/>
  <c r="H12573" i="1"/>
  <c r="G12573" i="1"/>
  <c r="F12573" i="1"/>
  <c r="E12573" i="1"/>
  <c r="D12573" i="1"/>
  <c r="C12573" i="1"/>
  <c r="B12573" i="1"/>
  <c r="A12573" i="1"/>
  <c r="R12572" i="1"/>
  <c r="J12572" i="1"/>
  <c r="I12572" i="1"/>
  <c r="G12572" i="1"/>
  <c r="F12572" i="1"/>
  <c r="E12572" i="1"/>
  <c r="D12572" i="1"/>
  <c r="C12572" i="1"/>
  <c r="B12572" i="1"/>
  <c r="A12572" i="1"/>
  <c r="S12571" i="1"/>
  <c r="O12571" i="1"/>
  <c r="K12571" i="1"/>
  <c r="J12571" i="1"/>
  <c r="I12571" i="1"/>
  <c r="H12571" i="1"/>
  <c r="G12571" i="1"/>
  <c r="F12571" i="1"/>
  <c r="E12571" i="1"/>
  <c r="D12571" i="1"/>
  <c r="C12571" i="1"/>
  <c r="B12571" i="1"/>
  <c r="A12571" i="1"/>
  <c r="R12570" i="1"/>
  <c r="J12570" i="1"/>
  <c r="I12570" i="1"/>
  <c r="G12570" i="1"/>
  <c r="F12570" i="1"/>
  <c r="E12570" i="1"/>
  <c r="D12570" i="1"/>
  <c r="C12570" i="1"/>
  <c r="B12570" i="1"/>
  <c r="A12570" i="1"/>
  <c r="S12569" i="1"/>
  <c r="O12569" i="1"/>
  <c r="K12569" i="1"/>
  <c r="J12569" i="1"/>
  <c r="I12569" i="1"/>
  <c r="H12569" i="1"/>
  <c r="G12569" i="1"/>
  <c r="F12569" i="1"/>
  <c r="E12569" i="1"/>
  <c r="D12569" i="1"/>
  <c r="C12569" i="1"/>
  <c r="B12569" i="1"/>
  <c r="A12569" i="1"/>
  <c r="R12568" i="1"/>
  <c r="J12568" i="1"/>
  <c r="I12568" i="1"/>
  <c r="G12568" i="1"/>
  <c r="F12568" i="1"/>
  <c r="E12568" i="1"/>
  <c r="D12568" i="1"/>
  <c r="C12568" i="1"/>
  <c r="B12568" i="1"/>
  <c r="A12568" i="1"/>
  <c r="S12567" i="1"/>
  <c r="O12567" i="1"/>
  <c r="K12567" i="1"/>
  <c r="J12567" i="1"/>
  <c r="I12567" i="1"/>
  <c r="H12567" i="1"/>
  <c r="G12567" i="1"/>
  <c r="F12567" i="1"/>
  <c r="E12567" i="1"/>
  <c r="D12567" i="1"/>
  <c r="C12567" i="1"/>
  <c r="B12567" i="1"/>
  <c r="A12567" i="1"/>
  <c r="R12566" i="1"/>
  <c r="J12566" i="1"/>
  <c r="I12566" i="1"/>
  <c r="G12566" i="1"/>
  <c r="F12566" i="1"/>
  <c r="E12566" i="1"/>
  <c r="D12566" i="1"/>
  <c r="C12566" i="1"/>
  <c r="B12566" i="1"/>
  <c r="A12566" i="1"/>
  <c r="S12565" i="1"/>
  <c r="O12565" i="1"/>
  <c r="K12565" i="1"/>
  <c r="J12565" i="1"/>
  <c r="I12565" i="1"/>
  <c r="H12565" i="1"/>
  <c r="G12565" i="1"/>
  <c r="F12565" i="1"/>
  <c r="E12565" i="1"/>
  <c r="D12565" i="1"/>
  <c r="C12565" i="1"/>
  <c r="B12565" i="1"/>
  <c r="A12565" i="1"/>
  <c r="R12564" i="1"/>
  <c r="J12564" i="1"/>
  <c r="I12564" i="1"/>
  <c r="G12564" i="1"/>
  <c r="F12564" i="1"/>
  <c r="E12564" i="1"/>
  <c r="D12564" i="1"/>
  <c r="C12564" i="1"/>
  <c r="B12564" i="1"/>
  <c r="A12564" i="1"/>
  <c r="S12563" i="1"/>
  <c r="O12563" i="1"/>
  <c r="K12563" i="1"/>
  <c r="J12563" i="1"/>
  <c r="I12563" i="1"/>
  <c r="H12563" i="1"/>
  <c r="G12563" i="1"/>
  <c r="F12563" i="1"/>
  <c r="E12563" i="1"/>
  <c r="D12563" i="1"/>
  <c r="C12563" i="1"/>
  <c r="B12563" i="1"/>
  <c r="A12563" i="1"/>
  <c r="R12562" i="1"/>
  <c r="J12562" i="1"/>
  <c r="I12562" i="1"/>
  <c r="G12562" i="1"/>
  <c r="F12562" i="1"/>
  <c r="E12562" i="1"/>
  <c r="D12562" i="1"/>
  <c r="C12562" i="1"/>
  <c r="B12562" i="1"/>
  <c r="A12562" i="1"/>
  <c r="R12561" i="1"/>
  <c r="J12561" i="1"/>
  <c r="I12561" i="1"/>
  <c r="G12561" i="1"/>
  <c r="F12561" i="1"/>
  <c r="E12561" i="1"/>
  <c r="D12561" i="1"/>
  <c r="C12561" i="1"/>
  <c r="B12561" i="1"/>
  <c r="A12561" i="1"/>
  <c r="S12560" i="1"/>
  <c r="O12560" i="1"/>
  <c r="K12560" i="1"/>
  <c r="J12560" i="1"/>
  <c r="I12560" i="1"/>
  <c r="H12560" i="1"/>
  <c r="G12560" i="1"/>
  <c r="F12560" i="1"/>
  <c r="E12560" i="1"/>
  <c r="D12560" i="1"/>
  <c r="C12560" i="1"/>
  <c r="B12560" i="1"/>
  <c r="A12560" i="1"/>
  <c r="R12559" i="1"/>
  <c r="J12559" i="1"/>
  <c r="I12559" i="1"/>
  <c r="G12559" i="1"/>
  <c r="F12559" i="1"/>
  <c r="E12559" i="1"/>
  <c r="D12559" i="1"/>
  <c r="C12559" i="1"/>
  <c r="B12559" i="1"/>
  <c r="A12559" i="1"/>
  <c r="S12558" i="1"/>
  <c r="O12558" i="1"/>
  <c r="K12558" i="1"/>
  <c r="J12558" i="1"/>
  <c r="I12558" i="1"/>
  <c r="H12558" i="1"/>
  <c r="G12558" i="1"/>
  <c r="F12558" i="1"/>
  <c r="E12558" i="1"/>
  <c r="D12558" i="1"/>
  <c r="C12558" i="1"/>
  <c r="B12558" i="1"/>
  <c r="A12558" i="1"/>
  <c r="R12557" i="1"/>
  <c r="J12557" i="1"/>
  <c r="I12557" i="1"/>
  <c r="G12557" i="1"/>
  <c r="F12557" i="1"/>
  <c r="E12557" i="1"/>
  <c r="D12557" i="1"/>
  <c r="C12557" i="1"/>
  <c r="B12557" i="1"/>
  <c r="A12557" i="1"/>
  <c r="S12556" i="1"/>
  <c r="O12556" i="1"/>
  <c r="K12556" i="1"/>
  <c r="J12556" i="1"/>
  <c r="I12556" i="1"/>
  <c r="H12556" i="1"/>
  <c r="G12556" i="1"/>
  <c r="F12556" i="1"/>
  <c r="E12556" i="1"/>
  <c r="D12556" i="1"/>
  <c r="C12556" i="1"/>
  <c r="B12556" i="1"/>
  <c r="A12556" i="1"/>
  <c r="R12555" i="1"/>
  <c r="J12555" i="1"/>
  <c r="I12555" i="1"/>
  <c r="G12555" i="1"/>
  <c r="F12555" i="1"/>
  <c r="E12555" i="1"/>
  <c r="D12555" i="1"/>
  <c r="C12555" i="1"/>
  <c r="B12555" i="1"/>
  <c r="A12555" i="1"/>
  <c r="S12554" i="1"/>
  <c r="O12554" i="1"/>
  <c r="K12554" i="1"/>
  <c r="J12554" i="1"/>
  <c r="I12554" i="1"/>
  <c r="H12554" i="1"/>
  <c r="G12554" i="1"/>
  <c r="F12554" i="1"/>
  <c r="E12554" i="1"/>
  <c r="D12554" i="1"/>
  <c r="C12554" i="1"/>
  <c r="B12554" i="1"/>
  <c r="A12554" i="1"/>
  <c r="R12553" i="1"/>
  <c r="J12553" i="1"/>
  <c r="I12553" i="1"/>
  <c r="G12553" i="1"/>
  <c r="F12553" i="1"/>
  <c r="E12553" i="1"/>
  <c r="D12553" i="1"/>
  <c r="C12553" i="1"/>
  <c r="B12553" i="1"/>
  <c r="A12553" i="1"/>
  <c r="S12552" i="1"/>
  <c r="O12552" i="1"/>
  <c r="K12552" i="1"/>
  <c r="J12552" i="1"/>
  <c r="I12552" i="1"/>
  <c r="H12552" i="1"/>
  <c r="G12552" i="1"/>
  <c r="F12552" i="1"/>
  <c r="E12552" i="1"/>
  <c r="D12552" i="1"/>
  <c r="C12552" i="1"/>
  <c r="B12552" i="1"/>
  <c r="A12552" i="1"/>
  <c r="R12551" i="1"/>
  <c r="J12551" i="1"/>
  <c r="I12551" i="1"/>
  <c r="G12551" i="1"/>
  <c r="F12551" i="1"/>
  <c r="E12551" i="1"/>
  <c r="D12551" i="1"/>
  <c r="C12551" i="1"/>
  <c r="B12551" i="1"/>
  <c r="A12551" i="1"/>
  <c r="S12550" i="1"/>
  <c r="O12550" i="1"/>
  <c r="K12550" i="1"/>
  <c r="J12550" i="1"/>
  <c r="I12550" i="1"/>
  <c r="H12550" i="1"/>
  <c r="G12550" i="1"/>
  <c r="F12550" i="1"/>
  <c r="E12550" i="1"/>
  <c r="D12550" i="1"/>
  <c r="C12550" i="1"/>
  <c r="B12550" i="1"/>
  <c r="A12550" i="1"/>
  <c r="S12549" i="1"/>
  <c r="O12549" i="1"/>
  <c r="K12549" i="1"/>
  <c r="J12549" i="1"/>
  <c r="I12549" i="1"/>
  <c r="H12549" i="1"/>
  <c r="G12549" i="1"/>
  <c r="F12549" i="1"/>
  <c r="D12549" i="1"/>
  <c r="C12549" i="1"/>
  <c r="B12549" i="1"/>
  <c r="A12549" i="1"/>
  <c r="S12548" i="1"/>
  <c r="O12548" i="1"/>
  <c r="K12548" i="1"/>
  <c r="J12548" i="1"/>
  <c r="I12548" i="1"/>
  <c r="H12548" i="1"/>
  <c r="G12548" i="1"/>
  <c r="F12548" i="1"/>
  <c r="D12548" i="1"/>
  <c r="C12548" i="1"/>
  <c r="B12548" i="1"/>
  <c r="A12548" i="1"/>
  <c r="S12547" i="1"/>
  <c r="O12547" i="1"/>
  <c r="K12547" i="1"/>
  <c r="J12547" i="1"/>
  <c r="I12547" i="1"/>
  <c r="H12547" i="1"/>
  <c r="G12547" i="1"/>
  <c r="F12547" i="1"/>
  <c r="D12547" i="1"/>
  <c r="C12547" i="1"/>
  <c r="B12547" i="1"/>
  <c r="A12547" i="1"/>
  <c r="R12546" i="1"/>
  <c r="J12546" i="1"/>
  <c r="I12546" i="1"/>
  <c r="G12546" i="1"/>
  <c r="F12546" i="1"/>
  <c r="E12546" i="1"/>
  <c r="D12546" i="1"/>
  <c r="C12546" i="1"/>
  <c r="B12546" i="1"/>
  <c r="A12546" i="1"/>
  <c r="S12545" i="1"/>
  <c r="O12545" i="1"/>
  <c r="K12545" i="1"/>
  <c r="J12545" i="1"/>
  <c r="I12545" i="1"/>
  <c r="H12545" i="1"/>
  <c r="G12545" i="1"/>
  <c r="F12545" i="1"/>
  <c r="E12545" i="1"/>
  <c r="D12545" i="1"/>
  <c r="C12545" i="1"/>
  <c r="B12545" i="1"/>
  <c r="A12545" i="1"/>
  <c r="R12544" i="1"/>
  <c r="J12544" i="1"/>
  <c r="I12544" i="1"/>
  <c r="G12544" i="1"/>
  <c r="F12544" i="1"/>
  <c r="E12544" i="1"/>
  <c r="D12544" i="1"/>
  <c r="C12544" i="1"/>
  <c r="B12544" i="1"/>
  <c r="A12544" i="1"/>
  <c r="S12543" i="1"/>
  <c r="O12543" i="1"/>
  <c r="K12543" i="1"/>
  <c r="J12543" i="1"/>
  <c r="I12543" i="1"/>
  <c r="H12543" i="1"/>
  <c r="G12543" i="1"/>
  <c r="F12543" i="1"/>
  <c r="E12543" i="1"/>
  <c r="D12543" i="1"/>
  <c r="C12543" i="1"/>
  <c r="B12543" i="1"/>
  <c r="A12543" i="1"/>
  <c r="R12542" i="1"/>
  <c r="J12542" i="1"/>
  <c r="I12542" i="1"/>
  <c r="G12542" i="1"/>
  <c r="F12542" i="1"/>
  <c r="E12542" i="1"/>
  <c r="D12542" i="1"/>
  <c r="C12542" i="1"/>
  <c r="B12542" i="1"/>
  <c r="A12542" i="1"/>
  <c r="R12541" i="1"/>
  <c r="J12541" i="1"/>
  <c r="I12541" i="1"/>
  <c r="G12541" i="1"/>
  <c r="F12541" i="1"/>
  <c r="E12541" i="1"/>
  <c r="D12541" i="1"/>
  <c r="C12541" i="1"/>
  <c r="B12541" i="1"/>
  <c r="A12541" i="1"/>
  <c r="R12540" i="1"/>
  <c r="J12540" i="1"/>
  <c r="I12540" i="1"/>
  <c r="G12540" i="1"/>
  <c r="F12540" i="1"/>
  <c r="E12540" i="1"/>
  <c r="D12540" i="1"/>
  <c r="C12540" i="1"/>
  <c r="B12540" i="1"/>
  <c r="A12540" i="1"/>
  <c r="R12539" i="1"/>
  <c r="J12539" i="1"/>
  <c r="I12539" i="1"/>
  <c r="G12539" i="1"/>
  <c r="F12539" i="1"/>
  <c r="E12539" i="1"/>
  <c r="D12539" i="1"/>
  <c r="C12539" i="1"/>
  <c r="B12539" i="1"/>
  <c r="A12539" i="1"/>
  <c r="R12538" i="1"/>
  <c r="J12538" i="1"/>
  <c r="I12538" i="1"/>
  <c r="G12538" i="1"/>
  <c r="F12538" i="1"/>
  <c r="E12538" i="1"/>
  <c r="D12538" i="1"/>
  <c r="C12538" i="1"/>
  <c r="B12538" i="1"/>
  <c r="A12538" i="1"/>
  <c r="S12537" i="1"/>
  <c r="O12537" i="1"/>
  <c r="K12537" i="1"/>
  <c r="J12537" i="1"/>
  <c r="I12537" i="1"/>
  <c r="H12537" i="1"/>
  <c r="G12537" i="1"/>
  <c r="F12537" i="1"/>
  <c r="E12537" i="1"/>
  <c r="D12537" i="1"/>
  <c r="C12537" i="1"/>
  <c r="B12537" i="1"/>
  <c r="A12537" i="1"/>
  <c r="R12536" i="1"/>
  <c r="J12536" i="1"/>
  <c r="I12536" i="1"/>
  <c r="G12536" i="1"/>
  <c r="F12536" i="1"/>
  <c r="E12536" i="1"/>
  <c r="D12536" i="1"/>
  <c r="C12536" i="1"/>
  <c r="B12536" i="1"/>
  <c r="A12536" i="1"/>
  <c r="S12535" i="1"/>
  <c r="O12535" i="1"/>
  <c r="K12535" i="1"/>
  <c r="J12535" i="1"/>
  <c r="I12535" i="1"/>
  <c r="H12535" i="1"/>
  <c r="G12535" i="1"/>
  <c r="F12535" i="1"/>
  <c r="E12535" i="1"/>
  <c r="D12535" i="1"/>
  <c r="C12535" i="1"/>
  <c r="B12535" i="1"/>
  <c r="A12535" i="1"/>
  <c r="R12534" i="1"/>
  <c r="J12534" i="1"/>
  <c r="I12534" i="1"/>
  <c r="G12534" i="1"/>
  <c r="F12534" i="1"/>
  <c r="E12534" i="1"/>
  <c r="D12534" i="1"/>
  <c r="C12534" i="1"/>
  <c r="B12534" i="1"/>
  <c r="A12534" i="1"/>
  <c r="S12533" i="1"/>
  <c r="O12533" i="1"/>
  <c r="K12533" i="1"/>
  <c r="J12533" i="1"/>
  <c r="I12533" i="1"/>
  <c r="H12533" i="1"/>
  <c r="G12533" i="1"/>
  <c r="F12533" i="1"/>
  <c r="E12533" i="1"/>
  <c r="D12533" i="1"/>
  <c r="C12533" i="1"/>
  <c r="B12533" i="1"/>
  <c r="A12533" i="1"/>
  <c r="R12532" i="1"/>
  <c r="J12532" i="1"/>
  <c r="I12532" i="1"/>
  <c r="G12532" i="1"/>
  <c r="F12532" i="1"/>
  <c r="E12532" i="1"/>
  <c r="D12532" i="1"/>
  <c r="C12532" i="1"/>
  <c r="B12532" i="1"/>
  <c r="A12532" i="1"/>
  <c r="S12531" i="1"/>
  <c r="O12531" i="1"/>
  <c r="K12531" i="1"/>
  <c r="J12531" i="1"/>
  <c r="I12531" i="1"/>
  <c r="H12531" i="1"/>
  <c r="G12531" i="1"/>
  <c r="F12531" i="1"/>
  <c r="E12531" i="1"/>
  <c r="D12531" i="1"/>
  <c r="C12531" i="1"/>
  <c r="B12531" i="1"/>
  <c r="A12531" i="1"/>
  <c r="R12530" i="1"/>
  <c r="J12530" i="1"/>
  <c r="I12530" i="1"/>
  <c r="G12530" i="1"/>
  <c r="F12530" i="1"/>
  <c r="E12530" i="1"/>
  <c r="D12530" i="1"/>
  <c r="C12530" i="1"/>
  <c r="B12530" i="1"/>
  <c r="A12530" i="1"/>
  <c r="S12529" i="1"/>
  <c r="O12529" i="1"/>
  <c r="K12529" i="1"/>
  <c r="J12529" i="1"/>
  <c r="I12529" i="1"/>
  <c r="H12529" i="1"/>
  <c r="G12529" i="1"/>
  <c r="F12529" i="1"/>
  <c r="E12529" i="1"/>
  <c r="D12529" i="1"/>
  <c r="C12529" i="1"/>
  <c r="B12529" i="1"/>
  <c r="A12529" i="1"/>
  <c r="R12528" i="1"/>
  <c r="J12528" i="1"/>
  <c r="I12528" i="1"/>
  <c r="G12528" i="1"/>
  <c r="F12528" i="1"/>
  <c r="E12528" i="1"/>
  <c r="D12528" i="1"/>
  <c r="C12528" i="1"/>
  <c r="B12528" i="1"/>
  <c r="A12528" i="1"/>
  <c r="S12527" i="1"/>
  <c r="O12527" i="1"/>
  <c r="K12527" i="1"/>
  <c r="J12527" i="1"/>
  <c r="I12527" i="1"/>
  <c r="H12527" i="1"/>
  <c r="G12527" i="1"/>
  <c r="F12527" i="1"/>
  <c r="E12527" i="1"/>
  <c r="D12527" i="1"/>
  <c r="C12527" i="1"/>
  <c r="B12527" i="1"/>
  <c r="A12527" i="1"/>
  <c r="R12526" i="1"/>
  <c r="J12526" i="1"/>
  <c r="I12526" i="1"/>
  <c r="G12526" i="1"/>
  <c r="F12526" i="1"/>
  <c r="E12526" i="1"/>
  <c r="D12526" i="1"/>
  <c r="C12526" i="1"/>
  <c r="B12526" i="1"/>
  <c r="A12526" i="1"/>
  <c r="S12525" i="1"/>
  <c r="O12525" i="1"/>
  <c r="K12525" i="1"/>
  <c r="J12525" i="1"/>
  <c r="I12525" i="1"/>
  <c r="H12525" i="1"/>
  <c r="G12525" i="1"/>
  <c r="F12525" i="1"/>
  <c r="E12525" i="1"/>
  <c r="D12525" i="1"/>
  <c r="C12525" i="1"/>
  <c r="B12525" i="1"/>
  <c r="A12525" i="1"/>
  <c r="R12524" i="1"/>
  <c r="J12524" i="1"/>
  <c r="I12524" i="1"/>
  <c r="G12524" i="1"/>
  <c r="F12524" i="1"/>
  <c r="E12524" i="1"/>
  <c r="D12524" i="1"/>
  <c r="C12524" i="1"/>
  <c r="B12524" i="1"/>
  <c r="A12524" i="1"/>
  <c r="S12523" i="1"/>
  <c r="O12523" i="1"/>
  <c r="K12523" i="1"/>
  <c r="J12523" i="1"/>
  <c r="I12523" i="1"/>
  <c r="H12523" i="1"/>
  <c r="G12523" i="1"/>
  <c r="F12523" i="1"/>
  <c r="E12523" i="1"/>
  <c r="D12523" i="1"/>
  <c r="C12523" i="1"/>
  <c r="B12523" i="1"/>
  <c r="A12523" i="1"/>
  <c r="R12522" i="1"/>
  <c r="J12522" i="1"/>
  <c r="I12522" i="1"/>
  <c r="G12522" i="1"/>
  <c r="F12522" i="1"/>
  <c r="E12522" i="1"/>
  <c r="D12522" i="1"/>
  <c r="C12522" i="1"/>
  <c r="B12522" i="1"/>
  <c r="A12522" i="1"/>
  <c r="S12521" i="1"/>
  <c r="O12521" i="1"/>
  <c r="K12521" i="1"/>
  <c r="J12521" i="1"/>
  <c r="I12521" i="1"/>
  <c r="H12521" i="1"/>
  <c r="G12521" i="1"/>
  <c r="F12521" i="1"/>
  <c r="E12521" i="1"/>
  <c r="D12521" i="1"/>
  <c r="C12521" i="1"/>
  <c r="B12521" i="1"/>
  <c r="A12521" i="1"/>
  <c r="R12520" i="1"/>
  <c r="J12520" i="1"/>
  <c r="I12520" i="1"/>
  <c r="G12520" i="1"/>
  <c r="F12520" i="1"/>
  <c r="E12520" i="1"/>
  <c r="D12520" i="1"/>
  <c r="C12520" i="1"/>
  <c r="B12520" i="1"/>
  <c r="A12520" i="1"/>
  <c r="S12519" i="1"/>
  <c r="O12519" i="1"/>
  <c r="K12519" i="1"/>
  <c r="J12519" i="1"/>
  <c r="I12519" i="1"/>
  <c r="H12519" i="1"/>
  <c r="G12519" i="1"/>
  <c r="F12519" i="1"/>
  <c r="E12519" i="1"/>
  <c r="D12519" i="1"/>
  <c r="C12519" i="1"/>
  <c r="B12519" i="1"/>
  <c r="A12519" i="1"/>
  <c r="R12518" i="1"/>
  <c r="J12518" i="1"/>
  <c r="I12518" i="1"/>
  <c r="G12518" i="1"/>
  <c r="F12518" i="1"/>
  <c r="E12518" i="1"/>
  <c r="D12518" i="1"/>
  <c r="C12518" i="1"/>
  <c r="B12518" i="1"/>
  <c r="A12518" i="1"/>
  <c r="S12517" i="1"/>
  <c r="O12517" i="1"/>
  <c r="K12517" i="1"/>
  <c r="J12517" i="1"/>
  <c r="I12517" i="1"/>
  <c r="H12517" i="1"/>
  <c r="G12517" i="1"/>
  <c r="F12517" i="1"/>
  <c r="E12517" i="1"/>
  <c r="D12517" i="1"/>
  <c r="C12517" i="1"/>
  <c r="B12517" i="1"/>
  <c r="A12517" i="1"/>
  <c r="R12516" i="1"/>
  <c r="J12516" i="1"/>
  <c r="I12516" i="1"/>
  <c r="G12516" i="1"/>
  <c r="F12516" i="1"/>
  <c r="E12516" i="1"/>
  <c r="D12516" i="1"/>
  <c r="C12516" i="1"/>
  <c r="B12516" i="1"/>
  <c r="A12516" i="1"/>
  <c r="S12515" i="1"/>
  <c r="O12515" i="1"/>
  <c r="K12515" i="1"/>
  <c r="J12515" i="1"/>
  <c r="I12515" i="1"/>
  <c r="H12515" i="1"/>
  <c r="G12515" i="1"/>
  <c r="F12515" i="1"/>
  <c r="E12515" i="1"/>
  <c r="D12515" i="1"/>
  <c r="C12515" i="1"/>
  <c r="B12515" i="1"/>
  <c r="A12515" i="1"/>
  <c r="R12514" i="1"/>
  <c r="J12514" i="1"/>
  <c r="I12514" i="1"/>
  <c r="G12514" i="1"/>
  <c r="F12514" i="1"/>
  <c r="E12514" i="1"/>
  <c r="D12514" i="1"/>
  <c r="C12514" i="1"/>
  <c r="B12514" i="1"/>
  <c r="A12514" i="1"/>
  <c r="S12513" i="1"/>
  <c r="O12513" i="1"/>
  <c r="K12513" i="1"/>
  <c r="J12513" i="1"/>
  <c r="I12513" i="1"/>
  <c r="H12513" i="1"/>
  <c r="G12513" i="1"/>
  <c r="F12513" i="1"/>
  <c r="E12513" i="1"/>
  <c r="D12513" i="1"/>
  <c r="C12513" i="1"/>
  <c r="B12513" i="1"/>
  <c r="A12513" i="1"/>
  <c r="R12512" i="1"/>
  <c r="J12512" i="1"/>
  <c r="I12512" i="1"/>
  <c r="G12512" i="1"/>
  <c r="F12512" i="1"/>
  <c r="E12512" i="1"/>
  <c r="D12512" i="1"/>
  <c r="C12512" i="1"/>
  <c r="B12512" i="1"/>
  <c r="A12512" i="1"/>
  <c r="S12511" i="1"/>
  <c r="O12511" i="1"/>
  <c r="K12511" i="1"/>
  <c r="J12511" i="1"/>
  <c r="I12511" i="1"/>
  <c r="H12511" i="1"/>
  <c r="G12511" i="1"/>
  <c r="F12511" i="1"/>
  <c r="E12511" i="1"/>
  <c r="D12511" i="1"/>
  <c r="C12511" i="1"/>
  <c r="B12511" i="1"/>
  <c r="A12511" i="1"/>
  <c r="R12510" i="1"/>
  <c r="J12510" i="1"/>
  <c r="I12510" i="1"/>
  <c r="G12510" i="1"/>
  <c r="F12510" i="1"/>
  <c r="E12510" i="1"/>
  <c r="D12510" i="1"/>
  <c r="C12510" i="1"/>
  <c r="B12510" i="1"/>
  <c r="A12510" i="1"/>
  <c r="S12509" i="1"/>
  <c r="O12509" i="1"/>
  <c r="K12509" i="1"/>
  <c r="J12509" i="1"/>
  <c r="I12509" i="1"/>
  <c r="H12509" i="1"/>
  <c r="G12509" i="1"/>
  <c r="F12509" i="1"/>
  <c r="E12509" i="1"/>
  <c r="D12509" i="1"/>
  <c r="C12509" i="1"/>
  <c r="B12509" i="1"/>
  <c r="A12509" i="1"/>
  <c r="R12508" i="1"/>
  <c r="J12508" i="1"/>
  <c r="I12508" i="1"/>
  <c r="G12508" i="1"/>
  <c r="F12508" i="1"/>
  <c r="E12508" i="1"/>
  <c r="D12508" i="1"/>
  <c r="C12508" i="1"/>
  <c r="B12508" i="1"/>
  <c r="A12508" i="1"/>
  <c r="S12507" i="1"/>
  <c r="O12507" i="1"/>
  <c r="K12507" i="1"/>
  <c r="J12507" i="1"/>
  <c r="I12507" i="1"/>
  <c r="H12507" i="1"/>
  <c r="G12507" i="1"/>
  <c r="F12507" i="1"/>
  <c r="E12507" i="1"/>
  <c r="D12507" i="1"/>
  <c r="C12507" i="1"/>
  <c r="B12507" i="1"/>
  <c r="A12507" i="1"/>
  <c r="R12506" i="1"/>
  <c r="J12506" i="1"/>
  <c r="I12506" i="1"/>
  <c r="G12506" i="1"/>
  <c r="F12506" i="1"/>
  <c r="E12506" i="1"/>
  <c r="D12506" i="1"/>
  <c r="C12506" i="1"/>
  <c r="B12506" i="1"/>
  <c r="A12506" i="1"/>
  <c r="S12505" i="1"/>
  <c r="O12505" i="1"/>
  <c r="K12505" i="1"/>
  <c r="J12505" i="1"/>
  <c r="I12505" i="1"/>
  <c r="H12505" i="1"/>
  <c r="G12505" i="1"/>
  <c r="F12505" i="1"/>
  <c r="E12505" i="1"/>
  <c r="D12505" i="1"/>
  <c r="C12505" i="1"/>
  <c r="B12505" i="1"/>
  <c r="A12505" i="1"/>
  <c r="R12504" i="1"/>
  <c r="J12504" i="1"/>
  <c r="I12504" i="1"/>
  <c r="G12504" i="1"/>
  <c r="F12504" i="1"/>
  <c r="E12504" i="1"/>
  <c r="D12504" i="1"/>
  <c r="C12504" i="1"/>
  <c r="B12504" i="1"/>
  <c r="A12504" i="1"/>
  <c r="R12503" i="1"/>
  <c r="J12503" i="1"/>
  <c r="I12503" i="1"/>
  <c r="G12503" i="1"/>
  <c r="F12503" i="1"/>
  <c r="E12503" i="1"/>
  <c r="D12503" i="1"/>
  <c r="C12503" i="1"/>
  <c r="B12503" i="1"/>
  <c r="A12503" i="1"/>
  <c r="R12502" i="1"/>
  <c r="J12502" i="1"/>
  <c r="I12502" i="1"/>
  <c r="G12502" i="1"/>
  <c r="F12502" i="1"/>
  <c r="E12502" i="1"/>
  <c r="D12502" i="1"/>
  <c r="C12502" i="1"/>
  <c r="B12502" i="1"/>
  <c r="A12502" i="1"/>
  <c r="R12501" i="1"/>
  <c r="J12501" i="1"/>
  <c r="I12501" i="1"/>
  <c r="G12501" i="1"/>
  <c r="F12501" i="1"/>
  <c r="E12501" i="1"/>
  <c r="D12501" i="1"/>
  <c r="C12501" i="1"/>
  <c r="B12501" i="1"/>
  <c r="A12501" i="1"/>
  <c r="S12500" i="1"/>
  <c r="O12500" i="1"/>
  <c r="K12500" i="1"/>
  <c r="J12500" i="1"/>
  <c r="I12500" i="1"/>
  <c r="H12500" i="1"/>
  <c r="G12500" i="1"/>
  <c r="F12500" i="1"/>
  <c r="E12500" i="1"/>
  <c r="D12500" i="1"/>
  <c r="C12500" i="1"/>
  <c r="B12500" i="1"/>
  <c r="A12500" i="1"/>
  <c r="R12499" i="1"/>
  <c r="J12499" i="1"/>
  <c r="I12499" i="1"/>
  <c r="G12499" i="1"/>
  <c r="F12499" i="1"/>
  <c r="E12499" i="1"/>
  <c r="D12499" i="1"/>
  <c r="C12499" i="1"/>
  <c r="B12499" i="1"/>
  <c r="A12499" i="1"/>
  <c r="S12498" i="1"/>
  <c r="O12498" i="1"/>
  <c r="K12498" i="1"/>
  <c r="J12498" i="1"/>
  <c r="I12498" i="1"/>
  <c r="H12498" i="1"/>
  <c r="G12498" i="1"/>
  <c r="F12498" i="1"/>
  <c r="E12498" i="1"/>
  <c r="D12498" i="1"/>
  <c r="C12498" i="1"/>
  <c r="B12498" i="1"/>
  <c r="A12498" i="1"/>
  <c r="R12497" i="1"/>
  <c r="J12497" i="1"/>
  <c r="I12497" i="1"/>
  <c r="G12497" i="1"/>
  <c r="F12497" i="1"/>
  <c r="E12497" i="1"/>
  <c r="D12497" i="1"/>
  <c r="C12497" i="1"/>
  <c r="B12497" i="1"/>
  <c r="A12497" i="1"/>
  <c r="S12496" i="1"/>
  <c r="O12496" i="1"/>
  <c r="K12496" i="1"/>
  <c r="J12496" i="1"/>
  <c r="I12496" i="1"/>
  <c r="H12496" i="1"/>
  <c r="G12496" i="1"/>
  <c r="F12496" i="1"/>
  <c r="E12496" i="1"/>
  <c r="D12496" i="1"/>
  <c r="C12496" i="1"/>
  <c r="B12496" i="1"/>
  <c r="A12496" i="1"/>
  <c r="S12495" i="1"/>
  <c r="O12495" i="1"/>
  <c r="K12495" i="1"/>
  <c r="J12495" i="1"/>
  <c r="I12495" i="1"/>
  <c r="H12495" i="1"/>
  <c r="G12495" i="1"/>
  <c r="F12495" i="1"/>
  <c r="D12495" i="1"/>
  <c r="C12495" i="1"/>
  <c r="B12495" i="1"/>
  <c r="A12495" i="1"/>
  <c r="R12494" i="1"/>
  <c r="J12494" i="1"/>
  <c r="I12494" i="1"/>
  <c r="G12494" i="1"/>
  <c r="F12494" i="1"/>
  <c r="E12494" i="1"/>
  <c r="D12494" i="1"/>
  <c r="C12494" i="1"/>
  <c r="B12494" i="1"/>
  <c r="A12494" i="1"/>
  <c r="S12493" i="1"/>
  <c r="O12493" i="1"/>
  <c r="K12493" i="1"/>
  <c r="J12493" i="1"/>
  <c r="I12493" i="1"/>
  <c r="H12493" i="1"/>
  <c r="G12493" i="1"/>
  <c r="F12493" i="1"/>
  <c r="E12493" i="1"/>
  <c r="D12493" i="1"/>
  <c r="C12493" i="1"/>
  <c r="B12493" i="1"/>
  <c r="A12493" i="1"/>
  <c r="R12492" i="1"/>
  <c r="J12492" i="1"/>
  <c r="I12492" i="1"/>
  <c r="G12492" i="1"/>
  <c r="F12492" i="1"/>
  <c r="E12492" i="1"/>
  <c r="D12492" i="1"/>
  <c r="C12492" i="1"/>
  <c r="B12492" i="1"/>
  <c r="A12492" i="1"/>
  <c r="S12491" i="1"/>
  <c r="O12491" i="1"/>
  <c r="K12491" i="1"/>
  <c r="J12491" i="1"/>
  <c r="I12491" i="1"/>
  <c r="H12491" i="1"/>
  <c r="G12491" i="1"/>
  <c r="F12491" i="1"/>
  <c r="E12491" i="1"/>
  <c r="D12491" i="1"/>
  <c r="C12491" i="1"/>
  <c r="B12491" i="1"/>
  <c r="A12491" i="1"/>
  <c r="R12490" i="1"/>
  <c r="J12490" i="1"/>
  <c r="I12490" i="1"/>
  <c r="G12490" i="1"/>
  <c r="F12490" i="1"/>
  <c r="E12490" i="1"/>
  <c r="D12490" i="1"/>
  <c r="C12490" i="1"/>
  <c r="B12490" i="1"/>
  <c r="A12490" i="1"/>
  <c r="S12489" i="1"/>
  <c r="O12489" i="1"/>
  <c r="K12489" i="1"/>
  <c r="J12489" i="1"/>
  <c r="I12489" i="1"/>
  <c r="H12489" i="1"/>
  <c r="G12489" i="1"/>
  <c r="F12489" i="1"/>
  <c r="E12489" i="1"/>
  <c r="D12489" i="1"/>
  <c r="C12489" i="1"/>
  <c r="B12489" i="1"/>
  <c r="A12489" i="1"/>
  <c r="R12488" i="1"/>
  <c r="J12488" i="1"/>
  <c r="I12488" i="1"/>
  <c r="G12488" i="1"/>
  <c r="F12488" i="1"/>
  <c r="E12488" i="1"/>
  <c r="D12488" i="1"/>
  <c r="C12488" i="1"/>
  <c r="B12488" i="1"/>
  <c r="A12488" i="1"/>
  <c r="S12487" i="1"/>
  <c r="O12487" i="1"/>
  <c r="K12487" i="1"/>
  <c r="J12487" i="1"/>
  <c r="I12487" i="1"/>
  <c r="H12487" i="1"/>
  <c r="G12487" i="1"/>
  <c r="F12487" i="1"/>
  <c r="E12487" i="1"/>
  <c r="D12487" i="1"/>
  <c r="C12487" i="1"/>
  <c r="B12487" i="1"/>
  <c r="A12487" i="1"/>
  <c r="R12486" i="1"/>
  <c r="J12486" i="1"/>
  <c r="I12486" i="1"/>
  <c r="G12486" i="1"/>
  <c r="F12486" i="1"/>
  <c r="E12486" i="1"/>
  <c r="D12486" i="1"/>
  <c r="C12486" i="1"/>
  <c r="B12486" i="1"/>
  <c r="A12486" i="1"/>
  <c r="S12485" i="1"/>
  <c r="O12485" i="1"/>
  <c r="K12485" i="1"/>
  <c r="J12485" i="1"/>
  <c r="I12485" i="1"/>
  <c r="H12485" i="1"/>
  <c r="G12485" i="1"/>
  <c r="F12485" i="1"/>
  <c r="E12485" i="1"/>
  <c r="D12485" i="1"/>
  <c r="C12485" i="1"/>
  <c r="B12485" i="1"/>
  <c r="A12485" i="1"/>
  <c r="R12484" i="1"/>
  <c r="J12484" i="1"/>
  <c r="I12484" i="1"/>
  <c r="G12484" i="1"/>
  <c r="F12484" i="1"/>
  <c r="E12484" i="1"/>
  <c r="D12484" i="1"/>
  <c r="C12484" i="1"/>
  <c r="B12484" i="1"/>
  <c r="A12484" i="1"/>
  <c r="S12483" i="1"/>
  <c r="O12483" i="1"/>
  <c r="K12483" i="1"/>
  <c r="J12483" i="1"/>
  <c r="I12483" i="1"/>
  <c r="H12483" i="1"/>
  <c r="G12483" i="1"/>
  <c r="F12483" i="1"/>
  <c r="E12483" i="1"/>
  <c r="D12483" i="1"/>
  <c r="C12483" i="1"/>
  <c r="B12483" i="1"/>
  <c r="A12483" i="1"/>
  <c r="R12482" i="1"/>
  <c r="J12482" i="1"/>
  <c r="I12482" i="1"/>
  <c r="G12482" i="1"/>
  <c r="F12482" i="1"/>
  <c r="E12482" i="1"/>
  <c r="D12482" i="1"/>
  <c r="C12482" i="1"/>
  <c r="B12482" i="1"/>
  <c r="A12482" i="1"/>
  <c r="S12481" i="1"/>
  <c r="O12481" i="1"/>
  <c r="K12481" i="1"/>
  <c r="J12481" i="1"/>
  <c r="I12481" i="1"/>
  <c r="H12481" i="1"/>
  <c r="G12481" i="1"/>
  <c r="F12481" i="1"/>
  <c r="E12481" i="1"/>
  <c r="D12481" i="1"/>
  <c r="C12481" i="1"/>
  <c r="B12481" i="1"/>
  <c r="A12481" i="1"/>
  <c r="R12480" i="1"/>
  <c r="J12480" i="1"/>
  <c r="I12480" i="1"/>
  <c r="G12480" i="1"/>
  <c r="F12480" i="1"/>
  <c r="E12480" i="1"/>
  <c r="D12480" i="1"/>
  <c r="C12480" i="1"/>
  <c r="B12480" i="1"/>
  <c r="A12480" i="1"/>
  <c r="S12479" i="1"/>
  <c r="O12479" i="1"/>
  <c r="K12479" i="1"/>
  <c r="J12479" i="1"/>
  <c r="I12479" i="1"/>
  <c r="H12479" i="1"/>
  <c r="G12479" i="1"/>
  <c r="F12479" i="1"/>
  <c r="E12479" i="1"/>
  <c r="D12479" i="1"/>
  <c r="C12479" i="1"/>
  <c r="B12479" i="1"/>
  <c r="A12479" i="1"/>
  <c r="R12478" i="1"/>
  <c r="J12478" i="1"/>
  <c r="I12478" i="1"/>
  <c r="G12478" i="1"/>
  <c r="F12478" i="1"/>
  <c r="E12478" i="1"/>
  <c r="D12478" i="1"/>
  <c r="C12478" i="1"/>
  <c r="B12478" i="1"/>
  <c r="A12478" i="1"/>
  <c r="S12477" i="1"/>
  <c r="O12477" i="1"/>
  <c r="K12477" i="1"/>
  <c r="J12477" i="1"/>
  <c r="I12477" i="1"/>
  <c r="H12477" i="1"/>
  <c r="G12477" i="1"/>
  <c r="F12477" i="1"/>
  <c r="E12477" i="1"/>
  <c r="D12477" i="1"/>
  <c r="C12477" i="1"/>
  <c r="B12477" i="1"/>
  <c r="A12477" i="1"/>
  <c r="R12476" i="1"/>
  <c r="J12476" i="1"/>
  <c r="I12476" i="1"/>
  <c r="G12476" i="1"/>
  <c r="F12476" i="1"/>
  <c r="E12476" i="1"/>
  <c r="D12476" i="1"/>
  <c r="C12476" i="1"/>
  <c r="B12476" i="1"/>
  <c r="A12476" i="1"/>
  <c r="S12475" i="1"/>
  <c r="O12475" i="1"/>
  <c r="K12475" i="1"/>
  <c r="J12475" i="1"/>
  <c r="I12475" i="1"/>
  <c r="H12475" i="1"/>
  <c r="G12475" i="1"/>
  <c r="F12475" i="1"/>
  <c r="E12475" i="1"/>
  <c r="D12475" i="1"/>
  <c r="C12475" i="1"/>
  <c r="B12475" i="1"/>
  <c r="A12475" i="1"/>
  <c r="R12474" i="1"/>
  <c r="J12474" i="1"/>
  <c r="I12474" i="1"/>
  <c r="G12474" i="1"/>
  <c r="F12474" i="1"/>
  <c r="E12474" i="1"/>
  <c r="D12474" i="1"/>
  <c r="C12474" i="1"/>
  <c r="B12474" i="1"/>
  <c r="A12474" i="1"/>
  <c r="S12473" i="1"/>
  <c r="O12473" i="1"/>
  <c r="K12473" i="1"/>
  <c r="J12473" i="1"/>
  <c r="I12473" i="1"/>
  <c r="H12473" i="1"/>
  <c r="G12473" i="1"/>
  <c r="F12473" i="1"/>
  <c r="E12473" i="1"/>
  <c r="D12473" i="1"/>
  <c r="C12473" i="1"/>
  <c r="B12473" i="1"/>
  <c r="A12473" i="1"/>
  <c r="R12472" i="1"/>
  <c r="J12472" i="1"/>
  <c r="I12472" i="1"/>
  <c r="G12472" i="1"/>
  <c r="F12472" i="1"/>
  <c r="E12472" i="1"/>
  <c r="D12472" i="1"/>
  <c r="C12472" i="1"/>
  <c r="B12472" i="1"/>
  <c r="A12472" i="1"/>
  <c r="S12471" i="1"/>
  <c r="O12471" i="1"/>
  <c r="K12471" i="1"/>
  <c r="J12471" i="1"/>
  <c r="I12471" i="1"/>
  <c r="H12471" i="1"/>
  <c r="G12471" i="1"/>
  <c r="F12471" i="1"/>
  <c r="E12471" i="1"/>
  <c r="D12471" i="1"/>
  <c r="C12471" i="1"/>
  <c r="B12471" i="1"/>
  <c r="A12471" i="1"/>
  <c r="R12470" i="1"/>
  <c r="J12470" i="1"/>
  <c r="I12470" i="1"/>
  <c r="G12470" i="1"/>
  <c r="F12470" i="1"/>
  <c r="E12470" i="1"/>
  <c r="D12470" i="1"/>
  <c r="C12470" i="1"/>
  <c r="B12470" i="1"/>
  <c r="A12470" i="1"/>
  <c r="S12469" i="1"/>
  <c r="O12469" i="1"/>
  <c r="K12469" i="1"/>
  <c r="J12469" i="1"/>
  <c r="I12469" i="1"/>
  <c r="H12469" i="1"/>
  <c r="G12469" i="1"/>
  <c r="F12469" i="1"/>
  <c r="E12469" i="1"/>
  <c r="D12469" i="1"/>
  <c r="C12469" i="1"/>
  <c r="B12469" i="1"/>
  <c r="A12469" i="1"/>
  <c r="R12468" i="1"/>
  <c r="J12468" i="1"/>
  <c r="I12468" i="1"/>
  <c r="G12468" i="1"/>
  <c r="F12468" i="1"/>
  <c r="E12468" i="1"/>
  <c r="D12468" i="1"/>
  <c r="C12468" i="1"/>
  <c r="B12468" i="1"/>
  <c r="A12468" i="1"/>
  <c r="S12467" i="1"/>
  <c r="O12467" i="1"/>
  <c r="K12467" i="1"/>
  <c r="J12467" i="1"/>
  <c r="I12467" i="1"/>
  <c r="H12467" i="1"/>
  <c r="G12467" i="1"/>
  <c r="F12467" i="1"/>
  <c r="E12467" i="1"/>
  <c r="D12467" i="1"/>
  <c r="C12467" i="1"/>
  <c r="B12467" i="1"/>
  <c r="A12467" i="1"/>
  <c r="R12466" i="1"/>
  <c r="J12466" i="1"/>
  <c r="I12466" i="1"/>
  <c r="G12466" i="1"/>
  <c r="F12466" i="1"/>
  <c r="E12466" i="1"/>
  <c r="D12466" i="1"/>
  <c r="C12466" i="1"/>
  <c r="B12466" i="1"/>
  <c r="A12466" i="1"/>
  <c r="S12465" i="1"/>
  <c r="O12465" i="1"/>
  <c r="K12465" i="1"/>
  <c r="J12465" i="1"/>
  <c r="I12465" i="1"/>
  <c r="H12465" i="1"/>
  <c r="G12465" i="1"/>
  <c r="F12465" i="1"/>
  <c r="E12465" i="1"/>
  <c r="D12465" i="1"/>
  <c r="C12465" i="1"/>
  <c r="B12465" i="1"/>
  <c r="A12465" i="1"/>
  <c r="R12464" i="1"/>
  <c r="J12464" i="1"/>
  <c r="I12464" i="1"/>
  <c r="G12464" i="1"/>
  <c r="F12464" i="1"/>
  <c r="E12464" i="1"/>
  <c r="D12464" i="1"/>
  <c r="C12464" i="1"/>
  <c r="B12464" i="1"/>
  <c r="A12464" i="1"/>
  <c r="S12463" i="1"/>
  <c r="O12463" i="1"/>
  <c r="K12463" i="1"/>
  <c r="J12463" i="1"/>
  <c r="I12463" i="1"/>
  <c r="H12463" i="1"/>
  <c r="G12463" i="1"/>
  <c r="F12463" i="1"/>
  <c r="E12463" i="1"/>
  <c r="D12463" i="1"/>
  <c r="C12463" i="1"/>
  <c r="B12463" i="1"/>
  <c r="A12463" i="1"/>
  <c r="R12462" i="1"/>
  <c r="J12462" i="1"/>
  <c r="I12462" i="1"/>
  <c r="G12462" i="1"/>
  <c r="F12462" i="1"/>
  <c r="E12462" i="1"/>
  <c r="D12462" i="1"/>
  <c r="C12462" i="1"/>
  <c r="B12462" i="1"/>
  <c r="A12462" i="1"/>
  <c r="S12461" i="1"/>
  <c r="O12461" i="1"/>
  <c r="K12461" i="1"/>
  <c r="J12461" i="1"/>
  <c r="I12461" i="1"/>
  <c r="H12461" i="1"/>
  <c r="G12461" i="1"/>
  <c r="F12461" i="1"/>
  <c r="E12461" i="1"/>
  <c r="D12461" i="1"/>
  <c r="C12461" i="1"/>
  <c r="B12461" i="1"/>
  <c r="A12461" i="1"/>
  <c r="S12460" i="1"/>
  <c r="O12460" i="1"/>
  <c r="K12460" i="1"/>
  <c r="J12460" i="1"/>
  <c r="I12460" i="1"/>
  <c r="H12460" i="1"/>
  <c r="G12460" i="1"/>
  <c r="F12460" i="1"/>
  <c r="D12460" i="1"/>
  <c r="C12460" i="1"/>
  <c r="B12460" i="1"/>
  <c r="A12460" i="1"/>
  <c r="S12459" i="1"/>
  <c r="O12459" i="1"/>
  <c r="K12459" i="1"/>
  <c r="J12459" i="1"/>
  <c r="I12459" i="1"/>
  <c r="H12459" i="1"/>
  <c r="G12459" i="1"/>
  <c r="F12459" i="1"/>
  <c r="D12459" i="1"/>
  <c r="C12459" i="1"/>
  <c r="B12459" i="1"/>
  <c r="A12459" i="1"/>
  <c r="S12458" i="1"/>
  <c r="O12458" i="1"/>
  <c r="K12458" i="1"/>
  <c r="J12458" i="1"/>
  <c r="I12458" i="1"/>
  <c r="H12458" i="1"/>
  <c r="G12458" i="1"/>
  <c r="F12458" i="1"/>
  <c r="D12458" i="1"/>
  <c r="C12458" i="1"/>
  <c r="B12458" i="1"/>
  <c r="A12458" i="1"/>
  <c r="S12457" i="1"/>
  <c r="O12457" i="1"/>
  <c r="K12457" i="1"/>
  <c r="J12457" i="1"/>
  <c r="I12457" i="1"/>
  <c r="H12457" i="1"/>
  <c r="G12457" i="1"/>
  <c r="F12457" i="1"/>
  <c r="D12457" i="1"/>
  <c r="C12457" i="1"/>
  <c r="B12457" i="1"/>
  <c r="A12457" i="1"/>
  <c r="R12456" i="1"/>
  <c r="J12456" i="1"/>
  <c r="I12456" i="1"/>
  <c r="G12456" i="1"/>
  <c r="F12456" i="1"/>
  <c r="E12456" i="1"/>
  <c r="D12456" i="1"/>
  <c r="C12456" i="1"/>
  <c r="B12456" i="1"/>
  <c r="A12456" i="1"/>
  <c r="S12455" i="1"/>
  <c r="O12455" i="1"/>
  <c r="K12455" i="1"/>
  <c r="J12455" i="1"/>
  <c r="I12455" i="1"/>
  <c r="H12455" i="1"/>
  <c r="G12455" i="1"/>
  <c r="F12455" i="1"/>
  <c r="E12455" i="1"/>
  <c r="D12455" i="1"/>
  <c r="C12455" i="1"/>
  <c r="B12455" i="1"/>
  <c r="A12455" i="1"/>
  <c r="R12454" i="1"/>
  <c r="J12454" i="1"/>
  <c r="I12454" i="1"/>
  <c r="G12454" i="1"/>
  <c r="F12454" i="1"/>
  <c r="E12454" i="1"/>
  <c r="D12454" i="1"/>
  <c r="C12454" i="1"/>
  <c r="B12454" i="1"/>
  <c r="A12454" i="1"/>
  <c r="S12453" i="1"/>
  <c r="O12453" i="1"/>
  <c r="K12453" i="1"/>
  <c r="J12453" i="1"/>
  <c r="I12453" i="1"/>
  <c r="H12453" i="1"/>
  <c r="G12453" i="1"/>
  <c r="F12453" i="1"/>
  <c r="E12453" i="1"/>
  <c r="D12453" i="1"/>
  <c r="C12453" i="1"/>
  <c r="B12453" i="1"/>
  <c r="A12453" i="1"/>
  <c r="R12452" i="1"/>
  <c r="J12452" i="1"/>
  <c r="I12452" i="1"/>
  <c r="G12452" i="1"/>
  <c r="F12452" i="1"/>
  <c r="E12452" i="1"/>
  <c r="D12452" i="1"/>
  <c r="C12452" i="1"/>
  <c r="B12452" i="1"/>
  <c r="A12452" i="1"/>
  <c r="S12451" i="1"/>
  <c r="O12451" i="1"/>
  <c r="K12451" i="1"/>
  <c r="J12451" i="1"/>
  <c r="I12451" i="1"/>
  <c r="H12451" i="1"/>
  <c r="G12451" i="1"/>
  <c r="F12451" i="1"/>
  <c r="E12451" i="1"/>
  <c r="D12451" i="1"/>
  <c r="C12451" i="1"/>
  <c r="B12451" i="1"/>
  <c r="A12451" i="1"/>
  <c r="R12450" i="1"/>
  <c r="J12450" i="1"/>
  <c r="I12450" i="1"/>
  <c r="G12450" i="1"/>
  <c r="F12450" i="1"/>
  <c r="E12450" i="1"/>
  <c r="D12450" i="1"/>
  <c r="C12450" i="1"/>
  <c r="B12450" i="1"/>
  <c r="A12450" i="1"/>
  <c r="S12449" i="1"/>
  <c r="O12449" i="1"/>
  <c r="K12449" i="1"/>
  <c r="J12449" i="1"/>
  <c r="I12449" i="1"/>
  <c r="H12449" i="1"/>
  <c r="G12449" i="1"/>
  <c r="F12449" i="1"/>
  <c r="E12449" i="1"/>
  <c r="D12449" i="1"/>
  <c r="C12449" i="1"/>
  <c r="B12449" i="1"/>
  <c r="A12449" i="1"/>
  <c r="R12448" i="1"/>
  <c r="J12448" i="1"/>
  <c r="I12448" i="1"/>
  <c r="G12448" i="1"/>
  <c r="F12448" i="1"/>
  <c r="E12448" i="1"/>
  <c r="D12448" i="1"/>
  <c r="C12448" i="1"/>
  <c r="B12448" i="1"/>
  <c r="A12448" i="1"/>
  <c r="R12447" i="1"/>
  <c r="J12447" i="1"/>
  <c r="I12447" i="1"/>
  <c r="G12447" i="1"/>
  <c r="F12447" i="1"/>
  <c r="E12447" i="1"/>
  <c r="D12447" i="1"/>
  <c r="C12447" i="1"/>
  <c r="B12447" i="1"/>
  <c r="A12447" i="1"/>
  <c r="R12446" i="1"/>
  <c r="J12446" i="1"/>
  <c r="I12446" i="1"/>
  <c r="G12446" i="1"/>
  <c r="F12446" i="1"/>
  <c r="E12446" i="1"/>
  <c r="D12446" i="1"/>
  <c r="C12446" i="1"/>
  <c r="B12446" i="1"/>
  <c r="A12446" i="1"/>
  <c r="R12445" i="1"/>
  <c r="J12445" i="1"/>
  <c r="I12445" i="1"/>
  <c r="G12445" i="1"/>
  <c r="F12445" i="1"/>
  <c r="E12445" i="1"/>
  <c r="D12445" i="1"/>
  <c r="C12445" i="1"/>
  <c r="B12445" i="1"/>
  <c r="A12445" i="1"/>
  <c r="R12444" i="1"/>
  <c r="J12444" i="1"/>
  <c r="I12444" i="1"/>
  <c r="G12444" i="1"/>
  <c r="F12444" i="1"/>
  <c r="E12444" i="1"/>
  <c r="D12444" i="1"/>
  <c r="C12444" i="1"/>
  <c r="B12444" i="1"/>
  <c r="A12444" i="1"/>
  <c r="S12443" i="1"/>
  <c r="O12443" i="1"/>
  <c r="K12443" i="1"/>
  <c r="J12443" i="1"/>
  <c r="I12443" i="1"/>
  <c r="H12443" i="1"/>
  <c r="G12443" i="1"/>
  <c r="F12443" i="1"/>
  <c r="E12443" i="1"/>
  <c r="D12443" i="1"/>
  <c r="C12443" i="1"/>
  <c r="B12443" i="1"/>
  <c r="A12443" i="1"/>
  <c r="R12442" i="1"/>
  <c r="J12442" i="1"/>
  <c r="I12442" i="1"/>
  <c r="G12442" i="1"/>
  <c r="F12442" i="1"/>
  <c r="E12442" i="1"/>
  <c r="D12442" i="1"/>
  <c r="C12442" i="1"/>
  <c r="B12442" i="1"/>
  <c r="A12442" i="1"/>
  <c r="S12441" i="1"/>
  <c r="O12441" i="1"/>
  <c r="K12441" i="1"/>
  <c r="J12441" i="1"/>
  <c r="I12441" i="1"/>
  <c r="H12441" i="1"/>
  <c r="G12441" i="1"/>
  <c r="F12441" i="1"/>
  <c r="E12441" i="1"/>
  <c r="D12441" i="1"/>
  <c r="C12441" i="1"/>
  <c r="B12441" i="1"/>
  <c r="A12441" i="1"/>
  <c r="R12440" i="1"/>
  <c r="J12440" i="1"/>
  <c r="I12440" i="1"/>
  <c r="G12440" i="1"/>
  <c r="F12440" i="1"/>
  <c r="E12440" i="1"/>
  <c r="D12440" i="1"/>
  <c r="C12440" i="1"/>
  <c r="B12440" i="1"/>
  <c r="A12440" i="1"/>
  <c r="S12439" i="1"/>
  <c r="O12439" i="1"/>
  <c r="K12439" i="1"/>
  <c r="J12439" i="1"/>
  <c r="I12439" i="1"/>
  <c r="H12439" i="1"/>
  <c r="G12439" i="1"/>
  <c r="F12439" i="1"/>
  <c r="E12439" i="1"/>
  <c r="D12439" i="1"/>
  <c r="C12439" i="1"/>
  <c r="B12439" i="1"/>
  <c r="A12439" i="1"/>
  <c r="R12438" i="1"/>
  <c r="J12438" i="1"/>
  <c r="I12438" i="1"/>
  <c r="G12438" i="1"/>
  <c r="F12438" i="1"/>
  <c r="E12438" i="1"/>
  <c r="D12438" i="1"/>
  <c r="C12438" i="1"/>
  <c r="B12438" i="1"/>
  <c r="A12438" i="1"/>
  <c r="S12437" i="1"/>
  <c r="O12437" i="1"/>
  <c r="K12437" i="1"/>
  <c r="J12437" i="1"/>
  <c r="I12437" i="1"/>
  <c r="H12437" i="1"/>
  <c r="G12437" i="1"/>
  <c r="F12437" i="1"/>
  <c r="E12437" i="1"/>
  <c r="D12437" i="1"/>
  <c r="C12437" i="1"/>
  <c r="B12437" i="1"/>
  <c r="A12437" i="1"/>
  <c r="R12436" i="1"/>
  <c r="J12436" i="1"/>
  <c r="I12436" i="1"/>
  <c r="G12436" i="1"/>
  <c r="F12436" i="1"/>
  <c r="E12436" i="1"/>
  <c r="D12436" i="1"/>
  <c r="C12436" i="1"/>
  <c r="B12436" i="1"/>
  <c r="A12436" i="1"/>
  <c r="S12435" i="1"/>
  <c r="O12435" i="1"/>
  <c r="K12435" i="1"/>
  <c r="J12435" i="1"/>
  <c r="I12435" i="1"/>
  <c r="H12435" i="1"/>
  <c r="G12435" i="1"/>
  <c r="F12435" i="1"/>
  <c r="E12435" i="1"/>
  <c r="D12435" i="1"/>
  <c r="C12435" i="1"/>
  <c r="B12435" i="1"/>
  <c r="A12435" i="1"/>
  <c r="R12434" i="1"/>
  <c r="J12434" i="1"/>
  <c r="I12434" i="1"/>
  <c r="G12434" i="1"/>
  <c r="F12434" i="1"/>
  <c r="E12434" i="1"/>
  <c r="D12434" i="1"/>
  <c r="C12434" i="1"/>
  <c r="B12434" i="1"/>
  <c r="A12434" i="1"/>
  <c r="S12433" i="1"/>
  <c r="O12433" i="1"/>
  <c r="K12433" i="1"/>
  <c r="J12433" i="1"/>
  <c r="I12433" i="1"/>
  <c r="H12433" i="1"/>
  <c r="G12433" i="1"/>
  <c r="F12433" i="1"/>
  <c r="E12433" i="1"/>
  <c r="D12433" i="1"/>
  <c r="C12433" i="1"/>
  <c r="B12433" i="1"/>
  <c r="A12433" i="1"/>
  <c r="R12432" i="1"/>
  <c r="J12432" i="1"/>
  <c r="I12432" i="1"/>
  <c r="G12432" i="1"/>
  <c r="F12432" i="1"/>
  <c r="E12432" i="1"/>
  <c r="D12432" i="1"/>
  <c r="C12432" i="1"/>
  <c r="B12432" i="1"/>
  <c r="A12432" i="1"/>
  <c r="S12431" i="1"/>
  <c r="O12431" i="1"/>
  <c r="K12431" i="1"/>
  <c r="J12431" i="1"/>
  <c r="I12431" i="1"/>
  <c r="H12431" i="1"/>
  <c r="G12431" i="1"/>
  <c r="F12431" i="1"/>
  <c r="E12431" i="1"/>
  <c r="D12431" i="1"/>
  <c r="C12431" i="1"/>
  <c r="B12431" i="1"/>
  <c r="A12431" i="1"/>
  <c r="R12430" i="1"/>
  <c r="J12430" i="1"/>
  <c r="I12430" i="1"/>
  <c r="G12430" i="1"/>
  <c r="F12430" i="1"/>
  <c r="E12430" i="1"/>
  <c r="D12430" i="1"/>
  <c r="C12430" i="1"/>
  <c r="B12430" i="1"/>
  <c r="A12430" i="1"/>
  <c r="S12429" i="1"/>
  <c r="O12429" i="1"/>
  <c r="K12429" i="1"/>
  <c r="J12429" i="1"/>
  <c r="I12429" i="1"/>
  <c r="H12429" i="1"/>
  <c r="G12429" i="1"/>
  <c r="F12429" i="1"/>
  <c r="E12429" i="1"/>
  <c r="D12429" i="1"/>
  <c r="C12429" i="1"/>
  <c r="B12429" i="1"/>
  <c r="A12429" i="1"/>
  <c r="R12428" i="1"/>
  <c r="J12428" i="1"/>
  <c r="I12428" i="1"/>
  <c r="G12428" i="1"/>
  <c r="F12428" i="1"/>
  <c r="E12428" i="1"/>
  <c r="D12428" i="1"/>
  <c r="C12428" i="1"/>
  <c r="B12428" i="1"/>
  <c r="A12428" i="1"/>
  <c r="S12427" i="1"/>
  <c r="O12427" i="1"/>
  <c r="K12427" i="1"/>
  <c r="J12427" i="1"/>
  <c r="I12427" i="1"/>
  <c r="H12427" i="1"/>
  <c r="G12427" i="1"/>
  <c r="F12427" i="1"/>
  <c r="E12427" i="1"/>
  <c r="D12427" i="1"/>
  <c r="C12427" i="1"/>
  <c r="B12427" i="1"/>
  <c r="A12427" i="1"/>
  <c r="R12426" i="1"/>
  <c r="J12426" i="1"/>
  <c r="I12426" i="1"/>
  <c r="G12426" i="1"/>
  <c r="F12426" i="1"/>
  <c r="E12426" i="1"/>
  <c r="D12426" i="1"/>
  <c r="C12426" i="1"/>
  <c r="B12426" i="1"/>
  <c r="A12426" i="1"/>
  <c r="S12425" i="1"/>
  <c r="O12425" i="1"/>
  <c r="K12425" i="1"/>
  <c r="J12425" i="1"/>
  <c r="I12425" i="1"/>
  <c r="H12425" i="1"/>
  <c r="G12425" i="1"/>
  <c r="F12425" i="1"/>
  <c r="E12425" i="1"/>
  <c r="D12425" i="1"/>
  <c r="C12425" i="1"/>
  <c r="B12425" i="1"/>
  <c r="A12425" i="1"/>
  <c r="R12424" i="1"/>
  <c r="J12424" i="1"/>
  <c r="I12424" i="1"/>
  <c r="G12424" i="1"/>
  <c r="F12424" i="1"/>
  <c r="E12424" i="1"/>
  <c r="D12424" i="1"/>
  <c r="C12424" i="1"/>
  <c r="B12424" i="1"/>
  <c r="A12424" i="1"/>
  <c r="S12423" i="1"/>
  <c r="O12423" i="1"/>
  <c r="K12423" i="1"/>
  <c r="J12423" i="1"/>
  <c r="I12423" i="1"/>
  <c r="H12423" i="1"/>
  <c r="G12423" i="1"/>
  <c r="F12423" i="1"/>
  <c r="E12423" i="1"/>
  <c r="D12423" i="1"/>
  <c r="C12423" i="1"/>
  <c r="B12423" i="1"/>
  <c r="A12423" i="1"/>
  <c r="R12422" i="1"/>
  <c r="J12422" i="1"/>
  <c r="I12422" i="1"/>
  <c r="G12422" i="1"/>
  <c r="F12422" i="1"/>
  <c r="E12422" i="1"/>
  <c r="D12422" i="1"/>
  <c r="C12422" i="1"/>
  <c r="B12422" i="1"/>
  <c r="A12422" i="1"/>
  <c r="S12421" i="1"/>
  <c r="O12421" i="1"/>
  <c r="K12421" i="1"/>
  <c r="J12421" i="1"/>
  <c r="I12421" i="1"/>
  <c r="H12421" i="1"/>
  <c r="G12421" i="1"/>
  <c r="F12421" i="1"/>
  <c r="E12421" i="1"/>
  <c r="D12421" i="1"/>
  <c r="C12421" i="1"/>
  <c r="B12421" i="1"/>
  <c r="A12421" i="1"/>
  <c r="R12420" i="1"/>
  <c r="J12420" i="1"/>
  <c r="I12420" i="1"/>
  <c r="G12420" i="1"/>
  <c r="F12420" i="1"/>
  <c r="E12420" i="1"/>
  <c r="D12420" i="1"/>
  <c r="C12420" i="1"/>
  <c r="B12420" i="1"/>
  <c r="A12420" i="1"/>
  <c r="S12419" i="1"/>
  <c r="O12419" i="1"/>
  <c r="K12419" i="1"/>
  <c r="J12419" i="1"/>
  <c r="I12419" i="1"/>
  <c r="H12419" i="1"/>
  <c r="G12419" i="1"/>
  <c r="F12419" i="1"/>
  <c r="E12419" i="1"/>
  <c r="D12419" i="1"/>
  <c r="C12419" i="1"/>
  <c r="B12419" i="1"/>
  <c r="A12419" i="1"/>
  <c r="R12418" i="1"/>
  <c r="J12418" i="1"/>
  <c r="I12418" i="1"/>
  <c r="G12418" i="1"/>
  <c r="F12418" i="1"/>
  <c r="E12418" i="1"/>
  <c r="D12418" i="1"/>
  <c r="C12418" i="1"/>
  <c r="B12418" i="1"/>
  <c r="A12418" i="1"/>
  <c r="R12417" i="1"/>
  <c r="J12417" i="1"/>
  <c r="I12417" i="1"/>
  <c r="G12417" i="1"/>
  <c r="F12417" i="1"/>
  <c r="E12417" i="1"/>
  <c r="D12417" i="1"/>
  <c r="C12417" i="1"/>
  <c r="B12417" i="1"/>
  <c r="A12417" i="1"/>
  <c r="S12416" i="1"/>
  <c r="O12416" i="1"/>
  <c r="K12416" i="1"/>
  <c r="J12416" i="1"/>
  <c r="I12416" i="1"/>
  <c r="H12416" i="1"/>
  <c r="G12416" i="1"/>
  <c r="F12416" i="1"/>
  <c r="E12416" i="1"/>
  <c r="D12416" i="1"/>
  <c r="C12416" i="1"/>
  <c r="B12416" i="1"/>
  <c r="A12416" i="1"/>
  <c r="R12415" i="1"/>
  <c r="J12415" i="1"/>
  <c r="I12415" i="1"/>
  <c r="G12415" i="1"/>
  <c r="F12415" i="1"/>
  <c r="E12415" i="1"/>
  <c r="D12415" i="1"/>
  <c r="C12415" i="1"/>
  <c r="B12415" i="1"/>
  <c r="A12415" i="1"/>
  <c r="R12414" i="1"/>
  <c r="J12414" i="1"/>
  <c r="I12414" i="1"/>
  <c r="G12414" i="1"/>
  <c r="F12414" i="1"/>
  <c r="E12414" i="1"/>
  <c r="D12414" i="1"/>
  <c r="C12414" i="1"/>
  <c r="B12414" i="1"/>
  <c r="A12414" i="1"/>
  <c r="S12413" i="1"/>
  <c r="O12413" i="1"/>
  <c r="K12413" i="1"/>
  <c r="J12413" i="1"/>
  <c r="I12413" i="1"/>
  <c r="H12413" i="1"/>
  <c r="G12413" i="1"/>
  <c r="F12413" i="1"/>
  <c r="E12413" i="1"/>
  <c r="D12413" i="1"/>
  <c r="C12413" i="1"/>
  <c r="B12413" i="1"/>
  <c r="A12413" i="1"/>
  <c r="R12412" i="1"/>
  <c r="J12412" i="1"/>
  <c r="I12412" i="1"/>
  <c r="G12412" i="1"/>
  <c r="F12412" i="1"/>
  <c r="E12412" i="1"/>
  <c r="D12412" i="1"/>
  <c r="C12412" i="1"/>
  <c r="B12412" i="1"/>
  <c r="A12412" i="1"/>
  <c r="S12411" i="1"/>
  <c r="O12411" i="1"/>
  <c r="K12411" i="1"/>
  <c r="J12411" i="1"/>
  <c r="I12411" i="1"/>
  <c r="H12411" i="1"/>
  <c r="G12411" i="1"/>
  <c r="F12411" i="1"/>
  <c r="E12411" i="1"/>
  <c r="D12411" i="1"/>
  <c r="C12411" i="1"/>
  <c r="B12411" i="1"/>
  <c r="A12411" i="1"/>
  <c r="R12410" i="1"/>
  <c r="J12410" i="1"/>
  <c r="I12410" i="1"/>
  <c r="G12410" i="1"/>
  <c r="F12410" i="1"/>
  <c r="E12410" i="1"/>
  <c r="D12410" i="1"/>
  <c r="C12410" i="1"/>
  <c r="B12410" i="1"/>
  <c r="A12410" i="1"/>
  <c r="S12409" i="1"/>
  <c r="O12409" i="1"/>
  <c r="K12409" i="1"/>
  <c r="J12409" i="1"/>
  <c r="I12409" i="1"/>
  <c r="H12409" i="1"/>
  <c r="G12409" i="1"/>
  <c r="F12409" i="1"/>
  <c r="E12409" i="1"/>
  <c r="D12409" i="1"/>
  <c r="C12409" i="1"/>
  <c r="B12409" i="1"/>
  <c r="A12409" i="1"/>
  <c r="R12408" i="1"/>
  <c r="J12408" i="1"/>
  <c r="I12408" i="1"/>
  <c r="G12408" i="1"/>
  <c r="F12408" i="1"/>
  <c r="E12408" i="1"/>
  <c r="D12408" i="1"/>
  <c r="C12408" i="1"/>
  <c r="B12408" i="1"/>
  <c r="A12408" i="1"/>
  <c r="S12407" i="1"/>
  <c r="O12407" i="1"/>
  <c r="K12407" i="1"/>
  <c r="J12407" i="1"/>
  <c r="I12407" i="1"/>
  <c r="H12407" i="1"/>
  <c r="G12407" i="1"/>
  <c r="F12407" i="1"/>
  <c r="E12407" i="1"/>
  <c r="D12407" i="1"/>
  <c r="C12407" i="1"/>
  <c r="B12407" i="1"/>
  <c r="A12407" i="1"/>
  <c r="R12406" i="1"/>
  <c r="J12406" i="1"/>
  <c r="I12406" i="1"/>
  <c r="G12406" i="1"/>
  <c r="F12406" i="1"/>
  <c r="E12406" i="1"/>
  <c r="D12406" i="1"/>
  <c r="C12406" i="1"/>
  <c r="B12406" i="1"/>
  <c r="A12406" i="1"/>
  <c r="S12405" i="1"/>
  <c r="O12405" i="1"/>
  <c r="K12405" i="1"/>
  <c r="J12405" i="1"/>
  <c r="I12405" i="1"/>
  <c r="H12405" i="1"/>
  <c r="G12405" i="1"/>
  <c r="F12405" i="1"/>
  <c r="E12405" i="1"/>
  <c r="D12405" i="1"/>
  <c r="C12405" i="1"/>
  <c r="B12405" i="1"/>
  <c r="A12405" i="1"/>
  <c r="R12404" i="1"/>
  <c r="J12404" i="1"/>
  <c r="I12404" i="1"/>
  <c r="G12404" i="1"/>
  <c r="F12404" i="1"/>
  <c r="E12404" i="1"/>
  <c r="D12404" i="1"/>
  <c r="C12404" i="1"/>
  <c r="B12404" i="1"/>
  <c r="A12404" i="1"/>
  <c r="R12403" i="1"/>
  <c r="J12403" i="1"/>
  <c r="I12403" i="1"/>
  <c r="G12403" i="1"/>
  <c r="F12403" i="1"/>
  <c r="E12403" i="1"/>
  <c r="D12403" i="1"/>
  <c r="C12403" i="1"/>
  <c r="B12403" i="1"/>
  <c r="A12403" i="1"/>
  <c r="S12402" i="1"/>
  <c r="O12402" i="1"/>
  <c r="K12402" i="1"/>
  <c r="J12402" i="1"/>
  <c r="I12402" i="1"/>
  <c r="H12402" i="1"/>
  <c r="G12402" i="1"/>
  <c r="F12402" i="1"/>
  <c r="E12402" i="1"/>
  <c r="D12402" i="1"/>
  <c r="C12402" i="1"/>
  <c r="B12402" i="1"/>
  <c r="A12402" i="1"/>
  <c r="R12401" i="1"/>
  <c r="J12401" i="1"/>
  <c r="I12401" i="1"/>
  <c r="G12401" i="1"/>
  <c r="F12401" i="1"/>
  <c r="E12401" i="1"/>
  <c r="D12401" i="1"/>
  <c r="C12401" i="1"/>
  <c r="B12401" i="1"/>
  <c r="A12401" i="1"/>
  <c r="R12400" i="1"/>
  <c r="J12400" i="1"/>
  <c r="I12400" i="1"/>
  <c r="G12400" i="1"/>
  <c r="F12400" i="1"/>
  <c r="E12400" i="1"/>
  <c r="D12400" i="1"/>
  <c r="C12400" i="1"/>
  <c r="B12400" i="1"/>
  <c r="A12400" i="1"/>
  <c r="S12399" i="1"/>
  <c r="O12399" i="1"/>
  <c r="K12399" i="1"/>
  <c r="J12399" i="1"/>
  <c r="I12399" i="1"/>
  <c r="H12399" i="1"/>
  <c r="G12399" i="1"/>
  <c r="F12399" i="1"/>
  <c r="E12399" i="1"/>
  <c r="D12399" i="1"/>
  <c r="C12399" i="1"/>
  <c r="B12399" i="1"/>
  <c r="A12399" i="1"/>
  <c r="R12398" i="1"/>
  <c r="J12398" i="1"/>
  <c r="I12398" i="1"/>
  <c r="G12398" i="1"/>
  <c r="F12398" i="1"/>
  <c r="E12398" i="1"/>
  <c r="D12398" i="1"/>
  <c r="C12398" i="1"/>
  <c r="B12398" i="1"/>
  <c r="A12398" i="1"/>
  <c r="S12397" i="1"/>
  <c r="O12397" i="1"/>
  <c r="K12397" i="1"/>
  <c r="J12397" i="1"/>
  <c r="I12397" i="1"/>
  <c r="H12397" i="1"/>
  <c r="G12397" i="1"/>
  <c r="F12397" i="1"/>
  <c r="E12397" i="1"/>
  <c r="D12397" i="1"/>
  <c r="C12397" i="1"/>
  <c r="B12397" i="1"/>
  <c r="A12397" i="1"/>
  <c r="R12396" i="1"/>
  <c r="J12396" i="1"/>
  <c r="I12396" i="1"/>
  <c r="G12396" i="1"/>
  <c r="F12396" i="1"/>
  <c r="E12396" i="1"/>
  <c r="D12396" i="1"/>
  <c r="C12396" i="1"/>
  <c r="B12396" i="1"/>
  <c r="A12396" i="1"/>
  <c r="R12395" i="1"/>
  <c r="J12395" i="1"/>
  <c r="I12395" i="1"/>
  <c r="G12395" i="1"/>
  <c r="F12395" i="1"/>
  <c r="E12395" i="1"/>
  <c r="D12395" i="1"/>
  <c r="C12395" i="1"/>
  <c r="B12395" i="1"/>
  <c r="A12395" i="1"/>
  <c r="R12394" i="1"/>
  <c r="J12394" i="1"/>
  <c r="I12394" i="1"/>
  <c r="G12394" i="1"/>
  <c r="F12394" i="1"/>
  <c r="E12394" i="1"/>
  <c r="D12394" i="1"/>
  <c r="C12394" i="1"/>
  <c r="B12394" i="1"/>
  <c r="A12394" i="1"/>
  <c r="R12393" i="1"/>
  <c r="J12393" i="1"/>
  <c r="I12393" i="1"/>
  <c r="G12393" i="1"/>
  <c r="F12393" i="1"/>
  <c r="E12393" i="1"/>
  <c r="D12393" i="1"/>
  <c r="C12393" i="1"/>
  <c r="B12393" i="1"/>
  <c r="A12393" i="1"/>
  <c r="R12392" i="1"/>
  <c r="J12392" i="1"/>
  <c r="I12392" i="1"/>
  <c r="G12392" i="1"/>
  <c r="F12392" i="1"/>
  <c r="E12392" i="1"/>
  <c r="D12392" i="1"/>
  <c r="C12392" i="1"/>
  <c r="B12392" i="1"/>
  <c r="A12392" i="1"/>
  <c r="S12391" i="1"/>
  <c r="O12391" i="1"/>
  <c r="K12391" i="1"/>
  <c r="J12391" i="1"/>
  <c r="I12391" i="1"/>
  <c r="H12391" i="1"/>
  <c r="G12391" i="1"/>
  <c r="F12391" i="1"/>
  <c r="E12391" i="1"/>
  <c r="D12391" i="1"/>
  <c r="C12391" i="1"/>
  <c r="B12391" i="1"/>
  <c r="A12391" i="1"/>
  <c r="R12390" i="1"/>
  <c r="J12390" i="1"/>
  <c r="I12390" i="1"/>
  <c r="G12390" i="1"/>
  <c r="F12390" i="1"/>
  <c r="E12390" i="1"/>
  <c r="D12390" i="1"/>
  <c r="C12390" i="1"/>
  <c r="B12390" i="1"/>
  <c r="A12390" i="1"/>
  <c r="R12389" i="1"/>
  <c r="J12389" i="1"/>
  <c r="I12389" i="1"/>
  <c r="G12389" i="1"/>
  <c r="F12389" i="1"/>
  <c r="E12389" i="1"/>
  <c r="D12389" i="1"/>
  <c r="C12389" i="1"/>
  <c r="B12389" i="1"/>
  <c r="A12389" i="1"/>
  <c r="R12388" i="1"/>
  <c r="J12388" i="1"/>
  <c r="I12388" i="1"/>
  <c r="G12388" i="1"/>
  <c r="F12388" i="1"/>
  <c r="E12388" i="1"/>
  <c r="D12388" i="1"/>
  <c r="C12388" i="1"/>
  <c r="B12388" i="1"/>
  <c r="A12388" i="1"/>
  <c r="R12387" i="1"/>
  <c r="J12387" i="1"/>
  <c r="I12387" i="1"/>
  <c r="G12387" i="1"/>
  <c r="F12387" i="1"/>
  <c r="E12387" i="1"/>
  <c r="D12387" i="1"/>
  <c r="C12387" i="1"/>
  <c r="B12387" i="1"/>
  <c r="A12387" i="1"/>
  <c r="R12386" i="1"/>
  <c r="J12386" i="1"/>
  <c r="I12386" i="1"/>
  <c r="G12386" i="1"/>
  <c r="F12386" i="1"/>
  <c r="E12386" i="1"/>
  <c r="D12386" i="1"/>
  <c r="C12386" i="1"/>
  <c r="B12386" i="1"/>
  <c r="A12386" i="1"/>
  <c r="S12385" i="1"/>
  <c r="O12385" i="1"/>
  <c r="K12385" i="1"/>
  <c r="J12385" i="1"/>
  <c r="I12385" i="1"/>
  <c r="H12385" i="1"/>
  <c r="G12385" i="1"/>
  <c r="F12385" i="1"/>
  <c r="E12385" i="1"/>
  <c r="D12385" i="1"/>
  <c r="C12385" i="1"/>
  <c r="B12385" i="1"/>
  <c r="A12385" i="1"/>
  <c r="R12384" i="1"/>
  <c r="J12384" i="1"/>
  <c r="I12384" i="1"/>
  <c r="G12384" i="1"/>
  <c r="F12384" i="1"/>
  <c r="E12384" i="1"/>
  <c r="D12384" i="1"/>
  <c r="C12384" i="1"/>
  <c r="B12384" i="1"/>
  <c r="A12384" i="1"/>
  <c r="S12383" i="1"/>
  <c r="O12383" i="1"/>
  <c r="K12383" i="1"/>
  <c r="J12383" i="1"/>
  <c r="I12383" i="1"/>
  <c r="H12383" i="1"/>
  <c r="G12383" i="1"/>
  <c r="F12383" i="1"/>
  <c r="E12383" i="1"/>
  <c r="D12383" i="1"/>
  <c r="C12383" i="1"/>
  <c r="B12383" i="1"/>
  <c r="A12383" i="1"/>
  <c r="R12382" i="1"/>
  <c r="J12382" i="1"/>
  <c r="I12382" i="1"/>
  <c r="G12382" i="1"/>
  <c r="F12382" i="1"/>
  <c r="E12382" i="1"/>
  <c r="D12382" i="1"/>
  <c r="C12382" i="1"/>
  <c r="B12382" i="1"/>
  <c r="A12382" i="1"/>
  <c r="R12381" i="1"/>
  <c r="J12381" i="1"/>
  <c r="I12381" i="1"/>
  <c r="G12381" i="1"/>
  <c r="F12381" i="1"/>
  <c r="E12381" i="1"/>
  <c r="D12381" i="1"/>
  <c r="C12381" i="1"/>
  <c r="B12381" i="1"/>
  <c r="A12381" i="1"/>
  <c r="R12380" i="1"/>
  <c r="J12380" i="1"/>
  <c r="I12380" i="1"/>
  <c r="G12380" i="1"/>
  <c r="F12380" i="1"/>
  <c r="E12380" i="1"/>
  <c r="D12380" i="1"/>
  <c r="C12380" i="1"/>
  <c r="B12380" i="1"/>
  <c r="A12380" i="1"/>
  <c r="R12379" i="1"/>
  <c r="J12379" i="1"/>
  <c r="I12379" i="1"/>
  <c r="G12379" i="1"/>
  <c r="F12379" i="1"/>
  <c r="E12379" i="1"/>
  <c r="D12379" i="1"/>
  <c r="C12379" i="1"/>
  <c r="B12379" i="1"/>
  <c r="A12379" i="1"/>
  <c r="R12378" i="1"/>
  <c r="J12378" i="1"/>
  <c r="I12378" i="1"/>
  <c r="G12378" i="1"/>
  <c r="F12378" i="1"/>
  <c r="E12378" i="1"/>
  <c r="D12378" i="1"/>
  <c r="C12378" i="1"/>
  <c r="B12378" i="1"/>
  <c r="A12378" i="1"/>
  <c r="S12377" i="1"/>
  <c r="O12377" i="1"/>
  <c r="K12377" i="1"/>
  <c r="J12377" i="1"/>
  <c r="I12377" i="1"/>
  <c r="H12377" i="1"/>
  <c r="G12377" i="1"/>
  <c r="F12377" i="1"/>
  <c r="E12377" i="1"/>
  <c r="D12377" i="1"/>
  <c r="C12377" i="1"/>
  <c r="B12377" i="1"/>
  <c r="A12377" i="1"/>
  <c r="R12376" i="1"/>
  <c r="J12376" i="1"/>
  <c r="I12376" i="1"/>
  <c r="G12376" i="1"/>
  <c r="F12376" i="1"/>
  <c r="E12376" i="1"/>
  <c r="D12376" i="1"/>
  <c r="C12376" i="1"/>
  <c r="B12376" i="1"/>
  <c r="A12376" i="1"/>
  <c r="S12375" i="1"/>
  <c r="O12375" i="1"/>
  <c r="K12375" i="1"/>
  <c r="J12375" i="1"/>
  <c r="I12375" i="1"/>
  <c r="H12375" i="1"/>
  <c r="G12375" i="1"/>
  <c r="F12375" i="1"/>
  <c r="E12375" i="1"/>
  <c r="D12375" i="1"/>
  <c r="C12375" i="1"/>
  <c r="B12375" i="1"/>
  <c r="A12375" i="1"/>
  <c r="R12374" i="1"/>
  <c r="J12374" i="1"/>
  <c r="I12374" i="1"/>
  <c r="G12374" i="1"/>
  <c r="F12374" i="1"/>
  <c r="E12374" i="1"/>
  <c r="D12374" i="1"/>
  <c r="C12374" i="1"/>
  <c r="B12374" i="1"/>
  <c r="A12374" i="1"/>
  <c r="S12373" i="1"/>
  <c r="O12373" i="1"/>
  <c r="K12373" i="1"/>
  <c r="J12373" i="1"/>
  <c r="I12373" i="1"/>
  <c r="H12373" i="1"/>
  <c r="G12373" i="1"/>
  <c r="F12373" i="1"/>
  <c r="E12373" i="1"/>
  <c r="D12373" i="1"/>
  <c r="C12373" i="1"/>
  <c r="B12373" i="1"/>
  <c r="A12373" i="1"/>
  <c r="R12372" i="1"/>
  <c r="J12372" i="1"/>
  <c r="I12372" i="1"/>
  <c r="G12372" i="1"/>
  <c r="F12372" i="1"/>
  <c r="E12372" i="1"/>
  <c r="D12372" i="1"/>
  <c r="C12372" i="1"/>
  <c r="B12372" i="1"/>
  <c r="A12372" i="1"/>
  <c r="S12371" i="1"/>
  <c r="O12371" i="1"/>
  <c r="K12371" i="1"/>
  <c r="J12371" i="1"/>
  <c r="I12371" i="1"/>
  <c r="H12371" i="1"/>
  <c r="G12371" i="1"/>
  <c r="F12371" i="1"/>
  <c r="E12371" i="1"/>
  <c r="D12371" i="1"/>
  <c r="C12371" i="1"/>
  <c r="B12371" i="1"/>
  <c r="A12371" i="1"/>
  <c r="R12370" i="1"/>
  <c r="J12370" i="1"/>
  <c r="I12370" i="1"/>
  <c r="G12370" i="1"/>
  <c r="F12370" i="1"/>
  <c r="E12370" i="1"/>
  <c r="D12370" i="1"/>
  <c r="C12370" i="1"/>
  <c r="B12370" i="1"/>
  <c r="A12370" i="1"/>
  <c r="S12369" i="1"/>
  <c r="O12369" i="1"/>
  <c r="K12369" i="1"/>
  <c r="J12369" i="1"/>
  <c r="I12369" i="1"/>
  <c r="H12369" i="1"/>
  <c r="G12369" i="1"/>
  <c r="F12369" i="1"/>
  <c r="E12369" i="1"/>
  <c r="D12369" i="1"/>
  <c r="C12369" i="1"/>
  <c r="B12369" i="1"/>
  <c r="A12369" i="1"/>
  <c r="R12368" i="1"/>
  <c r="J12368" i="1"/>
  <c r="I12368" i="1"/>
  <c r="G12368" i="1"/>
  <c r="F12368" i="1"/>
  <c r="E12368" i="1"/>
  <c r="D12368" i="1"/>
  <c r="C12368" i="1"/>
  <c r="B12368" i="1"/>
  <c r="A12368" i="1"/>
  <c r="S12367" i="1"/>
  <c r="O12367" i="1"/>
  <c r="K12367" i="1"/>
  <c r="J12367" i="1"/>
  <c r="I12367" i="1"/>
  <c r="H12367" i="1"/>
  <c r="G12367" i="1"/>
  <c r="F12367" i="1"/>
  <c r="E12367" i="1"/>
  <c r="D12367" i="1"/>
  <c r="C12367" i="1"/>
  <c r="B12367" i="1"/>
  <c r="A12367" i="1"/>
  <c r="R12366" i="1"/>
  <c r="J12366" i="1"/>
  <c r="I12366" i="1"/>
  <c r="G12366" i="1"/>
  <c r="F12366" i="1"/>
  <c r="E12366" i="1"/>
  <c r="D12366" i="1"/>
  <c r="C12366" i="1"/>
  <c r="B12366" i="1"/>
  <c r="A12366" i="1"/>
  <c r="S12365" i="1"/>
  <c r="O12365" i="1"/>
  <c r="K12365" i="1"/>
  <c r="J12365" i="1"/>
  <c r="I12365" i="1"/>
  <c r="H12365" i="1"/>
  <c r="G12365" i="1"/>
  <c r="F12365" i="1"/>
  <c r="E12365" i="1"/>
  <c r="D12365" i="1"/>
  <c r="C12365" i="1"/>
  <c r="B12365" i="1"/>
  <c r="A12365" i="1"/>
  <c r="R12364" i="1"/>
  <c r="J12364" i="1"/>
  <c r="I12364" i="1"/>
  <c r="G12364" i="1"/>
  <c r="F12364" i="1"/>
  <c r="E12364" i="1"/>
  <c r="D12364" i="1"/>
  <c r="C12364" i="1"/>
  <c r="B12364" i="1"/>
  <c r="A12364" i="1"/>
  <c r="S12363" i="1"/>
  <c r="O12363" i="1"/>
  <c r="K12363" i="1"/>
  <c r="J12363" i="1"/>
  <c r="I12363" i="1"/>
  <c r="H12363" i="1"/>
  <c r="G12363" i="1"/>
  <c r="F12363" i="1"/>
  <c r="E12363" i="1"/>
  <c r="D12363" i="1"/>
  <c r="C12363" i="1"/>
  <c r="B12363" i="1"/>
  <c r="A12363" i="1"/>
  <c r="R12362" i="1"/>
  <c r="J12362" i="1"/>
  <c r="I12362" i="1"/>
  <c r="G12362" i="1"/>
  <c r="F12362" i="1"/>
  <c r="E12362" i="1"/>
  <c r="D12362" i="1"/>
  <c r="C12362" i="1"/>
  <c r="B12362" i="1"/>
  <c r="A12362" i="1"/>
  <c r="S12361" i="1"/>
  <c r="O12361" i="1"/>
  <c r="K12361" i="1"/>
  <c r="J12361" i="1"/>
  <c r="I12361" i="1"/>
  <c r="H12361" i="1"/>
  <c r="G12361" i="1"/>
  <c r="F12361" i="1"/>
  <c r="E12361" i="1"/>
  <c r="D12361" i="1"/>
  <c r="C12361" i="1"/>
  <c r="B12361" i="1"/>
  <c r="A12361" i="1"/>
  <c r="R12360" i="1"/>
  <c r="J12360" i="1"/>
  <c r="I12360" i="1"/>
  <c r="G12360" i="1"/>
  <c r="F12360" i="1"/>
  <c r="E12360" i="1"/>
  <c r="D12360" i="1"/>
  <c r="C12360" i="1"/>
  <c r="B12360" i="1"/>
  <c r="A12360" i="1"/>
  <c r="S12359" i="1"/>
  <c r="O12359" i="1"/>
  <c r="K12359" i="1"/>
  <c r="J12359" i="1"/>
  <c r="I12359" i="1"/>
  <c r="H12359" i="1"/>
  <c r="G12359" i="1"/>
  <c r="F12359" i="1"/>
  <c r="E12359" i="1"/>
  <c r="D12359" i="1"/>
  <c r="C12359" i="1"/>
  <c r="B12359" i="1"/>
  <c r="A12359" i="1"/>
  <c r="R12358" i="1"/>
  <c r="J12358" i="1"/>
  <c r="I12358" i="1"/>
  <c r="G12358" i="1"/>
  <c r="F12358" i="1"/>
  <c r="E12358" i="1"/>
  <c r="D12358" i="1"/>
  <c r="C12358" i="1"/>
  <c r="B12358" i="1"/>
  <c r="A12358" i="1"/>
  <c r="S12357" i="1"/>
  <c r="O12357" i="1"/>
  <c r="K12357" i="1"/>
  <c r="J12357" i="1"/>
  <c r="I12357" i="1"/>
  <c r="H12357" i="1"/>
  <c r="G12357" i="1"/>
  <c r="F12357" i="1"/>
  <c r="E12357" i="1"/>
  <c r="D12357" i="1"/>
  <c r="C12357" i="1"/>
  <c r="B12357" i="1"/>
  <c r="A12357" i="1"/>
  <c r="R12356" i="1"/>
  <c r="J12356" i="1"/>
  <c r="I12356" i="1"/>
  <c r="G12356" i="1"/>
  <c r="F12356" i="1"/>
  <c r="E12356" i="1"/>
  <c r="D12356" i="1"/>
  <c r="C12356" i="1"/>
  <c r="B12356" i="1"/>
  <c r="A12356" i="1"/>
  <c r="S12355" i="1"/>
  <c r="O12355" i="1"/>
  <c r="K12355" i="1"/>
  <c r="J12355" i="1"/>
  <c r="I12355" i="1"/>
  <c r="H12355" i="1"/>
  <c r="G12355" i="1"/>
  <c r="F12355" i="1"/>
  <c r="E12355" i="1"/>
  <c r="D12355" i="1"/>
  <c r="C12355" i="1"/>
  <c r="B12355" i="1"/>
  <c r="A12355" i="1"/>
  <c r="R12354" i="1"/>
  <c r="J12354" i="1"/>
  <c r="I12354" i="1"/>
  <c r="G12354" i="1"/>
  <c r="F12354" i="1"/>
  <c r="E12354" i="1"/>
  <c r="D12354" i="1"/>
  <c r="C12354" i="1"/>
  <c r="B12354" i="1"/>
  <c r="A12354" i="1"/>
  <c r="S12353" i="1"/>
  <c r="O12353" i="1"/>
  <c r="K12353" i="1"/>
  <c r="J12353" i="1"/>
  <c r="I12353" i="1"/>
  <c r="H12353" i="1"/>
  <c r="G12353" i="1"/>
  <c r="F12353" i="1"/>
  <c r="E12353" i="1"/>
  <c r="D12353" i="1"/>
  <c r="C12353" i="1"/>
  <c r="B12353" i="1"/>
  <c r="A12353" i="1"/>
  <c r="R12352" i="1"/>
  <c r="J12352" i="1"/>
  <c r="I12352" i="1"/>
  <c r="G12352" i="1"/>
  <c r="F12352" i="1"/>
  <c r="E12352" i="1"/>
  <c r="D12352" i="1"/>
  <c r="C12352" i="1"/>
  <c r="B12352" i="1"/>
  <c r="A12352" i="1"/>
  <c r="S12351" i="1"/>
  <c r="O12351" i="1"/>
  <c r="K12351" i="1"/>
  <c r="J12351" i="1"/>
  <c r="I12351" i="1"/>
  <c r="H12351" i="1"/>
  <c r="G12351" i="1"/>
  <c r="F12351" i="1"/>
  <c r="E12351" i="1"/>
  <c r="D12351" i="1"/>
  <c r="C12351" i="1"/>
  <c r="B12351" i="1"/>
  <c r="A12351" i="1"/>
  <c r="R12350" i="1"/>
  <c r="J12350" i="1"/>
  <c r="I12350" i="1"/>
  <c r="G12350" i="1"/>
  <c r="F12350" i="1"/>
  <c r="E12350" i="1"/>
  <c r="D12350" i="1"/>
  <c r="C12350" i="1"/>
  <c r="B12350" i="1"/>
  <c r="A12350" i="1"/>
  <c r="S12349" i="1"/>
  <c r="O12349" i="1"/>
  <c r="K12349" i="1"/>
  <c r="J12349" i="1"/>
  <c r="I12349" i="1"/>
  <c r="H12349" i="1"/>
  <c r="G12349" i="1"/>
  <c r="F12349" i="1"/>
  <c r="E12349" i="1"/>
  <c r="D12349" i="1"/>
  <c r="C12349" i="1"/>
  <c r="B12349" i="1"/>
  <c r="A12349" i="1"/>
  <c r="R12348" i="1"/>
  <c r="J12348" i="1"/>
  <c r="I12348" i="1"/>
  <c r="G12348" i="1"/>
  <c r="F12348" i="1"/>
  <c r="E12348" i="1"/>
  <c r="D12348" i="1"/>
  <c r="C12348" i="1"/>
  <c r="B12348" i="1"/>
  <c r="A12348" i="1"/>
  <c r="S12347" i="1"/>
  <c r="O12347" i="1"/>
  <c r="K12347" i="1"/>
  <c r="J12347" i="1"/>
  <c r="I12347" i="1"/>
  <c r="H12347" i="1"/>
  <c r="G12347" i="1"/>
  <c r="F12347" i="1"/>
  <c r="E12347" i="1"/>
  <c r="D12347" i="1"/>
  <c r="C12347" i="1"/>
  <c r="B12347" i="1"/>
  <c r="A12347" i="1"/>
  <c r="R12346" i="1"/>
  <c r="J12346" i="1"/>
  <c r="I12346" i="1"/>
  <c r="G12346" i="1"/>
  <c r="F12346" i="1"/>
  <c r="E12346" i="1"/>
  <c r="D12346" i="1"/>
  <c r="C12346" i="1"/>
  <c r="B12346" i="1"/>
  <c r="A12346" i="1"/>
  <c r="S12345" i="1"/>
  <c r="O12345" i="1"/>
  <c r="K12345" i="1"/>
  <c r="J12345" i="1"/>
  <c r="I12345" i="1"/>
  <c r="H12345" i="1"/>
  <c r="G12345" i="1"/>
  <c r="F12345" i="1"/>
  <c r="E12345" i="1"/>
  <c r="D12345" i="1"/>
  <c r="C12345" i="1"/>
  <c r="B12345" i="1"/>
  <c r="A12345" i="1"/>
  <c r="R12344" i="1"/>
  <c r="J12344" i="1"/>
  <c r="I12344" i="1"/>
  <c r="G12344" i="1"/>
  <c r="F12344" i="1"/>
  <c r="E12344" i="1"/>
  <c r="D12344" i="1"/>
  <c r="C12344" i="1"/>
  <c r="B12344" i="1"/>
  <c r="A12344" i="1"/>
  <c r="S12343" i="1"/>
  <c r="O12343" i="1"/>
  <c r="K12343" i="1"/>
  <c r="J12343" i="1"/>
  <c r="I12343" i="1"/>
  <c r="H12343" i="1"/>
  <c r="G12343" i="1"/>
  <c r="F12343" i="1"/>
  <c r="E12343" i="1"/>
  <c r="D12343" i="1"/>
  <c r="C12343" i="1"/>
  <c r="B12343" i="1"/>
  <c r="A12343" i="1"/>
  <c r="R12342" i="1"/>
  <c r="J12342" i="1"/>
  <c r="I12342" i="1"/>
  <c r="G12342" i="1"/>
  <c r="F12342" i="1"/>
  <c r="E12342" i="1"/>
  <c r="D12342" i="1"/>
  <c r="C12342" i="1"/>
  <c r="B12342" i="1"/>
  <c r="A12342" i="1"/>
  <c r="S12341" i="1"/>
  <c r="O12341" i="1"/>
  <c r="K12341" i="1"/>
  <c r="J12341" i="1"/>
  <c r="I12341" i="1"/>
  <c r="H12341" i="1"/>
  <c r="G12341" i="1"/>
  <c r="F12341" i="1"/>
  <c r="E12341" i="1"/>
  <c r="D12341" i="1"/>
  <c r="C12341" i="1"/>
  <c r="B12341" i="1"/>
  <c r="A12341" i="1"/>
  <c r="R12340" i="1"/>
  <c r="J12340" i="1"/>
  <c r="I12340" i="1"/>
  <c r="G12340" i="1"/>
  <c r="F12340" i="1"/>
  <c r="E12340" i="1"/>
  <c r="D12340" i="1"/>
  <c r="C12340" i="1"/>
  <c r="B12340" i="1"/>
  <c r="A12340" i="1"/>
  <c r="S12339" i="1"/>
  <c r="O12339" i="1"/>
  <c r="K12339" i="1"/>
  <c r="J12339" i="1"/>
  <c r="I12339" i="1"/>
  <c r="H12339" i="1"/>
  <c r="G12339" i="1"/>
  <c r="F12339" i="1"/>
  <c r="E12339" i="1"/>
  <c r="D12339" i="1"/>
  <c r="C12339" i="1"/>
  <c r="B12339" i="1"/>
  <c r="A12339" i="1"/>
  <c r="R12338" i="1"/>
  <c r="J12338" i="1"/>
  <c r="I12338" i="1"/>
  <c r="G12338" i="1"/>
  <c r="F12338" i="1"/>
  <c r="E12338" i="1"/>
  <c r="D12338" i="1"/>
  <c r="C12338" i="1"/>
  <c r="B12338" i="1"/>
  <c r="A12338" i="1"/>
  <c r="S12337" i="1"/>
  <c r="O12337" i="1"/>
  <c r="K12337" i="1"/>
  <c r="J12337" i="1"/>
  <c r="I12337" i="1"/>
  <c r="H12337" i="1"/>
  <c r="G12337" i="1"/>
  <c r="F12337" i="1"/>
  <c r="E12337" i="1"/>
  <c r="D12337" i="1"/>
  <c r="C12337" i="1"/>
  <c r="B12337" i="1"/>
  <c r="A12337" i="1"/>
  <c r="R12336" i="1"/>
  <c r="J12336" i="1"/>
  <c r="I12336" i="1"/>
  <c r="G12336" i="1"/>
  <c r="F12336" i="1"/>
  <c r="E12336" i="1"/>
  <c r="D12336" i="1"/>
  <c r="C12336" i="1"/>
  <c r="B12336" i="1"/>
  <c r="A12336" i="1"/>
  <c r="S12335" i="1"/>
  <c r="O12335" i="1"/>
  <c r="K12335" i="1"/>
  <c r="J12335" i="1"/>
  <c r="I12335" i="1"/>
  <c r="H12335" i="1"/>
  <c r="G12335" i="1"/>
  <c r="F12335" i="1"/>
  <c r="E12335" i="1"/>
  <c r="D12335" i="1"/>
  <c r="C12335" i="1"/>
  <c r="B12335" i="1"/>
  <c r="A12335" i="1"/>
  <c r="R12334" i="1"/>
  <c r="J12334" i="1"/>
  <c r="I12334" i="1"/>
  <c r="G12334" i="1"/>
  <c r="F12334" i="1"/>
  <c r="E12334" i="1"/>
  <c r="D12334" i="1"/>
  <c r="C12334" i="1"/>
  <c r="B12334" i="1"/>
  <c r="A12334" i="1"/>
  <c r="S12333" i="1"/>
  <c r="O12333" i="1"/>
  <c r="K12333" i="1"/>
  <c r="J12333" i="1"/>
  <c r="I12333" i="1"/>
  <c r="H12333" i="1"/>
  <c r="G12333" i="1"/>
  <c r="F12333" i="1"/>
  <c r="E12333" i="1"/>
  <c r="D12333" i="1"/>
  <c r="C12333" i="1"/>
  <c r="B12333" i="1"/>
  <c r="A12333" i="1"/>
  <c r="R12332" i="1"/>
  <c r="J12332" i="1"/>
  <c r="I12332" i="1"/>
  <c r="G12332" i="1"/>
  <c r="F12332" i="1"/>
  <c r="E12332" i="1"/>
  <c r="D12332" i="1"/>
  <c r="C12332" i="1"/>
  <c r="B12332" i="1"/>
  <c r="A12332" i="1"/>
  <c r="S12331" i="1"/>
  <c r="O12331" i="1"/>
  <c r="K12331" i="1"/>
  <c r="J12331" i="1"/>
  <c r="I12331" i="1"/>
  <c r="H12331" i="1"/>
  <c r="G12331" i="1"/>
  <c r="F12331" i="1"/>
  <c r="E12331" i="1"/>
  <c r="D12331" i="1"/>
  <c r="C12331" i="1"/>
  <c r="B12331" i="1"/>
  <c r="A12331" i="1"/>
  <c r="R12330" i="1"/>
  <c r="J12330" i="1"/>
  <c r="I12330" i="1"/>
  <c r="G12330" i="1"/>
  <c r="F12330" i="1"/>
  <c r="E12330" i="1"/>
  <c r="D12330" i="1"/>
  <c r="C12330" i="1"/>
  <c r="B12330" i="1"/>
  <c r="A12330" i="1"/>
  <c r="S12329" i="1"/>
  <c r="O12329" i="1"/>
  <c r="K12329" i="1"/>
  <c r="J12329" i="1"/>
  <c r="I12329" i="1"/>
  <c r="H12329" i="1"/>
  <c r="G12329" i="1"/>
  <c r="F12329" i="1"/>
  <c r="E12329" i="1"/>
  <c r="D12329" i="1"/>
  <c r="C12329" i="1"/>
  <c r="B12329" i="1"/>
  <c r="A12329" i="1"/>
  <c r="R12328" i="1"/>
  <c r="J12328" i="1"/>
  <c r="I12328" i="1"/>
  <c r="G12328" i="1"/>
  <c r="F12328" i="1"/>
  <c r="E12328" i="1"/>
  <c r="D12328" i="1"/>
  <c r="C12328" i="1"/>
  <c r="B12328" i="1"/>
  <c r="A12328" i="1"/>
  <c r="S12327" i="1"/>
  <c r="O12327" i="1"/>
  <c r="K12327" i="1"/>
  <c r="J12327" i="1"/>
  <c r="I12327" i="1"/>
  <c r="H12327" i="1"/>
  <c r="G12327" i="1"/>
  <c r="F12327" i="1"/>
  <c r="E12327" i="1"/>
  <c r="D12327" i="1"/>
  <c r="C12327" i="1"/>
  <c r="B12327" i="1"/>
  <c r="A12327" i="1"/>
  <c r="R12326" i="1"/>
  <c r="J12326" i="1"/>
  <c r="I12326" i="1"/>
  <c r="G12326" i="1"/>
  <c r="F12326" i="1"/>
  <c r="E12326" i="1"/>
  <c r="D12326" i="1"/>
  <c r="C12326" i="1"/>
  <c r="B12326" i="1"/>
  <c r="A12326" i="1"/>
  <c r="S12325" i="1"/>
  <c r="O12325" i="1"/>
  <c r="K12325" i="1"/>
  <c r="J12325" i="1"/>
  <c r="I12325" i="1"/>
  <c r="H12325" i="1"/>
  <c r="G12325" i="1"/>
  <c r="F12325" i="1"/>
  <c r="E12325" i="1"/>
  <c r="D12325" i="1"/>
  <c r="C12325" i="1"/>
  <c r="B12325" i="1"/>
  <c r="A12325" i="1"/>
  <c r="R12324" i="1"/>
  <c r="J12324" i="1"/>
  <c r="I12324" i="1"/>
  <c r="G12324" i="1"/>
  <c r="F12324" i="1"/>
  <c r="E12324" i="1"/>
  <c r="D12324" i="1"/>
  <c r="C12324" i="1"/>
  <c r="B12324" i="1"/>
  <c r="A12324" i="1"/>
  <c r="S12323" i="1"/>
  <c r="O12323" i="1"/>
  <c r="K12323" i="1"/>
  <c r="J12323" i="1"/>
  <c r="I12323" i="1"/>
  <c r="H12323" i="1"/>
  <c r="G12323" i="1"/>
  <c r="F12323" i="1"/>
  <c r="E12323" i="1"/>
  <c r="D12323" i="1"/>
  <c r="C12323" i="1"/>
  <c r="B12323" i="1"/>
  <c r="A12323" i="1"/>
  <c r="R12322" i="1"/>
  <c r="J12322" i="1"/>
  <c r="I12322" i="1"/>
  <c r="G12322" i="1"/>
  <c r="F12322" i="1"/>
  <c r="E12322" i="1"/>
  <c r="D12322" i="1"/>
  <c r="C12322" i="1"/>
  <c r="B12322" i="1"/>
  <c r="A12322" i="1"/>
  <c r="S12321" i="1"/>
  <c r="O12321" i="1"/>
  <c r="K12321" i="1"/>
  <c r="J12321" i="1"/>
  <c r="I12321" i="1"/>
  <c r="H12321" i="1"/>
  <c r="G12321" i="1"/>
  <c r="F12321" i="1"/>
  <c r="E12321" i="1"/>
  <c r="D12321" i="1"/>
  <c r="C12321" i="1"/>
  <c r="B12321" i="1"/>
  <c r="A12321" i="1"/>
  <c r="R12320" i="1"/>
  <c r="J12320" i="1"/>
  <c r="I12320" i="1"/>
  <c r="G12320" i="1"/>
  <c r="F12320" i="1"/>
  <c r="E12320" i="1"/>
  <c r="D12320" i="1"/>
  <c r="C12320" i="1"/>
  <c r="B12320" i="1"/>
  <c r="A12320" i="1"/>
  <c r="S12319" i="1"/>
  <c r="O12319" i="1"/>
  <c r="K12319" i="1"/>
  <c r="J12319" i="1"/>
  <c r="I12319" i="1"/>
  <c r="H12319" i="1"/>
  <c r="G12319" i="1"/>
  <c r="F12319" i="1"/>
  <c r="E12319" i="1"/>
  <c r="D12319" i="1"/>
  <c r="C12319" i="1"/>
  <c r="B12319" i="1"/>
  <c r="A12319" i="1"/>
  <c r="R12318" i="1"/>
  <c r="J12318" i="1"/>
  <c r="I12318" i="1"/>
  <c r="G12318" i="1"/>
  <c r="F12318" i="1"/>
  <c r="E12318" i="1"/>
  <c r="D12318" i="1"/>
  <c r="C12318" i="1"/>
  <c r="B12318" i="1"/>
  <c r="A12318" i="1"/>
  <c r="S12317" i="1"/>
  <c r="O12317" i="1"/>
  <c r="K12317" i="1"/>
  <c r="J12317" i="1"/>
  <c r="I12317" i="1"/>
  <c r="H12317" i="1"/>
  <c r="G12317" i="1"/>
  <c r="F12317" i="1"/>
  <c r="E12317" i="1"/>
  <c r="D12317" i="1"/>
  <c r="C12317" i="1"/>
  <c r="B12317" i="1"/>
  <c r="A12317" i="1"/>
  <c r="R12316" i="1"/>
  <c r="J12316" i="1"/>
  <c r="I12316" i="1"/>
  <c r="G12316" i="1"/>
  <c r="F12316" i="1"/>
  <c r="E12316" i="1"/>
  <c r="D12316" i="1"/>
  <c r="C12316" i="1"/>
  <c r="B12316" i="1"/>
  <c r="A12316" i="1"/>
  <c r="S12315" i="1"/>
  <c r="O12315" i="1"/>
  <c r="K12315" i="1"/>
  <c r="J12315" i="1"/>
  <c r="I12315" i="1"/>
  <c r="H12315" i="1"/>
  <c r="G12315" i="1"/>
  <c r="F12315" i="1"/>
  <c r="E12315" i="1"/>
  <c r="D12315" i="1"/>
  <c r="C12315" i="1"/>
  <c r="B12315" i="1"/>
  <c r="A12315" i="1"/>
  <c r="R12314" i="1"/>
  <c r="J12314" i="1"/>
  <c r="I12314" i="1"/>
  <c r="G12314" i="1"/>
  <c r="F12314" i="1"/>
  <c r="E12314" i="1"/>
  <c r="D12314" i="1"/>
  <c r="C12314" i="1"/>
  <c r="B12314" i="1"/>
  <c r="A12314" i="1"/>
  <c r="S12313" i="1"/>
  <c r="O12313" i="1"/>
  <c r="K12313" i="1"/>
  <c r="J12313" i="1"/>
  <c r="I12313" i="1"/>
  <c r="H12313" i="1"/>
  <c r="G12313" i="1"/>
  <c r="F12313" i="1"/>
  <c r="E12313" i="1"/>
  <c r="D12313" i="1"/>
  <c r="C12313" i="1"/>
  <c r="B12313" i="1"/>
  <c r="A12313" i="1"/>
  <c r="R12312" i="1"/>
  <c r="J12312" i="1"/>
  <c r="I12312" i="1"/>
  <c r="G12312" i="1"/>
  <c r="F12312" i="1"/>
  <c r="E12312" i="1"/>
  <c r="D12312" i="1"/>
  <c r="C12312" i="1"/>
  <c r="B12312" i="1"/>
  <c r="A12312" i="1"/>
  <c r="S12311" i="1"/>
  <c r="O12311" i="1"/>
  <c r="K12311" i="1"/>
  <c r="J12311" i="1"/>
  <c r="I12311" i="1"/>
  <c r="H12311" i="1"/>
  <c r="G12311" i="1"/>
  <c r="F12311" i="1"/>
  <c r="E12311" i="1"/>
  <c r="D12311" i="1"/>
  <c r="C12311" i="1"/>
  <c r="B12311" i="1"/>
  <c r="A12311" i="1"/>
  <c r="R12310" i="1"/>
  <c r="J12310" i="1"/>
  <c r="I12310" i="1"/>
  <c r="G12310" i="1"/>
  <c r="F12310" i="1"/>
  <c r="E12310" i="1"/>
  <c r="D12310" i="1"/>
  <c r="C12310" i="1"/>
  <c r="B12310" i="1"/>
  <c r="A12310" i="1"/>
  <c r="S12309" i="1"/>
  <c r="O12309" i="1"/>
  <c r="K12309" i="1"/>
  <c r="J12309" i="1"/>
  <c r="I12309" i="1"/>
  <c r="H12309" i="1"/>
  <c r="G12309" i="1"/>
  <c r="F12309" i="1"/>
  <c r="E12309" i="1"/>
  <c r="D12309" i="1"/>
  <c r="C12309" i="1"/>
  <c r="B12309" i="1"/>
  <c r="A12309" i="1"/>
  <c r="R12308" i="1"/>
  <c r="J12308" i="1"/>
  <c r="I12308" i="1"/>
  <c r="G12308" i="1"/>
  <c r="F12308" i="1"/>
  <c r="E12308" i="1"/>
  <c r="D12308" i="1"/>
  <c r="C12308" i="1"/>
  <c r="B12308" i="1"/>
  <c r="A12308" i="1"/>
  <c r="S12307" i="1"/>
  <c r="O12307" i="1"/>
  <c r="K12307" i="1"/>
  <c r="J12307" i="1"/>
  <c r="I12307" i="1"/>
  <c r="H12307" i="1"/>
  <c r="G12307" i="1"/>
  <c r="F12307" i="1"/>
  <c r="E12307" i="1"/>
  <c r="D12307" i="1"/>
  <c r="C12307" i="1"/>
  <c r="B12307" i="1"/>
  <c r="A12307" i="1"/>
  <c r="R12306" i="1"/>
  <c r="J12306" i="1"/>
  <c r="I12306" i="1"/>
  <c r="G12306" i="1"/>
  <c r="F12306" i="1"/>
  <c r="E12306" i="1"/>
  <c r="D12306" i="1"/>
  <c r="C12306" i="1"/>
  <c r="B12306" i="1"/>
  <c r="A12306" i="1"/>
  <c r="S12305" i="1"/>
  <c r="O12305" i="1"/>
  <c r="K12305" i="1"/>
  <c r="J12305" i="1"/>
  <c r="I12305" i="1"/>
  <c r="H12305" i="1"/>
  <c r="G12305" i="1"/>
  <c r="F12305" i="1"/>
  <c r="E12305" i="1"/>
  <c r="D12305" i="1"/>
  <c r="C12305" i="1"/>
  <c r="B12305" i="1"/>
  <c r="A12305" i="1"/>
  <c r="R12304" i="1"/>
  <c r="J12304" i="1"/>
  <c r="I12304" i="1"/>
  <c r="G12304" i="1"/>
  <c r="F12304" i="1"/>
  <c r="E12304" i="1"/>
  <c r="D12304" i="1"/>
  <c r="C12304" i="1"/>
  <c r="B12304" i="1"/>
  <c r="A12304" i="1"/>
  <c r="S12303" i="1"/>
  <c r="O12303" i="1"/>
  <c r="K12303" i="1"/>
  <c r="J12303" i="1"/>
  <c r="I12303" i="1"/>
  <c r="H12303" i="1"/>
  <c r="G12303" i="1"/>
  <c r="F12303" i="1"/>
  <c r="E12303" i="1"/>
  <c r="D12303" i="1"/>
  <c r="C12303" i="1"/>
  <c r="B12303" i="1"/>
  <c r="A12303" i="1"/>
  <c r="R12302" i="1"/>
  <c r="J12302" i="1"/>
  <c r="I12302" i="1"/>
  <c r="G12302" i="1"/>
  <c r="F12302" i="1"/>
  <c r="E12302" i="1"/>
  <c r="D12302" i="1"/>
  <c r="C12302" i="1"/>
  <c r="B12302" i="1"/>
  <c r="A12302" i="1"/>
  <c r="S12301" i="1"/>
  <c r="O12301" i="1"/>
  <c r="K12301" i="1"/>
  <c r="J12301" i="1"/>
  <c r="I12301" i="1"/>
  <c r="H12301" i="1"/>
  <c r="G12301" i="1"/>
  <c r="F12301" i="1"/>
  <c r="E12301" i="1"/>
  <c r="D12301" i="1"/>
  <c r="C12301" i="1"/>
  <c r="B12301" i="1"/>
  <c r="A12301" i="1"/>
  <c r="R12300" i="1"/>
  <c r="J12300" i="1"/>
  <c r="I12300" i="1"/>
  <c r="G12300" i="1"/>
  <c r="F12300" i="1"/>
  <c r="E12300" i="1"/>
  <c r="D12300" i="1"/>
  <c r="C12300" i="1"/>
  <c r="B12300" i="1"/>
  <c r="A12300" i="1"/>
  <c r="S12299" i="1"/>
  <c r="O12299" i="1"/>
  <c r="K12299" i="1"/>
  <c r="J12299" i="1"/>
  <c r="I12299" i="1"/>
  <c r="H12299" i="1"/>
  <c r="G12299" i="1"/>
  <c r="F12299" i="1"/>
  <c r="E12299" i="1"/>
  <c r="D12299" i="1"/>
  <c r="C12299" i="1"/>
  <c r="B12299" i="1"/>
  <c r="A12299" i="1"/>
  <c r="R12298" i="1"/>
  <c r="J12298" i="1"/>
  <c r="I12298" i="1"/>
  <c r="G12298" i="1"/>
  <c r="F12298" i="1"/>
  <c r="E12298" i="1"/>
  <c r="D12298" i="1"/>
  <c r="C12298" i="1"/>
  <c r="B12298" i="1"/>
  <c r="A12298" i="1"/>
  <c r="S12297" i="1"/>
  <c r="O12297" i="1"/>
  <c r="K12297" i="1"/>
  <c r="J12297" i="1"/>
  <c r="I12297" i="1"/>
  <c r="H12297" i="1"/>
  <c r="G12297" i="1"/>
  <c r="F12297" i="1"/>
  <c r="E12297" i="1"/>
  <c r="D12297" i="1"/>
  <c r="C12297" i="1"/>
  <c r="B12297" i="1"/>
  <c r="A12297" i="1"/>
  <c r="R12296" i="1"/>
  <c r="J12296" i="1"/>
  <c r="I12296" i="1"/>
  <c r="G12296" i="1"/>
  <c r="F12296" i="1"/>
  <c r="E12296" i="1"/>
  <c r="D12296" i="1"/>
  <c r="C12296" i="1"/>
  <c r="B12296" i="1"/>
  <c r="A12296" i="1"/>
  <c r="S12295" i="1"/>
  <c r="O12295" i="1"/>
  <c r="K12295" i="1"/>
  <c r="J12295" i="1"/>
  <c r="I12295" i="1"/>
  <c r="H12295" i="1"/>
  <c r="G12295" i="1"/>
  <c r="F12295" i="1"/>
  <c r="E12295" i="1"/>
  <c r="D12295" i="1"/>
  <c r="C12295" i="1"/>
  <c r="B12295" i="1"/>
  <c r="A12295" i="1"/>
  <c r="R12294" i="1"/>
  <c r="J12294" i="1"/>
  <c r="I12294" i="1"/>
  <c r="G12294" i="1"/>
  <c r="F12294" i="1"/>
  <c r="E12294" i="1"/>
  <c r="D12294" i="1"/>
  <c r="C12294" i="1"/>
  <c r="B12294" i="1"/>
  <c r="A12294" i="1"/>
  <c r="S12293" i="1"/>
  <c r="O12293" i="1"/>
  <c r="K12293" i="1"/>
  <c r="J12293" i="1"/>
  <c r="I12293" i="1"/>
  <c r="H12293" i="1"/>
  <c r="G12293" i="1"/>
  <c r="F12293" i="1"/>
  <c r="E12293" i="1"/>
  <c r="D12293" i="1"/>
  <c r="C12293" i="1"/>
  <c r="B12293" i="1"/>
  <c r="A12293" i="1"/>
  <c r="R12292" i="1"/>
  <c r="J12292" i="1"/>
  <c r="I12292" i="1"/>
  <c r="G12292" i="1"/>
  <c r="F12292" i="1"/>
  <c r="E12292" i="1"/>
  <c r="D12292" i="1"/>
  <c r="C12292" i="1"/>
  <c r="B12292" i="1"/>
  <c r="A12292" i="1"/>
  <c r="R12291" i="1"/>
  <c r="J12291" i="1"/>
  <c r="I12291" i="1"/>
  <c r="G12291" i="1"/>
  <c r="F12291" i="1"/>
  <c r="E12291" i="1"/>
  <c r="D12291" i="1"/>
  <c r="C12291" i="1"/>
  <c r="B12291" i="1"/>
  <c r="A12291" i="1"/>
  <c r="R12290" i="1"/>
  <c r="J12290" i="1"/>
  <c r="I12290" i="1"/>
  <c r="G12290" i="1"/>
  <c r="F12290" i="1"/>
  <c r="E12290" i="1"/>
  <c r="D12290" i="1"/>
  <c r="C12290" i="1"/>
  <c r="B12290" i="1"/>
  <c r="A12290" i="1"/>
  <c r="R12289" i="1"/>
  <c r="J12289" i="1"/>
  <c r="I12289" i="1"/>
  <c r="G12289" i="1"/>
  <c r="F12289" i="1"/>
  <c r="E12289" i="1"/>
  <c r="D12289" i="1"/>
  <c r="C12289" i="1"/>
  <c r="B12289" i="1"/>
  <c r="A12289" i="1"/>
  <c r="R12288" i="1"/>
  <c r="J12288" i="1"/>
  <c r="I12288" i="1"/>
  <c r="G12288" i="1"/>
  <c r="F12288" i="1"/>
  <c r="E12288" i="1"/>
  <c r="D12288" i="1"/>
  <c r="C12288" i="1"/>
  <c r="B12288" i="1"/>
  <c r="A12288" i="1"/>
  <c r="S12287" i="1"/>
  <c r="O12287" i="1"/>
  <c r="K12287" i="1"/>
  <c r="J12287" i="1"/>
  <c r="I12287" i="1"/>
  <c r="H12287" i="1"/>
  <c r="G12287" i="1"/>
  <c r="F12287" i="1"/>
  <c r="E12287" i="1"/>
  <c r="D12287" i="1"/>
  <c r="C12287" i="1"/>
  <c r="B12287" i="1"/>
  <c r="A12287" i="1"/>
  <c r="R12286" i="1"/>
  <c r="J12286" i="1"/>
  <c r="I12286" i="1"/>
  <c r="G12286" i="1"/>
  <c r="F12286" i="1"/>
  <c r="E12286" i="1"/>
  <c r="D12286" i="1"/>
  <c r="C12286" i="1"/>
  <c r="B12286" i="1"/>
  <c r="A12286" i="1"/>
  <c r="R12285" i="1"/>
  <c r="J12285" i="1"/>
  <c r="I12285" i="1"/>
  <c r="G12285" i="1"/>
  <c r="F12285" i="1"/>
  <c r="E12285" i="1"/>
  <c r="D12285" i="1"/>
  <c r="C12285" i="1"/>
  <c r="B12285" i="1"/>
  <c r="A12285" i="1"/>
  <c r="R12284" i="1"/>
  <c r="J12284" i="1"/>
  <c r="I12284" i="1"/>
  <c r="G12284" i="1"/>
  <c r="F12284" i="1"/>
  <c r="E12284" i="1"/>
  <c r="D12284" i="1"/>
  <c r="C12284" i="1"/>
  <c r="B12284" i="1"/>
  <c r="A12284" i="1"/>
  <c r="R12283" i="1"/>
  <c r="J12283" i="1"/>
  <c r="I12283" i="1"/>
  <c r="G12283" i="1"/>
  <c r="F12283" i="1"/>
  <c r="E12283" i="1"/>
  <c r="D12283" i="1"/>
  <c r="C12283" i="1"/>
  <c r="B12283" i="1"/>
  <c r="A12283" i="1"/>
  <c r="R12282" i="1"/>
  <c r="J12282" i="1"/>
  <c r="I12282" i="1"/>
  <c r="G12282" i="1"/>
  <c r="F12282" i="1"/>
  <c r="E12282" i="1"/>
  <c r="D12282" i="1"/>
  <c r="C12282" i="1"/>
  <c r="B12282" i="1"/>
  <c r="A12282" i="1"/>
  <c r="S12281" i="1"/>
  <c r="O12281" i="1"/>
  <c r="K12281" i="1"/>
  <c r="J12281" i="1"/>
  <c r="I12281" i="1"/>
  <c r="H12281" i="1"/>
  <c r="G12281" i="1"/>
  <c r="F12281" i="1"/>
  <c r="E12281" i="1"/>
  <c r="D12281" i="1"/>
  <c r="C12281" i="1"/>
  <c r="B12281" i="1"/>
  <c r="A12281" i="1"/>
  <c r="R12280" i="1"/>
  <c r="J12280" i="1"/>
  <c r="I12280" i="1"/>
  <c r="G12280" i="1"/>
  <c r="F12280" i="1"/>
  <c r="E12280" i="1"/>
  <c r="D12280" i="1"/>
  <c r="C12280" i="1"/>
  <c r="B12280" i="1"/>
  <c r="A12280" i="1"/>
  <c r="R12279" i="1"/>
  <c r="J12279" i="1"/>
  <c r="I12279" i="1"/>
  <c r="G12279" i="1"/>
  <c r="F12279" i="1"/>
  <c r="E12279" i="1"/>
  <c r="D12279" i="1"/>
  <c r="C12279" i="1"/>
  <c r="B12279" i="1"/>
  <c r="A12279" i="1"/>
  <c r="R12278" i="1"/>
  <c r="J12278" i="1"/>
  <c r="I12278" i="1"/>
  <c r="G12278" i="1"/>
  <c r="F12278" i="1"/>
  <c r="E12278" i="1"/>
  <c r="D12278" i="1"/>
  <c r="C12278" i="1"/>
  <c r="B12278" i="1"/>
  <c r="A12278" i="1"/>
  <c r="R12277" i="1"/>
  <c r="J12277" i="1"/>
  <c r="I12277" i="1"/>
  <c r="G12277" i="1"/>
  <c r="F12277" i="1"/>
  <c r="E12277" i="1"/>
  <c r="D12277" i="1"/>
  <c r="C12277" i="1"/>
  <c r="B12277" i="1"/>
  <c r="A12277" i="1"/>
  <c r="S12276" i="1"/>
  <c r="O12276" i="1"/>
  <c r="K12276" i="1"/>
  <c r="J12276" i="1"/>
  <c r="I12276" i="1"/>
  <c r="H12276" i="1"/>
  <c r="G12276" i="1"/>
  <c r="F12276" i="1"/>
  <c r="E12276" i="1"/>
  <c r="D12276" i="1"/>
  <c r="C12276" i="1"/>
  <c r="B12276" i="1"/>
  <c r="A12276" i="1"/>
  <c r="R12275" i="1"/>
  <c r="J12275" i="1"/>
  <c r="I12275" i="1"/>
  <c r="G12275" i="1"/>
  <c r="F12275" i="1"/>
  <c r="E12275" i="1"/>
  <c r="D12275" i="1"/>
  <c r="C12275" i="1"/>
  <c r="B12275" i="1"/>
  <c r="A12275" i="1"/>
  <c r="R12274" i="1"/>
  <c r="J12274" i="1"/>
  <c r="I12274" i="1"/>
  <c r="G12274" i="1"/>
  <c r="F12274" i="1"/>
  <c r="E12274" i="1"/>
  <c r="D12274" i="1"/>
  <c r="C12274" i="1"/>
  <c r="B12274" i="1"/>
  <c r="A12274" i="1"/>
  <c r="R12273" i="1"/>
  <c r="J12273" i="1"/>
  <c r="I12273" i="1"/>
  <c r="G12273" i="1"/>
  <c r="F12273" i="1"/>
  <c r="E12273" i="1"/>
  <c r="D12273" i="1"/>
  <c r="C12273" i="1"/>
  <c r="B12273" i="1"/>
  <c r="A12273" i="1"/>
  <c r="R12272" i="1"/>
  <c r="J12272" i="1"/>
  <c r="I12272" i="1"/>
  <c r="G12272" i="1"/>
  <c r="F12272" i="1"/>
  <c r="E12272" i="1"/>
  <c r="D12272" i="1"/>
  <c r="C12272" i="1"/>
  <c r="B12272" i="1"/>
  <c r="A12272" i="1"/>
  <c r="R12271" i="1"/>
  <c r="J12271" i="1"/>
  <c r="I12271" i="1"/>
  <c r="G12271" i="1"/>
  <c r="F12271" i="1"/>
  <c r="E12271" i="1"/>
  <c r="D12271" i="1"/>
  <c r="C12271" i="1"/>
  <c r="B12271" i="1"/>
  <c r="A12271" i="1"/>
  <c r="S12270" i="1"/>
  <c r="O12270" i="1"/>
  <c r="K12270" i="1"/>
  <c r="J12270" i="1"/>
  <c r="I12270" i="1"/>
  <c r="H12270" i="1"/>
  <c r="G12270" i="1"/>
  <c r="F12270" i="1"/>
  <c r="E12270" i="1"/>
  <c r="D12270" i="1"/>
  <c r="C12270" i="1"/>
  <c r="B12270" i="1"/>
  <c r="A12270" i="1"/>
  <c r="R12269" i="1"/>
  <c r="J12269" i="1"/>
  <c r="I12269" i="1"/>
  <c r="G12269" i="1"/>
  <c r="F12269" i="1"/>
  <c r="E12269" i="1"/>
  <c r="D12269" i="1"/>
  <c r="C12269" i="1"/>
  <c r="B12269" i="1"/>
  <c r="A12269" i="1"/>
  <c r="S12268" i="1"/>
  <c r="O12268" i="1"/>
  <c r="K12268" i="1"/>
  <c r="J12268" i="1"/>
  <c r="I12268" i="1"/>
  <c r="H12268" i="1"/>
  <c r="G12268" i="1"/>
  <c r="F12268" i="1"/>
  <c r="E12268" i="1"/>
  <c r="D12268" i="1"/>
  <c r="C12268" i="1"/>
  <c r="B12268" i="1"/>
  <c r="A12268" i="1"/>
  <c r="R12267" i="1"/>
  <c r="J12267" i="1"/>
  <c r="I12267" i="1"/>
  <c r="G12267" i="1"/>
  <c r="F12267" i="1"/>
  <c r="E12267" i="1"/>
  <c r="D12267" i="1"/>
  <c r="C12267" i="1"/>
  <c r="B12267" i="1"/>
  <c r="A12267" i="1"/>
  <c r="S12266" i="1"/>
  <c r="O12266" i="1"/>
  <c r="K12266" i="1"/>
  <c r="J12266" i="1"/>
  <c r="I12266" i="1"/>
  <c r="H12266" i="1"/>
  <c r="G12266" i="1"/>
  <c r="F12266" i="1"/>
  <c r="E12266" i="1"/>
  <c r="D12266" i="1"/>
  <c r="C12266" i="1"/>
  <c r="B12266" i="1"/>
  <c r="A12266" i="1"/>
  <c r="R12265" i="1"/>
  <c r="J12265" i="1"/>
  <c r="I12265" i="1"/>
  <c r="G12265" i="1"/>
  <c r="F12265" i="1"/>
  <c r="E12265" i="1"/>
  <c r="D12265" i="1"/>
  <c r="C12265" i="1"/>
  <c r="B12265" i="1"/>
  <c r="A12265" i="1"/>
  <c r="S12264" i="1"/>
  <c r="O12264" i="1"/>
  <c r="K12264" i="1"/>
  <c r="J12264" i="1"/>
  <c r="I12264" i="1"/>
  <c r="H12264" i="1"/>
  <c r="G12264" i="1"/>
  <c r="F12264" i="1"/>
  <c r="E12264" i="1"/>
  <c r="D12264" i="1"/>
  <c r="C12264" i="1"/>
  <c r="B12264" i="1"/>
  <c r="A12264" i="1"/>
  <c r="R12263" i="1"/>
  <c r="J12263" i="1"/>
  <c r="I12263" i="1"/>
  <c r="G12263" i="1"/>
  <c r="F12263" i="1"/>
  <c r="E12263" i="1"/>
  <c r="D12263" i="1"/>
  <c r="C12263" i="1"/>
  <c r="B12263" i="1"/>
  <c r="A12263" i="1"/>
  <c r="S12262" i="1"/>
  <c r="O12262" i="1"/>
  <c r="K12262" i="1"/>
  <c r="J12262" i="1"/>
  <c r="I12262" i="1"/>
  <c r="H12262" i="1"/>
  <c r="G12262" i="1"/>
  <c r="F12262" i="1"/>
  <c r="E12262" i="1"/>
  <c r="D12262" i="1"/>
  <c r="C12262" i="1"/>
  <c r="B12262" i="1"/>
  <c r="A12262" i="1"/>
  <c r="R12261" i="1"/>
  <c r="J12261" i="1"/>
  <c r="I12261" i="1"/>
  <c r="G12261" i="1"/>
  <c r="F12261" i="1"/>
  <c r="E12261" i="1"/>
  <c r="D12261" i="1"/>
  <c r="C12261" i="1"/>
  <c r="B12261" i="1"/>
  <c r="A12261" i="1"/>
  <c r="S12260" i="1"/>
  <c r="O12260" i="1"/>
  <c r="K12260" i="1"/>
  <c r="J12260" i="1"/>
  <c r="I12260" i="1"/>
  <c r="H12260" i="1"/>
  <c r="G12260" i="1"/>
  <c r="F12260" i="1"/>
  <c r="E12260" i="1"/>
  <c r="D12260" i="1"/>
  <c r="C12260" i="1"/>
  <c r="B12260" i="1"/>
  <c r="A12260" i="1"/>
  <c r="R12259" i="1"/>
  <c r="J12259" i="1"/>
  <c r="I12259" i="1"/>
  <c r="G12259" i="1"/>
  <c r="F12259" i="1"/>
  <c r="E12259" i="1"/>
  <c r="D12259" i="1"/>
  <c r="C12259" i="1"/>
  <c r="B12259" i="1"/>
  <c r="A12259" i="1"/>
  <c r="S12258" i="1"/>
  <c r="O12258" i="1"/>
  <c r="K12258" i="1"/>
  <c r="J12258" i="1"/>
  <c r="I12258" i="1"/>
  <c r="H12258" i="1"/>
  <c r="G12258" i="1"/>
  <c r="F12258" i="1"/>
  <c r="E12258" i="1"/>
  <c r="D12258" i="1"/>
  <c r="C12258" i="1"/>
  <c r="B12258" i="1"/>
  <c r="A12258" i="1"/>
  <c r="R12257" i="1"/>
  <c r="J12257" i="1"/>
  <c r="I12257" i="1"/>
  <c r="G12257" i="1"/>
  <c r="F12257" i="1"/>
  <c r="E12257" i="1"/>
  <c r="D12257" i="1"/>
  <c r="C12257" i="1"/>
  <c r="B12257" i="1"/>
  <c r="A12257" i="1"/>
  <c r="S12256" i="1"/>
  <c r="O12256" i="1"/>
  <c r="K12256" i="1"/>
  <c r="J12256" i="1"/>
  <c r="I12256" i="1"/>
  <c r="H12256" i="1"/>
  <c r="G12256" i="1"/>
  <c r="F12256" i="1"/>
  <c r="E12256" i="1"/>
  <c r="D12256" i="1"/>
  <c r="C12256" i="1"/>
  <c r="B12256" i="1"/>
  <c r="A12256" i="1"/>
  <c r="R12255" i="1"/>
  <c r="J12255" i="1"/>
  <c r="I12255" i="1"/>
  <c r="G12255" i="1"/>
  <c r="F12255" i="1"/>
  <c r="E12255" i="1"/>
  <c r="D12255" i="1"/>
  <c r="C12255" i="1"/>
  <c r="B12255" i="1"/>
  <c r="A12255" i="1"/>
  <c r="S12254" i="1"/>
  <c r="O12254" i="1"/>
  <c r="K12254" i="1"/>
  <c r="J12254" i="1"/>
  <c r="I12254" i="1"/>
  <c r="H12254" i="1"/>
  <c r="G12254" i="1"/>
  <c r="F12254" i="1"/>
  <c r="E12254" i="1"/>
  <c r="D12254" i="1"/>
  <c r="C12254" i="1"/>
  <c r="B12254" i="1"/>
  <c r="A12254" i="1"/>
  <c r="R12253" i="1"/>
  <c r="J12253" i="1"/>
  <c r="I12253" i="1"/>
  <c r="G12253" i="1"/>
  <c r="F12253" i="1"/>
  <c r="E12253" i="1"/>
  <c r="D12253" i="1"/>
  <c r="C12253" i="1"/>
  <c r="B12253" i="1"/>
  <c r="A12253" i="1"/>
  <c r="S12252" i="1"/>
  <c r="O12252" i="1"/>
  <c r="K12252" i="1"/>
  <c r="J12252" i="1"/>
  <c r="I12252" i="1"/>
  <c r="H12252" i="1"/>
  <c r="G12252" i="1"/>
  <c r="F12252" i="1"/>
  <c r="E12252" i="1"/>
  <c r="D12252" i="1"/>
  <c r="C12252" i="1"/>
  <c r="B12252" i="1"/>
  <c r="A12252" i="1"/>
  <c r="R12251" i="1"/>
  <c r="J12251" i="1"/>
  <c r="I12251" i="1"/>
  <c r="G12251" i="1"/>
  <c r="F12251" i="1"/>
  <c r="E12251" i="1"/>
  <c r="D12251" i="1"/>
  <c r="C12251" i="1"/>
  <c r="B12251" i="1"/>
  <c r="A12251" i="1"/>
  <c r="S12250" i="1"/>
  <c r="O12250" i="1"/>
  <c r="K12250" i="1"/>
  <c r="J12250" i="1"/>
  <c r="I12250" i="1"/>
  <c r="H12250" i="1"/>
  <c r="G12250" i="1"/>
  <c r="F12250" i="1"/>
  <c r="E12250" i="1"/>
  <c r="D12250" i="1"/>
  <c r="C12250" i="1"/>
  <c r="B12250" i="1"/>
  <c r="A12250" i="1"/>
  <c r="R12249" i="1"/>
  <c r="J12249" i="1"/>
  <c r="I12249" i="1"/>
  <c r="G12249" i="1"/>
  <c r="F12249" i="1"/>
  <c r="E12249" i="1"/>
  <c r="D12249" i="1"/>
  <c r="C12249" i="1"/>
  <c r="B12249" i="1"/>
  <c r="A12249" i="1"/>
  <c r="S12248" i="1"/>
  <c r="O12248" i="1"/>
  <c r="K12248" i="1"/>
  <c r="J12248" i="1"/>
  <c r="I12248" i="1"/>
  <c r="H12248" i="1"/>
  <c r="G12248" i="1"/>
  <c r="F12248" i="1"/>
  <c r="E12248" i="1"/>
  <c r="D12248" i="1"/>
  <c r="C12248" i="1"/>
  <c r="B12248" i="1"/>
  <c r="A12248" i="1"/>
  <c r="R12247" i="1"/>
  <c r="J12247" i="1"/>
  <c r="I12247" i="1"/>
  <c r="G12247" i="1"/>
  <c r="F12247" i="1"/>
  <c r="E12247" i="1"/>
  <c r="D12247" i="1"/>
  <c r="C12247" i="1"/>
  <c r="B12247" i="1"/>
  <c r="A12247" i="1"/>
  <c r="R12246" i="1"/>
  <c r="J12246" i="1"/>
  <c r="I12246" i="1"/>
  <c r="G12246" i="1"/>
  <c r="F12246" i="1"/>
  <c r="E12246" i="1"/>
  <c r="D12246" i="1"/>
  <c r="C12246" i="1"/>
  <c r="B12246" i="1"/>
  <c r="A12246" i="1"/>
  <c r="R12245" i="1"/>
  <c r="J12245" i="1"/>
  <c r="I12245" i="1"/>
  <c r="G12245" i="1"/>
  <c r="F12245" i="1"/>
  <c r="E12245" i="1"/>
  <c r="D12245" i="1"/>
  <c r="C12245" i="1"/>
  <c r="B12245" i="1"/>
  <c r="A12245" i="1"/>
  <c r="S12244" i="1"/>
  <c r="O12244" i="1"/>
  <c r="K12244" i="1"/>
  <c r="J12244" i="1"/>
  <c r="I12244" i="1"/>
  <c r="H12244" i="1"/>
  <c r="G12244" i="1"/>
  <c r="F12244" i="1"/>
  <c r="E12244" i="1"/>
  <c r="D12244" i="1"/>
  <c r="C12244" i="1"/>
  <c r="B12244" i="1"/>
  <c r="A12244" i="1"/>
  <c r="R12243" i="1"/>
  <c r="J12243" i="1"/>
  <c r="I12243" i="1"/>
  <c r="G12243" i="1"/>
  <c r="F12243" i="1"/>
  <c r="E12243" i="1"/>
  <c r="D12243" i="1"/>
  <c r="C12243" i="1"/>
  <c r="B12243" i="1"/>
  <c r="A12243" i="1"/>
  <c r="R12242" i="1"/>
  <c r="J12242" i="1"/>
  <c r="I12242" i="1"/>
  <c r="G12242" i="1"/>
  <c r="F12242" i="1"/>
  <c r="E12242" i="1"/>
  <c r="D12242" i="1"/>
  <c r="C12242" i="1"/>
  <c r="B12242" i="1"/>
  <c r="A12242" i="1"/>
  <c r="R12241" i="1"/>
  <c r="J12241" i="1"/>
  <c r="I12241" i="1"/>
  <c r="G12241" i="1"/>
  <c r="F12241" i="1"/>
  <c r="E12241" i="1"/>
  <c r="D12241" i="1"/>
  <c r="C12241" i="1"/>
  <c r="B12241" i="1"/>
  <c r="A12241" i="1"/>
  <c r="S12240" i="1"/>
  <c r="O12240" i="1"/>
  <c r="K12240" i="1"/>
  <c r="J12240" i="1"/>
  <c r="I12240" i="1"/>
  <c r="H12240" i="1"/>
  <c r="G12240" i="1"/>
  <c r="F12240" i="1"/>
  <c r="E12240" i="1"/>
  <c r="D12240" i="1"/>
  <c r="C12240" i="1"/>
  <c r="B12240" i="1"/>
  <c r="A12240" i="1"/>
  <c r="R12239" i="1"/>
  <c r="J12239" i="1"/>
  <c r="I12239" i="1"/>
  <c r="G12239" i="1"/>
  <c r="F12239" i="1"/>
  <c r="E12239" i="1"/>
  <c r="D12239" i="1"/>
  <c r="C12239" i="1"/>
  <c r="B12239" i="1"/>
  <c r="A12239" i="1"/>
  <c r="R12238" i="1"/>
  <c r="J12238" i="1"/>
  <c r="I12238" i="1"/>
  <c r="G12238" i="1"/>
  <c r="F12238" i="1"/>
  <c r="E12238" i="1"/>
  <c r="D12238" i="1"/>
  <c r="C12238" i="1"/>
  <c r="B12238" i="1"/>
  <c r="A12238" i="1"/>
  <c r="R12237" i="1"/>
  <c r="J12237" i="1"/>
  <c r="I12237" i="1"/>
  <c r="G12237" i="1"/>
  <c r="F12237" i="1"/>
  <c r="E12237" i="1"/>
  <c r="D12237" i="1"/>
  <c r="C12237" i="1"/>
  <c r="B12237" i="1"/>
  <c r="A12237" i="1"/>
  <c r="S12236" i="1"/>
  <c r="O12236" i="1"/>
  <c r="K12236" i="1"/>
  <c r="J12236" i="1"/>
  <c r="I12236" i="1"/>
  <c r="H12236" i="1"/>
  <c r="G12236" i="1"/>
  <c r="F12236" i="1"/>
  <c r="E12236" i="1"/>
  <c r="D12236" i="1"/>
  <c r="C12236" i="1"/>
  <c r="B12236" i="1"/>
  <c r="A12236" i="1"/>
  <c r="R12235" i="1"/>
  <c r="J12235" i="1"/>
  <c r="I12235" i="1"/>
  <c r="G12235" i="1"/>
  <c r="F12235" i="1"/>
  <c r="E12235" i="1"/>
  <c r="D12235" i="1"/>
  <c r="C12235" i="1"/>
  <c r="B12235" i="1"/>
  <c r="A12235" i="1"/>
  <c r="R12234" i="1"/>
  <c r="J12234" i="1"/>
  <c r="I12234" i="1"/>
  <c r="G12234" i="1"/>
  <c r="F12234" i="1"/>
  <c r="E12234" i="1"/>
  <c r="D12234" i="1"/>
  <c r="C12234" i="1"/>
  <c r="B12234" i="1"/>
  <c r="A12234" i="1"/>
  <c r="R12233" i="1"/>
  <c r="J12233" i="1"/>
  <c r="I12233" i="1"/>
  <c r="G12233" i="1"/>
  <c r="F12233" i="1"/>
  <c r="E12233" i="1"/>
  <c r="D12233" i="1"/>
  <c r="C12233" i="1"/>
  <c r="B12233" i="1"/>
  <c r="A12233" i="1"/>
  <c r="R12232" i="1"/>
  <c r="J12232" i="1"/>
  <c r="I12232" i="1"/>
  <c r="G12232" i="1"/>
  <c r="F12232" i="1"/>
  <c r="E12232" i="1"/>
  <c r="D12232" i="1"/>
  <c r="C12232" i="1"/>
  <c r="B12232" i="1"/>
  <c r="A12232" i="1"/>
  <c r="R12231" i="1"/>
  <c r="J12231" i="1"/>
  <c r="I12231" i="1"/>
  <c r="G12231" i="1"/>
  <c r="F12231" i="1"/>
  <c r="E12231" i="1"/>
  <c r="D12231" i="1"/>
  <c r="C12231" i="1"/>
  <c r="B12231" i="1"/>
  <c r="A12231" i="1"/>
  <c r="R12230" i="1"/>
  <c r="J12230" i="1"/>
  <c r="I12230" i="1"/>
  <c r="G12230" i="1"/>
  <c r="F12230" i="1"/>
  <c r="E12230" i="1"/>
  <c r="D12230" i="1"/>
  <c r="C12230" i="1"/>
  <c r="B12230" i="1"/>
  <c r="A12230" i="1"/>
  <c r="S12229" i="1"/>
  <c r="O12229" i="1"/>
  <c r="K12229" i="1"/>
  <c r="J12229" i="1"/>
  <c r="I12229" i="1"/>
  <c r="H12229" i="1"/>
  <c r="G12229" i="1"/>
  <c r="F12229" i="1"/>
  <c r="E12229" i="1"/>
  <c r="D12229" i="1"/>
  <c r="C12229" i="1"/>
  <c r="B12229" i="1"/>
  <c r="A12229" i="1"/>
  <c r="R12228" i="1"/>
  <c r="J12228" i="1"/>
  <c r="I12228" i="1"/>
  <c r="G12228" i="1"/>
  <c r="F12228" i="1"/>
  <c r="E12228" i="1"/>
  <c r="D12228" i="1"/>
  <c r="C12228" i="1"/>
  <c r="B12228" i="1"/>
  <c r="A12228" i="1"/>
  <c r="R12227" i="1"/>
  <c r="J12227" i="1"/>
  <c r="I12227" i="1"/>
  <c r="G12227" i="1"/>
  <c r="F12227" i="1"/>
  <c r="E12227" i="1"/>
  <c r="D12227" i="1"/>
  <c r="C12227" i="1"/>
  <c r="B12227" i="1"/>
  <c r="A12227" i="1"/>
  <c r="R12226" i="1"/>
  <c r="J12226" i="1"/>
  <c r="I12226" i="1"/>
  <c r="G12226" i="1"/>
  <c r="F12226" i="1"/>
  <c r="E12226" i="1"/>
  <c r="D12226" i="1"/>
  <c r="C12226" i="1"/>
  <c r="B12226" i="1"/>
  <c r="A12226" i="1"/>
  <c r="R12225" i="1"/>
  <c r="J12225" i="1"/>
  <c r="I12225" i="1"/>
  <c r="G12225" i="1"/>
  <c r="F12225" i="1"/>
  <c r="E12225" i="1"/>
  <c r="D12225" i="1"/>
  <c r="C12225" i="1"/>
  <c r="B12225" i="1"/>
  <c r="A12225" i="1"/>
  <c r="R12224" i="1"/>
  <c r="J12224" i="1"/>
  <c r="I12224" i="1"/>
  <c r="G12224" i="1"/>
  <c r="F12224" i="1"/>
  <c r="E12224" i="1"/>
  <c r="D12224" i="1"/>
  <c r="C12224" i="1"/>
  <c r="B12224" i="1"/>
  <c r="A12224" i="1"/>
  <c r="R12223" i="1"/>
  <c r="J12223" i="1"/>
  <c r="I12223" i="1"/>
  <c r="G12223" i="1"/>
  <c r="F12223" i="1"/>
  <c r="E12223" i="1"/>
  <c r="D12223" i="1"/>
  <c r="C12223" i="1"/>
  <c r="B12223" i="1"/>
  <c r="A12223" i="1"/>
  <c r="S12222" i="1"/>
  <c r="O12222" i="1"/>
  <c r="K12222" i="1"/>
  <c r="J12222" i="1"/>
  <c r="I12222" i="1"/>
  <c r="H12222" i="1"/>
  <c r="G12222" i="1"/>
  <c r="F12222" i="1"/>
  <c r="E12222" i="1"/>
  <c r="D12222" i="1"/>
  <c r="C12222" i="1"/>
  <c r="B12222" i="1"/>
  <c r="A12222" i="1"/>
  <c r="R12221" i="1"/>
  <c r="J12221" i="1"/>
  <c r="I12221" i="1"/>
  <c r="G12221" i="1"/>
  <c r="F12221" i="1"/>
  <c r="E12221" i="1"/>
  <c r="D12221" i="1"/>
  <c r="C12221" i="1"/>
  <c r="B12221" i="1"/>
  <c r="A12221" i="1"/>
  <c r="R12220" i="1"/>
  <c r="J12220" i="1"/>
  <c r="I12220" i="1"/>
  <c r="G12220" i="1"/>
  <c r="F12220" i="1"/>
  <c r="E12220" i="1"/>
  <c r="D12220" i="1"/>
  <c r="C12220" i="1"/>
  <c r="B12220" i="1"/>
  <c r="A12220" i="1"/>
  <c r="R12219" i="1"/>
  <c r="J12219" i="1"/>
  <c r="I12219" i="1"/>
  <c r="G12219" i="1"/>
  <c r="F12219" i="1"/>
  <c r="E12219" i="1"/>
  <c r="D12219" i="1"/>
  <c r="C12219" i="1"/>
  <c r="B12219" i="1"/>
  <c r="A12219" i="1"/>
  <c r="R12218" i="1"/>
  <c r="J12218" i="1"/>
  <c r="I12218" i="1"/>
  <c r="G12218" i="1"/>
  <c r="F12218" i="1"/>
  <c r="E12218" i="1"/>
  <c r="D12218" i="1"/>
  <c r="C12218" i="1"/>
  <c r="B12218" i="1"/>
  <c r="A12218" i="1"/>
  <c r="R12217" i="1"/>
  <c r="J12217" i="1"/>
  <c r="I12217" i="1"/>
  <c r="G12217" i="1"/>
  <c r="F12217" i="1"/>
  <c r="E12217" i="1"/>
  <c r="D12217" i="1"/>
  <c r="C12217" i="1"/>
  <c r="B12217" i="1"/>
  <c r="A12217" i="1"/>
  <c r="R12216" i="1"/>
  <c r="J12216" i="1"/>
  <c r="I12216" i="1"/>
  <c r="G12216" i="1"/>
  <c r="F12216" i="1"/>
  <c r="E12216" i="1"/>
  <c r="D12216" i="1"/>
  <c r="C12216" i="1"/>
  <c r="B12216" i="1"/>
  <c r="A12216" i="1"/>
  <c r="S12215" i="1"/>
  <c r="O12215" i="1"/>
  <c r="K12215" i="1"/>
  <c r="J12215" i="1"/>
  <c r="I12215" i="1"/>
  <c r="H12215" i="1"/>
  <c r="G12215" i="1"/>
  <c r="F12215" i="1"/>
  <c r="E12215" i="1"/>
  <c r="D12215" i="1"/>
  <c r="C12215" i="1"/>
  <c r="B12215" i="1"/>
  <c r="A12215" i="1"/>
  <c r="R12214" i="1"/>
  <c r="J12214" i="1"/>
  <c r="I12214" i="1"/>
  <c r="G12214" i="1"/>
  <c r="F12214" i="1"/>
  <c r="E12214" i="1"/>
  <c r="D12214" i="1"/>
  <c r="C12214" i="1"/>
  <c r="B12214" i="1"/>
  <c r="A12214" i="1"/>
  <c r="S12213" i="1"/>
  <c r="O12213" i="1"/>
  <c r="K12213" i="1"/>
  <c r="J12213" i="1"/>
  <c r="I12213" i="1"/>
  <c r="H12213" i="1"/>
  <c r="G12213" i="1"/>
  <c r="F12213" i="1"/>
  <c r="E12213" i="1"/>
  <c r="D12213" i="1"/>
  <c r="C12213" i="1"/>
  <c r="B12213" i="1"/>
  <c r="A12213" i="1"/>
  <c r="R12212" i="1"/>
  <c r="J12212" i="1"/>
  <c r="I12212" i="1"/>
  <c r="G12212" i="1"/>
  <c r="F12212" i="1"/>
  <c r="E12212" i="1"/>
  <c r="D12212" i="1"/>
  <c r="C12212" i="1"/>
  <c r="B12212" i="1"/>
  <c r="A12212" i="1"/>
  <c r="S12211" i="1"/>
  <c r="O12211" i="1"/>
  <c r="K12211" i="1"/>
  <c r="J12211" i="1"/>
  <c r="I12211" i="1"/>
  <c r="H12211" i="1"/>
  <c r="G12211" i="1"/>
  <c r="F12211" i="1"/>
  <c r="E12211" i="1"/>
  <c r="D12211" i="1"/>
  <c r="C12211" i="1"/>
  <c r="B12211" i="1"/>
  <c r="A12211" i="1"/>
  <c r="R12210" i="1"/>
  <c r="J12210" i="1"/>
  <c r="I12210" i="1"/>
  <c r="G12210" i="1"/>
  <c r="F12210" i="1"/>
  <c r="E12210" i="1"/>
  <c r="D12210" i="1"/>
  <c r="C12210" i="1"/>
  <c r="B12210" i="1"/>
  <c r="A12210" i="1"/>
  <c r="S12209" i="1"/>
  <c r="O12209" i="1"/>
  <c r="K12209" i="1"/>
  <c r="J12209" i="1"/>
  <c r="I12209" i="1"/>
  <c r="H12209" i="1"/>
  <c r="G12209" i="1"/>
  <c r="F12209" i="1"/>
  <c r="E12209" i="1"/>
  <c r="D12209" i="1"/>
  <c r="C12209" i="1"/>
  <c r="B12209" i="1"/>
  <c r="A12209" i="1"/>
  <c r="R12208" i="1"/>
  <c r="J12208" i="1"/>
  <c r="I12208" i="1"/>
  <c r="G12208" i="1"/>
  <c r="F12208" i="1"/>
  <c r="E12208" i="1"/>
  <c r="D12208" i="1"/>
  <c r="C12208" i="1"/>
  <c r="B12208" i="1"/>
  <c r="A12208" i="1"/>
  <c r="S12207" i="1"/>
  <c r="O12207" i="1"/>
  <c r="K12207" i="1"/>
  <c r="J12207" i="1"/>
  <c r="I12207" i="1"/>
  <c r="H12207" i="1"/>
  <c r="G12207" i="1"/>
  <c r="F12207" i="1"/>
  <c r="E12207" i="1"/>
  <c r="D12207" i="1"/>
  <c r="C12207" i="1"/>
  <c r="B12207" i="1"/>
  <c r="A12207" i="1"/>
  <c r="R12206" i="1"/>
  <c r="J12206" i="1"/>
  <c r="I12206" i="1"/>
  <c r="G12206" i="1"/>
  <c r="F12206" i="1"/>
  <c r="E12206" i="1"/>
  <c r="D12206" i="1"/>
  <c r="C12206" i="1"/>
  <c r="B12206" i="1"/>
  <c r="A12206" i="1"/>
  <c r="R12205" i="1"/>
  <c r="J12205" i="1"/>
  <c r="I12205" i="1"/>
  <c r="G12205" i="1"/>
  <c r="F12205" i="1"/>
  <c r="E12205" i="1"/>
  <c r="D12205" i="1"/>
  <c r="C12205" i="1"/>
  <c r="B12205" i="1"/>
  <c r="A12205" i="1"/>
  <c r="R12204" i="1"/>
  <c r="J12204" i="1"/>
  <c r="I12204" i="1"/>
  <c r="G12204" i="1"/>
  <c r="F12204" i="1"/>
  <c r="E12204" i="1"/>
  <c r="D12204" i="1"/>
  <c r="C12204" i="1"/>
  <c r="B12204" i="1"/>
  <c r="A12204" i="1"/>
  <c r="S12203" i="1"/>
  <c r="O12203" i="1"/>
  <c r="K12203" i="1"/>
  <c r="J12203" i="1"/>
  <c r="I12203" i="1"/>
  <c r="H12203" i="1"/>
  <c r="G12203" i="1"/>
  <c r="F12203" i="1"/>
  <c r="E12203" i="1"/>
  <c r="D12203" i="1"/>
  <c r="C12203" i="1"/>
  <c r="B12203" i="1"/>
  <c r="A12203" i="1"/>
  <c r="R12202" i="1"/>
  <c r="J12202" i="1"/>
  <c r="I12202" i="1"/>
  <c r="G12202" i="1"/>
  <c r="F12202" i="1"/>
  <c r="E12202" i="1"/>
  <c r="D12202" i="1"/>
  <c r="C12202" i="1"/>
  <c r="B12202" i="1"/>
  <c r="A12202" i="1"/>
  <c r="R12201" i="1"/>
  <c r="J12201" i="1"/>
  <c r="I12201" i="1"/>
  <c r="G12201" i="1"/>
  <c r="F12201" i="1"/>
  <c r="E12201" i="1"/>
  <c r="D12201" i="1"/>
  <c r="C12201" i="1"/>
  <c r="B12201" i="1"/>
  <c r="A12201" i="1"/>
  <c r="R12200" i="1"/>
  <c r="J12200" i="1"/>
  <c r="I12200" i="1"/>
  <c r="G12200" i="1"/>
  <c r="F12200" i="1"/>
  <c r="E12200" i="1"/>
  <c r="D12200" i="1"/>
  <c r="C12200" i="1"/>
  <c r="B12200" i="1"/>
  <c r="A12200" i="1"/>
  <c r="S12199" i="1"/>
  <c r="O12199" i="1"/>
  <c r="K12199" i="1"/>
  <c r="J12199" i="1"/>
  <c r="I12199" i="1"/>
  <c r="H12199" i="1"/>
  <c r="G12199" i="1"/>
  <c r="F12199" i="1"/>
  <c r="E12199" i="1"/>
  <c r="D12199" i="1"/>
  <c r="C12199" i="1"/>
  <c r="B12199" i="1"/>
  <c r="A12199" i="1"/>
  <c r="R12198" i="1"/>
  <c r="J12198" i="1"/>
  <c r="I12198" i="1"/>
  <c r="G12198" i="1"/>
  <c r="F12198" i="1"/>
  <c r="E12198" i="1"/>
  <c r="D12198" i="1"/>
  <c r="C12198" i="1"/>
  <c r="B12198" i="1"/>
  <c r="A12198" i="1"/>
  <c r="R12197" i="1"/>
  <c r="J12197" i="1"/>
  <c r="I12197" i="1"/>
  <c r="G12197" i="1"/>
  <c r="F12197" i="1"/>
  <c r="E12197" i="1"/>
  <c r="D12197" i="1"/>
  <c r="C12197" i="1"/>
  <c r="B12197" i="1"/>
  <c r="A12197" i="1"/>
  <c r="R12196" i="1"/>
  <c r="J12196" i="1"/>
  <c r="I12196" i="1"/>
  <c r="G12196" i="1"/>
  <c r="F12196" i="1"/>
  <c r="E12196" i="1"/>
  <c r="D12196" i="1"/>
  <c r="C12196" i="1"/>
  <c r="B12196" i="1"/>
  <c r="A12196" i="1"/>
  <c r="S12195" i="1"/>
  <c r="O12195" i="1"/>
  <c r="K12195" i="1"/>
  <c r="J12195" i="1"/>
  <c r="I12195" i="1"/>
  <c r="H12195" i="1"/>
  <c r="G12195" i="1"/>
  <c r="F12195" i="1"/>
  <c r="E12195" i="1"/>
  <c r="D12195" i="1"/>
  <c r="C12195" i="1"/>
  <c r="B12195" i="1"/>
  <c r="A12195" i="1"/>
  <c r="R12194" i="1"/>
  <c r="J12194" i="1"/>
  <c r="I12194" i="1"/>
  <c r="G12194" i="1"/>
  <c r="F12194" i="1"/>
  <c r="E12194" i="1"/>
  <c r="D12194" i="1"/>
  <c r="C12194" i="1"/>
  <c r="B12194" i="1"/>
  <c r="A12194" i="1"/>
  <c r="R12193" i="1"/>
  <c r="J12193" i="1"/>
  <c r="I12193" i="1"/>
  <c r="G12193" i="1"/>
  <c r="F12193" i="1"/>
  <c r="E12193" i="1"/>
  <c r="D12193" i="1"/>
  <c r="C12193" i="1"/>
  <c r="B12193" i="1"/>
  <c r="A12193" i="1"/>
  <c r="S12192" i="1"/>
  <c r="O12192" i="1"/>
  <c r="K12192" i="1"/>
  <c r="J12192" i="1"/>
  <c r="I12192" i="1"/>
  <c r="H12192" i="1"/>
  <c r="G12192" i="1"/>
  <c r="F12192" i="1"/>
  <c r="E12192" i="1"/>
  <c r="D12192" i="1"/>
  <c r="C12192" i="1"/>
  <c r="B12192" i="1"/>
  <c r="A12192" i="1"/>
  <c r="R12191" i="1"/>
  <c r="J12191" i="1"/>
  <c r="I12191" i="1"/>
  <c r="G12191" i="1"/>
  <c r="F12191" i="1"/>
  <c r="E12191" i="1"/>
  <c r="D12191" i="1"/>
  <c r="C12191" i="1"/>
  <c r="B12191" i="1"/>
  <c r="A12191" i="1"/>
  <c r="R12190" i="1"/>
  <c r="J12190" i="1"/>
  <c r="I12190" i="1"/>
  <c r="G12190" i="1"/>
  <c r="F12190" i="1"/>
  <c r="E12190" i="1"/>
  <c r="D12190" i="1"/>
  <c r="C12190" i="1"/>
  <c r="B12190" i="1"/>
  <c r="A12190" i="1"/>
  <c r="S12189" i="1"/>
  <c r="O12189" i="1"/>
  <c r="K12189" i="1"/>
  <c r="J12189" i="1"/>
  <c r="I12189" i="1"/>
  <c r="H12189" i="1"/>
  <c r="G12189" i="1"/>
  <c r="F12189" i="1"/>
  <c r="E12189" i="1"/>
  <c r="D12189" i="1"/>
  <c r="C12189" i="1"/>
  <c r="B12189" i="1"/>
  <c r="A12189" i="1"/>
  <c r="R12188" i="1"/>
  <c r="J12188" i="1"/>
  <c r="I12188" i="1"/>
  <c r="G12188" i="1"/>
  <c r="F12188" i="1"/>
  <c r="E12188" i="1"/>
  <c r="D12188" i="1"/>
  <c r="C12188" i="1"/>
  <c r="B12188" i="1"/>
  <c r="A12188" i="1"/>
  <c r="S12187" i="1"/>
  <c r="O12187" i="1"/>
  <c r="K12187" i="1"/>
  <c r="J12187" i="1"/>
  <c r="I12187" i="1"/>
  <c r="H12187" i="1"/>
  <c r="G12187" i="1"/>
  <c r="F12187" i="1"/>
  <c r="E12187" i="1"/>
  <c r="D12187" i="1"/>
  <c r="C12187" i="1"/>
  <c r="B12187" i="1"/>
  <c r="A12187" i="1"/>
  <c r="R12186" i="1"/>
  <c r="J12186" i="1"/>
  <c r="I12186" i="1"/>
  <c r="G12186" i="1"/>
  <c r="F12186" i="1"/>
  <c r="E12186" i="1"/>
  <c r="D12186" i="1"/>
  <c r="C12186" i="1"/>
  <c r="B12186" i="1"/>
  <c r="A12186" i="1"/>
  <c r="S12185" i="1"/>
  <c r="O12185" i="1"/>
  <c r="K12185" i="1"/>
  <c r="J12185" i="1"/>
  <c r="I12185" i="1"/>
  <c r="H12185" i="1"/>
  <c r="G12185" i="1"/>
  <c r="F12185" i="1"/>
  <c r="E12185" i="1"/>
  <c r="D12185" i="1"/>
  <c r="C12185" i="1"/>
  <c r="B12185" i="1"/>
  <c r="A12185" i="1"/>
  <c r="R12184" i="1"/>
  <c r="J12184" i="1"/>
  <c r="I12184" i="1"/>
  <c r="G12184" i="1"/>
  <c r="F12184" i="1"/>
  <c r="E12184" i="1"/>
  <c r="D12184" i="1"/>
  <c r="C12184" i="1"/>
  <c r="B12184" i="1"/>
  <c r="A12184" i="1"/>
  <c r="R12183" i="1"/>
  <c r="J12183" i="1"/>
  <c r="I12183" i="1"/>
  <c r="G12183" i="1"/>
  <c r="F12183" i="1"/>
  <c r="E12183" i="1"/>
  <c r="D12183" i="1"/>
  <c r="C12183" i="1"/>
  <c r="B12183" i="1"/>
  <c r="A12183" i="1"/>
  <c r="R12182" i="1"/>
  <c r="J12182" i="1"/>
  <c r="I12182" i="1"/>
  <c r="G12182" i="1"/>
  <c r="F12182" i="1"/>
  <c r="E12182" i="1"/>
  <c r="D12182" i="1"/>
  <c r="C12182" i="1"/>
  <c r="B12182" i="1"/>
  <c r="A12182" i="1"/>
  <c r="R12181" i="1"/>
  <c r="J12181" i="1"/>
  <c r="I12181" i="1"/>
  <c r="G12181" i="1"/>
  <c r="F12181" i="1"/>
  <c r="E12181" i="1"/>
  <c r="D12181" i="1"/>
  <c r="C12181" i="1"/>
  <c r="B12181" i="1"/>
  <c r="A12181" i="1"/>
  <c r="R12180" i="1"/>
  <c r="J12180" i="1"/>
  <c r="I12180" i="1"/>
  <c r="G12180" i="1"/>
  <c r="F12180" i="1"/>
  <c r="E12180" i="1"/>
  <c r="D12180" i="1"/>
  <c r="C12180" i="1"/>
  <c r="B12180" i="1"/>
  <c r="A12180" i="1"/>
  <c r="S12179" i="1"/>
  <c r="O12179" i="1"/>
  <c r="K12179" i="1"/>
  <c r="J12179" i="1"/>
  <c r="I12179" i="1"/>
  <c r="H12179" i="1"/>
  <c r="G12179" i="1"/>
  <c r="F12179" i="1"/>
  <c r="E12179" i="1"/>
  <c r="D12179" i="1"/>
  <c r="C12179" i="1"/>
  <c r="B12179" i="1"/>
  <c r="A12179" i="1"/>
  <c r="R12178" i="1"/>
  <c r="J12178" i="1"/>
  <c r="I12178" i="1"/>
  <c r="G12178" i="1"/>
  <c r="F12178" i="1"/>
  <c r="E12178" i="1"/>
  <c r="D12178" i="1"/>
  <c r="C12178" i="1"/>
  <c r="B12178" i="1"/>
  <c r="A12178" i="1"/>
  <c r="R12177" i="1"/>
  <c r="J12177" i="1"/>
  <c r="I12177" i="1"/>
  <c r="G12177" i="1"/>
  <c r="F12177" i="1"/>
  <c r="E12177" i="1"/>
  <c r="D12177" i="1"/>
  <c r="C12177" i="1"/>
  <c r="B12177" i="1"/>
  <c r="A12177" i="1"/>
  <c r="R12176" i="1"/>
  <c r="J12176" i="1"/>
  <c r="I12176" i="1"/>
  <c r="G12176" i="1"/>
  <c r="F12176" i="1"/>
  <c r="E12176" i="1"/>
  <c r="D12176" i="1"/>
  <c r="C12176" i="1"/>
  <c r="B12176" i="1"/>
  <c r="A12176" i="1"/>
  <c r="R12175" i="1"/>
  <c r="J12175" i="1"/>
  <c r="I12175" i="1"/>
  <c r="G12175" i="1"/>
  <c r="F12175" i="1"/>
  <c r="E12175" i="1"/>
  <c r="D12175" i="1"/>
  <c r="C12175" i="1"/>
  <c r="B12175" i="1"/>
  <c r="A12175" i="1"/>
  <c r="R12174" i="1"/>
  <c r="J12174" i="1"/>
  <c r="I12174" i="1"/>
  <c r="G12174" i="1"/>
  <c r="F12174" i="1"/>
  <c r="E12174" i="1"/>
  <c r="D12174" i="1"/>
  <c r="C12174" i="1"/>
  <c r="B12174" i="1"/>
  <c r="A12174" i="1"/>
  <c r="S12173" i="1"/>
  <c r="O12173" i="1"/>
  <c r="K12173" i="1"/>
  <c r="J12173" i="1"/>
  <c r="I12173" i="1"/>
  <c r="H12173" i="1"/>
  <c r="G12173" i="1"/>
  <c r="F12173" i="1"/>
  <c r="E12173" i="1"/>
  <c r="D12173" i="1"/>
  <c r="C12173" i="1"/>
  <c r="B12173" i="1"/>
  <c r="A12173" i="1"/>
  <c r="R12172" i="1"/>
  <c r="J12172" i="1"/>
  <c r="I12172" i="1"/>
  <c r="G12172" i="1"/>
  <c r="F12172" i="1"/>
  <c r="E12172" i="1"/>
  <c r="D12172" i="1"/>
  <c r="C12172" i="1"/>
  <c r="B12172" i="1"/>
  <c r="A12172" i="1"/>
  <c r="S12171" i="1"/>
  <c r="O12171" i="1"/>
  <c r="K12171" i="1"/>
  <c r="J12171" i="1"/>
  <c r="I12171" i="1"/>
  <c r="H12171" i="1"/>
  <c r="G12171" i="1"/>
  <c r="F12171" i="1"/>
  <c r="E12171" i="1"/>
  <c r="D12171" i="1"/>
  <c r="C12171" i="1"/>
  <c r="B12171" i="1"/>
  <c r="A12171" i="1"/>
  <c r="R12170" i="1"/>
  <c r="J12170" i="1"/>
  <c r="I12170" i="1"/>
  <c r="G12170" i="1"/>
  <c r="F12170" i="1"/>
  <c r="E12170" i="1"/>
  <c r="D12170" i="1"/>
  <c r="C12170" i="1"/>
  <c r="B12170" i="1"/>
  <c r="A12170" i="1"/>
  <c r="S12169" i="1"/>
  <c r="O12169" i="1"/>
  <c r="K12169" i="1"/>
  <c r="J12169" i="1"/>
  <c r="I12169" i="1"/>
  <c r="H12169" i="1"/>
  <c r="G12169" i="1"/>
  <c r="F12169" i="1"/>
  <c r="E12169" i="1"/>
  <c r="D12169" i="1"/>
  <c r="C12169" i="1"/>
  <c r="B12169" i="1"/>
  <c r="A12169" i="1"/>
  <c r="R12168" i="1"/>
  <c r="J12168" i="1"/>
  <c r="I12168" i="1"/>
  <c r="G12168" i="1"/>
  <c r="F12168" i="1"/>
  <c r="E12168" i="1"/>
  <c r="D12168" i="1"/>
  <c r="C12168" i="1"/>
  <c r="B12168" i="1"/>
  <c r="A12168" i="1"/>
  <c r="S12167" i="1"/>
  <c r="O12167" i="1"/>
  <c r="K12167" i="1"/>
  <c r="J12167" i="1"/>
  <c r="I12167" i="1"/>
  <c r="H12167" i="1"/>
  <c r="G12167" i="1"/>
  <c r="F12167" i="1"/>
  <c r="E12167" i="1"/>
  <c r="D12167" i="1"/>
  <c r="C12167" i="1"/>
  <c r="B12167" i="1"/>
  <c r="A12167" i="1"/>
  <c r="R12166" i="1"/>
  <c r="J12166" i="1"/>
  <c r="I12166" i="1"/>
  <c r="G12166" i="1"/>
  <c r="F12166" i="1"/>
  <c r="E12166" i="1"/>
  <c r="D12166" i="1"/>
  <c r="C12166" i="1"/>
  <c r="B12166" i="1"/>
  <c r="A12166" i="1"/>
  <c r="S12165" i="1"/>
  <c r="O12165" i="1"/>
  <c r="K12165" i="1"/>
  <c r="J12165" i="1"/>
  <c r="I12165" i="1"/>
  <c r="H12165" i="1"/>
  <c r="G12165" i="1"/>
  <c r="F12165" i="1"/>
  <c r="E12165" i="1"/>
  <c r="D12165" i="1"/>
  <c r="C12165" i="1"/>
  <c r="B12165" i="1"/>
  <c r="A12165" i="1"/>
  <c r="R12164" i="1"/>
  <c r="J12164" i="1"/>
  <c r="I12164" i="1"/>
  <c r="G12164" i="1"/>
  <c r="F12164" i="1"/>
  <c r="E12164" i="1"/>
  <c r="D12164" i="1"/>
  <c r="C12164" i="1"/>
  <c r="B12164" i="1"/>
  <c r="A12164" i="1"/>
  <c r="S12163" i="1"/>
  <c r="O12163" i="1"/>
  <c r="K12163" i="1"/>
  <c r="J12163" i="1"/>
  <c r="I12163" i="1"/>
  <c r="H12163" i="1"/>
  <c r="G12163" i="1"/>
  <c r="F12163" i="1"/>
  <c r="E12163" i="1"/>
  <c r="D12163" i="1"/>
  <c r="C12163" i="1"/>
  <c r="B12163" i="1"/>
  <c r="A12163" i="1"/>
  <c r="R12162" i="1"/>
  <c r="J12162" i="1"/>
  <c r="I12162" i="1"/>
  <c r="G12162" i="1"/>
  <c r="F12162" i="1"/>
  <c r="E12162" i="1"/>
  <c r="D12162" i="1"/>
  <c r="C12162" i="1"/>
  <c r="B12162" i="1"/>
  <c r="A12162" i="1"/>
  <c r="S12161" i="1"/>
  <c r="O12161" i="1"/>
  <c r="K12161" i="1"/>
  <c r="J12161" i="1"/>
  <c r="I12161" i="1"/>
  <c r="H12161" i="1"/>
  <c r="G12161" i="1"/>
  <c r="F12161" i="1"/>
  <c r="E12161" i="1"/>
  <c r="D12161" i="1"/>
  <c r="C12161" i="1"/>
  <c r="B12161" i="1"/>
  <c r="A12161" i="1"/>
  <c r="R12160" i="1"/>
  <c r="J12160" i="1"/>
  <c r="I12160" i="1"/>
  <c r="G12160" i="1"/>
  <c r="F12160" i="1"/>
  <c r="E12160" i="1"/>
  <c r="D12160" i="1"/>
  <c r="C12160" i="1"/>
  <c r="B12160" i="1"/>
  <c r="A12160" i="1"/>
  <c r="S12159" i="1"/>
  <c r="O12159" i="1"/>
  <c r="K12159" i="1"/>
  <c r="J12159" i="1"/>
  <c r="I12159" i="1"/>
  <c r="H12159" i="1"/>
  <c r="G12159" i="1"/>
  <c r="F12159" i="1"/>
  <c r="E12159" i="1"/>
  <c r="D12159" i="1"/>
  <c r="C12159" i="1"/>
  <c r="B12159" i="1"/>
  <c r="A12159" i="1"/>
  <c r="R12158" i="1"/>
  <c r="J12158" i="1"/>
  <c r="I12158" i="1"/>
  <c r="G12158" i="1"/>
  <c r="F12158" i="1"/>
  <c r="E12158" i="1"/>
  <c r="D12158" i="1"/>
  <c r="C12158" i="1"/>
  <c r="B12158" i="1"/>
  <c r="A12158" i="1"/>
  <c r="S12157" i="1"/>
  <c r="O12157" i="1"/>
  <c r="K12157" i="1"/>
  <c r="J12157" i="1"/>
  <c r="I12157" i="1"/>
  <c r="H12157" i="1"/>
  <c r="G12157" i="1"/>
  <c r="F12157" i="1"/>
  <c r="E12157" i="1"/>
  <c r="D12157" i="1"/>
  <c r="C12157" i="1"/>
  <c r="B12157" i="1"/>
  <c r="A12157" i="1"/>
  <c r="R12156" i="1"/>
  <c r="J12156" i="1"/>
  <c r="I12156" i="1"/>
  <c r="G12156" i="1"/>
  <c r="F12156" i="1"/>
  <c r="E12156" i="1"/>
  <c r="D12156" i="1"/>
  <c r="C12156" i="1"/>
  <c r="B12156" i="1"/>
  <c r="A12156" i="1"/>
  <c r="S12155" i="1"/>
  <c r="O12155" i="1"/>
  <c r="K12155" i="1"/>
  <c r="J12155" i="1"/>
  <c r="I12155" i="1"/>
  <c r="H12155" i="1"/>
  <c r="G12155" i="1"/>
  <c r="F12155" i="1"/>
  <c r="E12155" i="1"/>
  <c r="D12155" i="1"/>
  <c r="C12155" i="1"/>
  <c r="B12155" i="1"/>
  <c r="A12155" i="1"/>
  <c r="R12154" i="1"/>
  <c r="J12154" i="1"/>
  <c r="I12154" i="1"/>
  <c r="G12154" i="1"/>
  <c r="F12154" i="1"/>
  <c r="E12154" i="1"/>
  <c r="D12154" i="1"/>
  <c r="C12154" i="1"/>
  <c r="B12154" i="1"/>
  <c r="A12154" i="1"/>
  <c r="S12153" i="1"/>
  <c r="O12153" i="1"/>
  <c r="K12153" i="1"/>
  <c r="J12153" i="1"/>
  <c r="I12153" i="1"/>
  <c r="H12153" i="1"/>
  <c r="G12153" i="1"/>
  <c r="F12153" i="1"/>
  <c r="E12153" i="1"/>
  <c r="D12153" i="1"/>
  <c r="C12153" i="1"/>
  <c r="B12153" i="1"/>
  <c r="A12153" i="1"/>
  <c r="R12152" i="1"/>
  <c r="J12152" i="1"/>
  <c r="I12152" i="1"/>
  <c r="G12152" i="1"/>
  <c r="F12152" i="1"/>
  <c r="E12152" i="1"/>
  <c r="D12152" i="1"/>
  <c r="C12152" i="1"/>
  <c r="B12152" i="1"/>
  <c r="A12152" i="1"/>
  <c r="S12151" i="1"/>
  <c r="O12151" i="1"/>
  <c r="K12151" i="1"/>
  <c r="J12151" i="1"/>
  <c r="I12151" i="1"/>
  <c r="H12151" i="1"/>
  <c r="G12151" i="1"/>
  <c r="F12151" i="1"/>
  <c r="E12151" i="1"/>
  <c r="D12151" i="1"/>
  <c r="C12151" i="1"/>
  <c r="B12151" i="1"/>
  <c r="A12151" i="1"/>
  <c r="R12150" i="1"/>
  <c r="J12150" i="1"/>
  <c r="I12150" i="1"/>
  <c r="G12150" i="1"/>
  <c r="F12150" i="1"/>
  <c r="E12150" i="1"/>
  <c r="D12150" i="1"/>
  <c r="C12150" i="1"/>
  <c r="B12150" i="1"/>
  <c r="A12150" i="1"/>
  <c r="S12149" i="1"/>
  <c r="O12149" i="1"/>
  <c r="K12149" i="1"/>
  <c r="J12149" i="1"/>
  <c r="I12149" i="1"/>
  <c r="H12149" i="1"/>
  <c r="G12149" i="1"/>
  <c r="F12149" i="1"/>
  <c r="E12149" i="1"/>
  <c r="D12149" i="1"/>
  <c r="C12149" i="1"/>
  <c r="B12149" i="1"/>
  <c r="A12149" i="1"/>
  <c r="R12148" i="1"/>
  <c r="J12148" i="1"/>
  <c r="I12148" i="1"/>
  <c r="G12148" i="1"/>
  <c r="F12148" i="1"/>
  <c r="E12148" i="1"/>
  <c r="D12148" i="1"/>
  <c r="C12148" i="1"/>
  <c r="B12148" i="1"/>
  <c r="A12148" i="1"/>
  <c r="S12147" i="1"/>
  <c r="O12147" i="1"/>
  <c r="K12147" i="1"/>
  <c r="J12147" i="1"/>
  <c r="I12147" i="1"/>
  <c r="H12147" i="1"/>
  <c r="G12147" i="1"/>
  <c r="F12147" i="1"/>
  <c r="E12147" i="1"/>
  <c r="D12147" i="1"/>
  <c r="C12147" i="1"/>
  <c r="B12147" i="1"/>
  <c r="A12147" i="1"/>
  <c r="R12146" i="1"/>
  <c r="J12146" i="1"/>
  <c r="I12146" i="1"/>
  <c r="G12146" i="1"/>
  <c r="F12146" i="1"/>
  <c r="E12146" i="1"/>
  <c r="D12146" i="1"/>
  <c r="C12146" i="1"/>
  <c r="B12146" i="1"/>
  <c r="A12146" i="1"/>
  <c r="R12145" i="1"/>
  <c r="J12145" i="1"/>
  <c r="I12145" i="1"/>
  <c r="G12145" i="1"/>
  <c r="F12145" i="1"/>
  <c r="E12145" i="1"/>
  <c r="D12145" i="1"/>
  <c r="C12145" i="1"/>
  <c r="B12145" i="1"/>
  <c r="A12145" i="1"/>
  <c r="R12144" i="1"/>
  <c r="J12144" i="1"/>
  <c r="I12144" i="1"/>
  <c r="G12144" i="1"/>
  <c r="F12144" i="1"/>
  <c r="E12144" i="1"/>
  <c r="D12144" i="1"/>
  <c r="C12144" i="1"/>
  <c r="B12144" i="1"/>
  <c r="A12144" i="1"/>
  <c r="R12143" i="1"/>
  <c r="J12143" i="1"/>
  <c r="I12143" i="1"/>
  <c r="G12143" i="1"/>
  <c r="F12143" i="1"/>
  <c r="E12143" i="1"/>
  <c r="D12143" i="1"/>
  <c r="C12143" i="1"/>
  <c r="B12143" i="1"/>
  <c r="A12143" i="1"/>
  <c r="S12142" i="1"/>
  <c r="O12142" i="1"/>
  <c r="K12142" i="1"/>
  <c r="J12142" i="1"/>
  <c r="I12142" i="1"/>
  <c r="H12142" i="1"/>
  <c r="G12142" i="1"/>
  <c r="F12142" i="1"/>
  <c r="E12142" i="1"/>
  <c r="D12142" i="1"/>
  <c r="C12142" i="1"/>
  <c r="B12142" i="1"/>
  <c r="A12142" i="1"/>
  <c r="R12141" i="1"/>
  <c r="J12141" i="1"/>
  <c r="I12141" i="1"/>
  <c r="G12141" i="1"/>
  <c r="F12141" i="1"/>
  <c r="E12141" i="1"/>
  <c r="D12141" i="1"/>
  <c r="C12141" i="1"/>
  <c r="B12141" i="1"/>
  <c r="A12141" i="1"/>
  <c r="R12140" i="1"/>
  <c r="J12140" i="1"/>
  <c r="I12140" i="1"/>
  <c r="G12140" i="1"/>
  <c r="F12140" i="1"/>
  <c r="E12140" i="1"/>
  <c r="D12140" i="1"/>
  <c r="C12140" i="1"/>
  <c r="B12140" i="1"/>
  <c r="A12140" i="1"/>
  <c r="R12139" i="1"/>
  <c r="J12139" i="1"/>
  <c r="I12139" i="1"/>
  <c r="G12139" i="1"/>
  <c r="F12139" i="1"/>
  <c r="E12139" i="1"/>
  <c r="D12139" i="1"/>
  <c r="C12139" i="1"/>
  <c r="B12139" i="1"/>
  <c r="A12139" i="1"/>
  <c r="R12138" i="1"/>
  <c r="J12138" i="1"/>
  <c r="I12138" i="1"/>
  <c r="G12138" i="1"/>
  <c r="F12138" i="1"/>
  <c r="E12138" i="1"/>
  <c r="D12138" i="1"/>
  <c r="C12138" i="1"/>
  <c r="B12138" i="1"/>
  <c r="A12138" i="1"/>
  <c r="S12137" i="1"/>
  <c r="O12137" i="1"/>
  <c r="K12137" i="1"/>
  <c r="J12137" i="1"/>
  <c r="I12137" i="1"/>
  <c r="H12137" i="1"/>
  <c r="G12137" i="1"/>
  <c r="F12137" i="1"/>
  <c r="E12137" i="1"/>
  <c r="D12137" i="1"/>
  <c r="C12137" i="1"/>
  <c r="B12137" i="1"/>
  <c r="A12137" i="1"/>
  <c r="R12136" i="1"/>
  <c r="J12136" i="1"/>
  <c r="I12136" i="1"/>
  <c r="G12136" i="1"/>
  <c r="F12136" i="1"/>
  <c r="E12136" i="1"/>
  <c r="D12136" i="1"/>
  <c r="C12136" i="1"/>
  <c r="B12136" i="1"/>
  <c r="A12136" i="1"/>
  <c r="S12135" i="1"/>
  <c r="O12135" i="1"/>
  <c r="K12135" i="1"/>
  <c r="J12135" i="1"/>
  <c r="I12135" i="1"/>
  <c r="H12135" i="1"/>
  <c r="G12135" i="1"/>
  <c r="F12135" i="1"/>
  <c r="E12135" i="1"/>
  <c r="D12135" i="1"/>
  <c r="C12135" i="1"/>
  <c r="B12135" i="1"/>
  <c r="A12135" i="1"/>
  <c r="R12134" i="1"/>
  <c r="J12134" i="1"/>
  <c r="I12134" i="1"/>
  <c r="G12134" i="1"/>
  <c r="F12134" i="1"/>
  <c r="E12134" i="1"/>
  <c r="D12134" i="1"/>
  <c r="C12134" i="1"/>
  <c r="B12134" i="1"/>
  <c r="A12134" i="1"/>
  <c r="S12133" i="1"/>
  <c r="O12133" i="1"/>
  <c r="K12133" i="1"/>
  <c r="J12133" i="1"/>
  <c r="I12133" i="1"/>
  <c r="H12133" i="1"/>
  <c r="G12133" i="1"/>
  <c r="F12133" i="1"/>
  <c r="E12133" i="1"/>
  <c r="D12133" i="1"/>
  <c r="C12133" i="1"/>
  <c r="B12133" i="1"/>
  <c r="A12133" i="1"/>
  <c r="R12132" i="1"/>
  <c r="J12132" i="1"/>
  <c r="I12132" i="1"/>
  <c r="G12132" i="1"/>
  <c r="F12132" i="1"/>
  <c r="E12132" i="1"/>
  <c r="D12132" i="1"/>
  <c r="C12132" i="1"/>
  <c r="B12132" i="1"/>
  <c r="A12132" i="1"/>
  <c r="S12131" i="1"/>
  <c r="O12131" i="1"/>
  <c r="K12131" i="1"/>
  <c r="J12131" i="1"/>
  <c r="I12131" i="1"/>
  <c r="H12131" i="1"/>
  <c r="G12131" i="1"/>
  <c r="F12131" i="1"/>
  <c r="E12131" i="1"/>
  <c r="D12131" i="1"/>
  <c r="C12131" i="1"/>
  <c r="B12131" i="1"/>
  <c r="A12131" i="1"/>
  <c r="R12130" i="1"/>
  <c r="J12130" i="1"/>
  <c r="I12130" i="1"/>
  <c r="G12130" i="1"/>
  <c r="F12130" i="1"/>
  <c r="E12130" i="1"/>
  <c r="D12130" i="1"/>
  <c r="C12130" i="1"/>
  <c r="B12130" i="1"/>
  <c r="A12130" i="1"/>
  <c r="R12129" i="1"/>
  <c r="J12129" i="1"/>
  <c r="I12129" i="1"/>
  <c r="G12129" i="1"/>
  <c r="F12129" i="1"/>
  <c r="E12129" i="1"/>
  <c r="D12129" i="1"/>
  <c r="C12129" i="1"/>
  <c r="B12129" i="1"/>
  <c r="A12129" i="1"/>
  <c r="S12128" i="1"/>
  <c r="O12128" i="1"/>
  <c r="K12128" i="1"/>
  <c r="J12128" i="1"/>
  <c r="I12128" i="1"/>
  <c r="H12128" i="1"/>
  <c r="G12128" i="1"/>
  <c r="F12128" i="1"/>
  <c r="E12128" i="1"/>
  <c r="D12128" i="1"/>
  <c r="C12128" i="1"/>
  <c r="B12128" i="1"/>
  <c r="A12128" i="1"/>
  <c r="R12127" i="1"/>
  <c r="J12127" i="1"/>
  <c r="I12127" i="1"/>
  <c r="G12127" i="1"/>
  <c r="F12127" i="1"/>
  <c r="E12127" i="1"/>
  <c r="D12127" i="1"/>
  <c r="C12127" i="1"/>
  <c r="B12127" i="1"/>
  <c r="A12127" i="1"/>
  <c r="R12126" i="1"/>
  <c r="J12126" i="1"/>
  <c r="I12126" i="1"/>
  <c r="G12126" i="1"/>
  <c r="F12126" i="1"/>
  <c r="E12126" i="1"/>
  <c r="D12126" i="1"/>
  <c r="C12126" i="1"/>
  <c r="B12126" i="1"/>
  <c r="A12126" i="1"/>
  <c r="R12125" i="1"/>
  <c r="J12125" i="1"/>
  <c r="I12125" i="1"/>
  <c r="G12125" i="1"/>
  <c r="F12125" i="1"/>
  <c r="E12125" i="1"/>
  <c r="D12125" i="1"/>
  <c r="C12125" i="1"/>
  <c r="B12125" i="1"/>
  <c r="A12125" i="1"/>
  <c r="S12124" i="1"/>
  <c r="O12124" i="1"/>
  <c r="K12124" i="1"/>
  <c r="J12124" i="1"/>
  <c r="I12124" i="1"/>
  <c r="H12124" i="1"/>
  <c r="G12124" i="1"/>
  <c r="F12124" i="1"/>
  <c r="E12124" i="1"/>
  <c r="D12124" i="1"/>
  <c r="C12124" i="1"/>
  <c r="B12124" i="1"/>
  <c r="A12124" i="1"/>
  <c r="R12123" i="1"/>
  <c r="J12123" i="1"/>
  <c r="I12123" i="1"/>
  <c r="G12123" i="1"/>
  <c r="F12123" i="1"/>
  <c r="E12123" i="1"/>
  <c r="D12123" i="1"/>
  <c r="C12123" i="1"/>
  <c r="B12123" i="1"/>
  <c r="A12123" i="1"/>
  <c r="S12122" i="1"/>
  <c r="O12122" i="1"/>
  <c r="K12122" i="1"/>
  <c r="J12122" i="1"/>
  <c r="I12122" i="1"/>
  <c r="H12122" i="1"/>
  <c r="G12122" i="1"/>
  <c r="F12122" i="1"/>
  <c r="E12122" i="1"/>
  <c r="D12122" i="1"/>
  <c r="C12122" i="1"/>
  <c r="B12122" i="1"/>
  <c r="A12122" i="1"/>
  <c r="R12121" i="1"/>
  <c r="J12121" i="1"/>
  <c r="I12121" i="1"/>
  <c r="G12121" i="1"/>
  <c r="F12121" i="1"/>
  <c r="E12121" i="1"/>
  <c r="D12121" i="1"/>
  <c r="C12121" i="1"/>
  <c r="B12121" i="1"/>
  <c r="A12121" i="1"/>
  <c r="S12120" i="1"/>
  <c r="O12120" i="1"/>
  <c r="K12120" i="1"/>
  <c r="J12120" i="1"/>
  <c r="I12120" i="1"/>
  <c r="H12120" i="1"/>
  <c r="G12120" i="1"/>
  <c r="F12120" i="1"/>
  <c r="E12120" i="1"/>
  <c r="D12120" i="1"/>
  <c r="C12120" i="1"/>
  <c r="B12120" i="1"/>
  <c r="A12120" i="1"/>
  <c r="R12119" i="1"/>
  <c r="J12119" i="1"/>
  <c r="I12119" i="1"/>
  <c r="G12119" i="1"/>
  <c r="F12119" i="1"/>
  <c r="E12119" i="1"/>
  <c r="D12119" i="1"/>
  <c r="C12119" i="1"/>
  <c r="B12119" i="1"/>
  <c r="A12119" i="1"/>
  <c r="R12118" i="1"/>
  <c r="J12118" i="1"/>
  <c r="I12118" i="1"/>
  <c r="G12118" i="1"/>
  <c r="F12118" i="1"/>
  <c r="E12118" i="1"/>
  <c r="D12118" i="1"/>
  <c r="C12118" i="1"/>
  <c r="B12118" i="1"/>
  <c r="A12118" i="1"/>
  <c r="S12117" i="1"/>
  <c r="O12117" i="1"/>
  <c r="K12117" i="1"/>
  <c r="J12117" i="1"/>
  <c r="I12117" i="1"/>
  <c r="H12117" i="1"/>
  <c r="G12117" i="1"/>
  <c r="F12117" i="1"/>
  <c r="E12117" i="1"/>
  <c r="D12117" i="1"/>
  <c r="C12117" i="1"/>
  <c r="B12117" i="1"/>
  <c r="A12117" i="1"/>
  <c r="R12116" i="1"/>
  <c r="J12116" i="1"/>
  <c r="I12116" i="1"/>
  <c r="G12116" i="1"/>
  <c r="F12116" i="1"/>
  <c r="E12116" i="1"/>
  <c r="D12116" i="1"/>
  <c r="C12116" i="1"/>
  <c r="B12116" i="1"/>
  <c r="A12116" i="1"/>
  <c r="R12115" i="1"/>
  <c r="J12115" i="1"/>
  <c r="I12115" i="1"/>
  <c r="G12115" i="1"/>
  <c r="F12115" i="1"/>
  <c r="E12115" i="1"/>
  <c r="D12115" i="1"/>
  <c r="C12115" i="1"/>
  <c r="B12115" i="1"/>
  <c r="A12115" i="1"/>
  <c r="S12114" i="1"/>
  <c r="O12114" i="1"/>
  <c r="K12114" i="1"/>
  <c r="J12114" i="1"/>
  <c r="I12114" i="1"/>
  <c r="H12114" i="1"/>
  <c r="G12114" i="1"/>
  <c r="F12114" i="1"/>
  <c r="E12114" i="1"/>
  <c r="D12114" i="1"/>
  <c r="C12114" i="1"/>
  <c r="B12114" i="1"/>
  <c r="A12114" i="1"/>
  <c r="R12113" i="1"/>
  <c r="J12113" i="1"/>
  <c r="I12113" i="1"/>
  <c r="G12113" i="1"/>
  <c r="F12113" i="1"/>
  <c r="E12113" i="1"/>
  <c r="D12113" i="1"/>
  <c r="C12113" i="1"/>
  <c r="B12113" i="1"/>
  <c r="A12113" i="1"/>
  <c r="R12112" i="1"/>
  <c r="J12112" i="1"/>
  <c r="I12112" i="1"/>
  <c r="G12112" i="1"/>
  <c r="F12112" i="1"/>
  <c r="E12112" i="1"/>
  <c r="D12112" i="1"/>
  <c r="C12112" i="1"/>
  <c r="B12112" i="1"/>
  <c r="A12112" i="1"/>
  <c r="S12111" i="1"/>
  <c r="O12111" i="1"/>
  <c r="K12111" i="1"/>
  <c r="J12111" i="1"/>
  <c r="I12111" i="1"/>
  <c r="H12111" i="1"/>
  <c r="G12111" i="1"/>
  <c r="F12111" i="1"/>
  <c r="E12111" i="1"/>
  <c r="D12111" i="1"/>
  <c r="C12111" i="1"/>
  <c r="B12111" i="1"/>
  <c r="A12111" i="1"/>
  <c r="R12110" i="1"/>
  <c r="J12110" i="1"/>
  <c r="I12110" i="1"/>
  <c r="G12110" i="1"/>
  <c r="F12110" i="1"/>
  <c r="E12110" i="1"/>
  <c r="D12110" i="1"/>
  <c r="C12110" i="1"/>
  <c r="B12110" i="1"/>
  <c r="A12110" i="1"/>
  <c r="R12109" i="1"/>
  <c r="J12109" i="1"/>
  <c r="I12109" i="1"/>
  <c r="G12109" i="1"/>
  <c r="F12109" i="1"/>
  <c r="E12109" i="1"/>
  <c r="D12109" i="1"/>
  <c r="C12109" i="1"/>
  <c r="B12109" i="1"/>
  <c r="A12109" i="1"/>
  <c r="S12108" i="1"/>
  <c r="O12108" i="1"/>
  <c r="K12108" i="1"/>
  <c r="J12108" i="1"/>
  <c r="I12108" i="1"/>
  <c r="H12108" i="1"/>
  <c r="G12108" i="1"/>
  <c r="F12108" i="1"/>
  <c r="E12108" i="1"/>
  <c r="D12108" i="1"/>
  <c r="C12108" i="1"/>
  <c r="B12108" i="1"/>
  <c r="A12108" i="1"/>
  <c r="R12107" i="1"/>
  <c r="J12107" i="1"/>
  <c r="I12107" i="1"/>
  <c r="G12107" i="1"/>
  <c r="F12107" i="1"/>
  <c r="E12107" i="1"/>
  <c r="D12107" i="1"/>
  <c r="C12107" i="1"/>
  <c r="B12107" i="1"/>
  <c r="A12107" i="1"/>
  <c r="R12106" i="1"/>
  <c r="J12106" i="1"/>
  <c r="I12106" i="1"/>
  <c r="G12106" i="1"/>
  <c r="F12106" i="1"/>
  <c r="E12106" i="1"/>
  <c r="D12106" i="1"/>
  <c r="C12106" i="1"/>
  <c r="B12106" i="1"/>
  <c r="A12106" i="1"/>
  <c r="S12105" i="1"/>
  <c r="O12105" i="1"/>
  <c r="K12105" i="1"/>
  <c r="J12105" i="1"/>
  <c r="I12105" i="1"/>
  <c r="H12105" i="1"/>
  <c r="G12105" i="1"/>
  <c r="F12105" i="1"/>
  <c r="E12105" i="1"/>
  <c r="D12105" i="1"/>
  <c r="C12105" i="1"/>
  <c r="B12105" i="1"/>
  <c r="A12105" i="1"/>
  <c r="R12104" i="1"/>
  <c r="J12104" i="1"/>
  <c r="I12104" i="1"/>
  <c r="G12104" i="1"/>
  <c r="F12104" i="1"/>
  <c r="E12104" i="1"/>
  <c r="D12104" i="1"/>
  <c r="C12104" i="1"/>
  <c r="B12104" i="1"/>
  <c r="A12104" i="1"/>
  <c r="R12103" i="1"/>
  <c r="J12103" i="1"/>
  <c r="I12103" i="1"/>
  <c r="G12103" i="1"/>
  <c r="F12103" i="1"/>
  <c r="E12103" i="1"/>
  <c r="D12103" i="1"/>
  <c r="C12103" i="1"/>
  <c r="B12103" i="1"/>
  <c r="A12103" i="1"/>
  <c r="S12102" i="1"/>
  <c r="O12102" i="1"/>
  <c r="K12102" i="1"/>
  <c r="J12102" i="1"/>
  <c r="I12102" i="1"/>
  <c r="H12102" i="1"/>
  <c r="G12102" i="1"/>
  <c r="F12102" i="1"/>
  <c r="E12102" i="1"/>
  <c r="D12102" i="1"/>
  <c r="C12102" i="1"/>
  <c r="B12102" i="1"/>
  <c r="A12102" i="1"/>
  <c r="R12101" i="1"/>
  <c r="J12101" i="1"/>
  <c r="I12101" i="1"/>
  <c r="G12101" i="1"/>
  <c r="F12101" i="1"/>
  <c r="E12101" i="1"/>
  <c r="D12101" i="1"/>
  <c r="C12101" i="1"/>
  <c r="B12101" i="1"/>
  <c r="A12101" i="1"/>
  <c r="S12100" i="1"/>
  <c r="O12100" i="1"/>
  <c r="K12100" i="1"/>
  <c r="J12100" i="1"/>
  <c r="I12100" i="1"/>
  <c r="H12100" i="1"/>
  <c r="G12100" i="1"/>
  <c r="F12100" i="1"/>
  <c r="E12100" i="1"/>
  <c r="D12100" i="1"/>
  <c r="C12100" i="1"/>
  <c r="B12100" i="1"/>
  <c r="A12100" i="1"/>
  <c r="R12099" i="1"/>
  <c r="J12099" i="1"/>
  <c r="I12099" i="1"/>
  <c r="G12099" i="1"/>
  <c r="F12099" i="1"/>
  <c r="E12099" i="1"/>
  <c r="D12099" i="1"/>
  <c r="C12099" i="1"/>
  <c r="B12099" i="1"/>
  <c r="A12099" i="1"/>
  <c r="R12098" i="1"/>
  <c r="J12098" i="1"/>
  <c r="I12098" i="1"/>
  <c r="G12098" i="1"/>
  <c r="F12098" i="1"/>
  <c r="E12098" i="1"/>
  <c r="D12098" i="1"/>
  <c r="C12098" i="1"/>
  <c r="B12098" i="1"/>
  <c r="A12098" i="1"/>
  <c r="S12097" i="1"/>
  <c r="O12097" i="1"/>
  <c r="K12097" i="1"/>
  <c r="J12097" i="1"/>
  <c r="I12097" i="1"/>
  <c r="H12097" i="1"/>
  <c r="G12097" i="1"/>
  <c r="F12097" i="1"/>
  <c r="E12097" i="1"/>
  <c r="D12097" i="1"/>
  <c r="C12097" i="1"/>
  <c r="B12097" i="1"/>
  <c r="A12097" i="1"/>
  <c r="R12096" i="1"/>
  <c r="J12096" i="1"/>
  <c r="I12096" i="1"/>
  <c r="G12096" i="1"/>
  <c r="F12096" i="1"/>
  <c r="E12096" i="1"/>
  <c r="D12096" i="1"/>
  <c r="C12096" i="1"/>
  <c r="B12096" i="1"/>
  <c r="A12096" i="1"/>
  <c r="S12095" i="1"/>
  <c r="O12095" i="1"/>
  <c r="K12095" i="1"/>
  <c r="J12095" i="1"/>
  <c r="I12095" i="1"/>
  <c r="H12095" i="1"/>
  <c r="G12095" i="1"/>
  <c r="F12095" i="1"/>
  <c r="E12095" i="1"/>
  <c r="D12095" i="1"/>
  <c r="C12095" i="1"/>
  <c r="B12095" i="1"/>
  <c r="A12095" i="1"/>
  <c r="R12094" i="1"/>
  <c r="J12094" i="1"/>
  <c r="I12094" i="1"/>
  <c r="G12094" i="1"/>
  <c r="F12094" i="1"/>
  <c r="E12094" i="1"/>
  <c r="D12094" i="1"/>
  <c r="C12094" i="1"/>
  <c r="B12094" i="1"/>
  <c r="A12094" i="1"/>
  <c r="S12093" i="1"/>
  <c r="O12093" i="1"/>
  <c r="K12093" i="1"/>
  <c r="J12093" i="1"/>
  <c r="I12093" i="1"/>
  <c r="H12093" i="1"/>
  <c r="G12093" i="1"/>
  <c r="F12093" i="1"/>
  <c r="E12093" i="1"/>
  <c r="D12093" i="1"/>
  <c r="C12093" i="1"/>
  <c r="B12093" i="1"/>
  <c r="A12093" i="1"/>
  <c r="R12092" i="1"/>
  <c r="J12092" i="1"/>
  <c r="I12092" i="1"/>
  <c r="G12092" i="1"/>
  <c r="F12092" i="1"/>
  <c r="E12092" i="1"/>
  <c r="D12092" i="1"/>
  <c r="C12092" i="1"/>
  <c r="B12092" i="1"/>
  <c r="A12092" i="1"/>
  <c r="S12091" i="1"/>
  <c r="O12091" i="1"/>
  <c r="K12091" i="1"/>
  <c r="J12091" i="1"/>
  <c r="I12091" i="1"/>
  <c r="H12091" i="1"/>
  <c r="G12091" i="1"/>
  <c r="F12091" i="1"/>
  <c r="E12091" i="1"/>
  <c r="D12091" i="1"/>
  <c r="C12091" i="1"/>
  <c r="B12091" i="1"/>
  <c r="A12091" i="1"/>
  <c r="R12090" i="1"/>
  <c r="J12090" i="1"/>
  <c r="I12090" i="1"/>
  <c r="G12090" i="1"/>
  <c r="F12090" i="1"/>
  <c r="E12090" i="1"/>
  <c r="D12090" i="1"/>
  <c r="C12090" i="1"/>
  <c r="B12090" i="1"/>
  <c r="A12090" i="1"/>
  <c r="S12089" i="1"/>
  <c r="O12089" i="1"/>
  <c r="K12089" i="1"/>
  <c r="J12089" i="1"/>
  <c r="I12089" i="1"/>
  <c r="H12089" i="1"/>
  <c r="G12089" i="1"/>
  <c r="F12089" i="1"/>
  <c r="E12089" i="1"/>
  <c r="D12089" i="1"/>
  <c r="C12089" i="1"/>
  <c r="B12089" i="1"/>
  <c r="A12089" i="1"/>
  <c r="R12088" i="1"/>
  <c r="J12088" i="1"/>
  <c r="I12088" i="1"/>
  <c r="G12088" i="1"/>
  <c r="F12088" i="1"/>
  <c r="E12088" i="1"/>
  <c r="D12088" i="1"/>
  <c r="C12088" i="1"/>
  <c r="B12088" i="1"/>
  <c r="A12088" i="1"/>
  <c r="S12087" i="1"/>
  <c r="O12087" i="1"/>
  <c r="K12087" i="1"/>
  <c r="J12087" i="1"/>
  <c r="I12087" i="1"/>
  <c r="H12087" i="1"/>
  <c r="G12087" i="1"/>
  <c r="F12087" i="1"/>
  <c r="E12087" i="1"/>
  <c r="D12087" i="1"/>
  <c r="C12087" i="1"/>
  <c r="B12087" i="1"/>
  <c r="A12087" i="1"/>
  <c r="R12086" i="1"/>
  <c r="J12086" i="1"/>
  <c r="I12086" i="1"/>
  <c r="G12086" i="1"/>
  <c r="F12086" i="1"/>
  <c r="E12086" i="1"/>
  <c r="D12086" i="1"/>
  <c r="C12086" i="1"/>
  <c r="B12086" i="1"/>
  <c r="A12086" i="1"/>
  <c r="S12085" i="1"/>
  <c r="O12085" i="1"/>
  <c r="K12085" i="1"/>
  <c r="J12085" i="1"/>
  <c r="I12085" i="1"/>
  <c r="H12085" i="1"/>
  <c r="G12085" i="1"/>
  <c r="F12085" i="1"/>
  <c r="E12085" i="1"/>
  <c r="D12085" i="1"/>
  <c r="C12085" i="1"/>
  <c r="B12085" i="1"/>
  <c r="A12085" i="1"/>
  <c r="R12084" i="1"/>
  <c r="J12084" i="1"/>
  <c r="I12084" i="1"/>
  <c r="G12084" i="1"/>
  <c r="F12084" i="1"/>
  <c r="E12084" i="1"/>
  <c r="D12084" i="1"/>
  <c r="C12084" i="1"/>
  <c r="B12084" i="1"/>
  <c r="A12084" i="1"/>
  <c r="S12083" i="1"/>
  <c r="O12083" i="1"/>
  <c r="K12083" i="1"/>
  <c r="J12083" i="1"/>
  <c r="I12083" i="1"/>
  <c r="H12083" i="1"/>
  <c r="G12083" i="1"/>
  <c r="F12083" i="1"/>
  <c r="E12083" i="1"/>
  <c r="D12083" i="1"/>
  <c r="C12083" i="1"/>
  <c r="B12083" i="1"/>
  <c r="A12083" i="1"/>
  <c r="R12082" i="1"/>
  <c r="J12082" i="1"/>
  <c r="I12082" i="1"/>
  <c r="G12082" i="1"/>
  <c r="F12082" i="1"/>
  <c r="E12082" i="1"/>
  <c r="D12082" i="1"/>
  <c r="C12082" i="1"/>
  <c r="B12082" i="1"/>
  <c r="A12082" i="1"/>
  <c r="S12081" i="1"/>
  <c r="O12081" i="1"/>
  <c r="K12081" i="1"/>
  <c r="J12081" i="1"/>
  <c r="I12081" i="1"/>
  <c r="H12081" i="1"/>
  <c r="G12081" i="1"/>
  <c r="F12081" i="1"/>
  <c r="E12081" i="1"/>
  <c r="D12081" i="1"/>
  <c r="C12081" i="1"/>
  <c r="B12081" i="1"/>
  <c r="A12081" i="1"/>
  <c r="R12080" i="1"/>
  <c r="J12080" i="1"/>
  <c r="I12080" i="1"/>
  <c r="G12080" i="1"/>
  <c r="F12080" i="1"/>
  <c r="E12080" i="1"/>
  <c r="D12080" i="1"/>
  <c r="C12080" i="1"/>
  <c r="B12080" i="1"/>
  <c r="A12080" i="1"/>
  <c r="S12079" i="1"/>
  <c r="O12079" i="1"/>
  <c r="K12079" i="1"/>
  <c r="J12079" i="1"/>
  <c r="I12079" i="1"/>
  <c r="H12079" i="1"/>
  <c r="G12079" i="1"/>
  <c r="F12079" i="1"/>
  <c r="E12079" i="1"/>
  <c r="D12079" i="1"/>
  <c r="C12079" i="1"/>
  <c r="B12079" i="1"/>
  <c r="A12079" i="1"/>
  <c r="R12078" i="1"/>
  <c r="J12078" i="1"/>
  <c r="I12078" i="1"/>
  <c r="G12078" i="1"/>
  <c r="F12078" i="1"/>
  <c r="E12078" i="1"/>
  <c r="D12078" i="1"/>
  <c r="C12078" i="1"/>
  <c r="B12078" i="1"/>
  <c r="A12078" i="1"/>
  <c r="S12077" i="1"/>
  <c r="O12077" i="1"/>
  <c r="K12077" i="1"/>
  <c r="J12077" i="1"/>
  <c r="I12077" i="1"/>
  <c r="H12077" i="1"/>
  <c r="G12077" i="1"/>
  <c r="F12077" i="1"/>
  <c r="E12077" i="1"/>
  <c r="D12077" i="1"/>
  <c r="C12077" i="1"/>
  <c r="B12077" i="1"/>
  <c r="A12077" i="1"/>
  <c r="R12076" i="1"/>
  <c r="J12076" i="1"/>
  <c r="I12076" i="1"/>
  <c r="G12076" i="1"/>
  <c r="F12076" i="1"/>
  <c r="E12076" i="1"/>
  <c r="D12076" i="1"/>
  <c r="C12076" i="1"/>
  <c r="B12076" i="1"/>
  <c r="A12076" i="1"/>
  <c r="S12075" i="1"/>
  <c r="O12075" i="1"/>
  <c r="K12075" i="1"/>
  <c r="J12075" i="1"/>
  <c r="I12075" i="1"/>
  <c r="H12075" i="1"/>
  <c r="G12075" i="1"/>
  <c r="F12075" i="1"/>
  <c r="E12075" i="1"/>
  <c r="D12075" i="1"/>
  <c r="C12075" i="1"/>
  <c r="B12075" i="1"/>
  <c r="A12075" i="1"/>
  <c r="R12074" i="1"/>
  <c r="J12074" i="1"/>
  <c r="I12074" i="1"/>
  <c r="G12074" i="1"/>
  <c r="F12074" i="1"/>
  <c r="E12074" i="1"/>
  <c r="D12074" i="1"/>
  <c r="C12074" i="1"/>
  <c r="B12074" i="1"/>
  <c r="A12074" i="1"/>
  <c r="S12073" i="1"/>
  <c r="O12073" i="1"/>
  <c r="K12073" i="1"/>
  <c r="J12073" i="1"/>
  <c r="I12073" i="1"/>
  <c r="H12073" i="1"/>
  <c r="G12073" i="1"/>
  <c r="F12073" i="1"/>
  <c r="E12073" i="1"/>
  <c r="D12073" i="1"/>
  <c r="C12073" i="1"/>
  <c r="B12073" i="1"/>
  <c r="A12073" i="1"/>
  <c r="R12072" i="1"/>
  <c r="J12072" i="1"/>
  <c r="I12072" i="1"/>
  <c r="G12072" i="1"/>
  <c r="F12072" i="1"/>
  <c r="E12072" i="1"/>
  <c r="D12072" i="1"/>
  <c r="C12072" i="1"/>
  <c r="B12072" i="1"/>
  <c r="A12072" i="1"/>
  <c r="R12071" i="1"/>
  <c r="J12071" i="1"/>
  <c r="I12071" i="1"/>
  <c r="G12071" i="1"/>
  <c r="F12071" i="1"/>
  <c r="E12071" i="1"/>
  <c r="D12071" i="1"/>
  <c r="C12071" i="1"/>
  <c r="B12071" i="1"/>
  <c r="A12071" i="1"/>
  <c r="S12070" i="1"/>
  <c r="O12070" i="1"/>
  <c r="K12070" i="1"/>
  <c r="J12070" i="1"/>
  <c r="I12070" i="1"/>
  <c r="H12070" i="1"/>
  <c r="G12070" i="1"/>
  <c r="F12070" i="1"/>
  <c r="E12070" i="1"/>
  <c r="D12070" i="1"/>
  <c r="C12070" i="1"/>
  <c r="B12070" i="1"/>
  <c r="A12070" i="1"/>
  <c r="R12069" i="1"/>
  <c r="J12069" i="1"/>
  <c r="I12069" i="1"/>
  <c r="G12069" i="1"/>
  <c r="F12069" i="1"/>
  <c r="E12069" i="1"/>
  <c r="D12069" i="1"/>
  <c r="C12069" i="1"/>
  <c r="B12069" i="1"/>
  <c r="A12069" i="1"/>
  <c r="R12068" i="1"/>
  <c r="J12068" i="1"/>
  <c r="I12068" i="1"/>
  <c r="G12068" i="1"/>
  <c r="F12068" i="1"/>
  <c r="E12068" i="1"/>
  <c r="D12068" i="1"/>
  <c r="C12068" i="1"/>
  <c r="B12068" i="1"/>
  <c r="A12068" i="1"/>
  <c r="S12067" i="1"/>
  <c r="O12067" i="1"/>
  <c r="K12067" i="1"/>
  <c r="J12067" i="1"/>
  <c r="I12067" i="1"/>
  <c r="H12067" i="1"/>
  <c r="G12067" i="1"/>
  <c r="F12067" i="1"/>
  <c r="E12067" i="1"/>
  <c r="D12067" i="1"/>
  <c r="C12067" i="1"/>
  <c r="B12067" i="1"/>
  <c r="A12067" i="1"/>
  <c r="R12066" i="1"/>
  <c r="J12066" i="1"/>
  <c r="I12066" i="1"/>
  <c r="G12066" i="1"/>
  <c r="F12066" i="1"/>
  <c r="E12066" i="1"/>
  <c r="D12066" i="1"/>
  <c r="C12066" i="1"/>
  <c r="B12066" i="1"/>
  <c r="A12066" i="1"/>
  <c r="S12065" i="1"/>
  <c r="O12065" i="1"/>
  <c r="K12065" i="1"/>
  <c r="J12065" i="1"/>
  <c r="I12065" i="1"/>
  <c r="H12065" i="1"/>
  <c r="G12065" i="1"/>
  <c r="F12065" i="1"/>
  <c r="E12065" i="1"/>
  <c r="D12065" i="1"/>
  <c r="C12065" i="1"/>
  <c r="B12065" i="1"/>
  <c r="A12065" i="1"/>
  <c r="R12064" i="1"/>
  <c r="J12064" i="1"/>
  <c r="I12064" i="1"/>
  <c r="G12064" i="1"/>
  <c r="F12064" i="1"/>
  <c r="E12064" i="1"/>
  <c r="D12064" i="1"/>
  <c r="C12064" i="1"/>
  <c r="B12064" i="1"/>
  <c r="A12064" i="1"/>
  <c r="S12063" i="1"/>
  <c r="O12063" i="1"/>
  <c r="K12063" i="1"/>
  <c r="J12063" i="1"/>
  <c r="I12063" i="1"/>
  <c r="H12063" i="1"/>
  <c r="G12063" i="1"/>
  <c r="F12063" i="1"/>
  <c r="E12063" i="1"/>
  <c r="D12063" i="1"/>
  <c r="C12063" i="1"/>
  <c r="B12063" i="1"/>
  <c r="A12063" i="1"/>
  <c r="R12062" i="1"/>
  <c r="J12062" i="1"/>
  <c r="I12062" i="1"/>
  <c r="G12062" i="1"/>
  <c r="F12062" i="1"/>
  <c r="E12062" i="1"/>
  <c r="D12062" i="1"/>
  <c r="C12062" i="1"/>
  <c r="B12062" i="1"/>
  <c r="A12062" i="1"/>
  <c r="S12061" i="1"/>
  <c r="O12061" i="1"/>
  <c r="K12061" i="1"/>
  <c r="J12061" i="1"/>
  <c r="I12061" i="1"/>
  <c r="H12061" i="1"/>
  <c r="G12061" i="1"/>
  <c r="F12061" i="1"/>
  <c r="E12061" i="1"/>
  <c r="D12061" i="1"/>
  <c r="C12061" i="1"/>
  <c r="B12061" i="1"/>
  <c r="A12061" i="1"/>
  <c r="R12060" i="1"/>
  <c r="J12060" i="1"/>
  <c r="I12060" i="1"/>
  <c r="G12060" i="1"/>
  <c r="F12060" i="1"/>
  <c r="E12060" i="1"/>
  <c r="D12060" i="1"/>
  <c r="C12060" i="1"/>
  <c r="B12060" i="1"/>
  <c r="A12060" i="1"/>
  <c r="S12059" i="1"/>
  <c r="O12059" i="1"/>
  <c r="K12059" i="1"/>
  <c r="J12059" i="1"/>
  <c r="I12059" i="1"/>
  <c r="H12059" i="1"/>
  <c r="G12059" i="1"/>
  <c r="F12059" i="1"/>
  <c r="E12059" i="1"/>
  <c r="D12059" i="1"/>
  <c r="C12059" i="1"/>
  <c r="B12059" i="1"/>
  <c r="A12059" i="1"/>
  <c r="R12058" i="1"/>
  <c r="J12058" i="1"/>
  <c r="I12058" i="1"/>
  <c r="G12058" i="1"/>
  <c r="F12058" i="1"/>
  <c r="E12058" i="1"/>
  <c r="D12058" i="1"/>
  <c r="C12058" i="1"/>
  <c r="B12058" i="1"/>
  <c r="A12058" i="1"/>
  <c r="S12057" i="1"/>
  <c r="O12057" i="1"/>
  <c r="K12057" i="1"/>
  <c r="J12057" i="1"/>
  <c r="I12057" i="1"/>
  <c r="H12057" i="1"/>
  <c r="G12057" i="1"/>
  <c r="F12057" i="1"/>
  <c r="E12057" i="1"/>
  <c r="D12057" i="1"/>
  <c r="C12057" i="1"/>
  <c r="B12057" i="1"/>
  <c r="A12057" i="1"/>
  <c r="R12056" i="1"/>
  <c r="J12056" i="1"/>
  <c r="I12056" i="1"/>
  <c r="G12056" i="1"/>
  <c r="F12056" i="1"/>
  <c r="E12056" i="1"/>
  <c r="D12056" i="1"/>
  <c r="C12056" i="1"/>
  <c r="B12056" i="1"/>
  <c r="A12056" i="1"/>
  <c r="S12055" i="1"/>
  <c r="O12055" i="1"/>
  <c r="K12055" i="1"/>
  <c r="J12055" i="1"/>
  <c r="I12055" i="1"/>
  <c r="H12055" i="1"/>
  <c r="G12055" i="1"/>
  <c r="F12055" i="1"/>
  <c r="E12055" i="1"/>
  <c r="D12055" i="1"/>
  <c r="C12055" i="1"/>
  <c r="B12055" i="1"/>
  <c r="A12055" i="1"/>
  <c r="R12054" i="1"/>
  <c r="J12054" i="1"/>
  <c r="I12054" i="1"/>
  <c r="G12054" i="1"/>
  <c r="F12054" i="1"/>
  <c r="E12054" i="1"/>
  <c r="D12054" i="1"/>
  <c r="C12054" i="1"/>
  <c r="B12054" i="1"/>
  <c r="A12054" i="1"/>
  <c r="R12053" i="1"/>
  <c r="J12053" i="1"/>
  <c r="I12053" i="1"/>
  <c r="G12053" i="1"/>
  <c r="F12053" i="1"/>
  <c r="E12053" i="1"/>
  <c r="D12053" i="1"/>
  <c r="C12053" i="1"/>
  <c r="B12053" i="1"/>
  <c r="A12053" i="1"/>
  <c r="S12052" i="1"/>
  <c r="O12052" i="1"/>
  <c r="K12052" i="1"/>
  <c r="J12052" i="1"/>
  <c r="I12052" i="1"/>
  <c r="H12052" i="1"/>
  <c r="G12052" i="1"/>
  <c r="F12052" i="1"/>
  <c r="E12052" i="1"/>
  <c r="D12052" i="1"/>
  <c r="C12052" i="1"/>
  <c r="B12052" i="1"/>
  <c r="A12052" i="1"/>
  <c r="R12051" i="1"/>
  <c r="J12051" i="1"/>
  <c r="I12051" i="1"/>
  <c r="G12051" i="1"/>
  <c r="F12051" i="1"/>
  <c r="E12051" i="1"/>
  <c r="D12051" i="1"/>
  <c r="C12051" i="1"/>
  <c r="B12051" i="1"/>
  <c r="A12051" i="1"/>
  <c r="R12050" i="1"/>
  <c r="J12050" i="1"/>
  <c r="I12050" i="1"/>
  <c r="G12050" i="1"/>
  <c r="F12050" i="1"/>
  <c r="E12050" i="1"/>
  <c r="D12050" i="1"/>
  <c r="C12050" i="1"/>
  <c r="B12050" i="1"/>
  <c r="A12050" i="1"/>
  <c r="S12049" i="1"/>
  <c r="O12049" i="1"/>
  <c r="K12049" i="1"/>
  <c r="J12049" i="1"/>
  <c r="I12049" i="1"/>
  <c r="H12049" i="1"/>
  <c r="G12049" i="1"/>
  <c r="F12049" i="1"/>
  <c r="E12049" i="1"/>
  <c r="D12049" i="1"/>
  <c r="C12049" i="1"/>
  <c r="B12049" i="1"/>
  <c r="A12049" i="1"/>
  <c r="R12048" i="1"/>
  <c r="J12048" i="1"/>
  <c r="I12048" i="1"/>
  <c r="G12048" i="1"/>
  <c r="F12048" i="1"/>
  <c r="E12048" i="1"/>
  <c r="D12048" i="1"/>
  <c r="C12048" i="1"/>
  <c r="B12048" i="1"/>
  <c r="A12048" i="1"/>
  <c r="S12047" i="1"/>
  <c r="O12047" i="1"/>
  <c r="K12047" i="1"/>
  <c r="J12047" i="1"/>
  <c r="I12047" i="1"/>
  <c r="H12047" i="1"/>
  <c r="G12047" i="1"/>
  <c r="F12047" i="1"/>
  <c r="E12047" i="1"/>
  <c r="D12047" i="1"/>
  <c r="C12047" i="1"/>
  <c r="B12047" i="1"/>
  <c r="A12047" i="1"/>
  <c r="R12046" i="1"/>
  <c r="J12046" i="1"/>
  <c r="I12046" i="1"/>
  <c r="G12046" i="1"/>
  <c r="F12046" i="1"/>
  <c r="E12046" i="1"/>
  <c r="D12046" i="1"/>
  <c r="C12046" i="1"/>
  <c r="B12046" i="1"/>
  <c r="A12046" i="1"/>
  <c r="R12045" i="1"/>
  <c r="J12045" i="1"/>
  <c r="I12045" i="1"/>
  <c r="G12045" i="1"/>
  <c r="F12045" i="1"/>
  <c r="E12045" i="1"/>
  <c r="D12045" i="1"/>
  <c r="C12045" i="1"/>
  <c r="B12045" i="1"/>
  <c r="A12045" i="1"/>
  <c r="S12044" i="1"/>
  <c r="O12044" i="1"/>
  <c r="K12044" i="1"/>
  <c r="J12044" i="1"/>
  <c r="I12044" i="1"/>
  <c r="H12044" i="1"/>
  <c r="G12044" i="1"/>
  <c r="F12044" i="1"/>
  <c r="E12044" i="1"/>
  <c r="D12044" i="1"/>
  <c r="C12044" i="1"/>
  <c r="B12044" i="1"/>
  <c r="A12044" i="1"/>
  <c r="R12043" i="1"/>
  <c r="J12043" i="1"/>
  <c r="I12043" i="1"/>
  <c r="G12043" i="1"/>
  <c r="F12043" i="1"/>
  <c r="E12043" i="1"/>
  <c r="D12043" i="1"/>
  <c r="C12043" i="1"/>
  <c r="B12043" i="1"/>
  <c r="A12043" i="1"/>
  <c r="S12042" i="1"/>
  <c r="O12042" i="1"/>
  <c r="K12042" i="1"/>
  <c r="J12042" i="1"/>
  <c r="I12042" i="1"/>
  <c r="H12042" i="1"/>
  <c r="G12042" i="1"/>
  <c r="F12042" i="1"/>
  <c r="E12042" i="1"/>
  <c r="D12042" i="1"/>
  <c r="C12042" i="1"/>
  <c r="B12042" i="1"/>
  <c r="A12042" i="1"/>
  <c r="R12041" i="1"/>
  <c r="J12041" i="1"/>
  <c r="I12041" i="1"/>
  <c r="G12041" i="1"/>
  <c r="F12041" i="1"/>
  <c r="E12041" i="1"/>
  <c r="D12041" i="1"/>
  <c r="C12041" i="1"/>
  <c r="B12041" i="1"/>
  <c r="A12041" i="1"/>
  <c r="S12040" i="1"/>
  <c r="O12040" i="1"/>
  <c r="K12040" i="1"/>
  <c r="J12040" i="1"/>
  <c r="I12040" i="1"/>
  <c r="H12040" i="1"/>
  <c r="G12040" i="1"/>
  <c r="F12040" i="1"/>
  <c r="E12040" i="1"/>
  <c r="D12040" i="1"/>
  <c r="C12040" i="1"/>
  <c r="B12040" i="1"/>
  <c r="A12040" i="1"/>
  <c r="R12039" i="1"/>
  <c r="J12039" i="1"/>
  <c r="I12039" i="1"/>
  <c r="G12039" i="1"/>
  <c r="F12039" i="1"/>
  <c r="E12039" i="1"/>
  <c r="D12039" i="1"/>
  <c r="C12039" i="1"/>
  <c r="B12039" i="1"/>
  <c r="A12039" i="1"/>
  <c r="R12038" i="1"/>
  <c r="J12038" i="1"/>
  <c r="I12038" i="1"/>
  <c r="G12038" i="1"/>
  <c r="F12038" i="1"/>
  <c r="E12038" i="1"/>
  <c r="D12038" i="1"/>
  <c r="C12038" i="1"/>
  <c r="B12038" i="1"/>
  <c r="A12038" i="1"/>
  <c r="S12037" i="1"/>
  <c r="O12037" i="1"/>
  <c r="K12037" i="1"/>
  <c r="J12037" i="1"/>
  <c r="I12037" i="1"/>
  <c r="H12037" i="1"/>
  <c r="G12037" i="1"/>
  <c r="F12037" i="1"/>
  <c r="E12037" i="1"/>
  <c r="D12037" i="1"/>
  <c r="C12037" i="1"/>
  <c r="B12037" i="1"/>
  <c r="A12037" i="1"/>
  <c r="R12036" i="1"/>
  <c r="J12036" i="1"/>
  <c r="I12036" i="1"/>
  <c r="G12036" i="1"/>
  <c r="F12036" i="1"/>
  <c r="E12036" i="1"/>
  <c r="D12036" i="1"/>
  <c r="C12036" i="1"/>
  <c r="B12036" i="1"/>
  <c r="A12036" i="1"/>
  <c r="S12035" i="1"/>
  <c r="O12035" i="1"/>
  <c r="K12035" i="1"/>
  <c r="J12035" i="1"/>
  <c r="I12035" i="1"/>
  <c r="H12035" i="1"/>
  <c r="G12035" i="1"/>
  <c r="F12035" i="1"/>
  <c r="E12035" i="1"/>
  <c r="D12035" i="1"/>
  <c r="C12035" i="1"/>
  <c r="B12035" i="1"/>
  <c r="A12035" i="1"/>
  <c r="R12034" i="1"/>
  <c r="J12034" i="1"/>
  <c r="I12034" i="1"/>
  <c r="G12034" i="1"/>
  <c r="F12034" i="1"/>
  <c r="E12034" i="1"/>
  <c r="D12034" i="1"/>
  <c r="C12034" i="1"/>
  <c r="B12034" i="1"/>
  <c r="A12034" i="1"/>
  <c r="S12033" i="1"/>
  <c r="O12033" i="1"/>
  <c r="K12033" i="1"/>
  <c r="J12033" i="1"/>
  <c r="I12033" i="1"/>
  <c r="H12033" i="1"/>
  <c r="G12033" i="1"/>
  <c r="F12033" i="1"/>
  <c r="E12033" i="1"/>
  <c r="D12033" i="1"/>
  <c r="C12033" i="1"/>
  <c r="B12033" i="1"/>
  <c r="A12033" i="1"/>
  <c r="R12032" i="1"/>
  <c r="J12032" i="1"/>
  <c r="I12032" i="1"/>
  <c r="G12032" i="1"/>
  <c r="F12032" i="1"/>
  <c r="E12032" i="1"/>
  <c r="D12032" i="1"/>
  <c r="C12032" i="1"/>
  <c r="B12032" i="1"/>
  <c r="A12032" i="1"/>
  <c r="R12031" i="1"/>
  <c r="J12031" i="1"/>
  <c r="I12031" i="1"/>
  <c r="G12031" i="1"/>
  <c r="F12031" i="1"/>
  <c r="E12031" i="1"/>
  <c r="D12031" i="1"/>
  <c r="C12031" i="1"/>
  <c r="B12031" i="1"/>
  <c r="A12031" i="1"/>
  <c r="S12030" i="1"/>
  <c r="O12030" i="1"/>
  <c r="K12030" i="1"/>
  <c r="J12030" i="1"/>
  <c r="I12030" i="1"/>
  <c r="H12030" i="1"/>
  <c r="G12030" i="1"/>
  <c r="F12030" i="1"/>
  <c r="E12030" i="1"/>
  <c r="D12030" i="1"/>
  <c r="C12030" i="1"/>
  <c r="B12030" i="1"/>
  <c r="A12030" i="1"/>
  <c r="R12029" i="1"/>
  <c r="J12029" i="1"/>
  <c r="I12029" i="1"/>
  <c r="G12029" i="1"/>
  <c r="F12029" i="1"/>
  <c r="E12029" i="1"/>
  <c r="D12029" i="1"/>
  <c r="C12029" i="1"/>
  <c r="B12029" i="1"/>
  <c r="A12029" i="1"/>
  <c r="S12028" i="1"/>
  <c r="O12028" i="1"/>
  <c r="K12028" i="1"/>
  <c r="J12028" i="1"/>
  <c r="I12028" i="1"/>
  <c r="H12028" i="1"/>
  <c r="G12028" i="1"/>
  <c r="F12028" i="1"/>
  <c r="E12028" i="1"/>
  <c r="D12028" i="1"/>
  <c r="C12028" i="1"/>
  <c r="B12028" i="1"/>
  <c r="A12028" i="1"/>
  <c r="R12027" i="1"/>
  <c r="J12027" i="1"/>
  <c r="I12027" i="1"/>
  <c r="G12027" i="1"/>
  <c r="F12027" i="1"/>
  <c r="E12027" i="1"/>
  <c r="D12027" i="1"/>
  <c r="C12027" i="1"/>
  <c r="B12027" i="1"/>
  <c r="A12027" i="1"/>
  <c r="S12026" i="1"/>
  <c r="O12026" i="1"/>
  <c r="K12026" i="1"/>
  <c r="J12026" i="1"/>
  <c r="I12026" i="1"/>
  <c r="H12026" i="1"/>
  <c r="G12026" i="1"/>
  <c r="F12026" i="1"/>
  <c r="E12026" i="1"/>
  <c r="D12026" i="1"/>
  <c r="C12026" i="1"/>
  <c r="B12026" i="1"/>
  <c r="A12026" i="1"/>
  <c r="R12025" i="1"/>
  <c r="J12025" i="1"/>
  <c r="I12025" i="1"/>
  <c r="G12025" i="1"/>
  <c r="F12025" i="1"/>
  <c r="E12025" i="1"/>
  <c r="D12025" i="1"/>
  <c r="C12025" i="1"/>
  <c r="B12025" i="1"/>
  <c r="A12025" i="1"/>
  <c r="S12024" i="1"/>
  <c r="O12024" i="1"/>
  <c r="K12024" i="1"/>
  <c r="J12024" i="1"/>
  <c r="I12024" i="1"/>
  <c r="H12024" i="1"/>
  <c r="G12024" i="1"/>
  <c r="F12024" i="1"/>
  <c r="E12024" i="1"/>
  <c r="D12024" i="1"/>
  <c r="C12024" i="1"/>
  <c r="B12024" i="1"/>
  <c r="A12024" i="1"/>
  <c r="R12023" i="1"/>
  <c r="J12023" i="1"/>
  <c r="I12023" i="1"/>
  <c r="G12023" i="1"/>
  <c r="F12023" i="1"/>
  <c r="E12023" i="1"/>
  <c r="D12023" i="1"/>
  <c r="C12023" i="1"/>
  <c r="B12023" i="1"/>
  <c r="A12023" i="1"/>
  <c r="S12022" i="1"/>
  <c r="O12022" i="1"/>
  <c r="K12022" i="1"/>
  <c r="J12022" i="1"/>
  <c r="I12022" i="1"/>
  <c r="H12022" i="1"/>
  <c r="G12022" i="1"/>
  <c r="F12022" i="1"/>
  <c r="E12022" i="1"/>
  <c r="D12022" i="1"/>
  <c r="C12022" i="1"/>
  <c r="B12022" i="1"/>
  <c r="A12022" i="1"/>
  <c r="R12021" i="1"/>
  <c r="J12021" i="1"/>
  <c r="I12021" i="1"/>
  <c r="G12021" i="1"/>
  <c r="F12021" i="1"/>
  <c r="E12021" i="1"/>
  <c r="D12021" i="1"/>
  <c r="C12021" i="1"/>
  <c r="B12021" i="1"/>
  <c r="A12021" i="1"/>
  <c r="S12020" i="1"/>
  <c r="O12020" i="1"/>
  <c r="K12020" i="1"/>
  <c r="J12020" i="1"/>
  <c r="I12020" i="1"/>
  <c r="H12020" i="1"/>
  <c r="G12020" i="1"/>
  <c r="F12020" i="1"/>
  <c r="E12020" i="1"/>
  <c r="D12020" i="1"/>
  <c r="C12020" i="1"/>
  <c r="B12020" i="1"/>
  <c r="A12020" i="1"/>
  <c r="R12019" i="1"/>
  <c r="J12019" i="1"/>
  <c r="I12019" i="1"/>
  <c r="G12019" i="1"/>
  <c r="F12019" i="1"/>
  <c r="E12019" i="1"/>
  <c r="D12019" i="1"/>
  <c r="C12019" i="1"/>
  <c r="B12019" i="1"/>
  <c r="A12019" i="1"/>
  <c r="R12018" i="1"/>
  <c r="J12018" i="1"/>
  <c r="I12018" i="1"/>
  <c r="G12018" i="1"/>
  <c r="F12018" i="1"/>
  <c r="E12018" i="1"/>
  <c r="D12018" i="1"/>
  <c r="C12018" i="1"/>
  <c r="B12018" i="1"/>
  <c r="A12018" i="1"/>
  <c r="S12017" i="1"/>
  <c r="O12017" i="1"/>
  <c r="K12017" i="1"/>
  <c r="J12017" i="1"/>
  <c r="I12017" i="1"/>
  <c r="H12017" i="1"/>
  <c r="G12017" i="1"/>
  <c r="F12017" i="1"/>
  <c r="E12017" i="1"/>
  <c r="D12017" i="1"/>
  <c r="C12017" i="1"/>
  <c r="B12017" i="1"/>
  <c r="A12017" i="1"/>
  <c r="R12016" i="1"/>
  <c r="J12016" i="1"/>
  <c r="I12016" i="1"/>
  <c r="G12016" i="1"/>
  <c r="F12016" i="1"/>
  <c r="E12016" i="1"/>
  <c r="D12016" i="1"/>
  <c r="C12016" i="1"/>
  <c r="B12016" i="1"/>
  <c r="A12016" i="1"/>
  <c r="S12015" i="1"/>
  <c r="O12015" i="1"/>
  <c r="K12015" i="1"/>
  <c r="J12015" i="1"/>
  <c r="I12015" i="1"/>
  <c r="H12015" i="1"/>
  <c r="G12015" i="1"/>
  <c r="F12015" i="1"/>
  <c r="E12015" i="1"/>
  <c r="D12015" i="1"/>
  <c r="C12015" i="1"/>
  <c r="B12015" i="1"/>
  <c r="A12015" i="1"/>
  <c r="R12014" i="1"/>
  <c r="J12014" i="1"/>
  <c r="I12014" i="1"/>
  <c r="G12014" i="1"/>
  <c r="F12014" i="1"/>
  <c r="E12014" i="1"/>
  <c r="D12014" i="1"/>
  <c r="C12014" i="1"/>
  <c r="B12014" i="1"/>
  <c r="A12014" i="1"/>
  <c r="R12013" i="1"/>
  <c r="J12013" i="1"/>
  <c r="I12013" i="1"/>
  <c r="G12013" i="1"/>
  <c r="F12013" i="1"/>
  <c r="E12013" i="1"/>
  <c r="D12013" i="1"/>
  <c r="C12013" i="1"/>
  <c r="B12013" i="1"/>
  <c r="A12013" i="1"/>
  <c r="R12012" i="1"/>
  <c r="J12012" i="1"/>
  <c r="I12012" i="1"/>
  <c r="G12012" i="1"/>
  <c r="F12012" i="1"/>
  <c r="E12012" i="1"/>
  <c r="D12012" i="1"/>
  <c r="C12012" i="1"/>
  <c r="B12012" i="1"/>
  <c r="A12012" i="1"/>
  <c r="R12011" i="1"/>
  <c r="J12011" i="1"/>
  <c r="I12011" i="1"/>
  <c r="G12011" i="1"/>
  <c r="F12011" i="1"/>
  <c r="E12011" i="1"/>
  <c r="D12011" i="1"/>
  <c r="C12011" i="1"/>
  <c r="B12011" i="1"/>
  <c r="A12011" i="1"/>
  <c r="S12010" i="1"/>
  <c r="O12010" i="1"/>
  <c r="K12010" i="1"/>
  <c r="J12010" i="1"/>
  <c r="I12010" i="1"/>
  <c r="H12010" i="1"/>
  <c r="G12010" i="1"/>
  <c r="F12010" i="1"/>
  <c r="E12010" i="1"/>
  <c r="D12010" i="1"/>
  <c r="C12010" i="1"/>
  <c r="B12010" i="1"/>
  <c r="A12010" i="1"/>
  <c r="R12009" i="1"/>
  <c r="J12009" i="1"/>
  <c r="I12009" i="1"/>
  <c r="G12009" i="1"/>
  <c r="F12009" i="1"/>
  <c r="E12009" i="1"/>
  <c r="D12009" i="1"/>
  <c r="C12009" i="1"/>
  <c r="B12009" i="1"/>
  <c r="A12009" i="1"/>
  <c r="S12008" i="1"/>
  <c r="O12008" i="1"/>
  <c r="K12008" i="1"/>
  <c r="J12008" i="1"/>
  <c r="I12008" i="1"/>
  <c r="H12008" i="1"/>
  <c r="G12008" i="1"/>
  <c r="F12008" i="1"/>
  <c r="E12008" i="1"/>
  <c r="D12008" i="1"/>
  <c r="C12008" i="1"/>
  <c r="B12008" i="1"/>
  <c r="A12008" i="1"/>
  <c r="R12007" i="1"/>
  <c r="J12007" i="1"/>
  <c r="I12007" i="1"/>
  <c r="G12007" i="1"/>
  <c r="F12007" i="1"/>
  <c r="E12007" i="1"/>
  <c r="D12007" i="1"/>
  <c r="C12007" i="1"/>
  <c r="B12007" i="1"/>
  <c r="A12007" i="1"/>
  <c r="S12006" i="1"/>
  <c r="O12006" i="1"/>
  <c r="K12006" i="1"/>
  <c r="J12006" i="1"/>
  <c r="I12006" i="1"/>
  <c r="H12006" i="1"/>
  <c r="G12006" i="1"/>
  <c r="F12006" i="1"/>
  <c r="E12006" i="1"/>
  <c r="D12006" i="1"/>
  <c r="C12006" i="1"/>
  <c r="B12006" i="1"/>
  <c r="A12006" i="1"/>
  <c r="R12005" i="1"/>
  <c r="J12005" i="1"/>
  <c r="I12005" i="1"/>
  <c r="G12005" i="1"/>
  <c r="F12005" i="1"/>
  <c r="E12005" i="1"/>
  <c r="D12005" i="1"/>
  <c r="C12005" i="1"/>
  <c r="B12005" i="1"/>
  <c r="A12005" i="1"/>
  <c r="S12004" i="1"/>
  <c r="O12004" i="1"/>
  <c r="K12004" i="1"/>
  <c r="J12004" i="1"/>
  <c r="I12004" i="1"/>
  <c r="H12004" i="1"/>
  <c r="G12004" i="1"/>
  <c r="F12004" i="1"/>
  <c r="E12004" i="1"/>
  <c r="D12004" i="1"/>
  <c r="C12004" i="1"/>
  <c r="B12004" i="1"/>
  <c r="A12004" i="1"/>
  <c r="R12003" i="1"/>
  <c r="J12003" i="1"/>
  <c r="I12003" i="1"/>
  <c r="G12003" i="1"/>
  <c r="F12003" i="1"/>
  <c r="E12003" i="1"/>
  <c r="D12003" i="1"/>
  <c r="C12003" i="1"/>
  <c r="B12003" i="1"/>
  <c r="A12003" i="1"/>
  <c r="S12002" i="1"/>
  <c r="O12002" i="1"/>
  <c r="K12002" i="1"/>
  <c r="J12002" i="1"/>
  <c r="I12002" i="1"/>
  <c r="H12002" i="1"/>
  <c r="G12002" i="1"/>
  <c r="F12002" i="1"/>
  <c r="E12002" i="1"/>
  <c r="D12002" i="1"/>
  <c r="C12002" i="1"/>
  <c r="B12002" i="1"/>
  <c r="A12002" i="1"/>
  <c r="R12001" i="1"/>
  <c r="J12001" i="1"/>
  <c r="I12001" i="1"/>
  <c r="G12001" i="1"/>
  <c r="F12001" i="1"/>
  <c r="E12001" i="1"/>
  <c r="D12001" i="1"/>
  <c r="C12001" i="1"/>
  <c r="B12001" i="1"/>
  <c r="A12001" i="1"/>
  <c r="R12000" i="1"/>
  <c r="J12000" i="1"/>
  <c r="I12000" i="1"/>
  <c r="G12000" i="1"/>
  <c r="F12000" i="1"/>
  <c r="E12000" i="1"/>
  <c r="D12000" i="1"/>
  <c r="C12000" i="1"/>
  <c r="B12000" i="1"/>
  <c r="A12000" i="1"/>
  <c r="R11999" i="1"/>
  <c r="J11999" i="1"/>
  <c r="I11999" i="1"/>
  <c r="G11999" i="1"/>
  <c r="F11999" i="1"/>
  <c r="E11999" i="1"/>
  <c r="D11999" i="1"/>
  <c r="C11999" i="1"/>
  <c r="B11999" i="1"/>
  <c r="A11999" i="1"/>
  <c r="S11998" i="1"/>
  <c r="O11998" i="1"/>
  <c r="K11998" i="1"/>
  <c r="J11998" i="1"/>
  <c r="I11998" i="1"/>
  <c r="H11998" i="1"/>
  <c r="G11998" i="1"/>
  <c r="F11998" i="1"/>
  <c r="E11998" i="1"/>
  <c r="D11998" i="1"/>
  <c r="C11998" i="1"/>
  <c r="B11998" i="1"/>
  <c r="A11998" i="1"/>
  <c r="R11997" i="1"/>
  <c r="J11997" i="1"/>
  <c r="I11997" i="1"/>
  <c r="G11997" i="1"/>
  <c r="F11997" i="1"/>
  <c r="E11997" i="1"/>
  <c r="D11997" i="1"/>
  <c r="C11997" i="1"/>
  <c r="B11997" i="1"/>
  <c r="A11997" i="1"/>
  <c r="S11996" i="1"/>
  <c r="O11996" i="1"/>
  <c r="K11996" i="1"/>
  <c r="J11996" i="1"/>
  <c r="I11996" i="1"/>
  <c r="H11996" i="1"/>
  <c r="G11996" i="1"/>
  <c r="F11996" i="1"/>
  <c r="E11996" i="1"/>
  <c r="D11996" i="1"/>
  <c r="C11996" i="1"/>
  <c r="B11996" i="1"/>
  <c r="A11996" i="1"/>
  <c r="R11995" i="1"/>
  <c r="J11995" i="1"/>
  <c r="I11995" i="1"/>
  <c r="G11995" i="1"/>
  <c r="F11995" i="1"/>
  <c r="E11995" i="1"/>
  <c r="D11995" i="1"/>
  <c r="C11995" i="1"/>
  <c r="B11995" i="1"/>
  <c r="A11995" i="1"/>
  <c r="S11994" i="1"/>
  <c r="O11994" i="1"/>
  <c r="K11994" i="1"/>
  <c r="J11994" i="1"/>
  <c r="I11994" i="1"/>
  <c r="H11994" i="1"/>
  <c r="G11994" i="1"/>
  <c r="F11994" i="1"/>
  <c r="E11994" i="1"/>
  <c r="D11994" i="1"/>
  <c r="C11994" i="1"/>
  <c r="B11994" i="1"/>
  <c r="A11994" i="1"/>
  <c r="R11993" i="1"/>
  <c r="J11993" i="1"/>
  <c r="I11993" i="1"/>
  <c r="G11993" i="1"/>
  <c r="F11993" i="1"/>
  <c r="E11993" i="1"/>
  <c r="D11993" i="1"/>
  <c r="C11993" i="1"/>
  <c r="B11993" i="1"/>
  <c r="A11993" i="1"/>
  <c r="R11992" i="1"/>
  <c r="J11992" i="1"/>
  <c r="I11992" i="1"/>
  <c r="G11992" i="1"/>
  <c r="F11992" i="1"/>
  <c r="E11992" i="1"/>
  <c r="D11992" i="1"/>
  <c r="C11992" i="1"/>
  <c r="B11992" i="1"/>
  <c r="A11992" i="1"/>
  <c r="S11991" i="1"/>
  <c r="O11991" i="1"/>
  <c r="K11991" i="1"/>
  <c r="J11991" i="1"/>
  <c r="I11991" i="1"/>
  <c r="H11991" i="1"/>
  <c r="G11991" i="1"/>
  <c r="F11991" i="1"/>
  <c r="E11991" i="1"/>
  <c r="D11991" i="1"/>
  <c r="C11991" i="1"/>
  <c r="B11991" i="1"/>
  <c r="A11991" i="1"/>
  <c r="R11990" i="1"/>
  <c r="J11990" i="1"/>
  <c r="I11990" i="1"/>
  <c r="G11990" i="1"/>
  <c r="F11990" i="1"/>
  <c r="E11990" i="1"/>
  <c r="D11990" i="1"/>
  <c r="C11990" i="1"/>
  <c r="B11990" i="1"/>
  <c r="A11990" i="1"/>
  <c r="S11989" i="1"/>
  <c r="O11989" i="1"/>
  <c r="K11989" i="1"/>
  <c r="J11989" i="1"/>
  <c r="I11989" i="1"/>
  <c r="H11989" i="1"/>
  <c r="G11989" i="1"/>
  <c r="F11989" i="1"/>
  <c r="E11989" i="1"/>
  <c r="D11989" i="1"/>
  <c r="C11989" i="1"/>
  <c r="B11989" i="1"/>
  <c r="A11989" i="1"/>
  <c r="R11988" i="1"/>
  <c r="J11988" i="1"/>
  <c r="I11988" i="1"/>
  <c r="G11988" i="1"/>
  <c r="F11988" i="1"/>
  <c r="E11988" i="1"/>
  <c r="D11988" i="1"/>
  <c r="C11988" i="1"/>
  <c r="B11988" i="1"/>
  <c r="A11988" i="1"/>
  <c r="S11987" i="1"/>
  <c r="O11987" i="1"/>
  <c r="K11987" i="1"/>
  <c r="J11987" i="1"/>
  <c r="I11987" i="1"/>
  <c r="H11987" i="1"/>
  <c r="G11987" i="1"/>
  <c r="F11987" i="1"/>
  <c r="E11987" i="1"/>
  <c r="D11987" i="1"/>
  <c r="C11987" i="1"/>
  <c r="B11987" i="1"/>
  <c r="A11987" i="1"/>
  <c r="R11986" i="1"/>
  <c r="J11986" i="1"/>
  <c r="I11986" i="1"/>
  <c r="G11986" i="1"/>
  <c r="F11986" i="1"/>
  <c r="E11986" i="1"/>
  <c r="D11986" i="1"/>
  <c r="C11986" i="1"/>
  <c r="B11986" i="1"/>
  <c r="A11986" i="1"/>
  <c r="S11985" i="1"/>
  <c r="O11985" i="1"/>
  <c r="K11985" i="1"/>
  <c r="J11985" i="1"/>
  <c r="I11985" i="1"/>
  <c r="H11985" i="1"/>
  <c r="G11985" i="1"/>
  <c r="F11985" i="1"/>
  <c r="E11985" i="1"/>
  <c r="D11985" i="1"/>
  <c r="C11985" i="1"/>
  <c r="B11985" i="1"/>
  <c r="A11985" i="1"/>
  <c r="R11984" i="1"/>
  <c r="J11984" i="1"/>
  <c r="I11984" i="1"/>
  <c r="G11984" i="1"/>
  <c r="F11984" i="1"/>
  <c r="E11984" i="1"/>
  <c r="D11984" i="1"/>
  <c r="C11984" i="1"/>
  <c r="B11984" i="1"/>
  <c r="A11984" i="1"/>
  <c r="R11983" i="1"/>
  <c r="J11983" i="1"/>
  <c r="I11983" i="1"/>
  <c r="G11983" i="1"/>
  <c r="F11983" i="1"/>
  <c r="E11983" i="1"/>
  <c r="D11983" i="1"/>
  <c r="C11983" i="1"/>
  <c r="B11983" i="1"/>
  <c r="A11983" i="1"/>
  <c r="S11982" i="1"/>
  <c r="O11982" i="1"/>
  <c r="K11982" i="1"/>
  <c r="J11982" i="1"/>
  <c r="I11982" i="1"/>
  <c r="H11982" i="1"/>
  <c r="G11982" i="1"/>
  <c r="F11982" i="1"/>
  <c r="E11982" i="1"/>
  <c r="D11982" i="1"/>
  <c r="C11982" i="1"/>
  <c r="B11982" i="1"/>
  <c r="A11982" i="1"/>
  <c r="R11981" i="1"/>
  <c r="J11981" i="1"/>
  <c r="I11981" i="1"/>
  <c r="G11981" i="1"/>
  <c r="F11981" i="1"/>
  <c r="E11981" i="1"/>
  <c r="D11981" i="1"/>
  <c r="C11981" i="1"/>
  <c r="B11981" i="1"/>
  <c r="A11981" i="1"/>
  <c r="S11980" i="1"/>
  <c r="O11980" i="1"/>
  <c r="K11980" i="1"/>
  <c r="J11980" i="1"/>
  <c r="I11980" i="1"/>
  <c r="H11980" i="1"/>
  <c r="G11980" i="1"/>
  <c r="F11980" i="1"/>
  <c r="E11980" i="1"/>
  <c r="D11980" i="1"/>
  <c r="C11980" i="1"/>
  <c r="B11980" i="1"/>
  <c r="A11980" i="1"/>
  <c r="R11979" i="1"/>
  <c r="J11979" i="1"/>
  <c r="I11979" i="1"/>
  <c r="G11979" i="1"/>
  <c r="F11979" i="1"/>
  <c r="E11979" i="1"/>
  <c r="D11979" i="1"/>
  <c r="C11979" i="1"/>
  <c r="B11979" i="1"/>
  <c r="A11979" i="1"/>
  <c r="R11978" i="1"/>
  <c r="J11978" i="1"/>
  <c r="I11978" i="1"/>
  <c r="G11978" i="1"/>
  <c r="F11978" i="1"/>
  <c r="E11978" i="1"/>
  <c r="D11978" i="1"/>
  <c r="C11978" i="1"/>
  <c r="B11978" i="1"/>
  <c r="A11978" i="1"/>
  <c r="R11977" i="1"/>
  <c r="J11977" i="1"/>
  <c r="I11977" i="1"/>
  <c r="G11977" i="1"/>
  <c r="F11977" i="1"/>
  <c r="E11977" i="1"/>
  <c r="D11977" i="1"/>
  <c r="C11977" i="1"/>
  <c r="B11977" i="1"/>
  <c r="A11977" i="1"/>
  <c r="S11976" i="1"/>
  <c r="O11976" i="1"/>
  <c r="K11976" i="1"/>
  <c r="J11976" i="1"/>
  <c r="I11976" i="1"/>
  <c r="H11976" i="1"/>
  <c r="G11976" i="1"/>
  <c r="F11976" i="1"/>
  <c r="E11976" i="1"/>
  <c r="D11976" i="1"/>
  <c r="C11976" i="1"/>
  <c r="B11976" i="1"/>
  <c r="A11976" i="1"/>
  <c r="R11975" i="1"/>
  <c r="J11975" i="1"/>
  <c r="I11975" i="1"/>
  <c r="G11975" i="1"/>
  <c r="F11975" i="1"/>
  <c r="E11975" i="1"/>
  <c r="D11975" i="1"/>
  <c r="C11975" i="1"/>
  <c r="B11975" i="1"/>
  <c r="A11975" i="1"/>
  <c r="S11974" i="1"/>
  <c r="O11974" i="1"/>
  <c r="K11974" i="1"/>
  <c r="J11974" i="1"/>
  <c r="I11974" i="1"/>
  <c r="H11974" i="1"/>
  <c r="G11974" i="1"/>
  <c r="F11974" i="1"/>
  <c r="E11974" i="1"/>
  <c r="D11974" i="1"/>
  <c r="C11974" i="1"/>
  <c r="B11974" i="1"/>
  <c r="A11974" i="1"/>
  <c r="R11973" i="1"/>
  <c r="J11973" i="1"/>
  <c r="I11973" i="1"/>
  <c r="G11973" i="1"/>
  <c r="F11973" i="1"/>
  <c r="E11973" i="1"/>
  <c r="D11973" i="1"/>
  <c r="C11973" i="1"/>
  <c r="B11973" i="1"/>
  <c r="A11973" i="1"/>
  <c r="S11972" i="1"/>
  <c r="O11972" i="1"/>
  <c r="K11972" i="1"/>
  <c r="J11972" i="1"/>
  <c r="I11972" i="1"/>
  <c r="H11972" i="1"/>
  <c r="G11972" i="1"/>
  <c r="F11972" i="1"/>
  <c r="E11972" i="1"/>
  <c r="D11972" i="1"/>
  <c r="C11972" i="1"/>
  <c r="B11972" i="1"/>
  <c r="A11972" i="1"/>
  <c r="R11971" i="1"/>
  <c r="J11971" i="1"/>
  <c r="I11971" i="1"/>
  <c r="G11971" i="1"/>
  <c r="F11971" i="1"/>
  <c r="E11971" i="1"/>
  <c r="D11971" i="1"/>
  <c r="C11971" i="1"/>
  <c r="B11971" i="1"/>
  <c r="A11971" i="1"/>
  <c r="S11970" i="1"/>
  <c r="O11970" i="1"/>
  <c r="K11970" i="1"/>
  <c r="J11970" i="1"/>
  <c r="I11970" i="1"/>
  <c r="H11970" i="1"/>
  <c r="G11970" i="1"/>
  <c r="F11970" i="1"/>
  <c r="E11970" i="1"/>
  <c r="D11970" i="1"/>
  <c r="C11970" i="1"/>
  <c r="B11970" i="1"/>
  <c r="A11970" i="1"/>
  <c r="R11969" i="1"/>
  <c r="J11969" i="1"/>
  <c r="I11969" i="1"/>
  <c r="G11969" i="1"/>
  <c r="F11969" i="1"/>
  <c r="E11969" i="1"/>
  <c r="D11969" i="1"/>
  <c r="C11969" i="1"/>
  <c r="B11969" i="1"/>
  <c r="A11969" i="1"/>
  <c r="S11968" i="1"/>
  <c r="O11968" i="1"/>
  <c r="K11968" i="1"/>
  <c r="J11968" i="1"/>
  <c r="I11968" i="1"/>
  <c r="H11968" i="1"/>
  <c r="G11968" i="1"/>
  <c r="F11968" i="1"/>
  <c r="E11968" i="1"/>
  <c r="D11968" i="1"/>
  <c r="C11968" i="1"/>
  <c r="B11968" i="1"/>
  <c r="A11968" i="1"/>
  <c r="R11967" i="1"/>
  <c r="J11967" i="1"/>
  <c r="I11967" i="1"/>
  <c r="G11967" i="1"/>
  <c r="F11967" i="1"/>
  <c r="E11967" i="1"/>
  <c r="D11967" i="1"/>
  <c r="C11967" i="1"/>
  <c r="B11967" i="1"/>
  <c r="A11967" i="1"/>
  <c r="S11966" i="1"/>
  <c r="O11966" i="1"/>
  <c r="K11966" i="1"/>
  <c r="J11966" i="1"/>
  <c r="I11966" i="1"/>
  <c r="H11966" i="1"/>
  <c r="G11966" i="1"/>
  <c r="F11966" i="1"/>
  <c r="E11966" i="1"/>
  <c r="D11966" i="1"/>
  <c r="C11966" i="1"/>
  <c r="B11966" i="1"/>
  <c r="A11966" i="1"/>
  <c r="R11965" i="1"/>
  <c r="J11965" i="1"/>
  <c r="I11965" i="1"/>
  <c r="G11965" i="1"/>
  <c r="F11965" i="1"/>
  <c r="E11965" i="1"/>
  <c r="D11965" i="1"/>
  <c r="C11965" i="1"/>
  <c r="B11965" i="1"/>
  <c r="A11965" i="1"/>
  <c r="S11964" i="1"/>
  <c r="O11964" i="1"/>
  <c r="K11964" i="1"/>
  <c r="J11964" i="1"/>
  <c r="I11964" i="1"/>
  <c r="H11964" i="1"/>
  <c r="G11964" i="1"/>
  <c r="F11964" i="1"/>
  <c r="E11964" i="1"/>
  <c r="D11964" i="1"/>
  <c r="C11964" i="1"/>
  <c r="B11964" i="1"/>
  <c r="A11964" i="1"/>
  <c r="R11963" i="1"/>
  <c r="J11963" i="1"/>
  <c r="I11963" i="1"/>
  <c r="G11963" i="1"/>
  <c r="F11963" i="1"/>
  <c r="E11963" i="1"/>
  <c r="D11963" i="1"/>
  <c r="C11963" i="1"/>
  <c r="B11963" i="1"/>
  <c r="A11963" i="1"/>
  <c r="S11962" i="1"/>
  <c r="O11962" i="1"/>
  <c r="K11962" i="1"/>
  <c r="J11962" i="1"/>
  <c r="I11962" i="1"/>
  <c r="H11962" i="1"/>
  <c r="G11962" i="1"/>
  <c r="F11962" i="1"/>
  <c r="E11962" i="1"/>
  <c r="D11962" i="1"/>
  <c r="C11962" i="1"/>
  <c r="B11962" i="1"/>
  <c r="A11962" i="1"/>
  <c r="R11961" i="1"/>
  <c r="J11961" i="1"/>
  <c r="I11961" i="1"/>
  <c r="G11961" i="1"/>
  <c r="F11961" i="1"/>
  <c r="E11961" i="1"/>
  <c r="D11961" i="1"/>
  <c r="C11961" i="1"/>
  <c r="B11961" i="1"/>
  <c r="A11961" i="1"/>
  <c r="S11960" i="1"/>
  <c r="O11960" i="1"/>
  <c r="K11960" i="1"/>
  <c r="J11960" i="1"/>
  <c r="I11960" i="1"/>
  <c r="H11960" i="1"/>
  <c r="G11960" i="1"/>
  <c r="F11960" i="1"/>
  <c r="E11960" i="1"/>
  <c r="D11960" i="1"/>
  <c r="C11960" i="1"/>
  <c r="B11960" i="1"/>
  <c r="A11960" i="1"/>
  <c r="R11959" i="1"/>
  <c r="J11959" i="1"/>
  <c r="I11959" i="1"/>
  <c r="G11959" i="1"/>
  <c r="F11959" i="1"/>
  <c r="E11959" i="1"/>
  <c r="D11959" i="1"/>
  <c r="C11959" i="1"/>
  <c r="B11959" i="1"/>
  <c r="A11959" i="1"/>
  <c r="S11958" i="1"/>
  <c r="O11958" i="1"/>
  <c r="K11958" i="1"/>
  <c r="J11958" i="1"/>
  <c r="I11958" i="1"/>
  <c r="H11958" i="1"/>
  <c r="G11958" i="1"/>
  <c r="F11958" i="1"/>
  <c r="E11958" i="1"/>
  <c r="D11958" i="1"/>
  <c r="C11958" i="1"/>
  <c r="B11958" i="1"/>
  <c r="A11958" i="1"/>
  <c r="R11957" i="1"/>
  <c r="J11957" i="1"/>
  <c r="I11957" i="1"/>
  <c r="G11957" i="1"/>
  <c r="F11957" i="1"/>
  <c r="E11957" i="1"/>
  <c r="D11957" i="1"/>
  <c r="C11957" i="1"/>
  <c r="B11957" i="1"/>
  <c r="A11957" i="1"/>
  <c r="S11956" i="1"/>
  <c r="O11956" i="1"/>
  <c r="K11956" i="1"/>
  <c r="J11956" i="1"/>
  <c r="I11956" i="1"/>
  <c r="H11956" i="1"/>
  <c r="G11956" i="1"/>
  <c r="F11956" i="1"/>
  <c r="E11956" i="1"/>
  <c r="D11956" i="1"/>
  <c r="C11956" i="1"/>
  <c r="B11956" i="1"/>
  <c r="A11956" i="1"/>
  <c r="R11955" i="1"/>
  <c r="J11955" i="1"/>
  <c r="I11955" i="1"/>
  <c r="G11955" i="1"/>
  <c r="F11955" i="1"/>
  <c r="E11955" i="1"/>
  <c r="D11955" i="1"/>
  <c r="C11955" i="1"/>
  <c r="B11955" i="1"/>
  <c r="A11955" i="1"/>
  <c r="R11954" i="1"/>
  <c r="J11954" i="1"/>
  <c r="I11954" i="1"/>
  <c r="G11954" i="1"/>
  <c r="F11954" i="1"/>
  <c r="E11954" i="1"/>
  <c r="D11954" i="1"/>
  <c r="C11954" i="1"/>
  <c r="B11954" i="1"/>
  <c r="A11954" i="1"/>
  <c r="S11953" i="1"/>
  <c r="O11953" i="1"/>
  <c r="K11953" i="1"/>
  <c r="J11953" i="1"/>
  <c r="I11953" i="1"/>
  <c r="H11953" i="1"/>
  <c r="G11953" i="1"/>
  <c r="F11953" i="1"/>
  <c r="E11953" i="1"/>
  <c r="D11953" i="1"/>
  <c r="C11953" i="1"/>
  <c r="B11953" i="1"/>
  <c r="A11953" i="1"/>
  <c r="R11952" i="1"/>
  <c r="J11952" i="1"/>
  <c r="I11952" i="1"/>
  <c r="G11952" i="1"/>
  <c r="F11952" i="1"/>
  <c r="E11952" i="1"/>
  <c r="D11952" i="1"/>
  <c r="C11952" i="1"/>
  <c r="B11952" i="1"/>
  <c r="A11952" i="1"/>
  <c r="R11951" i="1"/>
  <c r="J11951" i="1"/>
  <c r="I11951" i="1"/>
  <c r="G11951" i="1"/>
  <c r="F11951" i="1"/>
  <c r="E11951" i="1"/>
  <c r="D11951" i="1"/>
  <c r="C11951" i="1"/>
  <c r="B11951" i="1"/>
  <c r="A11951" i="1"/>
  <c r="S11950" i="1"/>
  <c r="O11950" i="1"/>
  <c r="K11950" i="1"/>
  <c r="J11950" i="1"/>
  <c r="I11950" i="1"/>
  <c r="H11950" i="1"/>
  <c r="G11950" i="1"/>
  <c r="F11950" i="1"/>
  <c r="E11950" i="1"/>
  <c r="D11950" i="1"/>
  <c r="C11950" i="1"/>
  <c r="B11950" i="1"/>
  <c r="A11950" i="1"/>
  <c r="R11949" i="1"/>
  <c r="J11949" i="1"/>
  <c r="I11949" i="1"/>
  <c r="G11949" i="1"/>
  <c r="F11949" i="1"/>
  <c r="E11949" i="1"/>
  <c r="D11949" i="1"/>
  <c r="C11949" i="1"/>
  <c r="B11949" i="1"/>
  <c r="A11949" i="1"/>
  <c r="S11948" i="1"/>
  <c r="O11948" i="1"/>
  <c r="K11948" i="1"/>
  <c r="J11948" i="1"/>
  <c r="I11948" i="1"/>
  <c r="H11948" i="1"/>
  <c r="G11948" i="1"/>
  <c r="F11948" i="1"/>
  <c r="E11948" i="1"/>
  <c r="D11948" i="1"/>
  <c r="C11948" i="1"/>
  <c r="B11948" i="1"/>
  <c r="A11948" i="1"/>
  <c r="R11947" i="1"/>
  <c r="J11947" i="1"/>
  <c r="I11947" i="1"/>
  <c r="G11947" i="1"/>
  <c r="F11947" i="1"/>
  <c r="E11947" i="1"/>
  <c r="D11947" i="1"/>
  <c r="C11947" i="1"/>
  <c r="B11947" i="1"/>
  <c r="A11947" i="1"/>
  <c r="S11946" i="1"/>
  <c r="O11946" i="1"/>
  <c r="K11946" i="1"/>
  <c r="J11946" i="1"/>
  <c r="I11946" i="1"/>
  <c r="H11946" i="1"/>
  <c r="G11946" i="1"/>
  <c r="F11946" i="1"/>
  <c r="E11946" i="1"/>
  <c r="D11946" i="1"/>
  <c r="C11946" i="1"/>
  <c r="B11946" i="1"/>
  <c r="A11946" i="1"/>
  <c r="R11945" i="1"/>
  <c r="J11945" i="1"/>
  <c r="I11945" i="1"/>
  <c r="G11945" i="1"/>
  <c r="F11945" i="1"/>
  <c r="E11945" i="1"/>
  <c r="D11945" i="1"/>
  <c r="C11945" i="1"/>
  <c r="B11945" i="1"/>
  <c r="A11945" i="1"/>
  <c r="R11944" i="1"/>
  <c r="J11944" i="1"/>
  <c r="I11944" i="1"/>
  <c r="G11944" i="1"/>
  <c r="F11944" i="1"/>
  <c r="E11944" i="1"/>
  <c r="D11944" i="1"/>
  <c r="C11944" i="1"/>
  <c r="B11944" i="1"/>
  <c r="A11944" i="1"/>
  <c r="S11943" i="1"/>
  <c r="O11943" i="1"/>
  <c r="K11943" i="1"/>
  <c r="J11943" i="1"/>
  <c r="I11943" i="1"/>
  <c r="H11943" i="1"/>
  <c r="G11943" i="1"/>
  <c r="F11943" i="1"/>
  <c r="E11943" i="1"/>
  <c r="D11943" i="1"/>
  <c r="C11943" i="1"/>
  <c r="B11943" i="1"/>
  <c r="A11943" i="1"/>
  <c r="R11942" i="1"/>
  <c r="J11942" i="1"/>
  <c r="I11942" i="1"/>
  <c r="G11942" i="1"/>
  <c r="F11942" i="1"/>
  <c r="E11942" i="1"/>
  <c r="D11942" i="1"/>
  <c r="C11942" i="1"/>
  <c r="B11942" i="1"/>
  <c r="A11942" i="1"/>
  <c r="S11941" i="1"/>
  <c r="O11941" i="1"/>
  <c r="K11941" i="1"/>
  <c r="J11941" i="1"/>
  <c r="I11941" i="1"/>
  <c r="H11941" i="1"/>
  <c r="G11941" i="1"/>
  <c r="F11941" i="1"/>
  <c r="E11941" i="1"/>
  <c r="D11941" i="1"/>
  <c r="C11941" i="1"/>
  <c r="B11941" i="1"/>
  <c r="A11941" i="1"/>
  <c r="R11940" i="1"/>
  <c r="J11940" i="1"/>
  <c r="I11940" i="1"/>
  <c r="G11940" i="1"/>
  <c r="F11940" i="1"/>
  <c r="E11940" i="1"/>
  <c r="D11940" i="1"/>
  <c r="C11940" i="1"/>
  <c r="B11940" i="1"/>
  <c r="A11940" i="1"/>
  <c r="S11939" i="1"/>
  <c r="O11939" i="1"/>
  <c r="K11939" i="1"/>
  <c r="J11939" i="1"/>
  <c r="I11939" i="1"/>
  <c r="H11939" i="1"/>
  <c r="G11939" i="1"/>
  <c r="F11939" i="1"/>
  <c r="E11939" i="1"/>
  <c r="D11939" i="1"/>
  <c r="C11939" i="1"/>
  <c r="B11939" i="1"/>
  <c r="A11939" i="1"/>
  <c r="R11938" i="1"/>
  <c r="J11938" i="1"/>
  <c r="I11938" i="1"/>
  <c r="G11938" i="1"/>
  <c r="F11938" i="1"/>
  <c r="E11938" i="1"/>
  <c r="D11938" i="1"/>
  <c r="C11938" i="1"/>
  <c r="B11938" i="1"/>
  <c r="A11938" i="1"/>
  <c r="R11937" i="1"/>
  <c r="J11937" i="1"/>
  <c r="I11937" i="1"/>
  <c r="G11937" i="1"/>
  <c r="F11937" i="1"/>
  <c r="E11937" i="1"/>
  <c r="D11937" i="1"/>
  <c r="C11937" i="1"/>
  <c r="B11937" i="1"/>
  <c r="A11937" i="1"/>
  <c r="S11936" i="1"/>
  <c r="O11936" i="1"/>
  <c r="K11936" i="1"/>
  <c r="J11936" i="1"/>
  <c r="I11936" i="1"/>
  <c r="H11936" i="1"/>
  <c r="G11936" i="1"/>
  <c r="F11936" i="1"/>
  <c r="E11936" i="1"/>
  <c r="D11936" i="1"/>
  <c r="C11936" i="1"/>
  <c r="B11936" i="1"/>
  <c r="A11936" i="1"/>
  <c r="R11935" i="1"/>
  <c r="J11935" i="1"/>
  <c r="I11935" i="1"/>
  <c r="G11935" i="1"/>
  <c r="F11935" i="1"/>
  <c r="E11935" i="1"/>
  <c r="D11935" i="1"/>
  <c r="C11935" i="1"/>
  <c r="B11935" i="1"/>
  <c r="A11935" i="1"/>
  <c r="S11934" i="1"/>
  <c r="O11934" i="1"/>
  <c r="K11934" i="1"/>
  <c r="J11934" i="1"/>
  <c r="I11934" i="1"/>
  <c r="H11934" i="1"/>
  <c r="G11934" i="1"/>
  <c r="F11934" i="1"/>
  <c r="E11934" i="1"/>
  <c r="D11934" i="1"/>
  <c r="C11934" i="1"/>
  <c r="B11934" i="1"/>
  <c r="A11934" i="1"/>
  <c r="R11933" i="1"/>
  <c r="J11933" i="1"/>
  <c r="I11933" i="1"/>
  <c r="G11933" i="1"/>
  <c r="F11933" i="1"/>
  <c r="E11933" i="1"/>
  <c r="D11933" i="1"/>
  <c r="C11933" i="1"/>
  <c r="B11933" i="1"/>
  <c r="A11933" i="1"/>
  <c r="S11932" i="1"/>
  <c r="O11932" i="1"/>
  <c r="K11932" i="1"/>
  <c r="J11932" i="1"/>
  <c r="I11932" i="1"/>
  <c r="H11932" i="1"/>
  <c r="G11932" i="1"/>
  <c r="F11932" i="1"/>
  <c r="E11932" i="1"/>
  <c r="D11932" i="1"/>
  <c r="C11932" i="1"/>
  <c r="B11932" i="1"/>
  <c r="A11932" i="1"/>
  <c r="R11931" i="1"/>
  <c r="J11931" i="1"/>
  <c r="I11931" i="1"/>
  <c r="G11931" i="1"/>
  <c r="F11931" i="1"/>
  <c r="E11931" i="1"/>
  <c r="D11931" i="1"/>
  <c r="C11931" i="1"/>
  <c r="B11931" i="1"/>
  <c r="A11931" i="1"/>
  <c r="S11930" i="1"/>
  <c r="O11930" i="1"/>
  <c r="K11930" i="1"/>
  <c r="J11930" i="1"/>
  <c r="I11930" i="1"/>
  <c r="H11930" i="1"/>
  <c r="G11930" i="1"/>
  <c r="F11930" i="1"/>
  <c r="E11930" i="1"/>
  <c r="D11930" i="1"/>
  <c r="C11930" i="1"/>
  <c r="B11930" i="1"/>
  <c r="A11930" i="1"/>
  <c r="R11929" i="1"/>
  <c r="J11929" i="1"/>
  <c r="I11929" i="1"/>
  <c r="G11929" i="1"/>
  <c r="F11929" i="1"/>
  <c r="E11929" i="1"/>
  <c r="D11929" i="1"/>
  <c r="C11929" i="1"/>
  <c r="B11929" i="1"/>
  <c r="A11929" i="1"/>
  <c r="S11928" i="1"/>
  <c r="O11928" i="1"/>
  <c r="K11928" i="1"/>
  <c r="J11928" i="1"/>
  <c r="I11928" i="1"/>
  <c r="H11928" i="1"/>
  <c r="G11928" i="1"/>
  <c r="F11928" i="1"/>
  <c r="E11928" i="1"/>
  <c r="D11928" i="1"/>
  <c r="C11928" i="1"/>
  <c r="B11928" i="1"/>
  <c r="A11928" i="1"/>
  <c r="R11927" i="1"/>
  <c r="J11927" i="1"/>
  <c r="I11927" i="1"/>
  <c r="G11927" i="1"/>
  <c r="F11927" i="1"/>
  <c r="E11927" i="1"/>
  <c r="D11927" i="1"/>
  <c r="C11927" i="1"/>
  <c r="B11927" i="1"/>
  <c r="A11927" i="1"/>
  <c r="R11926" i="1"/>
  <c r="J11926" i="1"/>
  <c r="I11926" i="1"/>
  <c r="G11926" i="1"/>
  <c r="F11926" i="1"/>
  <c r="E11926" i="1"/>
  <c r="D11926" i="1"/>
  <c r="C11926" i="1"/>
  <c r="B11926" i="1"/>
  <c r="A11926" i="1"/>
  <c r="S11925" i="1"/>
  <c r="O11925" i="1"/>
  <c r="K11925" i="1"/>
  <c r="J11925" i="1"/>
  <c r="I11925" i="1"/>
  <c r="H11925" i="1"/>
  <c r="G11925" i="1"/>
  <c r="F11925" i="1"/>
  <c r="E11925" i="1"/>
  <c r="D11925" i="1"/>
  <c r="C11925" i="1"/>
  <c r="B11925" i="1"/>
  <c r="A11925" i="1"/>
  <c r="R11924" i="1"/>
  <c r="J11924" i="1"/>
  <c r="I11924" i="1"/>
  <c r="G11924" i="1"/>
  <c r="F11924" i="1"/>
  <c r="E11924" i="1"/>
  <c r="D11924" i="1"/>
  <c r="C11924" i="1"/>
  <c r="B11924" i="1"/>
  <c r="A11924" i="1"/>
  <c r="S11923" i="1"/>
  <c r="O11923" i="1"/>
  <c r="K11923" i="1"/>
  <c r="J11923" i="1"/>
  <c r="I11923" i="1"/>
  <c r="H11923" i="1"/>
  <c r="G11923" i="1"/>
  <c r="F11923" i="1"/>
  <c r="E11923" i="1"/>
  <c r="D11923" i="1"/>
  <c r="C11923" i="1"/>
  <c r="B11923" i="1"/>
  <c r="A11923" i="1"/>
  <c r="R11922" i="1"/>
  <c r="J11922" i="1"/>
  <c r="I11922" i="1"/>
  <c r="G11922" i="1"/>
  <c r="F11922" i="1"/>
  <c r="E11922" i="1"/>
  <c r="D11922" i="1"/>
  <c r="C11922" i="1"/>
  <c r="B11922" i="1"/>
  <c r="A11922" i="1"/>
  <c r="S11921" i="1"/>
  <c r="O11921" i="1"/>
  <c r="K11921" i="1"/>
  <c r="J11921" i="1"/>
  <c r="I11921" i="1"/>
  <c r="H11921" i="1"/>
  <c r="G11921" i="1"/>
  <c r="F11921" i="1"/>
  <c r="E11921" i="1"/>
  <c r="D11921" i="1"/>
  <c r="C11921" i="1"/>
  <c r="B11921" i="1"/>
  <c r="A11921" i="1"/>
  <c r="R11920" i="1"/>
  <c r="J11920" i="1"/>
  <c r="I11920" i="1"/>
  <c r="G11920" i="1"/>
  <c r="F11920" i="1"/>
  <c r="E11920" i="1"/>
  <c r="D11920" i="1"/>
  <c r="C11920" i="1"/>
  <c r="B11920" i="1"/>
  <c r="A11920" i="1"/>
  <c r="S11919" i="1"/>
  <c r="O11919" i="1"/>
  <c r="K11919" i="1"/>
  <c r="J11919" i="1"/>
  <c r="I11919" i="1"/>
  <c r="H11919" i="1"/>
  <c r="G11919" i="1"/>
  <c r="F11919" i="1"/>
  <c r="E11919" i="1"/>
  <c r="D11919" i="1"/>
  <c r="C11919" i="1"/>
  <c r="B11919" i="1"/>
  <c r="A11919" i="1"/>
  <c r="R11918" i="1"/>
  <c r="J11918" i="1"/>
  <c r="I11918" i="1"/>
  <c r="G11918" i="1"/>
  <c r="F11918" i="1"/>
  <c r="E11918" i="1"/>
  <c r="D11918" i="1"/>
  <c r="C11918" i="1"/>
  <c r="B11918" i="1"/>
  <c r="A11918" i="1"/>
  <c r="R11917" i="1"/>
  <c r="J11917" i="1"/>
  <c r="I11917" i="1"/>
  <c r="G11917" i="1"/>
  <c r="F11917" i="1"/>
  <c r="E11917" i="1"/>
  <c r="D11917" i="1"/>
  <c r="C11917" i="1"/>
  <c r="B11917" i="1"/>
  <c r="A11917" i="1"/>
  <c r="S11916" i="1"/>
  <c r="O11916" i="1"/>
  <c r="K11916" i="1"/>
  <c r="J11916" i="1"/>
  <c r="I11916" i="1"/>
  <c r="H11916" i="1"/>
  <c r="G11916" i="1"/>
  <c r="F11916" i="1"/>
  <c r="E11916" i="1"/>
  <c r="D11916" i="1"/>
  <c r="C11916" i="1"/>
  <c r="B11916" i="1"/>
  <c r="A11916" i="1"/>
  <c r="R11915" i="1"/>
  <c r="J11915" i="1"/>
  <c r="I11915" i="1"/>
  <c r="G11915" i="1"/>
  <c r="F11915" i="1"/>
  <c r="E11915" i="1"/>
  <c r="D11915" i="1"/>
  <c r="C11915" i="1"/>
  <c r="B11915" i="1"/>
  <c r="A11915" i="1"/>
  <c r="S11914" i="1"/>
  <c r="O11914" i="1"/>
  <c r="K11914" i="1"/>
  <c r="J11914" i="1"/>
  <c r="I11914" i="1"/>
  <c r="H11914" i="1"/>
  <c r="G11914" i="1"/>
  <c r="F11914" i="1"/>
  <c r="E11914" i="1"/>
  <c r="D11914" i="1"/>
  <c r="C11914" i="1"/>
  <c r="B11914" i="1"/>
  <c r="A11914" i="1"/>
  <c r="R11913" i="1"/>
  <c r="J11913" i="1"/>
  <c r="I11913" i="1"/>
  <c r="G11913" i="1"/>
  <c r="F11913" i="1"/>
  <c r="E11913" i="1"/>
  <c r="D11913" i="1"/>
  <c r="C11913" i="1"/>
  <c r="B11913" i="1"/>
  <c r="A11913" i="1"/>
  <c r="S11912" i="1"/>
  <c r="O11912" i="1"/>
  <c r="K11912" i="1"/>
  <c r="J11912" i="1"/>
  <c r="I11912" i="1"/>
  <c r="H11912" i="1"/>
  <c r="G11912" i="1"/>
  <c r="F11912" i="1"/>
  <c r="E11912" i="1"/>
  <c r="D11912" i="1"/>
  <c r="C11912" i="1"/>
  <c r="B11912" i="1"/>
  <c r="A11912" i="1"/>
  <c r="R11911" i="1"/>
  <c r="J11911" i="1"/>
  <c r="I11911" i="1"/>
  <c r="G11911" i="1"/>
  <c r="F11911" i="1"/>
  <c r="E11911" i="1"/>
  <c r="D11911" i="1"/>
  <c r="C11911" i="1"/>
  <c r="B11911" i="1"/>
  <c r="A11911" i="1"/>
  <c r="R11910" i="1"/>
  <c r="J11910" i="1"/>
  <c r="I11910" i="1"/>
  <c r="G11910" i="1"/>
  <c r="F11910" i="1"/>
  <c r="E11910" i="1"/>
  <c r="D11910" i="1"/>
  <c r="C11910" i="1"/>
  <c r="B11910" i="1"/>
  <c r="A11910" i="1"/>
  <c r="S11909" i="1"/>
  <c r="O11909" i="1"/>
  <c r="K11909" i="1"/>
  <c r="J11909" i="1"/>
  <c r="I11909" i="1"/>
  <c r="H11909" i="1"/>
  <c r="G11909" i="1"/>
  <c r="F11909" i="1"/>
  <c r="E11909" i="1"/>
  <c r="D11909" i="1"/>
  <c r="C11909" i="1"/>
  <c r="B11909" i="1"/>
  <c r="A11909" i="1"/>
  <c r="R11908" i="1"/>
  <c r="J11908" i="1"/>
  <c r="I11908" i="1"/>
  <c r="G11908" i="1"/>
  <c r="F11908" i="1"/>
  <c r="E11908" i="1"/>
  <c r="D11908" i="1"/>
  <c r="C11908" i="1"/>
  <c r="B11908" i="1"/>
  <c r="A11908" i="1"/>
  <c r="S11907" i="1"/>
  <c r="O11907" i="1"/>
  <c r="K11907" i="1"/>
  <c r="J11907" i="1"/>
  <c r="I11907" i="1"/>
  <c r="H11907" i="1"/>
  <c r="G11907" i="1"/>
  <c r="F11907" i="1"/>
  <c r="E11907" i="1"/>
  <c r="D11907" i="1"/>
  <c r="C11907" i="1"/>
  <c r="B11907" i="1"/>
  <c r="A11907" i="1"/>
  <c r="R11906" i="1"/>
  <c r="J11906" i="1"/>
  <c r="I11906" i="1"/>
  <c r="G11906" i="1"/>
  <c r="F11906" i="1"/>
  <c r="E11906" i="1"/>
  <c r="D11906" i="1"/>
  <c r="C11906" i="1"/>
  <c r="B11906" i="1"/>
  <c r="A11906" i="1"/>
  <c r="S11905" i="1"/>
  <c r="O11905" i="1"/>
  <c r="K11905" i="1"/>
  <c r="J11905" i="1"/>
  <c r="I11905" i="1"/>
  <c r="H11905" i="1"/>
  <c r="G11905" i="1"/>
  <c r="F11905" i="1"/>
  <c r="E11905" i="1"/>
  <c r="D11905" i="1"/>
  <c r="C11905" i="1"/>
  <c r="B11905" i="1"/>
  <c r="A11905" i="1"/>
  <c r="R11904" i="1"/>
  <c r="J11904" i="1"/>
  <c r="I11904" i="1"/>
  <c r="G11904" i="1"/>
  <c r="F11904" i="1"/>
  <c r="E11904" i="1"/>
  <c r="D11904" i="1"/>
  <c r="C11904" i="1"/>
  <c r="B11904" i="1"/>
  <c r="A11904" i="1"/>
  <c r="S11903" i="1"/>
  <c r="O11903" i="1"/>
  <c r="K11903" i="1"/>
  <c r="J11903" i="1"/>
  <c r="I11903" i="1"/>
  <c r="H11903" i="1"/>
  <c r="G11903" i="1"/>
  <c r="F11903" i="1"/>
  <c r="E11903" i="1"/>
  <c r="D11903" i="1"/>
  <c r="C11903" i="1"/>
  <c r="B11903" i="1"/>
  <c r="A11903" i="1"/>
  <c r="R11902" i="1"/>
  <c r="J11902" i="1"/>
  <c r="I11902" i="1"/>
  <c r="G11902" i="1"/>
  <c r="F11902" i="1"/>
  <c r="E11902" i="1"/>
  <c r="D11902" i="1"/>
  <c r="C11902" i="1"/>
  <c r="B11902" i="1"/>
  <c r="A11902" i="1"/>
  <c r="S11901" i="1"/>
  <c r="O11901" i="1"/>
  <c r="K11901" i="1"/>
  <c r="J11901" i="1"/>
  <c r="I11901" i="1"/>
  <c r="H11901" i="1"/>
  <c r="G11901" i="1"/>
  <c r="F11901" i="1"/>
  <c r="E11901" i="1"/>
  <c r="D11901" i="1"/>
  <c r="C11901" i="1"/>
  <c r="B11901" i="1"/>
  <c r="A11901" i="1"/>
  <c r="R11900" i="1"/>
  <c r="J11900" i="1"/>
  <c r="I11900" i="1"/>
  <c r="G11900" i="1"/>
  <c r="F11900" i="1"/>
  <c r="E11900" i="1"/>
  <c r="D11900" i="1"/>
  <c r="C11900" i="1"/>
  <c r="B11900" i="1"/>
  <c r="A11900" i="1"/>
  <c r="S11899" i="1"/>
  <c r="O11899" i="1"/>
  <c r="K11899" i="1"/>
  <c r="J11899" i="1"/>
  <c r="I11899" i="1"/>
  <c r="H11899" i="1"/>
  <c r="G11899" i="1"/>
  <c r="F11899" i="1"/>
  <c r="E11899" i="1"/>
  <c r="D11899" i="1"/>
  <c r="C11899" i="1"/>
  <c r="B11899" i="1"/>
  <c r="A11899" i="1"/>
  <c r="R11898" i="1"/>
  <c r="J11898" i="1"/>
  <c r="I11898" i="1"/>
  <c r="G11898" i="1"/>
  <c r="F11898" i="1"/>
  <c r="E11898" i="1"/>
  <c r="D11898" i="1"/>
  <c r="C11898" i="1"/>
  <c r="B11898" i="1"/>
  <c r="A11898" i="1"/>
  <c r="S11897" i="1"/>
  <c r="O11897" i="1"/>
  <c r="K11897" i="1"/>
  <c r="J11897" i="1"/>
  <c r="I11897" i="1"/>
  <c r="H11897" i="1"/>
  <c r="G11897" i="1"/>
  <c r="F11897" i="1"/>
  <c r="E11897" i="1"/>
  <c r="D11897" i="1"/>
  <c r="C11897" i="1"/>
  <c r="B11897" i="1"/>
  <c r="A11897" i="1"/>
  <c r="R11896" i="1"/>
  <c r="J11896" i="1"/>
  <c r="I11896" i="1"/>
  <c r="G11896" i="1"/>
  <c r="F11896" i="1"/>
  <c r="E11896" i="1"/>
  <c r="D11896" i="1"/>
  <c r="C11896" i="1"/>
  <c r="B11896" i="1"/>
  <c r="A11896" i="1"/>
  <c r="S11895" i="1"/>
  <c r="O11895" i="1"/>
  <c r="K11895" i="1"/>
  <c r="J11895" i="1"/>
  <c r="I11895" i="1"/>
  <c r="H11895" i="1"/>
  <c r="G11895" i="1"/>
  <c r="F11895" i="1"/>
  <c r="E11895" i="1"/>
  <c r="D11895" i="1"/>
  <c r="C11895" i="1"/>
  <c r="B11895" i="1"/>
  <c r="A11895" i="1"/>
  <c r="R11894" i="1"/>
  <c r="J11894" i="1"/>
  <c r="I11894" i="1"/>
  <c r="G11894" i="1"/>
  <c r="F11894" i="1"/>
  <c r="E11894" i="1"/>
  <c r="D11894" i="1"/>
  <c r="C11894" i="1"/>
  <c r="B11894" i="1"/>
  <c r="A11894" i="1"/>
  <c r="R11893" i="1"/>
  <c r="J11893" i="1"/>
  <c r="I11893" i="1"/>
  <c r="G11893" i="1"/>
  <c r="F11893" i="1"/>
  <c r="E11893" i="1"/>
  <c r="D11893" i="1"/>
  <c r="C11893" i="1"/>
  <c r="B11893" i="1"/>
  <c r="A11893" i="1"/>
  <c r="S11892" i="1"/>
  <c r="O11892" i="1"/>
  <c r="K11892" i="1"/>
  <c r="J11892" i="1"/>
  <c r="I11892" i="1"/>
  <c r="H11892" i="1"/>
  <c r="G11892" i="1"/>
  <c r="F11892" i="1"/>
  <c r="E11892" i="1"/>
  <c r="D11892" i="1"/>
  <c r="C11892" i="1"/>
  <c r="B11892" i="1"/>
  <c r="A11892" i="1"/>
  <c r="R11891" i="1"/>
  <c r="J11891" i="1"/>
  <c r="I11891" i="1"/>
  <c r="G11891" i="1"/>
  <c r="F11891" i="1"/>
  <c r="E11891" i="1"/>
  <c r="D11891" i="1"/>
  <c r="C11891" i="1"/>
  <c r="B11891" i="1"/>
  <c r="A11891" i="1"/>
  <c r="S11890" i="1"/>
  <c r="O11890" i="1"/>
  <c r="K11890" i="1"/>
  <c r="J11890" i="1"/>
  <c r="I11890" i="1"/>
  <c r="H11890" i="1"/>
  <c r="G11890" i="1"/>
  <c r="F11890" i="1"/>
  <c r="E11890" i="1"/>
  <c r="D11890" i="1"/>
  <c r="C11890" i="1"/>
  <c r="B11890" i="1"/>
  <c r="A11890" i="1"/>
  <c r="R11889" i="1"/>
  <c r="J11889" i="1"/>
  <c r="I11889" i="1"/>
  <c r="G11889" i="1"/>
  <c r="F11889" i="1"/>
  <c r="E11889" i="1"/>
  <c r="D11889" i="1"/>
  <c r="C11889" i="1"/>
  <c r="B11889" i="1"/>
  <c r="A11889" i="1"/>
  <c r="S11888" i="1"/>
  <c r="O11888" i="1"/>
  <c r="K11888" i="1"/>
  <c r="J11888" i="1"/>
  <c r="I11888" i="1"/>
  <c r="H11888" i="1"/>
  <c r="G11888" i="1"/>
  <c r="F11888" i="1"/>
  <c r="E11888" i="1"/>
  <c r="D11888" i="1"/>
  <c r="C11888" i="1"/>
  <c r="B11888" i="1"/>
  <c r="A11888" i="1"/>
  <c r="R11887" i="1"/>
  <c r="J11887" i="1"/>
  <c r="I11887" i="1"/>
  <c r="G11887" i="1"/>
  <c r="F11887" i="1"/>
  <c r="E11887" i="1"/>
  <c r="D11887" i="1"/>
  <c r="C11887" i="1"/>
  <c r="B11887" i="1"/>
  <c r="A11887" i="1"/>
  <c r="S11886" i="1"/>
  <c r="O11886" i="1"/>
  <c r="K11886" i="1"/>
  <c r="J11886" i="1"/>
  <c r="I11886" i="1"/>
  <c r="H11886" i="1"/>
  <c r="G11886" i="1"/>
  <c r="F11886" i="1"/>
  <c r="E11886" i="1"/>
  <c r="D11886" i="1"/>
  <c r="C11886" i="1"/>
  <c r="B11886" i="1"/>
  <c r="A11886" i="1"/>
  <c r="R11885" i="1"/>
  <c r="J11885" i="1"/>
  <c r="I11885" i="1"/>
  <c r="G11885" i="1"/>
  <c r="F11885" i="1"/>
  <c r="E11885" i="1"/>
  <c r="D11885" i="1"/>
  <c r="C11885" i="1"/>
  <c r="B11885" i="1"/>
  <c r="A11885" i="1"/>
  <c r="S11884" i="1"/>
  <c r="O11884" i="1"/>
  <c r="K11884" i="1"/>
  <c r="J11884" i="1"/>
  <c r="I11884" i="1"/>
  <c r="H11884" i="1"/>
  <c r="G11884" i="1"/>
  <c r="F11884" i="1"/>
  <c r="E11884" i="1"/>
  <c r="D11884" i="1"/>
  <c r="C11884" i="1"/>
  <c r="B11884" i="1"/>
  <c r="A11884" i="1"/>
  <c r="R11883" i="1"/>
  <c r="J11883" i="1"/>
  <c r="I11883" i="1"/>
  <c r="G11883" i="1"/>
  <c r="F11883" i="1"/>
  <c r="E11883" i="1"/>
  <c r="D11883" i="1"/>
  <c r="C11883" i="1"/>
  <c r="B11883" i="1"/>
  <c r="A11883" i="1"/>
  <c r="S11882" i="1"/>
  <c r="O11882" i="1"/>
  <c r="K11882" i="1"/>
  <c r="J11882" i="1"/>
  <c r="I11882" i="1"/>
  <c r="H11882" i="1"/>
  <c r="G11882" i="1"/>
  <c r="F11882" i="1"/>
  <c r="E11882" i="1"/>
  <c r="D11882" i="1"/>
  <c r="C11882" i="1"/>
  <c r="B11882" i="1"/>
  <c r="A11882" i="1"/>
  <c r="R11881" i="1"/>
  <c r="J11881" i="1"/>
  <c r="I11881" i="1"/>
  <c r="G11881" i="1"/>
  <c r="F11881" i="1"/>
  <c r="E11881" i="1"/>
  <c r="D11881" i="1"/>
  <c r="C11881" i="1"/>
  <c r="B11881" i="1"/>
  <c r="A11881" i="1"/>
  <c r="R11880" i="1"/>
  <c r="J11880" i="1"/>
  <c r="I11880" i="1"/>
  <c r="G11880" i="1"/>
  <c r="F11880" i="1"/>
  <c r="E11880" i="1"/>
  <c r="D11880" i="1"/>
  <c r="C11880" i="1"/>
  <c r="B11880" i="1"/>
  <c r="A11880" i="1"/>
  <c r="S11879" i="1"/>
  <c r="O11879" i="1"/>
  <c r="K11879" i="1"/>
  <c r="J11879" i="1"/>
  <c r="I11879" i="1"/>
  <c r="H11879" i="1"/>
  <c r="G11879" i="1"/>
  <c r="F11879" i="1"/>
  <c r="E11879" i="1"/>
  <c r="D11879" i="1"/>
  <c r="C11879" i="1"/>
  <c r="B11879" i="1"/>
  <c r="A11879" i="1"/>
  <c r="R11878" i="1"/>
  <c r="J11878" i="1"/>
  <c r="I11878" i="1"/>
  <c r="G11878" i="1"/>
  <c r="F11878" i="1"/>
  <c r="E11878" i="1"/>
  <c r="D11878" i="1"/>
  <c r="C11878" i="1"/>
  <c r="B11878" i="1"/>
  <c r="A11878" i="1"/>
  <c r="S11877" i="1"/>
  <c r="O11877" i="1"/>
  <c r="K11877" i="1"/>
  <c r="J11877" i="1"/>
  <c r="I11877" i="1"/>
  <c r="H11877" i="1"/>
  <c r="G11877" i="1"/>
  <c r="F11877" i="1"/>
  <c r="E11877" i="1"/>
  <c r="D11877" i="1"/>
  <c r="C11877" i="1"/>
  <c r="B11877" i="1"/>
  <c r="A11877" i="1"/>
  <c r="R11876" i="1"/>
  <c r="J11876" i="1"/>
  <c r="I11876" i="1"/>
  <c r="G11876" i="1"/>
  <c r="F11876" i="1"/>
  <c r="E11876" i="1"/>
  <c r="D11876" i="1"/>
  <c r="C11876" i="1"/>
  <c r="B11876" i="1"/>
  <c r="A11876" i="1"/>
  <c r="S11875" i="1"/>
  <c r="O11875" i="1"/>
  <c r="K11875" i="1"/>
  <c r="J11875" i="1"/>
  <c r="I11875" i="1"/>
  <c r="H11875" i="1"/>
  <c r="G11875" i="1"/>
  <c r="F11875" i="1"/>
  <c r="E11875" i="1"/>
  <c r="D11875" i="1"/>
  <c r="C11875" i="1"/>
  <c r="B11875" i="1"/>
  <c r="A11875" i="1"/>
  <c r="R11874" i="1"/>
  <c r="J11874" i="1"/>
  <c r="I11874" i="1"/>
  <c r="G11874" i="1"/>
  <c r="F11874" i="1"/>
  <c r="E11874" i="1"/>
  <c r="D11874" i="1"/>
  <c r="C11874" i="1"/>
  <c r="B11874" i="1"/>
  <c r="A11874" i="1"/>
  <c r="S11873" i="1"/>
  <c r="O11873" i="1"/>
  <c r="K11873" i="1"/>
  <c r="J11873" i="1"/>
  <c r="I11873" i="1"/>
  <c r="H11873" i="1"/>
  <c r="G11873" i="1"/>
  <c r="F11873" i="1"/>
  <c r="E11873" i="1"/>
  <c r="D11873" i="1"/>
  <c r="C11873" i="1"/>
  <c r="B11873" i="1"/>
  <c r="A11873" i="1"/>
  <c r="R11872" i="1"/>
  <c r="J11872" i="1"/>
  <c r="I11872" i="1"/>
  <c r="G11872" i="1"/>
  <c r="F11872" i="1"/>
  <c r="E11872" i="1"/>
  <c r="D11872" i="1"/>
  <c r="C11872" i="1"/>
  <c r="B11872" i="1"/>
  <c r="A11872" i="1"/>
  <c r="S11871" i="1"/>
  <c r="O11871" i="1"/>
  <c r="K11871" i="1"/>
  <c r="J11871" i="1"/>
  <c r="I11871" i="1"/>
  <c r="H11871" i="1"/>
  <c r="G11871" i="1"/>
  <c r="F11871" i="1"/>
  <c r="E11871" i="1"/>
  <c r="D11871" i="1"/>
  <c r="C11871" i="1"/>
  <c r="B11871" i="1"/>
  <c r="A11871" i="1"/>
  <c r="R11870" i="1"/>
  <c r="J11870" i="1"/>
  <c r="I11870" i="1"/>
  <c r="G11870" i="1"/>
  <c r="F11870" i="1"/>
  <c r="E11870" i="1"/>
  <c r="D11870" i="1"/>
  <c r="C11870" i="1"/>
  <c r="B11870" i="1"/>
  <c r="A11870" i="1"/>
  <c r="S11869" i="1"/>
  <c r="O11869" i="1"/>
  <c r="K11869" i="1"/>
  <c r="J11869" i="1"/>
  <c r="I11869" i="1"/>
  <c r="H11869" i="1"/>
  <c r="G11869" i="1"/>
  <c r="F11869" i="1"/>
  <c r="E11869" i="1"/>
  <c r="D11869" i="1"/>
  <c r="C11869" i="1"/>
  <c r="B11869" i="1"/>
  <c r="A11869" i="1"/>
  <c r="R11868" i="1"/>
  <c r="J11868" i="1"/>
  <c r="I11868" i="1"/>
  <c r="G11868" i="1"/>
  <c r="F11868" i="1"/>
  <c r="E11868" i="1"/>
  <c r="D11868" i="1"/>
  <c r="C11868" i="1"/>
  <c r="B11868" i="1"/>
  <c r="A11868" i="1"/>
  <c r="S11867" i="1"/>
  <c r="O11867" i="1"/>
  <c r="K11867" i="1"/>
  <c r="J11867" i="1"/>
  <c r="I11867" i="1"/>
  <c r="H11867" i="1"/>
  <c r="G11867" i="1"/>
  <c r="F11867" i="1"/>
  <c r="E11867" i="1"/>
  <c r="D11867" i="1"/>
  <c r="C11867" i="1"/>
  <c r="B11867" i="1"/>
  <c r="A11867" i="1"/>
  <c r="R11866" i="1"/>
  <c r="J11866" i="1"/>
  <c r="I11866" i="1"/>
  <c r="G11866" i="1"/>
  <c r="F11866" i="1"/>
  <c r="E11866" i="1"/>
  <c r="D11866" i="1"/>
  <c r="C11866" i="1"/>
  <c r="B11866" i="1"/>
  <c r="A11866" i="1"/>
  <c r="S11865" i="1"/>
  <c r="O11865" i="1"/>
  <c r="K11865" i="1"/>
  <c r="J11865" i="1"/>
  <c r="I11865" i="1"/>
  <c r="H11865" i="1"/>
  <c r="G11865" i="1"/>
  <c r="F11865" i="1"/>
  <c r="E11865" i="1"/>
  <c r="D11865" i="1"/>
  <c r="C11865" i="1"/>
  <c r="B11865" i="1"/>
  <c r="A11865" i="1"/>
  <c r="R11864" i="1"/>
  <c r="J11864" i="1"/>
  <c r="I11864" i="1"/>
  <c r="G11864" i="1"/>
  <c r="F11864" i="1"/>
  <c r="E11864" i="1"/>
  <c r="D11864" i="1"/>
  <c r="C11864" i="1"/>
  <c r="B11864" i="1"/>
  <c r="A11864" i="1"/>
  <c r="S11863" i="1"/>
  <c r="O11863" i="1"/>
  <c r="K11863" i="1"/>
  <c r="J11863" i="1"/>
  <c r="I11863" i="1"/>
  <c r="H11863" i="1"/>
  <c r="G11863" i="1"/>
  <c r="F11863" i="1"/>
  <c r="E11863" i="1"/>
  <c r="D11863" i="1"/>
  <c r="C11863" i="1"/>
  <c r="B11863" i="1"/>
  <c r="A11863" i="1"/>
  <c r="R11862" i="1"/>
  <c r="J11862" i="1"/>
  <c r="I11862" i="1"/>
  <c r="G11862" i="1"/>
  <c r="F11862" i="1"/>
  <c r="E11862" i="1"/>
  <c r="D11862" i="1"/>
  <c r="C11862" i="1"/>
  <c r="B11862" i="1"/>
  <c r="A11862" i="1"/>
  <c r="R11861" i="1"/>
  <c r="J11861" i="1"/>
  <c r="I11861" i="1"/>
  <c r="G11861" i="1"/>
  <c r="F11861" i="1"/>
  <c r="E11861" i="1"/>
  <c r="D11861" i="1"/>
  <c r="C11861" i="1"/>
  <c r="B11861" i="1"/>
  <c r="A11861" i="1"/>
  <c r="S11860" i="1"/>
  <c r="O11860" i="1"/>
  <c r="K11860" i="1"/>
  <c r="J11860" i="1"/>
  <c r="I11860" i="1"/>
  <c r="H11860" i="1"/>
  <c r="G11860" i="1"/>
  <c r="F11860" i="1"/>
  <c r="E11860" i="1"/>
  <c r="D11860" i="1"/>
  <c r="C11860" i="1"/>
  <c r="B11860" i="1"/>
  <c r="A11860" i="1"/>
  <c r="R11859" i="1"/>
  <c r="J11859" i="1"/>
  <c r="I11859" i="1"/>
  <c r="G11859" i="1"/>
  <c r="F11859" i="1"/>
  <c r="E11859" i="1"/>
  <c r="D11859" i="1"/>
  <c r="C11859" i="1"/>
  <c r="B11859" i="1"/>
  <c r="A11859" i="1"/>
  <c r="S11858" i="1"/>
  <c r="O11858" i="1"/>
  <c r="K11858" i="1"/>
  <c r="J11858" i="1"/>
  <c r="I11858" i="1"/>
  <c r="H11858" i="1"/>
  <c r="G11858" i="1"/>
  <c r="F11858" i="1"/>
  <c r="E11858" i="1"/>
  <c r="D11858" i="1"/>
  <c r="C11858" i="1"/>
  <c r="B11858" i="1"/>
  <c r="A11858" i="1"/>
  <c r="R11857" i="1"/>
  <c r="J11857" i="1"/>
  <c r="I11857" i="1"/>
  <c r="G11857" i="1"/>
  <c r="F11857" i="1"/>
  <c r="E11857" i="1"/>
  <c r="D11857" i="1"/>
  <c r="C11857" i="1"/>
  <c r="B11857" i="1"/>
  <c r="A11857" i="1"/>
  <c r="S11856" i="1"/>
  <c r="O11856" i="1"/>
  <c r="K11856" i="1"/>
  <c r="J11856" i="1"/>
  <c r="I11856" i="1"/>
  <c r="H11856" i="1"/>
  <c r="G11856" i="1"/>
  <c r="F11856" i="1"/>
  <c r="E11856" i="1"/>
  <c r="D11856" i="1"/>
  <c r="C11856" i="1"/>
  <c r="B11856" i="1"/>
  <c r="A11856" i="1"/>
  <c r="R11855" i="1"/>
  <c r="J11855" i="1"/>
  <c r="I11855" i="1"/>
  <c r="G11855" i="1"/>
  <c r="F11855" i="1"/>
  <c r="E11855" i="1"/>
  <c r="D11855" i="1"/>
  <c r="C11855" i="1"/>
  <c r="B11855" i="1"/>
  <c r="A11855" i="1"/>
  <c r="S11854" i="1"/>
  <c r="O11854" i="1"/>
  <c r="K11854" i="1"/>
  <c r="J11854" i="1"/>
  <c r="I11854" i="1"/>
  <c r="H11854" i="1"/>
  <c r="G11854" i="1"/>
  <c r="F11854" i="1"/>
  <c r="E11854" i="1"/>
  <c r="D11854" i="1"/>
  <c r="C11854" i="1"/>
  <c r="B11854" i="1"/>
  <c r="A11854" i="1"/>
  <c r="R11853" i="1"/>
  <c r="J11853" i="1"/>
  <c r="I11853" i="1"/>
  <c r="G11853" i="1"/>
  <c r="F11853" i="1"/>
  <c r="E11853" i="1"/>
  <c r="D11853" i="1"/>
  <c r="C11853" i="1"/>
  <c r="B11853" i="1"/>
  <c r="A11853" i="1"/>
  <c r="S11852" i="1"/>
  <c r="O11852" i="1"/>
  <c r="K11852" i="1"/>
  <c r="J11852" i="1"/>
  <c r="I11852" i="1"/>
  <c r="H11852" i="1"/>
  <c r="G11852" i="1"/>
  <c r="F11852" i="1"/>
  <c r="E11852" i="1"/>
  <c r="D11852" i="1"/>
  <c r="C11852" i="1"/>
  <c r="B11852" i="1"/>
  <c r="A11852" i="1"/>
  <c r="R11851" i="1"/>
  <c r="J11851" i="1"/>
  <c r="I11851" i="1"/>
  <c r="G11851" i="1"/>
  <c r="F11851" i="1"/>
  <c r="E11851" i="1"/>
  <c r="D11851" i="1"/>
  <c r="C11851" i="1"/>
  <c r="B11851" i="1"/>
  <c r="A11851" i="1"/>
  <c r="S11850" i="1"/>
  <c r="O11850" i="1"/>
  <c r="K11850" i="1"/>
  <c r="J11850" i="1"/>
  <c r="I11850" i="1"/>
  <c r="H11850" i="1"/>
  <c r="G11850" i="1"/>
  <c r="F11850" i="1"/>
  <c r="E11850" i="1"/>
  <c r="D11850" i="1"/>
  <c r="C11850" i="1"/>
  <c r="B11850" i="1"/>
  <c r="A11850" i="1"/>
  <c r="R11849" i="1"/>
  <c r="J11849" i="1"/>
  <c r="I11849" i="1"/>
  <c r="G11849" i="1"/>
  <c r="F11849" i="1"/>
  <c r="E11849" i="1"/>
  <c r="D11849" i="1"/>
  <c r="C11849" i="1"/>
  <c r="B11849" i="1"/>
  <c r="A11849" i="1"/>
  <c r="S11848" i="1"/>
  <c r="O11848" i="1"/>
  <c r="K11848" i="1"/>
  <c r="J11848" i="1"/>
  <c r="I11848" i="1"/>
  <c r="H11848" i="1"/>
  <c r="G11848" i="1"/>
  <c r="F11848" i="1"/>
  <c r="E11848" i="1"/>
  <c r="D11848" i="1"/>
  <c r="C11848" i="1"/>
  <c r="B11848" i="1"/>
  <c r="A11848" i="1"/>
  <c r="R11847" i="1"/>
  <c r="J11847" i="1"/>
  <c r="I11847" i="1"/>
  <c r="G11847" i="1"/>
  <c r="F11847" i="1"/>
  <c r="E11847" i="1"/>
  <c r="D11847" i="1"/>
  <c r="C11847" i="1"/>
  <c r="B11847" i="1"/>
  <c r="A11847" i="1"/>
  <c r="S11846" i="1"/>
  <c r="O11846" i="1"/>
  <c r="K11846" i="1"/>
  <c r="J11846" i="1"/>
  <c r="I11846" i="1"/>
  <c r="H11846" i="1"/>
  <c r="G11846" i="1"/>
  <c r="F11846" i="1"/>
  <c r="E11846" i="1"/>
  <c r="D11846" i="1"/>
  <c r="C11846" i="1"/>
  <c r="B11846" i="1"/>
  <c r="A11846" i="1"/>
  <c r="R11845" i="1"/>
  <c r="J11845" i="1"/>
  <c r="I11845" i="1"/>
  <c r="G11845" i="1"/>
  <c r="F11845" i="1"/>
  <c r="E11845" i="1"/>
  <c r="D11845" i="1"/>
  <c r="C11845" i="1"/>
  <c r="B11845" i="1"/>
  <c r="A11845" i="1"/>
  <c r="S11844" i="1"/>
  <c r="O11844" i="1"/>
  <c r="K11844" i="1"/>
  <c r="J11844" i="1"/>
  <c r="I11844" i="1"/>
  <c r="H11844" i="1"/>
  <c r="G11844" i="1"/>
  <c r="F11844" i="1"/>
  <c r="E11844" i="1"/>
  <c r="D11844" i="1"/>
  <c r="C11844" i="1"/>
  <c r="B11844" i="1"/>
  <c r="A11844" i="1"/>
  <c r="R11843" i="1"/>
  <c r="J11843" i="1"/>
  <c r="I11843" i="1"/>
  <c r="G11843" i="1"/>
  <c r="F11843" i="1"/>
  <c r="E11843" i="1"/>
  <c r="D11843" i="1"/>
  <c r="C11843" i="1"/>
  <c r="B11843" i="1"/>
  <c r="A11843" i="1"/>
  <c r="S11842" i="1"/>
  <c r="O11842" i="1"/>
  <c r="K11842" i="1"/>
  <c r="J11842" i="1"/>
  <c r="I11842" i="1"/>
  <c r="H11842" i="1"/>
  <c r="G11842" i="1"/>
  <c r="F11842" i="1"/>
  <c r="E11842" i="1"/>
  <c r="D11842" i="1"/>
  <c r="C11842" i="1"/>
  <c r="B11842" i="1"/>
  <c r="A11842" i="1"/>
  <c r="R11841" i="1"/>
  <c r="J11841" i="1"/>
  <c r="I11841" i="1"/>
  <c r="G11841" i="1"/>
  <c r="F11841" i="1"/>
  <c r="E11841" i="1"/>
  <c r="D11841" i="1"/>
  <c r="C11841" i="1"/>
  <c r="B11841" i="1"/>
  <c r="A11841" i="1"/>
  <c r="S11840" i="1"/>
  <c r="O11840" i="1"/>
  <c r="K11840" i="1"/>
  <c r="J11840" i="1"/>
  <c r="I11840" i="1"/>
  <c r="H11840" i="1"/>
  <c r="G11840" i="1"/>
  <c r="F11840" i="1"/>
  <c r="E11840" i="1"/>
  <c r="D11840" i="1"/>
  <c r="C11840" i="1"/>
  <c r="B11840" i="1"/>
  <c r="A11840" i="1"/>
  <c r="R11839" i="1"/>
  <c r="J11839" i="1"/>
  <c r="I11839" i="1"/>
  <c r="G11839" i="1"/>
  <c r="F11839" i="1"/>
  <c r="E11839" i="1"/>
  <c r="D11839" i="1"/>
  <c r="C11839" i="1"/>
  <c r="B11839" i="1"/>
  <c r="A11839" i="1"/>
  <c r="S11838" i="1"/>
  <c r="O11838" i="1"/>
  <c r="K11838" i="1"/>
  <c r="J11838" i="1"/>
  <c r="I11838" i="1"/>
  <c r="H11838" i="1"/>
  <c r="G11838" i="1"/>
  <c r="F11838" i="1"/>
  <c r="E11838" i="1"/>
  <c r="D11838" i="1"/>
  <c r="C11838" i="1"/>
  <c r="B11838" i="1"/>
  <c r="A11838" i="1"/>
  <c r="R11837" i="1"/>
  <c r="J11837" i="1"/>
  <c r="I11837" i="1"/>
  <c r="G11837" i="1"/>
  <c r="F11837" i="1"/>
  <c r="E11837" i="1"/>
  <c r="D11837" i="1"/>
  <c r="C11837" i="1"/>
  <c r="B11837" i="1"/>
  <c r="A11837" i="1"/>
  <c r="R11836" i="1"/>
  <c r="J11836" i="1"/>
  <c r="I11836" i="1"/>
  <c r="G11836" i="1"/>
  <c r="F11836" i="1"/>
  <c r="E11836" i="1"/>
  <c r="D11836" i="1"/>
  <c r="C11836" i="1"/>
  <c r="B11836" i="1"/>
  <c r="A11836" i="1"/>
  <c r="S11835" i="1"/>
  <c r="O11835" i="1"/>
  <c r="K11835" i="1"/>
  <c r="J11835" i="1"/>
  <c r="I11835" i="1"/>
  <c r="H11835" i="1"/>
  <c r="G11835" i="1"/>
  <c r="F11835" i="1"/>
  <c r="E11835" i="1"/>
  <c r="D11835" i="1"/>
  <c r="C11835" i="1"/>
  <c r="B11835" i="1"/>
  <c r="A11835" i="1"/>
  <c r="R11834" i="1"/>
  <c r="J11834" i="1"/>
  <c r="I11834" i="1"/>
  <c r="G11834" i="1"/>
  <c r="F11834" i="1"/>
  <c r="E11834" i="1"/>
  <c r="D11834" i="1"/>
  <c r="C11834" i="1"/>
  <c r="B11834" i="1"/>
  <c r="A11834" i="1"/>
  <c r="S11833" i="1"/>
  <c r="O11833" i="1"/>
  <c r="K11833" i="1"/>
  <c r="J11833" i="1"/>
  <c r="I11833" i="1"/>
  <c r="H11833" i="1"/>
  <c r="G11833" i="1"/>
  <c r="F11833" i="1"/>
  <c r="E11833" i="1"/>
  <c r="D11833" i="1"/>
  <c r="C11833" i="1"/>
  <c r="B11833" i="1"/>
  <c r="A11833" i="1"/>
  <c r="R11832" i="1"/>
  <c r="J11832" i="1"/>
  <c r="I11832" i="1"/>
  <c r="G11832" i="1"/>
  <c r="F11832" i="1"/>
  <c r="E11832" i="1"/>
  <c r="D11832" i="1"/>
  <c r="C11832" i="1"/>
  <c r="B11832" i="1"/>
  <c r="A11832" i="1"/>
  <c r="S11831" i="1"/>
  <c r="O11831" i="1"/>
  <c r="K11831" i="1"/>
  <c r="J11831" i="1"/>
  <c r="I11831" i="1"/>
  <c r="H11831" i="1"/>
  <c r="G11831" i="1"/>
  <c r="F11831" i="1"/>
  <c r="E11831" i="1"/>
  <c r="D11831" i="1"/>
  <c r="C11831" i="1"/>
  <c r="B11831" i="1"/>
  <c r="A11831" i="1"/>
  <c r="R11830" i="1"/>
  <c r="J11830" i="1"/>
  <c r="I11830" i="1"/>
  <c r="G11830" i="1"/>
  <c r="F11830" i="1"/>
  <c r="E11830" i="1"/>
  <c r="D11830" i="1"/>
  <c r="C11830" i="1"/>
  <c r="B11830" i="1"/>
  <c r="A11830" i="1"/>
  <c r="S11829" i="1"/>
  <c r="O11829" i="1"/>
  <c r="K11829" i="1"/>
  <c r="J11829" i="1"/>
  <c r="I11829" i="1"/>
  <c r="H11829" i="1"/>
  <c r="G11829" i="1"/>
  <c r="F11829" i="1"/>
  <c r="E11829" i="1"/>
  <c r="D11829" i="1"/>
  <c r="C11829" i="1"/>
  <c r="B11829" i="1"/>
  <c r="A11829" i="1"/>
  <c r="S11828" i="1"/>
  <c r="O11828" i="1"/>
  <c r="K11828" i="1"/>
  <c r="J11828" i="1"/>
  <c r="I11828" i="1"/>
  <c r="H11828" i="1"/>
  <c r="G11828" i="1"/>
  <c r="F11828" i="1"/>
  <c r="E11828" i="1"/>
  <c r="D11828" i="1"/>
  <c r="C11828" i="1"/>
  <c r="B11828" i="1"/>
  <c r="A11828" i="1"/>
  <c r="R11827" i="1"/>
  <c r="J11827" i="1"/>
  <c r="I11827" i="1"/>
  <c r="G11827" i="1"/>
  <c r="F11827" i="1"/>
  <c r="E11827" i="1"/>
  <c r="D11827" i="1"/>
  <c r="C11827" i="1"/>
  <c r="B11827" i="1"/>
  <c r="A11827" i="1"/>
  <c r="S11826" i="1"/>
  <c r="O11826" i="1"/>
  <c r="K11826" i="1"/>
  <c r="J11826" i="1"/>
  <c r="I11826" i="1"/>
  <c r="H11826" i="1"/>
  <c r="G11826" i="1"/>
  <c r="F11826" i="1"/>
  <c r="E11826" i="1"/>
  <c r="D11826" i="1"/>
  <c r="C11826" i="1"/>
  <c r="B11826" i="1"/>
  <c r="A11826" i="1"/>
  <c r="R11825" i="1"/>
  <c r="J11825" i="1"/>
  <c r="I11825" i="1"/>
  <c r="G11825" i="1"/>
  <c r="F11825" i="1"/>
  <c r="E11825" i="1"/>
  <c r="D11825" i="1"/>
  <c r="C11825" i="1"/>
  <c r="B11825" i="1"/>
  <c r="A11825" i="1"/>
  <c r="R11824" i="1"/>
  <c r="J11824" i="1"/>
  <c r="I11824" i="1"/>
  <c r="G11824" i="1"/>
  <c r="F11824" i="1"/>
  <c r="E11824" i="1"/>
  <c r="D11824" i="1"/>
  <c r="C11824" i="1"/>
  <c r="B11824" i="1"/>
  <c r="A11824" i="1"/>
  <c r="S11823" i="1"/>
  <c r="O11823" i="1"/>
  <c r="K11823" i="1"/>
  <c r="J11823" i="1"/>
  <c r="I11823" i="1"/>
  <c r="H11823" i="1"/>
  <c r="G11823" i="1"/>
  <c r="F11823" i="1"/>
  <c r="E11823" i="1"/>
  <c r="D11823" i="1"/>
  <c r="C11823" i="1"/>
  <c r="B11823" i="1"/>
  <c r="A11823" i="1"/>
  <c r="R11822" i="1"/>
  <c r="J11822" i="1"/>
  <c r="I11822" i="1"/>
  <c r="G11822" i="1"/>
  <c r="F11822" i="1"/>
  <c r="E11822" i="1"/>
  <c r="D11822" i="1"/>
  <c r="C11822" i="1"/>
  <c r="B11822" i="1"/>
  <c r="A11822" i="1"/>
  <c r="R11821" i="1"/>
  <c r="J11821" i="1"/>
  <c r="I11821" i="1"/>
  <c r="G11821" i="1"/>
  <c r="F11821" i="1"/>
  <c r="E11821" i="1"/>
  <c r="D11821" i="1"/>
  <c r="C11821" i="1"/>
  <c r="B11821" i="1"/>
  <c r="A11821" i="1"/>
  <c r="S11820" i="1"/>
  <c r="O11820" i="1"/>
  <c r="K11820" i="1"/>
  <c r="J11820" i="1"/>
  <c r="I11820" i="1"/>
  <c r="H11820" i="1"/>
  <c r="G11820" i="1"/>
  <c r="F11820" i="1"/>
  <c r="E11820" i="1"/>
  <c r="D11820" i="1"/>
  <c r="C11820" i="1"/>
  <c r="B11820" i="1"/>
  <c r="A11820" i="1"/>
  <c r="R11819" i="1"/>
  <c r="J11819" i="1"/>
  <c r="I11819" i="1"/>
  <c r="G11819" i="1"/>
  <c r="F11819" i="1"/>
  <c r="E11819" i="1"/>
  <c r="D11819" i="1"/>
  <c r="C11819" i="1"/>
  <c r="B11819" i="1"/>
  <c r="A11819" i="1"/>
  <c r="S11818" i="1"/>
  <c r="O11818" i="1"/>
  <c r="K11818" i="1"/>
  <c r="J11818" i="1"/>
  <c r="I11818" i="1"/>
  <c r="H11818" i="1"/>
  <c r="G11818" i="1"/>
  <c r="F11818" i="1"/>
  <c r="E11818" i="1"/>
  <c r="D11818" i="1"/>
  <c r="C11818" i="1"/>
  <c r="B11818" i="1"/>
  <c r="A11818" i="1"/>
  <c r="R11817" i="1"/>
  <c r="J11817" i="1"/>
  <c r="I11817" i="1"/>
  <c r="G11817" i="1"/>
  <c r="F11817" i="1"/>
  <c r="E11817" i="1"/>
  <c r="D11817" i="1"/>
  <c r="C11817" i="1"/>
  <c r="B11817" i="1"/>
  <c r="A11817" i="1"/>
  <c r="S11816" i="1"/>
  <c r="O11816" i="1"/>
  <c r="K11816" i="1"/>
  <c r="J11816" i="1"/>
  <c r="I11816" i="1"/>
  <c r="H11816" i="1"/>
  <c r="G11816" i="1"/>
  <c r="F11816" i="1"/>
  <c r="E11816" i="1"/>
  <c r="D11816" i="1"/>
  <c r="C11816" i="1"/>
  <c r="B11816" i="1"/>
  <c r="A11816" i="1"/>
  <c r="R11815" i="1"/>
  <c r="J11815" i="1"/>
  <c r="I11815" i="1"/>
  <c r="G11815" i="1"/>
  <c r="F11815" i="1"/>
  <c r="E11815" i="1"/>
  <c r="D11815" i="1"/>
  <c r="C11815" i="1"/>
  <c r="B11815" i="1"/>
  <c r="A11815" i="1"/>
  <c r="S11814" i="1"/>
  <c r="O11814" i="1"/>
  <c r="K11814" i="1"/>
  <c r="J11814" i="1"/>
  <c r="I11814" i="1"/>
  <c r="H11814" i="1"/>
  <c r="G11814" i="1"/>
  <c r="F11814" i="1"/>
  <c r="E11814" i="1"/>
  <c r="D11814" i="1"/>
  <c r="C11814" i="1"/>
  <c r="B11814" i="1"/>
  <c r="A11814" i="1"/>
  <c r="R11813" i="1"/>
  <c r="J11813" i="1"/>
  <c r="I11813" i="1"/>
  <c r="G11813" i="1"/>
  <c r="F11813" i="1"/>
  <c r="E11813" i="1"/>
  <c r="D11813" i="1"/>
  <c r="C11813" i="1"/>
  <c r="B11813" i="1"/>
  <c r="A11813" i="1"/>
  <c r="R11812" i="1"/>
  <c r="J11812" i="1"/>
  <c r="I11812" i="1"/>
  <c r="G11812" i="1"/>
  <c r="F11812" i="1"/>
  <c r="E11812" i="1"/>
  <c r="D11812" i="1"/>
  <c r="C11812" i="1"/>
  <c r="B11812" i="1"/>
  <c r="A11812" i="1"/>
  <c r="S11811" i="1"/>
  <c r="O11811" i="1"/>
  <c r="K11811" i="1"/>
  <c r="J11811" i="1"/>
  <c r="I11811" i="1"/>
  <c r="H11811" i="1"/>
  <c r="G11811" i="1"/>
  <c r="F11811" i="1"/>
  <c r="E11811" i="1"/>
  <c r="D11811" i="1"/>
  <c r="C11811" i="1"/>
  <c r="B11811" i="1"/>
  <c r="A11811" i="1"/>
  <c r="R11810" i="1"/>
  <c r="J11810" i="1"/>
  <c r="I11810" i="1"/>
  <c r="G11810" i="1"/>
  <c r="F11810" i="1"/>
  <c r="E11810" i="1"/>
  <c r="D11810" i="1"/>
  <c r="C11810" i="1"/>
  <c r="B11810" i="1"/>
  <c r="A11810" i="1"/>
  <c r="R11809" i="1"/>
  <c r="J11809" i="1"/>
  <c r="I11809" i="1"/>
  <c r="G11809" i="1"/>
  <c r="F11809" i="1"/>
  <c r="E11809" i="1"/>
  <c r="D11809" i="1"/>
  <c r="C11809" i="1"/>
  <c r="B11809" i="1"/>
  <c r="A11809" i="1"/>
  <c r="S11808" i="1"/>
  <c r="O11808" i="1"/>
  <c r="K11808" i="1"/>
  <c r="J11808" i="1"/>
  <c r="I11808" i="1"/>
  <c r="H11808" i="1"/>
  <c r="G11808" i="1"/>
  <c r="F11808" i="1"/>
  <c r="E11808" i="1"/>
  <c r="D11808" i="1"/>
  <c r="C11808" i="1"/>
  <c r="B11808" i="1"/>
  <c r="A11808" i="1"/>
  <c r="R11807" i="1"/>
  <c r="J11807" i="1"/>
  <c r="I11807" i="1"/>
  <c r="G11807" i="1"/>
  <c r="F11807" i="1"/>
  <c r="E11807" i="1"/>
  <c r="D11807" i="1"/>
  <c r="C11807" i="1"/>
  <c r="B11807" i="1"/>
  <c r="A11807" i="1"/>
  <c r="S11806" i="1"/>
  <c r="O11806" i="1"/>
  <c r="K11806" i="1"/>
  <c r="J11806" i="1"/>
  <c r="I11806" i="1"/>
  <c r="H11806" i="1"/>
  <c r="G11806" i="1"/>
  <c r="F11806" i="1"/>
  <c r="E11806" i="1"/>
  <c r="D11806" i="1"/>
  <c r="C11806" i="1"/>
  <c r="B11806" i="1"/>
  <c r="A11806" i="1"/>
  <c r="R11805" i="1"/>
  <c r="J11805" i="1"/>
  <c r="I11805" i="1"/>
  <c r="G11805" i="1"/>
  <c r="F11805" i="1"/>
  <c r="E11805" i="1"/>
  <c r="D11805" i="1"/>
  <c r="C11805" i="1"/>
  <c r="B11805" i="1"/>
  <c r="A11805" i="1"/>
  <c r="S11804" i="1"/>
  <c r="O11804" i="1"/>
  <c r="K11804" i="1"/>
  <c r="J11804" i="1"/>
  <c r="I11804" i="1"/>
  <c r="H11804" i="1"/>
  <c r="G11804" i="1"/>
  <c r="F11804" i="1"/>
  <c r="E11804" i="1"/>
  <c r="D11804" i="1"/>
  <c r="C11804" i="1"/>
  <c r="B11804" i="1"/>
  <c r="A11804" i="1"/>
  <c r="R11803" i="1"/>
  <c r="J11803" i="1"/>
  <c r="I11803" i="1"/>
  <c r="G11803" i="1"/>
  <c r="F11803" i="1"/>
  <c r="E11803" i="1"/>
  <c r="D11803" i="1"/>
  <c r="C11803" i="1"/>
  <c r="B11803" i="1"/>
  <c r="A11803" i="1"/>
  <c r="S11802" i="1"/>
  <c r="O11802" i="1"/>
  <c r="K11802" i="1"/>
  <c r="J11802" i="1"/>
  <c r="I11802" i="1"/>
  <c r="H11802" i="1"/>
  <c r="G11802" i="1"/>
  <c r="F11802" i="1"/>
  <c r="E11802" i="1"/>
  <c r="D11802" i="1"/>
  <c r="C11802" i="1"/>
  <c r="B11802" i="1"/>
  <c r="A11802" i="1"/>
  <c r="R11801" i="1"/>
  <c r="J11801" i="1"/>
  <c r="I11801" i="1"/>
  <c r="G11801" i="1"/>
  <c r="F11801" i="1"/>
  <c r="E11801" i="1"/>
  <c r="D11801" i="1"/>
  <c r="C11801" i="1"/>
  <c r="B11801" i="1"/>
  <c r="A11801" i="1"/>
  <c r="S11800" i="1"/>
  <c r="O11800" i="1"/>
  <c r="K11800" i="1"/>
  <c r="J11800" i="1"/>
  <c r="I11800" i="1"/>
  <c r="H11800" i="1"/>
  <c r="G11800" i="1"/>
  <c r="F11800" i="1"/>
  <c r="E11800" i="1"/>
  <c r="D11800" i="1"/>
  <c r="C11800" i="1"/>
  <c r="B11800" i="1"/>
  <c r="A11800" i="1"/>
  <c r="R11799" i="1"/>
  <c r="J11799" i="1"/>
  <c r="I11799" i="1"/>
  <c r="G11799" i="1"/>
  <c r="F11799" i="1"/>
  <c r="E11799" i="1"/>
  <c r="D11799" i="1"/>
  <c r="C11799" i="1"/>
  <c r="B11799" i="1"/>
  <c r="A11799" i="1"/>
  <c r="S11798" i="1"/>
  <c r="O11798" i="1"/>
  <c r="K11798" i="1"/>
  <c r="J11798" i="1"/>
  <c r="I11798" i="1"/>
  <c r="H11798" i="1"/>
  <c r="G11798" i="1"/>
  <c r="F11798" i="1"/>
  <c r="E11798" i="1"/>
  <c r="D11798" i="1"/>
  <c r="C11798" i="1"/>
  <c r="B11798" i="1"/>
  <c r="A11798" i="1"/>
  <c r="R11797" i="1"/>
  <c r="J11797" i="1"/>
  <c r="I11797" i="1"/>
  <c r="G11797" i="1"/>
  <c r="F11797" i="1"/>
  <c r="E11797" i="1"/>
  <c r="D11797" i="1"/>
  <c r="C11797" i="1"/>
  <c r="B11797" i="1"/>
  <c r="A11797" i="1"/>
  <c r="S11796" i="1"/>
  <c r="O11796" i="1"/>
  <c r="K11796" i="1"/>
  <c r="J11796" i="1"/>
  <c r="I11796" i="1"/>
  <c r="H11796" i="1"/>
  <c r="G11796" i="1"/>
  <c r="F11796" i="1"/>
  <c r="E11796" i="1"/>
  <c r="D11796" i="1"/>
  <c r="C11796" i="1"/>
  <c r="B11796" i="1"/>
  <c r="A11796" i="1"/>
  <c r="R11795" i="1"/>
  <c r="J11795" i="1"/>
  <c r="I11795" i="1"/>
  <c r="G11795" i="1"/>
  <c r="F11795" i="1"/>
  <c r="E11795" i="1"/>
  <c r="D11795" i="1"/>
  <c r="C11795" i="1"/>
  <c r="B11795" i="1"/>
  <c r="A11795" i="1"/>
  <c r="S11794" i="1"/>
  <c r="O11794" i="1"/>
  <c r="K11794" i="1"/>
  <c r="J11794" i="1"/>
  <c r="I11794" i="1"/>
  <c r="H11794" i="1"/>
  <c r="G11794" i="1"/>
  <c r="F11794" i="1"/>
  <c r="E11794" i="1"/>
  <c r="D11794" i="1"/>
  <c r="C11794" i="1"/>
  <c r="B11794" i="1"/>
  <c r="A11794" i="1"/>
  <c r="R11793" i="1"/>
  <c r="J11793" i="1"/>
  <c r="I11793" i="1"/>
  <c r="G11793" i="1"/>
  <c r="F11793" i="1"/>
  <c r="E11793" i="1"/>
  <c r="D11793" i="1"/>
  <c r="C11793" i="1"/>
  <c r="B11793" i="1"/>
  <c r="A11793" i="1"/>
  <c r="S11792" i="1"/>
  <c r="O11792" i="1"/>
  <c r="K11792" i="1"/>
  <c r="J11792" i="1"/>
  <c r="I11792" i="1"/>
  <c r="H11792" i="1"/>
  <c r="G11792" i="1"/>
  <c r="F11792" i="1"/>
  <c r="E11792" i="1"/>
  <c r="D11792" i="1"/>
  <c r="C11792" i="1"/>
  <c r="B11792" i="1"/>
  <c r="A11792" i="1"/>
  <c r="R11791" i="1"/>
  <c r="J11791" i="1"/>
  <c r="I11791" i="1"/>
  <c r="G11791" i="1"/>
  <c r="F11791" i="1"/>
  <c r="E11791" i="1"/>
  <c r="D11791" i="1"/>
  <c r="C11791" i="1"/>
  <c r="B11791" i="1"/>
  <c r="A11791" i="1"/>
  <c r="S11790" i="1"/>
  <c r="O11790" i="1"/>
  <c r="K11790" i="1"/>
  <c r="J11790" i="1"/>
  <c r="I11790" i="1"/>
  <c r="H11790" i="1"/>
  <c r="G11790" i="1"/>
  <c r="F11790" i="1"/>
  <c r="E11790" i="1"/>
  <c r="D11790" i="1"/>
  <c r="C11790" i="1"/>
  <c r="B11790" i="1"/>
  <c r="A11790" i="1"/>
  <c r="R11789" i="1"/>
  <c r="J11789" i="1"/>
  <c r="I11789" i="1"/>
  <c r="G11789" i="1"/>
  <c r="F11789" i="1"/>
  <c r="E11789" i="1"/>
  <c r="D11789" i="1"/>
  <c r="C11789" i="1"/>
  <c r="B11789" i="1"/>
  <c r="A11789" i="1"/>
  <c r="S11788" i="1"/>
  <c r="O11788" i="1"/>
  <c r="K11788" i="1"/>
  <c r="J11788" i="1"/>
  <c r="I11788" i="1"/>
  <c r="H11788" i="1"/>
  <c r="G11788" i="1"/>
  <c r="F11788" i="1"/>
  <c r="E11788" i="1"/>
  <c r="D11788" i="1"/>
  <c r="C11788" i="1"/>
  <c r="B11788" i="1"/>
  <c r="A11788" i="1"/>
  <c r="R11787" i="1"/>
  <c r="J11787" i="1"/>
  <c r="I11787" i="1"/>
  <c r="G11787" i="1"/>
  <c r="F11787" i="1"/>
  <c r="E11787" i="1"/>
  <c r="D11787" i="1"/>
  <c r="C11787" i="1"/>
  <c r="B11787" i="1"/>
  <c r="A11787" i="1"/>
  <c r="S11786" i="1"/>
  <c r="O11786" i="1"/>
  <c r="K11786" i="1"/>
  <c r="J11786" i="1"/>
  <c r="I11786" i="1"/>
  <c r="H11786" i="1"/>
  <c r="G11786" i="1"/>
  <c r="F11786" i="1"/>
  <c r="E11786" i="1"/>
  <c r="D11786" i="1"/>
  <c r="C11786" i="1"/>
  <c r="B11786" i="1"/>
  <c r="A11786" i="1"/>
  <c r="R11785" i="1"/>
  <c r="J11785" i="1"/>
  <c r="I11785" i="1"/>
  <c r="G11785" i="1"/>
  <c r="F11785" i="1"/>
  <c r="E11785" i="1"/>
  <c r="D11785" i="1"/>
  <c r="C11785" i="1"/>
  <c r="B11785" i="1"/>
  <c r="A11785" i="1"/>
  <c r="S11784" i="1"/>
  <c r="O11784" i="1"/>
  <c r="K11784" i="1"/>
  <c r="J11784" i="1"/>
  <c r="I11784" i="1"/>
  <c r="H11784" i="1"/>
  <c r="G11784" i="1"/>
  <c r="F11784" i="1"/>
  <c r="E11784" i="1"/>
  <c r="D11784" i="1"/>
  <c r="C11784" i="1"/>
  <c r="B11784" i="1"/>
  <c r="A11784" i="1"/>
  <c r="R11783" i="1"/>
  <c r="J11783" i="1"/>
  <c r="I11783" i="1"/>
  <c r="G11783" i="1"/>
  <c r="F11783" i="1"/>
  <c r="E11783" i="1"/>
  <c r="D11783" i="1"/>
  <c r="C11783" i="1"/>
  <c r="B11783" i="1"/>
  <c r="A11783" i="1"/>
  <c r="S11782" i="1"/>
  <c r="O11782" i="1"/>
  <c r="K11782" i="1"/>
  <c r="J11782" i="1"/>
  <c r="I11782" i="1"/>
  <c r="H11782" i="1"/>
  <c r="G11782" i="1"/>
  <c r="F11782" i="1"/>
  <c r="E11782" i="1"/>
  <c r="D11782" i="1"/>
  <c r="C11782" i="1"/>
  <c r="B11782" i="1"/>
  <c r="A11782" i="1"/>
  <c r="R11781" i="1"/>
  <c r="J11781" i="1"/>
  <c r="I11781" i="1"/>
  <c r="G11781" i="1"/>
  <c r="F11781" i="1"/>
  <c r="E11781" i="1"/>
  <c r="D11781" i="1"/>
  <c r="C11781" i="1"/>
  <c r="B11781" i="1"/>
  <c r="A11781" i="1"/>
  <c r="S11780" i="1"/>
  <c r="O11780" i="1"/>
  <c r="K11780" i="1"/>
  <c r="J11780" i="1"/>
  <c r="I11780" i="1"/>
  <c r="H11780" i="1"/>
  <c r="G11780" i="1"/>
  <c r="F11780" i="1"/>
  <c r="E11780" i="1"/>
  <c r="D11780" i="1"/>
  <c r="C11780" i="1"/>
  <c r="B11780" i="1"/>
  <c r="A11780" i="1"/>
  <c r="R11779" i="1"/>
  <c r="J11779" i="1"/>
  <c r="I11779" i="1"/>
  <c r="G11779" i="1"/>
  <c r="F11779" i="1"/>
  <c r="E11779" i="1"/>
  <c r="D11779" i="1"/>
  <c r="C11779" i="1"/>
  <c r="B11779" i="1"/>
  <c r="A11779" i="1"/>
  <c r="S11778" i="1"/>
  <c r="O11778" i="1"/>
  <c r="K11778" i="1"/>
  <c r="J11778" i="1"/>
  <c r="I11778" i="1"/>
  <c r="H11778" i="1"/>
  <c r="G11778" i="1"/>
  <c r="F11778" i="1"/>
  <c r="E11778" i="1"/>
  <c r="D11778" i="1"/>
  <c r="C11778" i="1"/>
  <c r="B11778" i="1"/>
  <c r="A11778" i="1"/>
  <c r="R11777" i="1"/>
  <c r="J11777" i="1"/>
  <c r="I11777" i="1"/>
  <c r="G11777" i="1"/>
  <c r="F11777" i="1"/>
  <c r="E11777" i="1"/>
  <c r="D11777" i="1"/>
  <c r="C11777" i="1"/>
  <c r="B11777" i="1"/>
  <c r="A11777" i="1"/>
  <c r="S11776" i="1"/>
  <c r="O11776" i="1"/>
  <c r="K11776" i="1"/>
  <c r="J11776" i="1"/>
  <c r="I11776" i="1"/>
  <c r="H11776" i="1"/>
  <c r="G11776" i="1"/>
  <c r="F11776" i="1"/>
  <c r="E11776" i="1"/>
  <c r="D11776" i="1"/>
  <c r="C11776" i="1"/>
  <c r="B11776" i="1"/>
  <c r="A11776" i="1"/>
  <c r="R11775" i="1"/>
  <c r="J11775" i="1"/>
  <c r="I11775" i="1"/>
  <c r="G11775" i="1"/>
  <c r="F11775" i="1"/>
  <c r="E11775" i="1"/>
  <c r="D11775" i="1"/>
  <c r="C11775" i="1"/>
  <c r="B11775" i="1"/>
  <c r="A11775" i="1"/>
  <c r="S11774" i="1"/>
  <c r="O11774" i="1"/>
  <c r="K11774" i="1"/>
  <c r="J11774" i="1"/>
  <c r="I11774" i="1"/>
  <c r="H11774" i="1"/>
  <c r="G11774" i="1"/>
  <c r="F11774" i="1"/>
  <c r="E11774" i="1"/>
  <c r="D11774" i="1"/>
  <c r="C11774" i="1"/>
  <c r="B11774" i="1"/>
  <c r="A11774" i="1"/>
  <c r="R11773" i="1"/>
  <c r="J11773" i="1"/>
  <c r="I11773" i="1"/>
  <c r="G11773" i="1"/>
  <c r="F11773" i="1"/>
  <c r="E11773" i="1"/>
  <c r="D11773" i="1"/>
  <c r="C11773" i="1"/>
  <c r="B11773" i="1"/>
  <c r="A11773" i="1"/>
  <c r="S11772" i="1"/>
  <c r="O11772" i="1"/>
  <c r="K11772" i="1"/>
  <c r="J11772" i="1"/>
  <c r="I11772" i="1"/>
  <c r="H11772" i="1"/>
  <c r="G11772" i="1"/>
  <c r="F11772" i="1"/>
  <c r="E11772" i="1"/>
  <c r="D11772" i="1"/>
  <c r="C11772" i="1"/>
  <c r="B11772" i="1"/>
  <c r="A11772" i="1"/>
  <c r="R11771" i="1"/>
  <c r="J11771" i="1"/>
  <c r="I11771" i="1"/>
  <c r="G11771" i="1"/>
  <c r="F11771" i="1"/>
  <c r="E11771" i="1"/>
  <c r="D11771" i="1"/>
  <c r="C11771" i="1"/>
  <c r="B11771" i="1"/>
  <c r="A11771" i="1"/>
  <c r="S11770" i="1"/>
  <c r="O11770" i="1"/>
  <c r="K11770" i="1"/>
  <c r="J11770" i="1"/>
  <c r="I11770" i="1"/>
  <c r="H11770" i="1"/>
  <c r="G11770" i="1"/>
  <c r="F11770" i="1"/>
  <c r="E11770" i="1"/>
  <c r="D11770" i="1"/>
  <c r="C11770" i="1"/>
  <c r="B11770" i="1"/>
  <c r="A11770" i="1"/>
  <c r="S11769" i="1"/>
  <c r="O11769" i="1"/>
  <c r="K11769" i="1"/>
  <c r="J11769" i="1"/>
  <c r="I11769" i="1"/>
  <c r="H11769" i="1"/>
  <c r="G11769" i="1"/>
  <c r="F11769" i="1"/>
  <c r="D11769" i="1"/>
  <c r="C11769" i="1"/>
  <c r="B11769" i="1"/>
  <c r="A11769" i="1"/>
  <c r="R11768" i="1"/>
  <c r="J11768" i="1"/>
  <c r="I11768" i="1"/>
  <c r="G11768" i="1"/>
  <c r="F11768" i="1"/>
  <c r="E11768" i="1"/>
  <c r="D11768" i="1"/>
  <c r="C11768" i="1"/>
  <c r="B11768" i="1"/>
  <c r="A11768" i="1"/>
  <c r="S11767" i="1"/>
  <c r="O11767" i="1"/>
  <c r="K11767" i="1"/>
  <c r="J11767" i="1"/>
  <c r="I11767" i="1"/>
  <c r="H11767" i="1"/>
  <c r="G11767" i="1"/>
  <c r="F11767" i="1"/>
  <c r="E11767" i="1"/>
  <c r="D11767" i="1"/>
  <c r="C11767" i="1"/>
  <c r="B11767" i="1"/>
  <c r="A11767" i="1"/>
  <c r="R11766" i="1"/>
  <c r="J11766" i="1"/>
  <c r="I11766" i="1"/>
  <c r="G11766" i="1"/>
  <c r="F11766" i="1"/>
  <c r="E11766" i="1"/>
  <c r="D11766" i="1"/>
  <c r="C11766" i="1"/>
  <c r="B11766" i="1"/>
  <c r="A11766" i="1"/>
  <c r="S11765" i="1"/>
  <c r="O11765" i="1"/>
  <c r="K11765" i="1"/>
  <c r="J11765" i="1"/>
  <c r="I11765" i="1"/>
  <c r="H11765" i="1"/>
  <c r="G11765" i="1"/>
  <c r="F11765" i="1"/>
  <c r="E11765" i="1"/>
  <c r="D11765" i="1"/>
  <c r="C11765" i="1"/>
  <c r="B11765" i="1"/>
  <c r="A11765" i="1"/>
  <c r="R11764" i="1"/>
  <c r="J11764" i="1"/>
  <c r="I11764" i="1"/>
  <c r="G11764" i="1"/>
  <c r="F11764" i="1"/>
  <c r="E11764" i="1"/>
  <c r="D11764" i="1"/>
  <c r="C11764" i="1"/>
  <c r="B11764" i="1"/>
  <c r="A11764" i="1"/>
  <c r="S11763" i="1"/>
  <c r="O11763" i="1"/>
  <c r="K11763" i="1"/>
  <c r="J11763" i="1"/>
  <c r="I11763" i="1"/>
  <c r="H11763" i="1"/>
  <c r="G11763" i="1"/>
  <c r="F11763" i="1"/>
  <c r="E11763" i="1"/>
  <c r="D11763" i="1"/>
  <c r="C11763" i="1"/>
  <c r="B11763" i="1"/>
  <c r="A11763" i="1"/>
  <c r="R11762" i="1"/>
  <c r="J11762" i="1"/>
  <c r="I11762" i="1"/>
  <c r="G11762" i="1"/>
  <c r="F11762" i="1"/>
  <c r="E11762" i="1"/>
  <c r="D11762" i="1"/>
  <c r="C11762" i="1"/>
  <c r="B11762" i="1"/>
  <c r="A11762" i="1"/>
  <c r="S11761" i="1"/>
  <c r="O11761" i="1"/>
  <c r="K11761" i="1"/>
  <c r="J11761" i="1"/>
  <c r="I11761" i="1"/>
  <c r="H11761" i="1"/>
  <c r="G11761" i="1"/>
  <c r="F11761" i="1"/>
  <c r="E11761" i="1"/>
  <c r="D11761" i="1"/>
  <c r="C11761" i="1"/>
  <c r="B11761" i="1"/>
  <c r="A11761" i="1"/>
  <c r="R11760" i="1"/>
  <c r="J11760" i="1"/>
  <c r="I11760" i="1"/>
  <c r="G11760" i="1"/>
  <c r="F11760" i="1"/>
  <c r="E11760" i="1"/>
  <c r="D11760" i="1"/>
  <c r="C11760" i="1"/>
  <c r="B11760" i="1"/>
  <c r="A11760" i="1"/>
  <c r="S11759" i="1"/>
  <c r="O11759" i="1"/>
  <c r="K11759" i="1"/>
  <c r="J11759" i="1"/>
  <c r="I11759" i="1"/>
  <c r="H11759" i="1"/>
  <c r="G11759" i="1"/>
  <c r="F11759" i="1"/>
  <c r="E11759" i="1"/>
  <c r="D11759" i="1"/>
  <c r="C11759" i="1"/>
  <c r="B11759" i="1"/>
  <c r="A11759" i="1"/>
  <c r="R11758" i="1"/>
  <c r="J11758" i="1"/>
  <c r="I11758" i="1"/>
  <c r="G11758" i="1"/>
  <c r="F11758" i="1"/>
  <c r="E11758" i="1"/>
  <c r="D11758" i="1"/>
  <c r="C11758" i="1"/>
  <c r="B11758" i="1"/>
  <c r="A11758" i="1"/>
  <c r="S11757" i="1"/>
  <c r="O11757" i="1"/>
  <c r="K11757" i="1"/>
  <c r="J11757" i="1"/>
  <c r="I11757" i="1"/>
  <c r="H11757" i="1"/>
  <c r="G11757" i="1"/>
  <c r="F11757" i="1"/>
  <c r="E11757" i="1"/>
  <c r="D11757" i="1"/>
  <c r="C11757" i="1"/>
  <c r="B11757" i="1"/>
  <c r="A11757" i="1"/>
  <c r="R11756" i="1"/>
  <c r="J11756" i="1"/>
  <c r="I11756" i="1"/>
  <c r="G11756" i="1"/>
  <c r="F11756" i="1"/>
  <c r="E11756" i="1"/>
  <c r="D11756" i="1"/>
  <c r="C11756" i="1"/>
  <c r="B11756" i="1"/>
  <c r="A11756" i="1"/>
  <c r="S11755" i="1"/>
  <c r="O11755" i="1"/>
  <c r="K11755" i="1"/>
  <c r="J11755" i="1"/>
  <c r="I11755" i="1"/>
  <c r="H11755" i="1"/>
  <c r="G11755" i="1"/>
  <c r="F11755" i="1"/>
  <c r="E11755" i="1"/>
  <c r="D11755" i="1"/>
  <c r="C11755" i="1"/>
  <c r="B11755" i="1"/>
  <c r="A11755" i="1"/>
  <c r="R11754" i="1"/>
  <c r="J11754" i="1"/>
  <c r="I11754" i="1"/>
  <c r="G11754" i="1"/>
  <c r="F11754" i="1"/>
  <c r="E11754" i="1"/>
  <c r="D11754" i="1"/>
  <c r="C11754" i="1"/>
  <c r="B11754" i="1"/>
  <c r="A11754" i="1"/>
  <c r="S11753" i="1"/>
  <c r="O11753" i="1"/>
  <c r="K11753" i="1"/>
  <c r="J11753" i="1"/>
  <c r="I11753" i="1"/>
  <c r="H11753" i="1"/>
  <c r="G11753" i="1"/>
  <c r="F11753" i="1"/>
  <c r="E11753" i="1"/>
  <c r="D11753" i="1"/>
  <c r="C11753" i="1"/>
  <c r="B11753" i="1"/>
  <c r="A11753" i="1"/>
  <c r="R11752" i="1"/>
  <c r="J11752" i="1"/>
  <c r="I11752" i="1"/>
  <c r="G11752" i="1"/>
  <c r="F11752" i="1"/>
  <c r="E11752" i="1"/>
  <c r="D11752" i="1"/>
  <c r="C11752" i="1"/>
  <c r="B11752" i="1"/>
  <c r="A11752" i="1"/>
  <c r="S11751" i="1"/>
  <c r="O11751" i="1"/>
  <c r="K11751" i="1"/>
  <c r="J11751" i="1"/>
  <c r="I11751" i="1"/>
  <c r="H11751" i="1"/>
  <c r="G11751" i="1"/>
  <c r="F11751" i="1"/>
  <c r="E11751" i="1"/>
  <c r="D11751" i="1"/>
  <c r="C11751" i="1"/>
  <c r="B11751" i="1"/>
  <c r="A11751" i="1"/>
  <c r="R11750" i="1"/>
  <c r="J11750" i="1"/>
  <c r="I11750" i="1"/>
  <c r="G11750" i="1"/>
  <c r="F11750" i="1"/>
  <c r="E11750" i="1"/>
  <c r="D11750" i="1"/>
  <c r="C11750" i="1"/>
  <c r="B11750" i="1"/>
  <c r="A11750" i="1"/>
  <c r="S11749" i="1"/>
  <c r="O11749" i="1"/>
  <c r="K11749" i="1"/>
  <c r="J11749" i="1"/>
  <c r="I11749" i="1"/>
  <c r="H11749" i="1"/>
  <c r="G11749" i="1"/>
  <c r="F11749" i="1"/>
  <c r="E11749" i="1"/>
  <c r="D11749" i="1"/>
  <c r="C11749" i="1"/>
  <c r="B11749" i="1"/>
  <c r="A11749" i="1"/>
  <c r="R11748" i="1"/>
  <c r="J11748" i="1"/>
  <c r="I11748" i="1"/>
  <c r="G11748" i="1"/>
  <c r="F11748" i="1"/>
  <c r="E11748" i="1"/>
  <c r="D11748" i="1"/>
  <c r="C11748" i="1"/>
  <c r="B11748" i="1"/>
  <c r="A11748" i="1"/>
  <c r="S11747" i="1"/>
  <c r="O11747" i="1"/>
  <c r="K11747" i="1"/>
  <c r="J11747" i="1"/>
  <c r="I11747" i="1"/>
  <c r="H11747" i="1"/>
  <c r="G11747" i="1"/>
  <c r="F11747" i="1"/>
  <c r="E11747" i="1"/>
  <c r="D11747" i="1"/>
  <c r="C11747" i="1"/>
  <c r="B11747" i="1"/>
  <c r="A11747" i="1"/>
  <c r="R11746" i="1"/>
  <c r="J11746" i="1"/>
  <c r="I11746" i="1"/>
  <c r="G11746" i="1"/>
  <c r="F11746" i="1"/>
  <c r="E11746" i="1"/>
  <c r="D11746" i="1"/>
  <c r="C11746" i="1"/>
  <c r="B11746" i="1"/>
  <c r="A11746" i="1"/>
  <c r="S11745" i="1"/>
  <c r="O11745" i="1"/>
  <c r="K11745" i="1"/>
  <c r="J11745" i="1"/>
  <c r="I11745" i="1"/>
  <c r="H11745" i="1"/>
  <c r="G11745" i="1"/>
  <c r="F11745" i="1"/>
  <c r="E11745" i="1"/>
  <c r="D11745" i="1"/>
  <c r="C11745" i="1"/>
  <c r="B11745" i="1"/>
  <c r="A11745" i="1"/>
  <c r="R11744" i="1"/>
  <c r="J11744" i="1"/>
  <c r="I11744" i="1"/>
  <c r="G11744" i="1"/>
  <c r="F11744" i="1"/>
  <c r="E11744" i="1"/>
  <c r="D11744" i="1"/>
  <c r="C11744" i="1"/>
  <c r="B11744" i="1"/>
  <c r="A11744" i="1"/>
  <c r="S11743" i="1"/>
  <c r="O11743" i="1"/>
  <c r="K11743" i="1"/>
  <c r="J11743" i="1"/>
  <c r="I11743" i="1"/>
  <c r="H11743" i="1"/>
  <c r="G11743" i="1"/>
  <c r="F11743" i="1"/>
  <c r="E11743" i="1"/>
  <c r="D11743" i="1"/>
  <c r="C11743" i="1"/>
  <c r="B11743" i="1"/>
  <c r="A11743" i="1"/>
  <c r="R11742" i="1"/>
  <c r="J11742" i="1"/>
  <c r="I11742" i="1"/>
  <c r="G11742" i="1"/>
  <c r="F11742" i="1"/>
  <c r="E11742" i="1"/>
  <c r="D11742" i="1"/>
  <c r="C11742" i="1"/>
  <c r="B11742" i="1"/>
  <c r="A11742" i="1"/>
  <c r="S11741" i="1"/>
  <c r="O11741" i="1"/>
  <c r="K11741" i="1"/>
  <c r="J11741" i="1"/>
  <c r="I11741" i="1"/>
  <c r="H11741" i="1"/>
  <c r="G11741" i="1"/>
  <c r="F11741" i="1"/>
  <c r="E11741" i="1"/>
  <c r="D11741" i="1"/>
  <c r="C11741" i="1"/>
  <c r="B11741" i="1"/>
  <c r="A11741" i="1"/>
  <c r="R11740" i="1"/>
  <c r="J11740" i="1"/>
  <c r="I11740" i="1"/>
  <c r="G11740" i="1"/>
  <c r="F11740" i="1"/>
  <c r="E11740" i="1"/>
  <c r="D11740" i="1"/>
  <c r="C11740" i="1"/>
  <c r="B11740" i="1"/>
  <c r="A11740" i="1"/>
  <c r="S11739" i="1"/>
  <c r="O11739" i="1"/>
  <c r="K11739" i="1"/>
  <c r="J11739" i="1"/>
  <c r="I11739" i="1"/>
  <c r="H11739" i="1"/>
  <c r="G11739" i="1"/>
  <c r="F11739" i="1"/>
  <c r="E11739" i="1"/>
  <c r="D11739" i="1"/>
  <c r="C11739" i="1"/>
  <c r="B11739" i="1"/>
  <c r="A11739" i="1"/>
  <c r="R11738" i="1"/>
  <c r="J11738" i="1"/>
  <c r="I11738" i="1"/>
  <c r="G11738" i="1"/>
  <c r="F11738" i="1"/>
  <c r="E11738" i="1"/>
  <c r="D11738" i="1"/>
  <c r="C11738" i="1"/>
  <c r="B11738" i="1"/>
  <c r="A11738" i="1"/>
  <c r="S11737" i="1"/>
  <c r="O11737" i="1"/>
  <c r="K11737" i="1"/>
  <c r="J11737" i="1"/>
  <c r="I11737" i="1"/>
  <c r="H11737" i="1"/>
  <c r="G11737" i="1"/>
  <c r="F11737" i="1"/>
  <c r="E11737" i="1"/>
  <c r="D11737" i="1"/>
  <c r="C11737" i="1"/>
  <c r="B11737" i="1"/>
  <c r="A11737" i="1"/>
  <c r="R11736" i="1"/>
  <c r="J11736" i="1"/>
  <c r="I11736" i="1"/>
  <c r="G11736" i="1"/>
  <c r="F11736" i="1"/>
  <c r="E11736" i="1"/>
  <c r="D11736" i="1"/>
  <c r="C11736" i="1"/>
  <c r="B11736" i="1"/>
  <c r="A11736" i="1"/>
  <c r="S11735" i="1"/>
  <c r="O11735" i="1"/>
  <c r="K11735" i="1"/>
  <c r="J11735" i="1"/>
  <c r="I11735" i="1"/>
  <c r="H11735" i="1"/>
  <c r="G11735" i="1"/>
  <c r="F11735" i="1"/>
  <c r="E11735" i="1"/>
  <c r="D11735" i="1"/>
  <c r="C11735" i="1"/>
  <c r="B11735" i="1"/>
  <c r="A11735" i="1"/>
  <c r="R11734" i="1"/>
  <c r="J11734" i="1"/>
  <c r="I11734" i="1"/>
  <c r="G11734" i="1"/>
  <c r="F11734" i="1"/>
  <c r="E11734" i="1"/>
  <c r="D11734" i="1"/>
  <c r="C11734" i="1"/>
  <c r="B11734" i="1"/>
  <c r="A11734" i="1"/>
  <c r="S11733" i="1"/>
  <c r="O11733" i="1"/>
  <c r="K11733" i="1"/>
  <c r="J11733" i="1"/>
  <c r="I11733" i="1"/>
  <c r="H11733" i="1"/>
  <c r="G11733" i="1"/>
  <c r="F11733" i="1"/>
  <c r="E11733" i="1"/>
  <c r="D11733" i="1"/>
  <c r="C11733" i="1"/>
  <c r="B11733" i="1"/>
  <c r="A11733" i="1"/>
  <c r="R11732" i="1"/>
  <c r="J11732" i="1"/>
  <c r="I11732" i="1"/>
  <c r="G11732" i="1"/>
  <c r="F11732" i="1"/>
  <c r="E11732" i="1"/>
  <c r="D11732" i="1"/>
  <c r="C11732" i="1"/>
  <c r="B11732" i="1"/>
  <c r="A11732" i="1"/>
  <c r="S11731" i="1"/>
  <c r="O11731" i="1"/>
  <c r="K11731" i="1"/>
  <c r="J11731" i="1"/>
  <c r="I11731" i="1"/>
  <c r="H11731" i="1"/>
  <c r="G11731" i="1"/>
  <c r="F11731" i="1"/>
  <c r="E11731" i="1"/>
  <c r="D11731" i="1"/>
  <c r="C11731" i="1"/>
  <c r="B11731" i="1"/>
  <c r="A11731" i="1"/>
  <c r="R11730" i="1"/>
  <c r="J11730" i="1"/>
  <c r="I11730" i="1"/>
  <c r="G11730" i="1"/>
  <c r="F11730" i="1"/>
  <c r="E11730" i="1"/>
  <c r="D11730" i="1"/>
  <c r="C11730" i="1"/>
  <c r="B11730" i="1"/>
  <c r="A11730" i="1"/>
  <c r="S11729" i="1"/>
  <c r="O11729" i="1"/>
  <c r="K11729" i="1"/>
  <c r="J11729" i="1"/>
  <c r="I11729" i="1"/>
  <c r="H11729" i="1"/>
  <c r="G11729" i="1"/>
  <c r="F11729" i="1"/>
  <c r="E11729" i="1"/>
  <c r="D11729" i="1"/>
  <c r="C11729" i="1"/>
  <c r="B11729" i="1"/>
  <c r="A11729" i="1"/>
  <c r="R11728" i="1"/>
  <c r="J11728" i="1"/>
  <c r="I11728" i="1"/>
  <c r="G11728" i="1"/>
  <c r="F11728" i="1"/>
  <c r="E11728" i="1"/>
  <c r="D11728" i="1"/>
  <c r="C11728" i="1"/>
  <c r="B11728" i="1"/>
  <c r="A11728" i="1"/>
  <c r="S11727" i="1"/>
  <c r="O11727" i="1"/>
  <c r="K11727" i="1"/>
  <c r="J11727" i="1"/>
  <c r="I11727" i="1"/>
  <c r="H11727" i="1"/>
  <c r="G11727" i="1"/>
  <c r="F11727" i="1"/>
  <c r="E11727" i="1"/>
  <c r="D11727" i="1"/>
  <c r="C11727" i="1"/>
  <c r="B11727" i="1"/>
  <c r="A11727" i="1"/>
  <c r="R11726" i="1"/>
  <c r="J11726" i="1"/>
  <c r="I11726" i="1"/>
  <c r="G11726" i="1"/>
  <c r="F11726" i="1"/>
  <c r="E11726" i="1"/>
  <c r="D11726" i="1"/>
  <c r="C11726" i="1"/>
  <c r="B11726" i="1"/>
  <c r="A11726" i="1"/>
  <c r="S11725" i="1"/>
  <c r="O11725" i="1"/>
  <c r="K11725" i="1"/>
  <c r="J11725" i="1"/>
  <c r="I11725" i="1"/>
  <c r="H11725" i="1"/>
  <c r="G11725" i="1"/>
  <c r="F11725" i="1"/>
  <c r="E11725" i="1"/>
  <c r="D11725" i="1"/>
  <c r="C11725" i="1"/>
  <c r="B11725" i="1"/>
  <c r="A11725" i="1"/>
  <c r="R11724" i="1"/>
  <c r="J11724" i="1"/>
  <c r="I11724" i="1"/>
  <c r="G11724" i="1"/>
  <c r="F11724" i="1"/>
  <c r="E11724" i="1"/>
  <c r="D11724" i="1"/>
  <c r="C11724" i="1"/>
  <c r="B11724" i="1"/>
  <c r="A11724" i="1"/>
  <c r="S11723" i="1"/>
  <c r="O11723" i="1"/>
  <c r="K11723" i="1"/>
  <c r="J11723" i="1"/>
  <c r="I11723" i="1"/>
  <c r="H11723" i="1"/>
  <c r="G11723" i="1"/>
  <c r="F11723" i="1"/>
  <c r="E11723" i="1"/>
  <c r="D11723" i="1"/>
  <c r="C11723" i="1"/>
  <c r="B11723" i="1"/>
  <c r="A11723" i="1"/>
  <c r="R11722" i="1"/>
  <c r="J11722" i="1"/>
  <c r="I11722" i="1"/>
  <c r="G11722" i="1"/>
  <c r="F11722" i="1"/>
  <c r="E11722" i="1"/>
  <c r="D11722" i="1"/>
  <c r="C11722" i="1"/>
  <c r="B11722" i="1"/>
  <c r="A11722" i="1"/>
  <c r="S11721" i="1"/>
  <c r="O11721" i="1"/>
  <c r="K11721" i="1"/>
  <c r="J11721" i="1"/>
  <c r="I11721" i="1"/>
  <c r="H11721" i="1"/>
  <c r="G11721" i="1"/>
  <c r="F11721" i="1"/>
  <c r="E11721" i="1"/>
  <c r="D11721" i="1"/>
  <c r="C11721" i="1"/>
  <c r="B11721" i="1"/>
  <c r="A11721" i="1"/>
  <c r="R11720" i="1"/>
  <c r="J11720" i="1"/>
  <c r="I11720" i="1"/>
  <c r="G11720" i="1"/>
  <c r="F11720" i="1"/>
  <c r="E11720" i="1"/>
  <c r="D11720" i="1"/>
  <c r="C11720" i="1"/>
  <c r="B11720" i="1"/>
  <c r="A11720" i="1"/>
  <c r="S11719" i="1"/>
  <c r="O11719" i="1"/>
  <c r="K11719" i="1"/>
  <c r="J11719" i="1"/>
  <c r="I11719" i="1"/>
  <c r="H11719" i="1"/>
  <c r="G11719" i="1"/>
  <c r="F11719" i="1"/>
  <c r="E11719" i="1"/>
  <c r="D11719" i="1"/>
  <c r="C11719" i="1"/>
  <c r="B11719" i="1"/>
  <c r="A11719" i="1"/>
  <c r="R11718" i="1"/>
  <c r="J11718" i="1"/>
  <c r="I11718" i="1"/>
  <c r="G11718" i="1"/>
  <c r="F11718" i="1"/>
  <c r="E11718" i="1"/>
  <c r="D11718" i="1"/>
  <c r="C11718" i="1"/>
  <c r="B11718" i="1"/>
  <c r="A11718" i="1"/>
  <c r="S11717" i="1"/>
  <c r="O11717" i="1"/>
  <c r="K11717" i="1"/>
  <c r="J11717" i="1"/>
  <c r="I11717" i="1"/>
  <c r="H11717" i="1"/>
  <c r="G11717" i="1"/>
  <c r="F11717" i="1"/>
  <c r="E11717" i="1"/>
  <c r="D11717" i="1"/>
  <c r="C11717" i="1"/>
  <c r="B11717" i="1"/>
  <c r="A11717" i="1"/>
  <c r="R11716" i="1"/>
  <c r="J11716" i="1"/>
  <c r="I11716" i="1"/>
  <c r="G11716" i="1"/>
  <c r="F11716" i="1"/>
  <c r="E11716" i="1"/>
  <c r="D11716" i="1"/>
  <c r="C11716" i="1"/>
  <c r="B11716" i="1"/>
  <c r="A11716" i="1"/>
  <c r="R11715" i="1"/>
  <c r="J11715" i="1"/>
  <c r="I11715" i="1"/>
  <c r="G11715" i="1"/>
  <c r="F11715" i="1"/>
  <c r="E11715" i="1"/>
  <c r="D11715" i="1"/>
  <c r="C11715" i="1"/>
  <c r="B11715" i="1"/>
  <c r="A11715" i="1"/>
  <c r="R11714" i="1"/>
  <c r="J11714" i="1"/>
  <c r="I11714" i="1"/>
  <c r="G11714" i="1"/>
  <c r="F11714" i="1"/>
  <c r="E11714" i="1"/>
  <c r="D11714" i="1"/>
  <c r="C11714" i="1"/>
  <c r="B11714" i="1"/>
  <c r="A11714" i="1"/>
  <c r="R11713" i="1"/>
  <c r="J11713" i="1"/>
  <c r="I11713" i="1"/>
  <c r="G11713" i="1"/>
  <c r="F11713" i="1"/>
  <c r="E11713" i="1"/>
  <c r="D11713" i="1"/>
  <c r="C11713" i="1"/>
  <c r="B11713" i="1"/>
  <c r="A11713" i="1"/>
  <c r="S11712" i="1"/>
  <c r="O11712" i="1"/>
  <c r="K11712" i="1"/>
  <c r="J11712" i="1"/>
  <c r="I11712" i="1"/>
  <c r="H11712" i="1"/>
  <c r="G11712" i="1"/>
  <c r="F11712" i="1"/>
  <c r="E11712" i="1"/>
  <c r="D11712" i="1"/>
  <c r="C11712" i="1"/>
  <c r="B11712" i="1"/>
  <c r="A11712" i="1"/>
  <c r="R11711" i="1"/>
  <c r="J11711" i="1"/>
  <c r="I11711" i="1"/>
  <c r="G11711" i="1"/>
  <c r="F11711" i="1"/>
  <c r="E11711" i="1"/>
  <c r="D11711" i="1"/>
  <c r="C11711" i="1"/>
  <c r="B11711" i="1"/>
  <c r="A11711" i="1"/>
  <c r="S11710" i="1"/>
  <c r="O11710" i="1"/>
  <c r="K11710" i="1"/>
  <c r="J11710" i="1"/>
  <c r="I11710" i="1"/>
  <c r="H11710" i="1"/>
  <c r="G11710" i="1"/>
  <c r="F11710" i="1"/>
  <c r="E11710" i="1"/>
  <c r="D11710" i="1"/>
  <c r="C11710" i="1"/>
  <c r="B11710" i="1"/>
  <c r="A11710" i="1"/>
  <c r="R11709" i="1"/>
  <c r="J11709" i="1"/>
  <c r="I11709" i="1"/>
  <c r="G11709" i="1"/>
  <c r="F11709" i="1"/>
  <c r="E11709" i="1"/>
  <c r="D11709" i="1"/>
  <c r="C11709" i="1"/>
  <c r="B11709" i="1"/>
  <c r="A11709" i="1"/>
  <c r="S11708" i="1"/>
  <c r="O11708" i="1"/>
  <c r="K11708" i="1"/>
  <c r="J11708" i="1"/>
  <c r="I11708" i="1"/>
  <c r="H11708" i="1"/>
  <c r="G11708" i="1"/>
  <c r="F11708" i="1"/>
  <c r="E11708" i="1"/>
  <c r="D11708" i="1"/>
  <c r="C11708" i="1"/>
  <c r="B11708" i="1"/>
  <c r="A11708" i="1"/>
  <c r="S11707" i="1"/>
  <c r="O11707" i="1"/>
  <c r="K11707" i="1"/>
  <c r="J11707" i="1"/>
  <c r="I11707" i="1"/>
  <c r="H11707" i="1"/>
  <c r="G11707" i="1"/>
  <c r="F11707" i="1"/>
  <c r="D11707" i="1"/>
  <c r="C11707" i="1"/>
  <c r="B11707" i="1"/>
  <c r="A11707" i="1"/>
  <c r="S11706" i="1"/>
  <c r="O11706" i="1"/>
  <c r="K11706" i="1"/>
  <c r="J11706" i="1"/>
  <c r="I11706" i="1"/>
  <c r="H11706" i="1"/>
  <c r="G11706" i="1"/>
  <c r="F11706" i="1"/>
  <c r="D11706" i="1"/>
  <c r="C11706" i="1"/>
  <c r="B11706" i="1"/>
  <c r="A11706" i="1"/>
  <c r="R11705" i="1"/>
  <c r="J11705" i="1"/>
  <c r="I11705" i="1"/>
  <c r="G11705" i="1"/>
  <c r="F11705" i="1"/>
  <c r="E11705" i="1"/>
  <c r="D11705" i="1"/>
  <c r="C11705" i="1"/>
  <c r="B11705" i="1"/>
  <c r="A11705" i="1"/>
  <c r="S11704" i="1"/>
  <c r="O11704" i="1"/>
  <c r="K11704" i="1"/>
  <c r="J11704" i="1"/>
  <c r="I11704" i="1"/>
  <c r="H11704" i="1"/>
  <c r="G11704" i="1"/>
  <c r="F11704" i="1"/>
  <c r="E11704" i="1"/>
  <c r="D11704" i="1"/>
  <c r="C11704" i="1"/>
  <c r="B11704" i="1"/>
  <c r="A11704" i="1"/>
  <c r="R11703" i="1"/>
  <c r="J11703" i="1"/>
  <c r="I11703" i="1"/>
  <c r="G11703" i="1"/>
  <c r="F11703" i="1"/>
  <c r="E11703" i="1"/>
  <c r="D11703" i="1"/>
  <c r="C11703" i="1"/>
  <c r="B11703" i="1"/>
  <c r="A11703" i="1"/>
  <c r="S11702" i="1"/>
  <c r="O11702" i="1"/>
  <c r="K11702" i="1"/>
  <c r="J11702" i="1"/>
  <c r="I11702" i="1"/>
  <c r="H11702" i="1"/>
  <c r="G11702" i="1"/>
  <c r="F11702" i="1"/>
  <c r="E11702" i="1"/>
  <c r="D11702" i="1"/>
  <c r="C11702" i="1"/>
  <c r="B11702" i="1"/>
  <c r="A11702" i="1"/>
  <c r="R11701" i="1"/>
  <c r="J11701" i="1"/>
  <c r="I11701" i="1"/>
  <c r="G11701" i="1"/>
  <c r="F11701" i="1"/>
  <c r="E11701" i="1"/>
  <c r="D11701" i="1"/>
  <c r="C11701" i="1"/>
  <c r="B11701" i="1"/>
  <c r="A11701" i="1"/>
  <c r="R11700" i="1"/>
  <c r="J11700" i="1"/>
  <c r="I11700" i="1"/>
  <c r="G11700" i="1"/>
  <c r="F11700" i="1"/>
  <c r="E11700" i="1"/>
  <c r="D11700" i="1"/>
  <c r="C11700" i="1"/>
  <c r="B11700" i="1"/>
  <c r="A11700" i="1"/>
  <c r="S11699" i="1"/>
  <c r="O11699" i="1"/>
  <c r="K11699" i="1"/>
  <c r="J11699" i="1"/>
  <c r="I11699" i="1"/>
  <c r="H11699" i="1"/>
  <c r="G11699" i="1"/>
  <c r="F11699" i="1"/>
  <c r="E11699" i="1"/>
  <c r="D11699" i="1"/>
  <c r="C11699" i="1"/>
  <c r="B11699" i="1"/>
  <c r="A11699" i="1"/>
  <c r="R11698" i="1"/>
  <c r="J11698" i="1"/>
  <c r="I11698" i="1"/>
  <c r="G11698" i="1"/>
  <c r="F11698" i="1"/>
  <c r="E11698" i="1"/>
  <c r="D11698" i="1"/>
  <c r="C11698" i="1"/>
  <c r="B11698" i="1"/>
  <c r="A11698" i="1"/>
  <c r="S11697" i="1"/>
  <c r="O11697" i="1"/>
  <c r="K11697" i="1"/>
  <c r="J11697" i="1"/>
  <c r="I11697" i="1"/>
  <c r="H11697" i="1"/>
  <c r="G11697" i="1"/>
  <c r="F11697" i="1"/>
  <c r="E11697" i="1"/>
  <c r="D11697" i="1"/>
  <c r="C11697" i="1"/>
  <c r="B11697" i="1"/>
  <c r="A11697" i="1"/>
  <c r="R11696" i="1"/>
  <c r="J11696" i="1"/>
  <c r="I11696" i="1"/>
  <c r="G11696" i="1"/>
  <c r="F11696" i="1"/>
  <c r="E11696" i="1"/>
  <c r="D11696" i="1"/>
  <c r="C11696" i="1"/>
  <c r="B11696" i="1"/>
  <c r="A11696" i="1"/>
  <c r="S11695" i="1"/>
  <c r="O11695" i="1"/>
  <c r="K11695" i="1"/>
  <c r="J11695" i="1"/>
  <c r="I11695" i="1"/>
  <c r="H11695" i="1"/>
  <c r="G11695" i="1"/>
  <c r="F11695" i="1"/>
  <c r="E11695" i="1"/>
  <c r="D11695" i="1"/>
  <c r="C11695" i="1"/>
  <c r="B11695" i="1"/>
  <c r="A11695" i="1"/>
  <c r="R11694" i="1"/>
  <c r="J11694" i="1"/>
  <c r="I11694" i="1"/>
  <c r="G11694" i="1"/>
  <c r="F11694" i="1"/>
  <c r="E11694" i="1"/>
  <c r="D11694" i="1"/>
  <c r="C11694" i="1"/>
  <c r="B11694" i="1"/>
  <c r="A11694" i="1"/>
  <c r="S11693" i="1"/>
  <c r="O11693" i="1"/>
  <c r="K11693" i="1"/>
  <c r="J11693" i="1"/>
  <c r="I11693" i="1"/>
  <c r="H11693" i="1"/>
  <c r="G11693" i="1"/>
  <c r="F11693" i="1"/>
  <c r="E11693" i="1"/>
  <c r="D11693" i="1"/>
  <c r="C11693" i="1"/>
  <c r="B11693" i="1"/>
  <c r="A11693" i="1"/>
  <c r="R11692" i="1"/>
  <c r="J11692" i="1"/>
  <c r="I11692" i="1"/>
  <c r="G11692" i="1"/>
  <c r="F11692" i="1"/>
  <c r="E11692" i="1"/>
  <c r="D11692" i="1"/>
  <c r="C11692" i="1"/>
  <c r="B11692" i="1"/>
  <c r="A11692" i="1"/>
  <c r="S11691" i="1"/>
  <c r="O11691" i="1"/>
  <c r="K11691" i="1"/>
  <c r="J11691" i="1"/>
  <c r="I11691" i="1"/>
  <c r="H11691" i="1"/>
  <c r="G11691" i="1"/>
  <c r="F11691" i="1"/>
  <c r="E11691" i="1"/>
  <c r="D11691" i="1"/>
  <c r="C11691" i="1"/>
  <c r="B11691" i="1"/>
  <c r="A11691" i="1"/>
  <c r="R11690" i="1"/>
  <c r="J11690" i="1"/>
  <c r="I11690" i="1"/>
  <c r="G11690" i="1"/>
  <c r="F11690" i="1"/>
  <c r="E11690" i="1"/>
  <c r="D11690" i="1"/>
  <c r="C11690" i="1"/>
  <c r="B11690" i="1"/>
  <c r="A11690" i="1"/>
  <c r="R11689" i="1"/>
  <c r="J11689" i="1"/>
  <c r="I11689" i="1"/>
  <c r="G11689" i="1"/>
  <c r="F11689" i="1"/>
  <c r="E11689" i="1"/>
  <c r="D11689" i="1"/>
  <c r="C11689" i="1"/>
  <c r="B11689" i="1"/>
  <c r="A11689" i="1"/>
  <c r="S11688" i="1"/>
  <c r="O11688" i="1"/>
  <c r="K11688" i="1"/>
  <c r="J11688" i="1"/>
  <c r="I11688" i="1"/>
  <c r="H11688" i="1"/>
  <c r="G11688" i="1"/>
  <c r="F11688" i="1"/>
  <c r="E11688" i="1"/>
  <c r="D11688" i="1"/>
  <c r="C11688" i="1"/>
  <c r="B11688" i="1"/>
  <c r="A11688" i="1"/>
  <c r="R11687" i="1"/>
  <c r="J11687" i="1"/>
  <c r="I11687" i="1"/>
  <c r="G11687" i="1"/>
  <c r="F11687" i="1"/>
  <c r="E11687" i="1"/>
  <c r="D11687" i="1"/>
  <c r="C11687" i="1"/>
  <c r="B11687" i="1"/>
  <c r="A11687" i="1"/>
  <c r="R11686" i="1"/>
  <c r="J11686" i="1"/>
  <c r="I11686" i="1"/>
  <c r="G11686" i="1"/>
  <c r="F11686" i="1"/>
  <c r="E11686" i="1"/>
  <c r="D11686" i="1"/>
  <c r="C11686" i="1"/>
  <c r="B11686" i="1"/>
  <c r="A11686" i="1"/>
  <c r="R11685" i="1"/>
  <c r="J11685" i="1"/>
  <c r="I11685" i="1"/>
  <c r="G11685" i="1"/>
  <c r="F11685" i="1"/>
  <c r="E11685" i="1"/>
  <c r="D11685" i="1"/>
  <c r="C11685" i="1"/>
  <c r="B11685" i="1"/>
  <c r="A11685" i="1"/>
  <c r="S11684" i="1"/>
  <c r="O11684" i="1"/>
  <c r="K11684" i="1"/>
  <c r="J11684" i="1"/>
  <c r="I11684" i="1"/>
  <c r="H11684" i="1"/>
  <c r="G11684" i="1"/>
  <c r="F11684" i="1"/>
  <c r="E11684" i="1"/>
  <c r="D11684" i="1"/>
  <c r="C11684" i="1"/>
  <c r="B11684" i="1"/>
  <c r="A11684" i="1"/>
  <c r="R11683" i="1"/>
  <c r="J11683" i="1"/>
  <c r="I11683" i="1"/>
  <c r="G11683" i="1"/>
  <c r="F11683" i="1"/>
  <c r="E11683" i="1"/>
  <c r="D11683" i="1"/>
  <c r="C11683" i="1"/>
  <c r="B11683" i="1"/>
  <c r="A11683" i="1"/>
  <c r="S11682" i="1"/>
  <c r="O11682" i="1"/>
  <c r="K11682" i="1"/>
  <c r="J11682" i="1"/>
  <c r="I11682" i="1"/>
  <c r="H11682" i="1"/>
  <c r="G11682" i="1"/>
  <c r="F11682" i="1"/>
  <c r="E11682" i="1"/>
  <c r="D11682" i="1"/>
  <c r="C11682" i="1"/>
  <c r="B11682" i="1"/>
  <c r="A11682" i="1"/>
  <c r="R11681" i="1"/>
  <c r="J11681" i="1"/>
  <c r="I11681" i="1"/>
  <c r="G11681" i="1"/>
  <c r="F11681" i="1"/>
  <c r="E11681" i="1"/>
  <c r="D11681" i="1"/>
  <c r="C11681" i="1"/>
  <c r="B11681" i="1"/>
  <c r="A11681" i="1"/>
  <c r="R11680" i="1"/>
  <c r="J11680" i="1"/>
  <c r="I11680" i="1"/>
  <c r="G11680" i="1"/>
  <c r="F11680" i="1"/>
  <c r="E11680" i="1"/>
  <c r="D11680" i="1"/>
  <c r="C11680" i="1"/>
  <c r="B11680" i="1"/>
  <c r="A11680" i="1"/>
  <c r="R11679" i="1"/>
  <c r="J11679" i="1"/>
  <c r="I11679" i="1"/>
  <c r="G11679" i="1"/>
  <c r="F11679" i="1"/>
  <c r="E11679" i="1"/>
  <c r="D11679" i="1"/>
  <c r="C11679" i="1"/>
  <c r="B11679" i="1"/>
  <c r="A11679" i="1"/>
  <c r="S11678" i="1"/>
  <c r="O11678" i="1"/>
  <c r="K11678" i="1"/>
  <c r="J11678" i="1"/>
  <c r="I11678" i="1"/>
  <c r="H11678" i="1"/>
  <c r="G11678" i="1"/>
  <c r="F11678" i="1"/>
  <c r="E11678" i="1"/>
  <c r="D11678" i="1"/>
  <c r="C11678" i="1"/>
  <c r="B11678" i="1"/>
  <c r="A11678" i="1"/>
  <c r="R11677" i="1"/>
  <c r="J11677" i="1"/>
  <c r="I11677" i="1"/>
  <c r="G11677" i="1"/>
  <c r="F11677" i="1"/>
  <c r="E11677" i="1"/>
  <c r="D11677" i="1"/>
  <c r="C11677" i="1"/>
  <c r="B11677" i="1"/>
  <c r="A11677" i="1"/>
  <c r="S11676" i="1"/>
  <c r="O11676" i="1"/>
  <c r="K11676" i="1"/>
  <c r="J11676" i="1"/>
  <c r="I11676" i="1"/>
  <c r="H11676" i="1"/>
  <c r="G11676" i="1"/>
  <c r="F11676" i="1"/>
  <c r="E11676" i="1"/>
  <c r="D11676" i="1"/>
  <c r="C11676" i="1"/>
  <c r="B11676" i="1"/>
  <c r="A11676" i="1"/>
  <c r="R11675" i="1"/>
  <c r="J11675" i="1"/>
  <c r="I11675" i="1"/>
  <c r="G11675" i="1"/>
  <c r="F11675" i="1"/>
  <c r="E11675" i="1"/>
  <c r="D11675" i="1"/>
  <c r="C11675" i="1"/>
  <c r="B11675" i="1"/>
  <c r="A11675" i="1"/>
  <c r="S11674" i="1"/>
  <c r="O11674" i="1"/>
  <c r="K11674" i="1"/>
  <c r="J11674" i="1"/>
  <c r="I11674" i="1"/>
  <c r="H11674" i="1"/>
  <c r="G11674" i="1"/>
  <c r="F11674" i="1"/>
  <c r="E11674" i="1"/>
  <c r="D11674" i="1"/>
  <c r="C11674" i="1"/>
  <c r="B11674" i="1"/>
  <c r="A11674" i="1"/>
  <c r="R11673" i="1"/>
  <c r="J11673" i="1"/>
  <c r="I11673" i="1"/>
  <c r="G11673" i="1"/>
  <c r="F11673" i="1"/>
  <c r="E11673" i="1"/>
  <c r="D11673" i="1"/>
  <c r="C11673" i="1"/>
  <c r="B11673" i="1"/>
  <c r="A11673" i="1"/>
  <c r="R11672" i="1"/>
  <c r="J11672" i="1"/>
  <c r="I11672" i="1"/>
  <c r="G11672" i="1"/>
  <c r="F11672" i="1"/>
  <c r="E11672" i="1"/>
  <c r="D11672" i="1"/>
  <c r="C11672" i="1"/>
  <c r="B11672" i="1"/>
  <c r="A11672" i="1"/>
  <c r="S11671" i="1"/>
  <c r="O11671" i="1"/>
  <c r="K11671" i="1"/>
  <c r="J11671" i="1"/>
  <c r="I11671" i="1"/>
  <c r="H11671" i="1"/>
  <c r="G11671" i="1"/>
  <c r="F11671" i="1"/>
  <c r="E11671" i="1"/>
  <c r="D11671" i="1"/>
  <c r="C11671" i="1"/>
  <c r="B11671" i="1"/>
  <c r="A11671" i="1"/>
  <c r="R11670" i="1"/>
  <c r="J11670" i="1"/>
  <c r="I11670" i="1"/>
  <c r="G11670" i="1"/>
  <c r="F11670" i="1"/>
  <c r="E11670" i="1"/>
  <c r="D11670" i="1"/>
  <c r="C11670" i="1"/>
  <c r="B11670" i="1"/>
  <c r="A11670" i="1"/>
  <c r="R11669" i="1"/>
  <c r="J11669" i="1"/>
  <c r="I11669" i="1"/>
  <c r="G11669" i="1"/>
  <c r="F11669" i="1"/>
  <c r="E11669" i="1"/>
  <c r="D11669" i="1"/>
  <c r="C11669" i="1"/>
  <c r="B11669" i="1"/>
  <c r="A11669" i="1"/>
  <c r="R11668" i="1"/>
  <c r="J11668" i="1"/>
  <c r="I11668" i="1"/>
  <c r="G11668" i="1"/>
  <c r="F11668" i="1"/>
  <c r="E11668" i="1"/>
  <c r="D11668" i="1"/>
  <c r="C11668" i="1"/>
  <c r="B11668" i="1"/>
  <c r="A11668" i="1"/>
  <c r="R11667" i="1"/>
  <c r="J11667" i="1"/>
  <c r="I11667" i="1"/>
  <c r="G11667" i="1"/>
  <c r="F11667" i="1"/>
  <c r="E11667" i="1"/>
  <c r="D11667" i="1"/>
  <c r="C11667" i="1"/>
  <c r="B11667" i="1"/>
  <c r="A11667" i="1"/>
  <c r="R11666" i="1"/>
  <c r="J11666" i="1"/>
  <c r="I11666" i="1"/>
  <c r="G11666" i="1"/>
  <c r="F11666" i="1"/>
  <c r="E11666" i="1"/>
  <c r="D11666" i="1"/>
  <c r="C11666" i="1"/>
  <c r="B11666" i="1"/>
  <c r="A11666" i="1"/>
  <c r="R11665" i="1"/>
  <c r="J11665" i="1"/>
  <c r="I11665" i="1"/>
  <c r="G11665" i="1"/>
  <c r="F11665" i="1"/>
  <c r="E11665" i="1"/>
  <c r="D11665" i="1"/>
  <c r="C11665" i="1"/>
  <c r="B11665" i="1"/>
  <c r="A11665" i="1"/>
  <c r="S11664" i="1"/>
  <c r="O11664" i="1"/>
  <c r="K11664" i="1"/>
  <c r="J11664" i="1"/>
  <c r="I11664" i="1"/>
  <c r="H11664" i="1"/>
  <c r="G11664" i="1"/>
  <c r="F11664" i="1"/>
  <c r="E11664" i="1"/>
  <c r="D11664" i="1"/>
  <c r="C11664" i="1"/>
  <c r="B11664" i="1"/>
  <c r="A11664" i="1"/>
  <c r="R11663" i="1"/>
  <c r="J11663" i="1"/>
  <c r="I11663" i="1"/>
  <c r="G11663" i="1"/>
  <c r="F11663" i="1"/>
  <c r="E11663" i="1"/>
  <c r="D11663" i="1"/>
  <c r="C11663" i="1"/>
  <c r="B11663" i="1"/>
  <c r="A11663" i="1"/>
  <c r="S11662" i="1"/>
  <c r="O11662" i="1"/>
  <c r="K11662" i="1"/>
  <c r="J11662" i="1"/>
  <c r="I11662" i="1"/>
  <c r="H11662" i="1"/>
  <c r="G11662" i="1"/>
  <c r="F11662" i="1"/>
  <c r="E11662" i="1"/>
  <c r="D11662" i="1"/>
  <c r="C11662" i="1"/>
  <c r="B11662" i="1"/>
  <c r="A11662" i="1"/>
  <c r="R11661" i="1"/>
  <c r="J11661" i="1"/>
  <c r="I11661" i="1"/>
  <c r="G11661" i="1"/>
  <c r="F11661" i="1"/>
  <c r="E11661" i="1"/>
  <c r="D11661" i="1"/>
  <c r="C11661" i="1"/>
  <c r="B11661" i="1"/>
  <c r="A11661" i="1"/>
  <c r="R11660" i="1"/>
  <c r="J11660" i="1"/>
  <c r="I11660" i="1"/>
  <c r="G11660" i="1"/>
  <c r="F11660" i="1"/>
  <c r="E11660" i="1"/>
  <c r="D11660" i="1"/>
  <c r="C11660" i="1"/>
  <c r="B11660" i="1"/>
  <c r="A11660" i="1"/>
  <c r="R11659" i="1"/>
  <c r="J11659" i="1"/>
  <c r="I11659" i="1"/>
  <c r="G11659" i="1"/>
  <c r="F11659" i="1"/>
  <c r="E11659" i="1"/>
  <c r="D11659" i="1"/>
  <c r="C11659" i="1"/>
  <c r="B11659" i="1"/>
  <c r="A11659" i="1"/>
  <c r="S11658" i="1"/>
  <c r="O11658" i="1"/>
  <c r="K11658" i="1"/>
  <c r="J11658" i="1"/>
  <c r="I11658" i="1"/>
  <c r="H11658" i="1"/>
  <c r="G11658" i="1"/>
  <c r="F11658" i="1"/>
  <c r="E11658" i="1"/>
  <c r="D11658" i="1"/>
  <c r="C11658" i="1"/>
  <c r="B11658" i="1"/>
  <c r="A11658" i="1"/>
  <c r="R11657" i="1"/>
  <c r="J11657" i="1"/>
  <c r="I11657" i="1"/>
  <c r="G11657" i="1"/>
  <c r="F11657" i="1"/>
  <c r="E11657" i="1"/>
  <c r="D11657" i="1"/>
  <c r="C11657" i="1"/>
  <c r="B11657" i="1"/>
  <c r="A11657" i="1"/>
  <c r="S11656" i="1"/>
  <c r="O11656" i="1"/>
  <c r="K11656" i="1"/>
  <c r="J11656" i="1"/>
  <c r="I11656" i="1"/>
  <c r="H11656" i="1"/>
  <c r="G11656" i="1"/>
  <c r="F11656" i="1"/>
  <c r="E11656" i="1"/>
  <c r="D11656" i="1"/>
  <c r="C11656" i="1"/>
  <c r="B11656" i="1"/>
  <c r="A11656" i="1"/>
  <c r="R11655" i="1"/>
  <c r="J11655" i="1"/>
  <c r="I11655" i="1"/>
  <c r="G11655" i="1"/>
  <c r="F11655" i="1"/>
  <c r="E11655" i="1"/>
  <c r="D11655" i="1"/>
  <c r="C11655" i="1"/>
  <c r="B11655" i="1"/>
  <c r="A11655" i="1"/>
  <c r="S11654" i="1"/>
  <c r="O11654" i="1"/>
  <c r="K11654" i="1"/>
  <c r="J11654" i="1"/>
  <c r="I11654" i="1"/>
  <c r="H11654" i="1"/>
  <c r="G11654" i="1"/>
  <c r="F11654" i="1"/>
  <c r="E11654" i="1"/>
  <c r="D11654" i="1"/>
  <c r="C11654" i="1"/>
  <c r="B11654" i="1"/>
  <c r="A11654" i="1"/>
  <c r="R11653" i="1"/>
  <c r="J11653" i="1"/>
  <c r="I11653" i="1"/>
  <c r="G11653" i="1"/>
  <c r="F11653" i="1"/>
  <c r="E11653" i="1"/>
  <c r="D11653" i="1"/>
  <c r="C11653" i="1"/>
  <c r="B11653" i="1"/>
  <c r="A11653" i="1"/>
  <c r="R11652" i="1"/>
  <c r="J11652" i="1"/>
  <c r="I11652" i="1"/>
  <c r="G11652" i="1"/>
  <c r="F11652" i="1"/>
  <c r="E11652" i="1"/>
  <c r="D11652" i="1"/>
  <c r="C11652" i="1"/>
  <c r="B11652" i="1"/>
  <c r="A11652" i="1"/>
  <c r="R11651" i="1"/>
  <c r="J11651" i="1"/>
  <c r="I11651" i="1"/>
  <c r="G11651" i="1"/>
  <c r="F11651" i="1"/>
  <c r="E11651" i="1"/>
  <c r="D11651" i="1"/>
  <c r="C11651" i="1"/>
  <c r="B11651" i="1"/>
  <c r="A11651" i="1"/>
  <c r="R11650" i="1"/>
  <c r="J11650" i="1"/>
  <c r="I11650" i="1"/>
  <c r="G11650" i="1"/>
  <c r="F11650" i="1"/>
  <c r="E11650" i="1"/>
  <c r="D11650" i="1"/>
  <c r="C11650" i="1"/>
  <c r="B11650" i="1"/>
  <c r="A11650" i="1"/>
  <c r="R11649" i="1"/>
  <c r="J11649" i="1"/>
  <c r="I11649" i="1"/>
  <c r="G11649" i="1"/>
  <c r="F11649" i="1"/>
  <c r="E11649" i="1"/>
  <c r="D11649" i="1"/>
  <c r="C11649" i="1"/>
  <c r="B11649" i="1"/>
  <c r="A11649" i="1"/>
  <c r="S11648" i="1"/>
  <c r="O11648" i="1"/>
  <c r="K11648" i="1"/>
  <c r="J11648" i="1"/>
  <c r="I11648" i="1"/>
  <c r="H11648" i="1"/>
  <c r="G11648" i="1"/>
  <c r="F11648" i="1"/>
  <c r="E11648" i="1"/>
  <c r="D11648" i="1"/>
  <c r="C11648" i="1"/>
  <c r="B11648" i="1"/>
  <c r="A11648" i="1"/>
  <c r="R11647" i="1"/>
  <c r="J11647" i="1"/>
  <c r="I11647" i="1"/>
  <c r="G11647" i="1"/>
  <c r="F11647" i="1"/>
  <c r="E11647" i="1"/>
  <c r="D11647" i="1"/>
  <c r="C11647" i="1"/>
  <c r="B11647" i="1"/>
  <c r="A11647" i="1"/>
  <c r="S11646" i="1"/>
  <c r="O11646" i="1"/>
  <c r="K11646" i="1"/>
  <c r="J11646" i="1"/>
  <c r="I11646" i="1"/>
  <c r="H11646" i="1"/>
  <c r="G11646" i="1"/>
  <c r="F11646" i="1"/>
  <c r="E11646" i="1"/>
  <c r="D11646" i="1"/>
  <c r="C11646" i="1"/>
  <c r="B11646" i="1"/>
  <c r="A11646" i="1"/>
  <c r="R11645" i="1"/>
  <c r="J11645" i="1"/>
  <c r="I11645" i="1"/>
  <c r="G11645" i="1"/>
  <c r="F11645" i="1"/>
  <c r="E11645" i="1"/>
  <c r="D11645" i="1"/>
  <c r="C11645" i="1"/>
  <c r="B11645" i="1"/>
  <c r="A11645" i="1"/>
  <c r="S11644" i="1"/>
  <c r="O11644" i="1"/>
  <c r="K11644" i="1"/>
  <c r="J11644" i="1"/>
  <c r="I11644" i="1"/>
  <c r="H11644" i="1"/>
  <c r="G11644" i="1"/>
  <c r="F11644" i="1"/>
  <c r="E11644" i="1"/>
  <c r="D11644" i="1"/>
  <c r="C11644" i="1"/>
  <c r="B11644" i="1"/>
  <c r="A11644" i="1"/>
  <c r="R11643" i="1"/>
  <c r="J11643" i="1"/>
  <c r="I11643" i="1"/>
  <c r="G11643" i="1"/>
  <c r="F11643" i="1"/>
  <c r="E11643" i="1"/>
  <c r="D11643" i="1"/>
  <c r="C11643" i="1"/>
  <c r="B11643" i="1"/>
  <c r="A11643" i="1"/>
  <c r="R11642" i="1"/>
  <c r="J11642" i="1"/>
  <c r="I11642" i="1"/>
  <c r="G11642" i="1"/>
  <c r="F11642" i="1"/>
  <c r="E11642" i="1"/>
  <c r="D11642" i="1"/>
  <c r="C11642" i="1"/>
  <c r="B11642" i="1"/>
  <c r="A11642" i="1"/>
  <c r="R11641" i="1"/>
  <c r="J11641" i="1"/>
  <c r="I11641" i="1"/>
  <c r="G11641" i="1"/>
  <c r="F11641" i="1"/>
  <c r="E11641" i="1"/>
  <c r="D11641" i="1"/>
  <c r="C11641" i="1"/>
  <c r="B11641" i="1"/>
  <c r="A11641" i="1"/>
  <c r="R11640" i="1"/>
  <c r="J11640" i="1"/>
  <c r="I11640" i="1"/>
  <c r="G11640" i="1"/>
  <c r="F11640" i="1"/>
  <c r="E11640" i="1"/>
  <c r="D11640" i="1"/>
  <c r="C11640" i="1"/>
  <c r="B11640" i="1"/>
  <c r="A11640" i="1"/>
  <c r="S11639" i="1"/>
  <c r="O11639" i="1"/>
  <c r="K11639" i="1"/>
  <c r="J11639" i="1"/>
  <c r="I11639" i="1"/>
  <c r="H11639" i="1"/>
  <c r="G11639" i="1"/>
  <c r="F11639" i="1"/>
  <c r="E11639" i="1"/>
  <c r="D11639" i="1"/>
  <c r="C11639" i="1"/>
  <c r="B11639" i="1"/>
  <c r="A11639" i="1"/>
  <c r="R11638" i="1"/>
  <c r="J11638" i="1"/>
  <c r="I11638" i="1"/>
  <c r="G11638" i="1"/>
  <c r="F11638" i="1"/>
  <c r="E11638" i="1"/>
  <c r="D11638" i="1"/>
  <c r="C11638" i="1"/>
  <c r="B11638" i="1"/>
  <c r="A11638" i="1"/>
  <c r="S11637" i="1"/>
  <c r="O11637" i="1"/>
  <c r="K11637" i="1"/>
  <c r="J11637" i="1"/>
  <c r="I11637" i="1"/>
  <c r="H11637" i="1"/>
  <c r="G11637" i="1"/>
  <c r="F11637" i="1"/>
  <c r="E11637" i="1"/>
  <c r="D11637" i="1"/>
  <c r="C11637" i="1"/>
  <c r="B11637" i="1"/>
  <c r="A11637" i="1"/>
  <c r="R11636" i="1"/>
  <c r="J11636" i="1"/>
  <c r="I11636" i="1"/>
  <c r="G11636" i="1"/>
  <c r="F11636" i="1"/>
  <c r="E11636" i="1"/>
  <c r="D11636" i="1"/>
  <c r="C11636" i="1"/>
  <c r="B11636" i="1"/>
  <c r="A11636" i="1"/>
  <c r="S11635" i="1"/>
  <c r="O11635" i="1"/>
  <c r="K11635" i="1"/>
  <c r="J11635" i="1"/>
  <c r="I11635" i="1"/>
  <c r="H11635" i="1"/>
  <c r="G11635" i="1"/>
  <c r="F11635" i="1"/>
  <c r="E11635" i="1"/>
  <c r="D11635" i="1"/>
  <c r="C11635" i="1"/>
  <c r="B11635" i="1"/>
  <c r="A11635" i="1"/>
  <c r="R11634" i="1"/>
  <c r="J11634" i="1"/>
  <c r="I11634" i="1"/>
  <c r="G11634" i="1"/>
  <c r="F11634" i="1"/>
  <c r="E11634" i="1"/>
  <c r="D11634" i="1"/>
  <c r="C11634" i="1"/>
  <c r="B11634" i="1"/>
  <c r="A11634" i="1"/>
  <c r="S11633" i="1"/>
  <c r="O11633" i="1"/>
  <c r="K11633" i="1"/>
  <c r="J11633" i="1"/>
  <c r="I11633" i="1"/>
  <c r="H11633" i="1"/>
  <c r="G11633" i="1"/>
  <c r="F11633" i="1"/>
  <c r="E11633" i="1"/>
  <c r="D11633" i="1"/>
  <c r="C11633" i="1"/>
  <c r="B11633" i="1"/>
  <c r="A11633" i="1"/>
  <c r="R11632" i="1"/>
  <c r="J11632" i="1"/>
  <c r="I11632" i="1"/>
  <c r="G11632" i="1"/>
  <c r="F11632" i="1"/>
  <c r="E11632" i="1"/>
  <c r="D11632" i="1"/>
  <c r="C11632" i="1"/>
  <c r="B11632" i="1"/>
  <c r="A11632" i="1"/>
  <c r="S11631" i="1"/>
  <c r="O11631" i="1"/>
  <c r="K11631" i="1"/>
  <c r="J11631" i="1"/>
  <c r="I11631" i="1"/>
  <c r="H11631" i="1"/>
  <c r="G11631" i="1"/>
  <c r="F11631" i="1"/>
  <c r="E11631" i="1"/>
  <c r="D11631" i="1"/>
  <c r="C11631" i="1"/>
  <c r="B11631" i="1"/>
  <c r="A11631" i="1"/>
  <c r="R11630" i="1"/>
  <c r="J11630" i="1"/>
  <c r="I11630" i="1"/>
  <c r="G11630" i="1"/>
  <c r="F11630" i="1"/>
  <c r="E11630" i="1"/>
  <c r="D11630" i="1"/>
  <c r="C11630" i="1"/>
  <c r="B11630" i="1"/>
  <c r="A11630" i="1"/>
  <c r="R11629" i="1"/>
  <c r="J11629" i="1"/>
  <c r="I11629" i="1"/>
  <c r="G11629" i="1"/>
  <c r="F11629" i="1"/>
  <c r="E11629" i="1"/>
  <c r="D11629" i="1"/>
  <c r="C11629" i="1"/>
  <c r="B11629" i="1"/>
  <c r="A11629" i="1"/>
  <c r="R11628" i="1"/>
  <c r="J11628" i="1"/>
  <c r="I11628" i="1"/>
  <c r="G11628" i="1"/>
  <c r="F11628" i="1"/>
  <c r="E11628" i="1"/>
  <c r="D11628" i="1"/>
  <c r="C11628" i="1"/>
  <c r="B11628" i="1"/>
  <c r="A11628" i="1"/>
  <c r="R11627" i="1"/>
  <c r="J11627" i="1"/>
  <c r="I11627" i="1"/>
  <c r="G11627" i="1"/>
  <c r="F11627" i="1"/>
  <c r="E11627" i="1"/>
  <c r="D11627" i="1"/>
  <c r="C11627" i="1"/>
  <c r="B11627" i="1"/>
  <c r="A11627" i="1"/>
  <c r="R11626" i="1"/>
  <c r="J11626" i="1"/>
  <c r="I11626" i="1"/>
  <c r="G11626" i="1"/>
  <c r="F11626" i="1"/>
  <c r="E11626" i="1"/>
  <c r="D11626" i="1"/>
  <c r="C11626" i="1"/>
  <c r="B11626" i="1"/>
  <c r="A11626" i="1"/>
  <c r="R11625" i="1"/>
  <c r="J11625" i="1"/>
  <c r="I11625" i="1"/>
  <c r="G11625" i="1"/>
  <c r="F11625" i="1"/>
  <c r="E11625" i="1"/>
  <c r="D11625" i="1"/>
  <c r="C11625" i="1"/>
  <c r="B11625" i="1"/>
  <c r="A11625" i="1"/>
  <c r="R11624" i="1"/>
  <c r="J11624" i="1"/>
  <c r="I11624" i="1"/>
  <c r="G11624" i="1"/>
  <c r="F11624" i="1"/>
  <c r="E11624" i="1"/>
  <c r="D11624" i="1"/>
  <c r="C11624" i="1"/>
  <c r="B11624" i="1"/>
  <c r="A11624" i="1"/>
  <c r="R11623" i="1"/>
  <c r="J11623" i="1"/>
  <c r="I11623" i="1"/>
  <c r="G11623" i="1"/>
  <c r="F11623" i="1"/>
  <c r="E11623" i="1"/>
  <c r="D11623" i="1"/>
  <c r="C11623" i="1"/>
  <c r="B11623" i="1"/>
  <c r="A11623" i="1"/>
  <c r="R11622" i="1"/>
  <c r="J11622" i="1"/>
  <c r="I11622" i="1"/>
  <c r="G11622" i="1"/>
  <c r="F11622" i="1"/>
  <c r="E11622" i="1"/>
  <c r="D11622" i="1"/>
  <c r="C11622" i="1"/>
  <c r="B11622" i="1"/>
  <c r="A11622" i="1"/>
  <c r="R11621" i="1"/>
  <c r="J11621" i="1"/>
  <c r="I11621" i="1"/>
  <c r="G11621" i="1"/>
  <c r="F11621" i="1"/>
  <c r="E11621" i="1"/>
  <c r="D11621" i="1"/>
  <c r="C11621" i="1"/>
  <c r="B11621" i="1"/>
  <c r="A11621" i="1"/>
  <c r="S11620" i="1"/>
  <c r="O11620" i="1"/>
  <c r="K11620" i="1"/>
  <c r="J11620" i="1"/>
  <c r="I11620" i="1"/>
  <c r="H11620" i="1"/>
  <c r="G11620" i="1"/>
  <c r="F11620" i="1"/>
  <c r="E11620" i="1"/>
  <c r="D11620" i="1"/>
  <c r="C11620" i="1"/>
  <c r="B11620" i="1"/>
  <c r="A11620" i="1"/>
  <c r="R11619" i="1"/>
  <c r="J11619" i="1"/>
  <c r="I11619" i="1"/>
  <c r="G11619" i="1"/>
  <c r="F11619" i="1"/>
  <c r="E11619" i="1"/>
  <c r="D11619" i="1"/>
  <c r="C11619" i="1"/>
  <c r="B11619" i="1"/>
  <c r="A11619" i="1"/>
  <c r="R11618" i="1"/>
  <c r="J11618" i="1"/>
  <c r="I11618" i="1"/>
  <c r="G11618" i="1"/>
  <c r="F11618" i="1"/>
  <c r="E11618" i="1"/>
  <c r="D11618" i="1"/>
  <c r="C11618" i="1"/>
  <c r="B11618" i="1"/>
  <c r="A11618" i="1"/>
  <c r="R11617" i="1"/>
  <c r="J11617" i="1"/>
  <c r="I11617" i="1"/>
  <c r="G11617" i="1"/>
  <c r="F11617" i="1"/>
  <c r="E11617" i="1"/>
  <c r="D11617" i="1"/>
  <c r="C11617" i="1"/>
  <c r="B11617" i="1"/>
  <c r="A11617" i="1"/>
  <c r="R11616" i="1"/>
  <c r="J11616" i="1"/>
  <c r="I11616" i="1"/>
  <c r="G11616" i="1"/>
  <c r="F11616" i="1"/>
  <c r="E11616" i="1"/>
  <c r="D11616" i="1"/>
  <c r="C11616" i="1"/>
  <c r="B11616" i="1"/>
  <c r="A11616" i="1"/>
  <c r="R11615" i="1"/>
  <c r="J11615" i="1"/>
  <c r="I11615" i="1"/>
  <c r="G11615" i="1"/>
  <c r="F11615" i="1"/>
  <c r="E11615" i="1"/>
  <c r="D11615" i="1"/>
  <c r="C11615" i="1"/>
  <c r="B11615" i="1"/>
  <c r="A11615" i="1"/>
  <c r="R11614" i="1"/>
  <c r="J11614" i="1"/>
  <c r="I11614" i="1"/>
  <c r="G11614" i="1"/>
  <c r="F11614" i="1"/>
  <c r="E11614" i="1"/>
  <c r="D11614" i="1"/>
  <c r="C11614" i="1"/>
  <c r="B11614" i="1"/>
  <c r="A11614" i="1"/>
  <c r="R11613" i="1"/>
  <c r="J11613" i="1"/>
  <c r="I11613" i="1"/>
  <c r="G11613" i="1"/>
  <c r="F11613" i="1"/>
  <c r="E11613" i="1"/>
  <c r="D11613" i="1"/>
  <c r="C11613" i="1"/>
  <c r="B11613" i="1"/>
  <c r="A11613" i="1"/>
  <c r="R11612" i="1"/>
  <c r="J11612" i="1"/>
  <c r="I11612" i="1"/>
  <c r="G11612" i="1"/>
  <c r="F11612" i="1"/>
  <c r="E11612" i="1"/>
  <c r="D11612" i="1"/>
  <c r="C11612" i="1"/>
  <c r="B11612" i="1"/>
  <c r="A11612" i="1"/>
  <c r="R11611" i="1"/>
  <c r="J11611" i="1"/>
  <c r="I11611" i="1"/>
  <c r="G11611" i="1"/>
  <c r="F11611" i="1"/>
  <c r="E11611" i="1"/>
  <c r="D11611" i="1"/>
  <c r="C11611" i="1"/>
  <c r="B11611" i="1"/>
  <c r="A11611" i="1"/>
  <c r="R11610" i="1"/>
  <c r="J11610" i="1"/>
  <c r="I11610" i="1"/>
  <c r="G11610" i="1"/>
  <c r="F11610" i="1"/>
  <c r="E11610" i="1"/>
  <c r="D11610" i="1"/>
  <c r="C11610" i="1"/>
  <c r="B11610" i="1"/>
  <c r="A11610" i="1"/>
  <c r="R11609" i="1"/>
  <c r="J11609" i="1"/>
  <c r="I11609" i="1"/>
  <c r="G11609" i="1"/>
  <c r="F11609" i="1"/>
  <c r="E11609" i="1"/>
  <c r="D11609" i="1"/>
  <c r="C11609" i="1"/>
  <c r="B11609" i="1"/>
  <c r="A11609" i="1"/>
  <c r="R11608" i="1"/>
  <c r="J11608" i="1"/>
  <c r="I11608" i="1"/>
  <c r="G11608" i="1"/>
  <c r="F11608" i="1"/>
  <c r="E11608" i="1"/>
  <c r="D11608" i="1"/>
  <c r="C11608" i="1"/>
  <c r="B11608" i="1"/>
  <c r="A11608" i="1"/>
  <c r="S11607" i="1"/>
  <c r="O11607" i="1"/>
  <c r="K11607" i="1"/>
  <c r="J11607" i="1"/>
  <c r="I11607" i="1"/>
  <c r="H11607" i="1"/>
  <c r="G11607" i="1"/>
  <c r="F11607" i="1"/>
  <c r="E11607" i="1"/>
  <c r="D11607" i="1"/>
  <c r="C11607" i="1"/>
  <c r="B11607" i="1"/>
  <c r="A11607" i="1"/>
  <c r="R11606" i="1"/>
  <c r="J11606" i="1"/>
  <c r="I11606" i="1"/>
  <c r="G11606" i="1"/>
  <c r="F11606" i="1"/>
  <c r="E11606" i="1"/>
  <c r="D11606" i="1"/>
  <c r="C11606" i="1"/>
  <c r="B11606" i="1"/>
  <c r="A11606" i="1"/>
  <c r="R11605" i="1"/>
  <c r="J11605" i="1"/>
  <c r="I11605" i="1"/>
  <c r="G11605" i="1"/>
  <c r="F11605" i="1"/>
  <c r="E11605" i="1"/>
  <c r="D11605" i="1"/>
  <c r="C11605" i="1"/>
  <c r="B11605" i="1"/>
  <c r="A11605" i="1"/>
  <c r="R11604" i="1"/>
  <c r="J11604" i="1"/>
  <c r="I11604" i="1"/>
  <c r="G11604" i="1"/>
  <c r="F11604" i="1"/>
  <c r="E11604" i="1"/>
  <c r="D11604" i="1"/>
  <c r="C11604" i="1"/>
  <c r="B11604" i="1"/>
  <c r="A11604" i="1"/>
  <c r="R11603" i="1"/>
  <c r="J11603" i="1"/>
  <c r="I11603" i="1"/>
  <c r="G11603" i="1"/>
  <c r="F11603" i="1"/>
  <c r="E11603" i="1"/>
  <c r="D11603" i="1"/>
  <c r="C11603" i="1"/>
  <c r="B11603" i="1"/>
  <c r="A11603" i="1"/>
  <c r="R11602" i="1"/>
  <c r="J11602" i="1"/>
  <c r="I11602" i="1"/>
  <c r="G11602" i="1"/>
  <c r="F11602" i="1"/>
  <c r="E11602" i="1"/>
  <c r="D11602" i="1"/>
  <c r="C11602" i="1"/>
  <c r="B11602" i="1"/>
  <c r="A11602" i="1"/>
  <c r="R11601" i="1"/>
  <c r="J11601" i="1"/>
  <c r="I11601" i="1"/>
  <c r="G11601" i="1"/>
  <c r="F11601" i="1"/>
  <c r="E11601" i="1"/>
  <c r="D11601" i="1"/>
  <c r="C11601" i="1"/>
  <c r="B11601" i="1"/>
  <c r="A11601" i="1"/>
  <c r="R11600" i="1"/>
  <c r="J11600" i="1"/>
  <c r="I11600" i="1"/>
  <c r="G11600" i="1"/>
  <c r="F11600" i="1"/>
  <c r="E11600" i="1"/>
  <c r="D11600" i="1"/>
  <c r="C11600" i="1"/>
  <c r="B11600" i="1"/>
  <c r="A11600" i="1"/>
  <c r="R11599" i="1"/>
  <c r="J11599" i="1"/>
  <c r="I11599" i="1"/>
  <c r="G11599" i="1"/>
  <c r="F11599" i="1"/>
  <c r="E11599" i="1"/>
  <c r="D11599" i="1"/>
  <c r="C11599" i="1"/>
  <c r="B11599" i="1"/>
  <c r="A11599" i="1"/>
  <c r="R11598" i="1"/>
  <c r="J11598" i="1"/>
  <c r="I11598" i="1"/>
  <c r="G11598" i="1"/>
  <c r="F11598" i="1"/>
  <c r="E11598" i="1"/>
  <c r="D11598" i="1"/>
  <c r="C11598" i="1"/>
  <c r="B11598" i="1"/>
  <c r="A11598" i="1"/>
  <c r="R11597" i="1"/>
  <c r="J11597" i="1"/>
  <c r="I11597" i="1"/>
  <c r="G11597" i="1"/>
  <c r="F11597" i="1"/>
  <c r="E11597" i="1"/>
  <c r="D11597" i="1"/>
  <c r="C11597" i="1"/>
  <c r="B11597" i="1"/>
  <c r="A11597" i="1"/>
  <c r="R11596" i="1"/>
  <c r="J11596" i="1"/>
  <c r="I11596" i="1"/>
  <c r="G11596" i="1"/>
  <c r="F11596" i="1"/>
  <c r="E11596" i="1"/>
  <c r="D11596" i="1"/>
  <c r="C11596" i="1"/>
  <c r="B11596" i="1"/>
  <c r="A11596" i="1"/>
  <c r="R11595" i="1"/>
  <c r="J11595" i="1"/>
  <c r="I11595" i="1"/>
  <c r="G11595" i="1"/>
  <c r="F11595" i="1"/>
  <c r="E11595" i="1"/>
  <c r="D11595" i="1"/>
  <c r="C11595" i="1"/>
  <c r="B11595" i="1"/>
  <c r="A11595" i="1"/>
  <c r="R11594" i="1"/>
  <c r="J11594" i="1"/>
  <c r="I11594" i="1"/>
  <c r="G11594" i="1"/>
  <c r="F11594" i="1"/>
  <c r="E11594" i="1"/>
  <c r="D11594" i="1"/>
  <c r="C11594" i="1"/>
  <c r="B11594" i="1"/>
  <c r="A11594" i="1"/>
  <c r="R11593" i="1"/>
  <c r="J11593" i="1"/>
  <c r="I11593" i="1"/>
  <c r="G11593" i="1"/>
  <c r="F11593" i="1"/>
  <c r="E11593" i="1"/>
  <c r="D11593" i="1"/>
  <c r="C11593" i="1"/>
  <c r="B11593" i="1"/>
  <c r="A11593" i="1"/>
  <c r="R11592" i="1"/>
  <c r="J11592" i="1"/>
  <c r="I11592" i="1"/>
  <c r="G11592" i="1"/>
  <c r="F11592" i="1"/>
  <c r="E11592" i="1"/>
  <c r="D11592" i="1"/>
  <c r="C11592" i="1"/>
  <c r="B11592" i="1"/>
  <c r="A11592" i="1"/>
  <c r="R11591" i="1"/>
  <c r="J11591" i="1"/>
  <c r="I11591" i="1"/>
  <c r="G11591" i="1"/>
  <c r="F11591" i="1"/>
  <c r="E11591" i="1"/>
  <c r="D11591" i="1"/>
  <c r="C11591" i="1"/>
  <c r="B11591" i="1"/>
  <c r="A11591" i="1"/>
  <c r="R11590" i="1"/>
  <c r="J11590" i="1"/>
  <c r="I11590" i="1"/>
  <c r="G11590" i="1"/>
  <c r="F11590" i="1"/>
  <c r="E11590" i="1"/>
  <c r="D11590" i="1"/>
  <c r="C11590" i="1"/>
  <c r="B11590" i="1"/>
  <c r="A11590" i="1"/>
  <c r="R11589" i="1"/>
  <c r="J11589" i="1"/>
  <c r="I11589" i="1"/>
  <c r="G11589" i="1"/>
  <c r="F11589" i="1"/>
  <c r="E11589" i="1"/>
  <c r="D11589" i="1"/>
  <c r="C11589" i="1"/>
  <c r="B11589" i="1"/>
  <c r="A11589" i="1"/>
  <c r="R11588" i="1"/>
  <c r="J11588" i="1"/>
  <c r="I11588" i="1"/>
  <c r="G11588" i="1"/>
  <c r="F11588" i="1"/>
  <c r="E11588" i="1"/>
  <c r="D11588" i="1"/>
  <c r="C11588" i="1"/>
  <c r="B11588" i="1"/>
  <c r="A11588" i="1"/>
  <c r="R11587" i="1"/>
  <c r="J11587" i="1"/>
  <c r="I11587" i="1"/>
  <c r="G11587" i="1"/>
  <c r="F11587" i="1"/>
  <c r="E11587" i="1"/>
  <c r="D11587" i="1"/>
  <c r="C11587" i="1"/>
  <c r="B11587" i="1"/>
  <c r="A11587" i="1"/>
  <c r="R11586" i="1"/>
  <c r="J11586" i="1"/>
  <c r="I11586" i="1"/>
  <c r="G11586" i="1"/>
  <c r="F11586" i="1"/>
  <c r="E11586" i="1"/>
  <c r="D11586" i="1"/>
  <c r="C11586" i="1"/>
  <c r="B11586" i="1"/>
  <c r="A11586" i="1"/>
  <c r="R11585" i="1"/>
  <c r="J11585" i="1"/>
  <c r="I11585" i="1"/>
  <c r="G11585" i="1"/>
  <c r="F11585" i="1"/>
  <c r="E11585" i="1"/>
  <c r="D11585" i="1"/>
  <c r="C11585" i="1"/>
  <c r="B11585" i="1"/>
  <c r="A11585" i="1"/>
  <c r="R11584" i="1"/>
  <c r="J11584" i="1"/>
  <c r="I11584" i="1"/>
  <c r="G11584" i="1"/>
  <c r="F11584" i="1"/>
  <c r="E11584" i="1"/>
  <c r="D11584" i="1"/>
  <c r="C11584" i="1"/>
  <c r="B11584" i="1"/>
  <c r="A11584" i="1"/>
  <c r="R11583" i="1"/>
  <c r="J11583" i="1"/>
  <c r="I11583" i="1"/>
  <c r="G11583" i="1"/>
  <c r="F11583" i="1"/>
  <c r="E11583" i="1"/>
  <c r="D11583" i="1"/>
  <c r="C11583" i="1"/>
  <c r="B11583" i="1"/>
  <c r="A11583" i="1"/>
  <c r="R11582" i="1"/>
  <c r="J11582" i="1"/>
  <c r="I11582" i="1"/>
  <c r="G11582" i="1"/>
  <c r="F11582" i="1"/>
  <c r="E11582" i="1"/>
  <c r="D11582" i="1"/>
  <c r="C11582" i="1"/>
  <c r="B11582" i="1"/>
  <c r="A11582" i="1"/>
  <c r="R11581" i="1"/>
  <c r="J11581" i="1"/>
  <c r="I11581" i="1"/>
  <c r="G11581" i="1"/>
  <c r="F11581" i="1"/>
  <c r="E11581" i="1"/>
  <c r="D11581" i="1"/>
  <c r="C11581" i="1"/>
  <c r="B11581" i="1"/>
  <c r="A11581" i="1"/>
  <c r="R11580" i="1"/>
  <c r="J11580" i="1"/>
  <c r="I11580" i="1"/>
  <c r="G11580" i="1"/>
  <c r="F11580" i="1"/>
  <c r="E11580" i="1"/>
  <c r="D11580" i="1"/>
  <c r="C11580" i="1"/>
  <c r="B11580" i="1"/>
  <c r="A11580" i="1"/>
  <c r="R11579" i="1"/>
  <c r="J11579" i="1"/>
  <c r="I11579" i="1"/>
  <c r="G11579" i="1"/>
  <c r="F11579" i="1"/>
  <c r="E11579" i="1"/>
  <c r="D11579" i="1"/>
  <c r="C11579" i="1"/>
  <c r="B11579" i="1"/>
  <c r="A11579" i="1"/>
  <c r="R11578" i="1"/>
  <c r="J11578" i="1"/>
  <c r="I11578" i="1"/>
  <c r="G11578" i="1"/>
  <c r="F11578" i="1"/>
  <c r="E11578" i="1"/>
  <c r="D11578" i="1"/>
  <c r="C11578" i="1"/>
  <c r="B11578" i="1"/>
  <c r="A11578" i="1"/>
  <c r="R11577" i="1"/>
  <c r="J11577" i="1"/>
  <c r="I11577" i="1"/>
  <c r="G11577" i="1"/>
  <c r="F11577" i="1"/>
  <c r="E11577" i="1"/>
  <c r="D11577" i="1"/>
  <c r="C11577" i="1"/>
  <c r="B11577" i="1"/>
  <c r="A11577" i="1"/>
  <c r="R11576" i="1"/>
  <c r="J11576" i="1"/>
  <c r="I11576" i="1"/>
  <c r="G11576" i="1"/>
  <c r="F11576" i="1"/>
  <c r="E11576" i="1"/>
  <c r="D11576" i="1"/>
  <c r="C11576" i="1"/>
  <c r="B11576" i="1"/>
  <c r="A11576" i="1"/>
  <c r="R11575" i="1"/>
  <c r="J11575" i="1"/>
  <c r="I11575" i="1"/>
  <c r="G11575" i="1"/>
  <c r="F11575" i="1"/>
  <c r="E11575" i="1"/>
  <c r="D11575" i="1"/>
  <c r="C11575" i="1"/>
  <c r="B11575" i="1"/>
  <c r="A11575" i="1"/>
  <c r="R11574" i="1"/>
  <c r="J11574" i="1"/>
  <c r="I11574" i="1"/>
  <c r="G11574" i="1"/>
  <c r="F11574" i="1"/>
  <c r="E11574" i="1"/>
  <c r="D11574" i="1"/>
  <c r="C11574" i="1"/>
  <c r="B11574" i="1"/>
  <c r="A11574" i="1"/>
  <c r="R11573" i="1"/>
  <c r="J11573" i="1"/>
  <c r="I11573" i="1"/>
  <c r="G11573" i="1"/>
  <c r="F11573" i="1"/>
  <c r="E11573" i="1"/>
  <c r="D11573" i="1"/>
  <c r="C11573" i="1"/>
  <c r="B11573" i="1"/>
  <c r="A11573" i="1"/>
  <c r="R11572" i="1"/>
  <c r="J11572" i="1"/>
  <c r="I11572" i="1"/>
  <c r="G11572" i="1"/>
  <c r="F11572" i="1"/>
  <c r="E11572" i="1"/>
  <c r="D11572" i="1"/>
  <c r="C11572" i="1"/>
  <c r="B11572" i="1"/>
  <c r="A11572" i="1"/>
  <c r="R11571" i="1"/>
  <c r="J11571" i="1"/>
  <c r="I11571" i="1"/>
  <c r="G11571" i="1"/>
  <c r="F11571" i="1"/>
  <c r="E11571" i="1"/>
  <c r="D11571" i="1"/>
  <c r="C11571" i="1"/>
  <c r="B11571" i="1"/>
  <c r="A11571" i="1"/>
  <c r="R11570" i="1"/>
  <c r="J11570" i="1"/>
  <c r="I11570" i="1"/>
  <c r="G11570" i="1"/>
  <c r="F11570" i="1"/>
  <c r="E11570" i="1"/>
  <c r="D11570" i="1"/>
  <c r="C11570" i="1"/>
  <c r="B11570" i="1"/>
  <c r="A11570" i="1"/>
  <c r="R11569" i="1"/>
  <c r="J11569" i="1"/>
  <c r="I11569" i="1"/>
  <c r="G11569" i="1"/>
  <c r="F11569" i="1"/>
  <c r="E11569" i="1"/>
  <c r="D11569" i="1"/>
  <c r="C11569" i="1"/>
  <c r="B11569" i="1"/>
  <c r="A11569" i="1"/>
  <c r="R11568" i="1"/>
  <c r="J11568" i="1"/>
  <c r="I11568" i="1"/>
  <c r="G11568" i="1"/>
  <c r="F11568" i="1"/>
  <c r="E11568" i="1"/>
  <c r="D11568" i="1"/>
  <c r="C11568" i="1"/>
  <c r="B11568" i="1"/>
  <c r="A11568" i="1"/>
  <c r="R11567" i="1"/>
  <c r="J11567" i="1"/>
  <c r="I11567" i="1"/>
  <c r="G11567" i="1"/>
  <c r="F11567" i="1"/>
  <c r="E11567" i="1"/>
  <c r="D11567" i="1"/>
  <c r="C11567" i="1"/>
  <c r="B11567" i="1"/>
  <c r="A11567" i="1"/>
  <c r="R11566" i="1"/>
  <c r="J11566" i="1"/>
  <c r="I11566" i="1"/>
  <c r="G11566" i="1"/>
  <c r="F11566" i="1"/>
  <c r="E11566" i="1"/>
  <c r="D11566" i="1"/>
  <c r="C11566" i="1"/>
  <c r="B11566" i="1"/>
  <c r="A11566" i="1"/>
  <c r="R11565" i="1"/>
  <c r="J11565" i="1"/>
  <c r="I11565" i="1"/>
  <c r="G11565" i="1"/>
  <c r="F11565" i="1"/>
  <c r="E11565" i="1"/>
  <c r="D11565" i="1"/>
  <c r="C11565" i="1"/>
  <c r="B11565" i="1"/>
  <c r="A11565" i="1"/>
  <c r="R11564" i="1"/>
  <c r="J11564" i="1"/>
  <c r="I11564" i="1"/>
  <c r="G11564" i="1"/>
  <c r="F11564" i="1"/>
  <c r="E11564" i="1"/>
  <c r="D11564" i="1"/>
  <c r="C11564" i="1"/>
  <c r="B11564" i="1"/>
  <c r="A11564" i="1"/>
  <c r="R11563" i="1"/>
  <c r="J11563" i="1"/>
  <c r="I11563" i="1"/>
  <c r="G11563" i="1"/>
  <c r="F11563" i="1"/>
  <c r="E11563" i="1"/>
  <c r="D11563" i="1"/>
  <c r="C11563" i="1"/>
  <c r="B11563" i="1"/>
  <c r="A11563" i="1"/>
  <c r="R11562" i="1"/>
  <c r="J11562" i="1"/>
  <c r="I11562" i="1"/>
  <c r="G11562" i="1"/>
  <c r="F11562" i="1"/>
  <c r="E11562" i="1"/>
  <c r="D11562" i="1"/>
  <c r="C11562" i="1"/>
  <c r="B11562" i="1"/>
  <c r="A11562" i="1"/>
  <c r="R11561" i="1"/>
  <c r="J11561" i="1"/>
  <c r="I11561" i="1"/>
  <c r="G11561" i="1"/>
  <c r="F11561" i="1"/>
  <c r="E11561" i="1"/>
  <c r="D11561" i="1"/>
  <c r="C11561" i="1"/>
  <c r="B11561" i="1"/>
  <c r="A11561" i="1"/>
  <c r="R11560" i="1"/>
  <c r="J11560" i="1"/>
  <c r="I11560" i="1"/>
  <c r="G11560" i="1"/>
  <c r="F11560" i="1"/>
  <c r="E11560" i="1"/>
  <c r="D11560" i="1"/>
  <c r="C11560" i="1"/>
  <c r="B11560" i="1"/>
  <c r="A11560" i="1"/>
  <c r="S11559" i="1"/>
  <c r="O11559" i="1"/>
  <c r="K11559" i="1"/>
  <c r="J11559" i="1"/>
  <c r="I11559" i="1"/>
  <c r="H11559" i="1"/>
  <c r="G11559" i="1"/>
  <c r="F11559" i="1"/>
  <c r="E11559" i="1"/>
  <c r="D11559" i="1"/>
  <c r="C11559" i="1"/>
  <c r="B11559" i="1"/>
  <c r="A11559" i="1"/>
  <c r="R11558" i="1"/>
  <c r="J11558" i="1"/>
  <c r="I11558" i="1"/>
  <c r="G11558" i="1"/>
  <c r="F11558" i="1"/>
  <c r="E11558" i="1"/>
  <c r="D11558" i="1"/>
  <c r="C11558" i="1"/>
  <c r="B11558" i="1"/>
  <c r="A11558" i="1"/>
  <c r="S11557" i="1"/>
  <c r="O11557" i="1"/>
  <c r="K11557" i="1"/>
  <c r="J11557" i="1"/>
  <c r="I11557" i="1"/>
  <c r="H11557" i="1"/>
  <c r="G11557" i="1"/>
  <c r="F11557" i="1"/>
  <c r="E11557" i="1"/>
  <c r="D11557" i="1"/>
  <c r="C11557" i="1"/>
  <c r="B11557" i="1"/>
  <c r="A11557" i="1"/>
  <c r="R11556" i="1"/>
  <c r="J11556" i="1"/>
  <c r="I11556" i="1"/>
  <c r="G11556" i="1"/>
  <c r="F11556" i="1"/>
  <c r="E11556" i="1"/>
  <c r="D11556" i="1"/>
  <c r="C11556" i="1"/>
  <c r="B11556" i="1"/>
  <c r="A11556" i="1"/>
  <c r="R11555" i="1"/>
  <c r="J11555" i="1"/>
  <c r="I11555" i="1"/>
  <c r="G11555" i="1"/>
  <c r="F11555" i="1"/>
  <c r="E11555" i="1"/>
  <c r="D11555" i="1"/>
  <c r="C11555" i="1"/>
  <c r="B11555" i="1"/>
  <c r="A11555" i="1"/>
  <c r="S11554" i="1"/>
  <c r="O11554" i="1"/>
  <c r="K11554" i="1"/>
  <c r="J11554" i="1"/>
  <c r="I11554" i="1"/>
  <c r="H11554" i="1"/>
  <c r="G11554" i="1"/>
  <c r="F11554" i="1"/>
  <c r="E11554" i="1"/>
  <c r="D11554" i="1"/>
  <c r="C11554" i="1"/>
  <c r="B11554" i="1"/>
  <c r="A11554" i="1"/>
  <c r="R11553" i="1"/>
  <c r="J11553" i="1"/>
  <c r="I11553" i="1"/>
  <c r="G11553" i="1"/>
  <c r="F11553" i="1"/>
  <c r="E11553" i="1"/>
  <c r="D11553" i="1"/>
  <c r="C11553" i="1"/>
  <c r="B11553" i="1"/>
  <c r="A11553" i="1"/>
  <c r="S11552" i="1"/>
  <c r="O11552" i="1"/>
  <c r="K11552" i="1"/>
  <c r="J11552" i="1"/>
  <c r="I11552" i="1"/>
  <c r="H11552" i="1"/>
  <c r="G11552" i="1"/>
  <c r="F11552" i="1"/>
  <c r="E11552" i="1"/>
  <c r="D11552" i="1"/>
  <c r="C11552" i="1"/>
  <c r="B11552" i="1"/>
  <c r="A11552" i="1"/>
  <c r="R11551" i="1"/>
  <c r="J11551" i="1"/>
  <c r="I11551" i="1"/>
  <c r="G11551" i="1"/>
  <c r="F11551" i="1"/>
  <c r="E11551" i="1"/>
  <c r="D11551" i="1"/>
  <c r="C11551" i="1"/>
  <c r="B11551" i="1"/>
  <c r="A11551" i="1"/>
  <c r="S11550" i="1"/>
  <c r="O11550" i="1"/>
  <c r="K11550" i="1"/>
  <c r="J11550" i="1"/>
  <c r="I11550" i="1"/>
  <c r="H11550" i="1"/>
  <c r="G11550" i="1"/>
  <c r="F11550" i="1"/>
  <c r="E11550" i="1"/>
  <c r="D11550" i="1"/>
  <c r="C11550" i="1"/>
  <c r="B11550" i="1"/>
  <c r="A11550" i="1"/>
  <c r="R11549" i="1"/>
  <c r="J11549" i="1"/>
  <c r="I11549" i="1"/>
  <c r="G11549" i="1"/>
  <c r="F11549" i="1"/>
  <c r="E11549" i="1"/>
  <c r="D11549" i="1"/>
  <c r="C11549" i="1"/>
  <c r="B11549" i="1"/>
  <c r="A11549" i="1"/>
  <c r="R11548" i="1"/>
  <c r="J11548" i="1"/>
  <c r="I11548" i="1"/>
  <c r="G11548" i="1"/>
  <c r="F11548" i="1"/>
  <c r="E11548" i="1"/>
  <c r="D11548" i="1"/>
  <c r="C11548" i="1"/>
  <c r="B11548" i="1"/>
  <c r="A11548" i="1"/>
  <c r="R11547" i="1"/>
  <c r="J11547" i="1"/>
  <c r="I11547" i="1"/>
  <c r="G11547" i="1"/>
  <c r="F11547" i="1"/>
  <c r="E11547" i="1"/>
  <c r="D11547" i="1"/>
  <c r="C11547" i="1"/>
  <c r="B11547" i="1"/>
  <c r="A11547" i="1"/>
  <c r="S11546" i="1"/>
  <c r="O11546" i="1"/>
  <c r="K11546" i="1"/>
  <c r="J11546" i="1"/>
  <c r="I11546" i="1"/>
  <c r="H11546" i="1"/>
  <c r="G11546" i="1"/>
  <c r="F11546" i="1"/>
  <c r="E11546" i="1"/>
  <c r="D11546" i="1"/>
  <c r="C11546" i="1"/>
  <c r="B11546" i="1"/>
  <c r="A11546" i="1"/>
  <c r="R11545" i="1"/>
  <c r="J11545" i="1"/>
  <c r="I11545" i="1"/>
  <c r="G11545" i="1"/>
  <c r="F11545" i="1"/>
  <c r="E11545" i="1"/>
  <c r="D11545" i="1"/>
  <c r="C11545" i="1"/>
  <c r="B11545" i="1"/>
  <c r="A11545" i="1"/>
  <c r="R11544" i="1"/>
  <c r="J11544" i="1"/>
  <c r="I11544" i="1"/>
  <c r="G11544" i="1"/>
  <c r="F11544" i="1"/>
  <c r="E11544" i="1"/>
  <c r="D11544" i="1"/>
  <c r="C11544" i="1"/>
  <c r="B11544" i="1"/>
  <c r="A11544" i="1"/>
  <c r="S11543" i="1"/>
  <c r="O11543" i="1"/>
  <c r="K11543" i="1"/>
  <c r="J11543" i="1"/>
  <c r="I11543" i="1"/>
  <c r="H11543" i="1"/>
  <c r="G11543" i="1"/>
  <c r="F11543" i="1"/>
  <c r="E11543" i="1"/>
  <c r="D11543" i="1"/>
  <c r="C11543" i="1"/>
  <c r="B11543" i="1"/>
  <c r="A11543" i="1"/>
  <c r="R11542" i="1"/>
  <c r="J11542" i="1"/>
  <c r="I11542" i="1"/>
  <c r="G11542" i="1"/>
  <c r="F11542" i="1"/>
  <c r="E11542" i="1"/>
  <c r="D11542" i="1"/>
  <c r="C11542" i="1"/>
  <c r="B11542" i="1"/>
  <c r="A11542" i="1"/>
  <c r="R11541" i="1"/>
  <c r="J11541" i="1"/>
  <c r="I11541" i="1"/>
  <c r="G11541" i="1"/>
  <c r="F11541" i="1"/>
  <c r="E11541" i="1"/>
  <c r="D11541" i="1"/>
  <c r="C11541" i="1"/>
  <c r="B11541" i="1"/>
  <c r="A11541" i="1"/>
  <c r="S11540" i="1"/>
  <c r="O11540" i="1"/>
  <c r="K11540" i="1"/>
  <c r="J11540" i="1"/>
  <c r="I11540" i="1"/>
  <c r="H11540" i="1"/>
  <c r="G11540" i="1"/>
  <c r="F11540" i="1"/>
  <c r="E11540" i="1"/>
  <c r="D11540" i="1"/>
  <c r="C11540" i="1"/>
  <c r="B11540" i="1"/>
  <c r="A11540" i="1"/>
  <c r="R11539" i="1"/>
  <c r="J11539" i="1"/>
  <c r="I11539" i="1"/>
  <c r="G11539" i="1"/>
  <c r="F11539" i="1"/>
  <c r="E11539" i="1"/>
  <c r="D11539" i="1"/>
  <c r="C11539" i="1"/>
  <c r="B11539" i="1"/>
  <c r="A11539" i="1"/>
  <c r="S11538" i="1"/>
  <c r="O11538" i="1"/>
  <c r="K11538" i="1"/>
  <c r="J11538" i="1"/>
  <c r="I11538" i="1"/>
  <c r="H11538" i="1"/>
  <c r="G11538" i="1"/>
  <c r="F11538" i="1"/>
  <c r="E11538" i="1"/>
  <c r="D11538" i="1"/>
  <c r="C11538" i="1"/>
  <c r="B11538" i="1"/>
  <c r="A11538" i="1"/>
  <c r="R11537" i="1"/>
  <c r="J11537" i="1"/>
  <c r="I11537" i="1"/>
  <c r="G11537" i="1"/>
  <c r="F11537" i="1"/>
  <c r="E11537" i="1"/>
  <c r="D11537" i="1"/>
  <c r="C11537" i="1"/>
  <c r="B11537" i="1"/>
  <c r="A11537" i="1"/>
  <c r="S11536" i="1"/>
  <c r="O11536" i="1"/>
  <c r="K11536" i="1"/>
  <c r="J11536" i="1"/>
  <c r="I11536" i="1"/>
  <c r="H11536" i="1"/>
  <c r="G11536" i="1"/>
  <c r="F11536" i="1"/>
  <c r="E11536" i="1"/>
  <c r="D11536" i="1"/>
  <c r="C11536" i="1"/>
  <c r="B11536" i="1"/>
  <c r="A11536" i="1"/>
  <c r="R11535" i="1"/>
  <c r="J11535" i="1"/>
  <c r="I11535" i="1"/>
  <c r="G11535" i="1"/>
  <c r="F11535" i="1"/>
  <c r="E11535" i="1"/>
  <c r="D11535" i="1"/>
  <c r="C11535" i="1"/>
  <c r="B11535" i="1"/>
  <c r="A11535" i="1"/>
  <c r="S11534" i="1"/>
  <c r="O11534" i="1"/>
  <c r="K11534" i="1"/>
  <c r="J11534" i="1"/>
  <c r="I11534" i="1"/>
  <c r="H11534" i="1"/>
  <c r="G11534" i="1"/>
  <c r="F11534" i="1"/>
  <c r="E11534" i="1"/>
  <c r="D11534" i="1"/>
  <c r="C11534" i="1"/>
  <c r="B11534" i="1"/>
  <c r="A11534" i="1"/>
  <c r="R11533" i="1"/>
  <c r="J11533" i="1"/>
  <c r="I11533" i="1"/>
  <c r="G11533" i="1"/>
  <c r="F11533" i="1"/>
  <c r="E11533" i="1"/>
  <c r="D11533" i="1"/>
  <c r="C11533" i="1"/>
  <c r="B11533" i="1"/>
  <c r="A11533" i="1"/>
  <c r="S11532" i="1"/>
  <c r="O11532" i="1"/>
  <c r="K11532" i="1"/>
  <c r="J11532" i="1"/>
  <c r="I11532" i="1"/>
  <c r="H11532" i="1"/>
  <c r="G11532" i="1"/>
  <c r="F11532" i="1"/>
  <c r="E11532" i="1"/>
  <c r="D11532" i="1"/>
  <c r="C11532" i="1"/>
  <c r="B11532" i="1"/>
  <c r="A11532" i="1"/>
  <c r="R11531" i="1"/>
  <c r="J11531" i="1"/>
  <c r="I11531" i="1"/>
  <c r="G11531" i="1"/>
  <c r="F11531" i="1"/>
  <c r="E11531" i="1"/>
  <c r="D11531" i="1"/>
  <c r="C11531" i="1"/>
  <c r="B11531" i="1"/>
  <c r="A11531" i="1"/>
  <c r="R11530" i="1"/>
  <c r="J11530" i="1"/>
  <c r="I11530" i="1"/>
  <c r="G11530" i="1"/>
  <c r="F11530" i="1"/>
  <c r="E11530" i="1"/>
  <c r="D11530" i="1"/>
  <c r="C11530" i="1"/>
  <c r="B11530" i="1"/>
  <c r="A11530" i="1"/>
  <c r="S11529" i="1"/>
  <c r="O11529" i="1"/>
  <c r="K11529" i="1"/>
  <c r="J11529" i="1"/>
  <c r="I11529" i="1"/>
  <c r="H11529" i="1"/>
  <c r="G11529" i="1"/>
  <c r="F11529" i="1"/>
  <c r="E11529" i="1"/>
  <c r="D11529" i="1"/>
  <c r="C11529" i="1"/>
  <c r="B11529" i="1"/>
  <c r="A11529" i="1"/>
  <c r="S11528" i="1"/>
  <c r="O11528" i="1"/>
  <c r="K11528" i="1"/>
  <c r="J11528" i="1"/>
  <c r="I11528" i="1"/>
  <c r="H11528" i="1"/>
  <c r="G11528" i="1"/>
  <c r="F11528" i="1"/>
  <c r="D11528" i="1"/>
  <c r="C11528" i="1"/>
  <c r="B11528" i="1"/>
  <c r="A11528" i="1"/>
  <c r="R11527" i="1"/>
  <c r="J11527" i="1"/>
  <c r="I11527" i="1"/>
  <c r="G11527" i="1"/>
  <c r="F11527" i="1"/>
  <c r="E11527" i="1"/>
  <c r="D11527" i="1"/>
  <c r="C11527" i="1"/>
  <c r="B11527" i="1"/>
  <c r="A11527" i="1"/>
  <c r="S11526" i="1"/>
  <c r="O11526" i="1"/>
  <c r="K11526" i="1"/>
  <c r="J11526" i="1"/>
  <c r="I11526" i="1"/>
  <c r="H11526" i="1"/>
  <c r="G11526" i="1"/>
  <c r="F11526" i="1"/>
  <c r="E11526" i="1"/>
  <c r="D11526" i="1"/>
  <c r="C11526" i="1"/>
  <c r="B11526" i="1"/>
  <c r="A11526" i="1"/>
  <c r="R11525" i="1"/>
  <c r="J11525" i="1"/>
  <c r="I11525" i="1"/>
  <c r="G11525" i="1"/>
  <c r="F11525" i="1"/>
  <c r="E11525" i="1"/>
  <c r="D11525" i="1"/>
  <c r="C11525" i="1"/>
  <c r="B11525" i="1"/>
  <c r="A11525" i="1"/>
  <c r="S11524" i="1"/>
  <c r="O11524" i="1"/>
  <c r="K11524" i="1"/>
  <c r="J11524" i="1"/>
  <c r="I11524" i="1"/>
  <c r="H11524" i="1"/>
  <c r="G11524" i="1"/>
  <c r="F11524" i="1"/>
  <c r="E11524" i="1"/>
  <c r="D11524" i="1"/>
  <c r="C11524" i="1"/>
  <c r="B11524" i="1"/>
  <c r="A11524" i="1"/>
  <c r="R11523" i="1"/>
  <c r="J11523" i="1"/>
  <c r="I11523" i="1"/>
  <c r="G11523" i="1"/>
  <c r="F11523" i="1"/>
  <c r="E11523" i="1"/>
  <c r="D11523" i="1"/>
  <c r="C11523" i="1"/>
  <c r="B11523" i="1"/>
  <c r="A11523" i="1"/>
  <c r="S11522" i="1"/>
  <c r="O11522" i="1"/>
  <c r="K11522" i="1"/>
  <c r="J11522" i="1"/>
  <c r="I11522" i="1"/>
  <c r="H11522" i="1"/>
  <c r="G11522" i="1"/>
  <c r="F11522" i="1"/>
  <c r="E11522" i="1"/>
  <c r="D11522" i="1"/>
  <c r="C11522" i="1"/>
  <c r="B11522" i="1"/>
  <c r="A11522" i="1"/>
  <c r="R11521" i="1"/>
  <c r="J11521" i="1"/>
  <c r="I11521" i="1"/>
  <c r="G11521" i="1"/>
  <c r="F11521" i="1"/>
  <c r="E11521" i="1"/>
  <c r="D11521" i="1"/>
  <c r="C11521" i="1"/>
  <c r="B11521" i="1"/>
  <c r="A11521" i="1"/>
  <c r="S11520" i="1"/>
  <c r="O11520" i="1"/>
  <c r="K11520" i="1"/>
  <c r="J11520" i="1"/>
  <c r="I11520" i="1"/>
  <c r="H11520" i="1"/>
  <c r="G11520" i="1"/>
  <c r="F11520" i="1"/>
  <c r="E11520" i="1"/>
  <c r="D11520" i="1"/>
  <c r="C11520" i="1"/>
  <c r="B11520" i="1"/>
  <c r="A11520" i="1"/>
  <c r="R11519" i="1"/>
  <c r="J11519" i="1"/>
  <c r="I11519" i="1"/>
  <c r="G11519" i="1"/>
  <c r="F11519" i="1"/>
  <c r="E11519" i="1"/>
  <c r="D11519" i="1"/>
  <c r="C11519" i="1"/>
  <c r="B11519" i="1"/>
  <c r="A11519" i="1"/>
  <c r="S11518" i="1"/>
  <c r="O11518" i="1"/>
  <c r="K11518" i="1"/>
  <c r="J11518" i="1"/>
  <c r="I11518" i="1"/>
  <c r="H11518" i="1"/>
  <c r="G11518" i="1"/>
  <c r="F11518" i="1"/>
  <c r="E11518" i="1"/>
  <c r="D11518" i="1"/>
  <c r="C11518" i="1"/>
  <c r="B11518" i="1"/>
  <c r="A11518" i="1"/>
  <c r="R11517" i="1"/>
  <c r="J11517" i="1"/>
  <c r="I11517" i="1"/>
  <c r="G11517" i="1"/>
  <c r="F11517" i="1"/>
  <c r="E11517" i="1"/>
  <c r="D11517" i="1"/>
  <c r="C11517" i="1"/>
  <c r="B11517" i="1"/>
  <c r="A11517" i="1"/>
  <c r="R11516" i="1"/>
  <c r="J11516" i="1"/>
  <c r="I11516" i="1"/>
  <c r="G11516" i="1"/>
  <c r="F11516" i="1"/>
  <c r="E11516" i="1"/>
  <c r="D11516" i="1"/>
  <c r="C11516" i="1"/>
  <c r="B11516" i="1"/>
  <c r="A11516" i="1"/>
  <c r="R11515" i="1"/>
  <c r="J11515" i="1"/>
  <c r="I11515" i="1"/>
  <c r="G11515" i="1"/>
  <c r="F11515" i="1"/>
  <c r="E11515" i="1"/>
  <c r="D11515" i="1"/>
  <c r="C11515" i="1"/>
  <c r="B11515" i="1"/>
  <c r="A11515" i="1"/>
  <c r="R11514" i="1"/>
  <c r="J11514" i="1"/>
  <c r="I11514" i="1"/>
  <c r="G11514" i="1"/>
  <c r="F11514" i="1"/>
  <c r="E11514" i="1"/>
  <c r="D11514" i="1"/>
  <c r="C11514" i="1"/>
  <c r="B11514" i="1"/>
  <c r="A11514" i="1"/>
  <c r="R11513" i="1"/>
  <c r="J11513" i="1"/>
  <c r="I11513" i="1"/>
  <c r="G11513" i="1"/>
  <c r="F11513" i="1"/>
  <c r="E11513" i="1"/>
  <c r="D11513" i="1"/>
  <c r="C11513" i="1"/>
  <c r="B11513" i="1"/>
  <c r="A11513" i="1"/>
  <c r="S11512" i="1"/>
  <c r="O11512" i="1"/>
  <c r="K11512" i="1"/>
  <c r="J11512" i="1"/>
  <c r="I11512" i="1"/>
  <c r="H11512" i="1"/>
  <c r="G11512" i="1"/>
  <c r="F11512" i="1"/>
  <c r="E11512" i="1"/>
  <c r="D11512" i="1"/>
  <c r="C11512" i="1"/>
  <c r="B11512" i="1"/>
  <c r="A11512" i="1"/>
  <c r="R11511" i="1"/>
  <c r="J11511" i="1"/>
  <c r="I11511" i="1"/>
  <c r="G11511" i="1"/>
  <c r="F11511" i="1"/>
  <c r="E11511" i="1"/>
  <c r="D11511" i="1"/>
  <c r="C11511" i="1"/>
  <c r="B11511" i="1"/>
  <c r="A11511" i="1"/>
  <c r="R11510" i="1"/>
  <c r="J11510" i="1"/>
  <c r="I11510" i="1"/>
  <c r="G11510" i="1"/>
  <c r="F11510" i="1"/>
  <c r="E11510" i="1"/>
  <c r="D11510" i="1"/>
  <c r="C11510" i="1"/>
  <c r="B11510" i="1"/>
  <c r="A11510" i="1"/>
  <c r="R11509" i="1"/>
  <c r="J11509" i="1"/>
  <c r="I11509" i="1"/>
  <c r="G11509" i="1"/>
  <c r="F11509" i="1"/>
  <c r="E11509" i="1"/>
  <c r="D11509" i="1"/>
  <c r="C11509" i="1"/>
  <c r="B11509" i="1"/>
  <c r="A11509" i="1"/>
  <c r="R11508" i="1"/>
  <c r="J11508" i="1"/>
  <c r="I11508" i="1"/>
  <c r="G11508" i="1"/>
  <c r="F11508" i="1"/>
  <c r="E11508" i="1"/>
  <c r="D11508" i="1"/>
  <c r="C11508" i="1"/>
  <c r="B11508" i="1"/>
  <c r="A11508" i="1"/>
  <c r="R11507" i="1"/>
  <c r="J11507" i="1"/>
  <c r="I11507" i="1"/>
  <c r="G11507" i="1"/>
  <c r="F11507" i="1"/>
  <c r="E11507" i="1"/>
  <c r="D11507" i="1"/>
  <c r="C11507" i="1"/>
  <c r="B11507" i="1"/>
  <c r="A11507" i="1"/>
  <c r="S11506" i="1"/>
  <c r="O11506" i="1"/>
  <c r="K11506" i="1"/>
  <c r="J11506" i="1"/>
  <c r="I11506" i="1"/>
  <c r="H11506" i="1"/>
  <c r="G11506" i="1"/>
  <c r="F11506" i="1"/>
  <c r="E11506" i="1"/>
  <c r="D11506" i="1"/>
  <c r="C11506" i="1"/>
  <c r="B11506" i="1"/>
  <c r="A11506" i="1"/>
  <c r="R11505" i="1"/>
  <c r="J11505" i="1"/>
  <c r="I11505" i="1"/>
  <c r="G11505" i="1"/>
  <c r="F11505" i="1"/>
  <c r="E11505" i="1"/>
  <c r="D11505" i="1"/>
  <c r="C11505" i="1"/>
  <c r="B11505" i="1"/>
  <c r="A11505" i="1"/>
  <c r="S11504" i="1"/>
  <c r="O11504" i="1"/>
  <c r="K11504" i="1"/>
  <c r="J11504" i="1"/>
  <c r="I11504" i="1"/>
  <c r="H11504" i="1"/>
  <c r="G11504" i="1"/>
  <c r="F11504" i="1"/>
  <c r="E11504" i="1"/>
  <c r="D11504" i="1"/>
  <c r="C11504" i="1"/>
  <c r="B11504" i="1"/>
  <c r="A11504" i="1"/>
  <c r="R11503" i="1"/>
  <c r="J11503" i="1"/>
  <c r="I11503" i="1"/>
  <c r="G11503" i="1"/>
  <c r="F11503" i="1"/>
  <c r="E11503" i="1"/>
  <c r="D11503" i="1"/>
  <c r="C11503" i="1"/>
  <c r="B11503" i="1"/>
  <c r="A11503" i="1"/>
  <c r="R11502" i="1"/>
  <c r="J11502" i="1"/>
  <c r="I11502" i="1"/>
  <c r="G11502" i="1"/>
  <c r="F11502" i="1"/>
  <c r="E11502" i="1"/>
  <c r="D11502" i="1"/>
  <c r="C11502" i="1"/>
  <c r="B11502" i="1"/>
  <c r="A11502" i="1"/>
  <c r="R11501" i="1"/>
  <c r="J11501" i="1"/>
  <c r="I11501" i="1"/>
  <c r="G11501" i="1"/>
  <c r="F11501" i="1"/>
  <c r="E11501" i="1"/>
  <c r="D11501" i="1"/>
  <c r="C11501" i="1"/>
  <c r="B11501" i="1"/>
  <c r="A11501" i="1"/>
  <c r="R11500" i="1"/>
  <c r="J11500" i="1"/>
  <c r="I11500" i="1"/>
  <c r="G11500" i="1"/>
  <c r="F11500" i="1"/>
  <c r="E11500" i="1"/>
  <c r="D11500" i="1"/>
  <c r="C11500" i="1"/>
  <c r="B11500" i="1"/>
  <c r="A11500" i="1"/>
  <c r="R11499" i="1"/>
  <c r="J11499" i="1"/>
  <c r="I11499" i="1"/>
  <c r="G11499" i="1"/>
  <c r="F11499" i="1"/>
  <c r="E11499" i="1"/>
  <c r="D11499" i="1"/>
  <c r="C11499" i="1"/>
  <c r="B11499" i="1"/>
  <c r="A11499" i="1"/>
  <c r="S11498" i="1"/>
  <c r="O11498" i="1"/>
  <c r="K11498" i="1"/>
  <c r="J11498" i="1"/>
  <c r="I11498" i="1"/>
  <c r="H11498" i="1"/>
  <c r="G11498" i="1"/>
  <c r="F11498" i="1"/>
  <c r="E11498" i="1"/>
  <c r="D11498" i="1"/>
  <c r="C11498" i="1"/>
  <c r="B11498" i="1"/>
  <c r="A11498" i="1"/>
  <c r="R11497" i="1"/>
  <c r="J11497" i="1"/>
  <c r="I11497" i="1"/>
  <c r="G11497" i="1"/>
  <c r="F11497" i="1"/>
  <c r="E11497" i="1"/>
  <c r="D11497" i="1"/>
  <c r="C11497" i="1"/>
  <c r="B11497" i="1"/>
  <c r="A11497" i="1"/>
  <c r="R11496" i="1"/>
  <c r="J11496" i="1"/>
  <c r="I11496" i="1"/>
  <c r="G11496" i="1"/>
  <c r="F11496" i="1"/>
  <c r="E11496" i="1"/>
  <c r="D11496" i="1"/>
  <c r="C11496" i="1"/>
  <c r="B11496" i="1"/>
  <c r="A11496" i="1"/>
  <c r="S11495" i="1"/>
  <c r="O11495" i="1"/>
  <c r="K11495" i="1"/>
  <c r="J11495" i="1"/>
  <c r="I11495" i="1"/>
  <c r="H11495" i="1"/>
  <c r="G11495" i="1"/>
  <c r="F11495" i="1"/>
  <c r="E11495" i="1"/>
  <c r="D11495" i="1"/>
  <c r="C11495" i="1"/>
  <c r="B11495" i="1"/>
  <c r="A11495" i="1"/>
  <c r="R11494" i="1"/>
  <c r="J11494" i="1"/>
  <c r="I11494" i="1"/>
  <c r="G11494" i="1"/>
  <c r="F11494" i="1"/>
  <c r="E11494" i="1"/>
  <c r="D11494" i="1"/>
  <c r="C11494" i="1"/>
  <c r="B11494" i="1"/>
  <c r="A11494" i="1"/>
  <c r="S11493" i="1"/>
  <c r="O11493" i="1"/>
  <c r="K11493" i="1"/>
  <c r="J11493" i="1"/>
  <c r="I11493" i="1"/>
  <c r="H11493" i="1"/>
  <c r="G11493" i="1"/>
  <c r="F11493" i="1"/>
  <c r="E11493" i="1"/>
  <c r="D11493" i="1"/>
  <c r="C11493" i="1"/>
  <c r="B11493" i="1"/>
  <c r="A11493" i="1"/>
  <c r="R11492" i="1"/>
  <c r="J11492" i="1"/>
  <c r="I11492" i="1"/>
  <c r="G11492" i="1"/>
  <c r="F11492" i="1"/>
  <c r="E11492" i="1"/>
  <c r="D11492" i="1"/>
  <c r="C11492" i="1"/>
  <c r="B11492" i="1"/>
  <c r="A11492" i="1"/>
  <c r="S11491" i="1"/>
  <c r="O11491" i="1"/>
  <c r="K11491" i="1"/>
  <c r="J11491" i="1"/>
  <c r="I11491" i="1"/>
  <c r="H11491" i="1"/>
  <c r="G11491" i="1"/>
  <c r="F11491" i="1"/>
  <c r="E11491" i="1"/>
  <c r="D11491" i="1"/>
  <c r="C11491" i="1"/>
  <c r="B11491" i="1"/>
  <c r="A11491" i="1"/>
  <c r="R11490" i="1"/>
  <c r="J11490" i="1"/>
  <c r="I11490" i="1"/>
  <c r="G11490" i="1"/>
  <c r="F11490" i="1"/>
  <c r="E11490" i="1"/>
  <c r="D11490" i="1"/>
  <c r="C11490" i="1"/>
  <c r="B11490" i="1"/>
  <c r="A11490" i="1"/>
  <c r="S11489" i="1"/>
  <c r="O11489" i="1"/>
  <c r="K11489" i="1"/>
  <c r="J11489" i="1"/>
  <c r="I11489" i="1"/>
  <c r="H11489" i="1"/>
  <c r="G11489" i="1"/>
  <c r="F11489" i="1"/>
  <c r="E11489" i="1"/>
  <c r="D11489" i="1"/>
  <c r="C11489" i="1"/>
  <c r="B11489" i="1"/>
  <c r="A11489" i="1"/>
  <c r="R11488" i="1"/>
  <c r="J11488" i="1"/>
  <c r="I11488" i="1"/>
  <c r="G11488" i="1"/>
  <c r="F11488" i="1"/>
  <c r="E11488" i="1"/>
  <c r="D11488" i="1"/>
  <c r="C11488" i="1"/>
  <c r="B11488" i="1"/>
  <c r="A11488" i="1"/>
  <c r="S11487" i="1"/>
  <c r="O11487" i="1"/>
  <c r="K11487" i="1"/>
  <c r="J11487" i="1"/>
  <c r="I11487" i="1"/>
  <c r="H11487" i="1"/>
  <c r="G11487" i="1"/>
  <c r="F11487" i="1"/>
  <c r="E11487" i="1"/>
  <c r="D11487" i="1"/>
  <c r="C11487" i="1"/>
  <c r="B11487" i="1"/>
  <c r="A11487" i="1"/>
  <c r="R11486" i="1"/>
  <c r="J11486" i="1"/>
  <c r="I11486" i="1"/>
  <c r="G11486" i="1"/>
  <c r="F11486" i="1"/>
  <c r="E11486" i="1"/>
  <c r="D11486" i="1"/>
  <c r="C11486" i="1"/>
  <c r="B11486" i="1"/>
  <c r="A11486" i="1"/>
  <c r="S11485" i="1"/>
  <c r="O11485" i="1"/>
  <c r="K11485" i="1"/>
  <c r="J11485" i="1"/>
  <c r="I11485" i="1"/>
  <c r="H11485" i="1"/>
  <c r="G11485" i="1"/>
  <c r="F11485" i="1"/>
  <c r="E11485" i="1"/>
  <c r="D11485" i="1"/>
  <c r="C11485" i="1"/>
  <c r="B11485" i="1"/>
  <c r="A11485" i="1"/>
  <c r="R11484" i="1"/>
  <c r="J11484" i="1"/>
  <c r="I11484" i="1"/>
  <c r="G11484" i="1"/>
  <c r="F11484" i="1"/>
  <c r="E11484" i="1"/>
  <c r="D11484" i="1"/>
  <c r="C11484" i="1"/>
  <c r="B11484" i="1"/>
  <c r="A11484" i="1"/>
  <c r="S11483" i="1"/>
  <c r="O11483" i="1"/>
  <c r="K11483" i="1"/>
  <c r="J11483" i="1"/>
  <c r="I11483" i="1"/>
  <c r="H11483" i="1"/>
  <c r="G11483" i="1"/>
  <c r="F11483" i="1"/>
  <c r="E11483" i="1"/>
  <c r="D11483" i="1"/>
  <c r="C11483" i="1"/>
  <c r="B11483" i="1"/>
  <c r="A11483" i="1"/>
  <c r="R11482" i="1"/>
  <c r="J11482" i="1"/>
  <c r="I11482" i="1"/>
  <c r="G11482" i="1"/>
  <c r="F11482" i="1"/>
  <c r="E11482" i="1"/>
  <c r="D11482" i="1"/>
  <c r="C11482" i="1"/>
  <c r="B11482" i="1"/>
  <c r="A11482" i="1"/>
  <c r="S11481" i="1"/>
  <c r="O11481" i="1"/>
  <c r="K11481" i="1"/>
  <c r="J11481" i="1"/>
  <c r="I11481" i="1"/>
  <c r="H11481" i="1"/>
  <c r="G11481" i="1"/>
  <c r="F11481" i="1"/>
  <c r="E11481" i="1"/>
  <c r="D11481" i="1"/>
  <c r="C11481" i="1"/>
  <c r="B11481" i="1"/>
  <c r="A11481" i="1"/>
  <c r="R11480" i="1"/>
  <c r="J11480" i="1"/>
  <c r="I11480" i="1"/>
  <c r="G11480" i="1"/>
  <c r="F11480" i="1"/>
  <c r="E11480" i="1"/>
  <c r="D11480" i="1"/>
  <c r="C11480" i="1"/>
  <c r="B11480" i="1"/>
  <c r="A11480" i="1"/>
  <c r="S11479" i="1"/>
  <c r="O11479" i="1"/>
  <c r="K11479" i="1"/>
  <c r="J11479" i="1"/>
  <c r="I11479" i="1"/>
  <c r="H11479" i="1"/>
  <c r="G11479" i="1"/>
  <c r="F11479" i="1"/>
  <c r="E11479" i="1"/>
  <c r="D11479" i="1"/>
  <c r="C11479" i="1"/>
  <c r="B11479" i="1"/>
  <c r="A11479" i="1"/>
  <c r="R11478" i="1"/>
  <c r="J11478" i="1"/>
  <c r="I11478" i="1"/>
  <c r="G11478" i="1"/>
  <c r="F11478" i="1"/>
  <c r="E11478" i="1"/>
  <c r="D11478" i="1"/>
  <c r="C11478" i="1"/>
  <c r="B11478" i="1"/>
  <c r="A11478" i="1"/>
  <c r="S11477" i="1"/>
  <c r="O11477" i="1"/>
  <c r="K11477" i="1"/>
  <c r="J11477" i="1"/>
  <c r="I11477" i="1"/>
  <c r="H11477" i="1"/>
  <c r="G11477" i="1"/>
  <c r="F11477" i="1"/>
  <c r="E11477" i="1"/>
  <c r="D11477" i="1"/>
  <c r="C11477" i="1"/>
  <c r="B11477" i="1"/>
  <c r="A11477" i="1"/>
  <c r="R11476" i="1"/>
  <c r="J11476" i="1"/>
  <c r="I11476" i="1"/>
  <c r="G11476" i="1"/>
  <c r="F11476" i="1"/>
  <c r="E11476" i="1"/>
  <c r="D11476" i="1"/>
  <c r="C11476" i="1"/>
  <c r="B11476" i="1"/>
  <c r="A11476" i="1"/>
  <c r="R11475" i="1"/>
  <c r="J11475" i="1"/>
  <c r="I11475" i="1"/>
  <c r="G11475" i="1"/>
  <c r="F11475" i="1"/>
  <c r="E11475" i="1"/>
  <c r="D11475" i="1"/>
  <c r="C11475" i="1"/>
  <c r="B11475" i="1"/>
  <c r="A11475" i="1"/>
  <c r="S11474" i="1"/>
  <c r="O11474" i="1"/>
  <c r="K11474" i="1"/>
  <c r="J11474" i="1"/>
  <c r="I11474" i="1"/>
  <c r="H11474" i="1"/>
  <c r="G11474" i="1"/>
  <c r="F11474" i="1"/>
  <c r="E11474" i="1"/>
  <c r="D11474" i="1"/>
  <c r="C11474" i="1"/>
  <c r="B11474" i="1"/>
  <c r="A11474" i="1"/>
  <c r="R11473" i="1"/>
  <c r="J11473" i="1"/>
  <c r="I11473" i="1"/>
  <c r="G11473" i="1"/>
  <c r="F11473" i="1"/>
  <c r="E11473" i="1"/>
  <c r="D11473" i="1"/>
  <c r="C11473" i="1"/>
  <c r="B11473" i="1"/>
  <c r="A11473" i="1"/>
  <c r="S11472" i="1"/>
  <c r="O11472" i="1"/>
  <c r="K11472" i="1"/>
  <c r="J11472" i="1"/>
  <c r="I11472" i="1"/>
  <c r="H11472" i="1"/>
  <c r="G11472" i="1"/>
  <c r="F11472" i="1"/>
  <c r="E11472" i="1"/>
  <c r="D11472" i="1"/>
  <c r="C11472" i="1"/>
  <c r="B11472" i="1"/>
  <c r="A11472" i="1"/>
  <c r="R11471" i="1"/>
  <c r="J11471" i="1"/>
  <c r="I11471" i="1"/>
  <c r="G11471" i="1"/>
  <c r="F11471" i="1"/>
  <c r="E11471" i="1"/>
  <c r="D11471" i="1"/>
  <c r="C11471" i="1"/>
  <c r="B11471" i="1"/>
  <c r="A11471" i="1"/>
  <c r="R11470" i="1"/>
  <c r="J11470" i="1"/>
  <c r="I11470" i="1"/>
  <c r="G11470" i="1"/>
  <c r="F11470" i="1"/>
  <c r="E11470" i="1"/>
  <c r="D11470" i="1"/>
  <c r="C11470" i="1"/>
  <c r="B11470" i="1"/>
  <c r="A11470" i="1"/>
  <c r="R11469" i="1"/>
  <c r="J11469" i="1"/>
  <c r="I11469" i="1"/>
  <c r="G11469" i="1"/>
  <c r="F11469" i="1"/>
  <c r="E11469" i="1"/>
  <c r="D11469" i="1"/>
  <c r="C11469" i="1"/>
  <c r="B11469" i="1"/>
  <c r="A11469" i="1"/>
  <c r="S11468" i="1"/>
  <c r="O11468" i="1"/>
  <c r="K11468" i="1"/>
  <c r="J11468" i="1"/>
  <c r="I11468" i="1"/>
  <c r="H11468" i="1"/>
  <c r="G11468" i="1"/>
  <c r="F11468" i="1"/>
  <c r="E11468" i="1"/>
  <c r="D11468" i="1"/>
  <c r="C11468" i="1"/>
  <c r="B11468" i="1"/>
  <c r="A11468" i="1"/>
  <c r="R11467" i="1"/>
  <c r="J11467" i="1"/>
  <c r="I11467" i="1"/>
  <c r="G11467" i="1"/>
  <c r="F11467" i="1"/>
  <c r="E11467" i="1"/>
  <c r="D11467" i="1"/>
  <c r="C11467" i="1"/>
  <c r="B11467" i="1"/>
  <c r="A11467" i="1"/>
  <c r="S11466" i="1"/>
  <c r="O11466" i="1"/>
  <c r="K11466" i="1"/>
  <c r="J11466" i="1"/>
  <c r="I11466" i="1"/>
  <c r="H11466" i="1"/>
  <c r="G11466" i="1"/>
  <c r="F11466" i="1"/>
  <c r="E11466" i="1"/>
  <c r="D11466" i="1"/>
  <c r="C11466" i="1"/>
  <c r="B11466" i="1"/>
  <c r="A11466" i="1"/>
  <c r="R11465" i="1"/>
  <c r="J11465" i="1"/>
  <c r="I11465" i="1"/>
  <c r="G11465" i="1"/>
  <c r="F11465" i="1"/>
  <c r="E11465" i="1"/>
  <c r="D11465" i="1"/>
  <c r="C11465" i="1"/>
  <c r="B11465" i="1"/>
  <c r="A11465" i="1"/>
  <c r="S11464" i="1"/>
  <c r="O11464" i="1"/>
  <c r="K11464" i="1"/>
  <c r="J11464" i="1"/>
  <c r="I11464" i="1"/>
  <c r="H11464" i="1"/>
  <c r="G11464" i="1"/>
  <c r="F11464" i="1"/>
  <c r="E11464" i="1"/>
  <c r="D11464" i="1"/>
  <c r="C11464" i="1"/>
  <c r="B11464" i="1"/>
  <c r="A11464" i="1"/>
  <c r="R11463" i="1"/>
  <c r="J11463" i="1"/>
  <c r="I11463" i="1"/>
  <c r="G11463" i="1"/>
  <c r="F11463" i="1"/>
  <c r="E11463" i="1"/>
  <c r="D11463" i="1"/>
  <c r="C11463" i="1"/>
  <c r="B11463" i="1"/>
  <c r="A11463" i="1"/>
  <c r="S11462" i="1"/>
  <c r="O11462" i="1"/>
  <c r="K11462" i="1"/>
  <c r="J11462" i="1"/>
  <c r="I11462" i="1"/>
  <c r="H11462" i="1"/>
  <c r="G11462" i="1"/>
  <c r="F11462" i="1"/>
  <c r="E11462" i="1"/>
  <c r="D11462" i="1"/>
  <c r="C11462" i="1"/>
  <c r="B11462" i="1"/>
  <c r="A11462" i="1"/>
  <c r="R11461" i="1"/>
  <c r="J11461" i="1"/>
  <c r="I11461" i="1"/>
  <c r="G11461" i="1"/>
  <c r="F11461" i="1"/>
  <c r="E11461" i="1"/>
  <c r="D11461" i="1"/>
  <c r="C11461" i="1"/>
  <c r="B11461" i="1"/>
  <c r="A11461" i="1"/>
  <c r="S11460" i="1"/>
  <c r="O11460" i="1"/>
  <c r="K11460" i="1"/>
  <c r="J11460" i="1"/>
  <c r="I11460" i="1"/>
  <c r="H11460" i="1"/>
  <c r="G11460" i="1"/>
  <c r="F11460" i="1"/>
  <c r="E11460" i="1"/>
  <c r="D11460" i="1"/>
  <c r="C11460" i="1"/>
  <c r="B11460" i="1"/>
  <c r="A11460" i="1"/>
  <c r="R11459" i="1"/>
  <c r="J11459" i="1"/>
  <c r="I11459" i="1"/>
  <c r="G11459" i="1"/>
  <c r="F11459" i="1"/>
  <c r="E11459" i="1"/>
  <c r="D11459" i="1"/>
  <c r="C11459" i="1"/>
  <c r="B11459" i="1"/>
  <c r="A11459" i="1"/>
  <c r="R11458" i="1"/>
  <c r="J11458" i="1"/>
  <c r="I11458" i="1"/>
  <c r="G11458" i="1"/>
  <c r="F11458" i="1"/>
  <c r="E11458" i="1"/>
  <c r="D11458" i="1"/>
  <c r="C11458" i="1"/>
  <c r="B11458" i="1"/>
  <c r="A11458" i="1"/>
  <c r="R11457" i="1"/>
  <c r="J11457" i="1"/>
  <c r="I11457" i="1"/>
  <c r="G11457" i="1"/>
  <c r="F11457" i="1"/>
  <c r="E11457" i="1"/>
  <c r="D11457" i="1"/>
  <c r="C11457" i="1"/>
  <c r="B11457" i="1"/>
  <c r="A11457" i="1"/>
  <c r="S11456" i="1"/>
  <c r="O11456" i="1"/>
  <c r="K11456" i="1"/>
  <c r="J11456" i="1"/>
  <c r="I11456" i="1"/>
  <c r="H11456" i="1"/>
  <c r="G11456" i="1"/>
  <c r="F11456" i="1"/>
  <c r="E11456" i="1"/>
  <c r="D11456" i="1"/>
  <c r="C11456" i="1"/>
  <c r="B11456" i="1"/>
  <c r="A11456" i="1"/>
  <c r="R11455" i="1"/>
  <c r="J11455" i="1"/>
  <c r="I11455" i="1"/>
  <c r="G11455" i="1"/>
  <c r="F11455" i="1"/>
  <c r="E11455" i="1"/>
  <c r="D11455" i="1"/>
  <c r="C11455" i="1"/>
  <c r="B11455" i="1"/>
  <c r="A11455" i="1"/>
  <c r="S11454" i="1"/>
  <c r="O11454" i="1"/>
  <c r="K11454" i="1"/>
  <c r="J11454" i="1"/>
  <c r="I11454" i="1"/>
  <c r="H11454" i="1"/>
  <c r="G11454" i="1"/>
  <c r="F11454" i="1"/>
  <c r="E11454" i="1"/>
  <c r="D11454" i="1"/>
  <c r="C11454" i="1"/>
  <c r="B11454" i="1"/>
  <c r="A11454" i="1"/>
  <c r="R11453" i="1"/>
  <c r="J11453" i="1"/>
  <c r="I11453" i="1"/>
  <c r="G11453" i="1"/>
  <c r="F11453" i="1"/>
  <c r="E11453" i="1"/>
  <c r="D11453" i="1"/>
  <c r="C11453" i="1"/>
  <c r="B11453" i="1"/>
  <c r="A11453" i="1"/>
  <c r="S11452" i="1"/>
  <c r="O11452" i="1"/>
  <c r="K11452" i="1"/>
  <c r="J11452" i="1"/>
  <c r="I11452" i="1"/>
  <c r="H11452" i="1"/>
  <c r="G11452" i="1"/>
  <c r="F11452" i="1"/>
  <c r="E11452" i="1"/>
  <c r="D11452" i="1"/>
  <c r="C11452" i="1"/>
  <c r="B11452" i="1"/>
  <c r="A11452" i="1"/>
  <c r="R11451" i="1"/>
  <c r="J11451" i="1"/>
  <c r="I11451" i="1"/>
  <c r="G11451" i="1"/>
  <c r="F11451" i="1"/>
  <c r="E11451" i="1"/>
  <c r="D11451" i="1"/>
  <c r="C11451" i="1"/>
  <c r="B11451" i="1"/>
  <c r="A11451" i="1"/>
  <c r="S11450" i="1"/>
  <c r="O11450" i="1"/>
  <c r="K11450" i="1"/>
  <c r="J11450" i="1"/>
  <c r="I11450" i="1"/>
  <c r="H11450" i="1"/>
  <c r="G11450" i="1"/>
  <c r="F11450" i="1"/>
  <c r="E11450" i="1"/>
  <c r="D11450" i="1"/>
  <c r="C11450" i="1"/>
  <c r="B11450" i="1"/>
  <c r="A11450" i="1"/>
  <c r="R11449" i="1"/>
  <c r="J11449" i="1"/>
  <c r="I11449" i="1"/>
  <c r="G11449" i="1"/>
  <c r="F11449" i="1"/>
  <c r="E11449" i="1"/>
  <c r="D11449" i="1"/>
  <c r="C11449" i="1"/>
  <c r="B11449" i="1"/>
  <c r="A11449" i="1"/>
  <c r="S11448" i="1"/>
  <c r="O11448" i="1"/>
  <c r="K11448" i="1"/>
  <c r="J11448" i="1"/>
  <c r="I11448" i="1"/>
  <c r="H11448" i="1"/>
  <c r="G11448" i="1"/>
  <c r="F11448" i="1"/>
  <c r="E11448" i="1"/>
  <c r="D11448" i="1"/>
  <c r="C11448" i="1"/>
  <c r="B11448" i="1"/>
  <c r="A11448" i="1"/>
  <c r="R11447" i="1"/>
  <c r="J11447" i="1"/>
  <c r="I11447" i="1"/>
  <c r="G11447" i="1"/>
  <c r="F11447" i="1"/>
  <c r="E11447" i="1"/>
  <c r="D11447" i="1"/>
  <c r="C11447" i="1"/>
  <c r="B11447" i="1"/>
  <c r="A11447" i="1"/>
  <c r="R11446" i="1"/>
  <c r="J11446" i="1"/>
  <c r="I11446" i="1"/>
  <c r="G11446" i="1"/>
  <c r="F11446" i="1"/>
  <c r="E11446" i="1"/>
  <c r="D11446" i="1"/>
  <c r="C11446" i="1"/>
  <c r="B11446" i="1"/>
  <c r="A11446" i="1"/>
  <c r="R11445" i="1"/>
  <c r="J11445" i="1"/>
  <c r="I11445" i="1"/>
  <c r="G11445" i="1"/>
  <c r="F11445" i="1"/>
  <c r="E11445" i="1"/>
  <c r="D11445" i="1"/>
  <c r="C11445" i="1"/>
  <c r="B11445" i="1"/>
  <c r="A11445" i="1"/>
  <c r="S11444" i="1"/>
  <c r="O11444" i="1"/>
  <c r="K11444" i="1"/>
  <c r="J11444" i="1"/>
  <c r="I11444" i="1"/>
  <c r="H11444" i="1"/>
  <c r="G11444" i="1"/>
  <c r="F11444" i="1"/>
  <c r="E11444" i="1"/>
  <c r="D11444" i="1"/>
  <c r="C11444" i="1"/>
  <c r="B11444" i="1"/>
  <c r="A11444" i="1"/>
  <c r="R11443" i="1"/>
  <c r="J11443" i="1"/>
  <c r="I11443" i="1"/>
  <c r="G11443" i="1"/>
  <c r="F11443" i="1"/>
  <c r="E11443" i="1"/>
  <c r="D11443" i="1"/>
  <c r="C11443" i="1"/>
  <c r="B11443" i="1"/>
  <c r="A11443" i="1"/>
  <c r="S11442" i="1"/>
  <c r="O11442" i="1"/>
  <c r="K11442" i="1"/>
  <c r="J11442" i="1"/>
  <c r="I11442" i="1"/>
  <c r="H11442" i="1"/>
  <c r="G11442" i="1"/>
  <c r="F11442" i="1"/>
  <c r="E11442" i="1"/>
  <c r="D11442" i="1"/>
  <c r="C11442" i="1"/>
  <c r="B11442" i="1"/>
  <c r="A11442" i="1"/>
  <c r="R11441" i="1"/>
  <c r="J11441" i="1"/>
  <c r="I11441" i="1"/>
  <c r="G11441" i="1"/>
  <c r="F11441" i="1"/>
  <c r="E11441" i="1"/>
  <c r="D11441" i="1"/>
  <c r="C11441" i="1"/>
  <c r="B11441" i="1"/>
  <c r="A11441" i="1"/>
  <c r="S11440" i="1"/>
  <c r="O11440" i="1"/>
  <c r="K11440" i="1"/>
  <c r="J11440" i="1"/>
  <c r="I11440" i="1"/>
  <c r="H11440" i="1"/>
  <c r="G11440" i="1"/>
  <c r="F11440" i="1"/>
  <c r="E11440" i="1"/>
  <c r="D11440" i="1"/>
  <c r="C11440" i="1"/>
  <c r="B11440" i="1"/>
  <c r="A11440" i="1"/>
  <c r="R11439" i="1"/>
  <c r="J11439" i="1"/>
  <c r="I11439" i="1"/>
  <c r="G11439" i="1"/>
  <c r="F11439" i="1"/>
  <c r="E11439" i="1"/>
  <c r="D11439" i="1"/>
  <c r="C11439" i="1"/>
  <c r="B11439" i="1"/>
  <c r="A11439" i="1"/>
  <c r="S11438" i="1"/>
  <c r="O11438" i="1"/>
  <c r="K11438" i="1"/>
  <c r="J11438" i="1"/>
  <c r="I11438" i="1"/>
  <c r="H11438" i="1"/>
  <c r="G11438" i="1"/>
  <c r="F11438" i="1"/>
  <c r="E11438" i="1"/>
  <c r="D11438" i="1"/>
  <c r="C11438" i="1"/>
  <c r="B11438" i="1"/>
  <c r="A11438" i="1"/>
  <c r="R11437" i="1"/>
  <c r="J11437" i="1"/>
  <c r="I11437" i="1"/>
  <c r="G11437" i="1"/>
  <c r="F11437" i="1"/>
  <c r="E11437" i="1"/>
  <c r="D11437" i="1"/>
  <c r="C11437" i="1"/>
  <c r="B11437" i="1"/>
  <c r="A11437" i="1"/>
  <c r="S11436" i="1"/>
  <c r="O11436" i="1"/>
  <c r="K11436" i="1"/>
  <c r="J11436" i="1"/>
  <c r="I11436" i="1"/>
  <c r="H11436" i="1"/>
  <c r="G11436" i="1"/>
  <c r="F11436" i="1"/>
  <c r="E11436" i="1"/>
  <c r="D11436" i="1"/>
  <c r="C11436" i="1"/>
  <c r="B11436" i="1"/>
  <c r="A11436" i="1"/>
  <c r="R11435" i="1"/>
  <c r="J11435" i="1"/>
  <c r="I11435" i="1"/>
  <c r="G11435" i="1"/>
  <c r="F11435" i="1"/>
  <c r="E11435" i="1"/>
  <c r="D11435" i="1"/>
  <c r="C11435" i="1"/>
  <c r="B11435" i="1"/>
  <c r="A11435" i="1"/>
  <c r="S11434" i="1"/>
  <c r="O11434" i="1"/>
  <c r="K11434" i="1"/>
  <c r="J11434" i="1"/>
  <c r="I11434" i="1"/>
  <c r="H11434" i="1"/>
  <c r="G11434" i="1"/>
  <c r="F11434" i="1"/>
  <c r="E11434" i="1"/>
  <c r="D11434" i="1"/>
  <c r="C11434" i="1"/>
  <c r="B11434" i="1"/>
  <c r="A11434" i="1"/>
  <c r="R11433" i="1"/>
  <c r="J11433" i="1"/>
  <c r="I11433" i="1"/>
  <c r="G11433" i="1"/>
  <c r="F11433" i="1"/>
  <c r="E11433" i="1"/>
  <c r="D11433" i="1"/>
  <c r="C11433" i="1"/>
  <c r="B11433" i="1"/>
  <c r="A11433" i="1"/>
  <c r="R11432" i="1"/>
  <c r="J11432" i="1"/>
  <c r="I11432" i="1"/>
  <c r="G11432" i="1"/>
  <c r="F11432" i="1"/>
  <c r="E11432" i="1"/>
  <c r="D11432" i="1"/>
  <c r="C11432" i="1"/>
  <c r="B11432" i="1"/>
  <c r="A11432" i="1"/>
  <c r="S11431" i="1"/>
  <c r="O11431" i="1"/>
  <c r="K11431" i="1"/>
  <c r="J11431" i="1"/>
  <c r="I11431" i="1"/>
  <c r="H11431" i="1"/>
  <c r="G11431" i="1"/>
  <c r="F11431" i="1"/>
  <c r="E11431" i="1"/>
  <c r="D11431" i="1"/>
  <c r="C11431" i="1"/>
  <c r="B11431" i="1"/>
  <c r="A11431" i="1"/>
  <c r="R11430" i="1"/>
  <c r="J11430" i="1"/>
  <c r="I11430" i="1"/>
  <c r="G11430" i="1"/>
  <c r="F11430" i="1"/>
  <c r="E11430" i="1"/>
  <c r="D11430" i="1"/>
  <c r="C11430" i="1"/>
  <c r="B11430" i="1"/>
  <c r="A11430" i="1"/>
  <c r="S11429" i="1"/>
  <c r="O11429" i="1"/>
  <c r="K11429" i="1"/>
  <c r="J11429" i="1"/>
  <c r="I11429" i="1"/>
  <c r="H11429" i="1"/>
  <c r="G11429" i="1"/>
  <c r="F11429" i="1"/>
  <c r="E11429" i="1"/>
  <c r="D11429" i="1"/>
  <c r="C11429" i="1"/>
  <c r="B11429" i="1"/>
  <c r="A11429" i="1"/>
  <c r="R11428" i="1"/>
  <c r="J11428" i="1"/>
  <c r="I11428" i="1"/>
  <c r="G11428" i="1"/>
  <c r="F11428" i="1"/>
  <c r="E11428" i="1"/>
  <c r="D11428" i="1"/>
  <c r="C11428" i="1"/>
  <c r="B11428" i="1"/>
  <c r="A11428" i="1"/>
  <c r="S11427" i="1"/>
  <c r="O11427" i="1"/>
  <c r="K11427" i="1"/>
  <c r="J11427" i="1"/>
  <c r="I11427" i="1"/>
  <c r="H11427" i="1"/>
  <c r="G11427" i="1"/>
  <c r="F11427" i="1"/>
  <c r="E11427" i="1"/>
  <c r="D11427" i="1"/>
  <c r="C11427" i="1"/>
  <c r="B11427" i="1"/>
  <c r="A11427" i="1"/>
  <c r="R11426" i="1"/>
  <c r="J11426" i="1"/>
  <c r="I11426" i="1"/>
  <c r="G11426" i="1"/>
  <c r="F11426" i="1"/>
  <c r="E11426" i="1"/>
  <c r="D11426" i="1"/>
  <c r="C11426" i="1"/>
  <c r="B11426" i="1"/>
  <c r="A11426" i="1"/>
  <c r="S11425" i="1"/>
  <c r="O11425" i="1"/>
  <c r="K11425" i="1"/>
  <c r="J11425" i="1"/>
  <c r="I11425" i="1"/>
  <c r="H11425" i="1"/>
  <c r="G11425" i="1"/>
  <c r="F11425" i="1"/>
  <c r="E11425" i="1"/>
  <c r="D11425" i="1"/>
  <c r="C11425" i="1"/>
  <c r="B11425" i="1"/>
  <c r="A11425" i="1"/>
  <c r="R11424" i="1"/>
  <c r="J11424" i="1"/>
  <c r="I11424" i="1"/>
  <c r="G11424" i="1"/>
  <c r="F11424" i="1"/>
  <c r="E11424" i="1"/>
  <c r="D11424" i="1"/>
  <c r="C11424" i="1"/>
  <c r="B11424" i="1"/>
  <c r="A11424" i="1"/>
  <c r="S11423" i="1"/>
  <c r="O11423" i="1"/>
  <c r="K11423" i="1"/>
  <c r="J11423" i="1"/>
  <c r="I11423" i="1"/>
  <c r="H11423" i="1"/>
  <c r="G11423" i="1"/>
  <c r="F11423" i="1"/>
  <c r="E11423" i="1"/>
  <c r="D11423" i="1"/>
  <c r="C11423" i="1"/>
  <c r="B11423" i="1"/>
  <c r="A11423" i="1"/>
  <c r="R11422" i="1"/>
  <c r="J11422" i="1"/>
  <c r="I11422" i="1"/>
  <c r="G11422" i="1"/>
  <c r="F11422" i="1"/>
  <c r="E11422" i="1"/>
  <c r="D11422" i="1"/>
  <c r="C11422" i="1"/>
  <c r="B11422" i="1"/>
  <c r="A11422" i="1"/>
  <c r="S11421" i="1"/>
  <c r="O11421" i="1"/>
  <c r="K11421" i="1"/>
  <c r="J11421" i="1"/>
  <c r="I11421" i="1"/>
  <c r="H11421" i="1"/>
  <c r="G11421" i="1"/>
  <c r="F11421" i="1"/>
  <c r="E11421" i="1"/>
  <c r="D11421" i="1"/>
  <c r="C11421" i="1"/>
  <c r="B11421" i="1"/>
  <c r="A11421" i="1"/>
  <c r="R11420" i="1"/>
  <c r="J11420" i="1"/>
  <c r="I11420" i="1"/>
  <c r="G11420" i="1"/>
  <c r="F11420" i="1"/>
  <c r="E11420" i="1"/>
  <c r="D11420" i="1"/>
  <c r="C11420" i="1"/>
  <c r="B11420" i="1"/>
  <c r="A11420" i="1"/>
  <c r="S11419" i="1"/>
  <c r="O11419" i="1"/>
  <c r="K11419" i="1"/>
  <c r="J11419" i="1"/>
  <c r="I11419" i="1"/>
  <c r="H11419" i="1"/>
  <c r="G11419" i="1"/>
  <c r="F11419" i="1"/>
  <c r="E11419" i="1"/>
  <c r="D11419" i="1"/>
  <c r="C11419" i="1"/>
  <c r="B11419" i="1"/>
  <c r="A11419" i="1"/>
  <c r="R11418" i="1"/>
  <c r="J11418" i="1"/>
  <c r="I11418" i="1"/>
  <c r="G11418" i="1"/>
  <c r="F11418" i="1"/>
  <c r="E11418" i="1"/>
  <c r="D11418" i="1"/>
  <c r="C11418" i="1"/>
  <c r="B11418" i="1"/>
  <c r="A11418" i="1"/>
  <c r="S11417" i="1"/>
  <c r="O11417" i="1"/>
  <c r="K11417" i="1"/>
  <c r="J11417" i="1"/>
  <c r="I11417" i="1"/>
  <c r="H11417" i="1"/>
  <c r="G11417" i="1"/>
  <c r="F11417" i="1"/>
  <c r="E11417" i="1"/>
  <c r="D11417" i="1"/>
  <c r="C11417" i="1"/>
  <c r="B11417" i="1"/>
  <c r="A11417" i="1"/>
  <c r="R11416" i="1"/>
  <c r="J11416" i="1"/>
  <c r="I11416" i="1"/>
  <c r="G11416" i="1"/>
  <c r="F11416" i="1"/>
  <c r="E11416" i="1"/>
  <c r="D11416" i="1"/>
  <c r="C11416" i="1"/>
  <c r="B11416" i="1"/>
  <c r="A11416" i="1"/>
  <c r="S11415" i="1"/>
  <c r="O11415" i="1"/>
  <c r="K11415" i="1"/>
  <c r="J11415" i="1"/>
  <c r="I11415" i="1"/>
  <c r="H11415" i="1"/>
  <c r="G11415" i="1"/>
  <c r="F11415" i="1"/>
  <c r="E11415" i="1"/>
  <c r="D11415" i="1"/>
  <c r="C11415" i="1"/>
  <c r="B11415" i="1"/>
  <c r="A11415" i="1"/>
  <c r="R11414" i="1"/>
  <c r="J11414" i="1"/>
  <c r="I11414" i="1"/>
  <c r="G11414" i="1"/>
  <c r="F11414" i="1"/>
  <c r="E11414" i="1"/>
  <c r="D11414" i="1"/>
  <c r="C11414" i="1"/>
  <c r="B11414" i="1"/>
  <c r="A11414" i="1"/>
  <c r="R11413" i="1"/>
  <c r="J11413" i="1"/>
  <c r="I11413" i="1"/>
  <c r="G11413" i="1"/>
  <c r="F11413" i="1"/>
  <c r="E11413" i="1"/>
  <c r="D11413" i="1"/>
  <c r="C11413" i="1"/>
  <c r="B11413" i="1"/>
  <c r="A11413" i="1"/>
  <c r="S11412" i="1"/>
  <c r="O11412" i="1"/>
  <c r="K11412" i="1"/>
  <c r="J11412" i="1"/>
  <c r="I11412" i="1"/>
  <c r="H11412" i="1"/>
  <c r="G11412" i="1"/>
  <c r="F11412" i="1"/>
  <c r="E11412" i="1"/>
  <c r="D11412" i="1"/>
  <c r="C11412" i="1"/>
  <c r="B11412" i="1"/>
  <c r="A11412" i="1"/>
  <c r="R11411" i="1"/>
  <c r="J11411" i="1"/>
  <c r="I11411" i="1"/>
  <c r="G11411" i="1"/>
  <c r="F11411" i="1"/>
  <c r="E11411" i="1"/>
  <c r="D11411" i="1"/>
  <c r="C11411" i="1"/>
  <c r="B11411" i="1"/>
  <c r="A11411" i="1"/>
  <c r="R11410" i="1"/>
  <c r="J11410" i="1"/>
  <c r="I11410" i="1"/>
  <c r="G11410" i="1"/>
  <c r="F11410" i="1"/>
  <c r="E11410" i="1"/>
  <c r="D11410" i="1"/>
  <c r="C11410" i="1"/>
  <c r="B11410" i="1"/>
  <c r="A11410" i="1"/>
  <c r="R11409" i="1"/>
  <c r="J11409" i="1"/>
  <c r="I11409" i="1"/>
  <c r="G11409" i="1"/>
  <c r="F11409" i="1"/>
  <c r="E11409" i="1"/>
  <c r="D11409" i="1"/>
  <c r="C11409" i="1"/>
  <c r="B11409" i="1"/>
  <c r="A11409" i="1"/>
  <c r="R11408" i="1"/>
  <c r="J11408" i="1"/>
  <c r="I11408" i="1"/>
  <c r="G11408" i="1"/>
  <c r="F11408" i="1"/>
  <c r="E11408" i="1"/>
  <c r="D11408" i="1"/>
  <c r="C11408" i="1"/>
  <c r="B11408" i="1"/>
  <c r="A11408" i="1"/>
  <c r="S11407" i="1"/>
  <c r="O11407" i="1"/>
  <c r="K11407" i="1"/>
  <c r="J11407" i="1"/>
  <c r="I11407" i="1"/>
  <c r="H11407" i="1"/>
  <c r="G11407" i="1"/>
  <c r="F11407" i="1"/>
  <c r="E11407" i="1"/>
  <c r="D11407" i="1"/>
  <c r="C11407" i="1"/>
  <c r="B11407" i="1"/>
  <c r="A11407" i="1"/>
  <c r="R11406" i="1"/>
  <c r="J11406" i="1"/>
  <c r="I11406" i="1"/>
  <c r="G11406" i="1"/>
  <c r="F11406" i="1"/>
  <c r="E11406" i="1"/>
  <c r="D11406" i="1"/>
  <c r="C11406" i="1"/>
  <c r="B11406" i="1"/>
  <c r="A11406" i="1"/>
  <c r="S11405" i="1"/>
  <c r="O11405" i="1"/>
  <c r="K11405" i="1"/>
  <c r="J11405" i="1"/>
  <c r="I11405" i="1"/>
  <c r="H11405" i="1"/>
  <c r="G11405" i="1"/>
  <c r="F11405" i="1"/>
  <c r="E11405" i="1"/>
  <c r="D11405" i="1"/>
  <c r="C11405" i="1"/>
  <c r="B11405" i="1"/>
  <c r="A11405" i="1"/>
  <c r="R11404" i="1"/>
  <c r="J11404" i="1"/>
  <c r="I11404" i="1"/>
  <c r="G11404" i="1"/>
  <c r="F11404" i="1"/>
  <c r="E11404" i="1"/>
  <c r="D11404" i="1"/>
  <c r="C11404" i="1"/>
  <c r="B11404" i="1"/>
  <c r="A11404" i="1"/>
  <c r="S11403" i="1"/>
  <c r="O11403" i="1"/>
  <c r="K11403" i="1"/>
  <c r="J11403" i="1"/>
  <c r="I11403" i="1"/>
  <c r="H11403" i="1"/>
  <c r="G11403" i="1"/>
  <c r="F11403" i="1"/>
  <c r="E11403" i="1"/>
  <c r="D11403" i="1"/>
  <c r="C11403" i="1"/>
  <c r="B11403" i="1"/>
  <c r="A11403" i="1"/>
  <c r="R11402" i="1"/>
  <c r="J11402" i="1"/>
  <c r="I11402" i="1"/>
  <c r="G11402" i="1"/>
  <c r="F11402" i="1"/>
  <c r="E11402" i="1"/>
  <c r="D11402" i="1"/>
  <c r="C11402" i="1"/>
  <c r="B11402" i="1"/>
  <c r="A11402" i="1"/>
  <c r="S11401" i="1"/>
  <c r="O11401" i="1"/>
  <c r="K11401" i="1"/>
  <c r="J11401" i="1"/>
  <c r="I11401" i="1"/>
  <c r="H11401" i="1"/>
  <c r="G11401" i="1"/>
  <c r="F11401" i="1"/>
  <c r="E11401" i="1"/>
  <c r="D11401" i="1"/>
  <c r="C11401" i="1"/>
  <c r="B11401" i="1"/>
  <c r="A11401" i="1"/>
  <c r="R11400" i="1"/>
  <c r="J11400" i="1"/>
  <c r="I11400" i="1"/>
  <c r="G11400" i="1"/>
  <c r="F11400" i="1"/>
  <c r="E11400" i="1"/>
  <c r="D11400" i="1"/>
  <c r="C11400" i="1"/>
  <c r="B11400" i="1"/>
  <c r="A11400" i="1"/>
  <c r="R11399" i="1"/>
  <c r="J11399" i="1"/>
  <c r="I11399" i="1"/>
  <c r="G11399" i="1"/>
  <c r="F11399" i="1"/>
  <c r="E11399" i="1"/>
  <c r="D11399" i="1"/>
  <c r="C11399" i="1"/>
  <c r="B11399" i="1"/>
  <c r="A11399" i="1"/>
  <c r="R11398" i="1"/>
  <c r="J11398" i="1"/>
  <c r="I11398" i="1"/>
  <c r="G11398" i="1"/>
  <c r="F11398" i="1"/>
  <c r="E11398" i="1"/>
  <c r="D11398" i="1"/>
  <c r="C11398" i="1"/>
  <c r="B11398" i="1"/>
  <c r="A11398" i="1"/>
  <c r="R11397" i="1"/>
  <c r="J11397" i="1"/>
  <c r="I11397" i="1"/>
  <c r="G11397" i="1"/>
  <c r="F11397" i="1"/>
  <c r="E11397" i="1"/>
  <c r="D11397" i="1"/>
  <c r="C11397" i="1"/>
  <c r="B11397" i="1"/>
  <c r="A11397" i="1"/>
  <c r="R11396" i="1"/>
  <c r="J11396" i="1"/>
  <c r="I11396" i="1"/>
  <c r="G11396" i="1"/>
  <c r="F11396" i="1"/>
  <c r="E11396" i="1"/>
  <c r="D11396" i="1"/>
  <c r="C11396" i="1"/>
  <c r="B11396" i="1"/>
  <c r="A11396" i="1"/>
  <c r="R11395" i="1"/>
  <c r="J11395" i="1"/>
  <c r="I11395" i="1"/>
  <c r="G11395" i="1"/>
  <c r="F11395" i="1"/>
  <c r="E11395" i="1"/>
  <c r="D11395" i="1"/>
  <c r="C11395" i="1"/>
  <c r="B11395" i="1"/>
  <c r="A11395" i="1"/>
  <c r="R11394" i="1"/>
  <c r="J11394" i="1"/>
  <c r="I11394" i="1"/>
  <c r="G11394" i="1"/>
  <c r="F11394" i="1"/>
  <c r="E11394" i="1"/>
  <c r="D11394" i="1"/>
  <c r="C11394" i="1"/>
  <c r="B11394" i="1"/>
  <c r="A11394" i="1"/>
  <c r="R11393" i="1"/>
  <c r="J11393" i="1"/>
  <c r="I11393" i="1"/>
  <c r="G11393" i="1"/>
  <c r="F11393" i="1"/>
  <c r="E11393" i="1"/>
  <c r="D11393" i="1"/>
  <c r="C11393" i="1"/>
  <c r="B11393" i="1"/>
  <c r="A11393" i="1"/>
  <c r="R11392" i="1"/>
  <c r="J11392" i="1"/>
  <c r="I11392" i="1"/>
  <c r="G11392" i="1"/>
  <c r="F11392" i="1"/>
  <c r="E11392" i="1"/>
  <c r="D11392" i="1"/>
  <c r="C11392" i="1"/>
  <c r="B11392" i="1"/>
  <c r="A11392" i="1"/>
  <c r="R11391" i="1"/>
  <c r="J11391" i="1"/>
  <c r="I11391" i="1"/>
  <c r="G11391" i="1"/>
  <c r="F11391" i="1"/>
  <c r="E11391" i="1"/>
  <c r="D11391" i="1"/>
  <c r="C11391" i="1"/>
  <c r="B11391" i="1"/>
  <c r="A11391" i="1"/>
  <c r="R11390" i="1"/>
  <c r="J11390" i="1"/>
  <c r="I11390" i="1"/>
  <c r="G11390" i="1"/>
  <c r="F11390" i="1"/>
  <c r="E11390" i="1"/>
  <c r="D11390" i="1"/>
  <c r="C11390" i="1"/>
  <c r="B11390" i="1"/>
  <c r="A11390" i="1"/>
  <c r="R11389" i="1"/>
  <c r="J11389" i="1"/>
  <c r="I11389" i="1"/>
  <c r="G11389" i="1"/>
  <c r="F11389" i="1"/>
  <c r="E11389" i="1"/>
  <c r="D11389" i="1"/>
  <c r="C11389" i="1"/>
  <c r="B11389" i="1"/>
  <c r="A11389" i="1"/>
  <c r="R11388" i="1"/>
  <c r="J11388" i="1"/>
  <c r="I11388" i="1"/>
  <c r="G11388" i="1"/>
  <c r="F11388" i="1"/>
  <c r="E11388" i="1"/>
  <c r="D11388" i="1"/>
  <c r="C11388" i="1"/>
  <c r="B11388" i="1"/>
  <c r="A11388" i="1"/>
  <c r="R11387" i="1"/>
  <c r="J11387" i="1"/>
  <c r="I11387" i="1"/>
  <c r="G11387" i="1"/>
  <c r="F11387" i="1"/>
  <c r="E11387" i="1"/>
  <c r="D11387" i="1"/>
  <c r="C11387" i="1"/>
  <c r="B11387" i="1"/>
  <c r="A11387" i="1"/>
  <c r="R11386" i="1"/>
  <c r="J11386" i="1"/>
  <c r="I11386" i="1"/>
  <c r="G11386" i="1"/>
  <c r="F11386" i="1"/>
  <c r="E11386" i="1"/>
  <c r="D11386" i="1"/>
  <c r="C11386" i="1"/>
  <c r="B11386" i="1"/>
  <c r="A11386" i="1"/>
  <c r="R11385" i="1"/>
  <c r="J11385" i="1"/>
  <c r="I11385" i="1"/>
  <c r="G11385" i="1"/>
  <c r="F11385" i="1"/>
  <c r="E11385" i="1"/>
  <c r="D11385" i="1"/>
  <c r="C11385" i="1"/>
  <c r="B11385" i="1"/>
  <c r="A11385" i="1"/>
  <c r="R11384" i="1"/>
  <c r="J11384" i="1"/>
  <c r="I11384" i="1"/>
  <c r="G11384" i="1"/>
  <c r="F11384" i="1"/>
  <c r="E11384" i="1"/>
  <c r="D11384" i="1"/>
  <c r="C11384" i="1"/>
  <c r="B11384" i="1"/>
  <c r="A11384" i="1"/>
  <c r="R11383" i="1"/>
  <c r="J11383" i="1"/>
  <c r="I11383" i="1"/>
  <c r="G11383" i="1"/>
  <c r="F11383" i="1"/>
  <c r="E11383" i="1"/>
  <c r="D11383" i="1"/>
  <c r="C11383" i="1"/>
  <c r="B11383" i="1"/>
  <c r="A11383" i="1"/>
  <c r="R11382" i="1"/>
  <c r="J11382" i="1"/>
  <c r="I11382" i="1"/>
  <c r="G11382" i="1"/>
  <c r="F11382" i="1"/>
  <c r="E11382" i="1"/>
  <c r="D11382" i="1"/>
  <c r="C11382" i="1"/>
  <c r="B11382" i="1"/>
  <c r="A11382" i="1"/>
  <c r="S11381" i="1"/>
  <c r="O11381" i="1"/>
  <c r="K11381" i="1"/>
  <c r="J11381" i="1"/>
  <c r="I11381" i="1"/>
  <c r="H11381" i="1"/>
  <c r="G11381" i="1"/>
  <c r="F11381" i="1"/>
  <c r="E11381" i="1"/>
  <c r="D11381" i="1"/>
  <c r="C11381" i="1"/>
  <c r="B11381" i="1"/>
  <c r="A11381" i="1"/>
  <c r="R11380" i="1"/>
  <c r="J11380" i="1"/>
  <c r="I11380" i="1"/>
  <c r="G11380" i="1"/>
  <c r="F11380" i="1"/>
  <c r="E11380" i="1"/>
  <c r="D11380" i="1"/>
  <c r="C11380" i="1"/>
  <c r="B11380" i="1"/>
  <c r="A11380" i="1"/>
  <c r="R11379" i="1"/>
  <c r="J11379" i="1"/>
  <c r="I11379" i="1"/>
  <c r="G11379" i="1"/>
  <c r="F11379" i="1"/>
  <c r="E11379" i="1"/>
  <c r="D11379" i="1"/>
  <c r="C11379" i="1"/>
  <c r="B11379" i="1"/>
  <c r="A11379" i="1"/>
  <c r="S11378" i="1"/>
  <c r="O11378" i="1"/>
  <c r="K11378" i="1"/>
  <c r="J11378" i="1"/>
  <c r="I11378" i="1"/>
  <c r="H11378" i="1"/>
  <c r="G11378" i="1"/>
  <c r="F11378" i="1"/>
  <c r="E11378" i="1"/>
  <c r="D11378" i="1"/>
  <c r="C11378" i="1"/>
  <c r="B11378" i="1"/>
  <c r="A11378" i="1"/>
  <c r="R11377" i="1"/>
  <c r="J11377" i="1"/>
  <c r="I11377" i="1"/>
  <c r="G11377" i="1"/>
  <c r="F11377" i="1"/>
  <c r="E11377" i="1"/>
  <c r="D11377" i="1"/>
  <c r="C11377" i="1"/>
  <c r="B11377" i="1"/>
  <c r="A11377" i="1"/>
  <c r="S11376" i="1"/>
  <c r="O11376" i="1"/>
  <c r="K11376" i="1"/>
  <c r="J11376" i="1"/>
  <c r="I11376" i="1"/>
  <c r="H11376" i="1"/>
  <c r="G11376" i="1"/>
  <c r="F11376" i="1"/>
  <c r="E11376" i="1"/>
  <c r="D11376" i="1"/>
  <c r="C11376" i="1"/>
  <c r="B11376" i="1"/>
  <c r="A11376" i="1"/>
  <c r="R11375" i="1"/>
  <c r="J11375" i="1"/>
  <c r="I11375" i="1"/>
  <c r="G11375" i="1"/>
  <c r="F11375" i="1"/>
  <c r="E11375" i="1"/>
  <c r="D11375" i="1"/>
  <c r="C11375" i="1"/>
  <c r="B11375" i="1"/>
  <c r="A11375" i="1"/>
  <c r="R11374" i="1"/>
  <c r="J11374" i="1"/>
  <c r="I11374" i="1"/>
  <c r="G11374" i="1"/>
  <c r="F11374" i="1"/>
  <c r="E11374" i="1"/>
  <c r="D11374" i="1"/>
  <c r="C11374" i="1"/>
  <c r="B11374" i="1"/>
  <c r="A11374" i="1"/>
  <c r="R11373" i="1"/>
  <c r="J11373" i="1"/>
  <c r="I11373" i="1"/>
  <c r="G11373" i="1"/>
  <c r="F11373" i="1"/>
  <c r="E11373" i="1"/>
  <c r="D11373" i="1"/>
  <c r="C11373" i="1"/>
  <c r="B11373" i="1"/>
  <c r="A11373" i="1"/>
  <c r="R11372" i="1"/>
  <c r="J11372" i="1"/>
  <c r="I11372" i="1"/>
  <c r="G11372" i="1"/>
  <c r="F11372" i="1"/>
  <c r="E11372" i="1"/>
  <c r="D11372" i="1"/>
  <c r="C11372" i="1"/>
  <c r="B11372" i="1"/>
  <c r="A11372" i="1"/>
  <c r="S11371" i="1"/>
  <c r="O11371" i="1"/>
  <c r="K11371" i="1"/>
  <c r="J11371" i="1"/>
  <c r="I11371" i="1"/>
  <c r="H11371" i="1"/>
  <c r="G11371" i="1"/>
  <c r="F11371" i="1"/>
  <c r="E11371" i="1"/>
  <c r="D11371" i="1"/>
  <c r="C11371" i="1"/>
  <c r="B11371" i="1"/>
  <c r="A11371" i="1"/>
  <c r="R11370" i="1"/>
  <c r="J11370" i="1"/>
  <c r="I11370" i="1"/>
  <c r="G11370" i="1"/>
  <c r="F11370" i="1"/>
  <c r="E11370" i="1"/>
  <c r="D11370" i="1"/>
  <c r="C11370" i="1"/>
  <c r="B11370" i="1"/>
  <c r="A11370" i="1"/>
  <c r="S11369" i="1"/>
  <c r="O11369" i="1"/>
  <c r="K11369" i="1"/>
  <c r="J11369" i="1"/>
  <c r="I11369" i="1"/>
  <c r="H11369" i="1"/>
  <c r="G11369" i="1"/>
  <c r="F11369" i="1"/>
  <c r="E11369" i="1"/>
  <c r="D11369" i="1"/>
  <c r="C11369" i="1"/>
  <c r="B11369" i="1"/>
  <c r="A11369" i="1"/>
  <c r="R11368" i="1"/>
  <c r="J11368" i="1"/>
  <c r="I11368" i="1"/>
  <c r="G11368" i="1"/>
  <c r="F11368" i="1"/>
  <c r="E11368" i="1"/>
  <c r="D11368" i="1"/>
  <c r="C11368" i="1"/>
  <c r="B11368" i="1"/>
  <c r="A11368" i="1"/>
  <c r="S11367" i="1"/>
  <c r="O11367" i="1"/>
  <c r="K11367" i="1"/>
  <c r="J11367" i="1"/>
  <c r="I11367" i="1"/>
  <c r="H11367" i="1"/>
  <c r="G11367" i="1"/>
  <c r="F11367" i="1"/>
  <c r="E11367" i="1"/>
  <c r="D11367" i="1"/>
  <c r="C11367" i="1"/>
  <c r="B11367" i="1"/>
  <c r="A11367" i="1"/>
  <c r="R11366" i="1"/>
  <c r="J11366" i="1"/>
  <c r="I11366" i="1"/>
  <c r="G11366" i="1"/>
  <c r="F11366" i="1"/>
  <c r="E11366" i="1"/>
  <c r="D11366" i="1"/>
  <c r="C11366" i="1"/>
  <c r="B11366" i="1"/>
  <c r="A11366" i="1"/>
  <c r="S11365" i="1"/>
  <c r="O11365" i="1"/>
  <c r="K11365" i="1"/>
  <c r="J11365" i="1"/>
  <c r="I11365" i="1"/>
  <c r="H11365" i="1"/>
  <c r="G11365" i="1"/>
  <c r="F11365" i="1"/>
  <c r="E11365" i="1"/>
  <c r="D11365" i="1"/>
  <c r="C11365" i="1"/>
  <c r="B11365" i="1"/>
  <c r="A11365" i="1"/>
  <c r="R11364" i="1"/>
  <c r="J11364" i="1"/>
  <c r="I11364" i="1"/>
  <c r="G11364" i="1"/>
  <c r="F11364" i="1"/>
  <c r="E11364" i="1"/>
  <c r="D11364" i="1"/>
  <c r="C11364" i="1"/>
  <c r="B11364" i="1"/>
  <c r="A11364" i="1"/>
  <c r="R11363" i="1"/>
  <c r="J11363" i="1"/>
  <c r="I11363" i="1"/>
  <c r="G11363" i="1"/>
  <c r="F11363" i="1"/>
  <c r="E11363" i="1"/>
  <c r="D11363" i="1"/>
  <c r="C11363" i="1"/>
  <c r="B11363" i="1"/>
  <c r="A11363" i="1"/>
  <c r="S11362" i="1"/>
  <c r="O11362" i="1"/>
  <c r="K11362" i="1"/>
  <c r="J11362" i="1"/>
  <c r="I11362" i="1"/>
  <c r="H11362" i="1"/>
  <c r="G11362" i="1"/>
  <c r="F11362" i="1"/>
  <c r="E11362" i="1"/>
  <c r="D11362" i="1"/>
  <c r="C11362" i="1"/>
  <c r="B11362" i="1"/>
  <c r="A11362" i="1"/>
  <c r="R11361" i="1"/>
  <c r="J11361" i="1"/>
  <c r="I11361" i="1"/>
  <c r="G11361" i="1"/>
  <c r="F11361" i="1"/>
  <c r="E11361" i="1"/>
  <c r="D11361" i="1"/>
  <c r="C11361" i="1"/>
  <c r="B11361" i="1"/>
  <c r="A11361" i="1"/>
  <c r="S11360" i="1"/>
  <c r="O11360" i="1"/>
  <c r="K11360" i="1"/>
  <c r="J11360" i="1"/>
  <c r="I11360" i="1"/>
  <c r="H11360" i="1"/>
  <c r="G11360" i="1"/>
  <c r="F11360" i="1"/>
  <c r="E11360" i="1"/>
  <c r="D11360" i="1"/>
  <c r="C11360" i="1"/>
  <c r="B11360" i="1"/>
  <c r="A11360" i="1"/>
  <c r="R11359" i="1"/>
  <c r="J11359" i="1"/>
  <c r="I11359" i="1"/>
  <c r="G11359" i="1"/>
  <c r="F11359" i="1"/>
  <c r="E11359" i="1"/>
  <c r="D11359" i="1"/>
  <c r="C11359" i="1"/>
  <c r="B11359" i="1"/>
  <c r="A11359" i="1"/>
  <c r="R11358" i="1"/>
  <c r="J11358" i="1"/>
  <c r="I11358" i="1"/>
  <c r="G11358" i="1"/>
  <c r="F11358" i="1"/>
  <c r="E11358" i="1"/>
  <c r="D11358" i="1"/>
  <c r="C11358" i="1"/>
  <c r="B11358" i="1"/>
  <c r="A11358" i="1"/>
  <c r="R11357" i="1"/>
  <c r="J11357" i="1"/>
  <c r="I11357" i="1"/>
  <c r="G11357" i="1"/>
  <c r="F11357" i="1"/>
  <c r="E11357" i="1"/>
  <c r="D11357" i="1"/>
  <c r="C11357" i="1"/>
  <c r="B11357" i="1"/>
  <c r="A11357" i="1"/>
  <c r="S11356" i="1"/>
  <c r="O11356" i="1"/>
  <c r="K11356" i="1"/>
  <c r="J11356" i="1"/>
  <c r="I11356" i="1"/>
  <c r="H11356" i="1"/>
  <c r="G11356" i="1"/>
  <c r="F11356" i="1"/>
  <c r="E11356" i="1"/>
  <c r="D11356" i="1"/>
  <c r="C11356" i="1"/>
  <c r="B11356" i="1"/>
  <c r="A11356" i="1"/>
  <c r="R11355" i="1"/>
  <c r="J11355" i="1"/>
  <c r="I11355" i="1"/>
  <c r="G11355" i="1"/>
  <c r="F11355" i="1"/>
  <c r="E11355" i="1"/>
  <c r="D11355" i="1"/>
  <c r="C11355" i="1"/>
  <c r="B11355" i="1"/>
  <c r="A11355" i="1"/>
  <c r="S11354" i="1"/>
  <c r="O11354" i="1"/>
  <c r="K11354" i="1"/>
  <c r="J11354" i="1"/>
  <c r="I11354" i="1"/>
  <c r="H11354" i="1"/>
  <c r="G11354" i="1"/>
  <c r="F11354" i="1"/>
  <c r="E11354" i="1"/>
  <c r="D11354" i="1"/>
  <c r="C11354" i="1"/>
  <c r="B11354" i="1"/>
  <c r="A11354" i="1"/>
  <c r="R11353" i="1"/>
  <c r="J11353" i="1"/>
  <c r="I11353" i="1"/>
  <c r="G11353" i="1"/>
  <c r="F11353" i="1"/>
  <c r="E11353" i="1"/>
  <c r="D11353" i="1"/>
  <c r="C11353" i="1"/>
  <c r="B11353" i="1"/>
  <c r="A11353" i="1"/>
  <c r="S11352" i="1"/>
  <c r="O11352" i="1"/>
  <c r="K11352" i="1"/>
  <c r="J11352" i="1"/>
  <c r="I11352" i="1"/>
  <c r="H11352" i="1"/>
  <c r="G11352" i="1"/>
  <c r="F11352" i="1"/>
  <c r="E11352" i="1"/>
  <c r="D11352" i="1"/>
  <c r="C11352" i="1"/>
  <c r="B11352" i="1"/>
  <c r="A11352" i="1"/>
  <c r="R11351" i="1"/>
  <c r="J11351" i="1"/>
  <c r="I11351" i="1"/>
  <c r="G11351" i="1"/>
  <c r="F11351" i="1"/>
  <c r="E11351" i="1"/>
  <c r="D11351" i="1"/>
  <c r="C11351" i="1"/>
  <c r="B11351" i="1"/>
  <c r="A11351" i="1"/>
  <c r="S11350" i="1"/>
  <c r="O11350" i="1"/>
  <c r="K11350" i="1"/>
  <c r="J11350" i="1"/>
  <c r="I11350" i="1"/>
  <c r="H11350" i="1"/>
  <c r="G11350" i="1"/>
  <c r="F11350" i="1"/>
  <c r="E11350" i="1"/>
  <c r="D11350" i="1"/>
  <c r="C11350" i="1"/>
  <c r="B11350" i="1"/>
  <c r="A11350" i="1"/>
  <c r="R11349" i="1"/>
  <c r="J11349" i="1"/>
  <c r="I11349" i="1"/>
  <c r="G11349" i="1"/>
  <c r="F11349" i="1"/>
  <c r="E11349" i="1"/>
  <c r="D11349" i="1"/>
  <c r="C11349" i="1"/>
  <c r="B11349" i="1"/>
  <c r="A11349" i="1"/>
  <c r="R11348" i="1"/>
  <c r="J11348" i="1"/>
  <c r="I11348" i="1"/>
  <c r="G11348" i="1"/>
  <c r="F11348" i="1"/>
  <c r="E11348" i="1"/>
  <c r="D11348" i="1"/>
  <c r="C11348" i="1"/>
  <c r="B11348" i="1"/>
  <c r="A11348" i="1"/>
  <c r="S11347" i="1"/>
  <c r="O11347" i="1"/>
  <c r="K11347" i="1"/>
  <c r="J11347" i="1"/>
  <c r="I11347" i="1"/>
  <c r="H11347" i="1"/>
  <c r="G11347" i="1"/>
  <c r="F11347" i="1"/>
  <c r="E11347" i="1"/>
  <c r="D11347" i="1"/>
  <c r="C11347" i="1"/>
  <c r="B11347" i="1"/>
  <c r="A11347" i="1"/>
  <c r="R11346" i="1"/>
  <c r="J11346" i="1"/>
  <c r="I11346" i="1"/>
  <c r="G11346" i="1"/>
  <c r="F11346" i="1"/>
  <c r="E11346" i="1"/>
  <c r="D11346" i="1"/>
  <c r="C11346" i="1"/>
  <c r="B11346" i="1"/>
  <c r="A11346" i="1"/>
  <c r="S11345" i="1"/>
  <c r="O11345" i="1"/>
  <c r="K11345" i="1"/>
  <c r="J11345" i="1"/>
  <c r="I11345" i="1"/>
  <c r="H11345" i="1"/>
  <c r="G11345" i="1"/>
  <c r="F11345" i="1"/>
  <c r="E11345" i="1"/>
  <c r="D11345" i="1"/>
  <c r="C11345" i="1"/>
  <c r="B11345" i="1"/>
  <c r="A11345" i="1"/>
  <c r="R11344" i="1"/>
  <c r="J11344" i="1"/>
  <c r="I11344" i="1"/>
  <c r="G11344" i="1"/>
  <c r="F11344" i="1"/>
  <c r="E11344" i="1"/>
  <c r="D11344" i="1"/>
  <c r="C11344" i="1"/>
  <c r="B11344" i="1"/>
  <c r="A11344" i="1"/>
  <c r="S11343" i="1"/>
  <c r="O11343" i="1"/>
  <c r="K11343" i="1"/>
  <c r="J11343" i="1"/>
  <c r="I11343" i="1"/>
  <c r="H11343" i="1"/>
  <c r="G11343" i="1"/>
  <c r="F11343" i="1"/>
  <c r="E11343" i="1"/>
  <c r="D11343" i="1"/>
  <c r="C11343" i="1"/>
  <c r="B11343" i="1"/>
  <c r="A11343" i="1"/>
  <c r="R11342" i="1"/>
  <c r="J11342" i="1"/>
  <c r="I11342" i="1"/>
  <c r="G11342" i="1"/>
  <c r="F11342" i="1"/>
  <c r="E11342" i="1"/>
  <c r="D11342" i="1"/>
  <c r="C11342" i="1"/>
  <c r="B11342" i="1"/>
  <c r="A11342" i="1"/>
  <c r="S11341" i="1"/>
  <c r="O11341" i="1"/>
  <c r="K11341" i="1"/>
  <c r="J11341" i="1"/>
  <c r="I11341" i="1"/>
  <c r="H11341" i="1"/>
  <c r="G11341" i="1"/>
  <c r="F11341" i="1"/>
  <c r="E11341" i="1"/>
  <c r="D11341" i="1"/>
  <c r="C11341" i="1"/>
  <c r="B11341" i="1"/>
  <c r="A11341" i="1"/>
  <c r="R11340" i="1"/>
  <c r="J11340" i="1"/>
  <c r="I11340" i="1"/>
  <c r="G11340" i="1"/>
  <c r="F11340" i="1"/>
  <c r="E11340" i="1"/>
  <c r="D11340" i="1"/>
  <c r="C11340" i="1"/>
  <c r="B11340" i="1"/>
  <c r="A11340" i="1"/>
  <c r="S11339" i="1"/>
  <c r="O11339" i="1"/>
  <c r="K11339" i="1"/>
  <c r="J11339" i="1"/>
  <c r="I11339" i="1"/>
  <c r="H11339" i="1"/>
  <c r="G11339" i="1"/>
  <c r="F11339" i="1"/>
  <c r="E11339" i="1"/>
  <c r="D11339" i="1"/>
  <c r="C11339" i="1"/>
  <c r="B11339" i="1"/>
  <c r="A11339" i="1"/>
  <c r="R11338" i="1"/>
  <c r="J11338" i="1"/>
  <c r="I11338" i="1"/>
  <c r="G11338" i="1"/>
  <c r="F11338" i="1"/>
  <c r="E11338" i="1"/>
  <c r="D11338" i="1"/>
  <c r="C11338" i="1"/>
  <c r="B11338" i="1"/>
  <c r="A11338" i="1"/>
  <c r="S11337" i="1"/>
  <c r="O11337" i="1"/>
  <c r="K11337" i="1"/>
  <c r="J11337" i="1"/>
  <c r="I11337" i="1"/>
  <c r="H11337" i="1"/>
  <c r="G11337" i="1"/>
  <c r="F11337" i="1"/>
  <c r="E11337" i="1"/>
  <c r="D11337" i="1"/>
  <c r="C11337" i="1"/>
  <c r="B11337" i="1"/>
  <c r="A11337" i="1"/>
  <c r="R11336" i="1"/>
  <c r="J11336" i="1"/>
  <c r="I11336" i="1"/>
  <c r="G11336" i="1"/>
  <c r="F11336" i="1"/>
  <c r="E11336" i="1"/>
  <c r="D11336" i="1"/>
  <c r="C11336" i="1"/>
  <c r="B11336" i="1"/>
  <c r="A11336" i="1"/>
  <c r="S11335" i="1"/>
  <c r="O11335" i="1"/>
  <c r="K11335" i="1"/>
  <c r="J11335" i="1"/>
  <c r="I11335" i="1"/>
  <c r="H11335" i="1"/>
  <c r="G11335" i="1"/>
  <c r="F11335" i="1"/>
  <c r="E11335" i="1"/>
  <c r="D11335" i="1"/>
  <c r="C11335" i="1"/>
  <c r="B11335" i="1"/>
  <c r="A11335" i="1"/>
  <c r="R11334" i="1"/>
  <c r="J11334" i="1"/>
  <c r="I11334" i="1"/>
  <c r="G11334" i="1"/>
  <c r="F11334" i="1"/>
  <c r="E11334" i="1"/>
  <c r="D11334" i="1"/>
  <c r="C11334" i="1"/>
  <c r="B11334" i="1"/>
  <c r="A11334" i="1"/>
  <c r="S11333" i="1"/>
  <c r="O11333" i="1"/>
  <c r="K11333" i="1"/>
  <c r="J11333" i="1"/>
  <c r="I11333" i="1"/>
  <c r="H11333" i="1"/>
  <c r="G11333" i="1"/>
  <c r="F11333" i="1"/>
  <c r="E11333" i="1"/>
  <c r="D11333" i="1"/>
  <c r="C11333" i="1"/>
  <c r="B11333" i="1"/>
  <c r="A11333" i="1"/>
  <c r="R11332" i="1"/>
  <c r="J11332" i="1"/>
  <c r="I11332" i="1"/>
  <c r="G11332" i="1"/>
  <c r="F11332" i="1"/>
  <c r="E11332" i="1"/>
  <c r="D11332" i="1"/>
  <c r="C11332" i="1"/>
  <c r="B11332" i="1"/>
  <c r="A11332" i="1"/>
  <c r="S11331" i="1"/>
  <c r="O11331" i="1"/>
  <c r="K11331" i="1"/>
  <c r="J11331" i="1"/>
  <c r="I11331" i="1"/>
  <c r="H11331" i="1"/>
  <c r="G11331" i="1"/>
  <c r="F11331" i="1"/>
  <c r="E11331" i="1"/>
  <c r="D11331" i="1"/>
  <c r="C11331" i="1"/>
  <c r="B11331" i="1"/>
  <c r="A11331" i="1"/>
  <c r="R11330" i="1"/>
  <c r="J11330" i="1"/>
  <c r="I11330" i="1"/>
  <c r="G11330" i="1"/>
  <c r="F11330" i="1"/>
  <c r="E11330" i="1"/>
  <c r="D11330" i="1"/>
  <c r="C11330" i="1"/>
  <c r="B11330" i="1"/>
  <c r="A11330" i="1"/>
  <c r="S11329" i="1"/>
  <c r="O11329" i="1"/>
  <c r="K11329" i="1"/>
  <c r="J11329" i="1"/>
  <c r="I11329" i="1"/>
  <c r="H11329" i="1"/>
  <c r="G11329" i="1"/>
  <c r="F11329" i="1"/>
  <c r="E11329" i="1"/>
  <c r="D11329" i="1"/>
  <c r="C11329" i="1"/>
  <c r="B11329" i="1"/>
  <c r="A11329" i="1"/>
  <c r="R11328" i="1"/>
  <c r="J11328" i="1"/>
  <c r="I11328" i="1"/>
  <c r="G11328" i="1"/>
  <c r="F11328" i="1"/>
  <c r="E11328" i="1"/>
  <c r="D11328" i="1"/>
  <c r="C11328" i="1"/>
  <c r="B11328" i="1"/>
  <c r="A11328" i="1"/>
  <c r="S11327" i="1"/>
  <c r="O11327" i="1"/>
  <c r="K11327" i="1"/>
  <c r="J11327" i="1"/>
  <c r="I11327" i="1"/>
  <c r="H11327" i="1"/>
  <c r="G11327" i="1"/>
  <c r="F11327" i="1"/>
  <c r="E11327" i="1"/>
  <c r="D11327" i="1"/>
  <c r="C11327" i="1"/>
  <c r="B11327" i="1"/>
  <c r="A11327" i="1"/>
  <c r="S11326" i="1"/>
  <c r="O11326" i="1"/>
  <c r="K11326" i="1"/>
  <c r="J11326" i="1"/>
  <c r="I11326" i="1"/>
  <c r="H11326" i="1"/>
  <c r="G11326" i="1"/>
  <c r="F11326" i="1"/>
  <c r="E11326" i="1"/>
  <c r="D11326" i="1"/>
  <c r="C11326" i="1"/>
  <c r="B11326" i="1"/>
  <c r="A11326" i="1"/>
  <c r="R11325" i="1"/>
  <c r="J11325" i="1"/>
  <c r="I11325" i="1"/>
  <c r="G11325" i="1"/>
  <c r="F11325" i="1"/>
  <c r="E11325" i="1"/>
  <c r="D11325" i="1"/>
  <c r="C11325" i="1"/>
  <c r="B11325" i="1"/>
  <c r="A11325" i="1"/>
  <c r="S11324" i="1"/>
  <c r="O11324" i="1"/>
  <c r="K11324" i="1"/>
  <c r="J11324" i="1"/>
  <c r="I11324" i="1"/>
  <c r="H11324" i="1"/>
  <c r="G11324" i="1"/>
  <c r="F11324" i="1"/>
  <c r="E11324" i="1"/>
  <c r="D11324" i="1"/>
  <c r="C11324" i="1"/>
  <c r="B11324" i="1"/>
  <c r="A11324" i="1"/>
  <c r="R11323" i="1"/>
  <c r="J11323" i="1"/>
  <c r="I11323" i="1"/>
  <c r="G11323" i="1"/>
  <c r="F11323" i="1"/>
  <c r="E11323" i="1"/>
  <c r="D11323" i="1"/>
  <c r="C11323" i="1"/>
  <c r="B11323" i="1"/>
  <c r="A11323" i="1"/>
  <c r="S11322" i="1"/>
  <c r="O11322" i="1"/>
  <c r="K11322" i="1"/>
  <c r="J11322" i="1"/>
  <c r="I11322" i="1"/>
  <c r="H11322" i="1"/>
  <c r="G11322" i="1"/>
  <c r="F11322" i="1"/>
  <c r="E11322" i="1"/>
  <c r="D11322" i="1"/>
  <c r="C11322" i="1"/>
  <c r="B11322" i="1"/>
  <c r="A11322" i="1"/>
  <c r="R11321" i="1"/>
  <c r="J11321" i="1"/>
  <c r="I11321" i="1"/>
  <c r="G11321" i="1"/>
  <c r="F11321" i="1"/>
  <c r="E11321" i="1"/>
  <c r="D11321" i="1"/>
  <c r="C11321" i="1"/>
  <c r="B11321" i="1"/>
  <c r="A11321" i="1"/>
  <c r="S11320" i="1"/>
  <c r="O11320" i="1"/>
  <c r="K11320" i="1"/>
  <c r="J11320" i="1"/>
  <c r="I11320" i="1"/>
  <c r="H11320" i="1"/>
  <c r="G11320" i="1"/>
  <c r="F11320" i="1"/>
  <c r="E11320" i="1"/>
  <c r="D11320" i="1"/>
  <c r="C11320" i="1"/>
  <c r="B11320" i="1"/>
  <c r="A11320" i="1"/>
  <c r="R11319" i="1"/>
  <c r="J11319" i="1"/>
  <c r="I11319" i="1"/>
  <c r="G11319" i="1"/>
  <c r="F11319" i="1"/>
  <c r="E11319" i="1"/>
  <c r="D11319" i="1"/>
  <c r="C11319" i="1"/>
  <c r="B11319" i="1"/>
  <c r="A11319" i="1"/>
  <c r="S11318" i="1"/>
  <c r="O11318" i="1"/>
  <c r="K11318" i="1"/>
  <c r="J11318" i="1"/>
  <c r="I11318" i="1"/>
  <c r="H11318" i="1"/>
  <c r="G11318" i="1"/>
  <c r="F11318" i="1"/>
  <c r="E11318" i="1"/>
  <c r="D11318" i="1"/>
  <c r="C11318" i="1"/>
  <c r="B11318" i="1"/>
  <c r="A11318" i="1"/>
  <c r="R11317" i="1"/>
  <c r="J11317" i="1"/>
  <c r="I11317" i="1"/>
  <c r="G11317" i="1"/>
  <c r="F11317" i="1"/>
  <c r="E11317" i="1"/>
  <c r="D11317" i="1"/>
  <c r="C11317" i="1"/>
  <c r="B11317" i="1"/>
  <c r="A11317" i="1"/>
  <c r="S11316" i="1"/>
  <c r="O11316" i="1"/>
  <c r="K11316" i="1"/>
  <c r="J11316" i="1"/>
  <c r="I11316" i="1"/>
  <c r="H11316" i="1"/>
  <c r="G11316" i="1"/>
  <c r="F11316" i="1"/>
  <c r="E11316" i="1"/>
  <c r="D11316" i="1"/>
  <c r="C11316" i="1"/>
  <c r="B11316" i="1"/>
  <c r="A11316" i="1"/>
  <c r="R11315" i="1"/>
  <c r="J11315" i="1"/>
  <c r="I11315" i="1"/>
  <c r="G11315" i="1"/>
  <c r="F11315" i="1"/>
  <c r="E11315" i="1"/>
  <c r="D11315" i="1"/>
  <c r="C11315" i="1"/>
  <c r="B11315" i="1"/>
  <c r="A11315" i="1"/>
  <c r="S11314" i="1"/>
  <c r="O11314" i="1"/>
  <c r="K11314" i="1"/>
  <c r="J11314" i="1"/>
  <c r="I11314" i="1"/>
  <c r="H11314" i="1"/>
  <c r="G11314" i="1"/>
  <c r="F11314" i="1"/>
  <c r="E11314" i="1"/>
  <c r="D11314" i="1"/>
  <c r="C11314" i="1"/>
  <c r="B11314" i="1"/>
  <c r="A11314" i="1"/>
  <c r="R11313" i="1"/>
  <c r="J11313" i="1"/>
  <c r="I11313" i="1"/>
  <c r="G11313" i="1"/>
  <c r="F11313" i="1"/>
  <c r="E11313" i="1"/>
  <c r="D11313" i="1"/>
  <c r="C11313" i="1"/>
  <c r="B11313" i="1"/>
  <c r="A11313" i="1"/>
  <c r="S11312" i="1"/>
  <c r="O11312" i="1"/>
  <c r="K11312" i="1"/>
  <c r="J11312" i="1"/>
  <c r="I11312" i="1"/>
  <c r="H11312" i="1"/>
  <c r="G11312" i="1"/>
  <c r="F11312" i="1"/>
  <c r="E11312" i="1"/>
  <c r="D11312" i="1"/>
  <c r="C11312" i="1"/>
  <c r="B11312" i="1"/>
  <c r="A11312" i="1"/>
  <c r="R11311" i="1"/>
  <c r="J11311" i="1"/>
  <c r="I11311" i="1"/>
  <c r="G11311" i="1"/>
  <c r="F11311" i="1"/>
  <c r="E11311" i="1"/>
  <c r="D11311" i="1"/>
  <c r="C11311" i="1"/>
  <c r="B11311" i="1"/>
  <c r="A11311" i="1"/>
  <c r="S11310" i="1"/>
  <c r="O11310" i="1"/>
  <c r="K11310" i="1"/>
  <c r="J11310" i="1"/>
  <c r="I11310" i="1"/>
  <c r="H11310" i="1"/>
  <c r="G11310" i="1"/>
  <c r="F11310" i="1"/>
  <c r="E11310" i="1"/>
  <c r="D11310" i="1"/>
  <c r="C11310" i="1"/>
  <c r="B11310" i="1"/>
  <c r="A11310" i="1"/>
  <c r="R11309" i="1"/>
  <c r="J11309" i="1"/>
  <c r="I11309" i="1"/>
  <c r="G11309" i="1"/>
  <c r="F11309" i="1"/>
  <c r="E11309" i="1"/>
  <c r="D11309" i="1"/>
  <c r="C11309" i="1"/>
  <c r="B11309" i="1"/>
  <c r="A11309" i="1"/>
  <c r="R11308" i="1"/>
  <c r="J11308" i="1"/>
  <c r="I11308" i="1"/>
  <c r="G11308" i="1"/>
  <c r="F11308" i="1"/>
  <c r="E11308" i="1"/>
  <c r="D11308" i="1"/>
  <c r="C11308" i="1"/>
  <c r="B11308" i="1"/>
  <c r="A11308" i="1"/>
  <c r="R11307" i="1"/>
  <c r="J11307" i="1"/>
  <c r="I11307" i="1"/>
  <c r="G11307" i="1"/>
  <c r="F11307" i="1"/>
  <c r="E11307" i="1"/>
  <c r="D11307" i="1"/>
  <c r="C11307" i="1"/>
  <c r="B11307" i="1"/>
  <c r="A11307" i="1"/>
  <c r="R11306" i="1"/>
  <c r="J11306" i="1"/>
  <c r="I11306" i="1"/>
  <c r="G11306" i="1"/>
  <c r="F11306" i="1"/>
  <c r="E11306" i="1"/>
  <c r="D11306" i="1"/>
  <c r="C11306" i="1"/>
  <c r="B11306" i="1"/>
  <c r="A11306" i="1"/>
  <c r="R11305" i="1"/>
  <c r="J11305" i="1"/>
  <c r="I11305" i="1"/>
  <c r="G11305" i="1"/>
  <c r="F11305" i="1"/>
  <c r="E11305" i="1"/>
  <c r="D11305" i="1"/>
  <c r="C11305" i="1"/>
  <c r="B11305" i="1"/>
  <c r="A11305" i="1"/>
  <c r="R11304" i="1"/>
  <c r="J11304" i="1"/>
  <c r="I11304" i="1"/>
  <c r="G11304" i="1"/>
  <c r="F11304" i="1"/>
  <c r="E11304" i="1"/>
  <c r="D11304" i="1"/>
  <c r="C11304" i="1"/>
  <c r="B11304" i="1"/>
  <c r="A11304" i="1"/>
  <c r="R11303" i="1"/>
  <c r="J11303" i="1"/>
  <c r="I11303" i="1"/>
  <c r="G11303" i="1"/>
  <c r="F11303" i="1"/>
  <c r="E11303" i="1"/>
  <c r="D11303" i="1"/>
  <c r="C11303" i="1"/>
  <c r="B11303" i="1"/>
  <c r="A11303" i="1"/>
  <c r="S11302" i="1"/>
  <c r="O11302" i="1"/>
  <c r="K11302" i="1"/>
  <c r="J11302" i="1"/>
  <c r="I11302" i="1"/>
  <c r="H11302" i="1"/>
  <c r="G11302" i="1"/>
  <c r="F11302" i="1"/>
  <c r="E11302" i="1"/>
  <c r="D11302" i="1"/>
  <c r="C11302" i="1"/>
  <c r="B11302" i="1"/>
  <c r="A11302" i="1"/>
  <c r="R11301" i="1"/>
  <c r="J11301" i="1"/>
  <c r="I11301" i="1"/>
  <c r="G11301" i="1"/>
  <c r="F11301" i="1"/>
  <c r="E11301" i="1"/>
  <c r="D11301" i="1"/>
  <c r="C11301" i="1"/>
  <c r="B11301" i="1"/>
  <c r="A11301" i="1"/>
  <c r="R11300" i="1"/>
  <c r="J11300" i="1"/>
  <c r="I11300" i="1"/>
  <c r="G11300" i="1"/>
  <c r="F11300" i="1"/>
  <c r="E11300" i="1"/>
  <c r="D11300" i="1"/>
  <c r="C11300" i="1"/>
  <c r="B11300" i="1"/>
  <c r="A11300" i="1"/>
  <c r="R11299" i="1"/>
  <c r="J11299" i="1"/>
  <c r="I11299" i="1"/>
  <c r="G11299" i="1"/>
  <c r="F11299" i="1"/>
  <c r="E11299" i="1"/>
  <c r="D11299" i="1"/>
  <c r="C11299" i="1"/>
  <c r="B11299" i="1"/>
  <c r="A11299" i="1"/>
  <c r="R11298" i="1"/>
  <c r="J11298" i="1"/>
  <c r="I11298" i="1"/>
  <c r="G11298" i="1"/>
  <c r="F11298" i="1"/>
  <c r="E11298" i="1"/>
  <c r="D11298" i="1"/>
  <c r="C11298" i="1"/>
  <c r="B11298" i="1"/>
  <c r="A11298" i="1"/>
  <c r="R11297" i="1"/>
  <c r="J11297" i="1"/>
  <c r="I11297" i="1"/>
  <c r="G11297" i="1"/>
  <c r="F11297" i="1"/>
  <c r="E11297" i="1"/>
  <c r="D11297" i="1"/>
  <c r="C11297" i="1"/>
  <c r="B11297" i="1"/>
  <c r="A11297" i="1"/>
  <c r="R11296" i="1"/>
  <c r="J11296" i="1"/>
  <c r="I11296" i="1"/>
  <c r="G11296" i="1"/>
  <c r="F11296" i="1"/>
  <c r="E11296" i="1"/>
  <c r="D11296" i="1"/>
  <c r="C11296" i="1"/>
  <c r="B11296" i="1"/>
  <c r="A11296" i="1"/>
  <c r="R11295" i="1"/>
  <c r="J11295" i="1"/>
  <c r="I11295" i="1"/>
  <c r="G11295" i="1"/>
  <c r="F11295" i="1"/>
  <c r="E11295" i="1"/>
  <c r="D11295" i="1"/>
  <c r="C11295" i="1"/>
  <c r="B11295" i="1"/>
  <c r="A11295" i="1"/>
  <c r="R11294" i="1"/>
  <c r="J11294" i="1"/>
  <c r="I11294" i="1"/>
  <c r="G11294" i="1"/>
  <c r="F11294" i="1"/>
  <c r="E11294" i="1"/>
  <c r="D11294" i="1"/>
  <c r="C11294" i="1"/>
  <c r="B11294" i="1"/>
  <c r="A11294" i="1"/>
  <c r="R11293" i="1"/>
  <c r="J11293" i="1"/>
  <c r="I11293" i="1"/>
  <c r="G11293" i="1"/>
  <c r="F11293" i="1"/>
  <c r="E11293" i="1"/>
  <c r="D11293" i="1"/>
  <c r="C11293" i="1"/>
  <c r="B11293" i="1"/>
  <c r="A11293" i="1"/>
  <c r="R11292" i="1"/>
  <c r="J11292" i="1"/>
  <c r="I11292" i="1"/>
  <c r="G11292" i="1"/>
  <c r="F11292" i="1"/>
  <c r="E11292" i="1"/>
  <c r="D11292" i="1"/>
  <c r="C11292" i="1"/>
  <c r="B11292" i="1"/>
  <c r="A11292" i="1"/>
  <c r="R11291" i="1"/>
  <c r="J11291" i="1"/>
  <c r="I11291" i="1"/>
  <c r="G11291" i="1"/>
  <c r="F11291" i="1"/>
  <c r="E11291" i="1"/>
  <c r="D11291" i="1"/>
  <c r="C11291" i="1"/>
  <c r="B11291" i="1"/>
  <c r="A11291" i="1"/>
  <c r="R11290" i="1"/>
  <c r="J11290" i="1"/>
  <c r="I11290" i="1"/>
  <c r="G11290" i="1"/>
  <c r="F11290" i="1"/>
  <c r="E11290" i="1"/>
  <c r="D11290" i="1"/>
  <c r="C11290" i="1"/>
  <c r="B11290" i="1"/>
  <c r="A11290" i="1"/>
  <c r="R11289" i="1"/>
  <c r="J11289" i="1"/>
  <c r="I11289" i="1"/>
  <c r="G11289" i="1"/>
  <c r="F11289" i="1"/>
  <c r="E11289" i="1"/>
  <c r="D11289" i="1"/>
  <c r="C11289" i="1"/>
  <c r="B11289" i="1"/>
  <c r="A11289" i="1"/>
  <c r="R11288" i="1"/>
  <c r="J11288" i="1"/>
  <c r="I11288" i="1"/>
  <c r="G11288" i="1"/>
  <c r="F11288" i="1"/>
  <c r="E11288" i="1"/>
  <c r="D11288" i="1"/>
  <c r="C11288" i="1"/>
  <c r="B11288" i="1"/>
  <c r="A11288" i="1"/>
  <c r="S11287" i="1"/>
  <c r="O11287" i="1"/>
  <c r="K11287" i="1"/>
  <c r="J11287" i="1"/>
  <c r="I11287" i="1"/>
  <c r="H11287" i="1"/>
  <c r="G11287" i="1"/>
  <c r="F11287" i="1"/>
  <c r="E11287" i="1"/>
  <c r="D11287" i="1"/>
  <c r="C11287" i="1"/>
  <c r="B11287" i="1"/>
  <c r="A11287" i="1"/>
  <c r="R11286" i="1"/>
  <c r="J11286" i="1"/>
  <c r="I11286" i="1"/>
  <c r="G11286" i="1"/>
  <c r="F11286" i="1"/>
  <c r="E11286" i="1"/>
  <c r="D11286" i="1"/>
  <c r="C11286" i="1"/>
  <c r="B11286" i="1"/>
  <c r="A11286" i="1"/>
  <c r="R11285" i="1"/>
  <c r="J11285" i="1"/>
  <c r="I11285" i="1"/>
  <c r="G11285" i="1"/>
  <c r="F11285" i="1"/>
  <c r="E11285" i="1"/>
  <c r="D11285" i="1"/>
  <c r="C11285" i="1"/>
  <c r="B11285" i="1"/>
  <c r="A11285" i="1"/>
  <c r="R11284" i="1"/>
  <c r="J11284" i="1"/>
  <c r="I11284" i="1"/>
  <c r="G11284" i="1"/>
  <c r="F11284" i="1"/>
  <c r="E11284" i="1"/>
  <c r="D11284" i="1"/>
  <c r="C11284" i="1"/>
  <c r="B11284" i="1"/>
  <c r="A11284" i="1"/>
  <c r="R11283" i="1"/>
  <c r="J11283" i="1"/>
  <c r="I11283" i="1"/>
  <c r="G11283" i="1"/>
  <c r="F11283" i="1"/>
  <c r="E11283" i="1"/>
  <c r="D11283" i="1"/>
  <c r="C11283" i="1"/>
  <c r="B11283" i="1"/>
  <c r="A11283" i="1"/>
  <c r="R11282" i="1"/>
  <c r="J11282" i="1"/>
  <c r="I11282" i="1"/>
  <c r="G11282" i="1"/>
  <c r="F11282" i="1"/>
  <c r="E11282" i="1"/>
  <c r="D11282" i="1"/>
  <c r="C11282" i="1"/>
  <c r="B11282" i="1"/>
  <c r="A11282" i="1"/>
  <c r="R11281" i="1"/>
  <c r="J11281" i="1"/>
  <c r="I11281" i="1"/>
  <c r="G11281" i="1"/>
  <c r="F11281" i="1"/>
  <c r="E11281" i="1"/>
  <c r="D11281" i="1"/>
  <c r="C11281" i="1"/>
  <c r="B11281" i="1"/>
  <c r="A11281" i="1"/>
  <c r="R11280" i="1"/>
  <c r="J11280" i="1"/>
  <c r="I11280" i="1"/>
  <c r="G11280" i="1"/>
  <c r="F11280" i="1"/>
  <c r="E11280" i="1"/>
  <c r="D11280" i="1"/>
  <c r="C11280" i="1"/>
  <c r="B11280" i="1"/>
  <c r="A11280" i="1"/>
  <c r="R11279" i="1"/>
  <c r="J11279" i="1"/>
  <c r="I11279" i="1"/>
  <c r="G11279" i="1"/>
  <c r="F11279" i="1"/>
  <c r="E11279" i="1"/>
  <c r="D11279" i="1"/>
  <c r="C11279" i="1"/>
  <c r="B11279" i="1"/>
  <c r="A11279" i="1"/>
  <c r="R11278" i="1"/>
  <c r="J11278" i="1"/>
  <c r="I11278" i="1"/>
  <c r="G11278" i="1"/>
  <c r="F11278" i="1"/>
  <c r="E11278" i="1"/>
  <c r="D11278" i="1"/>
  <c r="C11278" i="1"/>
  <c r="B11278" i="1"/>
  <c r="A11278" i="1"/>
  <c r="S11277" i="1"/>
  <c r="O11277" i="1"/>
  <c r="K11277" i="1"/>
  <c r="J11277" i="1"/>
  <c r="I11277" i="1"/>
  <c r="H11277" i="1"/>
  <c r="G11277" i="1"/>
  <c r="F11277" i="1"/>
  <c r="E11277" i="1"/>
  <c r="D11277" i="1"/>
  <c r="C11277" i="1"/>
  <c r="B11277" i="1"/>
  <c r="A11277" i="1"/>
  <c r="R11276" i="1"/>
  <c r="J11276" i="1"/>
  <c r="I11276" i="1"/>
  <c r="G11276" i="1"/>
  <c r="F11276" i="1"/>
  <c r="E11276" i="1"/>
  <c r="D11276" i="1"/>
  <c r="C11276" i="1"/>
  <c r="B11276" i="1"/>
  <c r="A11276" i="1"/>
  <c r="S11275" i="1"/>
  <c r="O11275" i="1"/>
  <c r="K11275" i="1"/>
  <c r="J11275" i="1"/>
  <c r="I11275" i="1"/>
  <c r="H11275" i="1"/>
  <c r="G11275" i="1"/>
  <c r="F11275" i="1"/>
  <c r="E11275" i="1"/>
  <c r="D11275" i="1"/>
  <c r="C11275" i="1"/>
  <c r="B11275" i="1"/>
  <c r="A11275" i="1"/>
  <c r="R11274" i="1"/>
  <c r="J11274" i="1"/>
  <c r="I11274" i="1"/>
  <c r="G11274" i="1"/>
  <c r="F11274" i="1"/>
  <c r="E11274" i="1"/>
  <c r="D11274" i="1"/>
  <c r="C11274" i="1"/>
  <c r="B11274" i="1"/>
  <c r="A11274" i="1"/>
  <c r="R11273" i="1"/>
  <c r="J11273" i="1"/>
  <c r="I11273" i="1"/>
  <c r="G11273" i="1"/>
  <c r="F11273" i="1"/>
  <c r="E11273" i="1"/>
  <c r="D11273" i="1"/>
  <c r="C11273" i="1"/>
  <c r="B11273" i="1"/>
  <c r="A11273" i="1"/>
  <c r="S11272" i="1"/>
  <c r="O11272" i="1"/>
  <c r="K11272" i="1"/>
  <c r="J11272" i="1"/>
  <c r="I11272" i="1"/>
  <c r="H11272" i="1"/>
  <c r="G11272" i="1"/>
  <c r="F11272" i="1"/>
  <c r="E11272" i="1"/>
  <c r="D11272" i="1"/>
  <c r="C11272" i="1"/>
  <c r="B11272" i="1"/>
  <c r="A11272" i="1"/>
  <c r="R11271" i="1"/>
  <c r="J11271" i="1"/>
  <c r="I11271" i="1"/>
  <c r="G11271" i="1"/>
  <c r="F11271" i="1"/>
  <c r="E11271" i="1"/>
  <c r="D11271" i="1"/>
  <c r="C11271" i="1"/>
  <c r="B11271" i="1"/>
  <c r="A11271" i="1"/>
  <c r="R11270" i="1"/>
  <c r="J11270" i="1"/>
  <c r="I11270" i="1"/>
  <c r="G11270" i="1"/>
  <c r="F11270" i="1"/>
  <c r="E11270" i="1"/>
  <c r="D11270" i="1"/>
  <c r="C11270" i="1"/>
  <c r="B11270" i="1"/>
  <c r="A11270" i="1"/>
  <c r="R11269" i="1"/>
  <c r="J11269" i="1"/>
  <c r="I11269" i="1"/>
  <c r="G11269" i="1"/>
  <c r="F11269" i="1"/>
  <c r="E11269" i="1"/>
  <c r="D11269" i="1"/>
  <c r="C11269" i="1"/>
  <c r="B11269" i="1"/>
  <c r="A11269" i="1"/>
  <c r="R11268" i="1"/>
  <c r="J11268" i="1"/>
  <c r="I11268" i="1"/>
  <c r="G11268" i="1"/>
  <c r="F11268" i="1"/>
  <c r="E11268" i="1"/>
  <c r="D11268" i="1"/>
  <c r="C11268" i="1"/>
  <c r="B11268" i="1"/>
  <c r="A11268" i="1"/>
  <c r="R11267" i="1"/>
  <c r="J11267" i="1"/>
  <c r="I11267" i="1"/>
  <c r="G11267" i="1"/>
  <c r="F11267" i="1"/>
  <c r="E11267" i="1"/>
  <c r="D11267" i="1"/>
  <c r="C11267" i="1"/>
  <c r="B11267" i="1"/>
  <c r="A11267" i="1"/>
  <c r="R11266" i="1"/>
  <c r="J11266" i="1"/>
  <c r="I11266" i="1"/>
  <c r="G11266" i="1"/>
  <c r="F11266" i="1"/>
  <c r="E11266" i="1"/>
  <c r="D11266" i="1"/>
  <c r="C11266" i="1"/>
  <c r="B11266" i="1"/>
  <c r="A11266" i="1"/>
  <c r="R11265" i="1"/>
  <c r="J11265" i="1"/>
  <c r="I11265" i="1"/>
  <c r="G11265" i="1"/>
  <c r="F11265" i="1"/>
  <c r="E11265" i="1"/>
  <c r="D11265" i="1"/>
  <c r="C11265" i="1"/>
  <c r="B11265" i="1"/>
  <c r="A11265" i="1"/>
  <c r="R11264" i="1"/>
  <c r="J11264" i="1"/>
  <c r="I11264" i="1"/>
  <c r="G11264" i="1"/>
  <c r="F11264" i="1"/>
  <c r="E11264" i="1"/>
  <c r="D11264" i="1"/>
  <c r="C11264" i="1"/>
  <c r="B11264" i="1"/>
  <c r="A11264" i="1"/>
  <c r="R11263" i="1"/>
  <c r="J11263" i="1"/>
  <c r="I11263" i="1"/>
  <c r="G11263" i="1"/>
  <c r="F11263" i="1"/>
  <c r="E11263" i="1"/>
  <c r="D11263" i="1"/>
  <c r="C11263" i="1"/>
  <c r="B11263" i="1"/>
  <c r="A11263" i="1"/>
  <c r="R11262" i="1"/>
  <c r="J11262" i="1"/>
  <c r="I11262" i="1"/>
  <c r="G11262" i="1"/>
  <c r="F11262" i="1"/>
  <c r="E11262" i="1"/>
  <c r="D11262" i="1"/>
  <c r="C11262" i="1"/>
  <c r="B11262" i="1"/>
  <c r="A11262" i="1"/>
  <c r="S11261" i="1"/>
  <c r="O11261" i="1"/>
  <c r="K11261" i="1"/>
  <c r="J11261" i="1"/>
  <c r="I11261" i="1"/>
  <c r="H11261" i="1"/>
  <c r="G11261" i="1"/>
  <c r="F11261" i="1"/>
  <c r="E11261" i="1"/>
  <c r="D11261" i="1"/>
  <c r="C11261" i="1"/>
  <c r="B11261" i="1"/>
  <c r="A11261" i="1"/>
  <c r="R11260" i="1"/>
  <c r="J11260" i="1"/>
  <c r="I11260" i="1"/>
  <c r="G11260" i="1"/>
  <c r="F11260" i="1"/>
  <c r="E11260" i="1"/>
  <c r="D11260" i="1"/>
  <c r="C11260" i="1"/>
  <c r="B11260" i="1"/>
  <c r="A11260" i="1"/>
  <c r="R11259" i="1"/>
  <c r="J11259" i="1"/>
  <c r="I11259" i="1"/>
  <c r="G11259" i="1"/>
  <c r="F11259" i="1"/>
  <c r="E11259" i="1"/>
  <c r="D11259" i="1"/>
  <c r="C11259" i="1"/>
  <c r="B11259" i="1"/>
  <c r="A11259" i="1"/>
  <c r="R11258" i="1"/>
  <c r="J11258" i="1"/>
  <c r="I11258" i="1"/>
  <c r="G11258" i="1"/>
  <c r="F11258" i="1"/>
  <c r="E11258" i="1"/>
  <c r="D11258" i="1"/>
  <c r="C11258" i="1"/>
  <c r="B11258" i="1"/>
  <c r="A11258" i="1"/>
  <c r="R11257" i="1"/>
  <c r="J11257" i="1"/>
  <c r="I11257" i="1"/>
  <c r="G11257" i="1"/>
  <c r="F11257" i="1"/>
  <c r="E11257" i="1"/>
  <c r="D11257" i="1"/>
  <c r="C11257" i="1"/>
  <c r="B11257" i="1"/>
  <c r="A11257" i="1"/>
  <c r="R11256" i="1"/>
  <c r="J11256" i="1"/>
  <c r="I11256" i="1"/>
  <c r="G11256" i="1"/>
  <c r="F11256" i="1"/>
  <c r="E11256" i="1"/>
  <c r="D11256" i="1"/>
  <c r="C11256" i="1"/>
  <c r="B11256" i="1"/>
  <c r="A11256" i="1"/>
  <c r="R11255" i="1"/>
  <c r="J11255" i="1"/>
  <c r="I11255" i="1"/>
  <c r="G11255" i="1"/>
  <c r="F11255" i="1"/>
  <c r="E11255" i="1"/>
  <c r="D11255" i="1"/>
  <c r="C11255" i="1"/>
  <c r="B11255" i="1"/>
  <c r="A11255" i="1"/>
  <c r="R11254" i="1"/>
  <c r="J11254" i="1"/>
  <c r="I11254" i="1"/>
  <c r="G11254" i="1"/>
  <c r="F11254" i="1"/>
  <c r="E11254" i="1"/>
  <c r="D11254" i="1"/>
  <c r="C11254" i="1"/>
  <c r="B11254" i="1"/>
  <c r="A11254" i="1"/>
  <c r="R11253" i="1"/>
  <c r="J11253" i="1"/>
  <c r="I11253" i="1"/>
  <c r="G11253" i="1"/>
  <c r="F11253" i="1"/>
  <c r="E11253" i="1"/>
  <c r="D11253" i="1"/>
  <c r="C11253" i="1"/>
  <c r="B11253" i="1"/>
  <c r="A11253" i="1"/>
  <c r="R11252" i="1"/>
  <c r="J11252" i="1"/>
  <c r="I11252" i="1"/>
  <c r="G11252" i="1"/>
  <c r="F11252" i="1"/>
  <c r="E11252" i="1"/>
  <c r="D11252" i="1"/>
  <c r="C11252" i="1"/>
  <c r="B11252" i="1"/>
  <c r="A11252" i="1"/>
  <c r="R11251" i="1"/>
  <c r="J11251" i="1"/>
  <c r="I11251" i="1"/>
  <c r="G11251" i="1"/>
  <c r="F11251" i="1"/>
  <c r="E11251" i="1"/>
  <c r="D11251" i="1"/>
  <c r="C11251" i="1"/>
  <c r="B11251" i="1"/>
  <c r="A11251" i="1"/>
  <c r="R11250" i="1"/>
  <c r="J11250" i="1"/>
  <c r="I11250" i="1"/>
  <c r="G11250" i="1"/>
  <c r="F11250" i="1"/>
  <c r="E11250" i="1"/>
  <c r="D11250" i="1"/>
  <c r="C11250" i="1"/>
  <c r="B11250" i="1"/>
  <c r="A11250" i="1"/>
  <c r="R11249" i="1"/>
  <c r="J11249" i="1"/>
  <c r="I11249" i="1"/>
  <c r="G11249" i="1"/>
  <c r="F11249" i="1"/>
  <c r="E11249" i="1"/>
  <c r="D11249" i="1"/>
  <c r="C11249" i="1"/>
  <c r="B11249" i="1"/>
  <c r="A11249" i="1"/>
  <c r="R11248" i="1"/>
  <c r="J11248" i="1"/>
  <c r="I11248" i="1"/>
  <c r="G11248" i="1"/>
  <c r="F11248" i="1"/>
  <c r="E11248" i="1"/>
  <c r="D11248" i="1"/>
  <c r="C11248" i="1"/>
  <c r="B11248" i="1"/>
  <c r="A11248" i="1"/>
  <c r="R11247" i="1"/>
  <c r="J11247" i="1"/>
  <c r="I11247" i="1"/>
  <c r="G11247" i="1"/>
  <c r="F11247" i="1"/>
  <c r="E11247" i="1"/>
  <c r="D11247" i="1"/>
  <c r="C11247" i="1"/>
  <c r="B11247" i="1"/>
  <c r="A11247" i="1"/>
  <c r="R11246" i="1"/>
  <c r="J11246" i="1"/>
  <c r="I11246" i="1"/>
  <c r="G11246" i="1"/>
  <c r="F11246" i="1"/>
  <c r="E11246" i="1"/>
  <c r="D11246" i="1"/>
  <c r="C11246" i="1"/>
  <c r="B11246" i="1"/>
  <c r="A11246" i="1"/>
  <c r="R11245" i="1"/>
  <c r="J11245" i="1"/>
  <c r="I11245" i="1"/>
  <c r="G11245" i="1"/>
  <c r="F11245" i="1"/>
  <c r="E11245" i="1"/>
  <c r="D11245" i="1"/>
  <c r="C11245" i="1"/>
  <c r="B11245" i="1"/>
  <c r="A11245" i="1"/>
  <c r="R11244" i="1"/>
  <c r="J11244" i="1"/>
  <c r="I11244" i="1"/>
  <c r="G11244" i="1"/>
  <c r="F11244" i="1"/>
  <c r="E11244" i="1"/>
  <c r="D11244" i="1"/>
  <c r="C11244" i="1"/>
  <c r="B11244" i="1"/>
  <c r="A11244" i="1"/>
  <c r="S11243" i="1"/>
  <c r="O11243" i="1"/>
  <c r="K11243" i="1"/>
  <c r="J11243" i="1"/>
  <c r="I11243" i="1"/>
  <c r="H11243" i="1"/>
  <c r="G11243" i="1"/>
  <c r="F11243" i="1"/>
  <c r="E11243" i="1"/>
  <c r="D11243" i="1"/>
  <c r="C11243" i="1"/>
  <c r="B11243" i="1"/>
  <c r="A11243" i="1"/>
  <c r="R11242" i="1"/>
  <c r="J11242" i="1"/>
  <c r="I11242" i="1"/>
  <c r="G11242" i="1"/>
  <c r="F11242" i="1"/>
  <c r="E11242" i="1"/>
  <c r="D11242" i="1"/>
  <c r="C11242" i="1"/>
  <c r="B11242" i="1"/>
  <c r="A11242" i="1"/>
  <c r="R11241" i="1"/>
  <c r="J11241" i="1"/>
  <c r="I11241" i="1"/>
  <c r="G11241" i="1"/>
  <c r="F11241" i="1"/>
  <c r="E11241" i="1"/>
  <c r="D11241" i="1"/>
  <c r="C11241" i="1"/>
  <c r="B11241" i="1"/>
  <c r="A11241" i="1"/>
  <c r="S11240" i="1"/>
  <c r="O11240" i="1"/>
  <c r="K11240" i="1"/>
  <c r="J11240" i="1"/>
  <c r="I11240" i="1"/>
  <c r="H11240" i="1"/>
  <c r="G11240" i="1"/>
  <c r="F11240" i="1"/>
  <c r="E11240" i="1"/>
  <c r="D11240" i="1"/>
  <c r="C11240" i="1"/>
  <c r="B11240" i="1"/>
  <c r="A11240" i="1"/>
  <c r="R11239" i="1"/>
  <c r="J11239" i="1"/>
  <c r="I11239" i="1"/>
  <c r="G11239" i="1"/>
  <c r="F11239" i="1"/>
  <c r="E11239" i="1"/>
  <c r="D11239" i="1"/>
  <c r="C11239" i="1"/>
  <c r="B11239" i="1"/>
  <c r="A11239" i="1"/>
  <c r="R11238" i="1"/>
  <c r="J11238" i="1"/>
  <c r="I11238" i="1"/>
  <c r="G11238" i="1"/>
  <c r="F11238" i="1"/>
  <c r="E11238" i="1"/>
  <c r="D11238" i="1"/>
  <c r="C11238" i="1"/>
  <c r="B11238" i="1"/>
  <c r="A11238" i="1"/>
  <c r="R11237" i="1"/>
  <c r="J11237" i="1"/>
  <c r="I11237" i="1"/>
  <c r="G11237" i="1"/>
  <c r="F11237" i="1"/>
  <c r="E11237" i="1"/>
  <c r="D11237" i="1"/>
  <c r="C11237" i="1"/>
  <c r="B11237" i="1"/>
  <c r="A11237" i="1"/>
  <c r="R11236" i="1"/>
  <c r="J11236" i="1"/>
  <c r="I11236" i="1"/>
  <c r="G11236" i="1"/>
  <c r="F11236" i="1"/>
  <c r="E11236" i="1"/>
  <c r="D11236" i="1"/>
  <c r="C11236" i="1"/>
  <c r="B11236" i="1"/>
  <c r="A11236" i="1"/>
  <c r="S11235" i="1"/>
  <c r="O11235" i="1"/>
  <c r="K11235" i="1"/>
  <c r="J11235" i="1"/>
  <c r="I11235" i="1"/>
  <c r="H11235" i="1"/>
  <c r="G11235" i="1"/>
  <c r="F11235" i="1"/>
  <c r="E11235" i="1"/>
  <c r="D11235" i="1"/>
  <c r="C11235" i="1"/>
  <c r="B11235" i="1"/>
  <c r="A11235" i="1"/>
  <c r="R11234" i="1"/>
  <c r="J11234" i="1"/>
  <c r="I11234" i="1"/>
  <c r="G11234" i="1"/>
  <c r="F11234" i="1"/>
  <c r="E11234" i="1"/>
  <c r="D11234" i="1"/>
  <c r="C11234" i="1"/>
  <c r="B11234" i="1"/>
  <c r="A11234" i="1"/>
  <c r="S11233" i="1"/>
  <c r="O11233" i="1"/>
  <c r="K11233" i="1"/>
  <c r="J11233" i="1"/>
  <c r="I11233" i="1"/>
  <c r="H11233" i="1"/>
  <c r="G11233" i="1"/>
  <c r="F11233" i="1"/>
  <c r="E11233" i="1"/>
  <c r="D11233" i="1"/>
  <c r="C11233" i="1"/>
  <c r="B11233" i="1"/>
  <c r="A11233" i="1"/>
  <c r="R11232" i="1"/>
  <c r="J11232" i="1"/>
  <c r="I11232" i="1"/>
  <c r="G11232" i="1"/>
  <c r="F11232" i="1"/>
  <c r="E11232" i="1"/>
  <c r="D11232" i="1"/>
  <c r="C11232" i="1"/>
  <c r="B11232" i="1"/>
  <c r="A11232" i="1"/>
  <c r="S11231" i="1"/>
  <c r="O11231" i="1"/>
  <c r="K11231" i="1"/>
  <c r="J11231" i="1"/>
  <c r="I11231" i="1"/>
  <c r="H11231" i="1"/>
  <c r="G11231" i="1"/>
  <c r="F11231" i="1"/>
  <c r="E11231" i="1"/>
  <c r="D11231" i="1"/>
  <c r="C11231" i="1"/>
  <c r="B11231" i="1"/>
  <c r="A11231" i="1"/>
  <c r="R11230" i="1"/>
  <c r="J11230" i="1"/>
  <c r="I11230" i="1"/>
  <c r="G11230" i="1"/>
  <c r="F11230" i="1"/>
  <c r="E11230" i="1"/>
  <c r="D11230" i="1"/>
  <c r="C11230" i="1"/>
  <c r="B11230" i="1"/>
  <c r="A11230" i="1"/>
  <c r="S11229" i="1"/>
  <c r="O11229" i="1"/>
  <c r="K11229" i="1"/>
  <c r="J11229" i="1"/>
  <c r="I11229" i="1"/>
  <c r="H11229" i="1"/>
  <c r="G11229" i="1"/>
  <c r="F11229" i="1"/>
  <c r="E11229" i="1"/>
  <c r="D11229" i="1"/>
  <c r="C11229" i="1"/>
  <c r="B11229" i="1"/>
  <c r="A11229" i="1"/>
  <c r="R11228" i="1"/>
  <c r="J11228" i="1"/>
  <c r="I11228" i="1"/>
  <c r="G11228" i="1"/>
  <c r="F11228" i="1"/>
  <c r="E11228" i="1"/>
  <c r="D11228" i="1"/>
  <c r="C11228" i="1"/>
  <c r="B11228" i="1"/>
  <c r="A11228" i="1"/>
  <c r="S11227" i="1"/>
  <c r="O11227" i="1"/>
  <c r="K11227" i="1"/>
  <c r="J11227" i="1"/>
  <c r="I11227" i="1"/>
  <c r="H11227" i="1"/>
  <c r="G11227" i="1"/>
  <c r="F11227" i="1"/>
  <c r="E11227" i="1"/>
  <c r="D11227" i="1"/>
  <c r="C11227" i="1"/>
  <c r="B11227" i="1"/>
  <c r="A11227" i="1"/>
  <c r="R11226" i="1"/>
  <c r="J11226" i="1"/>
  <c r="I11226" i="1"/>
  <c r="G11226" i="1"/>
  <c r="F11226" i="1"/>
  <c r="E11226" i="1"/>
  <c r="D11226" i="1"/>
  <c r="C11226" i="1"/>
  <c r="B11226" i="1"/>
  <c r="A11226" i="1"/>
  <c r="S11225" i="1"/>
  <c r="O11225" i="1"/>
  <c r="K11225" i="1"/>
  <c r="J11225" i="1"/>
  <c r="I11225" i="1"/>
  <c r="H11225" i="1"/>
  <c r="G11225" i="1"/>
  <c r="F11225" i="1"/>
  <c r="E11225" i="1"/>
  <c r="D11225" i="1"/>
  <c r="C11225" i="1"/>
  <c r="B11225" i="1"/>
  <c r="A11225" i="1"/>
  <c r="R11224" i="1"/>
  <c r="J11224" i="1"/>
  <c r="I11224" i="1"/>
  <c r="G11224" i="1"/>
  <c r="F11224" i="1"/>
  <c r="E11224" i="1"/>
  <c r="D11224" i="1"/>
  <c r="C11224" i="1"/>
  <c r="B11224" i="1"/>
  <c r="A11224" i="1"/>
  <c r="R11223" i="1"/>
  <c r="J11223" i="1"/>
  <c r="I11223" i="1"/>
  <c r="G11223" i="1"/>
  <c r="F11223" i="1"/>
  <c r="E11223" i="1"/>
  <c r="D11223" i="1"/>
  <c r="C11223" i="1"/>
  <c r="B11223" i="1"/>
  <c r="A11223" i="1"/>
  <c r="R11222" i="1"/>
  <c r="J11222" i="1"/>
  <c r="I11222" i="1"/>
  <c r="G11222" i="1"/>
  <c r="F11222" i="1"/>
  <c r="E11222" i="1"/>
  <c r="D11222" i="1"/>
  <c r="C11222" i="1"/>
  <c r="B11222" i="1"/>
  <c r="A11222" i="1"/>
  <c r="R11221" i="1"/>
  <c r="J11221" i="1"/>
  <c r="I11221" i="1"/>
  <c r="G11221" i="1"/>
  <c r="F11221" i="1"/>
  <c r="E11221" i="1"/>
  <c r="D11221" i="1"/>
  <c r="C11221" i="1"/>
  <c r="B11221" i="1"/>
  <c r="A11221" i="1"/>
  <c r="R11220" i="1"/>
  <c r="J11220" i="1"/>
  <c r="I11220" i="1"/>
  <c r="G11220" i="1"/>
  <c r="F11220" i="1"/>
  <c r="E11220" i="1"/>
  <c r="D11220" i="1"/>
  <c r="C11220" i="1"/>
  <c r="B11220" i="1"/>
  <c r="A11220" i="1"/>
  <c r="R11219" i="1"/>
  <c r="J11219" i="1"/>
  <c r="I11219" i="1"/>
  <c r="G11219" i="1"/>
  <c r="F11219" i="1"/>
  <c r="E11219" i="1"/>
  <c r="D11219" i="1"/>
  <c r="C11219" i="1"/>
  <c r="B11219" i="1"/>
  <c r="A11219" i="1"/>
  <c r="R11218" i="1"/>
  <c r="J11218" i="1"/>
  <c r="I11218" i="1"/>
  <c r="G11218" i="1"/>
  <c r="F11218" i="1"/>
  <c r="E11218" i="1"/>
  <c r="D11218" i="1"/>
  <c r="C11218" i="1"/>
  <c r="B11218" i="1"/>
  <c r="A11218" i="1"/>
  <c r="S11217" i="1"/>
  <c r="O11217" i="1"/>
  <c r="K11217" i="1"/>
  <c r="J11217" i="1"/>
  <c r="I11217" i="1"/>
  <c r="H11217" i="1"/>
  <c r="G11217" i="1"/>
  <c r="F11217" i="1"/>
  <c r="E11217" i="1"/>
  <c r="D11217" i="1"/>
  <c r="C11217" i="1"/>
  <c r="B11217" i="1"/>
  <c r="A11217" i="1"/>
  <c r="R11216" i="1"/>
  <c r="J11216" i="1"/>
  <c r="I11216" i="1"/>
  <c r="G11216" i="1"/>
  <c r="F11216" i="1"/>
  <c r="E11216" i="1"/>
  <c r="D11216" i="1"/>
  <c r="C11216" i="1"/>
  <c r="B11216" i="1"/>
  <c r="A11216" i="1"/>
  <c r="S11215" i="1"/>
  <c r="O11215" i="1"/>
  <c r="K11215" i="1"/>
  <c r="J11215" i="1"/>
  <c r="I11215" i="1"/>
  <c r="H11215" i="1"/>
  <c r="G11215" i="1"/>
  <c r="F11215" i="1"/>
  <c r="E11215" i="1"/>
  <c r="D11215" i="1"/>
  <c r="C11215" i="1"/>
  <c r="B11215" i="1"/>
  <c r="A11215" i="1"/>
  <c r="R11214" i="1"/>
  <c r="J11214" i="1"/>
  <c r="I11214" i="1"/>
  <c r="G11214" i="1"/>
  <c r="F11214" i="1"/>
  <c r="E11214" i="1"/>
  <c r="D11214" i="1"/>
  <c r="C11214" i="1"/>
  <c r="B11214" i="1"/>
  <c r="A11214" i="1"/>
  <c r="R11213" i="1"/>
  <c r="J11213" i="1"/>
  <c r="I11213" i="1"/>
  <c r="G11213" i="1"/>
  <c r="F11213" i="1"/>
  <c r="E11213" i="1"/>
  <c r="D11213" i="1"/>
  <c r="C11213" i="1"/>
  <c r="B11213" i="1"/>
  <c r="A11213" i="1"/>
  <c r="R11212" i="1"/>
  <c r="J11212" i="1"/>
  <c r="I11212" i="1"/>
  <c r="G11212" i="1"/>
  <c r="F11212" i="1"/>
  <c r="E11212" i="1"/>
  <c r="D11212" i="1"/>
  <c r="C11212" i="1"/>
  <c r="B11212" i="1"/>
  <c r="A11212" i="1"/>
  <c r="R11211" i="1"/>
  <c r="J11211" i="1"/>
  <c r="I11211" i="1"/>
  <c r="G11211" i="1"/>
  <c r="F11211" i="1"/>
  <c r="E11211" i="1"/>
  <c r="D11211" i="1"/>
  <c r="C11211" i="1"/>
  <c r="B11211" i="1"/>
  <c r="A11211" i="1"/>
  <c r="R11210" i="1"/>
  <c r="J11210" i="1"/>
  <c r="I11210" i="1"/>
  <c r="G11210" i="1"/>
  <c r="F11210" i="1"/>
  <c r="E11210" i="1"/>
  <c r="D11210" i="1"/>
  <c r="C11210" i="1"/>
  <c r="B11210" i="1"/>
  <c r="A11210" i="1"/>
  <c r="R11209" i="1"/>
  <c r="J11209" i="1"/>
  <c r="I11209" i="1"/>
  <c r="G11209" i="1"/>
  <c r="F11209" i="1"/>
  <c r="E11209" i="1"/>
  <c r="D11209" i="1"/>
  <c r="C11209" i="1"/>
  <c r="B11209" i="1"/>
  <c r="A11209" i="1"/>
  <c r="R11208" i="1"/>
  <c r="J11208" i="1"/>
  <c r="I11208" i="1"/>
  <c r="G11208" i="1"/>
  <c r="F11208" i="1"/>
  <c r="E11208" i="1"/>
  <c r="D11208" i="1"/>
  <c r="C11208" i="1"/>
  <c r="B11208" i="1"/>
  <c r="A11208" i="1"/>
  <c r="R11207" i="1"/>
  <c r="J11207" i="1"/>
  <c r="I11207" i="1"/>
  <c r="G11207" i="1"/>
  <c r="F11207" i="1"/>
  <c r="E11207" i="1"/>
  <c r="D11207" i="1"/>
  <c r="C11207" i="1"/>
  <c r="B11207" i="1"/>
  <c r="A11207" i="1"/>
  <c r="R11206" i="1"/>
  <c r="J11206" i="1"/>
  <c r="I11206" i="1"/>
  <c r="G11206" i="1"/>
  <c r="F11206" i="1"/>
  <c r="E11206" i="1"/>
  <c r="D11206" i="1"/>
  <c r="C11206" i="1"/>
  <c r="B11206" i="1"/>
  <c r="A11206" i="1"/>
  <c r="S11205" i="1"/>
  <c r="O11205" i="1"/>
  <c r="K11205" i="1"/>
  <c r="J11205" i="1"/>
  <c r="I11205" i="1"/>
  <c r="H11205" i="1"/>
  <c r="G11205" i="1"/>
  <c r="F11205" i="1"/>
  <c r="E11205" i="1"/>
  <c r="D11205" i="1"/>
  <c r="C11205" i="1"/>
  <c r="B11205" i="1"/>
  <c r="A11205" i="1"/>
  <c r="R11204" i="1"/>
  <c r="J11204" i="1"/>
  <c r="I11204" i="1"/>
  <c r="G11204" i="1"/>
  <c r="F11204" i="1"/>
  <c r="E11204" i="1"/>
  <c r="D11204" i="1"/>
  <c r="C11204" i="1"/>
  <c r="B11204" i="1"/>
  <c r="A11204" i="1"/>
  <c r="S11203" i="1"/>
  <c r="O11203" i="1"/>
  <c r="K11203" i="1"/>
  <c r="J11203" i="1"/>
  <c r="I11203" i="1"/>
  <c r="H11203" i="1"/>
  <c r="G11203" i="1"/>
  <c r="F11203" i="1"/>
  <c r="E11203" i="1"/>
  <c r="D11203" i="1"/>
  <c r="C11203" i="1"/>
  <c r="B11203" i="1"/>
  <c r="A11203" i="1"/>
  <c r="R11202" i="1"/>
  <c r="J11202" i="1"/>
  <c r="I11202" i="1"/>
  <c r="G11202" i="1"/>
  <c r="F11202" i="1"/>
  <c r="E11202" i="1"/>
  <c r="D11202" i="1"/>
  <c r="C11202" i="1"/>
  <c r="B11202" i="1"/>
  <c r="A11202" i="1"/>
  <c r="S11201" i="1"/>
  <c r="O11201" i="1"/>
  <c r="K11201" i="1"/>
  <c r="J11201" i="1"/>
  <c r="I11201" i="1"/>
  <c r="H11201" i="1"/>
  <c r="G11201" i="1"/>
  <c r="F11201" i="1"/>
  <c r="E11201" i="1"/>
  <c r="D11201" i="1"/>
  <c r="C11201" i="1"/>
  <c r="B11201" i="1"/>
  <c r="A11201" i="1"/>
  <c r="R11200" i="1"/>
  <c r="J11200" i="1"/>
  <c r="I11200" i="1"/>
  <c r="G11200" i="1"/>
  <c r="F11200" i="1"/>
  <c r="E11200" i="1"/>
  <c r="D11200" i="1"/>
  <c r="C11200" i="1"/>
  <c r="B11200" i="1"/>
  <c r="A11200" i="1"/>
  <c r="S11199" i="1"/>
  <c r="O11199" i="1"/>
  <c r="K11199" i="1"/>
  <c r="J11199" i="1"/>
  <c r="I11199" i="1"/>
  <c r="H11199" i="1"/>
  <c r="G11199" i="1"/>
  <c r="F11199" i="1"/>
  <c r="E11199" i="1"/>
  <c r="D11199" i="1"/>
  <c r="C11199" i="1"/>
  <c r="B11199" i="1"/>
  <c r="A11199" i="1"/>
  <c r="R11198" i="1"/>
  <c r="J11198" i="1"/>
  <c r="I11198" i="1"/>
  <c r="G11198" i="1"/>
  <c r="F11198" i="1"/>
  <c r="E11198" i="1"/>
  <c r="D11198" i="1"/>
  <c r="C11198" i="1"/>
  <c r="B11198" i="1"/>
  <c r="A11198" i="1"/>
  <c r="S11197" i="1"/>
  <c r="O11197" i="1"/>
  <c r="K11197" i="1"/>
  <c r="J11197" i="1"/>
  <c r="I11197" i="1"/>
  <c r="H11197" i="1"/>
  <c r="G11197" i="1"/>
  <c r="F11197" i="1"/>
  <c r="E11197" i="1"/>
  <c r="D11197" i="1"/>
  <c r="C11197" i="1"/>
  <c r="B11197" i="1"/>
  <c r="A11197" i="1"/>
  <c r="R11196" i="1"/>
  <c r="J11196" i="1"/>
  <c r="I11196" i="1"/>
  <c r="G11196" i="1"/>
  <c r="F11196" i="1"/>
  <c r="E11196" i="1"/>
  <c r="D11196" i="1"/>
  <c r="C11196" i="1"/>
  <c r="B11196" i="1"/>
  <c r="A11196" i="1"/>
  <c r="S11195" i="1"/>
  <c r="O11195" i="1"/>
  <c r="K11195" i="1"/>
  <c r="J11195" i="1"/>
  <c r="I11195" i="1"/>
  <c r="H11195" i="1"/>
  <c r="G11195" i="1"/>
  <c r="F11195" i="1"/>
  <c r="E11195" i="1"/>
  <c r="D11195" i="1"/>
  <c r="C11195" i="1"/>
  <c r="B11195" i="1"/>
  <c r="A11195" i="1"/>
  <c r="R11194" i="1"/>
  <c r="J11194" i="1"/>
  <c r="I11194" i="1"/>
  <c r="G11194" i="1"/>
  <c r="F11194" i="1"/>
  <c r="E11194" i="1"/>
  <c r="D11194" i="1"/>
  <c r="C11194" i="1"/>
  <c r="B11194" i="1"/>
  <c r="A11194" i="1"/>
  <c r="S11193" i="1"/>
  <c r="O11193" i="1"/>
  <c r="K11193" i="1"/>
  <c r="J11193" i="1"/>
  <c r="I11193" i="1"/>
  <c r="H11193" i="1"/>
  <c r="G11193" i="1"/>
  <c r="F11193" i="1"/>
  <c r="E11193" i="1"/>
  <c r="D11193" i="1"/>
  <c r="C11193" i="1"/>
  <c r="B11193" i="1"/>
  <c r="A11193" i="1"/>
  <c r="R11192" i="1"/>
  <c r="J11192" i="1"/>
  <c r="I11192" i="1"/>
  <c r="G11192" i="1"/>
  <c r="F11192" i="1"/>
  <c r="E11192" i="1"/>
  <c r="D11192" i="1"/>
  <c r="C11192" i="1"/>
  <c r="B11192" i="1"/>
  <c r="A11192" i="1"/>
  <c r="S11191" i="1"/>
  <c r="O11191" i="1"/>
  <c r="K11191" i="1"/>
  <c r="J11191" i="1"/>
  <c r="I11191" i="1"/>
  <c r="H11191" i="1"/>
  <c r="G11191" i="1"/>
  <c r="F11191" i="1"/>
  <c r="E11191" i="1"/>
  <c r="D11191" i="1"/>
  <c r="C11191" i="1"/>
  <c r="B11191" i="1"/>
  <c r="A11191" i="1"/>
  <c r="R11190" i="1"/>
  <c r="J11190" i="1"/>
  <c r="I11190" i="1"/>
  <c r="G11190" i="1"/>
  <c r="F11190" i="1"/>
  <c r="E11190" i="1"/>
  <c r="D11190" i="1"/>
  <c r="C11190" i="1"/>
  <c r="B11190" i="1"/>
  <c r="A11190" i="1"/>
  <c r="S11189" i="1"/>
  <c r="O11189" i="1"/>
  <c r="K11189" i="1"/>
  <c r="J11189" i="1"/>
  <c r="I11189" i="1"/>
  <c r="H11189" i="1"/>
  <c r="G11189" i="1"/>
  <c r="F11189" i="1"/>
  <c r="E11189" i="1"/>
  <c r="D11189" i="1"/>
  <c r="C11189" i="1"/>
  <c r="B11189" i="1"/>
  <c r="A11189" i="1"/>
  <c r="R11188" i="1"/>
  <c r="J11188" i="1"/>
  <c r="I11188" i="1"/>
  <c r="G11188" i="1"/>
  <c r="F11188" i="1"/>
  <c r="E11188" i="1"/>
  <c r="D11188" i="1"/>
  <c r="C11188" i="1"/>
  <c r="B11188" i="1"/>
  <c r="A11188" i="1"/>
  <c r="S11187" i="1"/>
  <c r="O11187" i="1"/>
  <c r="K11187" i="1"/>
  <c r="J11187" i="1"/>
  <c r="I11187" i="1"/>
  <c r="H11187" i="1"/>
  <c r="G11187" i="1"/>
  <c r="F11187" i="1"/>
  <c r="E11187" i="1"/>
  <c r="D11187" i="1"/>
  <c r="C11187" i="1"/>
  <c r="B11187" i="1"/>
  <c r="A11187" i="1"/>
  <c r="R11186" i="1"/>
  <c r="J11186" i="1"/>
  <c r="I11186" i="1"/>
  <c r="G11186" i="1"/>
  <c r="F11186" i="1"/>
  <c r="E11186" i="1"/>
  <c r="D11186" i="1"/>
  <c r="C11186" i="1"/>
  <c r="B11186" i="1"/>
  <c r="A11186" i="1"/>
  <c r="S11185" i="1"/>
  <c r="O11185" i="1"/>
  <c r="K11185" i="1"/>
  <c r="J11185" i="1"/>
  <c r="I11185" i="1"/>
  <c r="H11185" i="1"/>
  <c r="G11185" i="1"/>
  <c r="F11185" i="1"/>
  <c r="E11185" i="1"/>
  <c r="D11185" i="1"/>
  <c r="C11185" i="1"/>
  <c r="B11185" i="1"/>
  <c r="A11185" i="1"/>
  <c r="R11184" i="1"/>
  <c r="J11184" i="1"/>
  <c r="I11184" i="1"/>
  <c r="G11184" i="1"/>
  <c r="F11184" i="1"/>
  <c r="E11184" i="1"/>
  <c r="D11184" i="1"/>
  <c r="C11184" i="1"/>
  <c r="B11184" i="1"/>
  <c r="A11184" i="1"/>
  <c r="S11183" i="1"/>
  <c r="O11183" i="1"/>
  <c r="K11183" i="1"/>
  <c r="J11183" i="1"/>
  <c r="I11183" i="1"/>
  <c r="H11183" i="1"/>
  <c r="G11183" i="1"/>
  <c r="F11183" i="1"/>
  <c r="E11183" i="1"/>
  <c r="D11183" i="1"/>
  <c r="C11183" i="1"/>
  <c r="B11183" i="1"/>
  <c r="A11183" i="1"/>
  <c r="R11182" i="1"/>
  <c r="J11182" i="1"/>
  <c r="I11182" i="1"/>
  <c r="G11182" i="1"/>
  <c r="F11182" i="1"/>
  <c r="E11182" i="1"/>
  <c r="D11182" i="1"/>
  <c r="C11182" i="1"/>
  <c r="B11182" i="1"/>
  <c r="A11182" i="1"/>
  <c r="S11181" i="1"/>
  <c r="O11181" i="1"/>
  <c r="K11181" i="1"/>
  <c r="J11181" i="1"/>
  <c r="I11181" i="1"/>
  <c r="H11181" i="1"/>
  <c r="G11181" i="1"/>
  <c r="F11181" i="1"/>
  <c r="E11181" i="1"/>
  <c r="D11181" i="1"/>
  <c r="C11181" i="1"/>
  <c r="B11181" i="1"/>
  <c r="A11181" i="1"/>
  <c r="R11180" i="1"/>
  <c r="J11180" i="1"/>
  <c r="I11180" i="1"/>
  <c r="G11180" i="1"/>
  <c r="F11180" i="1"/>
  <c r="E11180" i="1"/>
  <c r="D11180" i="1"/>
  <c r="C11180" i="1"/>
  <c r="B11180" i="1"/>
  <c r="A11180" i="1"/>
  <c r="S11179" i="1"/>
  <c r="O11179" i="1"/>
  <c r="K11179" i="1"/>
  <c r="J11179" i="1"/>
  <c r="I11179" i="1"/>
  <c r="H11179" i="1"/>
  <c r="G11179" i="1"/>
  <c r="F11179" i="1"/>
  <c r="E11179" i="1"/>
  <c r="D11179" i="1"/>
  <c r="C11179" i="1"/>
  <c r="B11179" i="1"/>
  <c r="A11179" i="1"/>
  <c r="R11178" i="1"/>
  <c r="J11178" i="1"/>
  <c r="I11178" i="1"/>
  <c r="G11178" i="1"/>
  <c r="F11178" i="1"/>
  <c r="E11178" i="1"/>
  <c r="D11178" i="1"/>
  <c r="C11178" i="1"/>
  <c r="B11178" i="1"/>
  <c r="A11178" i="1"/>
  <c r="S11177" i="1"/>
  <c r="O11177" i="1"/>
  <c r="K11177" i="1"/>
  <c r="J11177" i="1"/>
  <c r="I11177" i="1"/>
  <c r="H11177" i="1"/>
  <c r="G11177" i="1"/>
  <c r="F11177" i="1"/>
  <c r="E11177" i="1"/>
  <c r="D11177" i="1"/>
  <c r="C11177" i="1"/>
  <c r="B11177" i="1"/>
  <c r="A11177" i="1"/>
  <c r="R11176" i="1"/>
  <c r="J11176" i="1"/>
  <c r="I11176" i="1"/>
  <c r="G11176" i="1"/>
  <c r="F11176" i="1"/>
  <c r="E11176" i="1"/>
  <c r="D11176" i="1"/>
  <c r="C11176" i="1"/>
  <c r="B11176" i="1"/>
  <c r="A11176" i="1"/>
  <c r="S11175" i="1"/>
  <c r="O11175" i="1"/>
  <c r="K11175" i="1"/>
  <c r="J11175" i="1"/>
  <c r="I11175" i="1"/>
  <c r="H11175" i="1"/>
  <c r="G11175" i="1"/>
  <c r="F11175" i="1"/>
  <c r="E11175" i="1"/>
  <c r="D11175" i="1"/>
  <c r="C11175" i="1"/>
  <c r="B11175" i="1"/>
  <c r="A11175" i="1"/>
  <c r="R11174" i="1"/>
  <c r="J11174" i="1"/>
  <c r="I11174" i="1"/>
  <c r="G11174" i="1"/>
  <c r="F11174" i="1"/>
  <c r="E11174" i="1"/>
  <c r="D11174" i="1"/>
  <c r="C11174" i="1"/>
  <c r="B11174" i="1"/>
  <c r="A11174" i="1"/>
  <c r="S11173" i="1"/>
  <c r="O11173" i="1"/>
  <c r="K11173" i="1"/>
  <c r="J11173" i="1"/>
  <c r="I11173" i="1"/>
  <c r="H11173" i="1"/>
  <c r="G11173" i="1"/>
  <c r="F11173" i="1"/>
  <c r="E11173" i="1"/>
  <c r="D11173" i="1"/>
  <c r="C11173" i="1"/>
  <c r="B11173" i="1"/>
  <c r="A11173" i="1"/>
  <c r="R11172" i="1"/>
  <c r="J11172" i="1"/>
  <c r="I11172" i="1"/>
  <c r="G11172" i="1"/>
  <c r="F11172" i="1"/>
  <c r="E11172" i="1"/>
  <c r="D11172" i="1"/>
  <c r="C11172" i="1"/>
  <c r="B11172" i="1"/>
  <c r="A11172" i="1"/>
  <c r="S11171" i="1"/>
  <c r="O11171" i="1"/>
  <c r="K11171" i="1"/>
  <c r="J11171" i="1"/>
  <c r="I11171" i="1"/>
  <c r="H11171" i="1"/>
  <c r="G11171" i="1"/>
  <c r="F11171" i="1"/>
  <c r="E11171" i="1"/>
  <c r="D11171" i="1"/>
  <c r="C11171" i="1"/>
  <c r="B11171" i="1"/>
  <c r="A11171" i="1"/>
  <c r="R11170" i="1"/>
  <c r="J11170" i="1"/>
  <c r="I11170" i="1"/>
  <c r="G11170" i="1"/>
  <c r="F11170" i="1"/>
  <c r="E11170" i="1"/>
  <c r="D11170" i="1"/>
  <c r="C11170" i="1"/>
  <c r="B11170" i="1"/>
  <c r="A11170" i="1"/>
  <c r="S11169" i="1"/>
  <c r="O11169" i="1"/>
  <c r="K11169" i="1"/>
  <c r="J11169" i="1"/>
  <c r="I11169" i="1"/>
  <c r="H11169" i="1"/>
  <c r="G11169" i="1"/>
  <c r="F11169" i="1"/>
  <c r="E11169" i="1"/>
  <c r="D11169" i="1"/>
  <c r="C11169" i="1"/>
  <c r="B11169" i="1"/>
  <c r="A11169" i="1"/>
  <c r="R11168" i="1"/>
  <c r="J11168" i="1"/>
  <c r="I11168" i="1"/>
  <c r="G11168" i="1"/>
  <c r="F11168" i="1"/>
  <c r="E11168" i="1"/>
  <c r="D11168" i="1"/>
  <c r="C11168" i="1"/>
  <c r="B11168" i="1"/>
  <c r="A11168" i="1"/>
  <c r="S11167" i="1"/>
  <c r="O11167" i="1"/>
  <c r="K11167" i="1"/>
  <c r="J11167" i="1"/>
  <c r="I11167" i="1"/>
  <c r="H11167" i="1"/>
  <c r="G11167" i="1"/>
  <c r="F11167" i="1"/>
  <c r="E11167" i="1"/>
  <c r="D11167" i="1"/>
  <c r="C11167" i="1"/>
  <c r="B11167" i="1"/>
  <c r="A11167" i="1"/>
  <c r="R11166" i="1"/>
  <c r="J11166" i="1"/>
  <c r="I11166" i="1"/>
  <c r="G11166" i="1"/>
  <c r="F11166" i="1"/>
  <c r="E11166" i="1"/>
  <c r="D11166" i="1"/>
  <c r="C11166" i="1"/>
  <c r="B11166" i="1"/>
  <c r="A11166" i="1"/>
  <c r="S11165" i="1"/>
  <c r="O11165" i="1"/>
  <c r="K11165" i="1"/>
  <c r="J11165" i="1"/>
  <c r="I11165" i="1"/>
  <c r="H11165" i="1"/>
  <c r="G11165" i="1"/>
  <c r="F11165" i="1"/>
  <c r="E11165" i="1"/>
  <c r="D11165" i="1"/>
  <c r="C11165" i="1"/>
  <c r="B11165" i="1"/>
  <c r="A11165" i="1"/>
  <c r="R11164" i="1"/>
  <c r="J11164" i="1"/>
  <c r="I11164" i="1"/>
  <c r="G11164" i="1"/>
  <c r="F11164" i="1"/>
  <c r="E11164" i="1"/>
  <c r="D11164" i="1"/>
  <c r="C11164" i="1"/>
  <c r="B11164" i="1"/>
  <c r="A11164" i="1"/>
  <c r="S11163" i="1"/>
  <c r="O11163" i="1"/>
  <c r="K11163" i="1"/>
  <c r="J11163" i="1"/>
  <c r="I11163" i="1"/>
  <c r="H11163" i="1"/>
  <c r="G11163" i="1"/>
  <c r="F11163" i="1"/>
  <c r="E11163" i="1"/>
  <c r="D11163" i="1"/>
  <c r="C11163" i="1"/>
  <c r="B11163" i="1"/>
  <c r="A11163" i="1"/>
  <c r="R11162" i="1"/>
  <c r="J11162" i="1"/>
  <c r="I11162" i="1"/>
  <c r="G11162" i="1"/>
  <c r="F11162" i="1"/>
  <c r="E11162" i="1"/>
  <c r="D11162" i="1"/>
  <c r="C11162" i="1"/>
  <c r="B11162" i="1"/>
  <c r="A11162" i="1"/>
  <c r="S11161" i="1"/>
  <c r="O11161" i="1"/>
  <c r="K11161" i="1"/>
  <c r="J11161" i="1"/>
  <c r="I11161" i="1"/>
  <c r="H11161" i="1"/>
  <c r="G11161" i="1"/>
  <c r="F11161" i="1"/>
  <c r="E11161" i="1"/>
  <c r="D11161" i="1"/>
  <c r="C11161" i="1"/>
  <c r="B11161" i="1"/>
  <c r="A11161" i="1"/>
  <c r="R11160" i="1"/>
  <c r="J11160" i="1"/>
  <c r="I11160" i="1"/>
  <c r="G11160" i="1"/>
  <c r="F11160" i="1"/>
  <c r="E11160" i="1"/>
  <c r="D11160" i="1"/>
  <c r="C11160" i="1"/>
  <c r="B11160" i="1"/>
  <c r="A11160" i="1"/>
  <c r="S11159" i="1"/>
  <c r="O11159" i="1"/>
  <c r="K11159" i="1"/>
  <c r="J11159" i="1"/>
  <c r="I11159" i="1"/>
  <c r="H11159" i="1"/>
  <c r="G11159" i="1"/>
  <c r="F11159" i="1"/>
  <c r="E11159" i="1"/>
  <c r="D11159" i="1"/>
  <c r="C11159" i="1"/>
  <c r="B11159" i="1"/>
  <c r="A11159" i="1"/>
  <c r="R11158" i="1"/>
  <c r="J11158" i="1"/>
  <c r="I11158" i="1"/>
  <c r="G11158" i="1"/>
  <c r="F11158" i="1"/>
  <c r="E11158" i="1"/>
  <c r="D11158" i="1"/>
  <c r="C11158" i="1"/>
  <c r="B11158" i="1"/>
  <c r="A11158" i="1"/>
  <c r="S11157" i="1"/>
  <c r="O11157" i="1"/>
  <c r="K11157" i="1"/>
  <c r="J11157" i="1"/>
  <c r="I11157" i="1"/>
  <c r="H11157" i="1"/>
  <c r="G11157" i="1"/>
  <c r="F11157" i="1"/>
  <c r="E11157" i="1"/>
  <c r="D11157" i="1"/>
  <c r="C11157" i="1"/>
  <c r="B11157" i="1"/>
  <c r="A11157" i="1"/>
  <c r="R11156" i="1"/>
  <c r="J11156" i="1"/>
  <c r="I11156" i="1"/>
  <c r="G11156" i="1"/>
  <c r="F11156" i="1"/>
  <c r="E11156" i="1"/>
  <c r="D11156" i="1"/>
  <c r="C11156" i="1"/>
  <c r="B11156" i="1"/>
  <c r="A11156" i="1"/>
  <c r="S11155" i="1"/>
  <c r="O11155" i="1"/>
  <c r="K11155" i="1"/>
  <c r="J11155" i="1"/>
  <c r="I11155" i="1"/>
  <c r="H11155" i="1"/>
  <c r="G11155" i="1"/>
  <c r="F11155" i="1"/>
  <c r="E11155" i="1"/>
  <c r="D11155" i="1"/>
  <c r="C11155" i="1"/>
  <c r="B11155" i="1"/>
  <c r="A11155" i="1"/>
  <c r="R11154" i="1"/>
  <c r="J11154" i="1"/>
  <c r="I11154" i="1"/>
  <c r="G11154" i="1"/>
  <c r="F11154" i="1"/>
  <c r="E11154" i="1"/>
  <c r="D11154" i="1"/>
  <c r="C11154" i="1"/>
  <c r="B11154" i="1"/>
  <c r="A11154" i="1"/>
  <c r="S11153" i="1"/>
  <c r="O11153" i="1"/>
  <c r="K11153" i="1"/>
  <c r="J11153" i="1"/>
  <c r="I11153" i="1"/>
  <c r="H11153" i="1"/>
  <c r="G11153" i="1"/>
  <c r="F11153" i="1"/>
  <c r="E11153" i="1"/>
  <c r="D11153" i="1"/>
  <c r="C11153" i="1"/>
  <c r="B11153" i="1"/>
  <c r="A11153" i="1"/>
  <c r="R11152" i="1"/>
  <c r="J11152" i="1"/>
  <c r="I11152" i="1"/>
  <c r="G11152" i="1"/>
  <c r="F11152" i="1"/>
  <c r="E11152" i="1"/>
  <c r="D11152" i="1"/>
  <c r="C11152" i="1"/>
  <c r="B11152" i="1"/>
  <c r="A11152" i="1"/>
  <c r="S11151" i="1"/>
  <c r="O11151" i="1"/>
  <c r="K11151" i="1"/>
  <c r="J11151" i="1"/>
  <c r="I11151" i="1"/>
  <c r="H11151" i="1"/>
  <c r="G11151" i="1"/>
  <c r="F11151" i="1"/>
  <c r="E11151" i="1"/>
  <c r="D11151" i="1"/>
  <c r="C11151" i="1"/>
  <c r="B11151" i="1"/>
  <c r="A11151" i="1"/>
  <c r="R11150" i="1"/>
  <c r="J11150" i="1"/>
  <c r="I11150" i="1"/>
  <c r="G11150" i="1"/>
  <c r="F11150" i="1"/>
  <c r="E11150" i="1"/>
  <c r="D11150" i="1"/>
  <c r="C11150" i="1"/>
  <c r="B11150" i="1"/>
  <c r="A11150" i="1"/>
  <c r="S11149" i="1"/>
  <c r="O11149" i="1"/>
  <c r="K11149" i="1"/>
  <c r="J11149" i="1"/>
  <c r="I11149" i="1"/>
  <c r="H11149" i="1"/>
  <c r="G11149" i="1"/>
  <c r="F11149" i="1"/>
  <c r="E11149" i="1"/>
  <c r="D11149" i="1"/>
  <c r="C11149" i="1"/>
  <c r="B11149" i="1"/>
  <c r="A11149" i="1"/>
  <c r="R11148" i="1"/>
  <c r="J11148" i="1"/>
  <c r="I11148" i="1"/>
  <c r="G11148" i="1"/>
  <c r="F11148" i="1"/>
  <c r="E11148" i="1"/>
  <c r="D11148" i="1"/>
  <c r="C11148" i="1"/>
  <c r="B11148" i="1"/>
  <c r="A11148" i="1"/>
  <c r="S11147" i="1"/>
  <c r="O11147" i="1"/>
  <c r="K11147" i="1"/>
  <c r="J11147" i="1"/>
  <c r="I11147" i="1"/>
  <c r="H11147" i="1"/>
  <c r="G11147" i="1"/>
  <c r="F11147" i="1"/>
  <c r="E11147" i="1"/>
  <c r="D11147" i="1"/>
  <c r="C11147" i="1"/>
  <c r="B11147" i="1"/>
  <c r="A11147" i="1"/>
  <c r="R11146" i="1"/>
  <c r="J11146" i="1"/>
  <c r="I11146" i="1"/>
  <c r="G11146" i="1"/>
  <c r="F11146" i="1"/>
  <c r="E11146" i="1"/>
  <c r="D11146" i="1"/>
  <c r="C11146" i="1"/>
  <c r="B11146" i="1"/>
  <c r="A11146" i="1"/>
  <c r="S11145" i="1"/>
  <c r="O11145" i="1"/>
  <c r="K11145" i="1"/>
  <c r="J11145" i="1"/>
  <c r="I11145" i="1"/>
  <c r="H11145" i="1"/>
  <c r="G11145" i="1"/>
  <c r="F11145" i="1"/>
  <c r="E11145" i="1"/>
  <c r="D11145" i="1"/>
  <c r="C11145" i="1"/>
  <c r="B11145" i="1"/>
  <c r="A11145" i="1"/>
  <c r="S11144" i="1"/>
  <c r="O11144" i="1"/>
  <c r="K11144" i="1"/>
  <c r="J11144" i="1"/>
  <c r="I11144" i="1"/>
  <c r="H11144" i="1"/>
  <c r="G11144" i="1"/>
  <c r="F11144" i="1"/>
  <c r="D11144" i="1"/>
  <c r="C11144" i="1"/>
  <c r="B11144" i="1"/>
  <c r="A11144" i="1"/>
  <c r="S11143" i="1"/>
  <c r="O11143" i="1"/>
  <c r="K11143" i="1"/>
  <c r="J11143" i="1"/>
  <c r="I11143" i="1"/>
  <c r="H11143" i="1"/>
  <c r="G11143" i="1"/>
  <c r="F11143" i="1"/>
  <c r="D11143" i="1"/>
  <c r="C11143" i="1"/>
  <c r="B11143" i="1"/>
  <c r="A11143" i="1"/>
  <c r="R11142" i="1"/>
  <c r="J11142" i="1"/>
  <c r="I11142" i="1"/>
  <c r="G11142" i="1"/>
  <c r="F11142" i="1"/>
  <c r="E11142" i="1"/>
  <c r="D11142" i="1"/>
  <c r="C11142" i="1"/>
  <c r="B11142" i="1"/>
  <c r="A11142" i="1"/>
  <c r="S11141" i="1"/>
  <c r="O11141" i="1"/>
  <c r="K11141" i="1"/>
  <c r="J11141" i="1"/>
  <c r="I11141" i="1"/>
  <c r="H11141" i="1"/>
  <c r="G11141" i="1"/>
  <c r="F11141" i="1"/>
  <c r="E11141" i="1"/>
  <c r="D11141" i="1"/>
  <c r="C11141" i="1"/>
  <c r="B11141" i="1"/>
  <c r="A11141" i="1"/>
  <c r="R11140" i="1"/>
  <c r="J11140" i="1"/>
  <c r="I11140" i="1"/>
  <c r="G11140" i="1"/>
  <c r="F11140" i="1"/>
  <c r="E11140" i="1"/>
  <c r="D11140" i="1"/>
  <c r="C11140" i="1"/>
  <c r="B11140" i="1"/>
  <c r="A11140" i="1"/>
  <c r="S11139" i="1"/>
  <c r="O11139" i="1"/>
  <c r="K11139" i="1"/>
  <c r="J11139" i="1"/>
  <c r="I11139" i="1"/>
  <c r="H11139" i="1"/>
  <c r="G11139" i="1"/>
  <c r="F11139" i="1"/>
  <c r="E11139" i="1"/>
  <c r="D11139" i="1"/>
  <c r="C11139" i="1"/>
  <c r="B11139" i="1"/>
  <c r="A11139" i="1"/>
  <c r="R11138" i="1"/>
  <c r="J11138" i="1"/>
  <c r="I11138" i="1"/>
  <c r="G11138" i="1"/>
  <c r="F11138" i="1"/>
  <c r="E11138" i="1"/>
  <c r="D11138" i="1"/>
  <c r="C11138" i="1"/>
  <c r="B11138" i="1"/>
  <c r="A11138" i="1"/>
  <c r="R11137" i="1"/>
  <c r="J11137" i="1"/>
  <c r="I11137" i="1"/>
  <c r="G11137" i="1"/>
  <c r="F11137" i="1"/>
  <c r="E11137" i="1"/>
  <c r="D11137" i="1"/>
  <c r="C11137" i="1"/>
  <c r="B11137" i="1"/>
  <c r="A11137" i="1"/>
  <c r="R11136" i="1"/>
  <c r="J11136" i="1"/>
  <c r="I11136" i="1"/>
  <c r="G11136" i="1"/>
  <c r="F11136" i="1"/>
  <c r="E11136" i="1"/>
  <c r="D11136" i="1"/>
  <c r="C11136" i="1"/>
  <c r="B11136" i="1"/>
  <c r="A11136" i="1"/>
  <c r="R11135" i="1"/>
  <c r="J11135" i="1"/>
  <c r="I11135" i="1"/>
  <c r="G11135" i="1"/>
  <c r="F11135" i="1"/>
  <c r="E11135" i="1"/>
  <c r="D11135" i="1"/>
  <c r="C11135" i="1"/>
  <c r="B11135" i="1"/>
  <c r="A11135" i="1"/>
  <c r="R11134" i="1"/>
  <c r="J11134" i="1"/>
  <c r="I11134" i="1"/>
  <c r="G11134" i="1"/>
  <c r="F11134" i="1"/>
  <c r="E11134" i="1"/>
  <c r="D11134" i="1"/>
  <c r="C11134" i="1"/>
  <c r="B11134" i="1"/>
  <c r="A11134" i="1"/>
  <c r="S11133" i="1"/>
  <c r="O11133" i="1"/>
  <c r="K11133" i="1"/>
  <c r="J11133" i="1"/>
  <c r="I11133" i="1"/>
  <c r="H11133" i="1"/>
  <c r="G11133" i="1"/>
  <c r="F11133" i="1"/>
  <c r="E11133" i="1"/>
  <c r="D11133" i="1"/>
  <c r="C11133" i="1"/>
  <c r="B11133" i="1"/>
  <c r="A11133" i="1"/>
  <c r="R11132" i="1"/>
  <c r="J11132" i="1"/>
  <c r="I11132" i="1"/>
  <c r="G11132" i="1"/>
  <c r="F11132" i="1"/>
  <c r="E11132" i="1"/>
  <c r="D11132" i="1"/>
  <c r="C11132" i="1"/>
  <c r="B11132" i="1"/>
  <c r="A11132" i="1"/>
  <c r="R11131" i="1"/>
  <c r="J11131" i="1"/>
  <c r="I11131" i="1"/>
  <c r="G11131" i="1"/>
  <c r="F11131" i="1"/>
  <c r="E11131" i="1"/>
  <c r="D11131" i="1"/>
  <c r="C11131" i="1"/>
  <c r="B11131" i="1"/>
  <c r="A11131" i="1"/>
  <c r="R11130" i="1"/>
  <c r="J11130" i="1"/>
  <c r="I11130" i="1"/>
  <c r="G11130" i="1"/>
  <c r="F11130" i="1"/>
  <c r="E11130" i="1"/>
  <c r="D11130" i="1"/>
  <c r="C11130" i="1"/>
  <c r="B11130" i="1"/>
  <c r="A11130" i="1"/>
  <c r="R11129" i="1"/>
  <c r="J11129" i="1"/>
  <c r="I11129" i="1"/>
  <c r="G11129" i="1"/>
  <c r="F11129" i="1"/>
  <c r="E11129" i="1"/>
  <c r="D11129" i="1"/>
  <c r="C11129" i="1"/>
  <c r="B11129" i="1"/>
  <c r="A11129" i="1"/>
  <c r="R11128" i="1"/>
  <c r="J11128" i="1"/>
  <c r="I11128" i="1"/>
  <c r="G11128" i="1"/>
  <c r="F11128" i="1"/>
  <c r="E11128" i="1"/>
  <c r="D11128" i="1"/>
  <c r="C11128" i="1"/>
  <c r="B11128" i="1"/>
  <c r="A11128" i="1"/>
  <c r="S11127" i="1"/>
  <c r="O11127" i="1"/>
  <c r="K11127" i="1"/>
  <c r="J11127" i="1"/>
  <c r="I11127" i="1"/>
  <c r="H11127" i="1"/>
  <c r="G11127" i="1"/>
  <c r="F11127" i="1"/>
  <c r="E11127" i="1"/>
  <c r="D11127" i="1"/>
  <c r="C11127" i="1"/>
  <c r="B11127" i="1"/>
  <c r="A11127" i="1"/>
  <c r="R11126" i="1"/>
  <c r="J11126" i="1"/>
  <c r="I11126" i="1"/>
  <c r="G11126" i="1"/>
  <c r="F11126" i="1"/>
  <c r="E11126" i="1"/>
  <c r="D11126" i="1"/>
  <c r="C11126" i="1"/>
  <c r="B11126" i="1"/>
  <c r="A11126" i="1"/>
  <c r="R11125" i="1"/>
  <c r="J11125" i="1"/>
  <c r="I11125" i="1"/>
  <c r="G11125" i="1"/>
  <c r="F11125" i="1"/>
  <c r="E11125" i="1"/>
  <c r="D11125" i="1"/>
  <c r="C11125" i="1"/>
  <c r="B11125" i="1"/>
  <c r="A11125" i="1"/>
  <c r="R11124" i="1"/>
  <c r="J11124" i="1"/>
  <c r="I11124" i="1"/>
  <c r="G11124" i="1"/>
  <c r="F11124" i="1"/>
  <c r="E11124" i="1"/>
  <c r="D11124" i="1"/>
  <c r="C11124" i="1"/>
  <c r="B11124" i="1"/>
  <c r="A11124" i="1"/>
  <c r="R11123" i="1"/>
  <c r="J11123" i="1"/>
  <c r="I11123" i="1"/>
  <c r="G11123" i="1"/>
  <c r="F11123" i="1"/>
  <c r="E11123" i="1"/>
  <c r="D11123" i="1"/>
  <c r="C11123" i="1"/>
  <c r="B11123" i="1"/>
  <c r="A11123" i="1"/>
  <c r="R11122" i="1"/>
  <c r="J11122" i="1"/>
  <c r="I11122" i="1"/>
  <c r="G11122" i="1"/>
  <c r="F11122" i="1"/>
  <c r="E11122" i="1"/>
  <c r="D11122" i="1"/>
  <c r="C11122" i="1"/>
  <c r="B11122" i="1"/>
  <c r="A11122" i="1"/>
  <c r="S11121" i="1"/>
  <c r="O11121" i="1"/>
  <c r="K11121" i="1"/>
  <c r="J11121" i="1"/>
  <c r="I11121" i="1"/>
  <c r="H11121" i="1"/>
  <c r="G11121" i="1"/>
  <c r="F11121" i="1"/>
  <c r="E11121" i="1"/>
  <c r="D11121" i="1"/>
  <c r="C11121" i="1"/>
  <c r="B11121" i="1"/>
  <c r="A11121" i="1"/>
  <c r="R11120" i="1"/>
  <c r="J11120" i="1"/>
  <c r="I11120" i="1"/>
  <c r="G11120" i="1"/>
  <c r="F11120" i="1"/>
  <c r="E11120" i="1"/>
  <c r="D11120" i="1"/>
  <c r="C11120" i="1"/>
  <c r="B11120" i="1"/>
  <c r="A11120" i="1"/>
  <c r="R11119" i="1"/>
  <c r="J11119" i="1"/>
  <c r="I11119" i="1"/>
  <c r="G11119" i="1"/>
  <c r="F11119" i="1"/>
  <c r="E11119" i="1"/>
  <c r="D11119" i="1"/>
  <c r="C11119" i="1"/>
  <c r="B11119" i="1"/>
  <c r="A11119" i="1"/>
  <c r="R11118" i="1"/>
  <c r="J11118" i="1"/>
  <c r="I11118" i="1"/>
  <c r="G11118" i="1"/>
  <c r="F11118" i="1"/>
  <c r="E11118" i="1"/>
  <c r="D11118" i="1"/>
  <c r="C11118" i="1"/>
  <c r="B11118" i="1"/>
  <c r="A11118" i="1"/>
  <c r="R11117" i="1"/>
  <c r="J11117" i="1"/>
  <c r="I11117" i="1"/>
  <c r="G11117" i="1"/>
  <c r="F11117" i="1"/>
  <c r="E11117" i="1"/>
  <c r="D11117" i="1"/>
  <c r="C11117" i="1"/>
  <c r="B11117" i="1"/>
  <c r="A11117" i="1"/>
  <c r="R11116" i="1"/>
  <c r="J11116" i="1"/>
  <c r="I11116" i="1"/>
  <c r="G11116" i="1"/>
  <c r="F11116" i="1"/>
  <c r="E11116" i="1"/>
  <c r="D11116" i="1"/>
  <c r="C11116" i="1"/>
  <c r="B11116" i="1"/>
  <c r="A11116" i="1"/>
  <c r="S11115" i="1"/>
  <c r="O11115" i="1"/>
  <c r="K11115" i="1"/>
  <c r="J11115" i="1"/>
  <c r="I11115" i="1"/>
  <c r="H11115" i="1"/>
  <c r="G11115" i="1"/>
  <c r="F11115" i="1"/>
  <c r="E11115" i="1"/>
  <c r="D11115" i="1"/>
  <c r="C11115" i="1"/>
  <c r="B11115" i="1"/>
  <c r="A11115" i="1"/>
  <c r="R11114" i="1"/>
  <c r="J11114" i="1"/>
  <c r="I11114" i="1"/>
  <c r="G11114" i="1"/>
  <c r="F11114" i="1"/>
  <c r="E11114" i="1"/>
  <c r="D11114" i="1"/>
  <c r="C11114" i="1"/>
  <c r="B11114" i="1"/>
  <c r="A11114" i="1"/>
  <c r="R11113" i="1"/>
  <c r="J11113" i="1"/>
  <c r="I11113" i="1"/>
  <c r="G11113" i="1"/>
  <c r="F11113" i="1"/>
  <c r="E11113" i="1"/>
  <c r="D11113" i="1"/>
  <c r="C11113" i="1"/>
  <c r="B11113" i="1"/>
  <c r="A11113" i="1"/>
  <c r="R11112" i="1"/>
  <c r="J11112" i="1"/>
  <c r="I11112" i="1"/>
  <c r="G11112" i="1"/>
  <c r="F11112" i="1"/>
  <c r="E11112" i="1"/>
  <c r="D11112" i="1"/>
  <c r="C11112" i="1"/>
  <c r="B11112" i="1"/>
  <c r="A11112" i="1"/>
  <c r="R11111" i="1"/>
  <c r="J11111" i="1"/>
  <c r="I11111" i="1"/>
  <c r="G11111" i="1"/>
  <c r="F11111" i="1"/>
  <c r="E11111" i="1"/>
  <c r="D11111" i="1"/>
  <c r="C11111" i="1"/>
  <c r="B11111" i="1"/>
  <c r="A11111" i="1"/>
  <c r="R11110" i="1"/>
  <c r="J11110" i="1"/>
  <c r="I11110" i="1"/>
  <c r="G11110" i="1"/>
  <c r="F11110" i="1"/>
  <c r="E11110" i="1"/>
  <c r="D11110" i="1"/>
  <c r="C11110" i="1"/>
  <c r="B11110" i="1"/>
  <c r="A11110" i="1"/>
  <c r="S11109" i="1"/>
  <c r="O11109" i="1"/>
  <c r="K11109" i="1"/>
  <c r="J11109" i="1"/>
  <c r="I11109" i="1"/>
  <c r="H11109" i="1"/>
  <c r="G11109" i="1"/>
  <c r="F11109" i="1"/>
  <c r="E11109" i="1"/>
  <c r="D11109" i="1"/>
  <c r="C11109" i="1"/>
  <c r="B11109" i="1"/>
  <c r="A11109" i="1"/>
  <c r="R11108" i="1"/>
  <c r="J11108" i="1"/>
  <c r="I11108" i="1"/>
  <c r="G11108" i="1"/>
  <c r="F11108" i="1"/>
  <c r="E11108" i="1"/>
  <c r="D11108" i="1"/>
  <c r="C11108" i="1"/>
  <c r="B11108" i="1"/>
  <c r="A11108" i="1"/>
  <c r="R11107" i="1"/>
  <c r="J11107" i="1"/>
  <c r="I11107" i="1"/>
  <c r="G11107" i="1"/>
  <c r="F11107" i="1"/>
  <c r="E11107" i="1"/>
  <c r="D11107" i="1"/>
  <c r="C11107" i="1"/>
  <c r="B11107" i="1"/>
  <c r="A11107" i="1"/>
  <c r="R11106" i="1"/>
  <c r="J11106" i="1"/>
  <c r="I11106" i="1"/>
  <c r="G11106" i="1"/>
  <c r="F11106" i="1"/>
  <c r="E11106" i="1"/>
  <c r="D11106" i="1"/>
  <c r="C11106" i="1"/>
  <c r="B11106" i="1"/>
  <c r="A11106" i="1"/>
  <c r="R11105" i="1"/>
  <c r="J11105" i="1"/>
  <c r="I11105" i="1"/>
  <c r="G11105" i="1"/>
  <c r="F11105" i="1"/>
  <c r="E11105" i="1"/>
  <c r="D11105" i="1"/>
  <c r="C11105" i="1"/>
  <c r="B11105" i="1"/>
  <c r="A11105" i="1"/>
  <c r="R11104" i="1"/>
  <c r="J11104" i="1"/>
  <c r="I11104" i="1"/>
  <c r="G11104" i="1"/>
  <c r="F11104" i="1"/>
  <c r="E11104" i="1"/>
  <c r="D11104" i="1"/>
  <c r="C11104" i="1"/>
  <c r="B11104" i="1"/>
  <c r="A11104" i="1"/>
  <c r="S11103" i="1"/>
  <c r="O11103" i="1"/>
  <c r="K11103" i="1"/>
  <c r="J11103" i="1"/>
  <c r="I11103" i="1"/>
  <c r="H11103" i="1"/>
  <c r="G11103" i="1"/>
  <c r="F11103" i="1"/>
  <c r="E11103" i="1"/>
  <c r="D11103" i="1"/>
  <c r="C11103" i="1"/>
  <c r="B11103" i="1"/>
  <c r="A11103" i="1"/>
  <c r="R11102" i="1"/>
  <c r="J11102" i="1"/>
  <c r="I11102" i="1"/>
  <c r="G11102" i="1"/>
  <c r="F11102" i="1"/>
  <c r="E11102" i="1"/>
  <c r="D11102" i="1"/>
  <c r="C11102" i="1"/>
  <c r="B11102" i="1"/>
  <c r="A11102" i="1"/>
  <c r="R11101" i="1"/>
  <c r="J11101" i="1"/>
  <c r="I11101" i="1"/>
  <c r="G11101" i="1"/>
  <c r="F11101" i="1"/>
  <c r="E11101" i="1"/>
  <c r="D11101" i="1"/>
  <c r="C11101" i="1"/>
  <c r="B11101" i="1"/>
  <c r="A11101" i="1"/>
  <c r="R11100" i="1"/>
  <c r="J11100" i="1"/>
  <c r="I11100" i="1"/>
  <c r="G11100" i="1"/>
  <c r="F11100" i="1"/>
  <c r="E11100" i="1"/>
  <c r="D11100" i="1"/>
  <c r="C11100" i="1"/>
  <c r="B11100" i="1"/>
  <c r="A11100" i="1"/>
  <c r="R11099" i="1"/>
  <c r="J11099" i="1"/>
  <c r="I11099" i="1"/>
  <c r="G11099" i="1"/>
  <c r="F11099" i="1"/>
  <c r="E11099" i="1"/>
  <c r="D11099" i="1"/>
  <c r="C11099" i="1"/>
  <c r="B11099" i="1"/>
  <c r="A11099" i="1"/>
  <c r="R11098" i="1"/>
  <c r="J11098" i="1"/>
  <c r="I11098" i="1"/>
  <c r="G11098" i="1"/>
  <c r="F11098" i="1"/>
  <c r="E11098" i="1"/>
  <c r="D11098" i="1"/>
  <c r="C11098" i="1"/>
  <c r="B11098" i="1"/>
  <c r="A11098" i="1"/>
  <c r="S11097" i="1"/>
  <c r="O11097" i="1"/>
  <c r="K11097" i="1"/>
  <c r="J11097" i="1"/>
  <c r="I11097" i="1"/>
  <c r="H11097" i="1"/>
  <c r="G11097" i="1"/>
  <c r="F11097" i="1"/>
  <c r="E11097" i="1"/>
  <c r="D11097" i="1"/>
  <c r="C11097" i="1"/>
  <c r="B11097" i="1"/>
  <c r="A11097" i="1"/>
  <c r="R11096" i="1"/>
  <c r="J11096" i="1"/>
  <c r="I11096" i="1"/>
  <c r="G11096" i="1"/>
  <c r="F11096" i="1"/>
  <c r="E11096" i="1"/>
  <c r="D11096" i="1"/>
  <c r="C11096" i="1"/>
  <c r="B11096" i="1"/>
  <c r="A11096" i="1"/>
  <c r="S11095" i="1"/>
  <c r="O11095" i="1"/>
  <c r="K11095" i="1"/>
  <c r="J11095" i="1"/>
  <c r="I11095" i="1"/>
  <c r="H11095" i="1"/>
  <c r="G11095" i="1"/>
  <c r="F11095" i="1"/>
  <c r="E11095" i="1"/>
  <c r="D11095" i="1"/>
  <c r="C11095" i="1"/>
  <c r="B11095" i="1"/>
  <c r="A11095" i="1"/>
  <c r="R11094" i="1"/>
  <c r="J11094" i="1"/>
  <c r="I11094" i="1"/>
  <c r="G11094" i="1"/>
  <c r="F11094" i="1"/>
  <c r="E11094" i="1"/>
  <c r="D11094" i="1"/>
  <c r="C11094" i="1"/>
  <c r="B11094" i="1"/>
  <c r="A11094" i="1"/>
  <c r="S11093" i="1"/>
  <c r="O11093" i="1"/>
  <c r="K11093" i="1"/>
  <c r="J11093" i="1"/>
  <c r="I11093" i="1"/>
  <c r="H11093" i="1"/>
  <c r="G11093" i="1"/>
  <c r="F11093" i="1"/>
  <c r="E11093" i="1"/>
  <c r="D11093" i="1"/>
  <c r="C11093" i="1"/>
  <c r="B11093" i="1"/>
  <c r="A11093" i="1"/>
  <c r="R11092" i="1"/>
  <c r="J11092" i="1"/>
  <c r="I11092" i="1"/>
  <c r="G11092" i="1"/>
  <c r="F11092" i="1"/>
  <c r="E11092" i="1"/>
  <c r="D11092" i="1"/>
  <c r="C11092" i="1"/>
  <c r="B11092" i="1"/>
  <c r="A11092" i="1"/>
  <c r="S11091" i="1"/>
  <c r="O11091" i="1"/>
  <c r="K11091" i="1"/>
  <c r="J11091" i="1"/>
  <c r="I11091" i="1"/>
  <c r="H11091" i="1"/>
  <c r="G11091" i="1"/>
  <c r="F11091" i="1"/>
  <c r="E11091" i="1"/>
  <c r="D11091" i="1"/>
  <c r="C11091" i="1"/>
  <c r="B11091" i="1"/>
  <c r="A11091" i="1"/>
  <c r="R11090" i="1"/>
  <c r="J11090" i="1"/>
  <c r="I11090" i="1"/>
  <c r="G11090" i="1"/>
  <c r="F11090" i="1"/>
  <c r="E11090" i="1"/>
  <c r="D11090" i="1"/>
  <c r="C11090" i="1"/>
  <c r="B11090" i="1"/>
  <c r="A11090" i="1"/>
  <c r="S11089" i="1"/>
  <c r="O11089" i="1"/>
  <c r="K11089" i="1"/>
  <c r="J11089" i="1"/>
  <c r="I11089" i="1"/>
  <c r="H11089" i="1"/>
  <c r="G11089" i="1"/>
  <c r="F11089" i="1"/>
  <c r="E11089" i="1"/>
  <c r="D11089" i="1"/>
  <c r="C11089" i="1"/>
  <c r="B11089" i="1"/>
  <c r="A11089" i="1"/>
  <c r="R11088" i="1"/>
  <c r="J11088" i="1"/>
  <c r="I11088" i="1"/>
  <c r="G11088" i="1"/>
  <c r="F11088" i="1"/>
  <c r="E11088" i="1"/>
  <c r="D11088" i="1"/>
  <c r="C11088" i="1"/>
  <c r="B11088" i="1"/>
  <c r="A11088" i="1"/>
  <c r="S11087" i="1"/>
  <c r="O11087" i="1"/>
  <c r="K11087" i="1"/>
  <c r="J11087" i="1"/>
  <c r="I11087" i="1"/>
  <c r="H11087" i="1"/>
  <c r="G11087" i="1"/>
  <c r="F11087" i="1"/>
  <c r="E11087" i="1"/>
  <c r="D11087" i="1"/>
  <c r="C11087" i="1"/>
  <c r="B11087" i="1"/>
  <c r="A11087" i="1"/>
  <c r="R11086" i="1"/>
  <c r="J11086" i="1"/>
  <c r="I11086" i="1"/>
  <c r="G11086" i="1"/>
  <c r="F11086" i="1"/>
  <c r="E11086" i="1"/>
  <c r="D11086" i="1"/>
  <c r="C11086" i="1"/>
  <c r="B11086" i="1"/>
  <c r="A11086" i="1"/>
  <c r="S11085" i="1"/>
  <c r="O11085" i="1"/>
  <c r="K11085" i="1"/>
  <c r="J11085" i="1"/>
  <c r="I11085" i="1"/>
  <c r="H11085" i="1"/>
  <c r="G11085" i="1"/>
  <c r="F11085" i="1"/>
  <c r="E11085" i="1"/>
  <c r="D11085" i="1"/>
  <c r="C11085" i="1"/>
  <c r="B11085" i="1"/>
  <c r="A11085" i="1"/>
  <c r="R11084" i="1"/>
  <c r="J11084" i="1"/>
  <c r="I11084" i="1"/>
  <c r="G11084" i="1"/>
  <c r="F11084" i="1"/>
  <c r="E11084" i="1"/>
  <c r="D11084" i="1"/>
  <c r="C11084" i="1"/>
  <c r="B11084" i="1"/>
  <c r="A11084" i="1"/>
  <c r="S11083" i="1"/>
  <c r="O11083" i="1"/>
  <c r="K11083" i="1"/>
  <c r="J11083" i="1"/>
  <c r="I11083" i="1"/>
  <c r="H11083" i="1"/>
  <c r="G11083" i="1"/>
  <c r="F11083" i="1"/>
  <c r="E11083" i="1"/>
  <c r="D11083" i="1"/>
  <c r="C11083" i="1"/>
  <c r="B11083" i="1"/>
  <c r="A11083" i="1"/>
  <c r="R11082" i="1"/>
  <c r="J11082" i="1"/>
  <c r="I11082" i="1"/>
  <c r="G11082" i="1"/>
  <c r="F11082" i="1"/>
  <c r="E11082" i="1"/>
  <c r="D11082" i="1"/>
  <c r="C11082" i="1"/>
  <c r="B11082" i="1"/>
  <c r="A11082" i="1"/>
  <c r="S11081" i="1"/>
  <c r="O11081" i="1"/>
  <c r="K11081" i="1"/>
  <c r="J11081" i="1"/>
  <c r="I11081" i="1"/>
  <c r="H11081" i="1"/>
  <c r="G11081" i="1"/>
  <c r="F11081" i="1"/>
  <c r="E11081" i="1"/>
  <c r="D11081" i="1"/>
  <c r="C11081" i="1"/>
  <c r="B11081" i="1"/>
  <c r="A11081" i="1"/>
  <c r="R11080" i="1"/>
  <c r="J11080" i="1"/>
  <c r="I11080" i="1"/>
  <c r="G11080" i="1"/>
  <c r="F11080" i="1"/>
  <c r="E11080" i="1"/>
  <c r="D11080" i="1"/>
  <c r="C11080" i="1"/>
  <c r="B11080" i="1"/>
  <c r="A11080" i="1"/>
  <c r="S11079" i="1"/>
  <c r="O11079" i="1"/>
  <c r="K11079" i="1"/>
  <c r="J11079" i="1"/>
  <c r="I11079" i="1"/>
  <c r="H11079" i="1"/>
  <c r="G11079" i="1"/>
  <c r="F11079" i="1"/>
  <c r="E11079" i="1"/>
  <c r="D11079" i="1"/>
  <c r="C11079" i="1"/>
  <c r="B11079" i="1"/>
  <c r="A11079" i="1"/>
  <c r="R11078" i="1"/>
  <c r="J11078" i="1"/>
  <c r="I11078" i="1"/>
  <c r="G11078" i="1"/>
  <c r="F11078" i="1"/>
  <c r="E11078" i="1"/>
  <c r="D11078" i="1"/>
  <c r="C11078" i="1"/>
  <c r="B11078" i="1"/>
  <c r="A11078" i="1"/>
  <c r="S11077" i="1"/>
  <c r="O11077" i="1"/>
  <c r="K11077" i="1"/>
  <c r="J11077" i="1"/>
  <c r="I11077" i="1"/>
  <c r="H11077" i="1"/>
  <c r="G11077" i="1"/>
  <c r="F11077" i="1"/>
  <c r="E11077" i="1"/>
  <c r="D11077" i="1"/>
  <c r="C11077" i="1"/>
  <c r="B11077" i="1"/>
  <c r="A11077" i="1"/>
  <c r="R11076" i="1"/>
  <c r="J11076" i="1"/>
  <c r="I11076" i="1"/>
  <c r="G11076" i="1"/>
  <c r="F11076" i="1"/>
  <c r="E11076" i="1"/>
  <c r="D11076" i="1"/>
  <c r="C11076" i="1"/>
  <c r="B11076" i="1"/>
  <c r="A11076" i="1"/>
  <c r="S11075" i="1"/>
  <c r="O11075" i="1"/>
  <c r="K11075" i="1"/>
  <c r="J11075" i="1"/>
  <c r="I11075" i="1"/>
  <c r="H11075" i="1"/>
  <c r="G11075" i="1"/>
  <c r="F11075" i="1"/>
  <c r="E11075" i="1"/>
  <c r="D11075" i="1"/>
  <c r="C11075" i="1"/>
  <c r="B11075" i="1"/>
  <c r="A11075" i="1"/>
  <c r="R11074" i="1"/>
  <c r="J11074" i="1"/>
  <c r="I11074" i="1"/>
  <c r="G11074" i="1"/>
  <c r="F11074" i="1"/>
  <c r="E11074" i="1"/>
  <c r="D11074" i="1"/>
  <c r="C11074" i="1"/>
  <c r="B11074" i="1"/>
  <c r="A11074" i="1"/>
  <c r="R11073" i="1"/>
  <c r="J11073" i="1"/>
  <c r="I11073" i="1"/>
  <c r="G11073" i="1"/>
  <c r="F11073" i="1"/>
  <c r="E11073" i="1"/>
  <c r="D11073" i="1"/>
  <c r="C11073" i="1"/>
  <c r="B11073" i="1"/>
  <c r="A11073" i="1"/>
  <c r="S11072" i="1"/>
  <c r="O11072" i="1"/>
  <c r="K11072" i="1"/>
  <c r="J11072" i="1"/>
  <c r="I11072" i="1"/>
  <c r="H11072" i="1"/>
  <c r="G11072" i="1"/>
  <c r="F11072" i="1"/>
  <c r="E11072" i="1"/>
  <c r="D11072" i="1"/>
  <c r="C11072" i="1"/>
  <c r="B11072" i="1"/>
  <c r="A11072" i="1"/>
  <c r="R11071" i="1"/>
  <c r="J11071" i="1"/>
  <c r="I11071" i="1"/>
  <c r="G11071" i="1"/>
  <c r="F11071" i="1"/>
  <c r="E11071" i="1"/>
  <c r="D11071" i="1"/>
  <c r="C11071" i="1"/>
  <c r="B11071" i="1"/>
  <c r="A11071" i="1"/>
  <c r="S11070" i="1"/>
  <c r="O11070" i="1"/>
  <c r="K11070" i="1"/>
  <c r="J11070" i="1"/>
  <c r="I11070" i="1"/>
  <c r="H11070" i="1"/>
  <c r="G11070" i="1"/>
  <c r="F11070" i="1"/>
  <c r="E11070" i="1"/>
  <c r="D11070" i="1"/>
  <c r="C11070" i="1"/>
  <c r="B11070" i="1"/>
  <c r="A11070" i="1"/>
  <c r="R11069" i="1"/>
  <c r="J11069" i="1"/>
  <c r="I11069" i="1"/>
  <c r="G11069" i="1"/>
  <c r="F11069" i="1"/>
  <c r="E11069" i="1"/>
  <c r="D11069" i="1"/>
  <c r="C11069" i="1"/>
  <c r="B11069" i="1"/>
  <c r="A11069" i="1"/>
  <c r="S11068" i="1"/>
  <c r="O11068" i="1"/>
  <c r="K11068" i="1"/>
  <c r="J11068" i="1"/>
  <c r="I11068" i="1"/>
  <c r="H11068" i="1"/>
  <c r="G11068" i="1"/>
  <c r="F11068" i="1"/>
  <c r="E11068" i="1"/>
  <c r="D11068" i="1"/>
  <c r="C11068" i="1"/>
  <c r="B11068" i="1"/>
  <c r="A11068" i="1"/>
  <c r="R11067" i="1"/>
  <c r="J11067" i="1"/>
  <c r="I11067" i="1"/>
  <c r="G11067" i="1"/>
  <c r="F11067" i="1"/>
  <c r="E11067" i="1"/>
  <c r="D11067" i="1"/>
  <c r="C11067" i="1"/>
  <c r="B11067" i="1"/>
  <c r="A11067" i="1"/>
  <c r="S11066" i="1"/>
  <c r="O11066" i="1"/>
  <c r="K11066" i="1"/>
  <c r="J11066" i="1"/>
  <c r="I11066" i="1"/>
  <c r="H11066" i="1"/>
  <c r="G11066" i="1"/>
  <c r="F11066" i="1"/>
  <c r="E11066" i="1"/>
  <c r="D11066" i="1"/>
  <c r="C11066" i="1"/>
  <c r="B11066" i="1"/>
  <c r="A11066" i="1"/>
  <c r="R11065" i="1"/>
  <c r="J11065" i="1"/>
  <c r="I11065" i="1"/>
  <c r="G11065" i="1"/>
  <c r="F11065" i="1"/>
  <c r="E11065" i="1"/>
  <c r="D11065" i="1"/>
  <c r="C11065" i="1"/>
  <c r="B11065" i="1"/>
  <c r="A11065" i="1"/>
  <c r="S11064" i="1"/>
  <c r="O11064" i="1"/>
  <c r="K11064" i="1"/>
  <c r="J11064" i="1"/>
  <c r="I11064" i="1"/>
  <c r="H11064" i="1"/>
  <c r="G11064" i="1"/>
  <c r="F11064" i="1"/>
  <c r="E11064" i="1"/>
  <c r="D11064" i="1"/>
  <c r="C11064" i="1"/>
  <c r="B11064" i="1"/>
  <c r="A11064" i="1"/>
  <c r="R11063" i="1"/>
  <c r="J11063" i="1"/>
  <c r="I11063" i="1"/>
  <c r="G11063" i="1"/>
  <c r="F11063" i="1"/>
  <c r="E11063" i="1"/>
  <c r="D11063" i="1"/>
  <c r="C11063" i="1"/>
  <c r="B11063" i="1"/>
  <c r="A11063" i="1"/>
  <c r="S11062" i="1"/>
  <c r="O11062" i="1"/>
  <c r="K11062" i="1"/>
  <c r="J11062" i="1"/>
  <c r="I11062" i="1"/>
  <c r="H11062" i="1"/>
  <c r="G11062" i="1"/>
  <c r="F11062" i="1"/>
  <c r="E11062" i="1"/>
  <c r="D11062" i="1"/>
  <c r="C11062" i="1"/>
  <c r="B11062" i="1"/>
  <c r="A11062" i="1"/>
  <c r="R11061" i="1"/>
  <c r="J11061" i="1"/>
  <c r="I11061" i="1"/>
  <c r="G11061" i="1"/>
  <c r="F11061" i="1"/>
  <c r="E11061" i="1"/>
  <c r="D11061" i="1"/>
  <c r="C11061" i="1"/>
  <c r="B11061" i="1"/>
  <c r="A11061" i="1"/>
  <c r="S11060" i="1"/>
  <c r="O11060" i="1"/>
  <c r="K11060" i="1"/>
  <c r="J11060" i="1"/>
  <c r="I11060" i="1"/>
  <c r="H11060" i="1"/>
  <c r="G11060" i="1"/>
  <c r="F11060" i="1"/>
  <c r="E11060" i="1"/>
  <c r="D11060" i="1"/>
  <c r="C11060" i="1"/>
  <c r="B11060" i="1"/>
  <c r="A11060" i="1"/>
  <c r="R11059" i="1"/>
  <c r="J11059" i="1"/>
  <c r="I11059" i="1"/>
  <c r="G11059" i="1"/>
  <c r="F11059" i="1"/>
  <c r="E11059" i="1"/>
  <c r="D11059" i="1"/>
  <c r="C11059" i="1"/>
  <c r="B11059" i="1"/>
  <c r="A11059" i="1"/>
  <c r="S11058" i="1"/>
  <c r="O11058" i="1"/>
  <c r="K11058" i="1"/>
  <c r="J11058" i="1"/>
  <c r="I11058" i="1"/>
  <c r="H11058" i="1"/>
  <c r="G11058" i="1"/>
  <c r="F11058" i="1"/>
  <c r="E11058" i="1"/>
  <c r="D11058" i="1"/>
  <c r="C11058" i="1"/>
  <c r="B11058" i="1"/>
  <c r="A11058" i="1"/>
  <c r="R11057" i="1"/>
  <c r="J11057" i="1"/>
  <c r="I11057" i="1"/>
  <c r="G11057" i="1"/>
  <c r="F11057" i="1"/>
  <c r="E11057" i="1"/>
  <c r="D11057" i="1"/>
  <c r="C11057" i="1"/>
  <c r="B11057" i="1"/>
  <c r="A11057" i="1"/>
  <c r="S11056" i="1"/>
  <c r="O11056" i="1"/>
  <c r="K11056" i="1"/>
  <c r="J11056" i="1"/>
  <c r="I11056" i="1"/>
  <c r="H11056" i="1"/>
  <c r="G11056" i="1"/>
  <c r="F11056" i="1"/>
  <c r="E11056" i="1"/>
  <c r="D11056" i="1"/>
  <c r="C11056" i="1"/>
  <c r="B11056" i="1"/>
  <c r="A11056" i="1"/>
  <c r="R11055" i="1"/>
  <c r="J11055" i="1"/>
  <c r="I11055" i="1"/>
  <c r="G11055" i="1"/>
  <c r="F11055" i="1"/>
  <c r="E11055" i="1"/>
  <c r="D11055" i="1"/>
  <c r="C11055" i="1"/>
  <c r="B11055" i="1"/>
  <c r="A11055" i="1"/>
  <c r="S11054" i="1"/>
  <c r="O11054" i="1"/>
  <c r="K11054" i="1"/>
  <c r="J11054" i="1"/>
  <c r="I11054" i="1"/>
  <c r="H11054" i="1"/>
  <c r="G11054" i="1"/>
  <c r="F11054" i="1"/>
  <c r="E11054" i="1"/>
  <c r="D11054" i="1"/>
  <c r="C11054" i="1"/>
  <c r="B11054" i="1"/>
  <c r="A11054" i="1"/>
  <c r="R11053" i="1"/>
  <c r="J11053" i="1"/>
  <c r="I11053" i="1"/>
  <c r="G11053" i="1"/>
  <c r="F11053" i="1"/>
  <c r="E11053" i="1"/>
  <c r="D11053" i="1"/>
  <c r="C11053" i="1"/>
  <c r="B11053" i="1"/>
  <c r="A11053" i="1"/>
  <c r="S11052" i="1"/>
  <c r="O11052" i="1"/>
  <c r="K11052" i="1"/>
  <c r="J11052" i="1"/>
  <c r="I11052" i="1"/>
  <c r="H11052" i="1"/>
  <c r="G11052" i="1"/>
  <c r="F11052" i="1"/>
  <c r="E11052" i="1"/>
  <c r="D11052" i="1"/>
  <c r="C11052" i="1"/>
  <c r="B11052" i="1"/>
  <c r="A11052" i="1"/>
  <c r="R11051" i="1"/>
  <c r="J11051" i="1"/>
  <c r="I11051" i="1"/>
  <c r="G11051" i="1"/>
  <c r="F11051" i="1"/>
  <c r="E11051" i="1"/>
  <c r="D11051" i="1"/>
  <c r="C11051" i="1"/>
  <c r="B11051" i="1"/>
  <c r="A11051" i="1"/>
  <c r="S11050" i="1"/>
  <c r="O11050" i="1"/>
  <c r="K11050" i="1"/>
  <c r="J11050" i="1"/>
  <c r="I11050" i="1"/>
  <c r="H11050" i="1"/>
  <c r="G11050" i="1"/>
  <c r="F11050" i="1"/>
  <c r="E11050" i="1"/>
  <c r="D11050" i="1"/>
  <c r="C11050" i="1"/>
  <c r="B11050" i="1"/>
  <c r="A11050" i="1"/>
  <c r="R11049" i="1"/>
  <c r="J11049" i="1"/>
  <c r="I11049" i="1"/>
  <c r="G11049" i="1"/>
  <c r="F11049" i="1"/>
  <c r="E11049" i="1"/>
  <c r="D11049" i="1"/>
  <c r="C11049" i="1"/>
  <c r="B11049" i="1"/>
  <c r="A11049" i="1"/>
  <c r="S11048" i="1"/>
  <c r="O11048" i="1"/>
  <c r="K11048" i="1"/>
  <c r="J11048" i="1"/>
  <c r="I11048" i="1"/>
  <c r="H11048" i="1"/>
  <c r="G11048" i="1"/>
  <c r="F11048" i="1"/>
  <c r="E11048" i="1"/>
  <c r="D11048" i="1"/>
  <c r="C11048" i="1"/>
  <c r="B11048" i="1"/>
  <c r="A11048" i="1"/>
  <c r="R11047" i="1"/>
  <c r="J11047" i="1"/>
  <c r="I11047" i="1"/>
  <c r="G11047" i="1"/>
  <c r="F11047" i="1"/>
  <c r="E11047" i="1"/>
  <c r="D11047" i="1"/>
  <c r="C11047" i="1"/>
  <c r="B11047" i="1"/>
  <c r="A11047" i="1"/>
  <c r="S11046" i="1"/>
  <c r="O11046" i="1"/>
  <c r="K11046" i="1"/>
  <c r="J11046" i="1"/>
  <c r="I11046" i="1"/>
  <c r="H11046" i="1"/>
  <c r="G11046" i="1"/>
  <c r="F11046" i="1"/>
  <c r="E11046" i="1"/>
  <c r="D11046" i="1"/>
  <c r="C11046" i="1"/>
  <c r="B11046" i="1"/>
  <c r="A11046" i="1"/>
  <c r="R11045" i="1"/>
  <c r="J11045" i="1"/>
  <c r="I11045" i="1"/>
  <c r="G11045" i="1"/>
  <c r="F11045" i="1"/>
  <c r="E11045" i="1"/>
  <c r="D11045" i="1"/>
  <c r="C11045" i="1"/>
  <c r="B11045" i="1"/>
  <c r="A11045" i="1"/>
  <c r="S11044" i="1"/>
  <c r="O11044" i="1"/>
  <c r="K11044" i="1"/>
  <c r="J11044" i="1"/>
  <c r="I11044" i="1"/>
  <c r="H11044" i="1"/>
  <c r="G11044" i="1"/>
  <c r="F11044" i="1"/>
  <c r="E11044" i="1"/>
  <c r="D11044" i="1"/>
  <c r="C11044" i="1"/>
  <c r="B11044" i="1"/>
  <c r="A11044" i="1"/>
  <c r="R11043" i="1"/>
  <c r="J11043" i="1"/>
  <c r="I11043" i="1"/>
  <c r="G11043" i="1"/>
  <c r="F11043" i="1"/>
  <c r="E11043" i="1"/>
  <c r="D11043" i="1"/>
  <c r="C11043" i="1"/>
  <c r="B11043" i="1"/>
  <c r="A11043" i="1"/>
  <c r="S11042" i="1"/>
  <c r="O11042" i="1"/>
  <c r="K11042" i="1"/>
  <c r="J11042" i="1"/>
  <c r="I11042" i="1"/>
  <c r="H11042" i="1"/>
  <c r="G11042" i="1"/>
  <c r="F11042" i="1"/>
  <c r="E11042" i="1"/>
  <c r="D11042" i="1"/>
  <c r="C11042" i="1"/>
  <c r="B11042" i="1"/>
  <c r="A11042" i="1"/>
  <c r="R11041" i="1"/>
  <c r="J11041" i="1"/>
  <c r="I11041" i="1"/>
  <c r="G11041" i="1"/>
  <c r="F11041" i="1"/>
  <c r="E11041" i="1"/>
  <c r="D11041" i="1"/>
  <c r="C11041" i="1"/>
  <c r="B11041" i="1"/>
  <c r="A11041" i="1"/>
  <c r="S11040" i="1"/>
  <c r="O11040" i="1"/>
  <c r="K11040" i="1"/>
  <c r="J11040" i="1"/>
  <c r="I11040" i="1"/>
  <c r="H11040" i="1"/>
  <c r="G11040" i="1"/>
  <c r="F11040" i="1"/>
  <c r="E11040" i="1"/>
  <c r="D11040" i="1"/>
  <c r="C11040" i="1"/>
  <c r="B11040" i="1"/>
  <c r="A11040" i="1"/>
  <c r="R11039" i="1"/>
  <c r="J11039" i="1"/>
  <c r="I11039" i="1"/>
  <c r="G11039" i="1"/>
  <c r="F11039" i="1"/>
  <c r="E11039" i="1"/>
  <c r="D11039" i="1"/>
  <c r="C11039" i="1"/>
  <c r="B11039" i="1"/>
  <c r="A11039" i="1"/>
  <c r="S11038" i="1"/>
  <c r="O11038" i="1"/>
  <c r="K11038" i="1"/>
  <c r="J11038" i="1"/>
  <c r="I11038" i="1"/>
  <c r="H11038" i="1"/>
  <c r="G11038" i="1"/>
  <c r="F11038" i="1"/>
  <c r="E11038" i="1"/>
  <c r="D11038" i="1"/>
  <c r="C11038" i="1"/>
  <c r="B11038" i="1"/>
  <c r="A11038" i="1"/>
  <c r="R11037" i="1"/>
  <c r="J11037" i="1"/>
  <c r="I11037" i="1"/>
  <c r="G11037" i="1"/>
  <c r="F11037" i="1"/>
  <c r="E11037" i="1"/>
  <c r="D11037" i="1"/>
  <c r="C11037" i="1"/>
  <c r="B11037" i="1"/>
  <c r="A11037" i="1"/>
  <c r="S11036" i="1"/>
  <c r="O11036" i="1"/>
  <c r="K11036" i="1"/>
  <c r="J11036" i="1"/>
  <c r="I11036" i="1"/>
  <c r="H11036" i="1"/>
  <c r="G11036" i="1"/>
  <c r="F11036" i="1"/>
  <c r="E11036" i="1"/>
  <c r="D11036" i="1"/>
  <c r="C11036" i="1"/>
  <c r="B11036" i="1"/>
  <c r="A11036" i="1"/>
  <c r="R11035" i="1"/>
  <c r="J11035" i="1"/>
  <c r="I11035" i="1"/>
  <c r="G11035" i="1"/>
  <c r="F11035" i="1"/>
  <c r="E11035" i="1"/>
  <c r="D11035" i="1"/>
  <c r="C11035" i="1"/>
  <c r="B11035" i="1"/>
  <c r="A11035" i="1"/>
  <c r="S11034" i="1"/>
  <c r="O11034" i="1"/>
  <c r="K11034" i="1"/>
  <c r="J11034" i="1"/>
  <c r="I11034" i="1"/>
  <c r="H11034" i="1"/>
  <c r="G11034" i="1"/>
  <c r="F11034" i="1"/>
  <c r="E11034" i="1"/>
  <c r="D11034" i="1"/>
  <c r="C11034" i="1"/>
  <c r="B11034" i="1"/>
  <c r="A11034" i="1"/>
  <c r="R11033" i="1"/>
  <c r="J11033" i="1"/>
  <c r="I11033" i="1"/>
  <c r="G11033" i="1"/>
  <c r="F11033" i="1"/>
  <c r="E11033" i="1"/>
  <c r="D11033" i="1"/>
  <c r="C11033" i="1"/>
  <c r="B11033" i="1"/>
  <c r="A11033" i="1"/>
  <c r="S11032" i="1"/>
  <c r="O11032" i="1"/>
  <c r="K11032" i="1"/>
  <c r="J11032" i="1"/>
  <c r="I11032" i="1"/>
  <c r="H11032" i="1"/>
  <c r="G11032" i="1"/>
  <c r="F11032" i="1"/>
  <c r="E11032" i="1"/>
  <c r="D11032" i="1"/>
  <c r="C11032" i="1"/>
  <c r="B11032" i="1"/>
  <c r="A11032" i="1"/>
  <c r="R11031" i="1"/>
  <c r="J11031" i="1"/>
  <c r="I11031" i="1"/>
  <c r="G11031" i="1"/>
  <c r="F11031" i="1"/>
  <c r="E11031" i="1"/>
  <c r="D11031" i="1"/>
  <c r="C11031" i="1"/>
  <c r="B11031" i="1"/>
  <c r="A11031" i="1"/>
  <c r="S11030" i="1"/>
  <c r="O11030" i="1"/>
  <c r="K11030" i="1"/>
  <c r="J11030" i="1"/>
  <c r="I11030" i="1"/>
  <c r="H11030" i="1"/>
  <c r="G11030" i="1"/>
  <c r="F11030" i="1"/>
  <c r="E11030" i="1"/>
  <c r="D11030" i="1"/>
  <c r="C11030" i="1"/>
  <c r="B11030" i="1"/>
  <c r="A11030" i="1"/>
  <c r="R11029" i="1"/>
  <c r="J11029" i="1"/>
  <c r="I11029" i="1"/>
  <c r="G11029" i="1"/>
  <c r="F11029" i="1"/>
  <c r="E11029" i="1"/>
  <c r="D11029" i="1"/>
  <c r="C11029" i="1"/>
  <c r="B11029" i="1"/>
  <c r="A11029" i="1"/>
  <c r="S11028" i="1"/>
  <c r="O11028" i="1"/>
  <c r="K11028" i="1"/>
  <c r="J11028" i="1"/>
  <c r="I11028" i="1"/>
  <c r="H11028" i="1"/>
  <c r="G11028" i="1"/>
  <c r="F11028" i="1"/>
  <c r="E11028" i="1"/>
  <c r="D11028" i="1"/>
  <c r="C11028" i="1"/>
  <c r="B11028" i="1"/>
  <c r="A11028" i="1"/>
  <c r="R11027" i="1"/>
  <c r="J11027" i="1"/>
  <c r="I11027" i="1"/>
  <c r="G11027" i="1"/>
  <c r="F11027" i="1"/>
  <c r="E11027" i="1"/>
  <c r="D11027" i="1"/>
  <c r="C11027" i="1"/>
  <c r="B11027" i="1"/>
  <c r="A11027" i="1"/>
  <c r="S11026" i="1"/>
  <c r="O11026" i="1"/>
  <c r="K11026" i="1"/>
  <c r="J11026" i="1"/>
  <c r="I11026" i="1"/>
  <c r="H11026" i="1"/>
  <c r="G11026" i="1"/>
  <c r="F11026" i="1"/>
  <c r="E11026" i="1"/>
  <c r="D11026" i="1"/>
  <c r="C11026" i="1"/>
  <c r="B11026" i="1"/>
  <c r="A11026" i="1"/>
  <c r="R11025" i="1"/>
  <c r="J11025" i="1"/>
  <c r="I11025" i="1"/>
  <c r="G11025" i="1"/>
  <c r="F11025" i="1"/>
  <c r="E11025" i="1"/>
  <c r="D11025" i="1"/>
  <c r="C11025" i="1"/>
  <c r="B11025" i="1"/>
  <c r="A11025" i="1"/>
  <c r="S11024" i="1"/>
  <c r="O11024" i="1"/>
  <c r="K11024" i="1"/>
  <c r="J11024" i="1"/>
  <c r="I11024" i="1"/>
  <c r="H11024" i="1"/>
  <c r="G11024" i="1"/>
  <c r="F11024" i="1"/>
  <c r="E11024" i="1"/>
  <c r="D11024" i="1"/>
  <c r="C11024" i="1"/>
  <c r="B11024" i="1"/>
  <c r="A11024" i="1"/>
  <c r="R11023" i="1"/>
  <c r="J11023" i="1"/>
  <c r="I11023" i="1"/>
  <c r="G11023" i="1"/>
  <c r="F11023" i="1"/>
  <c r="E11023" i="1"/>
  <c r="D11023" i="1"/>
  <c r="C11023" i="1"/>
  <c r="B11023" i="1"/>
  <c r="A11023" i="1"/>
  <c r="S11022" i="1"/>
  <c r="O11022" i="1"/>
  <c r="K11022" i="1"/>
  <c r="J11022" i="1"/>
  <c r="I11022" i="1"/>
  <c r="H11022" i="1"/>
  <c r="G11022" i="1"/>
  <c r="F11022" i="1"/>
  <c r="E11022" i="1"/>
  <c r="D11022" i="1"/>
  <c r="C11022" i="1"/>
  <c r="B11022" i="1"/>
  <c r="A11022" i="1"/>
  <c r="R11021" i="1"/>
  <c r="J11021" i="1"/>
  <c r="I11021" i="1"/>
  <c r="G11021" i="1"/>
  <c r="F11021" i="1"/>
  <c r="E11021" i="1"/>
  <c r="D11021" i="1"/>
  <c r="C11021" i="1"/>
  <c r="B11021" i="1"/>
  <c r="A11021" i="1"/>
  <c r="S11020" i="1"/>
  <c r="O11020" i="1"/>
  <c r="K11020" i="1"/>
  <c r="J11020" i="1"/>
  <c r="I11020" i="1"/>
  <c r="H11020" i="1"/>
  <c r="G11020" i="1"/>
  <c r="F11020" i="1"/>
  <c r="E11020" i="1"/>
  <c r="D11020" i="1"/>
  <c r="C11020" i="1"/>
  <c r="B11020" i="1"/>
  <c r="A11020" i="1"/>
  <c r="R11019" i="1"/>
  <c r="J11019" i="1"/>
  <c r="I11019" i="1"/>
  <c r="G11019" i="1"/>
  <c r="F11019" i="1"/>
  <c r="E11019" i="1"/>
  <c r="D11019" i="1"/>
  <c r="C11019" i="1"/>
  <c r="B11019" i="1"/>
  <c r="A11019" i="1"/>
  <c r="S11018" i="1"/>
  <c r="O11018" i="1"/>
  <c r="K11018" i="1"/>
  <c r="J11018" i="1"/>
  <c r="I11018" i="1"/>
  <c r="H11018" i="1"/>
  <c r="G11018" i="1"/>
  <c r="F11018" i="1"/>
  <c r="E11018" i="1"/>
  <c r="D11018" i="1"/>
  <c r="C11018" i="1"/>
  <c r="B11018" i="1"/>
  <c r="A11018" i="1"/>
  <c r="R11017" i="1"/>
  <c r="J11017" i="1"/>
  <c r="I11017" i="1"/>
  <c r="G11017" i="1"/>
  <c r="F11017" i="1"/>
  <c r="E11017" i="1"/>
  <c r="D11017" i="1"/>
  <c r="C11017" i="1"/>
  <c r="B11017" i="1"/>
  <c r="A11017" i="1"/>
  <c r="S11016" i="1"/>
  <c r="O11016" i="1"/>
  <c r="K11016" i="1"/>
  <c r="J11016" i="1"/>
  <c r="I11016" i="1"/>
  <c r="H11016" i="1"/>
  <c r="G11016" i="1"/>
  <c r="F11016" i="1"/>
  <c r="E11016" i="1"/>
  <c r="D11016" i="1"/>
  <c r="C11016" i="1"/>
  <c r="B11016" i="1"/>
  <c r="A11016" i="1"/>
  <c r="R11015" i="1"/>
  <c r="J11015" i="1"/>
  <c r="I11015" i="1"/>
  <c r="G11015" i="1"/>
  <c r="F11015" i="1"/>
  <c r="E11015" i="1"/>
  <c r="D11015" i="1"/>
  <c r="C11015" i="1"/>
  <c r="B11015" i="1"/>
  <c r="A11015" i="1"/>
  <c r="S11014" i="1"/>
  <c r="O11014" i="1"/>
  <c r="K11014" i="1"/>
  <c r="J11014" i="1"/>
  <c r="I11014" i="1"/>
  <c r="H11014" i="1"/>
  <c r="G11014" i="1"/>
  <c r="F11014" i="1"/>
  <c r="E11014" i="1"/>
  <c r="D11014" i="1"/>
  <c r="C11014" i="1"/>
  <c r="B11014" i="1"/>
  <c r="A11014" i="1"/>
  <c r="R11013" i="1"/>
  <c r="J11013" i="1"/>
  <c r="I11013" i="1"/>
  <c r="G11013" i="1"/>
  <c r="F11013" i="1"/>
  <c r="E11013" i="1"/>
  <c r="D11013" i="1"/>
  <c r="C11013" i="1"/>
  <c r="B11013" i="1"/>
  <c r="A11013" i="1"/>
  <c r="S11012" i="1"/>
  <c r="O11012" i="1"/>
  <c r="K11012" i="1"/>
  <c r="J11012" i="1"/>
  <c r="I11012" i="1"/>
  <c r="H11012" i="1"/>
  <c r="G11012" i="1"/>
  <c r="F11012" i="1"/>
  <c r="E11012" i="1"/>
  <c r="D11012" i="1"/>
  <c r="C11012" i="1"/>
  <c r="B11012" i="1"/>
  <c r="A11012" i="1"/>
  <c r="R11011" i="1"/>
  <c r="J11011" i="1"/>
  <c r="I11011" i="1"/>
  <c r="G11011" i="1"/>
  <c r="F11011" i="1"/>
  <c r="E11011" i="1"/>
  <c r="D11011" i="1"/>
  <c r="C11011" i="1"/>
  <c r="B11011" i="1"/>
  <c r="A11011" i="1"/>
  <c r="S11010" i="1"/>
  <c r="O11010" i="1"/>
  <c r="K11010" i="1"/>
  <c r="J11010" i="1"/>
  <c r="I11010" i="1"/>
  <c r="H11010" i="1"/>
  <c r="G11010" i="1"/>
  <c r="F11010" i="1"/>
  <c r="E11010" i="1"/>
  <c r="D11010" i="1"/>
  <c r="C11010" i="1"/>
  <c r="B11010" i="1"/>
  <c r="A11010" i="1"/>
  <c r="R11009" i="1"/>
  <c r="J11009" i="1"/>
  <c r="I11009" i="1"/>
  <c r="G11009" i="1"/>
  <c r="F11009" i="1"/>
  <c r="E11009" i="1"/>
  <c r="D11009" i="1"/>
  <c r="C11009" i="1"/>
  <c r="B11009" i="1"/>
  <c r="A11009" i="1"/>
  <c r="S11008" i="1"/>
  <c r="O11008" i="1"/>
  <c r="K11008" i="1"/>
  <c r="J11008" i="1"/>
  <c r="I11008" i="1"/>
  <c r="H11008" i="1"/>
  <c r="G11008" i="1"/>
  <c r="F11008" i="1"/>
  <c r="E11008" i="1"/>
  <c r="D11008" i="1"/>
  <c r="C11008" i="1"/>
  <c r="B11008" i="1"/>
  <c r="A11008" i="1"/>
  <c r="R11007" i="1"/>
  <c r="J11007" i="1"/>
  <c r="I11007" i="1"/>
  <c r="G11007" i="1"/>
  <c r="F11007" i="1"/>
  <c r="E11007" i="1"/>
  <c r="D11007" i="1"/>
  <c r="C11007" i="1"/>
  <c r="B11007" i="1"/>
  <c r="A11007" i="1"/>
  <c r="S11006" i="1"/>
  <c r="O11006" i="1"/>
  <c r="K11006" i="1"/>
  <c r="J11006" i="1"/>
  <c r="I11006" i="1"/>
  <c r="H11006" i="1"/>
  <c r="G11006" i="1"/>
  <c r="F11006" i="1"/>
  <c r="E11006" i="1"/>
  <c r="D11006" i="1"/>
  <c r="C11006" i="1"/>
  <c r="B11006" i="1"/>
  <c r="A11006" i="1"/>
  <c r="R11005" i="1"/>
  <c r="J11005" i="1"/>
  <c r="I11005" i="1"/>
  <c r="G11005" i="1"/>
  <c r="F11005" i="1"/>
  <c r="E11005" i="1"/>
  <c r="D11005" i="1"/>
  <c r="C11005" i="1"/>
  <c r="B11005" i="1"/>
  <c r="A11005" i="1"/>
  <c r="S11004" i="1"/>
  <c r="O11004" i="1"/>
  <c r="K11004" i="1"/>
  <c r="J11004" i="1"/>
  <c r="I11004" i="1"/>
  <c r="H11004" i="1"/>
  <c r="G11004" i="1"/>
  <c r="F11004" i="1"/>
  <c r="E11004" i="1"/>
  <c r="D11004" i="1"/>
  <c r="C11004" i="1"/>
  <c r="B11004" i="1"/>
  <c r="A11004" i="1"/>
  <c r="R11003" i="1"/>
  <c r="J11003" i="1"/>
  <c r="I11003" i="1"/>
  <c r="G11003" i="1"/>
  <c r="F11003" i="1"/>
  <c r="E11003" i="1"/>
  <c r="D11003" i="1"/>
  <c r="C11003" i="1"/>
  <c r="B11003" i="1"/>
  <c r="A11003" i="1"/>
  <c r="S11002" i="1"/>
  <c r="O11002" i="1"/>
  <c r="K11002" i="1"/>
  <c r="J11002" i="1"/>
  <c r="I11002" i="1"/>
  <c r="H11002" i="1"/>
  <c r="G11002" i="1"/>
  <c r="F11002" i="1"/>
  <c r="E11002" i="1"/>
  <c r="D11002" i="1"/>
  <c r="C11002" i="1"/>
  <c r="B11002" i="1"/>
  <c r="A11002" i="1"/>
  <c r="R11001" i="1"/>
  <c r="J11001" i="1"/>
  <c r="I11001" i="1"/>
  <c r="G11001" i="1"/>
  <c r="F11001" i="1"/>
  <c r="E11001" i="1"/>
  <c r="D11001" i="1"/>
  <c r="C11001" i="1"/>
  <c r="B11001" i="1"/>
  <c r="A11001" i="1"/>
  <c r="S11000" i="1"/>
  <c r="O11000" i="1"/>
  <c r="K11000" i="1"/>
  <c r="J11000" i="1"/>
  <c r="I11000" i="1"/>
  <c r="H11000" i="1"/>
  <c r="G11000" i="1"/>
  <c r="F11000" i="1"/>
  <c r="E11000" i="1"/>
  <c r="D11000" i="1"/>
  <c r="C11000" i="1"/>
  <c r="B11000" i="1"/>
  <c r="A11000" i="1"/>
  <c r="R10999" i="1"/>
  <c r="J10999" i="1"/>
  <c r="I10999" i="1"/>
  <c r="G10999" i="1"/>
  <c r="F10999" i="1"/>
  <c r="E10999" i="1"/>
  <c r="D10999" i="1"/>
  <c r="C10999" i="1"/>
  <c r="B10999" i="1"/>
  <c r="A10999" i="1"/>
  <c r="R10998" i="1"/>
  <c r="J10998" i="1"/>
  <c r="I10998" i="1"/>
  <c r="G10998" i="1"/>
  <c r="F10998" i="1"/>
  <c r="E10998" i="1"/>
  <c r="D10998" i="1"/>
  <c r="C10998" i="1"/>
  <c r="B10998" i="1"/>
  <c r="A10998" i="1"/>
  <c r="S10997" i="1"/>
  <c r="O10997" i="1"/>
  <c r="K10997" i="1"/>
  <c r="J10997" i="1"/>
  <c r="I10997" i="1"/>
  <c r="H10997" i="1"/>
  <c r="G10997" i="1"/>
  <c r="F10997" i="1"/>
  <c r="E10997" i="1"/>
  <c r="D10997" i="1"/>
  <c r="C10997" i="1"/>
  <c r="B10997" i="1"/>
  <c r="A10997" i="1"/>
  <c r="R10996" i="1"/>
  <c r="J10996" i="1"/>
  <c r="I10996" i="1"/>
  <c r="G10996" i="1"/>
  <c r="F10996" i="1"/>
  <c r="E10996" i="1"/>
  <c r="D10996" i="1"/>
  <c r="C10996" i="1"/>
  <c r="B10996" i="1"/>
  <c r="A10996" i="1"/>
  <c r="R10995" i="1"/>
  <c r="J10995" i="1"/>
  <c r="I10995" i="1"/>
  <c r="G10995" i="1"/>
  <c r="F10995" i="1"/>
  <c r="E10995" i="1"/>
  <c r="D10995" i="1"/>
  <c r="C10995" i="1"/>
  <c r="B10995" i="1"/>
  <c r="A10995" i="1"/>
  <c r="S10994" i="1"/>
  <c r="O10994" i="1"/>
  <c r="K10994" i="1"/>
  <c r="J10994" i="1"/>
  <c r="I10994" i="1"/>
  <c r="H10994" i="1"/>
  <c r="G10994" i="1"/>
  <c r="F10994" i="1"/>
  <c r="E10994" i="1"/>
  <c r="D10994" i="1"/>
  <c r="C10994" i="1"/>
  <c r="B10994" i="1"/>
  <c r="A10994" i="1"/>
  <c r="R10993" i="1"/>
  <c r="J10993" i="1"/>
  <c r="I10993" i="1"/>
  <c r="G10993" i="1"/>
  <c r="F10993" i="1"/>
  <c r="E10993" i="1"/>
  <c r="D10993" i="1"/>
  <c r="C10993" i="1"/>
  <c r="B10993" i="1"/>
  <c r="A10993" i="1"/>
  <c r="R10992" i="1"/>
  <c r="J10992" i="1"/>
  <c r="I10992" i="1"/>
  <c r="G10992" i="1"/>
  <c r="F10992" i="1"/>
  <c r="E10992" i="1"/>
  <c r="D10992" i="1"/>
  <c r="C10992" i="1"/>
  <c r="B10992" i="1"/>
  <c r="A10992" i="1"/>
  <c r="S10991" i="1"/>
  <c r="O10991" i="1"/>
  <c r="K10991" i="1"/>
  <c r="J10991" i="1"/>
  <c r="I10991" i="1"/>
  <c r="H10991" i="1"/>
  <c r="G10991" i="1"/>
  <c r="F10991" i="1"/>
  <c r="E10991" i="1"/>
  <c r="D10991" i="1"/>
  <c r="C10991" i="1"/>
  <c r="B10991" i="1"/>
  <c r="A10991" i="1"/>
  <c r="R10990" i="1"/>
  <c r="J10990" i="1"/>
  <c r="I10990" i="1"/>
  <c r="G10990" i="1"/>
  <c r="F10990" i="1"/>
  <c r="E10990" i="1"/>
  <c r="D10990" i="1"/>
  <c r="C10990" i="1"/>
  <c r="B10990" i="1"/>
  <c r="A10990" i="1"/>
  <c r="S10989" i="1"/>
  <c r="O10989" i="1"/>
  <c r="K10989" i="1"/>
  <c r="J10989" i="1"/>
  <c r="I10989" i="1"/>
  <c r="H10989" i="1"/>
  <c r="G10989" i="1"/>
  <c r="F10989" i="1"/>
  <c r="E10989" i="1"/>
  <c r="D10989" i="1"/>
  <c r="C10989" i="1"/>
  <c r="B10989" i="1"/>
  <c r="A10989" i="1"/>
  <c r="R10988" i="1"/>
  <c r="J10988" i="1"/>
  <c r="I10988" i="1"/>
  <c r="G10988" i="1"/>
  <c r="F10988" i="1"/>
  <c r="E10988" i="1"/>
  <c r="D10988" i="1"/>
  <c r="C10988" i="1"/>
  <c r="B10988" i="1"/>
  <c r="A10988" i="1"/>
  <c r="S10987" i="1"/>
  <c r="O10987" i="1"/>
  <c r="K10987" i="1"/>
  <c r="J10987" i="1"/>
  <c r="I10987" i="1"/>
  <c r="H10987" i="1"/>
  <c r="G10987" i="1"/>
  <c r="F10987" i="1"/>
  <c r="E10987" i="1"/>
  <c r="D10987" i="1"/>
  <c r="C10987" i="1"/>
  <c r="B10987" i="1"/>
  <c r="A10987" i="1"/>
  <c r="R10986" i="1"/>
  <c r="J10986" i="1"/>
  <c r="I10986" i="1"/>
  <c r="G10986" i="1"/>
  <c r="F10986" i="1"/>
  <c r="E10986" i="1"/>
  <c r="D10986" i="1"/>
  <c r="C10986" i="1"/>
  <c r="B10986" i="1"/>
  <c r="A10986" i="1"/>
  <c r="S10985" i="1"/>
  <c r="O10985" i="1"/>
  <c r="K10985" i="1"/>
  <c r="J10985" i="1"/>
  <c r="I10985" i="1"/>
  <c r="H10985" i="1"/>
  <c r="G10985" i="1"/>
  <c r="F10985" i="1"/>
  <c r="E10985" i="1"/>
  <c r="D10985" i="1"/>
  <c r="C10985" i="1"/>
  <c r="B10985" i="1"/>
  <c r="A10985" i="1"/>
  <c r="R10984" i="1"/>
  <c r="J10984" i="1"/>
  <c r="I10984" i="1"/>
  <c r="G10984" i="1"/>
  <c r="F10984" i="1"/>
  <c r="E10984" i="1"/>
  <c r="D10984" i="1"/>
  <c r="C10984" i="1"/>
  <c r="B10984" i="1"/>
  <c r="A10984" i="1"/>
  <c r="S10983" i="1"/>
  <c r="O10983" i="1"/>
  <c r="K10983" i="1"/>
  <c r="J10983" i="1"/>
  <c r="I10983" i="1"/>
  <c r="H10983" i="1"/>
  <c r="G10983" i="1"/>
  <c r="F10983" i="1"/>
  <c r="E10983" i="1"/>
  <c r="D10983" i="1"/>
  <c r="C10983" i="1"/>
  <c r="B10983" i="1"/>
  <c r="A10983" i="1"/>
  <c r="R10982" i="1"/>
  <c r="J10982" i="1"/>
  <c r="I10982" i="1"/>
  <c r="G10982" i="1"/>
  <c r="F10982" i="1"/>
  <c r="E10982" i="1"/>
  <c r="D10982" i="1"/>
  <c r="C10982" i="1"/>
  <c r="B10982" i="1"/>
  <c r="A10982" i="1"/>
  <c r="S10981" i="1"/>
  <c r="O10981" i="1"/>
  <c r="K10981" i="1"/>
  <c r="J10981" i="1"/>
  <c r="I10981" i="1"/>
  <c r="H10981" i="1"/>
  <c r="G10981" i="1"/>
  <c r="F10981" i="1"/>
  <c r="E10981" i="1"/>
  <c r="D10981" i="1"/>
  <c r="C10981" i="1"/>
  <c r="B10981" i="1"/>
  <c r="A10981" i="1"/>
  <c r="R10980" i="1"/>
  <c r="J10980" i="1"/>
  <c r="I10980" i="1"/>
  <c r="G10980" i="1"/>
  <c r="F10980" i="1"/>
  <c r="E10980" i="1"/>
  <c r="D10980" i="1"/>
  <c r="C10980" i="1"/>
  <c r="B10980" i="1"/>
  <c r="A10980" i="1"/>
  <c r="S10979" i="1"/>
  <c r="O10979" i="1"/>
  <c r="K10979" i="1"/>
  <c r="J10979" i="1"/>
  <c r="I10979" i="1"/>
  <c r="H10979" i="1"/>
  <c r="G10979" i="1"/>
  <c r="F10979" i="1"/>
  <c r="E10979" i="1"/>
  <c r="D10979" i="1"/>
  <c r="C10979" i="1"/>
  <c r="B10979" i="1"/>
  <c r="A10979" i="1"/>
  <c r="R10978" i="1"/>
  <c r="J10978" i="1"/>
  <c r="I10978" i="1"/>
  <c r="G10978" i="1"/>
  <c r="F10978" i="1"/>
  <c r="E10978" i="1"/>
  <c r="D10978" i="1"/>
  <c r="C10978" i="1"/>
  <c r="B10978" i="1"/>
  <c r="A10978" i="1"/>
  <c r="S10977" i="1"/>
  <c r="O10977" i="1"/>
  <c r="K10977" i="1"/>
  <c r="J10977" i="1"/>
  <c r="I10977" i="1"/>
  <c r="H10977" i="1"/>
  <c r="G10977" i="1"/>
  <c r="F10977" i="1"/>
  <c r="E10977" i="1"/>
  <c r="D10977" i="1"/>
  <c r="C10977" i="1"/>
  <c r="B10977" i="1"/>
  <c r="A10977" i="1"/>
  <c r="R10976" i="1"/>
  <c r="J10976" i="1"/>
  <c r="I10976" i="1"/>
  <c r="G10976" i="1"/>
  <c r="F10976" i="1"/>
  <c r="E10976" i="1"/>
  <c r="D10976" i="1"/>
  <c r="C10976" i="1"/>
  <c r="B10976" i="1"/>
  <c r="A10976" i="1"/>
  <c r="S10975" i="1"/>
  <c r="O10975" i="1"/>
  <c r="K10975" i="1"/>
  <c r="J10975" i="1"/>
  <c r="I10975" i="1"/>
  <c r="H10975" i="1"/>
  <c r="G10975" i="1"/>
  <c r="F10975" i="1"/>
  <c r="E10975" i="1"/>
  <c r="D10975" i="1"/>
  <c r="C10975" i="1"/>
  <c r="B10975" i="1"/>
  <c r="A10975" i="1"/>
  <c r="R10974" i="1"/>
  <c r="J10974" i="1"/>
  <c r="I10974" i="1"/>
  <c r="G10974" i="1"/>
  <c r="F10974" i="1"/>
  <c r="E10974" i="1"/>
  <c r="D10974" i="1"/>
  <c r="C10974" i="1"/>
  <c r="B10974" i="1"/>
  <c r="A10974" i="1"/>
  <c r="S10973" i="1"/>
  <c r="O10973" i="1"/>
  <c r="K10973" i="1"/>
  <c r="J10973" i="1"/>
  <c r="I10973" i="1"/>
  <c r="H10973" i="1"/>
  <c r="G10973" i="1"/>
  <c r="F10973" i="1"/>
  <c r="E10973" i="1"/>
  <c r="D10973" i="1"/>
  <c r="C10973" i="1"/>
  <c r="B10973" i="1"/>
  <c r="A10973" i="1"/>
  <c r="R10972" i="1"/>
  <c r="J10972" i="1"/>
  <c r="I10972" i="1"/>
  <c r="G10972" i="1"/>
  <c r="F10972" i="1"/>
  <c r="E10972" i="1"/>
  <c r="D10972" i="1"/>
  <c r="C10972" i="1"/>
  <c r="B10972" i="1"/>
  <c r="A10972" i="1"/>
  <c r="S10971" i="1"/>
  <c r="O10971" i="1"/>
  <c r="K10971" i="1"/>
  <c r="J10971" i="1"/>
  <c r="I10971" i="1"/>
  <c r="H10971" i="1"/>
  <c r="G10971" i="1"/>
  <c r="F10971" i="1"/>
  <c r="E10971" i="1"/>
  <c r="D10971" i="1"/>
  <c r="C10971" i="1"/>
  <c r="B10971" i="1"/>
  <c r="A10971" i="1"/>
  <c r="R10970" i="1"/>
  <c r="J10970" i="1"/>
  <c r="I10970" i="1"/>
  <c r="G10970" i="1"/>
  <c r="F10970" i="1"/>
  <c r="E10970" i="1"/>
  <c r="D10970" i="1"/>
  <c r="C10970" i="1"/>
  <c r="B10970" i="1"/>
  <c r="A10970" i="1"/>
  <c r="S10969" i="1"/>
  <c r="O10969" i="1"/>
  <c r="K10969" i="1"/>
  <c r="J10969" i="1"/>
  <c r="I10969" i="1"/>
  <c r="H10969" i="1"/>
  <c r="G10969" i="1"/>
  <c r="F10969" i="1"/>
  <c r="E10969" i="1"/>
  <c r="D10969" i="1"/>
  <c r="C10969" i="1"/>
  <c r="B10969" i="1"/>
  <c r="A10969" i="1"/>
  <c r="R10968" i="1"/>
  <c r="J10968" i="1"/>
  <c r="I10968" i="1"/>
  <c r="G10968" i="1"/>
  <c r="F10968" i="1"/>
  <c r="E10968" i="1"/>
  <c r="D10968" i="1"/>
  <c r="C10968" i="1"/>
  <c r="B10968" i="1"/>
  <c r="A10968" i="1"/>
  <c r="S10967" i="1"/>
  <c r="O10967" i="1"/>
  <c r="K10967" i="1"/>
  <c r="J10967" i="1"/>
  <c r="I10967" i="1"/>
  <c r="H10967" i="1"/>
  <c r="G10967" i="1"/>
  <c r="F10967" i="1"/>
  <c r="E10967" i="1"/>
  <c r="D10967" i="1"/>
  <c r="C10967" i="1"/>
  <c r="B10967" i="1"/>
  <c r="A10967" i="1"/>
  <c r="R10966" i="1"/>
  <c r="J10966" i="1"/>
  <c r="I10966" i="1"/>
  <c r="G10966" i="1"/>
  <c r="F10966" i="1"/>
  <c r="E10966" i="1"/>
  <c r="D10966" i="1"/>
  <c r="C10966" i="1"/>
  <c r="B10966" i="1"/>
  <c r="A10966" i="1"/>
  <c r="S10965" i="1"/>
  <c r="O10965" i="1"/>
  <c r="K10965" i="1"/>
  <c r="J10965" i="1"/>
  <c r="I10965" i="1"/>
  <c r="H10965" i="1"/>
  <c r="G10965" i="1"/>
  <c r="F10965" i="1"/>
  <c r="E10965" i="1"/>
  <c r="D10965" i="1"/>
  <c r="C10965" i="1"/>
  <c r="B10965" i="1"/>
  <c r="A10965" i="1"/>
  <c r="R10964" i="1"/>
  <c r="J10964" i="1"/>
  <c r="I10964" i="1"/>
  <c r="G10964" i="1"/>
  <c r="F10964" i="1"/>
  <c r="E10964" i="1"/>
  <c r="D10964" i="1"/>
  <c r="C10964" i="1"/>
  <c r="B10964" i="1"/>
  <c r="A10964" i="1"/>
  <c r="S10963" i="1"/>
  <c r="O10963" i="1"/>
  <c r="K10963" i="1"/>
  <c r="J10963" i="1"/>
  <c r="I10963" i="1"/>
  <c r="H10963" i="1"/>
  <c r="G10963" i="1"/>
  <c r="F10963" i="1"/>
  <c r="E10963" i="1"/>
  <c r="D10963" i="1"/>
  <c r="C10963" i="1"/>
  <c r="B10963" i="1"/>
  <c r="A10963" i="1"/>
  <c r="R10962" i="1"/>
  <c r="J10962" i="1"/>
  <c r="I10962" i="1"/>
  <c r="G10962" i="1"/>
  <c r="F10962" i="1"/>
  <c r="E10962" i="1"/>
  <c r="D10962" i="1"/>
  <c r="C10962" i="1"/>
  <c r="B10962" i="1"/>
  <c r="A10962" i="1"/>
  <c r="S10961" i="1"/>
  <c r="O10961" i="1"/>
  <c r="K10961" i="1"/>
  <c r="J10961" i="1"/>
  <c r="I10961" i="1"/>
  <c r="H10961" i="1"/>
  <c r="G10961" i="1"/>
  <c r="F10961" i="1"/>
  <c r="E10961" i="1"/>
  <c r="D10961" i="1"/>
  <c r="C10961" i="1"/>
  <c r="B10961" i="1"/>
  <c r="A10961" i="1"/>
  <c r="R10960" i="1"/>
  <c r="J10960" i="1"/>
  <c r="I10960" i="1"/>
  <c r="G10960" i="1"/>
  <c r="F10960" i="1"/>
  <c r="E10960" i="1"/>
  <c r="D10960" i="1"/>
  <c r="C10960" i="1"/>
  <c r="B10960" i="1"/>
  <c r="A10960" i="1"/>
  <c r="R10959" i="1"/>
  <c r="J10959" i="1"/>
  <c r="I10959" i="1"/>
  <c r="G10959" i="1"/>
  <c r="F10959" i="1"/>
  <c r="E10959" i="1"/>
  <c r="D10959" i="1"/>
  <c r="C10959" i="1"/>
  <c r="B10959" i="1"/>
  <c r="A10959" i="1"/>
  <c r="R10958" i="1"/>
  <c r="J10958" i="1"/>
  <c r="I10958" i="1"/>
  <c r="G10958" i="1"/>
  <c r="F10958" i="1"/>
  <c r="E10958" i="1"/>
  <c r="D10958" i="1"/>
  <c r="C10958" i="1"/>
  <c r="B10958" i="1"/>
  <c r="A10958" i="1"/>
  <c r="R10957" i="1"/>
  <c r="J10957" i="1"/>
  <c r="I10957" i="1"/>
  <c r="G10957" i="1"/>
  <c r="F10957" i="1"/>
  <c r="E10957" i="1"/>
  <c r="D10957" i="1"/>
  <c r="C10957" i="1"/>
  <c r="B10957" i="1"/>
  <c r="A10957" i="1"/>
  <c r="R10956" i="1"/>
  <c r="J10956" i="1"/>
  <c r="I10956" i="1"/>
  <c r="G10956" i="1"/>
  <c r="F10956" i="1"/>
  <c r="E10956" i="1"/>
  <c r="D10956" i="1"/>
  <c r="C10956" i="1"/>
  <c r="B10956" i="1"/>
  <c r="A10956" i="1"/>
  <c r="R10955" i="1"/>
  <c r="J10955" i="1"/>
  <c r="I10955" i="1"/>
  <c r="G10955" i="1"/>
  <c r="F10955" i="1"/>
  <c r="E10955" i="1"/>
  <c r="D10955" i="1"/>
  <c r="C10955" i="1"/>
  <c r="B10955" i="1"/>
  <c r="A10955" i="1"/>
  <c r="S10954" i="1"/>
  <c r="O10954" i="1"/>
  <c r="K10954" i="1"/>
  <c r="J10954" i="1"/>
  <c r="I10954" i="1"/>
  <c r="H10954" i="1"/>
  <c r="G10954" i="1"/>
  <c r="F10954" i="1"/>
  <c r="E10954" i="1"/>
  <c r="D10954" i="1"/>
  <c r="C10954" i="1"/>
  <c r="B10954" i="1"/>
  <c r="A10954" i="1"/>
  <c r="R10953" i="1"/>
  <c r="J10953" i="1"/>
  <c r="I10953" i="1"/>
  <c r="G10953" i="1"/>
  <c r="F10953" i="1"/>
  <c r="E10953" i="1"/>
  <c r="D10953" i="1"/>
  <c r="C10953" i="1"/>
  <c r="B10953" i="1"/>
  <c r="A10953" i="1"/>
  <c r="R10952" i="1"/>
  <c r="J10952" i="1"/>
  <c r="I10952" i="1"/>
  <c r="G10952" i="1"/>
  <c r="F10952" i="1"/>
  <c r="E10952" i="1"/>
  <c r="D10952" i="1"/>
  <c r="C10952" i="1"/>
  <c r="B10952" i="1"/>
  <c r="A10952" i="1"/>
  <c r="R10951" i="1"/>
  <c r="J10951" i="1"/>
  <c r="I10951" i="1"/>
  <c r="G10951" i="1"/>
  <c r="F10951" i="1"/>
  <c r="E10951" i="1"/>
  <c r="D10951" i="1"/>
  <c r="C10951" i="1"/>
  <c r="B10951" i="1"/>
  <c r="A10951" i="1"/>
  <c r="R10950" i="1"/>
  <c r="J10950" i="1"/>
  <c r="I10950" i="1"/>
  <c r="G10950" i="1"/>
  <c r="F10950" i="1"/>
  <c r="E10950" i="1"/>
  <c r="D10950" i="1"/>
  <c r="C10950" i="1"/>
  <c r="B10950" i="1"/>
  <c r="A10950" i="1"/>
  <c r="R10949" i="1"/>
  <c r="J10949" i="1"/>
  <c r="I10949" i="1"/>
  <c r="G10949" i="1"/>
  <c r="F10949" i="1"/>
  <c r="E10949" i="1"/>
  <c r="D10949" i="1"/>
  <c r="C10949" i="1"/>
  <c r="B10949" i="1"/>
  <c r="A10949" i="1"/>
  <c r="R10948" i="1"/>
  <c r="J10948" i="1"/>
  <c r="I10948" i="1"/>
  <c r="G10948" i="1"/>
  <c r="F10948" i="1"/>
  <c r="E10948" i="1"/>
  <c r="D10948" i="1"/>
  <c r="C10948" i="1"/>
  <c r="B10948" i="1"/>
  <c r="A10948" i="1"/>
  <c r="S10947" i="1"/>
  <c r="O10947" i="1"/>
  <c r="K10947" i="1"/>
  <c r="J10947" i="1"/>
  <c r="I10947" i="1"/>
  <c r="H10947" i="1"/>
  <c r="G10947" i="1"/>
  <c r="F10947" i="1"/>
  <c r="E10947" i="1"/>
  <c r="D10947" i="1"/>
  <c r="C10947" i="1"/>
  <c r="B10947" i="1"/>
  <c r="A10947" i="1"/>
  <c r="R10946" i="1"/>
  <c r="J10946" i="1"/>
  <c r="I10946" i="1"/>
  <c r="G10946" i="1"/>
  <c r="F10946" i="1"/>
  <c r="E10946" i="1"/>
  <c r="D10946" i="1"/>
  <c r="C10946" i="1"/>
  <c r="B10946" i="1"/>
  <c r="A10946" i="1"/>
  <c r="R10945" i="1"/>
  <c r="J10945" i="1"/>
  <c r="I10945" i="1"/>
  <c r="G10945" i="1"/>
  <c r="F10945" i="1"/>
  <c r="E10945" i="1"/>
  <c r="D10945" i="1"/>
  <c r="C10945" i="1"/>
  <c r="B10945" i="1"/>
  <c r="A10945" i="1"/>
  <c r="R10944" i="1"/>
  <c r="J10944" i="1"/>
  <c r="I10944" i="1"/>
  <c r="G10944" i="1"/>
  <c r="F10944" i="1"/>
  <c r="E10944" i="1"/>
  <c r="D10944" i="1"/>
  <c r="C10944" i="1"/>
  <c r="B10944" i="1"/>
  <c r="A10944" i="1"/>
  <c r="R10943" i="1"/>
  <c r="J10943" i="1"/>
  <c r="I10943" i="1"/>
  <c r="G10943" i="1"/>
  <c r="F10943" i="1"/>
  <c r="E10943" i="1"/>
  <c r="D10943" i="1"/>
  <c r="C10943" i="1"/>
  <c r="B10943" i="1"/>
  <c r="A10943" i="1"/>
  <c r="R10942" i="1"/>
  <c r="J10942" i="1"/>
  <c r="I10942" i="1"/>
  <c r="G10942" i="1"/>
  <c r="F10942" i="1"/>
  <c r="E10942" i="1"/>
  <c r="D10942" i="1"/>
  <c r="C10942" i="1"/>
  <c r="B10942" i="1"/>
  <c r="A10942" i="1"/>
  <c r="R10941" i="1"/>
  <c r="J10941" i="1"/>
  <c r="I10941" i="1"/>
  <c r="G10941" i="1"/>
  <c r="F10941" i="1"/>
  <c r="E10941" i="1"/>
  <c r="D10941" i="1"/>
  <c r="C10941" i="1"/>
  <c r="B10941" i="1"/>
  <c r="A10941" i="1"/>
  <c r="S10940" i="1"/>
  <c r="O10940" i="1"/>
  <c r="K10940" i="1"/>
  <c r="J10940" i="1"/>
  <c r="I10940" i="1"/>
  <c r="H10940" i="1"/>
  <c r="G10940" i="1"/>
  <c r="F10940" i="1"/>
  <c r="E10940" i="1"/>
  <c r="D10940" i="1"/>
  <c r="C10940" i="1"/>
  <c r="B10940" i="1"/>
  <c r="A10940" i="1"/>
  <c r="R10939" i="1"/>
  <c r="J10939" i="1"/>
  <c r="I10939" i="1"/>
  <c r="G10939" i="1"/>
  <c r="F10939" i="1"/>
  <c r="E10939" i="1"/>
  <c r="D10939" i="1"/>
  <c r="C10939" i="1"/>
  <c r="B10939" i="1"/>
  <c r="A10939" i="1"/>
  <c r="S10938" i="1"/>
  <c r="O10938" i="1"/>
  <c r="K10938" i="1"/>
  <c r="J10938" i="1"/>
  <c r="I10938" i="1"/>
  <c r="H10938" i="1"/>
  <c r="G10938" i="1"/>
  <c r="F10938" i="1"/>
  <c r="E10938" i="1"/>
  <c r="D10938" i="1"/>
  <c r="C10938" i="1"/>
  <c r="B10938" i="1"/>
  <c r="A10938" i="1"/>
  <c r="R10937" i="1"/>
  <c r="J10937" i="1"/>
  <c r="I10937" i="1"/>
  <c r="G10937" i="1"/>
  <c r="F10937" i="1"/>
  <c r="E10937" i="1"/>
  <c r="D10937" i="1"/>
  <c r="C10937" i="1"/>
  <c r="B10937" i="1"/>
  <c r="A10937" i="1"/>
  <c r="S10936" i="1"/>
  <c r="O10936" i="1"/>
  <c r="K10936" i="1"/>
  <c r="J10936" i="1"/>
  <c r="I10936" i="1"/>
  <c r="H10936" i="1"/>
  <c r="G10936" i="1"/>
  <c r="F10936" i="1"/>
  <c r="E10936" i="1"/>
  <c r="D10936" i="1"/>
  <c r="C10936" i="1"/>
  <c r="B10936" i="1"/>
  <c r="A10936" i="1"/>
  <c r="R10935" i="1"/>
  <c r="J10935" i="1"/>
  <c r="I10935" i="1"/>
  <c r="G10935" i="1"/>
  <c r="F10935" i="1"/>
  <c r="E10935" i="1"/>
  <c r="D10935" i="1"/>
  <c r="C10935" i="1"/>
  <c r="B10935" i="1"/>
  <c r="A10935" i="1"/>
  <c r="S10934" i="1"/>
  <c r="O10934" i="1"/>
  <c r="K10934" i="1"/>
  <c r="J10934" i="1"/>
  <c r="I10934" i="1"/>
  <c r="H10934" i="1"/>
  <c r="G10934" i="1"/>
  <c r="F10934" i="1"/>
  <c r="E10934" i="1"/>
  <c r="D10934" i="1"/>
  <c r="C10934" i="1"/>
  <c r="B10934" i="1"/>
  <c r="A10934" i="1"/>
  <c r="R10933" i="1"/>
  <c r="J10933" i="1"/>
  <c r="I10933" i="1"/>
  <c r="G10933" i="1"/>
  <c r="F10933" i="1"/>
  <c r="E10933" i="1"/>
  <c r="D10933" i="1"/>
  <c r="C10933" i="1"/>
  <c r="B10933" i="1"/>
  <c r="A10933" i="1"/>
  <c r="S10932" i="1"/>
  <c r="O10932" i="1"/>
  <c r="K10932" i="1"/>
  <c r="J10932" i="1"/>
  <c r="I10932" i="1"/>
  <c r="H10932" i="1"/>
  <c r="G10932" i="1"/>
  <c r="F10932" i="1"/>
  <c r="E10932" i="1"/>
  <c r="D10932" i="1"/>
  <c r="C10932" i="1"/>
  <c r="B10932" i="1"/>
  <c r="A10932" i="1"/>
  <c r="R10931" i="1"/>
  <c r="J10931" i="1"/>
  <c r="I10931" i="1"/>
  <c r="G10931" i="1"/>
  <c r="F10931" i="1"/>
  <c r="E10931" i="1"/>
  <c r="D10931" i="1"/>
  <c r="C10931" i="1"/>
  <c r="B10931" i="1"/>
  <c r="A10931" i="1"/>
  <c r="R10930" i="1"/>
  <c r="J10930" i="1"/>
  <c r="I10930" i="1"/>
  <c r="G10930" i="1"/>
  <c r="F10930" i="1"/>
  <c r="E10930" i="1"/>
  <c r="D10930" i="1"/>
  <c r="C10930" i="1"/>
  <c r="B10930" i="1"/>
  <c r="A10930" i="1"/>
  <c r="R10929" i="1"/>
  <c r="J10929" i="1"/>
  <c r="I10929" i="1"/>
  <c r="G10929" i="1"/>
  <c r="F10929" i="1"/>
  <c r="E10929" i="1"/>
  <c r="D10929" i="1"/>
  <c r="C10929" i="1"/>
  <c r="B10929" i="1"/>
  <c r="A10929" i="1"/>
  <c r="S10928" i="1"/>
  <c r="O10928" i="1"/>
  <c r="K10928" i="1"/>
  <c r="J10928" i="1"/>
  <c r="I10928" i="1"/>
  <c r="H10928" i="1"/>
  <c r="G10928" i="1"/>
  <c r="F10928" i="1"/>
  <c r="E10928" i="1"/>
  <c r="D10928" i="1"/>
  <c r="C10928" i="1"/>
  <c r="B10928" i="1"/>
  <c r="A10928" i="1"/>
  <c r="R10927" i="1"/>
  <c r="J10927" i="1"/>
  <c r="I10927" i="1"/>
  <c r="G10927" i="1"/>
  <c r="F10927" i="1"/>
  <c r="E10927" i="1"/>
  <c r="D10927" i="1"/>
  <c r="C10927" i="1"/>
  <c r="B10927" i="1"/>
  <c r="A10927" i="1"/>
  <c r="R10926" i="1"/>
  <c r="J10926" i="1"/>
  <c r="I10926" i="1"/>
  <c r="G10926" i="1"/>
  <c r="F10926" i="1"/>
  <c r="E10926" i="1"/>
  <c r="D10926" i="1"/>
  <c r="C10926" i="1"/>
  <c r="B10926" i="1"/>
  <c r="A10926" i="1"/>
  <c r="R10925" i="1"/>
  <c r="J10925" i="1"/>
  <c r="I10925" i="1"/>
  <c r="G10925" i="1"/>
  <c r="F10925" i="1"/>
  <c r="E10925" i="1"/>
  <c r="D10925" i="1"/>
  <c r="C10925" i="1"/>
  <c r="B10925" i="1"/>
  <c r="A10925" i="1"/>
  <c r="S10924" i="1"/>
  <c r="O10924" i="1"/>
  <c r="K10924" i="1"/>
  <c r="J10924" i="1"/>
  <c r="I10924" i="1"/>
  <c r="H10924" i="1"/>
  <c r="G10924" i="1"/>
  <c r="F10924" i="1"/>
  <c r="E10924" i="1"/>
  <c r="D10924" i="1"/>
  <c r="C10924" i="1"/>
  <c r="B10924" i="1"/>
  <c r="A10924" i="1"/>
  <c r="R10923" i="1"/>
  <c r="J10923" i="1"/>
  <c r="I10923" i="1"/>
  <c r="G10923" i="1"/>
  <c r="F10923" i="1"/>
  <c r="E10923" i="1"/>
  <c r="D10923" i="1"/>
  <c r="C10923" i="1"/>
  <c r="B10923" i="1"/>
  <c r="A10923" i="1"/>
  <c r="R10922" i="1"/>
  <c r="J10922" i="1"/>
  <c r="I10922" i="1"/>
  <c r="G10922" i="1"/>
  <c r="F10922" i="1"/>
  <c r="E10922" i="1"/>
  <c r="D10922" i="1"/>
  <c r="C10922" i="1"/>
  <c r="B10922" i="1"/>
  <c r="A10922" i="1"/>
  <c r="R10921" i="1"/>
  <c r="J10921" i="1"/>
  <c r="I10921" i="1"/>
  <c r="G10921" i="1"/>
  <c r="F10921" i="1"/>
  <c r="E10921" i="1"/>
  <c r="D10921" i="1"/>
  <c r="C10921" i="1"/>
  <c r="B10921" i="1"/>
  <c r="A10921" i="1"/>
  <c r="S10920" i="1"/>
  <c r="O10920" i="1"/>
  <c r="K10920" i="1"/>
  <c r="J10920" i="1"/>
  <c r="I10920" i="1"/>
  <c r="H10920" i="1"/>
  <c r="G10920" i="1"/>
  <c r="F10920" i="1"/>
  <c r="E10920" i="1"/>
  <c r="D10920" i="1"/>
  <c r="C10920" i="1"/>
  <c r="B10920" i="1"/>
  <c r="A10920" i="1"/>
  <c r="R10919" i="1"/>
  <c r="J10919" i="1"/>
  <c r="I10919" i="1"/>
  <c r="G10919" i="1"/>
  <c r="F10919" i="1"/>
  <c r="E10919" i="1"/>
  <c r="D10919" i="1"/>
  <c r="C10919" i="1"/>
  <c r="B10919" i="1"/>
  <c r="A10919" i="1"/>
  <c r="S10918" i="1"/>
  <c r="O10918" i="1"/>
  <c r="K10918" i="1"/>
  <c r="J10918" i="1"/>
  <c r="I10918" i="1"/>
  <c r="H10918" i="1"/>
  <c r="G10918" i="1"/>
  <c r="F10918" i="1"/>
  <c r="E10918" i="1"/>
  <c r="D10918" i="1"/>
  <c r="C10918" i="1"/>
  <c r="B10918" i="1"/>
  <c r="A10918" i="1"/>
  <c r="R10917" i="1"/>
  <c r="J10917" i="1"/>
  <c r="I10917" i="1"/>
  <c r="G10917" i="1"/>
  <c r="F10917" i="1"/>
  <c r="E10917" i="1"/>
  <c r="D10917" i="1"/>
  <c r="C10917" i="1"/>
  <c r="B10917" i="1"/>
  <c r="A10917" i="1"/>
  <c r="S10916" i="1"/>
  <c r="O10916" i="1"/>
  <c r="K10916" i="1"/>
  <c r="J10916" i="1"/>
  <c r="I10916" i="1"/>
  <c r="H10916" i="1"/>
  <c r="G10916" i="1"/>
  <c r="F10916" i="1"/>
  <c r="E10916" i="1"/>
  <c r="D10916" i="1"/>
  <c r="C10916" i="1"/>
  <c r="B10916" i="1"/>
  <c r="A10916" i="1"/>
  <c r="R10915" i="1"/>
  <c r="J10915" i="1"/>
  <c r="I10915" i="1"/>
  <c r="G10915" i="1"/>
  <c r="F10915" i="1"/>
  <c r="E10915" i="1"/>
  <c r="D10915" i="1"/>
  <c r="C10915" i="1"/>
  <c r="B10915" i="1"/>
  <c r="A10915" i="1"/>
  <c r="R10914" i="1"/>
  <c r="J10914" i="1"/>
  <c r="I10914" i="1"/>
  <c r="G10914" i="1"/>
  <c r="F10914" i="1"/>
  <c r="E10914" i="1"/>
  <c r="D10914" i="1"/>
  <c r="C10914" i="1"/>
  <c r="B10914" i="1"/>
  <c r="A10914" i="1"/>
  <c r="R10913" i="1"/>
  <c r="J10913" i="1"/>
  <c r="I10913" i="1"/>
  <c r="G10913" i="1"/>
  <c r="F10913" i="1"/>
  <c r="E10913" i="1"/>
  <c r="D10913" i="1"/>
  <c r="C10913" i="1"/>
  <c r="B10913" i="1"/>
  <c r="A10913" i="1"/>
  <c r="S10912" i="1"/>
  <c r="O10912" i="1"/>
  <c r="K10912" i="1"/>
  <c r="J10912" i="1"/>
  <c r="I10912" i="1"/>
  <c r="H10912" i="1"/>
  <c r="G10912" i="1"/>
  <c r="F10912" i="1"/>
  <c r="E10912" i="1"/>
  <c r="D10912" i="1"/>
  <c r="C10912" i="1"/>
  <c r="B10912" i="1"/>
  <c r="A10912" i="1"/>
  <c r="R10911" i="1"/>
  <c r="J10911" i="1"/>
  <c r="I10911" i="1"/>
  <c r="G10911" i="1"/>
  <c r="F10911" i="1"/>
  <c r="E10911" i="1"/>
  <c r="D10911" i="1"/>
  <c r="C10911" i="1"/>
  <c r="B10911" i="1"/>
  <c r="A10911" i="1"/>
  <c r="R10910" i="1"/>
  <c r="J10910" i="1"/>
  <c r="I10910" i="1"/>
  <c r="G10910" i="1"/>
  <c r="F10910" i="1"/>
  <c r="E10910" i="1"/>
  <c r="D10910" i="1"/>
  <c r="C10910" i="1"/>
  <c r="B10910" i="1"/>
  <c r="A10910" i="1"/>
  <c r="R10909" i="1"/>
  <c r="J10909" i="1"/>
  <c r="I10909" i="1"/>
  <c r="G10909" i="1"/>
  <c r="F10909" i="1"/>
  <c r="E10909" i="1"/>
  <c r="D10909" i="1"/>
  <c r="C10909" i="1"/>
  <c r="B10909" i="1"/>
  <c r="A10909" i="1"/>
  <c r="S10908" i="1"/>
  <c r="O10908" i="1"/>
  <c r="K10908" i="1"/>
  <c r="J10908" i="1"/>
  <c r="I10908" i="1"/>
  <c r="H10908" i="1"/>
  <c r="G10908" i="1"/>
  <c r="F10908" i="1"/>
  <c r="E10908" i="1"/>
  <c r="D10908" i="1"/>
  <c r="C10908" i="1"/>
  <c r="B10908" i="1"/>
  <c r="A10908" i="1"/>
  <c r="R10907" i="1"/>
  <c r="J10907" i="1"/>
  <c r="I10907" i="1"/>
  <c r="G10907" i="1"/>
  <c r="F10907" i="1"/>
  <c r="E10907" i="1"/>
  <c r="D10907" i="1"/>
  <c r="C10907" i="1"/>
  <c r="B10907" i="1"/>
  <c r="A10907" i="1"/>
  <c r="R10906" i="1"/>
  <c r="J10906" i="1"/>
  <c r="I10906" i="1"/>
  <c r="G10906" i="1"/>
  <c r="F10906" i="1"/>
  <c r="E10906" i="1"/>
  <c r="D10906" i="1"/>
  <c r="C10906" i="1"/>
  <c r="B10906" i="1"/>
  <c r="A10906" i="1"/>
  <c r="R10905" i="1"/>
  <c r="J10905" i="1"/>
  <c r="I10905" i="1"/>
  <c r="G10905" i="1"/>
  <c r="F10905" i="1"/>
  <c r="E10905" i="1"/>
  <c r="D10905" i="1"/>
  <c r="C10905" i="1"/>
  <c r="B10905" i="1"/>
  <c r="A10905" i="1"/>
  <c r="S10904" i="1"/>
  <c r="O10904" i="1"/>
  <c r="K10904" i="1"/>
  <c r="J10904" i="1"/>
  <c r="I10904" i="1"/>
  <c r="H10904" i="1"/>
  <c r="G10904" i="1"/>
  <c r="F10904" i="1"/>
  <c r="E10904" i="1"/>
  <c r="D10904" i="1"/>
  <c r="C10904" i="1"/>
  <c r="B10904" i="1"/>
  <c r="A10904" i="1"/>
  <c r="R10903" i="1"/>
  <c r="J10903" i="1"/>
  <c r="I10903" i="1"/>
  <c r="G10903" i="1"/>
  <c r="F10903" i="1"/>
  <c r="E10903" i="1"/>
  <c r="D10903" i="1"/>
  <c r="C10903" i="1"/>
  <c r="B10903" i="1"/>
  <c r="A10903" i="1"/>
  <c r="S10902" i="1"/>
  <c r="O10902" i="1"/>
  <c r="K10902" i="1"/>
  <c r="J10902" i="1"/>
  <c r="I10902" i="1"/>
  <c r="H10902" i="1"/>
  <c r="G10902" i="1"/>
  <c r="F10902" i="1"/>
  <c r="E10902" i="1"/>
  <c r="D10902" i="1"/>
  <c r="C10902" i="1"/>
  <c r="B10902" i="1"/>
  <c r="A10902" i="1"/>
  <c r="R10901" i="1"/>
  <c r="J10901" i="1"/>
  <c r="I10901" i="1"/>
  <c r="G10901" i="1"/>
  <c r="F10901" i="1"/>
  <c r="E10901" i="1"/>
  <c r="D10901" i="1"/>
  <c r="C10901" i="1"/>
  <c r="B10901" i="1"/>
  <c r="A10901" i="1"/>
  <c r="R10900" i="1"/>
  <c r="J10900" i="1"/>
  <c r="I10900" i="1"/>
  <c r="G10900" i="1"/>
  <c r="F10900" i="1"/>
  <c r="E10900" i="1"/>
  <c r="D10900" i="1"/>
  <c r="C10900" i="1"/>
  <c r="B10900" i="1"/>
  <c r="A10900" i="1"/>
  <c r="S10899" i="1"/>
  <c r="O10899" i="1"/>
  <c r="K10899" i="1"/>
  <c r="J10899" i="1"/>
  <c r="I10899" i="1"/>
  <c r="H10899" i="1"/>
  <c r="G10899" i="1"/>
  <c r="F10899" i="1"/>
  <c r="E10899" i="1"/>
  <c r="D10899" i="1"/>
  <c r="C10899" i="1"/>
  <c r="B10899" i="1"/>
  <c r="A10899" i="1"/>
  <c r="R10898" i="1"/>
  <c r="J10898" i="1"/>
  <c r="I10898" i="1"/>
  <c r="G10898" i="1"/>
  <c r="F10898" i="1"/>
  <c r="E10898" i="1"/>
  <c r="D10898" i="1"/>
  <c r="C10898" i="1"/>
  <c r="B10898" i="1"/>
  <c r="A10898" i="1"/>
  <c r="R10897" i="1"/>
  <c r="J10897" i="1"/>
  <c r="I10897" i="1"/>
  <c r="G10897" i="1"/>
  <c r="F10897" i="1"/>
  <c r="E10897" i="1"/>
  <c r="D10897" i="1"/>
  <c r="C10897" i="1"/>
  <c r="B10897" i="1"/>
  <c r="A10897" i="1"/>
  <c r="R10896" i="1"/>
  <c r="J10896" i="1"/>
  <c r="I10896" i="1"/>
  <c r="G10896" i="1"/>
  <c r="F10896" i="1"/>
  <c r="E10896" i="1"/>
  <c r="D10896" i="1"/>
  <c r="C10896" i="1"/>
  <c r="B10896" i="1"/>
  <c r="A10896" i="1"/>
  <c r="R10895" i="1"/>
  <c r="J10895" i="1"/>
  <c r="I10895" i="1"/>
  <c r="G10895" i="1"/>
  <c r="F10895" i="1"/>
  <c r="E10895" i="1"/>
  <c r="D10895" i="1"/>
  <c r="C10895" i="1"/>
  <c r="B10895" i="1"/>
  <c r="A10895" i="1"/>
  <c r="R10894" i="1"/>
  <c r="J10894" i="1"/>
  <c r="I10894" i="1"/>
  <c r="G10894" i="1"/>
  <c r="F10894" i="1"/>
  <c r="E10894" i="1"/>
  <c r="D10894" i="1"/>
  <c r="C10894" i="1"/>
  <c r="B10894" i="1"/>
  <c r="A10894" i="1"/>
  <c r="S10893" i="1"/>
  <c r="O10893" i="1"/>
  <c r="K10893" i="1"/>
  <c r="J10893" i="1"/>
  <c r="I10893" i="1"/>
  <c r="H10893" i="1"/>
  <c r="G10893" i="1"/>
  <c r="F10893" i="1"/>
  <c r="E10893" i="1"/>
  <c r="D10893" i="1"/>
  <c r="C10893" i="1"/>
  <c r="B10893" i="1"/>
  <c r="A10893" i="1"/>
  <c r="R10892" i="1"/>
  <c r="J10892" i="1"/>
  <c r="I10892" i="1"/>
  <c r="G10892" i="1"/>
  <c r="F10892" i="1"/>
  <c r="E10892" i="1"/>
  <c r="D10892" i="1"/>
  <c r="C10892" i="1"/>
  <c r="B10892" i="1"/>
  <c r="A10892" i="1"/>
  <c r="R10891" i="1"/>
  <c r="J10891" i="1"/>
  <c r="I10891" i="1"/>
  <c r="G10891" i="1"/>
  <c r="F10891" i="1"/>
  <c r="E10891" i="1"/>
  <c r="D10891" i="1"/>
  <c r="C10891" i="1"/>
  <c r="B10891" i="1"/>
  <c r="A10891" i="1"/>
  <c r="R10890" i="1"/>
  <c r="J10890" i="1"/>
  <c r="I10890" i="1"/>
  <c r="G10890" i="1"/>
  <c r="F10890" i="1"/>
  <c r="E10890" i="1"/>
  <c r="D10890" i="1"/>
  <c r="C10890" i="1"/>
  <c r="B10890" i="1"/>
  <c r="A10890" i="1"/>
  <c r="R10889" i="1"/>
  <c r="J10889" i="1"/>
  <c r="I10889" i="1"/>
  <c r="G10889" i="1"/>
  <c r="F10889" i="1"/>
  <c r="E10889" i="1"/>
  <c r="D10889" i="1"/>
  <c r="C10889" i="1"/>
  <c r="B10889" i="1"/>
  <c r="A10889" i="1"/>
  <c r="R10888" i="1"/>
  <c r="J10888" i="1"/>
  <c r="I10888" i="1"/>
  <c r="G10888" i="1"/>
  <c r="F10888" i="1"/>
  <c r="E10888" i="1"/>
  <c r="D10888" i="1"/>
  <c r="C10888" i="1"/>
  <c r="B10888" i="1"/>
  <c r="A10888" i="1"/>
  <c r="S10887" i="1"/>
  <c r="O10887" i="1"/>
  <c r="K10887" i="1"/>
  <c r="J10887" i="1"/>
  <c r="I10887" i="1"/>
  <c r="H10887" i="1"/>
  <c r="G10887" i="1"/>
  <c r="F10887" i="1"/>
  <c r="E10887" i="1"/>
  <c r="D10887" i="1"/>
  <c r="C10887" i="1"/>
  <c r="B10887" i="1"/>
  <c r="A10887" i="1"/>
  <c r="R10886" i="1"/>
  <c r="J10886" i="1"/>
  <c r="I10886" i="1"/>
  <c r="G10886" i="1"/>
  <c r="F10886" i="1"/>
  <c r="E10886" i="1"/>
  <c r="D10886" i="1"/>
  <c r="C10886" i="1"/>
  <c r="B10886" i="1"/>
  <c r="A10886" i="1"/>
  <c r="S10885" i="1"/>
  <c r="O10885" i="1"/>
  <c r="K10885" i="1"/>
  <c r="J10885" i="1"/>
  <c r="I10885" i="1"/>
  <c r="H10885" i="1"/>
  <c r="G10885" i="1"/>
  <c r="F10885" i="1"/>
  <c r="E10885" i="1"/>
  <c r="D10885" i="1"/>
  <c r="C10885" i="1"/>
  <c r="B10885" i="1"/>
  <c r="A10885" i="1"/>
  <c r="R10884" i="1"/>
  <c r="J10884" i="1"/>
  <c r="I10884" i="1"/>
  <c r="G10884" i="1"/>
  <c r="F10884" i="1"/>
  <c r="E10884" i="1"/>
  <c r="D10884" i="1"/>
  <c r="C10884" i="1"/>
  <c r="B10884" i="1"/>
  <c r="A10884" i="1"/>
  <c r="S10883" i="1"/>
  <c r="O10883" i="1"/>
  <c r="K10883" i="1"/>
  <c r="J10883" i="1"/>
  <c r="I10883" i="1"/>
  <c r="H10883" i="1"/>
  <c r="G10883" i="1"/>
  <c r="F10883" i="1"/>
  <c r="E10883" i="1"/>
  <c r="D10883" i="1"/>
  <c r="C10883" i="1"/>
  <c r="B10883" i="1"/>
  <c r="A10883" i="1"/>
  <c r="R10882" i="1"/>
  <c r="J10882" i="1"/>
  <c r="I10882" i="1"/>
  <c r="G10882" i="1"/>
  <c r="F10882" i="1"/>
  <c r="E10882" i="1"/>
  <c r="D10882" i="1"/>
  <c r="C10882" i="1"/>
  <c r="B10882" i="1"/>
  <c r="A10882" i="1"/>
  <c r="S10881" i="1"/>
  <c r="O10881" i="1"/>
  <c r="K10881" i="1"/>
  <c r="J10881" i="1"/>
  <c r="I10881" i="1"/>
  <c r="H10881" i="1"/>
  <c r="G10881" i="1"/>
  <c r="F10881" i="1"/>
  <c r="E10881" i="1"/>
  <c r="D10881" i="1"/>
  <c r="C10881" i="1"/>
  <c r="B10881" i="1"/>
  <c r="A10881" i="1"/>
  <c r="R10880" i="1"/>
  <c r="J10880" i="1"/>
  <c r="I10880" i="1"/>
  <c r="G10880" i="1"/>
  <c r="F10880" i="1"/>
  <c r="E10880" i="1"/>
  <c r="D10880" i="1"/>
  <c r="C10880" i="1"/>
  <c r="B10880" i="1"/>
  <c r="A10880" i="1"/>
  <c r="S10879" i="1"/>
  <c r="O10879" i="1"/>
  <c r="K10879" i="1"/>
  <c r="J10879" i="1"/>
  <c r="I10879" i="1"/>
  <c r="H10879" i="1"/>
  <c r="G10879" i="1"/>
  <c r="F10879" i="1"/>
  <c r="E10879" i="1"/>
  <c r="D10879" i="1"/>
  <c r="C10879" i="1"/>
  <c r="B10879" i="1"/>
  <c r="A10879" i="1"/>
  <c r="R10878" i="1"/>
  <c r="J10878" i="1"/>
  <c r="I10878" i="1"/>
  <c r="G10878" i="1"/>
  <c r="F10878" i="1"/>
  <c r="E10878" i="1"/>
  <c r="D10878" i="1"/>
  <c r="C10878" i="1"/>
  <c r="B10878" i="1"/>
  <c r="A10878" i="1"/>
  <c r="R10877" i="1"/>
  <c r="J10877" i="1"/>
  <c r="I10877" i="1"/>
  <c r="G10877" i="1"/>
  <c r="F10877" i="1"/>
  <c r="E10877" i="1"/>
  <c r="D10877" i="1"/>
  <c r="C10877" i="1"/>
  <c r="B10877" i="1"/>
  <c r="A10877" i="1"/>
  <c r="R10876" i="1"/>
  <c r="J10876" i="1"/>
  <c r="I10876" i="1"/>
  <c r="G10876" i="1"/>
  <c r="F10876" i="1"/>
  <c r="E10876" i="1"/>
  <c r="D10876" i="1"/>
  <c r="C10876" i="1"/>
  <c r="B10876" i="1"/>
  <c r="A10876" i="1"/>
  <c r="R10875" i="1"/>
  <c r="J10875" i="1"/>
  <c r="I10875" i="1"/>
  <c r="G10875" i="1"/>
  <c r="F10875" i="1"/>
  <c r="E10875" i="1"/>
  <c r="D10875" i="1"/>
  <c r="C10875" i="1"/>
  <c r="B10875" i="1"/>
  <c r="A10875" i="1"/>
  <c r="S10874" i="1"/>
  <c r="O10874" i="1"/>
  <c r="K10874" i="1"/>
  <c r="J10874" i="1"/>
  <c r="I10874" i="1"/>
  <c r="H10874" i="1"/>
  <c r="G10874" i="1"/>
  <c r="F10874" i="1"/>
  <c r="E10874" i="1"/>
  <c r="D10874" i="1"/>
  <c r="C10874" i="1"/>
  <c r="B10874" i="1"/>
  <c r="A10874" i="1"/>
  <c r="R10873" i="1"/>
  <c r="J10873" i="1"/>
  <c r="I10873" i="1"/>
  <c r="G10873" i="1"/>
  <c r="F10873" i="1"/>
  <c r="E10873" i="1"/>
  <c r="D10873" i="1"/>
  <c r="C10873" i="1"/>
  <c r="B10873" i="1"/>
  <c r="A10873" i="1"/>
  <c r="R10872" i="1"/>
  <c r="J10872" i="1"/>
  <c r="I10872" i="1"/>
  <c r="G10872" i="1"/>
  <c r="F10872" i="1"/>
  <c r="E10872" i="1"/>
  <c r="D10872" i="1"/>
  <c r="C10872" i="1"/>
  <c r="B10872" i="1"/>
  <c r="A10872" i="1"/>
  <c r="R10871" i="1"/>
  <c r="J10871" i="1"/>
  <c r="I10871" i="1"/>
  <c r="G10871" i="1"/>
  <c r="F10871" i="1"/>
  <c r="E10871" i="1"/>
  <c r="D10871" i="1"/>
  <c r="C10871" i="1"/>
  <c r="B10871" i="1"/>
  <c r="A10871" i="1"/>
  <c r="R10870" i="1"/>
  <c r="J10870" i="1"/>
  <c r="I10870" i="1"/>
  <c r="G10870" i="1"/>
  <c r="F10870" i="1"/>
  <c r="E10870" i="1"/>
  <c r="D10870" i="1"/>
  <c r="C10870" i="1"/>
  <c r="B10870" i="1"/>
  <c r="A10870" i="1"/>
  <c r="S10869" i="1"/>
  <c r="O10869" i="1"/>
  <c r="K10869" i="1"/>
  <c r="J10869" i="1"/>
  <c r="I10869" i="1"/>
  <c r="H10869" i="1"/>
  <c r="G10869" i="1"/>
  <c r="F10869" i="1"/>
  <c r="E10869" i="1"/>
  <c r="D10869" i="1"/>
  <c r="C10869" i="1"/>
  <c r="B10869" i="1"/>
  <c r="A10869" i="1"/>
  <c r="R10868" i="1"/>
  <c r="J10868" i="1"/>
  <c r="I10868" i="1"/>
  <c r="G10868" i="1"/>
  <c r="F10868" i="1"/>
  <c r="E10868" i="1"/>
  <c r="D10868" i="1"/>
  <c r="C10868" i="1"/>
  <c r="B10868" i="1"/>
  <c r="A10868" i="1"/>
  <c r="S10867" i="1"/>
  <c r="O10867" i="1"/>
  <c r="K10867" i="1"/>
  <c r="J10867" i="1"/>
  <c r="I10867" i="1"/>
  <c r="H10867" i="1"/>
  <c r="G10867" i="1"/>
  <c r="F10867" i="1"/>
  <c r="E10867" i="1"/>
  <c r="D10867" i="1"/>
  <c r="C10867" i="1"/>
  <c r="B10867" i="1"/>
  <c r="A10867" i="1"/>
  <c r="R10866" i="1"/>
  <c r="J10866" i="1"/>
  <c r="I10866" i="1"/>
  <c r="G10866" i="1"/>
  <c r="F10866" i="1"/>
  <c r="E10866" i="1"/>
  <c r="D10866" i="1"/>
  <c r="C10866" i="1"/>
  <c r="B10866" i="1"/>
  <c r="A10866" i="1"/>
  <c r="R10865" i="1"/>
  <c r="J10865" i="1"/>
  <c r="I10865" i="1"/>
  <c r="G10865" i="1"/>
  <c r="F10865" i="1"/>
  <c r="E10865" i="1"/>
  <c r="D10865" i="1"/>
  <c r="C10865" i="1"/>
  <c r="B10865" i="1"/>
  <c r="A10865" i="1"/>
  <c r="S10864" i="1"/>
  <c r="O10864" i="1"/>
  <c r="K10864" i="1"/>
  <c r="J10864" i="1"/>
  <c r="I10864" i="1"/>
  <c r="H10864" i="1"/>
  <c r="G10864" i="1"/>
  <c r="F10864" i="1"/>
  <c r="E10864" i="1"/>
  <c r="D10864" i="1"/>
  <c r="C10864" i="1"/>
  <c r="B10864" i="1"/>
  <c r="A10864" i="1"/>
  <c r="R10863" i="1"/>
  <c r="J10863" i="1"/>
  <c r="I10863" i="1"/>
  <c r="G10863" i="1"/>
  <c r="F10863" i="1"/>
  <c r="E10863" i="1"/>
  <c r="D10863" i="1"/>
  <c r="C10863" i="1"/>
  <c r="B10863" i="1"/>
  <c r="A10863" i="1"/>
  <c r="R10862" i="1"/>
  <c r="J10862" i="1"/>
  <c r="I10862" i="1"/>
  <c r="G10862" i="1"/>
  <c r="F10862" i="1"/>
  <c r="E10862" i="1"/>
  <c r="D10862" i="1"/>
  <c r="C10862" i="1"/>
  <c r="B10862" i="1"/>
  <c r="A10862" i="1"/>
  <c r="S10861" i="1"/>
  <c r="O10861" i="1"/>
  <c r="K10861" i="1"/>
  <c r="J10861" i="1"/>
  <c r="I10861" i="1"/>
  <c r="H10861" i="1"/>
  <c r="G10861" i="1"/>
  <c r="F10861" i="1"/>
  <c r="E10861" i="1"/>
  <c r="D10861" i="1"/>
  <c r="C10861" i="1"/>
  <c r="B10861" i="1"/>
  <c r="A10861" i="1"/>
  <c r="R10860" i="1"/>
  <c r="J10860" i="1"/>
  <c r="I10860" i="1"/>
  <c r="G10860" i="1"/>
  <c r="F10860" i="1"/>
  <c r="E10860" i="1"/>
  <c r="D10860" i="1"/>
  <c r="C10860" i="1"/>
  <c r="B10860" i="1"/>
  <c r="A10860" i="1"/>
  <c r="R10859" i="1"/>
  <c r="J10859" i="1"/>
  <c r="I10859" i="1"/>
  <c r="G10859" i="1"/>
  <c r="F10859" i="1"/>
  <c r="E10859" i="1"/>
  <c r="D10859" i="1"/>
  <c r="C10859" i="1"/>
  <c r="B10859" i="1"/>
  <c r="A10859" i="1"/>
  <c r="R10858" i="1"/>
  <c r="J10858" i="1"/>
  <c r="I10858" i="1"/>
  <c r="G10858" i="1"/>
  <c r="F10858" i="1"/>
  <c r="E10858" i="1"/>
  <c r="D10858" i="1"/>
  <c r="C10858" i="1"/>
  <c r="B10858" i="1"/>
  <c r="A10858" i="1"/>
  <c r="S10857" i="1"/>
  <c r="O10857" i="1"/>
  <c r="K10857" i="1"/>
  <c r="J10857" i="1"/>
  <c r="I10857" i="1"/>
  <c r="H10857" i="1"/>
  <c r="G10857" i="1"/>
  <c r="F10857" i="1"/>
  <c r="E10857" i="1"/>
  <c r="D10857" i="1"/>
  <c r="C10857" i="1"/>
  <c r="B10857" i="1"/>
  <c r="A10857" i="1"/>
  <c r="R10856" i="1"/>
  <c r="J10856" i="1"/>
  <c r="I10856" i="1"/>
  <c r="G10856" i="1"/>
  <c r="F10856" i="1"/>
  <c r="E10856" i="1"/>
  <c r="D10856" i="1"/>
  <c r="C10856" i="1"/>
  <c r="B10856" i="1"/>
  <c r="A10856" i="1"/>
  <c r="S10855" i="1"/>
  <c r="O10855" i="1"/>
  <c r="K10855" i="1"/>
  <c r="J10855" i="1"/>
  <c r="I10855" i="1"/>
  <c r="H10855" i="1"/>
  <c r="G10855" i="1"/>
  <c r="F10855" i="1"/>
  <c r="E10855" i="1"/>
  <c r="D10855" i="1"/>
  <c r="C10855" i="1"/>
  <c r="B10855" i="1"/>
  <c r="A10855" i="1"/>
  <c r="R10854" i="1"/>
  <c r="J10854" i="1"/>
  <c r="I10854" i="1"/>
  <c r="G10854" i="1"/>
  <c r="F10854" i="1"/>
  <c r="E10854" i="1"/>
  <c r="D10854" i="1"/>
  <c r="C10854" i="1"/>
  <c r="B10854" i="1"/>
  <c r="A10854" i="1"/>
  <c r="S10853" i="1"/>
  <c r="O10853" i="1"/>
  <c r="K10853" i="1"/>
  <c r="J10853" i="1"/>
  <c r="I10853" i="1"/>
  <c r="H10853" i="1"/>
  <c r="G10853" i="1"/>
  <c r="F10853" i="1"/>
  <c r="E10853" i="1"/>
  <c r="D10853" i="1"/>
  <c r="C10853" i="1"/>
  <c r="B10853" i="1"/>
  <c r="A10853" i="1"/>
  <c r="R10852" i="1"/>
  <c r="J10852" i="1"/>
  <c r="I10852" i="1"/>
  <c r="G10852" i="1"/>
  <c r="F10852" i="1"/>
  <c r="E10852" i="1"/>
  <c r="D10852" i="1"/>
  <c r="C10852" i="1"/>
  <c r="B10852" i="1"/>
  <c r="A10852" i="1"/>
  <c r="S10851" i="1"/>
  <c r="O10851" i="1"/>
  <c r="K10851" i="1"/>
  <c r="J10851" i="1"/>
  <c r="I10851" i="1"/>
  <c r="H10851" i="1"/>
  <c r="G10851" i="1"/>
  <c r="F10851" i="1"/>
  <c r="E10851" i="1"/>
  <c r="D10851" i="1"/>
  <c r="C10851" i="1"/>
  <c r="B10851" i="1"/>
  <c r="A10851" i="1"/>
  <c r="R10850" i="1"/>
  <c r="J10850" i="1"/>
  <c r="I10850" i="1"/>
  <c r="G10850" i="1"/>
  <c r="F10850" i="1"/>
  <c r="E10850" i="1"/>
  <c r="D10850" i="1"/>
  <c r="C10850" i="1"/>
  <c r="B10850" i="1"/>
  <c r="A10850" i="1"/>
  <c r="R10849" i="1"/>
  <c r="J10849" i="1"/>
  <c r="I10849" i="1"/>
  <c r="G10849" i="1"/>
  <c r="F10849" i="1"/>
  <c r="E10849" i="1"/>
  <c r="D10849" i="1"/>
  <c r="C10849" i="1"/>
  <c r="B10849" i="1"/>
  <c r="A10849" i="1"/>
  <c r="S10848" i="1"/>
  <c r="O10848" i="1"/>
  <c r="K10848" i="1"/>
  <c r="J10848" i="1"/>
  <c r="I10848" i="1"/>
  <c r="H10848" i="1"/>
  <c r="G10848" i="1"/>
  <c r="F10848" i="1"/>
  <c r="E10848" i="1"/>
  <c r="D10848" i="1"/>
  <c r="C10848" i="1"/>
  <c r="B10848" i="1"/>
  <c r="A10848" i="1"/>
  <c r="R10847" i="1"/>
  <c r="J10847" i="1"/>
  <c r="I10847" i="1"/>
  <c r="G10847" i="1"/>
  <c r="F10847" i="1"/>
  <c r="E10847" i="1"/>
  <c r="D10847" i="1"/>
  <c r="C10847" i="1"/>
  <c r="B10847" i="1"/>
  <c r="A10847" i="1"/>
  <c r="S10846" i="1"/>
  <c r="O10846" i="1"/>
  <c r="K10846" i="1"/>
  <c r="J10846" i="1"/>
  <c r="I10846" i="1"/>
  <c r="H10846" i="1"/>
  <c r="G10846" i="1"/>
  <c r="F10846" i="1"/>
  <c r="E10846" i="1"/>
  <c r="D10846" i="1"/>
  <c r="C10846" i="1"/>
  <c r="B10846" i="1"/>
  <c r="A10846" i="1"/>
  <c r="R10845" i="1"/>
  <c r="J10845" i="1"/>
  <c r="I10845" i="1"/>
  <c r="G10845" i="1"/>
  <c r="F10845" i="1"/>
  <c r="E10845" i="1"/>
  <c r="D10845" i="1"/>
  <c r="C10845" i="1"/>
  <c r="B10845" i="1"/>
  <c r="A10845" i="1"/>
  <c r="R10844" i="1"/>
  <c r="J10844" i="1"/>
  <c r="I10844" i="1"/>
  <c r="G10844" i="1"/>
  <c r="F10844" i="1"/>
  <c r="E10844" i="1"/>
  <c r="D10844" i="1"/>
  <c r="C10844" i="1"/>
  <c r="B10844" i="1"/>
  <c r="A10844" i="1"/>
  <c r="S10843" i="1"/>
  <c r="O10843" i="1"/>
  <c r="K10843" i="1"/>
  <c r="J10843" i="1"/>
  <c r="I10843" i="1"/>
  <c r="H10843" i="1"/>
  <c r="G10843" i="1"/>
  <c r="F10843" i="1"/>
  <c r="E10843" i="1"/>
  <c r="D10843" i="1"/>
  <c r="C10843" i="1"/>
  <c r="B10843" i="1"/>
  <c r="A10843" i="1"/>
  <c r="R10842" i="1"/>
  <c r="J10842" i="1"/>
  <c r="I10842" i="1"/>
  <c r="G10842" i="1"/>
  <c r="F10842" i="1"/>
  <c r="E10842" i="1"/>
  <c r="D10842" i="1"/>
  <c r="C10842" i="1"/>
  <c r="B10842" i="1"/>
  <c r="A10842" i="1"/>
  <c r="S10841" i="1"/>
  <c r="O10841" i="1"/>
  <c r="K10841" i="1"/>
  <c r="J10841" i="1"/>
  <c r="I10841" i="1"/>
  <c r="H10841" i="1"/>
  <c r="G10841" i="1"/>
  <c r="F10841" i="1"/>
  <c r="E10841" i="1"/>
  <c r="D10841" i="1"/>
  <c r="C10841" i="1"/>
  <c r="B10841" i="1"/>
  <c r="A10841" i="1"/>
  <c r="R10840" i="1"/>
  <c r="J10840" i="1"/>
  <c r="I10840" i="1"/>
  <c r="G10840" i="1"/>
  <c r="F10840" i="1"/>
  <c r="E10840" i="1"/>
  <c r="D10840" i="1"/>
  <c r="C10840" i="1"/>
  <c r="B10840" i="1"/>
  <c r="A10840" i="1"/>
  <c r="S10839" i="1"/>
  <c r="O10839" i="1"/>
  <c r="K10839" i="1"/>
  <c r="J10839" i="1"/>
  <c r="I10839" i="1"/>
  <c r="H10839" i="1"/>
  <c r="G10839" i="1"/>
  <c r="F10839" i="1"/>
  <c r="E10839" i="1"/>
  <c r="D10839" i="1"/>
  <c r="C10839" i="1"/>
  <c r="B10839" i="1"/>
  <c r="A10839" i="1"/>
  <c r="R10838" i="1"/>
  <c r="J10838" i="1"/>
  <c r="I10838" i="1"/>
  <c r="G10838" i="1"/>
  <c r="F10838" i="1"/>
  <c r="E10838" i="1"/>
  <c r="D10838" i="1"/>
  <c r="C10838" i="1"/>
  <c r="B10838" i="1"/>
  <c r="A10838" i="1"/>
  <c r="R10837" i="1"/>
  <c r="J10837" i="1"/>
  <c r="I10837" i="1"/>
  <c r="G10837" i="1"/>
  <c r="F10837" i="1"/>
  <c r="E10837" i="1"/>
  <c r="D10837" i="1"/>
  <c r="C10837" i="1"/>
  <c r="B10837" i="1"/>
  <c r="A10837" i="1"/>
  <c r="S10836" i="1"/>
  <c r="O10836" i="1"/>
  <c r="K10836" i="1"/>
  <c r="J10836" i="1"/>
  <c r="I10836" i="1"/>
  <c r="H10836" i="1"/>
  <c r="G10836" i="1"/>
  <c r="F10836" i="1"/>
  <c r="E10836" i="1"/>
  <c r="D10836" i="1"/>
  <c r="C10836" i="1"/>
  <c r="B10836" i="1"/>
  <c r="A10836" i="1"/>
  <c r="R10835" i="1"/>
  <c r="J10835" i="1"/>
  <c r="I10835" i="1"/>
  <c r="G10835" i="1"/>
  <c r="F10835" i="1"/>
  <c r="E10835" i="1"/>
  <c r="D10835" i="1"/>
  <c r="C10835" i="1"/>
  <c r="B10835" i="1"/>
  <c r="A10835" i="1"/>
  <c r="R10834" i="1"/>
  <c r="J10834" i="1"/>
  <c r="I10834" i="1"/>
  <c r="G10834" i="1"/>
  <c r="F10834" i="1"/>
  <c r="E10834" i="1"/>
  <c r="D10834" i="1"/>
  <c r="C10834" i="1"/>
  <c r="B10834" i="1"/>
  <c r="A10834" i="1"/>
  <c r="S10833" i="1"/>
  <c r="O10833" i="1"/>
  <c r="K10833" i="1"/>
  <c r="J10833" i="1"/>
  <c r="I10833" i="1"/>
  <c r="H10833" i="1"/>
  <c r="G10833" i="1"/>
  <c r="F10833" i="1"/>
  <c r="E10833" i="1"/>
  <c r="D10833" i="1"/>
  <c r="C10833" i="1"/>
  <c r="B10833" i="1"/>
  <c r="A10833" i="1"/>
  <c r="R10832" i="1"/>
  <c r="J10832" i="1"/>
  <c r="I10832" i="1"/>
  <c r="G10832" i="1"/>
  <c r="F10832" i="1"/>
  <c r="E10832" i="1"/>
  <c r="D10832" i="1"/>
  <c r="C10832" i="1"/>
  <c r="B10832" i="1"/>
  <c r="A10832" i="1"/>
  <c r="R10831" i="1"/>
  <c r="J10831" i="1"/>
  <c r="I10831" i="1"/>
  <c r="G10831" i="1"/>
  <c r="F10831" i="1"/>
  <c r="E10831" i="1"/>
  <c r="D10831" i="1"/>
  <c r="C10831" i="1"/>
  <c r="B10831" i="1"/>
  <c r="A10831" i="1"/>
  <c r="S10830" i="1"/>
  <c r="O10830" i="1"/>
  <c r="K10830" i="1"/>
  <c r="J10830" i="1"/>
  <c r="I10830" i="1"/>
  <c r="H10830" i="1"/>
  <c r="G10830" i="1"/>
  <c r="F10830" i="1"/>
  <c r="E10830" i="1"/>
  <c r="D10830" i="1"/>
  <c r="C10830" i="1"/>
  <c r="B10830" i="1"/>
  <c r="A10830" i="1"/>
  <c r="R10829" i="1"/>
  <c r="J10829" i="1"/>
  <c r="I10829" i="1"/>
  <c r="G10829" i="1"/>
  <c r="F10829" i="1"/>
  <c r="E10829" i="1"/>
  <c r="D10829" i="1"/>
  <c r="C10829" i="1"/>
  <c r="B10829" i="1"/>
  <c r="A10829" i="1"/>
  <c r="R10828" i="1"/>
  <c r="J10828" i="1"/>
  <c r="I10828" i="1"/>
  <c r="G10828" i="1"/>
  <c r="F10828" i="1"/>
  <c r="E10828" i="1"/>
  <c r="D10828" i="1"/>
  <c r="C10828" i="1"/>
  <c r="B10828" i="1"/>
  <c r="A10828" i="1"/>
  <c r="S10827" i="1"/>
  <c r="O10827" i="1"/>
  <c r="K10827" i="1"/>
  <c r="J10827" i="1"/>
  <c r="I10827" i="1"/>
  <c r="H10827" i="1"/>
  <c r="G10827" i="1"/>
  <c r="F10827" i="1"/>
  <c r="E10827" i="1"/>
  <c r="D10827" i="1"/>
  <c r="C10827" i="1"/>
  <c r="B10827" i="1"/>
  <c r="A10827" i="1"/>
  <c r="R10826" i="1"/>
  <c r="J10826" i="1"/>
  <c r="I10826" i="1"/>
  <c r="G10826" i="1"/>
  <c r="F10826" i="1"/>
  <c r="E10826" i="1"/>
  <c r="D10826" i="1"/>
  <c r="C10826" i="1"/>
  <c r="B10826" i="1"/>
  <c r="A10826" i="1"/>
  <c r="S10825" i="1"/>
  <c r="O10825" i="1"/>
  <c r="K10825" i="1"/>
  <c r="J10825" i="1"/>
  <c r="I10825" i="1"/>
  <c r="H10825" i="1"/>
  <c r="G10825" i="1"/>
  <c r="F10825" i="1"/>
  <c r="E10825" i="1"/>
  <c r="D10825" i="1"/>
  <c r="C10825" i="1"/>
  <c r="B10825" i="1"/>
  <c r="A10825" i="1"/>
  <c r="R10824" i="1"/>
  <c r="J10824" i="1"/>
  <c r="I10824" i="1"/>
  <c r="G10824" i="1"/>
  <c r="F10824" i="1"/>
  <c r="E10824" i="1"/>
  <c r="D10824" i="1"/>
  <c r="C10824" i="1"/>
  <c r="B10824" i="1"/>
  <c r="A10824" i="1"/>
  <c r="S10823" i="1"/>
  <c r="O10823" i="1"/>
  <c r="K10823" i="1"/>
  <c r="J10823" i="1"/>
  <c r="I10823" i="1"/>
  <c r="H10823" i="1"/>
  <c r="G10823" i="1"/>
  <c r="F10823" i="1"/>
  <c r="E10823" i="1"/>
  <c r="D10823" i="1"/>
  <c r="C10823" i="1"/>
  <c r="B10823" i="1"/>
  <c r="A10823" i="1"/>
  <c r="R10822" i="1"/>
  <c r="J10822" i="1"/>
  <c r="I10822" i="1"/>
  <c r="G10822" i="1"/>
  <c r="F10822" i="1"/>
  <c r="E10822" i="1"/>
  <c r="D10822" i="1"/>
  <c r="C10822" i="1"/>
  <c r="B10822" i="1"/>
  <c r="A10822" i="1"/>
  <c r="S10821" i="1"/>
  <c r="O10821" i="1"/>
  <c r="K10821" i="1"/>
  <c r="J10821" i="1"/>
  <c r="I10821" i="1"/>
  <c r="H10821" i="1"/>
  <c r="G10821" i="1"/>
  <c r="F10821" i="1"/>
  <c r="E10821" i="1"/>
  <c r="D10821" i="1"/>
  <c r="C10821" i="1"/>
  <c r="B10821" i="1"/>
  <c r="A10821" i="1"/>
  <c r="R10820" i="1"/>
  <c r="J10820" i="1"/>
  <c r="I10820" i="1"/>
  <c r="G10820" i="1"/>
  <c r="F10820" i="1"/>
  <c r="E10820" i="1"/>
  <c r="D10820" i="1"/>
  <c r="C10820" i="1"/>
  <c r="B10820" i="1"/>
  <c r="A10820" i="1"/>
  <c r="S10819" i="1"/>
  <c r="O10819" i="1"/>
  <c r="K10819" i="1"/>
  <c r="J10819" i="1"/>
  <c r="I10819" i="1"/>
  <c r="H10819" i="1"/>
  <c r="G10819" i="1"/>
  <c r="F10819" i="1"/>
  <c r="E10819" i="1"/>
  <c r="D10819" i="1"/>
  <c r="C10819" i="1"/>
  <c r="B10819" i="1"/>
  <c r="A10819" i="1"/>
  <c r="R10818" i="1"/>
  <c r="J10818" i="1"/>
  <c r="I10818" i="1"/>
  <c r="G10818" i="1"/>
  <c r="F10818" i="1"/>
  <c r="E10818" i="1"/>
  <c r="D10818" i="1"/>
  <c r="C10818" i="1"/>
  <c r="B10818" i="1"/>
  <c r="A10818" i="1"/>
  <c r="S10817" i="1"/>
  <c r="O10817" i="1"/>
  <c r="K10817" i="1"/>
  <c r="J10817" i="1"/>
  <c r="I10817" i="1"/>
  <c r="H10817" i="1"/>
  <c r="G10817" i="1"/>
  <c r="F10817" i="1"/>
  <c r="E10817" i="1"/>
  <c r="D10817" i="1"/>
  <c r="C10817" i="1"/>
  <c r="B10817" i="1"/>
  <c r="A10817" i="1"/>
  <c r="R10816" i="1"/>
  <c r="J10816" i="1"/>
  <c r="I10816" i="1"/>
  <c r="G10816" i="1"/>
  <c r="F10816" i="1"/>
  <c r="E10816" i="1"/>
  <c r="D10816" i="1"/>
  <c r="C10816" i="1"/>
  <c r="B10816" i="1"/>
  <c r="A10816" i="1"/>
  <c r="S10815" i="1"/>
  <c r="O10815" i="1"/>
  <c r="K10815" i="1"/>
  <c r="J10815" i="1"/>
  <c r="I10815" i="1"/>
  <c r="H10815" i="1"/>
  <c r="G10815" i="1"/>
  <c r="F10815" i="1"/>
  <c r="E10815" i="1"/>
  <c r="D10815" i="1"/>
  <c r="C10815" i="1"/>
  <c r="B10815" i="1"/>
  <c r="A10815" i="1"/>
  <c r="R10814" i="1"/>
  <c r="J10814" i="1"/>
  <c r="I10814" i="1"/>
  <c r="G10814" i="1"/>
  <c r="F10814" i="1"/>
  <c r="E10814" i="1"/>
  <c r="D10814" i="1"/>
  <c r="C10814" i="1"/>
  <c r="B10814" i="1"/>
  <c r="A10814" i="1"/>
  <c r="S10813" i="1"/>
  <c r="O10813" i="1"/>
  <c r="K10813" i="1"/>
  <c r="J10813" i="1"/>
  <c r="I10813" i="1"/>
  <c r="H10813" i="1"/>
  <c r="G10813" i="1"/>
  <c r="F10813" i="1"/>
  <c r="E10813" i="1"/>
  <c r="D10813" i="1"/>
  <c r="C10813" i="1"/>
  <c r="B10813" i="1"/>
  <c r="A10813" i="1"/>
  <c r="R10812" i="1"/>
  <c r="J10812" i="1"/>
  <c r="I10812" i="1"/>
  <c r="G10812" i="1"/>
  <c r="F10812" i="1"/>
  <c r="E10812" i="1"/>
  <c r="D10812" i="1"/>
  <c r="C10812" i="1"/>
  <c r="B10812" i="1"/>
  <c r="A10812" i="1"/>
  <c r="S10811" i="1"/>
  <c r="O10811" i="1"/>
  <c r="K10811" i="1"/>
  <c r="J10811" i="1"/>
  <c r="I10811" i="1"/>
  <c r="H10811" i="1"/>
  <c r="G10811" i="1"/>
  <c r="F10811" i="1"/>
  <c r="E10811" i="1"/>
  <c r="D10811" i="1"/>
  <c r="C10811" i="1"/>
  <c r="B10811" i="1"/>
  <c r="A10811" i="1"/>
  <c r="R10810" i="1"/>
  <c r="J10810" i="1"/>
  <c r="I10810" i="1"/>
  <c r="G10810" i="1"/>
  <c r="F10810" i="1"/>
  <c r="E10810" i="1"/>
  <c r="D10810" i="1"/>
  <c r="C10810" i="1"/>
  <c r="B10810" i="1"/>
  <c r="A10810" i="1"/>
  <c r="S10809" i="1"/>
  <c r="O10809" i="1"/>
  <c r="K10809" i="1"/>
  <c r="J10809" i="1"/>
  <c r="I10809" i="1"/>
  <c r="H10809" i="1"/>
  <c r="G10809" i="1"/>
  <c r="F10809" i="1"/>
  <c r="E10809" i="1"/>
  <c r="D10809" i="1"/>
  <c r="C10809" i="1"/>
  <c r="B10809" i="1"/>
  <c r="A10809" i="1"/>
  <c r="R10808" i="1"/>
  <c r="J10808" i="1"/>
  <c r="I10808" i="1"/>
  <c r="G10808" i="1"/>
  <c r="F10808" i="1"/>
  <c r="E10808" i="1"/>
  <c r="D10808" i="1"/>
  <c r="C10808" i="1"/>
  <c r="B10808" i="1"/>
  <c r="A10808" i="1"/>
  <c r="S10807" i="1"/>
  <c r="O10807" i="1"/>
  <c r="K10807" i="1"/>
  <c r="J10807" i="1"/>
  <c r="I10807" i="1"/>
  <c r="H10807" i="1"/>
  <c r="G10807" i="1"/>
  <c r="F10807" i="1"/>
  <c r="E10807" i="1"/>
  <c r="D10807" i="1"/>
  <c r="C10807" i="1"/>
  <c r="B10807" i="1"/>
  <c r="A10807" i="1"/>
  <c r="R10806" i="1"/>
  <c r="J10806" i="1"/>
  <c r="I10806" i="1"/>
  <c r="G10806" i="1"/>
  <c r="F10806" i="1"/>
  <c r="E10806" i="1"/>
  <c r="D10806" i="1"/>
  <c r="C10806" i="1"/>
  <c r="B10806" i="1"/>
  <c r="A10806" i="1"/>
  <c r="S10805" i="1"/>
  <c r="O10805" i="1"/>
  <c r="K10805" i="1"/>
  <c r="J10805" i="1"/>
  <c r="I10805" i="1"/>
  <c r="H10805" i="1"/>
  <c r="G10805" i="1"/>
  <c r="F10805" i="1"/>
  <c r="E10805" i="1"/>
  <c r="D10805" i="1"/>
  <c r="C10805" i="1"/>
  <c r="B10805" i="1"/>
  <c r="A10805" i="1"/>
  <c r="R10804" i="1"/>
  <c r="J10804" i="1"/>
  <c r="I10804" i="1"/>
  <c r="G10804" i="1"/>
  <c r="F10804" i="1"/>
  <c r="E10804" i="1"/>
  <c r="D10804" i="1"/>
  <c r="C10804" i="1"/>
  <c r="B10804" i="1"/>
  <c r="A10804" i="1"/>
  <c r="S10803" i="1"/>
  <c r="O10803" i="1"/>
  <c r="K10803" i="1"/>
  <c r="J10803" i="1"/>
  <c r="I10803" i="1"/>
  <c r="H10803" i="1"/>
  <c r="G10803" i="1"/>
  <c r="F10803" i="1"/>
  <c r="E10803" i="1"/>
  <c r="D10803" i="1"/>
  <c r="C10803" i="1"/>
  <c r="B10803" i="1"/>
  <c r="A10803" i="1"/>
  <c r="R10802" i="1"/>
  <c r="J10802" i="1"/>
  <c r="I10802" i="1"/>
  <c r="G10802" i="1"/>
  <c r="F10802" i="1"/>
  <c r="E10802" i="1"/>
  <c r="D10802" i="1"/>
  <c r="C10802" i="1"/>
  <c r="B10802" i="1"/>
  <c r="A10802" i="1"/>
  <c r="R10801" i="1"/>
  <c r="J10801" i="1"/>
  <c r="I10801" i="1"/>
  <c r="G10801" i="1"/>
  <c r="F10801" i="1"/>
  <c r="E10801" i="1"/>
  <c r="D10801" i="1"/>
  <c r="C10801" i="1"/>
  <c r="B10801" i="1"/>
  <c r="A10801" i="1"/>
  <c r="S10800" i="1"/>
  <c r="O10800" i="1"/>
  <c r="K10800" i="1"/>
  <c r="J10800" i="1"/>
  <c r="I10800" i="1"/>
  <c r="H10800" i="1"/>
  <c r="G10800" i="1"/>
  <c r="F10800" i="1"/>
  <c r="E10800" i="1"/>
  <c r="D10800" i="1"/>
  <c r="C10800" i="1"/>
  <c r="B10800" i="1"/>
  <c r="A10800" i="1"/>
  <c r="R10799" i="1"/>
  <c r="J10799" i="1"/>
  <c r="I10799" i="1"/>
  <c r="G10799" i="1"/>
  <c r="F10799" i="1"/>
  <c r="E10799" i="1"/>
  <c r="D10799" i="1"/>
  <c r="C10799" i="1"/>
  <c r="B10799" i="1"/>
  <c r="A10799" i="1"/>
  <c r="R10798" i="1"/>
  <c r="J10798" i="1"/>
  <c r="I10798" i="1"/>
  <c r="G10798" i="1"/>
  <c r="F10798" i="1"/>
  <c r="E10798" i="1"/>
  <c r="D10798" i="1"/>
  <c r="C10798" i="1"/>
  <c r="B10798" i="1"/>
  <c r="A10798" i="1"/>
  <c r="S10797" i="1"/>
  <c r="O10797" i="1"/>
  <c r="K10797" i="1"/>
  <c r="J10797" i="1"/>
  <c r="I10797" i="1"/>
  <c r="H10797" i="1"/>
  <c r="G10797" i="1"/>
  <c r="F10797" i="1"/>
  <c r="E10797" i="1"/>
  <c r="D10797" i="1"/>
  <c r="C10797" i="1"/>
  <c r="B10797" i="1"/>
  <c r="A10797" i="1"/>
  <c r="R10796" i="1"/>
  <c r="J10796" i="1"/>
  <c r="I10796" i="1"/>
  <c r="G10796" i="1"/>
  <c r="F10796" i="1"/>
  <c r="E10796" i="1"/>
  <c r="D10796" i="1"/>
  <c r="C10796" i="1"/>
  <c r="B10796" i="1"/>
  <c r="A10796" i="1"/>
  <c r="S10795" i="1"/>
  <c r="O10795" i="1"/>
  <c r="K10795" i="1"/>
  <c r="J10795" i="1"/>
  <c r="I10795" i="1"/>
  <c r="H10795" i="1"/>
  <c r="G10795" i="1"/>
  <c r="F10795" i="1"/>
  <c r="E10795" i="1"/>
  <c r="D10795" i="1"/>
  <c r="C10795" i="1"/>
  <c r="B10795" i="1"/>
  <c r="A10795" i="1"/>
  <c r="R10794" i="1"/>
  <c r="J10794" i="1"/>
  <c r="I10794" i="1"/>
  <c r="G10794" i="1"/>
  <c r="F10794" i="1"/>
  <c r="E10794" i="1"/>
  <c r="D10794" i="1"/>
  <c r="C10794" i="1"/>
  <c r="B10794" i="1"/>
  <c r="A10794" i="1"/>
  <c r="R10793" i="1"/>
  <c r="J10793" i="1"/>
  <c r="I10793" i="1"/>
  <c r="G10793" i="1"/>
  <c r="F10793" i="1"/>
  <c r="E10793" i="1"/>
  <c r="D10793" i="1"/>
  <c r="C10793" i="1"/>
  <c r="B10793" i="1"/>
  <c r="A10793" i="1"/>
  <c r="R10792" i="1"/>
  <c r="J10792" i="1"/>
  <c r="I10792" i="1"/>
  <c r="G10792" i="1"/>
  <c r="F10792" i="1"/>
  <c r="E10792" i="1"/>
  <c r="D10792" i="1"/>
  <c r="C10792" i="1"/>
  <c r="B10792" i="1"/>
  <c r="A10792" i="1"/>
  <c r="R10791" i="1"/>
  <c r="J10791" i="1"/>
  <c r="I10791" i="1"/>
  <c r="G10791" i="1"/>
  <c r="F10791" i="1"/>
  <c r="E10791" i="1"/>
  <c r="D10791" i="1"/>
  <c r="C10791" i="1"/>
  <c r="B10791" i="1"/>
  <c r="A10791" i="1"/>
  <c r="S10790" i="1"/>
  <c r="O10790" i="1"/>
  <c r="K10790" i="1"/>
  <c r="J10790" i="1"/>
  <c r="I10790" i="1"/>
  <c r="H10790" i="1"/>
  <c r="G10790" i="1"/>
  <c r="F10790" i="1"/>
  <c r="E10790" i="1"/>
  <c r="D10790" i="1"/>
  <c r="C10790" i="1"/>
  <c r="B10790" i="1"/>
  <c r="A10790" i="1"/>
  <c r="R10789" i="1"/>
  <c r="J10789" i="1"/>
  <c r="I10789" i="1"/>
  <c r="G10789" i="1"/>
  <c r="F10789" i="1"/>
  <c r="E10789" i="1"/>
  <c r="D10789" i="1"/>
  <c r="C10789" i="1"/>
  <c r="B10789" i="1"/>
  <c r="A10789" i="1"/>
  <c r="S10788" i="1"/>
  <c r="O10788" i="1"/>
  <c r="K10788" i="1"/>
  <c r="J10788" i="1"/>
  <c r="I10788" i="1"/>
  <c r="H10788" i="1"/>
  <c r="G10788" i="1"/>
  <c r="F10788" i="1"/>
  <c r="E10788" i="1"/>
  <c r="D10788" i="1"/>
  <c r="C10788" i="1"/>
  <c r="B10788" i="1"/>
  <c r="A10788" i="1"/>
  <c r="R10787" i="1"/>
  <c r="J10787" i="1"/>
  <c r="I10787" i="1"/>
  <c r="G10787" i="1"/>
  <c r="F10787" i="1"/>
  <c r="E10787" i="1"/>
  <c r="D10787" i="1"/>
  <c r="C10787" i="1"/>
  <c r="B10787" i="1"/>
  <c r="A10787" i="1"/>
  <c r="S10786" i="1"/>
  <c r="O10786" i="1"/>
  <c r="K10786" i="1"/>
  <c r="J10786" i="1"/>
  <c r="I10786" i="1"/>
  <c r="H10786" i="1"/>
  <c r="G10786" i="1"/>
  <c r="F10786" i="1"/>
  <c r="E10786" i="1"/>
  <c r="D10786" i="1"/>
  <c r="C10786" i="1"/>
  <c r="B10786" i="1"/>
  <c r="A10786" i="1"/>
  <c r="R10785" i="1"/>
  <c r="J10785" i="1"/>
  <c r="I10785" i="1"/>
  <c r="G10785" i="1"/>
  <c r="F10785" i="1"/>
  <c r="E10785" i="1"/>
  <c r="D10785" i="1"/>
  <c r="C10785" i="1"/>
  <c r="B10785" i="1"/>
  <c r="A10785" i="1"/>
  <c r="S10784" i="1"/>
  <c r="O10784" i="1"/>
  <c r="K10784" i="1"/>
  <c r="J10784" i="1"/>
  <c r="I10784" i="1"/>
  <c r="H10784" i="1"/>
  <c r="G10784" i="1"/>
  <c r="F10784" i="1"/>
  <c r="E10784" i="1"/>
  <c r="D10784" i="1"/>
  <c r="C10784" i="1"/>
  <c r="B10784" i="1"/>
  <c r="A10784" i="1"/>
  <c r="R10783" i="1"/>
  <c r="J10783" i="1"/>
  <c r="I10783" i="1"/>
  <c r="G10783" i="1"/>
  <c r="F10783" i="1"/>
  <c r="E10783" i="1"/>
  <c r="D10783" i="1"/>
  <c r="C10783" i="1"/>
  <c r="B10783" i="1"/>
  <c r="A10783" i="1"/>
  <c r="S10782" i="1"/>
  <c r="O10782" i="1"/>
  <c r="K10782" i="1"/>
  <c r="J10782" i="1"/>
  <c r="I10782" i="1"/>
  <c r="H10782" i="1"/>
  <c r="G10782" i="1"/>
  <c r="F10782" i="1"/>
  <c r="E10782" i="1"/>
  <c r="D10782" i="1"/>
  <c r="C10782" i="1"/>
  <c r="B10782" i="1"/>
  <c r="A10782" i="1"/>
  <c r="R10781" i="1"/>
  <c r="J10781" i="1"/>
  <c r="I10781" i="1"/>
  <c r="G10781" i="1"/>
  <c r="F10781" i="1"/>
  <c r="E10781" i="1"/>
  <c r="D10781" i="1"/>
  <c r="C10781" i="1"/>
  <c r="B10781" i="1"/>
  <c r="A10781" i="1"/>
  <c r="R10780" i="1"/>
  <c r="J10780" i="1"/>
  <c r="I10780" i="1"/>
  <c r="G10780" i="1"/>
  <c r="F10780" i="1"/>
  <c r="E10780" i="1"/>
  <c r="D10780" i="1"/>
  <c r="C10780" i="1"/>
  <c r="B10780" i="1"/>
  <c r="A10780" i="1"/>
  <c r="R10779" i="1"/>
  <c r="J10779" i="1"/>
  <c r="I10779" i="1"/>
  <c r="G10779" i="1"/>
  <c r="F10779" i="1"/>
  <c r="E10779" i="1"/>
  <c r="D10779" i="1"/>
  <c r="C10779" i="1"/>
  <c r="B10779" i="1"/>
  <c r="A10779" i="1"/>
  <c r="S10778" i="1"/>
  <c r="O10778" i="1"/>
  <c r="K10778" i="1"/>
  <c r="J10778" i="1"/>
  <c r="I10778" i="1"/>
  <c r="H10778" i="1"/>
  <c r="G10778" i="1"/>
  <c r="F10778" i="1"/>
  <c r="E10778" i="1"/>
  <c r="D10778" i="1"/>
  <c r="C10778" i="1"/>
  <c r="B10778" i="1"/>
  <c r="A10778" i="1"/>
  <c r="R10777" i="1"/>
  <c r="J10777" i="1"/>
  <c r="I10777" i="1"/>
  <c r="G10777" i="1"/>
  <c r="F10777" i="1"/>
  <c r="E10777" i="1"/>
  <c r="D10777" i="1"/>
  <c r="C10777" i="1"/>
  <c r="B10777" i="1"/>
  <c r="A10777" i="1"/>
  <c r="S10776" i="1"/>
  <c r="O10776" i="1"/>
  <c r="K10776" i="1"/>
  <c r="J10776" i="1"/>
  <c r="I10776" i="1"/>
  <c r="H10776" i="1"/>
  <c r="G10776" i="1"/>
  <c r="F10776" i="1"/>
  <c r="E10776" i="1"/>
  <c r="D10776" i="1"/>
  <c r="C10776" i="1"/>
  <c r="B10776" i="1"/>
  <c r="A10776" i="1"/>
  <c r="R10775" i="1"/>
  <c r="J10775" i="1"/>
  <c r="I10775" i="1"/>
  <c r="G10775" i="1"/>
  <c r="F10775" i="1"/>
  <c r="E10775" i="1"/>
  <c r="D10775" i="1"/>
  <c r="C10775" i="1"/>
  <c r="B10775" i="1"/>
  <c r="A10775" i="1"/>
  <c r="S10774" i="1"/>
  <c r="O10774" i="1"/>
  <c r="K10774" i="1"/>
  <c r="J10774" i="1"/>
  <c r="I10774" i="1"/>
  <c r="H10774" i="1"/>
  <c r="G10774" i="1"/>
  <c r="F10774" i="1"/>
  <c r="E10774" i="1"/>
  <c r="D10774" i="1"/>
  <c r="C10774" i="1"/>
  <c r="B10774" i="1"/>
  <c r="A10774" i="1"/>
  <c r="R10773" i="1"/>
  <c r="J10773" i="1"/>
  <c r="I10773" i="1"/>
  <c r="G10773" i="1"/>
  <c r="F10773" i="1"/>
  <c r="E10773" i="1"/>
  <c r="D10773" i="1"/>
  <c r="C10773" i="1"/>
  <c r="B10773" i="1"/>
  <c r="A10773" i="1"/>
  <c r="R10772" i="1"/>
  <c r="J10772" i="1"/>
  <c r="I10772" i="1"/>
  <c r="G10772" i="1"/>
  <c r="F10772" i="1"/>
  <c r="E10772" i="1"/>
  <c r="D10772" i="1"/>
  <c r="C10772" i="1"/>
  <c r="B10772" i="1"/>
  <c r="A10772" i="1"/>
  <c r="R10771" i="1"/>
  <c r="J10771" i="1"/>
  <c r="I10771" i="1"/>
  <c r="G10771" i="1"/>
  <c r="F10771" i="1"/>
  <c r="E10771" i="1"/>
  <c r="D10771" i="1"/>
  <c r="C10771" i="1"/>
  <c r="B10771" i="1"/>
  <c r="A10771" i="1"/>
  <c r="S10770" i="1"/>
  <c r="O10770" i="1"/>
  <c r="K10770" i="1"/>
  <c r="J10770" i="1"/>
  <c r="I10770" i="1"/>
  <c r="H10770" i="1"/>
  <c r="G10770" i="1"/>
  <c r="F10770" i="1"/>
  <c r="E10770" i="1"/>
  <c r="D10770" i="1"/>
  <c r="C10770" i="1"/>
  <c r="B10770" i="1"/>
  <c r="A10770" i="1"/>
  <c r="R10769" i="1"/>
  <c r="J10769" i="1"/>
  <c r="I10769" i="1"/>
  <c r="G10769" i="1"/>
  <c r="F10769" i="1"/>
  <c r="E10769" i="1"/>
  <c r="D10769" i="1"/>
  <c r="C10769" i="1"/>
  <c r="B10769" i="1"/>
  <c r="A10769" i="1"/>
  <c r="S10768" i="1"/>
  <c r="O10768" i="1"/>
  <c r="K10768" i="1"/>
  <c r="J10768" i="1"/>
  <c r="I10768" i="1"/>
  <c r="H10768" i="1"/>
  <c r="G10768" i="1"/>
  <c r="F10768" i="1"/>
  <c r="E10768" i="1"/>
  <c r="D10768" i="1"/>
  <c r="C10768" i="1"/>
  <c r="B10768" i="1"/>
  <c r="A10768" i="1"/>
  <c r="R10767" i="1"/>
  <c r="J10767" i="1"/>
  <c r="I10767" i="1"/>
  <c r="G10767" i="1"/>
  <c r="F10767" i="1"/>
  <c r="E10767" i="1"/>
  <c r="D10767" i="1"/>
  <c r="C10767" i="1"/>
  <c r="B10767" i="1"/>
  <c r="A10767" i="1"/>
  <c r="S10766" i="1"/>
  <c r="O10766" i="1"/>
  <c r="K10766" i="1"/>
  <c r="J10766" i="1"/>
  <c r="I10766" i="1"/>
  <c r="H10766" i="1"/>
  <c r="G10766" i="1"/>
  <c r="F10766" i="1"/>
  <c r="E10766" i="1"/>
  <c r="D10766" i="1"/>
  <c r="C10766" i="1"/>
  <c r="B10766" i="1"/>
  <c r="A10766" i="1"/>
  <c r="R10765" i="1"/>
  <c r="J10765" i="1"/>
  <c r="I10765" i="1"/>
  <c r="G10765" i="1"/>
  <c r="F10765" i="1"/>
  <c r="E10765" i="1"/>
  <c r="D10765" i="1"/>
  <c r="C10765" i="1"/>
  <c r="B10765" i="1"/>
  <c r="A10765" i="1"/>
  <c r="S10764" i="1"/>
  <c r="O10764" i="1"/>
  <c r="K10764" i="1"/>
  <c r="J10764" i="1"/>
  <c r="I10764" i="1"/>
  <c r="H10764" i="1"/>
  <c r="G10764" i="1"/>
  <c r="F10764" i="1"/>
  <c r="E10764" i="1"/>
  <c r="D10764" i="1"/>
  <c r="C10764" i="1"/>
  <c r="B10764" i="1"/>
  <c r="A10764" i="1"/>
  <c r="R10763" i="1"/>
  <c r="J10763" i="1"/>
  <c r="I10763" i="1"/>
  <c r="G10763" i="1"/>
  <c r="F10763" i="1"/>
  <c r="E10763" i="1"/>
  <c r="D10763" i="1"/>
  <c r="C10763" i="1"/>
  <c r="B10763" i="1"/>
  <c r="A10763" i="1"/>
  <c r="S10762" i="1"/>
  <c r="O10762" i="1"/>
  <c r="K10762" i="1"/>
  <c r="J10762" i="1"/>
  <c r="I10762" i="1"/>
  <c r="H10762" i="1"/>
  <c r="G10762" i="1"/>
  <c r="F10762" i="1"/>
  <c r="E10762" i="1"/>
  <c r="D10762" i="1"/>
  <c r="C10762" i="1"/>
  <c r="B10762" i="1"/>
  <c r="A10762" i="1"/>
  <c r="R10761" i="1"/>
  <c r="J10761" i="1"/>
  <c r="I10761" i="1"/>
  <c r="G10761" i="1"/>
  <c r="F10761" i="1"/>
  <c r="E10761" i="1"/>
  <c r="D10761" i="1"/>
  <c r="C10761" i="1"/>
  <c r="B10761" i="1"/>
  <c r="A10761" i="1"/>
  <c r="S10760" i="1"/>
  <c r="O10760" i="1"/>
  <c r="K10760" i="1"/>
  <c r="J10760" i="1"/>
  <c r="I10760" i="1"/>
  <c r="H10760" i="1"/>
  <c r="G10760" i="1"/>
  <c r="F10760" i="1"/>
  <c r="E10760" i="1"/>
  <c r="D10760" i="1"/>
  <c r="C10760" i="1"/>
  <c r="B10760" i="1"/>
  <c r="A10760" i="1"/>
  <c r="R10759" i="1"/>
  <c r="J10759" i="1"/>
  <c r="I10759" i="1"/>
  <c r="G10759" i="1"/>
  <c r="F10759" i="1"/>
  <c r="E10759" i="1"/>
  <c r="D10759" i="1"/>
  <c r="C10759" i="1"/>
  <c r="B10759" i="1"/>
  <c r="A10759" i="1"/>
  <c r="S10758" i="1"/>
  <c r="O10758" i="1"/>
  <c r="K10758" i="1"/>
  <c r="J10758" i="1"/>
  <c r="I10758" i="1"/>
  <c r="H10758" i="1"/>
  <c r="G10758" i="1"/>
  <c r="F10758" i="1"/>
  <c r="E10758" i="1"/>
  <c r="D10758" i="1"/>
  <c r="C10758" i="1"/>
  <c r="B10758" i="1"/>
  <c r="A10758" i="1"/>
  <c r="R10757" i="1"/>
  <c r="J10757" i="1"/>
  <c r="I10757" i="1"/>
  <c r="G10757" i="1"/>
  <c r="F10757" i="1"/>
  <c r="E10757" i="1"/>
  <c r="D10757" i="1"/>
  <c r="C10757" i="1"/>
  <c r="B10757" i="1"/>
  <c r="A10757" i="1"/>
  <c r="R10756" i="1"/>
  <c r="J10756" i="1"/>
  <c r="I10756" i="1"/>
  <c r="G10756" i="1"/>
  <c r="F10756" i="1"/>
  <c r="E10756" i="1"/>
  <c r="D10756" i="1"/>
  <c r="C10756" i="1"/>
  <c r="B10756" i="1"/>
  <c r="A10756" i="1"/>
  <c r="R10755" i="1"/>
  <c r="J10755" i="1"/>
  <c r="I10755" i="1"/>
  <c r="G10755" i="1"/>
  <c r="F10755" i="1"/>
  <c r="E10755" i="1"/>
  <c r="D10755" i="1"/>
  <c r="C10755" i="1"/>
  <c r="B10755" i="1"/>
  <c r="A10755" i="1"/>
  <c r="S10754" i="1"/>
  <c r="O10754" i="1"/>
  <c r="K10754" i="1"/>
  <c r="J10754" i="1"/>
  <c r="I10754" i="1"/>
  <c r="H10754" i="1"/>
  <c r="G10754" i="1"/>
  <c r="F10754" i="1"/>
  <c r="E10754" i="1"/>
  <c r="D10754" i="1"/>
  <c r="C10754" i="1"/>
  <c r="B10754" i="1"/>
  <c r="A10754" i="1"/>
  <c r="R10753" i="1"/>
  <c r="J10753" i="1"/>
  <c r="I10753" i="1"/>
  <c r="G10753" i="1"/>
  <c r="F10753" i="1"/>
  <c r="E10753" i="1"/>
  <c r="D10753" i="1"/>
  <c r="C10753" i="1"/>
  <c r="B10753" i="1"/>
  <c r="A10753" i="1"/>
  <c r="S10752" i="1"/>
  <c r="O10752" i="1"/>
  <c r="K10752" i="1"/>
  <c r="J10752" i="1"/>
  <c r="I10752" i="1"/>
  <c r="H10752" i="1"/>
  <c r="G10752" i="1"/>
  <c r="F10752" i="1"/>
  <c r="E10752" i="1"/>
  <c r="D10752" i="1"/>
  <c r="C10752" i="1"/>
  <c r="B10752" i="1"/>
  <c r="A10752" i="1"/>
  <c r="R10751" i="1"/>
  <c r="J10751" i="1"/>
  <c r="I10751" i="1"/>
  <c r="G10751" i="1"/>
  <c r="F10751" i="1"/>
  <c r="E10751" i="1"/>
  <c r="D10751" i="1"/>
  <c r="C10751" i="1"/>
  <c r="B10751" i="1"/>
  <c r="A10751" i="1"/>
  <c r="S10750" i="1"/>
  <c r="O10750" i="1"/>
  <c r="K10750" i="1"/>
  <c r="J10750" i="1"/>
  <c r="I10750" i="1"/>
  <c r="H10750" i="1"/>
  <c r="G10750" i="1"/>
  <c r="F10750" i="1"/>
  <c r="E10750" i="1"/>
  <c r="D10750" i="1"/>
  <c r="C10750" i="1"/>
  <c r="B10750" i="1"/>
  <c r="A10750" i="1"/>
  <c r="R10749" i="1"/>
  <c r="J10749" i="1"/>
  <c r="I10749" i="1"/>
  <c r="G10749" i="1"/>
  <c r="F10749" i="1"/>
  <c r="E10749" i="1"/>
  <c r="D10749" i="1"/>
  <c r="C10749" i="1"/>
  <c r="B10749" i="1"/>
  <c r="A10749" i="1"/>
  <c r="S10748" i="1"/>
  <c r="O10748" i="1"/>
  <c r="K10748" i="1"/>
  <c r="J10748" i="1"/>
  <c r="I10748" i="1"/>
  <c r="H10748" i="1"/>
  <c r="G10748" i="1"/>
  <c r="F10748" i="1"/>
  <c r="E10748" i="1"/>
  <c r="D10748" i="1"/>
  <c r="C10748" i="1"/>
  <c r="B10748" i="1"/>
  <c r="A10748" i="1"/>
  <c r="R10747" i="1"/>
  <c r="J10747" i="1"/>
  <c r="I10747" i="1"/>
  <c r="G10747" i="1"/>
  <c r="F10747" i="1"/>
  <c r="E10747" i="1"/>
  <c r="D10747" i="1"/>
  <c r="C10747" i="1"/>
  <c r="B10747" i="1"/>
  <c r="A10747" i="1"/>
  <c r="S10746" i="1"/>
  <c r="O10746" i="1"/>
  <c r="K10746" i="1"/>
  <c r="J10746" i="1"/>
  <c r="I10746" i="1"/>
  <c r="H10746" i="1"/>
  <c r="G10746" i="1"/>
  <c r="F10746" i="1"/>
  <c r="E10746" i="1"/>
  <c r="D10746" i="1"/>
  <c r="C10746" i="1"/>
  <c r="B10746" i="1"/>
  <c r="A10746" i="1"/>
  <c r="R10745" i="1"/>
  <c r="J10745" i="1"/>
  <c r="I10745" i="1"/>
  <c r="G10745" i="1"/>
  <c r="F10745" i="1"/>
  <c r="E10745" i="1"/>
  <c r="D10745" i="1"/>
  <c r="C10745" i="1"/>
  <c r="B10745" i="1"/>
  <c r="A10745" i="1"/>
  <c r="S10744" i="1"/>
  <c r="O10744" i="1"/>
  <c r="K10744" i="1"/>
  <c r="J10744" i="1"/>
  <c r="I10744" i="1"/>
  <c r="H10744" i="1"/>
  <c r="G10744" i="1"/>
  <c r="F10744" i="1"/>
  <c r="E10744" i="1"/>
  <c r="D10744" i="1"/>
  <c r="C10744" i="1"/>
  <c r="B10744" i="1"/>
  <c r="A10744" i="1"/>
  <c r="R10743" i="1"/>
  <c r="J10743" i="1"/>
  <c r="I10743" i="1"/>
  <c r="G10743" i="1"/>
  <c r="F10743" i="1"/>
  <c r="E10743" i="1"/>
  <c r="D10743" i="1"/>
  <c r="C10743" i="1"/>
  <c r="B10743" i="1"/>
  <c r="A10743" i="1"/>
  <c r="S10742" i="1"/>
  <c r="O10742" i="1"/>
  <c r="K10742" i="1"/>
  <c r="J10742" i="1"/>
  <c r="I10742" i="1"/>
  <c r="H10742" i="1"/>
  <c r="G10742" i="1"/>
  <c r="F10742" i="1"/>
  <c r="E10742" i="1"/>
  <c r="D10742" i="1"/>
  <c r="C10742" i="1"/>
  <c r="B10742" i="1"/>
  <c r="A10742" i="1"/>
  <c r="R10741" i="1"/>
  <c r="J10741" i="1"/>
  <c r="I10741" i="1"/>
  <c r="G10741" i="1"/>
  <c r="F10741" i="1"/>
  <c r="E10741" i="1"/>
  <c r="D10741" i="1"/>
  <c r="C10741" i="1"/>
  <c r="B10741" i="1"/>
  <c r="A10741" i="1"/>
  <c r="S10740" i="1"/>
  <c r="O10740" i="1"/>
  <c r="K10740" i="1"/>
  <c r="J10740" i="1"/>
  <c r="I10740" i="1"/>
  <c r="H10740" i="1"/>
  <c r="G10740" i="1"/>
  <c r="F10740" i="1"/>
  <c r="E10740" i="1"/>
  <c r="D10740" i="1"/>
  <c r="C10740" i="1"/>
  <c r="B10740" i="1"/>
  <c r="A10740" i="1"/>
  <c r="R10739" i="1"/>
  <c r="J10739" i="1"/>
  <c r="I10739" i="1"/>
  <c r="G10739" i="1"/>
  <c r="F10739" i="1"/>
  <c r="E10739" i="1"/>
  <c r="D10739" i="1"/>
  <c r="C10739" i="1"/>
  <c r="B10739" i="1"/>
  <c r="A10739" i="1"/>
  <c r="S10738" i="1"/>
  <c r="O10738" i="1"/>
  <c r="K10738" i="1"/>
  <c r="J10738" i="1"/>
  <c r="I10738" i="1"/>
  <c r="H10738" i="1"/>
  <c r="G10738" i="1"/>
  <c r="F10738" i="1"/>
  <c r="E10738" i="1"/>
  <c r="D10738" i="1"/>
  <c r="C10738" i="1"/>
  <c r="B10738" i="1"/>
  <c r="A10738" i="1"/>
  <c r="R10737" i="1"/>
  <c r="J10737" i="1"/>
  <c r="I10737" i="1"/>
  <c r="G10737" i="1"/>
  <c r="F10737" i="1"/>
  <c r="E10737" i="1"/>
  <c r="D10737" i="1"/>
  <c r="C10737" i="1"/>
  <c r="B10737" i="1"/>
  <c r="A10737" i="1"/>
  <c r="S10736" i="1"/>
  <c r="O10736" i="1"/>
  <c r="K10736" i="1"/>
  <c r="J10736" i="1"/>
  <c r="I10736" i="1"/>
  <c r="H10736" i="1"/>
  <c r="G10736" i="1"/>
  <c r="F10736" i="1"/>
  <c r="E10736" i="1"/>
  <c r="D10736" i="1"/>
  <c r="C10736" i="1"/>
  <c r="B10736" i="1"/>
  <c r="A10736" i="1"/>
  <c r="R10735" i="1"/>
  <c r="J10735" i="1"/>
  <c r="I10735" i="1"/>
  <c r="G10735" i="1"/>
  <c r="F10735" i="1"/>
  <c r="E10735" i="1"/>
  <c r="D10735" i="1"/>
  <c r="C10735" i="1"/>
  <c r="B10735" i="1"/>
  <c r="A10735" i="1"/>
  <c r="S10734" i="1"/>
  <c r="O10734" i="1"/>
  <c r="K10734" i="1"/>
  <c r="J10734" i="1"/>
  <c r="I10734" i="1"/>
  <c r="H10734" i="1"/>
  <c r="G10734" i="1"/>
  <c r="F10734" i="1"/>
  <c r="E10734" i="1"/>
  <c r="D10734" i="1"/>
  <c r="C10734" i="1"/>
  <c r="B10734" i="1"/>
  <c r="A10734" i="1"/>
  <c r="R10733" i="1"/>
  <c r="J10733" i="1"/>
  <c r="I10733" i="1"/>
  <c r="G10733" i="1"/>
  <c r="F10733" i="1"/>
  <c r="E10733" i="1"/>
  <c r="D10733" i="1"/>
  <c r="C10733" i="1"/>
  <c r="B10733" i="1"/>
  <c r="A10733" i="1"/>
  <c r="R10732" i="1"/>
  <c r="J10732" i="1"/>
  <c r="I10732" i="1"/>
  <c r="G10732" i="1"/>
  <c r="F10732" i="1"/>
  <c r="E10732" i="1"/>
  <c r="D10732" i="1"/>
  <c r="C10732" i="1"/>
  <c r="B10732" i="1"/>
  <c r="A10732" i="1"/>
  <c r="S10731" i="1"/>
  <c r="O10731" i="1"/>
  <c r="K10731" i="1"/>
  <c r="J10731" i="1"/>
  <c r="I10731" i="1"/>
  <c r="H10731" i="1"/>
  <c r="G10731" i="1"/>
  <c r="F10731" i="1"/>
  <c r="E10731" i="1"/>
  <c r="D10731" i="1"/>
  <c r="C10731" i="1"/>
  <c r="B10731" i="1"/>
  <c r="A10731" i="1"/>
  <c r="R10730" i="1"/>
  <c r="J10730" i="1"/>
  <c r="I10730" i="1"/>
  <c r="G10730" i="1"/>
  <c r="F10730" i="1"/>
  <c r="E10730" i="1"/>
  <c r="D10730" i="1"/>
  <c r="C10730" i="1"/>
  <c r="B10730" i="1"/>
  <c r="A10730" i="1"/>
  <c r="R10729" i="1"/>
  <c r="J10729" i="1"/>
  <c r="I10729" i="1"/>
  <c r="G10729" i="1"/>
  <c r="F10729" i="1"/>
  <c r="E10729" i="1"/>
  <c r="D10729" i="1"/>
  <c r="C10729" i="1"/>
  <c r="B10729" i="1"/>
  <c r="A10729" i="1"/>
  <c r="S10728" i="1"/>
  <c r="O10728" i="1"/>
  <c r="K10728" i="1"/>
  <c r="J10728" i="1"/>
  <c r="I10728" i="1"/>
  <c r="H10728" i="1"/>
  <c r="G10728" i="1"/>
  <c r="F10728" i="1"/>
  <c r="E10728" i="1"/>
  <c r="D10728" i="1"/>
  <c r="C10728" i="1"/>
  <c r="B10728" i="1"/>
  <c r="A10728" i="1"/>
  <c r="R10727" i="1"/>
  <c r="J10727" i="1"/>
  <c r="I10727" i="1"/>
  <c r="G10727" i="1"/>
  <c r="F10727" i="1"/>
  <c r="E10727" i="1"/>
  <c r="D10727" i="1"/>
  <c r="C10727" i="1"/>
  <c r="B10727" i="1"/>
  <c r="A10727" i="1"/>
  <c r="S10726" i="1"/>
  <c r="O10726" i="1"/>
  <c r="K10726" i="1"/>
  <c r="J10726" i="1"/>
  <c r="I10726" i="1"/>
  <c r="H10726" i="1"/>
  <c r="G10726" i="1"/>
  <c r="F10726" i="1"/>
  <c r="E10726" i="1"/>
  <c r="D10726" i="1"/>
  <c r="C10726" i="1"/>
  <c r="B10726" i="1"/>
  <c r="A10726" i="1"/>
  <c r="R10725" i="1"/>
  <c r="J10725" i="1"/>
  <c r="I10725" i="1"/>
  <c r="G10725" i="1"/>
  <c r="F10725" i="1"/>
  <c r="E10725" i="1"/>
  <c r="D10725" i="1"/>
  <c r="C10725" i="1"/>
  <c r="B10725" i="1"/>
  <c r="A10725" i="1"/>
  <c r="S10724" i="1"/>
  <c r="O10724" i="1"/>
  <c r="K10724" i="1"/>
  <c r="J10724" i="1"/>
  <c r="I10724" i="1"/>
  <c r="H10724" i="1"/>
  <c r="G10724" i="1"/>
  <c r="F10724" i="1"/>
  <c r="E10724" i="1"/>
  <c r="D10724" i="1"/>
  <c r="C10724" i="1"/>
  <c r="B10724" i="1"/>
  <c r="A10724" i="1"/>
  <c r="R10723" i="1"/>
  <c r="J10723" i="1"/>
  <c r="I10723" i="1"/>
  <c r="G10723" i="1"/>
  <c r="F10723" i="1"/>
  <c r="E10723" i="1"/>
  <c r="D10723" i="1"/>
  <c r="C10723" i="1"/>
  <c r="B10723" i="1"/>
  <c r="A10723" i="1"/>
  <c r="R10722" i="1"/>
  <c r="J10722" i="1"/>
  <c r="I10722" i="1"/>
  <c r="G10722" i="1"/>
  <c r="F10722" i="1"/>
  <c r="E10722" i="1"/>
  <c r="D10722" i="1"/>
  <c r="C10722" i="1"/>
  <c r="B10722" i="1"/>
  <c r="A10722" i="1"/>
  <c r="S10721" i="1"/>
  <c r="O10721" i="1"/>
  <c r="K10721" i="1"/>
  <c r="J10721" i="1"/>
  <c r="I10721" i="1"/>
  <c r="H10721" i="1"/>
  <c r="G10721" i="1"/>
  <c r="F10721" i="1"/>
  <c r="E10721" i="1"/>
  <c r="D10721" i="1"/>
  <c r="C10721" i="1"/>
  <c r="B10721" i="1"/>
  <c r="A10721" i="1"/>
  <c r="R10720" i="1"/>
  <c r="J10720" i="1"/>
  <c r="I10720" i="1"/>
  <c r="G10720" i="1"/>
  <c r="F10720" i="1"/>
  <c r="E10720" i="1"/>
  <c r="D10720" i="1"/>
  <c r="C10720" i="1"/>
  <c r="B10720" i="1"/>
  <c r="A10720" i="1"/>
  <c r="S10719" i="1"/>
  <c r="O10719" i="1"/>
  <c r="K10719" i="1"/>
  <c r="J10719" i="1"/>
  <c r="I10719" i="1"/>
  <c r="H10719" i="1"/>
  <c r="G10719" i="1"/>
  <c r="F10719" i="1"/>
  <c r="E10719" i="1"/>
  <c r="D10719" i="1"/>
  <c r="C10719" i="1"/>
  <c r="B10719" i="1"/>
  <c r="A10719" i="1"/>
  <c r="R10718" i="1"/>
  <c r="J10718" i="1"/>
  <c r="I10718" i="1"/>
  <c r="G10718" i="1"/>
  <c r="F10718" i="1"/>
  <c r="E10718" i="1"/>
  <c r="D10718" i="1"/>
  <c r="C10718" i="1"/>
  <c r="B10718" i="1"/>
  <c r="A10718" i="1"/>
  <c r="S10717" i="1"/>
  <c r="O10717" i="1"/>
  <c r="K10717" i="1"/>
  <c r="J10717" i="1"/>
  <c r="I10717" i="1"/>
  <c r="H10717" i="1"/>
  <c r="G10717" i="1"/>
  <c r="F10717" i="1"/>
  <c r="E10717" i="1"/>
  <c r="D10717" i="1"/>
  <c r="C10717" i="1"/>
  <c r="B10717" i="1"/>
  <c r="A10717" i="1"/>
  <c r="R10716" i="1"/>
  <c r="J10716" i="1"/>
  <c r="I10716" i="1"/>
  <c r="G10716" i="1"/>
  <c r="F10716" i="1"/>
  <c r="E10716" i="1"/>
  <c r="D10716" i="1"/>
  <c r="C10716" i="1"/>
  <c r="B10716" i="1"/>
  <c r="A10716" i="1"/>
  <c r="R10715" i="1"/>
  <c r="J10715" i="1"/>
  <c r="I10715" i="1"/>
  <c r="G10715" i="1"/>
  <c r="F10715" i="1"/>
  <c r="E10715" i="1"/>
  <c r="D10715" i="1"/>
  <c r="C10715" i="1"/>
  <c r="B10715" i="1"/>
  <c r="A10715" i="1"/>
  <c r="S10714" i="1"/>
  <c r="O10714" i="1"/>
  <c r="K10714" i="1"/>
  <c r="J10714" i="1"/>
  <c r="I10714" i="1"/>
  <c r="H10714" i="1"/>
  <c r="G10714" i="1"/>
  <c r="F10714" i="1"/>
  <c r="E10714" i="1"/>
  <c r="D10714" i="1"/>
  <c r="C10714" i="1"/>
  <c r="B10714" i="1"/>
  <c r="A10714" i="1"/>
  <c r="R10713" i="1"/>
  <c r="J10713" i="1"/>
  <c r="I10713" i="1"/>
  <c r="G10713" i="1"/>
  <c r="F10713" i="1"/>
  <c r="E10713" i="1"/>
  <c r="D10713" i="1"/>
  <c r="C10713" i="1"/>
  <c r="B10713" i="1"/>
  <c r="A10713" i="1"/>
  <c r="S10712" i="1"/>
  <c r="O10712" i="1"/>
  <c r="K10712" i="1"/>
  <c r="J10712" i="1"/>
  <c r="I10712" i="1"/>
  <c r="H10712" i="1"/>
  <c r="G10712" i="1"/>
  <c r="F10712" i="1"/>
  <c r="E10712" i="1"/>
  <c r="D10712" i="1"/>
  <c r="C10712" i="1"/>
  <c r="B10712" i="1"/>
  <c r="A10712" i="1"/>
  <c r="R10711" i="1"/>
  <c r="J10711" i="1"/>
  <c r="I10711" i="1"/>
  <c r="G10711" i="1"/>
  <c r="F10711" i="1"/>
  <c r="E10711" i="1"/>
  <c r="D10711" i="1"/>
  <c r="C10711" i="1"/>
  <c r="B10711" i="1"/>
  <c r="A10711" i="1"/>
  <c r="S10710" i="1"/>
  <c r="O10710" i="1"/>
  <c r="K10710" i="1"/>
  <c r="J10710" i="1"/>
  <c r="I10710" i="1"/>
  <c r="H10710" i="1"/>
  <c r="G10710" i="1"/>
  <c r="F10710" i="1"/>
  <c r="E10710" i="1"/>
  <c r="D10710" i="1"/>
  <c r="C10710" i="1"/>
  <c r="B10710" i="1"/>
  <c r="A10710" i="1"/>
  <c r="R10709" i="1"/>
  <c r="J10709" i="1"/>
  <c r="I10709" i="1"/>
  <c r="G10709" i="1"/>
  <c r="F10709" i="1"/>
  <c r="E10709" i="1"/>
  <c r="D10709" i="1"/>
  <c r="C10709" i="1"/>
  <c r="B10709" i="1"/>
  <c r="A10709" i="1"/>
  <c r="S10708" i="1"/>
  <c r="O10708" i="1"/>
  <c r="K10708" i="1"/>
  <c r="J10708" i="1"/>
  <c r="I10708" i="1"/>
  <c r="H10708" i="1"/>
  <c r="G10708" i="1"/>
  <c r="F10708" i="1"/>
  <c r="E10708" i="1"/>
  <c r="D10708" i="1"/>
  <c r="C10708" i="1"/>
  <c r="B10708" i="1"/>
  <c r="A10708" i="1"/>
  <c r="R10707" i="1"/>
  <c r="J10707" i="1"/>
  <c r="I10707" i="1"/>
  <c r="G10707" i="1"/>
  <c r="F10707" i="1"/>
  <c r="E10707" i="1"/>
  <c r="D10707" i="1"/>
  <c r="C10707" i="1"/>
  <c r="B10707" i="1"/>
  <c r="A10707" i="1"/>
  <c r="S10706" i="1"/>
  <c r="O10706" i="1"/>
  <c r="K10706" i="1"/>
  <c r="J10706" i="1"/>
  <c r="I10706" i="1"/>
  <c r="H10706" i="1"/>
  <c r="G10706" i="1"/>
  <c r="F10706" i="1"/>
  <c r="E10706" i="1"/>
  <c r="D10706" i="1"/>
  <c r="C10706" i="1"/>
  <c r="B10706" i="1"/>
  <c r="A10706" i="1"/>
  <c r="R10705" i="1"/>
  <c r="J10705" i="1"/>
  <c r="I10705" i="1"/>
  <c r="G10705" i="1"/>
  <c r="F10705" i="1"/>
  <c r="E10705" i="1"/>
  <c r="D10705" i="1"/>
  <c r="C10705" i="1"/>
  <c r="B10705" i="1"/>
  <c r="A10705" i="1"/>
  <c r="R10704" i="1"/>
  <c r="J10704" i="1"/>
  <c r="I10704" i="1"/>
  <c r="G10704" i="1"/>
  <c r="F10704" i="1"/>
  <c r="E10704" i="1"/>
  <c r="D10704" i="1"/>
  <c r="C10704" i="1"/>
  <c r="B10704" i="1"/>
  <c r="A10704" i="1"/>
  <c r="S10703" i="1"/>
  <c r="O10703" i="1"/>
  <c r="K10703" i="1"/>
  <c r="J10703" i="1"/>
  <c r="I10703" i="1"/>
  <c r="H10703" i="1"/>
  <c r="G10703" i="1"/>
  <c r="F10703" i="1"/>
  <c r="E10703" i="1"/>
  <c r="D10703" i="1"/>
  <c r="C10703" i="1"/>
  <c r="B10703" i="1"/>
  <c r="A10703" i="1"/>
  <c r="R10702" i="1"/>
  <c r="J10702" i="1"/>
  <c r="I10702" i="1"/>
  <c r="G10702" i="1"/>
  <c r="F10702" i="1"/>
  <c r="E10702" i="1"/>
  <c r="D10702" i="1"/>
  <c r="C10702" i="1"/>
  <c r="B10702" i="1"/>
  <c r="A10702" i="1"/>
  <c r="S10701" i="1"/>
  <c r="O10701" i="1"/>
  <c r="K10701" i="1"/>
  <c r="J10701" i="1"/>
  <c r="I10701" i="1"/>
  <c r="H10701" i="1"/>
  <c r="G10701" i="1"/>
  <c r="F10701" i="1"/>
  <c r="E10701" i="1"/>
  <c r="D10701" i="1"/>
  <c r="C10701" i="1"/>
  <c r="B10701" i="1"/>
  <c r="A10701" i="1"/>
  <c r="R10700" i="1"/>
  <c r="J10700" i="1"/>
  <c r="I10700" i="1"/>
  <c r="G10700" i="1"/>
  <c r="F10700" i="1"/>
  <c r="E10700" i="1"/>
  <c r="D10700" i="1"/>
  <c r="C10700" i="1"/>
  <c r="B10700" i="1"/>
  <c r="A10700" i="1"/>
  <c r="R10699" i="1"/>
  <c r="J10699" i="1"/>
  <c r="I10699" i="1"/>
  <c r="G10699" i="1"/>
  <c r="F10699" i="1"/>
  <c r="E10699" i="1"/>
  <c r="D10699" i="1"/>
  <c r="C10699" i="1"/>
  <c r="B10699" i="1"/>
  <c r="A10699" i="1"/>
  <c r="S10698" i="1"/>
  <c r="O10698" i="1"/>
  <c r="K10698" i="1"/>
  <c r="J10698" i="1"/>
  <c r="I10698" i="1"/>
  <c r="H10698" i="1"/>
  <c r="G10698" i="1"/>
  <c r="F10698" i="1"/>
  <c r="E10698" i="1"/>
  <c r="D10698" i="1"/>
  <c r="C10698" i="1"/>
  <c r="B10698" i="1"/>
  <c r="A10698" i="1"/>
  <c r="R10697" i="1"/>
  <c r="J10697" i="1"/>
  <c r="I10697" i="1"/>
  <c r="G10697" i="1"/>
  <c r="F10697" i="1"/>
  <c r="E10697" i="1"/>
  <c r="D10697" i="1"/>
  <c r="C10697" i="1"/>
  <c r="B10697" i="1"/>
  <c r="A10697" i="1"/>
  <c r="S10696" i="1"/>
  <c r="O10696" i="1"/>
  <c r="K10696" i="1"/>
  <c r="J10696" i="1"/>
  <c r="I10696" i="1"/>
  <c r="H10696" i="1"/>
  <c r="G10696" i="1"/>
  <c r="F10696" i="1"/>
  <c r="E10696" i="1"/>
  <c r="D10696" i="1"/>
  <c r="C10696" i="1"/>
  <c r="B10696" i="1"/>
  <c r="A10696" i="1"/>
  <c r="R10695" i="1"/>
  <c r="J10695" i="1"/>
  <c r="I10695" i="1"/>
  <c r="G10695" i="1"/>
  <c r="F10695" i="1"/>
  <c r="E10695" i="1"/>
  <c r="D10695" i="1"/>
  <c r="C10695" i="1"/>
  <c r="B10695" i="1"/>
  <c r="A10695" i="1"/>
  <c r="R10694" i="1"/>
  <c r="J10694" i="1"/>
  <c r="I10694" i="1"/>
  <c r="G10694" i="1"/>
  <c r="F10694" i="1"/>
  <c r="E10694" i="1"/>
  <c r="D10694" i="1"/>
  <c r="C10694" i="1"/>
  <c r="B10694" i="1"/>
  <c r="A10694" i="1"/>
  <c r="S10693" i="1"/>
  <c r="O10693" i="1"/>
  <c r="K10693" i="1"/>
  <c r="J10693" i="1"/>
  <c r="I10693" i="1"/>
  <c r="H10693" i="1"/>
  <c r="G10693" i="1"/>
  <c r="F10693" i="1"/>
  <c r="E10693" i="1"/>
  <c r="D10693" i="1"/>
  <c r="C10693" i="1"/>
  <c r="B10693" i="1"/>
  <c r="A10693" i="1"/>
  <c r="R10692" i="1"/>
  <c r="J10692" i="1"/>
  <c r="I10692" i="1"/>
  <c r="G10692" i="1"/>
  <c r="F10692" i="1"/>
  <c r="E10692" i="1"/>
  <c r="D10692" i="1"/>
  <c r="C10692" i="1"/>
  <c r="B10692" i="1"/>
  <c r="A10692" i="1"/>
  <c r="S10691" i="1"/>
  <c r="O10691" i="1"/>
  <c r="K10691" i="1"/>
  <c r="J10691" i="1"/>
  <c r="I10691" i="1"/>
  <c r="H10691" i="1"/>
  <c r="G10691" i="1"/>
  <c r="F10691" i="1"/>
  <c r="E10691" i="1"/>
  <c r="D10691" i="1"/>
  <c r="C10691" i="1"/>
  <c r="B10691" i="1"/>
  <c r="A10691" i="1"/>
  <c r="R10690" i="1"/>
  <c r="J10690" i="1"/>
  <c r="I10690" i="1"/>
  <c r="G10690" i="1"/>
  <c r="F10690" i="1"/>
  <c r="E10690" i="1"/>
  <c r="D10690" i="1"/>
  <c r="C10690" i="1"/>
  <c r="B10690" i="1"/>
  <c r="A10690" i="1"/>
  <c r="S10689" i="1"/>
  <c r="O10689" i="1"/>
  <c r="K10689" i="1"/>
  <c r="J10689" i="1"/>
  <c r="I10689" i="1"/>
  <c r="H10689" i="1"/>
  <c r="G10689" i="1"/>
  <c r="F10689" i="1"/>
  <c r="E10689" i="1"/>
  <c r="D10689" i="1"/>
  <c r="C10689" i="1"/>
  <c r="B10689" i="1"/>
  <c r="A10689" i="1"/>
  <c r="R10688" i="1"/>
  <c r="J10688" i="1"/>
  <c r="I10688" i="1"/>
  <c r="G10688" i="1"/>
  <c r="F10688" i="1"/>
  <c r="E10688" i="1"/>
  <c r="D10688" i="1"/>
  <c r="C10688" i="1"/>
  <c r="B10688" i="1"/>
  <c r="A10688" i="1"/>
  <c r="S10687" i="1"/>
  <c r="O10687" i="1"/>
  <c r="K10687" i="1"/>
  <c r="J10687" i="1"/>
  <c r="I10687" i="1"/>
  <c r="H10687" i="1"/>
  <c r="G10687" i="1"/>
  <c r="F10687" i="1"/>
  <c r="E10687" i="1"/>
  <c r="D10687" i="1"/>
  <c r="C10687" i="1"/>
  <c r="B10687" i="1"/>
  <c r="A10687" i="1"/>
  <c r="R10686" i="1"/>
  <c r="J10686" i="1"/>
  <c r="I10686" i="1"/>
  <c r="G10686" i="1"/>
  <c r="F10686" i="1"/>
  <c r="E10686" i="1"/>
  <c r="D10686" i="1"/>
  <c r="C10686" i="1"/>
  <c r="B10686" i="1"/>
  <c r="A10686" i="1"/>
  <c r="S10685" i="1"/>
  <c r="O10685" i="1"/>
  <c r="K10685" i="1"/>
  <c r="J10685" i="1"/>
  <c r="I10685" i="1"/>
  <c r="H10685" i="1"/>
  <c r="G10685" i="1"/>
  <c r="F10685" i="1"/>
  <c r="E10685" i="1"/>
  <c r="D10685" i="1"/>
  <c r="C10685" i="1"/>
  <c r="B10685" i="1"/>
  <c r="A10685" i="1"/>
  <c r="R10684" i="1"/>
  <c r="J10684" i="1"/>
  <c r="I10684" i="1"/>
  <c r="G10684" i="1"/>
  <c r="F10684" i="1"/>
  <c r="E10684" i="1"/>
  <c r="D10684" i="1"/>
  <c r="C10684" i="1"/>
  <c r="B10684" i="1"/>
  <c r="A10684" i="1"/>
  <c r="S10683" i="1"/>
  <c r="O10683" i="1"/>
  <c r="K10683" i="1"/>
  <c r="J10683" i="1"/>
  <c r="I10683" i="1"/>
  <c r="H10683" i="1"/>
  <c r="G10683" i="1"/>
  <c r="F10683" i="1"/>
  <c r="E10683" i="1"/>
  <c r="D10683" i="1"/>
  <c r="C10683" i="1"/>
  <c r="B10683" i="1"/>
  <c r="A10683" i="1"/>
  <c r="R10682" i="1"/>
  <c r="J10682" i="1"/>
  <c r="I10682" i="1"/>
  <c r="G10682" i="1"/>
  <c r="F10682" i="1"/>
  <c r="E10682" i="1"/>
  <c r="D10682" i="1"/>
  <c r="C10682" i="1"/>
  <c r="B10682" i="1"/>
  <c r="A10682" i="1"/>
  <c r="S10681" i="1"/>
  <c r="O10681" i="1"/>
  <c r="K10681" i="1"/>
  <c r="J10681" i="1"/>
  <c r="I10681" i="1"/>
  <c r="H10681" i="1"/>
  <c r="G10681" i="1"/>
  <c r="F10681" i="1"/>
  <c r="E10681" i="1"/>
  <c r="D10681" i="1"/>
  <c r="C10681" i="1"/>
  <c r="B10681" i="1"/>
  <c r="A10681" i="1"/>
  <c r="R10680" i="1"/>
  <c r="J10680" i="1"/>
  <c r="I10680" i="1"/>
  <c r="G10680" i="1"/>
  <c r="F10680" i="1"/>
  <c r="E10680" i="1"/>
  <c r="D10680" i="1"/>
  <c r="C10680" i="1"/>
  <c r="B10680" i="1"/>
  <c r="A10680" i="1"/>
  <c r="S10679" i="1"/>
  <c r="O10679" i="1"/>
  <c r="K10679" i="1"/>
  <c r="J10679" i="1"/>
  <c r="I10679" i="1"/>
  <c r="H10679" i="1"/>
  <c r="G10679" i="1"/>
  <c r="F10679" i="1"/>
  <c r="E10679" i="1"/>
  <c r="D10679" i="1"/>
  <c r="C10679" i="1"/>
  <c r="B10679" i="1"/>
  <c r="A10679" i="1"/>
  <c r="R10678" i="1"/>
  <c r="J10678" i="1"/>
  <c r="I10678" i="1"/>
  <c r="G10678" i="1"/>
  <c r="F10678" i="1"/>
  <c r="E10678" i="1"/>
  <c r="D10678" i="1"/>
  <c r="C10678" i="1"/>
  <c r="B10678" i="1"/>
  <c r="A10678" i="1"/>
  <c r="S10677" i="1"/>
  <c r="O10677" i="1"/>
  <c r="K10677" i="1"/>
  <c r="J10677" i="1"/>
  <c r="I10677" i="1"/>
  <c r="H10677" i="1"/>
  <c r="G10677" i="1"/>
  <c r="F10677" i="1"/>
  <c r="E10677" i="1"/>
  <c r="D10677" i="1"/>
  <c r="C10677" i="1"/>
  <c r="B10677" i="1"/>
  <c r="A10677" i="1"/>
  <c r="R10676" i="1"/>
  <c r="J10676" i="1"/>
  <c r="I10676" i="1"/>
  <c r="G10676" i="1"/>
  <c r="F10676" i="1"/>
  <c r="E10676" i="1"/>
  <c r="D10676" i="1"/>
  <c r="C10676" i="1"/>
  <c r="B10676" i="1"/>
  <c r="A10676" i="1"/>
  <c r="S10675" i="1"/>
  <c r="O10675" i="1"/>
  <c r="K10675" i="1"/>
  <c r="J10675" i="1"/>
  <c r="I10675" i="1"/>
  <c r="H10675" i="1"/>
  <c r="G10675" i="1"/>
  <c r="F10675" i="1"/>
  <c r="E10675" i="1"/>
  <c r="D10675" i="1"/>
  <c r="C10675" i="1"/>
  <c r="B10675" i="1"/>
  <c r="A10675" i="1"/>
  <c r="R10674" i="1"/>
  <c r="J10674" i="1"/>
  <c r="I10674" i="1"/>
  <c r="G10674" i="1"/>
  <c r="F10674" i="1"/>
  <c r="E10674" i="1"/>
  <c r="D10674" i="1"/>
  <c r="C10674" i="1"/>
  <c r="B10674" i="1"/>
  <c r="A10674" i="1"/>
  <c r="S10673" i="1"/>
  <c r="O10673" i="1"/>
  <c r="K10673" i="1"/>
  <c r="J10673" i="1"/>
  <c r="I10673" i="1"/>
  <c r="H10673" i="1"/>
  <c r="G10673" i="1"/>
  <c r="F10673" i="1"/>
  <c r="E10673" i="1"/>
  <c r="D10673" i="1"/>
  <c r="C10673" i="1"/>
  <c r="B10673" i="1"/>
  <c r="A10673" i="1"/>
  <c r="R10672" i="1"/>
  <c r="J10672" i="1"/>
  <c r="I10672" i="1"/>
  <c r="G10672" i="1"/>
  <c r="F10672" i="1"/>
  <c r="E10672" i="1"/>
  <c r="D10672" i="1"/>
  <c r="C10672" i="1"/>
  <c r="B10672" i="1"/>
  <c r="A10672" i="1"/>
  <c r="S10671" i="1"/>
  <c r="O10671" i="1"/>
  <c r="K10671" i="1"/>
  <c r="J10671" i="1"/>
  <c r="I10671" i="1"/>
  <c r="H10671" i="1"/>
  <c r="G10671" i="1"/>
  <c r="F10671" i="1"/>
  <c r="E10671" i="1"/>
  <c r="D10671" i="1"/>
  <c r="C10671" i="1"/>
  <c r="B10671" i="1"/>
  <c r="A10671" i="1"/>
  <c r="R10670" i="1"/>
  <c r="J10670" i="1"/>
  <c r="I10670" i="1"/>
  <c r="G10670" i="1"/>
  <c r="F10670" i="1"/>
  <c r="E10670" i="1"/>
  <c r="D10670" i="1"/>
  <c r="C10670" i="1"/>
  <c r="B10670" i="1"/>
  <c r="A10670" i="1"/>
  <c r="S10669" i="1"/>
  <c r="O10669" i="1"/>
  <c r="K10669" i="1"/>
  <c r="J10669" i="1"/>
  <c r="I10669" i="1"/>
  <c r="H10669" i="1"/>
  <c r="G10669" i="1"/>
  <c r="F10669" i="1"/>
  <c r="E10669" i="1"/>
  <c r="D10669" i="1"/>
  <c r="C10669" i="1"/>
  <c r="B10669" i="1"/>
  <c r="A10669" i="1"/>
  <c r="R10668" i="1"/>
  <c r="J10668" i="1"/>
  <c r="I10668" i="1"/>
  <c r="G10668" i="1"/>
  <c r="F10668" i="1"/>
  <c r="E10668" i="1"/>
  <c r="D10668" i="1"/>
  <c r="C10668" i="1"/>
  <c r="B10668" i="1"/>
  <c r="A10668" i="1"/>
  <c r="S10667" i="1"/>
  <c r="O10667" i="1"/>
  <c r="K10667" i="1"/>
  <c r="J10667" i="1"/>
  <c r="I10667" i="1"/>
  <c r="H10667" i="1"/>
  <c r="G10667" i="1"/>
  <c r="F10667" i="1"/>
  <c r="E10667" i="1"/>
  <c r="D10667" i="1"/>
  <c r="C10667" i="1"/>
  <c r="B10667" i="1"/>
  <c r="A10667" i="1"/>
  <c r="R10666" i="1"/>
  <c r="J10666" i="1"/>
  <c r="I10666" i="1"/>
  <c r="G10666" i="1"/>
  <c r="F10666" i="1"/>
  <c r="E10666" i="1"/>
  <c r="D10666" i="1"/>
  <c r="C10666" i="1"/>
  <c r="B10666" i="1"/>
  <c r="A10666" i="1"/>
  <c r="S10665" i="1"/>
  <c r="O10665" i="1"/>
  <c r="K10665" i="1"/>
  <c r="J10665" i="1"/>
  <c r="I10665" i="1"/>
  <c r="H10665" i="1"/>
  <c r="G10665" i="1"/>
  <c r="F10665" i="1"/>
  <c r="E10665" i="1"/>
  <c r="D10665" i="1"/>
  <c r="C10665" i="1"/>
  <c r="B10665" i="1"/>
  <c r="A10665" i="1"/>
  <c r="R10664" i="1"/>
  <c r="J10664" i="1"/>
  <c r="I10664" i="1"/>
  <c r="G10664" i="1"/>
  <c r="F10664" i="1"/>
  <c r="E10664" i="1"/>
  <c r="D10664" i="1"/>
  <c r="C10664" i="1"/>
  <c r="B10664" i="1"/>
  <c r="A10664" i="1"/>
  <c r="S10663" i="1"/>
  <c r="O10663" i="1"/>
  <c r="K10663" i="1"/>
  <c r="J10663" i="1"/>
  <c r="I10663" i="1"/>
  <c r="H10663" i="1"/>
  <c r="G10663" i="1"/>
  <c r="F10663" i="1"/>
  <c r="E10663" i="1"/>
  <c r="D10663" i="1"/>
  <c r="C10663" i="1"/>
  <c r="B10663" i="1"/>
  <c r="A10663" i="1"/>
  <c r="R10662" i="1"/>
  <c r="J10662" i="1"/>
  <c r="I10662" i="1"/>
  <c r="G10662" i="1"/>
  <c r="F10662" i="1"/>
  <c r="E10662" i="1"/>
  <c r="D10662" i="1"/>
  <c r="C10662" i="1"/>
  <c r="B10662" i="1"/>
  <c r="A10662" i="1"/>
  <c r="R10661" i="1"/>
  <c r="J10661" i="1"/>
  <c r="I10661" i="1"/>
  <c r="G10661" i="1"/>
  <c r="F10661" i="1"/>
  <c r="E10661" i="1"/>
  <c r="D10661" i="1"/>
  <c r="C10661" i="1"/>
  <c r="B10661" i="1"/>
  <c r="A10661" i="1"/>
  <c r="S10660" i="1"/>
  <c r="O10660" i="1"/>
  <c r="K10660" i="1"/>
  <c r="J10660" i="1"/>
  <c r="I10660" i="1"/>
  <c r="H10660" i="1"/>
  <c r="G10660" i="1"/>
  <c r="F10660" i="1"/>
  <c r="E10660" i="1"/>
  <c r="D10660" i="1"/>
  <c r="C10660" i="1"/>
  <c r="B10660" i="1"/>
  <c r="A10660" i="1"/>
  <c r="R10659" i="1"/>
  <c r="J10659" i="1"/>
  <c r="I10659" i="1"/>
  <c r="G10659" i="1"/>
  <c r="F10659" i="1"/>
  <c r="E10659" i="1"/>
  <c r="D10659" i="1"/>
  <c r="C10659" i="1"/>
  <c r="B10659" i="1"/>
  <c r="A10659" i="1"/>
  <c r="S10658" i="1"/>
  <c r="O10658" i="1"/>
  <c r="K10658" i="1"/>
  <c r="J10658" i="1"/>
  <c r="I10658" i="1"/>
  <c r="H10658" i="1"/>
  <c r="G10658" i="1"/>
  <c r="F10658" i="1"/>
  <c r="E10658" i="1"/>
  <c r="D10658" i="1"/>
  <c r="C10658" i="1"/>
  <c r="B10658" i="1"/>
  <c r="A10658" i="1"/>
  <c r="R10657" i="1"/>
  <c r="J10657" i="1"/>
  <c r="I10657" i="1"/>
  <c r="G10657" i="1"/>
  <c r="F10657" i="1"/>
  <c r="E10657" i="1"/>
  <c r="D10657" i="1"/>
  <c r="C10657" i="1"/>
  <c r="B10657" i="1"/>
  <c r="A10657" i="1"/>
  <c r="R10656" i="1"/>
  <c r="J10656" i="1"/>
  <c r="I10656" i="1"/>
  <c r="G10656" i="1"/>
  <c r="F10656" i="1"/>
  <c r="E10656" i="1"/>
  <c r="D10656" i="1"/>
  <c r="C10656" i="1"/>
  <c r="B10656" i="1"/>
  <c r="A10656" i="1"/>
  <c r="S10655" i="1"/>
  <c r="O10655" i="1"/>
  <c r="K10655" i="1"/>
  <c r="J10655" i="1"/>
  <c r="I10655" i="1"/>
  <c r="H10655" i="1"/>
  <c r="G10655" i="1"/>
  <c r="F10655" i="1"/>
  <c r="E10655" i="1"/>
  <c r="D10655" i="1"/>
  <c r="C10655" i="1"/>
  <c r="B10655" i="1"/>
  <c r="A10655" i="1"/>
  <c r="R10654" i="1"/>
  <c r="J10654" i="1"/>
  <c r="I10654" i="1"/>
  <c r="G10654" i="1"/>
  <c r="F10654" i="1"/>
  <c r="E10654" i="1"/>
  <c r="D10654" i="1"/>
  <c r="C10654" i="1"/>
  <c r="B10654" i="1"/>
  <c r="A10654" i="1"/>
  <c r="S10653" i="1"/>
  <c r="O10653" i="1"/>
  <c r="K10653" i="1"/>
  <c r="J10653" i="1"/>
  <c r="I10653" i="1"/>
  <c r="H10653" i="1"/>
  <c r="G10653" i="1"/>
  <c r="F10653" i="1"/>
  <c r="E10653" i="1"/>
  <c r="D10653" i="1"/>
  <c r="C10653" i="1"/>
  <c r="B10653" i="1"/>
  <c r="A10653" i="1"/>
  <c r="R10652" i="1"/>
  <c r="J10652" i="1"/>
  <c r="I10652" i="1"/>
  <c r="G10652" i="1"/>
  <c r="F10652" i="1"/>
  <c r="E10652" i="1"/>
  <c r="D10652" i="1"/>
  <c r="C10652" i="1"/>
  <c r="B10652" i="1"/>
  <c r="A10652" i="1"/>
  <c r="S10651" i="1"/>
  <c r="O10651" i="1"/>
  <c r="K10651" i="1"/>
  <c r="J10651" i="1"/>
  <c r="I10651" i="1"/>
  <c r="H10651" i="1"/>
  <c r="G10651" i="1"/>
  <c r="F10651" i="1"/>
  <c r="E10651" i="1"/>
  <c r="D10651" i="1"/>
  <c r="C10651" i="1"/>
  <c r="B10651" i="1"/>
  <c r="A10651" i="1"/>
  <c r="R10650" i="1"/>
  <c r="J10650" i="1"/>
  <c r="I10650" i="1"/>
  <c r="G10650" i="1"/>
  <c r="F10650" i="1"/>
  <c r="E10650" i="1"/>
  <c r="D10650" i="1"/>
  <c r="C10650" i="1"/>
  <c r="B10650" i="1"/>
  <c r="A10650" i="1"/>
  <c r="S10649" i="1"/>
  <c r="O10649" i="1"/>
  <c r="K10649" i="1"/>
  <c r="J10649" i="1"/>
  <c r="I10649" i="1"/>
  <c r="H10649" i="1"/>
  <c r="G10649" i="1"/>
  <c r="F10649" i="1"/>
  <c r="E10649" i="1"/>
  <c r="D10649" i="1"/>
  <c r="C10649" i="1"/>
  <c r="B10649" i="1"/>
  <c r="A10649" i="1"/>
  <c r="R10648" i="1"/>
  <c r="J10648" i="1"/>
  <c r="I10648" i="1"/>
  <c r="G10648" i="1"/>
  <c r="F10648" i="1"/>
  <c r="E10648" i="1"/>
  <c r="D10648" i="1"/>
  <c r="C10648" i="1"/>
  <c r="B10648" i="1"/>
  <c r="A10648" i="1"/>
  <c r="S10647" i="1"/>
  <c r="O10647" i="1"/>
  <c r="K10647" i="1"/>
  <c r="J10647" i="1"/>
  <c r="I10647" i="1"/>
  <c r="H10647" i="1"/>
  <c r="G10647" i="1"/>
  <c r="F10647" i="1"/>
  <c r="E10647" i="1"/>
  <c r="D10647" i="1"/>
  <c r="C10647" i="1"/>
  <c r="B10647" i="1"/>
  <c r="A10647" i="1"/>
  <c r="R10646" i="1"/>
  <c r="J10646" i="1"/>
  <c r="I10646" i="1"/>
  <c r="G10646" i="1"/>
  <c r="F10646" i="1"/>
  <c r="E10646" i="1"/>
  <c r="D10646" i="1"/>
  <c r="C10646" i="1"/>
  <c r="B10646" i="1"/>
  <c r="A10646" i="1"/>
  <c r="S10645" i="1"/>
  <c r="O10645" i="1"/>
  <c r="K10645" i="1"/>
  <c r="J10645" i="1"/>
  <c r="I10645" i="1"/>
  <c r="H10645" i="1"/>
  <c r="G10645" i="1"/>
  <c r="F10645" i="1"/>
  <c r="E10645" i="1"/>
  <c r="D10645" i="1"/>
  <c r="C10645" i="1"/>
  <c r="B10645" i="1"/>
  <c r="A10645" i="1"/>
  <c r="R10644" i="1"/>
  <c r="J10644" i="1"/>
  <c r="I10644" i="1"/>
  <c r="G10644" i="1"/>
  <c r="F10644" i="1"/>
  <c r="E10644" i="1"/>
  <c r="D10644" i="1"/>
  <c r="C10644" i="1"/>
  <c r="B10644" i="1"/>
  <c r="A10644" i="1"/>
  <c r="S10643" i="1"/>
  <c r="O10643" i="1"/>
  <c r="K10643" i="1"/>
  <c r="J10643" i="1"/>
  <c r="I10643" i="1"/>
  <c r="H10643" i="1"/>
  <c r="G10643" i="1"/>
  <c r="F10643" i="1"/>
  <c r="E10643" i="1"/>
  <c r="D10643" i="1"/>
  <c r="C10643" i="1"/>
  <c r="B10643" i="1"/>
  <c r="A10643" i="1"/>
  <c r="R10642" i="1"/>
  <c r="J10642" i="1"/>
  <c r="I10642" i="1"/>
  <c r="G10642" i="1"/>
  <c r="F10642" i="1"/>
  <c r="E10642" i="1"/>
  <c r="D10642" i="1"/>
  <c r="C10642" i="1"/>
  <c r="B10642" i="1"/>
  <c r="A10642" i="1"/>
  <c r="S10641" i="1"/>
  <c r="O10641" i="1"/>
  <c r="K10641" i="1"/>
  <c r="J10641" i="1"/>
  <c r="I10641" i="1"/>
  <c r="H10641" i="1"/>
  <c r="G10641" i="1"/>
  <c r="F10641" i="1"/>
  <c r="E10641" i="1"/>
  <c r="D10641" i="1"/>
  <c r="C10641" i="1"/>
  <c r="B10641" i="1"/>
  <c r="A10641" i="1"/>
  <c r="R10640" i="1"/>
  <c r="J10640" i="1"/>
  <c r="I10640" i="1"/>
  <c r="G10640" i="1"/>
  <c r="F10640" i="1"/>
  <c r="E10640" i="1"/>
  <c r="D10640" i="1"/>
  <c r="C10640" i="1"/>
  <c r="B10640" i="1"/>
  <c r="A10640" i="1"/>
  <c r="S10639" i="1"/>
  <c r="O10639" i="1"/>
  <c r="K10639" i="1"/>
  <c r="J10639" i="1"/>
  <c r="I10639" i="1"/>
  <c r="H10639" i="1"/>
  <c r="G10639" i="1"/>
  <c r="F10639" i="1"/>
  <c r="E10639" i="1"/>
  <c r="D10639" i="1"/>
  <c r="C10639" i="1"/>
  <c r="B10639" i="1"/>
  <c r="A10639" i="1"/>
  <c r="R10638" i="1"/>
  <c r="J10638" i="1"/>
  <c r="I10638" i="1"/>
  <c r="G10638" i="1"/>
  <c r="F10638" i="1"/>
  <c r="E10638" i="1"/>
  <c r="D10638" i="1"/>
  <c r="C10638" i="1"/>
  <c r="B10638" i="1"/>
  <c r="A10638" i="1"/>
  <c r="S10637" i="1"/>
  <c r="O10637" i="1"/>
  <c r="K10637" i="1"/>
  <c r="J10637" i="1"/>
  <c r="I10637" i="1"/>
  <c r="H10637" i="1"/>
  <c r="G10637" i="1"/>
  <c r="F10637" i="1"/>
  <c r="E10637" i="1"/>
  <c r="D10637" i="1"/>
  <c r="C10637" i="1"/>
  <c r="B10637" i="1"/>
  <c r="A10637" i="1"/>
  <c r="R10636" i="1"/>
  <c r="J10636" i="1"/>
  <c r="I10636" i="1"/>
  <c r="G10636" i="1"/>
  <c r="F10636" i="1"/>
  <c r="E10636" i="1"/>
  <c r="D10636" i="1"/>
  <c r="C10636" i="1"/>
  <c r="B10636" i="1"/>
  <c r="A10636" i="1"/>
  <c r="S10635" i="1"/>
  <c r="O10635" i="1"/>
  <c r="K10635" i="1"/>
  <c r="J10635" i="1"/>
  <c r="I10635" i="1"/>
  <c r="H10635" i="1"/>
  <c r="G10635" i="1"/>
  <c r="F10635" i="1"/>
  <c r="E10635" i="1"/>
  <c r="D10635" i="1"/>
  <c r="C10635" i="1"/>
  <c r="B10635" i="1"/>
  <c r="A10635" i="1"/>
  <c r="R10634" i="1"/>
  <c r="J10634" i="1"/>
  <c r="I10634" i="1"/>
  <c r="G10634" i="1"/>
  <c r="F10634" i="1"/>
  <c r="E10634" i="1"/>
  <c r="D10634" i="1"/>
  <c r="C10634" i="1"/>
  <c r="B10634" i="1"/>
  <c r="A10634" i="1"/>
  <c r="S10633" i="1"/>
  <c r="O10633" i="1"/>
  <c r="K10633" i="1"/>
  <c r="J10633" i="1"/>
  <c r="I10633" i="1"/>
  <c r="H10633" i="1"/>
  <c r="G10633" i="1"/>
  <c r="F10633" i="1"/>
  <c r="E10633" i="1"/>
  <c r="D10633" i="1"/>
  <c r="C10633" i="1"/>
  <c r="B10633" i="1"/>
  <c r="A10633" i="1"/>
  <c r="R10632" i="1"/>
  <c r="J10632" i="1"/>
  <c r="I10632" i="1"/>
  <c r="G10632" i="1"/>
  <c r="F10632" i="1"/>
  <c r="E10632" i="1"/>
  <c r="D10632" i="1"/>
  <c r="C10632" i="1"/>
  <c r="B10632" i="1"/>
  <c r="A10632" i="1"/>
  <c r="S10631" i="1"/>
  <c r="O10631" i="1"/>
  <c r="K10631" i="1"/>
  <c r="J10631" i="1"/>
  <c r="I10631" i="1"/>
  <c r="H10631" i="1"/>
  <c r="G10631" i="1"/>
  <c r="F10631" i="1"/>
  <c r="E10631" i="1"/>
  <c r="D10631" i="1"/>
  <c r="C10631" i="1"/>
  <c r="B10631" i="1"/>
  <c r="A10631" i="1"/>
  <c r="R10630" i="1"/>
  <c r="J10630" i="1"/>
  <c r="I10630" i="1"/>
  <c r="G10630" i="1"/>
  <c r="F10630" i="1"/>
  <c r="E10630" i="1"/>
  <c r="D10630" i="1"/>
  <c r="C10630" i="1"/>
  <c r="B10630" i="1"/>
  <c r="A10630" i="1"/>
  <c r="S10629" i="1"/>
  <c r="O10629" i="1"/>
  <c r="K10629" i="1"/>
  <c r="J10629" i="1"/>
  <c r="I10629" i="1"/>
  <c r="H10629" i="1"/>
  <c r="G10629" i="1"/>
  <c r="F10629" i="1"/>
  <c r="E10629" i="1"/>
  <c r="D10629" i="1"/>
  <c r="C10629" i="1"/>
  <c r="B10629" i="1"/>
  <c r="A10629" i="1"/>
  <c r="R10628" i="1"/>
  <c r="J10628" i="1"/>
  <c r="I10628" i="1"/>
  <c r="G10628" i="1"/>
  <c r="F10628" i="1"/>
  <c r="E10628" i="1"/>
  <c r="D10628" i="1"/>
  <c r="C10628" i="1"/>
  <c r="B10628" i="1"/>
  <c r="A10628" i="1"/>
  <c r="S10627" i="1"/>
  <c r="O10627" i="1"/>
  <c r="K10627" i="1"/>
  <c r="J10627" i="1"/>
  <c r="I10627" i="1"/>
  <c r="H10627" i="1"/>
  <c r="G10627" i="1"/>
  <c r="F10627" i="1"/>
  <c r="E10627" i="1"/>
  <c r="D10627" i="1"/>
  <c r="C10627" i="1"/>
  <c r="B10627" i="1"/>
  <c r="A10627" i="1"/>
  <c r="R10626" i="1"/>
  <c r="J10626" i="1"/>
  <c r="I10626" i="1"/>
  <c r="G10626" i="1"/>
  <c r="F10626" i="1"/>
  <c r="E10626" i="1"/>
  <c r="D10626" i="1"/>
  <c r="C10626" i="1"/>
  <c r="B10626" i="1"/>
  <c r="A10626" i="1"/>
  <c r="S10625" i="1"/>
  <c r="O10625" i="1"/>
  <c r="K10625" i="1"/>
  <c r="J10625" i="1"/>
  <c r="I10625" i="1"/>
  <c r="H10625" i="1"/>
  <c r="G10625" i="1"/>
  <c r="F10625" i="1"/>
  <c r="E10625" i="1"/>
  <c r="D10625" i="1"/>
  <c r="C10625" i="1"/>
  <c r="B10625" i="1"/>
  <c r="A10625" i="1"/>
  <c r="R10624" i="1"/>
  <c r="J10624" i="1"/>
  <c r="I10624" i="1"/>
  <c r="G10624" i="1"/>
  <c r="F10624" i="1"/>
  <c r="E10624" i="1"/>
  <c r="D10624" i="1"/>
  <c r="C10624" i="1"/>
  <c r="B10624" i="1"/>
  <c r="A10624" i="1"/>
  <c r="S10623" i="1"/>
  <c r="O10623" i="1"/>
  <c r="K10623" i="1"/>
  <c r="J10623" i="1"/>
  <c r="I10623" i="1"/>
  <c r="H10623" i="1"/>
  <c r="G10623" i="1"/>
  <c r="F10623" i="1"/>
  <c r="E10623" i="1"/>
  <c r="D10623" i="1"/>
  <c r="C10623" i="1"/>
  <c r="B10623" i="1"/>
  <c r="A10623" i="1"/>
  <c r="R10622" i="1"/>
  <c r="J10622" i="1"/>
  <c r="I10622" i="1"/>
  <c r="G10622" i="1"/>
  <c r="F10622" i="1"/>
  <c r="E10622" i="1"/>
  <c r="D10622" i="1"/>
  <c r="C10622" i="1"/>
  <c r="B10622" i="1"/>
  <c r="A10622" i="1"/>
  <c r="S10621" i="1"/>
  <c r="O10621" i="1"/>
  <c r="K10621" i="1"/>
  <c r="J10621" i="1"/>
  <c r="I10621" i="1"/>
  <c r="H10621" i="1"/>
  <c r="G10621" i="1"/>
  <c r="F10621" i="1"/>
  <c r="E10621" i="1"/>
  <c r="D10621" i="1"/>
  <c r="C10621" i="1"/>
  <c r="B10621" i="1"/>
  <c r="A10621" i="1"/>
  <c r="R10620" i="1"/>
  <c r="J10620" i="1"/>
  <c r="I10620" i="1"/>
  <c r="G10620" i="1"/>
  <c r="F10620" i="1"/>
  <c r="E10620" i="1"/>
  <c r="D10620" i="1"/>
  <c r="C10620" i="1"/>
  <c r="B10620" i="1"/>
  <c r="A10620" i="1"/>
  <c r="S10619" i="1"/>
  <c r="O10619" i="1"/>
  <c r="K10619" i="1"/>
  <c r="J10619" i="1"/>
  <c r="I10619" i="1"/>
  <c r="H10619" i="1"/>
  <c r="G10619" i="1"/>
  <c r="F10619" i="1"/>
  <c r="E10619" i="1"/>
  <c r="D10619" i="1"/>
  <c r="C10619" i="1"/>
  <c r="B10619" i="1"/>
  <c r="A10619" i="1"/>
  <c r="R10618" i="1"/>
  <c r="J10618" i="1"/>
  <c r="I10618" i="1"/>
  <c r="G10618" i="1"/>
  <c r="F10618" i="1"/>
  <c r="E10618" i="1"/>
  <c r="D10618" i="1"/>
  <c r="C10618" i="1"/>
  <c r="B10618" i="1"/>
  <c r="A10618" i="1"/>
  <c r="S10617" i="1"/>
  <c r="O10617" i="1"/>
  <c r="K10617" i="1"/>
  <c r="J10617" i="1"/>
  <c r="I10617" i="1"/>
  <c r="H10617" i="1"/>
  <c r="G10617" i="1"/>
  <c r="F10617" i="1"/>
  <c r="E10617" i="1"/>
  <c r="D10617" i="1"/>
  <c r="C10617" i="1"/>
  <c r="B10617" i="1"/>
  <c r="A10617" i="1"/>
  <c r="R10616" i="1"/>
  <c r="J10616" i="1"/>
  <c r="I10616" i="1"/>
  <c r="G10616" i="1"/>
  <c r="F10616" i="1"/>
  <c r="E10616" i="1"/>
  <c r="D10616" i="1"/>
  <c r="C10616" i="1"/>
  <c r="B10616" i="1"/>
  <c r="A10616" i="1"/>
  <c r="R10615" i="1"/>
  <c r="J10615" i="1"/>
  <c r="I10615" i="1"/>
  <c r="G10615" i="1"/>
  <c r="F10615" i="1"/>
  <c r="E10615" i="1"/>
  <c r="D10615" i="1"/>
  <c r="C10615" i="1"/>
  <c r="B10615" i="1"/>
  <c r="A10615" i="1"/>
  <c r="S10614" i="1"/>
  <c r="O10614" i="1"/>
  <c r="K10614" i="1"/>
  <c r="J10614" i="1"/>
  <c r="I10614" i="1"/>
  <c r="H10614" i="1"/>
  <c r="G10614" i="1"/>
  <c r="F10614" i="1"/>
  <c r="E10614" i="1"/>
  <c r="D10614" i="1"/>
  <c r="C10614" i="1"/>
  <c r="B10614" i="1"/>
  <c r="A10614" i="1"/>
  <c r="R10613" i="1"/>
  <c r="J10613" i="1"/>
  <c r="I10613" i="1"/>
  <c r="G10613" i="1"/>
  <c r="F10613" i="1"/>
  <c r="E10613" i="1"/>
  <c r="D10613" i="1"/>
  <c r="C10613" i="1"/>
  <c r="B10613" i="1"/>
  <c r="A10613" i="1"/>
  <c r="S10612" i="1"/>
  <c r="O10612" i="1"/>
  <c r="K10612" i="1"/>
  <c r="J10612" i="1"/>
  <c r="I10612" i="1"/>
  <c r="H10612" i="1"/>
  <c r="G10612" i="1"/>
  <c r="F10612" i="1"/>
  <c r="E10612" i="1"/>
  <c r="D10612" i="1"/>
  <c r="C10612" i="1"/>
  <c r="B10612" i="1"/>
  <c r="A10612" i="1"/>
  <c r="R10611" i="1"/>
  <c r="J10611" i="1"/>
  <c r="I10611" i="1"/>
  <c r="G10611" i="1"/>
  <c r="F10611" i="1"/>
  <c r="E10611" i="1"/>
  <c r="D10611" i="1"/>
  <c r="C10611" i="1"/>
  <c r="B10611" i="1"/>
  <c r="A10611" i="1"/>
  <c r="S10610" i="1"/>
  <c r="O10610" i="1"/>
  <c r="K10610" i="1"/>
  <c r="J10610" i="1"/>
  <c r="I10610" i="1"/>
  <c r="H10610" i="1"/>
  <c r="G10610" i="1"/>
  <c r="F10610" i="1"/>
  <c r="E10610" i="1"/>
  <c r="D10610" i="1"/>
  <c r="C10610" i="1"/>
  <c r="B10610" i="1"/>
  <c r="A10610" i="1"/>
  <c r="R10609" i="1"/>
  <c r="J10609" i="1"/>
  <c r="I10609" i="1"/>
  <c r="G10609" i="1"/>
  <c r="F10609" i="1"/>
  <c r="E10609" i="1"/>
  <c r="D10609" i="1"/>
  <c r="C10609" i="1"/>
  <c r="B10609" i="1"/>
  <c r="A10609" i="1"/>
  <c r="R10608" i="1"/>
  <c r="J10608" i="1"/>
  <c r="I10608" i="1"/>
  <c r="G10608" i="1"/>
  <c r="F10608" i="1"/>
  <c r="E10608" i="1"/>
  <c r="D10608" i="1"/>
  <c r="C10608" i="1"/>
  <c r="B10608" i="1"/>
  <c r="A10608" i="1"/>
  <c r="S10607" i="1"/>
  <c r="O10607" i="1"/>
  <c r="K10607" i="1"/>
  <c r="J10607" i="1"/>
  <c r="I10607" i="1"/>
  <c r="H10607" i="1"/>
  <c r="G10607" i="1"/>
  <c r="F10607" i="1"/>
  <c r="E10607" i="1"/>
  <c r="D10607" i="1"/>
  <c r="C10607" i="1"/>
  <c r="B10607" i="1"/>
  <c r="A10607" i="1"/>
  <c r="R10606" i="1"/>
  <c r="J10606" i="1"/>
  <c r="I10606" i="1"/>
  <c r="G10606" i="1"/>
  <c r="F10606" i="1"/>
  <c r="E10606" i="1"/>
  <c r="D10606" i="1"/>
  <c r="C10606" i="1"/>
  <c r="B10606" i="1"/>
  <c r="A10606" i="1"/>
  <c r="S10605" i="1"/>
  <c r="O10605" i="1"/>
  <c r="K10605" i="1"/>
  <c r="J10605" i="1"/>
  <c r="I10605" i="1"/>
  <c r="H10605" i="1"/>
  <c r="G10605" i="1"/>
  <c r="F10605" i="1"/>
  <c r="E10605" i="1"/>
  <c r="D10605" i="1"/>
  <c r="C10605" i="1"/>
  <c r="B10605" i="1"/>
  <c r="A10605" i="1"/>
  <c r="R10604" i="1"/>
  <c r="J10604" i="1"/>
  <c r="I10604" i="1"/>
  <c r="G10604" i="1"/>
  <c r="F10604" i="1"/>
  <c r="E10604" i="1"/>
  <c r="D10604" i="1"/>
  <c r="C10604" i="1"/>
  <c r="B10604" i="1"/>
  <c r="A10604" i="1"/>
  <c r="R10603" i="1"/>
  <c r="J10603" i="1"/>
  <c r="I10603" i="1"/>
  <c r="G10603" i="1"/>
  <c r="F10603" i="1"/>
  <c r="E10603" i="1"/>
  <c r="D10603" i="1"/>
  <c r="C10603" i="1"/>
  <c r="B10603" i="1"/>
  <c r="A10603" i="1"/>
  <c r="S10602" i="1"/>
  <c r="O10602" i="1"/>
  <c r="K10602" i="1"/>
  <c r="J10602" i="1"/>
  <c r="I10602" i="1"/>
  <c r="H10602" i="1"/>
  <c r="G10602" i="1"/>
  <c r="F10602" i="1"/>
  <c r="E10602" i="1"/>
  <c r="D10602" i="1"/>
  <c r="C10602" i="1"/>
  <c r="B10602" i="1"/>
  <c r="A10602" i="1"/>
  <c r="R10601" i="1"/>
  <c r="J10601" i="1"/>
  <c r="I10601" i="1"/>
  <c r="G10601" i="1"/>
  <c r="F10601" i="1"/>
  <c r="E10601" i="1"/>
  <c r="D10601" i="1"/>
  <c r="C10601" i="1"/>
  <c r="B10601" i="1"/>
  <c r="A10601" i="1"/>
  <c r="R10600" i="1"/>
  <c r="J10600" i="1"/>
  <c r="I10600" i="1"/>
  <c r="G10600" i="1"/>
  <c r="F10600" i="1"/>
  <c r="E10600" i="1"/>
  <c r="D10600" i="1"/>
  <c r="C10600" i="1"/>
  <c r="B10600" i="1"/>
  <c r="A10600" i="1"/>
  <c r="S10599" i="1"/>
  <c r="O10599" i="1"/>
  <c r="K10599" i="1"/>
  <c r="J10599" i="1"/>
  <c r="I10599" i="1"/>
  <c r="H10599" i="1"/>
  <c r="G10599" i="1"/>
  <c r="F10599" i="1"/>
  <c r="E10599" i="1"/>
  <c r="D10599" i="1"/>
  <c r="C10599" i="1"/>
  <c r="B10599" i="1"/>
  <c r="A10599" i="1"/>
  <c r="R10598" i="1"/>
  <c r="J10598" i="1"/>
  <c r="I10598" i="1"/>
  <c r="G10598" i="1"/>
  <c r="F10598" i="1"/>
  <c r="E10598" i="1"/>
  <c r="D10598" i="1"/>
  <c r="C10598" i="1"/>
  <c r="B10598" i="1"/>
  <c r="A10598" i="1"/>
  <c r="S10597" i="1"/>
  <c r="O10597" i="1"/>
  <c r="K10597" i="1"/>
  <c r="J10597" i="1"/>
  <c r="I10597" i="1"/>
  <c r="H10597" i="1"/>
  <c r="G10597" i="1"/>
  <c r="F10597" i="1"/>
  <c r="E10597" i="1"/>
  <c r="D10597" i="1"/>
  <c r="C10597" i="1"/>
  <c r="B10597" i="1"/>
  <c r="A10597" i="1"/>
  <c r="R10596" i="1"/>
  <c r="J10596" i="1"/>
  <c r="I10596" i="1"/>
  <c r="G10596" i="1"/>
  <c r="F10596" i="1"/>
  <c r="E10596" i="1"/>
  <c r="D10596" i="1"/>
  <c r="C10596" i="1"/>
  <c r="B10596" i="1"/>
  <c r="A10596" i="1"/>
  <c r="S10595" i="1"/>
  <c r="O10595" i="1"/>
  <c r="K10595" i="1"/>
  <c r="J10595" i="1"/>
  <c r="I10595" i="1"/>
  <c r="H10595" i="1"/>
  <c r="G10595" i="1"/>
  <c r="F10595" i="1"/>
  <c r="E10595" i="1"/>
  <c r="D10595" i="1"/>
  <c r="C10595" i="1"/>
  <c r="B10595" i="1"/>
  <c r="A10595" i="1"/>
  <c r="R10594" i="1"/>
  <c r="J10594" i="1"/>
  <c r="I10594" i="1"/>
  <c r="G10594" i="1"/>
  <c r="F10594" i="1"/>
  <c r="E10594" i="1"/>
  <c r="D10594" i="1"/>
  <c r="C10594" i="1"/>
  <c r="B10594" i="1"/>
  <c r="A10594" i="1"/>
  <c r="R10593" i="1"/>
  <c r="J10593" i="1"/>
  <c r="I10593" i="1"/>
  <c r="G10593" i="1"/>
  <c r="F10593" i="1"/>
  <c r="E10593" i="1"/>
  <c r="D10593" i="1"/>
  <c r="C10593" i="1"/>
  <c r="B10593" i="1"/>
  <c r="A10593" i="1"/>
  <c r="S10592" i="1"/>
  <c r="O10592" i="1"/>
  <c r="K10592" i="1"/>
  <c r="J10592" i="1"/>
  <c r="I10592" i="1"/>
  <c r="H10592" i="1"/>
  <c r="G10592" i="1"/>
  <c r="F10592" i="1"/>
  <c r="E10592" i="1"/>
  <c r="D10592" i="1"/>
  <c r="C10592" i="1"/>
  <c r="B10592" i="1"/>
  <c r="A10592" i="1"/>
  <c r="R10591" i="1"/>
  <c r="J10591" i="1"/>
  <c r="I10591" i="1"/>
  <c r="G10591" i="1"/>
  <c r="F10591" i="1"/>
  <c r="E10591" i="1"/>
  <c r="D10591" i="1"/>
  <c r="C10591" i="1"/>
  <c r="B10591" i="1"/>
  <c r="A10591" i="1"/>
  <c r="R10590" i="1"/>
  <c r="J10590" i="1"/>
  <c r="I10590" i="1"/>
  <c r="G10590" i="1"/>
  <c r="F10590" i="1"/>
  <c r="E10590" i="1"/>
  <c r="D10590" i="1"/>
  <c r="C10590" i="1"/>
  <c r="B10590" i="1"/>
  <c r="A10590" i="1"/>
  <c r="R10589" i="1"/>
  <c r="J10589" i="1"/>
  <c r="I10589" i="1"/>
  <c r="G10589" i="1"/>
  <c r="F10589" i="1"/>
  <c r="E10589" i="1"/>
  <c r="D10589" i="1"/>
  <c r="C10589" i="1"/>
  <c r="B10589" i="1"/>
  <c r="A10589" i="1"/>
  <c r="S10588" i="1"/>
  <c r="O10588" i="1"/>
  <c r="K10588" i="1"/>
  <c r="J10588" i="1"/>
  <c r="I10588" i="1"/>
  <c r="H10588" i="1"/>
  <c r="G10588" i="1"/>
  <c r="F10588" i="1"/>
  <c r="E10588" i="1"/>
  <c r="D10588" i="1"/>
  <c r="C10588" i="1"/>
  <c r="B10588" i="1"/>
  <c r="A10588" i="1"/>
  <c r="R10587" i="1"/>
  <c r="J10587" i="1"/>
  <c r="I10587" i="1"/>
  <c r="G10587" i="1"/>
  <c r="F10587" i="1"/>
  <c r="E10587" i="1"/>
  <c r="D10587" i="1"/>
  <c r="C10587" i="1"/>
  <c r="B10587" i="1"/>
  <c r="A10587" i="1"/>
  <c r="S10586" i="1"/>
  <c r="O10586" i="1"/>
  <c r="K10586" i="1"/>
  <c r="J10586" i="1"/>
  <c r="I10586" i="1"/>
  <c r="H10586" i="1"/>
  <c r="G10586" i="1"/>
  <c r="F10586" i="1"/>
  <c r="E10586" i="1"/>
  <c r="D10586" i="1"/>
  <c r="C10586" i="1"/>
  <c r="B10586" i="1"/>
  <c r="A10586" i="1"/>
  <c r="R10585" i="1"/>
  <c r="J10585" i="1"/>
  <c r="I10585" i="1"/>
  <c r="G10585" i="1"/>
  <c r="F10585" i="1"/>
  <c r="E10585" i="1"/>
  <c r="D10585" i="1"/>
  <c r="C10585" i="1"/>
  <c r="B10585" i="1"/>
  <c r="A10585" i="1"/>
  <c r="S10584" i="1"/>
  <c r="O10584" i="1"/>
  <c r="K10584" i="1"/>
  <c r="J10584" i="1"/>
  <c r="I10584" i="1"/>
  <c r="H10584" i="1"/>
  <c r="G10584" i="1"/>
  <c r="F10584" i="1"/>
  <c r="E10584" i="1"/>
  <c r="D10584" i="1"/>
  <c r="C10584" i="1"/>
  <c r="B10584" i="1"/>
  <c r="A10584" i="1"/>
  <c r="R10583" i="1"/>
  <c r="J10583" i="1"/>
  <c r="I10583" i="1"/>
  <c r="G10583" i="1"/>
  <c r="F10583" i="1"/>
  <c r="E10583" i="1"/>
  <c r="D10583" i="1"/>
  <c r="C10583" i="1"/>
  <c r="B10583" i="1"/>
  <c r="A10583" i="1"/>
  <c r="S10582" i="1"/>
  <c r="O10582" i="1"/>
  <c r="K10582" i="1"/>
  <c r="J10582" i="1"/>
  <c r="I10582" i="1"/>
  <c r="H10582" i="1"/>
  <c r="G10582" i="1"/>
  <c r="F10582" i="1"/>
  <c r="E10582" i="1"/>
  <c r="D10582" i="1"/>
  <c r="C10582" i="1"/>
  <c r="B10582" i="1"/>
  <c r="A10582" i="1"/>
  <c r="R10581" i="1"/>
  <c r="J10581" i="1"/>
  <c r="I10581" i="1"/>
  <c r="G10581" i="1"/>
  <c r="F10581" i="1"/>
  <c r="E10581" i="1"/>
  <c r="D10581" i="1"/>
  <c r="C10581" i="1"/>
  <c r="B10581" i="1"/>
  <c r="A10581" i="1"/>
  <c r="S10580" i="1"/>
  <c r="O10580" i="1"/>
  <c r="K10580" i="1"/>
  <c r="J10580" i="1"/>
  <c r="I10580" i="1"/>
  <c r="H10580" i="1"/>
  <c r="G10580" i="1"/>
  <c r="F10580" i="1"/>
  <c r="E10580" i="1"/>
  <c r="D10580" i="1"/>
  <c r="C10580" i="1"/>
  <c r="B10580" i="1"/>
  <c r="A10580" i="1"/>
  <c r="R10579" i="1"/>
  <c r="J10579" i="1"/>
  <c r="I10579" i="1"/>
  <c r="G10579" i="1"/>
  <c r="F10579" i="1"/>
  <c r="E10579" i="1"/>
  <c r="D10579" i="1"/>
  <c r="C10579" i="1"/>
  <c r="B10579" i="1"/>
  <c r="A10579" i="1"/>
  <c r="S10578" i="1"/>
  <c r="O10578" i="1"/>
  <c r="K10578" i="1"/>
  <c r="J10578" i="1"/>
  <c r="I10578" i="1"/>
  <c r="H10578" i="1"/>
  <c r="G10578" i="1"/>
  <c r="F10578" i="1"/>
  <c r="E10578" i="1"/>
  <c r="D10578" i="1"/>
  <c r="C10578" i="1"/>
  <c r="B10578" i="1"/>
  <c r="A10578" i="1"/>
  <c r="R10577" i="1"/>
  <c r="J10577" i="1"/>
  <c r="I10577" i="1"/>
  <c r="G10577" i="1"/>
  <c r="F10577" i="1"/>
  <c r="E10577" i="1"/>
  <c r="D10577" i="1"/>
  <c r="C10577" i="1"/>
  <c r="B10577" i="1"/>
  <c r="A10577" i="1"/>
  <c r="S10576" i="1"/>
  <c r="O10576" i="1"/>
  <c r="K10576" i="1"/>
  <c r="J10576" i="1"/>
  <c r="I10576" i="1"/>
  <c r="H10576" i="1"/>
  <c r="G10576" i="1"/>
  <c r="F10576" i="1"/>
  <c r="E10576" i="1"/>
  <c r="D10576" i="1"/>
  <c r="C10576" i="1"/>
  <c r="B10576" i="1"/>
  <c r="A10576" i="1"/>
  <c r="R10575" i="1"/>
  <c r="J10575" i="1"/>
  <c r="I10575" i="1"/>
  <c r="G10575" i="1"/>
  <c r="F10575" i="1"/>
  <c r="E10575" i="1"/>
  <c r="D10575" i="1"/>
  <c r="C10575" i="1"/>
  <c r="B10575" i="1"/>
  <c r="A10575" i="1"/>
  <c r="S10574" i="1"/>
  <c r="O10574" i="1"/>
  <c r="K10574" i="1"/>
  <c r="J10574" i="1"/>
  <c r="I10574" i="1"/>
  <c r="H10574" i="1"/>
  <c r="G10574" i="1"/>
  <c r="F10574" i="1"/>
  <c r="E10574" i="1"/>
  <c r="D10574" i="1"/>
  <c r="C10574" i="1"/>
  <c r="B10574" i="1"/>
  <c r="A10574" i="1"/>
  <c r="R10573" i="1"/>
  <c r="J10573" i="1"/>
  <c r="I10573" i="1"/>
  <c r="G10573" i="1"/>
  <c r="F10573" i="1"/>
  <c r="E10573" i="1"/>
  <c r="D10573" i="1"/>
  <c r="C10573" i="1"/>
  <c r="B10573" i="1"/>
  <c r="A10573" i="1"/>
  <c r="R10572" i="1"/>
  <c r="J10572" i="1"/>
  <c r="I10572" i="1"/>
  <c r="G10572" i="1"/>
  <c r="F10572" i="1"/>
  <c r="E10572" i="1"/>
  <c r="D10572" i="1"/>
  <c r="C10572" i="1"/>
  <c r="B10572" i="1"/>
  <c r="A10572" i="1"/>
  <c r="S10571" i="1"/>
  <c r="O10571" i="1"/>
  <c r="K10571" i="1"/>
  <c r="J10571" i="1"/>
  <c r="I10571" i="1"/>
  <c r="H10571" i="1"/>
  <c r="G10571" i="1"/>
  <c r="F10571" i="1"/>
  <c r="E10571" i="1"/>
  <c r="D10571" i="1"/>
  <c r="C10571" i="1"/>
  <c r="B10571" i="1"/>
  <c r="A10571" i="1"/>
  <c r="R10570" i="1"/>
  <c r="J10570" i="1"/>
  <c r="I10570" i="1"/>
  <c r="G10570" i="1"/>
  <c r="F10570" i="1"/>
  <c r="E10570" i="1"/>
  <c r="D10570" i="1"/>
  <c r="C10570" i="1"/>
  <c r="B10570" i="1"/>
  <c r="A10570" i="1"/>
  <c r="R10569" i="1"/>
  <c r="J10569" i="1"/>
  <c r="I10569" i="1"/>
  <c r="G10569" i="1"/>
  <c r="F10569" i="1"/>
  <c r="E10569" i="1"/>
  <c r="D10569" i="1"/>
  <c r="C10569" i="1"/>
  <c r="B10569" i="1"/>
  <c r="A10569" i="1"/>
  <c r="S10568" i="1"/>
  <c r="O10568" i="1"/>
  <c r="K10568" i="1"/>
  <c r="J10568" i="1"/>
  <c r="I10568" i="1"/>
  <c r="H10568" i="1"/>
  <c r="G10568" i="1"/>
  <c r="F10568" i="1"/>
  <c r="E10568" i="1"/>
  <c r="D10568" i="1"/>
  <c r="C10568" i="1"/>
  <c r="B10568" i="1"/>
  <c r="A10568" i="1"/>
  <c r="R10567" i="1"/>
  <c r="J10567" i="1"/>
  <c r="I10567" i="1"/>
  <c r="G10567" i="1"/>
  <c r="F10567" i="1"/>
  <c r="E10567" i="1"/>
  <c r="D10567" i="1"/>
  <c r="C10567" i="1"/>
  <c r="B10567" i="1"/>
  <c r="A10567" i="1"/>
  <c r="S10566" i="1"/>
  <c r="O10566" i="1"/>
  <c r="K10566" i="1"/>
  <c r="J10566" i="1"/>
  <c r="I10566" i="1"/>
  <c r="H10566" i="1"/>
  <c r="G10566" i="1"/>
  <c r="F10566" i="1"/>
  <c r="E10566" i="1"/>
  <c r="D10566" i="1"/>
  <c r="C10566" i="1"/>
  <c r="B10566" i="1"/>
  <c r="A10566" i="1"/>
  <c r="R10565" i="1"/>
  <c r="J10565" i="1"/>
  <c r="I10565" i="1"/>
  <c r="G10565" i="1"/>
  <c r="F10565" i="1"/>
  <c r="E10565" i="1"/>
  <c r="D10565" i="1"/>
  <c r="C10565" i="1"/>
  <c r="B10565" i="1"/>
  <c r="A10565" i="1"/>
  <c r="R10564" i="1"/>
  <c r="J10564" i="1"/>
  <c r="I10564" i="1"/>
  <c r="G10564" i="1"/>
  <c r="F10564" i="1"/>
  <c r="E10564" i="1"/>
  <c r="D10564" i="1"/>
  <c r="C10564" i="1"/>
  <c r="B10564" i="1"/>
  <c r="A10564" i="1"/>
  <c r="S10563" i="1"/>
  <c r="O10563" i="1"/>
  <c r="K10563" i="1"/>
  <c r="J10563" i="1"/>
  <c r="I10563" i="1"/>
  <c r="H10563" i="1"/>
  <c r="G10563" i="1"/>
  <c r="F10563" i="1"/>
  <c r="E10563" i="1"/>
  <c r="D10563" i="1"/>
  <c r="C10563" i="1"/>
  <c r="B10563" i="1"/>
  <c r="A10563" i="1"/>
  <c r="R10562" i="1"/>
  <c r="J10562" i="1"/>
  <c r="I10562" i="1"/>
  <c r="G10562" i="1"/>
  <c r="F10562" i="1"/>
  <c r="E10562" i="1"/>
  <c r="D10562" i="1"/>
  <c r="C10562" i="1"/>
  <c r="B10562" i="1"/>
  <c r="A10562" i="1"/>
  <c r="S10561" i="1"/>
  <c r="O10561" i="1"/>
  <c r="K10561" i="1"/>
  <c r="J10561" i="1"/>
  <c r="I10561" i="1"/>
  <c r="H10561" i="1"/>
  <c r="G10561" i="1"/>
  <c r="F10561" i="1"/>
  <c r="E10561" i="1"/>
  <c r="D10561" i="1"/>
  <c r="C10561" i="1"/>
  <c r="B10561" i="1"/>
  <c r="A10561" i="1"/>
  <c r="R10560" i="1"/>
  <c r="J10560" i="1"/>
  <c r="I10560" i="1"/>
  <c r="G10560" i="1"/>
  <c r="F10560" i="1"/>
  <c r="E10560" i="1"/>
  <c r="D10560" i="1"/>
  <c r="C10560" i="1"/>
  <c r="B10560" i="1"/>
  <c r="A10560" i="1"/>
  <c r="S10559" i="1"/>
  <c r="O10559" i="1"/>
  <c r="K10559" i="1"/>
  <c r="J10559" i="1"/>
  <c r="I10559" i="1"/>
  <c r="H10559" i="1"/>
  <c r="G10559" i="1"/>
  <c r="F10559" i="1"/>
  <c r="E10559" i="1"/>
  <c r="D10559" i="1"/>
  <c r="C10559" i="1"/>
  <c r="B10559" i="1"/>
  <c r="A10559" i="1"/>
  <c r="R10558" i="1"/>
  <c r="J10558" i="1"/>
  <c r="I10558" i="1"/>
  <c r="G10558" i="1"/>
  <c r="F10558" i="1"/>
  <c r="E10558" i="1"/>
  <c r="D10558" i="1"/>
  <c r="C10558" i="1"/>
  <c r="B10558" i="1"/>
  <c r="A10558" i="1"/>
  <c r="R10557" i="1"/>
  <c r="J10557" i="1"/>
  <c r="I10557" i="1"/>
  <c r="G10557" i="1"/>
  <c r="F10557" i="1"/>
  <c r="E10557" i="1"/>
  <c r="D10557" i="1"/>
  <c r="C10557" i="1"/>
  <c r="B10557" i="1"/>
  <c r="A10557" i="1"/>
  <c r="S10556" i="1"/>
  <c r="O10556" i="1"/>
  <c r="K10556" i="1"/>
  <c r="J10556" i="1"/>
  <c r="I10556" i="1"/>
  <c r="H10556" i="1"/>
  <c r="G10556" i="1"/>
  <c r="F10556" i="1"/>
  <c r="E10556" i="1"/>
  <c r="D10556" i="1"/>
  <c r="C10556" i="1"/>
  <c r="B10556" i="1"/>
  <c r="A10556" i="1"/>
  <c r="R10555" i="1"/>
  <c r="J10555" i="1"/>
  <c r="I10555" i="1"/>
  <c r="G10555" i="1"/>
  <c r="F10555" i="1"/>
  <c r="E10555" i="1"/>
  <c r="D10555" i="1"/>
  <c r="C10555" i="1"/>
  <c r="B10555" i="1"/>
  <c r="A10555" i="1"/>
  <c r="S10554" i="1"/>
  <c r="O10554" i="1"/>
  <c r="K10554" i="1"/>
  <c r="J10554" i="1"/>
  <c r="I10554" i="1"/>
  <c r="H10554" i="1"/>
  <c r="G10554" i="1"/>
  <c r="F10554" i="1"/>
  <c r="E10554" i="1"/>
  <c r="D10554" i="1"/>
  <c r="C10554" i="1"/>
  <c r="B10554" i="1"/>
  <c r="A10554" i="1"/>
  <c r="R10553" i="1"/>
  <c r="J10553" i="1"/>
  <c r="I10553" i="1"/>
  <c r="G10553" i="1"/>
  <c r="F10553" i="1"/>
  <c r="E10553" i="1"/>
  <c r="D10553" i="1"/>
  <c r="C10553" i="1"/>
  <c r="B10553" i="1"/>
  <c r="A10553" i="1"/>
  <c r="R10552" i="1"/>
  <c r="J10552" i="1"/>
  <c r="I10552" i="1"/>
  <c r="G10552" i="1"/>
  <c r="F10552" i="1"/>
  <c r="E10552" i="1"/>
  <c r="D10552" i="1"/>
  <c r="C10552" i="1"/>
  <c r="B10552" i="1"/>
  <c r="A10552" i="1"/>
  <c r="S10551" i="1"/>
  <c r="O10551" i="1"/>
  <c r="K10551" i="1"/>
  <c r="J10551" i="1"/>
  <c r="I10551" i="1"/>
  <c r="H10551" i="1"/>
  <c r="G10551" i="1"/>
  <c r="F10551" i="1"/>
  <c r="E10551" i="1"/>
  <c r="D10551" i="1"/>
  <c r="C10551" i="1"/>
  <c r="B10551" i="1"/>
  <c r="A10551" i="1"/>
  <c r="R10550" i="1"/>
  <c r="J10550" i="1"/>
  <c r="I10550" i="1"/>
  <c r="G10550" i="1"/>
  <c r="F10550" i="1"/>
  <c r="E10550" i="1"/>
  <c r="D10550" i="1"/>
  <c r="C10550" i="1"/>
  <c r="B10550" i="1"/>
  <c r="A10550" i="1"/>
  <c r="S10549" i="1"/>
  <c r="O10549" i="1"/>
  <c r="K10549" i="1"/>
  <c r="J10549" i="1"/>
  <c r="I10549" i="1"/>
  <c r="H10549" i="1"/>
  <c r="G10549" i="1"/>
  <c r="F10549" i="1"/>
  <c r="E10549" i="1"/>
  <c r="D10549" i="1"/>
  <c r="C10549" i="1"/>
  <c r="B10549" i="1"/>
  <c r="A10549" i="1"/>
  <c r="R10548" i="1"/>
  <c r="J10548" i="1"/>
  <c r="I10548" i="1"/>
  <c r="G10548" i="1"/>
  <c r="F10548" i="1"/>
  <c r="E10548" i="1"/>
  <c r="D10548" i="1"/>
  <c r="C10548" i="1"/>
  <c r="B10548" i="1"/>
  <c r="A10548" i="1"/>
  <c r="S10547" i="1"/>
  <c r="O10547" i="1"/>
  <c r="K10547" i="1"/>
  <c r="J10547" i="1"/>
  <c r="I10547" i="1"/>
  <c r="H10547" i="1"/>
  <c r="G10547" i="1"/>
  <c r="F10547" i="1"/>
  <c r="E10547" i="1"/>
  <c r="D10547" i="1"/>
  <c r="C10547" i="1"/>
  <c r="B10547" i="1"/>
  <c r="A10547" i="1"/>
  <c r="R10546" i="1"/>
  <c r="J10546" i="1"/>
  <c r="I10546" i="1"/>
  <c r="G10546" i="1"/>
  <c r="F10546" i="1"/>
  <c r="E10546" i="1"/>
  <c r="D10546" i="1"/>
  <c r="C10546" i="1"/>
  <c r="B10546" i="1"/>
  <c r="A10546" i="1"/>
  <c r="S10545" i="1"/>
  <c r="O10545" i="1"/>
  <c r="K10545" i="1"/>
  <c r="J10545" i="1"/>
  <c r="I10545" i="1"/>
  <c r="H10545" i="1"/>
  <c r="G10545" i="1"/>
  <c r="F10545" i="1"/>
  <c r="E10545" i="1"/>
  <c r="D10545" i="1"/>
  <c r="C10545" i="1"/>
  <c r="B10545" i="1"/>
  <c r="A10545" i="1"/>
  <c r="R10544" i="1"/>
  <c r="J10544" i="1"/>
  <c r="I10544" i="1"/>
  <c r="G10544" i="1"/>
  <c r="F10544" i="1"/>
  <c r="E10544" i="1"/>
  <c r="D10544" i="1"/>
  <c r="C10544" i="1"/>
  <c r="B10544" i="1"/>
  <c r="A10544" i="1"/>
  <c r="S10543" i="1"/>
  <c r="O10543" i="1"/>
  <c r="K10543" i="1"/>
  <c r="J10543" i="1"/>
  <c r="I10543" i="1"/>
  <c r="H10543" i="1"/>
  <c r="G10543" i="1"/>
  <c r="F10543" i="1"/>
  <c r="E10543" i="1"/>
  <c r="D10543" i="1"/>
  <c r="C10543" i="1"/>
  <c r="B10543" i="1"/>
  <c r="A10543" i="1"/>
  <c r="R10542" i="1"/>
  <c r="J10542" i="1"/>
  <c r="I10542" i="1"/>
  <c r="G10542" i="1"/>
  <c r="F10542" i="1"/>
  <c r="E10542" i="1"/>
  <c r="D10542" i="1"/>
  <c r="C10542" i="1"/>
  <c r="B10542" i="1"/>
  <c r="A10542" i="1"/>
  <c r="S10541" i="1"/>
  <c r="O10541" i="1"/>
  <c r="K10541" i="1"/>
  <c r="J10541" i="1"/>
  <c r="I10541" i="1"/>
  <c r="H10541" i="1"/>
  <c r="G10541" i="1"/>
  <c r="F10541" i="1"/>
  <c r="E10541" i="1"/>
  <c r="D10541" i="1"/>
  <c r="C10541" i="1"/>
  <c r="B10541" i="1"/>
  <c r="A10541" i="1"/>
  <c r="R10540" i="1"/>
  <c r="J10540" i="1"/>
  <c r="I10540" i="1"/>
  <c r="G10540" i="1"/>
  <c r="F10540" i="1"/>
  <c r="E10540" i="1"/>
  <c r="D10540" i="1"/>
  <c r="C10540" i="1"/>
  <c r="B10540" i="1"/>
  <c r="A10540" i="1"/>
  <c r="S10539" i="1"/>
  <c r="O10539" i="1"/>
  <c r="K10539" i="1"/>
  <c r="J10539" i="1"/>
  <c r="I10539" i="1"/>
  <c r="H10539" i="1"/>
  <c r="G10539" i="1"/>
  <c r="F10539" i="1"/>
  <c r="E10539" i="1"/>
  <c r="D10539" i="1"/>
  <c r="C10539" i="1"/>
  <c r="B10539" i="1"/>
  <c r="A10539" i="1"/>
  <c r="R10538" i="1"/>
  <c r="J10538" i="1"/>
  <c r="I10538" i="1"/>
  <c r="G10538" i="1"/>
  <c r="F10538" i="1"/>
  <c r="E10538" i="1"/>
  <c r="D10538" i="1"/>
  <c r="C10538" i="1"/>
  <c r="B10538" i="1"/>
  <c r="A10538" i="1"/>
  <c r="S10537" i="1"/>
  <c r="O10537" i="1"/>
  <c r="K10537" i="1"/>
  <c r="J10537" i="1"/>
  <c r="I10537" i="1"/>
  <c r="H10537" i="1"/>
  <c r="G10537" i="1"/>
  <c r="F10537" i="1"/>
  <c r="E10537" i="1"/>
  <c r="D10537" i="1"/>
  <c r="C10537" i="1"/>
  <c r="B10537" i="1"/>
  <c r="A10537" i="1"/>
  <c r="R10536" i="1"/>
  <c r="J10536" i="1"/>
  <c r="I10536" i="1"/>
  <c r="G10536" i="1"/>
  <c r="F10536" i="1"/>
  <c r="E10536" i="1"/>
  <c r="D10536" i="1"/>
  <c r="C10536" i="1"/>
  <c r="B10536" i="1"/>
  <c r="A10536" i="1"/>
  <c r="R10535" i="1"/>
  <c r="J10535" i="1"/>
  <c r="I10535" i="1"/>
  <c r="G10535" i="1"/>
  <c r="F10535" i="1"/>
  <c r="E10535" i="1"/>
  <c r="D10535" i="1"/>
  <c r="C10535" i="1"/>
  <c r="B10535" i="1"/>
  <c r="A10535" i="1"/>
  <c r="S10534" i="1"/>
  <c r="O10534" i="1"/>
  <c r="K10534" i="1"/>
  <c r="J10534" i="1"/>
  <c r="I10534" i="1"/>
  <c r="H10534" i="1"/>
  <c r="G10534" i="1"/>
  <c r="F10534" i="1"/>
  <c r="E10534" i="1"/>
  <c r="D10534" i="1"/>
  <c r="C10534" i="1"/>
  <c r="B10534" i="1"/>
  <c r="A10534" i="1"/>
  <c r="R10533" i="1"/>
  <c r="J10533" i="1"/>
  <c r="I10533" i="1"/>
  <c r="G10533" i="1"/>
  <c r="F10533" i="1"/>
  <c r="E10533" i="1"/>
  <c r="D10533" i="1"/>
  <c r="C10533" i="1"/>
  <c r="B10533" i="1"/>
  <c r="A10533" i="1"/>
  <c r="S10532" i="1"/>
  <c r="O10532" i="1"/>
  <c r="K10532" i="1"/>
  <c r="J10532" i="1"/>
  <c r="I10532" i="1"/>
  <c r="H10532" i="1"/>
  <c r="G10532" i="1"/>
  <c r="F10532" i="1"/>
  <c r="E10532" i="1"/>
  <c r="D10532" i="1"/>
  <c r="C10532" i="1"/>
  <c r="B10532" i="1"/>
  <c r="A10532" i="1"/>
  <c r="R10531" i="1"/>
  <c r="J10531" i="1"/>
  <c r="I10531" i="1"/>
  <c r="G10531" i="1"/>
  <c r="F10531" i="1"/>
  <c r="E10531" i="1"/>
  <c r="D10531" i="1"/>
  <c r="C10531" i="1"/>
  <c r="B10531" i="1"/>
  <c r="A10531" i="1"/>
  <c r="S10530" i="1"/>
  <c r="O10530" i="1"/>
  <c r="K10530" i="1"/>
  <c r="J10530" i="1"/>
  <c r="I10530" i="1"/>
  <c r="H10530" i="1"/>
  <c r="G10530" i="1"/>
  <c r="F10530" i="1"/>
  <c r="E10530" i="1"/>
  <c r="D10530" i="1"/>
  <c r="C10530" i="1"/>
  <c r="B10530" i="1"/>
  <c r="A10530" i="1"/>
  <c r="R10529" i="1"/>
  <c r="J10529" i="1"/>
  <c r="I10529" i="1"/>
  <c r="G10529" i="1"/>
  <c r="F10529" i="1"/>
  <c r="E10529" i="1"/>
  <c r="D10529" i="1"/>
  <c r="C10529" i="1"/>
  <c r="B10529" i="1"/>
  <c r="A10529" i="1"/>
  <c r="S10528" i="1"/>
  <c r="O10528" i="1"/>
  <c r="K10528" i="1"/>
  <c r="J10528" i="1"/>
  <c r="I10528" i="1"/>
  <c r="H10528" i="1"/>
  <c r="G10528" i="1"/>
  <c r="F10528" i="1"/>
  <c r="E10528" i="1"/>
  <c r="D10528" i="1"/>
  <c r="C10528" i="1"/>
  <c r="B10528" i="1"/>
  <c r="A10528" i="1"/>
  <c r="R10527" i="1"/>
  <c r="J10527" i="1"/>
  <c r="I10527" i="1"/>
  <c r="G10527" i="1"/>
  <c r="F10527" i="1"/>
  <c r="E10527" i="1"/>
  <c r="D10527" i="1"/>
  <c r="C10527" i="1"/>
  <c r="B10527" i="1"/>
  <c r="A10527" i="1"/>
  <c r="S10526" i="1"/>
  <c r="O10526" i="1"/>
  <c r="K10526" i="1"/>
  <c r="J10526" i="1"/>
  <c r="I10526" i="1"/>
  <c r="H10526" i="1"/>
  <c r="G10526" i="1"/>
  <c r="F10526" i="1"/>
  <c r="E10526" i="1"/>
  <c r="D10526" i="1"/>
  <c r="C10526" i="1"/>
  <c r="B10526" i="1"/>
  <c r="A10526" i="1"/>
  <c r="R10525" i="1"/>
  <c r="J10525" i="1"/>
  <c r="I10525" i="1"/>
  <c r="G10525" i="1"/>
  <c r="F10525" i="1"/>
  <c r="E10525" i="1"/>
  <c r="D10525" i="1"/>
  <c r="C10525" i="1"/>
  <c r="B10525" i="1"/>
  <c r="A10525" i="1"/>
  <c r="S10524" i="1"/>
  <c r="O10524" i="1"/>
  <c r="K10524" i="1"/>
  <c r="J10524" i="1"/>
  <c r="I10524" i="1"/>
  <c r="H10524" i="1"/>
  <c r="G10524" i="1"/>
  <c r="F10524" i="1"/>
  <c r="E10524" i="1"/>
  <c r="D10524" i="1"/>
  <c r="C10524" i="1"/>
  <c r="B10524" i="1"/>
  <c r="A10524" i="1"/>
  <c r="R10523" i="1"/>
  <c r="J10523" i="1"/>
  <c r="I10523" i="1"/>
  <c r="G10523" i="1"/>
  <c r="F10523" i="1"/>
  <c r="E10523" i="1"/>
  <c r="D10523" i="1"/>
  <c r="C10523" i="1"/>
  <c r="B10523" i="1"/>
  <c r="A10523" i="1"/>
  <c r="S10522" i="1"/>
  <c r="O10522" i="1"/>
  <c r="K10522" i="1"/>
  <c r="J10522" i="1"/>
  <c r="I10522" i="1"/>
  <c r="H10522" i="1"/>
  <c r="G10522" i="1"/>
  <c r="F10522" i="1"/>
  <c r="E10522" i="1"/>
  <c r="D10522" i="1"/>
  <c r="C10522" i="1"/>
  <c r="B10522" i="1"/>
  <c r="A10522" i="1"/>
  <c r="R10521" i="1"/>
  <c r="J10521" i="1"/>
  <c r="I10521" i="1"/>
  <c r="G10521" i="1"/>
  <c r="F10521" i="1"/>
  <c r="E10521" i="1"/>
  <c r="D10521" i="1"/>
  <c r="C10521" i="1"/>
  <c r="B10521" i="1"/>
  <c r="A10521" i="1"/>
  <c r="R10520" i="1"/>
  <c r="J10520" i="1"/>
  <c r="I10520" i="1"/>
  <c r="G10520" i="1"/>
  <c r="F10520" i="1"/>
  <c r="E10520" i="1"/>
  <c r="D10520" i="1"/>
  <c r="C10520" i="1"/>
  <c r="B10520" i="1"/>
  <c r="A10520" i="1"/>
  <c r="R10519" i="1"/>
  <c r="J10519" i="1"/>
  <c r="I10519" i="1"/>
  <c r="G10519" i="1"/>
  <c r="F10519" i="1"/>
  <c r="E10519" i="1"/>
  <c r="D10519" i="1"/>
  <c r="C10519" i="1"/>
  <c r="B10519" i="1"/>
  <c r="A10519" i="1"/>
  <c r="R10518" i="1"/>
  <c r="J10518" i="1"/>
  <c r="I10518" i="1"/>
  <c r="G10518" i="1"/>
  <c r="F10518" i="1"/>
  <c r="E10518" i="1"/>
  <c r="D10518" i="1"/>
  <c r="C10518" i="1"/>
  <c r="B10518" i="1"/>
  <c r="A10518" i="1"/>
  <c r="R10517" i="1"/>
  <c r="J10517" i="1"/>
  <c r="I10517" i="1"/>
  <c r="G10517" i="1"/>
  <c r="F10517" i="1"/>
  <c r="E10517" i="1"/>
  <c r="D10517" i="1"/>
  <c r="C10517" i="1"/>
  <c r="B10517" i="1"/>
  <c r="A10517" i="1"/>
  <c r="R10516" i="1"/>
  <c r="J10516" i="1"/>
  <c r="I10516" i="1"/>
  <c r="G10516" i="1"/>
  <c r="F10516" i="1"/>
  <c r="E10516" i="1"/>
  <c r="D10516" i="1"/>
  <c r="C10516" i="1"/>
  <c r="B10516" i="1"/>
  <c r="A10516" i="1"/>
  <c r="S10515" i="1"/>
  <c r="O10515" i="1"/>
  <c r="K10515" i="1"/>
  <c r="J10515" i="1"/>
  <c r="I10515" i="1"/>
  <c r="H10515" i="1"/>
  <c r="G10515" i="1"/>
  <c r="F10515" i="1"/>
  <c r="E10515" i="1"/>
  <c r="D10515" i="1"/>
  <c r="C10515" i="1"/>
  <c r="B10515" i="1"/>
  <c r="A10515" i="1"/>
  <c r="R10514" i="1"/>
  <c r="J10514" i="1"/>
  <c r="I10514" i="1"/>
  <c r="G10514" i="1"/>
  <c r="F10514" i="1"/>
  <c r="E10514" i="1"/>
  <c r="D10514" i="1"/>
  <c r="C10514" i="1"/>
  <c r="B10514" i="1"/>
  <c r="A10514" i="1"/>
  <c r="S10513" i="1"/>
  <c r="O10513" i="1"/>
  <c r="K10513" i="1"/>
  <c r="J10513" i="1"/>
  <c r="I10513" i="1"/>
  <c r="H10513" i="1"/>
  <c r="G10513" i="1"/>
  <c r="F10513" i="1"/>
  <c r="E10513" i="1"/>
  <c r="D10513" i="1"/>
  <c r="C10513" i="1"/>
  <c r="B10513" i="1"/>
  <c r="A10513" i="1"/>
  <c r="R10512" i="1"/>
  <c r="J10512" i="1"/>
  <c r="I10512" i="1"/>
  <c r="G10512" i="1"/>
  <c r="F10512" i="1"/>
  <c r="E10512" i="1"/>
  <c r="D10512" i="1"/>
  <c r="C10512" i="1"/>
  <c r="B10512" i="1"/>
  <c r="A10512" i="1"/>
  <c r="S10511" i="1"/>
  <c r="O10511" i="1"/>
  <c r="K10511" i="1"/>
  <c r="J10511" i="1"/>
  <c r="I10511" i="1"/>
  <c r="H10511" i="1"/>
  <c r="G10511" i="1"/>
  <c r="F10511" i="1"/>
  <c r="E10511" i="1"/>
  <c r="D10511" i="1"/>
  <c r="C10511" i="1"/>
  <c r="B10511" i="1"/>
  <c r="A10511" i="1"/>
  <c r="R10510" i="1"/>
  <c r="J10510" i="1"/>
  <c r="I10510" i="1"/>
  <c r="G10510" i="1"/>
  <c r="F10510" i="1"/>
  <c r="E10510" i="1"/>
  <c r="D10510" i="1"/>
  <c r="C10510" i="1"/>
  <c r="B10510" i="1"/>
  <c r="A10510" i="1"/>
  <c r="R10509" i="1"/>
  <c r="J10509" i="1"/>
  <c r="I10509" i="1"/>
  <c r="G10509" i="1"/>
  <c r="F10509" i="1"/>
  <c r="E10509" i="1"/>
  <c r="D10509" i="1"/>
  <c r="C10509" i="1"/>
  <c r="B10509" i="1"/>
  <c r="A10509" i="1"/>
  <c r="S10508" i="1"/>
  <c r="O10508" i="1"/>
  <c r="K10508" i="1"/>
  <c r="J10508" i="1"/>
  <c r="I10508" i="1"/>
  <c r="H10508" i="1"/>
  <c r="G10508" i="1"/>
  <c r="F10508" i="1"/>
  <c r="E10508" i="1"/>
  <c r="D10508" i="1"/>
  <c r="C10508" i="1"/>
  <c r="B10508" i="1"/>
  <c r="A10508" i="1"/>
  <c r="R10507" i="1"/>
  <c r="J10507" i="1"/>
  <c r="I10507" i="1"/>
  <c r="G10507" i="1"/>
  <c r="F10507" i="1"/>
  <c r="E10507" i="1"/>
  <c r="D10507" i="1"/>
  <c r="C10507" i="1"/>
  <c r="B10507" i="1"/>
  <c r="A10507" i="1"/>
  <c r="S10506" i="1"/>
  <c r="O10506" i="1"/>
  <c r="K10506" i="1"/>
  <c r="J10506" i="1"/>
  <c r="I10506" i="1"/>
  <c r="H10506" i="1"/>
  <c r="G10506" i="1"/>
  <c r="F10506" i="1"/>
  <c r="E10506" i="1"/>
  <c r="D10506" i="1"/>
  <c r="C10506" i="1"/>
  <c r="B10506" i="1"/>
  <c r="A10506" i="1"/>
  <c r="R10505" i="1"/>
  <c r="J10505" i="1"/>
  <c r="I10505" i="1"/>
  <c r="G10505" i="1"/>
  <c r="F10505" i="1"/>
  <c r="E10505" i="1"/>
  <c r="D10505" i="1"/>
  <c r="C10505" i="1"/>
  <c r="B10505" i="1"/>
  <c r="A10505" i="1"/>
  <c r="R10504" i="1"/>
  <c r="J10504" i="1"/>
  <c r="I10504" i="1"/>
  <c r="G10504" i="1"/>
  <c r="F10504" i="1"/>
  <c r="E10504" i="1"/>
  <c r="D10504" i="1"/>
  <c r="C10504" i="1"/>
  <c r="B10504" i="1"/>
  <c r="A10504" i="1"/>
  <c r="R10503" i="1"/>
  <c r="J10503" i="1"/>
  <c r="I10503" i="1"/>
  <c r="G10503" i="1"/>
  <c r="F10503" i="1"/>
  <c r="E10503" i="1"/>
  <c r="D10503" i="1"/>
  <c r="C10503" i="1"/>
  <c r="B10503" i="1"/>
  <c r="A10503" i="1"/>
  <c r="S10502" i="1"/>
  <c r="O10502" i="1"/>
  <c r="K10502" i="1"/>
  <c r="J10502" i="1"/>
  <c r="I10502" i="1"/>
  <c r="H10502" i="1"/>
  <c r="G10502" i="1"/>
  <c r="F10502" i="1"/>
  <c r="E10502" i="1"/>
  <c r="D10502" i="1"/>
  <c r="C10502" i="1"/>
  <c r="B10502" i="1"/>
  <c r="A10502" i="1"/>
  <c r="R10501" i="1"/>
  <c r="J10501" i="1"/>
  <c r="I10501" i="1"/>
  <c r="G10501" i="1"/>
  <c r="F10501" i="1"/>
  <c r="E10501" i="1"/>
  <c r="D10501" i="1"/>
  <c r="C10501" i="1"/>
  <c r="B10501" i="1"/>
  <c r="A10501" i="1"/>
  <c r="S10500" i="1"/>
  <c r="O10500" i="1"/>
  <c r="K10500" i="1"/>
  <c r="J10500" i="1"/>
  <c r="I10500" i="1"/>
  <c r="H10500" i="1"/>
  <c r="G10500" i="1"/>
  <c r="F10500" i="1"/>
  <c r="E10500" i="1"/>
  <c r="D10500" i="1"/>
  <c r="C10500" i="1"/>
  <c r="B10500" i="1"/>
  <c r="A10500" i="1"/>
  <c r="R10499" i="1"/>
  <c r="J10499" i="1"/>
  <c r="I10499" i="1"/>
  <c r="G10499" i="1"/>
  <c r="F10499" i="1"/>
  <c r="E10499" i="1"/>
  <c r="D10499" i="1"/>
  <c r="C10499" i="1"/>
  <c r="B10499" i="1"/>
  <c r="A10499" i="1"/>
  <c r="R10498" i="1"/>
  <c r="J10498" i="1"/>
  <c r="I10498" i="1"/>
  <c r="G10498" i="1"/>
  <c r="F10498" i="1"/>
  <c r="E10498" i="1"/>
  <c r="D10498" i="1"/>
  <c r="C10498" i="1"/>
  <c r="B10498" i="1"/>
  <c r="A10498" i="1"/>
  <c r="R10497" i="1"/>
  <c r="J10497" i="1"/>
  <c r="I10497" i="1"/>
  <c r="G10497" i="1"/>
  <c r="F10497" i="1"/>
  <c r="E10497" i="1"/>
  <c r="D10497" i="1"/>
  <c r="C10497" i="1"/>
  <c r="B10497" i="1"/>
  <c r="A10497" i="1"/>
  <c r="S10496" i="1"/>
  <c r="O10496" i="1"/>
  <c r="K10496" i="1"/>
  <c r="J10496" i="1"/>
  <c r="I10496" i="1"/>
  <c r="H10496" i="1"/>
  <c r="G10496" i="1"/>
  <c r="F10496" i="1"/>
  <c r="E10496" i="1"/>
  <c r="D10496" i="1"/>
  <c r="C10496" i="1"/>
  <c r="B10496" i="1"/>
  <c r="A10496" i="1"/>
  <c r="R10495" i="1"/>
  <c r="J10495" i="1"/>
  <c r="I10495" i="1"/>
  <c r="G10495" i="1"/>
  <c r="F10495" i="1"/>
  <c r="E10495" i="1"/>
  <c r="D10495" i="1"/>
  <c r="C10495" i="1"/>
  <c r="B10495" i="1"/>
  <c r="A10495" i="1"/>
  <c r="R10494" i="1"/>
  <c r="J10494" i="1"/>
  <c r="I10494" i="1"/>
  <c r="G10494" i="1"/>
  <c r="F10494" i="1"/>
  <c r="E10494" i="1"/>
  <c r="D10494" i="1"/>
  <c r="C10494" i="1"/>
  <c r="B10494" i="1"/>
  <c r="A10494" i="1"/>
  <c r="R10493" i="1"/>
  <c r="J10493" i="1"/>
  <c r="I10493" i="1"/>
  <c r="G10493" i="1"/>
  <c r="F10493" i="1"/>
  <c r="E10493" i="1"/>
  <c r="D10493" i="1"/>
  <c r="C10493" i="1"/>
  <c r="B10493" i="1"/>
  <c r="A10493" i="1"/>
  <c r="S10492" i="1"/>
  <c r="O10492" i="1"/>
  <c r="K10492" i="1"/>
  <c r="J10492" i="1"/>
  <c r="I10492" i="1"/>
  <c r="H10492" i="1"/>
  <c r="G10492" i="1"/>
  <c r="F10492" i="1"/>
  <c r="E10492" i="1"/>
  <c r="D10492" i="1"/>
  <c r="C10492" i="1"/>
  <c r="B10492" i="1"/>
  <c r="A10492" i="1"/>
  <c r="R10491" i="1"/>
  <c r="J10491" i="1"/>
  <c r="I10491" i="1"/>
  <c r="G10491" i="1"/>
  <c r="F10491" i="1"/>
  <c r="E10491" i="1"/>
  <c r="D10491" i="1"/>
  <c r="C10491" i="1"/>
  <c r="B10491" i="1"/>
  <c r="A10491" i="1"/>
  <c r="R10490" i="1"/>
  <c r="J10490" i="1"/>
  <c r="I10490" i="1"/>
  <c r="G10490" i="1"/>
  <c r="F10490" i="1"/>
  <c r="E10490" i="1"/>
  <c r="D10490" i="1"/>
  <c r="C10490" i="1"/>
  <c r="B10490" i="1"/>
  <c r="A10490" i="1"/>
  <c r="S10489" i="1"/>
  <c r="O10489" i="1"/>
  <c r="K10489" i="1"/>
  <c r="J10489" i="1"/>
  <c r="I10489" i="1"/>
  <c r="H10489" i="1"/>
  <c r="G10489" i="1"/>
  <c r="F10489" i="1"/>
  <c r="E10489" i="1"/>
  <c r="D10489" i="1"/>
  <c r="C10489" i="1"/>
  <c r="B10489" i="1"/>
  <c r="A10489" i="1"/>
  <c r="R10488" i="1"/>
  <c r="J10488" i="1"/>
  <c r="I10488" i="1"/>
  <c r="G10488" i="1"/>
  <c r="F10488" i="1"/>
  <c r="E10488" i="1"/>
  <c r="D10488" i="1"/>
  <c r="C10488" i="1"/>
  <c r="B10488" i="1"/>
  <c r="A10488" i="1"/>
  <c r="R10487" i="1"/>
  <c r="J10487" i="1"/>
  <c r="I10487" i="1"/>
  <c r="G10487" i="1"/>
  <c r="F10487" i="1"/>
  <c r="E10487" i="1"/>
  <c r="D10487" i="1"/>
  <c r="C10487" i="1"/>
  <c r="B10487" i="1"/>
  <c r="A10487" i="1"/>
  <c r="R10486" i="1"/>
  <c r="J10486" i="1"/>
  <c r="I10486" i="1"/>
  <c r="G10486" i="1"/>
  <c r="F10486" i="1"/>
  <c r="E10486" i="1"/>
  <c r="D10486" i="1"/>
  <c r="C10486" i="1"/>
  <c r="B10486" i="1"/>
  <c r="A10486" i="1"/>
  <c r="R10485" i="1"/>
  <c r="J10485" i="1"/>
  <c r="I10485" i="1"/>
  <c r="G10485" i="1"/>
  <c r="F10485" i="1"/>
  <c r="E10485" i="1"/>
  <c r="D10485" i="1"/>
  <c r="C10485" i="1"/>
  <c r="B10485" i="1"/>
  <c r="A10485" i="1"/>
  <c r="R10484" i="1"/>
  <c r="J10484" i="1"/>
  <c r="I10484" i="1"/>
  <c r="G10484" i="1"/>
  <c r="F10484" i="1"/>
  <c r="E10484" i="1"/>
  <c r="D10484" i="1"/>
  <c r="C10484" i="1"/>
  <c r="B10484" i="1"/>
  <c r="A10484" i="1"/>
  <c r="S10483" i="1"/>
  <c r="O10483" i="1"/>
  <c r="K10483" i="1"/>
  <c r="J10483" i="1"/>
  <c r="I10483" i="1"/>
  <c r="H10483" i="1"/>
  <c r="G10483" i="1"/>
  <c r="F10483" i="1"/>
  <c r="E10483" i="1"/>
  <c r="D10483" i="1"/>
  <c r="C10483" i="1"/>
  <c r="B10483" i="1"/>
  <c r="A10483" i="1"/>
  <c r="R10482" i="1"/>
  <c r="J10482" i="1"/>
  <c r="I10482" i="1"/>
  <c r="G10482" i="1"/>
  <c r="F10482" i="1"/>
  <c r="E10482" i="1"/>
  <c r="D10482" i="1"/>
  <c r="C10482" i="1"/>
  <c r="B10482" i="1"/>
  <c r="A10482" i="1"/>
  <c r="S10481" i="1"/>
  <c r="O10481" i="1"/>
  <c r="K10481" i="1"/>
  <c r="J10481" i="1"/>
  <c r="I10481" i="1"/>
  <c r="H10481" i="1"/>
  <c r="G10481" i="1"/>
  <c r="F10481" i="1"/>
  <c r="E10481" i="1"/>
  <c r="D10481" i="1"/>
  <c r="C10481" i="1"/>
  <c r="B10481" i="1"/>
  <c r="A10481" i="1"/>
  <c r="R10480" i="1"/>
  <c r="J10480" i="1"/>
  <c r="I10480" i="1"/>
  <c r="G10480" i="1"/>
  <c r="F10480" i="1"/>
  <c r="E10480" i="1"/>
  <c r="D10480" i="1"/>
  <c r="C10480" i="1"/>
  <c r="B10480" i="1"/>
  <c r="A10480" i="1"/>
  <c r="R10479" i="1"/>
  <c r="J10479" i="1"/>
  <c r="I10479" i="1"/>
  <c r="G10479" i="1"/>
  <c r="F10479" i="1"/>
  <c r="E10479" i="1"/>
  <c r="D10479" i="1"/>
  <c r="C10479" i="1"/>
  <c r="B10479" i="1"/>
  <c r="A10479" i="1"/>
  <c r="R10478" i="1"/>
  <c r="J10478" i="1"/>
  <c r="I10478" i="1"/>
  <c r="G10478" i="1"/>
  <c r="F10478" i="1"/>
  <c r="E10478" i="1"/>
  <c r="D10478" i="1"/>
  <c r="C10478" i="1"/>
  <c r="B10478" i="1"/>
  <c r="A10478" i="1"/>
  <c r="R10477" i="1"/>
  <c r="J10477" i="1"/>
  <c r="I10477" i="1"/>
  <c r="G10477" i="1"/>
  <c r="F10477" i="1"/>
  <c r="E10477" i="1"/>
  <c r="D10477" i="1"/>
  <c r="C10477" i="1"/>
  <c r="B10477" i="1"/>
  <c r="A10477" i="1"/>
  <c r="S10476" i="1"/>
  <c r="O10476" i="1"/>
  <c r="K10476" i="1"/>
  <c r="J10476" i="1"/>
  <c r="I10476" i="1"/>
  <c r="H10476" i="1"/>
  <c r="G10476" i="1"/>
  <c r="F10476" i="1"/>
  <c r="E10476" i="1"/>
  <c r="D10476" i="1"/>
  <c r="C10476" i="1"/>
  <c r="B10476" i="1"/>
  <c r="A10476" i="1"/>
  <c r="R10475" i="1"/>
  <c r="J10475" i="1"/>
  <c r="I10475" i="1"/>
  <c r="G10475" i="1"/>
  <c r="F10475" i="1"/>
  <c r="E10475" i="1"/>
  <c r="D10475" i="1"/>
  <c r="C10475" i="1"/>
  <c r="B10475" i="1"/>
  <c r="A10475" i="1"/>
  <c r="S10474" i="1"/>
  <c r="O10474" i="1"/>
  <c r="K10474" i="1"/>
  <c r="J10474" i="1"/>
  <c r="I10474" i="1"/>
  <c r="H10474" i="1"/>
  <c r="G10474" i="1"/>
  <c r="F10474" i="1"/>
  <c r="E10474" i="1"/>
  <c r="D10474" i="1"/>
  <c r="C10474" i="1"/>
  <c r="B10474" i="1"/>
  <c r="A10474" i="1"/>
  <c r="R10473" i="1"/>
  <c r="J10473" i="1"/>
  <c r="I10473" i="1"/>
  <c r="G10473" i="1"/>
  <c r="F10473" i="1"/>
  <c r="E10473" i="1"/>
  <c r="D10473" i="1"/>
  <c r="C10473" i="1"/>
  <c r="B10473" i="1"/>
  <c r="A10473" i="1"/>
  <c r="S10472" i="1"/>
  <c r="O10472" i="1"/>
  <c r="K10472" i="1"/>
  <c r="J10472" i="1"/>
  <c r="I10472" i="1"/>
  <c r="H10472" i="1"/>
  <c r="G10472" i="1"/>
  <c r="F10472" i="1"/>
  <c r="E10472" i="1"/>
  <c r="D10472" i="1"/>
  <c r="C10472" i="1"/>
  <c r="B10472" i="1"/>
  <c r="A10472" i="1"/>
  <c r="R10471" i="1"/>
  <c r="J10471" i="1"/>
  <c r="I10471" i="1"/>
  <c r="G10471" i="1"/>
  <c r="F10471" i="1"/>
  <c r="E10471" i="1"/>
  <c r="D10471" i="1"/>
  <c r="C10471" i="1"/>
  <c r="B10471" i="1"/>
  <c r="A10471" i="1"/>
  <c r="S10470" i="1"/>
  <c r="O10470" i="1"/>
  <c r="K10470" i="1"/>
  <c r="J10470" i="1"/>
  <c r="I10470" i="1"/>
  <c r="H10470" i="1"/>
  <c r="G10470" i="1"/>
  <c r="F10470" i="1"/>
  <c r="E10470" i="1"/>
  <c r="D10470" i="1"/>
  <c r="C10470" i="1"/>
  <c r="B10470" i="1"/>
  <c r="A10470" i="1"/>
  <c r="R10469" i="1"/>
  <c r="J10469" i="1"/>
  <c r="I10469" i="1"/>
  <c r="G10469" i="1"/>
  <c r="F10469" i="1"/>
  <c r="E10469" i="1"/>
  <c r="D10469" i="1"/>
  <c r="C10469" i="1"/>
  <c r="B10469" i="1"/>
  <c r="A10469" i="1"/>
  <c r="R10468" i="1"/>
  <c r="J10468" i="1"/>
  <c r="I10468" i="1"/>
  <c r="G10468" i="1"/>
  <c r="F10468" i="1"/>
  <c r="E10468" i="1"/>
  <c r="D10468" i="1"/>
  <c r="C10468" i="1"/>
  <c r="B10468" i="1"/>
  <c r="A10468" i="1"/>
  <c r="R10467" i="1"/>
  <c r="J10467" i="1"/>
  <c r="I10467" i="1"/>
  <c r="G10467" i="1"/>
  <c r="F10467" i="1"/>
  <c r="E10467" i="1"/>
  <c r="D10467" i="1"/>
  <c r="C10467" i="1"/>
  <c r="B10467" i="1"/>
  <c r="A10467" i="1"/>
  <c r="R10466" i="1"/>
  <c r="J10466" i="1"/>
  <c r="I10466" i="1"/>
  <c r="G10466" i="1"/>
  <c r="F10466" i="1"/>
  <c r="E10466" i="1"/>
  <c r="D10466" i="1"/>
  <c r="C10466" i="1"/>
  <c r="B10466" i="1"/>
  <c r="A10466" i="1"/>
  <c r="S10465" i="1"/>
  <c r="O10465" i="1"/>
  <c r="K10465" i="1"/>
  <c r="J10465" i="1"/>
  <c r="I10465" i="1"/>
  <c r="H10465" i="1"/>
  <c r="G10465" i="1"/>
  <c r="F10465" i="1"/>
  <c r="E10465" i="1"/>
  <c r="D10465" i="1"/>
  <c r="C10465" i="1"/>
  <c r="B10465" i="1"/>
  <c r="A10465" i="1"/>
  <c r="R10464" i="1"/>
  <c r="J10464" i="1"/>
  <c r="I10464" i="1"/>
  <c r="G10464" i="1"/>
  <c r="F10464" i="1"/>
  <c r="E10464" i="1"/>
  <c r="D10464" i="1"/>
  <c r="C10464" i="1"/>
  <c r="B10464" i="1"/>
  <c r="A10464" i="1"/>
  <c r="R10463" i="1"/>
  <c r="J10463" i="1"/>
  <c r="I10463" i="1"/>
  <c r="G10463" i="1"/>
  <c r="F10463" i="1"/>
  <c r="E10463" i="1"/>
  <c r="D10463" i="1"/>
  <c r="C10463" i="1"/>
  <c r="B10463" i="1"/>
  <c r="A10463" i="1"/>
  <c r="S10462" i="1"/>
  <c r="O10462" i="1"/>
  <c r="K10462" i="1"/>
  <c r="J10462" i="1"/>
  <c r="I10462" i="1"/>
  <c r="H10462" i="1"/>
  <c r="G10462" i="1"/>
  <c r="F10462" i="1"/>
  <c r="E10462" i="1"/>
  <c r="D10462" i="1"/>
  <c r="C10462" i="1"/>
  <c r="B10462" i="1"/>
  <c r="A10462" i="1"/>
  <c r="R10461" i="1"/>
  <c r="J10461" i="1"/>
  <c r="I10461" i="1"/>
  <c r="G10461" i="1"/>
  <c r="F10461" i="1"/>
  <c r="E10461" i="1"/>
  <c r="D10461" i="1"/>
  <c r="C10461" i="1"/>
  <c r="B10461" i="1"/>
  <c r="A10461" i="1"/>
  <c r="S10460" i="1"/>
  <c r="O10460" i="1"/>
  <c r="K10460" i="1"/>
  <c r="J10460" i="1"/>
  <c r="I10460" i="1"/>
  <c r="H10460" i="1"/>
  <c r="G10460" i="1"/>
  <c r="F10460" i="1"/>
  <c r="E10460" i="1"/>
  <c r="D10460" i="1"/>
  <c r="C10460" i="1"/>
  <c r="B10460" i="1"/>
  <c r="A10460" i="1"/>
  <c r="R10459" i="1"/>
  <c r="J10459" i="1"/>
  <c r="I10459" i="1"/>
  <c r="G10459" i="1"/>
  <c r="F10459" i="1"/>
  <c r="E10459" i="1"/>
  <c r="D10459" i="1"/>
  <c r="C10459" i="1"/>
  <c r="B10459" i="1"/>
  <c r="A10459" i="1"/>
  <c r="R10458" i="1"/>
  <c r="J10458" i="1"/>
  <c r="I10458" i="1"/>
  <c r="G10458" i="1"/>
  <c r="F10458" i="1"/>
  <c r="E10458" i="1"/>
  <c r="D10458" i="1"/>
  <c r="C10458" i="1"/>
  <c r="B10458" i="1"/>
  <c r="A10458" i="1"/>
  <c r="S10457" i="1"/>
  <c r="O10457" i="1"/>
  <c r="K10457" i="1"/>
  <c r="J10457" i="1"/>
  <c r="I10457" i="1"/>
  <c r="H10457" i="1"/>
  <c r="G10457" i="1"/>
  <c r="F10457" i="1"/>
  <c r="E10457" i="1"/>
  <c r="D10457" i="1"/>
  <c r="C10457" i="1"/>
  <c r="B10457" i="1"/>
  <c r="A10457" i="1"/>
  <c r="R10456" i="1"/>
  <c r="J10456" i="1"/>
  <c r="I10456" i="1"/>
  <c r="G10456" i="1"/>
  <c r="F10456" i="1"/>
  <c r="E10456" i="1"/>
  <c r="D10456" i="1"/>
  <c r="C10456" i="1"/>
  <c r="B10456" i="1"/>
  <c r="A10456" i="1"/>
  <c r="S10455" i="1"/>
  <c r="O10455" i="1"/>
  <c r="K10455" i="1"/>
  <c r="J10455" i="1"/>
  <c r="I10455" i="1"/>
  <c r="H10455" i="1"/>
  <c r="G10455" i="1"/>
  <c r="F10455" i="1"/>
  <c r="E10455" i="1"/>
  <c r="D10455" i="1"/>
  <c r="C10455" i="1"/>
  <c r="B10455" i="1"/>
  <c r="A10455" i="1"/>
  <c r="R10454" i="1"/>
  <c r="J10454" i="1"/>
  <c r="I10454" i="1"/>
  <c r="G10454" i="1"/>
  <c r="F10454" i="1"/>
  <c r="E10454" i="1"/>
  <c r="D10454" i="1"/>
  <c r="C10454" i="1"/>
  <c r="B10454" i="1"/>
  <c r="A10454" i="1"/>
  <c r="S10453" i="1"/>
  <c r="O10453" i="1"/>
  <c r="K10453" i="1"/>
  <c r="J10453" i="1"/>
  <c r="I10453" i="1"/>
  <c r="H10453" i="1"/>
  <c r="G10453" i="1"/>
  <c r="F10453" i="1"/>
  <c r="E10453" i="1"/>
  <c r="D10453" i="1"/>
  <c r="C10453" i="1"/>
  <c r="B10453" i="1"/>
  <c r="A10453" i="1"/>
  <c r="R10452" i="1"/>
  <c r="J10452" i="1"/>
  <c r="I10452" i="1"/>
  <c r="G10452" i="1"/>
  <c r="F10452" i="1"/>
  <c r="E10452" i="1"/>
  <c r="D10452" i="1"/>
  <c r="C10452" i="1"/>
  <c r="B10452" i="1"/>
  <c r="A10452" i="1"/>
  <c r="S10451" i="1"/>
  <c r="O10451" i="1"/>
  <c r="K10451" i="1"/>
  <c r="J10451" i="1"/>
  <c r="I10451" i="1"/>
  <c r="H10451" i="1"/>
  <c r="G10451" i="1"/>
  <c r="F10451" i="1"/>
  <c r="E10451" i="1"/>
  <c r="D10451" i="1"/>
  <c r="C10451" i="1"/>
  <c r="B10451" i="1"/>
  <c r="A10451" i="1"/>
  <c r="R10450" i="1"/>
  <c r="J10450" i="1"/>
  <c r="I10450" i="1"/>
  <c r="G10450" i="1"/>
  <c r="F10450" i="1"/>
  <c r="E10450" i="1"/>
  <c r="D10450" i="1"/>
  <c r="C10450" i="1"/>
  <c r="B10450" i="1"/>
  <c r="A10450" i="1"/>
  <c r="S10449" i="1"/>
  <c r="O10449" i="1"/>
  <c r="K10449" i="1"/>
  <c r="J10449" i="1"/>
  <c r="I10449" i="1"/>
  <c r="H10449" i="1"/>
  <c r="G10449" i="1"/>
  <c r="F10449" i="1"/>
  <c r="E10449" i="1"/>
  <c r="D10449" i="1"/>
  <c r="C10449" i="1"/>
  <c r="B10449" i="1"/>
  <c r="A10449" i="1"/>
  <c r="R10448" i="1"/>
  <c r="J10448" i="1"/>
  <c r="I10448" i="1"/>
  <c r="G10448" i="1"/>
  <c r="F10448" i="1"/>
  <c r="E10448" i="1"/>
  <c r="D10448" i="1"/>
  <c r="C10448" i="1"/>
  <c r="B10448" i="1"/>
  <c r="A10448" i="1"/>
  <c r="S10447" i="1"/>
  <c r="O10447" i="1"/>
  <c r="K10447" i="1"/>
  <c r="J10447" i="1"/>
  <c r="I10447" i="1"/>
  <c r="H10447" i="1"/>
  <c r="G10447" i="1"/>
  <c r="F10447" i="1"/>
  <c r="E10447" i="1"/>
  <c r="D10447" i="1"/>
  <c r="C10447" i="1"/>
  <c r="B10447" i="1"/>
  <c r="A10447" i="1"/>
  <c r="R10446" i="1"/>
  <c r="J10446" i="1"/>
  <c r="I10446" i="1"/>
  <c r="G10446" i="1"/>
  <c r="F10446" i="1"/>
  <c r="E10446" i="1"/>
  <c r="D10446" i="1"/>
  <c r="C10446" i="1"/>
  <c r="B10446" i="1"/>
  <c r="A10446" i="1"/>
  <c r="S10445" i="1"/>
  <c r="O10445" i="1"/>
  <c r="K10445" i="1"/>
  <c r="J10445" i="1"/>
  <c r="I10445" i="1"/>
  <c r="H10445" i="1"/>
  <c r="G10445" i="1"/>
  <c r="F10445" i="1"/>
  <c r="E10445" i="1"/>
  <c r="D10445" i="1"/>
  <c r="C10445" i="1"/>
  <c r="B10445" i="1"/>
  <c r="A10445" i="1"/>
  <c r="R10444" i="1"/>
  <c r="J10444" i="1"/>
  <c r="I10444" i="1"/>
  <c r="G10444" i="1"/>
  <c r="F10444" i="1"/>
  <c r="E10444" i="1"/>
  <c r="D10444" i="1"/>
  <c r="C10444" i="1"/>
  <c r="B10444" i="1"/>
  <c r="A10444" i="1"/>
  <c r="S10443" i="1"/>
  <c r="O10443" i="1"/>
  <c r="K10443" i="1"/>
  <c r="J10443" i="1"/>
  <c r="I10443" i="1"/>
  <c r="H10443" i="1"/>
  <c r="G10443" i="1"/>
  <c r="F10443" i="1"/>
  <c r="E10443" i="1"/>
  <c r="D10443" i="1"/>
  <c r="C10443" i="1"/>
  <c r="B10443" i="1"/>
  <c r="A10443" i="1"/>
  <c r="R10442" i="1"/>
  <c r="J10442" i="1"/>
  <c r="I10442" i="1"/>
  <c r="G10442" i="1"/>
  <c r="F10442" i="1"/>
  <c r="E10442" i="1"/>
  <c r="D10442" i="1"/>
  <c r="C10442" i="1"/>
  <c r="B10442" i="1"/>
  <c r="A10442" i="1"/>
  <c r="S10441" i="1"/>
  <c r="O10441" i="1"/>
  <c r="K10441" i="1"/>
  <c r="J10441" i="1"/>
  <c r="I10441" i="1"/>
  <c r="H10441" i="1"/>
  <c r="G10441" i="1"/>
  <c r="F10441" i="1"/>
  <c r="E10441" i="1"/>
  <c r="D10441" i="1"/>
  <c r="C10441" i="1"/>
  <c r="B10441" i="1"/>
  <c r="A10441" i="1"/>
  <c r="R10440" i="1"/>
  <c r="J10440" i="1"/>
  <c r="I10440" i="1"/>
  <c r="G10440" i="1"/>
  <c r="F10440" i="1"/>
  <c r="E10440" i="1"/>
  <c r="D10440" i="1"/>
  <c r="C10440" i="1"/>
  <c r="B10440" i="1"/>
  <c r="A10440" i="1"/>
  <c r="S10439" i="1"/>
  <c r="O10439" i="1"/>
  <c r="K10439" i="1"/>
  <c r="J10439" i="1"/>
  <c r="I10439" i="1"/>
  <c r="H10439" i="1"/>
  <c r="G10439" i="1"/>
  <c r="F10439" i="1"/>
  <c r="E10439" i="1"/>
  <c r="D10439" i="1"/>
  <c r="C10439" i="1"/>
  <c r="B10439" i="1"/>
  <c r="A10439" i="1"/>
  <c r="R10438" i="1"/>
  <c r="J10438" i="1"/>
  <c r="I10438" i="1"/>
  <c r="G10438" i="1"/>
  <c r="F10438" i="1"/>
  <c r="E10438" i="1"/>
  <c r="D10438" i="1"/>
  <c r="C10438" i="1"/>
  <c r="B10438" i="1"/>
  <c r="A10438" i="1"/>
  <c r="S10437" i="1"/>
  <c r="O10437" i="1"/>
  <c r="K10437" i="1"/>
  <c r="J10437" i="1"/>
  <c r="I10437" i="1"/>
  <c r="H10437" i="1"/>
  <c r="G10437" i="1"/>
  <c r="F10437" i="1"/>
  <c r="E10437" i="1"/>
  <c r="D10437" i="1"/>
  <c r="C10437" i="1"/>
  <c r="B10437" i="1"/>
  <c r="A10437" i="1"/>
  <c r="R10436" i="1"/>
  <c r="J10436" i="1"/>
  <c r="I10436" i="1"/>
  <c r="G10436" i="1"/>
  <c r="F10436" i="1"/>
  <c r="E10436" i="1"/>
  <c r="D10436" i="1"/>
  <c r="C10436" i="1"/>
  <c r="B10436" i="1"/>
  <c r="A10436" i="1"/>
  <c r="S10435" i="1"/>
  <c r="O10435" i="1"/>
  <c r="K10435" i="1"/>
  <c r="J10435" i="1"/>
  <c r="I10435" i="1"/>
  <c r="H10435" i="1"/>
  <c r="G10435" i="1"/>
  <c r="F10435" i="1"/>
  <c r="E10435" i="1"/>
  <c r="D10435" i="1"/>
  <c r="C10435" i="1"/>
  <c r="B10435" i="1"/>
  <c r="A10435" i="1"/>
  <c r="R10434" i="1"/>
  <c r="J10434" i="1"/>
  <c r="I10434" i="1"/>
  <c r="G10434" i="1"/>
  <c r="F10434" i="1"/>
  <c r="E10434" i="1"/>
  <c r="D10434" i="1"/>
  <c r="C10434" i="1"/>
  <c r="B10434" i="1"/>
  <c r="A10434" i="1"/>
  <c r="S10433" i="1"/>
  <c r="O10433" i="1"/>
  <c r="K10433" i="1"/>
  <c r="J10433" i="1"/>
  <c r="I10433" i="1"/>
  <c r="H10433" i="1"/>
  <c r="G10433" i="1"/>
  <c r="F10433" i="1"/>
  <c r="E10433" i="1"/>
  <c r="D10433" i="1"/>
  <c r="C10433" i="1"/>
  <c r="B10433" i="1"/>
  <c r="A10433" i="1"/>
  <c r="R10432" i="1"/>
  <c r="J10432" i="1"/>
  <c r="I10432" i="1"/>
  <c r="G10432" i="1"/>
  <c r="F10432" i="1"/>
  <c r="E10432" i="1"/>
  <c r="D10432" i="1"/>
  <c r="C10432" i="1"/>
  <c r="B10432" i="1"/>
  <c r="A10432" i="1"/>
  <c r="S10431" i="1"/>
  <c r="O10431" i="1"/>
  <c r="K10431" i="1"/>
  <c r="J10431" i="1"/>
  <c r="I10431" i="1"/>
  <c r="H10431" i="1"/>
  <c r="G10431" i="1"/>
  <c r="F10431" i="1"/>
  <c r="E10431" i="1"/>
  <c r="D10431" i="1"/>
  <c r="C10431" i="1"/>
  <c r="B10431" i="1"/>
  <c r="A10431" i="1"/>
  <c r="R10430" i="1"/>
  <c r="J10430" i="1"/>
  <c r="I10430" i="1"/>
  <c r="G10430" i="1"/>
  <c r="F10430" i="1"/>
  <c r="E10430" i="1"/>
  <c r="D10430" i="1"/>
  <c r="C10430" i="1"/>
  <c r="B10430" i="1"/>
  <c r="A10430" i="1"/>
  <c r="S10429" i="1"/>
  <c r="O10429" i="1"/>
  <c r="K10429" i="1"/>
  <c r="J10429" i="1"/>
  <c r="I10429" i="1"/>
  <c r="H10429" i="1"/>
  <c r="G10429" i="1"/>
  <c r="F10429" i="1"/>
  <c r="E10429" i="1"/>
  <c r="D10429" i="1"/>
  <c r="C10429" i="1"/>
  <c r="B10429" i="1"/>
  <c r="A10429" i="1"/>
  <c r="R10428" i="1"/>
  <c r="J10428" i="1"/>
  <c r="I10428" i="1"/>
  <c r="G10428" i="1"/>
  <c r="F10428" i="1"/>
  <c r="E10428" i="1"/>
  <c r="D10428" i="1"/>
  <c r="C10428" i="1"/>
  <c r="B10428" i="1"/>
  <c r="A10428" i="1"/>
  <c r="S10427" i="1"/>
  <c r="O10427" i="1"/>
  <c r="K10427" i="1"/>
  <c r="J10427" i="1"/>
  <c r="I10427" i="1"/>
  <c r="H10427" i="1"/>
  <c r="G10427" i="1"/>
  <c r="F10427" i="1"/>
  <c r="E10427" i="1"/>
  <c r="D10427" i="1"/>
  <c r="C10427" i="1"/>
  <c r="B10427" i="1"/>
  <c r="A10427" i="1"/>
  <c r="R10426" i="1"/>
  <c r="J10426" i="1"/>
  <c r="I10426" i="1"/>
  <c r="G10426" i="1"/>
  <c r="F10426" i="1"/>
  <c r="E10426" i="1"/>
  <c r="D10426" i="1"/>
  <c r="C10426" i="1"/>
  <c r="B10426" i="1"/>
  <c r="A10426" i="1"/>
  <c r="R10425" i="1"/>
  <c r="J10425" i="1"/>
  <c r="I10425" i="1"/>
  <c r="G10425" i="1"/>
  <c r="F10425" i="1"/>
  <c r="E10425" i="1"/>
  <c r="D10425" i="1"/>
  <c r="C10425" i="1"/>
  <c r="B10425" i="1"/>
  <c r="A10425" i="1"/>
  <c r="R10424" i="1"/>
  <c r="J10424" i="1"/>
  <c r="I10424" i="1"/>
  <c r="G10424" i="1"/>
  <c r="F10424" i="1"/>
  <c r="E10424" i="1"/>
  <c r="D10424" i="1"/>
  <c r="C10424" i="1"/>
  <c r="B10424" i="1"/>
  <c r="A10424" i="1"/>
  <c r="R10423" i="1"/>
  <c r="J10423" i="1"/>
  <c r="I10423" i="1"/>
  <c r="G10423" i="1"/>
  <c r="F10423" i="1"/>
  <c r="E10423" i="1"/>
  <c r="D10423" i="1"/>
  <c r="C10423" i="1"/>
  <c r="B10423" i="1"/>
  <c r="A10423" i="1"/>
  <c r="S10422" i="1"/>
  <c r="O10422" i="1"/>
  <c r="K10422" i="1"/>
  <c r="J10422" i="1"/>
  <c r="I10422" i="1"/>
  <c r="H10422" i="1"/>
  <c r="G10422" i="1"/>
  <c r="F10422" i="1"/>
  <c r="E10422" i="1"/>
  <c r="D10422" i="1"/>
  <c r="C10422" i="1"/>
  <c r="B10422" i="1"/>
  <c r="A10422" i="1"/>
  <c r="R10421" i="1"/>
  <c r="J10421" i="1"/>
  <c r="I10421" i="1"/>
  <c r="G10421" i="1"/>
  <c r="F10421" i="1"/>
  <c r="E10421" i="1"/>
  <c r="D10421" i="1"/>
  <c r="C10421" i="1"/>
  <c r="B10421" i="1"/>
  <c r="A10421" i="1"/>
  <c r="S10420" i="1"/>
  <c r="O10420" i="1"/>
  <c r="K10420" i="1"/>
  <c r="J10420" i="1"/>
  <c r="I10420" i="1"/>
  <c r="H10420" i="1"/>
  <c r="G10420" i="1"/>
  <c r="F10420" i="1"/>
  <c r="E10420" i="1"/>
  <c r="D10420" i="1"/>
  <c r="C10420" i="1"/>
  <c r="B10420" i="1"/>
  <c r="A10420" i="1"/>
  <c r="R10419" i="1"/>
  <c r="J10419" i="1"/>
  <c r="I10419" i="1"/>
  <c r="G10419" i="1"/>
  <c r="F10419" i="1"/>
  <c r="E10419" i="1"/>
  <c r="D10419" i="1"/>
  <c r="C10419" i="1"/>
  <c r="B10419" i="1"/>
  <c r="A10419" i="1"/>
  <c r="S10418" i="1"/>
  <c r="O10418" i="1"/>
  <c r="K10418" i="1"/>
  <c r="J10418" i="1"/>
  <c r="I10418" i="1"/>
  <c r="H10418" i="1"/>
  <c r="G10418" i="1"/>
  <c r="F10418" i="1"/>
  <c r="E10418" i="1"/>
  <c r="D10418" i="1"/>
  <c r="C10418" i="1"/>
  <c r="B10418" i="1"/>
  <c r="A10418" i="1"/>
  <c r="R10417" i="1"/>
  <c r="J10417" i="1"/>
  <c r="I10417" i="1"/>
  <c r="G10417" i="1"/>
  <c r="F10417" i="1"/>
  <c r="E10417" i="1"/>
  <c r="D10417" i="1"/>
  <c r="C10417" i="1"/>
  <c r="B10417" i="1"/>
  <c r="A10417" i="1"/>
  <c r="S10416" i="1"/>
  <c r="O10416" i="1"/>
  <c r="K10416" i="1"/>
  <c r="J10416" i="1"/>
  <c r="I10416" i="1"/>
  <c r="H10416" i="1"/>
  <c r="G10416" i="1"/>
  <c r="F10416" i="1"/>
  <c r="E10416" i="1"/>
  <c r="D10416" i="1"/>
  <c r="C10416" i="1"/>
  <c r="B10416" i="1"/>
  <c r="A10416" i="1"/>
  <c r="R10415" i="1"/>
  <c r="J10415" i="1"/>
  <c r="I10415" i="1"/>
  <c r="G10415" i="1"/>
  <c r="F10415" i="1"/>
  <c r="E10415" i="1"/>
  <c r="D10415" i="1"/>
  <c r="C10415" i="1"/>
  <c r="B10415" i="1"/>
  <c r="A10415" i="1"/>
  <c r="S10414" i="1"/>
  <c r="O10414" i="1"/>
  <c r="K10414" i="1"/>
  <c r="J10414" i="1"/>
  <c r="I10414" i="1"/>
  <c r="H10414" i="1"/>
  <c r="G10414" i="1"/>
  <c r="F10414" i="1"/>
  <c r="E10414" i="1"/>
  <c r="D10414" i="1"/>
  <c r="C10414" i="1"/>
  <c r="B10414" i="1"/>
  <c r="A10414" i="1"/>
  <c r="R10413" i="1"/>
  <c r="J10413" i="1"/>
  <c r="I10413" i="1"/>
  <c r="G10413" i="1"/>
  <c r="F10413" i="1"/>
  <c r="E10413" i="1"/>
  <c r="D10413" i="1"/>
  <c r="C10413" i="1"/>
  <c r="B10413" i="1"/>
  <c r="A10413" i="1"/>
  <c r="S10412" i="1"/>
  <c r="O10412" i="1"/>
  <c r="K10412" i="1"/>
  <c r="J10412" i="1"/>
  <c r="I10412" i="1"/>
  <c r="H10412" i="1"/>
  <c r="G10412" i="1"/>
  <c r="F10412" i="1"/>
  <c r="E10412" i="1"/>
  <c r="D10412" i="1"/>
  <c r="C10412" i="1"/>
  <c r="B10412" i="1"/>
  <c r="A10412" i="1"/>
  <c r="R10411" i="1"/>
  <c r="J10411" i="1"/>
  <c r="I10411" i="1"/>
  <c r="G10411" i="1"/>
  <c r="F10411" i="1"/>
  <c r="E10411" i="1"/>
  <c r="D10411" i="1"/>
  <c r="C10411" i="1"/>
  <c r="B10411" i="1"/>
  <c r="A10411" i="1"/>
  <c r="S10410" i="1"/>
  <c r="O10410" i="1"/>
  <c r="K10410" i="1"/>
  <c r="J10410" i="1"/>
  <c r="I10410" i="1"/>
  <c r="H10410" i="1"/>
  <c r="G10410" i="1"/>
  <c r="F10410" i="1"/>
  <c r="E10410" i="1"/>
  <c r="D10410" i="1"/>
  <c r="C10410" i="1"/>
  <c r="B10410" i="1"/>
  <c r="A10410" i="1"/>
  <c r="R10409" i="1"/>
  <c r="J10409" i="1"/>
  <c r="I10409" i="1"/>
  <c r="G10409" i="1"/>
  <c r="F10409" i="1"/>
  <c r="E10409" i="1"/>
  <c r="D10409" i="1"/>
  <c r="C10409" i="1"/>
  <c r="B10409" i="1"/>
  <c r="A10409" i="1"/>
  <c r="S10408" i="1"/>
  <c r="O10408" i="1"/>
  <c r="K10408" i="1"/>
  <c r="J10408" i="1"/>
  <c r="I10408" i="1"/>
  <c r="H10408" i="1"/>
  <c r="G10408" i="1"/>
  <c r="F10408" i="1"/>
  <c r="E10408" i="1"/>
  <c r="D10408" i="1"/>
  <c r="C10408" i="1"/>
  <c r="B10408" i="1"/>
  <c r="A10408" i="1"/>
  <c r="R10407" i="1"/>
  <c r="J10407" i="1"/>
  <c r="I10407" i="1"/>
  <c r="G10407" i="1"/>
  <c r="F10407" i="1"/>
  <c r="E10407" i="1"/>
  <c r="D10407" i="1"/>
  <c r="C10407" i="1"/>
  <c r="B10407" i="1"/>
  <c r="A10407" i="1"/>
  <c r="S10406" i="1"/>
  <c r="O10406" i="1"/>
  <c r="K10406" i="1"/>
  <c r="J10406" i="1"/>
  <c r="I10406" i="1"/>
  <c r="H10406" i="1"/>
  <c r="G10406" i="1"/>
  <c r="F10406" i="1"/>
  <c r="E10406" i="1"/>
  <c r="D10406" i="1"/>
  <c r="C10406" i="1"/>
  <c r="B10406" i="1"/>
  <c r="A10406" i="1"/>
  <c r="R10405" i="1"/>
  <c r="J10405" i="1"/>
  <c r="I10405" i="1"/>
  <c r="G10405" i="1"/>
  <c r="F10405" i="1"/>
  <c r="E10405" i="1"/>
  <c r="D10405" i="1"/>
  <c r="C10405" i="1"/>
  <c r="B10405" i="1"/>
  <c r="A10405" i="1"/>
  <c r="S10404" i="1"/>
  <c r="O10404" i="1"/>
  <c r="K10404" i="1"/>
  <c r="J10404" i="1"/>
  <c r="I10404" i="1"/>
  <c r="H10404" i="1"/>
  <c r="G10404" i="1"/>
  <c r="F10404" i="1"/>
  <c r="E10404" i="1"/>
  <c r="D10404" i="1"/>
  <c r="C10404" i="1"/>
  <c r="B10404" i="1"/>
  <c r="A10404" i="1"/>
  <c r="R10403" i="1"/>
  <c r="J10403" i="1"/>
  <c r="I10403" i="1"/>
  <c r="G10403" i="1"/>
  <c r="F10403" i="1"/>
  <c r="E10403" i="1"/>
  <c r="D10403" i="1"/>
  <c r="C10403" i="1"/>
  <c r="B10403" i="1"/>
  <c r="A10403" i="1"/>
  <c r="S10402" i="1"/>
  <c r="O10402" i="1"/>
  <c r="K10402" i="1"/>
  <c r="J10402" i="1"/>
  <c r="I10402" i="1"/>
  <c r="H10402" i="1"/>
  <c r="G10402" i="1"/>
  <c r="F10402" i="1"/>
  <c r="E10402" i="1"/>
  <c r="D10402" i="1"/>
  <c r="C10402" i="1"/>
  <c r="B10402" i="1"/>
  <c r="A10402" i="1"/>
  <c r="R10401" i="1"/>
  <c r="J10401" i="1"/>
  <c r="I10401" i="1"/>
  <c r="G10401" i="1"/>
  <c r="F10401" i="1"/>
  <c r="E10401" i="1"/>
  <c r="D10401" i="1"/>
  <c r="C10401" i="1"/>
  <c r="B10401" i="1"/>
  <c r="A10401" i="1"/>
  <c r="S10400" i="1"/>
  <c r="O10400" i="1"/>
  <c r="K10400" i="1"/>
  <c r="J10400" i="1"/>
  <c r="I10400" i="1"/>
  <c r="H10400" i="1"/>
  <c r="G10400" i="1"/>
  <c r="F10400" i="1"/>
  <c r="E10400" i="1"/>
  <c r="D10400" i="1"/>
  <c r="C10400" i="1"/>
  <c r="B10400" i="1"/>
  <c r="A10400" i="1"/>
  <c r="R10399" i="1"/>
  <c r="J10399" i="1"/>
  <c r="I10399" i="1"/>
  <c r="G10399" i="1"/>
  <c r="F10399" i="1"/>
  <c r="E10399" i="1"/>
  <c r="D10399" i="1"/>
  <c r="C10399" i="1"/>
  <c r="B10399" i="1"/>
  <c r="A10399" i="1"/>
  <c r="R10398" i="1"/>
  <c r="J10398" i="1"/>
  <c r="I10398" i="1"/>
  <c r="G10398" i="1"/>
  <c r="F10398" i="1"/>
  <c r="E10398" i="1"/>
  <c r="D10398" i="1"/>
  <c r="C10398" i="1"/>
  <c r="B10398" i="1"/>
  <c r="A10398" i="1"/>
  <c r="R10397" i="1"/>
  <c r="J10397" i="1"/>
  <c r="I10397" i="1"/>
  <c r="G10397" i="1"/>
  <c r="F10397" i="1"/>
  <c r="E10397" i="1"/>
  <c r="D10397" i="1"/>
  <c r="C10397" i="1"/>
  <c r="B10397" i="1"/>
  <c r="A10397" i="1"/>
  <c r="S10396" i="1"/>
  <c r="O10396" i="1"/>
  <c r="K10396" i="1"/>
  <c r="J10396" i="1"/>
  <c r="I10396" i="1"/>
  <c r="H10396" i="1"/>
  <c r="G10396" i="1"/>
  <c r="F10396" i="1"/>
  <c r="E10396" i="1"/>
  <c r="D10396" i="1"/>
  <c r="C10396" i="1"/>
  <c r="B10396" i="1"/>
  <c r="A10396" i="1"/>
  <c r="R10395" i="1"/>
  <c r="J10395" i="1"/>
  <c r="I10395" i="1"/>
  <c r="G10395" i="1"/>
  <c r="F10395" i="1"/>
  <c r="E10395" i="1"/>
  <c r="D10395" i="1"/>
  <c r="C10395" i="1"/>
  <c r="B10395" i="1"/>
  <c r="A10395" i="1"/>
  <c r="S10394" i="1"/>
  <c r="O10394" i="1"/>
  <c r="K10394" i="1"/>
  <c r="J10394" i="1"/>
  <c r="I10394" i="1"/>
  <c r="H10394" i="1"/>
  <c r="G10394" i="1"/>
  <c r="F10394" i="1"/>
  <c r="E10394" i="1"/>
  <c r="D10394" i="1"/>
  <c r="C10394" i="1"/>
  <c r="B10394" i="1"/>
  <c r="A10394" i="1"/>
  <c r="R10393" i="1"/>
  <c r="J10393" i="1"/>
  <c r="I10393" i="1"/>
  <c r="G10393" i="1"/>
  <c r="F10393" i="1"/>
  <c r="E10393" i="1"/>
  <c r="D10393" i="1"/>
  <c r="C10393" i="1"/>
  <c r="B10393" i="1"/>
  <c r="A10393" i="1"/>
  <c r="S10392" i="1"/>
  <c r="O10392" i="1"/>
  <c r="K10392" i="1"/>
  <c r="J10392" i="1"/>
  <c r="I10392" i="1"/>
  <c r="H10392" i="1"/>
  <c r="G10392" i="1"/>
  <c r="F10392" i="1"/>
  <c r="E10392" i="1"/>
  <c r="D10392" i="1"/>
  <c r="C10392" i="1"/>
  <c r="B10392" i="1"/>
  <c r="A10392" i="1"/>
  <c r="R10391" i="1"/>
  <c r="J10391" i="1"/>
  <c r="I10391" i="1"/>
  <c r="G10391" i="1"/>
  <c r="F10391" i="1"/>
  <c r="E10391" i="1"/>
  <c r="D10391" i="1"/>
  <c r="C10391" i="1"/>
  <c r="B10391" i="1"/>
  <c r="A10391" i="1"/>
  <c r="S10390" i="1"/>
  <c r="O10390" i="1"/>
  <c r="K10390" i="1"/>
  <c r="J10390" i="1"/>
  <c r="I10390" i="1"/>
  <c r="H10390" i="1"/>
  <c r="G10390" i="1"/>
  <c r="F10390" i="1"/>
  <c r="E10390" i="1"/>
  <c r="D10390" i="1"/>
  <c r="C10390" i="1"/>
  <c r="B10390" i="1"/>
  <c r="A10390" i="1"/>
  <c r="R10389" i="1"/>
  <c r="J10389" i="1"/>
  <c r="I10389" i="1"/>
  <c r="G10389" i="1"/>
  <c r="F10389" i="1"/>
  <c r="E10389" i="1"/>
  <c r="D10389" i="1"/>
  <c r="C10389" i="1"/>
  <c r="B10389" i="1"/>
  <c r="A10389" i="1"/>
  <c r="R10388" i="1"/>
  <c r="J10388" i="1"/>
  <c r="I10388" i="1"/>
  <c r="G10388" i="1"/>
  <c r="F10388" i="1"/>
  <c r="E10388" i="1"/>
  <c r="D10388" i="1"/>
  <c r="C10388" i="1"/>
  <c r="B10388" i="1"/>
  <c r="A10388" i="1"/>
  <c r="R10387" i="1"/>
  <c r="J10387" i="1"/>
  <c r="I10387" i="1"/>
  <c r="G10387" i="1"/>
  <c r="F10387" i="1"/>
  <c r="E10387" i="1"/>
  <c r="D10387" i="1"/>
  <c r="C10387" i="1"/>
  <c r="B10387" i="1"/>
  <c r="A10387" i="1"/>
  <c r="S10386" i="1"/>
  <c r="O10386" i="1"/>
  <c r="K10386" i="1"/>
  <c r="J10386" i="1"/>
  <c r="I10386" i="1"/>
  <c r="H10386" i="1"/>
  <c r="G10386" i="1"/>
  <c r="F10386" i="1"/>
  <c r="E10386" i="1"/>
  <c r="D10386" i="1"/>
  <c r="C10386" i="1"/>
  <c r="B10386" i="1"/>
  <c r="A10386" i="1"/>
  <c r="R10385" i="1"/>
  <c r="J10385" i="1"/>
  <c r="I10385" i="1"/>
  <c r="G10385" i="1"/>
  <c r="F10385" i="1"/>
  <c r="E10385" i="1"/>
  <c r="D10385" i="1"/>
  <c r="C10385" i="1"/>
  <c r="B10385" i="1"/>
  <c r="A10385" i="1"/>
  <c r="S10384" i="1"/>
  <c r="O10384" i="1"/>
  <c r="K10384" i="1"/>
  <c r="J10384" i="1"/>
  <c r="I10384" i="1"/>
  <c r="H10384" i="1"/>
  <c r="G10384" i="1"/>
  <c r="F10384" i="1"/>
  <c r="E10384" i="1"/>
  <c r="D10384" i="1"/>
  <c r="C10384" i="1"/>
  <c r="B10384" i="1"/>
  <c r="A10384" i="1"/>
  <c r="R10383" i="1"/>
  <c r="J10383" i="1"/>
  <c r="I10383" i="1"/>
  <c r="G10383" i="1"/>
  <c r="F10383" i="1"/>
  <c r="E10383" i="1"/>
  <c r="D10383" i="1"/>
  <c r="C10383" i="1"/>
  <c r="B10383" i="1"/>
  <c r="A10383" i="1"/>
  <c r="S10382" i="1"/>
  <c r="O10382" i="1"/>
  <c r="K10382" i="1"/>
  <c r="J10382" i="1"/>
  <c r="I10382" i="1"/>
  <c r="H10382" i="1"/>
  <c r="G10382" i="1"/>
  <c r="F10382" i="1"/>
  <c r="E10382" i="1"/>
  <c r="D10382" i="1"/>
  <c r="C10382" i="1"/>
  <c r="B10382" i="1"/>
  <c r="A10382" i="1"/>
  <c r="R10381" i="1"/>
  <c r="J10381" i="1"/>
  <c r="I10381" i="1"/>
  <c r="G10381" i="1"/>
  <c r="F10381" i="1"/>
  <c r="E10381" i="1"/>
  <c r="D10381" i="1"/>
  <c r="C10381" i="1"/>
  <c r="B10381" i="1"/>
  <c r="A10381" i="1"/>
  <c r="S10380" i="1"/>
  <c r="O10380" i="1"/>
  <c r="K10380" i="1"/>
  <c r="J10380" i="1"/>
  <c r="I10380" i="1"/>
  <c r="H10380" i="1"/>
  <c r="G10380" i="1"/>
  <c r="F10380" i="1"/>
  <c r="E10380" i="1"/>
  <c r="D10380" i="1"/>
  <c r="C10380" i="1"/>
  <c r="B10380" i="1"/>
  <c r="A10380" i="1"/>
  <c r="R10379" i="1"/>
  <c r="J10379" i="1"/>
  <c r="I10379" i="1"/>
  <c r="G10379" i="1"/>
  <c r="F10379" i="1"/>
  <c r="E10379" i="1"/>
  <c r="D10379" i="1"/>
  <c r="C10379" i="1"/>
  <c r="B10379" i="1"/>
  <c r="A10379" i="1"/>
  <c r="S10378" i="1"/>
  <c r="O10378" i="1"/>
  <c r="K10378" i="1"/>
  <c r="J10378" i="1"/>
  <c r="I10378" i="1"/>
  <c r="H10378" i="1"/>
  <c r="G10378" i="1"/>
  <c r="F10378" i="1"/>
  <c r="E10378" i="1"/>
  <c r="D10378" i="1"/>
  <c r="C10378" i="1"/>
  <c r="B10378" i="1"/>
  <c r="A10378" i="1"/>
  <c r="R10377" i="1"/>
  <c r="J10377" i="1"/>
  <c r="I10377" i="1"/>
  <c r="G10377" i="1"/>
  <c r="F10377" i="1"/>
  <c r="E10377" i="1"/>
  <c r="D10377" i="1"/>
  <c r="C10377" i="1"/>
  <c r="B10377" i="1"/>
  <c r="A10377" i="1"/>
  <c r="S10376" i="1"/>
  <c r="O10376" i="1"/>
  <c r="K10376" i="1"/>
  <c r="J10376" i="1"/>
  <c r="I10376" i="1"/>
  <c r="H10376" i="1"/>
  <c r="G10376" i="1"/>
  <c r="F10376" i="1"/>
  <c r="E10376" i="1"/>
  <c r="D10376" i="1"/>
  <c r="C10376" i="1"/>
  <c r="B10376" i="1"/>
  <c r="A10376" i="1"/>
  <c r="R10375" i="1"/>
  <c r="J10375" i="1"/>
  <c r="I10375" i="1"/>
  <c r="G10375" i="1"/>
  <c r="F10375" i="1"/>
  <c r="E10375" i="1"/>
  <c r="D10375" i="1"/>
  <c r="C10375" i="1"/>
  <c r="B10375" i="1"/>
  <c r="A10375" i="1"/>
  <c r="S10374" i="1"/>
  <c r="O10374" i="1"/>
  <c r="K10374" i="1"/>
  <c r="J10374" i="1"/>
  <c r="I10374" i="1"/>
  <c r="H10374" i="1"/>
  <c r="G10374" i="1"/>
  <c r="F10374" i="1"/>
  <c r="E10374" i="1"/>
  <c r="D10374" i="1"/>
  <c r="C10374" i="1"/>
  <c r="B10374" i="1"/>
  <c r="A10374" i="1"/>
  <c r="R10373" i="1"/>
  <c r="J10373" i="1"/>
  <c r="I10373" i="1"/>
  <c r="G10373" i="1"/>
  <c r="F10373" i="1"/>
  <c r="E10373" i="1"/>
  <c r="D10373" i="1"/>
  <c r="C10373" i="1"/>
  <c r="B10373" i="1"/>
  <c r="A10373" i="1"/>
  <c r="S10372" i="1"/>
  <c r="O10372" i="1"/>
  <c r="K10372" i="1"/>
  <c r="J10372" i="1"/>
  <c r="I10372" i="1"/>
  <c r="H10372" i="1"/>
  <c r="G10372" i="1"/>
  <c r="F10372" i="1"/>
  <c r="E10372" i="1"/>
  <c r="D10372" i="1"/>
  <c r="C10372" i="1"/>
  <c r="B10372" i="1"/>
  <c r="A10372" i="1"/>
  <c r="R10371" i="1"/>
  <c r="J10371" i="1"/>
  <c r="I10371" i="1"/>
  <c r="G10371" i="1"/>
  <c r="F10371" i="1"/>
  <c r="E10371" i="1"/>
  <c r="D10371" i="1"/>
  <c r="C10371" i="1"/>
  <c r="B10371" i="1"/>
  <c r="A10371" i="1"/>
  <c r="S10370" i="1"/>
  <c r="O10370" i="1"/>
  <c r="K10370" i="1"/>
  <c r="J10370" i="1"/>
  <c r="I10370" i="1"/>
  <c r="H10370" i="1"/>
  <c r="G10370" i="1"/>
  <c r="F10370" i="1"/>
  <c r="E10370" i="1"/>
  <c r="D10370" i="1"/>
  <c r="C10370" i="1"/>
  <c r="B10370" i="1"/>
  <c r="A10370" i="1"/>
  <c r="R10369" i="1"/>
  <c r="J10369" i="1"/>
  <c r="I10369" i="1"/>
  <c r="G10369" i="1"/>
  <c r="F10369" i="1"/>
  <c r="E10369" i="1"/>
  <c r="D10369" i="1"/>
  <c r="C10369" i="1"/>
  <c r="B10369" i="1"/>
  <c r="A10369" i="1"/>
  <c r="S10368" i="1"/>
  <c r="O10368" i="1"/>
  <c r="K10368" i="1"/>
  <c r="J10368" i="1"/>
  <c r="I10368" i="1"/>
  <c r="H10368" i="1"/>
  <c r="G10368" i="1"/>
  <c r="F10368" i="1"/>
  <c r="E10368" i="1"/>
  <c r="D10368" i="1"/>
  <c r="C10368" i="1"/>
  <c r="B10368" i="1"/>
  <c r="A10368" i="1"/>
  <c r="R10367" i="1"/>
  <c r="J10367" i="1"/>
  <c r="I10367" i="1"/>
  <c r="G10367" i="1"/>
  <c r="F10367" i="1"/>
  <c r="E10367" i="1"/>
  <c r="D10367" i="1"/>
  <c r="C10367" i="1"/>
  <c r="B10367" i="1"/>
  <c r="A10367" i="1"/>
  <c r="S10366" i="1"/>
  <c r="O10366" i="1"/>
  <c r="K10366" i="1"/>
  <c r="J10366" i="1"/>
  <c r="I10366" i="1"/>
  <c r="H10366" i="1"/>
  <c r="G10366" i="1"/>
  <c r="F10366" i="1"/>
  <c r="E10366" i="1"/>
  <c r="D10366" i="1"/>
  <c r="C10366" i="1"/>
  <c r="B10366" i="1"/>
  <c r="A10366" i="1"/>
  <c r="R10365" i="1"/>
  <c r="J10365" i="1"/>
  <c r="I10365" i="1"/>
  <c r="G10365" i="1"/>
  <c r="F10365" i="1"/>
  <c r="E10365" i="1"/>
  <c r="D10365" i="1"/>
  <c r="C10365" i="1"/>
  <c r="B10365" i="1"/>
  <c r="A10365" i="1"/>
  <c r="S10364" i="1"/>
  <c r="O10364" i="1"/>
  <c r="K10364" i="1"/>
  <c r="J10364" i="1"/>
  <c r="I10364" i="1"/>
  <c r="H10364" i="1"/>
  <c r="G10364" i="1"/>
  <c r="F10364" i="1"/>
  <c r="E10364" i="1"/>
  <c r="D10364" i="1"/>
  <c r="C10364" i="1"/>
  <c r="B10364" i="1"/>
  <c r="A10364" i="1"/>
  <c r="R10363" i="1"/>
  <c r="J10363" i="1"/>
  <c r="I10363" i="1"/>
  <c r="G10363" i="1"/>
  <c r="F10363" i="1"/>
  <c r="E10363" i="1"/>
  <c r="D10363" i="1"/>
  <c r="C10363" i="1"/>
  <c r="B10363" i="1"/>
  <c r="A10363" i="1"/>
  <c r="S10362" i="1"/>
  <c r="O10362" i="1"/>
  <c r="K10362" i="1"/>
  <c r="J10362" i="1"/>
  <c r="I10362" i="1"/>
  <c r="H10362" i="1"/>
  <c r="G10362" i="1"/>
  <c r="F10362" i="1"/>
  <c r="E10362" i="1"/>
  <c r="D10362" i="1"/>
  <c r="C10362" i="1"/>
  <c r="B10362" i="1"/>
  <c r="A10362" i="1"/>
  <c r="R10361" i="1"/>
  <c r="J10361" i="1"/>
  <c r="I10361" i="1"/>
  <c r="G10361" i="1"/>
  <c r="F10361" i="1"/>
  <c r="E10361" i="1"/>
  <c r="D10361" i="1"/>
  <c r="C10361" i="1"/>
  <c r="B10361" i="1"/>
  <c r="A10361" i="1"/>
  <c r="S10360" i="1"/>
  <c r="O10360" i="1"/>
  <c r="K10360" i="1"/>
  <c r="J10360" i="1"/>
  <c r="I10360" i="1"/>
  <c r="H10360" i="1"/>
  <c r="G10360" i="1"/>
  <c r="F10360" i="1"/>
  <c r="E10360" i="1"/>
  <c r="D10360" i="1"/>
  <c r="C10360" i="1"/>
  <c r="B10360" i="1"/>
  <c r="A10360" i="1"/>
  <c r="R10359" i="1"/>
  <c r="J10359" i="1"/>
  <c r="I10359" i="1"/>
  <c r="G10359" i="1"/>
  <c r="F10359" i="1"/>
  <c r="E10359" i="1"/>
  <c r="D10359" i="1"/>
  <c r="C10359" i="1"/>
  <c r="B10359" i="1"/>
  <c r="A10359" i="1"/>
  <c r="S10358" i="1"/>
  <c r="O10358" i="1"/>
  <c r="K10358" i="1"/>
  <c r="J10358" i="1"/>
  <c r="I10358" i="1"/>
  <c r="H10358" i="1"/>
  <c r="G10358" i="1"/>
  <c r="F10358" i="1"/>
  <c r="E10358" i="1"/>
  <c r="D10358" i="1"/>
  <c r="C10358" i="1"/>
  <c r="B10358" i="1"/>
  <c r="A10358" i="1"/>
  <c r="R10357" i="1"/>
  <c r="J10357" i="1"/>
  <c r="I10357" i="1"/>
  <c r="G10357" i="1"/>
  <c r="F10357" i="1"/>
  <c r="E10357" i="1"/>
  <c r="D10357" i="1"/>
  <c r="C10357" i="1"/>
  <c r="B10357" i="1"/>
  <c r="A10357" i="1"/>
  <c r="S10356" i="1"/>
  <c r="O10356" i="1"/>
  <c r="K10356" i="1"/>
  <c r="J10356" i="1"/>
  <c r="I10356" i="1"/>
  <c r="H10356" i="1"/>
  <c r="G10356" i="1"/>
  <c r="F10356" i="1"/>
  <c r="E10356" i="1"/>
  <c r="D10356" i="1"/>
  <c r="C10356" i="1"/>
  <c r="B10356" i="1"/>
  <c r="A10356" i="1"/>
  <c r="R10355" i="1"/>
  <c r="J10355" i="1"/>
  <c r="I10355" i="1"/>
  <c r="G10355" i="1"/>
  <c r="F10355" i="1"/>
  <c r="E10355" i="1"/>
  <c r="D10355" i="1"/>
  <c r="C10355" i="1"/>
  <c r="B10355" i="1"/>
  <c r="A10355" i="1"/>
  <c r="S10354" i="1"/>
  <c r="O10354" i="1"/>
  <c r="K10354" i="1"/>
  <c r="J10354" i="1"/>
  <c r="I10354" i="1"/>
  <c r="H10354" i="1"/>
  <c r="G10354" i="1"/>
  <c r="F10354" i="1"/>
  <c r="E10354" i="1"/>
  <c r="D10354" i="1"/>
  <c r="C10354" i="1"/>
  <c r="B10354" i="1"/>
  <c r="A10354" i="1"/>
  <c r="R10353" i="1"/>
  <c r="J10353" i="1"/>
  <c r="I10353" i="1"/>
  <c r="G10353" i="1"/>
  <c r="F10353" i="1"/>
  <c r="E10353" i="1"/>
  <c r="D10353" i="1"/>
  <c r="C10353" i="1"/>
  <c r="B10353" i="1"/>
  <c r="A10353" i="1"/>
  <c r="S10352" i="1"/>
  <c r="O10352" i="1"/>
  <c r="K10352" i="1"/>
  <c r="J10352" i="1"/>
  <c r="I10352" i="1"/>
  <c r="H10352" i="1"/>
  <c r="G10352" i="1"/>
  <c r="F10352" i="1"/>
  <c r="E10352" i="1"/>
  <c r="D10352" i="1"/>
  <c r="C10352" i="1"/>
  <c r="B10352" i="1"/>
  <c r="A10352" i="1"/>
  <c r="R10351" i="1"/>
  <c r="J10351" i="1"/>
  <c r="I10351" i="1"/>
  <c r="G10351" i="1"/>
  <c r="F10351" i="1"/>
  <c r="E10351" i="1"/>
  <c r="D10351" i="1"/>
  <c r="C10351" i="1"/>
  <c r="B10351" i="1"/>
  <c r="A10351" i="1"/>
  <c r="R10350" i="1"/>
  <c r="J10350" i="1"/>
  <c r="I10350" i="1"/>
  <c r="G10350" i="1"/>
  <c r="F10350" i="1"/>
  <c r="E10350" i="1"/>
  <c r="D10350" i="1"/>
  <c r="C10350" i="1"/>
  <c r="B10350" i="1"/>
  <c r="A10350" i="1"/>
  <c r="R10349" i="1"/>
  <c r="J10349" i="1"/>
  <c r="I10349" i="1"/>
  <c r="G10349" i="1"/>
  <c r="F10349" i="1"/>
  <c r="E10349" i="1"/>
  <c r="D10349" i="1"/>
  <c r="C10349" i="1"/>
  <c r="B10349" i="1"/>
  <c r="A10349" i="1"/>
  <c r="S10348" i="1"/>
  <c r="O10348" i="1"/>
  <c r="K10348" i="1"/>
  <c r="J10348" i="1"/>
  <c r="I10348" i="1"/>
  <c r="H10348" i="1"/>
  <c r="G10348" i="1"/>
  <c r="F10348" i="1"/>
  <c r="E10348" i="1"/>
  <c r="D10348" i="1"/>
  <c r="C10348" i="1"/>
  <c r="B10348" i="1"/>
  <c r="A10348" i="1"/>
  <c r="R10347" i="1"/>
  <c r="J10347" i="1"/>
  <c r="I10347" i="1"/>
  <c r="G10347" i="1"/>
  <c r="F10347" i="1"/>
  <c r="E10347" i="1"/>
  <c r="D10347" i="1"/>
  <c r="C10347" i="1"/>
  <c r="B10347" i="1"/>
  <c r="A10347" i="1"/>
  <c r="S10346" i="1"/>
  <c r="O10346" i="1"/>
  <c r="K10346" i="1"/>
  <c r="J10346" i="1"/>
  <c r="I10346" i="1"/>
  <c r="H10346" i="1"/>
  <c r="G10346" i="1"/>
  <c r="F10346" i="1"/>
  <c r="E10346" i="1"/>
  <c r="D10346" i="1"/>
  <c r="C10346" i="1"/>
  <c r="B10346" i="1"/>
  <c r="A10346" i="1"/>
  <c r="R10345" i="1"/>
  <c r="J10345" i="1"/>
  <c r="I10345" i="1"/>
  <c r="G10345" i="1"/>
  <c r="F10345" i="1"/>
  <c r="E10345" i="1"/>
  <c r="D10345" i="1"/>
  <c r="C10345" i="1"/>
  <c r="B10345" i="1"/>
  <c r="A10345" i="1"/>
  <c r="S10344" i="1"/>
  <c r="O10344" i="1"/>
  <c r="K10344" i="1"/>
  <c r="J10344" i="1"/>
  <c r="I10344" i="1"/>
  <c r="H10344" i="1"/>
  <c r="G10344" i="1"/>
  <c r="F10344" i="1"/>
  <c r="E10344" i="1"/>
  <c r="D10344" i="1"/>
  <c r="C10344" i="1"/>
  <c r="B10344" i="1"/>
  <c r="A10344" i="1"/>
  <c r="R10343" i="1"/>
  <c r="J10343" i="1"/>
  <c r="I10343" i="1"/>
  <c r="G10343" i="1"/>
  <c r="F10343" i="1"/>
  <c r="E10343" i="1"/>
  <c r="D10343" i="1"/>
  <c r="C10343" i="1"/>
  <c r="B10343" i="1"/>
  <c r="A10343" i="1"/>
  <c r="S10342" i="1"/>
  <c r="O10342" i="1"/>
  <c r="K10342" i="1"/>
  <c r="J10342" i="1"/>
  <c r="I10342" i="1"/>
  <c r="H10342" i="1"/>
  <c r="G10342" i="1"/>
  <c r="F10342" i="1"/>
  <c r="E10342" i="1"/>
  <c r="D10342" i="1"/>
  <c r="C10342" i="1"/>
  <c r="B10342" i="1"/>
  <c r="A10342" i="1"/>
  <c r="R10341" i="1"/>
  <c r="J10341" i="1"/>
  <c r="I10341" i="1"/>
  <c r="G10341" i="1"/>
  <c r="F10341" i="1"/>
  <c r="E10341" i="1"/>
  <c r="D10341" i="1"/>
  <c r="C10341" i="1"/>
  <c r="B10341" i="1"/>
  <c r="A10341" i="1"/>
  <c r="S10340" i="1"/>
  <c r="O10340" i="1"/>
  <c r="K10340" i="1"/>
  <c r="J10340" i="1"/>
  <c r="I10340" i="1"/>
  <c r="H10340" i="1"/>
  <c r="G10340" i="1"/>
  <c r="F10340" i="1"/>
  <c r="E10340" i="1"/>
  <c r="D10340" i="1"/>
  <c r="C10340" i="1"/>
  <c r="B10340" i="1"/>
  <c r="A10340" i="1"/>
  <c r="R10339" i="1"/>
  <c r="J10339" i="1"/>
  <c r="I10339" i="1"/>
  <c r="G10339" i="1"/>
  <c r="F10339" i="1"/>
  <c r="E10339" i="1"/>
  <c r="D10339" i="1"/>
  <c r="C10339" i="1"/>
  <c r="B10339" i="1"/>
  <c r="A10339" i="1"/>
  <c r="S10338" i="1"/>
  <c r="O10338" i="1"/>
  <c r="K10338" i="1"/>
  <c r="J10338" i="1"/>
  <c r="I10338" i="1"/>
  <c r="H10338" i="1"/>
  <c r="G10338" i="1"/>
  <c r="F10338" i="1"/>
  <c r="E10338" i="1"/>
  <c r="D10338" i="1"/>
  <c r="C10338" i="1"/>
  <c r="B10338" i="1"/>
  <c r="A10338" i="1"/>
  <c r="R10337" i="1"/>
  <c r="J10337" i="1"/>
  <c r="I10337" i="1"/>
  <c r="G10337" i="1"/>
  <c r="F10337" i="1"/>
  <c r="E10337" i="1"/>
  <c r="D10337" i="1"/>
  <c r="C10337" i="1"/>
  <c r="B10337" i="1"/>
  <c r="A10337" i="1"/>
  <c r="S10336" i="1"/>
  <c r="O10336" i="1"/>
  <c r="K10336" i="1"/>
  <c r="J10336" i="1"/>
  <c r="I10336" i="1"/>
  <c r="H10336" i="1"/>
  <c r="G10336" i="1"/>
  <c r="F10336" i="1"/>
  <c r="E10336" i="1"/>
  <c r="D10336" i="1"/>
  <c r="C10336" i="1"/>
  <c r="B10336" i="1"/>
  <c r="A10336" i="1"/>
  <c r="R10335" i="1"/>
  <c r="J10335" i="1"/>
  <c r="I10335" i="1"/>
  <c r="G10335" i="1"/>
  <c r="F10335" i="1"/>
  <c r="E10335" i="1"/>
  <c r="D10335" i="1"/>
  <c r="C10335" i="1"/>
  <c r="B10335" i="1"/>
  <c r="A10335" i="1"/>
  <c r="S10334" i="1"/>
  <c r="O10334" i="1"/>
  <c r="K10334" i="1"/>
  <c r="J10334" i="1"/>
  <c r="I10334" i="1"/>
  <c r="H10334" i="1"/>
  <c r="G10334" i="1"/>
  <c r="F10334" i="1"/>
  <c r="E10334" i="1"/>
  <c r="D10334" i="1"/>
  <c r="C10334" i="1"/>
  <c r="B10334" i="1"/>
  <c r="A10334" i="1"/>
  <c r="R10333" i="1"/>
  <c r="J10333" i="1"/>
  <c r="I10333" i="1"/>
  <c r="G10333" i="1"/>
  <c r="F10333" i="1"/>
  <c r="E10333" i="1"/>
  <c r="D10333" i="1"/>
  <c r="C10333" i="1"/>
  <c r="B10333" i="1"/>
  <c r="A10333" i="1"/>
  <c r="S10332" i="1"/>
  <c r="O10332" i="1"/>
  <c r="K10332" i="1"/>
  <c r="J10332" i="1"/>
  <c r="I10332" i="1"/>
  <c r="H10332" i="1"/>
  <c r="G10332" i="1"/>
  <c r="F10332" i="1"/>
  <c r="E10332" i="1"/>
  <c r="D10332" i="1"/>
  <c r="C10332" i="1"/>
  <c r="B10332" i="1"/>
  <c r="A10332" i="1"/>
  <c r="R10331" i="1"/>
  <c r="J10331" i="1"/>
  <c r="I10331" i="1"/>
  <c r="G10331" i="1"/>
  <c r="F10331" i="1"/>
  <c r="E10331" i="1"/>
  <c r="D10331" i="1"/>
  <c r="C10331" i="1"/>
  <c r="B10331" i="1"/>
  <c r="A10331" i="1"/>
  <c r="S10330" i="1"/>
  <c r="O10330" i="1"/>
  <c r="K10330" i="1"/>
  <c r="J10330" i="1"/>
  <c r="I10330" i="1"/>
  <c r="H10330" i="1"/>
  <c r="G10330" i="1"/>
  <c r="F10330" i="1"/>
  <c r="E10330" i="1"/>
  <c r="D10330" i="1"/>
  <c r="C10330" i="1"/>
  <c r="B10330" i="1"/>
  <c r="A10330" i="1"/>
  <c r="R10329" i="1"/>
  <c r="J10329" i="1"/>
  <c r="I10329" i="1"/>
  <c r="G10329" i="1"/>
  <c r="F10329" i="1"/>
  <c r="E10329" i="1"/>
  <c r="D10329" i="1"/>
  <c r="C10329" i="1"/>
  <c r="B10329" i="1"/>
  <c r="A10329" i="1"/>
  <c r="S10328" i="1"/>
  <c r="O10328" i="1"/>
  <c r="K10328" i="1"/>
  <c r="J10328" i="1"/>
  <c r="I10328" i="1"/>
  <c r="H10328" i="1"/>
  <c r="G10328" i="1"/>
  <c r="F10328" i="1"/>
  <c r="E10328" i="1"/>
  <c r="D10328" i="1"/>
  <c r="C10328" i="1"/>
  <c r="B10328" i="1"/>
  <c r="A10328" i="1"/>
  <c r="R10327" i="1"/>
  <c r="J10327" i="1"/>
  <c r="I10327" i="1"/>
  <c r="G10327" i="1"/>
  <c r="F10327" i="1"/>
  <c r="E10327" i="1"/>
  <c r="D10327" i="1"/>
  <c r="C10327" i="1"/>
  <c r="B10327" i="1"/>
  <c r="A10327" i="1"/>
  <c r="S10326" i="1"/>
  <c r="O10326" i="1"/>
  <c r="K10326" i="1"/>
  <c r="J10326" i="1"/>
  <c r="I10326" i="1"/>
  <c r="H10326" i="1"/>
  <c r="G10326" i="1"/>
  <c r="F10326" i="1"/>
  <c r="E10326" i="1"/>
  <c r="D10326" i="1"/>
  <c r="C10326" i="1"/>
  <c r="B10326" i="1"/>
  <c r="A10326" i="1"/>
  <c r="R10325" i="1"/>
  <c r="J10325" i="1"/>
  <c r="I10325" i="1"/>
  <c r="G10325" i="1"/>
  <c r="F10325" i="1"/>
  <c r="E10325" i="1"/>
  <c r="D10325" i="1"/>
  <c r="C10325" i="1"/>
  <c r="B10325" i="1"/>
  <c r="A10325" i="1"/>
  <c r="S10324" i="1"/>
  <c r="O10324" i="1"/>
  <c r="K10324" i="1"/>
  <c r="J10324" i="1"/>
  <c r="I10324" i="1"/>
  <c r="H10324" i="1"/>
  <c r="G10324" i="1"/>
  <c r="F10324" i="1"/>
  <c r="E10324" i="1"/>
  <c r="D10324" i="1"/>
  <c r="C10324" i="1"/>
  <c r="B10324" i="1"/>
  <c r="A10324" i="1"/>
  <c r="R10323" i="1"/>
  <c r="J10323" i="1"/>
  <c r="I10323" i="1"/>
  <c r="G10323" i="1"/>
  <c r="F10323" i="1"/>
  <c r="E10323" i="1"/>
  <c r="D10323" i="1"/>
  <c r="C10323" i="1"/>
  <c r="B10323" i="1"/>
  <c r="A10323" i="1"/>
  <c r="S10322" i="1"/>
  <c r="O10322" i="1"/>
  <c r="K10322" i="1"/>
  <c r="J10322" i="1"/>
  <c r="I10322" i="1"/>
  <c r="H10322" i="1"/>
  <c r="G10322" i="1"/>
  <c r="F10322" i="1"/>
  <c r="E10322" i="1"/>
  <c r="D10322" i="1"/>
  <c r="C10322" i="1"/>
  <c r="B10322" i="1"/>
  <c r="A10322" i="1"/>
  <c r="R10321" i="1"/>
  <c r="J10321" i="1"/>
  <c r="I10321" i="1"/>
  <c r="G10321" i="1"/>
  <c r="F10321" i="1"/>
  <c r="E10321" i="1"/>
  <c r="D10321" i="1"/>
  <c r="C10321" i="1"/>
  <c r="B10321" i="1"/>
  <c r="A10321" i="1"/>
  <c r="S10320" i="1"/>
  <c r="O10320" i="1"/>
  <c r="K10320" i="1"/>
  <c r="J10320" i="1"/>
  <c r="I10320" i="1"/>
  <c r="H10320" i="1"/>
  <c r="G10320" i="1"/>
  <c r="F10320" i="1"/>
  <c r="E10320" i="1"/>
  <c r="D10320" i="1"/>
  <c r="C10320" i="1"/>
  <c r="B10320" i="1"/>
  <c r="A10320" i="1"/>
  <c r="R10319" i="1"/>
  <c r="J10319" i="1"/>
  <c r="I10319" i="1"/>
  <c r="G10319" i="1"/>
  <c r="F10319" i="1"/>
  <c r="E10319" i="1"/>
  <c r="D10319" i="1"/>
  <c r="C10319" i="1"/>
  <c r="B10319" i="1"/>
  <c r="A10319" i="1"/>
  <c r="S10318" i="1"/>
  <c r="O10318" i="1"/>
  <c r="K10318" i="1"/>
  <c r="J10318" i="1"/>
  <c r="I10318" i="1"/>
  <c r="H10318" i="1"/>
  <c r="G10318" i="1"/>
  <c r="F10318" i="1"/>
  <c r="E10318" i="1"/>
  <c r="D10318" i="1"/>
  <c r="C10318" i="1"/>
  <c r="B10318" i="1"/>
  <c r="A10318" i="1"/>
  <c r="R10317" i="1"/>
  <c r="J10317" i="1"/>
  <c r="I10317" i="1"/>
  <c r="G10317" i="1"/>
  <c r="F10317" i="1"/>
  <c r="E10317" i="1"/>
  <c r="D10317" i="1"/>
  <c r="C10317" i="1"/>
  <c r="B10317" i="1"/>
  <c r="A10317" i="1"/>
  <c r="S10316" i="1"/>
  <c r="O10316" i="1"/>
  <c r="K10316" i="1"/>
  <c r="J10316" i="1"/>
  <c r="I10316" i="1"/>
  <c r="H10316" i="1"/>
  <c r="G10316" i="1"/>
  <c r="F10316" i="1"/>
  <c r="E10316" i="1"/>
  <c r="D10316" i="1"/>
  <c r="C10316" i="1"/>
  <c r="B10316" i="1"/>
  <c r="A10316" i="1"/>
  <c r="R10315" i="1"/>
  <c r="J10315" i="1"/>
  <c r="I10315" i="1"/>
  <c r="G10315" i="1"/>
  <c r="F10315" i="1"/>
  <c r="E10315" i="1"/>
  <c r="D10315" i="1"/>
  <c r="C10315" i="1"/>
  <c r="B10315" i="1"/>
  <c r="A10315" i="1"/>
  <c r="S10314" i="1"/>
  <c r="O10314" i="1"/>
  <c r="K10314" i="1"/>
  <c r="J10314" i="1"/>
  <c r="I10314" i="1"/>
  <c r="H10314" i="1"/>
  <c r="G10314" i="1"/>
  <c r="F10314" i="1"/>
  <c r="E10314" i="1"/>
  <c r="D10314" i="1"/>
  <c r="C10314" i="1"/>
  <c r="B10314" i="1"/>
  <c r="A10314" i="1"/>
  <c r="R10313" i="1"/>
  <c r="J10313" i="1"/>
  <c r="I10313" i="1"/>
  <c r="G10313" i="1"/>
  <c r="F10313" i="1"/>
  <c r="E10313" i="1"/>
  <c r="D10313" i="1"/>
  <c r="C10313" i="1"/>
  <c r="B10313" i="1"/>
  <c r="A10313" i="1"/>
  <c r="S10312" i="1"/>
  <c r="O10312" i="1"/>
  <c r="K10312" i="1"/>
  <c r="J10312" i="1"/>
  <c r="I10312" i="1"/>
  <c r="H10312" i="1"/>
  <c r="G10312" i="1"/>
  <c r="F10312" i="1"/>
  <c r="E10312" i="1"/>
  <c r="D10312" i="1"/>
  <c r="C10312" i="1"/>
  <c r="B10312" i="1"/>
  <c r="A10312" i="1"/>
  <c r="R10311" i="1"/>
  <c r="J10311" i="1"/>
  <c r="I10311" i="1"/>
  <c r="G10311" i="1"/>
  <c r="F10311" i="1"/>
  <c r="E10311" i="1"/>
  <c r="D10311" i="1"/>
  <c r="C10311" i="1"/>
  <c r="B10311" i="1"/>
  <c r="A10311" i="1"/>
  <c r="S10310" i="1"/>
  <c r="O10310" i="1"/>
  <c r="K10310" i="1"/>
  <c r="J10310" i="1"/>
  <c r="I10310" i="1"/>
  <c r="H10310" i="1"/>
  <c r="G10310" i="1"/>
  <c r="F10310" i="1"/>
  <c r="E10310" i="1"/>
  <c r="D10310" i="1"/>
  <c r="C10310" i="1"/>
  <c r="B10310" i="1"/>
  <c r="A10310" i="1"/>
  <c r="R10309" i="1"/>
  <c r="J10309" i="1"/>
  <c r="I10309" i="1"/>
  <c r="G10309" i="1"/>
  <c r="F10309" i="1"/>
  <c r="E10309" i="1"/>
  <c r="D10309" i="1"/>
  <c r="C10309" i="1"/>
  <c r="B10309" i="1"/>
  <c r="A10309" i="1"/>
  <c r="S10308" i="1"/>
  <c r="O10308" i="1"/>
  <c r="K10308" i="1"/>
  <c r="J10308" i="1"/>
  <c r="I10308" i="1"/>
  <c r="H10308" i="1"/>
  <c r="G10308" i="1"/>
  <c r="F10308" i="1"/>
  <c r="E10308" i="1"/>
  <c r="D10308" i="1"/>
  <c r="C10308" i="1"/>
  <c r="B10308" i="1"/>
  <c r="A10308" i="1"/>
  <c r="R10307" i="1"/>
  <c r="J10307" i="1"/>
  <c r="I10307" i="1"/>
  <c r="G10307" i="1"/>
  <c r="F10307" i="1"/>
  <c r="E10307" i="1"/>
  <c r="D10307" i="1"/>
  <c r="C10307" i="1"/>
  <c r="B10307" i="1"/>
  <c r="A10307" i="1"/>
  <c r="S10306" i="1"/>
  <c r="O10306" i="1"/>
  <c r="K10306" i="1"/>
  <c r="J10306" i="1"/>
  <c r="I10306" i="1"/>
  <c r="H10306" i="1"/>
  <c r="G10306" i="1"/>
  <c r="F10306" i="1"/>
  <c r="E10306" i="1"/>
  <c r="D10306" i="1"/>
  <c r="C10306" i="1"/>
  <c r="B10306" i="1"/>
  <c r="A10306" i="1"/>
  <c r="R10305" i="1"/>
  <c r="J10305" i="1"/>
  <c r="I10305" i="1"/>
  <c r="G10305" i="1"/>
  <c r="F10305" i="1"/>
  <c r="E10305" i="1"/>
  <c r="D10305" i="1"/>
  <c r="C10305" i="1"/>
  <c r="B10305" i="1"/>
  <c r="A10305" i="1"/>
  <c r="R10304" i="1"/>
  <c r="J10304" i="1"/>
  <c r="I10304" i="1"/>
  <c r="G10304" i="1"/>
  <c r="F10304" i="1"/>
  <c r="E10304" i="1"/>
  <c r="D10304" i="1"/>
  <c r="C10304" i="1"/>
  <c r="B10304" i="1"/>
  <c r="A10304" i="1"/>
  <c r="S10303" i="1"/>
  <c r="O10303" i="1"/>
  <c r="K10303" i="1"/>
  <c r="J10303" i="1"/>
  <c r="I10303" i="1"/>
  <c r="H10303" i="1"/>
  <c r="G10303" i="1"/>
  <c r="F10303" i="1"/>
  <c r="E10303" i="1"/>
  <c r="D10303" i="1"/>
  <c r="C10303" i="1"/>
  <c r="B10303" i="1"/>
  <c r="A10303" i="1"/>
  <c r="R10302" i="1"/>
  <c r="J10302" i="1"/>
  <c r="I10302" i="1"/>
  <c r="G10302" i="1"/>
  <c r="F10302" i="1"/>
  <c r="E10302" i="1"/>
  <c r="D10302" i="1"/>
  <c r="C10302" i="1"/>
  <c r="B10302" i="1"/>
  <c r="A10302" i="1"/>
  <c r="S10301" i="1"/>
  <c r="O10301" i="1"/>
  <c r="K10301" i="1"/>
  <c r="J10301" i="1"/>
  <c r="I10301" i="1"/>
  <c r="H10301" i="1"/>
  <c r="G10301" i="1"/>
  <c r="F10301" i="1"/>
  <c r="E10301" i="1"/>
  <c r="D10301" i="1"/>
  <c r="C10301" i="1"/>
  <c r="B10301" i="1"/>
  <c r="A10301" i="1"/>
  <c r="R10300" i="1"/>
  <c r="J10300" i="1"/>
  <c r="I10300" i="1"/>
  <c r="G10300" i="1"/>
  <c r="F10300" i="1"/>
  <c r="E10300" i="1"/>
  <c r="D10300" i="1"/>
  <c r="C10300" i="1"/>
  <c r="B10300" i="1"/>
  <c r="A10300" i="1"/>
  <c r="S10299" i="1"/>
  <c r="O10299" i="1"/>
  <c r="K10299" i="1"/>
  <c r="J10299" i="1"/>
  <c r="I10299" i="1"/>
  <c r="H10299" i="1"/>
  <c r="G10299" i="1"/>
  <c r="F10299" i="1"/>
  <c r="E10299" i="1"/>
  <c r="D10299" i="1"/>
  <c r="C10299" i="1"/>
  <c r="B10299" i="1"/>
  <c r="A10299" i="1"/>
  <c r="R10298" i="1"/>
  <c r="J10298" i="1"/>
  <c r="I10298" i="1"/>
  <c r="G10298" i="1"/>
  <c r="F10298" i="1"/>
  <c r="E10298" i="1"/>
  <c r="D10298" i="1"/>
  <c r="C10298" i="1"/>
  <c r="B10298" i="1"/>
  <c r="A10298" i="1"/>
  <c r="S10297" i="1"/>
  <c r="O10297" i="1"/>
  <c r="K10297" i="1"/>
  <c r="J10297" i="1"/>
  <c r="I10297" i="1"/>
  <c r="H10297" i="1"/>
  <c r="G10297" i="1"/>
  <c r="F10297" i="1"/>
  <c r="E10297" i="1"/>
  <c r="D10297" i="1"/>
  <c r="C10297" i="1"/>
  <c r="B10297" i="1"/>
  <c r="A10297" i="1"/>
  <c r="R10296" i="1"/>
  <c r="J10296" i="1"/>
  <c r="I10296" i="1"/>
  <c r="G10296" i="1"/>
  <c r="F10296" i="1"/>
  <c r="E10296" i="1"/>
  <c r="D10296" i="1"/>
  <c r="C10296" i="1"/>
  <c r="B10296" i="1"/>
  <c r="A10296" i="1"/>
  <c r="R10295" i="1"/>
  <c r="J10295" i="1"/>
  <c r="I10295" i="1"/>
  <c r="G10295" i="1"/>
  <c r="F10295" i="1"/>
  <c r="E10295" i="1"/>
  <c r="D10295" i="1"/>
  <c r="C10295" i="1"/>
  <c r="B10295" i="1"/>
  <c r="A10295" i="1"/>
  <c r="S10294" i="1"/>
  <c r="O10294" i="1"/>
  <c r="K10294" i="1"/>
  <c r="J10294" i="1"/>
  <c r="I10294" i="1"/>
  <c r="H10294" i="1"/>
  <c r="G10294" i="1"/>
  <c r="F10294" i="1"/>
  <c r="E10294" i="1"/>
  <c r="D10294" i="1"/>
  <c r="C10294" i="1"/>
  <c r="B10294" i="1"/>
  <c r="A10294" i="1"/>
  <c r="R10293" i="1"/>
  <c r="J10293" i="1"/>
  <c r="I10293" i="1"/>
  <c r="G10293" i="1"/>
  <c r="F10293" i="1"/>
  <c r="E10293" i="1"/>
  <c r="D10293" i="1"/>
  <c r="C10293" i="1"/>
  <c r="B10293" i="1"/>
  <c r="A10293" i="1"/>
  <c r="S10292" i="1"/>
  <c r="O10292" i="1"/>
  <c r="K10292" i="1"/>
  <c r="J10292" i="1"/>
  <c r="I10292" i="1"/>
  <c r="H10292" i="1"/>
  <c r="G10292" i="1"/>
  <c r="F10292" i="1"/>
  <c r="E10292" i="1"/>
  <c r="D10292" i="1"/>
  <c r="C10292" i="1"/>
  <c r="B10292" i="1"/>
  <c r="A10292" i="1"/>
  <c r="R10291" i="1"/>
  <c r="J10291" i="1"/>
  <c r="I10291" i="1"/>
  <c r="G10291" i="1"/>
  <c r="F10291" i="1"/>
  <c r="E10291" i="1"/>
  <c r="D10291" i="1"/>
  <c r="C10291" i="1"/>
  <c r="B10291" i="1"/>
  <c r="A10291" i="1"/>
  <c r="S10290" i="1"/>
  <c r="O10290" i="1"/>
  <c r="K10290" i="1"/>
  <c r="J10290" i="1"/>
  <c r="I10290" i="1"/>
  <c r="H10290" i="1"/>
  <c r="G10290" i="1"/>
  <c r="F10290" i="1"/>
  <c r="E10290" i="1"/>
  <c r="D10290" i="1"/>
  <c r="C10290" i="1"/>
  <c r="B10290" i="1"/>
  <c r="A10290" i="1"/>
  <c r="R10289" i="1"/>
  <c r="J10289" i="1"/>
  <c r="I10289" i="1"/>
  <c r="G10289" i="1"/>
  <c r="F10289" i="1"/>
  <c r="E10289" i="1"/>
  <c r="D10289" i="1"/>
  <c r="C10289" i="1"/>
  <c r="B10289" i="1"/>
  <c r="A10289" i="1"/>
  <c r="R10288" i="1"/>
  <c r="J10288" i="1"/>
  <c r="I10288" i="1"/>
  <c r="G10288" i="1"/>
  <c r="F10288" i="1"/>
  <c r="E10288" i="1"/>
  <c r="D10288" i="1"/>
  <c r="C10288" i="1"/>
  <c r="B10288" i="1"/>
  <c r="A10288" i="1"/>
  <c r="S10287" i="1"/>
  <c r="O10287" i="1"/>
  <c r="K10287" i="1"/>
  <c r="J10287" i="1"/>
  <c r="I10287" i="1"/>
  <c r="H10287" i="1"/>
  <c r="G10287" i="1"/>
  <c r="F10287" i="1"/>
  <c r="E10287" i="1"/>
  <c r="D10287" i="1"/>
  <c r="C10287" i="1"/>
  <c r="B10287" i="1"/>
  <c r="A10287" i="1"/>
  <c r="R10286" i="1"/>
  <c r="J10286" i="1"/>
  <c r="I10286" i="1"/>
  <c r="G10286" i="1"/>
  <c r="F10286" i="1"/>
  <c r="E10286" i="1"/>
  <c r="D10286" i="1"/>
  <c r="C10286" i="1"/>
  <c r="B10286" i="1"/>
  <c r="A10286" i="1"/>
  <c r="S10285" i="1"/>
  <c r="O10285" i="1"/>
  <c r="K10285" i="1"/>
  <c r="J10285" i="1"/>
  <c r="I10285" i="1"/>
  <c r="H10285" i="1"/>
  <c r="G10285" i="1"/>
  <c r="F10285" i="1"/>
  <c r="E10285" i="1"/>
  <c r="D10285" i="1"/>
  <c r="C10285" i="1"/>
  <c r="B10285" i="1"/>
  <c r="A10285" i="1"/>
  <c r="R10284" i="1"/>
  <c r="J10284" i="1"/>
  <c r="I10284" i="1"/>
  <c r="G10284" i="1"/>
  <c r="F10284" i="1"/>
  <c r="E10284" i="1"/>
  <c r="D10284" i="1"/>
  <c r="C10284" i="1"/>
  <c r="B10284" i="1"/>
  <c r="A10284" i="1"/>
  <c r="S10283" i="1"/>
  <c r="O10283" i="1"/>
  <c r="K10283" i="1"/>
  <c r="J10283" i="1"/>
  <c r="I10283" i="1"/>
  <c r="H10283" i="1"/>
  <c r="G10283" i="1"/>
  <c r="F10283" i="1"/>
  <c r="E10283" i="1"/>
  <c r="D10283" i="1"/>
  <c r="C10283" i="1"/>
  <c r="B10283" i="1"/>
  <c r="A10283" i="1"/>
  <c r="R10282" i="1"/>
  <c r="J10282" i="1"/>
  <c r="I10282" i="1"/>
  <c r="G10282" i="1"/>
  <c r="F10282" i="1"/>
  <c r="E10282" i="1"/>
  <c r="D10282" i="1"/>
  <c r="C10282" i="1"/>
  <c r="B10282" i="1"/>
  <c r="A10282" i="1"/>
  <c r="S10281" i="1"/>
  <c r="O10281" i="1"/>
  <c r="K10281" i="1"/>
  <c r="J10281" i="1"/>
  <c r="I10281" i="1"/>
  <c r="H10281" i="1"/>
  <c r="G10281" i="1"/>
  <c r="F10281" i="1"/>
  <c r="E10281" i="1"/>
  <c r="D10281" i="1"/>
  <c r="C10281" i="1"/>
  <c r="B10281" i="1"/>
  <c r="A10281" i="1"/>
  <c r="R10280" i="1"/>
  <c r="J10280" i="1"/>
  <c r="I10280" i="1"/>
  <c r="G10280" i="1"/>
  <c r="F10280" i="1"/>
  <c r="E10280" i="1"/>
  <c r="D10280" i="1"/>
  <c r="C10280" i="1"/>
  <c r="B10280" i="1"/>
  <c r="A10280" i="1"/>
  <c r="R10279" i="1"/>
  <c r="J10279" i="1"/>
  <c r="I10279" i="1"/>
  <c r="G10279" i="1"/>
  <c r="F10279" i="1"/>
  <c r="E10279" i="1"/>
  <c r="D10279" i="1"/>
  <c r="C10279" i="1"/>
  <c r="B10279" i="1"/>
  <c r="A10279" i="1"/>
  <c r="S10278" i="1"/>
  <c r="O10278" i="1"/>
  <c r="K10278" i="1"/>
  <c r="J10278" i="1"/>
  <c r="I10278" i="1"/>
  <c r="H10278" i="1"/>
  <c r="G10278" i="1"/>
  <c r="F10278" i="1"/>
  <c r="E10278" i="1"/>
  <c r="D10278" i="1"/>
  <c r="C10278" i="1"/>
  <c r="B10278" i="1"/>
  <c r="A10278" i="1"/>
  <c r="R10277" i="1"/>
  <c r="J10277" i="1"/>
  <c r="I10277" i="1"/>
  <c r="G10277" i="1"/>
  <c r="F10277" i="1"/>
  <c r="E10277" i="1"/>
  <c r="D10277" i="1"/>
  <c r="C10277" i="1"/>
  <c r="B10277" i="1"/>
  <c r="A10277" i="1"/>
  <c r="S10276" i="1"/>
  <c r="O10276" i="1"/>
  <c r="K10276" i="1"/>
  <c r="J10276" i="1"/>
  <c r="I10276" i="1"/>
  <c r="H10276" i="1"/>
  <c r="G10276" i="1"/>
  <c r="F10276" i="1"/>
  <c r="E10276" i="1"/>
  <c r="D10276" i="1"/>
  <c r="C10276" i="1"/>
  <c r="B10276" i="1"/>
  <c r="A10276" i="1"/>
  <c r="R10275" i="1"/>
  <c r="J10275" i="1"/>
  <c r="I10275" i="1"/>
  <c r="G10275" i="1"/>
  <c r="F10275" i="1"/>
  <c r="E10275" i="1"/>
  <c r="D10275" i="1"/>
  <c r="C10275" i="1"/>
  <c r="B10275" i="1"/>
  <c r="A10275" i="1"/>
  <c r="S10274" i="1"/>
  <c r="O10274" i="1"/>
  <c r="K10274" i="1"/>
  <c r="J10274" i="1"/>
  <c r="I10274" i="1"/>
  <c r="H10274" i="1"/>
  <c r="G10274" i="1"/>
  <c r="F10274" i="1"/>
  <c r="E10274" i="1"/>
  <c r="D10274" i="1"/>
  <c r="C10274" i="1"/>
  <c r="B10274" i="1"/>
  <c r="A10274" i="1"/>
  <c r="R10273" i="1"/>
  <c r="J10273" i="1"/>
  <c r="I10273" i="1"/>
  <c r="G10273" i="1"/>
  <c r="F10273" i="1"/>
  <c r="E10273" i="1"/>
  <c r="D10273" i="1"/>
  <c r="C10273" i="1"/>
  <c r="B10273" i="1"/>
  <c r="A10273" i="1"/>
  <c r="S10272" i="1"/>
  <c r="O10272" i="1"/>
  <c r="K10272" i="1"/>
  <c r="J10272" i="1"/>
  <c r="I10272" i="1"/>
  <c r="H10272" i="1"/>
  <c r="G10272" i="1"/>
  <c r="F10272" i="1"/>
  <c r="E10272" i="1"/>
  <c r="D10272" i="1"/>
  <c r="C10272" i="1"/>
  <c r="B10272" i="1"/>
  <c r="A10272" i="1"/>
  <c r="R10271" i="1"/>
  <c r="J10271" i="1"/>
  <c r="I10271" i="1"/>
  <c r="G10271" i="1"/>
  <c r="F10271" i="1"/>
  <c r="E10271" i="1"/>
  <c r="D10271" i="1"/>
  <c r="C10271" i="1"/>
  <c r="B10271" i="1"/>
  <c r="A10271" i="1"/>
  <c r="S10270" i="1"/>
  <c r="O10270" i="1"/>
  <c r="K10270" i="1"/>
  <c r="J10270" i="1"/>
  <c r="I10270" i="1"/>
  <c r="H10270" i="1"/>
  <c r="G10270" i="1"/>
  <c r="F10270" i="1"/>
  <c r="E10270" i="1"/>
  <c r="D10270" i="1"/>
  <c r="C10270" i="1"/>
  <c r="B10270" i="1"/>
  <c r="A10270" i="1"/>
  <c r="R10269" i="1"/>
  <c r="J10269" i="1"/>
  <c r="I10269" i="1"/>
  <c r="G10269" i="1"/>
  <c r="F10269" i="1"/>
  <c r="E10269" i="1"/>
  <c r="D10269" i="1"/>
  <c r="C10269" i="1"/>
  <c r="B10269" i="1"/>
  <c r="A10269" i="1"/>
  <c r="S10268" i="1"/>
  <c r="O10268" i="1"/>
  <c r="K10268" i="1"/>
  <c r="J10268" i="1"/>
  <c r="I10268" i="1"/>
  <c r="H10268" i="1"/>
  <c r="G10268" i="1"/>
  <c r="F10268" i="1"/>
  <c r="E10268" i="1"/>
  <c r="D10268" i="1"/>
  <c r="C10268" i="1"/>
  <c r="B10268" i="1"/>
  <c r="A10268" i="1"/>
  <c r="R10267" i="1"/>
  <c r="J10267" i="1"/>
  <c r="I10267" i="1"/>
  <c r="G10267" i="1"/>
  <c r="F10267" i="1"/>
  <c r="E10267" i="1"/>
  <c r="D10267" i="1"/>
  <c r="C10267" i="1"/>
  <c r="B10267" i="1"/>
  <c r="A10267" i="1"/>
  <c r="R10266" i="1"/>
  <c r="J10266" i="1"/>
  <c r="I10266" i="1"/>
  <c r="G10266" i="1"/>
  <c r="F10266" i="1"/>
  <c r="E10266" i="1"/>
  <c r="D10266" i="1"/>
  <c r="C10266" i="1"/>
  <c r="B10266" i="1"/>
  <c r="A10266" i="1"/>
  <c r="S10265" i="1"/>
  <c r="O10265" i="1"/>
  <c r="K10265" i="1"/>
  <c r="J10265" i="1"/>
  <c r="I10265" i="1"/>
  <c r="H10265" i="1"/>
  <c r="G10265" i="1"/>
  <c r="F10265" i="1"/>
  <c r="E10265" i="1"/>
  <c r="D10265" i="1"/>
  <c r="C10265" i="1"/>
  <c r="B10265" i="1"/>
  <c r="A10265" i="1"/>
  <c r="R10264" i="1"/>
  <c r="J10264" i="1"/>
  <c r="I10264" i="1"/>
  <c r="G10264" i="1"/>
  <c r="F10264" i="1"/>
  <c r="E10264" i="1"/>
  <c r="D10264" i="1"/>
  <c r="C10264" i="1"/>
  <c r="B10264" i="1"/>
  <c r="A10264" i="1"/>
  <c r="S10263" i="1"/>
  <c r="O10263" i="1"/>
  <c r="K10263" i="1"/>
  <c r="J10263" i="1"/>
  <c r="I10263" i="1"/>
  <c r="H10263" i="1"/>
  <c r="G10263" i="1"/>
  <c r="F10263" i="1"/>
  <c r="E10263" i="1"/>
  <c r="D10263" i="1"/>
  <c r="C10263" i="1"/>
  <c r="B10263" i="1"/>
  <c r="A10263" i="1"/>
  <c r="R10262" i="1"/>
  <c r="J10262" i="1"/>
  <c r="I10262" i="1"/>
  <c r="G10262" i="1"/>
  <c r="F10262" i="1"/>
  <c r="E10262" i="1"/>
  <c r="D10262" i="1"/>
  <c r="C10262" i="1"/>
  <c r="B10262" i="1"/>
  <c r="A10262" i="1"/>
  <c r="S10261" i="1"/>
  <c r="O10261" i="1"/>
  <c r="K10261" i="1"/>
  <c r="J10261" i="1"/>
  <c r="I10261" i="1"/>
  <c r="H10261" i="1"/>
  <c r="G10261" i="1"/>
  <c r="F10261" i="1"/>
  <c r="E10261" i="1"/>
  <c r="D10261" i="1"/>
  <c r="C10261" i="1"/>
  <c r="B10261" i="1"/>
  <c r="A10261" i="1"/>
  <c r="R10260" i="1"/>
  <c r="J10260" i="1"/>
  <c r="I10260" i="1"/>
  <c r="G10260" i="1"/>
  <c r="F10260" i="1"/>
  <c r="E10260" i="1"/>
  <c r="D10260" i="1"/>
  <c r="C10260" i="1"/>
  <c r="B10260" i="1"/>
  <c r="A10260" i="1"/>
  <c r="S10259" i="1"/>
  <c r="O10259" i="1"/>
  <c r="K10259" i="1"/>
  <c r="J10259" i="1"/>
  <c r="I10259" i="1"/>
  <c r="H10259" i="1"/>
  <c r="G10259" i="1"/>
  <c r="F10259" i="1"/>
  <c r="E10259" i="1"/>
  <c r="D10259" i="1"/>
  <c r="C10259" i="1"/>
  <c r="B10259" i="1"/>
  <c r="A10259" i="1"/>
  <c r="R10258" i="1"/>
  <c r="J10258" i="1"/>
  <c r="I10258" i="1"/>
  <c r="G10258" i="1"/>
  <c r="F10258" i="1"/>
  <c r="E10258" i="1"/>
  <c r="D10258" i="1"/>
  <c r="C10258" i="1"/>
  <c r="B10258" i="1"/>
  <c r="A10258" i="1"/>
  <c r="S10257" i="1"/>
  <c r="O10257" i="1"/>
  <c r="K10257" i="1"/>
  <c r="J10257" i="1"/>
  <c r="I10257" i="1"/>
  <c r="H10257" i="1"/>
  <c r="G10257" i="1"/>
  <c r="F10257" i="1"/>
  <c r="E10257" i="1"/>
  <c r="D10257" i="1"/>
  <c r="C10257" i="1"/>
  <c r="B10257" i="1"/>
  <c r="A10257" i="1"/>
  <c r="R10256" i="1"/>
  <c r="J10256" i="1"/>
  <c r="I10256" i="1"/>
  <c r="G10256" i="1"/>
  <c r="F10256" i="1"/>
  <c r="E10256" i="1"/>
  <c r="D10256" i="1"/>
  <c r="C10256" i="1"/>
  <c r="B10256" i="1"/>
  <c r="A10256" i="1"/>
  <c r="S10255" i="1"/>
  <c r="O10255" i="1"/>
  <c r="K10255" i="1"/>
  <c r="J10255" i="1"/>
  <c r="I10255" i="1"/>
  <c r="H10255" i="1"/>
  <c r="G10255" i="1"/>
  <c r="F10255" i="1"/>
  <c r="E10255" i="1"/>
  <c r="D10255" i="1"/>
  <c r="C10255" i="1"/>
  <c r="B10255" i="1"/>
  <c r="A10255" i="1"/>
  <c r="R10254" i="1"/>
  <c r="J10254" i="1"/>
  <c r="I10254" i="1"/>
  <c r="G10254" i="1"/>
  <c r="F10254" i="1"/>
  <c r="E10254" i="1"/>
  <c r="D10254" i="1"/>
  <c r="C10254" i="1"/>
  <c r="B10254" i="1"/>
  <c r="A10254" i="1"/>
  <c r="R10253" i="1"/>
  <c r="J10253" i="1"/>
  <c r="I10253" i="1"/>
  <c r="G10253" i="1"/>
  <c r="F10253" i="1"/>
  <c r="E10253" i="1"/>
  <c r="D10253" i="1"/>
  <c r="C10253" i="1"/>
  <c r="B10253" i="1"/>
  <c r="A10253" i="1"/>
  <c r="S10252" i="1"/>
  <c r="O10252" i="1"/>
  <c r="K10252" i="1"/>
  <c r="J10252" i="1"/>
  <c r="I10252" i="1"/>
  <c r="H10252" i="1"/>
  <c r="G10252" i="1"/>
  <c r="F10252" i="1"/>
  <c r="E10252" i="1"/>
  <c r="D10252" i="1"/>
  <c r="C10252" i="1"/>
  <c r="B10252" i="1"/>
  <c r="A10252" i="1"/>
  <c r="R10251" i="1"/>
  <c r="J10251" i="1"/>
  <c r="I10251" i="1"/>
  <c r="G10251" i="1"/>
  <c r="F10251" i="1"/>
  <c r="E10251" i="1"/>
  <c r="D10251" i="1"/>
  <c r="C10251" i="1"/>
  <c r="B10251" i="1"/>
  <c r="A10251" i="1"/>
  <c r="S10250" i="1"/>
  <c r="O10250" i="1"/>
  <c r="K10250" i="1"/>
  <c r="J10250" i="1"/>
  <c r="I10250" i="1"/>
  <c r="H10250" i="1"/>
  <c r="G10250" i="1"/>
  <c r="F10250" i="1"/>
  <c r="E10250" i="1"/>
  <c r="D10250" i="1"/>
  <c r="C10250" i="1"/>
  <c r="B10250" i="1"/>
  <c r="A10250" i="1"/>
  <c r="R10249" i="1"/>
  <c r="J10249" i="1"/>
  <c r="I10249" i="1"/>
  <c r="G10249" i="1"/>
  <c r="F10249" i="1"/>
  <c r="E10249" i="1"/>
  <c r="D10249" i="1"/>
  <c r="C10249" i="1"/>
  <c r="B10249" i="1"/>
  <c r="A10249" i="1"/>
  <c r="S10248" i="1"/>
  <c r="O10248" i="1"/>
  <c r="K10248" i="1"/>
  <c r="J10248" i="1"/>
  <c r="I10248" i="1"/>
  <c r="H10248" i="1"/>
  <c r="G10248" i="1"/>
  <c r="F10248" i="1"/>
  <c r="E10248" i="1"/>
  <c r="D10248" i="1"/>
  <c r="C10248" i="1"/>
  <c r="B10248" i="1"/>
  <c r="A10248" i="1"/>
  <c r="R10247" i="1"/>
  <c r="J10247" i="1"/>
  <c r="I10247" i="1"/>
  <c r="G10247" i="1"/>
  <c r="F10247" i="1"/>
  <c r="E10247" i="1"/>
  <c r="D10247" i="1"/>
  <c r="C10247" i="1"/>
  <c r="B10247" i="1"/>
  <c r="A10247" i="1"/>
  <c r="S10246" i="1"/>
  <c r="O10246" i="1"/>
  <c r="K10246" i="1"/>
  <c r="J10246" i="1"/>
  <c r="I10246" i="1"/>
  <c r="H10246" i="1"/>
  <c r="G10246" i="1"/>
  <c r="F10246" i="1"/>
  <c r="E10246" i="1"/>
  <c r="D10246" i="1"/>
  <c r="C10246" i="1"/>
  <c r="B10246" i="1"/>
  <c r="A10246" i="1"/>
  <c r="R10245" i="1"/>
  <c r="J10245" i="1"/>
  <c r="I10245" i="1"/>
  <c r="G10245" i="1"/>
  <c r="F10245" i="1"/>
  <c r="E10245" i="1"/>
  <c r="D10245" i="1"/>
  <c r="C10245" i="1"/>
  <c r="B10245" i="1"/>
  <c r="A10245" i="1"/>
  <c r="S10244" i="1"/>
  <c r="O10244" i="1"/>
  <c r="K10244" i="1"/>
  <c r="J10244" i="1"/>
  <c r="I10244" i="1"/>
  <c r="H10244" i="1"/>
  <c r="G10244" i="1"/>
  <c r="F10244" i="1"/>
  <c r="E10244" i="1"/>
  <c r="D10244" i="1"/>
  <c r="C10244" i="1"/>
  <c r="B10244" i="1"/>
  <c r="A10244" i="1"/>
  <c r="R10243" i="1"/>
  <c r="J10243" i="1"/>
  <c r="I10243" i="1"/>
  <c r="G10243" i="1"/>
  <c r="F10243" i="1"/>
  <c r="E10243" i="1"/>
  <c r="D10243" i="1"/>
  <c r="C10243" i="1"/>
  <c r="B10243" i="1"/>
  <c r="A10243" i="1"/>
  <c r="R10242" i="1"/>
  <c r="J10242" i="1"/>
  <c r="I10242" i="1"/>
  <c r="G10242" i="1"/>
  <c r="F10242" i="1"/>
  <c r="E10242" i="1"/>
  <c r="D10242" i="1"/>
  <c r="C10242" i="1"/>
  <c r="B10242" i="1"/>
  <c r="A10242" i="1"/>
  <c r="S10241" i="1"/>
  <c r="O10241" i="1"/>
  <c r="K10241" i="1"/>
  <c r="J10241" i="1"/>
  <c r="I10241" i="1"/>
  <c r="H10241" i="1"/>
  <c r="G10241" i="1"/>
  <c r="F10241" i="1"/>
  <c r="E10241" i="1"/>
  <c r="D10241" i="1"/>
  <c r="C10241" i="1"/>
  <c r="B10241" i="1"/>
  <c r="A10241" i="1"/>
  <c r="R10240" i="1"/>
  <c r="J10240" i="1"/>
  <c r="I10240" i="1"/>
  <c r="G10240" i="1"/>
  <c r="F10240" i="1"/>
  <c r="E10240" i="1"/>
  <c r="D10240" i="1"/>
  <c r="C10240" i="1"/>
  <c r="B10240" i="1"/>
  <c r="A10240" i="1"/>
  <c r="S10239" i="1"/>
  <c r="O10239" i="1"/>
  <c r="K10239" i="1"/>
  <c r="J10239" i="1"/>
  <c r="I10239" i="1"/>
  <c r="H10239" i="1"/>
  <c r="G10239" i="1"/>
  <c r="F10239" i="1"/>
  <c r="E10239" i="1"/>
  <c r="D10239" i="1"/>
  <c r="C10239" i="1"/>
  <c r="B10239" i="1"/>
  <c r="A10239" i="1"/>
  <c r="R10238" i="1"/>
  <c r="J10238" i="1"/>
  <c r="I10238" i="1"/>
  <c r="G10238" i="1"/>
  <c r="F10238" i="1"/>
  <c r="E10238" i="1"/>
  <c r="D10238" i="1"/>
  <c r="C10238" i="1"/>
  <c r="B10238" i="1"/>
  <c r="A10238" i="1"/>
  <c r="S10237" i="1"/>
  <c r="O10237" i="1"/>
  <c r="K10237" i="1"/>
  <c r="J10237" i="1"/>
  <c r="I10237" i="1"/>
  <c r="H10237" i="1"/>
  <c r="G10237" i="1"/>
  <c r="F10237" i="1"/>
  <c r="E10237" i="1"/>
  <c r="D10237" i="1"/>
  <c r="C10237" i="1"/>
  <c r="B10237" i="1"/>
  <c r="A10237" i="1"/>
  <c r="R10236" i="1"/>
  <c r="J10236" i="1"/>
  <c r="I10236" i="1"/>
  <c r="G10236" i="1"/>
  <c r="F10236" i="1"/>
  <c r="E10236" i="1"/>
  <c r="D10236" i="1"/>
  <c r="C10236" i="1"/>
  <c r="B10236" i="1"/>
  <c r="A10236" i="1"/>
  <c r="S10235" i="1"/>
  <c r="O10235" i="1"/>
  <c r="K10235" i="1"/>
  <c r="J10235" i="1"/>
  <c r="I10235" i="1"/>
  <c r="H10235" i="1"/>
  <c r="G10235" i="1"/>
  <c r="F10235" i="1"/>
  <c r="E10235" i="1"/>
  <c r="D10235" i="1"/>
  <c r="C10235" i="1"/>
  <c r="B10235" i="1"/>
  <c r="A10235" i="1"/>
  <c r="R10234" i="1"/>
  <c r="J10234" i="1"/>
  <c r="I10234" i="1"/>
  <c r="G10234" i="1"/>
  <c r="F10234" i="1"/>
  <c r="E10234" i="1"/>
  <c r="D10234" i="1"/>
  <c r="C10234" i="1"/>
  <c r="B10234" i="1"/>
  <c r="A10234" i="1"/>
  <c r="S10233" i="1"/>
  <c r="O10233" i="1"/>
  <c r="K10233" i="1"/>
  <c r="J10233" i="1"/>
  <c r="I10233" i="1"/>
  <c r="H10233" i="1"/>
  <c r="G10233" i="1"/>
  <c r="F10233" i="1"/>
  <c r="E10233" i="1"/>
  <c r="D10233" i="1"/>
  <c r="C10233" i="1"/>
  <c r="B10233" i="1"/>
  <c r="A10233" i="1"/>
  <c r="R10232" i="1"/>
  <c r="J10232" i="1"/>
  <c r="I10232" i="1"/>
  <c r="G10232" i="1"/>
  <c r="F10232" i="1"/>
  <c r="E10232" i="1"/>
  <c r="D10232" i="1"/>
  <c r="C10232" i="1"/>
  <c r="B10232" i="1"/>
  <c r="A10232" i="1"/>
  <c r="S10231" i="1"/>
  <c r="O10231" i="1"/>
  <c r="K10231" i="1"/>
  <c r="J10231" i="1"/>
  <c r="I10231" i="1"/>
  <c r="H10231" i="1"/>
  <c r="G10231" i="1"/>
  <c r="F10231" i="1"/>
  <c r="E10231" i="1"/>
  <c r="D10231" i="1"/>
  <c r="C10231" i="1"/>
  <c r="B10231" i="1"/>
  <c r="A10231" i="1"/>
  <c r="R10230" i="1"/>
  <c r="J10230" i="1"/>
  <c r="I10230" i="1"/>
  <c r="G10230" i="1"/>
  <c r="F10230" i="1"/>
  <c r="E10230" i="1"/>
  <c r="D10230" i="1"/>
  <c r="C10230" i="1"/>
  <c r="B10230" i="1"/>
  <c r="A10230" i="1"/>
  <c r="S10229" i="1"/>
  <c r="O10229" i="1"/>
  <c r="K10229" i="1"/>
  <c r="J10229" i="1"/>
  <c r="I10229" i="1"/>
  <c r="H10229" i="1"/>
  <c r="G10229" i="1"/>
  <c r="F10229" i="1"/>
  <c r="E10229" i="1"/>
  <c r="D10229" i="1"/>
  <c r="C10229" i="1"/>
  <c r="B10229" i="1"/>
  <c r="A10229" i="1"/>
  <c r="R10228" i="1"/>
  <c r="J10228" i="1"/>
  <c r="I10228" i="1"/>
  <c r="G10228" i="1"/>
  <c r="F10228" i="1"/>
  <c r="E10228" i="1"/>
  <c r="D10228" i="1"/>
  <c r="C10228" i="1"/>
  <c r="B10228" i="1"/>
  <c r="A10228" i="1"/>
  <c r="S10227" i="1"/>
  <c r="O10227" i="1"/>
  <c r="K10227" i="1"/>
  <c r="J10227" i="1"/>
  <c r="I10227" i="1"/>
  <c r="H10227" i="1"/>
  <c r="G10227" i="1"/>
  <c r="F10227" i="1"/>
  <c r="E10227" i="1"/>
  <c r="D10227" i="1"/>
  <c r="C10227" i="1"/>
  <c r="B10227" i="1"/>
  <c r="A10227" i="1"/>
  <c r="R10226" i="1"/>
  <c r="J10226" i="1"/>
  <c r="I10226" i="1"/>
  <c r="G10226" i="1"/>
  <c r="F10226" i="1"/>
  <c r="E10226" i="1"/>
  <c r="D10226" i="1"/>
  <c r="C10226" i="1"/>
  <c r="B10226" i="1"/>
  <c r="A10226" i="1"/>
  <c r="S10225" i="1"/>
  <c r="O10225" i="1"/>
  <c r="K10225" i="1"/>
  <c r="J10225" i="1"/>
  <c r="I10225" i="1"/>
  <c r="H10225" i="1"/>
  <c r="G10225" i="1"/>
  <c r="F10225" i="1"/>
  <c r="E10225" i="1"/>
  <c r="D10225" i="1"/>
  <c r="C10225" i="1"/>
  <c r="B10225" i="1"/>
  <c r="A10225" i="1"/>
  <c r="R10224" i="1"/>
  <c r="J10224" i="1"/>
  <c r="I10224" i="1"/>
  <c r="G10224" i="1"/>
  <c r="F10224" i="1"/>
  <c r="E10224" i="1"/>
  <c r="D10224" i="1"/>
  <c r="C10224" i="1"/>
  <c r="B10224" i="1"/>
  <c r="A10224" i="1"/>
  <c r="R10223" i="1"/>
  <c r="J10223" i="1"/>
  <c r="I10223" i="1"/>
  <c r="G10223" i="1"/>
  <c r="F10223" i="1"/>
  <c r="E10223" i="1"/>
  <c r="D10223" i="1"/>
  <c r="C10223" i="1"/>
  <c r="B10223" i="1"/>
  <c r="A10223" i="1"/>
  <c r="S10222" i="1"/>
  <c r="O10222" i="1"/>
  <c r="K10222" i="1"/>
  <c r="J10222" i="1"/>
  <c r="I10222" i="1"/>
  <c r="H10222" i="1"/>
  <c r="G10222" i="1"/>
  <c r="F10222" i="1"/>
  <c r="E10222" i="1"/>
  <c r="D10222" i="1"/>
  <c r="C10222" i="1"/>
  <c r="B10222" i="1"/>
  <c r="A10222" i="1"/>
  <c r="R10221" i="1"/>
  <c r="J10221" i="1"/>
  <c r="I10221" i="1"/>
  <c r="G10221" i="1"/>
  <c r="F10221" i="1"/>
  <c r="E10221" i="1"/>
  <c r="D10221" i="1"/>
  <c r="C10221" i="1"/>
  <c r="B10221" i="1"/>
  <c r="A10221" i="1"/>
  <c r="S10220" i="1"/>
  <c r="O10220" i="1"/>
  <c r="K10220" i="1"/>
  <c r="J10220" i="1"/>
  <c r="I10220" i="1"/>
  <c r="H10220" i="1"/>
  <c r="G10220" i="1"/>
  <c r="F10220" i="1"/>
  <c r="E10220" i="1"/>
  <c r="D10220" i="1"/>
  <c r="C10220" i="1"/>
  <c r="B10220" i="1"/>
  <c r="A10220" i="1"/>
  <c r="R10219" i="1"/>
  <c r="J10219" i="1"/>
  <c r="I10219" i="1"/>
  <c r="G10219" i="1"/>
  <c r="F10219" i="1"/>
  <c r="E10219" i="1"/>
  <c r="D10219" i="1"/>
  <c r="C10219" i="1"/>
  <c r="B10219" i="1"/>
  <c r="A10219" i="1"/>
  <c r="S10218" i="1"/>
  <c r="O10218" i="1"/>
  <c r="K10218" i="1"/>
  <c r="J10218" i="1"/>
  <c r="I10218" i="1"/>
  <c r="H10218" i="1"/>
  <c r="G10218" i="1"/>
  <c r="F10218" i="1"/>
  <c r="E10218" i="1"/>
  <c r="D10218" i="1"/>
  <c r="C10218" i="1"/>
  <c r="B10218" i="1"/>
  <c r="A10218" i="1"/>
  <c r="R10217" i="1"/>
  <c r="J10217" i="1"/>
  <c r="I10217" i="1"/>
  <c r="G10217" i="1"/>
  <c r="F10217" i="1"/>
  <c r="E10217" i="1"/>
  <c r="D10217" i="1"/>
  <c r="C10217" i="1"/>
  <c r="B10217" i="1"/>
  <c r="A10217" i="1"/>
  <c r="S10216" i="1"/>
  <c r="O10216" i="1"/>
  <c r="K10216" i="1"/>
  <c r="J10216" i="1"/>
  <c r="I10216" i="1"/>
  <c r="H10216" i="1"/>
  <c r="G10216" i="1"/>
  <c r="F10216" i="1"/>
  <c r="E10216" i="1"/>
  <c r="D10216" i="1"/>
  <c r="C10216" i="1"/>
  <c r="B10216" i="1"/>
  <c r="A10216" i="1"/>
  <c r="R10215" i="1"/>
  <c r="J10215" i="1"/>
  <c r="I10215" i="1"/>
  <c r="G10215" i="1"/>
  <c r="F10215" i="1"/>
  <c r="E10215" i="1"/>
  <c r="D10215" i="1"/>
  <c r="C10215" i="1"/>
  <c r="B10215" i="1"/>
  <c r="A10215" i="1"/>
  <c r="S10214" i="1"/>
  <c r="O10214" i="1"/>
  <c r="K10214" i="1"/>
  <c r="J10214" i="1"/>
  <c r="I10214" i="1"/>
  <c r="H10214" i="1"/>
  <c r="G10214" i="1"/>
  <c r="F10214" i="1"/>
  <c r="E10214" i="1"/>
  <c r="D10214" i="1"/>
  <c r="C10214" i="1"/>
  <c r="B10214" i="1"/>
  <c r="A10214" i="1"/>
  <c r="R10213" i="1"/>
  <c r="J10213" i="1"/>
  <c r="I10213" i="1"/>
  <c r="G10213" i="1"/>
  <c r="F10213" i="1"/>
  <c r="E10213" i="1"/>
  <c r="D10213" i="1"/>
  <c r="C10213" i="1"/>
  <c r="B10213" i="1"/>
  <c r="A10213" i="1"/>
  <c r="S10212" i="1"/>
  <c r="O10212" i="1"/>
  <c r="K10212" i="1"/>
  <c r="J10212" i="1"/>
  <c r="I10212" i="1"/>
  <c r="H10212" i="1"/>
  <c r="G10212" i="1"/>
  <c r="F10212" i="1"/>
  <c r="E10212" i="1"/>
  <c r="D10212" i="1"/>
  <c r="C10212" i="1"/>
  <c r="B10212" i="1"/>
  <c r="A10212" i="1"/>
  <c r="R10211" i="1"/>
  <c r="J10211" i="1"/>
  <c r="I10211" i="1"/>
  <c r="G10211" i="1"/>
  <c r="F10211" i="1"/>
  <c r="E10211" i="1"/>
  <c r="D10211" i="1"/>
  <c r="C10211" i="1"/>
  <c r="B10211" i="1"/>
  <c r="A10211" i="1"/>
  <c r="S10210" i="1"/>
  <c r="O10210" i="1"/>
  <c r="K10210" i="1"/>
  <c r="J10210" i="1"/>
  <c r="I10210" i="1"/>
  <c r="H10210" i="1"/>
  <c r="G10210" i="1"/>
  <c r="F10210" i="1"/>
  <c r="E10210" i="1"/>
  <c r="D10210" i="1"/>
  <c r="C10210" i="1"/>
  <c r="B10210" i="1"/>
  <c r="A10210" i="1"/>
  <c r="R10209" i="1"/>
  <c r="J10209" i="1"/>
  <c r="I10209" i="1"/>
  <c r="G10209" i="1"/>
  <c r="F10209" i="1"/>
  <c r="E10209" i="1"/>
  <c r="D10209" i="1"/>
  <c r="C10209" i="1"/>
  <c r="B10209" i="1"/>
  <c r="A10209" i="1"/>
  <c r="S10208" i="1"/>
  <c r="O10208" i="1"/>
  <c r="K10208" i="1"/>
  <c r="J10208" i="1"/>
  <c r="I10208" i="1"/>
  <c r="H10208" i="1"/>
  <c r="G10208" i="1"/>
  <c r="F10208" i="1"/>
  <c r="E10208" i="1"/>
  <c r="D10208" i="1"/>
  <c r="C10208" i="1"/>
  <c r="B10208" i="1"/>
  <c r="A10208" i="1"/>
  <c r="R10207" i="1"/>
  <c r="J10207" i="1"/>
  <c r="I10207" i="1"/>
  <c r="G10207" i="1"/>
  <c r="F10207" i="1"/>
  <c r="E10207" i="1"/>
  <c r="D10207" i="1"/>
  <c r="C10207" i="1"/>
  <c r="B10207" i="1"/>
  <c r="A10207" i="1"/>
  <c r="S10206" i="1"/>
  <c r="O10206" i="1"/>
  <c r="K10206" i="1"/>
  <c r="J10206" i="1"/>
  <c r="I10206" i="1"/>
  <c r="H10206" i="1"/>
  <c r="G10206" i="1"/>
  <c r="F10206" i="1"/>
  <c r="E10206" i="1"/>
  <c r="D10206" i="1"/>
  <c r="C10206" i="1"/>
  <c r="B10206" i="1"/>
  <c r="A10206" i="1"/>
  <c r="R10205" i="1"/>
  <c r="J10205" i="1"/>
  <c r="I10205" i="1"/>
  <c r="G10205" i="1"/>
  <c r="F10205" i="1"/>
  <c r="E10205" i="1"/>
  <c r="D10205" i="1"/>
  <c r="C10205" i="1"/>
  <c r="B10205" i="1"/>
  <c r="A10205" i="1"/>
  <c r="S10204" i="1"/>
  <c r="O10204" i="1"/>
  <c r="K10204" i="1"/>
  <c r="J10204" i="1"/>
  <c r="I10204" i="1"/>
  <c r="H10204" i="1"/>
  <c r="G10204" i="1"/>
  <c r="F10204" i="1"/>
  <c r="E10204" i="1"/>
  <c r="D10204" i="1"/>
  <c r="C10204" i="1"/>
  <c r="B10204" i="1"/>
  <c r="A10204" i="1"/>
  <c r="R10203" i="1"/>
  <c r="J10203" i="1"/>
  <c r="I10203" i="1"/>
  <c r="G10203" i="1"/>
  <c r="F10203" i="1"/>
  <c r="E10203" i="1"/>
  <c r="D10203" i="1"/>
  <c r="C10203" i="1"/>
  <c r="B10203" i="1"/>
  <c r="A10203" i="1"/>
  <c r="S10202" i="1"/>
  <c r="O10202" i="1"/>
  <c r="K10202" i="1"/>
  <c r="J10202" i="1"/>
  <c r="I10202" i="1"/>
  <c r="H10202" i="1"/>
  <c r="G10202" i="1"/>
  <c r="F10202" i="1"/>
  <c r="E10202" i="1"/>
  <c r="D10202" i="1"/>
  <c r="C10202" i="1"/>
  <c r="B10202" i="1"/>
  <c r="A10202" i="1"/>
  <c r="R10201" i="1"/>
  <c r="J10201" i="1"/>
  <c r="I10201" i="1"/>
  <c r="G10201" i="1"/>
  <c r="F10201" i="1"/>
  <c r="E10201" i="1"/>
  <c r="D10201" i="1"/>
  <c r="C10201" i="1"/>
  <c r="B10201" i="1"/>
  <c r="A10201" i="1"/>
  <c r="S10200" i="1"/>
  <c r="O10200" i="1"/>
  <c r="K10200" i="1"/>
  <c r="J10200" i="1"/>
  <c r="I10200" i="1"/>
  <c r="H10200" i="1"/>
  <c r="G10200" i="1"/>
  <c r="F10200" i="1"/>
  <c r="E10200" i="1"/>
  <c r="D10200" i="1"/>
  <c r="C10200" i="1"/>
  <c r="B10200" i="1"/>
  <c r="A10200" i="1"/>
  <c r="R10199" i="1"/>
  <c r="J10199" i="1"/>
  <c r="I10199" i="1"/>
  <c r="G10199" i="1"/>
  <c r="F10199" i="1"/>
  <c r="E10199" i="1"/>
  <c r="D10199" i="1"/>
  <c r="C10199" i="1"/>
  <c r="B10199" i="1"/>
  <c r="A10199" i="1"/>
  <c r="S10198" i="1"/>
  <c r="O10198" i="1"/>
  <c r="K10198" i="1"/>
  <c r="J10198" i="1"/>
  <c r="I10198" i="1"/>
  <c r="H10198" i="1"/>
  <c r="G10198" i="1"/>
  <c r="F10198" i="1"/>
  <c r="E10198" i="1"/>
  <c r="D10198" i="1"/>
  <c r="C10198" i="1"/>
  <c r="B10198" i="1"/>
  <c r="A10198" i="1"/>
  <c r="R10197" i="1"/>
  <c r="J10197" i="1"/>
  <c r="I10197" i="1"/>
  <c r="G10197" i="1"/>
  <c r="F10197" i="1"/>
  <c r="E10197" i="1"/>
  <c r="D10197" i="1"/>
  <c r="C10197" i="1"/>
  <c r="B10197" i="1"/>
  <c r="A10197" i="1"/>
  <c r="S10196" i="1"/>
  <c r="O10196" i="1"/>
  <c r="K10196" i="1"/>
  <c r="J10196" i="1"/>
  <c r="I10196" i="1"/>
  <c r="H10196" i="1"/>
  <c r="G10196" i="1"/>
  <c r="F10196" i="1"/>
  <c r="E10196" i="1"/>
  <c r="D10196" i="1"/>
  <c r="C10196" i="1"/>
  <c r="B10196" i="1"/>
  <c r="A10196" i="1"/>
  <c r="R10195" i="1"/>
  <c r="J10195" i="1"/>
  <c r="I10195" i="1"/>
  <c r="G10195" i="1"/>
  <c r="F10195" i="1"/>
  <c r="E10195" i="1"/>
  <c r="D10195" i="1"/>
  <c r="C10195" i="1"/>
  <c r="B10195" i="1"/>
  <c r="A10195" i="1"/>
  <c r="R10194" i="1"/>
  <c r="J10194" i="1"/>
  <c r="I10194" i="1"/>
  <c r="G10194" i="1"/>
  <c r="F10194" i="1"/>
  <c r="E10194" i="1"/>
  <c r="D10194" i="1"/>
  <c r="C10194" i="1"/>
  <c r="B10194" i="1"/>
  <c r="A10194" i="1"/>
  <c r="S10193" i="1"/>
  <c r="O10193" i="1"/>
  <c r="K10193" i="1"/>
  <c r="J10193" i="1"/>
  <c r="I10193" i="1"/>
  <c r="H10193" i="1"/>
  <c r="G10193" i="1"/>
  <c r="F10193" i="1"/>
  <c r="E10193" i="1"/>
  <c r="D10193" i="1"/>
  <c r="C10193" i="1"/>
  <c r="B10193" i="1"/>
  <c r="A10193" i="1"/>
  <c r="R10192" i="1"/>
  <c r="J10192" i="1"/>
  <c r="I10192" i="1"/>
  <c r="G10192" i="1"/>
  <c r="F10192" i="1"/>
  <c r="E10192" i="1"/>
  <c r="D10192" i="1"/>
  <c r="C10192" i="1"/>
  <c r="B10192" i="1"/>
  <c r="A10192" i="1"/>
  <c r="S10191" i="1"/>
  <c r="O10191" i="1"/>
  <c r="K10191" i="1"/>
  <c r="J10191" i="1"/>
  <c r="I10191" i="1"/>
  <c r="H10191" i="1"/>
  <c r="G10191" i="1"/>
  <c r="F10191" i="1"/>
  <c r="E10191" i="1"/>
  <c r="D10191" i="1"/>
  <c r="C10191" i="1"/>
  <c r="B10191" i="1"/>
  <c r="A10191" i="1"/>
  <c r="R10190" i="1"/>
  <c r="J10190" i="1"/>
  <c r="I10190" i="1"/>
  <c r="G10190" i="1"/>
  <c r="F10190" i="1"/>
  <c r="E10190" i="1"/>
  <c r="D10190" i="1"/>
  <c r="C10190" i="1"/>
  <c r="B10190" i="1"/>
  <c r="A10190" i="1"/>
  <c r="S10189" i="1"/>
  <c r="O10189" i="1"/>
  <c r="K10189" i="1"/>
  <c r="J10189" i="1"/>
  <c r="I10189" i="1"/>
  <c r="H10189" i="1"/>
  <c r="G10189" i="1"/>
  <c r="F10189" i="1"/>
  <c r="E10189" i="1"/>
  <c r="D10189" i="1"/>
  <c r="C10189" i="1"/>
  <c r="B10189" i="1"/>
  <c r="A10189" i="1"/>
  <c r="R10188" i="1"/>
  <c r="J10188" i="1"/>
  <c r="I10188" i="1"/>
  <c r="G10188" i="1"/>
  <c r="F10188" i="1"/>
  <c r="E10188" i="1"/>
  <c r="D10188" i="1"/>
  <c r="C10188" i="1"/>
  <c r="B10188" i="1"/>
  <c r="A10188" i="1"/>
  <c r="S10187" i="1"/>
  <c r="O10187" i="1"/>
  <c r="K10187" i="1"/>
  <c r="J10187" i="1"/>
  <c r="I10187" i="1"/>
  <c r="H10187" i="1"/>
  <c r="G10187" i="1"/>
  <c r="F10187" i="1"/>
  <c r="E10187" i="1"/>
  <c r="D10187" i="1"/>
  <c r="C10187" i="1"/>
  <c r="B10187" i="1"/>
  <c r="A10187" i="1"/>
  <c r="R10186" i="1"/>
  <c r="J10186" i="1"/>
  <c r="I10186" i="1"/>
  <c r="G10186" i="1"/>
  <c r="F10186" i="1"/>
  <c r="E10186" i="1"/>
  <c r="D10186" i="1"/>
  <c r="C10186" i="1"/>
  <c r="B10186" i="1"/>
  <c r="A10186" i="1"/>
  <c r="S10185" i="1"/>
  <c r="O10185" i="1"/>
  <c r="K10185" i="1"/>
  <c r="J10185" i="1"/>
  <c r="I10185" i="1"/>
  <c r="H10185" i="1"/>
  <c r="G10185" i="1"/>
  <c r="F10185" i="1"/>
  <c r="E10185" i="1"/>
  <c r="D10185" i="1"/>
  <c r="C10185" i="1"/>
  <c r="B10185" i="1"/>
  <c r="A10185" i="1"/>
  <c r="R10184" i="1"/>
  <c r="J10184" i="1"/>
  <c r="I10184" i="1"/>
  <c r="G10184" i="1"/>
  <c r="F10184" i="1"/>
  <c r="E10184" i="1"/>
  <c r="D10184" i="1"/>
  <c r="C10184" i="1"/>
  <c r="B10184" i="1"/>
  <c r="A10184" i="1"/>
  <c r="S10183" i="1"/>
  <c r="O10183" i="1"/>
  <c r="K10183" i="1"/>
  <c r="J10183" i="1"/>
  <c r="I10183" i="1"/>
  <c r="H10183" i="1"/>
  <c r="G10183" i="1"/>
  <c r="F10183" i="1"/>
  <c r="E10183" i="1"/>
  <c r="D10183" i="1"/>
  <c r="C10183" i="1"/>
  <c r="B10183" i="1"/>
  <c r="A10183" i="1"/>
  <c r="R10182" i="1"/>
  <c r="J10182" i="1"/>
  <c r="I10182" i="1"/>
  <c r="G10182" i="1"/>
  <c r="F10182" i="1"/>
  <c r="E10182" i="1"/>
  <c r="D10182" i="1"/>
  <c r="C10182" i="1"/>
  <c r="B10182" i="1"/>
  <c r="A10182" i="1"/>
  <c r="S10181" i="1"/>
  <c r="O10181" i="1"/>
  <c r="K10181" i="1"/>
  <c r="J10181" i="1"/>
  <c r="I10181" i="1"/>
  <c r="H10181" i="1"/>
  <c r="G10181" i="1"/>
  <c r="F10181" i="1"/>
  <c r="E10181" i="1"/>
  <c r="D10181" i="1"/>
  <c r="C10181" i="1"/>
  <c r="B10181" i="1"/>
  <c r="A10181" i="1"/>
  <c r="R10180" i="1"/>
  <c r="J10180" i="1"/>
  <c r="I10180" i="1"/>
  <c r="G10180" i="1"/>
  <c r="F10180" i="1"/>
  <c r="E10180" i="1"/>
  <c r="D10180" i="1"/>
  <c r="C10180" i="1"/>
  <c r="B10180" i="1"/>
  <c r="A10180" i="1"/>
  <c r="S10179" i="1"/>
  <c r="O10179" i="1"/>
  <c r="K10179" i="1"/>
  <c r="J10179" i="1"/>
  <c r="I10179" i="1"/>
  <c r="H10179" i="1"/>
  <c r="G10179" i="1"/>
  <c r="F10179" i="1"/>
  <c r="E10179" i="1"/>
  <c r="D10179" i="1"/>
  <c r="C10179" i="1"/>
  <c r="B10179" i="1"/>
  <c r="A10179" i="1"/>
  <c r="R10178" i="1"/>
  <c r="J10178" i="1"/>
  <c r="I10178" i="1"/>
  <c r="G10178" i="1"/>
  <c r="F10178" i="1"/>
  <c r="E10178" i="1"/>
  <c r="D10178" i="1"/>
  <c r="C10178" i="1"/>
  <c r="B10178" i="1"/>
  <c r="A10178" i="1"/>
  <c r="S10177" i="1"/>
  <c r="O10177" i="1"/>
  <c r="K10177" i="1"/>
  <c r="J10177" i="1"/>
  <c r="I10177" i="1"/>
  <c r="H10177" i="1"/>
  <c r="G10177" i="1"/>
  <c r="F10177" i="1"/>
  <c r="E10177" i="1"/>
  <c r="D10177" i="1"/>
  <c r="C10177" i="1"/>
  <c r="B10177" i="1"/>
  <c r="A10177" i="1"/>
  <c r="R10176" i="1"/>
  <c r="J10176" i="1"/>
  <c r="I10176" i="1"/>
  <c r="G10176" i="1"/>
  <c r="F10176" i="1"/>
  <c r="E10176" i="1"/>
  <c r="D10176" i="1"/>
  <c r="C10176" i="1"/>
  <c r="B10176" i="1"/>
  <c r="A10176" i="1"/>
  <c r="S10175" i="1"/>
  <c r="O10175" i="1"/>
  <c r="K10175" i="1"/>
  <c r="J10175" i="1"/>
  <c r="I10175" i="1"/>
  <c r="H10175" i="1"/>
  <c r="G10175" i="1"/>
  <c r="F10175" i="1"/>
  <c r="E10175" i="1"/>
  <c r="D10175" i="1"/>
  <c r="C10175" i="1"/>
  <c r="B10175" i="1"/>
  <c r="A10175" i="1"/>
  <c r="R10174" i="1"/>
  <c r="J10174" i="1"/>
  <c r="I10174" i="1"/>
  <c r="G10174" i="1"/>
  <c r="F10174" i="1"/>
  <c r="E10174" i="1"/>
  <c r="D10174" i="1"/>
  <c r="C10174" i="1"/>
  <c r="B10174" i="1"/>
  <c r="A10174" i="1"/>
  <c r="S10173" i="1"/>
  <c r="O10173" i="1"/>
  <c r="K10173" i="1"/>
  <c r="J10173" i="1"/>
  <c r="I10173" i="1"/>
  <c r="H10173" i="1"/>
  <c r="G10173" i="1"/>
  <c r="F10173" i="1"/>
  <c r="E10173" i="1"/>
  <c r="D10173" i="1"/>
  <c r="C10173" i="1"/>
  <c r="B10173" i="1"/>
  <c r="A10173" i="1"/>
  <c r="R10172" i="1"/>
  <c r="J10172" i="1"/>
  <c r="I10172" i="1"/>
  <c r="G10172" i="1"/>
  <c r="F10172" i="1"/>
  <c r="E10172" i="1"/>
  <c r="D10172" i="1"/>
  <c r="C10172" i="1"/>
  <c r="B10172" i="1"/>
  <c r="A10172" i="1"/>
  <c r="R10171" i="1"/>
  <c r="J10171" i="1"/>
  <c r="I10171" i="1"/>
  <c r="G10171" i="1"/>
  <c r="F10171" i="1"/>
  <c r="E10171" i="1"/>
  <c r="D10171" i="1"/>
  <c r="C10171" i="1"/>
  <c r="B10171" i="1"/>
  <c r="A10171" i="1"/>
  <c r="S10170" i="1"/>
  <c r="O10170" i="1"/>
  <c r="K10170" i="1"/>
  <c r="J10170" i="1"/>
  <c r="I10170" i="1"/>
  <c r="H10170" i="1"/>
  <c r="G10170" i="1"/>
  <c r="F10170" i="1"/>
  <c r="E10170" i="1"/>
  <c r="D10170" i="1"/>
  <c r="C10170" i="1"/>
  <c r="B10170" i="1"/>
  <c r="A10170" i="1"/>
  <c r="R10169" i="1"/>
  <c r="J10169" i="1"/>
  <c r="I10169" i="1"/>
  <c r="G10169" i="1"/>
  <c r="F10169" i="1"/>
  <c r="E10169" i="1"/>
  <c r="D10169" i="1"/>
  <c r="C10169" i="1"/>
  <c r="B10169" i="1"/>
  <c r="A10169" i="1"/>
  <c r="S10168" i="1"/>
  <c r="O10168" i="1"/>
  <c r="K10168" i="1"/>
  <c r="J10168" i="1"/>
  <c r="I10168" i="1"/>
  <c r="H10168" i="1"/>
  <c r="G10168" i="1"/>
  <c r="F10168" i="1"/>
  <c r="E10168" i="1"/>
  <c r="D10168" i="1"/>
  <c r="C10168" i="1"/>
  <c r="B10168" i="1"/>
  <c r="A10168" i="1"/>
  <c r="R10167" i="1"/>
  <c r="J10167" i="1"/>
  <c r="I10167" i="1"/>
  <c r="G10167" i="1"/>
  <c r="F10167" i="1"/>
  <c r="E10167" i="1"/>
  <c r="D10167" i="1"/>
  <c r="C10167" i="1"/>
  <c r="B10167" i="1"/>
  <c r="A10167" i="1"/>
  <c r="S10166" i="1"/>
  <c r="O10166" i="1"/>
  <c r="K10166" i="1"/>
  <c r="J10166" i="1"/>
  <c r="I10166" i="1"/>
  <c r="H10166" i="1"/>
  <c r="G10166" i="1"/>
  <c r="F10166" i="1"/>
  <c r="E10166" i="1"/>
  <c r="D10166" i="1"/>
  <c r="C10166" i="1"/>
  <c r="B10166" i="1"/>
  <c r="A10166" i="1"/>
  <c r="R10165" i="1"/>
  <c r="J10165" i="1"/>
  <c r="I10165" i="1"/>
  <c r="G10165" i="1"/>
  <c r="F10165" i="1"/>
  <c r="E10165" i="1"/>
  <c r="D10165" i="1"/>
  <c r="C10165" i="1"/>
  <c r="B10165" i="1"/>
  <c r="A10165" i="1"/>
  <c r="S10164" i="1"/>
  <c r="O10164" i="1"/>
  <c r="K10164" i="1"/>
  <c r="J10164" i="1"/>
  <c r="I10164" i="1"/>
  <c r="H10164" i="1"/>
  <c r="G10164" i="1"/>
  <c r="F10164" i="1"/>
  <c r="E10164" i="1"/>
  <c r="D10164" i="1"/>
  <c r="C10164" i="1"/>
  <c r="B10164" i="1"/>
  <c r="A10164" i="1"/>
  <c r="R10163" i="1"/>
  <c r="J10163" i="1"/>
  <c r="I10163" i="1"/>
  <c r="G10163" i="1"/>
  <c r="F10163" i="1"/>
  <c r="E10163" i="1"/>
  <c r="D10163" i="1"/>
  <c r="C10163" i="1"/>
  <c r="B10163" i="1"/>
  <c r="A10163" i="1"/>
  <c r="R10162" i="1"/>
  <c r="J10162" i="1"/>
  <c r="I10162" i="1"/>
  <c r="G10162" i="1"/>
  <c r="F10162" i="1"/>
  <c r="E10162" i="1"/>
  <c r="D10162" i="1"/>
  <c r="C10162" i="1"/>
  <c r="B10162" i="1"/>
  <c r="A10162" i="1"/>
  <c r="S10161" i="1"/>
  <c r="O10161" i="1"/>
  <c r="K10161" i="1"/>
  <c r="J10161" i="1"/>
  <c r="I10161" i="1"/>
  <c r="H10161" i="1"/>
  <c r="G10161" i="1"/>
  <c r="F10161" i="1"/>
  <c r="E10161" i="1"/>
  <c r="D10161" i="1"/>
  <c r="C10161" i="1"/>
  <c r="B10161" i="1"/>
  <c r="A10161" i="1"/>
  <c r="R10160" i="1"/>
  <c r="J10160" i="1"/>
  <c r="I10160" i="1"/>
  <c r="G10160" i="1"/>
  <c r="F10160" i="1"/>
  <c r="E10160" i="1"/>
  <c r="D10160" i="1"/>
  <c r="C10160" i="1"/>
  <c r="B10160" i="1"/>
  <c r="A10160" i="1"/>
  <c r="S10159" i="1"/>
  <c r="O10159" i="1"/>
  <c r="K10159" i="1"/>
  <c r="J10159" i="1"/>
  <c r="I10159" i="1"/>
  <c r="H10159" i="1"/>
  <c r="G10159" i="1"/>
  <c r="F10159" i="1"/>
  <c r="E10159" i="1"/>
  <c r="D10159" i="1"/>
  <c r="C10159" i="1"/>
  <c r="B10159" i="1"/>
  <c r="A10159" i="1"/>
  <c r="R10158" i="1"/>
  <c r="J10158" i="1"/>
  <c r="I10158" i="1"/>
  <c r="G10158" i="1"/>
  <c r="F10158" i="1"/>
  <c r="E10158" i="1"/>
  <c r="D10158" i="1"/>
  <c r="C10158" i="1"/>
  <c r="B10158" i="1"/>
  <c r="A10158" i="1"/>
  <c r="S10157" i="1"/>
  <c r="O10157" i="1"/>
  <c r="K10157" i="1"/>
  <c r="J10157" i="1"/>
  <c r="I10157" i="1"/>
  <c r="H10157" i="1"/>
  <c r="G10157" i="1"/>
  <c r="F10157" i="1"/>
  <c r="E10157" i="1"/>
  <c r="D10157" i="1"/>
  <c r="C10157" i="1"/>
  <c r="B10157" i="1"/>
  <c r="A10157" i="1"/>
  <c r="R10156" i="1"/>
  <c r="J10156" i="1"/>
  <c r="I10156" i="1"/>
  <c r="G10156" i="1"/>
  <c r="F10156" i="1"/>
  <c r="E10156" i="1"/>
  <c r="D10156" i="1"/>
  <c r="C10156" i="1"/>
  <c r="B10156" i="1"/>
  <c r="A10156" i="1"/>
  <c r="S10155" i="1"/>
  <c r="O10155" i="1"/>
  <c r="K10155" i="1"/>
  <c r="J10155" i="1"/>
  <c r="I10155" i="1"/>
  <c r="H10155" i="1"/>
  <c r="G10155" i="1"/>
  <c r="F10155" i="1"/>
  <c r="E10155" i="1"/>
  <c r="D10155" i="1"/>
  <c r="C10155" i="1"/>
  <c r="B10155" i="1"/>
  <c r="A10155" i="1"/>
  <c r="R10154" i="1"/>
  <c r="J10154" i="1"/>
  <c r="I10154" i="1"/>
  <c r="G10154" i="1"/>
  <c r="F10154" i="1"/>
  <c r="E10154" i="1"/>
  <c r="D10154" i="1"/>
  <c r="C10154" i="1"/>
  <c r="B10154" i="1"/>
  <c r="A10154" i="1"/>
  <c r="S10153" i="1"/>
  <c r="O10153" i="1"/>
  <c r="K10153" i="1"/>
  <c r="J10153" i="1"/>
  <c r="I10153" i="1"/>
  <c r="H10153" i="1"/>
  <c r="G10153" i="1"/>
  <c r="F10153" i="1"/>
  <c r="E10153" i="1"/>
  <c r="D10153" i="1"/>
  <c r="C10153" i="1"/>
  <c r="B10153" i="1"/>
  <c r="A10153" i="1"/>
  <c r="R10152" i="1"/>
  <c r="J10152" i="1"/>
  <c r="I10152" i="1"/>
  <c r="G10152" i="1"/>
  <c r="F10152" i="1"/>
  <c r="E10152" i="1"/>
  <c r="D10152" i="1"/>
  <c r="C10152" i="1"/>
  <c r="B10152" i="1"/>
  <c r="A10152" i="1"/>
  <c r="S10151" i="1"/>
  <c r="O10151" i="1"/>
  <c r="K10151" i="1"/>
  <c r="J10151" i="1"/>
  <c r="I10151" i="1"/>
  <c r="H10151" i="1"/>
  <c r="G10151" i="1"/>
  <c r="F10151" i="1"/>
  <c r="E10151" i="1"/>
  <c r="D10151" i="1"/>
  <c r="C10151" i="1"/>
  <c r="B10151" i="1"/>
  <c r="A10151" i="1"/>
  <c r="R10150" i="1"/>
  <c r="J10150" i="1"/>
  <c r="I10150" i="1"/>
  <c r="G10150" i="1"/>
  <c r="F10150" i="1"/>
  <c r="E10150" i="1"/>
  <c r="D10150" i="1"/>
  <c r="C10150" i="1"/>
  <c r="B10150" i="1"/>
  <c r="A10150" i="1"/>
  <c r="S10149" i="1"/>
  <c r="O10149" i="1"/>
  <c r="K10149" i="1"/>
  <c r="J10149" i="1"/>
  <c r="I10149" i="1"/>
  <c r="H10149" i="1"/>
  <c r="G10149" i="1"/>
  <c r="F10149" i="1"/>
  <c r="E10149" i="1"/>
  <c r="D10149" i="1"/>
  <c r="C10149" i="1"/>
  <c r="B10149" i="1"/>
  <c r="A10149" i="1"/>
  <c r="R10148" i="1"/>
  <c r="J10148" i="1"/>
  <c r="I10148" i="1"/>
  <c r="G10148" i="1"/>
  <c r="F10148" i="1"/>
  <c r="E10148" i="1"/>
  <c r="D10148" i="1"/>
  <c r="C10148" i="1"/>
  <c r="B10148" i="1"/>
  <c r="A10148" i="1"/>
  <c r="S10147" i="1"/>
  <c r="O10147" i="1"/>
  <c r="K10147" i="1"/>
  <c r="J10147" i="1"/>
  <c r="I10147" i="1"/>
  <c r="H10147" i="1"/>
  <c r="G10147" i="1"/>
  <c r="F10147" i="1"/>
  <c r="E10147" i="1"/>
  <c r="D10147" i="1"/>
  <c r="C10147" i="1"/>
  <c r="B10147" i="1"/>
  <c r="A10147" i="1"/>
  <c r="R10146" i="1"/>
  <c r="J10146" i="1"/>
  <c r="I10146" i="1"/>
  <c r="G10146" i="1"/>
  <c r="F10146" i="1"/>
  <c r="E10146" i="1"/>
  <c r="D10146" i="1"/>
  <c r="C10146" i="1"/>
  <c r="B10146" i="1"/>
  <c r="A10146" i="1"/>
  <c r="S10145" i="1"/>
  <c r="O10145" i="1"/>
  <c r="K10145" i="1"/>
  <c r="J10145" i="1"/>
  <c r="I10145" i="1"/>
  <c r="H10145" i="1"/>
  <c r="G10145" i="1"/>
  <c r="F10145" i="1"/>
  <c r="E10145" i="1"/>
  <c r="D10145" i="1"/>
  <c r="C10145" i="1"/>
  <c r="B10145" i="1"/>
  <c r="A10145" i="1"/>
  <c r="R10144" i="1"/>
  <c r="J10144" i="1"/>
  <c r="I10144" i="1"/>
  <c r="G10144" i="1"/>
  <c r="F10144" i="1"/>
  <c r="E10144" i="1"/>
  <c r="D10144" i="1"/>
  <c r="C10144" i="1"/>
  <c r="B10144" i="1"/>
  <c r="A10144" i="1"/>
  <c r="S10143" i="1"/>
  <c r="O10143" i="1"/>
  <c r="K10143" i="1"/>
  <c r="J10143" i="1"/>
  <c r="I10143" i="1"/>
  <c r="H10143" i="1"/>
  <c r="G10143" i="1"/>
  <c r="F10143" i="1"/>
  <c r="E10143" i="1"/>
  <c r="D10143" i="1"/>
  <c r="C10143" i="1"/>
  <c r="B10143" i="1"/>
  <c r="A10143" i="1"/>
  <c r="R10142" i="1"/>
  <c r="J10142" i="1"/>
  <c r="I10142" i="1"/>
  <c r="G10142" i="1"/>
  <c r="F10142" i="1"/>
  <c r="E10142" i="1"/>
  <c r="D10142" i="1"/>
  <c r="C10142" i="1"/>
  <c r="B10142" i="1"/>
  <c r="A10142" i="1"/>
  <c r="S10141" i="1"/>
  <c r="O10141" i="1"/>
  <c r="K10141" i="1"/>
  <c r="J10141" i="1"/>
  <c r="I10141" i="1"/>
  <c r="H10141" i="1"/>
  <c r="G10141" i="1"/>
  <c r="F10141" i="1"/>
  <c r="E10141" i="1"/>
  <c r="D10141" i="1"/>
  <c r="C10141" i="1"/>
  <c r="B10141" i="1"/>
  <c r="A10141" i="1"/>
  <c r="R10140" i="1"/>
  <c r="J10140" i="1"/>
  <c r="I10140" i="1"/>
  <c r="G10140" i="1"/>
  <c r="F10140" i="1"/>
  <c r="E10140" i="1"/>
  <c r="D10140" i="1"/>
  <c r="C10140" i="1"/>
  <c r="B10140" i="1"/>
  <c r="A10140" i="1"/>
  <c r="S10139" i="1"/>
  <c r="O10139" i="1"/>
  <c r="K10139" i="1"/>
  <c r="J10139" i="1"/>
  <c r="I10139" i="1"/>
  <c r="H10139" i="1"/>
  <c r="G10139" i="1"/>
  <c r="F10139" i="1"/>
  <c r="E10139" i="1"/>
  <c r="D10139" i="1"/>
  <c r="C10139" i="1"/>
  <c r="B10139" i="1"/>
  <c r="A10139" i="1"/>
  <c r="R10138" i="1"/>
  <c r="J10138" i="1"/>
  <c r="I10138" i="1"/>
  <c r="G10138" i="1"/>
  <c r="F10138" i="1"/>
  <c r="E10138" i="1"/>
  <c r="D10138" i="1"/>
  <c r="C10138" i="1"/>
  <c r="B10138" i="1"/>
  <c r="A10138" i="1"/>
  <c r="S10137" i="1"/>
  <c r="O10137" i="1"/>
  <c r="K10137" i="1"/>
  <c r="J10137" i="1"/>
  <c r="I10137" i="1"/>
  <c r="H10137" i="1"/>
  <c r="G10137" i="1"/>
  <c r="F10137" i="1"/>
  <c r="E10137" i="1"/>
  <c r="D10137" i="1"/>
  <c r="C10137" i="1"/>
  <c r="B10137" i="1"/>
  <c r="A10137" i="1"/>
  <c r="R10136" i="1"/>
  <c r="J10136" i="1"/>
  <c r="I10136" i="1"/>
  <c r="G10136" i="1"/>
  <c r="F10136" i="1"/>
  <c r="E10136" i="1"/>
  <c r="D10136" i="1"/>
  <c r="C10136" i="1"/>
  <c r="B10136" i="1"/>
  <c r="A10136" i="1"/>
  <c r="S10135" i="1"/>
  <c r="O10135" i="1"/>
  <c r="K10135" i="1"/>
  <c r="J10135" i="1"/>
  <c r="I10135" i="1"/>
  <c r="H10135" i="1"/>
  <c r="G10135" i="1"/>
  <c r="F10135" i="1"/>
  <c r="E10135" i="1"/>
  <c r="D10135" i="1"/>
  <c r="C10135" i="1"/>
  <c r="B10135" i="1"/>
  <c r="A10135" i="1"/>
  <c r="R10134" i="1"/>
  <c r="J10134" i="1"/>
  <c r="I10134" i="1"/>
  <c r="G10134" i="1"/>
  <c r="F10134" i="1"/>
  <c r="E10134" i="1"/>
  <c r="D10134" i="1"/>
  <c r="C10134" i="1"/>
  <c r="B10134" i="1"/>
  <c r="A10134" i="1"/>
  <c r="S10133" i="1"/>
  <c r="O10133" i="1"/>
  <c r="K10133" i="1"/>
  <c r="J10133" i="1"/>
  <c r="I10133" i="1"/>
  <c r="H10133" i="1"/>
  <c r="G10133" i="1"/>
  <c r="F10133" i="1"/>
  <c r="E10133" i="1"/>
  <c r="D10133" i="1"/>
  <c r="C10133" i="1"/>
  <c r="B10133" i="1"/>
  <c r="A10133" i="1"/>
  <c r="R10132" i="1"/>
  <c r="J10132" i="1"/>
  <c r="I10132" i="1"/>
  <c r="G10132" i="1"/>
  <c r="F10132" i="1"/>
  <c r="E10132" i="1"/>
  <c r="D10132" i="1"/>
  <c r="C10132" i="1"/>
  <c r="B10132" i="1"/>
  <c r="A10132" i="1"/>
  <c r="S10131" i="1"/>
  <c r="O10131" i="1"/>
  <c r="K10131" i="1"/>
  <c r="J10131" i="1"/>
  <c r="I10131" i="1"/>
  <c r="H10131" i="1"/>
  <c r="G10131" i="1"/>
  <c r="F10131" i="1"/>
  <c r="E10131" i="1"/>
  <c r="D10131" i="1"/>
  <c r="C10131" i="1"/>
  <c r="B10131" i="1"/>
  <c r="A10131" i="1"/>
  <c r="R10130" i="1"/>
  <c r="J10130" i="1"/>
  <c r="I10130" i="1"/>
  <c r="G10130" i="1"/>
  <c r="F10130" i="1"/>
  <c r="E10130" i="1"/>
  <c r="D10130" i="1"/>
  <c r="C10130" i="1"/>
  <c r="B10130" i="1"/>
  <c r="A10130" i="1"/>
  <c r="S10129" i="1"/>
  <c r="O10129" i="1"/>
  <c r="K10129" i="1"/>
  <c r="J10129" i="1"/>
  <c r="I10129" i="1"/>
  <c r="H10129" i="1"/>
  <c r="G10129" i="1"/>
  <c r="F10129" i="1"/>
  <c r="E10129" i="1"/>
  <c r="D10129" i="1"/>
  <c r="C10129" i="1"/>
  <c r="B10129" i="1"/>
  <c r="A10129" i="1"/>
  <c r="R10128" i="1"/>
  <c r="J10128" i="1"/>
  <c r="I10128" i="1"/>
  <c r="G10128" i="1"/>
  <c r="F10128" i="1"/>
  <c r="E10128" i="1"/>
  <c r="D10128" i="1"/>
  <c r="C10128" i="1"/>
  <c r="B10128" i="1"/>
  <c r="A10128" i="1"/>
  <c r="S10127" i="1"/>
  <c r="O10127" i="1"/>
  <c r="K10127" i="1"/>
  <c r="J10127" i="1"/>
  <c r="I10127" i="1"/>
  <c r="H10127" i="1"/>
  <c r="G10127" i="1"/>
  <c r="F10127" i="1"/>
  <c r="E10127" i="1"/>
  <c r="D10127" i="1"/>
  <c r="C10127" i="1"/>
  <c r="B10127" i="1"/>
  <c r="A10127" i="1"/>
  <c r="R10126" i="1"/>
  <c r="J10126" i="1"/>
  <c r="I10126" i="1"/>
  <c r="G10126" i="1"/>
  <c r="F10126" i="1"/>
  <c r="E10126" i="1"/>
  <c r="D10126" i="1"/>
  <c r="C10126" i="1"/>
  <c r="B10126" i="1"/>
  <c r="A10126" i="1"/>
  <c r="S10125" i="1"/>
  <c r="O10125" i="1"/>
  <c r="K10125" i="1"/>
  <c r="J10125" i="1"/>
  <c r="I10125" i="1"/>
  <c r="H10125" i="1"/>
  <c r="G10125" i="1"/>
  <c r="F10125" i="1"/>
  <c r="E10125" i="1"/>
  <c r="D10125" i="1"/>
  <c r="C10125" i="1"/>
  <c r="B10125" i="1"/>
  <c r="A10125" i="1"/>
  <c r="R10124" i="1"/>
  <c r="J10124" i="1"/>
  <c r="I10124" i="1"/>
  <c r="G10124" i="1"/>
  <c r="F10124" i="1"/>
  <c r="E10124" i="1"/>
  <c r="D10124" i="1"/>
  <c r="C10124" i="1"/>
  <c r="B10124" i="1"/>
  <c r="A10124" i="1"/>
  <c r="S10123" i="1"/>
  <c r="O10123" i="1"/>
  <c r="K10123" i="1"/>
  <c r="J10123" i="1"/>
  <c r="I10123" i="1"/>
  <c r="H10123" i="1"/>
  <c r="G10123" i="1"/>
  <c r="F10123" i="1"/>
  <c r="E10123" i="1"/>
  <c r="D10123" i="1"/>
  <c r="C10123" i="1"/>
  <c r="B10123" i="1"/>
  <c r="A10123" i="1"/>
  <c r="R10122" i="1"/>
  <c r="J10122" i="1"/>
  <c r="I10122" i="1"/>
  <c r="G10122" i="1"/>
  <c r="F10122" i="1"/>
  <c r="E10122" i="1"/>
  <c r="D10122" i="1"/>
  <c r="C10122" i="1"/>
  <c r="B10122" i="1"/>
  <c r="A10122" i="1"/>
  <c r="S10121" i="1"/>
  <c r="O10121" i="1"/>
  <c r="K10121" i="1"/>
  <c r="J10121" i="1"/>
  <c r="I10121" i="1"/>
  <c r="H10121" i="1"/>
  <c r="G10121" i="1"/>
  <c r="F10121" i="1"/>
  <c r="E10121" i="1"/>
  <c r="D10121" i="1"/>
  <c r="C10121" i="1"/>
  <c r="B10121" i="1"/>
  <c r="A10121" i="1"/>
  <c r="R10120" i="1"/>
  <c r="J10120" i="1"/>
  <c r="I10120" i="1"/>
  <c r="G10120" i="1"/>
  <c r="F10120" i="1"/>
  <c r="E10120" i="1"/>
  <c r="D10120" i="1"/>
  <c r="C10120" i="1"/>
  <c r="B10120" i="1"/>
  <c r="A10120" i="1"/>
  <c r="S10119" i="1"/>
  <c r="O10119" i="1"/>
  <c r="K10119" i="1"/>
  <c r="J10119" i="1"/>
  <c r="I10119" i="1"/>
  <c r="H10119" i="1"/>
  <c r="G10119" i="1"/>
  <c r="F10119" i="1"/>
  <c r="E10119" i="1"/>
  <c r="D10119" i="1"/>
  <c r="C10119" i="1"/>
  <c r="B10119" i="1"/>
  <c r="A10119" i="1"/>
  <c r="R10118" i="1"/>
  <c r="J10118" i="1"/>
  <c r="I10118" i="1"/>
  <c r="G10118" i="1"/>
  <c r="F10118" i="1"/>
  <c r="E10118" i="1"/>
  <c r="D10118" i="1"/>
  <c r="C10118" i="1"/>
  <c r="B10118" i="1"/>
  <c r="A10118" i="1"/>
  <c r="S10117" i="1"/>
  <c r="O10117" i="1"/>
  <c r="K10117" i="1"/>
  <c r="J10117" i="1"/>
  <c r="I10117" i="1"/>
  <c r="H10117" i="1"/>
  <c r="G10117" i="1"/>
  <c r="F10117" i="1"/>
  <c r="E10117" i="1"/>
  <c r="D10117" i="1"/>
  <c r="C10117" i="1"/>
  <c r="B10117" i="1"/>
  <c r="A10117" i="1"/>
  <c r="R10116" i="1"/>
  <c r="J10116" i="1"/>
  <c r="I10116" i="1"/>
  <c r="G10116" i="1"/>
  <c r="F10116" i="1"/>
  <c r="E10116" i="1"/>
  <c r="D10116" i="1"/>
  <c r="C10116" i="1"/>
  <c r="B10116" i="1"/>
  <c r="A10116" i="1"/>
  <c r="S10115" i="1"/>
  <c r="O10115" i="1"/>
  <c r="K10115" i="1"/>
  <c r="J10115" i="1"/>
  <c r="I10115" i="1"/>
  <c r="H10115" i="1"/>
  <c r="G10115" i="1"/>
  <c r="F10115" i="1"/>
  <c r="E10115" i="1"/>
  <c r="D10115" i="1"/>
  <c r="C10115" i="1"/>
  <c r="B10115" i="1"/>
  <c r="A10115" i="1"/>
  <c r="R10114" i="1"/>
  <c r="J10114" i="1"/>
  <c r="I10114" i="1"/>
  <c r="G10114" i="1"/>
  <c r="F10114" i="1"/>
  <c r="E10114" i="1"/>
  <c r="D10114" i="1"/>
  <c r="C10114" i="1"/>
  <c r="B10114" i="1"/>
  <c r="A10114" i="1"/>
  <c r="S10113" i="1"/>
  <c r="O10113" i="1"/>
  <c r="K10113" i="1"/>
  <c r="J10113" i="1"/>
  <c r="I10113" i="1"/>
  <c r="H10113" i="1"/>
  <c r="G10113" i="1"/>
  <c r="F10113" i="1"/>
  <c r="E10113" i="1"/>
  <c r="D10113" i="1"/>
  <c r="C10113" i="1"/>
  <c r="B10113" i="1"/>
  <c r="A10113" i="1"/>
  <c r="R10112" i="1"/>
  <c r="J10112" i="1"/>
  <c r="I10112" i="1"/>
  <c r="G10112" i="1"/>
  <c r="F10112" i="1"/>
  <c r="E10112" i="1"/>
  <c r="D10112" i="1"/>
  <c r="C10112" i="1"/>
  <c r="B10112" i="1"/>
  <c r="A10112" i="1"/>
  <c r="S10111" i="1"/>
  <c r="O10111" i="1"/>
  <c r="K10111" i="1"/>
  <c r="J10111" i="1"/>
  <c r="I10111" i="1"/>
  <c r="H10111" i="1"/>
  <c r="G10111" i="1"/>
  <c r="F10111" i="1"/>
  <c r="E10111" i="1"/>
  <c r="D10111" i="1"/>
  <c r="C10111" i="1"/>
  <c r="B10111" i="1"/>
  <c r="A10111" i="1"/>
  <c r="R10110" i="1"/>
  <c r="J10110" i="1"/>
  <c r="I10110" i="1"/>
  <c r="G10110" i="1"/>
  <c r="F10110" i="1"/>
  <c r="E10110" i="1"/>
  <c r="D10110" i="1"/>
  <c r="C10110" i="1"/>
  <c r="B10110" i="1"/>
  <c r="A10110" i="1"/>
  <c r="S10109" i="1"/>
  <c r="O10109" i="1"/>
  <c r="K10109" i="1"/>
  <c r="J10109" i="1"/>
  <c r="I10109" i="1"/>
  <c r="H10109" i="1"/>
  <c r="G10109" i="1"/>
  <c r="F10109" i="1"/>
  <c r="E10109" i="1"/>
  <c r="D10109" i="1"/>
  <c r="C10109" i="1"/>
  <c r="B10109" i="1"/>
  <c r="A10109" i="1"/>
  <c r="R10108" i="1"/>
  <c r="J10108" i="1"/>
  <c r="I10108" i="1"/>
  <c r="G10108" i="1"/>
  <c r="F10108" i="1"/>
  <c r="E10108" i="1"/>
  <c r="D10108" i="1"/>
  <c r="C10108" i="1"/>
  <c r="B10108" i="1"/>
  <c r="A10108" i="1"/>
  <c r="S10107" i="1"/>
  <c r="O10107" i="1"/>
  <c r="K10107" i="1"/>
  <c r="J10107" i="1"/>
  <c r="I10107" i="1"/>
  <c r="H10107" i="1"/>
  <c r="G10107" i="1"/>
  <c r="F10107" i="1"/>
  <c r="E10107" i="1"/>
  <c r="D10107" i="1"/>
  <c r="C10107" i="1"/>
  <c r="B10107" i="1"/>
  <c r="A10107" i="1"/>
  <c r="R10106" i="1"/>
  <c r="J10106" i="1"/>
  <c r="I10106" i="1"/>
  <c r="G10106" i="1"/>
  <c r="F10106" i="1"/>
  <c r="E10106" i="1"/>
  <c r="D10106" i="1"/>
  <c r="C10106" i="1"/>
  <c r="B10106" i="1"/>
  <c r="A10106" i="1"/>
  <c r="S10105" i="1"/>
  <c r="O10105" i="1"/>
  <c r="K10105" i="1"/>
  <c r="J10105" i="1"/>
  <c r="I10105" i="1"/>
  <c r="H10105" i="1"/>
  <c r="G10105" i="1"/>
  <c r="F10105" i="1"/>
  <c r="E10105" i="1"/>
  <c r="D10105" i="1"/>
  <c r="C10105" i="1"/>
  <c r="B10105" i="1"/>
  <c r="A10105" i="1"/>
  <c r="S10104" i="1"/>
  <c r="O10104" i="1"/>
  <c r="K10104" i="1"/>
  <c r="J10104" i="1"/>
  <c r="I10104" i="1"/>
  <c r="H10104" i="1"/>
  <c r="G10104" i="1"/>
  <c r="F10104" i="1"/>
  <c r="D10104" i="1"/>
  <c r="C10104" i="1"/>
  <c r="B10104" i="1"/>
  <c r="A10104" i="1"/>
  <c r="R10103" i="1"/>
  <c r="J10103" i="1"/>
  <c r="I10103" i="1"/>
  <c r="G10103" i="1"/>
  <c r="F10103" i="1"/>
  <c r="E10103" i="1"/>
  <c r="D10103" i="1"/>
  <c r="C10103" i="1"/>
  <c r="B10103" i="1"/>
  <c r="A10103" i="1"/>
  <c r="S10102" i="1"/>
  <c r="O10102" i="1"/>
  <c r="K10102" i="1"/>
  <c r="J10102" i="1"/>
  <c r="I10102" i="1"/>
  <c r="H10102" i="1"/>
  <c r="G10102" i="1"/>
  <c r="F10102" i="1"/>
  <c r="E10102" i="1"/>
  <c r="D10102" i="1"/>
  <c r="C10102" i="1"/>
  <c r="B10102" i="1"/>
  <c r="A10102" i="1"/>
  <c r="R10101" i="1"/>
  <c r="J10101" i="1"/>
  <c r="I10101" i="1"/>
  <c r="G10101" i="1"/>
  <c r="F10101" i="1"/>
  <c r="E10101" i="1"/>
  <c r="D10101" i="1"/>
  <c r="C10101" i="1"/>
  <c r="B10101" i="1"/>
  <c r="A10101" i="1"/>
  <c r="S10100" i="1"/>
  <c r="O10100" i="1"/>
  <c r="K10100" i="1"/>
  <c r="J10100" i="1"/>
  <c r="I10100" i="1"/>
  <c r="H10100" i="1"/>
  <c r="G10100" i="1"/>
  <c r="F10100" i="1"/>
  <c r="E10100" i="1"/>
  <c r="D10100" i="1"/>
  <c r="C10100" i="1"/>
  <c r="B10100" i="1"/>
  <c r="A10100" i="1"/>
  <c r="R10099" i="1"/>
  <c r="J10099" i="1"/>
  <c r="I10099" i="1"/>
  <c r="G10099" i="1"/>
  <c r="F10099" i="1"/>
  <c r="E10099" i="1"/>
  <c r="D10099" i="1"/>
  <c r="C10099" i="1"/>
  <c r="B10099" i="1"/>
  <c r="A10099" i="1"/>
  <c r="S10098" i="1"/>
  <c r="O10098" i="1"/>
  <c r="K10098" i="1"/>
  <c r="J10098" i="1"/>
  <c r="I10098" i="1"/>
  <c r="H10098" i="1"/>
  <c r="G10098" i="1"/>
  <c r="F10098" i="1"/>
  <c r="E10098" i="1"/>
  <c r="D10098" i="1"/>
  <c r="C10098" i="1"/>
  <c r="B10098" i="1"/>
  <c r="A10098" i="1"/>
  <c r="R10097" i="1"/>
  <c r="J10097" i="1"/>
  <c r="I10097" i="1"/>
  <c r="G10097" i="1"/>
  <c r="F10097" i="1"/>
  <c r="E10097" i="1"/>
  <c r="D10097" i="1"/>
  <c r="C10097" i="1"/>
  <c r="B10097" i="1"/>
  <c r="A10097" i="1"/>
  <c r="S10096" i="1"/>
  <c r="O10096" i="1"/>
  <c r="K10096" i="1"/>
  <c r="J10096" i="1"/>
  <c r="I10096" i="1"/>
  <c r="H10096" i="1"/>
  <c r="G10096" i="1"/>
  <c r="F10096" i="1"/>
  <c r="E10096" i="1"/>
  <c r="D10096" i="1"/>
  <c r="C10096" i="1"/>
  <c r="B10096" i="1"/>
  <c r="A10096" i="1"/>
  <c r="R10095" i="1"/>
  <c r="J10095" i="1"/>
  <c r="I10095" i="1"/>
  <c r="G10095" i="1"/>
  <c r="F10095" i="1"/>
  <c r="E10095" i="1"/>
  <c r="D10095" i="1"/>
  <c r="C10095" i="1"/>
  <c r="B10095" i="1"/>
  <c r="A10095" i="1"/>
  <c r="S10094" i="1"/>
  <c r="O10094" i="1"/>
  <c r="K10094" i="1"/>
  <c r="J10094" i="1"/>
  <c r="I10094" i="1"/>
  <c r="H10094" i="1"/>
  <c r="G10094" i="1"/>
  <c r="F10094" i="1"/>
  <c r="E10094" i="1"/>
  <c r="D10094" i="1"/>
  <c r="C10094" i="1"/>
  <c r="B10094" i="1"/>
  <c r="A10094" i="1"/>
  <c r="R10093" i="1"/>
  <c r="J10093" i="1"/>
  <c r="I10093" i="1"/>
  <c r="G10093" i="1"/>
  <c r="F10093" i="1"/>
  <c r="E10093" i="1"/>
  <c r="D10093" i="1"/>
  <c r="C10093" i="1"/>
  <c r="B10093" i="1"/>
  <c r="A10093" i="1"/>
  <c r="S10092" i="1"/>
  <c r="O10092" i="1"/>
  <c r="K10092" i="1"/>
  <c r="J10092" i="1"/>
  <c r="I10092" i="1"/>
  <c r="H10092" i="1"/>
  <c r="G10092" i="1"/>
  <c r="F10092" i="1"/>
  <c r="E10092" i="1"/>
  <c r="D10092" i="1"/>
  <c r="C10092" i="1"/>
  <c r="B10092" i="1"/>
  <c r="A10092" i="1"/>
  <c r="R10091" i="1"/>
  <c r="J10091" i="1"/>
  <c r="I10091" i="1"/>
  <c r="G10091" i="1"/>
  <c r="F10091" i="1"/>
  <c r="E10091" i="1"/>
  <c r="D10091" i="1"/>
  <c r="C10091" i="1"/>
  <c r="B10091" i="1"/>
  <c r="A10091" i="1"/>
  <c r="R10090" i="1"/>
  <c r="J10090" i="1"/>
  <c r="I10090" i="1"/>
  <c r="G10090" i="1"/>
  <c r="F10090" i="1"/>
  <c r="E10090" i="1"/>
  <c r="D10090" i="1"/>
  <c r="C10090" i="1"/>
  <c r="B10090" i="1"/>
  <c r="A10090" i="1"/>
  <c r="S10089" i="1"/>
  <c r="O10089" i="1"/>
  <c r="K10089" i="1"/>
  <c r="J10089" i="1"/>
  <c r="I10089" i="1"/>
  <c r="H10089" i="1"/>
  <c r="G10089" i="1"/>
  <c r="F10089" i="1"/>
  <c r="E10089" i="1"/>
  <c r="D10089" i="1"/>
  <c r="C10089" i="1"/>
  <c r="B10089" i="1"/>
  <c r="A10089" i="1"/>
  <c r="R10088" i="1"/>
  <c r="J10088" i="1"/>
  <c r="I10088" i="1"/>
  <c r="G10088" i="1"/>
  <c r="F10088" i="1"/>
  <c r="E10088" i="1"/>
  <c r="D10088" i="1"/>
  <c r="C10088" i="1"/>
  <c r="B10088" i="1"/>
  <c r="A10088" i="1"/>
  <c r="S10087" i="1"/>
  <c r="O10087" i="1"/>
  <c r="K10087" i="1"/>
  <c r="J10087" i="1"/>
  <c r="I10087" i="1"/>
  <c r="H10087" i="1"/>
  <c r="G10087" i="1"/>
  <c r="F10087" i="1"/>
  <c r="E10087" i="1"/>
  <c r="D10087" i="1"/>
  <c r="C10087" i="1"/>
  <c r="B10087" i="1"/>
  <c r="A10087" i="1"/>
  <c r="R10086" i="1"/>
  <c r="J10086" i="1"/>
  <c r="I10086" i="1"/>
  <c r="G10086" i="1"/>
  <c r="F10086" i="1"/>
  <c r="E10086" i="1"/>
  <c r="D10086" i="1"/>
  <c r="C10086" i="1"/>
  <c r="B10086" i="1"/>
  <c r="A10086" i="1"/>
  <c r="S10085" i="1"/>
  <c r="O10085" i="1"/>
  <c r="K10085" i="1"/>
  <c r="J10085" i="1"/>
  <c r="I10085" i="1"/>
  <c r="H10085" i="1"/>
  <c r="G10085" i="1"/>
  <c r="F10085" i="1"/>
  <c r="E10085" i="1"/>
  <c r="D10085" i="1"/>
  <c r="C10085" i="1"/>
  <c r="B10085" i="1"/>
  <c r="A10085" i="1"/>
  <c r="R10084" i="1"/>
  <c r="J10084" i="1"/>
  <c r="I10084" i="1"/>
  <c r="G10084" i="1"/>
  <c r="F10084" i="1"/>
  <c r="E10084" i="1"/>
  <c r="D10084" i="1"/>
  <c r="C10084" i="1"/>
  <c r="B10084" i="1"/>
  <c r="A10084" i="1"/>
  <c r="S10083" i="1"/>
  <c r="O10083" i="1"/>
  <c r="K10083" i="1"/>
  <c r="J10083" i="1"/>
  <c r="I10083" i="1"/>
  <c r="H10083" i="1"/>
  <c r="G10083" i="1"/>
  <c r="F10083" i="1"/>
  <c r="E10083" i="1"/>
  <c r="D10083" i="1"/>
  <c r="C10083" i="1"/>
  <c r="B10083" i="1"/>
  <c r="A10083" i="1"/>
  <c r="R10082" i="1"/>
  <c r="J10082" i="1"/>
  <c r="I10082" i="1"/>
  <c r="G10082" i="1"/>
  <c r="F10082" i="1"/>
  <c r="E10082" i="1"/>
  <c r="D10082" i="1"/>
  <c r="C10082" i="1"/>
  <c r="B10082" i="1"/>
  <c r="A10082" i="1"/>
  <c r="S10081" i="1"/>
  <c r="O10081" i="1"/>
  <c r="K10081" i="1"/>
  <c r="J10081" i="1"/>
  <c r="I10081" i="1"/>
  <c r="H10081" i="1"/>
  <c r="G10081" i="1"/>
  <c r="F10081" i="1"/>
  <c r="E10081" i="1"/>
  <c r="D10081" i="1"/>
  <c r="C10081" i="1"/>
  <c r="B10081" i="1"/>
  <c r="A10081" i="1"/>
  <c r="R10080" i="1"/>
  <c r="J10080" i="1"/>
  <c r="I10080" i="1"/>
  <c r="G10080" i="1"/>
  <c r="F10080" i="1"/>
  <c r="E10080" i="1"/>
  <c r="D10080" i="1"/>
  <c r="C10080" i="1"/>
  <c r="B10080" i="1"/>
  <c r="A10080" i="1"/>
  <c r="S10079" i="1"/>
  <c r="O10079" i="1"/>
  <c r="K10079" i="1"/>
  <c r="J10079" i="1"/>
  <c r="I10079" i="1"/>
  <c r="H10079" i="1"/>
  <c r="G10079" i="1"/>
  <c r="F10079" i="1"/>
  <c r="E10079" i="1"/>
  <c r="D10079" i="1"/>
  <c r="C10079" i="1"/>
  <c r="B10079" i="1"/>
  <c r="A10079" i="1"/>
  <c r="R10078" i="1"/>
  <c r="J10078" i="1"/>
  <c r="I10078" i="1"/>
  <c r="G10078" i="1"/>
  <c r="F10078" i="1"/>
  <c r="E10078" i="1"/>
  <c r="D10078" i="1"/>
  <c r="C10078" i="1"/>
  <c r="B10078" i="1"/>
  <c r="A10078" i="1"/>
  <c r="S10077" i="1"/>
  <c r="O10077" i="1"/>
  <c r="K10077" i="1"/>
  <c r="J10077" i="1"/>
  <c r="I10077" i="1"/>
  <c r="H10077" i="1"/>
  <c r="G10077" i="1"/>
  <c r="F10077" i="1"/>
  <c r="E10077" i="1"/>
  <c r="D10077" i="1"/>
  <c r="C10077" i="1"/>
  <c r="B10077" i="1"/>
  <c r="A10077" i="1"/>
  <c r="R10076" i="1"/>
  <c r="J10076" i="1"/>
  <c r="I10076" i="1"/>
  <c r="G10076" i="1"/>
  <c r="F10076" i="1"/>
  <c r="E10076" i="1"/>
  <c r="D10076" i="1"/>
  <c r="C10076" i="1"/>
  <c r="B10076" i="1"/>
  <c r="A10076" i="1"/>
  <c r="S10075" i="1"/>
  <c r="O10075" i="1"/>
  <c r="K10075" i="1"/>
  <c r="J10075" i="1"/>
  <c r="I10075" i="1"/>
  <c r="H10075" i="1"/>
  <c r="G10075" i="1"/>
  <c r="F10075" i="1"/>
  <c r="E10075" i="1"/>
  <c r="D10075" i="1"/>
  <c r="C10075" i="1"/>
  <c r="B10075" i="1"/>
  <c r="A10075" i="1"/>
  <c r="R10074" i="1"/>
  <c r="J10074" i="1"/>
  <c r="I10074" i="1"/>
  <c r="G10074" i="1"/>
  <c r="F10074" i="1"/>
  <c r="E10074" i="1"/>
  <c r="D10074" i="1"/>
  <c r="C10074" i="1"/>
  <c r="B10074" i="1"/>
  <c r="A10074" i="1"/>
  <c r="S10073" i="1"/>
  <c r="O10073" i="1"/>
  <c r="K10073" i="1"/>
  <c r="J10073" i="1"/>
  <c r="I10073" i="1"/>
  <c r="H10073" i="1"/>
  <c r="G10073" i="1"/>
  <c r="F10073" i="1"/>
  <c r="E10073" i="1"/>
  <c r="D10073" i="1"/>
  <c r="C10073" i="1"/>
  <c r="B10073" i="1"/>
  <c r="A10073" i="1"/>
  <c r="R10072" i="1"/>
  <c r="J10072" i="1"/>
  <c r="I10072" i="1"/>
  <c r="G10072" i="1"/>
  <c r="F10072" i="1"/>
  <c r="E10072" i="1"/>
  <c r="D10072" i="1"/>
  <c r="C10072" i="1"/>
  <c r="B10072" i="1"/>
  <c r="A10072" i="1"/>
  <c r="S10071" i="1"/>
  <c r="O10071" i="1"/>
  <c r="K10071" i="1"/>
  <c r="J10071" i="1"/>
  <c r="I10071" i="1"/>
  <c r="H10071" i="1"/>
  <c r="G10071" i="1"/>
  <c r="F10071" i="1"/>
  <c r="E10071" i="1"/>
  <c r="D10071" i="1"/>
  <c r="C10071" i="1"/>
  <c r="B10071" i="1"/>
  <c r="A10071" i="1"/>
  <c r="R10070" i="1"/>
  <c r="J10070" i="1"/>
  <c r="I10070" i="1"/>
  <c r="G10070" i="1"/>
  <c r="F10070" i="1"/>
  <c r="E10070" i="1"/>
  <c r="D10070" i="1"/>
  <c r="C10070" i="1"/>
  <c r="B10070" i="1"/>
  <c r="A10070" i="1"/>
  <c r="S10069" i="1"/>
  <c r="O10069" i="1"/>
  <c r="K10069" i="1"/>
  <c r="J10069" i="1"/>
  <c r="I10069" i="1"/>
  <c r="H10069" i="1"/>
  <c r="G10069" i="1"/>
  <c r="F10069" i="1"/>
  <c r="E10069" i="1"/>
  <c r="D10069" i="1"/>
  <c r="C10069" i="1"/>
  <c r="B10069" i="1"/>
  <c r="A10069" i="1"/>
  <c r="R10068" i="1"/>
  <c r="J10068" i="1"/>
  <c r="I10068" i="1"/>
  <c r="G10068" i="1"/>
  <c r="F10068" i="1"/>
  <c r="E10068" i="1"/>
  <c r="D10068" i="1"/>
  <c r="C10068" i="1"/>
  <c r="B10068" i="1"/>
  <c r="A10068" i="1"/>
  <c r="S10067" i="1"/>
  <c r="O10067" i="1"/>
  <c r="K10067" i="1"/>
  <c r="J10067" i="1"/>
  <c r="I10067" i="1"/>
  <c r="H10067" i="1"/>
  <c r="G10067" i="1"/>
  <c r="F10067" i="1"/>
  <c r="E10067" i="1"/>
  <c r="D10067" i="1"/>
  <c r="C10067" i="1"/>
  <c r="B10067" i="1"/>
  <c r="A10067" i="1"/>
  <c r="R10066" i="1"/>
  <c r="J10066" i="1"/>
  <c r="I10066" i="1"/>
  <c r="G10066" i="1"/>
  <c r="F10066" i="1"/>
  <c r="E10066" i="1"/>
  <c r="D10066" i="1"/>
  <c r="C10066" i="1"/>
  <c r="B10066" i="1"/>
  <c r="A10066" i="1"/>
  <c r="S10065" i="1"/>
  <c r="O10065" i="1"/>
  <c r="K10065" i="1"/>
  <c r="J10065" i="1"/>
  <c r="I10065" i="1"/>
  <c r="H10065" i="1"/>
  <c r="G10065" i="1"/>
  <c r="F10065" i="1"/>
  <c r="E10065" i="1"/>
  <c r="D10065" i="1"/>
  <c r="C10065" i="1"/>
  <c r="B10065" i="1"/>
  <c r="A10065" i="1"/>
  <c r="R10064" i="1"/>
  <c r="J10064" i="1"/>
  <c r="I10064" i="1"/>
  <c r="G10064" i="1"/>
  <c r="F10064" i="1"/>
  <c r="E10064" i="1"/>
  <c r="D10064" i="1"/>
  <c r="C10064" i="1"/>
  <c r="B10064" i="1"/>
  <c r="A10064" i="1"/>
  <c r="S10063" i="1"/>
  <c r="O10063" i="1"/>
  <c r="K10063" i="1"/>
  <c r="J10063" i="1"/>
  <c r="I10063" i="1"/>
  <c r="H10063" i="1"/>
  <c r="G10063" i="1"/>
  <c r="F10063" i="1"/>
  <c r="E10063" i="1"/>
  <c r="D10063" i="1"/>
  <c r="C10063" i="1"/>
  <c r="B10063" i="1"/>
  <c r="A10063" i="1"/>
  <c r="R10062" i="1"/>
  <c r="J10062" i="1"/>
  <c r="I10062" i="1"/>
  <c r="G10062" i="1"/>
  <c r="F10062" i="1"/>
  <c r="E10062" i="1"/>
  <c r="D10062" i="1"/>
  <c r="C10062" i="1"/>
  <c r="B10062" i="1"/>
  <c r="A10062" i="1"/>
  <c r="S10061" i="1"/>
  <c r="O10061" i="1"/>
  <c r="K10061" i="1"/>
  <c r="J10061" i="1"/>
  <c r="I10061" i="1"/>
  <c r="H10061" i="1"/>
  <c r="G10061" i="1"/>
  <c r="F10061" i="1"/>
  <c r="E10061" i="1"/>
  <c r="D10061" i="1"/>
  <c r="C10061" i="1"/>
  <c r="B10061" i="1"/>
  <c r="A10061" i="1"/>
  <c r="R10060" i="1"/>
  <c r="J10060" i="1"/>
  <c r="I10060" i="1"/>
  <c r="G10060" i="1"/>
  <c r="F10060" i="1"/>
  <c r="E10060" i="1"/>
  <c r="D10060" i="1"/>
  <c r="C10060" i="1"/>
  <c r="B10060" i="1"/>
  <c r="A10060" i="1"/>
  <c r="S10059" i="1"/>
  <c r="O10059" i="1"/>
  <c r="K10059" i="1"/>
  <c r="J10059" i="1"/>
  <c r="I10059" i="1"/>
  <c r="H10059" i="1"/>
  <c r="G10059" i="1"/>
  <c r="F10059" i="1"/>
  <c r="E10059" i="1"/>
  <c r="D10059" i="1"/>
  <c r="C10059" i="1"/>
  <c r="B10059" i="1"/>
  <c r="A10059" i="1"/>
  <c r="R10058" i="1"/>
  <c r="J10058" i="1"/>
  <c r="I10058" i="1"/>
  <c r="G10058" i="1"/>
  <c r="F10058" i="1"/>
  <c r="E10058" i="1"/>
  <c r="D10058" i="1"/>
  <c r="C10058" i="1"/>
  <c r="B10058" i="1"/>
  <c r="A10058" i="1"/>
  <c r="S10057" i="1"/>
  <c r="O10057" i="1"/>
  <c r="K10057" i="1"/>
  <c r="J10057" i="1"/>
  <c r="I10057" i="1"/>
  <c r="H10057" i="1"/>
  <c r="G10057" i="1"/>
  <c r="F10057" i="1"/>
  <c r="E10057" i="1"/>
  <c r="D10057" i="1"/>
  <c r="C10057" i="1"/>
  <c r="B10057" i="1"/>
  <c r="A10057" i="1"/>
  <c r="R10056" i="1"/>
  <c r="J10056" i="1"/>
  <c r="I10056" i="1"/>
  <c r="G10056" i="1"/>
  <c r="F10056" i="1"/>
  <c r="E10056" i="1"/>
  <c r="D10056" i="1"/>
  <c r="C10056" i="1"/>
  <c r="B10056" i="1"/>
  <c r="A10056" i="1"/>
  <c r="S10055" i="1"/>
  <c r="O10055" i="1"/>
  <c r="K10055" i="1"/>
  <c r="J10055" i="1"/>
  <c r="I10055" i="1"/>
  <c r="H10055" i="1"/>
  <c r="G10055" i="1"/>
  <c r="F10055" i="1"/>
  <c r="E10055" i="1"/>
  <c r="D10055" i="1"/>
  <c r="C10055" i="1"/>
  <c r="B10055" i="1"/>
  <c r="A10055" i="1"/>
  <c r="R10054" i="1"/>
  <c r="J10054" i="1"/>
  <c r="I10054" i="1"/>
  <c r="G10054" i="1"/>
  <c r="F10054" i="1"/>
  <c r="E10054" i="1"/>
  <c r="D10054" i="1"/>
  <c r="C10054" i="1"/>
  <c r="B10054" i="1"/>
  <c r="A10054" i="1"/>
  <c r="S10053" i="1"/>
  <c r="O10053" i="1"/>
  <c r="K10053" i="1"/>
  <c r="J10053" i="1"/>
  <c r="I10053" i="1"/>
  <c r="H10053" i="1"/>
  <c r="G10053" i="1"/>
  <c r="F10053" i="1"/>
  <c r="E10053" i="1"/>
  <c r="D10053" i="1"/>
  <c r="C10053" i="1"/>
  <c r="B10053" i="1"/>
  <c r="A10053" i="1"/>
  <c r="R10052" i="1"/>
  <c r="J10052" i="1"/>
  <c r="I10052" i="1"/>
  <c r="G10052" i="1"/>
  <c r="F10052" i="1"/>
  <c r="E10052" i="1"/>
  <c r="D10052" i="1"/>
  <c r="C10052" i="1"/>
  <c r="B10052" i="1"/>
  <c r="A10052" i="1"/>
  <c r="S10051" i="1"/>
  <c r="O10051" i="1"/>
  <c r="K10051" i="1"/>
  <c r="J10051" i="1"/>
  <c r="I10051" i="1"/>
  <c r="H10051" i="1"/>
  <c r="G10051" i="1"/>
  <c r="F10051" i="1"/>
  <c r="E10051" i="1"/>
  <c r="D10051" i="1"/>
  <c r="C10051" i="1"/>
  <c r="B10051" i="1"/>
  <c r="A10051" i="1"/>
  <c r="R10050" i="1"/>
  <c r="J10050" i="1"/>
  <c r="I10050" i="1"/>
  <c r="G10050" i="1"/>
  <c r="F10050" i="1"/>
  <c r="E10050" i="1"/>
  <c r="D10050" i="1"/>
  <c r="C10050" i="1"/>
  <c r="B10050" i="1"/>
  <c r="A10050" i="1"/>
  <c r="S10049" i="1"/>
  <c r="O10049" i="1"/>
  <c r="K10049" i="1"/>
  <c r="J10049" i="1"/>
  <c r="I10049" i="1"/>
  <c r="H10049" i="1"/>
  <c r="G10049" i="1"/>
  <c r="F10049" i="1"/>
  <c r="E10049" i="1"/>
  <c r="D10049" i="1"/>
  <c r="C10049" i="1"/>
  <c r="B10049" i="1"/>
  <c r="A10049" i="1"/>
  <c r="R10048" i="1"/>
  <c r="J10048" i="1"/>
  <c r="I10048" i="1"/>
  <c r="G10048" i="1"/>
  <c r="F10048" i="1"/>
  <c r="E10048" i="1"/>
  <c r="D10048" i="1"/>
  <c r="C10048" i="1"/>
  <c r="B10048" i="1"/>
  <c r="A10048" i="1"/>
  <c r="S10047" i="1"/>
  <c r="O10047" i="1"/>
  <c r="K10047" i="1"/>
  <c r="J10047" i="1"/>
  <c r="I10047" i="1"/>
  <c r="H10047" i="1"/>
  <c r="G10047" i="1"/>
  <c r="F10047" i="1"/>
  <c r="E10047" i="1"/>
  <c r="D10047" i="1"/>
  <c r="C10047" i="1"/>
  <c r="B10047" i="1"/>
  <c r="A10047" i="1"/>
  <c r="R10046" i="1"/>
  <c r="J10046" i="1"/>
  <c r="I10046" i="1"/>
  <c r="G10046" i="1"/>
  <c r="F10046" i="1"/>
  <c r="E10046" i="1"/>
  <c r="D10046" i="1"/>
  <c r="C10046" i="1"/>
  <c r="B10046" i="1"/>
  <c r="A10046" i="1"/>
  <c r="S10045" i="1"/>
  <c r="O10045" i="1"/>
  <c r="K10045" i="1"/>
  <c r="J10045" i="1"/>
  <c r="I10045" i="1"/>
  <c r="H10045" i="1"/>
  <c r="G10045" i="1"/>
  <c r="F10045" i="1"/>
  <c r="E10045" i="1"/>
  <c r="D10045" i="1"/>
  <c r="C10045" i="1"/>
  <c r="B10045" i="1"/>
  <c r="A10045" i="1"/>
  <c r="R10044" i="1"/>
  <c r="J10044" i="1"/>
  <c r="I10044" i="1"/>
  <c r="G10044" i="1"/>
  <c r="F10044" i="1"/>
  <c r="E10044" i="1"/>
  <c r="D10044" i="1"/>
  <c r="C10044" i="1"/>
  <c r="B10044" i="1"/>
  <c r="A10044" i="1"/>
  <c r="S10043" i="1"/>
  <c r="O10043" i="1"/>
  <c r="K10043" i="1"/>
  <c r="J10043" i="1"/>
  <c r="I10043" i="1"/>
  <c r="H10043" i="1"/>
  <c r="G10043" i="1"/>
  <c r="F10043" i="1"/>
  <c r="E10043" i="1"/>
  <c r="D10043" i="1"/>
  <c r="C10043" i="1"/>
  <c r="B10043" i="1"/>
  <c r="A10043" i="1"/>
  <c r="R10042" i="1"/>
  <c r="J10042" i="1"/>
  <c r="I10042" i="1"/>
  <c r="G10042" i="1"/>
  <c r="F10042" i="1"/>
  <c r="E10042" i="1"/>
  <c r="D10042" i="1"/>
  <c r="C10042" i="1"/>
  <c r="B10042" i="1"/>
  <c r="A10042" i="1"/>
  <c r="S10041" i="1"/>
  <c r="O10041" i="1"/>
  <c r="K10041" i="1"/>
  <c r="J10041" i="1"/>
  <c r="I10041" i="1"/>
  <c r="H10041" i="1"/>
  <c r="G10041" i="1"/>
  <c r="F10041" i="1"/>
  <c r="E10041" i="1"/>
  <c r="D10041" i="1"/>
  <c r="C10041" i="1"/>
  <c r="B10041" i="1"/>
  <c r="A10041" i="1"/>
  <c r="R10040" i="1"/>
  <c r="J10040" i="1"/>
  <c r="I10040" i="1"/>
  <c r="G10040" i="1"/>
  <c r="F10040" i="1"/>
  <c r="E10040" i="1"/>
  <c r="D10040" i="1"/>
  <c r="C10040" i="1"/>
  <c r="B10040" i="1"/>
  <c r="A10040" i="1"/>
  <c r="S10039" i="1"/>
  <c r="O10039" i="1"/>
  <c r="K10039" i="1"/>
  <c r="J10039" i="1"/>
  <c r="I10039" i="1"/>
  <c r="H10039" i="1"/>
  <c r="G10039" i="1"/>
  <c r="F10039" i="1"/>
  <c r="E10039" i="1"/>
  <c r="D10039" i="1"/>
  <c r="C10039" i="1"/>
  <c r="B10039" i="1"/>
  <c r="A10039" i="1"/>
  <c r="R10038" i="1"/>
  <c r="J10038" i="1"/>
  <c r="I10038" i="1"/>
  <c r="G10038" i="1"/>
  <c r="F10038" i="1"/>
  <c r="E10038" i="1"/>
  <c r="D10038" i="1"/>
  <c r="C10038" i="1"/>
  <c r="B10038" i="1"/>
  <c r="A10038" i="1"/>
  <c r="S10037" i="1"/>
  <c r="O10037" i="1"/>
  <c r="K10037" i="1"/>
  <c r="J10037" i="1"/>
  <c r="I10037" i="1"/>
  <c r="H10037" i="1"/>
  <c r="G10037" i="1"/>
  <c r="F10037" i="1"/>
  <c r="E10037" i="1"/>
  <c r="D10037" i="1"/>
  <c r="C10037" i="1"/>
  <c r="B10037" i="1"/>
  <c r="A10037" i="1"/>
  <c r="R10036" i="1"/>
  <c r="J10036" i="1"/>
  <c r="I10036" i="1"/>
  <c r="G10036" i="1"/>
  <c r="F10036" i="1"/>
  <c r="E10036" i="1"/>
  <c r="D10036" i="1"/>
  <c r="C10036" i="1"/>
  <c r="B10036" i="1"/>
  <c r="A10036" i="1"/>
  <c r="S10035" i="1"/>
  <c r="O10035" i="1"/>
  <c r="K10035" i="1"/>
  <c r="J10035" i="1"/>
  <c r="I10035" i="1"/>
  <c r="H10035" i="1"/>
  <c r="G10035" i="1"/>
  <c r="F10035" i="1"/>
  <c r="E10035" i="1"/>
  <c r="D10035" i="1"/>
  <c r="C10035" i="1"/>
  <c r="B10035" i="1"/>
  <c r="A10035" i="1"/>
  <c r="R10034" i="1"/>
  <c r="J10034" i="1"/>
  <c r="I10034" i="1"/>
  <c r="G10034" i="1"/>
  <c r="F10034" i="1"/>
  <c r="E10034" i="1"/>
  <c r="D10034" i="1"/>
  <c r="C10034" i="1"/>
  <c r="B10034" i="1"/>
  <c r="A10034" i="1"/>
  <c r="S10033" i="1"/>
  <c r="O10033" i="1"/>
  <c r="K10033" i="1"/>
  <c r="J10033" i="1"/>
  <c r="I10033" i="1"/>
  <c r="H10033" i="1"/>
  <c r="G10033" i="1"/>
  <c r="F10033" i="1"/>
  <c r="E10033" i="1"/>
  <c r="D10033" i="1"/>
  <c r="C10033" i="1"/>
  <c r="B10033" i="1"/>
  <c r="A10033" i="1"/>
  <c r="R10032" i="1"/>
  <c r="J10032" i="1"/>
  <c r="I10032" i="1"/>
  <c r="G10032" i="1"/>
  <c r="F10032" i="1"/>
  <c r="E10032" i="1"/>
  <c r="D10032" i="1"/>
  <c r="C10032" i="1"/>
  <c r="B10032" i="1"/>
  <c r="A10032" i="1"/>
  <c r="R10031" i="1"/>
  <c r="J10031" i="1"/>
  <c r="I10031" i="1"/>
  <c r="G10031" i="1"/>
  <c r="F10031" i="1"/>
  <c r="E10031" i="1"/>
  <c r="D10031" i="1"/>
  <c r="C10031" i="1"/>
  <c r="B10031" i="1"/>
  <c r="A10031" i="1"/>
  <c r="S10030" i="1"/>
  <c r="O10030" i="1"/>
  <c r="K10030" i="1"/>
  <c r="J10030" i="1"/>
  <c r="I10030" i="1"/>
  <c r="H10030" i="1"/>
  <c r="G10030" i="1"/>
  <c r="F10030" i="1"/>
  <c r="E10030" i="1"/>
  <c r="D10030" i="1"/>
  <c r="C10030" i="1"/>
  <c r="B10030" i="1"/>
  <c r="A10030" i="1"/>
  <c r="R10029" i="1"/>
  <c r="J10029" i="1"/>
  <c r="I10029" i="1"/>
  <c r="G10029" i="1"/>
  <c r="F10029" i="1"/>
  <c r="E10029" i="1"/>
  <c r="D10029" i="1"/>
  <c r="C10029" i="1"/>
  <c r="B10029" i="1"/>
  <c r="A10029" i="1"/>
  <c r="S10028" i="1"/>
  <c r="O10028" i="1"/>
  <c r="K10028" i="1"/>
  <c r="J10028" i="1"/>
  <c r="I10028" i="1"/>
  <c r="H10028" i="1"/>
  <c r="G10028" i="1"/>
  <c r="F10028" i="1"/>
  <c r="E10028" i="1"/>
  <c r="D10028" i="1"/>
  <c r="C10028" i="1"/>
  <c r="B10028" i="1"/>
  <c r="A10028" i="1"/>
  <c r="R10027" i="1"/>
  <c r="J10027" i="1"/>
  <c r="I10027" i="1"/>
  <c r="G10027" i="1"/>
  <c r="F10027" i="1"/>
  <c r="E10027" i="1"/>
  <c r="D10027" i="1"/>
  <c r="C10027" i="1"/>
  <c r="B10027" i="1"/>
  <c r="A10027" i="1"/>
  <c r="S10026" i="1"/>
  <c r="O10026" i="1"/>
  <c r="K10026" i="1"/>
  <c r="J10026" i="1"/>
  <c r="I10026" i="1"/>
  <c r="H10026" i="1"/>
  <c r="G10026" i="1"/>
  <c r="F10026" i="1"/>
  <c r="E10026" i="1"/>
  <c r="D10026" i="1"/>
  <c r="C10026" i="1"/>
  <c r="B10026" i="1"/>
  <c r="A10026" i="1"/>
  <c r="R10025" i="1"/>
  <c r="J10025" i="1"/>
  <c r="I10025" i="1"/>
  <c r="G10025" i="1"/>
  <c r="F10025" i="1"/>
  <c r="E10025" i="1"/>
  <c r="D10025" i="1"/>
  <c r="C10025" i="1"/>
  <c r="B10025" i="1"/>
  <c r="A10025" i="1"/>
  <c r="S10024" i="1"/>
  <c r="O10024" i="1"/>
  <c r="K10024" i="1"/>
  <c r="J10024" i="1"/>
  <c r="I10024" i="1"/>
  <c r="H10024" i="1"/>
  <c r="G10024" i="1"/>
  <c r="F10024" i="1"/>
  <c r="E10024" i="1"/>
  <c r="D10024" i="1"/>
  <c r="C10024" i="1"/>
  <c r="B10024" i="1"/>
  <c r="A10024" i="1"/>
  <c r="R10023" i="1"/>
  <c r="J10023" i="1"/>
  <c r="I10023" i="1"/>
  <c r="G10023" i="1"/>
  <c r="F10023" i="1"/>
  <c r="E10023" i="1"/>
  <c r="D10023" i="1"/>
  <c r="C10023" i="1"/>
  <c r="B10023" i="1"/>
  <c r="A10023" i="1"/>
  <c r="S10022" i="1"/>
  <c r="O10022" i="1"/>
  <c r="K10022" i="1"/>
  <c r="J10022" i="1"/>
  <c r="I10022" i="1"/>
  <c r="H10022" i="1"/>
  <c r="G10022" i="1"/>
  <c r="F10022" i="1"/>
  <c r="E10022" i="1"/>
  <c r="D10022" i="1"/>
  <c r="C10022" i="1"/>
  <c r="B10022" i="1"/>
  <c r="A10022" i="1"/>
  <c r="R10021" i="1"/>
  <c r="J10021" i="1"/>
  <c r="I10021" i="1"/>
  <c r="G10021" i="1"/>
  <c r="F10021" i="1"/>
  <c r="E10021" i="1"/>
  <c r="D10021" i="1"/>
  <c r="C10021" i="1"/>
  <c r="B10021" i="1"/>
  <c r="A10021" i="1"/>
  <c r="S10020" i="1"/>
  <c r="O10020" i="1"/>
  <c r="K10020" i="1"/>
  <c r="J10020" i="1"/>
  <c r="I10020" i="1"/>
  <c r="H10020" i="1"/>
  <c r="G10020" i="1"/>
  <c r="F10020" i="1"/>
  <c r="E10020" i="1"/>
  <c r="D10020" i="1"/>
  <c r="C10020" i="1"/>
  <c r="B10020" i="1"/>
  <c r="A10020" i="1"/>
  <c r="R10019" i="1"/>
  <c r="J10019" i="1"/>
  <c r="I10019" i="1"/>
  <c r="G10019" i="1"/>
  <c r="F10019" i="1"/>
  <c r="E10019" i="1"/>
  <c r="D10019" i="1"/>
  <c r="C10019" i="1"/>
  <c r="B10019" i="1"/>
  <c r="A10019" i="1"/>
  <c r="S10018" i="1"/>
  <c r="O10018" i="1"/>
  <c r="K10018" i="1"/>
  <c r="J10018" i="1"/>
  <c r="I10018" i="1"/>
  <c r="H10018" i="1"/>
  <c r="G10018" i="1"/>
  <c r="F10018" i="1"/>
  <c r="E10018" i="1"/>
  <c r="D10018" i="1"/>
  <c r="C10018" i="1"/>
  <c r="B10018" i="1"/>
  <c r="A10018" i="1"/>
  <c r="R10017" i="1"/>
  <c r="J10017" i="1"/>
  <c r="I10017" i="1"/>
  <c r="G10017" i="1"/>
  <c r="F10017" i="1"/>
  <c r="E10017" i="1"/>
  <c r="D10017" i="1"/>
  <c r="C10017" i="1"/>
  <c r="B10017" i="1"/>
  <c r="A10017" i="1"/>
  <c r="S10016" i="1"/>
  <c r="O10016" i="1"/>
  <c r="K10016" i="1"/>
  <c r="J10016" i="1"/>
  <c r="I10016" i="1"/>
  <c r="H10016" i="1"/>
  <c r="G10016" i="1"/>
  <c r="F10016" i="1"/>
  <c r="E10016" i="1"/>
  <c r="D10016" i="1"/>
  <c r="C10016" i="1"/>
  <c r="B10016" i="1"/>
  <c r="A10016" i="1"/>
  <c r="R10015" i="1"/>
  <c r="J10015" i="1"/>
  <c r="I10015" i="1"/>
  <c r="G10015" i="1"/>
  <c r="F10015" i="1"/>
  <c r="E10015" i="1"/>
  <c r="D10015" i="1"/>
  <c r="C10015" i="1"/>
  <c r="B10015" i="1"/>
  <c r="A10015" i="1"/>
  <c r="R10014" i="1"/>
  <c r="J10014" i="1"/>
  <c r="I10014" i="1"/>
  <c r="G10014" i="1"/>
  <c r="F10014" i="1"/>
  <c r="E10014" i="1"/>
  <c r="D10014" i="1"/>
  <c r="C10014" i="1"/>
  <c r="B10014" i="1"/>
  <c r="A10014" i="1"/>
  <c r="S10013" i="1"/>
  <c r="O10013" i="1"/>
  <c r="K10013" i="1"/>
  <c r="J10013" i="1"/>
  <c r="I10013" i="1"/>
  <c r="H10013" i="1"/>
  <c r="G10013" i="1"/>
  <c r="F10013" i="1"/>
  <c r="E10013" i="1"/>
  <c r="D10013" i="1"/>
  <c r="C10013" i="1"/>
  <c r="B10013" i="1"/>
  <c r="A10013" i="1"/>
  <c r="R10012" i="1"/>
  <c r="J10012" i="1"/>
  <c r="I10012" i="1"/>
  <c r="G10012" i="1"/>
  <c r="F10012" i="1"/>
  <c r="E10012" i="1"/>
  <c r="D10012" i="1"/>
  <c r="C10012" i="1"/>
  <c r="B10012" i="1"/>
  <c r="A10012" i="1"/>
  <c r="R10011" i="1"/>
  <c r="J10011" i="1"/>
  <c r="I10011" i="1"/>
  <c r="G10011" i="1"/>
  <c r="F10011" i="1"/>
  <c r="E10011" i="1"/>
  <c r="D10011" i="1"/>
  <c r="C10011" i="1"/>
  <c r="B10011" i="1"/>
  <c r="A10011" i="1"/>
  <c r="S10010" i="1"/>
  <c r="O10010" i="1"/>
  <c r="K10010" i="1"/>
  <c r="J10010" i="1"/>
  <c r="I10010" i="1"/>
  <c r="H10010" i="1"/>
  <c r="G10010" i="1"/>
  <c r="F10010" i="1"/>
  <c r="E10010" i="1"/>
  <c r="D10010" i="1"/>
  <c r="C10010" i="1"/>
  <c r="B10010" i="1"/>
  <c r="A10010" i="1"/>
  <c r="R10009" i="1"/>
  <c r="J10009" i="1"/>
  <c r="I10009" i="1"/>
  <c r="G10009" i="1"/>
  <c r="F10009" i="1"/>
  <c r="E10009" i="1"/>
  <c r="D10009" i="1"/>
  <c r="C10009" i="1"/>
  <c r="B10009" i="1"/>
  <c r="A10009" i="1"/>
  <c r="S10008" i="1"/>
  <c r="O10008" i="1"/>
  <c r="K10008" i="1"/>
  <c r="J10008" i="1"/>
  <c r="I10008" i="1"/>
  <c r="H10008" i="1"/>
  <c r="G10008" i="1"/>
  <c r="F10008" i="1"/>
  <c r="E10008" i="1"/>
  <c r="D10008" i="1"/>
  <c r="C10008" i="1"/>
  <c r="B10008" i="1"/>
  <c r="A10008" i="1"/>
  <c r="R10007" i="1"/>
  <c r="J10007" i="1"/>
  <c r="I10007" i="1"/>
  <c r="G10007" i="1"/>
  <c r="F10007" i="1"/>
  <c r="E10007" i="1"/>
  <c r="D10007" i="1"/>
  <c r="C10007" i="1"/>
  <c r="B10007" i="1"/>
  <c r="A10007" i="1"/>
  <c r="S10006" i="1"/>
  <c r="O10006" i="1"/>
  <c r="K10006" i="1"/>
  <c r="J10006" i="1"/>
  <c r="I10006" i="1"/>
  <c r="H10006" i="1"/>
  <c r="G10006" i="1"/>
  <c r="F10006" i="1"/>
  <c r="E10006" i="1"/>
  <c r="D10006" i="1"/>
  <c r="C10006" i="1"/>
  <c r="B10006" i="1"/>
  <c r="A10006" i="1"/>
  <c r="R10005" i="1"/>
  <c r="J10005" i="1"/>
  <c r="I10005" i="1"/>
  <c r="G10005" i="1"/>
  <c r="F10005" i="1"/>
  <c r="E10005" i="1"/>
  <c r="D10005" i="1"/>
  <c r="C10005" i="1"/>
  <c r="B10005" i="1"/>
  <c r="A10005" i="1"/>
  <c r="S10004" i="1"/>
  <c r="O10004" i="1"/>
  <c r="K10004" i="1"/>
  <c r="J10004" i="1"/>
  <c r="I10004" i="1"/>
  <c r="H10004" i="1"/>
  <c r="G10004" i="1"/>
  <c r="F10004" i="1"/>
  <c r="E10004" i="1"/>
  <c r="D10004" i="1"/>
  <c r="C10004" i="1"/>
  <c r="B10004" i="1"/>
  <c r="A10004" i="1"/>
  <c r="R10003" i="1"/>
  <c r="J10003" i="1"/>
  <c r="I10003" i="1"/>
  <c r="G10003" i="1"/>
  <c r="F10003" i="1"/>
  <c r="E10003" i="1"/>
  <c r="D10003" i="1"/>
  <c r="C10003" i="1"/>
  <c r="B10003" i="1"/>
  <c r="A10003" i="1"/>
  <c r="S10002" i="1"/>
  <c r="O10002" i="1"/>
  <c r="K10002" i="1"/>
  <c r="J10002" i="1"/>
  <c r="I10002" i="1"/>
  <c r="H10002" i="1"/>
  <c r="G10002" i="1"/>
  <c r="F10002" i="1"/>
  <c r="E10002" i="1"/>
  <c r="D10002" i="1"/>
  <c r="C10002" i="1"/>
  <c r="B10002" i="1"/>
  <c r="A10002" i="1"/>
  <c r="R10001" i="1"/>
  <c r="J10001" i="1"/>
  <c r="I10001" i="1"/>
  <c r="G10001" i="1"/>
  <c r="F10001" i="1"/>
  <c r="E10001" i="1"/>
  <c r="D10001" i="1"/>
  <c r="C10001" i="1"/>
  <c r="B10001" i="1"/>
  <c r="A10001" i="1"/>
  <c r="S10000" i="1"/>
  <c r="O10000" i="1"/>
  <c r="K10000" i="1"/>
  <c r="J10000" i="1"/>
  <c r="I10000" i="1"/>
  <c r="H10000" i="1"/>
  <c r="G10000" i="1"/>
  <c r="F10000" i="1"/>
  <c r="E10000" i="1"/>
  <c r="D10000" i="1"/>
  <c r="C10000" i="1"/>
  <c r="B10000" i="1"/>
  <c r="A10000" i="1"/>
  <c r="R9999" i="1"/>
  <c r="J9999" i="1"/>
  <c r="I9999" i="1"/>
  <c r="G9999" i="1"/>
  <c r="F9999" i="1"/>
  <c r="E9999" i="1"/>
  <c r="D9999" i="1"/>
  <c r="C9999" i="1"/>
  <c r="B9999" i="1"/>
  <c r="A9999" i="1"/>
  <c r="S9998" i="1"/>
  <c r="O9998" i="1"/>
  <c r="K9998" i="1"/>
  <c r="J9998" i="1"/>
  <c r="I9998" i="1"/>
  <c r="H9998" i="1"/>
  <c r="G9998" i="1"/>
  <c r="F9998" i="1"/>
  <c r="E9998" i="1"/>
  <c r="D9998" i="1"/>
  <c r="C9998" i="1"/>
  <c r="B9998" i="1"/>
  <c r="A9998" i="1"/>
  <c r="R9997" i="1"/>
  <c r="J9997" i="1"/>
  <c r="I9997" i="1"/>
  <c r="G9997" i="1"/>
  <c r="F9997" i="1"/>
  <c r="E9997" i="1"/>
  <c r="D9997" i="1"/>
  <c r="C9997" i="1"/>
  <c r="B9997" i="1"/>
  <c r="A9997" i="1"/>
  <c r="S9996" i="1"/>
  <c r="O9996" i="1"/>
  <c r="K9996" i="1"/>
  <c r="J9996" i="1"/>
  <c r="I9996" i="1"/>
  <c r="H9996" i="1"/>
  <c r="G9996" i="1"/>
  <c r="F9996" i="1"/>
  <c r="E9996" i="1"/>
  <c r="D9996" i="1"/>
  <c r="C9996" i="1"/>
  <c r="B9996" i="1"/>
  <c r="A9996" i="1"/>
  <c r="R9995" i="1"/>
  <c r="J9995" i="1"/>
  <c r="I9995" i="1"/>
  <c r="G9995" i="1"/>
  <c r="F9995" i="1"/>
  <c r="E9995" i="1"/>
  <c r="D9995" i="1"/>
  <c r="C9995" i="1"/>
  <c r="B9995" i="1"/>
  <c r="A9995" i="1"/>
  <c r="S9994" i="1"/>
  <c r="O9994" i="1"/>
  <c r="K9994" i="1"/>
  <c r="J9994" i="1"/>
  <c r="I9994" i="1"/>
  <c r="H9994" i="1"/>
  <c r="G9994" i="1"/>
  <c r="F9994" i="1"/>
  <c r="E9994" i="1"/>
  <c r="D9994" i="1"/>
  <c r="C9994" i="1"/>
  <c r="B9994" i="1"/>
  <c r="A9994" i="1"/>
  <c r="R9993" i="1"/>
  <c r="J9993" i="1"/>
  <c r="I9993" i="1"/>
  <c r="G9993" i="1"/>
  <c r="F9993" i="1"/>
  <c r="E9993" i="1"/>
  <c r="D9993" i="1"/>
  <c r="C9993" i="1"/>
  <c r="B9993" i="1"/>
  <c r="A9993" i="1"/>
  <c r="S9992" i="1"/>
  <c r="O9992" i="1"/>
  <c r="K9992" i="1"/>
  <c r="J9992" i="1"/>
  <c r="I9992" i="1"/>
  <c r="H9992" i="1"/>
  <c r="G9992" i="1"/>
  <c r="F9992" i="1"/>
  <c r="E9992" i="1"/>
  <c r="D9992" i="1"/>
  <c r="C9992" i="1"/>
  <c r="B9992" i="1"/>
  <c r="A9992" i="1"/>
  <c r="R9991" i="1"/>
  <c r="J9991" i="1"/>
  <c r="I9991" i="1"/>
  <c r="G9991" i="1"/>
  <c r="F9991" i="1"/>
  <c r="E9991" i="1"/>
  <c r="D9991" i="1"/>
  <c r="C9991" i="1"/>
  <c r="B9991" i="1"/>
  <c r="A9991" i="1"/>
  <c r="R9990" i="1"/>
  <c r="J9990" i="1"/>
  <c r="I9990" i="1"/>
  <c r="G9990" i="1"/>
  <c r="F9990" i="1"/>
  <c r="E9990" i="1"/>
  <c r="D9990" i="1"/>
  <c r="C9990" i="1"/>
  <c r="B9990" i="1"/>
  <c r="A9990" i="1"/>
  <c r="S9989" i="1"/>
  <c r="O9989" i="1"/>
  <c r="K9989" i="1"/>
  <c r="J9989" i="1"/>
  <c r="I9989" i="1"/>
  <c r="H9989" i="1"/>
  <c r="G9989" i="1"/>
  <c r="F9989" i="1"/>
  <c r="E9989" i="1"/>
  <c r="D9989" i="1"/>
  <c r="C9989" i="1"/>
  <c r="B9989" i="1"/>
  <c r="A9989" i="1"/>
  <c r="R9988" i="1"/>
  <c r="J9988" i="1"/>
  <c r="I9988" i="1"/>
  <c r="G9988" i="1"/>
  <c r="F9988" i="1"/>
  <c r="E9988" i="1"/>
  <c r="D9988" i="1"/>
  <c r="C9988" i="1"/>
  <c r="B9988" i="1"/>
  <c r="A9988" i="1"/>
  <c r="S9987" i="1"/>
  <c r="O9987" i="1"/>
  <c r="K9987" i="1"/>
  <c r="J9987" i="1"/>
  <c r="I9987" i="1"/>
  <c r="H9987" i="1"/>
  <c r="G9987" i="1"/>
  <c r="F9987" i="1"/>
  <c r="E9987" i="1"/>
  <c r="D9987" i="1"/>
  <c r="C9987" i="1"/>
  <c r="B9987" i="1"/>
  <c r="A9987" i="1"/>
  <c r="R9986" i="1"/>
  <c r="J9986" i="1"/>
  <c r="I9986" i="1"/>
  <c r="G9986" i="1"/>
  <c r="F9986" i="1"/>
  <c r="E9986" i="1"/>
  <c r="D9986" i="1"/>
  <c r="C9986" i="1"/>
  <c r="B9986" i="1"/>
  <c r="A9986" i="1"/>
  <c r="S9985" i="1"/>
  <c r="O9985" i="1"/>
  <c r="K9985" i="1"/>
  <c r="J9985" i="1"/>
  <c r="I9985" i="1"/>
  <c r="H9985" i="1"/>
  <c r="G9985" i="1"/>
  <c r="F9985" i="1"/>
  <c r="E9985" i="1"/>
  <c r="D9985" i="1"/>
  <c r="C9985" i="1"/>
  <c r="B9985" i="1"/>
  <c r="A9985" i="1"/>
  <c r="R9984" i="1"/>
  <c r="J9984" i="1"/>
  <c r="I9984" i="1"/>
  <c r="G9984" i="1"/>
  <c r="F9984" i="1"/>
  <c r="E9984" i="1"/>
  <c r="D9984" i="1"/>
  <c r="C9984" i="1"/>
  <c r="B9984" i="1"/>
  <c r="A9984" i="1"/>
  <c r="S9983" i="1"/>
  <c r="O9983" i="1"/>
  <c r="K9983" i="1"/>
  <c r="J9983" i="1"/>
  <c r="I9983" i="1"/>
  <c r="H9983" i="1"/>
  <c r="G9983" i="1"/>
  <c r="F9983" i="1"/>
  <c r="E9983" i="1"/>
  <c r="D9983" i="1"/>
  <c r="C9983" i="1"/>
  <c r="B9983" i="1"/>
  <c r="A9983" i="1"/>
  <c r="R9982" i="1"/>
  <c r="J9982" i="1"/>
  <c r="I9982" i="1"/>
  <c r="G9982" i="1"/>
  <c r="F9982" i="1"/>
  <c r="E9982" i="1"/>
  <c r="D9982" i="1"/>
  <c r="C9982" i="1"/>
  <c r="B9982" i="1"/>
  <c r="A9982" i="1"/>
  <c r="R9981" i="1"/>
  <c r="J9981" i="1"/>
  <c r="I9981" i="1"/>
  <c r="G9981" i="1"/>
  <c r="F9981" i="1"/>
  <c r="E9981" i="1"/>
  <c r="D9981" i="1"/>
  <c r="C9981" i="1"/>
  <c r="B9981" i="1"/>
  <c r="A9981" i="1"/>
  <c r="S9980" i="1"/>
  <c r="O9980" i="1"/>
  <c r="K9980" i="1"/>
  <c r="J9980" i="1"/>
  <c r="I9980" i="1"/>
  <c r="H9980" i="1"/>
  <c r="G9980" i="1"/>
  <c r="F9980" i="1"/>
  <c r="E9980" i="1"/>
  <c r="D9980" i="1"/>
  <c r="C9980" i="1"/>
  <c r="B9980" i="1"/>
  <c r="A9980" i="1"/>
  <c r="R9979" i="1"/>
  <c r="J9979" i="1"/>
  <c r="I9979" i="1"/>
  <c r="G9979" i="1"/>
  <c r="F9979" i="1"/>
  <c r="E9979" i="1"/>
  <c r="D9979" i="1"/>
  <c r="C9979" i="1"/>
  <c r="B9979" i="1"/>
  <c r="A9979" i="1"/>
  <c r="S9978" i="1"/>
  <c r="O9978" i="1"/>
  <c r="K9978" i="1"/>
  <c r="J9978" i="1"/>
  <c r="I9978" i="1"/>
  <c r="H9978" i="1"/>
  <c r="G9978" i="1"/>
  <c r="F9978" i="1"/>
  <c r="E9978" i="1"/>
  <c r="D9978" i="1"/>
  <c r="C9978" i="1"/>
  <c r="B9978" i="1"/>
  <c r="A9978" i="1"/>
  <c r="R9977" i="1"/>
  <c r="J9977" i="1"/>
  <c r="I9977" i="1"/>
  <c r="G9977" i="1"/>
  <c r="F9977" i="1"/>
  <c r="E9977" i="1"/>
  <c r="D9977" i="1"/>
  <c r="C9977" i="1"/>
  <c r="B9977" i="1"/>
  <c r="A9977" i="1"/>
  <c r="S9976" i="1"/>
  <c r="O9976" i="1"/>
  <c r="K9976" i="1"/>
  <c r="J9976" i="1"/>
  <c r="I9976" i="1"/>
  <c r="H9976" i="1"/>
  <c r="G9976" i="1"/>
  <c r="F9976" i="1"/>
  <c r="E9976" i="1"/>
  <c r="D9976" i="1"/>
  <c r="C9976" i="1"/>
  <c r="B9976" i="1"/>
  <c r="A9976" i="1"/>
  <c r="R9975" i="1"/>
  <c r="J9975" i="1"/>
  <c r="I9975" i="1"/>
  <c r="G9975" i="1"/>
  <c r="F9975" i="1"/>
  <c r="E9975" i="1"/>
  <c r="D9975" i="1"/>
  <c r="C9975" i="1"/>
  <c r="B9975" i="1"/>
  <c r="A9975" i="1"/>
  <c r="S9974" i="1"/>
  <c r="O9974" i="1"/>
  <c r="K9974" i="1"/>
  <c r="J9974" i="1"/>
  <c r="I9974" i="1"/>
  <c r="H9974" i="1"/>
  <c r="G9974" i="1"/>
  <c r="F9974" i="1"/>
  <c r="E9974" i="1"/>
  <c r="D9974" i="1"/>
  <c r="C9974" i="1"/>
  <c r="B9974" i="1"/>
  <c r="A9974" i="1"/>
  <c r="R9973" i="1"/>
  <c r="J9973" i="1"/>
  <c r="I9973" i="1"/>
  <c r="G9973" i="1"/>
  <c r="F9973" i="1"/>
  <c r="E9973" i="1"/>
  <c r="D9973" i="1"/>
  <c r="C9973" i="1"/>
  <c r="B9973" i="1"/>
  <c r="A9973" i="1"/>
  <c r="R9972" i="1"/>
  <c r="J9972" i="1"/>
  <c r="I9972" i="1"/>
  <c r="G9972" i="1"/>
  <c r="F9972" i="1"/>
  <c r="E9972" i="1"/>
  <c r="D9972" i="1"/>
  <c r="C9972" i="1"/>
  <c r="B9972" i="1"/>
  <c r="A9972" i="1"/>
  <c r="R9971" i="1"/>
  <c r="J9971" i="1"/>
  <c r="I9971" i="1"/>
  <c r="G9971" i="1"/>
  <c r="F9971" i="1"/>
  <c r="E9971" i="1"/>
  <c r="D9971" i="1"/>
  <c r="C9971" i="1"/>
  <c r="B9971" i="1"/>
  <c r="A9971" i="1"/>
  <c r="S9970" i="1"/>
  <c r="O9970" i="1"/>
  <c r="K9970" i="1"/>
  <c r="J9970" i="1"/>
  <c r="I9970" i="1"/>
  <c r="H9970" i="1"/>
  <c r="G9970" i="1"/>
  <c r="F9970" i="1"/>
  <c r="E9970" i="1"/>
  <c r="D9970" i="1"/>
  <c r="C9970" i="1"/>
  <c r="B9970" i="1"/>
  <c r="A9970" i="1"/>
  <c r="R9969" i="1"/>
  <c r="J9969" i="1"/>
  <c r="I9969" i="1"/>
  <c r="G9969" i="1"/>
  <c r="F9969" i="1"/>
  <c r="E9969" i="1"/>
  <c r="D9969" i="1"/>
  <c r="C9969" i="1"/>
  <c r="B9969" i="1"/>
  <c r="A9969" i="1"/>
  <c r="S9968" i="1"/>
  <c r="O9968" i="1"/>
  <c r="K9968" i="1"/>
  <c r="J9968" i="1"/>
  <c r="I9968" i="1"/>
  <c r="H9968" i="1"/>
  <c r="G9968" i="1"/>
  <c r="F9968" i="1"/>
  <c r="E9968" i="1"/>
  <c r="D9968" i="1"/>
  <c r="C9968" i="1"/>
  <c r="B9968" i="1"/>
  <c r="A9968" i="1"/>
  <c r="R9967" i="1"/>
  <c r="J9967" i="1"/>
  <c r="I9967" i="1"/>
  <c r="G9967" i="1"/>
  <c r="F9967" i="1"/>
  <c r="E9967" i="1"/>
  <c r="D9967" i="1"/>
  <c r="C9967" i="1"/>
  <c r="B9967" i="1"/>
  <c r="A9967" i="1"/>
  <c r="S9966" i="1"/>
  <c r="O9966" i="1"/>
  <c r="K9966" i="1"/>
  <c r="J9966" i="1"/>
  <c r="I9966" i="1"/>
  <c r="H9966" i="1"/>
  <c r="G9966" i="1"/>
  <c r="F9966" i="1"/>
  <c r="E9966" i="1"/>
  <c r="D9966" i="1"/>
  <c r="C9966" i="1"/>
  <c r="B9966" i="1"/>
  <c r="A9966" i="1"/>
  <c r="R9965" i="1"/>
  <c r="J9965" i="1"/>
  <c r="I9965" i="1"/>
  <c r="G9965" i="1"/>
  <c r="F9965" i="1"/>
  <c r="E9965" i="1"/>
  <c r="D9965" i="1"/>
  <c r="C9965" i="1"/>
  <c r="B9965" i="1"/>
  <c r="A9965" i="1"/>
  <c r="S9964" i="1"/>
  <c r="O9964" i="1"/>
  <c r="K9964" i="1"/>
  <c r="J9964" i="1"/>
  <c r="I9964" i="1"/>
  <c r="H9964" i="1"/>
  <c r="G9964" i="1"/>
  <c r="F9964" i="1"/>
  <c r="E9964" i="1"/>
  <c r="D9964" i="1"/>
  <c r="C9964" i="1"/>
  <c r="B9964" i="1"/>
  <c r="A9964" i="1"/>
  <c r="R9963" i="1"/>
  <c r="J9963" i="1"/>
  <c r="I9963" i="1"/>
  <c r="G9963" i="1"/>
  <c r="F9963" i="1"/>
  <c r="E9963" i="1"/>
  <c r="D9963" i="1"/>
  <c r="C9963" i="1"/>
  <c r="B9963" i="1"/>
  <c r="A9963" i="1"/>
  <c r="S9962" i="1"/>
  <c r="O9962" i="1"/>
  <c r="K9962" i="1"/>
  <c r="J9962" i="1"/>
  <c r="I9962" i="1"/>
  <c r="H9962" i="1"/>
  <c r="G9962" i="1"/>
  <c r="F9962" i="1"/>
  <c r="E9962" i="1"/>
  <c r="D9962" i="1"/>
  <c r="C9962" i="1"/>
  <c r="B9962" i="1"/>
  <c r="A9962" i="1"/>
  <c r="R9961" i="1"/>
  <c r="J9961" i="1"/>
  <c r="I9961" i="1"/>
  <c r="G9961" i="1"/>
  <c r="F9961" i="1"/>
  <c r="E9961" i="1"/>
  <c r="D9961" i="1"/>
  <c r="C9961" i="1"/>
  <c r="B9961" i="1"/>
  <c r="A9961" i="1"/>
  <c r="S9960" i="1"/>
  <c r="O9960" i="1"/>
  <c r="K9960" i="1"/>
  <c r="J9960" i="1"/>
  <c r="I9960" i="1"/>
  <c r="H9960" i="1"/>
  <c r="G9960" i="1"/>
  <c r="F9960" i="1"/>
  <c r="E9960" i="1"/>
  <c r="D9960" i="1"/>
  <c r="C9960" i="1"/>
  <c r="B9960" i="1"/>
  <c r="A9960" i="1"/>
  <c r="R9959" i="1"/>
  <c r="J9959" i="1"/>
  <c r="I9959" i="1"/>
  <c r="G9959" i="1"/>
  <c r="F9959" i="1"/>
  <c r="E9959" i="1"/>
  <c r="D9959" i="1"/>
  <c r="C9959" i="1"/>
  <c r="B9959" i="1"/>
  <c r="A9959" i="1"/>
  <c r="S9958" i="1"/>
  <c r="O9958" i="1"/>
  <c r="K9958" i="1"/>
  <c r="J9958" i="1"/>
  <c r="I9958" i="1"/>
  <c r="H9958" i="1"/>
  <c r="G9958" i="1"/>
  <c r="F9958" i="1"/>
  <c r="E9958" i="1"/>
  <c r="D9958" i="1"/>
  <c r="C9958" i="1"/>
  <c r="B9958" i="1"/>
  <c r="A9958" i="1"/>
  <c r="R9957" i="1"/>
  <c r="J9957" i="1"/>
  <c r="I9957" i="1"/>
  <c r="G9957" i="1"/>
  <c r="F9957" i="1"/>
  <c r="E9957" i="1"/>
  <c r="D9957" i="1"/>
  <c r="C9957" i="1"/>
  <c r="B9957" i="1"/>
  <c r="A9957" i="1"/>
  <c r="S9956" i="1"/>
  <c r="O9956" i="1"/>
  <c r="K9956" i="1"/>
  <c r="J9956" i="1"/>
  <c r="I9956" i="1"/>
  <c r="H9956" i="1"/>
  <c r="G9956" i="1"/>
  <c r="F9956" i="1"/>
  <c r="E9956" i="1"/>
  <c r="D9956" i="1"/>
  <c r="C9956" i="1"/>
  <c r="B9956" i="1"/>
  <c r="A9956" i="1"/>
  <c r="R9955" i="1"/>
  <c r="J9955" i="1"/>
  <c r="I9955" i="1"/>
  <c r="G9955" i="1"/>
  <c r="F9955" i="1"/>
  <c r="E9955" i="1"/>
  <c r="D9955" i="1"/>
  <c r="C9955" i="1"/>
  <c r="B9955" i="1"/>
  <c r="A9955" i="1"/>
  <c r="S9954" i="1"/>
  <c r="O9954" i="1"/>
  <c r="K9954" i="1"/>
  <c r="J9954" i="1"/>
  <c r="I9954" i="1"/>
  <c r="H9954" i="1"/>
  <c r="G9954" i="1"/>
  <c r="F9954" i="1"/>
  <c r="E9954" i="1"/>
  <c r="D9954" i="1"/>
  <c r="C9954" i="1"/>
  <c r="B9954" i="1"/>
  <c r="A9954" i="1"/>
  <c r="R9953" i="1"/>
  <c r="J9953" i="1"/>
  <c r="I9953" i="1"/>
  <c r="G9953" i="1"/>
  <c r="F9953" i="1"/>
  <c r="E9953" i="1"/>
  <c r="D9953" i="1"/>
  <c r="C9953" i="1"/>
  <c r="B9953" i="1"/>
  <c r="A9953" i="1"/>
  <c r="R9952" i="1"/>
  <c r="J9952" i="1"/>
  <c r="I9952" i="1"/>
  <c r="G9952" i="1"/>
  <c r="F9952" i="1"/>
  <c r="E9952" i="1"/>
  <c r="D9952" i="1"/>
  <c r="C9952" i="1"/>
  <c r="B9952" i="1"/>
  <c r="A9952" i="1"/>
  <c r="S9951" i="1"/>
  <c r="O9951" i="1"/>
  <c r="K9951" i="1"/>
  <c r="J9951" i="1"/>
  <c r="I9951" i="1"/>
  <c r="H9951" i="1"/>
  <c r="G9951" i="1"/>
  <c r="F9951" i="1"/>
  <c r="E9951" i="1"/>
  <c r="D9951" i="1"/>
  <c r="C9951" i="1"/>
  <c r="B9951" i="1"/>
  <c r="A9951" i="1"/>
  <c r="R9950" i="1"/>
  <c r="J9950" i="1"/>
  <c r="I9950" i="1"/>
  <c r="G9950" i="1"/>
  <c r="F9950" i="1"/>
  <c r="E9950" i="1"/>
  <c r="D9950" i="1"/>
  <c r="C9950" i="1"/>
  <c r="B9950" i="1"/>
  <c r="A9950" i="1"/>
  <c r="S9949" i="1"/>
  <c r="O9949" i="1"/>
  <c r="K9949" i="1"/>
  <c r="J9949" i="1"/>
  <c r="I9949" i="1"/>
  <c r="H9949" i="1"/>
  <c r="G9949" i="1"/>
  <c r="F9949" i="1"/>
  <c r="E9949" i="1"/>
  <c r="D9949" i="1"/>
  <c r="C9949" i="1"/>
  <c r="B9949" i="1"/>
  <c r="A9949" i="1"/>
  <c r="R9948" i="1"/>
  <c r="J9948" i="1"/>
  <c r="I9948" i="1"/>
  <c r="G9948" i="1"/>
  <c r="F9948" i="1"/>
  <c r="E9948" i="1"/>
  <c r="D9948" i="1"/>
  <c r="C9948" i="1"/>
  <c r="B9948" i="1"/>
  <c r="A9948" i="1"/>
  <c r="S9947" i="1"/>
  <c r="O9947" i="1"/>
  <c r="K9947" i="1"/>
  <c r="J9947" i="1"/>
  <c r="I9947" i="1"/>
  <c r="H9947" i="1"/>
  <c r="G9947" i="1"/>
  <c r="F9947" i="1"/>
  <c r="E9947" i="1"/>
  <c r="D9947" i="1"/>
  <c r="C9947" i="1"/>
  <c r="B9947" i="1"/>
  <c r="A9947" i="1"/>
  <c r="R9946" i="1"/>
  <c r="J9946" i="1"/>
  <c r="I9946" i="1"/>
  <c r="G9946" i="1"/>
  <c r="F9946" i="1"/>
  <c r="E9946" i="1"/>
  <c r="D9946" i="1"/>
  <c r="C9946" i="1"/>
  <c r="B9946" i="1"/>
  <c r="A9946" i="1"/>
  <c r="S9945" i="1"/>
  <c r="O9945" i="1"/>
  <c r="K9945" i="1"/>
  <c r="J9945" i="1"/>
  <c r="I9945" i="1"/>
  <c r="H9945" i="1"/>
  <c r="G9945" i="1"/>
  <c r="F9945" i="1"/>
  <c r="E9945" i="1"/>
  <c r="D9945" i="1"/>
  <c r="C9945" i="1"/>
  <c r="B9945" i="1"/>
  <c r="A9945" i="1"/>
  <c r="R9944" i="1"/>
  <c r="J9944" i="1"/>
  <c r="I9944" i="1"/>
  <c r="G9944" i="1"/>
  <c r="F9944" i="1"/>
  <c r="E9944" i="1"/>
  <c r="D9944" i="1"/>
  <c r="C9944" i="1"/>
  <c r="B9944" i="1"/>
  <c r="A9944" i="1"/>
  <c r="S9943" i="1"/>
  <c r="O9943" i="1"/>
  <c r="K9943" i="1"/>
  <c r="J9943" i="1"/>
  <c r="I9943" i="1"/>
  <c r="H9943" i="1"/>
  <c r="G9943" i="1"/>
  <c r="F9943" i="1"/>
  <c r="E9943" i="1"/>
  <c r="D9943" i="1"/>
  <c r="C9943" i="1"/>
  <c r="B9943" i="1"/>
  <c r="A9943" i="1"/>
  <c r="R9942" i="1"/>
  <c r="J9942" i="1"/>
  <c r="I9942" i="1"/>
  <c r="G9942" i="1"/>
  <c r="F9942" i="1"/>
  <c r="E9942" i="1"/>
  <c r="D9942" i="1"/>
  <c r="C9942" i="1"/>
  <c r="B9942" i="1"/>
  <c r="A9942" i="1"/>
  <c r="S9941" i="1"/>
  <c r="O9941" i="1"/>
  <c r="K9941" i="1"/>
  <c r="J9941" i="1"/>
  <c r="I9941" i="1"/>
  <c r="H9941" i="1"/>
  <c r="G9941" i="1"/>
  <c r="F9941" i="1"/>
  <c r="E9941" i="1"/>
  <c r="D9941" i="1"/>
  <c r="C9941" i="1"/>
  <c r="B9941" i="1"/>
  <c r="A9941" i="1"/>
  <c r="R9940" i="1"/>
  <c r="J9940" i="1"/>
  <c r="I9940" i="1"/>
  <c r="G9940" i="1"/>
  <c r="F9940" i="1"/>
  <c r="E9940" i="1"/>
  <c r="D9940" i="1"/>
  <c r="C9940" i="1"/>
  <c r="B9940" i="1"/>
  <c r="A9940" i="1"/>
  <c r="S9939" i="1"/>
  <c r="O9939" i="1"/>
  <c r="K9939" i="1"/>
  <c r="J9939" i="1"/>
  <c r="I9939" i="1"/>
  <c r="H9939" i="1"/>
  <c r="G9939" i="1"/>
  <c r="F9939" i="1"/>
  <c r="E9939" i="1"/>
  <c r="D9939" i="1"/>
  <c r="C9939" i="1"/>
  <c r="B9939" i="1"/>
  <c r="A9939" i="1"/>
  <c r="R9938" i="1"/>
  <c r="J9938" i="1"/>
  <c r="I9938" i="1"/>
  <c r="G9938" i="1"/>
  <c r="F9938" i="1"/>
  <c r="E9938" i="1"/>
  <c r="D9938" i="1"/>
  <c r="C9938" i="1"/>
  <c r="B9938" i="1"/>
  <c r="A9938" i="1"/>
  <c r="S9937" i="1"/>
  <c r="O9937" i="1"/>
  <c r="K9937" i="1"/>
  <c r="J9937" i="1"/>
  <c r="I9937" i="1"/>
  <c r="H9937" i="1"/>
  <c r="G9937" i="1"/>
  <c r="F9937" i="1"/>
  <c r="E9937" i="1"/>
  <c r="D9937" i="1"/>
  <c r="C9937" i="1"/>
  <c r="B9937" i="1"/>
  <c r="A9937" i="1"/>
  <c r="R9936" i="1"/>
  <c r="J9936" i="1"/>
  <c r="I9936" i="1"/>
  <c r="G9936" i="1"/>
  <c r="F9936" i="1"/>
  <c r="E9936" i="1"/>
  <c r="D9936" i="1"/>
  <c r="C9936" i="1"/>
  <c r="B9936" i="1"/>
  <c r="A9936" i="1"/>
  <c r="S9935" i="1"/>
  <c r="O9935" i="1"/>
  <c r="K9935" i="1"/>
  <c r="J9935" i="1"/>
  <c r="I9935" i="1"/>
  <c r="H9935" i="1"/>
  <c r="G9935" i="1"/>
  <c r="F9935" i="1"/>
  <c r="E9935" i="1"/>
  <c r="D9935" i="1"/>
  <c r="C9935" i="1"/>
  <c r="B9935" i="1"/>
  <c r="A9935" i="1"/>
  <c r="R9934" i="1"/>
  <c r="J9934" i="1"/>
  <c r="I9934" i="1"/>
  <c r="G9934" i="1"/>
  <c r="F9934" i="1"/>
  <c r="E9934" i="1"/>
  <c r="D9934" i="1"/>
  <c r="C9934" i="1"/>
  <c r="B9934" i="1"/>
  <c r="A9934" i="1"/>
  <c r="S9933" i="1"/>
  <c r="O9933" i="1"/>
  <c r="K9933" i="1"/>
  <c r="J9933" i="1"/>
  <c r="I9933" i="1"/>
  <c r="H9933" i="1"/>
  <c r="G9933" i="1"/>
  <c r="F9933" i="1"/>
  <c r="E9933" i="1"/>
  <c r="D9933" i="1"/>
  <c r="C9933" i="1"/>
  <c r="B9933" i="1"/>
  <c r="A9933" i="1"/>
  <c r="R9932" i="1"/>
  <c r="J9932" i="1"/>
  <c r="I9932" i="1"/>
  <c r="G9932" i="1"/>
  <c r="F9932" i="1"/>
  <c r="E9932" i="1"/>
  <c r="D9932" i="1"/>
  <c r="C9932" i="1"/>
  <c r="B9932" i="1"/>
  <c r="A9932" i="1"/>
  <c r="S9931" i="1"/>
  <c r="O9931" i="1"/>
  <c r="K9931" i="1"/>
  <c r="J9931" i="1"/>
  <c r="I9931" i="1"/>
  <c r="H9931" i="1"/>
  <c r="G9931" i="1"/>
  <c r="F9931" i="1"/>
  <c r="E9931" i="1"/>
  <c r="D9931" i="1"/>
  <c r="C9931" i="1"/>
  <c r="B9931" i="1"/>
  <c r="A9931" i="1"/>
  <c r="R9930" i="1"/>
  <c r="J9930" i="1"/>
  <c r="I9930" i="1"/>
  <c r="G9930" i="1"/>
  <c r="F9930" i="1"/>
  <c r="E9930" i="1"/>
  <c r="D9930" i="1"/>
  <c r="C9930" i="1"/>
  <c r="B9930" i="1"/>
  <c r="A9930" i="1"/>
  <c r="R9929" i="1"/>
  <c r="J9929" i="1"/>
  <c r="I9929" i="1"/>
  <c r="G9929" i="1"/>
  <c r="F9929" i="1"/>
  <c r="E9929" i="1"/>
  <c r="D9929" i="1"/>
  <c r="C9929" i="1"/>
  <c r="B9929" i="1"/>
  <c r="A9929" i="1"/>
  <c r="R9928" i="1"/>
  <c r="J9928" i="1"/>
  <c r="I9928" i="1"/>
  <c r="G9928" i="1"/>
  <c r="F9928" i="1"/>
  <c r="E9928" i="1"/>
  <c r="D9928" i="1"/>
  <c r="C9928" i="1"/>
  <c r="B9928" i="1"/>
  <c r="A9928" i="1"/>
  <c r="R9927" i="1"/>
  <c r="J9927" i="1"/>
  <c r="I9927" i="1"/>
  <c r="G9927" i="1"/>
  <c r="F9927" i="1"/>
  <c r="E9927" i="1"/>
  <c r="D9927" i="1"/>
  <c r="C9927" i="1"/>
  <c r="B9927" i="1"/>
  <c r="A9927" i="1"/>
  <c r="R9926" i="1"/>
  <c r="J9926" i="1"/>
  <c r="I9926" i="1"/>
  <c r="G9926" i="1"/>
  <c r="F9926" i="1"/>
  <c r="E9926" i="1"/>
  <c r="D9926" i="1"/>
  <c r="C9926" i="1"/>
  <c r="B9926" i="1"/>
  <c r="A9926" i="1"/>
  <c r="R9925" i="1"/>
  <c r="J9925" i="1"/>
  <c r="I9925" i="1"/>
  <c r="G9925" i="1"/>
  <c r="F9925" i="1"/>
  <c r="E9925" i="1"/>
  <c r="D9925" i="1"/>
  <c r="C9925" i="1"/>
  <c r="B9925" i="1"/>
  <c r="A9925" i="1"/>
  <c r="R9924" i="1"/>
  <c r="J9924" i="1"/>
  <c r="I9924" i="1"/>
  <c r="G9924" i="1"/>
  <c r="F9924" i="1"/>
  <c r="E9924" i="1"/>
  <c r="D9924" i="1"/>
  <c r="C9924" i="1"/>
  <c r="B9924" i="1"/>
  <c r="A9924" i="1"/>
  <c r="R9923" i="1"/>
  <c r="J9923" i="1"/>
  <c r="I9923" i="1"/>
  <c r="G9923" i="1"/>
  <c r="F9923" i="1"/>
  <c r="E9923" i="1"/>
  <c r="D9923" i="1"/>
  <c r="C9923" i="1"/>
  <c r="B9923" i="1"/>
  <c r="A9923" i="1"/>
  <c r="R9922" i="1"/>
  <c r="J9922" i="1"/>
  <c r="I9922" i="1"/>
  <c r="G9922" i="1"/>
  <c r="F9922" i="1"/>
  <c r="E9922" i="1"/>
  <c r="D9922" i="1"/>
  <c r="C9922" i="1"/>
  <c r="B9922" i="1"/>
  <c r="A9922" i="1"/>
  <c r="R9921" i="1"/>
  <c r="J9921" i="1"/>
  <c r="I9921" i="1"/>
  <c r="G9921" i="1"/>
  <c r="F9921" i="1"/>
  <c r="E9921" i="1"/>
  <c r="D9921" i="1"/>
  <c r="C9921" i="1"/>
  <c r="B9921" i="1"/>
  <c r="A9921" i="1"/>
  <c r="S9920" i="1"/>
  <c r="O9920" i="1"/>
  <c r="K9920" i="1"/>
  <c r="J9920" i="1"/>
  <c r="I9920" i="1"/>
  <c r="H9920" i="1"/>
  <c r="G9920" i="1"/>
  <c r="F9920" i="1"/>
  <c r="E9920" i="1"/>
  <c r="D9920" i="1"/>
  <c r="C9920" i="1"/>
  <c r="B9920" i="1"/>
  <c r="A9920" i="1"/>
  <c r="R9919" i="1"/>
  <c r="J9919" i="1"/>
  <c r="I9919" i="1"/>
  <c r="G9919" i="1"/>
  <c r="F9919" i="1"/>
  <c r="E9919" i="1"/>
  <c r="D9919" i="1"/>
  <c r="C9919" i="1"/>
  <c r="B9919" i="1"/>
  <c r="A9919" i="1"/>
  <c r="R9918" i="1"/>
  <c r="J9918" i="1"/>
  <c r="I9918" i="1"/>
  <c r="G9918" i="1"/>
  <c r="F9918" i="1"/>
  <c r="E9918" i="1"/>
  <c r="D9918" i="1"/>
  <c r="C9918" i="1"/>
  <c r="B9918" i="1"/>
  <c r="A9918" i="1"/>
  <c r="R9917" i="1"/>
  <c r="J9917" i="1"/>
  <c r="I9917" i="1"/>
  <c r="G9917" i="1"/>
  <c r="F9917" i="1"/>
  <c r="E9917" i="1"/>
  <c r="D9917" i="1"/>
  <c r="C9917" i="1"/>
  <c r="B9917" i="1"/>
  <c r="A9917" i="1"/>
  <c r="R9916" i="1"/>
  <c r="J9916" i="1"/>
  <c r="I9916" i="1"/>
  <c r="G9916" i="1"/>
  <c r="F9916" i="1"/>
  <c r="E9916" i="1"/>
  <c r="D9916" i="1"/>
  <c r="C9916" i="1"/>
  <c r="B9916" i="1"/>
  <c r="A9916" i="1"/>
  <c r="R9915" i="1"/>
  <c r="J9915" i="1"/>
  <c r="I9915" i="1"/>
  <c r="G9915" i="1"/>
  <c r="F9915" i="1"/>
  <c r="E9915" i="1"/>
  <c r="D9915" i="1"/>
  <c r="C9915" i="1"/>
  <c r="B9915" i="1"/>
  <c r="A9915" i="1"/>
  <c r="R9914" i="1"/>
  <c r="J9914" i="1"/>
  <c r="I9914" i="1"/>
  <c r="G9914" i="1"/>
  <c r="F9914" i="1"/>
  <c r="E9914" i="1"/>
  <c r="D9914" i="1"/>
  <c r="C9914" i="1"/>
  <c r="B9914" i="1"/>
  <c r="A9914" i="1"/>
  <c r="R9913" i="1"/>
  <c r="J9913" i="1"/>
  <c r="I9913" i="1"/>
  <c r="G9913" i="1"/>
  <c r="F9913" i="1"/>
  <c r="E9913" i="1"/>
  <c r="D9913" i="1"/>
  <c r="C9913" i="1"/>
  <c r="B9913" i="1"/>
  <c r="A9913" i="1"/>
  <c r="R9912" i="1"/>
  <c r="J9912" i="1"/>
  <c r="I9912" i="1"/>
  <c r="G9912" i="1"/>
  <c r="F9912" i="1"/>
  <c r="E9912" i="1"/>
  <c r="D9912" i="1"/>
  <c r="C9912" i="1"/>
  <c r="B9912" i="1"/>
  <c r="A9912" i="1"/>
  <c r="R9911" i="1"/>
  <c r="J9911" i="1"/>
  <c r="I9911" i="1"/>
  <c r="G9911" i="1"/>
  <c r="F9911" i="1"/>
  <c r="E9911" i="1"/>
  <c r="D9911" i="1"/>
  <c r="C9911" i="1"/>
  <c r="B9911" i="1"/>
  <c r="A9911" i="1"/>
  <c r="R9910" i="1"/>
  <c r="J9910" i="1"/>
  <c r="I9910" i="1"/>
  <c r="G9910" i="1"/>
  <c r="F9910" i="1"/>
  <c r="E9910" i="1"/>
  <c r="D9910" i="1"/>
  <c r="C9910" i="1"/>
  <c r="B9910" i="1"/>
  <c r="A9910" i="1"/>
  <c r="R9909" i="1"/>
  <c r="J9909" i="1"/>
  <c r="I9909" i="1"/>
  <c r="G9909" i="1"/>
  <c r="F9909" i="1"/>
  <c r="E9909" i="1"/>
  <c r="D9909" i="1"/>
  <c r="C9909" i="1"/>
  <c r="B9909" i="1"/>
  <c r="A9909" i="1"/>
  <c r="R9908" i="1"/>
  <c r="J9908" i="1"/>
  <c r="I9908" i="1"/>
  <c r="G9908" i="1"/>
  <c r="F9908" i="1"/>
  <c r="E9908" i="1"/>
  <c r="D9908" i="1"/>
  <c r="C9908" i="1"/>
  <c r="B9908" i="1"/>
  <c r="A9908" i="1"/>
  <c r="S9907" i="1"/>
  <c r="O9907" i="1"/>
  <c r="K9907" i="1"/>
  <c r="J9907" i="1"/>
  <c r="I9907" i="1"/>
  <c r="H9907" i="1"/>
  <c r="G9907" i="1"/>
  <c r="F9907" i="1"/>
  <c r="E9907" i="1"/>
  <c r="D9907" i="1"/>
  <c r="C9907" i="1"/>
  <c r="B9907" i="1"/>
  <c r="A9907" i="1"/>
  <c r="R9906" i="1"/>
  <c r="J9906" i="1"/>
  <c r="I9906" i="1"/>
  <c r="G9906" i="1"/>
  <c r="F9906" i="1"/>
  <c r="E9906" i="1"/>
  <c r="D9906" i="1"/>
  <c r="C9906" i="1"/>
  <c r="B9906" i="1"/>
  <c r="A9906" i="1"/>
  <c r="R9905" i="1"/>
  <c r="J9905" i="1"/>
  <c r="I9905" i="1"/>
  <c r="G9905" i="1"/>
  <c r="F9905" i="1"/>
  <c r="E9905" i="1"/>
  <c r="D9905" i="1"/>
  <c r="C9905" i="1"/>
  <c r="B9905" i="1"/>
  <c r="A9905" i="1"/>
  <c r="R9904" i="1"/>
  <c r="J9904" i="1"/>
  <c r="I9904" i="1"/>
  <c r="G9904" i="1"/>
  <c r="F9904" i="1"/>
  <c r="E9904" i="1"/>
  <c r="D9904" i="1"/>
  <c r="C9904" i="1"/>
  <c r="B9904" i="1"/>
  <c r="A9904" i="1"/>
  <c r="R9903" i="1"/>
  <c r="J9903" i="1"/>
  <c r="I9903" i="1"/>
  <c r="G9903" i="1"/>
  <c r="F9903" i="1"/>
  <c r="E9903" i="1"/>
  <c r="D9903" i="1"/>
  <c r="C9903" i="1"/>
  <c r="B9903" i="1"/>
  <c r="A9903" i="1"/>
  <c r="R9902" i="1"/>
  <c r="J9902" i="1"/>
  <c r="I9902" i="1"/>
  <c r="G9902" i="1"/>
  <c r="F9902" i="1"/>
  <c r="E9902" i="1"/>
  <c r="D9902" i="1"/>
  <c r="C9902" i="1"/>
  <c r="B9902" i="1"/>
  <c r="A9902" i="1"/>
  <c r="R9901" i="1"/>
  <c r="J9901" i="1"/>
  <c r="I9901" i="1"/>
  <c r="G9901" i="1"/>
  <c r="F9901" i="1"/>
  <c r="E9901" i="1"/>
  <c r="D9901" i="1"/>
  <c r="C9901" i="1"/>
  <c r="B9901" i="1"/>
  <c r="A9901" i="1"/>
  <c r="R9900" i="1"/>
  <c r="J9900" i="1"/>
  <c r="I9900" i="1"/>
  <c r="G9900" i="1"/>
  <c r="F9900" i="1"/>
  <c r="E9900" i="1"/>
  <c r="D9900" i="1"/>
  <c r="C9900" i="1"/>
  <c r="B9900" i="1"/>
  <c r="A9900" i="1"/>
  <c r="R9899" i="1"/>
  <c r="J9899" i="1"/>
  <c r="I9899" i="1"/>
  <c r="G9899" i="1"/>
  <c r="F9899" i="1"/>
  <c r="E9899" i="1"/>
  <c r="D9899" i="1"/>
  <c r="C9899" i="1"/>
  <c r="B9899" i="1"/>
  <c r="A9899" i="1"/>
  <c r="R9898" i="1"/>
  <c r="J9898" i="1"/>
  <c r="I9898" i="1"/>
  <c r="G9898" i="1"/>
  <c r="F9898" i="1"/>
  <c r="E9898" i="1"/>
  <c r="D9898" i="1"/>
  <c r="C9898" i="1"/>
  <c r="B9898" i="1"/>
  <c r="A9898" i="1"/>
  <c r="R9897" i="1"/>
  <c r="J9897" i="1"/>
  <c r="I9897" i="1"/>
  <c r="G9897" i="1"/>
  <c r="F9897" i="1"/>
  <c r="E9897" i="1"/>
  <c r="D9897" i="1"/>
  <c r="C9897" i="1"/>
  <c r="B9897" i="1"/>
  <c r="A9897" i="1"/>
  <c r="R9896" i="1"/>
  <c r="J9896" i="1"/>
  <c r="I9896" i="1"/>
  <c r="G9896" i="1"/>
  <c r="F9896" i="1"/>
  <c r="E9896" i="1"/>
  <c r="D9896" i="1"/>
  <c r="C9896" i="1"/>
  <c r="B9896" i="1"/>
  <c r="A9896" i="1"/>
  <c r="R9895" i="1"/>
  <c r="J9895" i="1"/>
  <c r="I9895" i="1"/>
  <c r="G9895" i="1"/>
  <c r="F9895" i="1"/>
  <c r="E9895" i="1"/>
  <c r="D9895" i="1"/>
  <c r="C9895" i="1"/>
  <c r="B9895" i="1"/>
  <c r="A9895" i="1"/>
  <c r="R9894" i="1"/>
  <c r="J9894" i="1"/>
  <c r="I9894" i="1"/>
  <c r="G9894" i="1"/>
  <c r="F9894" i="1"/>
  <c r="E9894" i="1"/>
  <c r="D9894" i="1"/>
  <c r="C9894" i="1"/>
  <c r="B9894" i="1"/>
  <c r="A9894" i="1"/>
  <c r="R9893" i="1"/>
  <c r="J9893" i="1"/>
  <c r="I9893" i="1"/>
  <c r="G9893" i="1"/>
  <c r="F9893" i="1"/>
  <c r="E9893" i="1"/>
  <c r="D9893" i="1"/>
  <c r="C9893" i="1"/>
  <c r="B9893" i="1"/>
  <c r="A9893" i="1"/>
  <c r="R9892" i="1"/>
  <c r="J9892" i="1"/>
  <c r="I9892" i="1"/>
  <c r="G9892" i="1"/>
  <c r="F9892" i="1"/>
  <c r="E9892" i="1"/>
  <c r="D9892" i="1"/>
  <c r="C9892" i="1"/>
  <c r="B9892" i="1"/>
  <c r="A9892" i="1"/>
  <c r="R9891" i="1"/>
  <c r="J9891" i="1"/>
  <c r="I9891" i="1"/>
  <c r="G9891" i="1"/>
  <c r="F9891" i="1"/>
  <c r="E9891" i="1"/>
  <c r="D9891" i="1"/>
  <c r="C9891" i="1"/>
  <c r="B9891" i="1"/>
  <c r="A9891" i="1"/>
  <c r="R9890" i="1"/>
  <c r="J9890" i="1"/>
  <c r="I9890" i="1"/>
  <c r="G9890" i="1"/>
  <c r="F9890" i="1"/>
  <c r="E9890" i="1"/>
  <c r="D9890" i="1"/>
  <c r="C9890" i="1"/>
  <c r="B9890" i="1"/>
  <c r="A9890" i="1"/>
  <c r="R9889" i="1"/>
  <c r="J9889" i="1"/>
  <c r="I9889" i="1"/>
  <c r="G9889" i="1"/>
  <c r="F9889" i="1"/>
  <c r="E9889" i="1"/>
  <c r="D9889" i="1"/>
  <c r="C9889" i="1"/>
  <c r="B9889" i="1"/>
  <c r="A9889" i="1"/>
  <c r="R9888" i="1"/>
  <c r="J9888" i="1"/>
  <c r="I9888" i="1"/>
  <c r="G9888" i="1"/>
  <c r="F9888" i="1"/>
  <c r="E9888" i="1"/>
  <c r="D9888" i="1"/>
  <c r="C9888" i="1"/>
  <c r="B9888" i="1"/>
  <c r="A9888" i="1"/>
  <c r="R9887" i="1"/>
  <c r="J9887" i="1"/>
  <c r="I9887" i="1"/>
  <c r="G9887" i="1"/>
  <c r="F9887" i="1"/>
  <c r="E9887" i="1"/>
  <c r="D9887" i="1"/>
  <c r="C9887" i="1"/>
  <c r="B9887" i="1"/>
  <c r="A9887" i="1"/>
  <c r="R9886" i="1"/>
  <c r="J9886" i="1"/>
  <c r="I9886" i="1"/>
  <c r="G9886" i="1"/>
  <c r="F9886" i="1"/>
  <c r="E9886" i="1"/>
  <c r="D9886" i="1"/>
  <c r="C9886" i="1"/>
  <c r="B9886" i="1"/>
  <c r="A9886" i="1"/>
  <c r="R9885" i="1"/>
  <c r="J9885" i="1"/>
  <c r="I9885" i="1"/>
  <c r="G9885" i="1"/>
  <c r="F9885" i="1"/>
  <c r="E9885" i="1"/>
  <c r="D9885" i="1"/>
  <c r="C9885" i="1"/>
  <c r="B9885" i="1"/>
  <c r="A9885" i="1"/>
  <c r="R9884" i="1"/>
  <c r="J9884" i="1"/>
  <c r="I9884" i="1"/>
  <c r="G9884" i="1"/>
  <c r="F9884" i="1"/>
  <c r="E9884" i="1"/>
  <c r="D9884" i="1"/>
  <c r="C9884" i="1"/>
  <c r="B9884" i="1"/>
  <c r="A9884" i="1"/>
  <c r="R9883" i="1"/>
  <c r="J9883" i="1"/>
  <c r="I9883" i="1"/>
  <c r="G9883" i="1"/>
  <c r="F9883" i="1"/>
  <c r="E9883" i="1"/>
  <c r="D9883" i="1"/>
  <c r="C9883" i="1"/>
  <c r="B9883" i="1"/>
  <c r="A9883" i="1"/>
  <c r="R9882" i="1"/>
  <c r="J9882" i="1"/>
  <c r="I9882" i="1"/>
  <c r="G9882" i="1"/>
  <c r="F9882" i="1"/>
  <c r="E9882" i="1"/>
  <c r="D9882" i="1"/>
  <c r="C9882" i="1"/>
  <c r="B9882" i="1"/>
  <c r="A9882" i="1"/>
  <c r="R9881" i="1"/>
  <c r="J9881" i="1"/>
  <c r="I9881" i="1"/>
  <c r="G9881" i="1"/>
  <c r="F9881" i="1"/>
  <c r="E9881" i="1"/>
  <c r="D9881" i="1"/>
  <c r="C9881" i="1"/>
  <c r="B9881" i="1"/>
  <c r="A9881" i="1"/>
  <c r="R9880" i="1"/>
  <c r="J9880" i="1"/>
  <c r="I9880" i="1"/>
  <c r="G9880" i="1"/>
  <c r="F9880" i="1"/>
  <c r="E9880" i="1"/>
  <c r="D9880" i="1"/>
  <c r="C9880" i="1"/>
  <c r="B9880" i="1"/>
  <c r="A9880" i="1"/>
  <c r="R9879" i="1"/>
  <c r="J9879" i="1"/>
  <c r="I9879" i="1"/>
  <c r="G9879" i="1"/>
  <c r="F9879" i="1"/>
  <c r="E9879" i="1"/>
  <c r="D9879" i="1"/>
  <c r="C9879" i="1"/>
  <c r="B9879" i="1"/>
  <c r="A9879" i="1"/>
  <c r="R9878" i="1"/>
  <c r="J9878" i="1"/>
  <c r="I9878" i="1"/>
  <c r="G9878" i="1"/>
  <c r="F9878" i="1"/>
  <c r="E9878" i="1"/>
  <c r="D9878" i="1"/>
  <c r="C9878" i="1"/>
  <c r="B9878" i="1"/>
  <c r="A9878" i="1"/>
  <c r="R9877" i="1"/>
  <c r="J9877" i="1"/>
  <c r="I9877" i="1"/>
  <c r="G9877" i="1"/>
  <c r="F9877" i="1"/>
  <c r="E9877" i="1"/>
  <c r="D9877" i="1"/>
  <c r="C9877" i="1"/>
  <c r="B9877" i="1"/>
  <c r="A9877" i="1"/>
  <c r="R9876" i="1"/>
  <c r="J9876" i="1"/>
  <c r="I9876" i="1"/>
  <c r="G9876" i="1"/>
  <c r="F9876" i="1"/>
  <c r="E9876" i="1"/>
  <c r="D9876" i="1"/>
  <c r="C9876" i="1"/>
  <c r="B9876" i="1"/>
  <c r="A9876" i="1"/>
  <c r="R9875" i="1"/>
  <c r="J9875" i="1"/>
  <c r="I9875" i="1"/>
  <c r="G9875" i="1"/>
  <c r="F9875" i="1"/>
  <c r="E9875" i="1"/>
  <c r="D9875" i="1"/>
  <c r="C9875" i="1"/>
  <c r="B9875" i="1"/>
  <c r="A9875" i="1"/>
  <c r="R9874" i="1"/>
  <c r="J9874" i="1"/>
  <c r="I9874" i="1"/>
  <c r="G9874" i="1"/>
  <c r="F9874" i="1"/>
  <c r="E9874" i="1"/>
  <c r="D9874" i="1"/>
  <c r="C9874" i="1"/>
  <c r="B9874" i="1"/>
  <c r="A9874" i="1"/>
  <c r="R9873" i="1"/>
  <c r="J9873" i="1"/>
  <c r="I9873" i="1"/>
  <c r="G9873" i="1"/>
  <c r="F9873" i="1"/>
  <c r="E9873" i="1"/>
  <c r="D9873" i="1"/>
  <c r="C9873" i="1"/>
  <c r="B9873" i="1"/>
  <c r="A9873" i="1"/>
  <c r="R9872" i="1"/>
  <c r="J9872" i="1"/>
  <c r="I9872" i="1"/>
  <c r="G9872" i="1"/>
  <c r="F9872" i="1"/>
  <c r="E9872" i="1"/>
  <c r="D9872" i="1"/>
  <c r="C9872" i="1"/>
  <c r="B9872" i="1"/>
  <c r="A9872" i="1"/>
  <c r="R9871" i="1"/>
  <c r="J9871" i="1"/>
  <c r="I9871" i="1"/>
  <c r="G9871" i="1"/>
  <c r="F9871" i="1"/>
  <c r="E9871" i="1"/>
  <c r="D9871" i="1"/>
  <c r="C9871" i="1"/>
  <c r="B9871" i="1"/>
  <c r="A9871" i="1"/>
  <c r="R9870" i="1"/>
  <c r="J9870" i="1"/>
  <c r="I9870" i="1"/>
  <c r="G9870" i="1"/>
  <c r="F9870" i="1"/>
  <c r="E9870" i="1"/>
  <c r="D9870" i="1"/>
  <c r="C9870" i="1"/>
  <c r="B9870" i="1"/>
  <c r="A9870" i="1"/>
  <c r="R9869" i="1"/>
  <c r="J9869" i="1"/>
  <c r="I9869" i="1"/>
  <c r="G9869" i="1"/>
  <c r="F9869" i="1"/>
  <c r="E9869" i="1"/>
  <c r="D9869" i="1"/>
  <c r="C9869" i="1"/>
  <c r="B9869" i="1"/>
  <c r="A9869" i="1"/>
  <c r="R9868" i="1"/>
  <c r="J9868" i="1"/>
  <c r="I9868" i="1"/>
  <c r="G9868" i="1"/>
  <c r="F9868" i="1"/>
  <c r="E9868" i="1"/>
  <c r="D9868" i="1"/>
  <c r="C9868" i="1"/>
  <c r="B9868" i="1"/>
  <c r="A9868" i="1"/>
  <c r="R9867" i="1"/>
  <c r="J9867" i="1"/>
  <c r="I9867" i="1"/>
  <c r="G9867" i="1"/>
  <c r="F9867" i="1"/>
  <c r="E9867" i="1"/>
  <c r="D9867" i="1"/>
  <c r="C9867" i="1"/>
  <c r="B9867" i="1"/>
  <c r="A9867" i="1"/>
  <c r="R9866" i="1"/>
  <c r="J9866" i="1"/>
  <c r="I9866" i="1"/>
  <c r="G9866" i="1"/>
  <c r="F9866" i="1"/>
  <c r="E9866" i="1"/>
  <c r="D9866" i="1"/>
  <c r="C9866" i="1"/>
  <c r="B9866" i="1"/>
  <c r="A9866" i="1"/>
  <c r="R9865" i="1"/>
  <c r="J9865" i="1"/>
  <c r="I9865" i="1"/>
  <c r="G9865" i="1"/>
  <c r="F9865" i="1"/>
  <c r="E9865" i="1"/>
  <c r="D9865" i="1"/>
  <c r="C9865" i="1"/>
  <c r="B9865" i="1"/>
  <c r="A9865" i="1"/>
  <c r="R9864" i="1"/>
  <c r="J9864" i="1"/>
  <c r="I9864" i="1"/>
  <c r="G9864" i="1"/>
  <c r="F9864" i="1"/>
  <c r="E9864" i="1"/>
  <c r="D9864" i="1"/>
  <c r="C9864" i="1"/>
  <c r="B9864" i="1"/>
  <c r="A9864" i="1"/>
  <c r="R9863" i="1"/>
  <c r="J9863" i="1"/>
  <c r="I9863" i="1"/>
  <c r="G9863" i="1"/>
  <c r="F9863" i="1"/>
  <c r="E9863" i="1"/>
  <c r="D9863" i="1"/>
  <c r="C9863" i="1"/>
  <c r="B9863" i="1"/>
  <c r="A9863" i="1"/>
  <c r="R9862" i="1"/>
  <c r="J9862" i="1"/>
  <c r="I9862" i="1"/>
  <c r="G9862" i="1"/>
  <c r="F9862" i="1"/>
  <c r="E9862" i="1"/>
  <c r="D9862" i="1"/>
  <c r="C9862" i="1"/>
  <c r="B9862" i="1"/>
  <c r="A9862" i="1"/>
  <c r="R9861" i="1"/>
  <c r="J9861" i="1"/>
  <c r="I9861" i="1"/>
  <c r="G9861" i="1"/>
  <c r="F9861" i="1"/>
  <c r="E9861" i="1"/>
  <c r="D9861" i="1"/>
  <c r="C9861" i="1"/>
  <c r="B9861" i="1"/>
  <c r="A9861" i="1"/>
  <c r="R9860" i="1"/>
  <c r="J9860" i="1"/>
  <c r="I9860" i="1"/>
  <c r="G9860" i="1"/>
  <c r="F9860" i="1"/>
  <c r="E9860" i="1"/>
  <c r="D9860" i="1"/>
  <c r="C9860" i="1"/>
  <c r="B9860" i="1"/>
  <c r="A9860" i="1"/>
  <c r="R9859" i="1"/>
  <c r="J9859" i="1"/>
  <c r="I9859" i="1"/>
  <c r="G9859" i="1"/>
  <c r="F9859" i="1"/>
  <c r="E9859" i="1"/>
  <c r="D9859" i="1"/>
  <c r="C9859" i="1"/>
  <c r="B9859" i="1"/>
  <c r="A9859" i="1"/>
  <c r="S9858" i="1"/>
  <c r="O9858" i="1"/>
  <c r="K9858" i="1"/>
  <c r="J9858" i="1"/>
  <c r="I9858" i="1"/>
  <c r="H9858" i="1"/>
  <c r="G9858" i="1"/>
  <c r="F9858" i="1"/>
  <c r="E9858" i="1"/>
  <c r="D9858" i="1"/>
  <c r="C9858" i="1"/>
  <c r="B9858" i="1"/>
  <c r="A9858" i="1"/>
  <c r="R9857" i="1"/>
  <c r="J9857" i="1"/>
  <c r="I9857" i="1"/>
  <c r="G9857" i="1"/>
  <c r="F9857" i="1"/>
  <c r="E9857" i="1"/>
  <c r="D9857" i="1"/>
  <c r="C9857" i="1"/>
  <c r="B9857" i="1"/>
  <c r="A9857" i="1"/>
  <c r="R9856" i="1"/>
  <c r="J9856" i="1"/>
  <c r="I9856" i="1"/>
  <c r="G9856" i="1"/>
  <c r="F9856" i="1"/>
  <c r="E9856" i="1"/>
  <c r="D9856" i="1"/>
  <c r="C9856" i="1"/>
  <c r="B9856" i="1"/>
  <c r="A9856" i="1"/>
  <c r="R9855" i="1"/>
  <c r="J9855" i="1"/>
  <c r="I9855" i="1"/>
  <c r="G9855" i="1"/>
  <c r="F9855" i="1"/>
  <c r="E9855" i="1"/>
  <c r="D9855" i="1"/>
  <c r="C9855" i="1"/>
  <c r="B9855" i="1"/>
  <c r="A9855" i="1"/>
  <c r="R9854" i="1"/>
  <c r="J9854" i="1"/>
  <c r="I9854" i="1"/>
  <c r="G9854" i="1"/>
  <c r="F9854" i="1"/>
  <c r="E9854" i="1"/>
  <c r="D9854" i="1"/>
  <c r="C9854" i="1"/>
  <c r="B9854" i="1"/>
  <c r="A9854" i="1"/>
  <c r="R9853" i="1"/>
  <c r="J9853" i="1"/>
  <c r="I9853" i="1"/>
  <c r="G9853" i="1"/>
  <c r="F9853" i="1"/>
  <c r="E9853" i="1"/>
  <c r="D9853" i="1"/>
  <c r="C9853" i="1"/>
  <c r="B9853" i="1"/>
  <c r="A9853" i="1"/>
  <c r="S9852" i="1"/>
  <c r="O9852" i="1"/>
  <c r="K9852" i="1"/>
  <c r="J9852" i="1"/>
  <c r="I9852" i="1"/>
  <c r="H9852" i="1"/>
  <c r="G9852" i="1"/>
  <c r="F9852" i="1"/>
  <c r="E9852" i="1"/>
  <c r="D9852" i="1"/>
  <c r="C9852" i="1"/>
  <c r="B9852" i="1"/>
  <c r="A9852" i="1"/>
  <c r="R9851" i="1"/>
  <c r="J9851" i="1"/>
  <c r="I9851" i="1"/>
  <c r="G9851" i="1"/>
  <c r="F9851" i="1"/>
  <c r="E9851" i="1"/>
  <c r="D9851" i="1"/>
  <c r="C9851" i="1"/>
  <c r="B9851" i="1"/>
  <c r="A9851" i="1"/>
  <c r="R9850" i="1"/>
  <c r="J9850" i="1"/>
  <c r="I9850" i="1"/>
  <c r="G9850" i="1"/>
  <c r="F9850" i="1"/>
  <c r="E9850" i="1"/>
  <c r="D9850" i="1"/>
  <c r="C9850" i="1"/>
  <c r="B9850" i="1"/>
  <c r="A9850" i="1"/>
  <c r="S9849" i="1"/>
  <c r="O9849" i="1"/>
  <c r="K9849" i="1"/>
  <c r="J9849" i="1"/>
  <c r="I9849" i="1"/>
  <c r="H9849" i="1"/>
  <c r="G9849" i="1"/>
  <c r="F9849" i="1"/>
  <c r="E9849" i="1"/>
  <c r="D9849" i="1"/>
  <c r="C9849" i="1"/>
  <c r="B9849" i="1"/>
  <c r="A9849" i="1"/>
  <c r="R9848" i="1"/>
  <c r="J9848" i="1"/>
  <c r="I9848" i="1"/>
  <c r="G9848" i="1"/>
  <c r="F9848" i="1"/>
  <c r="E9848" i="1"/>
  <c r="D9848" i="1"/>
  <c r="C9848" i="1"/>
  <c r="B9848" i="1"/>
  <c r="A9848" i="1"/>
  <c r="R9847" i="1"/>
  <c r="J9847" i="1"/>
  <c r="I9847" i="1"/>
  <c r="G9847" i="1"/>
  <c r="F9847" i="1"/>
  <c r="E9847" i="1"/>
  <c r="D9847" i="1"/>
  <c r="C9847" i="1"/>
  <c r="B9847" i="1"/>
  <c r="A9847" i="1"/>
  <c r="R9846" i="1"/>
  <c r="J9846" i="1"/>
  <c r="I9846" i="1"/>
  <c r="G9846" i="1"/>
  <c r="F9846" i="1"/>
  <c r="E9846" i="1"/>
  <c r="D9846" i="1"/>
  <c r="C9846" i="1"/>
  <c r="B9846" i="1"/>
  <c r="A9846" i="1"/>
  <c r="R9845" i="1"/>
  <c r="J9845" i="1"/>
  <c r="I9845" i="1"/>
  <c r="G9845" i="1"/>
  <c r="F9845" i="1"/>
  <c r="E9845" i="1"/>
  <c r="D9845" i="1"/>
  <c r="C9845" i="1"/>
  <c r="B9845" i="1"/>
  <c r="A9845" i="1"/>
  <c r="R9844" i="1"/>
  <c r="J9844" i="1"/>
  <c r="I9844" i="1"/>
  <c r="G9844" i="1"/>
  <c r="F9844" i="1"/>
  <c r="E9844" i="1"/>
  <c r="D9844" i="1"/>
  <c r="C9844" i="1"/>
  <c r="B9844" i="1"/>
  <c r="A9844" i="1"/>
  <c r="S9843" i="1"/>
  <c r="O9843" i="1"/>
  <c r="K9843" i="1"/>
  <c r="J9843" i="1"/>
  <c r="I9843" i="1"/>
  <c r="H9843" i="1"/>
  <c r="G9843" i="1"/>
  <c r="F9843" i="1"/>
  <c r="E9843" i="1"/>
  <c r="D9843" i="1"/>
  <c r="C9843" i="1"/>
  <c r="B9843" i="1"/>
  <c r="A9843" i="1"/>
  <c r="R9842" i="1"/>
  <c r="J9842" i="1"/>
  <c r="I9842" i="1"/>
  <c r="G9842" i="1"/>
  <c r="F9842" i="1"/>
  <c r="E9842" i="1"/>
  <c r="D9842" i="1"/>
  <c r="C9842" i="1"/>
  <c r="B9842" i="1"/>
  <c r="A9842" i="1"/>
  <c r="R9841" i="1"/>
  <c r="J9841" i="1"/>
  <c r="I9841" i="1"/>
  <c r="G9841" i="1"/>
  <c r="F9841" i="1"/>
  <c r="E9841" i="1"/>
  <c r="D9841" i="1"/>
  <c r="C9841" i="1"/>
  <c r="B9841" i="1"/>
  <c r="A9841" i="1"/>
  <c r="R9840" i="1"/>
  <c r="J9840" i="1"/>
  <c r="I9840" i="1"/>
  <c r="G9840" i="1"/>
  <c r="F9840" i="1"/>
  <c r="E9840" i="1"/>
  <c r="D9840" i="1"/>
  <c r="C9840" i="1"/>
  <c r="B9840" i="1"/>
  <c r="A9840" i="1"/>
  <c r="R9839" i="1"/>
  <c r="J9839" i="1"/>
  <c r="I9839" i="1"/>
  <c r="G9839" i="1"/>
  <c r="F9839" i="1"/>
  <c r="E9839" i="1"/>
  <c r="D9839" i="1"/>
  <c r="C9839" i="1"/>
  <c r="B9839" i="1"/>
  <c r="A9839" i="1"/>
  <c r="R9838" i="1"/>
  <c r="J9838" i="1"/>
  <c r="I9838" i="1"/>
  <c r="G9838" i="1"/>
  <c r="F9838" i="1"/>
  <c r="E9838" i="1"/>
  <c r="D9838" i="1"/>
  <c r="C9838" i="1"/>
  <c r="B9838" i="1"/>
  <c r="A9838" i="1"/>
  <c r="S9837" i="1"/>
  <c r="O9837" i="1"/>
  <c r="K9837" i="1"/>
  <c r="J9837" i="1"/>
  <c r="I9837" i="1"/>
  <c r="H9837" i="1"/>
  <c r="G9837" i="1"/>
  <c r="F9837" i="1"/>
  <c r="E9837" i="1"/>
  <c r="D9837" i="1"/>
  <c r="C9837" i="1"/>
  <c r="B9837" i="1"/>
  <c r="A9837" i="1"/>
  <c r="R9836" i="1"/>
  <c r="J9836" i="1"/>
  <c r="I9836" i="1"/>
  <c r="G9836" i="1"/>
  <c r="F9836" i="1"/>
  <c r="E9836" i="1"/>
  <c r="D9836" i="1"/>
  <c r="C9836" i="1"/>
  <c r="B9836" i="1"/>
  <c r="A9836" i="1"/>
  <c r="S9835" i="1"/>
  <c r="O9835" i="1"/>
  <c r="K9835" i="1"/>
  <c r="J9835" i="1"/>
  <c r="I9835" i="1"/>
  <c r="H9835" i="1"/>
  <c r="G9835" i="1"/>
  <c r="F9835" i="1"/>
  <c r="E9835" i="1"/>
  <c r="D9835" i="1"/>
  <c r="C9835" i="1"/>
  <c r="B9835" i="1"/>
  <c r="A9835" i="1"/>
  <c r="R9834" i="1"/>
  <c r="J9834" i="1"/>
  <c r="I9834" i="1"/>
  <c r="G9834" i="1"/>
  <c r="F9834" i="1"/>
  <c r="E9834" i="1"/>
  <c r="D9834" i="1"/>
  <c r="C9834" i="1"/>
  <c r="B9834" i="1"/>
  <c r="A9834" i="1"/>
  <c r="S9833" i="1"/>
  <c r="O9833" i="1"/>
  <c r="K9833" i="1"/>
  <c r="J9833" i="1"/>
  <c r="I9833" i="1"/>
  <c r="H9833" i="1"/>
  <c r="G9833" i="1"/>
  <c r="F9833" i="1"/>
  <c r="E9833" i="1"/>
  <c r="D9833" i="1"/>
  <c r="C9833" i="1"/>
  <c r="B9833" i="1"/>
  <c r="A9833" i="1"/>
  <c r="R9832" i="1"/>
  <c r="J9832" i="1"/>
  <c r="I9832" i="1"/>
  <c r="G9832" i="1"/>
  <c r="F9832" i="1"/>
  <c r="E9832" i="1"/>
  <c r="D9832" i="1"/>
  <c r="C9832" i="1"/>
  <c r="B9832" i="1"/>
  <c r="A9832" i="1"/>
  <c r="S9831" i="1"/>
  <c r="O9831" i="1"/>
  <c r="K9831" i="1"/>
  <c r="J9831" i="1"/>
  <c r="I9831" i="1"/>
  <c r="H9831" i="1"/>
  <c r="G9831" i="1"/>
  <c r="F9831" i="1"/>
  <c r="E9831" i="1"/>
  <c r="D9831" i="1"/>
  <c r="C9831" i="1"/>
  <c r="B9831" i="1"/>
  <c r="A9831" i="1"/>
  <c r="R9830" i="1"/>
  <c r="J9830" i="1"/>
  <c r="I9830" i="1"/>
  <c r="G9830" i="1"/>
  <c r="F9830" i="1"/>
  <c r="E9830" i="1"/>
  <c r="D9830" i="1"/>
  <c r="C9830" i="1"/>
  <c r="B9830" i="1"/>
  <c r="A9830" i="1"/>
  <c r="S9829" i="1"/>
  <c r="O9829" i="1"/>
  <c r="K9829" i="1"/>
  <c r="J9829" i="1"/>
  <c r="I9829" i="1"/>
  <c r="H9829" i="1"/>
  <c r="G9829" i="1"/>
  <c r="F9829" i="1"/>
  <c r="E9829" i="1"/>
  <c r="D9829" i="1"/>
  <c r="C9829" i="1"/>
  <c r="B9829" i="1"/>
  <c r="A9829" i="1"/>
  <c r="R9828" i="1"/>
  <c r="J9828" i="1"/>
  <c r="I9828" i="1"/>
  <c r="G9828" i="1"/>
  <c r="F9828" i="1"/>
  <c r="E9828" i="1"/>
  <c r="D9828" i="1"/>
  <c r="C9828" i="1"/>
  <c r="B9828" i="1"/>
  <c r="A9828" i="1"/>
  <c r="S9827" i="1"/>
  <c r="O9827" i="1"/>
  <c r="K9827" i="1"/>
  <c r="J9827" i="1"/>
  <c r="I9827" i="1"/>
  <c r="H9827" i="1"/>
  <c r="G9827" i="1"/>
  <c r="F9827" i="1"/>
  <c r="E9827" i="1"/>
  <c r="D9827" i="1"/>
  <c r="C9827" i="1"/>
  <c r="B9827" i="1"/>
  <c r="A9827" i="1"/>
  <c r="R9826" i="1"/>
  <c r="J9826" i="1"/>
  <c r="I9826" i="1"/>
  <c r="G9826" i="1"/>
  <c r="F9826" i="1"/>
  <c r="E9826" i="1"/>
  <c r="D9826" i="1"/>
  <c r="C9826" i="1"/>
  <c r="B9826" i="1"/>
  <c r="A9826" i="1"/>
  <c r="R9825" i="1"/>
  <c r="J9825" i="1"/>
  <c r="I9825" i="1"/>
  <c r="G9825" i="1"/>
  <c r="F9825" i="1"/>
  <c r="E9825" i="1"/>
  <c r="D9825" i="1"/>
  <c r="C9825" i="1"/>
  <c r="B9825" i="1"/>
  <c r="A9825" i="1"/>
  <c r="S9824" i="1"/>
  <c r="O9824" i="1"/>
  <c r="K9824" i="1"/>
  <c r="J9824" i="1"/>
  <c r="I9824" i="1"/>
  <c r="H9824" i="1"/>
  <c r="G9824" i="1"/>
  <c r="F9824" i="1"/>
  <c r="E9824" i="1"/>
  <c r="D9824" i="1"/>
  <c r="C9824" i="1"/>
  <c r="B9824" i="1"/>
  <c r="A9824" i="1"/>
  <c r="R9823" i="1"/>
  <c r="J9823" i="1"/>
  <c r="I9823" i="1"/>
  <c r="G9823" i="1"/>
  <c r="F9823" i="1"/>
  <c r="E9823" i="1"/>
  <c r="D9823" i="1"/>
  <c r="C9823" i="1"/>
  <c r="B9823" i="1"/>
  <c r="A9823" i="1"/>
  <c r="S9822" i="1"/>
  <c r="O9822" i="1"/>
  <c r="K9822" i="1"/>
  <c r="J9822" i="1"/>
  <c r="I9822" i="1"/>
  <c r="H9822" i="1"/>
  <c r="G9822" i="1"/>
  <c r="F9822" i="1"/>
  <c r="E9822" i="1"/>
  <c r="D9822" i="1"/>
  <c r="C9822" i="1"/>
  <c r="B9822" i="1"/>
  <c r="A9822" i="1"/>
  <c r="R9821" i="1"/>
  <c r="J9821" i="1"/>
  <c r="I9821" i="1"/>
  <c r="G9821" i="1"/>
  <c r="F9821" i="1"/>
  <c r="E9821" i="1"/>
  <c r="D9821" i="1"/>
  <c r="C9821" i="1"/>
  <c r="B9821" i="1"/>
  <c r="A9821" i="1"/>
  <c r="S9820" i="1"/>
  <c r="O9820" i="1"/>
  <c r="K9820" i="1"/>
  <c r="J9820" i="1"/>
  <c r="I9820" i="1"/>
  <c r="H9820" i="1"/>
  <c r="G9820" i="1"/>
  <c r="F9820" i="1"/>
  <c r="E9820" i="1"/>
  <c r="D9820" i="1"/>
  <c r="C9820" i="1"/>
  <c r="B9820" i="1"/>
  <c r="A9820" i="1"/>
  <c r="R9819" i="1"/>
  <c r="J9819" i="1"/>
  <c r="I9819" i="1"/>
  <c r="G9819" i="1"/>
  <c r="F9819" i="1"/>
  <c r="E9819" i="1"/>
  <c r="D9819" i="1"/>
  <c r="C9819" i="1"/>
  <c r="B9819" i="1"/>
  <c r="A9819" i="1"/>
  <c r="S9818" i="1"/>
  <c r="O9818" i="1"/>
  <c r="K9818" i="1"/>
  <c r="J9818" i="1"/>
  <c r="I9818" i="1"/>
  <c r="H9818" i="1"/>
  <c r="G9818" i="1"/>
  <c r="F9818" i="1"/>
  <c r="E9818" i="1"/>
  <c r="D9818" i="1"/>
  <c r="C9818" i="1"/>
  <c r="B9818" i="1"/>
  <c r="A9818" i="1"/>
  <c r="R9817" i="1"/>
  <c r="J9817" i="1"/>
  <c r="I9817" i="1"/>
  <c r="G9817" i="1"/>
  <c r="F9817" i="1"/>
  <c r="E9817" i="1"/>
  <c r="D9817" i="1"/>
  <c r="C9817" i="1"/>
  <c r="B9817" i="1"/>
  <c r="A9817" i="1"/>
  <c r="S9816" i="1"/>
  <c r="O9816" i="1"/>
  <c r="K9816" i="1"/>
  <c r="J9816" i="1"/>
  <c r="I9816" i="1"/>
  <c r="H9816" i="1"/>
  <c r="G9816" i="1"/>
  <c r="F9816" i="1"/>
  <c r="E9816" i="1"/>
  <c r="D9816" i="1"/>
  <c r="C9816" i="1"/>
  <c r="B9816" i="1"/>
  <c r="A9816" i="1"/>
  <c r="R9815" i="1"/>
  <c r="J9815" i="1"/>
  <c r="I9815" i="1"/>
  <c r="G9815" i="1"/>
  <c r="F9815" i="1"/>
  <c r="E9815" i="1"/>
  <c r="D9815" i="1"/>
  <c r="C9815" i="1"/>
  <c r="B9815" i="1"/>
  <c r="A9815" i="1"/>
  <c r="S9814" i="1"/>
  <c r="O9814" i="1"/>
  <c r="K9814" i="1"/>
  <c r="J9814" i="1"/>
  <c r="I9814" i="1"/>
  <c r="H9814" i="1"/>
  <c r="G9814" i="1"/>
  <c r="F9814" i="1"/>
  <c r="E9814" i="1"/>
  <c r="D9814" i="1"/>
  <c r="C9814" i="1"/>
  <c r="B9814" i="1"/>
  <c r="A9814" i="1"/>
  <c r="R9813" i="1"/>
  <c r="J9813" i="1"/>
  <c r="I9813" i="1"/>
  <c r="G9813" i="1"/>
  <c r="F9813" i="1"/>
  <c r="E9813" i="1"/>
  <c r="D9813" i="1"/>
  <c r="C9813" i="1"/>
  <c r="B9813" i="1"/>
  <c r="A9813" i="1"/>
  <c r="S9812" i="1"/>
  <c r="O9812" i="1"/>
  <c r="K9812" i="1"/>
  <c r="J9812" i="1"/>
  <c r="I9812" i="1"/>
  <c r="H9812" i="1"/>
  <c r="G9812" i="1"/>
  <c r="F9812" i="1"/>
  <c r="E9812" i="1"/>
  <c r="D9812" i="1"/>
  <c r="C9812" i="1"/>
  <c r="B9812" i="1"/>
  <c r="A9812" i="1"/>
  <c r="R9811" i="1"/>
  <c r="J9811" i="1"/>
  <c r="I9811" i="1"/>
  <c r="G9811" i="1"/>
  <c r="F9811" i="1"/>
  <c r="E9811" i="1"/>
  <c r="D9811" i="1"/>
  <c r="C9811" i="1"/>
  <c r="B9811" i="1"/>
  <c r="A9811" i="1"/>
  <c r="S9810" i="1"/>
  <c r="O9810" i="1"/>
  <c r="K9810" i="1"/>
  <c r="J9810" i="1"/>
  <c r="I9810" i="1"/>
  <c r="H9810" i="1"/>
  <c r="G9810" i="1"/>
  <c r="F9810" i="1"/>
  <c r="E9810" i="1"/>
  <c r="D9810" i="1"/>
  <c r="C9810" i="1"/>
  <c r="B9810" i="1"/>
  <c r="A9810" i="1"/>
  <c r="R9809" i="1"/>
  <c r="J9809" i="1"/>
  <c r="I9809" i="1"/>
  <c r="G9809" i="1"/>
  <c r="F9809" i="1"/>
  <c r="E9809" i="1"/>
  <c r="D9809" i="1"/>
  <c r="C9809" i="1"/>
  <c r="B9809" i="1"/>
  <c r="A9809" i="1"/>
  <c r="S9808" i="1"/>
  <c r="O9808" i="1"/>
  <c r="K9808" i="1"/>
  <c r="J9808" i="1"/>
  <c r="I9808" i="1"/>
  <c r="H9808" i="1"/>
  <c r="G9808" i="1"/>
  <c r="F9808" i="1"/>
  <c r="E9808" i="1"/>
  <c r="D9808" i="1"/>
  <c r="C9808" i="1"/>
  <c r="B9808" i="1"/>
  <c r="A9808" i="1"/>
  <c r="R9807" i="1"/>
  <c r="J9807" i="1"/>
  <c r="I9807" i="1"/>
  <c r="G9807" i="1"/>
  <c r="F9807" i="1"/>
  <c r="E9807" i="1"/>
  <c r="D9807" i="1"/>
  <c r="C9807" i="1"/>
  <c r="B9807" i="1"/>
  <c r="A9807" i="1"/>
  <c r="S9806" i="1"/>
  <c r="O9806" i="1"/>
  <c r="K9806" i="1"/>
  <c r="J9806" i="1"/>
  <c r="I9806" i="1"/>
  <c r="H9806" i="1"/>
  <c r="G9806" i="1"/>
  <c r="F9806" i="1"/>
  <c r="E9806" i="1"/>
  <c r="D9806" i="1"/>
  <c r="C9806" i="1"/>
  <c r="B9806" i="1"/>
  <c r="A9806" i="1"/>
  <c r="R9805" i="1"/>
  <c r="J9805" i="1"/>
  <c r="I9805" i="1"/>
  <c r="G9805" i="1"/>
  <c r="F9805" i="1"/>
  <c r="E9805" i="1"/>
  <c r="D9805" i="1"/>
  <c r="C9805" i="1"/>
  <c r="B9805" i="1"/>
  <c r="A9805" i="1"/>
  <c r="S9804" i="1"/>
  <c r="O9804" i="1"/>
  <c r="K9804" i="1"/>
  <c r="J9804" i="1"/>
  <c r="I9804" i="1"/>
  <c r="H9804" i="1"/>
  <c r="G9804" i="1"/>
  <c r="F9804" i="1"/>
  <c r="E9804" i="1"/>
  <c r="D9804" i="1"/>
  <c r="C9804" i="1"/>
  <c r="B9804" i="1"/>
  <c r="A9804" i="1"/>
  <c r="R9803" i="1"/>
  <c r="J9803" i="1"/>
  <c r="I9803" i="1"/>
  <c r="G9803" i="1"/>
  <c r="F9803" i="1"/>
  <c r="E9803" i="1"/>
  <c r="D9803" i="1"/>
  <c r="C9803" i="1"/>
  <c r="B9803" i="1"/>
  <c r="A9803" i="1"/>
  <c r="S9802" i="1"/>
  <c r="O9802" i="1"/>
  <c r="K9802" i="1"/>
  <c r="J9802" i="1"/>
  <c r="I9802" i="1"/>
  <c r="H9802" i="1"/>
  <c r="G9802" i="1"/>
  <c r="F9802" i="1"/>
  <c r="E9802" i="1"/>
  <c r="D9802" i="1"/>
  <c r="C9802" i="1"/>
  <c r="B9802" i="1"/>
  <c r="A9802" i="1"/>
  <c r="R9801" i="1"/>
  <c r="J9801" i="1"/>
  <c r="I9801" i="1"/>
  <c r="G9801" i="1"/>
  <c r="F9801" i="1"/>
  <c r="E9801" i="1"/>
  <c r="D9801" i="1"/>
  <c r="C9801" i="1"/>
  <c r="B9801" i="1"/>
  <c r="A9801" i="1"/>
  <c r="S9800" i="1"/>
  <c r="O9800" i="1"/>
  <c r="K9800" i="1"/>
  <c r="J9800" i="1"/>
  <c r="I9800" i="1"/>
  <c r="H9800" i="1"/>
  <c r="G9800" i="1"/>
  <c r="F9800" i="1"/>
  <c r="E9800" i="1"/>
  <c r="D9800" i="1"/>
  <c r="C9800" i="1"/>
  <c r="B9800" i="1"/>
  <c r="A9800" i="1"/>
  <c r="R9799" i="1"/>
  <c r="J9799" i="1"/>
  <c r="I9799" i="1"/>
  <c r="G9799" i="1"/>
  <c r="F9799" i="1"/>
  <c r="E9799" i="1"/>
  <c r="D9799" i="1"/>
  <c r="C9799" i="1"/>
  <c r="B9799" i="1"/>
  <c r="A9799" i="1"/>
  <c r="S9798" i="1"/>
  <c r="O9798" i="1"/>
  <c r="K9798" i="1"/>
  <c r="J9798" i="1"/>
  <c r="I9798" i="1"/>
  <c r="H9798" i="1"/>
  <c r="G9798" i="1"/>
  <c r="F9798" i="1"/>
  <c r="E9798" i="1"/>
  <c r="D9798" i="1"/>
  <c r="C9798" i="1"/>
  <c r="B9798" i="1"/>
  <c r="A9798" i="1"/>
  <c r="R9797" i="1"/>
  <c r="J9797" i="1"/>
  <c r="I9797" i="1"/>
  <c r="G9797" i="1"/>
  <c r="F9797" i="1"/>
  <c r="E9797" i="1"/>
  <c r="D9797" i="1"/>
  <c r="C9797" i="1"/>
  <c r="B9797" i="1"/>
  <c r="A9797" i="1"/>
  <c r="S9796" i="1"/>
  <c r="O9796" i="1"/>
  <c r="K9796" i="1"/>
  <c r="J9796" i="1"/>
  <c r="I9796" i="1"/>
  <c r="H9796" i="1"/>
  <c r="G9796" i="1"/>
  <c r="F9796" i="1"/>
  <c r="E9796" i="1"/>
  <c r="D9796" i="1"/>
  <c r="C9796" i="1"/>
  <c r="B9796" i="1"/>
  <c r="A9796" i="1"/>
  <c r="R9795" i="1"/>
  <c r="J9795" i="1"/>
  <c r="I9795" i="1"/>
  <c r="G9795" i="1"/>
  <c r="F9795" i="1"/>
  <c r="E9795" i="1"/>
  <c r="D9795" i="1"/>
  <c r="C9795" i="1"/>
  <c r="B9795" i="1"/>
  <c r="A9795" i="1"/>
  <c r="S9794" i="1"/>
  <c r="O9794" i="1"/>
  <c r="K9794" i="1"/>
  <c r="J9794" i="1"/>
  <c r="I9794" i="1"/>
  <c r="H9794" i="1"/>
  <c r="G9794" i="1"/>
  <c r="F9794" i="1"/>
  <c r="E9794" i="1"/>
  <c r="D9794" i="1"/>
  <c r="C9794" i="1"/>
  <c r="B9794" i="1"/>
  <c r="A9794" i="1"/>
  <c r="R9793" i="1"/>
  <c r="J9793" i="1"/>
  <c r="I9793" i="1"/>
  <c r="G9793" i="1"/>
  <c r="F9793" i="1"/>
  <c r="E9793" i="1"/>
  <c r="D9793" i="1"/>
  <c r="C9793" i="1"/>
  <c r="B9793" i="1"/>
  <c r="A9793" i="1"/>
  <c r="S9792" i="1"/>
  <c r="O9792" i="1"/>
  <c r="K9792" i="1"/>
  <c r="J9792" i="1"/>
  <c r="I9792" i="1"/>
  <c r="H9792" i="1"/>
  <c r="G9792" i="1"/>
  <c r="F9792" i="1"/>
  <c r="E9792" i="1"/>
  <c r="D9792" i="1"/>
  <c r="C9792" i="1"/>
  <c r="B9792" i="1"/>
  <c r="A9792" i="1"/>
  <c r="R9791" i="1"/>
  <c r="J9791" i="1"/>
  <c r="I9791" i="1"/>
  <c r="G9791" i="1"/>
  <c r="F9791" i="1"/>
  <c r="E9791" i="1"/>
  <c r="D9791" i="1"/>
  <c r="C9791" i="1"/>
  <c r="B9791" i="1"/>
  <c r="A9791" i="1"/>
  <c r="S9790" i="1"/>
  <c r="O9790" i="1"/>
  <c r="K9790" i="1"/>
  <c r="J9790" i="1"/>
  <c r="I9790" i="1"/>
  <c r="H9790" i="1"/>
  <c r="G9790" i="1"/>
  <c r="F9790" i="1"/>
  <c r="E9790" i="1"/>
  <c r="D9790" i="1"/>
  <c r="C9790" i="1"/>
  <c r="B9790" i="1"/>
  <c r="A9790" i="1"/>
  <c r="R9789" i="1"/>
  <c r="J9789" i="1"/>
  <c r="I9789" i="1"/>
  <c r="G9789" i="1"/>
  <c r="F9789" i="1"/>
  <c r="E9789" i="1"/>
  <c r="D9789" i="1"/>
  <c r="C9789" i="1"/>
  <c r="B9789" i="1"/>
  <c r="A9789" i="1"/>
  <c r="S9788" i="1"/>
  <c r="O9788" i="1"/>
  <c r="K9788" i="1"/>
  <c r="J9788" i="1"/>
  <c r="I9788" i="1"/>
  <c r="H9788" i="1"/>
  <c r="G9788" i="1"/>
  <c r="F9788" i="1"/>
  <c r="E9788" i="1"/>
  <c r="D9788" i="1"/>
  <c r="C9788" i="1"/>
  <c r="B9788" i="1"/>
  <c r="A9788" i="1"/>
  <c r="R9787" i="1"/>
  <c r="J9787" i="1"/>
  <c r="I9787" i="1"/>
  <c r="G9787" i="1"/>
  <c r="F9787" i="1"/>
  <c r="E9787" i="1"/>
  <c r="D9787" i="1"/>
  <c r="C9787" i="1"/>
  <c r="B9787" i="1"/>
  <c r="A9787" i="1"/>
  <c r="S9786" i="1"/>
  <c r="O9786" i="1"/>
  <c r="K9786" i="1"/>
  <c r="J9786" i="1"/>
  <c r="I9786" i="1"/>
  <c r="H9786" i="1"/>
  <c r="G9786" i="1"/>
  <c r="F9786" i="1"/>
  <c r="E9786" i="1"/>
  <c r="D9786" i="1"/>
  <c r="C9786" i="1"/>
  <c r="B9786" i="1"/>
  <c r="A9786" i="1"/>
  <c r="R9785" i="1"/>
  <c r="J9785" i="1"/>
  <c r="I9785" i="1"/>
  <c r="G9785" i="1"/>
  <c r="F9785" i="1"/>
  <c r="E9785" i="1"/>
  <c r="D9785" i="1"/>
  <c r="C9785" i="1"/>
  <c r="B9785" i="1"/>
  <c r="A9785" i="1"/>
  <c r="S9784" i="1"/>
  <c r="O9784" i="1"/>
  <c r="K9784" i="1"/>
  <c r="J9784" i="1"/>
  <c r="I9784" i="1"/>
  <c r="H9784" i="1"/>
  <c r="G9784" i="1"/>
  <c r="F9784" i="1"/>
  <c r="E9784" i="1"/>
  <c r="D9784" i="1"/>
  <c r="C9784" i="1"/>
  <c r="B9784" i="1"/>
  <c r="A9784" i="1"/>
  <c r="R9783" i="1"/>
  <c r="J9783" i="1"/>
  <c r="I9783" i="1"/>
  <c r="G9783" i="1"/>
  <c r="F9783" i="1"/>
  <c r="E9783" i="1"/>
  <c r="D9783" i="1"/>
  <c r="C9783" i="1"/>
  <c r="B9783" i="1"/>
  <c r="A9783" i="1"/>
  <c r="S9782" i="1"/>
  <c r="O9782" i="1"/>
  <c r="K9782" i="1"/>
  <c r="J9782" i="1"/>
  <c r="I9782" i="1"/>
  <c r="H9782" i="1"/>
  <c r="G9782" i="1"/>
  <c r="F9782" i="1"/>
  <c r="E9782" i="1"/>
  <c r="D9782" i="1"/>
  <c r="C9782" i="1"/>
  <c r="B9782" i="1"/>
  <c r="A9782" i="1"/>
  <c r="R9781" i="1"/>
  <c r="J9781" i="1"/>
  <c r="I9781" i="1"/>
  <c r="G9781" i="1"/>
  <c r="F9781" i="1"/>
  <c r="E9781" i="1"/>
  <c r="D9781" i="1"/>
  <c r="C9781" i="1"/>
  <c r="B9781" i="1"/>
  <c r="A9781" i="1"/>
  <c r="S9780" i="1"/>
  <c r="O9780" i="1"/>
  <c r="K9780" i="1"/>
  <c r="J9780" i="1"/>
  <c r="I9780" i="1"/>
  <c r="H9780" i="1"/>
  <c r="G9780" i="1"/>
  <c r="F9780" i="1"/>
  <c r="E9780" i="1"/>
  <c r="D9780" i="1"/>
  <c r="C9780" i="1"/>
  <c r="B9780" i="1"/>
  <c r="A9780" i="1"/>
  <c r="R9779" i="1"/>
  <c r="J9779" i="1"/>
  <c r="I9779" i="1"/>
  <c r="G9779" i="1"/>
  <c r="F9779" i="1"/>
  <c r="E9779" i="1"/>
  <c r="D9779" i="1"/>
  <c r="C9779" i="1"/>
  <c r="B9779" i="1"/>
  <c r="A9779" i="1"/>
  <c r="S9778" i="1"/>
  <c r="O9778" i="1"/>
  <c r="K9778" i="1"/>
  <c r="J9778" i="1"/>
  <c r="I9778" i="1"/>
  <c r="H9778" i="1"/>
  <c r="G9778" i="1"/>
  <c r="F9778" i="1"/>
  <c r="E9778" i="1"/>
  <c r="D9778" i="1"/>
  <c r="C9778" i="1"/>
  <c r="B9778" i="1"/>
  <c r="A9778" i="1"/>
  <c r="R9777" i="1"/>
  <c r="J9777" i="1"/>
  <c r="I9777" i="1"/>
  <c r="G9777" i="1"/>
  <c r="F9777" i="1"/>
  <c r="E9777" i="1"/>
  <c r="D9777" i="1"/>
  <c r="C9777" i="1"/>
  <c r="B9777" i="1"/>
  <c r="A9777" i="1"/>
  <c r="S9776" i="1"/>
  <c r="O9776" i="1"/>
  <c r="K9776" i="1"/>
  <c r="J9776" i="1"/>
  <c r="I9776" i="1"/>
  <c r="H9776" i="1"/>
  <c r="G9776" i="1"/>
  <c r="F9776" i="1"/>
  <c r="E9776" i="1"/>
  <c r="D9776" i="1"/>
  <c r="C9776" i="1"/>
  <c r="B9776" i="1"/>
  <c r="A9776" i="1"/>
  <c r="R9775" i="1"/>
  <c r="J9775" i="1"/>
  <c r="I9775" i="1"/>
  <c r="G9775" i="1"/>
  <c r="F9775" i="1"/>
  <c r="E9775" i="1"/>
  <c r="D9775" i="1"/>
  <c r="C9775" i="1"/>
  <c r="B9775" i="1"/>
  <c r="A9775" i="1"/>
  <c r="S9774" i="1"/>
  <c r="O9774" i="1"/>
  <c r="K9774" i="1"/>
  <c r="J9774" i="1"/>
  <c r="I9774" i="1"/>
  <c r="H9774" i="1"/>
  <c r="G9774" i="1"/>
  <c r="F9774" i="1"/>
  <c r="E9774" i="1"/>
  <c r="D9774" i="1"/>
  <c r="C9774" i="1"/>
  <c r="B9774" i="1"/>
  <c r="A9774" i="1"/>
  <c r="R9773" i="1"/>
  <c r="J9773" i="1"/>
  <c r="I9773" i="1"/>
  <c r="G9773" i="1"/>
  <c r="F9773" i="1"/>
  <c r="E9773" i="1"/>
  <c r="D9773" i="1"/>
  <c r="C9773" i="1"/>
  <c r="B9773" i="1"/>
  <c r="A9773" i="1"/>
  <c r="R9772" i="1"/>
  <c r="J9772" i="1"/>
  <c r="I9772" i="1"/>
  <c r="G9772" i="1"/>
  <c r="F9772" i="1"/>
  <c r="E9772" i="1"/>
  <c r="D9772" i="1"/>
  <c r="C9772" i="1"/>
  <c r="B9772" i="1"/>
  <c r="A9772" i="1"/>
  <c r="R9771" i="1"/>
  <c r="J9771" i="1"/>
  <c r="I9771" i="1"/>
  <c r="G9771" i="1"/>
  <c r="F9771" i="1"/>
  <c r="E9771" i="1"/>
  <c r="D9771" i="1"/>
  <c r="C9771" i="1"/>
  <c r="B9771" i="1"/>
  <c r="A9771" i="1"/>
  <c r="R9770" i="1"/>
  <c r="J9770" i="1"/>
  <c r="I9770" i="1"/>
  <c r="G9770" i="1"/>
  <c r="F9770" i="1"/>
  <c r="E9770" i="1"/>
  <c r="D9770" i="1"/>
  <c r="C9770" i="1"/>
  <c r="B9770" i="1"/>
  <c r="A9770" i="1"/>
  <c r="R9769" i="1"/>
  <c r="J9769" i="1"/>
  <c r="I9769" i="1"/>
  <c r="G9769" i="1"/>
  <c r="F9769" i="1"/>
  <c r="E9769" i="1"/>
  <c r="D9769" i="1"/>
  <c r="C9769" i="1"/>
  <c r="B9769" i="1"/>
  <c r="A9769" i="1"/>
  <c r="S9768" i="1"/>
  <c r="O9768" i="1"/>
  <c r="K9768" i="1"/>
  <c r="J9768" i="1"/>
  <c r="I9768" i="1"/>
  <c r="H9768" i="1"/>
  <c r="G9768" i="1"/>
  <c r="F9768" i="1"/>
  <c r="E9768" i="1"/>
  <c r="D9768" i="1"/>
  <c r="C9768" i="1"/>
  <c r="B9768" i="1"/>
  <c r="A9768" i="1"/>
  <c r="R9767" i="1"/>
  <c r="J9767" i="1"/>
  <c r="I9767" i="1"/>
  <c r="G9767" i="1"/>
  <c r="F9767" i="1"/>
  <c r="E9767" i="1"/>
  <c r="D9767" i="1"/>
  <c r="C9767" i="1"/>
  <c r="B9767" i="1"/>
  <c r="A9767" i="1"/>
  <c r="S9766" i="1"/>
  <c r="O9766" i="1"/>
  <c r="K9766" i="1"/>
  <c r="J9766" i="1"/>
  <c r="I9766" i="1"/>
  <c r="H9766" i="1"/>
  <c r="G9766" i="1"/>
  <c r="F9766" i="1"/>
  <c r="E9766" i="1"/>
  <c r="D9766" i="1"/>
  <c r="C9766" i="1"/>
  <c r="B9766" i="1"/>
  <c r="A9766" i="1"/>
  <c r="R9765" i="1"/>
  <c r="J9765" i="1"/>
  <c r="I9765" i="1"/>
  <c r="G9765" i="1"/>
  <c r="F9765" i="1"/>
  <c r="E9765" i="1"/>
  <c r="D9765" i="1"/>
  <c r="C9765" i="1"/>
  <c r="B9765" i="1"/>
  <c r="A9765" i="1"/>
  <c r="S9764" i="1"/>
  <c r="O9764" i="1"/>
  <c r="K9764" i="1"/>
  <c r="J9764" i="1"/>
  <c r="I9764" i="1"/>
  <c r="H9764" i="1"/>
  <c r="G9764" i="1"/>
  <c r="F9764" i="1"/>
  <c r="E9764" i="1"/>
  <c r="D9764" i="1"/>
  <c r="C9764" i="1"/>
  <c r="B9764" i="1"/>
  <c r="A9764" i="1"/>
  <c r="S9763" i="1"/>
  <c r="O9763" i="1"/>
  <c r="K9763" i="1"/>
  <c r="J9763" i="1"/>
  <c r="I9763" i="1"/>
  <c r="H9763" i="1"/>
  <c r="G9763" i="1"/>
  <c r="F9763" i="1"/>
  <c r="D9763" i="1"/>
  <c r="C9763" i="1"/>
  <c r="B9763" i="1"/>
  <c r="A9763" i="1"/>
  <c r="R9762" i="1"/>
  <c r="J9762" i="1"/>
  <c r="I9762" i="1"/>
  <c r="G9762" i="1"/>
  <c r="F9762" i="1"/>
  <c r="E9762" i="1"/>
  <c r="D9762" i="1"/>
  <c r="C9762" i="1"/>
  <c r="B9762" i="1"/>
  <c r="A9762" i="1"/>
  <c r="S9761" i="1"/>
  <c r="O9761" i="1"/>
  <c r="K9761" i="1"/>
  <c r="J9761" i="1"/>
  <c r="I9761" i="1"/>
  <c r="H9761" i="1"/>
  <c r="G9761" i="1"/>
  <c r="F9761" i="1"/>
  <c r="E9761" i="1"/>
  <c r="D9761" i="1"/>
  <c r="C9761" i="1"/>
  <c r="B9761" i="1"/>
  <c r="A9761" i="1"/>
  <c r="R9760" i="1"/>
  <c r="J9760" i="1"/>
  <c r="I9760" i="1"/>
  <c r="G9760" i="1"/>
  <c r="F9760" i="1"/>
  <c r="E9760" i="1"/>
  <c r="D9760" i="1"/>
  <c r="C9760" i="1"/>
  <c r="B9760" i="1"/>
  <c r="A9760" i="1"/>
  <c r="S9759" i="1"/>
  <c r="O9759" i="1"/>
  <c r="K9759" i="1"/>
  <c r="J9759" i="1"/>
  <c r="I9759" i="1"/>
  <c r="H9759" i="1"/>
  <c r="G9759" i="1"/>
  <c r="F9759" i="1"/>
  <c r="E9759" i="1"/>
  <c r="D9759" i="1"/>
  <c r="C9759" i="1"/>
  <c r="B9759" i="1"/>
  <c r="A9759" i="1"/>
  <c r="R9758" i="1"/>
  <c r="J9758" i="1"/>
  <c r="I9758" i="1"/>
  <c r="G9758" i="1"/>
  <c r="F9758" i="1"/>
  <c r="E9758" i="1"/>
  <c r="D9758" i="1"/>
  <c r="C9758" i="1"/>
  <c r="B9758" i="1"/>
  <c r="A9758" i="1"/>
  <c r="S9757" i="1"/>
  <c r="O9757" i="1"/>
  <c r="K9757" i="1"/>
  <c r="J9757" i="1"/>
  <c r="I9757" i="1"/>
  <c r="H9757" i="1"/>
  <c r="G9757" i="1"/>
  <c r="F9757" i="1"/>
  <c r="E9757" i="1"/>
  <c r="D9757" i="1"/>
  <c r="C9757" i="1"/>
  <c r="B9757" i="1"/>
  <c r="A9757" i="1"/>
  <c r="R9756" i="1"/>
  <c r="J9756" i="1"/>
  <c r="I9756" i="1"/>
  <c r="G9756" i="1"/>
  <c r="F9756" i="1"/>
  <c r="E9756" i="1"/>
  <c r="D9756" i="1"/>
  <c r="C9756" i="1"/>
  <c r="B9756" i="1"/>
  <c r="A9756" i="1"/>
  <c r="S9755" i="1"/>
  <c r="O9755" i="1"/>
  <c r="K9755" i="1"/>
  <c r="J9755" i="1"/>
  <c r="I9755" i="1"/>
  <c r="H9755" i="1"/>
  <c r="G9755" i="1"/>
  <c r="F9755" i="1"/>
  <c r="E9755" i="1"/>
  <c r="D9755" i="1"/>
  <c r="C9755" i="1"/>
  <c r="B9755" i="1"/>
  <c r="A9755" i="1"/>
  <c r="R9754" i="1"/>
  <c r="J9754" i="1"/>
  <c r="I9754" i="1"/>
  <c r="G9754" i="1"/>
  <c r="F9754" i="1"/>
  <c r="E9754" i="1"/>
  <c r="D9754" i="1"/>
  <c r="C9754" i="1"/>
  <c r="B9754" i="1"/>
  <c r="A9754" i="1"/>
  <c r="S9753" i="1"/>
  <c r="O9753" i="1"/>
  <c r="K9753" i="1"/>
  <c r="J9753" i="1"/>
  <c r="I9753" i="1"/>
  <c r="H9753" i="1"/>
  <c r="G9753" i="1"/>
  <c r="F9753" i="1"/>
  <c r="E9753" i="1"/>
  <c r="D9753" i="1"/>
  <c r="C9753" i="1"/>
  <c r="B9753" i="1"/>
  <c r="A9753" i="1"/>
  <c r="R9752" i="1"/>
  <c r="J9752" i="1"/>
  <c r="I9752" i="1"/>
  <c r="G9752" i="1"/>
  <c r="F9752" i="1"/>
  <c r="E9752" i="1"/>
  <c r="D9752" i="1"/>
  <c r="C9752" i="1"/>
  <c r="B9752" i="1"/>
  <c r="A9752" i="1"/>
  <c r="R9751" i="1"/>
  <c r="J9751" i="1"/>
  <c r="I9751" i="1"/>
  <c r="G9751" i="1"/>
  <c r="F9751" i="1"/>
  <c r="E9751" i="1"/>
  <c r="D9751" i="1"/>
  <c r="C9751" i="1"/>
  <c r="B9751" i="1"/>
  <c r="A9751" i="1"/>
  <c r="S9750" i="1"/>
  <c r="O9750" i="1"/>
  <c r="K9750" i="1"/>
  <c r="J9750" i="1"/>
  <c r="I9750" i="1"/>
  <c r="H9750" i="1"/>
  <c r="G9750" i="1"/>
  <c r="F9750" i="1"/>
  <c r="E9750" i="1"/>
  <c r="D9750" i="1"/>
  <c r="C9750" i="1"/>
  <c r="B9750" i="1"/>
  <c r="A9750" i="1"/>
  <c r="R9749" i="1"/>
  <c r="J9749" i="1"/>
  <c r="I9749" i="1"/>
  <c r="G9749" i="1"/>
  <c r="F9749" i="1"/>
  <c r="E9749" i="1"/>
  <c r="D9749" i="1"/>
  <c r="C9749" i="1"/>
  <c r="B9749" i="1"/>
  <c r="A9749" i="1"/>
  <c r="R9748" i="1"/>
  <c r="J9748" i="1"/>
  <c r="I9748" i="1"/>
  <c r="G9748" i="1"/>
  <c r="F9748" i="1"/>
  <c r="E9748" i="1"/>
  <c r="D9748" i="1"/>
  <c r="C9748" i="1"/>
  <c r="B9748" i="1"/>
  <c r="A9748" i="1"/>
  <c r="R9747" i="1"/>
  <c r="J9747" i="1"/>
  <c r="I9747" i="1"/>
  <c r="G9747" i="1"/>
  <c r="F9747" i="1"/>
  <c r="E9747" i="1"/>
  <c r="D9747" i="1"/>
  <c r="C9747" i="1"/>
  <c r="B9747" i="1"/>
  <c r="A9747" i="1"/>
  <c r="S9746" i="1"/>
  <c r="O9746" i="1"/>
  <c r="K9746" i="1"/>
  <c r="J9746" i="1"/>
  <c r="I9746" i="1"/>
  <c r="H9746" i="1"/>
  <c r="G9746" i="1"/>
  <c r="F9746" i="1"/>
  <c r="E9746" i="1"/>
  <c r="D9746" i="1"/>
  <c r="C9746" i="1"/>
  <c r="B9746" i="1"/>
  <c r="A9746" i="1"/>
  <c r="R9745" i="1"/>
  <c r="J9745" i="1"/>
  <c r="I9745" i="1"/>
  <c r="G9745" i="1"/>
  <c r="F9745" i="1"/>
  <c r="E9745" i="1"/>
  <c r="D9745" i="1"/>
  <c r="C9745" i="1"/>
  <c r="B9745" i="1"/>
  <c r="A9745" i="1"/>
  <c r="S9744" i="1"/>
  <c r="O9744" i="1"/>
  <c r="K9744" i="1"/>
  <c r="J9744" i="1"/>
  <c r="I9744" i="1"/>
  <c r="H9744" i="1"/>
  <c r="G9744" i="1"/>
  <c r="F9744" i="1"/>
  <c r="E9744" i="1"/>
  <c r="D9744" i="1"/>
  <c r="C9744" i="1"/>
  <c r="B9744" i="1"/>
  <c r="A9744" i="1"/>
  <c r="R9743" i="1"/>
  <c r="J9743" i="1"/>
  <c r="I9743" i="1"/>
  <c r="G9743" i="1"/>
  <c r="F9743" i="1"/>
  <c r="E9743" i="1"/>
  <c r="D9743" i="1"/>
  <c r="C9743" i="1"/>
  <c r="B9743" i="1"/>
  <c r="A9743" i="1"/>
  <c r="S9742" i="1"/>
  <c r="O9742" i="1"/>
  <c r="K9742" i="1"/>
  <c r="J9742" i="1"/>
  <c r="I9742" i="1"/>
  <c r="H9742" i="1"/>
  <c r="G9742" i="1"/>
  <c r="F9742" i="1"/>
  <c r="E9742" i="1"/>
  <c r="D9742" i="1"/>
  <c r="C9742" i="1"/>
  <c r="B9742" i="1"/>
  <c r="A9742" i="1"/>
  <c r="R9741" i="1"/>
  <c r="J9741" i="1"/>
  <c r="I9741" i="1"/>
  <c r="G9741" i="1"/>
  <c r="F9741" i="1"/>
  <c r="E9741" i="1"/>
  <c r="D9741" i="1"/>
  <c r="C9741" i="1"/>
  <c r="B9741" i="1"/>
  <c r="A9741" i="1"/>
  <c r="S9740" i="1"/>
  <c r="O9740" i="1"/>
  <c r="K9740" i="1"/>
  <c r="J9740" i="1"/>
  <c r="I9740" i="1"/>
  <c r="H9740" i="1"/>
  <c r="G9740" i="1"/>
  <c r="F9740" i="1"/>
  <c r="E9740" i="1"/>
  <c r="D9740" i="1"/>
  <c r="C9740" i="1"/>
  <c r="B9740" i="1"/>
  <c r="A9740" i="1"/>
  <c r="R9739" i="1"/>
  <c r="J9739" i="1"/>
  <c r="I9739" i="1"/>
  <c r="G9739" i="1"/>
  <c r="F9739" i="1"/>
  <c r="E9739" i="1"/>
  <c r="D9739" i="1"/>
  <c r="C9739" i="1"/>
  <c r="B9739" i="1"/>
  <c r="A9739" i="1"/>
  <c r="S9738" i="1"/>
  <c r="O9738" i="1"/>
  <c r="K9738" i="1"/>
  <c r="J9738" i="1"/>
  <c r="I9738" i="1"/>
  <c r="H9738" i="1"/>
  <c r="G9738" i="1"/>
  <c r="F9738" i="1"/>
  <c r="E9738" i="1"/>
  <c r="D9738" i="1"/>
  <c r="C9738" i="1"/>
  <c r="B9738" i="1"/>
  <c r="A9738" i="1"/>
  <c r="R9737" i="1"/>
  <c r="J9737" i="1"/>
  <c r="I9737" i="1"/>
  <c r="G9737" i="1"/>
  <c r="F9737" i="1"/>
  <c r="E9737" i="1"/>
  <c r="D9737" i="1"/>
  <c r="C9737" i="1"/>
  <c r="B9737" i="1"/>
  <c r="A9737" i="1"/>
  <c r="S9736" i="1"/>
  <c r="O9736" i="1"/>
  <c r="K9736" i="1"/>
  <c r="J9736" i="1"/>
  <c r="I9736" i="1"/>
  <c r="H9736" i="1"/>
  <c r="G9736" i="1"/>
  <c r="F9736" i="1"/>
  <c r="E9736" i="1"/>
  <c r="D9736" i="1"/>
  <c r="C9736" i="1"/>
  <c r="B9736" i="1"/>
  <c r="A9736" i="1"/>
  <c r="R9735" i="1"/>
  <c r="J9735" i="1"/>
  <c r="I9735" i="1"/>
  <c r="G9735" i="1"/>
  <c r="F9735" i="1"/>
  <c r="E9735" i="1"/>
  <c r="D9735" i="1"/>
  <c r="C9735" i="1"/>
  <c r="B9735" i="1"/>
  <c r="A9735" i="1"/>
  <c r="S9734" i="1"/>
  <c r="O9734" i="1"/>
  <c r="K9734" i="1"/>
  <c r="J9734" i="1"/>
  <c r="I9734" i="1"/>
  <c r="H9734" i="1"/>
  <c r="G9734" i="1"/>
  <c r="F9734" i="1"/>
  <c r="E9734" i="1"/>
  <c r="D9734" i="1"/>
  <c r="C9734" i="1"/>
  <c r="B9734" i="1"/>
  <c r="A9734" i="1"/>
  <c r="R9733" i="1"/>
  <c r="J9733" i="1"/>
  <c r="I9733" i="1"/>
  <c r="G9733" i="1"/>
  <c r="F9733" i="1"/>
  <c r="E9733" i="1"/>
  <c r="D9733" i="1"/>
  <c r="C9733" i="1"/>
  <c r="B9733" i="1"/>
  <c r="A9733" i="1"/>
  <c r="S9732" i="1"/>
  <c r="O9732" i="1"/>
  <c r="K9732" i="1"/>
  <c r="J9732" i="1"/>
  <c r="I9732" i="1"/>
  <c r="H9732" i="1"/>
  <c r="G9732" i="1"/>
  <c r="F9732" i="1"/>
  <c r="E9732" i="1"/>
  <c r="D9732" i="1"/>
  <c r="C9732" i="1"/>
  <c r="B9732" i="1"/>
  <c r="A9732" i="1"/>
  <c r="R9731" i="1"/>
  <c r="J9731" i="1"/>
  <c r="I9731" i="1"/>
  <c r="G9731" i="1"/>
  <c r="F9731" i="1"/>
  <c r="E9731" i="1"/>
  <c r="D9731" i="1"/>
  <c r="C9731" i="1"/>
  <c r="B9731" i="1"/>
  <c r="A9731" i="1"/>
  <c r="S9730" i="1"/>
  <c r="O9730" i="1"/>
  <c r="K9730" i="1"/>
  <c r="J9730" i="1"/>
  <c r="I9730" i="1"/>
  <c r="H9730" i="1"/>
  <c r="G9730" i="1"/>
  <c r="F9730" i="1"/>
  <c r="E9730" i="1"/>
  <c r="D9730" i="1"/>
  <c r="C9730" i="1"/>
  <c r="B9730" i="1"/>
  <c r="A9730" i="1"/>
  <c r="R9729" i="1"/>
  <c r="J9729" i="1"/>
  <c r="I9729" i="1"/>
  <c r="G9729" i="1"/>
  <c r="F9729" i="1"/>
  <c r="E9729" i="1"/>
  <c r="D9729" i="1"/>
  <c r="C9729" i="1"/>
  <c r="B9729" i="1"/>
  <c r="A9729" i="1"/>
  <c r="S9728" i="1"/>
  <c r="O9728" i="1"/>
  <c r="K9728" i="1"/>
  <c r="J9728" i="1"/>
  <c r="I9728" i="1"/>
  <c r="H9728" i="1"/>
  <c r="G9728" i="1"/>
  <c r="F9728" i="1"/>
  <c r="E9728" i="1"/>
  <c r="D9728" i="1"/>
  <c r="C9728" i="1"/>
  <c r="B9728" i="1"/>
  <c r="A9728" i="1"/>
  <c r="R9727" i="1"/>
  <c r="J9727" i="1"/>
  <c r="I9727" i="1"/>
  <c r="G9727" i="1"/>
  <c r="F9727" i="1"/>
  <c r="E9727" i="1"/>
  <c r="D9727" i="1"/>
  <c r="C9727" i="1"/>
  <c r="B9727" i="1"/>
  <c r="A9727" i="1"/>
  <c r="S9726" i="1"/>
  <c r="O9726" i="1"/>
  <c r="K9726" i="1"/>
  <c r="J9726" i="1"/>
  <c r="I9726" i="1"/>
  <c r="H9726" i="1"/>
  <c r="G9726" i="1"/>
  <c r="F9726" i="1"/>
  <c r="E9726" i="1"/>
  <c r="D9726" i="1"/>
  <c r="C9726" i="1"/>
  <c r="B9726" i="1"/>
  <c r="A9726" i="1"/>
  <c r="R9725" i="1"/>
  <c r="J9725" i="1"/>
  <c r="I9725" i="1"/>
  <c r="G9725" i="1"/>
  <c r="F9725" i="1"/>
  <c r="E9725" i="1"/>
  <c r="D9725" i="1"/>
  <c r="C9725" i="1"/>
  <c r="B9725" i="1"/>
  <c r="A9725" i="1"/>
  <c r="R9724" i="1"/>
  <c r="J9724" i="1"/>
  <c r="I9724" i="1"/>
  <c r="G9724" i="1"/>
  <c r="F9724" i="1"/>
  <c r="E9724" i="1"/>
  <c r="D9724" i="1"/>
  <c r="C9724" i="1"/>
  <c r="B9724" i="1"/>
  <c r="A9724" i="1"/>
  <c r="S9723" i="1"/>
  <c r="O9723" i="1"/>
  <c r="K9723" i="1"/>
  <c r="J9723" i="1"/>
  <c r="I9723" i="1"/>
  <c r="H9723" i="1"/>
  <c r="G9723" i="1"/>
  <c r="F9723" i="1"/>
  <c r="E9723" i="1"/>
  <c r="D9723" i="1"/>
  <c r="C9723" i="1"/>
  <c r="B9723" i="1"/>
  <c r="A9723" i="1"/>
  <c r="R9722" i="1"/>
  <c r="J9722" i="1"/>
  <c r="I9722" i="1"/>
  <c r="G9722" i="1"/>
  <c r="F9722" i="1"/>
  <c r="E9722" i="1"/>
  <c r="D9722" i="1"/>
  <c r="C9722" i="1"/>
  <c r="B9722" i="1"/>
  <c r="A9722" i="1"/>
  <c r="R9721" i="1"/>
  <c r="J9721" i="1"/>
  <c r="I9721" i="1"/>
  <c r="G9721" i="1"/>
  <c r="F9721" i="1"/>
  <c r="E9721" i="1"/>
  <c r="D9721" i="1"/>
  <c r="C9721" i="1"/>
  <c r="B9721" i="1"/>
  <c r="A9721" i="1"/>
  <c r="R9720" i="1"/>
  <c r="J9720" i="1"/>
  <c r="I9720" i="1"/>
  <c r="G9720" i="1"/>
  <c r="F9720" i="1"/>
  <c r="E9720" i="1"/>
  <c r="D9720" i="1"/>
  <c r="C9720" i="1"/>
  <c r="B9720" i="1"/>
  <c r="A9720" i="1"/>
  <c r="S9719" i="1"/>
  <c r="O9719" i="1"/>
  <c r="K9719" i="1"/>
  <c r="J9719" i="1"/>
  <c r="I9719" i="1"/>
  <c r="H9719" i="1"/>
  <c r="G9719" i="1"/>
  <c r="F9719" i="1"/>
  <c r="E9719" i="1"/>
  <c r="D9719" i="1"/>
  <c r="C9719" i="1"/>
  <c r="B9719" i="1"/>
  <c r="A9719" i="1"/>
  <c r="S9718" i="1"/>
  <c r="O9718" i="1"/>
  <c r="K9718" i="1"/>
  <c r="J9718" i="1"/>
  <c r="I9718" i="1"/>
  <c r="H9718" i="1"/>
  <c r="G9718" i="1"/>
  <c r="F9718" i="1"/>
  <c r="D9718" i="1"/>
  <c r="C9718" i="1"/>
  <c r="B9718" i="1"/>
  <c r="A9718" i="1"/>
  <c r="R9717" i="1"/>
  <c r="J9717" i="1"/>
  <c r="I9717" i="1"/>
  <c r="G9717" i="1"/>
  <c r="F9717" i="1"/>
  <c r="E9717" i="1"/>
  <c r="D9717" i="1"/>
  <c r="C9717" i="1"/>
  <c r="B9717" i="1"/>
  <c r="A9717" i="1"/>
  <c r="S9716" i="1"/>
  <c r="O9716" i="1"/>
  <c r="K9716" i="1"/>
  <c r="J9716" i="1"/>
  <c r="I9716" i="1"/>
  <c r="H9716" i="1"/>
  <c r="G9716" i="1"/>
  <c r="F9716" i="1"/>
  <c r="E9716" i="1"/>
  <c r="D9716" i="1"/>
  <c r="C9716" i="1"/>
  <c r="B9716" i="1"/>
  <c r="A9716" i="1"/>
  <c r="R9715" i="1"/>
  <c r="J9715" i="1"/>
  <c r="I9715" i="1"/>
  <c r="G9715" i="1"/>
  <c r="F9715" i="1"/>
  <c r="E9715" i="1"/>
  <c r="D9715" i="1"/>
  <c r="C9715" i="1"/>
  <c r="B9715" i="1"/>
  <c r="A9715" i="1"/>
  <c r="S9714" i="1"/>
  <c r="O9714" i="1"/>
  <c r="K9714" i="1"/>
  <c r="J9714" i="1"/>
  <c r="I9714" i="1"/>
  <c r="H9714" i="1"/>
  <c r="G9714" i="1"/>
  <c r="F9714" i="1"/>
  <c r="E9714" i="1"/>
  <c r="D9714" i="1"/>
  <c r="C9714" i="1"/>
  <c r="B9714" i="1"/>
  <c r="A9714" i="1"/>
  <c r="R9713" i="1"/>
  <c r="J9713" i="1"/>
  <c r="I9713" i="1"/>
  <c r="G9713" i="1"/>
  <c r="F9713" i="1"/>
  <c r="E9713" i="1"/>
  <c r="D9713" i="1"/>
  <c r="C9713" i="1"/>
  <c r="B9713" i="1"/>
  <c r="A9713" i="1"/>
  <c r="S9712" i="1"/>
  <c r="O9712" i="1"/>
  <c r="K9712" i="1"/>
  <c r="J9712" i="1"/>
  <c r="I9712" i="1"/>
  <c r="H9712" i="1"/>
  <c r="G9712" i="1"/>
  <c r="F9712" i="1"/>
  <c r="E9712" i="1"/>
  <c r="D9712" i="1"/>
  <c r="C9712" i="1"/>
  <c r="B9712" i="1"/>
  <c r="A9712" i="1"/>
  <c r="R9711" i="1"/>
  <c r="J9711" i="1"/>
  <c r="I9711" i="1"/>
  <c r="G9711" i="1"/>
  <c r="F9711" i="1"/>
  <c r="E9711" i="1"/>
  <c r="D9711" i="1"/>
  <c r="C9711" i="1"/>
  <c r="B9711" i="1"/>
  <c r="A9711" i="1"/>
  <c r="S9710" i="1"/>
  <c r="O9710" i="1"/>
  <c r="K9710" i="1"/>
  <c r="J9710" i="1"/>
  <c r="I9710" i="1"/>
  <c r="H9710" i="1"/>
  <c r="G9710" i="1"/>
  <c r="F9710" i="1"/>
  <c r="E9710" i="1"/>
  <c r="D9710" i="1"/>
  <c r="C9710" i="1"/>
  <c r="B9710" i="1"/>
  <c r="A9710" i="1"/>
  <c r="R9709" i="1"/>
  <c r="J9709" i="1"/>
  <c r="I9709" i="1"/>
  <c r="G9709" i="1"/>
  <c r="F9709" i="1"/>
  <c r="E9709" i="1"/>
  <c r="D9709" i="1"/>
  <c r="C9709" i="1"/>
  <c r="B9709" i="1"/>
  <c r="A9709" i="1"/>
  <c r="S9708" i="1"/>
  <c r="O9708" i="1"/>
  <c r="K9708" i="1"/>
  <c r="J9708" i="1"/>
  <c r="I9708" i="1"/>
  <c r="H9708" i="1"/>
  <c r="G9708" i="1"/>
  <c r="F9708" i="1"/>
  <c r="E9708" i="1"/>
  <c r="D9708" i="1"/>
  <c r="C9708" i="1"/>
  <c r="B9708" i="1"/>
  <c r="A9708" i="1"/>
  <c r="S9707" i="1"/>
  <c r="O9707" i="1"/>
  <c r="K9707" i="1"/>
  <c r="J9707" i="1"/>
  <c r="I9707" i="1"/>
  <c r="H9707" i="1"/>
  <c r="G9707" i="1"/>
  <c r="F9707" i="1"/>
  <c r="E9707" i="1"/>
  <c r="D9707" i="1"/>
  <c r="C9707" i="1"/>
  <c r="B9707" i="1"/>
  <c r="A9707" i="1"/>
  <c r="R9706" i="1"/>
  <c r="J9706" i="1"/>
  <c r="I9706" i="1"/>
  <c r="G9706" i="1"/>
  <c r="F9706" i="1"/>
  <c r="E9706" i="1"/>
  <c r="D9706" i="1"/>
  <c r="C9706" i="1"/>
  <c r="B9706" i="1"/>
  <c r="A9706" i="1"/>
  <c r="S9705" i="1"/>
  <c r="O9705" i="1"/>
  <c r="K9705" i="1"/>
  <c r="J9705" i="1"/>
  <c r="I9705" i="1"/>
  <c r="H9705" i="1"/>
  <c r="G9705" i="1"/>
  <c r="F9705" i="1"/>
  <c r="E9705" i="1"/>
  <c r="D9705" i="1"/>
  <c r="C9705" i="1"/>
  <c r="B9705" i="1"/>
  <c r="A9705" i="1"/>
  <c r="R9704" i="1"/>
  <c r="J9704" i="1"/>
  <c r="I9704" i="1"/>
  <c r="G9704" i="1"/>
  <c r="F9704" i="1"/>
  <c r="E9704" i="1"/>
  <c r="D9704" i="1"/>
  <c r="C9704" i="1"/>
  <c r="B9704" i="1"/>
  <c r="A9704" i="1"/>
  <c r="S9703" i="1"/>
  <c r="O9703" i="1"/>
  <c r="K9703" i="1"/>
  <c r="J9703" i="1"/>
  <c r="I9703" i="1"/>
  <c r="H9703" i="1"/>
  <c r="G9703" i="1"/>
  <c r="F9703" i="1"/>
  <c r="E9703" i="1"/>
  <c r="D9703" i="1"/>
  <c r="C9703" i="1"/>
  <c r="B9703" i="1"/>
  <c r="A9703" i="1"/>
  <c r="R9702" i="1"/>
  <c r="J9702" i="1"/>
  <c r="I9702" i="1"/>
  <c r="G9702" i="1"/>
  <c r="F9702" i="1"/>
  <c r="E9702" i="1"/>
  <c r="D9702" i="1"/>
  <c r="C9702" i="1"/>
  <c r="B9702" i="1"/>
  <c r="A9702" i="1"/>
  <c r="S9701" i="1"/>
  <c r="O9701" i="1"/>
  <c r="K9701" i="1"/>
  <c r="J9701" i="1"/>
  <c r="I9701" i="1"/>
  <c r="H9701" i="1"/>
  <c r="G9701" i="1"/>
  <c r="F9701" i="1"/>
  <c r="E9701" i="1"/>
  <c r="D9701" i="1"/>
  <c r="C9701" i="1"/>
  <c r="B9701" i="1"/>
  <c r="A9701" i="1"/>
  <c r="R9700" i="1"/>
  <c r="J9700" i="1"/>
  <c r="I9700" i="1"/>
  <c r="G9700" i="1"/>
  <c r="F9700" i="1"/>
  <c r="E9700" i="1"/>
  <c r="D9700" i="1"/>
  <c r="C9700" i="1"/>
  <c r="B9700" i="1"/>
  <c r="A9700" i="1"/>
  <c r="S9699" i="1"/>
  <c r="O9699" i="1"/>
  <c r="K9699" i="1"/>
  <c r="J9699" i="1"/>
  <c r="I9699" i="1"/>
  <c r="H9699" i="1"/>
  <c r="G9699" i="1"/>
  <c r="F9699" i="1"/>
  <c r="E9699" i="1"/>
  <c r="D9699" i="1"/>
  <c r="C9699" i="1"/>
  <c r="B9699" i="1"/>
  <c r="A9699" i="1"/>
  <c r="R9698" i="1"/>
  <c r="J9698" i="1"/>
  <c r="I9698" i="1"/>
  <c r="G9698" i="1"/>
  <c r="F9698" i="1"/>
  <c r="E9698" i="1"/>
  <c r="D9698" i="1"/>
  <c r="C9698" i="1"/>
  <c r="B9698" i="1"/>
  <c r="A9698" i="1"/>
  <c r="S9697" i="1"/>
  <c r="O9697" i="1"/>
  <c r="K9697" i="1"/>
  <c r="J9697" i="1"/>
  <c r="I9697" i="1"/>
  <c r="H9697" i="1"/>
  <c r="G9697" i="1"/>
  <c r="F9697" i="1"/>
  <c r="E9697" i="1"/>
  <c r="D9697" i="1"/>
  <c r="C9697" i="1"/>
  <c r="B9697" i="1"/>
  <c r="A9697" i="1"/>
  <c r="R9696" i="1"/>
  <c r="J9696" i="1"/>
  <c r="I9696" i="1"/>
  <c r="G9696" i="1"/>
  <c r="F9696" i="1"/>
  <c r="E9696" i="1"/>
  <c r="D9696" i="1"/>
  <c r="C9696" i="1"/>
  <c r="B9696" i="1"/>
  <c r="A9696" i="1"/>
  <c r="S9695" i="1"/>
  <c r="O9695" i="1"/>
  <c r="K9695" i="1"/>
  <c r="J9695" i="1"/>
  <c r="I9695" i="1"/>
  <c r="H9695" i="1"/>
  <c r="G9695" i="1"/>
  <c r="F9695" i="1"/>
  <c r="E9695" i="1"/>
  <c r="D9695" i="1"/>
  <c r="C9695" i="1"/>
  <c r="B9695" i="1"/>
  <c r="A9695" i="1"/>
  <c r="R9694" i="1"/>
  <c r="J9694" i="1"/>
  <c r="I9694" i="1"/>
  <c r="G9694" i="1"/>
  <c r="F9694" i="1"/>
  <c r="E9694" i="1"/>
  <c r="D9694" i="1"/>
  <c r="C9694" i="1"/>
  <c r="B9694" i="1"/>
  <c r="A9694" i="1"/>
  <c r="S9693" i="1"/>
  <c r="O9693" i="1"/>
  <c r="K9693" i="1"/>
  <c r="J9693" i="1"/>
  <c r="I9693" i="1"/>
  <c r="H9693" i="1"/>
  <c r="G9693" i="1"/>
  <c r="F9693" i="1"/>
  <c r="E9693" i="1"/>
  <c r="D9693" i="1"/>
  <c r="C9693" i="1"/>
  <c r="B9693" i="1"/>
  <c r="A9693" i="1"/>
  <c r="R9692" i="1"/>
  <c r="J9692" i="1"/>
  <c r="I9692" i="1"/>
  <c r="G9692" i="1"/>
  <c r="F9692" i="1"/>
  <c r="E9692" i="1"/>
  <c r="D9692" i="1"/>
  <c r="C9692" i="1"/>
  <c r="B9692" i="1"/>
  <c r="A9692" i="1"/>
  <c r="S9691" i="1"/>
  <c r="O9691" i="1"/>
  <c r="K9691" i="1"/>
  <c r="J9691" i="1"/>
  <c r="I9691" i="1"/>
  <c r="H9691" i="1"/>
  <c r="G9691" i="1"/>
  <c r="F9691" i="1"/>
  <c r="E9691" i="1"/>
  <c r="D9691" i="1"/>
  <c r="C9691" i="1"/>
  <c r="B9691" i="1"/>
  <c r="A9691" i="1"/>
  <c r="R9690" i="1"/>
  <c r="J9690" i="1"/>
  <c r="I9690" i="1"/>
  <c r="G9690" i="1"/>
  <c r="F9690" i="1"/>
  <c r="E9690" i="1"/>
  <c r="D9690" i="1"/>
  <c r="C9690" i="1"/>
  <c r="B9690" i="1"/>
  <c r="A9690" i="1"/>
  <c r="S9689" i="1"/>
  <c r="O9689" i="1"/>
  <c r="K9689" i="1"/>
  <c r="J9689" i="1"/>
  <c r="I9689" i="1"/>
  <c r="H9689" i="1"/>
  <c r="G9689" i="1"/>
  <c r="F9689" i="1"/>
  <c r="E9689" i="1"/>
  <c r="D9689" i="1"/>
  <c r="C9689" i="1"/>
  <c r="B9689" i="1"/>
  <c r="A9689" i="1"/>
  <c r="R9688" i="1"/>
  <c r="J9688" i="1"/>
  <c r="I9688" i="1"/>
  <c r="G9688" i="1"/>
  <c r="F9688" i="1"/>
  <c r="E9688" i="1"/>
  <c r="D9688" i="1"/>
  <c r="C9688" i="1"/>
  <c r="B9688" i="1"/>
  <c r="A9688" i="1"/>
  <c r="S9687" i="1"/>
  <c r="O9687" i="1"/>
  <c r="K9687" i="1"/>
  <c r="J9687" i="1"/>
  <c r="I9687" i="1"/>
  <c r="H9687" i="1"/>
  <c r="G9687" i="1"/>
  <c r="F9687" i="1"/>
  <c r="E9687" i="1"/>
  <c r="D9687" i="1"/>
  <c r="C9687" i="1"/>
  <c r="B9687" i="1"/>
  <c r="A9687" i="1"/>
  <c r="R9686" i="1"/>
  <c r="J9686" i="1"/>
  <c r="I9686" i="1"/>
  <c r="G9686" i="1"/>
  <c r="F9686" i="1"/>
  <c r="E9686" i="1"/>
  <c r="D9686" i="1"/>
  <c r="C9686" i="1"/>
  <c r="B9686" i="1"/>
  <c r="A9686" i="1"/>
  <c r="S9685" i="1"/>
  <c r="O9685" i="1"/>
  <c r="K9685" i="1"/>
  <c r="J9685" i="1"/>
  <c r="I9685" i="1"/>
  <c r="H9685" i="1"/>
  <c r="G9685" i="1"/>
  <c r="F9685" i="1"/>
  <c r="E9685" i="1"/>
  <c r="D9685" i="1"/>
  <c r="C9685" i="1"/>
  <c r="B9685" i="1"/>
  <c r="A9685" i="1"/>
  <c r="R9684" i="1"/>
  <c r="J9684" i="1"/>
  <c r="I9684" i="1"/>
  <c r="G9684" i="1"/>
  <c r="F9684" i="1"/>
  <c r="E9684" i="1"/>
  <c r="D9684" i="1"/>
  <c r="C9684" i="1"/>
  <c r="B9684" i="1"/>
  <c r="A9684" i="1"/>
  <c r="S9683" i="1"/>
  <c r="O9683" i="1"/>
  <c r="K9683" i="1"/>
  <c r="J9683" i="1"/>
  <c r="I9683" i="1"/>
  <c r="H9683" i="1"/>
  <c r="G9683" i="1"/>
  <c r="F9683" i="1"/>
  <c r="E9683" i="1"/>
  <c r="D9683" i="1"/>
  <c r="C9683" i="1"/>
  <c r="B9683" i="1"/>
  <c r="A9683" i="1"/>
  <c r="R9682" i="1"/>
  <c r="J9682" i="1"/>
  <c r="I9682" i="1"/>
  <c r="G9682" i="1"/>
  <c r="F9682" i="1"/>
  <c r="E9682" i="1"/>
  <c r="D9682" i="1"/>
  <c r="C9682" i="1"/>
  <c r="B9682" i="1"/>
  <c r="A9682" i="1"/>
  <c r="S9681" i="1"/>
  <c r="O9681" i="1"/>
  <c r="K9681" i="1"/>
  <c r="J9681" i="1"/>
  <c r="I9681" i="1"/>
  <c r="H9681" i="1"/>
  <c r="G9681" i="1"/>
  <c r="F9681" i="1"/>
  <c r="E9681" i="1"/>
  <c r="D9681" i="1"/>
  <c r="C9681" i="1"/>
  <c r="B9681" i="1"/>
  <c r="A9681" i="1"/>
  <c r="R9680" i="1"/>
  <c r="J9680" i="1"/>
  <c r="I9680" i="1"/>
  <c r="G9680" i="1"/>
  <c r="F9680" i="1"/>
  <c r="E9680" i="1"/>
  <c r="D9680" i="1"/>
  <c r="C9680" i="1"/>
  <c r="B9680" i="1"/>
  <c r="A9680" i="1"/>
  <c r="S9679" i="1"/>
  <c r="O9679" i="1"/>
  <c r="K9679" i="1"/>
  <c r="J9679" i="1"/>
  <c r="I9679" i="1"/>
  <c r="H9679" i="1"/>
  <c r="G9679" i="1"/>
  <c r="F9679" i="1"/>
  <c r="E9679" i="1"/>
  <c r="D9679" i="1"/>
  <c r="C9679" i="1"/>
  <c r="B9679" i="1"/>
  <c r="A9679" i="1"/>
  <c r="R9678" i="1"/>
  <c r="J9678" i="1"/>
  <c r="I9678" i="1"/>
  <c r="G9678" i="1"/>
  <c r="F9678" i="1"/>
  <c r="E9678" i="1"/>
  <c r="D9678" i="1"/>
  <c r="C9678" i="1"/>
  <c r="B9678" i="1"/>
  <c r="A9678" i="1"/>
  <c r="S9677" i="1"/>
  <c r="O9677" i="1"/>
  <c r="K9677" i="1"/>
  <c r="J9677" i="1"/>
  <c r="I9677" i="1"/>
  <c r="H9677" i="1"/>
  <c r="G9677" i="1"/>
  <c r="F9677" i="1"/>
  <c r="E9677" i="1"/>
  <c r="D9677" i="1"/>
  <c r="C9677" i="1"/>
  <c r="B9677" i="1"/>
  <c r="A9677" i="1"/>
  <c r="R9676" i="1"/>
  <c r="J9676" i="1"/>
  <c r="I9676" i="1"/>
  <c r="G9676" i="1"/>
  <c r="F9676" i="1"/>
  <c r="E9676" i="1"/>
  <c r="D9676" i="1"/>
  <c r="C9676" i="1"/>
  <c r="B9676" i="1"/>
  <c r="A9676" i="1"/>
  <c r="S9675" i="1"/>
  <c r="O9675" i="1"/>
  <c r="K9675" i="1"/>
  <c r="J9675" i="1"/>
  <c r="I9675" i="1"/>
  <c r="H9675" i="1"/>
  <c r="G9675" i="1"/>
  <c r="F9675" i="1"/>
  <c r="E9675" i="1"/>
  <c r="D9675" i="1"/>
  <c r="C9675" i="1"/>
  <c r="B9675" i="1"/>
  <c r="A9675" i="1"/>
  <c r="R9674" i="1"/>
  <c r="J9674" i="1"/>
  <c r="I9674" i="1"/>
  <c r="G9674" i="1"/>
  <c r="F9674" i="1"/>
  <c r="E9674" i="1"/>
  <c r="D9674" i="1"/>
  <c r="C9674" i="1"/>
  <c r="B9674" i="1"/>
  <c r="A9674" i="1"/>
  <c r="R9673" i="1"/>
  <c r="J9673" i="1"/>
  <c r="I9673" i="1"/>
  <c r="G9673" i="1"/>
  <c r="F9673" i="1"/>
  <c r="E9673" i="1"/>
  <c r="D9673" i="1"/>
  <c r="C9673" i="1"/>
  <c r="B9673" i="1"/>
  <c r="A9673" i="1"/>
  <c r="R9672" i="1"/>
  <c r="J9672" i="1"/>
  <c r="I9672" i="1"/>
  <c r="G9672" i="1"/>
  <c r="F9672" i="1"/>
  <c r="E9672" i="1"/>
  <c r="D9672" i="1"/>
  <c r="C9672" i="1"/>
  <c r="B9672" i="1"/>
  <c r="A9672" i="1"/>
  <c r="S9671" i="1"/>
  <c r="O9671" i="1"/>
  <c r="K9671" i="1"/>
  <c r="J9671" i="1"/>
  <c r="I9671" i="1"/>
  <c r="H9671" i="1"/>
  <c r="G9671" i="1"/>
  <c r="F9671" i="1"/>
  <c r="E9671" i="1"/>
  <c r="D9671" i="1"/>
  <c r="C9671" i="1"/>
  <c r="B9671" i="1"/>
  <c r="A9671" i="1"/>
  <c r="R9670" i="1"/>
  <c r="J9670" i="1"/>
  <c r="I9670" i="1"/>
  <c r="G9670" i="1"/>
  <c r="F9670" i="1"/>
  <c r="E9670" i="1"/>
  <c r="D9670" i="1"/>
  <c r="C9670" i="1"/>
  <c r="B9670" i="1"/>
  <c r="A9670" i="1"/>
  <c r="R9669" i="1"/>
  <c r="J9669" i="1"/>
  <c r="I9669" i="1"/>
  <c r="G9669" i="1"/>
  <c r="F9669" i="1"/>
  <c r="E9669" i="1"/>
  <c r="D9669" i="1"/>
  <c r="C9669" i="1"/>
  <c r="B9669" i="1"/>
  <c r="A9669" i="1"/>
  <c r="R9668" i="1"/>
  <c r="J9668" i="1"/>
  <c r="I9668" i="1"/>
  <c r="G9668" i="1"/>
  <c r="F9668" i="1"/>
  <c r="E9668" i="1"/>
  <c r="D9668" i="1"/>
  <c r="C9668" i="1"/>
  <c r="B9668" i="1"/>
  <c r="A9668" i="1"/>
  <c r="R9667" i="1"/>
  <c r="J9667" i="1"/>
  <c r="I9667" i="1"/>
  <c r="G9667" i="1"/>
  <c r="F9667" i="1"/>
  <c r="E9667" i="1"/>
  <c r="D9667" i="1"/>
  <c r="C9667" i="1"/>
  <c r="B9667" i="1"/>
  <c r="A9667" i="1"/>
  <c r="R9666" i="1"/>
  <c r="J9666" i="1"/>
  <c r="I9666" i="1"/>
  <c r="G9666" i="1"/>
  <c r="F9666" i="1"/>
  <c r="E9666" i="1"/>
  <c r="D9666" i="1"/>
  <c r="C9666" i="1"/>
  <c r="B9666" i="1"/>
  <c r="A9666" i="1"/>
  <c r="S9665" i="1"/>
  <c r="O9665" i="1"/>
  <c r="K9665" i="1"/>
  <c r="J9665" i="1"/>
  <c r="I9665" i="1"/>
  <c r="H9665" i="1"/>
  <c r="G9665" i="1"/>
  <c r="F9665" i="1"/>
  <c r="E9665" i="1"/>
  <c r="D9665" i="1"/>
  <c r="C9665" i="1"/>
  <c r="B9665" i="1"/>
  <c r="A9665" i="1"/>
  <c r="R9664" i="1"/>
  <c r="J9664" i="1"/>
  <c r="I9664" i="1"/>
  <c r="G9664" i="1"/>
  <c r="F9664" i="1"/>
  <c r="E9664" i="1"/>
  <c r="D9664" i="1"/>
  <c r="C9664" i="1"/>
  <c r="B9664" i="1"/>
  <c r="A9664" i="1"/>
  <c r="S9663" i="1"/>
  <c r="O9663" i="1"/>
  <c r="K9663" i="1"/>
  <c r="J9663" i="1"/>
  <c r="I9663" i="1"/>
  <c r="H9663" i="1"/>
  <c r="G9663" i="1"/>
  <c r="F9663" i="1"/>
  <c r="E9663" i="1"/>
  <c r="D9663" i="1"/>
  <c r="C9663" i="1"/>
  <c r="B9663" i="1"/>
  <c r="A9663" i="1"/>
  <c r="R9662" i="1"/>
  <c r="J9662" i="1"/>
  <c r="I9662" i="1"/>
  <c r="G9662" i="1"/>
  <c r="F9662" i="1"/>
  <c r="E9662" i="1"/>
  <c r="D9662" i="1"/>
  <c r="C9662" i="1"/>
  <c r="B9662" i="1"/>
  <c r="A9662" i="1"/>
  <c r="S9661" i="1"/>
  <c r="O9661" i="1"/>
  <c r="K9661" i="1"/>
  <c r="J9661" i="1"/>
  <c r="I9661" i="1"/>
  <c r="H9661" i="1"/>
  <c r="G9661" i="1"/>
  <c r="F9661" i="1"/>
  <c r="E9661" i="1"/>
  <c r="D9661" i="1"/>
  <c r="C9661" i="1"/>
  <c r="B9661" i="1"/>
  <c r="A9661" i="1"/>
  <c r="R9660" i="1"/>
  <c r="J9660" i="1"/>
  <c r="I9660" i="1"/>
  <c r="G9660" i="1"/>
  <c r="F9660" i="1"/>
  <c r="E9660" i="1"/>
  <c r="D9660" i="1"/>
  <c r="C9660" i="1"/>
  <c r="B9660" i="1"/>
  <c r="A9660" i="1"/>
  <c r="S9659" i="1"/>
  <c r="O9659" i="1"/>
  <c r="K9659" i="1"/>
  <c r="J9659" i="1"/>
  <c r="I9659" i="1"/>
  <c r="H9659" i="1"/>
  <c r="G9659" i="1"/>
  <c r="F9659" i="1"/>
  <c r="E9659" i="1"/>
  <c r="D9659" i="1"/>
  <c r="C9659" i="1"/>
  <c r="B9659" i="1"/>
  <c r="A9659" i="1"/>
  <c r="R9658" i="1"/>
  <c r="J9658" i="1"/>
  <c r="I9658" i="1"/>
  <c r="G9658" i="1"/>
  <c r="F9658" i="1"/>
  <c r="E9658" i="1"/>
  <c r="D9658" i="1"/>
  <c r="C9658" i="1"/>
  <c r="B9658" i="1"/>
  <c r="A9658" i="1"/>
  <c r="S9657" i="1"/>
  <c r="O9657" i="1"/>
  <c r="K9657" i="1"/>
  <c r="J9657" i="1"/>
  <c r="I9657" i="1"/>
  <c r="H9657" i="1"/>
  <c r="G9657" i="1"/>
  <c r="F9657" i="1"/>
  <c r="E9657" i="1"/>
  <c r="D9657" i="1"/>
  <c r="C9657" i="1"/>
  <c r="B9657" i="1"/>
  <c r="A9657" i="1"/>
  <c r="R9656" i="1"/>
  <c r="J9656" i="1"/>
  <c r="I9656" i="1"/>
  <c r="G9656" i="1"/>
  <c r="F9656" i="1"/>
  <c r="E9656" i="1"/>
  <c r="D9656" i="1"/>
  <c r="C9656" i="1"/>
  <c r="B9656" i="1"/>
  <c r="A9656" i="1"/>
  <c r="S9655" i="1"/>
  <c r="O9655" i="1"/>
  <c r="K9655" i="1"/>
  <c r="J9655" i="1"/>
  <c r="I9655" i="1"/>
  <c r="H9655" i="1"/>
  <c r="G9655" i="1"/>
  <c r="F9655" i="1"/>
  <c r="E9655" i="1"/>
  <c r="D9655" i="1"/>
  <c r="C9655" i="1"/>
  <c r="B9655" i="1"/>
  <c r="A9655" i="1"/>
  <c r="R9654" i="1"/>
  <c r="J9654" i="1"/>
  <c r="I9654" i="1"/>
  <c r="G9654" i="1"/>
  <c r="F9654" i="1"/>
  <c r="E9654" i="1"/>
  <c r="D9654" i="1"/>
  <c r="C9654" i="1"/>
  <c r="B9654" i="1"/>
  <c r="A9654" i="1"/>
  <c r="S9653" i="1"/>
  <c r="O9653" i="1"/>
  <c r="K9653" i="1"/>
  <c r="J9653" i="1"/>
  <c r="I9653" i="1"/>
  <c r="H9653" i="1"/>
  <c r="G9653" i="1"/>
  <c r="F9653" i="1"/>
  <c r="E9653" i="1"/>
  <c r="D9653" i="1"/>
  <c r="C9653" i="1"/>
  <c r="B9653" i="1"/>
  <c r="A9653" i="1"/>
  <c r="R9652" i="1"/>
  <c r="J9652" i="1"/>
  <c r="I9652" i="1"/>
  <c r="G9652" i="1"/>
  <c r="F9652" i="1"/>
  <c r="E9652" i="1"/>
  <c r="D9652" i="1"/>
  <c r="C9652" i="1"/>
  <c r="B9652" i="1"/>
  <c r="A9652" i="1"/>
  <c r="S9651" i="1"/>
  <c r="O9651" i="1"/>
  <c r="K9651" i="1"/>
  <c r="J9651" i="1"/>
  <c r="I9651" i="1"/>
  <c r="H9651" i="1"/>
  <c r="G9651" i="1"/>
  <c r="F9651" i="1"/>
  <c r="E9651" i="1"/>
  <c r="D9651" i="1"/>
  <c r="C9651" i="1"/>
  <c r="B9651" i="1"/>
  <c r="A9651" i="1"/>
  <c r="R9650" i="1"/>
  <c r="J9650" i="1"/>
  <c r="I9650" i="1"/>
  <c r="G9650" i="1"/>
  <c r="F9650" i="1"/>
  <c r="E9650" i="1"/>
  <c r="D9650" i="1"/>
  <c r="C9650" i="1"/>
  <c r="B9650" i="1"/>
  <c r="A9650" i="1"/>
  <c r="S9649" i="1"/>
  <c r="O9649" i="1"/>
  <c r="K9649" i="1"/>
  <c r="J9649" i="1"/>
  <c r="I9649" i="1"/>
  <c r="H9649" i="1"/>
  <c r="G9649" i="1"/>
  <c r="F9649" i="1"/>
  <c r="E9649" i="1"/>
  <c r="D9649" i="1"/>
  <c r="C9649" i="1"/>
  <c r="B9649" i="1"/>
  <c r="A9649" i="1"/>
  <c r="R9648" i="1"/>
  <c r="J9648" i="1"/>
  <c r="I9648" i="1"/>
  <c r="G9648" i="1"/>
  <c r="F9648" i="1"/>
  <c r="E9648" i="1"/>
  <c r="D9648" i="1"/>
  <c r="C9648" i="1"/>
  <c r="B9648" i="1"/>
  <c r="A9648" i="1"/>
  <c r="S9647" i="1"/>
  <c r="O9647" i="1"/>
  <c r="K9647" i="1"/>
  <c r="J9647" i="1"/>
  <c r="I9647" i="1"/>
  <c r="H9647" i="1"/>
  <c r="G9647" i="1"/>
  <c r="F9647" i="1"/>
  <c r="E9647" i="1"/>
  <c r="D9647" i="1"/>
  <c r="C9647" i="1"/>
  <c r="B9647" i="1"/>
  <c r="A9647" i="1"/>
  <c r="R9646" i="1"/>
  <c r="J9646" i="1"/>
  <c r="I9646" i="1"/>
  <c r="G9646" i="1"/>
  <c r="F9646" i="1"/>
  <c r="E9646" i="1"/>
  <c r="D9646" i="1"/>
  <c r="C9646" i="1"/>
  <c r="B9646" i="1"/>
  <c r="A9646" i="1"/>
  <c r="S9645" i="1"/>
  <c r="O9645" i="1"/>
  <c r="K9645" i="1"/>
  <c r="J9645" i="1"/>
  <c r="I9645" i="1"/>
  <c r="H9645" i="1"/>
  <c r="G9645" i="1"/>
  <c r="F9645" i="1"/>
  <c r="E9645" i="1"/>
  <c r="D9645" i="1"/>
  <c r="C9645" i="1"/>
  <c r="B9645" i="1"/>
  <c r="A9645" i="1"/>
  <c r="R9644" i="1"/>
  <c r="J9644" i="1"/>
  <c r="I9644" i="1"/>
  <c r="G9644" i="1"/>
  <c r="F9644" i="1"/>
  <c r="E9644" i="1"/>
  <c r="D9644" i="1"/>
  <c r="C9644" i="1"/>
  <c r="B9644" i="1"/>
  <c r="A9644" i="1"/>
  <c r="S9643" i="1"/>
  <c r="O9643" i="1"/>
  <c r="K9643" i="1"/>
  <c r="J9643" i="1"/>
  <c r="I9643" i="1"/>
  <c r="H9643" i="1"/>
  <c r="G9643" i="1"/>
  <c r="F9643" i="1"/>
  <c r="E9643" i="1"/>
  <c r="D9643" i="1"/>
  <c r="C9643" i="1"/>
  <c r="B9643" i="1"/>
  <c r="A9643" i="1"/>
  <c r="R9642" i="1"/>
  <c r="J9642" i="1"/>
  <c r="I9642" i="1"/>
  <c r="G9642" i="1"/>
  <c r="F9642" i="1"/>
  <c r="E9642" i="1"/>
  <c r="D9642" i="1"/>
  <c r="C9642" i="1"/>
  <c r="B9642" i="1"/>
  <c r="A9642" i="1"/>
  <c r="S9641" i="1"/>
  <c r="O9641" i="1"/>
  <c r="K9641" i="1"/>
  <c r="J9641" i="1"/>
  <c r="I9641" i="1"/>
  <c r="H9641" i="1"/>
  <c r="G9641" i="1"/>
  <c r="F9641" i="1"/>
  <c r="E9641" i="1"/>
  <c r="D9641" i="1"/>
  <c r="C9641" i="1"/>
  <c r="B9641" i="1"/>
  <c r="A9641" i="1"/>
  <c r="R9640" i="1"/>
  <c r="J9640" i="1"/>
  <c r="I9640" i="1"/>
  <c r="G9640" i="1"/>
  <c r="F9640" i="1"/>
  <c r="E9640" i="1"/>
  <c r="D9640" i="1"/>
  <c r="C9640" i="1"/>
  <c r="B9640" i="1"/>
  <c r="A9640" i="1"/>
  <c r="S9639" i="1"/>
  <c r="O9639" i="1"/>
  <c r="K9639" i="1"/>
  <c r="J9639" i="1"/>
  <c r="I9639" i="1"/>
  <c r="H9639" i="1"/>
  <c r="G9639" i="1"/>
  <c r="F9639" i="1"/>
  <c r="E9639" i="1"/>
  <c r="D9639" i="1"/>
  <c r="C9639" i="1"/>
  <c r="B9639" i="1"/>
  <c r="A9639" i="1"/>
  <c r="R9638" i="1"/>
  <c r="J9638" i="1"/>
  <c r="I9638" i="1"/>
  <c r="G9638" i="1"/>
  <c r="F9638" i="1"/>
  <c r="E9638" i="1"/>
  <c r="D9638" i="1"/>
  <c r="C9638" i="1"/>
  <c r="B9638" i="1"/>
  <c r="A9638" i="1"/>
  <c r="R9637" i="1"/>
  <c r="J9637" i="1"/>
  <c r="I9637" i="1"/>
  <c r="G9637" i="1"/>
  <c r="F9637" i="1"/>
  <c r="E9637" i="1"/>
  <c r="D9637" i="1"/>
  <c r="C9637" i="1"/>
  <c r="B9637" i="1"/>
  <c r="A9637" i="1"/>
  <c r="R9636" i="1"/>
  <c r="J9636" i="1"/>
  <c r="I9636" i="1"/>
  <c r="G9636" i="1"/>
  <c r="F9636" i="1"/>
  <c r="E9636" i="1"/>
  <c r="D9636" i="1"/>
  <c r="C9636" i="1"/>
  <c r="B9636" i="1"/>
  <c r="A9636" i="1"/>
  <c r="R9635" i="1"/>
  <c r="J9635" i="1"/>
  <c r="I9635" i="1"/>
  <c r="G9635" i="1"/>
  <c r="F9635" i="1"/>
  <c r="E9635" i="1"/>
  <c r="D9635" i="1"/>
  <c r="C9635" i="1"/>
  <c r="B9635" i="1"/>
  <c r="A9635" i="1"/>
  <c r="R9634" i="1"/>
  <c r="J9634" i="1"/>
  <c r="I9634" i="1"/>
  <c r="G9634" i="1"/>
  <c r="F9634" i="1"/>
  <c r="E9634" i="1"/>
  <c r="D9634" i="1"/>
  <c r="C9634" i="1"/>
  <c r="B9634" i="1"/>
  <c r="A9634" i="1"/>
  <c r="S9633" i="1"/>
  <c r="O9633" i="1"/>
  <c r="K9633" i="1"/>
  <c r="J9633" i="1"/>
  <c r="I9633" i="1"/>
  <c r="H9633" i="1"/>
  <c r="G9633" i="1"/>
  <c r="F9633" i="1"/>
  <c r="E9633" i="1"/>
  <c r="D9633" i="1"/>
  <c r="C9633" i="1"/>
  <c r="B9633" i="1"/>
  <c r="A9633" i="1"/>
  <c r="R9632" i="1"/>
  <c r="J9632" i="1"/>
  <c r="I9632" i="1"/>
  <c r="G9632" i="1"/>
  <c r="F9632" i="1"/>
  <c r="E9632" i="1"/>
  <c r="D9632" i="1"/>
  <c r="C9632" i="1"/>
  <c r="B9632" i="1"/>
  <c r="A9632" i="1"/>
  <c r="S9631" i="1"/>
  <c r="O9631" i="1"/>
  <c r="K9631" i="1"/>
  <c r="J9631" i="1"/>
  <c r="I9631" i="1"/>
  <c r="H9631" i="1"/>
  <c r="G9631" i="1"/>
  <c r="F9631" i="1"/>
  <c r="E9631" i="1"/>
  <c r="D9631" i="1"/>
  <c r="C9631" i="1"/>
  <c r="B9631" i="1"/>
  <c r="A9631" i="1"/>
  <c r="R9630" i="1"/>
  <c r="J9630" i="1"/>
  <c r="I9630" i="1"/>
  <c r="G9630" i="1"/>
  <c r="F9630" i="1"/>
  <c r="E9630" i="1"/>
  <c r="D9630" i="1"/>
  <c r="C9630" i="1"/>
  <c r="B9630" i="1"/>
  <c r="A9630" i="1"/>
  <c r="S9629" i="1"/>
  <c r="O9629" i="1"/>
  <c r="K9629" i="1"/>
  <c r="J9629" i="1"/>
  <c r="I9629" i="1"/>
  <c r="H9629" i="1"/>
  <c r="G9629" i="1"/>
  <c r="F9629" i="1"/>
  <c r="E9629" i="1"/>
  <c r="D9629" i="1"/>
  <c r="C9629" i="1"/>
  <c r="B9629" i="1"/>
  <c r="A9629" i="1"/>
  <c r="R9628" i="1"/>
  <c r="J9628" i="1"/>
  <c r="I9628" i="1"/>
  <c r="G9628" i="1"/>
  <c r="F9628" i="1"/>
  <c r="E9628" i="1"/>
  <c r="D9628" i="1"/>
  <c r="C9628" i="1"/>
  <c r="B9628" i="1"/>
  <c r="A9628" i="1"/>
  <c r="S9627" i="1"/>
  <c r="O9627" i="1"/>
  <c r="K9627" i="1"/>
  <c r="J9627" i="1"/>
  <c r="I9627" i="1"/>
  <c r="H9627" i="1"/>
  <c r="G9627" i="1"/>
  <c r="F9627" i="1"/>
  <c r="E9627" i="1"/>
  <c r="D9627" i="1"/>
  <c r="C9627" i="1"/>
  <c r="B9627" i="1"/>
  <c r="A9627" i="1"/>
  <c r="R9626" i="1"/>
  <c r="J9626" i="1"/>
  <c r="I9626" i="1"/>
  <c r="G9626" i="1"/>
  <c r="F9626" i="1"/>
  <c r="E9626" i="1"/>
  <c r="D9626" i="1"/>
  <c r="C9626" i="1"/>
  <c r="B9626" i="1"/>
  <c r="A9626" i="1"/>
  <c r="S9625" i="1"/>
  <c r="O9625" i="1"/>
  <c r="K9625" i="1"/>
  <c r="J9625" i="1"/>
  <c r="I9625" i="1"/>
  <c r="H9625" i="1"/>
  <c r="G9625" i="1"/>
  <c r="F9625" i="1"/>
  <c r="E9625" i="1"/>
  <c r="D9625" i="1"/>
  <c r="C9625" i="1"/>
  <c r="B9625" i="1"/>
  <c r="A9625" i="1"/>
  <c r="R9624" i="1"/>
  <c r="J9624" i="1"/>
  <c r="I9624" i="1"/>
  <c r="G9624" i="1"/>
  <c r="F9624" i="1"/>
  <c r="E9624" i="1"/>
  <c r="D9624" i="1"/>
  <c r="C9624" i="1"/>
  <c r="B9624" i="1"/>
  <c r="A9624" i="1"/>
  <c r="S9623" i="1"/>
  <c r="O9623" i="1"/>
  <c r="K9623" i="1"/>
  <c r="J9623" i="1"/>
  <c r="I9623" i="1"/>
  <c r="H9623" i="1"/>
  <c r="G9623" i="1"/>
  <c r="F9623" i="1"/>
  <c r="E9623" i="1"/>
  <c r="D9623" i="1"/>
  <c r="C9623" i="1"/>
  <c r="B9623" i="1"/>
  <c r="A9623" i="1"/>
  <c r="R9622" i="1"/>
  <c r="J9622" i="1"/>
  <c r="I9622" i="1"/>
  <c r="G9622" i="1"/>
  <c r="F9622" i="1"/>
  <c r="E9622" i="1"/>
  <c r="D9622" i="1"/>
  <c r="C9622" i="1"/>
  <c r="B9622" i="1"/>
  <c r="A9622" i="1"/>
  <c r="S9621" i="1"/>
  <c r="O9621" i="1"/>
  <c r="K9621" i="1"/>
  <c r="J9621" i="1"/>
  <c r="I9621" i="1"/>
  <c r="H9621" i="1"/>
  <c r="G9621" i="1"/>
  <c r="F9621" i="1"/>
  <c r="E9621" i="1"/>
  <c r="D9621" i="1"/>
  <c r="C9621" i="1"/>
  <c r="B9621" i="1"/>
  <c r="A9621" i="1"/>
  <c r="R9620" i="1"/>
  <c r="J9620" i="1"/>
  <c r="I9620" i="1"/>
  <c r="G9620" i="1"/>
  <c r="F9620" i="1"/>
  <c r="E9620" i="1"/>
  <c r="D9620" i="1"/>
  <c r="C9620" i="1"/>
  <c r="B9620" i="1"/>
  <c r="A9620" i="1"/>
  <c r="S9619" i="1"/>
  <c r="O9619" i="1"/>
  <c r="K9619" i="1"/>
  <c r="J9619" i="1"/>
  <c r="I9619" i="1"/>
  <c r="H9619" i="1"/>
  <c r="G9619" i="1"/>
  <c r="F9619" i="1"/>
  <c r="E9619" i="1"/>
  <c r="D9619" i="1"/>
  <c r="C9619" i="1"/>
  <c r="B9619" i="1"/>
  <c r="A9619" i="1"/>
  <c r="R9618" i="1"/>
  <c r="J9618" i="1"/>
  <c r="I9618" i="1"/>
  <c r="G9618" i="1"/>
  <c r="F9618" i="1"/>
  <c r="E9618" i="1"/>
  <c r="D9618" i="1"/>
  <c r="C9618" i="1"/>
  <c r="B9618" i="1"/>
  <c r="A9618" i="1"/>
  <c r="S9617" i="1"/>
  <c r="O9617" i="1"/>
  <c r="K9617" i="1"/>
  <c r="J9617" i="1"/>
  <c r="I9617" i="1"/>
  <c r="H9617" i="1"/>
  <c r="G9617" i="1"/>
  <c r="F9617" i="1"/>
  <c r="E9617" i="1"/>
  <c r="D9617" i="1"/>
  <c r="C9617" i="1"/>
  <c r="B9617" i="1"/>
  <c r="A9617" i="1"/>
  <c r="R9616" i="1"/>
  <c r="J9616" i="1"/>
  <c r="I9616" i="1"/>
  <c r="G9616" i="1"/>
  <c r="F9616" i="1"/>
  <c r="E9616" i="1"/>
  <c r="D9616" i="1"/>
  <c r="C9616" i="1"/>
  <c r="B9616" i="1"/>
  <c r="A9616" i="1"/>
  <c r="S9615" i="1"/>
  <c r="O9615" i="1"/>
  <c r="K9615" i="1"/>
  <c r="J9615" i="1"/>
  <c r="I9615" i="1"/>
  <c r="H9615" i="1"/>
  <c r="G9615" i="1"/>
  <c r="F9615" i="1"/>
  <c r="E9615" i="1"/>
  <c r="D9615" i="1"/>
  <c r="C9615" i="1"/>
  <c r="B9615" i="1"/>
  <c r="A9615" i="1"/>
  <c r="R9614" i="1"/>
  <c r="J9614" i="1"/>
  <c r="I9614" i="1"/>
  <c r="G9614" i="1"/>
  <c r="F9614" i="1"/>
  <c r="E9614" i="1"/>
  <c r="D9614" i="1"/>
  <c r="C9614" i="1"/>
  <c r="B9614" i="1"/>
  <c r="A9614" i="1"/>
  <c r="S9613" i="1"/>
  <c r="O9613" i="1"/>
  <c r="K9613" i="1"/>
  <c r="J9613" i="1"/>
  <c r="I9613" i="1"/>
  <c r="H9613" i="1"/>
  <c r="G9613" i="1"/>
  <c r="F9613" i="1"/>
  <c r="E9613" i="1"/>
  <c r="D9613" i="1"/>
  <c r="C9613" i="1"/>
  <c r="B9613" i="1"/>
  <c r="A9613" i="1"/>
  <c r="R9612" i="1"/>
  <c r="J9612" i="1"/>
  <c r="I9612" i="1"/>
  <c r="G9612" i="1"/>
  <c r="F9612" i="1"/>
  <c r="E9612" i="1"/>
  <c r="D9612" i="1"/>
  <c r="C9612" i="1"/>
  <c r="B9612" i="1"/>
  <c r="A9612" i="1"/>
  <c r="S9611" i="1"/>
  <c r="O9611" i="1"/>
  <c r="K9611" i="1"/>
  <c r="J9611" i="1"/>
  <c r="I9611" i="1"/>
  <c r="H9611" i="1"/>
  <c r="G9611" i="1"/>
  <c r="F9611" i="1"/>
  <c r="E9611" i="1"/>
  <c r="D9611" i="1"/>
  <c r="C9611" i="1"/>
  <c r="B9611" i="1"/>
  <c r="A9611" i="1"/>
  <c r="R9610" i="1"/>
  <c r="J9610" i="1"/>
  <c r="I9610" i="1"/>
  <c r="G9610" i="1"/>
  <c r="F9610" i="1"/>
  <c r="E9610" i="1"/>
  <c r="D9610" i="1"/>
  <c r="C9610" i="1"/>
  <c r="B9610" i="1"/>
  <c r="A9610" i="1"/>
  <c r="S9609" i="1"/>
  <c r="O9609" i="1"/>
  <c r="K9609" i="1"/>
  <c r="J9609" i="1"/>
  <c r="I9609" i="1"/>
  <c r="H9609" i="1"/>
  <c r="G9609" i="1"/>
  <c r="F9609" i="1"/>
  <c r="E9609" i="1"/>
  <c r="D9609" i="1"/>
  <c r="C9609" i="1"/>
  <c r="B9609" i="1"/>
  <c r="A9609" i="1"/>
  <c r="S9608" i="1"/>
  <c r="O9608" i="1"/>
  <c r="K9608" i="1"/>
  <c r="J9608" i="1"/>
  <c r="I9608" i="1"/>
  <c r="H9608" i="1"/>
  <c r="G9608" i="1"/>
  <c r="F9608" i="1"/>
  <c r="D9608" i="1"/>
  <c r="C9608" i="1"/>
  <c r="B9608" i="1"/>
  <c r="A9608" i="1"/>
  <c r="S9607" i="1"/>
  <c r="O9607" i="1"/>
  <c r="K9607" i="1"/>
  <c r="J9607" i="1"/>
  <c r="I9607" i="1"/>
  <c r="H9607" i="1"/>
  <c r="G9607" i="1"/>
  <c r="F9607" i="1"/>
  <c r="D9607" i="1"/>
  <c r="C9607" i="1"/>
  <c r="B9607" i="1"/>
  <c r="A9607" i="1"/>
  <c r="R9606" i="1"/>
  <c r="J9606" i="1"/>
  <c r="I9606" i="1"/>
  <c r="G9606" i="1"/>
  <c r="F9606" i="1"/>
  <c r="E9606" i="1"/>
  <c r="D9606" i="1"/>
  <c r="C9606" i="1"/>
  <c r="B9606" i="1"/>
  <c r="A9606" i="1"/>
  <c r="R9605" i="1"/>
  <c r="J9605" i="1"/>
  <c r="I9605" i="1"/>
  <c r="G9605" i="1"/>
  <c r="F9605" i="1"/>
  <c r="E9605" i="1"/>
  <c r="D9605" i="1"/>
  <c r="C9605" i="1"/>
  <c r="B9605" i="1"/>
  <c r="A9605" i="1"/>
  <c r="R9604" i="1"/>
  <c r="J9604" i="1"/>
  <c r="I9604" i="1"/>
  <c r="G9604" i="1"/>
  <c r="F9604" i="1"/>
  <c r="E9604" i="1"/>
  <c r="D9604" i="1"/>
  <c r="C9604" i="1"/>
  <c r="B9604" i="1"/>
  <c r="A9604" i="1"/>
  <c r="R9603" i="1"/>
  <c r="J9603" i="1"/>
  <c r="I9603" i="1"/>
  <c r="G9603" i="1"/>
  <c r="F9603" i="1"/>
  <c r="E9603" i="1"/>
  <c r="D9603" i="1"/>
  <c r="C9603" i="1"/>
  <c r="B9603" i="1"/>
  <c r="A9603" i="1"/>
  <c r="R9602" i="1"/>
  <c r="J9602" i="1"/>
  <c r="I9602" i="1"/>
  <c r="G9602" i="1"/>
  <c r="F9602" i="1"/>
  <c r="E9602" i="1"/>
  <c r="D9602" i="1"/>
  <c r="C9602" i="1"/>
  <c r="B9602" i="1"/>
  <c r="A9602" i="1"/>
  <c r="R9601" i="1"/>
  <c r="J9601" i="1"/>
  <c r="I9601" i="1"/>
  <c r="G9601" i="1"/>
  <c r="F9601" i="1"/>
  <c r="E9601" i="1"/>
  <c r="D9601" i="1"/>
  <c r="C9601" i="1"/>
  <c r="B9601" i="1"/>
  <c r="A9601" i="1"/>
  <c r="R9600" i="1"/>
  <c r="J9600" i="1"/>
  <c r="I9600" i="1"/>
  <c r="G9600" i="1"/>
  <c r="F9600" i="1"/>
  <c r="E9600" i="1"/>
  <c r="D9600" i="1"/>
  <c r="C9600" i="1"/>
  <c r="B9600" i="1"/>
  <c r="A9600" i="1"/>
  <c r="R9599" i="1"/>
  <c r="J9599" i="1"/>
  <c r="I9599" i="1"/>
  <c r="G9599" i="1"/>
  <c r="F9599" i="1"/>
  <c r="E9599" i="1"/>
  <c r="D9599" i="1"/>
  <c r="C9599" i="1"/>
  <c r="B9599" i="1"/>
  <c r="A9599" i="1"/>
  <c r="R9598" i="1"/>
  <c r="J9598" i="1"/>
  <c r="I9598" i="1"/>
  <c r="G9598" i="1"/>
  <c r="F9598" i="1"/>
  <c r="E9598" i="1"/>
  <c r="D9598" i="1"/>
  <c r="C9598" i="1"/>
  <c r="B9598" i="1"/>
  <c r="A9598" i="1"/>
  <c r="R9597" i="1"/>
  <c r="J9597" i="1"/>
  <c r="I9597" i="1"/>
  <c r="G9597" i="1"/>
  <c r="F9597" i="1"/>
  <c r="E9597" i="1"/>
  <c r="D9597" i="1"/>
  <c r="C9597" i="1"/>
  <c r="B9597" i="1"/>
  <c r="A9597" i="1"/>
  <c r="R9596" i="1"/>
  <c r="J9596" i="1"/>
  <c r="I9596" i="1"/>
  <c r="G9596" i="1"/>
  <c r="F9596" i="1"/>
  <c r="E9596" i="1"/>
  <c r="D9596" i="1"/>
  <c r="C9596" i="1"/>
  <c r="B9596" i="1"/>
  <c r="A9596" i="1"/>
  <c r="R9595" i="1"/>
  <c r="J9595" i="1"/>
  <c r="I9595" i="1"/>
  <c r="G9595" i="1"/>
  <c r="F9595" i="1"/>
  <c r="E9595" i="1"/>
  <c r="D9595" i="1"/>
  <c r="C9595" i="1"/>
  <c r="B9595" i="1"/>
  <c r="A9595" i="1"/>
  <c r="R9594" i="1"/>
  <c r="J9594" i="1"/>
  <c r="I9594" i="1"/>
  <c r="G9594" i="1"/>
  <c r="F9594" i="1"/>
  <c r="E9594" i="1"/>
  <c r="D9594" i="1"/>
  <c r="C9594" i="1"/>
  <c r="B9594" i="1"/>
  <c r="A9594" i="1"/>
  <c r="R9593" i="1"/>
  <c r="J9593" i="1"/>
  <c r="I9593" i="1"/>
  <c r="G9593" i="1"/>
  <c r="F9593" i="1"/>
  <c r="E9593" i="1"/>
  <c r="D9593" i="1"/>
  <c r="C9593" i="1"/>
  <c r="B9593" i="1"/>
  <c r="A9593" i="1"/>
  <c r="R9592" i="1"/>
  <c r="J9592" i="1"/>
  <c r="I9592" i="1"/>
  <c r="G9592" i="1"/>
  <c r="F9592" i="1"/>
  <c r="E9592" i="1"/>
  <c r="D9592" i="1"/>
  <c r="C9592" i="1"/>
  <c r="B9592" i="1"/>
  <c r="A9592" i="1"/>
  <c r="R9591" i="1"/>
  <c r="J9591" i="1"/>
  <c r="I9591" i="1"/>
  <c r="G9591" i="1"/>
  <c r="F9591" i="1"/>
  <c r="E9591" i="1"/>
  <c r="D9591" i="1"/>
  <c r="C9591" i="1"/>
  <c r="B9591" i="1"/>
  <c r="A9591" i="1"/>
  <c r="R9590" i="1"/>
  <c r="J9590" i="1"/>
  <c r="I9590" i="1"/>
  <c r="G9590" i="1"/>
  <c r="F9590" i="1"/>
  <c r="E9590" i="1"/>
  <c r="D9590" i="1"/>
  <c r="C9590" i="1"/>
  <c r="B9590" i="1"/>
  <c r="A9590" i="1"/>
  <c r="R9589" i="1"/>
  <c r="J9589" i="1"/>
  <c r="I9589" i="1"/>
  <c r="G9589" i="1"/>
  <c r="F9589" i="1"/>
  <c r="E9589" i="1"/>
  <c r="D9589" i="1"/>
  <c r="C9589" i="1"/>
  <c r="B9589" i="1"/>
  <c r="A9589" i="1"/>
  <c r="R9588" i="1"/>
  <c r="J9588" i="1"/>
  <c r="I9588" i="1"/>
  <c r="G9588" i="1"/>
  <c r="F9588" i="1"/>
  <c r="E9588" i="1"/>
  <c r="D9588" i="1"/>
  <c r="C9588" i="1"/>
  <c r="B9588" i="1"/>
  <c r="A9588" i="1"/>
  <c r="R9587" i="1"/>
  <c r="J9587" i="1"/>
  <c r="I9587" i="1"/>
  <c r="G9587" i="1"/>
  <c r="F9587" i="1"/>
  <c r="E9587" i="1"/>
  <c r="D9587" i="1"/>
  <c r="C9587" i="1"/>
  <c r="B9587" i="1"/>
  <c r="A9587" i="1"/>
  <c r="R9586" i="1"/>
  <c r="J9586" i="1"/>
  <c r="I9586" i="1"/>
  <c r="G9586" i="1"/>
  <c r="F9586" i="1"/>
  <c r="E9586" i="1"/>
  <c r="D9586" i="1"/>
  <c r="C9586" i="1"/>
  <c r="B9586" i="1"/>
  <c r="A9586" i="1"/>
  <c r="R9585" i="1"/>
  <c r="J9585" i="1"/>
  <c r="I9585" i="1"/>
  <c r="G9585" i="1"/>
  <c r="F9585" i="1"/>
  <c r="E9585" i="1"/>
  <c r="D9585" i="1"/>
  <c r="C9585" i="1"/>
  <c r="B9585" i="1"/>
  <c r="A9585" i="1"/>
  <c r="R9584" i="1"/>
  <c r="J9584" i="1"/>
  <c r="I9584" i="1"/>
  <c r="G9584" i="1"/>
  <c r="F9584" i="1"/>
  <c r="E9584" i="1"/>
  <c r="D9584" i="1"/>
  <c r="C9584" i="1"/>
  <c r="B9584" i="1"/>
  <c r="A9584" i="1"/>
  <c r="R9583" i="1"/>
  <c r="J9583" i="1"/>
  <c r="I9583" i="1"/>
  <c r="G9583" i="1"/>
  <c r="F9583" i="1"/>
  <c r="E9583" i="1"/>
  <c r="D9583" i="1"/>
  <c r="C9583" i="1"/>
  <c r="B9583" i="1"/>
  <c r="A9583" i="1"/>
  <c r="R9582" i="1"/>
  <c r="J9582" i="1"/>
  <c r="I9582" i="1"/>
  <c r="G9582" i="1"/>
  <c r="F9582" i="1"/>
  <c r="E9582" i="1"/>
  <c r="D9582" i="1"/>
  <c r="C9582" i="1"/>
  <c r="B9582" i="1"/>
  <c r="A9582" i="1"/>
  <c r="R9581" i="1"/>
  <c r="J9581" i="1"/>
  <c r="I9581" i="1"/>
  <c r="G9581" i="1"/>
  <c r="F9581" i="1"/>
  <c r="E9581" i="1"/>
  <c r="D9581" i="1"/>
  <c r="C9581" i="1"/>
  <c r="B9581" i="1"/>
  <c r="A9581" i="1"/>
  <c r="R9580" i="1"/>
  <c r="J9580" i="1"/>
  <c r="I9580" i="1"/>
  <c r="G9580" i="1"/>
  <c r="F9580" i="1"/>
  <c r="E9580" i="1"/>
  <c r="D9580" i="1"/>
  <c r="C9580" i="1"/>
  <c r="B9580" i="1"/>
  <c r="A9580" i="1"/>
  <c r="R9579" i="1"/>
  <c r="J9579" i="1"/>
  <c r="I9579" i="1"/>
  <c r="G9579" i="1"/>
  <c r="F9579" i="1"/>
  <c r="E9579" i="1"/>
  <c r="D9579" i="1"/>
  <c r="C9579" i="1"/>
  <c r="B9579" i="1"/>
  <c r="A9579" i="1"/>
  <c r="R9578" i="1"/>
  <c r="J9578" i="1"/>
  <c r="I9578" i="1"/>
  <c r="G9578" i="1"/>
  <c r="F9578" i="1"/>
  <c r="E9578" i="1"/>
  <c r="D9578" i="1"/>
  <c r="C9578" i="1"/>
  <c r="B9578" i="1"/>
  <c r="A9578" i="1"/>
  <c r="R9577" i="1"/>
  <c r="J9577" i="1"/>
  <c r="I9577" i="1"/>
  <c r="G9577" i="1"/>
  <c r="F9577" i="1"/>
  <c r="E9577" i="1"/>
  <c r="D9577" i="1"/>
  <c r="C9577" i="1"/>
  <c r="B9577" i="1"/>
  <c r="A9577" i="1"/>
  <c r="R9576" i="1"/>
  <c r="J9576" i="1"/>
  <c r="I9576" i="1"/>
  <c r="G9576" i="1"/>
  <c r="F9576" i="1"/>
  <c r="E9576" i="1"/>
  <c r="D9576" i="1"/>
  <c r="C9576" i="1"/>
  <c r="B9576" i="1"/>
  <c r="A9576" i="1"/>
  <c r="R9575" i="1"/>
  <c r="J9575" i="1"/>
  <c r="I9575" i="1"/>
  <c r="G9575" i="1"/>
  <c r="F9575" i="1"/>
  <c r="E9575" i="1"/>
  <c r="D9575" i="1"/>
  <c r="C9575" i="1"/>
  <c r="B9575" i="1"/>
  <c r="A9575" i="1"/>
  <c r="R9574" i="1"/>
  <c r="J9574" i="1"/>
  <c r="I9574" i="1"/>
  <c r="G9574" i="1"/>
  <c r="F9574" i="1"/>
  <c r="E9574" i="1"/>
  <c r="D9574" i="1"/>
  <c r="C9574" i="1"/>
  <c r="B9574" i="1"/>
  <c r="A9574" i="1"/>
  <c r="R9573" i="1"/>
  <c r="J9573" i="1"/>
  <c r="I9573" i="1"/>
  <c r="G9573" i="1"/>
  <c r="F9573" i="1"/>
  <c r="E9573" i="1"/>
  <c r="D9573" i="1"/>
  <c r="C9573" i="1"/>
  <c r="B9573" i="1"/>
  <c r="A9573" i="1"/>
  <c r="R9572" i="1"/>
  <c r="J9572" i="1"/>
  <c r="I9572" i="1"/>
  <c r="G9572" i="1"/>
  <c r="F9572" i="1"/>
  <c r="E9572" i="1"/>
  <c r="D9572" i="1"/>
  <c r="C9572" i="1"/>
  <c r="B9572" i="1"/>
  <c r="A9572" i="1"/>
  <c r="R9571" i="1"/>
  <c r="J9571" i="1"/>
  <c r="I9571" i="1"/>
  <c r="G9571" i="1"/>
  <c r="F9571" i="1"/>
  <c r="E9571" i="1"/>
  <c r="D9571" i="1"/>
  <c r="C9571" i="1"/>
  <c r="B9571" i="1"/>
  <c r="A9571" i="1"/>
  <c r="R9570" i="1"/>
  <c r="J9570" i="1"/>
  <c r="I9570" i="1"/>
  <c r="G9570" i="1"/>
  <c r="F9570" i="1"/>
  <c r="E9570" i="1"/>
  <c r="D9570" i="1"/>
  <c r="C9570" i="1"/>
  <c r="B9570" i="1"/>
  <c r="A9570" i="1"/>
  <c r="R9569" i="1"/>
  <c r="J9569" i="1"/>
  <c r="I9569" i="1"/>
  <c r="G9569" i="1"/>
  <c r="F9569" i="1"/>
  <c r="E9569" i="1"/>
  <c r="D9569" i="1"/>
  <c r="C9569" i="1"/>
  <c r="B9569" i="1"/>
  <c r="A9569" i="1"/>
  <c r="R9568" i="1"/>
  <c r="J9568" i="1"/>
  <c r="I9568" i="1"/>
  <c r="G9568" i="1"/>
  <c r="F9568" i="1"/>
  <c r="E9568" i="1"/>
  <c r="D9568" i="1"/>
  <c r="C9568" i="1"/>
  <c r="B9568" i="1"/>
  <c r="A9568" i="1"/>
  <c r="R9567" i="1"/>
  <c r="J9567" i="1"/>
  <c r="I9567" i="1"/>
  <c r="G9567" i="1"/>
  <c r="F9567" i="1"/>
  <c r="E9567" i="1"/>
  <c r="D9567" i="1"/>
  <c r="C9567" i="1"/>
  <c r="B9567" i="1"/>
  <c r="A9567" i="1"/>
  <c r="R9566" i="1"/>
  <c r="J9566" i="1"/>
  <c r="I9566" i="1"/>
  <c r="G9566" i="1"/>
  <c r="F9566" i="1"/>
  <c r="E9566" i="1"/>
  <c r="D9566" i="1"/>
  <c r="C9566" i="1"/>
  <c r="B9566" i="1"/>
  <c r="A9566" i="1"/>
  <c r="R9565" i="1"/>
  <c r="J9565" i="1"/>
  <c r="I9565" i="1"/>
  <c r="G9565" i="1"/>
  <c r="F9565" i="1"/>
  <c r="E9565" i="1"/>
  <c r="D9565" i="1"/>
  <c r="C9565" i="1"/>
  <c r="B9565" i="1"/>
  <c r="A9565" i="1"/>
  <c r="R9564" i="1"/>
  <c r="J9564" i="1"/>
  <c r="I9564" i="1"/>
  <c r="G9564" i="1"/>
  <c r="F9564" i="1"/>
  <c r="E9564" i="1"/>
  <c r="D9564" i="1"/>
  <c r="C9564" i="1"/>
  <c r="B9564" i="1"/>
  <c r="A9564" i="1"/>
  <c r="R9563" i="1"/>
  <c r="J9563" i="1"/>
  <c r="I9563" i="1"/>
  <c r="G9563" i="1"/>
  <c r="F9563" i="1"/>
  <c r="E9563" i="1"/>
  <c r="D9563" i="1"/>
  <c r="C9563" i="1"/>
  <c r="B9563" i="1"/>
  <c r="A9563" i="1"/>
  <c r="R9562" i="1"/>
  <c r="J9562" i="1"/>
  <c r="I9562" i="1"/>
  <c r="G9562" i="1"/>
  <c r="F9562" i="1"/>
  <c r="E9562" i="1"/>
  <c r="D9562" i="1"/>
  <c r="C9562" i="1"/>
  <c r="B9562" i="1"/>
  <c r="A9562" i="1"/>
  <c r="R9561" i="1"/>
  <c r="J9561" i="1"/>
  <c r="I9561" i="1"/>
  <c r="G9561" i="1"/>
  <c r="F9561" i="1"/>
  <c r="E9561" i="1"/>
  <c r="D9561" i="1"/>
  <c r="C9561" i="1"/>
  <c r="B9561" i="1"/>
  <c r="A9561" i="1"/>
  <c r="R9560" i="1"/>
  <c r="J9560" i="1"/>
  <c r="I9560" i="1"/>
  <c r="G9560" i="1"/>
  <c r="F9560" i="1"/>
  <c r="E9560" i="1"/>
  <c r="D9560" i="1"/>
  <c r="C9560" i="1"/>
  <c r="B9560" i="1"/>
  <c r="A9560" i="1"/>
  <c r="S9559" i="1"/>
  <c r="O9559" i="1"/>
  <c r="K9559" i="1"/>
  <c r="J9559" i="1"/>
  <c r="I9559" i="1"/>
  <c r="H9559" i="1"/>
  <c r="G9559" i="1"/>
  <c r="F9559" i="1"/>
  <c r="E9559" i="1"/>
  <c r="D9559" i="1"/>
  <c r="C9559" i="1"/>
  <c r="B9559" i="1"/>
  <c r="A9559" i="1"/>
  <c r="R9558" i="1"/>
  <c r="J9558" i="1"/>
  <c r="I9558" i="1"/>
  <c r="G9558" i="1"/>
  <c r="F9558" i="1"/>
  <c r="E9558" i="1"/>
  <c r="D9558" i="1"/>
  <c r="C9558" i="1"/>
  <c r="B9558" i="1"/>
  <c r="A9558" i="1"/>
  <c r="S9557" i="1"/>
  <c r="O9557" i="1"/>
  <c r="K9557" i="1"/>
  <c r="J9557" i="1"/>
  <c r="I9557" i="1"/>
  <c r="H9557" i="1"/>
  <c r="G9557" i="1"/>
  <c r="F9557" i="1"/>
  <c r="E9557" i="1"/>
  <c r="D9557" i="1"/>
  <c r="C9557" i="1"/>
  <c r="B9557" i="1"/>
  <c r="A9557" i="1"/>
  <c r="S9556" i="1"/>
  <c r="O9556" i="1"/>
  <c r="K9556" i="1"/>
  <c r="J9556" i="1"/>
  <c r="I9556" i="1"/>
  <c r="H9556" i="1"/>
  <c r="G9556" i="1"/>
  <c r="F9556" i="1"/>
  <c r="D9556" i="1"/>
  <c r="C9556" i="1"/>
  <c r="B9556" i="1"/>
  <c r="A9556" i="1"/>
  <c r="R9555" i="1"/>
  <c r="J9555" i="1"/>
  <c r="I9555" i="1"/>
  <c r="G9555" i="1"/>
  <c r="F9555" i="1"/>
  <c r="E9555" i="1"/>
  <c r="D9555" i="1"/>
  <c r="C9555" i="1"/>
  <c r="B9555" i="1"/>
  <c r="A9555" i="1"/>
  <c r="S9554" i="1"/>
  <c r="O9554" i="1"/>
  <c r="K9554" i="1"/>
  <c r="J9554" i="1"/>
  <c r="I9554" i="1"/>
  <c r="H9554" i="1"/>
  <c r="G9554" i="1"/>
  <c r="F9554" i="1"/>
  <c r="E9554" i="1"/>
  <c r="D9554" i="1"/>
  <c r="C9554" i="1"/>
  <c r="B9554" i="1"/>
  <c r="A9554" i="1"/>
  <c r="R9553" i="1"/>
  <c r="J9553" i="1"/>
  <c r="I9553" i="1"/>
  <c r="G9553" i="1"/>
  <c r="F9553" i="1"/>
  <c r="E9553" i="1"/>
  <c r="D9553" i="1"/>
  <c r="C9553" i="1"/>
  <c r="B9553" i="1"/>
  <c r="A9553" i="1"/>
  <c r="S9552" i="1"/>
  <c r="O9552" i="1"/>
  <c r="K9552" i="1"/>
  <c r="J9552" i="1"/>
  <c r="I9552" i="1"/>
  <c r="H9552" i="1"/>
  <c r="G9552" i="1"/>
  <c r="F9552" i="1"/>
  <c r="E9552" i="1"/>
  <c r="D9552" i="1"/>
  <c r="C9552" i="1"/>
  <c r="B9552" i="1"/>
  <c r="A9552" i="1"/>
  <c r="R9551" i="1"/>
  <c r="J9551" i="1"/>
  <c r="I9551" i="1"/>
  <c r="G9551" i="1"/>
  <c r="F9551" i="1"/>
  <c r="E9551" i="1"/>
  <c r="D9551" i="1"/>
  <c r="C9551" i="1"/>
  <c r="B9551" i="1"/>
  <c r="A9551" i="1"/>
  <c r="R9550" i="1"/>
  <c r="J9550" i="1"/>
  <c r="I9550" i="1"/>
  <c r="G9550" i="1"/>
  <c r="F9550" i="1"/>
  <c r="E9550" i="1"/>
  <c r="D9550" i="1"/>
  <c r="C9550" i="1"/>
  <c r="B9550" i="1"/>
  <c r="A9550" i="1"/>
  <c r="S9549" i="1"/>
  <c r="O9549" i="1"/>
  <c r="K9549" i="1"/>
  <c r="J9549" i="1"/>
  <c r="I9549" i="1"/>
  <c r="H9549" i="1"/>
  <c r="G9549" i="1"/>
  <c r="F9549" i="1"/>
  <c r="E9549" i="1"/>
  <c r="D9549" i="1"/>
  <c r="C9549" i="1"/>
  <c r="B9549" i="1"/>
  <c r="A9549" i="1"/>
  <c r="R9548" i="1"/>
  <c r="J9548" i="1"/>
  <c r="I9548" i="1"/>
  <c r="G9548" i="1"/>
  <c r="F9548" i="1"/>
  <c r="E9548" i="1"/>
  <c r="D9548" i="1"/>
  <c r="C9548" i="1"/>
  <c r="B9548" i="1"/>
  <c r="A9548" i="1"/>
  <c r="S9547" i="1"/>
  <c r="O9547" i="1"/>
  <c r="K9547" i="1"/>
  <c r="J9547" i="1"/>
  <c r="I9547" i="1"/>
  <c r="H9547" i="1"/>
  <c r="G9547" i="1"/>
  <c r="F9547" i="1"/>
  <c r="E9547" i="1"/>
  <c r="D9547" i="1"/>
  <c r="C9547" i="1"/>
  <c r="B9547" i="1"/>
  <c r="A9547" i="1"/>
  <c r="R9546" i="1"/>
  <c r="J9546" i="1"/>
  <c r="I9546" i="1"/>
  <c r="G9546" i="1"/>
  <c r="F9546" i="1"/>
  <c r="E9546" i="1"/>
  <c r="D9546" i="1"/>
  <c r="C9546" i="1"/>
  <c r="B9546" i="1"/>
  <c r="A9546" i="1"/>
  <c r="S9545" i="1"/>
  <c r="O9545" i="1"/>
  <c r="K9545" i="1"/>
  <c r="J9545" i="1"/>
  <c r="I9545" i="1"/>
  <c r="H9545" i="1"/>
  <c r="G9545" i="1"/>
  <c r="F9545" i="1"/>
  <c r="E9545" i="1"/>
  <c r="D9545" i="1"/>
  <c r="C9545" i="1"/>
  <c r="B9545" i="1"/>
  <c r="A9545" i="1"/>
  <c r="R9544" i="1"/>
  <c r="J9544" i="1"/>
  <c r="I9544" i="1"/>
  <c r="G9544" i="1"/>
  <c r="F9544" i="1"/>
  <c r="E9544" i="1"/>
  <c r="D9544" i="1"/>
  <c r="C9544" i="1"/>
  <c r="B9544" i="1"/>
  <c r="A9544" i="1"/>
  <c r="S9543" i="1"/>
  <c r="O9543" i="1"/>
  <c r="K9543" i="1"/>
  <c r="J9543" i="1"/>
  <c r="I9543" i="1"/>
  <c r="H9543" i="1"/>
  <c r="G9543" i="1"/>
  <c r="F9543" i="1"/>
  <c r="E9543" i="1"/>
  <c r="D9543" i="1"/>
  <c r="C9543" i="1"/>
  <c r="B9543" i="1"/>
  <c r="A9543" i="1"/>
  <c r="R9542" i="1"/>
  <c r="J9542" i="1"/>
  <c r="I9542" i="1"/>
  <c r="G9542" i="1"/>
  <c r="F9542" i="1"/>
  <c r="E9542" i="1"/>
  <c r="D9542" i="1"/>
  <c r="C9542" i="1"/>
  <c r="B9542" i="1"/>
  <c r="A9542" i="1"/>
  <c r="S9541" i="1"/>
  <c r="O9541" i="1"/>
  <c r="K9541" i="1"/>
  <c r="J9541" i="1"/>
  <c r="I9541" i="1"/>
  <c r="H9541" i="1"/>
  <c r="G9541" i="1"/>
  <c r="F9541" i="1"/>
  <c r="E9541" i="1"/>
  <c r="D9541" i="1"/>
  <c r="C9541" i="1"/>
  <c r="B9541" i="1"/>
  <c r="A9541" i="1"/>
  <c r="R9540" i="1"/>
  <c r="J9540" i="1"/>
  <c r="I9540" i="1"/>
  <c r="G9540" i="1"/>
  <c r="F9540" i="1"/>
  <c r="E9540" i="1"/>
  <c r="D9540" i="1"/>
  <c r="C9540" i="1"/>
  <c r="B9540" i="1"/>
  <c r="A9540" i="1"/>
  <c r="S9539" i="1"/>
  <c r="O9539" i="1"/>
  <c r="K9539" i="1"/>
  <c r="J9539" i="1"/>
  <c r="I9539" i="1"/>
  <c r="H9539" i="1"/>
  <c r="G9539" i="1"/>
  <c r="F9539" i="1"/>
  <c r="E9539" i="1"/>
  <c r="D9539" i="1"/>
  <c r="C9539" i="1"/>
  <c r="B9539" i="1"/>
  <c r="A9539" i="1"/>
  <c r="R9538" i="1"/>
  <c r="J9538" i="1"/>
  <c r="I9538" i="1"/>
  <c r="G9538" i="1"/>
  <c r="F9538" i="1"/>
  <c r="E9538" i="1"/>
  <c r="D9538" i="1"/>
  <c r="C9538" i="1"/>
  <c r="B9538" i="1"/>
  <c r="A9538" i="1"/>
  <c r="S9537" i="1"/>
  <c r="O9537" i="1"/>
  <c r="K9537" i="1"/>
  <c r="J9537" i="1"/>
  <c r="I9537" i="1"/>
  <c r="H9537" i="1"/>
  <c r="G9537" i="1"/>
  <c r="F9537" i="1"/>
  <c r="E9537" i="1"/>
  <c r="D9537" i="1"/>
  <c r="C9537" i="1"/>
  <c r="B9537" i="1"/>
  <c r="A9537" i="1"/>
  <c r="R9536" i="1"/>
  <c r="J9536" i="1"/>
  <c r="I9536" i="1"/>
  <c r="G9536" i="1"/>
  <c r="F9536" i="1"/>
  <c r="E9536" i="1"/>
  <c r="D9536" i="1"/>
  <c r="C9536" i="1"/>
  <c r="B9536" i="1"/>
  <c r="A9536" i="1"/>
  <c r="S9535" i="1"/>
  <c r="O9535" i="1"/>
  <c r="K9535" i="1"/>
  <c r="J9535" i="1"/>
  <c r="I9535" i="1"/>
  <c r="H9535" i="1"/>
  <c r="G9535" i="1"/>
  <c r="F9535" i="1"/>
  <c r="E9535" i="1"/>
  <c r="D9535" i="1"/>
  <c r="C9535" i="1"/>
  <c r="B9535" i="1"/>
  <c r="A9535" i="1"/>
  <c r="R9534" i="1"/>
  <c r="J9534" i="1"/>
  <c r="I9534" i="1"/>
  <c r="G9534" i="1"/>
  <c r="F9534" i="1"/>
  <c r="E9534" i="1"/>
  <c r="D9534" i="1"/>
  <c r="C9534" i="1"/>
  <c r="B9534" i="1"/>
  <c r="A9534" i="1"/>
  <c r="R9533" i="1"/>
  <c r="J9533" i="1"/>
  <c r="I9533" i="1"/>
  <c r="G9533" i="1"/>
  <c r="F9533" i="1"/>
  <c r="E9533" i="1"/>
  <c r="D9533" i="1"/>
  <c r="C9533" i="1"/>
  <c r="B9533" i="1"/>
  <c r="A9533" i="1"/>
  <c r="S9532" i="1"/>
  <c r="O9532" i="1"/>
  <c r="K9532" i="1"/>
  <c r="J9532" i="1"/>
  <c r="I9532" i="1"/>
  <c r="H9532" i="1"/>
  <c r="G9532" i="1"/>
  <c r="F9532" i="1"/>
  <c r="E9532" i="1"/>
  <c r="D9532" i="1"/>
  <c r="C9532" i="1"/>
  <c r="B9532" i="1"/>
  <c r="A9532" i="1"/>
  <c r="R9531" i="1"/>
  <c r="J9531" i="1"/>
  <c r="I9531" i="1"/>
  <c r="G9531" i="1"/>
  <c r="F9531" i="1"/>
  <c r="E9531" i="1"/>
  <c r="D9531" i="1"/>
  <c r="C9531" i="1"/>
  <c r="B9531" i="1"/>
  <c r="A9531" i="1"/>
  <c r="S9530" i="1"/>
  <c r="O9530" i="1"/>
  <c r="K9530" i="1"/>
  <c r="J9530" i="1"/>
  <c r="I9530" i="1"/>
  <c r="H9530" i="1"/>
  <c r="G9530" i="1"/>
  <c r="F9530" i="1"/>
  <c r="E9530" i="1"/>
  <c r="D9530" i="1"/>
  <c r="C9530" i="1"/>
  <c r="B9530" i="1"/>
  <c r="A9530" i="1"/>
  <c r="R9529" i="1"/>
  <c r="J9529" i="1"/>
  <c r="I9529" i="1"/>
  <c r="G9529" i="1"/>
  <c r="F9529" i="1"/>
  <c r="E9529" i="1"/>
  <c r="D9529" i="1"/>
  <c r="C9529" i="1"/>
  <c r="B9529" i="1"/>
  <c r="A9529" i="1"/>
  <c r="S9528" i="1"/>
  <c r="O9528" i="1"/>
  <c r="K9528" i="1"/>
  <c r="J9528" i="1"/>
  <c r="I9528" i="1"/>
  <c r="H9528" i="1"/>
  <c r="G9528" i="1"/>
  <c r="F9528" i="1"/>
  <c r="E9528" i="1"/>
  <c r="D9528" i="1"/>
  <c r="C9528" i="1"/>
  <c r="B9528" i="1"/>
  <c r="A9528" i="1"/>
  <c r="R9527" i="1"/>
  <c r="J9527" i="1"/>
  <c r="I9527" i="1"/>
  <c r="G9527" i="1"/>
  <c r="F9527" i="1"/>
  <c r="E9527" i="1"/>
  <c r="D9527" i="1"/>
  <c r="C9527" i="1"/>
  <c r="B9527" i="1"/>
  <c r="A9527" i="1"/>
  <c r="S9526" i="1"/>
  <c r="O9526" i="1"/>
  <c r="K9526" i="1"/>
  <c r="J9526" i="1"/>
  <c r="I9526" i="1"/>
  <c r="H9526" i="1"/>
  <c r="G9526" i="1"/>
  <c r="F9526" i="1"/>
  <c r="E9526" i="1"/>
  <c r="D9526" i="1"/>
  <c r="C9526" i="1"/>
  <c r="B9526" i="1"/>
  <c r="A9526" i="1"/>
  <c r="R9525" i="1"/>
  <c r="J9525" i="1"/>
  <c r="I9525" i="1"/>
  <c r="G9525" i="1"/>
  <c r="F9525" i="1"/>
  <c r="E9525" i="1"/>
  <c r="D9525" i="1"/>
  <c r="C9525" i="1"/>
  <c r="B9525" i="1"/>
  <c r="A9525" i="1"/>
  <c r="S9524" i="1"/>
  <c r="O9524" i="1"/>
  <c r="K9524" i="1"/>
  <c r="J9524" i="1"/>
  <c r="I9524" i="1"/>
  <c r="H9524" i="1"/>
  <c r="G9524" i="1"/>
  <c r="F9524" i="1"/>
  <c r="E9524" i="1"/>
  <c r="D9524" i="1"/>
  <c r="C9524" i="1"/>
  <c r="B9524" i="1"/>
  <c r="A9524" i="1"/>
  <c r="R9523" i="1"/>
  <c r="J9523" i="1"/>
  <c r="I9523" i="1"/>
  <c r="G9523" i="1"/>
  <c r="F9523" i="1"/>
  <c r="E9523" i="1"/>
  <c r="D9523" i="1"/>
  <c r="C9523" i="1"/>
  <c r="B9523" i="1"/>
  <c r="A9523" i="1"/>
  <c r="R9522" i="1"/>
  <c r="J9522" i="1"/>
  <c r="I9522" i="1"/>
  <c r="G9522" i="1"/>
  <c r="F9522" i="1"/>
  <c r="E9522" i="1"/>
  <c r="D9522" i="1"/>
  <c r="C9522" i="1"/>
  <c r="B9522" i="1"/>
  <c r="A9522" i="1"/>
  <c r="R9521" i="1"/>
  <c r="J9521" i="1"/>
  <c r="I9521" i="1"/>
  <c r="G9521" i="1"/>
  <c r="F9521" i="1"/>
  <c r="E9521" i="1"/>
  <c r="D9521" i="1"/>
  <c r="C9521" i="1"/>
  <c r="B9521" i="1"/>
  <c r="A9521" i="1"/>
  <c r="R9520" i="1"/>
  <c r="J9520" i="1"/>
  <c r="I9520" i="1"/>
  <c r="G9520" i="1"/>
  <c r="F9520" i="1"/>
  <c r="E9520" i="1"/>
  <c r="D9520" i="1"/>
  <c r="C9520" i="1"/>
  <c r="B9520" i="1"/>
  <c r="A9520" i="1"/>
  <c r="R9519" i="1"/>
  <c r="J9519" i="1"/>
  <c r="I9519" i="1"/>
  <c r="G9519" i="1"/>
  <c r="F9519" i="1"/>
  <c r="E9519" i="1"/>
  <c r="D9519" i="1"/>
  <c r="C9519" i="1"/>
  <c r="B9519" i="1"/>
  <c r="A9519" i="1"/>
  <c r="S9518" i="1"/>
  <c r="O9518" i="1"/>
  <c r="K9518" i="1"/>
  <c r="J9518" i="1"/>
  <c r="I9518" i="1"/>
  <c r="H9518" i="1"/>
  <c r="G9518" i="1"/>
  <c r="F9518" i="1"/>
  <c r="E9518" i="1"/>
  <c r="D9518" i="1"/>
  <c r="C9518" i="1"/>
  <c r="B9518" i="1"/>
  <c r="A9518" i="1"/>
  <c r="R9517" i="1"/>
  <c r="J9517" i="1"/>
  <c r="I9517" i="1"/>
  <c r="G9517" i="1"/>
  <c r="F9517" i="1"/>
  <c r="E9517" i="1"/>
  <c r="D9517" i="1"/>
  <c r="C9517" i="1"/>
  <c r="B9517" i="1"/>
  <c r="A9517" i="1"/>
  <c r="R9516" i="1"/>
  <c r="J9516" i="1"/>
  <c r="I9516" i="1"/>
  <c r="G9516" i="1"/>
  <c r="F9516" i="1"/>
  <c r="E9516" i="1"/>
  <c r="D9516" i="1"/>
  <c r="C9516" i="1"/>
  <c r="B9516" i="1"/>
  <c r="A9516" i="1"/>
  <c r="R9515" i="1"/>
  <c r="J9515" i="1"/>
  <c r="I9515" i="1"/>
  <c r="G9515" i="1"/>
  <c r="F9515" i="1"/>
  <c r="E9515" i="1"/>
  <c r="D9515" i="1"/>
  <c r="C9515" i="1"/>
  <c r="B9515" i="1"/>
  <c r="A9515" i="1"/>
  <c r="R9514" i="1"/>
  <c r="J9514" i="1"/>
  <c r="I9514" i="1"/>
  <c r="G9514" i="1"/>
  <c r="F9514" i="1"/>
  <c r="E9514" i="1"/>
  <c r="D9514" i="1"/>
  <c r="C9514" i="1"/>
  <c r="B9514" i="1"/>
  <c r="A9514" i="1"/>
  <c r="R9513" i="1"/>
  <c r="J9513" i="1"/>
  <c r="I9513" i="1"/>
  <c r="G9513" i="1"/>
  <c r="F9513" i="1"/>
  <c r="E9513" i="1"/>
  <c r="D9513" i="1"/>
  <c r="C9513" i="1"/>
  <c r="B9513" i="1"/>
  <c r="A9513" i="1"/>
  <c r="S9512" i="1"/>
  <c r="O9512" i="1"/>
  <c r="K9512" i="1"/>
  <c r="J9512" i="1"/>
  <c r="I9512" i="1"/>
  <c r="H9512" i="1"/>
  <c r="G9512" i="1"/>
  <c r="F9512" i="1"/>
  <c r="E9512" i="1"/>
  <c r="D9512" i="1"/>
  <c r="C9512" i="1"/>
  <c r="B9512" i="1"/>
  <c r="A9512" i="1"/>
  <c r="R9511" i="1"/>
  <c r="J9511" i="1"/>
  <c r="I9511" i="1"/>
  <c r="G9511" i="1"/>
  <c r="F9511" i="1"/>
  <c r="E9511" i="1"/>
  <c r="D9511" i="1"/>
  <c r="C9511" i="1"/>
  <c r="B9511" i="1"/>
  <c r="A9511" i="1"/>
  <c r="R9510" i="1"/>
  <c r="J9510" i="1"/>
  <c r="I9510" i="1"/>
  <c r="G9510" i="1"/>
  <c r="F9510" i="1"/>
  <c r="E9510" i="1"/>
  <c r="D9510" i="1"/>
  <c r="C9510" i="1"/>
  <c r="B9510" i="1"/>
  <c r="A9510" i="1"/>
  <c r="R9509" i="1"/>
  <c r="J9509" i="1"/>
  <c r="I9509" i="1"/>
  <c r="G9509" i="1"/>
  <c r="F9509" i="1"/>
  <c r="E9509" i="1"/>
  <c r="D9509" i="1"/>
  <c r="C9509" i="1"/>
  <c r="B9509" i="1"/>
  <c r="A9509" i="1"/>
  <c r="R9508" i="1"/>
  <c r="J9508" i="1"/>
  <c r="I9508" i="1"/>
  <c r="G9508" i="1"/>
  <c r="F9508" i="1"/>
  <c r="E9508" i="1"/>
  <c r="D9508" i="1"/>
  <c r="C9508" i="1"/>
  <c r="B9508" i="1"/>
  <c r="A9508" i="1"/>
  <c r="R9507" i="1"/>
  <c r="J9507" i="1"/>
  <c r="I9507" i="1"/>
  <c r="G9507" i="1"/>
  <c r="F9507" i="1"/>
  <c r="E9507" i="1"/>
  <c r="D9507" i="1"/>
  <c r="C9507" i="1"/>
  <c r="B9507" i="1"/>
  <c r="A9507" i="1"/>
  <c r="S9506" i="1"/>
  <c r="O9506" i="1"/>
  <c r="K9506" i="1"/>
  <c r="J9506" i="1"/>
  <c r="I9506" i="1"/>
  <c r="H9506" i="1"/>
  <c r="G9506" i="1"/>
  <c r="F9506" i="1"/>
  <c r="E9506" i="1"/>
  <c r="D9506" i="1"/>
  <c r="C9506" i="1"/>
  <c r="B9506" i="1"/>
  <c r="A9506" i="1"/>
  <c r="R9505" i="1"/>
  <c r="J9505" i="1"/>
  <c r="I9505" i="1"/>
  <c r="G9505" i="1"/>
  <c r="F9505" i="1"/>
  <c r="E9505" i="1"/>
  <c r="D9505" i="1"/>
  <c r="C9505" i="1"/>
  <c r="B9505" i="1"/>
  <c r="A9505" i="1"/>
  <c r="R9504" i="1"/>
  <c r="J9504" i="1"/>
  <c r="I9504" i="1"/>
  <c r="G9504" i="1"/>
  <c r="F9504" i="1"/>
  <c r="E9504" i="1"/>
  <c r="D9504" i="1"/>
  <c r="C9504" i="1"/>
  <c r="B9504" i="1"/>
  <c r="A9504" i="1"/>
  <c r="R9503" i="1"/>
  <c r="J9503" i="1"/>
  <c r="I9503" i="1"/>
  <c r="G9503" i="1"/>
  <c r="F9503" i="1"/>
  <c r="E9503" i="1"/>
  <c r="D9503" i="1"/>
  <c r="C9503" i="1"/>
  <c r="B9503" i="1"/>
  <c r="A9503" i="1"/>
  <c r="R9502" i="1"/>
  <c r="J9502" i="1"/>
  <c r="I9502" i="1"/>
  <c r="G9502" i="1"/>
  <c r="F9502" i="1"/>
  <c r="E9502" i="1"/>
  <c r="D9502" i="1"/>
  <c r="C9502" i="1"/>
  <c r="B9502" i="1"/>
  <c r="A9502" i="1"/>
  <c r="R9501" i="1"/>
  <c r="J9501" i="1"/>
  <c r="I9501" i="1"/>
  <c r="G9501" i="1"/>
  <c r="F9501" i="1"/>
  <c r="E9501" i="1"/>
  <c r="D9501" i="1"/>
  <c r="C9501" i="1"/>
  <c r="B9501" i="1"/>
  <c r="A9501" i="1"/>
  <c r="S9500" i="1"/>
  <c r="O9500" i="1"/>
  <c r="K9500" i="1"/>
  <c r="J9500" i="1"/>
  <c r="I9500" i="1"/>
  <c r="H9500" i="1"/>
  <c r="G9500" i="1"/>
  <c r="F9500" i="1"/>
  <c r="E9500" i="1"/>
  <c r="D9500" i="1"/>
  <c r="C9500" i="1"/>
  <c r="B9500" i="1"/>
  <c r="A9500" i="1"/>
  <c r="R9499" i="1"/>
  <c r="J9499" i="1"/>
  <c r="I9499" i="1"/>
  <c r="G9499" i="1"/>
  <c r="F9499" i="1"/>
  <c r="E9499" i="1"/>
  <c r="D9499" i="1"/>
  <c r="C9499" i="1"/>
  <c r="B9499" i="1"/>
  <c r="A9499" i="1"/>
  <c r="R9498" i="1"/>
  <c r="J9498" i="1"/>
  <c r="I9498" i="1"/>
  <c r="G9498" i="1"/>
  <c r="F9498" i="1"/>
  <c r="E9498" i="1"/>
  <c r="D9498" i="1"/>
  <c r="C9498" i="1"/>
  <c r="B9498" i="1"/>
  <c r="A9498" i="1"/>
  <c r="R9497" i="1"/>
  <c r="J9497" i="1"/>
  <c r="I9497" i="1"/>
  <c r="G9497" i="1"/>
  <c r="F9497" i="1"/>
  <c r="E9497" i="1"/>
  <c r="D9497" i="1"/>
  <c r="C9497" i="1"/>
  <c r="B9497" i="1"/>
  <c r="A9497" i="1"/>
  <c r="R9496" i="1"/>
  <c r="J9496" i="1"/>
  <c r="I9496" i="1"/>
  <c r="G9496" i="1"/>
  <c r="F9496" i="1"/>
  <c r="E9496" i="1"/>
  <c r="D9496" i="1"/>
  <c r="C9496" i="1"/>
  <c r="B9496" i="1"/>
  <c r="A9496" i="1"/>
  <c r="R9495" i="1"/>
  <c r="J9495" i="1"/>
  <c r="I9495" i="1"/>
  <c r="G9495" i="1"/>
  <c r="F9495" i="1"/>
  <c r="E9495" i="1"/>
  <c r="D9495" i="1"/>
  <c r="C9495" i="1"/>
  <c r="B9495" i="1"/>
  <c r="A9495" i="1"/>
  <c r="S9494" i="1"/>
  <c r="O9494" i="1"/>
  <c r="K9494" i="1"/>
  <c r="J9494" i="1"/>
  <c r="I9494" i="1"/>
  <c r="H9494" i="1"/>
  <c r="G9494" i="1"/>
  <c r="F9494" i="1"/>
  <c r="E9494" i="1"/>
  <c r="D9494" i="1"/>
  <c r="C9494" i="1"/>
  <c r="B9494" i="1"/>
  <c r="A9494" i="1"/>
  <c r="R9493" i="1"/>
  <c r="J9493" i="1"/>
  <c r="I9493" i="1"/>
  <c r="G9493" i="1"/>
  <c r="F9493" i="1"/>
  <c r="E9493" i="1"/>
  <c r="D9493" i="1"/>
  <c r="C9493" i="1"/>
  <c r="B9493" i="1"/>
  <c r="A9493" i="1"/>
  <c r="S9492" i="1"/>
  <c r="O9492" i="1"/>
  <c r="K9492" i="1"/>
  <c r="J9492" i="1"/>
  <c r="I9492" i="1"/>
  <c r="H9492" i="1"/>
  <c r="G9492" i="1"/>
  <c r="F9492" i="1"/>
  <c r="E9492" i="1"/>
  <c r="D9492" i="1"/>
  <c r="C9492" i="1"/>
  <c r="B9492" i="1"/>
  <c r="A9492" i="1"/>
  <c r="R9491" i="1"/>
  <c r="J9491" i="1"/>
  <c r="I9491" i="1"/>
  <c r="G9491" i="1"/>
  <c r="F9491" i="1"/>
  <c r="E9491" i="1"/>
  <c r="D9491" i="1"/>
  <c r="C9491" i="1"/>
  <c r="B9491" i="1"/>
  <c r="A9491" i="1"/>
  <c r="S9490" i="1"/>
  <c r="O9490" i="1"/>
  <c r="K9490" i="1"/>
  <c r="J9490" i="1"/>
  <c r="I9490" i="1"/>
  <c r="H9490" i="1"/>
  <c r="G9490" i="1"/>
  <c r="F9490" i="1"/>
  <c r="E9490" i="1"/>
  <c r="D9490" i="1"/>
  <c r="C9490" i="1"/>
  <c r="B9490" i="1"/>
  <c r="A9490" i="1"/>
  <c r="R9489" i="1"/>
  <c r="J9489" i="1"/>
  <c r="I9489" i="1"/>
  <c r="G9489" i="1"/>
  <c r="F9489" i="1"/>
  <c r="E9489" i="1"/>
  <c r="D9489" i="1"/>
  <c r="C9489" i="1"/>
  <c r="B9489" i="1"/>
  <c r="A9489" i="1"/>
  <c r="S9488" i="1"/>
  <c r="O9488" i="1"/>
  <c r="K9488" i="1"/>
  <c r="J9488" i="1"/>
  <c r="I9488" i="1"/>
  <c r="H9488" i="1"/>
  <c r="G9488" i="1"/>
  <c r="F9488" i="1"/>
  <c r="E9488" i="1"/>
  <c r="D9488" i="1"/>
  <c r="C9488" i="1"/>
  <c r="B9488" i="1"/>
  <c r="A9488" i="1"/>
  <c r="R9487" i="1"/>
  <c r="J9487" i="1"/>
  <c r="I9487" i="1"/>
  <c r="G9487" i="1"/>
  <c r="F9487" i="1"/>
  <c r="E9487" i="1"/>
  <c r="D9487" i="1"/>
  <c r="C9487" i="1"/>
  <c r="B9487" i="1"/>
  <c r="A9487" i="1"/>
  <c r="S9486" i="1"/>
  <c r="O9486" i="1"/>
  <c r="K9486" i="1"/>
  <c r="J9486" i="1"/>
  <c r="I9486" i="1"/>
  <c r="H9486" i="1"/>
  <c r="G9486" i="1"/>
  <c r="F9486" i="1"/>
  <c r="E9486" i="1"/>
  <c r="D9486" i="1"/>
  <c r="C9486" i="1"/>
  <c r="B9486" i="1"/>
  <c r="A9486" i="1"/>
  <c r="R9485" i="1"/>
  <c r="J9485" i="1"/>
  <c r="I9485" i="1"/>
  <c r="G9485" i="1"/>
  <c r="F9485" i="1"/>
  <c r="E9485" i="1"/>
  <c r="D9485" i="1"/>
  <c r="C9485" i="1"/>
  <c r="B9485" i="1"/>
  <c r="A9485" i="1"/>
  <c r="S9484" i="1"/>
  <c r="O9484" i="1"/>
  <c r="K9484" i="1"/>
  <c r="J9484" i="1"/>
  <c r="I9484" i="1"/>
  <c r="H9484" i="1"/>
  <c r="G9484" i="1"/>
  <c r="F9484" i="1"/>
  <c r="E9484" i="1"/>
  <c r="D9484" i="1"/>
  <c r="C9484" i="1"/>
  <c r="B9484" i="1"/>
  <c r="A9484" i="1"/>
  <c r="R9483" i="1"/>
  <c r="J9483" i="1"/>
  <c r="I9483" i="1"/>
  <c r="G9483" i="1"/>
  <c r="F9483" i="1"/>
  <c r="E9483" i="1"/>
  <c r="D9483" i="1"/>
  <c r="C9483" i="1"/>
  <c r="B9483" i="1"/>
  <c r="A9483" i="1"/>
  <c r="S9482" i="1"/>
  <c r="O9482" i="1"/>
  <c r="K9482" i="1"/>
  <c r="J9482" i="1"/>
  <c r="I9482" i="1"/>
  <c r="H9482" i="1"/>
  <c r="G9482" i="1"/>
  <c r="F9482" i="1"/>
  <c r="E9482" i="1"/>
  <c r="D9482" i="1"/>
  <c r="C9482" i="1"/>
  <c r="B9482" i="1"/>
  <c r="A9482" i="1"/>
  <c r="R9481" i="1"/>
  <c r="J9481" i="1"/>
  <c r="I9481" i="1"/>
  <c r="G9481" i="1"/>
  <c r="F9481" i="1"/>
  <c r="E9481" i="1"/>
  <c r="D9481" i="1"/>
  <c r="C9481" i="1"/>
  <c r="B9481" i="1"/>
  <c r="A9481" i="1"/>
  <c r="S9480" i="1"/>
  <c r="O9480" i="1"/>
  <c r="K9480" i="1"/>
  <c r="J9480" i="1"/>
  <c r="I9480" i="1"/>
  <c r="H9480" i="1"/>
  <c r="G9480" i="1"/>
  <c r="F9480" i="1"/>
  <c r="E9480" i="1"/>
  <c r="D9480" i="1"/>
  <c r="C9480" i="1"/>
  <c r="B9480" i="1"/>
  <c r="A9480" i="1"/>
  <c r="R9479" i="1"/>
  <c r="J9479" i="1"/>
  <c r="I9479" i="1"/>
  <c r="G9479" i="1"/>
  <c r="F9479" i="1"/>
  <c r="E9479" i="1"/>
  <c r="D9479" i="1"/>
  <c r="C9479" i="1"/>
  <c r="B9479" i="1"/>
  <c r="A9479" i="1"/>
  <c r="S9478" i="1"/>
  <c r="O9478" i="1"/>
  <c r="K9478" i="1"/>
  <c r="J9478" i="1"/>
  <c r="I9478" i="1"/>
  <c r="H9478" i="1"/>
  <c r="G9478" i="1"/>
  <c r="F9478" i="1"/>
  <c r="E9478" i="1"/>
  <c r="D9478" i="1"/>
  <c r="C9478" i="1"/>
  <c r="B9478" i="1"/>
  <c r="A9478" i="1"/>
  <c r="R9477" i="1"/>
  <c r="J9477" i="1"/>
  <c r="I9477" i="1"/>
  <c r="G9477" i="1"/>
  <c r="F9477" i="1"/>
  <c r="E9477" i="1"/>
  <c r="D9477" i="1"/>
  <c r="C9477" i="1"/>
  <c r="B9477" i="1"/>
  <c r="A9477" i="1"/>
  <c r="S9476" i="1"/>
  <c r="O9476" i="1"/>
  <c r="K9476" i="1"/>
  <c r="J9476" i="1"/>
  <c r="I9476" i="1"/>
  <c r="H9476" i="1"/>
  <c r="G9476" i="1"/>
  <c r="F9476" i="1"/>
  <c r="E9476" i="1"/>
  <c r="D9476" i="1"/>
  <c r="C9476" i="1"/>
  <c r="B9476" i="1"/>
  <c r="A9476" i="1"/>
  <c r="R9475" i="1"/>
  <c r="J9475" i="1"/>
  <c r="I9475" i="1"/>
  <c r="G9475" i="1"/>
  <c r="F9475" i="1"/>
  <c r="E9475" i="1"/>
  <c r="D9475" i="1"/>
  <c r="C9475" i="1"/>
  <c r="B9475" i="1"/>
  <c r="A9475" i="1"/>
  <c r="S9474" i="1"/>
  <c r="O9474" i="1"/>
  <c r="K9474" i="1"/>
  <c r="J9474" i="1"/>
  <c r="I9474" i="1"/>
  <c r="H9474" i="1"/>
  <c r="G9474" i="1"/>
  <c r="F9474" i="1"/>
  <c r="E9474" i="1"/>
  <c r="D9474" i="1"/>
  <c r="C9474" i="1"/>
  <c r="B9474" i="1"/>
  <c r="A9474" i="1"/>
  <c r="R9473" i="1"/>
  <c r="J9473" i="1"/>
  <c r="I9473" i="1"/>
  <c r="G9473" i="1"/>
  <c r="F9473" i="1"/>
  <c r="E9473" i="1"/>
  <c r="D9473" i="1"/>
  <c r="C9473" i="1"/>
  <c r="B9473" i="1"/>
  <c r="A9473" i="1"/>
  <c r="S9472" i="1"/>
  <c r="O9472" i="1"/>
  <c r="K9472" i="1"/>
  <c r="J9472" i="1"/>
  <c r="I9472" i="1"/>
  <c r="H9472" i="1"/>
  <c r="G9472" i="1"/>
  <c r="F9472" i="1"/>
  <c r="E9472" i="1"/>
  <c r="D9472" i="1"/>
  <c r="C9472" i="1"/>
  <c r="B9472" i="1"/>
  <c r="A9472" i="1"/>
  <c r="R9471" i="1"/>
  <c r="J9471" i="1"/>
  <c r="I9471" i="1"/>
  <c r="G9471" i="1"/>
  <c r="F9471" i="1"/>
  <c r="E9471" i="1"/>
  <c r="D9471" i="1"/>
  <c r="C9471" i="1"/>
  <c r="B9471" i="1"/>
  <c r="A9471" i="1"/>
  <c r="S9470" i="1"/>
  <c r="O9470" i="1"/>
  <c r="K9470" i="1"/>
  <c r="J9470" i="1"/>
  <c r="I9470" i="1"/>
  <c r="H9470" i="1"/>
  <c r="G9470" i="1"/>
  <c r="F9470" i="1"/>
  <c r="E9470" i="1"/>
  <c r="D9470" i="1"/>
  <c r="C9470" i="1"/>
  <c r="B9470" i="1"/>
  <c r="A9470" i="1"/>
  <c r="R9469" i="1"/>
  <c r="J9469" i="1"/>
  <c r="I9469" i="1"/>
  <c r="G9469" i="1"/>
  <c r="F9469" i="1"/>
  <c r="E9469" i="1"/>
  <c r="D9469" i="1"/>
  <c r="C9469" i="1"/>
  <c r="B9469" i="1"/>
  <c r="A9469" i="1"/>
  <c r="S9468" i="1"/>
  <c r="O9468" i="1"/>
  <c r="K9468" i="1"/>
  <c r="J9468" i="1"/>
  <c r="I9468" i="1"/>
  <c r="H9468" i="1"/>
  <c r="G9468" i="1"/>
  <c r="F9468" i="1"/>
  <c r="E9468" i="1"/>
  <c r="D9468" i="1"/>
  <c r="C9468" i="1"/>
  <c r="B9468" i="1"/>
  <c r="A9468" i="1"/>
  <c r="R9467" i="1"/>
  <c r="J9467" i="1"/>
  <c r="I9467" i="1"/>
  <c r="G9467" i="1"/>
  <c r="F9467" i="1"/>
  <c r="E9467" i="1"/>
  <c r="D9467" i="1"/>
  <c r="C9467" i="1"/>
  <c r="B9467" i="1"/>
  <c r="A9467" i="1"/>
  <c r="S9466" i="1"/>
  <c r="O9466" i="1"/>
  <c r="K9466" i="1"/>
  <c r="J9466" i="1"/>
  <c r="I9466" i="1"/>
  <c r="H9466" i="1"/>
  <c r="G9466" i="1"/>
  <c r="F9466" i="1"/>
  <c r="E9466" i="1"/>
  <c r="D9466" i="1"/>
  <c r="C9466" i="1"/>
  <c r="B9466" i="1"/>
  <c r="A9466" i="1"/>
  <c r="R9465" i="1"/>
  <c r="J9465" i="1"/>
  <c r="I9465" i="1"/>
  <c r="G9465" i="1"/>
  <c r="F9465" i="1"/>
  <c r="E9465" i="1"/>
  <c r="D9465" i="1"/>
  <c r="C9465" i="1"/>
  <c r="B9465" i="1"/>
  <c r="A9465" i="1"/>
  <c r="S9464" i="1"/>
  <c r="O9464" i="1"/>
  <c r="K9464" i="1"/>
  <c r="J9464" i="1"/>
  <c r="I9464" i="1"/>
  <c r="H9464" i="1"/>
  <c r="G9464" i="1"/>
  <c r="F9464" i="1"/>
  <c r="E9464" i="1"/>
  <c r="D9464" i="1"/>
  <c r="C9464" i="1"/>
  <c r="B9464" i="1"/>
  <c r="A9464" i="1"/>
  <c r="R9463" i="1"/>
  <c r="J9463" i="1"/>
  <c r="I9463" i="1"/>
  <c r="G9463" i="1"/>
  <c r="F9463" i="1"/>
  <c r="E9463" i="1"/>
  <c r="D9463" i="1"/>
  <c r="C9463" i="1"/>
  <c r="B9463" i="1"/>
  <c r="A9463" i="1"/>
  <c r="S9462" i="1"/>
  <c r="O9462" i="1"/>
  <c r="K9462" i="1"/>
  <c r="J9462" i="1"/>
  <c r="I9462" i="1"/>
  <c r="H9462" i="1"/>
  <c r="G9462" i="1"/>
  <c r="F9462" i="1"/>
  <c r="E9462" i="1"/>
  <c r="D9462" i="1"/>
  <c r="C9462" i="1"/>
  <c r="B9462" i="1"/>
  <c r="A9462" i="1"/>
  <c r="R9461" i="1"/>
  <c r="J9461" i="1"/>
  <c r="I9461" i="1"/>
  <c r="G9461" i="1"/>
  <c r="F9461" i="1"/>
  <c r="E9461" i="1"/>
  <c r="D9461" i="1"/>
  <c r="C9461" i="1"/>
  <c r="B9461" i="1"/>
  <c r="A9461" i="1"/>
  <c r="S9460" i="1"/>
  <c r="O9460" i="1"/>
  <c r="K9460" i="1"/>
  <c r="J9460" i="1"/>
  <c r="I9460" i="1"/>
  <c r="H9460" i="1"/>
  <c r="G9460" i="1"/>
  <c r="F9460" i="1"/>
  <c r="E9460" i="1"/>
  <c r="D9460" i="1"/>
  <c r="C9460" i="1"/>
  <c r="B9460" i="1"/>
  <c r="A9460" i="1"/>
  <c r="R9459" i="1"/>
  <c r="J9459" i="1"/>
  <c r="I9459" i="1"/>
  <c r="G9459" i="1"/>
  <c r="F9459" i="1"/>
  <c r="E9459" i="1"/>
  <c r="D9459" i="1"/>
  <c r="C9459" i="1"/>
  <c r="B9459" i="1"/>
  <c r="A9459" i="1"/>
  <c r="R9458" i="1"/>
  <c r="J9458" i="1"/>
  <c r="I9458" i="1"/>
  <c r="G9458" i="1"/>
  <c r="F9458" i="1"/>
  <c r="E9458" i="1"/>
  <c r="D9458" i="1"/>
  <c r="C9458" i="1"/>
  <c r="B9458" i="1"/>
  <c r="A9458" i="1"/>
  <c r="S9457" i="1"/>
  <c r="O9457" i="1"/>
  <c r="K9457" i="1"/>
  <c r="J9457" i="1"/>
  <c r="I9457" i="1"/>
  <c r="H9457" i="1"/>
  <c r="G9457" i="1"/>
  <c r="F9457" i="1"/>
  <c r="E9457" i="1"/>
  <c r="D9457" i="1"/>
  <c r="C9457" i="1"/>
  <c r="B9457" i="1"/>
  <c r="A9457" i="1"/>
  <c r="R9456" i="1"/>
  <c r="J9456" i="1"/>
  <c r="I9456" i="1"/>
  <c r="G9456" i="1"/>
  <c r="F9456" i="1"/>
  <c r="E9456" i="1"/>
  <c r="D9456" i="1"/>
  <c r="C9456" i="1"/>
  <c r="B9456" i="1"/>
  <c r="A9456" i="1"/>
  <c r="S9455" i="1"/>
  <c r="O9455" i="1"/>
  <c r="K9455" i="1"/>
  <c r="J9455" i="1"/>
  <c r="I9455" i="1"/>
  <c r="H9455" i="1"/>
  <c r="G9455" i="1"/>
  <c r="F9455" i="1"/>
  <c r="E9455" i="1"/>
  <c r="D9455" i="1"/>
  <c r="C9455" i="1"/>
  <c r="B9455" i="1"/>
  <c r="A9455" i="1"/>
  <c r="R9454" i="1"/>
  <c r="J9454" i="1"/>
  <c r="I9454" i="1"/>
  <c r="G9454" i="1"/>
  <c r="F9454" i="1"/>
  <c r="E9454" i="1"/>
  <c r="D9454" i="1"/>
  <c r="C9454" i="1"/>
  <c r="B9454" i="1"/>
  <c r="A9454" i="1"/>
  <c r="S9453" i="1"/>
  <c r="O9453" i="1"/>
  <c r="K9453" i="1"/>
  <c r="J9453" i="1"/>
  <c r="I9453" i="1"/>
  <c r="H9453" i="1"/>
  <c r="G9453" i="1"/>
  <c r="F9453" i="1"/>
  <c r="E9453" i="1"/>
  <c r="D9453" i="1"/>
  <c r="C9453" i="1"/>
  <c r="B9453" i="1"/>
  <c r="A9453" i="1"/>
  <c r="R9452" i="1"/>
  <c r="J9452" i="1"/>
  <c r="I9452" i="1"/>
  <c r="G9452" i="1"/>
  <c r="F9452" i="1"/>
  <c r="E9452" i="1"/>
  <c r="D9452" i="1"/>
  <c r="C9452" i="1"/>
  <c r="B9452" i="1"/>
  <c r="A9452" i="1"/>
  <c r="S9451" i="1"/>
  <c r="O9451" i="1"/>
  <c r="K9451" i="1"/>
  <c r="J9451" i="1"/>
  <c r="I9451" i="1"/>
  <c r="H9451" i="1"/>
  <c r="G9451" i="1"/>
  <c r="F9451" i="1"/>
  <c r="E9451" i="1"/>
  <c r="D9451" i="1"/>
  <c r="C9451" i="1"/>
  <c r="B9451" i="1"/>
  <c r="A9451" i="1"/>
  <c r="R9450" i="1"/>
  <c r="J9450" i="1"/>
  <c r="I9450" i="1"/>
  <c r="G9450" i="1"/>
  <c r="F9450" i="1"/>
  <c r="E9450" i="1"/>
  <c r="D9450" i="1"/>
  <c r="C9450" i="1"/>
  <c r="B9450" i="1"/>
  <c r="A9450" i="1"/>
  <c r="S9449" i="1"/>
  <c r="O9449" i="1"/>
  <c r="K9449" i="1"/>
  <c r="J9449" i="1"/>
  <c r="I9449" i="1"/>
  <c r="H9449" i="1"/>
  <c r="G9449" i="1"/>
  <c r="F9449" i="1"/>
  <c r="E9449" i="1"/>
  <c r="D9449" i="1"/>
  <c r="C9449" i="1"/>
  <c r="B9449" i="1"/>
  <c r="A9449" i="1"/>
  <c r="R9448" i="1"/>
  <c r="J9448" i="1"/>
  <c r="I9448" i="1"/>
  <c r="G9448" i="1"/>
  <c r="F9448" i="1"/>
  <c r="E9448" i="1"/>
  <c r="D9448" i="1"/>
  <c r="C9448" i="1"/>
  <c r="B9448" i="1"/>
  <c r="A9448" i="1"/>
  <c r="S9447" i="1"/>
  <c r="O9447" i="1"/>
  <c r="K9447" i="1"/>
  <c r="J9447" i="1"/>
  <c r="I9447" i="1"/>
  <c r="H9447" i="1"/>
  <c r="G9447" i="1"/>
  <c r="F9447" i="1"/>
  <c r="E9447" i="1"/>
  <c r="D9447" i="1"/>
  <c r="C9447" i="1"/>
  <c r="B9447" i="1"/>
  <c r="A9447" i="1"/>
  <c r="R9446" i="1"/>
  <c r="J9446" i="1"/>
  <c r="I9446" i="1"/>
  <c r="G9446" i="1"/>
  <c r="F9446" i="1"/>
  <c r="E9446" i="1"/>
  <c r="D9446" i="1"/>
  <c r="C9446" i="1"/>
  <c r="B9446" i="1"/>
  <c r="A9446" i="1"/>
  <c r="S9445" i="1"/>
  <c r="O9445" i="1"/>
  <c r="K9445" i="1"/>
  <c r="J9445" i="1"/>
  <c r="I9445" i="1"/>
  <c r="H9445" i="1"/>
  <c r="G9445" i="1"/>
  <c r="F9445" i="1"/>
  <c r="E9445" i="1"/>
  <c r="D9445" i="1"/>
  <c r="C9445" i="1"/>
  <c r="B9445" i="1"/>
  <c r="A9445" i="1"/>
  <c r="R9444" i="1"/>
  <c r="J9444" i="1"/>
  <c r="I9444" i="1"/>
  <c r="G9444" i="1"/>
  <c r="F9444" i="1"/>
  <c r="E9444" i="1"/>
  <c r="D9444" i="1"/>
  <c r="C9444" i="1"/>
  <c r="B9444" i="1"/>
  <c r="A9444" i="1"/>
  <c r="S9443" i="1"/>
  <c r="O9443" i="1"/>
  <c r="K9443" i="1"/>
  <c r="J9443" i="1"/>
  <c r="I9443" i="1"/>
  <c r="H9443" i="1"/>
  <c r="G9443" i="1"/>
  <c r="F9443" i="1"/>
  <c r="E9443" i="1"/>
  <c r="D9443" i="1"/>
  <c r="C9443" i="1"/>
  <c r="B9443" i="1"/>
  <c r="A9443" i="1"/>
  <c r="R9442" i="1"/>
  <c r="J9442" i="1"/>
  <c r="I9442" i="1"/>
  <c r="G9442" i="1"/>
  <c r="F9442" i="1"/>
  <c r="E9442" i="1"/>
  <c r="D9442" i="1"/>
  <c r="C9442" i="1"/>
  <c r="B9442" i="1"/>
  <c r="A9442" i="1"/>
  <c r="S9441" i="1"/>
  <c r="O9441" i="1"/>
  <c r="K9441" i="1"/>
  <c r="J9441" i="1"/>
  <c r="I9441" i="1"/>
  <c r="H9441" i="1"/>
  <c r="G9441" i="1"/>
  <c r="F9441" i="1"/>
  <c r="E9441" i="1"/>
  <c r="D9441" i="1"/>
  <c r="C9441" i="1"/>
  <c r="B9441" i="1"/>
  <c r="A9441" i="1"/>
  <c r="R9440" i="1"/>
  <c r="J9440" i="1"/>
  <c r="I9440" i="1"/>
  <c r="G9440" i="1"/>
  <c r="F9440" i="1"/>
  <c r="E9440" i="1"/>
  <c r="D9440" i="1"/>
  <c r="C9440" i="1"/>
  <c r="B9440" i="1"/>
  <c r="A9440" i="1"/>
  <c r="S9439" i="1"/>
  <c r="O9439" i="1"/>
  <c r="K9439" i="1"/>
  <c r="J9439" i="1"/>
  <c r="I9439" i="1"/>
  <c r="H9439" i="1"/>
  <c r="G9439" i="1"/>
  <c r="F9439" i="1"/>
  <c r="E9439" i="1"/>
  <c r="D9439" i="1"/>
  <c r="C9439" i="1"/>
  <c r="B9439" i="1"/>
  <c r="A9439" i="1"/>
  <c r="R9438" i="1"/>
  <c r="J9438" i="1"/>
  <c r="I9438" i="1"/>
  <c r="G9438" i="1"/>
  <c r="F9438" i="1"/>
  <c r="E9438" i="1"/>
  <c r="D9438" i="1"/>
  <c r="C9438" i="1"/>
  <c r="B9438" i="1"/>
  <c r="A9438" i="1"/>
  <c r="S9437" i="1"/>
  <c r="O9437" i="1"/>
  <c r="K9437" i="1"/>
  <c r="J9437" i="1"/>
  <c r="I9437" i="1"/>
  <c r="H9437" i="1"/>
  <c r="G9437" i="1"/>
  <c r="F9437" i="1"/>
  <c r="E9437" i="1"/>
  <c r="D9437" i="1"/>
  <c r="C9437" i="1"/>
  <c r="B9437" i="1"/>
  <c r="A9437" i="1"/>
  <c r="R9436" i="1"/>
  <c r="J9436" i="1"/>
  <c r="I9436" i="1"/>
  <c r="G9436" i="1"/>
  <c r="F9436" i="1"/>
  <c r="E9436" i="1"/>
  <c r="D9436" i="1"/>
  <c r="C9436" i="1"/>
  <c r="B9436" i="1"/>
  <c r="A9436" i="1"/>
  <c r="S9435" i="1"/>
  <c r="O9435" i="1"/>
  <c r="K9435" i="1"/>
  <c r="J9435" i="1"/>
  <c r="I9435" i="1"/>
  <c r="H9435" i="1"/>
  <c r="G9435" i="1"/>
  <c r="F9435" i="1"/>
  <c r="E9435" i="1"/>
  <c r="D9435" i="1"/>
  <c r="C9435" i="1"/>
  <c r="B9435" i="1"/>
  <c r="A9435" i="1"/>
  <c r="R9434" i="1"/>
  <c r="J9434" i="1"/>
  <c r="I9434" i="1"/>
  <c r="G9434" i="1"/>
  <c r="F9434" i="1"/>
  <c r="E9434" i="1"/>
  <c r="D9434" i="1"/>
  <c r="C9434" i="1"/>
  <c r="B9434" i="1"/>
  <c r="A9434" i="1"/>
  <c r="S9433" i="1"/>
  <c r="O9433" i="1"/>
  <c r="K9433" i="1"/>
  <c r="J9433" i="1"/>
  <c r="I9433" i="1"/>
  <c r="H9433" i="1"/>
  <c r="G9433" i="1"/>
  <c r="F9433" i="1"/>
  <c r="E9433" i="1"/>
  <c r="D9433" i="1"/>
  <c r="C9433" i="1"/>
  <c r="B9433" i="1"/>
  <c r="A9433" i="1"/>
  <c r="R9432" i="1"/>
  <c r="J9432" i="1"/>
  <c r="I9432" i="1"/>
  <c r="G9432" i="1"/>
  <c r="F9432" i="1"/>
  <c r="E9432" i="1"/>
  <c r="D9432" i="1"/>
  <c r="C9432" i="1"/>
  <c r="B9432" i="1"/>
  <c r="A9432" i="1"/>
  <c r="S9431" i="1"/>
  <c r="O9431" i="1"/>
  <c r="K9431" i="1"/>
  <c r="J9431" i="1"/>
  <c r="I9431" i="1"/>
  <c r="H9431" i="1"/>
  <c r="G9431" i="1"/>
  <c r="F9431" i="1"/>
  <c r="E9431" i="1"/>
  <c r="D9431" i="1"/>
  <c r="C9431" i="1"/>
  <c r="B9431" i="1"/>
  <c r="A9431" i="1"/>
  <c r="R9430" i="1"/>
  <c r="J9430" i="1"/>
  <c r="I9430" i="1"/>
  <c r="G9430" i="1"/>
  <c r="F9430" i="1"/>
  <c r="E9430" i="1"/>
  <c r="D9430" i="1"/>
  <c r="C9430" i="1"/>
  <c r="B9430" i="1"/>
  <c r="A9430" i="1"/>
  <c r="S9429" i="1"/>
  <c r="O9429" i="1"/>
  <c r="K9429" i="1"/>
  <c r="J9429" i="1"/>
  <c r="I9429" i="1"/>
  <c r="H9429" i="1"/>
  <c r="G9429" i="1"/>
  <c r="F9429" i="1"/>
  <c r="E9429" i="1"/>
  <c r="D9429" i="1"/>
  <c r="C9429" i="1"/>
  <c r="B9429" i="1"/>
  <c r="A9429" i="1"/>
  <c r="R9428" i="1"/>
  <c r="J9428" i="1"/>
  <c r="I9428" i="1"/>
  <c r="G9428" i="1"/>
  <c r="F9428" i="1"/>
  <c r="E9428" i="1"/>
  <c r="D9428" i="1"/>
  <c r="C9428" i="1"/>
  <c r="B9428" i="1"/>
  <c r="A9428" i="1"/>
  <c r="S9427" i="1"/>
  <c r="O9427" i="1"/>
  <c r="K9427" i="1"/>
  <c r="J9427" i="1"/>
  <c r="I9427" i="1"/>
  <c r="H9427" i="1"/>
  <c r="G9427" i="1"/>
  <c r="F9427" i="1"/>
  <c r="E9427" i="1"/>
  <c r="D9427" i="1"/>
  <c r="C9427" i="1"/>
  <c r="B9427" i="1"/>
  <c r="A9427" i="1"/>
  <c r="R9426" i="1"/>
  <c r="J9426" i="1"/>
  <c r="I9426" i="1"/>
  <c r="G9426" i="1"/>
  <c r="F9426" i="1"/>
  <c r="E9426" i="1"/>
  <c r="D9426" i="1"/>
  <c r="C9426" i="1"/>
  <c r="B9426" i="1"/>
  <c r="A9426" i="1"/>
  <c r="S9425" i="1"/>
  <c r="O9425" i="1"/>
  <c r="K9425" i="1"/>
  <c r="J9425" i="1"/>
  <c r="I9425" i="1"/>
  <c r="H9425" i="1"/>
  <c r="G9425" i="1"/>
  <c r="F9425" i="1"/>
  <c r="E9425" i="1"/>
  <c r="D9425" i="1"/>
  <c r="C9425" i="1"/>
  <c r="B9425" i="1"/>
  <c r="A9425" i="1"/>
  <c r="R9424" i="1"/>
  <c r="J9424" i="1"/>
  <c r="I9424" i="1"/>
  <c r="G9424" i="1"/>
  <c r="F9424" i="1"/>
  <c r="E9424" i="1"/>
  <c r="D9424" i="1"/>
  <c r="C9424" i="1"/>
  <c r="B9424" i="1"/>
  <c r="A9424" i="1"/>
  <c r="R9423" i="1"/>
  <c r="J9423" i="1"/>
  <c r="I9423" i="1"/>
  <c r="G9423" i="1"/>
  <c r="F9423" i="1"/>
  <c r="E9423" i="1"/>
  <c r="D9423" i="1"/>
  <c r="C9423" i="1"/>
  <c r="B9423" i="1"/>
  <c r="A9423" i="1"/>
  <c r="S9422" i="1"/>
  <c r="O9422" i="1"/>
  <c r="K9422" i="1"/>
  <c r="J9422" i="1"/>
  <c r="I9422" i="1"/>
  <c r="H9422" i="1"/>
  <c r="G9422" i="1"/>
  <c r="F9422" i="1"/>
  <c r="E9422" i="1"/>
  <c r="D9422" i="1"/>
  <c r="C9422" i="1"/>
  <c r="B9422" i="1"/>
  <c r="A9422" i="1"/>
  <c r="R9421" i="1"/>
  <c r="J9421" i="1"/>
  <c r="I9421" i="1"/>
  <c r="G9421" i="1"/>
  <c r="F9421" i="1"/>
  <c r="E9421" i="1"/>
  <c r="D9421" i="1"/>
  <c r="C9421" i="1"/>
  <c r="B9421" i="1"/>
  <c r="A9421" i="1"/>
  <c r="S9420" i="1"/>
  <c r="O9420" i="1"/>
  <c r="K9420" i="1"/>
  <c r="J9420" i="1"/>
  <c r="I9420" i="1"/>
  <c r="H9420" i="1"/>
  <c r="G9420" i="1"/>
  <c r="F9420" i="1"/>
  <c r="E9420" i="1"/>
  <c r="D9420" i="1"/>
  <c r="C9420" i="1"/>
  <c r="B9420" i="1"/>
  <c r="A9420" i="1"/>
  <c r="R9419" i="1"/>
  <c r="J9419" i="1"/>
  <c r="I9419" i="1"/>
  <c r="G9419" i="1"/>
  <c r="F9419" i="1"/>
  <c r="E9419" i="1"/>
  <c r="D9419" i="1"/>
  <c r="C9419" i="1"/>
  <c r="B9419" i="1"/>
  <c r="A9419" i="1"/>
  <c r="S9418" i="1"/>
  <c r="O9418" i="1"/>
  <c r="K9418" i="1"/>
  <c r="J9418" i="1"/>
  <c r="I9418" i="1"/>
  <c r="H9418" i="1"/>
  <c r="G9418" i="1"/>
  <c r="F9418" i="1"/>
  <c r="E9418" i="1"/>
  <c r="D9418" i="1"/>
  <c r="C9418" i="1"/>
  <c r="B9418" i="1"/>
  <c r="A9418" i="1"/>
  <c r="R9417" i="1"/>
  <c r="J9417" i="1"/>
  <c r="I9417" i="1"/>
  <c r="G9417" i="1"/>
  <c r="F9417" i="1"/>
  <c r="E9417" i="1"/>
  <c r="D9417" i="1"/>
  <c r="C9417" i="1"/>
  <c r="B9417" i="1"/>
  <c r="A9417" i="1"/>
  <c r="S9416" i="1"/>
  <c r="O9416" i="1"/>
  <c r="K9416" i="1"/>
  <c r="J9416" i="1"/>
  <c r="I9416" i="1"/>
  <c r="H9416" i="1"/>
  <c r="G9416" i="1"/>
  <c r="F9416" i="1"/>
  <c r="E9416" i="1"/>
  <c r="D9416" i="1"/>
  <c r="C9416" i="1"/>
  <c r="B9416" i="1"/>
  <c r="A9416" i="1"/>
  <c r="R9415" i="1"/>
  <c r="J9415" i="1"/>
  <c r="I9415" i="1"/>
  <c r="G9415" i="1"/>
  <c r="F9415" i="1"/>
  <c r="E9415" i="1"/>
  <c r="D9415" i="1"/>
  <c r="C9415" i="1"/>
  <c r="B9415" i="1"/>
  <c r="A9415" i="1"/>
  <c r="S9414" i="1"/>
  <c r="O9414" i="1"/>
  <c r="K9414" i="1"/>
  <c r="J9414" i="1"/>
  <c r="I9414" i="1"/>
  <c r="H9414" i="1"/>
  <c r="G9414" i="1"/>
  <c r="F9414" i="1"/>
  <c r="E9414" i="1"/>
  <c r="D9414" i="1"/>
  <c r="C9414" i="1"/>
  <c r="B9414" i="1"/>
  <c r="A9414" i="1"/>
  <c r="R9413" i="1"/>
  <c r="J9413" i="1"/>
  <c r="I9413" i="1"/>
  <c r="G9413" i="1"/>
  <c r="F9413" i="1"/>
  <c r="E9413" i="1"/>
  <c r="D9413" i="1"/>
  <c r="C9413" i="1"/>
  <c r="B9413" i="1"/>
  <c r="A9413" i="1"/>
  <c r="S9412" i="1"/>
  <c r="O9412" i="1"/>
  <c r="K9412" i="1"/>
  <c r="J9412" i="1"/>
  <c r="I9412" i="1"/>
  <c r="H9412" i="1"/>
  <c r="G9412" i="1"/>
  <c r="F9412" i="1"/>
  <c r="E9412" i="1"/>
  <c r="D9412" i="1"/>
  <c r="C9412" i="1"/>
  <c r="B9412" i="1"/>
  <c r="A9412" i="1"/>
  <c r="R9411" i="1"/>
  <c r="J9411" i="1"/>
  <c r="I9411" i="1"/>
  <c r="G9411" i="1"/>
  <c r="F9411" i="1"/>
  <c r="E9411" i="1"/>
  <c r="D9411" i="1"/>
  <c r="C9411" i="1"/>
  <c r="B9411" i="1"/>
  <c r="A9411" i="1"/>
  <c r="S9410" i="1"/>
  <c r="O9410" i="1"/>
  <c r="K9410" i="1"/>
  <c r="J9410" i="1"/>
  <c r="I9410" i="1"/>
  <c r="H9410" i="1"/>
  <c r="G9410" i="1"/>
  <c r="F9410" i="1"/>
  <c r="E9410" i="1"/>
  <c r="D9410" i="1"/>
  <c r="C9410" i="1"/>
  <c r="B9410" i="1"/>
  <c r="A9410" i="1"/>
  <c r="R9409" i="1"/>
  <c r="J9409" i="1"/>
  <c r="I9409" i="1"/>
  <c r="G9409" i="1"/>
  <c r="F9409" i="1"/>
  <c r="E9409" i="1"/>
  <c r="D9409" i="1"/>
  <c r="C9409" i="1"/>
  <c r="B9409" i="1"/>
  <c r="A9409" i="1"/>
  <c r="S9408" i="1"/>
  <c r="O9408" i="1"/>
  <c r="K9408" i="1"/>
  <c r="J9408" i="1"/>
  <c r="I9408" i="1"/>
  <c r="H9408" i="1"/>
  <c r="G9408" i="1"/>
  <c r="F9408" i="1"/>
  <c r="E9408" i="1"/>
  <c r="D9408" i="1"/>
  <c r="C9408" i="1"/>
  <c r="B9408" i="1"/>
  <c r="A9408" i="1"/>
  <c r="R9407" i="1"/>
  <c r="J9407" i="1"/>
  <c r="I9407" i="1"/>
  <c r="G9407" i="1"/>
  <c r="F9407" i="1"/>
  <c r="E9407" i="1"/>
  <c r="D9407" i="1"/>
  <c r="C9407" i="1"/>
  <c r="B9407" i="1"/>
  <c r="A9407" i="1"/>
  <c r="S9406" i="1"/>
  <c r="O9406" i="1"/>
  <c r="K9406" i="1"/>
  <c r="J9406" i="1"/>
  <c r="I9406" i="1"/>
  <c r="H9406" i="1"/>
  <c r="G9406" i="1"/>
  <c r="F9406" i="1"/>
  <c r="E9406" i="1"/>
  <c r="D9406" i="1"/>
  <c r="C9406" i="1"/>
  <c r="B9406" i="1"/>
  <c r="A9406" i="1"/>
  <c r="R9405" i="1"/>
  <c r="J9405" i="1"/>
  <c r="I9405" i="1"/>
  <c r="G9405" i="1"/>
  <c r="F9405" i="1"/>
  <c r="E9405" i="1"/>
  <c r="D9405" i="1"/>
  <c r="C9405" i="1"/>
  <c r="B9405" i="1"/>
  <c r="A9405" i="1"/>
  <c r="S9404" i="1"/>
  <c r="O9404" i="1"/>
  <c r="K9404" i="1"/>
  <c r="J9404" i="1"/>
  <c r="I9404" i="1"/>
  <c r="H9404" i="1"/>
  <c r="G9404" i="1"/>
  <c r="F9404" i="1"/>
  <c r="E9404" i="1"/>
  <c r="D9404" i="1"/>
  <c r="C9404" i="1"/>
  <c r="B9404" i="1"/>
  <c r="A9404" i="1"/>
  <c r="R9403" i="1"/>
  <c r="J9403" i="1"/>
  <c r="I9403" i="1"/>
  <c r="G9403" i="1"/>
  <c r="F9403" i="1"/>
  <c r="E9403" i="1"/>
  <c r="D9403" i="1"/>
  <c r="C9403" i="1"/>
  <c r="B9403" i="1"/>
  <c r="A9403" i="1"/>
  <c r="S9402" i="1"/>
  <c r="O9402" i="1"/>
  <c r="K9402" i="1"/>
  <c r="J9402" i="1"/>
  <c r="I9402" i="1"/>
  <c r="H9402" i="1"/>
  <c r="G9402" i="1"/>
  <c r="F9402" i="1"/>
  <c r="E9402" i="1"/>
  <c r="D9402" i="1"/>
  <c r="C9402" i="1"/>
  <c r="B9402" i="1"/>
  <c r="A9402" i="1"/>
  <c r="R9401" i="1"/>
  <c r="J9401" i="1"/>
  <c r="I9401" i="1"/>
  <c r="G9401" i="1"/>
  <c r="F9401" i="1"/>
  <c r="E9401" i="1"/>
  <c r="D9401" i="1"/>
  <c r="C9401" i="1"/>
  <c r="B9401" i="1"/>
  <c r="A9401" i="1"/>
  <c r="S9400" i="1"/>
  <c r="O9400" i="1"/>
  <c r="K9400" i="1"/>
  <c r="J9400" i="1"/>
  <c r="I9400" i="1"/>
  <c r="H9400" i="1"/>
  <c r="G9400" i="1"/>
  <c r="F9400" i="1"/>
  <c r="E9400" i="1"/>
  <c r="D9400" i="1"/>
  <c r="C9400" i="1"/>
  <c r="B9400" i="1"/>
  <c r="A9400" i="1"/>
  <c r="R9399" i="1"/>
  <c r="J9399" i="1"/>
  <c r="I9399" i="1"/>
  <c r="G9399" i="1"/>
  <c r="F9399" i="1"/>
  <c r="E9399" i="1"/>
  <c r="D9399" i="1"/>
  <c r="C9399" i="1"/>
  <c r="B9399" i="1"/>
  <c r="A9399" i="1"/>
  <c r="S9398" i="1"/>
  <c r="O9398" i="1"/>
  <c r="K9398" i="1"/>
  <c r="J9398" i="1"/>
  <c r="I9398" i="1"/>
  <c r="H9398" i="1"/>
  <c r="G9398" i="1"/>
  <c r="F9398" i="1"/>
  <c r="E9398" i="1"/>
  <c r="D9398" i="1"/>
  <c r="C9398" i="1"/>
  <c r="B9398" i="1"/>
  <c r="A9398" i="1"/>
  <c r="R9397" i="1"/>
  <c r="J9397" i="1"/>
  <c r="I9397" i="1"/>
  <c r="G9397" i="1"/>
  <c r="F9397" i="1"/>
  <c r="E9397" i="1"/>
  <c r="D9397" i="1"/>
  <c r="C9397" i="1"/>
  <c r="B9397" i="1"/>
  <c r="A9397" i="1"/>
  <c r="S9396" i="1"/>
  <c r="O9396" i="1"/>
  <c r="K9396" i="1"/>
  <c r="J9396" i="1"/>
  <c r="I9396" i="1"/>
  <c r="H9396" i="1"/>
  <c r="G9396" i="1"/>
  <c r="F9396" i="1"/>
  <c r="E9396" i="1"/>
  <c r="D9396" i="1"/>
  <c r="C9396" i="1"/>
  <c r="B9396" i="1"/>
  <c r="A9396" i="1"/>
  <c r="R9395" i="1"/>
  <c r="J9395" i="1"/>
  <c r="I9395" i="1"/>
  <c r="G9395" i="1"/>
  <c r="F9395" i="1"/>
  <c r="E9395" i="1"/>
  <c r="D9395" i="1"/>
  <c r="C9395" i="1"/>
  <c r="B9395" i="1"/>
  <c r="A9395" i="1"/>
  <c r="S9394" i="1"/>
  <c r="O9394" i="1"/>
  <c r="K9394" i="1"/>
  <c r="J9394" i="1"/>
  <c r="I9394" i="1"/>
  <c r="H9394" i="1"/>
  <c r="G9394" i="1"/>
  <c r="F9394" i="1"/>
  <c r="E9394" i="1"/>
  <c r="D9394" i="1"/>
  <c r="C9394" i="1"/>
  <c r="B9394" i="1"/>
  <c r="A9394" i="1"/>
  <c r="R9393" i="1"/>
  <c r="J9393" i="1"/>
  <c r="I9393" i="1"/>
  <c r="G9393" i="1"/>
  <c r="F9393" i="1"/>
  <c r="E9393" i="1"/>
  <c r="D9393" i="1"/>
  <c r="C9393" i="1"/>
  <c r="B9393" i="1"/>
  <c r="A9393" i="1"/>
  <c r="S9392" i="1"/>
  <c r="O9392" i="1"/>
  <c r="K9392" i="1"/>
  <c r="J9392" i="1"/>
  <c r="I9392" i="1"/>
  <c r="H9392" i="1"/>
  <c r="G9392" i="1"/>
  <c r="F9392" i="1"/>
  <c r="E9392" i="1"/>
  <c r="D9392" i="1"/>
  <c r="C9392" i="1"/>
  <c r="B9392" i="1"/>
  <c r="A9392" i="1"/>
  <c r="R9391" i="1"/>
  <c r="J9391" i="1"/>
  <c r="I9391" i="1"/>
  <c r="G9391" i="1"/>
  <c r="F9391" i="1"/>
  <c r="E9391" i="1"/>
  <c r="D9391" i="1"/>
  <c r="C9391" i="1"/>
  <c r="B9391" i="1"/>
  <c r="A9391" i="1"/>
  <c r="S9390" i="1"/>
  <c r="O9390" i="1"/>
  <c r="K9390" i="1"/>
  <c r="J9390" i="1"/>
  <c r="I9390" i="1"/>
  <c r="H9390" i="1"/>
  <c r="G9390" i="1"/>
  <c r="F9390" i="1"/>
  <c r="E9390" i="1"/>
  <c r="D9390" i="1"/>
  <c r="C9390" i="1"/>
  <c r="B9390" i="1"/>
  <c r="A9390" i="1"/>
  <c r="R9389" i="1"/>
  <c r="J9389" i="1"/>
  <c r="I9389" i="1"/>
  <c r="G9389" i="1"/>
  <c r="F9389" i="1"/>
  <c r="E9389" i="1"/>
  <c r="D9389" i="1"/>
  <c r="C9389" i="1"/>
  <c r="B9389" i="1"/>
  <c r="A9389" i="1"/>
  <c r="S9388" i="1"/>
  <c r="O9388" i="1"/>
  <c r="K9388" i="1"/>
  <c r="J9388" i="1"/>
  <c r="I9388" i="1"/>
  <c r="H9388" i="1"/>
  <c r="G9388" i="1"/>
  <c r="F9388" i="1"/>
  <c r="E9388" i="1"/>
  <c r="D9388" i="1"/>
  <c r="C9388" i="1"/>
  <c r="B9388" i="1"/>
  <c r="A9388" i="1"/>
  <c r="R9387" i="1"/>
  <c r="J9387" i="1"/>
  <c r="I9387" i="1"/>
  <c r="G9387" i="1"/>
  <c r="F9387" i="1"/>
  <c r="E9387" i="1"/>
  <c r="D9387" i="1"/>
  <c r="C9387" i="1"/>
  <c r="B9387" i="1"/>
  <c r="A9387" i="1"/>
  <c r="S9386" i="1"/>
  <c r="O9386" i="1"/>
  <c r="K9386" i="1"/>
  <c r="J9386" i="1"/>
  <c r="I9386" i="1"/>
  <c r="H9386" i="1"/>
  <c r="G9386" i="1"/>
  <c r="F9386" i="1"/>
  <c r="E9386" i="1"/>
  <c r="D9386" i="1"/>
  <c r="C9386" i="1"/>
  <c r="B9386" i="1"/>
  <c r="A9386" i="1"/>
  <c r="R9385" i="1"/>
  <c r="J9385" i="1"/>
  <c r="I9385" i="1"/>
  <c r="G9385" i="1"/>
  <c r="F9385" i="1"/>
  <c r="E9385" i="1"/>
  <c r="D9385" i="1"/>
  <c r="C9385" i="1"/>
  <c r="B9385" i="1"/>
  <c r="A9385" i="1"/>
  <c r="S9384" i="1"/>
  <c r="O9384" i="1"/>
  <c r="K9384" i="1"/>
  <c r="J9384" i="1"/>
  <c r="I9384" i="1"/>
  <c r="H9384" i="1"/>
  <c r="G9384" i="1"/>
  <c r="F9384" i="1"/>
  <c r="E9384" i="1"/>
  <c r="D9384" i="1"/>
  <c r="C9384" i="1"/>
  <c r="B9384" i="1"/>
  <c r="A9384" i="1"/>
  <c r="R9383" i="1"/>
  <c r="J9383" i="1"/>
  <c r="I9383" i="1"/>
  <c r="G9383" i="1"/>
  <c r="F9383" i="1"/>
  <c r="E9383" i="1"/>
  <c r="D9383" i="1"/>
  <c r="C9383" i="1"/>
  <c r="B9383" i="1"/>
  <c r="A9383" i="1"/>
  <c r="S9382" i="1"/>
  <c r="O9382" i="1"/>
  <c r="K9382" i="1"/>
  <c r="J9382" i="1"/>
  <c r="I9382" i="1"/>
  <c r="H9382" i="1"/>
  <c r="G9382" i="1"/>
  <c r="F9382" i="1"/>
  <c r="E9382" i="1"/>
  <c r="D9382" i="1"/>
  <c r="C9382" i="1"/>
  <c r="B9382" i="1"/>
  <c r="A9382" i="1"/>
  <c r="R9381" i="1"/>
  <c r="J9381" i="1"/>
  <c r="I9381" i="1"/>
  <c r="G9381" i="1"/>
  <c r="F9381" i="1"/>
  <c r="E9381" i="1"/>
  <c r="D9381" i="1"/>
  <c r="C9381" i="1"/>
  <c r="B9381" i="1"/>
  <c r="A9381" i="1"/>
  <c r="S9380" i="1"/>
  <c r="O9380" i="1"/>
  <c r="K9380" i="1"/>
  <c r="J9380" i="1"/>
  <c r="I9380" i="1"/>
  <c r="H9380" i="1"/>
  <c r="G9380" i="1"/>
  <c r="F9380" i="1"/>
  <c r="E9380" i="1"/>
  <c r="D9380" i="1"/>
  <c r="C9380" i="1"/>
  <c r="B9380" i="1"/>
  <c r="A9380" i="1"/>
  <c r="R9379" i="1"/>
  <c r="J9379" i="1"/>
  <c r="I9379" i="1"/>
  <c r="G9379" i="1"/>
  <c r="F9379" i="1"/>
  <c r="E9379" i="1"/>
  <c r="D9379" i="1"/>
  <c r="C9379" i="1"/>
  <c r="B9379" i="1"/>
  <c r="A9379" i="1"/>
  <c r="S9378" i="1"/>
  <c r="O9378" i="1"/>
  <c r="K9378" i="1"/>
  <c r="J9378" i="1"/>
  <c r="I9378" i="1"/>
  <c r="H9378" i="1"/>
  <c r="G9378" i="1"/>
  <c r="F9378" i="1"/>
  <c r="E9378" i="1"/>
  <c r="D9378" i="1"/>
  <c r="C9378" i="1"/>
  <c r="B9378" i="1"/>
  <c r="A9378" i="1"/>
  <c r="R9377" i="1"/>
  <c r="J9377" i="1"/>
  <c r="I9377" i="1"/>
  <c r="G9377" i="1"/>
  <c r="F9377" i="1"/>
  <c r="E9377" i="1"/>
  <c r="D9377" i="1"/>
  <c r="C9377" i="1"/>
  <c r="B9377" i="1"/>
  <c r="A9377" i="1"/>
  <c r="S9376" i="1"/>
  <c r="O9376" i="1"/>
  <c r="K9376" i="1"/>
  <c r="J9376" i="1"/>
  <c r="I9376" i="1"/>
  <c r="H9376" i="1"/>
  <c r="G9376" i="1"/>
  <c r="F9376" i="1"/>
  <c r="E9376" i="1"/>
  <c r="D9376" i="1"/>
  <c r="C9376" i="1"/>
  <c r="B9376" i="1"/>
  <c r="A9376" i="1"/>
  <c r="R9375" i="1"/>
  <c r="J9375" i="1"/>
  <c r="I9375" i="1"/>
  <c r="G9375" i="1"/>
  <c r="F9375" i="1"/>
  <c r="E9375" i="1"/>
  <c r="D9375" i="1"/>
  <c r="C9375" i="1"/>
  <c r="B9375" i="1"/>
  <c r="A9375" i="1"/>
  <c r="S9374" i="1"/>
  <c r="O9374" i="1"/>
  <c r="K9374" i="1"/>
  <c r="J9374" i="1"/>
  <c r="I9374" i="1"/>
  <c r="H9374" i="1"/>
  <c r="G9374" i="1"/>
  <c r="F9374" i="1"/>
  <c r="E9374" i="1"/>
  <c r="D9374" i="1"/>
  <c r="C9374" i="1"/>
  <c r="B9374" i="1"/>
  <c r="A9374" i="1"/>
  <c r="R9373" i="1"/>
  <c r="J9373" i="1"/>
  <c r="I9373" i="1"/>
  <c r="G9373" i="1"/>
  <c r="F9373" i="1"/>
  <c r="E9373" i="1"/>
  <c r="D9373" i="1"/>
  <c r="C9373" i="1"/>
  <c r="B9373" i="1"/>
  <c r="A9373" i="1"/>
  <c r="S9372" i="1"/>
  <c r="O9372" i="1"/>
  <c r="K9372" i="1"/>
  <c r="J9372" i="1"/>
  <c r="I9372" i="1"/>
  <c r="H9372" i="1"/>
  <c r="G9372" i="1"/>
  <c r="F9372" i="1"/>
  <c r="E9372" i="1"/>
  <c r="D9372" i="1"/>
  <c r="C9372" i="1"/>
  <c r="B9372" i="1"/>
  <c r="A9372" i="1"/>
  <c r="R9371" i="1"/>
  <c r="J9371" i="1"/>
  <c r="I9371" i="1"/>
  <c r="G9371" i="1"/>
  <c r="F9371" i="1"/>
  <c r="E9371" i="1"/>
  <c r="D9371" i="1"/>
  <c r="C9371" i="1"/>
  <c r="B9371" i="1"/>
  <c r="A9371" i="1"/>
  <c r="S9370" i="1"/>
  <c r="O9370" i="1"/>
  <c r="K9370" i="1"/>
  <c r="J9370" i="1"/>
  <c r="I9370" i="1"/>
  <c r="H9370" i="1"/>
  <c r="G9370" i="1"/>
  <c r="F9370" i="1"/>
  <c r="E9370" i="1"/>
  <c r="D9370" i="1"/>
  <c r="C9370" i="1"/>
  <c r="B9370" i="1"/>
  <c r="A9370" i="1"/>
  <c r="R9369" i="1"/>
  <c r="J9369" i="1"/>
  <c r="I9369" i="1"/>
  <c r="G9369" i="1"/>
  <c r="F9369" i="1"/>
  <c r="E9369" i="1"/>
  <c r="D9369" i="1"/>
  <c r="C9369" i="1"/>
  <c r="B9369" i="1"/>
  <c r="A9369" i="1"/>
  <c r="S9368" i="1"/>
  <c r="O9368" i="1"/>
  <c r="K9368" i="1"/>
  <c r="J9368" i="1"/>
  <c r="I9368" i="1"/>
  <c r="H9368" i="1"/>
  <c r="G9368" i="1"/>
  <c r="F9368" i="1"/>
  <c r="E9368" i="1"/>
  <c r="D9368" i="1"/>
  <c r="C9368" i="1"/>
  <c r="B9368" i="1"/>
  <c r="A9368" i="1"/>
  <c r="R9367" i="1"/>
  <c r="J9367" i="1"/>
  <c r="I9367" i="1"/>
  <c r="G9367" i="1"/>
  <c r="F9367" i="1"/>
  <c r="E9367" i="1"/>
  <c r="D9367" i="1"/>
  <c r="C9367" i="1"/>
  <c r="B9367" i="1"/>
  <c r="A9367" i="1"/>
  <c r="R9366" i="1"/>
  <c r="J9366" i="1"/>
  <c r="I9366" i="1"/>
  <c r="G9366" i="1"/>
  <c r="F9366" i="1"/>
  <c r="E9366" i="1"/>
  <c r="D9366" i="1"/>
  <c r="C9366" i="1"/>
  <c r="B9366" i="1"/>
  <c r="A9366" i="1"/>
  <c r="R9365" i="1"/>
  <c r="J9365" i="1"/>
  <c r="I9365" i="1"/>
  <c r="G9365" i="1"/>
  <c r="F9365" i="1"/>
  <c r="E9365" i="1"/>
  <c r="D9365" i="1"/>
  <c r="C9365" i="1"/>
  <c r="B9365" i="1"/>
  <c r="A9365" i="1"/>
  <c r="R9364" i="1"/>
  <c r="J9364" i="1"/>
  <c r="I9364" i="1"/>
  <c r="G9364" i="1"/>
  <c r="F9364" i="1"/>
  <c r="E9364" i="1"/>
  <c r="D9364" i="1"/>
  <c r="C9364" i="1"/>
  <c r="B9364" i="1"/>
  <c r="A9364" i="1"/>
  <c r="S9363" i="1"/>
  <c r="O9363" i="1"/>
  <c r="K9363" i="1"/>
  <c r="J9363" i="1"/>
  <c r="I9363" i="1"/>
  <c r="H9363" i="1"/>
  <c r="G9363" i="1"/>
  <c r="F9363" i="1"/>
  <c r="E9363" i="1"/>
  <c r="D9363" i="1"/>
  <c r="C9363" i="1"/>
  <c r="B9363" i="1"/>
  <c r="A9363" i="1"/>
  <c r="R9362" i="1"/>
  <c r="J9362" i="1"/>
  <c r="I9362" i="1"/>
  <c r="G9362" i="1"/>
  <c r="F9362" i="1"/>
  <c r="E9362" i="1"/>
  <c r="D9362" i="1"/>
  <c r="C9362" i="1"/>
  <c r="B9362" i="1"/>
  <c r="A9362" i="1"/>
  <c r="R9361" i="1"/>
  <c r="J9361" i="1"/>
  <c r="I9361" i="1"/>
  <c r="G9361" i="1"/>
  <c r="F9361" i="1"/>
  <c r="E9361" i="1"/>
  <c r="D9361" i="1"/>
  <c r="C9361" i="1"/>
  <c r="B9361" i="1"/>
  <c r="A9361" i="1"/>
  <c r="R9360" i="1"/>
  <c r="J9360" i="1"/>
  <c r="I9360" i="1"/>
  <c r="G9360" i="1"/>
  <c r="F9360" i="1"/>
  <c r="E9360" i="1"/>
  <c r="D9360" i="1"/>
  <c r="C9360" i="1"/>
  <c r="B9360" i="1"/>
  <c r="A9360" i="1"/>
  <c r="R9359" i="1"/>
  <c r="J9359" i="1"/>
  <c r="I9359" i="1"/>
  <c r="G9359" i="1"/>
  <c r="F9359" i="1"/>
  <c r="E9359" i="1"/>
  <c r="D9359" i="1"/>
  <c r="C9359" i="1"/>
  <c r="B9359" i="1"/>
  <c r="A9359" i="1"/>
  <c r="S9358" i="1"/>
  <c r="O9358" i="1"/>
  <c r="K9358" i="1"/>
  <c r="J9358" i="1"/>
  <c r="I9358" i="1"/>
  <c r="H9358" i="1"/>
  <c r="G9358" i="1"/>
  <c r="F9358" i="1"/>
  <c r="E9358" i="1"/>
  <c r="D9358" i="1"/>
  <c r="C9358" i="1"/>
  <c r="B9358" i="1"/>
  <c r="A9358" i="1"/>
  <c r="R9357" i="1"/>
  <c r="J9357" i="1"/>
  <c r="I9357" i="1"/>
  <c r="G9357" i="1"/>
  <c r="F9357" i="1"/>
  <c r="E9357" i="1"/>
  <c r="D9357" i="1"/>
  <c r="C9357" i="1"/>
  <c r="B9357" i="1"/>
  <c r="A9357" i="1"/>
  <c r="R9356" i="1"/>
  <c r="J9356" i="1"/>
  <c r="I9356" i="1"/>
  <c r="G9356" i="1"/>
  <c r="F9356" i="1"/>
  <c r="E9356" i="1"/>
  <c r="D9356" i="1"/>
  <c r="C9356" i="1"/>
  <c r="B9356" i="1"/>
  <c r="A9356" i="1"/>
  <c r="R9355" i="1"/>
  <c r="J9355" i="1"/>
  <c r="I9355" i="1"/>
  <c r="G9355" i="1"/>
  <c r="F9355" i="1"/>
  <c r="E9355" i="1"/>
  <c r="D9355" i="1"/>
  <c r="C9355" i="1"/>
  <c r="B9355" i="1"/>
  <c r="A9355" i="1"/>
  <c r="R9354" i="1"/>
  <c r="J9354" i="1"/>
  <c r="I9354" i="1"/>
  <c r="G9354" i="1"/>
  <c r="F9354" i="1"/>
  <c r="E9354" i="1"/>
  <c r="D9354" i="1"/>
  <c r="C9354" i="1"/>
  <c r="B9354" i="1"/>
  <c r="A9354" i="1"/>
  <c r="S9353" i="1"/>
  <c r="O9353" i="1"/>
  <c r="K9353" i="1"/>
  <c r="J9353" i="1"/>
  <c r="I9353" i="1"/>
  <c r="H9353" i="1"/>
  <c r="G9353" i="1"/>
  <c r="F9353" i="1"/>
  <c r="E9353" i="1"/>
  <c r="D9353" i="1"/>
  <c r="C9353" i="1"/>
  <c r="B9353" i="1"/>
  <c r="A9353" i="1"/>
  <c r="R9352" i="1"/>
  <c r="J9352" i="1"/>
  <c r="I9352" i="1"/>
  <c r="G9352" i="1"/>
  <c r="F9352" i="1"/>
  <c r="E9352" i="1"/>
  <c r="D9352" i="1"/>
  <c r="C9352" i="1"/>
  <c r="B9352" i="1"/>
  <c r="A9352" i="1"/>
  <c r="R9351" i="1"/>
  <c r="J9351" i="1"/>
  <c r="I9351" i="1"/>
  <c r="G9351" i="1"/>
  <c r="F9351" i="1"/>
  <c r="E9351" i="1"/>
  <c r="D9351" i="1"/>
  <c r="C9351" i="1"/>
  <c r="B9351" i="1"/>
  <c r="A9351" i="1"/>
  <c r="R9350" i="1"/>
  <c r="J9350" i="1"/>
  <c r="I9350" i="1"/>
  <c r="G9350" i="1"/>
  <c r="F9350" i="1"/>
  <c r="E9350" i="1"/>
  <c r="D9350" i="1"/>
  <c r="C9350" i="1"/>
  <c r="B9350" i="1"/>
  <c r="A9350" i="1"/>
  <c r="R9349" i="1"/>
  <c r="J9349" i="1"/>
  <c r="I9349" i="1"/>
  <c r="G9349" i="1"/>
  <c r="F9349" i="1"/>
  <c r="E9349" i="1"/>
  <c r="D9349" i="1"/>
  <c r="C9349" i="1"/>
  <c r="B9349" i="1"/>
  <c r="A9349" i="1"/>
  <c r="S9348" i="1"/>
  <c r="O9348" i="1"/>
  <c r="K9348" i="1"/>
  <c r="J9348" i="1"/>
  <c r="I9348" i="1"/>
  <c r="H9348" i="1"/>
  <c r="G9348" i="1"/>
  <c r="F9348" i="1"/>
  <c r="E9348" i="1"/>
  <c r="D9348" i="1"/>
  <c r="C9348" i="1"/>
  <c r="B9348" i="1"/>
  <c r="A9348" i="1"/>
  <c r="R9347" i="1"/>
  <c r="J9347" i="1"/>
  <c r="I9347" i="1"/>
  <c r="G9347" i="1"/>
  <c r="F9347" i="1"/>
  <c r="E9347" i="1"/>
  <c r="D9347" i="1"/>
  <c r="C9347" i="1"/>
  <c r="B9347" i="1"/>
  <c r="A9347" i="1"/>
  <c r="R9346" i="1"/>
  <c r="J9346" i="1"/>
  <c r="I9346" i="1"/>
  <c r="G9346" i="1"/>
  <c r="F9346" i="1"/>
  <c r="E9346" i="1"/>
  <c r="D9346" i="1"/>
  <c r="C9346" i="1"/>
  <c r="B9346" i="1"/>
  <c r="A9346" i="1"/>
  <c r="R9345" i="1"/>
  <c r="J9345" i="1"/>
  <c r="I9345" i="1"/>
  <c r="G9345" i="1"/>
  <c r="F9345" i="1"/>
  <c r="E9345" i="1"/>
  <c r="D9345" i="1"/>
  <c r="C9345" i="1"/>
  <c r="B9345" i="1"/>
  <c r="A9345" i="1"/>
  <c r="S9344" i="1"/>
  <c r="O9344" i="1"/>
  <c r="K9344" i="1"/>
  <c r="J9344" i="1"/>
  <c r="I9344" i="1"/>
  <c r="H9344" i="1"/>
  <c r="G9344" i="1"/>
  <c r="F9344" i="1"/>
  <c r="E9344" i="1"/>
  <c r="D9344" i="1"/>
  <c r="C9344" i="1"/>
  <c r="B9344" i="1"/>
  <c r="A9344" i="1"/>
  <c r="R9343" i="1"/>
  <c r="J9343" i="1"/>
  <c r="I9343" i="1"/>
  <c r="G9343" i="1"/>
  <c r="F9343" i="1"/>
  <c r="E9343" i="1"/>
  <c r="D9343" i="1"/>
  <c r="C9343" i="1"/>
  <c r="B9343" i="1"/>
  <c r="A9343" i="1"/>
  <c r="R9342" i="1"/>
  <c r="J9342" i="1"/>
  <c r="I9342" i="1"/>
  <c r="G9342" i="1"/>
  <c r="F9342" i="1"/>
  <c r="E9342" i="1"/>
  <c r="D9342" i="1"/>
  <c r="C9342" i="1"/>
  <c r="B9342" i="1"/>
  <c r="A9342" i="1"/>
  <c r="R9341" i="1"/>
  <c r="J9341" i="1"/>
  <c r="I9341" i="1"/>
  <c r="G9341" i="1"/>
  <c r="F9341" i="1"/>
  <c r="E9341" i="1"/>
  <c r="D9341" i="1"/>
  <c r="C9341" i="1"/>
  <c r="B9341" i="1"/>
  <c r="A9341" i="1"/>
  <c r="S9340" i="1"/>
  <c r="O9340" i="1"/>
  <c r="K9340" i="1"/>
  <c r="J9340" i="1"/>
  <c r="I9340" i="1"/>
  <c r="H9340" i="1"/>
  <c r="G9340" i="1"/>
  <c r="F9340" i="1"/>
  <c r="E9340" i="1"/>
  <c r="D9340" i="1"/>
  <c r="C9340" i="1"/>
  <c r="B9340" i="1"/>
  <c r="A9340" i="1"/>
  <c r="R9339" i="1"/>
  <c r="J9339" i="1"/>
  <c r="I9339" i="1"/>
  <c r="G9339" i="1"/>
  <c r="F9339" i="1"/>
  <c r="E9339" i="1"/>
  <c r="D9339" i="1"/>
  <c r="C9339" i="1"/>
  <c r="B9339" i="1"/>
  <c r="A9339" i="1"/>
  <c r="R9338" i="1"/>
  <c r="J9338" i="1"/>
  <c r="I9338" i="1"/>
  <c r="G9338" i="1"/>
  <c r="F9338" i="1"/>
  <c r="E9338" i="1"/>
  <c r="D9338" i="1"/>
  <c r="C9338" i="1"/>
  <c r="B9338" i="1"/>
  <c r="A9338" i="1"/>
  <c r="R9337" i="1"/>
  <c r="J9337" i="1"/>
  <c r="I9337" i="1"/>
  <c r="G9337" i="1"/>
  <c r="F9337" i="1"/>
  <c r="E9337" i="1"/>
  <c r="D9337" i="1"/>
  <c r="C9337" i="1"/>
  <c r="B9337" i="1"/>
  <c r="A9337" i="1"/>
  <c r="S9336" i="1"/>
  <c r="O9336" i="1"/>
  <c r="K9336" i="1"/>
  <c r="J9336" i="1"/>
  <c r="I9336" i="1"/>
  <c r="H9336" i="1"/>
  <c r="G9336" i="1"/>
  <c r="F9336" i="1"/>
  <c r="E9336" i="1"/>
  <c r="D9336" i="1"/>
  <c r="C9336" i="1"/>
  <c r="B9336" i="1"/>
  <c r="A9336" i="1"/>
  <c r="R9335" i="1"/>
  <c r="J9335" i="1"/>
  <c r="I9335" i="1"/>
  <c r="G9335" i="1"/>
  <c r="F9335" i="1"/>
  <c r="E9335" i="1"/>
  <c r="D9335" i="1"/>
  <c r="C9335" i="1"/>
  <c r="B9335" i="1"/>
  <c r="A9335" i="1"/>
  <c r="R9334" i="1"/>
  <c r="J9334" i="1"/>
  <c r="I9334" i="1"/>
  <c r="G9334" i="1"/>
  <c r="F9334" i="1"/>
  <c r="E9334" i="1"/>
  <c r="D9334" i="1"/>
  <c r="C9334" i="1"/>
  <c r="B9334" i="1"/>
  <c r="A9334" i="1"/>
  <c r="R9333" i="1"/>
  <c r="J9333" i="1"/>
  <c r="I9333" i="1"/>
  <c r="G9333" i="1"/>
  <c r="F9333" i="1"/>
  <c r="E9333" i="1"/>
  <c r="D9333" i="1"/>
  <c r="C9333" i="1"/>
  <c r="B9333" i="1"/>
  <c r="A9333" i="1"/>
  <c r="R9332" i="1"/>
  <c r="J9332" i="1"/>
  <c r="I9332" i="1"/>
  <c r="G9332" i="1"/>
  <c r="F9332" i="1"/>
  <c r="E9332" i="1"/>
  <c r="D9332" i="1"/>
  <c r="C9332" i="1"/>
  <c r="B9332" i="1"/>
  <c r="A9332" i="1"/>
  <c r="R9331" i="1"/>
  <c r="J9331" i="1"/>
  <c r="I9331" i="1"/>
  <c r="G9331" i="1"/>
  <c r="F9331" i="1"/>
  <c r="E9331" i="1"/>
  <c r="D9331" i="1"/>
  <c r="C9331" i="1"/>
  <c r="B9331" i="1"/>
  <c r="A9331" i="1"/>
  <c r="R9330" i="1"/>
  <c r="J9330" i="1"/>
  <c r="I9330" i="1"/>
  <c r="G9330" i="1"/>
  <c r="F9330" i="1"/>
  <c r="E9330" i="1"/>
  <c r="D9330" i="1"/>
  <c r="C9330" i="1"/>
  <c r="B9330" i="1"/>
  <c r="A9330" i="1"/>
  <c r="S9329" i="1"/>
  <c r="O9329" i="1"/>
  <c r="K9329" i="1"/>
  <c r="J9329" i="1"/>
  <c r="I9329" i="1"/>
  <c r="H9329" i="1"/>
  <c r="G9329" i="1"/>
  <c r="F9329" i="1"/>
  <c r="E9329" i="1"/>
  <c r="D9329" i="1"/>
  <c r="C9329" i="1"/>
  <c r="B9329" i="1"/>
  <c r="A9329" i="1"/>
  <c r="R9328" i="1"/>
  <c r="J9328" i="1"/>
  <c r="I9328" i="1"/>
  <c r="G9328" i="1"/>
  <c r="F9328" i="1"/>
  <c r="E9328" i="1"/>
  <c r="D9328" i="1"/>
  <c r="C9328" i="1"/>
  <c r="B9328" i="1"/>
  <c r="A9328" i="1"/>
  <c r="R9327" i="1"/>
  <c r="J9327" i="1"/>
  <c r="I9327" i="1"/>
  <c r="G9327" i="1"/>
  <c r="F9327" i="1"/>
  <c r="E9327" i="1"/>
  <c r="D9327" i="1"/>
  <c r="C9327" i="1"/>
  <c r="B9327" i="1"/>
  <c r="A9327" i="1"/>
  <c r="R9326" i="1"/>
  <c r="J9326" i="1"/>
  <c r="I9326" i="1"/>
  <c r="G9326" i="1"/>
  <c r="F9326" i="1"/>
  <c r="E9326" i="1"/>
  <c r="D9326" i="1"/>
  <c r="C9326" i="1"/>
  <c r="B9326" i="1"/>
  <c r="A9326" i="1"/>
  <c r="R9325" i="1"/>
  <c r="J9325" i="1"/>
  <c r="I9325" i="1"/>
  <c r="G9325" i="1"/>
  <c r="F9325" i="1"/>
  <c r="E9325" i="1"/>
  <c r="D9325" i="1"/>
  <c r="C9325" i="1"/>
  <c r="B9325" i="1"/>
  <c r="A9325" i="1"/>
  <c r="R9324" i="1"/>
  <c r="J9324" i="1"/>
  <c r="I9324" i="1"/>
  <c r="G9324" i="1"/>
  <c r="F9324" i="1"/>
  <c r="E9324" i="1"/>
  <c r="D9324" i="1"/>
  <c r="C9324" i="1"/>
  <c r="B9324" i="1"/>
  <c r="A9324" i="1"/>
  <c r="R9323" i="1"/>
  <c r="J9323" i="1"/>
  <c r="I9323" i="1"/>
  <c r="G9323" i="1"/>
  <c r="F9323" i="1"/>
  <c r="E9323" i="1"/>
  <c r="D9323" i="1"/>
  <c r="C9323" i="1"/>
  <c r="B9323" i="1"/>
  <c r="A9323" i="1"/>
  <c r="S9322" i="1"/>
  <c r="O9322" i="1"/>
  <c r="K9322" i="1"/>
  <c r="J9322" i="1"/>
  <c r="I9322" i="1"/>
  <c r="H9322" i="1"/>
  <c r="G9322" i="1"/>
  <c r="F9322" i="1"/>
  <c r="E9322" i="1"/>
  <c r="D9322" i="1"/>
  <c r="C9322" i="1"/>
  <c r="B9322" i="1"/>
  <c r="A9322" i="1"/>
  <c r="R9321" i="1"/>
  <c r="J9321" i="1"/>
  <c r="I9321" i="1"/>
  <c r="G9321" i="1"/>
  <c r="F9321" i="1"/>
  <c r="E9321" i="1"/>
  <c r="D9321" i="1"/>
  <c r="C9321" i="1"/>
  <c r="B9321" i="1"/>
  <c r="A9321" i="1"/>
  <c r="R9320" i="1"/>
  <c r="J9320" i="1"/>
  <c r="I9320" i="1"/>
  <c r="G9320" i="1"/>
  <c r="F9320" i="1"/>
  <c r="E9320" i="1"/>
  <c r="D9320" i="1"/>
  <c r="C9320" i="1"/>
  <c r="B9320" i="1"/>
  <c r="A9320" i="1"/>
  <c r="R9319" i="1"/>
  <c r="J9319" i="1"/>
  <c r="I9319" i="1"/>
  <c r="G9319" i="1"/>
  <c r="F9319" i="1"/>
  <c r="E9319" i="1"/>
  <c r="D9319" i="1"/>
  <c r="C9319" i="1"/>
  <c r="B9319" i="1"/>
  <c r="A9319" i="1"/>
  <c r="R9318" i="1"/>
  <c r="J9318" i="1"/>
  <c r="I9318" i="1"/>
  <c r="G9318" i="1"/>
  <c r="F9318" i="1"/>
  <c r="E9318" i="1"/>
  <c r="D9318" i="1"/>
  <c r="C9318" i="1"/>
  <c r="B9318" i="1"/>
  <c r="A9318" i="1"/>
  <c r="R9317" i="1"/>
  <c r="J9317" i="1"/>
  <c r="I9317" i="1"/>
  <c r="G9317" i="1"/>
  <c r="F9317" i="1"/>
  <c r="E9317" i="1"/>
  <c r="D9317" i="1"/>
  <c r="C9317" i="1"/>
  <c r="B9317" i="1"/>
  <c r="A9317" i="1"/>
  <c r="R9316" i="1"/>
  <c r="J9316" i="1"/>
  <c r="I9316" i="1"/>
  <c r="G9316" i="1"/>
  <c r="F9316" i="1"/>
  <c r="E9316" i="1"/>
  <c r="D9316" i="1"/>
  <c r="C9316" i="1"/>
  <c r="B9316" i="1"/>
  <c r="A9316" i="1"/>
  <c r="S9315" i="1"/>
  <c r="O9315" i="1"/>
  <c r="K9315" i="1"/>
  <c r="J9315" i="1"/>
  <c r="I9315" i="1"/>
  <c r="H9315" i="1"/>
  <c r="G9315" i="1"/>
  <c r="F9315" i="1"/>
  <c r="E9315" i="1"/>
  <c r="D9315" i="1"/>
  <c r="C9315" i="1"/>
  <c r="B9315" i="1"/>
  <c r="A9315" i="1"/>
  <c r="R9314" i="1"/>
  <c r="J9314" i="1"/>
  <c r="I9314" i="1"/>
  <c r="G9314" i="1"/>
  <c r="F9314" i="1"/>
  <c r="E9314" i="1"/>
  <c r="D9314" i="1"/>
  <c r="C9314" i="1"/>
  <c r="B9314" i="1"/>
  <c r="A9314" i="1"/>
  <c r="S9313" i="1"/>
  <c r="O9313" i="1"/>
  <c r="K9313" i="1"/>
  <c r="J9313" i="1"/>
  <c r="I9313" i="1"/>
  <c r="H9313" i="1"/>
  <c r="G9313" i="1"/>
  <c r="F9313" i="1"/>
  <c r="E9313" i="1"/>
  <c r="D9313" i="1"/>
  <c r="C9313" i="1"/>
  <c r="B9313" i="1"/>
  <c r="A9313" i="1"/>
  <c r="R9312" i="1"/>
  <c r="J9312" i="1"/>
  <c r="I9312" i="1"/>
  <c r="G9312" i="1"/>
  <c r="F9312" i="1"/>
  <c r="E9312" i="1"/>
  <c r="D9312" i="1"/>
  <c r="C9312" i="1"/>
  <c r="B9312" i="1"/>
  <c r="A9312" i="1"/>
  <c r="R9311" i="1"/>
  <c r="J9311" i="1"/>
  <c r="I9311" i="1"/>
  <c r="G9311" i="1"/>
  <c r="F9311" i="1"/>
  <c r="E9311" i="1"/>
  <c r="D9311" i="1"/>
  <c r="C9311" i="1"/>
  <c r="B9311" i="1"/>
  <c r="A9311" i="1"/>
  <c r="S9310" i="1"/>
  <c r="O9310" i="1"/>
  <c r="K9310" i="1"/>
  <c r="J9310" i="1"/>
  <c r="I9310" i="1"/>
  <c r="H9310" i="1"/>
  <c r="G9310" i="1"/>
  <c r="F9310" i="1"/>
  <c r="E9310" i="1"/>
  <c r="D9310" i="1"/>
  <c r="C9310" i="1"/>
  <c r="B9310" i="1"/>
  <c r="A9310" i="1"/>
  <c r="R9309" i="1"/>
  <c r="J9309" i="1"/>
  <c r="I9309" i="1"/>
  <c r="G9309" i="1"/>
  <c r="F9309" i="1"/>
  <c r="E9309" i="1"/>
  <c r="D9309" i="1"/>
  <c r="C9309" i="1"/>
  <c r="B9309" i="1"/>
  <c r="A9309" i="1"/>
  <c r="R9308" i="1"/>
  <c r="J9308" i="1"/>
  <c r="I9308" i="1"/>
  <c r="G9308" i="1"/>
  <c r="F9308" i="1"/>
  <c r="E9308" i="1"/>
  <c r="D9308" i="1"/>
  <c r="C9308" i="1"/>
  <c r="B9308" i="1"/>
  <c r="A9308" i="1"/>
  <c r="R9307" i="1"/>
  <c r="J9307" i="1"/>
  <c r="I9307" i="1"/>
  <c r="G9307" i="1"/>
  <c r="F9307" i="1"/>
  <c r="E9307" i="1"/>
  <c r="D9307" i="1"/>
  <c r="C9307" i="1"/>
  <c r="B9307" i="1"/>
  <c r="A9307" i="1"/>
  <c r="R9306" i="1"/>
  <c r="J9306" i="1"/>
  <c r="I9306" i="1"/>
  <c r="G9306" i="1"/>
  <c r="F9306" i="1"/>
  <c r="E9306" i="1"/>
  <c r="D9306" i="1"/>
  <c r="C9306" i="1"/>
  <c r="B9306" i="1"/>
  <c r="A9306" i="1"/>
  <c r="R9305" i="1"/>
  <c r="J9305" i="1"/>
  <c r="I9305" i="1"/>
  <c r="G9305" i="1"/>
  <c r="F9305" i="1"/>
  <c r="E9305" i="1"/>
  <c r="D9305" i="1"/>
  <c r="C9305" i="1"/>
  <c r="B9305" i="1"/>
  <c r="A9305" i="1"/>
  <c r="S9304" i="1"/>
  <c r="O9304" i="1"/>
  <c r="K9304" i="1"/>
  <c r="J9304" i="1"/>
  <c r="I9304" i="1"/>
  <c r="H9304" i="1"/>
  <c r="G9304" i="1"/>
  <c r="F9304" i="1"/>
  <c r="E9304" i="1"/>
  <c r="D9304" i="1"/>
  <c r="C9304" i="1"/>
  <c r="B9304" i="1"/>
  <c r="A9304" i="1"/>
  <c r="R9303" i="1"/>
  <c r="J9303" i="1"/>
  <c r="I9303" i="1"/>
  <c r="G9303" i="1"/>
  <c r="F9303" i="1"/>
  <c r="E9303" i="1"/>
  <c r="D9303" i="1"/>
  <c r="C9303" i="1"/>
  <c r="B9303" i="1"/>
  <c r="A9303" i="1"/>
  <c r="R9302" i="1"/>
  <c r="J9302" i="1"/>
  <c r="I9302" i="1"/>
  <c r="G9302" i="1"/>
  <c r="F9302" i="1"/>
  <c r="E9302" i="1"/>
  <c r="D9302" i="1"/>
  <c r="C9302" i="1"/>
  <c r="B9302" i="1"/>
  <c r="A9302" i="1"/>
  <c r="R9301" i="1"/>
  <c r="J9301" i="1"/>
  <c r="I9301" i="1"/>
  <c r="G9301" i="1"/>
  <c r="F9301" i="1"/>
  <c r="E9301" i="1"/>
  <c r="D9301" i="1"/>
  <c r="C9301" i="1"/>
  <c r="B9301" i="1"/>
  <c r="A9301" i="1"/>
  <c r="R9300" i="1"/>
  <c r="J9300" i="1"/>
  <c r="I9300" i="1"/>
  <c r="G9300" i="1"/>
  <c r="F9300" i="1"/>
  <c r="E9300" i="1"/>
  <c r="D9300" i="1"/>
  <c r="C9300" i="1"/>
  <c r="B9300" i="1"/>
  <c r="A9300" i="1"/>
  <c r="R9299" i="1"/>
  <c r="J9299" i="1"/>
  <c r="I9299" i="1"/>
  <c r="G9299" i="1"/>
  <c r="F9299" i="1"/>
  <c r="E9299" i="1"/>
  <c r="D9299" i="1"/>
  <c r="C9299" i="1"/>
  <c r="B9299" i="1"/>
  <c r="A9299" i="1"/>
  <c r="S9298" i="1"/>
  <c r="O9298" i="1"/>
  <c r="K9298" i="1"/>
  <c r="J9298" i="1"/>
  <c r="I9298" i="1"/>
  <c r="H9298" i="1"/>
  <c r="G9298" i="1"/>
  <c r="F9298" i="1"/>
  <c r="E9298" i="1"/>
  <c r="D9298" i="1"/>
  <c r="C9298" i="1"/>
  <c r="B9298" i="1"/>
  <c r="A9298" i="1"/>
  <c r="R9297" i="1"/>
  <c r="J9297" i="1"/>
  <c r="I9297" i="1"/>
  <c r="G9297" i="1"/>
  <c r="F9297" i="1"/>
  <c r="E9297" i="1"/>
  <c r="D9297" i="1"/>
  <c r="C9297" i="1"/>
  <c r="B9297" i="1"/>
  <c r="A9297" i="1"/>
  <c r="S9296" i="1"/>
  <c r="O9296" i="1"/>
  <c r="K9296" i="1"/>
  <c r="J9296" i="1"/>
  <c r="I9296" i="1"/>
  <c r="H9296" i="1"/>
  <c r="G9296" i="1"/>
  <c r="F9296" i="1"/>
  <c r="E9296" i="1"/>
  <c r="D9296" i="1"/>
  <c r="C9296" i="1"/>
  <c r="B9296" i="1"/>
  <c r="A9296" i="1"/>
  <c r="R9295" i="1"/>
  <c r="J9295" i="1"/>
  <c r="I9295" i="1"/>
  <c r="G9295" i="1"/>
  <c r="F9295" i="1"/>
  <c r="E9295" i="1"/>
  <c r="D9295" i="1"/>
  <c r="C9295" i="1"/>
  <c r="B9295" i="1"/>
  <c r="A9295" i="1"/>
  <c r="S9294" i="1"/>
  <c r="O9294" i="1"/>
  <c r="K9294" i="1"/>
  <c r="J9294" i="1"/>
  <c r="I9294" i="1"/>
  <c r="H9294" i="1"/>
  <c r="G9294" i="1"/>
  <c r="F9294" i="1"/>
  <c r="E9294" i="1"/>
  <c r="D9294" i="1"/>
  <c r="C9294" i="1"/>
  <c r="B9294" i="1"/>
  <c r="A9294" i="1"/>
  <c r="R9293" i="1"/>
  <c r="J9293" i="1"/>
  <c r="I9293" i="1"/>
  <c r="G9293" i="1"/>
  <c r="F9293" i="1"/>
  <c r="E9293" i="1"/>
  <c r="D9293" i="1"/>
  <c r="C9293" i="1"/>
  <c r="B9293" i="1"/>
  <c r="A9293" i="1"/>
  <c r="S9292" i="1"/>
  <c r="O9292" i="1"/>
  <c r="K9292" i="1"/>
  <c r="J9292" i="1"/>
  <c r="I9292" i="1"/>
  <c r="H9292" i="1"/>
  <c r="G9292" i="1"/>
  <c r="F9292" i="1"/>
  <c r="E9292" i="1"/>
  <c r="D9292" i="1"/>
  <c r="C9292" i="1"/>
  <c r="B9292" i="1"/>
  <c r="A9292" i="1"/>
  <c r="R9291" i="1"/>
  <c r="J9291" i="1"/>
  <c r="I9291" i="1"/>
  <c r="G9291" i="1"/>
  <c r="F9291" i="1"/>
  <c r="E9291" i="1"/>
  <c r="D9291" i="1"/>
  <c r="C9291" i="1"/>
  <c r="B9291" i="1"/>
  <c r="A9291" i="1"/>
  <c r="S9290" i="1"/>
  <c r="O9290" i="1"/>
  <c r="K9290" i="1"/>
  <c r="J9290" i="1"/>
  <c r="I9290" i="1"/>
  <c r="H9290" i="1"/>
  <c r="G9290" i="1"/>
  <c r="F9290" i="1"/>
  <c r="E9290" i="1"/>
  <c r="D9290" i="1"/>
  <c r="C9290" i="1"/>
  <c r="B9290" i="1"/>
  <c r="A9290" i="1"/>
  <c r="R9289" i="1"/>
  <c r="J9289" i="1"/>
  <c r="I9289" i="1"/>
  <c r="G9289" i="1"/>
  <c r="F9289" i="1"/>
  <c r="E9289" i="1"/>
  <c r="D9289" i="1"/>
  <c r="C9289" i="1"/>
  <c r="B9289" i="1"/>
  <c r="A9289" i="1"/>
  <c r="R9288" i="1"/>
  <c r="J9288" i="1"/>
  <c r="I9288" i="1"/>
  <c r="G9288" i="1"/>
  <c r="F9288" i="1"/>
  <c r="E9288" i="1"/>
  <c r="D9288" i="1"/>
  <c r="C9288" i="1"/>
  <c r="B9288" i="1"/>
  <c r="A9288" i="1"/>
  <c r="R9287" i="1"/>
  <c r="J9287" i="1"/>
  <c r="I9287" i="1"/>
  <c r="G9287" i="1"/>
  <c r="F9287" i="1"/>
  <c r="E9287" i="1"/>
  <c r="D9287" i="1"/>
  <c r="C9287" i="1"/>
  <c r="B9287" i="1"/>
  <c r="A9287" i="1"/>
  <c r="R9286" i="1"/>
  <c r="J9286" i="1"/>
  <c r="I9286" i="1"/>
  <c r="G9286" i="1"/>
  <c r="F9286" i="1"/>
  <c r="E9286" i="1"/>
  <c r="D9286" i="1"/>
  <c r="C9286" i="1"/>
  <c r="B9286" i="1"/>
  <c r="A9286" i="1"/>
  <c r="S9285" i="1"/>
  <c r="O9285" i="1"/>
  <c r="K9285" i="1"/>
  <c r="J9285" i="1"/>
  <c r="I9285" i="1"/>
  <c r="H9285" i="1"/>
  <c r="G9285" i="1"/>
  <c r="F9285" i="1"/>
  <c r="E9285" i="1"/>
  <c r="D9285" i="1"/>
  <c r="C9285" i="1"/>
  <c r="B9285" i="1"/>
  <c r="A9285" i="1"/>
  <c r="R9284" i="1"/>
  <c r="J9284" i="1"/>
  <c r="I9284" i="1"/>
  <c r="G9284" i="1"/>
  <c r="F9284" i="1"/>
  <c r="E9284" i="1"/>
  <c r="D9284" i="1"/>
  <c r="C9284" i="1"/>
  <c r="B9284" i="1"/>
  <c r="A9284" i="1"/>
  <c r="R9283" i="1"/>
  <c r="J9283" i="1"/>
  <c r="I9283" i="1"/>
  <c r="G9283" i="1"/>
  <c r="F9283" i="1"/>
  <c r="E9283" i="1"/>
  <c r="D9283" i="1"/>
  <c r="C9283" i="1"/>
  <c r="B9283" i="1"/>
  <c r="A9283" i="1"/>
  <c r="R9282" i="1"/>
  <c r="J9282" i="1"/>
  <c r="I9282" i="1"/>
  <c r="G9282" i="1"/>
  <c r="F9282" i="1"/>
  <c r="E9282" i="1"/>
  <c r="D9282" i="1"/>
  <c r="C9282" i="1"/>
  <c r="B9282" i="1"/>
  <c r="A9282" i="1"/>
  <c r="R9281" i="1"/>
  <c r="J9281" i="1"/>
  <c r="I9281" i="1"/>
  <c r="G9281" i="1"/>
  <c r="F9281" i="1"/>
  <c r="E9281" i="1"/>
  <c r="D9281" i="1"/>
  <c r="C9281" i="1"/>
  <c r="B9281" i="1"/>
  <c r="A9281" i="1"/>
  <c r="S9280" i="1"/>
  <c r="O9280" i="1"/>
  <c r="K9280" i="1"/>
  <c r="J9280" i="1"/>
  <c r="I9280" i="1"/>
  <c r="H9280" i="1"/>
  <c r="G9280" i="1"/>
  <c r="F9280" i="1"/>
  <c r="E9280" i="1"/>
  <c r="D9280" i="1"/>
  <c r="C9280" i="1"/>
  <c r="B9280" i="1"/>
  <c r="A9280" i="1"/>
  <c r="R9279" i="1"/>
  <c r="J9279" i="1"/>
  <c r="I9279" i="1"/>
  <c r="G9279" i="1"/>
  <c r="F9279" i="1"/>
  <c r="E9279" i="1"/>
  <c r="D9279" i="1"/>
  <c r="C9279" i="1"/>
  <c r="B9279" i="1"/>
  <c r="A9279" i="1"/>
  <c r="S9278" i="1"/>
  <c r="O9278" i="1"/>
  <c r="K9278" i="1"/>
  <c r="J9278" i="1"/>
  <c r="I9278" i="1"/>
  <c r="H9278" i="1"/>
  <c r="G9278" i="1"/>
  <c r="F9278" i="1"/>
  <c r="E9278" i="1"/>
  <c r="D9278" i="1"/>
  <c r="C9278" i="1"/>
  <c r="B9278" i="1"/>
  <c r="A9278" i="1"/>
  <c r="R9277" i="1"/>
  <c r="J9277" i="1"/>
  <c r="I9277" i="1"/>
  <c r="G9277" i="1"/>
  <c r="F9277" i="1"/>
  <c r="E9277" i="1"/>
  <c r="D9277" i="1"/>
  <c r="C9277" i="1"/>
  <c r="B9277" i="1"/>
  <c r="A9277" i="1"/>
  <c r="S9276" i="1"/>
  <c r="O9276" i="1"/>
  <c r="K9276" i="1"/>
  <c r="J9276" i="1"/>
  <c r="I9276" i="1"/>
  <c r="H9276" i="1"/>
  <c r="G9276" i="1"/>
  <c r="F9276" i="1"/>
  <c r="E9276" i="1"/>
  <c r="D9276" i="1"/>
  <c r="C9276" i="1"/>
  <c r="B9276" i="1"/>
  <c r="A9276" i="1"/>
  <c r="R9275" i="1"/>
  <c r="J9275" i="1"/>
  <c r="I9275" i="1"/>
  <c r="G9275" i="1"/>
  <c r="F9275" i="1"/>
  <c r="E9275" i="1"/>
  <c r="D9275" i="1"/>
  <c r="C9275" i="1"/>
  <c r="B9275" i="1"/>
  <c r="A9275" i="1"/>
  <c r="R9274" i="1"/>
  <c r="J9274" i="1"/>
  <c r="I9274" i="1"/>
  <c r="G9274" i="1"/>
  <c r="F9274" i="1"/>
  <c r="E9274" i="1"/>
  <c r="D9274" i="1"/>
  <c r="C9274" i="1"/>
  <c r="B9274" i="1"/>
  <c r="A9274" i="1"/>
  <c r="S9273" i="1"/>
  <c r="O9273" i="1"/>
  <c r="K9273" i="1"/>
  <c r="J9273" i="1"/>
  <c r="I9273" i="1"/>
  <c r="H9273" i="1"/>
  <c r="G9273" i="1"/>
  <c r="F9273" i="1"/>
  <c r="E9273" i="1"/>
  <c r="D9273" i="1"/>
  <c r="C9273" i="1"/>
  <c r="B9273" i="1"/>
  <c r="A9273" i="1"/>
  <c r="R9272" i="1"/>
  <c r="J9272" i="1"/>
  <c r="I9272" i="1"/>
  <c r="G9272" i="1"/>
  <c r="F9272" i="1"/>
  <c r="E9272" i="1"/>
  <c r="D9272" i="1"/>
  <c r="C9272" i="1"/>
  <c r="B9272" i="1"/>
  <c r="A9272" i="1"/>
  <c r="R9271" i="1"/>
  <c r="J9271" i="1"/>
  <c r="I9271" i="1"/>
  <c r="G9271" i="1"/>
  <c r="F9271" i="1"/>
  <c r="E9271" i="1"/>
  <c r="D9271" i="1"/>
  <c r="C9271" i="1"/>
  <c r="B9271" i="1"/>
  <c r="A9271" i="1"/>
  <c r="S9270" i="1"/>
  <c r="O9270" i="1"/>
  <c r="K9270" i="1"/>
  <c r="J9270" i="1"/>
  <c r="I9270" i="1"/>
  <c r="H9270" i="1"/>
  <c r="G9270" i="1"/>
  <c r="F9270" i="1"/>
  <c r="E9270" i="1"/>
  <c r="D9270" i="1"/>
  <c r="C9270" i="1"/>
  <c r="B9270" i="1"/>
  <c r="A9270" i="1"/>
  <c r="R9269" i="1"/>
  <c r="J9269" i="1"/>
  <c r="I9269" i="1"/>
  <c r="G9269" i="1"/>
  <c r="F9269" i="1"/>
  <c r="E9269" i="1"/>
  <c r="D9269" i="1"/>
  <c r="C9269" i="1"/>
  <c r="B9269" i="1"/>
  <c r="A9269" i="1"/>
  <c r="R9268" i="1"/>
  <c r="J9268" i="1"/>
  <c r="I9268" i="1"/>
  <c r="G9268" i="1"/>
  <c r="F9268" i="1"/>
  <c r="E9268" i="1"/>
  <c r="D9268" i="1"/>
  <c r="C9268" i="1"/>
  <c r="B9268" i="1"/>
  <c r="A9268" i="1"/>
  <c r="R9267" i="1"/>
  <c r="J9267" i="1"/>
  <c r="I9267" i="1"/>
  <c r="G9267" i="1"/>
  <c r="F9267" i="1"/>
  <c r="E9267" i="1"/>
  <c r="D9267" i="1"/>
  <c r="C9267" i="1"/>
  <c r="B9267" i="1"/>
  <c r="A9267" i="1"/>
  <c r="S9266" i="1"/>
  <c r="O9266" i="1"/>
  <c r="K9266" i="1"/>
  <c r="J9266" i="1"/>
  <c r="I9266" i="1"/>
  <c r="H9266" i="1"/>
  <c r="G9266" i="1"/>
  <c r="F9266" i="1"/>
  <c r="E9266" i="1"/>
  <c r="D9266" i="1"/>
  <c r="C9266" i="1"/>
  <c r="B9266" i="1"/>
  <c r="A9266" i="1"/>
  <c r="R9265" i="1"/>
  <c r="J9265" i="1"/>
  <c r="I9265" i="1"/>
  <c r="G9265" i="1"/>
  <c r="F9265" i="1"/>
  <c r="E9265" i="1"/>
  <c r="D9265" i="1"/>
  <c r="C9265" i="1"/>
  <c r="B9265" i="1"/>
  <c r="A9265" i="1"/>
  <c r="S9264" i="1"/>
  <c r="O9264" i="1"/>
  <c r="K9264" i="1"/>
  <c r="J9264" i="1"/>
  <c r="I9264" i="1"/>
  <c r="H9264" i="1"/>
  <c r="G9264" i="1"/>
  <c r="F9264" i="1"/>
  <c r="E9264" i="1"/>
  <c r="D9264" i="1"/>
  <c r="C9264" i="1"/>
  <c r="B9264" i="1"/>
  <c r="A9264" i="1"/>
  <c r="R9263" i="1"/>
  <c r="J9263" i="1"/>
  <c r="I9263" i="1"/>
  <c r="G9263" i="1"/>
  <c r="F9263" i="1"/>
  <c r="E9263" i="1"/>
  <c r="D9263" i="1"/>
  <c r="C9263" i="1"/>
  <c r="B9263" i="1"/>
  <c r="A9263" i="1"/>
  <c r="S9262" i="1"/>
  <c r="O9262" i="1"/>
  <c r="K9262" i="1"/>
  <c r="J9262" i="1"/>
  <c r="I9262" i="1"/>
  <c r="H9262" i="1"/>
  <c r="G9262" i="1"/>
  <c r="F9262" i="1"/>
  <c r="E9262" i="1"/>
  <c r="D9262" i="1"/>
  <c r="C9262" i="1"/>
  <c r="B9262" i="1"/>
  <c r="A9262" i="1"/>
  <c r="R9261" i="1"/>
  <c r="J9261" i="1"/>
  <c r="I9261" i="1"/>
  <c r="G9261" i="1"/>
  <c r="F9261" i="1"/>
  <c r="E9261" i="1"/>
  <c r="D9261" i="1"/>
  <c r="C9261" i="1"/>
  <c r="B9261" i="1"/>
  <c r="A9261" i="1"/>
  <c r="S9260" i="1"/>
  <c r="O9260" i="1"/>
  <c r="K9260" i="1"/>
  <c r="J9260" i="1"/>
  <c r="I9260" i="1"/>
  <c r="H9260" i="1"/>
  <c r="G9260" i="1"/>
  <c r="F9260" i="1"/>
  <c r="E9260" i="1"/>
  <c r="D9260" i="1"/>
  <c r="C9260" i="1"/>
  <c r="B9260" i="1"/>
  <c r="A9260" i="1"/>
  <c r="R9259" i="1"/>
  <c r="J9259" i="1"/>
  <c r="I9259" i="1"/>
  <c r="G9259" i="1"/>
  <c r="F9259" i="1"/>
  <c r="E9259" i="1"/>
  <c r="D9259" i="1"/>
  <c r="C9259" i="1"/>
  <c r="B9259" i="1"/>
  <c r="A9259" i="1"/>
  <c r="S9258" i="1"/>
  <c r="O9258" i="1"/>
  <c r="K9258" i="1"/>
  <c r="J9258" i="1"/>
  <c r="I9258" i="1"/>
  <c r="H9258" i="1"/>
  <c r="G9258" i="1"/>
  <c r="F9258" i="1"/>
  <c r="E9258" i="1"/>
  <c r="D9258" i="1"/>
  <c r="C9258" i="1"/>
  <c r="B9258" i="1"/>
  <c r="A9258" i="1"/>
  <c r="R9257" i="1"/>
  <c r="J9257" i="1"/>
  <c r="I9257" i="1"/>
  <c r="G9257" i="1"/>
  <c r="F9257" i="1"/>
  <c r="E9257" i="1"/>
  <c r="D9257" i="1"/>
  <c r="C9257" i="1"/>
  <c r="B9257" i="1"/>
  <c r="A9257" i="1"/>
  <c r="S9256" i="1"/>
  <c r="O9256" i="1"/>
  <c r="K9256" i="1"/>
  <c r="J9256" i="1"/>
  <c r="I9256" i="1"/>
  <c r="H9256" i="1"/>
  <c r="G9256" i="1"/>
  <c r="F9256" i="1"/>
  <c r="E9256" i="1"/>
  <c r="D9256" i="1"/>
  <c r="C9256" i="1"/>
  <c r="B9256" i="1"/>
  <c r="A9256" i="1"/>
  <c r="R9255" i="1"/>
  <c r="J9255" i="1"/>
  <c r="I9255" i="1"/>
  <c r="G9255" i="1"/>
  <c r="F9255" i="1"/>
  <c r="E9255" i="1"/>
  <c r="D9255" i="1"/>
  <c r="C9255" i="1"/>
  <c r="B9255" i="1"/>
  <c r="A9255" i="1"/>
  <c r="S9254" i="1"/>
  <c r="O9254" i="1"/>
  <c r="K9254" i="1"/>
  <c r="J9254" i="1"/>
  <c r="I9254" i="1"/>
  <c r="H9254" i="1"/>
  <c r="G9254" i="1"/>
  <c r="F9254" i="1"/>
  <c r="E9254" i="1"/>
  <c r="D9254" i="1"/>
  <c r="C9254" i="1"/>
  <c r="B9254" i="1"/>
  <c r="A9254" i="1"/>
  <c r="R9253" i="1"/>
  <c r="J9253" i="1"/>
  <c r="I9253" i="1"/>
  <c r="G9253" i="1"/>
  <c r="F9253" i="1"/>
  <c r="E9253" i="1"/>
  <c r="D9253" i="1"/>
  <c r="C9253" i="1"/>
  <c r="B9253" i="1"/>
  <c r="A9253" i="1"/>
  <c r="S9252" i="1"/>
  <c r="O9252" i="1"/>
  <c r="K9252" i="1"/>
  <c r="J9252" i="1"/>
  <c r="I9252" i="1"/>
  <c r="H9252" i="1"/>
  <c r="G9252" i="1"/>
  <c r="F9252" i="1"/>
  <c r="E9252" i="1"/>
  <c r="D9252" i="1"/>
  <c r="C9252" i="1"/>
  <c r="B9252" i="1"/>
  <c r="A9252" i="1"/>
  <c r="R9251" i="1"/>
  <c r="J9251" i="1"/>
  <c r="I9251" i="1"/>
  <c r="G9251" i="1"/>
  <c r="F9251" i="1"/>
  <c r="E9251" i="1"/>
  <c r="D9251" i="1"/>
  <c r="C9251" i="1"/>
  <c r="B9251" i="1"/>
  <c r="A9251" i="1"/>
  <c r="S9250" i="1"/>
  <c r="O9250" i="1"/>
  <c r="K9250" i="1"/>
  <c r="J9250" i="1"/>
  <c r="I9250" i="1"/>
  <c r="H9250" i="1"/>
  <c r="G9250" i="1"/>
  <c r="F9250" i="1"/>
  <c r="E9250" i="1"/>
  <c r="D9250" i="1"/>
  <c r="C9250" i="1"/>
  <c r="B9250" i="1"/>
  <c r="A9250" i="1"/>
  <c r="R9249" i="1"/>
  <c r="J9249" i="1"/>
  <c r="I9249" i="1"/>
  <c r="G9249" i="1"/>
  <c r="F9249" i="1"/>
  <c r="E9249" i="1"/>
  <c r="D9249" i="1"/>
  <c r="C9249" i="1"/>
  <c r="B9249" i="1"/>
  <c r="A9249" i="1"/>
  <c r="R9248" i="1"/>
  <c r="J9248" i="1"/>
  <c r="I9248" i="1"/>
  <c r="G9248" i="1"/>
  <c r="F9248" i="1"/>
  <c r="E9248" i="1"/>
  <c r="D9248" i="1"/>
  <c r="C9248" i="1"/>
  <c r="B9248" i="1"/>
  <c r="A9248" i="1"/>
  <c r="S9247" i="1"/>
  <c r="O9247" i="1"/>
  <c r="K9247" i="1"/>
  <c r="J9247" i="1"/>
  <c r="I9247" i="1"/>
  <c r="H9247" i="1"/>
  <c r="G9247" i="1"/>
  <c r="F9247" i="1"/>
  <c r="E9247" i="1"/>
  <c r="D9247" i="1"/>
  <c r="C9247" i="1"/>
  <c r="B9247" i="1"/>
  <c r="A9247" i="1"/>
  <c r="R9246" i="1"/>
  <c r="J9246" i="1"/>
  <c r="I9246" i="1"/>
  <c r="G9246" i="1"/>
  <c r="F9246" i="1"/>
  <c r="E9246" i="1"/>
  <c r="D9246" i="1"/>
  <c r="C9246" i="1"/>
  <c r="B9246" i="1"/>
  <c r="A9246" i="1"/>
  <c r="R9245" i="1"/>
  <c r="J9245" i="1"/>
  <c r="I9245" i="1"/>
  <c r="G9245" i="1"/>
  <c r="F9245" i="1"/>
  <c r="E9245" i="1"/>
  <c r="D9245" i="1"/>
  <c r="C9245" i="1"/>
  <c r="B9245" i="1"/>
  <c r="A9245" i="1"/>
  <c r="S9244" i="1"/>
  <c r="O9244" i="1"/>
  <c r="K9244" i="1"/>
  <c r="J9244" i="1"/>
  <c r="I9244" i="1"/>
  <c r="H9244" i="1"/>
  <c r="G9244" i="1"/>
  <c r="F9244" i="1"/>
  <c r="E9244" i="1"/>
  <c r="D9244" i="1"/>
  <c r="C9244" i="1"/>
  <c r="B9244" i="1"/>
  <c r="A9244" i="1"/>
  <c r="R9243" i="1"/>
  <c r="J9243" i="1"/>
  <c r="I9243" i="1"/>
  <c r="G9243" i="1"/>
  <c r="F9243" i="1"/>
  <c r="E9243" i="1"/>
  <c r="D9243" i="1"/>
  <c r="C9243" i="1"/>
  <c r="B9243" i="1"/>
  <c r="A9243" i="1"/>
  <c r="S9242" i="1"/>
  <c r="O9242" i="1"/>
  <c r="K9242" i="1"/>
  <c r="J9242" i="1"/>
  <c r="I9242" i="1"/>
  <c r="H9242" i="1"/>
  <c r="G9242" i="1"/>
  <c r="F9242" i="1"/>
  <c r="E9242" i="1"/>
  <c r="D9242" i="1"/>
  <c r="C9242" i="1"/>
  <c r="B9242" i="1"/>
  <c r="A9242" i="1"/>
  <c r="R9241" i="1"/>
  <c r="J9241" i="1"/>
  <c r="I9241" i="1"/>
  <c r="G9241" i="1"/>
  <c r="F9241" i="1"/>
  <c r="E9241" i="1"/>
  <c r="D9241" i="1"/>
  <c r="C9241" i="1"/>
  <c r="B9241" i="1"/>
  <c r="A9241" i="1"/>
  <c r="R9240" i="1"/>
  <c r="J9240" i="1"/>
  <c r="I9240" i="1"/>
  <c r="G9240" i="1"/>
  <c r="F9240" i="1"/>
  <c r="E9240" i="1"/>
  <c r="D9240" i="1"/>
  <c r="C9240" i="1"/>
  <c r="B9240" i="1"/>
  <c r="A9240" i="1"/>
  <c r="S9239" i="1"/>
  <c r="O9239" i="1"/>
  <c r="K9239" i="1"/>
  <c r="J9239" i="1"/>
  <c r="I9239" i="1"/>
  <c r="H9239" i="1"/>
  <c r="G9239" i="1"/>
  <c r="F9239" i="1"/>
  <c r="E9239" i="1"/>
  <c r="D9239" i="1"/>
  <c r="C9239" i="1"/>
  <c r="B9239" i="1"/>
  <c r="A9239" i="1"/>
  <c r="R9238" i="1"/>
  <c r="J9238" i="1"/>
  <c r="I9238" i="1"/>
  <c r="G9238" i="1"/>
  <c r="F9238" i="1"/>
  <c r="E9238" i="1"/>
  <c r="D9238" i="1"/>
  <c r="C9238" i="1"/>
  <c r="B9238" i="1"/>
  <c r="A9238" i="1"/>
  <c r="R9237" i="1"/>
  <c r="J9237" i="1"/>
  <c r="I9237" i="1"/>
  <c r="G9237" i="1"/>
  <c r="F9237" i="1"/>
  <c r="E9237" i="1"/>
  <c r="D9237" i="1"/>
  <c r="C9237" i="1"/>
  <c r="B9237" i="1"/>
  <c r="A9237" i="1"/>
  <c r="S9236" i="1"/>
  <c r="O9236" i="1"/>
  <c r="K9236" i="1"/>
  <c r="J9236" i="1"/>
  <c r="I9236" i="1"/>
  <c r="H9236" i="1"/>
  <c r="G9236" i="1"/>
  <c r="F9236" i="1"/>
  <c r="E9236" i="1"/>
  <c r="D9236" i="1"/>
  <c r="C9236" i="1"/>
  <c r="B9236" i="1"/>
  <c r="A9236" i="1"/>
  <c r="R9235" i="1"/>
  <c r="J9235" i="1"/>
  <c r="I9235" i="1"/>
  <c r="G9235" i="1"/>
  <c r="F9235" i="1"/>
  <c r="E9235" i="1"/>
  <c r="D9235" i="1"/>
  <c r="C9235" i="1"/>
  <c r="B9235" i="1"/>
  <c r="A9235" i="1"/>
  <c r="S9234" i="1"/>
  <c r="O9234" i="1"/>
  <c r="K9234" i="1"/>
  <c r="J9234" i="1"/>
  <c r="I9234" i="1"/>
  <c r="H9234" i="1"/>
  <c r="G9234" i="1"/>
  <c r="F9234" i="1"/>
  <c r="E9234" i="1"/>
  <c r="D9234" i="1"/>
  <c r="C9234" i="1"/>
  <c r="B9234" i="1"/>
  <c r="A9234" i="1"/>
  <c r="R9233" i="1"/>
  <c r="J9233" i="1"/>
  <c r="I9233" i="1"/>
  <c r="G9233" i="1"/>
  <c r="F9233" i="1"/>
  <c r="E9233" i="1"/>
  <c r="D9233" i="1"/>
  <c r="C9233" i="1"/>
  <c r="B9233" i="1"/>
  <c r="A9233" i="1"/>
  <c r="S9232" i="1"/>
  <c r="O9232" i="1"/>
  <c r="K9232" i="1"/>
  <c r="J9232" i="1"/>
  <c r="I9232" i="1"/>
  <c r="H9232" i="1"/>
  <c r="G9232" i="1"/>
  <c r="F9232" i="1"/>
  <c r="E9232" i="1"/>
  <c r="D9232" i="1"/>
  <c r="C9232" i="1"/>
  <c r="B9232" i="1"/>
  <c r="A9232" i="1"/>
  <c r="R9231" i="1"/>
  <c r="J9231" i="1"/>
  <c r="I9231" i="1"/>
  <c r="G9231" i="1"/>
  <c r="F9231" i="1"/>
  <c r="E9231" i="1"/>
  <c r="D9231" i="1"/>
  <c r="C9231" i="1"/>
  <c r="B9231" i="1"/>
  <c r="A9231" i="1"/>
  <c r="S9230" i="1"/>
  <c r="O9230" i="1"/>
  <c r="K9230" i="1"/>
  <c r="J9230" i="1"/>
  <c r="I9230" i="1"/>
  <c r="H9230" i="1"/>
  <c r="G9230" i="1"/>
  <c r="F9230" i="1"/>
  <c r="E9230" i="1"/>
  <c r="D9230" i="1"/>
  <c r="C9230" i="1"/>
  <c r="B9230" i="1"/>
  <c r="A9230" i="1"/>
  <c r="R9229" i="1"/>
  <c r="J9229" i="1"/>
  <c r="I9229" i="1"/>
  <c r="G9229" i="1"/>
  <c r="F9229" i="1"/>
  <c r="E9229" i="1"/>
  <c r="D9229" i="1"/>
  <c r="C9229" i="1"/>
  <c r="B9229" i="1"/>
  <c r="A9229" i="1"/>
  <c r="S9228" i="1"/>
  <c r="O9228" i="1"/>
  <c r="K9228" i="1"/>
  <c r="J9228" i="1"/>
  <c r="I9228" i="1"/>
  <c r="H9228" i="1"/>
  <c r="G9228" i="1"/>
  <c r="F9228" i="1"/>
  <c r="E9228" i="1"/>
  <c r="D9228" i="1"/>
  <c r="C9228" i="1"/>
  <c r="B9228" i="1"/>
  <c r="A9228" i="1"/>
  <c r="R9227" i="1"/>
  <c r="J9227" i="1"/>
  <c r="I9227" i="1"/>
  <c r="G9227" i="1"/>
  <c r="F9227" i="1"/>
  <c r="E9227" i="1"/>
  <c r="D9227" i="1"/>
  <c r="C9227" i="1"/>
  <c r="B9227" i="1"/>
  <c r="A9227" i="1"/>
  <c r="S9226" i="1"/>
  <c r="O9226" i="1"/>
  <c r="K9226" i="1"/>
  <c r="J9226" i="1"/>
  <c r="I9226" i="1"/>
  <c r="H9226" i="1"/>
  <c r="G9226" i="1"/>
  <c r="F9226" i="1"/>
  <c r="E9226" i="1"/>
  <c r="D9226" i="1"/>
  <c r="C9226" i="1"/>
  <c r="B9226" i="1"/>
  <c r="A9226" i="1"/>
  <c r="R9225" i="1"/>
  <c r="J9225" i="1"/>
  <c r="I9225" i="1"/>
  <c r="G9225" i="1"/>
  <c r="F9225" i="1"/>
  <c r="E9225" i="1"/>
  <c r="D9225" i="1"/>
  <c r="C9225" i="1"/>
  <c r="B9225" i="1"/>
  <c r="A9225" i="1"/>
  <c r="S9224" i="1"/>
  <c r="O9224" i="1"/>
  <c r="K9224" i="1"/>
  <c r="J9224" i="1"/>
  <c r="I9224" i="1"/>
  <c r="H9224" i="1"/>
  <c r="G9224" i="1"/>
  <c r="F9224" i="1"/>
  <c r="E9224" i="1"/>
  <c r="D9224" i="1"/>
  <c r="C9224" i="1"/>
  <c r="B9224" i="1"/>
  <c r="A9224" i="1"/>
  <c r="R9223" i="1"/>
  <c r="J9223" i="1"/>
  <c r="I9223" i="1"/>
  <c r="G9223" i="1"/>
  <c r="F9223" i="1"/>
  <c r="E9223" i="1"/>
  <c r="D9223" i="1"/>
  <c r="C9223" i="1"/>
  <c r="B9223" i="1"/>
  <c r="A9223" i="1"/>
  <c r="S9222" i="1"/>
  <c r="O9222" i="1"/>
  <c r="K9222" i="1"/>
  <c r="J9222" i="1"/>
  <c r="I9222" i="1"/>
  <c r="H9222" i="1"/>
  <c r="G9222" i="1"/>
  <c r="F9222" i="1"/>
  <c r="E9222" i="1"/>
  <c r="D9222" i="1"/>
  <c r="C9222" i="1"/>
  <c r="B9222" i="1"/>
  <c r="A9222" i="1"/>
  <c r="R9221" i="1"/>
  <c r="J9221" i="1"/>
  <c r="I9221" i="1"/>
  <c r="G9221" i="1"/>
  <c r="F9221" i="1"/>
  <c r="E9221" i="1"/>
  <c r="D9221" i="1"/>
  <c r="C9221" i="1"/>
  <c r="B9221" i="1"/>
  <c r="A9221" i="1"/>
  <c r="S9220" i="1"/>
  <c r="O9220" i="1"/>
  <c r="K9220" i="1"/>
  <c r="J9220" i="1"/>
  <c r="I9220" i="1"/>
  <c r="H9220" i="1"/>
  <c r="G9220" i="1"/>
  <c r="F9220" i="1"/>
  <c r="E9220" i="1"/>
  <c r="D9220" i="1"/>
  <c r="C9220" i="1"/>
  <c r="B9220" i="1"/>
  <c r="A9220" i="1"/>
  <c r="R9219" i="1"/>
  <c r="J9219" i="1"/>
  <c r="I9219" i="1"/>
  <c r="G9219" i="1"/>
  <c r="F9219" i="1"/>
  <c r="E9219" i="1"/>
  <c r="D9219" i="1"/>
  <c r="C9219" i="1"/>
  <c r="B9219" i="1"/>
  <c r="A9219" i="1"/>
  <c r="S9218" i="1"/>
  <c r="O9218" i="1"/>
  <c r="K9218" i="1"/>
  <c r="J9218" i="1"/>
  <c r="I9218" i="1"/>
  <c r="H9218" i="1"/>
  <c r="G9218" i="1"/>
  <c r="F9218" i="1"/>
  <c r="E9218" i="1"/>
  <c r="D9218" i="1"/>
  <c r="C9218" i="1"/>
  <c r="B9218" i="1"/>
  <c r="A9218" i="1"/>
  <c r="R9217" i="1"/>
  <c r="J9217" i="1"/>
  <c r="I9217" i="1"/>
  <c r="G9217" i="1"/>
  <c r="F9217" i="1"/>
  <c r="E9217" i="1"/>
  <c r="D9217" i="1"/>
  <c r="C9217" i="1"/>
  <c r="B9217" i="1"/>
  <c r="A9217" i="1"/>
  <c r="S9216" i="1"/>
  <c r="O9216" i="1"/>
  <c r="K9216" i="1"/>
  <c r="J9216" i="1"/>
  <c r="I9216" i="1"/>
  <c r="H9216" i="1"/>
  <c r="G9216" i="1"/>
  <c r="F9216" i="1"/>
  <c r="E9216" i="1"/>
  <c r="D9216" i="1"/>
  <c r="C9216" i="1"/>
  <c r="B9216" i="1"/>
  <c r="A9216" i="1"/>
  <c r="R9215" i="1"/>
  <c r="J9215" i="1"/>
  <c r="I9215" i="1"/>
  <c r="G9215" i="1"/>
  <c r="F9215" i="1"/>
  <c r="E9215" i="1"/>
  <c r="D9215" i="1"/>
  <c r="C9215" i="1"/>
  <c r="B9215" i="1"/>
  <c r="A9215" i="1"/>
  <c r="S9214" i="1"/>
  <c r="O9214" i="1"/>
  <c r="K9214" i="1"/>
  <c r="J9214" i="1"/>
  <c r="I9214" i="1"/>
  <c r="H9214" i="1"/>
  <c r="G9214" i="1"/>
  <c r="F9214" i="1"/>
  <c r="E9214" i="1"/>
  <c r="D9214" i="1"/>
  <c r="C9214" i="1"/>
  <c r="B9214" i="1"/>
  <c r="A9214" i="1"/>
  <c r="R9213" i="1"/>
  <c r="J9213" i="1"/>
  <c r="I9213" i="1"/>
  <c r="G9213" i="1"/>
  <c r="F9213" i="1"/>
  <c r="E9213" i="1"/>
  <c r="D9213" i="1"/>
  <c r="C9213" i="1"/>
  <c r="B9213" i="1"/>
  <c r="A9213" i="1"/>
  <c r="S9212" i="1"/>
  <c r="O9212" i="1"/>
  <c r="K9212" i="1"/>
  <c r="J9212" i="1"/>
  <c r="I9212" i="1"/>
  <c r="H9212" i="1"/>
  <c r="G9212" i="1"/>
  <c r="F9212" i="1"/>
  <c r="E9212" i="1"/>
  <c r="D9212" i="1"/>
  <c r="C9212" i="1"/>
  <c r="B9212" i="1"/>
  <c r="A9212" i="1"/>
  <c r="R9211" i="1"/>
  <c r="J9211" i="1"/>
  <c r="I9211" i="1"/>
  <c r="G9211" i="1"/>
  <c r="F9211" i="1"/>
  <c r="E9211" i="1"/>
  <c r="D9211" i="1"/>
  <c r="C9211" i="1"/>
  <c r="B9211" i="1"/>
  <c r="A9211" i="1"/>
  <c r="R9210" i="1"/>
  <c r="J9210" i="1"/>
  <c r="I9210" i="1"/>
  <c r="G9210" i="1"/>
  <c r="F9210" i="1"/>
  <c r="E9210" i="1"/>
  <c r="D9210" i="1"/>
  <c r="C9210" i="1"/>
  <c r="B9210" i="1"/>
  <c r="A9210" i="1"/>
  <c r="S9209" i="1"/>
  <c r="O9209" i="1"/>
  <c r="K9209" i="1"/>
  <c r="J9209" i="1"/>
  <c r="I9209" i="1"/>
  <c r="H9209" i="1"/>
  <c r="G9209" i="1"/>
  <c r="F9209" i="1"/>
  <c r="E9209" i="1"/>
  <c r="D9209" i="1"/>
  <c r="C9209" i="1"/>
  <c r="B9209" i="1"/>
  <c r="A9209" i="1"/>
  <c r="R9208" i="1"/>
  <c r="J9208" i="1"/>
  <c r="I9208" i="1"/>
  <c r="G9208" i="1"/>
  <c r="F9208" i="1"/>
  <c r="E9208" i="1"/>
  <c r="D9208" i="1"/>
  <c r="C9208" i="1"/>
  <c r="B9208" i="1"/>
  <c r="A9208" i="1"/>
  <c r="R9207" i="1"/>
  <c r="J9207" i="1"/>
  <c r="I9207" i="1"/>
  <c r="G9207" i="1"/>
  <c r="F9207" i="1"/>
  <c r="E9207" i="1"/>
  <c r="D9207" i="1"/>
  <c r="C9207" i="1"/>
  <c r="B9207" i="1"/>
  <c r="A9207" i="1"/>
  <c r="S9206" i="1"/>
  <c r="O9206" i="1"/>
  <c r="K9206" i="1"/>
  <c r="J9206" i="1"/>
  <c r="I9206" i="1"/>
  <c r="H9206" i="1"/>
  <c r="G9206" i="1"/>
  <c r="F9206" i="1"/>
  <c r="E9206" i="1"/>
  <c r="D9206" i="1"/>
  <c r="C9206" i="1"/>
  <c r="B9206" i="1"/>
  <c r="A9206" i="1"/>
  <c r="R9205" i="1"/>
  <c r="J9205" i="1"/>
  <c r="I9205" i="1"/>
  <c r="G9205" i="1"/>
  <c r="F9205" i="1"/>
  <c r="E9205" i="1"/>
  <c r="D9205" i="1"/>
  <c r="C9205" i="1"/>
  <c r="B9205" i="1"/>
  <c r="A9205" i="1"/>
  <c r="S9204" i="1"/>
  <c r="O9204" i="1"/>
  <c r="K9204" i="1"/>
  <c r="J9204" i="1"/>
  <c r="I9204" i="1"/>
  <c r="H9204" i="1"/>
  <c r="G9204" i="1"/>
  <c r="F9204" i="1"/>
  <c r="E9204" i="1"/>
  <c r="D9204" i="1"/>
  <c r="C9204" i="1"/>
  <c r="B9204" i="1"/>
  <c r="A9204" i="1"/>
  <c r="R9203" i="1"/>
  <c r="J9203" i="1"/>
  <c r="I9203" i="1"/>
  <c r="G9203" i="1"/>
  <c r="F9203" i="1"/>
  <c r="E9203" i="1"/>
  <c r="D9203" i="1"/>
  <c r="C9203" i="1"/>
  <c r="B9203" i="1"/>
  <c r="A9203" i="1"/>
  <c r="S9202" i="1"/>
  <c r="O9202" i="1"/>
  <c r="K9202" i="1"/>
  <c r="J9202" i="1"/>
  <c r="I9202" i="1"/>
  <c r="H9202" i="1"/>
  <c r="G9202" i="1"/>
  <c r="F9202" i="1"/>
  <c r="E9202" i="1"/>
  <c r="D9202" i="1"/>
  <c r="C9202" i="1"/>
  <c r="B9202" i="1"/>
  <c r="A9202" i="1"/>
  <c r="R9201" i="1"/>
  <c r="J9201" i="1"/>
  <c r="I9201" i="1"/>
  <c r="G9201" i="1"/>
  <c r="F9201" i="1"/>
  <c r="E9201" i="1"/>
  <c r="D9201" i="1"/>
  <c r="C9201" i="1"/>
  <c r="B9201" i="1"/>
  <c r="A9201" i="1"/>
  <c r="S9200" i="1"/>
  <c r="O9200" i="1"/>
  <c r="K9200" i="1"/>
  <c r="J9200" i="1"/>
  <c r="I9200" i="1"/>
  <c r="H9200" i="1"/>
  <c r="G9200" i="1"/>
  <c r="F9200" i="1"/>
  <c r="E9200" i="1"/>
  <c r="D9200" i="1"/>
  <c r="C9200" i="1"/>
  <c r="B9200" i="1"/>
  <c r="A9200" i="1"/>
  <c r="R9199" i="1"/>
  <c r="J9199" i="1"/>
  <c r="I9199" i="1"/>
  <c r="G9199" i="1"/>
  <c r="F9199" i="1"/>
  <c r="E9199" i="1"/>
  <c r="D9199" i="1"/>
  <c r="C9199" i="1"/>
  <c r="B9199" i="1"/>
  <c r="A9199" i="1"/>
  <c r="S9198" i="1"/>
  <c r="O9198" i="1"/>
  <c r="K9198" i="1"/>
  <c r="J9198" i="1"/>
  <c r="I9198" i="1"/>
  <c r="H9198" i="1"/>
  <c r="G9198" i="1"/>
  <c r="F9198" i="1"/>
  <c r="E9198" i="1"/>
  <c r="D9198" i="1"/>
  <c r="C9198" i="1"/>
  <c r="B9198" i="1"/>
  <c r="A9198" i="1"/>
  <c r="R9197" i="1"/>
  <c r="J9197" i="1"/>
  <c r="I9197" i="1"/>
  <c r="G9197" i="1"/>
  <c r="F9197" i="1"/>
  <c r="E9197" i="1"/>
  <c r="D9197" i="1"/>
  <c r="C9197" i="1"/>
  <c r="B9197" i="1"/>
  <c r="A9197" i="1"/>
  <c r="S9196" i="1"/>
  <c r="O9196" i="1"/>
  <c r="K9196" i="1"/>
  <c r="J9196" i="1"/>
  <c r="I9196" i="1"/>
  <c r="H9196" i="1"/>
  <c r="G9196" i="1"/>
  <c r="F9196" i="1"/>
  <c r="E9196" i="1"/>
  <c r="D9196" i="1"/>
  <c r="C9196" i="1"/>
  <c r="B9196" i="1"/>
  <c r="A9196" i="1"/>
  <c r="R9195" i="1"/>
  <c r="J9195" i="1"/>
  <c r="I9195" i="1"/>
  <c r="G9195" i="1"/>
  <c r="F9195" i="1"/>
  <c r="E9195" i="1"/>
  <c r="D9195" i="1"/>
  <c r="C9195" i="1"/>
  <c r="B9195" i="1"/>
  <c r="A9195" i="1"/>
  <c r="R9194" i="1"/>
  <c r="J9194" i="1"/>
  <c r="I9194" i="1"/>
  <c r="G9194" i="1"/>
  <c r="F9194" i="1"/>
  <c r="E9194" i="1"/>
  <c r="D9194" i="1"/>
  <c r="C9194" i="1"/>
  <c r="B9194" i="1"/>
  <c r="A9194" i="1"/>
  <c r="S9193" i="1"/>
  <c r="O9193" i="1"/>
  <c r="K9193" i="1"/>
  <c r="J9193" i="1"/>
  <c r="I9193" i="1"/>
  <c r="H9193" i="1"/>
  <c r="G9193" i="1"/>
  <c r="F9193" i="1"/>
  <c r="E9193" i="1"/>
  <c r="D9193" i="1"/>
  <c r="C9193" i="1"/>
  <c r="B9193" i="1"/>
  <c r="A9193" i="1"/>
  <c r="R9192" i="1"/>
  <c r="J9192" i="1"/>
  <c r="I9192" i="1"/>
  <c r="G9192" i="1"/>
  <c r="F9192" i="1"/>
  <c r="E9192" i="1"/>
  <c r="D9192" i="1"/>
  <c r="C9192" i="1"/>
  <c r="B9192" i="1"/>
  <c r="A9192" i="1"/>
  <c r="R9191" i="1"/>
  <c r="J9191" i="1"/>
  <c r="I9191" i="1"/>
  <c r="G9191" i="1"/>
  <c r="F9191" i="1"/>
  <c r="E9191" i="1"/>
  <c r="D9191" i="1"/>
  <c r="C9191" i="1"/>
  <c r="B9191" i="1"/>
  <c r="A9191" i="1"/>
  <c r="S9190" i="1"/>
  <c r="O9190" i="1"/>
  <c r="K9190" i="1"/>
  <c r="J9190" i="1"/>
  <c r="I9190" i="1"/>
  <c r="H9190" i="1"/>
  <c r="G9190" i="1"/>
  <c r="F9190" i="1"/>
  <c r="E9190" i="1"/>
  <c r="D9190" i="1"/>
  <c r="C9190" i="1"/>
  <c r="B9190" i="1"/>
  <c r="A9190" i="1"/>
  <c r="R9189" i="1"/>
  <c r="J9189" i="1"/>
  <c r="I9189" i="1"/>
  <c r="G9189" i="1"/>
  <c r="F9189" i="1"/>
  <c r="E9189" i="1"/>
  <c r="D9189" i="1"/>
  <c r="C9189" i="1"/>
  <c r="B9189" i="1"/>
  <c r="A9189" i="1"/>
  <c r="S9188" i="1"/>
  <c r="O9188" i="1"/>
  <c r="K9188" i="1"/>
  <c r="J9188" i="1"/>
  <c r="I9188" i="1"/>
  <c r="H9188" i="1"/>
  <c r="G9188" i="1"/>
  <c r="F9188" i="1"/>
  <c r="E9188" i="1"/>
  <c r="D9188" i="1"/>
  <c r="C9188" i="1"/>
  <c r="B9188" i="1"/>
  <c r="A9188" i="1"/>
  <c r="R9187" i="1"/>
  <c r="J9187" i="1"/>
  <c r="I9187" i="1"/>
  <c r="G9187" i="1"/>
  <c r="F9187" i="1"/>
  <c r="E9187" i="1"/>
  <c r="D9187" i="1"/>
  <c r="C9187" i="1"/>
  <c r="B9187" i="1"/>
  <c r="A9187" i="1"/>
  <c r="R9186" i="1"/>
  <c r="J9186" i="1"/>
  <c r="I9186" i="1"/>
  <c r="G9186" i="1"/>
  <c r="F9186" i="1"/>
  <c r="E9186" i="1"/>
  <c r="D9186" i="1"/>
  <c r="C9186" i="1"/>
  <c r="B9186" i="1"/>
  <c r="A9186" i="1"/>
  <c r="S9185" i="1"/>
  <c r="O9185" i="1"/>
  <c r="K9185" i="1"/>
  <c r="J9185" i="1"/>
  <c r="I9185" i="1"/>
  <c r="H9185" i="1"/>
  <c r="G9185" i="1"/>
  <c r="F9185" i="1"/>
  <c r="E9185" i="1"/>
  <c r="D9185" i="1"/>
  <c r="C9185" i="1"/>
  <c r="B9185" i="1"/>
  <c r="A9185" i="1"/>
  <c r="R9184" i="1"/>
  <c r="J9184" i="1"/>
  <c r="I9184" i="1"/>
  <c r="G9184" i="1"/>
  <c r="F9184" i="1"/>
  <c r="E9184" i="1"/>
  <c r="D9184" i="1"/>
  <c r="C9184" i="1"/>
  <c r="B9184" i="1"/>
  <c r="A9184" i="1"/>
  <c r="S9183" i="1"/>
  <c r="O9183" i="1"/>
  <c r="K9183" i="1"/>
  <c r="J9183" i="1"/>
  <c r="I9183" i="1"/>
  <c r="H9183" i="1"/>
  <c r="G9183" i="1"/>
  <c r="F9183" i="1"/>
  <c r="E9183" i="1"/>
  <c r="D9183" i="1"/>
  <c r="C9183" i="1"/>
  <c r="B9183" i="1"/>
  <c r="A9183" i="1"/>
  <c r="R9182" i="1"/>
  <c r="J9182" i="1"/>
  <c r="I9182" i="1"/>
  <c r="G9182" i="1"/>
  <c r="F9182" i="1"/>
  <c r="E9182" i="1"/>
  <c r="D9182" i="1"/>
  <c r="C9182" i="1"/>
  <c r="B9182" i="1"/>
  <c r="A9182" i="1"/>
  <c r="S9181" i="1"/>
  <c r="O9181" i="1"/>
  <c r="K9181" i="1"/>
  <c r="J9181" i="1"/>
  <c r="I9181" i="1"/>
  <c r="H9181" i="1"/>
  <c r="G9181" i="1"/>
  <c r="F9181" i="1"/>
  <c r="E9181" i="1"/>
  <c r="D9181" i="1"/>
  <c r="C9181" i="1"/>
  <c r="B9181" i="1"/>
  <c r="A9181" i="1"/>
  <c r="R9180" i="1"/>
  <c r="J9180" i="1"/>
  <c r="I9180" i="1"/>
  <c r="G9180" i="1"/>
  <c r="F9180" i="1"/>
  <c r="E9180" i="1"/>
  <c r="D9180" i="1"/>
  <c r="C9180" i="1"/>
  <c r="B9180" i="1"/>
  <c r="A9180" i="1"/>
  <c r="R9179" i="1"/>
  <c r="J9179" i="1"/>
  <c r="I9179" i="1"/>
  <c r="G9179" i="1"/>
  <c r="F9179" i="1"/>
  <c r="E9179" i="1"/>
  <c r="D9179" i="1"/>
  <c r="C9179" i="1"/>
  <c r="B9179" i="1"/>
  <c r="A9179" i="1"/>
  <c r="S9178" i="1"/>
  <c r="O9178" i="1"/>
  <c r="K9178" i="1"/>
  <c r="J9178" i="1"/>
  <c r="I9178" i="1"/>
  <c r="H9178" i="1"/>
  <c r="G9178" i="1"/>
  <c r="F9178" i="1"/>
  <c r="E9178" i="1"/>
  <c r="D9178" i="1"/>
  <c r="C9178" i="1"/>
  <c r="B9178" i="1"/>
  <c r="A9178" i="1"/>
  <c r="R9177" i="1"/>
  <c r="J9177" i="1"/>
  <c r="I9177" i="1"/>
  <c r="G9177" i="1"/>
  <c r="F9177" i="1"/>
  <c r="E9177" i="1"/>
  <c r="D9177" i="1"/>
  <c r="C9177" i="1"/>
  <c r="B9177" i="1"/>
  <c r="A9177" i="1"/>
  <c r="S9176" i="1"/>
  <c r="O9176" i="1"/>
  <c r="K9176" i="1"/>
  <c r="J9176" i="1"/>
  <c r="I9176" i="1"/>
  <c r="H9176" i="1"/>
  <c r="G9176" i="1"/>
  <c r="F9176" i="1"/>
  <c r="E9176" i="1"/>
  <c r="D9176" i="1"/>
  <c r="C9176" i="1"/>
  <c r="B9176" i="1"/>
  <c r="A9176" i="1"/>
  <c r="R9175" i="1"/>
  <c r="J9175" i="1"/>
  <c r="I9175" i="1"/>
  <c r="G9175" i="1"/>
  <c r="F9175" i="1"/>
  <c r="E9175" i="1"/>
  <c r="D9175" i="1"/>
  <c r="C9175" i="1"/>
  <c r="B9175" i="1"/>
  <c r="A9175" i="1"/>
  <c r="S9174" i="1"/>
  <c r="O9174" i="1"/>
  <c r="K9174" i="1"/>
  <c r="J9174" i="1"/>
  <c r="I9174" i="1"/>
  <c r="H9174" i="1"/>
  <c r="G9174" i="1"/>
  <c r="F9174" i="1"/>
  <c r="E9174" i="1"/>
  <c r="D9174" i="1"/>
  <c r="C9174" i="1"/>
  <c r="B9174" i="1"/>
  <c r="A9174" i="1"/>
  <c r="R9173" i="1"/>
  <c r="J9173" i="1"/>
  <c r="I9173" i="1"/>
  <c r="G9173" i="1"/>
  <c r="F9173" i="1"/>
  <c r="E9173" i="1"/>
  <c r="D9173" i="1"/>
  <c r="C9173" i="1"/>
  <c r="B9173" i="1"/>
  <c r="A9173" i="1"/>
  <c r="S9172" i="1"/>
  <c r="O9172" i="1"/>
  <c r="K9172" i="1"/>
  <c r="J9172" i="1"/>
  <c r="I9172" i="1"/>
  <c r="H9172" i="1"/>
  <c r="G9172" i="1"/>
  <c r="F9172" i="1"/>
  <c r="E9172" i="1"/>
  <c r="D9172" i="1"/>
  <c r="C9172" i="1"/>
  <c r="B9172" i="1"/>
  <c r="A9172" i="1"/>
  <c r="R9171" i="1"/>
  <c r="J9171" i="1"/>
  <c r="I9171" i="1"/>
  <c r="G9171" i="1"/>
  <c r="F9171" i="1"/>
  <c r="E9171" i="1"/>
  <c r="D9171" i="1"/>
  <c r="C9171" i="1"/>
  <c r="B9171" i="1"/>
  <c r="A9171" i="1"/>
  <c r="R9170" i="1"/>
  <c r="J9170" i="1"/>
  <c r="I9170" i="1"/>
  <c r="G9170" i="1"/>
  <c r="F9170" i="1"/>
  <c r="E9170" i="1"/>
  <c r="D9170" i="1"/>
  <c r="C9170" i="1"/>
  <c r="B9170" i="1"/>
  <c r="A9170" i="1"/>
  <c r="S9169" i="1"/>
  <c r="O9169" i="1"/>
  <c r="K9169" i="1"/>
  <c r="J9169" i="1"/>
  <c r="I9169" i="1"/>
  <c r="H9169" i="1"/>
  <c r="G9169" i="1"/>
  <c r="F9169" i="1"/>
  <c r="E9169" i="1"/>
  <c r="D9169" i="1"/>
  <c r="C9169" i="1"/>
  <c r="B9169" i="1"/>
  <c r="A9169" i="1"/>
  <c r="R9168" i="1"/>
  <c r="J9168" i="1"/>
  <c r="I9168" i="1"/>
  <c r="G9168" i="1"/>
  <c r="F9168" i="1"/>
  <c r="E9168" i="1"/>
  <c r="D9168" i="1"/>
  <c r="C9168" i="1"/>
  <c r="B9168" i="1"/>
  <c r="A9168" i="1"/>
  <c r="S9167" i="1"/>
  <c r="O9167" i="1"/>
  <c r="K9167" i="1"/>
  <c r="J9167" i="1"/>
  <c r="I9167" i="1"/>
  <c r="H9167" i="1"/>
  <c r="G9167" i="1"/>
  <c r="F9167" i="1"/>
  <c r="E9167" i="1"/>
  <c r="D9167" i="1"/>
  <c r="C9167" i="1"/>
  <c r="B9167" i="1"/>
  <c r="A9167" i="1"/>
  <c r="R9166" i="1"/>
  <c r="J9166" i="1"/>
  <c r="I9166" i="1"/>
  <c r="G9166" i="1"/>
  <c r="F9166" i="1"/>
  <c r="E9166" i="1"/>
  <c r="D9166" i="1"/>
  <c r="C9166" i="1"/>
  <c r="B9166" i="1"/>
  <c r="A9166" i="1"/>
  <c r="S9165" i="1"/>
  <c r="O9165" i="1"/>
  <c r="K9165" i="1"/>
  <c r="J9165" i="1"/>
  <c r="I9165" i="1"/>
  <c r="H9165" i="1"/>
  <c r="G9165" i="1"/>
  <c r="F9165" i="1"/>
  <c r="E9165" i="1"/>
  <c r="D9165" i="1"/>
  <c r="C9165" i="1"/>
  <c r="B9165" i="1"/>
  <c r="A9165" i="1"/>
  <c r="R9164" i="1"/>
  <c r="J9164" i="1"/>
  <c r="I9164" i="1"/>
  <c r="G9164" i="1"/>
  <c r="F9164" i="1"/>
  <c r="E9164" i="1"/>
  <c r="D9164" i="1"/>
  <c r="C9164" i="1"/>
  <c r="B9164" i="1"/>
  <c r="A9164" i="1"/>
  <c r="S9163" i="1"/>
  <c r="O9163" i="1"/>
  <c r="K9163" i="1"/>
  <c r="J9163" i="1"/>
  <c r="I9163" i="1"/>
  <c r="H9163" i="1"/>
  <c r="G9163" i="1"/>
  <c r="F9163" i="1"/>
  <c r="E9163" i="1"/>
  <c r="D9163" i="1"/>
  <c r="C9163" i="1"/>
  <c r="B9163" i="1"/>
  <c r="A9163" i="1"/>
  <c r="R9162" i="1"/>
  <c r="J9162" i="1"/>
  <c r="I9162" i="1"/>
  <c r="G9162" i="1"/>
  <c r="F9162" i="1"/>
  <c r="E9162" i="1"/>
  <c r="D9162" i="1"/>
  <c r="C9162" i="1"/>
  <c r="B9162" i="1"/>
  <c r="A9162" i="1"/>
  <c r="S9161" i="1"/>
  <c r="O9161" i="1"/>
  <c r="K9161" i="1"/>
  <c r="J9161" i="1"/>
  <c r="I9161" i="1"/>
  <c r="H9161" i="1"/>
  <c r="G9161" i="1"/>
  <c r="F9161" i="1"/>
  <c r="E9161" i="1"/>
  <c r="D9161" i="1"/>
  <c r="C9161" i="1"/>
  <c r="B9161" i="1"/>
  <c r="A9161" i="1"/>
  <c r="R9160" i="1"/>
  <c r="J9160" i="1"/>
  <c r="I9160" i="1"/>
  <c r="G9160" i="1"/>
  <c r="F9160" i="1"/>
  <c r="E9160" i="1"/>
  <c r="D9160" i="1"/>
  <c r="C9160" i="1"/>
  <c r="B9160" i="1"/>
  <c r="A9160" i="1"/>
  <c r="S9159" i="1"/>
  <c r="O9159" i="1"/>
  <c r="K9159" i="1"/>
  <c r="J9159" i="1"/>
  <c r="I9159" i="1"/>
  <c r="H9159" i="1"/>
  <c r="G9159" i="1"/>
  <c r="F9159" i="1"/>
  <c r="E9159" i="1"/>
  <c r="D9159" i="1"/>
  <c r="C9159" i="1"/>
  <c r="B9159" i="1"/>
  <c r="A9159" i="1"/>
  <c r="R9158" i="1"/>
  <c r="J9158" i="1"/>
  <c r="I9158" i="1"/>
  <c r="G9158" i="1"/>
  <c r="F9158" i="1"/>
  <c r="E9158" i="1"/>
  <c r="D9158" i="1"/>
  <c r="C9158" i="1"/>
  <c r="B9158" i="1"/>
  <c r="A9158" i="1"/>
  <c r="S9157" i="1"/>
  <c r="O9157" i="1"/>
  <c r="K9157" i="1"/>
  <c r="J9157" i="1"/>
  <c r="I9157" i="1"/>
  <c r="H9157" i="1"/>
  <c r="G9157" i="1"/>
  <c r="F9157" i="1"/>
  <c r="E9157" i="1"/>
  <c r="D9157" i="1"/>
  <c r="C9157" i="1"/>
  <c r="B9157" i="1"/>
  <c r="A9157" i="1"/>
  <c r="R9156" i="1"/>
  <c r="J9156" i="1"/>
  <c r="I9156" i="1"/>
  <c r="G9156" i="1"/>
  <c r="F9156" i="1"/>
  <c r="E9156" i="1"/>
  <c r="D9156" i="1"/>
  <c r="C9156" i="1"/>
  <c r="B9156" i="1"/>
  <c r="A9156" i="1"/>
  <c r="R9155" i="1"/>
  <c r="J9155" i="1"/>
  <c r="I9155" i="1"/>
  <c r="G9155" i="1"/>
  <c r="F9155" i="1"/>
  <c r="E9155" i="1"/>
  <c r="D9155" i="1"/>
  <c r="C9155" i="1"/>
  <c r="B9155" i="1"/>
  <c r="A9155" i="1"/>
  <c r="S9154" i="1"/>
  <c r="O9154" i="1"/>
  <c r="K9154" i="1"/>
  <c r="J9154" i="1"/>
  <c r="I9154" i="1"/>
  <c r="H9154" i="1"/>
  <c r="G9154" i="1"/>
  <c r="F9154" i="1"/>
  <c r="E9154" i="1"/>
  <c r="D9154" i="1"/>
  <c r="C9154" i="1"/>
  <c r="B9154" i="1"/>
  <c r="A9154" i="1"/>
  <c r="R9153" i="1"/>
  <c r="J9153" i="1"/>
  <c r="I9153" i="1"/>
  <c r="G9153" i="1"/>
  <c r="F9153" i="1"/>
  <c r="E9153" i="1"/>
  <c r="D9153" i="1"/>
  <c r="C9153" i="1"/>
  <c r="B9153" i="1"/>
  <c r="A9153" i="1"/>
  <c r="S9152" i="1"/>
  <c r="O9152" i="1"/>
  <c r="K9152" i="1"/>
  <c r="J9152" i="1"/>
  <c r="I9152" i="1"/>
  <c r="H9152" i="1"/>
  <c r="G9152" i="1"/>
  <c r="F9152" i="1"/>
  <c r="E9152" i="1"/>
  <c r="D9152" i="1"/>
  <c r="C9152" i="1"/>
  <c r="B9152" i="1"/>
  <c r="A9152" i="1"/>
  <c r="R9151" i="1"/>
  <c r="J9151" i="1"/>
  <c r="I9151" i="1"/>
  <c r="G9151" i="1"/>
  <c r="F9151" i="1"/>
  <c r="E9151" i="1"/>
  <c r="D9151" i="1"/>
  <c r="C9151" i="1"/>
  <c r="B9151" i="1"/>
  <c r="A9151" i="1"/>
  <c r="R9150" i="1"/>
  <c r="J9150" i="1"/>
  <c r="I9150" i="1"/>
  <c r="G9150" i="1"/>
  <c r="F9150" i="1"/>
  <c r="E9150" i="1"/>
  <c r="D9150" i="1"/>
  <c r="C9150" i="1"/>
  <c r="B9150" i="1"/>
  <c r="A9150" i="1"/>
  <c r="R9149" i="1"/>
  <c r="J9149" i="1"/>
  <c r="I9149" i="1"/>
  <c r="G9149" i="1"/>
  <c r="F9149" i="1"/>
  <c r="E9149" i="1"/>
  <c r="D9149" i="1"/>
  <c r="C9149" i="1"/>
  <c r="B9149" i="1"/>
  <c r="A9149" i="1"/>
  <c r="R9148" i="1"/>
  <c r="J9148" i="1"/>
  <c r="I9148" i="1"/>
  <c r="G9148" i="1"/>
  <c r="F9148" i="1"/>
  <c r="E9148" i="1"/>
  <c r="D9148" i="1"/>
  <c r="C9148" i="1"/>
  <c r="B9148" i="1"/>
  <c r="A9148" i="1"/>
  <c r="S9147" i="1"/>
  <c r="O9147" i="1"/>
  <c r="K9147" i="1"/>
  <c r="J9147" i="1"/>
  <c r="I9147" i="1"/>
  <c r="H9147" i="1"/>
  <c r="G9147" i="1"/>
  <c r="F9147" i="1"/>
  <c r="E9147" i="1"/>
  <c r="D9147" i="1"/>
  <c r="C9147" i="1"/>
  <c r="B9147" i="1"/>
  <c r="A9147" i="1"/>
  <c r="R9146" i="1"/>
  <c r="J9146" i="1"/>
  <c r="I9146" i="1"/>
  <c r="G9146" i="1"/>
  <c r="F9146" i="1"/>
  <c r="E9146" i="1"/>
  <c r="D9146" i="1"/>
  <c r="C9146" i="1"/>
  <c r="B9146" i="1"/>
  <c r="A9146" i="1"/>
  <c r="S9145" i="1"/>
  <c r="O9145" i="1"/>
  <c r="K9145" i="1"/>
  <c r="J9145" i="1"/>
  <c r="I9145" i="1"/>
  <c r="H9145" i="1"/>
  <c r="G9145" i="1"/>
  <c r="F9145" i="1"/>
  <c r="E9145" i="1"/>
  <c r="D9145" i="1"/>
  <c r="C9145" i="1"/>
  <c r="B9145" i="1"/>
  <c r="A9145" i="1"/>
  <c r="R9144" i="1"/>
  <c r="J9144" i="1"/>
  <c r="I9144" i="1"/>
  <c r="G9144" i="1"/>
  <c r="F9144" i="1"/>
  <c r="E9144" i="1"/>
  <c r="D9144" i="1"/>
  <c r="C9144" i="1"/>
  <c r="B9144" i="1"/>
  <c r="A9144" i="1"/>
  <c r="S9143" i="1"/>
  <c r="O9143" i="1"/>
  <c r="K9143" i="1"/>
  <c r="J9143" i="1"/>
  <c r="I9143" i="1"/>
  <c r="H9143" i="1"/>
  <c r="G9143" i="1"/>
  <c r="F9143" i="1"/>
  <c r="E9143" i="1"/>
  <c r="D9143" i="1"/>
  <c r="C9143" i="1"/>
  <c r="B9143" i="1"/>
  <c r="A9143" i="1"/>
  <c r="R9142" i="1"/>
  <c r="J9142" i="1"/>
  <c r="I9142" i="1"/>
  <c r="G9142" i="1"/>
  <c r="F9142" i="1"/>
  <c r="E9142" i="1"/>
  <c r="D9142" i="1"/>
  <c r="C9142" i="1"/>
  <c r="B9142" i="1"/>
  <c r="A9142" i="1"/>
  <c r="S9141" i="1"/>
  <c r="O9141" i="1"/>
  <c r="K9141" i="1"/>
  <c r="J9141" i="1"/>
  <c r="I9141" i="1"/>
  <c r="H9141" i="1"/>
  <c r="G9141" i="1"/>
  <c r="F9141" i="1"/>
  <c r="E9141" i="1"/>
  <c r="D9141" i="1"/>
  <c r="C9141" i="1"/>
  <c r="B9141" i="1"/>
  <c r="A9141" i="1"/>
  <c r="R9140" i="1"/>
  <c r="J9140" i="1"/>
  <c r="I9140" i="1"/>
  <c r="G9140" i="1"/>
  <c r="F9140" i="1"/>
  <c r="E9140" i="1"/>
  <c r="D9140" i="1"/>
  <c r="C9140" i="1"/>
  <c r="B9140" i="1"/>
  <c r="A9140" i="1"/>
  <c r="S9139" i="1"/>
  <c r="O9139" i="1"/>
  <c r="K9139" i="1"/>
  <c r="J9139" i="1"/>
  <c r="I9139" i="1"/>
  <c r="H9139" i="1"/>
  <c r="G9139" i="1"/>
  <c r="F9139" i="1"/>
  <c r="E9139" i="1"/>
  <c r="D9139" i="1"/>
  <c r="C9139" i="1"/>
  <c r="B9139" i="1"/>
  <c r="A9139" i="1"/>
  <c r="R9138" i="1"/>
  <c r="J9138" i="1"/>
  <c r="I9138" i="1"/>
  <c r="G9138" i="1"/>
  <c r="F9138" i="1"/>
  <c r="E9138" i="1"/>
  <c r="D9138" i="1"/>
  <c r="C9138" i="1"/>
  <c r="B9138" i="1"/>
  <c r="A9138" i="1"/>
  <c r="R9137" i="1"/>
  <c r="J9137" i="1"/>
  <c r="I9137" i="1"/>
  <c r="G9137" i="1"/>
  <c r="F9137" i="1"/>
  <c r="E9137" i="1"/>
  <c r="D9137" i="1"/>
  <c r="C9137" i="1"/>
  <c r="B9137" i="1"/>
  <c r="A9137" i="1"/>
  <c r="S9136" i="1"/>
  <c r="O9136" i="1"/>
  <c r="K9136" i="1"/>
  <c r="J9136" i="1"/>
  <c r="I9136" i="1"/>
  <c r="H9136" i="1"/>
  <c r="G9136" i="1"/>
  <c r="F9136" i="1"/>
  <c r="E9136" i="1"/>
  <c r="D9136" i="1"/>
  <c r="C9136" i="1"/>
  <c r="B9136" i="1"/>
  <c r="A9136" i="1"/>
  <c r="R9135" i="1"/>
  <c r="J9135" i="1"/>
  <c r="I9135" i="1"/>
  <c r="G9135" i="1"/>
  <c r="F9135" i="1"/>
  <c r="E9135" i="1"/>
  <c r="D9135" i="1"/>
  <c r="C9135" i="1"/>
  <c r="B9135" i="1"/>
  <c r="A9135" i="1"/>
  <c r="S9134" i="1"/>
  <c r="O9134" i="1"/>
  <c r="K9134" i="1"/>
  <c r="J9134" i="1"/>
  <c r="I9134" i="1"/>
  <c r="H9134" i="1"/>
  <c r="G9134" i="1"/>
  <c r="F9134" i="1"/>
  <c r="E9134" i="1"/>
  <c r="D9134" i="1"/>
  <c r="C9134" i="1"/>
  <c r="B9134" i="1"/>
  <c r="A9134" i="1"/>
  <c r="R9133" i="1"/>
  <c r="J9133" i="1"/>
  <c r="I9133" i="1"/>
  <c r="G9133" i="1"/>
  <c r="F9133" i="1"/>
  <c r="E9133" i="1"/>
  <c r="D9133" i="1"/>
  <c r="C9133" i="1"/>
  <c r="B9133" i="1"/>
  <c r="A9133" i="1"/>
  <c r="S9132" i="1"/>
  <c r="O9132" i="1"/>
  <c r="K9132" i="1"/>
  <c r="J9132" i="1"/>
  <c r="I9132" i="1"/>
  <c r="H9132" i="1"/>
  <c r="G9132" i="1"/>
  <c r="F9132" i="1"/>
  <c r="E9132" i="1"/>
  <c r="D9132" i="1"/>
  <c r="C9132" i="1"/>
  <c r="B9132" i="1"/>
  <c r="A9132" i="1"/>
  <c r="R9131" i="1"/>
  <c r="J9131" i="1"/>
  <c r="I9131" i="1"/>
  <c r="G9131" i="1"/>
  <c r="F9131" i="1"/>
  <c r="E9131" i="1"/>
  <c r="D9131" i="1"/>
  <c r="C9131" i="1"/>
  <c r="B9131" i="1"/>
  <c r="A9131" i="1"/>
  <c r="S9130" i="1"/>
  <c r="O9130" i="1"/>
  <c r="K9130" i="1"/>
  <c r="J9130" i="1"/>
  <c r="I9130" i="1"/>
  <c r="H9130" i="1"/>
  <c r="G9130" i="1"/>
  <c r="F9130" i="1"/>
  <c r="E9130" i="1"/>
  <c r="D9130" i="1"/>
  <c r="C9130" i="1"/>
  <c r="B9130" i="1"/>
  <c r="A9130" i="1"/>
  <c r="R9129" i="1"/>
  <c r="J9129" i="1"/>
  <c r="I9129" i="1"/>
  <c r="G9129" i="1"/>
  <c r="F9129" i="1"/>
  <c r="E9129" i="1"/>
  <c r="D9129" i="1"/>
  <c r="C9129" i="1"/>
  <c r="B9129" i="1"/>
  <c r="A9129" i="1"/>
  <c r="S9128" i="1"/>
  <c r="O9128" i="1"/>
  <c r="K9128" i="1"/>
  <c r="J9128" i="1"/>
  <c r="I9128" i="1"/>
  <c r="H9128" i="1"/>
  <c r="G9128" i="1"/>
  <c r="F9128" i="1"/>
  <c r="E9128" i="1"/>
  <c r="D9128" i="1"/>
  <c r="C9128" i="1"/>
  <c r="B9128" i="1"/>
  <c r="A9128" i="1"/>
  <c r="R9127" i="1"/>
  <c r="J9127" i="1"/>
  <c r="I9127" i="1"/>
  <c r="G9127" i="1"/>
  <c r="F9127" i="1"/>
  <c r="E9127" i="1"/>
  <c r="D9127" i="1"/>
  <c r="C9127" i="1"/>
  <c r="B9127" i="1"/>
  <c r="A9127" i="1"/>
  <c r="S9126" i="1"/>
  <c r="O9126" i="1"/>
  <c r="K9126" i="1"/>
  <c r="J9126" i="1"/>
  <c r="I9126" i="1"/>
  <c r="H9126" i="1"/>
  <c r="G9126" i="1"/>
  <c r="F9126" i="1"/>
  <c r="E9126" i="1"/>
  <c r="D9126" i="1"/>
  <c r="C9126" i="1"/>
  <c r="B9126" i="1"/>
  <c r="A9126" i="1"/>
  <c r="R9125" i="1"/>
  <c r="J9125" i="1"/>
  <c r="I9125" i="1"/>
  <c r="G9125" i="1"/>
  <c r="F9125" i="1"/>
  <c r="E9125" i="1"/>
  <c r="D9125" i="1"/>
  <c r="C9125" i="1"/>
  <c r="B9125" i="1"/>
  <c r="A9125" i="1"/>
  <c r="S9124" i="1"/>
  <c r="O9124" i="1"/>
  <c r="K9124" i="1"/>
  <c r="J9124" i="1"/>
  <c r="I9124" i="1"/>
  <c r="H9124" i="1"/>
  <c r="G9124" i="1"/>
  <c r="F9124" i="1"/>
  <c r="E9124" i="1"/>
  <c r="D9124" i="1"/>
  <c r="C9124" i="1"/>
  <c r="B9124" i="1"/>
  <c r="A9124" i="1"/>
  <c r="R9123" i="1"/>
  <c r="J9123" i="1"/>
  <c r="I9123" i="1"/>
  <c r="G9123" i="1"/>
  <c r="F9123" i="1"/>
  <c r="E9123" i="1"/>
  <c r="D9123" i="1"/>
  <c r="C9123" i="1"/>
  <c r="B9123" i="1"/>
  <c r="A9123" i="1"/>
  <c r="S9122" i="1"/>
  <c r="O9122" i="1"/>
  <c r="K9122" i="1"/>
  <c r="J9122" i="1"/>
  <c r="I9122" i="1"/>
  <c r="H9122" i="1"/>
  <c r="G9122" i="1"/>
  <c r="F9122" i="1"/>
  <c r="E9122" i="1"/>
  <c r="D9122" i="1"/>
  <c r="C9122" i="1"/>
  <c r="B9122" i="1"/>
  <c r="A9122" i="1"/>
  <c r="R9121" i="1"/>
  <c r="J9121" i="1"/>
  <c r="I9121" i="1"/>
  <c r="G9121" i="1"/>
  <c r="F9121" i="1"/>
  <c r="E9121" i="1"/>
  <c r="D9121" i="1"/>
  <c r="C9121" i="1"/>
  <c r="B9121" i="1"/>
  <c r="A9121" i="1"/>
  <c r="S9120" i="1"/>
  <c r="O9120" i="1"/>
  <c r="K9120" i="1"/>
  <c r="J9120" i="1"/>
  <c r="I9120" i="1"/>
  <c r="H9120" i="1"/>
  <c r="G9120" i="1"/>
  <c r="F9120" i="1"/>
  <c r="E9120" i="1"/>
  <c r="D9120" i="1"/>
  <c r="C9120" i="1"/>
  <c r="B9120" i="1"/>
  <c r="A9120" i="1"/>
  <c r="R9119" i="1"/>
  <c r="J9119" i="1"/>
  <c r="I9119" i="1"/>
  <c r="G9119" i="1"/>
  <c r="F9119" i="1"/>
  <c r="E9119" i="1"/>
  <c r="D9119" i="1"/>
  <c r="C9119" i="1"/>
  <c r="B9119" i="1"/>
  <c r="A9119" i="1"/>
  <c r="S9118" i="1"/>
  <c r="O9118" i="1"/>
  <c r="K9118" i="1"/>
  <c r="J9118" i="1"/>
  <c r="I9118" i="1"/>
  <c r="H9118" i="1"/>
  <c r="G9118" i="1"/>
  <c r="F9118" i="1"/>
  <c r="E9118" i="1"/>
  <c r="D9118" i="1"/>
  <c r="C9118" i="1"/>
  <c r="B9118" i="1"/>
  <c r="A9118" i="1"/>
  <c r="R9117" i="1"/>
  <c r="J9117" i="1"/>
  <c r="I9117" i="1"/>
  <c r="G9117" i="1"/>
  <c r="F9117" i="1"/>
  <c r="E9117" i="1"/>
  <c r="D9117" i="1"/>
  <c r="C9117" i="1"/>
  <c r="B9117" i="1"/>
  <c r="A9117" i="1"/>
  <c r="R9116" i="1"/>
  <c r="J9116" i="1"/>
  <c r="I9116" i="1"/>
  <c r="G9116" i="1"/>
  <c r="F9116" i="1"/>
  <c r="E9116" i="1"/>
  <c r="D9116" i="1"/>
  <c r="C9116" i="1"/>
  <c r="B9116" i="1"/>
  <c r="A9116" i="1"/>
  <c r="R9115" i="1"/>
  <c r="J9115" i="1"/>
  <c r="I9115" i="1"/>
  <c r="G9115" i="1"/>
  <c r="F9115" i="1"/>
  <c r="E9115" i="1"/>
  <c r="D9115" i="1"/>
  <c r="C9115" i="1"/>
  <c r="B9115" i="1"/>
  <c r="A9115" i="1"/>
  <c r="S9114" i="1"/>
  <c r="O9114" i="1"/>
  <c r="K9114" i="1"/>
  <c r="J9114" i="1"/>
  <c r="I9114" i="1"/>
  <c r="H9114" i="1"/>
  <c r="G9114" i="1"/>
  <c r="F9114" i="1"/>
  <c r="E9114" i="1"/>
  <c r="D9114" i="1"/>
  <c r="C9114" i="1"/>
  <c r="B9114" i="1"/>
  <c r="A9114" i="1"/>
  <c r="R9113" i="1"/>
  <c r="J9113" i="1"/>
  <c r="I9113" i="1"/>
  <c r="G9113" i="1"/>
  <c r="F9113" i="1"/>
  <c r="E9113" i="1"/>
  <c r="D9113" i="1"/>
  <c r="C9113" i="1"/>
  <c r="B9113" i="1"/>
  <c r="A9113" i="1"/>
  <c r="S9112" i="1"/>
  <c r="O9112" i="1"/>
  <c r="K9112" i="1"/>
  <c r="J9112" i="1"/>
  <c r="I9112" i="1"/>
  <c r="H9112" i="1"/>
  <c r="G9112" i="1"/>
  <c r="F9112" i="1"/>
  <c r="E9112" i="1"/>
  <c r="D9112" i="1"/>
  <c r="C9112" i="1"/>
  <c r="B9112" i="1"/>
  <c r="A9112" i="1"/>
  <c r="R9111" i="1"/>
  <c r="J9111" i="1"/>
  <c r="I9111" i="1"/>
  <c r="G9111" i="1"/>
  <c r="F9111" i="1"/>
  <c r="E9111" i="1"/>
  <c r="D9111" i="1"/>
  <c r="C9111" i="1"/>
  <c r="B9111" i="1"/>
  <c r="A9111" i="1"/>
  <c r="S9110" i="1"/>
  <c r="O9110" i="1"/>
  <c r="K9110" i="1"/>
  <c r="J9110" i="1"/>
  <c r="I9110" i="1"/>
  <c r="H9110" i="1"/>
  <c r="G9110" i="1"/>
  <c r="F9110" i="1"/>
  <c r="E9110" i="1"/>
  <c r="D9110" i="1"/>
  <c r="C9110" i="1"/>
  <c r="B9110" i="1"/>
  <c r="A9110" i="1"/>
  <c r="R9109" i="1"/>
  <c r="J9109" i="1"/>
  <c r="I9109" i="1"/>
  <c r="G9109" i="1"/>
  <c r="F9109" i="1"/>
  <c r="E9109" i="1"/>
  <c r="D9109" i="1"/>
  <c r="C9109" i="1"/>
  <c r="B9109" i="1"/>
  <c r="A9109" i="1"/>
  <c r="S9108" i="1"/>
  <c r="O9108" i="1"/>
  <c r="K9108" i="1"/>
  <c r="J9108" i="1"/>
  <c r="I9108" i="1"/>
  <c r="H9108" i="1"/>
  <c r="G9108" i="1"/>
  <c r="F9108" i="1"/>
  <c r="E9108" i="1"/>
  <c r="D9108" i="1"/>
  <c r="C9108" i="1"/>
  <c r="B9108" i="1"/>
  <c r="A9108" i="1"/>
  <c r="R9107" i="1"/>
  <c r="J9107" i="1"/>
  <c r="I9107" i="1"/>
  <c r="G9107" i="1"/>
  <c r="F9107" i="1"/>
  <c r="E9107" i="1"/>
  <c r="D9107" i="1"/>
  <c r="C9107" i="1"/>
  <c r="B9107" i="1"/>
  <c r="A9107" i="1"/>
  <c r="S9106" i="1"/>
  <c r="O9106" i="1"/>
  <c r="K9106" i="1"/>
  <c r="J9106" i="1"/>
  <c r="I9106" i="1"/>
  <c r="H9106" i="1"/>
  <c r="G9106" i="1"/>
  <c r="F9106" i="1"/>
  <c r="E9106" i="1"/>
  <c r="D9106" i="1"/>
  <c r="C9106" i="1"/>
  <c r="B9106" i="1"/>
  <c r="A9106" i="1"/>
  <c r="R9105" i="1"/>
  <c r="J9105" i="1"/>
  <c r="I9105" i="1"/>
  <c r="G9105" i="1"/>
  <c r="F9105" i="1"/>
  <c r="E9105" i="1"/>
  <c r="D9105" i="1"/>
  <c r="C9105" i="1"/>
  <c r="B9105" i="1"/>
  <c r="A9105" i="1"/>
  <c r="S9104" i="1"/>
  <c r="O9104" i="1"/>
  <c r="K9104" i="1"/>
  <c r="J9104" i="1"/>
  <c r="I9104" i="1"/>
  <c r="H9104" i="1"/>
  <c r="G9104" i="1"/>
  <c r="F9104" i="1"/>
  <c r="E9104" i="1"/>
  <c r="D9104" i="1"/>
  <c r="C9104" i="1"/>
  <c r="B9104" i="1"/>
  <c r="A9104" i="1"/>
  <c r="R9103" i="1"/>
  <c r="J9103" i="1"/>
  <c r="I9103" i="1"/>
  <c r="G9103" i="1"/>
  <c r="F9103" i="1"/>
  <c r="E9103" i="1"/>
  <c r="D9103" i="1"/>
  <c r="C9103" i="1"/>
  <c r="B9103" i="1"/>
  <c r="A9103" i="1"/>
  <c r="S9102" i="1"/>
  <c r="O9102" i="1"/>
  <c r="K9102" i="1"/>
  <c r="J9102" i="1"/>
  <c r="I9102" i="1"/>
  <c r="H9102" i="1"/>
  <c r="G9102" i="1"/>
  <c r="F9102" i="1"/>
  <c r="E9102" i="1"/>
  <c r="D9102" i="1"/>
  <c r="C9102" i="1"/>
  <c r="B9102" i="1"/>
  <c r="A9102" i="1"/>
  <c r="R9101" i="1"/>
  <c r="J9101" i="1"/>
  <c r="I9101" i="1"/>
  <c r="G9101" i="1"/>
  <c r="F9101" i="1"/>
  <c r="E9101" i="1"/>
  <c r="D9101" i="1"/>
  <c r="C9101" i="1"/>
  <c r="B9101" i="1"/>
  <c r="A9101" i="1"/>
  <c r="S9100" i="1"/>
  <c r="O9100" i="1"/>
  <c r="K9100" i="1"/>
  <c r="J9100" i="1"/>
  <c r="I9100" i="1"/>
  <c r="H9100" i="1"/>
  <c r="G9100" i="1"/>
  <c r="F9100" i="1"/>
  <c r="E9100" i="1"/>
  <c r="D9100" i="1"/>
  <c r="C9100" i="1"/>
  <c r="B9100" i="1"/>
  <c r="A9100" i="1"/>
  <c r="R9099" i="1"/>
  <c r="J9099" i="1"/>
  <c r="I9099" i="1"/>
  <c r="G9099" i="1"/>
  <c r="F9099" i="1"/>
  <c r="E9099" i="1"/>
  <c r="D9099" i="1"/>
  <c r="C9099" i="1"/>
  <c r="B9099" i="1"/>
  <c r="A9099" i="1"/>
  <c r="S9098" i="1"/>
  <c r="O9098" i="1"/>
  <c r="K9098" i="1"/>
  <c r="J9098" i="1"/>
  <c r="I9098" i="1"/>
  <c r="H9098" i="1"/>
  <c r="G9098" i="1"/>
  <c r="F9098" i="1"/>
  <c r="E9098" i="1"/>
  <c r="D9098" i="1"/>
  <c r="C9098" i="1"/>
  <c r="B9098" i="1"/>
  <c r="A9098" i="1"/>
  <c r="R9097" i="1"/>
  <c r="J9097" i="1"/>
  <c r="I9097" i="1"/>
  <c r="G9097" i="1"/>
  <c r="F9097" i="1"/>
  <c r="E9097" i="1"/>
  <c r="D9097" i="1"/>
  <c r="C9097" i="1"/>
  <c r="B9097" i="1"/>
  <c r="A9097" i="1"/>
  <c r="S9096" i="1"/>
  <c r="O9096" i="1"/>
  <c r="K9096" i="1"/>
  <c r="J9096" i="1"/>
  <c r="I9096" i="1"/>
  <c r="H9096" i="1"/>
  <c r="G9096" i="1"/>
  <c r="F9096" i="1"/>
  <c r="E9096" i="1"/>
  <c r="D9096" i="1"/>
  <c r="C9096" i="1"/>
  <c r="B9096" i="1"/>
  <c r="A9096" i="1"/>
  <c r="R9095" i="1"/>
  <c r="J9095" i="1"/>
  <c r="I9095" i="1"/>
  <c r="G9095" i="1"/>
  <c r="F9095" i="1"/>
  <c r="E9095" i="1"/>
  <c r="D9095" i="1"/>
  <c r="C9095" i="1"/>
  <c r="B9095" i="1"/>
  <c r="A9095" i="1"/>
  <c r="S9094" i="1"/>
  <c r="O9094" i="1"/>
  <c r="K9094" i="1"/>
  <c r="J9094" i="1"/>
  <c r="I9094" i="1"/>
  <c r="H9094" i="1"/>
  <c r="G9094" i="1"/>
  <c r="F9094" i="1"/>
  <c r="E9094" i="1"/>
  <c r="D9094" i="1"/>
  <c r="C9094" i="1"/>
  <c r="B9094" i="1"/>
  <c r="A9094" i="1"/>
  <c r="R9093" i="1"/>
  <c r="J9093" i="1"/>
  <c r="I9093" i="1"/>
  <c r="G9093" i="1"/>
  <c r="F9093" i="1"/>
  <c r="E9093" i="1"/>
  <c r="D9093" i="1"/>
  <c r="C9093" i="1"/>
  <c r="B9093" i="1"/>
  <c r="A9093" i="1"/>
  <c r="S9092" i="1"/>
  <c r="O9092" i="1"/>
  <c r="K9092" i="1"/>
  <c r="J9092" i="1"/>
  <c r="I9092" i="1"/>
  <c r="H9092" i="1"/>
  <c r="G9092" i="1"/>
  <c r="F9092" i="1"/>
  <c r="E9092" i="1"/>
  <c r="D9092" i="1"/>
  <c r="C9092" i="1"/>
  <c r="B9092" i="1"/>
  <c r="A9092" i="1"/>
  <c r="R9091" i="1"/>
  <c r="J9091" i="1"/>
  <c r="I9091" i="1"/>
  <c r="G9091" i="1"/>
  <c r="F9091" i="1"/>
  <c r="E9091" i="1"/>
  <c r="D9091" i="1"/>
  <c r="C9091" i="1"/>
  <c r="B9091" i="1"/>
  <c r="A9091" i="1"/>
  <c r="R9090" i="1"/>
  <c r="J9090" i="1"/>
  <c r="I9090" i="1"/>
  <c r="G9090" i="1"/>
  <c r="F9090" i="1"/>
  <c r="E9090" i="1"/>
  <c r="D9090" i="1"/>
  <c r="C9090" i="1"/>
  <c r="B9090" i="1"/>
  <c r="A9090" i="1"/>
  <c r="S9089" i="1"/>
  <c r="O9089" i="1"/>
  <c r="K9089" i="1"/>
  <c r="J9089" i="1"/>
  <c r="I9089" i="1"/>
  <c r="H9089" i="1"/>
  <c r="G9089" i="1"/>
  <c r="F9089" i="1"/>
  <c r="E9089" i="1"/>
  <c r="D9089" i="1"/>
  <c r="C9089" i="1"/>
  <c r="B9089" i="1"/>
  <c r="A9089" i="1"/>
  <c r="R9088" i="1"/>
  <c r="J9088" i="1"/>
  <c r="I9088" i="1"/>
  <c r="G9088" i="1"/>
  <c r="F9088" i="1"/>
  <c r="E9088" i="1"/>
  <c r="D9088" i="1"/>
  <c r="C9088" i="1"/>
  <c r="B9088" i="1"/>
  <c r="A9088" i="1"/>
  <c r="S9087" i="1"/>
  <c r="O9087" i="1"/>
  <c r="K9087" i="1"/>
  <c r="J9087" i="1"/>
  <c r="I9087" i="1"/>
  <c r="H9087" i="1"/>
  <c r="G9087" i="1"/>
  <c r="F9087" i="1"/>
  <c r="E9087" i="1"/>
  <c r="D9087" i="1"/>
  <c r="C9087" i="1"/>
  <c r="B9087" i="1"/>
  <c r="A9087" i="1"/>
  <c r="R9086" i="1"/>
  <c r="J9086" i="1"/>
  <c r="I9086" i="1"/>
  <c r="G9086" i="1"/>
  <c r="F9086" i="1"/>
  <c r="E9086" i="1"/>
  <c r="D9086" i="1"/>
  <c r="C9086" i="1"/>
  <c r="B9086" i="1"/>
  <c r="A9086" i="1"/>
  <c r="S9085" i="1"/>
  <c r="O9085" i="1"/>
  <c r="K9085" i="1"/>
  <c r="J9085" i="1"/>
  <c r="I9085" i="1"/>
  <c r="H9085" i="1"/>
  <c r="G9085" i="1"/>
  <c r="F9085" i="1"/>
  <c r="E9085" i="1"/>
  <c r="D9085" i="1"/>
  <c r="C9085" i="1"/>
  <c r="B9085" i="1"/>
  <c r="A9085" i="1"/>
  <c r="R9084" i="1"/>
  <c r="J9084" i="1"/>
  <c r="I9084" i="1"/>
  <c r="G9084" i="1"/>
  <c r="F9084" i="1"/>
  <c r="E9084" i="1"/>
  <c r="D9084" i="1"/>
  <c r="C9084" i="1"/>
  <c r="B9084" i="1"/>
  <c r="A9084" i="1"/>
  <c r="S9083" i="1"/>
  <c r="O9083" i="1"/>
  <c r="K9083" i="1"/>
  <c r="J9083" i="1"/>
  <c r="I9083" i="1"/>
  <c r="H9083" i="1"/>
  <c r="G9083" i="1"/>
  <c r="F9083" i="1"/>
  <c r="E9083" i="1"/>
  <c r="D9083" i="1"/>
  <c r="C9083" i="1"/>
  <c r="B9083" i="1"/>
  <c r="A9083" i="1"/>
  <c r="R9082" i="1"/>
  <c r="J9082" i="1"/>
  <c r="I9082" i="1"/>
  <c r="G9082" i="1"/>
  <c r="F9082" i="1"/>
  <c r="E9082" i="1"/>
  <c r="D9082" i="1"/>
  <c r="C9082" i="1"/>
  <c r="B9082" i="1"/>
  <c r="A9082" i="1"/>
  <c r="R9081" i="1"/>
  <c r="J9081" i="1"/>
  <c r="I9081" i="1"/>
  <c r="G9081" i="1"/>
  <c r="F9081" i="1"/>
  <c r="E9081" i="1"/>
  <c r="D9081" i="1"/>
  <c r="C9081" i="1"/>
  <c r="B9081" i="1"/>
  <c r="A9081" i="1"/>
  <c r="S9080" i="1"/>
  <c r="O9080" i="1"/>
  <c r="K9080" i="1"/>
  <c r="J9080" i="1"/>
  <c r="I9080" i="1"/>
  <c r="H9080" i="1"/>
  <c r="G9080" i="1"/>
  <c r="F9080" i="1"/>
  <c r="E9080" i="1"/>
  <c r="D9080" i="1"/>
  <c r="C9080" i="1"/>
  <c r="B9080" i="1"/>
  <c r="A9080" i="1"/>
  <c r="R9079" i="1"/>
  <c r="J9079" i="1"/>
  <c r="I9079" i="1"/>
  <c r="G9079" i="1"/>
  <c r="F9079" i="1"/>
  <c r="E9079" i="1"/>
  <c r="D9079" i="1"/>
  <c r="C9079" i="1"/>
  <c r="B9079" i="1"/>
  <c r="A9079" i="1"/>
  <c r="S9078" i="1"/>
  <c r="O9078" i="1"/>
  <c r="K9078" i="1"/>
  <c r="J9078" i="1"/>
  <c r="I9078" i="1"/>
  <c r="H9078" i="1"/>
  <c r="G9078" i="1"/>
  <c r="F9078" i="1"/>
  <c r="E9078" i="1"/>
  <c r="D9078" i="1"/>
  <c r="C9078" i="1"/>
  <c r="B9078" i="1"/>
  <c r="A9078" i="1"/>
  <c r="R9077" i="1"/>
  <c r="J9077" i="1"/>
  <c r="I9077" i="1"/>
  <c r="G9077" i="1"/>
  <c r="F9077" i="1"/>
  <c r="E9077" i="1"/>
  <c r="D9077" i="1"/>
  <c r="C9077" i="1"/>
  <c r="B9077" i="1"/>
  <c r="A9077" i="1"/>
  <c r="S9076" i="1"/>
  <c r="O9076" i="1"/>
  <c r="K9076" i="1"/>
  <c r="J9076" i="1"/>
  <c r="I9076" i="1"/>
  <c r="H9076" i="1"/>
  <c r="G9076" i="1"/>
  <c r="F9076" i="1"/>
  <c r="E9076" i="1"/>
  <c r="D9076" i="1"/>
  <c r="C9076" i="1"/>
  <c r="B9076" i="1"/>
  <c r="A9076" i="1"/>
  <c r="R9075" i="1"/>
  <c r="J9075" i="1"/>
  <c r="I9075" i="1"/>
  <c r="G9075" i="1"/>
  <c r="F9075" i="1"/>
  <c r="E9075" i="1"/>
  <c r="D9075" i="1"/>
  <c r="C9075" i="1"/>
  <c r="B9075" i="1"/>
  <c r="A9075" i="1"/>
  <c r="R9074" i="1"/>
  <c r="J9074" i="1"/>
  <c r="I9074" i="1"/>
  <c r="G9074" i="1"/>
  <c r="F9074" i="1"/>
  <c r="E9074" i="1"/>
  <c r="D9074" i="1"/>
  <c r="C9074" i="1"/>
  <c r="B9074" i="1"/>
  <c r="A9074" i="1"/>
  <c r="S9073" i="1"/>
  <c r="O9073" i="1"/>
  <c r="K9073" i="1"/>
  <c r="J9073" i="1"/>
  <c r="I9073" i="1"/>
  <c r="H9073" i="1"/>
  <c r="G9073" i="1"/>
  <c r="F9073" i="1"/>
  <c r="E9073" i="1"/>
  <c r="D9073" i="1"/>
  <c r="C9073" i="1"/>
  <c r="B9073" i="1"/>
  <c r="A9073" i="1"/>
  <c r="R9072" i="1"/>
  <c r="J9072" i="1"/>
  <c r="I9072" i="1"/>
  <c r="G9072" i="1"/>
  <c r="F9072" i="1"/>
  <c r="E9072" i="1"/>
  <c r="D9072" i="1"/>
  <c r="C9072" i="1"/>
  <c r="B9072" i="1"/>
  <c r="A9072" i="1"/>
  <c r="S9071" i="1"/>
  <c r="O9071" i="1"/>
  <c r="K9071" i="1"/>
  <c r="J9071" i="1"/>
  <c r="I9071" i="1"/>
  <c r="H9071" i="1"/>
  <c r="G9071" i="1"/>
  <c r="F9071" i="1"/>
  <c r="E9071" i="1"/>
  <c r="D9071" i="1"/>
  <c r="C9071" i="1"/>
  <c r="B9071" i="1"/>
  <c r="A9071" i="1"/>
  <c r="R9070" i="1"/>
  <c r="J9070" i="1"/>
  <c r="I9070" i="1"/>
  <c r="G9070" i="1"/>
  <c r="F9070" i="1"/>
  <c r="E9070" i="1"/>
  <c r="D9070" i="1"/>
  <c r="C9070" i="1"/>
  <c r="B9070" i="1"/>
  <c r="A9070" i="1"/>
  <c r="S9069" i="1"/>
  <c r="O9069" i="1"/>
  <c r="K9069" i="1"/>
  <c r="J9069" i="1"/>
  <c r="I9069" i="1"/>
  <c r="H9069" i="1"/>
  <c r="G9069" i="1"/>
  <c r="F9069" i="1"/>
  <c r="E9069" i="1"/>
  <c r="D9069" i="1"/>
  <c r="C9069" i="1"/>
  <c r="B9069" i="1"/>
  <c r="A9069" i="1"/>
  <c r="R9068" i="1"/>
  <c r="J9068" i="1"/>
  <c r="I9068" i="1"/>
  <c r="G9068" i="1"/>
  <c r="F9068" i="1"/>
  <c r="E9068" i="1"/>
  <c r="D9068" i="1"/>
  <c r="C9068" i="1"/>
  <c r="B9068" i="1"/>
  <c r="A9068" i="1"/>
  <c r="S9067" i="1"/>
  <c r="O9067" i="1"/>
  <c r="K9067" i="1"/>
  <c r="J9067" i="1"/>
  <c r="I9067" i="1"/>
  <c r="H9067" i="1"/>
  <c r="G9067" i="1"/>
  <c r="F9067" i="1"/>
  <c r="E9067" i="1"/>
  <c r="D9067" i="1"/>
  <c r="C9067" i="1"/>
  <c r="B9067" i="1"/>
  <c r="A9067" i="1"/>
  <c r="R9066" i="1"/>
  <c r="J9066" i="1"/>
  <c r="I9066" i="1"/>
  <c r="G9066" i="1"/>
  <c r="F9066" i="1"/>
  <c r="E9066" i="1"/>
  <c r="D9066" i="1"/>
  <c r="C9066" i="1"/>
  <c r="B9066" i="1"/>
  <c r="A9066" i="1"/>
  <c r="S9065" i="1"/>
  <c r="O9065" i="1"/>
  <c r="K9065" i="1"/>
  <c r="J9065" i="1"/>
  <c r="I9065" i="1"/>
  <c r="H9065" i="1"/>
  <c r="G9065" i="1"/>
  <c r="F9065" i="1"/>
  <c r="E9065" i="1"/>
  <c r="D9065" i="1"/>
  <c r="C9065" i="1"/>
  <c r="B9065" i="1"/>
  <c r="A9065" i="1"/>
  <c r="R9064" i="1"/>
  <c r="J9064" i="1"/>
  <c r="I9064" i="1"/>
  <c r="G9064" i="1"/>
  <c r="F9064" i="1"/>
  <c r="E9064" i="1"/>
  <c r="D9064" i="1"/>
  <c r="C9064" i="1"/>
  <c r="B9064" i="1"/>
  <c r="A9064" i="1"/>
  <c r="S9063" i="1"/>
  <c r="O9063" i="1"/>
  <c r="K9063" i="1"/>
  <c r="J9063" i="1"/>
  <c r="I9063" i="1"/>
  <c r="H9063" i="1"/>
  <c r="G9063" i="1"/>
  <c r="F9063" i="1"/>
  <c r="E9063" i="1"/>
  <c r="D9063" i="1"/>
  <c r="C9063" i="1"/>
  <c r="B9063" i="1"/>
  <c r="A9063" i="1"/>
  <c r="R9062" i="1"/>
  <c r="J9062" i="1"/>
  <c r="I9062" i="1"/>
  <c r="G9062" i="1"/>
  <c r="F9062" i="1"/>
  <c r="E9062" i="1"/>
  <c r="D9062" i="1"/>
  <c r="C9062" i="1"/>
  <c r="B9062" i="1"/>
  <c r="A9062" i="1"/>
  <c r="S9061" i="1"/>
  <c r="O9061" i="1"/>
  <c r="K9061" i="1"/>
  <c r="J9061" i="1"/>
  <c r="I9061" i="1"/>
  <c r="H9061" i="1"/>
  <c r="G9061" i="1"/>
  <c r="F9061" i="1"/>
  <c r="E9061" i="1"/>
  <c r="D9061" i="1"/>
  <c r="C9061" i="1"/>
  <c r="B9061" i="1"/>
  <c r="A9061" i="1"/>
  <c r="R9060" i="1"/>
  <c r="J9060" i="1"/>
  <c r="I9060" i="1"/>
  <c r="G9060" i="1"/>
  <c r="F9060" i="1"/>
  <c r="E9060" i="1"/>
  <c r="D9060" i="1"/>
  <c r="C9060" i="1"/>
  <c r="B9060" i="1"/>
  <c r="A9060" i="1"/>
  <c r="R9059" i="1"/>
  <c r="J9059" i="1"/>
  <c r="I9059" i="1"/>
  <c r="G9059" i="1"/>
  <c r="F9059" i="1"/>
  <c r="E9059" i="1"/>
  <c r="D9059" i="1"/>
  <c r="C9059" i="1"/>
  <c r="B9059" i="1"/>
  <c r="A9059" i="1"/>
  <c r="R9058" i="1"/>
  <c r="J9058" i="1"/>
  <c r="I9058" i="1"/>
  <c r="G9058" i="1"/>
  <c r="F9058" i="1"/>
  <c r="E9058" i="1"/>
  <c r="D9058" i="1"/>
  <c r="C9058" i="1"/>
  <c r="B9058" i="1"/>
  <c r="A9058" i="1"/>
  <c r="S9057" i="1"/>
  <c r="O9057" i="1"/>
  <c r="K9057" i="1"/>
  <c r="J9057" i="1"/>
  <c r="I9057" i="1"/>
  <c r="H9057" i="1"/>
  <c r="G9057" i="1"/>
  <c r="F9057" i="1"/>
  <c r="E9057" i="1"/>
  <c r="D9057" i="1"/>
  <c r="C9057" i="1"/>
  <c r="B9057" i="1"/>
  <c r="A9057" i="1"/>
  <c r="R9056" i="1"/>
  <c r="J9056" i="1"/>
  <c r="I9056" i="1"/>
  <c r="G9056" i="1"/>
  <c r="F9056" i="1"/>
  <c r="E9056" i="1"/>
  <c r="D9056" i="1"/>
  <c r="C9056" i="1"/>
  <c r="B9056" i="1"/>
  <c r="A9056" i="1"/>
  <c r="S9055" i="1"/>
  <c r="O9055" i="1"/>
  <c r="K9055" i="1"/>
  <c r="J9055" i="1"/>
  <c r="I9055" i="1"/>
  <c r="H9055" i="1"/>
  <c r="G9055" i="1"/>
  <c r="F9055" i="1"/>
  <c r="E9055" i="1"/>
  <c r="D9055" i="1"/>
  <c r="C9055" i="1"/>
  <c r="B9055" i="1"/>
  <c r="A9055" i="1"/>
  <c r="R9054" i="1"/>
  <c r="J9054" i="1"/>
  <c r="I9054" i="1"/>
  <c r="G9054" i="1"/>
  <c r="F9054" i="1"/>
  <c r="E9054" i="1"/>
  <c r="D9054" i="1"/>
  <c r="C9054" i="1"/>
  <c r="B9054" i="1"/>
  <c r="A9054" i="1"/>
  <c r="R9053" i="1"/>
  <c r="J9053" i="1"/>
  <c r="I9053" i="1"/>
  <c r="G9053" i="1"/>
  <c r="F9053" i="1"/>
  <c r="E9053" i="1"/>
  <c r="D9053" i="1"/>
  <c r="C9053" i="1"/>
  <c r="B9053" i="1"/>
  <c r="A9053" i="1"/>
  <c r="S9052" i="1"/>
  <c r="O9052" i="1"/>
  <c r="K9052" i="1"/>
  <c r="J9052" i="1"/>
  <c r="I9052" i="1"/>
  <c r="H9052" i="1"/>
  <c r="G9052" i="1"/>
  <c r="F9052" i="1"/>
  <c r="E9052" i="1"/>
  <c r="D9052" i="1"/>
  <c r="C9052" i="1"/>
  <c r="B9052" i="1"/>
  <c r="A9052" i="1"/>
  <c r="R9051" i="1"/>
  <c r="J9051" i="1"/>
  <c r="I9051" i="1"/>
  <c r="G9051" i="1"/>
  <c r="F9051" i="1"/>
  <c r="E9051" i="1"/>
  <c r="D9051" i="1"/>
  <c r="C9051" i="1"/>
  <c r="B9051" i="1"/>
  <c r="A9051" i="1"/>
  <c r="S9050" i="1"/>
  <c r="O9050" i="1"/>
  <c r="K9050" i="1"/>
  <c r="J9050" i="1"/>
  <c r="I9050" i="1"/>
  <c r="H9050" i="1"/>
  <c r="G9050" i="1"/>
  <c r="F9050" i="1"/>
  <c r="E9050" i="1"/>
  <c r="D9050" i="1"/>
  <c r="C9050" i="1"/>
  <c r="B9050" i="1"/>
  <c r="A9050" i="1"/>
  <c r="R9049" i="1"/>
  <c r="J9049" i="1"/>
  <c r="I9049" i="1"/>
  <c r="G9049" i="1"/>
  <c r="F9049" i="1"/>
  <c r="E9049" i="1"/>
  <c r="D9049" i="1"/>
  <c r="C9049" i="1"/>
  <c r="B9049" i="1"/>
  <c r="A9049" i="1"/>
  <c r="S9048" i="1"/>
  <c r="O9048" i="1"/>
  <c r="K9048" i="1"/>
  <c r="J9048" i="1"/>
  <c r="I9048" i="1"/>
  <c r="H9048" i="1"/>
  <c r="G9048" i="1"/>
  <c r="F9048" i="1"/>
  <c r="E9048" i="1"/>
  <c r="D9048" i="1"/>
  <c r="C9048" i="1"/>
  <c r="B9048" i="1"/>
  <c r="A9048" i="1"/>
  <c r="R9047" i="1"/>
  <c r="J9047" i="1"/>
  <c r="I9047" i="1"/>
  <c r="G9047" i="1"/>
  <c r="F9047" i="1"/>
  <c r="E9047" i="1"/>
  <c r="D9047" i="1"/>
  <c r="C9047" i="1"/>
  <c r="B9047" i="1"/>
  <c r="A9047" i="1"/>
  <c r="S9046" i="1"/>
  <c r="O9046" i="1"/>
  <c r="K9046" i="1"/>
  <c r="J9046" i="1"/>
  <c r="I9046" i="1"/>
  <c r="H9046" i="1"/>
  <c r="G9046" i="1"/>
  <c r="F9046" i="1"/>
  <c r="E9046" i="1"/>
  <c r="D9046" i="1"/>
  <c r="C9046" i="1"/>
  <c r="B9046" i="1"/>
  <c r="A9046" i="1"/>
  <c r="R9045" i="1"/>
  <c r="J9045" i="1"/>
  <c r="I9045" i="1"/>
  <c r="G9045" i="1"/>
  <c r="F9045" i="1"/>
  <c r="E9045" i="1"/>
  <c r="D9045" i="1"/>
  <c r="C9045" i="1"/>
  <c r="B9045" i="1"/>
  <c r="A9045" i="1"/>
  <c r="S9044" i="1"/>
  <c r="O9044" i="1"/>
  <c r="K9044" i="1"/>
  <c r="J9044" i="1"/>
  <c r="I9044" i="1"/>
  <c r="H9044" i="1"/>
  <c r="G9044" i="1"/>
  <c r="F9044" i="1"/>
  <c r="E9044" i="1"/>
  <c r="D9044" i="1"/>
  <c r="C9044" i="1"/>
  <c r="B9044" i="1"/>
  <c r="A9044" i="1"/>
  <c r="R9043" i="1"/>
  <c r="J9043" i="1"/>
  <c r="I9043" i="1"/>
  <c r="G9043" i="1"/>
  <c r="F9043" i="1"/>
  <c r="E9043" i="1"/>
  <c r="D9043" i="1"/>
  <c r="C9043" i="1"/>
  <c r="B9043" i="1"/>
  <c r="A9043" i="1"/>
  <c r="S9042" i="1"/>
  <c r="O9042" i="1"/>
  <c r="K9042" i="1"/>
  <c r="J9042" i="1"/>
  <c r="I9042" i="1"/>
  <c r="H9042" i="1"/>
  <c r="G9042" i="1"/>
  <c r="F9042" i="1"/>
  <c r="E9042" i="1"/>
  <c r="D9042" i="1"/>
  <c r="C9042" i="1"/>
  <c r="B9042" i="1"/>
  <c r="A9042" i="1"/>
  <c r="R9041" i="1"/>
  <c r="J9041" i="1"/>
  <c r="I9041" i="1"/>
  <c r="G9041" i="1"/>
  <c r="F9041" i="1"/>
  <c r="E9041" i="1"/>
  <c r="D9041" i="1"/>
  <c r="C9041" i="1"/>
  <c r="B9041" i="1"/>
  <c r="A9041" i="1"/>
  <c r="S9040" i="1"/>
  <c r="O9040" i="1"/>
  <c r="K9040" i="1"/>
  <c r="J9040" i="1"/>
  <c r="I9040" i="1"/>
  <c r="H9040" i="1"/>
  <c r="G9040" i="1"/>
  <c r="F9040" i="1"/>
  <c r="E9040" i="1"/>
  <c r="D9040" i="1"/>
  <c r="C9040" i="1"/>
  <c r="B9040" i="1"/>
  <c r="A9040" i="1"/>
  <c r="R9039" i="1"/>
  <c r="J9039" i="1"/>
  <c r="I9039" i="1"/>
  <c r="G9039" i="1"/>
  <c r="F9039" i="1"/>
  <c r="E9039" i="1"/>
  <c r="D9039" i="1"/>
  <c r="C9039" i="1"/>
  <c r="B9039" i="1"/>
  <c r="A9039" i="1"/>
  <c r="S9038" i="1"/>
  <c r="O9038" i="1"/>
  <c r="K9038" i="1"/>
  <c r="J9038" i="1"/>
  <c r="I9038" i="1"/>
  <c r="H9038" i="1"/>
  <c r="G9038" i="1"/>
  <c r="F9038" i="1"/>
  <c r="E9038" i="1"/>
  <c r="D9038" i="1"/>
  <c r="C9038" i="1"/>
  <c r="B9038" i="1"/>
  <c r="A9038" i="1"/>
  <c r="R9037" i="1"/>
  <c r="J9037" i="1"/>
  <c r="I9037" i="1"/>
  <c r="G9037" i="1"/>
  <c r="F9037" i="1"/>
  <c r="E9037" i="1"/>
  <c r="D9037" i="1"/>
  <c r="C9037" i="1"/>
  <c r="B9037" i="1"/>
  <c r="A9037" i="1"/>
  <c r="S9036" i="1"/>
  <c r="O9036" i="1"/>
  <c r="K9036" i="1"/>
  <c r="J9036" i="1"/>
  <c r="I9036" i="1"/>
  <c r="H9036" i="1"/>
  <c r="G9036" i="1"/>
  <c r="F9036" i="1"/>
  <c r="E9036" i="1"/>
  <c r="D9036" i="1"/>
  <c r="C9036" i="1"/>
  <c r="B9036" i="1"/>
  <c r="A9036" i="1"/>
  <c r="R9035" i="1"/>
  <c r="J9035" i="1"/>
  <c r="I9035" i="1"/>
  <c r="G9035" i="1"/>
  <c r="F9035" i="1"/>
  <c r="E9035" i="1"/>
  <c r="D9035" i="1"/>
  <c r="C9035" i="1"/>
  <c r="B9035" i="1"/>
  <c r="A9035" i="1"/>
  <c r="S9034" i="1"/>
  <c r="O9034" i="1"/>
  <c r="K9034" i="1"/>
  <c r="J9034" i="1"/>
  <c r="I9034" i="1"/>
  <c r="H9034" i="1"/>
  <c r="G9034" i="1"/>
  <c r="F9034" i="1"/>
  <c r="E9034" i="1"/>
  <c r="D9034" i="1"/>
  <c r="C9034" i="1"/>
  <c r="B9034" i="1"/>
  <c r="A9034" i="1"/>
  <c r="R9033" i="1"/>
  <c r="J9033" i="1"/>
  <c r="I9033" i="1"/>
  <c r="G9033" i="1"/>
  <c r="F9033" i="1"/>
  <c r="E9033" i="1"/>
  <c r="D9033" i="1"/>
  <c r="C9033" i="1"/>
  <c r="B9033" i="1"/>
  <c r="A9033" i="1"/>
  <c r="S9032" i="1"/>
  <c r="O9032" i="1"/>
  <c r="K9032" i="1"/>
  <c r="J9032" i="1"/>
  <c r="I9032" i="1"/>
  <c r="H9032" i="1"/>
  <c r="G9032" i="1"/>
  <c r="F9032" i="1"/>
  <c r="E9032" i="1"/>
  <c r="D9032" i="1"/>
  <c r="C9032" i="1"/>
  <c r="B9032" i="1"/>
  <c r="A9032" i="1"/>
  <c r="R9031" i="1"/>
  <c r="J9031" i="1"/>
  <c r="I9031" i="1"/>
  <c r="G9031" i="1"/>
  <c r="F9031" i="1"/>
  <c r="E9031" i="1"/>
  <c r="D9031" i="1"/>
  <c r="C9031" i="1"/>
  <c r="B9031" i="1"/>
  <c r="A9031" i="1"/>
  <c r="S9030" i="1"/>
  <c r="O9030" i="1"/>
  <c r="K9030" i="1"/>
  <c r="J9030" i="1"/>
  <c r="I9030" i="1"/>
  <c r="H9030" i="1"/>
  <c r="G9030" i="1"/>
  <c r="F9030" i="1"/>
  <c r="E9030" i="1"/>
  <c r="D9030" i="1"/>
  <c r="C9030" i="1"/>
  <c r="B9030" i="1"/>
  <c r="A9030" i="1"/>
  <c r="R9029" i="1"/>
  <c r="J9029" i="1"/>
  <c r="I9029" i="1"/>
  <c r="G9029" i="1"/>
  <c r="F9029" i="1"/>
  <c r="E9029" i="1"/>
  <c r="D9029" i="1"/>
  <c r="C9029" i="1"/>
  <c r="B9029" i="1"/>
  <c r="A9029" i="1"/>
  <c r="S9028" i="1"/>
  <c r="O9028" i="1"/>
  <c r="K9028" i="1"/>
  <c r="J9028" i="1"/>
  <c r="I9028" i="1"/>
  <c r="H9028" i="1"/>
  <c r="G9028" i="1"/>
  <c r="F9028" i="1"/>
  <c r="E9028" i="1"/>
  <c r="D9028" i="1"/>
  <c r="C9028" i="1"/>
  <c r="B9028" i="1"/>
  <c r="A9028" i="1"/>
  <c r="R9027" i="1"/>
  <c r="J9027" i="1"/>
  <c r="I9027" i="1"/>
  <c r="G9027" i="1"/>
  <c r="F9027" i="1"/>
  <c r="E9027" i="1"/>
  <c r="D9027" i="1"/>
  <c r="C9027" i="1"/>
  <c r="B9027" i="1"/>
  <c r="A9027" i="1"/>
  <c r="S9026" i="1"/>
  <c r="O9026" i="1"/>
  <c r="K9026" i="1"/>
  <c r="J9026" i="1"/>
  <c r="I9026" i="1"/>
  <c r="H9026" i="1"/>
  <c r="G9026" i="1"/>
  <c r="F9026" i="1"/>
  <c r="E9026" i="1"/>
  <c r="D9026" i="1"/>
  <c r="C9026" i="1"/>
  <c r="B9026" i="1"/>
  <c r="A9026" i="1"/>
  <c r="R9025" i="1"/>
  <c r="J9025" i="1"/>
  <c r="I9025" i="1"/>
  <c r="G9025" i="1"/>
  <c r="F9025" i="1"/>
  <c r="E9025" i="1"/>
  <c r="D9025" i="1"/>
  <c r="C9025" i="1"/>
  <c r="B9025" i="1"/>
  <c r="A9025" i="1"/>
  <c r="S9024" i="1"/>
  <c r="O9024" i="1"/>
  <c r="K9024" i="1"/>
  <c r="J9024" i="1"/>
  <c r="I9024" i="1"/>
  <c r="H9024" i="1"/>
  <c r="G9024" i="1"/>
  <c r="F9024" i="1"/>
  <c r="E9024" i="1"/>
  <c r="D9024" i="1"/>
  <c r="C9024" i="1"/>
  <c r="B9024" i="1"/>
  <c r="A9024" i="1"/>
  <c r="R9023" i="1"/>
  <c r="J9023" i="1"/>
  <c r="I9023" i="1"/>
  <c r="G9023" i="1"/>
  <c r="F9023" i="1"/>
  <c r="E9023" i="1"/>
  <c r="D9023" i="1"/>
  <c r="C9023" i="1"/>
  <c r="B9023" i="1"/>
  <c r="A9023" i="1"/>
  <c r="S9022" i="1"/>
  <c r="O9022" i="1"/>
  <c r="K9022" i="1"/>
  <c r="J9022" i="1"/>
  <c r="I9022" i="1"/>
  <c r="H9022" i="1"/>
  <c r="G9022" i="1"/>
  <c r="F9022" i="1"/>
  <c r="E9022" i="1"/>
  <c r="D9022" i="1"/>
  <c r="C9022" i="1"/>
  <c r="B9022" i="1"/>
  <c r="A9022" i="1"/>
  <c r="R9021" i="1"/>
  <c r="J9021" i="1"/>
  <c r="I9021" i="1"/>
  <c r="G9021" i="1"/>
  <c r="F9021" i="1"/>
  <c r="E9021" i="1"/>
  <c r="D9021" i="1"/>
  <c r="C9021" i="1"/>
  <c r="B9021" i="1"/>
  <c r="A9021" i="1"/>
  <c r="R9020" i="1"/>
  <c r="J9020" i="1"/>
  <c r="I9020" i="1"/>
  <c r="G9020" i="1"/>
  <c r="F9020" i="1"/>
  <c r="E9020" i="1"/>
  <c r="D9020" i="1"/>
  <c r="C9020" i="1"/>
  <c r="B9020" i="1"/>
  <c r="A9020" i="1"/>
  <c r="S9019" i="1"/>
  <c r="O9019" i="1"/>
  <c r="K9019" i="1"/>
  <c r="J9019" i="1"/>
  <c r="I9019" i="1"/>
  <c r="H9019" i="1"/>
  <c r="G9019" i="1"/>
  <c r="F9019" i="1"/>
  <c r="E9019" i="1"/>
  <c r="D9019" i="1"/>
  <c r="C9019" i="1"/>
  <c r="B9019" i="1"/>
  <c r="A9019" i="1"/>
  <c r="R9018" i="1"/>
  <c r="J9018" i="1"/>
  <c r="I9018" i="1"/>
  <c r="G9018" i="1"/>
  <c r="F9018" i="1"/>
  <c r="E9018" i="1"/>
  <c r="D9018" i="1"/>
  <c r="C9018" i="1"/>
  <c r="B9018" i="1"/>
  <c r="A9018" i="1"/>
  <c r="S9017" i="1"/>
  <c r="O9017" i="1"/>
  <c r="K9017" i="1"/>
  <c r="J9017" i="1"/>
  <c r="I9017" i="1"/>
  <c r="H9017" i="1"/>
  <c r="G9017" i="1"/>
  <c r="F9017" i="1"/>
  <c r="E9017" i="1"/>
  <c r="D9017" i="1"/>
  <c r="C9017" i="1"/>
  <c r="B9017" i="1"/>
  <c r="A9017" i="1"/>
  <c r="R9016" i="1"/>
  <c r="J9016" i="1"/>
  <c r="I9016" i="1"/>
  <c r="G9016" i="1"/>
  <c r="F9016" i="1"/>
  <c r="E9016" i="1"/>
  <c r="D9016" i="1"/>
  <c r="C9016" i="1"/>
  <c r="B9016" i="1"/>
  <c r="A9016" i="1"/>
  <c r="S9015" i="1"/>
  <c r="O9015" i="1"/>
  <c r="K9015" i="1"/>
  <c r="J9015" i="1"/>
  <c r="I9015" i="1"/>
  <c r="H9015" i="1"/>
  <c r="G9015" i="1"/>
  <c r="F9015" i="1"/>
  <c r="E9015" i="1"/>
  <c r="D9015" i="1"/>
  <c r="C9015" i="1"/>
  <c r="B9015" i="1"/>
  <c r="A9015" i="1"/>
  <c r="R9014" i="1"/>
  <c r="J9014" i="1"/>
  <c r="I9014" i="1"/>
  <c r="G9014" i="1"/>
  <c r="F9014" i="1"/>
  <c r="E9014" i="1"/>
  <c r="D9014" i="1"/>
  <c r="C9014" i="1"/>
  <c r="B9014" i="1"/>
  <c r="A9014" i="1"/>
  <c r="S9013" i="1"/>
  <c r="O9013" i="1"/>
  <c r="K9013" i="1"/>
  <c r="J9013" i="1"/>
  <c r="I9013" i="1"/>
  <c r="H9013" i="1"/>
  <c r="G9013" i="1"/>
  <c r="F9013" i="1"/>
  <c r="E9013" i="1"/>
  <c r="D9013" i="1"/>
  <c r="C9013" i="1"/>
  <c r="B9013" i="1"/>
  <c r="A9013" i="1"/>
  <c r="R9012" i="1"/>
  <c r="J9012" i="1"/>
  <c r="I9012" i="1"/>
  <c r="G9012" i="1"/>
  <c r="F9012" i="1"/>
  <c r="E9012" i="1"/>
  <c r="D9012" i="1"/>
  <c r="C9012" i="1"/>
  <c r="B9012" i="1"/>
  <c r="A9012" i="1"/>
  <c r="S9011" i="1"/>
  <c r="O9011" i="1"/>
  <c r="K9011" i="1"/>
  <c r="J9011" i="1"/>
  <c r="I9011" i="1"/>
  <c r="H9011" i="1"/>
  <c r="G9011" i="1"/>
  <c r="F9011" i="1"/>
  <c r="E9011" i="1"/>
  <c r="D9011" i="1"/>
  <c r="C9011" i="1"/>
  <c r="B9011" i="1"/>
  <c r="A9011" i="1"/>
  <c r="R9010" i="1"/>
  <c r="J9010" i="1"/>
  <c r="I9010" i="1"/>
  <c r="G9010" i="1"/>
  <c r="F9010" i="1"/>
  <c r="E9010" i="1"/>
  <c r="D9010" i="1"/>
  <c r="C9010" i="1"/>
  <c r="B9010" i="1"/>
  <c r="A9010" i="1"/>
  <c r="S9009" i="1"/>
  <c r="O9009" i="1"/>
  <c r="K9009" i="1"/>
  <c r="J9009" i="1"/>
  <c r="I9009" i="1"/>
  <c r="H9009" i="1"/>
  <c r="G9009" i="1"/>
  <c r="F9009" i="1"/>
  <c r="E9009" i="1"/>
  <c r="D9009" i="1"/>
  <c r="C9009" i="1"/>
  <c r="B9009" i="1"/>
  <c r="A9009" i="1"/>
  <c r="R9008" i="1"/>
  <c r="J9008" i="1"/>
  <c r="I9008" i="1"/>
  <c r="G9008" i="1"/>
  <c r="F9008" i="1"/>
  <c r="E9008" i="1"/>
  <c r="D9008" i="1"/>
  <c r="C9008" i="1"/>
  <c r="B9008" i="1"/>
  <c r="A9008" i="1"/>
  <c r="S9007" i="1"/>
  <c r="O9007" i="1"/>
  <c r="K9007" i="1"/>
  <c r="J9007" i="1"/>
  <c r="I9007" i="1"/>
  <c r="H9007" i="1"/>
  <c r="G9007" i="1"/>
  <c r="F9007" i="1"/>
  <c r="E9007" i="1"/>
  <c r="D9007" i="1"/>
  <c r="C9007" i="1"/>
  <c r="B9007" i="1"/>
  <c r="A9007" i="1"/>
  <c r="R9006" i="1"/>
  <c r="J9006" i="1"/>
  <c r="I9006" i="1"/>
  <c r="G9006" i="1"/>
  <c r="F9006" i="1"/>
  <c r="E9006" i="1"/>
  <c r="D9006" i="1"/>
  <c r="C9006" i="1"/>
  <c r="B9006" i="1"/>
  <c r="A9006" i="1"/>
  <c r="S9005" i="1"/>
  <c r="O9005" i="1"/>
  <c r="K9005" i="1"/>
  <c r="J9005" i="1"/>
  <c r="I9005" i="1"/>
  <c r="H9005" i="1"/>
  <c r="G9005" i="1"/>
  <c r="F9005" i="1"/>
  <c r="E9005" i="1"/>
  <c r="D9005" i="1"/>
  <c r="C9005" i="1"/>
  <c r="B9005" i="1"/>
  <c r="A9005" i="1"/>
  <c r="R9004" i="1"/>
  <c r="J9004" i="1"/>
  <c r="I9004" i="1"/>
  <c r="G9004" i="1"/>
  <c r="F9004" i="1"/>
  <c r="E9004" i="1"/>
  <c r="D9004" i="1"/>
  <c r="C9004" i="1"/>
  <c r="B9004" i="1"/>
  <c r="A9004" i="1"/>
  <c r="S9003" i="1"/>
  <c r="O9003" i="1"/>
  <c r="K9003" i="1"/>
  <c r="J9003" i="1"/>
  <c r="I9003" i="1"/>
  <c r="H9003" i="1"/>
  <c r="G9003" i="1"/>
  <c r="F9003" i="1"/>
  <c r="E9003" i="1"/>
  <c r="D9003" i="1"/>
  <c r="C9003" i="1"/>
  <c r="B9003" i="1"/>
  <c r="A9003" i="1"/>
  <c r="R9002" i="1"/>
  <c r="J9002" i="1"/>
  <c r="I9002" i="1"/>
  <c r="G9002" i="1"/>
  <c r="F9002" i="1"/>
  <c r="E9002" i="1"/>
  <c r="D9002" i="1"/>
  <c r="C9002" i="1"/>
  <c r="B9002" i="1"/>
  <c r="A9002" i="1"/>
  <c r="S9001" i="1"/>
  <c r="O9001" i="1"/>
  <c r="K9001" i="1"/>
  <c r="J9001" i="1"/>
  <c r="I9001" i="1"/>
  <c r="H9001" i="1"/>
  <c r="G9001" i="1"/>
  <c r="F9001" i="1"/>
  <c r="E9001" i="1"/>
  <c r="D9001" i="1"/>
  <c r="C9001" i="1"/>
  <c r="B9001" i="1"/>
  <c r="A9001" i="1"/>
  <c r="R9000" i="1"/>
  <c r="J9000" i="1"/>
  <c r="I9000" i="1"/>
  <c r="G9000" i="1"/>
  <c r="F9000" i="1"/>
  <c r="E9000" i="1"/>
  <c r="D9000" i="1"/>
  <c r="C9000" i="1"/>
  <c r="B9000" i="1"/>
  <c r="A9000" i="1"/>
  <c r="S8999" i="1"/>
  <c r="O8999" i="1"/>
  <c r="K8999" i="1"/>
  <c r="J8999" i="1"/>
  <c r="I8999" i="1"/>
  <c r="H8999" i="1"/>
  <c r="G8999" i="1"/>
  <c r="F8999" i="1"/>
  <c r="E8999" i="1"/>
  <c r="D8999" i="1"/>
  <c r="C8999" i="1"/>
  <c r="B8999" i="1"/>
  <c r="A8999" i="1"/>
  <c r="R8998" i="1"/>
  <c r="J8998" i="1"/>
  <c r="I8998" i="1"/>
  <c r="G8998" i="1"/>
  <c r="F8998" i="1"/>
  <c r="E8998" i="1"/>
  <c r="D8998" i="1"/>
  <c r="C8998" i="1"/>
  <c r="B8998" i="1"/>
  <c r="A8998" i="1"/>
  <c r="S8997" i="1"/>
  <c r="O8997" i="1"/>
  <c r="K8997" i="1"/>
  <c r="J8997" i="1"/>
  <c r="I8997" i="1"/>
  <c r="H8997" i="1"/>
  <c r="G8997" i="1"/>
  <c r="F8997" i="1"/>
  <c r="E8997" i="1"/>
  <c r="D8997" i="1"/>
  <c r="C8997" i="1"/>
  <c r="B8997" i="1"/>
  <c r="A8997" i="1"/>
  <c r="R8996" i="1"/>
  <c r="J8996" i="1"/>
  <c r="I8996" i="1"/>
  <c r="G8996" i="1"/>
  <c r="F8996" i="1"/>
  <c r="E8996" i="1"/>
  <c r="D8996" i="1"/>
  <c r="C8996" i="1"/>
  <c r="B8996" i="1"/>
  <c r="A8996" i="1"/>
  <c r="S8995" i="1"/>
  <c r="O8995" i="1"/>
  <c r="K8995" i="1"/>
  <c r="J8995" i="1"/>
  <c r="I8995" i="1"/>
  <c r="H8995" i="1"/>
  <c r="G8995" i="1"/>
  <c r="F8995" i="1"/>
  <c r="E8995" i="1"/>
  <c r="D8995" i="1"/>
  <c r="C8995" i="1"/>
  <c r="B8995" i="1"/>
  <c r="A8995" i="1"/>
  <c r="R8994" i="1"/>
  <c r="J8994" i="1"/>
  <c r="I8994" i="1"/>
  <c r="G8994" i="1"/>
  <c r="F8994" i="1"/>
  <c r="E8994" i="1"/>
  <c r="D8994" i="1"/>
  <c r="C8994" i="1"/>
  <c r="B8994" i="1"/>
  <c r="A8994" i="1"/>
  <c r="S8993" i="1"/>
  <c r="O8993" i="1"/>
  <c r="K8993" i="1"/>
  <c r="J8993" i="1"/>
  <c r="I8993" i="1"/>
  <c r="H8993" i="1"/>
  <c r="G8993" i="1"/>
  <c r="F8993" i="1"/>
  <c r="E8993" i="1"/>
  <c r="D8993" i="1"/>
  <c r="C8993" i="1"/>
  <c r="B8993" i="1"/>
  <c r="A8993" i="1"/>
  <c r="R8992" i="1"/>
  <c r="J8992" i="1"/>
  <c r="I8992" i="1"/>
  <c r="G8992" i="1"/>
  <c r="F8992" i="1"/>
  <c r="E8992" i="1"/>
  <c r="D8992" i="1"/>
  <c r="C8992" i="1"/>
  <c r="B8992" i="1"/>
  <c r="A8992" i="1"/>
  <c r="S8991" i="1"/>
  <c r="O8991" i="1"/>
  <c r="K8991" i="1"/>
  <c r="J8991" i="1"/>
  <c r="I8991" i="1"/>
  <c r="H8991" i="1"/>
  <c r="G8991" i="1"/>
  <c r="F8991" i="1"/>
  <c r="E8991" i="1"/>
  <c r="D8991" i="1"/>
  <c r="C8991" i="1"/>
  <c r="B8991" i="1"/>
  <c r="A8991" i="1"/>
  <c r="R8990" i="1"/>
  <c r="J8990" i="1"/>
  <c r="I8990" i="1"/>
  <c r="G8990" i="1"/>
  <c r="F8990" i="1"/>
  <c r="E8990" i="1"/>
  <c r="D8990" i="1"/>
  <c r="C8990" i="1"/>
  <c r="B8990" i="1"/>
  <c r="A8990" i="1"/>
  <c r="S8989" i="1"/>
  <c r="O8989" i="1"/>
  <c r="K8989" i="1"/>
  <c r="J8989" i="1"/>
  <c r="I8989" i="1"/>
  <c r="H8989" i="1"/>
  <c r="G8989" i="1"/>
  <c r="F8989" i="1"/>
  <c r="E8989" i="1"/>
  <c r="D8989" i="1"/>
  <c r="C8989" i="1"/>
  <c r="B8989" i="1"/>
  <c r="A8989" i="1"/>
  <c r="R8988" i="1"/>
  <c r="J8988" i="1"/>
  <c r="I8988" i="1"/>
  <c r="G8988" i="1"/>
  <c r="F8988" i="1"/>
  <c r="E8988" i="1"/>
  <c r="D8988" i="1"/>
  <c r="C8988" i="1"/>
  <c r="B8988" i="1"/>
  <c r="A8988" i="1"/>
  <c r="S8987" i="1"/>
  <c r="O8987" i="1"/>
  <c r="K8987" i="1"/>
  <c r="J8987" i="1"/>
  <c r="I8987" i="1"/>
  <c r="H8987" i="1"/>
  <c r="G8987" i="1"/>
  <c r="F8987" i="1"/>
  <c r="E8987" i="1"/>
  <c r="D8987" i="1"/>
  <c r="C8987" i="1"/>
  <c r="B8987" i="1"/>
  <c r="A8987" i="1"/>
  <c r="R8986" i="1"/>
  <c r="J8986" i="1"/>
  <c r="I8986" i="1"/>
  <c r="G8986" i="1"/>
  <c r="F8986" i="1"/>
  <c r="E8986" i="1"/>
  <c r="D8986" i="1"/>
  <c r="C8986" i="1"/>
  <c r="B8986" i="1"/>
  <c r="A8986" i="1"/>
  <c r="S8985" i="1"/>
  <c r="O8985" i="1"/>
  <c r="K8985" i="1"/>
  <c r="J8985" i="1"/>
  <c r="I8985" i="1"/>
  <c r="H8985" i="1"/>
  <c r="G8985" i="1"/>
  <c r="F8985" i="1"/>
  <c r="E8985" i="1"/>
  <c r="D8985" i="1"/>
  <c r="C8985" i="1"/>
  <c r="B8985" i="1"/>
  <c r="A8985" i="1"/>
  <c r="R8984" i="1"/>
  <c r="J8984" i="1"/>
  <c r="I8984" i="1"/>
  <c r="G8984" i="1"/>
  <c r="F8984" i="1"/>
  <c r="E8984" i="1"/>
  <c r="D8984" i="1"/>
  <c r="C8984" i="1"/>
  <c r="B8984" i="1"/>
  <c r="A8984" i="1"/>
  <c r="S8983" i="1"/>
  <c r="O8983" i="1"/>
  <c r="K8983" i="1"/>
  <c r="J8983" i="1"/>
  <c r="I8983" i="1"/>
  <c r="H8983" i="1"/>
  <c r="G8983" i="1"/>
  <c r="F8983" i="1"/>
  <c r="E8983" i="1"/>
  <c r="D8983" i="1"/>
  <c r="C8983" i="1"/>
  <c r="B8983" i="1"/>
  <c r="A8983" i="1"/>
  <c r="R8982" i="1"/>
  <c r="J8982" i="1"/>
  <c r="I8982" i="1"/>
  <c r="G8982" i="1"/>
  <c r="F8982" i="1"/>
  <c r="E8982" i="1"/>
  <c r="D8982" i="1"/>
  <c r="C8982" i="1"/>
  <c r="B8982" i="1"/>
  <c r="A8982" i="1"/>
  <c r="S8981" i="1"/>
  <c r="O8981" i="1"/>
  <c r="K8981" i="1"/>
  <c r="J8981" i="1"/>
  <c r="I8981" i="1"/>
  <c r="H8981" i="1"/>
  <c r="G8981" i="1"/>
  <c r="F8981" i="1"/>
  <c r="E8981" i="1"/>
  <c r="D8981" i="1"/>
  <c r="C8981" i="1"/>
  <c r="B8981" i="1"/>
  <c r="A8981" i="1"/>
  <c r="R8980" i="1"/>
  <c r="J8980" i="1"/>
  <c r="I8980" i="1"/>
  <c r="G8980" i="1"/>
  <c r="F8980" i="1"/>
  <c r="E8980" i="1"/>
  <c r="D8980" i="1"/>
  <c r="C8980" i="1"/>
  <c r="B8980" i="1"/>
  <c r="A8980" i="1"/>
  <c r="S8979" i="1"/>
  <c r="O8979" i="1"/>
  <c r="K8979" i="1"/>
  <c r="J8979" i="1"/>
  <c r="I8979" i="1"/>
  <c r="H8979" i="1"/>
  <c r="G8979" i="1"/>
  <c r="F8979" i="1"/>
  <c r="E8979" i="1"/>
  <c r="D8979" i="1"/>
  <c r="C8979" i="1"/>
  <c r="B8979" i="1"/>
  <c r="A8979" i="1"/>
  <c r="R8978" i="1"/>
  <c r="J8978" i="1"/>
  <c r="I8978" i="1"/>
  <c r="G8978" i="1"/>
  <c r="F8978" i="1"/>
  <c r="E8978" i="1"/>
  <c r="D8978" i="1"/>
  <c r="C8978" i="1"/>
  <c r="B8978" i="1"/>
  <c r="A8978" i="1"/>
  <c r="R8977" i="1"/>
  <c r="J8977" i="1"/>
  <c r="I8977" i="1"/>
  <c r="G8977" i="1"/>
  <c r="F8977" i="1"/>
  <c r="E8977" i="1"/>
  <c r="D8977" i="1"/>
  <c r="C8977" i="1"/>
  <c r="B8977" i="1"/>
  <c r="A8977" i="1"/>
  <c r="S8976" i="1"/>
  <c r="O8976" i="1"/>
  <c r="K8976" i="1"/>
  <c r="J8976" i="1"/>
  <c r="I8976" i="1"/>
  <c r="H8976" i="1"/>
  <c r="G8976" i="1"/>
  <c r="F8976" i="1"/>
  <c r="E8976" i="1"/>
  <c r="D8976" i="1"/>
  <c r="C8976" i="1"/>
  <c r="B8976" i="1"/>
  <c r="A8976" i="1"/>
  <c r="R8975" i="1"/>
  <c r="J8975" i="1"/>
  <c r="I8975" i="1"/>
  <c r="G8975" i="1"/>
  <c r="F8975" i="1"/>
  <c r="E8975" i="1"/>
  <c r="D8975" i="1"/>
  <c r="C8975" i="1"/>
  <c r="B8975" i="1"/>
  <c r="A8975" i="1"/>
  <c r="R8974" i="1"/>
  <c r="J8974" i="1"/>
  <c r="I8974" i="1"/>
  <c r="G8974" i="1"/>
  <c r="F8974" i="1"/>
  <c r="E8974" i="1"/>
  <c r="D8974" i="1"/>
  <c r="C8974" i="1"/>
  <c r="B8974" i="1"/>
  <c r="A8974" i="1"/>
  <c r="S8973" i="1"/>
  <c r="O8973" i="1"/>
  <c r="K8973" i="1"/>
  <c r="J8973" i="1"/>
  <c r="I8973" i="1"/>
  <c r="H8973" i="1"/>
  <c r="G8973" i="1"/>
  <c r="F8973" i="1"/>
  <c r="E8973" i="1"/>
  <c r="D8973" i="1"/>
  <c r="C8973" i="1"/>
  <c r="B8973" i="1"/>
  <c r="A8973" i="1"/>
  <c r="R8972" i="1"/>
  <c r="J8972" i="1"/>
  <c r="I8972" i="1"/>
  <c r="G8972" i="1"/>
  <c r="F8972" i="1"/>
  <c r="E8972" i="1"/>
  <c r="D8972" i="1"/>
  <c r="C8972" i="1"/>
  <c r="B8972" i="1"/>
  <c r="A8972" i="1"/>
  <c r="S8971" i="1"/>
  <c r="O8971" i="1"/>
  <c r="K8971" i="1"/>
  <c r="J8971" i="1"/>
  <c r="I8971" i="1"/>
  <c r="H8971" i="1"/>
  <c r="G8971" i="1"/>
  <c r="F8971" i="1"/>
  <c r="E8971" i="1"/>
  <c r="D8971" i="1"/>
  <c r="C8971" i="1"/>
  <c r="B8971" i="1"/>
  <c r="A8971" i="1"/>
  <c r="R8970" i="1"/>
  <c r="J8970" i="1"/>
  <c r="I8970" i="1"/>
  <c r="G8970" i="1"/>
  <c r="F8970" i="1"/>
  <c r="E8970" i="1"/>
  <c r="D8970" i="1"/>
  <c r="C8970" i="1"/>
  <c r="B8970" i="1"/>
  <c r="A8970" i="1"/>
  <c r="S8969" i="1"/>
  <c r="O8969" i="1"/>
  <c r="K8969" i="1"/>
  <c r="J8969" i="1"/>
  <c r="I8969" i="1"/>
  <c r="H8969" i="1"/>
  <c r="G8969" i="1"/>
  <c r="F8969" i="1"/>
  <c r="E8969" i="1"/>
  <c r="D8969" i="1"/>
  <c r="C8969" i="1"/>
  <c r="B8969" i="1"/>
  <c r="A8969" i="1"/>
  <c r="R8968" i="1"/>
  <c r="J8968" i="1"/>
  <c r="I8968" i="1"/>
  <c r="G8968" i="1"/>
  <c r="F8968" i="1"/>
  <c r="E8968" i="1"/>
  <c r="D8968" i="1"/>
  <c r="C8968" i="1"/>
  <c r="B8968" i="1"/>
  <c r="A8968" i="1"/>
  <c r="S8967" i="1"/>
  <c r="O8967" i="1"/>
  <c r="K8967" i="1"/>
  <c r="J8967" i="1"/>
  <c r="I8967" i="1"/>
  <c r="H8967" i="1"/>
  <c r="G8967" i="1"/>
  <c r="F8967" i="1"/>
  <c r="E8967" i="1"/>
  <c r="D8967" i="1"/>
  <c r="C8967" i="1"/>
  <c r="B8967" i="1"/>
  <c r="A8967" i="1"/>
  <c r="R8966" i="1"/>
  <c r="J8966" i="1"/>
  <c r="I8966" i="1"/>
  <c r="G8966" i="1"/>
  <c r="F8966" i="1"/>
  <c r="E8966" i="1"/>
  <c r="D8966" i="1"/>
  <c r="C8966" i="1"/>
  <c r="B8966" i="1"/>
  <c r="A8966" i="1"/>
  <c r="S8965" i="1"/>
  <c r="O8965" i="1"/>
  <c r="K8965" i="1"/>
  <c r="J8965" i="1"/>
  <c r="I8965" i="1"/>
  <c r="H8965" i="1"/>
  <c r="G8965" i="1"/>
  <c r="F8965" i="1"/>
  <c r="E8965" i="1"/>
  <c r="D8965" i="1"/>
  <c r="C8965" i="1"/>
  <c r="B8965" i="1"/>
  <c r="A8965" i="1"/>
  <c r="R8964" i="1"/>
  <c r="J8964" i="1"/>
  <c r="I8964" i="1"/>
  <c r="G8964" i="1"/>
  <c r="F8964" i="1"/>
  <c r="E8964" i="1"/>
  <c r="D8964" i="1"/>
  <c r="C8964" i="1"/>
  <c r="B8964" i="1"/>
  <c r="A8964" i="1"/>
  <c r="R8963" i="1"/>
  <c r="J8963" i="1"/>
  <c r="I8963" i="1"/>
  <c r="G8963" i="1"/>
  <c r="F8963" i="1"/>
  <c r="E8963" i="1"/>
  <c r="D8963" i="1"/>
  <c r="C8963" i="1"/>
  <c r="B8963" i="1"/>
  <c r="A8963" i="1"/>
  <c r="S8962" i="1"/>
  <c r="O8962" i="1"/>
  <c r="K8962" i="1"/>
  <c r="J8962" i="1"/>
  <c r="I8962" i="1"/>
  <c r="H8962" i="1"/>
  <c r="G8962" i="1"/>
  <c r="F8962" i="1"/>
  <c r="E8962" i="1"/>
  <c r="D8962" i="1"/>
  <c r="C8962" i="1"/>
  <c r="B8962" i="1"/>
  <c r="A8962" i="1"/>
  <c r="R8961" i="1"/>
  <c r="J8961" i="1"/>
  <c r="I8961" i="1"/>
  <c r="G8961" i="1"/>
  <c r="F8961" i="1"/>
  <c r="E8961" i="1"/>
  <c r="D8961" i="1"/>
  <c r="C8961" i="1"/>
  <c r="B8961" i="1"/>
  <c r="A8961" i="1"/>
  <c r="R8960" i="1"/>
  <c r="J8960" i="1"/>
  <c r="I8960" i="1"/>
  <c r="G8960" i="1"/>
  <c r="F8960" i="1"/>
  <c r="E8960" i="1"/>
  <c r="D8960" i="1"/>
  <c r="C8960" i="1"/>
  <c r="B8960" i="1"/>
  <c r="A8960" i="1"/>
  <c r="S8959" i="1"/>
  <c r="O8959" i="1"/>
  <c r="K8959" i="1"/>
  <c r="J8959" i="1"/>
  <c r="I8959" i="1"/>
  <c r="H8959" i="1"/>
  <c r="G8959" i="1"/>
  <c r="F8959" i="1"/>
  <c r="E8959" i="1"/>
  <c r="D8959" i="1"/>
  <c r="C8959" i="1"/>
  <c r="B8959" i="1"/>
  <c r="A8959" i="1"/>
  <c r="R8958" i="1"/>
  <c r="J8958" i="1"/>
  <c r="I8958" i="1"/>
  <c r="G8958" i="1"/>
  <c r="F8958" i="1"/>
  <c r="E8958" i="1"/>
  <c r="D8958" i="1"/>
  <c r="C8958" i="1"/>
  <c r="B8958" i="1"/>
  <c r="A8958" i="1"/>
  <c r="S8957" i="1"/>
  <c r="O8957" i="1"/>
  <c r="K8957" i="1"/>
  <c r="J8957" i="1"/>
  <c r="I8957" i="1"/>
  <c r="H8957" i="1"/>
  <c r="G8957" i="1"/>
  <c r="F8957" i="1"/>
  <c r="E8957" i="1"/>
  <c r="D8957" i="1"/>
  <c r="C8957" i="1"/>
  <c r="B8957" i="1"/>
  <c r="A8957" i="1"/>
  <c r="R8956" i="1"/>
  <c r="J8956" i="1"/>
  <c r="I8956" i="1"/>
  <c r="G8956" i="1"/>
  <c r="F8956" i="1"/>
  <c r="E8956" i="1"/>
  <c r="D8956" i="1"/>
  <c r="C8956" i="1"/>
  <c r="B8956" i="1"/>
  <c r="A8956" i="1"/>
  <c r="S8955" i="1"/>
  <c r="O8955" i="1"/>
  <c r="K8955" i="1"/>
  <c r="J8955" i="1"/>
  <c r="I8955" i="1"/>
  <c r="H8955" i="1"/>
  <c r="G8955" i="1"/>
  <c r="F8955" i="1"/>
  <c r="E8955" i="1"/>
  <c r="D8955" i="1"/>
  <c r="C8955" i="1"/>
  <c r="B8955" i="1"/>
  <c r="A8955" i="1"/>
  <c r="R8954" i="1"/>
  <c r="J8954" i="1"/>
  <c r="I8954" i="1"/>
  <c r="G8954" i="1"/>
  <c r="F8954" i="1"/>
  <c r="E8954" i="1"/>
  <c r="D8954" i="1"/>
  <c r="C8954" i="1"/>
  <c r="B8954" i="1"/>
  <c r="A8954" i="1"/>
  <c r="S8953" i="1"/>
  <c r="O8953" i="1"/>
  <c r="K8953" i="1"/>
  <c r="J8953" i="1"/>
  <c r="I8953" i="1"/>
  <c r="H8953" i="1"/>
  <c r="G8953" i="1"/>
  <c r="F8953" i="1"/>
  <c r="E8953" i="1"/>
  <c r="D8953" i="1"/>
  <c r="C8953" i="1"/>
  <c r="B8953" i="1"/>
  <c r="A8953" i="1"/>
  <c r="R8952" i="1"/>
  <c r="J8952" i="1"/>
  <c r="I8952" i="1"/>
  <c r="G8952" i="1"/>
  <c r="F8952" i="1"/>
  <c r="E8952" i="1"/>
  <c r="D8952" i="1"/>
  <c r="C8952" i="1"/>
  <c r="B8952" i="1"/>
  <c r="A8952" i="1"/>
  <c r="S8951" i="1"/>
  <c r="O8951" i="1"/>
  <c r="K8951" i="1"/>
  <c r="J8951" i="1"/>
  <c r="I8951" i="1"/>
  <c r="H8951" i="1"/>
  <c r="G8951" i="1"/>
  <c r="F8951" i="1"/>
  <c r="E8951" i="1"/>
  <c r="D8951" i="1"/>
  <c r="C8951" i="1"/>
  <c r="B8951" i="1"/>
  <c r="A8951" i="1"/>
  <c r="R8950" i="1"/>
  <c r="J8950" i="1"/>
  <c r="I8950" i="1"/>
  <c r="G8950" i="1"/>
  <c r="F8950" i="1"/>
  <c r="E8950" i="1"/>
  <c r="D8950" i="1"/>
  <c r="C8950" i="1"/>
  <c r="B8950" i="1"/>
  <c r="A8950" i="1"/>
  <c r="R8949" i="1"/>
  <c r="J8949" i="1"/>
  <c r="I8949" i="1"/>
  <c r="G8949" i="1"/>
  <c r="F8949" i="1"/>
  <c r="E8949" i="1"/>
  <c r="D8949" i="1"/>
  <c r="C8949" i="1"/>
  <c r="B8949" i="1"/>
  <c r="A8949" i="1"/>
  <c r="R8948" i="1"/>
  <c r="J8948" i="1"/>
  <c r="I8948" i="1"/>
  <c r="G8948" i="1"/>
  <c r="F8948" i="1"/>
  <c r="E8948" i="1"/>
  <c r="D8948" i="1"/>
  <c r="C8948" i="1"/>
  <c r="B8948" i="1"/>
  <c r="A8948" i="1"/>
  <c r="S8947" i="1"/>
  <c r="O8947" i="1"/>
  <c r="K8947" i="1"/>
  <c r="J8947" i="1"/>
  <c r="I8947" i="1"/>
  <c r="H8947" i="1"/>
  <c r="G8947" i="1"/>
  <c r="F8947" i="1"/>
  <c r="E8947" i="1"/>
  <c r="D8947" i="1"/>
  <c r="C8947" i="1"/>
  <c r="B8947" i="1"/>
  <c r="A8947" i="1"/>
  <c r="R8946" i="1"/>
  <c r="J8946" i="1"/>
  <c r="I8946" i="1"/>
  <c r="G8946" i="1"/>
  <c r="F8946" i="1"/>
  <c r="E8946" i="1"/>
  <c r="D8946" i="1"/>
  <c r="C8946" i="1"/>
  <c r="B8946" i="1"/>
  <c r="A8946" i="1"/>
  <c r="S8945" i="1"/>
  <c r="O8945" i="1"/>
  <c r="K8945" i="1"/>
  <c r="J8945" i="1"/>
  <c r="I8945" i="1"/>
  <c r="H8945" i="1"/>
  <c r="G8945" i="1"/>
  <c r="F8945" i="1"/>
  <c r="E8945" i="1"/>
  <c r="D8945" i="1"/>
  <c r="C8945" i="1"/>
  <c r="B8945" i="1"/>
  <c r="A8945" i="1"/>
  <c r="R8944" i="1"/>
  <c r="J8944" i="1"/>
  <c r="I8944" i="1"/>
  <c r="G8944" i="1"/>
  <c r="F8944" i="1"/>
  <c r="E8944" i="1"/>
  <c r="D8944" i="1"/>
  <c r="C8944" i="1"/>
  <c r="B8944" i="1"/>
  <c r="A8944" i="1"/>
  <c r="S8943" i="1"/>
  <c r="O8943" i="1"/>
  <c r="K8943" i="1"/>
  <c r="J8943" i="1"/>
  <c r="I8943" i="1"/>
  <c r="H8943" i="1"/>
  <c r="G8943" i="1"/>
  <c r="F8943" i="1"/>
  <c r="E8943" i="1"/>
  <c r="D8943" i="1"/>
  <c r="C8943" i="1"/>
  <c r="B8943" i="1"/>
  <c r="A8943" i="1"/>
  <c r="R8942" i="1"/>
  <c r="J8942" i="1"/>
  <c r="I8942" i="1"/>
  <c r="G8942" i="1"/>
  <c r="F8942" i="1"/>
  <c r="E8942" i="1"/>
  <c r="D8942" i="1"/>
  <c r="C8942" i="1"/>
  <c r="B8942" i="1"/>
  <c r="A8942" i="1"/>
  <c r="S8941" i="1"/>
  <c r="O8941" i="1"/>
  <c r="K8941" i="1"/>
  <c r="J8941" i="1"/>
  <c r="I8941" i="1"/>
  <c r="H8941" i="1"/>
  <c r="G8941" i="1"/>
  <c r="F8941" i="1"/>
  <c r="E8941" i="1"/>
  <c r="D8941" i="1"/>
  <c r="C8941" i="1"/>
  <c r="B8941" i="1"/>
  <c r="A8941" i="1"/>
  <c r="R8940" i="1"/>
  <c r="J8940" i="1"/>
  <c r="I8940" i="1"/>
  <c r="G8940" i="1"/>
  <c r="F8940" i="1"/>
  <c r="E8940" i="1"/>
  <c r="D8940" i="1"/>
  <c r="C8940" i="1"/>
  <c r="B8940" i="1"/>
  <c r="A8940" i="1"/>
  <c r="S8939" i="1"/>
  <c r="O8939" i="1"/>
  <c r="K8939" i="1"/>
  <c r="J8939" i="1"/>
  <c r="I8939" i="1"/>
  <c r="H8939" i="1"/>
  <c r="G8939" i="1"/>
  <c r="F8939" i="1"/>
  <c r="E8939" i="1"/>
  <c r="D8939" i="1"/>
  <c r="C8939" i="1"/>
  <c r="B8939" i="1"/>
  <c r="A8939" i="1"/>
  <c r="R8938" i="1"/>
  <c r="J8938" i="1"/>
  <c r="I8938" i="1"/>
  <c r="G8938" i="1"/>
  <c r="F8938" i="1"/>
  <c r="E8938" i="1"/>
  <c r="D8938" i="1"/>
  <c r="C8938" i="1"/>
  <c r="B8938" i="1"/>
  <c r="A8938" i="1"/>
  <c r="S8937" i="1"/>
  <c r="O8937" i="1"/>
  <c r="K8937" i="1"/>
  <c r="J8937" i="1"/>
  <c r="I8937" i="1"/>
  <c r="H8937" i="1"/>
  <c r="G8937" i="1"/>
  <c r="F8937" i="1"/>
  <c r="E8937" i="1"/>
  <c r="D8937" i="1"/>
  <c r="C8937" i="1"/>
  <c r="B8937" i="1"/>
  <c r="A8937" i="1"/>
  <c r="R8936" i="1"/>
  <c r="J8936" i="1"/>
  <c r="I8936" i="1"/>
  <c r="G8936" i="1"/>
  <c r="F8936" i="1"/>
  <c r="E8936" i="1"/>
  <c r="D8936" i="1"/>
  <c r="C8936" i="1"/>
  <c r="B8936" i="1"/>
  <c r="A8936" i="1"/>
  <c r="R8935" i="1"/>
  <c r="J8935" i="1"/>
  <c r="I8935" i="1"/>
  <c r="G8935" i="1"/>
  <c r="F8935" i="1"/>
  <c r="E8935" i="1"/>
  <c r="D8935" i="1"/>
  <c r="C8935" i="1"/>
  <c r="B8935" i="1"/>
  <c r="A8935" i="1"/>
  <c r="R8934" i="1"/>
  <c r="J8934" i="1"/>
  <c r="I8934" i="1"/>
  <c r="G8934" i="1"/>
  <c r="F8934" i="1"/>
  <c r="E8934" i="1"/>
  <c r="D8934" i="1"/>
  <c r="C8934" i="1"/>
  <c r="B8934" i="1"/>
  <c r="A8934" i="1"/>
  <c r="R8933" i="1"/>
  <c r="J8933" i="1"/>
  <c r="I8933" i="1"/>
  <c r="G8933" i="1"/>
  <c r="F8933" i="1"/>
  <c r="E8933" i="1"/>
  <c r="D8933" i="1"/>
  <c r="C8933" i="1"/>
  <c r="B8933" i="1"/>
  <c r="A8933" i="1"/>
  <c r="R8932" i="1"/>
  <c r="J8932" i="1"/>
  <c r="I8932" i="1"/>
  <c r="G8932" i="1"/>
  <c r="F8932" i="1"/>
  <c r="E8932" i="1"/>
  <c r="D8932" i="1"/>
  <c r="C8932" i="1"/>
  <c r="B8932" i="1"/>
  <c r="A8932" i="1"/>
  <c r="S8931" i="1"/>
  <c r="O8931" i="1"/>
  <c r="K8931" i="1"/>
  <c r="J8931" i="1"/>
  <c r="I8931" i="1"/>
  <c r="H8931" i="1"/>
  <c r="G8931" i="1"/>
  <c r="F8931" i="1"/>
  <c r="E8931" i="1"/>
  <c r="D8931" i="1"/>
  <c r="C8931" i="1"/>
  <c r="B8931" i="1"/>
  <c r="A8931" i="1"/>
  <c r="R8930" i="1"/>
  <c r="J8930" i="1"/>
  <c r="I8930" i="1"/>
  <c r="G8930" i="1"/>
  <c r="F8930" i="1"/>
  <c r="E8930" i="1"/>
  <c r="D8930" i="1"/>
  <c r="C8930" i="1"/>
  <c r="B8930" i="1"/>
  <c r="A8930" i="1"/>
  <c r="S8929" i="1"/>
  <c r="O8929" i="1"/>
  <c r="K8929" i="1"/>
  <c r="J8929" i="1"/>
  <c r="I8929" i="1"/>
  <c r="H8929" i="1"/>
  <c r="G8929" i="1"/>
  <c r="F8929" i="1"/>
  <c r="E8929" i="1"/>
  <c r="D8929" i="1"/>
  <c r="C8929" i="1"/>
  <c r="B8929" i="1"/>
  <c r="A8929" i="1"/>
  <c r="R8928" i="1"/>
  <c r="J8928" i="1"/>
  <c r="I8928" i="1"/>
  <c r="G8928" i="1"/>
  <c r="F8928" i="1"/>
  <c r="E8928" i="1"/>
  <c r="D8928" i="1"/>
  <c r="C8928" i="1"/>
  <c r="B8928" i="1"/>
  <c r="A8928" i="1"/>
  <c r="S8927" i="1"/>
  <c r="O8927" i="1"/>
  <c r="K8927" i="1"/>
  <c r="J8927" i="1"/>
  <c r="I8927" i="1"/>
  <c r="H8927" i="1"/>
  <c r="G8927" i="1"/>
  <c r="F8927" i="1"/>
  <c r="E8927" i="1"/>
  <c r="D8927" i="1"/>
  <c r="C8927" i="1"/>
  <c r="B8927" i="1"/>
  <c r="A8927" i="1"/>
  <c r="R8926" i="1"/>
  <c r="J8926" i="1"/>
  <c r="I8926" i="1"/>
  <c r="G8926" i="1"/>
  <c r="F8926" i="1"/>
  <c r="E8926" i="1"/>
  <c r="D8926" i="1"/>
  <c r="C8926" i="1"/>
  <c r="B8926" i="1"/>
  <c r="A8926" i="1"/>
  <c r="S8925" i="1"/>
  <c r="O8925" i="1"/>
  <c r="K8925" i="1"/>
  <c r="J8925" i="1"/>
  <c r="I8925" i="1"/>
  <c r="H8925" i="1"/>
  <c r="G8925" i="1"/>
  <c r="F8925" i="1"/>
  <c r="E8925" i="1"/>
  <c r="D8925" i="1"/>
  <c r="C8925" i="1"/>
  <c r="B8925" i="1"/>
  <c r="A8925" i="1"/>
  <c r="R8924" i="1"/>
  <c r="J8924" i="1"/>
  <c r="I8924" i="1"/>
  <c r="G8924" i="1"/>
  <c r="F8924" i="1"/>
  <c r="E8924" i="1"/>
  <c r="D8924" i="1"/>
  <c r="C8924" i="1"/>
  <c r="B8924" i="1"/>
  <c r="A8924" i="1"/>
  <c r="S8923" i="1"/>
  <c r="O8923" i="1"/>
  <c r="K8923" i="1"/>
  <c r="J8923" i="1"/>
  <c r="I8923" i="1"/>
  <c r="H8923" i="1"/>
  <c r="G8923" i="1"/>
  <c r="F8923" i="1"/>
  <c r="E8923" i="1"/>
  <c r="D8923" i="1"/>
  <c r="C8923" i="1"/>
  <c r="B8923" i="1"/>
  <c r="A8923" i="1"/>
  <c r="R8922" i="1"/>
  <c r="J8922" i="1"/>
  <c r="I8922" i="1"/>
  <c r="G8922" i="1"/>
  <c r="F8922" i="1"/>
  <c r="E8922" i="1"/>
  <c r="D8922" i="1"/>
  <c r="C8922" i="1"/>
  <c r="B8922" i="1"/>
  <c r="A8922" i="1"/>
  <c r="S8921" i="1"/>
  <c r="O8921" i="1"/>
  <c r="K8921" i="1"/>
  <c r="J8921" i="1"/>
  <c r="I8921" i="1"/>
  <c r="H8921" i="1"/>
  <c r="G8921" i="1"/>
  <c r="F8921" i="1"/>
  <c r="E8921" i="1"/>
  <c r="D8921" i="1"/>
  <c r="C8921" i="1"/>
  <c r="B8921" i="1"/>
  <c r="A8921" i="1"/>
  <c r="R8920" i="1"/>
  <c r="J8920" i="1"/>
  <c r="I8920" i="1"/>
  <c r="G8920" i="1"/>
  <c r="F8920" i="1"/>
  <c r="E8920" i="1"/>
  <c r="D8920" i="1"/>
  <c r="C8920" i="1"/>
  <c r="B8920" i="1"/>
  <c r="A8920" i="1"/>
  <c r="S8919" i="1"/>
  <c r="O8919" i="1"/>
  <c r="K8919" i="1"/>
  <c r="J8919" i="1"/>
  <c r="I8919" i="1"/>
  <c r="H8919" i="1"/>
  <c r="G8919" i="1"/>
  <c r="F8919" i="1"/>
  <c r="E8919" i="1"/>
  <c r="D8919" i="1"/>
  <c r="C8919" i="1"/>
  <c r="B8919" i="1"/>
  <c r="A8919" i="1"/>
  <c r="R8918" i="1"/>
  <c r="J8918" i="1"/>
  <c r="I8918" i="1"/>
  <c r="G8918" i="1"/>
  <c r="F8918" i="1"/>
  <c r="E8918" i="1"/>
  <c r="D8918" i="1"/>
  <c r="C8918" i="1"/>
  <c r="B8918" i="1"/>
  <c r="A8918" i="1"/>
  <c r="S8917" i="1"/>
  <c r="O8917" i="1"/>
  <c r="K8917" i="1"/>
  <c r="J8917" i="1"/>
  <c r="I8917" i="1"/>
  <c r="H8917" i="1"/>
  <c r="G8917" i="1"/>
  <c r="F8917" i="1"/>
  <c r="E8917" i="1"/>
  <c r="D8917" i="1"/>
  <c r="C8917" i="1"/>
  <c r="B8917" i="1"/>
  <c r="A8917" i="1"/>
  <c r="R8916" i="1"/>
  <c r="J8916" i="1"/>
  <c r="I8916" i="1"/>
  <c r="G8916" i="1"/>
  <c r="F8916" i="1"/>
  <c r="E8916" i="1"/>
  <c r="D8916" i="1"/>
  <c r="C8916" i="1"/>
  <c r="B8916" i="1"/>
  <c r="A8916" i="1"/>
  <c r="S8915" i="1"/>
  <c r="O8915" i="1"/>
  <c r="K8915" i="1"/>
  <c r="J8915" i="1"/>
  <c r="I8915" i="1"/>
  <c r="H8915" i="1"/>
  <c r="G8915" i="1"/>
  <c r="F8915" i="1"/>
  <c r="E8915" i="1"/>
  <c r="D8915" i="1"/>
  <c r="C8915" i="1"/>
  <c r="B8915" i="1"/>
  <c r="A8915" i="1"/>
  <c r="R8914" i="1"/>
  <c r="J8914" i="1"/>
  <c r="I8914" i="1"/>
  <c r="G8914" i="1"/>
  <c r="F8914" i="1"/>
  <c r="E8914" i="1"/>
  <c r="D8914" i="1"/>
  <c r="C8914" i="1"/>
  <c r="B8914" i="1"/>
  <c r="A8914" i="1"/>
  <c r="S8913" i="1"/>
  <c r="O8913" i="1"/>
  <c r="K8913" i="1"/>
  <c r="J8913" i="1"/>
  <c r="I8913" i="1"/>
  <c r="H8913" i="1"/>
  <c r="G8913" i="1"/>
  <c r="F8913" i="1"/>
  <c r="E8913" i="1"/>
  <c r="D8913" i="1"/>
  <c r="C8913" i="1"/>
  <c r="B8913" i="1"/>
  <c r="A8913" i="1"/>
  <c r="R8912" i="1"/>
  <c r="J8912" i="1"/>
  <c r="I8912" i="1"/>
  <c r="G8912" i="1"/>
  <c r="F8912" i="1"/>
  <c r="E8912" i="1"/>
  <c r="D8912" i="1"/>
  <c r="C8912" i="1"/>
  <c r="B8912" i="1"/>
  <c r="A8912" i="1"/>
  <c r="S8911" i="1"/>
  <c r="O8911" i="1"/>
  <c r="K8911" i="1"/>
  <c r="J8911" i="1"/>
  <c r="I8911" i="1"/>
  <c r="H8911" i="1"/>
  <c r="G8911" i="1"/>
  <c r="F8911" i="1"/>
  <c r="E8911" i="1"/>
  <c r="D8911" i="1"/>
  <c r="C8911" i="1"/>
  <c r="B8911" i="1"/>
  <c r="A8911" i="1"/>
  <c r="R8910" i="1"/>
  <c r="J8910" i="1"/>
  <c r="I8910" i="1"/>
  <c r="G8910" i="1"/>
  <c r="F8910" i="1"/>
  <c r="E8910" i="1"/>
  <c r="D8910" i="1"/>
  <c r="C8910" i="1"/>
  <c r="B8910" i="1"/>
  <c r="A8910" i="1"/>
  <c r="S8909" i="1"/>
  <c r="O8909" i="1"/>
  <c r="K8909" i="1"/>
  <c r="J8909" i="1"/>
  <c r="I8909" i="1"/>
  <c r="H8909" i="1"/>
  <c r="G8909" i="1"/>
  <c r="F8909" i="1"/>
  <c r="E8909" i="1"/>
  <c r="D8909" i="1"/>
  <c r="C8909" i="1"/>
  <c r="B8909" i="1"/>
  <c r="A8909" i="1"/>
  <c r="R8908" i="1"/>
  <c r="J8908" i="1"/>
  <c r="I8908" i="1"/>
  <c r="G8908" i="1"/>
  <c r="F8908" i="1"/>
  <c r="E8908" i="1"/>
  <c r="D8908" i="1"/>
  <c r="C8908" i="1"/>
  <c r="B8908" i="1"/>
  <c r="A8908" i="1"/>
  <c r="S8907" i="1"/>
  <c r="O8907" i="1"/>
  <c r="K8907" i="1"/>
  <c r="J8907" i="1"/>
  <c r="I8907" i="1"/>
  <c r="H8907" i="1"/>
  <c r="G8907" i="1"/>
  <c r="F8907" i="1"/>
  <c r="E8907" i="1"/>
  <c r="D8907" i="1"/>
  <c r="C8907" i="1"/>
  <c r="B8907" i="1"/>
  <c r="A8907" i="1"/>
  <c r="R8906" i="1"/>
  <c r="J8906" i="1"/>
  <c r="I8906" i="1"/>
  <c r="G8906" i="1"/>
  <c r="F8906" i="1"/>
  <c r="E8906" i="1"/>
  <c r="D8906" i="1"/>
  <c r="C8906" i="1"/>
  <c r="B8906" i="1"/>
  <c r="A8906" i="1"/>
  <c r="S8905" i="1"/>
  <c r="O8905" i="1"/>
  <c r="K8905" i="1"/>
  <c r="J8905" i="1"/>
  <c r="I8905" i="1"/>
  <c r="H8905" i="1"/>
  <c r="G8905" i="1"/>
  <c r="F8905" i="1"/>
  <c r="E8905" i="1"/>
  <c r="D8905" i="1"/>
  <c r="C8905" i="1"/>
  <c r="B8905" i="1"/>
  <c r="A8905" i="1"/>
  <c r="R8904" i="1"/>
  <c r="J8904" i="1"/>
  <c r="I8904" i="1"/>
  <c r="G8904" i="1"/>
  <c r="F8904" i="1"/>
  <c r="E8904" i="1"/>
  <c r="D8904" i="1"/>
  <c r="C8904" i="1"/>
  <c r="B8904" i="1"/>
  <c r="A8904" i="1"/>
  <c r="S8903" i="1"/>
  <c r="O8903" i="1"/>
  <c r="K8903" i="1"/>
  <c r="J8903" i="1"/>
  <c r="I8903" i="1"/>
  <c r="H8903" i="1"/>
  <c r="G8903" i="1"/>
  <c r="F8903" i="1"/>
  <c r="E8903" i="1"/>
  <c r="D8903" i="1"/>
  <c r="C8903" i="1"/>
  <c r="B8903" i="1"/>
  <c r="A8903" i="1"/>
  <c r="R8902" i="1"/>
  <c r="J8902" i="1"/>
  <c r="I8902" i="1"/>
  <c r="G8902" i="1"/>
  <c r="F8902" i="1"/>
  <c r="E8902" i="1"/>
  <c r="D8902" i="1"/>
  <c r="C8902" i="1"/>
  <c r="B8902" i="1"/>
  <c r="A8902" i="1"/>
  <c r="S8901" i="1"/>
  <c r="O8901" i="1"/>
  <c r="K8901" i="1"/>
  <c r="J8901" i="1"/>
  <c r="I8901" i="1"/>
  <c r="H8901" i="1"/>
  <c r="G8901" i="1"/>
  <c r="F8901" i="1"/>
  <c r="E8901" i="1"/>
  <c r="D8901" i="1"/>
  <c r="C8901" i="1"/>
  <c r="B8901" i="1"/>
  <c r="A8901" i="1"/>
  <c r="R8900" i="1"/>
  <c r="J8900" i="1"/>
  <c r="I8900" i="1"/>
  <c r="G8900" i="1"/>
  <c r="F8900" i="1"/>
  <c r="E8900" i="1"/>
  <c r="D8900" i="1"/>
  <c r="C8900" i="1"/>
  <c r="B8900" i="1"/>
  <c r="A8900" i="1"/>
  <c r="S8899" i="1"/>
  <c r="O8899" i="1"/>
  <c r="K8899" i="1"/>
  <c r="J8899" i="1"/>
  <c r="I8899" i="1"/>
  <c r="H8899" i="1"/>
  <c r="G8899" i="1"/>
  <c r="F8899" i="1"/>
  <c r="E8899" i="1"/>
  <c r="D8899" i="1"/>
  <c r="C8899" i="1"/>
  <c r="B8899" i="1"/>
  <c r="A8899" i="1"/>
  <c r="R8898" i="1"/>
  <c r="J8898" i="1"/>
  <c r="I8898" i="1"/>
  <c r="G8898" i="1"/>
  <c r="F8898" i="1"/>
  <c r="E8898" i="1"/>
  <c r="D8898" i="1"/>
  <c r="C8898" i="1"/>
  <c r="B8898" i="1"/>
  <c r="A8898" i="1"/>
  <c r="R8897" i="1"/>
  <c r="J8897" i="1"/>
  <c r="I8897" i="1"/>
  <c r="G8897" i="1"/>
  <c r="F8897" i="1"/>
  <c r="E8897" i="1"/>
  <c r="D8897" i="1"/>
  <c r="C8897" i="1"/>
  <c r="B8897" i="1"/>
  <c r="A8897" i="1"/>
  <c r="S8896" i="1"/>
  <c r="O8896" i="1"/>
  <c r="K8896" i="1"/>
  <c r="J8896" i="1"/>
  <c r="I8896" i="1"/>
  <c r="H8896" i="1"/>
  <c r="G8896" i="1"/>
  <c r="F8896" i="1"/>
  <c r="E8896" i="1"/>
  <c r="D8896" i="1"/>
  <c r="C8896" i="1"/>
  <c r="B8896" i="1"/>
  <c r="A8896" i="1"/>
  <c r="R8895" i="1"/>
  <c r="J8895" i="1"/>
  <c r="I8895" i="1"/>
  <c r="G8895" i="1"/>
  <c r="F8895" i="1"/>
  <c r="E8895" i="1"/>
  <c r="D8895" i="1"/>
  <c r="C8895" i="1"/>
  <c r="B8895" i="1"/>
  <c r="A8895" i="1"/>
  <c r="R8894" i="1"/>
  <c r="J8894" i="1"/>
  <c r="I8894" i="1"/>
  <c r="G8894" i="1"/>
  <c r="F8894" i="1"/>
  <c r="E8894" i="1"/>
  <c r="D8894" i="1"/>
  <c r="C8894" i="1"/>
  <c r="B8894" i="1"/>
  <c r="A8894" i="1"/>
  <c r="S8893" i="1"/>
  <c r="O8893" i="1"/>
  <c r="K8893" i="1"/>
  <c r="J8893" i="1"/>
  <c r="I8893" i="1"/>
  <c r="H8893" i="1"/>
  <c r="G8893" i="1"/>
  <c r="F8893" i="1"/>
  <c r="E8893" i="1"/>
  <c r="D8893" i="1"/>
  <c r="C8893" i="1"/>
  <c r="B8893" i="1"/>
  <c r="A8893" i="1"/>
  <c r="R8892" i="1"/>
  <c r="J8892" i="1"/>
  <c r="I8892" i="1"/>
  <c r="G8892" i="1"/>
  <c r="F8892" i="1"/>
  <c r="E8892" i="1"/>
  <c r="D8892" i="1"/>
  <c r="C8892" i="1"/>
  <c r="B8892" i="1"/>
  <c r="A8892" i="1"/>
  <c r="S8891" i="1"/>
  <c r="O8891" i="1"/>
  <c r="K8891" i="1"/>
  <c r="J8891" i="1"/>
  <c r="I8891" i="1"/>
  <c r="H8891" i="1"/>
  <c r="G8891" i="1"/>
  <c r="F8891" i="1"/>
  <c r="E8891" i="1"/>
  <c r="D8891" i="1"/>
  <c r="C8891" i="1"/>
  <c r="B8891" i="1"/>
  <c r="A8891" i="1"/>
  <c r="R8890" i="1"/>
  <c r="J8890" i="1"/>
  <c r="I8890" i="1"/>
  <c r="G8890" i="1"/>
  <c r="F8890" i="1"/>
  <c r="E8890" i="1"/>
  <c r="D8890" i="1"/>
  <c r="C8890" i="1"/>
  <c r="B8890" i="1"/>
  <c r="A8890" i="1"/>
  <c r="S8889" i="1"/>
  <c r="O8889" i="1"/>
  <c r="K8889" i="1"/>
  <c r="J8889" i="1"/>
  <c r="I8889" i="1"/>
  <c r="H8889" i="1"/>
  <c r="G8889" i="1"/>
  <c r="F8889" i="1"/>
  <c r="E8889" i="1"/>
  <c r="D8889" i="1"/>
  <c r="C8889" i="1"/>
  <c r="B8889" i="1"/>
  <c r="A8889" i="1"/>
  <c r="R8888" i="1"/>
  <c r="J8888" i="1"/>
  <c r="I8888" i="1"/>
  <c r="G8888" i="1"/>
  <c r="F8888" i="1"/>
  <c r="E8888" i="1"/>
  <c r="D8888" i="1"/>
  <c r="C8888" i="1"/>
  <c r="B8888" i="1"/>
  <c r="A8888" i="1"/>
  <c r="R8887" i="1"/>
  <c r="J8887" i="1"/>
  <c r="I8887" i="1"/>
  <c r="G8887" i="1"/>
  <c r="F8887" i="1"/>
  <c r="E8887" i="1"/>
  <c r="D8887" i="1"/>
  <c r="C8887" i="1"/>
  <c r="B8887" i="1"/>
  <c r="A8887" i="1"/>
  <c r="R8886" i="1"/>
  <c r="J8886" i="1"/>
  <c r="I8886" i="1"/>
  <c r="G8886" i="1"/>
  <c r="F8886" i="1"/>
  <c r="E8886" i="1"/>
  <c r="D8886" i="1"/>
  <c r="C8886" i="1"/>
  <c r="B8886" i="1"/>
  <c r="A8886" i="1"/>
  <c r="R8885" i="1"/>
  <c r="J8885" i="1"/>
  <c r="I8885" i="1"/>
  <c r="G8885" i="1"/>
  <c r="F8885" i="1"/>
  <c r="E8885" i="1"/>
  <c r="D8885" i="1"/>
  <c r="C8885" i="1"/>
  <c r="B8885" i="1"/>
  <c r="A8885" i="1"/>
  <c r="R8884" i="1"/>
  <c r="J8884" i="1"/>
  <c r="I8884" i="1"/>
  <c r="G8884" i="1"/>
  <c r="F8884" i="1"/>
  <c r="E8884" i="1"/>
  <c r="D8884" i="1"/>
  <c r="C8884" i="1"/>
  <c r="B8884" i="1"/>
  <c r="A8884" i="1"/>
  <c r="S8883" i="1"/>
  <c r="O8883" i="1"/>
  <c r="K8883" i="1"/>
  <c r="J8883" i="1"/>
  <c r="I8883" i="1"/>
  <c r="H8883" i="1"/>
  <c r="G8883" i="1"/>
  <c r="F8883" i="1"/>
  <c r="E8883" i="1"/>
  <c r="D8883" i="1"/>
  <c r="C8883" i="1"/>
  <c r="B8883" i="1"/>
  <c r="A8883" i="1"/>
  <c r="R8882" i="1"/>
  <c r="J8882" i="1"/>
  <c r="I8882" i="1"/>
  <c r="G8882" i="1"/>
  <c r="F8882" i="1"/>
  <c r="E8882" i="1"/>
  <c r="D8882" i="1"/>
  <c r="C8882" i="1"/>
  <c r="B8882" i="1"/>
  <c r="A8882" i="1"/>
  <c r="S8881" i="1"/>
  <c r="O8881" i="1"/>
  <c r="K8881" i="1"/>
  <c r="J8881" i="1"/>
  <c r="I8881" i="1"/>
  <c r="H8881" i="1"/>
  <c r="G8881" i="1"/>
  <c r="F8881" i="1"/>
  <c r="E8881" i="1"/>
  <c r="D8881" i="1"/>
  <c r="C8881" i="1"/>
  <c r="B8881" i="1"/>
  <c r="A8881" i="1"/>
  <c r="R8880" i="1"/>
  <c r="J8880" i="1"/>
  <c r="I8880" i="1"/>
  <c r="G8880" i="1"/>
  <c r="F8880" i="1"/>
  <c r="E8880" i="1"/>
  <c r="D8880" i="1"/>
  <c r="C8880" i="1"/>
  <c r="B8880" i="1"/>
  <c r="A8880" i="1"/>
  <c r="R8879" i="1"/>
  <c r="J8879" i="1"/>
  <c r="I8879" i="1"/>
  <c r="G8879" i="1"/>
  <c r="F8879" i="1"/>
  <c r="E8879" i="1"/>
  <c r="D8879" i="1"/>
  <c r="C8879" i="1"/>
  <c r="B8879" i="1"/>
  <c r="A8879" i="1"/>
  <c r="R8878" i="1"/>
  <c r="J8878" i="1"/>
  <c r="I8878" i="1"/>
  <c r="G8878" i="1"/>
  <c r="F8878" i="1"/>
  <c r="E8878" i="1"/>
  <c r="D8878" i="1"/>
  <c r="C8878" i="1"/>
  <c r="B8878" i="1"/>
  <c r="A8878" i="1"/>
  <c r="R8877" i="1"/>
  <c r="J8877" i="1"/>
  <c r="I8877" i="1"/>
  <c r="G8877" i="1"/>
  <c r="F8877" i="1"/>
  <c r="E8877" i="1"/>
  <c r="D8877" i="1"/>
  <c r="C8877" i="1"/>
  <c r="B8877" i="1"/>
  <c r="A8877" i="1"/>
  <c r="R8876" i="1"/>
  <c r="J8876" i="1"/>
  <c r="I8876" i="1"/>
  <c r="G8876" i="1"/>
  <c r="F8876" i="1"/>
  <c r="E8876" i="1"/>
  <c r="D8876" i="1"/>
  <c r="C8876" i="1"/>
  <c r="B8876" i="1"/>
  <c r="A8876" i="1"/>
  <c r="S8875" i="1"/>
  <c r="O8875" i="1"/>
  <c r="K8875" i="1"/>
  <c r="J8875" i="1"/>
  <c r="I8875" i="1"/>
  <c r="H8875" i="1"/>
  <c r="G8875" i="1"/>
  <c r="F8875" i="1"/>
  <c r="E8875" i="1"/>
  <c r="D8875" i="1"/>
  <c r="C8875" i="1"/>
  <c r="B8875" i="1"/>
  <c r="A8875" i="1"/>
  <c r="R8874" i="1"/>
  <c r="J8874" i="1"/>
  <c r="I8874" i="1"/>
  <c r="G8874" i="1"/>
  <c r="F8874" i="1"/>
  <c r="E8874" i="1"/>
  <c r="D8874" i="1"/>
  <c r="C8874" i="1"/>
  <c r="B8874" i="1"/>
  <c r="A8874" i="1"/>
  <c r="R8873" i="1"/>
  <c r="J8873" i="1"/>
  <c r="I8873" i="1"/>
  <c r="G8873" i="1"/>
  <c r="F8873" i="1"/>
  <c r="E8873" i="1"/>
  <c r="D8873" i="1"/>
  <c r="C8873" i="1"/>
  <c r="B8873" i="1"/>
  <c r="A8873" i="1"/>
  <c r="R8872" i="1"/>
  <c r="J8872" i="1"/>
  <c r="I8872" i="1"/>
  <c r="G8872" i="1"/>
  <c r="F8872" i="1"/>
  <c r="E8872" i="1"/>
  <c r="D8872" i="1"/>
  <c r="C8872" i="1"/>
  <c r="B8872" i="1"/>
  <c r="A8872" i="1"/>
  <c r="R8871" i="1"/>
  <c r="J8871" i="1"/>
  <c r="I8871" i="1"/>
  <c r="G8871" i="1"/>
  <c r="F8871" i="1"/>
  <c r="E8871" i="1"/>
  <c r="D8871" i="1"/>
  <c r="C8871" i="1"/>
  <c r="B8871" i="1"/>
  <c r="A8871" i="1"/>
  <c r="R8870" i="1"/>
  <c r="J8870" i="1"/>
  <c r="I8870" i="1"/>
  <c r="G8870" i="1"/>
  <c r="F8870" i="1"/>
  <c r="E8870" i="1"/>
  <c r="D8870" i="1"/>
  <c r="C8870" i="1"/>
  <c r="B8870" i="1"/>
  <c r="A8870" i="1"/>
  <c r="S8869" i="1"/>
  <c r="O8869" i="1"/>
  <c r="K8869" i="1"/>
  <c r="J8869" i="1"/>
  <c r="I8869" i="1"/>
  <c r="H8869" i="1"/>
  <c r="G8869" i="1"/>
  <c r="F8869" i="1"/>
  <c r="E8869" i="1"/>
  <c r="D8869" i="1"/>
  <c r="C8869" i="1"/>
  <c r="B8869" i="1"/>
  <c r="A8869" i="1"/>
  <c r="R8868" i="1"/>
  <c r="J8868" i="1"/>
  <c r="I8868" i="1"/>
  <c r="G8868" i="1"/>
  <c r="F8868" i="1"/>
  <c r="E8868" i="1"/>
  <c r="D8868" i="1"/>
  <c r="C8868" i="1"/>
  <c r="B8868" i="1"/>
  <c r="A8868" i="1"/>
  <c r="S8867" i="1"/>
  <c r="O8867" i="1"/>
  <c r="K8867" i="1"/>
  <c r="J8867" i="1"/>
  <c r="I8867" i="1"/>
  <c r="H8867" i="1"/>
  <c r="G8867" i="1"/>
  <c r="F8867" i="1"/>
  <c r="E8867" i="1"/>
  <c r="D8867" i="1"/>
  <c r="C8867" i="1"/>
  <c r="B8867" i="1"/>
  <c r="A8867" i="1"/>
  <c r="R8866" i="1"/>
  <c r="J8866" i="1"/>
  <c r="I8866" i="1"/>
  <c r="G8866" i="1"/>
  <c r="F8866" i="1"/>
  <c r="E8866" i="1"/>
  <c r="D8866" i="1"/>
  <c r="C8866" i="1"/>
  <c r="B8866" i="1"/>
  <c r="A8866" i="1"/>
  <c r="R8865" i="1"/>
  <c r="J8865" i="1"/>
  <c r="I8865" i="1"/>
  <c r="G8865" i="1"/>
  <c r="F8865" i="1"/>
  <c r="E8865" i="1"/>
  <c r="D8865" i="1"/>
  <c r="C8865" i="1"/>
  <c r="B8865" i="1"/>
  <c r="A8865" i="1"/>
  <c r="S8864" i="1"/>
  <c r="O8864" i="1"/>
  <c r="K8864" i="1"/>
  <c r="J8864" i="1"/>
  <c r="I8864" i="1"/>
  <c r="H8864" i="1"/>
  <c r="G8864" i="1"/>
  <c r="F8864" i="1"/>
  <c r="E8864" i="1"/>
  <c r="D8864" i="1"/>
  <c r="C8864" i="1"/>
  <c r="B8864" i="1"/>
  <c r="A8864" i="1"/>
  <c r="R8863" i="1"/>
  <c r="J8863" i="1"/>
  <c r="I8863" i="1"/>
  <c r="G8863" i="1"/>
  <c r="F8863" i="1"/>
  <c r="E8863" i="1"/>
  <c r="D8863" i="1"/>
  <c r="C8863" i="1"/>
  <c r="B8863" i="1"/>
  <c r="A8863" i="1"/>
  <c r="S8862" i="1"/>
  <c r="O8862" i="1"/>
  <c r="K8862" i="1"/>
  <c r="J8862" i="1"/>
  <c r="I8862" i="1"/>
  <c r="H8862" i="1"/>
  <c r="G8862" i="1"/>
  <c r="F8862" i="1"/>
  <c r="E8862" i="1"/>
  <c r="D8862" i="1"/>
  <c r="C8862" i="1"/>
  <c r="B8862" i="1"/>
  <c r="A8862" i="1"/>
  <c r="S8861" i="1"/>
  <c r="O8861" i="1"/>
  <c r="K8861" i="1"/>
  <c r="J8861" i="1"/>
  <c r="I8861" i="1"/>
  <c r="H8861" i="1"/>
  <c r="G8861" i="1"/>
  <c r="F8861" i="1"/>
  <c r="D8861" i="1"/>
  <c r="C8861" i="1"/>
  <c r="B8861" i="1"/>
  <c r="A8861" i="1"/>
  <c r="S8860" i="1"/>
  <c r="O8860" i="1"/>
  <c r="K8860" i="1"/>
  <c r="J8860" i="1"/>
  <c r="I8860" i="1"/>
  <c r="H8860" i="1"/>
  <c r="G8860" i="1"/>
  <c r="F8860" i="1"/>
  <c r="D8860" i="1"/>
  <c r="C8860" i="1"/>
  <c r="B8860" i="1"/>
  <c r="A8860" i="1"/>
  <c r="R8859" i="1"/>
  <c r="J8859" i="1"/>
  <c r="I8859" i="1"/>
  <c r="G8859" i="1"/>
  <c r="F8859" i="1"/>
  <c r="E8859" i="1"/>
  <c r="D8859" i="1"/>
  <c r="C8859" i="1"/>
  <c r="B8859" i="1"/>
  <c r="A8859" i="1"/>
  <c r="S8858" i="1"/>
  <c r="O8858" i="1"/>
  <c r="K8858" i="1"/>
  <c r="J8858" i="1"/>
  <c r="I8858" i="1"/>
  <c r="H8858" i="1"/>
  <c r="G8858" i="1"/>
  <c r="F8858" i="1"/>
  <c r="E8858" i="1"/>
  <c r="D8858" i="1"/>
  <c r="C8858" i="1"/>
  <c r="B8858" i="1"/>
  <c r="A8858" i="1"/>
  <c r="R8857" i="1"/>
  <c r="J8857" i="1"/>
  <c r="I8857" i="1"/>
  <c r="G8857" i="1"/>
  <c r="F8857" i="1"/>
  <c r="E8857" i="1"/>
  <c r="D8857" i="1"/>
  <c r="C8857" i="1"/>
  <c r="B8857" i="1"/>
  <c r="A8857" i="1"/>
  <c r="S8856" i="1"/>
  <c r="O8856" i="1"/>
  <c r="K8856" i="1"/>
  <c r="J8856" i="1"/>
  <c r="I8856" i="1"/>
  <c r="H8856" i="1"/>
  <c r="G8856" i="1"/>
  <c r="F8856" i="1"/>
  <c r="E8856" i="1"/>
  <c r="D8856" i="1"/>
  <c r="C8856" i="1"/>
  <c r="B8856" i="1"/>
  <c r="A8856" i="1"/>
  <c r="R8855" i="1"/>
  <c r="J8855" i="1"/>
  <c r="I8855" i="1"/>
  <c r="G8855" i="1"/>
  <c r="F8855" i="1"/>
  <c r="E8855" i="1"/>
  <c r="D8855" i="1"/>
  <c r="C8855" i="1"/>
  <c r="B8855" i="1"/>
  <c r="A8855" i="1"/>
  <c r="S8854" i="1"/>
  <c r="O8854" i="1"/>
  <c r="K8854" i="1"/>
  <c r="J8854" i="1"/>
  <c r="I8854" i="1"/>
  <c r="H8854" i="1"/>
  <c r="G8854" i="1"/>
  <c r="F8854" i="1"/>
  <c r="E8854" i="1"/>
  <c r="D8854" i="1"/>
  <c r="C8854" i="1"/>
  <c r="B8854" i="1"/>
  <c r="A8854" i="1"/>
  <c r="R8853" i="1"/>
  <c r="J8853" i="1"/>
  <c r="I8853" i="1"/>
  <c r="G8853" i="1"/>
  <c r="F8853" i="1"/>
  <c r="E8853" i="1"/>
  <c r="D8853" i="1"/>
  <c r="C8853" i="1"/>
  <c r="B8853" i="1"/>
  <c r="A8853" i="1"/>
  <c r="S8852" i="1"/>
  <c r="O8852" i="1"/>
  <c r="K8852" i="1"/>
  <c r="J8852" i="1"/>
  <c r="I8852" i="1"/>
  <c r="H8852" i="1"/>
  <c r="G8852" i="1"/>
  <c r="F8852" i="1"/>
  <c r="E8852" i="1"/>
  <c r="D8852" i="1"/>
  <c r="C8852" i="1"/>
  <c r="B8852" i="1"/>
  <c r="A8852" i="1"/>
  <c r="R8851" i="1"/>
  <c r="J8851" i="1"/>
  <c r="I8851" i="1"/>
  <c r="G8851" i="1"/>
  <c r="F8851" i="1"/>
  <c r="E8851" i="1"/>
  <c r="D8851" i="1"/>
  <c r="C8851" i="1"/>
  <c r="B8851" i="1"/>
  <c r="A8851" i="1"/>
  <c r="S8850" i="1"/>
  <c r="O8850" i="1"/>
  <c r="K8850" i="1"/>
  <c r="J8850" i="1"/>
  <c r="I8850" i="1"/>
  <c r="H8850" i="1"/>
  <c r="G8850" i="1"/>
  <c r="F8850" i="1"/>
  <c r="E8850" i="1"/>
  <c r="D8850" i="1"/>
  <c r="C8850" i="1"/>
  <c r="B8850" i="1"/>
  <c r="A8850" i="1"/>
  <c r="R8849" i="1"/>
  <c r="J8849" i="1"/>
  <c r="I8849" i="1"/>
  <c r="G8849" i="1"/>
  <c r="F8849" i="1"/>
  <c r="E8849" i="1"/>
  <c r="D8849" i="1"/>
  <c r="C8849" i="1"/>
  <c r="B8849" i="1"/>
  <c r="A8849" i="1"/>
  <c r="S8848" i="1"/>
  <c r="O8848" i="1"/>
  <c r="K8848" i="1"/>
  <c r="J8848" i="1"/>
  <c r="I8848" i="1"/>
  <c r="H8848" i="1"/>
  <c r="G8848" i="1"/>
  <c r="F8848" i="1"/>
  <c r="E8848" i="1"/>
  <c r="D8848" i="1"/>
  <c r="C8848" i="1"/>
  <c r="B8848" i="1"/>
  <c r="A8848" i="1"/>
  <c r="R8847" i="1"/>
  <c r="J8847" i="1"/>
  <c r="I8847" i="1"/>
  <c r="G8847" i="1"/>
  <c r="F8847" i="1"/>
  <c r="E8847" i="1"/>
  <c r="D8847" i="1"/>
  <c r="C8847" i="1"/>
  <c r="B8847" i="1"/>
  <c r="A8847" i="1"/>
  <c r="S8846" i="1"/>
  <c r="O8846" i="1"/>
  <c r="K8846" i="1"/>
  <c r="J8846" i="1"/>
  <c r="I8846" i="1"/>
  <c r="H8846" i="1"/>
  <c r="G8846" i="1"/>
  <c r="F8846" i="1"/>
  <c r="E8846" i="1"/>
  <c r="D8846" i="1"/>
  <c r="C8846" i="1"/>
  <c r="B8846" i="1"/>
  <c r="A8846" i="1"/>
  <c r="R8845" i="1"/>
  <c r="J8845" i="1"/>
  <c r="I8845" i="1"/>
  <c r="G8845" i="1"/>
  <c r="F8845" i="1"/>
  <c r="E8845" i="1"/>
  <c r="D8845" i="1"/>
  <c r="C8845" i="1"/>
  <c r="B8845" i="1"/>
  <c r="A8845" i="1"/>
  <c r="R8844" i="1"/>
  <c r="J8844" i="1"/>
  <c r="I8844" i="1"/>
  <c r="G8844" i="1"/>
  <c r="F8844" i="1"/>
  <c r="E8844" i="1"/>
  <c r="D8844" i="1"/>
  <c r="C8844" i="1"/>
  <c r="B8844" i="1"/>
  <c r="A8844" i="1"/>
  <c r="R8843" i="1"/>
  <c r="J8843" i="1"/>
  <c r="I8843" i="1"/>
  <c r="G8843" i="1"/>
  <c r="F8843" i="1"/>
  <c r="E8843" i="1"/>
  <c r="D8843" i="1"/>
  <c r="C8843" i="1"/>
  <c r="B8843" i="1"/>
  <c r="A8843" i="1"/>
  <c r="R8842" i="1"/>
  <c r="J8842" i="1"/>
  <c r="I8842" i="1"/>
  <c r="G8842" i="1"/>
  <c r="F8842" i="1"/>
  <c r="E8842" i="1"/>
  <c r="D8842" i="1"/>
  <c r="C8842" i="1"/>
  <c r="B8842" i="1"/>
  <c r="A8842" i="1"/>
  <c r="R8841" i="1"/>
  <c r="J8841" i="1"/>
  <c r="I8841" i="1"/>
  <c r="G8841" i="1"/>
  <c r="F8841" i="1"/>
  <c r="E8841" i="1"/>
  <c r="D8841" i="1"/>
  <c r="C8841" i="1"/>
  <c r="B8841" i="1"/>
  <c r="A8841" i="1"/>
  <c r="S8840" i="1"/>
  <c r="O8840" i="1"/>
  <c r="K8840" i="1"/>
  <c r="J8840" i="1"/>
  <c r="I8840" i="1"/>
  <c r="H8840" i="1"/>
  <c r="G8840" i="1"/>
  <c r="F8840" i="1"/>
  <c r="E8840" i="1"/>
  <c r="D8840" i="1"/>
  <c r="C8840" i="1"/>
  <c r="B8840" i="1"/>
  <c r="A8840" i="1"/>
  <c r="S8839" i="1"/>
  <c r="O8839" i="1"/>
  <c r="K8839" i="1"/>
  <c r="J8839" i="1"/>
  <c r="I8839" i="1"/>
  <c r="H8839" i="1"/>
  <c r="G8839" i="1"/>
  <c r="F8839" i="1"/>
  <c r="E8839" i="1"/>
  <c r="D8839" i="1"/>
  <c r="C8839" i="1"/>
  <c r="B8839" i="1"/>
  <c r="A8839" i="1"/>
  <c r="R8838" i="1"/>
  <c r="J8838" i="1"/>
  <c r="I8838" i="1"/>
  <c r="G8838" i="1"/>
  <c r="F8838" i="1"/>
  <c r="E8838" i="1"/>
  <c r="D8838" i="1"/>
  <c r="C8838" i="1"/>
  <c r="B8838" i="1"/>
  <c r="A8838" i="1"/>
  <c r="S8837" i="1"/>
  <c r="O8837" i="1"/>
  <c r="K8837" i="1"/>
  <c r="J8837" i="1"/>
  <c r="I8837" i="1"/>
  <c r="H8837" i="1"/>
  <c r="G8837" i="1"/>
  <c r="F8837" i="1"/>
  <c r="E8837" i="1"/>
  <c r="D8837" i="1"/>
  <c r="C8837" i="1"/>
  <c r="B8837" i="1"/>
  <c r="A8837" i="1"/>
  <c r="R8836" i="1"/>
  <c r="J8836" i="1"/>
  <c r="I8836" i="1"/>
  <c r="G8836" i="1"/>
  <c r="F8836" i="1"/>
  <c r="E8836" i="1"/>
  <c r="D8836" i="1"/>
  <c r="C8836" i="1"/>
  <c r="B8836" i="1"/>
  <c r="A8836" i="1"/>
  <c r="S8835" i="1"/>
  <c r="O8835" i="1"/>
  <c r="K8835" i="1"/>
  <c r="J8835" i="1"/>
  <c r="I8835" i="1"/>
  <c r="H8835" i="1"/>
  <c r="G8835" i="1"/>
  <c r="F8835" i="1"/>
  <c r="E8835" i="1"/>
  <c r="D8835" i="1"/>
  <c r="C8835" i="1"/>
  <c r="B8835" i="1"/>
  <c r="A8835" i="1"/>
  <c r="S8834" i="1"/>
  <c r="O8834" i="1"/>
  <c r="K8834" i="1"/>
  <c r="J8834" i="1"/>
  <c r="I8834" i="1"/>
  <c r="H8834" i="1"/>
  <c r="G8834" i="1"/>
  <c r="F8834" i="1"/>
  <c r="E8834" i="1"/>
  <c r="D8834" i="1"/>
  <c r="C8834" i="1"/>
  <c r="B8834" i="1"/>
  <c r="A8834" i="1"/>
  <c r="R8833" i="1"/>
  <c r="J8833" i="1"/>
  <c r="I8833" i="1"/>
  <c r="G8833" i="1"/>
  <c r="F8833" i="1"/>
  <c r="E8833" i="1"/>
  <c r="D8833" i="1"/>
  <c r="C8833" i="1"/>
  <c r="B8833" i="1"/>
  <c r="A8833" i="1"/>
  <c r="S8832" i="1"/>
  <c r="O8832" i="1"/>
  <c r="K8832" i="1"/>
  <c r="J8832" i="1"/>
  <c r="I8832" i="1"/>
  <c r="H8832" i="1"/>
  <c r="G8832" i="1"/>
  <c r="F8832" i="1"/>
  <c r="E8832" i="1"/>
  <c r="D8832" i="1"/>
  <c r="C8832" i="1"/>
  <c r="B8832" i="1"/>
  <c r="A8832" i="1"/>
  <c r="R8831" i="1"/>
  <c r="J8831" i="1"/>
  <c r="I8831" i="1"/>
  <c r="G8831" i="1"/>
  <c r="F8831" i="1"/>
  <c r="E8831" i="1"/>
  <c r="D8831" i="1"/>
  <c r="C8831" i="1"/>
  <c r="B8831" i="1"/>
  <c r="A8831" i="1"/>
  <c r="S8830" i="1"/>
  <c r="O8830" i="1"/>
  <c r="K8830" i="1"/>
  <c r="J8830" i="1"/>
  <c r="I8830" i="1"/>
  <c r="H8830" i="1"/>
  <c r="G8830" i="1"/>
  <c r="F8830" i="1"/>
  <c r="E8830" i="1"/>
  <c r="D8830" i="1"/>
  <c r="C8830" i="1"/>
  <c r="B8830" i="1"/>
  <c r="A8830" i="1"/>
  <c r="R8829" i="1"/>
  <c r="J8829" i="1"/>
  <c r="I8829" i="1"/>
  <c r="G8829" i="1"/>
  <c r="F8829" i="1"/>
  <c r="E8829" i="1"/>
  <c r="D8829" i="1"/>
  <c r="C8829" i="1"/>
  <c r="B8829" i="1"/>
  <c r="A8829" i="1"/>
  <c r="S8828" i="1"/>
  <c r="O8828" i="1"/>
  <c r="K8828" i="1"/>
  <c r="J8828" i="1"/>
  <c r="I8828" i="1"/>
  <c r="H8828" i="1"/>
  <c r="G8828" i="1"/>
  <c r="F8828" i="1"/>
  <c r="E8828" i="1"/>
  <c r="D8828" i="1"/>
  <c r="C8828" i="1"/>
  <c r="B8828" i="1"/>
  <c r="A8828" i="1"/>
  <c r="R8827" i="1"/>
  <c r="J8827" i="1"/>
  <c r="I8827" i="1"/>
  <c r="G8827" i="1"/>
  <c r="F8827" i="1"/>
  <c r="E8827" i="1"/>
  <c r="D8827" i="1"/>
  <c r="C8827" i="1"/>
  <c r="B8827" i="1"/>
  <c r="A8827" i="1"/>
  <c r="S8826" i="1"/>
  <c r="O8826" i="1"/>
  <c r="K8826" i="1"/>
  <c r="J8826" i="1"/>
  <c r="I8826" i="1"/>
  <c r="H8826" i="1"/>
  <c r="G8826" i="1"/>
  <c r="F8826" i="1"/>
  <c r="E8826" i="1"/>
  <c r="D8826" i="1"/>
  <c r="C8826" i="1"/>
  <c r="B8826" i="1"/>
  <c r="A8826" i="1"/>
  <c r="R8825" i="1"/>
  <c r="J8825" i="1"/>
  <c r="I8825" i="1"/>
  <c r="G8825" i="1"/>
  <c r="F8825" i="1"/>
  <c r="E8825" i="1"/>
  <c r="D8825" i="1"/>
  <c r="C8825" i="1"/>
  <c r="B8825" i="1"/>
  <c r="A8825" i="1"/>
  <c r="S8824" i="1"/>
  <c r="O8824" i="1"/>
  <c r="K8824" i="1"/>
  <c r="J8824" i="1"/>
  <c r="I8824" i="1"/>
  <c r="H8824" i="1"/>
  <c r="G8824" i="1"/>
  <c r="F8824" i="1"/>
  <c r="E8824" i="1"/>
  <c r="D8824" i="1"/>
  <c r="C8824" i="1"/>
  <c r="B8824" i="1"/>
  <c r="A8824" i="1"/>
  <c r="R8823" i="1"/>
  <c r="J8823" i="1"/>
  <c r="I8823" i="1"/>
  <c r="G8823" i="1"/>
  <c r="F8823" i="1"/>
  <c r="E8823" i="1"/>
  <c r="D8823" i="1"/>
  <c r="C8823" i="1"/>
  <c r="B8823" i="1"/>
  <c r="A8823" i="1"/>
  <c r="S8822" i="1"/>
  <c r="O8822" i="1"/>
  <c r="K8822" i="1"/>
  <c r="J8822" i="1"/>
  <c r="I8822" i="1"/>
  <c r="H8822" i="1"/>
  <c r="G8822" i="1"/>
  <c r="F8822" i="1"/>
  <c r="E8822" i="1"/>
  <c r="D8822" i="1"/>
  <c r="C8822" i="1"/>
  <c r="B8822" i="1"/>
  <c r="A8822" i="1"/>
  <c r="R8821" i="1"/>
  <c r="J8821" i="1"/>
  <c r="I8821" i="1"/>
  <c r="G8821" i="1"/>
  <c r="F8821" i="1"/>
  <c r="E8821" i="1"/>
  <c r="D8821" i="1"/>
  <c r="C8821" i="1"/>
  <c r="B8821" i="1"/>
  <c r="A8821" i="1"/>
  <c r="S8820" i="1"/>
  <c r="O8820" i="1"/>
  <c r="K8820" i="1"/>
  <c r="J8820" i="1"/>
  <c r="I8820" i="1"/>
  <c r="H8820" i="1"/>
  <c r="G8820" i="1"/>
  <c r="F8820" i="1"/>
  <c r="E8820" i="1"/>
  <c r="D8820" i="1"/>
  <c r="C8820" i="1"/>
  <c r="B8820" i="1"/>
  <c r="A8820" i="1"/>
  <c r="R8819" i="1"/>
  <c r="J8819" i="1"/>
  <c r="I8819" i="1"/>
  <c r="G8819" i="1"/>
  <c r="F8819" i="1"/>
  <c r="E8819" i="1"/>
  <c r="D8819" i="1"/>
  <c r="C8819" i="1"/>
  <c r="B8819" i="1"/>
  <c r="A8819" i="1"/>
  <c r="S8818" i="1"/>
  <c r="O8818" i="1"/>
  <c r="K8818" i="1"/>
  <c r="J8818" i="1"/>
  <c r="I8818" i="1"/>
  <c r="H8818" i="1"/>
  <c r="G8818" i="1"/>
  <c r="F8818" i="1"/>
  <c r="E8818" i="1"/>
  <c r="D8818" i="1"/>
  <c r="C8818" i="1"/>
  <c r="B8818" i="1"/>
  <c r="A8818" i="1"/>
  <c r="R8817" i="1"/>
  <c r="J8817" i="1"/>
  <c r="I8817" i="1"/>
  <c r="G8817" i="1"/>
  <c r="F8817" i="1"/>
  <c r="E8817" i="1"/>
  <c r="D8817" i="1"/>
  <c r="C8817" i="1"/>
  <c r="B8817" i="1"/>
  <c r="A8817" i="1"/>
  <c r="S8816" i="1"/>
  <c r="O8816" i="1"/>
  <c r="K8816" i="1"/>
  <c r="J8816" i="1"/>
  <c r="I8816" i="1"/>
  <c r="H8816" i="1"/>
  <c r="G8816" i="1"/>
  <c r="F8816" i="1"/>
  <c r="E8816" i="1"/>
  <c r="D8816" i="1"/>
  <c r="C8816" i="1"/>
  <c r="B8816" i="1"/>
  <c r="A8816" i="1"/>
  <c r="R8815" i="1"/>
  <c r="J8815" i="1"/>
  <c r="I8815" i="1"/>
  <c r="G8815" i="1"/>
  <c r="F8815" i="1"/>
  <c r="E8815" i="1"/>
  <c r="D8815" i="1"/>
  <c r="C8815" i="1"/>
  <c r="B8815" i="1"/>
  <c r="A8815" i="1"/>
  <c r="S8814" i="1"/>
  <c r="O8814" i="1"/>
  <c r="K8814" i="1"/>
  <c r="J8814" i="1"/>
  <c r="I8814" i="1"/>
  <c r="H8814" i="1"/>
  <c r="G8814" i="1"/>
  <c r="F8814" i="1"/>
  <c r="E8814" i="1"/>
  <c r="D8814" i="1"/>
  <c r="C8814" i="1"/>
  <c r="B8814" i="1"/>
  <c r="A8814" i="1"/>
  <c r="R8813" i="1"/>
  <c r="J8813" i="1"/>
  <c r="I8813" i="1"/>
  <c r="G8813" i="1"/>
  <c r="F8813" i="1"/>
  <c r="E8813" i="1"/>
  <c r="D8813" i="1"/>
  <c r="C8813" i="1"/>
  <c r="B8813" i="1"/>
  <c r="A8813" i="1"/>
  <c r="S8812" i="1"/>
  <c r="O8812" i="1"/>
  <c r="K8812" i="1"/>
  <c r="J8812" i="1"/>
  <c r="I8812" i="1"/>
  <c r="H8812" i="1"/>
  <c r="G8812" i="1"/>
  <c r="F8812" i="1"/>
  <c r="E8812" i="1"/>
  <c r="D8812" i="1"/>
  <c r="C8812" i="1"/>
  <c r="B8812" i="1"/>
  <c r="A8812" i="1"/>
  <c r="R8811" i="1"/>
  <c r="J8811" i="1"/>
  <c r="I8811" i="1"/>
  <c r="G8811" i="1"/>
  <c r="F8811" i="1"/>
  <c r="E8811" i="1"/>
  <c r="D8811" i="1"/>
  <c r="C8811" i="1"/>
  <c r="B8811" i="1"/>
  <c r="A8811" i="1"/>
  <c r="S8810" i="1"/>
  <c r="O8810" i="1"/>
  <c r="K8810" i="1"/>
  <c r="J8810" i="1"/>
  <c r="I8810" i="1"/>
  <c r="H8810" i="1"/>
  <c r="G8810" i="1"/>
  <c r="F8810" i="1"/>
  <c r="E8810" i="1"/>
  <c r="D8810" i="1"/>
  <c r="C8810" i="1"/>
  <c r="B8810" i="1"/>
  <c r="A8810" i="1"/>
  <c r="R8809" i="1"/>
  <c r="J8809" i="1"/>
  <c r="I8809" i="1"/>
  <c r="G8809" i="1"/>
  <c r="F8809" i="1"/>
  <c r="E8809" i="1"/>
  <c r="D8809" i="1"/>
  <c r="C8809" i="1"/>
  <c r="B8809" i="1"/>
  <c r="A8809" i="1"/>
  <c r="S8808" i="1"/>
  <c r="O8808" i="1"/>
  <c r="K8808" i="1"/>
  <c r="J8808" i="1"/>
  <c r="I8808" i="1"/>
  <c r="H8808" i="1"/>
  <c r="G8808" i="1"/>
  <c r="F8808" i="1"/>
  <c r="E8808" i="1"/>
  <c r="D8808" i="1"/>
  <c r="C8808" i="1"/>
  <c r="B8808" i="1"/>
  <c r="A8808" i="1"/>
  <c r="R8807" i="1"/>
  <c r="J8807" i="1"/>
  <c r="I8807" i="1"/>
  <c r="G8807" i="1"/>
  <c r="F8807" i="1"/>
  <c r="E8807" i="1"/>
  <c r="D8807" i="1"/>
  <c r="C8807" i="1"/>
  <c r="B8807" i="1"/>
  <c r="A8807" i="1"/>
  <c r="S8806" i="1"/>
  <c r="O8806" i="1"/>
  <c r="K8806" i="1"/>
  <c r="J8806" i="1"/>
  <c r="I8806" i="1"/>
  <c r="H8806" i="1"/>
  <c r="G8806" i="1"/>
  <c r="F8806" i="1"/>
  <c r="E8806" i="1"/>
  <c r="D8806" i="1"/>
  <c r="C8806" i="1"/>
  <c r="B8806" i="1"/>
  <c r="A8806" i="1"/>
  <c r="S8805" i="1"/>
  <c r="O8805" i="1"/>
  <c r="K8805" i="1"/>
  <c r="J8805" i="1"/>
  <c r="I8805" i="1"/>
  <c r="H8805" i="1"/>
  <c r="G8805" i="1"/>
  <c r="F8805" i="1"/>
  <c r="D8805" i="1"/>
  <c r="C8805" i="1"/>
  <c r="B8805" i="1"/>
  <c r="A8805" i="1"/>
  <c r="R8804" i="1"/>
  <c r="J8804" i="1"/>
  <c r="I8804" i="1"/>
  <c r="G8804" i="1"/>
  <c r="F8804" i="1"/>
  <c r="E8804" i="1"/>
  <c r="D8804" i="1"/>
  <c r="C8804" i="1"/>
  <c r="B8804" i="1"/>
  <c r="A8804" i="1"/>
  <c r="S8803" i="1"/>
  <c r="O8803" i="1"/>
  <c r="K8803" i="1"/>
  <c r="J8803" i="1"/>
  <c r="I8803" i="1"/>
  <c r="H8803" i="1"/>
  <c r="G8803" i="1"/>
  <c r="F8803" i="1"/>
  <c r="E8803" i="1"/>
  <c r="D8803" i="1"/>
  <c r="C8803" i="1"/>
  <c r="B8803" i="1"/>
  <c r="A8803" i="1"/>
  <c r="R8802" i="1"/>
  <c r="J8802" i="1"/>
  <c r="I8802" i="1"/>
  <c r="G8802" i="1"/>
  <c r="F8802" i="1"/>
  <c r="E8802" i="1"/>
  <c r="D8802" i="1"/>
  <c r="C8802" i="1"/>
  <c r="B8802" i="1"/>
  <c r="A8802" i="1"/>
  <c r="S8801" i="1"/>
  <c r="O8801" i="1"/>
  <c r="K8801" i="1"/>
  <c r="J8801" i="1"/>
  <c r="I8801" i="1"/>
  <c r="H8801" i="1"/>
  <c r="G8801" i="1"/>
  <c r="F8801" i="1"/>
  <c r="E8801" i="1"/>
  <c r="D8801" i="1"/>
  <c r="C8801" i="1"/>
  <c r="B8801" i="1"/>
  <c r="A8801" i="1"/>
  <c r="R8800" i="1"/>
  <c r="J8800" i="1"/>
  <c r="I8800" i="1"/>
  <c r="G8800" i="1"/>
  <c r="F8800" i="1"/>
  <c r="E8800" i="1"/>
  <c r="D8800" i="1"/>
  <c r="C8800" i="1"/>
  <c r="B8800" i="1"/>
  <c r="A8800" i="1"/>
  <c r="S8799" i="1"/>
  <c r="O8799" i="1"/>
  <c r="K8799" i="1"/>
  <c r="J8799" i="1"/>
  <c r="I8799" i="1"/>
  <c r="H8799" i="1"/>
  <c r="G8799" i="1"/>
  <c r="F8799" i="1"/>
  <c r="E8799" i="1"/>
  <c r="D8799" i="1"/>
  <c r="C8799" i="1"/>
  <c r="B8799" i="1"/>
  <c r="A8799" i="1"/>
  <c r="R8798" i="1"/>
  <c r="J8798" i="1"/>
  <c r="I8798" i="1"/>
  <c r="G8798" i="1"/>
  <c r="F8798" i="1"/>
  <c r="E8798" i="1"/>
  <c r="D8798" i="1"/>
  <c r="C8798" i="1"/>
  <c r="B8798" i="1"/>
  <c r="A8798" i="1"/>
  <c r="S8797" i="1"/>
  <c r="O8797" i="1"/>
  <c r="K8797" i="1"/>
  <c r="J8797" i="1"/>
  <c r="I8797" i="1"/>
  <c r="H8797" i="1"/>
  <c r="G8797" i="1"/>
  <c r="F8797" i="1"/>
  <c r="E8797" i="1"/>
  <c r="D8797" i="1"/>
  <c r="C8797" i="1"/>
  <c r="B8797" i="1"/>
  <c r="A8797" i="1"/>
  <c r="R8796" i="1"/>
  <c r="J8796" i="1"/>
  <c r="I8796" i="1"/>
  <c r="G8796" i="1"/>
  <c r="F8796" i="1"/>
  <c r="E8796" i="1"/>
  <c r="D8796" i="1"/>
  <c r="C8796" i="1"/>
  <c r="B8796" i="1"/>
  <c r="A8796" i="1"/>
  <c r="S8795" i="1"/>
  <c r="O8795" i="1"/>
  <c r="K8795" i="1"/>
  <c r="J8795" i="1"/>
  <c r="I8795" i="1"/>
  <c r="H8795" i="1"/>
  <c r="G8795" i="1"/>
  <c r="F8795" i="1"/>
  <c r="E8795" i="1"/>
  <c r="D8795" i="1"/>
  <c r="C8795" i="1"/>
  <c r="B8795" i="1"/>
  <c r="A8795" i="1"/>
  <c r="R8794" i="1"/>
  <c r="J8794" i="1"/>
  <c r="I8794" i="1"/>
  <c r="G8794" i="1"/>
  <c r="F8794" i="1"/>
  <c r="E8794" i="1"/>
  <c r="D8794" i="1"/>
  <c r="C8794" i="1"/>
  <c r="B8794" i="1"/>
  <c r="A8794" i="1"/>
  <c r="S8793" i="1"/>
  <c r="O8793" i="1"/>
  <c r="K8793" i="1"/>
  <c r="J8793" i="1"/>
  <c r="I8793" i="1"/>
  <c r="H8793" i="1"/>
  <c r="G8793" i="1"/>
  <c r="F8793" i="1"/>
  <c r="E8793" i="1"/>
  <c r="D8793" i="1"/>
  <c r="C8793" i="1"/>
  <c r="B8793" i="1"/>
  <c r="A8793" i="1"/>
  <c r="R8792" i="1"/>
  <c r="J8792" i="1"/>
  <c r="I8792" i="1"/>
  <c r="G8792" i="1"/>
  <c r="F8792" i="1"/>
  <c r="E8792" i="1"/>
  <c r="D8792" i="1"/>
  <c r="C8792" i="1"/>
  <c r="B8792" i="1"/>
  <c r="A8792" i="1"/>
  <c r="S8791" i="1"/>
  <c r="O8791" i="1"/>
  <c r="K8791" i="1"/>
  <c r="J8791" i="1"/>
  <c r="I8791" i="1"/>
  <c r="H8791" i="1"/>
  <c r="G8791" i="1"/>
  <c r="F8791" i="1"/>
  <c r="E8791" i="1"/>
  <c r="D8791" i="1"/>
  <c r="C8791" i="1"/>
  <c r="B8791" i="1"/>
  <c r="A8791" i="1"/>
  <c r="R8790" i="1"/>
  <c r="J8790" i="1"/>
  <c r="I8790" i="1"/>
  <c r="G8790" i="1"/>
  <c r="F8790" i="1"/>
  <c r="E8790" i="1"/>
  <c r="D8790" i="1"/>
  <c r="C8790" i="1"/>
  <c r="B8790" i="1"/>
  <c r="A8790" i="1"/>
  <c r="S8789" i="1"/>
  <c r="O8789" i="1"/>
  <c r="K8789" i="1"/>
  <c r="J8789" i="1"/>
  <c r="I8789" i="1"/>
  <c r="H8789" i="1"/>
  <c r="G8789" i="1"/>
  <c r="F8789" i="1"/>
  <c r="E8789" i="1"/>
  <c r="D8789" i="1"/>
  <c r="C8789" i="1"/>
  <c r="B8789" i="1"/>
  <c r="A8789" i="1"/>
  <c r="R8788" i="1"/>
  <c r="J8788" i="1"/>
  <c r="I8788" i="1"/>
  <c r="G8788" i="1"/>
  <c r="F8788" i="1"/>
  <c r="E8788" i="1"/>
  <c r="D8788" i="1"/>
  <c r="C8788" i="1"/>
  <c r="B8788" i="1"/>
  <c r="A8788" i="1"/>
  <c r="S8787" i="1"/>
  <c r="O8787" i="1"/>
  <c r="K8787" i="1"/>
  <c r="J8787" i="1"/>
  <c r="I8787" i="1"/>
  <c r="H8787" i="1"/>
  <c r="G8787" i="1"/>
  <c r="F8787" i="1"/>
  <c r="E8787" i="1"/>
  <c r="D8787" i="1"/>
  <c r="C8787" i="1"/>
  <c r="B8787" i="1"/>
  <c r="A8787" i="1"/>
  <c r="R8786" i="1"/>
  <c r="J8786" i="1"/>
  <c r="I8786" i="1"/>
  <c r="G8786" i="1"/>
  <c r="F8786" i="1"/>
  <c r="E8786" i="1"/>
  <c r="D8786" i="1"/>
  <c r="C8786" i="1"/>
  <c r="B8786" i="1"/>
  <c r="A8786" i="1"/>
  <c r="R8785" i="1"/>
  <c r="J8785" i="1"/>
  <c r="I8785" i="1"/>
  <c r="G8785" i="1"/>
  <c r="F8785" i="1"/>
  <c r="E8785" i="1"/>
  <c r="D8785" i="1"/>
  <c r="C8785" i="1"/>
  <c r="B8785" i="1"/>
  <c r="A8785" i="1"/>
  <c r="S8784" i="1"/>
  <c r="O8784" i="1"/>
  <c r="K8784" i="1"/>
  <c r="J8784" i="1"/>
  <c r="I8784" i="1"/>
  <c r="H8784" i="1"/>
  <c r="G8784" i="1"/>
  <c r="F8784" i="1"/>
  <c r="E8784" i="1"/>
  <c r="D8784" i="1"/>
  <c r="C8784" i="1"/>
  <c r="B8784" i="1"/>
  <c r="A8784" i="1"/>
  <c r="R8783" i="1"/>
  <c r="J8783" i="1"/>
  <c r="I8783" i="1"/>
  <c r="G8783" i="1"/>
  <c r="F8783" i="1"/>
  <c r="E8783" i="1"/>
  <c r="D8783" i="1"/>
  <c r="C8783" i="1"/>
  <c r="B8783" i="1"/>
  <c r="A8783" i="1"/>
  <c r="S8782" i="1"/>
  <c r="O8782" i="1"/>
  <c r="K8782" i="1"/>
  <c r="J8782" i="1"/>
  <c r="I8782" i="1"/>
  <c r="H8782" i="1"/>
  <c r="G8782" i="1"/>
  <c r="F8782" i="1"/>
  <c r="E8782" i="1"/>
  <c r="D8782" i="1"/>
  <c r="C8782" i="1"/>
  <c r="B8782" i="1"/>
  <c r="A8782" i="1"/>
  <c r="R8781" i="1"/>
  <c r="J8781" i="1"/>
  <c r="I8781" i="1"/>
  <c r="G8781" i="1"/>
  <c r="F8781" i="1"/>
  <c r="E8781" i="1"/>
  <c r="D8781" i="1"/>
  <c r="C8781" i="1"/>
  <c r="B8781" i="1"/>
  <c r="A8781" i="1"/>
  <c r="S8780" i="1"/>
  <c r="O8780" i="1"/>
  <c r="K8780" i="1"/>
  <c r="J8780" i="1"/>
  <c r="I8780" i="1"/>
  <c r="H8780" i="1"/>
  <c r="G8780" i="1"/>
  <c r="F8780" i="1"/>
  <c r="E8780" i="1"/>
  <c r="D8780" i="1"/>
  <c r="C8780" i="1"/>
  <c r="B8780" i="1"/>
  <c r="A8780" i="1"/>
  <c r="R8779" i="1"/>
  <c r="J8779" i="1"/>
  <c r="I8779" i="1"/>
  <c r="G8779" i="1"/>
  <c r="F8779" i="1"/>
  <c r="E8779" i="1"/>
  <c r="D8779" i="1"/>
  <c r="C8779" i="1"/>
  <c r="B8779" i="1"/>
  <c r="A8779" i="1"/>
  <c r="S8778" i="1"/>
  <c r="O8778" i="1"/>
  <c r="K8778" i="1"/>
  <c r="J8778" i="1"/>
  <c r="I8778" i="1"/>
  <c r="H8778" i="1"/>
  <c r="G8778" i="1"/>
  <c r="F8778" i="1"/>
  <c r="E8778" i="1"/>
  <c r="D8778" i="1"/>
  <c r="C8778" i="1"/>
  <c r="B8778" i="1"/>
  <c r="A8778" i="1"/>
  <c r="R8777" i="1"/>
  <c r="J8777" i="1"/>
  <c r="I8777" i="1"/>
  <c r="G8777" i="1"/>
  <c r="F8777" i="1"/>
  <c r="E8777" i="1"/>
  <c r="D8777" i="1"/>
  <c r="C8777" i="1"/>
  <c r="B8777" i="1"/>
  <c r="A8777" i="1"/>
  <c r="S8776" i="1"/>
  <c r="O8776" i="1"/>
  <c r="K8776" i="1"/>
  <c r="J8776" i="1"/>
  <c r="I8776" i="1"/>
  <c r="H8776" i="1"/>
  <c r="G8776" i="1"/>
  <c r="F8776" i="1"/>
  <c r="E8776" i="1"/>
  <c r="D8776" i="1"/>
  <c r="C8776" i="1"/>
  <c r="B8776" i="1"/>
  <c r="A8776" i="1"/>
  <c r="R8775" i="1"/>
  <c r="J8775" i="1"/>
  <c r="I8775" i="1"/>
  <c r="G8775" i="1"/>
  <c r="F8775" i="1"/>
  <c r="E8775" i="1"/>
  <c r="D8775" i="1"/>
  <c r="C8775" i="1"/>
  <c r="B8775" i="1"/>
  <c r="A8775" i="1"/>
  <c r="R8774" i="1"/>
  <c r="J8774" i="1"/>
  <c r="I8774" i="1"/>
  <c r="G8774" i="1"/>
  <c r="F8774" i="1"/>
  <c r="E8774" i="1"/>
  <c r="D8774" i="1"/>
  <c r="C8774" i="1"/>
  <c r="B8774" i="1"/>
  <c r="A8774" i="1"/>
  <c r="R8773" i="1"/>
  <c r="J8773" i="1"/>
  <c r="I8773" i="1"/>
  <c r="G8773" i="1"/>
  <c r="F8773" i="1"/>
  <c r="E8773" i="1"/>
  <c r="D8773" i="1"/>
  <c r="C8773" i="1"/>
  <c r="B8773" i="1"/>
  <c r="A8773" i="1"/>
  <c r="R8772" i="1"/>
  <c r="J8772" i="1"/>
  <c r="I8772" i="1"/>
  <c r="G8772" i="1"/>
  <c r="F8772" i="1"/>
  <c r="E8772" i="1"/>
  <c r="D8772" i="1"/>
  <c r="C8772" i="1"/>
  <c r="B8772" i="1"/>
  <c r="A8772" i="1"/>
  <c r="S8771" i="1"/>
  <c r="O8771" i="1"/>
  <c r="K8771" i="1"/>
  <c r="J8771" i="1"/>
  <c r="I8771" i="1"/>
  <c r="H8771" i="1"/>
  <c r="G8771" i="1"/>
  <c r="F8771" i="1"/>
  <c r="E8771" i="1"/>
  <c r="D8771" i="1"/>
  <c r="C8771" i="1"/>
  <c r="B8771" i="1"/>
  <c r="A8771" i="1"/>
  <c r="R8770" i="1"/>
  <c r="J8770" i="1"/>
  <c r="I8770" i="1"/>
  <c r="G8770" i="1"/>
  <c r="F8770" i="1"/>
  <c r="E8770" i="1"/>
  <c r="D8770" i="1"/>
  <c r="C8770" i="1"/>
  <c r="B8770" i="1"/>
  <c r="A8770" i="1"/>
  <c r="R8769" i="1"/>
  <c r="J8769" i="1"/>
  <c r="I8769" i="1"/>
  <c r="G8769" i="1"/>
  <c r="F8769" i="1"/>
  <c r="E8769" i="1"/>
  <c r="D8769" i="1"/>
  <c r="C8769" i="1"/>
  <c r="B8769" i="1"/>
  <c r="A8769" i="1"/>
  <c r="R8768" i="1"/>
  <c r="J8768" i="1"/>
  <c r="I8768" i="1"/>
  <c r="G8768" i="1"/>
  <c r="F8768" i="1"/>
  <c r="E8768" i="1"/>
  <c r="D8768" i="1"/>
  <c r="C8768" i="1"/>
  <c r="B8768" i="1"/>
  <c r="A8768" i="1"/>
  <c r="S8767" i="1"/>
  <c r="O8767" i="1"/>
  <c r="K8767" i="1"/>
  <c r="J8767" i="1"/>
  <c r="I8767" i="1"/>
  <c r="H8767" i="1"/>
  <c r="G8767" i="1"/>
  <c r="F8767" i="1"/>
  <c r="E8767" i="1"/>
  <c r="D8767" i="1"/>
  <c r="C8767" i="1"/>
  <c r="B8767" i="1"/>
  <c r="A8767" i="1"/>
  <c r="R8766" i="1"/>
  <c r="J8766" i="1"/>
  <c r="I8766" i="1"/>
  <c r="G8766" i="1"/>
  <c r="F8766" i="1"/>
  <c r="E8766" i="1"/>
  <c r="D8766" i="1"/>
  <c r="C8766" i="1"/>
  <c r="B8766" i="1"/>
  <c r="A8766" i="1"/>
  <c r="R8765" i="1"/>
  <c r="J8765" i="1"/>
  <c r="I8765" i="1"/>
  <c r="G8765" i="1"/>
  <c r="F8765" i="1"/>
  <c r="E8765" i="1"/>
  <c r="D8765" i="1"/>
  <c r="C8765" i="1"/>
  <c r="B8765" i="1"/>
  <c r="A8765" i="1"/>
  <c r="R8764" i="1"/>
  <c r="J8764" i="1"/>
  <c r="I8764" i="1"/>
  <c r="G8764" i="1"/>
  <c r="F8764" i="1"/>
  <c r="E8764" i="1"/>
  <c r="D8764" i="1"/>
  <c r="C8764" i="1"/>
  <c r="B8764" i="1"/>
  <c r="A8764" i="1"/>
  <c r="S8763" i="1"/>
  <c r="O8763" i="1"/>
  <c r="K8763" i="1"/>
  <c r="J8763" i="1"/>
  <c r="I8763" i="1"/>
  <c r="H8763" i="1"/>
  <c r="G8763" i="1"/>
  <c r="F8763" i="1"/>
  <c r="E8763" i="1"/>
  <c r="D8763" i="1"/>
  <c r="C8763" i="1"/>
  <c r="B8763" i="1"/>
  <c r="A8763" i="1"/>
  <c r="R8762" i="1"/>
  <c r="J8762" i="1"/>
  <c r="I8762" i="1"/>
  <c r="G8762" i="1"/>
  <c r="F8762" i="1"/>
  <c r="E8762" i="1"/>
  <c r="D8762" i="1"/>
  <c r="C8762" i="1"/>
  <c r="B8762" i="1"/>
  <c r="A8762" i="1"/>
  <c r="R8761" i="1"/>
  <c r="J8761" i="1"/>
  <c r="I8761" i="1"/>
  <c r="G8761" i="1"/>
  <c r="F8761" i="1"/>
  <c r="E8761" i="1"/>
  <c r="D8761" i="1"/>
  <c r="C8761" i="1"/>
  <c r="B8761" i="1"/>
  <c r="A8761" i="1"/>
  <c r="R8760" i="1"/>
  <c r="J8760" i="1"/>
  <c r="I8760" i="1"/>
  <c r="G8760" i="1"/>
  <c r="F8760" i="1"/>
  <c r="E8760" i="1"/>
  <c r="D8760" i="1"/>
  <c r="C8760" i="1"/>
  <c r="B8760" i="1"/>
  <c r="A8760" i="1"/>
  <c r="R8759" i="1"/>
  <c r="J8759" i="1"/>
  <c r="I8759" i="1"/>
  <c r="G8759" i="1"/>
  <c r="F8759" i="1"/>
  <c r="E8759" i="1"/>
  <c r="D8759" i="1"/>
  <c r="C8759" i="1"/>
  <c r="B8759" i="1"/>
  <c r="A8759" i="1"/>
  <c r="R8758" i="1"/>
  <c r="J8758" i="1"/>
  <c r="I8758" i="1"/>
  <c r="G8758" i="1"/>
  <c r="F8758" i="1"/>
  <c r="E8758" i="1"/>
  <c r="D8758" i="1"/>
  <c r="C8758" i="1"/>
  <c r="B8758" i="1"/>
  <c r="A8758" i="1"/>
  <c r="R8757" i="1"/>
  <c r="J8757" i="1"/>
  <c r="I8757" i="1"/>
  <c r="G8757" i="1"/>
  <c r="F8757" i="1"/>
  <c r="E8757" i="1"/>
  <c r="D8757" i="1"/>
  <c r="C8757" i="1"/>
  <c r="B8757" i="1"/>
  <c r="A8757" i="1"/>
  <c r="S8756" i="1"/>
  <c r="O8756" i="1"/>
  <c r="K8756" i="1"/>
  <c r="J8756" i="1"/>
  <c r="I8756" i="1"/>
  <c r="H8756" i="1"/>
  <c r="G8756" i="1"/>
  <c r="F8756" i="1"/>
  <c r="E8756" i="1"/>
  <c r="D8756" i="1"/>
  <c r="C8756" i="1"/>
  <c r="B8756" i="1"/>
  <c r="A8756" i="1"/>
  <c r="R8755" i="1"/>
  <c r="J8755" i="1"/>
  <c r="I8755" i="1"/>
  <c r="G8755" i="1"/>
  <c r="F8755" i="1"/>
  <c r="E8755" i="1"/>
  <c r="D8755" i="1"/>
  <c r="C8755" i="1"/>
  <c r="B8755" i="1"/>
  <c r="A8755" i="1"/>
  <c r="S8754" i="1"/>
  <c r="O8754" i="1"/>
  <c r="K8754" i="1"/>
  <c r="J8754" i="1"/>
  <c r="I8754" i="1"/>
  <c r="H8754" i="1"/>
  <c r="G8754" i="1"/>
  <c r="F8754" i="1"/>
  <c r="E8754" i="1"/>
  <c r="D8754" i="1"/>
  <c r="C8754" i="1"/>
  <c r="B8754" i="1"/>
  <c r="A8754" i="1"/>
  <c r="R8753" i="1"/>
  <c r="J8753" i="1"/>
  <c r="I8753" i="1"/>
  <c r="G8753" i="1"/>
  <c r="F8753" i="1"/>
  <c r="E8753" i="1"/>
  <c r="D8753" i="1"/>
  <c r="C8753" i="1"/>
  <c r="B8753" i="1"/>
  <c r="A8753" i="1"/>
  <c r="R8752" i="1"/>
  <c r="J8752" i="1"/>
  <c r="I8752" i="1"/>
  <c r="G8752" i="1"/>
  <c r="F8752" i="1"/>
  <c r="E8752" i="1"/>
  <c r="D8752" i="1"/>
  <c r="C8752" i="1"/>
  <c r="B8752" i="1"/>
  <c r="A8752" i="1"/>
  <c r="S8751" i="1"/>
  <c r="O8751" i="1"/>
  <c r="K8751" i="1"/>
  <c r="J8751" i="1"/>
  <c r="I8751" i="1"/>
  <c r="H8751" i="1"/>
  <c r="G8751" i="1"/>
  <c r="F8751" i="1"/>
  <c r="E8751" i="1"/>
  <c r="D8751" i="1"/>
  <c r="C8751" i="1"/>
  <c r="B8751" i="1"/>
  <c r="A8751" i="1"/>
  <c r="R8750" i="1"/>
  <c r="J8750" i="1"/>
  <c r="I8750" i="1"/>
  <c r="G8750" i="1"/>
  <c r="F8750" i="1"/>
  <c r="E8750" i="1"/>
  <c r="D8750" i="1"/>
  <c r="C8750" i="1"/>
  <c r="B8750" i="1"/>
  <c r="A8750" i="1"/>
  <c r="R8749" i="1"/>
  <c r="J8749" i="1"/>
  <c r="I8749" i="1"/>
  <c r="G8749" i="1"/>
  <c r="F8749" i="1"/>
  <c r="E8749" i="1"/>
  <c r="D8749" i="1"/>
  <c r="C8749" i="1"/>
  <c r="B8749" i="1"/>
  <c r="A8749" i="1"/>
  <c r="R8748" i="1"/>
  <c r="J8748" i="1"/>
  <c r="I8748" i="1"/>
  <c r="G8748" i="1"/>
  <c r="F8748" i="1"/>
  <c r="E8748" i="1"/>
  <c r="D8748" i="1"/>
  <c r="C8748" i="1"/>
  <c r="B8748" i="1"/>
  <c r="A8748" i="1"/>
  <c r="R8747" i="1"/>
  <c r="J8747" i="1"/>
  <c r="I8747" i="1"/>
  <c r="G8747" i="1"/>
  <c r="F8747" i="1"/>
  <c r="E8747" i="1"/>
  <c r="D8747" i="1"/>
  <c r="C8747" i="1"/>
  <c r="B8747" i="1"/>
  <c r="A8747" i="1"/>
  <c r="R8746" i="1"/>
  <c r="J8746" i="1"/>
  <c r="I8746" i="1"/>
  <c r="G8746" i="1"/>
  <c r="F8746" i="1"/>
  <c r="E8746" i="1"/>
  <c r="D8746" i="1"/>
  <c r="C8746" i="1"/>
  <c r="B8746" i="1"/>
  <c r="A8746" i="1"/>
  <c r="S8745" i="1"/>
  <c r="O8745" i="1"/>
  <c r="K8745" i="1"/>
  <c r="J8745" i="1"/>
  <c r="I8745" i="1"/>
  <c r="H8745" i="1"/>
  <c r="G8745" i="1"/>
  <c r="F8745" i="1"/>
  <c r="E8745" i="1"/>
  <c r="D8745" i="1"/>
  <c r="C8745" i="1"/>
  <c r="B8745" i="1"/>
  <c r="A8745" i="1"/>
  <c r="R8744" i="1"/>
  <c r="J8744" i="1"/>
  <c r="I8744" i="1"/>
  <c r="G8744" i="1"/>
  <c r="F8744" i="1"/>
  <c r="E8744" i="1"/>
  <c r="D8744" i="1"/>
  <c r="C8744" i="1"/>
  <c r="B8744" i="1"/>
  <c r="A8744" i="1"/>
  <c r="S8743" i="1"/>
  <c r="O8743" i="1"/>
  <c r="K8743" i="1"/>
  <c r="J8743" i="1"/>
  <c r="I8743" i="1"/>
  <c r="H8743" i="1"/>
  <c r="G8743" i="1"/>
  <c r="F8743" i="1"/>
  <c r="E8743" i="1"/>
  <c r="D8743" i="1"/>
  <c r="C8743" i="1"/>
  <c r="B8743" i="1"/>
  <c r="A8743" i="1"/>
  <c r="R8742" i="1"/>
  <c r="J8742" i="1"/>
  <c r="I8742" i="1"/>
  <c r="G8742" i="1"/>
  <c r="F8742" i="1"/>
  <c r="E8742" i="1"/>
  <c r="D8742" i="1"/>
  <c r="C8742" i="1"/>
  <c r="B8742" i="1"/>
  <c r="A8742" i="1"/>
  <c r="S8741" i="1"/>
  <c r="O8741" i="1"/>
  <c r="K8741" i="1"/>
  <c r="J8741" i="1"/>
  <c r="I8741" i="1"/>
  <c r="H8741" i="1"/>
  <c r="G8741" i="1"/>
  <c r="F8741" i="1"/>
  <c r="E8741" i="1"/>
  <c r="D8741" i="1"/>
  <c r="C8741" i="1"/>
  <c r="B8741" i="1"/>
  <c r="A8741" i="1"/>
  <c r="R8740" i="1"/>
  <c r="J8740" i="1"/>
  <c r="I8740" i="1"/>
  <c r="G8740" i="1"/>
  <c r="F8740" i="1"/>
  <c r="E8740" i="1"/>
  <c r="D8740" i="1"/>
  <c r="C8740" i="1"/>
  <c r="B8740" i="1"/>
  <c r="A8740" i="1"/>
  <c r="S8739" i="1"/>
  <c r="O8739" i="1"/>
  <c r="K8739" i="1"/>
  <c r="J8739" i="1"/>
  <c r="I8739" i="1"/>
  <c r="H8739" i="1"/>
  <c r="G8739" i="1"/>
  <c r="F8739" i="1"/>
  <c r="E8739" i="1"/>
  <c r="D8739" i="1"/>
  <c r="C8739" i="1"/>
  <c r="B8739" i="1"/>
  <c r="A8739" i="1"/>
  <c r="R8738" i="1"/>
  <c r="J8738" i="1"/>
  <c r="I8738" i="1"/>
  <c r="G8738" i="1"/>
  <c r="F8738" i="1"/>
  <c r="E8738" i="1"/>
  <c r="D8738" i="1"/>
  <c r="C8738" i="1"/>
  <c r="B8738" i="1"/>
  <c r="A8738" i="1"/>
  <c r="R8737" i="1"/>
  <c r="J8737" i="1"/>
  <c r="I8737" i="1"/>
  <c r="G8737" i="1"/>
  <c r="F8737" i="1"/>
  <c r="E8737" i="1"/>
  <c r="D8737" i="1"/>
  <c r="C8737" i="1"/>
  <c r="B8737" i="1"/>
  <c r="A8737" i="1"/>
  <c r="R8736" i="1"/>
  <c r="J8736" i="1"/>
  <c r="I8736" i="1"/>
  <c r="G8736" i="1"/>
  <c r="F8736" i="1"/>
  <c r="E8736" i="1"/>
  <c r="D8736" i="1"/>
  <c r="C8736" i="1"/>
  <c r="B8736" i="1"/>
  <c r="A8736" i="1"/>
  <c r="R8735" i="1"/>
  <c r="J8735" i="1"/>
  <c r="I8735" i="1"/>
  <c r="G8735" i="1"/>
  <c r="F8735" i="1"/>
  <c r="E8735" i="1"/>
  <c r="D8735" i="1"/>
  <c r="C8735" i="1"/>
  <c r="B8735" i="1"/>
  <c r="A8735" i="1"/>
  <c r="S8734" i="1"/>
  <c r="O8734" i="1"/>
  <c r="K8734" i="1"/>
  <c r="J8734" i="1"/>
  <c r="I8734" i="1"/>
  <c r="H8734" i="1"/>
  <c r="G8734" i="1"/>
  <c r="F8734" i="1"/>
  <c r="E8734" i="1"/>
  <c r="D8734" i="1"/>
  <c r="C8734" i="1"/>
  <c r="B8734" i="1"/>
  <c r="A8734" i="1"/>
  <c r="R8733" i="1"/>
  <c r="J8733" i="1"/>
  <c r="I8733" i="1"/>
  <c r="G8733" i="1"/>
  <c r="F8733" i="1"/>
  <c r="E8733" i="1"/>
  <c r="D8733" i="1"/>
  <c r="C8733" i="1"/>
  <c r="B8733" i="1"/>
  <c r="A8733" i="1"/>
  <c r="S8732" i="1"/>
  <c r="O8732" i="1"/>
  <c r="K8732" i="1"/>
  <c r="J8732" i="1"/>
  <c r="I8732" i="1"/>
  <c r="H8732" i="1"/>
  <c r="G8732" i="1"/>
  <c r="F8732" i="1"/>
  <c r="E8732" i="1"/>
  <c r="D8732" i="1"/>
  <c r="C8732" i="1"/>
  <c r="B8732" i="1"/>
  <c r="A8732" i="1"/>
  <c r="R8731" i="1"/>
  <c r="J8731" i="1"/>
  <c r="I8731" i="1"/>
  <c r="G8731" i="1"/>
  <c r="F8731" i="1"/>
  <c r="E8731" i="1"/>
  <c r="D8731" i="1"/>
  <c r="C8731" i="1"/>
  <c r="B8731" i="1"/>
  <c r="A8731" i="1"/>
  <c r="S8730" i="1"/>
  <c r="O8730" i="1"/>
  <c r="K8730" i="1"/>
  <c r="J8730" i="1"/>
  <c r="I8730" i="1"/>
  <c r="H8730" i="1"/>
  <c r="G8730" i="1"/>
  <c r="F8730" i="1"/>
  <c r="E8730" i="1"/>
  <c r="D8730" i="1"/>
  <c r="C8730" i="1"/>
  <c r="B8730" i="1"/>
  <c r="A8730" i="1"/>
  <c r="R8729" i="1"/>
  <c r="J8729" i="1"/>
  <c r="I8729" i="1"/>
  <c r="G8729" i="1"/>
  <c r="F8729" i="1"/>
  <c r="E8729" i="1"/>
  <c r="D8729" i="1"/>
  <c r="C8729" i="1"/>
  <c r="B8729" i="1"/>
  <c r="A8729" i="1"/>
  <c r="R8728" i="1"/>
  <c r="J8728" i="1"/>
  <c r="I8728" i="1"/>
  <c r="G8728" i="1"/>
  <c r="F8728" i="1"/>
  <c r="E8728" i="1"/>
  <c r="D8728" i="1"/>
  <c r="C8728" i="1"/>
  <c r="B8728" i="1"/>
  <c r="A8728" i="1"/>
  <c r="S8727" i="1"/>
  <c r="O8727" i="1"/>
  <c r="K8727" i="1"/>
  <c r="J8727" i="1"/>
  <c r="I8727" i="1"/>
  <c r="H8727" i="1"/>
  <c r="G8727" i="1"/>
  <c r="F8727" i="1"/>
  <c r="E8727" i="1"/>
  <c r="D8727" i="1"/>
  <c r="C8727" i="1"/>
  <c r="B8727" i="1"/>
  <c r="A8727" i="1"/>
  <c r="R8726" i="1"/>
  <c r="J8726" i="1"/>
  <c r="I8726" i="1"/>
  <c r="G8726" i="1"/>
  <c r="F8726" i="1"/>
  <c r="E8726" i="1"/>
  <c r="D8726" i="1"/>
  <c r="C8726" i="1"/>
  <c r="B8726" i="1"/>
  <c r="A8726" i="1"/>
  <c r="R8725" i="1"/>
  <c r="J8725" i="1"/>
  <c r="I8725" i="1"/>
  <c r="G8725" i="1"/>
  <c r="F8725" i="1"/>
  <c r="E8725" i="1"/>
  <c r="D8725" i="1"/>
  <c r="C8725" i="1"/>
  <c r="B8725" i="1"/>
  <c r="A8725" i="1"/>
  <c r="R8724" i="1"/>
  <c r="J8724" i="1"/>
  <c r="I8724" i="1"/>
  <c r="G8724" i="1"/>
  <c r="F8724" i="1"/>
  <c r="E8724" i="1"/>
  <c r="D8724" i="1"/>
  <c r="C8724" i="1"/>
  <c r="B8724" i="1"/>
  <c r="A8724" i="1"/>
  <c r="S8723" i="1"/>
  <c r="O8723" i="1"/>
  <c r="K8723" i="1"/>
  <c r="J8723" i="1"/>
  <c r="I8723" i="1"/>
  <c r="H8723" i="1"/>
  <c r="G8723" i="1"/>
  <c r="F8723" i="1"/>
  <c r="E8723" i="1"/>
  <c r="D8723" i="1"/>
  <c r="C8723" i="1"/>
  <c r="B8723" i="1"/>
  <c r="A8723" i="1"/>
  <c r="R8722" i="1"/>
  <c r="J8722" i="1"/>
  <c r="I8722" i="1"/>
  <c r="G8722" i="1"/>
  <c r="F8722" i="1"/>
  <c r="E8722" i="1"/>
  <c r="D8722" i="1"/>
  <c r="C8722" i="1"/>
  <c r="B8722" i="1"/>
  <c r="A8722" i="1"/>
  <c r="S8721" i="1"/>
  <c r="O8721" i="1"/>
  <c r="K8721" i="1"/>
  <c r="J8721" i="1"/>
  <c r="I8721" i="1"/>
  <c r="H8721" i="1"/>
  <c r="G8721" i="1"/>
  <c r="F8721" i="1"/>
  <c r="E8721" i="1"/>
  <c r="D8721" i="1"/>
  <c r="C8721" i="1"/>
  <c r="B8721" i="1"/>
  <c r="A8721" i="1"/>
  <c r="R8720" i="1"/>
  <c r="J8720" i="1"/>
  <c r="I8720" i="1"/>
  <c r="G8720" i="1"/>
  <c r="F8720" i="1"/>
  <c r="E8720" i="1"/>
  <c r="D8720" i="1"/>
  <c r="C8720" i="1"/>
  <c r="B8720" i="1"/>
  <c r="A8720" i="1"/>
  <c r="S8719" i="1"/>
  <c r="O8719" i="1"/>
  <c r="K8719" i="1"/>
  <c r="J8719" i="1"/>
  <c r="I8719" i="1"/>
  <c r="H8719" i="1"/>
  <c r="G8719" i="1"/>
  <c r="F8719" i="1"/>
  <c r="E8719" i="1"/>
  <c r="D8719" i="1"/>
  <c r="C8719" i="1"/>
  <c r="B8719" i="1"/>
  <c r="A8719" i="1"/>
  <c r="R8718" i="1"/>
  <c r="J8718" i="1"/>
  <c r="I8718" i="1"/>
  <c r="G8718" i="1"/>
  <c r="F8718" i="1"/>
  <c r="E8718" i="1"/>
  <c r="D8718" i="1"/>
  <c r="C8718" i="1"/>
  <c r="B8718" i="1"/>
  <c r="A8718" i="1"/>
  <c r="S8717" i="1"/>
  <c r="O8717" i="1"/>
  <c r="K8717" i="1"/>
  <c r="J8717" i="1"/>
  <c r="I8717" i="1"/>
  <c r="H8717" i="1"/>
  <c r="G8717" i="1"/>
  <c r="F8717" i="1"/>
  <c r="E8717" i="1"/>
  <c r="D8717" i="1"/>
  <c r="C8717" i="1"/>
  <c r="B8717" i="1"/>
  <c r="A8717" i="1"/>
  <c r="R8716" i="1"/>
  <c r="J8716" i="1"/>
  <c r="I8716" i="1"/>
  <c r="G8716" i="1"/>
  <c r="F8716" i="1"/>
  <c r="E8716" i="1"/>
  <c r="D8716" i="1"/>
  <c r="C8716" i="1"/>
  <c r="B8716" i="1"/>
  <c r="A8716" i="1"/>
  <c r="S8715" i="1"/>
  <c r="O8715" i="1"/>
  <c r="K8715" i="1"/>
  <c r="J8715" i="1"/>
  <c r="I8715" i="1"/>
  <c r="H8715" i="1"/>
  <c r="G8715" i="1"/>
  <c r="F8715" i="1"/>
  <c r="E8715" i="1"/>
  <c r="D8715" i="1"/>
  <c r="C8715" i="1"/>
  <c r="B8715" i="1"/>
  <c r="A8715" i="1"/>
  <c r="R8714" i="1"/>
  <c r="J8714" i="1"/>
  <c r="I8714" i="1"/>
  <c r="G8714" i="1"/>
  <c r="F8714" i="1"/>
  <c r="E8714" i="1"/>
  <c r="D8714" i="1"/>
  <c r="C8714" i="1"/>
  <c r="B8714" i="1"/>
  <c r="A8714" i="1"/>
  <c r="S8713" i="1"/>
  <c r="O8713" i="1"/>
  <c r="K8713" i="1"/>
  <c r="J8713" i="1"/>
  <c r="I8713" i="1"/>
  <c r="H8713" i="1"/>
  <c r="G8713" i="1"/>
  <c r="F8713" i="1"/>
  <c r="E8713" i="1"/>
  <c r="D8713" i="1"/>
  <c r="C8713" i="1"/>
  <c r="B8713" i="1"/>
  <c r="A8713" i="1"/>
  <c r="R8712" i="1"/>
  <c r="J8712" i="1"/>
  <c r="I8712" i="1"/>
  <c r="G8712" i="1"/>
  <c r="F8712" i="1"/>
  <c r="E8712" i="1"/>
  <c r="D8712" i="1"/>
  <c r="C8712" i="1"/>
  <c r="B8712" i="1"/>
  <c r="A8712" i="1"/>
  <c r="S8711" i="1"/>
  <c r="O8711" i="1"/>
  <c r="K8711" i="1"/>
  <c r="J8711" i="1"/>
  <c r="I8711" i="1"/>
  <c r="H8711" i="1"/>
  <c r="G8711" i="1"/>
  <c r="F8711" i="1"/>
  <c r="E8711" i="1"/>
  <c r="D8711" i="1"/>
  <c r="C8711" i="1"/>
  <c r="B8711" i="1"/>
  <c r="A8711" i="1"/>
  <c r="R8710" i="1"/>
  <c r="J8710" i="1"/>
  <c r="I8710" i="1"/>
  <c r="G8710" i="1"/>
  <c r="F8710" i="1"/>
  <c r="E8710" i="1"/>
  <c r="D8710" i="1"/>
  <c r="C8710" i="1"/>
  <c r="B8710" i="1"/>
  <c r="A8710" i="1"/>
  <c r="S8709" i="1"/>
  <c r="O8709" i="1"/>
  <c r="K8709" i="1"/>
  <c r="J8709" i="1"/>
  <c r="I8709" i="1"/>
  <c r="H8709" i="1"/>
  <c r="G8709" i="1"/>
  <c r="F8709" i="1"/>
  <c r="E8709" i="1"/>
  <c r="D8709" i="1"/>
  <c r="C8709" i="1"/>
  <c r="B8709" i="1"/>
  <c r="A8709" i="1"/>
  <c r="R8708" i="1"/>
  <c r="J8708" i="1"/>
  <c r="I8708" i="1"/>
  <c r="G8708" i="1"/>
  <c r="F8708" i="1"/>
  <c r="E8708" i="1"/>
  <c r="D8708" i="1"/>
  <c r="C8708" i="1"/>
  <c r="B8708" i="1"/>
  <c r="A8708" i="1"/>
  <c r="S8707" i="1"/>
  <c r="O8707" i="1"/>
  <c r="K8707" i="1"/>
  <c r="J8707" i="1"/>
  <c r="I8707" i="1"/>
  <c r="H8707" i="1"/>
  <c r="G8707" i="1"/>
  <c r="F8707" i="1"/>
  <c r="E8707" i="1"/>
  <c r="D8707" i="1"/>
  <c r="C8707" i="1"/>
  <c r="B8707" i="1"/>
  <c r="A8707" i="1"/>
  <c r="R8706" i="1"/>
  <c r="J8706" i="1"/>
  <c r="I8706" i="1"/>
  <c r="G8706" i="1"/>
  <c r="F8706" i="1"/>
  <c r="E8706" i="1"/>
  <c r="D8706" i="1"/>
  <c r="C8706" i="1"/>
  <c r="B8706" i="1"/>
  <c r="A8706" i="1"/>
  <c r="S8705" i="1"/>
  <c r="O8705" i="1"/>
  <c r="K8705" i="1"/>
  <c r="J8705" i="1"/>
  <c r="I8705" i="1"/>
  <c r="H8705" i="1"/>
  <c r="G8705" i="1"/>
  <c r="F8705" i="1"/>
  <c r="E8705" i="1"/>
  <c r="D8705" i="1"/>
  <c r="C8705" i="1"/>
  <c r="B8705" i="1"/>
  <c r="A8705" i="1"/>
  <c r="R8704" i="1"/>
  <c r="J8704" i="1"/>
  <c r="I8704" i="1"/>
  <c r="G8704" i="1"/>
  <c r="F8704" i="1"/>
  <c r="E8704" i="1"/>
  <c r="D8704" i="1"/>
  <c r="C8704" i="1"/>
  <c r="B8704" i="1"/>
  <c r="A8704" i="1"/>
  <c r="S8703" i="1"/>
  <c r="O8703" i="1"/>
  <c r="K8703" i="1"/>
  <c r="J8703" i="1"/>
  <c r="I8703" i="1"/>
  <c r="H8703" i="1"/>
  <c r="G8703" i="1"/>
  <c r="F8703" i="1"/>
  <c r="E8703" i="1"/>
  <c r="D8703" i="1"/>
  <c r="C8703" i="1"/>
  <c r="B8703" i="1"/>
  <c r="A8703" i="1"/>
  <c r="R8702" i="1"/>
  <c r="J8702" i="1"/>
  <c r="I8702" i="1"/>
  <c r="G8702" i="1"/>
  <c r="F8702" i="1"/>
  <c r="E8702" i="1"/>
  <c r="D8702" i="1"/>
  <c r="C8702" i="1"/>
  <c r="B8702" i="1"/>
  <c r="A8702" i="1"/>
  <c r="S8701" i="1"/>
  <c r="O8701" i="1"/>
  <c r="K8701" i="1"/>
  <c r="J8701" i="1"/>
  <c r="I8701" i="1"/>
  <c r="H8701" i="1"/>
  <c r="G8701" i="1"/>
  <c r="F8701" i="1"/>
  <c r="E8701" i="1"/>
  <c r="D8701" i="1"/>
  <c r="C8701" i="1"/>
  <c r="B8701" i="1"/>
  <c r="A8701" i="1"/>
  <c r="R8700" i="1"/>
  <c r="J8700" i="1"/>
  <c r="I8700" i="1"/>
  <c r="G8700" i="1"/>
  <c r="F8700" i="1"/>
  <c r="E8700" i="1"/>
  <c r="D8700" i="1"/>
  <c r="C8700" i="1"/>
  <c r="B8700" i="1"/>
  <c r="A8700" i="1"/>
  <c r="S8699" i="1"/>
  <c r="O8699" i="1"/>
  <c r="K8699" i="1"/>
  <c r="J8699" i="1"/>
  <c r="I8699" i="1"/>
  <c r="H8699" i="1"/>
  <c r="G8699" i="1"/>
  <c r="F8699" i="1"/>
  <c r="E8699" i="1"/>
  <c r="D8699" i="1"/>
  <c r="C8699" i="1"/>
  <c r="B8699" i="1"/>
  <c r="A8699" i="1"/>
  <c r="R8698" i="1"/>
  <c r="J8698" i="1"/>
  <c r="I8698" i="1"/>
  <c r="G8698" i="1"/>
  <c r="F8698" i="1"/>
  <c r="E8698" i="1"/>
  <c r="D8698" i="1"/>
  <c r="C8698" i="1"/>
  <c r="B8698" i="1"/>
  <c r="A8698" i="1"/>
  <c r="S8697" i="1"/>
  <c r="O8697" i="1"/>
  <c r="K8697" i="1"/>
  <c r="J8697" i="1"/>
  <c r="I8697" i="1"/>
  <c r="H8697" i="1"/>
  <c r="G8697" i="1"/>
  <c r="F8697" i="1"/>
  <c r="E8697" i="1"/>
  <c r="D8697" i="1"/>
  <c r="C8697" i="1"/>
  <c r="B8697" i="1"/>
  <c r="A8697" i="1"/>
  <c r="R8696" i="1"/>
  <c r="J8696" i="1"/>
  <c r="I8696" i="1"/>
  <c r="G8696" i="1"/>
  <c r="F8696" i="1"/>
  <c r="E8696" i="1"/>
  <c r="D8696" i="1"/>
  <c r="C8696" i="1"/>
  <c r="B8696" i="1"/>
  <c r="A8696" i="1"/>
  <c r="R8695" i="1"/>
  <c r="J8695" i="1"/>
  <c r="I8695" i="1"/>
  <c r="G8695" i="1"/>
  <c r="F8695" i="1"/>
  <c r="E8695" i="1"/>
  <c r="D8695" i="1"/>
  <c r="C8695" i="1"/>
  <c r="B8695" i="1"/>
  <c r="A8695" i="1"/>
  <c r="R8694" i="1"/>
  <c r="J8694" i="1"/>
  <c r="I8694" i="1"/>
  <c r="G8694" i="1"/>
  <c r="F8694" i="1"/>
  <c r="E8694" i="1"/>
  <c r="D8694" i="1"/>
  <c r="C8694" i="1"/>
  <c r="B8694" i="1"/>
  <c r="A8694" i="1"/>
  <c r="R8693" i="1"/>
  <c r="J8693" i="1"/>
  <c r="I8693" i="1"/>
  <c r="G8693" i="1"/>
  <c r="F8693" i="1"/>
  <c r="E8693" i="1"/>
  <c r="D8693" i="1"/>
  <c r="C8693" i="1"/>
  <c r="B8693" i="1"/>
  <c r="A8693" i="1"/>
  <c r="R8692" i="1"/>
  <c r="J8692" i="1"/>
  <c r="I8692" i="1"/>
  <c r="G8692" i="1"/>
  <c r="F8692" i="1"/>
  <c r="E8692" i="1"/>
  <c r="D8692" i="1"/>
  <c r="C8692" i="1"/>
  <c r="B8692" i="1"/>
  <c r="A8692" i="1"/>
  <c r="R8691" i="1"/>
  <c r="J8691" i="1"/>
  <c r="I8691" i="1"/>
  <c r="G8691" i="1"/>
  <c r="F8691" i="1"/>
  <c r="E8691" i="1"/>
  <c r="D8691" i="1"/>
  <c r="C8691" i="1"/>
  <c r="B8691" i="1"/>
  <c r="A8691" i="1"/>
  <c r="R8690" i="1"/>
  <c r="J8690" i="1"/>
  <c r="I8690" i="1"/>
  <c r="G8690" i="1"/>
  <c r="F8690" i="1"/>
  <c r="E8690" i="1"/>
  <c r="D8690" i="1"/>
  <c r="C8690" i="1"/>
  <c r="B8690" i="1"/>
  <c r="A8690" i="1"/>
  <c r="R8689" i="1"/>
  <c r="J8689" i="1"/>
  <c r="I8689" i="1"/>
  <c r="G8689" i="1"/>
  <c r="F8689" i="1"/>
  <c r="E8689" i="1"/>
  <c r="D8689" i="1"/>
  <c r="C8689" i="1"/>
  <c r="B8689" i="1"/>
  <c r="A8689" i="1"/>
  <c r="R8688" i="1"/>
  <c r="J8688" i="1"/>
  <c r="I8688" i="1"/>
  <c r="G8688" i="1"/>
  <c r="F8688" i="1"/>
  <c r="E8688" i="1"/>
  <c r="D8688" i="1"/>
  <c r="C8688" i="1"/>
  <c r="B8688" i="1"/>
  <c r="A8688" i="1"/>
  <c r="R8687" i="1"/>
  <c r="J8687" i="1"/>
  <c r="I8687" i="1"/>
  <c r="G8687" i="1"/>
  <c r="F8687" i="1"/>
  <c r="E8687" i="1"/>
  <c r="D8687" i="1"/>
  <c r="C8687" i="1"/>
  <c r="B8687" i="1"/>
  <c r="A8687" i="1"/>
  <c r="S8686" i="1"/>
  <c r="O8686" i="1"/>
  <c r="K8686" i="1"/>
  <c r="J8686" i="1"/>
  <c r="I8686" i="1"/>
  <c r="H8686" i="1"/>
  <c r="G8686" i="1"/>
  <c r="F8686" i="1"/>
  <c r="E8686" i="1"/>
  <c r="D8686" i="1"/>
  <c r="C8686" i="1"/>
  <c r="B8686" i="1"/>
  <c r="A8686" i="1"/>
  <c r="R8685" i="1"/>
  <c r="J8685" i="1"/>
  <c r="I8685" i="1"/>
  <c r="G8685" i="1"/>
  <c r="F8685" i="1"/>
  <c r="E8685" i="1"/>
  <c r="D8685" i="1"/>
  <c r="C8685" i="1"/>
  <c r="B8685" i="1"/>
  <c r="A8685" i="1"/>
  <c r="R8684" i="1"/>
  <c r="J8684" i="1"/>
  <c r="I8684" i="1"/>
  <c r="G8684" i="1"/>
  <c r="F8684" i="1"/>
  <c r="E8684" i="1"/>
  <c r="D8684" i="1"/>
  <c r="C8684" i="1"/>
  <c r="B8684" i="1"/>
  <c r="A8684" i="1"/>
  <c r="R8683" i="1"/>
  <c r="J8683" i="1"/>
  <c r="I8683" i="1"/>
  <c r="G8683" i="1"/>
  <c r="F8683" i="1"/>
  <c r="E8683" i="1"/>
  <c r="D8683" i="1"/>
  <c r="C8683" i="1"/>
  <c r="B8683" i="1"/>
  <c r="A8683" i="1"/>
  <c r="R8682" i="1"/>
  <c r="J8682" i="1"/>
  <c r="I8682" i="1"/>
  <c r="G8682" i="1"/>
  <c r="F8682" i="1"/>
  <c r="E8682" i="1"/>
  <c r="D8682" i="1"/>
  <c r="C8682" i="1"/>
  <c r="B8682" i="1"/>
  <c r="A8682" i="1"/>
  <c r="R8681" i="1"/>
  <c r="J8681" i="1"/>
  <c r="I8681" i="1"/>
  <c r="G8681" i="1"/>
  <c r="F8681" i="1"/>
  <c r="E8681" i="1"/>
  <c r="D8681" i="1"/>
  <c r="C8681" i="1"/>
  <c r="B8681" i="1"/>
  <c r="A8681" i="1"/>
  <c r="R8680" i="1"/>
  <c r="J8680" i="1"/>
  <c r="I8680" i="1"/>
  <c r="G8680" i="1"/>
  <c r="F8680" i="1"/>
  <c r="E8680" i="1"/>
  <c r="D8680" i="1"/>
  <c r="C8680" i="1"/>
  <c r="B8680" i="1"/>
  <c r="A8680" i="1"/>
  <c r="R8679" i="1"/>
  <c r="J8679" i="1"/>
  <c r="I8679" i="1"/>
  <c r="G8679" i="1"/>
  <c r="F8679" i="1"/>
  <c r="E8679" i="1"/>
  <c r="D8679" i="1"/>
  <c r="C8679" i="1"/>
  <c r="B8679" i="1"/>
  <c r="A8679" i="1"/>
  <c r="R8678" i="1"/>
  <c r="J8678" i="1"/>
  <c r="I8678" i="1"/>
  <c r="G8678" i="1"/>
  <c r="F8678" i="1"/>
  <c r="E8678" i="1"/>
  <c r="D8678" i="1"/>
  <c r="C8678" i="1"/>
  <c r="B8678" i="1"/>
  <c r="A8678" i="1"/>
  <c r="R8677" i="1"/>
  <c r="J8677" i="1"/>
  <c r="I8677" i="1"/>
  <c r="G8677" i="1"/>
  <c r="F8677" i="1"/>
  <c r="E8677" i="1"/>
  <c r="D8677" i="1"/>
  <c r="C8677" i="1"/>
  <c r="B8677" i="1"/>
  <c r="A8677" i="1"/>
  <c r="R8676" i="1"/>
  <c r="J8676" i="1"/>
  <c r="I8676" i="1"/>
  <c r="G8676" i="1"/>
  <c r="F8676" i="1"/>
  <c r="E8676" i="1"/>
  <c r="D8676" i="1"/>
  <c r="C8676" i="1"/>
  <c r="B8676" i="1"/>
  <c r="A8676" i="1"/>
  <c r="R8675" i="1"/>
  <c r="J8675" i="1"/>
  <c r="I8675" i="1"/>
  <c r="G8675" i="1"/>
  <c r="F8675" i="1"/>
  <c r="E8675" i="1"/>
  <c r="D8675" i="1"/>
  <c r="C8675" i="1"/>
  <c r="B8675" i="1"/>
  <c r="A8675" i="1"/>
  <c r="R8674" i="1"/>
  <c r="J8674" i="1"/>
  <c r="I8674" i="1"/>
  <c r="G8674" i="1"/>
  <c r="F8674" i="1"/>
  <c r="E8674" i="1"/>
  <c r="D8674" i="1"/>
  <c r="C8674" i="1"/>
  <c r="B8674" i="1"/>
  <c r="A8674" i="1"/>
  <c r="S8673" i="1"/>
  <c r="O8673" i="1"/>
  <c r="K8673" i="1"/>
  <c r="J8673" i="1"/>
  <c r="I8673" i="1"/>
  <c r="H8673" i="1"/>
  <c r="G8673" i="1"/>
  <c r="F8673" i="1"/>
  <c r="E8673" i="1"/>
  <c r="D8673" i="1"/>
  <c r="C8673" i="1"/>
  <c r="B8673" i="1"/>
  <c r="A8673" i="1"/>
  <c r="R8672" i="1"/>
  <c r="J8672" i="1"/>
  <c r="I8672" i="1"/>
  <c r="G8672" i="1"/>
  <c r="F8672" i="1"/>
  <c r="E8672" i="1"/>
  <c r="D8672" i="1"/>
  <c r="C8672" i="1"/>
  <c r="B8672" i="1"/>
  <c r="A8672" i="1"/>
  <c r="S8671" i="1"/>
  <c r="O8671" i="1"/>
  <c r="K8671" i="1"/>
  <c r="J8671" i="1"/>
  <c r="I8671" i="1"/>
  <c r="H8671" i="1"/>
  <c r="G8671" i="1"/>
  <c r="F8671" i="1"/>
  <c r="E8671" i="1"/>
  <c r="D8671" i="1"/>
  <c r="C8671" i="1"/>
  <c r="B8671" i="1"/>
  <c r="A8671" i="1"/>
  <c r="R8670" i="1"/>
  <c r="J8670" i="1"/>
  <c r="I8670" i="1"/>
  <c r="G8670" i="1"/>
  <c r="F8670" i="1"/>
  <c r="E8670" i="1"/>
  <c r="D8670" i="1"/>
  <c r="C8670" i="1"/>
  <c r="B8670" i="1"/>
  <c r="A8670" i="1"/>
  <c r="S8669" i="1"/>
  <c r="O8669" i="1"/>
  <c r="K8669" i="1"/>
  <c r="J8669" i="1"/>
  <c r="I8669" i="1"/>
  <c r="H8669" i="1"/>
  <c r="G8669" i="1"/>
  <c r="F8669" i="1"/>
  <c r="E8669" i="1"/>
  <c r="D8669" i="1"/>
  <c r="C8669" i="1"/>
  <c r="B8669" i="1"/>
  <c r="A8669" i="1"/>
  <c r="R8668" i="1"/>
  <c r="J8668" i="1"/>
  <c r="I8668" i="1"/>
  <c r="G8668" i="1"/>
  <c r="F8668" i="1"/>
  <c r="E8668" i="1"/>
  <c r="D8668" i="1"/>
  <c r="C8668" i="1"/>
  <c r="B8668" i="1"/>
  <c r="A8668" i="1"/>
  <c r="S8667" i="1"/>
  <c r="O8667" i="1"/>
  <c r="K8667" i="1"/>
  <c r="J8667" i="1"/>
  <c r="I8667" i="1"/>
  <c r="H8667" i="1"/>
  <c r="G8667" i="1"/>
  <c r="F8667" i="1"/>
  <c r="E8667" i="1"/>
  <c r="D8667" i="1"/>
  <c r="C8667" i="1"/>
  <c r="B8667" i="1"/>
  <c r="A8667" i="1"/>
  <c r="R8666" i="1"/>
  <c r="J8666" i="1"/>
  <c r="I8666" i="1"/>
  <c r="G8666" i="1"/>
  <c r="F8666" i="1"/>
  <c r="E8666" i="1"/>
  <c r="D8666" i="1"/>
  <c r="C8666" i="1"/>
  <c r="B8666" i="1"/>
  <c r="A8666" i="1"/>
  <c r="S8665" i="1"/>
  <c r="O8665" i="1"/>
  <c r="K8665" i="1"/>
  <c r="J8665" i="1"/>
  <c r="I8665" i="1"/>
  <c r="H8665" i="1"/>
  <c r="G8665" i="1"/>
  <c r="F8665" i="1"/>
  <c r="E8665" i="1"/>
  <c r="D8665" i="1"/>
  <c r="C8665" i="1"/>
  <c r="B8665" i="1"/>
  <c r="A8665" i="1"/>
  <c r="S8664" i="1"/>
  <c r="O8664" i="1"/>
  <c r="K8664" i="1"/>
  <c r="J8664" i="1"/>
  <c r="I8664" i="1"/>
  <c r="H8664" i="1"/>
  <c r="G8664" i="1"/>
  <c r="F8664" i="1"/>
  <c r="E8664" i="1"/>
  <c r="D8664" i="1"/>
  <c r="C8664" i="1"/>
  <c r="B8664" i="1"/>
  <c r="A8664" i="1"/>
  <c r="S8663" i="1"/>
  <c r="O8663" i="1"/>
  <c r="K8663" i="1"/>
  <c r="J8663" i="1"/>
  <c r="I8663" i="1"/>
  <c r="H8663" i="1"/>
  <c r="G8663" i="1"/>
  <c r="F8663" i="1"/>
  <c r="E8663" i="1"/>
  <c r="D8663" i="1"/>
  <c r="C8663" i="1"/>
  <c r="B8663" i="1"/>
  <c r="A8663" i="1"/>
  <c r="R8662" i="1"/>
  <c r="J8662" i="1"/>
  <c r="I8662" i="1"/>
  <c r="G8662" i="1"/>
  <c r="F8662" i="1"/>
  <c r="E8662" i="1"/>
  <c r="D8662" i="1"/>
  <c r="C8662" i="1"/>
  <c r="B8662" i="1"/>
  <c r="A8662" i="1"/>
  <c r="S8661" i="1"/>
  <c r="O8661" i="1"/>
  <c r="K8661" i="1"/>
  <c r="J8661" i="1"/>
  <c r="I8661" i="1"/>
  <c r="H8661" i="1"/>
  <c r="G8661" i="1"/>
  <c r="F8661" i="1"/>
  <c r="E8661" i="1"/>
  <c r="D8661" i="1"/>
  <c r="C8661" i="1"/>
  <c r="B8661" i="1"/>
  <c r="A8661" i="1"/>
  <c r="R8660" i="1"/>
  <c r="J8660" i="1"/>
  <c r="I8660" i="1"/>
  <c r="G8660" i="1"/>
  <c r="F8660" i="1"/>
  <c r="E8660" i="1"/>
  <c r="D8660" i="1"/>
  <c r="C8660" i="1"/>
  <c r="B8660" i="1"/>
  <c r="A8660" i="1"/>
  <c r="S8659" i="1"/>
  <c r="O8659" i="1"/>
  <c r="K8659" i="1"/>
  <c r="J8659" i="1"/>
  <c r="I8659" i="1"/>
  <c r="H8659" i="1"/>
  <c r="G8659" i="1"/>
  <c r="F8659" i="1"/>
  <c r="E8659" i="1"/>
  <c r="D8659" i="1"/>
  <c r="C8659" i="1"/>
  <c r="B8659" i="1"/>
  <c r="A8659" i="1"/>
  <c r="R8658" i="1"/>
  <c r="J8658" i="1"/>
  <c r="I8658" i="1"/>
  <c r="G8658" i="1"/>
  <c r="F8658" i="1"/>
  <c r="E8658" i="1"/>
  <c r="D8658" i="1"/>
  <c r="C8658" i="1"/>
  <c r="B8658" i="1"/>
  <c r="A8658" i="1"/>
  <c r="S8657" i="1"/>
  <c r="O8657" i="1"/>
  <c r="K8657" i="1"/>
  <c r="J8657" i="1"/>
  <c r="I8657" i="1"/>
  <c r="H8657" i="1"/>
  <c r="G8657" i="1"/>
  <c r="F8657" i="1"/>
  <c r="E8657" i="1"/>
  <c r="D8657" i="1"/>
  <c r="C8657" i="1"/>
  <c r="B8657" i="1"/>
  <c r="A8657" i="1"/>
  <c r="R8656" i="1"/>
  <c r="J8656" i="1"/>
  <c r="I8656" i="1"/>
  <c r="G8656" i="1"/>
  <c r="F8656" i="1"/>
  <c r="E8656" i="1"/>
  <c r="D8656" i="1"/>
  <c r="C8656" i="1"/>
  <c r="B8656" i="1"/>
  <c r="A8656" i="1"/>
  <c r="R8655" i="1"/>
  <c r="J8655" i="1"/>
  <c r="I8655" i="1"/>
  <c r="G8655" i="1"/>
  <c r="F8655" i="1"/>
  <c r="E8655" i="1"/>
  <c r="D8655" i="1"/>
  <c r="C8655" i="1"/>
  <c r="B8655" i="1"/>
  <c r="A8655" i="1"/>
  <c r="S8654" i="1"/>
  <c r="O8654" i="1"/>
  <c r="K8654" i="1"/>
  <c r="J8654" i="1"/>
  <c r="I8654" i="1"/>
  <c r="H8654" i="1"/>
  <c r="G8654" i="1"/>
  <c r="F8654" i="1"/>
  <c r="E8654" i="1"/>
  <c r="D8654" i="1"/>
  <c r="C8654" i="1"/>
  <c r="B8654" i="1"/>
  <c r="A8654" i="1"/>
  <c r="R8653" i="1"/>
  <c r="J8653" i="1"/>
  <c r="I8653" i="1"/>
  <c r="G8653" i="1"/>
  <c r="F8653" i="1"/>
  <c r="E8653" i="1"/>
  <c r="D8653" i="1"/>
  <c r="C8653" i="1"/>
  <c r="B8653" i="1"/>
  <c r="A8653" i="1"/>
  <c r="R8652" i="1"/>
  <c r="J8652" i="1"/>
  <c r="I8652" i="1"/>
  <c r="G8652" i="1"/>
  <c r="F8652" i="1"/>
  <c r="E8652" i="1"/>
  <c r="D8652" i="1"/>
  <c r="C8652" i="1"/>
  <c r="B8652" i="1"/>
  <c r="A8652" i="1"/>
  <c r="S8651" i="1"/>
  <c r="O8651" i="1"/>
  <c r="K8651" i="1"/>
  <c r="J8651" i="1"/>
  <c r="I8651" i="1"/>
  <c r="H8651" i="1"/>
  <c r="G8651" i="1"/>
  <c r="F8651" i="1"/>
  <c r="E8651" i="1"/>
  <c r="D8651" i="1"/>
  <c r="C8651" i="1"/>
  <c r="B8651" i="1"/>
  <c r="A8651" i="1"/>
  <c r="R8650" i="1"/>
  <c r="J8650" i="1"/>
  <c r="I8650" i="1"/>
  <c r="G8650" i="1"/>
  <c r="F8650" i="1"/>
  <c r="E8650" i="1"/>
  <c r="D8650" i="1"/>
  <c r="C8650" i="1"/>
  <c r="B8650" i="1"/>
  <c r="A8650" i="1"/>
  <c r="R8649" i="1"/>
  <c r="J8649" i="1"/>
  <c r="I8649" i="1"/>
  <c r="G8649" i="1"/>
  <c r="F8649" i="1"/>
  <c r="E8649" i="1"/>
  <c r="D8649" i="1"/>
  <c r="C8649" i="1"/>
  <c r="B8649" i="1"/>
  <c r="A8649" i="1"/>
  <c r="R8648" i="1"/>
  <c r="J8648" i="1"/>
  <c r="I8648" i="1"/>
  <c r="G8648" i="1"/>
  <c r="F8648" i="1"/>
  <c r="E8648" i="1"/>
  <c r="D8648" i="1"/>
  <c r="C8648" i="1"/>
  <c r="B8648" i="1"/>
  <c r="A8648" i="1"/>
  <c r="S8647" i="1"/>
  <c r="O8647" i="1"/>
  <c r="K8647" i="1"/>
  <c r="J8647" i="1"/>
  <c r="I8647" i="1"/>
  <c r="H8647" i="1"/>
  <c r="G8647" i="1"/>
  <c r="F8647" i="1"/>
  <c r="E8647" i="1"/>
  <c r="D8647" i="1"/>
  <c r="C8647" i="1"/>
  <c r="B8647" i="1"/>
  <c r="A8647" i="1"/>
  <c r="R8646" i="1"/>
  <c r="J8646" i="1"/>
  <c r="I8646" i="1"/>
  <c r="G8646" i="1"/>
  <c r="F8646" i="1"/>
  <c r="E8646" i="1"/>
  <c r="D8646" i="1"/>
  <c r="C8646" i="1"/>
  <c r="B8646" i="1"/>
  <c r="A8646" i="1"/>
  <c r="S8645" i="1"/>
  <c r="O8645" i="1"/>
  <c r="K8645" i="1"/>
  <c r="J8645" i="1"/>
  <c r="I8645" i="1"/>
  <c r="H8645" i="1"/>
  <c r="G8645" i="1"/>
  <c r="F8645" i="1"/>
  <c r="E8645" i="1"/>
  <c r="D8645" i="1"/>
  <c r="C8645" i="1"/>
  <c r="B8645" i="1"/>
  <c r="A8645" i="1"/>
  <c r="R8644" i="1"/>
  <c r="J8644" i="1"/>
  <c r="I8644" i="1"/>
  <c r="G8644" i="1"/>
  <c r="F8644" i="1"/>
  <c r="E8644" i="1"/>
  <c r="D8644" i="1"/>
  <c r="C8644" i="1"/>
  <c r="B8644" i="1"/>
  <c r="A8644" i="1"/>
  <c r="S8643" i="1"/>
  <c r="O8643" i="1"/>
  <c r="K8643" i="1"/>
  <c r="J8643" i="1"/>
  <c r="I8643" i="1"/>
  <c r="H8643" i="1"/>
  <c r="G8643" i="1"/>
  <c r="F8643" i="1"/>
  <c r="E8643" i="1"/>
  <c r="D8643" i="1"/>
  <c r="C8643" i="1"/>
  <c r="B8643" i="1"/>
  <c r="A8643" i="1"/>
  <c r="R8642" i="1"/>
  <c r="J8642" i="1"/>
  <c r="I8642" i="1"/>
  <c r="G8642" i="1"/>
  <c r="F8642" i="1"/>
  <c r="E8642" i="1"/>
  <c r="D8642" i="1"/>
  <c r="C8642" i="1"/>
  <c r="B8642" i="1"/>
  <c r="A8642" i="1"/>
  <c r="S8641" i="1"/>
  <c r="O8641" i="1"/>
  <c r="K8641" i="1"/>
  <c r="J8641" i="1"/>
  <c r="I8641" i="1"/>
  <c r="H8641" i="1"/>
  <c r="G8641" i="1"/>
  <c r="F8641" i="1"/>
  <c r="E8641" i="1"/>
  <c r="D8641" i="1"/>
  <c r="C8641" i="1"/>
  <c r="B8641" i="1"/>
  <c r="A8641" i="1"/>
  <c r="R8640" i="1"/>
  <c r="J8640" i="1"/>
  <c r="I8640" i="1"/>
  <c r="G8640" i="1"/>
  <c r="F8640" i="1"/>
  <c r="E8640" i="1"/>
  <c r="D8640" i="1"/>
  <c r="C8640" i="1"/>
  <c r="B8640" i="1"/>
  <c r="A8640" i="1"/>
  <c r="S8639" i="1"/>
  <c r="O8639" i="1"/>
  <c r="K8639" i="1"/>
  <c r="J8639" i="1"/>
  <c r="I8639" i="1"/>
  <c r="H8639" i="1"/>
  <c r="G8639" i="1"/>
  <c r="F8639" i="1"/>
  <c r="E8639" i="1"/>
  <c r="D8639" i="1"/>
  <c r="C8639" i="1"/>
  <c r="B8639" i="1"/>
  <c r="A8639" i="1"/>
  <c r="R8638" i="1"/>
  <c r="J8638" i="1"/>
  <c r="I8638" i="1"/>
  <c r="G8638" i="1"/>
  <c r="F8638" i="1"/>
  <c r="E8638" i="1"/>
  <c r="D8638" i="1"/>
  <c r="C8638" i="1"/>
  <c r="B8638" i="1"/>
  <c r="A8638" i="1"/>
  <c r="S8637" i="1"/>
  <c r="O8637" i="1"/>
  <c r="K8637" i="1"/>
  <c r="J8637" i="1"/>
  <c r="I8637" i="1"/>
  <c r="H8637" i="1"/>
  <c r="G8637" i="1"/>
  <c r="F8637" i="1"/>
  <c r="E8637" i="1"/>
  <c r="D8637" i="1"/>
  <c r="C8637" i="1"/>
  <c r="B8637" i="1"/>
  <c r="A8637" i="1"/>
  <c r="R8636" i="1"/>
  <c r="J8636" i="1"/>
  <c r="I8636" i="1"/>
  <c r="G8636" i="1"/>
  <c r="F8636" i="1"/>
  <c r="E8636" i="1"/>
  <c r="D8636" i="1"/>
  <c r="C8636" i="1"/>
  <c r="B8636" i="1"/>
  <c r="A8636" i="1"/>
  <c r="S8635" i="1"/>
  <c r="O8635" i="1"/>
  <c r="K8635" i="1"/>
  <c r="J8635" i="1"/>
  <c r="I8635" i="1"/>
  <c r="H8635" i="1"/>
  <c r="G8635" i="1"/>
  <c r="F8635" i="1"/>
  <c r="E8635" i="1"/>
  <c r="D8635" i="1"/>
  <c r="C8635" i="1"/>
  <c r="B8635" i="1"/>
  <c r="A8635" i="1"/>
  <c r="R8634" i="1"/>
  <c r="J8634" i="1"/>
  <c r="I8634" i="1"/>
  <c r="G8634" i="1"/>
  <c r="F8634" i="1"/>
  <c r="E8634" i="1"/>
  <c r="D8634" i="1"/>
  <c r="C8634" i="1"/>
  <c r="B8634" i="1"/>
  <c r="A8634" i="1"/>
  <c r="S8633" i="1"/>
  <c r="O8633" i="1"/>
  <c r="K8633" i="1"/>
  <c r="J8633" i="1"/>
  <c r="I8633" i="1"/>
  <c r="H8633" i="1"/>
  <c r="G8633" i="1"/>
  <c r="F8633" i="1"/>
  <c r="E8633" i="1"/>
  <c r="D8633" i="1"/>
  <c r="C8633" i="1"/>
  <c r="B8633" i="1"/>
  <c r="A8633" i="1"/>
  <c r="R8632" i="1"/>
  <c r="J8632" i="1"/>
  <c r="I8632" i="1"/>
  <c r="G8632" i="1"/>
  <c r="F8632" i="1"/>
  <c r="E8632" i="1"/>
  <c r="D8632" i="1"/>
  <c r="C8632" i="1"/>
  <c r="B8632" i="1"/>
  <c r="A8632" i="1"/>
  <c r="S8631" i="1"/>
  <c r="O8631" i="1"/>
  <c r="K8631" i="1"/>
  <c r="J8631" i="1"/>
  <c r="I8631" i="1"/>
  <c r="H8631" i="1"/>
  <c r="G8631" i="1"/>
  <c r="F8631" i="1"/>
  <c r="E8631" i="1"/>
  <c r="D8631" i="1"/>
  <c r="C8631" i="1"/>
  <c r="B8631" i="1"/>
  <c r="A8631" i="1"/>
  <c r="R8630" i="1"/>
  <c r="J8630" i="1"/>
  <c r="I8630" i="1"/>
  <c r="G8630" i="1"/>
  <c r="F8630" i="1"/>
  <c r="E8630" i="1"/>
  <c r="D8630" i="1"/>
  <c r="C8630" i="1"/>
  <c r="B8630" i="1"/>
  <c r="A8630" i="1"/>
  <c r="R8629" i="1"/>
  <c r="J8629" i="1"/>
  <c r="I8629" i="1"/>
  <c r="G8629" i="1"/>
  <c r="F8629" i="1"/>
  <c r="E8629" i="1"/>
  <c r="D8629" i="1"/>
  <c r="C8629" i="1"/>
  <c r="B8629" i="1"/>
  <c r="A8629" i="1"/>
  <c r="R8628" i="1"/>
  <c r="J8628" i="1"/>
  <c r="I8628" i="1"/>
  <c r="G8628" i="1"/>
  <c r="F8628" i="1"/>
  <c r="E8628" i="1"/>
  <c r="D8628" i="1"/>
  <c r="C8628" i="1"/>
  <c r="B8628" i="1"/>
  <c r="A8628" i="1"/>
  <c r="S8627" i="1"/>
  <c r="O8627" i="1"/>
  <c r="K8627" i="1"/>
  <c r="J8627" i="1"/>
  <c r="I8627" i="1"/>
  <c r="H8627" i="1"/>
  <c r="G8627" i="1"/>
  <c r="F8627" i="1"/>
  <c r="E8627" i="1"/>
  <c r="D8627" i="1"/>
  <c r="C8627" i="1"/>
  <c r="B8627" i="1"/>
  <c r="A8627" i="1"/>
  <c r="R8626" i="1"/>
  <c r="J8626" i="1"/>
  <c r="I8626" i="1"/>
  <c r="G8626" i="1"/>
  <c r="F8626" i="1"/>
  <c r="E8626" i="1"/>
  <c r="D8626" i="1"/>
  <c r="C8626" i="1"/>
  <c r="B8626" i="1"/>
  <c r="A8626" i="1"/>
  <c r="S8625" i="1"/>
  <c r="O8625" i="1"/>
  <c r="K8625" i="1"/>
  <c r="J8625" i="1"/>
  <c r="I8625" i="1"/>
  <c r="H8625" i="1"/>
  <c r="G8625" i="1"/>
  <c r="F8625" i="1"/>
  <c r="E8625" i="1"/>
  <c r="D8625" i="1"/>
  <c r="C8625" i="1"/>
  <c r="B8625" i="1"/>
  <c r="A8625" i="1"/>
  <c r="R8624" i="1"/>
  <c r="J8624" i="1"/>
  <c r="I8624" i="1"/>
  <c r="G8624" i="1"/>
  <c r="F8624" i="1"/>
  <c r="E8624" i="1"/>
  <c r="D8624" i="1"/>
  <c r="C8624" i="1"/>
  <c r="B8624" i="1"/>
  <c r="A8624" i="1"/>
  <c r="S8623" i="1"/>
  <c r="O8623" i="1"/>
  <c r="K8623" i="1"/>
  <c r="J8623" i="1"/>
  <c r="I8623" i="1"/>
  <c r="H8623" i="1"/>
  <c r="G8623" i="1"/>
  <c r="F8623" i="1"/>
  <c r="E8623" i="1"/>
  <c r="D8623" i="1"/>
  <c r="C8623" i="1"/>
  <c r="B8623" i="1"/>
  <c r="A8623" i="1"/>
  <c r="R8622" i="1"/>
  <c r="J8622" i="1"/>
  <c r="I8622" i="1"/>
  <c r="G8622" i="1"/>
  <c r="F8622" i="1"/>
  <c r="E8622" i="1"/>
  <c r="D8622" i="1"/>
  <c r="C8622" i="1"/>
  <c r="B8622" i="1"/>
  <c r="A8622" i="1"/>
  <c r="S8621" i="1"/>
  <c r="O8621" i="1"/>
  <c r="K8621" i="1"/>
  <c r="J8621" i="1"/>
  <c r="I8621" i="1"/>
  <c r="H8621" i="1"/>
  <c r="G8621" i="1"/>
  <c r="F8621" i="1"/>
  <c r="E8621" i="1"/>
  <c r="D8621" i="1"/>
  <c r="C8621" i="1"/>
  <c r="B8621" i="1"/>
  <c r="A8621" i="1"/>
  <c r="R8620" i="1"/>
  <c r="J8620" i="1"/>
  <c r="I8620" i="1"/>
  <c r="G8620" i="1"/>
  <c r="F8620" i="1"/>
  <c r="E8620" i="1"/>
  <c r="D8620" i="1"/>
  <c r="C8620" i="1"/>
  <c r="B8620" i="1"/>
  <c r="A8620" i="1"/>
  <c r="S8619" i="1"/>
  <c r="O8619" i="1"/>
  <c r="K8619" i="1"/>
  <c r="J8619" i="1"/>
  <c r="I8619" i="1"/>
  <c r="H8619" i="1"/>
  <c r="G8619" i="1"/>
  <c r="F8619" i="1"/>
  <c r="E8619" i="1"/>
  <c r="D8619" i="1"/>
  <c r="C8619" i="1"/>
  <c r="B8619" i="1"/>
  <c r="A8619" i="1"/>
  <c r="R8618" i="1"/>
  <c r="J8618" i="1"/>
  <c r="I8618" i="1"/>
  <c r="G8618" i="1"/>
  <c r="F8618" i="1"/>
  <c r="E8618" i="1"/>
  <c r="D8618" i="1"/>
  <c r="C8618" i="1"/>
  <c r="B8618" i="1"/>
  <c r="A8618" i="1"/>
  <c r="S8617" i="1"/>
  <c r="O8617" i="1"/>
  <c r="K8617" i="1"/>
  <c r="J8617" i="1"/>
  <c r="I8617" i="1"/>
  <c r="H8617" i="1"/>
  <c r="G8617" i="1"/>
  <c r="F8617" i="1"/>
  <c r="E8617" i="1"/>
  <c r="D8617" i="1"/>
  <c r="C8617" i="1"/>
  <c r="B8617" i="1"/>
  <c r="A8617" i="1"/>
  <c r="R8616" i="1"/>
  <c r="J8616" i="1"/>
  <c r="I8616" i="1"/>
  <c r="G8616" i="1"/>
  <c r="F8616" i="1"/>
  <c r="E8616" i="1"/>
  <c r="D8616" i="1"/>
  <c r="C8616" i="1"/>
  <c r="B8616" i="1"/>
  <c r="A8616" i="1"/>
  <c r="S8615" i="1"/>
  <c r="O8615" i="1"/>
  <c r="K8615" i="1"/>
  <c r="J8615" i="1"/>
  <c r="I8615" i="1"/>
  <c r="H8615" i="1"/>
  <c r="G8615" i="1"/>
  <c r="F8615" i="1"/>
  <c r="E8615" i="1"/>
  <c r="D8615" i="1"/>
  <c r="C8615" i="1"/>
  <c r="B8615" i="1"/>
  <c r="A8615" i="1"/>
  <c r="R8614" i="1"/>
  <c r="J8614" i="1"/>
  <c r="I8614" i="1"/>
  <c r="G8614" i="1"/>
  <c r="F8614" i="1"/>
  <c r="E8614" i="1"/>
  <c r="D8614" i="1"/>
  <c r="C8614" i="1"/>
  <c r="B8614" i="1"/>
  <c r="A8614" i="1"/>
  <c r="S8613" i="1"/>
  <c r="O8613" i="1"/>
  <c r="K8613" i="1"/>
  <c r="J8613" i="1"/>
  <c r="I8613" i="1"/>
  <c r="H8613" i="1"/>
  <c r="G8613" i="1"/>
  <c r="F8613" i="1"/>
  <c r="E8613" i="1"/>
  <c r="D8613" i="1"/>
  <c r="C8613" i="1"/>
  <c r="B8613" i="1"/>
  <c r="A8613" i="1"/>
  <c r="R8612" i="1"/>
  <c r="J8612" i="1"/>
  <c r="I8612" i="1"/>
  <c r="G8612" i="1"/>
  <c r="F8612" i="1"/>
  <c r="E8612" i="1"/>
  <c r="D8612" i="1"/>
  <c r="C8612" i="1"/>
  <c r="B8612" i="1"/>
  <c r="A8612" i="1"/>
  <c r="S8611" i="1"/>
  <c r="O8611" i="1"/>
  <c r="K8611" i="1"/>
  <c r="J8611" i="1"/>
  <c r="I8611" i="1"/>
  <c r="H8611" i="1"/>
  <c r="G8611" i="1"/>
  <c r="F8611" i="1"/>
  <c r="E8611" i="1"/>
  <c r="D8611" i="1"/>
  <c r="C8611" i="1"/>
  <c r="B8611" i="1"/>
  <c r="A8611" i="1"/>
  <c r="R8610" i="1"/>
  <c r="J8610" i="1"/>
  <c r="I8610" i="1"/>
  <c r="G8610" i="1"/>
  <c r="F8610" i="1"/>
  <c r="E8610" i="1"/>
  <c r="D8610" i="1"/>
  <c r="C8610" i="1"/>
  <c r="B8610" i="1"/>
  <c r="A8610" i="1"/>
  <c r="S8609" i="1"/>
  <c r="O8609" i="1"/>
  <c r="K8609" i="1"/>
  <c r="J8609" i="1"/>
  <c r="I8609" i="1"/>
  <c r="H8609" i="1"/>
  <c r="G8609" i="1"/>
  <c r="F8609" i="1"/>
  <c r="E8609" i="1"/>
  <c r="D8609" i="1"/>
  <c r="C8609" i="1"/>
  <c r="B8609" i="1"/>
  <c r="A8609" i="1"/>
  <c r="R8608" i="1"/>
  <c r="J8608" i="1"/>
  <c r="I8608" i="1"/>
  <c r="G8608" i="1"/>
  <c r="F8608" i="1"/>
  <c r="E8608" i="1"/>
  <c r="D8608" i="1"/>
  <c r="C8608" i="1"/>
  <c r="B8608" i="1"/>
  <c r="A8608" i="1"/>
  <c r="S8607" i="1"/>
  <c r="O8607" i="1"/>
  <c r="K8607" i="1"/>
  <c r="J8607" i="1"/>
  <c r="I8607" i="1"/>
  <c r="H8607" i="1"/>
  <c r="G8607" i="1"/>
  <c r="F8607" i="1"/>
  <c r="E8607" i="1"/>
  <c r="D8607" i="1"/>
  <c r="C8607" i="1"/>
  <c r="B8607" i="1"/>
  <c r="A8607" i="1"/>
  <c r="R8606" i="1"/>
  <c r="J8606" i="1"/>
  <c r="I8606" i="1"/>
  <c r="G8606" i="1"/>
  <c r="F8606" i="1"/>
  <c r="E8606" i="1"/>
  <c r="D8606" i="1"/>
  <c r="C8606" i="1"/>
  <c r="B8606" i="1"/>
  <c r="A8606" i="1"/>
  <c r="S8605" i="1"/>
  <c r="O8605" i="1"/>
  <c r="K8605" i="1"/>
  <c r="J8605" i="1"/>
  <c r="I8605" i="1"/>
  <c r="H8605" i="1"/>
  <c r="G8605" i="1"/>
  <c r="F8605" i="1"/>
  <c r="E8605" i="1"/>
  <c r="D8605" i="1"/>
  <c r="C8605" i="1"/>
  <c r="B8605" i="1"/>
  <c r="A8605" i="1"/>
  <c r="R8604" i="1"/>
  <c r="J8604" i="1"/>
  <c r="I8604" i="1"/>
  <c r="G8604" i="1"/>
  <c r="F8604" i="1"/>
  <c r="E8604" i="1"/>
  <c r="D8604" i="1"/>
  <c r="C8604" i="1"/>
  <c r="B8604" i="1"/>
  <c r="A8604" i="1"/>
  <c r="S8603" i="1"/>
  <c r="O8603" i="1"/>
  <c r="K8603" i="1"/>
  <c r="J8603" i="1"/>
  <c r="I8603" i="1"/>
  <c r="H8603" i="1"/>
  <c r="G8603" i="1"/>
  <c r="F8603" i="1"/>
  <c r="E8603" i="1"/>
  <c r="D8603" i="1"/>
  <c r="C8603" i="1"/>
  <c r="B8603" i="1"/>
  <c r="A8603" i="1"/>
  <c r="R8602" i="1"/>
  <c r="J8602" i="1"/>
  <c r="I8602" i="1"/>
  <c r="G8602" i="1"/>
  <c r="F8602" i="1"/>
  <c r="E8602" i="1"/>
  <c r="D8602" i="1"/>
  <c r="C8602" i="1"/>
  <c r="B8602" i="1"/>
  <c r="A8602" i="1"/>
  <c r="S8601" i="1"/>
  <c r="O8601" i="1"/>
  <c r="K8601" i="1"/>
  <c r="J8601" i="1"/>
  <c r="I8601" i="1"/>
  <c r="H8601" i="1"/>
  <c r="G8601" i="1"/>
  <c r="F8601" i="1"/>
  <c r="E8601" i="1"/>
  <c r="D8601" i="1"/>
  <c r="C8601" i="1"/>
  <c r="B8601" i="1"/>
  <c r="A8601" i="1"/>
  <c r="R8600" i="1"/>
  <c r="J8600" i="1"/>
  <c r="I8600" i="1"/>
  <c r="G8600" i="1"/>
  <c r="F8600" i="1"/>
  <c r="E8600" i="1"/>
  <c r="D8600" i="1"/>
  <c r="C8600" i="1"/>
  <c r="B8600" i="1"/>
  <c r="A8600" i="1"/>
  <c r="S8599" i="1"/>
  <c r="O8599" i="1"/>
  <c r="K8599" i="1"/>
  <c r="J8599" i="1"/>
  <c r="I8599" i="1"/>
  <c r="H8599" i="1"/>
  <c r="G8599" i="1"/>
  <c r="F8599" i="1"/>
  <c r="E8599" i="1"/>
  <c r="D8599" i="1"/>
  <c r="C8599" i="1"/>
  <c r="B8599" i="1"/>
  <c r="A8599" i="1"/>
  <c r="R8598" i="1"/>
  <c r="J8598" i="1"/>
  <c r="I8598" i="1"/>
  <c r="G8598" i="1"/>
  <c r="F8598" i="1"/>
  <c r="E8598" i="1"/>
  <c r="D8598" i="1"/>
  <c r="C8598" i="1"/>
  <c r="B8598" i="1"/>
  <c r="A8598" i="1"/>
  <c r="S8597" i="1"/>
  <c r="O8597" i="1"/>
  <c r="K8597" i="1"/>
  <c r="J8597" i="1"/>
  <c r="I8597" i="1"/>
  <c r="H8597" i="1"/>
  <c r="G8597" i="1"/>
  <c r="F8597" i="1"/>
  <c r="E8597" i="1"/>
  <c r="D8597" i="1"/>
  <c r="C8597" i="1"/>
  <c r="B8597" i="1"/>
  <c r="A8597" i="1"/>
  <c r="R8596" i="1"/>
  <c r="J8596" i="1"/>
  <c r="I8596" i="1"/>
  <c r="G8596" i="1"/>
  <c r="F8596" i="1"/>
  <c r="E8596" i="1"/>
  <c r="D8596" i="1"/>
  <c r="C8596" i="1"/>
  <c r="B8596" i="1"/>
  <c r="A8596" i="1"/>
  <c r="S8595" i="1"/>
  <c r="O8595" i="1"/>
  <c r="K8595" i="1"/>
  <c r="J8595" i="1"/>
  <c r="I8595" i="1"/>
  <c r="H8595" i="1"/>
  <c r="G8595" i="1"/>
  <c r="F8595" i="1"/>
  <c r="E8595" i="1"/>
  <c r="D8595" i="1"/>
  <c r="C8595" i="1"/>
  <c r="B8595" i="1"/>
  <c r="A8595" i="1"/>
  <c r="R8594" i="1"/>
  <c r="J8594" i="1"/>
  <c r="I8594" i="1"/>
  <c r="G8594" i="1"/>
  <c r="F8594" i="1"/>
  <c r="E8594" i="1"/>
  <c r="D8594" i="1"/>
  <c r="C8594" i="1"/>
  <c r="B8594" i="1"/>
  <c r="A8594" i="1"/>
  <c r="S8593" i="1"/>
  <c r="O8593" i="1"/>
  <c r="K8593" i="1"/>
  <c r="J8593" i="1"/>
  <c r="I8593" i="1"/>
  <c r="H8593" i="1"/>
  <c r="G8593" i="1"/>
  <c r="F8593" i="1"/>
  <c r="E8593" i="1"/>
  <c r="D8593" i="1"/>
  <c r="C8593" i="1"/>
  <c r="B8593" i="1"/>
  <c r="A8593" i="1"/>
  <c r="R8592" i="1"/>
  <c r="J8592" i="1"/>
  <c r="I8592" i="1"/>
  <c r="G8592" i="1"/>
  <c r="F8592" i="1"/>
  <c r="E8592" i="1"/>
  <c r="D8592" i="1"/>
  <c r="C8592" i="1"/>
  <c r="B8592" i="1"/>
  <c r="A8592" i="1"/>
  <c r="S8591" i="1"/>
  <c r="O8591" i="1"/>
  <c r="K8591" i="1"/>
  <c r="J8591" i="1"/>
  <c r="I8591" i="1"/>
  <c r="H8591" i="1"/>
  <c r="G8591" i="1"/>
  <c r="F8591" i="1"/>
  <c r="E8591" i="1"/>
  <c r="D8591" i="1"/>
  <c r="C8591" i="1"/>
  <c r="B8591" i="1"/>
  <c r="A8591" i="1"/>
  <c r="R8590" i="1"/>
  <c r="J8590" i="1"/>
  <c r="I8590" i="1"/>
  <c r="G8590" i="1"/>
  <c r="F8590" i="1"/>
  <c r="E8590" i="1"/>
  <c r="D8590" i="1"/>
  <c r="C8590" i="1"/>
  <c r="B8590" i="1"/>
  <c r="A8590" i="1"/>
  <c r="S8589" i="1"/>
  <c r="O8589" i="1"/>
  <c r="K8589" i="1"/>
  <c r="J8589" i="1"/>
  <c r="I8589" i="1"/>
  <c r="H8589" i="1"/>
  <c r="G8589" i="1"/>
  <c r="F8589" i="1"/>
  <c r="E8589" i="1"/>
  <c r="D8589" i="1"/>
  <c r="C8589" i="1"/>
  <c r="B8589" i="1"/>
  <c r="A8589" i="1"/>
  <c r="R8588" i="1"/>
  <c r="J8588" i="1"/>
  <c r="I8588" i="1"/>
  <c r="G8588" i="1"/>
  <c r="F8588" i="1"/>
  <c r="E8588" i="1"/>
  <c r="D8588" i="1"/>
  <c r="C8588" i="1"/>
  <c r="B8588" i="1"/>
  <c r="A8588" i="1"/>
  <c r="S8587" i="1"/>
  <c r="O8587" i="1"/>
  <c r="K8587" i="1"/>
  <c r="J8587" i="1"/>
  <c r="I8587" i="1"/>
  <c r="H8587" i="1"/>
  <c r="G8587" i="1"/>
  <c r="F8587" i="1"/>
  <c r="E8587" i="1"/>
  <c r="D8587" i="1"/>
  <c r="C8587" i="1"/>
  <c r="B8587" i="1"/>
  <c r="A8587" i="1"/>
  <c r="R8586" i="1"/>
  <c r="J8586" i="1"/>
  <c r="I8586" i="1"/>
  <c r="G8586" i="1"/>
  <c r="F8586" i="1"/>
  <c r="E8586" i="1"/>
  <c r="D8586" i="1"/>
  <c r="C8586" i="1"/>
  <c r="B8586" i="1"/>
  <c r="A8586" i="1"/>
  <c r="R8585" i="1"/>
  <c r="J8585" i="1"/>
  <c r="I8585" i="1"/>
  <c r="G8585" i="1"/>
  <c r="F8585" i="1"/>
  <c r="E8585" i="1"/>
  <c r="D8585" i="1"/>
  <c r="C8585" i="1"/>
  <c r="B8585" i="1"/>
  <c r="A8585" i="1"/>
  <c r="S8584" i="1"/>
  <c r="O8584" i="1"/>
  <c r="K8584" i="1"/>
  <c r="J8584" i="1"/>
  <c r="I8584" i="1"/>
  <c r="H8584" i="1"/>
  <c r="G8584" i="1"/>
  <c r="F8584" i="1"/>
  <c r="E8584" i="1"/>
  <c r="D8584" i="1"/>
  <c r="C8584" i="1"/>
  <c r="B8584" i="1"/>
  <c r="A8584" i="1"/>
  <c r="R8583" i="1"/>
  <c r="J8583" i="1"/>
  <c r="I8583" i="1"/>
  <c r="G8583" i="1"/>
  <c r="F8583" i="1"/>
  <c r="E8583" i="1"/>
  <c r="D8583" i="1"/>
  <c r="C8583" i="1"/>
  <c r="B8583" i="1"/>
  <c r="A8583" i="1"/>
  <c r="S8582" i="1"/>
  <c r="O8582" i="1"/>
  <c r="K8582" i="1"/>
  <c r="J8582" i="1"/>
  <c r="I8582" i="1"/>
  <c r="H8582" i="1"/>
  <c r="G8582" i="1"/>
  <c r="F8582" i="1"/>
  <c r="E8582" i="1"/>
  <c r="D8582" i="1"/>
  <c r="C8582" i="1"/>
  <c r="B8582" i="1"/>
  <c r="A8582" i="1"/>
  <c r="R8581" i="1"/>
  <c r="J8581" i="1"/>
  <c r="I8581" i="1"/>
  <c r="G8581" i="1"/>
  <c r="F8581" i="1"/>
  <c r="E8581" i="1"/>
  <c r="D8581" i="1"/>
  <c r="C8581" i="1"/>
  <c r="B8581" i="1"/>
  <c r="A8581" i="1"/>
  <c r="S8580" i="1"/>
  <c r="O8580" i="1"/>
  <c r="K8580" i="1"/>
  <c r="J8580" i="1"/>
  <c r="I8580" i="1"/>
  <c r="H8580" i="1"/>
  <c r="G8580" i="1"/>
  <c r="F8580" i="1"/>
  <c r="E8580" i="1"/>
  <c r="D8580" i="1"/>
  <c r="C8580" i="1"/>
  <c r="B8580" i="1"/>
  <c r="A8580" i="1"/>
  <c r="S8579" i="1"/>
  <c r="O8579" i="1"/>
  <c r="K8579" i="1"/>
  <c r="J8579" i="1"/>
  <c r="I8579" i="1"/>
  <c r="H8579" i="1"/>
  <c r="G8579" i="1"/>
  <c r="F8579" i="1"/>
  <c r="D8579" i="1"/>
  <c r="C8579" i="1"/>
  <c r="B8579" i="1"/>
  <c r="A8579" i="1"/>
  <c r="S8578" i="1"/>
  <c r="O8578" i="1"/>
  <c r="K8578" i="1"/>
  <c r="J8578" i="1"/>
  <c r="I8578" i="1"/>
  <c r="H8578" i="1"/>
  <c r="G8578" i="1"/>
  <c r="F8578" i="1"/>
  <c r="D8578" i="1"/>
  <c r="C8578" i="1"/>
  <c r="B8578" i="1"/>
  <c r="A8578" i="1"/>
  <c r="R8577" i="1"/>
  <c r="J8577" i="1"/>
  <c r="I8577" i="1"/>
  <c r="G8577" i="1"/>
  <c r="F8577" i="1"/>
  <c r="E8577" i="1"/>
  <c r="D8577" i="1"/>
  <c r="C8577" i="1"/>
  <c r="B8577" i="1"/>
  <c r="A8577" i="1"/>
  <c r="S8576" i="1"/>
  <c r="O8576" i="1"/>
  <c r="K8576" i="1"/>
  <c r="J8576" i="1"/>
  <c r="I8576" i="1"/>
  <c r="H8576" i="1"/>
  <c r="G8576" i="1"/>
  <c r="F8576" i="1"/>
  <c r="E8576" i="1"/>
  <c r="D8576" i="1"/>
  <c r="C8576" i="1"/>
  <c r="B8576" i="1"/>
  <c r="A8576" i="1"/>
  <c r="R8575" i="1"/>
  <c r="J8575" i="1"/>
  <c r="I8575" i="1"/>
  <c r="G8575" i="1"/>
  <c r="F8575" i="1"/>
  <c r="E8575" i="1"/>
  <c r="D8575" i="1"/>
  <c r="C8575" i="1"/>
  <c r="B8575" i="1"/>
  <c r="A8575" i="1"/>
  <c r="S8574" i="1"/>
  <c r="O8574" i="1"/>
  <c r="K8574" i="1"/>
  <c r="J8574" i="1"/>
  <c r="I8574" i="1"/>
  <c r="H8574" i="1"/>
  <c r="G8574" i="1"/>
  <c r="F8574" i="1"/>
  <c r="E8574" i="1"/>
  <c r="D8574" i="1"/>
  <c r="C8574" i="1"/>
  <c r="B8574" i="1"/>
  <c r="A8574" i="1"/>
  <c r="R8573" i="1"/>
  <c r="J8573" i="1"/>
  <c r="I8573" i="1"/>
  <c r="G8573" i="1"/>
  <c r="F8573" i="1"/>
  <c r="E8573" i="1"/>
  <c r="D8573" i="1"/>
  <c r="C8573" i="1"/>
  <c r="B8573" i="1"/>
  <c r="A8573" i="1"/>
  <c r="S8572" i="1"/>
  <c r="O8572" i="1"/>
  <c r="K8572" i="1"/>
  <c r="J8572" i="1"/>
  <c r="I8572" i="1"/>
  <c r="H8572" i="1"/>
  <c r="G8572" i="1"/>
  <c r="F8572" i="1"/>
  <c r="E8572" i="1"/>
  <c r="D8572" i="1"/>
  <c r="C8572" i="1"/>
  <c r="B8572" i="1"/>
  <c r="A8572" i="1"/>
  <c r="R8571" i="1"/>
  <c r="J8571" i="1"/>
  <c r="I8571" i="1"/>
  <c r="G8571" i="1"/>
  <c r="F8571" i="1"/>
  <c r="E8571" i="1"/>
  <c r="D8571" i="1"/>
  <c r="C8571" i="1"/>
  <c r="B8571" i="1"/>
  <c r="A8571" i="1"/>
  <c r="S8570" i="1"/>
  <c r="O8570" i="1"/>
  <c r="K8570" i="1"/>
  <c r="J8570" i="1"/>
  <c r="I8570" i="1"/>
  <c r="H8570" i="1"/>
  <c r="G8570" i="1"/>
  <c r="F8570" i="1"/>
  <c r="E8570" i="1"/>
  <c r="D8570" i="1"/>
  <c r="C8570" i="1"/>
  <c r="B8570" i="1"/>
  <c r="A8570" i="1"/>
  <c r="R8569" i="1"/>
  <c r="J8569" i="1"/>
  <c r="I8569" i="1"/>
  <c r="G8569" i="1"/>
  <c r="F8569" i="1"/>
  <c r="E8569" i="1"/>
  <c r="D8569" i="1"/>
  <c r="C8569" i="1"/>
  <c r="B8569" i="1"/>
  <c r="A8569" i="1"/>
  <c r="S8568" i="1"/>
  <c r="O8568" i="1"/>
  <c r="K8568" i="1"/>
  <c r="J8568" i="1"/>
  <c r="I8568" i="1"/>
  <c r="H8568" i="1"/>
  <c r="G8568" i="1"/>
  <c r="F8568" i="1"/>
  <c r="E8568" i="1"/>
  <c r="D8568" i="1"/>
  <c r="C8568" i="1"/>
  <c r="B8568" i="1"/>
  <c r="A8568" i="1"/>
  <c r="R8567" i="1"/>
  <c r="J8567" i="1"/>
  <c r="I8567" i="1"/>
  <c r="G8567" i="1"/>
  <c r="F8567" i="1"/>
  <c r="E8567" i="1"/>
  <c r="D8567" i="1"/>
  <c r="C8567" i="1"/>
  <c r="B8567" i="1"/>
  <c r="A8567" i="1"/>
  <c r="R8566" i="1"/>
  <c r="J8566" i="1"/>
  <c r="I8566" i="1"/>
  <c r="G8566" i="1"/>
  <c r="F8566" i="1"/>
  <c r="E8566" i="1"/>
  <c r="D8566" i="1"/>
  <c r="C8566" i="1"/>
  <c r="B8566" i="1"/>
  <c r="A8566" i="1"/>
  <c r="R8565" i="1"/>
  <c r="J8565" i="1"/>
  <c r="I8565" i="1"/>
  <c r="G8565" i="1"/>
  <c r="F8565" i="1"/>
  <c r="E8565" i="1"/>
  <c r="D8565" i="1"/>
  <c r="C8565" i="1"/>
  <c r="B8565" i="1"/>
  <c r="A8565" i="1"/>
  <c r="R8564" i="1"/>
  <c r="J8564" i="1"/>
  <c r="I8564" i="1"/>
  <c r="G8564" i="1"/>
  <c r="F8564" i="1"/>
  <c r="E8564" i="1"/>
  <c r="D8564" i="1"/>
  <c r="C8564" i="1"/>
  <c r="B8564" i="1"/>
  <c r="A8564" i="1"/>
  <c r="R8563" i="1"/>
  <c r="J8563" i="1"/>
  <c r="I8563" i="1"/>
  <c r="G8563" i="1"/>
  <c r="F8563" i="1"/>
  <c r="E8563" i="1"/>
  <c r="D8563" i="1"/>
  <c r="C8563" i="1"/>
  <c r="B8563" i="1"/>
  <c r="A8563" i="1"/>
  <c r="S8562" i="1"/>
  <c r="O8562" i="1"/>
  <c r="K8562" i="1"/>
  <c r="J8562" i="1"/>
  <c r="I8562" i="1"/>
  <c r="H8562" i="1"/>
  <c r="G8562" i="1"/>
  <c r="F8562" i="1"/>
  <c r="E8562" i="1"/>
  <c r="D8562" i="1"/>
  <c r="C8562" i="1"/>
  <c r="B8562" i="1"/>
  <c r="A8562" i="1"/>
  <c r="R8561" i="1"/>
  <c r="J8561" i="1"/>
  <c r="I8561" i="1"/>
  <c r="G8561" i="1"/>
  <c r="F8561" i="1"/>
  <c r="E8561" i="1"/>
  <c r="D8561" i="1"/>
  <c r="C8561" i="1"/>
  <c r="B8561" i="1"/>
  <c r="A8561" i="1"/>
  <c r="S8560" i="1"/>
  <c r="O8560" i="1"/>
  <c r="K8560" i="1"/>
  <c r="J8560" i="1"/>
  <c r="I8560" i="1"/>
  <c r="H8560" i="1"/>
  <c r="G8560" i="1"/>
  <c r="F8560" i="1"/>
  <c r="E8560" i="1"/>
  <c r="D8560" i="1"/>
  <c r="C8560" i="1"/>
  <c r="B8560" i="1"/>
  <c r="A8560" i="1"/>
  <c r="R8559" i="1"/>
  <c r="J8559" i="1"/>
  <c r="I8559" i="1"/>
  <c r="G8559" i="1"/>
  <c r="F8559" i="1"/>
  <c r="E8559" i="1"/>
  <c r="D8559" i="1"/>
  <c r="C8559" i="1"/>
  <c r="B8559" i="1"/>
  <c r="A8559" i="1"/>
  <c r="S8558" i="1"/>
  <c r="O8558" i="1"/>
  <c r="K8558" i="1"/>
  <c r="J8558" i="1"/>
  <c r="I8558" i="1"/>
  <c r="H8558" i="1"/>
  <c r="G8558" i="1"/>
  <c r="F8558" i="1"/>
  <c r="E8558" i="1"/>
  <c r="D8558" i="1"/>
  <c r="C8558" i="1"/>
  <c r="B8558" i="1"/>
  <c r="A8558" i="1"/>
  <c r="R8557" i="1"/>
  <c r="J8557" i="1"/>
  <c r="I8557" i="1"/>
  <c r="G8557" i="1"/>
  <c r="F8557" i="1"/>
  <c r="E8557" i="1"/>
  <c r="D8557" i="1"/>
  <c r="C8557" i="1"/>
  <c r="B8557" i="1"/>
  <c r="A8557" i="1"/>
  <c r="S8556" i="1"/>
  <c r="O8556" i="1"/>
  <c r="K8556" i="1"/>
  <c r="J8556" i="1"/>
  <c r="I8556" i="1"/>
  <c r="H8556" i="1"/>
  <c r="G8556" i="1"/>
  <c r="F8556" i="1"/>
  <c r="E8556" i="1"/>
  <c r="D8556" i="1"/>
  <c r="C8556" i="1"/>
  <c r="B8556" i="1"/>
  <c r="A8556" i="1"/>
  <c r="R8555" i="1"/>
  <c r="J8555" i="1"/>
  <c r="I8555" i="1"/>
  <c r="G8555" i="1"/>
  <c r="F8555" i="1"/>
  <c r="E8555" i="1"/>
  <c r="D8555" i="1"/>
  <c r="C8555" i="1"/>
  <c r="B8555" i="1"/>
  <c r="A8555" i="1"/>
  <c r="S8554" i="1"/>
  <c r="O8554" i="1"/>
  <c r="K8554" i="1"/>
  <c r="J8554" i="1"/>
  <c r="I8554" i="1"/>
  <c r="H8554" i="1"/>
  <c r="G8554" i="1"/>
  <c r="F8554" i="1"/>
  <c r="E8554" i="1"/>
  <c r="D8554" i="1"/>
  <c r="C8554" i="1"/>
  <c r="B8554" i="1"/>
  <c r="A8554" i="1"/>
  <c r="R8553" i="1"/>
  <c r="J8553" i="1"/>
  <c r="I8553" i="1"/>
  <c r="G8553" i="1"/>
  <c r="F8553" i="1"/>
  <c r="E8553" i="1"/>
  <c r="D8553" i="1"/>
  <c r="C8553" i="1"/>
  <c r="B8553" i="1"/>
  <c r="A8553" i="1"/>
  <c r="S8552" i="1"/>
  <c r="O8552" i="1"/>
  <c r="K8552" i="1"/>
  <c r="J8552" i="1"/>
  <c r="I8552" i="1"/>
  <c r="H8552" i="1"/>
  <c r="G8552" i="1"/>
  <c r="F8552" i="1"/>
  <c r="E8552" i="1"/>
  <c r="D8552" i="1"/>
  <c r="C8552" i="1"/>
  <c r="B8552" i="1"/>
  <c r="A8552" i="1"/>
  <c r="R8551" i="1"/>
  <c r="J8551" i="1"/>
  <c r="I8551" i="1"/>
  <c r="G8551" i="1"/>
  <c r="F8551" i="1"/>
  <c r="E8551" i="1"/>
  <c r="D8551" i="1"/>
  <c r="C8551" i="1"/>
  <c r="B8551" i="1"/>
  <c r="A8551" i="1"/>
  <c r="S8550" i="1"/>
  <c r="O8550" i="1"/>
  <c r="K8550" i="1"/>
  <c r="J8550" i="1"/>
  <c r="I8550" i="1"/>
  <c r="H8550" i="1"/>
  <c r="G8550" i="1"/>
  <c r="F8550" i="1"/>
  <c r="E8550" i="1"/>
  <c r="D8550" i="1"/>
  <c r="C8550" i="1"/>
  <c r="B8550" i="1"/>
  <c r="A8550" i="1"/>
  <c r="R8549" i="1"/>
  <c r="J8549" i="1"/>
  <c r="I8549" i="1"/>
  <c r="G8549" i="1"/>
  <c r="F8549" i="1"/>
  <c r="E8549" i="1"/>
  <c r="D8549" i="1"/>
  <c r="C8549" i="1"/>
  <c r="B8549" i="1"/>
  <c r="A8549" i="1"/>
  <c r="R8548" i="1"/>
  <c r="J8548" i="1"/>
  <c r="I8548" i="1"/>
  <c r="G8548" i="1"/>
  <c r="F8548" i="1"/>
  <c r="E8548" i="1"/>
  <c r="D8548" i="1"/>
  <c r="C8548" i="1"/>
  <c r="B8548" i="1"/>
  <c r="A8548" i="1"/>
  <c r="R8547" i="1"/>
  <c r="J8547" i="1"/>
  <c r="I8547" i="1"/>
  <c r="G8547" i="1"/>
  <c r="F8547" i="1"/>
  <c r="E8547" i="1"/>
  <c r="D8547" i="1"/>
  <c r="C8547" i="1"/>
  <c r="B8547" i="1"/>
  <c r="A8547" i="1"/>
  <c r="R8546" i="1"/>
  <c r="J8546" i="1"/>
  <c r="I8546" i="1"/>
  <c r="G8546" i="1"/>
  <c r="F8546" i="1"/>
  <c r="E8546" i="1"/>
  <c r="D8546" i="1"/>
  <c r="C8546" i="1"/>
  <c r="B8546" i="1"/>
  <c r="A8546" i="1"/>
  <c r="S8545" i="1"/>
  <c r="O8545" i="1"/>
  <c r="K8545" i="1"/>
  <c r="J8545" i="1"/>
  <c r="I8545" i="1"/>
  <c r="H8545" i="1"/>
  <c r="G8545" i="1"/>
  <c r="F8545" i="1"/>
  <c r="E8545" i="1"/>
  <c r="D8545" i="1"/>
  <c r="C8545" i="1"/>
  <c r="B8545" i="1"/>
  <c r="A8545" i="1"/>
  <c r="R8544" i="1"/>
  <c r="J8544" i="1"/>
  <c r="I8544" i="1"/>
  <c r="G8544" i="1"/>
  <c r="F8544" i="1"/>
  <c r="E8544" i="1"/>
  <c r="D8544" i="1"/>
  <c r="C8544" i="1"/>
  <c r="B8544" i="1"/>
  <c r="A8544" i="1"/>
  <c r="S8543" i="1"/>
  <c r="O8543" i="1"/>
  <c r="K8543" i="1"/>
  <c r="J8543" i="1"/>
  <c r="I8543" i="1"/>
  <c r="H8543" i="1"/>
  <c r="G8543" i="1"/>
  <c r="F8543" i="1"/>
  <c r="E8543" i="1"/>
  <c r="D8543" i="1"/>
  <c r="C8543" i="1"/>
  <c r="B8543" i="1"/>
  <c r="A8543" i="1"/>
  <c r="R8542" i="1"/>
  <c r="J8542" i="1"/>
  <c r="I8542" i="1"/>
  <c r="G8542" i="1"/>
  <c r="F8542" i="1"/>
  <c r="E8542" i="1"/>
  <c r="D8542" i="1"/>
  <c r="C8542" i="1"/>
  <c r="B8542" i="1"/>
  <c r="A8542" i="1"/>
  <c r="S8541" i="1"/>
  <c r="O8541" i="1"/>
  <c r="K8541" i="1"/>
  <c r="J8541" i="1"/>
  <c r="I8541" i="1"/>
  <c r="H8541" i="1"/>
  <c r="G8541" i="1"/>
  <c r="F8541" i="1"/>
  <c r="E8541" i="1"/>
  <c r="D8541" i="1"/>
  <c r="C8541" i="1"/>
  <c r="B8541" i="1"/>
  <c r="A8541" i="1"/>
  <c r="R8540" i="1"/>
  <c r="J8540" i="1"/>
  <c r="I8540" i="1"/>
  <c r="G8540" i="1"/>
  <c r="F8540" i="1"/>
  <c r="E8540" i="1"/>
  <c r="D8540" i="1"/>
  <c r="C8540" i="1"/>
  <c r="B8540" i="1"/>
  <c r="A8540" i="1"/>
  <c r="S8539" i="1"/>
  <c r="O8539" i="1"/>
  <c r="K8539" i="1"/>
  <c r="J8539" i="1"/>
  <c r="I8539" i="1"/>
  <c r="H8539" i="1"/>
  <c r="G8539" i="1"/>
  <c r="F8539" i="1"/>
  <c r="E8539" i="1"/>
  <c r="D8539" i="1"/>
  <c r="C8539" i="1"/>
  <c r="B8539" i="1"/>
  <c r="A8539" i="1"/>
  <c r="R8538" i="1"/>
  <c r="J8538" i="1"/>
  <c r="I8538" i="1"/>
  <c r="G8538" i="1"/>
  <c r="F8538" i="1"/>
  <c r="E8538" i="1"/>
  <c r="D8538" i="1"/>
  <c r="C8538" i="1"/>
  <c r="B8538" i="1"/>
  <c r="A8538" i="1"/>
  <c r="S8537" i="1"/>
  <c r="O8537" i="1"/>
  <c r="K8537" i="1"/>
  <c r="J8537" i="1"/>
  <c r="I8537" i="1"/>
  <c r="H8537" i="1"/>
  <c r="G8537" i="1"/>
  <c r="F8537" i="1"/>
  <c r="E8537" i="1"/>
  <c r="D8537" i="1"/>
  <c r="C8537" i="1"/>
  <c r="B8537" i="1"/>
  <c r="A8537" i="1"/>
  <c r="R8536" i="1"/>
  <c r="J8536" i="1"/>
  <c r="I8536" i="1"/>
  <c r="G8536" i="1"/>
  <c r="F8536" i="1"/>
  <c r="E8536" i="1"/>
  <c r="D8536" i="1"/>
  <c r="C8536" i="1"/>
  <c r="B8536" i="1"/>
  <c r="A8536" i="1"/>
  <c r="S8535" i="1"/>
  <c r="O8535" i="1"/>
  <c r="K8535" i="1"/>
  <c r="J8535" i="1"/>
  <c r="I8535" i="1"/>
  <c r="H8535" i="1"/>
  <c r="G8535" i="1"/>
  <c r="F8535" i="1"/>
  <c r="E8535" i="1"/>
  <c r="D8535" i="1"/>
  <c r="C8535" i="1"/>
  <c r="B8535" i="1"/>
  <c r="A8535" i="1"/>
  <c r="R8534" i="1"/>
  <c r="J8534" i="1"/>
  <c r="I8534" i="1"/>
  <c r="G8534" i="1"/>
  <c r="F8534" i="1"/>
  <c r="E8534" i="1"/>
  <c r="D8534" i="1"/>
  <c r="C8534" i="1"/>
  <c r="B8534" i="1"/>
  <c r="A8534" i="1"/>
  <c r="S8533" i="1"/>
  <c r="O8533" i="1"/>
  <c r="K8533" i="1"/>
  <c r="J8533" i="1"/>
  <c r="I8533" i="1"/>
  <c r="H8533" i="1"/>
  <c r="G8533" i="1"/>
  <c r="F8533" i="1"/>
  <c r="E8533" i="1"/>
  <c r="D8533" i="1"/>
  <c r="C8533" i="1"/>
  <c r="B8533" i="1"/>
  <c r="A8533" i="1"/>
  <c r="R8532" i="1"/>
  <c r="J8532" i="1"/>
  <c r="I8532" i="1"/>
  <c r="G8532" i="1"/>
  <c r="F8532" i="1"/>
  <c r="E8532" i="1"/>
  <c r="D8532" i="1"/>
  <c r="C8532" i="1"/>
  <c r="B8532" i="1"/>
  <c r="A8532" i="1"/>
  <c r="S8531" i="1"/>
  <c r="O8531" i="1"/>
  <c r="K8531" i="1"/>
  <c r="J8531" i="1"/>
  <c r="I8531" i="1"/>
  <c r="H8531" i="1"/>
  <c r="G8531" i="1"/>
  <c r="F8531" i="1"/>
  <c r="E8531" i="1"/>
  <c r="D8531" i="1"/>
  <c r="C8531" i="1"/>
  <c r="B8531" i="1"/>
  <c r="A8531" i="1"/>
  <c r="S8530" i="1"/>
  <c r="O8530" i="1"/>
  <c r="K8530" i="1"/>
  <c r="J8530" i="1"/>
  <c r="I8530" i="1"/>
  <c r="H8530" i="1"/>
  <c r="G8530" i="1"/>
  <c r="F8530" i="1"/>
  <c r="D8530" i="1"/>
  <c r="C8530" i="1"/>
  <c r="B8530" i="1"/>
  <c r="A8530" i="1"/>
  <c r="S8529" i="1"/>
  <c r="O8529" i="1"/>
  <c r="K8529" i="1"/>
  <c r="J8529" i="1"/>
  <c r="I8529" i="1"/>
  <c r="H8529" i="1"/>
  <c r="G8529" i="1"/>
  <c r="F8529" i="1"/>
  <c r="D8529" i="1"/>
  <c r="C8529" i="1"/>
  <c r="B8529" i="1"/>
  <c r="A8529" i="1"/>
  <c r="R8528" i="1"/>
  <c r="J8528" i="1"/>
  <c r="I8528" i="1"/>
  <c r="G8528" i="1"/>
  <c r="F8528" i="1"/>
  <c r="E8528" i="1"/>
  <c r="D8528" i="1"/>
  <c r="C8528" i="1"/>
  <c r="B8528" i="1"/>
  <c r="A8528" i="1"/>
  <c r="R8527" i="1"/>
  <c r="J8527" i="1"/>
  <c r="I8527" i="1"/>
  <c r="G8527" i="1"/>
  <c r="F8527" i="1"/>
  <c r="E8527" i="1"/>
  <c r="D8527" i="1"/>
  <c r="C8527" i="1"/>
  <c r="B8527" i="1"/>
  <c r="A8527" i="1"/>
  <c r="R8526" i="1"/>
  <c r="J8526" i="1"/>
  <c r="I8526" i="1"/>
  <c r="G8526" i="1"/>
  <c r="F8526" i="1"/>
  <c r="E8526" i="1"/>
  <c r="D8526" i="1"/>
  <c r="C8526" i="1"/>
  <c r="B8526" i="1"/>
  <c r="A8526" i="1"/>
  <c r="R8525" i="1"/>
  <c r="J8525" i="1"/>
  <c r="I8525" i="1"/>
  <c r="G8525" i="1"/>
  <c r="F8525" i="1"/>
  <c r="E8525" i="1"/>
  <c r="D8525" i="1"/>
  <c r="C8525" i="1"/>
  <c r="B8525" i="1"/>
  <c r="A8525" i="1"/>
  <c r="S8524" i="1"/>
  <c r="O8524" i="1"/>
  <c r="K8524" i="1"/>
  <c r="J8524" i="1"/>
  <c r="I8524" i="1"/>
  <c r="H8524" i="1"/>
  <c r="G8524" i="1"/>
  <c r="F8524" i="1"/>
  <c r="E8524" i="1"/>
  <c r="D8524" i="1"/>
  <c r="C8524" i="1"/>
  <c r="B8524" i="1"/>
  <c r="A8524" i="1"/>
  <c r="R8523" i="1"/>
  <c r="J8523" i="1"/>
  <c r="I8523" i="1"/>
  <c r="G8523" i="1"/>
  <c r="F8523" i="1"/>
  <c r="E8523" i="1"/>
  <c r="D8523" i="1"/>
  <c r="C8523" i="1"/>
  <c r="B8523" i="1"/>
  <c r="A8523" i="1"/>
  <c r="R8522" i="1"/>
  <c r="J8522" i="1"/>
  <c r="I8522" i="1"/>
  <c r="G8522" i="1"/>
  <c r="F8522" i="1"/>
  <c r="E8522" i="1"/>
  <c r="D8522" i="1"/>
  <c r="C8522" i="1"/>
  <c r="B8522" i="1"/>
  <c r="A8522" i="1"/>
  <c r="R8521" i="1"/>
  <c r="J8521" i="1"/>
  <c r="I8521" i="1"/>
  <c r="G8521" i="1"/>
  <c r="F8521" i="1"/>
  <c r="E8521" i="1"/>
  <c r="D8521" i="1"/>
  <c r="C8521" i="1"/>
  <c r="B8521" i="1"/>
  <c r="A8521" i="1"/>
  <c r="S8520" i="1"/>
  <c r="O8520" i="1"/>
  <c r="K8520" i="1"/>
  <c r="J8520" i="1"/>
  <c r="I8520" i="1"/>
  <c r="H8520" i="1"/>
  <c r="G8520" i="1"/>
  <c r="F8520" i="1"/>
  <c r="E8520" i="1"/>
  <c r="D8520" i="1"/>
  <c r="C8520" i="1"/>
  <c r="B8520" i="1"/>
  <c r="A8520" i="1"/>
  <c r="R8519" i="1"/>
  <c r="J8519" i="1"/>
  <c r="I8519" i="1"/>
  <c r="G8519" i="1"/>
  <c r="F8519" i="1"/>
  <c r="E8519" i="1"/>
  <c r="D8519" i="1"/>
  <c r="C8519" i="1"/>
  <c r="B8519" i="1"/>
  <c r="A8519" i="1"/>
  <c r="S8518" i="1"/>
  <c r="O8518" i="1"/>
  <c r="K8518" i="1"/>
  <c r="J8518" i="1"/>
  <c r="I8518" i="1"/>
  <c r="H8518" i="1"/>
  <c r="G8518" i="1"/>
  <c r="F8518" i="1"/>
  <c r="E8518" i="1"/>
  <c r="D8518" i="1"/>
  <c r="C8518" i="1"/>
  <c r="B8518" i="1"/>
  <c r="A8518" i="1"/>
  <c r="R8517" i="1"/>
  <c r="J8517" i="1"/>
  <c r="I8517" i="1"/>
  <c r="G8517" i="1"/>
  <c r="F8517" i="1"/>
  <c r="E8517" i="1"/>
  <c r="D8517" i="1"/>
  <c r="C8517" i="1"/>
  <c r="B8517" i="1"/>
  <c r="A8517" i="1"/>
  <c r="S8516" i="1"/>
  <c r="O8516" i="1"/>
  <c r="K8516" i="1"/>
  <c r="J8516" i="1"/>
  <c r="I8516" i="1"/>
  <c r="H8516" i="1"/>
  <c r="G8516" i="1"/>
  <c r="F8516" i="1"/>
  <c r="E8516" i="1"/>
  <c r="D8516" i="1"/>
  <c r="C8516" i="1"/>
  <c r="B8516" i="1"/>
  <c r="A8516" i="1"/>
  <c r="R8515" i="1"/>
  <c r="J8515" i="1"/>
  <c r="I8515" i="1"/>
  <c r="G8515" i="1"/>
  <c r="F8515" i="1"/>
  <c r="E8515" i="1"/>
  <c r="D8515" i="1"/>
  <c r="C8515" i="1"/>
  <c r="B8515" i="1"/>
  <c r="A8515" i="1"/>
  <c r="S8514" i="1"/>
  <c r="O8514" i="1"/>
  <c r="K8514" i="1"/>
  <c r="J8514" i="1"/>
  <c r="I8514" i="1"/>
  <c r="H8514" i="1"/>
  <c r="G8514" i="1"/>
  <c r="F8514" i="1"/>
  <c r="E8514" i="1"/>
  <c r="D8514" i="1"/>
  <c r="C8514" i="1"/>
  <c r="B8514" i="1"/>
  <c r="A8514" i="1"/>
  <c r="R8513" i="1"/>
  <c r="J8513" i="1"/>
  <c r="I8513" i="1"/>
  <c r="G8513" i="1"/>
  <c r="F8513" i="1"/>
  <c r="E8513" i="1"/>
  <c r="D8513" i="1"/>
  <c r="C8513" i="1"/>
  <c r="B8513" i="1"/>
  <c r="A8513" i="1"/>
  <c r="S8512" i="1"/>
  <c r="O8512" i="1"/>
  <c r="K8512" i="1"/>
  <c r="J8512" i="1"/>
  <c r="I8512" i="1"/>
  <c r="H8512" i="1"/>
  <c r="G8512" i="1"/>
  <c r="F8512" i="1"/>
  <c r="E8512" i="1"/>
  <c r="D8512" i="1"/>
  <c r="C8512" i="1"/>
  <c r="B8512" i="1"/>
  <c r="A8512" i="1"/>
  <c r="R8511" i="1"/>
  <c r="J8511" i="1"/>
  <c r="I8511" i="1"/>
  <c r="G8511" i="1"/>
  <c r="F8511" i="1"/>
  <c r="E8511" i="1"/>
  <c r="D8511" i="1"/>
  <c r="C8511" i="1"/>
  <c r="B8511" i="1"/>
  <c r="A8511" i="1"/>
  <c r="S8510" i="1"/>
  <c r="O8510" i="1"/>
  <c r="K8510" i="1"/>
  <c r="J8510" i="1"/>
  <c r="I8510" i="1"/>
  <c r="H8510" i="1"/>
  <c r="G8510" i="1"/>
  <c r="F8510" i="1"/>
  <c r="E8510" i="1"/>
  <c r="D8510" i="1"/>
  <c r="C8510" i="1"/>
  <c r="B8510" i="1"/>
  <c r="A8510" i="1"/>
  <c r="R8509" i="1"/>
  <c r="J8509" i="1"/>
  <c r="I8509" i="1"/>
  <c r="G8509" i="1"/>
  <c r="F8509" i="1"/>
  <c r="E8509" i="1"/>
  <c r="D8509" i="1"/>
  <c r="C8509" i="1"/>
  <c r="B8509" i="1"/>
  <c r="A8509" i="1"/>
  <c r="S8508" i="1"/>
  <c r="O8508" i="1"/>
  <c r="K8508" i="1"/>
  <c r="J8508" i="1"/>
  <c r="I8508" i="1"/>
  <c r="H8508" i="1"/>
  <c r="G8508" i="1"/>
  <c r="F8508" i="1"/>
  <c r="E8508" i="1"/>
  <c r="D8508" i="1"/>
  <c r="C8508" i="1"/>
  <c r="B8508" i="1"/>
  <c r="A8508" i="1"/>
  <c r="R8507" i="1"/>
  <c r="J8507" i="1"/>
  <c r="I8507" i="1"/>
  <c r="G8507" i="1"/>
  <c r="F8507" i="1"/>
  <c r="E8507" i="1"/>
  <c r="D8507" i="1"/>
  <c r="C8507" i="1"/>
  <c r="B8507" i="1"/>
  <c r="A8507" i="1"/>
  <c r="S8506" i="1"/>
  <c r="O8506" i="1"/>
  <c r="K8506" i="1"/>
  <c r="J8506" i="1"/>
  <c r="I8506" i="1"/>
  <c r="H8506" i="1"/>
  <c r="G8506" i="1"/>
  <c r="F8506" i="1"/>
  <c r="E8506" i="1"/>
  <c r="D8506" i="1"/>
  <c r="C8506" i="1"/>
  <c r="B8506" i="1"/>
  <c r="A8506" i="1"/>
  <c r="R8505" i="1"/>
  <c r="J8505" i="1"/>
  <c r="I8505" i="1"/>
  <c r="G8505" i="1"/>
  <c r="F8505" i="1"/>
  <c r="E8505" i="1"/>
  <c r="D8505" i="1"/>
  <c r="C8505" i="1"/>
  <c r="B8505" i="1"/>
  <c r="A8505" i="1"/>
  <c r="S8504" i="1"/>
  <c r="O8504" i="1"/>
  <c r="K8504" i="1"/>
  <c r="J8504" i="1"/>
  <c r="I8504" i="1"/>
  <c r="H8504" i="1"/>
  <c r="G8504" i="1"/>
  <c r="F8504" i="1"/>
  <c r="E8504" i="1"/>
  <c r="D8504" i="1"/>
  <c r="C8504" i="1"/>
  <c r="B8504" i="1"/>
  <c r="A8504" i="1"/>
  <c r="R8503" i="1"/>
  <c r="J8503" i="1"/>
  <c r="I8503" i="1"/>
  <c r="G8503" i="1"/>
  <c r="F8503" i="1"/>
  <c r="E8503" i="1"/>
  <c r="D8503" i="1"/>
  <c r="C8503" i="1"/>
  <c r="B8503" i="1"/>
  <c r="A8503" i="1"/>
  <c r="S8502" i="1"/>
  <c r="O8502" i="1"/>
  <c r="K8502" i="1"/>
  <c r="J8502" i="1"/>
  <c r="I8502" i="1"/>
  <c r="H8502" i="1"/>
  <c r="G8502" i="1"/>
  <c r="F8502" i="1"/>
  <c r="E8502" i="1"/>
  <c r="D8502" i="1"/>
  <c r="C8502" i="1"/>
  <c r="B8502" i="1"/>
  <c r="A8502" i="1"/>
  <c r="R8501" i="1"/>
  <c r="J8501" i="1"/>
  <c r="I8501" i="1"/>
  <c r="G8501" i="1"/>
  <c r="F8501" i="1"/>
  <c r="E8501" i="1"/>
  <c r="D8501" i="1"/>
  <c r="C8501" i="1"/>
  <c r="B8501" i="1"/>
  <c r="A8501" i="1"/>
  <c r="S8500" i="1"/>
  <c r="O8500" i="1"/>
  <c r="K8500" i="1"/>
  <c r="J8500" i="1"/>
  <c r="I8500" i="1"/>
  <c r="H8500" i="1"/>
  <c r="G8500" i="1"/>
  <c r="F8500" i="1"/>
  <c r="E8500" i="1"/>
  <c r="D8500" i="1"/>
  <c r="C8500" i="1"/>
  <c r="B8500" i="1"/>
  <c r="A8500" i="1"/>
  <c r="R8499" i="1"/>
  <c r="J8499" i="1"/>
  <c r="I8499" i="1"/>
  <c r="G8499" i="1"/>
  <c r="F8499" i="1"/>
  <c r="E8499" i="1"/>
  <c r="D8499" i="1"/>
  <c r="C8499" i="1"/>
  <c r="B8499" i="1"/>
  <c r="A8499" i="1"/>
  <c r="S8498" i="1"/>
  <c r="O8498" i="1"/>
  <c r="K8498" i="1"/>
  <c r="J8498" i="1"/>
  <c r="I8498" i="1"/>
  <c r="H8498" i="1"/>
  <c r="G8498" i="1"/>
  <c r="F8498" i="1"/>
  <c r="E8498" i="1"/>
  <c r="D8498" i="1"/>
  <c r="C8498" i="1"/>
  <c r="B8498" i="1"/>
  <c r="A8498" i="1"/>
  <c r="R8497" i="1"/>
  <c r="J8497" i="1"/>
  <c r="I8497" i="1"/>
  <c r="G8497" i="1"/>
  <c r="F8497" i="1"/>
  <c r="E8497" i="1"/>
  <c r="D8497" i="1"/>
  <c r="C8497" i="1"/>
  <c r="B8497" i="1"/>
  <c r="A8497" i="1"/>
  <c r="S8496" i="1"/>
  <c r="O8496" i="1"/>
  <c r="K8496" i="1"/>
  <c r="J8496" i="1"/>
  <c r="I8496" i="1"/>
  <c r="H8496" i="1"/>
  <c r="G8496" i="1"/>
  <c r="F8496" i="1"/>
  <c r="E8496" i="1"/>
  <c r="D8496" i="1"/>
  <c r="C8496" i="1"/>
  <c r="B8496" i="1"/>
  <c r="A8496" i="1"/>
  <c r="R8495" i="1"/>
  <c r="J8495" i="1"/>
  <c r="I8495" i="1"/>
  <c r="G8495" i="1"/>
  <c r="F8495" i="1"/>
  <c r="E8495" i="1"/>
  <c r="D8495" i="1"/>
  <c r="C8495" i="1"/>
  <c r="B8495" i="1"/>
  <c r="A8495" i="1"/>
  <c r="S8494" i="1"/>
  <c r="O8494" i="1"/>
  <c r="K8494" i="1"/>
  <c r="J8494" i="1"/>
  <c r="I8494" i="1"/>
  <c r="H8494" i="1"/>
  <c r="G8494" i="1"/>
  <c r="F8494" i="1"/>
  <c r="E8494" i="1"/>
  <c r="D8494" i="1"/>
  <c r="C8494" i="1"/>
  <c r="B8494" i="1"/>
  <c r="A8494" i="1"/>
  <c r="R8493" i="1"/>
  <c r="J8493" i="1"/>
  <c r="I8493" i="1"/>
  <c r="G8493" i="1"/>
  <c r="F8493" i="1"/>
  <c r="E8493" i="1"/>
  <c r="D8493" i="1"/>
  <c r="C8493" i="1"/>
  <c r="B8493" i="1"/>
  <c r="A8493" i="1"/>
  <c r="S8492" i="1"/>
  <c r="O8492" i="1"/>
  <c r="K8492" i="1"/>
  <c r="J8492" i="1"/>
  <c r="I8492" i="1"/>
  <c r="H8492" i="1"/>
  <c r="G8492" i="1"/>
  <c r="F8492" i="1"/>
  <c r="E8492" i="1"/>
  <c r="D8492" i="1"/>
  <c r="C8492" i="1"/>
  <c r="B8492" i="1"/>
  <c r="A8492" i="1"/>
  <c r="R8491" i="1"/>
  <c r="J8491" i="1"/>
  <c r="I8491" i="1"/>
  <c r="G8491" i="1"/>
  <c r="F8491" i="1"/>
  <c r="E8491" i="1"/>
  <c r="D8491" i="1"/>
  <c r="C8491" i="1"/>
  <c r="B8491" i="1"/>
  <c r="A8491" i="1"/>
  <c r="S8490" i="1"/>
  <c r="O8490" i="1"/>
  <c r="K8490" i="1"/>
  <c r="J8490" i="1"/>
  <c r="I8490" i="1"/>
  <c r="H8490" i="1"/>
  <c r="G8490" i="1"/>
  <c r="F8490" i="1"/>
  <c r="E8490" i="1"/>
  <c r="D8490" i="1"/>
  <c r="C8490" i="1"/>
  <c r="B8490" i="1"/>
  <c r="A8490" i="1"/>
  <c r="R8489" i="1"/>
  <c r="J8489" i="1"/>
  <c r="I8489" i="1"/>
  <c r="G8489" i="1"/>
  <c r="F8489" i="1"/>
  <c r="E8489" i="1"/>
  <c r="D8489" i="1"/>
  <c r="C8489" i="1"/>
  <c r="B8489" i="1"/>
  <c r="A8489" i="1"/>
  <c r="S8488" i="1"/>
  <c r="O8488" i="1"/>
  <c r="K8488" i="1"/>
  <c r="J8488" i="1"/>
  <c r="I8488" i="1"/>
  <c r="H8488" i="1"/>
  <c r="G8488" i="1"/>
  <c r="F8488" i="1"/>
  <c r="E8488" i="1"/>
  <c r="D8488" i="1"/>
  <c r="C8488" i="1"/>
  <c r="B8488" i="1"/>
  <c r="A8488" i="1"/>
  <c r="R8487" i="1"/>
  <c r="J8487" i="1"/>
  <c r="I8487" i="1"/>
  <c r="G8487" i="1"/>
  <c r="F8487" i="1"/>
  <c r="E8487" i="1"/>
  <c r="D8487" i="1"/>
  <c r="C8487" i="1"/>
  <c r="B8487" i="1"/>
  <c r="A8487" i="1"/>
  <c r="S8486" i="1"/>
  <c r="O8486" i="1"/>
  <c r="K8486" i="1"/>
  <c r="J8486" i="1"/>
  <c r="I8486" i="1"/>
  <c r="H8486" i="1"/>
  <c r="G8486" i="1"/>
  <c r="F8486" i="1"/>
  <c r="E8486" i="1"/>
  <c r="D8486" i="1"/>
  <c r="C8486" i="1"/>
  <c r="B8486" i="1"/>
  <c r="A8486" i="1"/>
  <c r="R8485" i="1"/>
  <c r="J8485" i="1"/>
  <c r="I8485" i="1"/>
  <c r="G8485" i="1"/>
  <c r="F8485" i="1"/>
  <c r="E8485" i="1"/>
  <c r="D8485" i="1"/>
  <c r="C8485" i="1"/>
  <c r="B8485" i="1"/>
  <c r="A8485" i="1"/>
  <c r="S8484" i="1"/>
  <c r="O8484" i="1"/>
  <c r="K8484" i="1"/>
  <c r="J8484" i="1"/>
  <c r="I8484" i="1"/>
  <c r="H8484" i="1"/>
  <c r="G8484" i="1"/>
  <c r="F8484" i="1"/>
  <c r="E8484" i="1"/>
  <c r="D8484" i="1"/>
  <c r="C8484" i="1"/>
  <c r="B8484" i="1"/>
  <c r="A8484" i="1"/>
  <c r="R8483" i="1"/>
  <c r="J8483" i="1"/>
  <c r="I8483" i="1"/>
  <c r="G8483" i="1"/>
  <c r="F8483" i="1"/>
  <c r="E8483" i="1"/>
  <c r="D8483" i="1"/>
  <c r="C8483" i="1"/>
  <c r="B8483" i="1"/>
  <c r="A8483" i="1"/>
  <c r="S8482" i="1"/>
  <c r="O8482" i="1"/>
  <c r="K8482" i="1"/>
  <c r="J8482" i="1"/>
  <c r="I8482" i="1"/>
  <c r="H8482" i="1"/>
  <c r="G8482" i="1"/>
  <c r="F8482" i="1"/>
  <c r="E8482" i="1"/>
  <c r="D8482" i="1"/>
  <c r="C8482" i="1"/>
  <c r="B8482" i="1"/>
  <c r="A8482" i="1"/>
  <c r="R8481" i="1"/>
  <c r="J8481" i="1"/>
  <c r="I8481" i="1"/>
  <c r="G8481" i="1"/>
  <c r="F8481" i="1"/>
  <c r="E8481" i="1"/>
  <c r="D8481" i="1"/>
  <c r="C8481" i="1"/>
  <c r="B8481" i="1"/>
  <c r="A8481" i="1"/>
  <c r="S8480" i="1"/>
  <c r="O8480" i="1"/>
  <c r="K8480" i="1"/>
  <c r="J8480" i="1"/>
  <c r="I8480" i="1"/>
  <c r="H8480" i="1"/>
  <c r="G8480" i="1"/>
  <c r="F8480" i="1"/>
  <c r="E8480" i="1"/>
  <c r="D8480" i="1"/>
  <c r="C8480" i="1"/>
  <c r="B8480" i="1"/>
  <c r="A8480" i="1"/>
  <c r="R8479" i="1"/>
  <c r="J8479" i="1"/>
  <c r="I8479" i="1"/>
  <c r="G8479" i="1"/>
  <c r="F8479" i="1"/>
  <c r="E8479" i="1"/>
  <c r="D8479" i="1"/>
  <c r="C8479" i="1"/>
  <c r="B8479" i="1"/>
  <c r="A8479" i="1"/>
  <c r="S8478" i="1"/>
  <c r="O8478" i="1"/>
  <c r="K8478" i="1"/>
  <c r="J8478" i="1"/>
  <c r="I8478" i="1"/>
  <c r="H8478" i="1"/>
  <c r="G8478" i="1"/>
  <c r="F8478" i="1"/>
  <c r="E8478" i="1"/>
  <c r="D8478" i="1"/>
  <c r="C8478" i="1"/>
  <c r="B8478" i="1"/>
  <c r="A8478" i="1"/>
  <c r="R8477" i="1"/>
  <c r="J8477" i="1"/>
  <c r="I8477" i="1"/>
  <c r="G8477" i="1"/>
  <c r="F8477" i="1"/>
  <c r="E8477" i="1"/>
  <c r="D8477" i="1"/>
  <c r="C8477" i="1"/>
  <c r="B8477" i="1"/>
  <c r="A8477" i="1"/>
  <c r="S8476" i="1"/>
  <c r="O8476" i="1"/>
  <c r="K8476" i="1"/>
  <c r="J8476" i="1"/>
  <c r="I8476" i="1"/>
  <c r="H8476" i="1"/>
  <c r="G8476" i="1"/>
  <c r="F8476" i="1"/>
  <c r="E8476" i="1"/>
  <c r="D8476" i="1"/>
  <c r="C8476" i="1"/>
  <c r="B8476" i="1"/>
  <c r="A8476" i="1"/>
  <c r="R8475" i="1"/>
  <c r="J8475" i="1"/>
  <c r="I8475" i="1"/>
  <c r="G8475" i="1"/>
  <c r="F8475" i="1"/>
  <c r="E8475" i="1"/>
  <c r="D8475" i="1"/>
  <c r="C8475" i="1"/>
  <c r="B8475" i="1"/>
  <c r="A8475" i="1"/>
  <c r="S8474" i="1"/>
  <c r="O8474" i="1"/>
  <c r="K8474" i="1"/>
  <c r="J8474" i="1"/>
  <c r="I8474" i="1"/>
  <c r="H8474" i="1"/>
  <c r="G8474" i="1"/>
  <c r="F8474" i="1"/>
  <c r="E8474" i="1"/>
  <c r="D8474" i="1"/>
  <c r="C8474" i="1"/>
  <c r="B8474" i="1"/>
  <c r="A8474" i="1"/>
  <c r="R8473" i="1"/>
  <c r="J8473" i="1"/>
  <c r="I8473" i="1"/>
  <c r="G8473" i="1"/>
  <c r="F8473" i="1"/>
  <c r="E8473" i="1"/>
  <c r="D8473" i="1"/>
  <c r="C8473" i="1"/>
  <c r="B8473" i="1"/>
  <c r="A8473" i="1"/>
  <c r="S8472" i="1"/>
  <c r="O8472" i="1"/>
  <c r="K8472" i="1"/>
  <c r="J8472" i="1"/>
  <c r="I8472" i="1"/>
  <c r="H8472" i="1"/>
  <c r="G8472" i="1"/>
  <c r="F8472" i="1"/>
  <c r="E8472" i="1"/>
  <c r="D8472" i="1"/>
  <c r="C8472" i="1"/>
  <c r="B8472" i="1"/>
  <c r="A8472" i="1"/>
  <c r="R8471" i="1"/>
  <c r="J8471" i="1"/>
  <c r="I8471" i="1"/>
  <c r="G8471" i="1"/>
  <c r="F8471" i="1"/>
  <c r="E8471" i="1"/>
  <c r="D8471" i="1"/>
  <c r="C8471" i="1"/>
  <c r="B8471" i="1"/>
  <c r="A8471" i="1"/>
  <c r="S8470" i="1"/>
  <c r="O8470" i="1"/>
  <c r="K8470" i="1"/>
  <c r="J8470" i="1"/>
  <c r="I8470" i="1"/>
  <c r="H8470" i="1"/>
  <c r="G8470" i="1"/>
  <c r="F8470" i="1"/>
  <c r="E8470" i="1"/>
  <c r="D8470" i="1"/>
  <c r="C8470" i="1"/>
  <c r="B8470" i="1"/>
  <c r="A8470" i="1"/>
  <c r="R8469" i="1"/>
  <c r="J8469" i="1"/>
  <c r="I8469" i="1"/>
  <c r="G8469" i="1"/>
  <c r="F8469" i="1"/>
  <c r="E8469" i="1"/>
  <c r="D8469" i="1"/>
  <c r="C8469" i="1"/>
  <c r="B8469" i="1"/>
  <c r="A8469" i="1"/>
  <c r="S8468" i="1"/>
  <c r="O8468" i="1"/>
  <c r="K8468" i="1"/>
  <c r="J8468" i="1"/>
  <c r="I8468" i="1"/>
  <c r="H8468" i="1"/>
  <c r="G8468" i="1"/>
  <c r="F8468" i="1"/>
  <c r="E8468" i="1"/>
  <c r="D8468" i="1"/>
  <c r="C8468" i="1"/>
  <c r="B8468" i="1"/>
  <c r="A8468" i="1"/>
  <c r="R8467" i="1"/>
  <c r="J8467" i="1"/>
  <c r="I8467" i="1"/>
  <c r="G8467" i="1"/>
  <c r="F8467" i="1"/>
  <c r="E8467" i="1"/>
  <c r="D8467" i="1"/>
  <c r="C8467" i="1"/>
  <c r="B8467" i="1"/>
  <c r="A8467" i="1"/>
  <c r="S8466" i="1"/>
  <c r="O8466" i="1"/>
  <c r="K8466" i="1"/>
  <c r="J8466" i="1"/>
  <c r="I8466" i="1"/>
  <c r="H8466" i="1"/>
  <c r="G8466" i="1"/>
  <c r="F8466" i="1"/>
  <c r="E8466" i="1"/>
  <c r="D8466" i="1"/>
  <c r="C8466" i="1"/>
  <c r="B8466" i="1"/>
  <c r="A8466" i="1"/>
  <c r="R8465" i="1"/>
  <c r="J8465" i="1"/>
  <c r="I8465" i="1"/>
  <c r="G8465" i="1"/>
  <c r="F8465" i="1"/>
  <c r="E8465" i="1"/>
  <c r="D8465" i="1"/>
  <c r="C8465" i="1"/>
  <c r="B8465" i="1"/>
  <c r="A8465" i="1"/>
  <c r="S8464" i="1"/>
  <c r="O8464" i="1"/>
  <c r="K8464" i="1"/>
  <c r="J8464" i="1"/>
  <c r="I8464" i="1"/>
  <c r="H8464" i="1"/>
  <c r="G8464" i="1"/>
  <c r="F8464" i="1"/>
  <c r="E8464" i="1"/>
  <c r="D8464" i="1"/>
  <c r="C8464" i="1"/>
  <c r="B8464" i="1"/>
  <c r="A8464" i="1"/>
  <c r="R8463" i="1"/>
  <c r="J8463" i="1"/>
  <c r="I8463" i="1"/>
  <c r="G8463" i="1"/>
  <c r="F8463" i="1"/>
  <c r="E8463" i="1"/>
  <c r="D8463" i="1"/>
  <c r="C8463" i="1"/>
  <c r="B8463" i="1"/>
  <c r="A8463" i="1"/>
  <c r="S8462" i="1"/>
  <c r="O8462" i="1"/>
  <c r="K8462" i="1"/>
  <c r="J8462" i="1"/>
  <c r="I8462" i="1"/>
  <c r="H8462" i="1"/>
  <c r="G8462" i="1"/>
  <c r="F8462" i="1"/>
  <c r="E8462" i="1"/>
  <c r="D8462" i="1"/>
  <c r="C8462" i="1"/>
  <c r="B8462" i="1"/>
  <c r="A8462" i="1"/>
  <c r="R8461" i="1"/>
  <c r="J8461" i="1"/>
  <c r="I8461" i="1"/>
  <c r="G8461" i="1"/>
  <c r="F8461" i="1"/>
  <c r="E8461" i="1"/>
  <c r="D8461" i="1"/>
  <c r="C8461" i="1"/>
  <c r="B8461" i="1"/>
  <c r="A8461" i="1"/>
  <c r="S8460" i="1"/>
  <c r="O8460" i="1"/>
  <c r="K8460" i="1"/>
  <c r="J8460" i="1"/>
  <c r="I8460" i="1"/>
  <c r="H8460" i="1"/>
  <c r="G8460" i="1"/>
  <c r="F8460" i="1"/>
  <c r="E8460" i="1"/>
  <c r="D8460" i="1"/>
  <c r="C8460" i="1"/>
  <c r="B8460" i="1"/>
  <c r="A8460" i="1"/>
  <c r="R8459" i="1"/>
  <c r="J8459" i="1"/>
  <c r="I8459" i="1"/>
  <c r="G8459" i="1"/>
  <c r="F8459" i="1"/>
  <c r="E8459" i="1"/>
  <c r="D8459" i="1"/>
  <c r="C8459" i="1"/>
  <c r="B8459" i="1"/>
  <c r="A8459" i="1"/>
  <c r="S8458" i="1"/>
  <c r="O8458" i="1"/>
  <c r="K8458" i="1"/>
  <c r="J8458" i="1"/>
  <c r="I8458" i="1"/>
  <c r="H8458" i="1"/>
  <c r="G8458" i="1"/>
  <c r="F8458" i="1"/>
  <c r="E8458" i="1"/>
  <c r="D8458" i="1"/>
  <c r="C8458" i="1"/>
  <c r="B8458" i="1"/>
  <c r="A8458" i="1"/>
  <c r="R8457" i="1"/>
  <c r="J8457" i="1"/>
  <c r="I8457" i="1"/>
  <c r="G8457" i="1"/>
  <c r="F8457" i="1"/>
  <c r="E8457" i="1"/>
  <c r="D8457" i="1"/>
  <c r="C8457" i="1"/>
  <c r="B8457" i="1"/>
  <c r="A8457" i="1"/>
  <c r="S8456" i="1"/>
  <c r="O8456" i="1"/>
  <c r="K8456" i="1"/>
  <c r="J8456" i="1"/>
  <c r="I8456" i="1"/>
  <c r="H8456" i="1"/>
  <c r="G8456" i="1"/>
  <c r="F8456" i="1"/>
  <c r="E8456" i="1"/>
  <c r="D8456" i="1"/>
  <c r="C8456" i="1"/>
  <c r="B8456" i="1"/>
  <c r="A8456" i="1"/>
  <c r="R8455" i="1"/>
  <c r="J8455" i="1"/>
  <c r="I8455" i="1"/>
  <c r="G8455" i="1"/>
  <c r="F8455" i="1"/>
  <c r="E8455" i="1"/>
  <c r="D8455" i="1"/>
  <c r="C8455" i="1"/>
  <c r="B8455" i="1"/>
  <c r="A8455" i="1"/>
  <c r="S8454" i="1"/>
  <c r="O8454" i="1"/>
  <c r="K8454" i="1"/>
  <c r="J8454" i="1"/>
  <c r="I8454" i="1"/>
  <c r="H8454" i="1"/>
  <c r="G8454" i="1"/>
  <c r="F8454" i="1"/>
  <c r="E8454" i="1"/>
  <c r="D8454" i="1"/>
  <c r="C8454" i="1"/>
  <c r="B8454" i="1"/>
  <c r="A8454" i="1"/>
  <c r="R8453" i="1"/>
  <c r="J8453" i="1"/>
  <c r="I8453" i="1"/>
  <c r="G8453" i="1"/>
  <c r="F8453" i="1"/>
  <c r="E8453" i="1"/>
  <c r="D8453" i="1"/>
  <c r="C8453" i="1"/>
  <c r="B8453" i="1"/>
  <c r="A8453" i="1"/>
  <c r="S8452" i="1"/>
  <c r="O8452" i="1"/>
  <c r="K8452" i="1"/>
  <c r="J8452" i="1"/>
  <c r="I8452" i="1"/>
  <c r="H8452" i="1"/>
  <c r="G8452" i="1"/>
  <c r="F8452" i="1"/>
  <c r="E8452" i="1"/>
  <c r="D8452" i="1"/>
  <c r="C8452" i="1"/>
  <c r="B8452" i="1"/>
  <c r="A8452" i="1"/>
  <c r="R8451" i="1"/>
  <c r="J8451" i="1"/>
  <c r="I8451" i="1"/>
  <c r="G8451" i="1"/>
  <c r="F8451" i="1"/>
  <c r="E8451" i="1"/>
  <c r="D8451" i="1"/>
  <c r="C8451" i="1"/>
  <c r="B8451" i="1"/>
  <c r="A8451" i="1"/>
  <c r="S8450" i="1"/>
  <c r="O8450" i="1"/>
  <c r="K8450" i="1"/>
  <c r="J8450" i="1"/>
  <c r="I8450" i="1"/>
  <c r="H8450" i="1"/>
  <c r="G8450" i="1"/>
  <c r="F8450" i="1"/>
  <c r="E8450" i="1"/>
  <c r="D8450" i="1"/>
  <c r="C8450" i="1"/>
  <c r="B8450" i="1"/>
  <c r="A8450" i="1"/>
  <c r="R8449" i="1"/>
  <c r="J8449" i="1"/>
  <c r="I8449" i="1"/>
  <c r="G8449" i="1"/>
  <c r="F8449" i="1"/>
  <c r="E8449" i="1"/>
  <c r="D8449" i="1"/>
  <c r="C8449" i="1"/>
  <c r="B8449" i="1"/>
  <c r="A8449" i="1"/>
  <c r="S8448" i="1"/>
  <c r="O8448" i="1"/>
  <c r="K8448" i="1"/>
  <c r="J8448" i="1"/>
  <c r="I8448" i="1"/>
  <c r="H8448" i="1"/>
  <c r="G8448" i="1"/>
  <c r="F8448" i="1"/>
  <c r="E8448" i="1"/>
  <c r="D8448" i="1"/>
  <c r="C8448" i="1"/>
  <c r="B8448" i="1"/>
  <c r="A8448" i="1"/>
  <c r="R8447" i="1"/>
  <c r="J8447" i="1"/>
  <c r="I8447" i="1"/>
  <c r="G8447" i="1"/>
  <c r="F8447" i="1"/>
  <c r="E8447" i="1"/>
  <c r="D8447" i="1"/>
  <c r="C8447" i="1"/>
  <c r="B8447" i="1"/>
  <c r="A8447" i="1"/>
  <c r="S8446" i="1"/>
  <c r="O8446" i="1"/>
  <c r="K8446" i="1"/>
  <c r="J8446" i="1"/>
  <c r="I8446" i="1"/>
  <c r="H8446" i="1"/>
  <c r="G8446" i="1"/>
  <c r="F8446" i="1"/>
  <c r="E8446" i="1"/>
  <c r="D8446" i="1"/>
  <c r="C8446" i="1"/>
  <c r="B8446" i="1"/>
  <c r="A8446" i="1"/>
  <c r="R8445" i="1"/>
  <c r="J8445" i="1"/>
  <c r="I8445" i="1"/>
  <c r="G8445" i="1"/>
  <c r="F8445" i="1"/>
  <c r="E8445" i="1"/>
  <c r="D8445" i="1"/>
  <c r="C8445" i="1"/>
  <c r="B8445" i="1"/>
  <c r="A8445" i="1"/>
  <c r="S8444" i="1"/>
  <c r="O8444" i="1"/>
  <c r="K8444" i="1"/>
  <c r="J8444" i="1"/>
  <c r="I8444" i="1"/>
  <c r="H8444" i="1"/>
  <c r="G8444" i="1"/>
  <c r="F8444" i="1"/>
  <c r="E8444" i="1"/>
  <c r="D8444" i="1"/>
  <c r="C8444" i="1"/>
  <c r="B8444" i="1"/>
  <c r="A8444" i="1"/>
  <c r="R8443" i="1"/>
  <c r="J8443" i="1"/>
  <c r="I8443" i="1"/>
  <c r="G8443" i="1"/>
  <c r="F8443" i="1"/>
  <c r="E8443" i="1"/>
  <c r="D8443" i="1"/>
  <c r="C8443" i="1"/>
  <c r="B8443" i="1"/>
  <c r="A8443" i="1"/>
  <c r="S8442" i="1"/>
  <c r="O8442" i="1"/>
  <c r="K8442" i="1"/>
  <c r="J8442" i="1"/>
  <c r="I8442" i="1"/>
  <c r="H8442" i="1"/>
  <c r="G8442" i="1"/>
  <c r="F8442" i="1"/>
  <c r="E8442" i="1"/>
  <c r="D8442" i="1"/>
  <c r="C8442" i="1"/>
  <c r="B8442" i="1"/>
  <c r="A8442" i="1"/>
  <c r="R8441" i="1"/>
  <c r="J8441" i="1"/>
  <c r="I8441" i="1"/>
  <c r="G8441" i="1"/>
  <c r="F8441" i="1"/>
  <c r="E8441" i="1"/>
  <c r="D8441" i="1"/>
  <c r="C8441" i="1"/>
  <c r="B8441" i="1"/>
  <c r="A8441" i="1"/>
  <c r="S8440" i="1"/>
  <c r="O8440" i="1"/>
  <c r="K8440" i="1"/>
  <c r="J8440" i="1"/>
  <c r="I8440" i="1"/>
  <c r="H8440" i="1"/>
  <c r="G8440" i="1"/>
  <c r="F8440" i="1"/>
  <c r="E8440" i="1"/>
  <c r="D8440" i="1"/>
  <c r="C8440" i="1"/>
  <c r="B8440" i="1"/>
  <c r="A8440" i="1"/>
  <c r="R8439" i="1"/>
  <c r="J8439" i="1"/>
  <c r="I8439" i="1"/>
  <c r="G8439" i="1"/>
  <c r="F8439" i="1"/>
  <c r="E8439" i="1"/>
  <c r="D8439" i="1"/>
  <c r="C8439" i="1"/>
  <c r="B8439" i="1"/>
  <c r="A8439" i="1"/>
  <c r="S8438" i="1"/>
  <c r="O8438" i="1"/>
  <c r="K8438" i="1"/>
  <c r="J8438" i="1"/>
  <c r="I8438" i="1"/>
  <c r="H8438" i="1"/>
  <c r="G8438" i="1"/>
  <c r="F8438" i="1"/>
  <c r="E8438" i="1"/>
  <c r="D8438" i="1"/>
  <c r="C8438" i="1"/>
  <c r="B8438" i="1"/>
  <c r="A8438" i="1"/>
  <c r="R8437" i="1"/>
  <c r="J8437" i="1"/>
  <c r="I8437" i="1"/>
  <c r="G8437" i="1"/>
  <c r="F8437" i="1"/>
  <c r="E8437" i="1"/>
  <c r="D8437" i="1"/>
  <c r="C8437" i="1"/>
  <c r="B8437" i="1"/>
  <c r="A8437" i="1"/>
  <c r="S8436" i="1"/>
  <c r="O8436" i="1"/>
  <c r="K8436" i="1"/>
  <c r="J8436" i="1"/>
  <c r="I8436" i="1"/>
  <c r="H8436" i="1"/>
  <c r="G8436" i="1"/>
  <c r="F8436" i="1"/>
  <c r="E8436" i="1"/>
  <c r="D8436" i="1"/>
  <c r="C8436" i="1"/>
  <c r="B8436" i="1"/>
  <c r="A8436" i="1"/>
  <c r="R8435" i="1"/>
  <c r="J8435" i="1"/>
  <c r="I8435" i="1"/>
  <c r="G8435" i="1"/>
  <c r="F8435" i="1"/>
  <c r="E8435" i="1"/>
  <c r="D8435" i="1"/>
  <c r="C8435" i="1"/>
  <c r="B8435" i="1"/>
  <c r="A8435" i="1"/>
  <c r="S8434" i="1"/>
  <c r="O8434" i="1"/>
  <c r="K8434" i="1"/>
  <c r="J8434" i="1"/>
  <c r="I8434" i="1"/>
  <c r="H8434" i="1"/>
  <c r="G8434" i="1"/>
  <c r="F8434" i="1"/>
  <c r="E8434" i="1"/>
  <c r="D8434" i="1"/>
  <c r="C8434" i="1"/>
  <c r="B8434" i="1"/>
  <c r="A8434" i="1"/>
  <c r="R8433" i="1"/>
  <c r="J8433" i="1"/>
  <c r="I8433" i="1"/>
  <c r="G8433" i="1"/>
  <c r="F8433" i="1"/>
  <c r="E8433" i="1"/>
  <c r="D8433" i="1"/>
  <c r="C8433" i="1"/>
  <c r="B8433" i="1"/>
  <c r="A8433" i="1"/>
  <c r="S8432" i="1"/>
  <c r="O8432" i="1"/>
  <c r="K8432" i="1"/>
  <c r="J8432" i="1"/>
  <c r="I8432" i="1"/>
  <c r="H8432" i="1"/>
  <c r="G8432" i="1"/>
  <c r="F8432" i="1"/>
  <c r="E8432" i="1"/>
  <c r="D8432" i="1"/>
  <c r="C8432" i="1"/>
  <c r="B8432" i="1"/>
  <c r="A8432" i="1"/>
  <c r="R8431" i="1"/>
  <c r="J8431" i="1"/>
  <c r="I8431" i="1"/>
  <c r="G8431" i="1"/>
  <c r="F8431" i="1"/>
  <c r="E8431" i="1"/>
  <c r="D8431" i="1"/>
  <c r="C8431" i="1"/>
  <c r="B8431" i="1"/>
  <c r="A8431" i="1"/>
  <c r="R8430" i="1"/>
  <c r="J8430" i="1"/>
  <c r="I8430" i="1"/>
  <c r="G8430" i="1"/>
  <c r="F8430" i="1"/>
  <c r="E8430" i="1"/>
  <c r="D8430" i="1"/>
  <c r="C8430" i="1"/>
  <c r="B8430" i="1"/>
  <c r="A8430" i="1"/>
  <c r="R8429" i="1"/>
  <c r="J8429" i="1"/>
  <c r="I8429" i="1"/>
  <c r="G8429" i="1"/>
  <c r="F8429" i="1"/>
  <c r="E8429" i="1"/>
  <c r="D8429" i="1"/>
  <c r="C8429" i="1"/>
  <c r="B8429" i="1"/>
  <c r="A8429" i="1"/>
  <c r="S8428" i="1"/>
  <c r="O8428" i="1"/>
  <c r="K8428" i="1"/>
  <c r="J8428" i="1"/>
  <c r="I8428" i="1"/>
  <c r="H8428" i="1"/>
  <c r="G8428" i="1"/>
  <c r="F8428" i="1"/>
  <c r="E8428" i="1"/>
  <c r="D8428" i="1"/>
  <c r="C8428" i="1"/>
  <c r="B8428" i="1"/>
  <c r="A8428" i="1"/>
  <c r="R8427" i="1"/>
  <c r="J8427" i="1"/>
  <c r="I8427" i="1"/>
  <c r="G8427" i="1"/>
  <c r="F8427" i="1"/>
  <c r="E8427" i="1"/>
  <c r="D8427" i="1"/>
  <c r="C8427" i="1"/>
  <c r="B8427" i="1"/>
  <c r="A8427" i="1"/>
  <c r="R8426" i="1"/>
  <c r="J8426" i="1"/>
  <c r="I8426" i="1"/>
  <c r="G8426" i="1"/>
  <c r="F8426" i="1"/>
  <c r="E8426" i="1"/>
  <c r="D8426" i="1"/>
  <c r="C8426" i="1"/>
  <c r="B8426" i="1"/>
  <c r="A8426" i="1"/>
  <c r="R8425" i="1"/>
  <c r="J8425" i="1"/>
  <c r="I8425" i="1"/>
  <c r="G8425" i="1"/>
  <c r="F8425" i="1"/>
  <c r="E8425" i="1"/>
  <c r="D8425" i="1"/>
  <c r="C8425" i="1"/>
  <c r="B8425" i="1"/>
  <c r="A8425" i="1"/>
  <c r="S8424" i="1"/>
  <c r="O8424" i="1"/>
  <c r="K8424" i="1"/>
  <c r="J8424" i="1"/>
  <c r="I8424" i="1"/>
  <c r="H8424" i="1"/>
  <c r="G8424" i="1"/>
  <c r="F8424" i="1"/>
  <c r="E8424" i="1"/>
  <c r="D8424" i="1"/>
  <c r="C8424" i="1"/>
  <c r="B8424" i="1"/>
  <c r="A8424" i="1"/>
  <c r="R8423" i="1"/>
  <c r="J8423" i="1"/>
  <c r="I8423" i="1"/>
  <c r="G8423" i="1"/>
  <c r="F8423" i="1"/>
  <c r="E8423" i="1"/>
  <c r="D8423" i="1"/>
  <c r="C8423" i="1"/>
  <c r="B8423" i="1"/>
  <c r="A8423" i="1"/>
  <c r="R8422" i="1"/>
  <c r="J8422" i="1"/>
  <c r="I8422" i="1"/>
  <c r="G8422" i="1"/>
  <c r="F8422" i="1"/>
  <c r="E8422" i="1"/>
  <c r="D8422" i="1"/>
  <c r="C8422" i="1"/>
  <c r="B8422" i="1"/>
  <c r="A8422" i="1"/>
  <c r="R8421" i="1"/>
  <c r="J8421" i="1"/>
  <c r="I8421" i="1"/>
  <c r="G8421" i="1"/>
  <c r="F8421" i="1"/>
  <c r="E8421" i="1"/>
  <c r="D8421" i="1"/>
  <c r="C8421" i="1"/>
  <c r="B8421" i="1"/>
  <c r="A8421" i="1"/>
  <c r="R8420" i="1"/>
  <c r="J8420" i="1"/>
  <c r="I8420" i="1"/>
  <c r="G8420" i="1"/>
  <c r="F8420" i="1"/>
  <c r="E8420" i="1"/>
  <c r="D8420" i="1"/>
  <c r="C8420" i="1"/>
  <c r="B8420" i="1"/>
  <c r="A8420" i="1"/>
  <c r="S8419" i="1"/>
  <c r="O8419" i="1"/>
  <c r="K8419" i="1"/>
  <c r="J8419" i="1"/>
  <c r="I8419" i="1"/>
  <c r="H8419" i="1"/>
  <c r="G8419" i="1"/>
  <c r="F8419" i="1"/>
  <c r="E8419" i="1"/>
  <c r="D8419" i="1"/>
  <c r="C8419" i="1"/>
  <c r="B8419" i="1"/>
  <c r="A8419" i="1"/>
  <c r="R8418" i="1"/>
  <c r="J8418" i="1"/>
  <c r="I8418" i="1"/>
  <c r="G8418" i="1"/>
  <c r="F8418" i="1"/>
  <c r="E8418" i="1"/>
  <c r="D8418" i="1"/>
  <c r="C8418" i="1"/>
  <c r="B8418" i="1"/>
  <c r="A8418" i="1"/>
  <c r="R8417" i="1"/>
  <c r="J8417" i="1"/>
  <c r="I8417" i="1"/>
  <c r="G8417" i="1"/>
  <c r="F8417" i="1"/>
  <c r="E8417" i="1"/>
  <c r="D8417" i="1"/>
  <c r="C8417" i="1"/>
  <c r="B8417" i="1"/>
  <c r="A8417" i="1"/>
  <c r="R8416" i="1"/>
  <c r="J8416" i="1"/>
  <c r="I8416" i="1"/>
  <c r="G8416" i="1"/>
  <c r="F8416" i="1"/>
  <c r="E8416" i="1"/>
  <c r="D8416" i="1"/>
  <c r="C8416" i="1"/>
  <c r="B8416" i="1"/>
  <c r="A8416" i="1"/>
  <c r="R8415" i="1"/>
  <c r="J8415" i="1"/>
  <c r="I8415" i="1"/>
  <c r="G8415" i="1"/>
  <c r="F8415" i="1"/>
  <c r="E8415" i="1"/>
  <c r="D8415" i="1"/>
  <c r="C8415" i="1"/>
  <c r="B8415" i="1"/>
  <c r="A8415" i="1"/>
  <c r="S8414" i="1"/>
  <c r="O8414" i="1"/>
  <c r="K8414" i="1"/>
  <c r="J8414" i="1"/>
  <c r="I8414" i="1"/>
  <c r="H8414" i="1"/>
  <c r="G8414" i="1"/>
  <c r="F8414" i="1"/>
  <c r="E8414" i="1"/>
  <c r="D8414" i="1"/>
  <c r="C8414" i="1"/>
  <c r="B8414" i="1"/>
  <c r="A8414" i="1"/>
  <c r="R8413" i="1"/>
  <c r="J8413" i="1"/>
  <c r="I8413" i="1"/>
  <c r="G8413" i="1"/>
  <c r="F8413" i="1"/>
  <c r="E8413" i="1"/>
  <c r="D8413" i="1"/>
  <c r="C8413" i="1"/>
  <c r="B8413" i="1"/>
  <c r="A8413" i="1"/>
  <c r="R8412" i="1"/>
  <c r="J8412" i="1"/>
  <c r="I8412" i="1"/>
  <c r="G8412" i="1"/>
  <c r="F8412" i="1"/>
  <c r="E8412" i="1"/>
  <c r="D8412" i="1"/>
  <c r="C8412" i="1"/>
  <c r="B8412" i="1"/>
  <c r="A8412" i="1"/>
  <c r="R8411" i="1"/>
  <c r="J8411" i="1"/>
  <c r="I8411" i="1"/>
  <c r="G8411" i="1"/>
  <c r="F8411" i="1"/>
  <c r="E8411" i="1"/>
  <c r="D8411" i="1"/>
  <c r="C8411" i="1"/>
  <c r="B8411" i="1"/>
  <c r="A8411" i="1"/>
  <c r="R8410" i="1"/>
  <c r="J8410" i="1"/>
  <c r="I8410" i="1"/>
  <c r="G8410" i="1"/>
  <c r="F8410" i="1"/>
  <c r="E8410" i="1"/>
  <c r="D8410" i="1"/>
  <c r="C8410" i="1"/>
  <c r="B8410" i="1"/>
  <c r="A8410" i="1"/>
  <c r="S8409" i="1"/>
  <c r="O8409" i="1"/>
  <c r="K8409" i="1"/>
  <c r="J8409" i="1"/>
  <c r="I8409" i="1"/>
  <c r="H8409" i="1"/>
  <c r="G8409" i="1"/>
  <c r="F8409" i="1"/>
  <c r="E8409" i="1"/>
  <c r="D8409" i="1"/>
  <c r="C8409" i="1"/>
  <c r="B8409" i="1"/>
  <c r="A8409" i="1"/>
  <c r="R8408" i="1"/>
  <c r="J8408" i="1"/>
  <c r="I8408" i="1"/>
  <c r="G8408" i="1"/>
  <c r="F8408" i="1"/>
  <c r="E8408" i="1"/>
  <c r="D8408" i="1"/>
  <c r="C8408" i="1"/>
  <c r="B8408" i="1"/>
  <c r="A8408" i="1"/>
  <c r="R8407" i="1"/>
  <c r="J8407" i="1"/>
  <c r="I8407" i="1"/>
  <c r="G8407" i="1"/>
  <c r="F8407" i="1"/>
  <c r="E8407" i="1"/>
  <c r="D8407" i="1"/>
  <c r="C8407" i="1"/>
  <c r="B8407" i="1"/>
  <c r="A8407" i="1"/>
  <c r="R8406" i="1"/>
  <c r="J8406" i="1"/>
  <c r="I8406" i="1"/>
  <c r="G8406" i="1"/>
  <c r="F8406" i="1"/>
  <c r="E8406" i="1"/>
  <c r="D8406" i="1"/>
  <c r="C8406" i="1"/>
  <c r="B8406" i="1"/>
  <c r="A8406" i="1"/>
  <c r="R8405" i="1"/>
  <c r="J8405" i="1"/>
  <c r="I8405" i="1"/>
  <c r="G8405" i="1"/>
  <c r="F8405" i="1"/>
  <c r="E8405" i="1"/>
  <c r="D8405" i="1"/>
  <c r="C8405" i="1"/>
  <c r="B8405" i="1"/>
  <c r="A8405" i="1"/>
  <c r="S8404" i="1"/>
  <c r="O8404" i="1"/>
  <c r="K8404" i="1"/>
  <c r="J8404" i="1"/>
  <c r="I8404" i="1"/>
  <c r="H8404" i="1"/>
  <c r="G8404" i="1"/>
  <c r="F8404" i="1"/>
  <c r="E8404" i="1"/>
  <c r="D8404" i="1"/>
  <c r="C8404" i="1"/>
  <c r="B8404" i="1"/>
  <c r="A8404" i="1"/>
  <c r="R8403" i="1"/>
  <c r="J8403" i="1"/>
  <c r="I8403" i="1"/>
  <c r="G8403" i="1"/>
  <c r="F8403" i="1"/>
  <c r="E8403" i="1"/>
  <c r="D8403" i="1"/>
  <c r="C8403" i="1"/>
  <c r="B8403" i="1"/>
  <c r="A8403" i="1"/>
  <c r="S8402" i="1"/>
  <c r="O8402" i="1"/>
  <c r="K8402" i="1"/>
  <c r="J8402" i="1"/>
  <c r="I8402" i="1"/>
  <c r="H8402" i="1"/>
  <c r="G8402" i="1"/>
  <c r="F8402" i="1"/>
  <c r="E8402" i="1"/>
  <c r="D8402" i="1"/>
  <c r="C8402" i="1"/>
  <c r="B8402" i="1"/>
  <c r="A8402" i="1"/>
  <c r="R8401" i="1"/>
  <c r="J8401" i="1"/>
  <c r="I8401" i="1"/>
  <c r="G8401" i="1"/>
  <c r="F8401" i="1"/>
  <c r="E8401" i="1"/>
  <c r="D8401" i="1"/>
  <c r="C8401" i="1"/>
  <c r="B8401" i="1"/>
  <c r="A8401" i="1"/>
  <c r="S8400" i="1"/>
  <c r="O8400" i="1"/>
  <c r="K8400" i="1"/>
  <c r="J8400" i="1"/>
  <c r="I8400" i="1"/>
  <c r="H8400" i="1"/>
  <c r="G8400" i="1"/>
  <c r="F8400" i="1"/>
  <c r="E8400" i="1"/>
  <c r="D8400" i="1"/>
  <c r="C8400" i="1"/>
  <c r="B8400" i="1"/>
  <c r="A8400" i="1"/>
  <c r="R8399" i="1"/>
  <c r="J8399" i="1"/>
  <c r="I8399" i="1"/>
  <c r="G8399" i="1"/>
  <c r="F8399" i="1"/>
  <c r="E8399" i="1"/>
  <c r="D8399" i="1"/>
  <c r="C8399" i="1"/>
  <c r="B8399" i="1"/>
  <c r="A8399" i="1"/>
  <c r="R8398" i="1"/>
  <c r="J8398" i="1"/>
  <c r="I8398" i="1"/>
  <c r="G8398" i="1"/>
  <c r="F8398" i="1"/>
  <c r="E8398" i="1"/>
  <c r="D8398" i="1"/>
  <c r="C8398" i="1"/>
  <c r="B8398" i="1"/>
  <c r="A8398" i="1"/>
  <c r="R8397" i="1"/>
  <c r="J8397" i="1"/>
  <c r="I8397" i="1"/>
  <c r="G8397" i="1"/>
  <c r="F8397" i="1"/>
  <c r="E8397" i="1"/>
  <c r="D8397" i="1"/>
  <c r="C8397" i="1"/>
  <c r="B8397" i="1"/>
  <c r="A8397" i="1"/>
  <c r="S8396" i="1"/>
  <c r="O8396" i="1"/>
  <c r="K8396" i="1"/>
  <c r="J8396" i="1"/>
  <c r="I8396" i="1"/>
  <c r="H8396" i="1"/>
  <c r="G8396" i="1"/>
  <c r="F8396" i="1"/>
  <c r="E8396" i="1"/>
  <c r="D8396" i="1"/>
  <c r="C8396" i="1"/>
  <c r="B8396" i="1"/>
  <c r="A8396" i="1"/>
  <c r="R8395" i="1"/>
  <c r="J8395" i="1"/>
  <c r="I8395" i="1"/>
  <c r="G8395" i="1"/>
  <c r="F8395" i="1"/>
  <c r="E8395" i="1"/>
  <c r="D8395" i="1"/>
  <c r="C8395" i="1"/>
  <c r="B8395" i="1"/>
  <c r="A8395" i="1"/>
  <c r="R8394" i="1"/>
  <c r="J8394" i="1"/>
  <c r="I8394" i="1"/>
  <c r="G8394" i="1"/>
  <c r="F8394" i="1"/>
  <c r="E8394" i="1"/>
  <c r="D8394" i="1"/>
  <c r="C8394" i="1"/>
  <c r="B8394" i="1"/>
  <c r="A8394" i="1"/>
  <c r="R8393" i="1"/>
  <c r="J8393" i="1"/>
  <c r="I8393" i="1"/>
  <c r="G8393" i="1"/>
  <c r="F8393" i="1"/>
  <c r="E8393" i="1"/>
  <c r="D8393" i="1"/>
  <c r="C8393" i="1"/>
  <c r="B8393" i="1"/>
  <c r="A8393" i="1"/>
  <c r="S8392" i="1"/>
  <c r="O8392" i="1"/>
  <c r="K8392" i="1"/>
  <c r="J8392" i="1"/>
  <c r="I8392" i="1"/>
  <c r="H8392" i="1"/>
  <c r="G8392" i="1"/>
  <c r="F8392" i="1"/>
  <c r="E8392" i="1"/>
  <c r="D8392" i="1"/>
  <c r="C8392" i="1"/>
  <c r="B8392" i="1"/>
  <c r="A8392" i="1"/>
  <c r="R8391" i="1"/>
  <c r="J8391" i="1"/>
  <c r="I8391" i="1"/>
  <c r="G8391" i="1"/>
  <c r="F8391" i="1"/>
  <c r="E8391" i="1"/>
  <c r="D8391" i="1"/>
  <c r="C8391" i="1"/>
  <c r="B8391" i="1"/>
  <c r="A8391" i="1"/>
  <c r="R8390" i="1"/>
  <c r="J8390" i="1"/>
  <c r="I8390" i="1"/>
  <c r="G8390" i="1"/>
  <c r="F8390" i="1"/>
  <c r="E8390" i="1"/>
  <c r="D8390" i="1"/>
  <c r="C8390" i="1"/>
  <c r="B8390" i="1"/>
  <c r="A8390" i="1"/>
  <c r="R8389" i="1"/>
  <c r="J8389" i="1"/>
  <c r="I8389" i="1"/>
  <c r="G8389" i="1"/>
  <c r="F8389" i="1"/>
  <c r="E8389" i="1"/>
  <c r="D8389" i="1"/>
  <c r="C8389" i="1"/>
  <c r="B8389" i="1"/>
  <c r="A8389" i="1"/>
  <c r="R8388" i="1"/>
  <c r="J8388" i="1"/>
  <c r="I8388" i="1"/>
  <c r="G8388" i="1"/>
  <c r="F8388" i="1"/>
  <c r="E8388" i="1"/>
  <c r="D8388" i="1"/>
  <c r="C8388" i="1"/>
  <c r="B8388" i="1"/>
  <c r="A8388" i="1"/>
  <c r="R8387" i="1"/>
  <c r="J8387" i="1"/>
  <c r="I8387" i="1"/>
  <c r="G8387" i="1"/>
  <c r="F8387" i="1"/>
  <c r="E8387" i="1"/>
  <c r="D8387" i="1"/>
  <c r="C8387" i="1"/>
  <c r="B8387" i="1"/>
  <c r="A8387" i="1"/>
  <c r="R8386" i="1"/>
  <c r="J8386" i="1"/>
  <c r="I8386" i="1"/>
  <c r="G8386" i="1"/>
  <c r="F8386" i="1"/>
  <c r="E8386" i="1"/>
  <c r="D8386" i="1"/>
  <c r="C8386" i="1"/>
  <c r="B8386" i="1"/>
  <c r="A8386" i="1"/>
  <c r="S8385" i="1"/>
  <c r="O8385" i="1"/>
  <c r="K8385" i="1"/>
  <c r="J8385" i="1"/>
  <c r="I8385" i="1"/>
  <c r="H8385" i="1"/>
  <c r="G8385" i="1"/>
  <c r="F8385" i="1"/>
  <c r="E8385" i="1"/>
  <c r="D8385" i="1"/>
  <c r="C8385" i="1"/>
  <c r="B8385" i="1"/>
  <c r="A8385" i="1"/>
  <c r="R8384" i="1"/>
  <c r="J8384" i="1"/>
  <c r="I8384" i="1"/>
  <c r="G8384" i="1"/>
  <c r="F8384" i="1"/>
  <c r="E8384" i="1"/>
  <c r="D8384" i="1"/>
  <c r="C8384" i="1"/>
  <c r="B8384" i="1"/>
  <c r="A8384" i="1"/>
  <c r="R8383" i="1"/>
  <c r="J8383" i="1"/>
  <c r="I8383" i="1"/>
  <c r="G8383" i="1"/>
  <c r="F8383" i="1"/>
  <c r="E8383" i="1"/>
  <c r="D8383" i="1"/>
  <c r="C8383" i="1"/>
  <c r="B8383" i="1"/>
  <c r="A8383" i="1"/>
  <c r="R8382" i="1"/>
  <c r="J8382" i="1"/>
  <c r="I8382" i="1"/>
  <c r="G8382" i="1"/>
  <c r="F8382" i="1"/>
  <c r="E8382" i="1"/>
  <c r="D8382" i="1"/>
  <c r="C8382" i="1"/>
  <c r="B8382" i="1"/>
  <c r="A8382" i="1"/>
  <c r="R8381" i="1"/>
  <c r="J8381" i="1"/>
  <c r="I8381" i="1"/>
  <c r="G8381" i="1"/>
  <c r="F8381" i="1"/>
  <c r="E8381" i="1"/>
  <c r="D8381" i="1"/>
  <c r="C8381" i="1"/>
  <c r="B8381" i="1"/>
  <c r="A8381" i="1"/>
  <c r="R8380" i="1"/>
  <c r="J8380" i="1"/>
  <c r="I8380" i="1"/>
  <c r="G8380" i="1"/>
  <c r="F8380" i="1"/>
  <c r="E8380" i="1"/>
  <c r="D8380" i="1"/>
  <c r="C8380" i="1"/>
  <c r="B8380" i="1"/>
  <c r="A8380" i="1"/>
  <c r="R8379" i="1"/>
  <c r="J8379" i="1"/>
  <c r="I8379" i="1"/>
  <c r="G8379" i="1"/>
  <c r="F8379" i="1"/>
  <c r="E8379" i="1"/>
  <c r="D8379" i="1"/>
  <c r="C8379" i="1"/>
  <c r="B8379" i="1"/>
  <c r="A8379" i="1"/>
  <c r="S8378" i="1"/>
  <c r="O8378" i="1"/>
  <c r="K8378" i="1"/>
  <c r="J8378" i="1"/>
  <c r="I8378" i="1"/>
  <c r="H8378" i="1"/>
  <c r="G8378" i="1"/>
  <c r="F8378" i="1"/>
  <c r="E8378" i="1"/>
  <c r="D8378" i="1"/>
  <c r="C8378" i="1"/>
  <c r="B8378" i="1"/>
  <c r="A8378" i="1"/>
  <c r="R8377" i="1"/>
  <c r="J8377" i="1"/>
  <c r="I8377" i="1"/>
  <c r="G8377" i="1"/>
  <c r="F8377" i="1"/>
  <c r="E8377" i="1"/>
  <c r="D8377" i="1"/>
  <c r="C8377" i="1"/>
  <c r="B8377" i="1"/>
  <c r="A8377" i="1"/>
  <c r="R8376" i="1"/>
  <c r="J8376" i="1"/>
  <c r="I8376" i="1"/>
  <c r="G8376" i="1"/>
  <c r="F8376" i="1"/>
  <c r="E8376" i="1"/>
  <c r="D8376" i="1"/>
  <c r="C8376" i="1"/>
  <c r="B8376" i="1"/>
  <c r="A8376" i="1"/>
  <c r="R8375" i="1"/>
  <c r="J8375" i="1"/>
  <c r="I8375" i="1"/>
  <c r="G8375" i="1"/>
  <c r="F8375" i="1"/>
  <c r="E8375" i="1"/>
  <c r="D8375" i="1"/>
  <c r="C8375" i="1"/>
  <c r="B8375" i="1"/>
  <c r="A8375" i="1"/>
  <c r="R8374" i="1"/>
  <c r="J8374" i="1"/>
  <c r="I8374" i="1"/>
  <c r="G8374" i="1"/>
  <c r="F8374" i="1"/>
  <c r="E8374" i="1"/>
  <c r="D8374" i="1"/>
  <c r="C8374" i="1"/>
  <c r="B8374" i="1"/>
  <c r="A8374" i="1"/>
  <c r="R8373" i="1"/>
  <c r="J8373" i="1"/>
  <c r="I8373" i="1"/>
  <c r="G8373" i="1"/>
  <c r="F8373" i="1"/>
  <c r="E8373" i="1"/>
  <c r="D8373" i="1"/>
  <c r="C8373" i="1"/>
  <c r="B8373" i="1"/>
  <c r="A8373" i="1"/>
  <c r="R8372" i="1"/>
  <c r="J8372" i="1"/>
  <c r="I8372" i="1"/>
  <c r="G8372" i="1"/>
  <c r="F8372" i="1"/>
  <c r="E8372" i="1"/>
  <c r="D8372" i="1"/>
  <c r="C8372" i="1"/>
  <c r="B8372" i="1"/>
  <c r="A8372" i="1"/>
  <c r="S8371" i="1"/>
  <c r="O8371" i="1"/>
  <c r="K8371" i="1"/>
  <c r="J8371" i="1"/>
  <c r="I8371" i="1"/>
  <c r="H8371" i="1"/>
  <c r="G8371" i="1"/>
  <c r="F8371" i="1"/>
  <c r="E8371" i="1"/>
  <c r="D8371" i="1"/>
  <c r="C8371" i="1"/>
  <c r="B8371" i="1"/>
  <c r="A8371" i="1"/>
  <c r="R8370" i="1"/>
  <c r="J8370" i="1"/>
  <c r="I8370" i="1"/>
  <c r="G8370" i="1"/>
  <c r="F8370" i="1"/>
  <c r="E8370" i="1"/>
  <c r="D8370" i="1"/>
  <c r="C8370" i="1"/>
  <c r="B8370" i="1"/>
  <c r="A8370" i="1"/>
  <c r="S8369" i="1"/>
  <c r="O8369" i="1"/>
  <c r="K8369" i="1"/>
  <c r="J8369" i="1"/>
  <c r="I8369" i="1"/>
  <c r="H8369" i="1"/>
  <c r="G8369" i="1"/>
  <c r="F8369" i="1"/>
  <c r="E8369" i="1"/>
  <c r="D8369" i="1"/>
  <c r="C8369" i="1"/>
  <c r="B8369" i="1"/>
  <c r="A8369" i="1"/>
  <c r="R8368" i="1"/>
  <c r="J8368" i="1"/>
  <c r="I8368" i="1"/>
  <c r="G8368" i="1"/>
  <c r="F8368" i="1"/>
  <c r="E8368" i="1"/>
  <c r="D8368" i="1"/>
  <c r="C8368" i="1"/>
  <c r="B8368" i="1"/>
  <c r="A8368" i="1"/>
  <c r="R8367" i="1"/>
  <c r="J8367" i="1"/>
  <c r="I8367" i="1"/>
  <c r="G8367" i="1"/>
  <c r="F8367" i="1"/>
  <c r="E8367" i="1"/>
  <c r="D8367" i="1"/>
  <c r="C8367" i="1"/>
  <c r="B8367" i="1"/>
  <c r="A8367" i="1"/>
  <c r="S8366" i="1"/>
  <c r="O8366" i="1"/>
  <c r="K8366" i="1"/>
  <c r="J8366" i="1"/>
  <c r="I8366" i="1"/>
  <c r="H8366" i="1"/>
  <c r="G8366" i="1"/>
  <c r="F8366" i="1"/>
  <c r="E8366" i="1"/>
  <c r="D8366" i="1"/>
  <c r="C8366" i="1"/>
  <c r="B8366" i="1"/>
  <c r="A8366" i="1"/>
  <c r="R8365" i="1"/>
  <c r="J8365" i="1"/>
  <c r="I8365" i="1"/>
  <c r="G8365" i="1"/>
  <c r="F8365" i="1"/>
  <c r="E8365" i="1"/>
  <c r="D8365" i="1"/>
  <c r="C8365" i="1"/>
  <c r="B8365" i="1"/>
  <c r="A8365" i="1"/>
  <c r="R8364" i="1"/>
  <c r="J8364" i="1"/>
  <c r="I8364" i="1"/>
  <c r="G8364" i="1"/>
  <c r="F8364" i="1"/>
  <c r="E8364" i="1"/>
  <c r="D8364" i="1"/>
  <c r="C8364" i="1"/>
  <c r="B8364" i="1"/>
  <c r="A8364" i="1"/>
  <c r="R8363" i="1"/>
  <c r="J8363" i="1"/>
  <c r="I8363" i="1"/>
  <c r="G8363" i="1"/>
  <c r="F8363" i="1"/>
  <c r="E8363" i="1"/>
  <c r="D8363" i="1"/>
  <c r="C8363" i="1"/>
  <c r="B8363" i="1"/>
  <c r="A8363" i="1"/>
  <c r="R8362" i="1"/>
  <c r="J8362" i="1"/>
  <c r="I8362" i="1"/>
  <c r="G8362" i="1"/>
  <c r="F8362" i="1"/>
  <c r="E8362" i="1"/>
  <c r="D8362" i="1"/>
  <c r="C8362" i="1"/>
  <c r="B8362" i="1"/>
  <c r="A8362" i="1"/>
  <c r="R8361" i="1"/>
  <c r="J8361" i="1"/>
  <c r="I8361" i="1"/>
  <c r="G8361" i="1"/>
  <c r="F8361" i="1"/>
  <c r="E8361" i="1"/>
  <c r="D8361" i="1"/>
  <c r="C8361" i="1"/>
  <c r="B8361" i="1"/>
  <c r="A8361" i="1"/>
  <c r="S8360" i="1"/>
  <c r="O8360" i="1"/>
  <c r="K8360" i="1"/>
  <c r="J8360" i="1"/>
  <c r="I8360" i="1"/>
  <c r="H8360" i="1"/>
  <c r="G8360" i="1"/>
  <c r="F8360" i="1"/>
  <c r="E8360" i="1"/>
  <c r="D8360" i="1"/>
  <c r="C8360" i="1"/>
  <c r="B8360" i="1"/>
  <c r="A8360" i="1"/>
  <c r="R8359" i="1"/>
  <c r="J8359" i="1"/>
  <c r="I8359" i="1"/>
  <c r="G8359" i="1"/>
  <c r="F8359" i="1"/>
  <c r="E8359" i="1"/>
  <c r="D8359" i="1"/>
  <c r="C8359" i="1"/>
  <c r="B8359" i="1"/>
  <c r="A8359" i="1"/>
  <c r="S8358" i="1"/>
  <c r="O8358" i="1"/>
  <c r="K8358" i="1"/>
  <c r="J8358" i="1"/>
  <c r="I8358" i="1"/>
  <c r="H8358" i="1"/>
  <c r="G8358" i="1"/>
  <c r="F8358" i="1"/>
  <c r="E8358" i="1"/>
  <c r="D8358" i="1"/>
  <c r="C8358" i="1"/>
  <c r="B8358" i="1"/>
  <c r="A8358" i="1"/>
  <c r="R8357" i="1"/>
  <c r="J8357" i="1"/>
  <c r="I8357" i="1"/>
  <c r="G8357" i="1"/>
  <c r="F8357" i="1"/>
  <c r="E8357" i="1"/>
  <c r="D8357" i="1"/>
  <c r="C8357" i="1"/>
  <c r="B8357" i="1"/>
  <c r="A8357" i="1"/>
  <c r="S8356" i="1"/>
  <c r="O8356" i="1"/>
  <c r="K8356" i="1"/>
  <c r="J8356" i="1"/>
  <c r="I8356" i="1"/>
  <c r="H8356" i="1"/>
  <c r="G8356" i="1"/>
  <c r="F8356" i="1"/>
  <c r="E8356" i="1"/>
  <c r="D8356" i="1"/>
  <c r="C8356" i="1"/>
  <c r="B8356" i="1"/>
  <c r="A8356" i="1"/>
  <c r="R8355" i="1"/>
  <c r="J8355" i="1"/>
  <c r="I8355" i="1"/>
  <c r="G8355" i="1"/>
  <c r="F8355" i="1"/>
  <c r="E8355" i="1"/>
  <c r="D8355" i="1"/>
  <c r="C8355" i="1"/>
  <c r="B8355" i="1"/>
  <c r="A8355" i="1"/>
  <c r="S8354" i="1"/>
  <c r="O8354" i="1"/>
  <c r="K8354" i="1"/>
  <c r="J8354" i="1"/>
  <c r="I8354" i="1"/>
  <c r="H8354" i="1"/>
  <c r="G8354" i="1"/>
  <c r="F8354" i="1"/>
  <c r="E8354" i="1"/>
  <c r="D8354" i="1"/>
  <c r="C8354" i="1"/>
  <c r="B8354" i="1"/>
  <c r="A8354" i="1"/>
  <c r="R8353" i="1"/>
  <c r="J8353" i="1"/>
  <c r="I8353" i="1"/>
  <c r="G8353" i="1"/>
  <c r="F8353" i="1"/>
  <c r="E8353" i="1"/>
  <c r="D8353" i="1"/>
  <c r="C8353" i="1"/>
  <c r="B8353" i="1"/>
  <c r="A8353" i="1"/>
  <c r="S8352" i="1"/>
  <c r="O8352" i="1"/>
  <c r="K8352" i="1"/>
  <c r="J8352" i="1"/>
  <c r="I8352" i="1"/>
  <c r="H8352" i="1"/>
  <c r="G8352" i="1"/>
  <c r="F8352" i="1"/>
  <c r="E8352" i="1"/>
  <c r="D8352" i="1"/>
  <c r="C8352" i="1"/>
  <c r="B8352" i="1"/>
  <c r="A8352" i="1"/>
  <c r="R8351" i="1"/>
  <c r="J8351" i="1"/>
  <c r="I8351" i="1"/>
  <c r="G8351" i="1"/>
  <c r="F8351" i="1"/>
  <c r="E8351" i="1"/>
  <c r="D8351" i="1"/>
  <c r="C8351" i="1"/>
  <c r="B8351" i="1"/>
  <c r="A8351" i="1"/>
  <c r="R8350" i="1"/>
  <c r="J8350" i="1"/>
  <c r="I8350" i="1"/>
  <c r="G8350" i="1"/>
  <c r="F8350" i="1"/>
  <c r="E8350" i="1"/>
  <c r="D8350" i="1"/>
  <c r="C8350" i="1"/>
  <c r="B8350" i="1"/>
  <c r="A8350" i="1"/>
  <c r="R8349" i="1"/>
  <c r="J8349" i="1"/>
  <c r="I8349" i="1"/>
  <c r="G8349" i="1"/>
  <c r="F8349" i="1"/>
  <c r="E8349" i="1"/>
  <c r="D8349" i="1"/>
  <c r="C8349" i="1"/>
  <c r="B8349" i="1"/>
  <c r="A8349" i="1"/>
  <c r="R8348" i="1"/>
  <c r="J8348" i="1"/>
  <c r="I8348" i="1"/>
  <c r="G8348" i="1"/>
  <c r="F8348" i="1"/>
  <c r="E8348" i="1"/>
  <c r="D8348" i="1"/>
  <c r="C8348" i="1"/>
  <c r="B8348" i="1"/>
  <c r="A8348" i="1"/>
  <c r="S8347" i="1"/>
  <c r="O8347" i="1"/>
  <c r="K8347" i="1"/>
  <c r="J8347" i="1"/>
  <c r="I8347" i="1"/>
  <c r="H8347" i="1"/>
  <c r="G8347" i="1"/>
  <c r="F8347" i="1"/>
  <c r="E8347" i="1"/>
  <c r="D8347" i="1"/>
  <c r="C8347" i="1"/>
  <c r="B8347" i="1"/>
  <c r="A8347" i="1"/>
  <c r="R8346" i="1"/>
  <c r="J8346" i="1"/>
  <c r="I8346" i="1"/>
  <c r="G8346" i="1"/>
  <c r="F8346" i="1"/>
  <c r="E8346" i="1"/>
  <c r="D8346" i="1"/>
  <c r="C8346" i="1"/>
  <c r="B8346" i="1"/>
  <c r="A8346" i="1"/>
  <c r="R8345" i="1"/>
  <c r="J8345" i="1"/>
  <c r="I8345" i="1"/>
  <c r="G8345" i="1"/>
  <c r="F8345" i="1"/>
  <c r="E8345" i="1"/>
  <c r="D8345" i="1"/>
  <c r="C8345" i="1"/>
  <c r="B8345" i="1"/>
  <c r="A8345" i="1"/>
  <c r="R8344" i="1"/>
  <c r="J8344" i="1"/>
  <c r="I8344" i="1"/>
  <c r="G8344" i="1"/>
  <c r="F8344" i="1"/>
  <c r="E8344" i="1"/>
  <c r="D8344" i="1"/>
  <c r="C8344" i="1"/>
  <c r="B8344" i="1"/>
  <c r="A8344" i="1"/>
  <c r="R8343" i="1"/>
  <c r="J8343" i="1"/>
  <c r="I8343" i="1"/>
  <c r="G8343" i="1"/>
  <c r="F8343" i="1"/>
  <c r="E8343" i="1"/>
  <c r="D8343" i="1"/>
  <c r="C8343" i="1"/>
  <c r="B8343" i="1"/>
  <c r="A8343" i="1"/>
  <c r="S8342" i="1"/>
  <c r="O8342" i="1"/>
  <c r="K8342" i="1"/>
  <c r="J8342" i="1"/>
  <c r="I8342" i="1"/>
  <c r="H8342" i="1"/>
  <c r="G8342" i="1"/>
  <c r="F8342" i="1"/>
  <c r="E8342" i="1"/>
  <c r="D8342" i="1"/>
  <c r="C8342" i="1"/>
  <c r="B8342" i="1"/>
  <c r="A8342" i="1"/>
  <c r="R8341" i="1"/>
  <c r="J8341" i="1"/>
  <c r="I8341" i="1"/>
  <c r="G8341" i="1"/>
  <c r="F8341" i="1"/>
  <c r="E8341" i="1"/>
  <c r="D8341" i="1"/>
  <c r="C8341" i="1"/>
  <c r="B8341" i="1"/>
  <c r="A8341" i="1"/>
  <c r="S8340" i="1"/>
  <c r="O8340" i="1"/>
  <c r="K8340" i="1"/>
  <c r="J8340" i="1"/>
  <c r="I8340" i="1"/>
  <c r="H8340" i="1"/>
  <c r="G8340" i="1"/>
  <c r="F8340" i="1"/>
  <c r="E8340" i="1"/>
  <c r="D8340" i="1"/>
  <c r="C8340" i="1"/>
  <c r="B8340" i="1"/>
  <c r="A8340" i="1"/>
  <c r="R8339" i="1"/>
  <c r="J8339" i="1"/>
  <c r="I8339" i="1"/>
  <c r="G8339" i="1"/>
  <c r="F8339" i="1"/>
  <c r="E8339" i="1"/>
  <c r="D8339" i="1"/>
  <c r="C8339" i="1"/>
  <c r="B8339" i="1"/>
  <c r="A8339" i="1"/>
  <c r="S8338" i="1"/>
  <c r="O8338" i="1"/>
  <c r="K8338" i="1"/>
  <c r="J8338" i="1"/>
  <c r="I8338" i="1"/>
  <c r="H8338" i="1"/>
  <c r="G8338" i="1"/>
  <c r="F8338" i="1"/>
  <c r="E8338" i="1"/>
  <c r="D8338" i="1"/>
  <c r="C8338" i="1"/>
  <c r="B8338" i="1"/>
  <c r="A8338" i="1"/>
  <c r="R8337" i="1"/>
  <c r="J8337" i="1"/>
  <c r="I8337" i="1"/>
  <c r="G8337" i="1"/>
  <c r="F8337" i="1"/>
  <c r="E8337" i="1"/>
  <c r="D8337" i="1"/>
  <c r="C8337" i="1"/>
  <c r="B8337" i="1"/>
  <c r="A8337" i="1"/>
  <c r="S8336" i="1"/>
  <c r="O8336" i="1"/>
  <c r="K8336" i="1"/>
  <c r="J8336" i="1"/>
  <c r="I8336" i="1"/>
  <c r="H8336" i="1"/>
  <c r="G8336" i="1"/>
  <c r="F8336" i="1"/>
  <c r="E8336" i="1"/>
  <c r="D8336" i="1"/>
  <c r="C8336" i="1"/>
  <c r="B8336" i="1"/>
  <c r="A8336" i="1"/>
  <c r="R8335" i="1"/>
  <c r="J8335" i="1"/>
  <c r="I8335" i="1"/>
  <c r="G8335" i="1"/>
  <c r="F8335" i="1"/>
  <c r="E8335" i="1"/>
  <c r="D8335" i="1"/>
  <c r="C8335" i="1"/>
  <c r="B8335" i="1"/>
  <c r="A8335" i="1"/>
  <c r="R8334" i="1"/>
  <c r="J8334" i="1"/>
  <c r="I8334" i="1"/>
  <c r="G8334" i="1"/>
  <c r="F8334" i="1"/>
  <c r="E8334" i="1"/>
  <c r="D8334" i="1"/>
  <c r="C8334" i="1"/>
  <c r="B8334" i="1"/>
  <c r="A8334" i="1"/>
  <c r="S8333" i="1"/>
  <c r="O8333" i="1"/>
  <c r="K8333" i="1"/>
  <c r="J8333" i="1"/>
  <c r="I8333" i="1"/>
  <c r="H8333" i="1"/>
  <c r="G8333" i="1"/>
  <c r="F8333" i="1"/>
  <c r="E8333" i="1"/>
  <c r="D8333" i="1"/>
  <c r="C8333" i="1"/>
  <c r="B8333" i="1"/>
  <c r="A8333" i="1"/>
  <c r="R8332" i="1"/>
  <c r="J8332" i="1"/>
  <c r="I8332" i="1"/>
  <c r="G8332" i="1"/>
  <c r="F8332" i="1"/>
  <c r="E8332" i="1"/>
  <c r="D8332" i="1"/>
  <c r="C8332" i="1"/>
  <c r="B8332" i="1"/>
  <c r="A8332" i="1"/>
  <c r="R8331" i="1"/>
  <c r="J8331" i="1"/>
  <c r="I8331" i="1"/>
  <c r="G8331" i="1"/>
  <c r="F8331" i="1"/>
  <c r="E8331" i="1"/>
  <c r="D8331" i="1"/>
  <c r="C8331" i="1"/>
  <c r="B8331" i="1"/>
  <c r="A8331" i="1"/>
  <c r="S8330" i="1"/>
  <c r="O8330" i="1"/>
  <c r="K8330" i="1"/>
  <c r="J8330" i="1"/>
  <c r="I8330" i="1"/>
  <c r="H8330" i="1"/>
  <c r="G8330" i="1"/>
  <c r="F8330" i="1"/>
  <c r="E8330" i="1"/>
  <c r="D8330" i="1"/>
  <c r="C8330" i="1"/>
  <c r="B8330" i="1"/>
  <c r="A8330" i="1"/>
  <c r="R8329" i="1"/>
  <c r="J8329" i="1"/>
  <c r="I8329" i="1"/>
  <c r="G8329" i="1"/>
  <c r="F8329" i="1"/>
  <c r="E8329" i="1"/>
  <c r="D8329" i="1"/>
  <c r="C8329" i="1"/>
  <c r="B8329" i="1"/>
  <c r="A8329" i="1"/>
  <c r="R8328" i="1"/>
  <c r="J8328" i="1"/>
  <c r="I8328" i="1"/>
  <c r="G8328" i="1"/>
  <c r="F8328" i="1"/>
  <c r="E8328" i="1"/>
  <c r="D8328" i="1"/>
  <c r="C8328" i="1"/>
  <c r="B8328" i="1"/>
  <c r="A8328" i="1"/>
  <c r="R8327" i="1"/>
  <c r="J8327" i="1"/>
  <c r="I8327" i="1"/>
  <c r="G8327" i="1"/>
  <c r="F8327" i="1"/>
  <c r="E8327" i="1"/>
  <c r="D8327" i="1"/>
  <c r="C8327" i="1"/>
  <c r="B8327" i="1"/>
  <c r="A8327" i="1"/>
  <c r="S8326" i="1"/>
  <c r="O8326" i="1"/>
  <c r="K8326" i="1"/>
  <c r="J8326" i="1"/>
  <c r="I8326" i="1"/>
  <c r="H8326" i="1"/>
  <c r="G8326" i="1"/>
  <c r="F8326" i="1"/>
  <c r="E8326" i="1"/>
  <c r="D8326" i="1"/>
  <c r="C8326" i="1"/>
  <c r="B8326" i="1"/>
  <c r="A8326" i="1"/>
  <c r="R8325" i="1"/>
  <c r="J8325" i="1"/>
  <c r="I8325" i="1"/>
  <c r="G8325" i="1"/>
  <c r="F8325" i="1"/>
  <c r="E8325" i="1"/>
  <c r="D8325" i="1"/>
  <c r="C8325" i="1"/>
  <c r="B8325" i="1"/>
  <c r="A8325" i="1"/>
  <c r="S8324" i="1"/>
  <c r="O8324" i="1"/>
  <c r="K8324" i="1"/>
  <c r="J8324" i="1"/>
  <c r="I8324" i="1"/>
  <c r="H8324" i="1"/>
  <c r="G8324" i="1"/>
  <c r="F8324" i="1"/>
  <c r="E8324" i="1"/>
  <c r="D8324" i="1"/>
  <c r="C8324" i="1"/>
  <c r="B8324" i="1"/>
  <c r="A8324" i="1"/>
  <c r="R8323" i="1"/>
  <c r="J8323" i="1"/>
  <c r="I8323" i="1"/>
  <c r="G8323" i="1"/>
  <c r="F8323" i="1"/>
  <c r="E8323" i="1"/>
  <c r="D8323" i="1"/>
  <c r="C8323" i="1"/>
  <c r="B8323" i="1"/>
  <c r="A8323" i="1"/>
  <c r="R8322" i="1"/>
  <c r="J8322" i="1"/>
  <c r="I8322" i="1"/>
  <c r="G8322" i="1"/>
  <c r="F8322" i="1"/>
  <c r="E8322" i="1"/>
  <c r="D8322" i="1"/>
  <c r="C8322" i="1"/>
  <c r="B8322" i="1"/>
  <c r="A8322" i="1"/>
  <c r="S8321" i="1"/>
  <c r="O8321" i="1"/>
  <c r="K8321" i="1"/>
  <c r="J8321" i="1"/>
  <c r="I8321" i="1"/>
  <c r="H8321" i="1"/>
  <c r="G8321" i="1"/>
  <c r="F8321" i="1"/>
  <c r="E8321" i="1"/>
  <c r="D8321" i="1"/>
  <c r="C8321" i="1"/>
  <c r="B8321" i="1"/>
  <c r="A8321" i="1"/>
  <c r="R8320" i="1"/>
  <c r="J8320" i="1"/>
  <c r="I8320" i="1"/>
  <c r="G8320" i="1"/>
  <c r="F8320" i="1"/>
  <c r="E8320" i="1"/>
  <c r="D8320" i="1"/>
  <c r="C8320" i="1"/>
  <c r="B8320" i="1"/>
  <c r="A8320" i="1"/>
  <c r="S8319" i="1"/>
  <c r="O8319" i="1"/>
  <c r="K8319" i="1"/>
  <c r="J8319" i="1"/>
  <c r="I8319" i="1"/>
  <c r="H8319" i="1"/>
  <c r="G8319" i="1"/>
  <c r="F8319" i="1"/>
  <c r="E8319" i="1"/>
  <c r="D8319" i="1"/>
  <c r="C8319" i="1"/>
  <c r="B8319" i="1"/>
  <c r="A8319" i="1"/>
  <c r="R8318" i="1"/>
  <c r="J8318" i="1"/>
  <c r="I8318" i="1"/>
  <c r="G8318" i="1"/>
  <c r="F8318" i="1"/>
  <c r="E8318" i="1"/>
  <c r="D8318" i="1"/>
  <c r="C8318" i="1"/>
  <c r="B8318" i="1"/>
  <c r="A8318" i="1"/>
  <c r="S8317" i="1"/>
  <c r="O8317" i="1"/>
  <c r="K8317" i="1"/>
  <c r="J8317" i="1"/>
  <c r="I8317" i="1"/>
  <c r="H8317" i="1"/>
  <c r="G8317" i="1"/>
  <c r="F8317" i="1"/>
  <c r="E8317" i="1"/>
  <c r="D8317" i="1"/>
  <c r="C8317" i="1"/>
  <c r="B8317" i="1"/>
  <c r="A8317" i="1"/>
  <c r="R8316" i="1"/>
  <c r="J8316" i="1"/>
  <c r="I8316" i="1"/>
  <c r="G8316" i="1"/>
  <c r="F8316" i="1"/>
  <c r="E8316" i="1"/>
  <c r="D8316" i="1"/>
  <c r="C8316" i="1"/>
  <c r="B8316" i="1"/>
  <c r="A8316" i="1"/>
  <c r="S8315" i="1"/>
  <c r="O8315" i="1"/>
  <c r="K8315" i="1"/>
  <c r="J8315" i="1"/>
  <c r="I8315" i="1"/>
  <c r="H8315" i="1"/>
  <c r="G8315" i="1"/>
  <c r="F8315" i="1"/>
  <c r="E8315" i="1"/>
  <c r="D8315" i="1"/>
  <c r="C8315" i="1"/>
  <c r="B8315" i="1"/>
  <c r="A8315" i="1"/>
  <c r="R8314" i="1"/>
  <c r="J8314" i="1"/>
  <c r="I8314" i="1"/>
  <c r="G8314" i="1"/>
  <c r="F8314" i="1"/>
  <c r="E8314" i="1"/>
  <c r="D8314" i="1"/>
  <c r="C8314" i="1"/>
  <c r="B8314" i="1"/>
  <c r="A8314" i="1"/>
  <c r="S8313" i="1"/>
  <c r="O8313" i="1"/>
  <c r="K8313" i="1"/>
  <c r="J8313" i="1"/>
  <c r="I8313" i="1"/>
  <c r="H8313" i="1"/>
  <c r="G8313" i="1"/>
  <c r="F8313" i="1"/>
  <c r="E8313" i="1"/>
  <c r="D8313" i="1"/>
  <c r="C8313" i="1"/>
  <c r="B8313" i="1"/>
  <c r="A8313" i="1"/>
  <c r="R8312" i="1"/>
  <c r="J8312" i="1"/>
  <c r="I8312" i="1"/>
  <c r="G8312" i="1"/>
  <c r="F8312" i="1"/>
  <c r="E8312" i="1"/>
  <c r="D8312" i="1"/>
  <c r="C8312" i="1"/>
  <c r="B8312" i="1"/>
  <c r="A8312" i="1"/>
  <c r="S8311" i="1"/>
  <c r="O8311" i="1"/>
  <c r="K8311" i="1"/>
  <c r="J8311" i="1"/>
  <c r="I8311" i="1"/>
  <c r="H8311" i="1"/>
  <c r="G8311" i="1"/>
  <c r="F8311" i="1"/>
  <c r="E8311" i="1"/>
  <c r="D8311" i="1"/>
  <c r="C8311" i="1"/>
  <c r="B8311" i="1"/>
  <c r="A8311" i="1"/>
  <c r="R8310" i="1"/>
  <c r="J8310" i="1"/>
  <c r="I8310" i="1"/>
  <c r="G8310" i="1"/>
  <c r="F8310" i="1"/>
  <c r="E8310" i="1"/>
  <c r="D8310" i="1"/>
  <c r="C8310" i="1"/>
  <c r="B8310" i="1"/>
  <c r="A8310" i="1"/>
  <c r="S8309" i="1"/>
  <c r="O8309" i="1"/>
  <c r="K8309" i="1"/>
  <c r="J8309" i="1"/>
  <c r="I8309" i="1"/>
  <c r="H8309" i="1"/>
  <c r="G8309" i="1"/>
  <c r="F8309" i="1"/>
  <c r="E8309" i="1"/>
  <c r="D8309" i="1"/>
  <c r="C8309" i="1"/>
  <c r="B8309" i="1"/>
  <c r="A8309" i="1"/>
  <c r="R8308" i="1"/>
  <c r="J8308" i="1"/>
  <c r="I8308" i="1"/>
  <c r="G8308" i="1"/>
  <c r="F8308" i="1"/>
  <c r="E8308" i="1"/>
  <c r="D8308" i="1"/>
  <c r="C8308" i="1"/>
  <c r="B8308" i="1"/>
  <c r="A8308" i="1"/>
  <c r="S8307" i="1"/>
  <c r="O8307" i="1"/>
  <c r="K8307" i="1"/>
  <c r="J8307" i="1"/>
  <c r="I8307" i="1"/>
  <c r="H8307" i="1"/>
  <c r="G8307" i="1"/>
  <c r="F8307" i="1"/>
  <c r="E8307" i="1"/>
  <c r="D8307" i="1"/>
  <c r="C8307" i="1"/>
  <c r="B8307" i="1"/>
  <c r="A8307" i="1"/>
  <c r="R8306" i="1"/>
  <c r="J8306" i="1"/>
  <c r="I8306" i="1"/>
  <c r="G8306" i="1"/>
  <c r="F8306" i="1"/>
  <c r="E8306" i="1"/>
  <c r="D8306" i="1"/>
  <c r="C8306" i="1"/>
  <c r="B8306" i="1"/>
  <c r="A8306" i="1"/>
  <c r="S8305" i="1"/>
  <c r="O8305" i="1"/>
  <c r="K8305" i="1"/>
  <c r="J8305" i="1"/>
  <c r="I8305" i="1"/>
  <c r="H8305" i="1"/>
  <c r="G8305" i="1"/>
  <c r="F8305" i="1"/>
  <c r="E8305" i="1"/>
  <c r="D8305" i="1"/>
  <c r="C8305" i="1"/>
  <c r="B8305" i="1"/>
  <c r="A8305" i="1"/>
  <c r="R8304" i="1"/>
  <c r="J8304" i="1"/>
  <c r="I8304" i="1"/>
  <c r="G8304" i="1"/>
  <c r="F8304" i="1"/>
  <c r="E8304" i="1"/>
  <c r="D8304" i="1"/>
  <c r="C8304" i="1"/>
  <c r="B8304" i="1"/>
  <c r="A8304" i="1"/>
  <c r="S8303" i="1"/>
  <c r="O8303" i="1"/>
  <c r="K8303" i="1"/>
  <c r="J8303" i="1"/>
  <c r="I8303" i="1"/>
  <c r="H8303" i="1"/>
  <c r="G8303" i="1"/>
  <c r="F8303" i="1"/>
  <c r="E8303" i="1"/>
  <c r="D8303" i="1"/>
  <c r="C8303" i="1"/>
  <c r="B8303" i="1"/>
  <c r="A8303" i="1"/>
  <c r="R8302" i="1"/>
  <c r="J8302" i="1"/>
  <c r="I8302" i="1"/>
  <c r="G8302" i="1"/>
  <c r="F8302" i="1"/>
  <c r="E8302" i="1"/>
  <c r="D8302" i="1"/>
  <c r="C8302" i="1"/>
  <c r="B8302" i="1"/>
  <c r="A8302" i="1"/>
  <c r="S8301" i="1"/>
  <c r="O8301" i="1"/>
  <c r="K8301" i="1"/>
  <c r="J8301" i="1"/>
  <c r="I8301" i="1"/>
  <c r="H8301" i="1"/>
  <c r="G8301" i="1"/>
  <c r="F8301" i="1"/>
  <c r="E8301" i="1"/>
  <c r="D8301" i="1"/>
  <c r="C8301" i="1"/>
  <c r="B8301" i="1"/>
  <c r="A8301" i="1"/>
  <c r="R8300" i="1"/>
  <c r="J8300" i="1"/>
  <c r="I8300" i="1"/>
  <c r="G8300" i="1"/>
  <c r="F8300" i="1"/>
  <c r="E8300" i="1"/>
  <c r="D8300" i="1"/>
  <c r="C8300" i="1"/>
  <c r="B8300" i="1"/>
  <c r="A8300" i="1"/>
  <c r="R8299" i="1"/>
  <c r="J8299" i="1"/>
  <c r="I8299" i="1"/>
  <c r="G8299" i="1"/>
  <c r="F8299" i="1"/>
  <c r="E8299" i="1"/>
  <c r="D8299" i="1"/>
  <c r="C8299" i="1"/>
  <c r="B8299" i="1"/>
  <c r="A8299" i="1"/>
  <c r="S8298" i="1"/>
  <c r="O8298" i="1"/>
  <c r="K8298" i="1"/>
  <c r="J8298" i="1"/>
  <c r="I8298" i="1"/>
  <c r="H8298" i="1"/>
  <c r="G8298" i="1"/>
  <c r="F8298" i="1"/>
  <c r="E8298" i="1"/>
  <c r="D8298" i="1"/>
  <c r="C8298" i="1"/>
  <c r="B8298" i="1"/>
  <c r="A8298" i="1"/>
  <c r="R8297" i="1"/>
  <c r="J8297" i="1"/>
  <c r="I8297" i="1"/>
  <c r="G8297" i="1"/>
  <c r="F8297" i="1"/>
  <c r="E8297" i="1"/>
  <c r="D8297" i="1"/>
  <c r="C8297" i="1"/>
  <c r="B8297" i="1"/>
  <c r="A8297" i="1"/>
  <c r="S8296" i="1"/>
  <c r="O8296" i="1"/>
  <c r="K8296" i="1"/>
  <c r="J8296" i="1"/>
  <c r="I8296" i="1"/>
  <c r="H8296" i="1"/>
  <c r="G8296" i="1"/>
  <c r="F8296" i="1"/>
  <c r="E8296" i="1"/>
  <c r="D8296" i="1"/>
  <c r="C8296" i="1"/>
  <c r="B8296" i="1"/>
  <c r="A8296" i="1"/>
  <c r="R8295" i="1"/>
  <c r="J8295" i="1"/>
  <c r="I8295" i="1"/>
  <c r="G8295" i="1"/>
  <c r="F8295" i="1"/>
  <c r="E8295" i="1"/>
  <c r="D8295" i="1"/>
  <c r="C8295" i="1"/>
  <c r="B8295" i="1"/>
  <c r="A8295" i="1"/>
  <c r="S8294" i="1"/>
  <c r="O8294" i="1"/>
  <c r="K8294" i="1"/>
  <c r="J8294" i="1"/>
  <c r="I8294" i="1"/>
  <c r="H8294" i="1"/>
  <c r="G8294" i="1"/>
  <c r="F8294" i="1"/>
  <c r="E8294" i="1"/>
  <c r="D8294" i="1"/>
  <c r="C8294" i="1"/>
  <c r="B8294" i="1"/>
  <c r="A8294" i="1"/>
  <c r="R8293" i="1"/>
  <c r="J8293" i="1"/>
  <c r="I8293" i="1"/>
  <c r="G8293" i="1"/>
  <c r="F8293" i="1"/>
  <c r="E8293" i="1"/>
  <c r="D8293" i="1"/>
  <c r="C8293" i="1"/>
  <c r="B8293" i="1"/>
  <c r="A8293" i="1"/>
  <c r="S8292" i="1"/>
  <c r="O8292" i="1"/>
  <c r="K8292" i="1"/>
  <c r="J8292" i="1"/>
  <c r="I8292" i="1"/>
  <c r="H8292" i="1"/>
  <c r="G8292" i="1"/>
  <c r="F8292" i="1"/>
  <c r="E8292" i="1"/>
  <c r="D8292" i="1"/>
  <c r="C8292" i="1"/>
  <c r="B8292" i="1"/>
  <c r="A8292" i="1"/>
  <c r="S8291" i="1"/>
  <c r="O8291" i="1"/>
  <c r="K8291" i="1"/>
  <c r="J8291" i="1"/>
  <c r="I8291" i="1"/>
  <c r="H8291" i="1"/>
  <c r="G8291" i="1"/>
  <c r="F8291" i="1"/>
  <c r="E8291" i="1"/>
  <c r="D8291" i="1"/>
  <c r="C8291" i="1"/>
  <c r="B8291" i="1"/>
  <c r="A8291" i="1"/>
  <c r="R8290" i="1"/>
  <c r="J8290" i="1"/>
  <c r="I8290" i="1"/>
  <c r="G8290" i="1"/>
  <c r="F8290" i="1"/>
  <c r="E8290" i="1"/>
  <c r="D8290" i="1"/>
  <c r="C8290" i="1"/>
  <c r="B8290" i="1"/>
  <c r="A8290" i="1"/>
  <c r="S8289" i="1"/>
  <c r="O8289" i="1"/>
  <c r="K8289" i="1"/>
  <c r="J8289" i="1"/>
  <c r="I8289" i="1"/>
  <c r="H8289" i="1"/>
  <c r="G8289" i="1"/>
  <c r="F8289" i="1"/>
  <c r="E8289" i="1"/>
  <c r="D8289" i="1"/>
  <c r="C8289" i="1"/>
  <c r="B8289" i="1"/>
  <c r="A8289" i="1"/>
  <c r="R8288" i="1"/>
  <c r="J8288" i="1"/>
  <c r="I8288" i="1"/>
  <c r="G8288" i="1"/>
  <c r="F8288" i="1"/>
  <c r="E8288" i="1"/>
  <c r="D8288" i="1"/>
  <c r="C8288" i="1"/>
  <c r="B8288" i="1"/>
  <c r="A8288" i="1"/>
  <c r="S8287" i="1"/>
  <c r="O8287" i="1"/>
  <c r="K8287" i="1"/>
  <c r="J8287" i="1"/>
  <c r="I8287" i="1"/>
  <c r="H8287" i="1"/>
  <c r="G8287" i="1"/>
  <c r="F8287" i="1"/>
  <c r="E8287" i="1"/>
  <c r="D8287" i="1"/>
  <c r="C8287" i="1"/>
  <c r="B8287" i="1"/>
  <c r="A8287" i="1"/>
  <c r="R8286" i="1"/>
  <c r="J8286" i="1"/>
  <c r="I8286" i="1"/>
  <c r="G8286" i="1"/>
  <c r="F8286" i="1"/>
  <c r="E8286" i="1"/>
  <c r="D8286" i="1"/>
  <c r="C8286" i="1"/>
  <c r="B8286" i="1"/>
  <c r="A8286" i="1"/>
  <c r="S8285" i="1"/>
  <c r="O8285" i="1"/>
  <c r="K8285" i="1"/>
  <c r="J8285" i="1"/>
  <c r="I8285" i="1"/>
  <c r="H8285" i="1"/>
  <c r="G8285" i="1"/>
  <c r="F8285" i="1"/>
  <c r="E8285" i="1"/>
  <c r="D8285" i="1"/>
  <c r="C8285" i="1"/>
  <c r="B8285" i="1"/>
  <c r="A8285" i="1"/>
  <c r="R8284" i="1"/>
  <c r="J8284" i="1"/>
  <c r="I8284" i="1"/>
  <c r="G8284" i="1"/>
  <c r="F8284" i="1"/>
  <c r="E8284" i="1"/>
  <c r="D8284" i="1"/>
  <c r="C8284" i="1"/>
  <c r="B8284" i="1"/>
  <c r="A8284" i="1"/>
  <c r="R8283" i="1"/>
  <c r="J8283" i="1"/>
  <c r="I8283" i="1"/>
  <c r="G8283" i="1"/>
  <c r="F8283" i="1"/>
  <c r="E8283" i="1"/>
  <c r="D8283" i="1"/>
  <c r="C8283" i="1"/>
  <c r="B8283" i="1"/>
  <c r="A8283" i="1"/>
  <c r="S8282" i="1"/>
  <c r="O8282" i="1"/>
  <c r="K8282" i="1"/>
  <c r="J8282" i="1"/>
  <c r="I8282" i="1"/>
  <c r="H8282" i="1"/>
  <c r="G8282" i="1"/>
  <c r="F8282" i="1"/>
  <c r="E8282" i="1"/>
  <c r="D8282" i="1"/>
  <c r="C8282" i="1"/>
  <c r="B8282" i="1"/>
  <c r="A8282" i="1"/>
  <c r="R8281" i="1"/>
  <c r="J8281" i="1"/>
  <c r="I8281" i="1"/>
  <c r="G8281" i="1"/>
  <c r="F8281" i="1"/>
  <c r="E8281" i="1"/>
  <c r="D8281" i="1"/>
  <c r="C8281" i="1"/>
  <c r="B8281" i="1"/>
  <c r="A8281" i="1"/>
  <c r="R8280" i="1"/>
  <c r="J8280" i="1"/>
  <c r="I8280" i="1"/>
  <c r="G8280" i="1"/>
  <c r="F8280" i="1"/>
  <c r="E8280" i="1"/>
  <c r="D8280" i="1"/>
  <c r="C8280" i="1"/>
  <c r="B8280" i="1"/>
  <c r="A8280" i="1"/>
  <c r="S8279" i="1"/>
  <c r="O8279" i="1"/>
  <c r="K8279" i="1"/>
  <c r="J8279" i="1"/>
  <c r="I8279" i="1"/>
  <c r="H8279" i="1"/>
  <c r="G8279" i="1"/>
  <c r="F8279" i="1"/>
  <c r="E8279" i="1"/>
  <c r="D8279" i="1"/>
  <c r="C8279" i="1"/>
  <c r="B8279" i="1"/>
  <c r="A8279" i="1"/>
  <c r="R8278" i="1"/>
  <c r="J8278" i="1"/>
  <c r="I8278" i="1"/>
  <c r="G8278" i="1"/>
  <c r="F8278" i="1"/>
  <c r="E8278" i="1"/>
  <c r="D8278" i="1"/>
  <c r="C8278" i="1"/>
  <c r="B8278" i="1"/>
  <c r="A8278" i="1"/>
  <c r="R8277" i="1"/>
  <c r="J8277" i="1"/>
  <c r="I8277" i="1"/>
  <c r="G8277" i="1"/>
  <c r="F8277" i="1"/>
  <c r="E8277" i="1"/>
  <c r="D8277" i="1"/>
  <c r="C8277" i="1"/>
  <c r="B8277" i="1"/>
  <c r="A8277" i="1"/>
  <c r="S8276" i="1"/>
  <c r="O8276" i="1"/>
  <c r="K8276" i="1"/>
  <c r="J8276" i="1"/>
  <c r="I8276" i="1"/>
  <c r="H8276" i="1"/>
  <c r="G8276" i="1"/>
  <c r="F8276" i="1"/>
  <c r="E8276" i="1"/>
  <c r="D8276" i="1"/>
  <c r="C8276" i="1"/>
  <c r="B8276" i="1"/>
  <c r="A8276" i="1"/>
  <c r="R8275" i="1"/>
  <c r="J8275" i="1"/>
  <c r="I8275" i="1"/>
  <c r="G8275" i="1"/>
  <c r="F8275" i="1"/>
  <c r="E8275" i="1"/>
  <c r="D8275" i="1"/>
  <c r="C8275" i="1"/>
  <c r="B8275" i="1"/>
  <c r="A8275" i="1"/>
  <c r="S8274" i="1"/>
  <c r="O8274" i="1"/>
  <c r="K8274" i="1"/>
  <c r="J8274" i="1"/>
  <c r="I8274" i="1"/>
  <c r="H8274" i="1"/>
  <c r="G8274" i="1"/>
  <c r="F8274" i="1"/>
  <c r="E8274" i="1"/>
  <c r="D8274" i="1"/>
  <c r="C8274" i="1"/>
  <c r="B8274" i="1"/>
  <c r="A8274" i="1"/>
  <c r="R8273" i="1"/>
  <c r="J8273" i="1"/>
  <c r="I8273" i="1"/>
  <c r="G8273" i="1"/>
  <c r="F8273" i="1"/>
  <c r="E8273" i="1"/>
  <c r="D8273" i="1"/>
  <c r="C8273" i="1"/>
  <c r="B8273" i="1"/>
  <c r="A8273" i="1"/>
  <c r="R8272" i="1"/>
  <c r="J8272" i="1"/>
  <c r="I8272" i="1"/>
  <c r="G8272" i="1"/>
  <c r="F8272" i="1"/>
  <c r="E8272" i="1"/>
  <c r="D8272" i="1"/>
  <c r="C8272" i="1"/>
  <c r="B8272" i="1"/>
  <c r="A8272" i="1"/>
  <c r="S8271" i="1"/>
  <c r="O8271" i="1"/>
  <c r="K8271" i="1"/>
  <c r="J8271" i="1"/>
  <c r="I8271" i="1"/>
  <c r="H8271" i="1"/>
  <c r="G8271" i="1"/>
  <c r="F8271" i="1"/>
  <c r="E8271" i="1"/>
  <c r="D8271" i="1"/>
  <c r="C8271" i="1"/>
  <c r="B8271" i="1"/>
  <c r="A8271" i="1"/>
  <c r="R8270" i="1"/>
  <c r="J8270" i="1"/>
  <c r="I8270" i="1"/>
  <c r="G8270" i="1"/>
  <c r="F8270" i="1"/>
  <c r="E8270" i="1"/>
  <c r="D8270" i="1"/>
  <c r="C8270" i="1"/>
  <c r="B8270" i="1"/>
  <c r="A8270" i="1"/>
  <c r="S8269" i="1"/>
  <c r="O8269" i="1"/>
  <c r="K8269" i="1"/>
  <c r="J8269" i="1"/>
  <c r="I8269" i="1"/>
  <c r="H8269" i="1"/>
  <c r="G8269" i="1"/>
  <c r="F8269" i="1"/>
  <c r="E8269" i="1"/>
  <c r="D8269" i="1"/>
  <c r="C8269" i="1"/>
  <c r="B8269" i="1"/>
  <c r="A8269" i="1"/>
  <c r="R8268" i="1"/>
  <c r="J8268" i="1"/>
  <c r="I8268" i="1"/>
  <c r="G8268" i="1"/>
  <c r="F8268" i="1"/>
  <c r="E8268" i="1"/>
  <c r="D8268" i="1"/>
  <c r="C8268" i="1"/>
  <c r="B8268" i="1"/>
  <c r="A8268" i="1"/>
  <c r="R8267" i="1"/>
  <c r="J8267" i="1"/>
  <c r="I8267" i="1"/>
  <c r="G8267" i="1"/>
  <c r="F8267" i="1"/>
  <c r="E8267" i="1"/>
  <c r="D8267" i="1"/>
  <c r="C8267" i="1"/>
  <c r="B8267" i="1"/>
  <c r="A8267" i="1"/>
  <c r="S8266" i="1"/>
  <c r="O8266" i="1"/>
  <c r="K8266" i="1"/>
  <c r="J8266" i="1"/>
  <c r="I8266" i="1"/>
  <c r="H8266" i="1"/>
  <c r="G8266" i="1"/>
  <c r="F8266" i="1"/>
  <c r="E8266" i="1"/>
  <c r="D8266" i="1"/>
  <c r="C8266" i="1"/>
  <c r="B8266" i="1"/>
  <c r="A8266" i="1"/>
  <c r="R8265" i="1"/>
  <c r="J8265" i="1"/>
  <c r="I8265" i="1"/>
  <c r="G8265" i="1"/>
  <c r="F8265" i="1"/>
  <c r="E8265" i="1"/>
  <c r="D8265" i="1"/>
  <c r="C8265" i="1"/>
  <c r="B8265" i="1"/>
  <c r="A8265" i="1"/>
  <c r="S8264" i="1"/>
  <c r="O8264" i="1"/>
  <c r="K8264" i="1"/>
  <c r="J8264" i="1"/>
  <c r="I8264" i="1"/>
  <c r="H8264" i="1"/>
  <c r="G8264" i="1"/>
  <c r="F8264" i="1"/>
  <c r="E8264" i="1"/>
  <c r="D8264" i="1"/>
  <c r="C8264" i="1"/>
  <c r="B8264" i="1"/>
  <c r="A8264" i="1"/>
  <c r="R8263" i="1"/>
  <c r="J8263" i="1"/>
  <c r="I8263" i="1"/>
  <c r="G8263" i="1"/>
  <c r="F8263" i="1"/>
  <c r="E8263" i="1"/>
  <c r="D8263" i="1"/>
  <c r="C8263" i="1"/>
  <c r="B8263" i="1"/>
  <c r="A8263" i="1"/>
  <c r="S8262" i="1"/>
  <c r="O8262" i="1"/>
  <c r="K8262" i="1"/>
  <c r="J8262" i="1"/>
  <c r="I8262" i="1"/>
  <c r="H8262" i="1"/>
  <c r="G8262" i="1"/>
  <c r="F8262" i="1"/>
  <c r="E8262" i="1"/>
  <c r="D8262" i="1"/>
  <c r="C8262" i="1"/>
  <c r="B8262" i="1"/>
  <c r="A8262" i="1"/>
  <c r="R8261" i="1"/>
  <c r="J8261" i="1"/>
  <c r="I8261" i="1"/>
  <c r="G8261" i="1"/>
  <c r="F8261" i="1"/>
  <c r="E8261" i="1"/>
  <c r="D8261" i="1"/>
  <c r="C8261" i="1"/>
  <c r="B8261" i="1"/>
  <c r="A8261" i="1"/>
  <c r="S8260" i="1"/>
  <c r="O8260" i="1"/>
  <c r="K8260" i="1"/>
  <c r="J8260" i="1"/>
  <c r="I8260" i="1"/>
  <c r="H8260" i="1"/>
  <c r="G8260" i="1"/>
  <c r="F8260" i="1"/>
  <c r="E8260" i="1"/>
  <c r="D8260" i="1"/>
  <c r="C8260" i="1"/>
  <c r="B8260" i="1"/>
  <c r="A8260" i="1"/>
  <c r="R8259" i="1"/>
  <c r="J8259" i="1"/>
  <c r="I8259" i="1"/>
  <c r="G8259" i="1"/>
  <c r="F8259" i="1"/>
  <c r="E8259" i="1"/>
  <c r="D8259" i="1"/>
  <c r="C8259" i="1"/>
  <c r="B8259" i="1"/>
  <c r="A8259" i="1"/>
  <c r="S8258" i="1"/>
  <c r="O8258" i="1"/>
  <c r="K8258" i="1"/>
  <c r="J8258" i="1"/>
  <c r="I8258" i="1"/>
  <c r="H8258" i="1"/>
  <c r="G8258" i="1"/>
  <c r="F8258" i="1"/>
  <c r="E8258" i="1"/>
  <c r="D8258" i="1"/>
  <c r="C8258" i="1"/>
  <c r="B8258" i="1"/>
  <c r="A8258" i="1"/>
  <c r="R8257" i="1"/>
  <c r="J8257" i="1"/>
  <c r="I8257" i="1"/>
  <c r="G8257" i="1"/>
  <c r="F8257" i="1"/>
  <c r="E8257" i="1"/>
  <c r="D8257" i="1"/>
  <c r="C8257" i="1"/>
  <c r="B8257" i="1"/>
  <c r="A8257" i="1"/>
  <c r="S8256" i="1"/>
  <c r="O8256" i="1"/>
  <c r="K8256" i="1"/>
  <c r="J8256" i="1"/>
  <c r="I8256" i="1"/>
  <c r="H8256" i="1"/>
  <c r="G8256" i="1"/>
  <c r="F8256" i="1"/>
  <c r="E8256" i="1"/>
  <c r="D8256" i="1"/>
  <c r="C8256" i="1"/>
  <c r="B8256" i="1"/>
  <c r="A8256" i="1"/>
  <c r="R8255" i="1"/>
  <c r="J8255" i="1"/>
  <c r="I8255" i="1"/>
  <c r="G8255" i="1"/>
  <c r="F8255" i="1"/>
  <c r="E8255" i="1"/>
  <c r="D8255" i="1"/>
  <c r="C8255" i="1"/>
  <c r="B8255" i="1"/>
  <c r="A8255" i="1"/>
  <c r="S8254" i="1"/>
  <c r="O8254" i="1"/>
  <c r="K8254" i="1"/>
  <c r="J8254" i="1"/>
  <c r="I8254" i="1"/>
  <c r="H8254" i="1"/>
  <c r="G8254" i="1"/>
  <c r="F8254" i="1"/>
  <c r="E8254" i="1"/>
  <c r="D8254" i="1"/>
  <c r="C8254" i="1"/>
  <c r="B8254" i="1"/>
  <c r="A8254" i="1"/>
  <c r="R8253" i="1"/>
  <c r="J8253" i="1"/>
  <c r="I8253" i="1"/>
  <c r="G8253" i="1"/>
  <c r="F8253" i="1"/>
  <c r="E8253" i="1"/>
  <c r="D8253" i="1"/>
  <c r="C8253" i="1"/>
  <c r="B8253" i="1"/>
  <c r="A8253" i="1"/>
  <c r="S8252" i="1"/>
  <c r="O8252" i="1"/>
  <c r="K8252" i="1"/>
  <c r="J8252" i="1"/>
  <c r="I8252" i="1"/>
  <c r="H8252" i="1"/>
  <c r="G8252" i="1"/>
  <c r="F8252" i="1"/>
  <c r="E8252" i="1"/>
  <c r="D8252" i="1"/>
  <c r="C8252" i="1"/>
  <c r="B8252" i="1"/>
  <c r="A8252" i="1"/>
  <c r="R8251" i="1"/>
  <c r="J8251" i="1"/>
  <c r="I8251" i="1"/>
  <c r="G8251" i="1"/>
  <c r="F8251" i="1"/>
  <c r="E8251" i="1"/>
  <c r="D8251" i="1"/>
  <c r="C8251" i="1"/>
  <c r="B8251" i="1"/>
  <c r="A8251" i="1"/>
  <c r="S8250" i="1"/>
  <c r="O8250" i="1"/>
  <c r="K8250" i="1"/>
  <c r="J8250" i="1"/>
  <c r="I8250" i="1"/>
  <c r="H8250" i="1"/>
  <c r="G8250" i="1"/>
  <c r="F8250" i="1"/>
  <c r="E8250" i="1"/>
  <c r="D8250" i="1"/>
  <c r="C8250" i="1"/>
  <c r="B8250" i="1"/>
  <c r="A8250" i="1"/>
  <c r="R8249" i="1"/>
  <c r="J8249" i="1"/>
  <c r="I8249" i="1"/>
  <c r="G8249" i="1"/>
  <c r="F8249" i="1"/>
  <c r="E8249" i="1"/>
  <c r="D8249" i="1"/>
  <c r="C8249" i="1"/>
  <c r="B8249" i="1"/>
  <c r="A8249" i="1"/>
  <c r="S8248" i="1"/>
  <c r="O8248" i="1"/>
  <c r="K8248" i="1"/>
  <c r="J8248" i="1"/>
  <c r="I8248" i="1"/>
  <c r="H8248" i="1"/>
  <c r="G8248" i="1"/>
  <c r="F8248" i="1"/>
  <c r="E8248" i="1"/>
  <c r="D8248" i="1"/>
  <c r="C8248" i="1"/>
  <c r="B8248" i="1"/>
  <c r="A8248" i="1"/>
  <c r="R8247" i="1"/>
  <c r="J8247" i="1"/>
  <c r="I8247" i="1"/>
  <c r="G8247" i="1"/>
  <c r="F8247" i="1"/>
  <c r="E8247" i="1"/>
  <c r="D8247" i="1"/>
  <c r="C8247" i="1"/>
  <c r="B8247" i="1"/>
  <c r="A8247" i="1"/>
  <c r="S8246" i="1"/>
  <c r="O8246" i="1"/>
  <c r="K8246" i="1"/>
  <c r="J8246" i="1"/>
  <c r="I8246" i="1"/>
  <c r="H8246" i="1"/>
  <c r="G8246" i="1"/>
  <c r="F8246" i="1"/>
  <c r="E8246" i="1"/>
  <c r="D8246" i="1"/>
  <c r="C8246" i="1"/>
  <c r="B8246" i="1"/>
  <c r="A8246" i="1"/>
  <c r="R8245" i="1"/>
  <c r="J8245" i="1"/>
  <c r="I8245" i="1"/>
  <c r="G8245" i="1"/>
  <c r="F8245" i="1"/>
  <c r="E8245" i="1"/>
  <c r="D8245" i="1"/>
  <c r="C8245" i="1"/>
  <c r="B8245" i="1"/>
  <c r="A8245" i="1"/>
  <c r="S8244" i="1"/>
  <c r="O8244" i="1"/>
  <c r="K8244" i="1"/>
  <c r="J8244" i="1"/>
  <c r="I8244" i="1"/>
  <c r="H8244" i="1"/>
  <c r="G8244" i="1"/>
  <c r="F8244" i="1"/>
  <c r="E8244" i="1"/>
  <c r="D8244" i="1"/>
  <c r="C8244" i="1"/>
  <c r="B8244" i="1"/>
  <c r="A8244" i="1"/>
  <c r="R8243" i="1"/>
  <c r="J8243" i="1"/>
  <c r="I8243" i="1"/>
  <c r="G8243" i="1"/>
  <c r="F8243" i="1"/>
  <c r="E8243" i="1"/>
  <c r="D8243" i="1"/>
  <c r="C8243" i="1"/>
  <c r="B8243" i="1"/>
  <c r="A8243" i="1"/>
  <c r="R8242" i="1"/>
  <c r="J8242" i="1"/>
  <c r="I8242" i="1"/>
  <c r="G8242" i="1"/>
  <c r="F8242" i="1"/>
  <c r="E8242" i="1"/>
  <c r="D8242" i="1"/>
  <c r="C8242" i="1"/>
  <c r="B8242" i="1"/>
  <c r="A8242" i="1"/>
  <c r="S8241" i="1"/>
  <c r="O8241" i="1"/>
  <c r="K8241" i="1"/>
  <c r="J8241" i="1"/>
  <c r="I8241" i="1"/>
  <c r="H8241" i="1"/>
  <c r="G8241" i="1"/>
  <c r="F8241" i="1"/>
  <c r="E8241" i="1"/>
  <c r="D8241" i="1"/>
  <c r="C8241" i="1"/>
  <c r="B8241" i="1"/>
  <c r="A8241" i="1"/>
  <c r="R8240" i="1"/>
  <c r="J8240" i="1"/>
  <c r="I8240" i="1"/>
  <c r="G8240" i="1"/>
  <c r="F8240" i="1"/>
  <c r="E8240" i="1"/>
  <c r="D8240" i="1"/>
  <c r="C8240" i="1"/>
  <c r="B8240" i="1"/>
  <c r="A8240" i="1"/>
  <c r="S8239" i="1"/>
  <c r="O8239" i="1"/>
  <c r="K8239" i="1"/>
  <c r="J8239" i="1"/>
  <c r="I8239" i="1"/>
  <c r="H8239" i="1"/>
  <c r="G8239" i="1"/>
  <c r="F8239" i="1"/>
  <c r="E8239" i="1"/>
  <c r="D8239" i="1"/>
  <c r="C8239" i="1"/>
  <c r="B8239" i="1"/>
  <c r="A8239" i="1"/>
  <c r="R8238" i="1"/>
  <c r="J8238" i="1"/>
  <c r="I8238" i="1"/>
  <c r="G8238" i="1"/>
  <c r="F8238" i="1"/>
  <c r="E8238" i="1"/>
  <c r="D8238" i="1"/>
  <c r="C8238" i="1"/>
  <c r="B8238" i="1"/>
  <c r="A8238" i="1"/>
  <c r="S8237" i="1"/>
  <c r="O8237" i="1"/>
  <c r="K8237" i="1"/>
  <c r="J8237" i="1"/>
  <c r="I8237" i="1"/>
  <c r="H8237" i="1"/>
  <c r="G8237" i="1"/>
  <c r="F8237" i="1"/>
  <c r="E8237" i="1"/>
  <c r="D8237" i="1"/>
  <c r="C8237" i="1"/>
  <c r="B8237" i="1"/>
  <c r="A8237" i="1"/>
  <c r="R8236" i="1"/>
  <c r="J8236" i="1"/>
  <c r="I8236" i="1"/>
  <c r="G8236" i="1"/>
  <c r="F8236" i="1"/>
  <c r="E8236" i="1"/>
  <c r="D8236" i="1"/>
  <c r="C8236" i="1"/>
  <c r="B8236" i="1"/>
  <c r="A8236" i="1"/>
  <c r="S8235" i="1"/>
  <c r="O8235" i="1"/>
  <c r="K8235" i="1"/>
  <c r="J8235" i="1"/>
  <c r="I8235" i="1"/>
  <c r="H8235" i="1"/>
  <c r="G8235" i="1"/>
  <c r="F8235" i="1"/>
  <c r="E8235" i="1"/>
  <c r="D8235" i="1"/>
  <c r="C8235" i="1"/>
  <c r="B8235" i="1"/>
  <c r="A8235" i="1"/>
  <c r="R8234" i="1"/>
  <c r="J8234" i="1"/>
  <c r="I8234" i="1"/>
  <c r="G8234" i="1"/>
  <c r="F8234" i="1"/>
  <c r="E8234" i="1"/>
  <c r="D8234" i="1"/>
  <c r="C8234" i="1"/>
  <c r="B8234" i="1"/>
  <c r="A8234" i="1"/>
  <c r="S8233" i="1"/>
  <c r="O8233" i="1"/>
  <c r="K8233" i="1"/>
  <c r="J8233" i="1"/>
  <c r="I8233" i="1"/>
  <c r="H8233" i="1"/>
  <c r="G8233" i="1"/>
  <c r="F8233" i="1"/>
  <c r="E8233" i="1"/>
  <c r="D8233" i="1"/>
  <c r="C8233" i="1"/>
  <c r="B8233" i="1"/>
  <c r="A8233" i="1"/>
  <c r="R8232" i="1"/>
  <c r="J8232" i="1"/>
  <c r="I8232" i="1"/>
  <c r="G8232" i="1"/>
  <c r="F8232" i="1"/>
  <c r="E8232" i="1"/>
  <c r="D8232" i="1"/>
  <c r="C8232" i="1"/>
  <c r="B8232" i="1"/>
  <c r="A8232" i="1"/>
  <c r="S8231" i="1"/>
  <c r="O8231" i="1"/>
  <c r="K8231" i="1"/>
  <c r="J8231" i="1"/>
  <c r="I8231" i="1"/>
  <c r="H8231" i="1"/>
  <c r="G8231" i="1"/>
  <c r="F8231" i="1"/>
  <c r="E8231" i="1"/>
  <c r="D8231" i="1"/>
  <c r="C8231" i="1"/>
  <c r="B8231" i="1"/>
  <c r="A8231" i="1"/>
  <c r="R8230" i="1"/>
  <c r="J8230" i="1"/>
  <c r="I8230" i="1"/>
  <c r="G8230" i="1"/>
  <c r="F8230" i="1"/>
  <c r="E8230" i="1"/>
  <c r="D8230" i="1"/>
  <c r="C8230" i="1"/>
  <c r="B8230" i="1"/>
  <c r="A8230" i="1"/>
  <c r="S8229" i="1"/>
  <c r="O8229" i="1"/>
  <c r="K8229" i="1"/>
  <c r="J8229" i="1"/>
  <c r="I8229" i="1"/>
  <c r="H8229" i="1"/>
  <c r="G8229" i="1"/>
  <c r="F8229" i="1"/>
  <c r="E8229" i="1"/>
  <c r="D8229" i="1"/>
  <c r="C8229" i="1"/>
  <c r="B8229" i="1"/>
  <c r="A8229" i="1"/>
  <c r="R8228" i="1"/>
  <c r="J8228" i="1"/>
  <c r="I8228" i="1"/>
  <c r="G8228" i="1"/>
  <c r="F8228" i="1"/>
  <c r="E8228" i="1"/>
  <c r="D8228" i="1"/>
  <c r="C8228" i="1"/>
  <c r="B8228" i="1"/>
  <c r="A8228" i="1"/>
  <c r="R8227" i="1"/>
  <c r="J8227" i="1"/>
  <c r="I8227" i="1"/>
  <c r="G8227" i="1"/>
  <c r="F8227" i="1"/>
  <c r="E8227" i="1"/>
  <c r="D8227" i="1"/>
  <c r="C8227" i="1"/>
  <c r="B8227" i="1"/>
  <c r="A8227" i="1"/>
  <c r="S8226" i="1"/>
  <c r="O8226" i="1"/>
  <c r="K8226" i="1"/>
  <c r="J8226" i="1"/>
  <c r="I8226" i="1"/>
  <c r="H8226" i="1"/>
  <c r="G8226" i="1"/>
  <c r="F8226" i="1"/>
  <c r="E8226" i="1"/>
  <c r="D8226" i="1"/>
  <c r="C8226" i="1"/>
  <c r="B8226" i="1"/>
  <c r="A8226" i="1"/>
  <c r="R8225" i="1"/>
  <c r="J8225" i="1"/>
  <c r="I8225" i="1"/>
  <c r="G8225" i="1"/>
  <c r="F8225" i="1"/>
  <c r="E8225" i="1"/>
  <c r="D8225" i="1"/>
  <c r="C8225" i="1"/>
  <c r="B8225" i="1"/>
  <c r="A8225" i="1"/>
  <c r="R8224" i="1"/>
  <c r="J8224" i="1"/>
  <c r="I8224" i="1"/>
  <c r="G8224" i="1"/>
  <c r="F8224" i="1"/>
  <c r="E8224" i="1"/>
  <c r="D8224" i="1"/>
  <c r="C8224" i="1"/>
  <c r="B8224" i="1"/>
  <c r="A8224" i="1"/>
  <c r="S8223" i="1"/>
  <c r="O8223" i="1"/>
  <c r="K8223" i="1"/>
  <c r="J8223" i="1"/>
  <c r="I8223" i="1"/>
  <c r="H8223" i="1"/>
  <c r="G8223" i="1"/>
  <c r="F8223" i="1"/>
  <c r="E8223" i="1"/>
  <c r="D8223" i="1"/>
  <c r="C8223" i="1"/>
  <c r="B8223" i="1"/>
  <c r="A8223" i="1"/>
  <c r="R8222" i="1"/>
  <c r="J8222" i="1"/>
  <c r="I8222" i="1"/>
  <c r="G8222" i="1"/>
  <c r="F8222" i="1"/>
  <c r="E8222" i="1"/>
  <c r="D8222" i="1"/>
  <c r="C8222" i="1"/>
  <c r="B8222" i="1"/>
  <c r="A8222" i="1"/>
  <c r="S8221" i="1"/>
  <c r="O8221" i="1"/>
  <c r="K8221" i="1"/>
  <c r="J8221" i="1"/>
  <c r="I8221" i="1"/>
  <c r="H8221" i="1"/>
  <c r="G8221" i="1"/>
  <c r="F8221" i="1"/>
  <c r="E8221" i="1"/>
  <c r="D8221" i="1"/>
  <c r="C8221" i="1"/>
  <c r="B8221" i="1"/>
  <c r="A8221" i="1"/>
  <c r="R8220" i="1"/>
  <c r="J8220" i="1"/>
  <c r="I8220" i="1"/>
  <c r="G8220" i="1"/>
  <c r="F8220" i="1"/>
  <c r="E8220" i="1"/>
  <c r="D8220" i="1"/>
  <c r="C8220" i="1"/>
  <c r="B8220" i="1"/>
  <c r="A8220" i="1"/>
  <c r="R8219" i="1"/>
  <c r="J8219" i="1"/>
  <c r="I8219" i="1"/>
  <c r="G8219" i="1"/>
  <c r="F8219" i="1"/>
  <c r="E8219" i="1"/>
  <c r="D8219" i="1"/>
  <c r="C8219" i="1"/>
  <c r="B8219" i="1"/>
  <c r="A8219" i="1"/>
  <c r="S8218" i="1"/>
  <c r="O8218" i="1"/>
  <c r="K8218" i="1"/>
  <c r="J8218" i="1"/>
  <c r="I8218" i="1"/>
  <c r="H8218" i="1"/>
  <c r="G8218" i="1"/>
  <c r="F8218" i="1"/>
  <c r="E8218" i="1"/>
  <c r="D8218" i="1"/>
  <c r="C8218" i="1"/>
  <c r="B8218" i="1"/>
  <c r="A8218" i="1"/>
  <c r="R8217" i="1"/>
  <c r="J8217" i="1"/>
  <c r="I8217" i="1"/>
  <c r="G8217" i="1"/>
  <c r="F8217" i="1"/>
  <c r="E8217" i="1"/>
  <c r="D8217" i="1"/>
  <c r="C8217" i="1"/>
  <c r="B8217" i="1"/>
  <c r="A8217" i="1"/>
  <c r="S8216" i="1"/>
  <c r="O8216" i="1"/>
  <c r="K8216" i="1"/>
  <c r="J8216" i="1"/>
  <c r="I8216" i="1"/>
  <c r="H8216" i="1"/>
  <c r="G8216" i="1"/>
  <c r="F8216" i="1"/>
  <c r="E8216" i="1"/>
  <c r="D8216" i="1"/>
  <c r="C8216" i="1"/>
  <c r="B8216" i="1"/>
  <c r="A8216" i="1"/>
  <c r="R8215" i="1"/>
  <c r="J8215" i="1"/>
  <c r="I8215" i="1"/>
  <c r="G8215" i="1"/>
  <c r="F8215" i="1"/>
  <c r="E8215" i="1"/>
  <c r="D8215" i="1"/>
  <c r="C8215" i="1"/>
  <c r="B8215" i="1"/>
  <c r="A8215" i="1"/>
  <c r="R8214" i="1"/>
  <c r="J8214" i="1"/>
  <c r="I8214" i="1"/>
  <c r="G8214" i="1"/>
  <c r="F8214" i="1"/>
  <c r="E8214" i="1"/>
  <c r="D8214" i="1"/>
  <c r="C8214" i="1"/>
  <c r="B8214" i="1"/>
  <c r="A8214" i="1"/>
  <c r="S8213" i="1"/>
  <c r="O8213" i="1"/>
  <c r="K8213" i="1"/>
  <c r="J8213" i="1"/>
  <c r="I8213" i="1"/>
  <c r="H8213" i="1"/>
  <c r="G8213" i="1"/>
  <c r="F8213" i="1"/>
  <c r="E8213" i="1"/>
  <c r="D8213" i="1"/>
  <c r="C8213" i="1"/>
  <c r="B8213" i="1"/>
  <c r="A8213" i="1"/>
  <c r="R8212" i="1"/>
  <c r="J8212" i="1"/>
  <c r="I8212" i="1"/>
  <c r="G8212" i="1"/>
  <c r="F8212" i="1"/>
  <c r="E8212" i="1"/>
  <c r="D8212" i="1"/>
  <c r="C8212" i="1"/>
  <c r="B8212" i="1"/>
  <c r="A8212" i="1"/>
  <c r="S8211" i="1"/>
  <c r="O8211" i="1"/>
  <c r="K8211" i="1"/>
  <c r="J8211" i="1"/>
  <c r="I8211" i="1"/>
  <c r="H8211" i="1"/>
  <c r="G8211" i="1"/>
  <c r="F8211" i="1"/>
  <c r="E8211" i="1"/>
  <c r="D8211" i="1"/>
  <c r="C8211" i="1"/>
  <c r="B8211" i="1"/>
  <c r="A8211" i="1"/>
  <c r="R8210" i="1"/>
  <c r="J8210" i="1"/>
  <c r="I8210" i="1"/>
  <c r="G8210" i="1"/>
  <c r="F8210" i="1"/>
  <c r="E8210" i="1"/>
  <c r="D8210" i="1"/>
  <c r="C8210" i="1"/>
  <c r="B8210" i="1"/>
  <c r="A8210" i="1"/>
  <c r="S8209" i="1"/>
  <c r="O8209" i="1"/>
  <c r="K8209" i="1"/>
  <c r="J8209" i="1"/>
  <c r="I8209" i="1"/>
  <c r="H8209" i="1"/>
  <c r="G8209" i="1"/>
  <c r="F8209" i="1"/>
  <c r="E8209" i="1"/>
  <c r="D8209" i="1"/>
  <c r="C8209" i="1"/>
  <c r="B8209" i="1"/>
  <c r="A8209" i="1"/>
  <c r="R8208" i="1"/>
  <c r="J8208" i="1"/>
  <c r="I8208" i="1"/>
  <c r="G8208" i="1"/>
  <c r="F8208" i="1"/>
  <c r="E8208" i="1"/>
  <c r="D8208" i="1"/>
  <c r="C8208" i="1"/>
  <c r="B8208" i="1"/>
  <c r="A8208" i="1"/>
  <c r="S8207" i="1"/>
  <c r="O8207" i="1"/>
  <c r="K8207" i="1"/>
  <c r="J8207" i="1"/>
  <c r="I8207" i="1"/>
  <c r="H8207" i="1"/>
  <c r="G8207" i="1"/>
  <c r="F8207" i="1"/>
  <c r="E8207" i="1"/>
  <c r="D8207" i="1"/>
  <c r="C8207" i="1"/>
  <c r="B8207" i="1"/>
  <c r="A8207" i="1"/>
  <c r="R8206" i="1"/>
  <c r="J8206" i="1"/>
  <c r="I8206" i="1"/>
  <c r="G8206" i="1"/>
  <c r="F8206" i="1"/>
  <c r="E8206" i="1"/>
  <c r="D8206" i="1"/>
  <c r="C8206" i="1"/>
  <c r="B8206" i="1"/>
  <c r="A8206" i="1"/>
  <c r="S8205" i="1"/>
  <c r="O8205" i="1"/>
  <c r="K8205" i="1"/>
  <c r="J8205" i="1"/>
  <c r="I8205" i="1"/>
  <c r="H8205" i="1"/>
  <c r="G8205" i="1"/>
  <c r="F8205" i="1"/>
  <c r="E8205" i="1"/>
  <c r="D8205" i="1"/>
  <c r="C8205" i="1"/>
  <c r="B8205" i="1"/>
  <c r="A8205" i="1"/>
  <c r="R8204" i="1"/>
  <c r="J8204" i="1"/>
  <c r="I8204" i="1"/>
  <c r="G8204" i="1"/>
  <c r="F8204" i="1"/>
  <c r="E8204" i="1"/>
  <c r="D8204" i="1"/>
  <c r="C8204" i="1"/>
  <c r="B8204" i="1"/>
  <c r="A8204" i="1"/>
  <c r="S8203" i="1"/>
  <c r="O8203" i="1"/>
  <c r="K8203" i="1"/>
  <c r="J8203" i="1"/>
  <c r="I8203" i="1"/>
  <c r="H8203" i="1"/>
  <c r="G8203" i="1"/>
  <c r="F8203" i="1"/>
  <c r="E8203" i="1"/>
  <c r="D8203" i="1"/>
  <c r="C8203" i="1"/>
  <c r="B8203" i="1"/>
  <c r="A8203" i="1"/>
  <c r="R8202" i="1"/>
  <c r="J8202" i="1"/>
  <c r="I8202" i="1"/>
  <c r="G8202" i="1"/>
  <c r="F8202" i="1"/>
  <c r="E8202" i="1"/>
  <c r="D8202" i="1"/>
  <c r="C8202" i="1"/>
  <c r="B8202" i="1"/>
  <c r="A8202" i="1"/>
  <c r="S8201" i="1"/>
  <c r="O8201" i="1"/>
  <c r="K8201" i="1"/>
  <c r="J8201" i="1"/>
  <c r="I8201" i="1"/>
  <c r="H8201" i="1"/>
  <c r="G8201" i="1"/>
  <c r="F8201" i="1"/>
  <c r="E8201" i="1"/>
  <c r="D8201" i="1"/>
  <c r="C8201" i="1"/>
  <c r="B8201" i="1"/>
  <c r="A8201" i="1"/>
  <c r="R8200" i="1"/>
  <c r="J8200" i="1"/>
  <c r="I8200" i="1"/>
  <c r="G8200" i="1"/>
  <c r="F8200" i="1"/>
  <c r="E8200" i="1"/>
  <c r="D8200" i="1"/>
  <c r="C8200" i="1"/>
  <c r="B8200" i="1"/>
  <c r="A8200" i="1"/>
  <c r="S8199" i="1"/>
  <c r="O8199" i="1"/>
  <c r="K8199" i="1"/>
  <c r="J8199" i="1"/>
  <c r="I8199" i="1"/>
  <c r="H8199" i="1"/>
  <c r="G8199" i="1"/>
  <c r="F8199" i="1"/>
  <c r="E8199" i="1"/>
  <c r="D8199" i="1"/>
  <c r="C8199" i="1"/>
  <c r="B8199" i="1"/>
  <c r="A8199" i="1"/>
  <c r="R8198" i="1"/>
  <c r="J8198" i="1"/>
  <c r="I8198" i="1"/>
  <c r="G8198" i="1"/>
  <c r="F8198" i="1"/>
  <c r="E8198" i="1"/>
  <c r="D8198" i="1"/>
  <c r="C8198" i="1"/>
  <c r="B8198" i="1"/>
  <c r="A8198" i="1"/>
  <c r="S8197" i="1"/>
  <c r="O8197" i="1"/>
  <c r="K8197" i="1"/>
  <c r="J8197" i="1"/>
  <c r="I8197" i="1"/>
  <c r="H8197" i="1"/>
  <c r="G8197" i="1"/>
  <c r="F8197" i="1"/>
  <c r="E8197" i="1"/>
  <c r="D8197" i="1"/>
  <c r="C8197" i="1"/>
  <c r="B8197" i="1"/>
  <c r="A8197" i="1"/>
  <c r="R8196" i="1"/>
  <c r="J8196" i="1"/>
  <c r="I8196" i="1"/>
  <c r="G8196" i="1"/>
  <c r="F8196" i="1"/>
  <c r="E8196" i="1"/>
  <c r="D8196" i="1"/>
  <c r="C8196" i="1"/>
  <c r="B8196" i="1"/>
  <c r="A8196" i="1"/>
  <c r="S8195" i="1"/>
  <c r="O8195" i="1"/>
  <c r="K8195" i="1"/>
  <c r="J8195" i="1"/>
  <c r="I8195" i="1"/>
  <c r="H8195" i="1"/>
  <c r="G8195" i="1"/>
  <c r="F8195" i="1"/>
  <c r="E8195" i="1"/>
  <c r="D8195" i="1"/>
  <c r="C8195" i="1"/>
  <c r="B8195" i="1"/>
  <c r="A8195" i="1"/>
  <c r="R8194" i="1"/>
  <c r="J8194" i="1"/>
  <c r="I8194" i="1"/>
  <c r="G8194" i="1"/>
  <c r="F8194" i="1"/>
  <c r="E8194" i="1"/>
  <c r="D8194" i="1"/>
  <c r="C8194" i="1"/>
  <c r="B8194" i="1"/>
  <c r="A8194" i="1"/>
  <c r="S8193" i="1"/>
  <c r="O8193" i="1"/>
  <c r="K8193" i="1"/>
  <c r="J8193" i="1"/>
  <c r="I8193" i="1"/>
  <c r="H8193" i="1"/>
  <c r="G8193" i="1"/>
  <c r="F8193" i="1"/>
  <c r="E8193" i="1"/>
  <c r="D8193" i="1"/>
  <c r="C8193" i="1"/>
  <c r="B8193" i="1"/>
  <c r="A8193" i="1"/>
  <c r="R8192" i="1"/>
  <c r="J8192" i="1"/>
  <c r="I8192" i="1"/>
  <c r="G8192" i="1"/>
  <c r="F8192" i="1"/>
  <c r="E8192" i="1"/>
  <c r="D8192" i="1"/>
  <c r="C8192" i="1"/>
  <c r="B8192" i="1"/>
  <c r="A8192" i="1"/>
  <c r="S8191" i="1"/>
  <c r="O8191" i="1"/>
  <c r="K8191" i="1"/>
  <c r="J8191" i="1"/>
  <c r="I8191" i="1"/>
  <c r="H8191" i="1"/>
  <c r="G8191" i="1"/>
  <c r="F8191" i="1"/>
  <c r="E8191" i="1"/>
  <c r="D8191" i="1"/>
  <c r="C8191" i="1"/>
  <c r="B8191" i="1"/>
  <c r="A8191" i="1"/>
  <c r="R8190" i="1"/>
  <c r="J8190" i="1"/>
  <c r="I8190" i="1"/>
  <c r="G8190" i="1"/>
  <c r="F8190" i="1"/>
  <c r="E8190" i="1"/>
  <c r="D8190" i="1"/>
  <c r="C8190" i="1"/>
  <c r="B8190" i="1"/>
  <c r="A8190" i="1"/>
  <c r="R8189" i="1"/>
  <c r="J8189" i="1"/>
  <c r="I8189" i="1"/>
  <c r="G8189" i="1"/>
  <c r="F8189" i="1"/>
  <c r="E8189" i="1"/>
  <c r="D8189" i="1"/>
  <c r="C8189" i="1"/>
  <c r="B8189" i="1"/>
  <c r="A8189" i="1"/>
  <c r="R8188" i="1"/>
  <c r="J8188" i="1"/>
  <c r="I8188" i="1"/>
  <c r="G8188" i="1"/>
  <c r="F8188" i="1"/>
  <c r="E8188" i="1"/>
  <c r="D8188" i="1"/>
  <c r="C8188" i="1"/>
  <c r="B8188" i="1"/>
  <c r="A8188" i="1"/>
  <c r="R8187" i="1"/>
  <c r="J8187" i="1"/>
  <c r="I8187" i="1"/>
  <c r="G8187" i="1"/>
  <c r="F8187" i="1"/>
  <c r="E8187" i="1"/>
  <c r="D8187" i="1"/>
  <c r="C8187" i="1"/>
  <c r="B8187" i="1"/>
  <c r="A8187" i="1"/>
  <c r="S8186" i="1"/>
  <c r="O8186" i="1"/>
  <c r="K8186" i="1"/>
  <c r="J8186" i="1"/>
  <c r="I8186" i="1"/>
  <c r="H8186" i="1"/>
  <c r="G8186" i="1"/>
  <c r="F8186" i="1"/>
  <c r="E8186" i="1"/>
  <c r="D8186" i="1"/>
  <c r="C8186" i="1"/>
  <c r="B8186" i="1"/>
  <c r="A8186" i="1"/>
  <c r="R8185" i="1"/>
  <c r="J8185" i="1"/>
  <c r="I8185" i="1"/>
  <c r="G8185" i="1"/>
  <c r="F8185" i="1"/>
  <c r="E8185" i="1"/>
  <c r="D8185" i="1"/>
  <c r="C8185" i="1"/>
  <c r="B8185" i="1"/>
  <c r="A8185" i="1"/>
  <c r="S8184" i="1"/>
  <c r="O8184" i="1"/>
  <c r="K8184" i="1"/>
  <c r="J8184" i="1"/>
  <c r="I8184" i="1"/>
  <c r="H8184" i="1"/>
  <c r="G8184" i="1"/>
  <c r="F8184" i="1"/>
  <c r="E8184" i="1"/>
  <c r="D8184" i="1"/>
  <c r="C8184" i="1"/>
  <c r="B8184" i="1"/>
  <c r="A8184" i="1"/>
  <c r="R8183" i="1"/>
  <c r="J8183" i="1"/>
  <c r="I8183" i="1"/>
  <c r="G8183" i="1"/>
  <c r="F8183" i="1"/>
  <c r="E8183" i="1"/>
  <c r="D8183" i="1"/>
  <c r="C8183" i="1"/>
  <c r="B8183" i="1"/>
  <c r="A8183" i="1"/>
  <c r="S8182" i="1"/>
  <c r="O8182" i="1"/>
  <c r="K8182" i="1"/>
  <c r="J8182" i="1"/>
  <c r="I8182" i="1"/>
  <c r="H8182" i="1"/>
  <c r="G8182" i="1"/>
  <c r="F8182" i="1"/>
  <c r="E8182" i="1"/>
  <c r="D8182" i="1"/>
  <c r="C8182" i="1"/>
  <c r="B8182" i="1"/>
  <c r="A8182" i="1"/>
  <c r="R8181" i="1"/>
  <c r="J8181" i="1"/>
  <c r="I8181" i="1"/>
  <c r="G8181" i="1"/>
  <c r="F8181" i="1"/>
  <c r="E8181" i="1"/>
  <c r="D8181" i="1"/>
  <c r="C8181" i="1"/>
  <c r="B8181" i="1"/>
  <c r="A8181" i="1"/>
  <c r="S8180" i="1"/>
  <c r="O8180" i="1"/>
  <c r="K8180" i="1"/>
  <c r="J8180" i="1"/>
  <c r="I8180" i="1"/>
  <c r="H8180" i="1"/>
  <c r="G8180" i="1"/>
  <c r="F8180" i="1"/>
  <c r="E8180" i="1"/>
  <c r="D8180" i="1"/>
  <c r="C8180" i="1"/>
  <c r="B8180" i="1"/>
  <c r="A8180" i="1"/>
  <c r="R8179" i="1"/>
  <c r="J8179" i="1"/>
  <c r="I8179" i="1"/>
  <c r="G8179" i="1"/>
  <c r="F8179" i="1"/>
  <c r="E8179" i="1"/>
  <c r="D8179" i="1"/>
  <c r="C8179" i="1"/>
  <c r="B8179" i="1"/>
  <c r="A8179" i="1"/>
  <c r="S8178" i="1"/>
  <c r="O8178" i="1"/>
  <c r="K8178" i="1"/>
  <c r="J8178" i="1"/>
  <c r="I8178" i="1"/>
  <c r="H8178" i="1"/>
  <c r="G8178" i="1"/>
  <c r="F8178" i="1"/>
  <c r="E8178" i="1"/>
  <c r="D8178" i="1"/>
  <c r="C8178" i="1"/>
  <c r="B8178" i="1"/>
  <c r="A8178" i="1"/>
  <c r="R8177" i="1"/>
  <c r="J8177" i="1"/>
  <c r="I8177" i="1"/>
  <c r="G8177" i="1"/>
  <c r="F8177" i="1"/>
  <c r="E8177" i="1"/>
  <c r="D8177" i="1"/>
  <c r="C8177" i="1"/>
  <c r="B8177" i="1"/>
  <c r="A8177" i="1"/>
  <c r="S8176" i="1"/>
  <c r="O8176" i="1"/>
  <c r="K8176" i="1"/>
  <c r="J8176" i="1"/>
  <c r="I8176" i="1"/>
  <c r="H8176" i="1"/>
  <c r="G8176" i="1"/>
  <c r="F8176" i="1"/>
  <c r="E8176" i="1"/>
  <c r="D8176" i="1"/>
  <c r="C8176" i="1"/>
  <c r="B8176" i="1"/>
  <c r="A8176" i="1"/>
  <c r="R8175" i="1"/>
  <c r="J8175" i="1"/>
  <c r="I8175" i="1"/>
  <c r="G8175" i="1"/>
  <c r="F8175" i="1"/>
  <c r="E8175" i="1"/>
  <c r="D8175" i="1"/>
  <c r="C8175" i="1"/>
  <c r="B8175" i="1"/>
  <c r="A8175" i="1"/>
  <c r="R8174" i="1"/>
  <c r="J8174" i="1"/>
  <c r="I8174" i="1"/>
  <c r="G8174" i="1"/>
  <c r="F8174" i="1"/>
  <c r="E8174" i="1"/>
  <c r="D8174" i="1"/>
  <c r="C8174" i="1"/>
  <c r="B8174" i="1"/>
  <c r="A8174" i="1"/>
  <c r="R8173" i="1"/>
  <c r="J8173" i="1"/>
  <c r="I8173" i="1"/>
  <c r="G8173" i="1"/>
  <c r="F8173" i="1"/>
  <c r="E8173" i="1"/>
  <c r="D8173" i="1"/>
  <c r="C8173" i="1"/>
  <c r="B8173" i="1"/>
  <c r="A8173" i="1"/>
  <c r="S8172" i="1"/>
  <c r="O8172" i="1"/>
  <c r="K8172" i="1"/>
  <c r="J8172" i="1"/>
  <c r="I8172" i="1"/>
  <c r="H8172" i="1"/>
  <c r="G8172" i="1"/>
  <c r="F8172" i="1"/>
  <c r="E8172" i="1"/>
  <c r="D8172" i="1"/>
  <c r="C8172" i="1"/>
  <c r="B8172" i="1"/>
  <c r="A8172" i="1"/>
  <c r="R8171" i="1"/>
  <c r="J8171" i="1"/>
  <c r="I8171" i="1"/>
  <c r="G8171" i="1"/>
  <c r="F8171" i="1"/>
  <c r="E8171" i="1"/>
  <c r="D8171" i="1"/>
  <c r="C8171" i="1"/>
  <c r="B8171" i="1"/>
  <c r="A8171" i="1"/>
  <c r="S8170" i="1"/>
  <c r="O8170" i="1"/>
  <c r="K8170" i="1"/>
  <c r="J8170" i="1"/>
  <c r="I8170" i="1"/>
  <c r="H8170" i="1"/>
  <c r="G8170" i="1"/>
  <c r="F8170" i="1"/>
  <c r="E8170" i="1"/>
  <c r="D8170" i="1"/>
  <c r="C8170" i="1"/>
  <c r="B8170" i="1"/>
  <c r="A8170" i="1"/>
  <c r="R8169" i="1"/>
  <c r="J8169" i="1"/>
  <c r="I8169" i="1"/>
  <c r="G8169" i="1"/>
  <c r="F8169" i="1"/>
  <c r="E8169" i="1"/>
  <c r="D8169" i="1"/>
  <c r="C8169" i="1"/>
  <c r="B8169" i="1"/>
  <c r="A8169" i="1"/>
  <c r="S8168" i="1"/>
  <c r="O8168" i="1"/>
  <c r="K8168" i="1"/>
  <c r="J8168" i="1"/>
  <c r="I8168" i="1"/>
  <c r="H8168" i="1"/>
  <c r="G8168" i="1"/>
  <c r="F8168" i="1"/>
  <c r="E8168" i="1"/>
  <c r="D8168" i="1"/>
  <c r="C8168" i="1"/>
  <c r="B8168" i="1"/>
  <c r="A8168" i="1"/>
  <c r="R8167" i="1"/>
  <c r="J8167" i="1"/>
  <c r="I8167" i="1"/>
  <c r="G8167" i="1"/>
  <c r="F8167" i="1"/>
  <c r="E8167" i="1"/>
  <c r="D8167" i="1"/>
  <c r="C8167" i="1"/>
  <c r="B8167" i="1"/>
  <c r="A8167" i="1"/>
  <c r="S8166" i="1"/>
  <c r="O8166" i="1"/>
  <c r="K8166" i="1"/>
  <c r="J8166" i="1"/>
  <c r="I8166" i="1"/>
  <c r="H8166" i="1"/>
  <c r="G8166" i="1"/>
  <c r="F8166" i="1"/>
  <c r="E8166" i="1"/>
  <c r="D8166" i="1"/>
  <c r="C8166" i="1"/>
  <c r="B8166" i="1"/>
  <c r="A8166" i="1"/>
  <c r="R8165" i="1"/>
  <c r="J8165" i="1"/>
  <c r="I8165" i="1"/>
  <c r="G8165" i="1"/>
  <c r="F8165" i="1"/>
  <c r="E8165" i="1"/>
  <c r="D8165" i="1"/>
  <c r="C8165" i="1"/>
  <c r="B8165" i="1"/>
  <c r="A8165" i="1"/>
  <c r="R8164" i="1"/>
  <c r="J8164" i="1"/>
  <c r="I8164" i="1"/>
  <c r="G8164" i="1"/>
  <c r="F8164" i="1"/>
  <c r="E8164" i="1"/>
  <c r="D8164" i="1"/>
  <c r="C8164" i="1"/>
  <c r="B8164" i="1"/>
  <c r="A8164" i="1"/>
  <c r="S8163" i="1"/>
  <c r="O8163" i="1"/>
  <c r="K8163" i="1"/>
  <c r="J8163" i="1"/>
  <c r="I8163" i="1"/>
  <c r="H8163" i="1"/>
  <c r="G8163" i="1"/>
  <c r="F8163" i="1"/>
  <c r="E8163" i="1"/>
  <c r="D8163" i="1"/>
  <c r="C8163" i="1"/>
  <c r="B8163" i="1"/>
  <c r="A8163" i="1"/>
  <c r="R8162" i="1"/>
  <c r="J8162" i="1"/>
  <c r="I8162" i="1"/>
  <c r="G8162" i="1"/>
  <c r="F8162" i="1"/>
  <c r="E8162" i="1"/>
  <c r="D8162" i="1"/>
  <c r="C8162" i="1"/>
  <c r="B8162" i="1"/>
  <c r="A8162" i="1"/>
  <c r="S8161" i="1"/>
  <c r="O8161" i="1"/>
  <c r="K8161" i="1"/>
  <c r="J8161" i="1"/>
  <c r="I8161" i="1"/>
  <c r="H8161" i="1"/>
  <c r="G8161" i="1"/>
  <c r="F8161" i="1"/>
  <c r="E8161" i="1"/>
  <c r="D8161" i="1"/>
  <c r="C8161" i="1"/>
  <c r="B8161" i="1"/>
  <c r="A8161" i="1"/>
  <c r="R8160" i="1"/>
  <c r="J8160" i="1"/>
  <c r="I8160" i="1"/>
  <c r="G8160" i="1"/>
  <c r="F8160" i="1"/>
  <c r="E8160" i="1"/>
  <c r="D8160" i="1"/>
  <c r="C8160" i="1"/>
  <c r="B8160" i="1"/>
  <c r="A8160" i="1"/>
  <c r="S8159" i="1"/>
  <c r="O8159" i="1"/>
  <c r="K8159" i="1"/>
  <c r="J8159" i="1"/>
  <c r="I8159" i="1"/>
  <c r="H8159" i="1"/>
  <c r="G8159" i="1"/>
  <c r="F8159" i="1"/>
  <c r="E8159" i="1"/>
  <c r="D8159" i="1"/>
  <c r="C8159" i="1"/>
  <c r="B8159" i="1"/>
  <c r="A8159" i="1"/>
  <c r="R8158" i="1"/>
  <c r="J8158" i="1"/>
  <c r="I8158" i="1"/>
  <c r="G8158" i="1"/>
  <c r="F8158" i="1"/>
  <c r="E8158" i="1"/>
  <c r="D8158" i="1"/>
  <c r="C8158" i="1"/>
  <c r="B8158" i="1"/>
  <c r="A8158" i="1"/>
  <c r="S8157" i="1"/>
  <c r="O8157" i="1"/>
  <c r="K8157" i="1"/>
  <c r="J8157" i="1"/>
  <c r="I8157" i="1"/>
  <c r="H8157" i="1"/>
  <c r="G8157" i="1"/>
  <c r="F8157" i="1"/>
  <c r="E8157" i="1"/>
  <c r="D8157" i="1"/>
  <c r="C8157" i="1"/>
  <c r="B8157" i="1"/>
  <c r="A8157" i="1"/>
  <c r="R8156" i="1"/>
  <c r="J8156" i="1"/>
  <c r="I8156" i="1"/>
  <c r="G8156" i="1"/>
  <c r="F8156" i="1"/>
  <c r="E8156" i="1"/>
  <c r="D8156" i="1"/>
  <c r="C8156" i="1"/>
  <c r="B8156" i="1"/>
  <c r="A8156" i="1"/>
  <c r="S8155" i="1"/>
  <c r="O8155" i="1"/>
  <c r="K8155" i="1"/>
  <c r="J8155" i="1"/>
  <c r="I8155" i="1"/>
  <c r="H8155" i="1"/>
  <c r="G8155" i="1"/>
  <c r="F8155" i="1"/>
  <c r="E8155" i="1"/>
  <c r="D8155" i="1"/>
  <c r="C8155" i="1"/>
  <c r="B8155" i="1"/>
  <c r="A8155" i="1"/>
  <c r="R8154" i="1"/>
  <c r="J8154" i="1"/>
  <c r="I8154" i="1"/>
  <c r="G8154" i="1"/>
  <c r="F8154" i="1"/>
  <c r="E8154" i="1"/>
  <c r="D8154" i="1"/>
  <c r="C8154" i="1"/>
  <c r="B8154" i="1"/>
  <c r="A8154" i="1"/>
  <c r="S8153" i="1"/>
  <c r="O8153" i="1"/>
  <c r="K8153" i="1"/>
  <c r="J8153" i="1"/>
  <c r="I8153" i="1"/>
  <c r="H8153" i="1"/>
  <c r="G8153" i="1"/>
  <c r="F8153" i="1"/>
  <c r="E8153" i="1"/>
  <c r="D8153" i="1"/>
  <c r="C8153" i="1"/>
  <c r="B8153" i="1"/>
  <c r="A8153" i="1"/>
  <c r="R8152" i="1"/>
  <c r="J8152" i="1"/>
  <c r="I8152" i="1"/>
  <c r="G8152" i="1"/>
  <c r="F8152" i="1"/>
  <c r="E8152" i="1"/>
  <c r="D8152" i="1"/>
  <c r="C8152" i="1"/>
  <c r="B8152" i="1"/>
  <c r="A8152" i="1"/>
  <c r="S8151" i="1"/>
  <c r="O8151" i="1"/>
  <c r="K8151" i="1"/>
  <c r="J8151" i="1"/>
  <c r="I8151" i="1"/>
  <c r="H8151" i="1"/>
  <c r="G8151" i="1"/>
  <c r="F8151" i="1"/>
  <c r="E8151" i="1"/>
  <c r="D8151" i="1"/>
  <c r="C8151" i="1"/>
  <c r="B8151" i="1"/>
  <c r="A8151" i="1"/>
  <c r="R8150" i="1"/>
  <c r="J8150" i="1"/>
  <c r="I8150" i="1"/>
  <c r="G8150" i="1"/>
  <c r="F8150" i="1"/>
  <c r="E8150" i="1"/>
  <c r="D8150" i="1"/>
  <c r="C8150" i="1"/>
  <c r="B8150" i="1"/>
  <c r="A8150" i="1"/>
  <c r="R8149" i="1"/>
  <c r="J8149" i="1"/>
  <c r="I8149" i="1"/>
  <c r="G8149" i="1"/>
  <c r="F8149" i="1"/>
  <c r="E8149" i="1"/>
  <c r="D8149" i="1"/>
  <c r="C8149" i="1"/>
  <c r="B8149" i="1"/>
  <c r="A8149" i="1"/>
  <c r="R8148" i="1"/>
  <c r="J8148" i="1"/>
  <c r="I8148" i="1"/>
  <c r="G8148" i="1"/>
  <c r="F8148" i="1"/>
  <c r="E8148" i="1"/>
  <c r="D8148" i="1"/>
  <c r="C8148" i="1"/>
  <c r="B8148" i="1"/>
  <c r="A8148" i="1"/>
  <c r="S8147" i="1"/>
  <c r="O8147" i="1"/>
  <c r="K8147" i="1"/>
  <c r="J8147" i="1"/>
  <c r="I8147" i="1"/>
  <c r="H8147" i="1"/>
  <c r="G8147" i="1"/>
  <c r="F8147" i="1"/>
  <c r="E8147" i="1"/>
  <c r="D8147" i="1"/>
  <c r="C8147" i="1"/>
  <c r="B8147" i="1"/>
  <c r="A8147" i="1"/>
  <c r="R8146" i="1"/>
  <c r="J8146" i="1"/>
  <c r="I8146" i="1"/>
  <c r="G8146" i="1"/>
  <c r="F8146" i="1"/>
  <c r="E8146" i="1"/>
  <c r="D8146" i="1"/>
  <c r="C8146" i="1"/>
  <c r="B8146" i="1"/>
  <c r="A8146" i="1"/>
  <c r="S8145" i="1"/>
  <c r="O8145" i="1"/>
  <c r="K8145" i="1"/>
  <c r="J8145" i="1"/>
  <c r="I8145" i="1"/>
  <c r="H8145" i="1"/>
  <c r="G8145" i="1"/>
  <c r="F8145" i="1"/>
  <c r="E8145" i="1"/>
  <c r="D8145" i="1"/>
  <c r="C8145" i="1"/>
  <c r="B8145" i="1"/>
  <c r="A8145" i="1"/>
  <c r="R8144" i="1"/>
  <c r="J8144" i="1"/>
  <c r="I8144" i="1"/>
  <c r="G8144" i="1"/>
  <c r="F8144" i="1"/>
  <c r="E8144" i="1"/>
  <c r="D8144" i="1"/>
  <c r="C8144" i="1"/>
  <c r="B8144" i="1"/>
  <c r="A8144" i="1"/>
  <c r="S8143" i="1"/>
  <c r="O8143" i="1"/>
  <c r="K8143" i="1"/>
  <c r="J8143" i="1"/>
  <c r="I8143" i="1"/>
  <c r="H8143" i="1"/>
  <c r="G8143" i="1"/>
  <c r="F8143" i="1"/>
  <c r="E8143" i="1"/>
  <c r="D8143" i="1"/>
  <c r="C8143" i="1"/>
  <c r="B8143" i="1"/>
  <c r="A8143" i="1"/>
  <c r="R8142" i="1"/>
  <c r="J8142" i="1"/>
  <c r="I8142" i="1"/>
  <c r="G8142" i="1"/>
  <c r="F8142" i="1"/>
  <c r="E8142" i="1"/>
  <c r="D8142" i="1"/>
  <c r="C8142" i="1"/>
  <c r="B8142" i="1"/>
  <c r="A8142" i="1"/>
  <c r="S8141" i="1"/>
  <c r="O8141" i="1"/>
  <c r="K8141" i="1"/>
  <c r="J8141" i="1"/>
  <c r="I8141" i="1"/>
  <c r="H8141" i="1"/>
  <c r="G8141" i="1"/>
  <c r="F8141" i="1"/>
  <c r="E8141" i="1"/>
  <c r="D8141" i="1"/>
  <c r="C8141" i="1"/>
  <c r="B8141" i="1"/>
  <c r="A8141" i="1"/>
  <c r="R8140" i="1"/>
  <c r="J8140" i="1"/>
  <c r="I8140" i="1"/>
  <c r="G8140" i="1"/>
  <c r="F8140" i="1"/>
  <c r="E8140" i="1"/>
  <c r="D8140" i="1"/>
  <c r="C8140" i="1"/>
  <c r="B8140" i="1"/>
  <c r="A8140" i="1"/>
  <c r="S8139" i="1"/>
  <c r="O8139" i="1"/>
  <c r="K8139" i="1"/>
  <c r="J8139" i="1"/>
  <c r="I8139" i="1"/>
  <c r="H8139" i="1"/>
  <c r="G8139" i="1"/>
  <c r="F8139" i="1"/>
  <c r="E8139" i="1"/>
  <c r="D8139" i="1"/>
  <c r="C8139" i="1"/>
  <c r="B8139" i="1"/>
  <c r="A8139" i="1"/>
  <c r="R8138" i="1"/>
  <c r="J8138" i="1"/>
  <c r="I8138" i="1"/>
  <c r="G8138" i="1"/>
  <c r="F8138" i="1"/>
  <c r="E8138" i="1"/>
  <c r="D8138" i="1"/>
  <c r="C8138" i="1"/>
  <c r="B8138" i="1"/>
  <c r="A8138" i="1"/>
  <c r="S8137" i="1"/>
  <c r="O8137" i="1"/>
  <c r="K8137" i="1"/>
  <c r="J8137" i="1"/>
  <c r="I8137" i="1"/>
  <c r="H8137" i="1"/>
  <c r="G8137" i="1"/>
  <c r="F8137" i="1"/>
  <c r="E8137" i="1"/>
  <c r="D8137" i="1"/>
  <c r="C8137" i="1"/>
  <c r="B8137" i="1"/>
  <c r="A8137" i="1"/>
  <c r="R8136" i="1"/>
  <c r="J8136" i="1"/>
  <c r="I8136" i="1"/>
  <c r="G8136" i="1"/>
  <c r="F8136" i="1"/>
  <c r="E8136" i="1"/>
  <c r="D8136" i="1"/>
  <c r="C8136" i="1"/>
  <c r="B8136" i="1"/>
  <c r="A8136" i="1"/>
  <c r="S8135" i="1"/>
  <c r="O8135" i="1"/>
  <c r="K8135" i="1"/>
  <c r="J8135" i="1"/>
  <c r="I8135" i="1"/>
  <c r="H8135" i="1"/>
  <c r="G8135" i="1"/>
  <c r="F8135" i="1"/>
  <c r="E8135" i="1"/>
  <c r="D8135" i="1"/>
  <c r="C8135" i="1"/>
  <c r="B8135" i="1"/>
  <c r="A8135" i="1"/>
  <c r="R8134" i="1"/>
  <c r="J8134" i="1"/>
  <c r="I8134" i="1"/>
  <c r="G8134" i="1"/>
  <c r="F8134" i="1"/>
  <c r="E8134" i="1"/>
  <c r="D8134" i="1"/>
  <c r="C8134" i="1"/>
  <c r="B8134" i="1"/>
  <c r="A8134" i="1"/>
  <c r="S8133" i="1"/>
  <c r="O8133" i="1"/>
  <c r="K8133" i="1"/>
  <c r="J8133" i="1"/>
  <c r="I8133" i="1"/>
  <c r="H8133" i="1"/>
  <c r="G8133" i="1"/>
  <c r="F8133" i="1"/>
  <c r="E8133" i="1"/>
  <c r="D8133" i="1"/>
  <c r="C8133" i="1"/>
  <c r="B8133" i="1"/>
  <c r="A8133" i="1"/>
  <c r="R8132" i="1"/>
  <c r="J8132" i="1"/>
  <c r="I8132" i="1"/>
  <c r="G8132" i="1"/>
  <c r="F8132" i="1"/>
  <c r="E8132" i="1"/>
  <c r="D8132" i="1"/>
  <c r="C8132" i="1"/>
  <c r="B8132" i="1"/>
  <c r="A8132" i="1"/>
  <c r="S8131" i="1"/>
  <c r="O8131" i="1"/>
  <c r="K8131" i="1"/>
  <c r="J8131" i="1"/>
  <c r="I8131" i="1"/>
  <c r="H8131" i="1"/>
  <c r="G8131" i="1"/>
  <c r="F8131" i="1"/>
  <c r="E8131" i="1"/>
  <c r="D8131" i="1"/>
  <c r="C8131" i="1"/>
  <c r="B8131" i="1"/>
  <c r="A8131" i="1"/>
  <c r="R8130" i="1"/>
  <c r="J8130" i="1"/>
  <c r="I8130" i="1"/>
  <c r="G8130" i="1"/>
  <c r="F8130" i="1"/>
  <c r="E8130" i="1"/>
  <c r="D8130" i="1"/>
  <c r="C8130" i="1"/>
  <c r="B8130" i="1"/>
  <c r="A8130" i="1"/>
  <c r="S8129" i="1"/>
  <c r="O8129" i="1"/>
  <c r="K8129" i="1"/>
  <c r="J8129" i="1"/>
  <c r="I8129" i="1"/>
  <c r="H8129" i="1"/>
  <c r="G8129" i="1"/>
  <c r="F8129" i="1"/>
  <c r="E8129" i="1"/>
  <c r="D8129" i="1"/>
  <c r="C8129" i="1"/>
  <c r="B8129" i="1"/>
  <c r="A8129" i="1"/>
  <c r="R8128" i="1"/>
  <c r="J8128" i="1"/>
  <c r="I8128" i="1"/>
  <c r="G8128" i="1"/>
  <c r="F8128" i="1"/>
  <c r="E8128" i="1"/>
  <c r="D8128" i="1"/>
  <c r="C8128" i="1"/>
  <c r="B8128" i="1"/>
  <c r="A8128" i="1"/>
  <c r="S8127" i="1"/>
  <c r="O8127" i="1"/>
  <c r="K8127" i="1"/>
  <c r="J8127" i="1"/>
  <c r="I8127" i="1"/>
  <c r="H8127" i="1"/>
  <c r="G8127" i="1"/>
  <c r="F8127" i="1"/>
  <c r="E8127" i="1"/>
  <c r="D8127" i="1"/>
  <c r="C8127" i="1"/>
  <c r="B8127" i="1"/>
  <c r="A8127" i="1"/>
  <c r="R8126" i="1"/>
  <c r="J8126" i="1"/>
  <c r="I8126" i="1"/>
  <c r="G8126" i="1"/>
  <c r="F8126" i="1"/>
  <c r="E8126" i="1"/>
  <c r="D8126" i="1"/>
  <c r="C8126" i="1"/>
  <c r="B8126" i="1"/>
  <c r="A8126" i="1"/>
  <c r="S8125" i="1"/>
  <c r="O8125" i="1"/>
  <c r="K8125" i="1"/>
  <c r="J8125" i="1"/>
  <c r="I8125" i="1"/>
  <c r="H8125" i="1"/>
  <c r="G8125" i="1"/>
  <c r="F8125" i="1"/>
  <c r="E8125" i="1"/>
  <c r="D8125" i="1"/>
  <c r="C8125" i="1"/>
  <c r="B8125" i="1"/>
  <c r="A8125" i="1"/>
  <c r="R8124" i="1"/>
  <c r="J8124" i="1"/>
  <c r="I8124" i="1"/>
  <c r="G8124" i="1"/>
  <c r="F8124" i="1"/>
  <c r="E8124" i="1"/>
  <c r="D8124" i="1"/>
  <c r="C8124" i="1"/>
  <c r="B8124" i="1"/>
  <c r="A8124" i="1"/>
  <c r="R8123" i="1"/>
  <c r="J8123" i="1"/>
  <c r="I8123" i="1"/>
  <c r="G8123" i="1"/>
  <c r="F8123" i="1"/>
  <c r="E8123" i="1"/>
  <c r="D8123" i="1"/>
  <c r="C8123" i="1"/>
  <c r="B8123" i="1"/>
  <c r="A8123" i="1"/>
  <c r="S8122" i="1"/>
  <c r="O8122" i="1"/>
  <c r="K8122" i="1"/>
  <c r="J8122" i="1"/>
  <c r="I8122" i="1"/>
  <c r="H8122" i="1"/>
  <c r="G8122" i="1"/>
  <c r="F8122" i="1"/>
  <c r="E8122" i="1"/>
  <c r="D8122" i="1"/>
  <c r="C8122" i="1"/>
  <c r="B8122" i="1"/>
  <c r="A8122" i="1"/>
  <c r="R8121" i="1"/>
  <c r="J8121" i="1"/>
  <c r="I8121" i="1"/>
  <c r="G8121" i="1"/>
  <c r="F8121" i="1"/>
  <c r="E8121" i="1"/>
  <c r="D8121" i="1"/>
  <c r="C8121" i="1"/>
  <c r="B8121" i="1"/>
  <c r="A8121" i="1"/>
  <c r="R8120" i="1"/>
  <c r="J8120" i="1"/>
  <c r="I8120" i="1"/>
  <c r="G8120" i="1"/>
  <c r="F8120" i="1"/>
  <c r="E8120" i="1"/>
  <c r="D8120" i="1"/>
  <c r="C8120" i="1"/>
  <c r="B8120" i="1"/>
  <c r="A8120" i="1"/>
  <c r="S8119" i="1"/>
  <c r="O8119" i="1"/>
  <c r="K8119" i="1"/>
  <c r="J8119" i="1"/>
  <c r="I8119" i="1"/>
  <c r="H8119" i="1"/>
  <c r="G8119" i="1"/>
  <c r="F8119" i="1"/>
  <c r="E8119" i="1"/>
  <c r="D8119" i="1"/>
  <c r="C8119" i="1"/>
  <c r="B8119" i="1"/>
  <c r="A8119" i="1"/>
  <c r="R8118" i="1"/>
  <c r="J8118" i="1"/>
  <c r="I8118" i="1"/>
  <c r="G8118" i="1"/>
  <c r="F8118" i="1"/>
  <c r="E8118" i="1"/>
  <c r="D8118" i="1"/>
  <c r="C8118" i="1"/>
  <c r="B8118" i="1"/>
  <c r="A8118" i="1"/>
  <c r="S8117" i="1"/>
  <c r="O8117" i="1"/>
  <c r="K8117" i="1"/>
  <c r="J8117" i="1"/>
  <c r="I8117" i="1"/>
  <c r="H8117" i="1"/>
  <c r="G8117" i="1"/>
  <c r="F8117" i="1"/>
  <c r="E8117" i="1"/>
  <c r="D8117" i="1"/>
  <c r="C8117" i="1"/>
  <c r="B8117" i="1"/>
  <c r="A8117" i="1"/>
  <c r="R8116" i="1"/>
  <c r="J8116" i="1"/>
  <c r="I8116" i="1"/>
  <c r="G8116" i="1"/>
  <c r="F8116" i="1"/>
  <c r="E8116" i="1"/>
  <c r="D8116" i="1"/>
  <c r="C8116" i="1"/>
  <c r="B8116" i="1"/>
  <c r="A8116" i="1"/>
  <c r="S8115" i="1"/>
  <c r="O8115" i="1"/>
  <c r="K8115" i="1"/>
  <c r="J8115" i="1"/>
  <c r="I8115" i="1"/>
  <c r="H8115" i="1"/>
  <c r="G8115" i="1"/>
  <c r="F8115" i="1"/>
  <c r="E8115" i="1"/>
  <c r="D8115" i="1"/>
  <c r="C8115" i="1"/>
  <c r="B8115" i="1"/>
  <c r="A8115" i="1"/>
  <c r="R8114" i="1"/>
  <c r="J8114" i="1"/>
  <c r="I8114" i="1"/>
  <c r="G8114" i="1"/>
  <c r="F8114" i="1"/>
  <c r="E8114" i="1"/>
  <c r="D8114" i="1"/>
  <c r="C8114" i="1"/>
  <c r="B8114" i="1"/>
  <c r="A8114" i="1"/>
  <c r="R8113" i="1"/>
  <c r="J8113" i="1"/>
  <c r="I8113" i="1"/>
  <c r="G8113" i="1"/>
  <c r="F8113" i="1"/>
  <c r="E8113" i="1"/>
  <c r="D8113" i="1"/>
  <c r="C8113" i="1"/>
  <c r="B8113" i="1"/>
  <c r="A8113" i="1"/>
  <c r="S8112" i="1"/>
  <c r="O8112" i="1"/>
  <c r="K8112" i="1"/>
  <c r="J8112" i="1"/>
  <c r="I8112" i="1"/>
  <c r="H8112" i="1"/>
  <c r="G8112" i="1"/>
  <c r="F8112" i="1"/>
  <c r="E8112" i="1"/>
  <c r="D8112" i="1"/>
  <c r="C8112" i="1"/>
  <c r="B8112" i="1"/>
  <c r="A8112" i="1"/>
  <c r="R8111" i="1"/>
  <c r="J8111" i="1"/>
  <c r="I8111" i="1"/>
  <c r="G8111" i="1"/>
  <c r="F8111" i="1"/>
  <c r="E8111" i="1"/>
  <c r="D8111" i="1"/>
  <c r="C8111" i="1"/>
  <c r="B8111" i="1"/>
  <c r="A8111" i="1"/>
  <c r="S8110" i="1"/>
  <c r="O8110" i="1"/>
  <c r="K8110" i="1"/>
  <c r="J8110" i="1"/>
  <c r="I8110" i="1"/>
  <c r="H8110" i="1"/>
  <c r="G8110" i="1"/>
  <c r="F8110" i="1"/>
  <c r="E8110" i="1"/>
  <c r="D8110" i="1"/>
  <c r="C8110" i="1"/>
  <c r="B8110" i="1"/>
  <c r="A8110" i="1"/>
  <c r="R8109" i="1"/>
  <c r="J8109" i="1"/>
  <c r="I8109" i="1"/>
  <c r="G8109" i="1"/>
  <c r="F8109" i="1"/>
  <c r="E8109" i="1"/>
  <c r="D8109" i="1"/>
  <c r="C8109" i="1"/>
  <c r="B8109" i="1"/>
  <c r="A8109" i="1"/>
  <c r="S8108" i="1"/>
  <c r="O8108" i="1"/>
  <c r="K8108" i="1"/>
  <c r="J8108" i="1"/>
  <c r="I8108" i="1"/>
  <c r="H8108" i="1"/>
  <c r="G8108" i="1"/>
  <c r="F8108" i="1"/>
  <c r="E8108" i="1"/>
  <c r="D8108" i="1"/>
  <c r="C8108" i="1"/>
  <c r="B8108" i="1"/>
  <c r="A8108" i="1"/>
  <c r="R8107" i="1"/>
  <c r="J8107" i="1"/>
  <c r="I8107" i="1"/>
  <c r="G8107" i="1"/>
  <c r="F8107" i="1"/>
  <c r="E8107" i="1"/>
  <c r="D8107" i="1"/>
  <c r="C8107" i="1"/>
  <c r="B8107" i="1"/>
  <c r="A8107" i="1"/>
  <c r="R8106" i="1"/>
  <c r="J8106" i="1"/>
  <c r="I8106" i="1"/>
  <c r="G8106" i="1"/>
  <c r="F8106" i="1"/>
  <c r="E8106" i="1"/>
  <c r="D8106" i="1"/>
  <c r="C8106" i="1"/>
  <c r="B8106" i="1"/>
  <c r="A8106" i="1"/>
  <c r="S8105" i="1"/>
  <c r="O8105" i="1"/>
  <c r="K8105" i="1"/>
  <c r="J8105" i="1"/>
  <c r="I8105" i="1"/>
  <c r="H8105" i="1"/>
  <c r="G8105" i="1"/>
  <c r="F8105" i="1"/>
  <c r="E8105" i="1"/>
  <c r="D8105" i="1"/>
  <c r="C8105" i="1"/>
  <c r="B8105" i="1"/>
  <c r="A8105" i="1"/>
  <c r="R8104" i="1"/>
  <c r="J8104" i="1"/>
  <c r="I8104" i="1"/>
  <c r="G8104" i="1"/>
  <c r="F8104" i="1"/>
  <c r="E8104" i="1"/>
  <c r="D8104" i="1"/>
  <c r="C8104" i="1"/>
  <c r="B8104" i="1"/>
  <c r="A8104" i="1"/>
  <c r="S8103" i="1"/>
  <c r="O8103" i="1"/>
  <c r="K8103" i="1"/>
  <c r="J8103" i="1"/>
  <c r="I8103" i="1"/>
  <c r="H8103" i="1"/>
  <c r="G8103" i="1"/>
  <c r="F8103" i="1"/>
  <c r="E8103" i="1"/>
  <c r="D8103" i="1"/>
  <c r="C8103" i="1"/>
  <c r="B8103" i="1"/>
  <c r="A8103" i="1"/>
  <c r="R8102" i="1"/>
  <c r="J8102" i="1"/>
  <c r="I8102" i="1"/>
  <c r="G8102" i="1"/>
  <c r="F8102" i="1"/>
  <c r="E8102" i="1"/>
  <c r="D8102" i="1"/>
  <c r="C8102" i="1"/>
  <c r="B8102" i="1"/>
  <c r="A8102" i="1"/>
  <c r="S8101" i="1"/>
  <c r="O8101" i="1"/>
  <c r="K8101" i="1"/>
  <c r="J8101" i="1"/>
  <c r="I8101" i="1"/>
  <c r="H8101" i="1"/>
  <c r="G8101" i="1"/>
  <c r="F8101" i="1"/>
  <c r="E8101" i="1"/>
  <c r="D8101" i="1"/>
  <c r="C8101" i="1"/>
  <c r="B8101" i="1"/>
  <c r="A8101" i="1"/>
  <c r="R8100" i="1"/>
  <c r="J8100" i="1"/>
  <c r="I8100" i="1"/>
  <c r="G8100" i="1"/>
  <c r="F8100" i="1"/>
  <c r="E8100" i="1"/>
  <c r="D8100" i="1"/>
  <c r="C8100" i="1"/>
  <c r="B8100" i="1"/>
  <c r="A8100" i="1"/>
  <c r="S8099" i="1"/>
  <c r="O8099" i="1"/>
  <c r="K8099" i="1"/>
  <c r="J8099" i="1"/>
  <c r="I8099" i="1"/>
  <c r="H8099" i="1"/>
  <c r="G8099" i="1"/>
  <c r="F8099" i="1"/>
  <c r="E8099" i="1"/>
  <c r="D8099" i="1"/>
  <c r="C8099" i="1"/>
  <c r="B8099" i="1"/>
  <c r="A8099" i="1"/>
  <c r="R8098" i="1"/>
  <c r="J8098" i="1"/>
  <c r="I8098" i="1"/>
  <c r="G8098" i="1"/>
  <c r="F8098" i="1"/>
  <c r="E8098" i="1"/>
  <c r="D8098" i="1"/>
  <c r="C8098" i="1"/>
  <c r="B8098" i="1"/>
  <c r="A8098" i="1"/>
  <c r="S8097" i="1"/>
  <c r="O8097" i="1"/>
  <c r="K8097" i="1"/>
  <c r="J8097" i="1"/>
  <c r="I8097" i="1"/>
  <c r="H8097" i="1"/>
  <c r="G8097" i="1"/>
  <c r="F8097" i="1"/>
  <c r="E8097" i="1"/>
  <c r="D8097" i="1"/>
  <c r="C8097" i="1"/>
  <c r="B8097" i="1"/>
  <c r="A8097" i="1"/>
  <c r="R8096" i="1"/>
  <c r="J8096" i="1"/>
  <c r="I8096" i="1"/>
  <c r="G8096" i="1"/>
  <c r="F8096" i="1"/>
  <c r="E8096" i="1"/>
  <c r="D8096" i="1"/>
  <c r="C8096" i="1"/>
  <c r="B8096" i="1"/>
  <c r="A8096" i="1"/>
  <c r="S8095" i="1"/>
  <c r="O8095" i="1"/>
  <c r="K8095" i="1"/>
  <c r="J8095" i="1"/>
  <c r="I8095" i="1"/>
  <c r="H8095" i="1"/>
  <c r="G8095" i="1"/>
  <c r="F8095" i="1"/>
  <c r="E8095" i="1"/>
  <c r="D8095" i="1"/>
  <c r="C8095" i="1"/>
  <c r="B8095" i="1"/>
  <c r="A8095" i="1"/>
  <c r="R8094" i="1"/>
  <c r="J8094" i="1"/>
  <c r="I8094" i="1"/>
  <c r="G8094" i="1"/>
  <c r="F8094" i="1"/>
  <c r="E8094" i="1"/>
  <c r="D8094" i="1"/>
  <c r="C8094" i="1"/>
  <c r="B8094" i="1"/>
  <c r="A8094" i="1"/>
  <c r="S8093" i="1"/>
  <c r="O8093" i="1"/>
  <c r="K8093" i="1"/>
  <c r="J8093" i="1"/>
  <c r="I8093" i="1"/>
  <c r="H8093" i="1"/>
  <c r="G8093" i="1"/>
  <c r="F8093" i="1"/>
  <c r="E8093" i="1"/>
  <c r="D8093" i="1"/>
  <c r="C8093" i="1"/>
  <c r="B8093" i="1"/>
  <c r="A8093" i="1"/>
  <c r="R8092" i="1"/>
  <c r="J8092" i="1"/>
  <c r="I8092" i="1"/>
  <c r="G8092" i="1"/>
  <c r="F8092" i="1"/>
  <c r="E8092" i="1"/>
  <c r="D8092" i="1"/>
  <c r="C8092" i="1"/>
  <c r="B8092" i="1"/>
  <c r="A8092" i="1"/>
  <c r="R8091" i="1"/>
  <c r="J8091" i="1"/>
  <c r="I8091" i="1"/>
  <c r="G8091" i="1"/>
  <c r="F8091" i="1"/>
  <c r="E8091" i="1"/>
  <c r="D8091" i="1"/>
  <c r="C8091" i="1"/>
  <c r="B8091" i="1"/>
  <c r="A8091" i="1"/>
  <c r="R8090" i="1"/>
  <c r="J8090" i="1"/>
  <c r="I8090" i="1"/>
  <c r="G8090" i="1"/>
  <c r="F8090" i="1"/>
  <c r="E8090" i="1"/>
  <c r="D8090" i="1"/>
  <c r="C8090" i="1"/>
  <c r="B8090" i="1"/>
  <c r="A8090" i="1"/>
  <c r="S8089" i="1"/>
  <c r="O8089" i="1"/>
  <c r="K8089" i="1"/>
  <c r="J8089" i="1"/>
  <c r="I8089" i="1"/>
  <c r="H8089" i="1"/>
  <c r="G8089" i="1"/>
  <c r="F8089" i="1"/>
  <c r="E8089" i="1"/>
  <c r="D8089" i="1"/>
  <c r="C8089" i="1"/>
  <c r="B8089" i="1"/>
  <c r="A8089" i="1"/>
  <c r="R8088" i="1"/>
  <c r="J8088" i="1"/>
  <c r="I8088" i="1"/>
  <c r="G8088" i="1"/>
  <c r="F8088" i="1"/>
  <c r="E8088" i="1"/>
  <c r="D8088" i="1"/>
  <c r="C8088" i="1"/>
  <c r="B8088" i="1"/>
  <c r="A8088" i="1"/>
  <c r="S8087" i="1"/>
  <c r="O8087" i="1"/>
  <c r="K8087" i="1"/>
  <c r="J8087" i="1"/>
  <c r="I8087" i="1"/>
  <c r="H8087" i="1"/>
  <c r="G8087" i="1"/>
  <c r="F8087" i="1"/>
  <c r="E8087" i="1"/>
  <c r="D8087" i="1"/>
  <c r="C8087" i="1"/>
  <c r="B8087" i="1"/>
  <c r="A8087" i="1"/>
  <c r="R8086" i="1"/>
  <c r="J8086" i="1"/>
  <c r="I8086" i="1"/>
  <c r="G8086" i="1"/>
  <c r="F8086" i="1"/>
  <c r="E8086" i="1"/>
  <c r="D8086" i="1"/>
  <c r="C8086" i="1"/>
  <c r="B8086" i="1"/>
  <c r="A8086" i="1"/>
  <c r="S8085" i="1"/>
  <c r="O8085" i="1"/>
  <c r="K8085" i="1"/>
  <c r="J8085" i="1"/>
  <c r="I8085" i="1"/>
  <c r="H8085" i="1"/>
  <c r="G8085" i="1"/>
  <c r="F8085" i="1"/>
  <c r="E8085" i="1"/>
  <c r="D8085" i="1"/>
  <c r="C8085" i="1"/>
  <c r="B8085" i="1"/>
  <c r="A8085" i="1"/>
  <c r="R8084" i="1"/>
  <c r="J8084" i="1"/>
  <c r="I8084" i="1"/>
  <c r="G8084" i="1"/>
  <c r="F8084" i="1"/>
  <c r="E8084" i="1"/>
  <c r="D8084" i="1"/>
  <c r="C8084" i="1"/>
  <c r="B8084" i="1"/>
  <c r="A8084" i="1"/>
  <c r="S8083" i="1"/>
  <c r="O8083" i="1"/>
  <c r="K8083" i="1"/>
  <c r="J8083" i="1"/>
  <c r="I8083" i="1"/>
  <c r="H8083" i="1"/>
  <c r="G8083" i="1"/>
  <c r="F8083" i="1"/>
  <c r="E8083" i="1"/>
  <c r="D8083" i="1"/>
  <c r="C8083" i="1"/>
  <c r="B8083" i="1"/>
  <c r="A8083" i="1"/>
  <c r="R8082" i="1"/>
  <c r="J8082" i="1"/>
  <c r="I8082" i="1"/>
  <c r="G8082" i="1"/>
  <c r="F8082" i="1"/>
  <c r="E8082" i="1"/>
  <c r="D8082" i="1"/>
  <c r="C8082" i="1"/>
  <c r="B8082" i="1"/>
  <c r="A8082" i="1"/>
  <c r="S8081" i="1"/>
  <c r="O8081" i="1"/>
  <c r="K8081" i="1"/>
  <c r="J8081" i="1"/>
  <c r="I8081" i="1"/>
  <c r="H8081" i="1"/>
  <c r="G8081" i="1"/>
  <c r="F8081" i="1"/>
  <c r="E8081" i="1"/>
  <c r="D8081" i="1"/>
  <c r="C8081" i="1"/>
  <c r="B8081" i="1"/>
  <c r="A8081" i="1"/>
  <c r="R8080" i="1"/>
  <c r="J8080" i="1"/>
  <c r="I8080" i="1"/>
  <c r="G8080" i="1"/>
  <c r="F8080" i="1"/>
  <c r="E8080" i="1"/>
  <c r="D8080" i="1"/>
  <c r="C8080" i="1"/>
  <c r="B8080" i="1"/>
  <c r="A8080" i="1"/>
  <c r="R8079" i="1"/>
  <c r="J8079" i="1"/>
  <c r="I8079" i="1"/>
  <c r="G8079" i="1"/>
  <c r="F8079" i="1"/>
  <c r="E8079" i="1"/>
  <c r="D8079" i="1"/>
  <c r="C8079" i="1"/>
  <c r="B8079" i="1"/>
  <c r="A8079" i="1"/>
  <c r="S8078" i="1"/>
  <c r="O8078" i="1"/>
  <c r="K8078" i="1"/>
  <c r="J8078" i="1"/>
  <c r="I8078" i="1"/>
  <c r="H8078" i="1"/>
  <c r="G8078" i="1"/>
  <c r="F8078" i="1"/>
  <c r="E8078" i="1"/>
  <c r="D8078" i="1"/>
  <c r="C8078" i="1"/>
  <c r="B8078" i="1"/>
  <c r="A8078" i="1"/>
  <c r="R8077" i="1"/>
  <c r="J8077" i="1"/>
  <c r="I8077" i="1"/>
  <c r="G8077" i="1"/>
  <c r="F8077" i="1"/>
  <c r="E8077" i="1"/>
  <c r="D8077" i="1"/>
  <c r="C8077" i="1"/>
  <c r="B8077" i="1"/>
  <c r="A8077" i="1"/>
  <c r="S8076" i="1"/>
  <c r="O8076" i="1"/>
  <c r="K8076" i="1"/>
  <c r="J8076" i="1"/>
  <c r="I8076" i="1"/>
  <c r="H8076" i="1"/>
  <c r="G8076" i="1"/>
  <c r="F8076" i="1"/>
  <c r="E8076" i="1"/>
  <c r="D8076" i="1"/>
  <c r="C8076" i="1"/>
  <c r="B8076" i="1"/>
  <c r="A8076" i="1"/>
  <c r="R8075" i="1"/>
  <c r="J8075" i="1"/>
  <c r="I8075" i="1"/>
  <c r="G8075" i="1"/>
  <c r="F8075" i="1"/>
  <c r="E8075" i="1"/>
  <c r="D8075" i="1"/>
  <c r="C8075" i="1"/>
  <c r="B8075" i="1"/>
  <c r="A8075" i="1"/>
  <c r="S8074" i="1"/>
  <c r="O8074" i="1"/>
  <c r="K8074" i="1"/>
  <c r="J8074" i="1"/>
  <c r="I8074" i="1"/>
  <c r="H8074" i="1"/>
  <c r="G8074" i="1"/>
  <c r="F8074" i="1"/>
  <c r="E8074" i="1"/>
  <c r="D8074" i="1"/>
  <c r="C8074" i="1"/>
  <c r="B8074" i="1"/>
  <c r="A8074" i="1"/>
  <c r="R8073" i="1"/>
  <c r="J8073" i="1"/>
  <c r="I8073" i="1"/>
  <c r="G8073" i="1"/>
  <c r="F8073" i="1"/>
  <c r="E8073" i="1"/>
  <c r="D8073" i="1"/>
  <c r="C8073" i="1"/>
  <c r="B8073" i="1"/>
  <c r="A8073" i="1"/>
  <c r="S8072" i="1"/>
  <c r="O8072" i="1"/>
  <c r="K8072" i="1"/>
  <c r="J8072" i="1"/>
  <c r="I8072" i="1"/>
  <c r="H8072" i="1"/>
  <c r="G8072" i="1"/>
  <c r="F8072" i="1"/>
  <c r="E8072" i="1"/>
  <c r="D8072" i="1"/>
  <c r="C8072" i="1"/>
  <c r="B8072" i="1"/>
  <c r="A8072" i="1"/>
  <c r="R8071" i="1"/>
  <c r="J8071" i="1"/>
  <c r="I8071" i="1"/>
  <c r="G8071" i="1"/>
  <c r="F8071" i="1"/>
  <c r="E8071" i="1"/>
  <c r="D8071" i="1"/>
  <c r="C8071" i="1"/>
  <c r="B8071" i="1"/>
  <c r="A8071" i="1"/>
  <c r="S8070" i="1"/>
  <c r="O8070" i="1"/>
  <c r="K8070" i="1"/>
  <c r="J8070" i="1"/>
  <c r="I8070" i="1"/>
  <c r="H8070" i="1"/>
  <c r="G8070" i="1"/>
  <c r="F8070" i="1"/>
  <c r="E8070" i="1"/>
  <c r="D8070" i="1"/>
  <c r="C8070" i="1"/>
  <c r="B8070" i="1"/>
  <c r="A8070" i="1"/>
  <c r="R8069" i="1"/>
  <c r="J8069" i="1"/>
  <c r="I8069" i="1"/>
  <c r="G8069" i="1"/>
  <c r="F8069" i="1"/>
  <c r="E8069" i="1"/>
  <c r="D8069" i="1"/>
  <c r="C8069" i="1"/>
  <c r="B8069" i="1"/>
  <c r="A8069" i="1"/>
  <c r="S8068" i="1"/>
  <c r="O8068" i="1"/>
  <c r="K8068" i="1"/>
  <c r="J8068" i="1"/>
  <c r="I8068" i="1"/>
  <c r="H8068" i="1"/>
  <c r="G8068" i="1"/>
  <c r="F8068" i="1"/>
  <c r="E8068" i="1"/>
  <c r="D8068" i="1"/>
  <c r="C8068" i="1"/>
  <c r="B8068" i="1"/>
  <c r="A8068" i="1"/>
  <c r="R8067" i="1"/>
  <c r="J8067" i="1"/>
  <c r="I8067" i="1"/>
  <c r="G8067" i="1"/>
  <c r="F8067" i="1"/>
  <c r="E8067" i="1"/>
  <c r="D8067" i="1"/>
  <c r="C8067" i="1"/>
  <c r="B8067" i="1"/>
  <c r="A8067" i="1"/>
  <c r="S8066" i="1"/>
  <c r="O8066" i="1"/>
  <c r="K8066" i="1"/>
  <c r="J8066" i="1"/>
  <c r="I8066" i="1"/>
  <c r="H8066" i="1"/>
  <c r="G8066" i="1"/>
  <c r="F8066" i="1"/>
  <c r="E8066" i="1"/>
  <c r="D8066" i="1"/>
  <c r="C8066" i="1"/>
  <c r="B8066" i="1"/>
  <c r="A8066" i="1"/>
  <c r="R8065" i="1"/>
  <c r="J8065" i="1"/>
  <c r="I8065" i="1"/>
  <c r="G8065" i="1"/>
  <c r="F8065" i="1"/>
  <c r="E8065" i="1"/>
  <c r="D8065" i="1"/>
  <c r="C8065" i="1"/>
  <c r="B8065" i="1"/>
  <c r="A8065" i="1"/>
  <c r="S8064" i="1"/>
  <c r="O8064" i="1"/>
  <c r="K8064" i="1"/>
  <c r="J8064" i="1"/>
  <c r="I8064" i="1"/>
  <c r="H8064" i="1"/>
  <c r="G8064" i="1"/>
  <c r="F8064" i="1"/>
  <c r="E8064" i="1"/>
  <c r="D8064" i="1"/>
  <c r="C8064" i="1"/>
  <c r="B8064" i="1"/>
  <c r="A8064" i="1"/>
  <c r="R8063" i="1"/>
  <c r="J8063" i="1"/>
  <c r="I8063" i="1"/>
  <c r="G8063" i="1"/>
  <c r="F8063" i="1"/>
  <c r="E8063" i="1"/>
  <c r="D8063" i="1"/>
  <c r="C8063" i="1"/>
  <c r="B8063" i="1"/>
  <c r="A8063" i="1"/>
  <c r="S8062" i="1"/>
  <c r="O8062" i="1"/>
  <c r="K8062" i="1"/>
  <c r="J8062" i="1"/>
  <c r="I8062" i="1"/>
  <c r="H8062" i="1"/>
  <c r="G8062" i="1"/>
  <c r="F8062" i="1"/>
  <c r="E8062" i="1"/>
  <c r="D8062" i="1"/>
  <c r="C8062" i="1"/>
  <c r="B8062" i="1"/>
  <c r="A8062" i="1"/>
  <c r="R8061" i="1"/>
  <c r="J8061" i="1"/>
  <c r="I8061" i="1"/>
  <c r="G8061" i="1"/>
  <c r="F8061" i="1"/>
  <c r="E8061" i="1"/>
  <c r="D8061" i="1"/>
  <c r="C8061" i="1"/>
  <c r="B8061" i="1"/>
  <c r="A8061" i="1"/>
  <c r="S8060" i="1"/>
  <c r="O8060" i="1"/>
  <c r="K8060" i="1"/>
  <c r="J8060" i="1"/>
  <c r="I8060" i="1"/>
  <c r="H8060" i="1"/>
  <c r="G8060" i="1"/>
  <c r="F8060" i="1"/>
  <c r="E8060" i="1"/>
  <c r="D8060" i="1"/>
  <c r="C8060" i="1"/>
  <c r="B8060" i="1"/>
  <c r="A8060" i="1"/>
  <c r="R8059" i="1"/>
  <c r="J8059" i="1"/>
  <c r="I8059" i="1"/>
  <c r="G8059" i="1"/>
  <c r="F8059" i="1"/>
  <c r="E8059" i="1"/>
  <c r="D8059" i="1"/>
  <c r="C8059" i="1"/>
  <c r="B8059" i="1"/>
  <c r="A8059" i="1"/>
  <c r="S8058" i="1"/>
  <c r="O8058" i="1"/>
  <c r="K8058" i="1"/>
  <c r="J8058" i="1"/>
  <c r="I8058" i="1"/>
  <c r="H8058" i="1"/>
  <c r="G8058" i="1"/>
  <c r="F8058" i="1"/>
  <c r="E8058" i="1"/>
  <c r="D8058" i="1"/>
  <c r="C8058" i="1"/>
  <c r="B8058" i="1"/>
  <c r="A8058" i="1"/>
  <c r="R8057" i="1"/>
  <c r="J8057" i="1"/>
  <c r="I8057" i="1"/>
  <c r="G8057" i="1"/>
  <c r="F8057" i="1"/>
  <c r="E8057" i="1"/>
  <c r="D8057" i="1"/>
  <c r="C8057" i="1"/>
  <c r="B8057" i="1"/>
  <c r="A8057" i="1"/>
  <c r="S8056" i="1"/>
  <c r="O8056" i="1"/>
  <c r="K8056" i="1"/>
  <c r="J8056" i="1"/>
  <c r="I8056" i="1"/>
  <c r="H8056" i="1"/>
  <c r="G8056" i="1"/>
  <c r="F8056" i="1"/>
  <c r="E8056" i="1"/>
  <c r="D8056" i="1"/>
  <c r="C8056" i="1"/>
  <c r="B8056" i="1"/>
  <c r="A8056" i="1"/>
  <c r="R8055" i="1"/>
  <c r="J8055" i="1"/>
  <c r="I8055" i="1"/>
  <c r="G8055" i="1"/>
  <c r="F8055" i="1"/>
  <c r="E8055" i="1"/>
  <c r="D8055" i="1"/>
  <c r="C8055" i="1"/>
  <c r="B8055" i="1"/>
  <c r="A8055" i="1"/>
  <c r="R8054" i="1"/>
  <c r="J8054" i="1"/>
  <c r="I8054" i="1"/>
  <c r="G8054" i="1"/>
  <c r="F8054" i="1"/>
  <c r="E8054" i="1"/>
  <c r="D8054" i="1"/>
  <c r="C8054" i="1"/>
  <c r="B8054" i="1"/>
  <c r="A8054" i="1"/>
  <c r="S8053" i="1"/>
  <c r="O8053" i="1"/>
  <c r="K8053" i="1"/>
  <c r="J8053" i="1"/>
  <c r="I8053" i="1"/>
  <c r="H8053" i="1"/>
  <c r="G8053" i="1"/>
  <c r="F8053" i="1"/>
  <c r="E8053" i="1"/>
  <c r="D8053" i="1"/>
  <c r="C8053" i="1"/>
  <c r="B8053" i="1"/>
  <c r="A8053" i="1"/>
  <c r="R8052" i="1"/>
  <c r="J8052" i="1"/>
  <c r="I8052" i="1"/>
  <c r="G8052" i="1"/>
  <c r="F8052" i="1"/>
  <c r="E8052" i="1"/>
  <c r="D8052" i="1"/>
  <c r="C8052" i="1"/>
  <c r="B8052" i="1"/>
  <c r="A8052" i="1"/>
  <c r="S8051" i="1"/>
  <c r="O8051" i="1"/>
  <c r="K8051" i="1"/>
  <c r="J8051" i="1"/>
  <c r="I8051" i="1"/>
  <c r="H8051" i="1"/>
  <c r="G8051" i="1"/>
  <c r="F8051" i="1"/>
  <c r="E8051" i="1"/>
  <c r="D8051" i="1"/>
  <c r="C8051" i="1"/>
  <c r="B8051" i="1"/>
  <c r="A8051" i="1"/>
  <c r="R8050" i="1"/>
  <c r="J8050" i="1"/>
  <c r="I8050" i="1"/>
  <c r="G8050" i="1"/>
  <c r="F8050" i="1"/>
  <c r="E8050" i="1"/>
  <c r="D8050" i="1"/>
  <c r="C8050" i="1"/>
  <c r="B8050" i="1"/>
  <c r="A8050" i="1"/>
  <c r="S8049" i="1"/>
  <c r="O8049" i="1"/>
  <c r="K8049" i="1"/>
  <c r="J8049" i="1"/>
  <c r="I8049" i="1"/>
  <c r="H8049" i="1"/>
  <c r="G8049" i="1"/>
  <c r="F8049" i="1"/>
  <c r="E8049" i="1"/>
  <c r="D8049" i="1"/>
  <c r="C8049" i="1"/>
  <c r="B8049" i="1"/>
  <c r="A8049" i="1"/>
  <c r="R8048" i="1"/>
  <c r="J8048" i="1"/>
  <c r="I8048" i="1"/>
  <c r="G8048" i="1"/>
  <c r="F8048" i="1"/>
  <c r="E8048" i="1"/>
  <c r="D8048" i="1"/>
  <c r="C8048" i="1"/>
  <c r="B8048" i="1"/>
  <c r="A8048" i="1"/>
  <c r="S8047" i="1"/>
  <c r="O8047" i="1"/>
  <c r="K8047" i="1"/>
  <c r="J8047" i="1"/>
  <c r="I8047" i="1"/>
  <c r="H8047" i="1"/>
  <c r="G8047" i="1"/>
  <c r="F8047" i="1"/>
  <c r="E8047" i="1"/>
  <c r="D8047" i="1"/>
  <c r="C8047" i="1"/>
  <c r="B8047" i="1"/>
  <c r="A8047" i="1"/>
  <c r="R8046" i="1"/>
  <c r="J8046" i="1"/>
  <c r="I8046" i="1"/>
  <c r="G8046" i="1"/>
  <c r="F8046" i="1"/>
  <c r="E8046" i="1"/>
  <c r="D8046" i="1"/>
  <c r="C8046" i="1"/>
  <c r="B8046" i="1"/>
  <c r="A8046" i="1"/>
  <c r="S8045" i="1"/>
  <c r="O8045" i="1"/>
  <c r="K8045" i="1"/>
  <c r="J8045" i="1"/>
  <c r="I8045" i="1"/>
  <c r="H8045" i="1"/>
  <c r="G8045" i="1"/>
  <c r="F8045" i="1"/>
  <c r="E8045" i="1"/>
  <c r="D8045" i="1"/>
  <c r="C8045" i="1"/>
  <c r="B8045" i="1"/>
  <c r="A8045" i="1"/>
  <c r="R8044" i="1"/>
  <c r="J8044" i="1"/>
  <c r="I8044" i="1"/>
  <c r="G8044" i="1"/>
  <c r="F8044" i="1"/>
  <c r="E8044" i="1"/>
  <c r="D8044" i="1"/>
  <c r="C8044" i="1"/>
  <c r="B8044" i="1"/>
  <c r="A8044" i="1"/>
  <c r="S8043" i="1"/>
  <c r="O8043" i="1"/>
  <c r="K8043" i="1"/>
  <c r="J8043" i="1"/>
  <c r="I8043" i="1"/>
  <c r="H8043" i="1"/>
  <c r="G8043" i="1"/>
  <c r="F8043" i="1"/>
  <c r="E8043" i="1"/>
  <c r="D8043" i="1"/>
  <c r="C8043" i="1"/>
  <c r="B8043" i="1"/>
  <c r="A8043" i="1"/>
  <c r="R8042" i="1"/>
  <c r="J8042" i="1"/>
  <c r="I8042" i="1"/>
  <c r="G8042" i="1"/>
  <c r="F8042" i="1"/>
  <c r="E8042" i="1"/>
  <c r="D8042" i="1"/>
  <c r="C8042" i="1"/>
  <c r="B8042" i="1"/>
  <c r="A8042" i="1"/>
  <c r="S8041" i="1"/>
  <c r="O8041" i="1"/>
  <c r="K8041" i="1"/>
  <c r="J8041" i="1"/>
  <c r="I8041" i="1"/>
  <c r="H8041" i="1"/>
  <c r="G8041" i="1"/>
  <c r="F8041" i="1"/>
  <c r="E8041" i="1"/>
  <c r="D8041" i="1"/>
  <c r="C8041" i="1"/>
  <c r="B8041" i="1"/>
  <c r="A8041" i="1"/>
  <c r="R8040" i="1"/>
  <c r="J8040" i="1"/>
  <c r="I8040" i="1"/>
  <c r="G8040" i="1"/>
  <c r="F8040" i="1"/>
  <c r="E8040" i="1"/>
  <c r="D8040" i="1"/>
  <c r="C8040" i="1"/>
  <c r="B8040" i="1"/>
  <c r="A8040" i="1"/>
  <c r="S8039" i="1"/>
  <c r="O8039" i="1"/>
  <c r="K8039" i="1"/>
  <c r="J8039" i="1"/>
  <c r="I8039" i="1"/>
  <c r="H8039" i="1"/>
  <c r="G8039" i="1"/>
  <c r="F8039" i="1"/>
  <c r="E8039" i="1"/>
  <c r="D8039" i="1"/>
  <c r="C8039" i="1"/>
  <c r="B8039" i="1"/>
  <c r="A8039" i="1"/>
  <c r="R8038" i="1"/>
  <c r="J8038" i="1"/>
  <c r="I8038" i="1"/>
  <c r="G8038" i="1"/>
  <c r="F8038" i="1"/>
  <c r="E8038" i="1"/>
  <c r="D8038" i="1"/>
  <c r="C8038" i="1"/>
  <c r="B8038" i="1"/>
  <c r="A8038" i="1"/>
  <c r="S8037" i="1"/>
  <c r="O8037" i="1"/>
  <c r="K8037" i="1"/>
  <c r="J8037" i="1"/>
  <c r="I8037" i="1"/>
  <c r="H8037" i="1"/>
  <c r="G8037" i="1"/>
  <c r="F8037" i="1"/>
  <c r="E8037" i="1"/>
  <c r="D8037" i="1"/>
  <c r="C8037" i="1"/>
  <c r="B8037" i="1"/>
  <c r="A8037" i="1"/>
  <c r="R8036" i="1"/>
  <c r="J8036" i="1"/>
  <c r="I8036" i="1"/>
  <c r="G8036" i="1"/>
  <c r="F8036" i="1"/>
  <c r="E8036" i="1"/>
  <c r="D8036" i="1"/>
  <c r="C8036" i="1"/>
  <c r="B8036" i="1"/>
  <c r="A8036" i="1"/>
  <c r="S8035" i="1"/>
  <c r="O8035" i="1"/>
  <c r="K8035" i="1"/>
  <c r="J8035" i="1"/>
  <c r="I8035" i="1"/>
  <c r="H8035" i="1"/>
  <c r="G8035" i="1"/>
  <c r="F8035" i="1"/>
  <c r="E8035" i="1"/>
  <c r="D8035" i="1"/>
  <c r="C8035" i="1"/>
  <c r="B8035" i="1"/>
  <c r="A8035" i="1"/>
  <c r="R8034" i="1"/>
  <c r="J8034" i="1"/>
  <c r="I8034" i="1"/>
  <c r="G8034" i="1"/>
  <c r="F8034" i="1"/>
  <c r="E8034" i="1"/>
  <c r="D8034" i="1"/>
  <c r="C8034" i="1"/>
  <c r="B8034" i="1"/>
  <c r="A8034" i="1"/>
  <c r="S8033" i="1"/>
  <c r="O8033" i="1"/>
  <c r="K8033" i="1"/>
  <c r="J8033" i="1"/>
  <c r="I8033" i="1"/>
  <c r="H8033" i="1"/>
  <c r="G8033" i="1"/>
  <c r="F8033" i="1"/>
  <c r="E8033" i="1"/>
  <c r="D8033" i="1"/>
  <c r="C8033" i="1"/>
  <c r="B8033" i="1"/>
  <c r="A8033" i="1"/>
  <c r="R8032" i="1"/>
  <c r="J8032" i="1"/>
  <c r="I8032" i="1"/>
  <c r="G8032" i="1"/>
  <c r="F8032" i="1"/>
  <c r="E8032" i="1"/>
  <c r="D8032" i="1"/>
  <c r="C8032" i="1"/>
  <c r="B8032" i="1"/>
  <c r="A8032" i="1"/>
  <c r="S8031" i="1"/>
  <c r="O8031" i="1"/>
  <c r="K8031" i="1"/>
  <c r="J8031" i="1"/>
  <c r="I8031" i="1"/>
  <c r="H8031" i="1"/>
  <c r="G8031" i="1"/>
  <c r="F8031" i="1"/>
  <c r="E8031" i="1"/>
  <c r="D8031" i="1"/>
  <c r="C8031" i="1"/>
  <c r="B8031" i="1"/>
  <c r="A8031" i="1"/>
  <c r="R8030" i="1"/>
  <c r="J8030" i="1"/>
  <c r="I8030" i="1"/>
  <c r="G8030" i="1"/>
  <c r="F8030" i="1"/>
  <c r="E8030" i="1"/>
  <c r="D8030" i="1"/>
  <c r="C8030" i="1"/>
  <c r="B8030" i="1"/>
  <c r="A8030" i="1"/>
  <c r="S8029" i="1"/>
  <c r="O8029" i="1"/>
  <c r="K8029" i="1"/>
  <c r="J8029" i="1"/>
  <c r="I8029" i="1"/>
  <c r="H8029" i="1"/>
  <c r="G8029" i="1"/>
  <c r="F8029" i="1"/>
  <c r="E8029" i="1"/>
  <c r="D8029" i="1"/>
  <c r="C8029" i="1"/>
  <c r="B8029" i="1"/>
  <c r="A8029" i="1"/>
  <c r="R8028" i="1"/>
  <c r="J8028" i="1"/>
  <c r="I8028" i="1"/>
  <c r="G8028" i="1"/>
  <c r="F8028" i="1"/>
  <c r="E8028" i="1"/>
  <c r="D8028" i="1"/>
  <c r="C8028" i="1"/>
  <c r="B8028" i="1"/>
  <c r="A8028" i="1"/>
  <c r="S8027" i="1"/>
  <c r="O8027" i="1"/>
  <c r="K8027" i="1"/>
  <c r="J8027" i="1"/>
  <c r="I8027" i="1"/>
  <c r="H8027" i="1"/>
  <c r="G8027" i="1"/>
  <c r="F8027" i="1"/>
  <c r="E8027" i="1"/>
  <c r="D8027" i="1"/>
  <c r="C8027" i="1"/>
  <c r="B8027" i="1"/>
  <c r="A8027" i="1"/>
  <c r="R8026" i="1"/>
  <c r="J8026" i="1"/>
  <c r="I8026" i="1"/>
  <c r="G8026" i="1"/>
  <c r="F8026" i="1"/>
  <c r="E8026" i="1"/>
  <c r="D8026" i="1"/>
  <c r="C8026" i="1"/>
  <c r="B8026" i="1"/>
  <c r="A8026" i="1"/>
  <c r="S8025" i="1"/>
  <c r="O8025" i="1"/>
  <c r="K8025" i="1"/>
  <c r="J8025" i="1"/>
  <c r="I8025" i="1"/>
  <c r="H8025" i="1"/>
  <c r="G8025" i="1"/>
  <c r="F8025" i="1"/>
  <c r="E8025" i="1"/>
  <c r="D8025" i="1"/>
  <c r="C8025" i="1"/>
  <c r="B8025" i="1"/>
  <c r="A8025" i="1"/>
  <c r="R8024" i="1"/>
  <c r="J8024" i="1"/>
  <c r="I8024" i="1"/>
  <c r="G8024" i="1"/>
  <c r="F8024" i="1"/>
  <c r="E8024" i="1"/>
  <c r="D8024" i="1"/>
  <c r="C8024" i="1"/>
  <c r="B8024" i="1"/>
  <c r="A8024" i="1"/>
  <c r="S8023" i="1"/>
  <c r="O8023" i="1"/>
  <c r="K8023" i="1"/>
  <c r="J8023" i="1"/>
  <c r="I8023" i="1"/>
  <c r="H8023" i="1"/>
  <c r="G8023" i="1"/>
  <c r="F8023" i="1"/>
  <c r="E8023" i="1"/>
  <c r="D8023" i="1"/>
  <c r="C8023" i="1"/>
  <c r="B8023" i="1"/>
  <c r="A8023" i="1"/>
  <c r="R8022" i="1"/>
  <c r="J8022" i="1"/>
  <c r="I8022" i="1"/>
  <c r="G8022" i="1"/>
  <c r="F8022" i="1"/>
  <c r="E8022" i="1"/>
  <c r="D8022" i="1"/>
  <c r="C8022" i="1"/>
  <c r="B8022" i="1"/>
  <c r="A8022" i="1"/>
  <c r="S8021" i="1"/>
  <c r="O8021" i="1"/>
  <c r="K8021" i="1"/>
  <c r="J8021" i="1"/>
  <c r="I8021" i="1"/>
  <c r="H8021" i="1"/>
  <c r="G8021" i="1"/>
  <c r="F8021" i="1"/>
  <c r="E8021" i="1"/>
  <c r="D8021" i="1"/>
  <c r="C8021" i="1"/>
  <c r="B8021" i="1"/>
  <c r="A8021" i="1"/>
  <c r="R8020" i="1"/>
  <c r="J8020" i="1"/>
  <c r="I8020" i="1"/>
  <c r="G8020" i="1"/>
  <c r="F8020" i="1"/>
  <c r="E8020" i="1"/>
  <c r="D8020" i="1"/>
  <c r="C8020" i="1"/>
  <c r="B8020" i="1"/>
  <c r="A8020" i="1"/>
  <c r="S8019" i="1"/>
  <c r="O8019" i="1"/>
  <c r="K8019" i="1"/>
  <c r="J8019" i="1"/>
  <c r="I8019" i="1"/>
  <c r="H8019" i="1"/>
  <c r="G8019" i="1"/>
  <c r="F8019" i="1"/>
  <c r="E8019" i="1"/>
  <c r="D8019" i="1"/>
  <c r="C8019" i="1"/>
  <c r="B8019" i="1"/>
  <c r="A8019" i="1"/>
  <c r="R8018" i="1"/>
  <c r="J8018" i="1"/>
  <c r="I8018" i="1"/>
  <c r="G8018" i="1"/>
  <c r="F8018" i="1"/>
  <c r="E8018" i="1"/>
  <c r="D8018" i="1"/>
  <c r="C8018" i="1"/>
  <c r="B8018" i="1"/>
  <c r="A8018" i="1"/>
  <c r="S8017" i="1"/>
  <c r="O8017" i="1"/>
  <c r="K8017" i="1"/>
  <c r="J8017" i="1"/>
  <c r="I8017" i="1"/>
  <c r="H8017" i="1"/>
  <c r="G8017" i="1"/>
  <c r="F8017" i="1"/>
  <c r="E8017" i="1"/>
  <c r="D8017" i="1"/>
  <c r="C8017" i="1"/>
  <c r="B8017" i="1"/>
  <c r="A8017" i="1"/>
  <c r="R8016" i="1"/>
  <c r="J8016" i="1"/>
  <c r="I8016" i="1"/>
  <c r="G8016" i="1"/>
  <c r="F8016" i="1"/>
  <c r="E8016" i="1"/>
  <c r="D8016" i="1"/>
  <c r="C8016" i="1"/>
  <c r="B8016" i="1"/>
  <c r="A8016" i="1"/>
  <c r="S8015" i="1"/>
  <c r="O8015" i="1"/>
  <c r="K8015" i="1"/>
  <c r="J8015" i="1"/>
  <c r="I8015" i="1"/>
  <c r="H8015" i="1"/>
  <c r="G8015" i="1"/>
  <c r="F8015" i="1"/>
  <c r="E8015" i="1"/>
  <c r="D8015" i="1"/>
  <c r="C8015" i="1"/>
  <c r="B8015" i="1"/>
  <c r="A8015" i="1"/>
  <c r="R8014" i="1"/>
  <c r="J8014" i="1"/>
  <c r="I8014" i="1"/>
  <c r="G8014" i="1"/>
  <c r="F8014" i="1"/>
  <c r="E8014" i="1"/>
  <c r="D8014" i="1"/>
  <c r="C8014" i="1"/>
  <c r="B8014" i="1"/>
  <c r="A8014" i="1"/>
  <c r="S8013" i="1"/>
  <c r="O8013" i="1"/>
  <c r="K8013" i="1"/>
  <c r="J8013" i="1"/>
  <c r="I8013" i="1"/>
  <c r="H8013" i="1"/>
  <c r="G8013" i="1"/>
  <c r="F8013" i="1"/>
  <c r="E8013" i="1"/>
  <c r="D8013" i="1"/>
  <c r="C8013" i="1"/>
  <c r="B8013" i="1"/>
  <c r="A8013" i="1"/>
  <c r="R8012" i="1"/>
  <c r="J8012" i="1"/>
  <c r="I8012" i="1"/>
  <c r="G8012" i="1"/>
  <c r="F8012" i="1"/>
  <c r="E8012" i="1"/>
  <c r="D8012" i="1"/>
  <c r="C8012" i="1"/>
  <c r="B8012" i="1"/>
  <c r="A8012" i="1"/>
  <c r="R8011" i="1"/>
  <c r="J8011" i="1"/>
  <c r="I8011" i="1"/>
  <c r="G8011" i="1"/>
  <c r="F8011" i="1"/>
  <c r="E8011" i="1"/>
  <c r="D8011" i="1"/>
  <c r="C8011" i="1"/>
  <c r="B8011" i="1"/>
  <c r="A8011" i="1"/>
  <c r="S8010" i="1"/>
  <c r="O8010" i="1"/>
  <c r="K8010" i="1"/>
  <c r="J8010" i="1"/>
  <c r="I8010" i="1"/>
  <c r="H8010" i="1"/>
  <c r="G8010" i="1"/>
  <c r="F8010" i="1"/>
  <c r="E8010" i="1"/>
  <c r="D8010" i="1"/>
  <c r="C8010" i="1"/>
  <c r="B8010" i="1"/>
  <c r="A8010" i="1"/>
  <c r="R8009" i="1"/>
  <c r="J8009" i="1"/>
  <c r="I8009" i="1"/>
  <c r="G8009" i="1"/>
  <c r="F8009" i="1"/>
  <c r="E8009" i="1"/>
  <c r="D8009" i="1"/>
  <c r="C8009" i="1"/>
  <c r="B8009" i="1"/>
  <c r="A8009" i="1"/>
  <c r="S8008" i="1"/>
  <c r="O8008" i="1"/>
  <c r="K8008" i="1"/>
  <c r="J8008" i="1"/>
  <c r="I8008" i="1"/>
  <c r="H8008" i="1"/>
  <c r="G8008" i="1"/>
  <c r="F8008" i="1"/>
  <c r="E8008" i="1"/>
  <c r="D8008" i="1"/>
  <c r="C8008" i="1"/>
  <c r="B8008" i="1"/>
  <c r="A8008" i="1"/>
  <c r="R8007" i="1"/>
  <c r="J8007" i="1"/>
  <c r="I8007" i="1"/>
  <c r="G8007" i="1"/>
  <c r="F8007" i="1"/>
  <c r="E8007" i="1"/>
  <c r="D8007" i="1"/>
  <c r="C8007" i="1"/>
  <c r="B8007" i="1"/>
  <c r="A8007" i="1"/>
  <c r="S8006" i="1"/>
  <c r="O8006" i="1"/>
  <c r="K8006" i="1"/>
  <c r="J8006" i="1"/>
  <c r="I8006" i="1"/>
  <c r="H8006" i="1"/>
  <c r="G8006" i="1"/>
  <c r="F8006" i="1"/>
  <c r="E8006" i="1"/>
  <c r="D8006" i="1"/>
  <c r="C8006" i="1"/>
  <c r="B8006" i="1"/>
  <c r="A8006" i="1"/>
  <c r="R8005" i="1"/>
  <c r="J8005" i="1"/>
  <c r="I8005" i="1"/>
  <c r="G8005" i="1"/>
  <c r="F8005" i="1"/>
  <c r="E8005" i="1"/>
  <c r="D8005" i="1"/>
  <c r="C8005" i="1"/>
  <c r="B8005" i="1"/>
  <c r="A8005" i="1"/>
  <c r="R8004" i="1"/>
  <c r="J8004" i="1"/>
  <c r="I8004" i="1"/>
  <c r="G8004" i="1"/>
  <c r="F8004" i="1"/>
  <c r="E8004" i="1"/>
  <c r="D8004" i="1"/>
  <c r="C8004" i="1"/>
  <c r="B8004" i="1"/>
  <c r="A8004" i="1"/>
  <c r="S8003" i="1"/>
  <c r="O8003" i="1"/>
  <c r="K8003" i="1"/>
  <c r="J8003" i="1"/>
  <c r="I8003" i="1"/>
  <c r="H8003" i="1"/>
  <c r="G8003" i="1"/>
  <c r="F8003" i="1"/>
  <c r="E8003" i="1"/>
  <c r="D8003" i="1"/>
  <c r="C8003" i="1"/>
  <c r="B8003" i="1"/>
  <c r="A8003" i="1"/>
  <c r="R8002" i="1"/>
  <c r="J8002" i="1"/>
  <c r="I8002" i="1"/>
  <c r="G8002" i="1"/>
  <c r="F8002" i="1"/>
  <c r="E8002" i="1"/>
  <c r="D8002" i="1"/>
  <c r="C8002" i="1"/>
  <c r="B8002" i="1"/>
  <c r="A8002" i="1"/>
  <c r="S8001" i="1"/>
  <c r="O8001" i="1"/>
  <c r="K8001" i="1"/>
  <c r="J8001" i="1"/>
  <c r="I8001" i="1"/>
  <c r="H8001" i="1"/>
  <c r="G8001" i="1"/>
  <c r="F8001" i="1"/>
  <c r="E8001" i="1"/>
  <c r="D8001" i="1"/>
  <c r="C8001" i="1"/>
  <c r="B8001" i="1"/>
  <c r="A8001" i="1"/>
  <c r="R8000" i="1"/>
  <c r="J8000" i="1"/>
  <c r="I8000" i="1"/>
  <c r="G8000" i="1"/>
  <c r="F8000" i="1"/>
  <c r="E8000" i="1"/>
  <c r="D8000" i="1"/>
  <c r="C8000" i="1"/>
  <c r="B8000" i="1"/>
  <c r="A8000" i="1"/>
  <c r="R7999" i="1"/>
  <c r="J7999" i="1"/>
  <c r="I7999" i="1"/>
  <c r="G7999" i="1"/>
  <c r="F7999" i="1"/>
  <c r="E7999" i="1"/>
  <c r="D7999" i="1"/>
  <c r="C7999" i="1"/>
  <c r="B7999" i="1"/>
  <c r="A7999" i="1"/>
  <c r="S7998" i="1"/>
  <c r="O7998" i="1"/>
  <c r="K7998" i="1"/>
  <c r="J7998" i="1"/>
  <c r="I7998" i="1"/>
  <c r="H7998" i="1"/>
  <c r="G7998" i="1"/>
  <c r="F7998" i="1"/>
  <c r="E7998" i="1"/>
  <c r="D7998" i="1"/>
  <c r="C7998" i="1"/>
  <c r="B7998" i="1"/>
  <c r="A7998" i="1"/>
  <c r="R7997" i="1"/>
  <c r="J7997" i="1"/>
  <c r="I7997" i="1"/>
  <c r="G7997" i="1"/>
  <c r="F7997" i="1"/>
  <c r="E7997" i="1"/>
  <c r="D7997" i="1"/>
  <c r="C7997" i="1"/>
  <c r="B7997" i="1"/>
  <c r="A7997" i="1"/>
  <c r="R7996" i="1"/>
  <c r="J7996" i="1"/>
  <c r="I7996" i="1"/>
  <c r="G7996" i="1"/>
  <c r="F7996" i="1"/>
  <c r="E7996" i="1"/>
  <c r="D7996" i="1"/>
  <c r="C7996" i="1"/>
  <c r="B7996" i="1"/>
  <c r="A7996" i="1"/>
  <c r="S7995" i="1"/>
  <c r="O7995" i="1"/>
  <c r="K7995" i="1"/>
  <c r="J7995" i="1"/>
  <c r="I7995" i="1"/>
  <c r="H7995" i="1"/>
  <c r="G7995" i="1"/>
  <c r="F7995" i="1"/>
  <c r="E7995" i="1"/>
  <c r="D7995" i="1"/>
  <c r="C7995" i="1"/>
  <c r="B7995" i="1"/>
  <c r="A7995" i="1"/>
  <c r="R7994" i="1"/>
  <c r="J7994" i="1"/>
  <c r="I7994" i="1"/>
  <c r="G7994" i="1"/>
  <c r="F7994" i="1"/>
  <c r="E7994" i="1"/>
  <c r="D7994" i="1"/>
  <c r="C7994" i="1"/>
  <c r="B7994" i="1"/>
  <c r="A7994" i="1"/>
  <c r="S7993" i="1"/>
  <c r="O7993" i="1"/>
  <c r="K7993" i="1"/>
  <c r="J7993" i="1"/>
  <c r="I7993" i="1"/>
  <c r="H7993" i="1"/>
  <c r="G7993" i="1"/>
  <c r="F7993" i="1"/>
  <c r="E7993" i="1"/>
  <c r="D7993" i="1"/>
  <c r="C7993" i="1"/>
  <c r="B7993" i="1"/>
  <c r="A7993" i="1"/>
  <c r="R7992" i="1"/>
  <c r="J7992" i="1"/>
  <c r="I7992" i="1"/>
  <c r="G7992" i="1"/>
  <c r="F7992" i="1"/>
  <c r="E7992" i="1"/>
  <c r="D7992" i="1"/>
  <c r="C7992" i="1"/>
  <c r="B7992" i="1"/>
  <c r="A7992" i="1"/>
  <c r="S7991" i="1"/>
  <c r="O7991" i="1"/>
  <c r="K7991" i="1"/>
  <c r="J7991" i="1"/>
  <c r="I7991" i="1"/>
  <c r="H7991" i="1"/>
  <c r="G7991" i="1"/>
  <c r="F7991" i="1"/>
  <c r="E7991" i="1"/>
  <c r="D7991" i="1"/>
  <c r="C7991" i="1"/>
  <c r="B7991" i="1"/>
  <c r="A7991" i="1"/>
  <c r="R7990" i="1"/>
  <c r="J7990" i="1"/>
  <c r="I7990" i="1"/>
  <c r="G7990" i="1"/>
  <c r="F7990" i="1"/>
  <c r="E7990" i="1"/>
  <c r="D7990" i="1"/>
  <c r="C7990" i="1"/>
  <c r="B7990" i="1"/>
  <c r="A7990" i="1"/>
  <c r="S7989" i="1"/>
  <c r="O7989" i="1"/>
  <c r="K7989" i="1"/>
  <c r="J7989" i="1"/>
  <c r="I7989" i="1"/>
  <c r="H7989" i="1"/>
  <c r="G7989" i="1"/>
  <c r="F7989" i="1"/>
  <c r="E7989" i="1"/>
  <c r="D7989" i="1"/>
  <c r="C7989" i="1"/>
  <c r="B7989" i="1"/>
  <c r="A7989" i="1"/>
  <c r="R7988" i="1"/>
  <c r="J7988" i="1"/>
  <c r="I7988" i="1"/>
  <c r="G7988" i="1"/>
  <c r="F7988" i="1"/>
  <c r="E7988" i="1"/>
  <c r="D7988" i="1"/>
  <c r="C7988" i="1"/>
  <c r="B7988" i="1"/>
  <c r="A7988" i="1"/>
  <c r="R7987" i="1"/>
  <c r="J7987" i="1"/>
  <c r="I7987" i="1"/>
  <c r="G7987" i="1"/>
  <c r="F7987" i="1"/>
  <c r="E7987" i="1"/>
  <c r="D7987" i="1"/>
  <c r="C7987" i="1"/>
  <c r="B7987" i="1"/>
  <c r="A7987" i="1"/>
  <c r="S7986" i="1"/>
  <c r="O7986" i="1"/>
  <c r="K7986" i="1"/>
  <c r="J7986" i="1"/>
  <c r="I7986" i="1"/>
  <c r="H7986" i="1"/>
  <c r="G7986" i="1"/>
  <c r="F7986" i="1"/>
  <c r="E7986" i="1"/>
  <c r="D7986" i="1"/>
  <c r="C7986" i="1"/>
  <c r="B7986" i="1"/>
  <c r="A7986" i="1"/>
  <c r="R7985" i="1"/>
  <c r="J7985" i="1"/>
  <c r="I7985" i="1"/>
  <c r="G7985" i="1"/>
  <c r="F7985" i="1"/>
  <c r="E7985" i="1"/>
  <c r="D7985" i="1"/>
  <c r="C7985" i="1"/>
  <c r="B7985" i="1"/>
  <c r="A7985" i="1"/>
  <c r="R7984" i="1"/>
  <c r="J7984" i="1"/>
  <c r="I7984" i="1"/>
  <c r="G7984" i="1"/>
  <c r="F7984" i="1"/>
  <c r="E7984" i="1"/>
  <c r="D7984" i="1"/>
  <c r="C7984" i="1"/>
  <c r="B7984" i="1"/>
  <c r="A7984" i="1"/>
  <c r="R7983" i="1"/>
  <c r="J7983" i="1"/>
  <c r="I7983" i="1"/>
  <c r="G7983" i="1"/>
  <c r="F7983" i="1"/>
  <c r="E7983" i="1"/>
  <c r="D7983" i="1"/>
  <c r="C7983" i="1"/>
  <c r="B7983" i="1"/>
  <c r="A7983" i="1"/>
  <c r="S7982" i="1"/>
  <c r="O7982" i="1"/>
  <c r="K7982" i="1"/>
  <c r="J7982" i="1"/>
  <c r="I7982" i="1"/>
  <c r="H7982" i="1"/>
  <c r="G7982" i="1"/>
  <c r="F7982" i="1"/>
  <c r="E7982" i="1"/>
  <c r="D7982" i="1"/>
  <c r="C7982" i="1"/>
  <c r="B7982" i="1"/>
  <c r="A7982" i="1"/>
  <c r="R7981" i="1"/>
  <c r="J7981" i="1"/>
  <c r="I7981" i="1"/>
  <c r="G7981" i="1"/>
  <c r="F7981" i="1"/>
  <c r="E7981" i="1"/>
  <c r="D7981" i="1"/>
  <c r="C7981" i="1"/>
  <c r="B7981" i="1"/>
  <c r="A7981" i="1"/>
  <c r="S7980" i="1"/>
  <c r="O7980" i="1"/>
  <c r="K7980" i="1"/>
  <c r="J7980" i="1"/>
  <c r="I7980" i="1"/>
  <c r="H7980" i="1"/>
  <c r="G7980" i="1"/>
  <c r="F7980" i="1"/>
  <c r="E7980" i="1"/>
  <c r="D7980" i="1"/>
  <c r="C7980" i="1"/>
  <c r="B7980" i="1"/>
  <c r="A7980" i="1"/>
  <c r="R7979" i="1"/>
  <c r="J7979" i="1"/>
  <c r="I7979" i="1"/>
  <c r="G7979" i="1"/>
  <c r="F7979" i="1"/>
  <c r="E7979" i="1"/>
  <c r="D7979" i="1"/>
  <c r="C7979" i="1"/>
  <c r="B7979" i="1"/>
  <c r="A7979" i="1"/>
  <c r="S7978" i="1"/>
  <c r="O7978" i="1"/>
  <c r="K7978" i="1"/>
  <c r="J7978" i="1"/>
  <c r="I7978" i="1"/>
  <c r="H7978" i="1"/>
  <c r="G7978" i="1"/>
  <c r="F7978" i="1"/>
  <c r="E7978" i="1"/>
  <c r="D7978" i="1"/>
  <c r="C7978" i="1"/>
  <c r="B7978" i="1"/>
  <c r="A7978" i="1"/>
  <c r="R7977" i="1"/>
  <c r="J7977" i="1"/>
  <c r="I7977" i="1"/>
  <c r="G7977" i="1"/>
  <c r="F7977" i="1"/>
  <c r="E7977" i="1"/>
  <c r="D7977" i="1"/>
  <c r="C7977" i="1"/>
  <c r="B7977" i="1"/>
  <c r="A7977" i="1"/>
  <c r="S7976" i="1"/>
  <c r="O7976" i="1"/>
  <c r="K7976" i="1"/>
  <c r="J7976" i="1"/>
  <c r="I7976" i="1"/>
  <c r="H7976" i="1"/>
  <c r="G7976" i="1"/>
  <c r="F7976" i="1"/>
  <c r="E7976" i="1"/>
  <c r="D7976" i="1"/>
  <c r="C7976" i="1"/>
  <c r="B7976" i="1"/>
  <c r="A7976" i="1"/>
  <c r="R7975" i="1"/>
  <c r="J7975" i="1"/>
  <c r="I7975" i="1"/>
  <c r="G7975" i="1"/>
  <c r="F7975" i="1"/>
  <c r="E7975" i="1"/>
  <c r="D7975" i="1"/>
  <c r="C7975" i="1"/>
  <c r="B7975" i="1"/>
  <c r="A7975" i="1"/>
  <c r="S7974" i="1"/>
  <c r="O7974" i="1"/>
  <c r="K7974" i="1"/>
  <c r="J7974" i="1"/>
  <c r="I7974" i="1"/>
  <c r="H7974" i="1"/>
  <c r="G7974" i="1"/>
  <c r="F7974" i="1"/>
  <c r="E7974" i="1"/>
  <c r="D7974" i="1"/>
  <c r="C7974" i="1"/>
  <c r="B7974" i="1"/>
  <c r="A7974" i="1"/>
  <c r="R7973" i="1"/>
  <c r="J7973" i="1"/>
  <c r="I7973" i="1"/>
  <c r="G7973" i="1"/>
  <c r="F7973" i="1"/>
  <c r="E7973" i="1"/>
  <c r="D7973" i="1"/>
  <c r="C7973" i="1"/>
  <c r="B7973" i="1"/>
  <c r="A7973" i="1"/>
  <c r="S7972" i="1"/>
  <c r="O7972" i="1"/>
  <c r="K7972" i="1"/>
  <c r="J7972" i="1"/>
  <c r="I7972" i="1"/>
  <c r="H7972" i="1"/>
  <c r="G7972" i="1"/>
  <c r="F7972" i="1"/>
  <c r="E7972" i="1"/>
  <c r="D7972" i="1"/>
  <c r="C7972" i="1"/>
  <c r="B7972" i="1"/>
  <c r="A7972" i="1"/>
  <c r="R7971" i="1"/>
  <c r="J7971" i="1"/>
  <c r="I7971" i="1"/>
  <c r="G7971" i="1"/>
  <c r="F7971" i="1"/>
  <c r="E7971" i="1"/>
  <c r="D7971" i="1"/>
  <c r="C7971" i="1"/>
  <c r="B7971" i="1"/>
  <c r="A7971" i="1"/>
  <c r="S7970" i="1"/>
  <c r="O7970" i="1"/>
  <c r="K7970" i="1"/>
  <c r="J7970" i="1"/>
  <c r="I7970" i="1"/>
  <c r="H7970" i="1"/>
  <c r="G7970" i="1"/>
  <c r="F7970" i="1"/>
  <c r="E7970" i="1"/>
  <c r="D7970" i="1"/>
  <c r="C7970" i="1"/>
  <c r="B7970" i="1"/>
  <c r="A7970" i="1"/>
  <c r="R7969" i="1"/>
  <c r="J7969" i="1"/>
  <c r="I7969" i="1"/>
  <c r="G7969" i="1"/>
  <c r="F7969" i="1"/>
  <c r="E7969" i="1"/>
  <c r="D7969" i="1"/>
  <c r="C7969" i="1"/>
  <c r="B7969" i="1"/>
  <c r="A7969" i="1"/>
  <c r="S7968" i="1"/>
  <c r="O7968" i="1"/>
  <c r="K7968" i="1"/>
  <c r="J7968" i="1"/>
  <c r="I7968" i="1"/>
  <c r="H7968" i="1"/>
  <c r="G7968" i="1"/>
  <c r="F7968" i="1"/>
  <c r="E7968" i="1"/>
  <c r="D7968" i="1"/>
  <c r="C7968" i="1"/>
  <c r="B7968" i="1"/>
  <c r="A7968" i="1"/>
  <c r="R7967" i="1"/>
  <c r="J7967" i="1"/>
  <c r="I7967" i="1"/>
  <c r="G7967" i="1"/>
  <c r="F7967" i="1"/>
  <c r="E7967" i="1"/>
  <c r="D7967" i="1"/>
  <c r="C7967" i="1"/>
  <c r="B7967" i="1"/>
  <c r="A7967" i="1"/>
  <c r="S7966" i="1"/>
  <c r="O7966" i="1"/>
  <c r="K7966" i="1"/>
  <c r="J7966" i="1"/>
  <c r="I7966" i="1"/>
  <c r="H7966" i="1"/>
  <c r="G7966" i="1"/>
  <c r="F7966" i="1"/>
  <c r="E7966" i="1"/>
  <c r="D7966" i="1"/>
  <c r="C7966" i="1"/>
  <c r="B7966" i="1"/>
  <c r="A7966" i="1"/>
  <c r="R7965" i="1"/>
  <c r="J7965" i="1"/>
  <c r="I7965" i="1"/>
  <c r="G7965" i="1"/>
  <c r="F7965" i="1"/>
  <c r="E7965" i="1"/>
  <c r="D7965" i="1"/>
  <c r="C7965" i="1"/>
  <c r="B7965" i="1"/>
  <c r="A7965" i="1"/>
  <c r="S7964" i="1"/>
  <c r="O7964" i="1"/>
  <c r="K7964" i="1"/>
  <c r="J7964" i="1"/>
  <c r="I7964" i="1"/>
  <c r="H7964" i="1"/>
  <c r="G7964" i="1"/>
  <c r="F7964" i="1"/>
  <c r="E7964" i="1"/>
  <c r="D7964" i="1"/>
  <c r="C7964" i="1"/>
  <c r="B7964" i="1"/>
  <c r="A7964" i="1"/>
  <c r="R7963" i="1"/>
  <c r="J7963" i="1"/>
  <c r="I7963" i="1"/>
  <c r="G7963" i="1"/>
  <c r="F7963" i="1"/>
  <c r="E7963" i="1"/>
  <c r="D7963" i="1"/>
  <c r="C7963" i="1"/>
  <c r="B7963" i="1"/>
  <c r="A7963" i="1"/>
  <c r="S7962" i="1"/>
  <c r="O7962" i="1"/>
  <c r="K7962" i="1"/>
  <c r="J7962" i="1"/>
  <c r="I7962" i="1"/>
  <c r="H7962" i="1"/>
  <c r="G7962" i="1"/>
  <c r="F7962" i="1"/>
  <c r="E7962" i="1"/>
  <c r="D7962" i="1"/>
  <c r="C7962" i="1"/>
  <c r="B7962" i="1"/>
  <c r="A7962" i="1"/>
  <c r="R7961" i="1"/>
  <c r="J7961" i="1"/>
  <c r="I7961" i="1"/>
  <c r="G7961" i="1"/>
  <c r="F7961" i="1"/>
  <c r="E7961" i="1"/>
  <c r="D7961" i="1"/>
  <c r="C7961" i="1"/>
  <c r="B7961" i="1"/>
  <c r="A7961" i="1"/>
  <c r="S7960" i="1"/>
  <c r="O7960" i="1"/>
  <c r="K7960" i="1"/>
  <c r="J7960" i="1"/>
  <c r="I7960" i="1"/>
  <c r="H7960" i="1"/>
  <c r="G7960" i="1"/>
  <c r="F7960" i="1"/>
  <c r="E7960" i="1"/>
  <c r="D7960" i="1"/>
  <c r="C7960" i="1"/>
  <c r="B7960" i="1"/>
  <c r="A7960" i="1"/>
  <c r="R7959" i="1"/>
  <c r="J7959" i="1"/>
  <c r="I7959" i="1"/>
  <c r="G7959" i="1"/>
  <c r="F7959" i="1"/>
  <c r="E7959" i="1"/>
  <c r="D7959" i="1"/>
  <c r="C7959" i="1"/>
  <c r="B7959" i="1"/>
  <c r="A7959" i="1"/>
  <c r="R7958" i="1"/>
  <c r="J7958" i="1"/>
  <c r="I7958" i="1"/>
  <c r="G7958" i="1"/>
  <c r="F7958" i="1"/>
  <c r="E7958" i="1"/>
  <c r="D7958" i="1"/>
  <c r="C7958" i="1"/>
  <c r="B7958" i="1"/>
  <c r="A7958" i="1"/>
  <c r="R7957" i="1"/>
  <c r="J7957" i="1"/>
  <c r="I7957" i="1"/>
  <c r="G7957" i="1"/>
  <c r="F7957" i="1"/>
  <c r="E7957" i="1"/>
  <c r="D7957" i="1"/>
  <c r="C7957" i="1"/>
  <c r="B7957" i="1"/>
  <c r="A7957" i="1"/>
  <c r="R7956" i="1"/>
  <c r="J7956" i="1"/>
  <c r="I7956" i="1"/>
  <c r="G7956" i="1"/>
  <c r="F7956" i="1"/>
  <c r="E7956" i="1"/>
  <c r="D7956" i="1"/>
  <c r="C7956" i="1"/>
  <c r="B7956" i="1"/>
  <c r="A7956" i="1"/>
  <c r="R7955" i="1"/>
  <c r="J7955" i="1"/>
  <c r="I7955" i="1"/>
  <c r="G7955" i="1"/>
  <c r="F7955" i="1"/>
  <c r="E7955" i="1"/>
  <c r="D7955" i="1"/>
  <c r="C7955" i="1"/>
  <c r="B7955" i="1"/>
  <c r="A7955" i="1"/>
  <c r="S7954" i="1"/>
  <c r="O7954" i="1"/>
  <c r="K7954" i="1"/>
  <c r="J7954" i="1"/>
  <c r="I7954" i="1"/>
  <c r="H7954" i="1"/>
  <c r="G7954" i="1"/>
  <c r="F7954" i="1"/>
  <c r="E7954" i="1"/>
  <c r="D7954" i="1"/>
  <c r="C7954" i="1"/>
  <c r="B7954" i="1"/>
  <c r="A7954" i="1"/>
  <c r="R7953" i="1"/>
  <c r="J7953" i="1"/>
  <c r="I7953" i="1"/>
  <c r="G7953" i="1"/>
  <c r="F7953" i="1"/>
  <c r="E7953" i="1"/>
  <c r="D7953" i="1"/>
  <c r="C7953" i="1"/>
  <c r="B7953" i="1"/>
  <c r="A7953" i="1"/>
  <c r="S7952" i="1"/>
  <c r="O7952" i="1"/>
  <c r="K7952" i="1"/>
  <c r="J7952" i="1"/>
  <c r="I7952" i="1"/>
  <c r="H7952" i="1"/>
  <c r="G7952" i="1"/>
  <c r="F7952" i="1"/>
  <c r="E7952" i="1"/>
  <c r="D7952" i="1"/>
  <c r="C7952" i="1"/>
  <c r="B7952" i="1"/>
  <c r="A7952" i="1"/>
  <c r="R7951" i="1"/>
  <c r="J7951" i="1"/>
  <c r="I7951" i="1"/>
  <c r="G7951" i="1"/>
  <c r="F7951" i="1"/>
  <c r="E7951" i="1"/>
  <c r="D7951" i="1"/>
  <c r="C7951" i="1"/>
  <c r="B7951" i="1"/>
  <c r="A7951" i="1"/>
  <c r="S7950" i="1"/>
  <c r="O7950" i="1"/>
  <c r="K7950" i="1"/>
  <c r="J7950" i="1"/>
  <c r="I7950" i="1"/>
  <c r="H7950" i="1"/>
  <c r="G7950" i="1"/>
  <c r="F7950" i="1"/>
  <c r="E7950" i="1"/>
  <c r="D7950" i="1"/>
  <c r="C7950" i="1"/>
  <c r="B7950" i="1"/>
  <c r="A7950" i="1"/>
  <c r="R7949" i="1"/>
  <c r="J7949" i="1"/>
  <c r="I7949" i="1"/>
  <c r="G7949" i="1"/>
  <c r="F7949" i="1"/>
  <c r="E7949" i="1"/>
  <c r="D7949" i="1"/>
  <c r="C7949" i="1"/>
  <c r="B7949" i="1"/>
  <c r="A7949" i="1"/>
  <c r="S7948" i="1"/>
  <c r="O7948" i="1"/>
  <c r="K7948" i="1"/>
  <c r="J7948" i="1"/>
  <c r="I7948" i="1"/>
  <c r="H7948" i="1"/>
  <c r="G7948" i="1"/>
  <c r="F7948" i="1"/>
  <c r="E7948" i="1"/>
  <c r="D7948" i="1"/>
  <c r="C7948" i="1"/>
  <c r="B7948" i="1"/>
  <c r="A7948" i="1"/>
  <c r="R7947" i="1"/>
  <c r="J7947" i="1"/>
  <c r="I7947" i="1"/>
  <c r="G7947" i="1"/>
  <c r="F7947" i="1"/>
  <c r="E7947" i="1"/>
  <c r="D7947" i="1"/>
  <c r="C7947" i="1"/>
  <c r="B7947" i="1"/>
  <c r="A7947" i="1"/>
  <c r="S7946" i="1"/>
  <c r="O7946" i="1"/>
  <c r="K7946" i="1"/>
  <c r="J7946" i="1"/>
  <c r="I7946" i="1"/>
  <c r="H7946" i="1"/>
  <c r="G7946" i="1"/>
  <c r="F7946" i="1"/>
  <c r="E7946" i="1"/>
  <c r="D7946" i="1"/>
  <c r="C7946" i="1"/>
  <c r="B7946" i="1"/>
  <c r="A7946" i="1"/>
  <c r="R7945" i="1"/>
  <c r="J7945" i="1"/>
  <c r="I7945" i="1"/>
  <c r="G7945" i="1"/>
  <c r="F7945" i="1"/>
  <c r="E7945" i="1"/>
  <c r="D7945" i="1"/>
  <c r="C7945" i="1"/>
  <c r="B7945" i="1"/>
  <c r="A7945" i="1"/>
  <c r="S7944" i="1"/>
  <c r="O7944" i="1"/>
  <c r="K7944" i="1"/>
  <c r="J7944" i="1"/>
  <c r="I7944" i="1"/>
  <c r="H7944" i="1"/>
  <c r="G7944" i="1"/>
  <c r="F7944" i="1"/>
  <c r="E7944" i="1"/>
  <c r="D7944" i="1"/>
  <c r="C7944" i="1"/>
  <c r="B7944" i="1"/>
  <c r="A7944" i="1"/>
  <c r="R7943" i="1"/>
  <c r="J7943" i="1"/>
  <c r="I7943" i="1"/>
  <c r="G7943" i="1"/>
  <c r="F7943" i="1"/>
  <c r="E7943" i="1"/>
  <c r="D7943" i="1"/>
  <c r="C7943" i="1"/>
  <c r="B7943" i="1"/>
  <c r="A7943" i="1"/>
  <c r="S7942" i="1"/>
  <c r="O7942" i="1"/>
  <c r="K7942" i="1"/>
  <c r="J7942" i="1"/>
  <c r="I7942" i="1"/>
  <c r="H7942" i="1"/>
  <c r="G7942" i="1"/>
  <c r="F7942" i="1"/>
  <c r="E7942" i="1"/>
  <c r="D7942" i="1"/>
  <c r="C7942" i="1"/>
  <c r="B7942" i="1"/>
  <c r="A7942" i="1"/>
  <c r="R7941" i="1"/>
  <c r="J7941" i="1"/>
  <c r="I7941" i="1"/>
  <c r="G7941" i="1"/>
  <c r="F7941" i="1"/>
  <c r="E7941" i="1"/>
  <c r="D7941" i="1"/>
  <c r="C7941" i="1"/>
  <c r="B7941" i="1"/>
  <c r="A7941" i="1"/>
  <c r="S7940" i="1"/>
  <c r="O7940" i="1"/>
  <c r="K7940" i="1"/>
  <c r="J7940" i="1"/>
  <c r="I7940" i="1"/>
  <c r="H7940" i="1"/>
  <c r="G7940" i="1"/>
  <c r="F7940" i="1"/>
  <c r="E7940" i="1"/>
  <c r="D7940" i="1"/>
  <c r="C7940" i="1"/>
  <c r="B7940" i="1"/>
  <c r="A7940" i="1"/>
  <c r="R7939" i="1"/>
  <c r="J7939" i="1"/>
  <c r="I7939" i="1"/>
  <c r="G7939" i="1"/>
  <c r="F7939" i="1"/>
  <c r="E7939" i="1"/>
  <c r="D7939" i="1"/>
  <c r="C7939" i="1"/>
  <c r="B7939" i="1"/>
  <c r="A7939" i="1"/>
  <c r="S7938" i="1"/>
  <c r="O7938" i="1"/>
  <c r="K7938" i="1"/>
  <c r="J7938" i="1"/>
  <c r="I7938" i="1"/>
  <c r="H7938" i="1"/>
  <c r="G7938" i="1"/>
  <c r="F7938" i="1"/>
  <c r="E7938" i="1"/>
  <c r="D7938" i="1"/>
  <c r="C7938" i="1"/>
  <c r="B7938" i="1"/>
  <c r="A7938" i="1"/>
  <c r="R7937" i="1"/>
  <c r="J7937" i="1"/>
  <c r="I7937" i="1"/>
  <c r="G7937" i="1"/>
  <c r="F7937" i="1"/>
  <c r="E7937" i="1"/>
  <c r="D7937" i="1"/>
  <c r="C7937" i="1"/>
  <c r="B7937" i="1"/>
  <c r="A7937" i="1"/>
  <c r="S7936" i="1"/>
  <c r="O7936" i="1"/>
  <c r="K7936" i="1"/>
  <c r="J7936" i="1"/>
  <c r="I7936" i="1"/>
  <c r="H7936" i="1"/>
  <c r="G7936" i="1"/>
  <c r="F7936" i="1"/>
  <c r="E7936" i="1"/>
  <c r="D7936" i="1"/>
  <c r="C7936" i="1"/>
  <c r="B7936" i="1"/>
  <c r="A7936" i="1"/>
  <c r="R7935" i="1"/>
  <c r="J7935" i="1"/>
  <c r="I7935" i="1"/>
  <c r="G7935" i="1"/>
  <c r="F7935" i="1"/>
  <c r="E7935" i="1"/>
  <c r="D7935" i="1"/>
  <c r="C7935" i="1"/>
  <c r="B7935" i="1"/>
  <c r="A7935" i="1"/>
  <c r="R7934" i="1"/>
  <c r="J7934" i="1"/>
  <c r="I7934" i="1"/>
  <c r="G7934" i="1"/>
  <c r="F7934" i="1"/>
  <c r="E7934" i="1"/>
  <c r="D7934" i="1"/>
  <c r="C7934" i="1"/>
  <c r="B7934" i="1"/>
  <c r="A7934" i="1"/>
  <c r="S7933" i="1"/>
  <c r="O7933" i="1"/>
  <c r="K7933" i="1"/>
  <c r="J7933" i="1"/>
  <c r="I7933" i="1"/>
  <c r="H7933" i="1"/>
  <c r="G7933" i="1"/>
  <c r="F7933" i="1"/>
  <c r="E7933" i="1"/>
  <c r="D7933" i="1"/>
  <c r="C7933" i="1"/>
  <c r="B7933" i="1"/>
  <c r="A7933" i="1"/>
  <c r="R7932" i="1"/>
  <c r="J7932" i="1"/>
  <c r="I7932" i="1"/>
  <c r="G7932" i="1"/>
  <c r="F7932" i="1"/>
  <c r="E7932" i="1"/>
  <c r="D7932" i="1"/>
  <c r="C7932" i="1"/>
  <c r="B7932" i="1"/>
  <c r="A7932" i="1"/>
  <c r="R7931" i="1"/>
  <c r="J7931" i="1"/>
  <c r="I7931" i="1"/>
  <c r="G7931" i="1"/>
  <c r="F7931" i="1"/>
  <c r="E7931" i="1"/>
  <c r="D7931" i="1"/>
  <c r="C7931" i="1"/>
  <c r="B7931" i="1"/>
  <c r="A7931" i="1"/>
  <c r="S7930" i="1"/>
  <c r="O7930" i="1"/>
  <c r="K7930" i="1"/>
  <c r="J7930" i="1"/>
  <c r="I7930" i="1"/>
  <c r="H7930" i="1"/>
  <c r="G7930" i="1"/>
  <c r="F7930" i="1"/>
  <c r="E7930" i="1"/>
  <c r="D7930" i="1"/>
  <c r="C7930" i="1"/>
  <c r="B7930" i="1"/>
  <c r="A7930" i="1"/>
  <c r="R7929" i="1"/>
  <c r="J7929" i="1"/>
  <c r="I7929" i="1"/>
  <c r="G7929" i="1"/>
  <c r="F7929" i="1"/>
  <c r="E7929" i="1"/>
  <c r="D7929" i="1"/>
  <c r="C7929" i="1"/>
  <c r="B7929" i="1"/>
  <c r="A7929" i="1"/>
  <c r="S7928" i="1"/>
  <c r="O7928" i="1"/>
  <c r="K7928" i="1"/>
  <c r="J7928" i="1"/>
  <c r="I7928" i="1"/>
  <c r="H7928" i="1"/>
  <c r="G7928" i="1"/>
  <c r="F7928" i="1"/>
  <c r="E7928" i="1"/>
  <c r="D7928" i="1"/>
  <c r="C7928" i="1"/>
  <c r="B7928" i="1"/>
  <c r="A7928" i="1"/>
  <c r="R7927" i="1"/>
  <c r="J7927" i="1"/>
  <c r="I7927" i="1"/>
  <c r="G7927" i="1"/>
  <c r="F7927" i="1"/>
  <c r="E7927" i="1"/>
  <c r="D7927" i="1"/>
  <c r="C7927" i="1"/>
  <c r="B7927" i="1"/>
  <c r="A7927" i="1"/>
  <c r="S7926" i="1"/>
  <c r="O7926" i="1"/>
  <c r="K7926" i="1"/>
  <c r="J7926" i="1"/>
  <c r="I7926" i="1"/>
  <c r="H7926" i="1"/>
  <c r="G7926" i="1"/>
  <c r="F7926" i="1"/>
  <c r="E7926" i="1"/>
  <c r="D7926" i="1"/>
  <c r="C7926" i="1"/>
  <c r="B7926" i="1"/>
  <c r="A7926" i="1"/>
  <c r="R7925" i="1"/>
  <c r="J7925" i="1"/>
  <c r="I7925" i="1"/>
  <c r="G7925" i="1"/>
  <c r="F7925" i="1"/>
  <c r="E7925" i="1"/>
  <c r="D7925" i="1"/>
  <c r="C7925" i="1"/>
  <c r="B7925" i="1"/>
  <c r="A7925" i="1"/>
  <c r="S7924" i="1"/>
  <c r="O7924" i="1"/>
  <c r="K7924" i="1"/>
  <c r="J7924" i="1"/>
  <c r="I7924" i="1"/>
  <c r="H7924" i="1"/>
  <c r="G7924" i="1"/>
  <c r="F7924" i="1"/>
  <c r="E7924" i="1"/>
  <c r="D7924" i="1"/>
  <c r="C7924" i="1"/>
  <c r="B7924" i="1"/>
  <c r="A7924" i="1"/>
  <c r="R7923" i="1"/>
  <c r="J7923" i="1"/>
  <c r="I7923" i="1"/>
  <c r="G7923" i="1"/>
  <c r="F7923" i="1"/>
  <c r="E7923" i="1"/>
  <c r="D7923" i="1"/>
  <c r="C7923" i="1"/>
  <c r="B7923" i="1"/>
  <c r="A7923" i="1"/>
  <c r="S7922" i="1"/>
  <c r="O7922" i="1"/>
  <c r="K7922" i="1"/>
  <c r="J7922" i="1"/>
  <c r="I7922" i="1"/>
  <c r="H7922" i="1"/>
  <c r="G7922" i="1"/>
  <c r="F7922" i="1"/>
  <c r="E7922" i="1"/>
  <c r="D7922" i="1"/>
  <c r="C7922" i="1"/>
  <c r="B7922" i="1"/>
  <c r="A7922" i="1"/>
  <c r="R7921" i="1"/>
  <c r="J7921" i="1"/>
  <c r="I7921" i="1"/>
  <c r="G7921" i="1"/>
  <c r="F7921" i="1"/>
  <c r="E7921" i="1"/>
  <c r="D7921" i="1"/>
  <c r="C7921" i="1"/>
  <c r="B7921" i="1"/>
  <c r="A7921" i="1"/>
  <c r="S7920" i="1"/>
  <c r="O7920" i="1"/>
  <c r="K7920" i="1"/>
  <c r="J7920" i="1"/>
  <c r="I7920" i="1"/>
  <c r="H7920" i="1"/>
  <c r="G7920" i="1"/>
  <c r="F7920" i="1"/>
  <c r="E7920" i="1"/>
  <c r="D7920" i="1"/>
  <c r="C7920" i="1"/>
  <c r="B7920" i="1"/>
  <c r="A7920" i="1"/>
  <c r="R7919" i="1"/>
  <c r="J7919" i="1"/>
  <c r="I7919" i="1"/>
  <c r="G7919" i="1"/>
  <c r="F7919" i="1"/>
  <c r="E7919" i="1"/>
  <c r="D7919" i="1"/>
  <c r="C7919" i="1"/>
  <c r="B7919" i="1"/>
  <c r="A7919" i="1"/>
  <c r="S7918" i="1"/>
  <c r="O7918" i="1"/>
  <c r="K7918" i="1"/>
  <c r="J7918" i="1"/>
  <c r="I7918" i="1"/>
  <c r="H7918" i="1"/>
  <c r="G7918" i="1"/>
  <c r="F7918" i="1"/>
  <c r="E7918" i="1"/>
  <c r="D7918" i="1"/>
  <c r="C7918" i="1"/>
  <c r="B7918" i="1"/>
  <c r="A7918" i="1"/>
  <c r="R7917" i="1"/>
  <c r="J7917" i="1"/>
  <c r="I7917" i="1"/>
  <c r="G7917" i="1"/>
  <c r="F7917" i="1"/>
  <c r="E7917" i="1"/>
  <c r="D7917" i="1"/>
  <c r="C7917" i="1"/>
  <c r="B7917" i="1"/>
  <c r="A7917" i="1"/>
  <c r="S7916" i="1"/>
  <c r="O7916" i="1"/>
  <c r="K7916" i="1"/>
  <c r="J7916" i="1"/>
  <c r="I7916" i="1"/>
  <c r="H7916" i="1"/>
  <c r="G7916" i="1"/>
  <c r="F7916" i="1"/>
  <c r="E7916" i="1"/>
  <c r="D7916" i="1"/>
  <c r="C7916" i="1"/>
  <c r="B7916" i="1"/>
  <c r="A7916" i="1"/>
  <c r="R7915" i="1"/>
  <c r="J7915" i="1"/>
  <c r="I7915" i="1"/>
  <c r="G7915" i="1"/>
  <c r="F7915" i="1"/>
  <c r="E7915" i="1"/>
  <c r="D7915" i="1"/>
  <c r="C7915" i="1"/>
  <c r="B7915" i="1"/>
  <c r="A7915" i="1"/>
  <c r="S7914" i="1"/>
  <c r="O7914" i="1"/>
  <c r="K7914" i="1"/>
  <c r="J7914" i="1"/>
  <c r="I7914" i="1"/>
  <c r="H7914" i="1"/>
  <c r="G7914" i="1"/>
  <c r="F7914" i="1"/>
  <c r="E7914" i="1"/>
  <c r="D7914" i="1"/>
  <c r="C7914" i="1"/>
  <c r="B7914" i="1"/>
  <c r="A7914" i="1"/>
  <c r="R7913" i="1"/>
  <c r="J7913" i="1"/>
  <c r="I7913" i="1"/>
  <c r="G7913" i="1"/>
  <c r="F7913" i="1"/>
  <c r="E7913" i="1"/>
  <c r="D7913" i="1"/>
  <c r="C7913" i="1"/>
  <c r="B7913" i="1"/>
  <c r="A7913" i="1"/>
  <c r="S7912" i="1"/>
  <c r="O7912" i="1"/>
  <c r="K7912" i="1"/>
  <c r="J7912" i="1"/>
  <c r="I7912" i="1"/>
  <c r="H7912" i="1"/>
  <c r="G7912" i="1"/>
  <c r="F7912" i="1"/>
  <c r="E7912" i="1"/>
  <c r="D7912" i="1"/>
  <c r="C7912" i="1"/>
  <c r="B7912" i="1"/>
  <c r="A7912" i="1"/>
  <c r="R7911" i="1"/>
  <c r="J7911" i="1"/>
  <c r="I7911" i="1"/>
  <c r="G7911" i="1"/>
  <c r="F7911" i="1"/>
  <c r="E7911" i="1"/>
  <c r="D7911" i="1"/>
  <c r="C7911" i="1"/>
  <c r="B7911" i="1"/>
  <c r="A7911" i="1"/>
  <c r="S7910" i="1"/>
  <c r="O7910" i="1"/>
  <c r="K7910" i="1"/>
  <c r="J7910" i="1"/>
  <c r="I7910" i="1"/>
  <c r="H7910" i="1"/>
  <c r="G7910" i="1"/>
  <c r="F7910" i="1"/>
  <c r="E7910" i="1"/>
  <c r="D7910" i="1"/>
  <c r="C7910" i="1"/>
  <c r="B7910" i="1"/>
  <c r="A7910" i="1"/>
  <c r="R7909" i="1"/>
  <c r="J7909" i="1"/>
  <c r="I7909" i="1"/>
  <c r="G7909" i="1"/>
  <c r="F7909" i="1"/>
  <c r="E7909" i="1"/>
  <c r="D7909" i="1"/>
  <c r="C7909" i="1"/>
  <c r="B7909" i="1"/>
  <c r="A7909" i="1"/>
  <c r="S7908" i="1"/>
  <c r="O7908" i="1"/>
  <c r="K7908" i="1"/>
  <c r="J7908" i="1"/>
  <c r="I7908" i="1"/>
  <c r="H7908" i="1"/>
  <c r="G7908" i="1"/>
  <c r="F7908" i="1"/>
  <c r="E7908" i="1"/>
  <c r="D7908" i="1"/>
  <c r="C7908" i="1"/>
  <c r="B7908" i="1"/>
  <c r="A7908" i="1"/>
  <c r="R7907" i="1"/>
  <c r="J7907" i="1"/>
  <c r="I7907" i="1"/>
  <c r="G7907" i="1"/>
  <c r="F7907" i="1"/>
  <c r="E7907" i="1"/>
  <c r="D7907" i="1"/>
  <c r="C7907" i="1"/>
  <c r="B7907" i="1"/>
  <c r="A7907" i="1"/>
  <c r="S7906" i="1"/>
  <c r="O7906" i="1"/>
  <c r="K7906" i="1"/>
  <c r="J7906" i="1"/>
  <c r="I7906" i="1"/>
  <c r="H7906" i="1"/>
  <c r="G7906" i="1"/>
  <c r="F7906" i="1"/>
  <c r="E7906" i="1"/>
  <c r="D7906" i="1"/>
  <c r="C7906" i="1"/>
  <c r="B7906" i="1"/>
  <c r="A7906" i="1"/>
  <c r="R7905" i="1"/>
  <c r="J7905" i="1"/>
  <c r="I7905" i="1"/>
  <c r="G7905" i="1"/>
  <c r="F7905" i="1"/>
  <c r="E7905" i="1"/>
  <c r="D7905" i="1"/>
  <c r="C7905" i="1"/>
  <c r="B7905" i="1"/>
  <c r="A7905" i="1"/>
  <c r="S7904" i="1"/>
  <c r="O7904" i="1"/>
  <c r="K7904" i="1"/>
  <c r="J7904" i="1"/>
  <c r="I7904" i="1"/>
  <c r="H7904" i="1"/>
  <c r="G7904" i="1"/>
  <c r="F7904" i="1"/>
  <c r="E7904" i="1"/>
  <c r="D7904" i="1"/>
  <c r="C7904" i="1"/>
  <c r="B7904" i="1"/>
  <c r="A7904" i="1"/>
  <c r="R7903" i="1"/>
  <c r="J7903" i="1"/>
  <c r="I7903" i="1"/>
  <c r="G7903" i="1"/>
  <c r="F7903" i="1"/>
  <c r="E7903" i="1"/>
  <c r="D7903" i="1"/>
  <c r="C7903" i="1"/>
  <c r="B7903" i="1"/>
  <c r="A7903" i="1"/>
  <c r="S7902" i="1"/>
  <c r="O7902" i="1"/>
  <c r="K7902" i="1"/>
  <c r="J7902" i="1"/>
  <c r="I7902" i="1"/>
  <c r="H7902" i="1"/>
  <c r="G7902" i="1"/>
  <c r="F7902" i="1"/>
  <c r="E7902" i="1"/>
  <c r="D7902" i="1"/>
  <c r="C7902" i="1"/>
  <c r="B7902" i="1"/>
  <c r="A7902" i="1"/>
  <c r="R7901" i="1"/>
  <c r="J7901" i="1"/>
  <c r="I7901" i="1"/>
  <c r="G7901" i="1"/>
  <c r="F7901" i="1"/>
  <c r="E7901" i="1"/>
  <c r="D7901" i="1"/>
  <c r="C7901" i="1"/>
  <c r="B7901" i="1"/>
  <c r="A7901" i="1"/>
  <c r="S7900" i="1"/>
  <c r="O7900" i="1"/>
  <c r="K7900" i="1"/>
  <c r="J7900" i="1"/>
  <c r="I7900" i="1"/>
  <c r="H7900" i="1"/>
  <c r="G7900" i="1"/>
  <c r="F7900" i="1"/>
  <c r="E7900" i="1"/>
  <c r="D7900" i="1"/>
  <c r="C7900" i="1"/>
  <c r="B7900" i="1"/>
  <c r="A7900" i="1"/>
  <c r="R7899" i="1"/>
  <c r="J7899" i="1"/>
  <c r="I7899" i="1"/>
  <c r="G7899" i="1"/>
  <c r="F7899" i="1"/>
  <c r="E7899" i="1"/>
  <c r="D7899" i="1"/>
  <c r="C7899" i="1"/>
  <c r="B7899" i="1"/>
  <c r="A7899" i="1"/>
  <c r="S7898" i="1"/>
  <c r="O7898" i="1"/>
  <c r="K7898" i="1"/>
  <c r="J7898" i="1"/>
  <c r="I7898" i="1"/>
  <c r="H7898" i="1"/>
  <c r="G7898" i="1"/>
  <c r="F7898" i="1"/>
  <c r="E7898" i="1"/>
  <c r="D7898" i="1"/>
  <c r="C7898" i="1"/>
  <c r="B7898" i="1"/>
  <c r="A7898" i="1"/>
  <c r="R7897" i="1"/>
  <c r="J7897" i="1"/>
  <c r="I7897" i="1"/>
  <c r="G7897" i="1"/>
  <c r="F7897" i="1"/>
  <c r="E7897" i="1"/>
  <c r="D7897" i="1"/>
  <c r="C7897" i="1"/>
  <c r="B7897" i="1"/>
  <c r="A7897" i="1"/>
  <c r="S7896" i="1"/>
  <c r="O7896" i="1"/>
  <c r="K7896" i="1"/>
  <c r="J7896" i="1"/>
  <c r="I7896" i="1"/>
  <c r="H7896" i="1"/>
  <c r="G7896" i="1"/>
  <c r="F7896" i="1"/>
  <c r="E7896" i="1"/>
  <c r="D7896" i="1"/>
  <c r="C7896" i="1"/>
  <c r="B7896" i="1"/>
  <c r="A7896" i="1"/>
  <c r="R7895" i="1"/>
  <c r="J7895" i="1"/>
  <c r="I7895" i="1"/>
  <c r="G7895" i="1"/>
  <c r="F7895" i="1"/>
  <c r="E7895" i="1"/>
  <c r="D7895" i="1"/>
  <c r="C7895" i="1"/>
  <c r="B7895" i="1"/>
  <c r="A7895" i="1"/>
  <c r="S7894" i="1"/>
  <c r="O7894" i="1"/>
  <c r="K7894" i="1"/>
  <c r="J7894" i="1"/>
  <c r="I7894" i="1"/>
  <c r="H7894" i="1"/>
  <c r="G7894" i="1"/>
  <c r="F7894" i="1"/>
  <c r="E7894" i="1"/>
  <c r="D7894" i="1"/>
  <c r="C7894" i="1"/>
  <c r="B7894" i="1"/>
  <c r="A7894" i="1"/>
  <c r="S7893" i="1"/>
  <c r="O7893" i="1"/>
  <c r="K7893" i="1"/>
  <c r="J7893" i="1"/>
  <c r="I7893" i="1"/>
  <c r="H7893" i="1"/>
  <c r="G7893" i="1"/>
  <c r="F7893" i="1"/>
  <c r="E7893" i="1"/>
  <c r="D7893" i="1"/>
  <c r="C7893" i="1"/>
  <c r="B7893" i="1"/>
  <c r="A7893" i="1"/>
  <c r="R7892" i="1"/>
  <c r="J7892" i="1"/>
  <c r="I7892" i="1"/>
  <c r="G7892" i="1"/>
  <c r="F7892" i="1"/>
  <c r="E7892" i="1"/>
  <c r="D7892" i="1"/>
  <c r="C7892" i="1"/>
  <c r="B7892" i="1"/>
  <c r="A7892" i="1"/>
  <c r="S7891" i="1"/>
  <c r="O7891" i="1"/>
  <c r="K7891" i="1"/>
  <c r="J7891" i="1"/>
  <c r="I7891" i="1"/>
  <c r="H7891" i="1"/>
  <c r="G7891" i="1"/>
  <c r="F7891" i="1"/>
  <c r="E7891" i="1"/>
  <c r="D7891" i="1"/>
  <c r="C7891" i="1"/>
  <c r="B7891" i="1"/>
  <c r="A7891" i="1"/>
  <c r="R7890" i="1"/>
  <c r="J7890" i="1"/>
  <c r="I7890" i="1"/>
  <c r="G7890" i="1"/>
  <c r="F7890" i="1"/>
  <c r="E7890" i="1"/>
  <c r="D7890" i="1"/>
  <c r="C7890" i="1"/>
  <c r="B7890" i="1"/>
  <c r="A7890" i="1"/>
  <c r="S7889" i="1"/>
  <c r="O7889" i="1"/>
  <c r="K7889" i="1"/>
  <c r="J7889" i="1"/>
  <c r="I7889" i="1"/>
  <c r="H7889" i="1"/>
  <c r="G7889" i="1"/>
  <c r="F7889" i="1"/>
  <c r="E7889" i="1"/>
  <c r="D7889" i="1"/>
  <c r="C7889" i="1"/>
  <c r="B7889" i="1"/>
  <c r="A7889" i="1"/>
  <c r="R7888" i="1"/>
  <c r="J7888" i="1"/>
  <c r="I7888" i="1"/>
  <c r="G7888" i="1"/>
  <c r="F7888" i="1"/>
  <c r="E7888" i="1"/>
  <c r="D7888" i="1"/>
  <c r="C7888" i="1"/>
  <c r="B7888" i="1"/>
  <c r="A7888" i="1"/>
  <c r="S7887" i="1"/>
  <c r="O7887" i="1"/>
  <c r="K7887" i="1"/>
  <c r="J7887" i="1"/>
  <c r="I7887" i="1"/>
  <c r="H7887" i="1"/>
  <c r="G7887" i="1"/>
  <c r="F7887" i="1"/>
  <c r="E7887" i="1"/>
  <c r="D7887" i="1"/>
  <c r="C7887" i="1"/>
  <c r="B7887" i="1"/>
  <c r="A7887" i="1"/>
  <c r="R7886" i="1"/>
  <c r="J7886" i="1"/>
  <c r="I7886" i="1"/>
  <c r="G7886" i="1"/>
  <c r="F7886" i="1"/>
  <c r="E7886" i="1"/>
  <c r="D7886" i="1"/>
  <c r="C7886" i="1"/>
  <c r="B7886" i="1"/>
  <c r="A7886" i="1"/>
  <c r="S7885" i="1"/>
  <c r="O7885" i="1"/>
  <c r="K7885" i="1"/>
  <c r="J7885" i="1"/>
  <c r="I7885" i="1"/>
  <c r="H7885" i="1"/>
  <c r="G7885" i="1"/>
  <c r="F7885" i="1"/>
  <c r="E7885" i="1"/>
  <c r="D7885" i="1"/>
  <c r="C7885" i="1"/>
  <c r="B7885" i="1"/>
  <c r="A7885" i="1"/>
  <c r="R7884" i="1"/>
  <c r="J7884" i="1"/>
  <c r="I7884" i="1"/>
  <c r="G7884" i="1"/>
  <c r="F7884" i="1"/>
  <c r="E7884" i="1"/>
  <c r="D7884" i="1"/>
  <c r="C7884" i="1"/>
  <c r="B7884" i="1"/>
  <c r="A7884" i="1"/>
  <c r="S7883" i="1"/>
  <c r="O7883" i="1"/>
  <c r="K7883" i="1"/>
  <c r="J7883" i="1"/>
  <c r="I7883" i="1"/>
  <c r="H7883" i="1"/>
  <c r="G7883" i="1"/>
  <c r="F7883" i="1"/>
  <c r="E7883" i="1"/>
  <c r="D7883" i="1"/>
  <c r="C7883" i="1"/>
  <c r="B7883" i="1"/>
  <c r="A7883" i="1"/>
  <c r="R7882" i="1"/>
  <c r="J7882" i="1"/>
  <c r="I7882" i="1"/>
  <c r="G7882" i="1"/>
  <c r="F7882" i="1"/>
  <c r="E7882" i="1"/>
  <c r="D7882" i="1"/>
  <c r="C7882" i="1"/>
  <c r="B7882" i="1"/>
  <c r="A7882" i="1"/>
  <c r="R7881" i="1"/>
  <c r="J7881" i="1"/>
  <c r="I7881" i="1"/>
  <c r="G7881" i="1"/>
  <c r="F7881" i="1"/>
  <c r="E7881" i="1"/>
  <c r="D7881" i="1"/>
  <c r="C7881" i="1"/>
  <c r="B7881" i="1"/>
  <c r="A7881" i="1"/>
  <c r="R7880" i="1"/>
  <c r="J7880" i="1"/>
  <c r="I7880" i="1"/>
  <c r="G7880" i="1"/>
  <c r="F7880" i="1"/>
  <c r="E7880" i="1"/>
  <c r="D7880" i="1"/>
  <c r="C7880" i="1"/>
  <c r="B7880" i="1"/>
  <c r="A7880" i="1"/>
  <c r="R7879" i="1"/>
  <c r="J7879" i="1"/>
  <c r="I7879" i="1"/>
  <c r="G7879" i="1"/>
  <c r="F7879" i="1"/>
  <c r="E7879" i="1"/>
  <c r="D7879" i="1"/>
  <c r="C7879" i="1"/>
  <c r="B7879" i="1"/>
  <c r="A7879" i="1"/>
  <c r="R7878" i="1"/>
  <c r="J7878" i="1"/>
  <c r="I7878" i="1"/>
  <c r="G7878" i="1"/>
  <c r="F7878" i="1"/>
  <c r="E7878" i="1"/>
  <c r="D7878" i="1"/>
  <c r="C7878" i="1"/>
  <c r="B7878" i="1"/>
  <c r="A7878" i="1"/>
  <c r="R7877" i="1"/>
  <c r="J7877" i="1"/>
  <c r="I7877" i="1"/>
  <c r="G7877" i="1"/>
  <c r="F7877" i="1"/>
  <c r="E7877" i="1"/>
  <c r="D7877" i="1"/>
  <c r="C7877" i="1"/>
  <c r="B7877" i="1"/>
  <c r="A7877" i="1"/>
  <c r="R7876" i="1"/>
  <c r="J7876" i="1"/>
  <c r="I7876" i="1"/>
  <c r="G7876" i="1"/>
  <c r="F7876" i="1"/>
  <c r="E7876" i="1"/>
  <c r="D7876" i="1"/>
  <c r="C7876" i="1"/>
  <c r="B7876" i="1"/>
  <c r="A7876" i="1"/>
  <c r="R7875" i="1"/>
  <c r="J7875" i="1"/>
  <c r="I7875" i="1"/>
  <c r="G7875" i="1"/>
  <c r="F7875" i="1"/>
  <c r="E7875" i="1"/>
  <c r="D7875" i="1"/>
  <c r="C7875" i="1"/>
  <c r="B7875" i="1"/>
  <c r="A7875" i="1"/>
  <c r="R7874" i="1"/>
  <c r="J7874" i="1"/>
  <c r="I7874" i="1"/>
  <c r="G7874" i="1"/>
  <c r="F7874" i="1"/>
  <c r="E7874" i="1"/>
  <c r="D7874" i="1"/>
  <c r="C7874" i="1"/>
  <c r="B7874" i="1"/>
  <c r="A7874" i="1"/>
  <c r="R7873" i="1"/>
  <c r="J7873" i="1"/>
  <c r="I7873" i="1"/>
  <c r="G7873" i="1"/>
  <c r="F7873" i="1"/>
  <c r="E7873" i="1"/>
  <c r="D7873" i="1"/>
  <c r="C7873" i="1"/>
  <c r="B7873" i="1"/>
  <c r="A7873" i="1"/>
  <c r="S7872" i="1"/>
  <c r="O7872" i="1"/>
  <c r="K7872" i="1"/>
  <c r="J7872" i="1"/>
  <c r="I7872" i="1"/>
  <c r="H7872" i="1"/>
  <c r="G7872" i="1"/>
  <c r="F7872" i="1"/>
  <c r="E7872" i="1"/>
  <c r="D7872" i="1"/>
  <c r="C7872" i="1"/>
  <c r="B7872" i="1"/>
  <c r="A7872" i="1"/>
  <c r="R7871" i="1"/>
  <c r="J7871" i="1"/>
  <c r="I7871" i="1"/>
  <c r="G7871" i="1"/>
  <c r="F7871" i="1"/>
  <c r="E7871" i="1"/>
  <c r="D7871" i="1"/>
  <c r="C7871" i="1"/>
  <c r="B7871" i="1"/>
  <c r="A7871" i="1"/>
  <c r="R7870" i="1"/>
  <c r="J7870" i="1"/>
  <c r="I7870" i="1"/>
  <c r="G7870" i="1"/>
  <c r="F7870" i="1"/>
  <c r="E7870" i="1"/>
  <c r="D7870" i="1"/>
  <c r="C7870" i="1"/>
  <c r="B7870" i="1"/>
  <c r="A7870" i="1"/>
  <c r="R7869" i="1"/>
  <c r="J7869" i="1"/>
  <c r="I7869" i="1"/>
  <c r="G7869" i="1"/>
  <c r="F7869" i="1"/>
  <c r="E7869" i="1"/>
  <c r="D7869" i="1"/>
  <c r="C7869" i="1"/>
  <c r="B7869" i="1"/>
  <c r="A7869" i="1"/>
  <c r="R7868" i="1"/>
  <c r="J7868" i="1"/>
  <c r="I7868" i="1"/>
  <c r="G7868" i="1"/>
  <c r="F7868" i="1"/>
  <c r="E7868" i="1"/>
  <c r="D7868" i="1"/>
  <c r="C7868" i="1"/>
  <c r="B7868" i="1"/>
  <c r="A7868" i="1"/>
  <c r="R7867" i="1"/>
  <c r="J7867" i="1"/>
  <c r="I7867" i="1"/>
  <c r="G7867" i="1"/>
  <c r="F7867" i="1"/>
  <c r="E7867" i="1"/>
  <c r="D7867" i="1"/>
  <c r="C7867" i="1"/>
  <c r="B7867" i="1"/>
  <c r="A7867" i="1"/>
  <c r="R7866" i="1"/>
  <c r="J7866" i="1"/>
  <c r="I7866" i="1"/>
  <c r="G7866" i="1"/>
  <c r="F7866" i="1"/>
  <c r="E7866" i="1"/>
  <c r="D7866" i="1"/>
  <c r="C7866" i="1"/>
  <c r="B7866" i="1"/>
  <c r="A7866" i="1"/>
  <c r="R7865" i="1"/>
  <c r="J7865" i="1"/>
  <c r="I7865" i="1"/>
  <c r="G7865" i="1"/>
  <c r="F7865" i="1"/>
  <c r="E7865" i="1"/>
  <c r="D7865" i="1"/>
  <c r="C7865" i="1"/>
  <c r="B7865" i="1"/>
  <c r="A7865" i="1"/>
  <c r="R7864" i="1"/>
  <c r="J7864" i="1"/>
  <c r="I7864" i="1"/>
  <c r="G7864" i="1"/>
  <c r="F7864" i="1"/>
  <c r="E7864" i="1"/>
  <c r="D7864" i="1"/>
  <c r="C7864" i="1"/>
  <c r="B7864" i="1"/>
  <c r="A7864" i="1"/>
  <c r="R7863" i="1"/>
  <c r="J7863" i="1"/>
  <c r="I7863" i="1"/>
  <c r="G7863" i="1"/>
  <c r="F7863" i="1"/>
  <c r="E7863" i="1"/>
  <c r="D7863" i="1"/>
  <c r="C7863" i="1"/>
  <c r="B7863" i="1"/>
  <c r="A7863" i="1"/>
  <c r="R7862" i="1"/>
  <c r="J7862" i="1"/>
  <c r="I7862" i="1"/>
  <c r="G7862" i="1"/>
  <c r="F7862" i="1"/>
  <c r="E7862" i="1"/>
  <c r="D7862" i="1"/>
  <c r="C7862" i="1"/>
  <c r="B7862" i="1"/>
  <c r="A7862" i="1"/>
  <c r="R7861" i="1"/>
  <c r="J7861" i="1"/>
  <c r="I7861" i="1"/>
  <c r="G7861" i="1"/>
  <c r="F7861" i="1"/>
  <c r="E7861" i="1"/>
  <c r="D7861" i="1"/>
  <c r="C7861" i="1"/>
  <c r="B7861" i="1"/>
  <c r="A7861" i="1"/>
  <c r="R7860" i="1"/>
  <c r="J7860" i="1"/>
  <c r="I7860" i="1"/>
  <c r="G7860" i="1"/>
  <c r="F7860" i="1"/>
  <c r="E7860" i="1"/>
  <c r="D7860" i="1"/>
  <c r="C7860" i="1"/>
  <c r="B7860" i="1"/>
  <c r="A7860" i="1"/>
  <c r="S7859" i="1"/>
  <c r="O7859" i="1"/>
  <c r="K7859" i="1"/>
  <c r="J7859" i="1"/>
  <c r="I7859" i="1"/>
  <c r="H7859" i="1"/>
  <c r="G7859" i="1"/>
  <c r="F7859" i="1"/>
  <c r="E7859" i="1"/>
  <c r="D7859" i="1"/>
  <c r="C7859" i="1"/>
  <c r="B7859" i="1"/>
  <c r="A7859" i="1"/>
  <c r="R7858" i="1"/>
  <c r="J7858" i="1"/>
  <c r="I7858" i="1"/>
  <c r="G7858" i="1"/>
  <c r="F7858" i="1"/>
  <c r="E7858" i="1"/>
  <c r="D7858" i="1"/>
  <c r="C7858" i="1"/>
  <c r="B7858" i="1"/>
  <c r="A7858" i="1"/>
  <c r="R7857" i="1"/>
  <c r="J7857" i="1"/>
  <c r="I7857" i="1"/>
  <c r="G7857" i="1"/>
  <c r="F7857" i="1"/>
  <c r="E7857" i="1"/>
  <c r="D7857" i="1"/>
  <c r="C7857" i="1"/>
  <c r="B7857" i="1"/>
  <c r="A7857" i="1"/>
  <c r="R7856" i="1"/>
  <c r="J7856" i="1"/>
  <c r="I7856" i="1"/>
  <c r="G7856" i="1"/>
  <c r="F7856" i="1"/>
  <c r="E7856" i="1"/>
  <c r="D7856" i="1"/>
  <c r="C7856" i="1"/>
  <c r="B7856" i="1"/>
  <c r="A7856" i="1"/>
  <c r="R7855" i="1"/>
  <c r="J7855" i="1"/>
  <c r="I7855" i="1"/>
  <c r="G7855" i="1"/>
  <c r="F7855" i="1"/>
  <c r="E7855" i="1"/>
  <c r="D7855" i="1"/>
  <c r="C7855" i="1"/>
  <c r="B7855" i="1"/>
  <c r="A7855" i="1"/>
  <c r="R7854" i="1"/>
  <c r="J7854" i="1"/>
  <c r="I7854" i="1"/>
  <c r="G7854" i="1"/>
  <c r="F7854" i="1"/>
  <c r="E7854" i="1"/>
  <c r="D7854" i="1"/>
  <c r="C7854" i="1"/>
  <c r="B7854" i="1"/>
  <c r="A7854" i="1"/>
  <c r="R7853" i="1"/>
  <c r="J7853" i="1"/>
  <c r="I7853" i="1"/>
  <c r="G7853" i="1"/>
  <c r="F7853" i="1"/>
  <c r="E7853" i="1"/>
  <c r="D7853" i="1"/>
  <c r="C7853" i="1"/>
  <c r="B7853" i="1"/>
  <c r="A7853" i="1"/>
  <c r="R7852" i="1"/>
  <c r="J7852" i="1"/>
  <c r="I7852" i="1"/>
  <c r="G7852" i="1"/>
  <c r="F7852" i="1"/>
  <c r="E7852" i="1"/>
  <c r="D7852" i="1"/>
  <c r="C7852" i="1"/>
  <c r="B7852" i="1"/>
  <c r="A7852" i="1"/>
  <c r="R7851" i="1"/>
  <c r="J7851" i="1"/>
  <c r="I7851" i="1"/>
  <c r="G7851" i="1"/>
  <c r="F7851" i="1"/>
  <c r="E7851" i="1"/>
  <c r="D7851" i="1"/>
  <c r="C7851" i="1"/>
  <c r="B7851" i="1"/>
  <c r="A7851" i="1"/>
  <c r="R7850" i="1"/>
  <c r="J7850" i="1"/>
  <c r="I7850" i="1"/>
  <c r="G7850" i="1"/>
  <c r="F7850" i="1"/>
  <c r="E7850" i="1"/>
  <c r="D7850" i="1"/>
  <c r="C7850" i="1"/>
  <c r="B7850" i="1"/>
  <c r="A7850" i="1"/>
  <c r="R7849" i="1"/>
  <c r="J7849" i="1"/>
  <c r="I7849" i="1"/>
  <c r="G7849" i="1"/>
  <c r="F7849" i="1"/>
  <c r="E7849" i="1"/>
  <c r="D7849" i="1"/>
  <c r="C7849" i="1"/>
  <c r="B7849" i="1"/>
  <c r="A7849" i="1"/>
  <c r="R7848" i="1"/>
  <c r="J7848" i="1"/>
  <c r="I7848" i="1"/>
  <c r="G7848" i="1"/>
  <c r="F7848" i="1"/>
  <c r="E7848" i="1"/>
  <c r="D7848" i="1"/>
  <c r="C7848" i="1"/>
  <c r="B7848" i="1"/>
  <c r="A7848" i="1"/>
  <c r="R7847" i="1"/>
  <c r="J7847" i="1"/>
  <c r="I7847" i="1"/>
  <c r="G7847" i="1"/>
  <c r="F7847" i="1"/>
  <c r="E7847" i="1"/>
  <c r="D7847" i="1"/>
  <c r="C7847" i="1"/>
  <c r="B7847" i="1"/>
  <c r="A7847" i="1"/>
  <c r="S7846" i="1"/>
  <c r="O7846" i="1"/>
  <c r="K7846" i="1"/>
  <c r="J7846" i="1"/>
  <c r="I7846" i="1"/>
  <c r="H7846" i="1"/>
  <c r="G7846" i="1"/>
  <c r="F7846" i="1"/>
  <c r="E7846" i="1"/>
  <c r="D7846" i="1"/>
  <c r="C7846" i="1"/>
  <c r="B7846" i="1"/>
  <c r="A7846" i="1"/>
  <c r="R7845" i="1"/>
  <c r="J7845" i="1"/>
  <c r="I7845" i="1"/>
  <c r="G7845" i="1"/>
  <c r="F7845" i="1"/>
  <c r="E7845" i="1"/>
  <c r="D7845" i="1"/>
  <c r="C7845" i="1"/>
  <c r="B7845" i="1"/>
  <c r="A7845" i="1"/>
  <c r="R7844" i="1"/>
  <c r="J7844" i="1"/>
  <c r="I7844" i="1"/>
  <c r="G7844" i="1"/>
  <c r="F7844" i="1"/>
  <c r="E7844" i="1"/>
  <c r="D7844" i="1"/>
  <c r="C7844" i="1"/>
  <c r="B7844" i="1"/>
  <c r="A7844" i="1"/>
  <c r="R7843" i="1"/>
  <c r="J7843" i="1"/>
  <c r="I7843" i="1"/>
  <c r="G7843" i="1"/>
  <c r="F7843" i="1"/>
  <c r="E7843" i="1"/>
  <c r="D7843" i="1"/>
  <c r="C7843" i="1"/>
  <c r="B7843" i="1"/>
  <c r="A7843" i="1"/>
  <c r="R7842" i="1"/>
  <c r="J7842" i="1"/>
  <c r="I7842" i="1"/>
  <c r="G7842" i="1"/>
  <c r="F7842" i="1"/>
  <c r="E7842" i="1"/>
  <c r="D7842" i="1"/>
  <c r="C7842" i="1"/>
  <c r="B7842" i="1"/>
  <c r="A7842" i="1"/>
  <c r="R7841" i="1"/>
  <c r="J7841" i="1"/>
  <c r="I7841" i="1"/>
  <c r="G7841" i="1"/>
  <c r="F7841" i="1"/>
  <c r="E7841" i="1"/>
  <c r="D7841" i="1"/>
  <c r="C7841" i="1"/>
  <c r="B7841" i="1"/>
  <c r="A7841" i="1"/>
  <c r="R7840" i="1"/>
  <c r="J7840" i="1"/>
  <c r="I7840" i="1"/>
  <c r="G7840" i="1"/>
  <c r="F7840" i="1"/>
  <c r="E7840" i="1"/>
  <c r="D7840" i="1"/>
  <c r="C7840" i="1"/>
  <c r="B7840" i="1"/>
  <c r="A7840" i="1"/>
  <c r="R7839" i="1"/>
  <c r="J7839" i="1"/>
  <c r="I7839" i="1"/>
  <c r="G7839" i="1"/>
  <c r="F7839" i="1"/>
  <c r="E7839" i="1"/>
  <c r="D7839" i="1"/>
  <c r="C7839" i="1"/>
  <c r="B7839" i="1"/>
  <c r="A7839" i="1"/>
  <c r="R7838" i="1"/>
  <c r="J7838" i="1"/>
  <c r="I7838" i="1"/>
  <c r="G7838" i="1"/>
  <c r="F7838" i="1"/>
  <c r="E7838" i="1"/>
  <c r="D7838" i="1"/>
  <c r="C7838" i="1"/>
  <c r="B7838" i="1"/>
  <c r="A7838" i="1"/>
  <c r="R7837" i="1"/>
  <c r="J7837" i="1"/>
  <c r="I7837" i="1"/>
  <c r="G7837" i="1"/>
  <c r="F7837" i="1"/>
  <c r="E7837" i="1"/>
  <c r="D7837" i="1"/>
  <c r="C7837" i="1"/>
  <c r="B7837" i="1"/>
  <c r="A7837" i="1"/>
  <c r="R7836" i="1"/>
  <c r="J7836" i="1"/>
  <c r="I7836" i="1"/>
  <c r="G7836" i="1"/>
  <c r="F7836" i="1"/>
  <c r="E7836" i="1"/>
  <c r="D7836" i="1"/>
  <c r="C7836" i="1"/>
  <c r="B7836" i="1"/>
  <c r="A7836" i="1"/>
  <c r="R7835" i="1"/>
  <c r="J7835" i="1"/>
  <c r="I7835" i="1"/>
  <c r="G7835" i="1"/>
  <c r="F7835" i="1"/>
  <c r="E7835" i="1"/>
  <c r="D7835" i="1"/>
  <c r="C7835" i="1"/>
  <c r="B7835" i="1"/>
  <c r="A7835" i="1"/>
  <c r="R7834" i="1"/>
  <c r="J7834" i="1"/>
  <c r="I7834" i="1"/>
  <c r="G7834" i="1"/>
  <c r="F7834" i="1"/>
  <c r="E7834" i="1"/>
  <c r="D7834" i="1"/>
  <c r="C7834" i="1"/>
  <c r="B7834" i="1"/>
  <c r="A7834" i="1"/>
  <c r="R7833" i="1"/>
  <c r="J7833" i="1"/>
  <c r="I7833" i="1"/>
  <c r="G7833" i="1"/>
  <c r="F7833" i="1"/>
  <c r="E7833" i="1"/>
  <c r="D7833" i="1"/>
  <c r="C7833" i="1"/>
  <c r="B7833" i="1"/>
  <c r="A7833" i="1"/>
  <c r="R7832" i="1"/>
  <c r="J7832" i="1"/>
  <c r="I7832" i="1"/>
  <c r="G7832" i="1"/>
  <c r="F7832" i="1"/>
  <c r="E7832" i="1"/>
  <c r="D7832" i="1"/>
  <c r="C7832" i="1"/>
  <c r="B7832" i="1"/>
  <c r="A7832" i="1"/>
  <c r="R7831" i="1"/>
  <c r="J7831" i="1"/>
  <c r="I7831" i="1"/>
  <c r="G7831" i="1"/>
  <c r="F7831" i="1"/>
  <c r="E7831" i="1"/>
  <c r="D7831" i="1"/>
  <c r="C7831" i="1"/>
  <c r="B7831" i="1"/>
  <c r="A7831" i="1"/>
  <c r="R7830" i="1"/>
  <c r="J7830" i="1"/>
  <c r="I7830" i="1"/>
  <c r="G7830" i="1"/>
  <c r="F7830" i="1"/>
  <c r="E7830" i="1"/>
  <c r="D7830" i="1"/>
  <c r="C7830" i="1"/>
  <c r="B7830" i="1"/>
  <c r="A7830" i="1"/>
  <c r="R7829" i="1"/>
  <c r="J7829" i="1"/>
  <c r="I7829" i="1"/>
  <c r="G7829" i="1"/>
  <c r="F7829" i="1"/>
  <c r="E7829" i="1"/>
  <c r="D7829" i="1"/>
  <c r="C7829" i="1"/>
  <c r="B7829" i="1"/>
  <c r="A7829" i="1"/>
  <c r="R7828" i="1"/>
  <c r="J7828" i="1"/>
  <c r="I7828" i="1"/>
  <c r="G7828" i="1"/>
  <c r="F7828" i="1"/>
  <c r="E7828" i="1"/>
  <c r="D7828" i="1"/>
  <c r="C7828" i="1"/>
  <c r="B7828" i="1"/>
  <c r="A7828" i="1"/>
  <c r="R7827" i="1"/>
  <c r="J7827" i="1"/>
  <c r="I7827" i="1"/>
  <c r="G7827" i="1"/>
  <c r="F7827" i="1"/>
  <c r="E7827" i="1"/>
  <c r="D7827" i="1"/>
  <c r="C7827" i="1"/>
  <c r="B7827" i="1"/>
  <c r="A7827" i="1"/>
  <c r="R7826" i="1"/>
  <c r="J7826" i="1"/>
  <c r="I7826" i="1"/>
  <c r="G7826" i="1"/>
  <c r="F7826" i="1"/>
  <c r="E7826" i="1"/>
  <c r="D7826" i="1"/>
  <c r="C7826" i="1"/>
  <c r="B7826" i="1"/>
  <c r="A7826" i="1"/>
  <c r="R7825" i="1"/>
  <c r="J7825" i="1"/>
  <c r="I7825" i="1"/>
  <c r="G7825" i="1"/>
  <c r="F7825" i="1"/>
  <c r="E7825" i="1"/>
  <c r="D7825" i="1"/>
  <c r="C7825" i="1"/>
  <c r="B7825" i="1"/>
  <c r="A7825" i="1"/>
  <c r="R7824" i="1"/>
  <c r="J7824" i="1"/>
  <c r="I7824" i="1"/>
  <c r="G7824" i="1"/>
  <c r="F7824" i="1"/>
  <c r="E7824" i="1"/>
  <c r="D7824" i="1"/>
  <c r="C7824" i="1"/>
  <c r="B7824" i="1"/>
  <c r="A7824" i="1"/>
  <c r="R7823" i="1"/>
  <c r="J7823" i="1"/>
  <c r="I7823" i="1"/>
  <c r="G7823" i="1"/>
  <c r="F7823" i="1"/>
  <c r="E7823" i="1"/>
  <c r="D7823" i="1"/>
  <c r="C7823" i="1"/>
  <c r="B7823" i="1"/>
  <c r="A7823" i="1"/>
  <c r="R7822" i="1"/>
  <c r="J7822" i="1"/>
  <c r="I7822" i="1"/>
  <c r="G7822" i="1"/>
  <c r="F7822" i="1"/>
  <c r="E7822" i="1"/>
  <c r="D7822" i="1"/>
  <c r="C7822" i="1"/>
  <c r="B7822" i="1"/>
  <c r="A7822" i="1"/>
  <c r="R7821" i="1"/>
  <c r="J7821" i="1"/>
  <c r="I7821" i="1"/>
  <c r="G7821" i="1"/>
  <c r="F7821" i="1"/>
  <c r="E7821" i="1"/>
  <c r="D7821" i="1"/>
  <c r="C7821" i="1"/>
  <c r="B7821" i="1"/>
  <c r="A7821" i="1"/>
  <c r="R7820" i="1"/>
  <c r="J7820" i="1"/>
  <c r="I7820" i="1"/>
  <c r="G7820" i="1"/>
  <c r="F7820" i="1"/>
  <c r="E7820" i="1"/>
  <c r="D7820" i="1"/>
  <c r="C7820" i="1"/>
  <c r="B7820" i="1"/>
  <c r="A7820" i="1"/>
  <c r="R7819" i="1"/>
  <c r="J7819" i="1"/>
  <c r="I7819" i="1"/>
  <c r="G7819" i="1"/>
  <c r="F7819" i="1"/>
  <c r="E7819" i="1"/>
  <c r="D7819" i="1"/>
  <c r="C7819" i="1"/>
  <c r="B7819" i="1"/>
  <c r="A7819" i="1"/>
  <c r="R7818" i="1"/>
  <c r="J7818" i="1"/>
  <c r="I7818" i="1"/>
  <c r="G7818" i="1"/>
  <c r="F7818" i="1"/>
  <c r="E7818" i="1"/>
  <c r="D7818" i="1"/>
  <c r="C7818" i="1"/>
  <c r="B7818" i="1"/>
  <c r="A7818" i="1"/>
  <c r="R7817" i="1"/>
  <c r="J7817" i="1"/>
  <c r="I7817" i="1"/>
  <c r="G7817" i="1"/>
  <c r="F7817" i="1"/>
  <c r="E7817" i="1"/>
  <c r="D7817" i="1"/>
  <c r="C7817" i="1"/>
  <c r="B7817" i="1"/>
  <c r="A7817" i="1"/>
  <c r="R7816" i="1"/>
  <c r="J7816" i="1"/>
  <c r="I7816" i="1"/>
  <c r="G7816" i="1"/>
  <c r="F7816" i="1"/>
  <c r="E7816" i="1"/>
  <c r="D7816" i="1"/>
  <c r="C7816" i="1"/>
  <c r="B7816" i="1"/>
  <c r="A7816" i="1"/>
  <c r="R7815" i="1"/>
  <c r="J7815" i="1"/>
  <c r="I7815" i="1"/>
  <c r="G7815" i="1"/>
  <c r="F7815" i="1"/>
  <c r="E7815" i="1"/>
  <c r="D7815" i="1"/>
  <c r="C7815" i="1"/>
  <c r="B7815" i="1"/>
  <c r="A7815" i="1"/>
  <c r="R7814" i="1"/>
  <c r="J7814" i="1"/>
  <c r="I7814" i="1"/>
  <c r="G7814" i="1"/>
  <c r="F7814" i="1"/>
  <c r="E7814" i="1"/>
  <c r="D7814" i="1"/>
  <c r="C7814" i="1"/>
  <c r="B7814" i="1"/>
  <c r="A7814" i="1"/>
  <c r="R7813" i="1"/>
  <c r="J7813" i="1"/>
  <c r="I7813" i="1"/>
  <c r="G7813" i="1"/>
  <c r="F7813" i="1"/>
  <c r="E7813" i="1"/>
  <c r="D7813" i="1"/>
  <c r="C7813" i="1"/>
  <c r="B7813" i="1"/>
  <c r="A7813" i="1"/>
  <c r="R7812" i="1"/>
  <c r="J7812" i="1"/>
  <c r="I7812" i="1"/>
  <c r="G7812" i="1"/>
  <c r="F7812" i="1"/>
  <c r="E7812" i="1"/>
  <c r="D7812" i="1"/>
  <c r="C7812" i="1"/>
  <c r="B7812" i="1"/>
  <c r="A7812" i="1"/>
  <c r="R7811" i="1"/>
  <c r="J7811" i="1"/>
  <c r="I7811" i="1"/>
  <c r="G7811" i="1"/>
  <c r="F7811" i="1"/>
  <c r="E7811" i="1"/>
  <c r="D7811" i="1"/>
  <c r="C7811" i="1"/>
  <c r="B7811" i="1"/>
  <c r="A7811" i="1"/>
  <c r="R7810" i="1"/>
  <c r="J7810" i="1"/>
  <c r="I7810" i="1"/>
  <c r="G7810" i="1"/>
  <c r="F7810" i="1"/>
  <c r="E7810" i="1"/>
  <c r="D7810" i="1"/>
  <c r="C7810" i="1"/>
  <c r="B7810" i="1"/>
  <c r="A7810" i="1"/>
  <c r="R7809" i="1"/>
  <c r="J7809" i="1"/>
  <c r="I7809" i="1"/>
  <c r="G7809" i="1"/>
  <c r="F7809" i="1"/>
  <c r="E7809" i="1"/>
  <c r="D7809" i="1"/>
  <c r="C7809" i="1"/>
  <c r="B7809" i="1"/>
  <c r="A7809" i="1"/>
  <c r="R7808" i="1"/>
  <c r="J7808" i="1"/>
  <c r="I7808" i="1"/>
  <c r="G7808" i="1"/>
  <c r="F7808" i="1"/>
  <c r="E7808" i="1"/>
  <c r="D7808" i="1"/>
  <c r="C7808" i="1"/>
  <c r="B7808" i="1"/>
  <c r="A7808" i="1"/>
  <c r="R7807" i="1"/>
  <c r="J7807" i="1"/>
  <c r="I7807" i="1"/>
  <c r="G7807" i="1"/>
  <c r="F7807" i="1"/>
  <c r="E7807" i="1"/>
  <c r="D7807" i="1"/>
  <c r="C7807" i="1"/>
  <c r="B7807" i="1"/>
  <c r="A7807" i="1"/>
  <c r="R7806" i="1"/>
  <c r="J7806" i="1"/>
  <c r="I7806" i="1"/>
  <c r="G7806" i="1"/>
  <c r="F7806" i="1"/>
  <c r="E7806" i="1"/>
  <c r="D7806" i="1"/>
  <c r="C7806" i="1"/>
  <c r="B7806" i="1"/>
  <c r="A7806" i="1"/>
  <c r="R7805" i="1"/>
  <c r="J7805" i="1"/>
  <c r="I7805" i="1"/>
  <c r="G7805" i="1"/>
  <c r="F7805" i="1"/>
  <c r="E7805" i="1"/>
  <c r="D7805" i="1"/>
  <c r="C7805" i="1"/>
  <c r="B7805" i="1"/>
  <c r="A7805" i="1"/>
  <c r="R7804" i="1"/>
  <c r="J7804" i="1"/>
  <c r="I7804" i="1"/>
  <c r="G7804" i="1"/>
  <c r="F7804" i="1"/>
  <c r="E7804" i="1"/>
  <c r="D7804" i="1"/>
  <c r="C7804" i="1"/>
  <c r="B7804" i="1"/>
  <c r="A7804" i="1"/>
  <c r="R7803" i="1"/>
  <c r="J7803" i="1"/>
  <c r="I7803" i="1"/>
  <c r="G7803" i="1"/>
  <c r="F7803" i="1"/>
  <c r="E7803" i="1"/>
  <c r="D7803" i="1"/>
  <c r="C7803" i="1"/>
  <c r="B7803" i="1"/>
  <c r="A7803" i="1"/>
  <c r="R7802" i="1"/>
  <c r="J7802" i="1"/>
  <c r="I7802" i="1"/>
  <c r="G7802" i="1"/>
  <c r="F7802" i="1"/>
  <c r="E7802" i="1"/>
  <c r="D7802" i="1"/>
  <c r="C7802" i="1"/>
  <c r="B7802" i="1"/>
  <c r="A7802" i="1"/>
  <c r="R7801" i="1"/>
  <c r="J7801" i="1"/>
  <c r="I7801" i="1"/>
  <c r="G7801" i="1"/>
  <c r="F7801" i="1"/>
  <c r="E7801" i="1"/>
  <c r="D7801" i="1"/>
  <c r="C7801" i="1"/>
  <c r="B7801" i="1"/>
  <c r="A7801" i="1"/>
  <c r="R7800" i="1"/>
  <c r="J7800" i="1"/>
  <c r="I7800" i="1"/>
  <c r="G7800" i="1"/>
  <c r="F7800" i="1"/>
  <c r="E7800" i="1"/>
  <c r="D7800" i="1"/>
  <c r="C7800" i="1"/>
  <c r="B7800" i="1"/>
  <c r="A7800" i="1"/>
  <c r="R7799" i="1"/>
  <c r="J7799" i="1"/>
  <c r="I7799" i="1"/>
  <c r="G7799" i="1"/>
  <c r="F7799" i="1"/>
  <c r="E7799" i="1"/>
  <c r="D7799" i="1"/>
  <c r="C7799" i="1"/>
  <c r="B7799" i="1"/>
  <c r="A7799" i="1"/>
  <c r="S7798" i="1"/>
  <c r="O7798" i="1"/>
  <c r="K7798" i="1"/>
  <c r="J7798" i="1"/>
  <c r="I7798" i="1"/>
  <c r="H7798" i="1"/>
  <c r="G7798" i="1"/>
  <c r="F7798" i="1"/>
  <c r="E7798" i="1"/>
  <c r="D7798" i="1"/>
  <c r="C7798" i="1"/>
  <c r="B7798" i="1"/>
  <c r="A7798" i="1"/>
  <c r="R7797" i="1"/>
  <c r="J7797" i="1"/>
  <c r="I7797" i="1"/>
  <c r="G7797" i="1"/>
  <c r="F7797" i="1"/>
  <c r="E7797" i="1"/>
  <c r="D7797" i="1"/>
  <c r="C7797" i="1"/>
  <c r="B7797" i="1"/>
  <c r="A7797" i="1"/>
  <c r="R7796" i="1"/>
  <c r="J7796" i="1"/>
  <c r="I7796" i="1"/>
  <c r="G7796" i="1"/>
  <c r="F7796" i="1"/>
  <c r="E7796" i="1"/>
  <c r="D7796" i="1"/>
  <c r="C7796" i="1"/>
  <c r="B7796" i="1"/>
  <c r="A7796" i="1"/>
  <c r="R7795" i="1"/>
  <c r="J7795" i="1"/>
  <c r="I7795" i="1"/>
  <c r="G7795" i="1"/>
  <c r="F7795" i="1"/>
  <c r="E7795" i="1"/>
  <c r="D7795" i="1"/>
  <c r="C7795" i="1"/>
  <c r="B7795" i="1"/>
  <c r="A7795" i="1"/>
  <c r="R7794" i="1"/>
  <c r="J7794" i="1"/>
  <c r="I7794" i="1"/>
  <c r="G7794" i="1"/>
  <c r="F7794" i="1"/>
  <c r="E7794" i="1"/>
  <c r="D7794" i="1"/>
  <c r="C7794" i="1"/>
  <c r="B7794" i="1"/>
  <c r="A7794" i="1"/>
  <c r="S7793" i="1"/>
  <c r="O7793" i="1"/>
  <c r="K7793" i="1"/>
  <c r="J7793" i="1"/>
  <c r="I7793" i="1"/>
  <c r="H7793" i="1"/>
  <c r="G7793" i="1"/>
  <c r="F7793" i="1"/>
  <c r="E7793" i="1"/>
  <c r="D7793" i="1"/>
  <c r="C7793" i="1"/>
  <c r="B7793" i="1"/>
  <c r="A7793" i="1"/>
  <c r="R7792" i="1"/>
  <c r="J7792" i="1"/>
  <c r="I7792" i="1"/>
  <c r="G7792" i="1"/>
  <c r="F7792" i="1"/>
  <c r="E7792" i="1"/>
  <c r="D7792" i="1"/>
  <c r="C7792" i="1"/>
  <c r="B7792" i="1"/>
  <c r="A7792" i="1"/>
  <c r="S7791" i="1"/>
  <c r="O7791" i="1"/>
  <c r="K7791" i="1"/>
  <c r="J7791" i="1"/>
  <c r="I7791" i="1"/>
  <c r="H7791" i="1"/>
  <c r="G7791" i="1"/>
  <c r="F7791" i="1"/>
  <c r="E7791" i="1"/>
  <c r="D7791" i="1"/>
  <c r="C7791" i="1"/>
  <c r="B7791" i="1"/>
  <c r="A7791" i="1"/>
  <c r="R7790" i="1"/>
  <c r="J7790" i="1"/>
  <c r="I7790" i="1"/>
  <c r="G7790" i="1"/>
  <c r="F7790" i="1"/>
  <c r="E7790" i="1"/>
  <c r="D7790" i="1"/>
  <c r="C7790" i="1"/>
  <c r="B7790" i="1"/>
  <c r="A7790" i="1"/>
  <c r="S7789" i="1"/>
  <c r="O7789" i="1"/>
  <c r="K7789" i="1"/>
  <c r="J7789" i="1"/>
  <c r="I7789" i="1"/>
  <c r="H7789" i="1"/>
  <c r="G7789" i="1"/>
  <c r="F7789" i="1"/>
  <c r="E7789" i="1"/>
  <c r="D7789" i="1"/>
  <c r="C7789" i="1"/>
  <c r="B7789" i="1"/>
  <c r="A7789" i="1"/>
  <c r="R7788" i="1"/>
  <c r="J7788" i="1"/>
  <c r="I7788" i="1"/>
  <c r="G7788" i="1"/>
  <c r="F7788" i="1"/>
  <c r="E7788" i="1"/>
  <c r="D7788" i="1"/>
  <c r="C7788" i="1"/>
  <c r="B7788" i="1"/>
  <c r="A7788" i="1"/>
  <c r="S7787" i="1"/>
  <c r="O7787" i="1"/>
  <c r="K7787" i="1"/>
  <c r="J7787" i="1"/>
  <c r="I7787" i="1"/>
  <c r="H7787" i="1"/>
  <c r="G7787" i="1"/>
  <c r="F7787" i="1"/>
  <c r="E7787" i="1"/>
  <c r="D7787" i="1"/>
  <c r="C7787" i="1"/>
  <c r="B7787" i="1"/>
  <c r="A7787" i="1"/>
  <c r="R7786" i="1"/>
  <c r="J7786" i="1"/>
  <c r="I7786" i="1"/>
  <c r="G7786" i="1"/>
  <c r="F7786" i="1"/>
  <c r="E7786" i="1"/>
  <c r="D7786" i="1"/>
  <c r="C7786" i="1"/>
  <c r="B7786" i="1"/>
  <c r="A7786" i="1"/>
  <c r="S7785" i="1"/>
  <c r="O7785" i="1"/>
  <c r="K7785" i="1"/>
  <c r="J7785" i="1"/>
  <c r="I7785" i="1"/>
  <c r="H7785" i="1"/>
  <c r="G7785" i="1"/>
  <c r="F7785" i="1"/>
  <c r="E7785" i="1"/>
  <c r="D7785" i="1"/>
  <c r="C7785" i="1"/>
  <c r="B7785" i="1"/>
  <c r="A7785" i="1"/>
  <c r="R7784" i="1"/>
  <c r="J7784" i="1"/>
  <c r="I7784" i="1"/>
  <c r="G7784" i="1"/>
  <c r="F7784" i="1"/>
  <c r="E7784" i="1"/>
  <c r="D7784" i="1"/>
  <c r="C7784" i="1"/>
  <c r="B7784" i="1"/>
  <c r="A7784" i="1"/>
  <c r="S7783" i="1"/>
  <c r="O7783" i="1"/>
  <c r="K7783" i="1"/>
  <c r="J7783" i="1"/>
  <c r="I7783" i="1"/>
  <c r="H7783" i="1"/>
  <c r="G7783" i="1"/>
  <c r="F7783" i="1"/>
  <c r="E7783" i="1"/>
  <c r="D7783" i="1"/>
  <c r="C7783" i="1"/>
  <c r="B7783" i="1"/>
  <c r="A7783" i="1"/>
  <c r="R7782" i="1"/>
  <c r="J7782" i="1"/>
  <c r="I7782" i="1"/>
  <c r="G7782" i="1"/>
  <c r="F7782" i="1"/>
  <c r="E7782" i="1"/>
  <c r="D7782" i="1"/>
  <c r="C7782" i="1"/>
  <c r="B7782" i="1"/>
  <c r="A7782" i="1"/>
  <c r="S7781" i="1"/>
  <c r="O7781" i="1"/>
  <c r="K7781" i="1"/>
  <c r="J7781" i="1"/>
  <c r="I7781" i="1"/>
  <c r="H7781" i="1"/>
  <c r="G7781" i="1"/>
  <c r="F7781" i="1"/>
  <c r="E7781" i="1"/>
  <c r="D7781" i="1"/>
  <c r="C7781" i="1"/>
  <c r="B7781" i="1"/>
  <c r="A7781" i="1"/>
  <c r="R7780" i="1"/>
  <c r="J7780" i="1"/>
  <c r="I7780" i="1"/>
  <c r="G7780" i="1"/>
  <c r="F7780" i="1"/>
  <c r="E7780" i="1"/>
  <c r="D7780" i="1"/>
  <c r="C7780" i="1"/>
  <c r="B7780" i="1"/>
  <c r="A7780" i="1"/>
  <c r="R7779" i="1"/>
  <c r="J7779" i="1"/>
  <c r="I7779" i="1"/>
  <c r="G7779" i="1"/>
  <c r="F7779" i="1"/>
  <c r="E7779" i="1"/>
  <c r="D7779" i="1"/>
  <c r="C7779" i="1"/>
  <c r="B7779" i="1"/>
  <c r="A7779" i="1"/>
  <c r="R7778" i="1"/>
  <c r="J7778" i="1"/>
  <c r="I7778" i="1"/>
  <c r="G7778" i="1"/>
  <c r="F7778" i="1"/>
  <c r="E7778" i="1"/>
  <c r="D7778" i="1"/>
  <c r="C7778" i="1"/>
  <c r="B7778" i="1"/>
  <c r="A7778" i="1"/>
  <c r="S7777" i="1"/>
  <c r="O7777" i="1"/>
  <c r="K7777" i="1"/>
  <c r="J7777" i="1"/>
  <c r="I7777" i="1"/>
  <c r="H7777" i="1"/>
  <c r="G7777" i="1"/>
  <c r="F7777" i="1"/>
  <c r="E7777" i="1"/>
  <c r="D7777" i="1"/>
  <c r="C7777" i="1"/>
  <c r="B7777" i="1"/>
  <c r="A7777" i="1"/>
  <c r="R7776" i="1"/>
  <c r="J7776" i="1"/>
  <c r="I7776" i="1"/>
  <c r="G7776" i="1"/>
  <c r="F7776" i="1"/>
  <c r="E7776" i="1"/>
  <c r="D7776" i="1"/>
  <c r="C7776" i="1"/>
  <c r="B7776" i="1"/>
  <c r="A7776" i="1"/>
  <c r="R7775" i="1"/>
  <c r="J7775" i="1"/>
  <c r="I7775" i="1"/>
  <c r="G7775" i="1"/>
  <c r="F7775" i="1"/>
  <c r="E7775" i="1"/>
  <c r="D7775" i="1"/>
  <c r="C7775" i="1"/>
  <c r="B7775" i="1"/>
  <c r="A7775" i="1"/>
  <c r="R7774" i="1"/>
  <c r="J7774" i="1"/>
  <c r="I7774" i="1"/>
  <c r="G7774" i="1"/>
  <c r="F7774" i="1"/>
  <c r="E7774" i="1"/>
  <c r="D7774" i="1"/>
  <c r="C7774" i="1"/>
  <c r="B7774" i="1"/>
  <c r="A7774" i="1"/>
  <c r="R7773" i="1"/>
  <c r="J7773" i="1"/>
  <c r="I7773" i="1"/>
  <c r="G7773" i="1"/>
  <c r="F7773" i="1"/>
  <c r="E7773" i="1"/>
  <c r="D7773" i="1"/>
  <c r="C7773" i="1"/>
  <c r="B7773" i="1"/>
  <c r="A7773" i="1"/>
  <c r="R7772" i="1"/>
  <c r="J7772" i="1"/>
  <c r="I7772" i="1"/>
  <c r="G7772" i="1"/>
  <c r="F7772" i="1"/>
  <c r="E7772" i="1"/>
  <c r="D7772" i="1"/>
  <c r="C7772" i="1"/>
  <c r="B7772" i="1"/>
  <c r="A7772" i="1"/>
  <c r="R7771" i="1"/>
  <c r="J7771" i="1"/>
  <c r="I7771" i="1"/>
  <c r="G7771" i="1"/>
  <c r="F7771" i="1"/>
  <c r="E7771" i="1"/>
  <c r="D7771" i="1"/>
  <c r="C7771" i="1"/>
  <c r="B7771" i="1"/>
  <c r="A7771" i="1"/>
  <c r="S7770" i="1"/>
  <c r="O7770" i="1"/>
  <c r="K7770" i="1"/>
  <c r="J7770" i="1"/>
  <c r="I7770" i="1"/>
  <c r="H7770" i="1"/>
  <c r="G7770" i="1"/>
  <c r="F7770" i="1"/>
  <c r="E7770" i="1"/>
  <c r="D7770" i="1"/>
  <c r="C7770" i="1"/>
  <c r="B7770" i="1"/>
  <c r="A7770" i="1"/>
  <c r="R7769" i="1"/>
  <c r="J7769" i="1"/>
  <c r="I7769" i="1"/>
  <c r="G7769" i="1"/>
  <c r="F7769" i="1"/>
  <c r="E7769" i="1"/>
  <c r="D7769" i="1"/>
  <c r="C7769" i="1"/>
  <c r="B7769" i="1"/>
  <c r="A7769" i="1"/>
  <c r="S7768" i="1"/>
  <c r="O7768" i="1"/>
  <c r="K7768" i="1"/>
  <c r="J7768" i="1"/>
  <c r="I7768" i="1"/>
  <c r="H7768" i="1"/>
  <c r="G7768" i="1"/>
  <c r="F7768" i="1"/>
  <c r="E7768" i="1"/>
  <c r="D7768" i="1"/>
  <c r="C7768" i="1"/>
  <c r="B7768" i="1"/>
  <c r="A7768" i="1"/>
  <c r="R7767" i="1"/>
  <c r="J7767" i="1"/>
  <c r="I7767" i="1"/>
  <c r="G7767" i="1"/>
  <c r="F7767" i="1"/>
  <c r="E7767" i="1"/>
  <c r="D7767" i="1"/>
  <c r="C7767" i="1"/>
  <c r="B7767" i="1"/>
  <c r="A7767" i="1"/>
  <c r="R7766" i="1"/>
  <c r="J7766" i="1"/>
  <c r="I7766" i="1"/>
  <c r="G7766" i="1"/>
  <c r="F7766" i="1"/>
  <c r="E7766" i="1"/>
  <c r="D7766" i="1"/>
  <c r="C7766" i="1"/>
  <c r="B7766" i="1"/>
  <c r="A7766" i="1"/>
  <c r="S7765" i="1"/>
  <c r="O7765" i="1"/>
  <c r="K7765" i="1"/>
  <c r="J7765" i="1"/>
  <c r="I7765" i="1"/>
  <c r="H7765" i="1"/>
  <c r="G7765" i="1"/>
  <c r="F7765" i="1"/>
  <c r="E7765" i="1"/>
  <c r="D7765" i="1"/>
  <c r="C7765" i="1"/>
  <c r="B7765" i="1"/>
  <c r="A7765" i="1"/>
  <c r="R7764" i="1"/>
  <c r="J7764" i="1"/>
  <c r="I7764" i="1"/>
  <c r="G7764" i="1"/>
  <c r="F7764" i="1"/>
  <c r="E7764" i="1"/>
  <c r="D7764" i="1"/>
  <c r="C7764" i="1"/>
  <c r="B7764" i="1"/>
  <c r="A7764" i="1"/>
  <c r="R7763" i="1"/>
  <c r="J7763" i="1"/>
  <c r="I7763" i="1"/>
  <c r="G7763" i="1"/>
  <c r="F7763" i="1"/>
  <c r="E7763" i="1"/>
  <c r="D7763" i="1"/>
  <c r="C7763" i="1"/>
  <c r="B7763" i="1"/>
  <c r="A7763" i="1"/>
  <c r="R7762" i="1"/>
  <c r="J7762" i="1"/>
  <c r="I7762" i="1"/>
  <c r="G7762" i="1"/>
  <c r="F7762" i="1"/>
  <c r="E7762" i="1"/>
  <c r="D7762" i="1"/>
  <c r="C7762" i="1"/>
  <c r="B7762" i="1"/>
  <c r="A7762" i="1"/>
  <c r="R7761" i="1"/>
  <c r="J7761" i="1"/>
  <c r="I7761" i="1"/>
  <c r="G7761" i="1"/>
  <c r="F7761" i="1"/>
  <c r="E7761" i="1"/>
  <c r="D7761" i="1"/>
  <c r="C7761" i="1"/>
  <c r="B7761" i="1"/>
  <c r="A7761" i="1"/>
  <c r="R7760" i="1"/>
  <c r="J7760" i="1"/>
  <c r="I7760" i="1"/>
  <c r="G7760" i="1"/>
  <c r="F7760" i="1"/>
  <c r="E7760" i="1"/>
  <c r="D7760" i="1"/>
  <c r="C7760" i="1"/>
  <c r="B7760" i="1"/>
  <c r="A7760" i="1"/>
  <c r="S7759" i="1"/>
  <c r="O7759" i="1"/>
  <c r="K7759" i="1"/>
  <c r="J7759" i="1"/>
  <c r="I7759" i="1"/>
  <c r="H7759" i="1"/>
  <c r="G7759" i="1"/>
  <c r="F7759" i="1"/>
  <c r="E7759" i="1"/>
  <c r="D7759" i="1"/>
  <c r="C7759" i="1"/>
  <c r="B7759" i="1"/>
  <c r="A7759" i="1"/>
  <c r="R7758" i="1"/>
  <c r="J7758" i="1"/>
  <c r="I7758" i="1"/>
  <c r="G7758" i="1"/>
  <c r="F7758" i="1"/>
  <c r="E7758" i="1"/>
  <c r="D7758" i="1"/>
  <c r="C7758" i="1"/>
  <c r="B7758" i="1"/>
  <c r="A7758" i="1"/>
  <c r="S7757" i="1"/>
  <c r="O7757" i="1"/>
  <c r="K7757" i="1"/>
  <c r="J7757" i="1"/>
  <c r="I7757" i="1"/>
  <c r="H7757" i="1"/>
  <c r="G7757" i="1"/>
  <c r="F7757" i="1"/>
  <c r="E7757" i="1"/>
  <c r="D7757" i="1"/>
  <c r="C7757" i="1"/>
  <c r="B7757" i="1"/>
  <c r="A7757" i="1"/>
  <c r="R7756" i="1"/>
  <c r="J7756" i="1"/>
  <c r="I7756" i="1"/>
  <c r="G7756" i="1"/>
  <c r="F7756" i="1"/>
  <c r="E7756" i="1"/>
  <c r="D7756" i="1"/>
  <c r="C7756" i="1"/>
  <c r="B7756" i="1"/>
  <c r="A7756" i="1"/>
  <c r="S7755" i="1"/>
  <c r="O7755" i="1"/>
  <c r="K7755" i="1"/>
  <c r="J7755" i="1"/>
  <c r="I7755" i="1"/>
  <c r="H7755" i="1"/>
  <c r="G7755" i="1"/>
  <c r="F7755" i="1"/>
  <c r="E7755" i="1"/>
  <c r="D7755" i="1"/>
  <c r="C7755" i="1"/>
  <c r="B7755" i="1"/>
  <c r="A7755" i="1"/>
  <c r="R7754" i="1"/>
  <c r="J7754" i="1"/>
  <c r="I7754" i="1"/>
  <c r="G7754" i="1"/>
  <c r="F7754" i="1"/>
  <c r="E7754" i="1"/>
  <c r="D7754" i="1"/>
  <c r="C7754" i="1"/>
  <c r="B7754" i="1"/>
  <c r="A7754" i="1"/>
  <c r="S7753" i="1"/>
  <c r="O7753" i="1"/>
  <c r="K7753" i="1"/>
  <c r="J7753" i="1"/>
  <c r="I7753" i="1"/>
  <c r="H7753" i="1"/>
  <c r="G7753" i="1"/>
  <c r="F7753" i="1"/>
  <c r="E7753" i="1"/>
  <c r="D7753" i="1"/>
  <c r="C7753" i="1"/>
  <c r="B7753" i="1"/>
  <c r="A7753" i="1"/>
  <c r="R7752" i="1"/>
  <c r="J7752" i="1"/>
  <c r="I7752" i="1"/>
  <c r="G7752" i="1"/>
  <c r="F7752" i="1"/>
  <c r="E7752" i="1"/>
  <c r="D7752" i="1"/>
  <c r="C7752" i="1"/>
  <c r="B7752" i="1"/>
  <c r="A7752" i="1"/>
  <c r="R7751" i="1"/>
  <c r="J7751" i="1"/>
  <c r="I7751" i="1"/>
  <c r="G7751" i="1"/>
  <c r="F7751" i="1"/>
  <c r="E7751" i="1"/>
  <c r="D7751" i="1"/>
  <c r="C7751" i="1"/>
  <c r="B7751" i="1"/>
  <c r="A7751" i="1"/>
  <c r="R7750" i="1"/>
  <c r="J7750" i="1"/>
  <c r="I7750" i="1"/>
  <c r="G7750" i="1"/>
  <c r="F7750" i="1"/>
  <c r="E7750" i="1"/>
  <c r="D7750" i="1"/>
  <c r="C7750" i="1"/>
  <c r="B7750" i="1"/>
  <c r="A7750" i="1"/>
  <c r="R7749" i="1"/>
  <c r="J7749" i="1"/>
  <c r="I7749" i="1"/>
  <c r="G7749" i="1"/>
  <c r="F7749" i="1"/>
  <c r="E7749" i="1"/>
  <c r="D7749" i="1"/>
  <c r="C7749" i="1"/>
  <c r="B7749" i="1"/>
  <c r="A7749" i="1"/>
  <c r="S7748" i="1"/>
  <c r="O7748" i="1"/>
  <c r="K7748" i="1"/>
  <c r="J7748" i="1"/>
  <c r="I7748" i="1"/>
  <c r="H7748" i="1"/>
  <c r="G7748" i="1"/>
  <c r="F7748" i="1"/>
  <c r="E7748" i="1"/>
  <c r="D7748" i="1"/>
  <c r="C7748" i="1"/>
  <c r="B7748" i="1"/>
  <c r="A7748" i="1"/>
  <c r="R7747" i="1"/>
  <c r="J7747" i="1"/>
  <c r="I7747" i="1"/>
  <c r="G7747" i="1"/>
  <c r="F7747" i="1"/>
  <c r="E7747" i="1"/>
  <c r="D7747" i="1"/>
  <c r="C7747" i="1"/>
  <c r="B7747" i="1"/>
  <c r="A7747" i="1"/>
  <c r="S7746" i="1"/>
  <c r="O7746" i="1"/>
  <c r="K7746" i="1"/>
  <c r="J7746" i="1"/>
  <c r="I7746" i="1"/>
  <c r="H7746" i="1"/>
  <c r="G7746" i="1"/>
  <c r="F7746" i="1"/>
  <c r="E7746" i="1"/>
  <c r="D7746" i="1"/>
  <c r="C7746" i="1"/>
  <c r="B7746" i="1"/>
  <c r="A7746" i="1"/>
  <c r="R7745" i="1"/>
  <c r="J7745" i="1"/>
  <c r="I7745" i="1"/>
  <c r="G7745" i="1"/>
  <c r="F7745" i="1"/>
  <c r="E7745" i="1"/>
  <c r="D7745" i="1"/>
  <c r="C7745" i="1"/>
  <c r="B7745" i="1"/>
  <c r="A7745" i="1"/>
  <c r="S7744" i="1"/>
  <c r="O7744" i="1"/>
  <c r="K7744" i="1"/>
  <c r="J7744" i="1"/>
  <c r="I7744" i="1"/>
  <c r="H7744" i="1"/>
  <c r="G7744" i="1"/>
  <c r="F7744" i="1"/>
  <c r="E7744" i="1"/>
  <c r="D7744" i="1"/>
  <c r="C7744" i="1"/>
  <c r="B7744" i="1"/>
  <c r="A7744" i="1"/>
  <c r="R7743" i="1"/>
  <c r="J7743" i="1"/>
  <c r="I7743" i="1"/>
  <c r="G7743" i="1"/>
  <c r="F7743" i="1"/>
  <c r="E7743" i="1"/>
  <c r="D7743" i="1"/>
  <c r="C7743" i="1"/>
  <c r="B7743" i="1"/>
  <c r="A7743" i="1"/>
  <c r="R7742" i="1"/>
  <c r="J7742" i="1"/>
  <c r="I7742" i="1"/>
  <c r="G7742" i="1"/>
  <c r="F7742" i="1"/>
  <c r="E7742" i="1"/>
  <c r="D7742" i="1"/>
  <c r="C7742" i="1"/>
  <c r="B7742" i="1"/>
  <c r="A7742" i="1"/>
  <c r="S7741" i="1"/>
  <c r="O7741" i="1"/>
  <c r="K7741" i="1"/>
  <c r="J7741" i="1"/>
  <c r="I7741" i="1"/>
  <c r="H7741" i="1"/>
  <c r="G7741" i="1"/>
  <c r="F7741" i="1"/>
  <c r="E7741" i="1"/>
  <c r="D7741" i="1"/>
  <c r="C7741" i="1"/>
  <c r="B7741" i="1"/>
  <c r="A7741" i="1"/>
  <c r="R7740" i="1"/>
  <c r="J7740" i="1"/>
  <c r="I7740" i="1"/>
  <c r="G7740" i="1"/>
  <c r="F7740" i="1"/>
  <c r="E7740" i="1"/>
  <c r="D7740" i="1"/>
  <c r="C7740" i="1"/>
  <c r="B7740" i="1"/>
  <c r="A7740" i="1"/>
  <c r="R7739" i="1"/>
  <c r="J7739" i="1"/>
  <c r="I7739" i="1"/>
  <c r="G7739" i="1"/>
  <c r="F7739" i="1"/>
  <c r="E7739" i="1"/>
  <c r="D7739" i="1"/>
  <c r="C7739" i="1"/>
  <c r="B7739" i="1"/>
  <c r="A7739" i="1"/>
  <c r="R7738" i="1"/>
  <c r="J7738" i="1"/>
  <c r="I7738" i="1"/>
  <c r="G7738" i="1"/>
  <c r="F7738" i="1"/>
  <c r="E7738" i="1"/>
  <c r="D7738" i="1"/>
  <c r="C7738" i="1"/>
  <c r="B7738" i="1"/>
  <c r="A7738" i="1"/>
  <c r="S7737" i="1"/>
  <c r="O7737" i="1"/>
  <c r="K7737" i="1"/>
  <c r="J7737" i="1"/>
  <c r="I7737" i="1"/>
  <c r="H7737" i="1"/>
  <c r="G7737" i="1"/>
  <c r="F7737" i="1"/>
  <c r="E7737" i="1"/>
  <c r="D7737" i="1"/>
  <c r="C7737" i="1"/>
  <c r="B7737" i="1"/>
  <c r="A7737" i="1"/>
  <c r="R7736" i="1"/>
  <c r="J7736" i="1"/>
  <c r="I7736" i="1"/>
  <c r="G7736" i="1"/>
  <c r="F7736" i="1"/>
  <c r="E7736" i="1"/>
  <c r="D7736" i="1"/>
  <c r="C7736" i="1"/>
  <c r="B7736" i="1"/>
  <c r="A7736" i="1"/>
  <c r="S7735" i="1"/>
  <c r="O7735" i="1"/>
  <c r="K7735" i="1"/>
  <c r="J7735" i="1"/>
  <c r="I7735" i="1"/>
  <c r="H7735" i="1"/>
  <c r="G7735" i="1"/>
  <c r="F7735" i="1"/>
  <c r="E7735" i="1"/>
  <c r="D7735" i="1"/>
  <c r="C7735" i="1"/>
  <c r="B7735" i="1"/>
  <c r="A7735" i="1"/>
  <c r="R7734" i="1"/>
  <c r="J7734" i="1"/>
  <c r="I7734" i="1"/>
  <c r="G7734" i="1"/>
  <c r="F7734" i="1"/>
  <c r="E7734" i="1"/>
  <c r="D7734" i="1"/>
  <c r="C7734" i="1"/>
  <c r="B7734" i="1"/>
  <c r="A7734" i="1"/>
  <c r="R7733" i="1"/>
  <c r="J7733" i="1"/>
  <c r="I7733" i="1"/>
  <c r="G7733" i="1"/>
  <c r="F7733" i="1"/>
  <c r="E7733" i="1"/>
  <c r="D7733" i="1"/>
  <c r="C7733" i="1"/>
  <c r="B7733" i="1"/>
  <c r="A7733" i="1"/>
  <c r="S7732" i="1"/>
  <c r="O7732" i="1"/>
  <c r="K7732" i="1"/>
  <c r="J7732" i="1"/>
  <c r="I7732" i="1"/>
  <c r="H7732" i="1"/>
  <c r="G7732" i="1"/>
  <c r="F7732" i="1"/>
  <c r="E7732" i="1"/>
  <c r="D7732" i="1"/>
  <c r="C7732" i="1"/>
  <c r="B7732" i="1"/>
  <c r="A7732" i="1"/>
  <c r="R7731" i="1"/>
  <c r="J7731" i="1"/>
  <c r="I7731" i="1"/>
  <c r="G7731" i="1"/>
  <c r="F7731" i="1"/>
  <c r="E7731" i="1"/>
  <c r="D7731" i="1"/>
  <c r="C7731" i="1"/>
  <c r="B7731" i="1"/>
  <c r="A7731" i="1"/>
  <c r="S7730" i="1"/>
  <c r="O7730" i="1"/>
  <c r="K7730" i="1"/>
  <c r="J7730" i="1"/>
  <c r="I7730" i="1"/>
  <c r="H7730" i="1"/>
  <c r="G7730" i="1"/>
  <c r="F7730" i="1"/>
  <c r="E7730" i="1"/>
  <c r="D7730" i="1"/>
  <c r="C7730" i="1"/>
  <c r="B7730" i="1"/>
  <c r="A7730" i="1"/>
  <c r="R7729" i="1"/>
  <c r="J7729" i="1"/>
  <c r="I7729" i="1"/>
  <c r="G7729" i="1"/>
  <c r="F7729" i="1"/>
  <c r="E7729" i="1"/>
  <c r="D7729" i="1"/>
  <c r="C7729" i="1"/>
  <c r="B7729" i="1"/>
  <c r="A7729" i="1"/>
  <c r="S7728" i="1"/>
  <c r="O7728" i="1"/>
  <c r="K7728" i="1"/>
  <c r="J7728" i="1"/>
  <c r="I7728" i="1"/>
  <c r="H7728" i="1"/>
  <c r="G7728" i="1"/>
  <c r="F7728" i="1"/>
  <c r="E7728" i="1"/>
  <c r="D7728" i="1"/>
  <c r="C7728" i="1"/>
  <c r="B7728" i="1"/>
  <c r="A7728" i="1"/>
  <c r="R7727" i="1"/>
  <c r="J7727" i="1"/>
  <c r="I7727" i="1"/>
  <c r="G7727" i="1"/>
  <c r="F7727" i="1"/>
  <c r="E7727" i="1"/>
  <c r="D7727" i="1"/>
  <c r="C7727" i="1"/>
  <c r="B7727" i="1"/>
  <c r="A7727" i="1"/>
  <c r="S7726" i="1"/>
  <c r="O7726" i="1"/>
  <c r="K7726" i="1"/>
  <c r="J7726" i="1"/>
  <c r="I7726" i="1"/>
  <c r="H7726" i="1"/>
  <c r="G7726" i="1"/>
  <c r="F7726" i="1"/>
  <c r="E7726" i="1"/>
  <c r="D7726" i="1"/>
  <c r="C7726" i="1"/>
  <c r="B7726" i="1"/>
  <c r="A7726" i="1"/>
  <c r="R7725" i="1"/>
  <c r="J7725" i="1"/>
  <c r="I7725" i="1"/>
  <c r="G7725" i="1"/>
  <c r="F7725" i="1"/>
  <c r="E7725" i="1"/>
  <c r="D7725" i="1"/>
  <c r="C7725" i="1"/>
  <c r="B7725" i="1"/>
  <c r="A7725" i="1"/>
  <c r="S7724" i="1"/>
  <c r="O7724" i="1"/>
  <c r="K7724" i="1"/>
  <c r="J7724" i="1"/>
  <c r="I7724" i="1"/>
  <c r="H7724" i="1"/>
  <c r="G7724" i="1"/>
  <c r="F7724" i="1"/>
  <c r="E7724" i="1"/>
  <c r="D7724" i="1"/>
  <c r="C7724" i="1"/>
  <c r="B7724" i="1"/>
  <c r="A7724" i="1"/>
  <c r="R7723" i="1"/>
  <c r="J7723" i="1"/>
  <c r="I7723" i="1"/>
  <c r="G7723" i="1"/>
  <c r="F7723" i="1"/>
  <c r="E7723" i="1"/>
  <c r="D7723" i="1"/>
  <c r="C7723" i="1"/>
  <c r="B7723" i="1"/>
  <c r="A7723" i="1"/>
  <c r="S7722" i="1"/>
  <c r="O7722" i="1"/>
  <c r="K7722" i="1"/>
  <c r="J7722" i="1"/>
  <c r="I7722" i="1"/>
  <c r="H7722" i="1"/>
  <c r="G7722" i="1"/>
  <c r="F7722" i="1"/>
  <c r="E7722" i="1"/>
  <c r="D7722" i="1"/>
  <c r="C7722" i="1"/>
  <c r="B7722" i="1"/>
  <c r="A7722" i="1"/>
  <c r="R7721" i="1"/>
  <c r="J7721" i="1"/>
  <c r="I7721" i="1"/>
  <c r="G7721" i="1"/>
  <c r="F7721" i="1"/>
  <c r="E7721" i="1"/>
  <c r="D7721" i="1"/>
  <c r="C7721" i="1"/>
  <c r="B7721" i="1"/>
  <c r="A7721" i="1"/>
  <c r="S7720" i="1"/>
  <c r="O7720" i="1"/>
  <c r="K7720" i="1"/>
  <c r="J7720" i="1"/>
  <c r="I7720" i="1"/>
  <c r="H7720" i="1"/>
  <c r="G7720" i="1"/>
  <c r="F7720" i="1"/>
  <c r="E7720" i="1"/>
  <c r="D7720" i="1"/>
  <c r="C7720" i="1"/>
  <c r="B7720" i="1"/>
  <c r="A7720" i="1"/>
  <c r="R7719" i="1"/>
  <c r="J7719" i="1"/>
  <c r="I7719" i="1"/>
  <c r="G7719" i="1"/>
  <c r="F7719" i="1"/>
  <c r="E7719" i="1"/>
  <c r="D7719" i="1"/>
  <c r="C7719" i="1"/>
  <c r="B7719" i="1"/>
  <c r="A7719" i="1"/>
  <c r="S7718" i="1"/>
  <c r="O7718" i="1"/>
  <c r="K7718" i="1"/>
  <c r="J7718" i="1"/>
  <c r="I7718" i="1"/>
  <c r="H7718" i="1"/>
  <c r="G7718" i="1"/>
  <c r="F7718" i="1"/>
  <c r="E7718" i="1"/>
  <c r="D7718" i="1"/>
  <c r="C7718" i="1"/>
  <c r="B7718" i="1"/>
  <c r="A7718" i="1"/>
  <c r="R7717" i="1"/>
  <c r="J7717" i="1"/>
  <c r="I7717" i="1"/>
  <c r="G7717" i="1"/>
  <c r="F7717" i="1"/>
  <c r="E7717" i="1"/>
  <c r="D7717" i="1"/>
  <c r="C7717" i="1"/>
  <c r="B7717" i="1"/>
  <c r="A7717" i="1"/>
  <c r="S7716" i="1"/>
  <c r="O7716" i="1"/>
  <c r="K7716" i="1"/>
  <c r="J7716" i="1"/>
  <c r="I7716" i="1"/>
  <c r="H7716" i="1"/>
  <c r="G7716" i="1"/>
  <c r="F7716" i="1"/>
  <c r="E7716" i="1"/>
  <c r="D7716" i="1"/>
  <c r="C7716" i="1"/>
  <c r="B7716" i="1"/>
  <c r="A7716" i="1"/>
  <c r="R7715" i="1"/>
  <c r="J7715" i="1"/>
  <c r="I7715" i="1"/>
  <c r="G7715" i="1"/>
  <c r="F7715" i="1"/>
  <c r="E7715" i="1"/>
  <c r="D7715" i="1"/>
  <c r="C7715" i="1"/>
  <c r="B7715" i="1"/>
  <c r="A7715" i="1"/>
  <c r="S7714" i="1"/>
  <c r="O7714" i="1"/>
  <c r="K7714" i="1"/>
  <c r="J7714" i="1"/>
  <c r="I7714" i="1"/>
  <c r="H7714" i="1"/>
  <c r="G7714" i="1"/>
  <c r="F7714" i="1"/>
  <c r="E7714" i="1"/>
  <c r="D7714" i="1"/>
  <c r="C7714" i="1"/>
  <c r="B7714" i="1"/>
  <c r="A7714" i="1"/>
  <c r="R7713" i="1"/>
  <c r="J7713" i="1"/>
  <c r="I7713" i="1"/>
  <c r="G7713" i="1"/>
  <c r="F7713" i="1"/>
  <c r="E7713" i="1"/>
  <c r="D7713" i="1"/>
  <c r="C7713" i="1"/>
  <c r="B7713" i="1"/>
  <c r="A7713" i="1"/>
  <c r="S7712" i="1"/>
  <c r="O7712" i="1"/>
  <c r="K7712" i="1"/>
  <c r="J7712" i="1"/>
  <c r="I7712" i="1"/>
  <c r="H7712" i="1"/>
  <c r="G7712" i="1"/>
  <c r="F7712" i="1"/>
  <c r="E7712" i="1"/>
  <c r="D7712" i="1"/>
  <c r="C7712" i="1"/>
  <c r="B7712" i="1"/>
  <c r="A7712" i="1"/>
  <c r="R7711" i="1"/>
  <c r="J7711" i="1"/>
  <c r="I7711" i="1"/>
  <c r="G7711" i="1"/>
  <c r="F7711" i="1"/>
  <c r="E7711" i="1"/>
  <c r="D7711" i="1"/>
  <c r="C7711" i="1"/>
  <c r="B7711" i="1"/>
  <c r="A7711" i="1"/>
  <c r="S7710" i="1"/>
  <c r="O7710" i="1"/>
  <c r="K7710" i="1"/>
  <c r="J7710" i="1"/>
  <c r="I7710" i="1"/>
  <c r="H7710" i="1"/>
  <c r="G7710" i="1"/>
  <c r="F7710" i="1"/>
  <c r="E7710" i="1"/>
  <c r="D7710" i="1"/>
  <c r="C7710" i="1"/>
  <c r="B7710" i="1"/>
  <c r="A7710" i="1"/>
  <c r="S7709" i="1"/>
  <c r="O7709" i="1"/>
  <c r="K7709" i="1"/>
  <c r="J7709" i="1"/>
  <c r="I7709" i="1"/>
  <c r="H7709" i="1"/>
  <c r="G7709" i="1"/>
  <c r="F7709" i="1"/>
  <c r="E7709" i="1"/>
  <c r="D7709" i="1"/>
  <c r="C7709" i="1"/>
  <c r="B7709" i="1"/>
  <c r="A7709" i="1"/>
  <c r="S7708" i="1"/>
  <c r="O7708" i="1"/>
  <c r="K7708" i="1"/>
  <c r="J7708" i="1"/>
  <c r="I7708" i="1"/>
  <c r="H7708" i="1"/>
  <c r="G7708" i="1"/>
  <c r="F7708" i="1"/>
  <c r="E7708" i="1"/>
  <c r="D7708" i="1"/>
  <c r="C7708" i="1"/>
  <c r="B7708" i="1"/>
  <c r="A7708" i="1"/>
  <c r="S7707" i="1"/>
  <c r="O7707" i="1"/>
  <c r="K7707" i="1"/>
  <c r="J7707" i="1"/>
  <c r="I7707" i="1"/>
  <c r="H7707" i="1"/>
  <c r="G7707" i="1"/>
  <c r="F7707" i="1"/>
  <c r="E7707" i="1"/>
  <c r="D7707" i="1"/>
  <c r="C7707" i="1"/>
  <c r="B7707" i="1"/>
  <c r="A7707" i="1"/>
  <c r="R7706" i="1"/>
  <c r="J7706" i="1"/>
  <c r="I7706" i="1"/>
  <c r="G7706" i="1"/>
  <c r="F7706" i="1"/>
  <c r="E7706" i="1"/>
  <c r="D7706" i="1"/>
  <c r="C7706" i="1"/>
  <c r="B7706" i="1"/>
  <c r="A7706" i="1"/>
  <c r="S7705" i="1"/>
  <c r="O7705" i="1"/>
  <c r="K7705" i="1"/>
  <c r="J7705" i="1"/>
  <c r="I7705" i="1"/>
  <c r="H7705" i="1"/>
  <c r="G7705" i="1"/>
  <c r="F7705" i="1"/>
  <c r="E7705" i="1"/>
  <c r="D7705" i="1"/>
  <c r="C7705" i="1"/>
  <c r="B7705" i="1"/>
  <c r="A7705" i="1"/>
  <c r="R7704" i="1"/>
  <c r="J7704" i="1"/>
  <c r="I7704" i="1"/>
  <c r="G7704" i="1"/>
  <c r="F7704" i="1"/>
  <c r="E7704" i="1"/>
  <c r="D7704" i="1"/>
  <c r="C7704" i="1"/>
  <c r="B7704" i="1"/>
  <c r="A7704" i="1"/>
  <c r="R7703" i="1"/>
  <c r="J7703" i="1"/>
  <c r="I7703" i="1"/>
  <c r="G7703" i="1"/>
  <c r="F7703" i="1"/>
  <c r="E7703" i="1"/>
  <c r="D7703" i="1"/>
  <c r="C7703" i="1"/>
  <c r="B7703" i="1"/>
  <c r="A7703" i="1"/>
  <c r="S7702" i="1"/>
  <c r="O7702" i="1"/>
  <c r="K7702" i="1"/>
  <c r="J7702" i="1"/>
  <c r="I7702" i="1"/>
  <c r="H7702" i="1"/>
  <c r="G7702" i="1"/>
  <c r="F7702" i="1"/>
  <c r="E7702" i="1"/>
  <c r="D7702" i="1"/>
  <c r="C7702" i="1"/>
  <c r="B7702" i="1"/>
  <c r="A7702" i="1"/>
  <c r="R7701" i="1"/>
  <c r="J7701" i="1"/>
  <c r="I7701" i="1"/>
  <c r="G7701" i="1"/>
  <c r="F7701" i="1"/>
  <c r="E7701" i="1"/>
  <c r="D7701" i="1"/>
  <c r="C7701" i="1"/>
  <c r="B7701" i="1"/>
  <c r="A7701" i="1"/>
  <c r="R7700" i="1"/>
  <c r="J7700" i="1"/>
  <c r="I7700" i="1"/>
  <c r="G7700" i="1"/>
  <c r="F7700" i="1"/>
  <c r="E7700" i="1"/>
  <c r="D7700" i="1"/>
  <c r="C7700" i="1"/>
  <c r="B7700" i="1"/>
  <c r="A7700" i="1"/>
  <c r="R7699" i="1"/>
  <c r="J7699" i="1"/>
  <c r="I7699" i="1"/>
  <c r="G7699" i="1"/>
  <c r="F7699" i="1"/>
  <c r="E7699" i="1"/>
  <c r="D7699" i="1"/>
  <c r="C7699" i="1"/>
  <c r="B7699" i="1"/>
  <c r="A7699" i="1"/>
  <c r="R7698" i="1"/>
  <c r="J7698" i="1"/>
  <c r="I7698" i="1"/>
  <c r="G7698" i="1"/>
  <c r="F7698" i="1"/>
  <c r="E7698" i="1"/>
  <c r="D7698" i="1"/>
  <c r="C7698" i="1"/>
  <c r="B7698" i="1"/>
  <c r="A7698" i="1"/>
  <c r="R7697" i="1"/>
  <c r="J7697" i="1"/>
  <c r="I7697" i="1"/>
  <c r="G7697" i="1"/>
  <c r="F7697" i="1"/>
  <c r="E7697" i="1"/>
  <c r="D7697" i="1"/>
  <c r="C7697" i="1"/>
  <c r="B7697" i="1"/>
  <c r="A7697" i="1"/>
  <c r="R7696" i="1"/>
  <c r="J7696" i="1"/>
  <c r="I7696" i="1"/>
  <c r="G7696" i="1"/>
  <c r="F7696" i="1"/>
  <c r="E7696" i="1"/>
  <c r="D7696" i="1"/>
  <c r="C7696" i="1"/>
  <c r="B7696" i="1"/>
  <c r="A7696" i="1"/>
  <c r="S7695" i="1"/>
  <c r="O7695" i="1"/>
  <c r="K7695" i="1"/>
  <c r="J7695" i="1"/>
  <c r="I7695" i="1"/>
  <c r="H7695" i="1"/>
  <c r="G7695" i="1"/>
  <c r="F7695" i="1"/>
  <c r="E7695" i="1"/>
  <c r="D7695" i="1"/>
  <c r="C7695" i="1"/>
  <c r="B7695" i="1"/>
  <c r="A7695" i="1"/>
  <c r="R7694" i="1"/>
  <c r="J7694" i="1"/>
  <c r="I7694" i="1"/>
  <c r="G7694" i="1"/>
  <c r="F7694" i="1"/>
  <c r="E7694" i="1"/>
  <c r="D7694" i="1"/>
  <c r="C7694" i="1"/>
  <c r="B7694" i="1"/>
  <c r="A7694" i="1"/>
  <c r="S7693" i="1"/>
  <c r="O7693" i="1"/>
  <c r="K7693" i="1"/>
  <c r="J7693" i="1"/>
  <c r="I7693" i="1"/>
  <c r="H7693" i="1"/>
  <c r="G7693" i="1"/>
  <c r="F7693" i="1"/>
  <c r="E7693" i="1"/>
  <c r="D7693" i="1"/>
  <c r="C7693" i="1"/>
  <c r="B7693" i="1"/>
  <c r="A7693" i="1"/>
  <c r="R7692" i="1"/>
  <c r="J7692" i="1"/>
  <c r="I7692" i="1"/>
  <c r="G7692" i="1"/>
  <c r="F7692" i="1"/>
  <c r="E7692" i="1"/>
  <c r="D7692" i="1"/>
  <c r="C7692" i="1"/>
  <c r="B7692" i="1"/>
  <c r="A7692" i="1"/>
  <c r="S7691" i="1"/>
  <c r="O7691" i="1"/>
  <c r="K7691" i="1"/>
  <c r="J7691" i="1"/>
  <c r="I7691" i="1"/>
  <c r="H7691" i="1"/>
  <c r="G7691" i="1"/>
  <c r="F7691" i="1"/>
  <c r="E7691" i="1"/>
  <c r="D7691" i="1"/>
  <c r="C7691" i="1"/>
  <c r="B7691" i="1"/>
  <c r="A7691" i="1"/>
  <c r="R7690" i="1"/>
  <c r="J7690" i="1"/>
  <c r="I7690" i="1"/>
  <c r="G7690" i="1"/>
  <c r="F7690" i="1"/>
  <c r="E7690" i="1"/>
  <c r="D7690" i="1"/>
  <c r="C7690" i="1"/>
  <c r="B7690" i="1"/>
  <c r="A7690" i="1"/>
  <c r="R7689" i="1"/>
  <c r="J7689" i="1"/>
  <c r="I7689" i="1"/>
  <c r="G7689" i="1"/>
  <c r="F7689" i="1"/>
  <c r="E7689" i="1"/>
  <c r="D7689" i="1"/>
  <c r="C7689" i="1"/>
  <c r="B7689" i="1"/>
  <c r="A7689" i="1"/>
  <c r="R7688" i="1"/>
  <c r="J7688" i="1"/>
  <c r="I7688" i="1"/>
  <c r="G7688" i="1"/>
  <c r="F7688" i="1"/>
  <c r="E7688" i="1"/>
  <c r="D7688" i="1"/>
  <c r="C7688" i="1"/>
  <c r="B7688" i="1"/>
  <c r="A7688" i="1"/>
  <c r="S7687" i="1"/>
  <c r="O7687" i="1"/>
  <c r="K7687" i="1"/>
  <c r="J7687" i="1"/>
  <c r="I7687" i="1"/>
  <c r="H7687" i="1"/>
  <c r="G7687" i="1"/>
  <c r="F7687" i="1"/>
  <c r="E7687" i="1"/>
  <c r="D7687" i="1"/>
  <c r="C7687" i="1"/>
  <c r="B7687" i="1"/>
  <c r="A7687" i="1"/>
  <c r="R7686" i="1"/>
  <c r="J7686" i="1"/>
  <c r="I7686" i="1"/>
  <c r="G7686" i="1"/>
  <c r="F7686" i="1"/>
  <c r="E7686" i="1"/>
  <c r="D7686" i="1"/>
  <c r="C7686" i="1"/>
  <c r="B7686" i="1"/>
  <c r="A7686" i="1"/>
  <c r="S7685" i="1"/>
  <c r="O7685" i="1"/>
  <c r="K7685" i="1"/>
  <c r="J7685" i="1"/>
  <c r="I7685" i="1"/>
  <c r="H7685" i="1"/>
  <c r="G7685" i="1"/>
  <c r="F7685" i="1"/>
  <c r="E7685" i="1"/>
  <c r="D7685" i="1"/>
  <c r="C7685" i="1"/>
  <c r="B7685" i="1"/>
  <c r="A7685" i="1"/>
  <c r="S7684" i="1"/>
  <c r="O7684" i="1"/>
  <c r="K7684" i="1"/>
  <c r="J7684" i="1"/>
  <c r="I7684" i="1"/>
  <c r="H7684" i="1"/>
  <c r="G7684" i="1"/>
  <c r="F7684" i="1"/>
  <c r="E7684" i="1"/>
  <c r="D7684" i="1"/>
  <c r="C7684" i="1"/>
  <c r="B7684" i="1"/>
  <c r="A7684" i="1"/>
  <c r="R7683" i="1"/>
  <c r="J7683" i="1"/>
  <c r="I7683" i="1"/>
  <c r="G7683" i="1"/>
  <c r="F7683" i="1"/>
  <c r="E7683" i="1"/>
  <c r="D7683" i="1"/>
  <c r="C7683" i="1"/>
  <c r="B7683" i="1"/>
  <c r="A7683" i="1"/>
  <c r="S7682" i="1"/>
  <c r="O7682" i="1"/>
  <c r="K7682" i="1"/>
  <c r="J7682" i="1"/>
  <c r="I7682" i="1"/>
  <c r="H7682" i="1"/>
  <c r="G7682" i="1"/>
  <c r="F7682" i="1"/>
  <c r="E7682" i="1"/>
  <c r="D7682" i="1"/>
  <c r="C7682" i="1"/>
  <c r="B7682" i="1"/>
  <c r="A7682" i="1"/>
  <c r="R7681" i="1"/>
  <c r="J7681" i="1"/>
  <c r="I7681" i="1"/>
  <c r="G7681" i="1"/>
  <c r="F7681" i="1"/>
  <c r="E7681" i="1"/>
  <c r="D7681" i="1"/>
  <c r="C7681" i="1"/>
  <c r="B7681" i="1"/>
  <c r="A7681" i="1"/>
  <c r="S7680" i="1"/>
  <c r="O7680" i="1"/>
  <c r="K7680" i="1"/>
  <c r="J7680" i="1"/>
  <c r="I7680" i="1"/>
  <c r="H7680" i="1"/>
  <c r="G7680" i="1"/>
  <c r="F7680" i="1"/>
  <c r="E7680" i="1"/>
  <c r="D7680" i="1"/>
  <c r="C7680" i="1"/>
  <c r="B7680" i="1"/>
  <c r="A7680" i="1"/>
  <c r="R7679" i="1"/>
  <c r="J7679" i="1"/>
  <c r="I7679" i="1"/>
  <c r="G7679" i="1"/>
  <c r="F7679" i="1"/>
  <c r="E7679" i="1"/>
  <c r="D7679" i="1"/>
  <c r="C7679" i="1"/>
  <c r="B7679" i="1"/>
  <c r="A7679" i="1"/>
  <c r="S7678" i="1"/>
  <c r="O7678" i="1"/>
  <c r="K7678" i="1"/>
  <c r="J7678" i="1"/>
  <c r="I7678" i="1"/>
  <c r="H7678" i="1"/>
  <c r="G7678" i="1"/>
  <c r="F7678" i="1"/>
  <c r="E7678" i="1"/>
  <c r="D7678" i="1"/>
  <c r="C7678" i="1"/>
  <c r="B7678" i="1"/>
  <c r="A7678" i="1"/>
  <c r="R7677" i="1"/>
  <c r="J7677" i="1"/>
  <c r="I7677" i="1"/>
  <c r="G7677" i="1"/>
  <c r="F7677" i="1"/>
  <c r="E7677" i="1"/>
  <c r="D7677" i="1"/>
  <c r="C7677" i="1"/>
  <c r="B7677" i="1"/>
  <c r="A7677" i="1"/>
  <c r="S7676" i="1"/>
  <c r="O7676" i="1"/>
  <c r="K7676" i="1"/>
  <c r="J7676" i="1"/>
  <c r="I7676" i="1"/>
  <c r="H7676" i="1"/>
  <c r="G7676" i="1"/>
  <c r="F7676" i="1"/>
  <c r="E7676" i="1"/>
  <c r="D7676" i="1"/>
  <c r="C7676" i="1"/>
  <c r="B7676" i="1"/>
  <c r="A7676" i="1"/>
  <c r="R7675" i="1"/>
  <c r="J7675" i="1"/>
  <c r="I7675" i="1"/>
  <c r="G7675" i="1"/>
  <c r="F7675" i="1"/>
  <c r="E7675" i="1"/>
  <c r="D7675" i="1"/>
  <c r="C7675" i="1"/>
  <c r="B7675" i="1"/>
  <c r="A7675" i="1"/>
  <c r="S7674" i="1"/>
  <c r="O7674" i="1"/>
  <c r="K7674" i="1"/>
  <c r="J7674" i="1"/>
  <c r="I7674" i="1"/>
  <c r="H7674" i="1"/>
  <c r="G7674" i="1"/>
  <c r="F7674" i="1"/>
  <c r="E7674" i="1"/>
  <c r="D7674" i="1"/>
  <c r="C7674" i="1"/>
  <c r="B7674" i="1"/>
  <c r="A7674" i="1"/>
  <c r="S7673" i="1"/>
  <c r="O7673" i="1"/>
  <c r="K7673" i="1"/>
  <c r="J7673" i="1"/>
  <c r="I7673" i="1"/>
  <c r="H7673" i="1"/>
  <c r="G7673" i="1"/>
  <c r="F7673" i="1"/>
  <c r="E7673" i="1"/>
  <c r="D7673" i="1"/>
  <c r="C7673" i="1"/>
  <c r="B7673" i="1"/>
  <c r="A7673" i="1"/>
  <c r="S7672" i="1"/>
  <c r="O7672" i="1"/>
  <c r="K7672" i="1"/>
  <c r="J7672" i="1"/>
  <c r="I7672" i="1"/>
  <c r="H7672" i="1"/>
  <c r="G7672" i="1"/>
  <c r="F7672" i="1"/>
  <c r="D7672" i="1"/>
  <c r="C7672" i="1"/>
  <c r="B7672" i="1"/>
  <c r="A7672" i="1"/>
  <c r="S7671" i="1"/>
  <c r="O7671" i="1"/>
  <c r="K7671" i="1"/>
  <c r="J7671" i="1"/>
  <c r="I7671" i="1"/>
  <c r="H7671" i="1"/>
  <c r="G7671" i="1"/>
  <c r="F7671" i="1"/>
  <c r="D7671" i="1"/>
  <c r="C7671" i="1"/>
  <c r="B7671" i="1"/>
  <c r="A7671" i="1"/>
  <c r="R7670" i="1"/>
  <c r="J7670" i="1"/>
  <c r="I7670" i="1"/>
  <c r="G7670" i="1"/>
  <c r="F7670" i="1"/>
  <c r="E7670" i="1"/>
  <c r="D7670" i="1"/>
  <c r="C7670" i="1"/>
  <c r="B7670" i="1"/>
  <c r="A7670" i="1"/>
  <c r="S7669" i="1"/>
  <c r="O7669" i="1"/>
  <c r="K7669" i="1"/>
  <c r="J7669" i="1"/>
  <c r="I7669" i="1"/>
  <c r="H7669" i="1"/>
  <c r="G7669" i="1"/>
  <c r="F7669" i="1"/>
  <c r="E7669" i="1"/>
  <c r="D7669" i="1"/>
  <c r="C7669" i="1"/>
  <c r="B7669" i="1"/>
  <c r="A7669" i="1"/>
  <c r="R7668" i="1"/>
  <c r="J7668" i="1"/>
  <c r="I7668" i="1"/>
  <c r="G7668" i="1"/>
  <c r="F7668" i="1"/>
  <c r="E7668" i="1"/>
  <c r="D7668" i="1"/>
  <c r="C7668" i="1"/>
  <c r="B7668" i="1"/>
  <c r="A7668" i="1"/>
  <c r="S7667" i="1"/>
  <c r="O7667" i="1"/>
  <c r="K7667" i="1"/>
  <c r="J7667" i="1"/>
  <c r="I7667" i="1"/>
  <c r="H7667" i="1"/>
  <c r="G7667" i="1"/>
  <c r="F7667" i="1"/>
  <c r="E7667" i="1"/>
  <c r="D7667" i="1"/>
  <c r="C7667" i="1"/>
  <c r="B7667" i="1"/>
  <c r="A7667" i="1"/>
  <c r="R7666" i="1"/>
  <c r="J7666" i="1"/>
  <c r="I7666" i="1"/>
  <c r="G7666" i="1"/>
  <c r="F7666" i="1"/>
  <c r="E7666" i="1"/>
  <c r="D7666" i="1"/>
  <c r="C7666" i="1"/>
  <c r="B7666" i="1"/>
  <c r="A7666" i="1"/>
  <c r="S7665" i="1"/>
  <c r="O7665" i="1"/>
  <c r="K7665" i="1"/>
  <c r="J7665" i="1"/>
  <c r="I7665" i="1"/>
  <c r="H7665" i="1"/>
  <c r="G7665" i="1"/>
  <c r="F7665" i="1"/>
  <c r="E7665" i="1"/>
  <c r="D7665" i="1"/>
  <c r="C7665" i="1"/>
  <c r="B7665" i="1"/>
  <c r="A7665" i="1"/>
  <c r="R7664" i="1"/>
  <c r="J7664" i="1"/>
  <c r="I7664" i="1"/>
  <c r="G7664" i="1"/>
  <c r="F7664" i="1"/>
  <c r="E7664" i="1"/>
  <c r="D7664" i="1"/>
  <c r="C7664" i="1"/>
  <c r="B7664" i="1"/>
  <c r="A7664" i="1"/>
  <c r="S7663" i="1"/>
  <c r="O7663" i="1"/>
  <c r="K7663" i="1"/>
  <c r="J7663" i="1"/>
  <c r="I7663" i="1"/>
  <c r="H7663" i="1"/>
  <c r="G7663" i="1"/>
  <c r="F7663" i="1"/>
  <c r="E7663" i="1"/>
  <c r="D7663" i="1"/>
  <c r="C7663" i="1"/>
  <c r="B7663" i="1"/>
  <c r="A7663" i="1"/>
  <c r="R7662" i="1"/>
  <c r="J7662" i="1"/>
  <c r="I7662" i="1"/>
  <c r="G7662" i="1"/>
  <c r="F7662" i="1"/>
  <c r="E7662" i="1"/>
  <c r="D7662" i="1"/>
  <c r="C7662" i="1"/>
  <c r="B7662" i="1"/>
  <c r="A7662" i="1"/>
  <c r="S7661" i="1"/>
  <c r="O7661" i="1"/>
  <c r="K7661" i="1"/>
  <c r="J7661" i="1"/>
  <c r="I7661" i="1"/>
  <c r="H7661" i="1"/>
  <c r="G7661" i="1"/>
  <c r="F7661" i="1"/>
  <c r="E7661" i="1"/>
  <c r="D7661" i="1"/>
  <c r="C7661" i="1"/>
  <c r="B7661" i="1"/>
  <c r="A7661" i="1"/>
  <c r="R7660" i="1"/>
  <c r="J7660" i="1"/>
  <c r="I7660" i="1"/>
  <c r="G7660" i="1"/>
  <c r="F7660" i="1"/>
  <c r="E7660" i="1"/>
  <c r="D7660" i="1"/>
  <c r="C7660" i="1"/>
  <c r="B7660" i="1"/>
  <c r="A7660" i="1"/>
  <c r="S7659" i="1"/>
  <c r="O7659" i="1"/>
  <c r="K7659" i="1"/>
  <c r="J7659" i="1"/>
  <c r="I7659" i="1"/>
  <c r="H7659" i="1"/>
  <c r="G7659" i="1"/>
  <c r="F7659" i="1"/>
  <c r="E7659" i="1"/>
  <c r="D7659" i="1"/>
  <c r="C7659" i="1"/>
  <c r="B7659" i="1"/>
  <c r="A7659" i="1"/>
  <c r="R7658" i="1"/>
  <c r="J7658" i="1"/>
  <c r="I7658" i="1"/>
  <c r="G7658" i="1"/>
  <c r="F7658" i="1"/>
  <c r="E7658" i="1"/>
  <c r="D7658" i="1"/>
  <c r="C7658" i="1"/>
  <c r="B7658" i="1"/>
  <c r="A7658" i="1"/>
  <c r="S7657" i="1"/>
  <c r="O7657" i="1"/>
  <c r="K7657" i="1"/>
  <c r="J7657" i="1"/>
  <c r="I7657" i="1"/>
  <c r="H7657" i="1"/>
  <c r="G7657" i="1"/>
  <c r="F7657" i="1"/>
  <c r="E7657" i="1"/>
  <c r="D7657" i="1"/>
  <c r="C7657" i="1"/>
  <c r="B7657" i="1"/>
  <c r="A7657" i="1"/>
  <c r="R7656" i="1"/>
  <c r="J7656" i="1"/>
  <c r="I7656" i="1"/>
  <c r="G7656" i="1"/>
  <c r="F7656" i="1"/>
  <c r="E7656" i="1"/>
  <c r="D7656" i="1"/>
  <c r="C7656" i="1"/>
  <c r="B7656" i="1"/>
  <c r="A7656" i="1"/>
  <c r="S7655" i="1"/>
  <c r="O7655" i="1"/>
  <c r="K7655" i="1"/>
  <c r="J7655" i="1"/>
  <c r="I7655" i="1"/>
  <c r="H7655" i="1"/>
  <c r="G7655" i="1"/>
  <c r="F7655" i="1"/>
  <c r="E7655" i="1"/>
  <c r="D7655" i="1"/>
  <c r="C7655" i="1"/>
  <c r="B7655" i="1"/>
  <c r="A7655" i="1"/>
  <c r="R7654" i="1"/>
  <c r="J7654" i="1"/>
  <c r="I7654" i="1"/>
  <c r="G7654" i="1"/>
  <c r="F7654" i="1"/>
  <c r="E7654" i="1"/>
  <c r="D7654" i="1"/>
  <c r="C7654" i="1"/>
  <c r="B7654" i="1"/>
  <c r="A7654" i="1"/>
  <c r="S7653" i="1"/>
  <c r="O7653" i="1"/>
  <c r="K7653" i="1"/>
  <c r="J7653" i="1"/>
  <c r="I7653" i="1"/>
  <c r="H7653" i="1"/>
  <c r="G7653" i="1"/>
  <c r="F7653" i="1"/>
  <c r="E7653" i="1"/>
  <c r="D7653" i="1"/>
  <c r="C7653" i="1"/>
  <c r="B7653" i="1"/>
  <c r="A7653" i="1"/>
  <c r="R7652" i="1"/>
  <c r="J7652" i="1"/>
  <c r="I7652" i="1"/>
  <c r="G7652" i="1"/>
  <c r="F7652" i="1"/>
  <c r="E7652" i="1"/>
  <c r="D7652" i="1"/>
  <c r="C7652" i="1"/>
  <c r="B7652" i="1"/>
  <c r="A7652" i="1"/>
  <c r="S7651" i="1"/>
  <c r="O7651" i="1"/>
  <c r="K7651" i="1"/>
  <c r="J7651" i="1"/>
  <c r="I7651" i="1"/>
  <c r="H7651" i="1"/>
  <c r="G7651" i="1"/>
  <c r="F7651" i="1"/>
  <c r="E7651" i="1"/>
  <c r="D7651" i="1"/>
  <c r="C7651" i="1"/>
  <c r="B7651" i="1"/>
  <c r="A7651" i="1"/>
  <c r="R7650" i="1"/>
  <c r="J7650" i="1"/>
  <c r="I7650" i="1"/>
  <c r="G7650" i="1"/>
  <c r="F7650" i="1"/>
  <c r="E7650" i="1"/>
  <c r="D7650" i="1"/>
  <c r="C7650" i="1"/>
  <c r="B7650" i="1"/>
  <c r="A7650" i="1"/>
  <c r="S7649" i="1"/>
  <c r="O7649" i="1"/>
  <c r="K7649" i="1"/>
  <c r="J7649" i="1"/>
  <c r="I7649" i="1"/>
  <c r="H7649" i="1"/>
  <c r="G7649" i="1"/>
  <c r="F7649" i="1"/>
  <c r="E7649" i="1"/>
  <c r="D7649" i="1"/>
  <c r="C7649" i="1"/>
  <c r="B7649" i="1"/>
  <c r="A7649" i="1"/>
  <c r="S7648" i="1"/>
  <c r="O7648" i="1"/>
  <c r="K7648" i="1"/>
  <c r="J7648" i="1"/>
  <c r="I7648" i="1"/>
  <c r="H7648" i="1"/>
  <c r="G7648" i="1"/>
  <c r="F7648" i="1"/>
  <c r="D7648" i="1"/>
  <c r="C7648" i="1"/>
  <c r="B7648" i="1"/>
  <c r="A7648" i="1"/>
  <c r="S7647" i="1"/>
  <c r="O7647" i="1"/>
  <c r="K7647" i="1"/>
  <c r="J7647" i="1"/>
  <c r="I7647" i="1"/>
  <c r="H7647" i="1"/>
  <c r="G7647" i="1"/>
  <c r="F7647" i="1"/>
  <c r="D7647" i="1"/>
  <c r="C7647" i="1"/>
  <c r="B7647" i="1"/>
  <c r="A7647" i="1"/>
  <c r="R7646" i="1"/>
  <c r="J7646" i="1"/>
  <c r="I7646" i="1"/>
  <c r="G7646" i="1"/>
  <c r="F7646" i="1"/>
  <c r="E7646" i="1"/>
  <c r="D7646" i="1"/>
  <c r="C7646" i="1"/>
  <c r="B7646" i="1"/>
  <c r="A7646" i="1"/>
  <c r="S7645" i="1"/>
  <c r="O7645" i="1"/>
  <c r="K7645" i="1"/>
  <c r="J7645" i="1"/>
  <c r="I7645" i="1"/>
  <c r="H7645" i="1"/>
  <c r="G7645" i="1"/>
  <c r="F7645" i="1"/>
  <c r="E7645" i="1"/>
  <c r="D7645" i="1"/>
  <c r="C7645" i="1"/>
  <c r="B7645" i="1"/>
  <c r="A7645" i="1"/>
  <c r="R7644" i="1"/>
  <c r="J7644" i="1"/>
  <c r="I7644" i="1"/>
  <c r="G7644" i="1"/>
  <c r="F7644" i="1"/>
  <c r="E7644" i="1"/>
  <c r="D7644" i="1"/>
  <c r="C7644" i="1"/>
  <c r="B7644" i="1"/>
  <c r="A7644" i="1"/>
  <c r="S7643" i="1"/>
  <c r="O7643" i="1"/>
  <c r="K7643" i="1"/>
  <c r="J7643" i="1"/>
  <c r="I7643" i="1"/>
  <c r="H7643" i="1"/>
  <c r="G7643" i="1"/>
  <c r="F7643" i="1"/>
  <c r="E7643" i="1"/>
  <c r="D7643" i="1"/>
  <c r="C7643" i="1"/>
  <c r="B7643" i="1"/>
  <c r="A7643" i="1"/>
  <c r="R7642" i="1"/>
  <c r="J7642" i="1"/>
  <c r="I7642" i="1"/>
  <c r="G7642" i="1"/>
  <c r="F7642" i="1"/>
  <c r="E7642" i="1"/>
  <c r="D7642" i="1"/>
  <c r="C7642" i="1"/>
  <c r="B7642" i="1"/>
  <c r="A7642" i="1"/>
  <c r="S7641" i="1"/>
  <c r="O7641" i="1"/>
  <c r="K7641" i="1"/>
  <c r="J7641" i="1"/>
  <c r="I7641" i="1"/>
  <c r="H7641" i="1"/>
  <c r="G7641" i="1"/>
  <c r="F7641" i="1"/>
  <c r="E7641" i="1"/>
  <c r="D7641" i="1"/>
  <c r="C7641" i="1"/>
  <c r="B7641" i="1"/>
  <c r="A7641" i="1"/>
  <c r="R7640" i="1"/>
  <c r="J7640" i="1"/>
  <c r="I7640" i="1"/>
  <c r="G7640" i="1"/>
  <c r="F7640" i="1"/>
  <c r="E7640" i="1"/>
  <c r="D7640" i="1"/>
  <c r="C7640" i="1"/>
  <c r="B7640" i="1"/>
  <c r="A7640" i="1"/>
  <c r="S7639" i="1"/>
  <c r="O7639" i="1"/>
  <c r="K7639" i="1"/>
  <c r="J7639" i="1"/>
  <c r="I7639" i="1"/>
  <c r="H7639" i="1"/>
  <c r="G7639" i="1"/>
  <c r="F7639" i="1"/>
  <c r="E7639" i="1"/>
  <c r="D7639" i="1"/>
  <c r="C7639" i="1"/>
  <c r="B7639" i="1"/>
  <c r="A7639" i="1"/>
  <c r="R7638" i="1"/>
  <c r="J7638" i="1"/>
  <c r="I7638" i="1"/>
  <c r="G7638" i="1"/>
  <c r="F7638" i="1"/>
  <c r="E7638" i="1"/>
  <c r="D7638" i="1"/>
  <c r="C7638" i="1"/>
  <c r="B7638" i="1"/>
  <c r="A7638" i="1"/>
  <c r="S7637" i="1"/>
  <c r="O7637" i="1"/>
  <c r="K7637" i="1"/>
  <c r="J7637" i="1"/>
  <c r="I7637" i="1"/>
  <c r="H7637" i="1"/>
  <c r="G7637" i="1"/>
  <c r="F7637" i="1"/>
  <c r="E7637" i="1"/>
  <c r="D7637" i="1"/>
  <c r="C7637" i="1"/>
  <c r="B7637" i="1"/>
  <c r="A7637" i="1"/>
  <c r="R7636" i="1"/>
  <c r="J7636" i="1"/>
  <c r="I7636" i="1"/>
  <c r="G7636" i="1"/>
  <c r="F7636" i="1"/>
  <c r="E7636" i="1"/>
  <c r="D7636" i="1"/>
  <c r="C7636" i="1"/>
  <c r="B7636" i="1"/>
  <c r="A7636" i="1"/>
  <c r="S7635" i="1"/>
  <c r="O7635" i="1"/>
  <c r="K7635" i="1"/>
  <c r="J7635" i="1"/>
  <c r="I7635" i="1"/>
  <c r="H7635" i="1"/>
  <c r="G7635" i="1"/>
  <c r="F7635" i="1"/>
  <c r="E7635" i="1"/>
  <c r="D7635" i="1"/>
  <c r="C7635" i="1"/>
  <c r="B7635" i="1"/>
  <c r="A7635" i="1"/>
  <c r="R7634" i="1"/>
  <c r="J7634" i="1"/>
  <c r="I7634" i="1"/>
  <c r="G7634" i="1"/>
  <c r="F7634" i="1"/>
  <c r="E7634" i="1"/>
  <c r="D7634" i="1"/>
  <c r="C7634" i="1"/>
  <c r="B7634" i="1"/>
  <c r="A7634" i="1"/>
  <c r="S7633" i="1"/>
  <c r="O7633" i="1"/>
  <c r="K7633" i="1"/>
  <c r="J7633" i="1"/>
  <c r="I7633" i="1"/>
  <c r="H7633" i="1"/>
  <c r="G7633" i="1"/>
  <c r="F7633" i="1"/>
  <c r="E7633" i="1"/>
  <c r="D7633" i="1"/>
  <c r="C7633" i="1"/>
  <c r="B7633" i="1"/>
  <c r="A7633" i="1"/>
  <c r="R7632" i="1"/>
  <c r="J7632" i="1"/>
  <c r="I7632" i="1"/>
  <c r="G7632" i="1"/>
  <c r="F7632" i="1"/>
  <c r="E7632" i="1"/>
  <c r="D7632" i="1"/>
  <c r="C7632" i="1"/>
  <c r="B7632" i="1"/>
  <c r="A7632" i="1"/>
  <c r="S7631" i="1"/>
  <c r="O7631" i="1"/>
  <c r="K7631" i="1"/>
  <c r="J7631" i="1"/>
  <c r="I7631" i="1"/>
  <c r="H7631" i="1"/>
  <c r="G7631" i="1"/>
  <c r="F7631" i="1"/>
  <c r="E7631" i="1"/>
  <c r="D7631" i="1"/>
  <c r="C7631" i="1"/>
  <c r="B7631" i="1"/>
  <c r="A7631" i="1"/>
  <c r="R7630" i="1"/>
  <c r="J7630" i="1"/>
  <c r="I7630" i="1"/>
  <c r="G7630" i="1"/>
  <c r="F7630" i="1"/>
  <c r="E7630" i="1"/>
  <c r="D7630" i="1"/>
  <c r="C7630" i="1"/>
  <c r="B7630" i="1"/>
  <c r="A7630" i="1"/>
  <c r="S7629" i="1"/>
  <c r="O7629" i="1"/>
  <c r="K7629" i="1"/>
  <c r="J7629" i="1"/>
  <c r="I7629" i="1"/>
  <c r="H7629" i="1"/>
  <c r="G7629" i="1"/>
  <c r="F7629" i="1"/>
  <c r="E7629" i="1"/>
  <c r="D7629" i="1"/>
  <c r="C7629" i="1"/>
  <c r="B7629" i="1"/>
  <c r="A7629" i="1"/>
  <c r="R7628" i="1"/>
  <c r="J7628" i="1"/>
  <c r="I7628" i="1"/>
  <c r="G7628" i="1"/>
  <c r="F7628" i="1"/>
  <c r="E7628" i="1"/>
  <c r="D7628" i="1"/>
  <c r="C7628" i="1"/>
  <c r="B7628" i="1"/>
  <c r="A7628" i="1"/>
  <c r="S7627" i="1"/>
  <c r="O7627" i="1"/>
  <c r="K7627" i="1"/>
  <c r="J7627" i="1"/>
  <c r="I7627" i="1"/>
  <c r="H7627" i="1"/>
  <c r="G7627" i="1"/>
  <c r="F7627" i="1"/>
  <c r="E7627" i="1"/>
  <c r="D7627" i="1"/>
  <c r="C7627" i="1"/>
  <c r="B7627" i="1"/>
  <c r="A7627" i="1"/>
  <c r="R7626" i="1"/>
  <c r="J7626" i="1"/>
  <c r="I7626" i="1"/>
  <c r="G7626" i="1"/>
  <c r="F7626" i="1"/>
  <c r="E7626" i="1"/>
  <c r="D7626" i="1"/>
  <c r="C7626" i="1"/>
  <c r="B7626" i="1"/>
  <c r="A7626" i="1"/>
  <c r="S7625" i="1"/>
  <c r="O7625" i="1"/>
  <c r="K7625" i="1"/>
  <c r="J7625" i="1"/>
  <c r="I7625" i="1"/>
  <c r="H7625" i="1"/>
  <c r="G7625" i="1"/>
  <c r="F7625" i="1"/>
  <c r="E7625" i="1"/>
  <c r="D7625" i="1"/>
  <c r="C7625" i="1"/>
  <c r="B7625" i="1"/>
  <c r="A7625" i="1"/>
  <c r="R7624" i="1"/>
  <c r="J7624" i="1"/>
  <c r="I7624" i="1"/>
  <c r="G7624" i="1"/>
  <c r="F7624" i="1"/>
  <c r="E7624" i="1"/>
  <c r="D7624" i="1"/>
  <c r="C7624" i="1"/>
  <c r="B7624" i="1"/>
  <c r="A7624" i="1"/>
  <c r="S7623" i="1"/>
  <c r="O7623" i="1"/>
  <c r="K7623" i="1"/>
  <c r="J7623" i="1"/>
  <c r="I7623" i="1"/>
  <c r="H7623" i="1"/>
  <c r="G7623" i="1"/>
  <c r="F7623" i="1"/>
  <c r="E7623" i="1"/>
  <c r="D7623" i="1"/>
  <c r="C7623" i="1"/>
  <c r="B7623" i="1"/>
  <c r="A7623" i="1"/>
  <c r="R7622" i="1"/>
  <c r="J7622" i="1"/>
  <c r="I7622" i="1"/>
  <c r="G7622" i="1"/>
  <c r="F7622" i="1"/>
  <c r="E7622" i="1"/>
  <c r="D7622" i="1"/>
  <c r="C7622" i="1"/>
  <c r="B7622" i="1"/>
  <c r="A7622" i="1"/>
  <c r="S7621" i="1"/>
  <c r="O7621" i="1"/>
  <c r="K7621" i="1"/>
  <c r="J7621" i="1"/>
  <c r="I7621" i="1"/>
  <c r="H7621" i="1"/>
  <c r="G7621" i="1"/>
  <c r="F7621" i="1"/>
  <c r="E7621" i="1"/>
  <c r="D7621" i="1"/>
  <c r="C7621" i="1"/>
  <c r="B7621" i="1"/>
  <c r="A7621" i="1"/>
  <c r="R7620" i="1"/>
  <c r="J7620" i="1"/>
  <c r="I7620" i="1"/>
  <c r="G7620" i="1"/>
  <c r="F7620" i="1"/>
  <c r="E7620" i="1"/>
  <c r="D7620" i="1"/>
  <c r="C7620" i="1"/>
  <c r="B7620" i="1"/>
  <c r="A7620" i="1"/>
  <c r="S7619" i="1"/>
  <c r="O7619" i="1"/>
  <c r="K7619" i="1"/>
  <c r="J7619" i="1"/>
  <c r="I7619" i="1"/>
  <c r="H7619" i="1"/>
  <c r="G7619" i="1"/>
  <c r="F7619" i="1"/>
  <c r="E7619" i="1"/>
  <c r="D7619" i="1"/>
  <c r="C7619" i="1"/>
  <c r="B7619" i="1"/>
  <c r="A7619" i="1"/>
  <c r="R7618" i="1"/>
  <c r="J7618" i="1"/>
  <c r="I7618" i="1"/>
  <c r="G7618" i="1"/>
  <c r="F7618" i="1"/>
  <c r="E7618" i="1"/>
  <c r="D7618" i="1"/>
  <c r="C7618" i="1"/>
  <c r="B7618" i="1"/>
  <c r="A7618" i="1"/>
  <c r="S7617" i="1"/>
  <c r="O7617" i="1"/>
  <c r="K7617" i="1"/>
  <c r="J7617" i="1"/>
  <c r="I7617" i="1"/>
  <c r="H7617" i="1"/>
  <c r="G7617" i="1"/>
  <c r="F7617" i="1"/>
  <c r="E7617" i="1"/>
  <c r="D7617" i="1"/>
  <c r="C7617" i="1"/>
  <c r="B7617" i="1"/>
  <c r="A7617" i="1"/>
  <c r="R7616" i="1"/>
  <c r="J7616" i="1"/>
  <c r="I7616" i="1"/>
  <c r="G7616" i="1"/>
  <c r="F7616" i="1"/>
  <c r="E7616" i="1"/>
  <c r="D7616" i="1"/>
  <c r="C7616" i="1"/>
  <c r="B7616" i="1"/>
  <c r="A7616" i="1"/>
  <c r="S7615" i="1"/>
  <c r="O7615" i="1"/>
  <c r="K7615" i="1"/>
  <c r="J7615" i="1"/>
  <c r="I7615" i="1"/>
  <c r="H7615" i="1"/>
  <c r="G7615" i="1"/>
  <c r="F7615" i="1"/>
  <c r="E7615" i="1"/>
  <c r="D7615" i="1"/>
  <c r="C7615" i="1"/>
  <c r="B7615" i="1"/>
  <c r="A7615" i="1"/>
  <c r="R7614" i="1"/>
  <c r="J7614" i="1"/>
  <c r="I7614" i="1"/>
  <c r="G7614" i="1"/>
  <c r="F7614" i="1"/>
  <c r="E7614" i="1"/>
  <c r="D7614" i="1"/>
  <c r="C7614" i="1"/>
  <c r="B7614" i="1"/>
  <c r="A7614" i="1"/>
  <c r="S7613" i="1"/>
  <c r="O7613" i="1"/>
  <c r="K7613" i="1"/>
  <c r="J7613" i="1"/>
  <c r="I7613" i="1"/>
  <c r="H7613" i="1"/>
  <c r="G7613" i="1"/>
  <c r="F7613" i="1"/>
  <c r="E7613" i="1"/>
  <c r="D7613" i="1"/>
  <c r="C7613" i="1"/>
  <c r="B7613" i="1"/>
  <c r="A7613" i="1"/>
  <c r="R7612" i="1"/>
  <c r="J7612" i="1"/>
  <c r="I7612" i="1"/>
  <c r="G7612" i="1"/>
  <c r="F7612" i="1"/>
  <c r="E7612" i="1"/>
  <c r="D7612" i="1"/>
  <c r="C7612" i="1"/>
  <c r="B7612" i="1"/>
  <c r="A7612" i="1"/>
  <c r="S7611" i="1"/>
  <c r="O7611" i="1"/>
  <c r="K7611" i="1"/>
  <c r="J7611" i="1"/>
  <c r="I7611" i="1"/>
  <c r="H7611" i="1"/>
  <c r="G7611" i="1"/>
  <c r="F7611" i="1"/>
  <c r="E7611" i="1"/>
  <c r="D7611" i="1"/>
  <c r="C7611" i="1"/>
  <c r="B7611" i="1"/>
  <c r="A7611" i="1"/>
  <c r="R7610" i="1"/>
  <c r="J7610" i="1"/>
  <c r="I7610" i="1"/>
  <c r="G7610" i="1"/>
  <c r="F7610" i="1"/>
  <c r="E7610" i="1"/>
  <c r="D7610" i="1"/>
  <c r="C7610" i="1"/>
  <c r="B7610" i="1"/>
  <c r="A7610" i="1"/>
  <c r="S7609" i="1"/>
  <c r="O7609" i="1"/>
  <c r="K7609" i="1"/>
  <c r="J7609" i="1"/>
  <c r="I7609" i="1"/>
  <c r="H7609" i="1"/>
  <c r="G7609" i="1"/>
  <c r="F7609" i="1"/>
  <c r="E7609" i="1"/>
  <c r="D7609" i="1"/>
  <c r="C7609" i="1"/>
  <c r="B7609" i="1"/>
  <c r="A7609" i="1"/>
  <c r="R7608" i="1"/>
  <c r="J7608" i="1"/>
  <c r="I7608" i="1"/>
  <c r="G7608" i="1"/>
  <c r="F7608" i="1"/>
  <c r="E7608" i="1"/>
  <c r="D7608" i="1"/>
  <c r="C7608" i="1"/>
  <c r="B7608" i="1"/>
  <c r="A7608" i="1"/>
  <c r="R7607" i="1"/>
  <c r="J7607" i="1"/>
  <c r="I7607" i="1"/>
  <c r="G7607" i="1"/>
  <c r="F7607" i="1"/>
  <c r="E7607" i="1"/>
  <c r="D7607" i="1"/>
  <c r="C7607" i="1"/>
  <c r="B7607" i="1"/>
  <c r="A7607" i="1"/>
  <c r="S7606" i="1"/>
  <c r="O7606" i="1"/>
  <c r="K7606" i="1"/>
  <c r="J7606" i="1"/>
  <c r="I7606" i="1"/>
  <c r="H7606" i="1"/>
  <c r="G7606" i="1"/>
  <c r="F7606" i="1"/>
  <c r="E7606" i="1"/>
  <c r="D7606" i="1"/>
  <c r="C7606" i="1"/>
  <c r="B7606" i="1"/>
  <c r="A7606" i="1"/>
  <c r="R7605" i="1"/>
  <c r="J7605" i="1"/>
  <c r="I7605" i="1"/>
  <c r="G7605" i="1"/>
  <c r="F7605" i="1"/>
  <c r="E7605" i="1"/>
  <c r="D7605" i="1"/>
  <c r="C7605" i="1"/>
  <c r="B7605" i="1"/>
  <c r="A7605" i="1"/>
  <c r="S7604" i="1"/>
  <c r="O7604" i="1"/>
  <c r="K7604" i="1"/>
  <c r="J7604" i="1"/>
  <c r="I7604" i="1"/>
  <c r="H7604" i="1"/>
  <c r="G7604" i="1"/>
  <c r="F7604" i="1"/>
  <c r="E7604" i="1"/>
  <c r="D7604" i="1"/>
  <c r="C7604" i="1"/>
  <c r="B7604" i="1"/>
  <c r="A7604" i="1"/>
  <c r="R7603" i="1"/>
  <c r="J7603" i="1"/>
  <c r="I7603" i="1"/>
  <c r="G7603" i="1"/>
  <c r="F7603" i="1"/>
  <c r="E7603" i="1"/>
  <c r="D7603" i="1"/>
  <c r="C7603" i="1"/>
  <c r="B7603" i="1"/>
  <c r="A7603" i="1"/>
  <c r="R7602" i="1"/>
  <c r="J7602" i="1"/>
  <c r="I7602" i="1"/>
  <c r="G7602" i="1"/>
  <c r="F7602" i="1"/>
  <c r="E7602" i="1"/>
  <c r="D7602" i="1"/>
  <c r="C7602" i="1"/>
  <c r="B7602" i="1"/>
  <c r="A7602" i="1"/>
  <c r="S7601" i="1"/>
  <c r="O7601" i="1"/>
  <c r="K7601" i="1"/>
  <c r="J7601" i="1"/>
  <c r="I7601" i="1"/>
  <c r="H7601" i="1"/>
  <c r="G7601" i="1"/>
  <c r="F7601" i="1"/>
  <c r="E7601" i="1"/>
  <c r="D7601" i="1"/>
  <c r="C7601" i="1"/>
  <c r="B7601" i="1"/>
  <c r="A7601" i="1"/>
  <c r="R7600" i="1"/>
  <c r="J7600" i="1"/>
  <c r="I7600" i="1"/>
  <c r="G7600" i="1"/>
  <c r="F7600" i="1"/>
  <c r="E7600" i="1"/>
  <c r="D7600" i="1"/>
  <c r="C7600" i="1"/>
  <c r="B7600" i="1"/>
  <c r="A7600" i="1"/>
  <c r="S7599" i="1"/>
  <c r="O7599" i="1"/>
  <c r="K7599" i="1"/>
  <c r="J7599" i="1"/>
  <c r="I7599" i="1"/>
  <c r="H7599" i="1"/>
  <c r="G7599" i="1"/>
  <c r="F7599" i="1"/>
  <c r="E7599" i="1"/>
  <c r="D7599" i="1"/>
  <c r="C7599" i="1"/>
  <c r="B7599" i="1"/>
  <c r="A7599" i="1"/>
  <c r="R7598" i="1"/>
  <c r="J7598" i="1"/>
  <c r="I7598" i="1"/>
  <c r="G7598" i="1"/>
  <c r="F7598" i="1"/>
  <c r="E7598" i="1"/>
  <c r="D7598" i="1"/>
  <c r="C7598" i="1"/>
  <c r="B7598" i="1"/>
  <c r="A7598" i="1"/>
  <c r="S7597" i="1"/>
  <c r="O7597" i="1"/>
  <c r="K7597" i="1"/>
  <c r="J7597" i="1"/>
  <c r="I7597" i="1"/>
  <c r="H7597" i="1"/>
  <c r="G7597" i="1"/>
  <c r="F7597" i="1"/>
  <c r="E7597" i="1"/>
  <c r="D7597" i="1"/>
  <c r="C7597" i="1"/>
  <c r="B7597" i="1"/>
  <c r="A7597" i="1"/>
  <c r="R7596" i="1"/>
  <c r="J7596" i="1"/>
  <c r="I7596" i="1"/>
  <c r="G7596" i="1"/>
  <c r="F7596" i="1"/>
  <c r="E7596" i="1"/>
  <c r="D7596" i="1"/>
  <c r="C7596" i="1"/>
  <c r="B7596" i="1"/>
  <c r="A7596" i="1"/>
  <c r="S7595" i="1"/>
  <c r="O7595" i="1"/>
  <c r="K7595" i="1"/>
  <c r="J7595" i="1"/>
  <c r="I7595" i="1"/>
  <c r="H7595" i="1"/>
  <c r="G7595" i="1"/>
  <c r="F7595" i="1"/>
  <c r="E7595" i="1"/>
  <c r="D7595" i="1"/>
  <c r="C7595" i="1"/>
  <c r="B7595" i="1"/>
  <c r="A7595" i="1"/>
  <c r="R7594" i="1"/>
  <c r="J7594" i="1"/>
  <c r="I7594" i="1"/>
  <c r="G7594" i="1"/>
  <c r="F7594" i="1"/>
  <c r="E7594" i="1"/>
  <c r="D7594" i="1"/>
  <c r="C7594" i="1"/>
  <c r="B7594" i="1"/>
  <c r="A7594" i="1"/>
  <c r="S7593" i="1"/>
  <c r="O7593" i="1"/>
  <c r="K7593" i="1"/>
  <c r="J7593" i="1"/>
  <c r="I7593" i="1"/>
  <c r="H7593" i="1"/>
  <c r="G7593" i="1"/>
  <c r="F7593" i="1"/>
  <c r="E7593" i="1"/>
  <c r="D7593" i="1"/>
  <c r="C7593" i="1"/>
  <c r="B7593" i="1"/>
  <c r="A7593" i="1"/>
  <c r="R7592" i="1"/>
  <c r="J7592" i="1"/>
  <c r="I7592" i="1"/>
  <c r="G7592" i="1"/>
  <c r="F7592" i="1"/>
  <c r="E7592" i="1"/>
  <c r="D7592" i="1"/>
  <c r="C7592" i="1"/>
  <c r="B7592" i="1"/>
  <c r="A7592" i="1"/>
  <c r="S7591" i="1"/>
  <c r="O7591" i="1"/>
  <c r="K7591" i="1"/>
  <c r="J7591" i="1"/>
  <c r="I7591" i="1"/>
  <c r="H7591" i="1"/>
  <c r="G7591" i="1"/>
  <c r="F7591" i="1"/>
  <c r="E7591" i="1"/>
  <c r="D7591" i="1"/>
  <c r="C7591" i="1"/>
  <c r="B7591" i="1"/>
  <c r="A7591" i="1"/>
  <c r="R7590" i="1"/>
  <c r="J7590" i="1"/>
  <c r="I7590" i="1"/>
  <c r="G7590" i="1"/>
  <c r="F7590" i="1"/>
  <c r="E7590" i="1"/>
  <c r="D7590" i="1"/>
  <c r="C7590" i="1"/>
  <c r="B7590" i="1"/>
  <c r="A7590" i="1"/>
  <c r="R7589" i="1"/>
  <c r="J7589" i="1"/>
  <c r="I7589" i="1"/>
  <c r="G7589" i="1"/>
  <c r="F7589" i="1"/>
  <c r="E7589" i="1"/>
  <c r="D7589" i="1"/>
  <c r="C7589" i="1"/>
  <c r="B7589" i="1"/>
  <c r="A7589" i="1"/>
  <c r="S7588" i="1"/>
  <c r="O7588" i="1"/>
  <c r="K7588" i="1"/>
  <c r="J7588" i="1"/>
  <c r="I7588" i="1"/>
  <c r="H7588" i="1"/>
  <c r="G7588" i="1"/>
  <c r="F7588" i="1"/>
  <c r="E7588" i="1"/>
  <c r="D7588" i="1"/>
  <c r="C7588" i="1"/>
  <c r="B7588" i="1"/>
  <c r="A7588" i="1"/>
  <c r="R7587" i="1"/>
  <c r="J7587" i="1"/>
  <c r="I7587" i="1"/>
  <c r="G7587" i="1"/>
  <c r="F7587" i="1"/>
  <c r="E7587" i="1"/>
  <c r="D7587" i="1"/>
  <c r="C7587" i="1"/>
  <c r="B7587" i="1"/>
  <c r="A7587" i="1"/>
  <c r="R7586" i="1"/>
  <c r="J7586" i="1"/>
  <c r="I7586" i="1"/>
  <c r="G7586" i="1"/>
  <c r="F7586" i="1"/>
  <c r="E7586" i="1"/>
  <c r="D7586" i="1"/>
  <c r="C7586" i="1"/>
  <c r="B7586" i="1"/>
  <c r="A7586" i="1"/>
  <c r="S7585" i="1"/>
  <c r="O7585" i="1"/>
  <c r="K7585" i="1"/>
  <c r="J7585" i="1"/>
  <c r="I7585" i="1"/>
  <c r="H7585" i="1"/>
  <c r="G7585" i="1"/>
  <c r="F7585" i="1"/>
  <c r="E7585" i="1"/>
  <c r="D7585" i="1"/>
  <c r="C7585" i="1"/>
  <c r="B7585" i="1"/>
  <c r="A7585" i="1"/>
  <c r="R7584" i="1"/>
  <c r="J7584" i="1"/>
  <c r="I7584" i="1"/>
  <c r="G7584" i="1"/>
  <c r="F7584" i="1"/>
  <c r="E7584" i="1"/>
  <c r="D7584" i="1"/>
  <c r="C7584" i="1"/>
  <c r="B7584" i="1"/>
  <c r="A7584" i="1"/>
  <c r="S7583" i="1"/>
  <c r="O7583" i="1"/>
  <c r="K7583" i="1"/>
  <c r="J7583" i="1"/>
  <c r="I7583" i="1"/>
  <c r="H7583" i="1"/>
  <c r="G7583" i="1"/>
  <c r="F7583" i="1"/>
  <c r="E7583" i="1"/>
  <c r="D7583" i="1"/>
  <c r="C7583" i="1"/>
  <c r="B7583" i="1"/>
  <c r="A7583" i="1"/>
  <c r="R7582" i="1"/>
  <c r="J7582" i="1"/>
  <c r="I7582" i="1"/>
  <c r="G7582" i="1"/>
  <c r="F7582" i="1"/>
  <c r="E7582" i="1"/>
  <c r="D7582" i="1"/>
  <c r="C7582" i="1"/>
  <c r="B7582" i="1"/>
  <c r="A7582" i="1"/>
  <c r="R7581" i="1"/>
  <c r="J7581" i="1"/>
  <c r="I7581" i="1"/>
  <c r="G7581" i="1"/>
  <c r="F7581" i="1"/>
  <c r="E7581" i="1"/>
  <c r="D7581" i="1"/>
  <c r="C7581" i="1"/>
  <c r="B7581" i="1"/>
  <c r="A7581" i="1"/>
  <c r="S7580" i="1"/>
  <c r="O7580" i="1"/>
  <c r="K7580" i="1"/>
  <c r="J7580" i="1"/>
  <c r="I7580" i="1"/>
  <c r="H7580" i="1"/>
  <c r="G7580" i="1"/>
  <c r="F7580" i="1"/>
  <c r="E7580" i="1"/>
  <c r="D7580" i="1"/>
  <c r="C7580" i="1"/>
  <c r="B7580" i="1"/>
  <c r="A7580" i="1"/>
  <c r="R7579" i="1"/>
  <c r="J7579" i="1"/>
  <c r="I7579" i="1"/>
  <c r="G7579" i="1"/>
  <c r="F7579" i="1"/>
  <c r="E7579" i="1"/>
  <c r="D7579" i="1"/>
  <c r="C7579" i="1"/>
  <c r="B7579" i="1"/>
  <c r="A7579" i="1"/>
  <c r="S7578" i="1"/>
  <c r="O7578" i="1"/>
  <c r="K7578" i="1"/>
  <c r="J7578" i="1"/>
  <c r="I7578" i="1"/>
  <c r="H7578" i="1"/>
  <c r="G7578" i="1"/>
  <c r="F7578" i="1"/>
  <c r="E7578" i="1"/>
  <c r="D7578" i="1"/>
  <c r="C7578" i="1"/>
  <c r="B7578" i="1"/>
  <c r="A7578" i="1"/>
  <c r="R7577" i="1"/>
  <c r="J7577" i="1"/>
  <c r="I7577" i="1"/>
  <c r="G7577" i="1"/>
  <c r="F7577" i="1"/>
  <c r="E7577" i="1"/>
  <c r="D7577" i="1"/>
  <c r="C7577" i="1"/>
  <c r="B7577" i="1"/>
  <c r="A7577" i="1"/>
  <c r="S7576" i="1"/>
  <c r="O7576" i="1"/>
  <c r="K7576" i="1"/>
  <c r="J7576" i="1"/>
  <c r="I7576" i="1"/>
  <c r="H7576" i="1"/>
  <c r="G7576" i="1"/>
  <c r="F7576" i="1"/>
  <c r="E7576" i="1"/>
  <c r="D7576" i="1"/>
  <c r="C7576" i="1"/>
  <c r="B7576" i="1"/>
  <c r="A7576" i="1"/>
  <c r="R7575" i="1"/>
  <c r="J7575" i="1"/>
  <c r="I7575" i="1"/>
  <c r="G7575" i="1"/>
  <c r="F7575" i="1"/>
  <c r="E7575" i="1"/>
  <c r="D7575" i="1"/>
  <c r="C7575" i="1"/>
  <c r="B7575" i="1"/>
  <c r="A7575" i="1"/>
  <c r="R7574" i="1"/>
  <c r="J7574" i="1"/>
  <c r="I7574" i="1"/>
  <c r="G7574" i="1"/>
  <c r="F7574" i="1"/>
  <c r="E7574" i="1"/>
  <c r="D7574" i="1"/>
  <c r="C7574" i="1"/>
  <c r="B7574" i="1"/>
  <c r="A7574" i="1"/>
  <c r="S7573" i="1"/>
  <c r="O7573" i="1"/>
  <c r="K7573" i="1"/>
  <c r="J7573" i="1"/>
  <c r="I7573" i="1"/>
  <c r="H7573" i="1"/>
  <c r="G7573" i="1"/>
  <c r="F7573" i="1"/>
  <c r="E7573" i="1"/>
  <c r="D7573" i="1"/>
  <c r="C7573" i="1"/>
  <c r="B7573" i="1"/>
  <c r="A7573" i="1"/>
  <c r="R7572" i="1"/>
  <c r="J7572" i="1"/>
  <c r="I7572" i="1"/>
  <c r="G7572" i="1"/>
  <c r="F7572" i="1"/>
  <c r="E7572" i="1"/>
  <c r="D7572" i="1"/>
  <c r="C7572" i="1"/>
  <c r="B7572" i="1"/>
  <c r="A7572" i="1"/>
  <c r="S7571" i="1"/>
  <c r="O7571" i="1"/>
  <c r="K7571" i="1"/>
  <c r="J7571" i="1"/>
  <c r="I7571" i="1"/>
  <c r="H7571" i="1"/>
  <c r="G7571" i="1"/>
  <c r="F7571" i="1"/>
  <c r="E7571" i="1"/>
  <c r="D7571" i="1"/>
  <c r="C7571" i="1"/>
  <c r="B7571" i="1"/>
  <c r="A7571" i="1"/>
  <c r="R7570" i="1"/>
  <c r="J7570" i="1"/>
  <c r="I7570" i="1"/>
  <c r="G7570" i="1"/>
  <c r="F7570" i="1"/>
  <c r="E7570" i="1"/>
  <c r="D7570" i="1"/>
  <c r="C7570" i="1"/>
  <c r="B7570" i="1"/>
  <c r="A7570" i="1"/>
  <c r="S7569" i="1"/>
  <c r="O7569" i="1"/>
  <c r="K7569" i="1"/>
  <c r="J7569" i="1"/>
  <c r="I7569" i="1"/>
  <c r="H7569" i="1"/>
  <c r="G7569" i="1"/>
  <c r="F7569" i="1"/>
  <c r="E7569" i="1"/>
  <c r="D7569" i="1"/>
  <c r="C7569" i="1"/>
  <c r="B7569" i="1"/>
  <c r="A7569" i="1"/>
  <c r="R7568" i="1"/>
  <c r="J7568" i="1"/>
  <c r="I7568" i="1"/>
  <c r="G7568" i="1"/>
  <c r="F7568" i="1"/>
  <c r="E7568" i="1"/>
  <c r="D7568" i="1"/>
  <c r="C7568" i="1"/>
  <c r="B7568" i="1"/>
  <c r="A7568" i="1"/>
  <c r="S7567" i="1"/>
  <c r="O7567" i="1"/>
  <c r="K7567" i="1"/>
  <c r="J7567" i="1"/>
  <c r="I7567" i="1"/>
  <c r="H7567" i="1"/>
  <c r="G7567" i="1"/>
  <c r="F7567" i="1"/>
  <c r="E7567" i="1"/>
  <c r="D7567" i="1"/>
  <c r="C7567" i="1"/>
  <c r="B7567" i="1"/>
  <c r="A7567" i="1"/>
  <c r="R7566" i="1"/>
  <c r="J7566" i="1"/>
  <c r="I7566" i="1"/>
  <c r="G7566" i="1"/>
  <c r="F7566" i="1"/>
  <c r="E7566" i="1"/>
  <c r="D7566" i="1"/>
  <c r="C7566" i="1"/>
  <c r="B7566" i="1"/>
  <c r="A7566" i="1"/>
  <c r="S7565" i="1"/>
  <c r="O7565" i="1"/>
  <c r="K7565" i="1"/>
  <c r="J7565" i="1"/>
  <c r="I7565" i="1"/>
  <c r="H7565" i="1"/>
  <c r="G7565" i="1"/>
  <c r="F7565" i="1"/>
  <c r="E7565" i="1"/>
  <c r="D7565" i="1"/>
  <c r="C7565" i="1"/>
  <c r="B7565" i="1"/>
  <c r="A7565" i="1"/>
  <c r="R7564" i="1"/>
  <c r="J7564" i="1"/>
  <c r="I7564" i="1"/>
  <c r="G7564" i="1"/>
  <c r="F7564" i="1"/>
  <c r="E7564" i="1"/>
  <c r="D7564" i="1"/>
  <c r="C7564" i="1"/>
  <c r="B7564" i="1"/>
  <c r="A7564" i="1"/>
  <c r="S7563" i="1"/>
  <c r="O7563" i="1"/>
  <c r="K7563" i="1"/>
  <c r="J7563" i="1"/>
  <c r="I7563" i="1"/>
  <c r="H7563" i="1"/>
  <c r="G7563" i="1"/>
  <c r="F7563" i="1"/>
  <c r="E7563" i="1"/>
  <c r="D7563" i="1"/>
  <c r="C7563" i="1"/>
  <c r="B7563" i="1"/>
  <c r="A7563" i="1"/>
  <c r="R7562" i="1"/>
  <c r="J7562" i="1"/>
  <c r="I7562" i="1"/>
  <c r="G7562" i="1"/>
  <c r="F7562" i="1"/>
  <c r="E7562" i="1"/>
  <c r="D7562" i="1"/>
  <c r="C7562" i="1"/>
  <c r="B7562" i="1"/>
  <c r="A7562" i="1"/>
  <c r="S7561" i="1"/>
  <c r="O7561" i="1"/>
  <c r="K7561" i="1"/>
  <c r="J7561" i="1"/>
  <c r="I7561" i="1"/>
  <c r="H7561" i="1"/>
  <c r="G7561" i="1"/>
  <c r="F7561" i="1"/>
  <c r="E7561" i="1"/>
  <c r="D7561" i="1"/>
  <c r="C7561" i="1"/>
  <c r="B7561" i="1"/>
  <c r="A7561" i="1"/>
  <c r="R7560" i="1"/>
  <c r="J7560" i="1"/>
  <c r="I7560" i="1"/>
  <c r="G7560" i="1"/>
  <c r="F7560" i="1"/>
  <c r="E7560" i="1"/>
  <c r="D7560" i="1"/>
  <c r="C7560" i="1"/>
  <c r="B7560" i="1"/>
  <c r="A7560" i="1"/>
  <c r="S7559" i="1"/>
  <c r="O7559" i="1"/>
  <c r="K7559" i="1"/>
  <c r="J7559" i="1"/>
  <c r="I7559" i="1"/>
  <c r="H7559" i="1"/>
  <c r="G7559" i="1"/>
  <c r="F7559" i="1"/>
  <c r="E7559" i="1"/>
  <c r="D7559" i="1"/>
  <c r="C7559" i="1"/>
  <c r="B7559" i="1"/>
  <c r="A7559" i="1"/>
  <c r="R7558" i="1"/>
  <c r="J7558" i="1"/>
  <c r="I7558" i="1"/>
  <c r="G7558" i="1"/>
  <c r="F7558" i="1"/>
  <c r="E7558" i="1"/>
  <c r="D7558" i="1"/>
  <c r="C7558" i="1"/>
  <c r="B7558" i="1"/>
  <c r="A7558" i="1"/>
  <c r="S7557" i="1"/>
  <c r="O7557" i="1"/>
  <c r="K7557" i="1"/>
  <c r="J7557" i="1"/>
  <c r="I7557" i="1"/>
  <c r="H7557" i="1"/>
  <c r="G7557" i="1"/>
  <c r="F7557" i="1"/>
  <c r="E7557" i="1"/>
  <c r="D7557" i="1"/>
  <c r="C7557" i="1"/>
  <c r="B7557" i="1"/>
  <c r="A7557" i="1"/>
  <c r="R7556" i="1"/>
  <c r="J7556" i="1"/>
  <c r="I7556" i="1"/>
  <c r="G7556" i="1"/>
  <c r="F7556" i="1"/>
  <c r="E7556" i="1"/>
  <c r="D7556" i="1"/>
  <c r="C7556" i="1"/>
  <c r="B7556" i="1"/>
  <c r="A7556" i="1"/>
  <c r="S7555" i="1"/>
  <c r="O7555" i="1"/>
  <c r="K7555" i="1"/>
  <c r="J7555" i="1"/>
  <c r="I7555" i="1"/>
  <c r="H7555" i="1"/>
  <c r="G7555" i="1"/>
  <c r="F7555" i="1"/>
  <c r="E7555" i="1"/>
  <c r="D7555" i="1"/>
  <c r="C7555" i="1"/>
  <c r="B7555" i="1"/>
  <c r="A7555" i="1"/>
  <c r="R7554" i="1"/>
  <c r="J7554" i="1"/>
  <c r="I7554" i="1"/>
  <c r="G7554" i="1"/>
  <c r="F7554" i="1"/>
  <c r="E7554" i="1"/>
  <c r="D7554" i="1"/>
  <c r="C7554" i="1"/>
  <c r="B7554" i="1"/>
  <c r="A7554" i="1"/>
  <c r="R7553" i="1"/>
  <c r="J7553" i="1"/>
  <c r="I7553" i="1"/>
  <c r="G7553" i="1"/>
  <c r="F7553" i="1"/>
  <c r="E7553" i="1"/>
  <c r="D7553" i="1"/>
  <c r="C7553" i="1"/>
  <c r="B7553" i="1"/>
  <c r="A7553" i="1"/>
  <c r="S7552" i="1"/>
  <c r="O7552" i="1"/>
  <c r="K7552" i="1"/>
  <c r="J7552" i="1"/>
  <c r="I7552" i="1"/>
  <c r="H7552" i="1"/>
  <c r="G7552" i="1"/>
  <c r="F7552" i="1"/>
  <c r="E7552" i="1"/>
  <c r="D7552" i="1"/>
  <c r="C7552" i="1"/>
  <c r="B7552" i="1"/>
  <c r="A7552" i="1"/>
  <c r="R7551" i="1"/>
  <c r="J7551" i="1"/>
  <c r="I7551" i="1"/>
  <c r="G7551" i="1"/>
  <c r="F7551" i="1"/>
  <c r="E7551" i="1"/>
  <c r="D7551" i="1"/>
  <c r="C7551" i="1"/>
  <c r="B7551" i="1"/>
  <c r="A7551" i="1"/>
  <c r="S7550" i="1"/>
  <c r="O7550" i="1"/>
  <c r="K7550" i="1"/>
  <c r="J7550" i="1"/>
  <c r="I7550" i="1"/>
  <c r="H7550" i="1"/>
  <c r="G7550" i="1"/>
  <c r="F7550" i="1"/>
  <c r="E7550" i="1"/>
  <c r="D7550" i="1"/>
  <c r="C7550" i="1"/>
  <c r="B7550" i="1"/>
  <c r="A7550" i="1"/>
  <c r="R7549" i="1"/>
  <c r="J7549" i="1"/>
  <c r="I7549" i="1"/>
  <c r="G7549" i="1"/>
  <c r="F7549" i="1"/>
  <c r="E7549" i="1"/>
  <c r="D7549" i="1"/>
  <c r="C7549" i="1"/>
  <c r="B7549" i="1"/>
  <c r="A7549" i="1"/>
  <c r="R7548" i="1"/>
  <c r="J7548" i="1"/>
  <c r="I7548" i="1"/>
  <c r="G7548" i="1"/>
  <c r="F7548" i="1"/>
  <c r="E7548" i="1"/>
  <c r="D7548" i="1"/>
  <c r="C7548" i="1"/>
  <c r="B7548" i="1"/>
  <c r="A7548" i="1"/>
  <c r="R7547" i="1"/>
  <c r="J7547" i="1"/>
  <c r="I7547" i="1"/>
  <c r="G7547" i="1"/>
  <c r="F7547" i="1"/>
  <c r="E7547" i="1"/>
  <c r="D7547" i="1"/>
  <c r="C7547" i="1"/>
  <c r="B7547" i="1"/>
  <c r="A7547" i="1"/>
  <c r="R7546" i="1"/>
  <c r="J7546" i="1"/>
  <c r="I7546" i="1"/>
  <c r="G7546" i="1"/>
  <c r="F7546" i="1"/>
  <c r="E7546" i="1"/>
  <c r="D7546" i="1"/>
  <c r="C7546" i="1"/>
  <c r="B7546" i="1"/>
  <c r="A7546" i="1"/>
  <c r="S7545" i="1"/>
  <c r="O7545" i="1"/>
  <c r="K7545" i="1"/>
  <c r="J7545" i="1"/>
  <c r="I7545" i="1"/>
  <c r="H7545" i="1"/>
  <c r="G7545" i="1"/>
  <c r="F7545" i="1"/>
  <c r="E7545" i="1"/>
  <c r="D7545" i="1"/>
  <c r="C7545" i="1"/>
  <c r="B7545" i="1"/>
  <c r="A7545" i="1"/>
  <c r="R7544" i="1"/>
  <c r="J7544" i="1"/>
  <c r="I7544" i="1"/>
  <c r="G7544" i="1"/>
  <c r="F7544" i="1"/>
  <c r="E7544" i="1"/>
  <c r="D7544" i="1"/>
  <c r="C7544" i="1"/>
  <c r="B7544" i="1"/>
  <c r="A7544" i="1"/>
  <c r="S7543" i="1"/>
  <c r="O7543" i="1"/>
  <c r="K7543" i="1"/>
  <c r="J7543" i="1"/>
  <c r="I7543" i="1"/>
  <c r="H7543" i="1"/>
  <c r="G7543" i="1"/>
  <c r="F7543" i="1"/>
  <c r="E7543" i="1"/>
  <c r="D7543" i="1"/>
  <c r="C7543" i="1"/>
  <c r="B7543" i="1"/>
  <c r="A7543" i="1"/>
  <c r="R7542" i="1"/>
  <c r="J7542" i="1"/>
  <c r="I7542" i="1"/>
  <c r="G7542" i="1"/>
  <c r="F7542" i="1"/>
  <c r="E7542" i="1"/>
  <c r="D7542" i="1"/>
  <c r="C7542" i="1"/>
  <c r="B7542" i="1"/>
  <c r="A7542" i="1"/>
  <c r="S7541" i="1"/>
  <c r="O7541" i="1"/>
  <c r="K7541" i="1"/>
  <c r="J7541" i="1"/>
  <c r="I7541" i="1"/>
  <c r="H7541" i="1"/>
  <c r="G7541" i="1"/>
  <c r="F7541" i="1"/>
  <c r="E7541" i="1"/>
  <c r="D7541" i="1"/>
  <c r="C7541" i="1"/>
  <c r="B7541" i="1"/>
  <c r="A7541" i="1"/>
  <c r="R7540" i="1"/>
  <c r="J7540" i="1"/>
  <c r="I7540" i="1"/>
  <c r="G7540" i="1"/>
  <c r="F7540" i="1"/>
  <c r="E7540" i="1"/>
  <c r="D7540" i="1"/>
  <c r="C7540" i="1"/>
  <c r="B7540" i="1"/>
  <c r="A7540" i="1"/>
  <c r="S7539" i="1"/>
  <c r="O7539" i="1"/>
  <c r="K7539" i="1"/>
  <c r="J7539" i="1"/>
  <c r="I7539" i="1"/>
  <c r="H7539" i="1"/>
  <c r="G7539" i="1"/>
  <c r="F7539" i="1"/>
  <c r="E7539" i="1"/>
  <c r="D7539" i="1"/>
  <c r="C7539" i="1"/>
  <c r="B7539" i="1"/>
  <c r="A7539" i="1"/>
  <c r="R7538" i="1"/>
  <c r="J7538" i="1"/>
  <c r="I7538" i="1"/>
  <c r="G7538" i="1"/>
  <c r="F7538" i="1"/>
  <c r="E7538" i="1"/>
  <c r="D7538" i="1"/>
  <c r="C7538" i="1"/>
  <c r="B7538" i="1"/>
  <c r="A7538" i="1"/>
  <c r="S7537" i="1"/>
  <c r="O7537" i="1"/>
  <c r="K7537" i="1"/>
  <c r="J7537" i="1"/>
  <c r="I7537" i="1"/>
  <c r="H7537" i="1"/>
  <c r="G7537" i="1"/>
  <c r="F7537" i="1"/>
  <c r="E7537" i="1"/>
  <c r="D7537" i="1"/>
  <c r="C7537" i="1"/>
  <c r="B7537" i="1"/>
  <c r="A7537" i="1"/>
  <c r="R7536" i="1"/>
  <c r="J7536" i="1"/>
  <c r="I7536" i="1"/>
  <c r="G7536" i="1"/>
  <c r="F7536" i="1"/>
  <c r="E7536" i="1"/>
  <c r="D7536" i="1"/>
  <c r="C7536" i="1"/>
  <c r="B7536" i="1"/>
  <c r="A7536" i="1"/>
  <c r="R7535" i="1"/>
  <c r="J7535" i="1"/>
  <c r="I7535" i="1"/>
  <c r="G7535" i="1"/>
  <c r="F7535" i="1"/>
  <c r="E7535" i="1"/>
  <c r="D7535" i="1"/>
  <c r="C7535" i="1"/>
  <c r="B7535" i="1"/>
  <c r="A7535" i="1"/>
  <c r="R7534" i="1"/>
  <c r="J7534" i="1"/>
  <c r="I7534" i="1"/>
  <c r="G7534" i="1"/>
  <c r="F7534" i="1"/>
  <c r="E7534" i="1"/>
  <c r="D7534" i="1"/>
  <c r="C7534" i="1"/>
  <c r="B7534" i="1"/>
  <c r="A7534" i="1"/>
  <c r="R7533" i="1"/>
  <c r="J7533" i="1"/>
  <c r="I7533" i="1"/>
  <c r="G7533" i="1"/>
  <c r="F7533" i="1"/>
  <c r="E7533" i="1"/>
  <c r="D7533" i="1"/>
  <c r="C7533" i="1"/>
  <c r="B7533" i="1"/>
  <c r="A7533" i="1"/>
  <c r="S7532" i="1"/>
  <c r="O7532" i="1"/>
  <c r="K7532" i="1"/>
  <c r="J7532" i="1"/>
  <c r="I7532" i="1"/>
  <c r="H7532" i="1"/>
  <c r="G7532" i="1"/>
  <c r="F7532" i="1"/>
  <c r="E7532" i="1"/>
  <c r="D7532" i="1"/>
  <c r="C7532" i="1"/>
  <c r="B7532" i="1"/>
  <c r="A7532" i="1"/>
  <c r="R7531" i="1"/>
  <c r="J7531" i="1"/>
  <c r="I7531" i="1"/>
  <c r="G7531" i="1"/>
  <c r="F7531" i="1"/>
  <c r="E7531" i="1"/>
  <c r="D7531" i="1"/>
  <c r="C7531" i="1"/>
  <c r="B7531" i="1"/>
  <c r="A7531" i="1"/>
  <c r="S7530" i="1"/>
  <c r="O7530" i="1"/>
  <c r="K7530" i="1"/>
  <c r="J7530" i="1"/>
  <c r="I7530" i="1"/>
  <c r="H7530" i="1"/>
  <c r="G7530" i="1"/>
  <c r="F7530" i="1"/>
  <c r="E7530" i="1"/>
  <c r="D7530" i="1"/>
  <c r="C7530" i="1"/>
  <c r="B7530" i="1"/>
  <c r="A7530" i="1"/>
  <c r="R7529" i="1"/>
  <c r="J7529" i="1"/>
  <c r="I7529" i="1"/>
  <c r="G7529" i="1"/>
  <c r="F7529" i="1"/>
  <c r="E7529" i="1"/>
  <c r="D7529" i="1"/>
  <c r="C7529" i="1"/>
  <c r="B7529" i="1"/>
  <c r="A7529" i="1"/>
  <c r="S7528" i="1"/>
  <c r="O7528" i="1"/>
  <c r="K7528" i="1"/>
  <c r="J7528" i="1"/>
  <c r="I7528" i="1"/>
  <c r="H7528" i="1"/>
  <c r="G7528" i="1"/>
  <c r="F7528" i="1"/>
  <c r="E7528" i="1"/>
  <c r="D7528" i="1"/>
  <c r="C7528" i="1"/>
  <c r="B7528" i="1"/>
  <c r="A7528" i="1"/>
  <c r="R7527" i="1"/>
  <c r="J7527" i="1"/>
  <c r="I7527" i="1"/>
  <c r="G7527" i="1"/>
  <c r="F7527" i="1"/>
  <c r="E7527" i="1"/>
  <c r="D7527" i="1"/>
  <c r="C7527" i="1"/>
  <c r="B7527" i="1"/>
  <c r="A7527" i="1"/>
  <c r="S7526" i="1"/>
  <c r="O7526" i="1"/>
  <c r="K7526" i="1"/>
  <c r="J7526" i="1"/>
  <c r="I7526" i="1"/>
  <c r="H7526" i="1"/>
  <c r="G7526" i="1"/>
  <c r="F7526" i="1"/>
  <c r="E7526" i="1"/>
  <c r="D7526" i="1"/>
  <c r="C7526" i="1"/>
  <c r="B7526" i="1"/>
  <c r="A7526" i="1"/>
  <c r="R7525" i="1"/>
  <c r="J7525" i="1"/>
  <c r="I7525" i="1"/>
  <c r="G7525" i="1"/>
  <c r="F7525" i="1"/>
  <c r="E7525" i="1"/>
  <c r="D7525" i="1"/>
  <c r="C7525" i="1"/>
  <c r="B7525" i="1"/>
  <c r="A7525" i="1"/>
  <c r="R7524" i="1"/>
  <c r="J7524" i="1"/>
  <c r="I7524" i="1"/>
  <c r="G7524" i="1"/>
  <c r="F7524" i="1"/>
  <c r="E7524" i="1"/>
  <c r="D7524" i="1"/>
  <c r="C7524" i="1"/>
  <c r="B7524" i="1"/>
  <c r="A7524" i="1"/>
  <c r="S7523" i="1"/>
  <c r="O7523" i="1"/>
  <c r="K7523" i="1"/>
  <c r="J7523" i="1"/>
  <c r="I7523" i="1"/>
  <c r="H7523" i="1"/>
  <c r="G7523" i="1"/>
  <c r="F7523" i="1"/>
  <c r="E7523" i="1"/>
  <c r="D7523" i="1"/>
  <c r="C7523" i="1"/>
  <c r="B7523" i="1"/>
  <c r="A7523" i="1"/>
  <c r="R7522" i="1"/>
  <c r="J7522" i="1"/>
  <c r="I7522" i="1"/>
  <c r="G7522" i="1"/>
  <c r="F7522" i="1"/>
  <c r="E7522" i="1"/>
  <c r="D7522" i="1"/>
  <c r="C7522" i="1"/>
  <c r="B7522" i="1"/>
  <c r="A7522" i="1"/>
  <c r="S7521" i="1"/>
  <c r="O7521" i="1"/>
  <c r="K7521" i="1"/>
  <c r="J7521" i="1"/>
  <c r="I7521" i="1"/>
  <c r="H7521" i="1"/>
  <c r="G7521" i="1"/>
  <c r="F7521" i="1"/>
  <c r="E7521" i="1"/>
  <c r="D7521" i="1"/>
  <c r="C7521" i="1"/>
  <c r="B7521" i="1"/>
  <c r="A7521" i="1"/>
  <c r="R7520" i="1"/>
  <c r="J7520" i="1"/>
  <c r="I7520" i="1"/>
  <c r="G7520" i="1"/>
  <c r="F7520" i="1"/>
  <c r="E7520" i="1"/>
  <c r="D7520" i="1"/>
  <c r="C7520" i="1"/>
  <c r="B7520" i="1"/>
  <c r="A7520" i="1"/>
  <c r="S7519" i="1"/>
  <c r="O7519" i="1"/>
  <c r="K7519" i="1"/>
  <c r="J7519" i="1"/>
  <c r="I7519" i="1"/>
  <c r="H7519" i="1"/>
  <c r="G7519" i="1"/>
  <c r="F7519" i="1"/>
  <c r="E7519" i="1"/>
  <c r="D7519" i="1"/>
  <c r="C7519" i="1"/>
  <c r="B7519" i="1"/>
  <c r="A7519" i="1"/>
  <c r="R7518" i="1"/>
  <c r="J7518" i="1"/>
  <c r="I7518" i="1"/>
  <c r="G7518" i="1"/>
  <c r="F7518" i="1"/>
  <c r="E7518" i="1"/>
  <c r="D7518" i="1"/>
  <c r="C7518" i="1"/>
  <c r="B7518" i="1"/>
  <c r="A7518" i="1"/>
  <c r="S7517" i="1"/>
  <c r="O7517" i="1"/>
  <c r="K7517" i="1"/>
  <c r="J7517" i="1"/>
  <c r="I7517" i="1"/>
  <c r="H7517" i="1"/>
  <c r="G7517" i="1"/>
  <c r="F7517" i="1"/>
  <c r="E7517" i="1"/>
  <c r="D7517" i="1"/>
  <c r="C7517" i="1"/>
  <c r="B7517" i="1"/>
  <c r="A7517" i="1"/>
  <c r="R7516" i="1"/>
  <c r="J7516" i="1"/>
  <c r="I7516" i="1"/>
  <c r="G7516" i="1"/>
  <c r="F7516" i="1"/>
  <c r="E7516" i="1"/>
  <c r="D7516" i="1"/>
  <c r="C7516" i="1"/>
  <c r="B7516" i="1"/>
  <c r="A7516" i="1"/>
  <c r="S7515" i="1"/>
  <c r="O7515" i="1"/>
  <c r="K7515" i="1"/>
  <c r="J7515" i="1"/>
  <c r="I7515" i="1"/>
  <c r="H7515" i="1"/>
  <c r="G7515" i="1"/>
  <c r="F7515" i="1"/>
  <c r="E7515" i="1"/>
  <c r="D7515" i="1"/>
  <c r="C7515" i="1"/>
  <c r="B7515" i="1"/>
  <c r="A7515" i="1"/>
  <c r="R7514" i="1"/>
  <c r="J7514" i="1"/>
  <c r="I7514" i="1"/>
  <c r="G7514" i="1"/>
  <c r="F7514" i="1"/>
  <c r="E7514" i="1"/>
  <c r="D7514" i="1"/>
  <c r="C7514" i="1"/>
  <c r="B7514" i="1"/>
  <c r="A7514" i="1"/>
  <c r="S7513" i="1"/>
  <c r="O7513" i="1"/>
  <c r="K7513" i="1"/>
  <c r="J7513" i="1"/>
  <c r="I7513" i="1"/>
  <c r="H7513" i="1"/>
  <c r="G7513" i="1"/>
  <c r="F7513" i="1"/>
  <c r="E7513" i="1"/>
  <c r="D7513" i="1"/>
  <c r="C7513" i="1"/>
  <c r="B7513" i="1"/>
  <c r="A7513" i="1"/>
  <c r="R7512" i="1"/>
  <c r="J7512" i="1"/>
  <c r="I7512" i="1"/>
  <c r="G7512" i="1"/>
  <c r="F7512" i="1"/>
  <c r="E7512" i="1"/>
  <c r="D7512" i="1"/>
  <c r="C7512" i="1"/>
  <c r="B7512" i="1"/>
  <c r="A7512" i="1"/>
  <c r="R7511" i="1"/>
  <c r="J7511" i="1"/>
  <c r="I7511" i="1"/>
  <c r="G7511" i="1"/>
  <c r="F7511" i="1"/>
  <c r="E7511" i="1"/>
  <c r="D7511" i="1"/>
  <c r="C7511" i="1"/>
  <c r="B7511" i="1"/>
  <c r="A7511" i="1"/>
  <c r="R7510" i="1"/>
  <c r="J7510" i="1"/>
  <c r="I7510" i="1"/>
  <c r="G7510" i="1"/>
  <c r="F7510" i="1"/>
  <c r="E7510" i="1"/>
  <c r="D7510" i="1"/>
  <c r="C7510" i="1"/>
  <c r="B7510" i="1"/>
  <c r="A7510" i="1"/>
  <c r="S7509" i="1"/>
  <c r="O7509" i="1"/>
  <c r="K7509" i="1"/>
  <c r="J7509" i="1"/>
  <c r="I7509" i="1"/>
  <c r="H7509" i="1"/>
  <c r="G7509" i="1"/>
  <c r="F7509" i="1"/>
  <c r="E7509" i="1"/>
  <c r="D7509" i="1"/>
  <c r="C7509" i="1"/>
  <c r="B7509" i="1"/>
  <c r="A7509" i="1"/>
  <c r="R7508" i="1"/>
  <c r="J7508" i="1"/>
  <c r="I7508" i="1"/>
  <c r="G7508" i="1"/>
  <c r="F7508" i="1"/>
  <c r="E7508" i="1"/>
  <c r="D7508" i="1"/>
  <c r="C7508" i="1"/>
  <c r="B7508" i="1"/>
  <c r="A7508" i="1"/>
  <c r="S7507" i="1"/>
  <c r="O7507" i="1"/>
  <c r="K7507" i="1"/>
  <c r="J7507" i="1"/>
  <c r="I7507" i="1"/>
  <c r="H7507" i="1"/>
  <c r="G7507" i="1"/>
  <c r="F7507" i="1"/>
  <c r="E7507" i="1"/>
  <c r="D7507" i="1"/>
  <c r="C7507" i="1"/>
  <c r="B7507" i="1"/>
  <c r="A7507" i="1"/>
  <c r="R7506" i="1"/>
  <c r="J7506" i="1"/>
  <c r="I7506" i="1"/>
  <c r="G7506" i="1"/>
  <c r="F7506" i="1"/>
  <c r="E7506" i="1"/>
  <c r="D7506" i="1"/>
  <c r="C7506" i="1"/>
  <c r="B7506" i="1"/>
  <c r="A7506" i="1"/>
  <c r="S7505" i="1"/>
  <c r="O7505" i="1"/>
  <c r="K7505" i="1"/>
  <c r="J7505" i="1"/>
  <c r="I7505" i="1"/>
  <c r="H7505" i="1"/>
  <c r="G7505" i="1"/>
  <c r="F7505" i="1"/>
  <c r="E7505" i="1"/>
  <c r="D7505" i="1"/>
  <c r="C7505" i="1"/>
  <c r="B7505" i="1"/>
  <c r="A7505" i="1"/>
  <c r="R7504" i="1"/>
  <c r="J7504" i="1"/>
  <c r="I7504" i="1"/>
  <c r="G7504" i="1"/>
  <c r="F7504" i="1"/>
  <c r="E7504" i="1"/>
  <c r="D7504" i="1"/>
  <c r="C7504" i="1"/>
  <c r="B7504" i="1"/>
  <c r="A7504" i="1"/>
  <c r="S7503" i="1"/>
  <c r="O7503" i="1"/>
  <c r="K7503" i="1"/>
  <c r="J7503" i="1"/>
  <c r="I7503" i="1"/>
  <c r="H7503" i="1"/>
  <c r="G7503" i="1"/>
  <c r="F7503" i="1"/>
  <c r="E7503" i="1"/>
  <c r="D7503" i="1"/>
  <c r="C7503" i="1"/>
  <c r="B7503" i="1"/>
  <c r="A7503" i="1"/>
  <c r="R7502" i="1"/>
  <c r="J7502" i="1"/>
  <c r="I7502" i="1"/>
  <c r="G7502" i="1"/>
  <c r="F7502" i="1"/>
  <c r="E7502" i="1"/>
  <c r="D7502" i="1"/>
  <c r="C7502" i="1"/>
  <c r="B7502" i="1"/>
  <c r="A7502" i="1"/>
  <c r="S7501" i="1"/>
  <c r="O7501" i="1"/>
  <c r="K7501" i="1"/>
  <c r="J7501" i="1"/>
  <c r="I7501" i="1"/>
  <c r="H7501" i="1"/>
  <c r="G7501" i="1"/>
  <c r="F7501" i="1"/>
  <c r="E7501" i="1"/>
  <c r="D7501" i="1"/>
  <c r="C7501" i="1"/>
  <c r="B7501" i="1"/>
  <c r="A7501" i="1"/>
  <c r="R7500" i="1"/>
  <c r="J7500" i="1"/>
  <c r="I7500" i="1"/>
  <c r="G7500" i="1"/>
  <c r="F7500" i="1"/>
  <c r="E7500" i="1"/>
  <c r="D7500" i="1"/>
  <c r="C7500" i="1"/>
  <c r="B7500" i="1"/>
  <c r="A7500" i="1"/>
  <c r="S7499" i="1"/>
  <c r="O7499" i="1"/>
  <c r="K7499" i="1"/>
  <c r="J7499" i="1"/>
  <c r="I7499" i="1"/>
  <c r="H7499" i="1"/>
  <c r="G7499" i="1"/>
  <c r="F7499" i="1"/>
  <c r="E7499" i="1"/>
  <c r="D7499" i="1"/>
  <c r="C7499" i="1"/>
  <c r="B7499" i="1"/>
  <c r="A7499" i="1"/>
  <c r="R7498" i="1"/>
  <c r="J7498" i="1"/>
  <c r="I7498" i="1"/>
  <c r="G7498" i="1"/>
  <c r="F7498" i="1"/>
  <c r="E7498" i="1"/>
  <c r="D7498" i="1"/>
  <c r="C7498" i="1"/>
  <c r="B7498" i="1"/>
  <c r="A7498" i="1"/>
  <c r="S7497" i="1"/>
  <c r="O7497" i="1"/>
  <c r="K7497" i="1"/>
  <c r="J7497" i="1"/>
  <c r="I7497" i="1"/>
  <c r="H7497" i="1"/>
  <c r="G7497" i="1"/>
  <c r="F7497" i="1"/>
  <c r="E7497" i="1"/>
  <c r="D7497" i="1"/>
  <c r="C7497" i="1"/>
  <c r="B7497" i="1"/>
  <c r="A7497" i="1"/>
  <c r="R7496" i="1"/>
  <c r="J7496" i="1"/>
  <c r="I7496" i="1"/>
  <c r="G7496" i="1"/>
  <c r="F7496" i="1"/>
  <c r="E7496" i="1"/>
  <c r="D7496" i="1"/>
  <c r="C7496" i="1"/>
  <c r="B7496" i="1"/>
  <c r="A7496" i="1"/>
  <c r="S7495" i="1"/>
  <c r="O7495" i="1"/>
  <c r="K7495" i="1"/>
  <c r="J7495" i="1"/>
  <c r="I7495" i="1"/>
  <c r="H7495" i="1"/>
  <c r="G7495" i="1"/>
  <c r="F7495" i="1"/>
  <c r="E7495" i="1"/>
  <c r="D7495" i="1"/>
  <c r="C7495" i="1"/>
  <c r="B7495" i="1"/>
  <c r="A7495" i="1"/>
  <c r="R7494" i="1"/>
  <c r="J7494" i="1"/>
  <c r="I7494" i="1"/>
  <c r="G7494" i="1"/>
  <c r="F7494" i="1"/>
  <c r="E7494" i="1"/>
  <c r="D7494" i="1"/>
  <c r="C7494" i="1"/>
  <c r="B7494" i="1"/>
  <c r="A7494" i="1"/>
  <c r="S7493" i="1"/>
  <c r="O7493" i="1"/>
  <c r="K7493" i="1"/>
  <c r="J7493" i="1"/>
  <c r="I7493" i="1"/>
  <c r="H7493" i="1"/>
  <c r="G7493" i="1"/>
  <c r="F7493" i="1"/>
  <c r="E7493" i="1"/>
  <c r="D7493" i="1"/>
  <c r="C7493" i="1"/>
  <c r="B7493" i="1"/>
  <c r="A7493" i="1"/>
  <c r="R7492" i="1"/>
  <c r="J7492" i="1"/>
  <c r="I7492" i="1"/>
  <c r="G7492" i="1"/>
  <c r="F7492" i="1"/>
  <c r="E7492" i="1"/>
  <c r="D7492" i="1"/>
  <c r="C7492" i="1"/>
  <c r="B7492" i="1"/>
  <c r="A7492" i="1"/>
  <c r="S7491" i="1"/>
  <c r="O7491" i="1"/>
  <c r="K7491" i="1"/>
  <c r="J7491" i="1"/>
  <c r="I7491" i="1"/>
  <c r="H7491" i="1"/>
  <c r="G7491" i="1"/>
  <c r="F7491" i="1"/>
  <c r="E7491" i="1"/>
  <c r="D7491" i="1"/>
  <c r="C7491" i="1"/>
  <c r="B7491" i="1"/>
  <c r="A7491" i="1"/>
  <c r="R7490" i="1"/>
  <c r="J7490" i="1"/>
  <c r="I7490" i="1"/>
  <c r="G7490" i="1"/>
  <c r="F7490" i="1"/>
  <c r="E7490" i="1"/>
  <c r="D7490" i="1"/>
  <c r="C7490" i="1"/>
  <c r="B7490" i="1"/>
  <c r="A7490" i="1"/>
  <c r="S7489" i="1"/>
  <c r="O7489" i="1"/>
  <c r="K7489" i="1"/>
  <c r="J7489" i="1"/>
  <c r="I7489" i="1"/>
  <c r="H7489" i="1"/>
  <c r="G7489" i="1"/>
  <c r="F7489" i="1"/>
  <c r="E7489" i="1"/>
  <c r="D7489" i="1"/>
  <c r="C7489" i="1"/>
  <c r="B7489" i="1"/>
  <c r="A7489" i="1"/>
  <c r="R7488" i="1"/>
  <c r="J7488" i="1"/>
  <c r="I7488" i="1"/>
  <c r="G7488" i="1"/>
  <c r="F7488" i="1"/>
  <c r="E7488" i="1"/>
  <c r="D7488" i="1"/>
  <c r="C7488" i="1"/>
  <c r="B7488" i="1"/>
  <c r="A7488" i="1"/>
  <c r="R7487" i="1"/>
  <c r="J7487" i="1"/>
  <c r="I7487" i="1"/>
  <c r="G7487" i="1"/>
  <c r="F7487" i="1"/>
  <c r="E7487" i="1"/>
  <c r="D7487" i="1"/>
  <c r="C7487" i="1"/>
  <c r="B7487" i="1"/>
  <c r="A7487" i="1"/>
  <c r="S7486" i="1"/>
  <c r="O7486" i="1"/>
  <c r="K7486" i="1"/>
  <c r="J7486" i="1"/>
  <c r="I7486" i="1"/>
  <c r="H7486" i="1"/>
  <c r="G7486" i="1"/>
  <c r="F7486" i="1"/>
  <c r="E7486" i="1"/>
  <c r="D7486" i="1"/>
  <c r="C7486" i="1"/>
  <c r="B7486" i="1"/>
  <c r="A7486" i="1"/>
  <c r="R7485" i="1"/>
  <c r="J7485" i="1"/>
  <c r="I7485" i="1"/>
  <c r="G7485" i="1"/>
  <c r="F7485" i="1"/>
  <c r="E7485" i="1"/>
  <c r="D7485" i="1"/>
  <c r="C7485" i="1"/>
  <c r="B7485" i="1"/>
  <c r="A7485" i="1"/>
  <c r="R7484" i="1"/>
  <c r="J7484" i="1"/>
  <c r="I7484" i="1"/>
  <c r="G7484" i="1"/>
  <c r="F7484" i="1"/>
  <c r="E7484" i="1"/>
  <c r="D7484" i="1"/>
  <c r="C7484" i="1"/>
  <c r="B7484" i="1"/>
  <c r="A7484" i="1"/>
  <c r="S7483" i="1"/>
  <c r="O7483" i="1"/>
  <c r="K7483" i="1"/>
  <c r="J7483" i="1"/>
  <c r="I7483" i="1"/>
  <c r="H7483" i="1"/>
  <c r="G7483" i="1"/>
  <c r="F7483" i="1"/>
  <c r="E7483" i="1"/>
  <c r="D7483" i="1"/>
  <c r="C7483" i="1"/>
  <c r="B7483" i="1"/>
  <c r="A7483" i="1"/>
  <c r="R7482" i="1"/>
  <c r="J7482" i="1"/>
  <c r="I7482" i="1"/>
  <c r="G7482" i="1"/>
  <c r="F7482" i="1"/>
  <c r="E7482" i="1"/>
  <c r="D7482" i="1"/>
  <c r="C7482" i="1"/>
  <c r="B7482" i="1"/>
  <c r="A7482" i="1"/>
  <c r="S7481" i="1"/>
  <c r="O7481" i="1"/>
  <c r="K7481" i="1"/>
  <c r="J7481" i="1"/>
  <c r="I7481" i="1"/>
  <c r="H7481" i="1"/>
  <c r="G7481" i="1"/>
  <c r="F7481" i="1"/>
  <c r="E7481" i="1"/>
  <c r="D7481" i="1"/>
  <c r="C7481" i="1"/>
  <c r="B7481" i="1"/>
  <c r="A7481" i="1"/>
  <c r="R7480" i="1"/>
  <c r="J7480" i="1"/>
  <c r="I7480" i="1"/>
  <c r="G7480" i="1"/>
  <c r="F7480" i="1"/>
  <c r="E7480" i="1"/>
  <c r="D7480" i="1"/>
  <c r="C7480" i="1"/>
  <c r="B7480" i="1"/>
  <c r="A7480" i="1"/>
  <c r="S7479" i="1"/>
  <c r="O7479" i="1"/>
  <c r="K7479" i="1"/>
  <c r="J7479" i="1"/>
  <c r="I7479" i="1"/>
  <c r="H7479" i="1"/>
  <c r="G7479" i="1"/>
  <c r="F7479" i="1"/>
  <c r="E7479" i="1"/>
  <c r="D7479" i="1"/>
  <c r="C7479" i="1"/>
  <c r="B7479" i="1"/>
  <c r="A7479" i="1"/>
  <c r="R7478" i="1"/>
  <c r="J7478" i="1"/>
  <c r="I7478" i="1"/>
  <c r="G7478" i="1"/>
  <c r="F7478" i="1"/>
  <c r="E7478" i="1"/>
  <c r="D7478" i="1"/>
  <c r="C7478" i="1"/>
  <c r="B7478" i="1"/>
  <c r="A7478" i="1"/>
  <c r="R7477" i="1"/>
  <c r="J7477" i="1"/>
  <c r="I7477" i="1"/>
  <c r="G7477" i="1"/>
  <c r="F7477" i="1"/>
  <c r="E7477" i="1"/>
  <c r="D7477" i="1"/>
  <c r="C7477" i="1"/>
  <c r="B7477" i="1"/>
  <c r="A7477" i="1"/>
  <c r="S7476" i="1"/>
  <c r="O7476" i="1"/>
  <c r="K7476" i="1"/>
  <c r="J7476" i="1"/>
  <c r="I7476" i="1"/>
  <c r="H7476" i="1"/>
  <c r="G7476" i="1"/>
  <c r="F7476" i="1"/>
  <c r="E7476" i="1"/>
  <c r="D7476" i="1"/>
  <c r="C7476" i="1"/>
  <c r="B7476" i="1"/>
  <c r="A7476" i="1"/>
  <c r="R7475" i="1"/>
  <c r="J7475" i="1"/>
  <c r="I7475" i="1"/>
  <c r="G7475" i="1"/>
  <c r="F7475" i="1"/>
  <c r="E7475" i="1"/>
  <c r="D7475" i="1"/>
  <c r="C7475" i="1"/>
  <c r="B7475" i="1"/>
  <c r="A7475" i="1"/>
  <c r="S7474" i="1"/>
  <c r="O7474" i="1"/>
  <c r="K7474" i="1"/>
  <c r="J7474" i="1"/>
  <c r="I7474" i="1"/>
  <c r="H7474" i="1"/>
  <c r="G7474" i="1"/>
  <c r="F7474" i="1"/>
  <c r="E7474" i="1"/>
  <c r="D7474" i="1"/>
  <c r="C7474" i="1"/>
  <c r="B7474" i="1"/>
  <c r="A7474" i="1"/>
  <c r="R7473" i="1"/>
  <c r="J7473" i="1"/>
  <c r="I7473" i="1"/>
  <c r="G7473" i="1"/>
  <c r="F7473" i="1"/>
  <c r="E7473" i="1"/>
  <c r="D7473" i="1"/>
  <c r="C7473" i="1"/>
  <c r="B7473" i="1"/>
  <c r="A7473" i="1"/>
  <c r="S7472" i="1"/>
  <c r="O7472" i="1"/>
  <c r="K7472" i="1"/>
  <c r="J7472" i="1"/>
  <c r="I7472" i="1"/>
  <c r="H7472" i="1"/>
  <c r="G7472" i="1"/>
  <c r="F7472" i="1"/>
  <c r="E7472" i="1"/>
  <c r="D7472" i="1"/>
  <c r="C7472" i="1"/>
  <c r="B7472" i="1"/>
  <c r="A7472" i="1"/>
  <c r="R7471" i="1"/>
  <c r="J7471" i="1"/>
  <c r="I7471" i="1"/>
  <c r="G7471" i="1"/>
  <c r="F7471" i="1"/>
  <c r="E7471" i="1"/>
  <c r="D7471" i="1"/>
  <c r="C7471" i="1"/>
  <c r="B7471" i="1"/>
  <c r="A7471" i="1"/>
  <c r="R7470" i="1"/>
  <c r="J7470" i="1"/>
  <c r="I7470" i="1"/>
  <c r="G7470" i="1"/>
  <c r="F7470" i="1"/>
  <c r="E7470" i="1"/>
  <c r="D7470" i="1"/>
  <c r="C7470" i="1"/>
  <c r="B7470" i="1"/>
  <c r="A7470" i="1"/>
  <c r="S7469" i="1"/>
  <c r="O7469" i="1"/>
  <c r="K7469" i="1"/>
  <c r="J7469" i="1"/>
  <c r="I7469" i="1"/>
  <c r="H7469" i="1"/>
  <c r="G7469" i="1"/>
  <c r="F7469" i="1"/>
  <c r="E7469" i="1"/>
  <c r="D7469" i="1"/>
  <c r="C7469" i="1"/>
  <c r="B7469" i="1"/>
  <c r="A7469" i="1"/>
  <c r="R7468" i="1"/>
  <c r="J7468" i="1"/>
  <c r="I7468" i="1"/>
  <c r="G7468" i="1"/>
  <c r="F7468" i="1"/>
  <c r="E7468" i="1"/>
  <c r="D7468" i="1"/>
  <c r="C7468" i="1"/>
  <c r="B7468" i="1"/>
  <c r="A7468" i="1"/>
  <c r="S7467" i="1"/>
  <c r="O7467" i="1"/>
  <c r="K7467" i="1"/>
  <c r="J7467" i="1"/>
  <c r="I7467" i="1"/>
  <c r="H7467" i="1"/>
  <c r="G7467" i="1"/>
  <c r="F7467" i="1"/>
  <c r="E7467" i="1"/>
  <c r="D7467" i="1"/>
  <c r="C7467" i="1"/>
  <c r="B7467" i="1"/>
  <c r="A7467" i="1"/>
  <c r="R7466" i="1"/>
  <c r="J7466" i="1"/>
  <c r="I7466" i="1"/>
  <c r="G7466" i="1"/>
  <c r="F7466" i="1"/>
  <c r="E7466" i="1"/>
  <c r="D7466" i="1"/>
  <c r="C7466" i="1"/>
  <c r="B7466" i="1"/>
  <c r="A7466" i="1"/>
  <c r="S7465" i="1"/>
  <c r="O7465" i="1"/>
  <c r="K7465" i="1"/>
  <c r="J7465" i="1"/>
  <c r="I7465" i="1"/>
  <c r="H7465" i="1"/>
  <c r="G7465" i="1"/>
  <c r="F7465" i="1"/>
  <c r="E7465" i="1"/>
  <c r="D7465" i="1"/>
  <c r="C7465" i="1"/>
  <c r="B7465" i="1"/>
  <c r="A7465" i="1"/>
  <c r="R7464" i="1"/>
  <c r="J7464" i="1"/>
  <c r="I7464" i="1"/>
  <c r="G7464" i="1"/>
  <c r="F7464" i="1"/>
  <c r="E7464" i="1"/>
  <c r="D7464" i="1"/>
  <c r="C7464" i="1"/>
  <c r="B7464" i="1"/>
  <c r="A7464" i="1"/>
  <c r="S7463" i="1"/>
  <c r="O7463" i="1"/>
  <c r="K7463" i="1"/>
  <c r="J7463" i="1"/>
  <c r="I7463" i="1"/>
  <c r="H7463" i="1"/>
  <c r="G7463" i="1"/>
  <c r="F7463" i="1"/>
  <c r="E7463" i="1"/>
  <c r="D7463" i="1"/>
  <c r="C7463" i="1"/>
  <c r="B7463" i="1"/>
  <c r="A7463" i="1"/>
  <c r="R7462" i="1"/>
  <c r="J7462" i="1"/>
  <c r="I7462" i="1"/>
  <c r="G7462" i="1"/>
  <c r="F7462" i="1"/>
  <c r="E7462" i="1"/>
  <c r="D7462" i="1"/>
  <c r="C7462" i="1"/>
  <c r="B7462" i="1"/>
  <c r="A7462" i="1"/>
  <c r="S7461" i="1"/>
  <c r="O7461" i="1"/>
  <c r="K7461" i="1"/>
  <c r="J7461" i="1"/>
  <c r="I7461" i="1"/>
  <c r="H7461" i="1"/>
  <c r="G7461" i="1"/>
  <c r="F7461" i="1"/>
  <c r="E7461" i="1"/>
  <c r="D7461" i="1"/>
  <c r="C7461" i="1"/>
  <c r="B7461" i="1"/>
  <c r="A7461" i="1"/>
  <c r="R7460" i="1"/>
  <c r="J7460" i="1"/>
  <c r="I7460" i="1"/>
  <c r="G7460" i="1"/>
  <c r="F7460" i="1"/>
  <c r="E7460" i="1"/>
  <c r="D7460" i="1"/>
  <c r="C7460" i="1"/>
  <c r="B7460" i="1"/>
  <c r="A7460" i="1"/>
  <c r="S7459" i="1"/>
  <c r="O7459" i="1"/>
  <c r="K7459" i="1"/>
  <c r="J7459" i="1"/>
  <c r="I7459" i="1"/>
  <c r="H7459" i="1"/>
  <c r="G7459" i="1"/>
  <c r="F7459" i="1"/>
  <c r="E7459" i="1"/>
  <c r="D7459" i="1"/>
  <c r="C7459" i="1"/>
  <c r="B7459" i="1"/>
  <c r="A7459" i="1"/>
  <c r="R7458" i="1"/>
  <c r="J7458" i="1"/>
  <c r="I7458" i="1"/>
  <c r="G7458" i="1"/>
  <c r="F7458" i="1"/>
  <c r="E7458" i="1"/>
  <c r="D7458" i="1"/>
  <c r="C7458" i="1"/>
  <c r="B7458" i="1"/>
  <c r="A7458" i="1"/>
  <c r="S7457" i="1"/>
  <c r="O7457" i="1"/>
  <c r="K7457" i="1"/>
  <c r="J7457" i="1"/>
  <c r="I7457" i="1"/>
  <c r="H7457" i="1"/>
  <c r="G7457" i="1"/>
  <c r="F7457" i="1"/>
  <c r="E7457" i="1"/>
  <c r="D7457" i="1"/>
  <c r="C7457" i="1"/>
  <c r="B7457" i="1"/>
  <c r="A7457" i="1"/>
  <c r="R7456" i="1"/>
  <c r="J7456" i="1"/>
  <c r="I7456" i="1"/>
  <c r="G7456" i="1"/>
  <c r="F7456" i="1"/>
  <c r="E7456" i="1"/>
  <c r="D7456" i="1"/>
  <c r="C7456" i="1"/>
  <c r="B7456" i="1"/>
  <c r="A7456" i="1"/>
  <c r="R7455" i="1"/>
  <c r="J7455" i="1"/>
  <c r="I7455" i="1"/>
  <c r="G7455" i="1"/>
  <c r="F7455" i="1"/>
  <c r="E7455" i="1"/>
  <c r="D7455" i="1"/>
  <c r="C7455" i="1"/>
  <c r="B7455" i="1"/>
  <c r="A7455" i="1"/>
  <c r="R7454" i="1"/>
  <c r="J7454" i="1"/>
  <c r="I7454" i="1"/>
  <c r="G7454" i="1"/>
  <c r="F7454" i="1"/>
  <c r="E7454" i="1"/>
  <c r="D7454" i="1"/>
  <c r="C7454" i="1"/>
  <c r="B7454" i="1"/>
  <c r="A7454" i="1"/>
  <c r="S7453" i="1"/>
  <c r="O7453" i="1"/>
  <c r="K7453" i="1"/>
  <c r="J7453" i="1"/>
  <c r="I7453" i="1"/>
  <c r="H7453" i="1"/>
  <c r="G7453" i="1"/>
  <c r="F7453" i="1"/>
  <c r="E7453" i="1"/>
  <c r="D7453" i="1"/>
  <c r="C7453" i="1"/>
  <c r="B7453" i="1"/>
  <c r="A7453" i="1"/>
  <c r="R7452" i="1"/>
  <c r="J7452" i="1"/>
  <c r="I7452" i="1"/>
  <c r="G7452" i="1"/>
  <c r="F7452" i="1"/>
  <c r="E7452" i="1"/>
  <c r="D7452" i="1"/>
  <c r="C7452" i="1"/>
  <c r="B7452" i="1"/>
  <c r="A7452" i="1"/>
  <c r="S7451" i="1"/>
  <c r="O7451" i="1"/>
  <c r="K7451" i="1"/>
  <c r="J7451" i="1"/>
  <c r="I7451" i="1"/>
  <c r="H7451" i="1"/>
  <c r="G7451" i="1"/>
  <c r="F7451" i="1"/>
  <c r="E7451" i="1"/>
  <c r="D7451" i="1"/>
  <c r="C7451" i="1"/>
  <c r="B7451" i="1"/>
  <c r="A7451" i="1"/>
  <c r="R7450" i="1"/>
  <c r="J7450" i="1"/>
  <c r="I7450" i="1"/>
  <c r="G7450" i="1"/>
  <c r="F7450" i="1"/>
  <c r="E7450" i="1"/>
  <c r="D7450" i="1"/>
  <c r="C7450" i="1"/>
  <c r="B7450" i="1"/>
  <c r="A7450" i="1"/>
  <c r="S7449" i="1"/>
  <c r="O7449" i="1"/>
  <c r="K7449" i="1"/>
  <c r="J7449" i="1"/>
  <c r="I7449" i="1"/>
  <c r="H7449" i="1"/>
  <c r="G7449" i="1"/>
  <c r="F7449" i="1"/>
  <c r="E7449" i="1"/>
  <c r="D7449" i="1"/>
  <c r="C7449" i="1"/>
  <c r="B7449" i="1"/>
  <c r="A7449" i="1"/>
  <c r="R7448" i="1"/>
  <c r="J7448" i="1"/>
  <c r="I7448" i="1"/>
  <c r="G7448" i="1"/>
  <c r="F7448" i="1"/>
  <c r="E7448" i="1"/>
  <c r="D7448" i="1"/>
  <c r="C7448" i="1"/>
  <c r="B7448" i="1"/>
  <c r="A7448" i="1"/>
  <c r="S7447" i="1"/>
  <c r="O7447" i="1"/>
  <c r="K7447" i="1"/>
  <c r="J7447" i="1"/>
  <c r="I7447" i="1"/>
  <c r="H7447" i="1"/>
  <c r="G7447" i="1"/>
  <c r="F7447" i="1"/>
  <c r="E7447" i="1"/>
  <c r="D7447" i="1"/>
  <c r="C7447" i="1"/>
  <c r="B7447" i="1"/>
  <c r="A7447" i="1"/>
  <c r="R7446" i="1"/>
  <c r="J7446" i="1"/>
  <c r="I7446" i="1"/>
  <c r="G7446" i="1"/>
  <c r="F7446" i="1"/>
  <c r="E7446" i="1"/>
  <c r="D7446" i="1"/>
  <c r="C7446" i="1"/>
  <c r="B7446" i="1"/>
  <c r="A7446" i="1"/>
  <c r="S7445" i="1"/>
  <c r="O7445" i="1"/>
  <c r="K7445" i="1"/>
  <c r="J7445" i="1"/>
  <c r="I7445" i="1"/>
  <c r="H7445" i="1"/>
  <c r="G7445" i="1"/>
  <c r="F7445" i="1"/>
  <c r="E7445" i="1"/>
  <c r="D7445" i="1"/>
  <c r="C7445" i="1"/>
  <c r="B7445" i="1"/>
  <c r="A7445" i="1"/>
  <c r="R7444" i="1"/>
  <c r="J7444" i="1"/>
  <c r="I7444" i="1"/>
  <c r="G7444" i="1"/>
  <c r="F7444" i="1"/>
  <c r="E7444" i="1"/>
  <c r="D7444" i="1"/>
  <c r="C7444" i="1"/>
  <c r="B7444" i="1"/>
  <c r="A7444" i="1"/>
  <c r="R7443" i="1"/>
  <c r="J7443" i="1"/>
  <c r="I7443" i="1"/>
  <c r="G7443" i="1"/>
  <c r="F7443" i="1"/>
  <c r="E7443" i="1"/>
  <c r="D7443" i="1"/>
  <c r="C7443" i="1"/>
  <c r="B7443" i="1"/>
  <c r="A7443" i="1"/>
  <c r="S7442" i="1"/>
  <c r="O7442" i="1"/>
  <c r="K7442" i="1"/>
  <c r="J7442" i="1"/>
  <c r="I7442" i="1"/>
  <c r="H7442" i="1"/>
  <c r="G7442" i="1"/>
  <c r="F7442" i="1"/>
  <c r="E7442" i="1"/>
  <c r="D7442" i="1"/>
  <c r="C7442" i="1"/>
  <c r="B7442" i="1"/>
  <c r="A7442" i="1"/>
  <c r="R7441" i="1"/>
  <c r="J7441" i="1"/>
  <c r="I7441" i="1"/>
  <c r="G7441" i="1"/>
  <c r="F7441" i="1"/>
  <c r="E7441" i="1"/>
  <c r="D7441" i="1"/>
  <c r="C7441" i="1"/>
  <c r="B7441" i="1"/>
  <c r="A7441" i="1"/>
  <c r="S7440" i="1"/>
  <c r="O7440" i="1"/>
  <c r="K7440" i="1"/>
  <c r="J7440" i="1"/>
  <c r="I7440" i="1"/>
  <c r="H7440" i="1"/>
  <c r="G7440" i="1"/>
  <c r="F7440" i="1"/>
  <c r="E7440" i="1"/>
  <c r="D7440" i="1"/>
  <c r="C7440" i="1"/>
  <c r="B7440" i="1"/>
  <c r="A7440" i="1"/>
  <c r="R7439" i="1"/>
  <c r="J7439" i="1"/>
  <c r="I7439" i="1"/>
  <c r="G7439" i="1"/>
  <c r="F7439" i="1"/>
  <c r="E7439" i="1"/>
  <c r="D7439" i="1"/>
  <c r="C7439" i="1"/>
  <c r="B7439" i="1"/>
  <c r="A7439" i="1"/>
  <c r="S7438" i="1"/>
  <c r="O7438" i="1"/>
  <c r="K7438" i="1"/>
  <c r="J7438" i="1"/>
  <c r="I7438" i="1"/>
  <c r="H7438" i="1"/>
  <c r="G7438" i="1"/>
  <c r="F7438" i="1"/>
  <c r="E7438" i="1"/>
  <c r="D7438" i="1"/>
  <c r="C7438" i="1"/>
  <c r="B7438" i="1"/>
  <c r="A7438" i="1"/>
  <c r="R7437" i="1"/>
  <c r="J7437" i="1"/>
  <c r="I7437" i="1"/>
  <c r="G7437" i="1"/>
  <c r="F7437" i="1"/>
  <c r="E7437" i="1"/>
  <c r="D7437" i="1"/>
  <c r="C7437" i="1"/>
  <c r="B7437" i="1"/>
  <c r="A7437" i="1"/>
  <c r="S7436" i="1"/>
  <c r="O7436" i="1"/>
  <c r="K7436" i="1"/>
  <c r="J7436" i="1"/>
  <c r="I7436" i="1"/>
  <c r="H7436" i="1"/>
  <c r="G7436" i="1"/>
  <c r="F7436" i="1"/>
  <c r="E7436" i="1"/>
  <c r="D7436" i="1"/>
  <c r="C7436" i="1"/>
  <c r="B7436" i="1"/>
  <c r="A7436" i="1"/>
  <c r="R7435" i="1"/>
  <c r="J7435" i="1"/>
  <c r="I7435" i="1"/>
  <c r="G7435" i="1"/>
  <c r="F7435" i="1"/>
  <c r="E7435" i="1"/>
  <c r="D7435" i="1"/>
  <c r="C7435" i="1"/>
  <c r="B7435" i="1"/>
  <c r="A7435" i="1"/>
  <c r="S7434" i="1"/>
  <c r="O7434" i="1"/>
  <c r="K7434" i="1"/>
  <c r="J7434" i="1"/>
  <c r="I7434" i="1"/>
  <c r="H7434" i="1"/>
  <c r="G7434" i="1"/>
  <c r="F7434" i="1"/>
  <c r="E7434" i="1"/>
  <c r="D7434" i="1"/>
  <c r="C7434" i="1"/>
  <c r="B7434" i="1"/>
  <c r="A7434" i="1"/>
  <c r="R7433" i="1"/>
  <c r="J7433" i="1"/>
  <c r="I7433" i="1"/>
  <c r="G7433" i="1"/>
  <c r="F7433" i="1"/>
  <c r="E7433" i="1"/>
  <c r="D7433" i="1"/>
  <c r="C7433" i="1"/>
  <c r="B7433" i="1"/>
  <c r="A7433" i="1"/>
  <c r="S7432" i="1"/>
  <c r="O7432" i="1"/>
  <c r="K7432" i="1"/>
  <c r="J7432" i="1"/>
  <c r="I7432" i="1"/>
  <c r="H7432" i="1"/>
  <c r="G7432" i="1"/>
  <c r="F7432" i="1"/>
  <c r="E7432" i="1"/>
  <c r="D7432" i="1"/>
  <c r="C7432" i="1"/>
  <c r="B7432" i="1"/>
  <c r="A7432" i="1"/>
  <c r="R7431" i="1"/>
  <c r="J7431" i="1"/>
  <c r="I7431" i="1"/>
  <c r="G7431" i="1"/>
  <c r="F7431" i="1"/>
  <c r="E7431" i="1"/>
  <c r="D7431" i="1"/>
  <c r="C7431" i="1"/>
  <c r="B7431" i="1"/>
  <c r="A7431" i="1"/>
  <c r="R7430" i="1"/>
  <c r="J7430" i="1"/>
  <c r="I7430" i="1"/>
  <c r="G7430" i="1"/>
  <c r="F7430" i="1"/>
  <c r="E7430" i="1"/>
  <c r="D7430" i="1"/>
  <c r="C7430" i="1"/>
  <c r="B7430" i="1"/>
  <c r="A7430" i="1"/>
  <c r="S7429" i="1"/>
  <c r="O7429" i="1"/>
  <c r="K7429" i="1"/>
  <c r="J7429" i="1"/>
  <c r="I7429" i="1"/>
  <c r="H7429" i="1"/>
  <c r="G7429" i="1"/>
  <c r="F7429" i="1"/>
  <c r="E7429" i="1"/>
  <c r="D7429" i="1"/>
  <c r="C7429" i="1"/>
  <c r="B7429" i="1"/>
  <c r="A7429" i="1"/>
  <c r="R7428" i="1"/>
  <c r="J7428" i="1"/>
  <c r="I7428" i="1"/>
  <c r="G7428" i="1"/>
  <c r="F7428" i="1"/>
  <c r="E7428" i="1"/>
  <c r="D7428" i="1"/>
  <c r="C7428" i="1"/>
  <c r="B7428" i="1"/>
  <c r="A7428" i="1"/>
  <c r="S7427" i="1"/>
  <c r="O7427" i="1"/>
  <c r="K7427" i="1"/>
  <c r="J7427" i="1"/>
  <c r="I7427" i="1"/>
  <c r="H7427" i="1"/>
  <c r="G7427" i="1"/>
  <c r="F7427" i="1"/>
  <c r="E7427" i="1"/>
  <c r="D7427" i="1"/>
  <c r="C7427" i="1"/>
  <c r="B7427" i="1"/>
  <c r="A7427" i="1"/>
  <c r="R7426" i="1"/>
  <c r="J7426" i="1"/>
  <c r="I7426" i="1"/>
  <c r="G7426" i="1"/>
  <c r="F7426" i="1"/>
  <c r="E7426" i="1"/>
  <c r="D7426" i="1"/>
  <c r="C7426" i="1"/>
  <c r="B7426" i="1"/>
  <c r="A7426" i="1"/>
  <c r="S7425" i="1"/>
  <c r="O7425" i="1"/>
  <c r="K7425" i="1"/>
  <c r="J7425" i="1"/>
  <c r="I7425" i="1"/>
  <c r="H7425" i="1"/>
  <c r="G7425" i="1"/>
  <c r="F7425" i="1"/>
  <c r="E7425" i="1"/>
  <c r="D7425" i="1"/>
  <c r="C7425" i="1"/>
  <c r="B7425" i="1"/>
  <c r="A7425" i="1"/>
  <c r="R7424" i="1"/>
  <c r="J7424" i="1"/>
  <c r="I7424" i="1"/>
  <c r="G7424" i="1"/>
  <c r="F7424" i="1"/>
  <c r="E7424" i="1"/>
  <c r="D7424" i="1"/>
  <c r="C7424" i="1"/>
  <c r="B7424" i="1"/>
  <c r="A7424" i="1"/>
  <c r="R7423" i="1"/>
  <c r="J7423" i="1"/>
  <c r="I7423" i="1"/>
  <c r="G7423" i="1"/>
  <c r="F7423" i="1"/>
  <c r="E7423" i="1"/>
  <c r="D7423" i="1"/>
  <c r="C7423" i="1"/>
  <c r="B7423" i="1"/>
  <c r="A7423" i="1"/>
  <c r="S7422" i="1"/>
  <c r="O7422" i="1"/>
  <c r="K7422" i="1"/>
  <c r="J7422" i="1"/>
  <c r="I7422" i="1"/>
  <c r="H7422" i="1"/>
  <c r="G7422" i="1"/>
  <c r="F7422" i="1"/>
  <c r="E7422" i="1"/>
  <c r="D7422" i="1"/>
  <c r="C7422" i="1"/>
  <c r="B7422" i="1"/>
  <c r="A7422" i="1"/>
  <c r="R7421" i="1"/>
  <c r="J7421" i="1"/>
  <c r="I7421" i="1"/>
  <c r="G7421" i="1"/>
  <c r="F7421" i="1"/>
  <c r="E7421" i="1"/>
  <c r="D7421" i="1"/>
  <c r="C7421" i="1"/>
  <c r="B7421" i="1"/>
  <c r="A7421" i="1"/>
  <c r="S7420" i="1"/>
  <c r="O7420" i="1"/>
  <c r="K7420" i="1"/>
  <c r="J7420" i="1"/>
  <c r="I7420" i="1"/>
  <c r="H7420" i="1"/>
  <c r="G7420" i="1"/>
  <c r="F7420" i="1"/>
  <c r="E7420" i="1"/>
  <c r="D7420" i="1"/>
  <c r="C7420" i="1"/>
  <c r="B7420" i="1"/>
  <c r="A7420" i="1"/>
  <c r="R7419" i="1"/>
  <c r="J7419" i="1"/>
  <c r="I7419" i="1"/>
  <c r="G7419" i="1"/>
  <c r="F7419" i="1"/>
  <c r="E7419" i="1"/>
  <c r="D7419" i="1"/>
  <c r="C7419" i="1"/>
  <c r="B7419" i="1"/>
  <c r="A7419" i="1"/>
  <c r="S7418" i="1"/>
  <c r="O7418" i="1"/>
  <c r="K7418" i="1"/>
  <c r="J7418" i="1"/>
  <c r="I7418" i="1"/>
  <c r="H7418" i="1"/>
  <c r="G7418" i="1"/>
  <c r="F7418" i="1"/>
  <c r="E7418" i="1"/>
  <c r="D7418" i="1"/>
  <c r="C7418" i="1"/>
  <c r="B7418" i="1"/>
  <c r="A7418" i="1"/>
  <c r="R7417" i="1"/>
  <c r="J7417" i="1"/>
  <c r="I7417" i="1"/>
  <c r="G7417" i="1"/>
  <c r="F7417" i="1"/>
  <c r="E7417" i="1"/>
  <c r="D7417" i="1"/>
  <c r="C7417" i="1"/>
  <c r="B7417" i="1"/>
  <c r="A7417" i="1"/>
  <c r="S7416" i="1"/>
  <c r="O7416" i="1"/>
  <c r="K7416" i="1"/>
  <c r="J7416" i="1"/>
  <c r="I7416" i="1"/>
  <c r="H7416" i="1"/>
  <c r="G7416" i="1"/>
  <c r="F7416" i="1"/>
  <c r="E7416" i="1"/>
  <c r="D7416" i="1"/>
  <c r="C7416" i="1"/>
  <c r="B7416" i="1"/>
  <c r="A7416" i="1"/>
  <c r="R7415" i="1"/>
  <c r="J7415" i="1"/>
  <c r="I7415" i="1"/>
  <c r="G7415" i="1"/>
  <c r="F7415" i="1"/>
  <c r="E7415" i="1"/>
  <c r="D7415" i="1"/>
  <c r="C7415" i="1"/>
  <c r="B7415" i="1"/>
  <c r="A7415" i="1"/>
  <c r="R7414" i="1"/>
  <c r="J7414" i="1"/>
  <c r="I7414" i="1"/>
  <c r="G7414" i="1"/>
  <c r="F7414" i="1"/>
  <c r="E7414" i="1"/>
  <c r="D7414" i="1"/>
  <c r="C7414" i="1"/>
  <c r="B7414" i="1"/>
  <c r="A7414" i="1"/>
  <c r="S7413" i="1"/>
  <c r="O7413" i="1"/>
  <c r="K7413" i="1"/>
  <c r="J7413" i="1"/>
  <c r="I7413" i="1"/>
  <c r="H7413" i="1"/>
  <c r="G7413" i="1"/>
  <c r="F7413" i="1"/>
  <c r="E7413" i="1"/>
  <c r="D7413" i="1"/>
  <c r="C7413" i="1"/>
  <c r="B7413" i="1"/>
  <c r="A7413" i="1"/>
  <c r="R7412" i="1"/>
  <c r="J7412" i="1"/>
  <c r="I7412" i="1"/>
  <c r="G7412" i="1"/>
  <c r="F7412" i="1"/>
  <c r="E7412" i="1"/>
  <c r="D7412" i="1"/>
  <c r="C7412" i="1"/>
  <c r="B7412" i="1"/>
  <c r="A7412" i="1"/>
  <c r="S7411" i="1"/>
  <c r="O7411" i="1"/>
  <c r="K7411" i="1"/>
  <c r="J7411" i="1"/>
  <c r="I7411" i="1"/>
  <c r="H7411" i="1"/>
  <c r="G7411" i="1"/>
  <c r="F7411" i="1"/>
  <c r="E7411" i="1"/>
  <c r="D7411" i="1"/>
  <c r="C7411" i="1"/>
  <c r="B7411" i="1"/>
  <c r="A7411" i="1"/>
  <c r="R7410" i="1"/>
  <c r="J7410" i="1"/>
  <c r="I7410" i="1"/>
  <c r="G7410" i="1"/>
  <c r="F7410" i="1"/>
  <c r="E7410" i="1"/>
  <c r="D7410" i="1"/>
  <c r="C7410" i="1"/>
  <c r="B7410" i="1"/>
  <c r="A7410" i="1"/>
  <c r="S7409" i="1"/>
  <c r="O7409" i="1"/>
  <c r="K7409" i="1"/>
  <c r="J7409" i="1"/>
  <c r="I7409" i="1"/>
  <c r="H7409" i="1"/>
  <c r="G7409" i="1"/>
  <c r="F7409" i="1"/>
  <c r="E7409" i="1"/>
  <c r="D7409" i="1"/>
  <c r="C7409" i="1"/>
  <c r="B7409" i="1"/>
  <c r="A7409" i="1"/>
  <c r="R7408" i="1"/>
  <c r="J7408" i="1"/>
  <c r="I7408" i="1"/>
  <c r="G7408" i="1"/>
  <c r="F7408" i="1"/>
  <c r="E7408" i="1"/>
  <c r="D7408" i="1"/>
  <c r="C7408" i="1"/>
  <c r="B7408" i="1"/>
  <c r="A7408" i="1"/>
  <c r="S7407" i="1"/>
  <c r="O7407" i="1"/>
  <c r="K7407" i="1"/>
  <c r="J7407" i="1"/>
  <c r="I7407" i="1"/>
  <c r="H7407" i="1"/>
  <c r="G7407" i="1"/>
  <c r="F7407" i="1"/>
  <c r="E7407" i="1"/>
  <c r="D7407" i="1"/>
  <c r="C7407" i="1"/>
  <c r="B7407" i="1"/>
  <c r="A7407" i="1"/>
  <c r="R7406" i="1"/>
  <c r="J7406" i="1"/>
  <c r="I7406" i="1"/>
  <c r="G7406" i="1"/>
  <c r="F7406" i="1"/>
  <c r="E7406" i="1"/>
  <c r="D7406" i="1"/>
  <c r="C7406" i="1"/>
  <c r="B7406" i="1"/>
  <c r="A7406" i="1"/>
  <c r="S7405" i="1"/>
  <c r="O7405" i="1"/>
  <c r="K7405" i="1"/>
  <c r="J7405" i="1"/>
  <c r="I7405" i="1"/>
  <c r="H7405" i="1"/>
  <c r="G7405" i="1"/>
  <c r="F7405" i="1"/>
  <c r="E7405" i="1"/>
  <c r="D7405" i="1"/>
  <c r="C7405" i="1"/>
  <c r="B7405" i="1"/>
  <c r="A7405" i="1"/>
  <c r="R7404" i="1"/>
  <c r="J7404" i="1"/>
  <c r="I7404" i="1"/>
  <c r="G7404" i="1"/>
  <c r="F7404" i="1"/>
  <c r="E7404" i="1"/>
  <c r="D7404" i="1"/>
  <c r="C7404" i="1"/>
  <c r="B7404" i="1"/>
  <c r="A7404" i="1"/>
  <c r="S7403" i="1"/>
  <c r="O7403" i="1"/>
  <c r="K7403" i="1"/>
  <c r="J7403" i="1"/>
  <c r="I7403" i="1"/>
  <c r="H7403" i="1"/>
  <c r="G7403" i="1"/>
  <c r="F7403" i="1"/>
  <c r="E7403" i="1"/>
  <c r="D7403" i="1"/>
  <c r="C7403" i="1"/>
  <c r="B7403" i="1"/>
  <c r="A7403" i="1"/>
  <c r="R7402" i="1"/>
  <c r="J7402" i="1"/>
  <c r="I7402" i="1"/>
  <c r="G7402" i="1"/>
  <c r="F7402" i="1"/>
  <c r="E7402" i="1"/>
  <c r="D7402" i="1"/>
  <c r="C7402" i="1"/>
  <c r="B7402" i="1"/>
  <c r="A7402" i="1"/>
  <c r="S7401" i="1"/>
  <c r="O7401" i="1"/>
  <c r="K7401" i="1"/>
  <c r="J7401" i="1"/>
  <c r="I7401" i="1"/>
  <c r="H7401" i="1"/>
  <c r="G7401" i="1"/>
  <c r="F7401" i="1"/>
  <c r="E7401" i="1"/>
  <c r="D7401" i="1"/>
  <c r="C7401" i="1"/>
  <c r="B7401" i="1"/>
  <c r="A7401" i="1"/>
  <c r="R7400" i="1"/>
  <c r="J7400" i="1"/>
  <c r="I7400" i="1"/>
  <c r="G7400" i="1"/>
  <c r="F7400" i="1"/>
  <c r="E7400" i="1"/>
  <c r="D7400" i="1"/>
  <c r="C7400" i="1"/>
  <c r="B7400" i="1"/>
  <c r="A7400" i="1"/>
  <c r="S7399" i="1"/>
  <c r="O7399" i="1"/>
  <c r="K7399" i="1"/>
  <c r="J7399" i="1"/>
  <c r="I7399" i="1"/>
  <c r="H7399" i="1"/>
  <c r="G7399" i="1"/>
  <c r="F7399" i="1"/>
  <c r="E7399" i="1"/>
  <c r="D7399" i="1"/>
  <c r="C7399" i="1"/>
  <c r="B7399" i="1"/>
  <c r="A7399" i="1"/>
  <c r="R7398" i="1"/>
  <c r="J7398" i="1"/>
  <c r="I7398" i="1"/>
  <c r="G7398" i="1"/>
  <c r="F7398" i="1"/>
  <c r="E7398" i="1"/>
  <c r="D7398" i="1"/>
  <c r="C7398" i="1"/>
  <c r="B7398" i="1"/>
  <c r="A7398" i="1"/>
  <c r="S7397" i="1"/>
  <c r="O7397" i="1"/>
  <c r="K7397" i="1"/>
  <c r="J7397" i="1"/>
  <c r="I7397" i="1"/>
  <c r="H7397" i="1"/>
  <c r="G7397" i="1"/>
  <c r="F7397" i="1"/>
  <c r="E7397" i="1"/>
  <c r="D7397" i="1"/>
  <c r="C7397" i="1"/>
  <c r="B7397" i="1"/>
  <c r="A7397" i="1"/>
  <c r="R7396" i="1"/>
  <c r="J7396" i="1"/>
  <c r="I7396" i="1"/>
  <c r="G7396" i="1"/>
  <c r="F7396" i="1"/>
  <c r="E7396" i="1"/>
  <c r="D7396" i="1"/>
  <c r="C7396" i="1"/>
  <c r="B7396" i="1"/>
  <c r="A7396" i="1"/>
  <c r="R7395" i="1"/>
  <c r="J7395" i="1"/>
  <c r="I7395" i="1"/>
  <c r="G7395" i="1"/>
  <c r="F7395" i="1"/>
  <c r="E7395" i="1"/>
  <c r="D7395" i="1"/>
  <c r="C7395" i="1"/>
  <c r="B7395" i="1"/>
  <c r="A7395" i="1"/>
  <c r="S7394" i="1"/>
  <c r="O7394" i="1"/>
  <c r="K7394" i="1"/>
  <c r="J7394" i="1"/>
  <c r="I7394" i="1"/>
  <c r="H7394" i="1"/>
  <c r="G7394" i="1"/>
  <c r="F7394" i="1"/>
  <c r="E7394" i="1"/>
  <c r="D7394" i="1"/>
  <c r="C7394" i="1"/>
  <c r="B7394" i="1"/>
  <c r="A7394" i="1"/>
  <c r="R7393" i="1"/>
  <c r="J7393" i="1"/>
  <c r="I7393" i="1"/>
  <c r="G7393" i="1"/>
  <c r="F7393" i="1"/>
  <c r="E7393" i="1"/>
  <c r="D7393" i="1"/>
  <c r="C7393" i="1"/>
  <c r="B7393" i="1"/>
  <c r="A7393" i="1"/>
  <c r="S7392" i="1"/>
  <c r="O7392" i="1"/>
  <c r="K7392" i="1"/>
  <c r="J7392" i="1"/>
  <c r="I7392" i="1"/>
  <c r="H7392" i="1"/>
  <c r="G7392" i="1"/>
  <c r="F7392" i="1"/>
  <c r="E7392" i="1"/>
  <c r="D7392" i="1"/>
  <c r="C7392" i="1"/>
  <c r="B7392" i="1"/>
  <c r="A7392" i="1"/>
  <c r="R7391" i="1"/>
  <c r="J7391" i="1"/>
  <c r="I7391" i="1"/>
  <c r="G7391" i="1"/>
  <c r="F7391" i="1"/>
  <c r="E7391" i="1"/>
  <c r="D7391" i="1"/>
  <c r="C7391" i="1"/>
  <c r="B7391" i="1"/>
  <c r="A7391" i="1"/>
  <c r="S7390" i="1"/>
  <c r="O7390" i="1"/>
  <c r="K7390" i="1"/>
  <c r="J7390" i="1"/>
  <c r="I7390" i="1"/>
  <c r="H7390" i="1"/>
  <c r="G7390" i="1"/>
  <c r="F7390" i="1"/>
  <c r="E7390" i="1"/>
  <c r="D7390" i="1"/>
  <c r="C7390" i="1"/>
  <c r="B7390" i="1"/>
  <c r="A7390" i="1"/>
  <c r="R7389" i="1"/>
  <c r="J7389" i="1"/>
  <c r="I7389" i="1"/>
  <c r="G7389" i="1"/>
  <c r="F7389" i="1"/>
  <c r="E7389" i="1"/>
  <c r="D7389" i="1"/>
  <c r="C7389" i="1"/>
  <c r="B7389" i="1"/>
  <c r="A7389" i="1"/>
  <c r="S7388" i="1"/>
  <c r="O7388" i="1"/>
  <c r="K7388" i="1"/>
  <c r="J7388" i="1"/>
  <c r="I7388" i="1"/>
  <c r="H7388" i="1"/>
  <c r="G7388" i="1"/>
  <c r="F7388" i="1"/>
  <c r="E7388" i="1"/>
  <c r="D7388" i="1"/>
  <c r="C7388" i="1"/>
  <c r="B7388" i="1"/>
  <c r="A7388" i="1"/>
  <c r="R7387" i="1"/>
  <c r="J7387" i="1"/>
  <c r="I7387" i="1"/>
  <c r="G7387" i="1"/>
  <c r="F7387" i="1"/>
  <c r="E7387" i="1"/>
  <c r="D7387" i="1"/>
  <c r="C7387" i="1"/>
  <c r="B7387" i="1"/>
  <c r="A7387" i="1"/>
  <c r="S7386" i="1"/>
  <c r="O7386" i="1"/>
  <c r="K7386" i="1"/>
  <c r="J7386" i="1"/>
  <c r="I7386" i="1"/>
  <c r="H7386" i="1"/>
  <c r="G7386" i="1"/>
  <c r="F7386" i="1"/>
  <c r="E7386" i="1"/>
  <c r="D7386" i="1"/>
  <c r="C7386" i="1"/>
  <c r="B7386" i="1"/>
  <c r="A7386" i="1"/>
  <c r="R7385" i="1"/>
  <c r="J7385" i="1"/>
  <c r="I7385" i="1"/>
  <c r="G7385" i="1"/>
  <c r="F7385" i="1"/>
  <c r="E7385" i="1"/>
  <c r="D7385" i="1"/>
  <c r="C7385" i="1"/>
  <c r="B7385" i="1"/>
  <c r="A7385" i="1"/>
  <c r="S7384" i="1"/>
  <c r="O7384" i="1"/>
  <c r="K7384" i="1"/>
  <c r="J7384" i="1"/>
  <c r="I7384" i="1"/>
  <c r="H7384" i="1"/>
  <c r="G7384" i="1"/>
  <c r="F7384" i="1"/>
  <c r="E7384" i="1"/>
  <c r="D7384" i="1"/>
  <c r="C7384" i="1"/>
  <c r="B7384" i="1"/>
  <c r="A7384" i="1"/>
  <c r="R7383" i="1"/>
  <c r="J7383" i="1"/>
  <c r="I7383" i="1"/>
  <c r="G7383" i="1"/>
  <c r="F7383" i="1"/>
  <c r="E7383" i="1"/>
  <c r="D7383" i="1"/>
  <c r="C7383" i="1"/>
  <c r="B7383" i="1"/>
  <c r="A7383" i="1"/>
  <c r="S7382" i="1"/>
  <c r="O7382" i="1"/>
  <c r="K7382" i="1"/>
  <c r="J7382" i="1"/>
  <c r="I7382" i="1"/>
  <c r="H7382" i="1"/>
  <c r="G7382" i="1"/>
  <c r="F7382" i="1"/>
  <c r="E7382" i="1"/>
  <c r="D7382" i="1"/>
  <c r="C7382" i="1"/>
  <c r="B7382" i="1"/>
  <c r="A7382" i="1"/>
  <c r="R7381" i="1"/>
  <c r="J7381" i="1"/>
  <c r="I7381" i="1"/>
  <c r="G7381" i="1"/>
  <c r="F7381" i="1"/>
  <c r="E7381" i="1"/>
  <c r="D7381" i="1"/>
  <c r="C7381" i="1"/>
  <c r="B7381" i="1"/>
  <c r="A7381" i="1"/>
  <c r="S7380" i="1"/>
  <c r="O7380" i="1"/>
  <c r="K7380" i="1"/>
  <c r="J7380" i="1"/>
  <c r="I7380" i="1"/>
  <c r="H7380" i="1"/>
  <c r="G7380" i="1"/>
  <c r="F7380" i="1"/>
  <c r="E7380" i="1"/>
  <c r="D7380" i="1"/>
  <c r="C7380" i="1"/>
  <c r="B7380" i="1"/>
  <c r="A7380" i="1"/>
  <c r="R7379" i="1"/>
  <c r="J7379" i="1"/>
  <c r="I7379" i="1"/>
  <c r="G7379" i="1"/>
  <c r="F7379" i="1"/>
  <c r="E7379" i="1"/>
  <c r="D7379" i="1"/>
  <c r="C7379" i="1"/>
  <c r="B7379" i="1"/>
  <c r="A7379" i="1"/>
  <c r="S7378" i="1"/>
  <c r="O7378" i="1"/>
  <c r="K7378" i="1"/>
  <c r="J7378" i="1"/>
  <c r="I7378" i="1"/>
  <c r="H7378" i="1"/>
  <c r="G7378" i="1"/>
  <c r="F7378" i="1"/>
  <c r="E7378" i="1"/>
  <c r="D7378" i="1"/>
  <c r="C7378" i="1"/>
  <c r="B7378" i="1"/>
  <c r="A7378" i="1"/>
  <c r="R7377" i="1"/>
  <c r="J7377" i="1"/>
  <c r="I7377" i="1"/>
  <c r="G7377" i="1"/>
  <c r="F7377" i="1"/>
  <c r="E7377" i="1"/>
  <c r="D7377" i="1"/>
  <c r="C7377" i="1"/>
  <c r="B7377" i="1"/>
  <c r="A7377" i="1"/>
  <c r="S7376" i="1"/>
  <c r="O7376" i="1"/>
  <c r="K7376" i="1"/>
  <c r="J7376" i="1"/>
  <c r="I7376" i="1"/>
  <c r="H7376" i="1"/>
  <c r="G7376" i="1"/>
  <c r="F7376" i="1"/>
  <c r="E7376" i="1"/>
  <c r="D7376" i="1"/>
  <c r="C7376" i="1"/>
  <c r="B7376" i="1"/>
  <c r="A7376" i="1"/>
  <c r="R7375" i="1"/>
  <c r="J7375" i="1"/>
  <c r="I7375" i="1"/>
  <c r="G7375" i="1"/>
  <c r="F7375" i="1"/>
  <c r="E7375" i="1"/>
  <c r="D7375" i="1"/>
  <c r="C7375" i="1"/>
  <c r="B7375" i="1"/>
  <c r="A7375" i="1"/>
  <c r="S7374" i="1"/>
  <c r="O7374" i="1"/>
  <c r="K7374" i="1"/>
  <c r="J7374" i="1"/>
  <c r="I7374" i="1"/>
  <c r="H7374" i="1"/>
  <c r="G7374" i="1"/>
  <c r="F7374" i="1"/>
  <c r="E7374" i="1"/>
  <c r="D7374" i="1"/>
  <c r="C7374" i="1"/>
  <c r="B7374" i="1"/>
  <c r="A7374" i="1"/>
  <c r="R7373" i="1"/>
  <c r="J7373" i="1"/>
  <c r="I7373" i="1"/>
  <c r="G7373" i="1"/>
  <c r="F7373" i="1"/>
  <c r="E7373" i="1"/>
  <c r="D7373" i="1"/>
  <c r="C7373" i="1"/>
  <c r="B7373" i="1"/>
  <c r="A7373" i="1"/>
  <c r="S7372" i="1"/>
  <c r="O7372" i="1"/>
  <c r="K7372" i="1"/>
  <c r="J7372" i="1"/>
  <c r="I7372" i="1"/>
  <c r="H7372" i="1"/>
  <c r="G7372" i="1"/>
  <c r="F7372" i="1"/>
  <c r="E7372" i="1"/>
  <c r="D7372" i="1"/>
  <c r="C7372" i="1"/>
  <c r="B7372" i="1"/>
  <c r="A7372" i="1"/>
  <c r="R7371" i="1"/>
  <c r="J7371" i="1"/>
  <c r="I7371" i="1"/>
  <c r="G7371" i="1"/>
  <c r="F7371" i="1"/>
  <c r="E7371" i="1"/>
  <c r="D7371" i="1"/>
  <c r="C7371" i="1"/>
  <c r="B7371" i="1"/>
  <c r="A7371" i="1"/>
  <c r="S7370" i="1"/>
  <c r="O7370" i="1"/>
  <c r="K7370" i="1"/>
  <c r="J7370" i="1"/>
  <c r="I7370" i="1"/>
  <c r="H7370" i="1"/>
  <c r="G7370" i="1"/>
  <c r="F7370" i="1"/>
  <c r="E7370" i="1"/>
  <c r="D7370" i="1"/>
  <c r="C7370" i="1"/>
  <c r="B7370" i="1"/>
  <c r="A7370" i="1"/>
  <c r="R7369" i="1"/>
  <c r="J7369" i="1"/>
  <c r="I7369" i="1"/>
  <c r="G7369" i="1"/>
  <c r="F7369" i="1"/>
  <c r="E7369" i="1"/>
  <c r="D7369" i="1"/>
  <c r="C7369" i="1"/>
  <c r="B7369" i="1"/>
  <c r="A7369" i="1"/>
  <c r="R7368" i="1"/>
  <c r="J7368" i="1"/>
  <c r="I7368" i="1"/>
  <c r="G7368" i="1"/>
  <c r="F7368" i="1"/>
  <c r="E7368" i="1"/>
  <c r="D7368" i="1"/>
  <c r="C7368" i="1"/>
  <c r="B7368" i="1"/>
  <c r="A7368" i="1"/>
  <c r="S7367" i="1"/>
  <c r="O7367" i="1"/>
  <c r="K7367" i="1"/>
  <c r="J7367" i="1"/>
  <c r="I7367" i="1"/>
  <c r="H7367" i="1"/>
  <c r="G7367" i="1"/>
  <c r="F7367" i="1"/>
  <c r="E7367" i="1"/>
  <c r="D7367" i="1"/>
  <c r="C7367" i="1"/>
  <c r="B7367" i="1"/>
  <c r="A7367" i="1"/>
  <c r="R7366" i="1"/>
  <c r="J7366" i="1"/>
  <c r="I7366" i="1"/>
  <c r="G7366" i="1"/>
  <c r="F7366" i="1"/>
  <c r="E7366" i="1"/>
  <c r="D7366" i="1"/>
  <c r="C7366" i="1"/>
  <c r="B7366" i="1"/>
  <c r="A7366" i="1"/>
  <c r="S7365" i="1"/>
  <c r="O7365" i="1"/>
  <c r="K7365" i="1"/>
  <c r="J7365" i="1"/>
  <c r="I7365" i="1"/>
  <c r="H7365" i="1"/>
  <c r="G7365" i="1"/>
  <c r="F7365" i="1"/>
  <c r="E7365" i="1"/>
  <c r="D7365" i="1"/>
  <c r="C7365" i="1"/>
  <c r="B7365" i="1"/>
  <c r="A7365" i="1"/>
  <c r="R7364" i="1"/>
  <c r="J7364" i="1"/>
  <c r="I7364" i="1"/>
  <c r="G7364" i="1"/>
  <c r="F7364" i="1"/>
  <c r="E7364" i="1"/>
  <c r="D7364" i="1"/>
  <c r="C7364" i="1"/>
  <c r="B7364" i="1"/>
  <c r="A7364" i="1"/>
  <c r="S7363" i="1"/>
  <c r="O7363" i="1"/>
  <c r="K7363" i="1"/>
  <c r="J7363" i="1"/>
  <c r="I7363" i="1"/>
  <c r="H7363" i="1"/>
  <c r="G7363" i="1"/>
  <c r="F7363" i="1"/>
  <c r="E7363" i="1"/>
  <c r="D7363" i="1"/>
  <c r="C7363" i="1"/>
  <c r="B7363" i="1"/>
  <c r="A7363" i="1"/>
  <c r="R7362" i="1"/>
  <c r="J7362" i="1"/>
  <c r="I7362" i="1"/>
  <c r="G7362" i="1"/>
  <c r="F7362" i="1"/>
  <c r="E7362" i="1"/>
  <c r="D7362" i="1"/>
  <c r="C7362" i="1"/>
  <c r="B7362" i="1"/>
  <c r="A7362" i="1"/>
  <c r="S7361" i="1"/>
  <c r="O7361" i="1"/>
  <c r="K7361" i="1"/>
  <c r="J7361" i="1"/>
  <c r="I7361" i="1"/>
  <c r="H7361" i="1"/>
  <c r="G7361" i="1"/>
  <c r="F7361" i="1"/>
  <c r="E7361" i="1"/>
  <c r="D7361" i="1"/>
  <c r="C7361" i="1"/>
  <c r="B7361" i="1"/>
  <c r="A7361" i="1"/>
  <c r="R7360" i="1"/>
  <c r="J7360" i="1"/>
  <c r="I7360" i="1"/>
  <c r="G7360" i="1"/>
  <c r="F7360" i="1"/>
  <c r="E7360" i="1"/>
  <c r="D7360" i="1"/>
  <c r="C7360" i="1"/>
  <c r="B7360" i="1"/>
  <c r="A7360" i="1"/>
  <c r="R7359" i="1"/>
  <c r="J7359" i="1"/>
  <c r="I7359" i="1"/>
  <c r="G7359" i="1"/>
  <c r="F7359" i="1"/>
  <c r="E7359" i="1"/>
  <c r="D7359" i="1"/>
  <c r="C7359" i="1"/>
  <c r="B7359" i="1"/>
  <c r="A7359" i="1"/>
  <c r="S7358" i="1"/>
  <c r="O7358" i="1"/>
  <c r="K7358" i="1"/>
  <c r="J7358" i="1"/>
  <c r="I7358" i="1"/>
  <c r="H7358" i="1"/>
  <c r="G7358" i="1"/>
  <c r="F7358" i="1"/>
  <c r="E7358" i="1"/>
  <c r="D7358" i="1"/>
  <c r="C7358" i="1"/>
  <c r="B7358" i="1"/>
  <c r="A7358" i="1"/>
  <c r="R7357" i="1"/>
  <c r="J7357" i="1"/>
  <c r="I7357" i="1"/>
  <c r="G7357" i="1"/>
  <c r="F7357" i="1"/>
  <c r="E7357" i="1"/>
  <c r="D7357" i="1"/>
  <c r="C7357" i="1"/>
  <c r="B7357" i="1"/>
  <c r="A7357" i="1"/>
  <c r="R7356" i="1"/>
  <c r="J7356" i="1"/>
  <c r="I7356" i="1"/>
  <c r="G7356" i="1"/>
  <c r="F7356" i="1"/>
  <c r="E7356" i="1"/>
  <c r="D7356" i="1"/>
  <c r="C7356" i="1"/>
  <c r="B7356" i="1"/>
  <c r="A7356" i="1"/>
  <c r="S7355" i="1"/>
  <c r="O7355" i="1"/>
  <c r="K7355" i="1"/>
  <c r="J7355" i="1"/>
  <c r="I7355" i="1"/>
  <c r="H7355" i="1"/>
  <c r="G7355" i="1"/>
  <c r="F7355" i="1"/>
  <c r="E7355" i="1"/>
  <c r="D7355" i="1"/>
  <c r="C7355" i="1"/>
  <c r="B7355" i="1"/>
  <c r="A7355" i="1"/>
  <c r="R7354" i="1"/>
  <c r="J7354" i="1"/>
  <c r="I7354" i="1"/>
  <c r="G7354" i="1"/>
  <c r="F7354" i="1"/>
  <c r="E7354" i="1"/>
  <c r="D7354" i="1"/>
  <c r="C7354" i="1"/>
  <c r="B7354" i="1"/>
  <c r="A7354" i="1"/>
  <c r="S7353" i="1"/>
  <c r="O7353" i="1"/>
  <c r="K7353" i="1"/>
  <c r="J7353" i="1"/>
  <c r="I7353" i="1"/>
  <c r="H7353" i="1"/>
  <c r="G7353" i="1"/>
  <c r="F7353" i="1"/>
  <c r="E7353" i="1"/>
  <c r="D7353" i="1"/>
  <c r="C7353" i="1"/>
  <c r="B7353" i="1"/>
  <c r="A7353" i="1"/>
  <c r="R7352" i="1"/>
  <c r="J7352" i="1"/>
  <c r="I7352" i="1"/>
  <c r="G7352" i="1"/>
  <c r="F7352" i="1"/>
  <c r="E7352" i="1"/>
  <c r="D7352" i="1"/>
  <c r="C7352" i="1"/>
  <c r="B7352" i="1"/>
  <c r="A7352" i="1"/>
  <c r="S7351" i="1"/>
  <c r="O7351" i="1"/>
  <c r="K7351" i="1"/>
  <c r="J7351" i="1"/>
  <c r="I7351" i="1"/>
  <c r="H7351" i="1"/>
  <c r="G7351" i="1"/>
  <c r="F7351" i="1"/>
  <c r="E7351" i="1"/>
  <c r="D7351" i="1"/>
  <c r="C7351" i="1"/>
  <c r="B7351" i="1"/>
  <c r="A7351" i="1"/>
  <c r="R7350" i="1"/>
  <c r="J7350" i="1"/>
  <c r="I7350" i="1"/>
  <c r="G7350" i="1"/>
  <c r="F7350" i="1"/>
  <c r="E7350" i="1"/>
  <c r="D7350" i="1"/>
  <c r="C7350" i="1"/>
  <c r="B7350" i="1"/>
  <c r="A7350" i="1"/>
  <c r="S7349" i="1"/>
  <c r="O7349" i="1"/>
  <c r="K7349" i="1"/>
  <c r="J7349" i="1"/>
  <c r="I7349" i="1"/>
  <c r="H7349" i="1"/>
  <c r="G7349" i="1"/>
  <c r="F7349" i="1"/>
  <c r="E7349" i="1"/>
  <c r="D7349" i="1"/>
  <c r="C7349" i="1"/>
  <c r="B7349" i="1"/>
  <c r="A7349" i="1"/>
  <c r="R7348" i="1"/>
  <c r="J7348" i="1"/>
  <c r="I7348" i="1"/>
  <c r="G7348" i="1"/>
  <c r="F7348" i="1"/>
  <c r="E7348" i="1"/>
  <c r="D7348" i="1"/>
  <c r="C7348" i="1"/>
  <c r="B7348" i="1"/>
  <c r="A7348" i="1"/>
  <c r="R7347" i="1"/>
  <c r="J7347" i="1"/>
  <c r="I7347" i="1"/>
  <c r="G7347" i="1"/>
  <c r="F7347" i="1"/>
  <c r="E7347" i="1"/>
  <c r="D7347" i="1"/>
  <c r="C7347" i="1"/>
  <c r="B7347" i="1"/>
  <c r="A7347" i="1"/>
  <c r="S7346" i="1"/>
  <c r="O7346" i="1"/>
  <c r="K7346" i="1"/>
  <c r="J7346" i="1"/>
  <c r="I7346" i="1"/>
  <c r="H7346" i="1"/>
  <c r="G7346" i="1"/>
  <c r="F7346" i="1"/>
  <c r="E7346" i="1"/>
  <c r="D7346" i="1"/>
  <c r="C7346" i="1"/>
  <c r="B7346" i="1"/>
  <c r="A7346" i="1"/>
  <c r="R7345" i="1"/>
  <c r="J7345" i="1"/>
  <c r="I7345" i="1"/>
  <c r="G7345" i="1"/>
  <c r="F7345" i="1"/>
  <c r="E7345" i="1"/>
  <c r="D7345" i="1"/>
  <c r="C7345" i="1"/>
  <c r="B7345" i="1"/>
  <c r="A7345" i="1"/>
  <c r="R7344" i="1"/>
  <c r="J7344" i="1"/>
  <c r="I7344" i="1"/>
  <c r="G7344" i="1"/>
  <c r="F7344" i="1"/>
  <c r="E7344" i="1"/>
  <c r="D7344" i="1"/>
  <c r="C7344" i="1"/>
  <c r="B7344" i="1"/>
  <c r="A7344" i="1"/>
  <c r="R7343" i="1"/>
  <c r="J7343" i="1"/>
  <c r="I7343" i="1"/>
  <c r="G7343" i="1"/>
  <c r="F7343" i="1"/>
  <c r="E7343" i="1"/>
  <c r="D7343" i="1"/>
  <c r="C7343" i="1"/>
  <c r="B7343" i="1"/>
  <c r="A7343" i="1"/>
  <c r="S7342" i="1"/>
  <c r="O7342" i="1"/>
  <c r="K7342" i="1"/>
  <c r="J7342" i="1"/>
  <c r="I7342" i="1"/>
  <c r="H7342" i="1"/>
  <c r="G7342" i="1"/>
  <c r="F7342" i="1"/>
  <c r="E7342" i="1"/>
  <c r="D7342" i="1"/>
  <c r="C7342" i="1"/>
  <c r="B7342" i="1"/>
  <c r="A7342" i="1"/>
  <c r="R7341" i="1"/>
  <c r="J7341" i="1"/>
  <c r="I7341" i="1"/>
  <c r="G7341" i="1"/>
  <c r="F7341" i="1"/>
  <c r="E7341" i="1"/>
  <c r="D7341" i="1"/>
  <c r="C7341" i="1"/>
  <c r="B7341" i="1"/>
  <c r="A7341" i="1"/>
  <c r="S7340" i="1"/>
  <c r="O7340" i="1"/>
  <c r="K7340" i="1"/>
  <c r="J7340" i="1"/>
  <c r="I7340" i="1"/>
  <c r="H7340" i="1"/>
  <c r="G7340" i="1"/>
  <c r="F7340" i="1"/>
  <c r="E7340" i="1"/>
  <c r="D7340" i="1"/>
  <c r="C7340" i="1"/>
  <c r="B7340" i="1"/>
  <c r="A7340" i="1"/>
  <c r="R7339" i="1"/>
  <c r="J7339" i="1"/>
  <c r="I7339" i="1"/>
  <c r="G7339" i="1"/>
  <c r="F7339" i="1"/>
  <c r="E7339" i="1"/>
  <c r="D7339" i="1"/>
  <c r="C7339" i="1"/>
  <c r="B7339" i="1"/>
  <c r="A7339" i="1"/>
  <c r="R7338" i="1"/>
  <c r="J7338" i="1"/>
  <c r="I7338" i="1"/>
  <c r="G7338" i="1"/>
  <c r="F7338" i="1"/>
  <c r="E7338" i="1"/>
  <c r="D7338" i="1"/>
  <c r="C7338" i="1"/>
  <c r="B7338" i="1"/>
  <c r="A7338" i="1"/>
  <c r="R7337" i="1"/>
  <c r="J7337" i="1"/>
  <c r="I7337" i="1"/>
  <c r="G7337" i="1"/>
  <c r="F7337" i="1"/>
  <c r="E7337" i="1"/>
  <c r="D7337" i="1"/>
  <c r="C7337" i="1"/>
  <c r="B7337" i="1"/>
  <c r="A7337" i="1"/>
  <c r="R7336" i="1"/>
  <c r="J7336" i="1"/>
  <c r="I7336" i="1"/>
  <c r="G7336" i="1"/>
  <c r="F7336" i="1"/>
  <c r="E7336" i="1"/>
  <c r="D7336" i="1"/>
  <c r="C7336" i="1"/>
  <c r="B7336" i="1"/>
  <c r="A7336" i="1"/>
  <c r="R7335" i="1"/>
  <c r="J7335" i="1"/>
  <c r="I7335" i="1"/>
  <c r="G7335" i="1"/>
  <c r="F7335" i="1"/>
  <c r="E7335" i="1"/>
  <c r="D7335" i="1"/>
  <c r="C7335" i="1"/>
  <c r="B7335" i="1"/>
  <c r="A7335" i="1"/>
  <c r="R7334" i="1"/>
  <c r="J7334" i="1"/>
  <c r="I7334" i="1"/>
  <c r="G7334" i="1"/>
  <c r="F7334" i="1"/>
  <c r="E7334" i="1"/>
  <c r="D7334" i="1"/>
  <c r="C7334" i="1"/>
  <c r="B7334" i="1"/>
  <c r="A7334" i="1"/>
  <c r="R7333" i="1"/>
  <c r="J7333" i="1"/>
  <c r="I7333" i="1"/>
  <c r="G7333" i="1"/>
  <c r="F7333" i="1"/>
  <c r="E7333" i="1"/>
  <c r="D7333" i="1"/>
  <c r="C7333" i="1"/>
  <c r="B7333" i="1"/>
  <c r="A7333" i="1"/>
  <c r="R7332" i="1"/>
  <c r="J7332" i="1"/>
  <c r="I7332" i="1"/>
  <c r="G7332" i="1"/>
  <c r="F7332" i="1"/>
  <c r="E7332" i="1"/>
  <c r="D7332" i="1"/>
  <c r="C7332" i="1"/>
  <c r="B7332" i="1"/>
  <c r="A7332" i="1"/>
  <c r="R7331" i="1"/>
  <c r="J7331" i="1"/>
  <c r="I7331" i="1"/>
  <c r="G7331" i="1"/>
  <c r="F7331" i="1"/>
  <c r="E7331" i="1"/>
  <c r="D7331" i="1"/>
  <c r="C7331" i="1"/>
  <c r="B7331" i="1"/>
  <c r="A7331" i="1"/>
  <c r="R7330" i="1"/>
  <c r="J7330" i="1"/>
  <c r="I7330" i="1"/>
  <c r="G7330" i="1"/>
  <c r="F7330" i="1"/>
  <c r="E7330" i="1"/>
  <c r="D7330" i="1"/>
  <c r="C7330" i="1"/>
  <c r="B7330" i="1"/>
  <c r="A7330" i="1"/>
  <c r="R7329" i="1"/>
  <c r="J7329" i="1"/>
  <c r="I7329" i="1"/>
  <c r="G7329" i="1"/>
  <c r="F7329" i="1"/>
  <c r="E7329" i="1"/>
  <c r="D7329" i="1"/>
  <c r="C7329" i="1"/>
  <c r="B7329" i="1"/>
  <c r="A7329" i="1"/>
  <c r="R7328" i="1"/>
  <c r="J7328" i="1"/>
  <c r="I7328" i="1"/>
  <c r="G7328" i="1"/>
  <c r="F7328" i="1"/>
  <c r="E7328" i="1"/>
  <c r="D7328" i="1"/>
  <c r="C7328" i="1"/>
  <c r="B7328" i="1"/>
  <c r="A7328" i="1"/>
  <c r="R7327" i="1"/>
  <c r="J7327" i="1"/>
  <c r="I7327" i="1"/>
  <c r="G7327" i="1"/>
  <c r="F7327" i="1"/>
  <c r="E7327" i="1"/>
  <c r="D7327" i="1"/>
  <c r="C7327" i="1"/>
  <c r="B7327" i="1"/>
  <c r="A7327" i="1"/>
  <c r="R7326" i="1"/>
  <c r="J7326" i="1"/>
  <c r="I7326" i="1"/>
  <c r="G7326" i="1"/>
  <c r="F7326" i="1"/>
  <c r="E7326" i="1"/>
  <c r="D7326" i="1"/>
  <c r="C7326" i="1"/>
  <c r="B7326" i="1"/>
  <c r="A7326" i="1"/>
  <c r="R7325" i="1"/>
  <c r="J7325" i="1"/>
  <c r="I7325" i="1"/>
  <c r="G7325" i="1"/>
  <c r="F7325" i="1"/>
  <c r="E7325" i="1"/>
  <c r="D7325" i="1"/>
  <c r="C7325" i="1"/>
  <c r="B7325" i="1"/>
  <c r="A7325" i="1"/>
  <c r="R7324" i="1"/>
  <c r="J7324" i="1"/>
  <c r="I7324" i="1"/>
  <c r="G7324" i="1"/>
  <c r="F7324" i="1"/>
  <c r="E7324" i="1"/>
  <c r="D7324" i="1"/>
  <c r="C7324" i="1"/>
  <c r="B7324" i="1"/>
  <c r="A7324" i="1"/>
  <c r="R7323" i="1"/>
  <c r="J7323" i="1"/>
  <c r="I7323" i="1"/>
  <c r="G7323" i="1"/>
  <c r="F7323" i="1"/>
  <c r="E7323" i="1"/>
  <c r="D7323" i="1"/>
  <c r="C7323" i="1"/>
  <c r="B7323" i="1"/>
  <c r="A7323" i="1"/>
  <c r="R7322" i="1"/>
  <c r="J7322" i="1"/>
  <c r="I7322" i="1"/>
  <c r="G7322" i="1"/>
  <c r="F7322" i="1"/>
  <c r="E7322" i="1"/>
  <c r="D7322" i="1"/>
  <c r="C7322" i="1"/>
  <c r="B7322" i="1"/>
  <c r="A7322" i="1"/>
  <c r="R7321" i="1"/>
  <c r="J7321" i="1"/>
  <c r="I7321" i="1"/>
  <c r="G7321" i="1"/>
  <c r="F7321" i="1"/>
  <c r="E7321" i="1"/>
  <c r="D7321" i="1"/>
  <c r="C7321" i="1"/>
  <c r="B7321" i="1"/>
  <c r="A7321" i="1"/>
  <c r="R7320" i="1"/>
  <c r="J7320" i="1"/>
  <c r="I7320" i="1"/>
  <c r="G7320" i="1"/>
  <c r="F7320" i="1"/>
  <c r="E7320" i="1"/>
  <c r="D7320" i="1"/>
  <c r="C7320" i="1"/>
  <c r="B7320" i="1"/>
  <c r="A7320" i="1"/>
  <c r="R7319" i="1"/>
  <c r="J7319" i="1"/>
  <c r="I7319" i="1"/>
  <c r="G7319" i="1"/>
  <c r="F7319" i="1"/>
  <c r="E7319" i="1"/>
  <c r="D7319" i="1"/>
  <c r="C7319" i="1"/>
  <c r="B7319" i="1"/>
  <c r="A7319" i="1"/>
  <c r="R7318" i="1"/>
  <c r="J7318" i="1"/>
  <c r="I7318" i="1"/>
  <c r="G7318" i="1"/>
  <c r="F7318" i="1"/>
  <c r="E7318" i="1"/>
  <c r="D7318" i="1"/>
  <c r="C7318" i="1"/>
  <c r="B7318" i="1"/>
  <c r="A7318" i="1"/>
  <c r="R7317" i="1"/>
  <c r="J7317" i="1"/>
  <c r="I7317" i="1"/>
  <c r="G7317" i="1"/>
  <c r="F7317" i="1"/>
  <c r="E7317" i="1"/>
  <c r="D7317" i="1"/>
  <c r="C7317" i="1"/>
  <c r="B7317" i="1"/>
  <c r="A7317" i="1"/>
  <c r="R7316" i="1"/>
  <c r="J7316" i="1"/>
  <c r="I7316" i="1"/>
  <c r="G7316" i="1"/>
  <c r="F7316" i="1"/>
  <c r="E7316" i="1"/>
  <c r="D7316" i="1"/>
  <c r="C7316" i="1"/>
  <c r="B7316" i="1"/>
  <c r="A7316" i="1"/>
  <c r="R7315" i="1"/>
  <c r="J7315" i="1"/>
  <c r="I7315" i="1"/>
  <c r="G7315" i="1"/>
  <c r="F7315" i="1"/>
  <c r="E7315" i="1"/>
  <c r="D7315" i="1"/>
  <c r="C7315" i="1"/>
  <c r="B7315" i="1"/>
  <c r="A7315" i="1"/>
  <c r="R7314" i="1"/>
  <c r="J7314" i="1"/>
  <c r="I7314" i="1"/>
  <c r="G7314" i="1"/>
  <c r="F7314" i="1"/>
  <c r="E7314" i="1"/>
  <c r="D7314" i="1"/>
  <c r="C7314" i="1"/>
  <c r="B7314" i="1"/>
  <c r="A7314" i="1"/>
  <c r="R7313" i="1"/>
  <c r="J7313" i="1"/>
  <c r="I7313" i="1"/>
  <c r="G7313" i="1"/>
  <c r="F7313" i="1"/>
  <c r="E7313" i="1"/>
  <c r="D7313" i="1"/>
  <c r="C7313" i="1"/>
  <c r="B7313" i="1"/>
  <c r="A7313" i="1"/>
  <c r="R7312" i="1"/>
  <c r="J7312" i="1"/>
  <c r="I7312" i="1"/>
  <c r="G7312" i="1"/>
  <c r="F7312" i="1"/>
  <c r="E7312" i="1"/>
  <c r="D7312" i="1"/>
  <c r="C7312" i="1"/>
  <c r="B7312" i="1"/>
  <c r="A7312" i="1"/>
  <c r="R7311" i="1"/>
  <c r="J7311" i="1"/>
  <c r="I7311" i="1"/>
  <c r="G7311" i="1"/>
  <c r="F7311" i="1"/>
  <c r="E7311" i="1"/>
  <c r="D7311" i="1"/>
  <c r="C7311" i="1"/>
  <c r="B7311" i="1"/>
  <c r="A7311" i="1"/>
  <c r="R7310" i="1"/>
  <c r="J7310" i="1"/>
  <c r="I7310" i="1"/>
  <c r="G7310" i="1"/>
  <c r="F7310" i="1"/>
  <c r="E7310" i="1"/>
  <c r="D7310" i="1"/>
  <c r="C7310" i="1"/>
  <c r="B7310" i="1"/>
  <c r="A7310" i="1"/>
  <c r="R7309" i="1"/>
  <c r="J7309" i="1"/>
  <c r="I7309" i="1"/>
  <c r="G7309" i="1"/>
  <c r="F7309" i="1"/>
  <c r="E7309" i="1"/>
  <c r="D7309" i="1"/>
  <c r="C7309" i="1"/>
  <c r="B7309" i="1"/>
  <c r="A7309" i="1"/>
  <c r="R7308" i="1"/>
  <c r="J7308" i="1"/>
  <c r="I7308" i="1"/>
  <c r="G7308" i="1"/>
  <c r="F7308" i="1"/>
  <c r="E7308" i="1"/>
  <c r="D7308" i="1"/>
  <c r="C7308" i="1"/>
  <c r="B7308" i="1"/>
  <c r="A7308" i="1"/>
  <c r="R7307" i="1"/>
  <c r="J7307" i="1"/>
  <c r="I7307" i="1"/>
  <c r="G7307" i="1"/>
  <c r="F7307" i="1"/>
  <c r="E7307" i="1"/>
  <c r="D7307" i="1"/>
  <c r="C7307" i="1"/>
  <c r="B7307" i="1"/>
  <c r="A7307" i="1"/>
  <c r="R7306" i="1"/>
  <c r="J7306" i="1"/>
  <c r="I7306" i="1"/>
  <c r="G7306" i="1"/>
  <c r="F7306" i="1"/>
  <c r="E7306" i="1"/>
  <c r="D7306" i="1"/>
  <c r="C7306" i="1"/>
  <c r="B7306" i="1"/>
  <c r="A7306" i="1"/>
  <c r="R7305" i="1"/>
  <c r="J7305" i="1"/>
  <c r="I7305" i="1"/>
  <c r="G7305" i="1"/>
  <c r="F7305" i="1"/>
  <c r="E7305" i="1"/>
  <c r="D7305" i="1"/>
  <c r="C7305" i="1"/>
  <c r="B7305" i="1"/>
  <c r="A7305" i="1"/>
  <c r="R7304" i="1"/>
  <c r="J7304" i="1"/>
  <c r="I7304" i="1"/>
  <c r="G7304" i="1"/>
  <c r="F7304" i="1"/>
  <c r="E7304" i="1"/>
  <c r="D7304" i="1"/>
  <c r="C7304" i="1"/>
  <c r="B7304" i="1"/>
  <c r="A7304" i="1"/>
  <c r="R7303" i="1"/>
  <c r="J7303" i="1"/>
  <c r="I7303" i="1"/>
  <c r="G7303" i="1"/>
  <c r="F7303" i="1"/>
  <c r="E7303" i="1"/>
  <c r="D7303" i="1"/>
  <c r="C7303" i="1"/>
  <c r="B7303" i="1"/>
  <c r="A7303" i="1"/>
  <c r="R7302" i="1"/>
  <c r="J7302" i="1"/>
  <c r="I7302" i="1"/>
  <c r="G7302" i="1"/>
  <c r="F7302" i="1"/>
  <c r="E7302" i="1"/>
  <c r="D7302" i="1"/>
  <c r="C7302" i="1"/>
  <c r="B7302" i="1"/>
  <c r="A7302" i="1"/>
  <c r="R7301" i="1"/>
  <c r="J7301" i="1"/>
  <c r="I7301" i="1"/>
  <c r="G7301" i="1"/>
  <c r="F7301" i="1"/>
  <c r="E7301" i="1"/>
  <c r="D7301" i="1"/>
  <c r="C7301" i="1"/>
  <c r="B7301" i="1"/>
  <c r="A7301" i="1"/>
  <c r="R7300" i="1"/>
  <c r="J7300" i="1"/>
  <c r="I7300" i="1"/>
  <c r="G7300" i="1"/>
  <c r="F7300" i="1"/>
  <c r="E7300" i="1"/>
  <c r="D7300" i="1"/>
  <c r="C7300" i="1"/>
  <c r="B7300" i="1"/>
  <c r="A7300" i="1"/>
  <c r="R7299" i="1"/>
  <c r="J7299" i="1"/>
  <c r="I7299" i="1"/>
  <c r="G7299" i="1"/>
  <c r="F7299" i="1"/>
  <c r="E7299" i="1"/>
  <c r="D7299" i="1"/>
  <c r="C7299" i="1"/>
  <c r="B7299" i="1"/>
  <c r="A7299" i="1"/>
  <c r="R7298" i="1"/>
  <c r="J7298" i="1"/>
  <c r="I7298" i="1"/>
  <c r="G7298" i="1"/>
  <c r="F7298" i="1"/>
  <c r="E7298" i="1"/>
  <c r="D7298" i="1"/>
  <c r="C7298" i="1"/>
  <c r="B7298" i="1"/>
  <c r="A7298" i="1"/>
  <c r="R7297" i="1"/>
  <c r="J7297" i="1"/>
  <c r="I7297" i="1"/>
  <c r="G7297" i="1"/>
  <c r="F7297" i="1"/>
  <c r="E7297" i="1"/>
  <c r="D7297" i="1"/>
  <c r="C7297" i="1"/>
  <c r="B7297" i="1"/>
  <c r="A7297" i="1"/>
  <c r="R7296" i="1"/>
  <c r="J7296" i="1"/>
  <c r="I7296" i="1"/>
  <c r="G7296" i="1"/>
  <c r="F7296" i="1"/>
  <c r="E7296" i="1"/>
  <c r="D7296" i="1"/>
  <c r="C7296" i="1"/>
  <c r="B7296" i="1"/>
  <c r="A7296" i="1"/>
  <c r="R7295" i="1"/>
  <c r="J7295" i="1"/>
  <c r="I7295" i="1"/>
  <c r="G7295" i="1"/>
  <c r="F7295" i="1"/>
  <c r="E7295" i="1"/>
  <c r="D7295" i="1"/>
  <c r="C7295" i="1"/>
  <c r="B7295" i="1"/>
  <c r="A7295" i="1"/>
  <c r="R7294" i="1"/>
  <c r="J7294" i="1"/>
  <c r="I7294" i="1"/>
  <c r="G7294" i="1"/>
  <c r="F7294" i="1"/>
  <c r="E7294" i="1"/>
  <c r="D7294" i="1"/>
  <c r="C7294" i="1"/>
  <c r="B7294" i="1"/>
  <c r="A7294" i="1"/>
  <c r="R7293" i="1"/>
  <c r="J7293" i="1"/>
  <c r="I7293" i="1"/>
  <c r="G7293" i="1"/>
  <c r="F7293" i="1"/>
  <c r="E7293" i="1"/>
  <c r="D7293" i="1"/>
  <c r="C7293" i="1"/>
  <c r="B7293" i="1"/>
  <c r="A7293" i="1"/>
  <c r="S7292" i="1"/>
  <c r="O7292" i="1"/>
  <c r="K7292" i="1"/>
  <c r="J7292" i="1"/>
  <c r="I7292" i="1"/>
  <c r="H7292" i="1"/>
  <c r="G7292" i="1"/>
  <c r="F7292" i="1"/>
  <c r="E7292" i="1"/>
  <c r="D7292" i="1"/>
  <c r="C7292" i="1"/>
  <c r="B7292" i="1"/>
  <c r="A7292" i="1"/>
  <c r="R7291" i="1"/>
  <c r="J7291" i="1"/>
  <c r="I7291" i="1"/>
  <c r="G7291" i="1"/>
  <c r="F7291" i="1"/>
  <c r="E7291" i="1"/>
  <c r="D7291" i="1"/>
  <c r="C7291" i="1"/>
  <c r="B7291" i="1"/>
  <c r="A7291" i="1"/>
  <c r="S7290" i="1"/>
  <c r="O7290" i="1"/>
  <c r="K7290" i="1"/>
  <c r="J7290" i="1"/>
  <c r="I7290" i="1"/>
  <c r="H7290" i="1"/>
  <c r="G7290" i="1"/>
  <c r="F7290" i="1"/>
  <c r="E7290" i="1"/>
  <c r="D7290" i="1"/>
  <c r="C7290" i="1"/>
  <c r="B7290" i="1"/>
  <c r="A7290" i="1"/>
  <c r="R7289" i="1"/>
  <c r="J7289" i="1"/>
  <c r="I7289" i="1"/>
  <c r="G7289" i="1"/>
  <c r="F7289" i="1"/>
  <c r="E7289" i="1"/>
  <c r="D7289" i="1"/>
  <c r="C7289" i="1"/>
  <c r="B7289" i="1"/>
  <c r="A7289" i="1"/>
  <c r="S7288" i="1"/>
  <c r="O7288" i="1"/>
  <c r="K7288" i="1"/>
  <c r="J7288" i="1"/>
  <c r="I7288" i="1"/>
  <c r="H7288" i="1"/>
  <c r="G7288" i="1"/>
  <c r="F7288" i="1"/>
  <c r="E7288" i="1"/>
  <c r="D7288" i="1"/>
  <c r="C7288" i="1"/>
  <c r="B7288" i="1"/>
  <c r="A7288" i="1"/>
  <c r="R7287" i="1"/>
  <c r="J7287" i="1"/>
  <c r="I7287" i="1"/>
  <c r="G7287" i="1"/>
  <c r="F7287" i="1"/>
  <c r="E7287" i="1"/>
  <c r="D7287" i="1"/>
  <c r="C7287" i="1"/>
  <c r="B7287" i="1"/>
  <c r="A7287" i="1"/>
  <c r="S7286" i="1"/>
  <c r="O7286" i="1"/>
  <c r="K7286" i="1"/>
  <c r="J7286" i="1"/>
  <c r="I7286" i="1"/>
  <c r="H7286" i="1"/>
  <c r="G7286" i="1"/>
  <c r="F7286" i="1"/>
  <c r="E7286" i="1"/>
  <c r="D7286" i="1"/>
  <c r="C7286" i="1"/>
  <c r="B7286" i="1"/>
  <c r="A7286" i="1"/>
  <c r="R7285" i="1"/>
  <c r="J7285" i="1"/>
  <c r="I7285" i="1"/>
  <c r="G7285" i="1"/>
  <c r="F7285" i="1"/>
  <c r="E7285" i="1"/>
  <c r="D7285" i="1"/>
  <c r="C7285" i="1"/>
  <c r="B7285" i="1"/>
  <c r="A7285" i="1"/>
  <c r="R7284" i="1"/>
  <c r="J7284" i="1"/>
  <c r="I7284" i="1"/>
  <c r="G7284" i="1"/>
  <c r="F7284" i="1"/>
  <c r="E7284" i="1"/>
  <c r="D7284" i="1"/>
  <c r="C7284" i="1"/>
  <c r="B7284" i="1"/>
  <c r="A7284" i="1"/>
  <c r="S7283" i="1"/>
  <c r="O7283" i="1"/>
  <c r="K7283" i="1"/>
  <c r="J7283" i="1"/>
  <c r="I7283" i="1"/>
  <c r="H7283" i="1"/>
  <c r="G7283" i="1"/>
  <c r="F7283" i="1"/>
  <c r="E7283" i="1"/>
  <c r="D7283" i="1"/>
  <c r="C7283" i="1"/>
  <c r="B7283" i="1"/>
  <c r="A7283" i="1"/>
  <c r="R7282" i="1"/>
  <c r="J7282" i="1"/>
  <c r="I7282" i="1"/>
  <c r="G7282" i="1"/>
  <c r="F7282" i="1"/>
  <c r="E7282" i="1"/>
  <c r="D7282" i="1"/>
  <c r="C7282" i="1"/>
  <c r="B7282" i="1"/>
  <c r="A7282" i="1"/>
  <c r="S7281" i="1"/>
  <c r="O7281" i="1"/>
  <c r="K7281" i="1"/>
  <c r="J7281" i="1"/>
  <c r="I7281" i="1"/>
  <c r="H7281" i="1"/>
  <c r="G7281" i="1"/>
  <c r="F7281" i="1"/>
  <c r="E7281" i="1"/>
  <c r="D7281" i="1"/>
  <c r="C7281" i="1"/>
  <c r="B7281" i="1"/>
  <c r="A7281" i="1"/>
  <c r="S7280" i="1"/>
  <c r="O7280" i="1"/>
  <c r="K7280" i="1"/>
  <c r="J7280" i="1"/>
  <c r="I7280" i="1"/>
  <c r="H7280" i="1"/>
  <c r="G7280" i="1"/>
  <c r="F7280" i="1"/>
  <c r="D7280" i="1"/>
  <c r="C7280" i="1"/>
  <c r="B7280" i="1"/>
  <c r="A7280" i="1"/>
  <c r="S7279" i="1"/>
  <c r="O7279" i="1"/>
  <c r="K7279" i="1"/>
  <c r="J7279" i="1"/>
  <c r="I7279" i="1"/>
  <c r="H7279" i="1"/>
  <c r="G7279" i="1"/>
  <c r="F7279" i="1"/>
  <c r="D7279" i="1"/>
  <c r="C7279" i="1"/>
  <c r="B7279" i="1"/>
  <c r="A7279" i="1"/>
  <c r="R7278" i="1"/>
  <c r="J7278" i="1"/>
  <c r="I7278" i="1"/>
  <c r="G7278" i="1"/>
  <c r="F7278" i="1"/>
  <c r="E7278" i="1"/>
  <c r="D7278" i="1"/>
  <c r="C7278" i="1"/>
  <c r="B7278" i="1"/>
  <c r="A7278" i="1"/>
  <c r="S7277" i="1"/>
  <c r="O7277" i="1"/>
  <c r="K7277" i="1"/>
  <c r="J7277" i="1"/>
  <c r="I7277" i="1"/>
  <c r="H7277" i="1"/>
  <c r="G7277" i="1"/>
  <c r="F7277" i="1"/>
  <c r="E7277" i="1"/>
  <c r="D7277" i="1"/>
  <c r="C7277" i="1"/>
  <c r="B7277" i="1"/>
  <c r="A7277" i="1"/>
  <c r="R7276" i="1"/>
  <c r="J7276" i="1"/>
  <c r="I7276" i="1"/>
  <c r="G7276" i="1"/>
  <c r="F7276" i="1"/>
  <c r="E7276" i="1"/>
  <c r="D7276" i="1"/>
  <c r="C7276" i="1"/>
  <c r="B7276" i="1"/>
  <c r="A7276" i="1"/>
  <c r="S7275" i="1"/>
  <c r="O7275" i="1"/>
  <c r="K7275" i="1"/>
  <c r="J7275" i="1"/>
  <c r="I7275" i="1"/>
  <c r="H7275" i="1"/>
  <c r="G7275" i="1"/>
  <c r="F7275" i="1"/>
  <c r="E7275" i="1"/>
  <c r="D7275" i="1"/>
  <c r="C7275" i="1"/>
  <c r="B7275" i="1"/>
  <c r="A7275" i="1"/>
  <c r="R7274" i="1"/>
  <c r="J7274" i="1"/>
  <c r="I7274" i="1"/>
  <c r="G7274" i="1"/>
  <c r="F7274" i="1"/>
  <c r="E7274" i="1"/>
  <c r="D7274" i="1"/>
  <c r="C7274" i="1"/>
  <c r="B7274" i="1"/>
  <c r="A7274" i="1"/>
  <c r="S7273" i="1"/>
  <c r="O7273" i="1"/>
  <c r="K7273" i="1"/>
  <c r="J7273" i="1"/>
  <c r="I7273" i="1"/>
  <c r="H7273" i="1"/>
  <c r="G7273" i="1"/>
  <c r="F7273" i="1"/>
  <c r="E7273" i="1"/>
  <c r="D7273" i="1"/>
  <c r="C7273" i="1"/>
  <c r="B7273" i="1"/>
  <c r="A7273" i="1"/>
  <c r="R7272" i="1"/>
  <c r="J7272" i="1"/>
  <c r="I7272" i="1"/>
  <c r="G7272" i="1"/>
  <c r="F7272" i="1"/>
  <c r="E7272" i="1"/>
  <c r="D7272" i="1"/>
  <c r="C7272" i="1"/>
  <c r="B7272" i="1"/>
  <c r="A7272" i="1"/>
  <c r="S7271" i="1"/>
  <c r="O7271" i="1"/>
  <c r="K7271" i="1"/>
  <c r="J7271" i="1"/>
  <c r="I7271" i="1"/>
  <c r="H7271" i="1"/>
  <c r="G7271" i="1"/>
  <c r="F7271" i="1"/>
  <c r="E7271" i="1"/>
  <c r="D7271" i="1"/>
  <c r="C7271" i="1"/>
  <c r="B7271" i="1"/>
  <c r="A7271" i="1"/>
  <c r="R7270" i="1"/>
  <c r="J7270" i="1"/>
  <c r="I7270" i="1"/>
  <c r="G7270" i="1"/>
  <c r="F7270" i="1"/>
  <c r="E7270" i="1"/>
  <c r="D7270" i="1"/>
  <c r="C7270" i="1"/>
  <c r="B7270" i="1"/>
  <c r="A7270" i="1"/>
  <c r="S7269" i="1"/>
  <c r="O7269" i="1"/>
  <c r="K7269" i="1"/>
  <c r="J7269" i="1"/>
  <c r="I7269" i="1"/>
  <c r="H7269" i="1"/>
  <c r="G7269" i="1"/>
  <c r="F7269" i="1"/>
  <c r="E7269" i="1"/>
  <c r="D7269" i="1"/>
  <c r="C7269" i="1"/>
  <c r="B7269" i="1"/>
  <c r="A7269" i="1"/>
  <c r="R7268" i="1"/>
  <c r="J7268" i="1"/>
  <c r="I7268" i="1"/>
  <c r="G7268" i="1"/>
  <c r="F7268" i="1"/>
  <c r="E7268" i="1"/>
  <c r="D7268" i="1"/>
  <c r="C7268" i="1"/>
  <c r="B7268" i="1"/>
  <c r="A7268" i="1"/>
  <c r="S7267" i="1"/>
  <c r="O7267" i="1"/>
  <c r="K7267" i="1"/>
  <c r="J7267" i="1"/>
  <c r="I7267" i="1"/>
  <c r="H7267" i="1"/>
  <c r="G7267" i="1"/>
  <c r="F7267" i="1"/>
  <c r="E7267" i="1"/>
  <c r="D7267" i="1"/>
  <c r="C7267" i="1"/>
  <c r="B7267" i="1"/>
  <c r="A7267" i="1"/>
  <c r="R7266" i="1"/>
  <c r="J7266" i="1"/>
  <c r="I7266" i="1"/>
  <c r="G7266" i="1"/>
  <c r="F7266" i="1"/>
  <c r="E7266" i="1"/>
  <c r="D7266" i="1"/>
  <c r="C7266" i="1"/>
  <c r="B7266" i="1"/>
  <c r="A7266" i="1"/>
  <c r="S7265" i="1"/>
  <c r="O7265" i="1"/>
  <c r="K7265" i="1"/>
  <c r="J7265" i="1"/>
  <c r="I7265" i="1"/>
  <c r="H7265" i="1"/>
  <c r="G7265" i="1"/>
  <c r="F7265" i="1"/>
  <c r="E7265" i="1"/>
  <c r="D7265" i="1"/>
  <c r="C7265" i="1"/>
  <c r="B7265" i="1"/>
  <c r="A7265" i="1"/>
  <c r="R7264" i="1"/>
  <c r="J7264" i="1"/>
  <c r="I7264" i="1"/>
  <c r="G7264" i="1"/>
  <c r="F7264" i="1"/>
  <c r="E7264" i="1"/>
  <c r="D7264" i="1"/>
  <c r="C7264" i="1"/>
  <c r="B7264" i="1"/>
  <c r="A7264" i="1"/>
  <c r="S7263" i="1"/>
  <c r="O7263" i="1"/>
  <c r="K7263" i="1"/>
  <c r="J7263" i="1"/>
  <c r="I7263" i="1"/>
  <c r="H7263" i="1"/>
  <c r="G7263" i="1"/>
  <c r="F7263" i="1"/>
  <c r="E7263" i="1"/>
  <c r="D7263" i="1"/>
  <c r="C7263" i="1"/>
  <c r="B7263" i="1"/>
  <c r="A7263" i="1"/>
  <c r="R7262" i="1"/>
  <c r="J7262" i="1"/>
  <c r="I7262" i="1"/>
  <c r="G7262" i="1"/>
  <c r="F7262" i="1"/>
  <c r="E7262" i="1"/>
  <c r="D7262" i="1"/>
  <c r="C7262" i="1"/>
  <c r="B7262" i="1"/>
  <c r="A7262" i="1"/>
  <c r="S7261" i="1"/>
  <c r="O7261" i="1"/>
  <c r="K7261" i="1"/>
  <c r="J7261" i="1"/>
  <c r="I7261" i="1"/>
  <c r="H7261" i="1"/>
  <c r="G7261" i="1"/>
  <c r="F7261" i="1"/>
  <c r="E7261" i="1"/>
  <c r="D7261" i="1"/>
  <c r="C7261" i="1"/>
  <c r="B7261" i="1"/>
  <c r="A7261" i="1"/>
  <c r="R7260" i="1"/>
  <c r="J7260" i="1"/>
  <c r="I7260" i="1"/>
  <c r="G7260" i="1"/>
  <c r="F7260" i="1"/>
  <c r="E7260" i="1"/>
  <c r="D7260" i="1"/>
  <c r="C7260" i="1"/>
  <c r="B7260" i="1"/>
  <c r="A7260" i="1"/>
  <c r="S7259" i="1"/>
  <c r="O7259" i="1"/>
  <c r="K7259" i="1"/>
  <c r="J7259" i="1"/>
  <c r="I7259" i="1"/>
  <c r="H7259" i="1"/>
  <c r="G7259" i="1"/>
  <c r="F7259" i="1"/>
  <c r="E7259" i="1"/>
  <c r="D7259" i="1"/>
  <c r="C7259" i="1"/>
  <c r="B7259" i="1"/>
  <c r="A7259" i="1"/>
  <c r="R7258" i="1"/>
  <c r="J7258" i="1"/>
  <c r="I7258" i="1"/>
  <c r="G7258" i="1"/>
  <c r="F7258" i="1"/>
  <c r="E7258" i="1"/>
  <c r="D7258" i="1"/>
  <c r="C7258" i="1"/>
  <c r="B7258" i="1"/>
  <c r="A7258" i="1"/>
  <c r="S7257" i="1"/>
  <c r="O7257" i="1"/>
  <c r="K7257" i="1"/>
  <c r="J7257" i="1"/>
  <c r="I7257" i="1"/>
  <c r="H7257" i="1"/>
  <c r="G7257" i="1"/>
  <c r="F7257" i="1"/>
  <c r="E7257" i="1"/>
  <c r="D7257" i="1"/>
  <c r="C7257" i="1"/>
  <c r="B7257" i="1"/>
  <c r="A7257" i="1"/>
  <c r="R7256" i="1"/>
  <c r="J7256" i="1"/>
  <c r="I7256" i="1"/>
  <c r="G7256" i="1"/>
  <c r="F7256" i="1"/>
  <c r="E7256" i="1"/>
  <c r="D7256" i="1"/>
  <c r="C7256" i="1"/>
  <c r="B7256" i="1"/>
  <c r="A7256" i="1"/>
  <c r="S7255" i="1"/>
  <c r="O7255" i="1"/>
  <c r="K7255" i="1"/>
  <c r="J7255" i="1"/>
  <c r="I7255" i="1"/>
  <c r="H7255" i="1"/>
  <c r="G7255" i="1"/>
  <c r="F7255" i="1"/>
  <c r="E7255" i="1"/>
  <c r="D7255" i="1"/>
  <c r="C7255" i="1"/>
  <c r="B7255" i="1"/>
  <c r="A7255" i="1"/>
  <c r="R7254" i="1"/>
  <c r="J7254" i="1"/>
  <c r="I7254" i="1"/>
  <c r="G7254" i="1"/>
  <c r="F7254" i="1"/>
  <c r="E7254" i="1"/>
  <c r="D7254" i="1"/>
  <c r="C7254" i="1"/>
  <c r="B7254" i="1"/>
  <c r="A7254" i="1"/>
  <c r="S7253" i="1"/>
  <c r="O7253" i="1"/>
  <c r="K7253" i="1"/>
  <c r="J7253" i="1"/>
  <c r="I7253" i="1"/>
  <c r="H7253" i="1"/>
  <c r="G7253" i="1"/>
  <c r="F7253" i="1"/>
  <c r="E7253" i="1"/>
  <c r="D7253" i="1"/>
  <c r="C7253" i="1"/>
  <c r="B7253" i="1"/>
  <c r="A7253" i="1"/>
  <c r="R7252" i="1"/>
  <c r="J7252" i="1"/>
  <c r="I7252" i="1"/>
  <c r="G7252" i="1"/>
  <c r="F7252" i="1"/>
  <c r="E7252" i="1"/>
  <c r="D7252" i="1"/>
  <c r="C7252" i="1"/>
  <c r="B7252" i="1"/>
  <c r="A7252" i="1"/>
  <c r="S7251" i="1"/>
  <c r="O7251" i="1"/>
  <c r="K7251" i="1"/>
  <c r="J7251" i="1"/>
  <c r="I7251" i="1"/>
  <c r="H7251" i="1"/>
  <c r="G7251" i="1"/>
  <c r="F7251" i="1"/>
  <c r="E7251" i="1"/>
  <c r="D7251" i="1"/>
  <c r="C7251" i="1"/>
  <c r="B7251" i="1"/>
  <c r="A7251" i="1"/>
  <c r="R7250" i="1"/>
  <c r="J7250" i="1"/>
  <c r="I7250" i="1"/>
  <c r="G7250" i="1"/>
  <c r="F7250" i="1"/>
  <c r="E7250" i="1"/>
  <c r="D7250" i="1"/>
  <c r="C7250" i="1"/>
  <c r="B7250" i="1"/>
  <c r="A7250" i="1"/>
  <c r="S7249" i="1"/>
  <c r="O7249" i="1"/>
  <c r="K7249" i="1"/>
  <c r="J7249" i="1"/>
  <c r="I7249" i="1"/>
  <c r="H7249" i="1"/>
  <c r="G7249" i="1"/>
  <c r="F7249" i="1"/>
  <c r="E7249" i="1"/>
  <c r="D7249" i="1"/>
  <c r="C7249" i="1"/>
  <c r="B7249" i="1"/>
  <c r="A7249" i="1"/>
  <c r="R7248" i="1"/>
  <c r="J7248" i="1"/>
  <c r="I7248" i="1"/>
  <c r="G7248" i="1"/>
  <c r="F7248" i="1"/>
  <c r="E7248" i="1"/>
  <c r="D7248" i="1"/>
  <c r="C7248" i="1"/>
  <c r="B7248" i="1"/>
  <c r="A7248" i="1"/>
  <c r="S7247" i="1"/>
  <c r="O7247" i="1"/>
  <c r="K7247" i="1"/>
  <c r="J7247" i="1"/>
  <c r="I7247" i="1"/>
  <c r="H7247" i="1"/>
  <c r="G7247" i="1"/>
  <c r="F7247" i="1"/>
  <c r="E7247" i="1"/>
  <c r="D7247" i="1"/>
  <c r="C7247" i="1"/>
  <c r="B7247" i="1"/>
  <c r="A7247" i="1"/>
  <c r="R7246" i="1"/>
  <c r="J7246" i="1"/>
  <c r="I7246" i="1"/>
  <c r="G7246" i="1"/>
  <c r="F7246" i="1"/>
  <c r="E7246" i="1"/>
  <c r="D7246" i="1"/>
  <c r="C7246" i="1"/>
  <c r="B7246" i="1"/>
  <c r="A7246" i="1"/>
  <c r="S7245" i="1"/>
  <c r="O7245" i="1"/>
  <c r="K7245" i="1"/>
  <c r="J7245" i="1"/>
  <c r="I7245" i="1"/>
  <c r="H7245" i="1"/>
  <c r="G7245" i="1"/>
  <c r="F7245" i="1"/>
  <c r="E7245" i="1"/>
  <c r="D7245" i="1"/>
  <c r="C7245" i="1"/>
  <c r="B7245" i="1"/>
  <c r="A7245" i="1"/>
  <c r="R7244" i="1"/>
  <c r="J7244" i="1"/>
  <c r="I7244" i="1"/>
  <c r="G7244" i="1"/>
  <c r="F7244" i="1"/>
  <c r="E7244" i="1"/>
  <c r="D7244" i="1"/>
  <c r="C7244" i="1"/>
  <c r="B7244" i="1"/>
  <c r="A7244" i="1"/>
  <c r="S7243" i="1"/>
  <c r="O7243" i="1"/>
  <c r="K7243" i="1"/>
  <c r="J7243" i="1"/>
  <c r="I7243" i="1"/>
  <c r="H7243" i="1"/>
  <c r="G7243" i="1"/>
  <c r="F7243" i="1"/>
  <c r="E7243" i="1"/>
  <c r="D7243" i="1"/>
  <c r="C7243" i="1"/>
  <c r="B7243" i="1"/>
  <c r="A7243" i="1"/>
  <c r="R7242" i="1"/>
  <c r="J7242" i="1"/>
  <c r="I7242" i="1"/>
  <c r="G7242" i="1"/>
  <c r="F7242" i="1"/>
  <c r="E7242" i="1"/>
  <c r="D7242" i="1"/>
  <c r="C7242" i="1"/>
  <c r="B7242" i="1"/>
  <c r="A7242" i="1"/>
  <c r="S7241" i="1"/>
  <c r="O7241" i="1"/>
  <c r="K7241" i="1"/>
  <c r="J7241" i="1"/>
  <c r="I7241" i="1"/>
  <c r="H7241" i="1"/>
  <c r="G7241" i="1"/>
  <c r="F7241" i="1"/>
  <c r="E7241" i="1"/>
  <c r="D7241" i="1"/>
  <c r="C7241" i="1"/>
  <c r="B7241" i="1"/>
  <c r="A7241" i="1"/>
  <c r="R7240" i="1"/>
  <c r="J7240" i="1"/>
  <c r="I7240" i="1"/>
  <c r="G7240" i="1"/>
  <c r="F7240" i="1"/>
  <c r="E7240" i="1"/>
  <c r="D7240" i="1"/>
  <c r="C7240" i="1"/>
  <c r="B7240" i="1"/>
  <c r="A7240" i="1"/>
  <c r="S7239" i="1"/>
  <c r="O7239" i="1"/>
  <c r="K7239" i="1"/>
  <c r="J7239" i="1"/>
  <c r="I7239" i="1"/>
  <c r="H7239" i="1"/>
  <c r="G7239" i="1"/>
  <c r="F7239" i="1"/>
  <c r="E7239" i="1"/>
  <c r="D7239" i="1"/>
  <c r="C7239" i="1"/>
  <c r="B7239" i="1"/>
  <c r="A7239" i="1"/>
  <c r="R7238" i="1"/>
  <c r="J7238" i="1"/>
  <c r="I7238" i="1"/>
  <c r="G7238" i="1"/>
  <c r="F7238" i="1"/>
  <c r="E7238" i="1"/>
  <c r="D7238" i="1"/>
  <c r="C7238" i="1"/>
  <c r="B7238" i="1"/>
  <c r="A7238" i="1"/>
  <c r="S7237" i="1"/>
  <c r="O7237" i="1"/>
  <c r="K7237" i="1"/>
  <c r="J7237" i="1"/>
  <c r="I7237" i="1"/>
  <c r="H7237" i="1"/>
  <c r="G7237" i="1"/>
  <c r="F7237" i="1"/>
  <c r="E7237" i="1"/>
  <c r="D7237" i="1"/>
  <c r="C7237" i="1"/>
  <c r="B7237" i="1"/>
  <c r="A7237" i="1"/>
  <c r="R7236" i="1"/>
  <c r="J7236" i="1"/>
  <c r="I7236" i="1"/>
  <c r="G7236" i="1"/>
  <c r="F7236" i="1"/>
  <c r="E7236" i="1"/>
  <c r="D7236" i="1"/>
  <c r="C7236" i="1"/>
  <c r="B7236" i="1"/>
  <c r="A7236" i="1"/>
  <c r="S7235" i="1"/>
  <c r="O7235" i="1"/>
  <c r="K7235" i="1"/>
  <c r="J7235" i="1"/>
  <c r="I7235" i="1"/>
  <c r="H7235" i="1"/>
  <c r="G7235" i="1"/>
  <c r="F7235" i="1"/>
  <c r="E7235" i="1"/>
  <c r="D7235" i="1"/>
  <c r="C7235" i="1"/>
  <c r="B7235" i="1"/>
  <c r="A7235" i="1"/>
  <c r="R7234" i="1"/>
  <c r="J7234" i="1"/>
  <c r="I7234" i="1"/>
  <c r="G7234" i="1"/>
  <c r="F7234" i="1"/>
  <c r="E7234" i="1"/>
  <c r="D7234" i="1"/>
  <c r="C7234" i="1"/>
  <c r="B7234" i="1"/>
  <c r="A7234" i="1"/>
  <c r="S7233" i="1"/>
  <c r="O7233" i="1"/>
  <c r="K7233" i="1"/>
  <c r="J7233" i="1"/>
  <c r="I7233" i="1"/>
  <c r="H7233" i="1"/>
  <c r="G7233" i="1"/>
  <c r="F7233" i="1"/>
  <c r="E7233" i="1"/>
  <c r="D7233" i="1"/>
  <c r="C7233" i="1"/>
  <c r="B7233" i="1"/>
  <c r="A7233" i="1"/>
  <c r="R7232" i="1"/>
  <c r="J7232" i="1"/>
  <c r="I7232" i="1"/>
  <c r="G7232" i="1"/>
  <c r="F7232" i="1"/>
  <c r="E7232" i="1"/>
  <c r="D7232" i="1"/>
  <c r="C7232" i="1"/>
  <c r="B7232" i="1"/>
  <c r="A7232" i="1"/>
  <c r="S7231" i="1"/>
  <c r="O7231" i="1"/>
  <c r="K7231" i="1"/>
  <c r="J7231" i="1"/>
  <c r="I7231" i="1"/>
  <c r="H7231" i="1"/>
  <c r="G7231" i="1"/>
  <c r="F7231" i="1"/>
  <c r="E7231" i="1"/>
  <c r="D7231" i="1"/>
  <c r="C7231" i="1"/>
  <c r="B7231" i="1"/>
  <c r="A7231" i="1"/>
  <c r="R7230" i="1"/>
  <c r="J7230" i="1"/>
  <c r="I7230" i="1"/>
  <c r="G7230" i="1"/>
  <c r="F7230" i="1"/>
  <c r="E7230" i="1"/>
  <c r="D7230" i="1"/>
  <c r="C7230" i="1"/>
  <c r="B7230" i="1"/>
  <c r="A7230" i="1"/>
  <c r="S7229" i="1"/>
  <c r="O7229" i="1"/>
  <c r="K7229" i="1"/>
  <c r="J7229" i="1"/>
  <c r="I7229" i="1"/>
  <c r="H7229" i="1"/>
  <c r="G7229" i="1"/>
  <c r="F7229" i="1"/>
  <c r="E7229" i="1"/>
  <c r="D7229" i="1"/>
  <c r="C7229" i="1"/>
  <c r="B7229" i="1"/>
  <c r="A7229" i="1"/>
  <c r="R7228" i="1"/>
  <c r="J7228" i="1"/>
  <c r="I7228" i="1"/>
  <c r="G7228" i="1"/>
  <c r="F7228" i="1"/>
  <c r="E7228" i="1"/>
  <c r="D7228" i="1"/>
  <c r="C7228" i="1"/>
  <c r="B7228" i="1"/>
  <c r="A7228" i="1"/>
  <c r="S7227" i="1"/>
  <c r="O7227" i="1"/>
  <c r="K7227" i="1"/>
  <c r="J7227" i="1"/>
  <c r="I7227" i="1"/>
  <c r="H7227" i="1"/>
  <c r="G7227" i="1"/>
  <c r="F7227" i="1"/>
  <c r="E7227" i="1"/>
  <c r="D7227" i="1"/>
  <c r="C7227" i="1"/>
  <c r="B7227" i="1"/>
  <c r="A7227" i="1"/>
  <c r="R7226" i="1"/>
  <c r="J7226" i="1"/>
  <c r="I7226" i="1"/>
  <c r="G7226" i="1"/>
  <c r="F7226" i="1"/>
  <c r="E7226" i="1"/>
  <c r="D7226" i="1"/>
  <c r="C7226" i="1"/>
  <c r="B7226" i="1"/>
  <c r="A7226" i="1"/>
  <c r="S7225" i="1"/>
  <c r="O7225" i="1"/>
  <c r="K7225" i="1"/>
  <c r="J7225" i="1"/>
  <c r="I7225" i="1"/>
  <c r="H7225" i="1"/>
  <c r="G7225" i="1"/>
  <c r="F7225" i="1"/>
  <c r="E7225" i="1"/>
  <c r="D7225" i="1"/>
  <c r="C7225" i="1"/>
  <c r="B7225" i="1"/>
  <c r="A7225" i="1"/>
  <c r="R7224" i="1"/>
  <c r="J7224" i="1"/>
  <c r="I7224" i="1"/>
  <c r="G7224" i="1"/>
  <c r="F7224" i="1"/>
  <c r="E7224" i="1"/>
  <c r="D7224" i="1"/>
  <c r="C7224" i="1"/>
  <c r="B7224" i="1"/>
  <c r="A7224" i="1"/>
  <c r="S7223" i="1"/>
  <c r="O7223" i="1"/>
  <c r="K7223" i="1"/>
  <c r="J7223" i="1"/>
  <c r="I7223" i="1"/>
  <c r="H7223" i="1"/>
  <c r="G7223" i="1"/>
  <c r="F7223" i="1"/>
  <c r="E7223" i="1"/>
  <c r="D7223" i="1"/>
  <c r="C7223" i="1"/>
  <c r="B7223" i="1"/>
  <c r="A7223" i="1"/>
  <c r="R7222" i="1"/>
  <c r="J7222" i="1"/>
  <c r="I7222" i="1"/>
  <c r="G7222" i="1"/>
  <c r="F7222" i="1"/>
  <c r="E7222" i="1"/>
  <c r="D7222" i="1"/>
  <c r="C7222" i="1"/>
  <c r="B7222" i="1"/>
  <c r="A7222" i="1"/>
  <c r="S7221" i="1"/>
  <c r="O7221" i="1"/>
  <c r="K7221" i="1"/>
  <c r="J7221" i="1"/>
  <c r="I7221" i="1"/>
  <c r="H7221" i="1"/>
  <c r="G7221" i="1"/>
  <c r="F7221" i="1"/>
  <c r="E7221" i="1"/>
  <c r="D7221" i="1"/>
  <c r="C7221" i="1"/>
  <c r="B7221" i="1"/>
  <c r="A7221" i="1"/>
  <c r="R7220" i="1"/>
  <c r="J7220" i="1"/>
  <c r="I7220" i="1"/>
  <c r="G7220" i="1"/>
  <c r="F7220" i="1"/>
  <c r="E7220" i="1"/>
  <c r="D7220" i="1"/>
  <c r="C7220" i="1"/>
  <c r="B7220" i="1"/>
  <c r="A7220" i="1"/>
  <c r="S7219" i="1"/>
  <c r="O7219" i="1"/>
  <c r="K7219" i="1"/>
  <c r="J7219" i="1"/>
  <c r="I7219" i="1"/>
  <c r="H7219" i="1"/>
  <c r="G7219" i="1"/>
  <c r="F7219" i="1"/>
  <c r="E7219" i="1"/>
  <c r="D7219" i="1"/>
  <c r="C7219" i="1"/>
  <c r="B7219" i="1"/>
  <c r="A7219" i="1"/>
  <c r="R7218" i="1"/>
  <c r="J7218" i="1"/>
  <c r="I7218" i="1"/>
  <c r="G7218" i="1"/>
  <c r="F7218" i="1"/>
  <c r="E7218" i="1"/>
  <c r="D7218" i="1"/>
  <c r="C7218" i="1"/>
  <c r="B7218" i="1"/>
  <c r="A7218" i="1"/>
  <c r="S7217" i="1"/>
  <c r="O7217" i="1"/>
  <c r="K7217" i="1"/>
  <c r="J7217" i="1"/>
  <c r="I7217" i="1"/>
  <c r="H7217" i="1"/>
  <c r="G7217" i="1"/>
  <c r="F7217" i="1"/>
  <c r="E7217" i="1"/>
  <c r="D7217" i="1"/>
  <c r="C7217" i="1"/>
  <c r="B7217" i="1"/>
  <c r="A7217" i="1"/>
  <c r="R7216" i="1"/>
  <c r="J7216" i="1"/>
  <c r="I7216" i="1"/>
  <c r="G7216" i="1"/>
  <c r="F7216" i="1"/>
  <c r="E7216" i="1"/>
  <c r="D7216" i="1"/>
  <c r="C7216" i="1"/>
  <c r="B7216" i="1"/>
  <c r="A7216" i="1"/>
  <c r="S7215" i="1"/>
  <c r="O7215" i="1"/>
  <c r="K7215" i="1"/>
  <c r="J7215" i="1"/>
  <c r="I7215" i="1"/>
  <c r="H7215" i="1"/>
  <c r="G7215" i="1"/>
  <c r="F7215" i="1"/>
  <c r="E7215" i="1"/>
  <c r="D7215" i="1"/>
  <c r="C7215" i="1"/>
  <c r="B7215" i="1"/>
  <c r="A7215" i="1"/>
  <c r="R7214" i="1"/>
  <c r="J7214" i="1"/>
  <c r="I7214" i="1"/>
  <c r="G7214" i="1"/>
  <c r="F7214" i="1"/>
  <c r="E7214" i="1"/>
  <c r="D7214" i="1"/>
  <c r="C7214" i="1"/>
  <c r="B7214" i="1"/>
  <c r="A7214" i="1"/>
  <c r="S7213" i="1"/>
  <c r="O7213" i="1"/>
  <c r="K7213" i="1"/>
  <c r="J7213" i="1"/>
  <c r="I7213" i="1"/>
  <c r="H7213" i="1"/>
  <c r="G7213" i="1"/>
  <c r="F7213" i="1"/>
  <c r="E7213" i="1"/>
  <c r="D7213" i="1"/>
  <c r="C7213" i="1"/>
  <c r="B7213" i="1"/>
  <c r="A7213" i="1"/>
  <c r="R7212" i="1"/>
  <c r="J7212" i="1"/>
  <c r="I7212" i="1"/>
  <c r="G7212" i="1"/>
  <c r="F7212" i="1"/>
  <c r="E7212" i="1"/>
  <c r="D7212" i="1"/>
  <c r="C7212" i="1"/>
  <c r="B7212" i="1"/>
  <c r="A7212" i="1"/>
  <c r="S7211" i="1"/>
  <c r="O7211" i="1"/>
  <c r="K7211" i="1"/>
  <c r="J7211" i="1"/>
  <c r="I7211" i="1"/>
  <c r="H7211" i="1"/>
  <c r="G7211" i="1"/>
  <c r="F7211" i="1"/>
  <c r="E7211" i="1"/>
  <c r="D7211" i="1"/>
  <c r="C7211" i="1"/>
  <c r="B7211" i="1"/>
  <c r="A7211" i="1"/>
  <c r="R7210" i="1"/>
  <c r="J7210" i="1"/>
  <c r="I7210" i="1"/>
  <c r="G7210" i="1"/>
  <c r="F7210" i="1"/>
  <c r="E7210" i="1"/>
  <c r="D7210" i="1"/>
  <c r="C7210" i="1"/>
  <c r="B7210" i="1"/>
  <c r="A7210" i="1"/>
  <c r="S7209" i="1"/>
  <c r="O7209" i="1"/>
  <c r="K7209" i="1"/>
  <c r="J7209" i="1"/>
  <c r="I7209" i="1"/>
  <c r="H7209" i="1"/>
  <c r="G7209" i="1"/>
  <c r="F7209" i="1"/>
  <c r="E7209" i="1"/>
  <c r="D7209" i="1"/>
  <c r="C7209" i="1"/>
  <c r="B7209" i="1"/>
  <c r="A7209" i="1"/>
  <c r="R7208" i="1"/>
  <c r="J7208" i="1"/>
  <c r="I7208" i="1"/>
  <c r="G7208" i="1"/>
  <c r="F7208" i="1"/>
  <c r="E7208" i="1"/>
  <c r="D7208" i="1"/>
  <c r="C7208" i="1"/>
  <c r="B7208" i="1"/>
  <c r="A7208" i="1"/>
  <c r="S7207" i="1"/>
  <c r="O7207" i="1"/>
  <c r="K7207" i="1"/>
  <c r="J7207" i="1"/>
  <c r="I7207" i="1"/>
  <c r="H7207" i="1"/>
  <c r="G7207" i="1"/>
  <c r="F7207" i="1"/>
  <c r="E7207" i="1"/>
  <c r="D7207" i="1"/>
  <c r="C7207" i="1"/>
  <c r="B7207" i="1"/>
  <c r="A7207" i="1"/>
  <c r="R7206" i="1"/>
  <c r="J7206" i="1"/>
  <c r="I7206" i="1"/>
  <c r="G7206" i="1"/>
  <c r="F7206" i="1"/>
  <c r="E7206" i="1"/>
  <c r="D7206" i="1"/>
  <c r="C7206" i="1"/>
  <c r="B7206" i="1"/>
  <c r="A7206" i="1"/>
  <c r="R7205" i="1"/>
  <c r="J7205" i="1"/>
  <c r="I7205" i="1"/>
  <c r="G7205" i="1"/>
  <c r="F7205" i="1"/>
  <c r="E7205" i="1"/>
  <c r="D7205" i="1"/>
  <c r="C7205" i="1"/>
  <c r="B7205" i="1"/>
  <c r="A7205" i="1"/>
  <c r="S7204" i="1"/>
  <c r="O7204" i="1"/>
  <c r="K7204" i="1"/>
  <c r="J7204" i="1"/>
  <c r="I7204" i="1"/>
  <c r="H7204" i="1"/>
  <c r="G7204" i="1"/>
  <c r="F7204" i="1"/>
  <c r="E7204" i="1"/>
  <c r="D7204" i="1"/>
  <c r="C7204" i="1"/>
  <c r="B7204" i="1"/>
  <c r="A7204" i="1"/>
  <c r="R7203" i="1"/>
  <c r="J7203" i="1"/>
  <c r="I7203" i="1"/>
  <c r="G7203" i="1"/>
  <c r="F7203" i="1"/>
  <c r="E7203" i="1"/>
  <c r="D7203" i="1"/>
  <c r="C7203" i="1"/>
  <c r="B7203" i="1"/>
  <c r="A7203" i="1"/>
  <c r="S7202" i="1"/>
  <c r="O7202" i="1"/>
  <c r="K7202" i="1"/>
  <c r="J7202" i="1"/>
  <c r="I7202" i="1"/>
  <c r="H7202" i="1"/>
  <c r="G7202" i="1"/>
  <c r="F7202" i="1"/>
  <c r="E7202" i="1"/>
  <c r="D7202" i="1"/>
  <c r="C7202" i="1"/>
  <c r="B7202" i="1"/>
  <c r="A7202" i="1"/>
  <c r="R7201" i="1"/>
  <c r="J7201" i="1"/>
  <c r="I7201" i="1"/>
  <c r="G7201" i="1"/>
  <c r="F7201" i="1"/>
  <c r="E7201" i="1"/>
  <c r="D7201" i="1"/>
  <c r="C7201" i="1"/>
  <c r="B7201" i="1"/>
  <c r="A7201" i="1"/>
  <c r="S7200" i="1"/>
  <c r="O7200" i="1"/>
  <c r="K7200" i="1"/>
  <c r="J7200" i="1"/>
  <c r="I7200" i="1"/>
  <c r="H7200" i="1"/>
  <c r="G7200" i="1"/>
  <c r="F7200" i="1"/>
  <c r="E7200" i="1"/>
  <c r="D7200" i="1"/>
  <c r="C7200" i="1"/>
  <c r="B7200" i="1"/>
  <c r="A7200" i="1"/>
  <c r="R7199" i="1"/>
  <c r="J7199" i="1"/>
  <c r="I7199" i="1"/>
  <c r="G7199" i="1"/>
  <c r="F7199" i="1"/>
  <c r="E7199" i="1"/>
  <c r="D7199" i="1"/>
  <c r="C7199" i="1"/>
  <c r="B7199" i="1"/>
  <c r="A7199" i="1"/>
  <c r="S7198" i="1"/>
  <c r="O7198" i="1"/>
  <c r="K7198" i="1"/>
  <c r="J7198" i="1"/>
  <c r="I7198" i="1"/>
  <c r="H7198" i="1"/>
  <c r="G7198" i="1"/>
  <c r="F7198" i="1"/>
  <c r="E7198" i="1"/>
  <c r="D7198" i="1"/>
  <c r="C7198" i="1"/>
  <c r="B7198" i="1"/>
  <c r="A7198" i="1"/>
  <c r="R7197" i="1"/>
  <c r="J7197" i="1"/>
  <c r="I7197" i="1"/>
  <c r="G7197" i="1"/>
  <c r="F7197" i="1"/>
  <c r="E7197" i="1"/>
  <c r="D7197" i="1"/>
  <c r="C7197" i="1"/>
  <c r="B7197" i="1"/>
  <c r="A7197" i="1"/>
  <c r="S7196" i="1"/>
  <c r="O7196" i="1"/>
  <c r="K7196" i="1"/>
  <c r="J7196" i="1"/>
  <c r="I7196" i="1"/>
  <c r="H7196" i="1"/>
  <c r="G7196" i="1"/>
  <c r="F7196" i="1"/>
  <c r="E7196" i="1"/>
  <c r="D7196" i="1"/>
  <c r="C7196" i="1"/>
  <c r="B7196" i="1"/>
  <c r="A7196" i="1"/>
  <c r="R7195" i="1"/>
  <c r="J7195" i="1"/>
  <c r="I7195" i="1"/>
  <c r="G7195" i="1"/>
  <c r="F7195" i="1"/>
  <c r="E7195" i="1"/>
  <c r="D7195" i="1"/>
  <c r="C7195" i="1"/>
  <c r="B7195" i="1"/>
  <c r="A7195" i="1"/>
  <c r="S7194" i="1"/>
  <c r="O7194" i="1"/>
  <c r="K7194" i="1"/>
  <c r="J7194" i="1"/>
  <c r="I7194" i="1"/>
  <c r="H7194" i="1"/>
  <c r="G7194" i="1"/>
  <c r="F7194" i="1"/>
  <c r="E7194" i="1"/>
  <c r="D7194" i="1"/>
  <c r="C7194" i="1"/>
  <c r="B7194" i="1"/>
  <c r="A7194" i="1"/>
  <c r="R7193" i="1"/>
  <c r="J7193" i="1"/>
  <c r="I7193" i="1"/>
  <c r="G7193" i="1"/>
  <c r="F7193" i="1"/>
  <c r="E7193" i="1"/>
  <c r="D7193" i="1"/>
  <c r="C7193" i="1"/>
  <c r="B7193" i="1"/>
  <c r="A7193" i="1"/>
  <c r="S7192" i="1"/>
  <c r="O7192" i="1"/>
  <c r="K7192" i="1"/>
  <c r="J7192" i="1"/>
  <c r="I7192" i="1"/>
  <c r="H7192" i="1"/>
  <c r="G7192" i="1"/>
  <c r="F7192" i="1"/>
  <c r="E7192" i="1"/>
  <c r="D7192" i="1"/>
  <c r="C7192" i="1"/>
  <c r="B7192" i="1"/>
  <c r="A7192" i="1"/>
  <c r="R7191" i="1"/>
  <c r="J7191" i="1"/>
  <c r="I7191" i="1"/>
  <c r="G7191" i="1"/>
  <c r="F7191" i="1"/>
  <c r="E7191" i="1"/>
  <c r="D7191" i="1"/>
  <c r="C7191" i="1"/>
  <c r="B7191" i="1"/>
  <c r="A7191" i="1"/>
  <c r="S7190" i="1"/>
  <c r="O7190" i="1"/>
  <c r="K7190" i="1"/>
  <c r="J7190" i="1"/>
  <c r="I7190" i="1"/>
  <c r="H7190" i="1"/>
  <c r="G7190" i="1"/>
  <c r="F7190" i="1"/>
  <c r="E7190" i="1"/>
  <c r="D7190" i="1"/>
  <c r="C7190" i="1"/>
  <c r="B7190" i="1"/>
  <c r="A7190" i="1"/>
  <c r="R7189" i="1"/>
  <c r="J7189" i="1"/>
  <c r="I7189" i="1"/>
  <c r="G7189" i="1"/>
  <c r="F7189" i="1"/>
  <c r="E7189" i="1"/>
  <c r="D7189" i="1"/>
  <c r="C7189" i="1"/>
  <c r="B7189" i="1"/>
  <c r="A7189" i="1"/>
  <c r="S7188" i="1"/>
  <c r="O7188" i="1"/>
  <c r="K7188" i="1"/>
  <c r="J7188" i="1"/>
  <c r="I7188" i="1"/>
  <c r="H7188" i="1"/>
  <c r="G7188" i="1"/>
  <c r="F7188" i="1"/>
  <c r="E7188" i="1"/>
  <c r="D7188" i="1"/>
  <c r="C7188" i="1"/>
  <c r="B7188" i="1"/>
  <c r="A7188" i="1"/>
  <c r="R7187" i="1"/>
  <c r="J7187" i="1"/>
  <c r="I7187" i="1"/>
  <c r="G7187" i="1"/>
  <c r="F7187" i="1"/>
  <c r="E7187" i="1"/>
  <c r="D7187" i="1"/>
  <c r="C7187" i="1"/>
  <c r="B7187" i="1"/>
  <c r="A7187" i="1"/>
  <c r="S7186" i="1"/>
  <c r="O7186" i="1"/>
  <c r="K7186" i="1"/>
  <c r="J7186" i="1"/>
  <c r="I7186" i="1"/>
  <c r="H7186" i="1"/>
  <c r="G7186" i="1"/>
  <c r="F7186" i="1"/>
  <c r="E7186" i="1"/>
  <c r="D7186" i="1"/>
  <c r="C7186" i="1"/>
  <c r="B7186" i="1"/>
  <c r="A7186" i="1"/>
  <c r="R7185" i="1"/>
  <c r="J7185" i="1"/>
  <c r="I7185" i="1"/>
  <c r="G7185" i="1"/>
  <c r="F7185" i="1"/>
  <c r="E7185" i="1"/>
  <c r="D7185" i="1"/>
  <c r="C7185" i="1"/>
  <c r="B7185" i="1"/>
  <c r="A7185" i="1"/>
  <c r="S7184" i="1"/>
  <c r="O7184" i="1"/>
  <c r="K7184" i="1"/>
  <c r="J7184" i="1"/>
  <c r="I7184" i="1"/>
  <c r="H7184" i="1"/>
  <c r="G7184" i="1"/>
  <c r="F7184" i="1"/>
  <c r="E7184" i="1"/>
  <c r="D7184" i="1"/>
  <c r="C7184" i="1"/>
  <c r="B7184" i="1"/>
  <c r="A7184" i="1"/>
  <c r="R7183" i="1"/>
  <c r="J7183" i="1"/>
  <c r="I7183" i="1"/>
  <c r="G7183" i="1"/>
  <c r="F7183" i="1"/>
  <c r="E7183" i="1"/>
  <c r="D7183" i="1"/>
  <c r="C7183" i="1"/>
  <c r="B7183" i="1"/>
  <c r="A7183" i="1"/>
  <c r="S7182" i="1"/>
  <c r="O7182" i="1"/>
  <c r="K7182" i="1"/>
  <c r="J7182" i="1"/>
  <c r="I7182" i="1"/>
  <c r="H7182" i="1"/>
  <c r="G7182" i="1"/>
  <c r="F7182" i="1"/>
  <c r="E7182" i="1"/>
  <c r="D7182" i="1"/>
  <c r="C7182" i="1"/>
  <c r="B7182" i="1"/>
  <c r="A7182" i="1"/>
  <c r="R7181" i="1"/>
  <c r="J7181" i="1"/>
  <c r="I7181" i="1"/>
  <c r="G7181" i="1"/>
  <c r="F7181" i="1"/>
  <c r="E7181" i="1"/>
  <c r="D7181" i="1"/>
  <c r="C7181" i="1"/>
  <c r="B7181" i="1"/>
  <c r="A7181" i="1"/>
  <c r="S7180" i="1"/>
  <c r="O7180" i="1"/>
  <c r="K7180" i="1"/>
  <c r="J7180" i="1"/>
  <c r="I7180" i="1"/>
  <c r="H7180" i="1"/>
  <c r="G7180" i="1"/>
  <c r="F7180" i="1"/>
  <c r="E7180" i="1"/>
  <c r="D7180" i="1"/>
  <c r="C7180" i="1"/>
  <c r="B7180" i="1"/>
  <c r="A7180" i="1"/>
  <c r="R7179" i="1"/>
  <c r="J7179" i="1"/>
  <c r="I7179" i="1"/>
  <c r="G7179" i="1"/>
  <c r="F7179" i="1"/>
  <c r="E7179" i="1"/>
  <c r="D7179" i="1"/>
  <c r="C7179" i="1"/>
  <c r="B7179" i="1"/>
  <c r="A7179" i="1"/>
  <c r="S7178" i="1"/>
  <c r="O7178" i="1"/>
  <c r="K7178" i="1"/>
  <c r="J7178" i="1"/>
  <c r="I7178" i="1"/>
  <c r="H7178" i="1"/>
  <c r="G7178" i="1"/>
  <c r="F7178" i="1"/>
  <c r="E7178" i="1"/>
  <c r="D7178" i="1"/>
  <c r="C7178" i="1"/>
  <c r="B7178" i="1"/>
  <c r="A7178" i="1"/>
  <c r="R7177" i="1"/>
  <c r="J7177" i="1"/>
  <c r="I7177" i="1"/>
  <c r="G7177" i="1"/>
  <c r="F7177" i="1"/>
  <c r="E7177" i="1"/>
  <c r="D7177" i="1"/>
  <c r="C7177" i="1"/>
  <c r="B7177" i="1"/>
  <c r="A7177" i="1"/>
  <c r="S7176" i="1"/>
  <c r="O7176" i="1"/>
  <c r="K7176" i="1"/>
  <c r="J7176" i="1"/>
  <c r="I7176" i="1"/>
  <c r="H7176" i="1"/>
  <c r="G7176" i="1"/>
  <c r="F7176" i="1"/>
  <c r="E7176" i="1"/>
  <c r="D7176" i="1"/>
  <c r="C7176" i="1"/>
  <c r="B7176" i="1"/>
  <c r="A7176" i="1"/>
  <c r="R7175" i="1"/>
  <c r="J7175" i="1"/>
  <c r="I7175" i="1"/>
  <c r="G7175" i="1"/>
  <c r="F7175" i="1"/>
  <c r="E7175" i="1"/>
  <c r="D7175" i="1"/>
  <c r="C7175" i="1"/>
  <c r="B7175" i="1"/>
  <c r="A7175" i="1"/>
  <c r="S7174" i="1"/>
  <c r="O7174" i="1"/>
  <c r="K7174" i="1"/>
  <c r="J7174" i="1"/>
  <c r="I7174" i="1"/>
  <c r="H7174" i="1"/>
  <c r="G7174" i="1"/>
  <c r="F7174" i="1"/>
  <c r="E7174" i="1"/>
  <c r="D7174" i="1"/>
  <c r="C7174" i="1"/>
  <c r="B7174" i="1"/>
  <c r="A7174" i="1"/>
  <c r="R7173" i="1"/>
  <c r="J7173" i="1"/>
  <c r="I7173" i="1"/>
  <c r="G7173" i="1"/>
  <c r="F7173" i="1"/>
  <c r="E7173" i="1"/>
  <c r="D7173" i="1"/>
  <c r="C7173" i="1"/>
  <c r="B7173" i="1"/>
  <c r="A7173" i="1"/>
  <c r="S7172" i="1"/>
  <c r="O7172" i="1"/>
  <c r="K7172" i="1"/>
  <c r="J7172" i="1"/>
  <c r="I7172" i="1"/>
  <c r="H7172" i="1"/>
  <c r="G7172" i="1"/>
  <c r="F7172" i="1"/>
  <c r="E7172" i="1"/>
  <c r="D7172" i="1"/>
  <c r="C7172" i="1"/>
  <c r="B7172" i="1"/>
  <c r="A7172" i="1"/>
  <c r="R7171" i="1"/>
  <c r="J7171" i="1"/>
  <c r="I7171" i="1"/>
  <c r="G7171" i="1"/>
  <c r="F7171" i="1"/>
  <c r="E7171" i="1"/>
  <c r="D7171" i="1"/>
  <c r="C7171" i="1"/>
  <c r="B7171" i="1"/>
  <c r="A7171" i="1"/>
  <c r="S7170" i="1"/>
  <c r="O7170" i="1"/>
  <c r="K7170" i="1"/>
  <c r="J7170" i="1"/>
  <c r="I7170" i="1"/>
  <c r="H7170" i="1"/>
  <c r="G7170" i="1"/>
  <c r="F7170" i="1"/>
  <c r="E7170" i="1"/>
  <c r="D7170" i="1"/>
  <c r="C7170" i="1"/>
  <c r="B7170" i="1"/>
  <c r="A7170" i="1"/>
  <c r="R7169" i="1"/>
  <c r="J7169" i="1"/>
  <c r="I7169" i="1"/>
  <c r="G7169" i="1"/>
  <c r="F7169" i="1"/>
  <c r="E7169" i="1"/>
  <c r="D7169" i="1"/>
  <c r="C7169" i="1"/>
  <c r="B7169" i="1"/>
  <c r="A7169" i="1"/>
  <c r="R7168" i="1"/>
  <c r="J7168" i="1"/>
  <c r="I7168" i="1"/>
  <c r="G7168" i="1"/>
  <c r="F7168" i="1"/>
  <c r="E7168" i="1"/>
  <c r="D7168" i="1"/>
  <c r="C7168" i="1"/>
  <c r="B7168" i="1"/>
  <c r="A7168" i="1"/>
  <c r="S7167" i="1"/>
  <c r="O7167" i="1"/>
  <c r="K7167" i="1"/>
  <c r="J7167" i="1"/>
  <c r="I7167" i="1"/>
  <c r="H7167" i="1"/>
  <c r="G7167" i="1"/>
  <c r="F7167" i="1"/>
  <c r="E7167" i="1"/>
  <c r="D7167" i="1"/>
  <c r="C7167" i="1"/>
  <c r="B7167" i="1"/>
  <c r="A7167" i="1"/>
  <c r="R7166" i="1"/>
  <c r="J7166" i="1"/>
  <c r="I7166" i="1"/>
  <c r="G7166" i="1"/>
  <c r="F7166" i="1"/>
  <c r="E7166" i="1"/>
  <c r="D7166" i="1"/>
  <c r="C7166" i="1"/>
  <c r="B7166" i="1"/>
  <c r="A7166" i="1"/>
  <c r="R7165" i="1"/>
  <c r="J7165" i="1"/>
  <c r="I7165" i="1"/>
  <c r="G7165" i="1"/>
  <c r="F7165" i="1"/>
  <c r="E7165" i="1"/>
  <c r="D7165" i="1"/>
  <c r="C7165" i="1"/>
  <c r="B7165" i="1"/>
  <c r="A7165" i="1"/>
  <c r="R7164" i="1"/>
  <c r="J7164" i="1"/>
  <c r="I7164" i="1"/>
  <c r="G7164" i="1"/>
  <c r="F7164" i="1"/>
  <c r="E7164" i="1"/>
  <c r="D7164" i="1"/>
  <c r="C7164" i="1"/>
  <c r="B7164" i="1"/>
  <c r="A7164" i="1"/>
  <c r="R7163" i="1"/>
  <c r="J7163" i="1"/>
  <c r="I7163" i="1"/>
  <c r="G7163" i="1"/>
  <c r="F7163" i="1"/>
  <c r="E7163" i="1"/>
  <c r="D7163" i="1"/>
  <c r="C7163" i="1"/>
  <c r="B7163" i="1"/>
  <c r="A7163" i="1"/>
  <c r="S7162" i="1"/>
  <c r="O7162" i="1"/>
  <c r="K7162" i="1"/>
  <c r="J7162" i="1"/>
  <c r="I7162" i="1"/>
  <c r="H7162" i="1"/>
  <c r="G7162" i="1"/>
  <c r="F7162" i="1"/>
  <c r="E7162" i="1"/>
  <c r="D7162" i="1"/>
  <c r="C7162" i="1"/>
  <c r="B7162" i="1"/>
  <c r="A7162" i="1"/>
  <c r="R7161" i="1"/>
  <c r="J7161" i="1"/>
  <c r="I7161" i="1"/>
  <c r="G7161" i="1"/>
  <c r="F7161" i="1"/>
  <c r="E7161" i="1"/>
  <c r="D7161" i="1"/>
  <c r="C7161" i="1"/>
  <c r="B7161" i="1"/>
  <c r="A7161" i="1"/>
  <c r="R7160" i="1"/>
  <c r="J7160" i="1"/>
  <c r="I7160" i="1"/>
  <c r="G7160" i="1"/>
  <c r="F7160" i="1"/>
  <c r="E7160" i="1"/>
  <c r="D7160" i="1"/>
  <c r="C7160" i="1"/>
  <c r="B7160" i="1"/>
  <c r="A7160" i="1"/>
  <c r="R7159" i="1"/>
  <c r="J7159" i="1"/>
  <c r="I7159" i="1"/>
  <c r="G7159" i="1"/>
  <c r="F7159" i="1"/>
  <c r="E7159" i="1"/>
  <c r="D7159" i="1"/>
  <c r="C7159" i="1"/>
  <c r="B7159" i="1"/>
  <c r="A7159" i="1"/>
  <c r="R7158" i="1"/>
  <c r="J7158" i="1"/>
  <c r="I7158" i="1"/>
  <c r="G7158" i="1"/>
  <c r="F7158" i="1"/>
  <c r="E7158" i="1"/>
  <c r="D7158" i="1"/>
  <c r="C7158" i="1"/>
  <c r="B7158" i="1"/>
  <c r="A7158" i="1"/>
  <c r="S7157" i="1"/>
  <c r="O7157" i="1"/>
  <c r="K7157" i="1"/>
  <c r="J7157" i="1"/>
  <c r="I7157" i="1"/>
  <c r="H7157" i="1"/>
  <c r="G7157" i="1"/>
  <c r="F7157" i="1"/>
  <c r="E7157" i="1"/>
  <c r="D7157" i="1"/>
  <c r="C7157" i="1"/>
  <c r="B7157" i="1"/>
  <c r="A7157" i="1"/>
  <c r="R7156" i="1"/>
  <c r="J7156" i="1"/>
  <c r="I7156" i="1"/>
  <c r="G7156" i="1"/>
  <c r="F7156" i="1"/>
  <c r="E7156" i="1"/>
  <c r="D7156" i="1"/>
  <c r="C7156" i="1"/>
  <c r="B7156" i="1"/>
  <c r="A7156" i="1"/>
  <c r="R7155" i="1"/>
  <c r="J7155" i="1"/>
  <c r="I7155" i="1"/>
  <c r="G7155" i="1"/>
  <c r="F7155" i="1"/>
  <c r="E7155" i="1"/>
  <c r="D7155" i="1"/>
  <c r="C7155" i="1"/>
  <c r="B7155" i="1"/>
  <c r="A7155" i="1"/>
  <c r="R7154" i="1"/>
  <c r="J7154" i="1"/>
  <c r="I7154" i="1"/>
  <c r="G7154" i="1"/>
  <c r="F7154" i="1"/>
  <c r="E7154" i="1"/>
  <c r="D7154" i="1"/>
  <c r="C7154" i="1"/>
  <c r="B7154" i="1"/>
  <c r="A7154" i="1"/>
  <c r="R7153" i="1"/>
  <c r="J7153" i="1"/>
  <c r="I7153" i="1"/>
  <c r="G7153" i="1"/>
  <c r="F7153" i="1"/>
  <c r="E7153" i="1"/>
  <c r="D7153" i="1"/>
  <c r="C7153" i="1"/>
  <c r="B7153" i="1"/>
  <c r="A7153" i="1"/>
  <c r="R7152" i="1"/>
  <c r="J7152" i="1"/>
  <c r="I7152" i="1"/>
  <c r="G7152" i="1"/>
  <c r="F7152" i="1"/>
  <c r="E7152" i="1"/>
  <c r="D7152" i="1"/>
  <c r="C7152" i="1"/>
  <c r="B7152" i="1"/>
  <c r="A7152" i="1"/>
  <c r="R7151" i="1"/>
  <c r="J7151" i="1"/>
  <c r="I7151" i="1"/>
  <c r="G7151" i="1"/>
  <c r="F7151" i="1"/>
  <c r="E7151" i="1"/>
  <c r="D7151" i="1"/>
  <c r="C7151" i="1"/>
  <c r="B7151" i="1"/>
  <c r="A7151" i="1"/>
  <c r="S7150" i="1"/>
  <c r="O7150" i="1"/>
  <c r="K7150" i="1"/>
  <c r="J7150" i="1"/>
  <c r="I7150" i="1"/>
  <c r="H7150" i="1"/>
  <c r="G7150" i="1"/>
  <c r="F7150" i="1"/>
  <c r="E7150" i="1"/>
  <c r="D7150" i="1"/>
  <c r="C7150" i="1"/>
  <c r="B7150" i="1"/>
  <c r="A7150" i="1"/>
  <c r="R7149" i="1"/>
  <c r="J7149" i="1"/>
  <c r="I7149" i="1"/>
  <c r="G7149" i="1"/>
  <c r="F7149" i="1"/>
  <c r="E7149" i="1"/>
  <c r="D7149" i="1"/>
  <c r="C7149" i="1"/>
  <c r="B7149" i="1"/>
  <c r="A7149" i="1"/>
  <c r="R7148" i="1"/>
  <c r="J7148" i="1"/>
  <c r="I7148" i="1"/>
  <c r="G7148" i="1"/>
  <c r="F7148" i="1"/>
  <c r="E7148" i="1"/>
  <c r="D7148" i="1"/>
  <c r="C7148" i="1"/>
  <c r="B7148" i="1"/>
  <c r="A7148" i="1"/>
  <c r="R7147" i="1"/>
  <c r="J7147" i="1"/>
  <c r="I7147" i="1"/>
  <c r="G7147" i="1"/>
  <c r="F7147" i="1"/>
  <c r="E7147" i="1"/>
  <c r="D7147" i="1"/>
  <c r="C7147" i="1"/>
  <c r="B7147" i="1"/>
  <c r="A7147" i="1"/>
  <c r="R7146" i="1"/>
  <c r="J7146" i="1"/>
  <c r="I7146" i="1"/>
  <c r="G7146" i="1"/>
  <c r="F7146" i="1"/>
  <c r="E7146" i="1"/>
  <c r="D7146" i="1"/>
  <c r="C7146" i="1"/>
  <c r="B7146" i="1"/>
  <c r="A7146" i="1"/>
  <c r="R7145" i="1"/>
  <c r="J7145" i="1"/>
  <c r="I7145" i="1"/>
  <c r="G7145" i="1"/>
  <c r="F7145" i="1"/>
  <c r="E7145" i="1"/>
  <c r="D7145" i="1"/>
  <c r="C7145" i="1"/>
  <c r="B7145" i="1"/>
  <c r="A7145" i="1"/>
  <c r="R7144" i="1"/>
  <c r="J7144" i="1"/>
  <c r="I7144" i="1"/>
  <c r="G7144" i="1"/>
  <c r="F7144" i="1"/>
  <c r="E7144" i="1"/>
  <c r="D7144" i="1"/>
  <c r="C7144" i="1"/>
  <c r="B7144" i="1"/>
  <c r="A7144" i="1"/>
  <c r="S7143" i="1"/>
  <c r="O7143" i="1"/>
  <c r="K7143" i="1"/>
  <c r="J7143" i="1"/>
  <c r="I7143" i="1"/>
  <c r="H7143" i="1"/>
  <c r="G7143" i="1"/>
  <c r="F7143" i="1"/>
  <c r="E7143" i="1"/>
  <c r="D7143" i="1"/>
  <c r="C7143" i="1"/>
  <c r="B7143" i="1"/>
  <c r="A7143" i="1"/>
  <c r="R7142" i="1"/>
  <c r="J7142" i="1"/>
  <c r="I7142" i="1"/>
  <c r="G7142" i="1"/>
  <c r="F7142" i="1"/>
  <c r="E7142" i="1"/>
  <c r="D7142" i="1"/>
  <c r="C7142" i="1"/>
  <c r="B7142" i="1"/>
  <c r="A7142" i="1"/>
  <c r="R7141" i="1"/>
  <c r="J7141" i="1"/>
  <c r="I7141" i="1"/>
  <c r="G7141" i="1"/>
  <c r="F7141" i="1"/>
  <c r="E7141" i="1"/>
  <c r="D7141" i="1"/>
  <c r="C7141" i="1"/>
  <c r="B7141" i="1"/>
  <c r="A7141" i="1"/>
  <c r="R7140" i="1"/>
  <c r="J7140" i="1"/>
  <c r="I7140" i="1"/>
  <c r="G7140" i="1"/>
  <c r="F7140" i="1"/>
  <c r="E7140" i="1"/>
  <c r="D7140" i="1"/>
  <c r="C7140" i="1"/>
  <c r="B7140" i="1"/>
  <c r="A7140" i="1"/>
  <c r="R7139" i="1"/>
  <c r="J7139" i="1"/>
  <c r="I7139" i="1"/>
  <c r="G7139" i="1"/>
  <c r="F7139" i="1"/>
  <c r="E7139" i="1"/>
  <c r="D7139" i="1"/>
  <c r="C7139" i="1"/>
  <c r="B7139" i="1"/>
  <c r="A7139" i="1"/>
  <c r="R7138" i="1"/>
  <c r="J7138" i="1"/>
  <c r="I7138" i="1"/>
  <c r="G7138" i="1"/>
  <c r="F7138" i="1"/>
  <c r="E7138" i="1"/>
  <c r="D7138" i="1"/>
  <c r="C7138" i="1"/>
  <c r="B7138" i="1"/>
  <c r="A7138" i="1"/>
  <c r="R7137" i="1"/>
  <c r="J7137" i="1"/>
  <c r="I7137" i="1"/>
  <c r="G7137" i="1"/>
  <c r="F7137" i="1"/>
  <c r="E7137" i="1"/>
  <c r="D7137" i="1"/>
  <c r="C7137" i="1"/>
  <c r="B7137" i="1"/>
  <c r="A7137" i="1"/>
  <c r="S7136" i="1"/>
  <c r="O7136" i="1"/>
  <c r="K7136" i="1"/>
  <c r="J7136" i="1"/>
  <c r="I7136" i="1"/>
  <c r="H7136" i="1"/>
  <c r="G7136" i="1"/>
  <c r="F7136" i="1"/>
  <c r="E7136" i="1"/>
  <c r="D7136" i="1"/>
  <c r="C7136" i="1"/>
  <c r="B7136" i="1"/>
  <c r="A7136" i="1"/>
  <c r="R7135" i="1"/>
  <c r="J7135" i="1"/>
  <c r="I7135" i="1"/>
  <c r="G7135" i="1"/>
  <c r="F7135" i="1"/>
  <c r="E7135" i="1"/>
  <c r="D7135" i="1"/>
  <c r="C7135" i="1"/>
  <c r="B7135" i="1"/>
  <c r="A7135" i="1"/>
  <c r="S7134" i="1"/>
  <c r="O7134" i="1"/>
  <c r="K7134" i="1"/>
  <c r="J7134" i="1"/>
  <c r="I7134" i="1"/>
  <c r="H7134" i="1"/>
  <c r="G7134" i="1"/>
  <c r="F7134" i="1"/>
  <c r="E7134" i="1"/>
  <c r="D7134" i="1"/>
  <c r="C7134" i="1"/>
  <c r="B7134" i="1"/>
  <c r="A7134" i="1"/>
  <c r="R7133" i="1"/>
  <c r="J7133" i="1"/>
  <c r="I7133" i="1"/>
  <c r="G7133" i="1"/>
  <c r="F7133" i="1"/>
  <c r="E7133" i="1"/>
  <c r="D7133" i="1"/>
  <c r="C7133" i="1"/>
  <c r="B7133" i="1"/>
  <c r="A7133" i="1"/>
  <c r="R7132" i="1"/>
  <c r="J7132" i="1"/>
  <c r="I7132" i="1"/>
  <c r="G7132" i="1"/>
  <c r="F7132" i="1"/>
  <c r="E7132" i="1"/>
  <c r="D7132" i="1"/>
  <c r="C7132" i="1"/>
  <c r="B7132" i="1"/>
  <c r="A7132" i="1"/>
  <c r="R7131" i="1"/>
  <c r="J7131" i="1"/>
  <c r="I7131" i="1"/>
  <c r="G7131" i="1"/>
  <c r="F7131" i="1"/>
  <c r="E7131" i="1"/>
  <c r="D7131" i="1"/>
  <c r="C7131" i="1"/>
  <c r="B7131" i="1"/>
  <c r="A7131" i="1"/>
  <c r="S7130" i="1"/>
  <c r="O7130" i="1"/>
  <c r="K7130" i="1"/>
  <c r="J7130" i="1"/>
  <c r="I7130" i="1"/>
  <c r="H7130" i="1"/>
  <c r="G7130" i="1"/>
  <c r="F7130" i="1"/>
  <c r="E7130" i="1"/>
  <c r="D7130" i="1"/>
  <c r="C7130" i="1"/>
  <c r="B7130" i="1"/>
  <c r="A7130" i="1"/>
  <c r="R7129" i="1"/>
  <c r="J7129" i="1"/>
  <c r="I7129" i="1"/>
  <c r="G7129" i="1"/>
  <c r="F7129" i="1"/>
  <c r="E7129" i="1"/>
  <c r="D7129" i="1"/>
  <c r="C7129" i="1"/>
  <c r="B7129" i="1"/>
  <c r="A7129" i="1"/>
  <c r="R7128" i="1"/>
  <c r="J7128" i="1"/>
  <c r="I7128" i="1"/>
  <c r="G7128" i="1"/>
  <c r="F7128" i="1"/>
  <c r="E7128" i="1"/>
  <c r="D7128" i="1"/>
  <c r="C7128" i="1"/>
  <c r="B7128" i="1"/>
  <c r="A7128" i="1"/>
  <c r="R7127" i="1"/>
  <c r="J7127" i="1"/>
  <c r="I7127" i="1"/>
  <c r="G7127" i="1"/>
  <c r="F7127" i="1"/>
  <c r="E7127" i="1"/>
  <c r="D7127" i="1"/>
  <c r="C7127" i="1"/>
  <c r="B7127" i="1"/>
  <c r="A7127" i="1"/>
  <c r="S7126" i="1"/>
  <c r="O7126" i="1"/>
  <c r="K7126" i="1"/>
  <c r="J7126" i="1"/>
  <c r="I7126" i="1"/>
  <c r="H7126" i="1"/>
  <c r="G7126" i="1"/>
  <c r="F7126" i="1"/>
  <c r="E7126" i="1"/>
  <c r="D7126" i="1"/>
  <c r="C7126" i="1"/>
  <c r="B7126" i="1"/>
  <c r="A7126" i="1"/>
  <c r="R7125" i="1"/>
  <c r="J7125" i="1"/>
  <c r="I7125" i="1"/>
  <c r="G7125" i="1"/>
  <c r="F7125" i="1"/>
  <c r="E7125" i="1"/>
  <c r="D7125" i="1"/>
  <c r="C7125" i="1"/>
  <c r="B7125" i="1"/>
  <c r="A7125" i="1"/>
  <c r="R7124" i="1"/>
  <c r="J7124" i="1"/>
  <c r="I7124" i="1"/>
  <c r="G7124" i="1"/>
  <c r="F7124" i="1"/>
  <c r="E7124" i="1"/>
  <c r="D7124" i="1"/>
  <c r="C7124" i="1"/>
  <c r="B7124" i="1"/>
  <c r="A7124" i="1"/>
  <c r="R7123" i="1"/>
  <c r="J7123" i="1"/>
  <c r="I7123" i="1"/>
  <c r="G7123" i="1"/>
  <c r="F7123" i="1"/>
  <c r="E7123" i="1"/>
  <c r="D7123" i="1"/>
  <c r="C7123" i="1"/>
  <c r="B7123" i="1"/>
  <c r="A7123" i="1"/>
  <c r="S7122" i="1"/>
  <c r="O7122" i="1"/>
  <c r="K7122" i="1"/>
  <c r="J7122" i="1"/>
  <c r="I7122" i="1"/>
  <c r="H7122" i="1"/>
  <c r="G7122" i="1"/>
  <c r="F7122" i="1"/>
  <c r="E7122" i="1"/>
  <c r="D7122" i="1"/>
  <c r="C7122" i="1"/>
  <c r="B7122" i="1"/>
  <c r="A7122" i="1"/>
  <c r="R7121" i="1"/>
  <c r="J7121" i="1"/>
  <c r="I7121" i="1"/>
  <c r="G7121" i="1"/>
  <c r="F7121" i="1"/>
  <c r="E7121" i="1"/>
  <c r="D7121" i="1"/>
  <c r="C7121" i="1"/>
  <c r="B7121" i="1"/>
  <c r="A7121" i="1"/>
  <c r="S7120" i="1"/>
  <c r="O7120" i="1"/>
  <c r="K7120" i="1"/>
  <c r="J7120" i="1"/>
  <c r="I7120" i="1"/>
  <c r="H7120" i="1"/>
  <c r="G7120" i="1"/>
  <c r="F7120" i="1"/>
  <c r="E7120" i="1"/>
  <c r="D7120" i="1"/>
  <c r="C7120" i="1"/>
  <c r="B7120" i="1"/>
  <c r="A7120" i="1"/>
  <c r="R7119" i="1"/>
  <c r="J7119" i="1"/>
  <c r="I7119" i="1"/>
  <c r="G7119" i="1"/>
  <c r="F7119" i="1"/>
  <c r="E7119" i="1"/>
  <c r="D7119" i="1"/>
  <c r="C7119" i="1"/>
  <c r="B7119" i="1"/>
  <c r="A7119" i="1"/>
  <c r="S7118" i="1"/>
  <c r="O7118" i="1"/>
  <c r="K7118" i="1"/>
  <c r="J7118" i="1"/>
  <c r="I7118" i="1"/>
  <c r="H7118" i="1"/>
  <c r="G7118" i="1"/>
  <c r="F7118" i="1"/>
  <c r="E7118" i="1"/>
  <c r="D7118" i="1"/>
  <c r="C7118" i="1"/>
  <c r="B7118" i="1"/>
  <c r="A7118" i="1"/>
  <c r="R7117" i="1"/>
  <c r="J7117" i="1"/>
  <c r="I7117" i="1"/>
  <c r="G7117" i="1"/>
  <c r="F7117" i="1"/>
  <c r="E7117" i="1"/>
  <c r="D7117" i="1"/>
  <c r="C7117" i="1"/>
  <c r="B7117" i="1"/>
  <c r="A7117" i="1"/>
  <c r="R7116" i="1"/>
  <c r="J7116" i="1"/>
  <c r="I7116" i="1"/>
  <c r="G7116" i="1"/>
  <c r="F7116" i="1"/>
  <c r="E7116" i="1"/>
  <c r="D7116" i="1"/>
  <c r="C7116" i="1"/>
  <c r="B7116" i="1"/>
  <c r="A7116" i="1"/>
  <c r="S7115" i="1"/>
  <c r="O7115" i="1"/>
  <c r="K7115" i="1"/>
  <c r="J7115" i="1"/>
  <c r="I7115" i="1"/>
  <c r="H7115" i="1"/>
  <c r="G7115" i="1"/>
  <c r="F7115" i="1"/>
  <c r="E7115" i="1"/>
  <c r="D7115" i="1"/>
  <c r="C7115" i="1"/>
  <c r="B7115" i="1"/>
  <c r="A7115" i="1"/>
  <c r="R7114" i="1"/>
  <c r="J7114" i="1"/>
  <c r="I7114" i="1"/>
  <c r="G7114" i="1"/>
  <c r="F7114" i="1"/>
  <c r="E7114" i="1"/>
  <c r="D7114" i="1"/>
  <c r="C7114" i="1"/>
  <c r="B7114" i="1"/>
  <c r="A7114" i="1"/>
  <c r="R7113" i="1"/>
  <c r="J7113" i="1"/>
  <c r="I7113" i="1"/>
  <c r="G7113" i="1"/>
  <c r="F7113" i="1"/>
  <c r="E7113" i="1"/>
  <c r="D7113" i="1"/>
  <c r="C7113" i="1"/>
  <c r="B7113" i="1"/>
  <c r="A7113" i="1"/>
  <c r="R7112" i="1"/>
  <c r="J7112" i="1"/>
  <c r="I7112" i="1"/>
  <c r="G7112" i="1"/>
  <c r="F7112" i="1"/>
  <c r="E7112" i="1"/>
  <c r="D7112" i="1"/>
  <c r="C7112" i="1"/>
  <c r="B7112" i="1"/>
  <c r="A7112" i="1"/>
  <c r="S7111" i="1"/>
  <c r="O7111" i="1"/>
  <c r="K7111" i="1"/>
  <c r="J7111" i="1"/>
  <c r="I7111" i="1"/>
  <c r="H7111" i="1"/>
  <c r="G7111" i="1"/>
  <c r="F7111" i="1"/>
  <c r="E7111" i="1"/>
  <c r="D7111" i="1"/>
  <c r="C7111" i="1"/>
  <c r="B7111" i="1"/>
  <c r="A7111" i="1"/>
  <c r="R7110" i="1"/>
  <c r="J7110" i="1"/>
  <c r="I7110" i="1"/>
  <c r="G7110" i="1"/>
  <c r="F7110" i="1"/>
  <c r="E7110" i="1"/>
  <c r="D7110" i="1"/>
  <c r="C7110" i="1"/>
  <c r="B7110" i="1"/>
  <c r="A7110" i="1"/>
  <c r="R7109" i="1"/>
  <c r="J7109" i="1"/>
  <c r="I7109" i="1"/>
  <c r="G7109" i="1"/>
  <c r="F7109" i="1"/>
  <c r="E7109" i="1"/>
  <c r="D7109" i="1"/>
  <c r="C7109" i="1"/>
  <c r="B7109" i="1"/>
  <c r="A7109" i="1"/>
  <c r="R7108" i="1"/>
  <c r="J7108" i="1"/>
  <c r="I7108" i="1"/>
  <c r="G7108" i="1"/>
  <c r="F7108" i="1"/>
  <c r="E7108" i="1"/>
  <c r="D7108" i="1"/>
  <c r="C7108" i="1"/>
  <c r="B7108" i="1"/>
  <c r="A7108" i="1"/>
  <c r="S7107" i="1"/>
  <c r="O7107" i="1"/>
  <c r="K7107" i="1"/>
  <c r="J7107" i="1"/>
  <c r="I7107" i="1"/>
  <c r="H7107" i="1"/>
  <c r="G7107" i="1"/>
  <c r="F7107" i="1"/>
  <c r="E7107" i="1"/>
  <c r="D7107" i="1"/>
  <c r="C7107" i="1"/>
  <c r="B7107" i="1"/>
  <c r="A7107" i="1"/>
  <c r="R7106" i="1"/>
  <c r="J7106" i="1"/>
  <c r="I7106" i="1"/>
  <c r="G7106" i="1"/>
  <c r="F7106" i="1"/>
  <c r="E7106" i="1"/>
  <c r="D7106" i="1"/>
  <c r="C7106" i="1"/>
  <c r="B7106" i="1"/>
  <c r="A7106" i="1"/>
  <c r="S7105" i="1"/>
  <c r="O7105" i="1"/>
  <c r="K7105" i="1"/>
  <c r="J7105" i="1"/>
  <c r="I7105" i="1"/>
  <c r="H7105" i="1"/>
  <c r="G7105" i="1"/>
  <c r="F7105" i="1"/>
  <c r="E7105" i="1"/>
  <c r="D7105" i="1"/>
  <c r="C7105" i="1"/>
  <c r="B7105" i="1"/>
  <c r="A7105" i="1"/>
  <c r="R7104" i="1"/>
  <c r="J7104" i="1"/>
  <c r="I7104" i="1"/>
  <c r="G7104" i="1"/>
  <c r="F7104" i="1"/>
  <c r="E7104" i="1"/>
  <c r="D7104" i="1"/>
  <c r="C7104" i="1"/>
  <c r="B7104" i="1"/>
  <c r="A7104" i="1"/>
  <c r="S7103" i="1"/>
  <c r="O7103" i="1"/>
  <c r="K7103" i="1"/>
  <c r="J7103" i="1"/>
  <c r="I7103" i="1"/>
  <c r="H7103" i="1"/>
  <c r="G7103" i="1"/>
  <c r="F7103" i="1"/>
  <c r="E7103" i="1"/>
  <c r="D7103" i="1"/>
  <c r="C7103" i="1"/>
  <c r="B7103" i="1"/>
  <c r="A7103" i="1"/>
  <c r="R7102" i="1"/>
  <c r="J7102" i="1"/>
  <c r="I7102" i="1"/>
  <c r="G7102" i="1"/>
  <c r="F7102" i="1"/>
  <c r="E7102" i="1"/>
  <c r="D7102" i="1"/>
  <c r="C7102" i="1"/>
  <c r="B7102" i="1"/>
  <c r="A7102" i="1"/>
  <c r="S7101" i="1"/>
  <c r="O7101" i="1"/>
  <c r="K7101" i="1"/>
  <c r="J7101" i="1"/>
  <c r="I7101" i="1"/>
  <c r="H7101" i="1"/>
  <c r="G7101" i="1"/>
  <c r="F7101" i="1"/>
  <c r="E7101" i="1"/>
  <c r="D7101" i="1"/>
  <c r="C7101" i="1"/>
  <c r="B7101" i="1"/>
  <c r="A7101" i="1"/>
  <c r="R7100" i="1"/>
  <c r="J7100" i="1"/>
  <c r="I7100" i="1"/>
  <c r="G7100" i="1"/>
  <c r="F7100" i="1"/>
  <c r="E7100" i="1"/>
  <c r="D7100" i="1"/>
  <c r="C7100" i="1"/>
  <c r="B7100" i="1"/>
  <c r="A7100" i="1"/>
  <c r="S7099" i="1"/>
  <c r="O7099" i="1"/>
  <c r="K7099" i="1"/>
  <c r="J7099" i="1"/>
  <c r="I7099" i="1"/>
  <c r="H7099" i="1"/>
  <c r="G7099" i="1"/>
  <c r="F7099" i="1"/>
  <c r="E7099" i="1"/>
  <c r="D7099" i="1"/>
  <c r="C7099" i="1"/>
  <c r="B7099" i="1"/>
  <c r="A7099" i="1"/>
  <c r="R7098" i="1"/>
  <c r="J7098" i="1"/>
  <c r="I7098" i="1"/>
  <c r="G7098" i="1"/>
  <c r="F7098" i="1"/>
  <c r="E7098" i="1"/>
  <c r="D7098" i="1"/>
  <c r="C7098" i="1"/>
  <c r="B7098" i="1"/>
  <c r="A7098" i="1"/>
  <c r="S7097" i="1"/>
  <c r="O7097" i="1"/>
  <c r="K7097" i="1"/>
  <c r="J7097" i="1"/>
  <c r="I7097" i="1"/>
  <c r="H7097" i="1"/>
  <c r="G7097" i="1"/>
  <c r="F7097" i="1"/>
  <c r="E7097" i="1"/>
  <c r="D7097" i="1"/>
  <c r="C7097" i="1"/>
  <c r="B7097" i="1"/>
  <c r="A7097" i="1"/>
  <c r="R7096" i="1"/>
  <c r="J7096" i="1"/>
  <c r="I7096" i="1"/>
  <c r="G7096" i="1"/>
  <c r="F7096" i="1"/>
  <c r="E7096" i="1"/>
  <c r="D7096" i="1"/>
  <c r="C7096" i="1"/>
  <c r="B7096" i="1"/>
  <c r="A7096" i="1"/>
  <c r="S7095" i="1"/>
  <c r="O7095" i="1"/>
  <c r="K7095" i="1"/>
  <c r="J7095" i="1"/>
  <c r="I7095" i="1"/>
  <c r="H7095" i="1"/>
  <c r="G7095" i="1"/>
  <c r="F7095" i="1"/>
  <c r="E7095" i="1"/>
  <c r="D7095" i="1"/>
  <c r="C7095" i="1"/>
  <c r="B7095" i="1"/>
  <c r="A7095" i="1"/>
  <c r="R7094" i="1"/>
  <c r="J7094" i="1"/>
  <c r="I7094" i="1"/>
  <c r="G7094" i="1"/>
  <c r="F7094" i="1"/>
  <c r="E7094" i="1"/>
  <c r="D7094" i="1"/>
  <c r="C7094" i="1"/>
  <c r="B7094" i="1"/>
  <c r="A7094" i="1"/>
  <c r="S7093" i="1"/>
  <c r="O7093" i="1"/>
  <c r="K7093" i="1"/>
  <c r="J7093" i="1"/>
  <c r="I7093" i="1"/>
  <c r="H7093" i="1"/>
  <c r="G7093" i="1"/>
  <c r="F7093" i="1"/>
  <c r="E7093" i="1"/>
  <c r="D7093" i="1"/>
  <c r="C7093" i="1"/>
  <c r="B7093" i="1"/>
  <c r="A7093" i="1"/>
  <c r="R7092" i="1"/>
  <c r="J7092" i="1"/>
  <c r="I7092" i="1"/>
  <c r="G7092" i="1"/>
  <c r="F7092" i="1"/>
  <c r="E7092" i="1"/>
  <c r="D7092" i="1"/>
  <c r="C7092" i="1"/>
  <c r="B7092" i="1"/>
  <c r="A7092" i="1"/>
  <c r="S7091" i="1"/>
  <c r="O7091" i="1"/>
  <c r="K7091" i="1"/>
  <c r="J7091" i="1"/>
  <c r="I7091" i="1"/>
  <c r="H7091" i="1"/>
  <c r="G7091" i="1"/>
  <c r="F7091" i="1"/>
  <c r="E7091" i="1"/>
  <c r="D7091" i="1"/>
  <c r="C7091" i="1"/>
  <c r="B7091" i="1"/>
  <c r="A7091" i="1"/>
  <c r="R7090" i="1"/>
  <c r="J7090" i="1"/>
  <c r="I7090" i="1"/>
  <c r="G7090" i="1"/>
  <c r="F7090" i="1"/>
  <c r="E7090" i="1"/>
  <c r="D7090" i="1"/>
  <c r="C7090" i="1"/>
  <c r="B7090" i="1"/>
  <c r="A7090" i="1"/>
  <c r="S7089" i="1"/>
  <c r="O7089" i="1"/>
  <c r="K7089" i="1"/>
  <c r="J7089" i="1"/>
  <c r="I7089" i="1"/>
  <c r="H7089" i="1"/>
  <c r="G7089" i="1"/>
  <c r="F7089" i="1"/>
  <c r="E7089" i="1"/>
  <c r="D7089" i="1"/>
  <c r="C7089" i="1"/>
  <c r="B7089" i="1"/>
  <c r="A7089" i="1"/>
  <c r="R7088" i="1"/>
  <c r="J7088" i="1"/>
  <c r="I7088" i="1"/>
  <c r="G7088" i="1"/>
  <c r="F7088" i="1"/>
  <c r="E7088" i="1"/>
  <c r="D7088" i="1"/>
  <c r="C7088" i="1"/>
  <c r="B7088" i="1"/>
  <c r="A7088" i="1"/>
  <c r="S7087" i="1"/>
  <c r="O7087" i="1"/>
  <c r="K7087" i="1"/>
  <c r="J7087" i="1"/>
  <c r="I7087" i="1"/>
  <c r="H7087" i="1"/>
  <c r="G7087" i="1"/>
  <c r="F7087" i="1"/>
  <c r="E7087" i="1"/>
  <c r="D7087" i="1"/>
  <c r="C7087" i="1"/>
  <c r="B7087" i="1"/>
  <c r="A7087" i="1"/>
  <c r="R7086" i="1"/>
  <c r="J7086" i="1"/>
  <c r="I7086" i="1"/>
  <c r="G7086" i="1"/>
  <c r="F7086" i="1"/>
  <c r="E7086" i="1"/>
  <c r="D7086" i="1"/>
  <c r="C7086" i="1"/>
  <c r="B7086" i="1"/>
  <c r="A7086" i="1"/>
  <c r="S7085" i="1"/>
  <c r="O7085" i="1"/>
  <c r="K7085" i="1"/>
  <c r="J7085" i="1"/>
  <c r="I7085" i="1"/>
  <c r="H7085" i="1"/>
  <c r="G7085" i="1"/>
  <c r="F7085" i="1"/>
  <c r="E7085" i="1"/>
  <c r="D7085" i="1"/>
  <c r="C7085" i="1"/>
  <c r="B7085" i="1"/>
  <c r="A7085" i="1"/>
  <c r="R7084" i="1"/>
  <c r="J7084" i="1"/>
  <c r="I7084" i="1"/>
  <c r="G7084" i="1"/>
  <c r="F7084" i="1"/>
  <c r="E7084" i="1"/>
  <c r="D7084" i="1"/>
  <c r="C7084" i="1"/>
  <c r="B7084" i="1"/>
  <c r="A7084" i="1"/>
  <c r="R7083" i="1"/>
  <c r="J7083" i="1"/>
  <c r="I7083" i="1"/>
  <c r="G7083" i="1"/>
  <c r="F7083" i="1"/>
  <c r="E7083" i="1"/>
  <c r="D7083" i="1"/>
  <c r="C7083" i="1"/>
  <c r="B7083" i="1"/>
  <c r="A7083" i="1"/>
  <c r="S7082" i="1"/>
  <c r="O7082" i="1"/>
  <c r="K7082" i="1"/>
  <c r="J7082" i="1"/>
  <c r="I7082" i="1"/>
  <c r="H7082" i="1"/>
  <c r="G7082" i="1"/>
  <c r="F7082" i="1"/>
  <c r="E7082" i="1"/>
  <c r="D7082" i="1"/>
  <c r="C7082" i="1"/>
  <c r="B7082" i="1"/>
  <c r="A7082" i="1"/>
  <c r="R7081" i="1"/>
  <c r="J7081" i="1"/>
  <c r="I7081" i="1"/>
  <c r="G7081" i="1"/>
  <c r="F7081" i="1"/>
  <c r="E7081" i="1"/>
  <c r="D7081" i="1"/>
  <c r="C7081" i="1"/>
  <c r="B7081" i="1"/>
  <c r="A7081" i="1"/>
  <c r="R7080" i="1"/>
  <c r="J7080" i="1"/>
  <c r="I7080" i="1"/>
  <c r="G7080" i="1"/>
  <c r="F7080" i="1"/>
  <c r="E7080" i="1"/>
  <c r="D7080" i="1"/>
  <c r="C7080" i="1"/>
  <c r="B7080" i="1"/>
  <c r="A7080" i="1"/>
  <c r="S7079" i="1"/>
  <c r="O7079" i="1"/>
  <c r="K7079" i="1"/>
  <c r="J7079" i="1"/>
  <c r="I7079" i="1"/>
  <c r="H7079" i="1"/>
  <c r="G7079" i="1"/>
  <c r="F7079" i="1"/>
  <c r="E7079" i="1"/>
  <c r="D7079" i="1"/>
  <c r="C7079" i="1"/>
  <c r="B7079" i="1"/>
  <c r="A7079" i="1"/>
  <c r="R7078" i="1"/>
  <c r="J7078" i="1"/>
  <c r="I7078" i="1"/>
  <c r="G7078" i="1"/>
  <c r="F7078" i="1"/>
  <c r="E7078" i="1"/>
  <c r="D7078" i="1"/>
  <c r="C7078" i="1"/>
  <c r="B7078" i="1"/>
  <c r="A7078" i="1"/>
  <c r="R7077" i="1"/>
  <c r="J7077" i="1"/>
  <c r="I7077" i="1"/>
  <c r="G7077" i="1"/>
  <c r="F7077" i="1"/>
  <c r="E7077" i="1"/>
  <c r="D7077" i="1"/>
  <c r="C7077" i="1"/>
  <c r="B7077" i="1"/>
  <c r="A7077" i="1"/>
  <c r="S7076" i="1"/>
  <c r="O7076" i="1"/>
  <c r="K7076" i="1"/>
  <c r="J7076" i="1"/>
  <c r="I7076" i="1"/>
  <c r="H7076" i="1"/>
  <c r="G7076" i="1"/>
  <c r="F7076" i="1"/>
  <c r="E7076" i="1"/>
  <c r="D7076" i="1"/>
  <c r="C7076" i="1"/>
  <c r="B7076" i="1"/>
  <c r="A7076" i="1"/>
  <c r="R7075" i="1"/>
  <c r="J7075" i="1"/>
  <c r="I7075" i="1"/>
  <c r="G7075" i="1"/>
  <c r="F7075" i="1"/>
  <c r="E7075" i="1"/>
  <c r="D7075" i="1"/>
  <c r="C7075" i="1"/>
  <c r="B7075" i="1"/>
  <c r="A7075" i="1"/>
  <c r="R7074" i="1"/>
  <c r="J7074" i="1"/>
  <c r="I7074" i="1"/>
  <c r="G7074" i="1"/>
  <c r="F7074" i="1"/>
  <c r="E7074" i="1"/>
  <c r="D7074" i="1"/>
  <c r="C7074" i="1"/>
  <c r="B7074" i="1"/>
  <c r="A7074" i="1"/>
  <c r="S7073" i="1"/>
  <c r="O7073" i="1"/>
  <c r="K7073" i="1"/>
  <c r="J7073" i="1"/>
  <c r="I7073" i="1"/>
  <c r="H7073" i="1"/>
  <c r="G7073" i="1"/>
  <c r="F7073" i="1"/>
  <c r="E7073" i="1"/>
  <c r="D7073" i="1"/>
  <c r="C7073" i="1"/>
  <c r="B7073" i="1"/>
  <c r="A7073" i="1"/>
  <c r="R7072" i="1"/>
  <c r="J7072" i="1"/>
  <c r="I7072" i="1"/>
  <c r="G7072" i="1"/>
  <c r="F7072" i="1"/>
  <c r="E7072" i="1"/>
  <c r="D7072" i="1"/>
  <c r="C7072" i="1"/>
  <c r="B7072" i="1"/>
  <c r="A7072" i="1"/>
  <c r="R7071" i="1"/>
  <c r="J7071" i="1"/>
  <c r="I7071" i="1"/>
  <c r="G7071" i="1"/>
  <c r="F7071" i="1"/>
  <c r="E7071" i="1"/>
  <c r="D7071" i="1"/>
  <c r="C7071" i="1"/>
  <c r="B7071" i="1"/>
  <c r="A7071" i="1"/>
  <c r="S7070" i="1"/>
  <c r="O7070" i="1"/>
  <c r="K7070" i="1"/>
  <c r="J7070" i="1"/>
  <c r="I7070" i="1"/>
  <c r="H7070" i="1"/>
  <c r="G7070" i="1"/>
  <c r="F7070" i="1"/>
  <c r="E7070" i="1"/>
  <c r="D7070" i="1"/>
  <c r="C7070" i="1"/>
  <c r="B7070" i="1"/>
  <c r="A7070" i="1"/>
  <c r="R7069" i="1"/>
  <c r="J7069" i="1"/>
  <c r="I7069" i="1"/>
  <c r="G7069" i="1"/>
  <c r="F7069" i="1"/>
  <c r="E7069" i="1"/>
  <c r="D7069" i="1"/>
  <c r="C7069" i="1"/>
  <c r="B7069" i="1"/>
  <c r="A7069" i="1"/>
  <c r="S7068" i="1"/>
  <c r="O7068" i="1"/>
  <c r="K7068" i="1"/>
  <c r="J7068" i="1"/>
  <c r="I7068" i="1"/>
  <c r="H7068" i="1"/>
  <c r="G7068" i="1"/>
  <c r="F7068" i="1"/>
  <c r="E7068" i="1"/>
  <c r="D7068" i="1"/>
  <c r="C7068" i="1"/>
  <c r="B7068" i="1"/>
  <c r="A7068" i="1"/>
  <c r="R7067" i="1"/>
  <c r="J7067" i="1"/>
  <c r="I7067" i="1"/>
  <c r="G7067" i="1"/>
  <c r="F7067" i="1"/>
  <c r="E7067" i="1"/>
  <c r="D7067" i="1"/>
  <c r="C7067" i="1"/>
  <c r="B7067" i="1"/>
  <c r="A7067" i="1"/>
  <c r="S7066" i="1"/>
  <c r="O7066" i="1"/>
  <c r="K7066" i="1"/>
  <c r="J7066" i="1"/>
  <c r="I7066" i="1"/>
  <c r="H7066" i="1"/>
  <c r="G7066" i="1"/>
  <c r="F7066" i="1"/>
  <c r="E7066" i="1"/>
  <c r="D7066" i="1"/>
  <c r="C7066" i="1"/>
  <c r="B7066" i="1"/>
  <c r="A7066" i="1"/>
  <c r="R7065" i="1"/>
  <c r="J7065" i="1"/>
  <c r="I7065" i="1"/>
  <c r="G7065" i="1"/>
  <c r="F7065" i="1"/>
  <c r="E7065" i="1"/>
  <c r="D7065" i="1"/>
  <c r="C7065" i="1"/>
  <c r="B7065" i="1"/>
  <c r="A7065" i="1"/>
  <c r="S7064" i="1"/>
  <c r="O7064" i="1"/>
  <c r="K7064" i="1"/>
  <c r="J7064" i="1"/>
  <c r="I7064" i="1"/>
  <c r="H7064" i="1"/>
  <c r="G7064" i="1"/>
  <c r="F7064" i="1"/>
  <c r="E7064" i="1"/>
  <c r="D7064" i="1"/>
  <c r="C7064" i="1"/>
  <c r="B7064" i="1"/>
  <c r="A7064" i="1"/>
  <c r="R7063" i="1"/>
  <c r="J7063" i="1"/>
  <c r="I7063" i="1"/>
  <c r="G7063" i="1"/>
  <c r="F7063" i="1"/>
  <c r="E7063" i="1"/>
  <c r="D7063" i="1"/>
  <c r="C7063" i="1"/>
  <c r="B7063" i="1"/>
  <c r="A7063" i="1"/>
  <c r="S7062" i="1"/>
  <c r="O7062" i="1"/>
  <c r="K7062" i="1"/>
  <c r="J7062" i="1"/>
  <c r="I7062" i="1"/>
  <c r="H7062" i="1"/>
  <c r="G7062" i="1"/>
  <c r="F7062" i="1"/>
  <c r="E7062" i="1"/>
  <c r="D7062" i="1"/>
  <c r="C7062" i="1"/>
  <c r="B7062" i="1"/>
  <c r="A7062" i="1"/>
  <c r="R7061" i="1"/>
  <c r="J7061" i="1"/>
  <c r="I7061" i="1"/>
  <c r="G7061" i="1"/>
  <c r="F7061" i="1"/>
  <c r="E7061" i="1"/>
  <c r="D7061" i="1"/>
  <c r="C7061" i="1"/>
  <c r="B7061" i="1"/>
  <c r="A7061" i="1"/>
  <c r="S7060" i="1"/>
  <c r="O7060" i="1"/>
  <c r="K7060" i="1"/>
  <c r="J7060" i="1"/>
  <c r="I7060" i="1"/>
  <c r="H7060" i="1"/>
  <c r="G7060" i="1"/>
  <c r="F7060" i="1"/>
  <c r="E7060" i="1"/>
  <c r="D7060" i="1"/>
  <c r="C7060" i="1"/>
  <c r="B7060" i="1"/>
  <c r="A7060" i="1"/>
  <c r="R7059" i="1"/>
  <c r="J7059" i="1"/>
  <c r="I7059" i="1"/>
  <c r="G7059" i="1"/>
  <c r="F7059" i="1"/>
  <c r="E7059" i="1"/>
  <c r="D7059" i="1"/>
  <c r="C7059" i="1"/>
  <c r="B7059" i="1"/>
  <c r="A7059" i="1"/>
  <c r="S7058" i="1"/>
  <c r="O7058" i="1"/>
  <c r="K7058" i="1"/>
  <c r="J7058" i="1"/>
  <c r="I7058" i="1"/>
  <c r="H7058" i="1"/>
  <c r="G7058" i="1"/>
  <c r="F7058" i="1"/>
  <c r="E7058" i="1"/>
  <c r="D7058" i="1"/>
  <c r="C7058" i="1"/>
  <c r="B7058" i="1"/>
  <c r="A7058" i="1"/>
  <c r="R7057" i="1"/>
  <c r="J7057" i="1"/>
  <c r="I7057" i="1"/>
  <c r="G7057" i="1"/>
  <c r="F7057" i="1"/>
  <c r="E7057" i="1"/>
  <c r="D7057" i="1"/>
  <c r="C7057" i="1"/>
  <c r="B7057" i="1"/>
  <c r="A7057" i="1"/>
  <c r="S7056" i="1"/>
  <c r="O7056" i="1"/>
  <c r="K7056" i="1"/>
  <c r="J7056" i="1"/>
  <c r="I7056" i="1"/>
  <c r="H7056" i="1"/>
  <c r="G7056" i="1"/>
  <c r="F7056" i="1"/>
  <c r="E7056" i="1"/>
  <c r="D7056" i="1"/>
  <c r="C7056" i="1"/>
  <c r="B7056" i="1"/>
  <c r="A7056" i="1"/>
  <c r="R7055" i="1"/>
  <c r="J7055" i="1"/>
  <c r="I7055" i="1"/>
  <c r="G7055" i="1"/>
  <c r="F7055" i="1"/>
  <c r="E7055" i="1"/>
  <c r="D7055" i="1"/>
  <c r="C7055" i="1"/>
  <c r="B7055" i="1"/>
  <c r="A7055" i="1"/>
  <c r="R7054" i="1"/>
  <c r="J7054" i="1"/>
  <c r="I7054" i="1"/>
  <c r="G7054" i="1"/>
  <c r="F7054" i="1"/>
  <c r="E7054" i="1"/>
  <c r="D7054" i="1"/>
  <c r="C7054" i="1"/>
  <c r="B7054" i="1"/>
  <c r="A7054" i="1"/>
  <c r="R7053" i="1"/>
  <c r="J7053" i="1"/>
  <c r="I7053" i="1"/>
  <c r="G7053" i="1"/>
  <c r="F7053" i="1"/>
  <c r="E7053" i="1"/>
  <c r="D7053" i="1"/>
  <c r="C7053" i="1"/>
  <c r="B7053" i="1"/>
  <c r="A7053" i="1"/>
  <c r="S7052" i="1"/>
  <c r="O7052" i="1"/>
  <c r="K7052" i="1"/>
  <c r="J7052" i="1"/>
  <c r="I7052" i="1"/>
  <c r="H7052" i="1"/>
  <c r="G7052" i="1"/>
  <c r="F7052" i="1"/>
  <c r="E7052" i="1"/>
  <c r="D7052" i="1"/>
  <c r="C7052" i="1"/>
  <c r="B7052" i="1"/>
  <c r="A7052" i="1"/>
  <c r="R7051" i="1"/>
  <c r="J7051" i="1"/>
  <c r="I7051" i="1"/>
  <c r="G7051" i="1"/>
  <c r="F7051" i="1"/>
  <c r="E7051" i="1"/>
  <c r="D7051" i="1"/>
  <c r="C7051" i="1"/>
  <c r="B7051" i="1"/>
  <c r="A7051" i="1"/>
  <c r="R7050" i="1"/>
  <c r="J7050" i="1"/>
  <c r="I7050" i="1"/>
  <c r="G7050" i="1"/>
  <c r="F7050" i="1"/>
  <c r="E7050" i="1"/>
  <c r="D7050" i="1"/>
  <c r="C7050" i="1"/>
  <c r="B7050" i="1"/>
  <c r="A7050" i="1"/>
  <c r="R7049" i="1"/>
  <c r="J7049" i="1"/>
  <c r="I7049" i="1"/>
  <c r="G7049" i="1"/>
  <c r="F7049" i="1"/>
  <c r="E7049" i="1"/>
  <c r="D7049" i="1"/>
  <c r="C7049" i="1"/>
  <c r="B7049" i="1"/>
  <c r="A7049" i="1"/>
  <c r="R7048" i="1"/>
  <c r="J7048" i="1"/>
  <c r="I7048" i="1"/>
  <c r="G7048" i="1"/>
  <c r="F7048" i="1"/>
  <c r="E7048" i="1"/>
  <c r="D7048" i="1"/>
  <c r="C7048" i="1"/>
  <c r="B7048" i="1"/>
  <c r="A7048" i="1"/>
  <c r="R7047" i="1"/>
  <c r="J7047" i="1"/>
  <c r="I7047" i="1"/>
  <c r="G7047" i="1"/>
  <c r="F7047" i="1"/>
  <c r="E7047" i="1"/>
  <c r="D7047" i="1"/>
  <c r="C7047" i="1"/>
  <c r="B7047" i="1"/>
  <c r="A7047" i="1"/>
  <c r="S7046" i="1"/>
  <c r="O7046" i="1"/>
  <c r="K7046" i="1"/>
  <c r="J7046" i="1"/>
  <c r="I7046" i="1"/>
  <c r="H7046" i="1"/>
  <c r="G7046" i="1"/>
  <c r="F7046" i="1"/>
  <c r="E7046" i="1"/>
  <c r="D7046" i="1"/>
  <c r="C7046" i="1"/>
  <c r="B7046" i="1"/>
  <c r="A7046" i="1"/>
  <c r="R7045" i="1"/>
  <c r="J7045" i="1"/>
  <c r="I7045" i="1"/>
  <c r="G7045" i="1"/>
  <c r="F7045" i="1"/>
  <c r="E7045" i="1"/>
  <c r="D7045" i="1"/>
  <c r="C7045" i="1"/>
  <c r="B7045" i="1"/>
  <c r="A7045" i="1"/>
  <c r="R7044" i="1"/>
  <c r="J7044" i="1"/>
  <c r="I7044" i="1"/>
  <c r="G7044" i="1"/>
  <c r="F7044" i="1"/>
  <c r="E7044" i="1"/>
  <c r="D7044" i="1"/>
  <c r="C7044" i="1"/>
  <c r="B7044" i="1"/>
  <c r="A7044" i="1"/>
  <c r="R7043" i="1"/>
  <c r="J7043" i="1"/>
  <c r="I7043" i="1"/>
  <c r="G7043" i="1"/>
  <c r="F7043" i="1"/>
  <c r="E7043" i="1"/>
  <c r="D7043" i="1"/>
  <c r="C7043" i="1"/>
  <c r="B7043" i="1"/>
  <c r="A7043" i="1"/>
  <c r="R7042" i="1"/>
  <c r="J7042" i="1"/>
  <c r="I7042" i="1"/>
  <c r="G7042" i="1"/>
  <c r="F7042" i="1"/>
  <c r="E7042" i="1"/>
  <c r="D7042" i="1"/>
  <c r="C7042" i="1"/>
  <c r="B7042" i="1"/>
  <c r="A7042" i="1"/>
  <c r="R7041" i="1"/>
  <c r="J7041" i="1"/>
  <c r="I7041" i="1"/>
  <c r="G7041" i="1"/>
  <c r="F7041" i="1"/>
  <c r="E7041" i="1"/>
  <c r="D7041" i="1"/>
  <c r="C7041" i="1"/>
  <c r="B7041" i="1"/>
  <c r="A7041" i="1"/>
  <c r="S7040" i="1"/>
  <c r="O7040" i="1"/>
  <c r="K7040" i="1"/>
  <c r="J7040" i="1"/>
  <c r="I7040" i="1"/>
  <c r="H7040" i="1"/>
  <c r="G7040" i="1"/>
  <c r="F7040" i="1"/>
  <c r="E7040" i="1"/>
  <c r="D7040" i="1"/>
  <c r="C7040" i="1"/>
  <c r="B7040" i="1"/>
  <c r="A7040" i="1"/>
  <c r="R7039" i="1"/>
  <c r="J7039" i="1"/>
  <c r="I7039" i="1"/>
  <c r="G7039" i="1"/>
  <c r="F7039" i="1"/>
  <c r="E7039" i="1"/>
  <c r="D7039" i="1"/>
  <c r="C7039" i="1"/>
  <c r="B7039" i="1"/>
  <c r="A7039" i="1"/>
  <c r="S7038" i="1"/>
  <c r="O7038" i="1"/>
  <c r="K7038" i="1"/>
  <c r="J7038" i="1"/>
  <c r="I7038" i="1"/>
  <c r="H7038" i="1"/>
  <c r="G7038" i="1"/>
  <c r="F7038" i="1"/>
  <c r="E7038" i="1"/>
  <c r="D7038" i="1"/>
  <c r="C7038" i="1"/>
  <c r="B7038" i="1"/>
  <c r="A7038" i="1"/>
  <c r="R7037" i="1"/>
  <c r="J7037" i="1"/>
  <c r="I7037" i="1"/>
  <c r="G7037" i="1"/>
  <c r="F7037" i="1"/>
  <c r="E7037" i="1"/>
  <c r="D7037" i="1"/>
  <c r="C7037" i="1"/>
  <c r="B7037" i="1"/>
  <c r="A7037" i="1"/>
  <c r="S7036" i="1"/>
  <c r="O7036" i="1"/>
  <c r="K7036" i="1"/>
  <c r="J7036" i="1"/>
  <c r="I7036" i="1"/>
  <c r="H7036" i="1"/>
  <c r="G7036" i="1"/>
  <c r="F7036" i="1"/>
  <c r="E7036" i="1"/>
  <c r="D7036" i="1"/>
  <c r="C7036" i="1"/>
  <c r="B7036" i="1"/>
  <c r="A7036" i="1"/>
  <c r="R7035" i="1"/>
  <c r="J7035" i="1"/>
  <c r="I7035" i="1"/>
  <c r="G7035" i="1"/>
  <c r="F7035" i="1"/>
  <c r="E7035" i="1"/>
  <c r="D7035" i="1"/>
  <c r="C7035" i="1"/>
  <c r="B7035" i="1"/>
  <c r="A7035" i="1"/>
  <c r="S7034" i="1"/>
  <c r="O7034" i="1"/>
  <c r="K7034" i="1"/>
  <c r="J7034" i="1"/>
  <c r="I7034" i="1"/>
  <c r="H7034" i="1"/>
  <c r="G7034" i="1"/>
  <c r="F7034" i="1"/>
  <c r="E7034" i="1"/>
  <c r="D7034" i="1"/>
  <c r="C7034" i="1"/>
  <c r="B7034" i="1"/>
  <c r="A7034" i="1"/>
  <c r="R7033" i="1"/>
  <c r="J7033" i="1"/>
  <c r="I7033" i="1"/>
  <c r="G7033" i="1"/>
  <c r="F7033" i="1"/>
  <c r="E7033" i="1"/>
  <c r="D7033" i="1"/>
  <c r="C7033" i="1"/>
  <c r="B7033" i="1"/>
  <c r="A7033" i="1"/>
  <c r="S7032" i="1"/>
  <c r="O7032" i="1"/>
  <c r="K7032" i="1"/>
  <c r="J7032" i="1"/>
  <c r="I7032" i="1"/>
  <c r="H7032" i="1"/>
  <c r="G7032" i="1"/>
  <c r="F7032" i="1"/>
  <c r="E7032" i="1"/>
  <c r="D7032" i="1"/>
  <c r="C7032" i="1"/>
  <c r="B7032" i="1"/>
  <c r="A7032" i="1"/>
  <c r="R7031" i="1"/>
  <c r="J7031" i="1"/>
  <c r="I7031" i="1"/>
  <c r="G7031" i="1"/>
  <c r="F7031" i="1"/>
  <c r="E7031" i="1"/>
  <c r="D7031" i="1"/>
  <c r="C7031" i="1"/>
  <c r="B7031" i="1"/>
  <c r="A7031" i="1"/>
  <c r="S7030" i="1"/>
  <c r="O7030" i="1"/>
  <c r="K7030" i="1"/>
  <c r="J7030" i="1"/>
  <c r="I7030" i="1"/>
  <c r="H7030" i="1"/>
  <c r="G7030" i="1"/>
  <c r="F7030" i="1"/>
  <c r="E7030" i="1"/>
  <c r="D7030" i="1"/>
  <c r="C7030" i="1"/>
  <c r="B7030" i="1"/>
  <c r="A7030" i="1"/>
  <c r="R7029" i="1"/>
  <c r="J7029" i="1"/>
  <c r="I7029" i="1"/>
  <c r="G7029" i="1"/>
  <c r="F7029" i="1"/>
  <c r="E7029" i="1"/>
  <c r="D7029" i="1"/>
  <c r="C7029" i="1"/>
  <c r="B7029" i="1"/>
  <c r="A7029" i="1"/>
  <c r="S7028" i="1"/>
  <c r="O7028" i="1"/>
  <c r="K7028" i="1"/>
  <c r="J7028" i="1"/>
  <c r="I7028" i="1"/>
  <c r="H7028" i="1"/>
  <c r="G7028" i="1"/>
  <c r="F7028" i="1"/>
  <c r="E7028" i="1"/>
  <c r="D7028" i="1"/>
  <c r="C7028" i="1"/>
  <c r="B7028" i="1"/>
  <c r="A7028" i="1"/>
  <c r="R7027" i="1"/>
  <c r="J7027" i="1"/>
  <c r="I7027" i="1"/>
  <c r="G7027" i="1"/>
  <c r="F7027" i="1"/>
  <c r="E7027" i="1"/>
  <c r="D7027" i="1"/>
  <c r="C7027" i="1"/>
  <c r="B7027" i="1"/>
  <c r="A7027" i="1"/>
  <c r="S7026" i="1"/>
  <c r="O7026" i="1"/>
  <c r="K7026" i="1"/>
  <c r="J7026" i="1"/>
  <c r="I7026" i="1"/>
  <c r="H7026" i="1"/>
  <c r="G7026" i="1"/>
  <c r="F7026" i="1"/>
  <c r="E7026" i="1"/>
  <c r="D7026" i="1"/>
  <c r="C7026" i="1"/>
  <c r="B7026" i="1"/>
  <c r="A7026" i="1"/>
  <c r="R7025" i="1"/>
  <c r="J7025" i="1"/>
  <c r="I7025" i="1"/>
  <c r="G7025" i="1"/>
  <c r="F7025" i="1"/>
  <c r="E7025" i="1"/>
  <c r="D7025" i="1"/>
  <c r="C7025" i="1"/>
  <c r="B7025" i="1"/>
  <c r="A7025" i="1"/>
  <c r="S7024" i="1"/>
  <c r="O7024" i="1"/>
  <c r="K7024" i="1"/>
  <c r="J7024" i="1"/>
  <c r="I7024" i="1"/>
  <c r="H7024" i="1"/>
  <c r="G7024" i="1"/>
  <c r="F7024" i="1"/>
  <c r="E7024" i="1"/>
  <c r="D7024" i="1"/>
  <c r="C7024" i="1"/>
  <c r="B7024" i="1"/>
  <c r="A7024" i="1"/>
  <c r="R7023" i="1"/>
  <c r="J7023" i="1"/>
  <c r="I7023" i="1"/>
  <c r="G7023" i="1"/>
  <c r="F7023" i="1"/>
  <c r="E7023" i="1"/>
  <c r="D7023" i="1"/>
  <c r="C7023" i="1"/>
  <c r="B7023" i="1"/>
  <c r="A7023" i="1"/>
  <c r="S7022" i="1"/>
  <c r="O7022" i="1"/>
  <c r="K7022" i="1"/>
  <c r="J7022" i="1"/>
  <c r="I7022" i="1"/>
  <c r="H7022" i="1"/>
  <c r="G7022" i="1"/>
  <c r="F7022" i="1"/>
  <c r="E7022" i="1"/>
  <c r="D7022" i="1"/>
  <c r="C7022" i="1"/>
  <c r="B7022" i="1"/>
  <c r="A7022" i="1"/>
  <c r="R7021" i="1"/>
  <c r="J7021" i="1"/>
  <c r="I7021" i="1"/>
  <c r="G7021" i="1"/>
  <c r="F7021" i="1"/>
  <c r="E7021" i="1"/>
  <c r="D7021" i="1"/>
  <c r="C7021" i="1"/>
  <c r="B7021" i="1"/>
  <c r="A7021" i="1"/>
  <c r="S7020" i="1"/>
  <c r="O7020" i="1"/>
  <c r="K7020" i="1"/>
  <c r="J7020" i="1"/>
  <c r="I7020" i="1"/>
  <c r="H7020" i="1"/>
  <c r="G7020" i="1"/>
  <c r="F7020" i="1"/>
  <c r="E7020" i="1"/>
  <c r="D7020" i="1"/>
  <c r="C7020" i="1"/>
  <c r="B7020" i="1"/>
  <c r="A7020" i="1"/>
  <c r="R7019" i="1"/>
  <c r="J7019" i="1"/>
  <c r="I7019" i="1"/>
  <c r="G7019" i="1"/>
  <c r="F7019" i="1"/>
  <c r="E7019" i="1"/>
  <c r="D7019" i="1"/>
  <c r="C7019" i="1"/>
  <c r="B7019" i="1"/>
  <c r="A7019" i="1"/>
  <c r="S7018" i="1"/>
  <c r="O7018" i="1"/>
  <c r="K7018" i="1"/>
  <c r="J7018" i="1"/>
  <c r="I7018" i="1"/>
  <c r="H7018" i="1"/>
  <c r="G7018" i="1"/>
  <c r="F7018" i="1"/>
  <c r="E7018" i="1"/>
  <c r="D7018" i="1"/>
  <c r="C7018" i="1"/>
  <c r="B7018" i="1"/>
  <c r="A7018" i="1"/>
  <c r="R7017" i="1"/>
  <c r="J7017" i="1"/>
  <c r="I7017" i="1"/>
  <c r="G7017" i="1"/>
  <c r="F7017" i="1"/>
  <c r="E7017" i="1"/>
  <c r="D7017" i="1"/>
  <c r="C7017" i="1"/>
  <c r="B7017" i="1"/>
  <c r="A7017" i="1"/>
  <c r="S7016" i="1"/>
  <c r="O7016" i="1"/>
  <c r="K7016" i="1"/>
  <c r="J7016" i="1"/>
  <c r="I7016" i="1"/>
  <c r="H7016" i="1"/>
  <c r="G7016" i="1"/>
  <c r="F7016" i="1"/>
  <c r="E7016" i="1"/>
  <c r="D7016" i="1"/>
  <c r="C7016" i="1"/>
  <c r="B7016" i="1"/>
  <c r="A7016" i="1"/>
  <c r="R7015" i="1"/>
  <c r="J7015" i="1"/>
  <c r="I7015" i="1"/>
  <c r="G7015" i="1"/>
  <c r="F7015" i="1"/>
  <c r="E7015" i="1"/>
  <c r="D7015" i="1"/>
  <c r="C7015" i="1"/>
  <c r="B7015" i="1"/>
  <c r="A7015" i="1"/>
  <c r="S7014" i="1"/>
  <c r="O7014" i="1"/>
  <c r="K7014" i="1"/>
  <c r="J7014" i="1"/>
  <c r="I7014" i="1"/>
  <c r="H7014" i="1"/>
  <c r="G7014" i="1"/>
  <c r="F7014" i="1"/>
  <c r="E7014" i="1"/>
  <c r="D7014" i="1"/>
  <c r="C7014" i="1"/>
  <c r="B7014" i="1"/>
  <c r="A7014" i="1"/>
  <c r="R7013" i="1"/>
  <c r="J7013" i="1"/>
  <c r="I7013" i="1"/>
  <c r="G7013" i="1"/>
  <c r="F7013" i="1"/>
  <c r="E7013" i="1"/>
  <c r="D7013" i="1"/>
  <c r="C7013" i="1"/>
  <c r="B7013" i="1"/>
  <c r="A7013" i="1"/>
  <c r="S7012" i="1"/>
  <c r="O7012" i="1"/>
  <c r="K7012" i="1"/>
  <c r="J7012" i="1"/>
  <c r="I7012" i="1"/>
  <c r="H7012" i="1"/>
  <c r="G7012" i="1"/>
  <c r="F7012" i="1"/>
  <c r="E7012" i="1"/>
  <c r="D7012" i="1"/>
  <c r="C7012" i="1"/>
  <c r="B7012" i="1"/>
  <c r="A7012" i="1"/>
  <c r="R7011" i="1"/>
  <c r="J7011" i="1"/>
  <c r="I7011" i="1"/>
  <c r="G7011" i="1"/>
  <c r="F7011" i="1"/>
  <c r="E7011" i="1"/>
  <c r="D7011" i="1"/>
  <c r="C7011" i="1"/>
  <c r="B7011" i="1"/>
  <c r="A7011" i="1"/>
  <c r="S7010" i="1"/>
  <c r="O7010" i="1"/>
  <c r="K7010" i="1"/>
  <c r="J7010" i="1"/>
  <c r="I7010" i="1"/>
  <c r="H7010" i="1"/>
  <c r="G7010" i="1"/>
  <c r="F7010" i="1"/>
  <c r="E7010" i="1"/>
  <c r="D7010" i="1"/>
  <c r="C7010" i="1"/>
  <c r="B7010" i="1"/>
  <c r="A7010" i="1"/>
  <c r="R7009" i="1"/>
  <c r="J7009" i="1"/>
  <c r="I7009" i="1"/>
  <c r="G7009" i="1"/>
  <c r="F7009" i="1"/>
  <c r="E7009" i="1"/>
  <c r="D7009" i="1"/>
  <c r="C7009" i="1"/>
  <c r="B7009" i="1"/>
  <c r="A7009" i="1"/>
  <c r="R7008" i="1"/>
  <c r="J7008" i="1"/>
  <c r="I7008" i="1"/>
  <c r="G7008" i="1"/>
  <c r="F7008" i="1"/>
  <c r="E7008" i="1"/>
  <c r="D7008" i="1"/>
  <c r="C7008" i="1"/>
  <c r="B7008" i="1"/>
  <c r="A7008" i="1"/>
  <c r="S7007" i="1"/>
  <c r="O7007" i="1"/>
  <c r="K7007" i="1"/>
  <c r="J7007" i="1"/>
  <c r="I7007" i="1"/>
  <c r="H7007" i="1"/>
  <c r="G7007" i="1"/>
  <c r="F7007" i="1"/>
  <c r="E7007" i="1"/>
  <c r="D7007" i="1"/>
  <c r="C7007" i="1"/>
  <c r="B7007" i="1"/>
  <c r="A7007" i="1"/>
  <c r="R7006" i="1"/>
  <c r="J7006" i="1"/>
  <c r="I7006" i="1"/>
  <c r="G7006" i="1"/>
  <c r="F7006" i="1"/>
  <c r="E7006" i="1"/>
  <c r="D7006" i="1"/>
  <c r="C7006" i="1"/>
  <c r="B7006" i="1"/>
  <c r="A7006" i="1"/>
  <c r="R7005" i="1"/>
  <c r="J7005" i="1"/>
  <c r="I7005" i="1"/>
  <c r="G7005" i="1"/>
  <c r="F7005" i="1"/>
  <c r="E7005" i="1"/>
  <c r="D7005" i="1"/>
  <c r="C7005" i="1"/>
  <c r="B7005" i="1"/>
  <c r="A7005" i="1"/>
  <c r="S7004" i="1"/>
  <c r="O7004" i="1"/>
  <c r="K7004" i="1"/>
  <c r="J7004" i="1"/>
  <c r="I7004" i="1"/>
  <c r="H7004" i="1"/>
  <c r="G7004" i="1"/>
  <c r="F7004" i="1"/>
  <c r="E7004" i="1"/>
  <c r="D7004" i="1"/>
  <c r="C7004" i="1"/>
  <c r="B7004" i="1"/>
  <c r="A7004" i="1"/>
  <c r="R7003" i="1"/>
  <c r="J7003" i="1"/>
  <c r="I7003" i="1"/>
  <c r="G7003" i="1"/>
  <c r="F7003" i="1"/>
  <c r="E7003" i="1"/>
  <c r="D7003" i="1"/>
  <c r="C7003" i="1"/>
  <c r="B7003" i="1"/>
  <c r="A7003" i="1"/>
  <c r="S7002" i="1"/>
  <c r="O7002" i="1"/>
  <c r="K7002" i="1"/>
  <c r="J7002" i="1"/>
  <c r="I7002" i="1"/>
  <c r="H7002" i="1"/>
  <c r="G7002" i="1"/>
  <c r="F7002" i="1"/>
  <c r="E7002" i="1"/>
  <c r="D7002" i="1"/>
  <c r="C7002" i="1"/>
  <c r="B7002" i="1"/>
  <c r="A7002" i="1"/>
  <c r="R7001" i="1"/>
  <c r="J7001" i="1"/>
  <c r="I7001" i="1"/>
  <c r="G7001" i="1"/>
  <c r="F7001" i="1"/>
  <c r="E7001" i="1"/>
  <c r="D7001" i="1"/>
  <c r="C7001" i="1"/>
  <c r="B7001" i="1"/>
  <c r="A7001" i="1"/>
  <c r="S7000" i="1"/>
  <c r="O7000" i="1"/>
  <c r="K7000" i="1"/>
  <c r="J7000" i="1"/>
  <c r="I7000" i="1"/>
  <c r="H7000" i="1"/>
  <c r="G7000" i="1"/>
  <c r="F7000" i="1"/>
  <c r="E7000" i="1"/>
  <c r="D7000" i="1"/>
  <c r="C7000" i="1"/>
  <c r="B7000" i="1"/>
  <c r="A7000" i="1"/>
  <c r="R6999" i="1"/>
  <c r="J6999" i="1"/>
  <c r="I6999" i="1"/>
  <c r="G6999" i="1"/>
  <c r="F6999" i="1"/>
  <c r="E6999" i="1"/>
  <c r="D6999" i="1"/>
  <c r="C6999" i="1"/>
  <c r="B6999" i="1"/>
  <c r="A6999" i="1"/>
  <c r="R6998" i="1"/>
  <c r="J6998" i="1"/>
  <c r="I6998" i="1"/>
  <c r="G6998" i="1"/>
  <c r="F6998" i="1"/>
  <c r="E6998" i="1"/>
  <c r="D6998" i="1"/>
  <c r="C6998" i="1"/>
  <c r="B6998" i="1"/>
  <c r="A6998" i="1"/>
  <c r="S6997" i="1"/>
  <c r="O6997" i="1"/>
  <c r="K6997" i="1"/>
  <c r="J6997" i="1"/>
  <c r="I6997" i="1"/>
  <c r="H6997" i="1"/>
  <c r="G6997" i="1"/>
  <c r="F6997" i="1"/>
  <c r="E6997" i="1"/>
  <c r="D6997" i="1"/>
  <c r="C6997" i="1"/>
  <c r="B6997" i="1"/>
  <c r="A6997" i="1"/>
  <c r="S6996" i="1"/>
  <c r="O6996" i="1"/>
  <c r="K6996" i="1"/>
  <c r="J6996" i="1"/>
  <c r="I6996" i="1"/>
  <c r="H6996" i="1"/>
  <c r="G6996" i="1"/>
  <c r="F6996" i="1"/>
  <c r="D6996" i="1"/>
  <c r="C6996" i="1"/>
  <c r="B6996" i="1"/>
  <c r="A6996" i="1"/>
  <c r="S6995" i="1"/>
  <c r="O6995" i="1"/>
  <c r="K6995" i="1"/>
  <c r="J6995" i="1"/>
  <c r="I6995" i="1"/>
  <c r="H6995" i="1"/>
  <c r="G6995" i="1"/>
  <c r="F6995" i="1"/>
  <c r="D6995" i="1"/>
  <c r="C6995" i="1"/>
  <c r="B6995" i="1"/>
  <c r="A6995" i="1"/>
  <c r="R6994" i="1"/>
  <c r="J6994" i="1"/>
  <c r="I6994" i="1"/>
  <c r="G6994" i="1"/>
  <c r="F6994" i="1"/>
  <c r="E6994" i="1"/>
  <c r="D6994" i="1"/>
  <c r="C6994" i="1"/>
  <c r="B6994" i="1"/>
  <c r="A6994" i="1"/>
  <c r="R6993" i="1"/>
  <c r="J6993" i="1"/>
  <c r="I6993" i="1"/>
  <c r="G6993" i="1"/>
  <c r="F6993" i="1"/>
  <c r="E6993" i="1"/>
  <c r="D6993" i="1"/>
  <c r="C6993" i="1"/>
  <c r="B6993" i="1"/>
  <c r="A6993" i="1"/>
  <c r="S6992" i="1"/>
  <c r="O6992" i="1"/>
  <c r="K6992" i="1"/>
  <c r="J6992" i="1"/>
  <c r="I6992" i="1"/>
  <c r="H6992" i="1"/>
  <c r="G6992" i="1"/>
  <c r="F6992" i="1"/>
  <c r="E6992" i="1"/>
  <c r="D6992" i="1"/>
  <c r="C6992" i="1"/>
  <c r="B6992" i="1"/>
  <c r="A6992" i="1"/>
  <c r="R6991" i="1"/>
  <c r="J6991" i="1"/>
  <c r="I6991" i="1"/>
  <c r="G6991" i="1"/>
  <c r="F6991" i="1"/>
  <c r="E6991" i="1"/>
  <c r="D6991" i="1"/>
  <c r="C6991" i="1"/>
  <c r="B6991" i="1"/>
  <c r="A6991" i="1"/>
  <c r="S6990" i="1"/>
  <c r="O6990" i="1"/>
  <c r="K6990" i="1"/>
  <c r="J6990" i="1"/>
  <c r="I6990" i="1"/>
  <c r="H6990" i="1"/>
  <c r="G6990" i="1"/>
  <c r="F6990" i="1"/>
  <c r="E6990" i="1"/>
  <c r="D6990" i="1"/>
  <c r="C6990" i="1"/>
  <c r="B6990" i="1"/>
  <c r="A6990" i="1"/>
  <c r="R6989" i="1"/>
  <c r="J6989" i="1"/>
  <c r="I6989" i="1"/>
  <c r="G6989" i="1"/>
  <c r="F6989" i="1"/>
  <c r="E6989" i="1"/>
  <c r="D6989" i="1"/>
  <c r="C6989" i="1"/>
  <c r="B6989" i="1"/>
  <c r="A6989" i="1"/>
  <c r="R6988" i="1"/>
  <c r="J6988" i="1"/>
  <c r="I6988" i="1"/>
  <c r="G6988" i="1"/>
  <c r="F6988" i="1"/>
  <c r="E6988" i="1"/>
  <c r="D6988" i="1"/>
  <c r="C6988" i="1"/>
  <c r="B6988" i="1"/>
  <c r="A6988" i="1"/>
  <c r="R6987" i="1"/>
  <c r="J6987" i="1"/>
  <c r="I6987" i="1"/>
  <c r="G6987" i="1"/>
  <c r="F6987" i="1"/>
  <c r="E6987" i="1"/>
  <c r="D6987" i="1"/>
  <c r="C6987" i="1"/>
  <c r="B6987" i="1"/>
  <c r="A6987" i="1"/>
  <c r="R6986" i="1"/>
  <c r="J6986" i="1"/>
  <c r="I6986" i="1"/>
  <c r="G6986" i="1"/>
  <c r="F6986" i="1"/>
  <c r="E6986" i="1"/>
  <c r="D6986" i="1"/>
  <c r="C6986" i="1"/>
  <c r="B6986" i="1"/>
  <c r="A6986" i="1"/>
  <c r="S6985" i="1"/>
  <c r="O6985" i="1"/>
  <c r="K6985" i="1"/>
  <c r="J6985" i="1"/>
  <c r="I6985" i="1"/>
  <c r="H6985" i="1"/>
  <c r="G6985" i="1"/>
  <c r="F6985" i="1"/>
  <c r="E6985" i="1"/>
  <c r="D6985" i="1"/>
  <c r="C6985" i="1"/>
  <c r="B6985" i="1"/>
  <c r="A6985" i="1"/>
  <c r="R6984" i="1"/>
  <c r="J6984" i="1"/>
  <c r="I6984" i="1"/>
  <c r="G6984" i="1"/>
  <c r="F6984" i="1"/>
  <c r="E6984" i="1"/>
  <c r="D6984" i="1"/>
  <c r="C6984" i="1"/>
  <c r="B6984" i="1"/>
  <c r="A6984" i="1"/>
  <c r="S6983" i="1"/>
  <c r="O6983" i="1"/>
  <c r="K6983" i="1"/>
  <c r="J6983" i="1"/>
  <c r="I6983" i="1"/>
  <c r="H6983" i="1"/>
  <c r="G6983" i="1"/>
  <c r="F6983" i="1"/>
  <c r="E6983" i="1"/>
  <c r="D6983" i="1"/>
  <c r="C6983" i="1"/>
  <c r="B6983" i="1"/>
  <c r="A6983" i="1"/>
  <c r="R6982" i="1"/>
  <c r="J6982" i="1"/>
  <c r="I6982" i="1"/>
  <c r="G6982" i="1"/>
  <c r="F6982" i="1"/>
  <c r="E6982" i="1"/>
  <c r="D6982" i="1"/>
  <c r="C6982" i="1"/>
  <c r="B6982" i="1"/>
  <c r="A6982" i="1"/>
  <c r="S6981" i="1"/>
  <c r="O6981" i="1"/>
  <c r="K6981" i="1"/>
  <c r="J6981" i="1"/>
  <c r="I6981" i="1"/>
  <c r="H6981" i="1"/>
  <c r="G6981" i="1"/>
  <c r="F6981" i="1"/>
  <c r="E6981" i="1"/>
  <c r="D6981" i="1"/>
  <c r="C6981" i="1"/>
  <c r="B6981" i="1"/>
  <c r="A6981" i="1"/>
  <c r="R6980" i="1"/>
  <c r="J6980" i="1"/>
  <c r="I6980" i="1"/>
  <c r="G6980" i="1"/>
  <c r="F6980" i="1"/>
  <c r="E6980" i="1"/>
  <c r="D6980" i="1"/>
  <c r="C6980" i="1"/>
  <c r="B6980" i="1"/>
  <c r="A6980" i="1"/>
  <c r="S6979" i="1"/>
  <c r="O6979" i="1"/>
  <c r="K6979" i="1"/>
  <c r="J6979" i="1"/>
  <c r="I6979" i="1"/>
  <c r="H6979" i="1"/>
  <c r="G6979" i="1"/>
  <c r="F6979" i="1"/>
  <c r="E6979" i="1"/>
  <c r="D6979" i="1"/>
  <c r="C6979" i="1"/>
  <c r="B6979" i="1"/>
  <c r="A6979" i="1"/>
  <c r="R6978" i="1"/>
  <c r="J6978" i="1"/>
  <c r="I6978" i="1"/>
  <c r="G6978" i="1"/>
  <c r="F6978" i="1"/>
  <c r="E6978" i="1"/>
  <c r="D6978" i="1"/>
  <c r="C6978" i="1"/>
  <c r="B6978" i="1"/>
  <c r="A6978" i="1"/>
  <c r="S6977" i="1"/>
  <c r="O6977" i="1"/>
  <c r="K6977" i="1"/>
  <c r="J6977" i="1"/>
  <c r="I6977" i="1"/>
  <c r="H6977" i="1"/>
  <c r="G6977" i="1"/>
  <c r="F6977" i="1"/>
  <c r="E6977" i="1"/>
  <c r="D6977" i="1"/>
  <c r="C6977" i="1"/>
  <c r="B6977" i="1"/>
  <c r="A6977" i="1"/>
  <c r="R6976" i="1"/>
  <c r="J6976" i="1"/>
  <c r="I6976" i="1"/>
  <c r="G6976" i="1"/>
  <c r="F6976" i="1"/>
  <c r="E6976" i="1"/>
  <c r="D6976" i="1"/>
  <c r="C6976" i="1"/>
  <c r="B6976" i="1"/>
  <c r="A6976" i="1"/>
  <c r="S6975" i="1"/>
  <c r="O6975" i="1"/>
  <c r="K6975" i="1"/>
  <c r="J6975" i="1"/>
  <c r="I6975" i="1"/>
  <c r="H6975" i="1"/>
  <c r="G6975" i="1"/>
  <c r="F6975" i="1"/>
  <c r="E6975" i="1"/>
  <c r="D6975" i="1"/>
  <c r="C6975" i="1"/>
  <c r="B6975" i="1"/>
  <c r="A6975" i="1"/>
  <c r="R6974" i="1"/>
  <c r="J6974" i="1"/>
  <c r="I6974" i="1"/>
  <c r="G6974" i="1"/>
  <c r="F6974" i="1"/>
  <c r="E6974" i="1"/>
  <c r="D6974" i="1"/>
  <c r="C6974" i="1"/>
  <c r="B6974" i="1"/>
  <c r="A6974" i="1"/>
  <c r="S6973" i="1"/>
  <c r="O6973" i="1"/>
  <c r="K6973" i="1"/>
  <c r="J6973" i="1"/>
  <c r="I6973" i="1"/>
  <c r="H6973" i="1"/>
  <c r="G6973" i="1"/>
  <c r="F6973" i="1"/>
  <c r="E6973" i="1"/>
  <c r="D6973" i="1"/>
  <c r="C6973" i="1"/>
  <c r="B6973" i="1"/>
  <c r="A6973" i="1"/>
  <c r="R6972" i="1"/>
  <c r="J6972" i="1"/>
  <c r="I6972" i="1"/>
  <c r="G6972" i="1"/>
  <c r="F6972" i="1"/>
  <c r="E6972" i="1"/>
  <c r="D6972" i="1"/>
  <c r="C6972" i="1"/>
  <c r="B6972" i="1"/>
  <c r="A6972" i="1"/>
  <c r="S6971" i="1"/>
  <c r="O6971" i="1"/>
  <c r="K6971" i="1"/>
  <c r="J6971" i="1"/>
  <c r="I6971" i="1"/>
  <c r="H6971" i="1"/>
  <c r="G6971" i="1"/>
  <c r="F6971" i="1"/>
  <c r="E6971" i="1"/>
  <c r="D6971" i="1"/>
  <c r="C6971" i="1"/>
  <c r="B6971" i="1"/>
  <c r="A6971" i="1"/>
  <c r="R6970" i="1"/>
  <c r="J6970" i="1"/>
  <c r="I6970" i="1"/>
  <c r="G6970" i="1"/>
  <c r="F6970" i="1"/>
  <c r="E6970" i="1"/>
  <c r="D6970" i="1"/>
  <c r="C6970" i="1"/>
  <c r="B6970" i="1"/>
  <c r="A6970" i="1"/>
  <c r="S6969" i="1"/>
  <c r="O6969" i="1"/>
  <c r="K6969" i="1"/>
  <c r="J6969" i="1"/>
  <c r="I6969" i="1"/>
  <c r="H6969" i="1"/>
  <c r="G6969" i="1"/>
  <c r="F6969" i="1"/>
  <c r="E6969" i="1"/>
  <c r="D6969" i="1"/>
  <c r="C6969" i="1"/>
  <c r="B6969" i="1"/>
  <c r="A6969" i="1"/>
  <c r="R6968" i="1"/>
  <c r="J6968" i="1"/>
  <c r="I6968" i="1"/>
  <c r="G6968" i="1"/>
  <c r="F6968" i="1"/>
  <c r="E6968" i="1"/>
  <c r="D6968" i="1"/>
  <c r="C6968" i="1"/>
  <c r="B6968" i="1"/>
  <c r="A6968" i="1"/>
  <c r="R6967" i="1"/>
  <c r="J6967" i="1"/>
  <c r="I6967" i="1"/>
  <c r="G6967" i="1"/>
  <c r="F6967" i="1"/>
  <c r="E6967" i="1"/>
  <c r="D6967" i="1"/>
  <c r="C6967" i="1"/>
  <c r="B6967" i="1"/>
  <c r="A6967" i="1"/>
  <c r="R6966" i="1"/>
  <c r="J6966" i="1"/>
  <c r="I6966" i="1"/>
  <c r="G6966" i="1"/>
  <c r="F6966" i="1"/>
  <c r="E6966" i="1"/>
  <c r="D6966" i="1"/>
  <c r="C6966" i="1"/>
  <c r="B6966" i="1"/>
  <c r="A6966" i="1"/>
  <c r="R6965" i="1"/>
  <c r="J6965" i="1"/>
  <c r="I6965" i="1"/>
  <c r="G6965" i="1"/>
  <c r="F6965" i="1"/>
  <c r="E6965" i="1"/>
  <c r="D6965" i="1"/>
  <c r="C6965" i="1"/>
  <c r="B6965" i="1"/>
  <c r="A6965" i="1"/>
  <c r="R6964" i="1"/>
  <c r="J6964" i="1"/>
  <c r="I6964" i="1"/>
  <c r="G6964" i="1"/>
  <c r="F6964" i="1"/>
  <c r="E6964" i="1"/>
  <c r="D6964" i="1"/>
  <c r="C6964" i="1"/>
  <c r="B6964" i="1"/>
  <c r="A6964" i="1"/>
  <c r="R6963" i="1"/>
  <c r="J6963" i="1"/>
  <c r="I6963" i="1"/>
  <c r="G6963" i="1"/>
  <c r="F6963" i="1"/>
  <c r="E6963" i="1"/>
  <c r="D6963" i="1"/>
  <c r="C6963" i="1"/>
  <c r="B6963" i="1"/>
  <c r="A6963" i="1"/>
  <c r="S6962" i="1"/>
  <c r="O6962" i="1"/>
  <c r="K6962" i="1"/>
  <c r="J6962" i="1"/>
  <c r="I6962" i="1"/>
  <c r="H6962" i="1"/>
  <c r="G6962" i="1"/>
  <c r="F6962" i="1"/>
  <c r="E6962" i="1"/>
  <c r="D6962" i="1"/>
  <c r="C6962" i="1"/>
  <c r="B6962" i="1"/>
  <c r="A6962" i="1"/>
  <c r="R6961" i="1"/>
  <c r="J6961" i="1"/>
  <c r="I6961" i="1"/>
  <c r="G6961" i="1"/>
  <c r="F6961" i="1"/>
  <c r="E6961" i="1"/>
  <c r="D6961" i="1"/>
  <c r="C6961" i="1"/>
  <c r="B6961" i="1"/>
  <c r="A6961" i="1"/>
  <c r="R6960" i="1"/>
  <c r="J6960" i="1"/>
  <c r="I6960" i="1"/>
  <c r="G6960" i="1"/>
  <c r="F6960" i="1"/>
  <c r="E6960" i="1"/>
  <c r="D6960" i="1"/>
  <c r="C6960" i="1"/>
  <c r="B6960" i="1"/>
  <c r="A6960" i="1"/>
  <c r="R6959" i="1"/>
  <c r="J6959" i="1"/>
  <c r="I6959" i="1"/>
  <c r="G6959" i="1"/>
  <c r="F6959" i="1"/>
  <c r="E6959" i="1"/>
  <c r="D6959" i="1"/>
  <c r="C6959" i="1"/>
  <c r="B6959" i="1"/>
  <c r="A6959" i="1"/>
  <c r="S6958" i="1"/>
  <c r="O6958" i="1"/>
  <c r="K6958" i="1"/>
  <c r="J6958" i="1"/>
  <c r="I6958" i="1"/>
  <c r="H6958" i="1"/>
  <c r="G6958" i="1"/>
  <c r="F6958" i="1"/>
  <c r="E6958" i="1"/>
  <c r="D6958" i="1"/>
  <c r="C6958" i="1"/>
  <c r="B6958" i="1"/>
  <c r="A6958" i="1"/>
  <c r="R6957" i="1"/>
  <c r="J6957" i="1"/>
  <c r="I6957" i="1"/>
  <c r="G6957" i="1"/>
  <c r="F6957" i="1"/>
  <c r="E6957" i="1"/>
  <c r="D6957" i="1"/>
  <c r="C6957" i="1"/>
  <c r="B6957" i="1"/>
  <c r="A6957" i="1"/>
  <c r="R6956" i="1"/>
  <c r="J6956" i="1"/>
  <c r="I6956" i="1"/>
  <c r="G6956" i="1"/>
  <c r="F6956" i="1"/>
  <c r="E6956" i="1"/>
  <c r="D6956" i="1"/>
  <c r="C6956" i="1"/>
  <c r="B6956" i="1"/>
  <c r="A6956" i="1"/>
  <c r="S6955" i="1"/>
  <c r="O6955" i="1"/>
  <c r="K6955" i="1"/>
  <c r="J6955" i="1"/>
  <c r="I6955" i="1"/>
  <c r="H6955" i="1"/>
  <c r="G6955" i="1"/>
  <c r="F6955" i="1"/>
  <c r="E6955" i="1"/>
  <c r="D6955" i="1"/>
  <c r="C6955" i="1"/>
  <c r="B6955" i="1"/>
  <c r="A6955" i="1"/>
  <c r="R6954" i="1"/>
  <c r="J6954" i="1"/>
  <c r="I6954" i="1"/>
  <c r="G6954" i="1"/>
  <c r="F6954" i="1"/>
  <c r="E6954" i="1"/>
  <c r="D6954" i="1"/>
  <c r="C6954" i="1"/>
  <c r="B6954" i="1"/>
  <c r="A6954" i="1"/>
  <c r="S6953" i="1"/>
  <c r="O6953" i="1"/>
  <c r="K6953" i="1"/>
  <c r="J6953" i="1"/>
  <c r="I6953" i="1"/>
  <c r="H6953" i="1"/>
  <c r="G6953" i="1"/>
  <c r="F6953" i="1"/>
  <c r="E6953" i="1"/>
  <c r="D6953" i="1"/>
  <c r="C6953" i="1"/>
  <c r="B6953" i="1"/>
  <c r="A6953" i="1"/>
  <c r="R6952" i="1"/>
  <c r="J6952" i="1"/>
  <c r="I6952" i="1"/>
  <c r="G6952" i="1"/>
  <c r="F6952" i="1"/>
  <c r="E6952" i="1"/>
  <c r="D6952" i="1"/>
  <c r="C6952" i="1"/>
  <c r="B6952" i="1"/>
  <c r="A6952" i="1"/>
  <c r="R6951" i="1"/>
  <c r="J6951" i="1"/>
  <c r="I6951" i="1"/>
  <c r="G6951" i="1"/>
  <c r="F6951" i="1"/>
  <c r="E6951" i="1"/>
  <c r="D6951" i="1"/>
  <c r="C6951" i="1"/>
  <c r="B6951" i="1"/>
  <c r="A6951" i="1"/>
  <c r="R6950" i="1"/>
  <c r="J6950" i="1"/>
  <c r="I6950" i="1"/>
  <c r="G6950" i="1"/>
  <c r="F6950" i="1"/>
  <c r="E6950" i="1"/>
  <c r="D6950" i="1"/>
  <c r="C6950" i="1"/>
  <c r="B6950" i="1"/>
  <c r="A6950" i="1"/>
  <c r="R6949" i="1"/>
  <c r="J6949" i="1"/>
  <c r="I6949" i="1"/>
  <c r="G6949" i="1"/>
  <c r="F6949" i="1"/>
  <c r="E6949" i="1"/>
  <c r="D6949" i="1"/>
  <c r="C6949" i="1"/>
  <c r="B6949" i="1"/>
  <c r="A6949" i="1"/>
  <c r="S6948" i="1"/>
  <c r="O6948" i="1"/>
  <c r="K6948" i="1"/>
  <c r="J6948" i="1"/>
  <c r="I6948" i="1"/>
  <c r="H6948" i="1"/>
  <c r="G6948" i="1"/>
  <c r="F6948" i="1"/>
  <c r="E6948" i="1"/>
  <c r="D6948" i="1"/>
  <c r="C6948" i="1"/>
  <c r="B6948" i="1"/>
  <c r="A6948" i="1"/>
  <c r="R6947" i="1"/>
  <c r="J6947" i="1"/>
  <c r="I6947" i="1"/>
  <c r="G6947" i="1"/>
  <c r="F6947" i="1"/>
  <c r="E6947" i="1"/>
  <c r="D6947" i="1"/>
  <c r="C6947" i="1"/>
  <c r="B6947" i="1"/>
  <c r="A6947" i="1"/>
  <c r="S6946" i="1"/>
  <c r="O6946" i="1"/>
  <c r="K6946" i="1"/>
  <c r="J6946" i="1"/>
  <c r="I6946" i="1"/>
  <c r="H6946" i="1"/>
  <c r="G6946" i="1"/>
  <c r="F6946" i="1"/>
  <c r="E6946" i="1"/>
  <c r="D6946" i="1"/>
  <c r="C6946" i="1"/>
  <c r="B6946" i="1"/>
  <c r="A6946" i="1"/>
  <c r="R6945" i="1"/>
  <c r="J6945" i="1"/>
  <c r="I6945" i="1"/>
  <c r="G6945" i="1"/>
  <c r="F6945" i="1"/>
  <c r="E6945" i="1"/>
  <c r="D6945" i="1"/>
  <c r="C6945" i="1"/>
  <c r="B6945" i="1"/>
  <c r="A6945" i="1"/>
  <c r="R6944" i="1"/>
  <c r="J6944" i="1"/>
  <c r="I6944" i="1"/>
  <c r="G6944" i="1"/>
  <c r="F6944" i="1"/>
  <c r="E6944" i="1"/>
  <c r="D6944" i="1"/>
  <c r="C6944" i="1"/>
  <c r="B6944" i="1"/>
  <c r="A6944" i="1"/>
  <c r="R6943" i="1"/>
  <c r="J6943" i="1"/>
  <c r="I6943" i="1"/>
  <c r="G6943" i="1"/>
  <c r="F6943" i="1"/>
  <c r="E6943" i="1"/>
  <c r="D6943" i="1"/>
  <c r="C6943" i="1"/>
  <c r="B6943" i="1"/>
  <c r="A6943" i="1"/>
  <c r="S6942" i="1"/>
  <c r="O6942" i="1"/>
  <c r="K6942" i="1"/>
  <c r="J6942" i="1"/>
  <c r="I6942" i="1"/>
  <c r="H6942" i="1"/>
  <c r="G6942" i="1"/>
  <c r="F6942" i="1"/>
  <c r="E6942" i="1"/>
  <c r="D6942" i="1"/>
  <c r="C6942" i="1"/>
  <c r="B6942" i="1"/>
  <c r="A6942" i="1"/>
  <c r="R6941" i="1"/>
  <c r="J6941" i="1"/>
  <c r="I6941" i="1"/>
  <c r="G6941" i="1"/>
  <c r="F6941" i="1"/>
  <c r="E6941" i="1"/>
  <c r="D6941" i="1"/>
  <c r="C6941" i="1"/>
  <c r="B6941" i="1"/>
  <c r="A6941" i="1"/>
  <c r="R6940" i="1"/>
  <c r="J6940" i="1"/>
  <c r="I6940" i="1"/>
  <c r="G6940" i="1"/>
  <c r="F6940" i="1"/>
  <c r="E6940" i="1"/>
  <c r="D6940" i="1"/>
  <c r="C6940" i="1"/>
  <c r="B6940" i="1"/>
  <c r="A6940" i="1"/>
  <c r="R6939" i="1"/>
  <c r="J6939" i="1"/>
  <c r="I6939" i="1"/>
  <c r="G6939" i="1"/>
  <c r="F6939" i="1"/>
  <c r="E6939" i="1"/>
  <c r="D6939" i="1"/>
  <c r="C6939" i="1"/>
  <c r="B6939" i="1"/>
  <c r="A6939" i="1"/>
  <c r="S6938" i="1"/>
  <c r="O6938" i="1"/>
  <c r="K6938" i="1"/>
  <c r="J6938" i="1"/>
  <c r="I6938" i="1"/>
  <c r="H6938" i="1"/>
  <c r="G6938" i="1"/>
  <c r="F6938" i="1"/>
  <c r="E6938" i="1"/>
  <c r="D6938" i="1"/>
  <c r="C6938" i="1"/>
  <c r="B6938" i="1"/>
  <c r="A6938" i="1"/>
  <c r="R6937" i="1"/>
  <c r="J6937" i="1"/>
  <c r="I6937" i="1"/>
  <c r="G6937" i="1"/>
  <c r="F6937" i="1"/>
  <c r="E6937" i="1"/>
  <c r="D6937" i="1"/>
  <c r="C6937" i="1"/>
  <c r="B6937" i="1"/>
  <c r="A6937" i="1"/>
  <c r="S6936" i="1"/>
  <c r="O6936" i="1"/>
  <c r="K6936" i="1"/>
  <c r="J6936" i="1"/>
  <c r="I6936" i="1"/>
  <c r="H6936" i="1"/>
  <c r="G6936" i="1"/>
  <c r="F6936" i="1"/>
  <c r="E6936" i="1"/>
  <c r="D6936" i="1"/>
  <c r="C6936" i="1"/>
  <c r="B6936" i="1"/>
  <c r="A6936" i="1"/>
  <c r="R6935" i="1"/>
  <c r="J6935" i="1"/>
  <c r="I6935" i="1"/>
  <c r="G6935" i="1"/>
  <c r="F6935" i="1"/>
  <c r="E6935" i="1"/>
  <c r="D6935" i="1"/>
  <c r="C6935" i="1"/>
  <c r="B6935" i="1"/>
  <c r="A6935" i="1"/>
  <c r="S6934" i="1"/>
  <c r="O6934" i="1"/>
  <c r="K6934" i="1"/>
  <c r="J6934" i="1"/>
  <c r="I6934" i="1"/>
  <c r="H6934" i="1"/>
  <c r="G6934" i="1"/>
  <c r="F6934" i="1"/>
  <c r="E6934" i="1"/>
  <c r="D6934" i="1"/>
  <c r="C6934" i="1"/>
  <c r="B6934" i="1"/>
  <c r="A6934" i="1"/>
  <c r="R6933" i="1"/>
  <c r="J6933" i="1"/>
  <c r="I6933" i="1"/>
  <c r="G6933" i="1"/>
  <c r="F6933" i="1"/>
  <c r="E6933" i="1"/>
  <c r="D6933" i="1"/>
  <c r="C6933" i="1"/>
  <c r="B6933" i="1"/>
  <c r="A6933" i="1"/>
  <c r="R6932" i="1"/>
  <c r="J6932" i="1"/>
  <c r="I6932" i="1"/>
  <c r="G6932" i="1"/>
  <c r="F6932" i="1"/>
  <c r="E6932" i="1"/>
  <c r="D6932" i="1"/>
  <c r="C6932" i="1"/>
  <c r="B6932" i="1"/>
  <c r="A6932" i="1"/>
  <c r="S6931" i="1"/>
  <c r="O6931" i="1"/>
  <c r="K6931" i="1"/>
  <c r="J6931" i="1"/>
  <c r="I6931" i="1"/>
  <c r="H6931" i="1"/>
  <c r="G6931" i="1"/>
  <c r="F6931" i="1"/>
  <c r="E6931" i="1"/>
  <c r="D6931" i="1"/>
  <c r="C6931" i="1"/>
  <c r="B6931" i="1"/>
  <c r="A6931" i="1"/>
  <c r="R6930" i="1"/>
  <c r="J6930" i="1"/>
  <c r="I6930" i="1"/>
  <c r="G6930" i="1"/>
  <c r="F6930" i="1"/>
  <c r="E6930" i="1"/>
  <c r="D6930" i="1"/>
  <c r="C6930" i="1"/>
  <c r="B6930" i="1"/>
  <c r="A6930" i="1"/>
  <c r="S6929" i="1"/>
  <c r="O6929" i="1"/>
  <c r="K6929" i="1"/>
  <c r="J6929" i="1"/>
  <c r="I6929" i="1"/>
  <c r="H6929" i="1"/>
  <c r="G6929" i="1"/>
  <c r="F6929" i="1"/>
  <c r="E6929" i="1"/>
  <c r="D6929" i="1"/>
  <c r="C6929" i="1"/>
  <c r="B6929" i="1"/>
  <c r="A6929" i="1"/>
  <c r="R6928" i="1"/>
  <c r="J6928" i="1"/>
  <c r="I6928" i="1"/>
  <c r="G6928" i="1"/>
  <c r="F6928" i="1"/>
  <c r="E6928" i="1"/>
  <c r="D6928" i="1"/>
  <c r="C6928" i="1"/>
  <c r="B6928" i="1"/>
  <c r="A6928" i="1"/>
  <c r="S6927" i="1"/>
  <c r="O6927" i="1"/>
  <c r="K6927" i="1"/>
  <c r="J6927" i="1"/>
  <c r="I6927" i="1"/>
  <c r="H6927" i="1"/>
  <c r="G6927" i="1"/>
  <c r="F6927" i="1"/>
  <c r="E6927" i="1"/>
  <c r="D6927" i="1"/>
  <c r="C6927" i="1"/>
  <c r="B6927" i="1"/>
  <c r="A6927" i="1"/>
  <c r="R6926" i="1"/>
  <c r="J6926" i="1"/>
  <c r="I6926" i="1"/>
  <c r="G6926" i="1"/>
  <c r="F6926" i="1"/>
  <c r="E6926" i="1"/>
  <c r="D6926" i="1"/>
  <c r="C6926" i="1"/>
  <c r="B6926" i="1"/>
  <c r="A6926" i="1"/>
  <c r="R6925" i="1"/>
  <c r="J6925" i="1"/>
  <c r="I6925" i="1"/>
  <c r="G6925" i="1"/>
  <c r="F6925" i="1"/>
  <c r="E6925" i="1"/>
  <c r="D6925" i="1"/>
  <c r="C6925" i="1"/>
  <c r="B6925" i="1"/>
  <c r="A6925" i="1"/>
  <c r="R6924" i="1"/>
  <c r="J6924" i="1"/>
  <c r="I6924" i="1"/>
  <c r="G6924" i="1"/>
  <c r="F6924" i="1"/>
  <c r="E6924" i="1"/>
  <c r="D6924" i="1"/>
  <c r="C6924" i="1"/>
  <c r="B6924" i="1"/>
  <c r="A6924" i="1"/>
  <c r="S6923" i="1"/>
  <c r="O6923" i="1"/>
  <c r="K6923" i="1"/>
  <c r="J6923" i="1"/>
  <c r="I6923" i="1"/>
  <c r="H6923" i="1"/>
  <c r="G6923" i="1"/>
  <c r="F6923" i="1"/>
  <c r="E6923" i="1"/>
  <c r="D6923" i="1"/>
  <c r="C6923" i="1"/>
  <c r="B6923" i="1"/>
  <c r="A6923" i="1"/>
  <c r="R6922" i="1"/>
  <c r="J6922" i="1"/>
  <c r="I6922" i="1"/>
  <c r="G6922" i="1"/>
  <c r="F6922" i="1"/>
  <c r="E6922" i="1"/>
  <c r="D6922" i="1"/>
  <c r="C6922" i="1"/>
  <c r="B6922" i="1"/>
  <c r="A6922" i="1"/>
  <c r="R6921" i="1"/>
  <c r="J6921" i="1"/>
  <c r="I6921" i="1"/>
  <c r="G6921" i="1"/>
  <c r="F6921" i="1"/>
  <c r="E6921" i="1"/>
  <c r="D6921" i="1"/>
  <c r="C6921" i="1"/>
  <c r="B6921" i="1"/>
  <c r="A6921" i="1"/>
  <c r="R6920" i="1"/>
  <c r="J6920" i="1"/>
  <c r="I6920" i="1"/>
  <c r="G6920" i="1"/>
  <c r="F6920" i="1"/>
  <c r="E6920" i="1"/>
  <c r="D6920" i="1"/>
  <c r="C6920" i="1"/>
  <c r="B6920" i="1"/>
  <c r="A6920" i="1"/>
  <c r="R6919" i="1"/>
  <c r="J6919" i="1"/>
  <c r="I6919" i="1"/>
  <c r="G6919" i="1"/>
  <c r="F6919" i="1"/>
  <c r="E6919" i="1"/>
  <c r="D6919" i="1"/>
  <c r="C6919" i="1"/>
  <c r="B6919" i="1"/>
  <c r="A6919" i="1"/>
  <c r="R6918" i="1"/>
  <c r="J6918" i="1"/>
  <c r="I6918" i="1"/>
  <c r="G6918" i="1"/>
  <c r="F6918" i="1"/>
  <c r="E6918" i="1"/>
  <c r="D6918" i="1"/>
  <c r="C6918" i="1"/>
  <c r="B6918" i="1"/>
  <c r="A6918" i="1"/>
  <c r="S6917" i="1"/>
  <c r="O6917" i="1"/>
  <c r="K6917" i="1"/>
  <c r="J6917" i="1"/>
  <c r="I6917" i="1"/>
  <c r="H6917" i="1"/>
  <c r="G6917" i="1"/>
  <c r="F6917" i="1"/>
  <c r="E6917" i="1"/>
  <c r="D6917" i="1"/>
  <c r="C6917" i="1"/>
  <c r="B6917" i="1"/>
  <c r="A6917" i="1"/>
  <c r="R6916" i="1"/>
  <c r="J6916" i="1"/>
  <c r="I6916" i="1"/>
  <c r="G6916" i="1"/>
  <c r="F6916" i="1"/>
  <c r="E6916" i="1"/>
  <c r="D6916" i="1"/>
  <c r="C6916" i="1"/>
  <c r="B6916" i="1"/>
  <c r="A6916" i="1"/>
  <c r="R6915" i="1"/>
  <c r="J6915" i="1"/>
  <c r="I6915" i="1"/>
  <c r="G6915" i="1"/>
  <c r="F6915" i="1"/>
  <c r="E6915" i="1"/>
  <c r="D6915" i="1"/>
  <c r="C6915" i="1"/>
  <c r="B6915" i="1"/>
  <c r="A6915" i="1"/>
  <c r="R6914" i="1"/>
  <c r="J6914" i="1"/>
  <c r="I6914" i="1"/>
  <c r="G6914" i="1"/>
  <c r="F6914" i="1"/>
  <c r="E6914" i="1"/>
  <c r="D6914" i="1"/>
  <c r="C6914" i="1"/>
  <c r="B6914" i="1"/>
  <c r="A6914" i="1"/>
  <c r="R6913" i="1"/>
  <c r="J6913" i="1"/>
  <c r="I6913" i="1"/>
  <c r="G6913" i="1"/>
  <c r="F6913" i="1"/>
  <c r="E6913" i="1"/>
  <c r="D6913" i="1"/>
  <c r="C6913" i="1"/>
  <c r="B6913" i="1"/>
  <c r="A6913" i="1"/>
  <c r="R6912" i="1"/>
  <c r="J6912" i="1"/>
  <c r="I6912" i="1"/>
  <c r="G6912" i="1"/>
  <c r="F6912" i="1"/>
  <c r="E6912" i="1"/>
  <c r="D6912" i="1"/>
  <c r="C6912" i="1"/>
  <c r="B6912" i="1"/>
  <c r="A6912" i="1"/>
  <c r="R6911" i="1"/>
  <c r="J6911" i="1"/>
  <c r="I6911" i="1"/>
  <c r="G6911" i="1"/>
  <c r="F6911" i="1"/>
  <c r="E6911" i="1"/>
  <c r="D6911" i="1"/>
  <c r="C6911" i="1"/>
  <c r="B6911" i="1"/>
  <c r="A6911" i="1"/>
  <c r="R6910" i="1"/>
  <c r="J6910" i="1"/>
  <c r="I6910" i="1"/>
  <c r="G6910" i="1"/>
  <c r="F6910" i="1"/>
  <c r="E6910" i="1"/>
  <c r="D6910" i="1"/>
  <c r="C6910" i="1"/>
  <c r="B6910" i="1"/>
  <c r="A6910" i="1"/>
  <c r="R6909" i="1"/>
  <c r="J6909" i="1"/>
  <c r="I6909" i="1"/>
  <c r="G6909" i="1"/>
  <c r="F6909" i="1"/>
  <c r="E6909" i="1"/>
  <c r="D6909" i="1"/>
  <c r="C6909" i="1"/>
  <c r="B6909" i="1"/>
  <c r="A6909" i="1"/>
  <c r="R6908" i="1"/>
  <c r="J6908" i="1"/>
  <c r="I6908" i="1"/>
  <c r="G6908" i="1"/>
  <c r="F6908" i="1"/>
  <c r="E6908" i="1"/>
  <c r="D6908" i="1"/>
  <c r="C6908" i="1"/>
  <c r="B6908" i="1"/>
  <c r="A6908" i="1"/>
  <c r="R6907" i="1"/>
  <c r="J6907" i="1"/>
  <c r="I6907" i="1"/>
  <c r="G6907" i="1"/>
  <c r="F6907" i="1"/>
  <c r="E6907" i="1"/>
  <c r="D6907" i="1"/>
  <c r="C6907" i="1"/>
  <c r="B6907" i="1"/>
  <c r="A6907" i="1"/>
  <c r="S6906" i="1"/>
  <c r="O6906" i="1"/>
  <c r="K6906" i="1"/>
  <c r="J6906" i="1"/>
  <c r="I6906" i="1"/>
  <c r="H6906" i="1"/>
  <c r="G6906" i="1"/>
  <c r="F6906" i="1"/>
  <c r="E6906" i="1"/>
  <c r="D6906" i="1"/>
  <c r="C6906" i="1"/>
  <c r="B6906" i="1"/>
  <c r="A6906" i="1"/>
  <c r="R6905" i="1"/>
  <c r="J6905" i="1"/>
  <c r="I6905" i="1"/>
  <c r="G6905" i="1"/>
  <c r="F6905" i="1"/>
  <c r="E6905" i="1"/>
  <c r="D6905" i="1"/>
  <c r="C6905" i="1"/>
  <c r="B6905" i="1"/>
  <c r="A6905" i="1"/>
  <c r="R6904" i="1"/>
  <c r="J6904" i="1"/>
  <c r="I6904" i="1"/>
  <c r="G6904" i="1"/>
  <c r="F6904" i="1"/>
  <c r="E6904" i="1"/>
  <c r="D6904" i="1"/>
  <c r="C6904" i="1"/>
  <c r="B6904" i="1"/>
  <c r="A6904" i="1"/>
  <c r="R6903" i="1"/>
  <c r="J6903" i="1"/>
  <c r="I6903" i="1"/>
  <c r="G6903" i="1"/>
  <c r="F6903" i="1"/>
  <c r="E6903" i="1"/>
  <c r="D6903" i="1"/>
  <c r="C6903" i="1"/>
  <c r="B6903" i="1"/>
  <c r="A6903" i="1"/>
  <c r="S6902" i="1"/>
  <c r="O6902" i="1"/>
  <c r="K6902" i="1"/>
  <c r="J6902" i="1"/>
  <c r="I6902" i="1"/>
  <c r="H6902" i="1"/>
  <c r="G6902" i="1"/>
  <c r="F6902" i="1"/>
  <c r="E6902" i="1"/>
  <c r="D6902" i="1"/>
  <c r="C6902" i="1"/>
  <c r="B6902" i="1"/>
  <c r="A6902" i="1"/>
  <c r="R6901" i="1"/>
  <c r="J6901" i="1"/>
  <c r="I6901" i="1"/>
  <c r="G6901" i="1"/>
  <c r="F6901" i="1"/>
  <c r="E6901" i="1"/>
  <c r="D6901" i="1"/>
  <c r="C6901" i="1"/>
  <c r="B6901" i="1"/>
  <c r="A6901" i="1"/>
  <c r="S6900" i="1"/>
  <c r="O6900" i="1"/>
  <c r="K6900" i="1"/>
  <c r="J6900" i="1"/>
  <c r="I6900" i="1"/>
  <c r="H6900" i="1"/>
  <c r="G6900" i="1"/>
  <c r="F6900" i="1"/>
  <c r="E6900" i="1"/>
  <c r="D6900" i="1"/>
  <c r="C6900" i="1"/>
  <c r="B6900" i="1"/>
  <c r="A6900" i="1"/>
  <c r="R6899" i="1"/>
  <c r="J6899" i="1"/>
  <c r="I6899" i="1"/>
  <c r="G6899" i="1"/>
  <c r="F6899" i="1"/>
  <c r="E6899" i="1"/>
  <c r="D6899" i="1"/>
  <c r="C6899" i="1"/>
  <c r="B6899" i="1"/>
  <c r="A6899" i="1"/>
  <c r="S6898" i="1"/>
  <c r="O6898" i="1"/>
  <c r="K6898" i="1"/>
  <c r="J6898" i="1"/>
  <c r="I6898" i="1"/>
  <c r="H6898" i="1"/>
  <c r="G6898" i="1"/>
  <c r="F6898" i="1"/>
  <c r="E6898" i="1"/>
  <c r="D6898" i="1"/>
  <c r="C6898" i="1"/>
  <c r="B6898" i="1"/>
  <c r="A6898" i="1"/>
  <c r="R6897" i="1"/>
  <c r="J6897" i="1"/>
  <c r="I6897" i="1"/>
  <c r="G6897" i="1"/>
  <c r="F6897" i="1"/>
  <c r="E6897" i="1"/>
  <c r="D6897" i="1"/>
  <c r="C6897" i="1"/>
  <c r="B6897" i="1"/>
  <c r="A6897" i="1"/>
  <c r="S6896" i="1"/>
  <c r="O6896" i="1"/>
  <c r="K6896" i="1"/>
  <c r="J6896" i="1"/>
  <c r="I6896" i="1"/>
  <c r="H6896" i="1"/>
  <c r="G6896" i="1"/>
  <c r="F6896" i="1"/>
  <c r="E6896" i="1"/>
  <c r="D6896" i="1"/>
  <c r="C6896" i="1"/>
  <c r="B6896" i="1"/>
  <c r="A6896" i="1"/>
  <c r="R6895" i="1"/>
  <c r="J6895" i="1"/>
  <c r="I6895" i="1"/>
  <c r="G6895" i="1"/>
  <c r="F6895" i="1"/>
  <c r="E6895" i="1"/>
  <c r="D6895" i="1"/>
  <c r="C6895" i="1"/>
  <c r="B6895" i="1"/>
  <c r="A6895" i="1"/>
  <c r="R6894" i="1"/>
  <c r="J6894" i="1"/>
  <c r="I6894" i="1"/>
  <c r="G6894" i="1"/>
  <c r="F6894" i="1"/>
  <c r="E6894" i="1"/>
  <c r="D6894" i="1"/>
  <c r="C6894" i="1"/>
  <c r="B6894" i="1"/>
  <c r="A6894" i="1"/>
  <c r="R6893" i="1"/>
  <c r="J6893" i="1"/>
  <c r="I6893" i="1"/>
  <c r="G6893" i="1"/>
  <c r="F6893" i="1"/>
  <c r="E6893" i="1"/>
  <c r="D6893" i="1"/>
  <c r="C6893" i="1"/>
  <c r="B6893" i="1"/>
  <c r="A6893" i="1"/>
  <c r="S6892" i="1"/>
  <c r="O6892" i="1"/>
  <c r="K6892" i="1"/>
  <c r="J6892" i="1"/>
  <c r="I6892" i="1"/>
  <c r="H6892" i="1"/>
  <c r="G6892" i="1"/>
  <c r="F6892" i="1"/>
  <c r="E6892" i="1"/>
  <c r="D6892" i="1"/>
  <c r="C6892" i="1"/>
  <c r="B6892" i="1"/>
  <c r="A6892" i="1"/>
  <c r="R6891" i="1"/>
  <c r="J6891" i="1"/>
  <c r="I6891" i="1"/>
  <c r="G6891" i="1"/>
  <c r="F6891" i="1"/>
  <c r="E6891" i="1"/>
  <c r="D6891" i="1"/>
  <c r="C6891" i="1"/>
  <c r="B6891" i="1"/>
  <c r="A6891" i="1"/>
  <c r="S6890" i="1"/>
  <c r="O6890" i="1"/>
  <c r="K6890" i="1"/>
  <c r="J6890" i="1"/>
  <c r="I6890" i="1"/>
  <c r="H6890" i="1"/>
  <c r="G6890" i="1"/>
  <c r="F6890" i="1"/>
  <c r="E6890" i="1"/>
  <c r="D6890" i="1"/>
  <c r="C6890" i="1"/>
  <c r="B6890" i="1"/>
  <c r="A6890" i="1"/>
  <c r="R6889" i="1"/>
  <c r="J6889" i="1"/>
  <c r="I6889" i="1"/>
  <c r="G6889" i="1"/>
  <c r="F6889" i="1"/>
  <c r="E6889" i="1"/>
  <c r="D6889" i="1"/>
  <c r="C6889" i="1"/>
  <c r="B6889" i="1"/>
  <c r="A6889" i="1"/>
  <c r="S6888" i="1"/>
  <c r="O6888" i="1"/>
  <c r="K6888" i="1"/>
  <c r="J6888" i="1"/>
  <c r="I6888" i="1"/>
  <c r="H6888" i="1"/>
  <c r="G6888" i="1"/>
  <c r="F6888" i="1"/>
  <c r="E6888" i="1"/>
  <c r="D6888" i="1"/>
  <c r="C6888" i="1"/>
  <c r="B6888" i="1"/>
  <c r="A6888" i="1"/>
  <c r="R6887" i="1"/>
  <c r="J6887" i="1"/>
  <c r="I6887" i="1"/>
  <c r="G6887" i="1"/>
  <c r="F6887" i="1"/>
  <c r="E6887" i="1"/>
  <c r="D6887" i="1"/>
  <c r="C6887" i="1"/>
  <c r="B6887" i="1"/>
  <c r="A6887" i="1"/>
  <c r="S6886" i="1"/>
  <c r="O6886" i="1"/>
  <c r="K6886" i="1"/>
  <c r="J6886" i="1"/>
  <c r="I6886" i="1"/>
  <c r="H6886" i="1"/>
  <c r="G6886" i="1"/>
  <c r="F6886" i="1"/>
  <c r="E6886" i="1"/>
  <c r="D6886" i="1"/>
  <c r="C6886" i="1"/>
  <c r="B6886" i="1"/>
  <c r="A6886" i="1"/>
  <c r="R6885" i="1"/>
  <c r="J6885" i="1"/>
  <c r="I6885" i="1"/>
  <c r="G6885" i="1"/>
  <c r="F6885" i="1"/>
  <c r="E6885" i="1"/>
  <c r="D6885" i="1"/>
  <c r="C6885" i="1"/>
  <c r="B6885" i="1"/>
  <c r="A6885" i="1"/>
  <c r="S6884" i="1"/>
  <c r="O6884" i="1"/>
  <c r="K6884" i="1"/>
  <c r="J6884" i="1"/>
  <c r="I6884" i="1"/>
  <c r="H6884" i="1"/>
  <c r="G6884" i="1"/>
  <c r="F6884" i="1"/>
  <c r="E6884" i="1"/>
  <c r="D6884" i="1"/>
  <c r="C6884" i="1"/>
  <c r="B6884" i="1"/>
  <c r="A6884" i="1"/>
  <c r="R6883" i="1"/>
  <c r="J6883" i="1"/>
  <c r="I6883" i="1"/>
  <c r="G6883" i="1"/>
  <c r="F6883" i="1"/>
  <c r="E6883" i="1"/>
  <c r="D6883" i="1"/>
  <c r="C6883" i="1"/>
  <c r="B6883" i="1"/>
  <c r="A6883" i="1"/>
  <c r="S6882" i="1"/>
  <c r="O6882" i="1"/>
  <c r="K6882" i="1"/>
  <c r="J6882" i="1"/>
  <c r="I6882" i="1"/>
  <c r="H6882" i="1"/>
  <c r="G6882" i="1"/>
  <c r="F6882" i="1"/>
  <c r="E6882" i="1"/>
  <c r="D6882" i="1"/>
  <c r="C6882" i="1"/>
  <c r="B6882" i="1"/>
  <c r="A6882" i="1"/>
  <c r="R6881" i="1"/>
  <c r="J6881" i="1"/>
  <c r="I6881" i="1"/>
  <c r="G6881" i="1"/>
  <c r="F6881" i="1"/>
  <c r="E6881" i="1"/>
  <c r="D6881" i="1"/>
  <c r="C6881" i="1"/>
  <c r="B6881" i="1"/>
  <c r="A6881" i="1"/>
  <c r="S6880" i="1"/>
  <c r="O6880" i="1"/>
  <c r="K6880" i="1"/>
  <c r="J6880" i="1"/>
  <c r="I6880" i="1"/>
  <c r="H6880" i="1"/>
  <c r="G6880" i="1"/>
  <c r="F6880" i="1"/>
  <c r="E6880" i="1"/>
  <c r="D6880" i="1"/>
  <c r="C6880" i="1"/>
  <c r="B6880" i="1"/>
  <c r="A6880" i="1"/>
  <c r="R6879" i="1"/>
  <c r="J6879" i="1"/>
  <c r="I6879" i="1"/>
  <c r="G6879" i="1"/>
  <c r="F6879" i="1"/>
  <c r="E6879" i="1"/>
  <c r="D6879" i="1"/>
  <c r="C6879" i="1"/>
  <c r="B6879" i="1"/>
  <c r="A6879" i="1"/>
  <c r="S6878" i="1"/>
  <c r="O6878" i="1"/>
  <c r="K6878" i="1"/>
  <c r="J6878" i="1"/>
  <c r="I6878" i="1"/>
  <c r="H6878" i="1"/>
  <c r="G6878" i="1"/>
  <c r="F6878" i="1"/>
  <c r="E6878" i="1"/>
  <c r="D6878" i="1"/>
  <c r="C6878" i="1"/>
  <c r="B6878" i="1"/>
  <c r="A6878" i="1"/>
  <c r="R6877" i="1"/>
  <c r="J6877" i="1"/>
  <c r="I6877" i="1"/>
  <c r="G6877" i="1"/>
  <c r="F6877" i="1"/>
  <c r="E6877" i="1"/>
  <c r="D6877" i="1"/>
  <c r="C6877" i="1"/>
  <c r="B6877" i="1"/>
  <c r="A6877" i="1"/>
  <c r="S6876" i="1"/>
  <c r="O6876" i="1"/>
  <c r="K6876" i="1"/>
  <c r="J6876" i="1"/>
  <c r="I6876" i="1"/>
  <c r="H6876" i="1"/>
  <c r="G6876" i="1"/>
  <c r="F6876" i="1"/>
  <c r="E6876" i="1"/>
  <c r="D6876" i="1"/>
  <c r="C6876" i="1"/>
  <c r="B6876" i="1"/>
  <c r="A6876" i="1"/>
  <c r="R6875" i="1"/>
  <c r="J6875" i="1"/>
  <c r="I6875" i="1"/>
  <c r="G6875" i="1"/>
  <c r="F6875" i="1"/>
  <c r="E6875" i="1"/>
  <c r="D6875" i="1"/>
  <c r="C6875" i="1"/>
  <c r="B6875" i="1"/>
  <c r="A6875" i="1"/>
  <c r="S6874" i="1"/>
  <c r="O6874" i="1"/>
  <c r="K6874" i="1"/>
  <c r="J6874" i="1"/>
  <c r="I6874" i="1"/>
  <c r="H6874" i="1"/>
  <c r="G6874" i="1"/>
  <c r="F6874" i="1"/>
  <c r="E6874" i="1"/>
  <c r="D6874" i="1"/>
  <c r="C6874" i="1"/>
  <c r="B6874" i="1"/>
  <c r="A6874" i="1"/>
  <c r="R6873" i="1"/>
  <c r="J6873" i="1"/>
  <c r="I6873" i="1"/>
  <c r="G6873" i="1"/>
  <c r="F6873" i="1"/>
  <c r="E6873" i="1"/>
  <c r="D6873" i="1"/>
  <c r="C6873" i="1"/>
  <c r="B6873" i="1"/>
  <c r="A6873" i="1"/>
  <c r="S6872" i="1"/>
  <c r="O6872" i="1"/>
  <c r="K6872" i="1"/>
  <c r="J6872" i="1"/>
  <c r="I6872" i="1"/>
  <c r="H6872" i="1"/>
  <c r="G6872" i="1"/>
  <c r="F6872" i="1"/>
  <c r="E6872" i="1"/>
  <c r="D6872" i="1"/>
  <c r="C6872" i="1"/>
  <c r="B6872" i="1"/>
  <c r="A6872" i="1"/>
  <c r="R6871" i="1"/>
  <c r="J6871" i="1"/>
  <c r="I6871" i="1"/>
  <c r="G6871" i="1"/>
  <c r="F6871" i="1"/>
  <c r="E6871" i="1"/>
  <c r="D6871" i="1"/>
  <c r="C6871" i="1"/>
  <c r="B6871" i="1"/>
  <c r="A6871" i="1"/>
  <c r="S6870" i="1"/>
  <c r="O6870" i="1"/>
  <c r="K6870" i="1"/>
  <c r="J6870" i="1"/>
  <c r="I6870" i="1"/>
  <c r="H6870" i="1"/>
  <c r="G6870" i="1"/>
  <c r="F6870" i="1"/>
  <c r="E6870" i="1"/>
  <c r="D6870" i="1"/>
  <c r="C6870" i="1"/>
  <c r="B6870" i="1"/>
  <c r="A6870" i="1"/>
  <c r="R6869" i="1"/>
  <c r="J6869" i="1"/>
  <c r="I6869" i="1"/>
  <c r="G6869" i="1"/>
  <c r="F6869" i="1"/>
  <c r="E6869" i="1"/>
  <c r="D6869" i="1"/>
  <c r="C6869" i="1"/>
  <c r="B6869" i="1"/>
  <c r="A6869" i="1"/>
  <c r="S6868" i="1"/>
  <c r="O6868" i="1"/>
  <c r="K6868" i="1"/>
  <c r="J6868" i="1"/>
  <c r="I6868" i="1"/>
  <c r="H6868" i="1"/>
  <c r="G6868" i="1"/>
  <c r="F6868" i="1"/>
  <c r="E6868" i="1"/>
  <c r="D6868" i="1"/>
  <c r="C6868" i="1"/>
  <c r="B6868" i="1"/>
  <c r="A6868" i="1"/>
  <c r="R6867" i="1"/>
  <c r="J6867" i="1"/>
  <c r="I6867" i="1"/>
  <c r="G6867" i="1"/>
  <c r="F6867" i="1"/>
  <c r="E6867" i="1"/>
  <c r="D6867" i="1"/>
  <c r="C6867" i="1"/>
  <c r="B6867" i="1"/>
  <c r="A6867" i="1"/>
  <c r="S6866" i="1"/>
  <c r="O6866" i="1"/>
  <c r="K6866" i="1"/>
  <c r="J6866" i="1"/>
  <c r="I6866" i="1"/>
  <c r="H6866" i="1"/>
  <c r="G6866" i="1"/>
  <c r="F6866" i="1"/>
  <c r="E6866" i="1"/>
  <c r="D6866" i="1"/>
  <c r="C6866" i="1"/>
  <c r="B6866" i="1"/>
  <c r="A6866" i="1"/>
  <c r="R6865" i="1"/>
  <c r="J6865" i="1"/>
  <c r="I6865" i="1"/>
  <c r="G6865" i="1"/>
  <c r="F6865" i="1"/>
  <c r="E6865" i="1"/>
  <c r="D6865" i="1"/>
  <c r="C6865" i="1"/>
  <c r="B6865" i="1"/>
  <c r="A6865" i="1"/>
  <c r="R6864" i="1"/>
  <c r="J6864" i="1"/>
  <c r="I6864" i="1"/>
  <c r="G6864" i="1"/>
  <c r="F6864" i="1"/>
  <c r="E6864" i="1"/>
  <c r="D6864" i="1"/>
  <c r="C6864" i="1"/>
  <c r="B6864" i="1"/>
  <c r="A6864" i="1"/>
  <c r="R6863" i="1"/>
  <c r="J6863" i="1"/>
  <c r="I6863" i="1"/>
  <c r="G6863" i="1"/>
  <c r="F6863" i="1"/>
  <c r="E6863" i="1"/>
  <c r="D6863" i="1"/>
  <c r="C6863" i="1"/>
  <c r="B6863" i="1"/>
  <c r="A6863" i="1"/>
  <c r="S6862" i="1"/>
  <c r="O6862" i="1"/>
  <c r="K6862" i="1"/>
  <c r="J6862" i="1"/>
  <c r="I6862" i="1"/>
  <c r="H6862" i="1"/>
  <c r="G6862" i="1"/>
  <c r="F6862" i="1"/>
  <c r="E6862" i="1"/>
  <c r="D6862" i="1"/>
  <c r="C6862" i="1"/>
  <c r="B6862" i="1"/>
  <c r="A6862" i="1"/>
  <c r="R6861" i="1"/>
  <c r="J6861" i="1"/>
  <c r="I6861" i="1"/>
  <c r="G6861" i="1"/>
  <c r="F6861" i="1"/>
  <c r="E6861" i="1"/>
  <c r="D6861" i="1"/>
  <c r="C6861" i="1"/>
  <c r="B6861" i="1"/>
  <c r="A6861" i="1"/>
  <c r="S6860" i="1"/>
  <c r="O6860" i="1"/>
  <c r="K6860" i="1"/>
  <c r="J6860" i="1"/>
  <c r="I6860" i="1"/>
  <c r="H6860" i="1"/>
  <c r="G6860" i="1"/>
  <c r="F6860" i="1"/>
  <c r="E6860" i="1"/>
  <c r="D6860" i="1"/>
  <c r="C6860" i="1"/>
  <c r="B6860" i="1"/>
  <c r="A6860" i="1"/>
  <c r="R6859" i="1"/>
  <c r="J6859" i="1"/>
  <c r="I6859" i="1"/>
  <c r="G6859" i="1"/>
  <c r="F6859" i="1"/>
  <c r="E6859" i="1"/>
  <c r="D6859" i="1"/>
  <c r="C6859" i="1"/>
  <c r="B6859" i="1"/>
  <c r="A6859" i="1"/>
  <c r="S6858" i="1"/>
  <c r="O6858" i="1"/>
  <c r="K6858" i="1"/>
  <c r="J6858" i="1"/>
  <c r="I6858" i="1"/>
  <c r="H6858" i="1"/>
  <c r="G6858" i="1"/>
  <c r="F6858" i="1"/>
  <c r="E6858" i="1"/>
  <c r="D6858" i="1"/>
  <c r="C6858" i="1"/>
  <c r="B6858" i="1"/>
  <c r="A6858" i="1"/>
  <c r="R6857" i="1"/>
  <c r="J6857" i="1"/>
  <c r="I6857" i="1"/>
  <c r="G6857" i="1"/>
  <c r="F6857" i="1"/>
  <c r="E6857" i="1"/>
  <c r="D6857" i="1"/>
  <c r="C6857" i="1"/>
  <c r="B6857" i="1"/>
  <c r="A6857" i="1"/>
  <c r="S6856" i="1"/>
  <c r="O6856" i="1"/>
  <c r="K6856" i="1"/>
  <c r="J6856" i="1"/>
  <c r="I6856" i="1"/>
  <c r="H6856" i="1"/>
  <c r="G6856" i="1"/>
  <c r="F6856" i="1"/>
  <c r="E6856" i="1"/>
  <c r="D6856" i="1"/>
  <c r="C6856" i="1"/>
  <c r="B6856" i="1"/>
  <c r="A6856" i="1"/>
  <c r="R6855" i="1"/>
  <c r="J6855" i="1"/>
  <c r="I6855" i="1"/>
  <c r="G6855" i="1"/>
  <c r="F6855" i="1"/>
  <c r="E6855" i="1"/>
  <c r="D6855" i="1"/>
  <c r="C6855" i="1"/>
  <c r="B6855" i="1"/>
  <c r="A6855" i="1"/>
  <c r="R6854" i="1"/>
  <c r="J6854" i="1"/>
  <c r="I6854" i="1"/>
  <c r="G6854" i="1"/>
  <c r="F6854" i="1"/>
  <c r="E6854" i="1"/>
  <c r="D6854" i="1"/>
  <c r="C6854" i="1"/>
  <c r="B6854" i="1"/>
  <c r="A6854" i="1"/>
  <c r="R6853" i="1"/>
  <c r="J6853" i="1"/>
  <c r="I6853" i="1"/>
  <c r="G6853" i="1"/>
  <c r="F6853" i="1"/>
  <c r="E6853" i="1"/>
  <c r="D6853" i="1"/>
  <c r="C6853" i="1"/>
  <c r="B6853" i="1"/>
  <c r="A6853" i="1"/>
  <c r="R6852" i="1"/>
  <c r="J6852" i="1"/>
  <c r="I6852" i="1"/>
  <c r="G6852" i="1"/>
  <c r="F6852" i="1"/>
  <c r="E6852" i="1"/>
  <c r="D6852" i="1"/>
  <c r="C6852" i="1"/>
  <c r="B6852" i="1"/>
  <c r="A6852" i="1"/>
  <c r="R6851" i="1"/>
  <c r="J6851" i="1"/>
  <c r="I6851" i="1"/>
  <c r="G6851" i="1"/>
  <c r="F6851" i="1"/>
  <c r="E6851" i="1"/>
  <c r="D6851" i="1"/>
  <c r="C6851" i="1"/>
  <c r="B6851" i="1"/>
  <c r="A6851" i="1"/>
  <c r="R6850" i="1"/>
  <c r="J6850" i="1"/>
  <c r="I6850" i="1"/>
  <c r="G6850" i="1"/>
  <c r="F6850" i="1"/>
  <c r="E6850" i="1"/>
  <c r="D6850" i="1"/>
  <c r="C6850" i="1"/>
  <c r="B6850" i="1"/>
  <c r="A6850" i="1"/>
  <c r="S6849" i="1"/>
  <c r="O6849" i="1"/>
  <c r="K6849" i="1"/>
  <c r="J6849" i="1"/>
  <c r="I6849" i="1"/>
  <c r="H6849" i="1"/>
  <c r="G6849" i="1"/>
  <c r="F6849" i="1"/>
  <c r="E6849" i="1"/>
  <c r="D6849" i="1"/>
  <c r="C6849" i="1"/>
  <c r="B6849" i="1"/>
  <c r="A6849" i="1"/>
  <c r="R6848" i="1"/>
  <c r="J6848" i="1"/>
  <c r="I6848" i="1"/>
  <c r="G6848" i="1"/>
  <c r="F6848" i="1"/>
  <c r="E6848" i="1"/>
  <c r="D6848" i="1"/>
  <c r="C6848" i="1"/>
  <c r="B6848" i="1"/>
  <c r="A6848" i="1"/>
  <c r="R6847" i="1"/>
  <c r="J6847" i="1"/>
  <c r="I6847" i="1"/>
  <c r="G6847" i="1"/>
  <c r="F6847" i="1"/>
  <c r="E6847" i="1"/>
  <c r="D6847" i="1"/>
  <c r="C6847" i="1"/>
  <c r="B6847" i="1"/>
  <c r="A6847" i="1"/>
  <c r="R6846" i="1"/>
  <c r="J6846" i="1"/>
  <c r="I6846" i="1"/>
  <c r="G6846" i="1"/>
  <c r="F6846" i="1"/>
  <c r="E6846" i="1"/>
  <c r="D6846" i="1"/>
  <c r="C6846" i="1"/>
  <c r="B6846" i="1"/>
  <c r="A6846" i="1"/>
  <c r="S6845" i="1"/>
  <c r="O6845" i="1"/>
  <c r="K6845" i="1"/>
  <c r="J6845" i="1"/>
  <c r="I6845" i="1"/>
  <c r="H6845" i="1"/>
  <c r="G6845" i="1"/>
  <c r="F6845" i="1"/>
  <c r="E6845" i="1"/>
  <c r="D6845" i="1"/>
  <c r="C6845" i="1"/>
  <c r="B6845" i="1"/>
  <c r="A6845" i="1"/>
  <c r="R6844" i="1"/>
  <c r="J6844" i="1"/>
  <c r="I6844" i="1"/>
  <c r="G6844" i="1"/>
  <c r="F6844" i="1"/>
  <c r="E6844" i="1"/>
  <c r="D6844" i="1"/>
  <c r="C6844" i="1"/>
  <c r="B6844" i="1"/>
  <c r="A6844" i="1"/>
  <c r="S6843" i="1"/>
  <c r="O6843" i="1"/>
  <c r="K6843" i="1"/>
  <c r="J6843" i="1"/>
  <c r="I6843" i="1"/>
  <c r="H6843" i="1"/>
  <c r="G6843" i="1"/>
  <c r="F6843" i="1"/>
  <c r="E6843" i="1"/>
  <c r="D6843" i="1"/>
  <c r="C6843" i="1"/>
  <c r="B6843" i="1"/>
  <c r="A6843" i="1"/>
  <c r="R6842" i="1"/>
  <c r="J6842" i="1"/>
  <c r="I6842" i="1"/>
  <c r="G6842" i="1"/>
  <c r="F6842" i="1"/>
  <c r="E6842" i="1"/>
  <c r="D6842" i="1"/>
  <c r="C6842" i="1"/>
  <c r="B6842" i="1"/>
  <c r="A6842" i="1"/>
  <c r="S6841" i="1"/>
  <c r="O6841" i="1"/>
  <c r="K6841" i="1"/>
  <c r="J6841" i="1"/>
  <c r="I6841" i="1"/>
  <c r="H6841" i="1"/>
  <c r="G6841" i="1"/>
  <c r="F6841" i="1"/>
  <c r="E6841" i="1"/>
  <c r="D6841" i="1"/>
  <c r="C6841" i="1"/>
  <c r="B6841" i="1"/>
  <c r="A6841" i="1"/>
  <c r="R6840" i="1"/>
  <c r="J6840" i="1"/>
  <c r="I6840" i="1"/>
  <c r="G6840" i="1"/>
  <c r="F6840" i="1"/>
  <c r="E6840" i="1"/>
  <c r="D6840" i="1"/>
  <c r="C6840" i="1"/>
  <c r="B6840" i="1"/>
  <c r="A6840" i="1"/>
  <c r="S6839" i="1"/>
  <c r="O6839" i="1"/>
  <c r="K6839" i="1"/>
  <c r="J6839" i="1"/>
  <c r="I6839" i="1"/>
  <c r="H6839" i="1"/>
  <c r="G6839" i="1"/>
  <c r="F6839" i="1"/>
  <c r="E6839" i="1"/>
  <c r="D6839" i="1"/>
  <c r="C6839" i="1"/>
  <c r="B6839" i="1"/>
  <c r="A6839" i="1"/>
  <c r="R6838" i="1"/>
  <c r="J6838" i="1"/>
  <c r="I6838" i="1"/>
  <c r="G6838" i="1"/>
  <c r="F6838" i="1"/>
  <c r="E6838" i="1"/>
  <c r="D6838" i="1"/>
  <c r="C6838" i="1"/>
  <c r="B6838" i="1"/>
  <c r="A6838" i="1"/>
  <c r="S6837" i="1"/>
  <c r="O6837" i="1"/>
  <c r="K6837" i="1"/>
  <c r="J6837" i="1"/>
  <c r="I6837" i="1"/>
  <c r="H6837" i="1"/>
  <c r="G6837" i="1"/>
  <c r="F6837" i="1"/>
  <c r="E6837" i="1"/>
  <c r="D6837" i="1"/>
  <c r="C6837" i="1"/>
  <c r="B6837" i="1"/>
  <c r="A6837" i="1"/>
  <c r="R6836" i="1"/>
  <c r="J6836" i="1"/>
  <c r="I6836" i="1"/>
  <c r="G6836" i="1"/>
  <c r="F6836" i="1"/>
  <c r="E6836" i="1"/>
  <c r="D6836" i="1"/>
  <c r="C6836" i="1"/>
  <c r="B6836" i="1"/>
  <c r="A6836" i="1"/>
  <c r="S6835" i="1"/>
  <c r="O6835" i="1"/>
  <c r="K6835" i="1"/>
  <c r="J6835" i="1"/>
  <c r="I6835" i="1"/>
  <c r="H6835" i="1"/>
  <c r="G6835" i="1"/>
  <c r="F6835" i="1"/>
  <c r="E6835" i="1"/>
  <c r="D6835" i="1"/>
  <c r="C6835" i="1"/>
  <c r="B6835" i="1"/>
  <c r="A6835" i="1"/>
  <c r="R6834" i="1"/>
  <c r="J6834" i="1"/>
  <c r="I6834" i="1"/>
  <c r="G6834" i="1"/>
  <c r="F6834" i="1"/>
  <c r="E6834" i="1"/>
  <c r="D6834" i="1"/>
  <c r="C6834" i="1"/>
  <c r="B6834" i="1"/>
  <c r="A6834" i="1"/>
  <c r="S6833" i="1"/>
  <c r="O6833" i="1"/>
  <c r="K6833" i="1"/>
  <c r="J6833" i="1"/>
  <c r="I6833" i="1"/>
  <c r="H6833" i="1"/>
  <c r="G6833" i="1"/>
  <c r="F6833" i="1"/>
  <c r="E6833" i="1"/>
  <c r="D6833" i="1"/>
  <c r="C6833" i="1"/>
  <c r="B6833" i="1"/>
  <c r="A6833" i="1"/>
  <c r="R6832" i="1"/>
  <c r="J6832" i="1"/>
  <c r="I6832" i="1"/>
  <c r="G6832" i="1"/>
  <c r="F6832" i="1"/>
  <c r="E6832" i="1"/>
  <c r="D6832" i="1"/>
  <c r="C6832" i="1"/>
  <c r="B6832" i="1"/>
  <c r="A6832" i="1"/>
  <c r="S6831" i="1"/>
  <c r="O6831" i="1"/>
  <c r="K6831" i="1"/>
  <c r="J6831" i="1"/>
  <c r="I6831" i="1"/>
  <c r="H6831" i="1"/>
  <c r="G6831" i="1"/>
  <c r="F6831" i="1"/>
  <c r="E6831" i="1"/>
  <c r="D6831" i="1"/>
  <c r="C6831" i="1"/>
  <c r="B6831" i="1"/>
  <c r="A6831" i="1"/>
  <c r="R6830" i="1"/>
  <c r="J6830" i="1"/>
  <c r="I6830" i="1"/>
  <c r="G6830" i="1"/>
  <c r="F6830" i="1"/>
  <c r="E6830" i="1"/>
  <c r="D6830" i="1"/>
  <c r="C6830" i="1"/>
  <c r="B6830" i="1"/>
  <c r="A6830" i="1"/>
  <c r="S6829" i="1"/>
  <c r="O6829" i="1"/>
  <c r="K6829" i="1"/>
  <c r="J6829" i="1"/>
  <c r="I6829" i="1"/>
  <c r="H6829" i="1"/>
  <c r="G6829" i="1"/>
  <c r="F6829" i="1"/>
  <c r="E6829" i="1"/>
  <c r="D6829" i="1"/>
  <c r="C6829" i="1"/>
  <c r="B6829" i="1"/>
  <c r="A6829" i="1"/>
  <c r="R6828" i="1"/>
  <c r="J6828" i="1"/>
  <c r="I6828" i="1"/>
  <c r="G6828" i="1"/>
  <c r="F6828" i="1"/>
  <c r="E6828" i="1"/>
  <c r="D6828" i="1"/>
  <c r="C6828" i="1"/>
  <c r="B6828" i="1"/>
  <c r="A6828" i="1"/>
  <c r="S6827" i="1"/>
  <c r="O6827" i="1"/>
  <c r="K6827" i="1"/>
  <c r="J6827" i="1"/>
  <c r="I6827" i="1"/>
  <c r="H6827" i="1"/>
  <c r="G6827" i="1"/>
  <c r="F6827" i="1"/>
  <c r="E6827" i="1"/>
  <c r="D6827" i="1"/>
  <c r="C6827" i="1"/>
  <c r="B6827" i="1"/>
  <c r="A6827" i="1"/>
  <c r="R6826" i="1"/>
  <c r="J6826" i="1"/>
  <c r="I6826" i="1"/>
  <c r="G6826" i="1"/>
  <c r="F6826" i="1"/>
  <c r="E6826" i="1"/>
  <c r="D6826" i="1"/>
  <c r="C6826" i="1"/>
  <c r="B6826" i="1"/>
  <c r="A6826" i="1"/>
  <c r="S6825" i="1"/>
  <c r="O6825" i="1"/>
  <c r="K6825" i="1"/>
  <c r="J6825" i="1"/>
  <c r="I6825" i="1"/>
  <c r="H6825" i="1"/>
  <c r="G6825" i="1"/>
  <c r="F6825" i="1"/>
  <c r="E6825" i="1"/>
  <c r="D6825" i="1"/>
  <c r="C6825" i="1"/>
  <c r="B6825" i="1"/>
  <c r="A6825" i="1"/>
  <c r="S6824" i="1"/>
  <c r="O6824" i="1"/>
  <c r="K6824" i="1"/>
  <c r="J6824" i="1"/>
  <c r="I6824" i="1"/>
  <c r="H6824" i="1"/>
  <c r="G6824" i="1"/>
  <c r="F6824" i="1"/>
  <c r="D6824" i="1"/>
  <c r="C6824" i="1"/>
  <c r="B6824" i="1"/>
  <c r="A6824" i="1"/>
  <c r="S6823" i="1"/>
  <c r="O6823" i="1"/>
  <c r="K6823" i="1"/>
  <c r="J6823" i="1"/>
  <c r="I6823" i="1"/>
  <c r="H6823" i="1"/>
  <c r="G6823" i="1"/>
  <c r="F6823" i="1"/>
  <c r="D6823" i="1"/>
  <c r="C6823" i="1"/>
  <c r="B6823" i="1"/>
  <c r="A6823" i="1"/>
  <c r="S6822" i="1"/>
  <c r="O6822" i="1"/>
  <c r="K6822" i="1"/>
  <c r="J6822" i="1"/>
  <c r="I6822" i="1"/>
  <c r="H6822" i="1"/>
  <c r="G6822" i="1"/>
  <c r="F6822" i="1"/>
  <c r="D6822" i="1"/>
  <c r="C6822" i="1"/>
  <c r="B6822" i="1"/>
  <c r="A6822" i="1"/>
  <c r="R6821" i="1"/>
  <c r="J6821" i="1"/>
  <c r="I6821" i="1"/>
  <c r="G6821" i="1"/>
  <c r="F6821" i="1"/>
  <c r="E6821" i="1"/>
  <c r="D6821" i="1"/>
  <c r="C6821" i="1"/>
  <c r="B6821" i="1"/>
  <c r="A6821" i="1"/>
  <c r="S6820" i="1"/>
  <c r="O6820" i="1"/>
  <c r="K6820" i="1"/>
  <c r="J6820" i="1"/>
  <c r="I6820" i="1"/>
  <c r="H6820" i="1"/>
  <c r="G6820" i="1"/>
  <c r="F6820" i="1"/>
  <c r="E6820" i="1"/>
  <c r="D6820" i="1"/>
  <c r="C6820" i="1"/>
  <c r="B6820" i="1"/>
  <c r="A6820" i="1"/>
  <c r="R6819" i="1"/>
  <c r="J6819" i="1"/>
  <c r="I6819" i="1"/>
  <c r="G6819" i="1"/>
  <c r="F6819" i="1"/>
  <c r="E6819" i="1"/>
  <c r="D6819" i="1"/>
  <c r="C6819" i="1"/>
  <c r="B6819" i="1"/>
  <c r="A6819" i="1"/>
  <c r="S6818" i="1"/>
  <c r="O6818" i="1"/>
  <c r="K6818" i="1"/>
  <c r="J6818" i="1"/>
  <c r="I6818" i="1"/>
  <c r="H6818" i="1"/>
  <c r="G6818" i="1"/>
  <c r="F6818" i="1"/>
  <c r="E6818" i="1"/>
  <c r="D6818" i="1"/>
  <c r="C6818" i="1"/>
  <c r="B6818" i="1"/>
  <c r="A6818" i="1"/>
  <c r="R6817" i="1"/>
  <c r="J6817" i="1"/>
  <c r="I6817" i="1"/>
  <c r="G6817" i="1"/>
  <c r="F6817" i="1"/>
  <c r="E6817" i="1"/>
  <c r="D6817" i="1"/>
  <c r="C6817" i="1"/>
  <c r="B6817" i="1"/>
  <c r="A6817" i="1"/>
  <c r="S6816" i="1"/>
  <c r="O6816" i="1"/>
  <c r="K6816" i="1"/>
  <c r="J6816" i="1"/>
  <c r="I6816" i="1"/>
  <c r="H6816" i="1"/>
  <c r="G6816" i="1"/>
  <c r="F6816" i="1"/>
  <c r="E6816" i="1"/>
  <c r="D6816" i="1"/>
  <c r="C6816" i="1"/>
  <c r="B6816" i="1"/>
  <c r="A6816" i="1"/>
  <c r="R6815" i="1"/>
  <c r="J6815" i="1"/>
  <c r="I6815" i="1"/>
  <c r="G6815" i="1"/>
  <c r="F6815" i="1"/>
  <c r="E6815" i="1"/>
  <c r="D6815" i="1"/>
  <c r="C6815" i="1"/>
  <c r="B6815" i="1"/>
  <c r="A6815" i="1"/>
  <c r="S6814" i="1"/>
  <c r="O6814" i="1"/>
  <c r="K6814" i="1"/>
  <c r="J6814" i="1"/>
  <c r="I6814" i="1"/>
  <c r="H6814" i="1"/>
  <c r="G6814" i="1"/>
  <c r="F6814" i="1"/>
  <c r="E6814" i="1"/>
  <c r="D6814" i="1"/>
  <c r="C6814" i="1"/>
  <c r="B6814" i="1"/>
  <c r="A6814" i="1"/>
  <c r="R6813" i="1"/>
  <c r="J6813" i="1"/>
  <c r="I6813" i="1"/>
  <c r="G6813" i="1"/>
  <c r="F6813" i="1"/>
  <c r="E6813" i="1"/>
  <c r="D6813" i="1"/>
  <c r="C6813" i="1"/>
  <c r="B6813" i="1"/>
  <c r="A6813" i="1"/>
  <c r="S6812" i="1"/>
  <c r="O6812" i="1"/>
  <c r="K6812" i="1"/>
  <c r="J6812" i="1"/>
  <c r="I6812" i="1"/>
  <c r="H6812" i="1"/>
  <c r="G6812" i="1"/>
  <c r="F6812" i="1"/>
  <c r="E6812" i="1"/>
  <c r="D6812" i="1"/>
  <c r="C6812" i="1"/>
  <c r="B6812" i="1"/>
  <c r="A6812" i="1"/>
  <c r="R6811" i="1"/>
  <c r="J6811" i="1"/>
  <c r="I6811" i="1"/>
  <c r="G6811" i="1"/>
  <c r="F6811" i="1"/>
  <c r="E6811" i="1"/>
  <c r="D6811" i="1"/>
  <c r="C6811" i="1"/>
  <c r="B6811" i="1"/>
  <c r="A6811" i="1"/>
  <c r="S6810" i="1"/>
  <c r="O6810" i="1"/>
  <c r="K6810" i="1"/>
  <c r="J6810" i="1"/>
  <c r="I6810" i="1"/>
  <c r="H6810" i="1"/>
  <c r="G6810" i="1"/>
  <c r="F6810" i="1"/>
  <c r="E6810" i="1"/>
  <c r="D6810" i="1"/>
  <c r="C6810" i="1"/>
  <c r="B6810" i="1"/>
  <c r="A6810" i="1"/>
  <c r="R6809" i="1"/>
  <c r="J6809" i="1"/>
  <c r="I6809" i="1"/>
  <c r="G6809" i="1"/>
  <c r="F6809" i="1"/>
  <c r="E6809" i="1"/>
  <c r="D6809" i="1"/>
  <c r="C6809" i="1"/>
  <c r="B6809" i="1"/>
  <c r="A6809" i="1"/>
  <c r="R6808" i="1"/>
  <c r="J6808" i="1"/>
  <c r="I6808" i="1"/>
  <c r="G6808" i="1"/>
  <c r="F6808" i="1"/>
  <c r="E6808" i="1"/>
  <c r="D6808" i="1"/>
  <c r="C6808" i="1"/>
  <c r="B6808" i="1"/>
  <c r="A6808" i="1"/>
  <c r="S6807" i="1"/>
  <c r="O6807" i="1"/>
  <c r="K6807" i="1"/>
  <c r="J6807" i="1"/>
  <c r="I6807" i="1"/>
  <c r="H6807" i="1"/>
  <c r="G6807" i="1"/>
  <c r="F6807" i="1"/>
  <c r="E6807" i="1"/>
  <c r="D6807" i="1"/>
  <c r="C6807" i="1"/>
  <c r="B6807" i="1"/>
  <c r="A6807" i="1"/>
  <c r="R6806" i="1"/>
  <c r="J6806" i="1"/>
  <c r="I6806" i="1"/>
  <c r="G6806" i="1"/>
  <c r="F6806" i="1"/>
  <c r="E6806" i="1"/>
  <c r="D6806" i="1"/>
  <c r="C6806" i="1"/>
  <c r="B6806" i="1"/>
  <c r="A6806" i="1"/>
  <c r="S6805" i="1"/>
  <c r="O6805" i="1"/>
  <c r="K6805" i="1"/>
  <c r="J6805" i="1"/>
  <c r="I6805" i="1"/>
  <c r="H6805" i="1"/>
  <c r="G6805" i="1"/>
  <c r="F6805" i="1"/>
  <c r="E6805" i="1"/>
  <c r="D6805" i="1"/>
  <c r="C6805" i="1"/>
  <c r="B6805" i="1"/>
  <c r="A6805" i="1"/>
  <c r="R6804" i="1"/>
  <c r="J6804" i="1"/>
  <c r="I6804" i="1"/>
  <c r="G6804" i="1"/>
  <c r="F6804" i="1"/>
  <c r="E6804" i="1"/>
  <c r="D6804" i="1"/>
  <c r="C6804" i="1"/>
  <c r="B6804" i="1"/>
  <c r="A6804" i="1"/>
  <c r="S6803" i="1"/>
  <c r="O6803" i="1"/>
  <c r="K6803" i="1"/>
  <c r="J6803" i="1"/>
  <c r="I6803" i="1"/>
  <c r="H6803" i="1"/>
  <c r="G6803" i="1"/>
  <c r="F6803" i="1"/>
  <c r="E6803" i="1"/>
  <c r="D6803" i="1"/>
  <c r="C6803" i="1"/>
  <c r="B6803" i="1"/>
  <c r="A6803" i="1"/>
  <c r="R6802" i="1"/>
  <c r="J6802" i="1"/>
  <c r="I6802" i="1"/>
  <c r="G6802" i="1"/>
  <c r="F6802" i="1"/>
  <c r="E6802" i="1"/>
  <c r="D6802" i="1"/>
  <c r="C6802" i="1"/>
  <c r="B6802" i="1"/>
  <c r="A6802" i="1"/>
  <c r="S6801" i="1"/>
  <c r="O6801" i="1"/>
  <c r="K6801" i="1"/>
  <c r="J6801" i="1"/>
  <c r="I6801" i="1"/>
  <c r="H6801" i="1"/>
  <c r="G6801" i="1"/>
  <c r="F6801" i="1"/>
  <c r="E6801" i="1"/>
  <c r="D6801" i="1"/>
  <c r="C6801" i="1"/>
  <c r="B6801" i="1"/>
  <c r="A6801" i="1"/>
  <c r="R6800" i="1"/>
  <c r="J6800" i="1"/>
  <c r="I6800" i="1"/>
  <c r="G6800" i="1"/>
  <c r="F6800" i="1"/>
  <c r="E6800" i="1"/>
  <c r="D6800" i="1"/>
  <c r="C6800" i="1"/>
  <c r="B6800" i="1"/>
  <c r="A6800" i="1"/>
  <c r="S6799" i="1"/>
  <c r="O6799" i="1"/>
  <c r="K6799" i="1"/>
  <c r="J6799" i="1"/>
  <c r="I6799" i="1"/>
  <c r="H6799" i="1"/>
  <c r="G6799" i="1"/>
  <c r="F6799" i="1"/>
  <c r="E6799" i="1"/>
  <c r="D6799" i="1"/>
  <c r="C6799" i="1"/>
  <c r="B6799" i="1"/>
  <c r="A6799" i="1"/>
  <c r="R6798" i="1"/>
  <c r="J6798" i="1"/>
  <c r="I6798" i="1"/>
  <c r="G6798" i="1"/>
  <c r="F6798" i="1"/>
  <c r="E6798" i="1"/>
  <c r="D6798" i="1"/>
  <c r="C6798" i="1"/>
  <c r="B6798" i="1"/>
  <c r="A6798" i="1"/>
  <c r="S6797" i="1"/>
  <c r="O6797" i="1"/>
  <c r="K6797" i="1"/>
  <c r="J6797" i="1"/>
  <c r="I6797" i="1"/>
  <c r="H6797" i="1"/>
  <c r="G6797" i="1"/>
  <c r="F6797" i="1"/>
  <c r="E6797" i="1"/>
  <c r="D6797" i="1"/>
  <c r="C6797" i="1"/>
  <c r="B6797" i="1"/>
  <c r="A6797" i="1"/>
  <c r="R6796" i="1"/>
  <c r="J6796" i="1"/>
  <c r="I6796" i="1"/>
  <c r="G6796" i="1"/>
  <c r="F6796" i="1"/>
  <c r="E6796" i="1"/>
  <c r="D6796" i="1"/>
  <c r="C6796" i="1"/>
  <c r="B6796" i="1"/>
  <c r="A6796" i="1"/>
  <c r="S6795" i="1"/>
  <c r="O6795" i="1"/>
  <c r="K6795" i="1"/>
  <c r="J6795" i="1"/>
  <c r="I6795" i="1"/>
  <c r="H6795" i="1"/>
  <c r="G6795" i="1"/>
  <c r="F6795" i="1"/>
  <c r="E6795" i="1"/>
  <c r="D6795" i="1"/>
  <c r="C6795" i="1"/>
  <c r="B6795" i="1"/>
  <c r="A6795" i="1"/>
  <c r="R6794" i="1"/>
  <c r="J6794" i="1"/>
  <c r="I6794" i="1"/>
  <c r="G6794" i="1"/>
  <c r="F6794" i="1"/>
  <c r="E6794" i="1"/>
  <c r="D6794" i="1"/>
  <c r="C6794" i="1"/>
  <c r="B6794" i="1"/>
  <c r="A6794" i="1"/>
  <c r="S6793" i="1"/>
  <c r="O6793" i="1"/>
  <c r="K6793" i="1"/>
  <c r="J6793" i="1"/>
  <c r="I6793" i="1"/>
  <c r="H6793" i="1"/>
  <c r="G6793" i="1"/>
  <c r="F6793" i="1"/>
  <c r="E6793" i="1"/>
  <c r="D6793" i="1"/>
  <c r="C6793" i="1"/>
  <c r="B6793" i="1"/>
  <c r="A6793" i="1"/>
  <c r="R6792" i="1"/>
  <c r="J6792" i="1"/>
  <c r="I6792" i="1"/>
  <c r="G6792" i="1"/>
  <c r="F6792" i="1"/>
  <c r="E6792" i="1"/>
  <c r="D6792" i="1"/>
  <c r="C6792" i="1"/>
  <c r="B6792" i="1"/>
  <c r="A6792" i="1"/>
  <c r="R6791" i="1"/>
  <c r="J6791" i="1"/>
  <c r="I6791" i="1"/>
  <c r="G6791" i="1"/>
  <c r="F6791" i="1"/>
  <c r="E6791" i="1"/>
  <c r="D6791" i="1"/>
  <c r="C6791" i="1"/>
  <c r="B6791" i="1"/>
  <c r="A6791" i="1"/>
  <c r="S6790" i="1"/>
  <c r="O6790" i="1"/>
  <c r="K6790" i="1"/>
  <c r="J6790" i="1"/>
  <c r="I6790" i="1"/>
  <c r="H6790" i="1"/>
  <c r="G6790" i="1"/>
  <c r="F6790" i="1"/>
  <c r="E6790" i="1"/>
  <c r="D6790" i="1"/>
  <c r="C6790" i="1"/>
  <c r="B6790" i="1"/>
  <c r="A6790" i="1"/>
  <c r="R6789" i="1"/>
  <c r="J6789" i="1"/>
  <c r="I6789" i="1"/>
  <c r="G6789" i="1"/>
  <c r="F6789" i="1"/>
  <c r="E6789" i="1"/>
  <c r="D6789" i="1"/>
  <c r="C6789" i="1"/>
  <c r="B6789" i="1"/>
  <c r="A6789" i="1"/>
  <c r="S6788" i="1"/>
  <c r="O6788" i="1"/>
  <c r="K6788" i="1"/>
  <c r="J6788" i="1"/>
  <c r="I6788" i="1"/>
  <c r="H6788" i="1"/>
  <c r="G6788" i="1"/>
  <c r="F6788" i="1"/>
  <c r="E6788" i="1"/>
  <c r="D6788" i="1"/>
  <c r="C6788" i="1"/>
  <c r="B6788" i="1"/>
  <c r="A6788" i="1"/>
  <c r="R6787" i="1"/>
  <c r="J6787" i="1"/>
  <c r="I6787" i="1"/>
  <c r="G6787" i="1"/>
  <c r="F6787" i="1"/>
  <c r="E6787" i="1"/>
  <c r="D6787" i="1"/>
  <c r="C6787" i="1"/>
  <c r="B6787" i="1"/>
  <c r="A6787" i="1"/>
  <c r="S6786" i="1"/>
  <c r="O6786" i="1"/>
  <c r="K6786" i="1"/>
  <c r="J6786" i="1"/>
  <c r="I6786" i="1"/>
  <c r="H6786" i="1"/>
  <c r="G6786" i="1"/>
  <c r="F6786" i="1"/>
  <c r="E6786" i="1"/>
  <c r="D6786" i="1"/>
  <c r="C6786" i="1"/>
  <c r="B6786" i="1"/>
  <c r="A6786" i="1"/>
  <c r="R6785" i="1"/>
  <c r="J6785" i="1"/>
  <c r="I6785" i="1"/>
  <c r="G6785" i="1"/>
  <c r="F6785" i="1"/>
  <c r="E6785" i="1"/>
  <c r="D6785" i="1"/>
  <c r="C6785" i="1"/>
  <c r="B6785" i="1"/>
  <c r="A6785" i="1"/>
  <c r="S6784" i="1"/>
  <c r="O6784" i="1"/>
  <c r="K6784" i="1"/>
  <c r="J6784" i="1"/>
  <c r="I6784" i="1"/>
  <c r="H6784" i="1"/>
  <c r="G6784" i="1"/>
  <c r="F6784" i="1"/>
  <c r="E6784" i="1"/>
  <c r="D6784" i="1"/>
  <c r="C6784" i="1"/>
  <c r="B6784" i="1"/>
  <c r="A6784" i="1"/>
  <c r="R6783" i="1"/>
  <c r="J6783" i="1"/>
  <c r="I6783" i="1"/>
  <c r="G6783" i="1"/>
  <c r="F6783" i="1"/>
  <c r="E6783" i="1"/>
  <c r="D6783" i="1"/>
  <c r="C6783" i="1"/>
  <c r="B6783" i="1"/>
  <c r="A6783" i="1"/>
  <c r="S6782" i="1"/>
  <c r="O6782" i="1"/>
  <c r="K6782" i="1"/>
  <c r="J6782" i="1"/>
  <c r="I6782" i="1"/>
  <c r="H6782" i="1"/>
  <c r="G6782" i="1"/>
  <c r="F6782" i="1"/>
  <c r="E6782" i="1"/>
  <c r="D6782" i="1"/>
  <c r="C6782" i="1"/>
  <c r="B6782" i="1"/>
  <c r="A6782" i="1"/>
  <c r="R6781" i="1"/>
  <c r="J6781" i="1"/>
  <c r="I6781" i="1"/>
  <c r="G6781" i="1"/>
  <c r="F6781" i="1"/>
  <c r="E6781" i="1"/>
  <c r="D6781" i="1"/>
  <c r="C6781" i="1"/>
  <c r="B6781" i="1"/>
  <c r="A6781" i="1"/>
  <c r="S6780" i="1"/>
  <c r="O6780" i="1"/>
  <c r="K6780" i="1"/>
  <c r="J6780" i="1"/>
  <c r="I6780" i="1"/>
  <c r="H6780" i="1"/>
  <c r="G6780" i="1"/>
  <c r="F6780" i="1"/>
  <c r="E6780" i="1"/>
  <c r="D6780" i="1"/>
  <c r="C6780" i="1"/>
  <c r="B6780" i="1"/>
  <c r="A6780" i="1"/>
  <c r="R6779" i="1"/>
  <c r="J6779" i="1"/>
  <c r="I6779" i="1"/>
  <c r="G6779" i="1"/>
  <c r="F6779" i="1"/>
  <c r="E6779" i="1"/>
  <c r="D6779" i="1"/>
  <c r="C6779" i="1"/>
  <c r="B6779" i="1"/>
  <c r="A6779" i="1"/>
  <c r="R6778" i="1"/>
  <c r="J6778" i="1"/>
  <c r="I6778" i="1"/>
  <c r="G6778" i="1"/>
  <c r="F6778" i="1"/>
  <c r="E6778" i="1"/>
  <c r="D6778" i="1"/>
  <c r="C6778" i="1"/>
  <c r="B6778" i="1"/>
  <c r="A6778" i="1"/>
  <c r="S6777" i="1"/>
  <c r="O6777" i="1"/>
  <c r="K6777" i="1"/>
  <c r="J6777" i="1"/>
  <c r="I6777" i="1"/>
  <c r="H6777" i="1"/>
  <c r="G6777" i="1"/>
  <c r="F6777" i="1"/>
  <c r="E6777" i="1"/>
  <c r="D6777" i="1"/>
  <c r="C6777" i="1"/>
  <c r="B6777" i="1"/>
  <c r="A6777" i="1"/>
  <c r="R6776" i="1"/>
  <c r="J6776" i="1"/>
  <c r="I6776" i="1"/>
  <c r="G6776" i="1"/>
  <c r="F6776" i="1"/>
  <c r="E6776" i="1"/>
  <c r="D6776" i="1"/>
  <c r="C6776" i="1"/>
  <c r="B6776" i="1"/>
  <c r="A6776" i="1"/>
  <c r="S6775" i="1"/>
  <c r="O6775" i="1"/>
  <c r="K6775" i="1"/>
  <c r="J6775" i="1"/>
  <c r="I6775" i="1"/>
  <c r="H6775" i="1"/>
  <c r="G6775" i="1"/>
  <c r="F6775" i="1"/>
  <c r="E6775" i="1"/>
  <c r="D6775" i="1"/>
  <c r="C6775" i="1"/>
  <c r="B6775" i="1"/>
  <c r="A6775" i="1"/>
  <c r="R6774" i="1"/>
  <c r="J6774" i="1"/>
  <c r="I6774" i="1"/>
  <c r="G6774" i="1"/>
  <c r="F6774" i="1"/>
  <c r="E6774" i="1"/>
  <c r="D6774" i="1"/>
  <c r="C6774" i="1"/>
  <c r="B6774" i="1"/>
  <c r="A6774" i="1"/>
  <c r="S6773" i="1"/>
  <c r="O6773" i="1"/>
  <c r="K6773" i="1"/>
  <c r="J6773" i="1"/>
  <c r="I6773" i="1"/>
  <c r="H6773" i="1"/>
  <c r="G6773" i="1"/>
  <c r="F6773" i="1"/>
  <c r="E6773" i="1"/>
  <c r="D6773" i="1"/>
  <c r="C6773" i="1"/>
  <c r="B6773" i="1"/>
  <c r="A6773" i="1"/>
  <c r="R6772" i="1"/>
  <c r="J6772" i="1"/>
  <c r="I6772" i="1"/>
  <c r="G6772" i="1"/>
  <c r="F6772" i="1"/>
  <c r="E6772" i="1"/>
  <c r="D6772" i="1"/>
  <c r="C6772" i="1"/>
  <c r="B6772" i="1"/>
  <c r="A6772" i="1"/>
  <c r="S6771" i="1"/>
  <c r="O6771" i="1"/>
  <c r="K6771" i="1"/>
  <c r="J6771" i="1"/>
  <c r="I6771" i="1"/>
  <c r="H6771" i="1"/>
  <c r="G6771" i="1"/>
  <c r="F6771" i="1"/>
  <c r="E6771" i="1"/>
  <c r="D6771" i="1"/>
  <c r="C6771" i="1"/>
  <c r="B6771" i="1"/>
  <c r="A6771" i="1"/>
  <c r="R6770" i="1"/>
  <c r="J6770" i="1"/>
  <c r="I6770" i="1"/>
  <c r="G6770" i="1"/>
  <c r="F6770" i="1"/>
  <c r="E6770" i="1"/>
  <c r="D6770" i="1"/>
  <c r="C6770" i="1"/>
  <c r="B6770" i="1"/>
  <c r="A6770" i="1"/>
  <c r="S6769" i="1"/>
  <c r="O6769" i="1"/>
  <c r="K6769" i="1"/>
  <c r="J6769" i="1"/>
  <c r="I6769" i="1"/>
  <c r="H6769" i="1"/>
  <c r="G6769" i="1"/>
  <c r="F6769" i="1"/>
  <c r="E6769" i="1"/>
  <c r="D6769" i="1"/>
  <c r="C6769" i="1"/>
  <c r="B6769" i="1"/>
  <c r="A6769" i="1"/>
  <c r="S6768" i="1"/>
  <c r="O6768" i="1"/>
  <c r="K6768" i="1"/>
  <c r="J6768" i="1"/>
  <c r="I6768" i="1"/>
  <c r="H6768" i="1"/>
  <c r="G6768" i="1"/>
  <c r="F6768" i="1"/>
  <c r="D6768" i="1"/>
  <c r="C6768" i="1"/>
  <c r="B6768" i="1"/>
  <c r="A6768" i="1"/>
  <c r="S6767" i="1"/>
  <c r="O6767" i="1"/>
  <c r="K6767" i="1"/>
  <c r="J6767" i="1"/>
  <c r="I6767" i="1"/>
  <c r="H6767" i="1"/>
  <c r="G6767" i="1"/>
  <c r="F6767" i="1"/>
  <c r="D6767" i="1"/>
  <c r="C6767" i="1"/>
  <c r="B6767" i="1"/>
  <c r="A6767" i="1"/>
  <c r="S6766" i="1"/>
  <c r="O6766" i="1"/>
  <c r="K6766" i="1"/>
  <c r="J6766" i="1"/>
  <c r="I6766" i="1"/>
  <c r="H6766" i="1"/>
  <c r="G6766" i="1"/>
  <c r="F6766" i="1"/>
  <c r="D6766" i="1"/>
  <c r="C6766" i="1"/>
  <c r="B6766" i="1"/>
  <c r="A6766" i="1"/>
  <c r="S6765" i="1"/>
  <c r="O6765" i="1"/>
  <c r="K6765" i="1"/>
  <c r="J6765" i="1"/>
  <c r="I6765" i="1"/>
  <c r="H6765" i="1"/>
  <c r="G6765" i="1"/>
  <c r="F6765" i="1"/>
  <c r="D6765" i="1"/>
  <c r="C6765" i="1"/>
  <c r="B6765" i="1"/>
  <c r="A6765" i="1"/>
  <c r="S6764" i="1"/>
  <c r="O6764" i="1"/>
  <c r="K6764" i="1"/>
  <c r="J6764" i="1"/>
  <c r="I6764" i="1"/>
  <c r="H6764" i="1"/>
  <c r="G6764" i="1"/>
  <c r="F6764" i="1"/>
  <c r="D6764" i="1"/>
  <c r="C6764" i="1"/>
  <c r="B6764" i="1"/>
  <c r="A6764" i="1"/>
  <c r="S6763" i="1"/>
  <c r="O6763" i="1"/>
  <c r="K6763" i="1"/>
  <c r="J6763" i="1"/>
  <c r="I6763" i="1"/>
  <c r="H6763" i="1"/>
  <c r="G6763" i="1"/>
  <c r="F6763" i="1"/>
  <c r="D6763" i="1"/>
  <c r="C6763" i="1"/>
  <c r="B6763" i="1"/>
  <c r="A6763" i="1"/>
  <c r="R6762" i="1"/>
  <c r="J6762" i="1"/>
  <c r="I6762" i="1"/>
  <c r="G6762" i="1"/>
  <c r="F6762" i="1"/>
  <c r="E6762" i="1"/>
  <c r="D6762" i="1"/>
  <c r="C6762" i="1"/>
  <c r="B6762" i="1"/>
  <c r="A6762" i="1"/>
  <c r="S6761" i="1"/>
  <c r="O6761" i="1"/>
  <c r="K6761" i="1"/>
  <c r="J6761" i="1"/>
  <c r="I6761" i="1"/>
  <c r="H6761" i="1"/>
  <c r="G6761" i="1"/>
  <c r="F6761" i="1"/>
  <c r="E6761" i="1"/>
  <c r="D6761" i="1"/>
  <c r="C6761" i="1"/>
  <c r="B6761" i="1"/>
  <c r="A6761" i="1"/>
  <c r="R6760" i="1"/>
  <c r="J6760" i="1"/>
  <c r="I6760" i="1"/>
  <c r="G6760" i="1"/>
  <c r="F6760" i="1"/>
  <c r="E6760" i="1"/>
  <c r="D6760" i="1"/>
  <c r="C6760" i="1"/>
  <c r="B6760" i="1"/>
  <c r="A6760" i="1"/>
  <c r="S6759" i="1"/>
  <c r="O6759" i="1"/>
  <c r="K6759" i="1"/>
  <c r="J6759" i="1"/>
  <c r="I6759" i="1"/>
  <c r="H6759" i="1"/>
  <c r="G6759" i="1"/>
  <c r="F6759" i="1"/>
  <c r="E6759" i="1"/>
  <c r="D6759" i="1"/>
  <c r="C6759" i="1"/>
  <c r="B6759" i="1"/>
  <c r="A6759" i="1"/>
  <c r="R6758" i="1"/>
  <c r="J6758" i="1"/>
  <c r="I6758" i="1"/>
  <c r="G6758" i="1"/>
  <c r="F6758" i="1"/>
  <c r="E6758" i="1"/>
  <c r="D6758" i="1"/>
  <c r="C6758" i="1"/>
  <c r="B6758" i="1"/>
  <c r="A6758" i="1"/>
  <c r="S6757" i="1"/>
  <c r="O6757" i="1"/>
  <c r="K6757" i="1"/>
  <c r="J6757" i="1"/>
  <c r="I6757" i="1"/>
  <c r="H6757" i="1"/>
  <c r="G6757" i="1"/>
  <c r="F6757" i="1"/>
  <c r="E6757" i="1"/>
  <c r="D6757" i="1"/>
  <c r="C6757" i="1"/>
  <c r="B6757" i="1"/>
  <c r="A6757" i="1"/>
  <c r="R6756" i="1"/>
  <c r="J6756" i="1"/>
  <c r="I6756" i="1"/>
  <c r="G6756" i="1"/>
  <c r="F6756" i="1"/>
  <c r="E6756" i="1"/>
  <c r="D6756" i="1"/>
  <c r="C6756" i="1"/>
  <c r="B6756" i="1"/>
  <c r="A6756" i="1"/>
  <c r="S6755" i="1"/>
  <c r="O6755" i="1"/>
  <c r="K6755" i="1"/>
  <c r="J6755" i="1"/>
  <c r="I6755" i="1"/>
  <c r="H6755" i="1"/>
  <c r="G6755" i="1"/>
  <c r="F6755" i="1"/>
  <c r="E6755" i="1"/>
  <c r="D6755" i="1"/>
  <c r="C6755" i="1"/>
  <c r="B6755" i="1"/>
  <c r="A6755" i="1"/>
  <c r="S6754" i="1"/>
  <c r="O6754" i="1"/>
  <c r="K6754" i="1"/>
  <c r="J6754" i="1"/>
  <c r="I6754" i="1"/>
  <c r="H6754" i="1"/>
  <c r="G6754" i="1"/>
  <c r="F6754" i="1"/>
  <c r="D6754" i="1"/>
  <c r="C6754" i="1"/>
  <c r="B6754" i="1"/>
  <c r="A6754" i="1"/>
  <c r="R6753" i="1"/>
  <c r="J6753" i="1"/>
  <c r="I6753" i="1"/>
  <c r="G6753" i="1"/>
  <c r="F6753" i="1"/>
  <c r="E6753" i="1"/>
  <c r="D6753" i="1"/>
  <c r="C6753" i="1"/>
  <c r="B6753" i="1"/>
  <c r="A6753" i="1"/>
  <c r="S6752" i="1"/>
  <c r="O6752" i="1"/>
  <c r="K6752" i="1"/>
  <c r="J6752" i="1"/>
  <c r="I6752" i="1"/>
  <c r="H6752" i="1"/>
  <c r="G6752" i="1"/>
  <c r="F6752" i="1"/>
  <c r="E6752" i="1"/>
  <c r="D6752" i="1"/>
  <c r="C6752" i="1"/>
  <c r="B6752" i="1"/>
  <c r="A6752" i="1"/>
  <c r="R6751" i="1"/>
  <c r="J6751" i="1"/>
  <c r="I6751" i="1"/>
  <c r="G6751" i="1"/>
  <c r="F6751" i="1"/>
  <c r="E6751" i="1"/>
  <c r="D6751" i="1"/>
  <c r="C6751" i="1"/>
  <c r="B6751" i="1"/>
  <c r="A6751" i="1"/>
  <c r="R6750" i="1"/>
  <c r="J6750" i="1"/>
  <c r="I6750" i="1"/>
  <c r="G6750" i="1"/>
  <c r="F6750" i="1"/>
  <c r="E6750" i="1"/>
  <c r="D6750" i="1"/>
  <c r="C6750" i="1"/>
  <c r="B6750" i="1"/>
  <c r="A6750" i="1"/>
  <c r="R6749" i="1"/>
  <c r="J6749" i="1"/>
  <c r="I6749" i="1"/>
  <c r="G6749" i="1"/>
  <c r="F6749" i="1"/>
  <c r="E6749" i="1"/>
  <c r="D6749" i="1"/>
  <c r="C6749" i="1"/>
  <c r="B6749" i="1"/>
  <c r="A6749" i="1"/>
  <c r="R6748" i="1"/>
  <c r="J6748" i="1"/>
  <c r="I6748" i="1"/>
  <c r="G6748" i="1"/>
  <c r="F6748" i="1"/>
  <c r="E6748" i="1"/>
  <c r="D6748" i="1"/>
  <c r="C6748" i="1"/>
  <c r="B6748" i="1"/>
  <c r="A6748" i="1"/>
  <c r="R6747" i="1"/>
  <c r="J6747" i="1"/>
  <c r="I6747" i="1"/>
  <c r="G6747" i="1"/>
  <c r="F6747" i="1"/>
  <c r="E6747" i="1"/>
  <c r="D6747" i="1"/>
  <c r="C6747" i="1"/>
  <c r="B6747" i="1"/>
  <c r="A6747" i="1"/>
  <c r="R6746" i="1"/>
  <c r="J6746" i="1"/>
  <c r="I6746" i="1"/>
  <c r="G6746" i="1"/>
  <c r="F6746" i="1"/>
  <c r="E6746" i="1"/>
  <c r="D6746" i="1"/>
  <c r="C6746" i="1"/>
  <c r="B6746" i="1"/>
  <c r="A6746" i="1"/>
  <c r="S6745" i="1"/>
  <c r="O6745" i="1"/>
  <c r="K6745" i="1"/>
  <c r="J6745" i="1"/>
  <c r="I6745" i="1"/>
  <c r="H6745" i="1"/>
  <c r="G6745" i="1"/>
  <c r="F6745" i="1"/>
  <c r="E6745" i="1"/>
  <c r="D6745" i="1"/>
  <c r="C6745" i="1"/>
  <c r="B6745" i="1"/>
  <c r="A6745" i="1"/>
  <c r="R6744" i="1"/>
  <c r="J6744" i="1"/>
  <c r="I6744" i="1"/>
  <c r="G6744" i="1"/>
  <c r="F6744" i="1"/>
  <c r="E6744" i="1"/>
  <c r="D6744" i="1"/>
  <c r="C6744" i="1"/>
  <c r="B6744" i="1"/>
  <c r="A6744" i="1"/>
  <c r="S6743" i="1"/>
  <c r="O6743" i="1"/>
  <c r="K6743" i="1"/>
  <c r="J6743" i="1"/>
  <c r="I6743" i="1"/>
  <c r="H6743" i="1"/>
  <c r="G6743" i="1"/>
  <c r="F6743" i="1"/>
  <c r="E6743" i="1"/>
  <c r="D6743" i="1"/>
  <c r="C6743" i="1"/>
  <c r="B6743" i="1"/>
  <c r="A6743" i="1"/>
  <c r="R6742" i="1"/>
  <c r="J6742" i="1"/>
  <c r="I6742" i="1"/>
  <c r="G6742" i="1"/>
  <c r="F6742" i="1"/>
  <c r="E6742" i="1"/>
  <c r="D6742" i="1"/>
  <c r="C6742" i="1"/>
  <c r="B6742" i="1"/>
  <c r="A6742" i="1"/>
  <c r="R6741" i="1"/>
  <c r="J6741" i="1"/>
  <c r="I6741" i="1"/>
  <c r="G6741" i="1"/>
  <c r="F6741" i="1"/>
  <c r="E6741" i="1"/>
  <c r="D6741" i="1"/>
  <c r="C6741" i="1"/>
  <c r="B6741" i="1"/>
  <c r="A6741" i="1"/>
  <c r="R6740" i="1"/>
  <c r="J6740" i="1"/>
  <c r="I6740" i="1"/>
  <c r="G6740" i="1"/>
  <c r="F6740" i="1"/>
  <c r="E6740" i="1"/>
  <c r="D6740" i="1"/>
  <c r="C6740" i="1"/>
  <c r="B6740" i="1"/>
  <c r="A6740" i="1"/>
  <c r="S6739" i="1"/>
  <c r="O6739" i="1"/>
  <c r="K6739" i="1"/>
  <c r="J6739" i="1"/>
  <c r="I6739" i="1"/>
  <c r="H6739" i="1"/>
  <c r="G6739" i="1"/>
  <c r="F6739" i="1"/>
  <c r="E6739" i="1"/>
  <c r="D6739" i="1"/>
  <c r="C6739" i="1"/>
  <c r="B6739" i="1"/>
  <c r="A6739" i="1"/>
  <c r="R6738" i="1"/>
  <c r="J6738" i="1"/>
  <c r="I6738" i="1"/>
  <c r="G6738" i="1"/>
  <c r="F6738" i="1"/>
  <c r="E6738" i="1"/>
  <c r="D6738" i="1"/>
  <c r="C6738" i="1"/>
  <c r="B6738" i="1"/>
  <c r="A6738" i="1"/>
  <c r="S6737" i="1"/>
  <c r="O6737" i="1"/>
  <c r="K6737" i="1"/>
  <c r="J6737" i="1"/>
  <c r="I6737" i="1"/>
  <c r="H6737" i="1"/>
  <c r="G6737" i="1"/>
  <c r="F6737" i="1"/>
  <c r="E6737" i="1"/>
  <c r="D6737" i="1"/>
  <c r="C6737" i="1"/>
  <c r="B6737" i="1"/>
  <c r="A6737" i="1"/>
  <c r="R6736" i="1"/>
  <c r="J6736" i="1"/>
  <c r="I6736" i="1"/>
  <c r="G6736" i="1"/>
  <c r="F6736" i="1"/>
  <c r="E6736" i="1"/>
  <c r="D6736" i="1"/>
  <c r="C6736" i="1"/>
  <c r="B6736" i="1"/>
  <c r="A6736" i="1"/>
  <c r="S6735" i="1"/>
  <c r="O6735" i="1"/>
  <c r="K6735" i="1"/>
  <c r="J6735" i="1"/>
  <c r="I6735" i="1"/>
  <c r="H6735" i="1"/>
  <c r="G6735" i="1"/>
  <c r="F6735" i="1"/>
  <c r="E6735" i="1"/>
  <c r="D6735" i="1"/>
  <c r="C6735" i="1"/>
  <c r="B6735" i="1"/>
  <c r="A6735" i="1"/>
  <c r="R6734" i="1"/>
  <c r="J6734" i="1"/>
  <c r="I6734" i="1"/>
  <c r="G6734" i="1"/>
  <c r="F6734" i="1"/>
  <c r="E6734" i="1"/>
  <c r="D6734" i="1"/>
  <c r="C6734" i="1"/>
  <c r="B6734" i="1"/>
  <c r="A6734" i="1"/>
  <c r="S6733" i="1"/>
  <c r="O6733" i="1"/>
  <c r="K6733" i="1"/>
  <c r="J6733" i="1"/>
  <c r="I6733" i="1"/>
  <c r="H6733" i="1"/>
  <c r="G6733" i="1"/>
  <c r="F6733" i="1"/>
  <c r="E6733" i="1"/>
  <c r="D6733" i="1"/>
  <c r="C6733" i="1"/>
  <c r="B6733" i="1"/>
  <c r="A6733" i="1"/>
  <c r="R6732" i="1"/>
  <c r="J6732" i="1"/>
  <c r="I6732" i="1"/>
  <c r="G6732" i="1"/>
  <c r="F6732" i="1"/>
  <c r="E6732" i="1"/>
  <c r="D6732" i="1"/>
  <c r="C6732" i="1"/>
  <c r="B6732" i="1"/>
  <c r="A6732" i="1"/>
  <c r="S6731" i="1"/>
  <c r="O6731" i="1"/>
  <c r="K6731" i="1"/>
  <c r="J6731" i="1"/>
  <c r="I6731" i="1"/>
  <c r="H6731" i="1"/>
  <c r="G6731" i="1"/>
  <c r="F6731" i="1"/>
  <c r="E6731" i="1"/>
  <c r="D6731" i="1"/>
  <c r="C6731" i="1"/>
  <c r="B6731" i="1"/>
  <c r="A6731" i="1"/>
  <c r="R6730" i="1"/>
  <c r="J6730" i="1"/>
  <c r="I6730" i="1"/>
  <c r="G6730" i="1"/>
  <c r="F6730" i="1"/>
  <c r="E6730" i="1"/>
  <c r="D6730" i="1"/>
  <c r="C6730" i="1"/>
  <c r="B6730" i="1"/>
  <c r="A6730" i="1"/>
  <c r="S6729" i="1"/>
  <c r="O6729" i="1"/>
  <c r="K6729" i="1"/>
  <c r="J6729" i="1"/>
  <c r="I6729" i="1"/>
  <c r="H6729" i="1"/>
  <c r="G6729" i="1"/>
  <c r="F6729" i="1"/>
  <c r="E6729" i="1"/>
  <c r="D6729" i="1"/>
  <c r="C6729" i="1"/>
  <c r="B6729" i="1"/>
  <c r="A6729" i="1"/>
  <c r="R6728" i="1"/>
  <c r="J6728" i="1"/>
  <c r="I6728" i="1"/>
  <c r="G6728" i="1"/>
  <c r="F6728" i="1"/>
  <c r="E6728" i="1"/>
  <c r="D6728" i="1"/>
  <c r="C6728" i="1"/>
  <c r="B6728" i="1"/>
  <c r="A6728" i="1"/>
  <c r="R6727" i="1"/>
  <c r="J6727" i="1"/>
  <c r="I6727" i="1"/>
  <c r="G6727" i="1"/>
  <c r="F6727" i="1"/>
  <c r="E6727" i="1"/>
  <c r="D6727" i="1"/>
  <c r="C6727" i="1"/>
  <c r="B6727" i="1"/>
  <c r="A6727" i="1"/>
  <c r="R6726" i="1"/>
  <c r="J6726" i="1"/>
  <c r="I6726" i="1"/>
  <c r="G6726" i="1"/>
  <c r="F6726" i="1"/>
  <c r="E6726" i="1"/>
  <c r="D6726" i="1"/>
  <c r="C6726" i="1"/>
  <c r="B6726" i="1"/>
  <c r="A6726" i="1"/>
  <c r="S6725" i="1"/>
  <c r="O6725" i="1"/>
  <c r="K6725" i="1"/>
  <c r="J6725" i="1"/>
  <c r="I6725" i="1"/>
  <c r="H6725" i="1"/>
  <c r="G6725" i="1"/>
  <c r="F6725" i="1"/>
  <c r="E6725" i="1"/>
  <c r="D6725" i="1"/>
  <c r="C6725" i="1"/>
  <c r="B6725" i="1"/>
  <c r="A6725" i="1"/>
  <c r="R6724" i="1"/>
  <c r="J6724" i="1"/>
  <c r="I6724" i="1"/>
  <c r="G6724" i="1"/>
  <c r="F6724" i="1"/>
  <c r="E6724" i="1"/>
  <c r="D6724" i="1"/>
  <c r="C6724" i="1"/>
  <c r="B6724" i="1"/>
  <c r="A6724" i="1"/>
  <c r="R6723" i="1"/>
  <c r="J6723" i="1"/>
  <c r="I6723" i="1"/>
  <c r="G6723" i="1"/>
  <c r="F6723" i="1"/>
  <c r="E6723" i="1"/>
  <c r="D6723" i="1"/>
  <c r="C6723" i="1"/>
  <c r="B6723" i="1"/>
  <c r="A6723" i="1"/>
  <c r="R6722" i="1"/>
  <c r="J6722" i="1"/>
  <c r="I6722" i="1"/>
  <c r="G6722" i="1"/>
  <c r="F6722" i="1"/>
  <c r="E6722" i="1"/>
  <c r="D6722" i="1"/>
  <c r="C6722" i="1"/>
  <c r="B6722" i="1"/>
  <c r="A6722" i="1"/>
  <c r="S6721" i="1"/>
  <c r="O6721" i="1"/>
  <c r="K6721" i="1"/>
  <c r="J6721" i="1"/>
  <c r="I6721" i="1"/>
  <c r="H6721" i="1"/>
  <c r="G6721" i="1"/>
  <c r="F6721" i="1"/>
  <c r="E6721" i="1"/>
  <c r="D6721" i="1"/>
  <c r="C6721" i="1"/>
  <c r="B6721" i="1"/>
  <c r="A6721" i="1"/>
  <c r="R6720" i="1"/>
  <c r="J6720" i="1"/>
  <c r="I6720" i="1"/>
  <c r="G6720" i="1"/>
  <c r="F6720" i="1"/>
  <c r="E6720" i="1"/>
  <c r="D6720" i="1"/>
  <c r="C6720" i="1"/>
  <c r="B6720" i="1"/>
  <c r="A6720" i="1"/>
  <c r="S6719" i="1"/>
  <c r="O6719" i="1"/>
  <c r="K6719" i="1"/>
  <c r="J6719" i="1"/>
  <c r="I6719" i="1"/>
  <c r="H6719" i="1"/>
  <c r="G6719" i="1"/>
  <c r="F6719" i="1"/>
  <c r="E6719" i="1"/>
  <c r="D6719" i="1"/>
  <c r="C6719" i="1"/>
  <c r="B6719" i="1"/>
  <c r="A6719" i="1"/>
  <c r="R6718" i="1"/>
  <c r="J6718" i="1"/>
  <c r="I6718" i="1"/>
  <c r="G6718" i="1"/>
  <c r="F6718" i="1"/>
  <c r="E6718" i="1"/>
  <c r="D6718" i="1"/>
  <c r="C6718" i="1"/>
  <c r="B6718" i="1"/>
  <c r="A6718" i="1"/>
  <c r="S6717" i="1"/>
  <c r="O6717" i="1"/>
  <c r="K6717" i="1"/>
  <c r="J6717" i="1"/>
  <c r="I6717" i="1"/>
  <c r="H6717" i="1"/>
  <c r="G6717" i="1"/>
  <c r="F6717" i="1"/>
  <c r="E6717" i="1"/>
  <c r="D6717" i="1"/>
  <c r="C6717" i="1"/>
  <c r="B6717" i="1"/>
  <c r="A6717" i="1"/>
  <c r="R6716" i="1"/>
  <c r="J6716" i="1"/>
  <c r="I6716" i="1"/>
  <c r="G6716" i="1"/>
  <c r="F6716" i="1"/>
  <c r="E6716" i="1"/>
  <c r="D6716" i="1"/>
  <c r="C6716" i="1"/>
  <c r="B6716" i="1"/>
  <c r="A6716" i="1"/>
  <c r="S6715" i="1"/>
  <c r="O6715" i="1"/>
  <c r="K6715" i="1"/>
  <c r="J6715" i="1"/>
  <c r="I6715" i="1"/>
  <c r="H6715" i="1"/>
  <c r="G6715" i="1"/>
  <c r="F6715" i="1"/>
  <c r="E6715" i="1"/>
  <c r="D6715" i="1"/>
  <c r="C6715" i="1"/>
  <c r="B6715" i="1"/>
  <c r="A6715" i="1"/>
  <c r="R6714" i="1"/>
  <c r="J6714" i="1"/>
  <c r="I6714" i="1"/>
  <c r="G6714" i="1"/>
  <c r="F6714" i="1"/>
  <c r="E6714" i="1"/>
  <c r="D6714" i="1"/>
  <c r="C6714" i="1"/>
  <c r="B6714" i="1"/>
  <c r="A6714" i="1"/>
  <c r="S6713" i="1"/>
  <c r="O6713" i="1"/>
  <c r="K6713" i="1"/>
  <c r="J6713" i="1"/>
  <c r="I6713" i="1"/>
  <c r="H6713" i="1"/>
  <c r="G6713" i="1"/>
  <c r="F6713" i="1"/>
  <c r="E6713" i="1"/>
  <c r="D6713" i="1"/>
  <c r="C6713" i="1"/>
  <c r="B6713" i="1"/>
  <c r="A6713" i="1"/>
  <c r="R6712" i="1"/>
  <c r="J6712" i="1"/>
  <c r="I6712" i="1"/>
  <c r="G6712" i="1"/>
  <c r="F6712" i="1"/>
  <c r="E6712" i="1"/>
  <c r="D6712" i="1"/>
  <c r="C6712" i="1"/>
  <c r="B6712" i="1"/>
  <c r="A6712" i="1"/>
  <c r="R6711" i="1"/>
  <c r="J6711" i="1"/>
  <c r="I6711" i="1"/>
  <c r="G6711" i="1"/>
  <c r="F6711" i="1"/>
  <c r="E6711" i="1"/>
  <c r="D6711" i="1"/>
  <c r="C6711" i="1"/>
  <c r="B6711" i="1"/>
  <c r="A6711" i="1"/>
  <c r="S6710" i="1"/>
  <c r="O6710" i="1"/>
  <c r="K6710" i="1"/>
  <c r="J6710" i="1"/>
  <c r="I6710" i="1"/>
  <c r="H6710" i="1"/>
  <c r="G6710" i="1"/>
  <c r="F6710" i="1"/>
  <c r="E6710" i="1"/>
  <c r="D6710" i="1"/>
  <c r="C6710" i="1"/>
  <c r="B6710" i="1"/>
  <c r="A6710" i="1"/>
  <c r="R6709" i="1"/>
  <c r="J6709" i="1"/>
  <c r="I6709" i="1"/>
  <c r="G6709" i="1"/>
  <c r="F6709" i="1"/>
  <c r="E6709" i="1"/>
  <c r="D6709" i="1"/>
  <c r="C6709" i="1"/>
  <c r="B6709" i="1"/>
  <c r="A6709" i="1"/>
  <c r="R6708" i="1"/>
  <c r="J6708" i="1"/>
  <c r="I6708" i="1"/>
  <c r="G6708" i="1"/>
  <c r="F6708" i="1"/>
  <c r="E6708" i="1"/>
  <c r="D6708" i="1"/>
  <c r="C6708" i="1"/>
  <c r="B6708" i="1"/>
  <c r="A6708" i="1"/>
  <c r="S6707" i="1"/>
  <c r="O6707" i="1"/>
  <c r="K6707" i="1"/>
  <c r="J6707" i="1"/>
  <c r="I6707" i="1"/>
  <c r="H6707" i="1"/>
  <c r="G6707" i="1"/>
  <c r="F6707" i="1"/>
  <c r="E6707" i="1"/>
  <c r="D6707" i="1"/>
  <c r="C6707" i="1"/>
  <c r="B6707" i="1"/>
  <c r="A6707" i="1"/>
  <c r="R6706" i="1"/>
  <c r="J6706" i="1"/>
  <c r="I6706" i="1"/>
  <c r="G6706" i="1"/>
  <c r="F6706" i="1"/>
  <c r="E6706" i="1"/>
  <c r="D6706" i="1"/>
  <c r="C6706" i="1"/>
  <c r="B6706" i="1"/>
  <c r="A6706" i="1"/>
  <c r="S6705" i="1"/>
  <c r="O6705" i="1"/>
  <c r="K6705" i="1"/>
  <c r="J6705" i="1"/>
  <c r="I6705" i="1"/>
  <c r="H6705" i="1"/>
  <c r="G6705" i="1"/>
  <c r="F6705" i="1"/>
  <c r="E6705" i="1"/>
  <c r="D6705" i="1"/>
  <c r="C6705" i="1"/>
  <c r="B6705" i="1"/>
  <c r="A6705" i="1"/>
  <c r="R6704" i="1"/>
  <c r="J6704" i="1"/>
  <c r="I6704" i="1"/>
  <c r="G6704" i="1"/>
  <c r="F6704" i="1"/>
  <c r="E6704" i="1"/>
  <c r="D6704" i="1"/>
  <c r="C6704" i="1"/>
  <c r="B6704" i="1"/>
  <c r="A6704" i="1"/>
  <c r="S6703" i="1"/>
  <c r="O6703" i="1"/>
  <c r="K6703" i="1"/>
  <c r="J6703" i="1"/>
  <c r="I6703" i="1"/>
  <c r="H6703" i="1"/>
  <c r="G6703" i="1"/>
  <c r="F6703" i="1"/>
  <c r="E6703" i="1"/>
  <c r="D6703" i="1"/>
  <c r="C6703" i="1"/>
  <c r="B6703" i="1"/>
  <c r="A6703" i="1"/>
  <c r="R6702" i="1"/>
  <c r="J6702" i="1"/>
  <c r="I6702" i="1"/>
  <c r="G6702" i="1"/>
  <c r="F6702" i="1"/>
  <c r="E6702" i="1"/>
  <c r="D6702" i="1"/>
  <c r="C6702" i="1"/>
  <c r="B6702" i="1"/>
  <c r="A6702" i="1"/>
  <c r="S6701" i="1"/>
  <c r="O6701" i="1"/>
  <c r="K6701" i="1"/>
  <c r="J6701" i="1"/>
  <c r="I6701" i="1"/>
  <c r="H6701" i="1"/>
  <c r="G6701" i="1"/>
  <c r="F6701" i="1"/>
  <c r="E6701" i="1"/>
  <c r="D6701" i="1"/>
  <c r="C6701" i="1"/>
  <c r="B6701" i="1"/>
  <c r="A6701" i="1"/>
  <c r="R6700" i="1"/>
  <c r="J6700" i="1"/>
  <c r="I6700" i="1"/>
  <c r="G6700" i="1"/>
  <c r="F6700" i="1"/>
  <c r="E6700" i="1"/>
  <c r="D6700" i="1"/>
  <c r="C6700" i="1"/>
  <c r="B6700" i="1"/>
  <c r="A6700" i="1"/>
  <c r="S6699" i="1"/>
  <c r="O6699" i="1"/>
  <c r="K6699" i="1"/>
  <c r="J6699" i="1"/>
  <c r="I6699" i="1"/>
  <c r="H6699" i="1"/>
  <c r="G6699" i="1"/>
  <c r="F6699" i="1"/>
  <c r="E6699" i="1"/>
  <c r="D6699" i="1"/>
  <c r="C6699" i="1"/>
  <c r="B6699" i="1"/>
  <c r="A6699" i="1"/>
  <c r="R6698" i="1"/>
  <c r="J6698" i="1"/>
  <c r="I6698" i="1"/>
  <c r="G6698" i="1"/>
  <c r="F6698" i="1"/>
  <c r="E6698" i="1"/>
  <c r="D6698" i="1"/>
  <c r="C6698" i="1"/>
  <c r="B6698" i="1"/>
  <c r="A6698" i="1"/>
  <c r="S6697" i="1"/>
  <c r="O6697" i="1"/>
  <c r="K6697" i="1"/>
  <c r="J6697" i="1"/>
  <c r="I6697" i="1"/>
  <c r="H6697" i="1"/>
  <c r="G6697" i="1"/>
  <c r="F6697" i="1"/>
  <c r="E6697" i="1"/>
  <c r="D6697" i="1"/>
  <c r="C6697" i="1"/>
  <c r="B6697" i="1"/>
  <c r="A6697" i="1"/>
  <c r="R6696" i="1"/>
  <c r="J6696" i="1"/>
  <c r="I6696" i="1"/>
  <c r="G6696" i="1"/>
  <c r="F6696" i="1"/>
  <c r="E6696" i="1"/>
  <c r="D6696" i="1"/>
  <c r="C6696" i="1"/>
  <c r="B6696" i="1"/>
  <c r="A6696" i="1"/>
  <c r="S6695" i="1"/>
  <c r="O6695" i="1"/>
  <c r="K6695" i="1"/>
  <c r="J6695" i="1"/>
  <c r="I6695" i="1"/>
  <c r="H6695" i="1"/>
  <c r="G6695" i="1"/>
  <c r="F6695" i="1"/>
  <c r="E6695" i="1"/>
  <c r="D6695" i="1"/>
  <c r="C6695" i="1"/>
  <c r="B6695" i="1"/>
  <c r="A6695" i="1"/>
  <c r="R6694" i="1"/>
  <c r="J6694" i="1"/>
  <c r="I6694" i="1"/>
  <c r="G6694" i="1"/>
  <c r="F6694" i="1"/>
  <c r="E6694" i="1"/>
  <c r="D6694" i="1"/>
  <c r="C6694" i="1"/>
  <c r="B6694" i="1"/>
  <c r="A6694" i="1"/>
  <c r="S6693" i="1"/>
  <c r="O6693" i="1"/>
  <c r="K6693" i="1"/>
  <c r="J6693" i="1"/>
  <c r="I6693" i="1"/>
  <c r="H6693" i="1"/>
  <c r="G6693" i="1"/>
  <c r="F6693" i="1"/>
  <c r="E6693" i="1"/>
  <c r="D6693" i="1"/>
  <c r="C6693" i="1"/>
  <c r="B6693" i="1"/>
  <c r="A6693" i="1"/>
  <c r="R6692" i="1"/>
  <c r="J6692" i="1"/>
  <c r="I6692" i="1"/>
  <c r="G6692" i="1"/>
  <c r="F6692" i="1"/>
  <c r="E6692" i="1"/>
  <c r="D6692" i="1"/>
  <c r="C6692" i="1"/>
  <c r="B6692" i="1"/>
  <c r="A6692" i="1"/>
  <c r="S6691" i="1"/>
  <c r="O6691" i="1"/>
  <c r="K6691" i="1"/>
  <c r="J6691" i="1"/>
  <c r="I6691" i="1"/>
  <c r="H6691" i="1"/>
  <c r="G6691" i="1"/>
  <c r="F6691" i="1"/>
  <c r="E6691" i="1"/>
  <c r="D6691" i="1"/>
  <c r="C6691" i="1"/>
  <c r="B6691" i="1"/>
  <c r="A6691" i="1"/>
  <c r="R6690" i="1"/>
  <c r="J6690" i="1"/>
  <c r="I6690" i="1"/>
  <c r="G6690" i="1"/>
  <c r="F6690" i="1"/>
  <c r="E6690" i="1"/>
  <c r="D6690" i="1"/>
  <c r="C6690" i="1"/>
  <c r="B6690" i="1"/>
  <c r="A6690" i="1"/>
  <c r="S6689" i="1"/>
  <c r="O6689" i="1"/>
  <c r="K6689" i="1"/>
  <c r="J6689" i="1"/>
  <c r="I6689" i="1"/>
  <c r="H6689" i="1"/>
  <c r="G6689" i="1"/>
  <c r="F6689" i="1"/>
  <c r="E6689" i="1"/>
  <c r="D6689" i="1"/>
  <c r="C6689" i="1"/>
  <c r="B6689" i="1"/>
  <c r="A6689" i="1"/>
  <c r="R6688" i="1"/>
  <c r="J6688" i="1"/>
  <c r="I6688" i="1"/>
  <c r="G6688" i="1"/>
  <c r="F6688" i="1"/>
  <c r="E6688" i="1"/>
  <c r="D6688" i="1"/>
  <c r="C6688" i="1"/>
  <c r="B6688" i="1"/>
  <c r="A6688" i="1"/>
  <c r="S6687" i="1"/>
  <c r="O6687" i="1"/>
  <c r="K6687" i="1"/>
  <c r="J6687" i="1"/>
  <c r="I6687" i="1"/>
  <c r="H6687" i="1"/>
  <c r="G6687" i="1"/>
  <c r="F6687" i="1"/>
  <c r="E6687" i="1"/>
  <c r="D6687" i="1"/>
  <c r="C6687" i="1"/>
  <c r="B6687" i="1"/>
  <c r="A6687" i="1"/>
  <c r="R6686" i="1"/>
  <c r="J6686" i="1"/>
  <c r="I6686" i="1"/>
  <c r="G6686" i="1"/>
  <c r="F6686" i="1"/>
  <c r="E6686" i="1"/>
  <c r="D6686" i="1"/>
  <c r="C6686" i="1"/>
  <c r="B6686" i="1"/>
  <c r="A6686" i="1"/>
  <c r="S6685" i="1"/>
  <c r="O6685" i="1"/>
  <c r="K6685" i="1"/>
  <c r="J6685" i="1"/>
  <c r="I6685" i="1"/>
  <c r="H6685" i="1"/>
  <c r="G6685" i="1"/>
  <c r="F6685" i="1"/>
  <c r="E6685" i="1"/>
  <c r="D6685" i="1"/>
  <c r="C6685" i="1"/>
  <c r="B6685" i="1"/>
  <c r="A6685" i="1"/>
  <c r="R6684" i="1"/>
  <c r="J6684" i="1"/>
  <c r="I6684" i="1"/>
  <c r="G6684" i="1"/>
  <c r="F6684" i="1"/>
  <c r="E6684" i="1"/>
  <c r="D6684" i="1"/>
  <c r="C6684" i="1"/>
  <c r="B6684" i="1"/>
  <c r="A6684" i="1"/>
  <c r="S6683" i="1"/>
  <c r="O6683" i="1"/>
  <c r="K6683" i="1"/>
  <c r="J6683" i="1"/>
  <c r="I6683" i="1"/>
  <c r="H6683" i="1"/>
  <c r="G6683" i="1"/>
  <c r="F6683" i="1"/>
  <c r="E6683" i="1"/>
  <c r="D6683" i="1"/>
  <c r="C6683" i="1"/>
  <c r="B6683" i="1"/>
  <c r="A6683" i="1"/>
  <c r="R6682" i="1"/>
  <c r="J6682" i="1"/>
  <c r="I6682" i="1"/>
  <c r="G6682" i="1"/>
  <c r="F6682" i="1"/>
  <c r="E6682" i="1"/>
  <c r="D6682" i="1"/>
  <c r="C6682" i="1"/>
  <c r="B6682" i="1"/>
  <c r="A6682" i="1"/>
  <c r="S6681" i="1"/>
  <c r="O6681" i="1"/>
  <c r="K6681" i="1"/>
  <c r="J6681" i="1"/>
  <c r="I6681" i="1"/>
  <c r="H6681" i="1"/>
  <c r="G6681" i="1"/>
  <c r="F6681" i="1"/>
  <c r="E6681" i="1"/>
  <c r="D6681" i="1"/>
  <c r="C6681" i="1"/>
  <c r="B6681" i="1"/>
  <c r="A6681" i="1"/>
  <c r="R6680" i="1"/>
  <c r="J6680" i="1"/>
  <c r="I6680" i="1"/>
  <c r="G6680" i="1"/>
  <c r="F6680" i="1"/>
  <c r="E6680" i="1"/>
  <c r="D6680" i="1"/>
  <c r="C6680" i="1"/>
  <c r="B6680" i="1"/>
  <c r="A6680" i="1"/>
  <c r="S6679" i="1"/>
  <c r="O6679" i="1"/>
  <c r="K6679" i="1"/>
  <c r="J6679" i="1"/>
  <c r="I6679" i="1"/>
  <c r="H6679" i="1"/>
  <c r="G6679" i="1"/>
  <c r="F6679" i="1"/>
  <c r="E6679" i="1"/>
  <c r="D6679" i="1"/>
  <c r="C6679" i="1"/>
  <c r="B6679" i="1"/>
  <c r="A6679" i="1"/>
  <c r="R6678" i="1"/>
  <c r="J6678" i="1"/>
  <c r="I6678" i="1"/>
  <c r="G6678" i="1"/>
  <c r="F6678" i="1"/>
  <c r="E6678" i="1"/>
  <c r="D6678" i="1"/>
  <c r="C6678" i="1"/>
  <c r="B6678" i="1"/>
  <c r="A6678" i="1"/>
  <c r="S6677" i="1"/>
  <c r="O6677" i="1"/>
  <c r="K6677" i="1"/>
  <c r="J6677" i="1"/>
  <c r="I6677" i="1"/>
  <c r="H6677" i="1"/>
  <c r="G6677" i="1"/>
  <c r="F6677" i="1"/>
  <c r="E6677" i="1"/>
  <c r="D6677" i="1"/>
  <c r="C6677" i="1"/>
  <c r="B6677" i="1"/>
  <c r="A6677" i="1"/>
  <c r="R6676" i="1"/>
  <c r="J6676" i="1"/>
  <c r="I6676" i="1"/>
  <c r="G6676" i="1"/>
  <c r="F6676" i="1"/>
  <c r="E6676" i="1"/>
  <c r="D6676" i="1"/>
  <c r="C6676" i="1"/>
  <c r="B6676" i="1"/>
  <c r="A6676" i="1"/>
  <c r="S6675" i="1"/>
  <c r="O6675" i="1"/>
  <c r="K6675" i="1"/>
  <c r="J6675" i="1"/>
  <c r="I6675" i="1"/>
  <c r="H6675" i="1"/>
  <c r="G6675" i="1"/>
  <c r="F6675" i="1"/>
  <c r="E6675" i="1"/>
  <c r="D6675" i="1"/>
  <c r="C6675" i="1"/>
  <c r="B6675" i="1"/>
  <c r="A6675" i="1"/>
  <c r="R6674" i="1"/>
  <c r="J6674" i="1"/>
  <c r="I6674" i="1"/>
  <c r="G6674" i="1"/>
  <c r="F6674" i="1"/>
  <c r="E6674" i="1"/>
  <c r="D6674" i="1"/>
  <c r="C6674" i="1"/>
  <c r="B6674" i="1"/>
  <c r="A6674" i="1"/>
  <c r="S6673" i="1"/>
  <c r="O6673" i="1"/>
  <c r="K6673" i="1"/>
  <c r="J6673" i="1"/>
  <c r="I6673" i="1"/>
  <c r="H6673" i="1"/>
  <c r="G6673" i="1"/>
  <c r="F6673" i="1"/>
  <c r="E6673" i="1"/>
  <c r="D6673" i="1"/>
  <c r="C6673" i="1"/>
  <c r="B6673" i="1"/>
  <c r="A6673" i="1"/>
  <c r="R6672" i="1"/>
  <c r="J6672" i="1"/>
  <c r="I6672" i="1"/>
  <c r="G6672" i="1"/>
  <c r="F6672" i="1"/>
  <c r="E6672" i="1"/>
  <c r="D6672" i="1"/>
  <c r="C6672" i="1"/>
  <c r="B6672" i="1"/>
  <c r="A6672" i="1"/>
  <c r="S6671" i="1"/>
  <c r="O6671" i="1"/>
  <c r="K6671" i="1"/>
  <c r="J6671" i="1"/>
  <c r="I6671" i="1"/>
  <c r="H6671" i="1"/>
  <c r="G6671" i="1"/>
  <c r="F6671" i="1"/>
  <c r="E6671" i="1"/>
  <c r="D6671" i="1"/>
  <c r="C6671" i="1"/>
  <c r="B6671" i="1"/>
  <c r="A6671" i="1"/>
  <c r="R6670" i="1"/>
  <c r="J6670" i="1"/>
  <c r="I6670" i="1"/>
  <c r="G6670" i="1"/>
  <c r="F6670" i="1"/>
  <c r="E6670" i="1"/>
  <c r="D6670" i="1"/>
  <c r="C6670" i="1"/>
  <c r="B6670" i="1"/>
  <c r="A6670" i="1"/>
  <c r="S6669" i="1"/>
  <c r="O6669" i="1"/>
  <c r="K6669" i="1"/>
  <c r="J6669" i="1"/>
  <c r="I6669" i="1"/>
  <c r="H6669" i="1"/>
  <c r="G6669" i="1"/>
  <c r="F6669" i="1"/>
  <c r="E6669" i="1"/>
  <c r="D6669" i="1"/>
  <c r="C6669" i="1"/>
  <c r="B6669" i="1"/>
  <c r="A6669" i="1"/>
  <c r="R6668" i="1"/>
  <c r="J6668" i="1"/>
  <c r="I6668" i="1"/>
  <c r="G6668" i="1"/>
  <c r="F6668" i="1"/>
  <c r="E6668" i="1"/>
  <c r="D6668" i="1"/>
  <c r="C6668" i="1"/>
  <c r="B6668" i="1"/>
  <c r="A6668" i="1"/>
  <c r="S6667" i="1"/>
  <c r="O6667" i="1"/>
  <c r="K6667" i="1"/>
  <c r="J6667" i="1"/>
  <c r="I6667" i="1"/>
  <c r="H6667" i="1"/>
  <c r="G6667" i="1"/>
  <c r="F6667" i="1"/>
  <c r="E6667" i="1"/>
  <c r="D6667" i="1"/>
  <c r="C6667" i="1"/>
  <c r="B6667" i="1"/>
  <c r="A6667" i="1"/>
  <c r="R6666" i="1"/>
  <c r="J6666" i="1"/>
  <c r="I6666" i="1"/>
  <c r="G6666" i="1"/>
  <c r="F6666" i="1"/>
  <c r="E6666" i="1"/>
  <c r="D6666" i="1"/>
  <c r="C6666" i="1"/>
  <c r="B6666" i="1"/>
  <c r="A6666" i="1"/>
  <c r="S6665" i="1"/>
  <c r="O6665" i="1"/>
  <c r="K6665" i="1"/>
  <c r="J6665" i="1"/>
  <c r="I6665" i="1"/>
  <c r="H6665" i="1"/>
  <c r="G6665" i="1"/>
  <c r="F6665" i="1"/>
  <c r="E6665" i="1"/>
  <c r="D6665" i="1"/>
  <c r="C6665" i="1"/>
  <c r="B6665" i="1"/>
  <c r="A6665" i="1"/>
  <c r="R6664" i="1"/>
  <c r="J6664" i="1"/>
  <c r="I6664" i="1"/>
  <c r="G6664" i="1"/>
  <c r="F6664" i="1"/>
  <c r="E6664" i="1"/>
  <c r="D6664" i="1"/>
  <c r="C6664" i="1"/>
  <c r="B6664" i="1"/>
  <c r="A6664" i="1"/>
  <c r="S6663" i="1"/>
  <c r="O6663" i="1"/>
  <c r="K6663" i="1"/>
  <c r="J6663" i="1"/>
  <c r="I6663" i="1"/>
  <c r="H6663" i="1"/>
  <c r="G6663" i="1"/>
  <c r="F6663" i="1"/>
  <c r="E6663" i="1"/>
  <c r="D6663" i="1"/>
  <c r="C6663" i="1"/>
  <c r="B6663" i="1"/>
  <c r="A6663" i="1"/>
  <c r="R6662" i="1"/>
  <c r="J6662" i="1"/>
  <c r="I6662" i="1"/>
  <c r="G6662" i="1"/>
  <c r="F6662" i="1"/>
  <c r="E6662" i="1"/>
  <c r="D6662" i="1"/>
  <c r="C6662" i="1"/>
  <c r="B6662" i="1"/>
  <c r="A6662" i="1"/>
  <c r="R6661" i="1"/>
  <c r="J6661" i="1"/>
  <c r="I6661" i="1"/>
  <c r="G6661" i="1"/>
  <c r="F6661" i="1"/>
  <c r="E6661" i="1"/>
  <c r="D6661" i="1"/>
  <c r="C6661" i="1"/>
  <c r="B6661" i="1"/>
  <c r="A6661" i="1"/>
  <c r="R6660" i="1"/>
  <c r="J6660" i="1"/>
  <c r="I6660" i="1"/>
  <c r="G6660" i="1"/>
  <c r="F6660" i="1"/>
  <c r="E6660" i="1"/>
  <c r="D6660" i="1"/>
  <c r="C6660" i="1"/>
  <c r="B6660" i="1"/>
  <c r="A6660" i="1"/>
  <c r="R6659" i="1"/>
  <c r="J6659" i="1"/>
  <c r="I6659" i="1"/>
  <c r="G6659" i="1"/>
  <c r="F6659" i="1"/>
  <c r="E6659" i="1"/>
  <c r="D6659" i="1"/>
  <c r="C6659" i="1"/>
  <c r="B6659" i="1"/>
  <c r="A6659" i="1"/>
  <c r="R6658" i="1"/>
  <c r="J6658" i="1"/>
  <c r="I6658" i="1"/>
  <c r="G6658" i="1"/>
  <c r="F6658" i="1"/>
  <c r="E6658" i="1"/>
  <c r="D6658" i="1"/>
  <c r="C6658" i="1"/>
  <c r="B6658" i="1"/>
  <c r="A6658" i="1"/>
  <c r="R6657" i="1"/>
  <c r="J6657" i="1"/>
  <c r="I6657" i="1"/>
  <c r="G6657" i="1"/>
  <c r="F6657" i="1"/>
  <c r="E6657" i="1"/>
  <c r="D6657" i="1"/>
  <c r="C6657" i="1"/>
  <c r="B6657" i="1"/>
  <c r="A6657" i="1"/>
  <c r="S6656" i="1"/>
  <c r="O6656" i="1"/>
  <c r="K6656" i="1"/>
  <c r="J6656" i="1"/>
  <c r="I6656" i="1"/>
  <c r="H6656" i="1"/>
  <c r="G6656" i="1"/>
  <c r="F6656" i="1"/>
  <c r="E6656" i="1"/>
  <c r="D6656" i="1"/>
  <c r="C6656" i="1"/>
  <c r="B6656" i="1"/>
  <c r="A6656" i="1"/>
  <c r="R6655" i="1"/>
  <c r="J6655" i="1"/>
  <c r="I6655" i="1"/>
  <c r="G6655" i="1"/>
  <c r="F6655" i="1"/>
  <c r="E6655" i="1"/>
  <c r="D6655" i="1"/>
  <c r="C6655" i="1"/>
  <c r="B6655" i="1"/>
  <c r="A6655" i="1"/>
  <c r="R6654" i="1"/>
  <c r="J6654" i="1"/>
  <c r="I6654" i="1"/>
  <c r="G6654" i="1"/>
  <c r="F6654" i="1"/>
  <c r="E6654" i="1"/>
  <c r="D6654" i="1"/>
  <c r="C6654" i="1"/>
  <c r="B6654" i="1"/>
  <c r="A6654" i="1"/>
  <c r="R6653" i="1"/>
  <c r="J6653" i="1"/>
  <c r="I6653" i="1"/>
  <c r="G6653" i="1"/>
  <c r="F6653" i="1"/>
  <c r="E6653" i="1"/>
  <c r="D6653" i="1"/>
  <c r="C6653" i="1"/>
  <c r="B6653" i="1"/>
  <c r="A6653" i="1"/>
  <c r="R6652" i="1"/>
  <c r="J6652" i="1"/>
  <c r="I6652" i="1"/>
  <c r="G6652" i="1"/>
  <c r="F6652" i="1"/>
  <c r="E6652" i="1"/>
  <c r="D6652" i="1"/>
  <c r="C6652" i="1"/>
  <c r="B6652" i="1"/>
  <c r="A6652" i="1"/>
  <c r="R6651" i="1"/>
  <c r="J6651" i="1"/>
  <c r="I6651" i="1"/>
  <c r="G6651" i="1"/>
  <c r="F6651" i="1"/>
  <c r="E6651" i="1"/>
  <c r="D6651" i="1"/>
  <c r="C6651" i="1"/>
  <c r="B6651" i="1"/>
  <c r="A6651" i="1"/>
  <c r="R6650" i="1"/>
  <c r="J6650" i="1"/>
  <c r="I6650" i="1"/>
  <c r="G6650" i="1"/>
  <c r="F6650" i="1"/>
  <c r="E6650" i="1"/>
  <c r="D6650" i="1"/>
  <c r="C6650" i="1"/>
  <c r="B6650" i="1"/>
  <c r="A6650" i="1"/>
  <c r="S6649" i="1"/>
  <c r="O6649" i="1"/>
  <c r="K6649" i="1"/>
  <c r="J6649" i="1"/>
  <c r="I6649" i="1"/>
  <c r="H6649" i="1"/>
  <c r="G6649" i="1"/>
  <c r="F6649" i="1"/>
  <c r="E6649" i="1"/>
  <c r="D6649" i="1"/>
  <c r="C6649" i="1"/>
  <c r="B6649" i="1"/>
  <c r="A6649" i="1"/>
  <c r="R6648" i="1"/>
  <c r="J6648" i="1"/>
  <c r="I6648" i="1"/>
  <c r="G6648" i="1"/>
  <c r="F6648" i="1"/>
  <c r="E6648" i="1"/>
  <c r="D6648" i="1"/>
  <c r="C6648" i="1"/>
  <c r="B6648" i="1"/>
  <c r="A6648" i="1"/>
  <c r="R6647" i="1"/>
  <c r="J6647" i="1"/>
  <c r="I6647" i="1"/>
  <c r="G6647" i="1"/>
  <c r="F6647" i="1"/>
  <c r="E6647" i="1"/>
  <c r="D6647" i="1"/>
  <c r="C6647" i="1"/>
  <c r="B6647" i="1"/>
  <c r="A6647" i="1"/>
  <c r="R6646" i="1"/>
  <c r="J6646" i="1"/>
  <c r="I6646" i="1"/>
  <c r="G6646" i="1"/>
  <c r="F6646" i="1"/>
  <c r="E6646" i="1"/>
  <c r="D6646" i="1"/>
  <c r="C6646" i="1"/>
  <c r="B6646" i="1"/>
  <c r="A6646" i="1"/>
  <c r="R6645" i="1"/>
  <c r="J6645" i="1"/>
  <c r="I6645" i="1"/>
  <c r="G6645" i="1"/>
  <c r="F6645" i="1"/>
  <c r="E6645" i="1"/>
  <c r="D6645" i="1"/>
  <c r="C6645" i="1"/>
  <c r="B6645" i="1"/>
  <c r="A6645" i="1"/>
  <c r="R6644" i="1"/>
  <c r="J6644" i="1"/>
  <c r="I6644" i="1"/>
  <c r="G6644" i="1"/>
  <c r="F6644" i="1"/>
  <c r="E6644" i="1"/>
  <c r="D6644" i="1"/>
  <c r="C6644" i="1"/>
  <c r="B6644" i="1"/>
  <c r="A6644" i="1"/>
  <c r="S6643" i="1"/>
  <c r="O6643" i="1"/>
  <c r="K6643" i="1"/>
  <c r="J6643" i="1"/>
  <c r="I6643" i="1"/>
  <c r="H6643" i="1"/>
  <c r="G6643" i="1"/>
  <c r="F6643" i="1"/>
  <c r="E6643" i="1"/>
  <c r="D6643" i="1"/>
  <c r="C6643" i="1"/>
  <c r="B6643" i="1"/>
  <c r="A6643" i="1"/>
  <c r="R6642" i="1"/>
  <c r="J6642" i="1"/>
  <c r="I6642" i="1"/>
  <c r="G6642" i="1"/>
  <c r="F6642" i="1"/>
  <c r="E6642" i="1"/>
  <c r="D6642" i="1"/>
  <c r="C6642" i="1"/>
  <c r="B6642" i="1"/>
  <c r="A6642" i="1"/>
  <c r="S6641" i="1"/>
  <c r="O6641" i="1"/>
  <c r="K6641" i="1"/>
  <c r="J6641" i="1"/>
  <c r="I6641" i="1"/>
  <c r="H6641" i="1"/>
  <c r="G6641" i="1"/>
  <c r="F6641" i="1"/>
  <c r="E6641" i="1"/>
  <c r="D6641" i="1"/>
  <c r="C6641" i="1"/>
  <c r="B6641" i="1"/>
  <c r="A6641" i="1"/>
  <c r="R6640" i="1"/>
  <c r="J6640" i="1"/>
  <c r="I6640" i="1"/>
  <c r="G6640" i="1"/>
  <c r="F6640" i="1"/>
  <c r="E6640" i="1"/>
  <c r="D6640" i="1"/>
  <c r="C6640" i="1"/>
  <c r="B6640" i="1"/>
  <c r="A6640" i="1"/>
  <c r="R6639" i="1"/>
  <c r="J6639" i="1"/>
  <c r="I6639" i="1"/>
  <c r="G6639" i="1"/>
  <c r="F6639" i="1"/>
  <c r="E6639" i="1"/>
  <c r="D6639" i="1"/>
  <c r="C6639" i="1"/>
  <c r="B6639" i="1"/>
  <c r="A6639" i="1"/>
  <c r="R6638" i="1"/>
  <c r="J6638" i="1"/>
  <c r="I6638" i="1"/>
  <c r="G6638" i="1"/>
  <c r="F6638" i="1"/>
  <c r="E6638" i="1"/>
  <c r="D6638" i="1"/>
  <c r="C6638" i="1"/>
  <c r="B6638" i="1"/>
  <c r="A6638" i="1"/>
  <c r="S6637" i="1"/>
  <c r="O6637" i="1"/>
  <c r="K6637" i="1"/>
  <c r="J6637" i="1"/>
  <c r="I6637" i="1"/>
  <c r="H6637" i="1"/>
  <c r="G6637" i="1"/>
  <c r="F6637" i="1"/>
  <c r="E6637" i="1"/>
  <c r="D6637" i="1"/>
  <c r="C6637" i="1"/>
  <c r="B6637" i="1"/>
  <c r="A6637" i="1"/>
  <c r="R6636" i="1"/>
  <c r="J6636" i="1"/>
  <c r="I6636" i="1"/>
  <c r="G6636" i="1"/>
  <c r="F6636" i="1"/>
  <c r="E6636" i="1"/>
  <c r="D6636" i="1"/>
  <c r="C6636" i="1"/>
  <c r="B6636" i="1"/>
  <c r="A6636" i="1"/>
  <c r="S6635" i="1"/>
  <c r="O6635" i="1"/>
  <c r="K6635" i="1"/>
  <c r="J6635" i="1"/>
  <c r="I6635" i="1"/>
  <c r="H6635" i="1"/>
  <c r="G6635" i="1"/>
  <c r="F6635" i="1"/>
  <c r="E6635" i="1"/>
  <c r="D6635" i="1"/>
  <c r="C6635" i="1"/>
  <c r="B6635" i="1"/>
  <c r="A6635" i="1"/>
  <c r="R6634" i="1"/>
  <c r="J6634" i="1"/>
  <c r="I6634" i="1"/>
  <c r="G6634" i="1"/>
  <c r="F6634" i="1"/>
  <c r="E6634" i="1"/>
  <c r="D6634" i="1"/>
  <c r="C6634" i="1"/>
  <c r="B6634" i="1"/>
  <c r="A6634" i="1"/>
  <c r="S6633" i="1"/>
  <c r="O6633" i="1"/>
  <c r="K6633" i="1"/>
  <c r="J6633" i="1"/>
  <c r="I6633" i="1"/>
  <c r="H6633" i="1"/>
  <c r="G6633" i="1"/>
  <c r="F6633" i="1"/>
  <c r="E6633" i="1"/>
  <c r="D6633" i="1"/>
  <c r="C6633" i="1"/>
  <c r="B6633" i="1"/>
  <c r="A6633" i="1"/>
  <c r="R6632" i="1"/>
  <c r="J6632" i="1"/>
  <c r="I6632" i="1"/>
  <c r="G6632" i="1"/>
  <c r="F6632" i="1"/>
  <c r="E6632" i="1"/>
  <c r="D6632" i="1"/>
  <c r="C6632" i="1"/>
  <c r="B6632" i="1"/>
  <c r="A6632" i="1"/>
  <c r="S6631" i="1"/>
  <c r="O6631" i="1"/>
  <c r="K6631" i="1"/>
  <c r="J6631" i="1"/>
  <c r="I6631" i="1"/>
  <c r="H6631" i="1"/>
  <c r="G6631" i="1"/>
  <c r="F6631" i="1"/>
  <c r="E6631" i="1"/>
  <c r="D6631" i="1"/>
  <c r="C6631" i="1"/>
  <c r="B6631" i="1"/>
  <c r="A6631" i="1"/>
  <c r="R6630" i="1"/>
  <c r="J6630" i="1"/>
  <c r="I6630" i="1"/>
  <c r="G6630" i="1"/>
  <c r="F6630" i="1"/>
  <c r="E6630" i="1"/>
  <c r="D6630" i="1"/>
  <c r="C6630" i="1"/>
  <c r="B6630" i="1"/>
  <c r="A6630" i="1"/>
  <c r="S6629" i="1"/>
  <c r="O6629" i="1"/>
  <c r="K6629" i="1"/>
  <c r="J6629" i="1"/>
  <c r="I6629" i="1"/>
  <c r="H6629" i="1"/>
  <c r="G6629" i="1"/>
  <c r="F6629" i="1"/>
  <c r="E6629" i="1"/>
  <c r="D6629" i="1"/>
  <c r="C6629" i="1"/>
  <c r="B6629" i="1"/>
  <c r="A6629" i="1"/>
  <c r="R6628" i="1"/>
  <c r="J6628" i="1"/>
  <c r="I6628" i="1"/>
  <c r="G6628" i="1"/>
  <c r="F6628" i="1"/>
  <c r="E6628" i="1"/>
  <c r="D6628" i="1"/>
  <c r="C6628" i="1"/>
  <c r="B6628" i="1"/>
  <c r="A6628" i="1"/>
  <c r="S6627" i="1"/>
  <c r="O6627" i="1"/>
  <c r="K6627" i="1"/>
  <c r="J6627" i="1"/>
  <c r="I6627" i="1"/>
  <c r="H6627" i="1"/>
  <c r="G6627" i="1"/>
  <c r="F6627" i="1"/>
  <c r="E6627" i="1"/>
  <c r="D6627" i="1"/>
  <c r="C6627" i="1"/>
  <c r="B6627" i="1"/>
  <c r="A6627" i="1"/>
  <c r="R6626" i="1"/>
  <c r="J6626" i="1"/>
  <c r="I6626" i="1"/>
  <c r="G6626" i="1"/>
  <c r="F6626" i="1"/>
  <c r="E6626" i="1"/>
  <c r="D6626" i="1"/>
  <c r="C6626" i="1"/>
  <c r="B6626" i="1"/>
  <c r="A6626" i="1"/>
  <c r="S6625" i="1"/>
  <c r="O6625" i="1"/>
  <c r="K6625" i="1"/>
  <c r="J6625" i="1"/>
  <c r="I6625" i="1"/>
  <c r="H6625" i="1"/>
  <c r="G6625" i="1"/>
  <c r="F6625" i="1"/>
  <c r="E6625" i="1"/>
  <c r="D6625" i="1"/>
  <c r="C6625" i="1"/>
  <c r="B6625" i="1"/>
  <c r="A6625" i="1"/>
  <c r="R6624" i="1"/>
  <c r="J6624" i="1"/>
  <c r="I6624" i="1"/>
  <c r="G6624" i="1"/>
  <c r="F6624" i="1"/>
  <c r="E6624" i="1"/>
  <c r="D6624" i="1"/>
  <c r="C6624" i="1"/>
  <c r="B6624" i="1"/>
  <c r="A6624" i="1"/>
  <c r="S6623" i="1"/>
  <c r="O6623" i="1"/>
  <c r="K6623" i="1"/>
  <c r="J6623" i="1"/>
  <c r="I6623" i="1"/>
  <c r="H6623" i="1"/>
  <c r="G6623" i="1"/>
  <c r="F6623" i="1"/>
  <c r="E6623" i="1"/>
  <c r="D6623" i="1"/>
  <c r="C6623" i="1"/>
  <c r="B6623" i="1"/>
  <c r="A6623" i="1"/>
  <c r="R6622" i="1"/>
  <c r="J6622" i="1"/>
  <c r="I6622" i="1"/>
  <c r="G6622" i="1"/>
  <c r="F6622" i="1"/>
  <c r="E6622" i="1"/>
  <c r="D6622" i="1"/>
  <c r="C6622" i="1"/>
  <c r="B6622" i="1"/>
  <c r="A6622" i="1"/>
  <c r="S6621" i="1"/>
  <c r="O6621" i="1"/>
  <c r="K6621" i="1"/>
  <c r="J6621" i="1"/>
  <c r="I6621" i="1"/>
  <c r="H6621" i="1"/>
  <c r="G6621" i="1"/>
  <c r="F6621" i="1"/>
  <c r="E6621" i="1"/>
  <c r="D6621" i="1"/>
  <c r="C6621" i="1"/>
  <c r="B6621" i="1"/>
  <c r="A6621" i="1"/>
  <c r="R6620" i="1"/>
  <c r="J6620" i="1"/>
  <c r="I6620" i="1"/>
  <c r="G6620" i="1"/>
  <c r="F6620" i="1"/>
  <c r="E6620" i="1"/>
  <c r="D6620" i="1"/>
  <c r="C6620" i="1"/>
  <c r="B6620" i="1"/>
  <c r="A6620" i="1"/>
  <c r="S6619" i="1"/>
  <c r="O6619" i="1"/>
  <c r="K6619" i="1"/>
  <c r="J6619" i="1"/>
  <c r="I6619" i="1"/>
  <c r="H6619" i="1"/>
  <c r="G6619" i="1"/>
  <c r="F6619" i="1"/>
  <c r="E6619" i="1"/>
  <c r="D6619" i="1"/>
  <c r="C6619" i="1"/>
  <c r="B6619" i="1"/>
  <c r="A6619" i="1"/>
  <c r="R6618" i="1"/>
  <c r="J6618" i="1"/>
  <c r="I6618" i="1"/>
  <c r="G6618" i="1"/>
  <c r="F6618" i="1"/>
  <c r="E6618" i="1"/>
  <c r="D6618" i="1"/>
  <c r="C6618" i="1"/>
  <c r="B6618" i="1"/>
  <c r="A6618" i="1"/>
  <c r="S6617" i="1"/>
  <c r="O6617" i="1"/>
  <c r="K6617" i="1"/>
  <c r="J6617" i="1"/>
  <c r="I6617" i="1"/>
  <c r="H6617" i="1"/>
  <c r="G6617" i="1"/>
  <c r="F6617" i="1"/>
  <c r="E6617" i="1"/>
  <c r="D6617" i="1"/>
  <c r="C6617" i="1"/>
  <c r="B6617" i="1"/>
  <c r="A6617" i="1"/>
  <c r="R6616" i="1"/>
  <c r="J6616" i="1"/>
  <c r="I6616" i="1"/>
  <c r="G6616" i="1"/>
  <c r="F6616" i="1"/>
  <c r="E6616" i="1"/>
  <c r="D6616" i="1"/>
  <c r="C6616" i="1"/>
  <c r="B6616" i="1"/>
  <c r="A6616" i="1"/>
  <c r="S6615" i="1"/>
  <c r="O6615" i="1"/>
  <c r="K6615" i="1"/>
  <c r="J6615" i="1"/>
  <c r="I6615" i="1"/>
  <c r="H6615" i="1"/>
  <c r="G6615" i="1"/>
  <c r="F6615" i="1"/>
  <c r="E6615" i="1"/>
  <c r="D6615" i="1"/>
  <c r="C6615" i="1"/>
  <c r="B6615" i="1"/>
  <c r="A6615" i="1"/>
  <c r="R6614" i="1"/>
  <c r="J6614" i="1"/>
  <c r="I6614" i="1"/>
  <c r="G6614" i="1"/>
  <c r="F6614" i="1"/>
  <c r="E6614" i="1"/>
  <c r="D6614" i="1"/>
  <c r="C6614" i="1"/>
  <c r="B6614" i="1"/>
  <c r="A6614" i="1"/>
  <c r="S6613" i="1"/>
  <c r="O6613" i="1"/>
  <c r="K6613" i="1"/>
  <c r="J6613" i="1"/>
  <c r="I6613" i="1"/>
  <c r="H6613" i="1"/>
  <c r="G6613" i="1"/>
  <c r="F6613" i="1"/>
  <c r="E6613" i="1"/>
  <c r="D6613" i="1"/>
  <c r="C6613" i="1"/>
  <c r="B6613" i="1"/>
  <c r="A6613" i="1"/>
  <c r="R6612" i="1"/>
  <c r="J6612" i="1"/>
  <c r="I6612" i="1"/>
  <c r="G6612" i="1"/>
  <c r="F6612" i="1"/>
  <c r="E6612" i="1"/>
  <c r="D6612" i="1"/>
  <c r="C6612" i="1"/>
  <c r="B6612" i="1"/>
  <c r="A6612" i="1"/>
  <c r="R6611" i="1"/>
  <c r="J6611" i="1"/>
  <c r="I6611" i="1"/>
  <c r="G6611" i="1"/>
  <c r="F6611" i="1"/>
  <c r="E6611" i="1"/>
  <c r="D6611" i="1"/>
  <c r="C6611" i="1"/>
  <c r="B6611" i="1"/>
  <c r="A6611" i="1"/>
  <c r="R6610" i="1"/>
  <c r="J6610" i="1"/>
  <c r="I6610" i="1"/>
  <c r="G6610" i="1"/>
  <c r="F6610" i="1"/>
  <c r="E6610" i="1"/>
  <c r="D6610" i="1"/>
  <c r="C6610" i="1"/>
  <c r="B6610" i="1"/>
  <c r="A6610" i="1"/>
  <c r="S6609" i="1"/>
  <c r="O6609" i="1"/>
  <c r="K6609" i="1"/>
  <c r="J6609" i="1"/>
  <c r="I6609" i="1"/>
  <c r="H6609" i="1"/>
  <c r="G6609" i="1"/>
  <c r="F6609" i="1"/>
  <c r="E6609" i="1"/>
  <c r="D6609" i="1"/>
  <c r="C6609" i="1"/>
  <c r="B6609" i="1"/>
  <c r="A6609" i="1"/>
  <c r="R6608" i="1"/>
  <c r="J6608" i="1"/>
  <c r="I6608" i="1"/>
  <c r="G6608" i="1"/>
  <c r="F6608" i="1"/>
  <c r="E6608" i="1"/>
  <c r="D6608" i="1"/>
  <c r="C6608" i="1"/>
  <c r="B6608" i="1"/>
  <c r="A6608" i="1"/>
  <c r="R6607" i="1"/>
  <c r="J6607" i="1"/>
  <c r="I6607" i="1"/>
  <c r="G6607" i="1"/>
  <c r="F6607" i="1"/>
  <c r="E6607" i="1"/>
  <c r="D6607" i="1"/>
  <c r="C6607" i="1"/>
  <c r="B6607" i="1"/>
  <c r="A6607" i="1"/>
  <c r="R6606" i="1"/>
  <c r="J6606" i="1"/>
  <c r="I6606" i="1"/>
  <c r="G6606" i="1"/>
  <c r="F6606" i="1"/>
  <c r="E6606" i="1"/>
  <c r="D6606" i="1"/>
  <c r="C6606" i="1"/>
  <c r="B6606" i="1"/>
  <c r="A6606" i="1"/>
  <c r="S6605" i="1"/>
  <c r="O6605" i="1"/>
  <c r="K6605" i="1"/>
  <c r="J6605" i="1"/>
  <c r="I6605" i="1"/>
  <c r="H6605" i="1"/>
  <c r="G6605" i="1"/>
  <c r="F6605" i="1"/>
  <c r="E6605" i="1"/>
  <c r="D6605" i="1"/>
  <c r="C6605" i="1"/>
  <c r="B6605" i="1"/>
  <c r="A6605" i="1"/>
  <c r="R6604" i="1"/>
  <c r="J6604" i="1"/>
  <c r="I6604" i="1"/>
  <c r="G6604" i="1"/>
  <c r="F6604" i="1"/>
  <c r="E6604" i="1"/>
  <c r="D6604" i="1"/>
  <c r="C6604" i="1"/>
  <c r="B6604" i="1"/>
  <c r="A6604" i="1"/>
  <c r="R6603" i="1"/>
  <c r="J6603" i="1"/>
  <c r="I6603" i="1"/>
  <c r="G6603" i="1"/>
  <c r="F6603" i="1"/>
  <c r="E6603" i="1"/>
  <c r="D6603" i="1"/>
  <c r="C6603" i="1"/>
  <c r="B6603" i="1"/>
  <c r="A6603" i="1"/>
  <c r="S6602" i="1"/>
  <c r="O6602" i="1"/>
  <c r="K6602" i="1"/>
  <c r="J6602" i="1"/>
  <c r="I6602" i="1"/>
  <c r="H6602" i="1"/>
  <c r="G6602" i="1"/>
  <c r="F6602" i="1"/>
  <c r="E6602" i="1"/>
  <c r="D6602" i="1"/>
  <c r="C6602" i="1"/>
  <c r="B6602" i="1"/>
  <c r="A6602" i="1"/>
  <c r="R6601" i="1"/>
  <c r="J6601" i="1"/>
  <c r="I6601" i="1"/>
  <c r="G6601" i="1"/>
  <c r="F6601" i="1"/>
  <c r="E6601" i="1"/>
  <c r="D6601" i="1"/>
  <c r="C6601" i="1"/>
  <c r="B6601" i="1"/>
  <c r="A6601" i="1"/>
  <c r="R6600" i="1"/>
  <c r="J6600" i="1"/>
  <c r="I6600" i="1"/>
  <c r="G6600" i="1"/>
  <c r="F6600" i="1"/>
  <c r="E6600" i="1"/>
  <c r="D6600" i="1"/>
  <c r="C6600" i="1"/>
  <c r="B6600" i="1"/>
  <c r="A6600" i="1"/>
  <c r="R6599" i="1"/>
  <c r="J6599" i="1"/>
  <c r="I6599" i="1"/>
  <c r="G6599" i="1"/>
  <c r="F6599" i="1"/>
  <c r="E6599" i="1"/>
  <c r="D6599" i="1"/>
  <c r="C6599" i="1"/>
  <c r="B6599" i="1"/>
  <c r="A6599" i="1"/>
  <c r="S6598" i="1"/>
  <c r="O6598" i="1"/>
  <c r="K6598" i="1"/>
  <c r="J6598" i="1"/>
  <c r="I6598" i="1"/>
  <c r="H6598" i="1"/>
  <c r="G6598" i="1"/>
  <c r="F6598" i="1"/>
  <c r="E6598" i="1"/>
  <c r="D6598" i="1"/>
  <c r="C6598" i="1"/>
  <c r="B6598" i="1"/>
  <c r="A6598" i="1"/>
  <c r="R6597" i="1"/>
  <c r="J6597" i="1"/>
  <c r="I6597" i="1"/>
  <c r="G6597" i="1"/>
  <c r="F6597" i="1"/>
  <c r="E6597" i="1"/>
  <c r="D6597" i="1"/>
  <c r="C6597" i="1"/>
  <c r="B6597" i="1"/>
  <c r="A6597" i="1"/>
  <c r="S6596" i="1"/>
  <c r="O6596" i="1"/>
  <c r="K6596" i="1"/>
  <c r="J6596" i="1"/>
  <c r="I6596" i="1"/>
  <c r="H6596" i="1"/>
  <c r="G6596" i="1"/>
  <c r="F6596" i="1"/>
  <c r="E6596" i="1"/>
  <c r="D6596" i="1"/>
  <c r="C6596" i="1"/>
  <c r="B6596" i="1"/>
  <c r="A6596" i="1"/>
  <c r="R6595" i="1"/>
  <c r="J6595" i="1"/>
  <c r="I6595" i="1"/>
  <c r="G6595" i="1"/>
  <c r="F6595" i="1"/>
  <c r="E6595" i="1"/>
  <c r="D6595" i="1"/>
  <c r="C6595" i="1"/>
  <c r="B6595" i="1"/>
  <c r="A6595" i="1"/>
  <c r="S6594" i="1"/>
  <c r="O6594" i="1"/>
  <c r="K6594" i="1"/>
  <c r="J6594" i="1"/>
  <c r="I6594" i="1"/>
  <c r="H6594" i="1"/>
  <c r="G6594" i="1"/>
  <c r="F6594" i="1"/>
  <c r="E6594" i="1"/>
  <c r="D6594" i="1"/>
  <c r="C6594" i="1"/>
  <c r="B6594" i="1"/>
  <c r="A6594" i="1"/>
  <c r="R6593" i="1"/>
  <c r="J6593" i="1"/>
  <c r="I6593" i="1"/>
  <c r="G6593" i="1"/>
  <c r="F6593" i="1"/>
  <c r="E6593" i="1"/>
  <c r="D6593" i="1"/>
  <c r="C6593" i="1"/>
  <c r="B6593" i="1"/>
  <c r="A6593" i="1"/>
  <c r="S6592" i="1"/>
  <c r="O6592" i="1"/>
  <c r="K6592" i="1"/>
  <c r="J6592" i="1"/>
  <c r="I6592" i="1"/>
  <c r="H6592" i="1"/>
  <c r="G6592" i="1"/>
  <c r="F6592" i="1"/>
  <c r="E6592" i="1"/>
  <c r="D6592" i="1"/>
  <c r="C6592" i="1"/>
  <c r="B6592" i="1"/>
  <c r="A6592" i="1"/>
  <c r="R6591" i="1"/>
  <c r="J6591" i="1"/>
  <c r="I6591" i="1"/>
  <c r="G6591" i="1"/>
  <c r="F6591" i="1"/>
  <c r="E6591" i="1"/>
  <c r="D6591" i="1"/>
  <c r="C6591" i="1"/>
  <c r="B6591" i="1"/>
  <c r="A6591" i="1"/>
  <c r="S6590" i="1"/>
  <c r="O6590" i="1"/>
  <c r="K6590" i="1"/>
  <c r="J6590" i="1"/>
  <c r="I6590" i="1"/>
  <c r="H6590" i="1"/>
  <c r="G6590" i="1"/>
  <c r="F6590" i="1"/>
  <c r="E6590" i="1"/>
  <c r="D6590" i="1"/>
  <c r="C6590" i="1"/>
  <c r="B6590" i="1"/>
  <c r="A6590" i="1"/>
  <c r="R6589" i="1"/>
  <c r="J6589" i="1"/>
  <c r="I6589" i="1"/>
  <c r="G6589" i="1"/>
  <c r="F6589" i="1"/>
  <c r="E6589" i="1"/>
  <c r="D6589" i="1"/>
  <c r="C6589" i="1"/>
  <c r="B6589" i="1"/>
  <c r="A6589" i="1"/>
  <c r="S6588" i="1"/>
  <c r="O6588" i="1"/>
  <c r="K6588" i="1"/>
  <c r="J6588" i="1"/>
  <c r="I6588" i="1"/>
  <c r="H6588" i="1"/>
  <c r="G6588" i="1"/>
  <c r="F6588" i="1"/>
  <c r="E6588" i="1"/>
  <c r="D6588" i="1"/>
  <c r="C6588" i="1"/>
  <c r="B6588" i="1"/>
  <c r="A6588" i="1"/>
  <c r="R6587" i="1"/>
  <c r="J6587" i="1"/>
  <c r="I6587" i="1"/>
  <c r="G6587" i="1"/>
  <c r="F6587" i="1"/>
  <c r="E6587" i="1"/>
  <c r="D6587" i="1"/>
  <c r="C6587" i="1"/>
  <c r="B6587" i="1"/>
  <c r="A6587" i="1"/>
  <c r="S6586" i="1"/>
  <c r="O6586" i="1"/>
  <c r="K6586" i="1"/>
  <c r="J6586" i="1"/>
  <c r="I6586" i="1"/>
  <c r="H6586" i="1"/>
  <c r="G6586" i="1"/>
  <c r="F6586" i="1"/>
  <c r="E6586" i="1"/>
  <c r="D6586" i="1"/>
  <c r="C6586" i="1"/>
  <c r="B6586" i="1"/>
  <c r="A6586" i="1"/>
  <c r="R6585" i="1"/>
  <c r="J6585" i="1"/>
  <c r="I6585" i="1"/>
  <c r="G6585" i="1"/>
  <c r="F6585" i="1"/>
  <c r="E6585" i="1"/>
  <c r="D6585" i="1"/>
  <c r="C6585" i="1"/>
  <c r="B6585" i="1"/>
  <c r="A6585" i="1"/>
  <c r="S6584" i="1"/>
  <c r="O6584" i="1"/>
  <c r="K6584" i="1"/>
  <c r="J6584" i="1"/>
  <c r="I6584" i="1"/>
  <c r="H6584" i="1"/>
  <c r="G6584" i="1"/>
  <c r="F6584" i="1"/>
  <c r="E6584" i="1"/>
  <c r="D6584" i="1"/>
  <c r="C6584" i="1"/>
  <c r="B6584" i="1"/>
  <c r="A6584" i="1"/>
  <c r="R6583" i="1"/>
  <c r="J6583" i="1"/>
  <c r="I6583" i="1"/>
  <c r="G6583" i="1"/>
  <c r="F6583" i="1"/>
  <c r="E6583" i="1"/>
  <c r="D6583" i="1"/>
  <c r="C6583" i="1"/>
  <c r="B6583" i="1"/>
  <c r="A6583" i="1"/>
  <c r="S6582" i="1"/>
  <c r="O6582" i="1"/>
  <c r="K6582" i="1"/>
  <c r="J6582" i="1"/>
  <c r="I6582" i="1"/>
  <c r="H6582" i="1"/>
  <c r="G6582" i="1"/>
  <c r="F6582" i="1"/>
  <c r="E6582" i="1"/>
  <c r="D6582" i="1"/>
  <c r="C6582" i="1"/>
  <c r="B6582" i="1"/>
  <c r="A6582" i="1"/>
  <c r="R6581" i="1"/>
  <c r="J6581" i="1"/>
  <c r="I6581" i="1"/>
  <c r="G6581" i="1"/>
  <c r="F6581" i="1"/>
  <c r="E6581" i="1"/>
  <c r="D6581" i="1"/>
  <c r="C6581" i="1"/>
  <c r="B6581" i="1"/>
  <c r="A6581" i="1"/>
  <c r="S6580" i="1"/>
  <c r="O6580" i="1"/>
  <c r="K6580" i="1"/>
  <c r="J6580" i="1"/>
  <c r="I6580" i="1"/>
  <c r="H6580" i="1"/>
  <c r="G6580" i="1"/>
  <c r="F6580" i="1"/>
  <c r="E6580" i="1"/>
  <c r="D6580" i="1"/>
  <c r="C6580" i="1"/>
  <c r="B6580" i="1"/>
  <c r="A6580" i="1"/>
  <c r="R6579" i="1"/>
  <c r="J6579" i="1"/>
  <c r="I6579" i="1"/>
  <c r="G6579" i="1"/>
  <c r="F6579" i="1"/>
  <c r="E6579" i="1"/>
  <c r="D6579" i="1"/>
  <c r="C6579" i="1"/>
  <c r="B6579" i="1"/>
  <c r="A6579" i="1"/>
  <c r="S6578" i="1"/>
  <c r="O6578" i="1"/>
  <c r="K6578" i="1"/>
  <c r="J6578" i="1"/>
  <c r="I6578" i="1"/>
  <c r="H6578" i="1"/>
  <c r="G6578" i="1"/>
  <c r="F6578" i="1"/>
  <c r="E6578" i="1"/>
  <c r="D6578" i="1"/>
  <c r="C6578" i="1"/>
  <c r="B6578" i="1"/>
  <c r="A6578" i="1"/>
  <c r="R6577" i="1"/>
  <c r="J6577" i="1"/>
  <c r="I6577" i="1"/>
  <c r="G6577" i="1"/>
  <c r="F6577" i="1"/>
  <c r="E6577" i="1"/>
  <c r="D6577" i="1"/>
  <c r="C6577" i="1"/>
  <c r="B6577" i="1"/>
  <c r="A6577" i="1"/>
  <c r="S6576" i="1"/>
  <c r="O6576" i="1"/>
  <c r="K6576" i="1"/>
  <c r="J6576" i="1"/>
  <c r="I6576" i="1"/>
  <c r="H6576" i="1"/>
  <c r="G6576" i="1"/>
  <c r="F6576" i="1"/>
  <c r="E6576" i="1"/>
  <c r="D6576" i="1"/>
  <c r="C6576" i="1"/>
  <c r="B6576" i="1"/>
  <c r="A6576" i="1"/>
  <c r="R6575" i="1"/>
  <c r="J6575" i="1"/>
  <c r="I6575" i="1"/>
  <c r="G6575" i="1"/>
  <c r="F6575" i="1"/>
  <c r="E6575" i="1"/>
  <c r="D6575" i="1"/>
  <c r="C6575" i="1"/>
  <c r="B6575" i="1"/>
  <c r="A6575" i="1"/>
  <c r="S6574" i="1"/>
  <c r="O6574" i="1"/>
  <c r="K6574" i="1"/>
  <c r="J6574" i="1"/>
  <c r="I6574" i="1"/>
  <c r="H6574" i="1"/>
  <c r="G6574" i="1"/>
  <c r="F6574" i="1"/>
  <c r="E6574" i="1"/>
  <c r="D6574" i="1"/>
  <c r="C6574" i="1"/>
  <c r="B6574" i="1"/>
  <c r="A6574" i="1"/>
  <c r="R6573" i="1"/>
  <c r="J6573" i="1"/>
  <c r="I6573" i="1"/>
  <c r="G6573" i="1"/>
  <c r="F6573" i="1"/>
  <c r="E6573" i="1"/>
  <c r="D6573" i="1"/>
  <c r="C6573" i="1"/>
  <c r="B6573" i="1"/>
  <c r="A6573" i="1"/>
  <c r="S6572" i="1"/>
  <c r="O6572" i="1"/>
  <c r="K6572" i="1"/>
  <c r="J6572" i="1"/>
  <c r="I6572" i="1"/>
  <c r="H6572" i="1"/>
  <c r="G6572" i="1"/>
  <c r="F6572" i="1"/>
  <c r="E6572" i="1"/>
  <c r="D6572" i="1"/>
  <c r="C6572" i="1"/>
  <c r="B6572" i="1"/>
  <c r="A6572" i="1"/>
  <c r="R6571" i="1"/>
  <c r="J6571" i="1"/>
  <c r="I6571" i="1"/>
  <c r="G6571" i="1"/>
  <c r="F6571" i="1"/>
  <c r="E6571" i="1"/>
  <c r="D6571" i="1"/>
  <c r="C6571" i="1"/>
  <c r="B6571" i="1"/>
  <c r="A6571" i="1"/>
  <c r="S6570" i="1"/>
  <c r="O6570" i="1"/>
  <c r="K6570" i="1"/>
  <c r="J6570" i="1"/>
  <c r="I6570" i="1"/>
  <c r="H6570" i="1"/>
  <c r="G6570" i="1"/>
  <c r="F6570" i="1"/>
  <c r="E6570" i="1"/>
  <c r="D6570" i="1"/>
  <c r="C6570" i="1"/>
  <c r="B6570" i="1"/>
  <c r="A6570" i="1"/>
  <c r="R6569" i="1"/>
  <c r="J6569" i="1"/>
  <c r="I6569" i="1"/>
  <c r="G6569" i="1"/>
  <c r="F6569" i="1"/>
  <c r="E6569" i="1"/>
  <c r="D6569" i="1"/>
  <c r="C6569" i="1"/>
  <c r="B6569" i="1"/>
  <c r="A6569" i="1"/>
  <c r="S6568" i="1"/>
  <c r="O6568" i="1"/>
  <c r="K6568" i="1"/>
  <c r="J6568" i="1"/>
  <c r="I6568" i="1"/>
  <c r="H6568" i="1"/>
  <c r="G6568" i="1"/>
  <c r="F6568" i="1"/>
  <c r="E6568" i="1"/>
  <c r="D6568" i="1"/>
  <c r="C6568" i="1"/>
  <c r="B6568" i="1"/>
  <c r="A6568" i="1"/>
  <c r="R6567" i="1"/>
  <c r="J6567" i="1"/>
  <c r="I6567" i="1"/>
  <c r="G6567" i="1"/>
  <c r="F6567" i="1"/>
  <c r="E6567" i="1"/>
  <c r="D6567" i="1"/>
  <c r="C6567" i="1"/>
  <c r="B6567" i="1"/>
  <c r="A6567" i="1"/>
  <c r="S6566" i="1"/>
  <c r="O6566" i="1"/>
  <c r="K6566" i="1"/>
  <c r="J6566" i="1"/>
  <c r="I6566" i="1"/>
  <c r="H6566" i="1"/>
  <c r="G6566" i="1"/>
  <c r="F6566" i="1"/>
  <c r="E6566" i="1"/>
  <c r="D6566" i="1"/>
  <c r="C6566" i="1"/>
  <c r="B6566" i="1"/>
  <c r="A6566" i="1"/>
  <c r="R6565" i="1"/>
  <c r="J6565" i="1"/>
  <c r="I6565" i="1"/>
  <c r="G6565" i="1"/>
  <c r="F6565" i="1"/>
  <c r="E6565" i="1"/>
  <c r="D6565" i="1"/>
  <c r="C6565" i="1"/>
  <c r="B6565" i="1"/>
  <c r="A6565" i="1"/>
  <c r="S6564" i="1"/>
  <c r="O6564" i="1"/>
  <c r="K6564" i="1"/>
  <c r="J6564" i="1"/>
  <c r="I6564" i="1"/>
  <c r="H6564" i="1"/>
  <c r="G6564" i="1"/>
  <c r="F6564" i="1"/>
  <c r="E6564" i="1"/>
  <c r="D6564" i="1"/>
  <c r="C6564" i="1"/>
  <c r="B6564" i="1"/>
  <c r="A6564" i="1"/>
  <c r="R6563" i="1"/>
  <c r="J6563" i="1"/>
  <c r="I6563" i="1"/>
  <c r="G6563" i="1"/>
  <c r="F6563" i="1"/>
  <c r="E6563" i="1"/>
  <c r="D6563" i="1"/>
  <c r="C6563" i="1"/>
  <c r="B6563" i="1"/>
  <c r="A6563" i="1"/>
  <c r="S6562" i="1"/>
  <c r="O6562" i="1"/>
  <c r="K6562" i="1"/>
  <c r="J6562" i="1"/>
  <c r="I6562" i="1"/>
  <c r="H6562" i="1"/>
  <c r="G6562" i="1"/>
  <c r="F6562" i="1"/>
  <c r="E6562" i="1"/>
  <c r="D6562" i="1"/>
  <c r="C6562" i="1"/>
  <c r="B6562" i="1"/>
  <c r="A6562" i="1"/>
  <c r="R6561" i="1"/>
  <c r="J6561" i="1"/>
  <c r="I6561" i="1"/>
  <c r="G6561" i="1"/>
  <c r="F6561" i="1"/>
  <c r="E6561" i="1"/>
  <c r="D6561" i="1"/>
  <c r="C6561" i="1"/>
  <c r="B6561" i="1"/>
  <c r="A6561" i="1"/>
  <c r="S6560" i="1"/>
  <c r="O6560" i="1"/>
  <c r="K6560" i="1"/>
  <c r="J6560" i="1"/>
  <c r="I6560" i="1"/>
  <c r="H6560" i="1"/>
  <c r="G6560" i="1"/>
  <c r="F6560" i="1"/>
  <c r="E6560" i="1"/>
  <c r="D6560" i="1"/>
  <c r="C6560" i="1"/>
  <c r="B6560" i="1"/>
  <c r="A6560" i="1"/>
  <c r="R6559" i="1"/>
  <c r="J6559" i="1"/>
  <c r="I6559" i="1"/>
  <c r="G6559" i="1"/>
  <c r="F6559" i="1"/>
  <c r="E6559" i="1"/>
  <c r="D6559" i="1"/>
  <c r="C6559" i="1"/>
  <c r="B6559" i="1"/>
  <c r="A6559" i="1"/>
  <c r="S6558" i="1"/>
  <c r="O6558" i="1"/>
  <c r="K6558" i="1"/>
  <c r="J6558" i="1"/>
  <c r="I6558" i="1"/>
  <c r="H6558" i="1"/>
  <c r="G6558" i="1"/>
  <c r="F6558" i="1"/>
  <c r="E6558" i="1"/>
  <c r="D6558" i="1"/>
  <c r="C6558" i="1"/>
  <c r="B6558" i="1"/>
  <c r="A6558" i="1"/>
  <c r="R6557" i="1"/>
  <c r="J6557" i="1"/>
  <c r="I6557" i="1"/>
  <c r="G6557" i="1"/>
  <c r="F6557" i="1"/>
  <c r="E6557" i="1"/>
  <c r="D6557" i="1"/>
  <c r="C6557" i="1"/>
  <c r="B6557" i="1"/>
  <c r="A6557" i="1"/>
  <c r="S6556" i="1"/>
  <c r="O6556" i="1"/>
  <c r="K6556" i="1"/>
  <c r="J6556" i="1"/>
  <c r="I6556" i="1"/>
  <c r="H6556" i="1"/>
  <c r="G6556" i="1"/>
  <c r="F6556" i="1"/>
  <c r="E6556" i="1"/>
  <c r="D6556" i="1"/>
  <c r="C6556" i="1"/>
  <c r="B6556" i="1"/>
  <c r="A6556" i="1"/>
  <c r="R6555" i="1"/>
  <c r="J6555" i="1"/>
  <c r="I6555" i="1"/>
  <c r="G6555" i="1"/>
  <c r="F6555" i="1"/>
  <c r="E6555" i="1"/>
  <c r="D6555" i="1"/>
  <c r="C6555" i="1"/>
  <c r="B6555" i="1"/>
  <c r="A6555" i="1"/>
  <c r="S6554" i="1"/>
  <c r="O6554" i="1"/>
  <c r="K6554" i="1"/>
  <c r="J6554" i="1"/>
  <c r="I6554" i="1"/>
  <c r="H6554" i="1"/>
  <c r="G6554" i="1"/>
  <c r="F6554" i="1"/>
  <c r="E6554" i="1"/>
  <c r="D6554" i="1"/>
  <c r="C6554" i="1"/>
  <c r="B6554" i="1"/>
  <c r="A6554" i="1"/>
  <c r="R6553" i="1"/>
  <c r="J6553" i="1"/>
  <c r="I6553" i="1"/>
  <c r="G6553" i="1"/>
  <c r="F6553" i="1"/>
  <c r="E6553" i="1"/>
  <c r="D6553" i="1"/>
  <c r="C6553" i="1"/>
  <c r="B6553" i="1"/>
  <c r="A6553" i="1"/>
  <c r="S6552" i="1"/>
  <c r="O6552" i="1"/>
  <c r="K6552" i="1"/>
  <c r="J6552" i="1"/>
  <c r="I6552" i="1"/>
  <c r="H6552" i="1"/>
  <c r="G6552" i="1"/>
  <c r="F6552" i="1"/>
  <c r="E6552" i="1"/>
  <c r="D6552" i="1"/>
  <c r="C6552" i="1"/>
  <c r="B6552" i="1"/>
  <c r="A6552" i="1"/>
  <c r="R6551" i="1"/>
  <c r="J6551" i="1"/>
  <c r="I6551" i="1"/>
  <c r="G6551" i="1"/>
  <c r="F6551" i="1"/>
  <c r="E6551" i="1"/>
  <c r="D6551" i="1"/>
  <c r="C6551" i="1"/>
  <c r="B6551" i="1"/>
  <c r="A6551" i="1"/>
  <c r="S6550" i="1"/>
  <c r="O6550" i="1"/>
  <c r="K6550" i="1"/>
  <c r="J6550" i="1"/>
  <c r="I6550" i="1"/>
  <c r="H6550" i="1"/>
  <c r="G6550" i="1"/>
  <c r="F6550" i="1"/>
  <c r="E6550" i="1"/>
  <c r="D6550" i="1"/>
  <c r="C6550" i="1"/>
  <c r="B6550" i="1"/>
  <c r="A6550" i="1"/>
  <c r="R6549" i="1"/>
  <c r="J6549" i="1"/>
  <c r="I6549" i="1"/>
  <c r="G6549" i="1"/>
  <c r="F6549" i="1"/>
  <c r="E6549" i="1"/>
  <c r="D6549" i="1"/>
  <c r="C6549" i="1"/>
  <c r="B6549" i="1"/>
  <c r="A6549" i="1"/>
  <c r="S6548" i="1"/>
  <c r="O6548" i="1"/>
  <c r="K6548" i="1"/>
  <c r="J6548" i="1"/>
  <c r="I6548" i="1"/>
  <c r="H6548" i="1"/>
  <c r="G6548" i="1"/>
  <c r="F6548" i="1"/>
  <c r="E6548" i="1"/>
  <c r="D6548" i="1"/>
  <c r="C6548" i="1"/>
  <c r="B6548" i="1"/>
  <c r="A6548" i="1"/>
  <c r="R6547" i="1"/>
  <c r="J6547" i="1"/>
  <c r="I6547" i="1"/>
  <c r="G6547" i="1"/>
  <c r="F6547" i="1"/>
  <c r="E6547" i="1"/>
  <c r="D6547" i="1"/>
  <c r="C6547" i="1"/>
  <c r="B6547" i="1"/>
  <c r="A6547" i="1"/>
  <c r="S6546" i="1"/>
  <c r="O6546" i="1"/>
  <c r="K6546" i="1"/>
  <c r="J6546" i="1"/>
  <c r="I6546" i="1"/>
  <c r="H6546" i="1"/>
  <c r="G6546" i="1"/>
  <c r="F6546" i="1"/>
  <c r="E6546" i="1"/>
  <c r="D6546" i="1"/>
  <c r="C6546" i="1"/>
  <c r="B6546" i="1"/>
  <c r="A6546" i="1"/>
  <c r="R6545" i="1"/>
  <c r="J6545" i="1"/>
  <c r="I6545" i="1"/>
  <c r="G6545" i="1"/>
  <c r="F6545" i="1"/>
  <c r="E6545" i="1"/>
  <c r="D6545" i="1"/>
  <c r="C6545" i="1"/>
  <c r="B6545" i="1"/>
  <c r="A6545" i="1"/>
  <c r="S6544" i="1"/>
  <c r="O6544" i="1"/>
  <c r="K6544" i="1"/>
  <c r="J6544" i="1"/>
  <c r="I6544" i="1"/>
  <c r="H6544" i="1"/>
  <c r="G6544" i="1"/>
  <c r="F6544" i="1"/>
  <c r="E6544" i="1"/>
  <c r="D6544" i="1"/>
  <c r="C6544" i="1"/>
  <c r="B6544" i="1"/>
  <c r="A6544" i="1"/>
  <c r="R6543" i="1"/>
  <c r="J6543" i="1"/>
  <c r="I6543" i="1"/>
  <c r="G6543" i="1"/>
  <c r="F6543" i="1"/>
  <c r="E6543" i="1"/>
  <c r="D6543" i="1"/>
  <c r="C6543" i="1"/>
  <c r="B6543" i="1"/>
  <c r="A6543" i="1"/>
  <c r="S6542" i="1"/>
  <c r="O6542" i="1"/>
  <c r="K6542" i="1"/>
  <c r="J6542" i="1"/>
  <c r="I6542" i="1"/>
  <c r="H6542" i="1"/>
  <c r="G6542" i="1"/>
  <c r="F6542" i="1"/>
  <c r="E6542" i="1"/>
  <c r="D6542" i="1"/>
  <c r="C6542" i="1"/>
  <c r="B6542" i="1"/>
  <c r="A6542" i="1"/>
  <c r="R6541" i="1"/>
  <c r="J6541" i="1"/>
  <c r="I6541" i="1"/>
  <c r="G6541" i="1"/>
  <c r="F6541" i="1"/>
  <c r="E6541" i="1"/>
  <c r="D6541" i="1"/>
  <c r="C6541" i="1"/>
  <c r="B6541" i="1"/>
  <c r="A6541" i="1"/>
  <c r="S6540" i="1"/>
  <c r="O6540" i="1"/>
  <c r="K6540" i="1"/>
  <c r="J6540" i="1"/>
  <c r="I6540" i="1"/>
  <c r="H6540" i="1"/>
  <c r="G6540" i="1"/>
  <c r="F6540" i="1"/>
  <c r="E6540" i="1"/>
  <c r="D6540" i="1"/>
  <c r="C6540" i="1"/>
  <c r="B6540" i="1"/>
  <c r="A6540" i="1"/>
  <c r="R6539" i="1"/>
  <c r="J6539" i="1"/>
  <c r="I6539" i="1"/>
  <c r="G6539" i="1"/>
  <c r="F6539" i="1"/>
  <c r="E6539" i="1"/>
  <c r="D6539" i="1"/>
  <c r="C6539" i="1"/>
  <c r="B6539" i="1"/>
  <c r="A6539" i="1"/>
  <c r="S6538" i="1"/>
  <c r="O6538" i="1"/>
  <c r="K6538" i="1"/>
  <c r="J6538" i="1"/>
  <c r="I6538" i="1"/>
  <c r="H6538" i="1"/>
  <c r="G6538" i="1"/>
  <c r="F6538" i="1"/>
  <c r="E6538" i="1"/>
  <c r="D6538" i="1"/>
  <c r="C6538" i="1"/>
  <c r="B6538" i="1"/>
  <c r="A6538" i="1"/>
  <c r="R6537" i="1"/>
  <c r="J6537" i="1"/>
  <c r="I6537" i="1"/>
  <c r="G6537" i="1"/>
  <c r="F6537" i="1"/>
  <c r="E6537" i="1"/>
  <c r="D6537" i="1"/>
  <c r="C6537" i="1"/>
  <c r="B6537" i="1"/>
  <c r="A6537" i="1"/>
  <c r="S6536" i="1"/>
  <c r="O6536" i="1"/>
  <c r="K6536" i="1"/>
  <c r="J6536" i="1"/>
  <c r="I6536" i="1"/>
  <c r="H6536" i="1"/>
  <c r="G6536" i="1"/>
  <c r="F6536" i="1"/>
  <c r="E6536" i="1"/>
  <c r="D6536" i="1"/>
  <c r="C6536" i="1"/>
  <c r="B6536" i="1"/>
  <c r="A6536" i="1"/>
  <c r="R6535" i="1"/>
  <c r="J6535" i="1"/>
  <c r="I6535" i="1"/>
  <c r="G6535" i="1"/>
  <c r="F6535" i="1"/>
  <c r="E6535" i="1"/>
  <c r="D6535" i="1"/>
  <c r="C6535" i="1"/>
  <c r="B6535" i="1"/>
  <c r="A6535" i="1"/>
  <c r="S6534" i="1"/>
  <c r="O6534" i="1"/>
  <c r="K6534" i="1"/>
  <c r="J6534" i="1"/>
  <c r="I6534" i="1"/>
  <c r="H6534" i="1"/>
  <c r="G6534" i="1"/>
  <c r="F6534" i="1"/>
  <c r="E6534" i="1"/>
  <c r="D6534" i="1"/>
  <c r="C6534" i="1"/>
  <c r="B6534" i="1"/>
  <c r="A6534" i="1"/>
  <c r="R6533" i="1"/>
  <c r="J6533" i="1"/>
  <c r="I6533" i="1"/>
  <c r="G6533" i="1"/>
  <c r="F6533" i="1"/>
  <c r="E6533" i="1"/>
  <c r="D6533" i="1"/>
  <c r="C6533" i="1"/>
  <c r="B6533" i="1"/>
  <c r="A6533" i="1"/>
  <c r="R6532" i="1"/>
  <c r="J6532" i="1"/>
  <c r="I6532" i="1"/>
  <c r="G6532" i="1"/>
  <c r="F6532" i="1"/>
  <c r="E6532" i="1"/>
  <c r="D6532" i="1"/>
  <c r="C6532" i="1"/>
  <c r="B6532" i="1"/>
  <c r="A6532" i="1"/>
  <c r="S6531" i="1"/>
  <c r="O6531" i="1"/>
  <c r="K6531" i="1"/>
  <c r="J6531" i="1"/>
  <c r="I6531" i="1"/>
  <c r="H6531" i="1"/>
  <c r="G6531" i="1"/>
  <c r="F6531" i="1"/>
  <c r="E6531" i="1"/>
  <c r="D6531" i="1"/>
  <c r="C6531" i="1"/>
  <c r="B6531" i="1"/>
  <c r="A6531" i="1"/>
  <c r="R6530" i="1"/>
  <c r="J6530" i="1"/>
  <c r="I6530" i="1"/>
  <c r="G6530" i="1"/>
  <c r="F6530" i="1"/>
  <c r="E6530" i="1"/>
  <c r="D6530" i="1"/>
  <c r="C6530" i="1"/>
  <c r="B6530" i="1"/>
  <c r="A6530" i="1"/>
  <c r="R6529" i="1"/>
  <c r="J6529" i="1"/>
  <c r="I6529" i="1"/>
  <c r="G6529" i="1"/>
  <c r="F6529" i="1"/>
  <c r="E6529" i="1"/>
  <c r="D6529" i="1"/>
  <c r="C6529" i="1"/>
  <c r="B6529" i="1"/>
  <c r="A6529" i="1"/>
  <c r="S6528" i="1"/>
  <c r="O6528" i="1"/>
  <c r="K6528" i="1"/>
  <c r="J6528" i="1"/>
  <c r="I6528" i="1"/>
  <c r="H6528" i="1"/>
  <c r="G6528" i="1"/>
  <c r="F6528" i="1"/>
  <c r="E6528" i="1"/>
  <c r="D6528" i="1"/>
  <c r="C6528" i="1"/>
  <c r="B6528" i="1"/>
  <c r="A6528" i="1"/>
  <c r="R6527" i="1"/>
  <c r="J6527" i="1"/>
  <c r="I6527" i="1"/>
  <c r="G6527" i="1"/>
  <c r="F6527" i="1"/>
  <c r="E6527" i="1"/>
  <c r="D6527" i="1"/>
  <c r="C6527" i="1"/>
  <c r="B6527" i="1"/>
  <c r="A6527" i="1"/>
  <c r="S6526" i="1"/>
  <c r="O6526" i="1"/>
  <c r="K6526" i="1"/>
  <c r="J6526" i="1"/>
  <c r="I6526" i="1"/>
  <c r="H6526" i="1"/>
  <c r="G6526" i="1"/>
  <c r="F6526" i="1"/>
  <c r="E6526" i="1"/>
  <c r="D6526" i="1"/>
  <c r="C6526" i="1"/>
  <c r="B6526" i="1"/>
  <c r="A6526" i="1"/>
  <c r="R6525" i="1"/>
  <c r="J6525" i="1"/>
  <c r="I6525" i="1"/>
  <c r="G6525" i="1"/>
  <c r="F6525" i="1"/>
  <c r="E6525" i="1"/>
  <c r="D6525" i="1"/>
  <c r="C6525" i="1"/>
  <c r="B6525" i="1"/>
  <c r="A6525" i="1"/>
  <c r="R6524" i="1"/>
  <c r="J6524" i="1"/>
  <c r="I6524" i="1"/>
  <c r="G6524" i="1"/>
  <c r="F6524" i="1"/>
  <c r="E6524" i="1"/>
  <c r="D6524" i="1"/>
  <c r="C6524" i="1"/>
  <c r="B6524" i="1"/>
  <c r="A6524" i="1"/>
  <c r="S6523" i="1"/>
  <c r="O6523" i="1"/>
  <c r="K6523" i="1"/>
  <c r="J6523" i="1"/>
  <c r="I6523" i="1"/>
  <c r="H6523" i="1"/>
  <c r="G6523" i="1"/>
  <c r="F6523" i="1"/>
  <c r="E6523" i="1"/>
  <c r="D6523" i="1"/>
  <c r="C6523" i="1"/>
  <c r="B6523" i="1"/>
  <c r="A6523" i="1"/>
  <c r="R6522" i="1"/>
  <c r="J6522" i="1"/>
  <c r="I6522" i="1"/>
  <c r="G6522" i="1"/>
  <c r="F6522" i="1"/>
  <c r="E6522" i="1"/>
  <c r="D6522" i="1"/>
  <c r="C6522" i="1"/>
  <c r="B6522" i="1"/>
  <c r="A6522" i="1"/>
  <c r="R6521" i="1"/>
  <c r="J6521" i="1"/>
  <c r="I6521" i="1"/>
  <c r="G6521" i="1"/>
  <c r="F6521" i="1"/>
  <c r="E6521" i="1"/>
  <c r="D6521" i="1"/>
  <c r="C6521" i="1"/>
  <c r="B6521" i="1"/>
  <c r="A6521" i="1"/>
  <c r="S6520" i="1"/>
  <c r="O6520" i="1"/>
  <c r="K6520" i="1"/>
  <c r="J6520" i="1"/>
  <c r="I6520" i="1"/>
  <c r="H6520" i="1"/>
  <c r="G6520" i="1"/>
  <c r="F6520" i="1"/>
  <c r="E6520" i="1"/>
  <c r="D6520" i="1"/>
  <c r="C6520" i="1"/>
  <c r="B6520" i="1"/>
  <c r="A6520" i="1"/>
  <c r="R6519" i="1"/>
  <c r="J6519" i="1"/>
  <c r="I6519" i="1"/>
  <c r="G6519" i="1"/>
  <c r="F6519" i="1"/>
  <c r="E6519" i="1"/>
  <c r="D6519" i="1"/>
  <c r="C6519" i="1"/>
  <c r="B6519" i="1"/>
  <c r="A6519" i="1"/>
  <c r="S6518" i="1"/>
  <c r="O6518" i="1"/>
  <c r="K6518" i="1"/>
  <c r="J6518" i="1"/>
  <c r="I6518" i="1"/>
  <c r="H6518" i="1"/>
  <c r="G6518" i="1"/>
  <c r="F6518" i="1"/>
  <c r="E6518" i="1"/>
  <c r="D6518" i="1"/>
  <c r="C6518" i="1"/>
  <c r="B6518" i="1"/>
  <c r="A6518" i="1"/>
  <c r="R6517" i="1"/>
  <c r="J6517" i="1"/>
  <c r="I6517" i="1"/>
  <c r="G6517" i="1"/>
  <c r="F6517" i="1"/>
  <c r="E6517" i="1"/>
  <c r="D6517" i="1"/>
  <c r="C6517" i="1"/>
  <c r="B6517" i="1"/>
  <c r="A6517" i="1"/>
  <c r="R6516" i="1"/>
  <c r="J6516" i="1"/>
  <c r="I6516" i="1"/>
  <c r="G6516" i="1"/>
  <c r="F6516" i="1"/>
  <c r="E6516" i="1"/>
  <c r="D6516" i="1"/>
  <c r="C6516" i="1"/>
  <c r="B6516" i="1"/>
  <c r="A6516" i="1"/>
  <c r="S6515" i="1"/>
  <c r="O6515" i="1"/>
  <c r="K6515" i="1"/>
  <c r="J6515" i="1"/>
  <c r="I6515" i="1"/>
  <c r="H6515" i="1"/>
  <c r="G6515" i="1"/>
  <c r="F6515" i="1"/>
  <c r="E6515" i="1"/>
  <c r="D6515" i="1"/>
  <c r="C6515" i="1"/>
  <c r="B6515" i="1"/>
  <c r="A6515" i="1"/>
  <c r="R6514" i="1"/>
  <c r="J6514" i="1"/>
  <c r="I6514" i="1"/>
  <c r="G6514" i="1"/>
  <c r="F6514" i="1"/>
  <c r="E6514" i="1"/>
  <c r="D6514" i="1"/>
  <c r="C6514" i="1"/>
  <c r="B6514" i="1"/>
  <c r="A6514" i="1"/>
  <c r="S6513" i="1"/>
  <c r="O6513" i="1"/>
  <c r="K6513" i="1"/>
  <c r="J6513" i="1"/>
  <c r="I6513" i="1"/>
  <c r="H6513" i="1"/>
  <c r="G6513" i="1"/>
  <c r="F6513" i="1"/>
  <c r="E6513" i="1"/>
  <c r="D6513" i="1"/>
  <c r="C6513" i="1"/>
  <c r="B6513" i="1"/>
  <c r="A6513" i="1"/>
  <c r="R6512" i="1"/>
  <c r="J6512" i="1"/>
  <c r="I6512" i="1"/>
  <c r="G6512" i="1"/>
  <c r="F6512" i="1"/>
  <c r="E6512" i="1"/>
  <c r="D6512" i="1"/>
  <c r="C6512" i="1"/>
  <c r="B6512" i="1"/>
  <c r="A6512" i="1"/>
  <c r="S6511" i="1"/>
  <c r="O6511" i="1"/>
  <c r="K6511" i="1"/>
  <c r="J6511" i="1"/>
  <c r="I6511" i="1"/>
  <c r="H6511" i="1"/>
  <c r="G6511" i="1"/>
  <c r="F6511" i="1"/>
  <c r="E6511" i="1"/>
  <c r="D6511" i="1"/>
  <c r="C6511" i="1"/>
  <c r="B6511" i="1"/>
  <c r="A6511" i="1"/>
  <c r="R6510" i="1"/>
  <c r="J6510" i="1"/>
  <c r="I6510" i="1"/>
  <c r="G6510" i="1"/>
  <c r="F6510" i="1"/>
  <c r="E6510" i="1"/>
  <c r="D6510" i="1"/>
  <c r="C6510" i="1"/>
  <c r="B6510" i="1"/>
  <c r="A6510" i="1"/>
  <c r="R6509" i="1"/>
  <c r="J6509" i="1"/>
  <c r="I6509" i="1"/>
  <c r="G6509" i="1"/>
  <c r="F6509" i="1"/>
  <c r="E6509" i="1"/>
  <c r="D6509" i="1"/>
  <c r="C6509" i="1"/>
  <c r="B6509" i="1"/>
  <c r="A6509" i="1"/>
  <c r="S6508" i="1"/>
  <c r="O6508" i="1"/>
  <c r="K6508" i="1"/>
  <c r="J6508" i="1"/>
  <c r="I6508" i="1"/>
  <c r="H6508" i="1"/>
  <c r="G6508" i="1"/>
  <c r="F6508" i="1"/>
  <c r="E6508" i="1"/>
  <c r="D6508" i="1"/>
  <c r="C6508" i="1"/>
  <c r="B6508" i="1"/>
  <c r="A6508" i="1"/>
  <c r="R6507" i="1"/>
  <c r="J6507" i="1"/>
  <c r="I6507" i="1"/>
  <c r="G6507" i="1"/>
  <c r="F6507" i="1"/>
  <c r="E6507" i="1"/>
  <c r="D6507" i="1"/>
  <c r="C6507" i="1"/>
  <c r="B6507" i="1"/>
  <c r="A6507" i="1"/>
  <c r="S6506" i="1"/>
  <c r="O6506" i="1"/>
  <c r="K6506" i="1"/>
  <c r="J6506" i="1"/>
  <c r="I6506" i="1"/>
  <c r="H6506" i="1"/>
  <c r="G6506" i="1"/>
  <c r="F6506" i="1"/>
  <c r="E6506" i="1"/>
  <c r="D6506" i="1"/>
  <c r="C6506" i="1"/>
  <c r="B6506" i="1"/>
  <c r="A6506" i="1"/>
  <c r="R6505" i="1"/>
  <c r="J6505" i="1"/>
  <c r="I6505" i="1"/>
  <c r="G6505" i="1"/>
  <c r="F6505" i="1"/>
  <c r="E6505" i="1"/>
  <c r="D6505" i="1"/>
  <c r="C6505" i="1"/>
  <c r="B6505" i="1"/>
  <c r="A6505" i="1"/>
  <c r="S6504" i="1"/>
  <c r="O6504" i="1"/>
  <c r="K6504" i="1"/>
  <c r="J6504" i="1"/>
  <c r="I6504" i="1"/>
  <c r="H6504" i="1"/>
  <c r="G6504" i="1"/>
  <c r="F6504" i="1"/>
  <c r="E6504" i="1"/>
  <c r="D6504" i="1"/>
  <c r="C6504" i="1"/>
  <c r="B6504" i="1"/>
  <c r="A6504" i="1"/>
  <c r="R6503" i="1"/>
  <c r="J6503" i="1"/>
  <c r="I6503" i="1"/>
  <c r="G6503" i="1"/>
  <c r="F6503" i="1"/>
  <c r="E6503" i="1"/>
  <c r="D6503" i="1"/>
  <c r="C6503" i="1"/>
  <c r="B6503" i="1"/>
  <c r="A6503" i="1"/>
  <c r="S6502" i="1"/>
  <c r="O6502" i="1"/>
  <c r="K6502" i="1"/>
  <c r="J6502" i="1"/>
  <c r="I6502" i="1"/>
  <c r="H6502" i="1"/>
  <c r="G6502" i="1"/>
  <c r="F6502" i="1"/>
  <c r="E6502" i="1"/>
  <c r="D6502" i="1"/>
  <c r="C6502" i="1"/>
  <c r="B6502" i="1"/>
  <c r="A6502" i="1"/>
  <c r="R6501" i="1"/>
  <c r="J6501" i="1"/>
  <c r="I6501" i="1"/>
  <c r="G6501" i="1"/>
  <c r="F6501" i="1"/>
  <c r="E6501" i="1"/>
  <c r="D6501" i="1"/>
  <c r="C6501" i="1"/>
  <c r="B6501" i="1"/>
  <c r="A6501" i="1"/>
  <c r="S6500" i="1"/>
  <c r="O6500" i="1"/>
  <c r="K6500" i="1"/>
  <c r="J6500" i="1"/>
  <c r="I6500" i="1"/>
  <c r="H6500" i="1"/>
  <c r="G6500" i="1"/>
  <c r="F6500" i="1"/>
  <c r="E6500" i="1"/>
  <c r="D6500" i="1"/>
  <c r="C6500" i="1"/>
  <c r="B6500" i="1"/>
  <c r="A6500" i="1"/>
  <c r="R6499" i="1"/>
  <c r="J6499" i="1"/>
  <c r="I6499" i="1"/>
  <c r="G6499" i="1"/>
  <c r="F6499" i="1"/>
  <c r="E6499" i="1"/>
  <c r="D6499" i="1"/>
  <c r="C6499" i="1"/>
  <c r="B6499" i="1"/>
  <c r="A6499" i="1"/>
  <c r="S6498" i="1"/>
  <c r="O6498" i="1"/>
  <c r="K6498" i="1"/>
  <c r="J6498" i="1"/>
  <c r="I6498" i="1"/>
  <c r="H6498" i="1"/>
  <c r="G6498" i="1"/>
  <c r="F6498" i="1"/>
  <c r="E6498" i="1"/>
  <c r="D6498" i="1"/>
  <c r="C6498" i="1"/>
  <c r="B6498" i="1"/>
  <c r="A6498" i="1"/>
  <c r="R6497" i="1"/>
  <c r="J6497" i="1"/>
  <c r="I6497" i="1"/>
  <c r="G6497" i="1"/>
  <c r="F6497" i="1"/>
  <c r="E6497" i="1"/>
  <c r="D6497" i="1"/>
  <c r="C6497" i="1"/>
  <c r="B6497" i="1"/>
  <c r="A6497" i="1"/>
  <c r="S6496" i="1"/>
  <c r="O6496" i="1"/>
  <c r="K6496" i="1"/>
  <c r="J6496" i="1"/>
  <c r="I6496" i="1"/>
  <c r="H6496" i="1"/>
  <c r="G6496" i="1"/>
  <c r="F6496" i="1"/>
  <c r="E6496" i="1"/>
  <c r="D6496" i="1"/>
  <c r="C6496" i="1"/>
  <c r="B6496" i="1"/>
  <c r="A6496" i="1"/>
  <c r="R6495" i="1"/>
  <c r="J6495" i="1"/>
  <c r="I6495" i="1"/>
  <c r="G6495" i="1"/>
  <c r="F6495" i="1"/>
  <c r="E6495" i="1"/>
  <c r="D6495" i="1"/>
  <c r="C6495" i="1"/>
  <c r="B6495" i="1"/>
  <c r="A6495" i="1"/>
  <c r="S6494" i="1"/>
  <c r="O6494" i="1"/>
  <c r="K6494" i="1"/>
  <c r="J6494" i="1"/>
  <c r="I6494" i="1"/>
  <c r="H6494" i="1"/>
  <c r="G6494" i="1"/>
  <c r="F6494" i="1"/>
  <c r="E6494" i="1"/>
  <c r="D6494" i="1"/>
  <c r="C6494" i="1"/>
  <c r="B6494" i="1"/>
  <c r="A6494" i="1"/>
  <c r="R6493" i="1"/>
  <c r="J6493" i="1"/>
  <c r="I6493" i="1"/>
  <c r="G6493" i="1"/>
  <c r="F6493" i="1"/>
  <c r="E6493" i="1"/>
  <c r="D6493" i="1"/>
  <c r="C6493" i="1"/>
  <c r="B6493" i="1"/>
  <c r="A6493" i="1"/>
  <c r="S6492" i="1"/>
  <c r="O6492" i="1"/>
  <c r="K6492" i="1"/>
  <c r="J6492" i="1"/>
  <c r="I6492" i="1"/>
  <c r="H6492" i="1"/>
  <c r="G6492" i="1"/>
  <c r="F6492" i="1"/>
  <c r="E6492" i="1"/>
  <c r="D6492" i="1"/>
  <c r="C6492" i="1"/>
  <c r="B6492" i="1"/>
  <c r="A6492" i="1"/>
  <c r="R6491" i="1"/>
  <c r="J6491" i="1"/>
  <c r="I6491" i="1"/>
  <c r="G6491" i="1"/>
  <c r="F6491" i="1"/>
  <c r="E6491" i="1"/>
  <c r="D6491" i="1"/>
  <c r="C6491" i="1"/>
  <c r="B6491" i="1"/>
  <c r="A6491" i="1"/>
  <c r="S6490" i="1"/>
  <c r="O6490" i="1"/>
  <c r="K6490" i="1"/>
  <c r="J6490" i="1"/>
  <c r="I6490" i="1"/>
  <c r="H6490" i="1"/>
  <c r="G6490" i="1"/>
  <c r="F6490" i="1"/>
  <c r="E6490" i="1"/>
  <c r="D6490" i="1"/>
  <c r="C6490" i="1"/>
  <c r="B6490" i="1"/>
  <c r="A6490" i="1"/>
  <c r="R6489" i="1"/>
  <c r="J6489" i="1"/>
  <c r="I6489" i="1"/>
  <c r="G6489" i="1"/>
  <c r="F6489" i="1"/>
  <c r="E6489" i="1"/>
  <c r="D6489" i="1"/>
  <c r="C6489" i="1"/>
  <c r="B6489" i="1"/>
  <c r="A6489" i="1"/>
  <c r="S6488" i="1"/>
  <c r="O6488" i="1"/>
  <c r="K6488" i="1"/>
  <c r="J6488" i="1"/>
  <c r="I6488" i="1"/>
  <c r="H6488" i="1"/>
  <c r="G6488" i="1"/>
  <c r="F6488" i="1"/>
  <c r="E6488" i="1"/>
  <c r="D6488" i="1"/>
  <c r="C6488" i="1"/>
  <c r="B6488" i="1"/>
  <c r="A6488" i="1"/>
  <c r="R6487" i="1"/>
  <c r="J6487" i="1"/>
  <c r="I6487" i="1"/>
  <c r="G6487" i="1"/>
  <c r="F6487" i="1"/>
  <c r="E6487" i="1"/>
  <c r="D6487" i="1"/>
  <c r="C6487" i="1"/>
  <c r="B6487" i="1"/>
  <c r="A6487" i="1"/>
  <c r="S6486" i="1"/>
  <c r="O6486" i="1"/>
  <c r="K6486" i="1"/>
  <c r="J6486" i="1"/>
  <c r="I6486" i="1"/>
  <c r="H6486" i="1"/>
  <c r="G6486" i="1"/>
  <c r="F6486" i="1"/>
  <c r="E6486" i="1"/>
  <c r="D6486" i="1"/>
  <c r="C6486" i="1"/>
  <c r="B6486" i="1"/>
  <c r="A6486" i="1"/>
  <c r="R6485" i="1"/>
  <c r="J6485" i="1"/>
  <c r="I6485" i="1"/>
  <c r="G6485" i="1"/>
  <c r="F6485" i="1"/>
  <c r="E6485" i="1"/>
  <c r="D6485" i="1"/>
  <c r="C6485" i="1"/>
  <c r="B6485" i="1"/>
  <c r="A6485" i="1"/>
  <c r="S6484" i="1"/>
  <c r="O6484" i="1"/>
  <c r="K6484" i="1"/>
  <c r="J6484" i="1"/>
  <c r="I6484" i="1"/>
  <c r="H6484" i="1"/>
  <c r="G6484" i="1"/>
  <c r="F6484" i="1"/>
  <c r="E6484" i="1"/>
  <c r="D6484" i="1"/>
  <c r="C6484" i="1"/>
  <c r="B6484" i="1"/>
  <c r="A6484" i="1"/>
  <c r="R6483" i="1"/>
  <c r="J6483" i="1"/>
  <c r="I6483" i="1"/>
  <c r="G6483" i="1"/>
  <c r="F6483" i="1"/>
  <c r="E6483" i="1"/>
  <c r="D6483" i="1"/>
  <c r="C6483" i="1"/>
  <c r="B6483" i="1"/>
  <c r="A6483" i="1"/>
  <c r="R6482" i="1"/>
  <c r="J6482" i="1"/>
  <c r="I6482" i="1"/>
  <c r="G6482" i="1"/>
  <c r="F6482" i="1"/>
  <c r="E6482" i="1"/>
  <c r="D6482" i="1"/>
  <c r="C6482" i="1"/>
  <c r="B6482" i="1"/>
  <c r="A6482" i="1"/>
  <c r="S6481" i="1"/>
  <c r="O6481" i="1"/>
  <c r="K6481" i="1"/>
  <c r="J6481" i="1"/>
  <c r="I6481" i="1"/>
  <c r="H6481" i="1"/>
  <c r="G6481" i="1"/>
  <c r="F6481" i="1"/>
  <c r="E6481" i="1"/>
  <c r="D6481" i="1"/>
  <c r="C6481" i="1"/>
  <c r="B6481" i="1"/>
  <c r="A6481" i="1"/>
  <c r="R6480" i="1"/>
  <c r="J6480" i="1"/>
  <c r="I6480" i="1"/>
  <c r="G6480" i="1"/>
  <c r="F6480" i="1"/>
  <c r="E6480" i="1"/>
  <c r="D6480" i="1"/>
  <c r="C6480" i="1"/>
  <c r="B6480" i="1"/>
  <c r="A6480" i="1"/>
  <c r="S6479" i="1"/>
  <c r="O6479" i="1"/>
  <c r="K6479" i="1"/>
  <c r="J6479" i="1"/>
  <c r="I6479" i="1"/>
  <c r="H6479" i="1"/>
  <c r="G6479" i="1"/>
  <c r="F6479" i="1"/>
  <c r="E6479" i="1"/>
  <c r="D6479" i="1"/>
  <c r="C6479" i="1"/>
  <c r="B6479" i="1"/>
  <c r="A6479" i="1"/>
  <c r="R6478" i="1"/>
  <c r="J6478" i="1"/>
  <c r="I6478" i="1"/>
  <c r="G6478" i="1"/>
  <c r="F6478" i="1"/>
  <c r="E6478" i="1"/>
  <c r="D6478" i="1"/>
  <c r="C6478" i="1"/>
  <c r="B6478" i="1"/>
  <c r="A6478" i="1"/>
  <c r="R6477" i="1"/>
  <c r="J6477" i="1"/>
  <c r="I6477" i="1"/>
  <c r="G6477" i="1"/>
  <c r="F6477" i="1"/>
  <c r="E6477" i="1"/>
  <c r="D6477" i="1"/>
  <c r="C6477" i="1"/>
  <c r="B6477" i="1"/>
  <c r="A6477" i="1"/>
  <c r="S6476" i="1"/>
  <c r="O6476" i="1"/>
  <c r="K6476" i="1"/>
  <c r="J6476" i="1"/>
  <c r="I6476" i="1"/>
  <c r="H6476" i="1"/>
  <c r="G6476" i="1"/>
  <c r="F6476" i="1"/>
  <c r="E6476" i="1"/>
  <c r="D6476" i="1"/>
  <c r="C6476" i="1"/>
  <c r="B6476" i="1"/>
  <c r="A6476" i="1"/>
  <c r="R6475" i="1"/>
  <c r="J6475" i="1"/>
  <c r="I6475" i="1"/>
  <c r="G6475" i="1"/>
  <c r="F6475" i="1"/>
  <c r="E6475" i="1"/>
  <c r="D6475" i="1"/>
  <c r="C6475" i="1"/>
  <c r="B6475" i="1"/>
  <c r="A6475" i="1"/>
  <c r="S6474" i="1"/>
  <c r="O6474" i="1"/>
  <c r="K6474" i="1"/>
  <c r="J6474" i="1"/>
  <c r="I6474" i="1"/>
  <c r="H6474" i="1"/>
  <c r="G6474" i="1"/>
  <c r="F6474" i="1"/>
  <c r="E6474" i="1"/>
  <c r="D6474" i="1"/>
  <c r="C6474" i="1"/>
  <c r="B6474" i="1"/>
  <c r="A6474" i="1"/>
  <c r="R6473" i="1"/>
  <c r="J6473" i="1"/>
  <c r="I6473" i="1"/>
  <c r="G6473" i="1"/>
  <c r="F6473" i="1"/>
  <c r="E6473" i="1"/>
  <c r="D6473" i="1"/>
  <c r="C6473" i="1"/>
  <c r="B6473" i="1"/>
  <c r="A6473" i="1"/>
  <c r="R6472" i="1"/>
  <c r="J6472" i="1"/>
  <c r="I6472" i="1"/>
  <c r="G6472" i="1"/>
  <c r="F6472" i="1"/>
  <c r="E6472" i="1"/>
  <c r="D6472" i="1"/>
  <c r="C6472" i="1"/>
  <c r="B6472" i="1"/>
  <c r="A6472" i="1"/>
  <c r="R6471" i="1"/>
  <c r="J6471" i="1"/>
  <c r="I6471" i="1"/>
  <c r="G6471" i="1"/>
  <c r="F6471" i="1"/>
  <c r="E6471" i="1"/>
  <c r="D6471" i="1"/>
  <c r="C6471" i="1"/>
  <c r="B6471" i="1"/>
  <c r="A6471" i="1"/>
  <c r="R6470" i="1"/>
  <c r="J6470" i="1"/>
  <c r="I6470" i="1"/>
  <c r="G6470" i="1"/>
  <c r="F6470" i="1"/>
  <c r="E6470" i="1"/>
  <c r="D6470" i="1"/>
  <c r="C6470" i="1"/>
  <c r="B6470" i="1"/>
  <c r="A6470" i="1"/>
  <c r="S6469" i="1"/>
  <c r="O6469" i="1"/>
  <c r="K6469" i="1"/>
  <c r="J6469" i="1"/>
  <c r="I6469" i="1"/>
  <c r="H6469" i="1"/>
  <c r="G6469" i="1"/>
  <c r="F6469" i="1"/>
  <c r="E6469" i="1"/>
  <c r="D6469" i="1"/>
  <c r="C6469" i="1"/>
  <c r="B6469" i="1"/>
  <c r="A6469" i="1"/>
  <c r="R6468" i="1"/>
  <c r="J6468" i="1"/>
  <c r="I6468" i="1"/>
  <c r="G6468" i="1"/>
  <c r="F6468" i="1"/>
  <c r="E6468" i="1"/>
  <c r="D6468" i="1"/>
  <c r="C6468" i="1"/>
  <c r="B6468" i="1"/>
  <c r="A6468" i="1"/>
  <c r="S6467" i="1"/>
  <c r="O6467" i="1"/>
  <c r="K6467" i="1"/>
  <c r="J6467" i="1"/>
  <c r="I6467" i="1"/>
  <c r="H6467" i="1"/>
  <c r="G6467" i="1"/>
  <c r="F6467" i="1"/>
  <c r="E6467" i="1"/>
  <c r="D6467" i="1"/>
  <c r="C6467" i="1"/>
  <c r="B6467" i="1"/>
  <c r="A6467" i="1"/>
  <c r="R6466" i="1"/>
  <c r="J6466" i="1"/>
  <c r="I6466" i="1"/>
  <c r="G6466" i="1"/>
  <c r="F6466" i="1"/>
  <c r="E6466" i="1"/>
  <c r="D6466" i="1"/>
  <c r="C6466" i="1"/>
  <c r="B6466" i="1"/>
  <c r="A6466" i="1"/>
  <c r="S6465" i="1"/>
  <c r="O6465" i="1"/>
  <c r="K6465" i="1"/>
  <c r="J6465" i="1"/>
  <c r="I6465" i="1"/>
  <c r="H6465" i="1"/>
  <c r="G6465" i="1"/>
  <c r="F6465" i="1"/>
  <c r="E6465" i="1"/>
  <c r="D6465" i="1"/>
  <c r="C6465" i="1"/>
  <c r="B6465" i="1"/>
  <c r="A6465" i="1"/>
  <c r="R6464" i="1"/>
  <c r="J6464" i="1"/>
  <c r="I6464" i="1"/>
  <c r="G6464" i="1"/>
  <c r="F6464" i="1"/>
  <c r="E6464" i="1"/>
  <c r="D6464" i="1"/>
  <c r="C6464" i="1"/>
  <c r="B6464" i="1"/>
  <c r="A6464" i="1"/>
  <c r="S6463" i="1"/>
  <c r="O6463" i="1"/>
  <c r="K6463" i="1"/>
  <c r="J6463" i="1"/>
  <c r="I6463" i="1"/>
  <c r="H6463" i="1"/>
  <c r="G6463" i="1"/>
  <c r="F6463" i="1"/>
  <c r="E6463" i="1"/>
  <c r="D6463" i="1"/>
  <c r="C6463" i="1"/>
  <c r="B6463" i="1"/>
  <c r="A6463" i="1"/>
  <c r="R6462" i="1"/>
  <c r="J6462" i="1"/>
  <c r="I6462" i="1"/>
  <c r="G6462" i="1"/>
  <c r="F6462" i="1"/>
  <c r="E6462" i="1"/>
  <c r="D6462" i="1"/>
  <c r="C6462" i="1"/>
  <c r="B6462" i="1"/>
  <c r="A6462" i="1"/>
  <c r="S6461" i="1"/>
  <c r="O6461" i="1"/>
  <c r="K6461" i="1"/>
  <c r="J6461" i="1"/>
  <c r="I6461" i="1"/>
  <c r="H6461" i="1"/>
  <c r="G6461" i="1"/>
  <c r="F6461" i="1"/>
  <c r="E6461" i="1"/>
  <c r="D6461" i="1"/>
  <c r="C6461" i="1"/>
  <c r="B6461" i="1"/>
  <c r="A6461" i="1"/>
  <c r="R6460" i="1"/>
  <c r="J6460" i="1"/>
  <c r="I6460" i="1"/>
  <c r="G6460" i="1"/>
  <c r="F6460" i="1"/>
  <c r="E6460" i="1"/>
  <c r="D6460" i="1"/>
  <c r="C6460" i="1"/>
  <c r="B6460" i="1"/>
  <c r="A6460" i="1"/>
  <c r="R6459" i="1"/>
  <c r="J6459" i="1"/>
  <c r="I6459" i="1"/>
  <c r="G6459" i="1"/>
  <c r="F6459" i="1"/>
  <c r="E6459" i="1"/>
  <c r="D6459" i="1"/>
  <c r="C6459" i="1"/>
  <c r="B6459" i="1"/>
  <c r="A6459" i="1"/>
  <c r="R6458" i="1"/>
  <c r="J6458" i="1"/>
  <c r="I6458" i="1"/>
  <c r="G6458" i="1"/>
  <c r="F6458" i="1"/>
  <c r="E6458" i="1"/>
  <c r="D6458" i="1"/>
  <c r="C6458" i="1"/>
  <c r="B6458" i="1"/>
  <c r="A6458" i="1"/>
  <c r="R6457" i="1"/>
  <c r="J6457" i="1"/>
  <c r="I6457" i="1"/>
  <c r="G6457" i="1"/>
  <c r="F6457" i="1"/>
  <c r="E6457" i="1"/>
  <c r="D6457" i="1"/>
  <c r="C6457" i="1"/>
  <c r="B6457" i="1"/>
  <c r="A6457" i="1"/>
  <c r="S6456" i="1"/>
  <c r="O6456" i="1"/>
  <c r="K6456" i="1"/>
  <c r="J6456" i="1"/>
  <c r="I6456" i="1"/>
  <c r="H6456" i="1"/>
  <c r="G6456" i="1"/>
  <c r="F6456" i="1"/>
  <c r="E6456" i="1"/>
  <c r="D6456" i="1"/>
  <c r="C6456" i="1"/>
  <c r="B6456" i="1"/>
  <c r="A6456" i="1"/>
  <c r="R6455" i="1"/>
  <c r="J6455" i="1"/>
  <c r="I6455" i="1"/>
  <c r="G6455" i="1"/>
  <c r="F6455" i="1"/>
  <c r="E6455" i="1"/>
  <c r="D6455" i="1"/>
  <c r="C6455" i="1"/>
  <c r="B6455" i="1"/>
  <c r="A6455" i="1"/>
  <c r="S6454" i="1"/>
  <c r="O6454" i="1"/>
  <c r="K6454" i="1"/>
  <c r="J6454" i="1"/>
  <c r="I6454" i="1"/>
  <c r="H6454" i="1"/>
  <c r="G6454" i="1"/>
  <c r="F6454" i="1"/>
  <c r="E6454" i="1"/>
  <c r="D6454" i="1"/>
  <c r="C6454" i="1"/>
  <c r="B6454" i="1"/>
  <c r="A6454" i="1"/>
  <c r="R6453" i="1"/>
  <c r="J6453" i="1"/>
  <c r="I6453" i="1"/>
  <c r="G6453" i="1"/>
  <c r="F6453" i="1"/>
  <c r="E6453" i="1"/>
  <c r="D6453" i="1"/>
  <c r="C6453" i="1"/>
  <c r="B6453" i="1"/>
  <c r="A6453" i="1"/>
  <c r="S6452" i="1"/>
  <c r="O6452" i="1"/>
  <c r="K6452" i="1"/>
  <c r="J6452" i="1"/>
  <c r="I6452" i="1"/>
  <c r="H6452" i="1"/>
  <c r="G6452" i="1"/>
  <c r="F6452" i="1"/>
  <c r="E6452" i="1"/>
  <c r="D6452" i="1"/>
  <c r="C6452" i="1"/>
  <c r="B6452" i="1"/>
  <c r="A6452" i="1"/>
  <c r="R6451" i="1"/>
  <c r="J6451" i="1"/>
  <c r="I6451" i="1"/>
  <c r="G6451" i="1"/>
  <c r="F6451" i="1"/>
  <c r="E6451" i="1"/>
  <c r="D6451" i="1"/>
  <c r="C6451" i="1"/>
  <c r="B6451" i="1"/>
  <c r="A6451" i="1"/>
  <c r="R6450" i="1"/>
  <c r="J6450" i="1"/>
  <c r="I6450" i="1"/>
  <c r="G6450" i="1"/>
  <c r="F6450" i="1"/>
  <c r="E6450" i="1"/>
  <c r="D6450" i="1"/>
  <c r="C6450" i="1"/>
  <c r="B6450" i="1"/>
  <c r="A6450" i="1"/>
  <c r="S6449" i="1"/>
  <c r="O6449" i="1"/>
  <c r="K6449" i="1"/>
  <c r="J6449" i="1"/>
  <c r="I6449" i="1"/>
  <c r="H6449" i="1"/>
  <c r="G6449" i="1"/>
  <c r="F6449" i="1"/>
  <c r="E6449" i="1"/>
  <c r="D6449" i="1"/>
  <c r="C6449" i="1"/>
  <c r="B6449" i="1"/>
  <c r="A6449" i="1"/>
  <c r="R6448" i="1"/>
  <c r="J6448" i="1"/>
  <c r="I6448" i="1"/>
  <c r="G6448" i="1"/>
  <c r="F6448" i="1"/>
  <c r="E6448" i="1"/>
  <c r="D6448" i="1"/>
  <c r="C6448" i="1"/>
  <c r="B6448" i="1"/>
  <c r="A6448" i="1"/>
  <c r="R6447" i="1"/>
  <c r="J6447" i="1"/>
  <c r="I6447" i="1"/>
  <c r="G6447" i="1"/>
  <c r="F6447" i="1"/>
  <c r="E6447" i="1"/>
  <c r="D6447" i="1"/>
  <c r="C6447" i="1"/>
  <c r="B6447" i="1"/>
  <c r="A6447" i="1"/>
  <c r="S6446" i="1"/>
  <c r="O6446" i="1"/>
  <c r="K6446" i="1"/>
  <c r="J6446" i="1"/>
  <c r="I6446" i="1"/>
  <c r="H6446" i="1"/>
  <c r="G6446" i="1"/>
  <c r="F6446" i="1"/>
  <c r="E6446" i="1"/>
  <c r="D6446" i="1"/>
  <c r="C6446" i="1"/>
  <c r="B6446" i="1"/>
  <c r="A6446" i="1"/>
  <c r="R6445" i="1"/>
  <c r="J6445" i="1"/>
  <c r="I6445" i="1"/>
  <c r="G6445" i="1"/>
  <c r="F6445" i="1"/>
  <c r="E6445" i="1"/>
  <c r="D6445" i="1"/>
  <c r="C6445" i="1"/>
  <c r="B6445" i="1"/>
  <c r="A6445" i="1"/>
  <c r="S6444" i="1"/>
  <c r="O6444" i="1"/>
  <c r="K6444" i="1"/>
  <c r="J6444" i="1"/>
  <c r="I6444" i="1"/>
  <c r="H6444" i="1"/>
  <c r="G6444" i="1"/>
  <c r="F6444" i="1"/>
  <c r="E6444" i="1"/>
  <c r="D6444" i="1"/>
  <c r="C6444" i="1"/>
  <c r="B6444" i="1"/>
  <c r="A6444" i="1"/>
  <c r="R6443" i="1"/>
  <c r="J6443" i="1"/>
  <c r="I6443" i="1"/>
  <c r="G6443" i="1"/>
  <c r="F6443" i="1"/>
  <c r="E6443" i="1"/>
  <c r="D6443" i="1"/>
  <c r="C6443" i="1"/>
  <c r="B6443" i="1"/>
  <c r="A6443" i="1"/>
  <c r="S6442" i="1"/>
  <c r="O6442" i="1"/>
  <c r="K6442" i="1"/>
  <c r="J6442" i="1"/>
  <c r="I6442" i="1"/>
  <c r="H6442" i="1"/>
  <c r="G6442" i="1"/>
  <c r="F6442" i="1"/>
  <c r="E6442" i="1"/>
  <c r="D6442" i="1"/>
  <c r="C6442" i="1"/>
  <c r="B6442" i="1"/>
  <c r="A6442" i="1"/>
  <c r="R6441" i="1"/>
  <c r="J6441" i="1"/>
  <c r="I6441" i="1"/>
  <c r="G6441" i="1"/>
  <c r="F6441" i="1"/>
  <c r="E6441" i="1"/>
  <c r="D6441" i="1"/>
  <c r="C6441" i="1"/>
  <c r="B6441" i="1"/>
  <c r="A6441" i="1"/>
  <c r="S6440" i="1"/>
  <c r="O6440" i="1"/>
  <c r="K6440" i="1"/>
  <c r="J6440" i="1"/>
  <c r="I6440" i="1"/>
  <c r="H6440" i="1"/>
  <c r="G6440" i="1"/>
  <c r="F6440" i="1"/>
  <c r="E6440" i="1"/>
  <c r="D6440" i="1"/>
  <c r="C6440" i="1"/>
  <c r="B6440" i="1"/>
  <c r="A6440" i="1"/>
  <c r="R6439" i="1"/>
  <c r="J6439" i="1"/>
  <c r="I6439" i="1"/>
  <c r="G6439" i="1"/>
  <c r="F6439" i="1"/>
  <c r="E6439" i="1"/>
  <c r="D6439" i="1"/>
  <c r="C6439" i="1"/>
  <c r="B6439" i="1"/>
  <c r="A6439" i="1"/>
  <c r="S6438" i="1"/>
  <c r="O6438" i="1"/>
  <c r="K6438" i="1"/>
  <c r="J6438" i="1"/>
  <c r="I6438" i="1"/>
  <c r="H6438" i="1"/>
  <c r="G6438" i="1"/>
  <c r="F6438" i="1"/>
  <c r="E6438" i="1"/>
  <c r="D6438" i="1"/>
  <c r="C6438" i="1"/>
  <c r="B6438" i="1"/>
  <c r="A6438" i="1"/>
  <c r="R6437" i="1"/>
  <c r="J6437" i="1"/>
  <c r="I6437" i="1"/>
  <c r="G6437" i="1"/>
  <c r="F6437" i="1"/>
  <c r="E6437" i="1"/>
  <c r="D6437" i="1"/>
  <c r="C6437" i="1"/>
  <c r="B6437" i="1"/>
  <c r="A6437" i="1"/>
  <c r="R6436" i="1"/>
  <c r="J6436" i="1"/>
  <c r="I6436" i="1"/>
  <c r="G6436" i="1"/>
  <c r="F6436" i="1"/>
  <c r="E6436" i="1"/>
  <c r="D6436" i="1"/>
  <c r="C6436" i="1"/>
  <c r="B6436" i="1"/>
  <c r="A6436" i="1"/>
  <c r="R6435" i="1"/>
  <c r="J6435" i="1"/>
  <c r="I6435" i="1"/>
  <c r="G6435" i="1"/>
  <c r="F6435" i="1"/>
  <c r="E6435" i="1"/>
  <c r="D6435" i="1"/>
  <c r="C6435" i="1"/>
  <c r="B6435" i="1"/>
  <c r="A6435" i="1"/>
  <c r="S6434" i="1"/>
  <c r="O6434" i="1"/>
  <c r="K6434" i="1"/>
  <c r="J6434" i="1"/>
  <c r="I6434" i="1"/>
  <c r="H6434" i="1"/>
  <c r="G6434" i="1"/>
  <c r="F6434" i="1"/>
  <c r="E6434" i="1"/>
  <c r="D6434" i="1"/>
  <c r="C6434" i="1"/>
  <c r="B6434" i="1"/>
  <c r="A6434" i="1"/>
  <c r="R6433" i="1"/>
  <c r="J6433" i="1"/>
  <c r="I6433" i="1"/>
  <c r="G6433" i="1"/>
  <c r="F6433" i="1"/>
  <c r="E6433" i="1"/>
  <c r="D6433" i="1"/>
  <c r="C6433" i="1"/>
  <c r="B6433" i="1"/>
  <c r="A6433" i="1"/>
  <c r="S6432" i="1"/>
  <c r="O6432" i="1"/>
  <c r="K6432" i="1"/>
  <c r="J6432" i="1"/>
  <c r="I6432" i="1"/>
  <c r="H6432" i="1"/>
  <c r="G6432" i="1"/>
  <c r="F6432" i="1"/>
  <c r="E6432" i="1"/>
  <c r="D6432" i="1"/>
  <c r="C6432" i="1"/>
  <c r="B6432" i="1"/>
  <c r="A6432" i="1"/>
  <c r="R6431" i="1"/>
  <c r="J6431" i="1"/>
  <c r="I6431" i="1"/>
  <c r="G6431" i="1"/>
  <c r="F6431" i="1"/>
  <c r="E6431" i="1"/>
  <c r="D6431" i="1"/>
  <c r="C6431" i="1"/>
  <c r="B6431" i="1"/>
  <c r="A6431" i="1"/>
  <c r="S6430" i="1"/>
  <c r="O6430" i="1"/>
  <c r="K6430" i="1"/>
  <c r="J6430" i="1"/>
  <c r="I6430" i="1"/>
  <c r="H6430" i="1"/>
  <c r="G6430" i="1"/>
  <c r="F6430" i="1"/>
  <c r="E6430" i="1"/>
  <c r="D6430" i="1"/>
  <c r="C6430" i="1"/>
  <c r="B6430" i="1"/>
  <c r="A6430" i="1"/>
  <c r="R6429" i="1"/>
  <c r="J6429" i="1"/>
  <c r="I6429" i="1"/>
  <c r="G6429" i="1"/>
  <c r="F6429" i="1"/>
  <c r="E6429" i="1"/>
  <c r="D6429" i="1"/>
  <c r="C6429" i="1"/>
  <c r="B6429" i="1"/>
  <c r="A6429" i="1"/>
  <c r="S6428" i="1"/>
  <c r="O6428" i="1"/>
  <c r="K6428" i="1"/>
  <c r="J6428" i="1"/>
  <c r="I6428" i="1"/>
  <c r="H6428" i="1"/>
  <c r="G6428" i="1"/>
  <c r="F6428" i="1"/>
  <c r="E6428" i="1"/>
  <c r="D6428" i="1"/>
  <c r="C6428" i="1"/>
  <c r="B6428" i="1"/>
  <c r="A6428" i="1"/>
  <c r="R6427" i="1"/>
  <c r="J6427" i="1"/>
  <c r="I6427" i="1"/>
  <c r="G6427" i="1"/>
  <c r="F6427" i="1"/>
  <c r="E6427" i="1"/>
  <c r="D6427" i="1"/>
  <c r="C6427" i="1"/>
  <c r="B6427" i="1"/>
  <c r="A6427" i="1"/>
  <c r="S6426" i="1"/>
  <c r="O6426" i="1"/>
  <c r="K6426" i="1"/>
  <c r="J6426" i="1"/>
  <c r="I6426" i="1"/>
  <c r="H6426" i="1"/>
  <c r="G6426" i="1"/>
  <c r="F6426" i="1"/>
  <c r="E6426" i="1"/>
  <c r="D6426" i="1"/>
  <c r="C6426" i="1"/>
  <c r="B6426" i="1"/>
  <c r="A6426" i="1"/>
  <c r="R6425" i="1"/>
  <c r="J6425" i="1"/>
  <c r="I6425" i="1"/>
  <c r="G6425" i="1"/>
  <c r="F6425" i="1"/>
  <c r="E6425" i="1"/>
  <c r="D6425" i="1"/>
  <c r="C6425" i="1"/>
  <c r="B6425" i="1"/>
  <c r="A6425" i="1"/>
  <c r="S6424" i="1"/>
  <c r="O6424" i="1"/>
  <c r="K6424" i="1"/>
  <c r="J6424" i="1"/>
  <c r="I6424" i="1"/>
  <c r="H6424" i="1"/>
  <c r="G6424" i="1"/>
  <c r="F6424" i="1"/>
  <c r="E6424" i="1"/>
  <c r="D6424" i="1"/>
  <c r="C6424" i="1"/>
  <c r="B6424" i="1"/>
  <c r="A6424" i="1"/>
  <c r="R6423" i="1"/>
  <c r="J6423" i="1"/>
  <c r="I6423" i="1"/>
  <c r="G6423" i="1"/>
  <c r="F6423" i="1"/>
  <c r="E6423" i="1"/>
  <c r="D6423" i="1"/>
  <c r="C6423" i="1"/>
  <c r="B6423" i="1"/>
  <c r="A6423" i="1"/>
  <c r="S6422" i="1"/>
  <c r="O6422" i="1"/>
  <c r="K6422" i="1"/>
  <c r="J6422" i="1"/>
  <c r="I6422" i="1"/>
  <c r="H6422" i="1"/>
  <c r="G6422" i="1"/>
  <c r="F6422" i="1"/>
  <c r="E6422" i="1"/>
  <c r="D6422" i="1"/>
  <c r="C6422" i="1"/>
  <c r="B6422" i="1"/>
  <c r="A6422" i="1"/>
  <c r="R6421" i="1"/>
  <c r="J6421" i="1"/>
  <c r="I6421" i="1"/>
  <c r="G6421" i="1"/>
  <c r="F6421" i="1"/>
  <c r="E6421" i="1"/>
  <c r="D6421" i="1"/>
  <c r="C6421" i="1"/>
  <c r="B6421" i="1"/>
  <c r="A6421" i="1"/>
  <c r="S6420" i="1"/>
  <c r="O6420" i="1"/>
  <c r="K6420" i="1"/>
  <c r="J6420" i="1"/>
  <c r="I6420" i="1"/>
  <c r="H6420" i="1"/>
  <c r="G6420" i="1"/>
  <c r="F6420" i="1"/>
  <c r="E6420" i="1"/>
  <c r="D6420" i="1"/>
  <c r="C6420" i="1"/>
  <c r="B6420" i="1"/>
  <c r="A6420" i="1"/>
  <c r="R6419" i="1"/>
  <c r="J6419" i="1"/>
  <c r="I6419" i="1"/>
  <c r="G6419" i="1"/>
  <c r="F6419" i="1"/>
  <c r="E6419" i="1"/>
  <c r="D6419" i="1"/>
  <c r="C6419" i="1"/>
  <c r="B6419" i="1"/>
  <c r="A6419" i="1"/>
  <c r="S6418" i="1"/>
  <c r="O6418" i="1"/>
  <c r="K6418" i="1"/>
  <c r="J6418" i="1"/>
  <c r="I6418" i="1"/>
  <c r="H6418" i="1"/>
  <c r="G6418" i="1"/>
  <c r="F6418" i="1"/>
  <c r="E6418" i="1"/>
  <c r="D6418" i="1"/>
  <c r="C6418" i="1"/>
  <c r="B6418" i="1"/>
  <c r="A6418" i="1"/>
  <c r="R6417" i="1"/>
  <c r="J6417" i="1"/>
  <c r="I6417" i="1"/>
  <c r="G6417" i="1"/>
  <c r="F6417" i="1"/>
  <c r="E6417" i="1"/>
  <c r="D6417" i="1"/>
  <c r="C6417" i="1"/>
  <c r="B6417" i="1"/>
  <c r="A6417" i="1"/>
  <c r="S6416" i="1"/>
  <c r="O6416" i="1"/>
  <c r="K6416" i="1"/>
  <c r="J6416" i="1"/>
  <c r="I6416" i="1"/>
  <c r="H6416" i="1"/>
  <c r="G6416" i="1"/>
  <c r="F6416" i="1"/>
  <c r="E6416" i="1"/>
  <c r="D6416" i="1"/>
  <c r="C6416" i="1"/>
  <c r="B6416" i="1"/>
  <c r="A6416" i="1"/>
  <c r="R6415" i="1"/>
  <c r="J6415" i="1"/>
  <c r="I6415" i="1"/>
  <c r="G6415" i="1"/>
  <c r="F6415" i="1"/>
  <c r="E6415" i="1"/>
  <c r="D6415" i="1"/>
  <c r="C6415" i="1"/>
  <c r="B6415" i="1"/>
  <c r="A6415" i="1"/>
  <c r="R6414" i="1"/>
  <c r="J6414" i="1"/>
  <c r="I6414" i="1"/>
  <c r="G6414" i="1"/>
  <c r="F6414" i="1"/>
  <c r="E6414" i="1"/>
  <c r="D6414" i="1"/>
  <c r="C6414" i="1"/>
  <c r="B6414" i="1"/>
  <c r="A6414" i="1"/>
  <c r="S6413" i="1"/>
  <c r="O6413" i="1"/>
  <c r="K6413" i="1"/>
  <c r="J6413" i="1"/>
  <c r="I6413" i="1"/>
  <c r="H6413" i="1"/>
  <c r="G6413" i="1"/>
  <c r="F6413" i="1"/>
  <c r="E6413" i="1"/>
  <c r="D6413" i="1"/>
  <c r="C6413" i="1"/>
  <c r="B6413" i="1"/>
  <c r="A6413" i="1"/>
  <c r="R6412" i="1"/>
  <c r="J6412" i="1"/>
  <c r="I6412" i="1"/>
  <c r="G6412" i="1"/>
  <c r="F6412" i="1"/>
  <c r="E6412" i="1"/>
  <c r="D6412" i="1"/>
  <c r="C6412" i="1"/>
  <c r="B6412" i="1"/>
  <c r="A6412" i="1"/>
  <c r="R6411" i="1"/>
  <c r="J6411" i="1"/>
  <c r="I6411" i="1"/>
  <c r="G6411" i="1"/>
  <c r="F6411" i="1"/>
  <c r="E6411" i="1"/>
  <c r="D6411" i="1"/>
  <c r="C6411" i="1"/>
  <c r="B6411" i="1"/>
  <c r="A6411" i="1"/>
  <c r="S6410" i="1"/>
  <c r="O6410" i="1"/>
  <c r="K6410" i="1"/>
  <c r="J6410" i="1"/>
  <c r="I6410" i="1"/>
  <c r="H6410" i="1"/>
  <c r="G6410" i="1"/>
  <c r="F6410" i="1"/>
  <c r="E6410" i="1"/>
  <c r="D6410" i="1"/>
  <c r="C6410" i="1"/>
  <c r="B6410" i="1"/>
  <c r="A6410" i="1"/>
  <c r="R6409" i="1"/>
  <c r="J6409" i="1"/>
  <c r="I6409" i="1"/>
  <c r="G6409" i="1"/>
  <c r="F6409" i="1"/>
  <c r="E6409" i="1"/>
  <c r="D6409" i="1"/>
  <c r="C6409" i="1"/>
  <c r="B6409" i="1"/>
  <c r="A6409" i="1"/>
  <c r="S6408" i="1"/>
  <c r="O6408" i="1"/>
  <c r="K6408" i="1"/>
  <c r="J6408" i="1"/>
  <c r="I6408" i="1"/>
  <c r="H6408" i="1"/>
  <c r="G6408" i="1"/>
  <c r="F6408" i="1"/>
  <c r="E6408" i="1"/>
  <c r="D6408" i="1"/>
  <c r="C6408" i="1"/>
  <c r="B6408" i="1"/>
  <c r="A6408" i="1"/>
  <c r="R6407" i="1"/>
  <c r="J6407" i="1"/>
  <c r="I6407" i="1"/>
  <c r="G6407" i="1"/>
  <c r="F6407" i="1"/>
  <c r="E6407" i="1"/>
  <c r="D6407" i="1"/>
  <c r="C6407" i="1"/>
  <c r="B6407" i="1"/>
  <c r="A6407" i="1"/>
  <c r="S6406" i="1"/>
  <c r="O6406" i="1"/>
  <c r="K6406" i="1"/>
  <c r="J6406" i="1"/>
  <c r="I6406" i="1"/>
  <c r="H6406" i="1"/>
  <c r="G6406" i="1"/>
  <c r="F6406" i="1"/>
  <c r="E6406" i="1"/>
  <c r="D6406" i="1"/>
  <c r="C6406" i="1"/>
  <c r="B6406" i="1"/>
  <c r="A6406" i="1"/>
  <c r="R6405" i="1"/>
  <c r="J6405" i="1"/>
  <c r="I6405" i="1"/>
  <c r="G6405" i="1"/>
  <c r="F6405" i="1"/>
  <c r="E6405" i="1"/>
  <c r="D6405" i="1"/>
  <c r="C6405" i="1"/>
  <c r="B6405" i="1"/>
  <c r="A6405" i="1"/>
  <c r="R6404" i="1"/>
  <c r="J6404" i="1"/>
  <c r="I6404" i="1"/>
  <c r="G6404" i="1"/>
  <c r="F6404" i="1"/>
  <c r="E6404" i="1"/>
  <c r="D6404" i="1"/>
  <c r="C6404" i="1"/>
  <c r="B6404" i="1"/>
  <c r="A6404" i="1"/>
  <c r="S6403" i="1"/>
  <c r="O6403" i="1"/>
  <c r="K6403" i="1"/>
  <c r="J6403" i="1"/>
  <c r="I6403" i="1"/>
  <c r="H6403" i="1"/>
  <c r="G6403" i="1"/>
  <c r="F6403" i="1"/>
  <c r="E6403" i="1"/>
  <c r="D6403" i="1"/>
  <c r="C6403" i="1"/>
  <c r="B6403" i="1"/>
  <c r="A6403" i="1"/>
  <c r="R6402" i="1"/>
  <c r="J6402" i="1"/>
  <c r="I6402" i="1"/>
  <c r="G6402" i="1"/>
  <c r="F6402" i="1"/>
  <c r="E6402" i="1"/>
  <c r="D6402" i="1"/>
  <c r="C6402" i="1"/>
  <c r="B6402" i="1"/>
  <c r="A6402" i="1"/>
  <c r="S6401" i="1"/>
  <c r="O6401" i="1"/>
  <c r="K6401" i="1"/>
  <c r="J6401" i="1"/>
  <c r="I6401" i="1"/>
  <c r="H6401" i="1"/>
  <c r="G6401" i="1"/>
  <c r="F6401" i="1"/>
  <c r="E6401" i="1"/>
  <c r="D6401" i="1"/>
  <c r="C6401" i="1"/>
  <c r="B6401" i="1"/>
  <c r="A6401" i="1"/>
  <c r="R6400" i="1"/>
  <c r="J6400" i="1"/>
  <c r="I6400" i="1"/>
  <c r="G6400" i="1"/>
  <c r="F6400" i="1"/>
  <c r="E6400" i="1"/>
  <c r="D6400" i="1"/>
  <c r="C6400" i="1"/>
  <c r="B6400" i="1"/>
  <c r="A6400" i="1"/>
  <c r="S6399" i="1"/>
  <c r="O6399" i="1"/>
  <c r="K6399" i="1"/>
  <c r="J6399" i="1"/>
  <c r="I6399" i="1"/>
  <c r="H6399" i="1"/>
  <c r="G6399" i="1"/>
  <c r="F6399" i="1"/>
  <c r="E6399" i="1"/>
  <c r="D6399" i="1"/>
  <c r="C6399" i="1"/>
  <c r="B6399" i="1"/>
  <c r="A6399" i="1"/>
  <c r="R6398" i="1"/>
  <c r="J6398" i="1"/>
  <c r="I6398" i="1"/>
  <c r="G6398" i="1"/>
  <c r="F6398" i="1"/>
  <c r="E6398" i="1"/>
  <c r="D6398" i="1"/>
  <c r="C6398" i="1"/>
  <c r="B6398" i="1"/>
  <c r="A6398" i="1"/>
  <c r="R6397" i="1"/>
  <c r="J6397" i="1"/>
  <c r="I6397" i="1"/>
  <c r="G6397" i="1"/>
  <c r="F6397" i="1"/>
  <c r="E6397" i="1"/>
  <c r="D6397" i="1"/>
  <c r="C6397" i="1"/>
  <c r="B6397" i="1"/>
  <c r="A6397" i="1"/>
  <c r="S6396" i="1"/>
  <c r="O6396" i="1"/>
  <c r="K6396" i="1"/>
  <c r="J6396" i="1"/>
  <c r="I6396" i="1"/>
  <c r="H6396" i="1"/>
  <c r="G6396" i="1"/>
  <c r="F6396" i="1"/>
  <c r="E6396" i="1"/>
  <c r="D6396" i="1"/>
  <c r="C6396" i="1"/>
  <c r="B6396" i="1"/>
  <c r="A6396" i="1"/>
  <c r="R6395" i="1"/>
  <c r="J6395" i="1"/>
  <c r="I6395" i="1"/>
  <c r="G6395" i="1"/>
  <c r="F6395" i="1"/>
  <c r="E6395" i="1"/>
  <c r="D6395" i="1"/>
  <c r="C6395" i="1"/>
  <c r="B6395" i="1"/>
  <c r="A6395" i="1"/>
  <c r="S6394" i="1"/>
  <c r="O6394" i="1"/>
  <c r="K6394" i="1"/>
  <c r="J6394" i="1"/>
  <c r="I6394" i="1"/>
  <c r="H6394" i="1"/>
  <c r="G6394" i="1"/>
  <c r="F6394" i="1"/>
  <c r="E6394" i="1"/>
  <c r="D6394" i="1"/>
  <c r="C6394" i="1"/>
  <c r="B6394" i="1"/>
  <c r="A6394" i="1"/>
  <c r="R6393" i="1"/>
  <c r="J6393" i="1"/>
  <c r="I6393" i="1"/>
  <c r="G6393" i="1"/>
  <c r="F6393" i="1"/>
  <c r="E6393" i="1"/>
  <c r="D6393" i="1"/>
  <c r="C6393" i="1"/>
  <c r="B6393" i="1"/>
  <c r="A6393" i="1"/>
  <c r="S6392" i="1"/>
  <c r="O6392" i="1"/>
  <c r="K6392" i="1"/>
  <c r="J6392" i="1"/>
  <c r="I6392" i="1"/>
  <c r="H6392" i="1"/>
  <c r="G6392" i="1"/>
  <c r="F6392" i="1"/>
  <c r="E6392" i="1"/>
  <c r="D6392" i="1"/>
  <c r="C6392" i="1"/>
  <c r="B6392" i="1"/>
  <c r="A6392" i="1"/>
  <c r="R6391" i="1"/>
  <c r="J6391" i="1"/>
  <c r="I6391" i="1"/>
  <c r="G6391" i="1"/>
  <c r="F6391" i="1"/>
  <c r="E6391" i="1"/>
  <c r="D6391" i="1"/>
  <c r="C6391" i="1"/>
  <c r="B6391" i="1"/>
  <c r="A6391" i="1"/>
  <c r="S6390" i="1"/>
  <c r="O6390" i="1"/>
  <c r="K6390" i="1"/>
  <c r="J6390" i="1"/>
  <c r="I6390" i="1"/>
  <c r="H6390" i="1"/>
  <c r="G6390" i="1"/>
  <c r="F6390" i="1"/>
  <c r="E6390" i="1"/>
  <c r="D6390" i="1"/>
  <c r="C6390" i="1"/>
  <c r="B6390" i="1"/>
  <c r="A6390" i="1"/>
  <c r="R6389" i="1"/>
  <c r="J6389" i="1"/>
  <c r="I6389" i="1"/>
  <c r="G6389" i="1"/>
  <c r="F6389" i="1"/>
  <c r="E6389" i="1"/>
  <c r="D6389" i="1"/>
  <c r="C6389" i="1"/>
  <c r="B6389" i="1"/>
  <c r="A6389" i="1"/>
  <c r="S6388" i="1"/>
  <c r="O6388" i="1"/>
  <c r="K6388" i="1"/>
  <c r="J6388" i="1"/>
  <c r="I6388" i="1"/>
  <c r="H6388" i="1"/>
  <c r="G6388" i="1"/>
  <c r="F6388" i="1"/>
  <c r="E6388" i="1"/>
  <c r="D6388" i="1"/>
  <c r="C6388" i="1"/>
  <c r="B6388" i="1"/>
  <c r="A6388" i="1"/>
  <c r="R6387" i="1"/>
  <c r="J6387" i="1"/>
  <c r="I6387" i="1"/>
  <c r="G6387" i="1"/>
  <c r="F6387" i="1"/>
  <c r="E6387" i="1"/>
  <c r="D6387" i="1"/>
  <c r="C6387" i="1"/>
  <c r="B6387" i="1"/>
  <c r="A6387" i="1"/>
  <c r="S6386" i="1"/>
  <c r="O6386" i="1"/>
  <c r="K6386" i="1"/>
  <c r="J6386" i="1"/>
  <c r="I6386" i="1"/>
  <c r="H6386" i="1"/>
  <c r="G6386" i="1"/>
  <c r="F6386" i="1"/>
  <c r="E6386" i="1"/>
  <c r="D6386" i="1"/>
  <c r="C6386" i="1"/>
  <c r="B6386" i="1"/>
  <c r="A6386" i="1"/>
  <c r="R6385" i="1"/>
  <c r="J6385" i="1"/>
  <c r="I6385" i="1"/>
  <c r="G6385" i="1"/>
  <c r="F6385" i="1"/>
  <c r="E6385" i="1"/>
  <c r="D6385" i="1"/>
  <c r="C6385" i="1"/>
  <c r="B6385" i="1"/>
  <c r="A6385" i="1"/>
  <c r="S6384" i="1"/>
  <c r="O6384" i="1"/>
  <c r="K6384" i="1"/>
  <c r="J6384" i="1"/>
  <c r="I6384" i="1"/>
  <c r="H6384" i="1"/>
  <c r="G6384" i="1"/>
  <c r="F6384" i="1"/>
  <c r="E6384" i="1"/>
  <c r="D6384" i="1"/>
  <c r="C6384" i="1"/>
  <c r="B6384" i="1"/>
  <c r="A6384" i="1"/>
  <c r="R6383" i="1"/>
  <c r="J6383" i="1"/>
  <c r="I6383" i="1"/>
  <c r="G6383" i="1"/>
  <c r="F6383" i="1"/>
  <c r="E6383" i="1"/>
  <c r="D6383" i="1"/>
  <c r="C6383" i="1"/>
  <c r="B6383" i="1"/>
  <c r="A6383" i="1"/>
  <c r="S6382" i="1"/>
  <c r="O6382" i="1"/>
  <c r="K6382" i="1"/>
  <c r="J6382" i="1"/>
  <c r="I6382" i="1"/>
  <c r="H6382" i="1"/>
  <c r="G6382" i="1"/>
  <c r="F6382" i="1"/>
  <c r="E6382" i="1"/>
  <c r="D6382" i="1"/>
  <c r="C6382" i="1"/>
  <c r="B6382" i="1"/>
  <c r="A6382" i="1"/>
  <c r="R6381" i="1"/>
  <c r="J6381" i="1"/>
  <c r="I6381" i="1"/>
  <c r="G6381" i="1"/>
  <c r="F6381" i="1"/>
  <c r="E6381" i="1"/>
  <c r="D6381" i="1"/>
  <c r="C6381" i="1"/>
  <c r="B6381" i="1"/>
  <c r="A6381" i="1"/>
  <c r="R6380" i="1"/>
  <c r="J6380" i="1"/>
  <c r="I6380" i="1"/>
  <c r="G6380" i="1"/>
  <c r="F6380" i="1"/>
  <c r="E6380" i="1"/>
  <c r="D6380" i="1"/>
  <c r="C6380" i="1"/>
  <c r="B6380" i="1"/>
  <c r="A6380" i="1"/>
  <c r="R6379" i="1"/>
  <c r="J6379" i="1"/>
  <c r="I6379" i="1"/>
  <c r="G6379" i="1"/>
  <c r="F6379" i="1"/>
  <c r="E6379" i="1"/>
  <c r="D6379" i="1"/>
  <c r="C6379" i="1"/>
  <c r="B6379" i="1"/>
  <c r="A6379" i="1"/>
  <c r="S6378" i="1"/>
  <c r="O6378" i="1"/>
  <c r="K6378" i="1"/>
  <c r="J6378" i="1"/>
  <c r="I6378" i="1"/>
  <c r="H6378" i="1"/>
  <c r="G6378" i="1"/>
  <c r="F6378" i="1"/>
  <c r="E6378" i="1"/>
  <c r="D6378" i="1"/>
  <c r="C6378" i="1"/>
  <c r="B6378" i="1"/>
  <c r="A6378" i="1"/>
  <c r="R6377" i="1"/>
  <c r="J6377" i="1"/>
  <c r="I6377" i="1"/>
  <c r="G6377" i="1"/>
  <c r="F6377" i="1"/>
  <c r="E6377" i="1"/>
  <c r="D6377" i="1"/>
  <c r="C6377" i="1"/>
  <c r="B6377" i="1"/>
  <c r="A6377" i="1"/>
  <c r="S6376" i="1"/>
  <c r="O6376" i="1"/>
  <c r="K6376" i="1"/>
  <c r="J6376" i="1"/>
  <c r="I6376" i="1"/>
  <c r="H6376" i="1"/>
  <c r="G6376" i="1"/>
  <c r="F6376" i="1"/>
  <c r="E6376" i="1"/>
  <c r="D6376" i="1"/>
  <c r="C6376" i="1"/>
  <c r="B6376" i="1"/>
  <c r="A6376" i="1"/>
  <c r="R6375" i="1"/>
  <c r="J6375" i="1"/>
  <c r="I6375" i="1"/>
  <c r="G6375" i="1"/>
  <c r="F6375" i="1"/>
  <c r="E6375" i="1"/>
  <c r="D6375" i="1"/>
  <c r="C6375" i="1"/>
  <c r="B6375" i="1"/>
  <c r="A6375" i="1"/>
  <c r="R6374" i="1"/>
  <c r="J6374" i="1"/>
  <c r="I6374" i="1"/>
  <c r="G6374" i="1"/>
  <c r="F6374" i="1"/>
  <c r="E6374" i="1"/>
  <c r="D6374" i="1"/>
  <c r="C6374" i="1"/>
  <c r="B6374" i="1"/>
  <c r="A6374" i="1"/>
  <c r="S6373" i="1"/>
  <c r="O6373" i="1"/>
  <c r="K6373" i="1"/>
  <c r="J6373" i="1"/>
  <c r="I6373" i="1"/>
  <c r="H6373" i="1"/>
  <c r="G6373" i="1"/>
  <c r="F6373" i="1"/>
  <c r="E6373" i="1"/>
  <c r="D6373" i="1"/>
  <c r="C6373" i="1"/>
  <c r="B6373" i="1"/>
  <c r="A6373" i="1"/>
  <c r="R6372" i="1"/>
  <c r="J6372" i="1"/>
  <c r="I6372" i="1"/>
  <c r="G6372" i="1"/>
  <c r="F6372" i="1"/>
  <c r="E6372" i="1"/>
  <c r="D6372" i="1"/>
  <c r="C6372" i="1"/>
  <c r="B6372" i="1"/>
  <c r="A6372" i="1"/>
  <c r="S6371" i="1"/>
  <c r="O6371" i="1"/>
  <c r="K6371" i="1"/>
  <c r="J6371" i="1"/>
  <c r="I6371" i="1"/>
  <c r="H6371" i="1"/>
  <c r="G6371" i="1"/>
  <c r="F6371" i="1"/>
  <c r="E6371" i="1"/>
  <c r="D6371" i="1"/>
  <c r="C6371" i="1"/>
  <c r="B6371" i="1"/>
  <c r="A6371" i="1"/>
  <c r="R6370" i="1"/>
  <c r="J6370" i="1"/>
  <c r="I6370" i="1"/>
  <c r="G6370" i="1"/>
  <c r="F6370" i="1"/>
  <c r="E6370" i="1"/>
  <c r="D6370" i="1"/>
  <c r="C6370" i="1"/>
  <c r="B6370" i="1"/>
  <c r="A6370" i="1"/>
  <c r="S6369" i="1"/>
  <c r="O6369" i="1"/>
  <c r="K6369" i="1"/>
  <c r="J6369" i="1"/>
  <c r="I6369" i="1"/>
  <c r="H6369" i="1"/>
  <c r="G6369" i="1"/>
  <c r="F6369" i="1"/>
  <c r="E6369" i="1"/>
  <c r="D6369" i="1"/>
  <c r="C6369" i="1"/>
  <c r="B6369" i="1"/>
  <c r="A6369" i="1"/>
  <c r="R6368" i="1"/>
  <c r="J6368" i="1"/>
  <c r="I6368" i="1"/>
  <c r="G6368" i="1"/>
  <c r="F6368" i="1"/>
  <c r="E6368" i="1"/>
  <c r="D6368" i="1"/>
  <c r="C6368" i="1"/>
  <c r="B6368" i="1"/>
  <c r="A6368" i="1"/>
  <c r="R6367" i="1"/>
  <c r="J6367" i="1"/>
  <c r="I6367" i="1"/>
  <c r="G6367" i="1"/>
  <c r="F6367" i="1"/>
  <c r="E6367" i="1"/>
  <c r="D6367" i="1"/>
  <c r="C6367" i="1"/>
  <c r="B6367" i="1"/>
  <c r="A6367" i="1"/>
  <c r="S6366" i="1"/>
  <c r="O6366" i="1"/>
  <c r="K6366" i="1"/>
  <c r="J6366" i="1"/>
  <c r="I6366" i="1"/>
  <c r="H6366" i="1"/>
  <c r="G6366" i="1"/>
  <c r="F6366" i="1"/>
  <c r="E6366" i="1"/>
  <c r="D6366" i="1"/>
  <c r="C6366" i="1"/>
  <c r="B6366" i="1"/>
  <c r="A6366" i="1"/>
  <c r="R6365" i="1"/>
  <c r="J6365" i="1"/>
  <c r="I6365" i="1"/>
  <c r="G6365" i="1"/>
  <c r="F6365" i="1"/>
  <c r="E6365" i="1"/>
  <c r="D6365" i="1"/>
  <c r="C6365" i="1"/>
  <c r="B6365" i="1"/>
  <c r="A6365" i="1"/>
  <c r="S6364" i="1"/>
  <c r="O6364" i="1"/>
  <c r="K6364" i="1"/>
  <c r="J6364" i="1"/>
  <c r="I6364" i="1"/>
  <c r="H6364" i="1"/>
  <c r="G6364" i="1"/>
  <c r="F6364" i="1"/>
  <c r="E6364" i="1"/>
  <c r="D6364" i="1"/>
  <c r="C6364" i="1"/>
  <c r="B6364" i="1"/>
  <c r="A6364" i="1"/>
  <c r="R6363" i="1"/>
  <c r="J6363" i="1"/>
  <c r="I6363" i="1"/>
  <c r="G6363" i="1"/>
  <c r="F6363" i="1"/>
  <c r="E6363" i="1"/>
  <c r="D6363" i="1"/>
  <c r="C6363" i="1"/>
  <c r="B6363" i="1"/>
  <c r="A6363" i="1"/>
  <c r="S6362" i="1"/>
  <c r="O6362" i="1"/>
  <c r="K6362" i="1"/>
  <c r="J6362" i="1"/>
  <c r="I6362" i="1"/>
  <c r="H6362" i="1"/>
  <c r="G6362" i="1"/>
  <c r="F6362" i="1"/>
  <c r="E6362" i="1"/>
  <c r="D6362" i="1"/>
  <c r="C6362" i="1"/>
  <c r="B6362" i="1"/>
  <c r="A6362" i="1"/>
  <c r="R6361" i="1"/>
  <c r="J6361" i="1"/>
  <c r="I6361" i="1"/>
  <c r="G6361" i="1"/>
  <c r="F6361" i="1"/>
  <c r="E6361" i="1"/>
  <c r="D6361" i="1"/>
  <c r="C6361" i="1"/>
  <c r="B6361" i="1"/>
  <c r="A6361" i="1"/>
  <c r="S6360" i="1"/>
  <c r="O6360" i="1"/>
  <c r="K6360" i="1"/>
  <c r="J6360" i="1"/>
  <c r="I6360" i="1"/>
  <c r="H6360" i="1"/>
  <c r="G6360" i="1"/>
  <c r="F6360" i="1"/>
  <c r="E6360" i="1"/>
  <c r="D6360" i="1"/>
  <c r="C6360" i="1"/>
  <c r="B6360" i="1"/>
  <c r="A6360" i="1"/>
  <c r="R6359" i="1"/>
  <c r="J6359" i="1"/>
  <c r="I6359" i="1"/>
  <c r="G6359" i="1"/>
  <c r="F6359" i="1"/>
  <c r="E6359" i="1"/>
  <c r="D6359" i="1"/>
  <c r="C6359" i="1"/>
  <c r="B6359" i="1"/>
  <c r="A6359" i="1"/>
  <c r="S6358" i="1"/>
  <c r="O6358" i="1"/>
  <c r="K6358" i="1"/>
  <c r="J6358" i="1"/>
  <c r="I6358" i="1"/>
  <c r="H6358" i="1"/>
  <c r="G6358" i="1"/>
  <c r="F6358" i="1"/>
  <c r="E6358" i="1"/>
  <c r="D6358" i="1"/>
  <c r="C6358" i="1"/>
  <c r="B6358" i="1"/>
  <c r="A6358" i="1"/>
  <c r="R6357" i="1"/>
  <c r="J6357" i="1"/>
  <c r="I6357" i="1"/>
  <c r="G6357" i="1"/>
  <c r="F6357" i="1"/>
  <c r="E6357" i="1"/>
  <c r="D6357" i="1"/>
  <c r="C6357" i="1"/>
  <c r="B6357" i="1"/>
  <c r="A6357" i="1"/>
  <c r="S6356" i="1"/>
  <c r="O6356" i="1"/>
  <c r="K6356" i="1"/>
  <c r="J6356" i="1"/>
  <c r="I6356" i="1"/>
  <c r="H6356" i="1"/>
  <c r="G6356" i="1"/>
  <c r="F6356" i="1"/>
  <c r="E6356" i="1"/>
  <c r="D6356" i="1"/>
  <c r="C6356" i="1"/>
  <c r="B6356" i="1"/>
  <c r="A6356" i="1"/>
  <c r="R6355" i="1"/>
  <c r="J6355" i="1"/>
  <c r="I6355" i="1"/>
  <c r="G6355" i="1"/>
  <c r="F6355" i="1"/>
  <c r="E6355" i="1"/>
  <c r="D6355" i="1"/>
  <c r="C6355" i="1"/>
  <c r="B6355" i="1"/>
  <c r="A6355" i="1"/>
  <c r="R6354" i="1"/>
  <c r="J6354" i="1"/>
  <c r="I6354" i="1"/>
  <c r="G6354" i="1"/>
  <c r="F6354" i="1"/>
  <c r="E6354" i="1"/>
  <c r="D6354" i="1"/>
  <c r="C6354" i="1"/>
  <c r="B6354" i="1"/>
  <c r="A6354" i="1"/>
  <c r="S6353" i="1"/>
  <c r="O6353" i="1"/>
  <c r="K6353" i="1"/>
  <c r="J6353" i="1"/>
  <c r="I6353" i="1"/>
  <c r="H6353" i="1"/>
  <c r="G6353" i="1"/>
  <c r="F6353" i="1"/>
  <c r="E6353" i="1"/>
  <c r="D6353" i="1"/>
  <c r="C6353" i="1"/>
  <c r="B6353" i="1"/>
  <c r="A6353" i="1"/>
  <c r="R6352" i="1"/>
  <c r="J6352" i="1"/>
  <c r="I6352" i="1"/>
  <c r="G6352" i="1"/>
  <c r="F6352" i="1"/>
  <c r="E6352" i="1"/>
  <c r="D6352" i="1"/>
  <c r="C6352" i="1"/>
  <c r="B6352" i="1"/>
  <c r="A6352" i="1"/>
  <c r="S6351" i="1"/>
  <c r="O6351" i="1"/>
  <c r="K6351" i="1"/>
  <c r="J6351" i="1"/>
  <c r="I6351" i="1"/>
  <c r="H6351" i="1"/>
  <c r="G6351" i="1"/>
  <c r="F6351" i="1"/>
  <c r="E6351" i="1"/>
  <c r="D6351" i="1"/>
  <c r="C6351" i="1"/>
  <c r="B6351" i="1"/>
  <c r="A6351" i="1"/>
  <c r="R6350" i="1"/>
  <c r="J6350" i="1"/>
  <c r="I6350" i="1"/>
  <c r="G6350" i="1"/>
  <c r="F6350" i="1"/>
  <c r="E6350" i="1"/>
  <c r="D6350" i="1"/>
  <c r="C6350" i="1"/>
  <c r="B6350" i="1"/>
  <c r="A6350" i="1"/>
  <c r="S6349" i="1"/>
  <c r="O6349" i="1"/>
  <c r="K6349" i="1"/>
  <c r="J6349" i="1"/>
  <c r="I6349" i="1"/>
  <c r="H6349" i="1"/>
  <c r="G6349" i="1"/>
  <c r="F6349" i="1"/>
  <c r="E6349" i="1"/>
  <c r="D6349" i="1"/>
  <c r="C6349" i="1"/>
  <c r="B6349" i="1"/>
  <c r="A6349" i="1"/>
  <c r="R6348" i="1"/>
  <c r="J6348" i="1"/>
  <c r="I6348" i="1"/>
  <c r="G6348" i="1"/>
  <c r="F6348" i="1"/>
  <c r="E6348" i="1"/>
  <c r="D6348" i="1"/>
  <c r="C6348" i="1"/>
  <c r="B6348" i="1"/>
  <c r="A6348" i="1"/>
  <c r="S6347" i="1"/>
  <c r="O6347" i="1"/>
  <c r="K6347" i="1"/>
  <c r="J6347" i="1"/>
  <c r="I6347" i="1"/>
  <c r="H6347" i="1"/>
  <c r="G6347" i="1"/>
  <c r="F6347" i="1"/>
  <c r="E6347" i="1"/>
  <c r="D6347" i="1"/>
  <c r="C6347" i="1"/>
  <c r="B6347" i="1"/>
  <c r="A6347" i="1"/>
  <c r="R6346" i="1"/>
  <c r="J6346" i="1"/>
  <c r="I6346" i="1"/>
  <c r="G6346" i="1"/>
  <c r="F6346" i="1"/>
  <c r="E6346" i="1"/>
  <c r="D6346" i="1"/>
  <c r="C6346" i="1"/>
  <c r="B6346" i="1"/>
  <c r="A6346" i="1"/>
  <c r="S6345" i="1"/>
  <c r="O6345" i="1"/>
  <c r="K6345" i="1"/>
  <c r="J6345" i="1"/>
  <c r="I6345" i="1"/>
  <c r="H6345" i="1"/>
  <c r="G6345" i="1"/>
  <c r="F6345" i="1"/>
  <c r="E6345" i="1"/>
  <c r="D6345" i="1"/>
  <c r="C6345" i="1"/>
  <c r="B6345" i="1"/>
  <c r="A6345" i="1"/>
  <c r="R6344" i="1"/>
  <c r="J6344" i="1"/>
  <c r="I6344" i="1"/>
  <c r="G6344" i="1"/>
  <c r="F6344" i="1"/>
  <c r="E6344" i="1"/>
  <c r="D6344" i="1"/>
  <c r="C6344" i="1"/>
  <c r="B6344" i="1"/>
  <c r="A6344" i="1"/>
  <c r="S6343" i="1"/>
  <c r="O6343" i="1"/>
  <c r="K6343" i="1"/>
  <c r="J6343" i="1"/>
  <c r="I6343" i="1"/>
  <c r="H6343" i="1"/>
  <c r="G6343" i="1"/>
  <c r="F6343" i="1"/>
  <c r="E6343" i="1"/>
  <c r="D6343" i="1"/>
  <c r="C6343" i="1"/>
  <c r="B6343" i="1"/>
  <c r="A6343" i="1"/>
  <c r="R6342" i="1"/>
  <c r="J6342" i="1"/>
  <c r="I6342" i="1"/>
  <c r="G6342" i="1"/>
  <c r="F6342" i="1"/>
  <c r="E6342" i="1"/>
  <c r="D6342" i="1"/>
  <c r="C6342" i="1"/>
  <c r="B6342" i="1"/>
  <c r="A6342" i="1"/>
  <c r="S6341" i="1"/>
  <c r="O6341" i="1"/>
  <c r="K6341" i="1"/>
  <c r="J6341" i="1"/>
  <c r="I6341" i="1"/>
  <c r="H6341" i="1"/>
  <c r="G6341" i="1"/>
  <c r="F6341" i="1"/>
  <c r="E6341" i="1"/>
  <c r="D6341" i="1"/>
  <c r="C6341" i="1"/>
  <c r="B6341" i="1"/>
  <c r="A6341" i="1"/>
  <c r="R6340" i="1"/>
  <c r="J6340" i="1"/>
  <c r="I6340" i="1"/>
  <c r="G6340" i="1"/>
  <c r="F6340" i="1"/>
  <c r="E6340" i="1"/>
  <c r="D6340" i="1"/>
  <c r="C6340" i="1"/>
  <c r="B6340" i="1"/>
  <c r="A6340" i="1"/>
  <c r="R6339" i="1"/>
  <c r="J6339" i="1"/>
  <c r="I6339" i="1"/>
  <c r="G6339" i="1"/>
  <c r="F6339" i="1"/>
  <c r="E6339" i="1"/>
  <c r="D6339" i="1"/>
  <c r="C6339" i="1"/>
  <c r="B6339" i="1"/>
  <c r="A6339" i="1"/>
  <c r="S6338" i="1"/>
  <c r="O6338" i="1"/>
  <c r="K6338" i="1"/>
  <c r="J6338" i="1"/>
  <c r="I6338" i="1"/>
  <c r="H6338" i="1"/>
  <c r="G6338" i="1"/>
  <c r="F6338" i="1"/>
  <c r="E6338" i="1"/>
  <c r="D6338" i="1"/>
  <c r="C6338" i="1"/>
  <c r="B6338" i="1"/>
  <c r="A6338" i="1"/>
  <c r="R6337" i="1"/>
  <c r="J6337" i="1"/>
  <c r="I6337" i="1"/>
  <c r="G6337" i="1"/>
  <c r="F6337" i="1"/>
  <c r="E6337" i="1"/>
  <c r="D6337" i="1"/>
  <c r="C6337" i="1"/>
  <c r="B6337" i="1"/>
  <c r="A6337" i="1"/>
  <c r="S6336" i="1"/>
  <c r="O6336" i="1"/>
  <c r="K6336" i="1"/>
  <c r="J6336" i="1"/>
  <c r="I6336" i="1"/>
  <c r="H6336" i="1"/>
  <c r="G6336" i="1"/>
  <c r="F6336" i="1"/>
  <c r="E6336" i="1"/>
  <c r="D6336" i="1"/>
  <c r="C6336" i="1"/>
  <c r="B6336" i="1"/>
  <c r="A6336" i="1"/>
  <c r="R6335" i="1"/>
  <c r="J6335" i="1"/>
  <c r="I6335" i="1"/>
  <c r="G6335" i="1"/>
  <c r="F6335" i="1"/>
  <c r="E6335" i="1"/>
  <c r="D6335" i="1"/>
  <c r="C6335" i="1"/>
  <c r="B6335" i="1"/>
  <c r="A6335" i="1"/>
  <c r="R6334" i="1"/>
  <c r="J6334" i="1"/>
  <c r="I6334" i="1"/>
  <c r="G6334" i="1"/>
  <c r="F6334" i="1"/>
  <c r="E6334" i="1"/>
  <c r="D6334" i="1"/>
  <c r="C6334" i="1"/>
  <c r="B6334" i="1"/>
  <c r="A6334" i="1"/>
  <c r="S6333" i="1"/>
  <c r="O6333" i="1"/>
  <c r="K6333" i="1"/>
  <c r="J6333" i="1"/>
  <c r="I6333" i="1"/>
  <c r="H6333" i="1"/>
  <c r="G6333" i="1"/>
  <c r="F6333" i="1"/>
  <c r="E6333" i="1"/>
  <c r="D6333" i="1"/>
  <c r="C6333" i="1"/>
  <c r="B6333" i="1"/>
  <c r="A6333" i="1"/>
  <c r="R6332" i="1"/>
  <c r="J6332" i="1"/>
  <c r="I6332" i="1"/>
  <c r="G6332" i="1"/>
  <c r="F6332" i="1"/>
  <c r="E6332" i="1"/>
  <c r="D6332" i="1"/>
  <c r="C6332" i="1"/>
  <c r="B6332" i="1"/>
  <c r="A6332" i="1"/>
  <c r="S6331" i="1"/>
  <c r="O6331" i="1"/>
  <c r="K6331" i="1"/>
  <c r="J6331" i="1"/>
  <c r="I6331" i="1"/>
  <c r="H6331" i="1"/>
  <c r="G6331" i="1"/>
  <c r="F6331" i="1"/>
  <c r="E6331" i="1"/>
  <c r="D6331" i="1"/>
  <c r="C6331" i="1"/>
  <c r="B6331" i="1"/>
  <c r="A6331" i="1"/>
  <c r="R6330" i="1"/>
  <c r="J6330" i="1"/>
  <c r="I6330" i="1"/>
  <c r="G6330" i="1"/>
  <c r="F6330" i="1"/>
  <c r="E6330" i="1"/>
  <c r="D6330" i="1"/>
  <c r="C6330" i="1"/>
  <c r="B6330" i="1"/>
  <c r="A6330" i="1"/>
  <c r="S6329" i="1"/>
  <c r="O6329" i="1"/>
  <c r="K6329" i="1"/>
  <c r="J6329" i="1"/>
  <c r="I6329" i="1"/>
  <c r="H6329" i="1"/>
  <c r="G6329" i="1"/>
  <c r="F6329" i="1"/>
  <c r="E6329" i="1"/>
  <c r="D6329" i="1"/>
  <c r="C6329" i="1"/>
  <c r="B6329" i="1"/>
  <c r="A6329" i="1"/>
  <c r="R6328" i="1"/>
  <c r="J6328" i="1"/>
  <c r="I6328" i="1"/>
  <c r="G6328" i="1"/>
  <c r="F6328" i="1"/>
  <c r="E6328" i="1"/>
  <c r="D6328" i="1"/>
  <c r="C6328" i="1"/>
  <c r="B6328" i="1"/>
  <c r="A6328" i="1"/>
  <c r="S6327" i="1"/>
  <c r="O6327" i="1"/>
  <c r="K6327" i="1"/>
  <c r="J6327" i="1"/>
  <c r="I6327" i="1"/>
  <c r="H6327" i="1"/>
  <c r="G6327" i="1"/>
  <c r="F6327" i="1"/>
  <c r="E6327" i="1"/>
  <c r="D6327" i="1"/>
  <c r="C6327" i="1"/>
  <c r="B6327" i="1"/>
  <c r="A6327" i="1"/>
  <c r="R6326" i="1"/>
  <c r="J6326" i="1"/>
  <c r="I6326" i="1"/>
  <c r="G6326" i="1"/>
  <c r="F6326" i="1"/>
  <c r="E6326" i="1"/>
  <c r="D6326" i="1"/>
  <c r="C6326" i="1"/>
  <c r="B6326" i="1"/>
  <c r="A6326" i="1"/>
  <c r="S6325" i="1"/>
  <c r="O6325" i="1"/>
  <c r="K6325" i="1"/>
  <c r="J6325" i="1"/>
  <c r="I6325" i="1"/>
  <c r="H6325" i="1"/>
  <c r="G6325" i="1"/>
  <c r="F6325" i="1"/>
  <c r="E6325" i="1"/>
  <c r="D6325" i="1"/>
  <c r="C6325" i="1"/>
  <c r="B6325" i="1"/>
  <c r="A6325" i="1"/>
  <c r="R6324" i="1"/>
  <c r="J6324" i="1"/>
  <c r="I6324" i="1"/>
  <c r="G6324" i="1"/>
  <c r="F6324" i="1"/>
  <c r="E6324" i="1"/>
  <c r="D6324" i="1"/>
  <c r="C6324" i="1"/>
  <c r="B6324" i="1"/>
  <c r="A6324" i="1"/>
  <c r="S6323" i="1"/>
  <c r="O6323" i="1"/>
  <c r="K6323" i="1"/>
  <c r="J6323" i="1"/>
  <c r="I6323" i="1"/>
  <c r="H6323" i="1"/>
  <c r="G6323" i="1"/>
  <c r="F6323" i="1"/>
  <c r="E6323" i="1"/>
  <c r="D6323" i="1"/>
  <c r="C6323" i="1"/>
  <c r="B6323" i="1"/>
  <c r="A6323" i="1"/>
  <c r="R6322" i="1"/>
  <c r="J6322" i="1"/>
  <c r="I6322" i="1"/>
  <c r="G6322" i="1"/>
  <c r="F6322" i="1"/>
  <c r="E6322" i="1"/>
  <c r="D6322" i="1"/>
  <c r="C6322" i="1"/>
  <c r="B6322" i="1"/>
  <c r="A6322" i="1"/>
  <c r="R6321" i="1"/>
  <c r="J6321" i="1"/>
  <c r="I6321" i="1"/>
  <c r="G6321" i="1"/>
  <c r="F6321" i="1"/>
  <c r="E6321" i="1"/>
  <c r="D6321" i="1"/>
  <c r="C6321" i="1"/>
  <c r="B6321" i="1"/>
  <c r="A6321" i="1"/>
  <c r="S6320" i="1"/>
  <c r="O6320" i="1"/>
  <c r="K6320" i="1"/>
  <c r="J6320" i="1"/>
  <c r="I6320" i="1"/>
  <c r="H6320" i="1"/>
  <c r="G6320" i="1"/>
  <c r="F6320" i="1"/>
  <c r="E6320" i="1"/>
  <c r="D6320" i="1"/>
  <c r="C6320" i="1"/>
  <c r="B6320" i="1"/>
  <c r="A6320" i="1"/>
  <c r="R6319" i="1"/>
  <c r="J6319" i="1"/>
  <c r="I6319" i="1"/>
  <c r="G6319" i="1"/>
  <c r="F6319" i="1"/>
  <c r="E6319" i="1"/>
  <c r="D6319" i="1"/>
  <c r="C6319" i="1"/>
  <c r="B6319" i="1"/>
  <c r="A6319" i="1"/>
  <c r="S6318" i="1"/>
  <c r="O6318" i="1"/>
  <c r="K6318" i="1"/>
  <c r="J6318" i="1"/>
  <c r="I6318" i="1"/>
  <c r="H6318" i="1"/>
  <c r="G6318" i="1"/>
  <c r="F6318" i="1"/>
  <c r="E6318" i="1"/>
  <c r="D6318" i="1"/>
  <c r="C6318" i="1"/>
  <c r="B6318" i="1"/>
  <c r="A6318" i="1"/>
  <c r="R6317" i="1"/>
  <c r="J6317" i="1"/>
  <c r="I6317" i="1"/>
  <c r="G6317" i="1"/>
  <c r="F6317" i="1"/>
  <c r="E6317" i="1"/>
  <c r="D6317" i="1"/>
  <c r="C6317" i="1"/>
  <c r="B6317" i="1"/>
  <c r="A6317" i="1"/>
  <c r="S6316" i="1"/>
  <c r="O6316" i="1"/>
  <c r="K6316" i="1"/>
  <c r="J6316" i="1"/>
  <c r="I6316" i="1"/>
  <c r="H6316" i="1"/>
  <c r="G6316" i="1"/>
  <c r="F6316" i="1"/>
  <c r="E6316" i="1"/>
  <c r="D6316" i="1"/>
  <c r="C6316" i="1"/>
  <c r="B6316" i="1"/>
  <c r="A6316" i="1"/>
  <c r="R6315" i="1"/>
  <c r="J6315" i="1"/>
  <c r="I6315" i="1"/>
  <c r="G6315" i="1"/>
  <c r="F6315" i="1"/>
  <c r="E6315" i="1"/>
  <c r="D6315" i="1"/>
  <c r="C6315" i="1"/>
  <c r="B6315" i="1"/>
  <c r="A6315" i="1"/>
  <c r="S6314" i="1"/>
  <c r="O6314" i="1"/>
  <c r="K6314" i="1"/>
  <c r="J6314" i="1"/>
  <c r="I6314" i="1"/>
  <c r="H6314" i="1"/>
  <c r="G6314" i="1"/>
  <c r="F6314" i="1"/>
  <c r="E6314" i="1"/>
  <c r="D6314" i="1"/>
  <c r="C6314" i="1"/>
  <c r="B6314" i="1"/>
  <c r="A6314" i="1"/>
  <c r="R6313" i="1"/>
  <c r="J6313" i="1"/>
  <c r="I6313" i="1"/>
  <c r="G6313" i="1"/>
  <c r="F6313" i="1"/>
  <c r="E6313" i="1"/>
  <c r="D6313" i="1"/>
  <c r="C6313" i="1"/>
  <c r="B6313" i="1"/>
  <c r="A6313" i="1"/>
  <c r="S6312" i="1"/>
  <c r="O6312" i="1"/>
  <c r="K6312" i="1"/>
  <c r="J6312" i="1"/>
  <c r="I6312" i="1"/>
  <c r="H6312" i="1"/>
  <c r="G6312" i="1"/>
  <c r="F6312" i="1"/>
  <c r="E6312" i="1"/>
  <c r="D6312" i="1"/>
  <c r="C6312" i="1"/>
  <c r="B6312" i="1"/>
  <c r="A6312" i="1"/>
  <c r="R6311" i="1"/>
  <c r="J6311" i="1"/>
  <c r="I6311" i="1"/>
  <c r="G6311" i="1"/>
  <c r="F6311" i="1"/>
  <c r="E6311" i="1"/>
  <c r="D6311" i="1"/>
  <c r="C6311" i="1"/>
  <c r="B6311" i="1"/>
  <c r="A6311" i="1"/>
  <c r="S6310" i="1"/>
  <c r="O6310" i="1"/>
  <c r="K6310" i="1"/>
  <c r="J6310" i="1"/>
  <c r="I6310" i="1"/>
  <c r="H6310" i="1"/>
  <c r="G6310" i="1"/>
  <c r="F6310" i="1"/>
  <c r="E6310" i="1"/>
  <c r="D6310" i="1"/>
  <c r="C6310" i="1"/>
  <c r="B6310" i="1"/>
  <c r="A6310" i="1"/>
  <c r="R6309" i="1"/>
  <c r="J6309" i="1"/>
  <c r="I6309" i="1"/>
  <c r="G6309" i="1"/>
  <c r="F6309" i="1"/>
  <c r="E6309" i="1"/>
  <c r="D6309" i="1"/>
  <c r="C6309" i="1"/>
  <c r="B6309" i="1"/>
  <c r="A6309" i="1"/>
  <c r="S6308" i="1"/>
  <c r="O6308" i="1"/>
  <c r="K6308" i="1"/>
  <c r="J6308" i="1"/>
  <c r="I6308" i="1"/>
  <c r="H6308" i="1"/>
  <c r="G6308" i="1"/>
  <c r="F6308" i="1"/>
  <c r="E6308" i="1"/>
  <c r="D6308" i="1"/>
  <c r="C6308" i="1"/>
  <c r="B6308" i="1"/>
  <c r="A6308" i="1"/>
  <c r="R6307" i="1"/>
  <c r="J6307" i="1"/>
  <c r="I6307" i="1"/>
  <c r="G6307" i="1"/>
  <c r="F6307" i="1"/>
  <c r="E6307" i="1"/>
  <c r="D6307" i="1"/>
  <c r="C6307" i="1"/>
  <c r="B6307" i="1"/>
  <c r="A6307" i="1"/>
  <c r="S6306" i="1"/>
  <c r="O6306" i="1"/>
  <c r="K6306" i="1"/>
  <c r="J6306" i="1"/>
  <c r="I6306" i="1"/>
  <c r="H6306" i="1"/>
  <c r="G6306" i="1"/>
  <c r="F6306" i="1"/>
  <c r="E6306" i="1"/>
  <c r="D6306" i="1"/>
  <c r="C6306" i="1"/>
  <c r="B6306" i="1"/>
  <c r="A6306" i="1"/>
  <c r="R6305" i="1"/>
  <c r="J6305" i="1"/>
  <c r="I6305" i="1"/>
  <c r="G6305" i="1"/>
  <c r="F6305" i="1"/>
  <c r="E6305" i="1"/>
  <c r="D6305" i="1"/>
  <c r="C6305" i="1"/>
  <c r="B6305" i="1"/>
  <c r="A6305" i="1"/>
  <c r="S6304" i="1"/>
  <c r="O6304" i="1"/>
  <c r="K6304" i="1"/>
  <c r="J6304" i="1"/>
  <c r="I6304" i="1"/>
  <c r="H6304" i="1"/>
  <c r="G6304" i="1"/>
  <c r="F6304" i="1"/>
  <c r="E6304" i="1"/>
  <c r="D6304" i="1"/>
  <c r="C6304" i="1"/>
  <c r="B6304" i="1"/>
  <c r="A6304" i="1"/>
  <c r="R6303" i="1"/>
  <c r="J6303" i="1"/>
  <c r="I6303" i="1"/>
  <c r="G6303" i="1"/>
  <c r="F6303" i="1"/>
  <c r="E6303" i="1"/>
  <c r="D6303" i="1"/>
  <c r="C6303" i="1"/>
  <c r="B6303" i="1"/>
  <c r="A6303" i="1"/>
  <c r="S6302" i="1"/>
  <c r="O6302" i="1"/>
  <c r="K6302" i="1"/>
  <c r="J6302" i="1"/>
  <c r="I6302" i="1"/>
  <c r="H6302" i="1"/>
  <c r="G6302" i="1"/>
  <c r="F6302" i="1"/>
  <c r="E6302" i="1"/>
  <c r="D6302" i="1"/>
  <c r="C6302" i="1"/>
  <c r="B6302" i="1"/>
  <c r="A6302" i="1"/>
  <c r="R6301" i="1"/>
  <c r="J6301" i="1"/>
  <c r="I6301" i="1"/>
  <c r="G6301" i="1"/>
  <c r="F6301" i="1"/>
  <c r="E6301" i="1"/>
  <c r="D6301" i="1"/>
  <c r="C6301" i="1"/>
  <c r="B6301" i="1"/>
  <c r="A6301" i="1"/>
  <c r="S6300" i="1"/>
  <c r="O6300" i="1"/>
  <c r="K6300" i="1"/>
  <c r="J6300" i="1"/>
  <c r="I6300" i="1"/>
  <c r="H6300" i="1"/>
  <c r="G6300" i="1"/>
  <c r="F6300" i="1"/>
  <c r="E6300" i="1"/>
  <c r="D6300" i="1"/>
  <c r="C6300" i="1"/>
  <c r="B6300" i="1"/>
  <c r="A6300" i="1"/>
  <c r="R6299" i="1"/>
  <c r="J6299" i="1"/>
  <c r="I6299" i="1"/>
  <c r="G6299" i="1"/>
  <c r="F6299" i="1"/>
  <c r="E6299" i="1"/>
  <c r="D6299" i="1"/>
  <c r="C6299" i="1"/>
  <c r="B6299" i="1"/>
  <c r="A6299" i="1"/>
  <c r="S6298" i="1"/>
  <c r="O6298" i="1"/>
  <c r="K6298" i="1"/>
  <c r="J6298" i="1"/>
  <c r="I6298" i="1"/>
  <c r="H6298" i="1"/>
  <c r="G6298" i="1"/>
  <c r="F6298" i="1"/>
  <c r="E6298" i="1"/>
  <c r="D6298" i="1"/>
  <c r="C6298" i="1"/>
  <c r="B6298" i="1"/>
  <c r="A6298" i="1"/>
  <c r="R6297" i="1"/>
  <c r="J6297" i="1"/>
  <c r="I6297" i="1"/>
  <c r="G6297" i="1"/>
  <c r="F6297" i="1"/>
  <c r="E6297" i="1"/>
  <c r="D6297" i="1"/>
  <c r="C6297" i="1"/>
  <c r="B6297" i="1"/>
  <c r="A6297" i="1"/>
  <c r="S6296" i="1"/>
  <c r="O6296" i="1"/>
  <c r="K6296" i="1"/>
  <c r="J6296" i="1"/>
  <c r="I6296" i="1"/>
  <c r="H6296" i="1"/>
  <c r="G6296" i="1"/>
  <c r="F6296" i="1"/>
  <c r="E6296" i="1"/>
  <c r="D6296" i="1"/>
  <c r="C6296" i="1"/>
  <c r="B6296" i="1"/>
  <c r="A6296" i="1"/>
  <c r="R6295" i="1"/>
  <c r="J6295" i="1"/>
  <c r="I6295" i="1"/>
  <c r="G6295" i="1"/>
  <c r="F6295" i="1"/>
  <c r="E6295" i="1"/>
  <c r="D6295" i="1"/>
  <c r="C6295" i="1"/>
  <c r="B6295" i="1"/>
  <c r="A6295" i="1"/>
  <c r="R6294" i="1"/>
  <c r="J6294" i="1"/>
  <c r="I6294" i="1"/>
  <c r="G6294" i="1"/>
  <c r="F6294" i="1"/>
  <c r="E6294" i="1"/>
  <c r="D6294" i="1"/>
  <c r="C6294" i="1"/>
  <c r="B6294" i="1"/>
  <c r="A6294" i="1"/>
  <c r="S6293" i="1"/>
  <c r="O6293" i="1"/>
  <c r="K6293" i="1"/>
  <c r="J6293" i="1"/>
  <c r="I6293" i="1"/>
  <c r="H6293" i="1"/>
  <c r="G6293" i="1"/>
  <c r="F6293" i="1"/>
  <c r="E6293" i="1"/>
  <c r="D6293" i="1"/>
  <c r="C6293" i="1"/>
  <c r="B6293" i="1"/>
  <c r="A6293" i="1"/>
  <c r="R6292" i="1"/>
  <c r="J6292" i="1"/>
  <c r="I6292" i="1"/>
  <c r="G6292" i="1"/>
  <c r="F6292" i="1"/>
  <c r="E6292" i="1"/>
  <c r="D6292" i="1"/>
  <c r="C6292" i="1"/>
  <c r="B6292" i="1"/>
  <c r="A6292" i="1"/>
  <c r="S6291" i="1"/>
  <c r="O6291" i="1"/>
  <c r="K6291" i="1"/>
  <c r="J6291" i="1"/>
  <c r="I6291" i="1"/>
  <c r="H6291" i="1"/>
  <c r="G6291" i="1"/>
  <c r="F6291" i="1"/>
  <c r="E6291" i="1"/>
  <c r="D6291" i="1"/>
  <c r="C6291" i="1"/>
  <c r="B6291" i="1"/>
  <c r="A6291" i="1"/>
  <c r="R6290" i="1"/>
  <c r="J6290" i="1"/>
  <c r="I6290" i="1"/>
  <c r="G6290" i="1"/>
  <c r="F6290" i="1"/>
  <c r="E6290" i="1"/>
  <c r="D6290" i="1"/>
  <c r="C6290" i="1"/>
  <c r="B6290" i="1"/>
  <c r="A6290" i="1"/>
  <c r="S6289" i="1"/>
  <c r="O6289" i="1"/>
  <c r="K6289" i="1"/>
  <c r="J6289" i="1"/>
  <c r="I6289" i="1"/>
  <c r="H6289" i="1"/>
  <c r="G6289" i="1"/>
  <c r="F6289" i="1"/>
  <c r="E6289" i="1"/>
  <c r="D6289" i="1"/>
  <c r="C6289" i="1"/>
  <c r="B6289" i="1"/>
  <c r="A6289" i="1"/>
  <c r="R6288" i="1"/>
  <c r="J6288" i="1"/>
  <c r="I6288" i="1"/>
  <c r="G6288" i="1"/>
  <c r="F6288" i="1"/>
  <c r="E6288" i="1"/>
  <c r="D6288" i="1"/>
  <c r="C6288" i="1"/>
  <c r="B6288" i="1"/>
  <c r="A6288" i="1"/>
  <c r="S6287" i="1"/>
  <c r="O6287" i="1"/>
  <c r="K6287" i="1"/>
  <c r="J6287" i="1"/>
  <c r="I6287" i="1"/>
  <c r="H6287" i="1"/>
  <c r="G6287" i="1"/>
  <c r="F6287" i="1"/>
  <c r="E6287" i="1"/>
  <c r="D6287" i="1"/>
  <c r="C6287" i="1"/>
  <c r="B6287" i="1"/>
  <c r="A6287" i="1"/>
  <c r="R6286" i="1"/>
  <c r="J6286" i="1"/>
  <c r="I6286" i="1"/>
  <c r="G6286" i="1"/>
  <c r="F6286" i="1"/>
  <c r="E6286" i="1"/>
  <c r="D6286" i="1"/>
  <c r="C6286" i="1"/>
  <c r="B6286" i="1"/>
  <c r="A6286" i="1"/>
  <c r="S6285" i="1"/>
  <c r="O6285" i="1"/>
  <c r="K6285" i="1"/>
  <c r="J6285" i="1"/>
  <c r="I6285" i="1"/>
  <c r="H6285" i="1"/>
  <c r="G6285" i="1"/>
  <c r="F6285" i="1"/>
  <c r="E6285" i="1"/>
  <c r="D6285" i="1"/>
  <c r="C6285" i="1"/>
  <c r="B6285" i="1"/>
  <c r="A6285" i="1"/>
  <c r="R6284" i="1"/>
  <c r="J6284" i="1"/>
  <c r="I6284" i="1"/>
  <c r="G6284" i="1"/>
  <c r="F6284" i="1"/>
  <c r="E6284" i="1"/>
  <c r="D6284" i="1"/>
  <c r="C6284" i="1"/>
  <c r="B6284" i="1"/>
  <c r="A6284" i="1"/>
  <c r="R6283" i="1"/>
  <c r="J6283" i="1"/>
  <c r="I6283" i="1"/>
  <c r="G6283" i="1"/>
  <c r="F6283" i="1"/>
  <c r="E6283" i="1"/>
  <c r="D6283" i="1"/>
  <c r="C6283" i="1"/>
  <c r="B6283" i="1"/>
  <c r="A6283" i="1"/>
  <c r="S6282" i="1"/>
  <c r="O6282" i="1"/>
  <c r="K6282" i="1"/>
  <c r="J6282" i="1"/>
  <c r="I6282" i="1"/>
  <c r="H6282" i="1"/>
  <c r="G6282" i="1"/>
  <c r="F6282" i="1"/>
  <c r="E6282" i="1"/>
  <c r="D6282" i="1"/>
  <c r="C6282" i="1"/>
  <c r="B6282" i="1"/>
  <c r="A6282" i="1"/>
  <c r="R6281" i="1"/>
  <c r="J6281" i="1"/>
  <c r="I6281" i="1"/>
  <c r="G6281" i="1"/>
  <c r="F6281" i="1"/>
  <c r="E6281" i="1"/>
  <c r="D6281" i="1"/>
  <c r="C6281" i="1"/>
  <c r="B6281" i="1"/>
  <c r="A6281" i="1"/>
  <c r="R6280" i="1"/>
  <c r="J6280" i="1"/>
  <c r="I6280" i="1"/>
  <c r="G6280" i="1"/>
  <c r="F6280" i="1"/>
  <c r="E6280" i="1"/>
  <c r="D6280" i="1"/>
  <c r="C6280" i="1"/>
  <c r="B6280" i="1"/>
  <c r="A6280" i="1"/>
  <c r="S6279" i="1"/>
  <c r="O6279" i="1"/>
  <c r="K6279" i="1"/>
  <c r="J6279" i="1"/>
  <c r="I6279" i="1"/>
  <c r="H6279" i="1"/>
  <c r="G6279" i="1"/>
  <c r="F6279" i="1"/>
  <c r="E6279" i="1"/>
  <c r="D6279" i="1"/>
  <c r="C6279" i="1"/>
  <c r="B6279" i="1"/>
  <c r="A6279" i="1"/>
  <c r="R6278" i="1"/>
  <c r="J6278" i="1"/>
  <c r="I6278" i="1"/>
  <c r="G6278" i="1"/>
  <c r="F6278" i="1"/>
  <c r="E6278" i="1"/>
  <c r="D6278" i="1"/>
  <c r="C6278" i="1"/>
  <c r="B6278" i="1"/>
  <c r="A6278" i="1"/>
  <c r="S6277" i="1"/>
  <c r="O6277" i="1"/>
  <c r="K6277" i="1"/>
  <c r="J6277" i="1"/>
  <c r="I6277" i="1"/>
  <c r="H6277" i="1"/>
  <c r="G6277" i="1"/>
  <c r="F6277" i="1"/>
  <c r="E6277" i="1"/>
  <c r="D6277" i="1"/>
  <c r="C6277" i="1"/>
  <c r="B6277" i="1"/>
  <c r="A6277" i="1"/>
  <c r="R6276" i="1"/>
  <c r="J6276" i="1"/>
  <c r="I6276" i="1"/>
  <c r="G6276" i="1"/>
  <c r="F6276" i="1"/>
  <c r="E6276" i="1"/>
  <c r="D6276" i="1"/>
  <c r="C6276" i="1"/>
  <c r="B6276" i="1"/>
  <c r="A6276" i="1"/>
  <c r="S6275" i="1"/>
  <c r="O6275" i="1"/>
  <c r="K6275" i="1"/>
  <c r="J6275" i="1"/>
  <c r="I6275" i="1"/>
  <c r="H6275" i="1"/>
  <c r="G6275" i="1"/>
  <c r="F6275" i="1"/>
  <c r="E6275" i="1"/>
  <c r="D6275" i="1"/>
  <c r="C6275" i="1"/>
  <c r="B6275" i="1"/>
  <c r="A6275" i="1"/>
  <c r="R6274" i="1"/>
  <c r="J6274" i="1"/>
  <c r="I6274" i="1"/>
  <c r="G6274" i="1"/>
  <c r="F6274" i="1"/>
  <c r="E6274" i="1"/>
  <c r="D6274" i="1"/>
  <c r="C6274" i="1"/>
  <c r="B6274" i="1"/>
  <c r="A6274" i="1"/>
  <c r="S6273" i="1"/>
  <c r="O6273" i="1"/>
  <c r="K6273" i="1"/>
  <c r="J6273" i="1"/>
  <c r="I6273" i="1"/>
  <c r="H6273" i="1"/>
  <c r="G6273" i="1"/>
  <c r="F6273" i="1"/>
  <c r="E6273" i="1"/>
  <c r="D6273" i="1"/>
  <c r="C6273" i="1"/>
  <c r="B6273" i="1"/>
  <c r="A6273" i="1"/>
  <c r="R6272" i="1"/>
  <c r="J6272" i="1"/>
  <c r="I6272" i="1"/>
  <c r="G6272" i="1"/>
  <c r="F6272" i="1"/>
  <c r="E6272" i="1"/>
  <c r="D6272" i="1"/>
  <c r="C6272" i="1"/>
  <c r="B6272" i="1"/>
  <c r="A6272" i="1"/>
  <c r="R6271" i="1"/>
  <c r="J6271" i="1"/>
  <c r="I6271" i="1"/>
  <c r="G6271" i="1"/>
  <c r="F6271" i="1"/>
  <c r="E6271" i="1"/>
  <c r="D6271" i="1"/>
  <c r="C6271" i="1"/>
  <c r="B6271" i="1"/>
  <c r="A6271" i="1"/>
  <c r="S6270" i="1"/>
  <c r="O6270" i="1"/>
  <c r="K6270" i="1"/>
  <c r="J6270" i="1"/>
  <c r="I6270" i="1"/>
  <c r="H6270" i="1"/>
  <c r="G6270" i="1"/>
  <c r="F6270" i="1"/>
  <c r="E6270" i="1"/>
  <c r="D6270" i="1"/>
  <c r="C6270" i="1"/>
  <c r="B6270" i="1"/>
  <c r="A6270" i="1"/>
  <c r="R6269" i="1"/>
  <c r="J6269" i="1"/>
  <c r="I6269" i="1"/>
  <c r="G6269" i="1"/>
  <c r="F6269" i="1"/>
  <c r="E6269" i="1"/>
  <c r="D6269" i="1"/>
  <c r="C6269" i="1"/>
  <c r="B6269" i="1"/>
  <c r="A6269" i="1"/>
  <c r="R6268" i="1"/>
  <c r="J6268" i="1"/>
  <c r="I6268" i="1"/>
  <c r="G6268" i="1"/>
  <c r="F6268" i="1"/>
  <c r="E6268" i="1"/>
  <c r="D6268" i="1"/>
  <c r="C6268" i="1"/>
  <c r="B6268" i="1"/>
  <c r="A6268" i="1"/>
  <c r="R6267" i="1"/>
  <c r="J6267" i="1"/>
  <c r="I6267" i="1"/>
  <c r="G6267" i="1"/>
  <c r="F6267" i="1"/>
  <c r="E6267" i="1"/>
  <c r="D6267" i="1"/>
  <c r="C6267" i="1"/>
  <c r="B6267" i="1"/>
  <c r="A6267" i="1"/>
  <c r="S6266" i="1"/>
  <c r="O6266" i="1"/>
  <c r="K6266" i="1"/>
  <c r="J6266" i="1"/>
  <c r="I6266" i="1"/>
  <c r="H6266" i="1"/>
  <c r="G6266" i="1"/>
  <c r="F6266" i="1"/>
  <c r="E6266" i="1"/>
  <c r="D6266" i="1"/>
  <c r="C6266" i="1"/>
  <c r="B6266" i="1"/>
  <c r="A6266" i="1"/>
  <c r="R6265" i="1"/>
  <c r="J6265" i="1"/>
  <c r="I6265" i="1"/>
  <c r="G6265" i="1"/>
  <c r="F6265" i="1"/>
  <c r="E6265" i="1"/>
  <c r="D6265" i="1"/>
  <c r="C6265" i="1"/>
  <c r="B6265" i="1"/>
  <c r="A6265" i="1"/>
  <c r="S6264" i="1"/>
  <c r="O6264" i="1"/>
  <c r="K6264" i="1"/>
  <c r="J6264" i="1"/>
  <c r="I6264" i="1"/>
  <c r="H6264" i="1"/>
  <c r="G6264" i="1"/>
  <c r="F6264" i="1"/>
  <c r="E6264" i="1"/>
  <c r="D6264" i="1"/>
  <c r="C6264" i="1"/>
  <c r="B6264" i="1"/>
  <c r="A6264" i="1"/>
  <c r="R6263" i="1"/>
  <c r="J6263" i="1"/>
  <c r="I6263" i="1"/>
  <c r="G6263" i="1"/>
  <c r="F6263" i="1"/>
  <c r="E6263" i="1"/>
  <c r="D6263" i="1"/>
  <c r="C6263" i="1"/>
  <c r="B6263" i="1"/>
  <c r="A6263" i="1"/>
  <c r="S6262" i="1"/>
  <c r="O6262" i="1"/>
  <c r="K6262" i="1"/>
  <c r="J6262" i="1"/>
  <c r="I6262" i="1"/>
  <c r="H6262" i="1"/>
  <c r="G6262" i="1"/>
  <c r="F6262" i="1"/>
  <c r="E6262" i="1"/>
  <c r="D6262" i="1"/>
  <c r="C6262" i="1"/>
  <c r="B6262" i="1"/>
  <c r="A6262" i="1"/>
  <c r="R6261" i="1"/>
  <c r="J6261" i="1"/>
  <c r="I6261" i="1"/>
  <c r="G6261" i="1"/>
  <c r="F6261" i="1"/>
  <c r="E6261" i="1"/>
  <c r="D6261" i="1"/>
  <c r="C6261" i="1"/>
  <c r="B6261" i="1"/>
  <c r="A6261" i="1"/>
  <c r="S6260" i="1"/>
  <c r="O6260" i="1"/>
  <c r="K6260" i="1"/>
  <c r="J6260" i="1"/>
  <c r="I6260" i="1"/>
  <c r="H6260" i="1"/>
  <c r="G6260" i="1"/>
  <c r="F6260" i="1"/>
  <c r="E6260" i="1"/>
  <c r="D6260" i="1"/>
  <c r="C6260" i="1"/>
  <c r="B6260" i="1"/>
  <c r="A6260" i="1"/>
  <c r="R6259" i="1"/>
  <c r="J6259" i="1"/>
  <c r="I6259" i="1"/>
  <c r="G6259" i="1"/>
  <c r="F6259" i="1"/>
  <c r="E6259" i="1"/>
  <c r="D6259" i="1"/>
  <c r="C6259" i="1"/>
  <c r="B6259" i="1"/>
  <c r="A6259" i="1"/>
  <c r="S6258" i="1"/>
  <c r="O6258" i="1"/>
  <c r="K6258" i="1"/>
  <c r="J6258" i="1"/>
  <c r="I6258" i="1"/>
  <c r="H6258" i="1"/>
  <c r="G6258" i="1"/>
  <c r="F6258" i="1"/>
  <c r="E6258" i="1"/>
  <c r="D6258" i="1"/>
  <c r="C6258" i="1"/>
  <c r="B6258" i="1"/>
  <c r="A6258" i="1"/>
  <c r="R6257" i="1"/>
  <c r="J6257" i="1"/>
  <c r="I6257" i="1"/>
  <c r="G6257" i="1"/>
  <c r="F6257" i="1"/>
  <c r="E6257" i="1"/>
  <c r="D6257" i="1"/>
  <c r="C6257" i="1"/>
  <c r="B6257" i="1"/>
  <c r="A6257" i="1"/>
  <c r="S6256" i="1"/>
  <c r="O6256" i="1"/>
  <c r="K6256" i="1"/>
  <c r="J6256" i="1"/>
  <c r="I6256" i="1"/>
  <c r="H6256" i="1"/>
  <c r="G6256" i="1"/>
  <c r="F6256" i="1"/>
  <c r="E6256" i="1"/>
  <c r="D6256" i="1"/>
  <c r="C6256" i="1"/>
  <c r="B6256" i="1"/>
  <c r="A6256" i="1"/>
  <c r="R6255" i="1"/>
  <c r="J6255" i="1"/>
  <c r="I6255" i="1"/>
  <c r="G6255" i="1"/>
  <c r="F6255" i="1"/>
  <c r="E6255" i="1"/>
  <c r="D6255" i="1"/>
  <c r="C6255" i="1"/>
  <c r="B6255" i="1"/>
  <c r="A6255" i="1"/>
  <c r="S6254" i="1"/>
  <c r="O6254" i="1"/>
  <c r="K6254" i="1"/>
  <c r="J6254" i="1"/>
  <c r="I6254" i="1"/>
  <c r="H6254" i="1"/>
  <c r="G6254" i="1"/>
  <c r="F6254" i="1"/>
  <c r="E6254" i="1"/>
  <c r="D6254" i="1"/>
  <c r="C6254" i="1"/>
  <c r="B6254" i="1"/>
  <c r="A6254" i="1"/>
  <c r="R6253" i="1"/>
  <c r="J6253" i="1"/>
  <c r="I6253" i="1"/>
  <c r="G6253" i="1"/>
  <c r="F6253" i="1"/>
  <c r="E6253" i="1"/>
  <c r="D6253" i="1"/>
  <c r="C6253" i="1"/>
  <c r="B6253" i="1"/>
  <c r="A6253" i="1"/>
  <c r="R6252" i="1"/>
  <c r="J6252" i="1"/>
  <c r="I6252" i="1"/>
  <c r="G6252" i="1"/>
  <c r="F6252" i="1"/>
  <c r="E6252" i="1"/>
  <c r="D6252" i="1"/>
  <c r="C6252" i="1"/>
  <c r="B6252" i="1"/>
  <c r="A6252" i="1"/>
  <c r="S6251" i="1"/>
  <c r="O6251" i="1"/>
  <c r="K6251" i="1"/>
  <c r="J6251" i="1"/>
  <c r="I6251" i="1"/>
  <c r="H6251" i="1"/>
  <c r="G6251" i="1"/>
  <c r="F6251" i="1"/>
  <c r="E6251" i="1"/>
  <c r="D6251" i="1"/>
  <c r="C6251" i="1"/>
  <c r="B6251" i="1"/>
  <c r="A6251" i="1"/>
  <c r="R6250" i="1"/>
  <c r="J6250" i="1"/>
  <c r="I6250" i="1"/>
  <c r="G6250" i="1"/>
  <c r="F6250" i="1"/>
  <c r="E6250" i="1"/>
  <c r="D6250" i="1"/>
  <c r="C6250" i="1"/>
  <c r="B6250" i="1"/>
  <c r="A6250" i="1"/>
  <c r="R6249" i="1"/>
  <c r="J6249" i="1"/>
  <c r="I6249" i="1"/>
  <c r="G6249" i="1"/>
  <c r="F6249" i="1"/>
  <c r="E6249" i="1"/>
  <c r="D6249" i="1"/>
  <c r="C6249" i="1"/>
  <c r="B6249" i="1"/>
  <c r="A6249" i="1"/>
  <c r="S6248" i="1"/>
  <c r="O6248" i="1"/>
  <c r="K6248" i="1"/>
  <c r="J6248" i="1"/>
  <c r="I6248" i="1"/>
  <c r="H6248" i="1"/>
  <c r="G6248" i="1"/>
  <c r="F6248" i="1"/>
  <c r="E6248" i="1"/>
  <c r="D6248" i="1"/>
  <c r="C6248" i="1"/>
  <c r="B6248" i="1"/>
  <c r="A6248" i="1"/>
  <c r="R6247" i="1"/>
  <c r="J6247" i="1"/>
  <c r="I6247" i="1"/>
  <c r="G6247" i="1"/>
  <c r="F6247" i="1"/>
  <c r="E6247" i="1"/>
  <c r="D6247" i="1"/>
  <c r="C6247" i="1"/>
  <c r="B6247" i="1"/>
  <c r="A6247" i="1"/>
  <c r="S6246" i="1"/>
  <c r="O6246" i="1"/>
  <c r="K6246" i="1"/>
  <c r="J6246" i="1"/>
  <c r="I6246" i="1"/>
  <c r="H6246" i="1"/>
  <c r="G6246" i="1"/>
  <c r="F6246" i="1"/>
  <c r="E6246" i="1"/>
  <c r="D6246" i="1"/>
  <c r="C6246" i="1"/>
  <c r="B6246" i="1"/>
  <c r="A6246" i="1"/>
  <c r="R6245" i="1"/>
  <c r="J6245" i="1"/>
  <c r="I6245" i="1"/>
  <c r="G6245" i="1"/>
  <c r="F6245" i="1"/>
  <c r="E6245" i="1"/>
  <c r="D6245" i="1"/>
  <c r="C6245" i="1"/>
  <c r="B6245" i="1"/>
  <c r="A6245" i="1"/>
  <c r="R6244" i="1"/>
  <c r="J6244" i="1"/>
  <c r="I6244" i="1"/>
  <c r="G6244" i="1"/>
  <c r="F6244" i="1"/>
  <c r="E6244" i="1"/>
  <c r="D6244" i="1"/>
  <c r="C6244" i="1"/>
  <c r="B6244" i="1"/>
  <c r="A6244" i="1"/>
  <c r="S6243" i="1"/>
  <c r="O6243" i="1"/>
  <c r="K6243" i="1"/>
  <c r="J6243" i="1"/>
  <c r="I6243" i="1"/>
  <c r="H6243" i="1"/>
  <c r="G6243" i="1"/>
  <c r="F6243" i="1"/>
  <c r="E6243" i="1"/>
  <c r="D6243" i="1"/>
  <c r="C6243" i="1"/>
  <c r="B6243" i="1"/>
  <c r="A6243" i="1"/>
  <c r="R6242" i="1"/>
  <c r="J6242" i="1"/>
  <c r="I6242" i="1"/>
  <c r="G6242" i="1"/>
  <c r="F6242" i="1"/>
  <c r="E6242" i="1"/>
  <c r="D6242" i="1"/>
  <c r="C6242" i="1"/>
  <c r="B6242" i="1"/>
  <c r="A6242" i="1"/>
  <c r="S6241" i="1"/>
  <c r="O6241" i="1"/>
  <c r="K6241" i="1"/>
  <c r="J6241" i="1"/>
  <c r="I6241" i="1"/>
  <c r="H6241" i="1"/>
  <c r="G6241" i="1"/>
  <c r="F6241" i="1"/>
  <c r="E6241" i="1"/>
  <c r="D6241" i="1"/>
  <c r="C6241" i="1"/>
  <c r="B6241" i="1"/>
  <c r="A6241" i="1"/>
  <c r="R6240" i="1"/>
  <c r="J6240" i="1"/>
  <c r="I6240" i="1"/>
  <c r="G6240" i="1"/>
  <c r="F6240" i="1"/>
  <c r="E6240" i="1"/>
  <c r="D6240" i="1"/>
  <c r="C6240" i="1"/>
  <c r="B6240" i="1"/>
  <c r="A6240" i="1"/>
  <c r="S6239" i="1"/>
  <c r="O6239" i="1"/>
  <c r="K6239" i="1"/>
  <c r="J6239" i="1"/>
  <c r="I6239" i="1"/>
  <c r="H6239" i="1"/>
  <c r="G6239" i="1"/>
  <c r="F6239" i="1"/>
  <c r="E6239" i="1"/>
  <c r="D6239" i="1"/>
  <c r="C6239" i="1"/>
  <c r="B6239" i="1"/>
  <c r="A6239" i="1"/>
  <c r="R6238" i="1"/>
  <c r="J6238" i="1"/>
  <c r="I6238" i="1"/>
  <c r="G6238" i="1"/>
  <c r="F6238" i="1"/>
  <c r="E6238" i="1"/>
  <c r="D6238" i="1"/>
  <c r="C6238" i="1"/>
  <c r="B6238" i="1"/>
  <c r="A6238" i="1"/>
  <c r="R6237" i="1"/>
  <c r="J6237" i="1"/>
  <c r="I6237" i="1"/>
  <c r="G6237" i="1"/>
  <c r="F6237" i="1"/>
  <c r="E6237" i="1"/>
  <c r="D6237" i="1"/>
  <c r="C6237" i="1"/>
  <c r="B6237" i="1"/>
  <c r="A6237" i="1"/>
  <c r="S6236" i="1"/>
  <c r="O6236" i="1"/>
  <c r="K6236" i="1"/>
  <c r="J6236" i="1"/>
  <c r="I6236" i="1"/>
  <c r="H6236" i="1"/>
  <c r="G6236" i="1"/>
  <c r="F6236" i="1"/>
  <c r="E6236" i="1"/>
  <c r="D6236" i="1"/>
  <c r="C6236" i="1"/>
  <c r="B6236" i="1"/>
  <c r="A6236" i="1"/>
  <c r="R6235" i="1"/>
  <c r="J6235" i="1"/>
  <c r="I6235" i="1"/>
  <c r="G6235" i="1"/>
  <c r="F6235" i="1"/>
  <c r="E6235" i="1"/>
  <c r="D6235" i="1"/>
  <c r="C6235" i="1"/>
  <c r="B6235" i="1"/>
  <c r="A6235" i="1"/>
  <c r="S6234" i="1"/>
  <c r="O6234" i="1"/>
  <c r="K6234" i="1"/>
  <c r="J6234" i="1"/>
  <c r="I6234" i="1"/>
  <c r="H6234" i="1"/>
  <c r="G6234" i="1"/>
  <c r="F6234" i="1"/>
  <c r="E6234" i="1"/>
  <c r="D6234" i="1"/>
  <c r="C6234" i="1"/>
  <c r="B6234" i="1"/>
  <c r="A6234" i="1"/>
  <c r="R6233" i="1"/>
  <c r="J6233" i="1"/>
  <c r="I6233" i="1"/>
  <c r="G6233" i="1"/>
  <c r="F6233" i="1"/>
  <c r="E6233" i="1"/>
  <c r="D6233" i="1"/>
  <c r="C6233" i="1"/>
  <c r="B6233" i="1"/>
  <c r="A6233" i="1"/>
  <c r="S6232" i="1"/>
  <c r="O6232" i="1"/>
  <c r="K6232" i="1"/>
  <c r="J6232" i="1"/>
  <c r="I6232" i="1"/>
  <c r="H6232" i="1"/>
  <c r="G6232" i="1"/>
  <c r="F6232" i="1"/>
  <c r="E6232" i="1"/>
  <c r="D6232" i="1"/>
  <c r="C6232" i="1"/>
  <c r="B6232" i="1"/>
  <c r="A6232" i="1"/>
  <c r="R6231" i="1"/>
  <c r="J6231" i="1"/>
  <c r="I6231" i="1"/>
  <c r="G6231" i="1"/>
  <c r="F6231" i="1"/>
  <c r="E6231" i="1"/>
  <c r="D6231" i="1"/>
  <c r="C6231" i="1"/>
  <c r="B6231" i="1"/>
  <c r="A6231" i="1"/>
  <c r="S6230" i="1"/>
  <c r="O6230" i="1"/>
  <c r="K6230" i="1"/>
  <c r="J6230" i="1"/>
  <c r="I6230" i="1"/>
  <c r="H6230" i="1"/>
  <c r="G6230" i="1"/>
  <c r="F6230" i="1"/>
  <c r="E6230" i="1"/>
  <c r="D6230" i="1"/>
  <c r="C6230" i="1"/>
  <c r="B6230" i="1"/>
  <c r="A6230" i="1"/>
  <c r="R6229" i="1"/>
  <c r="J6229" i="1"/>
  <c r="I6229" i="1"/>
  <c r="G6229" i="1"/>
  <c r="F6229" i="1"/>
  <c r="E6229" i="1"/>
  <c r="D6229" i="1"/>
  <c r="C6229" i="1"/>
  <c r="B6229" i="1"/>
  <c r="A6229" i="1"/>
  <c r="S6228" i="1"/>
  <c r="O6228" i="1"/>
  <c r="K6228" i="1"/>
  <c r="J6228" i="1"/>
  <c r="I6228" i="1"/>
  <c r="H6228" i="1"/>
  <c r="G6228" i="1"/>
  <c r="F6228" i="1"/>
  <c r="E6228" i="1"/>
  <c r="D6228" i="1"/>
  <c r="C6228" i="1"/>
  <c r="B6228" i="1"/>
  <c r="A6228" i="1"/>
  <c r="R6227" i="1"/>
  <c r="J6227" i="1"/>
  <c r="I6227" i="1"/>
  <c r="G6227" i="1"/>
  <c r="F6227" i="1"/>
  <c r="E6227" i="1"/>
  <c r="D6227" i="1"/>
  <c r="C6227" i="1"/>
  <c r="B6227" i="1"/>
  <c r="A6227" i="1"/>
  <c r="S6226" i="1"/>
  <c r="O6226" i="1"/>
  <c r="K6226" i="1"/>
  <c r="J6226" i="1"/>
  <c r="I6226" i="1"/>
  <c r="H6226" i="1"/>
  <c r="G6226" i="1"/>
  <c r="F6226" i="1"/>
  <c r="E6226" i="1"/>
  <c r="D6226" i="1"/>
  <c r="C6226" i="1"/>
  <c r="B6226" i="1"/>
  <c r="A6226" i="1"/>
  <c r="R6225" i="1"/>
  <c r="J6225" i="1"/>
  <c r="I6225" i="1"/>
  <c r="G6225" i="1"/>
  <c r="F6225" i="1"/>
  <c r="E6225" i="1"/>
  <c r="D6225" i="1"/>
  <c r="C6225" i="1"/>
  <c r="B6225" i="1"/>
  <c r="A6225" i="1"/>
  <c r="S6224" i="1"/>
  <c r="O6224" i="1"/>
  <c r="K6224" i="1"/>
  <c r="J6224" i="1"/>
  <c r="I6224" i="1"/>
  <c r="H6224" i="1"/>
  <c r="G6224" i="1"/>
  <c r="F6224" i="1"/>
  <c r="E6224" i="1"/>
  <c r="D6224" i="1"/>
  <c r="C6224" i="1"/>
  <c r="B6224" i="1"/>
  <c r="A6224" i="1"/>
  <c r="R6223" i="1"/>
  <c r="J6223" i="1"/>
  <c r="I6223" i="1"/>
  <c r="G6223" i="1"/>
  <c r="F6223" i="1"/>
  <c r="E6223" i="1"/>
  <c r="D6223" i="1"/>
  <c r="C6223" i="1"/>
  <c r="B6223" i="1"/>
  <c r="A6223" i="1"/>
  <c r="S6222" i="1"/>
  <c r="O6222" i="1"/>
  <c r="K6222" i="1"/>
  <c r="J6222" i="1"/>
  <c r="I6222" i="1"/>
  <c r="H6222" i="1"/>
  <c r="G6222" i="1"/>
  <c r="F6222" i="1"/>
  <c r="E6222" i="1"/>
  <c r="D6222" i="1"/>
  <c r="C6222" i="1"/>
  <c r="B6222" i="1"/>
  <c r="A6222" i="1"/>
  <c r="R6221" i="1"/>
  <c r="J6221" i="1"/>
  <c r="I6221" i="1"/>
  <c r="G6221" i="1"/>
  <c r="F6221" i="1"/>
  <c r="E6221" i="1"/>
  <c r="D6221" i="1"/>
  <c r="C6221" i="1"/>
  <c r="B6221" i="1"/>
  <c r="A6221" i="1"/>
  <c r="S6220" i="1"/>
  <c r="O6220" i="1"/>
  <c r="K6220" i="1"/>
  <c r="J6220" i="1"/>
  <c r="I6220" i="1"/>
  <c r="H6220" i="1"/>
  <c r="G6220" i="1"/>
  <c r="F6220" i="1"/>
  <c r="E6220" i="1"/>
  <c r="D6220" i="1"/>
  <c r="C6220" i="1"/>
  <c r="B6220" i="1"/>
  <c r="A6220" i="1"/>
  <c r="R6219" i="1"/>
  <c r="J6219" i="1"/>
  <c r="I6219" i="1"/>
  <c r="G6219" i="1"/>
  <c r="F6219" i="1"/>
  <c r="E6219" i="1"/>
  <c r="D6219" i="1"/>
  <c r="C6219" i="1"/>
  <c r="B6219" i="1"/>
  <c r="A6219" i="1"/>
  <c r="S6218" i="1"/>
  <c r="O6218" i="1"/>
  <c r="K6218" i="1"/>
  <c r="J6218" i="1"/>
  <c r="I6218" i="1"/>
  <c r="H6218" i="1"/>
  <c r="G6218" i="1"/>
  <c r="F6218" i="1"/>
  <c r="E6218" i="1"/>
  <c r="D6218" i="1"/>
  <c r="C6218" i="1"/>
  <c r="B6218" i="1"/>
  <c r="A6218" i="1"/>
  <c r="R6217" i="1"/>
  <c r="J6217" i="1"/>
  <c r="I6217" i="1"/>
  <c r="G6217" i="1"/>
  <c r="F6217" i="1"/>
  <c r="E6217" i="1"/>
  <c r="D6217" i="1"/>
  <c r="C6217" i="1"/>
  <c r="B6217" i="1"/>
  <c r="A6217" i="1"/>
  <c r="R6216" i="1"/>
  <c r="J6216" i="1"/>
  <c r="I6216" i="1"/>
  <c r="G6216" i="1"/>
  <c r="F6216" i="1"/>
  <c r="E6216" i="1"/>
  <c r="D6216" i="1"/>
  <c r="C6216" i="1"/>
  <c r="B6216" i="1"/>
  <c r="A6216" i="1"/>
  <c r="S6215" i="1"/>
  <c r="O6215" i="1"/>
  <c r="K6215" i="1"/>
  <c r="J6215" i="1"/>
  <c r="I6215" i="1"/>
  <c r="H6215" i="1"/>
  <c r="G6215" i="1"/>
  <c r="F6215" i="1"/>
  <c r="E6215" i="1"/>
  <c r="D6215" i="1"/>
  <c r="C6215" i="1"/>
  <c r="B6215" i="1"/>
  <c r="A6215" i="1"/>
  <c r="R6214" i="1"/>
  <c r="J6214" i="1"/>
  <c r="I6214" i="1"/>
  <c r="G6214" i="1"/>
  <c r="F6214" i="1"/>
  <c r="E6214" i="1"/>
  <c r="D6214" i="1"/>
  <c r="C6214" i="1"/>
  <c r="B6214" i="1"/>
  <c r="A6214" i="1"/>
  <c r="S6213" i="1"/>
  <c r="O6213" i="1"/>
  <c r="K6213" i="1"/>
  <c r="J6213" i="1"/>
  <c r="I6213" i="1"/>
  <c r="H6213" i="1"/>
  <c r="G6213" i="1"/>
  <c r="F6213" i="1"/>
  <c r="E6213" i="1"/>
  <c r="D6213" i="1"/>
  <c r="C6213" i="1"/>
  <c r="B6213" i="1"/>
  <c r="A6213" i="1"/>
  <c r="R6212" i="1"/>
  <c r="J6212" i="1"/>
  <c r="I6212" i="1"/>
  <c r="G6212" i="1"/>
  <c r="F6212" i="1"/>
  <c r="E6212" i="1"/>
  <c r="D6212" i="1"/>
  <c r="C6212" i="1"/>
  <c r="B6212" i="1"/>
  <c r="A6212" i="1"/>
  <c r="S6211" i="1"/>
  <c r="O6211" i="1"/>
  <c r="K6211" i="1"/>
  <c r="J6211" i="1"/>
  <c r="I6211" i="1"/>
  <c r="H6211" i="1"/>
  <c r="G6211" i="1"/>
  <c r="F6211" i="1"/>
  <c r="E6211" i="1"/>
  <c r="D6211" i="1"/>
  <c r="C6211" i="1"/>
  <c r="B6211" i="1"/>
  <c r="A6211" i="1"/>
  <c r="R6210" i="1"/>
  <c r="J6210" i="1"/>
  <c r="I6210" i="1"/>
  <c r="G6210" i="1"/>
  <c r="F6210" i="1"/>
  <c r="E6210" i="1"/>
  <c r="D6210" i="1"/>
  <c r="C6210" i="1"/>
  <c r="B6210" i="1"/>
  <c r="A6210" i="1"/>
  <c r="S6209" i="1"/>
  <c r="O6209" i="1"/>
  <c r="K6209" i="1"/>
  <c r="J6209" i="1"/>
  <c r="I6209" i="1"/>
  <c r="H6209" i="1"/>
  <c r="G6209" i="1"/>
  <c r="F6209" i="1"/>
  <c r="E6209" i="1"/>
  <c r="D6209" i="1"/>
  <c r="C6209" i="1"/>
  <c r="B6209" i="1"/>
  <c r="A6209" i="1"/>
  <c r="R6208" i="1"/>
  <c r="J6208" i="1"/>
  <c r="I6208" i="1"/>
  <c r="G6208" i="1"/>
  <c r="F6208" i="1"/>
  <c r="E6208" i="1"/>
  <c r="D6208" i="1"/>
  <c r="C6208" i="1"/>
  <c r="B6208" i="1"/>
  <c r="A6208" i="1"/>
  <c r="S6207" i="1"/>
  <c r="O6207" i="1"/>
  <c r="K6207" i="1"/>
  <c r="J6207" i="1"/>
  <c r="I6207" i="1"/>
  <c r="H6207" i="1"/>
  <c r="G6207" i="1"/>
  <c r="F6207" i="1"/>
  <c r="E6207" i="1"/>
  <c r="D6207" i="1"/>
  <c r="C6207" i="1"/>
  <c r="B6207" i="1"/>
  <c r="A6207" i="1"/>
  <c r="R6206" i="1"/>
  <c r="J6206" i="1"/>
  <c r="I6206" i="1"/>
  <c r="G6206" i="1"/>
  <c r="F6206" i="1"/>
  <c r="E6206" i="1"/>
  <c r="D6206" i="1"/>
  <c r="C6206" i="1"/>
  <c r="B6206" i="1"/>
  <c r="A6206" i="1"/>
  <c r="S6205" i="1"/>
  <c r="O6205" i="1"/>
  <c r="K6205" i="1"/>
  <c r="J6205" i="1"/>
  <c r="I6205" i="1"/>
  <c r="H6205" i="1"/>
  <c r="G6205" i="1"/>
  <c r="F6205" i="1"/>
  <c r="E6205" i="1"/>
  <c r="D6205" i="1"/>
  <c r="C6205" i="1"/>
  <c r="B6205" i="1"/>
  <c r="A6205" i="1"/>
  <c r="R6204" i="1"/>
  <c r="J6204" i="1"/>
  <c r="I6204" i="1"/>
  <c r="G6204" i="1"/>
  <c r="F6204" i="1"/>
  <c r="E6204" i="1"/>
  <c r="D6204" i="1"/>
  <c r="C6204" i="1"/>
  <c r="B6204" i="1"/>
  <c r="A6204" i="1"/>
  <c r="S6203" i="1"/>
  <c r="O6203" i="1"/>
  <c r="K6203" i="1"/>
  <c r="J6203" i="1"/>
  <c r="I6203" i="1"/>
  <c r="H6203" i="1"/>
  <c r="G6203" i="1"/>
  <c r="F6203" i="1"/>
  <c r="E6203" i="1"/>
  <c r="D6203" i="1"/>
  <c r="C6203" i="1"/>
  <c r="B6203" i="1"/>
  <c r="A6203" i="1"/>
  <c r="R6202" i="1"/>
  <c r="J6202" i="1"/>
  <c r="I6202" i="1"/>
  <c r="G6202" i="1"/>
  <c r="F6202" i="1"/>
  <c r="E6202" i="1"/>
  <c r="D6202" i="1"/>
  <c r="C6202" i="1"/>
  <c r="B6202" i="1"/>
  <c r="A6202" i="1"/>
  <c r="S6201" i="1"/>
  <c r="O6201" i="1"/>
  <c r="K6201" i="1"/>
  <c r="J6201" i="1"/>
  <c r="I6201" i="1"/>
  <c r="H6201" i="1"/>
  <c r="G6201" i="1"/>
  <c r="F6201" i="1"/>
  <c r="E6201" i="1"/>
  <c r="D6201" i="1"/>
  <c r="C6201" i="1"/>
  <c r="B6201" i="1"/>
  <c r="A6201" i="1"/>
  <c r="R6200" i="1"/>
  <c r="J6200" i="1"/>
  <c r="I6200" i="1"/>
  <c r="G6200" i="1"/>
  <c r="F6200" i="1"/>
  <c r="E6200" i="1"/>
  <c r="D6200" i="1"/>
  <c r="C6200" i="1"/>
  <c r="B6200" i="1"/>
  <c r="A6200" i="1"/>
  <c r="R6199" i="1"/>
  <c r="J6199" i="1"/>
  <c r="I6199" i="1"/>
  <c r="G6199" i="1"/>
  <c r="F6199" i="1"/>
  <c r="E6199" i="1"/>
  <c r="D6199" i="1"/>
  <c r="C6199" i="1"/>
  <c r="B6199" i="1"/>
  <c r="A6199" i="1"/>
  <c r="R6198" i="1"/>
  <c r="J6198" i="1"/>
  <c r="I6198" i="1"/>
  <c r="G6198" i="1"/>
  <c r="F6198" i="1"/>
  <c r="E6198" i="1"/>
  <c r="D6198" i="1"/>
  <c r="C6198" i="1"/>
  <c r="B6198" i="1"/>
  <c r="A6198" i="1"/>
  <c r="R6197" i="1"/>
  <c r="J6197" i="1"/>
  <c r="I6197" i="1"/>
  <c r="G6197" i="1"/>
  <c r="F6197" i="1"/>
  <c r="E6197" i="1"/>
  <c r="D6197" i="1"/>
  <c r="C6197" i="1"/>
  <c r="B6197" i="1"/>
  <c r="A6197" i="1"/>
  <c r="R6196" i="1"/>
  <c r="J6196" i="1"/>
  <c r="I6196" i="1"/>
  <c r="G6196" i="1"/>
  <c r="F6196" i="1"/>
  <c r="E6196" i="1"/>
  <c r="D6196" i="1"/>
  <c r="C6196" i="1"/>
  <c r="B6196" i="1"/>
  <c r="A6196" i="1"/>
  <c r="R6195" i="1"/>
  <c r="J6195" i="1"/>
  <c r="I6195" i="1"/>
  <c r="G6195" i="1"/>
  <c r="F6195" i="1"/>
  <c r="E6195" i="1"/>
  <c r="D6195" i="1"/>
  <c r="C6195" i="1"/>
  <c r="B6195" i="1"/>
  <c r="A6195" i="1"/>
  <c r="R6194" i="1"/>
  <c r="J6194" i="1"/>
  <c r="I6194" i="1"/>
  <c r="G6194" i="1"/>
  <c r="F6194" i="1"/>
  <c r="E6194" i="1"/>
  <c r="D6194" i="1"/>
  <c r="C6194" i="1"/>
  <c r="B6194" i="1"/>
  <c r="A6194" i="1"/>
  <c r="R6193" i="1"/>
  <c r="J6193" i="1"/>
  <c r="I6193" i="1"/>
  <c r="G6193" i="1"/>
  <c r="F6193" i="1"/>
  <c r="E6193" i="1"/>
  <c r="D6193" i="1"/>
  <c r="C6193" i="1"/>
  <c r="B6193" i="1"/>
  <c r="A6193" i="1"/>
  <c r="R6192" i="1"/>
  <c r="J6192" i="1"/>
  <c r="I6192" i="1"/>
  <c r="G6192" i="1"/>
  <c r="F6192" i="1"/>
  <c r="E6192" i="1"/>
  <c r="D6192" i="1"/>
  <c r="C6192" i="1"/>
  <c r="B6192" i="1"/>
  <c r="A6192" i="1"/>
  <c r="R6191" i="1"/>
  <c r="J6191" i="1"/>
  <c r="I6191" i="1"/>
  <c r="G6191" i="1"/>
  <c r="F6191" i="1"/>
  <c r="E6191" i="1"/>
  <c r="D6191" i="1"/>
  <c r="C6191" i="1"/>
  <c r="B6191" i="1"/>
  <c r="A6191" i="1"/>
  <c r="S6190" i="1"/>
  <c r="O6190" i="1"/>
  <c r="K6190" i="1"/>
  <c r="J6190" i="1"/>
  <c r="I6190" i="1"/>
  <c r="H6190" i="1"/>
  <c r="G6190" i="1"/>
  <c r="F6190" i="1"/>
  <c r="E6190" i="1"/>
  <c r="D6190" i="1"/>
  <c r="C6190" i="1"/>
  <c r="B6190" i="1"/>
  <c r="A6190" i="1"/>
  <c r="R6189" i="1"/>
  <c r="J6189" i="1"/>
  <c r="I6189" i="1"/>
  <c r="G6189" i="1"/>
  <c r="F6189" i="1"/>
  <c r="E6189" i="1"/>
  <c r="D6189" i="1"/>
  <c r="C6189" i="1"/>
  <c r="B6189" i="1"/>
  <c r="A6189" i="1"/>
  <c r="R6188" i="1"/>
  <c r="J6188" i="1"/>
  <c r="I6188" i="1"/>
  <c r="G6188" i="1"/>
  <c r="F6188" i="1"/>
  <c r="E6188" i="1"/>
  <c r="D6188" i="1"/>
  <c r="C6188" i="1"/>
  <c r="B6188" i="1"/>
  <c r="A6188" i="1"/>
  <c r="R6187" i="1"/>
  <c r="J6187" i="1"/>
  <c r="I6187" i="1"/>
  <c r="G6187" i="1"/>
  <c r="F6187" i="1"/>
  <c r="E6187" i="1"/>
  <c r="D6187" i="1"/>
  <c r="C6187" i="1"/>
  <c r="B6187" i="1"/>
  <c r="A6187" i="1"/>
  <c r="R6186" i="1"/>
  <c r="J6186" i="1"/>
  <c r="I6186" i="1"/>
  <c r="G6186" i="1"/>
  <c r="F6186" i="1"/>
  <c r="E6186" i="1"/>
  <c r="D6186" i="1"/>
  <c r="C6186" i="1"/>
  <c r="B6186" i="1"/>
  <c r="A6186" i="1"/>
  <c r="R6185" i="1"/>
  <c r="J6185" i="1"/>
  <c r="I6185" i="1"/>
  <c r="G6185" i="1"/>
  <c r="F6185" i="1"/>
  <c r="E6185" i="1"/>
  <c r="D6185" i="1"/>
  <c r="C6185" i="1"/>
  <c r="B6185" i="1"/>
  <c r="A6185" i="1"/>
  <c r="R6184" i="1"/>
  <c r="J6184" i="1"/>
  <c r="I6184" i="1"/>
  <c r="G6184" i="1"/>
  <c r="F6184" i="1"/>
  <c r="E6184" i="1"/>
  <c r="D6184" i="1"/>
  <c r="C6184" i="1"/>
  <c r="B6184" i="1"/>
  <c r="A6184" i="1"/>
  <c r="R6183" i="1"/>
  <c r="J6183" i="1"/>
  <c r="I6183" i="1"/>
  <c r="G6183" i="1"/>
  <c r="F6183" i="1"/>
  <c r="E6183" i="1"/>
  <c r="D6183" i="1"/>
  <c r="C6183" i="1"/>
  <c r="B6183" i="1"/>
  <c r="A6183" i="1"/>
  <c r="R6182" i="1"/>
  <c r="J6182" i="1"/>
  <c r="I6182" i="1"/>
  <c r="G6182" i="1"/>
  <c r="F6182" i="1"/>
  <c r="E6182" i="1"/>
  <c r="D6182" i="1"/>
  <c r="C6182" i="1"/>
  <c r="B6182" i="1"/>
  <c r="A6182" i="1"/>
  <c r="R6181" i="1"/>
  <c r="J6181" i="1"/>
  <c r="I6181" i="1"/>
  <c r="G6181" i="1"/>
  <c r="F6181" i="1"/>
  <c r="E6181" i="1"/>
  <c r="D6181" i="1"/>
  <c r="C6181" i="1"/>
  <c r="B6181" i="1"/>
  <c r="A6181" i="1"/>
  <c r="R6180" i="1"/>
  <c r="J6180" i="1"/>
  <c r="I6180" i="1"/>
  <c r="G6180" i="1"/>
  <c r="F6180" i="1"/>
  <c r="E6180" i="1"/>
  <c r="D6180" i="1"/>
  <c r="C6180" i="1"/>
  <c r="B6180" i="1"/>
  <c r="A6180" i="1"/>
  <c r="R6179" i="1"/>
  <c r="J6179" i="1"/>
  <c r="I6179" i="1"/>
  <c r="G6179" i="1"/>
  <c r="F6179" i="1"/>
  <c r="E6179" i="1"/>
  <c r="D6179" i="1"/>
  <c r="C6179" i="1"/>
  <c r="B6179" i="1"/>
  <c r="A6179" i="1"/>
  <c r="R6178" i="1"/>
  <c r="J6178" i="1"/>
  <c r="I6178" i="1"/>
  <c r="G6178" i="1"/>
  <c r="F6178" i="1"/>
  <c r="E6178" i="1"/>
  <c r="D6178" i="1"/>
  <c r="C6178" i="1"/>
  <c r="B6178" i="1"/>
  <c r="A6178" i="1"/>
  <c r="R6177" i="1"/>
  <c r="J6177" i="1"/>
  <c r="I6177" i="1"/>
  <c r="G6177" i="1"/>
  <c r="F6177" i="1"/>
  <c r="E6177" i="1"/>
  <c r="D6177" i="1"/>
  <c r="C6177" i="1"/>
  <c r="B6177" i="1"/>
  <c r="A6177" i="1"/>
  <c r="R6176" i="1"/>
  <c r="J6176" i="1"/>
  <c r="I6176" i="1"/>
  <c r="G6176" i="1"/>
  <c r="F6176" i="1"/>
  <c r="E6176" i="1"/>
  <c r="D6176" i="1"/>
  <c r="C6176" i="1"/>
  <c r="B6176" i="1"/>
  <c r="A6176" i="1"/>
  <c r="R6175" i="1"/>
  <c r="J6175" i="1"/>
  <c r="I6175" i="1"/>
  <c r="G6175" i="1"/>
  <c r="F6175" i="1"/>
  <c r="E6175" i="1"/>
  <c r="D6175" i="1"/>
  <c r="C6175" i="1"/>
  <c r="B6175" i="1"/>
  <c r="A6175" i="1"/>
  <c r="R6174" i="1"/>
  <c r="J6174" i="1"/>
  <c r="I6174" i="1"/>
  <c r="G6174" i="1"/>
  <c r="F6174" i="1"/>
  <c r="E6174" i="1"/>
  <c r="D6174" i="1"/>
  <c r="C6174" i="1"/>
  <c r="B6174" i="1"/>
  <c r="A6174" i="1"/>
  <c r="R6173" i="1"/>
  <c r="J6173" i="1"/>
  <c r="I6173" i="1"/>
  <c r="G6173" i="1"/>
  <c r="F6173" i="1"/>
  <c r="E6173" i="1"/>
  <c r="D6173" i="1"/>
  <c r="C6173" i="1"/>
  <c r="B6173" i="1"/>
  <c r="A6173" i="1"/>
  <c r="R6172" i="1"/>
  <c r="J6172" i="1"/>
  <c r="I6172" i="1"/>
  <c r="G6172" i="1"/>
  <c r="F6172" i="1"/>
  <c r="E6172" i="1"/>
  <c r="D6172" i="1"/>
  <c r="C6172" i="1"/>
  <c r="B6172" i="1"/>
  <c r="A6172" i="1"/>
  <c r="R6171" i="1"/>
  <c r="J6171" i="1"/>
  <c r="I6171" i="1"/>
  <c r="G6171" i="1"/>
  <c r="F6171" i="1"/>
  <c r="E6171" i="1"/>
  <c r="D6171" i="1"/>
  <c r="C6171" i="1"/>
  <c r="B6171" i="1"/>
  <c r="A6171" i="1"/>
  <c r="R6170" i="1"/>
  <c r="J6170" i="1"/>
  <c r="I6170" i="1"/>
  <c r="G6170" i="1"/>
  <c r="F6170" i="1"/>
  <c r="E6170" i="1"/>
  <c r="D6170" i="1"/>
  <c r="C6170" i="1"/>
  <c r="B6170" i="1"/>
  <c r="A6170" i="1"/>
  <c r="R6169" i="1"/>
  <c r="J6169" i="1"/>
  <c r="I6169" i="1"/>
  <c r="G6169" i="1"/>
  <c r="F6169" i="1"/>
  <c r="E6169" i="1"/>
  <c r="D6169" i="1"/>
  <c r="C6169" i="1"/>
  <c r="B6169" i="1"/>
  <c r="A6169" i="1"/>
  <c r="R6168" i="1"/>
  <c r="J6168" i="1"/>
  <c r="I6168" i="1"/>
  <c r="G6168" i="1"/>
  <c r="F6168" i="1"/>
  <c r="E6168" i="1"/>
  <c r="D6168" i="1"/>
  <c r="C6168" i="1"/>
  <c r="B6168" i="1"/>
  <c r="A6168" i="1"/>
  <c r="R6167" i="1"/>
  <c r="J6167" i="1"/>
  <c r="I6167" i="1"/>
  <c r="G6167" i="1"/>
  <c r="F6167" i="1"/>
  <c r="E6167" i="1"/>
  <c r="D6167" i="1"/>
  <c r="C6167" i="1"/>
  <c r="B6167" i="1"/>
  <c r="A6167" i="1"/>
  <c r="R6166" i="1"/>
  <c r="J6166" i="1"/>
  <c r="I6166" i="1"/>
  <c r="G6166" i="1"/>
  <c r="F6166" i="1"/>
  <c r="E6166" i="1"/>
  <c r="D6166" i="1"/>
  <c r="C6166" i="1"/>
  <c r="B6166" i="1"/>
  <c r="A6166" i="1"/>
  <c r="R6165" i="1"/>
  <c r="J6165" i="1"/>
  <c r="I6165" i="1"/>
  <c r="G6165" i="1"/>
  <c r="F6165" i="1"/>
  <c r="E6165" i="1"/>
  <c r="D6165" i="1"/>
  <c r="C6165" i="1"/>
  <c r="B6165" i="1"/>
  <c r="A6165" i="1"/>
  <c r="R6164" i="1"/>
  <c r="J6164" i="1"/>
  <c r="I6164" i="1"/>
  <c r="G6164" i="1"/>
  <c r="F6164" i="1"/>
  <c r="E6164" i="1"/>
  <c r="D6164" i="1"/>
  <c r="C6164" i="1"/>
  <c r="B6164" i="1"/>
  <c r="A6164" i="1"/>
  <c r="R6163" i="1"/>
  <c r="J6163" i="1"/>
  <c r="I6163" i="1"/>
  <c r="G6163" i="1"/>
  <c r="F6163" i="1"/>
  <c r="E6163" i="1"/>
  <c r="D6163" i="1"/>
  <c r="C6163" i="1"/>
  <c r="B6163" i="1"/>
  <c r="A6163" i="1"/>
  <c r="R6162" i="1"/>
  <c r="J6162" i="1"/>
  <c r="I6162" i="1"/>
  <c r="G6162" i="1"/>
  <c r="F6162" i="1"/>
  <c r="E6162" i="1"/>
  <c r="D6162" i="1"/>
  <c r="C6162" i="1"/>
  <c r="B6162" i="1"/>
  <c r="A6162" i="1"/>
  <c r="R6161" i="1"/>
  <c r="J6161" i="1"/>
  <c r="I6161" i="1"/>
  <c r="G6161" i="1"/>
  <c r="F6161" i="1"/>
  <c r="E6161" i="1"/>
  <c r="D6161" i="1"/>
  <c r="C6161" i="1"/>
  <c r="B6161" i="1"/>
  <c r="A6161" i="1"/>
  <c r="R6160" i="1"/>
  <c r="J6160" i="1"/>
  <c r="I6160" i="1"/>
  <c r="G6160" i="1"/>
  <c r="F6160" i="1"/>
  <c r="E6160" i="1"/>
  <c r="D6160" i="1"/>
  <c r="C6160" i="1"/>
  <c r="B6160" i="1"/>
  <c r="A6160" i="1"/>
  <c r="R6159" i="1"/>
  <c r="J6159" i="1"/>
  <c r="I6159" i="1"/>
  <c r="G6159" i="1"/>
  <c r="F6159" i="1"/>
  <c r="E6159" i="1"/>
  <c r="D6159" i="1"/>
  <c r="C6159" i="1"/>
  <c r="B6159" i="1"/>
  <c r="A6159" i="1"/>
  <c r="R6158" i="1"/>
  <c r="J6158" i="1"/>
  <c r="I6158" i="1"/>
  <c r="G6158" i="1"/>
  <c r="F6158" i="1"/>
  <c r="E6158" i="1"/>
  <c r="D6158" i="1"/>
  <c r="C6158" i="1"/>
  <c r="B6158" i="1"/>
  <c r="A6158" i="1"/>
  <c r="R6157" i="1"/>
  <c r="J6157" i="1"/>
  <c r="I6157" i="1"/>
  <c r="G6157" i="1"/>
  <c r="F6157" i="1"/>
  <c r="E6157" i="1"/>
  <c r="D6157" i="1"/>
  <c r="C6157" i="1"/>
  <c r="B6157" i="1"/>
  <c r="A6157" i="1"/>
  <c r="R6156" i="1"/>
  <c r="J6156" i="1"/>
  <c r="I6156" i="1"/>
  <c r="G6156" i="1"/>
  <c r="F6156" i="1"/>
  <c r="E6156" i="1"/>
  <c r="D6156" i="1"/>
  <c r="C6156" i="1"/>
  <c r="B6156" i="1"/>
  <c r="A6156" i="1"/>
  <c r="R6155" i="1"/>
  <c r="J6155" i="1"/>
  <c r="I6155" i="1"/>
  <c r="G6155" i="1"/>
  <c r="F6155" i="1"/>
  <c r="E6155" i="1"/>
  <c r="D6155" i="1"/>
  <c r="C6155" i="1"/>
  <c r="B6155" i="1"/>
  <c r="A6155" i="1"/>
  <c r="R6154" i="1"/>
  <c r="J6154" i="1"/>
  <c r="I6154" i="1"/>
  <c r="G6154" i="1"/>
  <c r="F6154" i="1"/>
  <c r="E6154" i="1"/>
  <c r="D6154" i="1"/>
  <c r="C6154" i="1"/>
  <c r="B6154" i="1"/>
  <c r="A6154" i="1"/>
  <c r="R6153" i="1"/>
  <c r="J6153" i="1"/>
  <c r="I6153" i="1"/>
  <c r="G6153" i="1"/>
  <c r="F6153" i="1"/>
  <c r="E6153" i="1"/>
  <c r="D6153" i="1"/>
  <c r="C6153" i="1"/>
  <c r="B6153" i="1"/>
  <c r="A6153" i="1"/>
  <c r="R6152" i="1"/>
  <c r="J6152" i="1"/>
  <c r="I6152" i="1"/>
  <c r="G6152" i="1"/>
  <c r="F6152" i="1"/>
  <c r="E6152" i="1"/>
  <c r="D6152" i="1"/>
  <c r="C6152" i="1"/>
  <c r="B6152" i="1"/>
  <c r="A6152" i="1"/>
  <c r="R6151" i="1"/>
  <c r="J6151" i="1"/>
  <c r="I6151" i="1"/>
  <c r="G6151" i="1"/>
  <c r="F6151" i="1"/>
  <c r="E6151" i="1"/>
  <c r="D6151" i="1"/>
  <c r="C6151" i="1"/>
  <c r="B6151" i="1"/>
  <c r="A6151" i="1"/>
  <c r="R6150" i="1"/>
  <c r="J6150" i="1"/>
  <c r="I6150" i="1"/>
  <c r="G6150" i="1"/>
  <c r="F6150" i="1"/>
  <c r="E6150" i="1"/>
  <c r="D6150" i="1"/>
  <c r="C6150" i="1"/>
  <c r="B6150" i="1"/>
  <c r="A6150" i="1"/>
  <c r="R6149" i="1"/>
  <c r="J6149" i="1"/>
  <c r="I6149" i="1"/>
  <c r="G6149" i="1"/>
  <c r="F6149" i="1"/>
  <c r="E6149" i="1"/>
  <c r="D6149" i="1"/>
  <c r="C6149" i="1"/>
  <c r="B6149" i="1"/>
  <c r="A6149" i="1"/>
  <c r="R6148" i="1"/>
  <c r="J6148" i="1"/>
  <c r="I6148" i="1"/>
  <c r="G6148" i="1"/>
  <c r="F6148" i="1"/>
  <c r="E6148" i="1"/>
  <c r="D6148" i="1"/>
  <c r="C6148" i="1"/>
  <c r="B6148" i="1"/>
  <c r="A6148" i="1"/>
  <c r="R6147" i="1"/>
  <c r="J6147" i="1"/>
  <c r="I6147" i="1"/>
  <c r="G6147" i="1"/>
  <c r="F6147" i="1"/>
  <c r="E6147" i="1"/>
  <c r="D6147" i="1"/>
  <c r="C6147" i="1"/>
  <c r="B6147" i="1"/>
  <c r="A6147" i="1"/>
  <c r="R6146" i="1"/>
  <c r="J6146" i="1"/>
  <c r="I6146" i="1"/>
  <c r="G6146" i="1"/>
  <c r="F6146" i="1"/>
  <c r="E6146" i="1"/>
  <c r="D6146" i="1"/>
  <c r="C6146" i="1"/>
  <c r="B6146" i="1"/>
  <c r="A6146" i="1"/>
  <c r="R6145" i="1"/>
  <c r="J6145" i="1"/>
  <c r="I6145" i="1"/>
  <c r="G6145" i="1"/>
  <c r="F6145" i="1"/>
  <c r="E6145" i="1"/>
  <c r="D6145" i="1"/>
  <c r="C6145" i="1"/>
  <c r="B6145" i="1"/>
  <c r="A6145" i="1"/>
  <c r="R6144" i="1"/>
  <c r="J6144" i="1"/>
  <c r="I6144" i="1"/>
  <c r="G6144" i="1"/>
  <c r="F6144" i="1"/>
  <c r="E6144" i="1"/>
  <c r="D6144" i="1"/>
  <c r="C6144" i="1"/>
  <c r="B6144" i="1"/>
  <c r="A6144" i="1"/>
  <c r="R6143" i="1"/>
  <c r="J6143" i="1"/>
  <c r="I6143" i="1"/>
  <c r="G6143" i="1"/>
  <c r="F6143" i="1"/>
  <c r="E6143" i="1"/>
  <c r="D6143" i="1"/>
  <c r="C6143" i="1"/>
  <c r="B6143" i="1"/>
  <c r="A6143" i="1"/>
  <c r="S6142" i="1"/>
  <c r="O6142" i="1"/>
  <c r="K6142" i="1"/>
  <c r="J6142" i="1"/>
  <c r="I6142" i="1"/>
  <c r="H6142" i="1"/>
  <c r="G6142" i="1"/>
  <c r="F6142" i="1"/>
  <c r="E6142" i="1"/>
  <c r="D6142" i="1"/>
  <c r="C6142" i="1"/>
  <c r="B6142" i="1"/>
  <c r="A6142" i="1"/>
  <c r="R6141" i="1"/>
  <c r="J6141" i="1"/>
  <c r="I6141" i="1"/>
  <c r="G6141" i="1"/>
  <c r="F6141" i="1"/>
  <c r="E6141" i="1"/>
  <c r="D6141" i="1"/>
  <c r="C6141" i="1"/>
  <c r="B6141" i="1"/>
  <c r="A6141" i="1"/>
  <c r="R6140" i="1"/>
  <c r="J6140" i="1"/>
  <c r="I6140" i="1"/>
  <c r="G6140" i="1"/>
  <c r="F6140" i="1"/>
  <c r="E6140" i="1"/>
  <c r="D6140" i="1"/>
  <c r="C6140" i="1"/>
  <c r="B6140" i="1"/>
  <c r="A6140" i="1"/>
  <c r="R6139" i="1"/>
  <c r="J6139" i="1"/>
  <c r="I6139" i="1"/>
  <c r="G6139" i="1"/>
  <c r="F6139" i="1"/>
  <c r="E6139" i="1"/>
  <c r="D6139" i="1"/>
  <c r="C6139" i="1"/>
  <c r="B6139" i="1"/>
  <c r="A6139" i="1"/>
  <c r="R6138" i="1"/>
  <c r="J6138" i="1"/>
  <c r="I6138" i="1"/>
  <c r="G6138" i="1"/>
  <c r="F6138" i="1"/>
  <c r="E6138" i="1"/>
  <c r="D6138" i="1"/>
  <c r="C6138" i="1"/>
  <c r="B6138" i="1"/>
  <c r="A6138" i="1"/>
  <c r="R6137" i="1"/>
  <c r="J6137" i="1"/>
  <c r="I6137" i="1"/>
  <c r="G6137" i="1"/>
  <c r="F6137" i="1"/>
  <c r="E6137" i="1"/>
  <c r="D6137" i="1"/>
  <c r="C6137" i="1"/>
  <c r="B6137" i="1"/>
  <c r="A6137" i="1"/>
  <c r="R6136" i="1"/>
  <c r="J6136" i="1"/>
  <c r="I6136" i="1"/>
  <c r="G6136" i="1"/>
  <c r="F6136" i="1"/>
  <c r="E6136" i="1"/>
  <c r="D6136" i="1"/>
  <c r="C6136" i="1"/>
  <c r="B6136" i="1"/>
  <c r="A6136" i="1"/>
  <c r="R6135" i="1"/>
  <c r="J6135" i="1"/>
  <c r="I6135" i="1"/>
  <c r="G6135" i="1"/>
  <c r="F6135" i="1"/>
  <c r="E6135" i="1"/>
  <c r="D6135" i="1"/>
  <c r="C6135" i="1"/>
  <c r="B6135" i="1"/>
  <c r="A6135" i="1"/>
  <c r="R6134" i="1"/>
  <c r="J6134" i="1"/>
  <c r="I6134" i="1"/>
  <c r="G6134" i="1"/>
  <c r="F6134" i="1"/>
  <c r="E6134" i="1"/>
  <c r="D6134" i="1"/>
  <c r="C6134" i="1"/>
  <c r="B6134" i="1"/>
  <c r="A6134" i="1"/>
  <c r="R6133" i="1"/>
  <c r="J6133" i="1"/>
  <c r="I6133" i="1"/>
  <c r="G6133" i="1"/>
  <c r="F6133" i="1"/>
  <c r="E6133" i="1"/>
  <c r="D6133" i="1"/>
  <c r="C6133" i="1"/>
  <c r="B6133" i="1"/>
  <c r="A6133" i="1"/>
  <c r="R6132" i="1"/>
  <c r="J6132" i="1"/>
  <c r="I6132" i="1"/>
  <c r="G6132" i="1"/>
  <c r="F6132" i="1"/>
  <c r="E6132" i="1"/>
  <c r="D6132" i="1"/>
  <c r="C6132" i="1"/>
  <c r="B6132" i="1"/>
  <c r="A6132" i="1"/>
  <c r="R6131" i="1"/>
  <c r="J6131" i="1"/>
  <c r="I6131" i="1"/>
  <c r="G6131" i="1"/>
  <c r="F6131" i="1"/>
  <c r="E6131" i="1"/>
  <c r="D6131" i="1"/>
  <c r="C6131" i="1"/>
  <c r="B6131" i="1"/>
  <c r="A6131" i="1"/>
  <c r="R6130" i="1"/>
  <c r="J6130" i="1"/>
  <c r="I6130" i="1"/>
  <c r="G6130" i="1"/>
  <c r="F6130" i="1"/>
  <c r="E6130" i="1"/>
  <c r="D6130" i="1"/>
  <c r="C6130" i="1"/>
  <c r="B6130" i="1"/>
  <c r="A6130" i="1"/>
  <c r="S6129" i="1"/>
  <c r="O6129" i="1"/>
  <c r="K6129" i="1"/>
  <c r="J6129" i="1"/>
  <c r="I6129" i="1"/>
  <c r="H6129" i="1"/>
  <c r="G6129" i="1"/>
  <c r="F6129" i="1"/>
  <c r="E6129" i="1"/>
  <c r="D6129" i="1"/>
  <c r="C6129" i="1"/>
  <c r="B6129" i="1"/>
  <c r="A6129" i="1"/>
  <c r="R6128" i="1"/>
  <c r="J6128" i="1"/>
  <c r="I6128" i="1"/>
  <c r="G6128" i="1"/>
  <c r="F6128" i="1"/>
  <c r="E6128" i="1"/>
  <c r="D6128" i="1"/>
  <c r="C6128" i="1"/>
  <c r="B6128" i="1"/>
  <c r="A6128" i="1"/>
  <c r="R6127" i="1"/>
  <c r="J6127" i="1"/>
  <c r="I6127" i="1"/>
  <c r="G6127" i="1"/>
  <c r="F6127" i="1"/>
  <c r="E6127" i="1"/>
  <c r="D6127" i="1"/>
  <c r="C6127" i="1"/>
  <c r="B6127" i="1"/>
  <c r="A6127" i="1"/>
  <c r="R6126" i="1"/>
  <c r="J6126" i="1"/>
  <c r="I6126" i="1"/>
  <c r="G6126" i="1"/>
  <c r="F6126" i="1"/>
  <c r="E6126" i="1"/>
  <c r="D6126" i="1"/>
  <c r="C6126" i="1"/>
  <c r="B6126" i="1"/>
  <c r="A6126" i="1"/>
  <c r="R6125" i="1"/>
  <c r="J6125" i="1"/>
  <c r="I6125" i="1"/>
  <c r="G6125" i="1"/>
  <c r="F6125" i="1"/>
  <c r="E6125" i="1"/>
  <c r="D6125" i="1"/>
  <c r="C6125" i="1"/>
  <c r="B6125" i="1"/>
  <c r="A6125" i="1"/>
  <c r="S6124" i="1"/>
  <c r="O6124" i="1"/>
  <c r="K6124" i="1"/>
  <c r="J6124" i="1"/>
  <c r="I6124" i="1"/>
  <c r="H6124" i="1"/>
  <c r="G6124" i="1"/>
  <c r="F6124" i="1"/>
  <c r="E6124" i="1"/>
  <c r="D6124" i="1"/>
  <c r="C6124" i="1"/>
  <c r="B6124" i="1"/>
  <c r="A6124" i="1"/>
  <c r="R6123" i="1"/>
  <c r="J6123" i="1"/>
  <c r="I6123" i="1"/>
  <c r="G6123" i="1"/>
  <c r="F6123" i="1"/>
  <c r="E6123" i="1"/>
  <c r="D6123" i="1"/>
  <c r="C6123" i="1"/>
  <c r="B6123" i="1"/>
  <c r="A6123" i="1"/>
  <c r="S6122" i="1"/>
  <c r="O6122" i="1"/>
  <c r="K6122" i="1"/>
  <c r="J6122" i="1"/>
  <c r="I6122" i="1"/>
  <c r="H6122" i="1"/>
  <c r="G6122" i="1"/>
  <c r="F6122" i="1"/>
  <c r="E6122" i="1"/>
  <c r="D6122" i="1"/>
  <c r="C6122" i="1"/>
  <c r="B6122" i="1"/>
  <c r="A6122" i="1"/>
  <c r="S6121" i="1"/>
  <c r="O6121" i="1"/>
  <c r="K6121" i="1"/>
  <c r="J6121" i="1"/>
  <c r="I6121" i="1"/>
  <c r="H6121" i="1"/>
  <c r="G6121" i="1"/>
  <c r="F6121" i="1"/>
  <c r="D6121" i="1"/>
  <c r="C6121" i="1"/>
  <c r="B6121" i="1"/>
  <c r="A6121" i="1"/>
  <c r="S6120" i="1"/>
  <c r="O6120" i="1"/>
  <c r="K6120" i="1"/>
  <c r="J6120" i="1"/>
  <c r="I6120" i="1"/>
  <c r="H6120" i="1"/>
  <c r="G6120" i="1"/>
  <c r="F6120" i="1"/>
  <c r="D6120" i="1"/>
  <c r="C6120" i="1"/>
  <c r="B6120" i="1"/>
  <c r="A6120" i="1"/>
  <c r="R6119" i="1"/>
  <c r="J6119" i="1"/>
  <c r="I6119" i="1"/>
  <c r="G6119" i="1"/>
  <c r="F6119" i="1"/>
  <c r="E6119" i="1"/>
  <c r="D6119" i="1"/>
  <c r="C6119" i="1"/>
  <c r="B6119" i="1"/>
  <c r="A6119" i="1"/>
  <c r="S6118" i="1"/>
  <c r="O6118" i="1"/>
  <c r="K6118" i="1"/>
  <c r="J6118" i="1"/>
  <c r="I6118" i="1"/>
  <c r="H6118" i="1"/>
  <c r="G6118" i="1"/>
  <c r="F6118" i="1"/>
  <c r="E6118" i="1"/>
  <c r="D6118" i="1"/>
  <c r="C6118" i="1"/>
  <c r="B6118" i="1"/>
  <c r="A6118" i="1"/>
  <c r="R6117" i="1"/>
  <c r="J6117" i="1"/>
  <c r="I6117" i="1"/>
  <c r="G6117" i="1"/>
  <c r="F6117" i="1"/>
  <c r="E6117" i="1"/>
  <c r="D6117" i="1"/>
  <c r="C6117" i="1"/>
  <c r="B6117" i="1"/>
  <c r="A6117" i="1"/>
  <c r="S6116" i="1"/>
  <c r="O6116" i="1"/>
  <c r="K6116" i="1"/>
  <c r="J6116" i="1"/>
  <c r="I6116" i="1"/>
  <c r="H6116" i="1"/>
  <c r="G6116" i="1"/>
  <c r="F6116" i="1"/>
  <c r="E6116" i="1"/>
  <c r="D6116" i="1"/>
  <c r="C6116" i="1"/>
  <c r="B6116" i="1"/>
  <c r="A6116" i="1"/>
  <c r="R6115" i="1"/>
  <c r="J6115" i="1"/>
  <c r="I6115" i="1"/>
  <c r="G6115" i="1"/>
  <c r="F6115" i="1"/>
  <c r="E6115" i="1"/>
  <c r="D6115" i="1"/>
  <c r="C6115" i="1"/>
  <c r="B6115" i="1"/>
  <c r="A6115" i="1"/>
  <c r="S6114" i="1"/>
  <c r="O6114" i="1"/>
  <c r="K6114" i="1"/>
  <c r="J6114" i="1"/>
  <c r="I6114" i="1"/>
  <c r="H6114" i="1"/>
  <c r="G6114" i="1"/>
  <c r="F6114" i="1"/>
  <c r="E6114" i="1"/>
  <c r="D6114" i="1"/>
  <c r="C6114" i="1"/>
  <c r="B6114" i="1"/>
  <c r="A6114" i="1"/>
  <c r="R6113" i="1"/>
  <c r="J6113" i="1"/>
  <c r="I6113" i="1"/>
  <c r="G6113" i="1"/>
  <c r="F6113" i="1"/>
  <c r="E6113" i="1"/>
  <c r="D6113" i="1"/>
  <c r="C6113" i="1"/>
  <c r="B6113" i="1"/>
  <c r="A6113" i="1"/>
  <c r="S6112" i="1"/>
  <c r="O6112" i="1"/>
  <c r="K6112" i="1"/>
  <c r="J6112" i="1"/>
  <c r="I6112" i="1"/>
  <c r="H6112" i="1"/>
  <c r="G6112" i="1"/>
  <c r="F6112" i="1"/>
  <c r="E6112" i="1"/>
  <c r="D6112" i="1"/>
  <c r="C6112" i="1"/>
  <c r="B6112" i="1"/>
  <c r="A6112" i="1"/>
  <c r="R6111" i="1"/>
  <c r="J6111" i="1"/>
  <c r="I6111" i="1"/>
  <c r="G6111" i="1"/>
  <c r="F6111" i="1"/>
  <c r="E6111" i="1"/>
  <c r="D6111" i="1"/>
  <c r="C6111" i="1"/>
  <c r="B6111" i="1"/>
  <c r="A6111" i="1"/>
  <c r="R6110" i="1"/>
  <c r="J6110" i="1"/>
  <c r="I6110" i="1"/>
  <c r="G6110" i="1"/>
  <c r="F6110" i="1"/>
  <c r="E6110" i="1"/>
  <c r="D6110" i="1"/>
  <c r="C6110" i="1"/>
  <c r="B6110" i="1"/>
  <c r="A6110" i="1"/>
  <c r="R6109" i="1"/>
  <c r="J6109" i="1"/>
  <c r="I6109" i="1"/>
  <c r="G6109" i="1"/>
  <c r="F6109" i="1"/>
  <c r="E6109" i="1"/>
  <c r="D6109" i="1"/>
  <c r="C6109" i="1"/>
  <c r="B6109" i="1"/>
  <c r="A6109" i="1"/>
  <c r="R6108" i="1"/>
  <c r="J6108" i="1"/>
  <c r="I6108" i="1"/>
  <c r="G6108" i="1"/>
  <c r="F6108" i="1"/>
  <c r="E6108" i="1"/>
  <c r="D6108" i="1"/>
  <c r="C6108" i="1"/>
  <c r="B6108" i="1"/>
  <c r="A6108" i="1"/>
  <c r="S6107" i="1"/>
  <c r="O6107" i="1"/>
  <c r="K6107" i="1"/>
  <c r="J6107" i="1"/>
  <c r="I6107" i="1"/>
  <c r="H6107" i="1"/>
  <c r="G6107" i="1"/>
  <c r="F6107" i="1"/>
  <c r="E6107" i="1"/>
  <c r="D6107" i="1"/>
  <c r="C6107" i="1"/>
  <c r="B6107" i="1"/>
  <c r="A6107" i="1"/>
  <c r="R6106" i="1"/>
  <c r="J6106" i="1"/>
  <c r="I6106" i="1"/>
  <c r="G6106" i="1"/>
  <c r="F6106" i="1"/>
  <c r="E6106" i="1"/>
  <c r="D6106" i="1"/>
  <c r="C6106" i="1"/>
  <c r="B6106" i="1"/>
  <c r="A6106" i="1"/>
  <c r="S6105" i="1"/>
  <c r="O6105" i="1"/>
  <c r="K6105" i="1"/>
  <c r="J6105" i="1"/>
  <c r="I6105" i="1"/>
  <c r="H6105" i="1"/>
  <c r="G6105" i="1"/>
  <c r="F6105" i="1"/>
  <c r="E6105" i="1"/>
  <c r="D6105" i="1"/>
  <c r="C6105" i="1"/>
  <c r="B6105" i="1"/>
  <c r="A6105" i="1"/>
  <c r="R6104" i="1"/>
  <c r="J6104" i="1"/>
  <c r="I6104" i="1"/>
  <c r="G6104" i="1"/>
  <c r="F6104" i="1"/>
  <c r="E6104" i="1"/>
  <c r="D6104" i="1"/>
  <c r="C6104" i="1"/>
  <c r="B6104" i="1"/>
  <c r="A6104" i="1"/>
  <c r="R6103" i="1"/>
  <c r="J6103" i="1"/>
  <c r="I6103" i="1"/>
  <c r="G6103" i="1"/>
  <c r="F6103" i="1"/>
  <c r="E6103" i="1"/>
  <c r="D6103" i="1"/>
  <c r="C6103" i="1"/>
  <c r="B6103" i="1"/>
  <c r="A6103" i="1"/>
  <c r="R6102" i="1"/>
  <c r="J6102" i="1"/>
  <c r="I6102" i="1"/>
  <c r="G6102" i="1"/>
  <c r="F6102" i="1"/>
  <c r="E6102" i="1"/>
  <c r="D6102" i="1"/>
  <c r="C6102" i="1"/>
  <c r="B6102" i="1"/>
  <c r="A6102" i="1"/>
  <c r="R6101" i="1"/>
  <c r="J6101" i="1"/>
  <c r="I6101" i="1"/>
  <c r="G6101" i="1"/>
  <c r="F6101" i="1"/>
  <c r="E6101" i="1"/>
  <c r="D6101" i="1"/>
  <c r="C6101" i="1"/>
  <c r="B6101" i="1"/>
  <c r="A6101" i="1"/>
  <c r="R6100" i="1"/>
  <c r="J6100" i="1"/>
  <c r="I6100" i="1"/>
  <c r="G6100" i="1"/>
  <c r="F6100" i="1"/>
  <c r="E6100" i="1"/>
  <c r="D6100" i="1"/>
  <c r="C6100" i="1"/>
  <c r="B6100" i="1"/>
  <c r="A6100" i="1"/>
  <c r="R6099" i="1"/>
  <c r="J6099" i="1"/>
  <c r="I6099" i="1"/>
  <c r="G6099" i="1"/>
  <c r="F6099" i="1"/>
  <c r="E6099" i="1"/>
  <c r="D6099" i="1"/>
  <c r="C6099" i="1"/>
  <c r="B6099" i="1"/>
  <c r="A6099" i="1"/>
  <c r="R6098" i="1"/>
  <c r="J6098" i="1"/>
  <c r="I6098" i="1"/>
  <c r="G6098" i="1"/>
  <c r="F6098" i="1"/>
  <c r="E6098" i="1"/>
  <c r="D6098" i="1"/>
  <c r="C6098" i="1"/>
  <c r="B6098" i="1"/>
  <c r="A6098" i="1"/>
  <c r="R6097" i="1"/>
  <c r="J6097" i="1"/>
  <c r="I6097" i="1"/>
  <c r="G6097" i="1"/>
  <c r="F6097" i="1"/>
  <c r="E6097" i="1"/>
  <c r="D6097" i="1"/>
  <c r="C6097" i="1"/>
  <c r="B6097" i="1"/>
  <c r="A6097" i="1"/>
  <c r="R6096" i="1"/>
  <c r="J6096" i="1"/>
  <c r="I6096" i="1"/>
  <c r="G6096" i="1"/>
  <c r="F6096" i="1"/>
  <c r="E6096" i="1"/>
  <c r="D6096" i="1"/>
  <c r="C6096" i="1"/>
  <c r="B6096" i="1"/>
  <c r="A6096" i="1"/>
  <c r="R6095" i="1"/>
  <c r="J6095" i="1"/>
  <c r="I6095" i="1"/>
  <c r="G6095" i="1"/>
  <c r="F6095" i="1"/>
  <c r="E6095" i="1"/>
  <c r="D6095" i="1"/>
  <c r="C6095" i="1"/>
  <c r="B6095" i="1"/>
  <c r="A6095" i="1"/>
  <c r="S6094" i="1"/>
  <c r="O6094" i="1"/>
  <c r="K6094" i="1"/>
  <c r="J6094" i="1"/>
  <c r="I6094" i="1"/>
  <c r="H6094" i="1"/>
  <c r="G6094" i="1"/>
  <c r="F6094" i="1"/>
  <c r="E6094" i="1"/>
  <c r="D6094" i="1"/>
  <c r="C6094" i="1"/>
  <c r="B6094" i="1"/>
  <c r="A6094" i="1"/>
  <c r="R6093" i="1"/>
  <c r="J6093" i="1"/>
  <c r="I6093" i="1"/>
  <c r="G6093" i="1"/>
  <c r="F6093" i="1"/>
  <c r="E6093" i="1"/>
  <c r="D6093" i="1"/>
  <c r="C6093" i="1"/>
  <c r="B6093" i="1"/>
  <c r="A6093" i="1"/>
  <c r="R6092" i="1"/>
  <c r="J6092" i="1"/>
  <c r="I6092" i="1"/>
  <c r="G6092" i="1"/>
  <c r="F6092" i="1"/>
  <c r="E6092" i="1"/>
  <c r="D6092" i="1"/>
  <c r="C6092" i="1"/>
  <c r="B6092" i="1"/>
  <c r="A6092" i="1"/>
  <c r="S6091" i="1"/>
  <c r="O6091" i="1"/>
  <c r="K6091" i="1"/>
  <c r="J6091" i="1"/>
  <c r="I6091" i="1"/>
  <c r="H6091" i="1"/>
  <c r="G6091" i="1"/>
  <c r="F6091" i="1"/>
  <c r="E6091" i="1"/>
  <c r="D6091" i="1"/>
  <c r="C6091" i="1"/>
  <c r="B6091" i="1"/>
  <c r="A6091" i="1"/>
  <c r="R6090" i="1"/>
  <c r="J6090" i="1"/>
  <c r="I6090" i="1"/>
  <c r="G6090" i="1"/>
  <c r="F6090" i="1"/>
  <c r="E6090" i="1"/>
  <c r="D6090" i="1"/>
  <c r="C6090" i="1"/>
  <c r="B6090" i="1"/>
  <c r="A6090" i="1"/>
  <c r="R6089" i="1"/>
  <c r="J6089" i="1"/>
  <c r="I6089" i="1"/>
  <c r="G6089" i="1"/>
  <c r="F6089" i="1"/>
  <c r="E6089" i="1"/>
  <c r="D6089" i="1"/>
  <c r="C6089" i="1"/>
  <c r="B6089" i="1"/>
  <c r="A6089" i="1"/>
  <c r="S6088" i="1"/>
  <c r="O6088" i="1"/>
  <c r="K6088" i="1"/>
  <c r="J6088" i="1"/>
  <c r="I6088" i="1"/>
  <c r="H6088" i="1"/>
  <c r="G6088" i="1"/>
  <c r="F6088" i="1"/>
  <c r="E6088" i="1"/>
  <c r="D6088" i="1"/>
  <c r="C6088" i="1"/>
  <c r="B6088" i="1"/>
  <c r="A6088" i="1"/>
  <c r="R6087" i="1"/>
  <c r="J6087" i="1"/>
  <c r="I6087" i="1"/>
  <c r="G6087" i="1"/>
  <c r="F6087" i="1"/>
  <c r="E6087" i="1"/>
  <c r="D6087" i="1"/>
  <c r="C6087" i="1"/>
  <c r="B6087" i="1"/>
  <c r="A6087" i="1"/>
  <c r="R6086" i="1"/>
  <c r="J6086" i="1"/>
  <c r="I6086" i="1"/>
  <c r="G6086" i="1"/>
  <c r="F6086" i="1"/>
  <c r="E6086" i="1"/>
  <c r="D6086" i="1"/>
  <c r="C6086" i="1"/>
  <c r="B6086" i="1"/>
  <c r="A6086" i="1"/>
  <c r="R6085" i="1"/>
  <c r="J6085" i="1"/>
  <c r="I6085" i="1"/>
  <c r="G6085" i="1"/>
  <c r="F6085" i="1"/>
  <c r="E6085" i="1"/>
  <c r="D6085" i="1"/>
  <c r="C6085" i="1"/>
  <c r="B6085" i="1"/>
  <c r="A6085" i="1"/>
  <c r="R6084" i="1"/>
  <c r="J6084" i="1"/>
  <c r="I6084" i="1"/>
  <c r="G6084" i="1"/>
  <c r="F6084" i="1"/>
  <c r="E6084" i="1"/>
  <c r="D6084" i="1"/>
  <c r="C6084" i="1"/>
  <c r="B6084" i="1"/>
  <c r="A6084" i="1"/>
  <c r="S6083" i="1"/>
  <c r="O6083" i="1"/>
  <c r="K6083" i="1"/>
  <c r="J6083" i="1"/>
  <c r="I6083" i="1"/>
  <c r="H6083" i="1"/>
  <c r="G6083" i="1"/>
  <c r="F6083" i="1"/>
  <c r="E6083" i="1"/>
  <c r="D6083" i="1"/>
  <c r="C6083" i="1"/>
  <c r="B6083" i="1"/>
  <c r="A6083" i="1"/>
  <c r="R6082" i="1"/>
  <c r="J6082" i="1"/>
  <c r="I6082" i="1"/>
  <c r="G6082" i="1"/>
  <c r="F6082" i="1"/>
  <c r="E6082" i="1"/>
  <c r="D6082" i="1"/>
  <c r="C6082" i="1"/>
  <c r="B6082" i="1"/>
  <c r="A6082" i="1"/>
  <c r="R6081" i="1"/>
  <c r="J6081" i="1"/>
  <c r="I6081" i="1"/>
  <c r="G6081" i="1"/>
  <c r="F6081" i="1"/>
  <c r="E6081" i="1"/>
  <c r="D6081" i="1"/>
  <c r="C6081" i="1"/>
  <c r="B6081" i="1"/>
  <c r="A6081" i="1"/>
  <c r="R6080" i="1"/>
  <c r="J6080" i="1"/>
  <c r="I6080" i="1"/>
  <c r="G6080" i="1"/>
  <c r="F6080" i="1"/>
  <c r="E6080" i="1"/>
  <c r="D6080" i="1"/>
  <c r="C6080" i="1"/>
  <c r="B6080" i="1"/>
  <c r="A6080" i="1"/>
  <c r="R6079" i="1"/>
  <c r="J6079" i="1"/>
  <c r="I6079" i="1"/>
  <c r="G6079" i="1"/>
  <c r="F6079" i="1"/>
  <c r="E6079" i="1"/>
  <c r="D6079" i="1"/>
  <c r="C6079" i="1"/>
  <c r="B6079" i="1"/>
  <c r="A6079" i="1"/>
  <c r="R6078" i="1"/>
  <c r="J6078" i="1"/>
  <c r="I6078" i="1"/>
  <c r="G6078" i="1"/>
  <c r="F6078" i="1"/>
  <c r="E6078" i="1"/>
  <c r="D6078" i="1"/>
  <c r="C6078" i="1"/>
  <c r="B6078" i="1"/>
  <c r="A6078" i="1"/>
  <c r="R6077" i="1"/>
  <c r="J6077" i="1"/>
  <c r="I6077" i="1"/>
  <c r="G6077" i="1"/>
  <c r="F6077" i="1"/>
  <c r="E6077" i="1"/>
  <c r="D6077" i="1"/>
  <c r="C6077" i="1"/>
  <c r="B6077" i="1"/>
  <c r="A6077" i="1"/>
  <c r="R6076" i="1"/>
  <c r="J6076" i="1"/>
  <c r="I6076" i="1"/>
  <c r="G6076" i="1"/>
  <c r="F6076" i="1"/>
  <c r="E6076" i="1"/>
  <c r="D6076" i="1"/>
  <c r="C6076" i="1"/>
  <c r="B6076" i="1"/>
  <c r="A6076" i="1"/>
  <c r="R6075" i="1"/>
  <c r="J6075" i="1"/>
  <c r="I6075" i="1"/>
  <c r="G6075" i="1"/>
  <c r="F6075" i="1"/>
  <c r="E6075" i="1"/>
  <c r="D6075" i="1"/>
  <c r="C6075" i="1"/>
  <c r="B6075" i="1"/>
  <c r="A6075" i="1"/>
  <c r="R6074" i="1"/>
  <c r="J6074" i="1"/>
  <c r="I6074" i="1"/>
  <c r="G6074" i="1"/>
  <c r="F6074" i="1"/>
  <c r="E6074" i="1"/>
  <c r="D6074" i="1"/>
  <c r="C6074" i="1"/>
  <c r="B6074" i="1"/>
  <c r="A6074" i="1"/>
  <c r="S6073" i="1"/>
  <c r="O6073" i="1"/>
  <c r="K6073" i="1"/>
  <c r="J6073" i="1"/>
  <c r="I6073" i="1"/>
  <c r="H6073" i="1"/>
  <c r="G6073" i="1"/>
  <c r="F6073" i="1"/>
  <c r="E6073" i="1"/>
  <c r="D6073" i="1"/>
  <c r="C6073" i="1"/>
  <c r="B6073" i="1"/>
  <c r="A6073" i="1"/>
  <c r="R6072" i="1"/>
  <c r="J6072" i="1"/>
  <c r="I6072" i="1"/>
  <c r="G6072" i="1"/>
  <c r="F6072" i="1"/>
  <c r="E6072" i="1"/>
  <c r="D6072" i="1"/>
  <c r="C6072" i="1"/>
  <c r="B6072" i="1"/>
  <c r="A6072" i="1"/>
  <c r="R6071" i="1"/>
  <c r="J6071" i="1"/>
  <c r="I6071" i="1"/>
  <c r="G6071" i="1"/>
  <c r="F6071" i="1"/>
  <c r="E6071" i="1"/>
  <c r="D6071" i="1"/>
  <c r="C6071" i="1"/>
  <c r="B6071" i="1"/>
  <c r="A6071" i="1"/>
  <c r="R6070" i="1"/>
  <c r="J6070" i="1"/>
  <c r="I6070" i="1"/>
  <c r="G6070" i="1"/>
  <c r="F6070" i="1"/>
  <c r="E6070" i="1"/>
  <c r="D6070" i="1"/>
  <c r="C6070" i="1"/>
  <c r="B6070" i="1"/>
  <c r="A6070" i="1"/>
  <c r="S6069" i="1"/>
  <c r="O6069" i="1"/>
  <c r="K6069" i="1"/>
  <c r="J6069" i="1"/>
  <c r="I6069" i="1"/>
  <c r="H6069" i="1"/>
  <c r="G6069" i="1"/>
  <c r="F6069" i="1"/>
  <c r="E6069" i="1"/>
  <c r="D6069" i="1"/>
  <c r="C6069" i="1"/>
  <c r="B6069" i="1"/>
  <c r="A6069" i="1"/>
  <c r="R6068" i="1"/>
  <c r="J6068" i="1"/>
  <c r="I6068" i="1"/>
  <c r="G6068" i="1"/>
  <c r="F6068" i="1"/>
  <c r="E6068" i="1"/>
  <c r="D6068" i="1"/>
  <c r="C6068" i="1"/>
  <c r="B6068" i="1"/>
  <c r="A6068" i="1"/>
  <c r="R6067" i="1"/>
  <c r="J6067" i="1"/>
  <c r="I6067" i="1"/>
  <c r="G6067" i="1"/>
  <c r="F6067" i="1"/>
  <c r="E6067" i="1"/>
  <c r="D6067" i="1"/>
  <c r="C6067" i="1"/>
  <c r="B6067" i="1"/>
  <c r="A6067" i="1"/>
  <c r="S6066" i="1"/>
  <c r="O6066" i="1"/>
  <c r="K6066" i="1"/>
  <c r="J6066" i="1"/>
  <c r="I6066" i="1"/>
  <c r="H6066" i="1"/>
  <c r="G6066" i="1"/>
  <c r="F6066" i="1"/>
  <c r="E6066" i="1"/>
  <c r="D6066" i="1"/>
  <c r="C6066" i="1"/>
  <c r="B6066" i="1"/>
  <c r="A6066" i="1"/>
  <c r="R6065" i="1"/>
  <c r="J6065" i="1"/>
  <c r="I6065" i="1"/>
  <c r="G6065" i="1"/>
  <c r="F6065" i="1"/>
  <c r="E6065" i="1"/>
  <c r="D6065" i="1"/>
  <c r="C6065" i="1"/>
  <c r="B6065" i="1"/>
  <c r="A6065" i="1"/>
  <c r="R6064" i="1"/>
  <c r="J6064" i="1"/>
  <c r="I6064" i="1"/>
  <c r="G6064" i="1"/>
  <c r="F6064" i="1"/>
  <c r="E6064" i="1"/>
  <c r="D6064" i="1"/>
  <c r="C6064" i="1"/>
  <c r="B6064" i="1"/>
  <c r="A6064" i="1"/>
  <c r="R6063" i="1"/>
  <c r="J6063" i="1"/>
  <c r="I6063" i="1"/>
  <c r="G6063" i="1"/>
  <c r="F6063" i="1"/>
  <c r="E6063" i="1"/>
  <c r="D6063" i="1"/>
  <c r="C6063" i="1"/>
  <c r="B6063" i="1"/>
  <c r="A6063" i="1"/>
  <c r="R6062" i="1"/>
  <c r="J6062" i="1"/>
  <c r="I6062" i="1"/>
  <c r="G6062" i="1"/>
  <c r="F6062" i="1"/>
  <c r="E6062" i="1"/>
  <c r="D6062" i="1"/>
  <c r="C6062" i="1"/>
  <c r="B6062" i="1"/>
  <c r="A6062" i="1"/>
  <c r="R6061" i="1"/>
  <c r="J6061" i="1"/>
  <c r="I6061" i="1"/>
  <c r="G6061" i="1"/>
  <c r="F6061" i="1"/>
  <c r="E6061" i="1"/>
  <c r="D6061" i="1"/>
  <c r="C6061" i="1"/>
  <c r="B6061" i="1"/>
  <c r="A6061" i="1"/>
  <c r="R6060" i="1"/>
  <c r="J6060" i="1"/>
  <c r="I6060" i="1"/>
  <c r="G6060" i="1"/>
  <c r="F6060" i="1"/>
  <c r="E6060" i="1"/>
  <c r="D6060" i="1"/>
  <c r="C6060" i="1"/>
  <c r="B6060" i="1"/>
  <c r="A6060" i="1"/>
  <c r="R6059" i="1"/>
  <c r="J6059" i="1"/>
  <c r="I6059" i="1"/>
  <c r="G6059" i="1"/>
  <c r="F6059" i="1"/>
  <c r="E6059" i="1"/>
  <c r="D6059" i="1"/>
  <c r="C6059" i="1"/>
  <c r="B6059" i="1"/>
  <c r="A6059" i="1"/>
  <c r="R6058" i="1"/>
  <c r="J6058" i="1"/>
  <c r="I6058" i="1"/>
  <c r="G6058" i="1"/>
  <c r="F6058" i="1"/>
  <c r="E6058" i="1"/>
  <c r="D6058" i="1"/>
  <c r="C6058" i="1"/>
  <c r="B6058" i="1"/>
  <c r="A6058" i="1"/>
  <c r="R6057" i="1"/>
  <c r="J6057" i="1"/>
  <c r="I6057" i="1"/>
  <c r="G6057" i="1"/>
  <c r="F6057" i="1"/>
  <c r="E6057" i="1"/>
  <c r="D6057" i="1"/>
  <c r="C6057" i="1"/>
  <c r="B6057" i="1"/>
  <c r="A6057" i="1"/>
  <c r="R6056" i="1"/>
  <c r="J6056" i="1"/>
  <c r="I6056" i="1"/>
  <c r="G6056" i="1"/>
  <c r="F6056" i="1"/>
  <c r="E6056" i="1"/>
  <c r="D6056" i="1"/>
  <c r="C6056" i="1"/>
  <c r="B6056" i="1"/>
  <c r="A6056" i="1"/>
  <c r="R6055" i="1"/>
  <c r="J6055" i="1"/>
  <c r="I6055" i="1"/>
  <c r="G6055" i="1"/>
  <c r="F6055" i="1"/>
  <c r="E6055" i="1"/>
  <c r="D6055" i="1"/>
  <c r="C6055" i="1"/>
  <c r="B6055" i="1"/>
  <c r="A6055" i="1"/>
  <c r="R6054" i="1"/>
  <c r="J6054" i="1"/>
  <c r="I6054" i="1"/>
  <c r="G6054" i="1"/>
  <c r="F6054" i="1"/>
  <c r="E6054" i="1"/>
  <c r="D6054" i="1"/>
  <c r="C6054" i="1"/>
  <c r="B6054" i="1"/>
  <c r="A6054" i="1"/>
  <c r="R6053" i="1"/>
  <c r="J6053" i="1"/>
  <c r="I6053" i="1"/>
  <c r="G6053" i="1"/>
  <c r="F6053" i="1"/>
  <c r="E6053" i="1"/>
  <c r="D6053" i="1"/>
  <c r="C6053" i="1"/>
  <c r="B6053" i="1"/>
  <c r="A6053" i="1"/>
  <c r="R6052" i="1"/>
  <c r="J6052" i="1"/>
  <c r="I6052" i="1"/>
  <c r="G6052" i="1"/>
  <c r="F6052" i="1"/>
  <c r="E6052" i="1"/>
  <c r="D6052" i="1"/>
  <c r="C6052" i="1"/>
  <c r="B6052" i="1"/>
  <c r="A6052" i="1"/>
  <c r="R6051" i="1"/>
  <c r="J6051" i="1"/>
  <c r="I6051" i="1"/>
  <c r="G6051" i="1"/>
  <c r="F6051" i="1"/>
  <c r="E6051" i="1"/>
  <c r="D6051" i="1"/>
  <c r="C6051" i="1"/>
  <c r="B6051" i="1"/>
  <c r="A6051" i="1"/>
  <c r="R6050" i="1"/>
  <c r="J6050" i="1"/>
  <c r="I6050" i="1"/>
  <c r="G6050" i="1"/>
  <c r="F6050" i="1"/>
  <c r="E6050" i="1"/>
  <c r="D6050" i="1"/>
  <c r="C6050" i="1"/>
  <c r="B6050" i="1"/>
  <c r="A6050" i="1"/>
  <c r="R6049" i="1"/>
  <c r="J6049" i="1"/>
  <c r="I6049" i="1"/>
  <c r="G6049" i="1"/>
  <c r="F6049" i="1"/>
  <c r="E6049" i="1"/>
  <c r="D6049" i="1"/>
  <c r="C6049" i="1"/>
  <c r="B6049" i="1"/>
  <c r="A6049" i="1"/>
  <c r="S6048" i="1"/>
  <c r="O6048" i="1"/>
  <c r="K6048" i="1"/>
  <c r="J6048" i="1"/>
  <c r="I6048" i="1"/>
  <c r="H6048" i="1"/>
  <c r="G6048" i="1"/>
  <c r="F6048" i="1"/>
  <c r="E6048" i="1"/>
  <c r="D6048" i="1"/>
  <c r="C6048" i="1"/>
  <c r="B6048" i="1"/>
  <c r="A6048" i="1"/>
  <c r="R6047" i="1"/>
  <c r="J6047" i="1"/>
  <c r="I6047" i="1"/>
  <c r="G6047" i="1"/>
  <c r="F6047" i="1"/>
  <c r="E6047" i="1"/>
  <c r="D6047" i="1"/>
  <c r="C6047" i="1"/>
  <c r="B6047" i="1"/>
  <c r="A6047" i="1"/>
  <c r="S6046" i="1"/>
  <c r="O6046" i="1"/>
  <c r="K6046" i="1"/>
  <c r="J6046" i="1"/>
  <c r="I6046" i="1"/>
  <c r="H6046" i="1"/>
  <c r="G6046" i="1"/>
  <c r="F6046" i="1"/>
  <c r="E6046" i="1"/>
  <c r="D6046" i="1"/>
  <c r="C6046" i="1"/>
  <c r="B6046" i="1"/>
  <c r="A6046" i="1"/>
  <c r="R6045" i="1"/>
  <c r="J6045" i="1"/>
  <c r="I6045" i="1"/>
  <c r="G6045" i="1"/>
  <c r="F6045" i="1"/>
  <c r="E6045" i="1"/>
  <c r="D6045" i="1"/>
  <c r="C6045" i="1"/>
  <c r="B6045" i="1"/>
  <c r="A6045" i="1"/>
  <c r="S6044" i="1"/>
  <c r="O6044" i="1"/>
  <c r="K6044" i="1"/>
  <c r="J6044" i="1"/>
  <c r="I6044" i="1"/>
  <c r="H6044" i="1"/>
  <c r="G6044" i="1"/>
  <c r="F6044" i="1"/>
  <c r="E6044" i="1"/>
  <c r="D6044" i="1"/>
  <c r="C6044" i="1"/>
  <c r="B6044" i="1"/>
  <c r="A6044" i="1"/>
  <c r="R6043" i="1"/>
  <c r="J6043" i="1"/>
  <c r="I6043" i="1"/>
  <c r="G6043" i="1"/>
  <c r="F6043" i="1"/>
  <c r="E6043" i="1"/>
  <c r="D6043" i="1"/>
  <c r="C6043" i="1"/>
  <c r="B6043" i="1"/>
  <c r="A6043" i="1"/>
  <c r="S6042" i="1"/>
  <c r="O6042" i="1"/>
  <c r="K6042" i="1"/>
  <c r="J6042" i="1"/>
  <c r="I6042" i="1"/>
  <c r="H6042" i="1"/>
  <c r="G6042" i="1"/>
  <c r="F6042" i="1"/>
  <c r="E6042" i="1"/>
  <c r="D6042" i="1"/>
  <c r="C6042" i="1"/>
  <c r="B6042" i="1"/>
  <c r="A6042" i="1"/>
  <c r="R6041" i="1"/>
  <c r="J6041" i="1"/>
  <c r="I6041" i="1"/>
  <c r="G6041" i="1"/>
  <c r="F6041" i="1"/>
  <c r="E6041" i="1"/>
  <c r="D6041" i="1"/>
  <c r="C6041" i="1"/>
  <c r="B6041" i="1"/>
  <c r="A6041" i="1"/>
  <c r="S6040" i="1"/>
  <c r="O6040" i="1"/>
  <c r="K6040" i="1"/>
  <c r="J6040" i="1"/>
  <c r="I6040" i="1"/>
  <c r="H6040" i="1"/>
  <c r="G6040" i="1"/>
  <c r="F6040" i="1"/>
  <c r="E6040" i="1"/>
  <c r="D6040" i="1"/>
  <c r="C6040" i="1"/>
  <c r="B6040" i="1"/>
  <c r="A6040" i="1"/>
  <c r="R6039" i="1"/>
  <c r="J6039" i="1"/>
  <c r="I6039" i="1"/>
  <c r="G6039" i="1"/>
  <c r="F6039" i="1"/>
  <c r="E6039" i="1"/>
  <c r="D6039" i="1"/>
  <c r="C6039" i="1"/>
  <c r="B6039" i="1"/>
  <c r="A6039" i="1"/>
  <c r="S6038" i="1"/>
  <c r="O6038" i="1"/>
  <c r="K6038" i="1"/>
  <c r="J6038" i="1"/>
  <c r="I6038" i="1"/>
  <c r="H6038" i="1"/>
  <c r="G6038" i="1"/>
  <c r="F6038" i="1"/>
  <c r="E6038" i="1"/>
  <c r="D6038" i="1"/>
  <c r="C6038" i="1"/>
  <c r="B6038" i="1"/>
  <c r="A6038" i="1"/>
  <c r="R6037" i="1"/>
  <c r="J6037" i="1"/>
  <c r="I6037" i="1"/>
  <c r="G6037" i="1"/>
  <c r="F6037" i="1"/>
  <c r="E6037" i="1"/>
  <c r="D6037" i="1"/>
  <c r="C6037" i="1"/>
  <c r="B6037" i="1"/>
  <c r="A6037" i="1"/>
  <c r="S6036" i="1"/>
  <c r="O6036" i="1"/>
  <c r="K6036" i="1"/>
  <c r="J6036" i="1"/>
  <c r="I6036" i="1"/>
  <c r="H6036" i="1"/>
  <c r="G6036" i="1"/>
  <c r="F6036" i="1"/>
  <c r="E6036" i="1"/>
  <c r="D6036" i="1"/>
  <c r="C6036" i="1"/>
  <c r="B6036" i="1"/>
  <c r="A6036" i="1"/>
  <c r="R6035" i="1"/>
  <c r="J6035" i="1"/>
  <c r="I6035" i="1"/>
  <c r="G6035" i="1"/>
  <c r="F6035" i="1"/>
  <c r="E6035" i="1"/>
  <c r="D6035" i="1"/>
  <c r="C6035" i="1"/>
  <c r="B6035" i="1"/>
  <c r="A6035" i="1"/>
  <c r="S6034" i="1"/>
  <c r="O6034" i="1"/>
  <c r="K6034" i="1"/>
  <c r="J6034" i="1"/>
  <c r="I6034" i="1"/>
  <c r="H6034" i="1"/>
  <c r="G6034" i="1"/>
  <c r="F6034" i="1"/>
  <c r="E6034" i="1"/>
  <c r="D6034" i="1"/>
  <c r="C6034" i="1"/>
  <c r="B6034" i="1"/>
  <c r="A6034" i="1"/>
  <c r="R6033" i="1"/>
  <c r="J6033" i="1"/>
  <c r="I6033" i="1"/>
  <c r="G6033" i="1"/>
  <c r="F6033" i="1"/>
  <c r="E6033" i="1"/>
  <c r="D6033" i="1"/>
  <c r="C6033" i="1"/>
  <c r="B6033" i="1"/>
  <c r="A6033" i="1"/>
  <c r="S6032" i="1"/>
  <c r="O6032" i="1"/>
  <c r="K6032" i="1"/>
  <c r="J6032" i="1"/>
  <c r="I6032" i="1"/>
  <c r="H6032" i="1"/>
  <c r="G6032" i="1"/>
  <c r="F6032" i="1"/>
  <c r="E6032" i="1"/>
  <c r="D6032" i="1"/>
  <c r="C6032" i="1"/>
  <c r="B6032" i="1"/>
  <c r="A6032" i="1"/>
  <c r="R6031" i="1"/>
  <c r="J6031" i="1"/>
  <c r="I6031" i="1"/>
  <c r="G6031" i="1"/>
  <c r="F6031" i="1"/>
  <c r="E6031" i="1"/>
  <c r="D6031" i="1"/>
  <c r="C6031" i="1"/>
  <c r="B6031" i="1"/>
  <c r="A6031" i="1"/>
  <c r="S6030" i="1"/>
  <c r="O6030" i="1"/>
  <c r="K6030" i="1"/>
  <c r="J6030" i="1"/>
  <c r="I6030" i="1"/>
  <c r="H6030" i="1"/>
  <c r="G6030" i="1"/>
  <c r="F6030" i="1"/>
  <c r="E6030" i="1"/>
  <c r="D6030" i="1"/>
  <c r="C6030" i="1"/>
  <c r="B6030" i="1"/>
  <c r="A6030" i="1"/>
  <c r="R6029" i="1"/>
  <c r="J6029" i="1"/>
  <c r="I6029" i="1"/>
  <c r="G6029" i="1"/>
  <c r="F6029" i="1"/>
  <c r="E6029" i="1"/>
  <c r="D6029" i="1"/>
  <c r="C6029" i="1"/>
  <c r="B6029" i="1"/>
  <c r="A6029" i="1"/>
  <c r="S6028" i="1"/>
  <c r="O6028" i="1"/>
  <c r="K6028" i="1"/>
  <c r="J6028" i="1"/>
  <c r="I6028" i="1"/>
  <c r="H6028" i="1"/>
  <c r="G6028" i="1"/>
  <c r="F6028" i="1"/>
  <c r="E6028" i="1"/>
  <c r="D6028" i="1"/>
  <c r="C6028" i="1"/>
  <c r="B6028" i="1"/>
  <c r="A6028" i="1"/>
  <c r="R6027" i="1"/>
  <c r="J6027" i="1"/>
  <c r="I6027" i="1"/>
  <c r="G6027" i="1"/>
  <c r="F6027" i="1"/>
  <c r="E6027" i="1"/>
  <c r="D6027" i="1"/>
  <c r="C6027" i="1"/>
  <c r="B6027" i="1"/>
  <c r="A6027" i="1"/>
  <c r="S6026" i="1"/>
  <c r="O6026" i="1"/>
  <c r="K6026" i="1"/>
  <c r="J6026" i="1"/>
  <c r="I6026" i="1"/>
  <c r="H6026" i="1"/>
  <c r="G6026" i="1"/>
  <c r="F6026" i="1"/>
  <c r="E6026" i="1"/>
  <c r="D6026" i="1"/>
  <c r="C6026" i="1"/>
  <c r="B6026" i="1"/>
  <c r="A6026" i="1"/>
  <c r="R6025" i="1"/>
  <c r="J6025" i="1"/>
  <c r="I6025" i="1"/>
  <c r="G6025" i="1"/>
  <c r="F6025" i="1"/>
  <c r="E6025" i="1"/>
  <c r="D6025" i="1"/>
  <c r="C6025" i="1"/>
  <c r="B6025" i="1"/>
  <c r="A6025" i="1"/>
  <c r="S6024" i="1"/>
  <c r="O6024" i="1"/>
  <c r="K6024" i="1"/>
  <c r="J6024" i="1"/>
  <c r="I6024" i="1"/>
  <c r="H6024" i="1"/>
  <c r="G6024" i="1"/>
  <c r="F6024" i="1"/>
  <c r="E6024" i="1"/>
  <c r="D6024" i="1"/>
  <c r="C6024" i="1"/>
  <c r="B6024" i="1"/>
  <c r="A6024" i="1"/>
  <c r="R6023" i="1"/>
  <c r="J6023" i="1"/>
  <c r="I6023" i="1"/>
  <c r="G6023" i="1"/>
  <c r="F6023" i="1"/>
  <c r="E6023" i="1"/>
  <c r="D6023" i="1"/>
  <c r="C6023" i="1"/>
  <c r="B6023" i="1"/>
  <c r="A6023" i="1"/>
  <c r="S6022" i="1"/>
  <c r="O6022" i="1"/>
  <c r="K6022" i="1"/>
  <c r="J6022" i="1"/>
  <c r="I6022" i="1"/>
  <c r="H6022" i="1"/>
  <c r="G6022" i="1"/>
  <c r="F6022" i="1"/>
  <c r="E6022" i="1"/>
  <c r="D6022" i="1"/>
  <c r="C6022" i="1"/>
  <c r="B6022" i="1"/>
  <c r="A6022" i="1"/>
  <c r="R6021" i="1"/>
  <c r="J6021" i="1"/>
  <c r="I6021" i="1"/>
  <c r="G6021" i="1"/>
  <c r="F6021" i="1"/>
  <c r="E6021" i="1"/>
  <c r="D6021" i="1"/>
  <c r="C6021" i="1"/>
  <c r="B6021" i="1"/>
  <c r="A6021" i="1"/>
  <c r="S6020" i="1"/>
  <c r="O6020" i="1"/>
  <c r="K6020" i="1"/>
  <c r="J6020" i="1"/>
  <c r="I6020" i="1"/>
  <c r="H6020" i="1"/>
  <c r="G6020" i="1"/>
  <c r="F6020" i="1"/>
  <c r="E6020" i="1"/>
  <c r="D6020" i="1"/>
  <c r="C6020" i="1"/>
  <c r="B6020" i="1"/>
  <c r="A6020" i="1"/>
  <c r="R6019" i="1"/>
  <c r="J6019" i="1"/>
  <c r="I6019" i="1"/>
  <c r="G6019" i="1"/>
  <c r="F6019" i="1"/>
  <c r="E6019" i="1"/>
  <c r="D6019" i="1"/>
  <c r="C6019" i="1"/>
  <c r="B6019" i="1"/>
  <c r="A6019" i="1"/>
  <c r="S6018" i="1"/>
  <c r="O6018" i="1"/>
  <c r="K6018" i="1"/>
  <c r="J6018" i="1"/>
  <c r="I6018" i="1"/>
  <c r="H6018" i="1"/>
  <c r="G6018" i="1"/>
  <c r="F6018" i="1"/>
  <c r="E6018" i="1"/>
  <c r="D6018" i="1"/>
  <c r="C6018" i="1"/>
  <c r="B6018" i="1"/>
  <c r="A6018" i="1"/>
  <c r="R6017" i="1"/>
  <c r="J6017" i="1"/>
  <c r="I6017" i="1"/>
  <c r="G6017" i="1"/>
  <c r="F6017" i="1"/>
  <c r="E6017" i="1"/>
  <c r="D6017" i="1"/>
  <c r="C6017" i="1"/>
  <c r="B6017" i="1"/>
  <c r="A6017" i="1"/>
  <c r="S6016" i="1"/>
  <c r="O6016" i="1"/>
  <c r="K6016" i="1"/>
  <c r="J6016" i="1"/>
  <c r="I6016" i="1"/>
  <c r="H6016" i="1"/>
  <c r="G6016" i="1"/>
  <c r="F6016" i="1"/>
  <c r="E6016" i="1"/>
  <c r="D6016" i="1"/>
  <c r="C6016" i="1"/>
  <c r="B6016" i="1"/>
  <c r="A6016" i="1"/>
  <c r="R6015" i="1"/>
  <c r="J6015" i="1"/>
  <c r="I6015" i="1"/>
  <c r="G6015" i="1"/>
  <c r="F6015" i="1"/>
  <c r="E6015" i="1"/>
  <c r="D6015" i="1"/>
  <c r="C6015" i="1"/>
  <c r="B6015" i="1"/>
  <c r="A6015" i="1"/>
  <c r="S6014" i="1"/>
  <c r="O6014" i="1"/>
  <c r="K6014" i="1"/>
  <c r="J6014" i="1"/>
  <c r="I6014" i="1"/>
  <c r="H6014" i="1"/>
  <c r="G6014" i="1"/>
  <c r="F6014" i="1"/>
  <c r="E6014" i="1"/>
  <c r="D6014" i="1"/>
  <c r="C6014" i="1"/>
  <c r="B6014" i="1"/>
  <c r="A6014" i="1"/>
  <c r="R6013" i="1"/>
  <c r="J6013" i="1"/>
  <c r="I6013" i="1"/>
  <c r="G6013" i="1"/>
  <c r="F6013" i="1"/>
  <c r="E6013" i="1"/>
  <c r="D6013" i="1"/>
  <c r="C6013" i="1"/>
  <c r="B6013" i="1"/>
  <c r="A6013" i="1"/>
  <c r="S6012" i="1"/>
  <c r="O6012" i="1"/>
  <c r="K6012" i="1"/>
  <c r="J6012" i="1"/>
  <c r="I6012" i="1"/>
  <c r="H6012" i="1"/>
  <c r="G6012" i="1"/>
  <c r="F6012" i="1"/>
  <c r="E6012" i="1"/>
  <c r="D6012" i="1"/>
  <c r="C6012" i="1"/>
  <c r="B6012" i="1"/>
  <c r="A6012" i="1"/>
  <c r="R6011" i="1"/>
  <c r="J6011" i="1"/>
  <c r="I6011" i="1"/>
  <c r="G6011" i="1"/>
  <c r="F6011" i="1"/>
  <c r="E6011" i="1"/>
  <c r="D6011" i="1"/>
  <c r="C6011" i="1"/>
  <c r="B6011" i="1"/>
  <c r="A6011" i="1"/>
  <c r="S6010" i="1"/>
  <c r="O6010" i="1"/>
  <c r="K6010" i="1"/>
  <c r="J6010" i="1"/>
  <c r="I6010" i="1"/>
  <c r="H6010" i="1"/>
  <c r="G6010" i="1"/>
  <c r="F6010" i="1"/>
  <c r="E6010" i="1"/>
  <c r="D6010" i="1"/>
  <c r="C6010" i="1"/>
  <c r="B6010" i="1"/>
  <c r="A6010" i="1"/>
  <c r="R6009" i="1"/>
  <c r="J6009" i="1"/>
  <c r="I6009" i="1"/>
  <c r="G6009" i="1"/>
  <c r="F6009" i="1"/>
  <c r="E6009" i="1"/>
  <c r="D6009" i="1"/>
  <c r="C6009" i="1"/>
  <c r="B6009" i="1"/>
  <c r="A6009" i="1"/>
  <c r="S6008" i="1"/>
  <c r="O6008" i="1"/>
  <c r="K6008" i="1"/>
  <c r="J6008" i="1"/>
  <c r="I6008" i="1"/>
  <c r="H6008" i="1"/>
  <c r="G6008" i="1"/>
  <c r="F6008" i="1"/>
  <c r="E6008" i="1"/>
  <c r="D6008" i="1"/>
  <c r="C6008" i="1"/>
  <c r="B6008" i="1"/>
  <c r="A6008" i="1"/>
  <c r="R6007" i="1"/>
  <c r="J6007" i="1"/>
  <c r="I6007" i="1"/>
  <c r="G6007" i="1"/>
  <c r="F6007" i="1"/>
  <c r="E6007" i="1"/>
  <c r="D6007" i="1"/>
  <c r="C6007" i="1"/>
  <c r="B6007" i="1"/>
  <c r="A6007" i="1"/>
  <c r="S6006" i="1"/>
  <c r="O6006" i="1"/>
  <c r="K6006" i="1"/>
  <c r="J6006" i="1"/>
  <c r="I6006" i="1"/>
  <c r="H6006" i="1"/>
  <c r="G6006" i="1"/>
  <c r="F6006" i="1"/>
  <c r="E6006" i="1"/>
  <c r="D6006" i="1"/>
  <c r="C6006" i="1"/>
  <c r="B6006" i="1"/>
  <c r="A6006" i="1"/>
  <c r="R6005" i="1"/>
  <c r="J6005" i="1"/>
  <c r="I6005" i="1"/>
  <c r="G6005" i="1"/>
  <c r="F6005" i="1"/>
  <c r="E6005" i="1"/>
  <c r="D6005" i="1"/>
  <c r="C6005" i="1"/>
  <c r="B6005" i="1"/>
  <c r="A6005" i="1"/>
  <c r="S6004" i="1"/>
  <c r="O6004" i="1"/>
  <c r="K6004" i="1"/>
  <c r="J6004" i="1"/>
  <c r="I6004" i="1"/>
  <c r="H6004" i="1"/>
  <c r="G6004" i="1"/>
  <c r="F6004" i="1"/>
  <c r="E6004" i="1"/>
  <c r="D6004" i="1"/>
  <c r="C6004" i="1"/>
  <c r="B6004" i="1"/>
  <c r="A6004" i="1"/>
  <c r="R6003" i="1"/>
  <c r="J6003" i="1"/>
  <c r="I6003" i="1"/>
  <c r="G6003" i="1"/>
  <c r="F6003" i="1"/>
  <c r="E6003" i="1"/>
  <c r="D6003" i="1"/>
  <c r="C6003" i="1"/>
  <c r="B6003" i="1"/>
  <c r="A6003" i="1"/>
  <c r="R6002" i="1"/>
  <c r="J6002" i="1"/>
  <c r="I6002" i="1"/>
  <c r="G6002" i="1"/>
  <c r="F6002" i="1"/>
  <c r="E6002" i="1"/>
  <c r="D6002" i="1"/>
  <c r="C6002" i="1"/>
  <c r="B6002" i="1"/>
  <c r="A6002" i="1"/>
  <c r="R6001" i="1"/>
  <c r="J6001" i="1"/>
  <c r="I6001" i="1"/>
  <c r="G6001" i="1"/>
  <c r="F6001" i="1"/>
  <c r="E6001" i="1"/>
  <c r="D6001" i="1"/>
  <c r="C6001" i="1"/>
  <c r="B6001" i="1"/>
  <c r="A6001" i="1"/>
  <c r="R6000" i="1"/>
  <c r="J6000" i="1"/>
  <c r="I6000" i="1"/>
  <c r="G6000" i="1"/>
  <c r="F6000" i="1"/>
  <c r="E6000" i="1"/>
  <c r="D6000" i="1"/>
  <c r="C6000" i="1"/>
  <c r="B6000" i="1"/>
  <c r="A6000" i="1"/>
  <c r="R5999" i="1"/>
  <c r="J5999" i="1"/>
  <c r="I5999" i="1"/>
  <c r="G5999" i="1"/>
  <c r="F5999" i="1"/>
  <c r="E5999" i="1"/>
  <c r="D5999" i="1"/>
  <c r="C5999" i="1"/>
  <c r="B5999" i="1"/>
  <c r="A5999" i="1"/>
  <c r="R5998" i="1"/>
  <c r="J5998" i="1"/>
  <c r="I5998" i="1"/>
  <c r="G5998" i="1"/>
  <c r="F5998" i="1"/>
  <c r="E5998" i="1"/>
  <c r="D5998" i="1"/>
  <c r="C5998" i="1"/>
  <c r="B5998" i="1"/>
  <c r="A5998" i="1"/>
  <c r="R5997" i="1"/>
  <c r="J5997" i="1"/>
  <c r="I5997" i="1"/>
  <c r="G5997" i="1"/>
  <c r="F5997" i="1"/>
  <c r="E5997" i="1"/>
  <c r="D5997" i="1"/>
  <c r="C5997" i="1"/>
  <c r="B5997" i="1"/>
  <c r="A5997" i="1"/>
  <c r="S5996" i="1"/>
  <c r="O5996" i="1"/>
  <c r="K5996" i="1"/>
  <c r="J5996" i="1"/>
  <c r="I5996" i="1"/>
  <c r="H5996" i="1"/>
  <c r="G5996" i="1"/>
  <c r="F5996" i="1"/>
  <c r="E5996" i="1"/>
  <c r="D5996" i="1"/>
  <c r="C5996" i="1"/>
  <c r="B5996" i="1"/>
  <c r="A5996" i="1"/>
  <c r="R5995" i="1"/>
  <c r="J5995" i="1"/>
  <c r="I5995" i="1"/>
  <c r="G5995" i="1"/>
  <c r="F5995" i="1"/>
  <c r="E5995" i="1"/>
  <c r="D5995" i="1"/>
  <c r="C5995" i="1"/>
  <c r="B5995" i="1"/>
  <c r="A5995" i="1"/>
  <c r="S5994" i="1"/>
  <c r="O5994" i="1"/>
  <c r="K5994" i="1"/>
  <c r="J5994" i="1"/>
  <c r="I5994" i="1"/>
  <c r="H5994" i="1"/>
  <c r="G5994" i="1"/>
  <c r="F5994" i="1"/>
  <c r="E5994" i="1"/>
  <c r="D5994" i="1"/>
  <c r="C5994" i="1"/>
  <c r="B5994" i="1"/>
  <c r="A5994" i="1"/>
  <c r="R5993" i="1"/>
  <c r="J5993" i="1"/>
  <c r="I5993" i="1"/>
  <c r="G5993" i="1"/>
  <c r="F5993" i="1"/>
  <c r="E5993" i="1"/>
  <c r="D5993" i="1"/>
  <c r="C5993" i="1"/>
  <c r="B5993" i="1"/>
  <c r="A5993" i="1"/>
  <c r="R5992" i="1"/>
  <c r="J5992" i="1"/>
  <c r="I5992" i="1"/>
  <c r="G5992" i="1"/>
  <c r="F5992" i="1"/>
  <c r="E5992" i="1"/>
  <c r="D5992" i="1"/>
  <c r="C5992" i="1"/>
  <c r="B5992" i="1"/>
  <c r="A5992" i="1"/>
  <c r="R5991" i="1"/>
  <c r="J5991" i="1"/>
  <c r="I5991" i="1"/>
  <c r="G5991" i="1"/>
  <c r="F5991" i="1"/>
  <c r="E5991" i="1"/>
  <c r="D5991" i="1"/>
  <c r="C5991" i="1"/>
  <c r="B5991" i="1"/>
  <c r="A5991" i="1"/>
  <c r="R5990" i="1"/>
  <c r="J5990" i="1"/>
  <c r="I5990" i="1"/>
  <c r="G5990" i="1"/>
  <c r="F5990" i="1"/>
  <c r="E5990" i="1"/>
  <c r="D5990" i="1"/>
  <c r="C5990" i="1"/>
  <c r="B5990" i="1"/>
  <c r="A5990" i="1"/>
  <c r="R5989" i="1"/>
  <c r="J5989" i="1"/>
  <c r="I5989" i="1"/>
  <c r="G5989" i="1"/>
  <c r="F5989" i="1"/>
  <c r="E5989" i="1"/>
  <c r="D5989" i="1"/>
  <c r="C5989" i="1"/>
  <c r="B5989" i="1"/>
  <c r="A5989" i="1"/>
  <c r="R5988" i="1"/>
  <c r="J5988" i="1"/>
  <c r="I5988" i="1"/>
  <c r="G5988" i="1"/>
  <c r="F5988" i="1"/>
  <c r="E5988" i="1"/>
  <c r="D5988" i="1"/>
  <c r="C5988" i="1"/>
  <c r="B5988" i="1"/>
  <c r="A5988" i="1"/>
  <c r="R5987" i="1"/>
  <c r="J5987" i="1"/>
  <c r="I5987" i="1"/>
  <c r="G5987" i="1"/>
  <c r="F5987" i="1"/>
  <c r="E5987" i="1"/>
  <c r="D5987" i="1"/>
  <c r="C5987" i="1"/>
  <c r="B5987" i="1"/>
  <c r="A5987" i="1"/>
  <c r="R5986" i="1"/>
  <c r="J5986" i="1"/>
  <c r="I5986" i="1"/>
  <c r="G5986" i="1"/>
  <c r="F5986" i="1"/>
  <c r="E5986" i="1"/>
  <c r="D5986" i="1"/>
  <c r="C5986" i="1"/>
  <c r="B5986" i="1"/>
  <c r="A5986" i="1"/>
  <c r="R5985" i="1"/>
  <c r="J5985" i="1"/>
  <c r="I5985" i="1"/>
  <c r="G5985" i="1"/>
  <c r="F5985" i="1"/>
  <c r="E5985" i="1"/>
  <c r="D5985" i="1"/>
  <c r="C5985" i="1"/>
  <c r="B5985" i="1"/>
  <c r="A5985" i="1"/>
  <c r="R5984" i="1"/>
  <c r="J5984" i="1"/>
  <c r="I5984" i="1"/>
  <c r="G5984" i="1"/>
  <c r="F5984" i="1"/>
  <c r="E5984" i="1"/>
  <c r="D5984" i="1"/>
  <c r="C5984" i="1"/>
  <c r="B5984" i="1"/>
  <c r="A5984" i="1"/>
  <c r="R5983" i="1"/>
  <c r="J5983" i="1"/>
  <c r="I5983" i="1"/>
  <c r="G5983" i="1"/>
  <c r="F5983" i="1"/>
  <c r="E5983" i="1"/>
  <c r="D5983" i="1"/>
  <c r="C5983" i="1"/>
  <c r="B5983" i="1"/>
  <c r="A5983" i="1"/>
  <c r="R5982" i="1"/>
  <c r="J5982" i="1"/>
  <c r="I5982" i="1"/>
  <c r="G5982" i="1"/>
  <c r="F5982" i="1"/>
  <c r="E5982" i="1"/>
  <c r="D5982" i="1"/>
  <c r="C5982" i="1"/>
  <c r="B5982" i="1"/>
  <c r="A5982" i="1"/>
  <c r="R5981" i="1"/>
  <c r="J5981" i="1"/>
  <c r="I5981" i="1"/>
  <c r="G5981" i="1"/>
  <c r="F5981" i="1"/>
  <c r="E5981" i="1"/>
  <c r="D5981" i="1"/>
  <c r="C5981" i="1"/>
  <c r="B5981" i="1"/>
  <c r="A5981" i="1"/>
  <c r="R5980" i="1"/>
  <c r="J5980" i="1"/>
  <c r="I5980" i="1"/>
  <c r="G5980" i="1"/>
  <c r="F5980" i="1"/>
  <c r="E5980" i="1"/>
  <c r="D5980" i="1"/>
  <c r="C5980" i="1"/>
  <c r="B5980" i="1"/>
  <c r="A5980" i="1"/>
  <c r="R5979" i="1"/>
  <c r="J5979" i="1"/>
  <c r="I5979" i="1"/>
  <c r="G5979" i="1"/>
  <c r="F5979" i="1"/>
  <c r="E5979" i="1"/>
  <c r="D5979" i="1"/>
  <c r="C5979" i="1"/>
  <c r="B5979" i="1"/>
  <c r="A5979" i="1"/>
  <c r="R5978" i="1"/>
  <c r="J5978" i="1"/>
  <c r="I5978" i="1"/>
  <c r="G5978" i="1"/>
  <c r="F5978" i="1"/>
  <c r="E5978" i="1"/>
  <c r="D5978" i="1"/>
  <c r="C5978" i="1"/>
  <c r="B5978" i="1"/>
  <c r="A5978" i="1"/>
  <c r="R5977" i="1"/>
  <c r="J5977" i="1"/>
  <c r="I5977" i="1"/>
  <c r="G5977" i="1"/>
  <c r="F5977" i="1"/>
  <c r="E5977" i="1"/>
  <c r="D5977" i="1"/>
  <c r="C5977" i="1"/>
  <c r="B5977" i="1"/>
  <c r="A5977" i="1"/>
  <c r="R5976" i="1"/>
  <c r="J5976" i="1"/>
  <c r="I5976" i="1"/>
  <c r="G5976" i="1"/>
  <c r="F5976" i="1"/>
  <c r="E5976" i="1"/>
  <c r="D5976" i="1"/>
  <c r="C5976" i="1"/>
  <c r="B5976" i="1"/>
  <c r="A5976" i="1"/>
  <c r="R5975" i="1"/>
  <c r="J5975" i="1"/>
  <c r="I5975" i="1"/>
  <c r="G5975" i="1"/>
  <c r="F5975" i="1"/>
  <c r="E5975" i="1"/>
  <c r="D5975" i="1"/>
  <c r="C5975" i="1"/>
  <c r="B5975" i="1"/>
  <c r="A5975" i="1"/>
  <c r="S5974" i="1"/>
  <c r="O5974" i="1"/>
  <c r="K5974" i="1"/>
  <c r="J5974" i="1"/>
  <c r="I5974" i="1"/>
  <c r="H5974" i="1"/>
  <c r="G5974" i="1"/>
  <c r="F5974" i="1"/>
  <c r="E5974" i="1"/>
  <c r="D5974" i="1"/>
  <c r="C5974" i="1"/>
  <c r="B5974" i="1"/>
  <c r="A5974" i="1"/>
  <c r="R5973" i="1"/>
  <c r="J5973" i="1"/>
  <c r="I5973" i="1"/>
  <c r="G5973" i="1"/>
  <c r="F5973" i="1"/>
  <c r="E5973" i="1"/>
  <c r="D5973" i="1"/>
  <c r="C5973" i="1"/>
  <c r="B5973" i="1"/>
  <c r="A5973" i="1"/>
  <c r="R5972" i="1"/>
  <c r="J5972" i="1"/>
  <c r="I5972" i="1"/>
  <c r="G5972" i="1"/>
  <c r="F5972" i="1"/>
  <c r="E5972" i="1"/>
  <c r="D5972" i="1"/>
  <c r="C5972" i="1"/>
  <c r="B5972" i="1"/>
  <c r="A5972" i="1"/>
  <c r="R5971" i="1"/>
  <c r="J5971" i="1"/>
  <c r="I5971" i="1"/>
  <c r="G5971" i="1"/>
  <c r="F5971" i="1"/>
  <c r="E5971" i="1"/>
  <c r="D5971" i="1"/>
  <c r="C5971" i="1"/>
  <c r="B5971" i="1"/>
  <c r="A5971" i="1"/>
  <c r="R5970" i="1"/>
  <c r="J5970" i="1"/>
  <c r="I5970" i="1"/>
  <c r="G5970" i="1"/>
  <c r="F5970" i="1"/>
  <c r="E5970" i="1"/>
  <c r="D5970" i="1"/>
  <c r="C5970" i="1"/>
  <c r="B5970" i="1"/>
  <c r="A5970" i="1"/>
  <c r="R5969" i="1"/>
  <c r="J5969" i="1"/>
  <c r="I5969" i="1"/>
  <c r="G5969" i="1"/>
  <c r="F5969" i="1"/>
  <c r="E5969" i="1"/>
  <c r="D5969" i="1"/>
  <c r="C5969" i="1"/>
  <c r="B5969" i="1"/>
  <c r="A5969" i="1"/>
  <c r="R5968" i="1"/>
  <c r="J5968" i="1"/>
  <c r="I5968" i="1"/>
  <c r="G5968" i="1"/>
  <c r="F5968" i="1"/>
  <c r="E5968" i="1"/>
  <c r="D5968" i="1"/>
  <c r="C5968" i="1"/>
  <c r="B5968" i="1"/>
  <c r="A5968" i="1"/>
  <c r="R5967" i="1"/>
  <c r="J5967" i="1"/>
  <c r="I5967" i="1"/>
  <c r="G5967" i="1"/>
  <c r="F5967" i="1"/>
  <c r="E5967" i="1"/>
  <c r="D5967" i="1"/>
  <c r="C5967" i="1"/>
  <c r="B5967" i="1"/>
  <c r="A5967" i="1"/>
  <c r="R5966" i="1"/>
  <c r="J5966" i="1"/>
  <c r="I5966" i="1"/>
  <c r="G5966" i="1"/>
  <c r="F5966" i="1"/>
  <c r="E5966" i="1"/>
  <c r="D5966" i="1"/>
  <c r="C5966" i="1"/>
  <c r="B5966" i="1"/>
  <c r="A5966" i="1"/>
  <c r="R5965" i="1"/>
  <c r="J5965" i="1"/>
  <c r="I5965" i="1"/>
  <c r="G5965" i="1"/>
  <c r="F5965" i="1"/>
  <c r="E5965" i="1"/>
  <c r="D5965" i="1"/>
  <c r="C5965" i="1"/>
  <c r="B5965" i="1"/>
  <c r="A5965" i="1"/>
  <c r="S5964" i="1"/>
  <c r="O5964" i="1"/>
  <c r="K5964" i="1"/>
  <c r="J5964" i="1"/>
  <c r="I5964" i="1"/>
  <c r="H5964" i="1"/>
  <c r="G5964" i="1"/>
  <c r="F5964" i="1"/>
  <c r="E5964" i="1"/>
  <c r="D5964" i="1"/>
  <c r="C5964" i="1"/>
  <c r="B5964" i="1"/>
  <c r="A5964" i="1"/>
  <c r="R5963" i="1"/>
  <c r="J5963" i="1"/>
  <c r="I5963" i="1"/>
  <c r="G5963" i="1"/>
  <c r="F5963" i="1"/>
  <c r="E5963" i="1"/>
  <c r="D5963" i="1"/>
  <c r="C5963" i="1"/>
  <c r="B5963" i="1"/>
  <c r="A5963" i="1"/>
  <c r="S5962" i="1"/>
  <c r="O5962" i="1"/>
  <c r="K5962" i="1"/>
  <c r="J5962" i="1"/>
  <c r="I5962" i="1"/>
  <c r="H5962" i="1"/>
  <c r="G5962" i="1"/>
  <c r="F5962" i="1"/>
  <c r="E5962" i="1"/>
  <c r="D5962" i="1"/>
  <c r="C5962" i="1"/>
  <c r="B5962" i="1"/>
  <c r="A5962" i="1"/>
  <c r="R5961" i="1"/>
  <c r="J5961" i="1"/>
  <c r="I5961" i="1"/>
  <c r="G5961" i="1"/>
  <c r="F5961" i="1"/>
  <c r="E5961" i="1"/>
  <c r="D5961" i="1"/>
  <c r="C5961" i="1"/>
  <c r="B5961" i="1"/>
  <c r="A5961" i="1"/>
  <c r="S5960" i="1"/>
  <c r="O5960" i="1"/>
  <c r="K5960" i="1"/>
  <c r="J5960" i="1"/>
  <c r="I5960" i="1"/>
  <c r="H5960" i="1"/>
  <c r="G5960" i="1"/>
  <c r="F5960" i="1"/>
  <c r="E5960" i="1"/>
  <c r="D5960" i="1"/>
  <c r="C5960" i="1"/>
  <c r="B5960" i="1"/>
  <c r="A5960" i="1"/>
  <c r="R5959" i="1"/>
  <c r="J5959" i="1"/>
  <c r="I5959" i="1"/>
  <c r="G5959" i="1"/>
  <c r="F5959" i="1"/>
  <c r="E5959" i="1"/>
  <c r="D5959" i="1"/>
  <c r="C5959" i="1"/>
  <c r="B5959" i="1"/>
  <c r="A5959" i="1"/>
  <c r="S5958" i="1"/>
  <c r="O5958" i="1"/>
  <c r="K5958" i="1"/>
  <c r="J5958" i="1"/>
  <c r="I5958" i="1"/>
  <c r="H5958" i="1"/>
  <c r="G5958" i="1"/>
  <c r="F5958" i="1"/>
  <c r="E5958" i="1"/>
  <c r="D5958" i="1"/>
  <c r="C5958" i="1"/>
  <c r="B5958" i="1"/>
  <c r="A5958" i="1"/>
  <c r="R5957" i="1"/>
  <c r="J5957" i="1"/>
  <c r="I5957" i="1"/>
  <c r="G5957" i="1"/>
  <c r="F5957" i="1"/>
  <c r="E5957" i="1"/>
  <c r="D5957" i="1"/>
  <c r="C5957" i="1"/>
  <c r="B5957" i="1"/>
  <c r="A5957" i="1"/>
  <c r="R5956" i="1"/>
  <c r="J5956" i="1"/>
  <c r="I5956" i="1"/>
  <c r="G5956" i="1"/>
  <c r="F5956" i="1"/>
  <c r="E5956" i="1"/>
  <c r="D5956" i="1"/>
  <c r="C5956" i="1"/>
  <c r="B5956" i="1"/>
  <c r="A5956" i="1"/>
  <c r="R5955" i="1"/>
  <c r="J5955" i="1"/>
  <c r="I5955" i="1"/>
  <c r="G5955" i="1"/>
  <c r="F5955" i="1"/>
  <c r="E5955" i="1"/>
  <c r="D5955" i="1"/>
  <c r="C5955" i="1"/>
  <c r="B5955" i="1"/>
  <c r="A5955" i="1"/>
  <c r="S5954" i="1"/>
  <c r="O5954" i="1"/>
  <c r="K5954" i="1"/>
  <c r="J5954" i="1"/>
  <c r="I5954" i="1"/>
  <c r="H5954" i="1"/>
  <c r="G5954" i="1"/>
  <c r="F5954" i="1"/>
  <c r="E5954" i="1"/>
  <c r="D5954" i="1"/>
  <c r="C5954" i="1"/>
  <c r="B5954" i="1"/>
  <c r="A5954" i="1"/>
  <c r="R5953" i="1"/>
  <c r="J5953" i="1"/>
  <c r="I5953" i="1"/>
  <c r="G5953" i="1"/>
  <c r="F5953" i="1"/>
  <c r="E5953" i="1"/>
  <c r="D5953" i="1"/>
  <c r="C5953" i="1"/>
  <c r="B5953" i="1"/>
  <c r="A5953" i="1"/>
  <c r="S5952" i="1"/>
  <c r="O5952" i="1"/>
  <c r="K5952" i="1"/>
  <c r="J5952" i="1"/>
  <c r="I5952" i="1"/>
  <c r="H5952" i="1"/>
  <c r="G5952" i="1"/>
  <c r="F5952" i="1"/>
  <c r="E5952" i="1"/>
  <c r="D5952" i="1"/>
  <c r="C5952" i="1"/>
  <c r="B5952" i="1"/>
  <c r="A5952" i="1"/>
  <c r="R5951" i="1"/>
  <c r="J5951" i="1"/>
  <c r="I5951" i="1"/>
  <c r="G5951" i="1"/>
  <c r="F5951" i="1"/>
  <c r="E5951" i="1"/>
  <c r="D5951" i="1"/>
  <c r="C5951" i="1"/>
  <c r="B5951" i="1"/>
  <c r="A5951" i="1"/>
  <c r="S5950" i="1"/>
  <c r="O5950" i="1"/>
  <c r="K5950" i="1"/>
  <c r="J5950" i="1"/>
  <c r="I5950" i="1"/>
  <c r="H5950" i="1"/>
  <c r="G5950" i="1"/>
  <c r="F5950" i="1"/>
  <c r="E5950" i="1"/>
  <c r="D5950" i="1"/>
  <c r="C5950" i="1"/>
  <c r="B5950" i="1"/>
  <c r="A5950" i="1"/>
  <c r="R5949" i="1"/>
  <c r="J5949" i="1"/>
  <c r="I5949" i="1"/>
  <c r="G5949" i="1"/>
  <c r="F5949" i="1"/>
  <c r="E5949" i="1"/>
  <c r="D5949" i="1"/>
  <c r="C5949" i="1"/>
  <c r="B5949" i="1"/>
  <c r="A5949" i="1"/>
  <c r="S5948" i="1"/>
  <c r="O5948" i="1"/>
  <c r="K5948" i="1"/>
  <c r="J5948" i="1"/>
  <c r="I5948" i="1"/>
  <c r="H5948" i="1"/>
  <c r="G5948" i="1"/>
  <c r="F5948" i="1"/>
  <c r="E5948" i="1"/>
  <c r="D5948" i="1"/>
  <c r="C5948" i="1"/>
  <c r="B5948" i="1"/>
  <c r="A5948" i="1"/>
  <c r="R5947" i="1"/>
  <c r="J5947" i="1"/>
  <c r="I5947" i="1"/>
  <c r="G5947" i="1"/>
  <c r="F5947" i="1"/>
  <c r="E5947" i="1"/>
  <c r="D5947" i="1"/>
  <c r="C5947" i="1"/>
  <c r="B5947" i="1"/>
  <c r="A5947" i="1"/>
  <c r="S5946" i="1"/>
  <c r="O5946" i="1"/>
  <c r="K5946" i="1"/>
  <c r="J5946" i="1"/>
  <c r="I5946" i="1"/>
  <c r="H5946" i="1"/>
  <c r="G5946" i="1"/>
  <c r="F5946" i="1"/>
  <c r="E5946" i="1"/>
  <c r="D5946" i="1"/>
  <c r="C5946" i="1"/>
  <c r="B5946" i="1"/>
  <c r="A5946" i="1"/>
  <c r="R5945" i="1"/>
  <c r="J5945" i="1"/>
  <c r="I5945" i="1"/>
  <c r="G5945" i="1"/>
  <c r="F5945" i="1"/>
  <c r="E5945" i="1"/>
  <c r="D5945" i="1"/>
  <c r="C5945" i="1"/>
  <c r="B5945" i="1"/>
  <c r="A5945" i="1"/>
  <c r="S5944" i="1"/>
  <c r="O5944" i="1"/>
  <c r="K5944" i="1"/>
  <c r="J5944" i="1"/>
  <c r="I5944" i="1"/>
  <c r="H5944" i="1"/>
  <c r="G5944" i="1"/>
  <c r="F5944" i="1"/>
  <c r="E5944" i="1"/>
  <c r="D5944" i="1"/>
  <c r="C5944" i="1"/>
  <c r="B5944" i="1"/>
  <c r="A5944" i="1"/>
  <c r="R5943" i="1"/>
  <c r="J5943" i="1"/>
  <c r="I5943" i="1"/>
  <c r="G5943" i="1"/>
  <c r="F5943" i="1"/>
  <c r="E5943" i="1"/>
  <c r="D5943" i="1"/>
  <c r="C5943" i="1"/>
  <c r="B5943" i="1"/>
  <c r="A5943" i="1"/>
  <c r="S5942" i="1"/>
  <c r="O5942" i="1"/>
  <c r="K5942" i="1"/>
  <c r="J5942" i="1"/>
  <c r="I5942" i="1"/>
  <c r="H5942" i="1"/>
  <c r="G5942" i="1"/>
  <c r="F5942" i="1"/>
  <c r="E5942" i="1"/>
  <c r="D5942" i="1"/>
  <c r="C5942" i="1"/>
  <c r="B5942" i="1"/>
  <c r="A5942" i="1"/>
  <c r="R5941" i="1"/>
  <c r="J5941" i="1"/>
  <c r="I5941" i="1"/>
  <c r="G5941" i="1"/>
  <c r="F5941" i="1"/>
  <c r="E5941" i="1"/>
  <c r="D5941" i="1"/>
  <c r="C5941" i="1"/>
  <c r="B5941" i="1"/>
  <c r="A5941" i="1"/>
  <c r="S5940" i="1"/>
  <c r="O5940" i="1"/>
  <c r="K5940" i="1"/>
  <c r="J5940" i="1"/>
  <c r="I5940" i="1"/>
  <c r="H5940" i="1"/>
  <c r="G5940" i="1"/>
  <c r="F5940" i="1"/>
  <c r="E5940" i="1"/>
  <c r="D5940" i="1"/>
  <c r="C5940" i="1"/>
  <c r="B5940" i="1"/>
  <c r="A5940" i="1"/>
  <c r="R5939" i="1"/>
  <c r="J5939" i="1"/>
  <c r="I5939" i="1"/>
  <c r="G5939" i="1"/>
  <c r="F5939" i="1"/>
  <c r="E5939" i="1"/>
  <c r="D5939" i="1"/>
  <c r="C5939" i="1"/>
  <c r="B5939" i="1"/>
  <c r="A5939" i="1"/>
  <c r="S5938" i="1"/>
  <c r="O5938" i="1"/>
  <c r="K5938" i="1"/>
  <c r="J5938" i="1"/>
  <c r="I5938" i="1"/>
  <c r="H5938" i="1"/>
  <c r="G5938" i="1"/>
  <c r="F5938" i="1"/>
  <c r="E5938" i="1"/>
  <c r="D5938" i="1"/>
  <c r="C5938" i="1"/>
  <c r="B5938" i="1"/>
  <c r="A5938" i="1"/>
  <c r="R5937" i="1"/>
  <c r="J5937" i="1"/>
  <c r="I5937" i="1"/>
  <c r="G5937" i="1"/>
  <c r="F5937" i="1"/>
  <c r="E5937" i="1"/>
  <c r="D5937" i="1"/>
  <c r="C5937" i="1"/>
  <c r="B5937" i="1"/>
  <c r="A5937" i="1"/>
  <c r="S5936" i="1"/>
  <c r="O5936" i="1"/>
  <c r="K5936" i="1"/>
  <c r="J5936" i="1"/>
  <c r="I5936" i="1"/>
  <c r="H5936" i="1"/>
  <c r="G5936" i="1"/>
  <c r="F5936" i="1"/>
  <c r="E5936" i="1"/>
  <c r="D5936" i="1"/>
  <c r="C5936" i="1"/>
  <c r="B5936" i="1"/>
  <c r="A5936" i="1"/>
  <c r="R5935" i="1"/>
  <c r="J5935" i="1"/>
  <c r="I5935" i="1"/>
  <c r="G5935" i="1"/>
  <c r="F5935" i="1"/>
  <c r="E5935" i="1"/>
  <c r="D5935" i="1"/>
  <c r="C5935" i="1"/>
  <c r="B5935" i="1"/>
  <c r="A5935" i="1"/>
  <c r="S5934" i="1"/>
  <c r="O5934" i="1"/>
  <c r="K5934" i="1"/>
  <c r="J5934" i="1"/>
  <c r="I5934" i="1"/>
  <c r="H5934" i="1"/>
  <c r="G5934" i="1"/>
  <c r="F5934" i="1"/>
  <c r="E5934" i="1"/>
  <c r="D5934" i="1"/>
  <c r="C5934" i="1"/>
  <c r="B5934" i="1"/>
  <c r="A5934" i="1"/>
  <c r="R5933" i="1"/>
  <c r="J5933" i="1"/>
  <c r="I5933" i="1"/>
  <c r="G5933" i="1"/>
  <c r="F5933" i="1"/>
  <c r="E5933" i="1"/>
  <c r="D5933" i="1"/>
  <c r="C5933" i="1"/>
  <c r="B5933" i="1"/>
  <c r="A5933" i="1"/>
  <c r="S5932" i="1"/>
  <c r="O5932" i="1"/>
  <c r="K5932" i="1"/>
  <c r="J5932" i="1"/>
  <c r="I5932" i="1"/>
  <c r="H5932" i="1"/>
  <c r="G5932" i="1"/>
  <c r="F5932" i="1"/>
  <c r="E5932" i="1"/>
  <c r="D5932" i="1"/>
  <c r="C5932" i="1"/>
  <c r="B5932" i="1"/>
  <c r="A5932" i="1"/>
  <c r="R5931" i="1"/>
  <c r="J5931" i="1"/>
  <c r="I5931" i="1"/>
  <c r="G5931" i="1"/>
  <c r="F5931" i="1"/>
  <c r="E5931" i="1"/>
  <c r="D5931" i="1"/>
  <c r="C5931" i="1"/>
  <c r="B5931" i="1"/>
  <c r="A5931" i="1"/>
  <c r="R5930" i="1"/>
  <c r="J5930" i="1"/>
  <c r="I5930" i="1"/>
  <c r="G5930" i="1"/>
  <c r="F5930" i="1"/>
  <c r="E5930" i="1"/>
  <c r="D5930" i="1"/>
  <c r="C5930" i="1"/>
  <c r="B5930" i="1"/>
  <c r="A5930" i="1"/>
  <c r="R5929" i="1"/>
  <c r="J5929" i="1"/>
  <c r="I5929" i="1"/>
  <c r="G5929" i="1"/>
  <c r="F5929" i="1"/>
  <c r="E5929" i="1"/>
  <c r="D5929" i="1"/>
  <c r="C5929" i="1"/>
  <c r="B5929" i="1"/>
  <c r="A5929" i="1"/>
  <c r="S5928" i="1"/>
  <c r="O5928" i="1"/>
  <c r="K5928" i="1"/>
  <c r="J5928" i="1"/>
  <c r="I5928" i="1"/>
  <c r="H5928" i="1"/>
  <c r="G5928" i="1"/>
  <c r="F5928" i="1"/>
  <c r="E5928" i="1"/>
  <c r="D5928" i="1"/>
  <c r="C5928" i="1"/>
  <c r="B5928" i="1"/>
  <c r="A5928" i="1"/>
  <c r="R5927" i="1"/>
  <c r="J5927" i="1"/>
  <c r="I5927" i="1"/>
  <c r="G5927" i="1"/>
  <c r="F5927" i="1"/>
  <c r="E5927" i="1"/>
  <c r="D5927" i="1"/>
  <c r="C5927" i="1"/>
  <c r="B5927" i="1"/>
  <c r="A5927" i="1"/>
  <c r="S5926" i="1"/>
  <c r="O5926" i="1"/>
  <c r="K5926" i="1"/>
  <c r="J5926" i="1"/>
  <c r="I5926" i="1"/>
  <c r="H5926" i="1"/>
  <c r="G5926" i="1"/>
  <c r="F5926" i="1"/>
  <c r="E5926" i="1"/>
  <c r="D5926" i="1"/>
  <c r="C5926" i="1"/>
  <c r="B5926" i="1"/>
  <c r="A5926" i="1"/>
  <c r="R5925" i="1"/>
  <c r="J5925" i="1"/>
  <c r="I5925" i="1"/>
  <c r="G5925" i="1"/>
  <c r="F5925" i="1"/>
  <c r="E5925" i="1"/>
  <c r="D5925" i="1"/>
  <c r="C5925" i="1"/>
  <c r="B5925" i="1"/>
  <c r="A5925" i="1"/>
  <c r="S5924" i="1"/>
  <c r="O5924" i="1"/>
  <c r="K5924" i="1"/>
  <c r="J5924" i="1"/>
  <c r="I5924" i="1"/>
  <c r="H5924" i="1"/>
  <c r="G5924" i="1"/>
  <c r="F5924" i="1"/>
  <c r="E5924" i="1"/>
  <c r="D5924" i="1"/>
  <c r="C5924" i="1"/>
  <c r="B5924" i="1"/>
  <c r="A5924" i="1"/>
  <c r="R5923" i="1"/>
  <c r="J5923" i="1"/>
  <c r="I5923" i="1"/>
  <c r="G5923" i="1"/>
  <c r="F5923" i="1"/>
  <c r="E5923" i="1"/>
  <c r="D5923" i="1"/>
  <c r="C5923" i="1"/>
  <c r="B5923" i="1"/>
  <c r="A5923" i="1"/>
  <c r="S5922" i="1"/>
  <c r="O5922" i="1"/>
  <c r="K5922" i="1"/>
  <c r="J5922" i="1"/>
  <c r="I5922" i="1"/>
  <c r="H5922" i="1"/>
  <c r="G5922" i="1"/>
  <c r="F5922" i="1"/>
  <c r="E5922" i="1"/>
  <c r="D5922" i="1"/>
  <c r="C5922" i="1"/>
  <c r="B5922" i="1"/>
  <c r="A5922" i="1"/>
  <c r="R5921" i="1"/>
  <c r="J5921" i="1"/>
  <c r="I5921" i="1"/>
  <c r="G5921" i="1"/>
  <c r="F5921" i="1"/>
  <c r="E5921" i="1"/>
  <c r="D5921" i="1"/>
  <c r="C5921" i="1"/>
  <c r="B5921" i="1"/>
  <c r="A5921" i="1"/>
  <c r="S5920" i="1"/>
  <c r="O5920" i="1"/>
  <c r="K5920" i="1"/>
  <c r="J5920" i="1"/>
  <c r="I5920" i="1"/>
  <c r="H5920" i="1"/>
  <c r="G5920" i="1"/>
  <c r="F5920" i="1"/>
  <c r="E5920" i="1"/>
  <c r="D5920" i="1"/>
  <c r="C5920" i="1"/>
  <c r="B5920" i="1"/>
  <c r="A5920" i="1"/>
  <c r="R5919" i="1"/>
  <c r="J5919" i="1"/>
  <c r="I5919" i="1"/>
  <c r="G5919" i="1"/>
  <c r="F5919" i="1"/>
  <c r="E5919" i="1"/>
  <c r="D5919" i="1"/>
  <c r="C5919" i="1"/>
  <c r="B5919" i="1"/>
  <c r="A5919" i="1"/>
  <c r="S5918" i="1"/>
  <c r="O5918" i="1"/>
  <c r="K5918" i="1"/>
  <c r="J5918" i="1"/>
  <c r="I5918" i="1"/>
  <c r="H5918" i="1"/>
  <c r="G5918" i="1"/>
  <c r="F5918" i="1"/>
  <c r="E5918" i="1"/>
  <c r="D5918" i="1"/>
  <c r="C5918" i="1"/>
  <c r="B5918" i="1"/>
  <c r="A5918" i="1"/>
  <c r="R5917" i="1"/>
  <c r="J5917" i="1"/>
  <c r="I5917" i="1"/>
  <c r="G5917" i="1"/>
  <c r="F5917" i="1"/>
  <c r="E5917" i="1"/>
  <c r="D5917" i="1"/>
  <c r="C5917" i="1"/>
  <c r="B5917" i="1"/>
  <c r="A5917" i="1"/>
  <c r="S5916" i="1"/>
  <c r="O5916" i="1"/>
  <c r="K5916" i="1"/>
  <c r="J5916" i="1"/>
  <c r="I5916" i="1"/>
  <c r="H5916" i="1"/>
  <c r="G5916" i="1"/>
  <c r="F5916" i="1"/>
  <c r="E5916" i="1"/>
  <c r="D5916" i="1"/>
  <c r="C5916" i="1"/>
  <c r="B5916" i="1"/>
  <c r="A5916" i="1"/>
  <c r="R5915" i="1"/>
  <c r="J5915" i="1"/>
  <c r="I5915" i="1"/>
  <c r="G5915" i="1"/>
  <c r="F5915" i="1"/>
  <c r="E5915" i="1"/>
  <c r="D5915" i="1"/>
  <c r="C5915" i="1"/>
  <c r="B5915" i="1"/>
  <c r="A5915" i="1"/>
  <c r="S5914" i="1"/>
  <c r="O5914" i="1"/>
  <c r="K5914" i="1"/>
  <c r="J5914" i="1"/>
  <c r="I5914" i="1"/>
  <c r="H5914" i="1"/>
  <c r="G5914" i="1"/>
  <c r="F5914" i="1"/>
  <c r="E5914" i="1"/>
  <c r="D5914" i="1"/>
  <c r="C5914" i="1"/>
  <c r="B5914" i="1"/>
  <c r="A5914" i="1"/>
  <c r="R5913" i="1"/>
  <c r="J5913" i="1"/>
  <c r="I5913" i="1"/>
  <c r="G5913" i="1"/>
  <c r="F5913" i="1"/>
  <c r="E5913" i="1"/>
  <c r="D5913" i="1"/>
  <c r="C5913" i="1"/>
  <c r="B5913" i="1"/>
  <c r="A5913" i="1"/>
  <c r="S5912" i="1"/>
  <c r="O5912" i="1"/>
  <c r="K5912" i="1"/>
  <c r="J5912" i="1"/>
  <c r="I5912" i="1"/>
  <c r="H5912" i="1"/>
  <c r="G5912" i="1"/>
  <c r="F5912" i="1"/>
  <c r="E5912" i="1"/>
  <c r="D5912" i="1"/>
  <c r="C5912" i="1"/>
  <c r="B5912" i="1"/>
  <c r="A5912" i="1"/>
  <c r="R5911" i="1"/>
  <c r="J5911" i="1"/>
  <c r="I5911" i="1"/>
  <c r="G5911" i="1"/>
  <c r="F5911" i="1"/>
  <c r="E5911" i="1"/>
  <c r="D5911" i="1"/>
  <c r="C5911" i="1"/>
  <c r="B5911" i="1"/>
  <c r="A5911" i="1"/>
  <c r="S5910" i="1"/>
  <c r="O5910" i="1"/>
  <c r="K5910" i="1"/>
  <c r="J5910" i="1"/>
  <c r="I5910" i="1"/>
  <c r="H5910" i="1"/>
  <c r="G5910" i="1"/>
  <c r="F5910" i="1"/>
  <c r="E5910" i="1"/>
  <c r="D5910" i="1"/>
  <c r="C5910" i="1"/>
  <c r="B5910" i="1"/>
  <c r="A5910" i="1"/>
  <c r="R5909" i="1"/>
  <c r="J5909" i="1"/>
  <c r="I5909" i="1"/>
  <c r="G5909" i="1"/>
  <c r="F5909" i="1"/>
  <c r="E5909" i="1"/>
  <c r="D5909" i="1"/>
  <c r="C5909" i="1"/>
  <c r="B5909" i="1"/>
  <c r="A5909" i="1"/>
  <c r="S5908" i="1"/>
  <c r="O5908" i="1"/>
  <c r="K5908" i="1"/>
  <c r="J5908" i="1"/>
  <c r="I5908" i="1"/>
  <c r="H5908" i="1"/>
  <c r="G5908" i="1"/>
  <c r="F5908" i="1"/>
  <c r="E5908" i="1"/>
  <c r="D5908" i="1"/>
  <c r="C5908" i="1"/>
  <c r="B5908" i="1"/>
  <c r="A5908" i="1"/>
  <c r="R5907" i="1"/>
  <c r="J5907" i="1"/>
  <c r="I5907" i="1"/>
  <c r="G5907" i="1"/>
  <c r="F5907" i="1"/>
  <c r="E5907" i="1"/>
  <c r="D5907" i="1"/>
  <c r="C5907" i="1"/>
  <c r="B5907" i="1"/>
  <c r="A5907" i="1"/>
  <c r="S5906" i="1"/>
  <c r="O5906" i="1"/>
  <c r="K5906" i="1"/>
  <c r="J5906" i="1"/>
  <c r="I5906" i="1"/>
  <c r="H5906" i="1"/>
  <c r="G5906" i="1"/>
  <c r="F5906" i="1"/>
  <c r="E5906" i="1"/>
  <c r="D5906" i="1"/>
  <c r="C5906" i="1"/>
  <c r="B5906" i="1"/>
  <c r="A5906" i="1"/>
  <c r="R5905" i="1"/>
  <c r="J5905" i="1"/>
  <c r="I5905" i="1"/>
  <c r="G5905" i="1"/>
  <c r="F5905" i="1"/>
  <c r="E5905" i="1"/>
  <c r="D5905" i="1"/>
  <c r="C5905" i="1"/>
  <c r="B5905" i="1"/>
  <c r="A5905" i="1"/>
  <c r="S5904" i="1"/>
  <c r="O5904" i="1"/>
  <c r="K5904" i="1"/>
  <c r="J5904" i="1"/>
  <c r="I5904" i="1"/>
  <c r="H5904" i="1"/>
  <c r="G5904" i="1"/>
  <c r="F5904" i="1"/>
  <c r="E5904" i="1"/>
  <c r="D5904" i="1"/>
  <c r="C5904" i="1"/>
  <c r="B5904" i="1"/>
  <c r="A5904" i="1"/>
  <c r="S5903" i="1"/>
  <c r="O5903" i="1"/>
  <c r="K5903" i="1"/>
  <c r="J5903" i="1"/>
  <c r="I5903" i="1"/>
  <c r="H5903" i="1"/>
  <c r="G5903" i="1"/>
  <c r="F5903" i="1"/>
  <c r="D5903" i="1"/>
  <c r="C5903" i="1"/>
  <c r="B5903" i="1"/>
  <c r="A5903" i="1"/>
  <c r="S5902" i="1"/>
  <c r="O5902" i="1"/>
  <c r="K5902" i="1"/>
  <c r="J5902" i="1"/>
  <c r="I5902" i="1"/>
  <c r="H5902" i="1"/>
  <c r="G5902" i="1"/>
  <c r="F5902" i="1"/>
  <c r="D5902" i="1"/>
  <c r="C5902" i="1"/>
  <c r="B5902" i="1"/>
  <c r="A5902" i="1"/>
  <c r="R5901" i="1"/>
  <c r="J5901" i="1"/>
  <c r="I5901" i="1"/>
  <c r="G5901" i="1"/>
  <c r="F5901" i="1"/>
  <c r="E5901" i="1"/>
  <c r="D5901" i="1"/>
  <c r="C5901" i="1"/>
  <c r="B5901" i="1"/>
  <c r="A5901" i="1"/>
  <c r="S5900" i="1"/>
  <c r="O5900" i="1"/>
  <c r="K5900" i="1"/>
  <c r="J5900" i="1"/>
  <c r="I5900" i="1"/>
  <c r="H5900" i="1"/>
  <c r="G5900" i="1"/>
  <c r="F5900" i="1"/>
  <c r="E5900" i="1"/>
  <c r="D5900" i="1"/>
  <c r="C5900" i="1"/>
  <c r="B5900" i="1"/>
  <c r="A5900" i="1"/>
  <c r="S5899" i="1"/>
  <c r="O5899" i="1"/>
  <c r="K5899" i="1"/>
  <c r="J5899" i="1"/>
  <c r="I5899" i="1"/>
  <c r="H5899" i="1"/>
  <c r="G5899" i="1"/>
  <c r="F5899" i="1"/>
  <c r="D5899" i="1"/>
  <c r="C5899" i="1"/>
  <c r="B5899" i="1"/>
  <c r="A5899" i="1"/>
  <c r="S5898" i="1"/>
  <c r="O5898" i="1"/>
  <c r="K5898" i="1"/>
  <c r="J5898" i="1"/>
  <c r="I5898" i="1"/>
  <c r="H5898" i="1"/>
  <c r="G5898" i="1"/>
  <c r="F5898" i="1"/>
  <c r="D5898" i="1"/>
  <c r="C5898" i="1"/>
  <c r="B5898" i="1"/>
  <c r="A5898" i="1"/>
  <c r="R5897" i="1"/>
  <c r="J5897" i="1"/>
  <c r="I5897" i="1"/>
  <c r="G5897" i="1"/>
  <c r="F5897" i="1"/>
  <c r="E5897" i="1"/>
  <c r="D5897" i="1"/>
  <c r="C5897" i="1"/>
  <c r="B5897" i="1"/>
  <c r="A5897" i="1"/>
  <c r="S5896" i="1"/>
  <c r="O5896" i="1"/>
  <c r="K5896" i="1"/>
  <c r="J5896" i="1"/>
  <c r="I5896" i="1"/>
  <c r="H5896" i="1"/>
  <c r="G5896" i="1"/>
  <c r="F5896" i="1"/>
  <c r="E5896" i="1"/>
  <c r="D5896" i="1"/>
  <c r="C5896" i="1"/>
  <c r="B5896" i="1"/>
  <c r="A5896" i="1"/>
  <c r="R5895" i="1"/>
  <c r="J5895" i="1"/>
  <c r="I5895" i="1"/>
  <c r="G5895" i="1"/>
  <c r="F5895" i="1"/>
  <c r="E5895" i="1"/>
  <c r="D5895" i="1"/>
  <c r="C5895" i="1"/>
  <c r="B5895" i="1"/>
  <c r="A5895" i="1"/>
  <c r="S5894" i="1"/>
  <c r="O5894" i="1"/>
  <c r="K5894" i="1"/>
  <c r="J5894" i="1"/>
  <c r="I5894" i="1"/>
  <c r="H5894" i="1"/>
  <c r="G5894" i="1"/>
  <c r="F5894" i="1"/>
  <c r="E5894" i="1"/>
  <c r="D5894" i="1"/>
  <c r="C5894" i="1"/>
  <c r="B5894" i="1"/>
  <c r="A5894" i="1"/>
  <c r="S5893" i="1"/>
  <c r="O5893" i="1"/>
  <c r="K5893" i="1"/>
  <c r="J5893" i="1"/>
  <c r="I5893" i="1"/>
  <c r="H5893" i="1"/>
  <c r="G5893" i="1"/>
  <c r="F5893" i="1"/>
  <c r="E5893" i="1"/>
  <c r="D5893" i="1"/>
  <c r="C5893" i="1"/>
  <c r="B5893" i="1"/>
  <c r="A5893" i="1"/>
  <c r="R5892" i="1"/>
  <c r="J5892" i="1"/>
  <c r="I5892" i="1"/>
  <c r="G5892" i="1"/>
  <c r="F5892" i="1"/>
  <c r="E5892" i="1"/>
  <c r="D5892" i="1"/>
  <c r="C5892" i="1"/>
  <c r="B5892" i="1"/>
  <c r="A5892" i="1"/>
  <c r="S5891" i="1"/>
  <c r="O5891" i="1"/>
  <c r="K5891" i="1"/>
  <c r="J5891" i="1"/>
  <c r="I5891" i="1"/>
  <c r="H5891" i="1"/>
  <c r="G5891" i="1"/>
  <c r="F5891" i="1"/>
  <c r="E5891" i="1"/>
  <c r="D5891" i="1"/>
  <c r="C5891" i="1"/>
  <c r="B5891" i="1"/>
  <c r="A5891" i="1"/>
  <c r="R5890" i="1"/>
  <c r="J5890" i="1"/>
  <c r="I5890" i="1"/>
  <c r="G5890" i="1"/>
  <c r="F5890" i="1"/>
  <c r="E5890" i="1"/>
  <c r="D5890" i="1"/>
  <c r="C5890" i="1"/>
  <c r="B5890" i="1"/>
  <c r="A5890" i="1"/>
  <c r="S5889" i="1"/>
  <c r="O5889" i="1"/>
  <c r="K5889" i="1"/>
  <c r="J5889" i="1"/>
  <c r="I5889" i="1"/>
  <c r="H5889" i="1"/>
  <c r="G5889" i="1"/>
  <c r="F5889" i="1"/>
  <c r="E5889" i="1"/>
  <c r="D5889" i="1"/>
  <c r="C5889" i="1"/>
  <c r="B5889" i="1"/>
  <c r="A5889" i="1"/>
  <c r="R5888" i="1"/>
  <c r="J5888" i="1"/>
  <c r="I5888" i="1"/>
  <c r="G5888" i="1"/>
  <c r="F5888" i="1"/>
  <c r="E5888" i="1"/>
  <c r="D5888" i="1"/>
  <c r="C5888" i="1"/>
  <c r="B5888" i="1"/>
  <c r="A5888" i="1"/>
  <c r="S5887" i="1"/>
  <c r="O5887" i="1"/>
  <c r="K5887" i="1"/>
  <c r="J5887" i="1"/>
  <c r="I5887" i="1"/>
  <c r="H5887" i="1"/>
  <c r="G5887" i="1"/>
  <c r="F5887" i="1"/>
  <c r="E5887" i="1"/>
  <c r="D5887" i="1"/>
  <c r="C5887" i="1"/>
  <c r="B5887" i="1"/>
  <c r="A5887" i="1"/>
  <c r="S5886" i="1"/>
  <c r="O5886" i="1"/>
  <c r="K5886" i="1"/>
  <c r="J5886" i="1"/>
  <c r="I5886" i="1"/>
  <c r="H5886" i="1"/>
  <c r="G5886" i="1"/>
  <c r="F5886" i="1"/>
  <c r="D5886" i="1"/>
  <c r="C5886" i="1"/>
  <c r="B5886" i="1"/>
  <c r="A5886" i="1"/>
  <c r="R5885" i="1"/>
  <c r="J5885" i="1"/>
  <c r="I5885" i="1"/>
  <c r="G5885" i="1"/>
  <c r="F5885" i="1"/>
  <c r="E5885" i="1"/>
  <c r="D5885" i="1"/>
  <c r="C5885" i="1"/>
  <c r="B5885" i="1"/>
  <c r="A5885" i="1"/>
  <c r="S5884" i="1"/>
  <c r="O5884" i="1"/>
  <c r="K5884" i="1"/>
  <c r="J5884" i="1"/>
  <c r="I5884" i="1"/>
  <c r="H5884" i="1"/>
  <c r="G5884" i="1"/>
  <c r="F5884" i="1"/>
  <c r="E5884" i="1"/>
  <c r="D5884" i="1"/>
  <c r="C5884" i="1"/>
  <c r="B5884" i="1"/>
  <c r="A5884" i="1"/>
  <c r="S5883" i="1"/>
  <c r="O5883" i="1"/>
  <c r="K5883" i="1"/>
  <c r="J5883" i="1"/>
  <c r="I5883" i="1"/>
  <c r="H5883" i="1"/>
  <c r="G5883" i="1"/>
  <c r="F5883" i="1"/>
  <c r="E5883" i="1"/>
  <c r="D5883" i="1"/>
  <c r="C5883" i="1"/>
  <c r="B5883" i="1"/>
  <c r="A5883" i="1"/>
  <c r="R5882" i="1"/>
  <c r="J5882" i="1"/>
  <c r="I5882" i="1"/>
  <c r="G5882" i="1"/>
  <c r="F5882" i="1"/>
  <c r="E5882" i="1"/>
  <c r="D5882" i="1"/>
  <c r="C5882" i="1"/>
  <c r="B5882" i="1"/>
  <c r="A5882" i="1"/>
  <c r="S5881" i="1"/>
  <c r="O5881" i="1"/>
  <c r="K5881" i="1"/>
  <c r="J5881" i="1"/>
  <c r="I5881" i="1"/>
  <c r="H5881" i="1"/>
  <c r="G5881" i="1"/>
  <c r="F5881" i="1"/>
  <c r="E5881" i="1"/>
  <c r="D5881" i="1"/>
  <c r="C5881" i="1"/>
  <c r="B5881" i="1"/>
  <c r="A5881" i="1"/>
  <c r="R5880" i="1"/>
  <c r="J5880" i="1"/>
  <c r="I5880" i="1"/>
  <c r="G5880" i="1"/>
  <c r="F5880" i="1"/>
  <c r="E5880" i="1"/>
  <c r="D5880" i="1"/>
  <c r="C5880" i="1"/>
  <c r="B5880" i="1"/>
  <c r="A5880" i="1"/>
  <c r="S5879" i="1"/>
  <c r="O5879" i="1"/>
  <c r="K5879" i="1"/>
  <c r="J5879" i="1"/>
  <c r="I5879" i="1"/>
  <c r="H5879" i="1"/>
  <c r="G5879" i="1"/>
  <c r="F5879" i="1"/>
  <c r="E5879" i="1"/>
  <c r="D5879" i="1"/>
  <c r="C5879" i="1"/>
  <c r="B5879" i="1"/>
  <c r="A5879" i="1"/>
  <c r="R5878" i="1"/>
  <c r="J5878" i="1"/>
  <c r="I5878" i="1"/>
  <c r="G5878" i="1"/>
  <c r="F5878" i="1"/>
  <c r="E5878" i="1"/>
  <c r="D5878" i="1"/>
  <c r="C5878" i="1"/>
  <c r="B5878" i="1"/>
  <c r="A5878" i="1"/>
  <c r="S5877" i="1"/>
  <c r="O5877" i="1"/>
  <c r="K5877" i="1"/>
  <c r="J5877" i="1"/>
  <c r="I5877" i="1"/>
  <c r="H5877" i="1"/>
  <c r="G5877" i="1"/>
  <c r="F5877" i="1"/>
  <c r="E5877" i="1"/>
  <c r="D5877" i="1"/>
  <c r="C5877" i="1"/>
  <c r="B5877" i="1"/>
  <c r="A5877" i="1"/>
  <c r="R5876" i="1"/>
  <c r="J5876" i="1"/>
  <c r="I5876" i="1"/>
  <c r="G5876" i="1"/>
  <c r="F5876" i="1"/>
  <c r="E5876" i="1"/>
  <c r="D5876" i="1"/>
  <c r="C5876" i="1"/>
  <c r="B5876" i="1"/>
  <c r="A5876" i="1"/>
  <c r="S5875" i="1"/>
  <c r="O5875" i="1"/>
  <c r="K5875" i="1"/>
  <c r="J5875" i="1"/>
  <c r="I5875" i="1"/>
  <c r="H5875" i="1"/>
  <c r="G5875" i="1"/>
  <c r="F5875" i="1"/>
  <c r="E5875" i="1"/>
  <c r="D5875" i="1"/>
  <c r="C5875" i="1"/>
  <c r="B5875" i="1"/>
  <c r="A5875" i="1"/>
  <c r="R5874" i="1"/>
  <c r="J5874" i="1"/>
  <c r="I5874" i="1"/>
  <c r="G5874" i="1"/>
  <c r="F5874" i="1"/>
  <c r="E5874" i="1"/>
  <c r="D5874" i="1"/>
  <c r="C5874" i="1"/>
  <c r="B5874" i="1"/>
  <c r="A5874" i="1"/>
  <c r="R5873" i="1"/>
  <c r="J5873" i="1"/>
  <c r="I5873" i="1"/>
  <c r="G5873" i="1"/>
  <c r="F5873" i="1"/>
  <c r="E5873" i="1"/>
  <c r="D5873" i="1"/>
  <c r="C5873" i="1"/>
  <c r="B5873" i="1"/>
  <c r="A5873" i="1"/>
  <c r="R5872" i="1"/>
  <c r="J5872" i="1"/>
  <c r="I5872" i="1"/>
  <c r="G5872" i="1"/>
  <c r="F5872" i="1"/>
  <c r="E5872" i="1"/>
  <c r="D5872" i="1"/>
  <c r="C5872" i="1"/>
  <c r="B5872" i="1"/>
  <c r="A5872" i="1"/>
  <c r="R5871" i="1"/>
  <c r="J5871" i="1"/>
  <c r="I5871" i="1"/>
  <c r="G5871" i="1"/>
  <c r="F5871" i="1"/>
  <c r="E5871" i="1"/>
  <c r="D5871" i="1"/>
  <c r="C5871" i="1"/>
  <c r="B5871" i="1"/>
  <c r="A5871" i="1"/>
  <c r="R5870" i="1"/>
  <c r="J5870" i="1"/>
  <c r="I5870" i="1"/>
  <c r="G5870" i="1"/>
  <c r="F5870" i="1"/>
  <c r="E5870" i="1"/>
  <c r="D5870" i="1"/>
  <c r="C5870" i="1"/>
  <c r="B5870" i="1"/>
  <c r="A5870" i="1"/>
  <c r="R5869" i="1"/>
  <c r="J5869" i="1"/>
  <c r="I5869" i="1"/>
  <c r="G5869" i="1"/>
  <c r="F5869" i="1"/>
  <c r="E5869" i="1"/>
  <c r="D5869" i="1"/>
  <c r="C5869" i="1"/>
  <c r="B5869" i="1"/>
  <c r="A5869" i="1"/>
  <c r="S5868" i="1"/>
  <c r="O5868" i="1"/>
  <c r="K5868" i="1"/>
  <c r="J5868" i="1"/>
  <c r="I5868" i="1"/>
  <c r="H5868" i="1"/>
  <c r="G5868" i="1"/>
  <c r="F5868" i="1"/>
  <c r="E5868" i="1"/>
  <c r="D5868" i="1"/>
  <c r="C5868" i="1"/>
  <c r="B5868" i="1"/>
  <c r="A5868" i="1"/>
  <c r="R5867" i="1"/>
  <c r="J5867" i="1"/>
  <c r="I5867" i="1"/>
  <c r="G5867" i="1"/>
  <c r="F5867" i="1"/>
  <c r="E5867" i="1"/>
  <c r="D5867" i="1"/>
  <c r="C5867" i="1"/>
  <c r="B5867" i="1"/>
  <c r="A5867" i="1"/>
  <c r="R5866" i="1"/>
  <c r="J5866" i="1"/>
  <c r="I5866" i="1"/>
  <c r="G5866" i="1"/>
  <c r="F5866" i="1"/>
  <c r="E5866" i="1"/>
  <c r="D5866" i="1"/>
  <c r="C5866" i="1"/>
  <c r="B5866" i="1"/>
  <c r="A5866" i="1"/>
  <c r="R5865" i="1"/>
  <c r="J5865" i="1"/>
  <c r="I5865" i="1"/>
  <c r="G5865" i="1"/>
  <c r="F5865" i="1"/>
  <c r="E5865" i="1"/>
  <c r="D5865" i="1"/>
  <c r="C5865" i="1"/>
  <c r="B5865" i="1"/>
  <c r="A5865" i="1"/>
  <c r="S5864" i="1"/>
  <c r="O5864" i="1"/>
  <c r="K5864" i="1"/>
  <c r="J5864" i="1"/>
  <c r="I5864" i="1"/>
  <c r="H5864" i="1"/>
  <c r="G5864" i="1"/>
  <c r="F5864" i="1"/>
  <c r="E5864" i="1"/>
  <c r="D5864" i="1"/>
  <c r="C5864" i="1"/>
  <c r="B5864" i="1"/>
  <c r="A5864" i="1"/>
  <c r="R5863" i="1"/>
  <c r="J5863" i="1"/>
  <c r="I5863" i="1"/>
  <c r="G5863" i="1"/>
  <c r="F5863" i="1"/>
  <c r="E5863" i="1"/>
  <c r="D5863" i="1"/>
  <c r="C5863" i="1"/>
  <c r="B5863" i="1"/>
  <c r="A5863" i="1"/>
  <c r="R5862" i="1"/>
  <c r="J5862" i="1"/>
  <c r="I5862" i="1"/>
  <c r="G5862" i="1"/>
  <c r="F5862" i="1"/>
  <c r="E5862" i="1"/>
  <c r="D5862" i="1"/>
  <c r="C5862" i="1"/>
  <c r="B5862" i="1"/>
  <c r="A5862" i="1"/>
  <c r="R5861" i="1"/>
  <c r="J5861" i="1"/>
  <c r="I5861" i="1"/>
  <c r="G5861" i="1"/>
  <c r="F5861" i="1"/>
  <c r="E5861" i="1"/>
  <c r="D5861" i="1"/>
  <c r="C5861" i="1"/>
  <c r="B5861" i="1"/>
  <c r="A5861" i="1"/>
  <c r="S5860" i="1"/>
  <c r="O5860" i="1"/>
  <c r="K5860" i="1"/>
  <c r="J5860" i="1"/>
  <c r="I5860" i="1"/>
  <c r="H5860" i="1"/>
  <c r="G5860" i="1"/>
  <c r="F5860" i="1"/>
  <c r="E5860" i="1"/>
  <c r="D5860" i="1"/>
  <c r="C5860" i="1"/>
  <c r="B5860" i="1"/>
  <c r="A5860" i="1"/>
  <c r="R5859" i="1"/>
  <c r="J5859" i="1"/>
  <c r="I5859" i="1"/>
  <c r="G5859" i="1"/>
  <c r="F5859" i="1"/>
  <c r="E5859" i="1"/>
  <c r="D5859" i="1"/>
  <c r="C5859" i="1"/>
  <c r="B5859" i="1"/>
  <c r="A5859" i="1"/>
  <c r="S5858" i="1"/>
  <c r="O5858" i="1"/>
  <c r="K5858" i="1"/>
  <c r="J5858" i="1"/>
  <c r="I5858" i="1"/>
  <c r="H5858" i="1"/>
  <c r="G5858" i="1"/>
  <c r="F5858" i="1"/>
  <c r="E5858" i="1"/>
  <c r="D5858" i="1"/>
  <c r="C5858" i="1"/>
  <c r="B5858" i="1"/>
  <c r="A5858" i="1"/>
  <c r="R5857" i="1"/>
  <c r="J5857" i="1"/>
  <c r="I5857" i="1"/>
  <c r="G5857" i="1"/>
  <c r="F5857" i="1"/>
  <c r="E5857" i="1"/>
  <c r="D5857" i="1"/>
  <c r="C5857" i="1"/>
  <c r="B5857" i="1"/>
  <c r="A5857" i="1"/>
  <c r="S5856" i="1"/>
  <c r="O5856" i="1"/>
  <c r="K5856" i="1"/>
  <c r="J5856" i="1"/>
  <c r="I5856" i="1"/>
  <c r="H5856" i="1"/>
  <c r="G5856" i="1"/>
  <c r="F5856" i="1"/>
  <c r="E5856" i="1"/>
  <c r="D5856" i="1"/>
  <c r="C5856" i="1"/>
  <c r="B5856" i="1"/>
  <c r="A5856" i="1"/>
  <c r="R5855" i="1"/>
  <c r="J5855" i="1"/>
  <c r="I5855" i="1"/>
  <c r="G5855" i="1"/>
  <c r="F5855" i="1"/>
  <c r="E5855" i="1"/>
  <c r="D5855" i="1"/>
  <c r="C5855" i="1"/>
  <c r="B5855" i="1"/>
  <c r="A5855" i="1"/>
  <c r="S5854" i="1"/>
  <c r="O5854" i="1"/>
  <c r="K5854" i="1"/>
  <c r="J5854" i="1"/>
  <c r="I5854" i="1"/>
  <c r="H5854" i="1"/>
  <c r="G5854" i="1"/>
  <c r="F5854" i="1"/>
  <c r="E5854" i="1"/>
  <c r="D5854" i="1"/>
  <c r="C5854" i="1"/>
  <c r="B5854" i="1"/>
  <c r="A5854" i="1"/>
  <c r="S5853" i="1"/>
  <c r="O5853" i="1"/>
  <c r="K5853" i="1"/>
  <c r="J5853" i="1"/>
  <c r="I5853" i="1"/>
  <c r="H5853" i="1"/>
  <c r="G5853" i="1"/>
  <c r="F5853" i="1"/>
  <c r="D5853" i="1"/>
  <c r="C5853" i="1"/>
  <c r="B5853" i="1"/>
  <c r="A5853" i="1"/>
  <c r="S5852" i="1"/>
  <c r="O5852" i="1"/>
  <c r="K5852" i="1"/>
  <c r="J5852" i="1"/>
  <c r="I5852" i="1"/>
  <c r="H5852" i="1"/>
  <c r="G5852" i="1"/>
  <c r="F5852" i="1"/>
  <c r="D5852" i="1"/>
  <c r="C5852" i="1"/>
  <c r="B5852" i="1"/>
  <c r="A5852" i="1"/>
  <c r="S5851" i="1"/>
  <c r="O5851" i="1"/>
  <c r="K5851" i="1"/>
  <c r="J5851" i="1"/>
  <c r="I5851" i="1"/>
  <c r="H5851" i="1"/>
  <c r="G5851" i="1"/>
  <c r="F5851" i="1"/>
  <c r="D5851" i="1"/>
  <c r="C5851" i="1"/>
  <c r="B5851" i="1"/>
  <c r="A5851" i="1"/>
  <c r="S5850" i="1"/>
  <c r="O5850" i="1"/>
  <c r="K5850" i="1"/>
  <c r="J5850" i="1"/>
  <c r="I5850" i="1"/>
  <c r="H5850" i="1"/>
  <c r="G5850" i="1"/>
  <c r="F5850" i="1"/>
  <c r="D5850" i="1"/>
  <c r="C5850" i="1"/>
  <c r="B5850" i="1"/>
  <c r="A5850" i="1"/>
  <c r="S5849" i="1"/>
  <c r="O5849" i="1"/>
  <c r="K5849" i="1"/>
  <c r="J5849" i="1"/>
  <c r="I5849" i="1"/>
  <c r="H5849" i="1"/>
  <c r="G5849" i="1"/>
  <c r="F5849" i="1"/>
  <c r="D5849" i="1"/>
  <c r="C5849" i="1"/>
  <c r="B5849" i="1"/>
  <c r="A5849" i="1"/>
  <c r="S5848" i="1"/>
  <c r="O5848" i="1"/>
  <c r="K5848" i="1"/>
  <c r="J5848" i="1"/>
  <c r="I5848" i="1"/>
  <c r="H5848" i="1"/>
  <c r="G5848" i="1"/>
  <c r="F5848" i="1"/>
  <c r="D5848" i="1"/>
  <c r="C5848" i="1"/>
  <c r="B5848" i="1"/>
  <c r="A5848" i="1"/>
  <c r="S5847" i="1"/>
  <c r="O5847" i="1"/>
  <c r="K5847" i="1"/>
  <c r="J5847" i="1"/>
  <c r="I5847" i="1"/>
  <c r="H5847" i="1"/>
  <c r="G5847" i="1"/>
  <c r="F5847" i="1"/>
  <c r="D5847" i="1"/>
  <c r="C5847" i="1"/>
  <c r="B5847" i="1"/>
  <c r="A5847" i="1"/>
  <c r="S5846" i="1"/>
  <c r="O5846" i="1"/>
  <c r="K5846" i="1"/>
  <c r="J5846" i="1"/>
  <c r="I5846" i="1"/>
  <c r="H5846" i="1"/>
  <c r="G5846" i="1"/>
  <c r="F5846" i="1"/>
  <c r="D5846" i="1"/>
  <c r="C5846" i="1"/>
  <c r="B5846" i="1"/>
  <c r="A5846" i="1"/>
  <c r="R5845" i="1"/>
  <c r="J5845" i="1"/>
  <c r="I5845" i="1"/>
  <c r="G5845" i="1"/>
  <c r="F5845" i="1"/>
  <c r="E5845" i="1"/>
  <c r="D5845" i="1"/>
  <c r="C5845" i="1"/>
  <c r="B5845" i="1"/>
  <c r="A5845" i="1"/>
  <c r="S5844" i="1"/>
  <c r="O5844" i="1"/>
  <c r="K5844" i="1"/>
  <c r="J5844" i="1"/>
  <c r="I5844" i="1"/>
  <c r="H5844" i="1"/>
  <c r="G5844" i="1"/>
  <c r="F5844" i="1"/>
  <c r="E5844" i="1"/>
  <c r="D5844" i="1"/>
  <c r="C5844" i="1"/>
  <c r="B5844" i="1"/>
  <c r="A5844" i="1"/>
  <c r="R5843" i="1"/>
  <c r="J5843" i="1"/>
  <c r="I5843" i="1"/>
  <c r="G5843" i="1"/>
  <c r="F5843" i="1"/>
  <c r="E5843" i="1"/>
  <c r="D5843" i="1"/>
  <c r="C5843" i="1"/>
  <c r="B5843" i="1"/>
  <c r="A5843" i="1"/>
  <c r="S5842" i="1"/>
  <c r="O5842" i="1"/>
  <c r="K5842" i="1"/>
  <c r="J5842" i="1"/>
  <c r="I5842" i="1"/>
  <c r="H5842" i="1"/>
  <c r="G5842" i="1"/>
  <c r="F5842" i="1"/>
  <c r="E5842" i="1"/>
  <c r="D5842" i="1"/>
  <c r="C5842" i="1"/>
  <c r="B5842" i="1"/>
  <c r="A5842" i="1"/>
  <c r="R5841" i="1"/>
  <c r="J5841" i="1"/>
  <c r="I5841" i="1"/>
  <c r="G5841" i="1"/>
  <c r="F5841" i="1"/>
  <c r="E5841" i="1"/>
  <c r="D5841" i="1"/>
  <c r="C5841" i="1"/>
  <c r="B5841" i="1"/>
  <c r="A5841" i="1"/>
  <c r="S5840" i="1"/>
  <c r="O5840" i="1"/>
  <c r="K5840" i="1"/>
  <c r="J5840" i="1"/>
  <c r="I5840" i="1"/>
  <c r="H5840" i="1"/>
  <c r="G5840" i="1"/>
  <c r="F5840" i="1"/>
  <c r="E5840" i="1"/>
  <c r="D5840" i="1"/>
  <c r="C5840" i="1"/>
  <c r="B5840" i="1"/>
  <c r="A5840" i="1"/>
  <c r="R5839" i="1"/>
  <c r="J5839" i="1"/>
  <c r="I5839" i="1"/>
  <c r="G5839" i="1"/>
  <c r="F5839" i="1"/>
  <c r="E5839" i="1"/>
  <c r="D5839" i="1"/>
  <c r="C5839" i="1"/>
  <c r="B5839" i="1"/>
  <c r="A5839" i="1"/>
  <c r="S5838" i="1"/>
  <c r="O5838" i="1"/>
  <c r="K5838" i="1"/>
  <c r="J5838" i="1"/>
  <c r="I5838" i="1"/>
  <c r="H5838" i="1"/>
  <c r="G5838" i="1"/>
  <c r="F5838" i="1"/>
  <c r="E5838" i="1"/>
  <c r="D5838" i="1"/>
  <c r="C5838" i="1"/>
  <c r="B5838" i="1"/>
  <c r="A5838" i="1"/>
  <c r="R5837" i="1"/>
  <c r="J5837" i="1"/>
  <c r="I5837" i="1"/>
  <c r="G5837" i="1"/>
  <c r="F5837" i="1"/>
  <c r="E5837" i="1"/>
  <c r="D5837" i="1"/>
  <c r="C5837" i="1"/>
  <c r="B5837" i="1"/>
  <c r="A5837" i="1"/>
  <c r="S5836" i="1"/>
  <c r="O5836" i="1"/>
  <c r="K5836" i="1"/>
  <c r="J5836" i="1"/>
  <c r="I5836" i="1"/>
  <c r="H5836" i="1"/>
  <c r="G5836" i="1"/>
  <c r="F5836" i="1"/>
  <c r="E5836" i="1"/>
  <c r="D5836" i="1"/>
  <c r="C5836" i="1"/>
  <c r="B5836" i="1"/>
  <c r="A5836" i="1"/>
  <c r="R5835" i="1"/>
  <c r="J5835" i="1"/>
  <c r="I5835" i="1"/>
  <c r="G5835" i="1"/>
  <c r="F5835" i="1"/>
  <c r="E5835" i="1"/>
  <c r="D5835" i="1"/>
  <c r="C5835" i="1"/>
  <c r="B5835" i="1"/>
  <c r="A5835" i="1"/>
  <c r="S5834" i="1"/>
  <c r="O5834" i="1"/>
  <c r="K5834" i="1"/>
  <c r="J5834" i="1"/>
  <c r="I5834" i="1"/>
  <c r="H5834" i="1"/>
  <c r="G5834" i="1"/>
  <c r="F5834" i="1"/>
  <c r="E5834" i="1"/>
  <c r="D5834" i="1"/>
  <c r="C5834" i="1"/>
  <c r="B5834" i="1"/>
  <c r="A5834" i="1"/>
  <c r="S5833" i="1"/>
  <c r="O5833" i="1"/>
  <c r="K5833" i="1"/>
  <c r="J5833" i="1"/>
  <c r="I5833" i="1"/>
  <c r="H5833" i="1"/>
  <c r="G5833" i="1"/>
  <c r="F5833" i="1"/>
  <c r="D5833" i="1"/>
  <c r="C5833" i="1"/>
  <c r="B5833" i="1"/>
  <c r="A5833" i="1"/>
  <c r="S5832" i="1"/>
  <c r="O5832" i="1"/>
  <c r="K5832" i="1"/>
  <c r="J5832" i="1"/>
  <c r="I5832" i="1"/>
  <c r="H5832" i="1"/>
  <c r="G5832" i="1"/>
  <c r="F5832" i="1"/>
  <c r="D5832" i="1"/>
  <c r="C5832" i="1"/>
  <c r="B5832" i="1"/>
  <c r="A5832" i="1"/>
  <c r="S5831" i="1"/>
  <c r="O5831" i="1"/>
  <c r="K5831" i="1"/>
  <c r="J5831" i="1"/>
  <c r="I5831" i="1"/>
  <c r="H5831" i="1"/>
  <c r="G5831" i="1"/>
  <c r="F5831" i="1"/>
  <c r="D5831" i="1"/>
  <c r="C5831" i="1"/>
  <c r="B5831" i="1"/>
  <c r="A5831" i="1"/>
  <c r="S5830" i="1"/>
  <c r="O5830" i="1"/>
  <c r="K5830" i="1"/>
  <c r="J5830" i="1"/>
  <c r="I5830" i="1"/>
  <c r="H5830" i="1"/>
  <c r="G5830" i="1"/>
  <c r="F5830" i="1"/>
  <c r="D5830" i="1"/>
  <c r="C5830" i="1"/>
  <c r="B5830" i="1"/>
  <c r="A5830" i="1"/>
  <c r="S5829" i="1"/>
  <c r="O5829" i="1"/>
  <c r="K5829" i="1"/>
  <c r="J5829" i="1"/>
  <c r="I5829" i="1"/>
  <c r="H5829" i="1"/>
  <c r="G5829" i="1"/>
  <c r="F5829" i="1"/>
  <c r="D5829" i="1"/>
  <c r="C5829" i="1"/>
  <c r="B5829" i="1"/>
  <c r="A5829" i="1"/>
  <c r="R5828" i="1"/>
  <c r="J5828" i="1"/>
  <c r="I5828" i="1"/>
  <c r="G5828" i="1"/>
  <c r="F5828" i="1"/>
  <c r="E5828" i="1"/>
  <c r="D5828" i="1"/>
  <c r="C5828" i="1"/>
  <c r="B5828" i="1"/>
  <c r="A5828" i="1"/>
  <c r="S5827" i="1"/>
  <c r="O5827" i="1"/>
  <c r="K5827" i="1"/>
  <c r="J5827" i="1"/>
  <c r="I5827" i="1"/>
  <c r="H5827" i="1"/>
  <c r="G5827" i="1"/>
  <c r="F5827" i="1"/>
  <c r="E5827" i="1"/>
  <c r="D5827" i="1"/>
  <c r="C5827" i="1"/>
  <c r="B5827" i="1"/>
  <c r="A5827" i="1"/>
  <c r="R5826" i="1"/>
  <c r="J5826" i="1"/>
  <c r="I5826" i="1"/>
  <c r="G5826" i="1"/>
  <c r="F5826" i="1"/>
  <c r="E5826" i="1"/>
  <c r="D5826" i="1"/>
  <c r="C5826" i="1"/>
  <c r="B5826" i="1"/>
  <c r="A5826" i="1"/>
  <c r="S5825" i="1"/>
  <c r="O5825" i="1"/>
  <c r="K5825" i="1"/>
  <c r="J5825" i="1"/>
  <c r="I5825" i="1"/>
  <c r="H5825" i="1"/>
  <c r="G5825" i="1"/>
  <c r="F5825" i="1"/>
  <c r="E5825" i="1"/>
  <c r="D5825" i="1"/>
  <c r="C5825" i="1"/>
  <c r="B5825" i="1"/>
  <c r="A5825" i="1"/>
  <c r="R5824" i="1"/>
  <c r="J5824" i="1"/>
  <c r="I5824" i="1"/>
  <c r="G5824" i="1"/>
  <c r="F5824" i="1"/>
  <c r="E5824" i="1"/>
  <c r="D5824" i="1"/>
  <c r="C5824" i="1"/>
  <c r="B5824" i="1"/>
  <c r="A5824" i="1"/>
  <c r="S5823" i="1"/>
  <c r="O5823" i="1"/>
  <c r="K5823" i="1"/>
  <c r="J5823" i="1"/>
  <c r="I5823" i="1"/>
  <c r="H5823" i="1"/>
  <c r="G5823" i="1"/>
  <c r="F5823" i="1"/>
  <c r="E5823" i="1"/>
  <c r="D5823" i="1"/>
  <c r="C5823" i="1"/>
  <c r="B5823" i="1"/>
  <c r="A5823" i="1"/>
  <c r="R5822" i="1"/>
  <c r="J5822" i="1"/>
  <c r="I5822" i="1"/>
  <c r="G5822" i="1"/>
  <c r="F5822" i="1"/>
  <c r="E5822" i="1"/>
  <c r="D5822" i="1"/>
  <c r="C5822" i="1"/>
  <c r="B5822" i="1"/>
  <c r="A5822" i="1"/>
  <c r="S5821" i="1"/>
  <c r="O5821" i="1"/>
  <c r="K5821" i="1"/>
  <c r="J5821" i="1"/>
  <c r="I5821" i="1"/>
  <c r="H5821" i="1"/>
  <c r="G5821" i="1"/>
  <c r="F5821" i="1"/>
  <c r="E5821" i="1"/>
  <c r="D5821" i="1"/>
  <c r="C5821" i="1"/>
  <c r="B5821" i="1"/>
  <c r="A5821" i="1"/>
  <c r="R5820" i="1"/>
  <c r="J5820" i="1"/>
  <c r="I5820" i="1"/>
  <c r="G5820" i="1"/>
  <c r="F5820" i="1"/>
  <c r="E5820" i="1"/>
  <c r="D5820" i="1"/>
  <c r="C5820" i="1"/>
  <c r="B5820" i="1"/>
  <c r="A5820" i="1"/>
  <c r="S5819" i="1"/>
  <c r="O5819" i="1"/>
  <c r="K5819" i="1"/>
  <c r="J5819" i="1"/>
  <c r="I5819" i="1"/>
  <c r="H5819" i="1"/>
  <c r="G5819" i="1"/>
  <c r="F5819" i="1"/>
  <c r="E5819" i="1"/>
  <c r="D5819" i="1"/>
  <c r="C5819" i="1"/>
  <c r="B5819" i="1"/>
  <c r="A5819" i="1"/>
  <c r="R5818" i="1"/>
  <c r="J5818" i="1"/>
  <c r="I5818" i="1"/>
  <c r="G5818" i="1"/>
  <c r="F5818" i="1"/>
  <c r="E5818" i="1"/>
  <c r="D5818" i="1"/>
  <c r="C5818" i="1"/>
  <c r="B5818" i="1"/>
  <c r="A5818" i="1"/>
  <c r="S5817" i="1"/>
  <c r="O5817" i="1"/>
  <c r="K5817" i="1"/>
  <c r="J5817" i="1"/>
  <c r="I5817" i="1"/>
  <c r="H5817" i="1"/>
  <c r="G5817" i="1"/>
  <c r="F5817" i="1"/>
  <c r="E5817" i="1"/>
  <c r="D5817" i="1"/>
  <c r="C5817" i="1"/>
  <c r="B5817" i="1"/>
  <c r="A5817" i="1"/>
  <c r="R5816" i="1"/>
  <c r="J5816" i="1"/>
  <c r="I5816" i="1"/>
  <c r="G5816" i="1"/>
  <c r="F5816" i="1"/>
  <c r="E5816" i="1"/>
  <c r="D5816" i="1"/>
  <c r="C5816" i="1"/>
  <c r="B5816" i="1"/>
  <c r="A5816" i="1"/>
  <c r="S5815" i="1"/>
  <c r="O5815" i="1"/>
  <c r="K5815" i="1"/>
  <c r="J5815" i="1"/>
  <c r="I5815" i="1"/>
  <c r="H5815" i="1"/>
  <c r="G5815" i="1"/>
  <c r="F5815" i="1"/>
  <c r="E5815" i="1"/>
  <c r="D5815" i="1"/>
  <c r="C5815" i="1"/>
  <c r="B5815" i="1"/>
  <c r="A5815" i="1"/>
  <c r="R5814" i="1"/>
  <c r="J5814" i="1"/>
  <c r="I5814" i="1"/>
  <c r="G5814" i="1"/>
  <c r="F5814" i="1"/>
  <c r="E5814" i="1"/>
  <c r="D5814" i="1"/>
  <c r="C5814" i="1"/>
  <c r="B5814" i="1"/>
  <c r="A5814" i="1"/>
  <c r="R5813" i="1"/>
  <c r="J5813" i="1"/>
  <c r="I5813" i="1"/>
  <c r="G5813" i="1"/>
  <c r="F5813" i="1"/>
  <c r="E5813" i="1"/>
  <c r="D5813" i="1"/>
  <c r="C5813" i="1"/>
  <c r="B5813" i="1"/>
  <c r="A5813" i="1"/>
  <c r="R5812" i="1"/>
  <c r="J5812" i="1"/>
  <c r="I5812" i="1"/>
  <c r="G5812" i="1"/>
  <c r="F5812" i="1"/>
  <c r="E5812" i="1"/>
  <c r="D5812" i="1"/>
  <c r="C5812" i="1"/>
  <c r="B5812" i="1"/>
  <c r="A5812" i="1"/>
  <c r="R5811" i="1"/>
  <c r="J5811" i="1"/>
  <c r="I5811" i="1"/>
  <c r="G5811" i="1"/>
  <c r="F5811" i="1"/>
  <c r="E5811" i="1"/>
  <c r="D5811" i="1"/>
  <c r="C5811" i="1"/>
  <c r="B5811" i="1"/>
  <c r="A5811" i="1"/>
  <c r="R5810" i="1"/>
  <c r="J5810" i="1"/>
  <c r="I5810" i="1"/>
  <c r="G5810" i="1"/>
  <c r="F5810" i="1"/>
  <c r="E5810" i="1"/>
  <c r="D5810" i="1"/>
  <c r="C5810" i="1"/>
  <c r="B5810" i="1"/>
  <c r="A5810" i="1"/>
  <c r="R5809" i="1"/>
  <c r="J5809" i="1"/>
  <c r="I5809" i="1"/>
  <c r="G5809" i="1"/>
  <c r="F5809" i="1"/>
  <c r="E5809" i="1"/>
  <c r="D5809" i="1"/>
  <c r="C5809" i="1"/>
  <c r="B5809" i="1"/>
  <c r="A5809" i="1"/>
  <c r="S5808" i="1"/>
  <c r="O5808" i="1"/>
  <c r="K5808" i="1"/>
  <c r="J5808" i="1"/>
  <c r="I5808" i="1"/>
  <c r="H5808" i="1"/>
  <c r="G5808" i="1"/>
  <c r="F5808" i="1"/>
  <c r="E5808" i="1"/>
  <c r="D5808" i="1"/>
  <c r="C5808" i="1"/>
  <c r="B5808" i="1"/>
  <c r="A5808" i="1"/>
  <c r="R5807" i="1"/>
  <c r="J5807" i="1"/>
  <c r="I5807" i="1"/>
  <c r="G5807" i="1"/>
  <c r="F5807" i="1"/>
  <c r="E5807" i="1"/>
  <c r="D5807" i="1"/>
  <c r="C5807" i="1"/>
  <c r="B5807" i="1"/>
  <c r="A5807" i="1"/>
  <c r="R5806" i="1"/>
  <c r="J5806" i="1"/>
  <c r="I5806" i="1"/>
  <c r="G5806" i="1"/>
  <c r="F5806" i="1"/>
  <c r="E5806" i="1"/>
  <c r="D5806" i="1"/>
  <c r="C5806" i="1"/>
  <c r="B5806" i="1"/>
  <c r="A5806" i="1"/>
  <c r="R5805" i="1"/>
  <c r="J5805" i="1"/>
  <c r="I5805" i="1"/>
  <c r="G5805" i="1"/>
  <c r="F5805" i="1"/>
  <c r="E5805" i="1"/>
  <c r="D5805" i="1"/>
  <c r="C5805" i="1"/>
  <c r="B5805" i="1"/>
  <c r="A5805" i="1"/>
  <c r="R5804" i="1"/>
  <c r="J5804" i="1"/>
  <c r="I5804" i="1"/>
  <c r="G5804" i="1"/>
  <c r="F5804" i="1"/>
  <c r="E5804" i="1"/>
  <c r="D5804" i="1"/>
  <c r="C5804" i="1"/>
  <c r="B5804" i="1"/>
  <c r="A5804" i="1"/>
  <c r="R5803" i="1"/>
  <c r="J5803" i="1"/>
  <c r="I5803" i="1"/>
  <c r="G5803" i="1"/>
  <c r="F5803" i="1"/>
  <c r="E5803" i="1"/>
  <c r="D5803" i="1"/>
  <c r="C5803" i="1"/>
  <c r="B5803" i="1"/>
  <c r="A5803" i="1"/>
  <c r="R5802" i="1"/>
  <c r="J5802" i="1"/>
  <c r="I5802" i="1"/>
  <c r="G5802" i="1"/>
  <c r="F5802" i="1"/>
  <c r="E5802" i="1"/>
  <c r="D5802" i="1"/>
  <c r="C5802" i="1"/>
  <c r="B5802" i="1"/>
  <c r="A5802" i="1"/>
  <c r="S5801" i="1"/>
  <c r="O5801" i="1"/>
  <c r="K5801" i="1"/>
  <c r="J5801" i="1"/>
  <c r="I5801" i="1"/>
  <c r="H5801" i="1"/>
  <c r="G5801" i="1"/>
  <c r="F5801" i="1"/>
  <c r="E5801" i="1"/>
  <c r="D5801" i="1"/>
  <c r="C5801" i="1"/>
  <c r="B5801" i="1"/>
  <c r="A5801" i="1"/>
  <c r="R5800" i="1"/>
  <c r="J5800" i="1"/>
  <c r="I5800" i="1"/>
  <c r="G5800" i="1"/>
  <c r="F5800" i="1"/>
  <c r="E5800" i="1"/>
  <c r="D5800" i="1"/>
  <c r="C5800" i="1"/>
  <c r="B5800" i="1"/>
  <c r="A5800" i="1"/>
  <c r="R5799" i="1"/>
  <c r="J5799" i="1"/>
  <c r="I5799" i="1"/>
  <c r="G5799" i="1"/>
  <c r="F5799" i="1"/>
  <c r="E5799" i="1"/>
  <c r="D5799" i="1"/>
  <c r="C5799" i="1"/>
  <c r="B5799" i="1"/>
  <c r="A5799" i="1"/>
  <c r="R5798" i="1"/>
  <c r="J5798" i="1"/>
  <c r="I5798" i="1"/>
  <c r="G5798" i="1"/>
  <c r="F5798" i="1"/>
  <c r="E5798" i="1"/>
  <c r="D5798" i="1"/>
  <c r="C5798" i="1"/>
  <c r="B5798" i="1"/>
  <c r="A5798" i="1"/>
  <c r="S5797" i="1"/>
  <c r="O5797" i="1"/>
  <c r="K5797" i="1"/>
  <c r="J5797" i="1"/>
  <c r="I5797" i="1"/>
  <c r="H5797" i="1"/>
  <c r="G5797" i="1"/>
  <c r="F5797" i="1"/>
  <c r="E5797" i="1"/>
  <c r="D5797" i="1"/>
  <c r="C5797" i="1"/>
  <c r="B5797" i="1"/>
  <c r="A5797" i="1"/>
  <c r="R5796" i="1"/>
  <c r="J5796" i="1"/>
  <c r="I5796" i="1"/>
  <c r="G5796" i="1"/>
  <c r="F5796" i="1"/>
  <c r="E5796" i="1"/>
  <c r="D5796" i="1"/>
  <c r="C5796" i="1"/>
  <c r="B5796" i="1"/>
  <c r="A5796" i="1"/>
  <c r="R5795" i="1"/>
  <c r="J5795" i="1"/>
  <c r="I5795" i="1"/>
  <c r="G5795" i="1"/>
  <c r="F5795" i="1"/>
  <c r="E5795" i="1"/>
  <c r="D5795" i="1"/>
  <c r="C5795" i="1"/>
  <c r="B5795" i="1"/>
  <c r="A5795" i="1"/>
  <c r="R5794" i="1"/>
  <c r="J5794" i="1"/>
  <c r="I5794" i="1"/>
  <c r="G5794" i="1"/>
  <c r="F5794" i="1"/>
  <c r="E5794" i="1"/>
  <c r="D5794" i="1"/>
  <c r="C5794" i="1"/>
  <c r="B5794" i="1"/>
  <c r="A5794" i="1"/>
  <c r="S5793" i="1"/>
  <c r="O5793" i="1"/>
  <c r="K5793" i="1"/>
  <c r="J5793" i="1"/>
  <c r="I5793" i="1"/>
  <c r="H5793" i="1"/>
  <c r="G5793" i="1"/>
  <c r="F5793" i="1"/>
  <c r="E5793" i="1"/>
  <c r="D5793" i="1"/>
  <c r="C5793" i="1"/>
  <c r="B5793" i="1"/>
  <c r="A5793" i="1"/>
  <c r="R5792" i="1"/>
  <c r="J5792" i="1"/>
  <c r="I5792" i="1"/>
  <c r="G5792" i="1"/>
  <c r="F5792" i="1"/>
  <c r="E5792" i="1"/>
  <c r="D5792" i="1"/>
  <c r="C5792" i="1"/>
  <c r="B5792" i="1"/>
  <c r="A5792" i="1"/>
  <c r="R5791" i="1"/>
  <c r="J5791" i="1"/>
  <c r="I5791" i="1"/>
  <c r="G5791" i="1"/>
  <c r="F5791" i="1"/>
  <c r="E5791" i="1"/>
  <c r="D5791" i="1"/>
  <c r="C5791" i="1"/>
  <c r="B5791" i="1"/>
  <c r="A5791" i="1"/>
  <c r="R5790" i="1"/>
  <c r="J5790" i="1"/>
  <c r="I5790" i="1"/>
  <c r="G5790" i="1"/>
  <c r="F5790" i="1"/>
  <c r="E5790" i="1"/>
  <c r="D5790" i="1"/>
  <c r="C5790" i="1"/>
  <c r="B5790" i="1"/>
  <c r="A5790" i="1"/>
  <c r="S5789" i="1"/>
  <c r="O5789" i="1"/>
  <c r="K5789" i="1"/>
  <c r="J5789" i="1"/>
  <c r="I5789" i="1"/>
  <c r="H5789" i="1"/>
  <c r="G5789" i="1"/>
  <c r="F5789" i="1"/>
  <c r="E5789" i="1"/>
  <c r="D5789" i="1"/>
  <c r="C5789" i="1"/>
  <c r="B5789" i="1"/>
  <c r="A5789" i="1"/>
  <c r="R5788" i="1"/>
  <c r="J5788" i="1"/>
  <c r="I5788" i="1"/>
  <c r="G5788" i="1"/>
  <c r="F5788" i="1"/>
  <c r="E5788" i="1"/>
  <c r="D5788" i="1"/>
  <c r="C5788" i="1"/>
  <c r="B5788" i="1"/>
  <c r="A5788" i="1"/>
  <c r="S5787" i="1"/>
  <c r="O5787" i="1"/>
  <c r="K5787" i="1"/>
  <c r="J5787" i="1"/>
  <c r="I5787" i="1"/>
  <c r="H5787" i="1"/>
  <c r="G5787" i="1"/>
  <c r="F5787" i="1"/>
  <c r="E5787" i="1"/>
  <c r="D5787" i="1"/>
  <c r="C5787" i="1"/>
  <c r="B5787" i="1"/>
  <c r="A5787" i="1"/>
  <c r="R5786" i="1"/>
  <c r="J5786" i="1"/>
  <c r="I5786" i="1"/>
  <c r="G5786" i="1"/>
  <c r="F5786" i="1"/>
  <c r="E5786" i="1"/>
  <c r="D5786" i="1"/>
  <c r="C5786" i="1"/>
  <c r="B5786" i="1"/>
  <c r="A5786" i="1"/>
  <c r="S5785" i="1"/>
  <c r="O5785" i="1"/>
  <c r="K5785" i="1"/>
  <c r="J5785" i="1"/>
  <c r="I5785" i="1"/>
  <c r="H5785" i="1"/>
  <c r="G5785" i="1"/>
  <c r="F5785" i="1"/>
  <c r="E5785" i="1"/>
  <c r="D5785" i="1"/>
  <c r="C5785" i="1"/>
  <c r="B5785" i="1"/>
  <c r="A5785" i="1"/>
  <c r="R5784" i="1"/>
  <c r="J5784" i="1"/>
  <c r="I5784" i="1"/>
  <c r="G5784" i="1"/>
  <c r="F5784" i="1"/>
  <c r="E5784" i="1"/>
  <c r="D5784" i="1"/>
  <c r="C5784" i="1"/>
  <c r="B5784" i="1"/>
  <c r="A5784" i="1"/>
  <c r="S5783" i="1"/>
  <c r="O5783" i="1"/>
  <c r="K5783" i="1"/>
  <c r="J5783" i="1"/>
  <c r="I5783" i="1"/>
  <c r="H5783" i="1"/>
  <c r="G5783" i="1"/>
  <c r="F5783" i="1"/>
  <c r="E5783" i="1"/>
  <c r="D5783" i="1"/>
  <c r="C5783" i="1"/>
  <c r="B5783" i="1"/>
  <c r="A5783" i="1"/>
  <c r="R5782" i="1"/>
  <c r="J5782" i="1"/>
  <c r="I5782" i="1"/>
  <c r="G5782" i="1"/>
  <c r="F5782" i="1"/>
  <c r="E5782" i="1"/>
  <c r="D5782" i="1"/>
  <c r="C5782" i="1"/>
  <c r="B5782" i="1"/>
  <c r="A5782" i="1"/>
  <c r="S5781" i="1"/>
  <c r="O5781" i="1"/>
  <c r="K5781" i="1"/>
  <c r="J5781" i="1"/>
  <c r="I5781" i="1"/>
  <c r="H5781" i="1"/>
  <c r="G5781" i="1"/>
  <c r="F5781" i="1"/>
  <c r="E5781" i="1"/>
  <c r="D5781" i="1"/>
  <c r="C5781" i="1"/>
  <c r="B5781" i="1"/>
  <c r="A5781" i="1"/>
  <c r="R5780" i="1"/>
  <c r="J5780" i="1"/>
  <c r="I5780" i="1"/>
  <c r="G5780" i="1"/>
  <c r="F5780" i="1"/>
  <c r="E5780" i="1"/>
  <c r="D5780" i="1"/>
  <c r="C5780" i="1"/>
  <c r="B5780" i="1"/>
  <c r="A5780" i="1"/>
  <c r="S5779" i="1"/>
  <c r="O5779" i="1"/>
  <c r="K5779" i="1"/>
  <c r="J5779" i="1"/>
  <c r="I5779" i="1"/>
  <c r="H5779" i="1"/>
  <c r="G5779" i="1"/>
  <c r="F5779" i="1"/>
  <c r="E5779" i="1"/>
  <c r="D5779" i="1"/>
  <c r="C5779" i="1"/>
  <c r="B5779" i="1"/>
  <c r="A5779" i="1"/>
  <c r="R5778" i="1"/>
  <c r="J5778" i="1"/>
  <c r="I5778" i="1"/>
  <c r="G5778" i="1"/>
  <c r="F5778" i="1"/>
  <c r="E5778" i="1"/>
  <c r="D5778" i="1"/>
  <c r="C5778" i="1"/>
  <c r="B5778" i="1"/>
  <c r="A5778" i="1"/>
  <c r="S5777" i="1"/>
  <c r="O5777" i="1"/>
  <c r="K5777" i="1"/>
  <c r="J5777" i="1"/>
  <c r="I5777" i="1"/>
  <c r="H5777" i="1"/>
  <c r="G5777" i="1"/>
  <c r="F5777" i="1"/>
  <c r="E5777" i="1"/>
  <c r="D5777" i="1"/>
  <c r="C5777" i="1"/>
  <c r="B5777" i="1"/>
  <c r="A5777" i="1"/>
  <c r="R5776" i="1"/>
  <c r="J5776" i="1"/>
  <c r="I5776" i="1"/>
  <c r="G5776" i="1"/>
  <c r="F5776" i="1"/>
  <c r="E5776" i="1"/>
  <c r="D5776" i="1"/>
  <c r="C5776" i="1"/>
  <c r="B5776" i="1"/>
  <c r="A5776" i="1"/>
  <c r="S5775" i="1"/>
  <c r="O5775" i="1"/>
  <c r="K5775" i="1"/>
  <c r="J5775" i="1"/>
  <c r="I5775" i="1"/>
  <c r="H5775" i="1"/>
  <c r="G5775" i="1"/>
  <c r="F5775" i="1"/>
  <c r="E5775" i="1"/>
  <c r="D5775" i="1"/>
  <c r="C5775" i="1"/>
  <c r="B5775" i="1"/>
  <c r="A5775" i="1"/>
  <c r="R5774" i="1"/>
  <c r="J5774" i="1"/>
  <c r="I5774" i="1"/>
  <c r="G5774" i="1"/>
  <c r="F5774" i="1"/>
  <c r="E5774" i="1"/>
  <c r="D5774" i="1"/>
  <c r="C5774" i="1"/>
  <c r="B5774" i="1"/>
  <c r="A5774" i="1"/>
  <c r="S5773" i="1"/>
  <c r="O5773" i="1"/>
  <c r="K5773" i="1"/>
  <c r="J5773" i="1"/>
  <c r="I5773" i="1"/>
  <c r="H5773" i="1"/>
  <c r="G5773" i="1"/>
  <c r="F5773" i="1"/>
  <c r="E5773" i="1"/>
  <c r="D5773" i="1"/>
  <c r="C5773" i="1"/>
  <c r="B5773" i="1"/>
  <c r="A5773" i="1"/>
  <c r="R5772" i="1"/>
  <c r="J5772" i="1"/>
  <c r="I5772" i="1"/>
  <c r="G5772" i="1"/>
  <c r="F5772" i="1"/>
  <c r="E5772" i="1"/>
  <c r="D5772" i="1"/>
  <c r="C5772" i="1"/>
  <c r="B5772" i="1"/>
  <c r="A5772" i="1"/>
  <c r="S5771" i="1"/>
  <c r="O5771" i="1"/>
  <c r="K5771" i="1"/>
  <c r="J5771" i="1"/>
  <c r="I5771" i="1"/>
  <c r="H5771" i="1"/>
  <c r="G5771" i="1"/>
  <c r="F5771" i="1"/>
  <c r="E5771" i="1"/>
  <c r="D5771" i="1"/>
  <c r="C5771" i="1"/>
  <c r="B5771" i="1"/>
  <c r="A5771" i="1"/>
  <c r="R5770" i="1"/>
  <c r="J5770" i="1"/>
  <c r="I5770" i="1"/>
  <c r="G5770" i="1"/>
  <c r="F5770" i="1"/>
  <c r="E5770" i="1"/>
  <c r="D5770" i="1"/>
  <c r="C5770" i="1"/>
  <c r="B5770" i="1"/>
  <c r="A5770" i="1"/>
  <c r="S5769" i="1"/>
  <c r="O5769" i="1"/>
  <c r="K5769" i="1"/>
  <c r="J5769" i="1"/>
  <c r="I5769" i="1"/>
  <c r="H5769" i="1"/>
  <c r="G5769" i="1"/>
  <c r="F5769" i="1"/>
  <c r="E5769" i="1"/>
  <c r="D5769" i="1"/>
  <c r="C5769" i="1"/>
  <c r="B5769" i="1"/>
  <c r="A5769" i="1"/>
  <c r="R5768" i="1"/>
  <c r="J5768" i="1"/>
  <c r="I5768" i="1"/>
  <c r="G5768" i="1"/>
  <c r="F5768" i="1"/>
  <c r="E5768" i="1"/>
  <c r="D5768" i="1"/>
  <c r="C5768" i="1"/>
  <c r="B5768" i="1"/>
  <c r="A5768" i="1"/>
  <c r="S5767" i="1"/>
  <c r="O5767" i="1"/>
  <c r="K5767" i="1"/>
  <c r="J5767" i="1"/>
  <c r="I5767" i="1"/>
  <c r="H5767" i="1"/>
  <c r="G5767" i="1"/>
  <c r="F5767" i="1"/>
  <c r="E5767" i="1"/>
  <c r="D5767" i="1"/>
  <c r="C5767" i="1"/>
  <c r="B5767" i="1"/>
  <c r="A5767" i="1"/>
  <c r="R5766" i="1"/>
  <c r="J5766" i="1"/>
  <c r="I5766" i="1"/>
  <c r="G5766" i="1"/>
  <c r="F5766" i="1"/>
  <c r="E5766" i="1"/>
  <c r="D5766" i="1"/>
  <c r="C5766" i="1"/>
  <c r="B5766" i="1"/>
  <c r="A5766" i="1"/>
  <c r="S5765" i="1"/>
  <c r="O5765" i="1"/>
  <c r="K5765" i="1"/>
  <c r="J5765" i="1"/>
  <c r="I5765" i="1"/>
  <c r="H5765" i="1"/>
  <c r="G5765" i="1"/>
  <c r="F5765" i="1"/>
  <c r="E5765" i="1"/>
  <c r="D5765" i="1"/>
  <c r="C5765" i="1"/>
  <c r="B5765" i="1"/>
  <c r="A5765" i="1"/>
  <c r="R5764" i="1"/>
  <c r="J5764" i="1"/>
  <c r="I5764" i="1"/>
  <c r="G5764" i="1"/>
  <c r="F5764" i="1"/>
  <c r="E5764" i="1"/>
  <c r="D5764" i="1"/>
  <c r="C5764" i="1"/>
  <c r="B5764" i="1"/>
  <c r="A5764" i="1"/>
  <c r="S5763" i="1"/>
  <c r="O5763" i="1"/>
  <c r="K5763" i="1"/>
  <c r="J5763" i="1"/>
  <c r="I5763" i="1"/>
  <c r="H5763" i="1"/>
  <c r="G5763" i="1"/>
  <c r="F5763" i="1"/>
  <c r="E5763" i="1"/>
  <c r="D5763" i="1"/>
  <c r="C5763" i="1"/>
  <c r="B5763" i="1"/>
  <c r="A5763" i="1"/>
  <c r="R5762" i="1"/>
  <c r="J5762" i="1"/>
  <c r="I5762" i="1"/>
  <c r="G5762" i="1"/>
  <c r="F5762" i="1"/>
  <c r="E5762" i="1"/>
  <c r="D5762" i="1"/>
  <c r="C5762" i="1"/>
  <c r="B5762" i="1"/>
  <c r="A5762" i="1"/>
  <c r="S5761" i="1"/>
  <c r="O5761" i="1"/>
  <c r="K5761" i="1"/>
  <c r="J5761" i="1"/>
  <c r="I5761" i="1"/>
  <c r="H5761" i="1"/>
  <c r="G5761" i="1"/>
  <c r="F5761" i="1"/>
  <c r="E5761" i="1"/>
  <c r="D5761" i="1"/>
  <c r="C5761" i="1"/>
  <c r="B5761" i="1"/>
  <c r="A5761" i="1"/>
  <c r="R5760" i="1"/>
  <c r="J5760" i="1"/>
  <c r="I5760" i="1"/>
  <c r="G5760" i="1"/>
  <c r="F5760" i="1"/>
  <c r="E5760" i="1"/>
  <c r="D5760" i="1"/>
  <c r="C5760" i="1"/>
  <c r="B5760" i="1"/>
  <c r="A5760" i="1"/>
  <c r="S5759" i="1"/>
  <c r="O5759" i="1"/>
  <c r="K5759" i="1"/>
  <c r="J5759" i="1"/>
  <c r="I5759" i="1"/>
  <c r="H5759" i="1"/>
  <c r="G5759" i="1"/>
  <c r="F5759" i="1"/>
  <c r="E5759" i="1"/>
  <c r="D5759" i="1"/>
  <c r="C5759" i="1"/>
  <c r="B5759" i="1"/>
  <c r="A5759" i="1"/>
  <c r="R5758" i="1"/>
  <c r="J5758" i="1"/>
  <c r="I5758" i="1"/>
  <c r="G5758" i="1"/>
  <c r="F5758" i="1"/>
  <c r="E5758" i="1"/>
  <c r="D5758" i="1"/>
  <c r="C5758" i="1"/>
  <c r="B5758" i="1"/>
  <c r="A5758" i="1"/>
  <c r="S5757" i="1"/>
  <c r="O5757" i="1"/>
  <c r="K5757" i="1"/>
  <c r="J5757" i="1"/>
  <c r="I5757" i="1"/>
  <c r="H5757" i="1"/>
  <c r="G5757" i="1"/>
  <c r="F5757" i="1"/>
  <c r="E5757" i="1"/>
  <c r="D5757" i="1"/>
  <c r="C5757" i="1"/>
  <c r="B5757" i="1"/>
  <c r="A5757" i="1"/>
  <c r="R5756" i="1"/>
  <c r="J5756" i="1"/>
  <c r="I5756" i="1"/>
  <c r="G5756" i="1"/>
  <c r="F5756" i="1"/>
  <c r="E5756" i="1"/>
  <c r="D5756" i="1"/>
  <c r="C5756" i="1"/>
  <c r="B5756" i="1"/>
  <c r="A5756" i="1"/>
  <c r="S5755" i="1"/>
  <c r="O5755" i="1"/>
  <c r="K5755" i="1"/>
  <c r="J5755" i="1"/>
  <c r="I5755" i="1"/>
  <c r="H5755" i="1"/>
  <c r="G5755" i="1"/>
  <c r="F5755" i="1"/>
  <c r="E5755" i="1"/>
  <c r="D5755" i="1"/>
  <c r="C5755" i="1"/>
  <c r="B5755" i="1"/>
  <c r="A5755" i="1"/>
  <c r="R5754" i="1"/>
  <c r="J5754" i="1"/>
  <c r="I5754" i="1"/>
  <c r="G5754" i="1"/>
  <c r="F5754" i="1"/>
  <c r="E5754" i="1"/>
  <c r="D5754" i="1"/>
  <c r="C5754" i="1"/>
  <c r="B5754" i="1"/>
  <c r="A5754" i="1"/>
  <c r="S5753" i="1"/>
  <c r="O5753" i="1"/>
  <c r="K5753" i="1"/>
  <c r="J5753" i="1"/>
  <c r="I5753" i="1"/>
  <c r="H5753" i="1"/>
  <c r="G5753" i="1"/>
  <c r="F5753" i="1"/>
  <c r="E5753" i="1"/>
  <c r="D5753" i="1"/>
  <c r="C5753" i="1"/>
  <c r="B5753" i="1"/>
  <c r="A5753" i="1"/>
  <c r="R5752" i="1"/>
  <c r="J5752" i="1"/>
  <c r="I5752" i="1"/>
  <c r="G5752" i="1"/>
  <c r="F5752" i="1"/>
  <c r="E5752" i="1"/>
  <c r="D5752" i="1"/>
  <c r="C5752" i="1"/>
  <c r="B5752" i="1"/>
  <c r="A5752" i="1"/>
  <c r="S5751" i="1"/>
  <c r="O5751" i="1"/>
  <c r="K5751" i="1"/>
  <c r="J5751" i="1"/>
  <c r="I5751" i="1"/>
  <c r="H5751" i="1"/>
  <c r="G5751" i="1"/>
  <c r="F5751" i="1"/>
  <c r="E5751" i="1"/>
  <c r="D5751" i="1"/>
  <c r="C5751" i="1"/>
  <c r="B5751" i="1"/>
  <c r="A5751" i="1"/>
  <c r="R5750" i="1"/>
  <c r="J5750" i="1"/>
  <c r="I5750" i="1"/>
  <c r="G5750" i="1"/>
  <c r="F5750" i="1"/>
  <c r="E5750" i="1"/>
  <c r="D5750" i="1"/>
  <c r="C5750" i="1"/>
  <c r="B5750" i="1"/>
  <c r="A5750" i="1"/>
  <c r="S5749" i="1"/>
  <c r="O5749" i="1"/>
  <c r="K5749" i="1"/>
  <c r="J5749" i="1"/>
  <c r="I5749" i="1"/>
  <c r="H5749" i="1"/>
  <c r="G5749" i="1"/>
  <c r="F5749" i="1"/>
  <c r="E5749" i="1"/>
  <c r="D5749" i="1"/>
  <c r="C5749" i="1"/>
  <c r="B5749" i="1"/>
  <c r="A5749" i="1"/>
  <c r="R5748" i="1"/>
  <c r="J5748" i="1"/>
  <c r="I5748" i="1"/>
  <c r="G5748" i="1"/>
  <c r="F5748" i="1"/>
  <c r="E5748" i="1"/>
  <c r="D5748" i="1"/>
  <c r="C5748" i="1"/>
  <c r="B5748" i="1"/>
  <c r="A5748" i="1"/>
  <c r="S5747" i="1"/>
  <c r="O5747" i="1"/>
  <c r="K5747" i="1"/>
  <c r="J5747" i="1"/>
  <c r="I5747" i="1"/>
  <c r="H5747" i="1"/>
  <c r="G5747" i="1"/>
  <c r="F5747" i="1"/>
  <c r="E5747" i="1"/>
  <c r="D5747" i="1"/>
  <c r="C5747" i="1"/>
  <c r="B5747" i="1"/>
  <c r="A5747" i="1"/>
  <c r="R5746" i="1"/>
  <c r="J5746" i="1"/>
  <c r="I5746" i="1"/>
  <c r="G5746" i="1"/>
  <c r="F5746" i="1"/>
  <c r="E5746" i="1"/>
  <c r="D5746" i="1"/>
  <c r="C5746" i="1"/>
  <c r="B5746" i="1"/>
  <c r="A5746" i="1"/>
  <c r="S5745" i="1"/>
  <c r="O5745" i="1"/>
  <c r="K5745" i="1"/>
  <c r="J5745" i="1"/>
  <c r="I5745" i="1"/>
  <c r="H5745" i="1"/>
  <c r="G5745" i="1"/>
  <c r="F5745" i="1"/>
  <c r="E5745" i="1"/>
  <c r="D5745" i="1"/>
  <c r="C5745" i="1"/>
  <c r="B5745" i="1"/>
  <c r="A5745" i="1"/>
  <c r="R5744" i="1"/>
  <c r="J5744" i="1"/>
  <c r="I5744" i="1"/>
  <c r="G5744" i="1"/>
  <c r="F5744" i="1"/>
  <c r="E5744" i="1"/>
  <c r="D5744" i="1"/>
  <c r="C5744" i="1"/>
  <c r="B5744" i="1"/>
  <c r="A5744" i="1"/>
  <c r="S5743" i="1"/>
  <c r="O5743" i="1"/>
  <c r="K5743" i="1"/>
  <c r="J5743" i="1"/>
  <c r="I5743" i="1"/>
  <c r="H5743" i="1"/>
  <c r="G5743" i="1"/>
  <c r="F5743" i="1"/>
  <c r="E5743" i="1"/>
  <c r="D5743" i="1"/>
  <c r="C5743" i="1"/>
  <c r="B5743" i="1"/>
  <c r="A5743" i="1"/>
  <c r="R5742" i="1"/>
  <c r="J5742" i="1"/>
  <c r="I5742" i="1"/>
  <c r="G5742" i="1"/>
  <c r="F5742" i="1"/>
  <c r="E5742" i="1"/>
  <c r="D5742" i="1"/>
  <c r="C5742" i="1"/>
  <c r="B5742" i="1"/>
  <c r="A5742" i="1"/>
  <c r="S5741" i="1"/>
  <c r="O5741" i="1"/>
  <c r="K5741" i="1"/>
  <c r="J5741" i="1"/>
  <c r="I5741" i="1"/>
  <c r="H5741" i="1"/>
  <c r="G5741" i="1"/>
  <c r="F5741" i="1"/>
  <c r="E5741" i="1"/>
  <c r="D5741" i="1"/>
  <c r="C5741" i="1"/>
  <c r="B5741" i="1"/>
  <c r="A5741" i="1"/>
  <c r="R5740" i="1"/>
  <c r="J5740" i="1"/>
  <c r="I5740" i="1"/>
  <c r="G5740" i="1"/>
  <c r="F5740" i="1"/>
  <c r="E5740" i="1"/>
  <c r="D5740" i="1"/>
  <c r="C5740" i="1"/>
  <c r="B5740" i="1"/>
  <c r="A5740" i="1"/>
  <c r="S5739" i="1"/>
  <c r="O5739" i="1"/>
  <c r="K5739" i="1"/>
  <c r="J5739" i="1"/>
  <c r="I5739" i="1"/>
  <c r="H5739" i="1"/>
  <c r="G5739" i="1"/>
  <c r="F5739" i="1"/>
  <c r="E5739" i="1"/>
  <c r="D5739" i="1"/>
  <c r="C5739" i="1"/>
  <c r="B5739" i="1"/>
  <c r="A5739" i="1"/>
  <c r="R5738" i="1"/>
  <c r="J5738" i="1"/>
  <c r="I5738" i="1"/>
  <c r="G5738" i="1"/>
  <c r="F5738" i="1"/>
  <c r="E5738" i="1"/>
  <c r="D5738" i="1"/>
  <c r="C5738" i="1"/>
  <c r="B5738" i="1"/>
  <c r="A5738" i="1"/>
  <c r="S5737" i="1"/>
  <c r="O5737" i="1"/>
  <c r="K5737" i="1"/>
  <c r="J5737" i="1"/>
  <c r="I5737" i="1"/>
  <c r="H5737" i="1"/>
  <c r="G5737" i="1"/>
  <c r="F5737" i="1"/>
  <c r="E5737" i="1"/>
  <c r="D5737" i="1"/>
  <c r="C5737" i="1"/>
  <c r="B5737" i="1"/>
  <c r="A5737" i="1"/>
  <c r="R5736" i="1"/>
  <c r="J5736" i="1"/>
  <c r="I5736" i="1"/>
  <c r="G5736" i="1"/>
  <c r="F5736" i="1"/>
  <c r="E5736" i="1"/>
  <c r="D5736" i="1"/>
  <c r="C5736" i="1"/>
  <c r="B5736" i="1"/>
  <c r="A5736" i="1"/>
  <c r="S5735" i="1"/>
  <c r="O5735" i="1"/>
  <c r="K5735" i="1"/>
  <c r="J5735" i="1"/>
  <c r="I5735" i="1"/>
  <c r="H5735" i="1"/>
  <c r="G5735" i="1"/>
  <c r="F5735" i="1"/>
  <c r="E5735" i="1"/>
  <c r="D5735" i="1"/>
  <c r="C5735" i="1"/>
  <c r="B5735" i="1"/>
  <c r="A5735" i="1"/>
  <c r="R5734" i="1"/>
  <c r="J5734" i="1"/>
  <c r="I5734" i="1"/>
  <c r="G5734" i="1"/>
  <c r="F5734" i="1"/>
  <c r="E5734" i="1"/>
  <c r="D5734" i="1"/>
  <c r="C5734" i="1"/>
  <c r="B5734" i="1"/>
  <c r="A5734" i="1"/>
  <c r="S5733" i="1"/>
  <c r="O5733" i="1"/>
  <c r="K5733" i="1"/>
  <c r="J5733" i="1"/>
  <c r="I5733" i="1"/>
  <c r="H5733" i="1"/>
  <c r="G5733" i="1"/>
  <c r="F5733" i="1"/>
  <c r="E5733" i="1"/>
  <c r="D5733" i="1"/>
  <c r="C5733" i="1"/>
  <c r="B5733" i="1"/>
  <c r="A5733" i="1"/>
  <c r="R5732" i="1"/>
  <c r="J5732" i="1"/>
  <c r="I5732" i="1"/>
  <c r="G5732" i="1"/>
  <c r="F5732" i="1"/>
  <c r="E5732" i="1"/>
  <c r="D5732" i="1"/>
  <c r="C5732" i="1"/>
  <c r="B5732" i="1"/>
  <c r="A5732" i="1"/>
  <c r="S5731" i="1"/>
  <c r="O5731" i="1"/>
  <c r="K5731" i="1"/>
  <c r="J5731" i="1"/>
  <c r="I5731" i="1"/>
  <c r="H5731" i="1"/>
  <c r="G5731" i="1"/>
  <c r="F5731" i="1"/>
  <c r="E5731" i="1"/>
  <c r="D5731" i="1"/>
  <c r="C5731" i="1"/>
  <c r="B5731" i="1"/>
  <c r="A5731" i="1"/>
  <c r="R5730" i="1"/>
  <c r="J5730" i="1"/>
  <c r="I5730" i="1"/>
  <c r="G5730" i="1"/>
  <c r="F5730" i="1"/>
  <c r="E5730" i="1"/>
  <c r="D5730" i="1"/>
  <c r="C5730" i="1"/>
  <c r="B5730" i="1"/>
  <c r="A5730" i="1"/>
  <c r="S5729" i="1"/>
  <c r="O5729" i="1"/>
  <c r="K5729" i="1"/>
  <c r="J5729" i="1"/>
  <c r="I5729" i="1"/>
  <c r="H5729" i="1"/>
  <c r="G5729" i="1"/>
  <c r="F5729" i="1"/>
  <c r="E5729" i="1"/>
  <c r="D5729" i="1"/>
  <c r="C5729" i="1"/>
  <c r="B5729" i="1"/>
  <c r="A5729" i="1"/>
  <c r="R5728" i="1"/>
  <c r="J5728" i="1"/>
  <c r="I5728" i="1"/>
  <c r="G5728" i="1"/>
  <c r="F5728" i="1"/>
  <c r="E5728" i="1"/>
  <c r="D5728" i="1"/>
  <c r="C5728" i="1"/>
  <c r="B5728" i="1"/>
  <c r="A5728" i="1"/>
  <c r="S5727" i="1"/>
  <c r="O5727" i="1"/>
  <c r="K5727" i="1"/>
  <c r="J5727" i="1"/>
  <c r="I5727" i="1"/>
  <c r="H5727" i="1"/>
  <c r="G5727" i="1"/>
  <c r="F5727" i="1"/>
  <c r="E5727" i="1"/>
  <c r="D5727" i="1"/>
  <c r="C5727" i="1"/>
  <c r="B5727" i="1"/>
  <c r="A5727" i="1"/>
  <c r="R5726" i="1"/>
  <c r="J5726" i="1"/>
  <c r="I5726" i="1"/>
  <c r="G5726" i="1"/>
  <c r="F5726" i="1"/>
  <c r="E5726" i="1"/>
  <c r="D5726" i="1"/>
  <c r="C5726" i="1"/>
  <c r="B5726" i="1"/>
  <c r="A5726" i="1"/>
  <c r="S5725" i="1"/>
  <c r="O5725" i="1"/>
  <c r="K5725" i="1"/>
  <c r="J5725" i="1"/>
  <c r="I5725" i="1"/>
  <c r="H5725" i="1"/>
  <c r="G5725" i="1"/>
  <c r="F5725" i="1"/>
  <c r="E5725" i="1"/>
  <c r="D5725" i="1"/>
  <c r="C5725" i="1"/>
  <c r="B5725" i="1"/>
  <c r="A5725" i="1"/>
  <c r="R5724" i="1"/>
  <c r="J5724" i="1"/>
  <c r="I5724" i="1"/>
  <c r="G5724" i="1"/>
  <c r="F5724" i="1"/>
  <c r="E5724" i="1"/>
  <c r="D5724" i="1"/>
  <c r="C5724" i="1"/>
  <c r="B5724" i="1"/>
  <c r="A5724" i="1"/>
  <c r="S5723" i="1"/>
  <c r="O5723" i="1"/>
  <c r="K5723" i="1"/>
  <c r="J5723" i="1"/>
  <c r="I5723" i="1"/>
  <c r="H5723" i="1"/>
  <c r="G5723" i="1"/>
  <c r="F5723" i="1"/>
  <c r="E5723" i="1"/>
  <c r="D5723" i="1"/>
  <c r="C5723" i="1"/>
  <c r="B5723" i="1"/>
  <c r="A5723" i="1"/>
  <c r="R5722" i="1"/>
  <c r="J5722" i="1"/>
  <c r="I5722" i="1"/>
  <c r="G5722" i="1"/>
  <c r="F5722" i="1"/>
  <c r="E5722" i="1"/>
  <c r="D5722" i="1"/>
  <c r="C5722" i="1"/>
  <c r="B5722" i="1"/>
  <c r="A5722" i="1"/>
  <c r="S5721" i="1"/>
  <c r="O5721" i="1"/>
  <c r="K5721" i="1"/>
  <c r="J5721" i="1"/>
  <c r="I5721" i="1"/>
  <c r="H5721" i="1"/>
  <c r="G5721" i="1"/>
  <c r="F5721" i="1"/>
  <c r="E5721" i="1"/>
  <c r="D5721" i="1"/>
  <c r="C5721" i="1"/>
  <c r="B5721" i="1"/>
  <c r="A5721" i="1"/>
  <c r="R5720" i="1"/>
  <c r="J5720" i="1"/>
  <c r="I5720" i="1"/>
  <c r="G5720" i="1"/>
  <c r="F5720" i="1"/>
  <c r="E5720" i="1"/>
  <c r="D5720" i="1"/>
  <c r="C5720" i="1"/>
  <c r="B5720" i="1"/>
  <c r="A5720" i="1"/>
  <c r="R5719" i="1"/>
  <c r="J5719" i="1"/>
  <c r="I5719" i="1"/>
  <c r="G5719" i="1"/>
  <c r="F5719" i="1"/>
  <c r="E5719" i="1"/>
  <c r="D5719" i="1"/>
  <c r="C5719" i="1"/>
  <c r="B5719" i="1"/>
  <c r="A5719" i="1"/>
  <c r="R5718" i="1"/>
  <c r="J5718" i="1"/>
  <c r="I5718" i="1"/>
  <c r="G5718" i="1"/>
  <c r="F5718" i="1"/>
  <c r="E5718" i="1"/>
  <c r="D5718" i="1"/>
  <c r="C5718" i="1"/>
  <c r="B5718" i="1"/>
  <c r="A5718" i="1"/>
  <c r="S5717" i="1"/>
  <c r="O5717" i="1"/>
  <c r="K5717" i="1"/>
  <c r="J5717" i="1"/>
  <c r="I5717" i="1"/>
  <c r="H5717" i="1"/>
  <c r="G5717" i="1"/>
  <c r="F5717" i="1"/>
  <c r="E5717" i="1"/>
  <c r="D5717" i="1"/>
  <c r="C5717" i="1"/>
  <c r="B5717" i="1"/>
  <c r="A5717" i="1"/>
  <c r="R5716" i="1"/>
  <c r="J5716" i="1"/>
  <c r="I5716" i="1"/>
  <c r="G5716" i="1"/>
  <c r="F5716" i="1"/>
  <c r="E5716" i="1"/>
  <c r="D5716" i="1"/>
  <c r="C5716" i="1"/>
  <c r="B5716" i="1"/>
  <c r="A5716" i="1"/>
  <c r="R5715" i="1"/>
  <c r="J5715" i="1"/>
  <c r="I5715" i="1"/>
  <c r="G5715" i="1"/>
  <c r="F5715" i="1"/>
  <c r="E5715" i="1"/>
  <c r="D5715" i="1"/>
  <c r="C5715" i="1"/>
  <c r="B5715" i="1"/>
  <c r="A5715" i="1"/>
  <c r="R5714" i="1"/>
  <c r="J5714" i="1"/>
  <c r="I5714" i="1"/>
  <c r="G5714" i="1"/>
  <c r="F5714" i="1"/>
  <c r="E5714" i="1"/>
  <c r="D5714" i="1"/>
  <c r="C5714" i="1"/>
  <c r="B5714" i="1"/>
  <c r="A5714" i="1"/>
  <c r="S5713" i="1"/>
  <c r="O5713" i="1"/>
  <c r="K5713" i="1"/>
  <c r="J5713" i="1"/>
  <c r="I5713" i="1"/>
  <c r="H5713" i="1"/>
  <c r="G5713" i="1"/>
  <c r="F5713" i="1"/>
  <c r="E5713" i="1"/>
  <c r="D5713" i="1"/>
  <c r="C5713" i="1"/>
  <c r="B5713" i="1"/>
  <c r="A5713" i="1"/>
  <c r="R5712" i="1"/>
  <c r="J5712" i="1"/>
  <c r="I5712" i="1"/>
  <c r="G5712" i="1"/>
  <c r="F5712" i="1"/>
  <c r="E5712" i="1"/>
  <c r="D5712" i="1"/>
  <c r="C5712" i="1"/>
  <c r="B5712" i="1"/>
  <c r="A5712" i="1"/>
  <c r="S5711" i="1"/>
  <c r="O5711" i="1"/>
  <c r="K5711" i="1"/>
  <c r="J5711" i="1"/>
  <c r="I5711" i="1"/>
  <c r="H5711" i="1"/>
  <c r="G5711" i="1"/>
  <c r="F5711" i="1"/>
  <c r="E5711" i="1"/>
  <c r="D5711" i="1"/>
  <c r="C5711" i="1"/>
  <c r="B5711" i="1"/>
  <c r="A5711" i="1"/>
  <c r="R5710" i="1"/>
  <c r="J5710" i="1"/>
  <c r="I5710" i="1"/>
  <c r="G5710" i="1"/>
  <c r="F5710" i="1"/>
  <c r="E5710" i="1"/>
  <c r="D5710" i="1"/>
  <c r="C5710" i="1"/>
  <c r="B5710" i="1"/>
  <c r="A5710" i="1"/>
  <c r="S5709" i="1"/>
  <c r="O5709" i="1"/>
  <c r="K5709" i="1"/>
  <c r="J5709" i="1"/>
  <c r="I5709" i="1"/>
  <c r="H5709" i="1"/>
  <c r="G5709" i="1"/>
  <c r="F5709" i="1"/>
  <c r="E5709" i="1"/>
  <c r="D5709" i="1"/>
  <c r="C5709" i="1"/>
  <c r="B5709" i="1"/>
  <c r="A5709" i="1"/>
  <c r="R5708" i="1"/>
  <c r="J5708" i="1"/>
  <c r="I5708" i="1"/>
  <c r="G5708" i="1"/>
  <c r="F5708" i="1"/>
  <c r="E5708" i="1"/>
  <c r="D5708" i="1"/>
  <c r="C5708" i="1"/>
  <c r="B5708" i="1"/>
  <c r="A5708" i="1"/>
  <c r="S5707" i="1"/>
  <c r="O5707" i="1"/>
  <c r="K5707" i="1"/>
  <c r="J5707" i="1"/>
  <c r="I5707" i="1"/>
  <c r="H5707" i="1"/>
  <c r="G5707" i="1"/>
  <c r="F5707" i="1"/>
  <c r="E5707" i="1"/>
  <c r="D5707" i="1"/>
  <c r="C5707" i="1"/>
  <c r="B5707" i="1"/>
  <c r="A5707" i="1"/>
  <c r="R5706" i="1"/>
  <c r="J5706" i="1"/>
  <c r="I5706" i="1"/>
  <c r="G5706" i="1"/>
  <c r="F5706" i="1"/>
  <c r="E5706" i="1"/>
  <c r="D5706" i="1"/>
  <c r="C5706" i="1"/>
  <c r="B5706" i="1"/>
  <c r="A5706" i="1"/>
  <c r="S5705" i="1"/>
  <c r="O5705" i="1"/>
  <c r="K5705" i="1"/>
  <c r="J5705" i="1"/>
  <c r="I5705" i="1"/>
  <c r="H5705" i="1"/>
  <c r="G5705" i="1"/>
  <c r="F5705" i="1"/>
  <c r="E5705" i="1"/>
  <c r="D5705" i="1"/>
  <c r="C5705" i="1"/>
  <c r="B5705" i="1"/>
  <c r="A5705" i="1"/>
  <c r="R5704" i="1"/>
  <c r="J5704" i="1"/>
  <c r="I5704" i="1"/>
  <c r="G5704" i="1"/>
  <c r="F5704" i="1"/>
  <c r="E5704" i="1"/>
  <c r="D5704" i="1"/>
  <c r="C5704" i="1"/>
  <c r="B5704" i="1"/>
  <c r="A5704" i="1"/>
  <c r="S5703" i="1"/>
  <c r="O5703" i="1"/>
  <c r="K5703" i="1"/>
  <c r="J5703" i="1"/>
  <c r="I5703" i="1"/>
  <c r="H5703" i="1"/>
  <c r="G5703" i="1"/>
  <c r="F5703" i="1"/>
  <c r="E5703" i="1"/>
  <c r="D5703" i="1"/>
  <c r="C5703" i="1"/>
  <c r="B5703" i="1"/>
  <c r="A5703" i="1"/>
  <c r="R5702" i="1"/>
  <c r="J5702" i="1"/>
  <c r="I5702" i="1"/>
  <c r="G5702" i="1"/>
  <c r="F5702" i="1"/>
  <c r="E5702" i="1"/>
  <c r="D5702" i="1"/>
  <c r="C5702" i="1"/>
  <c r="B5702" i="1"/>
  <c r="A5702" i="1"/>
  <c r="R5701" i="1"/>
  <c r="J5701" i="1"/>
  <c r="I5701" i="1"/>
  <c r="G5701" i="1"/>
  <c r="F5701" i="1"/>
  <c r="E5701" i="1"/>
  <c r="D5701" i="1"/>
  <c r="C5701" i="1"/>
  <c r="B5701" i="1"/>
  <c r="A5701" i="1"/>
  <c r="S5700" i="1"/>
  <c r="O5700" i="1"/>
  <c r="K5700" i="1"/>
  <c r="J5700" i="1"/>
  <c r="I5700" i="1"/>
  <c r="H5700" i="1"/>
  <c r="G5700" i="1"/>
  <c r="F5700" i="1"/>
  <c r="E5700" i="1"/>
  <c r="D5700" i="1"/>
  <c r="C5700" i="1"/>
  <c r="B5700" i="1"/>
  <c r="A5700" i="1"/>
  <c r="R5699" i="1"/>
  <c r="J5699" i="1"/>
  <c r="I5699" i="1"/>
  <c r="G5699" i="1"/>
  <c r="F5699" i="1"/>
  <c r="E5699" i="1"/>
  <c r="D5699" i="1"/>
  <c r="C5699" i="1"/>
  <c r="B5699" i="1"/>
  <c r="A5699" i="1"/>
  <c r="S5698" i="1"/>
  <c r="O5698" i="1"/>
  <c r="K5698" i="1"/>
  <c r="J5698" i="1"/>
  <c r="I5698" i="1"/>
  <c r="H5698" i="1"/>
  <c r="G5698" i="1"/>
  <c r="F5698" i="1"/>
  <c r="E5698" i="1"/>
  <c r="D5698" i="1"/>
  <c r="C5698" i="1"/>
  <c r="B5698" i="1"/>
  <c r="A5698" i="1"/>
  <c r="R5697" i="1"/>
  <c r="J5697" i="1"/>
  <c r="I5697" i="1"/>
  <c r="G5697" i="1"/>
  <c r="F5697" i="1"/>
  <c r="E5697" i="1"/>
  <c r="D5697" i="1"/>
  <c r="C5697" i="1"/>
  <c r="B5697" i="1"/>
  <c r="A5697" i="1"/>
  <c r="S5696" i="1"/>
  <c r="O5696" i="1"/>
  <c r="K5696" i="1"/>
  <c r="J5696" i="1"/>
  <c r="I5696" i="1"/>
  <c r="H5696" i="1"/>
  <c r="G5696" i="1"/>
  <c r="F5696" i="1"/>
  <c r="E5696" i="1"/>
  <c r="D5696" i="1"/>
  <c r="C5696" i="1"/>
  <c r="B5696" i="1"/>
  <c r="A5696" i="1"/>
  <c r="R5695" i="1"/>
  <c r="J5695" i="1"/>
  <c r="I5695" i="1"/>
  <c r="G5695" i="1"/>
  <c r="F5695" i="1"/>
  <c r="E5695" i="1"/>
  <c r="D5695" i="1"/>
  <c r="C5695" i="1"/>
  <c r="B5695" i="1"/>
  <c r="A5695" i="1"/>
  <c r="S5694" i="1"/>
  <c r="O5694" i="1"/>
  <c r="K5694" i="1"/>
  <c r="J5694" i="1"/>
  <c r="I5694" i="1"/>
  <c r="H5694" i="1"/>
  <c r="G5694" i="1"/>
  <c r="F5694" i="1"/>
  <c r="E5694" i="1"/>
  <c r="D5694" i="1"/>
  <c r="C5694" i="1"/>
  <c r="B5694" i="1"/>
  <c r="A5694" i="1"/>
  <c r="R5693" i="1"/>
  <c r="J5693" i="1"/>
  <c r="I5693" i="1"/>
  <c r="G5693" i="1"/>
  <c r="F5693" i="1"/>
  <c r="E5693" i="1"/>
  <c r="D5693" i="1"/>
  <c r="C5693" i="1"/>
  <c r="B5693" i="1"/>
  <c r="A5693" i="1"/>
  <c r="S5692" i="1"/>
  <c r="O5692" i="1"/>
  <c r="K5692" i="1"/>
  <c r="J5692" i="1"/>
  <c r="I5692" i="1"/>
  <c r="H5692" i="1"/>
  <c r="G5692" i="1"/>
  <c r="F5692" i="1"/>
  <c r="E5692" i="1"/>
  <c r="D5692" i="1"/>
  <c r="C5692" i="1"/>
  <c r="B5692" i="1"/>
  <c r="A5692" i="1"/>
  <c r="R5691" i="1"/>
  <c r="J5691" i="1"/>
  <c r="I5691" i="1"/>
  <c r="G5691" i="1"/>
  <c r="F5691" i="1"/>
  <c r="E5691" i="1"/>
  <c r="D5691" i="1"/>
  <c r="C5691" i="1"/>
  <c r="B5691" i="1"/>
  <c r="A5691" i="1"/>
  <c r="S5690" i="1"/>
  <c r="O5690" i="1"/>
  <c r="K5690" i="1"/>
  <c r="J5690" i="1"/>
  <c r="I5690" i="1"/>
  <c r="H5690" i="1"/>
  <c r="G5690" i="1"/>
  <c r="F5690" i="1"/>
  <c r="E5690" i="1"/>
  <c r="D5690" i="1"/>
  <c r="C5690" i="1"/>
  <c r="B5690" i="1"/>
  <c r="A5690" i="1"/>
  <c r="R5689" i="1"/>
  <c r="J5689" i="1"/>
  <c r="I5689" i="1"/>
  <c r="G5689" i="1"/>
  <c r="F5689" i="1"/>
  <c r="E5689" i="1"/>
  <c r="D5689" i="1"/>
  <c r="C5689" i="1"/>
  <c r="B5689" i="1"/>
  <c r="A5689" i="1"/>
  <c r="S5688" i="1"/>
  <c r="O5688" i="1"/>
  <c r="K5688" i="1"/>
  <c r="J5688" i="1"/>
  <c r="I5688" i="1"/>
  <c r="H5688" i="1"/>
  <c r="G5688" i="1"/>
  <c r="F5688" i="1"/>
  <c r="E5688" i="1"/>
  <c r="D5688" i="1"/>
  <c r="C5688" i="1"/>
  <c r="B5688" i="1"/>
  <c r="A5688" i="1"/>
  <c r="R5687" i="1"/>
  <c r="J5687" i="1"/>
  <c r="I5687" i="1"/>
  <c r="G5687" i="1"/>
  <c r="F5687" i="1"/>
  <c r="E5687" i="1"/>
  <c r="D5687" i="1"/>
  <c r="C5687" i="1"/>
  <c r="B5687" i="1"/>
  <c r="A5687" i="1"/>
  <c r="S5686" i="1"/>
  <c r="O5686" i="1"/>
  <c r="K5686" i="1"/>
  <c r="J5686" i="1"/>
  <c r="I5686" i="1"/>
  <c r="H5686" i="1"/>
  <c r="G5686" i="1"/>
  <c r="F5686" i="1"/>
  <c r="E5686" i="1"/>
  <c r="D5686" i="1"/>
  <c r="C5686" i="1"/>
  <c r="B5686" i="1"/>
  <c r="A5686" i="1"/>
  <c r="R5685" i="1"/>
  <c r="J5685" i="1"/>
  <c r="I5685" i="1"/>
  <c r="G5685" i="1"/>
  <c r="F5685" i="1"/>
  <c r="E5685" i="1"/>
  <c r="D5685" i="1"/>
  <c r="C5685" i="1"/>
  <c r="B5685" i="1"/>
  <c r="A5685" i="1"/>
  <c r="S5684" i="1"/>
  <c r="O5684" i="1"/>
  <c r="K5684" i="1"/>
  <c r="J5684" i="1"/>
  <c r="I5684" i="1"/>
  <c r="H5684" i="1"/>
  <c r="G5684" i="1"/>
  <c r="F5684" i="1"/>
  <c r="E5684" i="1"/>
  <c r="D5684" i="1"/>
  <c r="C5684" i="1"/>
  <c r="B5684" i="1"/>
  <c r="A5684" i="1"/>
  <c r="R5683" i="1"/>
  <c r="J5683" i="1"/>
  <c r="I5683" i="1"/>
  <c r="G5683" i="1"/>
  <c r="F5683" i="1"/>
  <c r="E5683" i="1"/>
  <c r="D5683" i="1"/>
  <c r="C5683" i="1"/>
  <c r="B5683" i="1"/>
  <c r="A5683" i="1"/>
  <c r="S5682" i="1"/>
  <c r="O5682" i="1"/>
  <c r="K5682" i="1"/>
  <c r="J5682" i="1"/>
  <c r="I5682" i="1"/>
  <c r="H5682" i="1"/>
  <c r="G5682" i="1"/>
  <c r="F5682" i="1"/>
  <c r="E5682" i="1"/>
  <c r="D5682" i="1"/>
  <c r="C5682" i="1"/>
  <c r="B5682" i="1"/>
  <c r="A5682" i="1"/>
  <c r="R5681" i="1"/>
  <c r="J5681" i="1"/>
  <c r="I5681" i="1"/>
  <c r="G5681" i="1"/>
  <c r="F5681" i="1"/>
  <c r="E5681" i="1"/>
  <c r="D5681" i="1"/>
  <c r="C5681" i="1"/>
  <c r="B5681" i="1"/>
  <c r="A5681" i="1"/>
  <c r="S5680" i="1"/>
  <c r="O5680" i="1"/>
  <c r="K5680" i="1"/>
  <c r="J5680" i="1"/>
  <c r="I5680" i="1"/>
  <c r="H5680" i="1"/>
  <c r="G5680" i="1"/>
  <c r="F5680" i="1"/>
  <c r="E5680" i="1"/>
  <c r="D5680" i="1"/>
  <c r="C5680" i="1"/>
  <c r="B5680" i="1"/>
  <c r="A5680" i="1"/>
  <c r="R5679" i="1"/>
  <c r="J5679" i="1"/>
  <c r="I5679" i="1"/>
  <c r="G5679" i="1"/>
  <c r="F5679" i="1"/>
  <c r="E5679" i="1"/>
  <c r="D5679" i="1"/>
  <c r="C5679" i="1"/>
  <c r="B5679" i="1"/>
  <c r="A5679" i="1"/>
  <c r="S5678" i="1"/>
  <c r="O5678" i="1"/>
  <c r="K5678" i="1"/>
  <c r="J5678" i="1"/>
  <c r="I5678" i="1"/>
  <c r="H5678" i="1"/>
  <c r="G5678" i="1"/>
  <c r="F5678" i="1"/>
  <c r="E5678" i="1"/>
  <c r="D5678" i="1"/>
  <c r="C5678" i="1"/>
  <c r="B5678" i="1"/>
  <c r="A5678" i="1"/>
  <c r="R5677" i="1"/>
  <c r="J5677" i="1"/>
  <c r="I5677" i="1"/>
  <c r="G5677" i="1"/>
  <c r="F5677" i="1"/>
  <c r="E5677" i="1"/>
  <c r="D5677" i="1"/>
  <c r="C5677" i="1"/>
  <c r="B5677" i="1"/>
  <c r="A5677" i="1"/>
  <c r="S5676" i="1"/>
  <c r="O5676" i="1"/>
  <c r="K5676" i="1"/>
  <c r="J5676" i="1"/>
  <c r="I5676" i="1"/>
  <c r="H5676" i="1"/>
  <c r="G5676" i="1"/>
  <c r="F5676" i="1"/>
  <c r="E5676" i="1"/>
  <c r="D5676" i="1"/>
  <c r="C5676" i="1"/>
  <c r="B5676" i="1"/>
  <c r="A5676" i="1"/>
  <c r="R5675" i="1"/>
  <c r="J5675" i="1"/>
  <c r="I5675" i="1"/>
  <c r="G5675" i="1"/>
  <c r="F5675" i="1"/>
  <c r="E5675" i="1"/>
  <c r="D5675" i="1"/>
  <c r="C5675" i="1"/>
  <c r="B5675" i="1"/>
  <c r="A5675" i="1"/>
  <c r="S5674" i="1"/>
  <c r="O5674" i="1"/>
  <c r="K5674" i="1"/>
  <c r="J5674" i="1"/>
  <c r="I5674" i="1"/>
  <c r="H5674" i="1"/>
  <c r="G5674" i="1"/>
  <c r="F5674" i="1"/>
  <c r="E5674" i="1"/>
  <c r="D5674" i="1"/>
  <c r="C5674" i="1"/>
  <c r="B5674" i="1"/>
  <c r="A5674" i="1"/>
  <c r="R5673" i="1"/>
  <c r="J5673" i="1"/>
  <c r="I5673" i="1"/>
  <c r="G5673" i="1"/>
  <c r="F5673" i="1"/>
  <c r="E5673" i="1"/>
  <c r="D5673" i="1"/>
  <c r="C5673" i="1"/>
  <c r="B5673" i="1"/>
  <c r="A5673" i="1"/>
  <c r="S5672" i="1"/>
  <c r="O5672" i="1"/>
  <c r="K5672" i="1"/>
  <c r="J5672" i="1"/>
  <c r="I5672" i="1"/>
  <c r="H5672" i="1"/>
  <c r="G5672" i="1"/>
  <c r="F5672" i="1"/>
  <c r="E5672" i="1"/>
  <c r="D5672" i="1"/>
  <c r="C5672" i="1"/>
  <c r="B5672" i="1"/>
  <c r="A5672" i="1"/>
  <c r="R5671" i="1"/>
  <c r="J5671" i="1"/>
  <c r="I5671" i="1"/>
  <c r="G5671" i="1"/>
  <c r="F5671" i="1"/>
  <c r="E5671" i="1"/>
  <c r="D5671" i="1"/>
  <c r="C5671" i="1"/>
  <c r="B5671" i="1"/>
  <c r="A5671" i="1"/>
  <c r="S5670" i="1"/>
  <c r="O5670" i="1"/>
  <c r="K5670" i="1"/>
  <c r="J5670" i="1"/>
  <c r="I5670" i="1"/>
  <c r="H5670" i="1"/>
  <c r="G5670" i="1"/>
  <c r="F5670" i="1"/>
  <c r="E5670" i="1"/>
  <c r="D5670" i="1"/>
  <c r="C5670" i="1"/>
  <c r="B5670" i="1"/>
  <c r="A5670" i="1"/>
  <c r="R5669" i="1"/>
  <c r="J5669" i="1"/>
  <c r="I5669" i="1"/>
  <c r="G5669" i="1"/>
  <c r="F5669" i="1"/>
  <c r="E5669" i="1"/>
  <c r="D5669" i="1"/>
  <c r="C5669" i="1"/>
  <c r="B5669" i="1"/>
  <c r="A5669" i="1"/>
  <c r="S5668" i="1"/>
  <c r="O5668" i="1"/>
  <c r="K5668" i="1"/>
  <c r="J5668" i="1"/>
  <c r="I5668" i="1"/>
  <c r="H5668" i="1"/>
  <c r="G5668" i="1"/>
  <c r="F5668" i="1"/>
  <c r="E5668" i="1"/>
  <c r="D5668" i="1"/>
  <c r="C5668" i="1"/>
  <c r="B5668" i="1"/>
  <c r="A5668" i="1"/>
  <c r="R5667" i="1"/>
  <c r="J5667" i="1"/>
  <c r="I5667" i="1"/>
  <c r="G5667" i="1"/>
  <c r="F5667" i="1"/>
  <c r="E5667" i="1"/>
  <c r="D5667" i="1"/>
  <c r="C5667" i="1"/>
  <c r="B5667" i="1"/>
  <c r="A5667" i="1"/>
  <c r="S5666" i="1"/>
  <c r="O5666" i="1"/>
  <c r="K5666" i="1"/>
  <c r="J5666" i="1"/>
  <c r="I5666" i="1"/>
  <c r="H5666" i="1"/>
  <c r="G5666" i="1"/>
  <c r="F5666" i="1"/>
  <c r="E5666" i="1"/>
  <c r="D5666" i="1"/>
  <c r="C5666" i="1"/>
  <c r="B5666" i="1"/>
  <c r="A5666" i="1"/>
  <c r="R5665" i="1"/>
  <c r="J5665" i="1"/>
  <c r="I5665" i="1"/>
  <c r="G5665" i="1"/>
  <c r="F5665" i="1"/>
  <c r="E5665" i="1"/>
  <c r="D5665" i="1"/>
  <c r="C5665" i="1"/>
  <c r="B5665" i="1"/>
  <c r="A5665" i="1"/>
  <c r="S5664" i="1"/>
  <c r="O5664" i="1"/>
  <c r="K5664" i="1"/>
  <c r="J5664" i="1"/>
  <c r="I5664" i="1"/>
  <c r="H5664" i="1"/>
  <c r="G5664" i="1"/>
  <c r="F5664" i="1"/>
  <c r="E5664" i="1"/>
  <c r="D5664" i="1"/>
  <c r="C5664" i="1"/>
  <c r="B5664" i="1"/>
  <c r="A5664" i="1"/>
  <c r="R5663" i="1"/>
  <c r="J5663" i="1"/>
  <c r="I5663" i="1"/>
  <c r="G5663" i="1"/>
  <c r="F5663" i="1"/>
  <c r="E5663" i="1"/>
  <c r="D5663" i="1"/>
  <c r="C5663" i="1"/>
  <c r="B5663" i="1"/>
  <c r="A5663" i="1"/>
  <c r="S5662" i="1"/>
  <c r="O5662" i="1"/>
  <c r="K5662" i="1"/>
  <c r="J5662" i="1"/>
  <c r="I5662" i="1"/>
  <c r="H5662" i="1"/>
  <c r="G5662" i="1"/>
  <c r="F5662" i="1"/>
  <c r="E5662" i="1"/>
  <c r="D5662" i="1"/>
  <c r="C5662" i="1"/>
  <c r="B5662" i="1"/>
  <c r="A5662" i="1"/>
  <c r="R5661" i="1"/>
  <c r="J5661" i="1"/>
  <c r="I5661" i="1"/>
  <c r="G5661" i="1"/>
  <c r="F5661" i="1"/>
  <c r="E5661" i="1"/>
  <c r="D5661" i="1"/>
  <c r="C5661" i="1"/>
  <c r="B5661" i="1"/>
  <c r="A5661" i="1"/>
  <c r="R5660" i="1"/>
  <c r="J5660" i="1"/>
  <c r="I5660" i="1"/>
  <c r="G5660" i="1"/>
  <c r="F5660" i="1"/>
  <c r="E5660" i="1"/>
  <c r="D5660" i="1"/>
  <c r="C5660" i="1"/>
  <c r="B5660" i="1"/>
  <c r="A5660" i="1"/>
  <c r="S5659" i="1"/>
  <c r="O5659" i="1"/>
  <c r="K5659" i="1"/>
  <c r="J5659" i="1"/>
  <c r="I5659" i="1"/>
  <c r="H5659" i="1"/>
  <c r="G5659" i="1"/>
  <c r="F5659" i="1"/>
  <c r="E5659" i="1"/>
  <c r="D5659" i="1"/>
  <c r="C5659" i="1"/>
  <c r="B5659" i="1"/>
  <c r="A5659" i="1"/>
  <c r="R5658" i="1"/>
  <c r="J5658" i="1"/>
  <c r="I5658" i="1"/>
  <c r="G5658" i="1"/>
  <c r="F5658" i="1"/>
  <c r="E5658" i="1"/>
  <c r="D5658" i="1"/>
  <c r="C5658" i="1"/>
  <c r="B5658" i="1"/>
  <c r="A5658" i="1"/>
  <c r="S5657" i="1"/>
  <c r="O5657" i="1"/>
  <c r="K5657" i="1"/>
  <c r="J5657" i="1"/>
  <c r="I5657" i="1"/>
  <c r="H5657" i="1"/>
  <c r="G5657" i="1"/>
  <c r="F5657" i="1"/>
  <c r="E5657" i="1"/>
  <c r="D5657" i="1"/>
  <c r="C5657" i="1"/>
  <c r="B5657" i="1"/>
  <c r="A5657" i="1"/>
  <c r="R5656" i="1"/>
  <c r="J5656" i="1"/>
  <c r="I5656" i="1"/>
  <c r="G5656" i="1"/>
  <c r="F5656" i="1"/>
  <c r="E5656" i="1"/>
  <c r="D5656" i="1"/>
  <c r="C5656" i="1"/>
  <c r="B5656" i="1"/>
  <c r="A5656" i="1"/>
  <c r="S5655" i="1"/>
  <c r="O5655" i="1"/>
  <c r="K5655" i="1"/>
  <c r="J5655" i="1"/>
  <c r="I5655" i="1"/>
  <c r="H5655" i="1"/>
  <c r="G5655" i="1"/>
  <c r="F5655" i="1"/>
  <c r="E5655" i="1"/>
  <c r="D5655" i="1"/>
  <c r="C5655" i="1"/>
  <c r="B5655" i="1"/>
  <c r="A5655" i="1"/>
  <c r="R5654" i="1"/>
  <c r="J5654" i="1"/>
  <c r="I5654" i="1"/>
  <c r="G5654" i="1"/>
  <c r="F5654" i="1"/>
  <c r="E5654" i="1"/>
  <c r="D5654" i="1"/>
  <c r="C5654" i="1"/>
  <c r="B5654" i="1"/>
  <c r="A5654" i="1"/>
  <c r="R5653" i="1"/>
  <c r="J5653" i="1"/>
  <c r="I5653" i="1"/>
  <c r="G5653" i="1"/>
  <c r="F5653" i="1"/>
  <c r="E5653" i="1"/>
  <c r="D5653" i="1"/>
  <c r="C5653" i="1"/>
  <c r="B5653" i="1"/>
  <c r="A5653" i="1"/>
  <c r="S5652" i="1"/>
  <c r="O5652" i="1"/>
  <c r="K5652" i="1"/>
  <c r="J5652" i="1"/>
  <c r="I5652" i="1"/>
  <c r="H5652" i="1"/>
  <c r="G5652" i="1"/>
  <c r="F5652" i="1"/>
  <c r="E5652" i="1"/>
  <c r="D5652" i="1"/>
  <c r="C5652" i="1"/>
  <c r="B5652" i="1"/>
  <c r="A5652" i="1"/>
  <c r="R5651" i="1"/>
  <c r="J5651" i="1"/>
  <c r="I5651" i="1"/>
  <c r="G5651" i="1"/>
  <c r="F5651" i="1"/>
  <c r="E5651" i="1"/>
  <c r="D5651" i="1"/>
  <c r="C5651" i="1"/>
  <c r="B5651" i="1"/>
  <c r="A5651" i="1"/>
  <c r="S5650" i="1"/>
  <c r="O5650" i="1"/>
  <c r="K5650" i="1"/>
  <c r="J5650" i="1"/>
  <c r="I5650" i="1"/>
  <c r="H5650" i="1"/>
  <c r="G5650" i="1"/>
  <c r="F5650" i="1"/>
  <c r="E5650" i="1"/>
  <c r="D5650" i="1"/>
  <c r="C5650" i="1"/>
  <c r="B5650" i="1"/>
  <c r="A5650" i="1"/>
  <c r="R5649" i="1"/>
  <c r="J5649" i="1"/>
  <c r="I5649" i="1"/>
  <c r="G5649" i="1"/>
  <c r="F5649" i="1"/>
  <c r="E5649" i="1"/>
  <c r="D5649" i="1"/>
  <c r="C5649" i="1"/>
  <c r="B5649" i="1"/>
  <c r="A5649" i="1"/>
  <c r="R5648" i="1"/>
  <c r="J5648" i="1"/>
  <c r="I5648" i="1"/>
  <c r="G5648" i="1"/>
  <c r="F5648" i="1"/>
  <c r="E5648" i="1"/>
  <c r="D5648" i="1"/>
  <c r="C5648" i="1"/>
  <c r="B5648" i="1"/>
  <c r="A5648" i="1"/>
  <c r="S5647" i="1"/>
  <c r="O5647" i="1"/>
  <c r="K5647" i="1"/>
  <c r="J5647" i="1"/>
  <c r="I5647" i="1"/>
  <c r="H5647" i="1"/>
  <c r="G5647" i="1"/>
  <c r="F5647" i="1"/>
  <c r="E5647" i="1"/>
  <c r="D5647" i="1"/>
  <c r="C5647" i="1"/>
  <c r="B5647" i="1"/>
  <c r="A5647" i="1"/>
  <c r="R5646" i="1"/>
  <c r="J5646" i="1"/>
  <c r="I5646" i="1"/>
  <c r="G5646" i="1"/>
  <c r="F5646" i="1"/>
  <c r="E5646" i="1"/>
  <c r="D5646" i="1"/>
  <c r="C5646" i="1"/>
  <c r="B5646" i="1"/>
  <c r="A5646" i="1"/>
  <c r="R5645" i="1"/>
  <c r="J5645" i="1"/>
  <c r="I5645" i="1"/>
  <c r="G5645" i="1"/>
  <c r="F5645" i="1"/>
  <c r="E5645" i="1"/>
  <c r="D5645" i="1"/>
  <c r="C5645" i="1"/>
  <c r="B5645" i="1"/>
  <c r="A5645" i="1"/>
  <c r="S5644" i="1"/>
  <c r="O5644" i="1"/>
  <c r="K5644" i="1"/>
  <c r="J5644" i="1"/>
  <c r="I5644" i="1"/>
  <c r="H5644" i="1"/>
  <c r="G5644" i="1"/>
  <c r="F5644" i="1"/>
  <c r="E5644" i="1"/>
  <c r="D5644" i="1"/>
  <c r="C5644" i="1"/>
  <c r="B5644" i="1"/>
  <c r="A5644" i="1"/>
  <c r="R5643" i="1"/>
  <c r="J5643" i="1"/>
  <c r="I5643" i="1"/>
  <c r="G5643" i="1"/>
  <c r="F5643" i="1"/>
  <c r="E5643" i="1"/>
  <c r="D5643" i="1"/>
  <c r="C5643" i="1"/>
  <c r="B5643" i="1"/>
  <c r="A5643" i="1"/>
  <c r="S5642" i="1"/>
  <c r="O5642" i="1"/>
  <c r="K5642" i="1"/>
  <c r="J5642" i="1"/>
  <c r="I5642" i="1"/>
  <c r="H5642" i="1"/>
  <c r="G5642" i="1"/>
  <c r="F5642" i="1"/>
  <c r="E5642" i="1"/>
  <c r="D5642" i="1"/>
  <c r="C5642" i="1"/>
  <c r="B5642" i="1"/>
  <c r="A5642" i="1"/>
  <c r="R5641" i="1"/>
  <c r="J5641" i="1"/>
  <c r="I5641" i="1"/>
  <c r="G5641" i="1"/>
  <c r="F5641" i="1"/>
  <c r="E5641" i="1"/>
  <c r="D5641" i="1"/>
  <c r="C5641" i="1"/>
  <c r="B5641" i="1"/>
  <c r="A5641" i="1"/>
  <c r="S5640" i="1"/>
  <c r="O5640" i="1"/>
  <c r="K5640" i="1"/>
  <c r="J5640" i="1"/>
  <c r="I5640" i="1"/>
  <c r="H5640" i="1"/>
  <c r="G5640" i="1"/>
  <c r="F5640" i="1"/>
  <c r="E5640" i="1"/>
  <c r="D5640" i="1"/>
  <c r="C5640" i="1"/>
  <c r="B5640" i="1"/>
  <c r="A5640" i="1"/>
  <c r="R5639" i="1"/>
  <c r="J5639" i="1"/>
  <c r="I5639" i="1"/>
  <c r="G5639" i="1"/>
  <c r="F5639" i="1"/>
  <c r="E5639" i="1"/>
  <c r="D5639" i="1"/>
  <c r="C5639" i="1"/>
  <c r="B5639" i="1"/>
  <c r="A5639" i="1"/>
  <c r="S5638" i="1"/>
  <c r="O5638" i="1"/>
  <c r="K5638" i="1"/>
  <c r="J5638" i="1"/>
  <c r="I5638" i="1"/>
  <c r="H5638" i="1"/>
  <c r="G5638" i="1"/>
  <c r="F5638" i="1"/>
  <c r="E5638" i="1"/>
  <c r="D5638" i="1"/>
  <c r="C5638" i="1"/>
  <c r="B5638" i="1"/>
  <c r="A5638" i="1"/>
  <c r="R5637" i="1"/>
  <c r="J5637" i="1"/>
  <c r="I5637" i="1"/>
  <c r="G5637" i="1"/>
  <c r="F5637" i="1"/>
  <c r="E5637" i="1"/>
  <c r="D5637" i="1"/>
  <c r="C5637" i="1"/>
  <c r="B5637" i="1"/>
  <c r="A5637" i="1"/>
  <c r="S5636" i="1"/>
  <c r="O5636" i="1"/>
  <c r="K5636" i="1"/>
  <c r="J5636" i="1"/>
  <c r="I5636" i="1"/>
  <c r="H5636" i="1"/>
  <c r="G5636" i="1"/>
  <c r="F5636" i="1"/>
  <c r="E5636" i="1"/>
  <c r="D5636" i="1"/>
  <c r="C5636" i="1"/>
  <c r="B5636" i="1"/>
  <c r="A5636" i="1"/>
  <c r="R5635" i="1"/>
  <c r="J5635" i="1"/>
  <c r="I5635" i="1"/>
  <c r="G5635" i="1"/>
  <c r="F5635" i="1"/>
  <c r="E5635" i="1"/>
  <c r="D5635" i="1"/>
  <c r="C5635" i="1"/>
  <c r="B5635" i="1"/>
  <c r="A5635" i="1"/>
  <c r="S5634" i="1"/>
  <c r="O5634" i="1"/>
  <c r="K5634" i="1"/>
  <c r="J5634" i="1"/>
  <c r="I5634" i="1"/>
  <c r="H5634" i="1"/>
  <c r="G5634" i="1"/>
  <c r="F5634" i="1"/>
  <c r="E5634" i="1"/>
  <c r="D5634" i="1"/>
  <c r="C5634" i="1"/>
  <c r="B5634" i="1"/>
  <c r="A5634" i="1"/>
  <c r="R5633" i="1"/>
  <c r="J5633" i="1"/>
  <c r="I5633" i="1"/>
  <c r="G5633" i="1"/>
  <c r="F5633" i="1"/>
  <c r="E5633" i="1"/>
  <c r="D5633" i="1"/>
  <c r="C5633" i="1"/>
  <c r="B5633" i="1"/>
  <c r="A5633" i="1"/>
  <c r="S5632" i="1"/>
  <c r="O5632" i="1"/>
  <c r="K5632" i="1"/>
  <c r="J5632" i="1"/>
  <c r="I5632" i="1"/>
  <c r="H5632" i="1"/>
  <c r="G5632" i="1"/>
  <c r="F5632" i="1"/>
  <c r="E5632" i="1"/>
  <c r="D5632" i="1"/>
  <c r="C5632" i="1"/>
  <c r="B5632" i="1"/>
  <c r="A5632" i="1"/>
  <c r="R5631" i="1"/>
  <c r="J5631" i="1"/>
  <c r="I5631" i="1"/>
  <c r="G5631" i="1"/>
  <c r="F5631" i="1"/>
  <c r="E5631" i="1"/>
  <c r="D5631" i="1"/>
  <c r="C5631" i="1"/>
  <c r="B5631" i="1"/>
  <c r="A5631" i="1"/>
  <c r="S5630" i="1"/>
  <c r="O5630" i="1"/>
  <c r="K5630" i="1"/>
  <c r="J5630" i="1"/>
  <c r="I5630" i="1"/>
  <c r="H5630" i="1"/>
  <c r="G5630" i="1"/>
  <c r="F5630" i="1"/>
  <c r="E5630" i="1"/>
  <c r="D5630" i="1"/>
  <c r="C5630" i="1"/>
  <c r="B5630" i="1"/>
  <c r="A5630" i="1"/>
  <c r="R5629" i="1"/>
  <c r="J5629" i="1"/>
  <c r="I5629" i="1"/>
  <c r="G5629" i="1"/>
  <c r="F5629" i="1"/>
  <c r="E5629" i="1"/>
  <c r="D5629" i="1"/>
  <c r="C5629" i="1"/>
  <c r="B5629" i="1"/>
  <c r="A5629" i="1"/>
  <c r="S5628" i="1"/>
  <c r="O5628" i="1"/>
  <c r="K5628" i="1"/>
  <c r="J5628" i="1"/>
  <c r="I5628" i="1"/>
  <c r="H5628" i="1"/>
  <c r="G5628" i="1"/>
  <c r="F5628" i="1"/>
  <c r="E5628" i="1"/>
  <c r="D5628" i="1"/>
  <c r="C5628" i="1"/>
  <c r="B5628" i="1"/>
  <c r="A5628" i="1"/>
  <c r="R5627" i="1"/>
  <c r="J5627" i="1"/>
  <c r="I5627" i="1"/>
  <c r="G5627" i="1"/>
  <c r="F5627" i="1"/>
  <c r="E5627" i="1"/>
  <c r="D5627" i="1"/>
  <c r="C5627" i="1"/>
  <c r="B5627" i="1"/>
  <c r="A5627" i="1"/>
  <c r="S5626" i="1"/>
  <c r="O5626" i="1"/>
  <c r="K5626" i="1"/>
  <c r="J5626" i="1"/>
  <c r="I5626" i="1"/>
  <c r="H5626" i="1"/>
  <c r="G5626" i="1"/>
  <c r="F5626" i="1"/>
  <c r="E5626" i="1"/>
  <c r="D5626" i="1"/>
  <c r="C5626" i="1"/>
  <c r="B5626" i="1"/>
  <c r="A5626" i="1"/>
  <c r="R5625" i="1"/>
  <c r="J5625" i="1"/>
  <c r="I5625" i="1"/>
  <c r="G5625" i="1"/>
  <c r="F5625" i="1"/>
  <c r="E5625" i="1"/>
  <c r="D5625" i="1"/>
  <c r="C5625" i="1"/>
  <c r="B5625" i="1"/>
  <c r="A5625" i="1"/>
  <c r="S5624" i="1"/>
  <c r="O5624" i="1"/>
  <c r="K5624" i="1"/>
  <c r="J5624" i="1"/>
  <c r="I5624" i="1"/>
  <c r="H5624" i="1"/>
  <c r="G5624" i="1"/>
  <c r="F5624" i="1"/>
  <c r="E5624" i="1"/>
  <c r="D5624" i="1"/>
  <c r="C5624" i="1"/>
  <c r="B5624" i="1"/>
  <c r="A5624" i="1"/>
  <c r="R5623" i="1"/>
  <c r="J5623" i="1"/>
  <c r="I5623" i="1"/>
  <c r="G5623" i="1"/>
  <c r="F5623" i="1"/>
  <c r="E5623" i="1"/>
  <c r="D5623" i="1"/>
  <c r="C5623" i="1"/>
  <c r="B5623" i="1"/>
  <c r="A5623" i="1"/>
  <c r="S5622" i="1"/>
  <c r="O5622" i="1"/>
  <c r="K5622" i="1"/>
  <c r="J5622" i="1"/>
  <c r="I5622" i="1"/>
  <c r="H5622" i="1"/>
  <c r="G5622" i="1"/>
  <c r="F5622" i="1"/>
  <c r="E5622" i="1"/>
  <c r="D5622" i="1"/>
  <c r="C5622" i="1"/>
  <c r="B5622" i="1"/>
  <c r="A5622" i="1"/>
  <c r="R5621" i="1"/>
  <c r="J5621" i="1"/>
  <c r="I5621" i="1"/>
  <c r="G5621" i="1"/>
  <c r="F5621" i="1"/>
  <c r="E5621" i="1"/>
  <c r="D5621" i="1"/>
  <c r="C5621" i="1"/>
  <c r="B5621" i="1"/>
  <c r="A5621" i="1"/>
  <c r="R5620" i="1"/>
  <c r="J5620" i="1"/>
  <c r="I5620" i="1"/>
  <c r="G5620" i="1"/>
  <c r="F5620" i="1"/>
  <c r="E5620" i="1"/>
  <c r="D5620" i="1"/>
  <c r="C5620" i="1"/>
  <c r="B5620" i="1"/>
  <c r="A5620" i="1"/>
  <c r="S5619" i="1"/>
  <c r="O5619" i="1"/>
  <c r="K5619" i="1"/>
  <c r="J5619" i="1"/>
  <c r="I5619" i="1"/>
  <c r="H5619" i="1"/>
  <c r="G5619" i="1"/>
  <c r="F5619" i="1"/>
  <c r="E5619" i="1"/>
  <c r="D5619" i="1"/>
  <c r="C5619" i="1"/>
  <c r="B5619" i="1"/>
  <c r="A5619" i="1"/>
  <c r="R5618" i="1"/>
  <c r="J5618" i="1"/>
  <c r="I5618" i="1"/>
  <c r="G5618" i="1"/>
  <c r="F5618" i="1"/>
  <c r="E5618" i="1"/>
  <c r="D5618" i="1"/>
  <c r="C5618" i="1"/>
  <c r="B5618" i="1"/>
  <c r="A5618" i="1"/>
  <c r="S5617" i="1"/>
  <c r="O5617" i="1"/>
  <c r="K5617" i="1"/>
  <c r="J5617" i="1"/>
  <c r="I5617" i="1"/>
  <c r="H5617" i="1"/>
  <c r="G5617" i="1"/>
  <c r="F5617" i="1"/>
  <c r="E5617" i="1"/>
  <c r="D5617" i="1"/>
  <c r="C5617" i="1"/>
  <c r="B5617" i="1"/>
  <c r="A5617" i="1"/>
  <c r="R5616" i="1"/>
  <c r="J5616" i="1"/>
  <c r="I5616" i="1"/>
  <c r="G5616" i="1"/>
  <c r="F5616" i="1"/>
  <c r="E5616" i="1"/>
  <c r="D5616" i="1"/>
  <c r="C5616" i="1"/>
  <c r="B5616" i="1"/>
  <c r="A5616" i="1"/>
  <c r="R5615" i="1"/>
  <c r="J5615" i="1"/>
  <c r="I5615" i="1"/>
  <c r="G5615" i="1"/>
  <c r="F5615" i="1"/>
  <c r="E5615" i="1"/>
  <c r="D5615" i="1"/>
  <c r="C5615" i="1"/>
  <c r="B5615" i="1"/>
  <c r="A5615" i="1"/>
  <c r="S5614" i="1"/>
  <c r="O5614" i="1"/>
  <c r="K5614" i="1"/>
  <c r="J5614" i="1"/>
  <c r="I5614" i="1"/>
  <c r="H5614" i="1"/>
  <c r="G5614" i="1"/>
  <c r="F5614" i="1"/>
  <c r="E5614" i="1"/>
  <c r="D5614" i="1"/>
  <c r="C5614" i="1"/>
  <c r="B5614" i="1"/>
  <c r="A5614" i="1"/>
  <c r="R5613" i="1"/>
  <c r="J5613" i="1"/>
  <c r="I5613" i="1"/>
  <c r="G5613" i="1"/>
  <c r="F5613" i="1"/>
  <c r="E5613" i="1"/>
  <c r="D5613" i="1"/>
  <c r="C5613" i="1"/>
  <c r="B5613" i="1"/>
  <c r="A5613" i="1"/>
  <c r="S5612" i="1"/>
  <c r="O5612" i="1"/>
  <c r="K5612" i="1"/>
  <c r="J5612" i="1"/>
  <c r="I5612" i="1"/>
  <c r="H5612" i="1"/>
  <c r="G5612" i="1"/>
  <c r="F5612" i="1"/>
  <c r="E5612" i="1"/>
  <c r="D5612" i="1"/>
  <c r="C5612" i="1"/>
  <c r="B5612" i="1"/>
  <c r="A5612" i="1"/>
  <c r="R5611" i="1"/>
  <c r="J5611" i="1"/>
  <c r="I5611" i="1"/>
  <c r="G5611" i="1"/>
  <c r="F5611" i="1"/>
  <c r="E5611" i="1"/>
  <c r="D5611" i="1"/>
  <c r="C5611" i="1"/>
  <c r="B5611" i="1"/>
  <c r="A5611" i="1"/>
  <c r="R5610" i="1"/>
  <c r="J5610" i="1"/>
  <c r="I5610" i="1"/>
  <c r="G5610" i="1"/>
  <c r="F5610" i="1"/>
  <c r="E5610" i="1"/>
  <c r="D5610" i="1"/>
  <c r="C5610" i="1"/>
  <c r="B5610" i="1"/>
  <c r="A5610" i="1"/>
  <c r="R5609" i="1"/>
  <c r="J5609" i="1"/>
  <c r="I5609" i="1"/>
  <c r="G5609" i="1"/>
  <c r="F5609" i="1"/>
  <c r="E5609" i="1"/>
  <c r="D5609" i="1"/>
  <c r="C5609" i="1"/>
  <c r="B5609" i="1"/>
  <c r="A5609" i="1"/>
  <c r="R5608" i="1"/>
  <c r="J5608" i="1"/>
  <c r="I5608" i="1"/>
  <c r="G5608" i="1"/>
  <c r="F5608" i="1"/>
  <c r="E5608" i="1"/>
  <c r="D5608" i="1"/>
  <c r="C5608" i="1"/>
  <c r="B5608" i="1"/>
  <c r="A5608" i="1"/>
  <c r="S5607" i="1"/>
  <c r="O5607" i="1"/>
  <c r="K5607" i="1"/>
  <c r="J5607" i="1"/>
  <c r="I5607" i="1"/>
  <c r="H5607" i="1"/>
  <c r="G5607" i="1"/>
  <c r="F5607" i="1"/>
  <c r="E5607" i="1"/>
  <c r="D5607" i="1"/>
  <c r="C5607" i="1"/>
  <c r="B5607" i="1"/>
  <c r="A5607" i="1"/>
  <c r="R5606" i="1"/>
  <c r="J5606" i="1"/>
  <c r="I5606" i="1"/>
  <c r="G5606" i="1"/>
  <c r="F5606" i="1"/>
  <c r="E5606" i="1"/>
  <c r="D5606" i="1"/>
  <c r="C5606" i="1"/>
  <c r="B5606" i="1"/>
  <c r="A5606" i="1"/>
  <c r="S5605" i="1"/>
  <c r="O5605" i="1"/>
  <c r="K5605" i="1"/>
  <c r="J5605" i="1"/>
  <c r="I5605" i="1"/>
  <c r="H5605" i="1"/>
  <c r="G5605" i="1"/>
  <c r="F5605" i="1"/>
  <c r="E5605" i="1"/>
  <c r="D5605" i="1"/>
  <c r="C5605" i="1"/>
  <c r="B5605" i="1"/>
  <c r="A5605" i="1"/>
  <c r="R5604" i="1"/>
  <c r="J5604" i="1"/>
  <c r="I5604" i="1"/>
  <c r="G5604" i="1"/>
  <c r="F5604" i="1"/>
  <c r="E5604" i="1"/>
  <c r="D5604" i="1"/>
  <c r="C5604" i="1"/>
  <c r="B5604" i="1"/>
  <c r="A5604" i="1"/>
  <c r="S5603" i="1"/>
  <c r="O5603" i="1"/>
  <c r="K5603" i="1"/>
  <c r="J5603" i="1"/>
  <c r="I5603" i="1"/>
  <c r="H5603" i="1"/>
  <c r="G5603" i="1"/>
  <c r="F5603" i="1"/>
  <c r="E5603" i="1"/>
  <c r="D5603" i="1"/>
  <c r="C5603" i="1"/>
  <c r="B5603" i="1"/>
  <c r="A5603" i="1"/>
  <c r="R5602" i="1"/>
  <c r="J5602" i="1"/>
  <c r="I5602" i="1"/>
  <c r="G5602" i="1"/>
  <c r="F5602" i="1"/>
  <c r="E5602" i="1"/>
  <c r="D5602" i="1"/>
  <c r="C5602" i="1"/>
  <c r="B5602" i="1"/>
  <c r="A5602" i="1"/>
  <c r="S5601" i="1"/>
  <c r="O5601" i="1"/>
  <c r="K5601" i="1"/>
  <c r="J5601" i="1"/>
  <c r="I5601" i="1"/>
  <c r="H5601" i="1"/>
  <c r="G5601" i="1"/>
  <c r="F5601" i="1"/>
  <c r="E5601" i="1"/>
  <c r="D5601" i="1"/>
  <c r="C5601" i="1"/>
  <c r="B5601" i="1"/>
  <c r="A5601" i="1"/>
  <c r="R5600" i="1"/>
  <c r="J5600" i="1"/>
  <c r="I5600" i="1"/>
  <c r="G5600" i="1"/>
  <c r="F5600" i="1"/>
  <c r="E5600" i="1"/>
  <c r="D5600" i="1"/>
  <c r="C5600" i="1"/>
  <c r="B5600" i="1"/>
  <c r="A5600" i="1"/>
  <c r="S5599" i="1"/>
  <c r="O5599" i="1"/>
  <c r="K5599" i="1"/>
  <c r="J5599" i="1"/>
  <c r="I5599" i="1"/>
  <c r="H5599" i="1"/>
  <c r="G5599" i="1"/>
  <c r="F5599" i="1"/>
  <c r="E5599" i="1"/>
  <c r="D5599" i="1"/>
  <c r="C5599" i="1"/>
  <c r="B5599" i="1"/>
  <c r="A5599" i="1"/>
  <c r="R5598" i="1"/>
  <c r="J5598" i="1"/>
  <c r="I5598" i="1"/>
  <c r="G5598" i="1"/>
  <c r="F5598" i="1"/>
  <c r="E5598" i="1"/>
  <c r="D5598" i="1"/>
  <c r="C5598" i="1"/>
  <c r="B5598" i="1"/>
  <c r="A5598" i="1"/>
  <c r="R5597" i="1"/>
  <c r="J5597" i="1"/>
  <c r="I5597" i="1"/>
  <c r="G5597" i="1"/>
  <c r="F5597" i="1"/>
  <c r="E5597" i="1"/>
  <c r="D5597" i="1"/>
  <c r="C5597" i="1"/>
  <c r="B5597" i="1"/>
  <c r="A5597" i="1"/>
  <c r="S5596" i="1"/>
  <c r="O5596" i="1"/>
  <c r="K5596" i="1"/>
  <c r="J5596" i="1"/>
  <c r="I5596" i="1"/>
  <c r="H5596" i="1"/>
  <c r="G5596" i="1"/>
  <c r="F5596" i="1"/>
  <c r="E5596" i="1"/>
  <c r="D5596" i="1"/>
  <c r="C5596" i="1"/>
  <c r="B5596" i="1"/>
  <c r="A5596" i="1"/>
  <c r="R5595" i="1"/>
  <c r="J5595" i="1"/>
  <c r="I5595" i="1"/>
  <c r="G5595" i="1"/>
  <c r="F5595" i="1"/>
  <c r="E5595" i="1"/>
  <c r="D5595" i="1"/>
  <c r="C5595" i="1"/>
  <c r="B5595" i="1"/>
  <c r="A5595" i="1"/>
  <c r="S5594" i="1"/>
  <c r="O5594" i="1"/>
  <c r="K5594" i="1"/>
  <c r="J5594" i="1"/>
  <c r="I5594" i="1"/>
  <c r="H5594" i="1"/>
  <c r="G5594" i="1"/>
  <c r="F5594" i="1"/>
  <c r="E5594" i="1"/>
  <c r="D5594" i="1"/>
  <c r="C5594" i="1"/>
  <c r="B5594" i="1"/>
  <c r="A5594" i="1"/>
  <c r="R5593" i="1"/>
  <c r="J5593" i="1"/>
  <c r="I5593" i="1"/>
  <c r="G5593" i="1"/>
  <c r="F5593" i="1"/>
  <c r="E5593" i="1"/>
  <c r="D5593" i="1"/>
  <c r="C5593" i="1"/>
  <c r="B5593" i="1"/>
  <c r="A5593" i="1"/>
  <c r="S5592" i="1"/>
  <c r="O5592" i="1"/>
  <c r="K5592" i="1"/>
  <c r="J5592" i="1"/>
  <c r="I5592" i="1"/>
  <c r="H5592" i="1"/>
  <c r="G5592" i="1"/>
  <c r="F5592" i="1"/>
  <c r="E5592" i="1"/>
  <c r="D5592" i="1"/>
  <c r="C5592" i="1"/>
  <c r="B5592" i="1"/>
  <c r="A5592" i="1"/>
  <c r="R5591" i="1"/>
  <c r="J5591" i="1"/>
  <c r="I5591" i="1"/>
  <c r="G5591" i="1"/>
  <c r="F5591" i="1"/>
  <c r="E5591" i="1"/>
  <c r="D5591" i="1"/>
  <c r="C5591" i="1"/>
  <c r="B5591" i="1"/>
  <c r="A5591" i="1"/>
  <c r="S5590" i="1"/>
  <c r="O5590" i="1"/>
  <c r="K5590" i="1"/>
  <c r="J5590" i="1"/>
  <c r="I5590" i="1"/>
  <c r="H5590" i="1"/>
  <c r="G5590" i="1"/>
  <c r="F5590" i="1"/>
  <c r="E5590" i="1"/>
  <c r="D5590" i="1"/>
  <c r="C5590" i="1"/>
  <c r="B5590" i="1"/>
  <c r="A5590" i="1"/>
  <c r="R5589" i="1"/>
  <c r="J5589" i="1"/>
  <c r="I5589" i="1"/>
  <c r="G5589" i="1"/>
  <c r="F5589" i="1"/>
  <c r="E5589" i="1"/>
  <c r="D5589" i="1"/>
  <c r="C5589" i="1"/>
  <c r="B5589" i="1"/>
  <c r="A5589" i="1"/>
  <c r="S5588" i="1"/>
  <c r="O5588" i="1"/>
  <c r="K5588" i="1"/>
  <c r="J5588" i="1"/>
  <c r="I5588" i="1"/>
  <c r="H5588" i="1"/>
  <c r="G5588" i="1"/>
  <c r="F5588" i="1"/>
  <c r="E5588" i="1"/>
  <c r="D5588" i="1"/>
  <c r="C5588" i="1"/>
  <c r="B5588" i="1"/>
  <c r="A5588" i="1"/>
  <c r="R5587" i="1"/>
  <c r="J5587" i="1"/>
  <c r="I5587" i="1"/>
  <c r="G5587" i="1"/>
  <c r="F5587" i="1"/>
  <c r="E5587" i="1"/>
  <c r="D5587" i="1"/>
  <c r="C5587" i="1"/>
  <c r="B5587" i="1"/>
  <c r="A5587" i="1"/>
  <c r="S5586" i="1"/>
  <c r="O5586" i="1"/>
  <c r="K5586" i="1"/>
  <c r="J5586" i="1"/>
  <c r="I5586" i="1"/>
  <c r="H5586" i="1"/>
  <c r="G5586" i="1"/>
  <c r="F5586" i="1"/>
  <c r="E5586" i="1"/>
  <c r="D5586" i="1"/>
  <c r="C5586" i="1"/>
  <c r="B5586" i="1"/>
  <c r="A5586" i="1"/>
  <c r="R5585" i="1"/>
  <c r="J5585" i="1"/>
  <c r="I5585" i="1"/>
  <c r="G5585" i="1"/>
  <c r="F5585" i="1"/>
  <c r="E5585" i="1"/>
  <c r="D5585" i="1"/>
  <c r="C5585" i="1"/>
  <c r="B5585" i="1"/>
  <c r="A5585" i="1"/>
  <c r="S5584" i="1"/>
  <c r="O5584" i="1"/>
  <c r="K5584" i="1"/>
  <c r="J5584" i="1"/>
  <c r="I5584" i="1"/>
  <c r="H5584" i="1"/>
  <c r="G5584" i="1"/>
  <c r="F5584" i="1"/>
  <c r="E5584" i="1"/>
  <c r="D5584" i="1"/>
  <c r="C5584" i="1"/>
  <c r="B5584" i="1"/>
  <c r="A5584" i="1"/>
  <c r="R5583" i="1"/>
  <c r="J5583" i="1"/>
  <c r="I5583" i="1"/>
  <c r="G5583" i="1"/>
  <c r="F5583" i="1"/>
  <c r="E5583" i="1"/>
  <c r="D5583" i="1"/>
  <c r="C5583" i="1"/>
  <c r="B5583" i="1"/>
  <c r="A5583" i="1"/>
  <c r="S5582" i="1"/>
  <c r="O5582" i="1"/>
  <c r="K5582" i="1"/>
  <c r="J5582" i="1"/>
  <c r="I5582" i="1"/>
  <c r="H5582" i="1"/>
  <c r="G5582" i="1"/>
  <c r="F5582" i="1"/>
  <c r="E5582" i="1"/>
  <c r="D5582" i="1"/>
  <c r="C5582" i="1"/>
  <c r="B5582" i="1"/>
  <c r="A5582" i="1"/>
  <c r="R5581" i="1"/>
  <c r="J5581" i="1"/>
  <c r="I5581" i="1"/>
  <c r="G5581" i="1"/>
  <c r="F5581" i="1"/>
  <c r="E5581" i="1"/>
  <c r="D5581" i="1"/>
  <c r="C5581" i="1"/>
  <c r="B5581" i="1"/>
  <c r="A5581" i="1"/>
  <c r="R5580" i="1"/>
  <c r="J5580" i="1"/>
  <c r="I5580" i="1"/>
  <c r="G5580" i="1"/>
  <c r="F5580" i="1"/>
  <c r="E5580" i="1"/>
  <c r="D5580" i="1"/>
  <c r="C5580" i="1"/>
  <c r="B5580" i="1"/>
  <c r="A5580" i="1"/>
  <c r="R5579" i="1"/>
  <c r="J5579" i="1"/>
  <c r="I5579" i="1"/>
  <c r="G5579" i="1"/>
  <c r="F5579" i="1"/>
  <c r="E5579" i="1"/>
  <c r="D5579" i="1"/>
  <c r="C5579" i="1"/>
  <c r="B5579" i="1"/>
  <c r="A5579" i="1"/>
  <c r="S5578" i="1"/>
  <c r="O5578" i="1"/>
  <c r="K5578" i="1"/>
  <c r="J5578" i="1"/>
  <c r="I5578" i="1"/>
  <c r="H5578" i="1"/>
  <c r="G5578" i="1"/>
  <c r="F5578" i="1"/>
  <c r="E5578" i="1"/>
  <c r="D5578" i="1"/>
  <c r="C5578" i="1"/>
  <c r="B5578" i="1"/>
  <c r="A5578" i="1"/>
  <c r="R5577" i="1"/>
  <c r="J5577" i="1"/>
  <c r="I5577" i="1"/>
  <c r="G5577" i="1"/>
  <c r="F5577" i="1"/>
  <c r="E5577" i="1"/>
  <c r="D5577" i="1"/>
  <c r="C5577" i="1"/>
  <c r="B5577" i="1"/>
  <c r="A5577" i="1"/>
  <c r="S5576" i="1"/>
  <c r="O5576" i="1"/>
  <c r="K5576" i="1"/>
  <c r="J5576" i="1"/>
  <c r="I5576" i="1"/>
  <c r="H5576" i="1"/>
  <c r="G5576" i="1"/>
  <c r="F5576" i="1"/>
  <c r="E5576" i="1"/>
  <c r="D5576" i="1"/>
  <c r="C5576" i="1"/>
  <c r="B5576" i="1"/>
  <c r="A5576" i="1"/>
  <c r="R5575" i="1"/>
  <c r="J5575" i="1"/>
  <c r="I5575" i="1"/>
  <c r="G5575" i="1"/>
  <c r="F5575" i="1"/>
  <c r="E5575" i="1"/>
  <c r="D5575" i="1"/>
  <c r="C5575" i="1"/>
  <c r="B5575" i="1"/>
  <c r="A5575" i="1"/>
  <c r="S5574" i="1"/>
  <c r="O5574" i="1"/>
  <c r="K5574" i="1"/>
  <c r="J5574" i="1"/>
  <c r="I5574" i="1"/>
  <c r="H5574" i="1"/>
  <c r="G5574" i="1"/>
  <c r="F5574" i="1"/>
  <c r="E5574" i="1"/>
  <c r="D5574" i="1"/>
  <c r="C5574" i="1"/>
  <c r="B5574" i="1"/>
  <c r="A5574" i="1"/>
  <c r="R5573" i="1"/>
  <c r="J5573" i="1"/>
  <c r="I5573" i="1"/>
  <c r="G5573" i="1"/>
  <c r="F5573" i="1"/>
  <c r="E5573" i="1"/>
  <c r="D5573" i="1"/>
  <c r="C5573" i="1"/>
  <c r="B5573" i="1"/>
  <c r="A5573" i="1"/>
  <c r="S5572" i="1"/>
  <c r="O5572" i="1"/>
  <c r="K5572" i="1"/>
  <c r="J5572" i="1"/>
  <c r="I5572" i="1"/>
  <c r="H5572" i="1"/>
  <c r="G5572" i="1"/>
  <c r="F5572" i="1"/>
  <c r="E5572" i="1"/>
  <c r="D5572" i="1"/>
  <c r="C5572" i="1"/>
  <c r="B5572" i="1"/>
  <c r="A5572" i="1"/>
  <c r="R5571" i="1"/>
  <c r="J5571" i="1"/>
  <c r="I5571" i="1"/>
  <c r="G5571" i="1"/>
  <c r="F5571" i="1"/>
  <c r="E5571" i="1"/>
  <c r="D5571" i="1"/>
  <c r="C5571" i="1"/>
  <c r="B5571" i="1"/>
  <c r="A5571" i="1"/>
  <c r="S5570" i="1"/>
  <c r="O5570" i="1"/>
  <c r="K5570" i="1"/>
  <c r="J5570" i="1"/>
  <c r="I5570" i="1"/>
  <c r="H5570" i="1"/>
  <c r="G5570" i="1"/>
  <c r="F5570" i="1"/>
  <c r="E5570" i="1"/>
  <c r="D5570" i="1"/>
  <c r="C5570" i="1"/>
  <c r="B5570" i="1"/>
  <c r="A5570" i="1"/>
  <c r="R5569" i="1"/>
  <c r="J5569" i="1"/>
  <c r="I5569" i="1"/>
  <c r="G5569" i="1"/>
  <c r="F5569" i="1"/>
  <c r="E5569" i="1"/>
  <c r="D5569" i="1"/>
  <c r="C5569" i="1"/>
  <c r="B5569" i="1"/>
  <c r="A5569" i="1"/>
  <c r="S5568" i="1"/>
  <c r="O5568" i="1"/>
  <c r="K5568" i="1"/>
  <c r="J5568" i="1"/>
  <c r="I5568" i="1"/>
  <c r="H5568" i="1"/>
  <c r="G5568" i="1"/>
  <c r="F5568" i="1"/>
  <c r="E5568" i="1"/>
  <c r="D5568" i="1"/>
  <c r="C5568" i="1"/>
  <c r="B5568" i="1"/>
  <c r="A5568" i="1"/>
  <c r="R5567" i="1"/>
  <c r="J5567" i="1"/>
  <c r="I5567" i="1"/>
  <c r="G5567" i="1"/>
  <c r="F5567" i="1"/>
  <c r="E5567" i="1"/>
  <c r="D5567" i="1"/>
  <c r="C5567" i="1"/>
  <c r="B5567" i="1"/>
  <c r="A5567" i="1"/>
  <c r="S5566" i="1"/>
  <c r="O5566" i="1"/>
  <c r="K5566" i="1"/>
  <c r="J5566" i="1"/>
  <c r="I5566" i="1"/>
  <c r="H5566" i="1"/>
  <c r="G5566" i="1"/>
  <c r="F5566" i="1"/>
  <c r="E5566" i="1"/>
  <c r="D5566" i="1"/>
  <c r="C5566" i="1"/>
  <c r="B5566" i="1"/>
  <c r="A5566" i="1"/>
  <c r="R5565" i="1"/>
  <c r="J5565" i="1"/>
  <c r="I5565" i="1"/>
  <c r="G5565" i="1"/>
  <c r="F5565" i="1"/>
  <c r="E5565" i="1"/>
  <c r="D5565" i="1"/>
  <c r="C5565" i="1"/>
  <c r="B5565" i="1"/>
  <c r="A5565" i="1"/>
  <c r="S5564" i="1"/>
  <c r="O5564" i="1"/>
  <c r="K5564" i="1"/>
  <c r="J5564" i="1"/>
  <c r="I5564" i="1"/>
  <c r="H5564" i="1"/>
  <c r="G5564" i="1"/>
  <c r="F5564" i="1"/>
  <c r="E5564" i="1"/>
  <c r="D5564" i="1"/>
  <c r="C5564" i="1"/>
  <c r="B5564" i="1"/>
  <c r="A5564" i="1"/>
  <c r="R5563" i="1"/>
  <c r="J5563" i="1"/>
  <c r="I5563" i="1"/>
  <c r="G5563" i="1"/>
  <c r="F5563" i="1"/>
  <c r="E5563" i="1"/>
  <c r="D5563" i="1"/>
  <c r="C5563" i="1"/>
  <c r="B5563" i="1"/>
  <c r="A5563" i="1"/>
  <c r="S5562" i="1"/>
  <c r="O5562" i="1"/>
  <c r="K5562" i="1"/>
  <c r="J5562" i="1"/>
  <c r="I5562" i="1"/>
  <c r="H5562" i="1"/>
  <c r="G5562" i="1"/>
  <c r="F5562" i="1"/>
  <c r="E5562" i="1"/>
  <c r="D5562" i="1"/>
  <c r="C5562" i="1"/>
  <c r="B5562" i="1"/>
  <c r="A5562" i="1"/>
  <c r="R5561" i="1"/>
  <c r="J5561" i="1"/>
  <c r="I5561" i="1"/>
  <c r="G5561" i="1"/>
  <c r="F5561" i="1"/>
  <c r="E5561" i="1"/>
  <c r="D5561" i="1"/>
  <c r="C5561" i="1"/>
  <c r="B5561" i="1"/>
  <c r="A5561" i="1"/>
  <c r="S5560" i="1"/>
  <c r="O5560" i="1"/>
  <c r="K5560" i="1"/>
  <c r="J5560" i="1"/>
  <c r="I5560" i="1"/>
  <c r="H5560" i="1"/>
  <c r="G5560" i="1"/>
  <c r="F5560" i="1"/>
  <c r="E5560" i="1"/>
  <c r="D5560" i="1"/>
  <c r="C5560" i="1"/>
  <c r="B5560" i="1"/>
  <c r="A5560" i="1"/>
  <c r="R5559" i="1"/>
  <c r="J5559" i="1"/>
  <c r="I5559" i="1"/>
  <c r="G5559" i="1"/>
  <c r="F5559" i="1"/>
  <c r="E5559" i="1"/>
  <c r="D5559" i="1"/>
  <c r="C5559" i="1"/>
  <c r="B5559" i="1"/>
  <c r="A5559" i="1"/>
  <c r="R5558" i="1"/>
  <c r="J5558" i="1"/>
  <c r="I5558" i="1"/>
  <c r="G5558" i="1"/>
  <c r="F5558" i="1"/>
  <c r="E5558" i="1"/>
  <c r="D5558" i="1"/>
  <c r="C5558" i="1"/>
  <c r="B5558" i="1"/>
  <c r="A5558" i="1"/>
  <c r="S5557" i="1"/>
  <c r="O5557" i="1"/>
  <c r="K5557" i="1"/>
  <c r="J5557" i="1"/>
  <c r="I5557" i="1"/>
  <c r="H5557" i="1"/>
  <c r="G5557" i="1"/>
  <c r="F5557" i="1"/>
  <c r="E5557" i="1"/>
  <c r="D5557" i="1"/>
  <c r="C5557" i="1"/>
  <c r="B5557" i="1"/>
  <c r="A5557" i="1"/>
  <c r="R5556" i="1"/>
  <c r="J5556" i="1"/>
  <c r="I5556" i="1"/>
  <c r="G5556" i="1"/>
  <c r="F5556" i="1"/>
  <c r="E5556" i="1"/>
  <c r="D5556" i="1"/>
  <c r="C5556" i="1"/>
  <c r="B5556" i="1"/>
  <c r="A5556" i="1"/>
  <c r="S5555" i="1"/>
  <c r="O5555" i="1"/>
  <c r="K5555" i="1"/>
  <c r="J5555" i="1"/>
  <c r="I5555" i="1"/>
  <c r="H5555" i="1"/>
  <c r="G5555" i="1"/>
  <c r="F5555" i="1"/>
  <c r="E5555" i="1"/>
  <c r="D5555" i="1"/>
  <c r="C5555" i="1"/>
  <c r="B5555" i="1"/>
  <c r="A5555" i="1"/>
  <c r="R5554" i="1"/>
  <c r="J5554" i="1"/>
  <c r="I5554" i="1"/>
  <c r="G5554" i="1"/>
  <c r="F5554" i="1"/>
  <c r="E5554" i="1"/>
  <c r="D5554" i="1"/>
  <c r="C5554" i="1"/>
  <c r="B5554" i="1"/>
  <c r="A5554" i="1"/>
  <c r="S5553" i="1"/>
  <c r="O5553" i="1"/>
  <c r="K5553" i="1"/>
  <c r="J5553" i="1"/>
  <c r="I5553" i="1"/>
  <c r="H5553" i="1"/>
  <c r="G5553" i="1"/>
  <c r="F5553" i="1"/>
  <c r="E5553" i="1"/>
  <c r="D5553" i="1"/>
  <c r="C5553" i="1"/>
  <c r="B5553" i="1"/>
  <c r="A5553" i="1"/>
  <c r="R5552" i="1"/>
  <c r="J5552" i="1"/>
  <c r="I5552" i="1"/>
  <c r="G5552" i="1"/>
  <c r="F5552" i="1"/>
  <c r="E5552" i="1"/>
  <c r="D5552" i="1"/>
  <c r="C5552" i="1"/>
  <c r="B5552" i="1"/>
  <c r="A5552" i="1"/>
  <c r="S5551" i="1"/>
  <c r="O5551" i="1"/>
  <c r="K5551" i="1"/>
  <c r="J5551" i="1"/>
  <c r="I5551" i="1"/>
  <c r="H5551" i="1"/>
  <c r="G5551" i="1"/>
  <c r="F5551" i="1"/>
  <c r="E5551" i="1"/>
  <c r="D5551" i="1"/>
  <c r="C5551" i="1"/>
  <c r="B5551" i="1"/>
  <c r="A5551" i="1"/>
  <c r="R5550" i="1"/>
  <c r="J5550" i="1"/>
  <c r="I5550" i="1"/>
  <c r="G5550" i="1"/>
  <c r="F5550" i="1"/>
  <c r="E5550" i="1"/>
  <c r="D5550" i="1"/>
  <c r="C5550" i="1"/>
  <c r="B5550" i="1"/>
  <c r="A5550" i="1"/>
  <c r="R5549" i="1"/>
  <c r="J5549" i="1"/>
  <c r="I5549" i="1"/>
  <c r="G5549" i="1"/>
  <c r="F5549" i="1"/>
  <c r="E5549" i="1"/>
  <c r="D5549" i="1"/>
  <c r="C5549" i="1"/>
  <c r="B5549" i="1"/>
  <c r="A5549" i="1"/>
  <c r="S5548" i="1"/>
  <c r="O5548" i="1"/>
  <c r="K5548" i="1"/>
  <c r="J5548" i="1"/>
  <c r="I5548" i="1"/>
  <c r="H5548" i="1"/>
  <c r="G5548" i="1"/>
  <c r="F5548" i="1"/>
  <c r="E5548" i="1"/>
  <c r="D5548" i="1"/>
  <c r="C5548" i="1"/>
  <c r="B5548" i="1"/>
  <c r="A5548" i="1"/>
  <c r="R5547" i="1"/>
  <c r="J5547" i="1"/>
  <c r="I5547" i="1"/>
  <c r="G5547" i="1"/>
  <c r="F5547" i="1"/>
  <c r="E5547" i="1"/>
  <c r="D5547" i="1"/>
  <c r="C5547" i="1"/>
  <c r="B5547" i="1"/>
  <c r="A5547" i="1"/>
  <c r="S5546" i="1"/>
  <c r="O5546" i="1"/>
  <c r="K5546" i="1"/>
  <c r="J5546" i="1"/>
  <c r="I5546" i="1"/>
  <c r="H5546" i="1"/>
  <c r="G5546" i="1"/>
  <c r="F5546" i="1"/>
  <c r="E5546" i="1"/>
  <c r="D5546" i="1"/>
  <c r="C5546" i="1"/>
  <c r="B5546" i="1"/>
  <c r="A5546" i="1"/>
  <c r="R5545" i="1"/>
  <c r="J5545" i="1"/>
  <c r="I5545" i="1"/>
  <c r="G5545" i="1"/>
  <c r="F5545" i="1"/>
  <c r="E5545" i="1"/>
  <c r="D5545" i="1"/>
  <c r="C5545" i="1"/>
  <c r="B5545" i="1"/>
  <c r="A5545" i="1"/>
  <c r="S5544" i="1"/>
  <c r="O5544" i="1"/>
  <c r="K5544" i="1"/>
  <c r="J5544" i="1"/>
  <c r="I5544" i="1"/>
  <c r="H5544" i="1"/>
  <c r="G5544" i="1"/>
  <c r="F5544" i="1"/>
  <c r="E5544" i="1"/>
  <c r="D5544" i="1"/>
  <c r="C5544" i="1"/>
  <c r="B5544" i="1"/>
  <c r="A5544" i="1"/>
  <c r="R5543" i="1"/>
  <c r="J5543" i="1"/>
  <c r="I5543" i="1"/>
  <c r="G5543" i="1"/>
  <c r="F5543" i="1"/>
  <c r="E5543" i="1"/>
  <c r="D5543" i="1"/>
  <c r="C5543" i="1"/>
  <c r="B5543" i="1"/>
  <c r="A5543" i="1"/>
  <c r="R5542" i="1"/>
  <c r="J5542" i="1"/>
  <c r="I5542" i="1"/>
  <c r="G5542" i="1"/>
  <c r="F5542" i="1"/>
  <c r="E5542" i="1"/>
  <c r="D5542" i="1"/>
  <c r="C5542" i="1"/>
  <c r="B5542" i="1"/>
  <c r="A5542" i="1"/>
  <c r="S5541" i="1"/>
  <c r="O5541" i="1"/>
  <c r="K5541" i="1"/>
  <c r="J5541" i="1"/>
  <c r="I5541" i="1"/>
  <c r="H5541" i="1"/>
  <c r="G5541" i="1"/>
  <c r="F5541" i="1"/>
  <c r="E5541" i="1"/>
  <c r="D5541" i="1"/>
  <c r="C5541" i="1"/>
  <c r="B5541" i="1"/>
  <c r="A5541" i="1"/>
  <c r="R5540" i="1"/>
  <c r="J5540" i="1"/>
  <c r="I5540" i="1"/>
  <c r="G5540" i="1"/>
  <c r="F5540" i="1"/>
  <c r="E5540" i="1"/>
  <c r="D5540" i="1"/>
  <c r="C5540" i="1"/>
  <c r="B5540" i="1"/>
  <c r="A5540" i="1"/>
  <c r="S5539" i="1"/>
  <c r="O5539" i="1"/>
  <c r="K5539" i="1"/>
  <c r="J5539" i="1"/>
  <c r="I5539" i="1"/>
  <c r="H5539" i="1"/>
  <c r="G5539" i="1"/>
  <c r="F5539" i="1"/>
  <c r="E5539" i="1"/>
  <c r="D5539" i="1"/>
  <c r="C5539" i="1"/>
  <c r="B5539" i="1"/>
  <c r="A5539" i="1"/>
  <c r="R5538" i="1"/>
  <c r="J5538" i="1"/>
  <c r="I5538" i="1"/>
  <c r="G5538" i="1"/>
  <c r="F5538" i="1"/>
  <c r="E5538" i="1"/>
  <c r="D5538" i="1"/>
  <c r="C5538" i="1"/>
  <c r="B5538" i="1"/>
  <c r="A5538" i="1"/>
  <c r="S5537" i="1"/>
  <c r="O5537" i="1"/>
  <c r="K5537" i="1"/>
  <c r="J5537" i="1"/>
  <c r="I5537" i="1"/>
  <c r="H5537" i="1"/>
  <c r="G5537" i="1"/>
  <c r="F5537" i="1"/>
  <c r="E5537" i="1"/>
  <c r="D5537" i="1"/>
  <c r="C5537" i="1"/>
  <c r="B5537" i="1"/>
  <c r="A5537" i="1"/>
  <c r="R5536" i="1"/>
  <c r="J5536" i="1"/>
  <c r="I5536" i="1"/>
  <c r="G5536" i="1"/>
  <c r="F5536" i="1"/>
  <c r="E5536" i="1"/>
  <c r="D5536" i="1"/>
  <c r="C5536" i="1"/>
  <c r="B5536" i="1"/>
  <c r="A5536" i="1"/>
  <c r="S5535" i="1"/>
  <c r="O5535" i="1"/>
  <c r="K5535" i="1"/>
  <c r="J5535" i="1"/>
  <c r="I5535" i="1"/>
  <c r="H5535" i="1"/>
  <c r="G5535" i="1"/>
  <c r="F5535" i="1"/>
  <c r="E5535" i="1"/>
  <c r="D5535" i="1"/>
  <c r="C5535" i="1"/>
  <c r="B5535" i="1"/>
  <c r="A5535" i="1"/>
  <c r="R5534" i="1"/>
  <c r="J5534" i="1"/>
  <c r="I5534" i="1"/>
  <c r="G5534" i="1"/>
  <c r="F5534" i="1"/>
  <c r="E5534" i="1"/>
  <c r="D5534" i="1"/>
  <c r="C5534" i="1"/>
  <c r="B5534" i="1"/>
  <c r="A5534" i="1"/>
  <c r="S5533" i="1"/>
  <c r="O5533" i="1"/>
  <c r="K5533" i="1"/>
  <c r="J5533" i="1"/>
  <c r="I5533" i="1"/>
  <c r="H5533" i="1"/>
  <c r="G5533" i="1"/>
  <c r="F5533" i="1"/>
  <c r="E5533" i="1"/>
  <c r="D5533" i="1"/>
  <c r="C5533" i="1"/>
  <c r="B5533" i="1"/>
  <c r="A5533" i="1"/>
  <c r="R5532" i="1"/>
  <c r="J5532" i="1"/>
  <c r="I5532" i="1"/>
  <c r="G5532" i="1"/>
  <c r="F5532" i="1"/>
  <c r="E5532" i="1"/>
  <c r="D5532" i="1"/>
  <c r="C5532" i="1"/>
  <c r="B5532" i="1"/>
  <c r="A5532" i="1"/>
  <c r="S5531" i="1"/>
  <c r="O5531" i="1"/>
  <c r="K5531" i="1"/>
  <c r="J5531" i="1"/>
  <c r="I5531" i="1"/>
  <c r="H5531" i="1"/>
  <c r="G5531" i="1"/>
  <c r="F5531" i="1"/>
  <c r="E5531" i="1"/>
  <c r="D5531" i="1"/>
  <c r="C5531" i="1"/>
  <c r="B5531" i="1"/>
  <c r="A5531" i="1"/>
  <c r="R5530" i="1"/>
  <c r="J5530" i="1"/>
  <c r="I5530" i="1"/>
  <c r="G5530" i="1"/>
  <c r="F5530" i="1"/>
  <c r="E5530" i="1"/>
  <c r="D5530" i="1"/>
  <c r="C5530" i="1"/>
  <c r="B5530" i="1"/>
  <c r="A5530" i="1"/>
  <c r="S5529" i="1"/>
  <c r="O5529" i="1"/>
  <c r="K5529" i="1"/>
  <c r="J5529" i="1"/>
  <c r="I5529" i="1"/>
  <c r="H5529" i="1"/>
  <c r="G5529" i="1"/>
  <c r="F5529" i="1"/>
  <c r="E5529" i="1"/>
  <c r="D5529" i="1"/>
  <c r="C5529" i="1"/>
  <c r="B5529" i="1"/>
  <c r="A5529" i="1"/>
  <c r="R5528" i="1"/>
  <c r="J5528" i="1"/>
  <c r="I5528" i="1"/>
  <c r="G5528" i="1"/>
  <c r="F5528" i="1"/>
  <c r="E5528" i="1"/>
  <c r="D5528" i="1"/>
  <c r="C5528" i="1"/>
  <c r="B5528" i="1"/>
  <c r="A5528" i="1"/>
  <c r="S5527" i="1"/>
  <c r="O5527" i="1"/>
  <c r="K5527" i="1"/>
  <c r="J5527" i="1"/>
  <c r="I5527" i="1"/>
  <c r="H5527" i="1"/>
  <c r="G5527" i="1"/>
  <c r="F5527" i="1"/>
  <c r="E5527" i="1"/>
  <c r="D5527" i="1"/>
  <c r="C5527" i="1"/>
  <c r="B5527" i="1"/>
  <c r="A5527" i="1"/>
  <c r="R5526" i="1"/>
  <c r="J5526" i="1"/>
  <c r="I5526" i="1"/>
  <c r="G5526" i="1"/>
  <c r="F5526" i="1"/>
  <c r="E5526" i="1"/>
  <c r="D5526" i="1"/>
  <c r="C5526" i="1"/>
  <c r="B5526" i="1"/>
  <c r="A5526" i="1"/>
  <c r="R5525" i="1"/>
  <c r="J5525" i="1"/>
  <c r="I5525" i="1"/>
  <c r="G5525" i="1"/>
  <c r="F5525" i="1"/>
  <c r="E5525" i="1"/>
  <c r="D5525" i="1"/>
  <c r="C5525" i="1"/>
  <c r="B5525" i="1"/>
  <c r="A5525" i="1"/>
  <c r="S5524" i="1"/>
  <c r="O5524" i="1"/>
  <c r="K5524" i="1"/>
  <c r="J5524" i="1"/>
  <c r="I5524" i="1"/>
  <c r="H5524" i="1"/>
  <c r="G5524" i="1"/>
  <c r="F5524" i="1"/>
  <c r="E5524" i="1"/>
  <c r="D5524" i="1"/>
  <c r="C5524" i="1"/>
  <c r="B5524" i="1"/>
  <c r="A5524" i="1"/>
  <c r="R5523" i="1"/>
  <c r="J5523" i="1"/>
  <c r="I5523" i="1"/>
  <c r="G5523" i="1"/>
  <c r="F5523" i="1"/>
  <c r="E5523" i="1"/>
  <c r="D5523" i="1"/>
  <c r="C5523" i="1"/>
  <c r="B5523" i="1"/>
  <c r="A5523" i="1"/>
  <c r="S5522" i="1"/>
  <c r="O5522" i="1"/>
  <c r="K5522" i="1"/>
  <c r="J5522" i="1"/>
  <c r="I5522" i="1"/>
  <c r="H5522" i="1"/>
  <c r="G5522" i="1"/>
  <c r="F5522" i="1"/>
  <c r="E5522" i="1"/>
  <c r="D5522" i="1"/>
  <c r="C5522" i="1"/>
  <c r="B5522" i="1"/>
  <c r="A5522" i="1"/>
  <c r="R5521" i="1"/>
  <c r="J5521" i="1"/>
  <c r="I5521" i="1"/>
  <c r="G5521" i="1"/>
  <c r="F5521" i="1"/>
  <c r="E5521" i="1"/>
  <c r="D5521" i="1"/>
  <c r="C5521" i="1"/>
  <c r="B5521" i="1"/>
  <c r="A5521" i="1"/>
  <c r="S5520" i="1"/>
  <c r="O5520" i="1"/>
  <c r="K5520" i="1"/>
  <c r="J5520" i="1"/>
  <c r="I5520" i="1"/>
  <c r="H5520" i="1"/>
  <c r="G5520" i="1"/>
  <c r="F5520" i="1"/>
  <c r="E5520" i="1"/>
  <c r="D5520" i="1"/>
  <c r="C5520" i="1"/>
  <c r="B5520" i="1"/>
  <c r="A5520" i="1"/>
  <c r="R5519" i="1"/>
  <c r="J5519" i="1"/>
  <c r="I5519" i="1"/>
  <c r="G5519" i="1"/>
  <c r="F5519" i="1"/>
  <c r="E5519" i="1"/>
  <c r="D5519" i="1"/>
  <c r="C5519" i="1"/>
  <c r="B5519" i="1"/>
  <c r="A5519" i="1"/>
  <c r="S5518" i="1"/>
  <c r="O5518" i="1"/>
  <c r="K5518" i="1"/>
  <c r="J5518" i="1"/>
  <c r="I5518" i="1"/>
  <c r="H5518" i="1"/>
  <c r="G5518" i="1"/>
  <c r="F5518" i="1"/>
  <c r="E5518" i="1"/>
  <c r="D5518" i="1"/>
  <c r="C5518" i="1"/>
  <c r="B5518" i="1"/>
  <c r="A5518" i="1"/>
  <c r="R5517" i="1"/>
  <c r="J5517" i="1"/>
  <c r="I5517" i="1"/>
  <c r="G5517" i="1"/>
  <c r="F5517" i="1"/>
  <c r="E5517" i="1"/>
  <c r="D5517" i="1"/>
  <c r="C5517" i="1"/>
  <c r="B5517" i="1"/>
  <c r="A5517" i="1"/>
  <c r="S5516" i="1"/>
  <c r="O5516" i="1"/>
  <c r="K5516" i="1"/>
  <c r="J5516" i="1"/>
  <c r="I5516" i="1"/>
  <c r="H5516" i="1"/>
  <c r="G5516" i="1"/>
  <c r="F5516" i="1"/>
  <c r="E5516" i="1"/>
  <c r="D5516" i="1"/>
  <c r="C5516" i="1"/>
  <c r="B5516" i="1"/>
  <c r="A5516" i="1"/>
  <c r="R5515" i="1"/>
  <c r="J5515" i="1"/>
  <c r="I5515" i="1"/>
  <c r="G5515" i="1"/>
  <c r="F5515" i="1"/>
  <c r="E5515" i="1"/>
  <c r="D5515" i="1"/>
  <c r="C5515" i="1"/>
  <c r="B5515" i="1"/>
  <c r="A5515" i="1"/>
  <c r="R5514" i="1"/>
  <c r="J5514" i="1"/>
  <c r="I5514" i="1"/>
  <c r="G5514" i="1"/>
  <c r="F5514" i="1"/>
  <c r="E5514" i="1"/>
  <c r="D5514" i="1"/>
  <c r="C5514" i="1"/>
  <c r="B5514" i="1"/>
  <c r="A5514" i="1"/>
  <c r="S5513" i="1"/>
  <c r="O5513" i="1"/>
  <c r="K5513" i="1"/>
  <c r="J5513" i="1"/>
  <c r="I5513" i="1"/>
  <c r="H5513" i="1"/>
  <c r="G5513" i="1"/>
  <c r="F5513" i="1"/>
  <c r="E5513" i="1"/>
  <c r="D5513" i="1"/>
  <c r="C5513" i="1"/>
  <c r="B5513" i="1"/>
  <c r="A5513" i="1"/>
  <c r="R5512" i="1"/>
  <c r="J5512" i="1"/>
  <c r="I5512" i="1"/>
  <c r="G5512" i="1"/>
  <c r="F5512" i="1"/>
  <c r="E5512" i="1"/>
  <c r="D5512" i="1"/>
  <c r="C5512" i="1"/>
  <c r="B5512" i="1"/>
  <c r="A5512" i="1"/>
  <c r="S5511" i="1"/>
  <c r="O5511" i="1"/>
  <c r="K5511" i="1"/>
  <c r="J5511" i="1"/>
  <c r="I5511" i="1"/>
  <c r="H5511" i="1"/>
  <c r="G5511" i="1"/>
  <c r="F5511" i="1"/>
  <c r="E5511" i="1"/>
  <c r="D5511" i="1"/>
  <c r="C5511" i="1"/>
  <c r="B5511" i="1"/>
  <c r="A5511" i="1"/>
  <c r="R5510" i="1"/>
  <c r="J5510" i="1"/>
  <c r="I5510" i="1"/>
  <c r="G5510" i="1"/>
  <c r="F5510" i="1"/>
  <c r="E5510" i="1"/>
  <c r="D5510" i="1"/>
  <c r="C5510" i="1"/>
  <c r="B5510" i="1"/>
  <c r="A5510" i="1"/>
  <c r="S5509" i="1"/>
  <c r="O5509" i="1"/>
  <c r="K5509" i="1"/>
  <c r="J5509" i="1"/>
  <c r="I5509" i="1"/>
  <c r="H5509" i="1"/>
  <c r="G5509" i="1"/>
  <c r="F5509" i="1"/>
  <c r="E5509" i="1"/>
  <c r="D5509" i="1"/>
  <c r="C5509" i="1"/>
  <c r="B5509" i="1"/>
  <c r="A5509" i="1"/>
  <c r="R5508" i="1"/>
  <c r="J5508" i="1"/>
  <c r="I5508" i="1"/>
  <c r="G5508" i="1"/>
  <c r="F5508" i="1"/>
  <c r="E5508" i="1"/>
  <c r="D5508" i="1"/>
  <c r="C5508" i="1"/>
  <c r="B5508" i="1"/>
  <c r="A5508" i="1"/>
  <c r="S5507" i="1"/>
  <c r="O5507" i="1"/>
  <c r="K5507" i="1"/>
  <c r="J5507" i="1"/>
  <c r="I5507" i="1"/>
  <c r="H5507" i="1"/>
  <c r="G5507" i="1"/>
  <c r="F5507" i="1"/>
  <c r="E5507" i="1"/>
  <c r="D5507" i="1"/>
  <c r="C5507" i="1"/>
  <c r="B5507" i="1"/>
  <c r="A5507" i="1"/>
  <c r="R5506" i="1"/>
  <c r="J5506" i="1"/>
  <c r="I5506" i="1"/>
  <c r="G5506" i="1"/>
  <c r="F5506" i="1"/>
  <c r="E5506" i="1"/>
  <c r="D5506" i="1"/>
  <c r="C5506" i="1"/>
  <c r="B5506" i="1"/>
  <c r="A5506" i="1"/>
  <c r="S5505" i="1"/>
  <c r="O5505" i="1"/>
  <c r="K5505" i="1"/>
  <c r="J5505" i="1"/>
  <c r="I5505" i="1"/>
  <c r="H5505" i="1"/>
  <c r="G5505" i="1"/>
  <c r="F5505" i="1"/>
  <c r="E5505" i="1"/>
  <c r="D5505" i="1"/>
  <c r="C5505" i="1"/>
  <c r="B5505" i="1"/>
  <c r="A5505" i="1"/>
  <c r="R5504" i="1"/>
  <c r="J5504" i="1"/>
  <c r="I5504" i="1"/>
  <c r="G5504" i="1"/>
  <c r="F5504" i="1"/>
  <c r="E5504" i="1"/>
  <c r="D5504" i="1"/>
  <c r="C5504" i="1"/>
  <c r="B5504" i="1"/>
  <c r="A5504" i="1"/>
  <c r="S5503" i="1"/>
  <c r="O5503" i="1"/>
  <c r="K5503" i="1"/>
  <c r="J5503" i="1"/>
  <c r="I5503" i="1"/>
  <c r="H5503" i="1"/>
  <c r="G5503" i="1"/>
  <c r="F5503" i="1"/>
  <c r="E5503" i="1"/>
  <c r="D5503" i="1"/>
  <c r="C5503" i="1"/>
  <c r="B5503" i="1"/>
  <c r="A5503" i="1"/>
  <c r="R5502" i="1"/>
  <c r="J5502" i="1"/>
  <c r="I5502" i="1"/>
  <c r="G5502" i="1"/>
  <c r="F5502" i="1"/>
  <c r="E5502" i="1"/>
  <c r="D5502" i="1"/>
  <c r="C5502" i="1"/>
  <c r="B5502" i="1"/>
  <c r="A5502" i="1"/>
  <c r="S5501" i="1"/>
  <c r="O5501" i="1"/>
  <c r="K5501" i="1"/>
  <c r="J5501" i="1"/>
  <c r="I5501" i="1"/>
  <c r="H5501" i="1"/>
  <c r="G5501" i="1"/>
  <c r="F5501" i="1"/>
  <c r="E5501" i="1"/>
  <c r="D5501" i="1"/>
  <c r="C5501" i="1"/>
  <c r="B5501" i="1"/>
  <c r="A5501" i="1"/>
  <c r="R5500" i="1"/>
  <c r="J5500" i="1"/>
  <c r="I5500" i="1"/>
  <c r="G5500" i="1"/>
  <c r="F5500" i="1"/>
  <c r="E5500" i="1"/>
  <c r="D5500" i="1"/>
  <c r="C5500" i="1"/>
  <c r="B5500" i="1"/>
  <c r="A5500" i="1"/>
  <c r="S5499" i="1"/>
  <c r="O5499" i="1"/>
  <c r="K5499" i="1"/>
  <c r="J5499" i="1"/>
  <c r="I5499" i="1"/>
  <c r="H5499" i="1"/>
  <c r="G5499" i="1"/>
  <c r="F5499" i="1"/>
  <c r="E5499" i="1"/>
  <c r="D5499" i="1"/>
  <c r="C5499" i="1"/>
  <c r="B5499" i="1"/>
  <c r="A5499" i="1"/>
  <c r="R5498" i="1"/>
  <c r="J5498" i="1"/>
  <c r="I5498" i="1"/>
  <c r="G5498" i="1"/>
  <c r="F5498" i="1"/>
  <c r="E5498" i="1"/>
  <c r="D5498" i="1"/>
  <c r="C5498" i="1"/>
  <c r="B5498" i="1"/>
  <c r="A5498" i="1"/>
  <c r="S5497" i="1"/>
  <c r="O5497" i="1"/>
  <c r="K5497" i="1"/>
  <c r="J5497" i="1"/>
  <c r="I5497" i="1"/>
  <c r="H5497" i="1"/>
  <c r="G5497" i="1"/>
  <c r="F5497" i="1"/>
  <c r="E5497" i="1"/>
  <c r="D5497" i="1"/>
  <c r="C5497" i="1"/>
  <c r="B5497" i="1"/>
  <c r="A5497" i="1"/>
  <c r="R5496" i="1"/>
  <c r="J5496" i="1"/>
  <c r="I5496" i="1"/>
  <c r="G5496" i="1"/>
  <c r="F5496" i="1"/>
  <c r="E5496" i="1"/>
  <c r="D5496" i="1"/>
  <c r="C5496" i="1"/>
  <c r="B5496" i="1"/>
  <c r="A5496" i="1"/>
  <c r="S5495" i="1"/>
  <c r="O5495" i="1"/>
  <c r="K5495" i="1"/>
  <c r="J5495" i="1"/>
  <c r="I5495" i="1"/>
  <c r="H5495" i="1"/>
  <c r="G5495" i="1"/>
  <c r="F5495" i="1"/>
  <c r="E5495" i="1"/>
  <c r="D5495" i="1"/>
  <c r="C5495" i="1"/>
  <c r="B5495" i="1"/>
  <c r="A5495" i="1"/>
  <c r="R5494" i="1"/>
  <c r="J5494" i="1"/>
  <c r="I5494" i="1"/>
  <c r="G5494" i="1"/>
  <c r="F5494" i="1"/>
  <c r="E5494" i="1"/>
  <c r="D5494" i="1"/>
  <c r="C5494" i="1"/>
  <c r="B5494" i="1"/>
  <c r="A5494" i="1"/>
  <c r="S5493" i="1"/>
  <c r="O5493" i="1"/>
  <c r="K5493" i="1"/>
  <c r="J5493" i="1"/>
  <c r="I5493" i="1"/>
  <c r="H5493" i="1"/>
  <c r="G5493" i="1"/>
  <c r="F5493" i="1"/>
  <c r="E5493" i="1"/>
  <c r="D5493" i="1"/>
  <c r="C5493" i="1"/>
  <c r="B5493" i="1"/>
  <c r="A5493" i="1"/>
  <c r="R5492" i="1"/>
  <c r="J5492" i="1"/>
  <c r="I5492" i="1"/>
  <c r="G5492" i="1"/>
  <c r="F5492" i="1"/>
  <c r="E5492" i="1"/>
  <c r="D5492" i="1"/>
  <c r="C5492" i="1"/>
  <c r="B5492" i="1"/>
  <c r="A5492" i="1"/>
  <c r="R5491" i="1"/>
  <c r="J5491" i="1"/>
  <c r="I5491" i="1"/>
  <c r="G5491" i="1"/>
  <c r="F5491" i="1"/>
  <c r="E5491" i="1"/>
  <c r="D5491" i="1"/>
  <c r="C5491" i="1"/>
  <c r="B5491" i="1"/>
  <c r="A5491" i="1"/>
  <c r="S5490" i="1"/>
  <c r="O5490" i="1"/>
  <c r="K5490" i="1"/>
  <c r="J5490" i="1"/>
  <c r="I5490" i="1"/>
  <c r="H5490" i="1"/>
  <c r="G5490" i="1"/>
  <c r="F5490" i="1"/>
  <c r="E5490" i="1"/>
  <c r="D5490" i="1"/>
  <c r="C5490" i="1"/>
  <c r="B5490" i="1"/>
  <c r="A5490" i="1"/>
  <c r="R5489" i="1"/>
  <c r="J5489" i="1"/>
  <c r="I5489" i="1"/>
  <c r="G5489" i="1"/>
  <c r="F5489" i="1"/>
  <c r="E5489" i="1"/>
  <c r="D5489" i="1"/>
  <c r="C5489" i="1"/>
  <c r="B5489" i="1"/>
  <c r="A5489" i="1"/>
  <c r="S5488" i="1"/>
  <c r="O5488" i="1"/>
  <c r="K5488" i="1"/>
  <c r="J5488" i="1"/>
  <c r="I5488" i="1"/>
  <c r="H5488" i="1"/>
  <c r="G5488" i="1"/>
  <c r="F5488" i="1"/>
  <c r="E5488" i="1"/>
  <c r="D5488" i="1"/>
  <c r="C5488" i="1"/>
  <c r="B5488" i="1"/>
  <c r="A5488" i="1"/>
  <c r="R5487" i="1"/>
  <c r="J5487" i="1"/>
  <c r="I5487" i="1"/>
  <c r="G5487" i="1"/>
  <c r="F5487" i="1"/>
  <c r="E5487" i="1"/>
  <c r="D5487" i="1"/>
  <c r="C5487" i="1"/>
  <c r="B5487" i="1"/>
  <c r="A5487" i="1"/>
  <c r="S5486" i="1"/>
  <c r="O5486" i="1"/>
  <c r="K5486" i="1"/>
  <c r="J5486" i="1"/>
  <c r="I5486" i="1"/>
  <c r="H5486" i="1"/>
  <c r="G5486" i="1"/>
  <c r="F5486" i="1"/>
  <c r="E5486" i="1"/>
  <c r="D5486" i="1"/>
  <c r="C5486" i="1"/>
  <c r="B5486" i="1"/>
  <c r="A5486" i="1"/>
  <c r="R5485" i="1"/>
  <c r="J5485" i="1"/>
  <c r="I5485" i="1"/>
  <c r="G5485" i="1"/>
  <c r="F5485" i="1"/>
  <c r="E5485" i="1"/>
  <c r="D5485" i="1"/>
  <c r="C5485" i="1"/>
  <c r="B5485" i="1"/>
  <c r="A5485" i="1"/>
  <c r="S5484" i="1"/>
  <c r="O5484" i="1"/>
  <c r="K5484" i="1"/>
  <c r="J5484" i="1"/>
  <c r="I5484" i="1"/>
  <c r="H5484" i="1"/>
  <c r="G5484" i="1"/>
  <c r="F5484" i="1"/>
  <c r="E5484" i="1"/>
  <c r="D5484" i="1"/>
  <c r="C5484" i="1"/>
  <c r="B5484" i="1"/>
  <c r="A5484" i="1"/>
  <c r="R5483" i="1"/>
  <c r="J5483" i="1"/>
  <c r="I5483" i="1"/>
  <c r="G5483" i="1"/>
  <c r="F5483" i="1"/>
  <c r="E5483" i="1"/>
  <c r="D5483" i="1"/>
  <c r="C5483" i="1"/>
  <c r="B5483" i="1"/>
  <c r="A5483" i="1"/>
  <c r="S5482" i="1"/>
  <c r="O5482" i="1"/>
  <c r="K5482" i="1"/>
  <c r="J5482" i="1"/>
  <c r="I5482" i="1"/>
  <c r="H5482" i="1"/>
  <c r="G5482" i="1"/>
  <c r="F5482" i="1"/>
  <c r="E5482" i="1"/>
  <c r="D5482" i="1"/>
  <c r="C5482" i="1"/>
  <c r="B5482" i="1"/>
  <c r="A5482" i="1"/>
  <c r="R5481" i="1"/>
  <c r="J5481" i="1"/>
  <c r="I5481" i="1"/>
  <c r="G5481" i="1"/>
  <c r="F5481" i="1"/>
  <c r="E5481" i="1"/>
  <c r="D5481" i="1"/>
  <c r="C5481" i="1"/>
  <c r="B5481" i="1"/>
  <c r="A5481" i="1"/>
  <c r="S5480" i="1"/>
  <c r="O5480" i="1"/>
  <c r="K5480" i="1"/>
  <c r="J5480" i="1"/>
  <c r="I5480" i="1"/>
  <c r="H5480" i="1"/>
  <c r="G5480" i="1"/>
  <c r="F5480" i="1"/>
  <c r="E5480" i="1"/>
  <c r="D5480" i="1"/>
  <c r="C5480" i="1"/>
  <c r="B5480" i="1"/>
  <c r="A5480" i="1"/>
  <c r="R5479" i="1"/>
  <c r="J5479" i="1"/>
  <c r="I5479" i="1"/>
  <c r="G5479" i="1"/>
  <c r="F5479" i="1"/>
  <c r="E5479" i="1"/>
  <c r="D5479" i="1"/>
  <c r="C5479" i="1"/>
  <c r="B5479" i="1"/>
  <c r="A5479" i="1"/>
  <c r="S5478" i="1"/>
  <c r="O5478" i="1"/>
  <c r="K5478" i="1"/>
  <c r="J5478" i="1"/>
  <c r="I5478" i="1"/>
  <c r="H5478" i="1"/>
  <c r="G5478" i="1"/>
  <c r="F5478" i="1"/>
  <c r="E5478" i="1"/>
  <c r="D5478" i="1"/>
  <c r="C5478" i="1"/>
  <c r="B5478" i="1"/>
  <c r="A5478" i="1"/>
  <c r="R5477" i="1"/>
  <c r="J5477" i="1"/>
  <c r="I5477" i="1"/>
  <c r="G5477" i="1"/>
  <c r="F5477" i="1"/>
  <c r="E5477" i="1"/>
  <c r="D5477" i="1"/>
  <c r="C5477" i="1"/>
  <c r="B5477" i="1"/>
  <c r="A5477" i="1"/>
  <c r="S5476" i="1"/>
  <c r="O5476" i="1"/>
  <c r="K5476" i="1"/>
  <c r="J5476" i="1"/>
  <c r="I5476" i="1"/>
  <c r="H5476" i="1"/>
  <c r="G5476" i="1"/>
  <c r="F5476" i="1"/>
  <c r="E5476" i="1"/>
  <c r="D5476" i="1"/>
  <c r="C5476" i="1"/>
  <c r="B5476" i="1"/>
  <c r="A5476" i="1"/>
  <c r="R5475" i="1"/>
  <c r="J5475" i="1"/>
  <c r="I5475" i="1"/>
  <c r="G5475" i="1"/>
  <c r="F5475" i="1"/>
  <c r="E5475" i="1"/>
  <c r="D5475" i="1"/>
  <c r="C5475" i="1"/>
  <c r="B5475" i="1"/>
  <c r="A5475" i="1"/>
  <c r="R5474" i="1"/>
  <c r="J5474" i="1"/>
  <c r="I5474" i="1"/>
  <c r="G5474" i="1"/>
  <c r="F5474" i="1"/>
  <c r="E5474" i="1"/>
  <c r="D5474" i="1"/>
  <c r="C5474" i="1"/>
  <c r="B5474" i="1"/>
  <c r="A5474" i="1"/>
  <c r="R5473" i="1"/>
  <c r="J5473" i="1"/>
  <c r="I5473" i="1"/>
  <c r="G5473" i="1"/>
  <c r="F5473" i="1"/>
  <c r="E5473" i="1"/>
  <c r="D5473" i="1"/>
  <c r="C5473" i="1"/>
  <c r="B5473" i="1"/>
  <c r="A5473" i="1"/>
  <c r="S5472" i="1"/>
  <c r="O5472" i="1"/>
  <c r="K5472" i="1"/>
  <c r="J5472" i="1"/>
  <c r="I5472" i="1"/>
  <c r="H5472" i="1"/>
  <c r="G5472" i="1"/>
  <c r="F5472" i="1"/>
  <c r="E5472" i="1"/>
  <c r="D5472" i="1"/>
  <c r="C5472" i="1"/>
  <c r="B5472" i="1"/>
  <c r="A5472" i="1"/>
  <c r="R5471" i="1"/>
  <c r="J5471" i="1"/>
  <c r="I5471" i="1"/>
  <c r="G5471" i="1"/>
  <c r="F5471" i="1"/>
  <c r="E5471" i="1"/>
  <c r="D5471" i="1"/>
  <c r="C5471" i="1"/>
  <c r="B5471" i="1"/>
  <c r="A5471" i="1"/>
  <c r="S5470" i="1"/>
  <c r="O5470" i="1"/>
  <c r="K5470" i="1"/>
  <c r="J5470" i="1"/>
  <c r="I5470" i="1"/>
  <c r="H5470" i="1"/>
  <c r="G5470" i="1"/>
  <c r="F5470" i="1"/>
  <c r="E5470" i="1"/>
  <c r="D5470" i="1"/>
  <c r="C5470" i="1"/>
  <c r="B5470" i="1"/>
  <c r="A5470" i="1"/>
  <c r="R5469" i="1"/>
  <c r="J5469" i="1"/>
  <c r="I5469" i="1"/>
  <c r="G5469" i="1"/>
  <c r="F5469" i="1"/>
  <c r="E5469" i="1"/>
  <c r="D5469" i="1"/>
  <c r="C5469" i="1"/>
  <c r="B5469" i="1"/>
  <c r="A5469" i="1"/>
  <c r="S5468" i="1"/>
  <c r="O5468" i="1"/>
  <c r="K5468" i="1"/>
  <c r="J5468" i="1"/>
  <c r="I5468" i="1"/>
  <c r="H5468" i="1"/>
  <c r="G5468" i="1"/>
  <c r="F5468" i="1"/>
  <c r="E5468" i="1"/>
  <c r="D5468" i="1"/>
  <c r="C5468" i="1"/>
  <c r="B5468" i="1"/>
  <c r="A5468" i="1"/>
  <c r="R5467" i="1"/>
  <c r="J5467" i="1"/>
  <c r="I5467" i="1"/>
  <c r="G5467" i="1"/>
  <c r="F5467" i="1"/>
  <c r="E5467" i="1"/>
  <c r="D5467" i="1"/>
  <c r="C5467" i="1"/>
  <c r="B5467" i="1"/>
  <c r="A5467" i="1"/>
  <c r="S5466" i="1"/>
  <c r="O5466" i="1"/>
  <c r="K5466" i="1"/>
  <c r="J5466" i="1"/>
  <c r="I5466" i="1"/>
  <c r="H5466" i="1"/>
  <c r="G5466" i="1"/>
  <c r="F5466" i="1"/>
  <c r="E5466" i="1"/>
  <c r="D5466" i="1"/>
  <c r="C5466" i="1"/>
  <c r="B5466" i="1"/>
  <c r="A5466" i="1"/>
  <c r="R5465" i="1"/>
  <c r="J5465" i="1"/>
  <c r="I5465" i="1"/>
  <c r="G5465" i="1"/>
  <c r="F5465" i="1"/>
  <c r="E5465" i="1"/>
  <c r="D5465" i="1"/>
  <c r="C5465" i="1"/>
  <c r="B5465" i="1"/>
  <c r="A5465" i="1"/>
  <c r="S5464" i="1"/>
  <c r="O5464" i="1"/>
  <c r="K5464" i="1"/>
  <c r="J5464" i="1"/>
  <c r="I5464" i="1"/>
  <c r="H5464" i="1"/>
  <c r="G5464" i="1"/>
  <c r="F5464" i="1"/>
  <c r="E5464" i="1"/>
  <c r="D5464" i="1"/>
  <c r="C5464" i="1"/>
  <c r="B5464" i="1"/>
  <c r="A5464" i="1"/>
  <c r="R5463" i="1"/>
  <c r="J5463" i="1"/>
  <c r="I5463" i="1"/>
  <c r="G5463" i="1"/>
  <c r="F5463" i="1"/>
  <c r="E5463" i="1"/>
  <c r="D5463" i="1"/>
  <c r="C5463" i="1"/>
  <c r="B5463" i="1"/>
  <c r="A5463" i="1"/>
  <c r="R5462" i="1"/>
  <c r="J5462" i="1"/>
  <c r="I5462" i="1"/>
  <c r="G5462" i="1"/>
  <c r="F5462" i="1"/>
  <c r="E5462" i="1"/>
  <c r="D5462" i="1"/>
  <c r="C5462" i="1"/>
  <c r="B5462" i="1"/>
  <c r="A5462" i="1"/>
  <c r="R5461" i="1"/>
  <c r="J5461" i="1"/>
  <c r="I5461" i="1"/>
  <c r="G5461" i="1"/>
  <c r="F5461" i="1"/>
  <c r="E5461" i="1"/>
  <c r="D5461" i="1"/>
  <c r="C5461" i="1"/>
  <c r="B5461" i="1"/>
  <c r="A5461" i="1"/>
  <c r="S5460" i="1"/>
  <c r="O5460" i="1"/>
  <c r="K5460" i="1"/>
  <c r="J5460" i="1"/>
  <c r="I5460" i="1"/>
  <c r="H5460" i="1"/>
  <c r="G5460" i="1"/>
  <c r="F5460" i="1"/>
  <c r="E5460" i="1"/>
  <c r="D5460" i="1"/>
  <c r="C5460" i="1"/>
  <c r="B5460" i="1"/>
  <c r="A5460" i="1"/>
  <c r="R5459" i="1"/>
  <c r="J5459" i="1"/>
  <c r="I5459" i="1"/>
  <c r="G5459" i="1"/>
  <c r="F5459" i="1"/>
  <c r="E5459" i="1"/>
  <c r="D5459" i="1"/>
  <c r="C5459" i="1"/>
  <c r="B5459" i="1"/>
  <c r="A5459" i="1"/>
  <c r="R5458" i="1"/>
  <c r="J5458" i="1"/>
  <c r="I5458" i="1"/>
  <c r="G5458" i="1"/>
  <c r="F5458" i="1"/>
  <c r="E5458" i="1"/>
  <c r="D5458" i="1"/>
  <c r="C5458" i="1"/>
  <c r="B5458" i="1"/>
  <c r="A5458" i="1"/>
  <c r="S5457" i="1"/>
  <c r="O5457" i="1"/>
  <c r="K5457" i="1"/>
  <c r="J5457" i="1"/>
  <c r="I5457" i="1"/>
  <c r="H5457" i="1"/>
  <c r="G5457" i="1"/>
  <c r="F5457" i="1"/>
  <c r="E5457" i="1"/>
  <c r="D5457" i="1"/>
  <c r="C5457" i="1"/>
  <c r="B5457" i="1"/>
  <c r="A5457" i="1"/>
  <c r="R5456" i="1"/>
  <c r="J5456" i="1"/>
  <c r="I5456" i="1"/>
  <c r="G5456" i="1"/>
  <c r="F5456" i="1"/>
  <c r="E5456" i="1"/>
  <c r="D5456" i="1"/>
  <c r="C5456" i="1"/>
  <c r="B5456" i="1"/>
  <c r="A5456" i="1"/>
  <c r="S5455" i="1"/>
  <c r="O5455" i="1"/>
  <c r="K5455" i="1"/>
  <c r="J5455" i="1"/>
  <c r="I5455" i="1"/>
  <c r="H5455" i="1"/>
  <c r="G5455" i="1"/>
  <c r="F5455" i="1"/>
  <c r="E5455" i="1"/>
  <c r="D5455" i="1"/>
  <c r="C5455" i="1"/>
  <c r="B5455" i="1"/>
  <c r="A5455" i="1"/>
  <c r="R5454" i="1"/>
  <c r="J5454" i="1"/>
  <c r="I5454" i="1"/>
  <c r="G5454" i="1"/>
  <c r="F5454" i="1"/>
  <c r="E5454" i="1"/>
  <c r="D5454" i="1"/>
  <c r="C5454" i="1"/>
  <c r="B5454" i="1"/>
  <c r="A5454" i="1"/>
  <c r="S5453" i="1"/>
  <c r="O5453" i="1"/>
  <c r="K5453" i="1"/>
  <c r="J5453" i="1"/>
  <c r="I5453" i="1"/>
  <c r="H5453" i="1"/>
  <c r="G5453" i="1"/>
  <c r="F5453" i="1"/>
  <c r="E5453" i="1"/>
  <c r="D5453" i="1"/>
  <c r="C5453" i="1"/>
  <c r="B5453" i="1"/>
  <c r="A5453" i="1"/>
  <c r="R5452" i="1"/>
  <c r="J5452" i="1"/>
  <c r="I5452" i="1"/>
  <c r="G5452" i="1"/>
  <c r="F5452" i="1"/>
  <c r="E5452" i="1"/>
  <c r="D5452" i="1"/>
  <c r="C5452" i="1"/>
  <c r="B5452" i="1"/>
  <c r="A5452" i="1"/>
  <c r="S5451" i="1"/>
  <c r="O5451" i="1"/>
  <c r="K5451" i="1"/>
  <c r="J5451" i="1"/>
  <c r="I5451" i="1"/>
  <c r="H5451" i="1"/>
  <c r="G5451" i="1"/>
  <c r="F5451" i="1"/>
  <c r="E5451" i="1"/>
  <c r="D5451" i="1"/>
  <c r="C5451" i="1"/>
  <c r="B5451" i="1"/>
  <c r="A5451" i="1"/>
  <c r="R5450" i="1"/>
  <c r="J5450" i="1"/>
  <c r="I5450" i="1"/>
  <c r="G5450" i="1"/>
  <c r="F5450" i="1"/>
  <c r="E5450" i="1"/>
  <c r="D5450" i="1"/>
  <c r="C5450" i="1"/>
  <c r="B5450" i="1"/>
  <c r="A5450" i="1"/>
  <c r="R5449" i="1"/>
  <c r="J5449" i="1"/>
  <c r="I5449" i="1"/>
  <c r="G5449" i="1"/>
  <c r="F5449" i="1"/>
  <c r="E5449" i="1"/>
  <c r="D5449" i="1"/>
  <c r="C5449" i="1"/>
  <c r="B5449" i="1"/>
  <c r="A5449" i="1"/>
  <c r="S5448" i="1"/>
  <c r="O5448" i="1"/>
  <c r="K5448" i="1"/>
  <c r="J5448" i="1"/>
  <c r="I5448" i="1"/>
  <c r="H5448" i="1"/>
  <c r="G5448" i="1"/>
  <c r="F5448" i="1"/>
  <c r="E5448" i="1"/>
  <c r="D5448" i="1"/>
  <c r="C5448" i="1"/>
  <c r="B5448" i="1"/>
  <c r="A5448" i="1"/>
  <c r="R5447" i="1"/>
  <c r="J5447" i="1"/>
  <c r="I5447" i="1"/>
  <c r="G5447" i="1"/>
  <c r="F5447" i="1"/>
  <c r="E5447" i="1"/>
  <c r="D5447" i="1"/>
  <c r="C5447" i="1"/>
  <c r="B5447" i="1"/>
  <c r="A5447" i="1"/>
  <c r="S5446" i="1"/>
  <c r="O5446" i="1"/>
  <c r="K5446" i="1"/>
  <c r="J5446" i="1"/>
  <c r="I5446" i="1"/>
  <c r="H5446" i="1"/>
  <c r="G5446" i="1"/>
  <c r="F5446" i="1"/>
  <c r="E5446" i="1"/>
  <c r="D5446" i="1"/>
  <c r="C5446" i="1"/>
  <c r="B5446" i="1"/>
  <c r="A5446" i="1"/>
  <c r="R5445" i="1"/>
  <c r="J5445" i="1"/>
  <c r="I5445" i="1"/>
  <c r="G5445" i="1"/>
  <c r="F5445" i="1"/>
  <c r="E5445" i="1"/>
  <c r="D5445" i="1"/>
  <c r="C5445" i="1"/>
  <c r="B5445" i="1"/>
  <c r="A5445" i="1"/>
  <c r="S5444" i="1"/>
  <c r="O5444" i="1"/>
  <c r="K5444" i="1"/>
  <c r="J5444" i="1"/>
  <c r="I5444" i="1"/>
  <c r="H5444" i="1"/>
  <c r="G5444" i="1"/>
  <c r="F5444" i="1"/>
  <c r="E5444" i="1"/>
  <c r="D5444" i="1"/>
  <c r="C5444" i="1"/>
  <c r="B5444" i="1"/>
  <c r="A5444" i="1"/>
  <c r="R5443" i="1"/>
  <c r="J5443" i="1"/>
  <c r="I5443" i="1"/>
  <c r="G5443" i="1"/>
  <c r="F5443" i="1"/>
  <c r="E5443" i="1"/>
  <c r="D5443" i="1"/>
  <c r="C5443" i="1"/>
  <c r="B5443" i="1"/>
  <c r="A5443" i="1"/>
  <c r="S5442" i="1"/>
  <c r="O5442" i="1"/>
  <c r="K5442" i="1"/>
  <c r="J5442" i="1"/>
  <c r="I5442" i="1"/>
  <c r="H5442" i="1"/>
  <c r="G5442" i="1"/>
  <c r="F5442" i="1"/>
  <c r="E5442" i="1"/>
  <c r="D5442" i="1"/>
  <c r="C5442" i="1"/>
  <c r="B5442" i="1"/>
  <c r="A5442" i="1"/>
  <c r="R5441" i="1"/>
  <c r="J5441" i="1"/>
  <c r="I5441" i="1"/>
  <c r="G5441" i="1"/>
  <c r="F5441" i="1"/>
  <c r="E5441" i="1"/>
  <c r="D5441" i="1"/>
  <c r="C5441" i="1"/>
  <c r="B5441" i="1"/>
  <c r="A5441" i="1"/>
  <c r="S5440" i="1"/>
  <c r="O5440" i="1"/>
  <c r="K5440" i="1"/>
  <c r="J5440" i="1"/>
  <c r="I5440" i="1"/>
  <c r="H5440" i="1"/>
  <c r="G5440" i="1"/>
  <c r="F5440" i="1"/>
  <c r="E5440" i="1"/>
  <c r="D5440" i="1"/>
  <c r="C5440" i="1"/>
  <c r="B5440" i="1"/>
  <c r="A5440" i="1"/>
  <c r="R5439" i="1"/>
  <c r="J5439" i="1"/>
  <c r="I5439" i="1"/>
  <c r="G5439" i="1"/>
  <c r="F5439" i="1"/>
  <c r="E5439" i="1"/>
  <c r="D5439" i="1"/>
  <c r="C5439" i="1"/>
  <c r="B5439" i="1"/>
  <c r="A5439" i="1"/>
  <c r="S5438" i="1"/>
  <c r="O5438" i="1"/>
  <c r="K5438" i="1"/>
  <c r="J5438" i="1"/>
  <c r="I5438" i="1"/>
  <c r="H5438" i="1"/>
  <c r="G5438" i="1"/>
  <c r="F5438" i="1"/>
  <c r="E5438" i="1"/>
  <c r="D5438" i="1"/>
  <c r="C5438" i="1"/>
  <c r="B5438" i="1"/>
  <c r="A5438" i="1"/>
  <c r="R5437" i="1"/>
  <c r="J5437" i="1"/>
  <c r="I5437" i="1"/>
  <c r="G5437" i="1"/>
  <c r="F5437" i="1"/>
  <c r="E5437" i="1"/>
  <c r="D5437" i="1"/>
  <c r="C5437" i="1"/>
  <c r="B5437" i="1"/>
  <c r="A5437" i="1"/>
  <c r="S5436" i="1"/>
  <c r="O5436" i="1"/>
  <c r="K5436" i="1"/>
  <c r="J5436" i="1"/>
  <c r="I5436" i="1"/>
  <c r="H5436" i="1"/>
  <c r="G5436" i="1"/>
  <c r="F5436" i="1"/>
  <c r="E5436" i="1"/>
  <c r="D5436" i="1"/>
  <c r="C5436" i="1"/>
  <c r="B5436" i="1"/>
  <c r="A5436" i="1"/>
  <c r="R5435" i="1"/>
  <c r="J5435" i="1"/>
  <c r="I5435" i="1"/>
  <c r="G5435" i="1"/>
  <c r="F5435" i="1"/>
  <c r="E5435" i="1"/>
  <c r="D5435" i="1"/>
  <c r="C5435" i="1"/>
  <c r="B5435" i="1"/>
  <c r="A5435" i="1"/>
  <c r="S5434" i="1"/>
  <c r="O5434" i="1"/>
  <c r="K5434" i="1"/>
  <c r="J5434" i="1"/>
  <c r="I5434" i="1"/>
  <c r="H5434" i="1"/>
  <c r="G5434" i="1"/>
  <c r="F5434" i="1"/>
  <c r="E5434" i="1"/>
  <c r="D5434" i="1"/>
  <c r="C5434" i="1"/>
  <c r="B5434" i="1"/>
  <c r="A5434" i="1"/>
  <c r="R5433" i="1"/>
  <c r="J5433" i="1"/>
  <c r="I5433" i="1"/>
  <c r="G5433" i="1"/>
  <c r="F5433" i="1"/>
  <c r="E5433" i="1"/>
  <c r="D5433" i="1"/>
  <c r="C5433" i="1"/>
  <c r="B5433" i="1"/>
  <c r="A5433" i="1"/>
  <c r="S5432" i="1"/>
  <c r="O5432" i="1"/>
  <c r="K5432" i="1"/>
  <c r="J5432" i="1"/>
  <c r="I5432" i="1"/>
  <c r="H5432" i="1"/>
  <c r="G5432" i="1"/>
  <c r="F5432" i="1"/>
  <c r="E5432" i="1"/>
  <c r="D5432" i="1"/>
  <c r="C5432" i="1"/>
  <c r="B5432" i="1"/>
  <c r="A5432" i="1"/>
  <c r="R5431" i="1"/>
  <c r="J5431" i="1"/>
  <c r="I5431" i="1"/>
  <c r="G5431" i="1"/>
  <c r="F5431" i="1"/>
  <c r="E5431" i="1"/>
  <c r="D5431" i="1"/>
  <c r="C5431" i="1"/>
  <c r="B5431" i="1"/>
  <c r="A5431" i="1"/>
  <c r="S5430" i="1"/>
  <c r="O5430" i="1"/>
  <c r="K5430" i="1"/>
  <c r="J5430" i="1"/>
  <c r="I5430" i="1"/>
  <c r="H5430" i="1"/>
  <c r="G5430" i="1"/>
  <c r="F5430" i="1"/>
  <c r="E5430" i="1"/>
  <c r="D5430" i="1"/>
  <c r="C5430" i="1"/>
  <c r="B5430" i="1"/>
  <c r="A5430" i="1"/>
  <c r="R5429" i="1"/>
  <c r="J5429" i="1"/>
  <c r="I5429" i="1"/>
  <c r="G5429" i="1"/>
  <c r="F5429" i="1"/>
  <c r="E5429" i="1"/>
  <c r="D5429" i="1"/>
  <c r="C5429" i="1"/>
  <c r="B5429" i="1"/>
  <c r="A5429" i="1"/>
  <c r="S5428" i="1"/>
  <c r="O5428" i="1"/>
  <c r="K5428" i="1"/>
  <c r="J5428" i="1"/>
  <c r="I5428" i="1"/>
  <c r="H5428" i="1"/>
  <c r="G5428" i="1"/>
  <c r="F5428" i="1"/>
  <c r="E5428" i="1"/>
  <c r="D5428" i="1"/>
  <c r="C5428" i="1"/>
  <c r="B5428" i="1"/>
  <c r="A5428" i="1"/>
  <c r="R5427" i="1"/>
  <c r="J5427" i="1"/>
  <c r="I5427" i="1"/>
  <c r="G5427" i="1"/>
  <c r="F5427" i="1"/>
  <c r="E5427" i="1"/>
  <c r="D5427" i="1"/>
  <c r="C5427" i="1"/>
  <c r="B5427" i="1"/>
  <c r="A5427" i="1"/>
  <c r="S5426" i="1"/>
  <c r="O5426" i="1"/>
  <c r="K5426" i="1"/>
  <c r="J5426" i="1"/>
  <c r="I5426" i="1"/>
  <c r="H5426" i="1"/>
  <c r="G5426" i="1"/>
  <c r="F5426" i="1"/>
  <c r="E5426" i="1"/>
  <c r="D5426" i="1"/>
  <c r="C5426" i="1"/>
  <c r="B5426" i="1"/>
  <c r="A5426" i="1"/>
  <c r="R5425" i="1"/>
  <c r="J5425" i="1"/>
  <c r="I5425" i="1"/>
  <c r="G5425" i="1"/>
  <c r="F5425" i="1"/>
  <c r="E5425" i="1"/>
  <c r="D5425" i="1"/>
  <c r="C5425" i="1"/>
  <c r="B5425" i="1"/>
  <c r="A5425" i="1"/>
  <c r="S5424" i="1"/>
  <c r="O5424" i="1"/>
  <c r="K5424" i="1"/>
  <c r="J5424" i="1"/>
  <c r="I5424" i="1"/>
  <c r="H5424" i="1"/>
  <c r="G5424" i="1"/>
  <c r="F5424" i="1"/>
  <c r="E5424" i="1"/>
  <c r="D5424" i="1"/>
  <c r="C5424" i="1"/>
  <c r="B5424" i="1"/>
  <c r="A5424" i="1"/>
  <c r="R5423" i="1"/>
  <c r="J5423" i="1"/>
  <c r="I5423" i="1"/>
  <c r="G5423" i="1"/>
  <c r="F5423" i="1"/>
  <c r="E5423" i="1"/>
  <c r="D5423" i="1"/>
  <c r="C5423" i="1"/>
  <c r="B5423" i="1"/>
  <c r="A5423" i="1"/>
  <c r="R5422" i="1"/>
  <c r="J5422" i="1"/>
  <c r="I5422" i="1"/>
  <c r="G5422" i="1"/>
  <c r="F5422" i="1"/>
  <c r="E5422" i="1"/>
  <c r="D5422" i="1"/>
  <c r="C5422" i="1"/>
  <c r="B5422" i="1"/>
  <c r="A5422" i="1"/>
  <c r="S5421" i="1"/>
  <c r="O5421" i="1"/>
  <c r="K5421" i="1"/>
  <c r="J5421" i="1"/>
  <c r="I5421" i="1"/>
  <c r="H5421" i="1"/>
  <c r="G5421" i="1"/>
  <c r="F5421" i="1"/>
  <c r="E5421" i="1"/>
  <c r="D5421" i="1"/>
  <c r="C5421" i="1"/>
  <c r="B5421" i="1"/>
  <c r="A5421" i="1"/>
  <c r="R5420" i="1"/>
  <c r="J5420" i="1"/>
  <c r="I5420" i="1"/>
  <c r="G5420" i="1"/>
  <c r="F5420" i="1"/>
  <c r="E5420" i="1"/>
  <c r="D5420" i="1"/>
  <c r="C5420" i="1"/>
  <c r="B5420" i="1"/>
  <c r="A5420" i="1"/>
  <c r="S5419" i="1"/>
  <c r="O5419" i="1"/>
  <c r="K5419" i="1"/>
  <c r="J5419" i="1"/>
  <c r="I5419" i="1"/>
  <c r="H5419" i="1"/>
  <c r="G5419" i="1"/>
  <c r="F5419" i="1"/>
  <c r="E5419" i="1"/>
  <c r="D5419" i="1"/>
  <c r="C5419" i="1"/>
  <c r="B5419" i="1"/>
  <c r="A5419" i="1"/>
  <c r="R5418" i="1"/>
  <c r="J5418" i="1"/>
  <c r="I5418" i="1"/>
  <c r="G5418" i="1"/>
  <c r="F5418" i="1"/>
  <c r="E5418" i="1"/>
  <c r="D5418" i="1"/>
  <c r="C5418" i="1"/>
  <c r="B5418" i="1"/>
  <c r="A5418" i="1"/>
  <c r="S5417" i="1"/>
  <c r="O5417" i="1"/>
  <c r="K5417" i="1"/>
  <c r="J5417" i="1"/>
  <c r="I5417" i="1"/>
  <c r="H5417" i="1"/>
  <c r="G5417" i="1"/>
  <c r="F5417" i="1"/>
  <c r="E5417" i="1"/>
  <c r="D5417" i="1"/>
  <c r="C5417" i="1"/>
  <c r="B5417" i="1"/>
  <c r="A5417" i="1"/>
  <c r="R5416" i="1"/>
  <c r="J5416" i="1"/>
  <c r="I5416" i="1"/>
  <c r="G5416" i="1"/>
  <c r="F5416" i="1"/>
  <c r="E5416" i="1"/>
  <c r="D5416" i="1"/>
  <c r="C5416" i="1"/>
  <c r="B5416" i="1"/>
  <c r="A5416" i="1"/>
  <c r="S5415" i="1"/>
  <c r="O5415" i="1"/>
  <c r="K5415" i="1"/>
  <c r="J5415" i="1"/>
  <c r="I5415" i="1"/>
  <c r="H5415" i="1"/>
  <c r="G5415" i="1"/>
  <c r="F5415" i="1"/>
  <c r="E5415" i="1"/>
  <c r="D5415" i="1"/>
  <c r="C5415" i="1"/>
  <c r="B5415" i="1"/>
  <c r="A5415" i="1"/>
  <c r="R5414" i="1"/>
  <c r="J5414" i="1"/>
  <c r="I5414" i="1"/>
  <c r="G5414" i="1"/>
  <c r="F5414" i="1"/>
  <c r="E5414" i="1"/>
  <c r="D5414" i="1"/>
  <c r="C5414" i="1"/>
  <c r="B5414" i="1"/>
  <c r="A5414" i="1"/>
  <c r="S5413" i="1"/>
  <c r="O5413" i="1"/>
  <c r="K5413" i="1"/>
  <c r="J5413" i="1"/>
  <c r="I5413" i="1"/>
  <c r="H5413" i="1"/>
  <c r="G5413" i="1"/>
  <c r="F5413" i="1"/>
  <c r="E5413" i="1"/>
  <c r="D5413" i="1"/>
  <c r="C5413" i="1"/>
  <c r="B5413" i="1"/>
  <c r="A5413" i="1"/>
  <c r="R5412" i="1"/>
  <c r="J5412" i="1"/>
  <c r="I5412" i="1"/>
  <c r="G5412" i="1"/>
  <c r="F5412" i="1"/>
  <c r="E5412" i="1"/>
  <c r="D5412" i="1"/>
  <c r="C5412" i="1"/>
  <c r="B5412" i="1"/>
  <c r="A5412" i="1"/>
  <c r="S5411" i="1"/>
  <c r="O5411" i="1"/>
  <c r="K5411" i="1"/>
  <c r="J5411" i="1"/>
  <c r="I5411" i="1"/>
  <c r="H5411" i="1"/>
  <c r="G5411" i="1"/>
  <c r="F5411" i="1"/>
  <c r="E5411" i="1"/>
  <c r="D5411" i="1"/>
  <c r="C5411" i="1"/>
  <c r="B5411" i="1"/>
  <c r="A5411" i="1"/>
  <c r="R5410" i="1"/>
  <c r="J5410" i="1"/>
  <c r="I5410" i="1"/>
  <c r="G5410" i="1"/>
  <c r="F5410" i="1"/>
  <c r="E5410" i="1"/>
  <c r="D5410" i="1"/>
  <c r="C5410" i="1"/>
  <c r="B5410" i="1"/>
  <c r="A5410" i="1"/>
  <c r="R5409" i="1"/>
  <c r="J5409" i="1"/>
  <c r="I5409" i="1"/>
  <c r="G5409" i="1"/>
  <c r="F5409" i="1"/>
  <c r="E5409" i="1"/>
  <c r="D5409" i="1"/>
  <c r="C5409" i="1"/>
  <c r="B5409" i="1"/>
  <c r="A5409" i="1"/>
  <c r="S5408" i="1"/>
  <c r="O5408" i="1"/>
  <c r="K5408" i="1"/>
  <c r="J5408" i="1"/>
  <c r="I5408" i="1"/>
  <c r="H5408" i="1"/>
  <c r="G5408" i="1"/>
  <c r="F5408" i="1"/>
  <c r="E5408" i="1"/>
  <c r="D5408" i="1"/>
  <c r="C5408" i="1"/>
  <c r="B5408" i="1"/>
  <c r="A5408" i="1"/>
  <c r="R5407" i="1"/>
  <c r="J5407" i="1"/>
  <c r="I5407" i="1"/>
  <c r="G5407" i="1"/>
  <c r="F5407" i="1"/>
  <c r="E5407" i="1"/>
  <c r="D5407" i="1"/>
  <c r="C5407" i="1"/>
  <c r="B5407" i="1"/>
  <c r="A5407" i="1"/>
  <c r="R5406" i="1"/>
  <c r="J5406" i="1"/>
  <c r="I5406" i="1"/>
  <c r="G5406" i="1"/>
  <c r="F5406" i="1"/>
  <c r="E5406" i="1"/>
  <c r="D5406" i="1"/>
  <c r="C5406" i="1"/>
  <c r="B5406" i="1"/>
  <c r="A5406" i="1"/>
  <c r="S5405" i="1"/>
  <c r="O5405" i="1"/>
  <c r="K5405" i="1"/>
  <c r="J5405" i="1"/>
  <c r="I5405" i="1"/>
  <c r="H5405" i="1"/>
  <c r="G5405" i="1"/>
  <c r="F5405" i="1"/>
  <c r="E5405" i="1"/>
  <c r="D5405" i="1"/>
  <c r="C5405" i="1"/>
  <c r="B5405" i="1"/>
  <c r="A5405" i="1"/>
  <c r="R5404" i="1"/>
  <c r="J5404" i="1"/>
  <c r="I5404" i="1"/>
  <c r="G5404" i="1"/>
  <c r="F5404" i="1"/>
  <c r="E5404" i="1"/>
  <c r="D5404" i="1"/>
  <c r="C5404" i="1"/>
  <c r="B5404" i="1"/>
  <c r="A5404" i="1"/>
  <c r="S5403" i="1"/>
  <c r="O5403" i="1"/>
  <c r="K5403" i="1"/>
  <c r="J5403" i="1"/>
  <c r="I5403" i="1"/>
  <c r="H5403" i="1"/>
  <c r="G5403" i="1"/>
  <c r="F5403" i="1"/>
  <c r="E5403" i="1"/>
  <c r="D5403" i="1"/>
  <c r="C5403" i="1"/>
  <c r="B5403" i="1"/>
  <c r="A5403" i="1"/>
  <c r="R5402" i="1"/>
  <c r="J5402" i="1"/>
  <c r="I5402" i="1"/>
  <c r="G5402" i="1"/>
  <c r="F5402" i="1"/>
  <c r="E5402" i="1"/>
  <c r="D5402" i="1"/>
  <c r="C5402" i="1"/>
  <c r="B5402" i="1"/>
  <c r="A5402" i="1"/>
  <c r="S5401" i="1"/>
  <c r="O5401" i="1"/>
  <c r="K5401" i="1"/>
  <c r="J5401" i="1"/>
  <c r="I5401" i="1"/>
  <c r="H5401" i="1"/>
  <c r="G5401" i="1"/>
  <c r="F5401" i="1"/>
  <c r="E5401" i="1"/>
  <c r="D5401" i="1"/>
  <c r="C5401" i="1"/>
  <c r="B5401" i="1"/>
  <c r="A5401" i="1"/>
  <c r="R5400" i="1"/>
  <c r="J5400" i="1"/>
  <c r="I5400" i="1"/>
  <c r="G5400" i="1"/>
  <c r="F5400" i="1"/>
  <c r="E5400" i="1"/>
  <c r="D5400" i="1"/>
  <c r="C5400" i="1"/>
  <c r="B5400" i="1"/>
  <c r="A5400" i="1"/>
  <c r="S5399" i="1"/>
  <c r="O5399" i="1"/>
  <c r="K5399" i="1"/>
  <c r="J5399" i="1"/>
  <c r="I5399" i="1"/>
  <c r="H5399" i="1"/>
  <c r="G5399" i="1"/>
  <c r="F5399" i="1"/>
  <c r="E5399" i="1"/>
  <c r="D5399" i="1"/>
  <c r="C5399" i="1"/>
  <c r="B5399" i="1"/>
  <c r="A5399" i="1"/>
  <c r="R5398" i="1"/>
  <c r="J5398" i="1"/>
  <c r="I5398" i="1"/>
  <c r="G5398" i="1"/>
  <c r="F5398" i="1"/>
  <c r="E5398" i="1"/>
  <c r="D5398" i="1"/>
  <c r="C5398" i="1"/>
  <c r="B5398" i="1"/>
  <c r="A5398" i="1"/>
  <c r="R5397" i="1"/>
  <c r="J5397" i="1"/>
  <c r="I5397" i="1"/>
  <c r="G5397" i="1"/>
  <c r="F5397" i="1"/>
  <c r="E5397" i="1"/>
  <c r="D5397" i="1"/>
  <c r="C5397" i="1"/>
  <c r="B5397" i="1"/>
  <c r="A5397" i="1"/>
  <c r="S5396" i="1"/>
  <c r="O5396" i="1"/>
  <c r="K5396" i="1"/>
  <c r="J5396" i="1"/>
  <c r="I5396" i="1"/>
  <c r="H5396" i="1"/>
  <c r="G5396" i="1"/>
  <c r="F5396" i="1"/>
  <c r="E5396" i="1"/>
  <c r="D5396" i="1"/>
  <c r="C5396" i="1"/>
  <c r="B5396" i="1"/>
  <c r="A5396" i="1"/>
  <c r="R5395" i="1"/>
  <c r="J5395" i="1"/>
  <c r="I5395" i="1"/>
  <c r="G5395" i="1"/>
  <c r="F5395" i="1"/>
  <c r="E5395" i="1"/>
  <c r="D5395" i="1"/>
  <c r="C5395" i="1"/>
  <c r="B5395" i="1"/>
  <c r="A5395" i="1"/>
  <c r="S5394" i="1"/>
  <c r="O5394" i="1"/>
  <c r="K5394" i="1"/>
  <c r="J5394" i="1"/>
  <c r="I5394" i="1"/>
  <c r="H5394" i="1"/>
  <c r="G5394" i="1"/>
  <c r="F5394" i="1"/>
  <c r="E5394" i="1"/>
  <c r="D5394" i="1"/>
  <c r="C5394" i="1"/>
  <c r="B5394" i="1"/>
  <c r="A5394" i="1"/>
  <c r="R5393" i="1"/>
  <c r="J5393" i="1"/>
  <c r="I5393" i="1"/>
  <c r="G5393" i="1"/>
  <c r="F5393" i="1"/>
  <c r="E5393" i="1"/>
  <c r="D5393" i="1"/>
  <c r="C5393" i="1"/>
  <c r="B5393" i="1"/>
  <c r="A5393" i="1"/>
  <c r="S5392" i="1"/>
  <c r="O5392" i="1"/>
  <c r="K5392" i="1"/>
  <c r="J5392" i="1"/>
  <c r="I5392" i="1"/>
  <c r="H5392" i="1"/>
  <c r="G5392" i="1"/>
  <c r="F5392" i="1"/>
  <c r="E5392" i="1"/>
  <c r="D5392" i="1"/>
  <c r="C5392" i="1"/>
  <c r="B5392" i="1"/>
  <c r="A5392" i="1"/>
  <c r="R5391" i="1"/>
  <c r="J5391" i="1"/>
  <c r="I5391" i="1"/>
  <c r="G5391" i="1"/>
  <c r="F5391" i="1"/>
  <c r="E5391" i="1"/>
  <c r="D5391" i="1"/>
  <c r="C5391" i="1"/>
  <c r="B5391" i="1"/>
  <c r="A5391" i="1"/>
  <c r="S5390" i="1"/>
  <c r="O5390" i="1"/>
  <c r="K5390" i="1"/>
  <c r="J5390" i="1"/>
  <c r="I5390" i="1"/>
  <c r="H5390" i="1"/>
  <c r="G5390" i="1"/>
  <c r="F5390" i="1"/>
  <c r="E5390" i="1"/>
  <c r="D5390" i="1"/>
  <c r="C5390" i="1"/>
  <c r="B5390" i="1"/>
  <c r="A5390" i="1"/>
  <c r="R5389" i="1"/>
  <c r="J5389" i="1"/>
  <c r="I5389" i="1"/>
  <c r="G5389" i="1"/>
  <c r="F5389" i="1"/>
  <c r="E5389" i="1"/>
  <c r="D5389" i="1"/>
  <c r="C5389" i="1"/>
  <c r="B5389" i="1"/>
  <c r="A5389" i="1"/>
  <c r="R5388" i="1"/>
  <c r="J5388" i="1"/>
  <c r="I5388" i="1"/>
  <c r="G5388" i="1"/>
  <c r="F5388" i="1"/>
  <c r="E5388" i="1"/>
  <c r="D5388" i="1"/>
  <c r="C5388" i="1"/>
  <c r="B5388" i="1"/>
  <c r="A5388" i="1"/>
  <c r="S5387" i="1"/>
  <c r="O5387" i="1"/>
  <c r="K5387" i="1"/>
  <c r="J5387" i="1"/>
  <c r="I5387" i="1"/>
  <c r="H5387" i="1"/>
  <c r="G5387" i="1"/>
  <c r="F5387" i="1"/>
  <c r="E5387" i="1"/>
  <c r="D5387" i="1"/>
  <c r="C5387" i="1"/>
  <c r="B5387" i="1"/>
  <c r="A5387" i="1"/>
  <c r="R5386" i="1"/>
  <c r="J5386" i="1"/>
  <c r="I5386" i="1"/>
  <c r="G5386" i="1"/>
  <c r="F5386" i="1"/>
  <c r="E5386" i="1"/>
  <c r="D5386" i="1"/>
  <c r="C5386" i="1"/>
  <c r="B5386" i="1"/>
  <c r="A5386" i="1"/>
  <c r="S5385" i="1"/>
  <c r="O5385" i="1"/>
  <c r="K5385" i="1"/>
  <c r="J5385" i="1"/>
  <c r="I5385" i="1"/>
  <c r="H5385" i="1"/>
  <c r="G5385" i="1"/>
  <c r="F5385" i="1"/>
  <c r="E5385" i="1"/>
  <c r="D5385" i="1"/>
  <c r="C5385" i="1"/>
  <c r="B5385" i="1"/>
  <c r="A5385" i="1"/>
  <c r="R5384" i="1"/>
  <c r="J5384" i="1"/>
  <c r="I5384" i="1"/>
  <c r="G5384" i="1"/>
  <c r="F5384" i="1"/>
  <c r="E5384" i="1"/>
  <c r="D5384" i="1"/>
  <c r="C5384" i="1"/>
  <c r="B5384" i="1"/>
  <c r="A5384" i="1"/>
  <c r="S5383" i="1"/>
  <c r="O5383" i="1"/>
  <c r="K5383" i="1"/>
  <c r="J5383" i="1"/>
  <c r="I5383" i="1"/>
  <c r="H5383" i="1"/>
  <c r="G5383" i="1"/>
  <c r="F5383" i="1"/>
  <c r="E5383" i="1"/>
  <c r="D5383" i="1"/>
  <c r="C5383" i="1"/>
  <c r="B5383" i="1"/>
  <c r="A5383" i="1"/>
  <c r="R5382" i="1"/>
  <c r="J5382" i="1"/>
  <c r="I5382" i="1"/>
  <c r="G5382" i="1"/>
  <c r="F5382" i="1"/>
  <c r="E5382" i="1"/>
  <c r="D5382" i="1"/>
  <c r="C5382" i="1"/>
  <c r="B5382" i="1"/>
  <c r="A5382" i="1"/>
  <c r="S5381" i="1"/>
  <c r="O5381" i="1"/>
  <c r="K5381" i="1"/>
  <c r="J5381" i="1"/>
  <c r="I5381" i="1"/>
  <c r="H5381" i="1"/>
  <c r="G5381" i="1"/>
  <c r="F5381" i="1"/>
  <c r="E5381" i="1"/>
  <c r="D5381" i="1"/>
  <c r="C5381" i="1"/>
  <c r="B5381" i="1"/>
  <c r="A5381" i="1"/>
  <c r="R5380" i="1"/>
  <c r="J5380" i="1"/>
  <c r="I5380" i="1"/>
  <c r="G5380" i="1"/>
  <c r="F5380" i="1"/>
  <c r="E5380" i="1"/>
  <c r="D5380" i="1"/>
  <c r="C5380" i="1"/>
  <c r="B5380" i="1"/>
  <c r="A5380" i="1"/>
  <c r="S5379" i="1"/>
  <c r="O5379" i="1"/>
  <c r="K5379" i="1"/>
  <c r="J5379" i="1"/>
  <c r="I5379" i="1"/>
  <c r="H5379" i="1"/>
  <c r="G5379" i="1"/>
  <c r="F5379" i="1"/>
  <c r="E5379" i="1"/>
  <c r="D5379" i="1"/>
  <c r="C5379" i="1"/>
  <c r="B5379" i="1"/>
  <c r="A5379" i="1"/>
  <c r="R5378" i="1"/>
  <c r="J5378" i="1"/>
  <c r="I5378" i="1"/>
  <c r="G5378" i="1"/>
  <c r="F5378" i="1"/>
  <c r="E5378" i="1"/>
  <c r="D5378" i="1"/>
  <c r="C5378" i="1"/>
  <c r="B5378" i="1"/>
  <c r="A5378" i="1"/>
  <c r="S5377" i="1"/>
  <c r="O5377" i="1"/>
  <c r="K5377" i="1"/>
  <c r="J5377" i="1"/>
  <c r="I5377" i="1"/>
  <c r="H5377" i="1"/>
  <c r="G5377" i="1"/>
  <c r="F5377" i="1"/>
  <c r="E5377" i="1"/>
  <c r="D5377" i="1"/>
  <c r="C5377" i="1"/>
  <c r="B5377" i="1"/>
  <c r="A5377" i="1"/>
  <c r="R5376" i="1"/>
  <c r="J5376" i="1"/>
  <c r="I5376" i="1"/>
  <c r="G5376" i="1"/>
  <c r="F5376" i="1"/>
  <c r="E5376" i="1"/>
  <c r="D5376" i="1"/>
  <c r="C5376" i="1"/>
  <c r="B5376" i="1"/>
  <c r="A5376" i="1"/>
  <c r="S5375" i="1"/>
  <c r="O5375" i="1"/>
  <c r="K5375" i="1"/>
  <c r="J5375" i="1"/>
  <c r="I5375" i="1"/>
  <c r="H5375" i="1"/>
  <c r="G5375" i="1"/>
  <c r="F5375" i="1"/>
  <c r="E5375" i="1"/>
  <c r="D5375" i="1"/>
  <c r="C5375" i="1"/>
  <c r="B5375" i="1"/>
  <c r="A5375" i="1"/>
  <c r="R5374" i="1"/>
  <c r="J5374" i="1"/>
  <c r="I5374" i="1"/>
  <c r="G5374" i="1"/>
  <c r="F5374" i="1"/>
  <c r="E5374" i="1"/>
  <c r="D5374" i="1"/>
  <c r="C5374" i="1"/>
  <c r="B5374" i="1"/>
  <c r="A5374" i="1"/>
  <c r="S5373" i="1"/>
  <c r="O5373" i="1"/>
  <c r="K5373" i="1"/>
  <c r="J5373" i="1"/>
  <c r="I5373" i="1"/>
  <c r="H5373" i="1"/>
  <c r="G5373" i="1"/>
  <c r="F5373" i="1"/>
  <c r="E5373" i="1"/>
  <c r="D5373" i="1"/>
  <c r="C5373" i="1"/>
  <c r="B5373" i="1"/>
  <c r="A5373" i="1"/>
  <c r="R5372" i="1"/>
  <c r="J5372" i="1"/>
  <c r="I5372" i="1"/>
  <c r="G5372" i="1"/>
  <c r="F5372" i="1"/>
  <c r="E5372" i="1"/>
  <c r="D5372" i="1"/>
  <c r="C5372" i="1"/>
  <c r="B5372" i="1"/>
  <c r="A5372" i="1"/>
  <c r="S5371" i="1"/>
  <c r="O5371" i="1"/>
  <c r="K5371" i="1"/>
  <c r="J5371" i="1"/>
  <c r="I5371" i="1"/>
  <c r="H5371" i="1"/>
  <c r="G5371" i="1"/>
  <c r="F5371" i="1"/>
  <c r="E5371" i="1"/>
  <c r="D5371" i="1"/>
  <c r="C5371" i="1"/>
  <c r="B5371" i="1"/>
  <c r="A5371" i="1"/>
  <c r="R5370" i="1"/>
  <c r="J5370" i="1"/>
  <c r="I5370" i="1"/>
  <c r="G5370" i="1"/>
  <c r="F5370" i="1"/>
  <c r="E5370" i="1"/>
  <c r="D5370" i="1"/>
  <c r="C5370" i="1"/>
  <c r="B5370" i="1"/>
  <c r="A5370" i="1"/>
  <c r="S5369" i="1"/>
  <c r="O5369" i="1"/>
  <c r="K5369" i="1"/>
  <c r="J5369" i="1"/>
  <c r="I5369" i="1"/>
  <c r="H5369" i="1"/>
  <c r="G5369" i="1"/>
  <c r="F5369" i="1"/>
  <c r="E5369" i="1"/>
  <c r="D5369" i="1"/>
  <c r="C5369" i="1"/>
  <c r="B5369" i="1"/>
  <c r="A5369" i="1"/>
  <c r="R5368" i="1"/>
  <c r="J5368" i="1"/>
  <c r="I5368" i="1"/>
  <c r="G5368" i="1"/>
  <c r="F5368" i="1"/>
  <c r="E5368" i="1"/>
  <c r="D5368" i="1"/>
  <c r="C5368" i="1"/>
  <c r="B5368" i="1"/>
  <c r="A5368" i="1"/>
  <c r="R5367" i="1"/>
  <c r="J5367" i="1"/>
  <c r="I5367" i="1"/>
  <c r="G5367" i="1"/>
  <c r="F5367" i="1"/>
  <c r="E5367" i="1"/>
  <c r="D5367" i="1"/>
  <c r="C5367" i="1"/>
  <c r="B5367" i="1"/>
  <c r="A5367" i="1"/>
  <c r="S5366" i="1"/>
  <c r="O5366" i="1"/>
  <c r="K5366" i="1"/>
  <c r="J5366" i="1"/>
  <c r="I5366" i="1"/>
  <c r="H5366" i="1"/>
  <c r="G5366" i="1"/>
  <c r="F5366" i="1"/>
  <c r="E5366" i="1"/>
  <c r="D5366" i="1"/>
  <c r="C5366" i="1"/>
  <c r="B5366" i="1"/>
  <c r="A5366" i="1"/>
  <c r="R5365" i="1"/>
  <c r="J5365" i="1"/>
  <c r="I5365" i="1"/>
  <c r="G5365" i="1"/>
  <c r="F5365" i="1"/>
  <c r="E5365" i="1"/>
  <c r="D5365" i="1"/>
  <c r="C5365" i="1"/>
  <c r="B5365" i="1"/>
  <c r="A5365" i="1"/>
  <c r="S5364" i="1"/>
  <c r="O5364" i="1"/>
  <c r="K5364" i="1"/>
  <c r="J5364" i="1"/>
  <c r="I5364" i="1"/>
  <c r="H5364" i="1"/>
  <c r="G5364" i="1"/>
  <c r="F5364" i="1"/>
  <c r="E5364" i="1"/>
  <c r="D5364" i="1"/>
  <c r="C5364" i="1"/>
  <c r="B5364" i="1"/>
  <c r="A5364" i="1"/>
  <c r="R5363" i="1"/>
  <c r="J5363" i="1"/>
  <c r="I5363" i="1"/>
  <c r="G5363" i="1"/>
  <c r="F5363" i="1"/>
  <c r="E5363" i="1"/>
  <c r="D5363" i="1"/>
  <c r="C5363" i="1"/>
  <c r="B5363" i="1"/>
  <c r="A5363" i="1"/>
  <c r="S5362" i="1"/>
  <c r="O5362" i="1"/>
  <c r="K5362" i="1"/>
  <c r="J5362" i="1"/>
  <c r="I5362" i="1"/>
  <c r="H5362" i="1"/>
  <c r="G5362" i="1"/>
  <c r="F5362" i="1"/>
  <c r="E5362" i="1"/>
  <c r="D5362" i="1"/>
  <c r="C5362" i="1"/>
  <c r="B5362" i="1"/>
  <c r="A5362" i="1"/>
  <c r="R5361" i="1"/>
  <c r="J5361" i="1"/>
  <c r="I5361" i="1"/>
  <c r="G5361" i="1"/>
  <c r="F5361" i="1"/>
  <c r="E5361" i="1"/>
  <c r="D5361" i="1"/>
  <c r="C5361" i="1"/>
  <c r="B5361" i="1"/>
  <c r="A5361" i="1"/>
  <c r="S5360" i="1"/>
  <c r="O5360" i="1"/>
  <c r="K5360" i="1"/>
  <c r="J5360" i="1"/>
  <c r="I5360" i="1"/>
  <c r="H5360" i="1"/>
  <c r="G5360" i="1"/>
  <c r="F5360" i="1"/>
  <c r="E5360" i="1"/>
  <c r="D5360" i="1"/>
  <c r="C5360" i="1"/>
  <c r="B5360" i="1"/>
  <c r="A5360" i="1"/>
  <c r="R5359" i="1"/>
  <c r="J5359" i="1"/>
  <c r="I5359" i="1"/>
  <c r="G5359" i="1"/>
  <c r="F5359" i="1"/>
  <c r="E5359" i="1"/>
  <c r="D5359" i="1"/>
  <c r="C5359" i="1"/>
  <c r="B5359" i="1"/>
  <c r="A5359" i="1"/>
  <c r="S5358" i="1"/>
  <c r="O5358" i="1"/>
  <c r="K5358" i="1"/>
  <c r="J5358" i="1"/>
  <c r="I5358" i="1"/>
  <c r="H5358" i="1"/>
  <c r="G5358" i="1"/>
  <c r="F5358" i="1"/>
  <c r="E5358" i="1"/>
  <c r="D5358" i="1"/>
  <c r="C5358" i="1"/>
  <c r="B5358" i="1"/>
  <c r="A5358" i="1"/>
  <c r="S5357" i="1"/>
  <c r="O5357" i="1"/>
  <c r="K5357" i="1"/>
  <c r="J5357" i="1"/>
  <c r="I5357" i="1"/>
  <c r="H5357" i="1"/>
  <c r="G5357" i="1"/>
  <c r="F5357" i="1"/>
  <c r="D5357" i="1"/>
  <c r="C5357" i="1"/>
  <c r="B5357" i="1"/>
  <c r="A5357" i="1"/>
  <c r="R5356" i="1"/>
  <c r="J5356" i="1"/>
  <c r="I5356" i="1"/>
  <c r="G5356" i="1"/>
  <c r="F5356" i="1"/>
  <c r="E5356" i="1"/>
  <c r="D5356" i="1"/>
  <c r="C5356" i="1"/>
  <c r="B5356" i="1"/>
  <c r="A5356" i="1"/>
  <c r="S5355" i="1"/>
  <c r="O5355" i="1"/>
  <c r="K5355" i="1"/>
  <c r="J5355" i="1"/>
  <c r="I5355" i="1"/>
  <c r="H5355" i="1"/>
  <c r="G5355" i="1"/>
  <c r="F5355" i="1"/>
  <c r="E5355" i="1"/>
  <c r="D5355" i="1"/>
  <c r="C5355" i="1"/>
  <c r="B5355" i="1"/>
  <c r="A5355" i="1"/>
  <c r="R5354" i="1"/>
  <c r="J5354" i="1"/>
  <c r="I5354" i="1"/>
  <c r="G5354" i="1"/>
  <c r="F5354" i="1"/>
  <c r="E5354" i="1"/>
  <c r="D5354" i="1"/>
  <c r="C5354" i="1"/>
  <c r="B5354" i="1"/>
  <c r="A5354" i="1"/>
  <c r="S5353" i="1"/>
  <c r="O5353" i="1"/>
  <c r="K5353" i="1"/>
  <c r="J5353" i="1"/>
  <c r="I5353" i="1"/>
  <c r="H5353" i="1"/>
  <c r="G5353" i="1"/>
  <c r="F5353" i="1"/>
  <c r="E5353" i="1"/>
  <c r="D5353" i="1"/>
  <c r="C5353" i="1"/>
  <c r="B5353" i="1"/>
  <c r="A5353" i="1"/>
  <c r="R5352" i="1"/>
  <c r="J5352" i="1"/>
  <c r="I5352" i="1"/>
  <c r="G5352" i="1"/>
  <c r="F5352" i="1"/>
  <c r="E5352" i="1"/>
  <c r="D5352" i="1"/>
  <c r="C5352" i="1"/>
  <c r="B5352" i="1"/>
  <c r="A5352" i="1"/>
  <c r="S5351" i="1"/>
  <c r="O5351" i="1"/>
  <c r="K5351" i="1"/>
  <c r="J5351" i="1"/>
  <c r="I5351" i="1"/>
  <c r="H5351" i="1"/>
  <c r="G5351" i="1"/>
  <c r="F5351" i="1"/>
  <c r="E5351" i="1"/>
  <c r="D5351" i="1"/>
  <c r="C5351" i="1"/>
  <c r="B5351" i="1"/>
  <c r="A5351" i="1"/>
  <c r="R5350" i="1"/>
  <c r="J5350" i="1"/>
  <c r="I5350" i="1"/>
  <c r="G5350" i="1"/>
  <c r="F5350" i="1"/>
  <c r="E5350" i="1"/>
  <c r="D5350" i="1"/>
  <c r="C5350" i="1"/>
  <c r="B5350" i="1"/>
  <c r="A5350" i="1"/>
  <c r="S5349" i="1"/>
  <c r="O5349" i="1"/>
  <c r="K5349" i="1"/>
  <c r="J5349" i="1"/>
  <c r="I5349" i="1"/>
  <c r="H5349" i="1"/>
  <c r="G5349" i="1"/>
  <c r="F5349" i="1"/>
  <c r="E5349" i="1"/>
  <c r="D5349" i="1"/>
  <c r="C5349" i="1"/>
  <c r="B5349" i="1"/>
  <c r="A5349" i="1"/>
  <c r="R5348" i="1"/>
  <c r="J5348" i="1"/>
  <c r="I5348" i="1"/>
  <c r="G5348" i="1"/>
  <c r="F5348" i="1"/>
  <c r="E5348" i="1"/>
  <c r="D5348" i="1"/>
  <c r="C5348" i="1"/>
  <c r="B5348" i="1"/>
  <c r="A5348" i="1"/>
  <c r="S5347" i="1"/>
  <c r="O5347" i="1"/>
  <c r="K5347" i="1"/>
  <c r="J5347" i="1"/>
  <c r="I5347" i="1"/>
  <c r="H5347" i="1"/>
  <c r="G5347" i="1"/>
  <c r="F5347" i="1"/>
  <c r="E5347" i="1"/>
  <c r="D5347" i="1"/>
  <c r="C5347" i="1"/>
  <c r="B5347" i="1"/>
  <c r="A5347" i="1"/>
  <c r="R5346" i="1"/>
  <c r="J5346" i="1"/>
  <c r="I5346" i="1"/>
  <c r="G5346" i="1"/>
  <c r="F5346" i="1"/>
  <c r="E5346" i="1"/>
  <c r="D5346" i="1"/>
  <c r="C5346" i="1"/>
  <c r="B5346" i="1"/>
  <c r="A5346" i="1"/>
  <c r="S5345" i="1"/>
  <c r="O5345" i="1"/>
  <c r="K5345" i="1"/>
  <c r="J5345" i="1"/>
  <c r="I5345" i="1"/>
  <c r="H5345" i="1"/>
  <c r="G5345" i="1"/>
  <c r="F5345" i="1"/>
  <c r="E5345" i="1"/>
  <c r="D5345" i="1"/>
  <c r="C5345" i="1"/>
  <c r="B5345" i="1"/>
  <c r="A5345" i="1"/>
  <c r="R5344" i="1"/>
  <c r="J5344" i="1"/>
  <c r="I5344" i="1"/>
  <c r="G5344" i="1"/>
  <c r="F5344" i="1"/>
  <c r="E5344" i="1"/>
  <c r="D5344" i="1"/>
  <c r="C5344" i="1"/>
  <c r="B5344" i="1"/>
  <c r="A5344" i="1"/>
  <c r="S5343" i="1"/>
  <c r="O5343" i="1"/>
  <c r="K5343" i="1"/>
  <c r="J5343" i="1"/>
  <c r="I5343" i="1"/>
  <c r="H5343" i="1"/>
  <c r="G5343" i="1"/>
  <c r="F5343" i="1"/>
  <c r="E5343" i="1"/>
  <c r="D5343" i="1"/>
  <c r="C5343" i="1"/>
  <c r="B5343" i="1"/>
  <c r="A5343" i="1"/>
  <c r="R5342" i="1"/>
  <c r="J5342" i="1"/>
  <c r="I5342" i="1"/>
  <c r="G5342" i="1"/>
  <c r="F5342" i="1"/>
  <c r="E5342" i="1"/>
  <c r="D5342" i="1"/>
  <c r="C5342" i="1"/>
  <c r="B5342" i="1"/>
  <c r="A5342" i="1"/>
  <c r="R5341" i="1"/>
  <c r="J5341" i="1"/>
  <c r="I5341" i="1"/>
  <c r="G5341" i="1"/>
  <c r="F5341" i="1"/>
  <c r="E5341" i="1"/>
  <c r="D5341" i="1"/>
  <c r="C5341" i="1"/>
  <c r="B5341" i="1"/>
  <c r="A5341" i="1"/>
  <c r="S5340" i="1"/>
  <c r="O5340" i="1"/>
  <c r="K5340" i="1"/>
  <c r="J5340" i="1"/>
  <c r="I5340" i="1"/>
  <c r="H5340" i="1"/>
  <c r="G5340" i="1"/>
  <c r="F5340" i="1"/>
  <c r="E5340" i="1"/>
  <c r="D5340" i="1"/>
  <c r="C5340" i="1"/>
  <c r="B5340" i="1"/>
  <c r="A5340" i="1"/>
  <c r="R5339" i="1"/>
  <c r="J5339" i="1"/>
  <c r="I5339" i="1"/>
  <c r="G5339" i="1"/>
  <c r="F5339" i="1"/>
  <c r="E5339" i="1"/>
  <c r="D5339" i="1"/>
  <c r="C5339" i="1"/>
  <c r="B5339" i="1"/>
  <c r="A5339" i="1"/>
  <c r="S5338" i="1"/>
  <c r="O5338" i="1"/>
  <c r="K5338" i="1"/>
  <c r="J5338" i="1"/>
  <c r="I5338" i="1"/>
  <c r="H5338" i="1"/>
  <c r="G5338" i="1"/>
  <c r="F5338" i="1"/>
  <c r="E5338" i="1"/>
  <c r="D5338" i="1"/>
  <c r="C5338" i="1"/>
  <c r="B5338" i="1"/>
  <c r="A5338" i="1"/>
  <c r="R5337" i="1"/>
  <c r="J5337" i="1"/>
  <c r="I5337" i="1"/>
  <c r="G5337" i="1"/>
  <c r="F5337" i="1"/>
  <c r="E5337" i="1"/>
  <c r="D5337" i="1"/>
  <c r="C5337" i="1"/>
  <c r="B5337" i="1"/>
  <c r="A5337" i="1"/>
  <c r="R5336" i="1"/>
  <c r="J5336" i="1"/>
  <c r="I5336" i="1"/>
  <c r="G5336" i="1"/>
  <c r="F5336" i="1"/>
  <c r="E5336" i="1"/>
  <c r="D5336" i="1"/>
  <c r="C5336" i="1"/>
  <c r="B5336" i="1"/>
  <c r="A5336" i="1"/>
  <c r="S5335" i="1"/>
  <c r="O5335" i="1"/>
  <c r="K5335" i="1"/>
  <c r="J5335" i="1"/>
  <c r="I5335" i="1"/>
  <c r="H5335" i="1"/>
  <c r="G5335" i="1"/>
  <c r="F5335" i="1"/>
  <c r="E5335" i="1"/>
  <c r="D5335" i="1"/>
  <c r="C5335" i="1"/>
  <c r="B5335" i="1"/>
  <c r="A5335" i="1"/>
  <c r="R5334" i="1"/>
  <c r="J5334" i="1"/>
  <c r="I5334" i="1"/>
  <c r="G5334" i="1"/>
  <c r="F5334" i="1"/>
  <c r="E5334" i="1"/>
  <c r="D5334" i="1"/>
  <c r="C5334" i="1"/>
  <c r="B5334" i="1"/>
  <c r="A5334" i="1"/>
  <c r="R5333" i="1"/>
  <c r="J5333" i="1"/>
  <c r="I5333" i="1"/>
  <c r="G5333" i="1"/>
  <c r="F5333" i="1"/>
  <c r="E5333" i="1"/>
  <c r="D5333" i="1"/>
  <c r="C5333" i="1"/>
  <c r="B5333" i="1"/>
  <c r="A5333" i="1"/>
  <c r="S5332" i="1"/>
  <c r="O5332" i="1"/>
  <c r="K5332" i="1"/>
  <c r="J5332" i="1"/>
  <c r="I5332" i="1"/>
  <c r="H5332" i="1"/>
  <c r="G5332" i="1"/>
  <c r="F5332" i="1"/>
  <c r="E5332" i="1"/>
  <c r="D5332" i="1"/>
  <c r="C5332" i="1"/>
  <c r="B5332" i="1"/>
  <c r="A5332" i="1"/>
  <c r="R5331" i="1"/>
  <c r="J5331" i="1"/>
  <c r="I5331" i="1"/>
  <c r="G5331" i="1"/>
  <c r="F5331" i="1"/>
  <c r="E5331" i="1"/>
  <c r="D5331" i="1"/>
  <c r="C5331" i="1"/>
  <c r="B5331" i="1"/>
  <c r="A5331" i="1"/>
  <c r="S5330" i="1"/>
  <c r="O5330" i="1"/>
  <c r="K5330" i="1"/>
  <c r="J5330" i="1"/>
  <c r="I5330" i="1"/>
  <c r="H5330" i="1"/>
  <c r="G5330" i="1"/>
  <c r="F5330" i="1"/>
  <c r="E5330" i="1"/>
  <c r="D5330" i="1"/>
  <c r="C5330" i="1"/>
  <c r="B5330" i="1"/>
  <c r="A5330" i="1"/>
  <c r="R5329" i="1"/>
  <c r="J5329" i="1"/>
  <c r="I5329" i="1"/>
  <c r="G5329" i="1"/>
  <c r="F5329" i="1"/>
  <c r="E5329" i="1"/>
  <c r="D5329" i="1"/>
  <c r="C5329" i="1"/>
  <c r="B5329" i="1"/>
  <c r="A5329" i="1"/>
  <c r="S5328" i="1"/>
  <c r="O5328" i="1"/>
  <c r="K5328" i="1"/>
  <c r="J5328" i="1"/>
  <c r="I5328" i="1"/>
  <c r="H5328" i="1"/>
  <c r="G5328" i="1"/>
  <c r="F5328" i="1"/>
  <c r="E5328" i="1"/>
  <c r="D5328" i="1"/>
  <c r="C5328" i="1"/>
  <c r="B5328" i="1"/>
  <c r="A5328" i="1"/>
  <c r="R5327" i="1"/>
  <c r="J5327" i="1"/>
  <c r="I5327" i="1"/>
  <c r="G5327" i="1"/>
  <c r="F5327" i="1"/>
  <c r="E5327" i="1"/>
  <c r="D5327" i="1"/>
  <c r="C5327" i="1"/>
  <c r="B5327" i="1"/>
  <c r="A5327" i="1"/>
  <c r="S5326" i="1"/>
  <c r="O5326" i="1"/>
  <c r="K5326" i="1"/>
  <c r="J5326" i="1"/>
  <c r="I5326" i="1"/>
  <c r="H5326" i="1"/>
  <c r="G5326" i="1"/>
  <c r="F5326" i="1"/>
  <c r="E5326" i="1"/>
  <c r="D5326" i="1"/>
  <c r="C5326" i="1"/>
  <c r="B5326" i="1"/>
  <c r="A5326" i="1"/>
  <c r="R5325" i="1"/>
  <c r="J5325" i="1"/>
  <c r="I5325" i="1"/>
  <c r="G5325" i="1"/>
  <c r="F5325" i="1"/>
  <c r="E5325" i="1"/>
  <c r="D5325" i="1"/>
  <c r="C5325" i="1"/>
  <c r="B5325" i="1"/>
  <c r="A5325" i="1"/>
  <c r="S5324" i="1"/>
  <c r="O5324" i="1"/>
  <c r="K5324" i="1"/>
  <c r="J5324" i="1"/>
  <c r="I5324" i="1"/>
  <c r="H5324" i="1"/>
  <c r="G5324" i="1"/>
  <c r="F5324" i="1"/>
  <c r="E5324" i="1"/>
  <c r="D5324" i="1"/>
  <c r="C5324" i="1"/>
  <c r="B5324" i="1"/>
  <c r="A5324" i="1"/>
  <c r="R5323" i="1"/>
  <c r="J5323" i="1"/>
  <c r="I5323" i="1"/>
  <c r="G5323" i="1"/>
  <c r="F5323" i="1"/>
  <c r="E5323" i="1"/>
  <c r="D5323" i="1"/>
  <c r="C5323" i="1"/>
  <c r="B5323" i="1"/>
  <c r="A5323" i="1"/>
  <c r="S5322" i="1"/>
  <c r="O5322" i="1"/>
  <c r="K5322" i="1"/>
  <c r="J5322" i="1"/>
  <c r="I5322" i="1"/>
  <c r="H5322" i="1"/>
  <c r="G5322" i="1"/>
  <c r="F5322" i="1"/>
  <c r="E5322" i="1"/>
  <c r="D5322" i="1"/>
  <c r="C5322" i="1"/>
  <c r="B5322" i="1"/>
  <c r="A5322" i="1"/>
  <c r="R5321" i="1"/>
  <c r="J5321" i="1"/>
  <c r="I5321" i="1"/>
  <c r="G5321" i="1"/>
  <c r="F5321" i="1"/>
  <c r="E5321" i="1"/>
  <c r="D5321" i="1"/>
  <c r="C5321" i="1"/>
  <c r="B5321" i="1"/>
  <c r="A5321" i="1"/>
  <c r="S5320" i="1"/>
  <c r="O5320" i="1"/>
  <c r="K5320" i="1"/>
  <c r="J5320" i="1"/>
  <c r="I5320" i="1"/>
  <c r="H5320" i="1"/>
  <c r="G5320" i="1"/>
  <c r="F5320" i="1"/>
  <c r="E5320" i="1"/>
  <c r="D5320" i="1"/>
  <c r="C5320" i="1"/>
  <c r="B5320" i="1"/>
  <c r="A5320" i="1"/>
  <c r="R5319" i="1"/>
  <c r="J5319" i="1"/>
  <c r="I5319" i="1"/>
  <c r="G5319" i="1"/>
  <c r="F5319" i="1"/>
  <c r="E5319" i="1"/>
  <c r="D5319" i="1"/>
  <c r="C5319" i="1"/>
  <c r="B5319" i="1"/>
  <c r="A5319" i="1"/>
  <c r="S5318" i="1"/>
  <c r="O5318" i="1"/>
  <c r="K5318" i="1"/>
  <c r="J5318" i="1"/>
  <c r="I5318" i="1"/>
  <c r="H5318" i="1"/>
  <c r="G5318" i="1"/>
  <c r="F5318" i="1"/>
  <c r="E5318" i="1"/>
  <c r="D5318" i="1"/>
  <c r="C5318" i="1"/>
  <c r="B5318" i="1"/>
  <c r="A5318" i="1"/>
  <c r="R5317" i="1"/>
  <c r="J5317" i="1"/>
  <c r="I5317" i="1"/>
  <c r="G5317" i="1"/>
  <c r="F5317" i="1"/>
  <c r="E5317" i="1"/>
  <c r="D5317" i="1"/>
  <c r="C5317" i="1"/>
  <c r="B5317" i="1"/>
  <c r="A5317" i="1"/>
  <c r="R5316" i="1"/>
  <c r="J5316" i="1"/>
  <c r="I5316" i="1"/>
  <c r="G5316" i="1"/>
  <c r="F5316" i="1"/>
  <c r="E5316" i="1"/>
  <c r="D5316" i="1"/>
  <c r="C5316" i="1"/>
  <c r="B5316" i="1"/>
  <c r="A5316" i="1"/>
  <c r="R5315" i="1"/>
  <c r="J5315" i="1"/>
  <c r="I5315" i="1"/>
  <c r="G5315" i="1"/>
  <c r="F5315" i="1"/>
  <c r="E5315" i="1"/>
  <c r="D5315" i="1"/>
  <c r="C5315" i="1"/>
  <c r="B5315" i="1"/>
  <c r="A5315" i="1"/>
  <c r="R5314" i="1"/>
  <c r="J5314" i="1"/>
  <c r="I5314" i="1"/>
  <c r="G5314" i="1"/>
  <c r="F5314" i="1"/>
  <c r="E5314" i="1"/>
  <c r="D5314" i="1"/>
  <c r="C5314" i="1"/>
  <c r="B5314" i="1"/>
  <c r="A5314" i="1"/>
  <c r="R5313" i="1"/>
  <c r="J5313" i="1"/>
  <c r="I5313" i="1"/>
  <c r="G5313" i="1"/>
  <c r="F5313" i="1"/>
  <c r="E5313" i="1"/>
  <c r="D5313" i="1"/>
  <c r="C5313" i="1"/>
  <c r="B5313" i="1"/>
  <c r="A5313" i="1"/>
  <c r="R5312" i="1"/>
  <c r="J5312" i="1"/>
  <c r="I5312" i="1"/>
  <c r="G5312" i="1"/>
  <c r="F5312" i="1"/>
  <c r="E5312" i="1"/>
  <c r="D5312" i="1"/>
  <c r="C5312" i="1"/>
  <c r="B5312" i="1"/>
  <c r="A5312" i="1"/>
  <c r="S5311" i="1"/>
  <c r="O5311" i="1"/>
  <c r="K5311" i="1"/>
  <c r="J5311" i="1"/>
  <c r="I5311" i="1"/>
  <c r="H5311" i="1"/>
  <c r="G5311" i="1"/>
  <c r="F5311" i="1"/>
  <c r="E5311" i="1"/>
  <c r="D5311" i="1"/>
  <c r="C5311" i="1"/>
  <c r="B5311" i="1"/>
  <c r="A5311" i="1"/>
  <c r="R5310" i="1"/>
  <c r="J5310" i="1"/>
  <c r="I5310" i="1"/>
  <c r="G5310" i="1"/>
  <c r="F5310" i="1"/>
  <c r="E5310" i="1"/>
  <c r="D5310" i="1"/>
  <c r="C5310" i="1"/>
  <c r="B5310" i="1"/>
  <c r="A5310" i="1"/>
  <c r="S5309" i="1"/>
  <c r="O5309" i="1"/>
  <c r="K5309" i="1"/>
  <c r="J5309" i="1"/>
  <c r="I5309" i="1"/>
  <c r="H5309" i="1"/>
  <c r="G5309" i="1"/>
  <c r="F5309" i="1"/>
  <c r="E5309" i="1"/>
  <c r="D5309" i="1"/>
  <c r="C5309" i="1"/>
  <c r="B5309" i="1"/>
  <c r="A5309" i="1"/>
  <c r="R5308" i="1"/>
  <c r="J5308" i="1"/>
  <c r="I5308" i="1"/>
  <c r="G5308" i="1"/>
  <c r="F5308" i="1"/>
  <c r="E5308" i="1"/>
  <c r="D5308" i="1"/>
  <c r="C5308" i="1"/>
  <c r="B5308" i="1"/>
  <c r="A5308" i="1"/>
  <c r="S5307" i="1"/>
  <c r="O5307" i="1"/>
  <c r="K5307" i="1"/>
  <c r="J5307" i="1"/>
  <c r="I5307" i="1"/>
  <c r="H5307" i="1"/>
  <c r="G5307" i="1"/>
  <c r="F5307" i="1"/>
  <c r="E5307" i="1"/>
  <c r="D5307" i="1"/>
  <c r="C5307" i="1"/>
  <c r="B5307" i="1"/>
  <c r="A5307" i="1"/>
  <c r="R5306" i="1"/>
  <c r="J5306" i="1"/>
  <c r="I5306" i="1"/>
  <c r="G5306" i="1"/>
  <c r="F5306" i="1"/>
  <c r="E5306" i="1"/>
  <c r="D5306" i="1"/>
  <c r="C5306" i="1"/>
  <c r="B5306" i="1"/>
  <c r="A5306" i="1"/>
  <c r="S5305" i="1"/>
  <c r="O5305" i="1"/>
  <c r="K5305" i="1"/>
  <c r="J5305" i="1"/>
  <c r="I5305" i="1"/>
  <c r="H5305" i="1"/>
  <c r="G5305" i="1"/>
  <c r="F5305" i="1"/>
  <c r="E5305" i="1"/>
  <c r="D5305" i="1"/>
  <c r="C5305" i="1"/>
  <c r="B5305" i="1"/>
  <c r="A5305" i="1"/>
  <c r="R5304" i="1"/>
  <c r="J5304" i="1"/>
  <c r="I5304" i="1"/>
  <c r="G5304" i="1"/>
  <c r="F5304" i="1"/>
  <c r="E5304" i="1"/>
  <c r="D5304" i="1"/>
  <c r="C5304" i="1"/>
  <c r="B5304" i="1"/>
  <c r="A5304" i="1"/>
  <c r="S5303" i="1"/>
  <c r="O5303" i="1"/>
  <c r="K5303" i="1"/>
  <c r="J5303" i="1"/>
  <c r="I5303" i="1"/>
  <c r="H5303" i="1"/>
  <c r="G5303" i="1"/>
  <c r="F5303" i="1"/>
  <c r="E5303" i="1"/>
  <c r="D5303" i="1"/>
  <c r="C5303" i="1"/>
  <c r="B5303" i="1"/>
  <c r="A5303" i="1"/>
  <c r="R5302" i="1"/>
  <c r="J5302" i="1"/>
  <c r="I5302" i="1"/>
  <c r="G5302" i="1"/>
  <c r="F5302" i="1"/>
  <c r="E5302" i="1"/>
  <c r="D5302" i="1"/>
  <c r="C5302" i="1"/>
  <c r="B5302" i="1"/>
  <c r="A5302" i="1"/>
  <c r="S5301" i="1"/>
  <c r="O5301" i="1"/>
  <c r="K5301" i="1"/>
  <c r="J5301" i="1"/>
  <c r="I5301" i="1"/>
  <c r="H5301" i="1"/>
  <c r="G5301" i="1"/>
  <c r="F5301" i="1"/>
  <c r="E5301" i="1"/>
  <c r="D5301" i="1"/>
  <c r="C5301" i="1"/>
  <c r="B5301" i="1"/>
  <c r="A5301" i="1"/>
  <c r="R5300" i="1"/>
  <c r="J5300" i="1"/>
  <c r="I5300" i="1"/>
  <c r="G5300" i="1"/>
  <c r="F5300" i="1"/>
  <c r="E5300" i="1"/>
  <c r="D5300" i="1"/>
  <c r="C5300" i="1"/>
  <c r="B5300" i="1"/>
  <c r="A5300" i="1"/>
  <c r="S5299" i="1"/>
  <c r="O5299" i="1"/>
  <c r="K5299" i="1"/>
  <c r="J5299" i="1"/>
  <c r="I5299" i="1"/>
  <c r="H5299" i="1"/>
  <c r="G5299" i="1"/>
  <c r="F5299" i="1"/>
  <c r="E5299" i="1"/>
  <c r="D5299" i="1"/>
  <c r="C5299" i="1"/>
  <c r="B5299" i="1"/>
  <c r="A5299" i="1"/>
  <c r="R5298" i="1"/>
  <c r="J5298" i="1"/>
  <c r="I5298" i="1"/>
  <c r="G5298" i="1"/>
  <c r="F5298" i="1"/>
  <c r="E5298" i="1"/>
  <c r="D5298" i="1"/>
  <c r="C5298" i="1"/>
  <c r="B5298" i="1"/>
  <c r="A5298" i="1"/>
  <c r="S5297" i="1"/>
  <c r="O5297" i="1"/>
  <c r="K5297" i="1"/>
  <c r="J5297" i="1"/>
  <c r="I5297" i="1"/>
  <c r="H5297" i="1"/>
  <c r="G5297" i="1"/>
  <c r="F5297" i="1"/>
  <c r="E5297" i="1"/>
  <c r="D5297" i="1"/>
  <c r="C5297" i="1"/>
  <c r="B5297" i="1"/>
  <c r="A5297" i="1"/>
  <c r="R5296" i="1"/>
  <c r="J5296" i="1"/>
  <c r="I5296" i="1"/>
  <c r="G5296" i="1"/>
  <c r="F5296" i="1"/>
  <c r="E5296" i="1"/>
  <c r="D5296" i="1"/>
  <c r="C5296" i="1"/>
  <c r="B5296" i="1"/>
  <c r="A5296" i="1"/>
  <c r="S5295" i="1"/>
  <c r="O5295" i="1"/>
  <c r="K5295" i="1"/>
  <c r="J5295" i="1"/>
  <c r="I5295" i="1"/>
  <c r="H5295" i="1"/>
  <c r="G5295" i="1"/>
  <c r="F5295" i="1"/>
  <c r="E5295" i="1"/>
  <c r="D5295" i="1"/>
  <c r="C5295" i="1"/>
  <c r="B5295" i="1"/>
  <c r="A5295" i="1"/>
  <c r="R5294" i="1"/>
  <c r="J5294" i="1"/>
  <c r="I5294" i="1"/>
  <c r="G5294" i="1"/>
  <c r="F5294" i="1"/>
  <c r="E5294" i="1"/>
  <c r="D5294" i="1"/>
  <c r="C5294" i="1"/>
  <c r="B5294" i="1"/>
  <c r="A5294" i="1"/>
  <c r="S5293" i="1"/>
  <c r="O5293" i="1"/>
  <c r="K5293" i="1"/>
  <c r="J5293" i="1"/>
  <c r="I5293" i="1"/>
  <c r="H5293" i="1"/>
  <c r="G5293" i="1"/>
  <c r="F5293" i="1"/>
  <c r="E5293" i="1"/>
  <c r="D5293" i="1"/>
  <c r="C5293" i="1"/>
  <c r="B5293" i="1"/>
  <c r="A5293" i="1"/>
  <c r="R5292" i="1"/>
  <c r="J5292" i="1"/>
  <c r="I5292" i="1"/>
  <c r="G5292" i="1"/>
  <c r="F5292" i="1"/>
  <c r="E5292" i="1"/>
  <c r="D5292" i="1"/>
  <c r="C5292" i="1"/>
  <c r="B5292" i="1"/>
  <c r="A5292" i="1"/>
  <c r="S5291" i="1"/>
  <c r="O5291" i="1"/>
  <c r="K5291" i="1"/>
  <c r="J5291" i="1"/>
  <c r="I5291" i="1"/>
  <c r="H5291" i="1"/>
  <c r="G5291" i="1"/>
  <c r="F5291" i="1"/>
  <c r="E5291" i="1"/>
  <c r="D5291" i="1"/>
  <c r="C5291" i="1"/>
  <c r="B5291" i="1"/>
  <c r="A5291" i="1"/>
  <c r="R5290" i="1"/>
  <c r="J5290" i="1"/>
  <c r="I5290" i="1"/>
  <c r="G5290" i="1"/>
  <c r="F5290" i="1"/>
  <c r="E5290" i="1"/>
  <c r="D5290" i="1"/>
  <c r="C5290" i="1"/>
  <c r="B5290" i="1"/>
  <c r="A5290" i="1"/>
  <c r="S5289" i="1"/>
  <c r="O5289" i="1"/>
  <c r="K5289" i="1"/>
  <c r="J5289" i="1"/>
  <c r="I5289" i="1"/>
  <c r="H5289" i="1"/>
  <c r="G5289" i="1"/>
  <c r="F5289" i="1"/>
  <c r="E5289" i="1"/>
  <c r="D5289" i="1"/>
  <c r="C5289" i="1"/>
  <c r="B5289" i="1"/>
  <c r="A5289" i="1"/>
  <c r="R5288" i="1"/>
  <c r="J5288" i="1"/>
  <c r="I5288" i="1"/>
  <c r="G5288" i="1"/>
  <c r="F5288" i="1"/>
  <c r="E5288" i="1"/>
  <c r="D5288" i="1"/>
  <c r="C5288" i="1"/>
  <c r="B5288" i="1"/>
  <c r="A5288" i="1"/>
  <c r="S5287" i="1"/>
  <c r="O5287" i="1"/>
  <c r="K5287" i="1"/>
  <c r="J5287" i="1"/>
  <c r="I5287" i="1"/>
  <c r="H5287" i="1"/>
  <c r="G5287" i="1"/>
  <c r="F5287" i="1"/>
  <c r="E5287" i="1"/>
  <c r="D5287" i="1"/>
  <c r="C5287" i="1"/>
  <c r="B5287" i="1"/>
  <c r="A5287" i="1"/>
  <c r="R5286" i="1"/>
  <c r="J5286" i="1"/>
  <c r="I5286" i="1"/>
  <c r="G5286" i="1"/>
  <c r="F5286" i="1"/>
  <c r="E5286" i="1"/>
  <c r="D5286" i="1"/>
  <c r="C5286" i="1"/>
  <c r="B5286" i="1"/>
  <c r="A5286" i="1"/>
  <c r="S5285" i="1"/>
  <c r="O5285" i="1"/>
  <c r="K5285" i="1"/>
  <c r="J5285" i="1"/>
  <c r="I5285" i="1"/>
  <c r="H5285" i="1"/>
  <c r="G5285" i="1"/>
  <c r="F5285" i="1"/>
  <c r="E5285" i="1"/>
  <c r="D5285" i="1"/>
  <c r="C5285" i="1"/>
  <c r="B5285" i="1"/>
  <c r="A5285" i="1"/>
  <c r="R5284" i="1"/>
  <c r="J5284" i="1"/>
  <c r="I5284" i="1"/>
  <c r="G5284" i="1"/>
  <c r="F5284" i="1"/>
  <c r="E5284" i="1"/>
  <c r="D5284" i="1"/>
  <c r="C5284" i="1"/>
  <c r="B5284" i="1"/>
  <c r="A5284" i="1"/>
  <c r="S5283" i="1"/>
  <c r="O5283" i="1"/>
  <c r="K5283" i="1"/>
  <c r="J5283" i="1"/>
  <c r="I5283" i="1"/>
  <c r="H5283" i="1"/>
  <c r="G5283" i="1"/>
  <c r="F5283" i="1"/>
  <c r="E5283" i="1"/>
  <c r="D5283" i="1"/>
  <c r="C5283" i="1"/>
  <c r="B5283" i="1"/>
  <c r="A5283" i="1"/>
  <c r="R5282" i="1"/>
  <c r="J5282" i="1"/>
  <c r="I5282" i="1"/>
  <c r="G5282" i="1"/>
  <c r="F5282" i="1"/>
  <c r="E5282" i="1"/>
  <c r="D5282" i="1"/>
  <c r="C5282" i="1"/>
  <c r="B5282" i="1"/>
  <c r="A5282" i="1"/>
  <c r="S5281" i="1"/>
  <c r="O5281" i="1"/>
  <c r="K5281" i="1"/>
  <c r="J5281" i="1"/>
  <c r="I5281" i="1"/>
  <c r="H5281" i="1"/>
  <c r="G5281" i="1"/>
  <c r="F5281" i="1"/>
  <c r="E5281" i="1"/>
  <c r="D5281" i="1"/>
  <c r="C5281" i="1"/>
  <c r="B5281" i="1"/>
  <c r="A5281" i="1"/>
  <c r="R5280" i="1"/>
  <c r="J5280" i="1"/>
  <c r="I5280" i="1"/>
  <c r="G5280" i="1"/>
  <c r="F5280" i="1"/>
  <c r="E5280" i="1"/>
  <c r="D5280" i="1"/>
  <c r="C5280" i="1"/>
  <c r="B5280" i="1"/>
  <c r="A5280" i="1"/>
  <c r="S5279" i="1"/>
  <c r="O5279" i="1"/>
  <c r="K5279" i="1"/>
  <c r="J5279" i="1"/>
  <c r="I5279" i="1"/>
  <c r="H5279" i="1"/>
  <c r="G5279" i="1"/>
  <c r="F5279" i="1"/>
  <c r="E5279" i="1"/>
  <c r="D5279" i="1"/>
  <c r="C5279" i="1"/>
  <c r="B5279" i="1"/>
  <c r="A5279" i="1"/>
  <c r="R5278" i="1"/>
  <c r="J5278" i="1"/>
  <c r="I5278" i="1"/>
  <c r="G5278" i="1"/>
  <c r="F5278" i="1"/>
  <c r="E5278" i="1"/>
  <c r="D5278" i="1"/>
  <c r="C5278" i="1"/>
  <c r="B5278" i="1"/>
  <c r="A5278" i="1"/>
  <c r="S5277" i="1"/>
  <c r="O5277" i="1"/>
  <c r="K5277" i="1"/>
  <c r="J5277" i="1"/>
  <c r="I5277" i="1"/>
  <c r="H5277" i="1"/>
  <c r="G5277" i="1"/>
  <c r="F5277" i="1"/>
  <c r="E5277" i="1"/>
  <c r="D5277" i="1"/>
  <c r="C5277" i="1"/>
  <c r="B5277" i="1"/>
  <c r="A5277" i="1"/>
  <c r="R5276" i="1"/>
  <c r="J5276" i="1"/>
  <c r="I5276" i="1"/>
  <c r="G5276" i="1"/>
  <c r="F5276" i="1"/>
  <c r="E5276" i="1"/>
  <c r="D5276" i="1"/>
  <c r="C5276" i="1"/>
  <c r="B5276" i="1"/>
  <c r="A5276" i="1"/>
  <c r="R5275" i="1"/>
  <c r="J5275" i="1"/>
  <c r="I5275" i="1"/>
  <c r="G5275" i="1"/>
  <c r="F5275" i="1"/>
  <c r="E5275" i="1"/>
  <c r="D5275" i="1"/>
  <c r="C5275" i="1"/>
  <c r="B5275" i="1"/>
  <c r="A5275" i="1"/>
  <c r="R5274" i="1"/>
  <c r="J5274" i="1"/>
  <c r="I5274" i="1"/>
  <c r="G5274" i="1"/>
  <c r="F5274" i="1"/>
  <c r="E5274" i="1"/>
  <c r="D5274" i="1"/>
  <c r="C5274" i="1"/>
  <c r="B5274" i="1"/>
  <c r="A5274" i="1"/>
  <c r="R5273" i="1"/>
  <c r="J5273" i="1"/>
  <c r="I5273" i="1"/>
  <c r="G5273" i="1"/>
  <c r="F5273" i="1"/>
  <c r="E5273" i="1"/>
  <c r="D5273" i="1"/>
  <c r="C5273" i="1"/>
  <c r="B5273" i="1"/>
  <c r="A5273" i="1"/>
  <c r="S5272" i="1"/>
  <c r="O5272" i="1"/>
  <c r="K5272" i="1"/>
  <c r="J5272" i="1"/>
  <c r="I5272" i="1"/>
  <c r="H5272" i="1"/>
  <c r="G5272" i="1"/>
  <c r="F5272" i="1"/>
  <c r="E5272" i="1"/>
  <c r="D5272" i="1"/>
  <c r="C5272" i="1"/>
  <c r="B5272" i="1"/>
  <c r="A5272" i="1"/>
  <c r="R5271" i="1"/>
  <c r="J5271" i="1"/>
  <c r="I5271" i="1"/>
  <c r="G5271" i="1"/>
  <c r="F5271" i="1"/>
  <c r="E5271" i="1"/>
  <c r="D5271" i="1"/>
  <c r="C5271" i="1"/>
  <c r="B5271" i="1"/>
  <c r="A5271" i="1"/>
  <c r="S5270" i="1"/>
  <c r="O5270" i="1"/>
  <c r="K5270" i="1"/>
  <c r="J5270" i="1"/>
  <c r="I5270" i="1"/>
  <c r="H5270" i="1"/>
  <c r="G5270" i="1"/>
  <c r="F5270" i="1"/>
  <c r="E5270" i="1"/>
  <c r="D5270" i="1"/>
  <c r="C5270" i="1"/>
  <c r="B5270" i="1"/>
  <c r="A5270" i="1"/>
  <c r="R5269" i="1"/>
  <c r="J5269" i="1"/>
  <c r="I5269" i="1"/>
  <c r="G5269" i="1"/>
  <c r="F5269" i="1"/>
  <c r="E5269" i="1"/>
  <c r="D5269" i="1"/>
  <c r="C5269" i="1"/>
  <c r="B5269" i="1"/>
  <c r="A5269" i="1"/>
  <c r="S5268" i="1"/>
  <c r="O5268" i="1"/>
  <c r="K5268" i="1"/>
  <c r="J5268" i="1"/>
  <c r="I5268" i="1"/>
  <c r="H5268" i="1"/>
  <c r="G5268" i="1"/>
  <c r="F5268" i="1"/>
  <c r="E5268" i="1"/>
  <c r="D5268" i="1"/>
  <c r="C5268" i="1"/>
  <c r="B5268" i="1"/>
  <c r="A5268" i="1"/>
  <c r="R5267" i="1"/>
  <c r="J5267" i="1"/>
  <c r="I5267" i="1"/>
  <c r="G5267" i="1"/>
  <c r="F5267" i="1"/>
  <c r="E5267" i="1"/>
  <c r="D5267" i="1"/>
  <c r="C5267" i="1"/>
  <c r="B5267" i="1"/>
  <c r="A5267" i="1"/>
  <c r="S5266" i="1"/>
  <c r="O5266" i="1"/>
  <c r="K5266" i="1"/>
  <c r="J5266" i="1"/>
  <c r="I5266" i="1"/>
  <c r="H5266" i="1"/>
  <c r="G5266" i="1"/>
  <c r="F5266" i="1"/>
  <c r="E5266" i="1"/>
  <c r="D5266" i="1"/>
  <c r="C5266" i="1"/>
  <c r="B5266" i="1"/>
  <c r="A5266" i="1"/>
  <c r="R5265" i="1"/>
  <c r="J5265" i="1"/>
  <c r="I5265" i="1"/>
  <c r="G5265" i="1"/>
  <c r="F5265" i="1"/>
  <c r="E5265" i="1"/>
  <c r="D5265" i="1"/>
  <c r="C5265" i="1"/>
  <c r="B5265" i="1"/>
  <c r="A5265" i="1"/>
  <c r="S5264" i="1"/>
  <c r="O5264" i="1"/>
  <c r="K5264" i="1"/>
  <c r="J5264" i="1"/>
  <c r="I5264" i="1"/>
  <c r="H5264" i="1"/>
  <c r="G5264" i="1"/>
  <c r="F5264" i="1"/>
  <c r="E5264" i="1"/>
  <c r="D5264" i="1"/>
  <c r="C5264" i="1"/>
  <c r="B5264" i="1"/>
  <c r="A5264" i="1"/>
  <c r="R5263" i="1"/>
  <c r="J5263" i="1"/>
  <c r="I5263" i="1"/>
  <c r="G5263" i="1"/>
  <c r="F5263" i="1"/>
  <c r="E5263" i="1"/>
  <c r="D5263" i="1"/>
  <c r="C5263" i="1"/>
  <c r="B5263" i="1"/>
  <c r="A5263" i="1"/>
  <c r="S5262" i="1"/>
  <c r="O5262" i="1"/>
  <c r="K5262" i="1"/>
  <c r="J5262" i="1"/>
  <c r="I5262" i="1"/>
  <c r="H5262" i="1"/>
  <c r="G5262" i="1"/>
  <c r="F5262" i="1"/>
  <c r="E5262" i="1"/>
  <c r="D5262" i="1"/>
  <c r="C5262" i="1"/>
  <c r="B5262" i="1"/>
  <c r="A5262" i="1"/>
  <c r="R5261" i="1"/>
  <c r="J5261" i="1"/>
  <c r="I5261" i="1"/>
  <c r="G5261" i="1"/>
  <c r="F5261" i="1"/>
  <c r="E5261" i="1"/>
  <c r="D5261" i="1"/>
  <c r="C5261" i="1"/>
  <c r="B5261" i="1"/>
  <c r="A5261" i="1"/>
  <c r="S5260" i="1"/>
  <c r="O5260" i="1"/>
  <c r="K5260" i="1"/>
  <c r="J5260" i="1"/>
  <c r="I5260" i="1"/>
  <c r="H5260" i="1"/>
  <c r="G5260" i="1"/>
  <c r="F5260" i="1"/>
  <c r="E5260" i="1"/>
  <c r="D5260" i="1"/>
  <c r="C5260" i="1"/>
  <c r="B5260" i="1"/>
  <c r="A5260" i="1"/>
  <c r="R5259" i="1"/>
  <c r="J5259" i="1"/>
  <c r="I5259" i="1"/>
  <c r="G5259" i="1"/>
  <c r="F5259" i="1"/>
  <c r="E5259" i="1"/>
  <c r="D5259" i="1"/>
  <c r="C5259" i="1"/>
  <c r="B5259" i="1"/>
  <c r="A5259" i="1"/>
  <c r="S5258" i="1"/>
  <c r="O5258" i="1"/>
  <c r="K5258" i="1"/>
  <c r="J5258" i="1"/>
  <c r="I5258" i="1"/>
  <c r="H5258" i="1"/>
  <c r="G5258" i="1"/>
  <c r="F5258" i="1"/>
  <c r="E5258" i="1"/>
  <c r="D5258" i="1"/>
  <c r="C5258" i="1"/>
  <c r="B5258" i="1"/>
  <c r="A5258" i="1"/>
  <c r="R5257" i="1"/>
  <c r="J5257" i="1"/>
  <c r="I5257" i="1"/>
  <c r="G5257" i="1"/>
  <c r="F5257" i="1"/>
  <c r="E5257" i="1"/>
  <c r="D5257" i="1"/>
  <c r="C5257" i="1"/>
  <c r="B5257" i="1"/>
  <c r="A5257" i="1"/>
  <c r="S5256" i="1"/>
  <c r="O5256" i="1"/>
  <c r="K5256" i="1"/>
  <c r="J5256" i="1"/>
  <c r="I5256" i="1"/>
  <c r="H5256" i="1"/>
  <c r="G5256" i="1"/>
  <c r="F5256" i="1"/>
  <c r="E5256" i="1"/>
  <c r="D5256" i="1"/>
  <c r="C5256" i="1"/>
  <c r="B5256" i="1"/>
  <c r="A5256" i="1"/>
  <c r="R5255" i="1"/>
  <c r="J5255" i="1"/>
  <c r="I5255" i="1"/>
  <c r="G5255" i="1"/>
  <c r="F5255" i="1"/>
  <c r="E5255" i="1"/>
  <c r="D5255" i="1"/>
  <c r="C5255" i="1"/>
  <c r="B5255" i="1"/>
  <c r="A5255" i="1"/>
  <c r="S5254" i="1"/>
  <c r="O5254" i="1"/>
  <c r="K5254" i="1"/>
  <c r="J5254" i="1"/>
  <c r="I5254" i="1"/>
  <c r="H5254" i="1"/>
  <c r="G5254" i="1"/>
  <c r="F5254" i="1"/>
  <c r="E5254" i="1"/>
  <c r="D5254" i="1"/>
  <c r="C5254" i="1"/>
  <c r="B5254" i="1"/>
  <c r="A5254" i="1"/>
  <c r="R5253" i="1"/>
  <c r="J5253" i="1"/>
  <c r="I5253" i="1"/>
  <c r="G5253" i="1"/>
  <c r="F5253" i="1"/>
  <c r="E5253" i="1"/>
  <c r="D5253" i="1"/>
  <c r="C5253" i="1"/>
  <c r="B5253" i="1"/>
  <c r="A5253" i="1"/>
  <c r="S5252" i="1"/>
  <c r="O5252" i="1"/>
  <c r="K5252" i="1"/>
  <c r="J5252" i="1"/>
  <c r="I5252" i="1"/>
  <c r="H5252" i="1"/>
  <c r="G5252" i="1"/>
  <c r="F5252" i="1"/>
  <c r="E5252" i="1"/>
  <c r="D5252" i="1"/>
  <c r="C5252" i="1"/>
  <c r="B5252" i="1"/>
  <c r="A5252" i="1"/>
  <c r="R5251" i="1"/>
  <c r="J5251" i="1"/>
  <c r="I5251" i="1"/>
  <c r="G5251" i="1"/>
  <c r="F5251" i="1"/>
  <c r="E5251" i="1"/>
  <c r="D5251" i="1"/>
  <c r="C5251" i="1"/>
  <c r="B5251" i="1"/>
  <c r="A5251" i="1"/>
  <c r="S5250" i="1"/>
  <c r="O5250" i="1"/>
  <c r="K5250" i="1"/>
  <c r="J5250" i="1"/>
  <c r="I5250" i="1"/>
  <c r="H5250" i="1"/>
  <c r="G5250" i="1"/>
  <c r="F5250" i="1"/>
  <c r="E5250" i="1"/>
  <c r="D5250" i="1"/>
  <c r="C5250" i="1"/>
  <c r="B5250" i="1"/>
  <c r="A5250" i="1"/>
  <c r="R5249" i="1"/>
  <c r="J5249" i="1"/>
  <c r="I5249" i="1"/>
  <c r="G5249" i="1"/>
  <c r="F5249" i="1"/>
  <c r="E5249" i="1"/>
  <c r="D5249" i="1"/>
  <c r="C5249" i="1"/>
  <c r="B5249" i="1"/>
  <c r="A5249" i="1"/>
  <c r="R5248" i="1"/>
  <c r="J5248" i="1"/>
  <c r="I5248" i="1"/>
  <c r="G5248" i="1"/>
  <c r="F5248" i="1"/>
  <c r="E5248" i="1"/>
  <c r="D5248" i="1"/>
  <c r="C5248" i="1"/>
  <c r="B5248" i="1"/>
  <c r="A5248" i="1"/>
  <c r="S5247" i="1"/>
  <c r="O5247" i="1"/>
  <c r="K5247" i="1"/>
  <c r="J5247" i="1"/>
  <c r="I5247" i="1"/>
  <c r="H5247" i="1"/>
  <c r="G5247" i="1"/>
  <c r="F5247" i="1"/>
  <c r="E5247" i="1"/>
  <c r="D5247" i="1"/>
  <c r="C5247" i="1"/>
  <c r="B5247" i="1"/>
  <c r="A5247" i="1"/>
  <c r="S5246" i="1"/>
  <c r="O5246" i="1"/>
  <c r="K5246" i="1"/>
  <c r="J5246" i="1"/>
  <c r="I5246" i="1"/>
  <c r="H5246" i="1"/>
  <c r="G5246" i="1"/>
  <c r="F5246" i="1"/>
  <c r="E5246" i="1"/>
  <c r="D5246" i="1"/>
  <c r="C5246" i="1"/>
  <c r="B5246" i="1"/>
  <c r="A5246" i="1"/>
  <c r="R5245" i="1"/>
  <c r="J5245" i="1"/>
  <c r="I5245" i="1"/>
  <c r="G5245" i="1"/>
  <c r="F5245" i="1"/>
  <c r="E5245" i="1"/>
  <c r="D5245" i="1"/>
  <c r="C5245" i="1"/>
  <c r="B5245" i="1"/>
  <c r="A5245" i="1"/>
  <c r="S5244" i="1"/>
  <c r="O5244" i="1"/>
  <c r="K5244" i="1"/>
  <c r="J5244" i="1"/>
  <c r="I5244" i="1"/>
  <c r="H5244" i="1"/>
  <c r="G5244" i="1"/>
  <c r="F5244" i="1"/>
  <c r="E5244" i="1"/>
  <c r="D5244" i="1"/>
  <c r="C5244" i="1"/>
  <c r="B5244" i="1"/>
  <c r="A5244" i="1"/>
  <c r="R5243" i="1"/>
  <c r="J5243" i="1"/>
  <c r="I5243" i="1"/>
  <c r="G5243" i="1"/>
  <c r="F5243" i="1"/>
  <c r="E5243" i="1"/>
  <c r="D5243" i="1"/>
  <c r="C5243" i="1"/>
  <c r="B5243" i="1"/>
  <c r="A5243" i="1"/>
  <c r="S5242" i="1"/>
  <c r="O5242" i="1"/>
  <c r="K5242" i="1"/>
  <c r="J5242" i="1"/>
  <c r="I5242" i="1"/>
  <c r="H5242" i="1"/>
  <c r="G5242" i="1"/>
  <c r="F5242" i="1"/>
  <c r="E5242" i="1"/>
  <c r="D5242" i="1"/>
  <c r="C5242" i="1"/>
  <c r="B5242" i="1"/>
  <c r="A5242" i="1"/>
  <c r="R5241" i="1"/>
  <c r="J5241" i="1"/>
  <c r="I5241" i="1"/>
  <c r="G5241" i="1"/>
  <c r="F5241" i="1"/>
  <c r="E5241" i="1"/>
  <c r="D5241" i="1"/>
  <c r="C5241" i="1"/>
  <c r="B5241" i="1"/>
  <c r="A5241" i="1"/>
  <c r="S5240" i="1"/>
  <c r="O5240" i="1"/>
  <c r="K5240" i="1"/>
  <c r="J5240" i="1"/>
  <c r="I5240" i="1"/>
  <c r="H5240" i="1"/>
  <c r="G5240" i="1"/>
  <c r="F5240" i="1"/>
  <c r="E5240" i="1"/>
  <c r="D5240" i="1"/>
  <c r="C5240" i="1"/>
  <c r="B5240" i="1"/>
  <c r="A5240" i="1"/>
  <c r="R5239" i="1"/>
  <c r="J5239" i="1"/>
  <c r="I5239" i="1"/>
  <c r="G5239" i="1"/>
  <c r="F5239" i="1"/>
  <c r="E5239" i="1"/>
  <c r="D5239" i="1"/>
  <c r="C5239" i="1"/>
  <c r="B5239" i="1"/>
  <c r="A5239" i="1"/>
  <c r="S5238" i="1"/>
  <c r="O5238" i="1"/>
  <c r="K5238" i="1"/>
  <c r="J5238" i="1"/>
  <c r="I5238" i="1"/>
  <c r="H5238" i="1"/>
  <c r="G5238" i="1"/>
  <c r="F5238" i="1"/>
  <c r="E5238" i="1"/>
  <c r="D5238" i="1"/>
  <c r="C5238" i="1"/>
  <c r="B5238" i="1"/>
  <c r="A5238" i="1"/>
  <c r="R5237" i="1"/>
  <c r="J5237" i="1"/>
  <c r="I5237" i="1"/>
  <c r="G5237" i="1"/>
  <c r="F5237" i="1"/>
  <c r="E5237" i="1"/>
  <c r="D5237" i="1"/>
  <c r="C5237" i="1"/>
  <c r="B5237" i="1"/>
  <c r="A5237" i="1"/>
  <c r="S5236" i="1"/>
  <c r="O5236" i="1"/>
  <c r="K5236" i="1"/>
  <c r="J5236" i="1"/>
  <c r="I5236" i="1"/>
  <c r="H5236" i="1"/>
  <c r="G5236" i="1"/>
  <c r="F5236" i="1"/>
  <c r="E5236" i="1"/>
  <c r="D5236" i="1"/>
  <c r="C5236" i="1"/>
  <c r="B5236" i="1"/>
  <c r="A5236" i="1"/>
  <c r="R5235" i="1"/>
  <c r="J5235" i="1"/>
  <c r="I5235" i="1"/>
  <c r="G5235" i="1"/>
  <c r="F5235" i="1"/>
  <c r="E5235" i="1"/>
  <c r="D5235" i="1"/>
  <c r="C5235" i="1"/>
  <c r="B5235" i="1"/>
  <c r="A5235" i="1"/>
  <c r="S5234" i="1"/>
  <c r="O5234" i="1"/>
  <c r="K5234" i="1"/>
  <c r="J5234" i="1"/>
  <c r="I5234" i="1"/>
  <c r="H5234" i="1"/>
  <c r="G5234" i="1"/>
  <c r="F5234" i="1"/>
  <c r="E5234" i="1"/>
  <c r="D5234" i="1"/>
  <c r="C5234" i="1"/>
  <c r="B5234" i="1"/>
  <c r="A5234" i="1"/>
  <c r="R5233" i="1"/>
  <c r="J5233" i="1"/>
  <c r="I5233" i="1"/>
  <c r="G5233" i="1"/>
  <c r="F5233" i="1"/>
  <c r="E5233" i="1"/>
  <c r="D5233" i="1"/>
  <c r="C5233" i="1"/>
  <c r="B5233" i="1"/>
  <c r="A5233" i="1"/>
  <c r="S5232" i="1"/>
  <c r="O5232" i="1"/>
  <c r="K5232" i="1"/>
  <c r="J5232" i="1"/>
  <c r="I5232" i="1"/>
  <c r="H5232" i="1"/>
  <c r="G5232" i="1"/>
  <c r="F5232" i="1"/>
  <c r="E5232" i="1"/>
  <c r="D5232" i="1"/>
  <c r="C5232" i="1"/>
  <c r="B5232" i="1"/>
  <c r="A5232" i="1"/>
  <c r="R5231" i="1"/>
  <c r="J5231" i="1"/>
  <c r="I5231" i="1"/>
  <c r="G5231" i="1"/>
  <c r="F5231" i="1"/>
  <c r="E5231" i="1"/>
  <c r="D5231" i="1"/>
  <c r="C5231" i="1"/>
  <c r="B5231" i="1"/>
  <c r="A5231" i="1"/>
  <c r="S5230" i="1"/>
  <c r="O5230" i="1"/>
  <c r="K5230" i="1"/>
  <c r="J5230" i="1"/>
  <c r="I5230" i="1"/>
  <c r="H5230" i="1"/>
  <c r="G5230" i="1"/>
  <c r="F5230" i="1"/>
  <c r="E5230" i="1"/>
  <c r="D5230" i="1"/>
  <c r="C5230" i="1"/>
  <c r="B5230" i="1"/>
  <c r="A5230" i="1"/>
  <c r="R5229" i="1"/>
  <c r="J5229" i="1"/>
  <c r="I5229" i="1"/>
  <c r="G5229" i="1"/>
  <c r="F5229" i="1"/>
  <c r="E5229" i="1"/>
  <c r="D5229" i="1"/>
  <c r="C5229" i="1"/>
  <c r="B5229" i="1"/>
  <c r="A5229" i="1"/>
  <c r="S5228" i="1"/>
  <c r="O5228" i="1"/>
  <c r="K5228" i="1"/>
  <c r="J5228" i="1"/>
  <c r="I5228" i="1"/>
  <c r="H5228" i="1"/>
  <c r="G5228" i="1"/>
  <c r="F5228" i="1"/>
  <c r="E5228" i="1"/>
  <c r="D5228" i="1"/>
  <c r="C5228" i="1"/>
  <c r="B5228" i="1"/>
  <c r="A5228" i="1"/>
  <c r="R5227" i="1"/>
  <c r="J5227" i="1"/>
  <c r="I5227" i="1"/>
  <c r="G5227" i="1"/>
  <c r="F5227" i="1"/>
  <c r="E5227" i="1"/>
  <c r="D5227" i="1"/>
  <c r="C5227" i="1"/>
  <c r="B5227" i="1"/>
  <c r="A5227" i="1"/>
  <c r="S5226" i="1"/>
  <c r="O5226" i="1"/>
  <c r="K5226" i="1"/>
  <c r="J5226" i="1"/>
  <c r="I5226" i="1"/>
  <c r="H5226" i="1"/>
  <c r="G5226" i="1"/>
  <c r="F5226" i="1"/>
  <c r="E5226" i="1"/>
  <c r="D5226" i="1"/>
  <c r="C5226" i="1"/>
  <c r="B5226" i="1"/>
  <c r="A5226" i="1"/>
  <c r="R5225" i="1"/>
  <c r="J5225" i="1"/>
  <c r="I5225" i="1"/>
  <c r="G5225" i="1"/>
  <c r="F5225" i="1"/>
  <c r="E5225" i="1"/>
  <c r="D5225" i="1"/>
  <c r="C5225" i="1"/>
  <c r="B5225" i="1"/>
  <c r="A5225" i="1"/>
  <c r="S5224" i="1"/>
  <c r="O5224" i="1"/>
  <c r="K5224" i="1"/>
  <c r="J5224" i="1"/>
  <c r="I5224" i="1"/>
  <c r="H5224" i="1"/>
  <c r="G5224" i="1"/>
  <c r="F5224" i="1"/>
  <c r="E5224" i="1"/>
  <c r="D5224" i="1"/>
  <c r="C5224" i="1"/>
  <c r="B5224" i="1"/>
  <c r="A5224" i="1"/>
  <c r="R5223" i="1"/>
  <c r="J5223" i="1"/>
  <c r="I5223" i="1"/>
  <c r="G5223" i="1"/>
  <c r="F5223" i="1"/>
  <c r="E5223" i="1"/>
  <c r="D5223" i="1"/>
  <c r="C5223" i="1"/>
  <c r="B5223" i="1"/>
  <c r="A5223" i="1"/>
  <c r="S5222" i="1"/>
  <c r="O5222" i="1"/>
  <c r="K5222" i="1"/>
  <c r="J5222" i="1"/>
  <c r="I5222" i="1"/>
  <c r="H5222" i="1"/>
  <c r="G5222" i="1"/>
  <c r="F5222" i="1"/>
  <c r="E5222" i="1"/>
  <c r="D5222" i="1"/>
  <c r="C5222" i="1"/>
  <c r="B5222" i="1"/>
  <c r="A5222" i="1"/>
  <c r="R5221" i="1"/>
  <c r="J5221" i="1"/>
  <c r="I5221" i="1"/>
  <c r="G5221" i="1"/>
  <c r="F5221" i="1"/>
  <c r="E5221" i="1"/>
  <c r="D5221" i="1"/>
  <c r="C5221" i="1"/>
  <c r="B5221" i="1"/>
  <c r="A5221" i="1"/>
  <c r="S5220" i="1"/>
  <c r="O5220" i="1"/>
  <c r="K5220" i="1"/>
  <c r="J5220" i="1"/>
  <c r="I5220" i="1"/>
  <c r="H5220" i="1"/>
  <c r="G5220" i="1"/>
  <c r="F5220" i="1"/>
  <c r="E5220" i="1"/>
  <c r="D5220" i="1"/>
  <c r="C5220" i="1"/>
  <c r="B5220" i="1"/>
  <c r="A5220" i="1"/>
  <c r="R5219" i="1"/>
  <c r="J5219" i="1"/>
  <c r="I5219" i="1"/>
  <c r="G5219" i="1"/>
  <c r="F5219" i="1"/>
  <c r="E5219" i="1"/>
  <c r="D5219" i="1"/>
  <c r="C5219" i="1"/>
  <c r="B5219" i="1"/>
  <c r="A5219" i="1"/>
  <c r="S5218" i="1"/>
  <c r="O5218" i="1"/>
  <c r="K5218" i="1"/>
  <c r="J5218" i="1"/>
  <c r="I5218" i="1"/>
  <c r="H5218" i="1"/>
  <c r="G5218" i="1"/>
  <c r="F5218" i="1"/>
  <c r="E5218" i="1"/>
  <c r="D5218" i="1"/>
  <c r="C5218" i="1"/>
  <c r="B5218" i="1"/>
  <c r="A5218" i="1"/>
  <c r="R5217" i="1"/>
  <c r="J5217" i="1"/>
  <c r="I5217" i="1"/>
  <c r="G5217" i="1"/>
  <c r="F5217" i="1"/>
  <c r="E5217" i="1"/>
  <c r="D5217" i="1"/>
  <c r="C5217" i="1"/>
  <c r="B5217" i="1"/>
  <c r="A5217" i="1"/>
  <c r="S5216" i="1"/>
  <c r="O5216" i="1"/>
  <c r="K5216" i="1"/>
  <c r="J5216" i="1"/>
  <c r="I5216" i="1"/>
  <c r="H5216" i="1"/>
  <c r="G5216" i="1"/>
  <c r="F5216" i="1"/>
  <c r="E5216" i="1"/>
  <c r="D5216" i="1"/>
  <c r="C5216" i="1"/>
  <c r="B5216" i="1"/>
  <c r="A5216" i="1"/>
  <c r="R5215" i="1"/>
  <c r="J5215" i="1"/>
  <c r="I5215" i="1"/>
  <c r="G5215" i="1"/>
  <c r="F5215" i="1"/>
  <c r="E5215" i="1"/>
  <c r="D5215" i="1"/>
  <c r="C5215" i="1"/>
  <c r="B5215" i="1"/>
  <c r="A5215" i="1"/>
  <c r="S5214" i="1"/>
  <c r="O5214" i="1"/>
  <c r="K5214" i="1"/>
  <c r="J5214" i="1"/>
  <c r="I5214" i="1"/>
  <c r="H5214" i="1"/>
  <c r="G5214" i="1"/>
  <c r="F5214" i="1"/>
  <c r="E5214" i="1"/>
  <c r="D5214" i="1"/>
  <c r="C5214" i="1"/>
  <c r="B5214" i="1"/>
  <c r="A5214" i="1"/>
  <c r="R5213" i="1"/>
  <c r="J5213" i="1"/>
  <c r="I5213" i="1"/>
  <c r="G5213" i="1"/>
  <c r="F5213" i="1"/>
  <c r="E5213" i="1"/>
  <c r="D5213" i="1"/>
  <c r="C5213" i="1"/>
  <c r="B5213" i="1"/>
  <c r="A5213" i="1"/>
  <c r="S5212" i="1"/>
  <c r="O5212" i="1"/>
  <c r="K5212" i="1"/>
  <c r="J5212" i="1"/>
  <c r="I5212" i="1"/>
  <c r="H5212" i="1"/>
  <c r="G5212" i="1"/>
  <c r="F5212" i="1"/>
  <c r="E5212" i="1"/>
  <c r="D5212" i="1"/>
  <c r="C5212" i="1"/>
  <c r="B5212" i="1"/>
  <c r="A5212" i="1"/>
  <c r="R5211" i="1"/>
  <c r="J5211" i="1"/>
  <c r="I5211" i="1"/>
  <c r="G5211" i="1"/>
  <c r="F5211" i="1"/>
  <c r="E5211" i="1"/>
  <c r="D5211" i="1"/>
  <c r="C5211" i="1"/>
  <c r="B5211" i="1"/>
  <c r="A5211" i="1"/>
  <c r="S5210" i="1"/>
  <c r="O5210" i="1"/>
  <c r="K5210" i="1"/>
  <c r="J5210" i="1"/>
  <c r="I5210" i="1"/>
  <c r="H5210" i="1"/>
  <c r="G5210" i="1"/>
  <c r="F5210" i="1"/>
  <c r="E5210" i="1"/>
  <c r="D5210" i="1"/>
  <c r="C5210" i="1"/>
  <c r="B5210" i="1"/>
  <c r="A5210" i="1"/>
  <c r="R5209" i="1"/>
  <c r="J5209" i="1"/>
  <c r="I5209" i="1"/>
  <c r="G5209" i="1"/>
  <c r="F5209" i="1"/>
  <c r="E5209" i="1"/>
  <c r="D5209" i="1"/>
  <c r="C5209" i="1"/>
  <c r="B5209" i="1"/>
  <c r="A5209" i="1"/>
  <c r="S5208" i="1"/>
  <c r="O5208" i="1"/>
  <c r="K5208" i="1"/>
  <c r="J5208" i="1"/>
  <c r="I5208" i="1"/>
  <c r="H5208" i="1"/>
  <c r="G5208" i="1"/>
  <c r="F5208" i="1"/>
  <c r="E5208" i="1"/>
  <c r="D5208" i="1"/>
  <c r="C5208" i="1"/>
  <c r="B5208" i="1"/>
  <c r="A5208" i="1"/>
  <c r="R5207" i="1"/>
  <c r="J5207" i="1"/>
  <c r="I5207" i="1"/>
  <c r="G5207" i="1"/>
  <c r="F5207" i="1"/>
  <c r="E5207" i="1"/>
  <c r="D5207" i="1"/>
  <c r="C5207" i="1"/>
  <c r="B5207" i="1"/>
  <c r="A5207" i="1"/>
  <c r="S5206" i="1"/>
  <c r="O5206" i="1"/>
  <c r="K5206" i="1"/>
  <c r="J5206" i="1"/>
  <c r="I5206" i="1"/>
  <c r="H5206" i="1"/>
  <c r="G5206" i="1"/>
  <c r="F5206" i="1"/>
  <c r="E5206" i="1"/>
  <c r="D5206" i="1"/>
  <c r="C5206" i="1"/>
  <c r="B5206" i="1"/>
  <c r="A5206" i="1"/>
  <c r="R5205" i="1"/>
  <c r="J5205" i="1"/>
  <c r="I5205" i="1"/>
  <c r="G5205" i="1"/>
  <c r="F5205" i="1"/>
  <c r="E5205" i="1"/>
  <c r="D5205" i="1"/>
  <c r="C5205" i="1"/>
  <c r="B5205" i="1"/>
  <c r="A5205" i="1"/>
  <c r="S5204" i="1"/>
  <c r="O5204" i="1"/>
  <c r="K5204" i="1"/>
  <c r="J5204" i="1"/>
  <c r="I5204" i="1"/>
  <c r="H5204" i="1"/>
  <c r="G5204" i="1"/>
  <c r="F5204" i="1"/>
  <c r="E5204" i="1"/>
  <c r="D5204" i="1"/>
  <c r="C5204" i="1"/>
  <c r="B5204" i="1"/>
  <c r="A5204" i="1"/>
  <c r="R5203" i="1"/>
  <c r="J5203" i="1"/>
  <c r="I5203" i="1"/>
  <c r="G5203" i="1"/>
  <c r="F5203" i="1"/>
  <c r="E5203" i="1"/>
  <c r="D5203" i="1"/>
  <c r="C5203" i="1"/>
  <c r="B5203" i="1"/>
  <c r="A5203" i="1"/>
  <c r="S5202" i="1"/>
  <c r="O5202" i="1"/>
  <c r="K5202" i="1"/>
  <c r="J5202" i="1"/>
  <c r="I5202" i="1"/>
  <c r="H5202" i="1"/>
  <c r="G5202" i="1"/>
  <c r="F5202" i="1"/>
  <c r="E5202" i="1"/>
  <c r="D5202" i="1"/>
  <c r="C5202" i="1"/>
  <c r="B5202" i="1"/>
  <c r="A5202" i="1"/>
  <c r="R5201" i="1"/>
  <c r="J5201" i="1"/>
  <c r="I5201" i="1"/>
  <c r="G5201" i="1"/>
  <c r="F5201" i="1"/>
  <c r="E5201" i="1"/>
  <c r="D5201" i="1"/>
  <c r="C5201" i="1"/>
  <c r="B5201" i="1"/>
  <c r="A5201" i="1"/>
  <c r="R5200" i="1"/>
  <c r="J5200" i="1"/>
  <c r="I5200" i="1"/>
  <c r="G5200" i="1"/>
  <c r="F5200" i="1"/>
  <c r="E5200" i="1"/>
  <c r="D5200" i="1"/>
  <c r="C5200" i="1"/>
  <c r="B5200" i="1"/>
  <c r="A5200" i="1"/>
  <c r="R5199" i="1"/>
  <c r="J5199" i="1"/>
  <c r="I5199" i="1"/>
  <c r="G5199" i="1"/>
  <c r="F5199" i="1"/>
  <c r="E5199" i="1"/>
  <c r="D5199" i="1"/>
  <c r="C5199" i="1"/>
  <c r="B5199" i="1"/>
  <c r="A5199" i="1"/>
  <c r="S5198" i="1"/>
  <c r="O5198" i="1"/>
  <c r="K5198" i="1"/>
  <c r="J5198" i="1"/>
  <c r="I5198" i="1"/>
  <c r="H5198" i="1"/>
  <c r="G5198" i="1"/>
  <c r="F5198" i="1"/>
  <c r="E5198" i="1"/>
  <c r="D5198" i="1"/>
  <c r="C5198" i="1"/>
  <c r="B5198" i="1"/>
  <c r="A5198" i="1"/>
  <c r="R5197" i="1"/>
  <c r="J5197" i="1"/>
  <c r="I5197" i="1"/>
  <c r="G5197" i="1"/>
  <c r="F5197" i="1"/>
  <c r="E5197" i="1"/>
  <c r="D5197" i="1"/>
  <c r="C5197" i="1"/>
  <c r="B5197" i="1"/>
  <c r="A5197" i="1"/>
  <c r="S5196" i="1"/>
  <c r="O5196" i="1"/>
  <c r="K5196" i="1"/>
  <c r="J5196" i="1"/>
  <c r="I5196" i="1"/>
  <c r="H5196" i="1"/>
  <c r="G5196" i="1"/>
  <c r="F5196" i="1"/>
  <c r="E5196" i="1"/>
  <c r="D5196" i="1"/>
  <c r="C5196" i="1"/>
  <c r="B5196" i="1"/>
  <c r="A5196" i="1"/>
  <c r="R5195" i="1"/>
  <c r="J5195" i="1"/>
  <c r="I5195" i="1"/>
  <c r="G5195" i="1"/>
  <c r="F5195" i="1"/>
  <c r="E5195" i="1"/>
  <c r="D5195" i="1"/>
  <c r="C5195" i="1"/>
  <c r="B5195" i="1"/>
  <c r="A5195" i="1"/>
  <c r="S5194" i="1"/>
  <c r="O5194" i="1"/>
  <c r="K5194" i="1"/>
  <c r="J5194" i="1"/>
  <c r="I5194" i="1"/>
  <c r="H5194" i="1"/>
  <c r="G5194" i="1"/>
  <c r="F5194" i="1"/>
  <c r="E5194" i="1"/>
  <c r="D5194" i="1"/>
  <c r="C5194" i="1"/>
  <c r="B5194" i="1"/>
  <c r="A5194" i="1"/>
  <c r="R5193" i="1"/>
  <c r="J5193" i="1"/>
  <c r="I5193" i="1"/>
  <c r="G5193" i="1"/>
  <c r="F5193" i="1"/>
  <c r="E5193" i="1"/>
  <c r="D5193" i="1"/>
  <c r="C5193" i="1"/>
  <c r="B5193" i="1"/>
  <c r="A5193" i="1"/>
  <c r="S5192" i="1"/>
  <c r="O5192" i="1"/>
  <c r="K5192" i="1"/>
  <c r="J5192" i="1"/>
  <c r="I5192" i="1"/>
  <c r="H5192" i="1"/>
  <c r="G5192" i="1"/>
  <c r="F5192" i="1"/>
  <c r="E5192" i="1"/>
  <c r="D5192" i="1"/>
  <c r="C5192" i="1"/>
  <c r="B5192" i="1"/>
  <c r="A5192" i="1"/>
  <c r="R5191" i="1"/>
  <c r="J5191" i="1"/>
  <c r="I5191" i="1"/>
  <c r="G5191" i="1"/>
  <c r="F5191" i="1"/>
  <c r="E5191" i="1"/>
  <c r="D5191" i="1"/>
  <c r="C5191" i="1"/>
  <c r="B5191" i="1"/>
  <c r="A5191" i="1"/>
  <c r="S5190" i="1"/>
  <c r="O5190" i="1"/>
  <c r="K5190" i="1"/>
  <c r="J5190" i="1"/>
  <c r="I5190" i="1"/>
  <c r="H5190" i="1"/>
  <c r="G5190" i="1"/>
  <c r="F5190" i="1"/>
  <c r="E5190" i="1"/>
  <c r="D5190" i="1"/>
  <c r="C5190" i="1"/>
  <c r="B5190" i="1"/>
  <c r="A5190" i="1"/>
  <c r="R5189" i="1"/>
  <c r="J5189" i="1"/>
  <c r="I5189" i="1"/>
  <c r="G5189" i="1"/>
  <c r="F5189" i="1"/>
  <c r="E5189" i="1"/>
  <c r="D5189" i="1"/>
  <c r="C5189" i="1"/>
  <c r="B5189" i="1"/>
  <c r="A5189" i="1"/>
  <c r="S5188" i="1"/>
  <c r="O5188" i="1"/>
  <c r="K5188" i="1"/>
  <c r="J5188" i="1"/>
  <c r="I5188" i="1"/>
  <c r="H5188" i="1"/>
  <c r="G5188" i="1"/>
  <c r="F5188" i="1"/>
  <c r="E5188" i="1"/>
  <c r="D5188" i="1"/>
  <c r="C5188" i="1"/>
  <c r="B5188" i="1"/>
  <c r="A5188" i="1"/>
  <c r="R5187" i="1"/>
  <c r="J5187" i="1"/>
  <c r="I5187" i="1"/>
  <c r="G5187" i="1"/>
  <c r="F5187" i="1"/>
  <c r="E5187" i="1"/>
  <c r="D5187" i="1"/>
  <c r="C5187" i="1"/>
  <c r="B5187" i="1"/>
  <c r="A5187" i="1"/>
  <c r="S5186" i="1"/>
  <c r="O5186" i="1"/>
  <c r="K5186" i="1"/>
  <c r="J5186" i="1"/>
  <c r="I5186" i="1"/>
  <c r="H5186" i="1"/>
  <c r="G5186" i="1"/>
  <c r="F5186" i="1"/>
  <c r="E5186" i="1"/>
  <c r="D5186" i="1"/>
  <c r="C5186" i="1"/>
  <c r="B5186" i="1"/>
  <c r="A5186" i="1"/>
  <c r="R5185" i="1"/>
  <c r="J5185" i="1"/>
  <c r="I5185" i="1"/>
  <c r="G5185" i="1"/>
  <c r="F5185" i="1"/>
  <c r="E5185" i="1"/>
  <c r="D5185" i="1"/>
  <c r="C5185" i="1"/>
  <c r="B5185" i="1"/>
  <c r="A5185" i="1"/>
  <c r="S5184" i="1"/>
  <c r="O5184" i="1"/>
  <c r="K5184" i="1"/>
  <c r="J5184" i="1"/>
  <c r="I5184" i="1"/>
  <c r="H5184" i="1"/>
  <c r="G5184" i="1"/>
  <c r="F5184" i="1"/>
  <c r="E5184" i="1"/>
  <c r="D5184" i="1"/>
  <c r="C5184" i="1"/>
  <c r="B5184" i="1"/>
  <c r="A5184" i="1"/>
  <c r="R5183" i="1"/>
  <c r="J5183" i="1"/>
  <c r="I5183" i="1"/>
  <c r="G5183" i="1"/>
  <c r="F5183" i="1"/>
  <c r="E5183" i="1"/>
  <c r="D5183" i="1"/>
  <c r="C5183" i="1"/>
  <c r="B5183" i="1"/>
  <c r="A5183" i="1"/>
  <c r="S5182" i="1"/>
  <c r="O5182" i="1"/>
  <c r="K5182" i="1"/>
  <c r="J5182" i="1"/>
  <c r="I5182" i="1"/>
  <c r="H5182" i="1"/>
  <c r="G5182" i="1"/>
  <c r="F5182" i="1"/>
  <c r="E5182" i="1"/>
  <c r="D5182" i="1"/>
  <c r="C5182" i="1"/>
  <c r="B5182" i="1"/>
  <c r="A5182" i="1"/>
  <c r="R5181" i="1"/>
  <c r="J5181" i="1"/>
  <c r="I5181" i="1"/>
  <c r="G5181" i="1"/>
  <c r="F5181" i="1"/>
  <c r="E5181" i="1"/>
  <c r="D5181" i="1"/>
  <c r="C5181" i="1"/>
  <c r="B5181" i="1"/>
  <c r="A5181" i="1"/>
  <c r="S5180" i="1"/>
  <c r="O5180" i="1"/>
  <c r="K5180" i="1"/>
  <c r="J5180" i="1"/>
  <c r="I5180" i="1"/>
  <c r="H5180" i="1"/>
  <c r="G5180" i="1"/>
  <c r="F5180" i="1"/>
  <c r="E5180" i="1"/>
  <c r="D5180" i="1"/>
  <c r="C5180" i="1"/>
  <c r="B5180" i="1"/>
  <c r="A5180" i="1"/>
  <c r="R5179" i="1"/>
  <c r="J5179" i="1"/>
  <c r="I5179" i="1"/>
  <c r="G5179" i="1"/>
  <c r="F5179" i="1"/>
  <c r="E5179" i="1"/>
  <c r="D5179" i="1"/>
  <c r="C5179" i="1"/>
  <c r="B5179" i="1"/>
  <c r="A5179" i="1"/>
  <c r="S5178" i="1"/>
  <c r="O5178" i="1"/>
  <c r="K5178" i="1"/>
  <c r="J5178" i="1"/>
  <c r="I5178" i="1"/>
  <c r="H5178" i="1"/>
  <c r="G5178" i="1"/>
  <c r="F5178" i="1"/>
  <c r="E5178" i="1"/>
  <c r="D5178" i="1"/>
  <c r="C5178" i="1"/>
  <c r="B5178" i="1"/>
  <c r="A5178" i="1"/>
  <c r="R5177" i="1"/>
  <c r="J5177" i="1"/>
  <c r="I5177" i="1"/>
  <c r="G5177" i="1"/>
  <c r="F5177" i="1"/>
  <c r="E5177" i="1"/>
  <c r="D5177" i="1"/>
  <c r="C5177" i="1"/>
  <c r="B5177" i="1"/>
  <c r="A5177" i="1"/>
  <c r="S5176" i="1"/>
  <c r="O5176" i="1"/>
  <c r="K5176" i="1"/>
  <c r="J5176" i="1"/>
  <c r="I5176" i="1"/>
  <c r="H5176" i="1"/>
  <c r="G5176" i="1"/>
  <c r="F5176" i="1"/>
  <c r="E5176" i="1"/>
  <c r="D5176" i="1"/>
  <c r="C5176" i="1"/>
  <c r="B5176" i="1"/>
  <c r="A5176" i="1"/>
  <c r="R5175" i="1"/>
  <c r="J5175" i="1"/>
  <c r="I5175" i="1"/>
  <c r="G5175" i="1"/>
  <c r="F5175" i="1"/>
  <c r="E5175" i="1"/>
  <c r="D5175" i="1"/>
  <c r="C5175" i="1"/>
  <c r="B5175" i="1"/>
  <c r="A5175" i="1"/>
  <c r="S5174" i="1"/>
  <c r="O5174" i="1"/>
  <c r="K5174" i="1"/>
  <c r="J5174" i="1"/>
  <c r="I5174" i="1"/>
  <c r="H5174" i="1"/>
  <c r="G5174" i="1"/>
  <c r="F5174" i="1"/>
  <c r="E5174" i="1"/>
  <c r="D5174" i="1"/>
  <c r="C5174" i="1"/>
  <c r="B5174" i="1"/>
  <c r="A5174" i="1"/>
  <c r="R5173" i="1"/>
  <c r="J5173" i="1"/>
  <c r="I5173" i="1"/>
  <c r="G5173" i="1"/>
  <c r="F5173" i="1"/>
  <c r="E5173" i="1"/>
  <c r="D5173" i="1"/>
  <c r="C5173" i="1"/>
  <c r="B5173" i="1"/>
  <c r="A5173" i="1"/>
  <c r="S5172" i="1"/>
  <c r="O5172" i="1"/>
  <c r="K5172" i="1"/>
  <c r="J5172" i="1"/>
  <c r="I5172" i="1"/>
  <c r="H5172" i="1"/>
  <c r="G5172" i="1"/>
  <c r="F5172" i="1"/>
  <c r="E5172" i="1"/>
  <c r="D5172" i="1"/>
  <c r="C5172" i="1"/>
  <c r="B5172" i="1"/>
  <c r="A5172" i="1"/>
  <c r="R5171" i="1"/>
  <c r="J5171" i="1"/>
  <c r="I5171" i="1"/>
  <c r="G5171" i="1"/>
  <c r="F5171" i="1"/>
  <c r="E5171" i="1"/>
  <c r="D5171" i="1"/>
  <c r="C5171" i="1"/>
  <c r="B5171" i="1"/>
  <c r="A5171" i="1"/>
  <c r="S5170" i="1"/>
  <c r="O5170" i="1"/>
  <c r="K5170" i="1"/>
  <c r="J5170" i="1"/>
  <c r="I5170" i="1"/>
  <c r="H5170" i="1"/>
  <c r="G5170" i="1"/>
  <c r="F5170" i="1"/>
  <c r="E5170" i="1"/>
  <c r="D5170" i="1"/>
  <c r="C5170" i="1"/>
  <c r="B5170" i="1"/>
  <c r="A5170" i="1"/>
  <c r="R5169" i="1"/>
  <c r="J5169" i="1"/>
  <c r="I5169" i="1"/>
  <c r="G5169" i="1"/>
  <c r="F5169" i="1"/>
  <c r="E5169" i="1"/>
  <c r="D5169" i="1"/>
  <c r="C5169" i="1"/>
  <c r="B5169" i="1"/>
  <c r="A5169" i="1"/>
  <c r="S5168" i="1"/>
  <c r="O5168" i="1"/>
  <c r="K5168" i="1"/>
  <c r="J5168" i="1"/>
  <c r="I5168" i="1"/>
  <c r="H5168" i="1"/>
  <c r="G5168" i="1"/>
  <c r="F5168" i="1"/>
  <c r="E5168" i="1"/>
  <c r="D5168" i="1"/>
  <c r="C5168" i="1"/>
  <c r="B5168" i="1"/>
  <c r="A5168" i="1"/>
  <c r="R5167" i="1"/>
  <c r="J5167" i="1"/>
  <c r="I5167" i="1"/>
  <c r="G5167" i="1"/>
  <c r="F5167" i="1"/>
  <c r="E5167" i="1"/>
  <c r="D5167" i="1"/>
  <c r="C5167" i="1"/>
  <c r="B5167" i="1"/>
  <c r="A5167" i="1"/>
  <c r="S5166" i="1"/>
  <c r="O5166" i="1"/>
  <c r="K5166" i="1"/>
  <c r="J5166" i="1"/>
  <c r="I5166" i="1"/>
  <c r="H5166" i="1"/>
  <c r="G5166" i="1"/>
  <c r="F5166" i="1"/>
  <c r="E5166" i="1"/>
  <c r="D5166" i="1"/>
  <c r="C5166" i="1"/>
  <c r="B5166" i="1"/>
  <c r="A5166" i="1"/>
  <c r="R5165" i="1"/>
  <c r="J5165" i="1"/>
  <c r="I5165" i="1"/>
  <c r="G5165" i="1"/>
  <c r="F5165" i="1"/>
  <c r="E5165" i="1"/>
  <c r="D5165" i="1"/>
  <c r="C5165" i="1"/>
  <c r="B5165" i="1"/>
  <c r="A5165" i="1"/>
  <c r="S5164" i="1"/>
  <c r="O5164" i="1"/>
  <c r="K5164" i="1"/>
  <c r="J5164" i="1"/>
  <c r="I5164" i="1"/>
  <c r="H5164" i="1"/>
  <c r="G5164" i="1"/>
  <c r="F5164" i="1"/>
  <c r="E5164" i="1"/>
  <c r="D5164" i="1"/>
  <c r="C5164" i="1"/>
  <c r="B5164" i="1"/>
  <c r="A5164" i="1"/>
  <c r="R5163" i="1"/>
  <c r="J5163" i="1"/>
  <c r="I5163" i="1"/>
  <c r="G5163" i="1"/>
  <c r="F5163" i="1"/>
  <c r="E5163" i="1"/>
  <c r="D5163" i="1"/>
  <c r="C5163" i="1"/>
  <c r="B5163" i="1"/>
  <c r="A5163" i="1"/>
  <c r="S5162" i="1"/>
  <c r="O5162" i="1"/>
  <c r="K5162" i="1"/>
  <c r="J5162" i="1"/>
  <c r="I5162" i="1"/>
  <c r="H5162" i="1"/>
  <c r="G5162" i="1"/>
  <c r="F5162" i="1"/>
  <c r="E5162" i="1"/>
  <c r="D5162" i="1"/>
  <c r="C5162" i="1"/>
  <c r="B5162" i="1"/>
  <c r="A5162" i="1"/>
  <c r="R5161" i="1"/>
  <c r="J5161" i="1"/>
  <c r="I5161" i="1"/>
  <c r="G5161" i="1"/>
  <c r="F5161" i="1"/>
  <c r="E5161" i="1"/>
  <c r="D5161" i="1"/>
  <c r="C5161" i="1"/>
  <c r="B5161" i="1"/>
  <c r="A5161" i="1"/>
  <c r="S5160" i="1"/>
  <c r="O5160" i="1"/>
  <c r="K5160" i="1"/>
  <c r="J5160" i="1"/>
  <c r="I5160" i="1"/>
  <c r="H5160" i="1"/>
  <c r="G5160" i="1"/>
  <c r="F5160" i="1"/>
  <c r="E5160" i="1"/>
  <c r="D5160" i="1"/>
  <c r="C5160" i="1"/>
  <c r="B5160" i="1"/>
  <c r="A5160" i="1"/>
  <c r="R5159" i="1"/>
  <c r="J5159" i="1"/>
  <c r="I5159" i="1"/>
  <c r="G5159" i="1"/>
  <c r="F5159" i="1"/>
  <c r="E5159" i="1"/>
  <c r="D5159" i="1"/>
  <c r="C5159" i="1"/>
  <c r="B5159" i="1"/>
  <c r="A5159" i="1"/>
  <c r="S5158" i="1"/>
  <c r="O5158" i="1"/>
  <c r="K5158" i="1"/>
  <c r="J5158" i="1"/>
  <c r="I5158" i="1"/>
  <c r="H5158" i="1"/>
  <c r="G5158" i="1"/>
  <c r="F5158" i="1"/>
  <c r="E5158" i="1"/>
  <c r="D5158" i="1"/>
  <c r="C5158" i="1"/>
  <c r="B5158" i="1"/>
  <c r="A5158" i="1"/>
  <c r="R5157" i="1"/>
  <c r="J5157" i="1"/>
  <c r="I5157" i="1"/>
  <c r="G5157" i="1"/>
  <c r="F5157" i="1"/>
  <c r="E5157" i="1"/>
  <c r="D5157" i="1"/>
  <c r="C5157" i="1"/>
  <c r="B5157" i="1"/>
  <c r="A5157" i="1"/>
  <c r="S5156" i="1"/>
  <c r="O5156" i="1"/>
  <c r="K5156" i="1"/>
  <c r="J5156" i="1"/>
  <c r="I5156" i="1"/>
  <c r="H5156" i="1"/>
  <c r="G5156" i="1"/>
  <c r="F5156" i="1"/>
  <c r="E5156" i="1"/>
  <c r="D5156" i="1"/>
  <c r="C5156" i="1"/>
  <c r="B5156" i="1"/>
  <c r="A5156" i="1"/>
  <c r="R5155" i="1"/>
  <c r="J5155" i="1"/>
  <c r="I5155" i="1"/>
  <c r="G5155" i="1"/>
  <c r="F5155" i="1"/>
  <c r="E5155" i="1"/>
  <c r="D5155" i="1"/>
  <c r="C5155" i="1"/>
  <c r="B5155" i="1"/>
  <c r="A5155" i="1"/>
  <c r="S5154" i="1"/>
  <c r="O5154" i="1"/>
  <c r="K5154" i="1"/>
  <c r="J5154" i="1"/>
  <c r="I5154" i="1"/>
  <c r="H5154" i="1"/>
  <c r="G5154" i="1"/>
  <c r="F5154" i="1"/>
  <c r="E5154" i="1"/>
  <c r="D5154" i="1"/>
  <c r="C5154" i="1"/>
  <c r="B5154" i="1"/>
  <c r="A5154" i="1"/>
  <c r="R5153" i="1"/>
  <c r="J5153" i="1"/>
  <c r="I5153" i="1"/>
  <c r="G5153" i="1"/>
  <c r="F5153" i="1"/>
  <c r="E5153" i="1"/>
  <c r="D5153" i="1"/>
  <c r="C5153" i="1"/>
  <c r="B5153" i="1"/>
  <c r="A5153" i="1"/>
  <c r="S5152" i="1"/>
  <c r="O5152" i="1"/>
  <c r="K5152" i="1"/>
  <c r="J5152" i="1"/>
  <c r="I5152" i="1"/>
  <c r="H5152" i="1"/>
  <c r="G5152" i="1"/>
  <c r="F5152" i="1"/>
  <c r="E5152" i="1"/>
  <c r="D5152" i="1"/>
  <c r="C5152" i="1"/>
  <c r="B5152" i="1"/>
  <c r="A5152" i="1"/>
  <c r="R5151" i="1"/>
  <c r="J5151" i="1"/>
  <c r="I5151" i="1"/>
  <c r="G5151" i="1"/>
  <c r="F5151" i="1"/>
  <c r="E5151" i="1"/>
  <c r="D5151" i="1"/>
  <c r="C5151" i="1"/>
  <c r="B5151" i="1"/>
  <c r="A5151" i="1"/>
  <c r="S5150" i="1"/>
  <c r="O5150" i="1"/>
  <c r="K5150" i="1"/>
  <c r="J5150" i="1"/>
  <c r="I5150" i="1"/>
  <c r="H5150" i="1"/>
  <c r="G5150" i="1"/>
  <c r="F5150" i="1"/>
  <c r="E5150" i="1"/>
  <c r="D5150" i="1"/>
  <c r="C5150" i="1"/>
  <c r="B5150" i="1"/>
  <c r="A5150" i="1"/>
  <c r="R5149" i="1"/>
  <c r="J5149" i="1"/>
  <c r="I5149" i="1"/>
  <c r="G5149" i="1"/>
  <c r="F5149" i="1"/>
  <c r="E5149" i="1"/>
  <c r="D5149" i="1"/>
  <c r="C5149" i="1"/>
  <c r="B5149" i="1"/>
  <c r="A5149" i="1"/>
  <c r="R5148" i="1"/>
  <c r="J5148" i="1"/>
  <c r="I5148" i="1"/>
  <c r="G5148" i="1"/>
  <c r="F5148" i="1"/>
  <c r="E5148" i="1"/>
  <c r="D5148" i="1"/>
  <c r="C5148" i="1"/>
  <c r="B5148" i="1"/>
  <c r="A5148" i="1"/>
  <c r="S5147" i="1"/>
  <c r="O5147" i="1"/>
  <c r="K5147" i="1"/>
  <c r="J5147" i="1"/>
  <c r="I5147" i="1"/>
  <c r="H5147" i="1"/>
  <c r="G5147" i="1"/>
  <c r="F5147" i="1"/>
  <c r="E5147" i="1"/>
  <c r="D5147" i="1"/>
  <c r="C5147" i="1"/>
  <c r="B5147" i="1"/>
  <c r="A5147" i="1"/>
  <c r="R5146" i="1"/>
  <c r="J5146" i="1"/>
  <c r="I5146" i="1"/>
  <c r="G5146" i="1"/>
  <c r="F5146" i="1"/>
  <c r="E5146" i="1"/>
  <c r="D5146" i="1"/>
  <c r="C5146" i="1"/>
  <c r="B5146" i="1"/>
  <c r="A5146" i="1"/>
  <c r="S5145" i="1"/>
  <c r="O5145" i="1"/>
  <c r="K5145" i="1"/>
  <c r="J5145" i="1"/>
  <c r="I5145" i="1"/>
  <c r="H5145" i="1"/>
  <c r="G5145" i="1"/>
  <c r="F5145" i="1"/>
  <c r="E5145" i="1"/>
  <c r="D5145" i="1"/>
  <c r="C5145" i="1"/>
  <c r="B5145" i="1"/>
  <c r="A5145" i="1"/>
  <c r="R5144" i="1"/>
  <c r="J5144" i="1"/>
  <c r="I5144" i="1"/>
  <c r="G5144" i="1"/>
  <c r="F5144" i="1"/>
  <c r="E5144" i="1"/>
  <c r="D5144" i="1"/>
  <c r="C5144" i="1"/>
  <c r="B5144" i="1"/>
  <c r="A5144" i="1"/>
  <c r="S5143" i="1"/>
  <c r="O5143" i="1"/>
  <c r="K5143" i="1"/>
  <c r="J5143" i="1"/>
  <c r="I5143" i="1"/>
  <c r="H5143" i="1"/>
  <c r="G5143" i="1"/>
  <c r="F5143" i="1"/>
  <c r="E5143" i="1"/>
  <c r="D5143" i="1"/>
  <c r="C5143" i="1"/>
  <c r="B5143" i="1"/>
  <c r="A5143" i="1"/>
  <c r="R5142" i="1"/>
  <c r="J5142" i="1"/>
  <c r="I5142" i="1"/>
  <c r="G5142" i="1"/>
  <c r="F5142" i="1"/>
  <c r="E5142" i="1"/>
  <c r="D5142" i="1"/>
  <c r="C5142" i="1"/>
  <c r="B5142" i="1"/>
  <c r="A5142" i="1"/>
  <c r="S5141" i="1"/>
  <c r="O5141" i="1"/>
  <c r="K5141" i="1"/>
  <c r="J5141" i="1"/>
  <c r="I5141" i="1"/>
  <c r="H5141" i="1"/>
  <c r="G5141" i="1"/>
  <c r="F5141" i="1"/>
  <c r="E5141" i="1"/>
  <c r="D5141" i="1"/>
  <c r="C5141" i="1"/>
  <c r="B5141" i="1"/>
  <c r="A5141" i="1"/>
  <c r="R5140" i="1"/>
  <c r="J5140" i="1"/>
  <c r="I5140" i="1"/>
  <c r="G5140" i="1"/>
  <c r="F5140" i="1"/>
  <c r="E5140" i="1"/>
  <c r="D5140" i="1"/>
  <c r="C5140" i="1"/>
  <c r="B5140" i="1"/>
  <c r="A5140" i="1"/>
  <c r="S5139" i="1"/>
  <c r="O5139" i="1"/>
  <c r="K5139" i="1"/>
  <c r="J5139" i="1"/>
  <c r="I5139" i="1"/>
  <c r="H5139" i="1"/>
  <c r="G5139" i="1"/>
  <c r="F5139" i="1"/>
  <c r="E5139" i="1"/>
  <c r="D5139" i="1"/>
  <c r="C5139" i="1"/>
  <c r="B5139" i="1"/>
  <c r="A5139" i="1"/>
  <c r="R5138" i="1"/>
  <c r="J5138" i="1"/>
  <c r="I5138" i="1"/>
  <c r="G5138" i="1"/>
  <c r="F5138" i="1"/>
  <c r="E5138" i="1"/>
  <c r="D5138" i="1"/>
  <c r="C5138" i="1"/>
  <c r="B5138" i="1"/>
  <c r="A5138" i="1"/>
  <c r="S5137" i="1"/>
  <c r="O5137" i="1"/>
  <c r="K5137" i="1"/>
  <c r="J5137" i="1"/>
  <c r="I5137" i="1"/>
  <c r="H5137" i="1"/>
  <c r="G5137" i="1"/>
  <c r="F5137" i="1"/>
  <c r="E5137" i="1"/>
  <c r="D5137" i="1"/>
  <c r="C5137" i="1"/>
  <c r="B5137" i="1"/>
  <c r="A5137" i="1"/>
  <c r="R5136" i="1"/>
  <c r="J5136" i="1"/>
  <c r="I5136" i="1"/>
  <c r="G5136" i="1"/>
  <c r="F5136" i="1"/>
  <c r="E5136" i="1"/>
  <c r="D5136" i="1"/>
  <c r="C5136" i="1"/>
  <c r="B5136" i="1"/>
  <c r="A5136" i="1"/>
  <c r="R5135" i="1"/>
  <c r="J5135" i="1"/>
  <c r="I5135" i="1"/>
  <c r="G5135" i="1"/>
  <c r="F5135" i="1"/>
  <c r="E5135" i="1"/>
  <c r="D5135" i="1"/>
  <c r="C5135" i="1"/>
  <c r="B5135" i="1"/>
  <c r="A5135" i="1"/>
  <c r="S5134" i="1"/>
  <c r="O5134" i="1"/>
  <c r="K5134" i="1"/>
  <c r="J5134" i="1"/>
  <c r="I5134" i="1"/>
  <c r="H5134" i="1"/>
  <c r="G5134" i="1"/>
  <c r="F5134" i="1"/>
  <c r="E5134" i="1"/>
  <c r="D5134" i="1"/>
  <c r="C5134" i="1"/>
  <c r="B5134" i="1"/>
  <c r="A5134" i="1"/>
  <c r="R5133" i="1"/>
  <c r="J5133" i="1"/>
  <c r="I5133" i="1"/>
  <c r="G5133" i="1"/>
  <c r="F5133" i="1"/>
  <c r="E5133" i="1"/>
  <c r="D5133" i="1"/>
  <c r="C5133" i="1"/>
  <c r="B5133" i="1"/>
  <c r="A5133" i="1"/>
  <c r="S5132" i="1"/>
  <c r="O5132" i="1"/>
  <c r="K5132" i="1"/>
  <c r="J5132" i="1"/>
  <c r="I5132" i="1"/>
  <c r="H5132" i="1"/>
  <c r="G5132" i="1"/>
  <c r="F5132" i="1"/>
  <c r="E5132" i="1"/>
  <c r="D5132" i="1"/>
  <c r="C5132" i="1"/>
  <c r="B5132" i="1"/>
  <c r="A5132" i="1"/>
  <c r="R5131" i="1"/>
  <c r="J5131" i="1"/>
  <c r="I5131" i="1"/>
  <c r="G5131" i="1"/>
  <c r="F5131" i="1"/>
  <c r="E5131" i="1"/>
  <c r="D5131" i="1"/>
  <c r="C5131" i="1"/>
  <c r="B5131" i="1"/>
  <c r="A5131" i="1"/>
  <c r="S5130" i="1"/>
  <c r="O5130" i="1"/>
  <c r="K5130" i="1"/>
  <c r="J5130" i="1"/>
  <c r="I5130" i="1"/>
  <c r="H5130" i="1"/>
  <c r="G5130" i="1"/>
  <c r="F5130" i="1"/>
  <c r="E5130" i="1"/>
  <c r="D5130" i="1"/>
  <c r="C5130" i="1"/>
  <c r="B5130" i="1"/>
  <c r="A5130" i="1"/>
  <c r="R5129" i="1"/>
  <c r="J5129" i="1"/>
  <c r="I5129" i="1"/>
  <c r="G5129" i="1"/>
  <c r="F5129" i="1"/>
  <c r="E5129" i="1"/>
  <c r="D5129" i="1"/>
  <c r="C5129" i="1"/>
  <c r="B5129" i="1"/>
  <c r="A5129" i="1"/>
  <c r="S5128" i="1"/>
  <c r="O5128" i="1"/>
  <c r="K5128" i="1"/>
  <c r="J5128" i="1"/>
  <c r="I5128" i="1"/>
  <c r="H5128" i="1"/>
  <c r="G5128" i="1"/>
  <c r="F5128" i="1"/>
  <c r="E5128" i="1"/>
  <c r="D5128" i="1"/>
  <c r="C5128" i="1"/>
  <c r="B5128" i="1"/>
  <c r="A5128" i="1"/>
  <c r="R5127" i="1"/>
  <c r="J5127" i="1"/>
  <c r="I5127" i="1"/>
  <c r="G5127" i="1"/>
  <c r="F5127" i="1"/>
  <c r="E5127" i="1"/>
  <c r="D5127" i="1"/>
  <c r="C5127" i="1"/>
  <c r="B5127" i="1"/>
  <c r="A5127" i="1"/>
  <c r="S5126" i="1"/>
  <c r="O5126" i="1"/>
  <c r="K5126" i="1"/>
  <c r="J5126" i="1"/>
  <c r="I5126" i="1"/>
  <c r="H5126" i="1"/>
  <c r="G5126" i="1"/>
  <c r="F5126" i="1"/>
  <c r="E5126" i="1"/>
  <c r="D5126" i="1"/>
  <c r="C5126" i="1"/>
  <c r="B5126" i="1"/>
  <c r="A5126" i="1"/>
  <c r="R5125" i="1"/>
  <c r="J5125" i="1"/>
  <c r="I5125" i="1"/>
  <c r="G5125" i="1"/>
  <c r="F5125" i="1"/>
  <c r="E5125" i="1"/>
  <c r="D5125" i="1"/>
  <c r="C5125" i="1"/>
  <c r="B5125" i="1"/>
  <c r="A5125" i="1"/>
  <c r="S5124" i="1"/>
  <c r="O5124" i="1"/>
  <c r="K5124" i="1"/>
  <c r="J5124" i="1"/>
  <c r="I5124" i="1"/>
  <c r="H5124" i="1"/>
  <c r="G5124" i="1"/>
  <c r="F5124" i="1"/>
  <c r="E5124" i="1"/>
  <c r="D5124" i="1"/>
  <c r="C5124" i="1"/>
  <c r="B5124" i="1"/>
  <c r="A5124" i="1"/>
  <c r="R5123" i="1"/>
  <c r="J5123" i="1"/>
  <c r="I5123" i="1"/>
  <c r="G5123" i="1"/>
  <c r="F5123" i="1"/>
  <c r="E5123" i="1"/>
  <c r="D5123" i="1"/>
  <c r="C5123" i="1"/>
  <c r="B5123" i="1"/>
  <c r="A5123" i="1"/>
  <c r="R5122" i="1"/>
  <c r="J5122" i="1"/>
  <c r="I5122" i="1"/>
  <c r="G5122" i="1"/>
  <c r="F5122" i="1"/>
  <c r="E5122" i="1"/>
  <c r="D5122" i="1"/>
  <c r="C5122" i="1"/>
  <c r="B5122" i="1"/>
  <c r="A5122" i="1"/>
  <c r="S5121" i="1"/>
  <c r="O5121" i="1"/>
  <c r="K5121" i="1"/>
  <c r="J5121" i="1"/>
  <c r="I5121" i="1"/>
  <c r="H5121" i="1"/>
  <c r="G5121" i="1"/>
  <c r="F5121" i="1"/>
  <c r="E5121" i="1"/>
  <c r="D5121" i="1"/>
  <c r="C5121" i="1"/>
  <c r="B5121" i="1"/>
  <c r="A5121" i="1"/>
  <c r="R5120" i="1"/>
  <c r="J5120" i="1"/>
  <c r="I5120" i="1"/>
  <c r="G5120" i="1"/>
  <c r="F5120" i="1"/>
  <c r="E5120" i="1"/>
  <c r="D5120" i="1"/>
  <c r="C5120" i="1"/>
  <c r="B5120" i="1"/>
  <c r="A5120" i="1"/>
  <c r="S5119" i="1"/>
  <c r="O5119" i="1"/>
  <c r="K5119" i="1"/>
  <c r="J5119" i="1"/>
  <c r="I5119" i="1"/>
  <c r="H5119" i="1"/>
  <c r="G5119" i="1"/>
  <c r="F5119" i="1"/>
  <c r="E5119" i="1"/>
  <c r="D5119" i="1"/>
  <c r="C5119" i="1"/>
  <c r="B5119" i="1"/>
  <c r="A5119" i="1"/>
  <c r="R5118" i="1"/>
  <c r="J5118" i="1"/>
  <c r="I5118" i="1"/>
  <c r="G5118" i="1"/>
  <c r="F5118" i="1"/>
  <c r="E5118" i="1"/>
  <c r="D5118" i="1"/>
  <c r="C5118" i="1"/>
  <c r="B5118" i="1"/>
  <c r="A5118" i="1"/>
  <c r="S5117" i="1"/>
  <c r="O5117" i="1"/>
  <c r="K5117" i="1"/>
  <c r="J5117" i="1"/>
  <c r="I5117" i="1"/>
  <c r="H5117" i="1"/>
  <c r="G5117" i="1"/>
  <c r="F5117" i="1"/>
  <c r="E5117" i="1"/>
  <c r="D5117" i="1"/>
  <c r="C5117" i="1"/>
  <c r="B5117" i="1"/>
  <c r="A5117" i="1"/>
  <c r="R5116" i="1"/>
  <c r="J5116" i="1"/>
  <c r="I5116" i="1"/>
  <c r="G5116" i="1"/>
  <c r="F5116" i="1"/>
  <c r="E5116" i="1"/>
  <c r="D5116" i="1"/>
  <c r="C5116" i="1"/>
  <c r="B5116" i="1"/>
  <c r="A5116" i="1"/>
  <c r="S5115" i="1"/>
  <c r="O5115" i="1"/>
  <c r="K5115" i="1"/>
  <c r="J5115" i="1"/>
  <c r="I5115" i="1"/>
  <c r="H5115" i="1"/>
  <c r="G5115" i="1"/>
  <c r="F5115" i="1"/>
  <c r="E5115" i="1"/>
  <c r="D5115" i="1"/>
  <c r="C5115" i="1"/>
  <c r="B5115" i="1"/>
  <c r="A5115" i="1"/>
  <c r="R5114" i="1"/>
  <c r="J5114" i="1"/>
  <c r="I5114" i="1"/>
  <c r="G5114" i="1"/>
  <c r="F5114" i="1"/>
  <c r="E5114" i="1"/>
  <c r="D5114" i="1"/>
  <c r="C5114" i="1"/>
  <c r="B5114" i="1"/>
  <c r="A5114" i="1"/>
  <c r="S5113" i="1"/>
  <c r="O5113" i="1"/>
  <c r="K5113" i="1"/>
  <c r="J5113" i="1"/>
  <c r="I5113" i="1"/>
  <c r="H5113" i="1"/>
  <c r="G5113" i="1"/>
  <c r="F5113" i="1"/>
  <c r="E5113" i="1"/>
  <c r="D5113" i="1"/>
  <c r="C5113" i="1"/>
  <c r="B5113" i="1"/>
  <c r="A5113" i="1"/>
  <c r="R5112" i="1"/>
  <c r="J5112" i="1"/>
  <c r="I5112" i="1"/>
  <c r="G5112" i="1"/>
  <c r="F5112" i="1"/>
  <c r="E5112" i="1"/>
  <c r="D5112" i="1"/>
  <c r="C5112" i="1"/>
  <c r="B5112" i="1"/>
  <c r="A5112" i="1"/>
  <c r="S5111" i="1"/>
  <c r="O5111" i="1"/>
  <c r="K5111" i="1"/>
  <c r="J5111" i="1"/>
  <c r="I5111" i="1"/>
  <c r="H5111" i="1"/>
  <c r="G5111" i="1"/>
  <c r="F5111" i="1"/>
  <c r="E5111" i="1"/>
  <c r="D5111" i="1"/>
  <c r="C5111" i="1"/>
  <c r="B5111" i="1"/>
  <c r="A5111" i="1"/>
  <c r="R5110" i="1"/>
  <c r="J5110" i="1"/>
  <c r="I5110" i="1"/>
  <c r="G5110" i="1"/>
  <c r="F5110" i="1"/>
  <c r="E5110" i="1"/>
  <c r="D5110" i="1"/>
  <c r="C5110" i="1"/>
  <c r="B5110" i="1"/>
  <c r="A5110" i="1"/>
  <c r="S5109" i="1"/>
  <c r="O5109" i="1"/>
  <c r="K5109" i="1"/>
  <c r="J5109" i="1"/>
  <c r="I5109" i="1"/>
  <c r="H5109" i="1"/>
  <c r="G5109" i="1"/>
  <c r="F5109" i="1"/>
  <c r="E5109" i="1"/>
  <c r="D5109" i="1"/>
  <c r="C5109" i="1"/>
  <c r="B5109" i="1"/>
  <c r="A5109" i="1"/>
  <c r="R5108" i="1"/>
  <c r="J5108" i="1"/>
  <c r="I5108" i="1"/>
  <c r="G5108" i="1"/>
  <c r="F5108" i="1"/>
  <c r="E5108" i="1"/>
  <c r="D5108" i="1"/>
  <c r="C5108" i="1"/>
  <c r="B5108" i="1"/>
  <c r="A5108" i="1"/>
  <c r="S5107" i="1"/>
  <c r="O5107" i="1"/>
  <c r="K5107" i="1"/>
  <c r="J5107" i="1"/>
  <c r="I5107" i="1"/>
  <c r="H5107" i="1"/>
  <c r="G5107" i="1"/>
  <c r="F5107" i="1"/>
  <c r="E5107" i="1"/>
  <c r="D5107" i="1"/>
  <c r="C5107" i="1"/>
  <c r="B5107" i="1"/>
  <c r="A5107" i="1"/>
  <c r="R5106" i="1"/>
  <c r="J5106" i="1"/>
  <c r="I5106" i="1"/>
  <c r="G5106" i="1"/>
  <c r="F5106" i="1"/>
  <c r="E5106" i="1"/>
  <c r="D5106" i="1"/>
  <c r="C5106" i="1"/>
  <c r="B5106" i="1"/>
  <c r="A5106" i="1"/>
  <c r="S5105" i="1"/>
  <c r="O5105" i="1"/>
  <c r="K5105" i="1"/>
  <c r="J5105" i="1"/>
  <c r="I5105" i="1"/>
  <c r="H5105" i="1"/>
  <c r="G5105" i="1"/>
  <c r="F5105" i="1"/>
  <c r="E5105" i="1"/>
  <c r="D5105" i="1"/>
  <c r="C5105" i="1"/>
  <c r="B5105" i="1"/>
  <c r="A5105" i="1"/>
  <c r="R5104" i="1"/>
  <c r="J5104" i="1"/>
  <c r="I5104" i="1"/>
  <c r="G5104" i="1"/>
  <c r="F5104" i="1"/>
  <c r="E5104" i="1"/>
  <c r="D5104" i="1"/>
  <c r="C5104" i="1"/>
  <c r="B5104" i="1"/>
  <c r="A5104" i="1"/>
  <c r="S5103" i="1"/>
  <c r="O5103" i="1"/>
  <c r="K5103" i="1"/>
  <c r="J5103" i="1"/>
  <c r="I5103" i="1"/>
  <c r="H5103" i="1"/>
  <c r="G5103" i="1"/>
  <c r="F5103" i="1"/>
  <c r="E5103" i="1"/>
  <c r="D5103" i="1"/>
  <c r="C5103" i="1"/>
  <c r="B5103" i="1"/>
  <c r="A5103" i="1"/>
  <c r="R5102" i="1"/>
  <c r="J5102" i="1"/>
  <c r="I5102" i="1"/>
  <c r="G5102" i="1"/>
  <c r="F5102" i="1"/>
  <c r="E5102" i="1"/>
  <c r="D5102" i="1"/>
  <c r="C5102" i="1"/>
  <c r="B5102" i="1"/>
  <c r="A5102" i="1"/>
  <c r="S5101" i="1"/>
  <c r="O5101" i="1"/>
  <c r="K5101" i="1"/>
  <c r="J5101" i="1"/>
  <c r="I5101" i="1"/>
  <c r="H5101" i="1"/>
  <c r="G5101" i="1"/>
  <c r="F5101" i="1"/>
  <c r="E5101" i="1"/>
  <c r="D5101" i="1"/>
  <c r="C5101" i="1"/>
  <c r="B5101" i="1"/>
  <c r="A5101" i="1"/>
  <c r="R5100" i="1"/>
  <c r="J5100" i="1"/>
  <c r="I5100" i="1"/>
  <c r="G5100" i="1"/>
  <c r="F5100" i="1"/>
  <c r="E5100" i="1"/>
  <c r="D5100" i="1"/>
  <c r="C5100" i="1"/>
  <c r="B5100" i="1"/>
  <c r="A5100" i="1"/>
  <c r="S5099" i="1"/>
  <c r="O5099" i="1"/>
  <c r="K5099" i="1"/>
  <c r="J5099" i="1"/>
  <c r="I5099" i="1"/>
  <c r="H5099" i="1"/>
  <c r="G5099" i="1"/>
  <c r="F5099" i="1"/>
  <c r="E5099" i="1"/>
  <c r="D5099" i="1"/>
  <c r="C5099" i="1"/>
  <c r="B5099" i="1"/>
  <c r="A5099" i="1"/>
  <c r="R5098" i="1"/>
  <c r="J5098" i="1"/>
  <c r="I5098" i="1"/>
  <c r="G5098" i="1"/>
  <c r="F5098" i="1"/>
  <c r="E5098" i="1"/>
  <c r="D5098" i="1"/>
  <c r="C5098" i="1"/>
  <c r="B5098" i="1"/>
  <c r="A5098" i="1"/>
  <c r="S5097" i="1"/>
  <c r="O5097" i="1"/>
  <c r="K5097" i="1"/>
  <c r="J5097" i="1"/>
  <c r="I5097" i="1"/>
  <c r="H5097" i="1"/>
  <c r="G5097" i="1"/>
  <c r="F5097" i="1"/>
  <c r="E5097" i="1"/>
  <c r="D5097" i="1"/>
  <c r="C5097" i="1"/>
  <c r="B5097" i="1"/>
  <c r="A5097" i="1"/>
  <c r="R5096" i="1"/>
  <c r="J5096" i="1"/>
  <c r="I5096" i="1"/>
  <c r="G5096" i="1"/>
  <c r="F5096" i="1"/>
  <c r="E5096" i="1"/>
  <c r="D5096" i="1"/>
  <c r="C5096" i="1"/>
  <c r="B5096" i="1"/>
  <c r="A5096" i="1"/>
  <c r="S5095" i="1"/>
  <c r="O5095" i="1"/>
  <c r="K5095" i="1"/>
  <c r="J5095" i="1"/>
  <c r="I5095" i="1"/>
  <c r="H5095" i="1"/>
  <c r="G5095" i="1"/>
  <c r="F5095" i="1"/>
  <c r="E5095" i="1"/>
  <c r="D5095" i="1"/>
  <c r="C5095" i="1"/>
  <c r="B5095" i="1"/>
  <c r="A5095" i="1"/>
  <c r="R5094" i="1"/>
  <c r="J5094" i="1"/>
  <c r="I5094" i="1"/>
  <c r="G5094" i="1"/>
  <c r="F5094" i="1"/>
  <c r="E5094" i="1"/>
  <c r="D5094" i="1"/>
  <c r="C5094" i="1"/>
  <c r="B5094" i="1"/>
  <c r="A5094" i="1"/>
  <c r="S5093" i="1"/>
  <c r="O5093" i="1"/>
  <c r="K5093" i="1"/>
  <c r="J5093" i="1"/>
  <c r="I5093" i="1"/>
  <c r="H5093" i="1"/>
  <c r="G5093" i="1"/>
  <c r="F5093" i="1"/>
  <c r="E5093" i="1"/>
  <c r="D5093" i="1"/>
  <c r="C5093" i="1"/>
  <c r="B5093" i="1"/>
  <c r="A5093" i="1"/>
  <c r="R5092" i="1"/>
  <c r="J5092" i="1"/>
  <c r="I5092" i="1"/>
  <c r="G5092" i="1"/>
  <c r="F5092" i="1"/>
  <c r="E5092" i="1"/>
  <c r="D5092" i="1"/>
  <c r="C5092" i="1"/>
  <c r="B5092" i="1"/>
  <c r="A5092" i="1"/>
  <c r="S5091" i="1"/>
  <c r="O5091" i="1"/>
  <c r="K5091" i="1"/>
  <c r="J5091" i="1"/>
  <c r="I5091" i="1"/>
  <c r="H5091" i="1"/>
  <c r="G5091" i="1"/>
  <c r="F5091" i="1"/>
  <c r="E5091" i="1"/>
  <c r="D5091" i="1"/>
  <c r="C5091" i="1"/>
  <c r="B5091" i="1"/>
  <c r="A5091" i="1"/>
  <c r="R5090" i="1"/>
  <c r="J5090" i="1"/>
  <c r="I5090" i="1"/>
  <c r="G5090" i="1"/>
  <c r="F5090" i="1"/>
  <c r="E5090" i="1"/>
  <c r="D5090" i="1"/>
  <c r="C5090" i="1"/>
  <c r="B5090" i="1"/>
  <c r="A5090" i="1"/>
  <c r="S5089" i="1"/>
  <c r="O5089" i="1"/>
  <c r="K5089" i="1"/>
  <c r="J5089" i="1"/>
  <c r="I5089" i="1"/>
  <c r="H5089" i="1"/>
  <c r="G5089" i="1"/>
  <c r="F5089" i="1"/>
  <c r="E5089" i="1"/>
  <c r="D5089" i="1"/>
  <c r="C5089" i="1"/>
  <c r="B5089" i="1"/>
  <c r="A5089" i="1"/>
  <c r="R5088" i="1"/>
  <c r="J5088" i="1"/>
  <c r="I5088" i="1"/>
  <c r="G5088" i="1"/>
  <c r="F5088" i="1"/>
  <c r="E5088" i="1"/>
  <c r="D5088" i="1"/>
  <c r="C5088" i="1"/>
  <c r="B5088" i="1"/>
  <c r="A5088" i="1"/>
  <c r="R5087" i="1"/>
  <c r="J5087" i="1"/>
  <c r="I5087" i="1"/>
  <c r="G5087" i="1"/>
  <c r="F5087" i="1"/>
  <c r="E5087" i="1"/>
  <c r="D5087" i="1"/>
  <c r="C5087" i="1"/>
  <c r="B5087" i="1"/>
  <c r="A5087" i="1"/>
  <c r="S5086" i="1"/>
  <c r="O5086" i="1"/>
  <c r="K5086" i="1"/>
  <c r="J5086" i="1"/>
  <c r="I5086" i="1"/>
  <c r="H5086" i="1"/>
  <c r="G5086" i="1"/>
  <c r="F5086" i="1"/>
  <c r="E5086" i="1"/>
  <c r="D5086" i="1"/>
  <c r="C5086" i="1"/>
  <c r="B5086" i="1"/>
  <c r="A5086" i="1"/>
  <c r="R5085" i="1"/>
  <c r="J5085" i="1"/>
  <c r="I5085" i="1"/>
  <c r="G5085" i="1"/>
  <c r="F5085" i="1"/>
  <c r="E5085" i="1"/>
  <c r="D5085" i="1"/>
  <c r="C5085" i="1"/>
  <c r="B5085" i="1"/>
  <c r="A5085" i="1"/>
  <c r="S5084" i="1"/>
  <c r="O5084" i="1"/>
  <c r="K5084" i="1"/>
  <c r="J5084" i="1"/>
  <c r="I5084" i="1"/>
  <c r="H5084" i="1"/>
  <c r="G5084" i="1"/>
  <c r="F5084" i="1"/>
  <c r="E5084" i="1"/>
  <c r="D5084" i="1"/>
  <c r="C5084" i="1"/>
  <c r="B5084" i="1"/>
  <c r="A5084" i="1"/>
  <c r="R5083" i="1"/>
  <c r="J5083" i="1"/>
  <c r="I5083" i="1"/>
  <c r="G5083" i="1"/>
  <c r="F5083" i="1"/>
  <c r="E5083" i="1"/>
  <c r="D5083" i="1"/>
  <c r="C5083" i="1"/>
  <c r="B5083" i="1"/>
  <c r="A5083" i="1"/>
  <c r="S5082" i="1"/>
  <c r="O5082" i="1"/>
  <c r="K5082" i="1"/>
  <c r="J5082" i="1"/>
  <c r="I5082" i="1"/>
  <c r="H5082" i="1"/>
  <c r="G5082" i="1"/>
  <c r="F5082" i="1"/>
  <c r="E5082" i="1"/>
  <c r="D5082" i="1"/>
  <c r="C5082" i="1"/>
  <c r="B5082" i="1"/>
  <c r="A5082" i="1"/>
  <c r="R5081" i="1"/>
  <c r="J5081" i="1"/>
  <c r="I5081" i="1"/>
  <c r="G5081" i="1"/>
  <c r="F5081" i="1"/>
  <c r="E5081" i="1"/>
  <c r="D5081" i="1"/>
  <c r="C5081" i="1"/>
  <c r="B5081" i="1"/>
  <c r="A5081" i="1"/>
  <c r="S5080" i="1"/>
  <c r="O5080" i="1"/>
  <c r="K5080" i="1"/>
  <c r="J5080" i="1"/>
  <c r="I5080" i="1"/>
  <c r="H5080" i="1"/>
  <c r="G5080" i="1"/>
  <c r="F5080" i="1"/>
  <c r="E5080" i="1"/>
  <c r="D5080" i="1"/>
  <c r="C5080" i="1"/>
  <c r="B5080" i="1"/>
  <c r="A5080" i="1"/>
  <c r="R5079" i="1"/>
  <c r="J5079" i="1"/>
  <c r="I5079" i="1"/>
  <c r="G5079" i="1"/>
  <c r="F5079" i="1"/>
  <c r="E5079" i="1"/>
  <c r="D5079" i="1"/>
  <c r="C5079" i="1"/>
  <c r="B5079" i="1"/>
  <c r="A5079" i="1"/>
  <c r="R5078" i="1"/>
  <c r="J5078" i="1"/>
  <c r="I5078" i="1"/>
  <c r="G5078" i="1"/>
  <c r="F5078" i="1"/>
  <c r="E5078" i="1"/>
  <c r="D5078" i="1"/>
  <c r="C5078" i="1"/>
  <c r="B5078" i="1"/>
  <c r="A5078" i="1"/>
  <c r="S5077" i="1"/>
  <c r="O5077" i="1"/>
  <c r="K5077" i="1"/>
  <c r="J5077" i="1"/>
  <c r="I5077" i="1"/>
  <c r="H5077" i="1"/>
  <c r="G5077" i="1"/>
  <c r="F5077" i="1"/>
  <c r="E5077" i="1"/>
  <c r="D5077" i="1"/>
  <c r="C5077" i="1"/>
  <c r="B5077" i="1"/>
  <c r="A5077" i="1"/>
  <c r="R5076" i="1"/>
  <c r="J5076" i="1"/>
  <c r="I5076" i="1"/>
  <c r="G5076" i="1"/>
  <c r="F5076" i="1"/>
  <c r="E5076" i="1"/>
  <c r="D5076" i="1"/>
  <c r="C5076" i="1"/>
  <c r="B5076" i="1"/>
  <c r="A5076" i="1"/>
  <c r="S5075" i="1"/>
  <c r="O5075" i="1"/>
  <c r="K5075" i="1"/>
  <c r="J5075" i="1"/>
  <c r="I5075" i="1"/>
  <c r="H5075" i="1"/>
  <c r="G5075" i="1"/>
  <c r="F5075" i="1"/>
  <c r="E5075" i="1"/>
  <c r="D5075" i="1"/>
  <c r="C5075" i="1"/>
  <c r="B5075" i="1"/>
  <c r="A5075" i="1"/>
  <c r="R5074" i="1"/>
  <c r="J5074" i="1"/>
  <c r="I5074" i="1"/>
  <c r="G5074" i="1"/>
  <c r="F5074" i="1"/>
  <c r="E5074" i="1"/>
  <c r="D5074" i="1"/>
  <c r="C5074" i="1"/>
  <c r="B5074" i="1"/>
  <c r="A5074" i="1"/>
  <c r="S5073" i="1"/>
  <c r="O5073" i="1"/>
  <c r="K5073" i="1"/>
  <c r="J5073" i="1"/>
  <c r="I5073" i="1"/>
  <c r="H5073" i="1"/>
  <c r="G5073" i="1"/>
  <c r="F5073" i="1"/>
  <c r="E5073" i="1"/>
  <c r="D5073" i="1"/>
  <c r="C5073" i="1"/>
  <c r="B5073" i="1"/>
  <c r="A5073" i="1"/>
  <c r="R5072" i="1"/>
  <c r="J5072" i="1"/>
  <c r="I5072" i="1"/>
  <c r="G5072" i="1"/>
  <c r="F5072" i="1"/>
  <c r="E5072" i="1"/>
  <c r="D5072" i="1"/>
  <c r="C5072" i="1"/>
  <c r="B5072" i="1"/>
  <c r="A5072" i="1"/>
  <c r="S5071" i="1"/>
  <c r="O5071" i="1"/>
  <c r="K5071" i="1"/>
  <c r="J5071" i="1"/>
  <c r="I5071" i="1"/>
  <c r="H5071" i="1"/>
  <c r="G5071" i="1"/>
  <c r="F5071" i="1"/>
  <c r="E5071" i="1"/>
  <c r="D5071" i="1"/>
  <c r="C5071" i="1"/>
  <c r="B5071" i="1"/>
  <c r="A5071" i="1"/>
  <c r="R5070" i="1"/>
  <c r="J5070" i="1"/>
  <c r="I5070" i="1"/>
  <c r="G5070" i="1"/>
  <c r="F5070" i="1"/>
  <c r="E5070" i="1"/>
  <c r="D5070" i="1"/>
  <c r="C5070" i="1"/>
  <c r="B5070" i="1"/>
  <c r="A5070" i="1"/>
  <c r="S5069" i="1"/>
  <c r="O5069" i="1"/>
  <c r="K5069" i="1"/>
  <c r="J5069" i="1"/>
  <c r="I5069" i="1"/>
  <c r="H5069" i="1"/>
  <c r="G5069" i="1"/>
  <c r="F5069" i="1"/>
  <c r="E5069" i="1"/>
  <c r="D5069" i="1"/>
  <c r="C5069" i="1"/>
  <c r="B5069" i="1"/>
  <c r="A5069" i="1"/>
  <c r="R5068" i="1"/>
  <c r="J5068" i="1"/>
  <c r="I5068" i="1"/>
  <c r="G5068" i="1"/>
  <c r="F5068" i="1"/>
  <c r="E5068" i="1"/>
  <c r="D5068" i="1"/>
  <c r="C5068" i="1"/>
  <c r="B5068" i="1"/>
  <c r="A5068" i="1"/>
  <c r="S5067" i="1"/>
  <c r="O5067" i="1"/>
  <c r="K5067" i="1"/>
  <c r="J5067" i="1"/>
  <c r="I5067" i="1"/>
  <c r="H5067" i="1"/>
  <c r="G5067" i="1"/>
  <c r="F5067" i="1"/>
  <c r="E5067" i="1"/>
  <c r="D5067" i="1"/>
  <c r="C5067" i="1"/>
  <c r="B5067" i="1"/>
  <c r="A5067" i="1"/>
  <c r="R5066" i="1"/>
  <c r="J5066" i="1"/>
  <c r="I5066" i="1"/>
  <c r="G5066" i="1"/>
  <c r="F5066" i="1"/>
  <c r="E5066" i="1"/>
  <c r="D5066" i="1"/>
  <c r="C5066" i="1"/>
  <c r="B5066" i="1"/>
  <c r="A5066" i="1"/>
  <c r="R5065" i="1"/>
  <c r="J5065" i="1"/>
  <c r="I5065" i="1"/>
  <c r="G5065" i="1"/>
  <c r="F5065" i="1"/>
  <c r="E5065" i="1"/>
  <c r="D5065" i="1"/>
  <c r="C5065" i="1"/>
  <c r="B5065" i="1"/>
  <c r="A5065" i="1"/>
  <c r="S5064" i="1"/>
  <c r="O5064" i="1"/>
  <c r="K5064" i="1"/>
  <c r="J5064" i="1"/>
  <c r="I5064" i="1"/>
  <c r="H5064" i="1"/>
  <c r="G5064" i="1"/>
  <c r="F5064" i="1"/>
  <c r="E5064" i="1"/>
  <c r="D5064" i="1"/>
  <c r="C5064" i="1"/>
  <c r="B5064" i="1"/>
  <c r="A5064" i="1"/>
  <c r="R5063" i="1"/>
  <c r="J5063" i="1"/>
  <c r="I5063" i="1"/>
  <c r="G5063" i="1"/>
  <c r="F5063" i="1"/>
  <c r="E5063" i="1"/>
  <c r="D5063" i="1"/>
  <c r="C5063" i="1"/>
  <c r="B5063" i="1"/>
  <c r="A5063" i="1"/>
  <c r="S5062" i="1"/>
  <c r="O5062" i="1"/>
  <c r="K5062" i="1"/>
  <c r="J5062" i="1"/>
  <c r="I5062" i="1"/>
  <c r="H5062" i="1"/>
  <c r="G5062" i="1"/>
  <c r="F5062" i="1"/>
  <c r="E5062" i="1"/>
  <c r="D5062" i="1"/>
  <c r="C5062" i="1"/>
  <c r="B5062" i="1"/>
  <c r="A5062" i="1"/>
  <c r="R5061" i="1"/>
  <c r="J5061" i="1"/>
  <c r="I5061" i="1"/>
  <c r="G5061" i="1"/>
  <c r="F5061" i="1"/>
  <c r="E5061" i="1"/>
  <c r="D5061" i="1"/>
  <c r="C5061" i="1"/>
  <c r="B5061" i="1"/>
  <c r="A5061" i="1"/>
  <c r="S5060" i="1"/>
  <c r="O5060" i="1"/>
  <c r="K5060" i="1"/>
  <c r="J5060" i="1"/>
  <c r="I5060" i="1"/>
  <c r="H5060" i="1"/>
  <c r="G5060" i="1"/>
  <c r="F5060" i="1"/>
  <c r="E5060" i="1"/>
  <c r="D5060" i="1"/>
  <c r="C5060" i="1"/>
  <c r="B5060" i="1"/>
  <c r="A5060" i="1"/>
  <c r="R5059" i="1"/>
  <c r="J5059" i="1"/>
  <c r="I5059" i="1"/>
  <c r="G5059" i="1"/>
  <c r="F5059" i="1"/>
  <c r="E5059" i="1"/>
  <c r="D5059" i="1"/>
  <c r="C5059" i="1"/>
  <c r="B5059" i="1"/>
  <c r="A5059" i="1"/>
  <c r="S5058" i="1"/>
  <c r="O5058" i="1"/>
  <c r="K5058" i="1"/>
  <c r="J5058" i="1"/>
  <c r="I5058" i="1"/>
  <c r="H5058" i="1"/>
  <c r="G5058" i="1"/>
  <c r="F5058" i="1"/>
  <c r="E5058" i="1"/>
  <c r="D5058" i="1"/>
  <c r="C5058" i="1"/>
  <c r="B5058" i="1"/>
  <c r="A5058" i="1"/>
  <c r="S5057" i="1"/>
  <c r="O5057" i="1"/>
  <c r="K5057" i="1"/>
  <c r="J5057" i="1"/>
  <c r="I5057" i="1"/>
  <c r="H5057" i="1"/>
  <c r="G5057" i="1"/>
  <c r="F5057" i="1"/>
  <c r="D5057" i="1"/>
  <c r="C5057" i="1"/>
  <c r="B5057" i="1"/>
  <c r="A5057" i="1"/>
  <c r="R5056" i="1"/>
  <c r="J5056" i="1"/>
  <c r="I5056" i="1"/>
  <c r="G5056" i="1"/>
  <c r="F5056" i="1"/>
  <c r="E5056" i="1"/>
  <c r="D5056" i="1"/>
  <c r="C5056" i="1"/>
  <c r="B5056" i="1"/>
  <c r="A5056" i="1"/>
  <c r="S5055" i="1"/>
  <c r="O5055" i="1"/>
  <c r="K5055" i="1"/>
  <c r="J5055" i="1"/>
  <c r="I5055" i="1"/>
  <c r="H5055" i="1"/>
  <c r="G5055" i="1"/>
  <c r="F5055" i="1"/>
  <c r="E5055" i="1"/>
  <c r="D5055" i="1"/>
  <c r="C5055" i="1"/>
  <c r="B5055" i="1"/>
  <c r="A5055" i="1"/>
  <c r="R5054" i="1"/>
  <c r="J5054" i="1"/>
  <c r="I5054" i="1"/>
  <c r="G5054" i="1"/>
  <c r="F5054" i="1"/>
  <c r="E5054" i="1"/>
  <c r="D5054" i="1"/>
  <c r="C5054" i="1"/>
  <c r="B5054" i="1"/>
  <c r="A5054" i="1"/>
  <c r="S5053" i="1"/>
  <c r="O5053" i="1"/>
  <c r="K5053" i="1"/>
  <c r="J5053" i="1"/>
  <c r="I5053" i="1"/>
  <c r="H5053" i="1"/>
  <c r="G5053" i="1"/>
  <c r="F5053" i="1"/>
  <c r="E5053" i="1"/>
  <c r="D5053" i="1"/>
  <c r="C5053" i="1"/>
  <c r="B5053" i="1"/>
  <c r="A5053" i="1"/>
  <c r="R5052" i="1"/>
  <c r="J5052" i="1"/>
  <c r="I5052" i="1"/>
  <c r="G5052" i="1"/>
  <c r="F5052" i="1"/>
  <c r="E5052" i="1"/>
  <c r="D5052" i="1"/>
  <c r="C5052" i="1"/>
  <c r="B5052" i="1"/>
  <c r="A5052" i="1"/>
  <c r="S5051" i="1"/>
  <c r="O5051" i="1"/>
  <c r="K5051" i="1"/>
  <c r="J5051" i="1"/>
  <c r="I5051" i="1"/>
  <c r="H5051" i="1"/>
  <c r="G5051" i="1"/>
  <c r="F5051" i="1"/>
  <c r="E5051" i="1"/>
  <c r="D5051" i="1"/>
  <c r="C5051" i="1"/>
  <c r="B5051" i="1"/>
  <c r="A5051" i="1"/>
  <c r="R5050" i="1"/>
  <c r="J5050" i="1"/>
  <c r="I5050" i="1"/>
  <c r="G5050" i="1"/>
  <c r="F5050" i="1"/>
  <c r="E5050" i="1"/>
  <c r="D5050" i="1"/>
  <c r="C5050" i="1"/>
  <c r="B5050" i="1"/>
  <c r="A5050" i="1"/>
  <c r="S5049" i="1"/>
  <c r="O5049" i="1"/>
  <c r="K5049" i="1"/>
  <c r="J5049" i="1"/>
  <c r="I5049" i="1"/>
  <c r="H5049" i="1"/>
  <c r="G5049" i="1"/>
  <c r="F5049" i="1"/>
  <c r="E5049" i="1"/>
  <c r="D5049" i="1"/>
  <c r="C5049" i="1"/>
  <c r="B5049" i="1"/>
  <c r="A5049" i="1"/>
  <c r="R5048" i="1"/>
  <c r="J5048" i="1"/>
  <c r="I5048" i="1"/>
  <c r="G5048" i="1"/>
  <c r="F5048" i="1"/>
  <c r="E5048" i="1"/>
  <c r="D5048" i="1"/>
  <c r="C5048" i="1"/>
  <c r="B5048" i="1"/>
  <c r="A5048" i="1"/>
  <c r="S5047" i="1"/>
  <c r="O5047" i="1"/>
  <c r="K5047" i="1"/>
  <c r="J5047" i="1"/>
  <c r="I5047" i="1"/>
  <c r="H5047" i="1"/>
  <c r="G5047" i="1"/>
  <c r="F5047" i="1"/>
  <c r="E5047" i="1"/>
  <c r="D5047" i="1"/>
  <c r="C5047" i="1"/>
  <c r="B5047" i="1"/>
  <c r="A5047" i="1"/>
  <c r="R5046" i="1"/>
  <c r="J5046" i="1"/>
  <c r="I5046" i="1"/>
  <c r="G5046" i="1"/>
  <c r="F5046" i="1"/>
  <c r="E5046" i="1"/>
  <c r="D5046" i="1"/>
  <c r="C5046" i="1"/>
  <c r="B5046" i="1"/>
  <c r="A5046" i="1"/>
  <c r="R5045" i="1"/>
  <c r="J5045" i="1"/>
  <c r="I5045" i="1"/>
  <c r="G5045" i="1"/>
  <c r="F5045" i="1"/>
  <c r="E5045" i="1"/>
  <c r="D5045" i="1"/>
  <c r="C5045" i="1"/>
  <c r="B5045" i="1"/>
  <c r="A5045" i="1"/>
  <c r="R5044" i="1"/>
  <c r="J5044" i="1"/>
  <c r="I5044" i="1"/>
  <c r="G5044" i="1"/>
  <c r="F5044" i="1"/>
  <c r="E5044" i="1"/>
  <c r="D5044" i="1"/>
  <c r="C5044" i="1"/>
  <c r="B5044" i="1"/>
  <c r="A5044" i="1"/>
  <c r="S5043" i="1"/>
  <c r="O5043" i="1"/>
  <c r="K5043" i="1"/>
  <c r="J5043" i="1"/>
  <c r="I5043" i="1"/>
  <c r="H5043" i="1"/>
  <c r="G5043" i="1"/>
  <c r="F5043" i="1"/>
  <c r="E5043" i="1"/>
  <c r="D5043" i="1"/>
  <c r="C5043" i="1"/>
  <c r="B5043" i="1"/>
  <c r="A5043" i="1"/>
  <c r="R5042" i="1"/>
  <c r="J5042" i="1"/>
  <c r="I5042" i="1"/>
  <c r="G5042" i="1"/>
  <c r="F5042" i="1"/>
  <c r="E5042" i="1"/>
  <c r="D5042" i="1"/>
  <c r="C5042" i="1"/>
  <c r="B5042" i="1"/>
  <c r="A5042" i="1"/>
  <c r="S5041" i="1"/>
  <c r="O5041" i="1"/>
  <c r="K5041" i="1"/>
  <c r="J5041" i="1"/>
  <c r="I5041" i="1"/>
  <c r="H5041" i="1"/>
  <c r="G5041" i="1"/>
  <c r="F5041" i="1"/>
  <c r="E5041" i="1"/>
  <c r="D5041" i="1"/>
  <c r="C5041" i="1"/>
  <c r="B5041" i="1"/>
  <c r="A5041" i="1"/>
  <c r="R5040" i="1"/>
  <c r="J5040" i="1"/>
  <c r="I5040" i="1"/>
  <c r="G5040" i="1"/>
  <c r="F5040" i="1"/>
  <c r="E5040" i="1"/>
  <c r="D5040" i="1"/>
  <c r="C5040" i="1"/>
  <c r="B5040" i="1"/>
  <c r="A5040" i="1"/>
  <c r="S5039" i="1"/>
  <c r="O5039" i="1"/>
  <c r="K5039" i="1"/>
  <c r="J5039" i="1"/>
  <c r="I5039" i="1"/>
  <c r="H5039" i="1"/>
  <c r="G5039" i="1"/>
  <c r="F5039" i="1"/>
  <c r="E5039" i="1"/>
  <c r="D5039" i="1"/>
  <c r="C5039" i="1"/>
  <c r="B5039" i="1"/>
  <c r="A5039" i="1"/>
  <c r="R5038" i="1"/>
  <c r="J5038" i="1"/>
  <c r="I5038" i="1"/>
  <c r="G5038" i="1"/>
  <c r="F5038" i="1"/>
  <c r="E5038" i="1"/>
  <c r="D5038" i="1"/>
  <c r="C5038" i="1"/>
  <c r="B5038" i="1"/>
  <c r="A5038" i="1"/>
  <c r="S5037" i="1"/>
  <c r="O5037" i="1"/>
  <c r="K5037" i="1"/>
  <c r="J5037" i="1"/>
  <c r="I5037" i="1"/>
  <c r="H5037" i="1"/>
  <c r="G5037" i="1"/>
  <c r="F5037" i="1"/>
  <c r="E5037" i="1"/>
  <c r="D5037" i="1"/>
  <c r="C5037" i="1"/>
  <c r="B5037" i="1"/>
  <c r="A5037" i="1"/>
  <c r="R5036" i="1"/>
  <c r="J5036" i="1"/>
  <c r="I5036" i="1"/>
  <c r="G5036" i="1"/>
  <c r="F5036" i="1"/>
  <c r="E5036" i="1"/>
  <c r="D5036" i="1"/>
  <c r="C5036" i="1"/>
  <c r="B5036" i="1"/>
  <c r="A5036" i="1"/>
  <c r="R5035" i="1"/>
  <c r="J5035" i="1"/>
  <c r="I5035" i="1"/>
  <c r="G5035" i="1"/>
  <c r="F5035" i="1"/>
  <c r="E5035" i="1"/>
  <c r="D5035" i="1"/>
  <c r="C5035" i="1"/>
  <c r="B5035" i="1"/>
  <c r="A5035" i="1"/>
  <c r="R5034" i="1"/>
  <c r="J5034" i="1"/>
  <c r="I5034" i="1"/>
  <c r="G5034" i="1"/>
  <c r="F5034" i="1"/>
  <c r="E5034" i="1"/>
  <c r="D5034" i="1"/>
  <c r="C5034" i="1"/>
  <c r="B5034" i="1"/>
  <c r="A5034" i="1"/>
  <c r="R5033" i="1"/>
  <c r="J5033" i="1"/>
  <c r="I5033" i="1"/>
  <c r="G5033" i="1"/>
  <c r="F5033" i="1"/>
  <c r="E5033" i="1"/>
  <c r="D5033" i="1"/>
  <c r="C5033" i="1"/>
  <c r="B5033" i="1"/>
  <c r="A5033" i="1"/>
  <c r="R5032" i="1"/>
  <c r="J5032" i="1"/>
  <c r="I5032" i="1"/>
  <c r="G5032" i="1"/>
  <c r="F5032" i="1"/>
  <c r="E5032" i="1"/>
  <c r="D5032" i="1"/>
  <c r="C5032" i="1"/>
  <c r="B5032" i="1"/>
  <c r="A5032" i="1"/>
  <c r="R5031" i="1"/>
  <c r="J5031" i="1"/>
  <c r="I5031" i="1"/>
  <c r="G5031" i="1"/>
  <c r="F5031" i="1"/>
  <c r="E5031" i="1"/>
  <c r="D5031" i="1"/>
  <c r="C5031" i="1"/>
  <c r="B5031" i="1"/>
  <c r="A5031" i="1"/>
  <c r="R5030" i="1"/>
  <c r="J5030" i="1"/>
  <c r="I5030" i="1"/>
  <c r="G5030" i="1"/>
  <c r="F5030" i="1"/>
  <c r="E5030" i="1"/>
  <c r="D5030" i="1"/>
  <c r="C5030" i="1"/>
  <c r="B5030" i="1"/>
  <c r="A5030" i="1"/>
  <c r="R5029" i="1"/>
  <c r="J5029" i="1"/>
  <c r="I5029" i="1"/>
  <c r="G5029" i="1"/>
  <c r="F5029" i="1"/>
  <c r="E5029" i="1"/>
  <c r="D5029" i="1"/>
  <c r="C5029" i="1"/>
  <c r="B5029" i="1"/>
  <c r="A5029" i="1"/>
  <c r="R5028" i="1"/>
  <c r="J5028" i="1"/>
  <c r="I5028" i="1"/>
  <c r="G5028" i="1"/>
  <c r="F5028" i="1"/>
  <c r="E5028" i="1"/>
  <c r="D5028" i="1"/>
  <c r="C5028" i="1"/>
  <c r="B5028" i="1"/>
  <c r="A5028" i="1"/>
  <c r="R5027" i="1"/>
  <c r="J5027" i="1"/>
  <c r="I5027" i="1"/>
  <c r="G5027" i="1"/>
  <c r="F5027" i="1"/>
  <c r="E5027" i="1"/>
  <c r="D5027" i="1"/>
  <c r="C5027" i="1"/>
  <c r="B5027" i="1"/>
  <c r="A5027" i="1"/>
  <c r="S5026" i="1"/>
  <c r="O5026" i="1"/>
  <c r="K5026" i="1"/>
  <c r="J5026" i="1"/>
  <c r="I5026" i="1"/>
  <c r="H5026" i="1"/>
  <c r="G5026" i="1"/>
  <c r="F5026" i="1"/>
  <c r="E5026" i="1"/>
  <c r="D5026" i="1"/>
  <c r="C5026" i="1"/>
  <c r="B5026" i="1"/>
  <c r="A5026" i="1"/>
  <c r="R5025" i="1"/>
  <c r="J5025" i="1"/>
  <c r="I5025" i="1"/>
  <c r="G5025" i="1"/>
  <c r="F5025" i="1"/>
  <c r="E5025" i="1"/>
  <c r="D5025" i="1"/>
  <c r="C5025" i="1"/>
  <c r="B5025" i="1"/>
  <c r="A5025" i="1"/>
  <c r="R5024" i="1"/>
  <c r="J5024" i="1"/>
  <c r="I5024" i="1"/>
  <c r="G5024" i="1"/>
  <c r="F5024" i="1"/>
  <c r="E5024" i="1"/>
  <c r="D5024" i="1"/>
  <c r="C5024" i="1"/>
  <c r="B5024" i="1"/>
  <c r="A5024" i="1"/>
  <c r="R5023" i="1"/>
  <c r="J5023" i="1"/>
  <c r="I5023" i="1"/>
  <c r="G5023" i="1"/>
  <c r="F5023" i="1"/>
  <c r="E5023" i="1"/>
  <c r="D5023" i="1"/>
  <c r="C5023" i="1"/>
  <c r="B5023" i="1"/>
  <c r="A5023" i="1"/>
  <c r="R5022" i="1"/>
  <c r="J5022" i="1"/>
  <c r="I5022" i="1"/>
  <c r="G5022" i="1"/>
  <c r="F5022" i="1"/>
  <c r="E5022" i="1"/>
  <c r="D5022" i="1"/>
  <c r="C5022" i="1"/>
  <c r="B5022" i="1"/>
  <c r="A5022" i="1"/>
  <c r="R5021" i="1"/>
  <c r="J5021" i="1"/>
  <c r="I5021" i="1"/>
  <c r="G5021" i="1"/>
  <c r="F5021" i="1"/>
  <c r="E5021" i="1"/>
  <c r="D5021" i="1"/>
  <c r="C5021" i="1"/>
  <c r="B5021" i="1"/>
  <c r="A5021" i="1"/>
  <c r="R5020" i="1"/>
  <c r="J5020" i="1"/>
  <c r="I5020" i="1"/>
  <c r="G5020" i="1"/>
  <c r="F5020" i="1"/>
  <c r="E5020" i="1"/>
  <c r="D5020" i="1"/>
  <c r="C5020" i="1"/>
  <c r="B5020" i="1"/>
  <c r="A5020" i="1"/>
  <c r="R5019" i="1"/>
  <c r="J5019" i="1"/>
  <c r="I5019" i="1"/>
  <c r="G5019" i="1"/>
  <c r="F5019" i="1"/>
  <c r="E5019" i="1"/>
  <c r="D5019" i="1"/>
  <c r="C5019" i="1"/>
  <c r="B5019" i="1"/>
  <c r="A5019" i="1"/>
  <c r="R5018" i="1"/>
  <c r="J5018" i="1"/>
  <c r="I5018" i="1"/>
  <c r="G5018" i="1"/>
  <c r="F5018" i="1"/>
  <c r="E5018" i="1"/>
  <c r="D5018" i="1"/>
  <c r="C5018" i="1"/>
  <c r="B5018" i="1"/>
  <c r="A5018" i="1"/>
  <c r="R5017" i="1"/>
  <c r="J5017" i="1"/>
  <c r="I5017" i="1"/>
  <c r="G5017" i="1"/>
  <c r="F5017" i="1"/>
  <c r="E5017" i="1"/>
  <c r="D5017" i="1"/>
  <c r="C5017" i="1"/>
  <c r="B5017" i="1"/>
  <c r="A5017" i="1"/>
  <c r="R5016" i="1"/>
  <c r="J5016" i="1"/>
  <c r="I5016" i="1"/>
  <c r="G5016" i="1"/>
  <c r="F5016" i="1"/>
  <c r="E5016" i="1"/>
  <c r="D5016" i="1"/>
  <c r="C5016" i="1"/>
  <c r="B5016" i="1"/>
  <c r="A5016" i="1"/>
  <c r="R5015" i="1"/>
  <c r="J5015" i="1"/>
  <c r="I5015" i="1"/>
  <c r="G5015" i="1"/>
  <c r="F5015" i="1"/>
  <c r="E5015" i="1"/>
  <c r="D5015" i="1"/>
  <c r="C5015" i="1"/>
  <c r="B5015" i="1"/>
  <c r="A5015" i="1"/>
  <c r="R5014" i="1"/>
  <c r="J5014" i="1"/>
  <c r="I5014" i="1"/>
  <c r="G5014" i="1"/>
  <c r="F5014" i="1"/>
  <c r="E5014" i="1"/>
  <c r="D5014" i="1"/>
  <c r="C5014" i="1"/>
  <c r="B5014" i="1"/>
  <c r="A5014" i="1"/>
  <c r="R5013" i="1"/>
  <c r="J5013" i="1"/>
  <c r="I5013" i="1"/>
  <c r="G5013" i="1"/>
  <c r="F5013" i="1"/>
  <c r="E5013" i="1"/>
  <c r="D5013" i="1"/>
  <c r="C5013" i="1"/>
  <c r="B5013" i="1"/>
  <c r="A5013" i="1"/>
  <c r="R5012" i="1"/>
  <c r="J5012" i="1"/>
  <c r="I5012" i="1"/>
  <c r="G5012" i="1"/>
  <c r="F5012" i="1"/>
  <c r="E5012" i="1"/>
  <c r="D5012" i="1"/>
  <c r="C5012" i="1"/>
  <c r="B5012" i="1"/>
  <c r="A5012" i="1"/>
  <c r="R5011" i="1"/>
  <c r="J5011" i="1"/>
  <c r="I5011" i="1"/>
  <c r="G5011" i="1"/>
  <c r="F5011" i="1"/>
  <c r="E5011" i="1"/>
  <c r="D5011" i="1"/>
  <c r="C5011" i="1"/>
  <c r="B5011" i="1"/>
  <c r="A5011" i="1"/>
  <c r="R5010" i="1"/>
  <c r="J5010" i="1"/>
  <c r="I5010" i="1"/>
  <c r="G5010" i="1"/>
  <c r="F5010" i="1"/>
  <c r="E5010" i="1"/>
  <c r="D5010" i="1"/>
  <c r="C5010" i="1"/>
  <c r="B5010" i="1"/>
  <c r="A5010" i="1"/>
  <c r="R5009" i="1"/>
  <c r="J5009" i="1"/>
  <c r="I5009" i="1"/>
  <c r="G5009" i="1"/>
  <c r="F5009" i="1"/>
  <c r="E5009" i="1"/>
  <c r="D5009" i="1"/>
  <c r="C5009" i="1"/>
  <c r="B5009" i="1"/>
  <c r="A5009" i="1"/>
  <c r="R5008" i="1"/>
  <c r="J5008" i="1"/>
  <c r="I5008" i="1"/>
  <c r="G5008" i="1"/>
  <c r="F5008" i="1"/>
  <c r="E5008" i="1"/>
  <c r="D5008" i="1"/>
  <c r="C5008" i="1"/>
  <c r="B5008" i="1"/>
  <c r="A5008" i="1"/>
  <c r="R5007" i="1"/>
  <c r="J5007" i="1"/>
  <c r="I5007" i="1"/>
  <c r="G5007" i="1"/>
  <c r="F5007" i="1"/>
  <c r="E5007" i="1"/>
  <c r="D5007" i="1"/>
  <c r="C5007" i="1"/>
  <c r="B5007" i="1"/>
  <c r="A5007" i="1"/>
  <c r="R5006" i="1"/>
  <c r="J5006" i="1"/>
  <c r="I5006" i="1"/>
  <c r="G5006" i="1"/>
  <c r="F5006" i="1"/>
  <c r="E5006" i="1"/>
  <c r="D5006" i="1"/>
  <c r="C5006" i="1"/>
  <c r="B5006" i="1"/>
  <c r="A5006" i="1"/>
  <c r="R5005" i="1"/>
  <c r="J5005" i="1"/>
  <c r="I5005" i="1"/>
  <c r="G5005" i="1"/>
  <c r="F5005" i="1"/>
  <c r="E5005" i="1"/>
  <c r="D5005" i="1"/>
  <c r="C5005" i="1"/>
  <c r="B5005" i="1"/>
  <c r="A5005" i="1"/>
  <c r="R5004" i="1"/>
  <c r="J5004" i="1"/>
  <c r="I5004" i="1"/>
  <c r="G5004" i="1"/>
  <c r="F5004" i="1"/>
  <c r="E5004" i="1"/>
  <c r="D5004" i="1"/>
  <c r="C5004" i="1"/>
  <c r="B5004" i="1"/>
  <c r="A5004" i="1"/>
  <c r="R5003" i="1"/>
  <c r="J5003" i="1"/>
  <c r="I5003" i="1"/>
  <c r="G5003" i="1"/>
  <c r="F5003" i="1"/>
  <c r="E5003" i="1"/>
  <c r="D5003" i="1"/>
  <c r="C5003" i="1"/>
  <c r="B5003" i="1"/>
  <c r="A5003" i="1"/>
  <c r="R5002" i="1"/>
  <c r="J5002" i="1"/>
  <c r="I5002" i="1"/>
  <c r="G5002" i="1"/>
  <c r="F5002" i="1"/>
  <c r="E5002" i="1"/>
  <c r="D5002" i="1"/>
  <c r="C5002" i="1"/>
  <c r="B5002" i="1"/>
  <c r="A5002" i="1"/>
  <c r="R5001" i="1"/>
  <c r="J5001" i="1"/>
  <c r="I5001" i="1"/>
  <c r="G5001" i="1"/>
  <c r="F5001" i="1"/>
  <c r="E5001" i="1"/>
  <c r="D5001" i="1"/>
  <c r="C5001" i="1"/>
  <c r="B5001" i="1"/>
  <c r="A5001" i="1"/>
  <c r="R5000" i="1"/>
  <c r="J5000" i="1"/>
  <c r="I5000" i="1"/>
  <c r="G5000" i="1"/>
  <c r="F5000" i="1"/>
  <c r="E5000" i="1"/>
  <c r="D5000" i="1"/>
  <c r="C5000" i="1"/>
  <c r="B5000" i="1"/>
  <c r="A5000" i="1"/>
  <c r="R4999" i="1"/>
  <c r="J4999" i="1"/>
  <c r="I4999" i="1"/>
  <c r="G4999" i="1"/>
  <c r="F4999" i="1"/>
  <c r="E4999" i="1"/>
  <c r="D4999" i="1"/>
  <c r="C4999" i="1"/>
  <c r="B4999" i="1"/>
  <c r="A4999" i="1"/>
  <c r="R4998" i="1"/>
  <c r="J4998" i="1"/>
  <c r="I4998" i="1"/>
  <c r="G4998" i="1"/>
  <c r="F4998" i="1"/>
  <c r="E4998" i="1"/>
  <c r="D4998" i="1"/>
  <c r="C4998" i="1"/>
  <c r="B4998" i="1"/>
  <c r="A4998" i="1"/>
  <c r="R4997" i="1"/>
  <c r="J4997" i="1"/>
  <c r="I4997" i="1"/>
  <c r="G4997" i="1"/>
  <c r="F4997" i="1"/>
  <c r="E4997" i="1"/>
  <c r="D4997" i="1"/>
  <c r="C4997" i="1"/>
  <c r="B4997" i="1"/>
  <c r="A4997" i="1"/>
  <c r="R4996" i="1"/>
  <c r="J4996" i="1"/>
  <c r="I4996" i="1"/>
  <c r="G4996" i="1"/>
  <c r="F4996" i="1"/>
  <c r="E4996" i="1"/>
  <c r="D4996" i="1"/>
  <c r="C4996" i="1"/>
  <c r="B4996" i="1"/>
  <c r="A4996" i="1"/>
  <c r="R4995" i="1"/>
  <c r="J4995" i="1"/>
  <c r="I4995" i="1"/>
  <c r="G4995" i="1"/>
  <c r="F4995" i="1"/>
  <c r="E4995" i="1"/>
  <c r="D4995" i="1"/>
  <c r="C4995" i="1"/>
  <c r="B4995" i="1"/>
  <c r="A4995" i="1"/>
  <c r="R4994" i="1"/>
  <c r="J4994" i="1"/>
  <c r="I4994" i="1"/>
  <c r="G4994" i="1"/>
  <c r="F4994" i="1"/>
  <c r="E4994" i="1"/>
  <c r="D4994" i="1"/>
  <c r="C4994" i="1"/>
  <c r="B4994" i="1"/>
  <c r="A4994" i="1"/>
  <c r="R4993" i="1"/>
  <c r="J4993" i="1"/>
  <c r="I4993" i="1"/>
  <c r="G4993" i="1"/>
  <c r="F4993" i="1"/>
  <c r="E4993" i="1"/>
  <c r="D4993" i="1"/>
  <c r="C4993" i="1"/>
  <c r="B4993" i="1"/>
  <c r="A4993" i="1"/>
  <c r="R4992" i="1"/>
  <c r="J4992" i="1"/>
  <c r="I4992" i="1"/>
  <c r="G4992" i="1"/>
  <c r="F4992" i="1"/>
  <c r="E4992" i="1"/>
  <c r="D4992" i="1"/>
  <c r="C4992" i="1"/>
  <c r="B4992" i="1"/>
  <c r="A4992" i="1"/>
  <c r="R4991" i="1"/>
  <c r="J4991" i="1"/>
  <c r="I4991" i="1"/>
  <c r="G4991" i="1"/>
  <c r="F4991" i="1"/>
  <c r="E4991" i="1"/>
  <c r="D4991" i="1"/>
  <c r="C4991" i="1"/>
  <c r="B4991" i="1"/>
  <c r="A4991" i="1"/>
  <c r="R4990" i="1"/>
  <c r="J4990" i="1"/>
  <c r="I4990" i="1"/>
  <c r="G4990" i="1"/>
  <c r="F4990" i="1"/>
  <c r="E4990" i="1"/>
  <c r="D4990" i="1"/>
  <c r="C4990" i="1"/>
  <c r="B4990" i="1"/>
  <c r="A4990" i="1"/>
  <c r="R4989" i="1"/>
  <c r="J4989" i="1"/>
  <c r="I4989" i="1"/>
  <c r="G4989" i="1"/>
  <c r="F4989" i="1"/>
  <c r="E4989" i="1"/>
  <c r="D4989" i="1"/>
  <c r="C4989" i="1"/>
  <c r="B4989" i="1"/>
  <c r="A4989" i="1"/>
  <c r="R4988" i="1"/>
  <c r="J4988" i="1"/>
  <c r="I4988" i="1"/>
  <c r="G4988" i="1"/>
  <c r="F4988" i="1"/>
  <c r="E4988" i="1"/>
  <c r="D4988" i="1"/>
  <c r="C4988" i="1"/>
  <c r="B4988" i="1"/>
  <c r="A4988" i="1"/>
  <c r="R4987" i="1"/>
  <c r="J4987" i="1"/>
  <c r="I4987" i="1"/>
  <c r="G4987" i="1"/>
  <c r="F4987" i="1"/>
  <c r="E4987" i="1"/>
  <c r="D4987" i="1"/>
  <c r="C4987" i="1"/>
  <c r="B4987" i="1"/>
  <c r="A4987" i="1"/>
  <c r="R4986" i="1"/>
  <c r="J4986" i="1"/>
  <c r="I4986" i="1"/>
  <c r="G4986" i="1"/>
  <c r="F4986" i="1"/>
  <c r="E4986" i="1"/>
  <c r="D4986" i="1"/>
  <c r="C4986" i="1"/>
  <c r="B4986" i="1"/>
  <c r="A4986" i="1"/>
  <c r="R4985" i="1"/>
  <c r="J4985" i="1"/>
  <c r="I4985" i="1"/>
  <c r="G4985" i="1"/>
  <c r="F4985" i="1"/>
  <c r="E4985" i="1"/>
  <c r="D4985" i="1"/>
  <c r="C4985" i="1"/>
  <c r="B4985" i="1"/>
  <c r="A4985" i="1"/>
  <c r="R4984" i="1"/>
  <c r="J4984" i="1"/>
  <c r="I4984" i="1"/>
  <c r="G4984" i="1"/>
  <c r="F4984" i="1"/>
  <c r="E4984" i="1"/>
  <c r="D4984" i="1"/>
  <c r="C4984" i="1"/>
  <c r="B4984" i="1"/>
  <c r="A4984" i="1"/>
  <c r="R4983" i="1"/>
  <c r="J4983" i="1"/>
  <c r="I4983" i="1"/>
  <c r="G4983" i="1"/>
  <c r="F4983" i="1"/>
  <c r="E4983" i="1"/>
  <c r="D4983" i="1"/>
  <c r="C4983" i="1"/>
  <c r="B4983" i="1"/>
  <c r="A4983" i="1"/>
  <c r="R4982" i="1"/>
  <c r="J4982" i="1"/>
  <c r="I4982" i="1"/>
  <c r="G4982" i="1"/>
  <c r="F4982" i="1"/>
  <c r="E4982" i="1"/>
  <c r="D4982" i="1"/>
  <c r="C4982" i="1"/>
  <c r="B4982" i="1"/>
  <c r="A4982" i="1"/>
  <c r="R4981" i="1"/>
  <c r="J4981" i="1"/>
  <c r="I4981" i="1"/>
  <c r="G4981" i="1"/>
  <c r="F4981" i="1"/>
  <c r="E4981" i="1"/>
  <c r="D4981" i="1"/>
  <c r="C4981" i="1"/>
  <c r="B4981" i="1"/>
  <c r="A4981" i="1"/>
  <c r="R4980" i="1"/>
  <c r="J4980" i="1"/>
  <c r="I4980" i="1"/>
  <c r="G4980" i="1"/>
  <c r="F4980" i="1"/>
  <c r="E4980" i="1"/>
  <c r="D4980" i="1"/>
  <c r="C4980" i="1"/>
  <c r="B4980" i="1"/>
  <c r="A4980" i="1"/>
  <c r="R4979" i="1"/>
  <c r="J4979" i="1"/>
  <c r="I4979" i="1"/>
  <c r="G4979" i="1"/>
  <c r="F4979" i="1"/>
  <c r="E4979" i="1"/>
  <c r="D4979" i="1"/>
  <c r="C4979" i="1"/>
  <c r="B4979" i="1"/>
  <c r="A4979" i="1"/>
  <c r="S4978" i="1"/>
  <c r="O4978" i="1"/>
  <c r="K4978" i="1"/>
  <c r="J4978" i="1"/>
  <c r="I4978" i="1"/>
  <c r="H4978" i="1"/>
  <c r="G4978" i="1"/>
  <c r="F4978" i="1"/>
  <c r="E4978" i="1"/>
  <c r="D4978" i="1"/>
  <c r="C4978" i="1"/>
  <c r="B4978" i="1"/>
  <c r="A4978" i="1"/>
  <c r="R4977" i="1"/>
  <c r="J4977" i="1"/>
  <c r="I4977" i="1"/>
  <c r="G4977" i="1"/>
  <c r="F4977" i="1"/>
  <c r="E4977" i="1"/>
  <c r="D4977" i="1"/>
  <c r="C4977" i="1"/>
  <c r="B4977" i="1"/>
  <c r="A4977" i="1"/>
  <c r="S4976" i="1"/>
  <c r="O4976" i="1"/>
  <c r="K4976" i="1"/>
  <c r="J4976" i="1"/>
  <c r="I4976" i="1"/>
  <c r="H4976" i="1"/>
  <c r="G4976" i="1"/>
  <c r="F4976" i="1"/>
  <c r="E4976" i="1"/>
  <c r="D4976" i="1"/>
  <c r="C4976" i="1"/>
  <c r="B4976" i="1"/>
  <c r="A4976" i="1"/>
  <c r="R4975" i="1"/>
  <c r="J4975" i="1"/>
  <c r="I4975" i="1"/>
  <c r="G4975" i="1"/>
  <c r="F4975" i="1"/>
  <c r="E4975" i="1"/>
  <c r="D4975" i="1"/>
  <c r="C4975" i="1"/>
  <c r="B4975" i="1"/>
  <c r="A4975" i="1"/>
  <c r="R4974" i="1"/>
  <c r="J4974" i="1"/>
  <c r="I4974" i="1"/>
  <c r="G4974" i="1"/>
  <c r="F4974" i="1"/>
  <c r="E4974" i="1"/>
  <c r="D4974" i="1"/>
  <c r="C4974" i="1"/>
  <c r="B4974" i="1"/>
  <c r="A4974" i="1"/>
  <c r="R4973" i="1"/>
  <c r="J4973" i="1"/>
  <c r="I4973" i="1"/>
  <c r="G4973" i="1"/>
  <c r="F4973" i="1"/>
  <c r="E4973" i="1"/>
  <c r="D4973" i="1"/>
  <c r="C4973" i="1"/>
  <c r="B4973" i="1"/>
  <c r="A4973" i="1"/>
  <c r="R4972" i="1"/>
  <c r="J4972" i="1"/>
  <c r="I4972" i="1"/>
  <c r="G4972" i="1"/>
  <c r="F4972" i="1"/>
  <c r="E4972" i="1"/>
  <c r="D4972" i="1"/>
  <c r="C4972" i="1"/>
  <c r="B4972" i="1"/>
  <c r="A4972" i="1"/>
  <c r="R4971" i="1"/>
  <c r="J4971" i="1"/>
  <c r="I4971" i="1"/>
  <c r="G4971" i="1"/>
  <c r="F4971" i="1"/>
  <c r="E4971" i="1"/>
  <c r="D4971" i="1"/>
  <c r="C4971" i="1"/>
  <c r="B4971" i="1"/>
  <c r="A4971" i="1"/>
  <c r="R4970" i="1"/>
  <c r="J4970" i="1"/>
  <c r="I4970" i="1"/>
  <c r="G4970" i="1"/>
  <c r="F4970" i="1"/>
  <c r="E4970" i="1"/>
  <c r="D4970" i="1"/>
  <c r="C4970" i="1"/>
  <c r="B4970" i="1"/>
  <c r="A4970" i="1"/>
  <c r="R4969" i="1"/>
  <c r="J4969" i="1"/>
  <c r="I4969" i="1"/>
  <c r="G4969" i="1"/>
  <c r="F4969" i="1"/>
  <c r="E4969" i="1"/>
  <c r="D4969" i="1"/>
  <c r="C4969" i="1"/>
  <c r="B4969" i="1"/>
  <c r="A4969" i="1"/>
  <c r="R4968" i="1"/>
  <c r="J4968" i="1"/>
  <c r="I4968" i="1"/>
  <c r="G4968" i="1"/>
  <c r="F4968" i="1"/>
  <c r="E4968" i="1"/>
  <c r="D4968" i="1"/>
  <c r="C4968" i="1"/>
  <c r="B4968" i="1"/>
  <c r="A4968" i="1"/>
  <c r="R4967" i="1"/>
  <c r="J4967" i="1"/>
  <c r="I4967" i="1"/>
  <c r="G4967" i="1"/>
  <c r="F4967" i="1"/>
  <c r="E4967" i="1"/>
  <c r="D4967" i="1"/>
  <c r="C4967" i="1"/>
  <c r="B4967" i="1"/>
  <c r="A4967" i="1"/>
  <c r="R4966" i="1"/>
  <c r="J4966" i="1"/>
  <c r="I4966" i="1"/>
  <c r="G4966" i="1"/>
  <c r="F4966" i="1"/>
  <c r="E4966" i="1"/>
  <c r="D4966" i="1"/>
  <c r="C4966" i="1"/>
  <c r="B4966" i="1"/>
  <c r="A4966" i="1"/>
  <c r="R4965" i="1"/>
  <c r="J4965" i="1"/>
  <c r="I4965" i="1"/>
  <c r="G4965" i="1"/>
  <c r="F4965" i="1"/>
  <c r="E4965" i="1"/>
  <c r="D4965" i="1"/>
  <c r="C4965" i="1"/>
  <c r="B4965" i="1"/>
  <c r="A4965" i="1"/>
  <c r="R4964" i="1"/>
  <c r="J4964" i="1"/>
  <c r="I4964" i="1"/>
  <c r="G4964" i="1"/>
  <c r="F4964" i="1"/>
  <c r="E4964" i="1"/>
  <c r="D4964" i="1"/>
  <c r="C4964" i="1"/>
  <c r="B4964" i="1"/>
  <c r="A4964" i="1"/>
  <c r="S4963" i="1"/>
  <c r="O4963" i="1"/>
  <c r="K4963" i="1"/>
  <c r="J4963" i="1"/>
  <c r="I4963" i="1"/>
  <c r="H4963" i="1"/>
  <c r="G4963" i="1"/>
  <c r="F4963" i="1"/>
  <c r="E4963" i="1"/>
  <c r="D4963" i="1"/>
  <c r="C4963" i="1"/>
  <c r="B4963" i="1"/>
  <c r="A4963" i="1"/>
  <c r="R4962" i="1"/>
  <c r="J4962" i="1"/>
  <c r="I4962" i="1"/>
  <c r="G4962" i="1"/>
  <c r="F4962" i="1"/>
  <c r="E4962" i="1"/>
  <c r="D4962" i="1"/>
  <c r="C4962" i="1"/>
  <c r="B4962" i="1"/>
  <c r="A4962" i="1"/>
  <c r="S4961" i="1"/>
  <c r="O4961" i="1"/>
  <c r="K4961" i="1"/>
  <c r="J4961" i="1"/>
  <c r="I4961" i="1"/>
  <c r="H4961" i="1"/>
  <c r="G4961" i="1"/>
  <c r="F4961" i="1"/>
  <c r="E4961" i="1"/>
  <c r="D4961" i="1"/>
  <c r="C4961" i="1"/>
  <c r="B4961" i="1"/>
  <c r="A4961" i="1"/>
  <c r="R4960" i="1"/>
  <c r="J4960" i="1"/>
  <c r="I4960" i="1"/>
  <c r="G4960" i="1"/>
  <c r="F4960" i="1"/>
  <c r="E4960" i="1"/>
  <c r="D4960" i="1"/>
  <c r="C4960" i="1"/>
  <c r="B4960" i="1"/>
  <c r="A4960" i="1"/>
  <c r="S4959" i="1"/>
  <c r="O4959" i="1"/>
  <c r="K4959" i="1"/>
  <c r="J4959" i="1"/>
  <c r="I4959" i="1"/>
  <c r="H4959" i="1"/>
  <c r="G4959" i="1"/>
  <c r="F4959" i="1"/>
  <c r="E4959" i="1"/>
  <c r="D4959" i="1"/>
  <c r="C4959" i="1"/>
  <c r="B4959" i="1"/>
  <c r="A4959" i="1"/>
  <c r="R4958" i="1"/>
  <c r="J4958" i="1"/>
  <c r="I4958" i="1"/>
  <c r="G4958" i="1"/>
  <c r="F4958" i="1"/>
  <c r="E4958" i="1"/>
  <c r="D4958" i="1"/>
  <c r="C4958" i="1"/>
  <c r="B4958" i="1"/>
  <c r="A4958" i="1"/>
  <c r="S4957" i="1"/>
  <c r="O4957" i="1"/>
  <c r="K4957" i="1"/>
  <c r="J4957" i="1"/>
  <c r="I4957" i="1"/>
  <c r="H4957" i="1"/>
  <c r="G4957" i="1"/>
  <c r="F4957" i="1"/>
  <c r="E4957" i="1"/>
  <c r="D4957" i="1"/>
  <c r="C4957" i="1"/>
  <c r="B4957" i="1"/>
  <c r="A4957" i="1"/>
  <c r="R4956" i="1"/>
  <c r="J4956" i="1"/>
  <c r="I4956" i="1"/>
  <c r="G4956" i="1"/>
  <c r="F4956" i="1"/>
  <c r="E4956" i="1"/>
  <c r="D4956" i="1"/>
  <c r="C4956" i="1"/>
  <c r="B4956" i="1"/>
  <c r="A4956" i="1"/>
  <c r="S4955" i="1"/>
  <c r="O4955" i="1"/>
  <c r="K4955" i="1"/>
  <c r="J4955" i="1"/>
  <c r="I4955" i="1"/>
  <c r="H4955" i="1"/>
  <c r="G4955" i="1"/>
  <c r="F4955" i="1"/>
  <c r="E4955" i="1"/>
  <c r="D4955" i="1"/>
  <c r="C4955" i="1"/>
  <c r="B4955" i="1"/>
  <c r="A4955" i="1"/>
  <c r="R4954" i="1"/>
  <c r="J4954" i="1"/>
  <c r="I4954" i="1"/>
  <c r="G4954" i="1"/>
  <c r="F4954" i="1"/>
  <c r="E4954" i="1"/>
  <c r="D4954" i="1"/>
  <c r="C4954" i="1"/>
  <c r="B4954" i="1"/>
  <c r="A4954" i="1"/>
  <c r="S4953" i="1"/>
  <c r="O4953" i="1"/>
  <c r="K4953" i="1"/>
  <c r="J4953" i="1"/>
  <c r="I4953" i="1"/>
  <c r="H4953" i="1"/>
  <c r="G4953" i="1"/>
  <c r="F4953" i="1"/>
  <c r="E4953" i="1"/>
  <c r="D4953" i="1"/>
  <c r="C4953" i="1"/>
  <c r="B4953" i="1"/>
  <c r="A4953" i="1"/>
  <c r="R4952" i="1"/>
  <c r="J4952" i="1"/>
  <c r="I4952" i="1"/>
  <c r="G4952" i="1"/>
  <c r="F4952" i="1"/>
  <c r="E4952" i="1"/>
  <c r="D4952" i="1"/>
  <c r="C4952" i="1"/>
  <c r="B4952" i="1"/>
  <c r="A4952" i="1"/>
  <c r="S4951" i="1"/>
  <c r="O4951" i="1"/>
  <c r="K4951" i="1"/>
  <c r="J4951" i="1"/>
  <c r="I4951" i="1"/>
  <c r="H4951" i="1"/>
  <c r="G4951" i="1"/>
  <c r="F4951" i="1"/>
  <c r="E4951" i="1"/>
  <c r="D4951" i="1"/>
  <c r="C4951" i="1"/>
  <c r="B4951" i="1"/>
  <c r="A4951" i="1"/>
  <c r="R4950" i="1"/>
  <c r="J4950" i="1"/>
  <c r="I4950" i="1"/>
  <c r="G4950" i="1"/>
  <c r="F4950" i="1"/>
  <c r="E4950" i="1"/>
  <c r="D4950" i="1"/>
  <c r="C4950" i="1"/>
  <c r="B4950" i="1"/>
  <c r="A4950" i="1"/>
  <c r="S4949" i="1"/>
  <c r="O4949" i="1"/>
  <c r="K4949" i="1"/>
  <c r="J4949" i="1"/>
  <c r="I4949" i="1"/>
  <c r="H4949" i="1"/>
  <c r="G4949" i="1"/>
  <c r="F4949" i="1"/>
  <c r="E4949" i="1"/>
  <c r="D4949" i="1"/>
  <c r="C4949" i="1"/>
  <c r="B4949" i="1"/>
  <c r="A4949" i="1"/>
  <c r="R4948" i="1"/>
  <c r="J4948" i="1"/>
  <c r="I4948" i="1"/>
  <c r="G4948" i="1"/>
  <c r="F4948" i="1"/>
  <c r="E4948" i="1"/>
  <c r="D4948" i="1"/>
  <c r="C4948" i="1"/>
  <c r="B4948" i="1"/>
  <c r="A4948" i="1"/>
  <c r="S4947" i="1"/>
  <c r="O4947" i="1"/>
  <c r="K4947" i="1"/>
  <c r="J4947" i="1"/>
  <c r="I4947" i="1"/>
  <c r="H4947" i="1"/>
  <c r="G4947" i="1"/>
  <c r="F4947" i="1"/>
  <c r="E4947" i="1"/>
  <c r="D4947" i="1"/>
  <c r="C4947" i="1"/>
  <c r="B4947" i="1"/>
  <c r="A4947" i="1"/>
  <c r="R4946" i="1"/>
  <c r="J4946" i="1"/>
  <c r="I4946" i="1"/>
  <c r="G4946" i="1"/>
  <c r="F4946" i="1"/>
  <c r="E4946" i="1"/>
  <c r="D4946" i="1"/>
  <c r="C4946" i="1"/>
  <c r="B4946" i="1"/>
  <c r="A4946" i="1"/>
  <c r="S4945" i="1"/>
  <c r="O4945" i="1"/>
  <c r="K4945" i="1"/>
  <c r="J4945" i="1"/>
  <c r="I4945" i="1"/>
  <c r="H4945" i="1"/>
  <c r="G4945" i="1"/>
  <c r="F4945" i="1"/>
  <c r="E4945" i="1"/>
  <c r="D4945" i="1"/>
  <c r="C4945" i="1"/>
  <c r="B4945" i="1"/>
  <c r="A4945" i="1"/>
  <c r="R4944" i="1"/>
  <c r="J4944" i="1"/>
  <c r="I4944" i="1"/>
  <c r="G4944" i="1"/>
  <c r="F4944" i="1"/>
  <c r="E4944" i="1"/>
  <c r="D4944" i="1"/>
  <c r="C4944" i="1"/>
  <c r="B4944" i="1"/>
  <c r="A4944" i="1"/>
  <c r="S4943" i="1"/>
  <c r="O4943" i="1"/>
  <c r="K4943" i="1"/>
  <c r="J4943" i="1"/>
  <c r="I4943" i="1"/>
  <c r="H4943" i="1"/>
  <c r="G4943" i="1"/>
  <c r="F4943" i="1"/>
  <c r="E4943" i="1"/>
  <c r="D4943" i="1"/>
  <c r="C4943" i="1"/>
  <c r="B4943" i="1"/>
  <c r="A4943" i="1"/>
  <c r="R4942" i="1"/>
  <c r="J4942" i="1"/>
  <c r="I4942" i="1"/>
  <c r="G4942" i="1"/>
  <c r="F4942" i="1"/>
  <c r="E4942" i="1"/>
  <c r="D4942" i="1"/>
  <c r="C4942" i="1"/>
  <c r="B4942" i="1"/>
  <c r="A4942" i="1"/>
  <c r="S4941" i="1"/>
  <c r="O4941" i="1"/>
  <c r="K4941" i="1"/>
  <c r="J4941" i="1"/>
  <c r="I4941" i="1"/>
  <c r="H4941" i="1"/>
  <c r="G4941" i="1"/>
  <c r="F4941" i="1"/>
  <c r="E4941" i="1"/>
  <c r="D4941" i="1"/>
  <c r="C4941" i="1"/>
  <c r="B4941" i="1"/>
  <c r="A4941" i="1"/>
  <c r="R4940" i="1"/>
  <c r="J4940" i="1"/>
  <c r="I4940" i="1"/>
  <c r="G4940" i="1"/>
  <c r="F4940" i="1"/>
  <c r="E4940" i="1"/>
  <c r="D4940" i="1"/>
  <c r="C4940" i="1"/>
  <c r="B4940" i="1"/>
  <c r="A4940" i="1"/>
  <c r="S4939" i="1"/>
  <c r="O4939" i="1"/>
  <c r="K4939" i="1"/>
  <c r="J4939" i="1"/>
  <c r="I4939" i="1"/>
  <c r="H4939" i="1"/>
  <c r="G4939" i="1"/>
  <c r="F4939" i="1"/>
  <c r="E4939" i="1"/>
  <c r="D4939" i="1"/>
  <c r="C4939" i="1"/>
  <c r="B4939" i="1"/>
  <c r="A4939" i="1"/>
  <c r="R4938" i="1"/>
  <c r="J4938" i="1"/>
  <c r="I4938" i="1"/>
  <c r="G4938" i="1"/>
  <c r="F4938" i="1"/>
  <c r="E4938" i="1"/>
  <c r="D4938" i="1"/>
  <c r="C4938" i="1"/>
  <c r="B4938" i="1"/>
  <c r="A4938" i="1"/>
  <c r="S4937" i="1"/>
  <c r="O4937" i="1"/>
  <c r="K4937" i="1"/>
  <c r="J4937" i="1"/>
  <c r="I4937" i="1"/>
  <c r="H4937" i="1"/>
  <c r="G4937" i="1"/>
  <c r="F4937" i="1"/>
  <c r="E4937" i="1"/>
  <c r="D4937" i="1"/>
  <c r="C4937" i="1"/>
  <c r="B4937" i="1"/>
  <c r="A4937" i="1"/>
  <c r="R4936" i="1"/>
  <c r="J4936" i="1"/>
  <c r="I4936" i="1"/>
  <c r="G4936" i="1"/>
  <c r="F4936" i="1"/>
  <c r="E4936" i="1"/>
  <c r="D4936" i="1"/>
  <c r="C4936" i="1"/>
  <c r="B4936" i="1"/>
  <c r="A4936" i="1"/>
  <c r="S4935" i="1"/>
  <c r="O4935" i="1"/>
  <c r="K4935" i="1"/>
  <c r="J4935" i="1"/>
  <c r="I4935" i="1"/>
  <c r="H4935" i="1"/>
  <c r="G4935" i="1"/>
  <c r="F4935" i="1"/>
  <c r="E4935" i="1"/>
  <c r="D4935" i="1"/>
  <c r="C4935" i="1"/>
  <c r="B4935" i="1"/>
  <c r="A4935" i="1"/>
  <c r="R4934" i="1"/>
  <c r="J4934" i="1"/>
  <c r="I4934" i="1"/>
  <c r="G4934" i="1"/>
  <c r="F4934" i="1"/>
  <c r="E4934" i="1"/>
  <c r="D4934" i="1"/>
  <c r="C4934" i="1"/>
  <c r="B4934" i="1"/>
  <c r="A4934" i="1"/>
  <c r="S4933" i="1"/>
  <c r="O4933" i="1"/>
  <c r="K4933" i="1"/>
  <c r="J4933" i="1"/>
  <c r="I4933" i="1"/>
  <c r="H4933" i="1"/>
  <c r="G4933" i="1"/>
  <c r="F4933" i="1"/>
  <c r="E4933" i="1"/>
  <c r="D4933" i="1"/>
  <c r="C4933" i="1"/>
  <c r="B4933" i="1"/>
  <c r="A4933" i="1"/>
  <c r="R4932" i="1"/>
  <c r="J4932" i="1"/>
  <c r="I4932" i="1"/>
  <c r="G4932" i="1"/>
  <c r="F4932" i="1"/>
  <c r="E4932" i="1"/>
  <c r="D4932" i="1"/>
  <c r="C4932" i="1"/>
  <c r="B4932" i="1"/>
  <c r="A4932" i="1"/>
  <c r="S4931" i="1"/>
  <c r="O4931" i="1"/>
  <c r="K4931" i="1"/>
  <c r="J4931" i="1"/>
  <c r="I4931" i="1"/>
  <c r="H4931" i="1"/>
  <c r="G4931" i="1"/>
  <c r="F4931" i="1"/>
  <c r="E4931" i="1"/>
  <c r="D4931" i="1"/>
  <c r="C4931" i="1"/>
  <c r="B4931" i="1"/>
  <c r="A4931" i="1"/>
  <c r="R4930" i="1"/>
  <c r="J4930" i="1"/>
  <c r="I4930" i="1"/>
  <c r="G4930" i="1"/>
  <c r="F4930" i="1"/>
  <c r="E4930" i="1"/>
  <c r="D4930" i="1"/>
  <c r="C4930" i="1"/>
  <c r="B4930" i="1"/>
  <c r="A4930" i="1"/>
  <c r="S4929" i="1"/>
  <c r="O4929" i="1"/>
  <c r="K4929" i="1"/>
  <c r="J4929" i="1"/>
  <c r="I4929" i="1"/>
  <c r="H4929" i="1"/>
  <c r="G4929" i="1"/>
  <c r="F4929" i="1"/>
  <c r="E4929" i="1"/>
  <c r="D4929" i="1"/>
  <c r="C4929" i="1"/>
  <c r="B4929" i="1"/>
  <c r="A4929" i="1"/>
  <c r="R4928" i="1"/>
  <c r="J4928" i="1"/>
  <c r="I4928" i="1"/>
  <c r="G4928" i="1"/>
  <c r="F4928" i="1"/>
  <c r="E4928" i="1"/>
  <c r="D4928" i="1"/>
  <c r="C4928" i="1"/>
  <c r="B4928" i="1"/>
  <c r="A4928" i="1"/>
  <c r="S4927" i="1"/>
  <c r="O4927" i="1"/>
  <c r="K4927" i="1"/>
  <c r="J4927" i="1"/>
  <c r="I4927" i="1"/>
  <c r="H4927" i="1"/>
  <c r="G4927" i="1"/>
  <c r="F4927" i="1"/>
  <c r="E4927" i="1"/>
  <c r="D4927" i="1"/>
  <c r="C4927" i="1"/>
  <c r="B4927" i="1"/>
  <c r="A4927" i="1"/>
  <c r="R4926" i="1"/>
  <c r="J4926" i="1"/>
  <c r="I4926" i="1"/>
  <c r="G4926" i="1"/>
  <c r="F4926" i="1"/>
  <c r="E4926" i="1"/>
  <c r="D4926" i="1"/>
  <c r="C4926" i="1"/>
  <c r="B4926" i="1"/>
  <c r="A4926" i="1"/>
  <c r="S4925" i="1"/>
  <c r="O4925" i="1"/>
  <c r="K4925" i="1"/>
  <c r="J4925" i="1"/>
  <c r="I4925" i="1"/>
  <c r="H4925" i="1"/>
  <c r="G4925" i="1"/>
  <c r="F4925" i="1"/>
  <c r="E4925" i="1"/>
  <c r="D4925" i="1"/>
  <c r="C4925" i="1"/>
  <c r="B4925" i="1"/>
  <c r="A4925" i="1"/>
  <c r="R4924" i="1"/>
  <c r="J4924" i="1"/>
  <c r="I4924" i="1"/>
  <c r="G4924" i="1"/>
  <c r="F4924" i="1"/>
  <c r="E4924" i="1"/>
  <c r="D4924" i="1"/>
  <c r="C4924" i="1"/>
  <c r="B4924" i="1"/>
  <c r="A4924" i="1"/>
  <c r="R4923" i="1"/>
  <c r="J4923" i="1"/>
  <c r="I4923" i="1"/>
  <c r="G4923" i="1"/>
  <c r="F4923" i="1"/>
  <c r="E4923" i="1"/>
  <c r="D4923" i="1"/>
  <c r="C4923" i="1"/>
  <c r="B4923" i="1"/>
  <c r="A4923" i="1"/>
  <c r="S4922" i="1"/>
  <c r="O4922" i="1"/>
  <c r="K4922" i="1"/>
  <c r="J4922" i="1"/>
  <c r="I4922" i="1"/>
  <c r="H4922" i="1"/>
  <c r="G4922" i="1"/>
  <c r="F4922" i="1"/>
  <c r="E4922" i="1"/>
  <c r="D4922" i="1"/>
  <c r="C4922" i="1"/>
  <c r="B4922" i="1"/>
  <c r="A4922" i="1"/>
  <c r="R4921" i="1"/>
  <c r="J4921" i="1"/>
  <c r="I4921" i="1"/>
  <c r="G4921" i="1"/>
  <c r="F4921" i="1"/>
  <c r="E4921" i="1"/>
  <c r="D4921" i="1"/>
  <c r="C4921" i="1"/>
  <c r="B4921" i="1"/>
  <c r="A4921" i="1"/>
  <c r="S4920" i="1"/>
  <c r="O4920" i="1"/>
  <c r="K4920" i="1"/>
  <c r="J4920" i="1"/>
  <c r="I4920" i="1"/>
  <c r="H4920" i="1"/>
  <c r="G4920" i="1"/>
  <c r="F4920" i="1"/>
  <c r="E4920" i="1"/>
  <c r="D4920" i="1"/>
  <c r="C4920" i="1"/>
  <c r="B4920" i="1"/>
  <c r="A4920" i="1"/>
  <c r="R4919" i="1"/>
  <c r="J4919" i="1"/>
  <c r="I4919" i="1"/>
  <c r="G4919" i="1"/>
  <c r="F4919" i="1"/>
  <c r="E4919" i="1"/>
  <c r="D4919" i="1"/>
  <c r="C4919" i="1"/>
  <c r="B4919" i="1"/>
  <c r="A4919" i="1"/>
  <c r="S4918" i="1"/>
  <c r="O4918" i="1"/>
  <c r="K4918" i="1"/>
  <c r="J4918" i="1"/>
  <c r="I4918" i="1"/>
  <c r="H4918" i="1"/>
  <c r="G4918" i="1"/>
  <c r="F4918" i="1"/>
  <c r="E4918" i="1"/>
  <c r="D4918" i="1"/>
  <c r="C4918" i="1"/>
  <c r="B4918" i="1"/>
  <c r="A4918" i="1"/>
  <c r="R4917" i="1"/>
  <c r="J4917" i="1"/>
  <c r="I4917" i="1"/>
  <c r="G4917" i="1"/>
  <c r="F4917" i="1"/>
  <c r="E4917" i="1"/>
  <c r="D4917" i="1"/>
  <c r="C4917" i="1"/>
  <c r="B4917" i="1"/>
  <c r="A4917" i="1"/>
  <c r="S4916" i="1"/>
  <c r="O4916" i="1"/>
  <c r="K4916" i="1"/>
  <c r="J4916" i="1"/>
  <c r="I4916" i="1"/>
  <c r="H4916" i="1"/>
  <c r="G4916" i="1"/>
  <c r="F4916" i="1"/>
  <c r="E4916" i="1"/>
  <c r="D4916" i="1"/>
  <c r="C4916" i="1"/>
  <c r="B4916" i="1"/>
  <c r="A4916" i="1"/>
  <c r="R4915" i="1"/>
  <c r="J4915" i="1"/>
  <c r="I4915" i="1"/>
  <c r="G4915" i="1"/>
  <c r="F4915" i="1"/>
  <c r="E4915" i="1"/>
  <c r="D4915" i="1"/>
  <c r="C4915" i="1"/>
  <c r="B4915" i="1"/>
  <c r="A4915" i="1"/>
  <c r="S4914" i="1"/>
  <c r="O4914" i="1"/>
  <c r="K4914" i="1"/>
  <c r="J4914" i="1"/>
  <c r="I4914" i="1"/>
  <c r="H4914" i="1"/>
  <c r="G4914" i="1"/>
  <c r="F4914" i="1"/>
  <c r="E4914" i="1"/>
  <c r="D4914" i="1"/>
  <c r="C4914" i="1"/>
  <c r="B4914" i="1"/>
  <c r="A4914" i="1"/>
  <c r="R4913" i="1"/>
  <c r="J4913" i="1"/>
  <c r="I4913" i="1"/>
  <c r="G4913" i="1"/>
  <c r="F4913" i="1"/>
  <c r="E4913" i="1"/>
  <c r="D4913" i="1"/>
  <c r="C4913" i="1"/>
  <c r="B4913" i="1"/>
  <c r="A4913" i="1"/>
  <c r="S4912" i="1"/>
  <c r="O4912" i="1"/>
  <c r="K4912" i="1"/>
  <c r="J4912" i="1"/>
  <c r="I4912" i="1"/>
  <c r="H4912" i="1"/>
  <c r="G4912" i="1"/>
  <c r="F4912" i="1"/>
  <c r="E4912" i="1"/>
  <c r="D4912" i="1"/>
  <c r="C4912" i="1"/>
  <c r="B4912" i="1"/>
  <c r="A4912" i="1"/>
  <c r="R4911" i="1"/>
  <c r="J4911" i="1"/>
  <c r="I4911" i="1"/>
  <c r="G4911" i="1"/>
  <c r="F4911" i="1"/>
  <c r="E4911" i="1"/>
  <c r="D4911" i="1"/>
  <c r="C4911" i="1"/>
  <c r="B4911" i="1"/>
  <c r="A4911" i="1"/>
  <c r="S4910" i="1"/>
  <c r="O4910" i="1"/>
  <c r="K4910" i="1"/>
  <c r="J4910" i="1"/>
  <c r="I4910" i="1"/>
  <c r="H4910" i="1"/>
  <c r="G4910" i="1"/>
  <c r="F4910" i="1"/>
  <c r="E4910" i="1"/>
  <c r="D4910" i="1"/>
  <c r="C4910" i="1"/>
  <c r="B4910" i="1"/>
  <c r="A4910" i="1"/>
  <c r="R4909" i="1"/>
  <c r="J4909" i="1"/>
  <c r="I4909" i="1"/>
  <c r="G4909" i="1"/>
  <c r="F4909" i="1"/>
  <c r="E4909" i="1"/>
  <c r="D4909" i="1"/>
  <c r="C4909" i="1"/>
  <c r="B4909" i="1"/>
  <c r="A4909" i="1"/>
  <c r="S4908" i="1"/>
  <c r="O4908" i="1"/>
  <c r="K4908" i="1"/>
  <c r="J4908" i="1"/>
  <c r="I4908" i="1"/>
  <c r="H4908" i="1"/>
  <c r="G4908" i="1"/>
  <c r="F4908" i="1"/>
  <c r="E4908" i="1"/>
  <c r="D4908" i="1"/>
  <c r="C4908" i="1"/>
  <c r="B4908" i="1"/>
  <c r="A4908" i="1"/>
  <c r="R4907" i="1"/>
  <c r="J4907" i="1"/>
  <c r="I4907" i="1"/>
  <c r="G4907" i="1"/>
  <c r="F4907" i="1"/>
  <c r="E4907" i="1"/>
  <c r="D4907" i="1"/>
  <c r="C4907" i="1"/>
  <c r="B4907" i="1"/>
  <c r="A4907" i="1"/>
  <c r="S4906" i="1"/>
  <c r="O4906" i="1"/>
  <c r="K4906" i="1"/>
  <c r="J4906" i="1"/>
  <c r="I4906" i="1"/>
  <c r="H4906" i="1"/>
  <c r="G4906" i="1"/>
  <c r="F4906" i="1"/>
  <c r="E4906" i="1"/>
  <c r="D4906" i="1"/>
  <c r="C4906" i="1"/>
  <c r="B4906" i="1"/>
  <c r="A4906" i="1"/>
  <c r="R4905" i="1"/>
  <c r="J4905" i="1"/>
  <c r="I4905" i="1"/>
  <c r="G4905" i="1"/>
  <c r="F4905" i="1"/>
  <c r="E4905" i="1"/>
  <c r="D4905" i="1"/>
  <c r="C4905" i="1"/>
  <c r="B4905" i="1"/>
  <c r="A4905" i="1"/>
  <c r="S4904" i="1"/>
  <c r="O4904" i="1"/>
  <c r="K4904" i="1"/>
  <c r="J4904" i="1"/>
  <c r="I4904" i="1"/>
  <c r="H4904" i="1"/>
  <c r="G4904" i="1"/>
  <c r="F4904" i="1"/>
  <c r="E4904" i="1"/>
  <c r="D4904" i="1"/>
  <c r="C4904" i="1"/>
  <c r="B4904" i="1"/>
  <c r="A4904" i="1"/>
  <c r="R4903" i="1"/>
  <c r="J4903" i="1"/>
  <c r="I4903" i="1"/>
  <c r="G4903" i="1"/>
  <c r="F4903" i="1"/>
  <c r="E4903" i="1"/>
  <c r="D4903" i="1"/>
  <c r="C4903" i="1"/>
  <c r="B4903" i="1"/>
  <c r="A4903" i="1"/>
  <c r="S4902" i="1"/>
  <c r="O4902" i="1"/>
  <c r="K4902" i="1"/>
  <c r="J4902" i="1"/>
  <c r="I4902" i="1"/>
  <c r="H4902" i="1"/>
  <c r="G4902" i="1"/>
  <c r="F4902" i="1"/>
  <c r="E4902" i="1"/>
  <c r="D4902" i="1"/>
  <c r="C4902" i="1"/>
  <c r="B4902" i="1"/>
  <c r="A4902" i="1"/>
  <c r="R4901" i="1"/>
  <c r="J4901" i="1"/>
  <c r="I4901" i="1"/>
  <c r="G4901" i="1"/>
  <c r="F4901" i="1"/>
  <c r="E4901" i="1"/>
  <c r="D4901" i="1"/>
  <c r="C4901" i="1"/>
  <c r="B4901" i="1"/>
  <c r="A4901" i="1"/>
  <c r="S4900" i="1"/>
  <c r="O4900" i="1"/>
  <c r="K4900" i="1"/>
  <c r="J4900" i="1"/>
  <c r="I4900" i="1"/>
  <c r="H4900" i="1"/>
  <c r="G4900" i="1"/>
  <c r="F4900" i="1"/>
  <c r="E4900" i="1"/>
  <c r="D4900" i="1"/>
  <c r="C4900" i="1"/>
  <c r="B4900" i="1"/>
  <c r="A4900" i="1"/>
  <c r="R4899" i="1"/>
  <c r="J4899" i="1"/>
  <c r="I4899" i="1"/>
  <c r="G4899" i="1"/>
  <c r="F4899" i="1"/>
  <c r="E4899" i="1"/>
  <c r="D4899" i="1"/>
  <c r="C4899" i="1"/>
  <c r="B4899" i="1"/>
  <c r="A4899" i="1"/>
  <c r="R4898" i="1"/>
  <c r="J4898" i="1"/>
  <c r="I4898" i="1"/>
  <c r="G4898" i="1"/>
  <c r="F4898" i="1"/>
  <c r="E4898" i="1"/>
  <c r="D4898" i="1"/>
  <c r="C4898" i="1"/>
  <c r="B4898" i="1"/>
  <c r="A4898" i="1"/>
  <c r="S4897" i="1"/>
  <c r="O4897" i="1"/>
  <c r="K4897" i="1"/>
  <c r="J4897" i="1"/>
  <c r="I4897" i="1"/>
  <c r="H4897" i="1"/>
  <c r="G4897" i="1"/>
  <c r="F4897" i="1"/>
  <c r="E4897" i="1"/>
  <c r="D4897" i="1"/>
  <c r="C4897" i="1"/>
  <c r="B4897" i="1"/>
  <c r="A4897" i="1"/>
  <c r="R4896" i="1"/>
  <c r="J4896" i="1"/>
  <c r="I4896" i="1"/>
  <c r="G4896" i="1"/>
  <c r="F4896" i="1"/>
  <c r="E4896" i="1"/>
  <c r="D4896" i="1"/>
  <c r="C4896" i="1"/>
  <c r="B4896" i="1"/>
  <c r="A4896" i="1"/>
  <c r="S4895" i="1"/>
  <c r="O4895" i="1"/>
  <c r="K4895" i="1"/>
  <c r="J4895" i="1"/>
  <c r="I4895" i="1"/>
  <c r="H4895" i="1"/>
  <c r="G4895" i="1"/>
  <c r="F4895" i="1"/>
  <c r="E4895" i="1"/>
  <c r="D4895" i="1"/>
  <c r="C4895" i="1"/>
  <c r="B4895" i="1"/>
  <c r="A4895" i="1"/>
  <c r="R4894" i="1"/>
  <c r="J4894" i="1"/>
  <c r="I4894" i="1"/>
  <c r="G4894" i="1"/>
  <c r="F4894" i="1"/>
  <c r="E4894" i="1"/>
  <c r="D4894" i="1"/>
  <c r="C4894" i="1"/>
  <c r="B4894" i="1"/>
  <c r="A4894" i="1"/>
  <c r="S4893" i="1"/>
  <c r="O4893" i="1"/>
  <c r="K4893" i="1"/>
  <c r="J4893" i="1"/>
  <c r="I4893" i="1"/>
  <c r="H4893" i="1"/>
  <c r="G4893" i="1"/>
  <c r="F4893" i="1"/>
  <c r="E4893" i="1"/>
  <c r="D4893" i="1"/>
  <c r="C4893" i="1"/>
  <c r="B4893" i="1"/>
  <c r="A4893" i="1"/>
  <c r="R4892" i="1"/>
  <c r="J4892" i="1"/>
  <c r="I4892" i="1"/>
  <c r="G4892" i="1"/>
  <c r="F4892" i="1"/>
  <c r="E4892" i="1"/>
  <c r="D4892" i="1"/>
  <c r="C4892" i="1"/>
  <c r="B4892" i="1"/>
  <c r="A4892" i="1"/>
  <c r="S4891" i="1"/>
  <c r="O4891" i="1"/>
  <c r="K4891" i="1"/>
  <c r="J4891" i="1"/>
  <c r="I4891" i="1"/>
  <c r="H4891" i="1"/>
  <c r="G4891" i="1"/>
  <c r="F4891" i="1"/>
  <c r="E4891" i="1"/>
  <c r="D4891" i="1"/>
  <c r="C4891" i="1"/>
  <c r="B4891" i="1"/>
  <c r="A4891" i="1"/>
  <c r="R4890" i="1"/>
  <c r="J4890" i="1"/>
  <c r="I4890" i="1"/>
  <c r="G4890" i="1"/>
  <c r="F4890" i="1"/>
  <c r="E4890" i="1"/>
  <c r="D4890" i="1"/>
  <c r="C4890" i="1"/>
  <c r="B4890" i="1"/>
  <c r="A4890" i="1"/>
  <c r="R4889" i="1"/>
  <c r="J4889" i="1"/>
  <c r="I4889" i="1"/>
  <c r="G4889" i="1"/>
  <c r="F4889" i="1"/>
  <c r="E4889" i="1"/>
  <c r="D4889" i="1"/>
  <c r="C4889" i="1"/>
  <c r="B4889" i="1"/>
  <c r="A4889" i="1"/>
  <c r="S4888" i="1"/>
  <c r="O4888" i="1"/>
  <c r="K4888" i="1"/>
  <c r="J4888" i="1"/>
  <c r="I4888" i="1"/>
  <c r="H4888" i="1"/>
  <c r="G4888" i="1"/>
  <c r="F4888" i="1"/>
  <c r="E4888" i="1"/>
  <c r="D4888" i="1"/>
  <c r="C4888" i="1"/>
  <c r="B4888" i="1"/>
  <c r="A4888" i="1"/>
  <c r="R4887" i="1"/>
  <c r="J4887" i="1"/>
  <c r="I4887" i="1"/>
  <c r="G4887" i="1"/>
  <c r="F4887" i="1"/>
  <c r="E4887" i="1"/>
  <c r="D4887" i="1"/>
  <c r="C4887" i="1"/>
  <c r="B4887" i="1"/>
  <c r="A4887" i="1"/>
  <c r="S4886" i="1"/>
  <c r="O4886" i="1"/>
  <c r="K4886" i="1"/>
  <c r="J4886" i="1"/>
  <c r="I4886" i="1"/>
  <c r="H4886" i="1"/>
  <c r="G4886" i="1"/>
  <c r="F4886" i="1"/>
  <c r="E4886" i="1"/>
  <c r="D4886" i="1"/>
  <c r="C4886" i="1"/>
  <c r="B4886" i="1"/>
  <c r="A4886" i="1"/>
  <c r="R4885" i="1"/>
  <c r="J4885" i="1"/>
  <c r="I4885" i="1"/>
  <c r="G4885" i="1"/>
  <c r="F4885" i="1"/>
  <c r="E4885" i="1"/>
  <c r="D4885" i="1"/>
  <c r="C4885" i="1"/>
  <c r="B4885" i="1"/>
  <c r="A4885" i="1"/>
  <c r="S4884" i="1"/>
  <c r="O4884" i="1"/>
  <c r="K4884" i="1"/>
  <c r="J4884" i="1"/>
  <c r="I4884" i="1"/>
  <c r="H4884" i="1"/>
  <c r="G4884" i="1"/>
  <c r="F4884" i="1"/>
  <c r="E4884" i="1"/>
  <c r="D4884" i="1"/>
  <c r="C4884" i="1"/>
  <c r="B4884" i="1"/>
  <c r="A4884" i="1"/>
  <c r="R4883" i="1"/>
  <c r="J4883" i="1"/>
  <c r="I4883" i="1"/>
  <c r="G4883" i="1"/>
  <c r="F4883" i="1"/>
  <c r="E4883" i="1"/>
  <c r="D4883" i="1"/>
  <c r="C4883" i="1"/>
  <c r="B4883" i="1"/>
  <c r="A4883" i="1"/>
  <c r="S4882" i="1"/>
  <c r="O4882" i="1"/>
  <c r="K4882" i="1"/>
  <c r="J4882" i="1"/>
  <c r="I4882" i="1"/>
  <c r="H4882" i="1"/>
  <c r="G4882" i="1"/>
  <c r="F4882" i="1"/>
  <c r="E4882" i="1"/>
  <c r="D4882" i="1"/>
  <c r="C4882" i="1"/>
  <c r="B4882" i="1"/>
  <c r="A4882" i="1"/>
  <c r="R4881" i="1"/>
  <c r="J4881" i="1"/>
  <c r="I4881" i="1"/>
  <c r="G4881" i="1"/>
  <c r="F4881" i="1"/>
  <c r="E4881" i="1"/>
  <c r="D4881" i="1"/>
  <c r="C4881" i="1"/>
  <c r="B4881" i="1"/>
  <c r="A4881" i="1"/>
  <c r="S4880" i="1"/>
  <c r="O4880" i="1"/>
  <c r="K4880" i="1"/>
  <c r="J4880" i="1"/>
  <c r="I4880" i="1"/>
  <c r="H4880" i="1"/>
  <c r="G4880" i="1"/>
  <c r="F4880" i="1"/>
  <c r="E4880" i="1"/>
  <c r="D4880" i="1"/>
  <c r="C4880" i="1"/>
  <c r="B4880" i="1"/>
  <c r="A4880" i="1"/>
  <c r="R4879" i="1"/>
  <c r="J4879" i="1"/>
  <c r="I4879" i="1"/>
  <c r="G4879" i="1"/>
  <c r="F4879" i="1"/>
  <c r="E4879" i="1"/>
  <c r="D4879" i="1"/>
  <c r="C4879" i="1"/>
  <c r="B4879" i="1"/>
  <c r="A4879" i="1"/>
  <c r="S4878" i="1"/>
  <c r="O4878" i="1"/>
  <c r="K4878" i="1"/>
  <c r="J4878" i="1"/>
  <c r="I4878" i="1"/>
  <c r="H4878" i="1"/>
  <c r="G4878" i="1"/>
  <c r="F4878" i="1"/>
  <c r="E4878" i="1"/>
  <c r="D4878" i="1"/>
  <c r="C4878" i="1"/>
  <c r="B4878" i="1"/>
  <c r="A4878" i="1"/>
  <c r="R4877" i="1"/>
  <c r="J4877" i="1"/>
  <c r="I4877" i="1"/>
  <c r="G4877" i="1"/>
  <c r="F4877" i="1"/>
  <c r="E4877" i="1"/>
  <c r="D4877" i="1"/>
  <c r="C4877" i="1"/>
  <c r="B4877" i="1"/>
  <c r="A4877" i="1"/>
  <c r="S4876" i="1"/>
  <c r="O4876" i="1"/>
  <c r="K4876" i="1"/>
  <c r="J4876" i="1"/>
  <c r="I4876" i="1"/>
  <c r="H4876" i="1"/>
  <c r="G4876" i="1"/>
  <c r="F4876" i="1"/>
  <c r="E4876" i="1"/>
  <c r="D4876" i="1"/>
  <c r="C4876" i="1"/>
  <c r="B4876" i="1"/>
  <c r="A4876" i="1"/>
  <c r="R4875" i="1"/>
  <c r="J4875" i="1"/>
  <c r="I4875" i="1"/>
  <c r="G4875" i="1"/>
  <c r="F4875" i="1"/>
  <c r="E4875" i="1"/>
  <c r="D4875" i="1"/>
  <c r="C4875" i="1"/>
  <c r="B4875" i="1"/>
  <c r="A4875" i="1"/>
  <c r="S4874" i="1"/>
  <c r="O4874" i="1"/>
  <c r="K4874" i="1"/>
  <c r="J4874" i="1"/>
  <c r="I4874" i="1"/>
  <c r="H4874" i="1"/>
  <c r="G4874" i="1"/>
  <c r="F4874" i="1"/>
  <c r="E4874" i="1"/>
  <c r="D4874" i="1"/>
  <c r="C4874" i="1"/>
  <c r="B4874" i="1"/>
  <c r="A4874" i="1"/>
  <c r="R4873" i="1"/>
  <c r="J4873" i="1"/>
  <c r="I4873" i="1"/>
  <c r="G4873" i="1"/>
  <c r="F4873" i="1"/>
  <c r="E4873" i="1"/>
  <c r="D4873" i="1"/>
  <c r="C4873" i="1"/>
  <c r="B4873" i="1"/>
  <c r="A4873" i="1"/>
  <c r="S4872" i="1"/>
  <c r="O4872" i="1"/>
  <c r="K4872" i="1"/>
  <c r="J4872" i="1"/>
  <c r="I4872" i="1"/>
  <c r="H4872" i="1"/>
  <c r="G4872" i="1"/>
  <c r="F4872" i="1"/>
  <c r="E4872" i="1"/>
  <c r="D4872" i="1"/>
  <c r="C4872" i="1"/>
  <c r="B4872" i="1"/>
  <c r="A4872" i="1"/>
  <c r="R4871" i="1"/>
  <c r="J4871" i="1"/>
  <c r="I4871" i="1"/>
  <c r="G4871" i="1"/>
  <c r="F4871" i="1"/>
  <c r="E4871" i="1"/>
  <c r="D4871" i="1"/>
  <c r="C4871" i="1"/>
  <c r="B4871" i="1"/>
  <c r="A4871" i="1"/>
  <c r="S4870" i="1"/>
  <c r="O4870" i="1"/>
  <c r="K4870" i="1"/>
  <c r="J4870" i="1"/>
  <c r="I4870" i="1"/>
  <c r="H4870" i="1"/>
  <c r="G4870" i="1"/>
  <c r="F4870" i="1"/>
  <c r="E4870" i="1"/>
  <c r="D4870" i="1"/>
  <c r="C4870" i="1"/>
  <c r="B4870" i="1"/>
  <c r="A4870" i="1"/>
  <c r="R4869" i="1"/>
  <c r="J4869" i="1"/>
  <c r="I4869" i="1"/>
  <c r="G4869" i="1"/>
  <c r="F4869" i="1"/>
  <c r="E4869" i="1"/>
  <c r="D4869" i="1"/>
  <c r="C4869" i="1"/>
  <c r="B4869" i="1"/>
  <c r="A4869" i="1"/>
  <c r="S4868" i="1"/>
  <c r="O4868" i="1"/>
  <c r="K4868" i="1"/>
  <c r="J4868" i="1"/>
  <c r="I4868" i="1"/>
  <c r="H4868" i="1"/>
  <c r="G4868" i="1"/>
  <c r="F4868" i="1"/>
  <c r="E4868" i="1"/>
  <c r="D4868" i="1"/>
  <c r="C4868" i="1"/>
  <c r="B4868" i="1"/>
  <c r="A4868" i="1"/>
  <c r="R4867" i="1"/>
  <c r="J4867" i="1"/>
  <c r="I4867" i="1"/>
  <c r="G4867" i="1"/>
  <c r="F4867" i="1"/>
  <c r="E4867" i="1"/>
  <c r="D4867" i="1"/>
  <c r="C4867" i="1"/>
  <c r="B4867" i="1"/>
  <c r="A4867" i="1"/>
  <c r="S4866" i="1"/>
  <c r="O4866" i="1"/>
  <c r="K4866" i="1"/>
  <c r="J4866" i="1"/>
  <c r="I4866" i="1"/>
  <c r="H4866" i="1"/>
  <c r="G4866" i="1"/>
  <c r="F4866" i="1"/>
  <c r="E4866" i="1"/>
  <c r="D4866" i="1"/>
  <c r="C4866" i="1"/>
  <c r="B4866" i="1"/>
  <c r="A4866" i="1"/>
  <c r="R4865" i="1"/>
  <c r="J4865" i="1"/>
  <c r="I4865" i="1"/>
  <c r="G4865" i="1"/>
  <c r="F4865" i="1"/>
  <c r="E4865" i="1"/>
  <c r="D4865" i="1"/>
  <c r="C4865" i="1"/>
  <c r="B4865" i="1"/>
  <c r="A4865" i="1"/>
  <c r="S4864" i="1"/>
  <c r="O4864" i="1"/>
  <c r="K4864" i="1"/>
  <c r="J4864" i="1"/>
  <c r="I4864" i="1"/>
  <c r="H4864" i="1"/>
  <c r="G4864" i="1"/>
  <c r="F4864" i="1"/>
  <c r="E4864" i="1"/>
  <c r="D4864" i="1"/>
  <c r="C4864" i="1"/>
  <c r="B4864" i="1"/>
  <c r="A4864" i="1"/>
  <c r="R4863" i="1"/>
  <c r="J4863" i="1"/>
  <c r="I4863" i="1"/>
  <c r="G4863" i="1"/>
  <c r="F4863" i="1"/>
  <c r="E4863" i="1"/>
  <c r="D4863" i="1"/>
  <c r="C4863" i="1"/>
  <c r="B4863" i="1"/>
  <c r="A4863" i="1"/>
  <c r="S4862" i="1"/>
  <c r="O4862" i="1"/>
  <c r="K4862" i="1"/>
  <c r="J4862" i="1"/>
  <c r="I4862" i="1"/>
  <c r="H4862" i="1"/>
  <c r="G4862" i="1"/>
  <c r="F4862" i="1"/>
  <c r="E4862" i="1"/>
  <c r="D4862" i="1"/>
  <c r="C4862" i="1"/>
  <c r="B4862" i="1"/>
  <c r="A4862" i="1"/>
  <c r="R4861" i="1"/>
  <c r="J4861" i="1"/>
  <c r="I4861" i="1"/>
  <c r="G4861" i="1"/>
  <c r="F4861" i="1"/>
  <c r="E4861" i="1"/>
  <c r="D4861" i="1"/>
  <c r="C4861" i="1"/>
  <c r="B4861" i="1"/>
  <c r="A4861" i="1"/>
  <c r="S4860" i="1"/>
  <c r="O4860" i="1"/>
  <c r="K4860" i="1"/>
  <c r="J4860" i="1"/>
  <c r="I4860" i="1"/>
  <c r="H4860" i="1"/>
  <c r="G4860" i="1"/>
  <c r="F4860" i="1"/>
  <c r="E4860" i="1"/>
  <c r="D4860" i="1"/>
  <c r="C4860" i="1"/>
  <c r="B4860" i="1"/>
  <c r="A4860" i="1"/>
  <c r="R4859" i="1"/>
  <c r="J4859" i="1"/>
  <c r="I4859" i="1"/>
  <c r="G4859" i="1"/>
  <c r="F4859" i="1"/>
  <c r="E4859" i="1"/>
  <c r="D4859" i="1"/>
  <c r="C4859" i="1"/>
  <c r="B4859" i="1"/>
  <c r="A4859" i="1"/>
  <c r="S4858" i="1"/>
  <c r="O4858" i="1"/>
  <c r="K4858" i="1"/>
  <c r="J4858" i="1"/>
  <c r="I4858" i="1"/>
  <c r="H4858" i="1"/>
  <c r="G4858" i="1"/>
  <c r="F4858" i="1"/>
  <c r="E4858" i="1"/>
  <c r="D4858" i="1"/>
  <c r="C4858" i="1"/>
  <c r="B4858" i="1"/>
  <c r="A4858" i="1"/>
  <c r="R4857" i="1"/>
  <c r="J4857" i="1"/>
  <c r="I4857" i="1"/>
  <c r="G4857" i="1"/>
  <c r="F4857" i="1"/>
  <c r="E4857" i="1"/>
  <c r="D4857" i="1"/>
  <c r="C4857" i="1"/>
  <c r="B4857" i="1"/>
  <c r="A4857" i="1"/>
  <c r="S4856" i="1"/>
  <c r="O4856" i="1"/>
  <c r="K4856" i="1"/>
  <c r="J4856" i="1"/>
  <c r="I4856" i="1"/>
  <c r="H4856" i="1"/>
  <c r="G4856" i="1"/>
  <c r="F4856" i="1"/>
  <c r="E4856" i="1"/>
  <c r="D4856" i="1"/>
  <c r="C4856" i="1"/>
  <c r="B4856" i="1"/>
  <c r="A4856" i="1"/>
  <c r="R4855" i="1"/>
  <c r="J4855" i="1"/>
  <c r="I4855" i="1"/>
  <c r="G4855" i="1"/>
  <c r="F4855" i="1"/>
  <c r="E4855" i="1"/>
  <c r="D4855" i="1"/>
  <c r="C4855" i="1"/>
  <c r="B4855" i="1"/>
  <c r="A4855" i="1"/>
  <c r="S4854" i="1"/>
  <c r="O4854" i="1"/>
  <c r="K4854" i="1"/>
  <c r="J4854" i="1"/>
  <c r="I4854" i="1"/>
  <c r="H4854" i="1"/>
  <c r="G4854" i="1"/>
  <c r="F4854" i="1"/>
  <c r="E4854" i="1"/>
  <c r="D4854" i="1"/>
  <c r="C4854" i="1"/>
  <c r="B4854" i="1"/>
  <c r="A4854" i="1"/>
  <c r="R4853" i="1"/>
  <c r="J4853" i="1"/>
  <c r="I4853" i="1"/>
  <c r="G4853" i="1"/>
  <c r="F4853" i="1"/>
  <c r="E4853" i="1"/>
  <c r="D4853" i="1"/>
  <c r="C4853" i="1"/>
  <c r="B4853" i="1"/>
  <c r="A4853" i="1"/>
  <c r="S4852" i="1"/>
  <c r="O4852" i="1"/>
  <c r="K4852" i="1"/>
  <c r="J4852" i="1"/>
  <c r="I4852" i="1"/>
  <c r="H4852" i="1"/>
  <c r="G4852" i="1"/>
  <c r="F4852" i="1"/>
  <c r="E4852" i="1"/>
  <c r="D4852" i="1"/>
  <c r="C4852" i="1"/>
  <c r="B4852" i="1"/>
  <c r="A4852" i="1"/>
  <c r="R4851" i="1"/>
  <c r="J4851" i="1"/>
  <c r="I4851" i="1"/>
  <c r="G4851" i="1"/>
  <c r="F4851" i="1"/>
  <c r="E4851" i="1"/>
  <c r="D4851" i="1"/>
  <c r="C4851" i="1"/>
  <c r="B4851" i="1"/>
  <c r="A4851" i="1"/>
  <c r="S4850" i="1"/>
  <c r="O4850" i="1"/>
  <c r="K4850" i="1"/>
  <c r="J4850" i="1"/>
  <c r="I4850" i="1"/>
  <c r="H4850" i="1"/>
  <c r="G4850" i="1"/>
  <c r="F4850" i="1"/>
  <c r="E4850" i="1"/>
  <c r="D4850" i="1"/>
  <c r="C4850" i="1"/>
  <c r="B4850" i="1"/>
  <c r="A4850" i="1"/>
  <c r="R4849" i="1"/>
  <c r="J4849" i="1"/>
  <c r="I4849" i="1"/>
  <c r="G4849" i="1"/>
  <c r="F4849" i="1"/>
  <c r="E4849" i="1"/>
  <c r="D4849" i="1"/>
  <c r="C4849" i="1"/>
  <c r="B4849" i="1"/>
  <c r="A4849" i="1"/>
  <c r="S4848" i="1"/>
  <c r="O4848" i="1"/>
  <c r="K4848" i="1"/>
  <c r="J4848" i="1"/>
  <c r="I4848" i="1"/>
  <c r="H4848" i="1"/>
  <c r="G4848" i="1"/>
  <c r="F4848" i="1"/>
  <c r="E4848" i="1"/>
  <c r="D4848" i="1"/>
  <c r="C4848" i="1"/>
  <c r="B4848" i="1"/>
  <c r="A4848" i="1"/>
  <c r="R4847" i="1"/>
  <c r="J4847" i="1"/>
  <c r="I4847" i="1"/>
  <c r="G4847" i="1"/>
  <c r="F4847" i="1"/>
  <c r="E4847" i="1"/>
  <c r="D4847" i="1"/>
  <c r="C4847" i="1"/>
  <c r="B4847" i="1"/>
  <c r="A4847" i="1"/>
  <c r="S4846" i="1"/>
  <c r="O4846" i="1"/>
  <c r="K4846" i="1"/>
  <c r="J4846" i="1"/>
  <c r="I4846" i="1"/>
  <c r="H4846" i="1"/>
  <c r="G4846" i="1"/>
  <c r="F4846" i="1"/>
  <c r="E4846" i="1"/>
  <c r="D4846" i="1"/>
  <c r="C4846" i="1"/>
  <c r="B4846" i="1"/>
  <c r="A4846" i="1"/>
  <c r="R4845" i="1"/>
  <c r="J4845" i="1"/>
  <c r="I4845" i="1"/>
  <c r="G4845" i="1"/>
  <c r="F4845" i="1"/>
  <c r="E4845" i="1"/>
  <c r="D4845" i="1"/>
  <c r="C4845" i="1"/>
  <c r="B4845" i="1"/>
  <c r="A4845" i="1"/>
  <c r="S4844" i="1"/>
  <c r="O4844" i="1"/>
  <c r="K4844" i="1"/>
  <c r="J4844" i="1"/>
  <c r="I4844" i="1"/>
  <c r="H4844" i="1"/>
  <c r="G4844" i="1"/>
  <c r="F4844" i="1"/>
  <c r="E4844" i="1"/>
  <c r="D4844" i="1"/>
  <c r="C4844" i="1"/>
  <c r="B4844" i="1"/>
  <c r="A4844" i="1"/>
  <c r="R4843" i="1"/>
  <c r="J4843" i="1"/>
  <c r="I4843" i="1"/>
  <c r="G4843" i="1"/>
  <c r="F4843" i="1"/>
  <c r="E4843" i="1"/>
  <c r="D4843" i="1"/>
  <c r="C4843" i="1"/>
  <c r="B4843" i="1"/>
  <c r="A4843" i="1"/>
  <c r="S4842" i="1"/>
  <c r="O4842" i="1"/>
  <c r="K4842" i="1"/>
  <c r="J4842" i="1"/>
  <c r="I4842" i="1"/>
  <c r="H4842" i="1"/>
  <c r="G4842" i="1"/>
  <c r="F4842" i="1"/>
  <c r="E4842" i="1"/>
  <c r="D4842" i="1"/>
  <c r="C4842" i="1"/>
  <c r="B4842" i="1"/>
  <c r="A4842" i="1"/>
  <c r="R4841" i="1"/>
  <c r="J4841" i="1"/>
  <c r="I4841" i="1"/>
  <c r="G4841" i="1"/>
  <c r="F4841" i="1"/>
  <c r="E4841" i="1"/>
  <c r="D4841" i="1"/>
  <c r="C4841" i="1"/>
  <c r="B4841" i="1"/>
  <c r="A4841" i="1"/>
  <c r="S4840" i="1"/>
  <c r="O4840" i="1"/>
  <c r="K4840" i="1"/>
  <c r="J4840" i="1"/>
  <c r="I4840" i="1"/>
  <c r="H4840" i="1"/>
  <c r="G4840" i="1"/>
  <c r="F4840" i="1"/>
  <c r="E4840" i="1"/>
  <c r="D4840" i="1"/>
  <c r="C4840" i="1"/>
  <c r="B4840" i="1"/>
  <c r="A4840" i="1"/>
  <c r="R4839" i="1"/>
  <c r="J4839" i="1"/>
  <c r="I4839" i="1"/>
  <c r="G4839" i="1"/>
  <c r="F4839" i="1"/>
  <c r="E4839" i="1"/>
  <c r="D4839" i="1"/>
  <c r="C4839" i="1"/>
  <c r="B4839" i="1"/>
  <c r="A4839" i="1"/>
  <c r="S4838" i="1"/>
  <c r="O4838" i="1"/>
  <c r="K4838" i="1"/>
  <c r="J4838" i="1"/>
  <c r="I4838" i="1"/>
  <c r="H4838" i="1"/>
  <c r="G4838" i="1"/>
  <c r="F4838" i="1"/>
  <c r="E4838" i="1"/>
  <c r="D4838" i="1"/>
  <c r="C4838" i="1"/>
  <c r="B4838" i="1"/>
  <c r="A4838" i="1"/>
  <c r="R4837" i="1"/>
  <c r="J4837" i="1"/>
  <c r="I4837" i="1"/>
  <c r="G4837" i="1"/>
  <c r="F4837" i="1"/>
  <c r="E4837" i="1"/>
  <c r="D4837" i="1"/>
  <c r="C4837" i="1"/>
  <c r="B4837" i="1"/>
  <c r="A4837" i="1"/>
  <c r="S4836" i="1"/>
  <c r="O4836" i="1"/>
  <c r="K4836" i="1"/>
  <c r="J4836" i="1"/>
  <c r="I4836" i="1"/>
  <c r="H4836" i="1"/>
  <c r="G4836" i="1"/>
  <c r="F4836" i="1"/>
  <c r="E4836" i="1"/>
  <c r="D4836" i="1"/>
  <c r="C4836" i="1"/>
  <c r="B4836" i="1"/>
  <c r="A4836" i="1"/>
  <c r="R4835" i="1"/>
  <c r="J4835" i="1"/>
  <c r="I4835" i="1"/>
  <c r="G4835" i="1"/>
  <c r="F4835" i="1"/>
  <c r="E4835" i="1"/>
  <c r="D4835" i="1"/>
  <c r="C4835" i="1"/>
  <c r="B4835" i="1"/>
  <c r="A4835" i="1"/>
  <c r="S4834" i="1"/>
  <c r="O4834" i="1"/>
  <c r="K4834" i="1"/>
  <c r="J4834" i="1"/>
  <c r="I4834" i="1"/>
  <c r="H4834" i="1"/>
  <c r="G4834" i="1"/>
  <c r="F4834" i="1"/>
  <c r="E4834" i="1"/>
  <c r="D4834" i="1"/>
  <c r="C4834" i="1"/>
  <c r="B4834" i="1"/>
  <c r="A4834" i="1"/>
  <c r="R4833" i="1"/>
  <c r="J4833" i="1"/>
  <c r="I4833" i="1"/>
  <c r="G4833" i="1"/>
  <c r="F4833" i="1"/>
  <c r="E4833" i="1"/>
  <c r="D4833" i="1"/>
  <c r="C4833" i="1"/>
  <c r="B4833" i="1"/>
  <c r="A4833" i="1"/>
  <c r="S4832" i="1"/>
  <c r="O4832" i="1"/>
  <c r="K4832" i="1"/>
  <c r="J4832" i="1"/>
  <c r="I4832" i="1"/>
  <c r="H4832" i="1"/>
  <c r="G4832" i="1"/>
  <c r="F4832" i="1"/>
  <c r="E4832" i="1"/>
  <c r="D4832" i="1"/>
  <c r="C4832" i="1"/>
  <c r="B4832" i="1"/>
  <c r="A4832" i="1"/>
  <c r="R4831" i="1"/>
  <c r="J4831" i="1"/>
  <c r="I4831" i="1"/>
  <c r="G4831" i="1"/>
  <c r="F4831" i="1"/>
  <c r="E4831" i="1"/>
  <c r="D4831" i="1"/>
  <c r="C4831" i="1"/>
  <c r="B4831" i="1"/>
  <c r="A4831" i="1"/>
  <c r="S4830" i="1"/>
  <c r="O4830" i="1"/>
  <c r="K4830" i="1"/>
  <c r="J4830" i="1"/>
  <c r="I4830" i="1"/>
  <c r="H4830" i="1"/>
  <c r="G4830" i="1"/>
  <c r="F4830" i="1"/>
  <c r="E4830" i="1"/>
  <c r="D4830" i="1"/>
  <c r="C4830" i="1"/>
  <c r="B4830" i="1"/>
  <c r="A4830" i="1"/>
  <c r="R4829" i="1"/>
  <c r="J4829" i="1"/>
  <c r="I4829" i="1"/>
  <c r="G4829" i="1"/>
  <c r="F4829" i="1"/>
  <c r="E4829" i="1"/>
  <c r="D4829" i="1"/>
  <c r="C4829" i="1"/>
  <c r="B4829" i="1"/>
  <c r="A4829" i="1"/>
  <c r="S4828" i="1"/>
  <c r="O4828" i="1"/>
  <c r="K4828" i="1"/>
  <c r="J4828" i="1"/>
  <c r="I4828" i="1"/>
  <c r="H4828" i="1"/>
  <c r="G4828" i="1"/>
  <c r="F4828" i="1"/>
  <c r="E4828" i="1"/>
  <c r="D4828" i="1"/>
  <c r="C4828" i="1"/>
  <c r="B4828" i="1"/>
  <c r="A4828" i="1"/>
  <c r="R4827" i="1"/>
  <c r="J4827" i="1"/>
  <c r="I4827" i="1"/>
  <c r="G4827" i="1"/>
  <c r="F4827" i="1"/>
  <c r="E4827" i="1"/>
  <c r="D4827" i="1"/>
  <c r="C4827" i="1"/>
  <c r="B4827" i="1"/>
  <c r="A4827" i="1"/>
  <c r="S4826" i="1"/>
  <c r="O4826" i="1"/>
  <c r="K4826" i="1"/>
  <c r="J4826" i="1"/>
  <c r="I4826" i="1"/>
  <c r="H4826" i="1"/>
  <c r="G4826" i="1"/>
  <c r="F4826" i="1"/>
  <c r="E4826" i="1"/>
  <c r="D4826" i="1"/>
  <c r="C4826" i="1"/>
  <c r="B4826" i="1"/>
  <c r="A4826" i="1"/>
  <c r="R4825" i="1"/>
  <c r="J4825" i="1"/>
  <c r="I4825" i="1"/>
  <c r="G4825" i="1"/>
  <c r="F4825" i="1"/>
  <c r="E4825" i="1"/>
  <c r="D4825" i="1"/>
  <c r="C4825" i="1"/>
  <c r="B4825" i="1"/>
  <c r="A4825" i="1"/>
  <c r="S4824" i="1"/>
  <c r="O4824" i="1"/>
  <c r="K4824" i="1"/>
  <c r="J4824" i="1"/>
  <c r="I4824" i="1"/>
  <c r="H4824" i="1"/>
  <c r="G4824" i="1"/>
  <c r="F4824" i="1"/>
  <c r="E4824" i="1"/>
  <c r="D4824" i="1"/>
  <c r="C4824" i="1"/>
  <c r="B4824" i="1"/>
  <c r="A4824" i="1"/>
  <c r="R4823" i="1"/>
  <c r="J4823" i="1"/>
  <c r="I4823" i="1"/>
  <c r="G4823" i="1"/>
  <c r="F4823" i="1"/>
  <c r="E4823" i="1"/>
  <c r="D4823" i="1"/>
  <c r="C4823" i="1"/>
  <c r="B4823" i="1"/>
  <c r="A4823" i="1"/>
  <c r="S4822" i="1"/>
  <c r="O4822" i="1"/>
  <c r="K4822" i="1"/>
  <c r="J4822" i="1"/>
  <c r="I4822" i="1"/>
  <c r="H4822" i="1"/>
  <c r="G4822" i="1"/>
  <c r="F4822" i="1"/>
  <c r="E4822" i="1"/>
  <c r="D4822" i="1"/>
  <c r="C4822" i="1"/>
  <c r="B4822" i="1"/>
  <c r="A4822" i="1"/>
  <c r="R4821" i="1"/>
  <c r="J4821" i="1"/>
  <c r="I4821" i="1"/>
  <c r="G4821" i="1"/>
  <c r="F4821" i="1"/>
  <c r="E4821" i="1"/>
  <c r="D4821" i="1"/>
  <c r="C4821" i="1"/>
  <c r="B4821" i="1"/>
  <c r="A4821" i="1"/>
  <c r="S4820" i="1"/>
  <c r="O4820" i="1"/>
  <c r="K4820" i="1"/>
  <c r="J4820" i="1"/>
  <c r="I4820" i="1"/>
  <c r="H4820" i="1"/>
  <c r="G4820" i="1"/>
  <c r="F4820" i="1"/>
  <c r="E4820" i="1"/>
  <c r="D4820" i="1"/>
  <c r="C4820" i="1"/>
  <c r="B4820" i="1"/>
  <c r="A4820" i="1"/>
  <c r="R4819" i="1"/>
  <c r="J4819" i="1"/>
  <c r="I4819" i="1"/>
  <c r="G4819" i="1"/>
  <c r="F4819" i="1"/>
  <c r="E4819" i="1"/>
  <c r="D4819" i="1"/>
  <c r="C4819" i="1"/>
  <c r="B4819" i="1"/>
  <c r="A4819" i="1"/>
  <c r="S4818" i="1"/>
  <c r="O4818" i="1"/>
  <c r="K4818" i="1"/>
  <c r="J4818" i="1"/>
  <c r="I4818" i="1"/>
  <c r="H4818" i="1"/>
  <c r="G4818" i="1"/>
  <c r="F4818" i="1"/>
  <c r="E4818" i="1"/>
  <c r="D4818" i="1"/>
  <c r="C4818" i="1"/>
  <c r="B4818" i="1"/>
  <c r="A4818" i="1"/>
  <c r="R4817" i="1"/>
  <c r="J4817" i="1"/>
  <c r="I4817" i="1"/>
  <c r="G4817" i="1"/>
  <c r="F4817" i="1"/>
  <c r="E4817" i="1"/>
  <c r="D4817" i="1"/>
  <c r="C4817" i="1"/>
  <c r="B4817" i="1"/>
  <c r="A4817" i="1"/>
  <c r="S4816" i="1"/>
  <c r="O4816" i="1"/>
  <c r="K4816" i="1"/>
  <c r="J4816" i="1"/>
  <c r="I4816" i="1"/>
  <c r="H4816" i="1"/>
  <c r="G4816" i="1"/>
  <c r="F4816" i="1"/>
  <c r="E4816" i="1"/>
  <c r="D4816" i="1"/>
  <c r="C4816" i="1"/>
  <c r="B4816" i="1"/>
  <c r="A4816" i="1"/>
  <c r="R4815" i="1"/>
  <c r="J4815" i="1"/>
  <c r="I4815" i="1"/>
  <c r="G4815" i="1"/>
  <c r="F4815" i="1"/>
  <c r="E4815" i="1"/>
  <c r="D4815" i="1"/>
  <c r="C4815" i="1"/>
  <c r="B4815" i="1"/>
  <c r="A4815" i="1"/>
  <c r="S4814" i="1"/>
  <c r="O4814" i="1"/>
  <c r="K4814" i="1"/>
  <c r="J4814" i="1"/>
  <c r="I4814" i="1"/>
  <c r="H4814" i="1"/>
  <c r="G4814" i="1"/>
  <c r="F4814" i="1"/>
  <c r="E4814" i="1"/>
  <c r="D4814" i="1"/>
  <c r="C4814" i="1"/>
  <c r="B4814" i="1"/>
  <c r="A4814" i="1"/>
  <c r="R4813" i="1"/>
  <c r="J4813" i="1"/>
  <c r="I4813" i="1"/>
  <c r="G4813" i="1"/>
  <c r="F4813" i="1"/>
  <c r="E4813" i="1"/>
  <c r="D4813" i="1"/>
  <c r="C4813" i="1"/>
  <c r="B4813" i="1"/>
  <c r="A4813" i="1"/>
  <c r="R4812" i="1"/>
  <c r="J4812" i="1"/>
  <c r="I4812" i="1"/>
  <c r="G4812" i="1"/>
  <c r="F4812" i="1"/>
  <c r="E4812" i="1"/>
  <c r="D4812" i="1"/>
  <c r="C4812" i="1"/>
  <c r="B4812" i="1"/>
  <c r="A4812" i="1"/>
  <c r="S4811" i="1"/>
  <c r="O4811" i="1"/>
  <c r="K4811" i="1"/>
  <c r="J4811" i="1"/>
  <c r="I4811" i="1"/>
  <c r="H4811" i="1"/>
  <c r="G4811" i="1"/>
  <c r="F4811" i="1"/>
  <c r="E4811" i="1"/>
  <c r="D4811" i="1"/>
  <c r="C4811" i="1"/>
  <c r="B4811" i="1"/>
  <c r="A4811" i="1"/>
  <c r="R4810" i="1"/>
  <c r="J4810" i="1"/>
  <c r="I4810" i="1"/>
  <c r="G4810" i="1"/>
  <c r="F4810" i="1"/>
  <c r="E4810" i="1"/>
  <c r="D4810" i="1"/>
  <c r="C4810" i="1"/>
  <c r="B4810" i="1"/>
  <c r="A4810" i="1"/>
  <c r="S4809" i="1"/>
  <c r="O4809" i="1"/>
  <c r="K4809" i="1"/>
  <c r="J4809" i="1"/>
  <c r="I4809" i="1"/>
  <c r="H4809" i="1"/>
  <c r="G4809" i="1"/>
  <c r="F4809" i="1"/>
  <c r="E4809" i="1"/>
  <c r="D4809" i="1"/>
  <c r="C4809" i="1"/>
  <c r="B4809" i="1"/>
  <c r="A4809" i="1"/>
  <c r="R4808" i="1"/>
  <c r="J4808" i="1"/>
  <c r="I4808" i="1"/>
  <c r="G4808" i="1"/>
  <c r="F4808" i="1"/>
  <c r="E4808" i="1"/>
  <c r="D4808" i="1"/>
  <c r="C4808" i="1"/>
  <c r="B4808" i="1"/>
  <c r="A4808" i="1"/>
  <c r="S4807" i="1"/>
  <c r="O4807" i="1"/>
  <c r="K4807" i="1"/>
  <c r="J4807" i="1"/>
  <c r="I4807" i="1"/>
  <c r="H4807" i="1"/>
  <c r="G4807" i="1"/>
  <c r="F4807" i="1"/>
  <c r="E4807" i="1"/>
  <c r="D4807" i="1"/>
  <c r="C4807" i="1"/>
  <c r="B4807" i="1"/>
  <c r="A4807" i="1"/>
  <c r="R4806" i="1"/>
  <c r="J4806" i="1"/>
  <c r="I4806" i="1"/>
  <c r="G4806" i="1"/>
  <c r="F4806" i="1"/>
  <c r="E4806" i="1"/>
  <c r="D4806" i="1"/>
  <c r="C4806" i="1"/>
  <c r="B4806" i="1"/>
  <c r="A4806" i="1"/>
  <c r="R4805" i="1"/>
  <c r="J4805" i="1"/>
  <c r="I4805" i="1"/>
  <c r="G4805" i="1"/>
  <c r="F4805" i="1"/>
  <c r="E4805" i="1"/>
  <c r="D4805" i="1"/>
  <c r="C4805" i="1"/>
  <c r="B4805" i="1"/>
  <c r="A4805" i="1"/>
  <c r="S4804" i="1"/>
  <c r="O4804" i="1"/>
  <c r="K4804" i="1"/>
  <c r="J4804" i="1"/>
  <c r="I4804" i="1"/>
  <c r="H4804" i="1"/>
  <c r="G4804" i="1"/>
  <c r="F4804" i="1"/>
  <c r="E4804" i="1"/>
  <c r="D4804" i="1"/>
  <c r="C4804" i="1"/>
  <c r="B4804" i="1"/>
  <c r="A4804" i="1"/>
  <c r="R4803" i="1"/>
  <c r="J4803" i="1"/>
  <c r="I4803" i="1"/>
  <c r="G4803" i="1"/>
  <c r="F4803" i="1"/>
  <c r="E4803" i="1"/>
  <c r="D4803" i="1"/>
  <c r="C4803" i="1"/>
  <c r="B4803" i="1"/>
  <c r="A4803" i="1"/>
  <c r="S4802" i="1"/>
  <c r="O4802" i="1"/>
  <c r="K4802" i="1"/>
  <c r="J4802" i="1"/>
  <c r="I4802" i="1"/>
  <c r="H4802" i="1"/>
  <c r="G4802" i="1"/>
  <c r="F4802" i="1"/>
  <c r="E4802" i="1"/>
  <c r="D4802" i="1"/>
  <c r="C4802" i="1"/>
  <c r="B4802" i="1"/>
  <c r="A4802" i="1"/>
  <c r="R4801" i="1"/>
  <c r="J4801" i="1"/>
  <c r="I4801" i="1"/>
  <c r="G4801" i="1"/>
  <c r="F4801" i="1"/>
  <c r="E4801" i="1"/>
  <c r="D4801" i="1"/>
  <c r="C4801" i="1"/>
  <c r="B4801" i="1"/>
  <c r="A4801" i="1"/>
  <c r="S4800" i="1"/>
  <c r="O4800" i="1"/>
  <c r="K4800" i="1"/>
  <c r="J4800" i="1"/>
  <c r="I4800" i="1"/>
  <c r="H4800" i="1"/>
  <c r="G4800" i="1"/>
  <c r="F4800" i="1"/>
  <c r="E4800" i="1"/>
  <c r="D4800" i="1"/>
  <c r="C4800" i="1"/>
  <c r="B4800" i="1"/>
  <c r="A4800" i="1"/>
  <c r="R4799" i="1"/>
  <c r="J4799" i="1"/>
  <c r="I4799" i="1"/>
  <c r="G4799" i="1"/>
  <c r="F4799" i="1"/>
  <c r="E4799" i="1"/>
  <c r="D4799" i="1"/>
  <c r="C4799" i="1"/>
  <c r="B4799" i="1"/>
  <c r="A4799" i="1"/>
  <c r="S4798" i="1"/>
  <c r="O4798" i="1"/>
  <c r="K4798" i="1"/>
  <c r="J4798" i="1"/>
  <c r="I4798" i="1"/>
  <c r="H4798" i="1"/>
  <c r="G4798" i="1"/>
  <c r="F4798" i="1"/>
  <c r="E4798" i="1"/>
  <c r="D4798" i="1"/>
  <c r="C4798" i="1"/>
  <c r="B4798" i="1"/>
  <c r="A4798" i="1"/>
  <c r="R4797" i="1"/>
  <c r="J4797" i="1"/>
  <c r="I4797" i="1"/>
  <c r="G4797" i="1"/>
  <c r="F4797" i="1"/>
  <c r="E4797" i="1"/>
  <c r="D4797" i="1"/>
  <c r="C4797" i="1"/>
  <c r="B4797" i="1"/>
  <c r="A4797" i="1"/>
  <c r="S4796" i="1"/>
  <c r="O4796" i="1"/>
  <c r="K4796" i="1"/>
  <c r="J4796" i="1"/>
  <c r="I4796" i="1"/>
  <c r="H4796" i="1"/>
  <c r="G4796" i="1"/>
  <c r="F4796" i="1"/>
  <c r="E4796" i="1"/>
  <c r="D4796" i="1"/>
  <c r="C4796" i="1"/>
  <c r="B4796" i="1"/>
  <c r="A4796" i="1"/>
  <c r="R4795" i="1"/>
  <c r="J4795" i="1"/>
  <c r="I4795" i="1"/>
  <c r="G4795" i="1"/>
  <c r="F4795" i="1"/>
  <c r="E4795" i="1"/>
  <c r="D4795" i="1"/>
  <c r="C4795" i="1"/>
  <c r="B4795" i="1"/>
  <c r="A4795" i="1"/>
  <c r="S4794" i="1"/>
  <c r="O4794" i="1"/>
  <c r="K4794" i="1"/>
  <c r="J4794" i="1"/>
  <c r="I4794" i="1"/>
  <c r="H4794" i="1"/>
  <c r="G4794" i="1"/>
  <c r="F4794" i="1"/>
  <c r="E4794" i="1"/>
  <c r="D4794" i="1"/>
  <c r="C4794" i="1"/>
  <c r="B4794" i="1"/>
  <c r="A4794" i="1"/>
  <c r="R4793" i="1"/>
  <c r="J4793" i="1"/>
  <c r="I4793" i="1"/>
  <c r="G4793" i="1"/>
  <c r="F4793" i="1"/>
  <c r="E4793" i="1"/>
  <c r="D4793" i="1"/>
  <c r="C4793" i="1"/>
  <c r="B4793" i="1"/>
  <c r="A4793" i="1"/>
  <c r="S4792" i="1"/>
  <c r="O4792" i="1"/>
  <c r="K4792" i="1"/>
  <c r="J4792" i="1"/>
  <c r="I4792" i="1"/>
  <c r="H4792" i="1"/>
  <c r="G4792" i="1"/>
  <c r="F4792" i="1"/>
  <c r="E4792" i="1"/>
  <c r="D4792" i="1"/>
  <c r="C4792" i="1"/>
  <c r="B4792" i="1"/>
  <c r="A4792" i="1"/>
  <c r="R4791" i="1"/>
  <c r="J4791" i="1"/>
  <c r="I4791" i="1"/>
  <c r="G4791" i="1"/>
  <c r="F4791" i="1"/>
  <c r="E4791" i="1"/>
  <c r="D4791" i="1"/>
  <c r="C4791" i="1"/>
  <c r="B4791" i="1"/>
  <c r="A4791" i="1"/>
  <c r="S4790" i="1"/>
  <c r="O4790" i="1"/>
  <c r="K4790" i="1"/>
  <c r="J4790" i="1"/>
  <c r="I4790" i="1"/>
  <c r="H4790" i="1"/>
  <c r="G4790" i="1"/>
  <c r="F4790" i="1"/>
  <c r="E4790" i="1"/>
  <c r="D4790" i="1"/>
  <c r="C4790" i="1"/>
  <c r="B4790" i="1"/>
  <c r="A4790" i="1"/>
  <c r="R4789" i="1"/>
  <c r="J4789" i="1"/>
  <c r="I4789" i="1"/>
  <c r="G4789" i="1"/>
  <c r="F4789" i="1"/>
  <c r="E4789" i="1"/>
  <c r="D4789" i="1"/>
  <c r="C4789" i="1"/>
  <c r="B4789" i="1"/>
  <c r="A4789" i="1"/>
  <c r="S4788" i="1"/>
  <c r="O4788" i="1"/>
  <c r="K4788" i="1"/>
  <c r="J4788" i="1"/>
  <c r="I4788" i="1"/>
  <c r="H4788" i="1"/>
  <c r="G4788" i="1"/>
  <c r="F4788" i="1"/>
  <c r="E4788" i="1"/>
  <c r="D4788" i="1"/>
  <c r="C4788" i="1"/>
  <c r="B4788" i="1"/>
  <c r="A4788" i="1"/>
  <c r="R4787" i="1"/>
  <c r="J4787" i="1"/>
  <c r="I4787" i="1"/>
  <c r="G4787" i="1"/>
  <c r="F4787" i="1"/>
  <c r="E4787" i="1"/>
  <c r="D4787" i="1"/>
  <c r="C4787" i="1"/>
  <c r="B4787" i="1"/>
  <c r="A4787" i="1"/>
  <c r="S4786" i="1"/>
  <c r="O4786" i="1"/>
  <c r="K4786" i="1"/>
  <c r="J4786" i="1"/>
  <c r="I4786" i="1"/>
  <c r="H4786" i="1"/>
  <c r="G4786" i="1"/>
  <c r="F4786" i="1"/>
  <c r="E4786" i="1"/>
  <c r="D4786" i="1"/>
  <c r="C4786" i="1"/>
  <c r="B4786" i="1"/>
  <c r="A4786" i="1"/>
  <c r="R4785" i="1"/>
  <c r="J4785" i="1"/>
  <c r="I4785" i="1"/>
  <c r="G4785" i="1"/>
  <c r="F4785" i="1"/>
  <c r="E4785" i="1"/>
  <c r="D4785" i="1"/>
  <c r="C4785" i="1"/>
  <c r="B4785" i="1"/>
  <c r="A4785" i="1"/>
  <c r="S4784" i="1"/>
  <c r="O4784" i="1"/>
  <c r="K4784" i="1"/>
  <c r="J4784" i="1"/>
  <c r="I4784" i="1"/>
  <c r="H4784" i="1"/>
  <c r="G4784" i="1"/>
  <c r="F4784" i="1"/>
  <c r="E4784" i="1"/>
  <c r="D4784" i="1"/>
  <c r="C4784" i="1"/>
  <c r="B4784" i="1"/>
  <c r="A4784" i="1"/>
  <c r="R4783" i="1"/>
  <c r="J4783" i="1"/>
  <c r="I4783" i="1"/>
  <c r="G4783" i="1"/>
  <c r="F4783" i="1"/>
  <c r="E4783" i="1"/>
  <c r="D4783" i="1"/>
  <c r="C4783" i="1"/>
  <c r="B4783" i="1"/>
  <c r="A4783" i="1"/>
  <c r="S4782" i="1"/>
  <c r="O4782" i="1"/>
  <c r="K4782" i="1"/>
  <c r="J4782" i="1"/>
  <c r="I4782" i="1"/>
  <c r="H4782" i="1"/>
  <c r="G4782" i="1"/>
  <c r="F4782" i="1"/>
  <c r="E4782" i="1"/>
  <c r="D4782" i="1"/>
  <c r="C4782" i="1"/>
  <c r="B4782" i="1"/>
  <c r="A4782" i="1"/>
  <c r="R4781" i="1"/>
  <c r="J4781" i="1"/>
  <c r="I4781" i="1"/>
  <c r="G4781" i="1"/>
  <c r="F4781" i="1"/>
  <c r="E4781" i="1"/>
  <c r="D4781" i="1"/>
  <c r="C4781" i="1"/>
  <c r="B4781" i="1"/>
  <c r="A4781" i="1"/>
  <c r="S4780" i="1"/>
  <c r="O4780" i="1"/>
  <c r="K4780" i="1"/>
  <c r="J4780" i="1"/>
  <c r="I4780" i="1"/>
  <c r="H4780" i="1"/>
  <c r="G4780" i="1"/>
  <c r="F4780" i="1"/>
  <c r="E4780" i="1"/>
  <c r="D4780" i="1"/>
  <c r="C4780" i="1"/>
  <c r="B4780" i="1"/>
  <c r="A4780" i="1"/>
  <c r="R4779" i="1"/>
  <c r="J4779" i="1"/>
  <c r="I4779" i="1"/>
  <c r="G4779" i="1"/>
  <c r="F4779" i="1"/>
  <c r="E4779" i="1"/>
  <c r="D4779" i="1"/>
  <c r="C4779" i="1"/>
  <c r="B4779" i="1"/>
  <c r="A4779" i="1"/>
  <c r="S4778" i="1"/>
  <c r="O4778" i="1"/>
  <c r="K4778" i="1"/>
  <c r="J4778" i="1"/>
  <c r="I4778" i="1"/>
  <c r="H4778" i="1"/>
  <c r="G4778" i="1"/>
  <c r="F4778" i="1"/>
  <c r="E4778" i="1"/>
  <c r="D4778" i="1"/>
  <c r="C4778" i="1"/>
  <c r="B4778" i="1"/>
  <c r="A4778" i="1"/>
  <c r="R4777" i="1"/>
  <c r="J4777" i="1"/>
  <c r="I4777" i="1"/>
  <c r="G4777" i="1"/>
  <c r="F4777" i="1"/>
  <c r="E4777" i="1"/>
  <c r="D4777" i="1"/>
  <c r="C4777" i="1"/>
  <c r="B4777" i="1"/>
  <c r="A4777" i="1"/>
  <c r="S4776" i="1"/>
  <c r="O4776" i="1"/>
  <c r="K4776" i="1"/>
  <c r="J4776" i="1"/>
  <c r="I4776" i="1"/>
  <c r="H4776" i="1"/>
  <c r="G4776" i="1"/>
  <c r="F4776" i="1"/>
  <c r="E4776" i="1"/>
  <c r="D4776" i="1"/>
  <c r="C4776" i="1"/>
  <c r="B4776" i="1"/>
  <c r="A4776" i="1"/>
  <c r="R4775" i="1"/>
  <c r="J4775" i="1"/>
  <c r="I4775" i="1"/>
  <c r="G4775" i="1"/>
  <c r="F4775" i="1"/>
  <c r="E4775" i="1"/>
  <c r="D4775" i="1"/>
  <c r="C4775" i="1"/>
  <c r="B4775" i="1"/>
  <c r="A4775" i="1"/>
  <c r="S4774" i="1"/>
  <c r="O4774" i="1"/>
  <c r="K4774" i="1"/>
  <c r="J4774" i="1"/>
  <c r="I4774" i="1"/>
  <c r="H4774" i="1"/>
  <c r="G4774" i="1"/>
  <c r="F4774" i="1"/>
  <c r="E4774" i="1"/>
  <c r="D4774" i="1"/>
  <c r="C4774" i="1"/>
  <c r="B4774" i="1"/>
  <c r="A4774" i="1"/>
  <c r="R4773" i="1"/>
  <c r="J4773" i="1"/>
  <c r="I4773" i="1"/>
  <c r="G4773" i="1"/>
  <c r="F4773" i="1"/>
  <c r="E4773" i="1"/>
  <c r="D4773" i="1"/>
  <c r="C4773" i="1"/>
  <c r="B4773" i="1"/>
  <c r="A4773" i="1"/>
  <c r="S4772" i="1"/>
  <c r="O4772" i="1"/>
  <c r="K4772" i="1"/>
  <c r="J4772" i="1"/>
  <c r="I4772" i="1"/>
  <c r="H4772" i="1"/>
  <c r="G4772" i="1"/>
  <c r="F4772" i="1"/>
  <c r="E4772" i="1"/>
  <c r="D4772" i="1"/>
  <c r="C4772" i="1"/>
  <c r="B4772" i="1"/>
  <c r="A4772" i="1"/>
  <c r="R4771" i="1"/>
  <c r="J4771" i="1"/>
  <c r="I4771" i="1"/>
  <c r="G4771" i="1"/>
  <c r="F4771" i="1"/>
  <c r="E4771" i="1"/>
  <c r="D4771" i="1"/>
  <c r="C4771" i="1"/>
  <c r="B4771" i="1"/>
  <c r="A4771" i="1"/>
  <c r="S4770" i="1"/>
  <c r="O4770" i="1"/>
  <c r="K4770" i="1"/>
  <c r="J4770" i="1"/>
  <c r="I4770" i="1"/>
  <c r="H4770" i="1"/>
  <c r="G4770" i="1"/>
  <c r="F4770" i="1"/>
  <c r="E4770" i="1"/>
  <c r="D4770" i="1"/>
  <c r="C4770" i="1"/>
  <c r="B4770" i="1"/>
  <c r="A4770" i="1"/>
  <c r="R4769" i="1"/>
  <c r="J4769" i="1"/>
  <c r="I4769" i="1"/>
  <c r="G4769" i="1"/>
  <c r="F4769" i="1"/>
  <c r="E4769" i="1"/>
  <c r="D4769" i="1"/>
  <c r="C4769" i="1"/>
  <c r="B4769" i="1"/>
  <c r="A4769" i="1"/>
  <c r="S4768" i="1"/>
  <c r="O4768" i="1"/>
  <c r="K4768" i="1"/>
  <c r="J4768" i="1"/>
  <c r="I4768" i="1"/>
  <c r="H4768" i="1"/>
  <c r="G4768" i="1"/>
  <c r="F4768" i="1"/>
  <c r="E4768" i="1"/>
  <c r="D4768" i="1"/>
  <c r="C4768" i="1"/>
  <c r="B4768" i="1"/>
  <c r="A4768" i="1"/>
  <c r="R4767" i="1"/>
  <c r="J4767" i="1"/>
  <c r="I4767" i="1"/>
  <c r="G4767" i="1"/>
  <c r="F4767" i="1"/>
  <c r="E4767" i="1"/>
  <c r="D4767" i="1"/>
  <c r="C4767" i="1"/>
  <c r="B4767" i="1"/>
  <c r="A4767" i="1"/>
  <c r="S4766" i="1"/>
  <c r="O4766" i="1"/>
  <c r="K4766" i="1"/>
  <c r="J4766" i="1"/>
  <c r="I4766" i="1"/>
  <c r="H4766" i="1"/>
  <c r="G4766" i="1"/>
  <c r="F4766" i="1"/>
  <c r="E4766" i="1"/>
  <c r="D4766" i="1"/>
  <c r="C4766" i="1"/>
  <c r="B4766" i="1"/>
  <c r="A4766" i="1"/>
  <c r="R4765" i="1"/>
  <c r="J4765" i="1"/>
  <c r="I4765" i="1"/>
  <c r="G4765" i="1"/>
  <c r="F4765" i="1"/>
  <c r="E4765" i="1"/>
  <c r="D4765" i="1"/>
  <c r="C4765" i="1"/>
  <c r="B4765" i="1"/>
  <c r="A4765" i="1"/>
  <c r="S4764" i="1"/>
  <c r="O4764" i="1"/>
  <c r="K4764" i="1"/>
  <c r="J4764" i="1"/>
  <c r="I4764" i="1"/>
  <c r="H4764" i="1"/>
  <c r="G4764" i="1"/>
  <c r="F4764" i="1"/>
  <c r="E4764" i="1"/>
  <c r="D4764" i="1"/>
  <c r="C4764" i="1"/>
  <c r="B4764" i="1"/>
  <c r="A4764" i="1"/>
  <c r="R4763" i="1"/>
  <c r="J4763" i="1"/>
  <c r="I4763" i="1"/>
  <c r="G4763" i="1"/>
  <c r="F4763" i="1"/>
  <c r="E4763" i="1"/>
  <c r="D4763" i="1"/>
  <c r="C4763" i="1"/>
  <c r="B4763" i="1"/>
  <c r="A4763" i="1"/>
  <c r="S4762" i="1"/>
  <c r="O4762" i="1"/>
  <c r="K4762" i="1"/>
  <c r="J4762" i="1"/>
  <c r="I4762" i="1"/>
  <c r="H4762" i="1"/>
  <c r="G4762" i="1"/>
  <c r="F4762" i="1"/>
  <c r="E4762" i="1"/>
  <c r="D4762" i="1"/>
  <c r="C4762" i="1"/>
  <c r="B4762" i="1"/>
  <c r="A4762" i="1"/>
  <c r="R4761" i="1"/>
  <c r="J4761" i="1"/>
  <c r="I4761" i="1"/>
  <c r="G4761" i="1"/>
  <c r="F4761" i="1"/>
  <c r="E4761" i="1"/>
  <c r="D4761" i="1"/>
  <c r="C4761" i="1"/>
  <c r="B4761" i="1"/>
  <c r="A4761" i="1"/>
  <c r="S4760" i="1"/>
  <c r="O4760" i="1"/>
  <c r="K4760" i="1"/>
  <c r="J4760" i="1"/>
  <c r="I4760" i="1"/>
  <c r="H4760" i="1"/>
  <c r="G4760" i="1"/>
  <c r="F4760" i="1"/>
  <c r="E4760" i="1"/>
  <c r="D4760" i="1"/>
  <c r="C4760" i="1"/>
  <c r="B4760" i="1"/>
  <c r="A4760" i="1"/>
  <c r="R4759" i="1"/>
  <c r="J4759" i="1"/>
  <c r="I4759" i="1"/>
  <c r="G4759" i="1"/>
  <c r="F4759" i="1"/>
  <c r="E4759" i="1"/>
  <c r="D4759" i="1"/>
  <c r="C4759" i="1"/>
  <c r="B4759" i="1"/>
  <c r="A4759" i="1"/>
  <c r="S4758" i="1"/>
  <c r="O4758" i="1"/>
  <c r="K4758" i="1"/>
  <c r="J4758" i="1"/>
  <c r="I4758" i="1"/>
  <c r="H4758" i="1"/>
  <c r="G4758" i="1"/>
  <c r="F4758" i="1"/>
  <c r="E4758" i="1"/>
  <c r="D4758" i="1"/>
  <c r="C4758" i="1"/>
  <c r="B4758" i="1"/>
  <c r="A4758" i="1"/>
  <c r="R4757" i="1"/>
  <c r="J4757" i="1"/>
  <c r="I4757" i="1"/>
  <c r="G4757" i="1"/>
  <c r="F4757" i="1"/>
  <c r="E4757" i="1"/>
  <c r="D4757" i="1"/>
  <c r="C4757" i="1"/>
  <c r="B4757" i="1"/>
  <c r="A4757" i="1"/>
  <c r="S4756" i="1"/>
  <c r="O4756" i="1"/>
  <c r="K4756" i="1"/>
  <c r="J4756" i="1"/>
  <c r="I4756" i="1"/>
  <c r="H4756" i="1"/>
  <c r="G4756" i="1"/>
  <c r="F4756" i="1"/>
  <c r="E4756" i="1"/>
  <c r="D4756" i="1"/>
  <c r="C4756" i="1"/>
  <c r="B4756" i="1"/>
  <c r="A4756" i="1"/>
  <c r="R4755" i="1"/>
  <c r="J4755" i="1"/>
  <c r="I4755" i="1"/>
  <c r="G4755" i="1"/>
  <c r="F4755" i="1"/>
  <c r="E4755" i="1"/>
  <c r="D4755" i="1"/>
  <c r="C4755" i="1"/>
  <c r="B4755" i="1"/>
  <c r="A4755" i="1"/>
  <c r="S4754" i="1"/>
  <c r="O4754" i="1"/>
  <c r="K4754" i="1"/>
  <c r="J4754" i="1"/>
  <c r="I4754" i="1"/>
  <c r="H4754" i="1"/>
  <c r="G4754" i="1"/>
  <c r="F4754" i="1"/>
  <c r="E4754" i="1"/>
  <c r="D4754" i="1"/>
  <c r="C4754" i="1"/>
  <c r="B4754" i="1"/>
  <c r="A4754" i="1"/>
  <c r="R4753" i="1"/>
  <c r="J4753" i="1"/>
  <c r="I4753" i="1"/>
  <c r="G4753" i="1"/>
  <c r="F4753" i="1"/>
  <c r="E4753" i="1"/>
  <c r="D4753" i="1"/>
  <c r="C4753" i="1"/>
  <c r="B4753" i="1"/>
  <c r="A4753" i="1"/>
  <c r="S4752" i="1"/>
  <c r="O4752" i="1"/>
  <c r="K4752" i="1"/>
  <c r="J4752" i="1"/>
  <c r="I4752" i="1"/>
  <c r="H4752" i="1"/>
  <c r="G4752" i="1"/>
  <c r="F4752" i="1"/>
  <c r="E4752" i="1"/>
  <c r="D4752" i="1"/>
  <c r="C4752" i="1"/>
  <c r="B4752" i="1"/>
  <c r="A4752" i="1"/>
  <c r="R4751" i="1"/>
  <c r="J4751" i="1"/>
  <c r="I4751" i="1"/>
  <c r="G4751" i="1"/>
  <c r="F4751" i="1"/>
  <c r="E4751" i="1"/>
  <c r="D4751" i="1"/>
  <c r="C4751" i="1"/>
  <c r="B4751" i="1"/>
  <c r="A4751" i="1"/>
  <c r="S4750" i="1"/>
  <c r="O4750" i="1"/>
  <c r="K4750" i="1"/>
  <c r="J4750" i="1"/>
  <c r="I4750" i="1"/>
  <c r="H4750" i="1"/>
  <c r="G4750" i="1"/>
  <c r="F4750" i="1"/>
  <c r="E4750" i="1"/>
  <c r="D4750" i="1"/>
  <c r="C4750" i="1"/>
  <c r="B4750" i="1"/>
  <c r="A4750" i="1"/>
  <c r="R4749" i="1"/>
  <c r="J4749" i="1"/>
  <c r="I4749" i="1"/>
  <c r="G4749" i="1"/>
  <c r="F4749" i="1"/>
  <c r="E4749" i="1"/>
  <c r="D4749" i="1"/>
  <c r="C4749" i="1"/>
  <c r="B4749" i="1"/>
  <c r="A4749" i="1"/>
  <c r="S4748" i="1"/>
  <c r="O4748" i="1"/>
  <c r="K4748" i="1"/>
  <c r="J4748" i="1"/>
  <c r="I4748" i="1"/>
  <c r="H4748" i="1"/>
  <c r="G4748" i="1"/>
  <c r="F4748" i="1"/>
  <c r="E4748" i="1"/>
  <c r="D4748" i="1"/>
  <c r="C4748" i="1"/>
  <c r="B4748" i="1"/>
  <c r="A4748" i="1"/>
  <c r="R4747" i="1"/>
  <c r="J4747" i="1"/>
  <c r="I4747" i="1"/>
  <c r="G4747" i="1"/>
  <c r="F4747" i="1"/>
  <c r="E4747" i="1"/>
  <c r="D4747" i="1"/>
  <c r="C4747" i="1"/>
  <c r="B4747" i="1"/>
  <c r="A4747" i="1"/>
  <c r="S4746" i="1"/>
  <c r="O4746" i="1"/>
  <c r="K4746" i="1"/>
  <c r="J4746" i="1"/>
  <c r="I4746" i="1"/>
  <c r="H4746" i="1"/>
  <c r="G4746" i="1"/>
  <c r="F4746" i="1"/>
  <c r="E4746" i="1"/>
  <c r="D4746" i="1"/>
  <c r="C4746" i="1"/>
  <c r="B4746" i="1"/>
  <c r="A4746" i="1"/>
  <c r="R4745" i="1"/>
  <c r="J4745" i="1"/>
  <c r="I4745" i="1"/>
  <c r="G4745" i="1"/>
  <c r="F4745" i="1"/>
  <c r="E4745" i="1"/>
  <c r="D4745" i="1"/>
  <c r="C4745" i="1"/>
  <c r="B4745" i="1"/>
  <c r="A4745" i="1"/>
  <c r="S4744" i="1"/>
  <c r="O4744" i="1"/>
  <c r="K4744" i="1"/>
  <c r="J4744" i="1"/>
  <c r="I4744" i="1"/>
  <c r="H4744" i="1"/>
  <c r="G4744" i="1"/>
  <c r="F4744" i="1"/>
  <c r="E4744" i="1"/>
  <c r="D4744" i="1"/>
  <c r="C4744" i="1"/>
  <c r="B4744" i="1"/>
  <c r="A4744" i="1"/>
  <c r="R4743" i="1"/>
  <c r="J4743" i="1"/>
  <c r="I4743" i="1"/>
  <c r="G4743" i="1"/>
  <c r="F4743" i="1"/>
  <c r="E4743" i="1"/>
  <c r="D4743" i="1"/>
  <c r="C4743" i="1"/>
  <c r="B4743" i="1"/>
  <c r="A4743" i="1"/>
  <c r="S4742" i="1"/>
  <c r="O4742" i="1"/>
  <c r="K4742" i="1"/>
  <c r="J4742" i="1"/>
  <c r="I4742" i="1"/>
  <c r="H4742" i="1"/>
  <c r="G4742" i="1"/>
  <c r="F4742" i="1"/>
  <c r="E4742" i="1"/>
  <c r="D4742" i="1"/>
  <c r="C4742" i="1"/>
  <c r="B4742" i="1"/>
  <c r="A4742" i="1"/>
  <c r="R4741" i="1"/>
  <c r="J4741" i="1"/>
  <c r="I4741" i="1"/>
  <c r="G4741" i="1"/>
  <c r="F4741" i="1"/>
  <c r="E4741" i="1"/>
  <c r="D4741" i="1"/>
  <c r="C4741" i="1"/>
  <c r="B4741" i="1"/>
  <c r="A4741" i="1"/>
  <c r="S4740" i="1"/>
  <c r="O4740" i="1"/>
  <c r="K4740" i="1"/>
  <c r="J4740" i="1"/>
  <c r="I4740" i="1"/>
  <c r="H4740" i="1"/>
  <c r="G4740" i="1"/>
  <c r="F4740" i="1"/>
  <c r="E4740" i="1"/>
  <c r="D4740" i="1"/>
  <c r="C4740" i="1"/>
  <c r="B4740" i="1"/>
  <c r="A4740" i="1"/>
  <c r="R4739" i="1"/>
  <c r="J4739" i="1"/>
  <c r="I4739" i="1"/>
  <c r="G4739" i="1"/>
  <c r="F4739" i="1"/>
  <c r="E4739" i="1"/>
  <c r="D4739" i="1"/>
  <c r="C4739" i="1"/>
  <c r="B4739" i="1"/>
  <c r="A4739" i="1"/>
  <c r="S4738" i="1"/>
  <c r="O4738" i="1"/>
  <c r="K4738" i="1"/>
  <c r="J4738" i="1"/>
  <c r="I4738" i="1"/>
  <c r="H4738" i="1"/>
  <c r="G4738" i="1"/>
  <c r="F4738" i="1"/>
  <c r="E4738" i="1"/>
  <c r="D4738" i="1"/>
  <c r="C4738" i="1"/>
  <c r="B4738" i="1"/>
  <c r="A4738" i="1"/>
  <c r="R4737" i="1"/>
  <c r="J4737" i="1"/>
  <c r="I4737" i="1"/>
  <c r="G4737" i="1"/>
  <c r="F4737" i="1"/>
  <c r="E4737" i="1"/>
  <c r="D4737" i="1"/>
  <c r="C4737" i="1"/>
  <c r="B4737" i="1"/>
  <c r="A4737" i="1"/>
  <c r="R4736" i="1"/>
  <c r="J4736" i="1"/>
  <c r="I4736" i="1"/>
  <c r="G4736" i="1"/>
  <c r="F4736" i="1"/>
  <c r="E4736" i="1"/>
  <c r="D4736" i="1"/>
  <c r="C4736" i="1"/>
  <c r="B4736" i="1"/>
  <c r="A4736" i="1"/>
  <c r="S4735" i="1"/>
  <c r="O4735" i="1"/>
  <c r="K4735" i="1"/>
  <c r="J4735" i="1"/>
  <c r="I4735" i="1"/>
  <c r="H4735" i="1"/>
  <c r="G4735" i="1"/>
  <c r="F4735" i="1"/>
  <c r="E4735" i="1"/>
  <c r="D4735" i="1"/>
  <c r="C4735" i="1"/>
  <c r="B4735" i="1"/>
  <c r="A4735" i="1"/>
  <c r="R4734" i="1"/>
  <c r="J4734" i="1"/>
  <c r="I4734" i="1"/>
  <c r="G4734" i="1"/>
  <c r="F4734" i="1"/>
  <c r="E4734" i="1"/>
  <c r="D4734" i="1"/>
  <c r="C4734" i="1"/>
  <c r="B4734" i="1"/>
  <c r="A4734" i="1"/>
  <c r="S4733" i="1"/>
  <c r="O4733" i="1"/>
  <c r="K4733" i="1"/>
  <c r="J4733" i="1"/>
  <c r="I4733" i="1"/>
  <c r="H4733" i="1"/>
  <c r="G4733" i="1"/>
  <c r="F4733" i="1"/>
  <c r="E4733" i="1"/>
  <c r="D4733" i="1"/>
  <c r="C4733" i="1"/>
  <c r="B4733" i="1"/>
  <c r="A4733" i="1"/>
  <c r="R4732" i="1"/>
  <c r="J4732" i="1"/>
  <c r="I4732" i="1"/>
  <c r="G4732" i="1"/>
  <c r="F4732" i="1"/>
  <c r="E4732" i="1"/>
  <c r="D4732" i="1"/>
  <c r="C4732" i="1"/>
  <c r="B4732" i="1"/>
  <c r="A4732" i="1"/>
  <c r="S4731" i="1"/>
  <c r="O4731" i="1"/>
  <c r="K4731" i="1"/>
  <c r="J4731" i="1"/>
  <c r="I4731" i="1"/>
  <c r="H4731" i="1"/>
  <c r="G4731" i="1"/>
  <c r="F4731" i="1"/>
  <c r="E4731" i="1"/>
  <c r="D4731" i="1"/>
  <c r="C4731" i="1"/>
  <c r="B4731" i="1"/>
  <c r="A4731" i="1"/>
  <c r="R4730" i="1"/>
  <c r="J4730" i="1"/>
  <c r="I4730" i="1"/>
  <c r="G4730" i="1"/>
  <c r="F4730" i="1"/>
  <c r="E4730" i="1"/>
  <c r="D4730" i="1"/>
  <c r="C4730" i="1"/>
  <c r="B4730" i="1"/>
  <c r="A4730" i="1"/>
  <c r="S4729" i="1"/>
  <c r="O4729" i="1"/>
  <c r="K4729" i="1"/>
  <c r="J4729" i="1"/>
  <c r="I4729" i="1"/>
  <c r="H4729" i="1"/>
  <c r="G4729" i="1"/>
  <c r="F4729" i="1"/>
  <c r="E4729" i="1"/>
  <c r="D4729" i="1"/>
  <c r="C4729" i="1"/>
  <c r="B4729" i="1"/>
  <c r="A4729" i="1"/>
  <c r="R4728" i="1"/>
  <c r="J4728" i="1"/>
  <c r="I4728" i="1"/>
  <c r="G4728" i="1"/>
  <c r="F4728" i="1"/>
  <c r="E4728" i="1"/>
  <c r="D4728" i="1"/>
  <c r="C4728" i="1"/>
  <c r="B4728" i="1"/>
  <c r="A4728" i="1"/>
  <c r="S4727" i="1"/>
  <c r="O4727" i="1"/>
  <c r="K4727" i="1"/>
  <c r="J4727" i="1"/>
  <c r="I4727" i="1"/>
  <c r="H4727" i="1"/>
  <c r="G4727" i="1"/>
  <c r="F4727" i="1"/>
  <c r="E4727" i="1"/>
  <c r="D4727" i="1"/>
  <c r="C4727" i="1"/>
  <c r="B4727" i="1"/>
  <c r="A4727" i="1"/>
  <c r="R4726" i="1"/>
  <c r="J4726" i="1"/>
  <c r="I4726" i="1"/>
  <c r="G4726" i="1"/>
  <c r="F4726" i="1"/>
  <c r="E4726" i="1"/>
  <c r="D4726" i="1"/>
  <c r="C4726" i="1"/>
  <c r="B4726" i="1"/>
  <c r="A4726" i="1"/>
  <c r="S4725" i="1"/>
  <c r="O4725" i="1"/>
  <c r="K4725" i="1"/>
  <c r="J4725" i="1"/>
  <c r="I4725" i="1"/>
  <c r="H4725" i="1"/>
  <c r="G4725" i="1"/>
  <c r="F4725" i="1"/>
  <c r="E4725" i="1"/>
  <c r="D4725" i="1"/>
  <c r="C4725" i="1"/>
  <c r="B4725" i="1"/>
  <c r="A4725" i="1"/>
  <c r="R4724" i="1"/>
  <c r="J4724" i="1"/>
  <c r="I4724" i="1"/>
  <c r="G4724" i="1"/>
  <c r="F4724" i="1"/>
  <c r="E4724" i="1"/>
  <c r="D4724" i="1"/>
  <c r="C4724" i="1"/>
  <c r="B4724" i="1"/>
  <c r="A4724" i="1"/>
  <c r="S4723" i="1"/>
  <c r="O4723" i="1"/>
  <c r="K4723" i="1"/>
  <c r="J4723" i="1"/>
  <c r="I4723" i="1"/>
  <c r="H4723" i="1"/>
  <c r="G4723" i="1"/>
  <c r="F4723" i="1"/>
  <c r="E4723" i="1"/>
  <c r="D4723" i="1"/>
  <c r="C4723" i="1"/>
  <c r="B4723" i="1"/>
  <c r="A4723" i="1"/>
  <c r="R4722" i="1"/>
  <c r="J4722" i="1"/>
  <c r="I4722" i="1"/>
  <c r="G4722" i="1"/>
  <c r="F4722" i="1"/>
  <c r="E4722" i="1"/>
  <c r="D4722" i="1"/>
  <c r="C4722" i="1"/>
  <c r="B4722" i="1"/>
  <c r="A4722" i="1"/>
  <c r="S4721" i="1"/>
  <c r="O4721" i="1"/>
  <c r="K4721" i="1"/>
  <c r="J4721" i="1"/>
  <c r="I4721" i="1"/>
  <c r="H4721" i="1"/>
  <c r="G4721" i="1"/>
  <c r="F4721" i="1"/>
  <c r="E4721" i="1"/>
  <c r="D4721" i="1"/>
  <c r="C4721" i="1"/>
  <c r="B4721" i="1"/>
  <c r="A4721" i="1"/>
  <c r="R4720" i="1"/>
  <c r="J4720" i="1"/>
  <c r="I4720" i="1"/>
  <c r="G4720" i="1"/>
  <c r="F4720" i="1"/>
  <c r="E4720" i="1"/>
  <c r="D4720" i="1"/>
  <c r="C4720" i="1"/>
  <c r="B4720" i="1"/>
  <c r="A4720" i="1"/>
  <c r="R4719" i="1"/>
  <c r="J4719" i="1"/>
  <c r="I4719" i="1"/>
  <c r="G4719" i="1"/>
  <c r="F4719" i="1"/>
  <c r="E4719" i="1"/>
  <c r="D4719" i="1"/>
  <c r="C4719" i="1"/>
  <c r="B4719" i="1"/>
  <c r="A4719" i="1"/>
  <c r="S4718" i="1"/>
  <c r="O4718" i="1"/>
  <c r="K4718" i="1"/>
  <c r="J4718" i="1"/>
  <c r="I4718" i="1"/>
  <c r="H4718" i="1"/>
  <c r="G4718" i="1"/>
  <c r="F4718" i="1"/>
  <c r="E4718" i="1"/>
  <c r="D4718" i="1"/>
  <c r="C4718" i="1"/>
  <c r="B4718" i="1"/>
  <c r="A4718" i="1"/>
  <c r="R4717" i="1"/>
  <c r="J4717" i="1"/>
  <c r="I4717" i="1"/>
  <c r="G4717" i="1"/>
  <c r="F4717" i="1"/>
  <c r="E4717" i="1"/>
  <c r="D4717" i="1"/>
  <c r="C4717" i="1"/>
  <c r="B4717" i="1"/>
  <c r="A4717" i="1"/>
  <c r="S4716" i="1"/>
  <c r="O4716" i="1"/>
  <c r="K4716" i="1"/>
  <c r="J4716" i="1"/>
  <c r="I4716" i="1"/>
  <c r="H4716" i="1"/>
  <c r="G4716" i="1"/>
  <c r="F4716" i="1"/>
  <c r="E4716" i="1"/>
  <c r="D4716" i="1"/>
  <c r="C4716" i="1"/>
  <c r="B4716" i="1"/>
  <c r="A4716" i="1"/>
  <c r="R4715" i="1"/>
  <c r="J4715" i="1"/>
  <c r="I4715" i="1"/>
  <c r="G4715" i="1"/>
  <c r="F4715" i="1"/>
  <c r="E4715" i="1"/>
  <c r="D4715" i="1"/>
  <c r="C4715" i="1"/>
  <c r="B4715" i="1"/>
  <c r="A4715" i="1"/>
  <c r="R4714" i="1"/>
  <c r="J4714" i="1"/>
  <c r="I4714" i="1"/>
  <c r="G4714" i="1"/>
  <c r="F4714" i="1"/>
  <c r="E4714" i="1"/>
  <c r="D4714" i="1"/>
  <c r="C4714" i="1"/>
  <c r="B4714" i="1"/>
  <c r="A4714" i="1"/>
  <c r="R4713" i="1"/>
  <c r="J4713" i="1"/>
  <c r="I4713" i="1"/>
  <c r="G4713" i="1"/>
  <c r="F4713" i="1"/>
  <c r="E4713" i="1"/>
  <c r="D4713" i="1"/>
  <c r="C4713" i="1"/>
  <c r="B4713" i="1"/>
  <c r="A4713" i="1"/>
  <c r="S4712" i="1"/>
  <c r="O4712" i="1"/>
  <c r="K4712" i="1"/>
  <c r="J4712" i="1"/>
  <c r="I4712" i="1"/>
  <c r="H4712" i="1"/>
  <c r="G4712" i="1"/>
  <c r="F4712" i="1"/>
  <c r="E4712" i="1"/>
  <c r="D4712" i="1"/>
  <c r="C4712" i="1"/>
  <c r="B4712" i="1"/>
  <c r="A4712" i="1"/>
  <c r="R4711" i="1"/>
  <c r="J4711" i="1"/>
  <c r="I4711" i="1"/>
  <c r="G4711" i="1"/>
  <c r="F4711" i="1"/>
  <c r="E4711" i="1"/>
  <c r="D4711" i="1"/>
  <c r="C4711" i="1"/>
  <c r="B4711" i="1"/>
  <c r="A4711" i="1"/>
  <c r="S4710" i="1"/>
  <c r="O4710" i="1"/>
  <c r="K4710" i="1"/>
  <c r="J4710" i="1"/>
  <c r="I4710" i="1"/>
  <c r="H4710" i="1"/>
  <c r="G4710" i="1"/>
  <c r="F4710" i="1"/>
  <c r="E4710" i="1"/>
  <c r="D4710" i="1"/>
  <c r="C4710" i="1"/>
  <c r="B4710" i="1"/>
  <c r="A4710" i="1"/>
  <c r="R4709" i="1"/>
  <c r="J4709" i="1"/>
  <c r="I4709" i="1"/>
  <c r="G4709" i="1"/>
  <c r="F4709" i="1"/>
  <c r="E4709" i="1"/>
  <c r="D4709" i="1"/>
  <c r="C4709" i="1"/>
  <c r="B4709" i="1"/>
  <c r="A4709" i="1"/>
  <c r="S4708" i="1"/>
  <c r="O4708" i="1"/>
  <c r="K4708" i="1"/>
  <c r="J4708" i="1"/>
  <c r="I4708" i="1"/>
  <c r="H4708" i="1"/>
  <c r="G4708" i="1"/>
  <c r="F4708" i="1"/>
  <c r="E4708" i="1"/>
  <c r="D4708" i="1"/>
  <c r="C4708" i="1"/>
  <c r="B4708" i="1"/>
  <c r="A4708" i="1"/>
  <c r="R4707" i="1"/>
  <c r="J4707" i="1"/>
  <c r="I4707" i="1"/>
  <c r="G4707" i="1"/>
  <c r="F4707" i="1"/>
  <c r="E4707" i="1"/>
  <c r="D4707" i="1"/>
  <c r="C4707" i="1"/>
  <c r="B4707" i="1"/>
  <c r="A4707" i="1"/>
  <c r="S4706" i="1"/>
  <c r="O4706" i="1"/>
  <c r="K4706" i="1"/>
  <c r="J4706" i="1"/>
  <c r="I4706" i="1"/>
  <c r="H4706" i="1"/>
  <c r="G4706" i="1"/>
  <c r="F4706" i="1"/>
  <c r="E4706" i="1"/>
  <c r="D4706" i="1"/>
  <c r="C4706" i="1"/>
  <c r="B4706" i="1"/>
  <c r="A4706" i="1"/>
  <c r="R4705" i="1"/>
  <c r="J4705" i="1"/>
  <c r="I4705" i="1"/>
  <c r="G4705" i="1"/>
  <c r="F4705" i="1"/>
  <c r="E4705" i="1"/>
  <c r="D4705" i="1"/>
  <c r="C4705" i="1"/>
  <c r="B4705" i="1"/>
  <c r="A4705" i="1"/>
  <c r="S4704" i="1"/>
  <c r="O4704" i="1"/>
  <c r="K4704" i="1"/>
  <c r="J4704" i="1"/>
  <c r="I4704" i="1"/>
  <c r="H4704" i="1"/>
  <c r="G4704" i="1"/>
  <c r="F4704" i="1"/>
  <c r="E4704" i="1"/>
  <c r="D4704" i="1"/>
  <c r="C4704" i="1"/>
  <c r="B4704" i="1"/>
  <c r="A4704" i="1"/>
  <c r="R4703" i="1"/>
  <c r="J4703" i="1"/>
  <c r="I4703" i="1"/>
  <c r="G4703" i="1"/>
  <c r="F4703" i="1"/>
  <c r="E4703" i="1"/>
  <c r="D4703" i="1"/>
  <c r="C4703" i="1"/>
  <c r="B4703" i="1"/>
  <c r="A4703" i="1"/>
  <c r="S4702" i="1"/>
  <c r="O4702" i="1"/>
  <c r="K4702" i="1"/>
  <c r="J4702" i="1"/>
  <c r="I4702" i="1"/>
  <c r="H4702" i="1"/>
  <c r="G4702" i="1"/>
  <c r="F4702" i="1"/>
  <c r="E4702" i="1"/>
  <c r="D4702" i="1"/>
  <c r="C4702" i="1"/>
  <c r="B4702" i="1"/>
  <c r="A4702" i="1"/>
  <c r="R4701" i="1"/>
  <c r="J4701" i="1"/>
  <c r="I4701" i="1"/>
  <c r="G4701" i="1"/>
  <c r="F4701" i="1"/>
  <c r="E4701" i="1"/>
  <c r="D4701" i="1"/>
  <c r="C4701" i="1"/>
  <c r="B4701" i="1"/>
  <c r="A4701" i="1"/>
  <c r="S4700" i="1"/>
  <c r="O4700" i="1"/>
  <c r="K4700" i="1"/>
  <c r="J4700" i="1"/>
  <c r="I4700" i="1"/>
  <c r="H4700" i="1"/>
  <c r="G4700" i="1"/>
  <c r="F4700" i="1"/>
  <c r="E4700" i="1"/>
  <c r="D4700" i="1"/>
  <c r="C4700" i="1"/>
  <c r="B4700" i="1"/>
  <c r="A4700" i="1"/>
  <c r="R4699" i="1"/>
  <c r="J4699" i="1"/>
  <c r="I4699" i="1"/>
  <c r="G4699" i="1"/>
  <c r="F4699" i="1"/>
  <c r="E4699" i="1"/>
  <c r="D4699" i="1"/>
  <c r="C4699" i="1"/>
  <c r="B4699" i="1"/>
  <c r="A4699" i="1"/>
  <c r="S4698" i="1"/>
  <c r="O4698" i="1"/>
  <c r="K4698" i="1"/>
  <c r="J4698" i="1"/>
  <c r="I4698" i="1"/>
  <c r="H4698" i="1"/>
  <c r="G4698" i="1"/>
  <c r="F4698" i="1"/>
  <c r="E4698" i="1"/>
  <c r="D4698" i="1"/>
  <c r="C4698" i="1"/>
  <c r="B4698" i="1"/>
  <c r="A4698" i="1"/>
  <c r="R4697" i="1"/>
  <c r="J4697" i="1"/>
  <c r="I4697" i="1"/>
  <c r="G4697" i="1"/>
  <c r="F4697" i="1"/>
  <c r="E4697" i="1"/>
  <c r="D4697" i="1"/>
  <c r="C4697" i="1"/>
  <c r="B4697" i="1"/>
  <c r="A4697" i="1"/>
  <c r="S4696" i="1"/>
  <c r="O4696" i="1"/>
  <c r="K4696" i="1"/>
  <c r="J4696" i="1"/>
  <c r="I4696" i="1"/>
  <c r="H4696" i="1"/>
  <c r="G4696" i="1"/>
  <c r="F4696" i="1"/>
  <c r="E4696" i="1"/>
  <c r="D4696" i="1"/>
  <c r="C4696" i="1"/>
  <c r="B4696" i="1"/>
  <c r="A4696" i="1"/>
  <c r="R4695" i="1"/>
  <c r="J4695" i="1"/>
  <c r="I4695" i="1"/>
  <c r="G4695" i="1"/>
  <c r="F4695" i="1"/>
  <c r="E4695" i="1"/>
  <c r="D4695" i="1"/>
  <c r="C4695" i="1"/>
  <c r="B4695" i="1"/>
  <c r="A4695" i="1"/>
  <c r="S4694" i="1"/>
  <c r="O4694" i="1"/>
  <c r="K4694" i="1"/>
  <c r="J4694" i="1"/>
  <c r="I4694" i="1"/>
  <c r="H4694" i="1"/>
  <c r="G4694" i="1"/>
  <c r="F4694" i="1"/>
  <c r="E4694" i="1"/>
  <c r="D4694" i="1"/>
  <c r="C4694" i="1"/>
  <c r="B4694" i="1"/>
  <c r="A4694" i="1"/>
  <c r="R4693" i="1"/>
  <c r="J4693" i="1"/>
  <c r="I4693" i="1"/>
  <c r="G4693" i="1"/>
  <c r="F4693" i="1"/>
  <c r="E4693" i="1"/>
  <c r="D4693" i="1"/>
  <c r="C4693" i="1"/>
  <c r="B4693" i="1"/>
  <c r="A4693" i="1"/>
  <c r="S4692" i="1"/>
  <c r="O4692" i="1"/>
  <c r="K4692" i="1"/>
  <c r="J4692" i="1"/>
  <c r="I4692" i="1"/>
  <c r="H4692" i="1"/>
  <c r="G4692" i="1"/>
  <c r="F4692" i="1"/>
  <c r="E4692" i="1"/>
  <c r="D4692" i="1"/>
  <c r="C4692" i="1"/>
  <c r="B4692" i="1"/>
  <c r="A4692" i="1"/>
  <c r="R4691" i="1"/>
  <c r="J4691" i="1"/>
  <c r="I4691" i="1"/>
  <c r="G4691" i="1"/>
  <c r="F4691" i="1"/>
  <c r="E4691" i="1"/>
  <c r="D4691" i="1"/>
  <c r="C4691" i="1"/>
  <c r="B4691" i="1"/>
  <c r="A4691" i="1"/>
  <c r="S4690" i="1"/>
  <c r="O4690" i="1"/>
  <c r="K4690" i="1"/>
  <c r="J4690" i="1"/>
  <c r="I4690" i="1"/>
  <c r="H4690" i="1"/>
  <c r="G4690" i="1"/>
  <c r="F4690" i="1"/>
  <c r="E4690" i="1"/>
  <c r="D4690" i="1"/>
  <c r="C4690" i="1"/>
  <c r="B4690" i="1"/>
  <c r="A4690" i="1"/>
  <c r="R4689" i="1"/>
  <c r="J4689" i="1"/>
  <c r="I4689" i="1"/>
  <c r="G4689" i="1"/>
  <c r="F4689" i="1"/>
  <c r="E4689" i="1"/>
  <c r="D4689" i="1"/>
  <c r="C4689" i="1"/>
  <c r="B4689" i="1"/>
  <c r="A4689" i="1"/>
  <c r="S4688" i="1"/>
  <c r="O4688" i="1"/>
  <c r="K4688" i="1"/>
  <c r="J4688" i="1"/>
  <c r="I4688" i="1"/>
  <c r="H4688" i="1"/>
  <c r="G4688" i="1"/>
  <c r="F4688" i="1"/>
  <c r="E4688" i="1"/>
  <c r="D4688" i="1"/>
  <c r="C4688" i="1"/>
  <c r="B4688" i="1"/>
  <c r="A4688" i="1"/>
  <c r="R4687" i="1"/>
  <c r="J4687" i="1"/>
  <c r="I4687" i="1"/>
  <c r="G4687" i="1"/>
  <c r="F4687" i="1"/>
  <c r="E4687" i="1"/>
  <c r="D4687" i="1"/>
  <c r="C4687" i="1"/>
  <c r="B4687" i="1"/>
  <c r="A4687" i="1"/>
  <c r="R4686" i="1"/>
  <c r="J4686" i="1"/>
  <c r="I4686" i="1"/>
  <c r="G4686" i="1"/>
  <c r="F4686" i="1"/>
  <c r="E4686" i="1"/>
  <c r="D4686" i="1"/>
  <c r="C4686" i="1"/>
  <c r="B4686" i="1"/>
  <c r="A4686" i="1"/>
  <c r="S4685" i="1"/>
  <c r="O4685" i="1"/>
  <c r="K4685" i="1"/>
  <c r="J4685" i="1"/>
  <c r="I4685" i="1"/>
  <c r="H4685" i="1"/>
  <c r="G4685" i="1"/>
  <c r="F4685" i="1"/>
  <c r="E4685" i="1"/>
  <c r="D4685" i="1"/>
  <c r="C4685" i="1"/>
  <c r="B4685" i="1"/>
  <c r="A4685" i="1"/>
  <c r="R4684" i="1"/>
  <c r="J4684" i="1"/>
  <c r="I4684" i="1"/>
  <c r="G4684" i="1"/>
  <c r="F4684" i="1"/>
  <c r="E4684" i="1"/>
  <c r="D4684" i="1"/>
  <c r="C4684" i="1"/>
  <c r="B4684" i="1"/>
  <c r="A4684" i="1"/>
  <c r="S4683" i="1"/>
  <c r="O4683" i="1"/>
  <c r="K4683" i="1"/>
  <c r="J4683" i="1"/>
  <c r="I4683" i="1"/>
  <c r="H4683" i="1"/>
  <c r="G4683" i="1"/>
  <c r="F4683" i="1"/>
  <c r="E4683" i="1"/>
  <c r="D4683" i="1"/>
  <c r="C4683" i="1"/>
  <c r="B4683" i="1"/>
  <c r="A4683" i="1"/>
  <c r="R4682" i="1"/>
  <c r="J4682" i="1"/>
  <c r="I4682" i="1"/>
  <c r="G4682" i="1"/>
  <c r="F4682" i="1"/>
  <c r="E4682" i="1"/>
  <c r="D4682" i="1"/>
  <c r="C4682" i="1"/>
  <c r="B4682" i="1"/>
  <c r="A4682" i="1"/>
  <c r="R4681" i="1"/>
  <c r="J4681" i="1"/>
  <c r="I4681" i="1"/>
  <c r="G4681" i="1"/>
  <c r="F4681" i="1"/>
  <c r="E4681" i="1"/>
  <c r="D4681" i="1"/>
  <c r="C4681" i="1"/>
  <c r="B4681" i="1"/>
  <c r="A4681" i="1"/>
  <c r="S4680" i="1"/>
  <c r="O4680" i="1"/>
  <c r="K4680" i="1"/>
  <c r="J4680" i="1"/>
  <c r="I4680" i="1"/>
  <c r="H4680" i="1"/>
  <c r="G4680" i="1"/>
  <c r="F4680" i="1"/>
  <c r="E4680" i="1"/>
  <c r="D4680" i="1"/>
  <c r="C4680" i="1"/>
  <c r="B4680" i="1"/>
  <c r="A4680" i="1"/>
  <c r="R4679" i="1"/>
  <c r="J4679" i="1"/>
  <c r="I4679" i="1"/>
  <c r="G4679" i="1"/>
  <c r="F4679" i="1"/>
  <c r="E4679" i="1"/>
  <c r="D4679" i="1"/>
  <c r="C4679" i="1"/>
  <c r="B4679" i="1"/>
  <c r="A4679" i="1"/>
  <c r="S4678" i="1"/>
  <c r="O4678" i="1"/>
  <c r="K4678" i="1"/>
  <c r="J4678" i="1"/>
  <c r="I4678" i="1"/>
  <c r="H4678" i="1"/>
  <c r="G4678" i="1"/>
  <c r="F4678" i="1"/>
  <c r="E4678" i="1"/>
  <c r="D4678" i="1"/>
  <c r="C4678" i="1"/>
  <c r="B4678" i="1"/>
  <c r="A4678" i="1"/>
  <c r="R4677" i="1"/>
  <c r="J4677" i="1"/>
  <c r="I4677" i="1"/>
  <c r="G4677" i="1"/>
  <c r="F4677" i="1"/>
  <c r="E4677" i="1"/>
  <c r="D4677" i="1"/>
  <c r="C4677" i="1"/>
  <c r="B4677" i="1"/>
  <c r="A4677" i="1"/>
  <c r="S4676" i="1"/>
  <c r="O4676" i="1"/>
  <c r="K4676" i="1"/>
  <c r="J4676" i="1"/>
  <c r="I4676" i="1"/>
  <c r="H4676" i="1"/>
  <c r="G4676" i="1"/>
  <c r="F4676" i="1"/>
  <c r="E4676" i="1"/>
  <c r="D4676" i="1"/>
  <c r="C4676" i="1"/>
  <c r="B4676" i="1"/>
  <c r="A4676" i="1"/>
  <c r="R4675" i="1"/>
  <c r="J4675" i="1"/>
  <c r="I4675" i="1"/>
  <c r="G4675" i="1"/>
  <c r="F4675" i="1"/>
  <c r="E4675" i="1"/>
  <c r="D4675" i="1"/>
  <c r="C4675" i="1"/>
  <c r="B4675" i="1"/>
  <c r="A4675" i="1"/>
  <c r="S4674" i="1"/>
  <c r="O4674" i="1"/>
  <c r="K4674" i="1"/>
  <c r="J4674" i="1"/>
  <c r="I4674" i="1"/>
  <c r="H4674" i="1"/>
  <c r="G4674" i="1"/>
  <c r="F4674" i="1"/>
  <c r="E4674" i="1"/>
  <c r="D4674" i="1"/>
  <c r="C4674" i="1"/>
  <c r="B4674" i="1"/>
  <c r="A4674" i="1"/>
  <c r="R4673" i="1"/>
  <c r="J4673" i="1"/>
  <c r="I4673" i="1"/>
  <c r="G4673" i="1"/>
  <c r="F4673" i="1"/>
  <c r="E4673" i="1"/>
  <c r="D4673" i="1"/>
  <c r="C4673" i="1"/>
  <c r="B4673" i="1"/>
  <c r="A4673" i="1"/>
  <c r="S4672" i="1"/>
  <c r="O4672" i="1"/>
  <c r="K4672" i="1"/>
  <c r="J4672" i="1"/>
  <c r="I4672" i="1"/>
  <c r="H4672" i="1"/>
  <c r="G4672" i="1"/>
  <c r="F4672" i="1"/>
  <c r="E4672" i="1"/>
  <c r="D4672" i="1"/>
  <c r="C4672" i="1"/>
  <c r="B4672" i="1"/>
  <c r="A4672" i="1"/>
  <c r="R4671" i="1"/>
  <c r="J4671" i="1"/>
  <c r="I4671" i="1"/>
  <c r="G4671" i="1"/>
  <c r="F4671" i="1"/>
  <c r="E4671" i="1"/>
  <c r="D4671" i="1"/>
  <c r="C4671" i="1"/>
  <c r="B4671" i="1"/>
  <c r="A4671" i="1"/>
  <c r="R4670" i="1"/>
  <c r="J4670" i="1"/>
  <c r="I4670" i="1"/>
  <c r="G4670" i="1"/>
  <c r="F4670" i="1"/>
  <c r="E4670" i="1"/>
  <c r="D4670" i="1"/>
  <c r="C4670" i="1"/>
  <c r="B4670" i="1"/>
  <c r="A4670" i="1"/>
  <c r="R4669" i="1"/>
  <c r="J4669" i="1"/>
  <c r="I4669" i="1"/>
  <c r="G4669" i="1"/>
  <c r="F4669" i="1"/>
  <c r="E4669" i="1"/>
  <c r="D4669" i="1"/>
  <c r="C4669" i="1"/>
  <c r="B4669" i="1"/>
  <c r="A4669" i="1"/>
  <c r="S4668" i="1"/>
  <c r="O4668" i="1"/>
  <c r="K4668" i="1"/>
  <c r="J4668" i="1"/>
  <c r="I4668" i="1"/>
  <c r="H4668" i="1"/>
  <c r="G4668" i="1"/>
  <c r="F4668" i="1"/>
  <c r="E4668" i="1"/>
  <c r="D4668" i="1"/>
  <c r="C4668" i="1"/>
  <c r="B4668" i="1"/>
  <c r="A4668" i="1"/>
  <c r="R4667" i="1"/>
  <c r="J4667" i="1"/>
  <c r="I4667" i="1"/>
  <c r="G4667" i="1"/>
  <c r="F4667" i="1"/>
  <c r="E4667" i="1"/>
  <c r="D4667" i="1"/>
  <c r="C4667" i="1"/>
  <c r="B4667" i="1"/>
  <c r="A4667" i="1"/>
  <c r="S4666" i="1"/>
  <c r="O4666" i="1"/>
  <c r="K4666" i="1"/>
  <c r="J4666" i="1"/>
  <c r="I4666" i="1"/>
  <c r="H4666" i="1"/>
  <c r="G4666" i="1"/>
  <c r="F4666" i="1"/>
  <c r="E4666" i="1"/>
  <c r="D4666" i="1"/>
  <c r="C4666" i="1"/>
  <c r="B4666" i="1"/>
  <c r="A4666" i="1"/>
  <c r="R4665" i="1"/>
  <c r="J4665" i="1"/>
  <c r="I4665" i="1"/>
  <c r="G4665" i="1"/>
  <c r="F4665" i="1"/>
  <c r="E4665" i="1"/>
  <c r="D4665" i="1"/>
  <c r="C4665" i="1"/>
  <c r="B4665" i="1"/>
  <c r="A4665" i="1"/>
  <c r="S4664" i="1"/>
  <c r="O4664" i="1"/>
  <c r="K4664" i="1"/>
  <c r="J4664" i="1"/>
  <c r="I4664" i="1"/>
  <c r="H4664" i="1"/>
  <c r="G4664" i="1"/>
  <c r="F4664" i="1"/>
  <c r="E4664" i="1"/>
  <c r="D4664" i="1"/>
  <c r="C4664" i="1"/>
  <c r="B4664" i="1"/>
  <c r="A4664" i="1"/>
  <c r="R4663" i="1"/>
  <c r="J4663" i="1"/>
  <c r="I4663" i="1"/>
  <c r="G4663" i="1"/>
  <c r="F4663" i="1"/>
  <c r="E4663" i="1"/>
  <c r="D4663" i="1"/>
  <c r="C4663" i="1"/>
  <c r="B4663" i="1"/>
  <c r="A4663" i="1"/>
  <c r="S4662" i="1"/>
  <c r="O4662" i="1"/>
  <c r="K4662" i="1"/>
  <c r="J4662" i="1"/>
  <c r="I4662" i="1"/>
  <c r="H4662" i="1"/>
  <c r="G4662" i="1"/>
  <c r="F4662" i="1"/>
  <c r="E4662" i="1"/>
  <c r="D4662" i="1"/>
  <c r="C4662" i="1"/>
  <c r="B4662" i="1"/>
  <c r="A4662" i="1"/>
  <c r="R4661" i="1"/>
  <c r="J4661" i="1"/>
  <c r="I4661" i="1"/>
  <c r="G4661" i="1"/>
  <c r="F4661" i="1"/>
  <c r="E4661" i="1"/>
  <c r="D4661" i="1"/>
  <c r="C4661" i="1"/>
  <c r="B4661" i="1"/>
  <c r="A4661" i="1"/>
  <c r="S4660" i="1"/>
  <c r="O4660" i="1"/>
  <c r="K4660" i="1"/>
  <c r="J4660" i="1"/>
  <c r="I4660" i="1"/>
  <c r="H4660" i="1"/>
  <c r="G4660" i="1"/>
  <c r="F4660" i="1"/>
  <c r="E4660" i="1"/>
  <c r="D4660" i="1"/>
  <c r="C4660" i="1"/>
  <c r="B4660" i="1"/>
  <c r="A4660" i="1"/>
  <c r="R4659" i="1"/>
  <c r="J4659" i="1"/>
  <c r="I4659" i="1"/>
  <c r="G4659" i="1"/>
  <c r="F4659" i="1"/>
  <c r="E4659" i="1"/>
  <c r="D4659" i="1"/>
  <c r="C4659" i="1"/>
  <c r="B4659" i="1"/>
  <c r="A4659" i="1"/>
  <c r="S4658" i="1"/>
  <c r="O4658" i="1"/>
  <c r="K4658" i="1"/>
  <c r="J4658" i="1"/>
  <c r="I4658" i="1"/>
  <c r="H4658" i="1"/>
  <c r="G4658" i="1"/>
  <c r="F4658" i="1"/>
  <c r="E4658" i="1"/>
  <c r="D4658" i="1"/>
  <c r="C4658" i="1"/>
  <c r="B4658" i="1"/>
  <c r="A4658" i="1"/>
  <c r="R4657" i="1"/>
  <c r="J4657" i="1"/>
  <c r="I4657" i="1"/>
  <c r="G4657" i="1"/>
  <c r="F4657" i="1"/>
  <c r="E4657" i="1"/>
  <c r="D4657" i="1"/>
  <c r="C4657" i="1"/>
  <c r="B4657" i="1"/>
  <c r="A4657" i="1"/>
  <c r="R4656" i="1"/>
  <c r="J4656" i="1"/>
  <c r="I4656" i="1"/>
  <c r="G4656" i="1"/>
  <c r="F4656" i="1"/>
  <c r="E4656" i="1"/>
  <c r="D4656" i="1"/>
  <c r="C4656" i="1"/>
  <c r="B4656" i="1"/>
  <c r="A4656" i="1"/>
  <c r="S4655" i="1"/>
  <c r="O4655" i="1"/>
  <c r="K4655" i="1"/>
  <c r="J4655" i="1"/>
  <c r="I4655" i="1"/>
  <c r="H4655" i="1"/>
  <c r="G4655" i="1"/>
  <c r="F4655" i="1"/>
  <c r="E4655" i="1"/>
  <c r="D4655" i="1"/>
  <c r="C4655" i="1"/>
  <c r="B4655" i="1"/>
  <c r="A4655" i="1"/>
  <c r="R4654" i="1"/>
  <c r="J4654" i="1"/>
  <c r="I4654" i="1"/>
  <c r="G4654" i="1"/>
  <c r="F4654" i="1"/>
  <c r="E4654" i="1"/>
  <c r="D4654" i="1"/>
  <c r="C4654" i="1"/>
  <c r="B4654" i="1"/>
  <c r="A4654" i="1"/>
  <c r="S4653" i="1"/>
  <c r="O4653" i="1"/>
  <c r="K4653" i="1"/>
  <c r="J4653" i="1"/>
  <c r="I4653" i="1"/>
  <c r="H4653" i="1"/>
  <c r="G4653" i="1"/>
  <c r="F4653" i="1"/>
  <c r="E4653" i="1"/>
  <c r="D4653" i="1"/>
  <c r="C4653" i="1"/>
  <c r="B4653" i="1"/>
  <c r="A4653" i="1"/>
  <c r="R4652" i="1"/>
  <c r="J4652" i="1"/>
  <c r="I4652" i="1"/>
  <c r="G4652" i="1"/>
  <c r="F4652" i="1"/>
  <c r="E4652" i="1"/>
  <c r="D4652" i="1"/>
  <c r="C4652" i="1"/>
  <c r="B4652" i="1"/>
  <c r="A4652" i="1"/>
  <c r="S4651" i="1"/>
  <c r="O4651" i="1"/>
  <c r="K4651" i="1"/>
  <c r="J4651" i="1"/>
  <c r="I4651" i="1"/>
  <c r="H4651" i="1"/>
  <c r="G4651" i="1"/>
  <c r="F4651" i="1"/>
  <c r="E4651" i="1"/>
  <c r="D4651" i="1"/>
  <c r="C4651" i="1"/>
  <c r="B4651" i="1"/>
  <c r="A4651" i="1"/>
  <c r="R4650" i="1"/>
  <c r="J4650" i="1"/>
  <c r="I4650" i="1"/>
  <c r="G4650" i="1"/>
  <c r="F4650" i="1"/>
  <c r="E4650" i="1"/>
  <c r="D4650" i="1"/>
  <c r="C4650" i="1"/>
  <c r="B4650" i="1"/>
  <c r="A4650" i="1"/>
  <c r="S4649" i="1"/>
  <c r="O4649" i="1"/>
  <c r="K4649" i="1"/>
  <c r="J4649" i="1"/>
  <c r="I4649" i="1"/>
  <c r="H4649" i="1"/>
  <c r="G4649" i="1"/>
  <c r="F4649" i="1"/>
  <c r="E4649" i="1"/>
  <c r="D4649" i="1"/>
  <c r="C4649" i="1"/>
  <c r="B4649" i="1"/>
  <c r="A4649" i="1"/>
  <c r="R4648" i="1"/>
  <c r="J4648" i="1"/>
  <c r="I4648" i="1"/>
  <c r="G4648" i="1"/>
  <c r="F4648" i="1"/>
  <c r="E4648" i="1"/>
  <c r="D4648" i="1"/>
  <c r="C4648" i="1"/>
  <c r="B4648" i="1"/>
  <c r="A4648" i="1"/>
  <c r="S4647" i="1"/>
  <c r="O4647" i="1"/>
  <c r="K4647" i="1"/>
  <c r="J4647" i="1"/>
  <c r="I4647" i="1"/>
  <c r="H4647" i="1"/>
  <c r="G4647" i="1"/>
  <c r="F4647" i="1"/>
  <c r="E4647" i="1"/>
  <c r="D4647" i="1"/>
  <c r="C4647" i="1"/>
  <c r="B4647" i="1"/>
  <c r="A4647" i="1"/>
  <c r="R4646" i="1"/>
  <c r="J4646" i="1"/>
  <c r="I4646" i="1"/>
  <c r="G4646" i="1"/>
  <c r="F4646" i="1"/>
  <c r="E4646" i="1"/>
  <c r="D4646" i="1"/>
  <c r="C4646" i="1"/>
  <c r="B4646" i="1"/>
  <c r="A4646" i="1"/>
  <c r="S4645" i="1"/>
  <c r="O4645" i="1"/>
  <c r="K4645" i="1"/>
  <c r="J4645" i="1"/>
  <c r="I4645" i="1"/>
  <c r="H4645" i="1"/>
  <c r="G4645" i="1"/>
  <c r="F4645" i="1"/>
  <c r="E4645" i="1"/>
  <c r="D4645" i="1"/>
  <c r="C4645" i="1"/>
  <c r="B4645" i="1"/>
  <c r="A4645" i="1"/>
  <c r="R4644" i="1"/>
  <c r="J4644" i="1"/>
  <c r="I4644" i="1"/>
  <c r="G4644" i="1"/>
  <c r="F4644" i="1"/>
  <c r="E4644" i="1"/>
  <c r="D4644" i="1"/>
  <c r="C4644" i="1"/>
  <c r="B4644" i="1"/>
  <c r="A4644" i="1"/>
  <c r="S4643" i="1"/>
  <c r="O4643" i="1"/>
  <c r="K4643" i="1"/>
  <c r="J4643" i="1"/>
  <c r="I4643" i="1"/>
  <c r="H4643" i="1"/>
  <c r="G4643" i="1"/>
  <c r="F4643" i="1"/>
  <c r="E4643" i="1"/>
  <c r="D4643" i="1"/>
  <c r="C4643" i="1"/>
  <c r="B4643" i="1"/>
  <c r="A4643" i="1"/>
  <c r="R4642" i="1"/>
  <c r="J4642" i="1"/>
  <c r="I4642" i="1"/>
  <c r="G4642" i="1"/>
  <c r="F4642" i="1"/>
  <c r="E4642" i="1"/>
  <c r="D4642" i="1"/>
  <c r="C4642" i="1"/>
  <c r="B4642" i="1"/>
  <c r="A4642" i="1"/>
  <c r="S4641" i="1"/>
  <c r="O4641" i="1"/>
  <c r="K4641" i="1"/>
  <c r="J4641" i="1"/>
  <c r="I4641" i="1"/>
  <c r="H4641" i="1"/>
  <c r="G4641" i="1"/>
  <c r="F4641" i="1"/>
  <c r="E4641" i="1"/>
  <c r="D4641" i="1"/>
  <c r="C4641" i="1"/>
  <c r="B4641" i="1"/>
  <c r="A4641" i="1"/>
  <c r="R4640" i="1"/>
  <c r="J4640" i="1"/>
  <c r="I4640" i="1"/>
  <c r="G4640" i="1"/>
  <c r="F4640" i="1"/>
  <c r="E4640" i="1"/>
  <c r="D4640" i="1"/>
  <c r="C4640" i="1"/>
  <c r="B4640" i="1"/>
  <c r="A4640" i="1"/>
  <c r="S4639" i="1"/>
  <c r="O4639" i="1"/>
  <c r="K4639" i="1"/>
  <c r="J4639" i="1"/>
  <c r="I4639" i="1"/>
  <c r="H4639" i="1"/>
  <c r="G4639" i="1"/>
  <c r="F4639" i="1"/>
  <c r="E4639" i="1"/>
  <c r="D4639" i="1"/>
  <c r="C4639" i="1"/>
  <c r="B4639" i="1"/>
  <c r="A4639" i="1"/>
  <c r="R4638" i="1"/>
  <c r="J4638" i="1"/>
  <c r="I4638" i="1"/>
  <c r="G4638" i="1"/>
  <c r="F4638" i="1"/>
  <c r="E4638" i="1"/>
  <c r="D4638" i="1"/>
  <c r="C4638" i="1"/>
  <c r="B4638" i="1"/>
  <c r="A4638" i="1"/>
  <c r="S4637" i="1"/>
  <c r="O4637" i="1"/>
  <c r="K4637" i="1"/>
  <c r="J4637" i="1"/>
  <c r="I4637" i="1"/>
  <c r="H4637" i="1"/>
  <c r="G4637" i="1"/>
  <c r="F4637" i="1"/>
  <c r="E4637" i="1"/>
  <c r="D4637" i="1"/>
  <c r="C4637" i="1"/>
  <c r="B4637" i="1"/>
  <c r="A4637" i="1"/>
  <c r="R4636" i="1"/>
  <c r="J4636" i="1"/>
  <c r="I4636" i="1"/>
  <c r="G4636" i="1"/>
  <c r="F4636" i="1"/>
  <c r="E4636" i="1"/>
  <c r="D4636" i="1"/>
  <c r="C4636" i="1"/>
  <c r="B4636" i="1"/>
  <c r="A4636" i="1"/>
  <c r="S4635" i="1"/>
  <c r="O4635" i="1"/>
  <c r="K4635" i="1"/>
  <c r="J4635" i="1"/>
  <c r="I4635" i="1"/>
  <c r="H4635" i="1"/>
  <c r="G4635" i="1"/>
  <c r="F4635" i="1"/>
  <c r="E4635" i="1"/>
  <c r="D4635" i="1"/>
  <c r="C4635" i="1"/>
  <c r="B4635" i="1"/>
  <c r="A4635" i="1"/>
  <c r="R4634" i="1"/>
  <c r="J4634" i="1"/>
  <c r="I4634" i="1"/>
  <c r="G4634" i="1"/>
  <c r="F4634" i="1"/>
  <c r="E4634" i="1"/>
  <c r="D4634" i="1"/>
  <c r="C4634" i="1"/>
  <c r="B4634" i="1"/>
  <c r="A4634" i="1"/>
  <c r="S4633" i="1"/>
  <c r="O4633" i="1"/>
  <c r="K4633" i="1"/>
  <c r="J4633" i="1"/>
  <c r="I4633" i="1"/>
  <c r="H4633" i="1"/>
  <c r="G4633" i="1"/>
  <c r="F4633" i="1"/>
  <c r="E4633" i="1"/>
  <c r="D4633" i="1"/>
  <c r="C4633" i="1"/>
  <c r="B4633" i="1"/>
  <c r="A4633" i="1"/>
  <c r="R4632" i="1"/>
  <c r="J4632" i="1"/>
  <c r="I4632" i="1"/>
  <c r="G4632" i="1"/>
  <c r="F4632" i="1"/>
  <c r="E4632" i="1"/>
  <c r="D4632" i="1"/>
  <c r="C4632" i="1"/>
  <c r="B4632" i="1"/>
  <c r="A4632" i="1"/>
  <c r="S4631" i="1"/>
  <c r="O4631" i="1"/>
  <c r="K4631" i="1"/>
  <c r="J4631" i="1"/>
  <c r="I4631" i="1"/>
  <c r="H4631" i="1"/>
  <c r="G4631" i="1"/>
  <c r="F4631" i="1"/>
  <c r="E4631" i="1"/>
  <c r="D4631" i="1"/>
  <c r="C4631" i="1"/>
  <c r="B4631" i="1"/>
  <c r="A4631" i="1"/>
  <c r="R4630" i="1"/>
  <c r="J4630" i="1"/>
  <c r="I4630" i="1"/>
  <c r="G4630" i="1"/>
  <c r="F4630" i="1"/>
  <c r="E4630" i="1"/>
  <c r="D4630" i="1"/>
  <c r="C4630" i="1"/>
  <c r="B4630" i="1"/>
  <c r="A4630" i="1"/>
  <c r="S4629" i="1"/>
  <c r="O4629" i="1"/>
  <c r="K4629" i="1"/>
  <c r="J4629" i="1"/>
  <c r="I4629" i="1"/>
  <c r="H4629" i="1"/>
  <c r="G4629" i="1"/>
  <c r="F4629" i="1"/>
  <c r="E4629" i="1"/>
  <c r="D4629" i="1"/>
  <c r="C4629" i="1"/>
  <c r="B4629" i="1"/>
  <c r="A4629" i="1"/>
  <c r="R4628" i="1"/>
  <c r="J4628" i="1"/>
  <c r="I4628" i="1"/>
  <c r="G4628" i="1"/>
  <c r="F4628" i="1"/>
  <c r="E4628" i="1"/>
  <c r="D4628" i="1"/>
  <c r="C4628" i="1"/>
  <c r="B4628" i="1"/>
  <c r="A4628" i="1"/>
  <c r="S4627" i="1"/>
  <c r="O4627" i="1"/>
  <c r="K4627" i="1"/>
  <c r="J4627" i="1"/>
  <c r="I4627" i="1"/>
  <c r="H4627" i="1"/>
  <c r="G4627" i="1"/>
  <c r="F4627" i="1"/>
  <c r="E4627" i="1"/>
  <c r="D4627" i="1"/>
  <c r="C4627" i="1"/>
  <c r="B4627" i="1"/>
  <c r="A4627" i="1"/>
  <c r="R4626" i="1"/>
  <c r="J4626" i="1"/>
  <c r="I4626" i="1"/>
  <c r="G4626" i="1"/>
  <c r="F4626" i="1"/>
  <c r="E4626" i="1"/>
  <c r="D4626" i="1"/>
  <c r="C4626" i="1"/>
  <c r="B4626" i="1"/>
  <c r="A4626" i="1"/>
  <c r="S4625" i="1"/>
  <c r="O4625" i="1"/>
  <c r="K4625" i="1"/>
  <c r="J4625" i="1"/>
  <c r="I4625" i="1"/>
  <c r="H4625" i="1"/>
  <c r="G4625" i="1"/>
  <c r="F4625" i="1"/>
  <c r="E4625" i="1"/>
  <c r="D4625" i="1"/>
  <c r="C4625" i="1"/>
  <c r="B4625" i="1"/>
  <c r="A4625" i="1"/>
  <c r="R4624" i="1"/>
  <c r="J4624" i="1"/>
  <c r="I4624" i="1"/>
  <c r="G4624" i="1"/>
  <c r="F4624" i="1"/>
  <c r="E4624" i="1"/>
  <c r="D4624" i="1"/>
  <c r="C4624" i="1"/>
  <c r="B4624" i="1"/>
  <c r="A4624" i="1"/>
  <c r="S4623" i="1"/>
  <c r="O4623" i="1"/>
  <c r="K4623" i="1"/>
  <c r="J4623" i="1"/>
  <c r="I4623" i="1"/>
  <c r="H4623" i="1"/>
  <c r="G4623" i="1"/>
  <c r="F4623" i="1"/>
  <c r="E4623" i="1"/>
  <c r="D4623" i="1"/>
  <c r="C4623" i="1"/>
  <c r="B4623" i="1"/>
  <c r="A4623" i="1"/>
  <c r="S4622" i="1"/>
  <c r="O4622" i="1"/>
  <c r="K4622" i="1"/>
  <c r="J4622" i="1"/>
  <c r="I4622" i="1"/>
  <c r="H4622" i="1"/>
  <c r="G4622" i="1"/>
  <c r="F4622" i="1"/>
  <c r="D4622" i="1"/>
  <c r="C4622" i="1"/>
  <c r="B4622" i="1"/>
  <c r="A4622" i="1"/>
  <c r="S4621" i="1"/>
  <c r="O4621" i="1"/>
  <c r="K4621" i="1"/>
  <c r="J4621" i="1"/>
  <c r="I4621" i="1"/>
  <c r="H4621" i="1"/>
  <c r="G4621" i="1"/>
  <c r="F4621" i="1"/>
  <c r="D4621" i="1"/>
  <c r="C4621" i="1"/>
  <c r="B4621" i="1"/>
  <c r="A4621" i="1"/>
  <c r="S4620" i="1"/>
  <c r="O4620" i="1"/>
  <c r="K4620" i="1"/>
  <c r="J4620" i="1"/>
  <c r="I4620" i="1"/>
  <c r="H4620" i="1"/>
  <c r="G4620" i="1"/>
  <c r="F4620" i="1"/>
  <c r="D4620" i="1"/>
  <c r="C4620" i="1"/>
  <c r="B4620" i="1"/>
  <c r="A4620" i="1"/>
  <c r="S4619" i="1"/>
  <c r="O4619" i="1"/>
  <c r="K4619" i="1"/>
  <c r="J4619" i="1"/>
  <c r="I4619" i="1"/>
  <c r="H4619" i="1"/>
  <c r="G4619" i="1"/>
  <c r="F4619" i="1"/>
  <c r="D4619" i="1"/>
  <c r="C4619" i="1"/>
  <c r="B4619" i="1"/>
  <c r="A4619" i="1"/>
  <c r="R4618" i="1"/>
  <c r="J4618" i="1"/>
  <c r="I4618" i="1"/>
  <c r="G4618" i="1"/>
  <c r="F4618" i="1"/>
  <c r="E4618" i="1"/>
  <c r="D4618" i="1"/>
  <c r="C4618" i="1"/>
  <c r="B4618" i="1"/>
  <c r="A4618" i="1"/>
  <c r="S4617" i="1"/>
  <c r="O4617" i="1"/>
  <c r="K4617" i="1"/>
  <c r="J4617" i="1"/>
  <c r="I4617" i="1"/>
  <c r="H4617" i="1"/>
  <c r="G4617" i="1"/>
  <c r="F4617" i="1"/>
  <c r="E4617" i="1"/>
  <c r="D4617" i="1"/>
  <c r="C4617" i="1"/>
  <c r="B4617" i="1"/>
  <c r="A4617" i="1"/>
  <c r="R4616" i="1"/>
  <c r="J4616" i="1"/>
  <c r="I4616" i="1"/>
  <c r="G4616" i="1"/>
  <c r="F4616" i="1"/>
  <c r="E4616" i="1"/>
  <c r="D4616" i="1"/>
  <c r="C4616" i="1"/>
  <c r="B4616" i="1"/>
  <c r="A4616" i="1"/>
  <c r="S4615" i="1"/>
  <c r="O4615" i="1"/>
  <c r="K4615" i="1"/>
  <c r="J4615" i="1"/>
  <c r="I4615" i="1"/>
  <c r="H4615" i="1"/>
  <c r="G4615" i="1"/>
  <c r="F4615" i="1"/>
  <c r="E4615" i="1"/>
  <c r="D4615" i="1"/>
  <c r="C4615" i="1"/>
  <c r="B4615" i="1"/>
  <c r="A4615" i="1"/>
  <c r="R4614" i="1"/>
  <c r="J4614" i="1"/>
  <c r="I4614" i="1"/>
  <c r="G4614" i="1"/>
  <c r="F4614" i="1"/>
  <c r="E4614" i="1"/>
  <c r="D4614" i="1"/>
  <c r="C4614" i="1"/>
  <c r="B4614" i="1"/>
  <c r="A4614" i="1"/>
  <c r="S4613" i="1"/>
  <c r="O4613" i="1"/>
  <c r="K4613" i="1"/>
  <c r="J4613" i="1"/>
  <c r="I4613" i="1"/>
  <c r="H4613" i="1"/>
  <c r="G4613" i="1"/>
  <c r="F4613" i="1"/>
  <c r="E4613" i="1"/>
  <c r="D4613" i="1"/>
  <c r="C4613" i="1"/>
  <c r="B4613" i="1"/>
  <c r="A4613" i="1"/>
  <c r="R4612" i="1"/>
  <c r="J4612" i="1"/>
  <c r="I4612" i="1"/>
  <c r="G4612" i="1"/>
  <c r="F4612" i="1"/>
  <c r="E4612" i="1"/>
  <c r="D4612" i="1"/>
  <c r="C4612" i="1"/>
  <c r="B4612" i="1"/>
  <c r="A4612" i="1"/>
  <c r="S4611" i="1"/>
  <c r="O4611" i="1"/>
  <c r="K4611" i="1"/>
  <c r="J4611" i="1"/>
  <c r="I4611" i="1"/>
  <c r="H4611" i="1"/>
  <c r="G4611" i="1"/>
  <c r="F4611" i="1"/>
  <c r="E4611" i="1"/>
  <c r="D4611" i="1"/>
  <c r="C4611" i="1"/>
  <c r="B4611" i="1"/>
  <c r="A4611" i="1"/>
  <c r="R4610" i="1"/>
  <c r="J4610" i="1"/>
  <c r="I4610" i="1"/>
  <c r="G4610" i="1"/>
  <c r="F4610" i="1"/>
  <c r="E4610" i="1"/>
  <c r="D4610" i="1"/>
  <c r="C4610" i="1"/>
  <c r="B4610" i="1"/>
  <c r="A4610" i="1"/>
  <c r="S4609" i="1"/>
  <c r="O4609" i="1"/>
  <c r="K4609" i="1"/>
  <c r="J4609" i="1"/>
  <c r="I4609" i="1"/>
  <c r="H4609" i="1"/>
  <c r="G4609" i="1"/>
  <c r="F4609" i="1"/>
  <c r="E4609" i="1"/>
  <c r="D4609" i="1"/>
  <c r="C4609" i="1"/>
  <c r="B4609" i="1"/>
  <c r="A4609" i="1"/>
  <c r="R4608" i="1"/>
  <c r="J4608" i="1"/>
  <c r="I4608" i="1"/>
  <c r="G4608" i="1"/>
  <c r="F4608" i="1"/>
  <c r="E4608" i="1"/>
  <c r="D4608" i="1"/>
  <c r="C4608" i="1"/>
  <c r="B4608" i="1"/>
  <c r="A4608" i="1"/>
  <c r="S4607" i="1"/>
  <c r="O4607" i="1"/>
  <c r="K4607" i="1"/>
  <c r="J4607" i="1"/>
  <c r="I4607" i="1"/>
  <c r="H4607" i="1"/>
  <c r="G4607" i="1"/>
  <c r="F4607" i="1"/>
  <c r="E4607" i="1"/>
  <c r="D4607" i="1"/>
  <c r="C4607" i="1"/>
  <c r="B4607" i="1"/>
  <c r="A4607" i="1"/>
  <c r="R4606" i="1"/>
  <c r="J4606" i="1"/>
  <c r="I4606" i="1"/>
  <c r="G4606" i="1"/>
  <c r="F4606" i="1"/>
  <c r="E4606" i="1"/>
  <c r="D4606" i="1"/>
  <c r="C4606" i="1"/>
  <c r="B4606" i="1"/>
  <c r="A4606" i="1"/>
  <c r="S4605" i="1"/>
  <c r="O4605" i="1"/>
  <c r="K4605" i="1"/>
  <c r="J4605" i="1"/>
  <c r="I4605" i="1"/>
  <c r="H4605" i="1"/>
  <c r="G4605" i="1"/>
  <c r="F4605" i="1"/>
  <c r="E4605" i="1"/>
  <c r="D4605" i="1"/>
  <c r="C4605" i="1"/>
  <c r="B4605" i="1"/>
  <c r="A4605" i="1"/>
  <c r="R4604" i="1"/>
  <c r="J4604" i="1"/>
  <c r="I4604" i="1"/>
  <c r="G4604" i="1"/>
  <c r="F4604" i="1"/>
  <c r="E4604" i="1"/>
  <c r="D4604" i="1"/>
  <c r="C4604" i="1"/>
  <c r="B4604" i="1"/>
  <c r="A4604" i="1"/>
  <c r="S4603" i="1"/>
  <c r="O4603" i="1"/>
  <c r="K4603" i="1"/>
  <c r="J4603" i="1"/>
  <c r="I4603" i="1"/>
  <c r="H4603" i="1"/>
  <c r="G4603" i="1"/>
  <c r="F4603" i="1"/>
  <c r="E4603" i="1"/>
  <c r="D4603" i="1"/>
  <c r="C4603" i="1"/>
  <c r="B4603" i="1"/>
  <c r="A4603" i="1"/>
  <c r="R4602" i="1"/>
  <c r="J4602" i="1"/>
  <c r="I4602" i="1"/>
  <c r="G4602" i="1"/>
  <c r="F4602" i="1"/>
  <c r="E4602" i="1"/>
  <c r="D4602" i="1"/>
  <c r="C4602" i="1"/>
  <c r="B4602" i="1"/>
  <c r="A4602" i="1"/>
  <c r="S4601" i="1"/>
  <c r="O4601" i="1"/>
  <c r="K4601" i="1"/>
  <c r="J4601" i="1"/>
  <c r="I4601" i="1"/>
  <c r="H4601" i="1"/>
  <c r="G4601" i="1"/>
  <c r="F4601" i="1"/>
  <c r="E4601" i="1"/>
  <c r="D4601" i="1"/>
  <c r="C4601" i="1"/>
  <c r="B4601" i="1"/>
  <c r="A4601" i="1"/>
  <c r="R4600" i="1"/>
  <c r="J4600" i="1"/>
  <c r="I4600" i="1"/>
  <c r="G4600" i="1"/>
  <c r="F4600" i="1"/>
  <c r="E4600" i="1"/>
  <c r="D4600" i="1"/>
  <c r="C4600" i="1"/>
  <c r="B4600" i="1"/>
  <c r="A4600" i="1"/>
  <c r="S4599" i="1"/>
  <c r="O4599" i="1"/>
  <c r="K4599" i="1"/>
  <c r="J4599" i="1"/>
  <c r="I4599" i="1"/>
  <c r="H4599" i="1"/>
  <c r="G4599" i="1"/>
  <c r="F4599" i="1"/>
  <c r="E4599" i="1"/>
  <c r="D4599" i="1"/>
  <c r="C4599" i="1"/>
  <c r="B4599" i="1"/>
  <c r="A4599" i="1"/>
  <c r="R4598" i="1"/>
  <c r="J4598" i="1"/>
  <c r="I4598" i="1"/>
  <c r="G4598" i="1"/>
  <c r="F4598" i="1"/>
  <c r="E4598" i="1"/>
  <c r="D4598" i="1"/>
  <c r="C4598" i="1"/>
  <c r="B4598" i="1"/>
  <c r="A4598" i="1"/>
  <c r="S4597" i="1"/>
  <c r="O4597" i="1"/>
  <c r="K4597" i="1"/>
  <c r="J4597" i="1"/>
  <c r="I4597" i="1"/>
  <c r="H4597" i="1"/>
  <c r="G4597" i="1"/>
  <c r="F4597" i="1"/>
  <c r="E4597" i="1"/>
  <c r="D4597" i="1"/>
  <c r="C4597" i="1"/>
  <c r="B4597" i="1"/>
  <c r="A4597" i="1"/>
  <c r="R4596" i="1"/>
  <c r="J4596" i="1"/>
  <c r="I4596" i="1"/>
  <c r="G4596" i="1"/>
  <c r="F4596" i="1"/>
  <c r="E4596" i="1"/>
  <c r="D4596" i="1"/>
  <c r="C4596" i="1"/>
  <c r="B4596" i="1"/>
  <c r="A4596" i="1"/>
  <c r="S4595" i="1"/>
  <c r="O4595" i="1"/>
  <c r="K4595" i="1"/>
  <c r="J4595" i="1"/>
  <c r="I4595" i="1"/>
  <c r="H4595" i="1"/>
  <c r="G4595" i="1"/>
  <c r="F4595" i="1"/>
  <c r="E4595" i="1"/>
  <c r="D4595" i="1"/>
  <c r="C4595" i="1"/>
  <c r="B4595" i="1"/>
  <c r="A4595" i="1"/>
  <c r="R4594" i="1"/>
  <c r="J4594" i="1"/>
  <c r="I4594" i="1"/>
  <c r="G4594" i="1"/>
  <c r="F4594" i="1"/>
  <c r="E4594" i="1"/>
  <c r="D4594" i="1"/>
  <c r="C4594" i="1"/>
  <c r="B4594" i="1"/>
  <c r="A4594" i="1"/>
  <c r="S4593" i="1"/>
  <c r="O4593" i="1"/>
  <c r="K4593" i="1"/>
  <c r="J4593" i="1"/>
  <c r="I4593" i="1"/>
  <c r="H4593" i="1"/>
  <c r="G4593" i="1"/>
  <c r="F4593" i="1"/>
  <c r="E4593" i="1"/>
  <c r="D4593" i="1"/>
  <c r="C4593" i="1"/>
  <c r="B4593" i="1"/>
  <c r="A4593" i="1"/>
  <c r="R4592" i="1"/>
  <c r="J4592" i="1"/>
  <c r="I4592" i="1"/>
  <c r="G4592" i="1"/>
  <c r="F4592" i="1"/>
  <c r="E4592" i="1"/>
  <c r="D4592" i="1"/>
  <c r="C4592" i="1"/>
  <c r="B4592" i="1"/>
  <c r="A4592" i="1"/>
  <c r="S4591" i="1"/>
  <c r="O4591" i="1"/>
  <c r="K4591" i="1"/>
  <c r="J4591" i="1"/>
  <c r="I4591" i="1"/>
  <c r="H4591" i="1"/>
  <c r="G4591" i="1"/>
  <c r="F4591" i="1"/>
  <c r="E4591" i="1"/>
  <c r="D4591" i="1"/>
  <c r="C4591" i="1"/>
  <c r="B4591" i="1"/>
  <c r="A4591" i="1"/>
  <c r="R4590" i="1"/>
  <c r="J4590" i="1"/>
  <c r="I4590" i="1"/>
  <c r="G4590" i="1"/>
  <c r="F4590" i="1"/>
  <c r="E4590" i="1"/>
  <c r="D4590" i="1"/>
  <c r="C4590" i="1"/>
  <c r="B4590" i="1"/>
  <c r="A4590" i="1"/>
  <c r="S4589" i="1"/>
  <c r="O4589" i="1"/>
  <c r="K4589" i="1"/>
  <c r="J4589" i="1"/>
  <c r="I4589" i="1"/>
  <c r="H4589" i="1"/>
  <c r="G4589" i="1"/>
  <c r="F4589" i="1"/>
  <c r="E4589" i="1"/>
  <c r="D4589" i="1"/>
  <c r="C4589" i="1"/>
  <c r="B4589" i="1"/>
  <c r="A4589" i="1"/>
  <c r="R4588" i="1"/>
  <c r="J4588" i="1"/>
  <c r="I4588" i="1"/>
  <c r="G4588" i="1"/>
  <c r="F4588" i="1"/>
  <c r="E4588" i="1"/>
  <c r="D4588" i="1"/>
  <c r="C4588" i="1"/>
  <c r="B4588" i="1"/>
  <c r="A4588" i="1"/>
  <c r="R4587" i="1"/>
  <c r="J4587" i="1"/>
  <c r="I4587" i="1"/>
  <c r="G4587" i="1"/>
  <c r="F4587" i="1"/>
  <c r="E4587" i="1"/>
  <c r="D4587" i="1"/>
  <c r="C4587" i="1"/>
  <c r="B4587" i="1"/>
  <c r="A4587" i="1"/>
  <c r="R4586" i="1"/>
  <c r="J4586" i="1"/>
  <c r="I4586" i="1"/>
  <c r="G4586" i="1"/>
  <c r="F4586" i="1"/>
  <c r="E4586" i="1"/>
  <c r="D4586" i="1"/>
  <c r="C4586" i="1"/>
  <c r="B4586" i="1"/>
  <c r="A4586" i="1"/>
  <c r="S4585" i="1"/>
  <c r="O4585" i="1"/>
  <c r="K4585" i="1"/>
  <c r="J4585" i="1"/>
  <c r="I4585" i="1"/>
  <c r="H4585" i="1"/>
  <c r="G4585" i="1"/>
  <c r="F4585" i="1"/>
  <c r="E4585" i="1"/>
  <c r="D4585" i="1"/>
  <c r="C4585" i="1"/>
  <c r="B4585" i="1"/>
  <c r="A4585" i="1"/>
  <c r="R4584" i="1"/>
  <c r="J4584" i="1"/>
  <c r="I4584" i="1"/>
  <c r="G4584" i="1"/>
  <c r="F4584" i="1"/>
  <c r="E4584" i="1"/>
  <c r="D4584" i="1"/>
  <c r="C4584" i="1"/>
  <c r="B4584" i="1"/>
  <c r="A4584" i="1"/>
  <c r="R4583" i="1"/>
  <c r="J4583" i="1"/>
  <c r="I4583" i="1"/>
  <c r="G4583" i="1"/>
  <c r="F4583" i="1"/>
  <c r="E4583" i="1"/>
  <c r="D4583" i="1"/>
  <c r="C4583" i="1"/>
  <c r="B4583" i="1"/>
  <c r="A4583" i="1"/>
  <c r="R4582" i="1"/>
  <c r="J4582" i="1"/>
  <c r="I4582" i="1"/>
  <c r="G4582" i="1"/>
  <c r="F4582" i="1"/>
  <c r="E4582" i="1"/>
  <c r="D4582" i="1"/>
  <c r="C4582" i="1"/>
  <c r="B4582" i="1"/>
  <c r="A4582" i="1"/>
  <c r="S4581" i="1"/>
  <c r="O4581" i="1"/>
  <c r="K4581" i="1"/>
  <c r="J4581" i="1"/>
  <c r="I4581" i="1"/>
  <c r="H4581" i="1"/>
  <c r="G4581" i="1"/>
  <c r="F4581" i="1"/>
  <c r="E4581" i="1"/>
  <c r="D4581" i="1"/>
  <c r="C4581" i="1"/>
  <c r="B4581" i="1"/>
  <c r="A4581" i="1"/>
  <c r="R4580" i="1"/>
  <c r="J4580" i="1"/>
  <c r="I4580" i="1"/>
  <c r="G4580" i="1"/>
  <c r="F4580" i="1"/>
  <c r="E4580" i="1"/>
  <c r="D4580" i="1"/>
  <c r="C4580" i="1"/>
  <c r="B4580" i="1"/>
  <c r="A4580" i="1"/>
  <c r="S4579" i="1"/>
  <c r="O4579" i="1"/>
  <c r="K4579" i="1"/>
  <c r="J4579" i="1"/>
  <c r="I4579" i="1"/>
  <c r="H4579" i="1"/>
  <c r="G4579" i="1"/>
  <c r="F4579" i="1"/>
  <c r="E4579" i="1"/>
  <c r="D4579" i="1"/>
  <c r="C4579" i="1"/>
  <c r="B4579" i="1"/>
  <c r="A4579" i="1"/>
  <c r="R4578" i="1"/>
  <c r="J4578" i="1"/>
  <c r="I4578" i="1"/>
  <c r="G4578" i="1"/>
  <c r="F4578" i="1"/>
  <c r="E4578" i="1"/>
  <c r="D4578" i="1"/>
  <c r="C4578" i="1"/>
  <c r="B4578" i="1"/>
  <c r="A4578" i="1"/>
  <c r="S4577" i="1"/>
  <c r="O4577" i="1"/>
  <c r="K4577" i="1"/>
  <c r="J4577" i="1"/>
  <c r="I4577" i="1"/>
  <c r="H4577" i="1"/>
  <c r="G4577" i="1"/>
  <c r="F4577" i="1"/>
  <c r="E4577" i="1"/>
  <c r="D4577" i="1"/>
  <c r="C4577" i="1"/>
  <c r="B4577" i="1"/>
  <c r="A4577" i="1"/>
  <c r="R4576" i="1"/>
  <c r="J4576" i="1"/>
  <c r="I4576" i="1"/>
  <c r="G4576" i="1"/>
  <c r="F4576" i="1"/>
  <c r="E4576" i="1"/>
  <c r="D4576" i="1"/>
  <c r="C4576" i="1"/>
  <c r="B4576" i="1"/>
  <c r="A4576" i="1"/>
  <c r="S4575" i="1"/>
  <c r="O4575" i="1"/>
  <c r="K4575" i="1"/>
  <c r="J4575" i="1"/>
  <c r="I4575" i="1"/>
  <c r="H4575" i="1"/>
  <c r="G4575" i="1"/>
  <c r="F4575" i="1"/>
  <c r="E4575" i="1"/>
  <c r="D4575" i="1"/>
  <c r="C4575" i="1"/>
  <c r="B4575" i="1"/>
  <c r="A4575" i="1"/>
  <c r="R4574" i="1"/>
  <c r="J4574" i="1"/>
  <c r="I4574" i="1"/>
  <c r="G4574" i="1"/>
  <c r="F4574" i="1"/>
  <c r="E4574" i="1"/>
  <c r="D4574" i="1"/>
  <c r="C4574" i="1"/>
  <c r="B4574" i="1"/>
  <c r="A4574" i="1"/>
  <c r="R4573" i="1"/>
  <c r="J4573" i="1"/>
  <c r="I4573" i="1"/>
  <c r="G4573" i="1"/>
  <c r="F4573" i="1"/>
  <c r="E4573" i="1"/>
  <c r="D4573" i="1"/>
  <c r="C4573" i="1"/>
  <c r="B4573" i="1"/>
  <c r="A4573" i="1"/>
  <c r="S4572" i="1"/>
  <c r="O4572" i="1"/>
  <c r="K4572" i="1"/>
  <c r="J4572" i="1"/>
  <c r="I4572" i="1"/>
  <c r="H4572" i="1"/>
  <c r="G4572" i="1"/>
  <c r="F4572" i="1"/>
  <c r="E4572" i="1"/>
  <c r="D4572" i="1"/>
  <c r="C4572" i="1"/>
  <c r="B4572" i="1"/>
  <c r="A4572" i="1"/>
  <c r="R4571" i="1"/>
  <c r="J4571" i="1"/>
  <c r="I4571" i="1"/>
  <c r="G4571" i="1"/>
  <c r="F4571" i="1"/>
  <c r="E4571" i="1"/>
  <c r="D4571" i="1"/>
  <c r="C4571" i="1"/>
  <c r="B4571" i="1"/>
  <c r="A4571" i="1"/>
  <c r="S4570" i="1"/>
  <c r="O4570" i="1"/>
  <c r="K4570" i="1"/>
  <c r="J4570" i="1"/>
  <c r="I4570" i="1"/>
  <c r="H4570" i="1"/>
  <c r="G4570" i="1"/>
  <c r="F4570" i="1"/>
  <c r="E4570" i="1"/>
  <c r="D4570" i="1"/>
  <c r="C4570" i="1"/>
  <c r="B4570" i="1"/>
  <c r="A4570" i="1"/>
  <c r="R4569" i="1"/>
  <c r="J4569" i="1"/>
  <c r="I4569" i="1"/>
  <c r="G4569" i="1"/>
  <c r="F4569" i="1"/>
  <c r="E4569" i="1"/>
  <c r="D4569" i="1"/>
  <c r="C4569" i="1"/>
  <c r="B4569" i="1"/>
  <c r="A4569" i="1"/>
  <c r="S4568" i="1"/>
  <c r="O4568" i="1"/>
  <c r="K4568" i="1"/>
  <c r="J4568" i="1"/>
  <c r="I4568" i="1"/>
  <c r="H4568" i="1"/>
  <c r="G4568" i="1"/>
  <c r="F4568" i="1"/>
  <c r="E4568" i="1"/>
  <c r="D4568" i="1"/>
  <c r="C4568" i="1"/>
  <c r="B4568" i="1"/>
  <c r="A4568" i="1"/>
  <c r="R4567" i="1"/>
  <c r="J4567" i="1"/>
  <c r="I4567" i="1"/>
  <c r="G4567" i="1"/>
  <c r="F4567" i="1"/>
  <c r="E4567" i="1"/>
  <c r="D4567" i="1"/>
  <c r="C4567" i="1"/>
  <c r="B4567" i="1"/>
  <c r="A4567" i="1"/>
  <c r="S4566" i="1"/>
  <c r="O4566" i="1"/>
  <c r="K4566" i="1"/>
  <c r="J4566" i="1"/>
  <c r="I4566" i="1"/>
  <c r="H4566" i="1"/>
  <c r="G4566" i="1"/>
  <c r="F4566" i="1"/>
  <c r="E4566" i="1"/>
  <c r="D4566" i="1"/>
  <c r="C4566" i="1"/>
  <c r="B4566" i="1"/>
  <c r="A4566" i="1"/>
  <c r="R4565" i="1"/>
  <c r="J4565" i="1"/>
  <c r="I4565" i="1"/>
  <c r="G4565" i="1"/>
  <c r="F4565" i="1"/>
  <c r="E4565" i="1"/>
  <c r="D4565" i="1"/>
  <c r="C4565" i="1"/>
  <c r="B4565" i="1"/>
  <c r="A4565" i="1"/>
  <c r="S4564" i="1"/>
  <c r="O4564" i="1"/>
  <c r="K4564" i="1"/>
  <c r="J4564" i="1"/>
  <c r="I4564" i="1"/>
  <c r="H4564" i="1"/>
  <c r="G4564" i="1"/>
  <c r="F4564" i="1"/>
  <c r="E4564" i="1"/>
  <c r="D4564" i="1"/>
  <c r="C4564" i="1"/>
  <c r="B4564" i="1"/>
  <c r="A4564" i="1"/>
  <c r="R4563" i="1"/>
  <c r="J4563" i="1"/>
  <c r="I4563" i="1"/>
  <c r="G4563" i="1"/>
  <c r="F4563" i="1"/>
  <c r="E4563" i="1"/>
  <c r="D4563" i="1"/>
  <c r="C4563" i="1"/>
  <c r="B4563" i="1"/>
  <c r="A4563" i="1"/>
  <c r="S4562" i="1"/>
  <c r="O4562" i="1"/>
  <c r="K4562" i="1"/>
  <c r="J4562" i="1"/>
  <c r="I4562" i="1"/>
  <c r="H4562" i="1"/>
  <c r="G4562" i="1"/>
  <c r="F4562" i="1"/>
  <c r="E4562" i="1"/>
  <c r="D4562" i="1"/>
  <c r="C4562" i="1"/>
  <c r="B4562" i="1"/>
  <c r="A4562" i="1"/>
  <c r="R4561" i="1"/>
  <c r="J4561" i="1"/>
  <c r="I4561" i="1"/>
  <c r="G4561" i="1"/>
  <c r="F4561" i="1"/>
  <c r="E4561" i="1"/>
  <c r="D4561" i="1"/>
  <c r="C4561" i="1"/>
  <c r="B4561" i="1"/>
  <c r="A4561" i="1"/>
  <c r="S4560" i="1"/>
  <c r="O4560" i="1"/>
  <c r="K4560" i="1"/>
  <c r="J4560" i="1"/>
  <c r="I4560" i="1"/>
  <c r="H4560" i="1"/>
  <c r="G4560" i="1"/>
  <c r="F4560" i="1"/>
  <c r="E4560" i="1"/>
  <c r="D4560" i="1"/>
  <c r="C4560" i="1"/>
  <c r="B4560" i="1"/>
  <c r="A4560" i="1"/>
  <c r="R4559" i="1"/>
  <c r="J4559" i="1"/>
  <c r="I4559" i="1"/>
  <c r="G4559" i="1"/>
  <c r="F4559" i="1"/>
  <c r="E4559" i="1"/>
  <c r="D4559" i="1"/>
  <c r="C4559" i="1"/>
  <c r="B4559" i="1"/>
  <c r="A4559" i="1"/>
  <c r="S4558" i="1"/>
  <c r="O4558" i="1"/>
  <c r="K4558" i="1"/>
  <c r="J4558" i="1"/>
  <c r="I4558" i="1"/>
  <c r="H4558" i="1"/>
  <c r="G4558" i="1"/>
  <c r="F4558" i="1"/>
  <c r="E4558" i="1"/>
  <c r="D4558" i="1"/>
  <c r="C4558" i="1"/>
  <c r="B4558" i="1"/>
  <c r="A4558" i="1"/>
  <c r="R4557" i="1"/>
  <c r="J4557" i="1"/>
  <c r="I4557" i="1"/>
  <c r="G4557" i="1"/>
  <c r="F4557" i="1"/>
  <c r="E4557" i="1"/>
  <c r="D4557" i="1"/>
  <c r="C4557" i="1"/>
  <c r="B4557" i="1"/>
  <c r="A4557" i="1"/>
  <c r="S4556" i="1"/>
  <c r="O4556" i="1"/>
  <c r="K4556" i="1"/>
  <c r="J4556" i="1"/>
  <c r="I4556" i="1"/>
  <c r="H4556" i="1"/>
  <c r="G4556" i="1"/>
  <c r="F4556" i="1"/>
  <c r="E4556" i="1"/>
  <c r="D4556" i="1"/>
  <c r="C4556" i="1"/>
  <c r="B4556" i="1"/>
  <c r="A4556" i="1"/>
  <c r="R4555" i="1"/>
  <c r="J4555" i="1"/>
  <c r="I4555" i="1"/>
  <c r="G4555" i="1"/>
  <c r="F4555" i="1"/>
  <c r="E4555" i="1"/>
  <c r="D4555" i="1"/>
  <c r="C4555" i="1"/>
  <c r="B4555" i="1"/>
  <c r="A4555" i="1"/>
  <c r="S4554" i="1"/>
  <c r="O4554" i="1"/>
  <c r="K4554" i="1"/>
  <c r="J4554" i="1"/>
  <c r="I4554" i="1"/>
  <c r="H4554" i="1"/>
  <c r="G4554" i="1"/>
  <c r="F4554" i="1"/>
  <c r="E4554" i="1"/>
  <c r="D4554" i="1"/>
  <c r="C4554" i="1"/>
  <c r="B4554" i="1"/>
  <c r="A4554" i="1"/>
  <c r="R4553" i="1"/>
  <c r="J4553" i="1"/>
  <c r="I4553" i="1"/>
  <c r="G4553" i="1"/>
  <c r="F4553" i="1"/>
  <c r="E4553" i="1"/>
  <c r="D4553" i="1"/>
  <c r="C4553" i="1"/>
  <c r="B4553" i="1"/>
  <c r="A4553" i="1"/>
  <c r="S4552" i="1"/>
  <c r="O4552" i="1"/>
  <c r="K4552" i="1"/>
  <c r="J4552" i="1"/>
  <c r="I4552" i="1"/>
  <c r="H4552" i="1"/>
  <c r="G4552" i="1"/>
  <c r="F4552" i="1"/>
  <c r="E4552" i="1"/>
  <c r="D4552" i="1"/>
  <c r="C4552" i="1"/>
  <c r="B4552" i="1"/>
  <c r="A4552" i="1"/>
  <c r="R4551" i="1"/>
  <c r="J4551" i="1"/>
  <c r="I4551" i="1"/>
  <c r="G4551" i="1"/>
  <c r="F4551" i="1"/>
  <c r="E4551" i="1"/>
  <c r="D4551" i="1"/>
  <c r="C4551" i="1"/>
  <c r="B4551" i="1"/>
  <c r="A4551" i="1"/>
  <c r="S4550" i="1"/>
  <c r="O4550" i="1"/>
  <c r="K4550" i="1"/>
  <c r="J4550" i="1"/>
  <c r="I4550" i="1"/>
  <c r="H4550" i="1"/>
  <c r="G4550" i="1"/>
  <c r="F4550" i="1"/>
  <c r="E4550" i="1"/>
  <c r="D4550" i="1"/>
  <c r="C4550" i="1"/>
  <c r="B4550" i="1"/>
  <c r="A4550" i="1"/>
  <c r="R4549" i="1"/>
  <c r="J4549" i="1"/>
  <c r="I4549" i="1"/>
  <c r="G4549" i="1"/>
  <c r="F4549" i="1"/>
  <c r="E4549" i="1"/>
  <c r="D4549" i="1"/>
  <c r="C4549" i="1"/>
  <c r="B4549" i="1"/>
  <c r="A4549" i="1"/>
  <c r="S4548" i="1"/>
  <c r="O4548" i="1"/>
  <c r="K4548" i="1"/>
  <c r="J4548" i="1"/>
  <c r="I4548" i="1"/>
  <c r="H4548" i="1"/>
  <c r="G4548" i="1"/>
  <c r="F4548" i="1"/>
  <c r="E4548" i="1"/>
  <c r="D4548" i="1"/>
  <c r="C4548" i="1"/>
  <c r="B4548" i="1"/>
  <c r="A4548" i="1"/>
  <c r="R4547" i="1"/>
  <c r="J4547" i="1"/>
  <c r="I4547" i="1"/>
  <c r="G4547" i="1"/>
  <c r="F4547" i="1"/>
  <c r="E4547" i="1"/>
  <c r="D4547" i="1"/>
  <c r="C4547" i="1"/>
  <c r="B4547" i="1"/>
  <c r="A4547" i="1"/>
  <c r="S4546" i="1"/>
  <c r="O4546" i="1"/>
  <c r="K4546" i="1"/>
  <c r="J4546" i="1"/>
  <c r="I4546" i="1"/>
  <c r="H4546" i="1"/>
  <c r="G4546" i="1"/>
  <c r="F4546" i="1"/>
  <c r="E4546" i="1"/>
  <c r="D4546" i="1"/>
  <c r="C4546" i="1"/>
  <c r="B4546" i="1"/>
  <c r="A4546" i="1"/>
  <c r="R4545" i="1"/>
  <c r="J4545" i="1"/>
  <c r="I4545" i="1"/>
  <c r="G4545" i="1"/>
  <c r="F4545" i="1"/>
  <c r="E4545" i="1"/>
  <c r="D4545" i="1"/>
  <c r="C4545" i="1"/>
  <c r="B4545" i="1"/>
  <c r="A4545" i="1"/>
  <c r="S4544" i="1"/>
  <c r="O4544" i="1"/>
  <c r="K4544" i="1"/>
  <c r="J4544" i="1"/>
  <c r="I4544" i="1"/>
  <c r="H4544" i="1"/>
  <c r="G4544" i="1"/>
  <c r="F4544" i="1"/>
  <c r="E4544" i="1"/>
  <c r="D4544" i="1"/>
  <c r="C4544" i="1"/>
  <c r="B4544" i="1"/>
  <c r="A4544" i="1"/>
  <c r="R4543" i="1"/>
  <c r="J4543" i="1"/>
  <c r="I4543" i="1"/>
  <c r="G4543" i="1"/>
  <c r="F4543" i="1"/>
  <c r="E4543" i="1"/>
  <c r="D4543" i="1"/>
  <c r="C4543" i="1"/>
  <c r="B4543" i="1"/>
  <c r="A4543" i="1"/>
  <c r="S4542" i="1"/>
  <c r="O4542" i="1"/>
  <c r="K4542" i="1"/>
  <c r="J4542" i="1"/>
  <c r="I4542" i="1"/>
  <c r="H4542" i="1"/>
  <c r="G4542" i="1"/>
  <c r="F4542" i="1"/>
  <c r="E4542" i="1"/>
  <c r="D4542" i="1"/>
  <c r="C4542" i="1"/>
  <c r="B4542" i="1"/>
  <c r="A4542" i="1"/>
  <c r="R4541" i="1"/>
  <c r="J4541" i="1"/>
  <c r="I4541" i="1"/>
  <c r="G4541" i="1"/>
  <c r="F4541" i="1"/>
  <c r="E4541" i="1"/>
  <c r="D4541" i="1"/>
  <c r="C4541" i="1"/>
  <c r="B4541" i="1"/>
  <c r="A4541" i="1"/>
  <c r="S4540" i="1"/>
  <c r="O4540" i="1"/>
  <c r="K4540" i="1"/>
  <c r="J4540" i="1"/>
  <c r="I4540" i="1"/>
  <c r="H4540" i="1"/>
  <c r="G4540" i="1"/>
  <c r="F4540" i="1"/>
  <c r="E4540" i="1"/>
  <c r="D4540" i="1"/>
  <c r="C4540" i="1"/>
  <c r="B4540" i="1"/>
  <c r="A4540" i="1"/>
  <c r="R4539" i="1"/>
  <c r="J4539" i="1"/>
  <c r="I4539" i="1"/>
  <c r="G4539" i="1"/>
  <c r="F4539" i="1"/>
  <c r="E4539" i="1"/>
  <c r="D4539" i="1"/>
  <c r="C4539" i="1"/>
  <c r="B4539" i="1"/>
  <c r="A4539" i="1"/>
  <c r="S4538" i="1"/>
  <c r="O4538" i="1"/>
  <c r="K4538" i="1"/>
  <c r="J4538" i="1"/>
  <c r="I4538" i="1"/>
  <c r="H4538" i="1"/>
  <c r="G4538" i="1"/>
  <c r="F4538" i="1"/>
  <c r="E4538" i="1"/>
  <c r="D4538" i="1"/>
  <c r="C4538" i="1"/>
  <c r="B4538" i="1"/>
  <c r="A4538" i="1"/>
  <c r="R4537" i="1"/>
  <c r="J4537" i="1"/>
  <c r="I4537" i="1"/>
  <c r="G4537" i="1"/>
  <c r="F4537" i="1"/>
  <c r="E4537" i="1"/>
  <c r="D4537" i="1"/>
  <c r="C4537" i="1"/>
  <c r="B4537" i="1"/>
  <c r="A4537" i="1"/>
  <c r="S4536" i="1"/>
  <c r="O4536" i="1"/>
  <c r="K4536" i="1"/>
  <c r="J4536" i="1"/>
  <c r="I4536" i="1"/>
  <c r="H4536" i="1"/>
  <c r="G4536" i="1"/>
  <c r="F4536" i="1"/>
  <c r="E4536" i="1"/>
  <c r="D4536" i="1"/>
  <c r="C4536" i="1"/>
  <c r="B4536" i="1"/>
  <c r="A4536" i="1"/>
  <c r="R4535" i="1"/>
  <c r="J4535" i="1"/>
  <c r="I4535" i="1"/>
  <c r="G4535" i="1"/>
  <c r="F4535" i="1"/>
  <c r="E4535" i="1"/>
  <c r="D4535" i="1"/>
  <c r="C4535" i="1"/>
  <c r="B4535" i="1"/>
  <c r="A4535" i="1"/>
  <c r="S4534" i="1"/>
  <c r="O4534" i="1"/>
  <c r="K4534" i="1"/>
  <c r="J4534" i="1"/>
  <c r="I4534" i="1"/>
  <c r="H4534" i="1"/>
  <c r="G4534" i="1"/>
  <c r="F4534" i="1"/>
  <c r="E4534" i="1"/>
  <c r="D4534" i="1"/>
  <c r="C4534" i="1"/>
  <c r="B4534" i="1"/>
  <c r="A4534" i="1"/>
  <c r="R4533" i="1"/>
  <c r="J4533" i="1"/>
  <c r="I4533" i="1"/>
  <c r="G4533" i="1"/>
  <c r="F4533" i="1"/>
  <c r="E4533" i="1"/>
  <c r="D4533" i="1"/>
  <c r="C4533" i="1"/>
  <c r="B4533" i="1"/>
  <c r="A4533" i="1"/>
  <c r="S4532" i="1"/>
  <c r="O4532" i="1"/>
  <c r="K4532" i="1"/>
  <c r="J4532" i="1"/>
  <c r="I4532" i="1"/>
  <c r="H4532" i="1"/>
  <c r="G4532" i="1"/>
  <c r="F4532" i="1"/>
  <c r="E4532" i="1"/>
  <c r="D4532" i="1"/>
  <c r="C4532" i="1"/>
  <c r="B4532" i="1"/>
  <c r="A4532" i="1"/>
  <c r="R4531" i="1"/>
  <c r="J4531" i="1"/>
  <c r="I4531" i="1"/>
  <c r="G4531" i="1"/>
  <c r="F4531" i="1"/>
  <c r="E4531" i="1"/>
  <c r="D4531" i="1"/>
  <c r="C4531" i="1"/>
  <c r="B4531" i="1"/>
  <c r="A4531" i="1"/>
  <c r="S4530" i="1"/>
  <c r="O4530" i="1"/>
  <c r="K4530" i="1"/>
  <c r="J4530" i="1"/>
  <c r="I4530" i="1"/>
  <c r="H4530" i="1"/>
  <c r="G4530" i="1"/>
  <c r="F4530" i="1"/>
  <c r="E4530" i="1"/>
  <c r="D4530" i="1"/>
  <c r="C4530" i="1"/>
  <c r="B4530" i="1"/>
  <c r="A4530" i="1"/>
  <c r="R4529" i="1"/>
  <c r="J4529" i="1"/>
  <c r="I4529" i="1"/>
  <c r="G4529" i="1"/>
  <c r="F4529" i="1"/>
  <c r="E4529" i="1"/>
  <c r="D4529" i="1"/>
  <c r="C4529" i="1"/>
  <c r="B4529" i="1"/>
  <c r="A4529" i="1"/>
  <c r="S4528" i="1"/>
  <c r="O4528" i="1"/>
  <c r="K4528" i="1"/>
  <c r="J4528" i="1"/>
  <c r="I4528" i="1"/>
  <c r="H4528" i="1"/>
  <c r="G4528" i="1"/>
  <c r="F4528" i="1"/>
  <c r="E4528" i="1"/>
  <c r="D4528" i="1"/>
  <c r="C4528" i="1"/>
  <c r="B4528" i="1"/>
  <c r="A4528" i="1"/>
  <c r="S4527" i="1"/>
  <c r="O4527" i="1"/>
  <c r="K4527" i="1"/>
  <c r="J4527" i="1"/>
  <c r="I4527" i="1"/>
  <c r="H4527" i="1"/>
  <c r="G4527" i="1"/>
  <c r="F4527" i="1"/>
  <c r="D4527" i="1"/>
  <c r="C4527" i="1"/>
  <c r="B4527" i="1"/>
  <c r="A4527" i="1"/>
  <c r="R4526" i="1"/>
  <c r="J4526" i="1"/>
  <c r="I4526" i="1"/>
  <c r="G4526" i="1"/>
  <c r="F4526" i="1"/>
  <c r="E4526" i="1"/>
  <c r="D4526" i="1"/>
  <c r="C4526" i="1"/>
  <c r="B4526" i="1"/>
  <c r="A4526" i="1"/>
  <c r="S4525" i="1"/>
  <c r="O4525" i="1"/>
  <c r="K4525" i="1"/>
  <c r="J4525" i="1"/>
  <c r="I4525" i="1"/>
  <c r="H4525" i="1"/>
  <c r="G4525" i="1"/>
  <c r="F4525" i="1"/>
  <c r="E4525" i="1"/>
  <c r="D4525" i="1"/>
  <c r="C4525" i="1"/>
  <c r="B4525" i="1"/>
  <c r="A4525" i="1"/>
  <c r="S4524" i="1"/>
  <c r="O4524" i="1"/>
  <c r="K4524" i="1"/>
  <c r="J4524" i="1"/>
  <c r="I4524" i="1"/>
  <c r="H4524" i="1"/>
  <c r="G4524" i="1"/>
  <c r="F4524" i="1"/>
  <c r="E4524" i="1"/>
  <c r="D4524" i="1"/>
  <c r="C4524" i="1"/>
  <c r="B4524" i="1"/>
  <c r="A4524" i="1"/>
  <c r="R4523" i="1"/>
  <c r="J4523" i="1"/>
  <c r="I4523" i="1"/>
  <c r="G4523" i="1"/>
  <c r="F4523" i="1"/>
  <c r="E4523" i="1"/>
  <c r="D4523" i="1"/>
  <c r="C4523" i="1"/>
  <c r="B4523" i="1"/>
  <c r="A4523" i="1"/>
  <c r="S4522" i="1"/>
  <c r="O4522" i="1"/>
  <c r="K4522" i="1"/>
  <c r="J4522" i="1"/>
  <c r="I4522" i="1"/>
  <c r="H4522" i="1"/>
  <c r="G4522" i="1"/>
  <c r="F4522" i="1"/>
  <c r="E4522" i="1"/>
  <c r="D4522" i="1"/>
  <c r="C4522" i="1"/>
  <c r="B4522" i="1"/>
  <c r="A4522" i="1"/>
  <c r="R4521" i="1"/>
  <c r="J4521" i="1"/>
  <c r="I4521" i="1"/>
  <c r="G4521" i="1"/>
  <c r="F4521" i="1"/>
  <c r="E4521" i="1"/>
  <c r="D4521" i="1"/>
  <c r="C4521" i="1"/>
  <c r="B4521" i="1"/>
  <c r="A4521" i="1"/>
  <c r="S4520" i="1"/>
  <c r="O4520" i="1"/>
  <c r="K4520" i="1"/>
  <c r="J4520" i="1"/>
  <c r="I4520" i="1"/>
  <c r="H4520" i="1"/>
  <c r="G4520" i="1"/>
  <c r="F4520" i="1"/>
  <c r="E4520" i="1"/>
  <c r="D4520" i="1"/>
  <c r="C4520" i="1"/>
  <c r="B4520" i="1"/>
  <c r="A4520" i="1"/>
  <c r="R4519" i="1"/>
  <c r="J4519" i="1"/>
  <c r="I4519" i="1"/>
  <c r="G4519" i="1"/>
  <c r="F4519" i="1"/>
  <c r="E4519" i="1"/>
  <c r="D4519" i="1"/>
  <c r="C4519" i="1"/>
  <c r="B4519" i="1"/>
  <c r="A4519" i="1"/>
  <c r="S4518" i="1"/>
  <c r="O4518" i="1"/>
  <c r="K4518" i="1"/>
  <c r="J4518" i="1"/>
  <c r="I4518" i="1"/>
  <c r="H4518" i="1"/>
  <c r="G4518" i="1"/>
  <c r="F4518" i="1"/>
  <c r="E4518" i="1"/>
  <c r="D4518" i="1"/>
  <c r="C4518" i="1"/>
  <c r="B4518" i="1"/>
  <c r="A4518" i="1"/>
  <c r="R4517" i="1"/>
  <c r="J4517" i="1"/>
  <c r="I4517" i="1"/>
  <c r="G4517" i="1"/>
  <c r="F4517" i="1"/>
  <c r="E4517" i="1"/>
  <c r="D4517" i="1"/>
  <c r="C4517" i="1"/>
  <c r="B4517" i="1"/>
  <c r="A4517" i="1"/>
  <c r="S4516" i="1"/>
  <c r="O4516" i="1"/>
  <c r="K4516" i="1"/>
  <c r="J4516" i="1"/>
  <c r="I4516" i="1"/>
  <c r="H4516" i="1"/>
  <c r="G4516" i="1"/>
  <c r="F4516" i="1"/>
  <c r="E4516" i="1"/>
  <c r="D4516" i="1"/>
  <c r="C4516" i="1"/>
  <c r="B4516" i="1"/>
  <c r="A4516" i="1"/>
  <c r="R4515" i="1"/>
  <c r="J4515" i="1"/>
  <c r="I4515" i="1"/>
  <c r="G4515" i="1"/>
  <c r="F4515" i="1"/>
  <c r="E4515" i="1"/>
  <c r="D4515" i="1"/>
  <c r="C4515" i="1"/>
  <c r="B4515" i="1"/>
  <c r="A4515" i="1"/>
  <c r="S4514" i="1"/>
  <c r="O4514" i="1"/>
  <c r="K4514" i="1"/>
  <c r="J4514" i="1"/>
  <c r="I4514" i="1"/>
  <c r="H4514" i="1"/>
  <c r="G4514" i="1"/>
  <c r="F4514" i="1"/>
  <c r="E4514" i="1"/>
  <c r="D4514" i="1"/>
  <c r="C4514" i="1"/>
  <c r="B4514" i="1"/>
  <c r="A4514" i="1"/>
  <c r="R4513" i="1"/>
  <c r="J4513" i="1"/>
  <c r="I4513" i="1"/>
  <c r="G4513" i="1"/>
  <c r="F4513" i="1"/>
  <c r="E4513" i="1"/>
  <c r="D4513" i="1"/>
  <c r="C4513" i="1"/>
  <c r="B4513" i="1"/>
  <c r="A4513" i="1"/>
  <c r="S4512" i="1"/>
  <c r="O4512" i="1"/>
  <c r="K4512" i="1"/>
  <c r="J4512" i="1"/>
  <c r="I4512" i="1"/>
  <c r="H4512" i="1"/>
  <c r="G4512" i="1"/>
  <c r="F4512" i="1"/>
  <c r="E4512" i="1"/>
  <c r="D4512" i="1"/>
  <c r="C4512" i="1"/>
  <c r="B4512" i="1"/>
  <c r="A4512" i="1"/>
  <c r="R4511" i="1"/>
  <c r="J4511" i="1"/>
  <c r="I4511" i="1"/>
  <c r="G4511" i="1"/>
  <c r="F4511" i="1"/>
  <c r="E4511" i="1"/>
  <c r="D4511" i="1"/>
  <c r="C4511" i="1"/>
  <c r="B4511" i="1"/>
  <c r="A4511" i="1"/>
  <c r="S4510" i="1"/>
  <c r="O4510" i="1"/>
  <c r="K4510" i="1"/>
  <c r="J4510" i="1"/>
  <c r="I4510" i="1"/>
  <c r="H4510" i="1"/>
  <c r="G4510" i="1"/>
  <c r="F4510" i="1"/>
  <c r="E4510" i="1"/>
  <c r="D4510" i="1"/>
  <c r="C4510" i="1"/>
  <c r="B4510" i="1"/>
  <c r="A4510" i="1"/>
  <c r="R4509" i="1"/>
  <c r="J4509" i="1"/>
  <c r="I4509" i="1"/>
  <c r="G4509" i="1"/>
  <c r="F4509" i="1"/>
  <c r="E4509" i="1"/>
  <c r="D4509" i="1"/>
  <c r="C4509" i="1"/>
  <c r="B4509" i="1"/>
  <c r="A4509" i="1"/>
  <c r="S4508" i="1"/>
  <c r="O4508" i="1"/>
  <c r="K4508" i="1"/>
  <c r="J4508" i="1"/>
  <c r="I4508" i="1"/>
  <c r="H4508" i="1"/>
  <c r="G4508" i="1"/>
  <c r="F4508" i="1"/>
  <c r="E4508" i="1"/>
  <c r="D4508" i="1"/>
  <c r="C4508" i="1"/>
  <c r="B4508" i="1"/>
  <c r="A4508" i="1"/>
  <c r="R4507" i="1"/>
  <c r="J4507" i="1"/>
  <c r="I4507" i="1"/>
  <c r="G4507" i="1"/>
  <c r="F4507" i="1"/>
  <c r="E4507" i="1"/>
  <c r="D4507" i="1"/>
  <c r="C4507" i="1"/>
  <c r="B4507" i="1"/>
  <c r="A4507" i="1"/>
  <c r="S4506" i="1"/>
  <c r="O4506" i="1"/>
  <c r="K4506" i="1"/>
  <c r="J4506" i="1"/>
  <c r="I4506" i="1"/>
  <c r="H4506" i="1"/>
  <c r="G4506" i="1"/>
  <c r="F4506" i="1"/>
  <c r="E4506" i="1"/>
  <c r="D4506" i="1"/>
  <c r="C4506" i="1"/>
  <c r="B4506" i="1"/>
  <c r="A4506" i="1"/>
  <c r="R4505" i="1"/>
  <c r="J4505" i="1"/>
  <c r="I4505" i="1"/>
  <c r="G4505" i="1"/>
  <c r="F4505" i="1"/>
  <c r="E4505" i="1"/>
  <c r="D4505" i="1"/>
  <c r="C4505" i="1"/>
  <c r="B4505" i="1"/>
  <c r="A4505" i="1"/>
  <c r="S4504" i="1"/>
  <c r="O4504" i="1"/>
  <c r="K4504" i="1"/>
  <c r="J4504" i="1"/>
  <c r="I4504" i="1"/>
  <c r="H4504" i="1"/>
  <c r="G4504" i="1"/>
  <c r="F4504" i="1"/>
  <c r="E4504" i="1"/>
  <c r="D4504" i="1"/>
  <c r="C4504" i="1"/>
  <c r="B4504" i="1"/>
  <c r="A4504" i="1"/>
  <c r="R4503" i="1"/>
  <c r="J4503" i="1"/>
  <c r="I4503" i="1"/>
  <c r="G4503" i="1"/>
  <c r="F4503" i="1"/>
  <c r="E4503" i="1"/>
  <c r="D4503" i="1"/>
  <c r="C4503" i="1"/>
  <c r="B4503" i="1"/>
  <c r="A4503" i="1"/>
  <c r="S4502" i="1"/>
  <c r="O4502" i="1"/>
  <c r="K4502" i="1"/>
  <c r="J4502" i="1"/>
  <c r="I4502" i="1"/>
  <c r="H4502" i="1"/>
  <c r="G4502" i="1"/>
  <c r="F4502" i="1"/>
  <c r="E4502" i="1"/>
  <c r="D4502" i="1"/>
  <c r="C4502" i="1"/>
  <c r="B4502" i="1"/>
  <c r="A4502" i="1"/>
  <c r="R4501" i="1"/>
  <c r="J4501" i="1"/>
  <c r="I4501" i="1"/>
  <c r="G4501" i="1"/>
  <c r="F4501" i="1"/>
  <c r="E4501" i="1"/>
  <c r="D4501" i="1"/>
  <c r="C4501" i="1"/>
  <c r="B4501" i="1"/>
  <c r="A4501" i="1"/>
  <c r="S4500" i="1"/>
  <c r="O4500" i="1"/>
  <c r="K4500" i="1"/>
  <c r="J4500" i="1"/>
  <c r="I4500" i="1"/>
  <c r="H4500" i="1"/>
  <c r="G4500" i="1"/>
  <c r="F4500" i="1"/>
  <c r="E4500" i="1"/>
  <c r="D4500" i="1"/>
  <c r="C4500" i="1"/>
  <c r="B4500" i="1"/>
  <c r="A4500" i="1"/>
  <c r="R4499" i="1"/>
  <c r="J4499" i="1"/>
  <c r="I4499" i="1"/>
  <c r="G4499" i="1"/>
  <c r="F4499" i="1"/>
  <c r="E4499" i="1"/>
  <c r="D4499" i="1"/>
  <c r="C4499" i="1"/>
  <c r="B4499" i="1"/>
  <c r="A4499" i="1"/>
  <c r="S4498" i="1"/>
  <c r="O4498" i="1"/>
  <c r="K4498" i="1"/>
  <c r="J4498" i="1"/>
  <c r="I4498" i="1"/>
  <c r="H4498" i="1"/>
  <c r="G4498" i="1"/>
  <c r="F4498" i="1"/>
  <c r="E4498" i="1"/>
  <c r="D4498" i="1"/>
  <c r="C4498" i="1"/>
  <c r="B4498" i="1"/>
  <c r="A4498" i="1"/>
  <c r="R4497" i="1"/>
  <c r="J4497" i="1"/>
  <c r="I4497" i="1"/>
  <c r="G4497" i="1"/>
  <c r="F4497" i="1"/>
  <c r="E4497" i="1"/>
  <c r="D4497" i="1"/>
  <c r="C4497" i="1"/>
  <c r="B4497" i="1"/>
  <c r="A4497" i="1"/>
  <c r="S4496" i="1"/>
  <c r="O4496" i="1"/>
  <c r="K4496" i="1"/>
  <c r="J4496" i="1"/>
  <c r="I4496" i="1"/>
  <c r="H4496" i="1"/>
  <c r="G4496" i="1"/>
  <c r="F4496" i="1"/>
  <c r="E4496" i="1"/>
  <c r="D4496" i="1"/>
  <c r="C4496" i="1"/>
  <c r="B4496" i="1"/>
  <c r="A4496" i="1"/>
  <c r="R4495" i="1"/>
  <c r="J4495" i="1"/>
  <c r="I4495" i="1"/>
  <c r="G4495" i="1"/>
  <c r="F4495" i="1"/>
  <c r="E4495" i="1"/>
  <c r="D4495" i="1"/>
  <c r="C4495" i="1"/>
  <c r="B4495" i="1"/>
  <c r="A4495" i="1"/>
  <c r="S4494" i="1"/>
  <c r="O4494" i="1"/>
  <c r="K4494" i="1"/>
  <c r="J4494" i="1"/>
  <c r="I4494" i="1"/>
  <c r="H4494" i="1"/>
  <c r="G4494" i="1"/>
  <c r="F4494" i="1"/>
  <c r="E4494" i="1"/>
  <c r="D4494" i="1"/>
  <c r="C4494" i="1"/>
  <c r="B4494" i="1"/>
  <c r="A4494" i="1"/>
  <c r="R4493" i="1"/>
  <c r="J4493" i="1"/>
  <c r="I4493" i="1"/>
  <c r="G4493" i="1"/>
  <c r="F4493" i="1"/>
  <c r="E4493" i="1"/>
  <c r="D4493" i="1"/>
  <c r="C4493" i="1"/>
  <c r="B4493" i="1"/>
  <c r="A4493" i="1"/>
  <c r="S4492" i="1"/>
  <c r="O4492" i="1"/>
  <c r="K4492" i="1"/>
  <c r="J4492" i="1"/>
  <c r="I4492" i="1"/>
  <c r="H4492" i="1"/>
  <c r="G4492" i="1"/>
  <c r="F4492" i="1"/>
  <c r="E4492" i="1"/>
  <c r="D4492" i="1"/>
  <c r="C4492" i="1"/>
  <c r="B4492" i="1"/>
  <c r="A4492" i="1"/>
  <c r="R4491" i="1"/>
  <c r="J4491" i="1"/>
  <c r="I4491" i="1"/>
  <c r="G4491" i="1"/>
  <c r="F4491" i="1"/>
  <c r="E4491" i="1"/>
  <c r="D4491" i="1"/>
  <c r="C4491" i="1"/>
  <c r="B4491" i="1"/>
  <c r="A4491" i="1"/>
  <c r="S4490" i="1"/>
  <c r="O4490" i="1"/>
  <c r="K4490" i="1"/>
  <c r="J4490" i="1"/>
  <c r="I4490" i="1"/>
  <c r="H4490" i="1"/>
  <c r="G4490" i="1"/>
  <c r="F4490" i="1"/>
  <c r="E4490" i="1"/>
  <c r="D4490" i="1"/>
  <c r="C4490" i="1"/>
  <c r="B4490" i="1"/>
  <c r="A4490" i="1"/>
  <c r="R4489" i="1"/>
  <c r="J4489" i="1"/>
  <c r="I4489" i="1"/>
  <c r="G4489" i="1"/>
  <c r="F4489" i="1"/>
  <c r="E4489" i="1"/>
  <c r="D4489" i="1"/>
  <c r="C4489" i="1"/>
  <c r="B4489" i="1"/>
  <c r="A4489" i="1"/>
  <c r="S4488" i="1"/>
  <c r="O4488" i="1"/>
  <c r="K4488" i="1"/>
  <c r="J4488" i="1"/>
  <c r="I4488" i="1"/>
  <c r="H4488" i="1"/>
  <c r="G4488" i="1"/>
  <c r="F4488" i="1"/>
  <c r="E4488" i="1"/>
  <c r="D4488" i="1"/>
  <c r="C4488" i="1"/>
  <c r="B4488" i="1"/>
  <c r="A4488" i="1"/>
  <c r="R4487" i="1"/>
  <c r="J4487" i="1"/>
  <c r="I4487" i="1"/>
  <c r="G4487" i="1"/>
  <c r="F4487" i="1"/>
  <c r="E4487" i="1"/>
  <c r="D4487" i="1"/>
  <c r="C4487" i="1"/>
  <c r="B4487" i="1"/>
  <c r="A4487" i="1"/>
  <c r="S4486" i="1"/>
  <c r="O4486" i="1"/>
  <c r="K4486" i="1"/>
  <c r="J4486" i="1"/>
  <c r="I4486" i="1"/>
  <c r="H4486" i="1"/>
  <c r="G4486" i="1"/>
  <c r="F4486" i="1"/>
  <c r="E4486" i="1"/>
  <c r="D4486" i="1"/>
  <c r="C4486" i="1"/>
  <c r="B4486" i="1"/>
  <c r="A4486" i="1"/>
  <c r="R4485" i="1"/>
  <c r="J4485" i="1"/>
  <c r="I4485" i="1"/>
  <c r="G4485" i="1"/>
  <c r="F4485" i="1"/>
  <c r="E4485" i="1"/>
  <c r="D4485" i="1"/>
  <c r="C4485" i="1"/>
  <c r="B4485" i="1"/>
  <c r="A4485" i="1"/>
  <c r="S4484" i="1"/>
  <c r="O4484" i="1"/>
  <c r="K4484" i="1"/>
  <c r="J4484" i="1"/>
  <c r="I4484" i="1"/>
  <c r="H4484" i="1"/>
  <c r="G4484" i="1"/>
  <c r="F4484" i="1"/>
  <c r="E4484" i="1"/>
  <c r="D4484" i="1"/>
  <c r="C4484" i="1"/>
  <c r="B4484" i="1"/>
  <c r="A4484" i="1"/>
  <c r="R4483" i="1"/>
  <c r="J4483" i="1"/>
  <c r="I4483" i="1"/>
  <c r="G4483" i="1"/>
  <c r="F4483" i="1"/>
  <c r="E4483" i="1"/>
  <c r="D4483" i="1"/>
  <c r="C4483" i="1"/>
  <c r="B4483" i="1"/>
  <c r="A4483" i="1"/>
  <c r="S4482" i="1"/>
  <c r="O4482" i="1"/>
  <c r="K4482" i="1"/>
  <c r="J4482" i="1"/>
  <c r="I4482" i="1"/>
  <c r="H4482" i="1"/>
  <c r="G4482" i="1"/>
  <c r="F4482" i="1"/>
  <c r="E4482" i="1"/>
  <c r="D4482" i="1"/>
  <c r="C4482" i="1"/>
  <c r="B4482" i="1"/>
  <c r="A4482" i="1"/>
  <c r="R4481" i="1"/>
  <c r="J4481" i="1"/>
  <c r="I4481" i="1"/>
  <c r="G4481" i="1"/>
  <c r="F4481" i="1"/>
  <c r="E4481" i="1"/>
  <c r="D4481" i="1"/>
  <c r="C4481" i="1"/>
  <c r="B4481" i="1"/>
  <c r="A4481" i="1"/>
  <c r="S4480" i="1"/>
  <c r="O4480" i="1"/>
  <c r="K4480" i="1"/>
  <c r="J4480" i="1"/>
  <c r="I4480" i="1"/>
  <c r="H4480" i="1"/>
  <c r="G4480" i="1"/>
  <c r="F4480" i="1"/>
  <c r="E4480" i="1"/>
  <c r="D4480" i="1"/>
  <c r="C4480" i="1"/>
  <c r="B4480" i="1"/>
  <c r="A4480" i="1"/>
  <c r="R4479" i="1"/>
  <c r="J4479" i="1"/>
  <c r="I4479" i="1"/>
  <c r="G4479" i="1"/>
  <c r="F4479" i="1"/>
  <c r="E4479" i="1"/>
  <c r="D4479" i="1"/>
  <c r="C4479" i="1"/>
  <c r="B4479" i="1"/>
  <c r="A4479" i="1"/>
  <c r="S4478" i="1"/>
  <c r="O4478" i="1"/>
  <c r="K4478" i="1"/>
  <c r="J4478" i="1"/>
  <c r="I4478" i="1"/>
  <c r="H4478" i="1"/>
  <c r="G4478" i="1"/>
  <c r="F4478" i="1"/>
  <c r="E4478" i="1"/>
  <c r="D4478" i="1"/>
  <c r="C4478" i="1"/>
  <c r="B4478" i="1"/>
  <c r="A4478" i="1"/>
  <c r="R4477" i="1"/>
  <c r="J4477" i="1"/>
  <c r="I4477" i="1"/>
  <c r="G4477" i="1"/>
  <c r="F4477" i="1"/>
  <c r="E4477" i="1"/>
  <c r="D4477" i="1"/>
  <c r="C4477" i="1"/>
  <c r="B4477" i="1"/>
  <c r="A4477" i="1"/>
  <c r="R4476" i="1"/>
  <c r="J4476" i="1"/>
  <c r="I4476" i="1"/>
  <c r="G4476" i="1"/>
  <c r="F4476" i="1"/>
  <c r="E4476" i="1"/>
  <c r="D4476" i="1"/>
  <c r="C4476" i="1"/>
  <c r="B4476" i="1"/>
  <c r="A4476" i="1"/>
  <c r="S4475" i="1"/>
  <c r="O4475" i="1"/>
  <c r="K4475" i="1"/>
  <c r="J4475" i="1"/>
  <c r="I4475" i="1"/>
  <c r="H4475" i="1"/>
  <c r="G4475" i="1"/>
  <c r="F4475" i="1"/>
  <c r="E4475" i="1"/>
  <c r="D4475" i="1"/>
  <c r="C4475" i="1"/>
  <c r="B4475" i="1"/>
  <c r="A4475" i="1"/>
  <c r="S4474" i="1"/>
  <c r="O4474" i="1"/>
  <c r="K4474" i="1"/>
  <c r="J4474" i="1"/>
  <c r="I4474" i="1"/>
  <c r="H4474" i="1"/>
  <c r="G4474" i="1"/>
  <c r="F4474" i="1"/>
  <c r="D4474" i="1"/>
  <c r="C4474" i="1"/>
  <c r="B4474" i="1"/>
  <c r="A4474" i="1"/>
  <c r="R4473" i="1"/>
  <c r="J4473" i="1"/>
  <c r="I4473" i="1"/>
  <c r="G4473" i="1"/>
  <c r="F4473" i="1"/>
  <c r="E4473" i="1"/>
  <c r="D4473" i="1"/>
  <c r="C4473" i="1"/>
  <c r="B4473" i="1"/>
  <c r="A4473" i="1"/>
  <c r="S4472" i="1"/>
  <c r="O4472" i="1"/>
  <c r="K4472" i="1"/>
  <c r="J4472" i="1"/>
  <c r="I4472" i="1"/>
  <c r="H4472" i="1"/>
  <c r="G4472" i="1"/>
  <c r="F4472" i="1"/>
  <c r="E4472" i="1"/>
  <c r="D4472" i="1"/>
  <c r="C4472" i="1"/>
  <c r="B4472" i="1"/>
  <c r="A4472" i="1"/>
  <c r="R4471" i="1"/>
  <c r="J4471" i="1"/>
  <c r="I4471" i="1"/>
  <c r="G4471" i="1"/>
  <c r="F4471" i="1"/>
  <c r="E4471" i="1"/>
  <c r="D4471" i="1"/>
  <c r="C4471" i="1"/>
  <c r="B4471" i="1"/>
  <c r="A4471" i="1"/>
  <c r="R4470" i="1"/>
  <c r="J4470" i="1"/>
  <c r="I4470" i="1"/>
  <c r="G4470" i="1"/>
  <c r="F4470" i="1"/>
  <c r="E4470" i="1"/>
  <c r="D4470" i="1"/>
  <c r="C4470" i="1"/>
  <c r="B4470" i="1"/>
  <c r="A4470" i="1"/>
  <c r="R4469" i="1"/>
  <c r="J4469" i="1"/>
  <c r="I4469" i="1"/>
  <c r="G4469" i="1"/>
  <c r="F4469" i="1"/>
  <c r="E4469" i="1"/>
  <c r="D4469" i="1"/>
  <c r="C4469" i="1"/>
  <c r="B4469" i="1"/>
  <c r="A4469" i="1"/>
  <c r="S4468" i="1"/>
  <c r="O4468" i="1"/>
  <c r="K4468" i="1"/>
  <c r="J4468" i="1"/>
  <c r="I4468" i="1"/>
  <c r="H4468" i="1"/>
  <c r="G4468" i="1"/>
  <c r="F4468" i="1"/>
  <c r="E4468" i="1"/>
  <c r="D4468" i="1"/>
  <c r="C4468" i="1"/>
  <c r="B4468" i="1"/>
  <c r="A4468" i="1"/>
  <c r="R4467" i="1"/>
  <c r="J4467" i="1"/>
  <c r="I4467" i="1"/>
  <c r="G4467" i="1"/>
  <c r="F4467" i="1"/>
  <c r="E4467" i="1"/>
  <c r="D4467" i="1"/>
  <c r="C4467" i="1"/>
  <c r="B4467" i="1"/>
  <c r="A4467" i="1"/>
  <c r="S4466" i="1"/>
  <c r="O4466" i="1"/>
  <c r="K4466" i="1"/>
  <c r="J4466" i="1"/>
  <c r="I4466" i="1"/>
  <c r="H4466" i="1"/>
  <c r="G4466" i="1"/>
  <c r="F4466" i="1"/>
  <c r="E4466" i="1"/>
  <c r="D4466" i="1"/>
  <c r="C4466" i="1"/>
  <c r="B4466" i="1"/>
  <c r="A4466" i="1"/>
  <c r="R4465" i="1"/>
  <c r="J4465" i="1"/>
  <c r="I4465" i="1"/>
  <c r="G4465" i="1"/>
  <c r="F4465" i="1"/>
  <c r="E4465" i="1"/>
  <c r="D4465" i="1"/>
  <c r="C4465" i="1"/>
  <c r="B4465" i="1"/>
  <c r="A4465" i="1"/>
  <c r="S4464" i="1"/>
  <c r="O4464" i="1"/>
  <c r="K4464" i="1"/>
  <c r="J4464" i="1"/>
  <c r="I4464" i="1"/>
  <c r="H4464" i="1"/>
  <c r="G4464" i="1"/>
  <c r="F4464" i="1"/>
  <c r="E4464" i="1"/>
  <c r="D4464" i="1"/>
  <c r="C4464" i="1"/>
  <c r="B4464" i="1"/>
  <c r="A4464" i="1"/>
  <c r="R4463" i="1"/>
  <c r="J4463" i="1"/>
  <c r="I4463" i="1"/>
  <c r="G4463" i="1"/>
  <c r="F4463" i="1"/>
  <c r="E4463" i="1"/>
  <c r="D4463" i="1"/>
  <c r="C4463" i="1"/>
  <c r="B4463" i="1"/>
  <c r="A4463" i="1"/>
  <c r="S4462" i="1"/>
  <c r="O4462" i="1"/>
  <c r="K4462" i="1"/>
  <c r="J4462" i="1"/>
  <c r="I4462" i="1"/>
  <c r="H4462" i="1"/>
  <c r="G4462" i="1"/>
  <c r="F4462" i="1"/>
  <c r="E4462" i="1"/>
  <c r="D4462" i="1"/>
  <c r="C4462" i="1"/>
  <c r="B4462" i="1"/>
  <c r="A4462" i="1"/>
  <c r="R4461" i="1"/>
  <c r="J4461" i="1"/>
  <c r="I4461" i="1"/>
  <c r="G4461" i="1"/>
  <c r="F4461" i="1"/>
  <c r="E4461" i="1"/>
  <c r="D4461" i="1"/>
  <c r="C4461" i="1"/>
  <c r="B4461" i="1"/>
  <c r="A4461" i="1"/>
  <c r="S4460" i="1"/>
  <c r="O4460" i="1"/>
  <c r="K4460" i="1"/>
  <c r="J4460" i="1"/>
  <c r="I4460" i="1"/>
  <c r="H4460" i="1"/>
  <c r="G4460" i="1"/>
  <c r="F4460" i="1"/>
  <c r="E4460" i="1"/>
  <c r="D4460" i="1"/>
  <c r="C4460" i="1"/>
  <c r="B4460" i="1"/>
  <c r="A4460" i="1"/>
  <c r="R4459" i="1"/>
  <c r="J4459" i="1"/>
  <c r="I4459" i="1"/>
  <c r="G4459" i="1"/>
  <c r="F4459" i="1"/>
  <c r="E4459" i="1"/>
  <c r="D4459" i="1"/>
  <c r="C4459" i="1"/>
  <c r="B4459" i="1"/>
  <c r="A4459" i="1"/>
  <c r="S4458" i="1"/>
  <c r="O4458" i="1"/>
  <c r="K4458" i="1"/>
  <c r="J4458" i="1"/>
  <c r="I4458" i="1"/>
  <c r="H4458" i="1"/>
  <c r="G4458" i="1"/>
  <c r="F4458" i="1"/>
  <c r="E4458" i="1"/>
  <c r="D4458" i="1"/>
  <c r="C4458" i="1"/>
  <c r="B4458" i="1"/>
  <c r="A4458" i="1"/>
  <c r="R4457" i="1"/>
  <c r="J4457" i="1"/>
  <c r="I4457" i="1"/>
  <c r="G4457" i="1"/>
  <c r="F4457" i="1"/>
  <c r="E4457" i="1"/>
  <c r="D4457" i="1"/>
  <c r="C4457" i="1"/>
  <c r="B4457" i="1"/>
  <c r="A4457" i="1"/>
  <c r="S4456" i="1"/>
  <c r="O4456" i="1"/>
  <c r="K4456" i="1"/>
  <c r="J4456" i="1"/>
  <c r="I4456" i="1"/>
  <c r="H4456" i="1"/>
  <c r="G4456" i="1"/>
  <c r="F4456" i="1"/>
  <c r="E4456" i="1"/>
  <c r="D4456" i="1"/>
  <c r="C4456" i="1"/>
  <c r="B4456" i="1"/>
  <c r="A4456" i="1"/>
  <c r="R4455" i="1"/>
  <c r="J4455" i="1"/>
  <c r="I4455" i="1"/>
  <c r="G4455" i="1"/>
  <c r="F4455" i="1"/>
  <c r="E4455" i="1"/>
  <c r="D4455" i="1"/>
  <c r="C4455" i="1"/>
  <c r="B4455" i="1"/>
  <c r="A4455" i="1"/>
  <c r="S4454" i="1"/>
  <c r="O4454" i="1"/>
  <c r="K4454" i="1"/>
  <c r="J4454" i="1"/>
  <c r="I4454" i="1"/>
  <c r="H4454" i="1"/>
  <c r="G4454" i="1"/>
  <c r="F4454" i="1"/>
  <c r="E4454" i="1"/>
  <c r="D4454" i="1"/>
  <c r="C4454" i="1"/>
  <c r="B4454" i="1"/>
  <c r="A4454" i="1"/>
  <c r="R4453" i="1"/>
  <c r="J4453" i="1"/>
  <c r="I4453" i="1"/>
  <c r="G4453" i="1"/>
  <c r="F4453" i="1"/>
  <c r="E4453" i="1"/>
  <c r="D4453" i="1"/>
  <c r="C4453" i="1"/>
  <c r="B4453" i="1"/>
  <c r="A4453" i="1"/>
  <c r="S4452" i="1"/>
  <c r="O4452" i="1"/>
  <c r="K4452" i="1"/>
  <c r="J4452" i="1"/>
  <c r="I4452" i="1"/>
  <c r="H4452" i="1"/>
  <c r="G4452" i="1"/>
  <c r="F4452" i="1"/>
  <c r="E4452" i="1"/>
  <c r="D4452" i="1"/>
  <c r="C4452" i="1"/>
  <c r="B4452" i="1"/>
  <c r="A4452" i="1"/>
  <c r="R4451" i="1"/>
  <c r="J4451" i="1"/>
  <c r="I4451" i="1"/>
  <c r="G4451" i="1"/>
  <c r="F4451" i="1"/>
  <c r="E4451" i="1"/>
  <c r="D4451" i="1"/>
  <c r="C4451" i="1"/>
  <c r="B4451" i="1"/>
  <c r="A4451" i="1"/>
  <c r="S4450" i="1"/>
  <c r="O4450" i="1"/>
  <c r="K4450" i="1"/>
  <c r="J4450" i="1"/>
  <c r="I4450" i="1"/>
  <c r="H4450" i="1"/>
  <c r="G4450" i="1"/>
  <c r="F4450" i="1"/>
  <c r="E4450" i="1"/>
  <c r="D4450" i="1"/>
  <c r="C4450" i="1"/>
  <c r="B4450" i="1"/>
  <c r="A4450" i="1"/>
  <c r="R4449" i="1"/>
  <c r="J4449" i="1"/>
  <c r="I4449" i="1"/>
  <c r="G4449" i="1"/>
  <c r="F4449" i="1"/>
  <c r="E4449" i="1"/>
  <c r="D4449" i="1"/>
  <c r="C4449" i="1"/>
  <c r="B4449" i="1"/>
  <c r="A4449" i="1"/>
  <c r="S4448" i="1"/>
  <c r="O4448" i="1"/>
  <c r="K4448" i="1"/>
  <c r="J4448" i="1"/>
  <c r="I4448" i="1"/>
  <c r="H4448" i="1"/>
  <c r="G4448" i="1"/>
  <c r="F4448" i="1"/>
  <c r="E4448" i="1"/>
  <c r="D4448" i="1"/>
  <c r="C4448" i="1"/>
  <c r="B4448" i="1"/>
  <c r="A4448" i="1"/>
  <c r="R4447" i="1"/>
  <c r="J4447" i="1"/>
  <c r="I4447" i="1"/>
  <c r="G4447" i="1"/>
  <c r="F4447" i="1"/>
  <c r="E4447" i="1"/>
  <c r="D4447" i="1"/>
  <c r="C4447" i="1"/>
  <c r="B4447" i="1"/>
  <c r="A4447" i="1"/>
  <c r="S4446" i="1"/>
  <c r="O4446" i="1"/>
  <c r="K4446" i="1"/>
  <c r="J4446" i="1"/>
  <c r="I4446" i="1"/>
  <c r="H4446" i="1"/>
  <c r="G4446" i="1"/>
  <c r="F4446" i="1"/>
  <c r="E4446" i="1"/>
  <c r="D4446" i="1"/>
  <c r="C4446" i="1"/>
  <c r="B4446" i="1"/>
  <c r="A4446" i="1"/>
  <c r="R4445" i="1"/>
  <c r="J4445" i="1"/>
  <c r="I4445" i="1"/>
  <c r="G4445" i="1"/>
  <c r="F4445" i="1"/>
  <c r="E4445" i="1"/>
  <c r="D4445" i="1"/>
  <c r="C4445" i="1"/>
  <c r="B4445" i="1"/>
  <c r="A4445" i="1"/>
  <c r="S4444" i="1"/>
  <c r="O4444" i="1"/>
  <c r="K4444" i="1"/>
  <c r="J4444" i="1"/>
  <c r="I4444" i="1"/>
  <c r="H4444" i="1"/>
  <c r="G4444" i="1"/>
  <c r="F4444" i="1"/>
  <c r="E4444" i="1"/>
  <c r="D4444" i="1"/>
  <c r="C4444" i="1"/>
  <c r="B4444" i="1"/>
  <c r="A4444" i="1"/>
  <c r="R4443" i="1"/>
  <c r="J4443" i="1"/>
  <c r="I4443" i="1"/>
  <c r="G4443" i="1"/>
  <c r="F4443" i="1"/>
  <c r="E4443" i="1"/>
  <c r="D4443" i="1"/>
  <c r="C4443" i="1"/>
  <c r="B4443" i="1"/>
  <c r="A4443" i="1"/>
  <c r="S4442" i="1"/>
  <c r="O4442" i="1"/>
  <c r="K4442" i="1"/>
  <c r="J4442" i="1"/>
  <c r="I4442" i="1"/>
  <c r="H4442" i="1"/>
  <c r="G4442" i="1"/>
  <c r="F4442" i="1"/>
  <c r="E4442" i="1"/>
  <c r="D4442" i="1"/>
  <c r="C4442" i="1"/>
  <c r="B4442" i="1"/>
  <c r="A4442" i="1"/>
  <c r="R4441" i="1"/>
  <c r="J4441" i="1"/>
  <c r="I4441" i="1"/>
  <c r="G4441" i="1"/>
  <c r="F4441" i="1"/>
  <c r="E4441" i="1"/>
  <c r="D4441" i="1"/>
  <c r="C4441" i="1"/>
  <c r="B4441" i="1"/>
  <c r="A4441" i="1"/>
  <c r="R4440" i="1"/>
  <c r="J4440" i="1"/>
  <c r="I4440" i="1"/>
  <c r="G4440" i="1"/>
  <c r="F4440" i="1"/>
  <c r="E4440" i="1"/>
  <c r="D4440" i="1"/>
  <c r="C4440" i="1"/>
  <c r="B4440" i="1"/>
  <c r="A4440" i="1"/>
  <c r="S4439" i="1"/>
  <c r="O4439" i="1"/>
  <c r="K4439" i="1"/>
  <c r="J4439" i="1"/>
  <c r="I4439" i="1"/>
  <c r="H4439" i="1"/>
  <c r="G4439" i="1"/>
  <c r="F4439" i="1"/>
  <c r="E4439" i="1"/>
  <c r="D4439" i="1"/>
  <c r="C4439" i="1"/>
  <c r="B4439" i="1"/>
  <c r="A4439" i="1"/>
  <c r="R4438" i="1"/>
  <c r="J4438" i="1"/>
  <c r="I4438" i="1"/>
  <c r="G4438" i="1"/>
  <c r="F4438" i="1"/>
  <c r="E4438" i="1"/>
  <c r="D4438" i="1"/>
  <c r="C4438" i="1"/>
  <c r="B4438" i="1"/>
  <c r="A4438" i="1"/>
  <c r="R4437" i="1"/>
  <c r="J4437" i="1"/>
  <c r="I4437" i="1"/>
  <c r="G4437" i="1"/>
  <c r="F4437" i="1"/>
  <c r="E4437" i="1"/>
  <c r="D4437" i="1"/>
  <c r="C4437" i="1"/>
  <c r="B4437" i="1"/>
  <c r="A4437" i="1"/>
  <c r="S4436" i="1"/>
  <c r="O4436" i="1"/>
  <c r="K4436" i="1"/>
  <c r="J4436" i="1"/>
  <c r="I4436" i="1"/>
  <c r="H4436" i="1"/>
  <c r="G4436" i="1"/>
  <c r="F4436" i="1"/>
  <c r="E4436" i="1"/>
  <c r="D4436" i="1"/>
  <c r="C4436" i="1"/>
  <c r="B4436" i="1"/>
  <c r="A4436" i="1"/>
  <c r="S4435" i="1"/>
  <c r="O4435" i="1"/>
  <c r="K4435" i="1"/>
  <c r="J4435" i="1"/>
  <c r="I4435" i="1"/>
  <c r="H4435" i="1"/>
  <c r="G4435" i="1"/>
  <c r="F4435" i="1"/>
  <c r="D4435" i="1"/>
  <c r="C4435" i="1"/>
  <c r="B4435" i="1"/>
  <c r="A4435" i="1"/>
  <c r="S4434" i="1"/>
  <c r="O4434" i="1"/>
  <c r="K4434" i="1"/>
  <c r="J4434" i="1"/>
  <c r="I4434" i="1"/>
  <c r="H4434" i="1"/>
  <c r="G4434" i="1"/>
  <c r="F4434" i="1"/>
  <c r="D4434" i="1"/>
  <c r="C4434" i="1"/>
  <c r="B4434" i="1"/>
  <c r="A4434" i="1"/>
  <c r="S4433" i="1"/>
  <c r="O4433" i="1"/>
  <c r="K4433" i="1"/>
  <c r="J4433" i="1"/>
  <c r="I4433" i="1"/>
  <c r="H4433" i="1"/>
  <c r="G4433" i="1"/>
  <c r="F4433" i="1"/>
  <c r="D4433" i="1"/>
  <c r="C4433" i="1"/>
  <c r="B4433" i="1"/>
  <c r="A4433" i="1"/>
  <c r="S4432" i="1"/>
  <c r="O4432" i="1"/>
  <c r="K4432" i="1"/>
  <c r="J4432" i="1"/>
  <c r="I4432" i="1"/>
  <c r="H4432" i="1"/>
  <c r="G4432" i="1"/>
  <c r="F4432" i="1"/>
  <c r="D4432" i="1"/>
  <c r="C4432" i="1"/>
  <c r="B4432" i="1"/>
  <c r="A4432" i="1"/>
  <c r="R4431" i="1"/>
  <c r="J4431" i="1"/>
  <c r="I4431" i="1"/>
  <c r="G4431" i="1"/>
  <c r="F4431" i="1"/>
  <c r="E4431" i="1"/>
  <c r="D4431" i="1"/>
  <c r="C4431" i="1"/>
  <c r="B4431" i="1"/>
  <c r="A4431" i="1"/>
  <c r="S4430" i="1"/>
  <c r="O4430" i="1"/>
  <c r="K4430" i="1"/>
  <c r="J4430" i="1"/>
  <c r="I4430" i="1"/>
  <c r="H4430" i="1"/>
  <c r="G4430" i="1"/>
  <c r="F4430" i="1"/>
  <c r="E4430" i="1"/>
  <c r="D4430" i="1"/>
  <c r="C4430" i="1"/>
  <c r="B4430" i="1"/>
  <c r="A4430" i="1"/>
  <c r="R4429" i="1"/>
  <c r="J4429" i="1"/>
  <c r="I4429" i="1"/>
  <c r="G4429" i="1"/>
  <c r="F4429" i="1"/>
  <c r="E4429" i="1"/>
  <c r="D4429" i="1"/>
  <c r="C4429" i="1"/>
  <c r="B4429" i="1"/>
  <c r="A4429" i="1"/>
  <c r="S4428" i="1"/>
  <c r="O4428" i="1"/>
  <c r="K4428" i="1"/>
  <c r="J4428" i="1"/>
  <c r="I4428" i="1"/>
  <c r="H4428" i="1"/>
  <c r="G4428" i="1"/>
  <c r="F4428" i="1"/>
  <c r="E4428" i="1"/>
  <c r="D4428" i="1"/>
  <c r="C4428" i="1"/>
  <c r="B4428" i="1"/>
  <c r="A4428" i="1"/>
  <c r="R4427" i="1"/>
  <c r="J4427" i="1"/>
  <c r="I4427" i="1"/>
  <c r="G4427" i="1"/>
  <c r="F4427" i="1"/>
  <c r="E4427" i="1"/>
  <c r="D4427" i="1"/>
  <c r="C4427" i="1"/>
  <c r="B4427" i="1"/>
  <c r="A4427" i="1"/>
  <c r="S4426" i="1"/>
  <c r="O4426" i="1"/>
  <c r="K4426" i="1"/>
  <c r="J4426" i="1"/>
  <c r="I4426" i="1"/>
  <c r="H4426" i="1"/>
  <c r="G4426" i="1"/>
  <c r="F4426" i="1"/>
  <c r="E4426" i="1"/>
  <c r="D4426" i="1"/>
  <c r="C4426" i="1"/>
  <c r="B4426" i="1"/>
  <c r="A4426" i="1"/>
  <c r="R4425" i="1"/>
  <c r="J4425" i="1"/>
  <c r="I4425" i="1"/>
  <c r="G4425" i="1"/>
  <c r="F4425" i="1"/>
  <c r="E4425" i="1"/>
  <c r="D4425" i="1"/>
  <c r="C4425" i="1"/>
  <c r="B4425" i="1"/>
  <c r="A4425" i="1"/>
  <c r="S4424" i="1"/>
  <c r="O4424" i="1"/>
  <c r="K4424" i="1"/>
  <c r="J4424" i="1"/>
  <c r="I4424" i="1"/>
  <c r="H4424" i="1"/>
  <c r="G4424" i="1"/>
  <c r="F4424" i="1"/>
  <c r="E4424" i="1"/>
  <c r="D4424" i="1"/>
  <c r="C4424" i="1"/>
  <c r="B4424" i="1"/>
  <c r="A4424" i="1"/>
  <c r="R4423" i="1"/>
  <c r="J4423" i="1"/>
  <c r="I4423" i="1"/>
  <c r="G4423" i="1"/>
  <c r="F4423" i="1"/>
  <c r="E4423" i="1"/>
  <c r="D4423" i="1"/>
  <c r="C4423" i="1"/>
  <c r="B4423" i="1"/>
  <c r="A4423" i="1"/>
  <c r="S4422" i="1"/>
  <c r="O4422" i="1"/>
  <c r="K4422" i="1"/>
  <c r="J4422" i="1"/>
  <c r="I4422" i="1"/>
  <c r="H4422" i="1"/>
  <c r="G4422" i="1"/>
  <c r="F4422" i="1"/>
  <c r="E4422" i="1"/>
  <c r="D4422" i="1"/>
  <c r="C4422" i="1"/>
  <c r="B4422" i="1"/>
  <c r="A4422" i="1"/>
  <c r="R4421" i="1"/>
  <c r="J4421" i="1"/>
  <c r="I4421" i="1"/>
  <c r="G4421" i="1"/>
  <c r="F4421" i="1"/>
  <c r="E4421" i="1"/>
  <c r="D4421" i="1"/>
  <c r="C4421" i="1"/>
  <c r="B4421" i="1"/>
  <c r="A4421" i="1"/>
  <c r="S4420" i="1"/>
  <c r="O4420" i="1"/>
  <c r="K4420" i="1"/>
  <c r="J4420" i="1"/>
  <c r="I4420" i="1"/>
  <c r="H4420" i="1"/>
  <c r="G4420" i="1"/>
  <c r="F4420" i="1"/>
  <c r="E4420" i="1"/>
  <c r="D4420" i="1"/>
  <c r="C4420" i="1"/>
  <c r="B4420" i="1"/>
  <c r="A4420" i="1"/>
  <c r="R4419" i="1"/>
  <c r="J4419" i="1"/>
  <c r="I4419" i="1"/>
  <c r="G4419" i="1"/>
  <c r="F4419" i="1"/>
  <c r="E4419" i="1"/>
  <c r="D4419" i="1"/>
  <c r="C4419" i="1"/>
  <c r="B4419" i="1"/>
  <c r="A4419" i="1"/>
  <c r="S4418" i="1"/>
  <c r="O4418" i="1"/>
  <c r="K4418" i="1"/>
  <c r="J4418" i="1"/>
  <c r="I4418" i="1"/>
  <c r="H4418" i="1"/>
  <c r="G4418" i="1"/>
  <c r="F4418" i="1"/>
  <c r="E4418" i="1"/>
  <c r="D4418" i="1"/>
  <c r="C4418" i="1"/>
  <c r="B4418" i="1"/>
  <c r="A4418" i="1"/>
  <c r="R4417" i="1"/>
  <c r="J4417" i="1"/>
  <c r="I4417" i="1"/>
  <c r="G4417" i="1"/>
  <c r="F4417" i="1"/>
  <c r="E4417" i="1"/>
  <c r="D4417" i="1"/>
  <c r="C4417" i="1"/>
  <c r="B4417" i="1"/>
  <c r="A4417" i="1"/>
  <c r="S4416" i="1"/>
  <c r="O4416" i="1"/>
  <c r="K4416" i="1"/>
  <c r="J4416" i="1"/>
  <c r="I4416" i="1"/>
  <c r="H4416" i="1"/>
  <c r="G4416" i="1"/>
  <c r="F4416" i="1"/>
  <c r="E4416" i="1"/>
  <c r="D4416" i="1"/>
  <c r="C4416" i="1"/>
  <c r="B4416" i="1"/>
  <c r="A4416" i="1"/>
  <c r="R4415" i="1"/>
  <c r="J4415" i="1"/>
  <c r="I4415" i="1"/>
  <c r="G4415" i="1"/>
  <c r="F4415" i="1"/>
  <c r="E4415" i="1"/>
  <c r="D4415" i="1"/>
  <c r="C4415" i="1"/>
  <c r="B4415" i="1"/>
  <c r="A4415" i="1"/>
  <c r="S4414" i="1"/>
  <c r="O4414" i="1"/>
  <c r="K4414" i="1"/>
  <c r="J4414" i="1"/>
  <c r="I4414" i="1"/>
  <c r="H4414" i="1"/>
  <c r="G4414" i="1"/>
  <c r="F4414" i="1"/>
  <c r="E4414" i="1"/>
  <c r="D4414" i="1"/>
  <c r="C4414" i="1"/>
  <c r="B4414" i="1"/>
  <c r="A4414" i="1"/>
  <c r="R4413" i="1"/>
  <c r="J4413" i="1"/>
  <c r="I4413" i="1"/>
  <c r="G4413" i="1"/>
  <c r="F4413" i="1"/>
  <c r="E4413" i="1"/>
  <c r="D4413" i="1"/>
  <c r="C4413" i="1"/>
  <c r="B4413" i="1"/>
  <c r="A4413" i="1"/>
  <c r="R4412" i="1"/>
  <c r="J4412" i="1"/>
  <c r="I4412" i="1"/>
  <c r="G4412" i="1"/>
  <c r="F4412" i="1"/>
  <c r="E4412" i="1"/>
  <c r="D4412" i="1"/>
  <c r="C4412" i="1"/>
  <c r="B4412" i="1"/>
  <c r="A4412" i="1"/>
  <c r="R4411" i="1"/>
  <c r="J4411" i="1"/>
  <c r="I4411" i="1"/>
  <c r="G4411" i="1"/>
  <c r="F4411" i="1"/>
  <c r="E4411" i="1"/>
  <c r="D4411" i="1"/>
  <c r="C4411" i="1"/>
  <c r="B4411" i="1"/>
  <c r="A4411" i="1"/>
  <c r="S4410" i="1"/>
  <c r="O4410" i="1"/>
  <c r="K4410" i="1"/>
  <c r="J4410" i="1"/>
  <c r="I4410" i="1"/>
  <c r="H4410" i="1"/>
  <c r="G4410" i="1"/>
  <c r="F4410" i="1"/>
  <c r="E4410" i="1"/>
  <c r="D4410" i="1"/>
  <c r="C4410" i="1"/>
  <c r="B4410" i="1"/>
  <c r="A4410" i="1"/>
  <c r="R4409" i="1"/>
  <c r="J4409" i="1"/>
  <c r="I4409" i="1"/>
  <c r="G4409" i="1"/>
  <c r="F4409" i="1"/>
  <c r="E4409" i="1"/>
  <c r="D4409" i="1"/>
  <c r="C4409" i="1"/>
  <c r="B4409" i="1"/>
  <c r="A4409" i="1"/>
  <c r="R4408" i="1"/>
  <c r="J4408" i="1"/>
  <c r="I4408" i="1"/>
  <c r="G4408" i="1"/>
  <c r="F4408" i="1"/>
  <c r="E4408" i="1"/>
  <c r="D4408" i="1"/>
  <c r="C4408" i="1"/>
  <c r="B4408" i="1"/>
  <c r="A4408" i="1"/>
  <c r="R4407" i="1"/>
  <c r="J4407" i="1"/>
  <c r="I4407" i="1"/>
  <c r="G4407" i="1"/>
  <c r="F4407" i="1"/>
  <c r="E4407" i="1"/>
  <c r="D4407" i="1"/>
  <c r="C4407" i="1"/>
  <c r="B4407" i="1"/>
  <c r="A4407" i="1"/>
  <c r="S4406" i="1"/>
  <c r="O4406" i="1"/>
  <c r="K4406" i="1"/>
  <c r="J4406" i="1"/>
  <c r="I4406" i="1"/>
  <c r="H4406" i="1"/>
  <c r="G4406" i="1"/>
  <c r="F4406" i="1"/>
  <c r="E4406" i="1"/>
  <c r="D4406" i="1"/>
  <c r="C4406" i="1"/>
  <c r="B4406" i="1"/>
  <c r="A4406" i="1"/>
  <c r="R4405" i="1"/>
  <c r="J4405" i="1"/>
  <c r="I4405" i="1"/>
  <c r="G4405" i="1"/>
  <c r="F4405" i="1"/>
  <c r="E4405" i="1"/>
  <c r="D4405" i="1"/>
  <c r="C4405" i="1"/>
  <c r="B4405" i="1"/>
  <c r="A4405" i="1"/>
  <c r="S4404" i="1"/>
  <c r="O4404" i="1"/>
  <c r="K4404" i="1"/>
  <c r="J4404" i="1"/>
  <c r="I4404" i="1"/>
  <c r="H4404" i="1"/>
  <c r="G4404" i="1"/>
  <c r="F4404" i="1"/>
  <c r="E4404" i="1"/>
  <c r="D4404" i="1"/>
  <c r="C4404" i="1"/>
  <c r="B4404" i="1"/>
  <c r="A4404" i="1"/>
  <c r="R4403" i="1"/>
  <c r="J4403" i="1"/>
  <c r="I4403" i="1"/>
  <c r="G4403" i="1"/>
  <c r="F4403" i="1"/>
  <c r="E4403" i="1"/>
  <c r="D4403" i="1"/>
  <c r="C4403" i="1"/>
  <c r="B4403" i="1"/>
  <c r="A4403" i="1"/>
  <c r="S4402" i="1"/>
  <c r="O4402" i="1"/>
  <c r="K4402" i="1"/>
  <c r="J4402" i="1"/>
  <c r="I4402" i="1"/>
  <c r="H4402" i="1"/>
  <c r="G4402" i="1"/>
  <c r="F4402" i="1"/>
  <c r="E4402" i="1"/>
  <c r="D4402" i="1"/>
  <c r="C4402" i="1"/>
  <c r="B4402" i="1"/>
  <c r="A4402" i="1"/>
  <c r="R4401" i="1"/>
  <c r="J4401" i="1"/>
  <c r="I4401" i="1"/>
  <c r="G4401" i="1"/>
  <c r="F4401" i="1"/>
  <c r="E4401" i="1"/>
  <c r="D4401" i="1"/>
  <c r="C4401" i="1"/>
  <c r="B4401" i="1"/>
  <c r="A4401" i="1"/>
  <c r="S4400" i="1"/>
  <c r="O4400" i="1"/>
  <c r="K4400" i="1"/>
  <c r="J4400" i="1"/>
  <c r="I4400" i="1"/>
  <c r="H4400" i="1"/>
  <c r="G4400" i="1"/>
  <c r="F4400" i="1"/>
  <c r="E4400" i="1"/>
  <c r="D4400" i="1"/>
  <c r="C4400" i="1"/>
  <c r="B4400" i="1"/>
  <c r="A4400" i="1"/>
  <c r="R4399" i="1"/>
  <c r="J4399" i="1"/>
  <c r="I4399" i="1"/>
  <c r="G4399" i="1"/>
  <c r="F4399" i="1"/>
  <c r="E4399" i="1"/>
  <c r="D4399" i="1"/>
  <c r="C4399" i="1"/>
  <c r="B4399" i="1"/>
  <c r="A4399" i="1"/>
  <c r="S4398" i="1"/>
  <c r="O4398" i="1"/>
  <c r="K4398" i="1"/>
  <c r="J4398" i="1"/>
  <c r="I4398" i="1"/>
  <c r="H4398" i="1"/>
  <c r="G4398" i="1"/>
  <c r="F4398" i="1"/>
  <c r="E4398" i="1"/>
  <c r="D4398" i="1"/>
  <c r="C4398" i="1"/>
  <c r="B4398" i="1"/>
  <c r="A4398" i="1"/>
  <c r="R4397" i="1"/>
  <c r="J4397" i="1"/>
  <c r="I4397" i="1"/>
  <c r="G4397" i="1"/>
  <c r="F4397" i="1"/>
  <c r="E4397" i="1"/>
  <c r="D4397" i="1"/>
  <c r="C4397" i="1"/>
  <c r="B4397" i="1"/>
  <c r="A4397" i="1"/>
  <c r="S4396" i="1"/>
  <c r="O4396" i="1"/>
  <c r="K4396" i="1"/>
  <c r="J4396" i="1"/>
  <c r="I4396" i="1"/>
  <c r="H4396" i="1"/>
  <c r="G4396" i="1"/>
  <c r="F4396" i="1"/>
  <c r="E4396" i="1"/>
  <c r="D4396" i="1"/>
  <c r="C4396" i="1"/>
  <c r="B4396" i="1"/>
  <c r="A4396" i="1"/>
  <c r="R4395" i="1"/>
  <c r="J4395" i="1"/>
  <c r="I4395" i="1"/>
  <c r="G4395" i="1"/>
  <c r="F4395" i="1"/>
  <c r="E4395" i="1"/>
  <c r="D4395" i="1"/>
  <c r="C4395" i="1"/>
  <c r="B4395" i="1"/>
  <c r="A4395" i="1"/>
  <c r="S4394" i="1"/>
  <c r="O4394" i="1"/>
  <c r="K4394" i="1"/>
  <c r="J4394" i="1"/>
  <c r="I4394" i="1"/>
  <c r="H4394" i="1"/>
  <c r="G4394" i="1"/>
  <c r="F4394" i="1"/>
  <c r="E4394" i="1"/>
  <c r="D4394" i="1"/>
  <c r="C4394" i="1"/>
  <c r="B4394" i="1"/>
  <c r="A4394" i="1"/>
  <c r="R4393" i="1"/>
  <c r="J4393" i="1"/>
  <c r="I4393" i="1"/>
  <c r="G4393" i="1"/>
  <c r="F4393" i="1"/>
  <c r="E4393" i="1"/>
  <c r="D4393" i="1"/>
  <c r="C4393" i="1"/>
  <c r="B4393" i="1"/>
  <c r="A4393" i="1"/>
  <c r="S4392" i="1"/>
  <c r="O4392" i="1"/>
  <c r="K4392" i="1"/>
  <c r="J4392" i="1"/>
  <c r="I4392" i="1"/>
  <c r="H4392" i="1"/>
  <c r="G4392" i="1"/>
  <c r="F4392" i="1"/>
  <c r="E4392" i="1"/>
  <c r="D4392" i="1"/>
  <c r="C4392" i="1"/>
  <c r="B4392" i="1"/>
  <c r="A4392" i="1"/>
  <c r="R4391" i="1"/>
  <c r="J4391" i="1"/>
  <c r="I4391" i="1"/>
  <c r="G4391" i="1"/>
  <c r="F4391" i="1"/>
  <c r="E4391" i="1"/>
  <c r="D4391" i="1"/>
  <c r="C4391" i="1"/>
  <c r="B4391" i="1"/>
  <c r="A4391" i="1"/>
  <c r="S4390" i="1"/>
  <c r="O4390" i="1"/>
  <c r="K4390" i="1"/>
  <c r="J4390" i="1"/>
  <c r="I4390" i="1"/>
  <c r="H4390" i="1"/>
  <c r="G4390" i="1"/>
  <c r="F4390" i="1"/>
  <c r="E4390" i="1"/>
  <c r="D4390" i="1"/>
  <c r="C4390" i="1"/>
  <c r="B4390" i="1"/>
  <c r="A4390" i="1"/>
  <c r="R4389" i="1"/>
  <c r="J4389" i="1"/>
  <c r="I4389" i="1"/>
  <c r="G4389" i="1"/>
  <c r="F4389" i="1"/>
  <c r="E4389" i="1"/>
  <c r="D4389" i="1"/>
  <c r="C4389" i="1"/>
  <c r="B4389" i="1"/>
  <c r="A4389" i="1"/>
  <c r="S4388" i="1"/>
  <c r="O4388" i="1"/>
  <c r="K4388" i="1"/>
  <c r="J4388" i="1"/>
  <c r="I4388" i="1"/>
  <c r="H4388" i="1"/>
  <c r="G4388" i="1"/>
  <c r="F4388" i="1"/>
  <c r="E4388" i="1"/>
  <c r="D4388" i="1"/>
  <c r="C4388" i="1"/>
  <c r="B4388" i="1"/>
  <c r="A4388" i="1"/>
  <c r="R4387" i="1"/>
  <c r="J4387" i="1"/>
  <c r="I4387" i="1"/>
  <c r="G4387" i="1"/>
  <c r="F4387" i="1"/>
  <c r="E4387" i="1"/>
  <c r="D4387" i="1"/>
  <c r="C4387" i="1"/>
  <c r="B4387" i="1"/>
  <c r="A4387" i="1"/>
  <c r="S4386" i="1"/>
  <c r="O4386" i="1"/>
  <c r="K4386" i="1"/>
  <c r="J4386" i="1"/>
  <c r="I4386" i="1"/>
  <c r="H4386" i="1"/>
  <c r="G4386" i="1"/>
  <c r="F4386" i="1"/>
  <c r="E4386" i="1"/>
  <c r="D4386" i="1"/>
  <c r="C4386" i="1"/>
  <c r="B4386" i="1"/>
  <c r="A4386" i="1"/>
  <c r="R4385" i="1"/>
  <c r="J4385" i="1"/>
  <c r="I4385" i="1"/>
  <c r="G4385" i="1"/>
  <c r="F4385" i="1"/>
  <c r="E4385" i="1"/>
  <c r="D4385" i="1"/>
  <c r="C4385" i="1"/>
  <c r="B4385" i="1"/>
  <c r="A4385" i="1"/>
  <c r="S4384" i="1"/>
  <c r="O4384" i="1"/>
  <c r="K4384" i="1"/>
  <c r="J4384" i="1"/>
  <c r="I4384" i="1"/>
  <c r="H4384" i="1"/>
  <c r="G4384" i="1"/>
  <c r="F4384" i="1"/>
  <c r="E4384" i="1"/>
  <c r="D4384" i="1"/>
  <c r="C4384" i="1"/>
  <c r="B4384" i="1"/>
  <c r="A4384" i="1"/>
  <c r="R4383" i="1"/>
  <c r="J4383" i="1"/>
  <c r="I4383" i="1"/>
  <c r="G4383" i="1"/>
  <c r="F4383" i="1"/>
  <c r="E4383" i="1"/>
  <c r="D4383" i="1"/>
  <c r="C4383" i="1"/>
  <c r="B4383" i="1"/>
  <c r="A4383" i="1"/>
  <c r="S4382" i="1"/>
  <c r="O4382" i="1"/>
  <c r="K4382" i="1"/>
  <c r="J4382" i="1"/>
  <c r="I4382" i="1"/>
  <c r="H4382" i="1"/>
  <c r="G4382" i="1"/>
  <c r="F4382" i="1"/>
  <c r="E4382" i="1"/>
  <c r="D4382" i="1"/>
  <c r="C4382" i="1"/>
  <c r="B4382" i="1"/>
  <c r="A4382" i="1"/>
  <c r="R4381" i="1"/>
  <c r="J4381" i="1"/>
  <c r="I4381" i="1"/>
  <c r="G4381" i="1"/>
  <c r="F4381" i="1"/>
  <c r="E4381" i="1"/>
  <c r="D4381" i="1"/>
  <c r="C4381" i="1"/>
  <c r="B4381" i="1"/>
  <c r="A4381" i="1"/>
  <c r="S4380" i="1"/>
  <c r="O4380" i="1"/>
  <c r="K4380" i="1"/>
  <c r="J4380" i="1"/>
  <c r="I4380" i="1"/>
  <c r="H4380" i="1"/>
  <c r="G4380" i="1"/>
  <c r="F4380" i="1"/>
  <c r="E4380" i="1"/>
  <c r="D4380" i="1"/>
  <c r="C4380" i="1"/>
  <c r="B4380" i="1"/>
  <c r="A4380" i="1"/>
  <c r="R4379" i="1"/>
  <c r="J4379" i="1"/>
  <c r="I4379" i="1"/>
  <c r="G4379" i="1"/>
  <c r="F4379" i="1"/>
  <c r="E4379" i="1"/>
  <c r="D4379" i="1"/>
  <c r="C4379" i="1"/>
  <c r="B4379" i="1"/>
  <c r="A4379" i="1"/>
  <c r="S4378" i="1"/>
  <c r="O4378" i="1"/>
  <c r="K4378" i="1"/>
  <c r="J4378" i="1"/>
  <c r="I4378" i="1"/>
  <c r="H4378" i="1"/>
  <c r="G4378" i="1"/>
  <c r="F4378" i="1"/>
  <c r="E4378" i="1"/>
  <c r="D4378" i="1"/>
  <c r="C4378" i="1"/>
  <c r="B4378" i="1"/>
  <c r="A4378" i="1"/>
  <c r="R4377" i="1"/>
  <c r="J4377" i="1"/>
  <c r="I4377" i="1"/>
  <c r="G4377" i="1"/>
  <c r="F4377" i="1"/>
  <c r="E4377" i="1"/>
  <c r="D4377" i="1"/>
  <c r="C4377" i="1"/>
  <c r="B4377" i="1"/>
  <c r="A4377" i="1"/>
  <c r="S4376" i="1"/>
  <c r="O4376" i="1"/>
  <c r="K4376" i="1"/>
  <c r="J4376" i="1"/>
  <c r="I4376" i="1"/>
  <c r="H4376" i="1"/>
  <c r="G4376" i="1"/>
  <c r="F4376" i="1"/>
  <c r="E4376" i="1"/>
  <c r="D4376" i="1"/>
  <c r="C4376" i="1"/>
  <c r="B4376" i="1"/>
  <c r="A4376" i="1"/>
  <c r="R4375" i="1"/>
  <c r="J4375" i="1"/>
  <c r="I4375" i="1"/>
  <c r="G4375" i="1"/>
  <c r="F4375" i="1"/>
  <c r="E4375" i="1"/>
  <c r="D4375" i="1"/>
  <c r="C4375" i="1"/>
  <c r="B4375" i="1"/>
  <c r="A4375" i="1"/>
  <c r="S4374" i="1"/>
  <c r="O4374" i="1"/>
  <c r="K4374" i="1"/>
  <c r="J4374" i="1"/>
  <c r="I4374" i="1"/>
  <c r="H4374" i="1"/>
  <c r="G4374" i="1"/>
  <c r="F4374" i="1"/>
  <c r="E4374" i="1"/>
  <c r="D4374" i="1"/>
  <c r="C4374" i="1"/>
  <c r="B4374" i="1"/>
  <c r="A4374" i="1"/>
  <c r="R4373" i="1"/>
  <c r="J4373" i="1"/>
  <c r="I4373" i="1"/>
  <c r="G4373" i="1"/>
  <c r="F4373" i="1"/>
  <c r="E4373" i="1"/>
  <c r="D4373" i="1"/>
  <c r="C4373" i="1"/>
  <c r="B4373" i="1"/>
  <c r="A4373" i="1"/>
  <c r="S4372" i="1"/>
  <c r="O4372" i="1"/>
  <c r="K4372" i="1"/>
  <c r="J4372" i="1"/>
  <c r="I4372" i="1"/>
  <c r="H4372" i="1"/>
  <c r="G4372" i="1"/>
  <c r="F4372" i="1"/>
  <c r="E4372" i="1"/>
  <c r="D4372" i="1"/>
  <c r="C4372" i="1"/>
  <c r="B4372" i="1"/>
  <c r="A4372" i="1"/>
  <c r="R4371" i="1"/>
  <c r="J4371" i="1"/>
  <c r="I4371" i="1"/>
  <c r="G4371" i="1"/>
  <c r="F4371" i="1"/>
  <c r="E4371" i="1"/>
  <c r="D4371" i="1"/>
  <c r="C4371" i="1"/>
  <c r="B4371" i="1"/>
  <c r="A4371" i="1"/>
  <c r="S4370" i="1"/>
  <c r="O4370" i="1"/>
  <c r="K4370" i="1"/>
  <c r="J4370" i="1"/>
  <c r="I4370" i="1"/>
  <c r="H4370" i="1"/>
  <c r="G4370" i="1"/>
  <c r="F4370" i="1"/>
  <c r="E4370" i="1"/>
  <c r="D4370" i="1"/>
  <c r="C4370" i="1"/>
  <c r="B4370" i="1"/>
  <c r="A4370" i="1"/>
  <c r="R4369" i="1"/>
  <c r="J4369" i="1"/>
  <c r="I4369" i="1"/>
  <c r="G4369" i="1"/>
  <c r="F4369" i="1"/>
  <c r="E4369" i="1"/>
  <c r="D4369" i="1"/>
  <c r="C4369" i="1"/>
  <c r="B4369" i="1"/>
  <c r="A4369" i="1"/>
  <c r="S4368" i="1"/>
  <c r="O4368" i="1"/>
  <c r="K4368" i="1"/>
  <c r="J4368" i="1"/>
  <c r="I4368" i="1"/>
  <c r="H4368" i="1"/>
  <c r="G4368" i="1"/>
  <c r="F4368" i="1"/>
  <c r="E4368" i="1"/>
  <c r="D4368" i="1"/>
  <c r="C4368" i="1"/>
  <c r="B4368" i="1"/>
  <c r="A4368" i="1"/>
  <c r="R4367" i="1"/>
  <c r="J4367" i="1"/>
  <c r="I4367" i="1"/>
  <c r="G4367" i="1"/>
  <c r="F4367" i="1"/>
  <c r="E4367" i="1"/>
  <c r="D4367" i="1"/>
  <c r="C4367" i="1"/>
  <c r="B4367" i="1"/>
  <c r="A4367" i="1"/>
  <c r="S4366" i="1"/>
  <c r="O4366" i="1"/>
  <c r="K4366" i="1"/>
  <c r="J4366" i="1"/>
  <c r="I4366" i="1"/>
  <c r="H4366" i="1"/>
  <c r="G4366" i="1"/>
  <c r="F4366" i="1"/>
  <c r="E4366" i="1"/>
  <c r="D4366" i="1"/>
  <c r="C4366" i="1"/>
  <c r="B4366" i="1"/>
  <c r="A4366" i="1"/>
  <c r="R4365" i="1"/>
  <c r="J4365" i="1"/>
  <c r="I4365" i="1"/>
  <c r="G4365" i="1"/>
  <c r="F4365" i="1"/>
  <c r="E4365" i="1"/>
  <c r="D4365" i="1"/>
  <c r="C4365" i="1"/>
  <c r="B4365" i="1"/>
  <c r="A4365" i="1"/>
  <c r="S4364" i="1"/>
  <c r="O4364" i="1"/>
  <c r="K4364" i="1"/>
  <c r="J4364" i="1"/>
  <c r="I4364" i="1"/>
  <c r="H4364" i="1"/>
  <c r="G4364" i="1"/>
  <c r="F4364" i="1"/>
  <c r="E4364" i="1"/>
  <c r="D4364" i="1"/>
  <c r="C4364" i="1"/>
  <c r="B4364" i="1"/>
  <c r="A4364" i="1"/>
  <c r="R4363" i="1"/>
  <c r="J4363" i="1"/>
  <c r="I4363" i="1"/>
  <c r="G4363" i="1"/>
  <c r="F4363" i="1"/>
  <c r="E4363" i="1"/>
  <c r="D4363" i="1"/>
  <c r="C4363" i="1"/>
  <c r="B4363" i="1"/>
  <c r="A4363" i="1"/>
  <c r="S4362" i="1"/>
  <c r="O4362" i="1"/>
  <c r="K4362" i="1"/>
  <c r="J4362" i="1"/>
  <c r="I4362" i="1"/>
  <c r="H4362" i="1"/>
  <c r="G4362" i="1"/>
  <c r="F4362" i="1"/>
  <c r="E4362" i="1"/>
  <c r="D4362" i="1"/>
  <c r="C4362" i="1"/>
  <c r="B4362" i="1"/>
  <c r="A4362" i="1"/>
  <c r="R4361" i="1"/>
  <c r="J4361" i="1"/>
  <c r="I4361" i="1"/>
  <c r="G4361" i="1"/>
  <c r="F4361" i="1"/>
  <c r="E4361" i="1"/>
  <c r="D4361" i="1"/>
  <c r="C4361" i="1"/>
  <c r="B4361" i="1"/>
  <c r="A4361" i="1"/>
  <c r="S4360" i="1"/>
  <c r="O4360" i="1"/>
  <c r="K4360" i="1"/>
  <c r="J4360" i="1"/>
  <c r="I4360" i="1"/>
  <c r="H4360" i="1"/>
  <c r="G4360" i="1"/>
  <c r="F4360" i="1"/>
  <c r="E4360" i="1"/>
  <c r="D4360" i="1"/>
  <c r="C4360" i="1"/>
  <c r="B4360" i="1"/>
  <c r="A4360" i="1"/>
  <c r="R4359" i="1"/>
  <c r="J4359" i="1"/>
  <c r="I4359" i="1"/>
  <c r="G4359" i="1"/>
  <c r="F4359" i="1"/>
  <c r="E4359" i="1"/>
  <c r="D4359" i="1"/>
  <c r="C4359" i="1"/>
  <c r="B4359" i="1"/>
  <c r="A4359" i="1"/>
  <c r="S4358" i="1"/>
  <c r="O4358" i="1"/>
  <c r="K4358" i="1"/>
  <c r="J4358" i="1"/>
  <c r="I4358" i="1"/>
  <c r="H4358" i="1"/>
  <c r="G4358" i="1"/>
  <c r="F4358" i="1"/>
  <c r="E4358" i="1"/>
  <c r="D4358" i="1"/>
  <c r="C4358" i="1"/>
  <c r="B4358" i="1"/>
  <c r="A4358" i="1"/>
  <c r="R4357" i="1"/>
  <c r="J4357" i="1"/>
  <c r="I4357" i="1"/>
  <c r="G4357" i="1"/>
  <c r="F4357" i="1"/>
  <c r="E4357" i="1"/>
  <c r="D4357" i="1"/>
  <c r="C4357" i="1"/>
  <c r="B4357" i="1"/>
  <c r="A4357" i="1"/>
  <c r="S4356" i="1"/>
  <c r="O4356" i="1"/>
  <c r="K4356" i="1"/>
  <c r="J4356" i="1"/>
  <c r="I4356" i="1"/>
  <c r="H4356" i="1"/>
  <c r="G4356" i="1"/>
  <c r="F4356" i="1"/>
  <c r="E4356" i="1"/>
  <c r="D4356" i="1"/>
  <c r="C4356" i="1"/>
  <c r="B4356" i="1"/>
  <c r="A4356" i="1"/>
  <c r="R4355" i="1"/>
  <c r="J4355" i="1"/>
  <c r="I4355" i="1"/>
  <c r="G4355" i="1"/>
  <c r="F4355" i="1"/>
  <c r="E4355" i="1"/>
  <c r="D4355" i="1"/>
  <c r="C4355" i="1"/>
  <c r="B4355" i="1"/>
  <c r="A4355" i="1"/>
  <c r="S4354" i="1"/>
  <c r="O4354" i="1"/>
  <c r="K4354" i="1"/>
  <c r="J4354" i="1"/>
  <c r="I4354" i="1"/>
  <c r="H4354" i="1"/>
  <c r="G4354" i="1"/>
  <c r="F4354" i="1"/>
  <c r="E4354" i="1"/>
  <c r="D4354" i="1"/>
  <c r="C4354" i="1"/>
  <c r="B4354" i="1"/>
  <c r="A4354" i="1"/>
  <c r="R4353" i="1"/>
  <c r="J4353" i="1"/>
  <c r="I4353" i="1"/>
  <c r="G4353" i="1"/>
  <c r="F4353" i="1"/>
  <c r="E4353" i="1"/>
  <c r="D4353" i="1"/>
  <c r="C4353" i="1"/>
  <c r="B4353" i="1"/>
  <c r="A4353" i="1"/>
  <c r="S4352" i="1"/>
  <c r="O4352" i="1"/>
  <c r="K4352" i="1"/>
  <c r="J4352" i="1"/>
  <c r="I4352" i="1"/>
  <c r="H4352" i="1"/>
  <c r="G4352" i="1"/>
  <c r="F4352" i="1"/>
  <c r="E4352" i="1"/>
  <c r="D4352" i="1"/>
  <c r="C4352" i="1"/>
  <c r="B4352" i="1"/>
  <c r="A4352" i="1"/>
  <c r="R4351" i="1"/>
  <c r="J4351" i="1"/>
  <c r="I4351" i="1"/>
  <c r="G4351" i="1"/>
  <c r="F4351" i="1"/>
  <c r="E4351" i="1"/>
  <c r="D4351" i="1"/>
  <c r="C4351" i="1"/>
  <c r="B4351" i="1"/>
  <c r="A4351" i="1"/>
  <c r="S4350" i="1"/>
  <c r="O4350" i="1"/>
  <c r="K4350" i="1"/>
  <c r="J4350" i="1"/>
  <c r="I4350" i="1"/>
  <c r="H4350" i="1"/>
  <c r="G4350" i="1"/>
  <c r="F4350" i="1"/>
  <c r="E4350" i="1"/>
  <c r="D4350" i="1"/>
  <c r="C4350" i="1"/>
  <c r="B4350" i="1"/>
  <c r="A4350" i="1"/>
  <c r="R4349" i="1"/>
  <c r="J4349" i="1"/>
  <c r="I4349" i="1"/>
  <c r="G4349" i="1"/>
  <c r="F4349" i="1"/>
  <c r="E4349" i="1"/>
  <c r="D4349" i="1"/>
  <c r="C4349" i="1"/>
  <c r="B4349" i="1"/>
  <c r="A4349" i="1"/>
  <c r="S4348" i="1"/>
  <c r="O4348" i="1"/>
  <c r="K4348" i="1"/>
  <c r="J4348" i="1"/>
  <c r="I4348" i="1"/>
  <c r="H4348" i="1"/>
  <c r="G4348" i="1"/>
  <c r="F4348" i="1"/>
  <c r="E4348" i="1"/>
  <c r="D4348" i="1"/>
  <c r="C4348" i="1"/>
  <c r="B4348" i="1"/>
  <c r="A4348" i="1"/>
  <c r="R4347" i="1"/>
  <c r="J4347" i="1"/>
  <c r="I4347" i="1"/>
  <c r="G4347" i="1"/>
  <c r="F4347" i="1"/>
  <c r="E4347" i="1"/>
  <c r="D4347" i="1"/>
  <c r="C4347" i="1"/>
  <c r="B4347" i="1"/>
  <c r="A4347" i="1"/>
  <c r="S4346" i="1"/>
  <c r="O4346" i="1"/>
  <c r="K4346" i="1"/>
  <c r="J4346" i="1"/>
  <c r="I4346" i="1"/>
  <c r="H4346" i="1"/>
  <c r="G4346" i="1"/>
  <c r="F4346" i="1"/>
  <c r="E4346" i="1"/>
  <c r="D4346" i="1"/>
  <c r="C4346" i="1"/>
  <c r="B4346" i="1"/>
  <c r="A4346" i="1"/>
  <c r="R4345" i="1"/>
  <c r="J4345" i="1"/>
  <c r="I4345" i="1"/>
  <c r="G4345" i="1"/>
  <c r="F4345" i="1"/>
  <c r="E4345" i="1"/>
  <c r="D4345" i="1"/>
  <c r="C4345" i="1"/>
  <c r="B4345" i="1"/>
  <c r="A4345" i="1"/>
  <c r="S4344" i="1"/>
  <c r="O4344" i="1"/>
  <c r="K4344" i="1"/>
  <c r="J4344" i="1"/>
  <c r="I4344" i="1"/>
  <c r="H4344" i="1"/>
  <c r="G4344" i="1"/>
  <c r="F4344" i="1"/>
  <c r="E4344" i="1"/>
  <c r="D4344" i="1"/>
  <c r="C4344" i="1"/>
  <c r="B4344" i="1"/>
  <c r="A4344" i="1"/>
  <c r="R4343" i="1"/>
  <c r="J4343" i="1"/>
  <c r="I4343" i="1"/>
  <c r="G4343" i="1"/>
  <c r="F4343" i="1"/>
  <c r="E4343" i="1"/>
  <c r="D4343" i="1"/>
  <c r="C4343" i="1"/>
  <c r="B4343" i="1"/>
  <c r="A4343" i="1"/>
  <c r="S4342" i="1"/>
  <c r="O4342" i="1"/>
  <c r="K4342" i="1"/>
  <c r="J4342" i="1"/>
  <c r="I4342" i="1"/>
  <c r="H4342" i="1"/>
  <c r="G4342" i="1"/>
  <c r="F4342" i="1"/>
  <c r="E4342" i="1"/>
  <c r="D4342" i="1"/>
  <c r="C4342" i="1"/>
  <c r="B4342" i="1"/>
  <c r="A4342" i="1"/>
  <c r="R4341" i="1"/>
  <c r="J4341" i="1"/>
  <c r="I4341" i="1"/>
  <c r="G4341" i="1"/>
  <c r="F4341" i="1"/>
  <c r="E4341" i="1"/>
  <c r="D4341" i="1"/>
  <c r="C4341" i="1"/>
  <c r="B4341" i="1"/>
  <c r="A4341" i="1"/>
  <c r="S4340" i="1"/>
  <c r="O4340" i="1"/>
  <c r="K4340" i="1"/>
  <c r="J4340" i="1"/>
  <c r="I4340" i="1"/>
  <c r="H4340" i="1"/>
  <c r="G4340" i="1"/>
  <c r="F4340" i="1"/>
  <c r="E4340" i="1"/>
  <c r="D4340" i="1"/>
  <c r="C4340" i="1"/>
  <c r="B4340" i="1"/>
  <c r="A4340" i="1"/>
  <c r="R4339" i="1"/>
  <c r="J4339" i="1"/>
  <c r="I4339" i="1"/>
  <c r="G4339" i="1"/>
  <c r="F4339" i="1"/>
  <c r="E4339" i="1"/>
  <c r="D4339" i="1"/>
  <c r="C4339" i="1"/>
  <c r="B4339" i="1"/>
  <c r="A4339" i="1"/>
  <c r="S4338" i="1"/>
  <c r="O4338" i="1"/>
  <c r="K4338" i="1"/>
  <c r="J4338" i="1"/>
  <c r="I4338" i="1"/>
  <c r="H4338" i="1"/>
  <c r="G4338" i="1"/>
  <c r="F4338" i="1"/>
  <c r="E4338" i="1"/>
  <c r="D4338" i="1"/>
  <c r="C4338" i="1"/>
  <c r="B4338" i="1"/>
  <c r="A4338" i="1"/>
  <c r="R4337" i="1"/>
  <c r="J4337" i="1"/>
  <c r="I4337" i="1"/>
  <c r="G4337" i="1"/>
  <c r="F4337" i="1"/>
  <c r="E4337" i="1"/>
  <c r="D4337" i="1"/>
  <c r="C4337" i="1"/>
  <c r="B4337" i="1"/>
  <c r="A4337" i="1"/>
  <c r="S4336" i="1"/>
  <c r="O4336" i="1"/>
  <c r="K4336" i="1"/>
  <c r="J4336" i="1"/>
  <c r="I4336" i="1"/>
  <c r="H4336" i="1"/>
  <c r="G4336" i="1"/>
  <c r="F4336" i="1"/>
  <c r="E4336" i="1"/>
  <c r="D4336" i="1"/>
  <c r="C4336" i="1"/>
  <c r="B4336" i="1"/>
  <c r="A4336" i="1"/>
  <c r="R4335" i="1"/>
  <c r="J4335" i="1"/>
  <c r="I4335" i="1"/>
  <c r="G4335" i="1"/>
  <c r="F4335" i="1"/>
  <c r="E4335" i="1"/>
  <c r="D4335" i="1"/>
  <c r="C4335" i="1"/>
  <c r="B4335" i="1"/>
  <c r="A4335" i="1"/>
  <c r="R4334" i="1"/>
  <c r="J4334" i="1"/>
  <c r="I4334" i="1"/>
  <c r="G4334" i="1"/>
  <c r="F4334" i="1"/>
  <c r="E4334" i="1"/>
  <c r="D4334" i="1"/>
  <c r="C4334" i="1"/>
  <c r="B4334" i="1"/>
  <c r="A4334" i="1"/>
  <c r="R4333" i="1"/>
  <c r="J4333" i="1"/>
  <c r="I4333" i="1"/>
  <c r="G4333" i="1"/>
  <c r="F4333" i="1"/>
  <c r="E4333" i="1"/>
  <c r="D4333" i="1"/>
  <c r="C4333" i="1"/>
  <c r="B4333" i="1"/>
  <c r="A4333" i="1"/>
  <c r="S4332" i="1"/>
  <c r="O4332" i="1"/>
  <c r="K4332" i="1"/>
  <c r="J4332" i="1"/>
  <c r="I4332" i="1"/>
  <c r="H4332" i="1"/>
  <c r="G4332" i="1"/>
  <c r="F4332" i="1"/>
  <c r="E4332" i="1"/>
  <c r="D4332" i="1"/>
  <c r="C4332" i="1"/>
  <c r="B4332" i="1"/>
  <c r="A4332" i="1"/>
  <c r="R4331" i="1"/>
  <c r="J4331" i="1"/>
  <c r="I4331" i="1"/>
  <c r="G4331" i="1"/>
  <c r="F4331" i="1"/>
  <c r="E4331" i="1"/>
  <c r="D4331" i="1"/>
  <c r="C4331" i="1"/>
  <c r="B4331" i="1"/>
  <c r="A4331" i="1"/>
  <c r="S4330" i="1"/>
  <c r="O4330" i="1"/>
  <c r="K4330" i="1"/>
  <c r="J4330" i="1"/>
  <c r="I4330" i="1"/>
  <c r="H4330" i="1"/>
  <c r="G4330" i="1"/>
  <c r="F4330" i="1"/>
  <c r="E4330" i="1"/>
  <c r="D4330" i="1"/>
  <c r="C4330" i="1"/>
  <c r="B4330" i="1"/>
  <c r="A4330" i="1"/>
  <c r="R4329" i="1"/>
  <c r="J4329" i="1"/>
  <c r="I4329" i="1"/>
  <c r="G4329" i="1"/>
  <c r="F4329" i="1"/>
  <c r="E4329" i="1"/>
  <c r="D4329" i="1"/>
  <c r="C4329" i="1"/>
  <c r="B4329" i="1"/>
  <c r="A4329" i="1"/>
  <c r="S4328" i="1"/>
  <c r="O4328" i="1"/>
  <c r="K4328" i="1"/>
  <c r="J4328" i="1"/>
  <c r="I4328" i="1"/>
  <c r="H4328" i="1"/>
  <c r="G4328" i="1"/>
  <c r="F4328" i="1"/>
  <c r="E4328" i="1"/>
  <c r="D4328" i="1"/>
  <c r="C4328" i="1"/>
  <c r="B4328" i="1"/>
  <c r="A4328" i="1"/>
  <c r="R4327" i="1"/>
  <c r="J4327" i="1"/>
  <c r="I4327" i="1"/>
  <c r="G4327" i="1"/>
  <c r="F4327" i="1"/>
  <c r="E4327" i="1"/>
  <c r="D4327" i="1"/>
  <c r="C4327" i="1"/>
  <c r="B4327" i="1"/>
  <c r="A4327" i="1"/>
  <c r="S4326" i="1"/>
  <c r="O4326" i="1"/>
  <c r="K4326" i="1"/>
  <c r="J4326" i="1"/>
  <c r="I4326" i="1"/>
  <c r="H4326" i="1"/>
  <c r="G4326" i="1"/>
  <c r="F4326" i="1"/>
  <c r="E4326" i="1"/>
  <c r="D4326" i="1"/>
  <c r="C4326" i="1"/>
  <c r="B4326" i="1"/>
  <c r="A4326" i="1"/>
  <c r="R4325" i="1"/>
  <c r="J4325" i="1"/>
  <c r="I4325" i="1"/>
  <c r="G4325" i="1"/>
  <c r="F4325" i="1"/>
  <c r="E4325" i="1"/>
  <c r="D4325" i="1"/>
  <c r="C4325" i="1"/>
  <c r="B4325" i="1"/>
  <c r="A4325" i="1"/>
  <c r="S4324" i="1"/>
  <c r="O4324" i="1"/>
  <c r="K4324" i="1"/>
  <c r="J4324" i="1"/>
  <c r="I4324" i="1"/>
  <c r="H4324" i="1"/>
  <c r="G4324" i="1"/>
  <c r="F4324" i="1"/>
  <c r="E4324" i="1"/>
  <c r="D4324" i="1"/>
  <c r="C4324" i="1"/>
  <c r="B4324" i="1"/>
  <c r="A4324" i="1"/>
  <c r="R4323" i="1"/>
  <c r="J4323" i="1"/>
  <c r="I4323" i="1"/>
  <c r="G4323" i="1"/>
  <c r="F4323" i="1"/>
  <c r="E4323" i="1"/>
  <c r="D4323" i="1"/>
  <c r="C4323" i="1"/>
  <c r="B4323" i="1"/>
  <c r="A4323" i="1"/>
  <c r="S4322" i="1"/>
  <c r="O4322" i="1"/>
  <c r="K4322" i="1"/>
  <c r="J4322" i="1"/>
  <c r="I4322" i="1"/>
  <c r="H4322" i="1"/>
  <c r="G4322" i="1"/>
  <c r="F4322" i="1"/>
  <c r="E4322" i="1"/>
  <c r="D4322" i="1"/>
  <c r="C4322" i="1"/>
  <c r="B4322" i="1"/>
  <c r="A4322" i="1"/>
  <c r="R4321" i="1"/>
  <c r="J4321" i="1"/>
  <c r="I4321" i="1"/>
  <c r="G4321" i="1"/>
  <c r="F4321" i="1"/>
  <c r="E4321" i="1"/>
  <c r="D4321" i="1"/>
  <c r="C4321" i="1"/>
  <c r="B4321" i="1"/>
  <c r="A4321" i="1"/>
  <c r="S4320" i="1"/>
  <c r="O4320" i="1"/>
  <c r="K4320" i="1"/>
  <c r="J4320" i="1"/>
  <c r="I4320" i="1"/>
  <c r="H4320" i="1"/>
  <c r="G4320" i="1"/>
  <c r="F4320" i="1"/>
  <c r="E4320" i="1"/>
  <c r="D4320" i="1"/>
  <c r="C4320" i="1"/>
  <c r="B4320" i="1"/>
  <c r="A4320" i="1"/>
  <c r="R4319" i="1"/>
  <c r="J4319" i="1"/>
  <c r="I4319" i="1"/>
  <c r="G4319" i="1"/>
  <c r="F4319" i="1"/>
  <c r="E4319" i="1"/>
  <c r="D4319" i="1"/>
  <c r="C4319" i="1"/>
  <c r="B4319" i="1"/>
  <c r="A4319" i="1"/>
  <c r="S4318" i="1"/>
  <c r="O4318" i="1"/>
  <c r="K4318" i="1"/>
  <c r="J4318" i="1"/>
  <c r="I4318" i="1"/>
  <c r="H4318" i="1"/>
  <c r="G4318" i="1"/>
  <c r="F4318" i="1"/>
  <c r="E4318" i="1"/>
  <c r="D4318" i="1"/>
  <c r="C4318" i="1"/>
  <c r="B4318" i="1"/>
  <c r="A4318" i="1"/>
  <c r="R4317" i="1"/>
  <c r="J4317" i="1"/>
  <c r="I4317" i="1"/>
  <c r="G4317" i="1"/>
  <c r="F4317" i="1"/>
  <c r="E4317" i="1"/>
  <c r="D4317" i="1"/>
  <c r="C4317" i="1"/>
  <c r="B4317" i="1"/>
  <c r="A4317" i="1"/>
  <c r="S4316" i="1"/>
  <c r="O4316" i="1"/>
  <c r="K4316" i="1"/>
  <c r="J4316" i="1"/>
  <c r="I4316" i="1"/>
  <c r="H4316" i="1"/>
  <c r="G4316" i="1"/>
  <c r="F4316" i="1"/>
  <c r="E4316" i="1"/>
  <c r="D4316" i="1"/>
  <c r="C4316" i="1"/>
  <c r="B4316" i="1"/>
  <c r="A4316" i="1"/>
  <c r="R4315" i="1"/>
  <c r="J4315" i="1"/>
  <c r="I4315" i="1"/>
  <c r="G4315" i="1"/>
  <c r="F4315" i="1"/>
  <c r="E4315" i="1"/>
  <c r="D4315" i="1"/>
  <c r="C4315" i="1"/>
  <c r="B4315" i="1"/>
  <c r="A4315" i="1"/>
  <c r="S4314" i="1"/>
  <c r="O4314" i="1"/>
  <c r="K4314" i="1"/>
  <c r="J4314" i="1"/>
  <c r="I4314" i="1"/>
  <c r="H4314" i="1"/>
  <c r="G4314" i="1"/>
  <c r="F4314" i="1"/>
  <c r="E4314" i="1"/>
  <c r="D4314" i="1"/>
  <c r="C4314" i="1"/>
  <c r="B4314" i="1"/>
  <c r="A4314" i="1"/>
  <c r="R4313" i="1"/>
  <c r="J4313" i="1"/>
  <c r="I4313" i="1"/>
  <c r="G4313" i="1"/>
  <c r="F4313" i="1"/>
  <c r="E4313" i="1"/>
  <c r="D4313" i="1"/>
  <c r="C4313" i="1"/>
  <c r="B4313" i="1"/>
  <c r="A4313" i="1"/>
  <c r="S4312" i="1"/>
  <c r="O4312" i="1"/>
  <c r="K4312" i="1"/>
  <c r="J4312" i="1"/>
  <c r="I4312" i="1"/>
  <c r="H4312" i="1"/>
  <c r="G4312" i="1"/>
  <c r="F4312" i="1"/>
  <c r="E4312" i="1"/>
  <c r="D4312" i="1"/>
  <c r="C4312" i="1"/>
  <c r="B4312" i="1"/>
  <c r="A4312" i="1"/>
  <c r="R4311" i="1"/>
  <c r="J4311" i="1"/>
  <c r="I4311" i="1"/>
  <c r="G4311" i="1"/>
  <c r="F4311" i="1"/>
  <c r="E4311" i="1"/>
  <c r="D4311" i="1"/>
  <c r="C4311" i="1"/>
  <c r="B4311" i="1"/>
  <c r="A4311" i="1"/>
  <c r="S4310" i="1"/>
  <c r="O4310" i="1"/>
  <c r="K4310" i="1"/>
  <c r="J4310" i="1"/>
  <c r="I4310" i="1"/>
  <c r="H4310" i="1"/>
  <c r="G4310" i="1"/>
  <c r="F4310" i="1"/>
  <c r="E4310" i="1"/>
  <c r="D4310" i="1"/>
  <c r="C4310" i="1"/>
  <c r="B4310" i="1"/>
  <c r="A4310" i="1"/>
  <c r="R4309" i="1"/>
  <c r="J4309" i="1"/>
  <c r="I4309" i="1"/>
  <c r="G4309" i="1"/>
  <c r="F4309" i="1"/>
  <c r="E4309" i="1"/>
  <c r="D4309" i="1"/>
  <c r="C4309" i="1"/>
  <c r="B4309" i="1"/>
  <c r="A4309" i="1"/>
  <c r="S4308" i="1"/>
  <c r="O4308" i="1"/>
  <c r="K4308" i="1"/>
  <c r="J4308" i="1"/>
  <c r="I4308" i="1"/>
  <c r="H4308" i="1"/>
  <c r="G4308" i="1"/>
  <c r="F4308" i="1"/>
  <c r="E4308" i="1"/>
  <c r="D4308" i="1"/>
  <c r="C4308" i="1"/>
  <c r="B4308" i="1"/>
  <c r="A4308" i="1"/>
  <c r="R4307" i="1"/>
  <c r="J4307" i="1"/>
  <c r="I4307" i="1"/>
  <c r="G4307" i="1"/>
  <c r="F4307" i="1"/>
  <c r="E4307" i="1"/>
  <c r="D4307" i="1"/>
  <c r="C4307" i="1"/>
  <c r="B4307" i="1"/>
  <c r="A4307" i="1"/>
  <c r="S4306" i="1"/>
  <c r="O4306" i="1"/>
  <c r="K4306" i="1"/>
  <c r="J4306" i="1"/>
  <c r="I4306" i="1"/>
  <c r="H4306" i="1"/>
  <c r="G4306" i="1"/>
  <c r="F4306" i="1"/>
  <c r="E4306" i="1"/>
  <c r="D4306" i="1"/>
  <c r="C4306" i="1"/>
  <c r="B4306" i="1"/>
  <c r="A4306" i="1"/>
  <c r="R4305" i="1"/>
  <c r="J4305" i="1"/>
  <c r="I4305" i="1"/>
  <c r="G4305" i="1"/>
  <c r="F4305" i="1"/>
  <c r="E4305" i="1"/>
  <c r="D4305" i="1"/>
  <c r="C4305" i="1"/>
  <c r="B4305" i="1"/>
  <c r="A4305" i="1"/>
  <c r="S4304" i="1"/>
  <c r="O4304" i="1"/>
  <c r="K4304" i="1"/>
  <c r="J4304" i="1"/>
  <c r="I4304" i="1"/>
  <c r="H4304" i="1"/>
  <c r="G4304" i="1"/>
  <c r="F4304" i="1"/>
  <c r="E4304" i="1"/>
  <c r="D4304" i="1"/>
  <c r="C4304" i="1"/>
  <c r="B4304" i="1"/>
  <c r="A4304" i="1"/>
  <c r="R4303" i="1"/>
  <c r="J4303" i="1"/>
  <c r="I4303" i="1"/>
  <c r="G4303" i="1"/>
  <c r="F4303" i="1"/>
  <c r="E4303" i="1"/>
  <c r="D4303" i="1"/>
  <c r="C4303" i="1"/>
  <c r="B4303" i="1"/>
  <c r="A4303" i="1"/>
  <c r="S4302" i="1"/>
  <c r="O4302" i="1"/>
  <c r="K4302" i="1"/>
  <c r="J4302" i="1"/>
  <c r="I4302" i="1"/>
  <c r="H4302" i="1"/>
  <c r="G4302" i="1"/>
  <c r="F4302" i="1"/>
  <c r="E4302" i="1"/>
  <c r="D4302" i="1"/>
  <c r="C4302" i="1"/>
  <c r="B4302" i="1"/>
  <c r="A4302" i="1"/>
  <c r="R4301" i="1"/>
  <c r="J4301" i="1"/>
  <c r="I4301" i="1"/>
  <c r="G4301" i="1"/>
  <c r="F4301" i="1"/>
  <c r="E4301" i="1"/>
  <c r="D4301" i="1"/>
  <c r="C4301" i="1"/>
  <c r="B4301" i="1"/>
  <c r="A4301" i="1"/>
  <c r="S4300" i="1"/>
  <c r="O4300" i="1"/>
  <c r="K4300" i="1"/>
  <c r="J4300" i="1"/>
  <c r="I4300" i="1"/>
  <c r="H4300" i="1"/>
  <c r="G4300" i="1"/>
  <c r="F4300" i="1"/>
  <c r="E4300" i="1"/>
  <c r="D4300" i="1"/>
  <c r="C4300" i="1"/>
  <c r="B4300" i="1"/>
  <c r="A4300" i="1"/>
  <c r="R4299" i="1"/>
  <c r="J4299" i="1"/>
  <c r="I4299" i="1"/>
  <c r="G4299" i="1"/>
  <c r="F4299" i="1"/>
  <c r="E4299" i="1"/>
  <c r="D4299" i="1"/>
  <c r="C4299" i="1"/>
  <c r="B4299" i="1"/>
  <c r="A4299" i="1"/>
  <c r="S4298" i="1"/>
  <c r="O4298" i="1"/>
  <c r="K4298" i="1"/>
  <c r="J4298" i="1"/>
  <c r="I4298" i="1"/>
  <c r="H4298" i="1"/>
  <c r="G4298" i="1"/>
  <c r="F4298" i="1"/>
  <c r="E4298" i="1"/>
  <c r="D4298" i="1"/>
  <c r="C4298" i="1"/>
  <c r="B4298" i="1"/>
  <c r="A4298" i="1"/>
  <c r="R4297" i="1"/>
  <c r="J4297" i="1"/>
  <c r="I4297" i="1"/>
  <c r="G4297" i="1"/>
  <c r="F4297" i="1"/>
  <c r="E4297" i="1"/>
  <c r="D4297" i="1"/>
  <c r="C4297" i="1"/>
  <c r="B4297" i="1"/>
  <c r="A4297" i="1"/>
  <c r="S4296" i="1"/>
  <c r="O4296" i="1"/>
  <c r="K4296" i="1"/>
  <c r="J4296" i="1"/>
  <c r="I4296" i="1"/>
  <c r="H4296" i="1"/>
  <c r="G4296" i="1"/>
  <c r="F4296" i="1"/>
  <c r="E4296" i="1"/>
  <c r="D4296" i="1"/>
  <c r="C4296" i="1"/>
  <c r="B4296" i="1"/>
  <c r="A4296" i="1"/>
  <c r="R4295" i="1"/>
  <c r="J4295" i="1"/>
  <c r="I4295" i="1"/>
  <c r="G4295" i="1"/>
  <c r="F4295" i="1"/>
  <c r="E4295" i="1"/>
  <c r="D4295" i="1"/>
  <c r="C4295" i="1"/>
  <c r="B4295" i="1"/>
  <c r="A4295" i="1"/>
  <c r="S4294" i="1"/>
  <c r="O4294" i="1"/>
  <c r="K4294" i="1"/>
  <c r="J4294" i="1"/>
  <c r="I4294" i="1"/>
  <c r="H4294" i="1"/>
  <c r="G4294" i="1"/>
  <c r="F4294" i="1"/>
  <c r="E4294" i="1"/>
  <c r="D4294" i="1"/>
  <c r="C4294" i="1"/>
  <c r="B4294" i="1"/>
  <c r="A4294" i="1"/>
  <c r="R4293" i="1"/>
  <c r="J4293" i="1"/>
  <c r="I4293" i="1"/>
  <c r="G4293" i="1"/>
  <c r="F4293" i="1"/>
  <c r="E4293" i="1"/>
  <c r="D4293" i="1"/>
  <c r="C4293" i="1"/>
  <c r="B4293" i="1"/>
  <c r="A4293" i="1"/>
  <c r="R4292" i="1"/>
  <c r="J4292" i="1"/>
  <c r="I4292" i="1"/>
  <c r="G4292" i="1"/>
  <c r="F4292" i="1"/>
  <c r="E4292" i="1"/>
  <c r="D4292" i="1"/>
  <c r="C4292" i="1"/>
  <c r="B4292" i="1"/>
  <c r="A4292" i="1"/>
  <c r="S4291" i="1"/>
  <c r="O4291" i="1"/>
  <c r="K4291" i="1"/>
  <c r="J4291" i="1"/>
  <c r="I4291" i="1"/>
  <c r="H4291" i="1"/>
  <c r="G4291" i="1"/>
  <c r="F4291" i="1"/>
  <c r="E4291" i="1"/>
  <c r="D4291" i="1"/>
  <c r="C4291" i="1"/>
  <c r="B4291" i="1"/>
  <c r="A4291" i="1"/>
  <c r="R4290" i="1"/>
  <c r="J4290" i="1"/>
  <c r="I4290" i="1"/>
  <c r="G4290" i="1"/>
  <c r="F4290" i="1"/>
  <c r="E4290" i="1"/>
  <c r="D4290" i="1"/>
  <c r="C4290" i="1"/>
  <c r="B4290" i="1"/>
  <c r="A4290" i="1"/>
  <c r="S4289" i="1"/>
  <c r="O4289" i="1"/>
  <c r="K4289" i="1"/>
  <c r="J4289" i="1"/>
  <c r="I4289" i="1"/>
  <c r="H4289" i="1"/>
  <c r="G4289" i="1"/>
  <c r="F4289" i="1"/>
  <c r="E4289" i="1"/>
  <c r="D4289" i="1"/>
  <c r="C4289" i="1"/>
  <c r="B4289" i="1"/>
  <c r="A4289" i="1"/>
  <c r="R4288" i="1"/>
  <c r="J4288" i="1"/>
  <c r="I4288" i="1"/>
  <c r="G4288" i="1"/>
  <c r="F4288" i="1"/>
  <c r="E4288" i="1"/>
  <c r="D4288" i="1"/>
  <c r="C4288" i="1"/>
  <c r="B4288" i="1"/>
  <c r="A4288" i="1"/>
  <c r="S4287" i="1"/>
  <c r="O4287" i="1"/>
  <c r="K4287" i="1"/>
  <c r="J4287" i="1"/>
  <c r="I4287" i="1"/>
  <c r="H4287" i="1"/>
  <c r="G4287" i="1"/>
  <c r="F4287" i="1"/>
  <c r="E4287" i="1"/>
  <c r="D4287" i="1"/>
  <c r="C4287" i="1"/>
  <c r="B4287" i="1"/>
  <c r="A4287" i="1"/>
  <c r="R4286" i="1"/>
  <c r="J4286" i="1"/>
  <c r="I4286" i="1"/>
  <c r="G4286" i="1"/>
  <c r="F4286" i="1"/>
  <c r="E4286" i="1"/>
  <c r="D4286" i="1"/>
  <c r="C4286" i="1"/>
  <c r="B4286" i="1"/>
  <c r="A4286" i="1"/>
  <c r="R4285" i="1"/>
  <c r="J4285" i="1"/>
  <c r="I4285" i="1"/>
  <c r="G4285" i="1"/>
  <c r="F4285" i="1"/>
  <c r="E4285" i="1"/>
  <c r="D4285" i="1"/>
  <c r="C4285" i="1"/>
  <c r="B4285" i="1"/>
  <c r="A4285" i="1"/>
  <c r="S4284" i="1"/>
  <c r="O4284" i="1"/>
  <c r="K4284" i="1"/>
  <c r="J4284" i="1"/>
  <c r="I4284" i="1"/>
  <c r="H4284" i="1"/>
  <c r="G4284" i="1"/>
  <c r="F4284" i="1"/>
  <c r="E4284" i="1"/>
  <c r="D4284" i="1"/>
  <c r="C4284" i="1"/>
  <c r="B4284" i="1"/>
  <c r="A4284" i="1"/>
  <c r="R4283" i="1"/>
  <c r="J4283" i="1"/>
  <c r="I4283" i="1"/>
  <c r="G4283" i="1"/>
  <c r="F4283" i="1"/>
  <c r="E4283" i="1"/>
  <c r="D4283" i="1"/>
  <c r="C4283" i="1"/>
  <c r="B4283" i="1"/>
  <c r="A4283" i="1"/>
  <c r="R4282" i="1"/>
  <c r="J4282" i="1"/>
  <c r="I4282" i="1"/>
  <c r="G4282" i="1"/>
  <c r="F4282" i="1"/>
  <c r="E4282" i="1"/>
  <c r="D4282" i="1"/>
  <c r="C4282" i="1"/>
  <c r="B4282" i="1"/>
  <c r="A4282" i="1"/>
  <c r="S4281" i="1"/>
  <c r="O4281" i="1"/>
  <c r="K4281" i="1"/>
  <c r="J4281" i="1"/>
  <c r="I4281" i="1"/>
  <c r="H4281" i="1"/>
  <c r="G4281" i="1"/>
  <c r="F4281" i="1"/>
  <c r="E4281" i="1"/>
  <c r="D4281" i="1"/>
  <c r="C4281" i="1"/>
  <c r="B4281" i="1"/>
  <c r="A4281" i="1"/>
  <c r="R4280" i="1"/>
  <c r="J4280" i="1"/>
  <c r="I4280" i="1"/>
  <c r="G4280" i="1"/>
  <c r="F4280" i="1"/>
  <c r="E4280" i="1"/>
  <c r="D4280" i="1"/>
  <c r="C4280" i="1"/>
  <c r="B4280" i="1"/>
  <c r="A4280" i="1"/>
  <c r="R4279" i="1"/>
  <c r="J4279" i="1"/>
  <c r="I4279" i="1"/>
  <c r="G4279" i="1"/>
  <c r="F4279" i="1"/>
  <c r="E4279" i="1"/>
  <c r="D4279" i="1"/>
  <c r="C4279" i="1"/>
  <c r="B4279" i="1"/>
  <c r="A4279" i="1"/>
  <c r="S4278" i="1"/>
  <c r="O4278" i="1"/>
  <c r="K4278" i="1"/>
  <c r="J4278" i="1"/>
  <c r="I4278" i="1"/>
  <c r="H4278" i="1"/>
  <c r="G4278" i="1"/>
  <c r="F4278" i="1"/>
  <c r="E4278" i="1"/>
  <c r="D4278" i="1"/>
  <c r="C4278" i="1"/>
  <c r="B4278" i="1"/>
  <c r="A4278" i="1"/>
  <c r="R4277" i="1"/>
  <c r="J4277" i="1"/>
  <c r="I4277" i="1"/>
  <c r="G4277" i="1"/>
  <c r="F4277" i="1"/>
  <c r="E4277" i="1"/>
  <c r="D4277" i="1"/>
  <c r="C4277" i="1"/>
  <c r="B4277" i="1"/>
  <c r="A4277" i="1"/>
  <c r="S4276" i="1"/>
  <c r="O4276" i="1"/>
  <c r="K4276" i="1"/>
  <c r="J4276" i="1"/>
  <c r="I4276" i="1"/>
  <c r="H4276" i="1"/>
  <c r="G4276" i="1"/>
  <c r="F4276" i="1"/>
  <c r="E4276" i="1"/>
  <c r="D4276" i="1"/>
  <c r="C4276" i="1"/>
  <c r="B4276" i="1"/>
  <c r="A4276" i="1"/>
  <c r="R4275" i="1"/>
  <c r="J4275" i="1"/>
  <c r="I4275" i="1"/>
  <c r="G4275" i="1"/>
  <c r="F4275" i="1"/>
  <c r="E4275" i="1"/>
  <c r="D4275" i="1"/>
  <c r="C4275" i="1"/>
  <c r="B4275" i="1"/>
  <c r="A4275" i="1"/>
  <c r="S4274" i="1"/>
  <c r="O4274" i="1"/>
  <c r="K4274" i="1"/>
  <c r="J4274" i="1"/>
  <c r="I4274" i="1"/>
  <c r="H4274" i="1"/>
  <c r="G4274" i="1"/>
  <c r="F4274" i="1"/>
  <c r="E4274" i="1"/>
  <c r="D4274" i="1"/>
  <c r="C4274" i="1"/>
  <c r="B4274" i="1"/>
  <c r="A4274" i="1"/>
  <c r="R4273" i="1"/>
  <c r="J4273" i="1"/>
  <c r="I4273" i="1"/>
  <c r="G4273" i="1"/>
  <c r="F4273" i="1"/>
  <c r="E4273" i="1"/>
  <c r="D4273" i="1"/>
  <c r="C4273" i="1"/>
  <c r="B4273" i="1"/>
  <c r="A4273" i="1"/>
  <c r="R4272" i="1"/>
  <c r="J4272" i="1"/>
  <c r="I4272" i="1"/>
  <c r="G4272" i="1"/>
  <c r="F4272" i="1"/>
  <c r="E4272" i="1"/>
  <c r="D4272" i="1"/>
  <c r="C4272" i="1"/>
  <c r="B4272" i="1"/>
  <c r="A4272" i="1"/>
  <c r="S4271" i="1"/>
  <c r="O4271" i="1"/>
  <c r="K4271" i="1"/>
  <c r="J4271" i="1"/>
  <c r="I4271" i="1"/>
  <c r="H4271" i="1"/>
  <c r="G4271" i="1"/>
  <c r="F4271" i="1"/>
  <c r="E4271" i="1"/>
  <c r="D4271" i="1"/>
  <c r="C4271" i="1"/>
  <c r="B4271" i="1"/>
  <c r="A4271" i="1"/>
  <c r="R4270" i="1"/>
  <c r="J4270" i="1"/>
  <c r="I4270" i="1"/>
  <c r="G4270" i="1"/>
  <c r="F4270" i="1"/>
  <c r="E4270" i="1"/>
  <c r="D4270" i="1"/>
  <c r="C4270" i="1"/>
  <c r="B4270" i="1"/>
  <c r="A4270" i="1"/>
  <c r="S4269" i="1"/>
  <c r="O4269" i="1"/>
  <c r="K4269" i="1"/>
  <c r="J4269" i="1"/>
  <c r="I4269" i="1"/>
  <c r="H4269" i="1"/>
  <c r="G4269" i="1"/>
  <c r="F4269" i="1"/>
  <c r="E4269" i="1"/>
  <c r="D4269" i="1"/>
  <c r="C4269" i="1"/>
  <c r="B4269" i="1"/>
  <c r="A4269" i="1"/>
  <c r="R4268" i="1"/>
  <c r="J4268" i="1"/>
  <c r="I4268" i="1"/>
  <c r="G4268" i="1"/>
  <c r="F4268" i="1"/>
  <c r="E4268" i="1"/>
  <c r="D4268" i="1"/>
  <c r="C4268" i="1"/>
  <c r="B4268" i="1"/>
  <c r="A4268" i="1"/>
  <c r="S4267" i="1"/>
  <c r="O4267" i="1"/>
  <c r="K4267" i="1"/>
  <c r="J4267" i="1"/>
  <c r="I4267" i="1"/>
  <c r="H4267" i="1"/>
  <c r="G4267" i="1"/>
  <c r="F4267" i="1"/>
  <c r="E4267" i="1"/>
  <c r="D4267" i="1"/>
  <c r="C4267" i="1"/>
  <c r="B4267" i="1"/>
  <c r="A4267" i="1"/>
  <c r="R4266" i="1"/>
  <c r="J4266" i="1"/>
  <c r="I4266" i="1"/>
  <c r="G4266" i="1"/>
  <c r="F4266" i="1"/>
  <c r="E4266" i="1"/>
  <c r="D4266" i="1"/>
  <c r="C4266" i="1"/>
  <c r="B4266" i="1"/>
  <c r="A4266" i="1"/>
  <c r="S4265" i="1"/>
  <c r="O4265" i="1"/>
  <c r="K4265" i="1"/>
  <c r="J4265" i="1"/>
  <c r="I4265" i="1"/>
  <c r="H4265" i="1"/>
  <c r="G4265" i="1"/>
  <c r="F4265" i="1"/>
  <c r="E4265" i="1"/>
  <c r="D4265" i="1"/>
  <c r="C4265" i="1"/>
  <c r="B4265" i="1"/>
  <c r="A4265" i="1"/>
  <c r="R4264" i="1"/>
  <c r="J4264" i="1"/>
  <c r="I4264" i="1"/>
  <c r="G4264" i="1"/>
  <c r="F4264" i="1"/>
  <c r="E4264" i="1"/>
  <c r="D4264" i="1"/>
  <c r="C4264" i="1"/>
  <c r="B4264" i="1"/>
  <c r="A4264" i="1"/>
  <c r="R4263" i="1"/>
  <c r="J4263" i="1"/>
  <c r="I4263" i="1"/>
  <c r="G4263" i="1"/>
  <c r="F4263" i="1"/>
  <c r="E4263" i="1"/>
  <c r="D4263" i="1"/>
  <c r="C4263" i="1"/>
  <c r="B4263" i="1"/>
  <c r="A4263" i="1"/>
  <c r="S4262" i="1"/>
  <c r="O4262" i="1"/>
  <c r="K4262" i="1"/>
  <c r="J4262" i="1"/>
  <c r="I4262" i="1"/>
  <c r="H4262" i="1"/>
  <c r="G4262" i="1"/>
  <c r="F4262" i="1"/>
  <c r="E4262" i="1"/>
  <c r="D4262" i="1"/>
  <c r="C4262" i="1"/>
  <c r="B4262" i="1"/>
  <c r="A4262" i="1"/>
  <c r="R4261" i="1"/>
  <c r="J4261" i="1"/>
  <c r="I4261" i="1"/>
  <c r="G4261" i="1"/>
  <c r="F4261" i="1"/>
  <c r="E4261" i="1"/>
  <c r="D4261" i="1"/>
  <c r="C4261" i="1"/>
  <c r="B4261" i="1"/>
  <c r="A4261" i="1"/>
  <c r="R4260" i="1"/>
  <c r="J4260" i="1"/>
  <c r="I4260" i="1"/>
  <c r="G4260" i="1"/>
  <c r="F4260" i="1"/>
  <c r="E4260" i="1"/>
  <c r="D4260" i="1"/>
  <c r="C4260" i="1"/>
  <c r="B4260" i="1"/>
  <c r="A4260" i="1"/>
  <c r="S4259" i="1"/>
  <c r="O4259" i="1"/>
  <c r="K4259" i="1"/>
  <c r="J4259" i="1"/>
  <c r="I4259" i="1"/>
  <c r="H4259" i="1"/>
  <c r="G4259" i="1"/>
  <c r="F4259" i="1"/>
  <c r="E4259" i="1"/>
  <c r="D4259" i="1"/>
  <c r="C4259" i="1"/>
  <c r="B4259" i="1"/>
  <c r="A4259" i="1"/>
  <c r="R4258" i="1"/>
  <c r="J4258" i="1"/>
  <c r="I4258" i="1"/>
  <c r="G4258" i="1"/>
  <c r="F4258" i="1"/>
  <c r="E4258" i="1"/>
  <c r="D4258" i="1"/>
  <c r="C4258" i="1"/>
  <c r="B4258" i="1"/>
  <c r="A4258" i="1"/>
  <c r="S4257" i="1"/>
  <c r="O4257" i="1"/>
  <c r="K4257" i="1"/>
  <c r="J4257" i="1"/>
  <c r="I4257" i="1"/>
  <c r="H4257" i="1"/>
  <c r="G4257" i="1"/>
  <c r="F4257" i="1"/>
  <c r="E4257" i="1"/>
  <c r="D4257" i="1"/>
  <c r="C4257" i="1"/>
  <c r="B4257" i="1"/>
  <c r="A4257" i="1"/>
  <c r="R4256" i="1"/>
  <c r="J4256" i="1"/>
  <c r="I4256" i="1"/>
  <c r="G4256" i="1"/>
  <c r="F4256" i="1"/>
  <c r="E4256" i="1"/>
  <c r="D4256" i="1"/>
  <c r="C4256" i="1"/>
  <c r="B4256" i="1"/>
  <c r="A4256" i="1"/>
  <c r="S4255" i="1"/>
  <c r="O4255" i="1"/>
  <c r="K4255" i="1"/>
  <c r="J4255" i="1"/>
  <c r="I4255" i="1"/>
  <c r="H4255" i="1"/>
  <c r="G4255" i="1"/>
  <c r="F4255" i="1"/>
  <c r="E4255" i="1"/>
  <c r="D4255" i="1"/>
  <c r="C4255" i="1"/>
  <c r="B4255" i="1"/>
  <c r="A4255" i="1"/>
  <c r="S4254" i="1"/>
  <c r="O4254" i="1"/>
  <c r="K4254" i="1"/>
  <c r="J4254" i="1"/>
  <c r="I4254" i="1"/>
  <c r="H4254" i="1"/>
  <c r="G4254" i="1"/>
  <c r="F4254" i="1"/>
  <c r="E4254" i="1"/>
  <c r="D4254" i="1"/>
  <c r="C4254" i="1"/>
  <c r="B4254" i="1"/>
  <c r="A4254" i="1"/>
  <c r="R4253" i="1"/>
  <c r="J4253" i="1"/>
  <c r="I4253" i="1"/>
  <c r="G4253" i="1"/>
  <c r="F4253" i="1"/>
  <c r="E4253" i="1"/>
  <c r="D4253" i="1"/>
  <c r="C4253" i="1"/>
  <c r="B4253" i="1"/>
  <c r="A4253" i="1"/>
  <c r="R4252" i="1"/>
  <c r="J4252" i="1"/>
  <c r="I4252" i="1"/>
  <c r="G4252" i="1"/>
  <c r="F4252" i="1"/>
  <c r="E4252" i="1"/>
  <c r="D4252" i="1"/>
  <c r="C4252" i="1"/>
  <c r="B4252" i="1"/>
  <c r="A4252" i="1"/>
  <c r="S4251" i="1"/>
  <c r="O4251" i="1"/>
  <c r="K4251" i="1"/>
  <c r="J4251" i="1"/>
  <c r="I4251" i="1"/>
  <c r="H4251" i="1"/>
  <c r="G4251" i="1"/>
  <c r="F4251" i="1"/>
  <c r="E4251" i="1"/>
  <c r="D4251" i="1"/>
  <c r="C4251" i="1"/>
  <c r="B4251" i="1"/>
  <c r="A4251" i="1"/>
  <c r="R4250" i="1"/>
  <c r="J4250" i="1"/>
  <c r="I4250" i="1"/>
  <c r="G4250" i="1"/>
  <c r="F4250" i="1"/>
  <c r="E4250" i="1"/>
  <c r="D4250" i="1"/>
  <c r="C4250" i="1"/>
  <c r="B4250" i="1"/>
  <c r="A4250" i="1"/>
  <c r="S4249" i="1"/>
  <c r="O4249" i="1"/>
  <c r="K4249" i="1"/>
  <c r="J4249" i="1"/>
  <c r="I4249" i="1"/>
  <c r="H4249" i="1"/>
  <c r="G4249" i="1"/>
  <c r="F4249" i="1"/>
  <c r="E4249" i="1"/>
  <c r="D4249" i="1"/>
  <c r="C4249" i="1"/>
  <c r="B4249" i="1"/>
  <c r="A4249" i="1"/>
  <c r="R4248" i="1"/>
  <c r="J4248" i="1"/>
  <c r="I4248" i="1"/>
  <c r="G4248" i="1"/>
  <c r="F4248" i="1"/>
  <c r="E4248" i="1"/>
  <c r="D4248" i="1"/>
  <c r="C4248" i="1"/>
  <c r="B4248" i="1"/>
  <c r="A4248" i="1"/>
  <c r="R4247" i="1"/>
  <c r="J4247" i="1"/>
  <c r="I4247" i="1"/>
  <c r="G4247" i="1"/>
  <c r="F4247" i="1"/>
  <c r="E4247" i="1"/>
  <c r="D4247" i="1"/>
  <c r="C4247" i="1"/>
  <c r="B4247" i="1"/>
  <c r="A4247" i="1"/>
  <c r="S4246" i="1"/>
  <c r="O4246" i="1"/>
  <c r="K4246" i="1"/>
  <c r="J4246" i="1"/>
  <c r="I4246" i="1"/>
  <c r="H4246" i="1"/>
  <c r="G4246" i="1"/>
  <c r="F4246" i="1"/>
  <c r="E4246" i="1"/>
  <c r="D4246" i="1"/>
  <c r="C4246" i="1"/>
  <c r="B4246" i="1"/>
  <c r="A4246" i="1"/>
  <c r="R4245" i="1"/>
  <c r="J4245" i="1"/>
  <c r="I4245" i="1"/>
  <c r="G4245" i="1"/>
  <c r="F4245" i="1"/>
  <c r="E4245" i="1"/>
  <c r="D4245" i="1"/>
  <c r="C4245" i="1"/>
  <c r="B4245" i="1"/>
  <c r="A4245" i="1"/>
  <c r="S4244" i="1"/>
  <c r="O4244" i="1"/>
  <c r="K4244" i="1"/>
  <c r="J4244" i="1"/>
  <c r="I4244" i="1"/>
  <c r="H4244" i="1"/>
  <c r="G4244" i="1"/>
  <c r="F4244" i="1"/>
  <c r="E4244" i="1"/>
  <c r="D4244" i="1"/>
  <c r="C4244" i="1"/>
  <c r="B4244" i="1"/>
  <c r="A4244" i="1"/>
  <c r="R4243" i="1"/>
  <c r="J4243" i="1"/>
  <c r="I4243" i="1"/>
  <c r="G4243" i="1"/>
  <c r="F4243" i="1"/>
  <c r="E4243" i="1"/>
  <c r="D4243" i="1"/>
  <c r="C4243" i="1"/>
  <c r="B4243" i="1"/>
  <c r="A4243" i="1"/>
  <c r="S4242" i="1"/>
  <c r="O4242" i="1"/>
  <c r="K4242" i="1"/>
  <c r="J4242" i="1"/>
  <c r="I4242" i="1"/>
  <c r="H4242" i="1"/>
  <c r="G4242" i="1"/>
  <c r="F4242" i="1"/>
  <c r="E4242" i="1"/>
  <c r="D4242" i="1"/>
  <c r="C4242" i="1"/>
  <c r="B4242" i="1"/>
  <c r="A4242" i="1"/>
  <c r="R4241" i="1"/>
  <c r="J4241" i="1"/>
  <c r="I4241" i="1"/>
  <c r="G4241" i="1"/>
  <c r="F4241" i="1"/>
  <c r="E4241" i="1"/>
  <c r="D4241" i="1"/>
  <c r="C4241" i="1"/>
  <c r="B4241" i="1"/>
  <c r="A4241" i="1"/>
  <c r="S4240" i="1"/>
  <c r="O4240" i="1"/>
  <c r="K4240" i="1"/>
  <c r="J4240" i="1"/>
  <c r="I4240" i="1"/>
  <c r="H4240" i="1"/>
  <c r="G4240" i="1"/>
  <c r="F4240" i="1"/>
  <c r="E4240" i="1"/>
  <c r="D4240" i="1"/>
  <c r="C4240" i="1"/>
  <c r="B4240" i="1"/>
  <c r="A4240" i="1"/>
  <c r="R4239" i="1"/>
  <c r="J4239" i="1"/>
  <c r="I4239" i="1"/>
  <c r="G4239" i="1"/>
  <c r="F4239" i="1"/>
  <c r="E4239" i="1"/>
  <c r="D4239" i="1"/>
  <c r="C4239" i="1"/>
  <c r="B4239" i="1"/>
  <c r="A4239" i="1"/>
  <c r="S4238" i="1"/>
  <c r="O4238" i="1"/>
  <c r="K4238" i="1"/>
  <c r="J4238" i="1"/>
  <c r="I4238" i="1"/>
  <c r="H4238" i="1"/>
  <c r="G4238" i="1"/>
  <c r="F4238" i="1"/>
  <c r="E4238" i="1"/>
  <c r="D4238" i="1"/>
  <c r="C4238" i="1"/>
  <c r="B4238" i="1"/>
  <c r="A4238" i="1"/>
  <c r="R4237" i="1"/>
  <c r="J4237" i="1"/>
  <c r="I4237" i="1"/>
  <c r="G4237" i="1"/>
  <c r="F4237" i="1"/>
  <c r="E4237" i="1"/>
  <c r="D4237" i="1"/>
  <c r="C4237" i="1"/>
  <c r="B4237" i="1"/>
  <c r="A4237" i="1"/>
  <c r="S4236" i="1"/>
  <c r="O4236" i="1"/>
  <c r="K4236" i="1"/>
  <c r="J4236" i="1"/>
  <c r="I4236" i="1"/>
  <c r="H4236" i="1"/>
  <c r="G4236" i="1"/>
  <c r="F4236" i="1"/>
  <c r="E4236" i="1"/>
  <c r="D4236" i="1"/>
  <c r="C4236" i="1"/>
  <c r="B4236" i="1"/>
  <c r="A4236" i="1"/>
  <c r="R4235" i="1"/>
  <c r="J4235" i="1"/>
  <c r="I4235" i="1"/>
  <c r="G4235" i="1"/>
  <c r="F4235" i="1"/>
  <c r="E4235" i="1"/>
  <c r="D4235" i="1"/>
  <c r="C4235" i="1"/>
  <c r="B4235" i="1"/>
  <c r="A4235" i="1"/>
  <c r="S4234" i="1"/>
  <c r="O4234" i="1"/>
  <c r="K4234" i="1"/>
  <c r="J4234" i="1"/>
  <c r="I4234" i="1"/>
  <c r="H4234" i="1"/>
  <c r="G4234" i="1"/>
  <c r="F4234" i="1"/>
  <c r="E4234" i="1"/>
  <c r="D4234" i="1"/>
  <c r="C4234" i="1"/>
  <c r="B4234" i="1"/>
  <c r="A4234" i="1"/>
  <c r="R4233" i="1"/>
  <c r="J4233" i="1"/>
  <c r="I4233" i="1"/>
  <c r="G4233" i="1"/>
  <c r="F4233" i="1"/>
  <c r="E4233" i="1"/>
  <c r="D4233" i="1"/>
  <c r="C4233" i="1"/>
  <c r="B4233" i="1"/>
  <c r="A4233" i="1"/>
  <c r="S4232" i="1"/>
  <c r="O4232" i="1"/>
  <c r="K4232" i="1"/>
  <c r="J4232" i="1"/>
  <c r="I4232" i="1"/>
  <c r="H4232" i="1"/>
  <c r="G4232" i="1"/>
  <c r="F4232" i="1"/>
  <c r="E4232" i="1"/>
  <c r="D4232" i="1"/>
  <c r="C4232" i="1"/>
  <c r="B4232" i="1"/>
  <c r="A4232" i="1"/>
  <c r="R4231" i="1"/>
  <c r="J4231" i="1"/>
  <c r="I4231" i="1"/>
  <c r="G4231" i="1"/>
  <c r="F4231" i="1"/>
  <c r="E4231" i="1"/>
  <c r="D4231" i="1"/>
  <c r="C4231" i="1"/>
  <c r="B4231" i="1"/>
  <c r="A4231" i="1"/>
  <c r="S4230" i="1"/>
  <c r="O4230" i="1"/>
  <c r="K4230" i="1"/>
  <c r="J4230" i="1"/>
  <c r="I4230" i="1"/>
  <c r="H4230" i="1"/>
  <c r="G4230" i="1"/>
  <c r="F4230" i="1"/>
  <c r="E4230" i="1"/>
  <c r="D4230" i="1"/>
  <c r="C4230" i="1"/>
  <c r="B4230" i="1"/>
  <c r="A4230" i="1"/>
  <c r="R4229" i="1"/>
  <c r="J4229" i="1"/>
  <c r="I4229" i="1"/>
  <c r="G4229" i="1"/>
  <c r="F4229" i="1"/>
  <c r="E4229" i="1"/>
  <c r="D4229" i="1"/>
  <c r="C4229" i="1"/>
  <c r="B4229" i="1"/>
  <c r="A4229" i="1"/>
  <c r="S4228" i="1"/>
  <c r="O4228" i="1"/>
  <c r="K4228" i="1"/>
  <c r="J4228" i="1"/>
  <c r="I4228" i="1"/>
  <c r="H4228" i="1"/>
  <c r="G4228" i="1"/>
  <c r="F4228" i="1"/>
  <c r="E4228" i="1"/>
  <c r="D4228" i="1"/>
  <c r="C4228" i="1"/>
  <c r="B4228" i="1"/>
  <c r="A4228" i="1"/>
  <c r="R4227" i="1"/>
  <c r="J4227" i="1"/>
  <c r="I4227" i="1"/>
  <c r="G4227" i="1"/>
  <c r="F4227" i="1"/>
  <c r="E4227" i="1"/>
  <c r="D4227" i="1"/>
  <c r="C4227" i="1"/>
  <c r="B4227" i="1"/>
  <c r="A4227" i="1"/>
  <c r="R4226" i="1"/>
  <c r="J4226" i="1"/>
  <c r="I4226" i="1"/>
  <c r="G4226" i="1"/>
  <c r="F4226" i="1"/>
  <c r="E4226" i="1"/>
  <c r="D4226" i="1"/>
  <c r="C4226" i="1"/>
  <c r="B4226" i="1"/>
  <c r="A4226" i="1"/>
  <c r="R4225" i="1"/>
  <c r="J4225" i="1"/>
  <c r="I4225" i="1"/>
  <c r="G4225" i="1"/>
  <c r="F4225" i="1"/>
  <c r="E4225" i="1"/>
  <c r="D4225" i="1"/>
  <c r="C4225" i="1"/>
  <c r="B4225" i="1"/>
  <c r="A4225" i="1"/>
  <c r="S4224" i="1"/>
  <c r="O4224" i="1"/>
  <c r="K4224" i="1"/>
  <c r="J4224" i="1"/>
  <c r="I4224" i="1"/>
  <c r="H4224" i="1"/>
  <c r="G4224" i="1"/>
  <c r="F4224" i="1"/>
  <c r="E4224" i="1"/>
  <c r="D4224" i="1"/>
  <c r="C4224" i="1"/>
  <c r="B4224" i="1"/>
  <c r="A4224" i="1"/>
  <c r="R4223" i="1"/>
  <c r="J4223" i="1"/>
  <c r="I4223" i="1"/>
  <c r="G4223" i="1"/>
  <c r="F4223" i="1"/>
  <c r="E4223" i="1"/>
  <c r="D4223" i="1"/>
  <c r="C4223" i="1"/>
  <c r="B4223" i="1"/>
  <c r="A4223" i="1"/>
  <c r="S4222" i="1"/>
  <c r="O4222" i="1"/>
  <c r="K4222" i="1"/>
  <c r="J4222" i="1"/>
  <c r="I4222" i="1"/>
  <c r="H4222" i="1"/>
  <c r="G4222" i="1"/>
  <c r="F4222" i="1"/>
  <c r="E4222" i="1"/>
  <c r="D4222" i="1"/>
  <c r="C4222" i="1"/>
  <c r="B4222" i="1"/>
  <c r="A4222" i="1"/>
  <c r="R4221" i="1"/>
  <c r="J4221" i="1"/>
  <c r="I4221" i="1"/>
  <c r="G4221" i="1"/>
  <c r="F4221" i="1"/>
  <c r="E4221" i="1"/>
  <c r="D4221" i="1"/>
  <c r="C4221" i="1"/>
  <c r="B4221" i="1"/>
  <c r="A4221" i="1"/>
  <c r="S4220" i="1"/>
  <c r="O4220" i="1"/>
  <c r="K4220" i="1"/>
  <c r="J4220" i="1"/>
  <c r="I4220" i="1"/>
  <c r="H4220" i="1"/>
  <c r="G4220" i="1"/>
  <c r="F4220" i="1"/>
  <c r="E4220" i="1"/>
  <c r="D4220" i="1"/>
  <c r="C4220" i="1"/>
  <c r="B4220" i="1"/>
  <c r="A4220" i="1"/>
  <c r="R4219" i="1"/>
  <c r="J4219" i="1"/>
  <c r="I4219" i="1"/>
  <c r="G4219" i="1"/>
  <c r="F4219" i="1"/>
  <c r="E4219" i="1"/>
  <c r="D4219" i="1"/>
  <c r="C4219" i="1"/>
  <c r="B4219" i="1"/>
  <c r="A4219" i="1"/>
  <c r="S4218" i="1"/>
  <c r="O4218" i="1"/>
  <c r="K4218" i="1"/>
  <c r="J4218" i="1"/>
  <c r="I4218" i="1"/>
  <c r="H4218" i="1"/>
  <c r="G4218" i="1"/>
  <c r="F4218" i="1"/>
  <c r="E4218" i="1"/>
  <c r="D4218" i="1"/>
  <c r="C4218" i="1"/>
  <c r="B4218" i="1"/>
  <c r="A4218" i="1"/>
  <c r="R4217" i="1"/>
  <c r="J4217" i="1"/>
  <c r="I4217" i="1"/>
  <c r="G4217" i="1"/>
  <c r="F4217" i="1"/>
  <c r="E4217" i="1"/>
  <c r="D4217" i="1"/>
  <c r="C4217" i="1"/>
  <c r="B4217" i="1"/>
  <c r="A4217" i="1"/>
  <c r="S4216" i="1"/>
  <c r="O4216" i="1"/>
  <c r="K4216" i="1"/>
  <c r="J4216" i="1"/>
  <c r="I4216" i="1"/>
  <c r="H4216" i="1"/>
  <c r="G4216" i="1"/>
  <c r="F4216" i="1"/>
  <c r="E4216" i="1"/>
  <c r="D4216" i="1"/>
  <c r="C4216" i="1"/>
  <c r="B4216" i="1"/>
  <c r="A4216" i="1"/>
  <c r="R4215" i="1"/>
  <c r="J4215" i="1"/>
  <c r="I4215" i="1"/>
  <c r="G4215" i="1"/>
  <c r="F4215" i="1"/>
  <c r="E4215" i="1"/>
  <c r="D4215" i="1"/>
  <c r="C4215" i="1"/>
  <c r="B4215" i="1"/>
  <c r="A4215" i="1"/>
  <c r="R4214" i="1"/>
  <c r="J4214" i="1"/>
  <c r="I4214" i="1"/>
  <c r="G4214" i="1"/>
  <c r="F4214" i="1"/>
  <c r="E4214" i="1"/>
  <c r="D4214" i="1"/>
  <c r="C4214" i="1"/>
  <c r="B4214" i="1"/>
  <c r="A4214" i="1"/>
  <c r="S4213" i="1"/>
  <c r="O4213" i="1"/>
  <c r="K4213" i="1"/>
  <c r="J4213" i="1"/>
  <c r="I4213" i="1"/>
  <c r="H4213" i="1"/>
  <c r="G4213" i="1"/>
  <c r="F4213" i="1"/>
  <c r="E4213" i="1"/>
  <c r="D4213" i="1"/>
  <c r="C4213" i="1"/>
  <c r="B4213" i="1"/>
  <c r="A4213" i="1"/>
  <c r="R4212" i="1"/>
  <c r="J4212" i="1"/>
  <c r="I4212" i="1"/>
  <c r="G4212" i="1"/>
  <c r="F4212" i="1"/>
  <c r="E4212" i="1"/>
  <c r="D4212" i="1"/>
  <c r="C4212" i="1"/>
  <c r="B4212" i="1"/>
  <c r="A4212" i="1"/>
  <c r="S4211" i="1"/>
  <c r="O4211" i="1"/>
  <c r="K4211" i="1"/>
  <c r="J4211" i="1"/>
  <c r="I4211" i="1"/>
  <c r="H4211" i="1"/>
  <c r="G4211" i="1"/>
  <c r="F4211" i="1"/>
  <c r="E4211" i="1"/>
  <c r="D4211" i="1"/>
  <c r="C4211" i="1"/>
  <c r="B4211" i="1"/>
  <c r="A4211" i="1"/>
  <c r="R4210" i="1"/>
  <c r="J4210" i="1"/>
  <c r="I4210" i="1"/>
  <c r="G4210" i="1"/>
  <c r="F4210" i="1"/>
  <c r="E4210" i="1"/>
  <c r="D4210" i="1"/>
  <c r="C4210" i="1"/>
  <c r="B4210" i="1"/>
  <c r="A4210" i="1"/>
  <c r="R4209" i="1"/>
  <c r="J4209" i="1"/>
  <c r="I4209" i="1"/>
  <c r="G4209" i="1"/>
  <c r="F4209" i="1"/>
  <c r="E4209" i="1"/>
  <c r="D4209" i="1"/>
  <c r="C4209" i="1"/>
  <c r="B4209" i="1"/>
  <c r="A4209" i="1"/>
  <c r="S4208" i="1"/>
  <c r="O4208" i="1"/>
  <c r="K4208" i="1"/>
  <c r="J4208" i="1"/>
  <c r="I4208" i="1"/>
  <c r="H4208" i="1"/>
  <c r="G4208" i="1"/>
  <c r="F4208" i="1"/>
  <c r="E4208" i="1"/>
  <c r="D4208" i="1"/>
  <c r="C4208" i="1"/>
  <c r="B4208" i="1"/>
  <c r="A4208" i="1"/>
  <c r="R4207" i="1"/>
  <c r="J4207" i="1"/>
  <c r="I4207" i="1"/>
  <c r="G4207" i="1"/>
  <c r="F4207" i="1"/>
  <c r="E4207" i="1"/>
  <c r="D4207" i="1"/>
  <c r="C4207" i="1"/>
  <c r="B4207" i="1"/>
  <c r="A4207" i="1"/>
  <c r="S4206" i="1"/>
  <c r="O4206" i="1"/>
  <c r="K4206" i="1"/>
  <c r="J4206" i="1"/>
  <c r="I4206" i="1"/>
  <c r="H4206" i="1"/>
  <c r="G4206" i="1"/>
  <c r="F4206" i="1"/>
  <c r="E4206" i="1"/>
  <c r="D4206" i="1"/>
  <c r="C4206" i="1"/>
  <c r="B4206" i="1"/>
  <c r="A4206" i="1"/>
  <c r="R4205" i="1"/>
  <c r="J4205" i="1"/>
  <c r="I4205" i="1"/>
  <c r="G4205" i="1"/>
  <c r="F4205" i="1"/>
  <c r="E4205" i="1"/>
  <c r="D4205" i="1"/>
  <c r="C4205" i="1"/>
  <c r="B4205" i="1"/>
  <c r="A4205" i="1"/>
  <c r="S4204" i="1"/>
  <c r="O4204" i="1"/>
  <c r="K4204" i="1"/>
  <c r="J4204" i="1"/>
  <c r="I4204" i="1"/>
  <c r="H4204" i="1"/>
  <c r="G4204" i="1"/>
  <c r="F4204" i="1"/>
  <c r="E4204" i="1"/>
  <c r="D4204" i="1"/>
  <c r="C4204" i="1"/>
  <c r="B4204" i="1"/>
  <c r="A4204" i="1"/>
  <c r="R4203" i="1"/>
  <c r="J4203" i="1"/>
  <c r="I4203" i="1"/>
  <c r="G4203" i="1"/>
  <c r="F4203" i="1"/>
  <c r="E4203" i="1"/>
  <c r="D4203" i="1"/>
  <c r="C4203" i="1"/>
  <c r="B4203" i="1"/>
  <c r="A4203" i="1"/>
  <c r="S4202" i="1"/>
  <c r="O4202" i="1"/>
  <c r="K4202" i="1"/>
  <c r="J4202" i="1"/>
  <c r="I4202" i="1"/>
  <c r="H4202" i="1"/>
  <c r="G4202" i="1"/>
  <c r="F4202" i="1"/>
  <c r="E4202" i="1"/>
  <c r="D4202" i="1"/>
  <c r="C4202" i="1"/>
  <c r="B4202" i="1"/>
  <c r="A4202" i="1"/>
  <c r="R4201" i="1"/>
  <c r="J4201" i="1"/>
  <c r="I4201" i="1"/>
  <c r="G4201" i="1"/>
  <c r="F4201" i="1"/>
  <c r="E4201" i="1"/>
  <c r="D4201" i="1"/>
  <c r="C4201" i="1"/>
  <c r="B4201" i="1"/>
  <c r="A4201" i="1"/>
  <c r="S4200" i="1"/>
  <c r="O4200" i="1"/>
  <c r="K4200" i="1"/>
  <c r="J4200" i="1"/>
  <c r="I4200" i="1"/>
  <c r="H4200" i="1"/>
  <c r="G4200" i="1"/>
  <c r="F4200" i="1"/>
  <c r="E4200" i="1"/>
  <c r="D4200" i="1"/>
  <c r="C4200" i="1"/>
  <c r="B4200" i="1"/>
  <c r="A4200" i="1"/>
  <c r="R4199" i="1"/>
  <c r="J4199" i="1"/>
  <c r="I4199" i="1"/>
  <c r="G4199" i="1"/>
  <c r="F4199" i="1"/>
  <c r="E4199" i="1"/>
  <c r="D4199" i="1"/>
  <c r="C4199" i="1"/>
  <c r="B4199" i="1"/>
  <c r="A4199" i="1"/>
  <c r="R4198" i="1"/>
  <c r="J4198" i="1"/>
  <c r="I4198" i="1"/>
  <c r="G4198" i="1"/>
  <c r="F4198" i="1"/>
  <c r="E4198" i="1"/>
  <c r="D4198" i="1"/>
  <c r="C4198" i="1"/>
  <c r="B4198" i="1"/>
  <c r="A4198" i="1"/>
  <c r="R4197" i="1"/>
  <c r="J4197" i="1"/>
  <c r="I4197" i="1"/>
  <c r="G4197" i="1"/>
  <c r="F4197" i="1"/>
  <c r="E4197" i="1"/>
  <c r="D4197" i="1"/>
  <c r="C4197" i="1"/>
  <c r="B4197" i="1"/>
  <c r="A4197" i="1"/>
  <c r="R4196" i="1"/>
  <c r="J4196" i="1"/>
  <c r="I4196" i="1"/>
  <c r="G4196" i="1"/>
  <c r="F4196" i="1"/>
  <c r="E4196" i="1"/>
  <c r="D4196" i="1"/>
  <c r="C4196" i="1"/>
  <c r="B4196" i="1"/>
  <c r="A4196" i="1"/>
  <c r="S4195" i="1"/>
  <c r="O4195" i="1"/>
  <c r="K4195" i="1"/>
  <c r="J4195" i="1"/>
  <c r="I4195" i="1"/>
  <c r="H4195" i="1"/>
  <c r="G4195" i="1"/>
  <c r="F4195" i="1"/>
  <c r="E4195" i="1"/>
  <c r="D4195" i="1"/>
  <c r="C4195" i="1"/>
  <c r="B4195" i="1"/>
  <c r="A4195" i="1"/>
  <c r="R4194" i="1"/>
  <c r="J4194" i="1"/>
  <c r="I4194" i="1"/>
  <c r="G4194" i="1"/>
  <c r="F4194" i="1"/>
  <c r="E4194" i="1"/>
  <c r="D4194" i="1"/>
  <c r="C4194" i="1"/>
  <c r="B4194" i="1"/>
  <c r="A4194" i="1"/>
  <c r="S4193" i="1"/>
  <c r="O4193" i="1"/>
  <c r="K4193" i="1"/>
  <c r="J4193" i="1"/>
  <c r="I4193" i="1"/>
  <c r="H4193" i="1"/>
  <c r="G4193" i="1"/>
  <c r="F4193" i="1"/>
  <c r="E4193" i="1"/>
  <c r="D4193" i="1"/>
  <c r="C4193" i="1"/>
  <c r="B4193" i="1"/>
  <c r="A4193" i="1"/>
  <c r="R4192" i="1"/>
  <c r="J4192" i="1"/>
  <c r="I4192" i="1"/>
  <c r="G4192" i="1"/>
  <c r="F4192" i="1"/>
  <c r="E4192" i="1"/>
  <c r="D4192" i="1"/>
  <c r="C4192" i="1"/>
  <c r="B4192" i="1"/>
  <c r="A4192" i="1"/>
  <c r="R4191" i="1"/>
  <c r="J4191" i="1"/>
  <c r="I4191" i="1"/>
  <c r="G4191" i="1"/>
  <c r="F4191" i="1"/>
  <c r="E4191" i="1"/>
  <c r="D4191" i="1"/>
  <c r="C4191" i="1"/>
  <c r="B4191" i="1"/>
  <c r="A4191" i="1"/>
  <c r="S4190" i="1"/>
  <c r="O4190" i="1"/>
  <c r="K4190" i="1"/>
  <c r="J4190" i="1"/>
  <c r="I4190" i="1"/>
  <c r="H4190" i="1"/>
  <c r="G4190" i="1"/>
  <c r="F4190" i="1"/>
  <c r="E4190" i="1"/>
  <c r="D4190" i="1"/>
  <c r="C4190" i="1"/>
  <c r="B4190" i="1"/>
  <c r="A4190" i="1"/>
  <c r="R4189" i="1"/>
  <c r="J4189" i="1"/>
  <c r="I4189" i="1"/>
  <c r="G4189" i="1"/>
  <c r="F4189" i="1"/>
  <c r="E4189" i="1"/>
  <c r="D4189" i="1"/>
  <c r="C4189" i="1"/>
  <c r="B4189" i="1"/>
  <c r="A4189" i="1"/>
  <c r="S4188" i="1"/>
  <c r="O4188" i="1"/>
  <c r="K4188" i="1"/>
  <c r="J4188" i="1"/>
  <c r="I4188" i="1"/>
  <c r="H4188" i="1"/>
  <c r="G4188" i="1"/>
  <c r="F4188" i="1"/>
  <c r="E4188" i="1"/>
  <c r="D4188" i="1"/>
  <c r="C4188" i="1"/>
  <c r="B4188" i="1"/>
  <c r="A4188" i="1"/>
  <c r="R4187" i="1"/>
  <c r="J4187" i="1"/>
  <c r="I4187" i="1"/>
  <c r="G4187" i="1"/>
  <c r="F4187" i="1"/>
  <c r="E4187" i="1"/>
  <c r="D4187" i="1"/>
  <c r="C4187" i="1"/>
  <c r="B4187" i="1"/>
  <c r="A4187" i="1"/>
  <c r="S4186" i="1"/>
  <c r="O4186" i="1"/>
  <c r="K4186" i="1"/>
  <c r="J4186" i="1"/>
  <c r="I4186" i="1"/>
  <c r="H4186" i="1"/>
  <c r="G4186" i="1"/>
  <c r="F4186" i="1"/>
  <c r="E4186" i="1"/>
  <c r="D4186" i="1"/>
  <c r="C4186" i="1"/>
  <c r="B4186" i="1"/>
  <c r="A4186" i="1"/>
  <c r="R4185" i="1"/>
  <c r="J4185" i="1"/>
  <c r="I4185" i="1"/>
  <c r="G4185" i="1"/>
  <c r="F4185" i="1"/>
  <c r="E4185" i="1"/>
  <c r="D4185" i="1"/>
  <c r="C4185" i="1"/>
  <c r="B4185" i="1"/>
  <c r="A4185" i="1"/>
  <c r="S4184" i="1"/>
  <c r="O4184" i="1"/>
  <c r="K4184" i="1"/>
  <c r="J4184" i="1"/>
  <c r="I4184" i="1"/>
  <c r="H4184" i="1"/>
  <c r="G4184" i="1"/>
  <c r="F4184" i="1"/>
  <c r="E4184" i="1"/>
  <c r="D4184" i="1"/>
  <c r="C4184" i="1"/>
  <c r="B4184" i="1"/>
  <c r="A4184" i="1"/>
  <c r="R4183" i="1"/>
  <c r="J4183" i="1"/>
  <c r="I4183" i="1"/>
  <c r="G4183" i="1"/>
  <c r="F4183" i="1"/>
  <c r="E4183" i="1"/>
  <c r="D4183" i="1"/>
  <c r="C4183" i="1"/>
  <c r="B4183" i="1"/>
  <c r="A4183" i="1"/>
  <c r="S4182" i="1"/>
  <c r="O4182" i="1"/>
  <c r="K4182" i="1"/>
  <c r="J4182" i="1"/>
  <c r="I4182" i="1"/>
  <c r="H4182" i="1"/>
  <c r="G4182" i="1"/>
  <c r="F4182" i="1"/>
  <c r="E4182" i="1"/>
  <c r="D4182" i="1"/>
  <c r="C4182" i="1"/>
  <c r="B4182" i="1"/>
  <c r="A4182" i="1"/>
  <c r="R4181" i="1"/>
  <c r="J4181" i="1"/>
  <c r="I4181" i="1"/>
  <c r="G4181" i="1"/>
  <c r="F4181" i="1"/>
  <c r="E4181" i="1"/>
  <c r="D4181" i="1"/>
  <c r="C4181" i="1"/>
  <c r="B4181" i="1"/>
  <c r="A4181" i="1"/>
  <c r="R4180" i="1"/>
  <c r="J4180" i="1"/>
  <c r="I4180" i="1"/>
  <c r="G4180" i="1"/>
  <c r="F4180" i="1"/>
  <c r="E4180" i="1"/>
  <c r="D4180" i="1"/>
  <c r="C4180" i="1"/>
  <c r="B4180" i="1"/>
  <c r="A4180" i="1"/>
  <c r="S4179" i="1"/>
  <c r="O4179" i="1"/>
  <c r="K4179" i="1"/>
  <c r="J4179" i="1"/>
  <c r="I4179" i="1"/>
  <c r="H4179" i="1"/>
  <c r="G4179" i="1"/>
  <c r="F4179" i="1"/>
  <c r="E4179" i="1"/>
  <c r="D4179" i="1"/>
  <c r="C4179" i="1"/>
  <c r="B4179" i="1"/>
  <c r="A4179" i="1"/>
  <c r="R4178" i="1"/>
  <c r="J4178" i="1"/>
  <c r="I4178" i="1"/>
  <c r="G4178" i="1"/>
  <c r="F4178" i="1"/>
  <c r="E4178" i="1"/>
  <c r="D4178" i="1"/>
  <c r="C4178" i="1"/>
  <c r="B4178" i="1"/>
  <c r="A4178" i="1"/>
  <c r="S4177" i="1"/>
  <c r="O4177" i="1"/>
  <c r="K4177" i="1"/>
  <c r="J4177" i="1"/>
  <c r="I4177" i="1"/>
  <c r="H4177" i="1"/>
  <c r="G4177" i="1"/>
  <c r="F4177" i="1"/>
  <c r="E4177" i="1"/>
  <c r="D4177" i="1"/>
  <c r="C4177" i="1"/>
  <c r="B4177" i="1"/>
  <c r="A4177" i="1"/>
  <c r="R4176" i="1"/>
  <c r="J4176" i="1"/>
  <c r="I4176" i="1"/>
  <c r="G4176" i="1"/>
  <c r="F4176" i="1"/>
  <c r="E4176" i="1"/>
  <c r="D4176" i="1"/>
  <c r="C4176" i="1"/>
  <c r="B4176" i="1"/>
  <c r="A4176" i="1"/>
  <c r="S4175" i="1"/>
  <c r="O4175" i="1"/>
  <c r="K4175" i="1"/>
  <c r="J4175" i="1"/>
  <c r="I4175" i="1"/>
  <c r="H4175" i="1"/>
  <c r="G4175" i="1"/>
  <c r="F4175" i="1"/>
  <c r="E4175" i="1"/>
  <c r="D4175" i="1"/>
  <c r="C4175" i="1"/>
  <c r="B4175" i="1"/>
  <c r="A4175" i="1"/>
  <c r="R4174" i="1"/>
  <c r="J4174" i="1"/>
  <c r="I4174" i="1"/>
  <c r="G4174" i="1"/>
  <c r="F4174" i="1"/>
  <c r="E4174" i="1"/>
  <c r="D4174" i="1"/>
  <c r="C4174" i="1"/>
  <c r="B4174" i="1"/>
  <c r="A4174" i="1"/>
  <c r="S4173" i="1"/>
  <c r="O4173" i="1"/>
  <c r="K4173" i="1"/>
  <c r="J4173" i="1"/>
  <c r="I4173" i="1"/>
  <c r="H4173" i="1"/>
  <c r="G4173" i="1"/>
  <c r="F4173" i="1"/>
  <c r="E4173" i="1"/>
  <c r="D4173" i="1"/>
  <c r="C4173" i="1"/>
  <c r="B4173" i="1"/>
  <c r="A4173" i="1"/>
  <c r="R4172" i="1"/>
  <c r="J4172" i="1"/>
  <c r="I4172" i="1"/>
  <c r="G4172" i="1"/>
  <c r="F4172" i="1"/>
  <c r="E4172" i="1"/>
  <c r="D4172" i="1"/>
  <c r="C4172" i="1"/>
  <c r="B4172" i="1"/>
  <c r="A4172" i="1"/>
  <c r="R4171" i="1"/>
  <c r="J4171" i="1"/>
  <c r="I4171" i="1"/>
  <c r="G4171" i="1"/>
  <c r="F4171" i="1"/>
  <c r="E4171" i="1"/>
  <c r="D4171" i="1"/>
  <c r="C4171" i="1"/>
  <c r="B4171" i="1"/>
  <c r="A4171" i="1"/>
  <c r="S4170" i="1"/>
  <c r="O4170" i="1"/>
  <c r="K4170" i="1"/>
  <c r="J4170" i="1"/>
  <c r="I4170" i="1"/>
  <c r="H4170" i="1"/>
  <c r="G4170" i="1"/>
  <c r="F4170" i="1"/>
  <c r="E4170" i="1"/>
  <c r="D4170" i="1"/>
  <c r="C4170" i="1"/>
  <c r="B4170" i="1"/>
  <c r="A4170" i="1"/>
  <c r="R4169" i="1"/>
  <c r="J4169" i="1"/>
  <c r="I4169" i="1"/>
  <c r="G4169" i="1"/>
  <c r="F4169" i="1"/>
  <c r="E4169" i="1"/>
  <c r="D4169" i="1"/>
  <c r="C4169" i="1"/>
  <c r="B4169" i="1"/>
  <c r="A4169" i="1"/>
  <c r="S4168" i="1"/>
  <c r="O4168" i="1"/>
  <c r="K4168" i="1"/>
  <c r="J4168" i="1"/>
  <c r="I4168" i="1"/>
  <c r="H4168" i="1"/>
  <c r="G4168" i="1"/>
  <c r="F4168" i="1"/>
  <c r="E4168" i="1"/>
  <c r="D4168" i="1"/>
  <c r="C4168" i="1"/>
  <c r="B4168" i="1"/>
  <c r="A4168" i="1"/>
  <c r="R4167" i="1"/>
  <c r="J4167" i="1"/>
  <c r="I4167" i="1"/>
  <c r="G4167" i="1"/>
  <c r="F4167" i="1"/>
  <c r="E4167" i="1"/>
  <c r="D4167" i="1"/>
  <c r="C4167" i="1"/>
  <c r="B4167" i="1"/>
  <c r="A4167" i="1"/>
  <c r="S4166" i="1"/>
  <c r="O4166" i="1"/>
  <c r="K4166" i="1"/>
  <c r="J4166" i="1"/>
  <c r="I4166" i="1"/>
  <c r="H4166" i="1"/>
  <c r="G4166" i="1"/>
  <c r="F4166" i="1"/>
  <c r="E4166" i="1"/>
  <c r="D4166" i="1"/>
  <c r="C4166" i="1"/>
  <c r="B4166" i="1"/>
  <c r="A4166" i="1"/>
  <c r="R4165" i="1"/>
  <c r="J4165" i="1"/>
  <c r="I4165" i="1"/>
  <c r="G4165" i="1"/>
  <c r="F4165" i="1"/>
  <c r="E4165" i="1"/>
  <c r="D4165" i="1"/>
  <c r="C4165" i="1"/>
  <c r="B4165" i="1"/>
  <c r="A4165" i="1"/>
  <c r="S4164" i="1"/>
  <c r="O4164" i="1"/>
  <c r="K4164" i="1"/>
  <c r="J4164" i="1"/>
  <c r="I4164" i="1"/>
  <c r="H4164" i="1"/>
  <c r="G4164" i="1"/>
  <c r="F4164" i="1"/>
  <c r="E4164" i="1"/>
  <c r="D4164" i="1"/>
  <c r="C4164" i="1"/>
  <c r="B4164" i="1"/>
  <c r="A4164" i="1"/>
  <c r="R4163" i="1"/>
  <c r="J4163" i="1"/>
  <c r="I4163" i="1"/>
  <c r="G4163" i="1"/>
  <c r="F4163" i="1"/>
  <c r="E4163" i="1"/>
  <c r="D4163" i="1"/>
  <c r="C4163" i="1"/>
  <c r="B4163" i="1"/>
  <c r="A4163" i="1"/>
  <c r="R4162" i="1"/>
  <c r="J4162" i="1"/>
  <c r="I4162" i="1"/>
  <c r="G4162" i="1"/>
  <c r="F4162" i="1"/>
  <c r="E4162" i="1"/>
  <c r="D4162" i="1"/>
  <c r="C4162" i="1"/>
  <c r="B4162" i="1"/>
  <c r="A4162" i="1"/>
  <c r="S4161" i="1"/>
  <c r="O4161" i="1"/>
  <c r="K4161" i="1"/>
  <c r="J4161" i="1"/>
  <c r="I4161" i="1"/>
  <c r="H4161" i="1"/>
  <c r="G4161" i="1"/>
  <c r="F4161" i="1"/>
  <c r="E4161" i="1"/>
  <c r="D4161" i="1"/>
  <c r="C4161" i="1"/>
  <c r="B4161" i="1"/>
  <c r="A4161" i="1"/>
  <c r="R4160" i="1"/>
  <c r="J4160" i="1"/>
  <c r="I4160" i="1"/>
  <c r="G4160" i="1"/>
  <c r="F4160" i="1"/>
  <c r="E4160" i="1"/>
  <c r="D4160" i="1"/>
  <c r="C4160" i="1"/>
  <c r="B4160" i="1"/>
  <c r="A4160" i="1"/>
  <c r="R4159" i="1"/>
  <c r="J4159" i="1"/>
  <c r="I4159" i="1"/>
  <c r="G4159" i="1"/>
  <c r="F4159" i="1"/>
  <c r="E4159" i="1"/>
  <c r="D4159" i="1"/>
  <c r="C4159" i="1"/>
  <c r="B4159" i="1"/>
  <c r="A4159" i="1"/>
  <c r="S4158" i="1"/>
  <c r="O4158" i="1"/>
  <c r="K4158" i="1"/>
  <c r="J4158" i="1"/>
  <c r="I4158" i="1"/>
  <c r="H4158" i="1"/>
  <c r="G4158" i="1"/>
  <c r="F4158" i="1"/>
  <c r="E4158" i="1"/>
  <c r="D4158" i="1"/>
  <c r="C4158" i="1"/>
  <c r="B4158" i="1"/>
  <c r="A4158" i="1"/>
  <c r="R4157" i="1"/>
  <c r="J4157" i="1"/>
  <c r="I4157" i="1"/>
  <c r="G4157" i="1"/>
  <c r="F4157" i="1"/>
  <c r="E4157" i="1"/>
  <c r="D4157" i="1"/>
  <c r="C4157" i="1"/>
  <c r="B4157" i="1"/>
  <c r="A4157" i="1"/>
  <c r="S4156" i="1"/>
  <c r="O4156" i="1"/>
  <c r="K4156" i="1"/>
  <c r="J4156" i="1"/>
  <c r="I4156" i="1"/>
  <c r="H4156" i="1"/>
  <c r="G4156" i="1"/>
  <c r="F4156" i="1"/>
  <c r="E4156" i="1"/>
  <c r="D4156" i="1"/>
  <c r="C4156" i="1"/>
  <c r="B4156" i="1"/>
  <c r="A4156" i="1"/>
  <c r="R4155" i="1"/>
  <c r="J4155" i="1"/>
  <c r="I4155" i="1"/>
  <c r="G4155" i="1"/>
  <c r="F4155" i="1"/>
  <c r="E4155" i="1"/>
  <c r="D4155" i="1"/>
  <c r="C4155" i="1"/>
  <c r="B4155" i="1"/>
  <c r="A4155" i="1"/>
  <c r="S4154" i="1"/>
  <c r="O4154" i="1"/>
  <c r="K4154" i="1"/>
  <c r="J4154" i="1"/>
  <c r="I4154" i="1"/>
  <c r="H4154" i="1"/>
  <c r="G4154" i="1"/>
  <c r="F4154" i="1"/>
  <c r="E4154" i="1"/>
  <c r="D4154" i="1"/>
  <c r="C4154" i="1"/>
  <c r="B4154" i="1"/>
  <c r="A4154" i="1"/>
  <c r="R4153" i="1"/>
  <c r="J4153" i="1"/>
  <c r="I4153" i="1"/>
  <c r="G4153" i="1"/>
  <c r="F4153" i="1"/>
  <c r="E4153" i="1"/>
  <c r="D4153" i="1"/>
  <c r="C4153" i="1"/>
  <c r="B4153" i="1"/>
  <c r="A4153" i="1"/>
  <c r="S4152" i="1"/>
  <c r="O4152" i="1"/>
  <c r="K4152" i="1"/>
  <c r="J4152" i="1"/>
  <c r="I4152" i="1"/>
  <c r="H4152" i="1"/>
  <c r="G4152" i="1"/>
  <c r="F4152" i="1"/>
  <c r="E4152" i="1"/>
  <c r="D4152" i="1"/>
  <c r="C4152" i="1"/>
  <c r="B4152" i="1"/>
  <c r="A4152" i="1"/>
  <c r="R4151" i="1"/>
  <c r="J4151" i="1"/>
  <c r="I4151" i="1"/>
  <c r="G4151" i="1"/>
  <c r="F4151" i="1"/>
  <c r="E4151" i="1"/>
  <c r="D4151" i="1"/>
  <c r="C4151" i="1"/>
  <c r="B4151" i="1"/>
  <c r="A4151" i="1"/>
  <c r="S4150" i="1"/>
  <c r="O4150" i="1"/>
  <c r="K4150" i="1"/>
  <c r="J4150" i="1"/>
  <c r="I4150" i="1"/>
  <c r="H4150" i="1"/>
  <c r="G4150" i="1"/>
  <c r="F4150" i="1"/>
  <c r="E4150" i="1"/>
  <c r="D4150" i="1"/>
  <c r="C4150" i="1"/>
  <c r="B4150" i="1"/>
  <c r="A4150" i="1"/>
  <c r="S4149" i="1"/>
  <c r="O4149" i="1"/>
  <c r="K4149" i="1"/>
  <c r="J4149" i="1"/>
  <c r="I4149" i="1"/>
  <c r="H4149" i="1"/>
  <c r="G4149" i="1"/>
  <c r="F4149" i="1"/>
  <c r="E4149" i="1"/>
  <c r="D4149" i="1"/>
  <c r="C4149" i="1"/>
  <c r="B4149" i="1"/>
  <c r="A4149" i="1"/>
  <c r="R4148" i="1"/>
  <c r="J4148" i="1"/>
  <c r="I4148" i="1"/>
  <c r="G4148" i="1"/>
  <c r="F4148" i="1"/>
  <c r="E4148" i="1"/>
  <c r="D4148" i="1"/>
  <c r="C4148" i="1"/>
  <c r="B4148" i="1"/>
  <c r="A4148" i="1"/>
  <c r="S4147" i="1"/>
  <c r="O4147" i="1"/>
  <c r="K4147" i="1"/>
  <c r="J4147" i="1"/>
  <c r="I4147" i="1"/>
  <c r="H4147" i="1"/>
  <c r="G4147" i="1"/>
  <c r="F4147" i="1"/>
  <c r="E4147" i="1"/>
  <c r="D4147" i="1"/>
  <c r="C4147" i="1"/>
  <c r="B4147" i="1"/>
  <c r="A4147" i="1"/>
  <c r="R4146" i="1"/>
  <c r="J4146" i="1"/>
  <c r="I4146" i="1"/>
  <c r="G4146" i="1"/>
  <c r="F4146" i="1"/>
  <c r="E4146" i="1"/>
  <c r="D4146" i="1"/>
  <c r="C4146" i="1"/>
  <c r="B4146" i="1"/>
  <c r="A4146" i="1"/>
  <c r="S4145" i="1"/>
  <c r="O4145" i="1"/>
  <c r="K4145" i="1"/>
  <c r="J4145" i="1"/>
  <c r="I4145" i="1"/>
  <c r="H4145" i="1"/>
  <c r="G4145" i="1"/>
  <c r="F4145" i="1"/>
  <c r="E4145" i="1"/>
  <c r="D4145" i="1"/>
  <c r="C4145" i="1"/>
  <c r="B4145" i="1"/>
  <c r="A4145" i="1"/>
  <c r="R4144" i="1"/>
  <c r="J4144" i="1"/>
  <c r="I4144" i="1"/>
  <c r="G4144" i="1"/>
  <c r="F4144" i="1"/>
  <c r="E4144" i="1"/>
  <c r="D4144" i="1"/>
  <c r="C4144" i="1"/>
  <c r="B4144" i="1"/>
  <c r="A4144" i="1"/>
  <c r="S4143" i="1"/>
  <c r="O4143" i="1"/>
  <c r="K4143" i="1"/>
  <c r="J4143" i="1"/>
  <c r="I4143" i="1"/>
  <c r="H4143" i="1"/>
  <c r="G4143" i="1"/>
  <c r="F4143" i="1"/>
  <c r="E4143" i="1"/>
  <c r="D4143" i="1"/>
  <c r="C4143" i="1"/>
  <c r="B4143" i="1"/>
  <c r="A4143" i="1"/>
  <c r="R4142" i="1"/>
  <c r="J4142" i="1"/>
  <c r="I4142" i="1"/>
  <c r="G4142" i="1"/>
  <c r="F4142" i="1"/>
  <c r="E4142" i="1"/>
  <c r="D4142" i="1"/>
  <c r="C4142" i="1"/>
  <c r="B4142" i="1"/>
  <c r="A4142" i="1"/>
  <c r="S4141" i="1"/>
  <c r="O4141" i="1"/>
  <c r="K4141" i="1"/>
  <c r="J4141" i="1"/>
  <c r="I4141" i="1"/>
  <c r="H4141" i="1"/>
  <c r="G4141" i="1"/>
  <c r="F4141" i="1"/>
  <c r="E4141" i="1"/>
  <c r="D4141" i="1"/>
  <c r="C4141" i="1"/>
  <c r="B4141" i="1"/>
  <c r="A4141" i="1"/>
  <c r="R4140" i="1"/>
  <c r="J4140" i="1"/>
  <c r="I4140" i="1"/>
  <c r="G4140" i="1"/>
  <c r="F4140" i="1"/>
  <c r="E4140" i="1"/>
  <c r="D4140" i="1"/>
  <c r="C4140" i="1"/>
  <c r="B4140" i="1"/>
  <c r="A4140" i="1"/>
  <c r="S4139" i="1"/>
  <c r="O4139" i="1"/>
  <c r="K4139" i="1"/>
  <c r="J4139" i="1"/>
  <c r="I4139" i="1"/>
  <c r="H4139" i="1"/>
  <c r="G4139" i="1"/>
  <c r="F4139" i="1"/>
  <c r="E4139" i="1"/>
  <c r="D4139" i="1"/>
  <c r="C4139" i="1"/>
  <c r="B4139" i="1"/>
  <c r="A4139" i="1"/>
  <c r="R4138" i="1"/>
  <c r="J4138" i="1"/>
  <c r="I4138" i="1"/>
  <c r="G4138" i="1"/>
  <c r="F4138" i="1"/>
  <c r="E4138" i="1"/>
  <c r="D4138" i="1"/>
  <c r="C4138" i="1"/>
  <c r="B4138" i="1"/>
  <c r="A4138" i="1"/>
  <c r="S4137" i="1"/>
  <c r="O4137" i="1"/>
  <c r="K4137" i="1"/>
  <c r="J4137" i="1"/>
  <c r="I4137" i="1"/>
  <c r="H4137" i="1"/>
  <c r="G4137" i="1"/>
  <c r="F4137" i="1"/>
  <c r="E4137" i="1"/>
  <c r="D4137" i="1"/>
  <c r="C4137" i="1"/>
  <c r="B4137" i="1"/>
  <c r="A4137" i="1"/>
  <c r="R4136" i="1"/>
  <c r="J4136" i="1"/>
  <c r="I4136" i="1"/>
  <c r="G4136" i="1"/>
  <c r="F4136" i="1"/>
  <c r="E4136" i="1"/>
  <c r="D4136" i="1"/>
  <c r="C4136" i="1"/>
  <c r="B4136" i="1"/>
  <c r="A4136" i="1"/>
  <c r="R4135" i="1"/>
  <c r="J4135" i="1"/>
  <c r="I4135" i="1"/>
  <c r="G4135" i="1"/>
  <c r="F4135" i="1"/>
  <c r="E4135" i="1"/>
  <c r="D4135" i="1"/>
  <c r="C4135" i="1"/>
  <c r="B4135" i="1"/>
  <c r="A4135" i="1"/>
  <c r="S4134" i="1"/>
  <c r="O4134" i="1"/>
  <c r="K4134" i="1"/>
  <c r="J4134" i="1"/>
  <c r="I4134" i="1"/>
  <c r="H4134" i="1"/>
  <c r="G4134" i="1"/>
  <c r="F4134" i="1"/>
  <c r="E4134" i="1"/>
  <c r="D4134" i="1"/>
  <c r="C4134" i="1"/>
  <c r="B4134" i="1"/>
  <c r="A4134" i="1"/>
  <c r="R4133" i="1"/>
  <c r="J4133" i="1"/>
  <c r="I4133" i="1"/>
  <c r="G4133" i="1"/>
  <c r="F4133" i="1"/>
  <c r="E4133" i="1"/>
  <c r="D4133" i="1"/>
  <c r="C4133" i="1"/>
  <c r="B4133" i="1"/>
  <c r="A4133" i="1"/>
  <c r="S4132" i="1"/>
  <c r="O4132" i="1"/>
  <c r="K4132" i="1"/>
  <c r="J4132" i="1"/>
  <c r="I4132" i="1"/>
  <c r="H4132" i="1"/>
  <c r="G4132" i="1"/>
  <c r="F4132" i="1"/>
  <c r="E4132" i="1"/>
  <c r="D4132" i="1"/>
  <c r="C4132" i="1"/>
  <c r="B4132" i="1"/>
  <c r="A4132" i="1"/>
  <c r="R4131" i="1"/>
  <c r="J4131" i="1"/>
  <c r="I4131" i="1"/>
  <c r="G4131" i="1"/>
  <c r="F4131" i="1"/>
  <c r="E4131" i="1"/>
  <c r="D4131" i="1"/>
  <c r="C4131" i="1"/>
  <c r="B4131" i="1"/>
  <c r="A4131" i="1"/>
  <c r="R4130" i="1"/>
  <c r="J4130" i="1"/>
  <c r="I4130" i="1"/>
  <c r="G4130" i="1"/>
  <c r="F4130" i="1"/>
  <c r="E4130" i="1"/>
  <c r="D4130" i="1"/>
  <c r="C4130" i="1"/>
  <c r="B4130" i="1"/>
  <c r="A4130" i="1"/>
  <c r="R4129" i="1"/>
  <c r="J4129" i="1"/>
  <c r="I4129" i="1"/>
  <c r="G4129" i="1"/>
  <c r="F4129" i="1"/>
  <c r="E4129" i="1"/>
  <c r="D4129" i="1"/>
  <c r="C4129" i="1"/>
  <c r="B4129" i="1"/>
  <c r="A4129" i="1"/>
  <c r="S4128" i="1"/>
  <c r="O4128" i="1"/>
  <c r="K4128" i="1"/>
  <c r="J4128" i="1"/>
  <c r="I4128" i="1"/>
  <c r="H4128" i="1"/>
  <c r="G4128" i="1"/>
  <c r="F4128" i="1"/>
  <c r="E4128" i="1"/>
  <c r="D4128" i="1"/>
  <c r="C4128" i="1"/>
  <c r="B4128" i="1"/>
  <c r="A4128" i="1"/>
  <c r="R4127" i="1"/>
  <c r="J4127" i="1"/>
  <c r="I4127" i="1"/>
  <c r="G4127" i="1"/>
  <c r="F4127" i="1"/>
  <c r="E4127" i="1"/>
  <c r="D4127" i="1"/>
  <c r="C4127" i="1"/>
  <c r="B4127" i="1"/>
  <c r="A4127" i="1"/>
  <c r="R4126" i="1"/>
  <c r="J4126" i="1"/>
  <c r="I4126" i="1"/>
  <c r="G4126" i="1"/>
  <c r="F4126" i="1"/>
  <c r="E4126" i="1"/>
  <c r="D4126" i="1"/>
  <c r="C4126" i="1"/>
  <c r="B4126" i="1"/>
  <c r="A4126" i="1"/>
  <c r="S4125" i="1"/>
  <c r="O4125" i="1"/>
  <c r="K4125" i="1"/>
  <c r="J4125" i="1"/>
  <c r="I4125" i="1"/>
  <c r="H4125" i="1"/>
  <c r="G4125" i="1"/>
  <c r="F4125" i="1"/>
  <c r="E4125" i="1"/>
  <c r="D4125" i="1"/>
  <c r="C4125" i="1"/>
  <c r="B4125" i="1"/>
  <c r="A4125" i="1"/>
  <c r="R4124" i="1"/>
  <c r="J4124" i="1"/>
  <c r="I4124" i="1"/>
  <c r="G4124" i="1"/>
  <c r="F4124" i="1"/>
  <c r="E4124" i="1"/>
  <c r="D4124" i="1"/>
  <c r="C4124" i="1"/>
  <c r="B4124" i="1"/>
  <c r="A4124" i="1"/>
  <c r="S4123" i="1"/>
  <c r="O4123" i="1"/>
  <c r="K4123" i="1"/>
  <c r="J4123" i="1"/>
  <c r="I4123" i="1"/>
  <c r="H4123" i="1"/>
  <c r="G4123" i="1"/>
  <c r="F4123" i="1"/>
  <c r="E4123" i="1"/>
  <c r="D4123" i="1"/>
  <c r="C4123" i="1"/>
  <c r="B4123" i="1"/>
  <c r="A4123" i="1"/>
  <c r="R4122" i="1"/>
  <c r="J4122" i="1"/>
  <c r="I4122" i="1"/>
  <c r="G4122" i="1"/>
  <c r="F4122" i="1"/>
  <c r="E4122" i="1"/>
  <c r="D4122" i="1"/>
  <c r="C4122" i="1"/>
  <c r="B4122" i="1"/>
  <c r="A4122" i="1"/>
  <c r="S4121" i="1"/>
  <c r="O4121" i="1"/>
  <c r="K4121" i="1"/>
  <c r="J4121" i="1"/>
  <c r="I4121" i="1"/>
  <c r="H4121" i="1"/>
  <c r="G4121" i="1"/>
  <c r="F4121" i="1"/>
  <c r="E4121" i="1"/>
  <c r="D4121" i="1"/>
  <c r="C4121" i="1"/>
  <c r="B4121" i="1"/>
  <c r="A4121" i="1"/>
  <c r="R4120" i="1"/>
  <c r="J4120" i="1"/>
  <c r="I4120" i="1"/>
  <c r="G4120" i="1"/>
  <c r="F4120" i="1"/>
  <c r="E4120" i="1"/>
  <c r="D4120" i="1"/>
  <c r="C4120" i="1"/>
  <c r="B4120" i="1"/>
  <c r="A4120" i="1"/>
  <c r="R4119" i="1"/>
  <c r="J4119" i="1"/>
  <c r="I4119" i="1"/>
  <c r="G4119" i="1"/>
  <c r="F4119" i="1"/>
  <c r="E4119" i="1"/>
  <c r="D4119" i="1"/>
  <c r="C4119" i="1"/>
  <c r="B4119" i="1"/>
  <c r="A4119" i="1"/>
  <c r="S4118" i="1"/>
  <c r="O4118" i="1"/>
  <c r="K4118" i="1"/>
  <c r="J4118" i="1"/>
  <c r="I4118" i="1"/>
  <c r="H4118" i="1"/>
  <c r="G4118" i="1"/>
  <c r="F4118" i="1"/>
  <c r="E4118" i="1"/>
  <c r="D4118" i="1"/>
  <c r="C4118" i="1"/>
  <c r="B4118" i="1"/>
  <c r="A4118" i="1"/>
  <c r="R4117" i="1"/>
  <c r="J4117" i="1"/>
  <c r="I4117" i="1"/>
  <c r="G4117" i="1"/>
  <c r="F4117" i="1"/>
  <c r="E4117" i="1"/>
  <c r="D4117" i="1"/>
  <c r="C4117" i="1"/>
  <c r="B4117" i="1"/>
  <c r="A4117" i="1"/>
  <c r="R4116" i="1"/>
  <c r="J4116" i="1"/>
  <c r="I4116" i="1"/>
  <c r="G4116" i="1"/>
  <c r="F4116" i="1"/>
  <c r="E4116" i="1"/>
  <c r="D4116" i="1"/>
  <c r="C4116" i="1"/>
  <c r="B4116" i="1"/>
  <c r="A4116" i="1"/>
  <c r="S4115" i="1"/>
  <c r="O4115" i="1"/>
  <c r="K4115" i="1"/>
  <c r="J4115" i="1"/>
  <c r="I4115" i="1"/>
  <c r="H4115" i="1"/>
  <c r="G4115" i="1"/>
  <c r="F4115" i="1"/>
  <c r="E4115" i="1"/>
  <c r="D4115" i="1"/>
  <c r="C4115" i="1"/>
  <c r="B4115" i="1"/>
  <c r="A4115" i="1"/>
  <c r="R4114" i="1"/>
  <c r="J4114" i="1"/>
  <c r="I4114" i="1"/>
  <c r="G4114" i="1"/>
  <c r="F4114" i="1"/>
  <c r="E4114" i="1"/>
  <c r="D4114" i="1"/>
  <c r="C4114" i="1"/>
  <c r="B4114" i="1"/>
  <c r="A4114" i="1"/>
  <c r="S4113" i="1"/>
  <c r="O4113" i="1"/>
  <c r="K4113" i="1"/>
  <c r="J4113" i="1"/>
  <c r="I4113" i="1"/>
  <c r="H4113" i="1"/>
  <c r="G4113" i="1"/>
  <c r="F4113" i="1"/>
  <c r="E4113" i="1"/>
  <c r="D4113" i="1"/>
  <c r="C4113" i="1"/>
  <c r="B4113" i="1"/>
  <c r="A4113" i="1"/>
  <c r="S4112" i="1"/>
  <c r="O4112" i="1"/>
  <c r="K4112" i="1"/>
  <c r="J4112" i="1"/>
  <c r="I4112" i="1"/>
  <c r="H4112" i="1"/>
  <c r="G4112" i="1"/>
  <c r="F4112" i="1"/>
  <c r="E4112" i="1"/>
  <c r="D4112" i="1"/>
  <c r="C4112" i="1"/>
  <c r="B4112" i="1"/>
  <c r="A4112" i="1"/>
  <c r="R4111" i="1"/>
  <c r="J4111" i="1"/>
  <c r="I4111" i="1"/>
  <c r="G4111" i="1"/>
  <c r="F4111" i="1"/>
  <c r="E4111" i="1"/>
  <c r="D4111" i="1"/>
  <c r="C4111" i="1"/>
  <c r="B4111" i="1"/>
  <c r="A4111" i="1"/>
  <c r="S4110" i="1"/>
  <c r="O4110" i="1"/>
  <c r="K4110" i="1"/>
  <c r="J4110" i="1"/>
  <c r="I4110" i="1"/>
  <c r="H4110" i="1"/>
  <c r="G4110" i="1"/>
  <c r="F4110" i="1"/>
  <c r="E4110" i="1"/>
  <c r="D4110" i="1"/>
  <c r="C4110" i="1"/>
  <c r="B4110" i="1"/>
  <c r="A4110" i="1"/>
  <c r="R4109" i="1"/>
  <c r="J4109" i="1"/>
  <c r="I4109" i="1"/>
  <c r="G4109" i="1"/>
  <c r="F4109" i="1"/>
  <c r="E4109" i="1"/>
  <c r="D4109" i="1"/>
  <c r="C4109" i="1"/>
  <c r="B4109" i="1"/>
  <c r="A4109" i="1"/>
  <c r="S4108" i="1"/>
  <c r="O4108" i="1"/>
  <c r="K4108" i="1"/>
  <c r="J4108" i="1"/>
  <c r="I4108" i="1"/>
  <c r="H4108" i="1"/>
  <c r="G4108" i="1"/>
  <c r="F4108" i="1"/>
  <c r="E4108" i="1"/>
  <c r="D4108" i="1"/>
  <c r="C4108" i="1"/>
  <c r="B4108" i="1"/>
  <c r="A4108" i="1"/>
  <c r="R4107" i="1"/>
  <c r="J4107" i="1"/>
  <c r="I4107" i="1"/>
  <c r="G4107" i="1"/>
  <c r="F4107" i="1"/>
  <c r="E4107" i="1"/>
  <c r="D4107" i="1"/>
  <c r="C4107" i="1"/>
  <c r="B4107" i="1"/>
  <c r="A4107" i="1"/>
  <c r="R4106" i="1"/>
  <c r="J4106" i="1"/>
  <c r="I4106" i="1"/>
  <c r="G4106" i="1"/>
  <c r="F4106" i="1"/>
  <c r="E4106" i="1"/>
  <c r="D4106" i="1"/>
  <c r="C4106" i="1"/>
  <c r="B4106" i="1"/>
  <c r="A4106" i="1"/>
  <c r="S4105" i="1"/>
  <c r="O4105" i="1"/>
  <c r="K4105" i="1"/>
  <c r="J4105" i="1"/>
  <c r="I4105" i="1"/>
  <c r="H4105" i="1"/>
  <c r="G4105" i="1"/>
  <c r="F4105" i="1"/>
  <c r="E4105" i="1"/>
  <c r="D4105" i="1"/>
  <c r="C4105" i="1"/>
  <c r="B4105" i="1"/>
  <c r="A4105" i="1"/>
  <c r="R4104" i="1"/>
  <c r="J4104" i="1"/>
  <c r="I4104" i="1"/>
  <c r="G4104" i="1"/>
  <c r="F4104" i="1"/>
  <c r="E4104" i="1"/>
  <c r="D4104" i="1"/>
  <c r="C4104" i="1"/>
  <c r="B4104" i="1"/>
  <c r="A4104" i="1"/>
  <c r="S4103" i="1"/>
  <c r="O4103" i="1"/>
  <c r="K4103" i="1"/>
  <c r="J4103" i="1"/>
  <c r="I4103" i="1"/>
  <c r="H4103" i="1"/>
  <c r="G4103" i="1"/>
  <c r="F4103" i="1"/>
  <c r="E4103" i="1"/>
  <c r="D4103" i="1"/>
  <c r="C4103" i="1"/>
  <c r="B4103" i="1"/>
  <c r="A4103" i="1"/>
  <c r="R4102" i="1"/>
  <c r="J4102" i="1"/>
  <c r="I4102" i="1"/>
  <c r="G4102" i="1"/>
  <c r="F4102" i="1"/>
  <c r="E4102" i="1"/>
  <c r="D4102" i="1"/>
  <c r="C4102" i="1"/>
  <c r="B4102" i="1"/>
  <c r="A4102" i="1"/>
  <c r="S4101" i="1"/>
  <c r="O4101" i="1"/>
  <c r="K4101" i="1"/>
  <c r="J4101" i="1"/>
  <c r="I4101" i="1"/>
  <c r="H4101" i="1"/>
  <c r="G4101" i="1"/>
  <c r="F4101" i="1"/>
  <c r="E4101" i="1"/>
  <c r="D4101" i="1"/>
  <c r="C4101" i="1"/>
  <c r="B4101" i="1"/>
  <c r="A4101" i="1"/>
  <c r="R4100" i="1"/>
  <c r="J4100" i="1"/>
  <c r="I4100" i="1"/>
  <c r="G4100" i="1"/>
  <c r="F4100" i="1"/>
  <c r="E4100" i="1"/>
  <c r="D4100" i="1"/>
  <c r="C4100" i="1"/>
  <c r="B4100" i="1"/>
  <c r="A4100" i="1"/>
  <c r="S4099" i="1"/>
  <c r="O4099" i="1"/>
  <c r="K4099" i="1"/>
  <c r="J4099" i="1"/>
  <c r="I4099" i="1"/>
  <c r="H4099" i="1"/>
  <c r="G4099" i="1"/>
  <c r="F4099" i="1"/>
  <c r="E4099" i="1"/>
  <c r="D4099" i="1"/>
  <c r="C4099" i="1"/>
  <c r="B4099" i="1"/>
  <c r="A4099" i="1"/>
  <c r="R4098" i="1"/>
  <c r="J4098" i="1"/>
  <c r="I4098" i="1"/>
  <c r="G4098" i="1"/>
  <c r="F4098" i="1"/>
  <c r="E4098" i="1"/>
  <c r="D4098" i="1"/>
  <c r="C4098" i="1"/>
  <c r="B4098" i="1"/>
  <c r="A4098" i="1"/>
  <c r="S4097" i="1"/>
  <c r="O4097" i="1"/>
  <c r="K4097" i="1"/>
  <c r="J4097" i="1"/>
  <c r="I4097" i="1"/>
  <c r="H4097" i="1"/>
  <c r="G4097" i="1"/>
  <c r="F4097" i="1"/>
  <c r="E4097" i="1"/>
  <c r="D4097" i="1"/>
  <c r="C4097" i="1"/>
  <c r="B4097" i="1"/>
  <c r="A4097" i="1"/>
  <c r="R4096" i="1"/>
  <c r="J4096" i="1"/>
  <c r="I4096" i="1"/>
  <c r="G4096" i="1"/>
  <c r="F4096" i="1"/>
  <c r="E4096" i="1"/>
  <c r="D4096" i="1"/>
  <c r="C4096" i="1"/>
  <c r="B4096" i="1"/>
  <c r="A4096" i="1"/>
  <c r="S4095" i="1"/>
  <c r="O4095" i="1"/>
  <c r="K4095" i="1"/>
  <c r="J4095" i="1"/>
  <c r="I4095" i="1"/>
  <c r="H4095" i="1"/>
  <c r="G4095" i="1"/>
  <c r="F4095" i="1"/>
  <c r="E4095" i="1"/>
  <c r="D4095" i="1"/>
  <c r="C4095" i="1"/>
  <c r="B4095" i="1"/>
  <c r="A4095" i="1"/>
  <c r="R4094" i="1"/>
  <c r="J4094" i="1"/>
  <c r="I4094" i="1"/>
  <c r="G4094" i="1"/>
  <c r="F4094" i="1"/>
  <c r="E4094" i="1"/>
  <c r="D4094" i="1"/>
  <c r="C4094" i="1"/>
  <c r="B4094" i="1"/>
  <c r="A4094" i="1"/>
  <c r="S4093" i="1"/>
  <c r="O4093" i="1"/>
  <c r="K4093" i="1"/>
  <c r="J4093" i="1"/>
  <c r="I4093" i="1"/>
  <c r="H4093" i="1"/>
  <c r="G4093" i="1"/>
  <c r="F4093" i="1"/>
  <c r="E4093" i="1"/>
  <c r="D4093" i="1"/>
  <c r="C4093" i="1"/>
  <c r="B4093" i="1"/>
  <c r="A4093" i="1"/>
  <c r="R4092" i="1"/>
  <c r="J4092" i="1"/>
  <c r="I4092" i="1"/>
  <c r="G4092" i="1"/>
  <c r="F4092" i="1"/>
  <c r="E4092" i="1"/>
  <c r="D4092" i="1"/>
  <c r="C4092" i="1"/>
  <c r="B4092" i="1"/>
  <c r="A4092" i="1"/>
  <c r="S4091" i="1"/>
  <c r="O4091" i="1"/>
  <c r="K4091" i="1"/>
  <c r="J4091" i="1"/>
  <c r="I4091" i="1"/>
  <c r="H4091" i="1"/>
  <c r="G4091" i="1"/>
  <c r="F4091" i="1"/>
  <c r="E4091" i="1"/>
  <c r="D4091" i="1"/>
  <c r="C4091" i="1"/>
  <c r="B4091" i="1"/>
  <c r="A4091" i="1"/>
  <c r="R4090" i="1"/>
  <c r="J4090" i="1"/>
  <c r="I4090" i="1"/>
  <c r="G4090" i="1"/>
  <c r="F4090" i="1"/>
  <c r="E4090" i="1"/>
  <c r="D4090" i="1"/>
  <c r="C4090" i="1"/>
  <c r="B4090" i="1"/>
  <c r="A4090" i="1"/>
  <c r="S4089" i="1"/>
  <c r="O4089" i="1"/>
  <c r="K4089" i="1"/>
  <c r="J4089" i="1"/>
  <c r="I4089" i="1"/>
  <c r="H4089" i="1"/>
  <c r="G4089" i="1"/>
  <c r="F4089" i="1"/>
  <c r="E4089" i="1"/>
  <c r="D4089" i="1"/>
  <c r="C4089" i="1"/>
  <c r="B4089" i="1"/>
  <c r="A4089" i="1"/>
  <c r="R4088" i="1"/>
  <c r="J4088" i="1"/>
  <c r="I4088" i="1"/>
  <c r="G4088" i="1"/>
  <c r="F4088" i="1"/>
  <c r="E4088" i="1"/>
  <c r="D4088" i="1"/>
  <c r="C4088" i="1"/>
  <c r="B4088" i="1"/>
  <c r="A4088" i="1"/>
  <c r="S4087" i="1"/>
  <c r="O4087" i="1"/>
  <c r="K4087" i="1"/>
  <c r="J4087" i="1"/>
  <c r="I4087" i="1"/>
  <c r="H4087" i="1"/>
  <c r="G4087" i="1"/>
  <c r="F4087" i="1"/>
  <c r="E4087" i="1"/>
  <c r="D4087" i="1"/>
  <c r="C4087" i="1"/>
  <c r="B4087" i="1"/>
  <c r="A4087" i="1"/>
  <c r="R4086" i="1"/>
  <c r="J4086" i="1"/>
  <c r="I4086" i="1"/>
  <c r="G4086" i="1"/>
  <c r="F4086" i="1"/>
  <c r="E4086" i="1"/>
  <c r="D4086" i="1"/>
  <c r="C4086" i="1"/>
  <c r="B4086" i="1"/>
  <c r="A4086" i="1"/>
  <c r="S4085" i="1"/>
  <c r="O4085" i="1"/>
  <c r="K4085" i="1"/>
  <c r="J4085" i="1"/>
  <c r="I4085" i="1"/>
  <c r="H4085" i="1"/>
  <c r="G4085" i="1"/>
  <c r="F4085" i="1"/>
  <c r="E4085" i="1"/>
  <c r="D4085" i="1"/>
  <c r="C4085" i="1"/>
  <c r="B4085" i="1"/>
  <c r="A4085" i="1"/>
  <c r="R4084" i="1"/>
  <c r="J4084" i="1"/>
  <c r="I4084" i="1"/>
  <c r="G4084" i="1"/>
  <c r="F4084" i="1"/>
  <c r="E4084" i="1"/>
  <c r="D4084" i="1"/>
  <c r="C4084" i="1"/>
  <c r="B4084" i="1"/>
  <c r="A4084" i="1"/>
  <c r="S4083" i="1"/>
  <c r="O4083" i="1"/>
  <c r="K4083" i="1"/>
  <c r="J4083" i="1"/>
  <c r="I4083" i="1"/>
  <c r="H4083" i="1"/>
  <c r="G4083" i="1"/>
  <c r="F4083" i="1"/>
  <c r="E4083" i="1"/>
  <c r="D4083" i="1"/>
  <c r="C4083" i="1"/>
  <c r="B4083" i="1"/>
  <c r="A4083" i="1"/>
  <c r="R4082" i="1"/>
  <c r="J4082" i="1"/>
  <c r="I4082" i="1"/>
  <c r="G4082" i="1"/>
  <c r="F4082" i="1"/>
  <c r="E4082" i="1"/>
  <c r="D4082" i="1"/>
  <c r="C4082" i="1"/>
  <c r="B4082" i="1"/>
  <c r="A4082" i="1"/>
  <c r="S4081" i="1"/>
  <c r="O4081" i="1"/>
  <c r="K4081" i="1"/>
  <c r="J4081" i="1"/>
  <c r="I4081" i="1"/>
  <c r="H4081" i="1"/>
  <c r="G4081" i="1"/>
  <c r="F4081" i="1"/>
  <c r="E4081" i="1"/>
  <c r="D4081" i="1"/>
  <c r="C4081" i="1"/>
  <c r="B4081" i="1"/>
  <c r="A4081" i="1"/>
  <c r="R4080" i="1"/>
  <c r="J4080" i="1"/>
  <c r="I4080" i="1"/>
  <c r="G4080" i="1"/>
  <c r="F4080" i="1"/>
  <c r="E4080" i="1"/>
  <c r="D4080" i="1"/>
  <c r="C4080" i="1"/>
  <c r="B4080" i="1"/>
  <c r="A4080" i="1"/>
  <c r="S4079" i="1"/>
  <c r="O4079" i="1"/>
  <c r="K4079" i="1"/>
  <c r="J4079" i="1"/>
  <c r="I4079" i="1"/>
  <c r="H4079" i="1"/>
  <c r="G4079" i="1"/>
  <c r="F4079" i="1"/>
  <c r="E4079" i="1"/>
  <c r="D4079" i="1"/>
  <c r="C4079" i="1"/>
  <c r="B4079" i="1"/>
  <c r="A4079" i="1"/>
  <c r="R4078" i="1"/>
  <c r="J4078" i="1"/>
  <c r="I4078" i="1"/>
  <c r="G4078" i="1"/>
  <c r="F4078" i="1"/>
  <c r="E4078" i="1"/>
  <c r="D4078" i="1"/>
  <c r="C4078" i="1"/>
  <c r="B4078" i="1"/>
  <c r="A4078" i="1"/>
  <c r="S4077" i="1"/>
  <c r="O4077" i="1"/>
  <c r="K4077" i="1"/>
  <c r="J4077" i="1"/>
  <c r="I4077" i="1"/>
  <c r="H4077" i="1"/>
  <c r="G4077" i="1"/>
  <c r="F4077" i="1"/>
  <c r="E4077" i="1"/>
  <c r="D4077" i="1"/>
  <c r="C4077" i="1"/>
  <c r="B4077" i="1"/>
  <c r="A4077" i="1"/>
  <c r="R4076" i="1"/>
  <c r="J4076" i="1"/>
  <c r="I4076" i="1"/>
  <c r="G4076" i="1"/>
  <c r="F4076" i="1"/>
  <c r="E4076" i="1"/>
  <c r="D4076" i="1"/>
  <c r="C4076" i="1"/>
  <c r="B4076" i="1"/>
  <c r="A4076" i="1"/>
  <c r="S4075" i="1"/>
  <c r="O4075" i="1"/>
  <c r="K4075" i="1"/>
  <c r="J4075" i="1"/>
  <c r="I4075" i="1"/>
  <c r="H4075" i="1"/>
  <c r="G4075" i="1"/>
  <c r="F4075" i="1"/>
  <c r="E4075" i="1"/>
  <c r="D4075" i="1"/>
  <c r="C4075" i="1"/>
  <c r="B4075" i="1"/>
  <c r="A4075" i="1"/>
  <c r="R4074" i="1"/>
  <c r="J4074" i="1"/>
  <c r="I4074" i="1"/>
  <c r="G4074" i="1"/>
  <c r="F4074" i="1"/>
  <c r="E4074" i="1"/>
  <c r="D4074" i="1"/>
  <c r="C4074" i="1"/>
  <c r="B4074" i="1"/>
  <c r="A4074" i="1"/>
  <c r="S4073" i="1"/>
  <c r="O4073" i="1"/>
  <c r="K4073" i="1"/>
  <c r="J4073" i="1"/>
  <c r="I4073" i="1"/>
  <c r="H4073" i="1"/>
  <c r="G4073" i="1"/>
  <c r="F4073" i="1"/>
  <c r="E4073" i="1"/>
  <c r="D4073" i="1"/>
  <c r="C4073" i="1"/>
  <c r="B4073" i="1"/>
  <c r="A4073" i="1"/>
  <c r="R4072" i="1"/>
  <c r="J4072" i="1"/>
  <c r="I4072" i="1"/>
  <c r="G4072" i="1"/>
  <c r="F4072" i="1"/>
  <c r="E4072" i="1"/>
  <c r="D4072" i="1"/>
  <c r="C4072" i="1"/>
  <c r="B4072" i="1"/>
  <c r="A4072" i="1"/>
  <c r="S4071" i="1"/>
  <c r="O4071" i="1"/>
  <c r="K4071" i="1"/>
  <c r="J4071" i="1"/>
  <c r="I4071" i="1"/>
  <c r="H4071" i="1"/>
  <c r="G4071" i="1"/>
  <c r="F4071" i="1"/>
  <c r="E4071" i="1"/>
  <c r="D4071" i="1"/>
  <c r="C4071" i="1"/>
  <c r="B4071" i="1"/>
  <c r="A4071" i="1"/>
  <c r="R4070" i="1"/>
  <c r="J4070" i="1"/>
  <c r="I4070" i="1"/>
  <c r="G4070" i="1"/>
  <c r="F4070" i="1"/>
  <c r="E4070" i="1"/>
  <c r="D4070" i="1"/>
  <c r="C4070" i="1"/>
  <c r="B4070" i="1"/>
  <c r="A4070" i="1"/>
  <c r="S4069" i="1"/>
  <c r="O4069" i="1"/>
  <c r="K4069" i="1"/>
  <c r="J4069" i="1"/>
  <c r="I4069" i="1"/>
  <c r="H4069" i="1"/>
  <c r="G4069" i="1"/>
  <c r="F4069" i="1"/>
  <c r="E4069" i="1"/>
  <c r="D4069" i="1"/>
  <c r="C4069" i="1"/>
  <c r="B4069" i="1"/>
  <c r="A4069" i="1"/>
  <c r="R4068" i="1"/>
  <c r="J4068" i="1"/>
  <c r="I4068" i="1"/>
  <c r="G4068" i="1"/>
  <c r="F4068" i="1"/>
  <c r="E4068" i="1"/>
  <c r="D4068" i="1"/>
  <c r="C4068" i="1"/>
  <c r="B4068" i="1"/>
  <c r="A4068" i="1"/>
  <c r="S4067" i="1"/>
  <c r="O4067" i="1"/>
  <c r="K4067" i="1"/>
  <c r="J4067" i="1"/>
  <c r="I4067" i="1"/>
  <c r="H4067" i="1"/>
  <c r="G4067" i="1"/>
  <c r="F4067" i="1"/>
  <c r="E4067" i="1"/>
  <c r="D4067" i="1"/>
  <c r="C4067" i="1"/>
  <c r="B4067" i="1"/>
  <c r="A4067" i="1"/>
  <c r="R4066" i="1"/>
  <c r="J4066" i="1"/>
  <c r="I4066" i="1"/>
  <c r="G4066" i="1"/>
  <c r="F4066" i="1"/>
  <c r="E4066" i="1"/>
  <c r="D4066" i="1"/>
  <c r="C4066" i="1"/>
  <c r="B4066" i="1"/>
  <c r="A4066" i="1"/>
  <c r="S4065" i="1"/>
  <c r="O4065" i="1"/>
  <c r="K4065" i="1"/>
  <c r="J4065" i="1"/>
  <c r="I4065" i="1"/>
  <c r="H4065" i="1"/>
  <c r="G4065" i="1"/>
  <c r="F4065" i="1"/>
  <c r="E4065" i="1"/>
  <c r="D4065" i="1"/>
  <c r="C4065" i="1"/>
  <c r="B4065" i="1"/>
  <c r="A4065" i="1"/>
  <c r="R4064" i="1"/>
  <c r="J4064" i="1"/>
  <c r="I4064" i="1"/>
  <c r="G4064" i="1"/>
  <c r="F4064" i="1"/>
  <c r="E4064" i="1"/>
  <c r="D4064" i="1"/>
  <c r="C4064" i="1"/>
  <c r="B4064" i="1"/>
  <c r="A4064" i="1"/>
  <c r="R4063" i="1"/>
  <c r="J4063" i="1"/>
  <c r="I4063" i="1"/>
  <c r="G4063" i="1"/>
  <c r="F4063" i="1"/>
  <c r="E4063" i="1"/>
  <c r="D4063" i="1"/>
  <c r="C4063" i="1"/>
  <c r="B4063" i="1"/>
  <c r="A4063" i="1"/>
  <c r="S4062" i="1"/>
  <c r="O4062" i="1"/>
  <c r="K4062" i="1"/>
  <c r="J4062" i="1"/>
  <c r="I4062" i="1"/>
  <c r="H4062" i="1"/>
  <c r="G4062" i="1"/>
  <c r="F4062" i="1"/>
  <c r="E4062" i="1"/>
  <c r="D4062" i="1"/>
  <c r="C4062" i="1"/>
  <c r="B4062" i="1"/>
  <c r="A4062" i="1"/>
  <c r="R4061" i="1"/>
  <c r="J4061" i="1"/>
  <c r="I4061" i="1"/>
  <c r="G4061" i="1"/>
  <c r="F4061" i="1"/>
  <c r="E4061" i="1"/>
  <c r="D4061" i="1"/>
  <c r="C4061" i="1"/>
  <c r="B4061" i="1"/>
  <c r="A4061" i="1"/>
  <c r="S4060" i="1"/>
  <c r="O4060" i="1"/>
  <c r="K4060" i="1"/>
  <c r="J4060" i="1"/>
  <c r="I4060" i="1"/>
  <c r="H4060" i="1"/>
  <c r="G4060" i="1"/>
  <c r="F4060" i="1"/>
  <c r="E4060" i="1"/>
  <c r="D4060" i="1"/>
  <c r="C4060" i="1"/>
  <c r="B4060" i="1"/>
  <c r="A4060" i="1"/>
  <c r="R4059" i="1"/>
  <c r="J4059" i="1"/>
  <c r="I4059" i="1"/>
  <c r="G4059" i="1"/>
  <c r="F4059" i="1"/>
  <c r="E4059" i="1"/>
  <c r="D4059" i="1"/>
  <c r="C4059" i="1"/>
  <c r="B4059" i="1"/>
  <c r="A4059" i="1"/>
  <c r="S4058" i="1"/>
  <c r="O4058" i="1"/>
  <c r="K4058" i="1"/>
  <c r="J4058" i="1"/>
  <c r="I4058" i="1"/>
  <c r="H4058" i="1"/>
  <c r="G4058" i="1"/>
  <c r="F4058" i="1"/>
  <c r="E4058" i="1"/>
  <c r="D4058" i="1"/>
  <c r="C4058" i="1"/>
  <c r="B4058" i="1"/>
  <c r="A4058" i="1"/>
  <c r="R4057" i="1"/>
  <c r="J4057" i="1"/>
  <c r="I4057" i="1"/>
  <c r="G4057" i="1"/>
  <c r="F4057" i="1"/>
  <c r="E4057" i="1"/>
  <c r="D4057" i="1"/>
  <c r="C4057" i="1"/>
  <c r="B4057" i="1"/>
  <c r="A4057" i="1"/>
  <c r="S4056" i="1"/>
  <c r="O4056" i="1"/>
  <c r="K4056" i="1"/>
  <c r="J4056" i="1"/>
  <c r="I4056" i="1"/>
  <c r="H4056" i="1"/>
  <c r="G4056" i="1"/>
  <c r="F4056" i="1"/>
  <c r="E4056" i="1"/>
  <c r="D4056" i="1"/>
  <c r="C4056" i="1"/>
  <c r="B4056" i="1"/>
  <c r="A4056" i="1"/>
  <c r="R4055" i="1"/>
  <c r="J4055" i="1"/>
  <c r="I4055" i="1"/>
  <c r="G4055" i="1"/>
  <c r="F4055" i="1"/>
  <c r="E4055" i="1"/>
  <c r="D4055" i="1"/>
  <c r="C4055" i="1"/>
  <c r="B4055" i="1"/>
  <c r="A4055" i="1"/>
  <c r="R4054" i="1"/>
  <c r="J4054" i="1"/>
  <c r="I4054" i="1"/>
  <c r="G4054" i="1"/>
  <c r="F4054" i="1"/>
  <c r="E4054" i="1"/>
  <c r="D4054" i="1"/>
  <c r="C4054" i="1"/>
  <c r="B4054" i="1"/>
  <c r="A4054" i="1"/>
  <c r="S4053" i="1"/>
  <c r="O4053" i="1"/>
  <c r="K4053" i="1"/>
  <c r="J4053" i="1"/>
  <c r="I4053" i="1"/>
  <c r="H4053" i="1"/>
  <c r="G4053" i="1"/>
  <c r="F4053" i="1"/>
  <c r="E4053" i="1"/>
  <c r="D4053" i="1"/>
  <c r="C4053" i="1"/>
  <c r="B4053" i="1"/>
  <c r="A4053" i="1"/>
  <c r="R4052" i="1"/>
  <c r="J4052" i="1"/>
  <c r="I4052" i="1"/>
  <c r="G4052" i="1"/>
  <c r="F4052" i="1"/>
  <c r="E4052" i="1"/>
  <c r="D4052" i="1"/>
  <c r="C4052" i="1"/>
  <c r="B4052" i="1"/>
  <c r="A4052" i="1"/>
  <c r="S4051" i="1"/>
  <c r="O4051" i="1"/>
  <c r="K4051" i="1"/>
  <c r="J4051" i="1"/>
  <c r="I4051" i="1"/>
  <c r="H4051" i="1"/>
  <c r="G4051" i="1"/>
  <c r="F4051" i="1"/>
  <c r="E4051" i="1"/>
  <c r="D4051" i="1"/>
  <c r="C4051" i="1"/>
  <c r="B4051" i="1"/>
  <c r="A4051" i="1"/>
  <c r="R4050" i="1"/>
  <c r="J4050" i="1"/>
  <c r="I4050" i="1"/>
  <c r="G4050" i="1"/>
  <c r="F4050" i="1"/>
  <c r="E4050" i="1"/>
  <c r="D4050" i="1"/>
  <c r="C4050" i="1"/>
  <c r="B4050" i="1"/>
  <c r="A4050" i="1"/>
  <c r="S4049" i="1"/>
  <c r="O4049" i="1"/>
  <c r="K4049" i="1"/>
  <c r="J4049" i="1"/>
  <c r="I4049" i="1"/>
  <c r="H4049" i="1"/>
  <c r="G4049" i="1"/>
  <c r="F4049" i="1"/>
  <c r="E4049" i="1"/>
  <c r="D4049" i="1"/>
  <c r="C4049" i="1"/>
  <c r="B4049" i="1"/>
  <c r="A4049" i="1"/>
  <c r="R4048" i="1"/>
  <c r="J4048" i="1"/>
  <c r="I4048" i="1"/>
  <c r="G4048" i="1"/>
  <c r="F4048" i="1"/>
  <c r="E4048" i="1"/>
  <c r="D4048" i="1"/>
  <c r="C4048" i="1"/>
  <c r="B4048" i="1"/>
  <c r="A4048" i="1"/>
  <c r="R4047" i="1"/>
  <c r="J4047" i="1"/>
  <c r="I4047" i="1"/>
  <c r="G4047" i="1"/>
  <c r="F4047" i="1"/>
  <c r="E4047" i="1"/>
  <c r="D4047" i="1"/>
  <c r="C4047" i="1"/>
  <c r="B4047" i="1"/>
  <c r="A4047" i="1"/>
  <c r="R4046" i="1"/>
  <c r="J4046" i="1"/>
  <c r="I4046" i="1"/>
  <c r="G4046" i="1"/>
  <c r="F4046" i="1"/>
  <c r="E4046" i="1"/>
  <c r="D4046" i="1"/>
  <c r="C4046" i="1"/>
  <c r="B4046" i="1"/>
  <c r="A4046" i="1"/>
  <c r="S4045" i="1"/>
  <c r="O4045" i="1"/>
  <c r="K4045" i="1"/>
  <c r="J4045" i="1"/>
  <c r="I4045" i="1"/>
  <c r="H4045" i="1"/>
  <c r="G4045" i="1"/>
  <c r="F4045" i="1"/>
  <c r="E4045" i="1"/>
  <c r="D4045" i="1"/>
  <c r="C4045" i="1"/>
  <c r="B4045" i="1"/>
  <c r="A4045" i="1"/>
  <c r="R4044" i="1"/>
  <c r="J4044" i="1"/>
  <c r="I4044" i="1"/>
  <c r="G4044" i="1"/>
  <c r="F4044" i="1"/>
  <c r="E4044" i="1"/>
  <c r="D4044" i="1"/>
  <c r="C4044" i="1"/>
  <c r="B4044" i="1"/>
  <c r="A4044" i="1"/>
  <c r="S4043" i="1"/>
  <c r="O4043" i="1"/>
  <c r="K4043" i="1"/>
  <c r="J4043" i="1"/>
  <c r="I4043" i="1"/>
  <c r="H4043" i="1"/>
  <c r="G4043" i="1"/>
  <c r="F4043" i="1"/>
  <c r="E4043" i="1"/>
  <c r="D4043" i="1"/>
  <c r="C4043" i="1"/>
  <c r="B4043" i="1"/>
  <c r="A4043" i="1"/>
  <c r="R4042" i="1"/>
  <c r="J4042" i="1"/>
  <c r="I4042" i="1"/>
  <c r="G4042" i="1"/>
  <c r="F4042" i="1"/>
  <c r="E4042" i="1"/>
  <c r="D4042" i="1"/>
  <c r="C4042" i="1"/>
  <c r="B4042" i="1"/>
  <c r="A4042" i="1"/>
  <c r="S4041" i="1"/>
  <c r="O4041" i="1"/>
  <c r="K4041" i="1"/>
  <c r="J4041" i="1"/>
  <c r="I4041" i="1"/>
  <c r="H4041" i="1"/>
  <c r="G4041" i="1"/>
  <c r="F4041" i="1"/>
  <c r="E4041" i="1"/>
  <c r="D4041" i="1"/>
  <c r="C4041" i="1"/>
  <c r="B4041" i="1"/>
  <c r="A4041" i="1"/>
  <c r="R4040" i="1"/>
  <c r="J4040" i="1"/>
  <c r="I4040" i="1"/>
  <c r="G4040" i="1"/>
  <c r="F4040" i="1"/>
  <c r="E4040" i="1"/>
  <c r="D4040" i="1"/>
  <c r="C4040" i="1"/>
  <c r="B4040" i="1"/>
  <c r="A4040" i="1"/>
  <c r="S4039" i="1"/>
  <c r="O4039" i="1"/>
  <c r="K4039" i="1"/>
  <c r="J4039" i="1"/>
  <c r="I4039" i="1"/>
  <c r="H4039" i="1"/>
  <c r="G4039" i="1"/>
  <c r="F4039" i="1"/>
  <c r="E4039" i="1"/>
  <c r="D4039" i="1"/>
  <c r="C4039" i="1"/>
  <c r="B4039" i="1"/>
  <c r="A4039" i="1"/>
  <c r="R4038" i="1"/>
  <c r="J4038" i="1"/>
  <c r="I4038" i="1"/>
  <c r="G4038" i="1"/>
  <c r="F4038" i="1"/>
  <c r="E4038" i="1"/>
  <c r="D4038" i="1"/>
  <c r="C4038" i="1"/>
  <c r="B4038" i="1"/>
  <c r="A4038" i="1"/>
  <c r="S4037" i="1"/>
  <c r="O4037" i="1"/>
  <c r="K4037" i="1"/>
  <c r="J4037" i="1"/>
  <c r="I4037" i="1"/>
  <c r="H4037" i="1"/>
  <c r="G4037" i="1"/>
  <c r="F4037" i="1"/>
  <c r="E4037" i="1"/>
  <c r="D4037" i="1"/>
  <c r="C4037" i="1"/>
  <c r="B4037" i="1"/>
  <c r="A4037" i="1"/>
  <c r="R4036" i="1"/>
  <c r="J4036" i="1"/>
  <c r="I4036" i="1"/>
  <c r="G4036" i="1"/>
  <c r="F4036" i="1"/>
  <c r="E4036" i="1"/>
  <c r="D4036" i="1"/>
  <c r="C4036" i="1"/>
  <c r="B4036" i="1"/>
  <c r="A4036" i="1"/>
  <c r="S4035" i="1"/>
  <c r="O4035" i="1"/>
  <c r="K4035" i="1"/>
  <c r="J4035" i="1"/>
  <c r="I4035" i="1"/>
  <c r="H4035" i="1"/>
  <c r="G4035" i="1"/>
  <c r="F4035" i="1"/>
  <c r="E4035" i="1"/>
  <c r="D4035" i="1"/>
  <c r="C4035" i="1"/>
  <c r="B4035" i="1"/>
  <c r="A4035" i="1"/>
  <c r="R4034" i="1"/>
  <c r="J4034" i="1"/>
  <c r="I4034" i="1"/>
  <c r="G4034" i="1"/>
  <c r="F4034" i="1"/>
  <c r="E4034" i="1"/>
  <c r="D4034" i="1"/>
  <c r="C4034" i="1"/>
  <c r="B4034" i="1"/>
  <c r="A4034" i="1"/>
  <c r="R4033" i="1"/>
  <c r="J4033" i="1"/>
  <c r="I4033" i="1"/>
  <c r="G4033" i="1"/>
  <c r="F4033" i="1"/>
  <c r="E4033" i="1"/>
  <c r="D4033" i="1"/>
  <c r="C4033" i="1"/>
  <c r="B4033" i="1"/>
  <c r="A4033" i="1"/>
  <c r="S4032" i="1"/>
  <c r="O4032" i="1"/>
  <c r="K4032" i="1"/>
  <c r="J4032" i="1"/>
  <c r="I4032" i="1"/>
  <c r="H4032" i="1"/>
  <c r="G4032" i="1"/>
  <c r="F4032" i="1"/>
  <c r="E4032" i="1"/>
  <c r="D4032" i="1"/>
  <c r="C4032" i="1"/>
  <c r="B4032" i="1"/>
  <c r="A4032" i="1"/>
  <c r="R4031" i="1"/>
  <c r="J4031" i="1"/>
  <c r="I4031" i="1"/>
  <c r="G4031" i="1"/>
  <c r="F4031" i="1"/>
  <c r="E4031" i="1"/>
  <c r="D4031" i="1"/>
  <c r="C4031" i="1"/>
  <c r="B4031" i="1"/>
  <c r="A4031" i="1"/>
  <c r="S4030" i="1"/>
  <c r="O4030" i="1"/>
  <c r="K4030" i="1"/>
  <c r="J4030" i="1"/>
  <c r="I4030" i="1"/>
  <c r="H4030" i="1"/>
  <c r="G4030" i="1"/>
  <c r="F4030" i="1"/>
  <c r="E4030" i="1"/>
  <c r="D4030" i="1"/>
  <c r="C4030" i="1"/>
  <c r="B4030" i="1"/>
  <c r="A4030" i="1"/>
  <c r="S4029" i="1"/>
  <c r="O4029" i="1"/>
  <c r="K4029" i="1"/>
  <c r="J4029" i="1"/>
  <c r="I4029" i="1"/>
  <c r="H4029" i="1"/>
  <c r="G4029" i="1"/>
  <c r="F4029" i="1"/>
  <c r="E4029" i="1"/>
  <c r="D4029" i="1"/>
  <c r="C4029" i="1"/>
  <c r="B4029" i="1"/>
  <c r="A4029" i="1"/>
  <c r="R4028" i="1"/>
  <c r="J4028" i="1"/>
  <c r="I4028" i="1"/>
  <c r="G4028" i="1"/>
  <c r="F4028" i="1"/>
  <c r="E4028" i="1"/>
  <c r="D4028" i="1"/>
  <c r="C4028" i="1"/>
  <c r="B4028" i="1"/>
  <c r="A4028" i="1"/>
  <c r="S4027" i="1"/>
  <c r="O4027" i="1"/>
  <c r="K4027" i="1"/>
  <c r="J4027" i="1"/>
  <c r="I4027" i="1"/>
  <c r="H4027" i="1"/>
  <c r="G4027" i="1"/>
  <c r="F4027" i="1"/>
  <c r="E4027" i="1"/>
  <c r="D4027" i="1"/>
  <c r="C4027" i="1"/>
  <c r="B4027" i="1"/>
  <c r="A4027" i="1"/>
  <c r="R4026" i="1"/>
  <c r="J4026" i="1"/>
  <c r="I4026" i="1"/>
  <c r="G4026" i="1"/>
  <c r="F4026" i="1"/>
  <c r="E4026" i="1"/>
  <c r="D4026" i="1"/>
  <c r="C4026" i="1"/>
  <c r="B4026" i="1"/>
  <c r="A4026" i="1"/>
  <c r="R4025" i="1"/>
  <c r="J4025" i="1"/>
  <c r="I4025" i="1"/>
  <c r="G4025" i="1"/>
  <c r="F4025" i="1"/>
  <c r="E4025" i="1"/>
  <c r="D4025" i="1"/>
  <c r="C4025" i="1"/>
  <c r="B4025" i="1"/>
  <c r="A4025" i="1"/>
  <c r="S4024" i="1"/>
  <c r="O4024" i="1"/>
  <c r="K4024" i="1"/>
  <c r="J4024" i="1"/>
  <c r="I4024" i="1"/>
  <c r="H4024" i="1"/>
  <c r="G4024" i="1"/>
  <c r="F4024" i="1"/>
  <c r="E4024" i="1"/>
  <c r="D4024" i="1"/>
  <c r="C4024" i="1"/>
  <c r="B4024" i="1"/>
  <c r="A4024" i="1"/>
  <c r="R4023" i="1"/>
  <c r="J4023" i="1"/>
  <c r="I4023" i="1"/>
  <c r="G4023" i="1"/>
  <c r="F4023" i="1"/>
  <c r="E4023" i="1"/>
  <c r="D4023" i="1"/>
  <c r="C4023" i="1"/>
  <c r="B4023" i="1"/>
  <c r="A4023" i="1"/>
  <c r="S4022" i="1"/>
  <c r="O4022" i="1"/>
  <c r="K4022" i="1"/>
  <c r="J4022" i="1"/>
  <c r="I4022" i="1"/>
  <c r="H4022" i="1"/>
  <c r="G4022" i="1"/>
  <c r="F4022" i="1"/>
  <c r="E4022" i="1"/>
  <c r="D4022" i="1"/>
  <c r="C4022" i="1"/>
  <c r="B4022" i="1"/>
  <c r="A4022" i="1"/>
  <c r="R4021" i="1"/>
  <c r="J4021" i="1"/>
  <c r="I4021" i="1"/>
  <c r="G4021" i="1"/>
  <c r="F4021" i="1"/>
  <c r="E4021" i="1"/>
  <c r="D4021" i="1"/>
  <c r="C4021" i="1"/>
  <c r="B4021" i="1"/>
  <c r="A4021" i="1"/>
  <c r="R4020" i="1"/>
  <c r="J4020" i="1"/>
  <c r="I4020" i="1"/>
  <c r="G4020" i="1"/>
  <c r="F4020" i="1"/>
  <c r="E4020" i="1"/>
  <c r="D4020" i="1"/>
  <c r="C4020" i="1"/>
  <c r="B4020" i="1"/>
  <c r="A4020" i="1"/>
  <c r="R4019" i="1"/>
  <c r="J4019" i="1"/>
  <c r="I4019" i="1"/>
  <c r="G4019" i="1"/>
  <c r="F4019" i="1"/>
  <c r="E4019" i="1"/>
  <c r="D4019" i="1"/>
  <c r="C4019" i="1"/>
  <c r="B4019" i="1"/>
  <c r="A4019" i="1"/>
  <c r="S4018" i="1"/>
  <c r="O4018" i="1"/>
  <c r="K4018" i="1"/>
  <c r="J4018" i="1"/>
  <c r="I4018" i="1"/>
  <c r="H4018" i="1"/>
  <c r="G4018" i="1"/>
  <c r="F4018" i="1"/>
  <c r="E4018" i="1"/>
  <c r="D4018" i="1"/>
  <c r="C4018" i="1"/>
  <c r="B4018" i="1"/>
  <c r="A4018" i="1"/>
  <c r="R4017" i="1"/>
  <c r="J4017" i="1"/>
  <c r="I4017" i="1"/>
  <c r="G4017" i="1"/>
  <c r="F4017" i="1"/>
  <c r="E4017" i="1"/>
  <c r="D4017" i="1"/>
  <c r="C4017" i="1"/>
  <c r="B4017" i="1"/>
  <c r="A4017" i="1"/>
  <c r="S4016" i="1"/>
  <c r="O4016" i="1"/>
  <c r="K4016" i="1"/>
  <c r="J4016" i="1"/>
  <c r="I4016" i="1"/>
  <c r="H4016" i="1"/>
  <c r="G4016" i="1"/>
  <c r="F4016" i="1"/>
  <c r="E4016" i="1"/>
  <c r="D4016" i="1"/>
  <c r="C4016" i="1"/>
  <c r="B4016" i="1"/>
  <c r="A4016" i="1"/>
  <c r="R4015" i="1"/>
  <c r="J4015" i="1"/>
  <c r="I4015" i="1"/>
  <c r="G4015" i="1"/>
  <c r="F4015" i="1"/>
  <c r="E4015" i="1"/>
  <c r="D4015" i="1"/>
  <c r="C4015" i="1"/>
  <c r="B4015" i="1"/>
  <c r="A4015" i="1"/>
  <c r="S4014" i="1"/>
  <c r="O4014" i="1"/>
  <c r="K4014" i="1"/>
  <c r="J4014" i="1"/>
  <c r="I4014" i="1"/>
  <c r="H4014" i="1"/>
  <c r="G4014" i="1"/>
  <c r="F4014" i="1"/>
  <c r="E4014" i="1"/>
  <c r="D4014" i="1"/>
  <c r="C4014" i="1"/>
  <c r="B4014" i="1"/>
  <c r="A4014" i="1"/>
  <c r="R4013" i="1"/>
  <c r="J4013" i="1"/>
  <c r="I4013" i="1"/>
  <c r="G4013" i="1"/>
  <c r="F4013" i="1"/>
  <c r="E4013" i="1"/>
  <c r="D4013" i="1"/>
  <c r="C4013" i="1"/>
  <c r="B4013" i="1"/>
  <c r="A4013" i="1"/>
  <c r="S4012" i="1"/>
  <c r="O4012" i="1"/>
  <c r="K4012" i="1"/>
  <c r="J4012" i="1"/>
  <c r="I4012" i="1"/>
  <c r="H4012" i="1"/>
  <c r="G4012" i="1"/>
  <c r="F4012" i="1"/>
  <c r="E4012" i="1"/>
  <c r="D4012" i="1"/>
  <c r="C4012" i="1"/>
  <c r="B4012" i="1"/>
  <c r="A4012" i="1"/>
  <c r="R4011" i="1"/>
  <c r="J4011" i="1"/>
  <c r="I4011" i="1"/>
  <c r="G4011" i="1"/>
  <c r="F4011" i="1"/>
  <c r="E4011" i="1"/>
  <c r="D4011" i="1"/>
  <c r="C4011" i="1"/>
  <c r="B4011" i="1"/>
  <c r="A4011" i="1"/>
  <c r="S4010" i="1"/>
  <c r="O4010" i="1"/>
  <c r="K4010" i="1"/>
  <c r="J4010" i="1"/>
  <c r="I4010" i="1"/>
  <c r="H4010" i="1"/>
  <c r="G4010" i="1"/>
  <c r="F4010" i="1"/>
  <c r="E4010" i="1"/>
  <c r="D4010" i="1"/>
  <c r="C4010" i="1"/>
  <c r="B4010" i="1"/>
  <c r="A4010" i="1"/>
  <c r="R4009" i="1"/>
  <c r="J4009" i="1"/>
  <c r="I4009" i="1"/>
  <c r="G4009" i="1"/>
  <c r="F4009" i="1"/>
  <c r="E4009" i="1"/>
  <c r="D4009" i="1"/>
  <c r="C4009" i="1"/>
  <c r="B4009" i="1"/>
  <c r="A4009" i="1"/>
  <c r="R4008" i="1"/>
  <c r="J4008" i="1"/>
  <c r="I4008" i="1"/>
  <c r="G4008" i="1"/>
  <c r="F4008" i="1"/>
  <c r="E4008" i="1"/>
  <c r="D4008" i="1"/>
  <c r="C4008" i="1"/>
  <c r="B4008" i="1"/>
  <c r="A4008" i="1"/>
  <c r="S4007" i="1"/>
  <c r="O4007" i="1"/>
  <c r="K4007" i="1"/>
  <c r="J4007" i="1"/>
  <c r="I4007" i="1"/>
  <c r="H4007" i="1"/>
  <c r="G4007" i="1"/>
  <c r="F4007" i="1"/>
  <c r="E4007" i="1"/>
  <c r="D4007" i="1"/>
  <c r="C4007" i="1"/>
  <c r="B4007" i="1"/>
  <c r="A4007" i="1"/>
  <c r="R4006" i="1"/>
  <c r="J4006" i="1"/>
  <c r="I4006" i="1"/>
  <c r="G4006" i="1"/>
  <c r="F4006" i="1"/>
  <c r="E4006" i="1"/>
  <c r="D4006" i="1"/>
  <c r="C4006" i="1"/>
  <c r="B4006" i="1"/>
  <c r="A4006" i="1"/>
  <c r="S4005" i="1"/>
  <c r="O4005" i="1"/>
  <c r="K4005" i="1"/>
  <c r="J4005" i="1"/>
  <c r="I4005" i="1"/>
  <c r="H4005" i="1"/>
  <c r="G4005" i="1"/>
  <c r="F4005" i="1"/>
  <c r="E4005" i="1"/>
  <c r="D4005" i="1"/>
  <c r="C4005" i="1"/>
  <c r="B4005" i="1"/>
  <c r="A4005" i="1"/>
  <c r="R4004" i="1"/>
  <c r="J4004" i="1"/>
  <c r="I4004" i="1"/>
  <c r="G4004" i="1"/>
  <c r="F4004" i="1"/>
  <c r="E4004" i="1"/>
  <c r="D4004" i="1"/>
  <c r="C4004" i="1"/>
  <c r="B4004" i="1"/>
  <c r="A4004" i="1"/>
  <c r="S4003" i="1"/>
  <c r="O4003" i="1"/>
  <c r="K4003" i="1"/>
  <c r="J4003" i="1"/>
  <c r="I4003" i="1"/>
  <c r="H4003" i="1"/>
  <c r="G4003" i="1"/>
  <c r="F4003" i="1"/>
  <c r="E4003" i="1"/>
  <c r="D4003" i="1"/>
  <c r="C4003" i="1"/>
  <c r="B4003" i="1"/>
  <c r="A4003" i="1"/>
  <c r="R4002" i="1"/>
  <c r="J4002" i="1"/>
  <c r="I4002" i="1"/>
  <c r="G4002" i="1"/>
  <c r="F4002" i="1"/>
  <c r="E4002" i="1"/>
  <c r="D4002" i="1"/>
  <c r="C4002" i="1"/>
  <c r="B4002" i="1"/>
  <c r="A4002" i="1"/>
  <c r="R4001" i="1"/>
  <c r="J4001" i="1"/>
  <c r="I4001" i="1"/>
  <c r="G4001" i="1"/>
  <c r="F4001" i="1"/>
  <c r="E4001" i="1"/>
  <c r="D4001" i="1"/>
  <c r="C4001" i="1"/>
  <c r="B4001" i="1"/>
  <c r="A4001" i="1"/>
  <c r="S4000" i="1"/>
  <c r="O4000" i="1"/>
  <c r="K4000" i="1"/>
  <c r="J4000" i="1"/>
  <c r="I4000" i="1"/>
  <c r="H4000" i="1"/>
  <c r="G4000" i="1"/>
  <c r="F4000" i="1"/>
  <c r="E4000" i="1"/>
  <c r="D4000" i="1"/>
  <c r="C4000" i="1"/>
  <c r="B4000" i="1"/>
  <c r="A4000" i="1"/>
  <c r="R3999" i="1"/>
  <c r="J3999" i="1"/>
  <c r="I3999" i="1"/>
  <c r="G3999" i="1"/>
  <c r="F3999" i="1"/>
  <c r="E3999" i="1"/>
  <c r="D3999" i="1"/>
  <c r="C3999" i="1"/>
  <c r="B3999" i="1"/>
  <c r="A3999" i="1"/>
  <c r="S3998" i="1"/>
  <c r="O3998" i="1"/>
  <c r="K3998" i="1"/>
  <c r="J3998" i="1"/>
  <c r="I3998" i="1"/>
  <c r="H3998" i="1"/>
  <c r="G3998" i="1"/>
  <c r="F3998" i="1"/>
  <c r="E3998" i="1"/>
  <c r="D3998" i="1"/>
  <c r="C3998" i="1"/>
  <c r="B3998" i="1"/>
  <c r="A3998" i="1"/>
  <c r="R3997" i="1"/>
  <c r="J3997" i="1"/>
  <c r="I3997" i="1"/>
  <c r="G3997" i="1"/>
  <c r="F3997" i="1"/>
  <c r="E3997" i="1"/>
  <c r="D3997" i="1"/>
  <c r="C3997" i="1"/>
  <c r="B3997" i="1"/>
  <c r="A3997" i="1"/>
  <c r="S3996" i="1"/>
  <c r="O3996" i="1"/>
  <c r="K3996" i="1"/>
  <c r="J3996" i="1"/>
  <c r="I3996" i="1"/>
  <c r="H3996" i="1"/>
  <c r="G3996" i="1"/>
  <c r="F3996" i="1"/>
  <c r="E3996" i="1"/>
  <c r="D3996" i="1"/>
  <c r="C3996" i="1"/>
  <c r="B3996" i="1"/>
  <c r="A3996" i="1"/>
  <c r="R3995" i="1"/>
  <c r="J3995" i="1"/>
  <c r="I3995" i="1"/>
  <c r="G3995" i="1"/>
  <c r="F3995" i="1"/>
  <c r="E3995" i="1"/>
  <c r="D3995" i="1"/>
  <c r="C3995" i="1"/>
  <c r="B3995" i="1"/>
  <c r="A3995" i="1"/>
  <c r="S3994" i="1"/>
  <c r="O3994" i="1"/>
  <c r="K3994" i="1"/>
  <c r="J3994" i="1"/>
  <c r="I3994" i="1"/>
  <c r="H3994" i="1"/>
  <c r="G3994" i="1"/>
  <c r="F3994" i="1"/>
  <c r="E3994" i="1"/>
  <c r="D3994" i="1"/>
  <c r="C3994" i="1"/>
  <c r="B3994" i="1"/>
  <c r="A3994" i="1"/>
  <c r="R3993" i="1"/>
  <c r="J3993" i="1"/>
  <c r="I3993" i="1"/>
  <c r="G3993" i="1"/>
  <c r="F3993" i="1"/>
  <c r="E3993" i="1"/>
  <c r="D3993" i="1"/>
  <c r="C3993" i="1"/>
  <c r="B3993" i="1"/>
  <c r="A3993" i="1"/>
  <c r="S3992" i="1"/>
  <c r="O3992" i="1"/>
  <c r="K3992" i="1"/>
  <c r="J3992" i="1"/>
  <c r="I3992" i="1"/>
  <c r="H3992" i="1"/>
  <c r="G3992" i="1"/>
  <c r="F3992" i="1"/>
  <c r="E3992" i="1"/>
  <c r="D3992" i="1"/>
  <c r="C3992" i="1"/>
  <c r="B3992" i="1"/>
  <c r="A3992" i="1"/>
  <c r="R3991" i="1"/>
  <c r="J3991" i="1"/>
  <c r="I3991" i="1"/>
  <c r="G3991" i="1"/>
  <c r="F3991" i="1"/>
  <c r="E3991" i="1"/>
  <c r="D3991" i="1"/>
  <c r="C3991" i="1"/>
  <c r="B3991" i="1"/>
  <c r="A3991" i="1"/>
  <c r="S3990" i="1"/>
  <c r="O3990" i="1"/>
  <c r="K3990" i="1"/>
  <c r="J3990" i="1"/>
  <c r="I3990" i="1"/>
  <c r="H3990" i="1"/>
  <c r="G3990" i="1"/>
  <c r="F3990" i="1"/>
  <c r="E3990" i="1"/>
  <c r="D3990" i="1"/>
  <c r="C3990" i="1"/>
  <c r="B3990" i="1"/>
  <c r="A3990" i="1"/>
  <c r="R3989" i="1"/>
  <c r="J3989" i="1"/>
  <c r="I3989" i="1"/>
  <c r="G3989" i="1"/>
  <c r="F3989" i="1"/>
  <c r="E3989" i="1"/>
  <c r="D3989" i="1"/>
  <c r="C3989" i="1"/>
  <c r="B3989" i="1"/>
  <c r="A3989" i="1"/>
  <c r="R3988" i="1"/>
  <c r="J3988" i="1"/>
  <c r="I3988" i="1"/>
  <c r="G3988" i="1"/>
  <c r="F3988" i="1"/>
  <c r="E3988" i="1"/>
  <c r="D3988" i="1"/>
  <c r="C3988" i="1"/>
  <c r="B3988" i="1"/>
  <c r="A3988" i="1"/>
  <c r="S3987" i="1"/>
  <c r="O3987" i="1"/>
  <c r="K3987" i="1"/>
  <c r="J3987" i="1"/>
  <c r="I3987" i="1"/>
  <c r="H3987" i="1"/>
  <c r="G3987" i="1"/>
  <c r="F3987" i="1"/>
  <c r="E3987" i="1"/>
  <c r="D3987" i="1"/>
  <c r="C3987" i="1"/>
  <c r="B3987" i="1"/>
  <c r="A3987" i="1"/>
  <c r="R3986" i="1"/>
  <c r="J3986" i="1"/>
  <c r="I3986" i="1"/>
  <c r="G3986" i="1"/>
  <c r="F3986" i="1"/>
  <c r="E3986" i="1"/>
  <c r="D3986" i="1"/>
  <c r="C3986" i="1"/>
  <c r="B3986" i="1"/>
  <c r="A3986" i="1"/>
  <c r="R3985" i="1"/>
  <c r="J3985" i="1"/>
  <c r="I3985" i="1"/>
  <c r="G3985" i="1"/>
  <c r="F3985" i="1"/>
  <c r="E3985" i="1"/>
  <c r="D3985" i="1"/>
  <c r="C3985" i="1"/>
  <c r="B3985" i="1"/>
  <c r="A3985" i="1"/>
  <c r="S3984" i="1"/>
  <c r="O3984" i="1"/>
  <c r="K3984" i="1"/>
  <c r="J3984" i="1"/>
  <c r="I3984" i="1"/>
  <c r="H3984" i="1"/>
  <c r="G3984" i="1"/>
  <c r="F3984" i="1"/>
  <c r="E3984" i="1"/>
  <c r="D3984" i="1"/>
  <c r="C3984" i="1"/>
  <c r="B3984" i="1"/>
  <c r="A3984" i="1"/>
  <c r="R3983" i="1"/>
  <c r="J3983" i="1"/>
  <c r="I3983" i="1"/>
  <c r="G3983" i="1"/>
  <c r="F3983" i="1"/>
  <c r="E3983" i="1"/>
  <c r="D3983" i="1"/>
  <c r="C3983" i="1"/>
  <c r="B3983" i="1"/>
  <c r="A3983" i="1"/>
  <c r="S3982" i="1"/>
  <c r="O3982" i="1"/>
  <c r="K3982" i="1"/>
  <c r="J3982" i="1"/>
  <c r="I3982" i="1"/>
  <c r="H3982" i="1"/>
  <c r="G3982" i="1"/>
  <c r="F3982" i="1"/>
  <c r="E3982" i="1"/>
  <c r="D3982" i="1"/>
  <c r="C3982" i="1"/>
  <c r="B3982" i="1"/>
  <c r="A3982" i="1"/>
  <c r="R3981" i="1"/>
  <c r="J3981" i="1"/>
  <c r="I3981" i="1"/>
  <c r="G3981" i="1"/>
  <c r="F3981" i="1"/>
  <c r="E3981" i="1"/>
  <c r="D3981" i="1"/>
  <c r="C3981" i="1"/>
  <c r="B3981" i="1"/>
  <c r="A3981" i="1"/>
  <c r="S3980" i="1"/>
  <c r="O3980" i="1"/>
  <c r="K3980" i="1"/>
  <c r="J3980" i="1"/>
  <c r="I3980" i="1"/>
  <c r="H3980" i="1"/>
  <c r="G3980" i="1"/>
  <c r="F3980" i="1"/>
  <c r="E3980" i="1"/>
  <c r="D3980" i="1"/>
  <c r="C3980" i="1"/>
  <c r="B3980" i="1"/>
  <c r="A3980" i="1"/>
  <c r="S3979" i="1"/>
  <c r="O3979" i="1"/>
  <c r="K3979" i="1"/>
  <c r="J3979" i="1"/>
  <c r="I3979" i="1"/>
  <c r="H3979" i="1"/>
  <c r="G3979" i="1"/>
  <c r="F3979" i="1"/>
  <c r="E3979" i="1"/>
  <c r="D3979" i="1"/>
  <c r="C3979" i="1"/>
  <c r="B3979" i="1"/>
  <c r="A3979" i="1"/>
  <c r="R3978" i="1"/>
  <c r="J3978" i="1"/>
  <c r="I3978" i="1"/>
  <c r="G3978" i="1"/>
  <c r="F3978" i="1"/>
  <c r="E3978" i="1"/>
  <c r="D3978" i="1"/>
  <c r="C3978" i="1"/>
  <c r="B3978" i="1"/>
  <c r="A3978" i="1"/>
  <c r="S3977" i="1"/>
  <c r="O3977" i="1"/>
  <c r="K3977" i="1"/>
  <c r="J3977" i="1"/>
  <c r="I3977" i="1"/>
  <c r="H3977" i="1"/>
  <c r="G3977" i="1"/>
  <c r="F3977" i="1"/>
  <c r="E3977" i="1"/>
  <c r="D3977" i="1"/>
  <c r="C3977" i="1"/>
  <c r="B3977" i="1"/>
  <c r="A3977" i="1"/>
  <c r="R3976" i="1"/>
  <c r="J3976" i="1"/>
  <c r="I3976" i="1"/>
  <c r="G3976" i="1"/>
  <c r="F3976" i="1"/>
  <c r="E3976" i="1"/>
  <c r="D3976" i="1"/>
  <c r="C3976" i="1"/>
  <c r="B3976" i="1"/>
  <c r="A3976" i="1"/>
  <c r="S3975" i="1"/>
  <c r="O3975" i="1"/>
  <c r="K3975" i="1"/>
  <c r="J3975" i="1"/>
  <c r="I3975" i="1"/>
  <c r="H3975" i="1"/>
  <c r="G3975" i="1"/>
  <c r="F3975" i="1"/>
  <c r="E3975" i="1"/>
  <c r="D3975" i="1"/>
  <c r="C3975" i="1"/>
  <c r="B3975" i="1"/>
  <c r="A3975" i="1"/>
  <c r="R3974" i="1"/>
  <c r="J3974" i="1"/>
  <c r="I3974" i="1"/>
  <c r="G3974" i="1"/>
  <c r="F3974" i="1"/>
  <c r="E3974" i="1"/>
  <c r="D3974" i="1"/>
  <c r="C3974" i="1"/>
  <c r="B3974" i="1"/>
  <c r="A3974" i="1"/>
  <c r="S3973" i="1"/>
  <c r="O3973" i="1"/>
  <c r="K3973" i="1"/>
  <c r="J3973" i="1"/>
  <c r="I3973" i="1"/>
  <c r="H3973" i="1"/>
  <c r="G3973" i="1"/>
  <c r="F3973" i="1"/>
  <c r="E3973" i="1"/>
  <c r="D3973" i="1"/>
  <c r="C3973" i="1"/>
  <c r="B3973" i="1"/>
  <c r="A3973" i="1"/>
  <c r="R3972" i="1"/>
  <c r="J3972" i="1"/>
  <c r="I3972" i="1"/>
  <c r="G3972" i="1"/>
  <c r="F3972" i="1"/>
  <c r="E3972" i="1"/>
  <c r="D3972" i="1"/>
  <c r="C3972" i="1"/>
  <c r="B3972" i="1"/>
  <c r="A3972" i="1"/>
  <c r="S3971" i="1"/>
  <c r="O3971" i="1"/>
  <c r="K3971" i="1"/>
  <c r="J3971" i="1"/>
  <c r="I3971" i="1"/>
  <c r="H3971" i="1"/>
  <c r="G3971" i="1"/>
  <c r="F3971" i="1"/>
  <c r="E3971" i="1"/>
  <c r="D3971" i="1"/>
  <c r="C3971" i="1"/>
  <c r="B3971" i="1"/>
  <c r="A3971" i="1"/>
  <c r="R3970" i="1"/>
  <c r="J3970" i="1"/>
  <c r="I3970" i="1"/>
  <c r="G3970" i="1"/>
  <c r="F3970" i="1"/>
  <c r="E3970" i="1"/>
  <c r="D3970" i="1"/>
  <c r="C3970" i="1"/>
  <c r="B3970" i="1"/>
  <c r="A3970" i="1"/>
  <c r="S3969" i="1"/>
  <c r="O3969" i="1"/>
  <c r="K3969" i="1"/>
  <c r="J3969" i="1"/>
  <c r="I3969" i="1"/>
  <c r="H3969" i="1"/>
  <c r="G3969" i="1"/>
  <c r="F3969" i="1"/>
  <c r="E3969" i="1"/>
  <c r="D3969" i="1"/>
  <c r="C3969" i="1"/>
  <c r="B3969" i="1"/>
  <c r="A3969" i="1"/>
  <c r="R3968" i="1"/>
  <c r="J3968" i="1"/>
  <c r="I3968" i="1"/>
  <c r="G3968" i="1"/>
  <c r="F3968" i="1"/>
  <c r="E3968" i="1"/>
  <c r="D3968" i="1"/>
  <c r="C3968" i="1"/>
  <c r="B3968" i="1"/>
  <c r="A3968" i="1"/>
  <c r="R3967" i="1"/>
  <c r="J3967" i="1"/>
  <c r="I3967" i="1"/>
  <c r="G3967" i="1"/>
  <c r="F3967" i="1"/>
  <c r="E3967" i="1"/>
  <c r="D3967" i="1"/>
  <c r="C3967" i="1"/>
  <c r="B3967" i="1"/>
  <c r="A3967" i="1"/>
  <c r="S3966" i="1"/>
  <c r="O3966" i="1"/>
  <c r="K3966" i="1"/>
  <c r="J3966" i="1"/>
  <c r="I3966" i="1"/>
  <c r="H3966" i="1"/>
  <c r="G3966" i="1"/>
  <c r="F3966" i="1"/>
  <c r="E3966" i="1"/>
  <c r="D3966" i="1"/>
  <c r="C3966" i="1"/>
  <c r="B3966" i="1"/>
  <c r="A3966" i="1"/>
  <c r="R3965" i="1"/>
  <c r="J3965" i="1"/>
  <c r="I3965" i="1"/>
  <c r="G3965" i="1"/>
  <c r="F3965" i="1"/>
  <c r="E3965" i="1"/>
  <c r="D3965" i="1"/>
  <c r="C3965" i="1"/>
  <c r="B3965" i="1"/>
  <c r="A3965" i="1"/>
  <c r="S3964" i="1"/>
  <c r="O3964" i="1"/>
  <c r="K3964" i="1"/>
  <c r="J3964" i="1"/>
  <c r="I3964" i="1"/>
  <c r="H3964" i="1"/>
  <c r="G3964" i="1"/>
  <c r="F3964" i="1"/>
  <c r="E3964" i="1"/>
  <c r="D3964" i="1"/>
  <c r="C3964" i="1"/>
  <c r="B3964" i="1"/>
  <c r="A3964" i="1"/>
  <c r="R3963" i="1"/>
  <c r="J3963" i="1"/>
  <c r="I3963" i="1"/>
  <c r="G3963" i="1"/>
  <c r="F3963" i="1"/>
  <c r="E3963" i="1"/>
  <c r="D3963" i="1"/>
  <c r="C3963" i="1"/>
  <c r="B3963" i="1"/>
  <c r="A3963" i="1"/>
  <c r="S3962" i="1"/>
  <c r="O3962" i="1"/>
  <c r="K3962" i="1"/>
  <c r="J3962" i="1"/>
  <c r="I3962" i="1"/>
  <c r="H3962" i="1"/>
  <c r="G3962" i="1"/>
  <c r="F3962" i="1"/>
  <c r="E3962" i="1"/>
  <c r="D3962" i="1"/>
  <c r="C3962" i="1"/>
  <c r="B3962" i="1"/>
  <c r="A3962" i="1"/>
  <c r="R3961" i="1"/>
  <c r="J3961" i="1"/>
  <c r="I3961" i="1"/>
  <c r="G3961" i="1"/>
  <c r="F3961" i="1"/>
  <c r="E3961" i="1"/>
  <c r="D3961" i="1"/>
  <c r="C3961" i="1"/>
  <c r="B3961" i="1"/>
  <c r="A3961" i="1"/>
  <c r="S3960" i="1"/>
  <c r="O3960" i="1"/>
  <c r="K3960" i="1"/>
  <c r="J3960" i="1"/>
  <c r="I3960" i="1"/>
  <c r="H3960" i="1"/>
  <c r="G3960" i="1"/>
  <c r="F3960" i="1"/>
  <c r="E3960" i="1"/>
  <c r="D3960" i="1"/>
  <c r="C3960" i="1"/>
  <c r="B3960" i="1"/>
  <c r="A3960" i="1"/>
  <c r="R3959" i="1"/>
  <c r="J3959" i="1"/>
  <c r="I3959" i="1"/>
  <c r="G3959" i="1"/>
  <c r="F3959" i="1"/>
  <c r="E3959" i="1"/>
  <c r="D3959" i="1"/>
  <c r="C3959" i="1"/>
  <c r="B3959" i="1"/>
  <c r="A3959" i="1"/>
  <c r="S3958" i="1"/>
  <c r="O3958" i="1"/>
  <c r="K3958" i="1"/>
  <c r="J3958" i="1"/>
  <c r="I3958" i="1"/>
  <c r="H3958" i="1"/>
  <c r="G3958" i="1"/>
  <c r="F3958" i="1"/>
  <c r="E3958" i="1"/>
  <c r="D3958" i="1"/>
  <c r="C3958" i="1"/>
  <c r="B3958" i="1"/>
  <c r="A3958" i="1"/>
  <c r="R3957" i="1"/>
  <c r="J3957" i="1"/>
  <c r="I3957" i="1"/>
  <c r="G3957" i="1"/>
  <c r="F3957" i="1"/>
  <c r="E3957" i="1"/>
  <c r="D3957" i="1"/>
  <c r="C3957" i="1"/>
  <c r="B3957" i="1"/>
  <c r="A3957" i="1"/>
  <c r="S3956" i="1"/>
  <c r="O3956" i="1"/>
  <c r="K3956" i="1"/>
  <c r="J3956" i="1"/>
  <c r="I3956" i="1"/>
  <c r="H3956" i="1"/>
  <c r="G3956" i="1"/>
  <c r="F3956" i="1"/>
  <c r="E3956" i="1"/>
  <c r="D3956" i="1"/>
  <c r="C3956" i="1"/>
  <c r="B3956" i="1"/>
  <c r="A3956" i="1"/>
  <c r="S3955" i="1"/>
  <c r="O3955" i="1"/>
  <c r="K3955" i="1"/>
  <c r="J3955" i="1"/>
  <c r="I3955" i="1"/>
  <c r="H3955" i="1"/>
  <c r="G3955" i="1"/>
  <c r="F3955" i="1"/>
  <c r="D3955" i="1"/>
  <c r="C3955" i="1"/>
  <c r="B3955" i="1"/>
  <c r="A3955" i="1"/>
  <c r="R3954" i="1"/>
  <c r="J3954" i="1"/>
  <c r="I3954" i="1"/>
  <c r="G3954" i="1"/>
  <c r="F3954" i="1"/>
  <c r="E3954" i="1"/>
  <c r="D3954" i="1"/>
  <c r="C3954" i="1"/>
  <c r="B3954" i="1"/>
  <c r="A3954" i="1"/>
  <c r="S3953" i="1"/>
  <c r="O3953" i="1"/>
  <c r="K3953" i="1"/>
  <c r="J3953" i="1"/>
  <c r="I3953" i="1"/>
  <c r="H3953" i="1"/>
  <c r="G3953" i="1"/>
  <c r="F3953" i="1"/>
  <c r="E3953" i="1"/>
  <c r="D3953" i="1"/>
  <c r="C3953" i="1"/>
  <c r="B3953" i="1"/>
  <c r="A3953" i="1"/>
  <c r="R3952" i="1"/>
  <c r="J3952" i="1"/>
  <c r="I3952" i="1"/>
  <c r="G3952" i="1"/>
  <c r="F3952" i="1"/>
  <c r="E3952" i="1"/>
  <c r="D3952" i="1"/>
  <c r="C3952" i="1"/>
  <c r="B3952" i="1"/>
  <c r="A3952" i="1"/>
  <c r="S3951" i="1"/>
  <c r="O3951" i="1"/>
  <c r="K3951" i="1"/>
  <c r="J3951" i="1"/>
  <c r="I3951" i="1"/>
  <c r="H3951" i="1"/>
  <c r="G3951" i="1"/>
  <c r="F3951" i="1"/>
  <c r="E3951" i="1"/>
  <c r="D3951" i="1"/>
  <c r="C3951" i="1"/>
  <c r="B3951" i="1"/>
  <c r="A3951" i="1"/>
  <c r="R3950" i="1"/>
  <c r="J3950" i="1"/>
  <c r="I3950" i="1"/>
  <c r="G3950" i="1"/>
  <c r="F3950" i="1"/>
  <c r="E3950" i="1"/>
  <c r="D3950" i="1"/>
  <c r="C3950" i="1"/>
  <c r="B3950" i="1"/>
  <c r="A3950" i="1"/>
  <c r="S3949" i="1"/>
  <c r="O3949" i="1"/>
  <c r="K3949" i="1"/>
  <c r="J3949" i="1"/>
  <c r="I3949" i="1"/>
  <c r="H3949" i="1"/>
  <c r="G3949" i="1"/>
  <c r="F3949" i="1"/>
  <c r="E3949" i="1"/>
  <c r="D3949" i="1"/>
  <c r="C3949" i="1"/>
  <c r="B3949" i="1"/>
  <c r="A3949" i="1"/>
  <c r="R3948" i="1"/>
  <c r="J3948" i="1"/>
  <c r="I3948" i="1"/>
  <c r="G3948" i="1"/>
  <c r="F3948" i="1"/>
  <c r="E3948" i="1"/>
  <c r="D3948" i="1"/>
  <c r="C3948" i="1"/>
  <c r="B3948" i="1"/>
  <c r="A3948" i="1"/>
  <c r="R3947" i="1"/>
  <c r="J3947" i="1"/>
  <c r="I3947" i="1"/>
  <c r="G3947" i="1"/>
  <c r="F3947" i="1"/>
  <c r="E3947" i="1"/>
  <c r="D3947" i="1"/>
  <c r="C3947" i="1"/>
  <c r="B3947" i="1"/>
  <c r="A3947" i="1"/>
  <c r="R3946" i="1"/>
  <c r="J3946" i="1"/>
  <c r="I3946" i="1"/>
  <c r="G3946" i="1"/>
  <c r="F3946" i="1"/>
  <c r="E3946" i="1"/>
  <c r="D3946" i="1"/>
  <c r="C3946" i="1"/>
  <c r="B3946" i="1"/>
  <c r="A3946" i="1"/>
  <c r="R3945" i="1"/>
  <c r="J3945" i="1"/>
  <c r="I3945" i="1"/>
  <c r="G3945" i="1"/>
  <c r="F3945" i="1"/>
  <c r="E3945" i="1"/>
  <c r="D3945" i="1"/>
  <c r="C3945" i="1"/>
  <c r="B3945" i="1"/>
  <c r="A3945" i="1"/>
  <c r="R3944" i="1"/>
  <c r="J3944" i="1"/>
  <c r="I3944" i="1"/>
  <c r="G3944" i="1"/>
  <c r="F3944" i="1"/>
  <c r="E3944" i="1"/>
  <c r="D3944" i="1"/>
  <c r="C3944" i="1"/>
  <c r="B3944" i="1"/>
  <c r="A3944" i="1"/>
  <c r="R3943" i="1"/>
  <c r="J3943" i="1"/>
  <c r="I3943" i="1"/>
  <c r="G3943" i="1"/>
  <c r="F3943" i="1"/>
  <c r="E3943" i="1"/>
  <c r="D3943" i="1"/>
  <c r="C3943" i="1"/>
  <c r="B3943" i="1"/>
  <c r="A3943" i="1"/>
  <c r="R3942" i="1"/>
  <c r="J3942" i="1"/>
  <c r="I3942" i="1"/>
  <c r="G3942" i="1"/>
  <c r="F3942" i="1"/>
  <c r="E3942" i="1"/>
  <c r="D3942" i="1"/>
  <c r="C3942" i="1"/>
  <c r="B3942" i="1"/>
  <c r="A3942" i="1"/>
  <c r="R3941" i="1"/>
  <c r="J3941" i="1"/>
  <c r="I3941" i="1"/>
  <c r="G3941" i="1"/>
  <c r="F3941" i="1"/>
  <c r="E3941" i="1"/>
  <c r="D3941" i="1"/>
  <c r="C3941" i="1"/>
  <c r="B3941" i="1"/>
  <c r="A3941" i="1"/>
  <c r="R3940" i="1"/>
  <c r="J3940" i="1"/>
  <c r="I3940" i="1"/>
  <c r="G3940" i="1"/>
  <c r="F3940" i="1"/>
  <c r="E3940" i="1"/>
  <c r="D3940" i="1"/>
  <c r="C3940" i="1"/>
  <c r="B3940" i="1"/>
  <c r="A3940" i="1"/>
  <c r="R3939" i="1"/>
  <c r="J3939" i="1"/>
  <c r="I3939" i="1"/>
  <c r="G3939" i="1"/>
  <c r="F3939" i="1"/>
  <c r="E3939" i="1"/>
  <c r="D3939" i="1"/>
  <c r="C3939" i="1"/>
  <c r="B3939" i="1"/>
  <c r="A3939" i="1"/>
  <c r="R3938" i="1"/>
  <c r="J3938" i="1"/>
  <c r="I3938" i="1"/>
  <c r="G3938" i="1"/>
  <c r="F3938" i="1"/>
  <c r="E3938" i="1"/>
  <c r="D3938" i="1"/>
  <c r="C3938" i="1"/>
  <c r="B3938" i="1"/>
  <c r="A3938" i="1"/>
  <c r="R3937" i="1"/>
  <c r="J3937" i="1"/>
  <c r="I3937" i="1"/>
  <c r="G3937" i="1"/>
  <c r="F3937" i="1"/>
  <c r="E3937" i="1"/>
  <c r="D3937" i="1"/>
  <c r="C3937" i="1"/>
  <c r="B3937" i="1"/>
  <c r="A3937" i="1"/>
  <c r="S3936" i="1"/>
  <c r="O3936" i="1"/>
  <c r="K3936" i="1"/>
  <c r="J3936" i="1"/>
  <c r="I3936" i="1"/>
  <c r="H3936" i="1"/>
  <c r="G3936" i="1"/>
  <c r="F3936" i="1"/>
  <c r="E3936" i="1"/>
  <c r="D3936" i="1"/>
  <c r="C3936" i="1"/>
  <c r="B3936" i="1"/>
  <c r="A3936" i="1"/>
  <c r="R3935" i="1"/>
  <c r="J3935" i="1"/>
  <c r="I3935" i="1"/>
  <c r="G3935" i="1"/>
  <c r="F3935" i="1"/>
  <c r="E3935" i="1"/>
  <c r="D3935" i="1"/>
  <c r="C3935" i="1"/>
  <c r="B3935" i="1"/>
  <c r="A3935" i="1"/>
  <c r="R3934" i="1"/>
  <c r="J3934" i="1"/>
  <c r="I3934" i="1"/>
  <c r="G3934" i="1"/>
  <c r="F3934" i="1"/>
  <c r="E3934" i="1"/>
  <c r="D3934" i="1"/>
  <c r="C3934" i="1"/>
  <c r="B3934" i="1"/>
  <c r="A3934" i="1"/>
  <c r="R3933" i="1"/>
  <c r="J3933" i="1"/>
  <c r="I3933" i="1"/>
  <c r="G3933" i="1"/>
  <c r="F3933" i="1"/>
  <c r="E3933" i="1"/>
  <c r="D3933" i="1"/>
  <c r="C3933" i="1"/>
  <c r="B3933" i="1"/>
  <c r="A3933" i="1"/>
  <c r="R3932" i="1"/>
  <c r="J3932" i="1"/>
  <c r="I3932" i="1"/>
  <c r="G3932" i="1"/>
  <c r="F3932" i="1"/>
  <c r="E3932" i="1"/>
  <c r="D3932" i="1"/>
  <c r="C3932" i="1"/>
  <c r="B3932" i="1"/>
  <c r="A3932" i="1"/>
  <c r="R3931" i="1"/>
  <c r="J3931" i="1"/>
  <c r="I3931" i="1"/>
  <c r="G3931" i="1"/>
  <c r="F3931" i="1"/>
  <c r="E3931" i="1"/>
  <c r="D3931" i="1"/>
  <c r="C3931" i="1"/>
  <c r="B3931" i="1"/>
  <c r="A3931" i="1"/>
  <c r="R3930" i="1"/>
  <c r="J3930" i="1"/>
  <c r="I3930" i="1"/>
  <c r="G3930" i="1"/>
  <c r="F3930" i="1"/>
  <c r="E3930" i="1"/>
  <c r="D3930" i="1"/>
  <c r="C3930" i="1"/>
  <c r="B3930" i="1"/>
  <c r="A3930" i="1"/>
  <c r="R3929" i="1"/>
  <c r="J3929" i="1"/>
  <c r="I3929" i="1"/>
  <c r="G3929" i="1"/>
  <c r="F3929" i="1"/>
  <c r="E3929" i="1"/>
  <c r="D3929" i="1"/>
  <c r="C3929" i="1"/>
  <c r="B3929" i="1"/>
  <c r="A3929" i="1"/>
  <c r="R3928" i="1"/>
  <c r="J3928" i="1"/>
  <c r="I3928" i="1"/>
  <c r="G3928" i="1"/>
  <c r="F3928" i="1"/>
  <c r="E3928" i="1"/>
  <c r="D3928" i="1"/>
  <c r="C3928" i="1"/>
  <c r="B3928" i="1"/>
  <c r="A3928" i="1"/>
  <c r="R3927" i="1"/>
  <c r="J3927" i="1"/>
  <c r="I3927" i="1"/>
  <c r="G3927" i="1"/>
  <c r="F3927" i="1"/>
  <c r="E3927" i="1"/>
  <c r="D3927" i="1"/>
  <c r="C3927" i="1"/>
  <c r="B3927" i="1"/>
  <c r="A3927" i="1"/>
  <c r="R3926" i="1"/>
  <c r="J3926" i="1"/>
  <c r="I3926" i="1"/>
  <c r="G3926" i="1"/>
  <c r="F3926" i="1"/>
  <c r="E3926" i="1"/>
  <c r="D3926" i="1"/>
  <c r="C3926" i="1"/>
  <c r="B3926" i="1"/>
  <c r="A3926" i="1"/>
  <c r="S3925" i="1"/>
  <c r="O3925" i="1"/>
  <c r="K3925" i="1"/>
  <c r="J3925" i="1"/>
  <c r="I3925" i="1"/>
  <c r="H3925" i="1"/>
  <c r="G3925" i="1"/>
  <c r="F3925" i="1"/>
  <c r="E3925" i="1"/>
  <c r="D3925" i="1"/>
  <c r="C3925" i="1"/>
  <c r="B3925" i="1"/>
  <c r="A3925" i="1"/>
  <c r="R3924" i="1"/>
  <c r="J3924" i="1"/>
  <c r="I3924" i="1"/>
  <c r="G3924" i="1"/>
  <c r="F3924" i="1"/>
  <c r="E3924" i="1"/>
  <c r="D3924" i="1"/>
  <c r="C3924" i="1"/>
  <c r="B3924" i="1"/>
  <c r="A3924" i="1"/>
  <c r="R3923" i="1"/>
  <c r="J3923" i="1"/>
  <c r="I3923" i="1"/>
  <c r="G3923" i="1"/>
  <c r="F3923" i="1"/>
  <c r="E3923" i="1"/>
  <c r="D3923" i="1"/>
  <c r="C3923" i="1"/>
  <c r="B3923" i="1"/>
  <c r="A3923" i="1"/>
  <c r="R3922" i="1"/>
  <c r="J3922" i="1"/>
  <c r="I3922" i="1"/>
  <c r="G3922" i="1"/>
  <c r="F3922" i="1"/>
  <c r="E3922" i="1"/>
  <c r="D3922" i="1"/>
  <c r="C3922" i="1"/>
  <c r="B3922" i="1"/>
  <c r="A3922" i="1"/>
  <c r="R3921" i="1"/>
  <c r="J3921" i="1"/>
  <c r="I3921" i="1"/>
  <c r="G3921" i="1"/>
  <c r="F3921" i="1"/>
  <c r="E3921" i="1"/>
  <c r="D3921" i="1"/>
  <c r="C3921" i="1"/>
  <c r="B3921" i="1"/>
  <c r="A3921" i="1"/>
  <c r="R3920" i="1"/>
  <c r="J3920" i="1"/>
  <c r="I3920" i="1"/>
  <c r="G3920" i="1"/>
  <c r="F3920" i="1"/>
  <c r="E3920" i="1"/>
  <c r="D3920" i="1"/>
  <c r="C3920" i="1"/>
  <c r="B3920" i="1"/>
  <c r="A3920" i="1"/>
  <c r="R3919" i="1"/>
  <c r="J3919" i="1"/>
  <c r="I3919" i="1"/>
  <c r="G3919" i="1"/>
  <c r="F3919" i="1"/>
  <c r="E3919" i="1"/>
  <c r="D3919" i="1"/>
  <c r="C3919" i="1"/>
  <c r="B3919" i="1"/>
  <c r="A3919" i="1"/>
  <c r="R3918" i="1"/>
  <c r="J3918" i="1"/>
  <c r="I3918" i="1"/>
  <c r="G3918" i="1"/>
  <c r="F3918" i="1"/>
  <c r="E3918" i="1"/>
  <c r="D3918" i="1"/>
  <c r="C3918" i="1"/>
  <c r="B3918" i="1"/>
  <c r="A3918" i="1"/>
  <c r="R3917" i="1"/>
  <c r="J3917" i="1"/>
  <c r="I3917" i="1"/>
  <c r="G3917" i="1"/>
  <c r="F3917" i="1"/>
  <c r="E3917" i="1"/>
  <c r="D3917" i="1"/>
  <c r="C3917" i="1"/>
  <c r="B3917" i="1"/>
  <c r="A3917" i="1"/>
  <c r="R3916" i="1"/>
  <c r="J3916" i="1"/>
  <c r="I3916" i="1"/>
  <c r="G3916" i="1"/>
  <c r="F3916" i="1"/>
  <c r="E3916" i="1"/>
  <c r="D3916" i="1"/>
  <c r="C3916" i="1"/>
  <c r="B3916" i="1"/>
  <c r="A3916" i="1"/>
  <c r="R3915" i="1"/>
  <c r="J3915" i="1"/>
  <c r="I3915" i="1"/>
  <c r="G3915" i="1"/>
  <c r="F3915" i="1"/>
  <c r="E3915" i="1"/>
  <c r="D3915" i="1"/>
  <c r="C3915" i="1"/>
  <c r="B3915" i="1"/>
  <c r="A3915" i="1"/>
  <c r="R3914" i="1"/>
  <c r="J3914" i="1"/>
  <c r="I3914" i="1"/>
  <c r="G3914" i="1"/>
  <c r="F3914" i="1"/>
  <c r="E3914" i="1"/>
  <c r="D3914" i="1"/>
  <c r="C3914" i="1"/>
  <c r="B3914" i="1"/>
  <c r="A3914" i="1"/>
  <c r="R3913" i="1"/>
  <c r="J3913" i="1"/>
  <c r="I3913" i="1"/>
  <c r="G3913" i="1"/>
  <c r="F3913" i="1"/>
  <c r="E3913" i="1"/>
  <c r="D3913" i="1"/>
  <c r="C3913" i="1"/>
  <c r="B3913" i="1"/>
  <c r="A3913" i="1"/>
  <c r="R3912" i="1"/>
  <c r="J3912" i="1"/>
  <c r="I3912" i="1"/>
  <c r="G3912" i="1"/>
  <c r="F3912" i="1"/>
  <c r="E3912" i="1"/>
  <c r="D3912" i="1"/>
  <c r="C3912" i="1"/>
  <c r="B3912" i="1"/>
  <c r="A3912" i="1"/>
  <c r="R3911" i="1"/>
  <c r="J3911" i="1"/>
  <c r="I3911" i="1"/>
  <c r="G3911" i="1"/>
  <c r="F3911" i="1"/>
  <c r="E3911" i="1"/>
  <c r="D3911" i="1"/>
  <c r="C3911" i="1"/>
  <c r="B3911" i="1"/>
  <c r="A3911" i="1"/>
  <c r="R3910" i="1"/>
  <c r="J3910" i="1"/>
  <c r="I3910" i="1"/>
  <c r="G3910" i="1"/>
  <c r="F3910" i="1"/>
  <c r="E3910" i="1"/>
  <c r="D3910" i="1"/>
  <c r="C3910" i="1"/>
  <c r="B3910" i="1"/>
  <c r="A3910" i="1"/>
  <c r="R3909" i="1"/>
  <c r="J3909" i="1"/>
  <c r="I3909" i="1"/>
  <c r="G3909" i="1"/>
  <c r="F3909" i="1"/>
  <c r="E3909" i="1"/>
  <c r="D3909" i="1"/>
  <c r="C3909" i="1"/>
  <c r="B3909" i="1"/>
  <c r="A3909" i="1"/>
  <c r="R3908" i="1"/>
  <c r="J3908" i="1"/>
  <c r="I3908" i="1"/>
  <c r="G3908" i="1"/>
  <c r="F3908" i="1"/>
  <c r="E3908" i="1"/>
  <c r="D3908" i="1"/>
  <c r="C3908" i="1"/>
  <c r="B3908" i="1"/>
  <c r="A3908" i="1"/>
  <c r="R3907" i="1"/>
  <c r="J3907" i="1"/>
  <c r="I3907" i="1"/>
  <c r="G3907" i="1"/>
  <c r="F3907" i="1"/>
  <c r="E3907" i="1"/>
  <c r="D3907" i="1"/>
  <c r="C3907" i="1"/>
  <c r="B3907" i="1"/>
  <c r="A3907" i="1"/>
  <c r="R3906" i="1"/>
  <c r="J3906" i="1"/>
  <c r="I3906" i="1"/>
  <c r="G3906" i="1"/>
  <c r="F3906" i="1"/>
  <c r="E3906" i="1"/>
  <c r="D3906" i="1"/>
  <c r="C3906" i="1"/>
  <c r="B3906" i="1"/>
  <c r="A3906" i="1"/>
  <c r="R3905" i="1"/>
  <c r="J3905" i="1"/>
  <c r="I3905" i="1"/>
  <c r="G3905" i="1"/>
  <c r="F3905" i="1"/>
  <c r="E3905" i="1"/>
  <c r="D3905" i="1"/>
  <c r="C3905" i="1"/>
  <c r="B3905" i="1"/>
  <c r="A3905" i="1"/>
  <c r="R3904" i="1"/>
  <c r="J3904" i="1"/>
  <c r="I3904" i="1"/>
  <c r="G3904" i="1"/>
  <c r="F3904" i="1"/>
  <c r="E3904" i="1"/>
  <c r="D3904" i="1"/>
  <c r="C3904" i="1"/>
  <c r="B3904" i="1"/>
  <c r="A3904" i="1"/>
  <c r="R3903" i="1"/>
  <c r="J3903" i="1"/>
  <c r="I3903" i="1"/>
  <c r="G3903" i="1"/>
  <c r="F3903" i="1"/>
  <c r="E3903" i="1"/>
  <c r="D3903" i="1"/>
  <c r="C3903" i="1"/>
  <c r="B3903" i="1"/>
  <c r="A3903" i="1"/>
  <c r="R3902" i="1"/>
  <c r="J3902" i="1"/>
  <c r="I3902" i="1"/>
  <c r="G3902" i="1"/>
  <c r="F3902" i="1"/>
  <c r="E3902" i="1"/>
  <c r="D3902" i="1"/>
  <c r="C3902" i="1"/>
  <c r="B3902" i="1"/>
  <c r="A3902" i="1"/>
  <c r="R3901" i="1"/>
  <c r="J3901" i="1"/>
  <c r="I3901" i="1"/>
  <c r="G3901" i="1"/>
  <c r="F3901" i="1"/>
  <c r="E3901" i="1"/>
  <c r="D3901" i="1"/>
  <c r="C3901" i="1"/>
  <c r="B3901" i="1"/>
  <c r="A3901" i="1"/>
  <c r="R3900" i="1"/>
  <c r="J3900" i="1"/>
  <c r="I3900" i="1"/>
  <c r="G3900" i="1"/>
  <c r="F3900" i="1"/>
  <c r="E3900" i="1"/>
  <c r="D3900" i="1"/>
  <c r="C3900" i="1"/>
  <c r="B3900" i="1"/>
  <c r="A3900" i="1"/>
  <c r="R3899" i="1"/>
  <c r="J3899" i="1"/>
  <c r="I3899" i="1"/>
  <c r="G3899" i="1"/>
  <c r="F3899" i="1"/>
  <c r="E3899" i="1"/>
  <c r="D3899" i="1"/>
  <c r="C3899" i="1"/>
  <c r="B3899" i="1"/>
  <c r="A3899" i="1"/>
  <c r="R3898" i="1"/>
  <c r="J3898" i="1"/>
  <c r="I3898" i="1"/>
  <c r="G3898" i="1"/>
  <c r="F3898" i="1"/>
  <c r="E3898" i="1"/>
  <c r="D3898" i="1"/>
  <c r="C3898" i="1"/>
  <c r="B3898" i="1"/>
  <c r="A3898" i="1"/>
  <c r="R3897" i="1"/>
  <c r="J3897" i="1"/>
  <c r="I3897" i="1"/>
  <c r="G3897" i="1"/>
  <c r="F3897" i="1"/>
  <c r="E3897" i="1"/>
  <c r="D3897" i="1"/>
  <c r="C3897" i="1"/>
  <c r="B3897" i="1"/>
  <c r="A3897" i="1"/>
  <c r="R3896" i="1"/>
  <c r="J3896" i="1"/>
  <c r="I3896" i="1"/>
  <c r="G3896" i="1"/>
  <c r="F3896" i="1"/>
  <c r="E3896" i="1"/>
  <c r="D3896" i="1"/>
  <c r="C3896" i="1"/>
  <c r="B3896" i="1"/>
  <c r="A3896" i="1"/>
  <c r="R3895" i="1"/>
  <c r="J3895" i="1"/>
  <c r="I3895" i="1"/>
  <c r="G3895" i="1"/>
  <c r="F3895" i="1"/>
  <c r="E3895" i="1"/>
  <c r="D3895" i="1"/>
  <c r="C3895" i="1"/>
  <c r="B3895" i="1"/>
  <c r="A3895" i="1"/>
  <c r="R3894" i="1"/>
  <c r="J3894" i="1"/>
  <c r="I3894" i="1"/>
  <c r="G3894" i="1"/>
  <c r="F3894" i="1"/>
  <c r="E3894" i="1"/>
  <c r="D3894" i="1"/>
  <c r="C3894" i="1"/>
  <c r="B3894" i="1"/>
  <c r="A3894" i="1"/>
  <c r="R3893" i="1"/>
  <c r="J3893" i="1"/>
  <c r="I3893" i="1"/>
  <c r="G3893" i="1"/>
  <c r="F3893" i="1"/>
  <c r="E3893" i="1"/>
  <c r="D3893" i="1"/>
  <c r="C3893" i="1"/>
  <c r="B3893" i="1"/>
  <c r="A3893" i="1"/>
  <c r="R3892" i="1"/>
  <c r="J3892" i="1"/>
  <c r="I3892" i="1"/>
  <c r="G3892" i="1"/>
  <c r="F3892" i="1"/>
  <c r="E3892" i="1"/>
  <c r="D3892" i="1"/>
  <c r="C3892" i="1"/>
  <c r="B3892" i="1"/>
  <c r="A3892" i="1"/>
  <c r="R3891" i="1"/>
  <c r="J3891" i="1"/>
  <c r="I3891" i="1"/>
  <c r="G3891" i="1"/>
  <c r="F3891" i="1"/>
  <c r="E3891" i="1"/>
  <c r="D3891" i="1"/>
  <c r="C3891" i="1"/>
  <c r="B3891" i="1"/>
  <c r="A3891" i="1"/>
  <c r="R3890" i="1"/>
  <c r="J3890" i="1"/>
  <c r="I3890" i="1"/>
  <c r="G3890" i="1"/>
  <c r="F3890" i="1"/>
  <c r="E3890" i="1"/>
  <c r="D3890" i="1"/>
  <c r="C3890" i="1"/>
  <c r="B3890" i="1"/>
  <c r="A3890" i="1"/>
  <c r="R3889" i="1"/>
  <c r="J3889" i="1"/>
  <c r="I3889" i="1"/>
  <c r="G3889" i="1"/>
  <c r="F3889" i="1"/>
  <c r="E3889" i="1"/>
  <c r="D3889" i="1"/>
  <c r="C3889" i="1"/>
  <c r="B3889" i="1"/>
  <c r="A3889" i="1"/>
  <c r="R3888" i="1"/>
  <c r="J3888" i="1"/>
  <c r="I3888" i="1"/>
  <c r="G3888" i="1"/>
  <c r="F3888" i="1"/>
  <c r="E3888" i="1"/>
  <c r="D3888" i="1"/>
  <c r="C3888" i="1"/>
  <c r="B3888" i="1"/>
  <c r="A3888" i="1"/>
  <c r="R3887" i="1"/>
  <c r="J3887" i="1"/>
  <c r="I3887" i="1"/>
  <c r="G3887" i="1"/>
  <c r="F3887" i="1"/>
  <c r="E3887" i="1"/>
  <c r="D3887" i="1"/>
  <c r="C3887" i="1"/>
  <c r="B3887" i="1"/>
  <c r="A3887" i="1"/>
  <c r="R3886" i="1"/>
  <c r="J3886" i="1"/>
  <c r="I3886" i="1"/>
  <c r="G3886" i="1"/>
  <c r="F3886" i="1"/>
  <c r="E3886" i="1"/>
  <c r="D3886" i="1"/>
  <c r="C3886" i="1"/>
  <c r="B3886" i="1"/>
  <c r="A3886" i="1"/>
  <c r="R3885" i="1"/>
  <c r="J3885" i="1"/>
  <c r="I3885" i="1"/>
  <c r="G3885" i="1"/>
  <c r="F3885" i="1"/>
  <c r="E3885" i="1"/>
  <c r="D3885" i="1"/>
  <c r="C3885" i="1"/>
  <c r="B3885" i="1"/>
  <c r="A3885" i="1"/>
  <c r="R3884" i="1"/>
  <c r="J3884" i="1"/>
  <c r="I3884" i="1"/>
  <c r="G3884" i="1"/>
  <c r="F3884" i="1"/>
  <c r="E3884" i="1"/>
  <c r="D3884" i="1"/>
  <c r="C3884" i="1"/>
  <c r="B3884" i="1"/>
  <c r="A3884" i="1"/>
  <c r="R3883" i="1"/>
  <c r="J3883" i="1"/>
  <c r="I3883" i="1"/>
  <c r="G3883" i="1"/>
  <c r="F3883" i="1"/>
  <c r="E3883" i="1"/>
  <c r="D3883" i="1"/>
  <c r="C3883" i="1"/>
  <c r="B3883" i="1"/>
  <c r="A3883" i="1"/>
  <c r="R3882" i="1"/>
  <c r="J3882" i="1"/>
  <c r="I3882" i="1"/>
  <c r="G3882" i="1"/>
  <c r="F3882" i="1"/>
  <c r="E3882" i="1"/>
  <c r="D3882" i="1"/>
  <c r="C3882" i="1"/>
  <c r="B3882" i="1"/>
  <c r="A3882" i="1"/>
  <c r="R3881" i="1"/>
  <c r="J3881" i="1"/>
  <c r="I3881" i="1"/>
  <c r="G3881" i="1"/>
  <c r="F3881" i="1"/>
  <c r="E3881" i="1"/>
  <c r="D3881" i="1"/>
  <c r="C3881" i="1"/>
  <c r="B3881" i="1"/>
  <c r="A3881" i="1"/>
  <c r="R3880" i="1"/>
  <c r="J3880" i="1"/>
  <c r="I3880" i="1"/>
  <c r="G3880" i="1"/>
  <c r="F3880" i="1"/>
  <c r="E3880" i="1"/>
  <c r="D3880" i="1"/>
  <c r="C3880" i="1"/>
  <c r="B3880" i="1"/>
  <c r="A3880" i="1"/>
  <c r="R3879" i="1"/>
  <c r="J3879" i="1"/>
  <c r="I3879" i="1"/>
  <c r="G3879" i="1"/>
  <c r="F3879" i="1"/>
  <c r="E3879" i="1"/>
  <c r="D3879" i="1"/>
  <c r="C3879" i="1"/>
  <c r="B3879" i="1"/>
  <c r="A3879" i="1"/>
  <c r="R3878" i="1"/>
  <c r="J3878" i="1"/>
  <c r="I3878" i="1"/>
  <c r="G3878" i="1"/>
  <c r="F3878" i="1"/>
  <c r="E3878" i="1"/>
  <c r="D3878" i="1"/>
  <c r="C3878" i="1"/>
  <c r="B3878" i="1"/>
  <c r="A3878" i="1"/>
  <c r="S3877" i="1"/>
  <c r="O3877" i="1"/>
  <c r="K3877" i="1"/>
  <c r="J3877" i="1"/>
  <c r="I3877" i="1"/>
  <c r="H3877" i="1"/>
  <c r="G3877" i="1"/>
  <c r="F3877" i="1"/>
  <c r="E3877" i="1"/>
  <c r="D3877" i="1"/>
  <c r="C3877" i="1"/>
  <c r="B3877" i="1"/>
  <c r="A3877" i="1"/>
  <c r="R3876" i="1"/>
  <c r="J3876" i="1"/>
  <c r="I3876" i="1"/>
  <c r="G3876" i="1"/>
  <c r="F3876" i="1"/>
  <c r="E3876" i="1"/>
  <c r="D3876" i="1"/>
  <c r="C3876" i="1"/>
  <c r="B3876" i="1"/>
  <c r="A3876" i="1"/>
  <c r="S3875" i="1"/>
  <c r="O3875" i="1"/>
  <c r="K3875" i="1"/>
  <c r="J3875" i="1"/>
  <c r="I3875" i="1"/>
  <c r="H3875" i="1"/>
  <c r="G3875" i="1"/>
  <c r="F3875" i="1"/>
  <c r="E3875" i="1"/>
  <c r="D3875" i="1"/>
  <c r="C3875" i="1"/>
  <c r="B3875" i="1"/>
  <c r="A3875" i="1"/>
  <c r="R3874" i="1"/>
  <c r="J3874" i="1"/>
  <c r="I3874" i="1"/>
  <c r="G3874" i="1"/>
  <c r="F3874" i="1"/>
  <c r="E3874" i="1"/>
  <c r="D3874" i="1"/>
  <c r="C3874" i="1"/>
  <c r="B3874" i="1"/>
  <c r="A3874" i="1"/>
  <c r="S3873" i="1"/>
  <c r="O3873" i="1"/>
  <c r="K3873" i="1"/>
  <c r="J3873" i="1"/>
  <c r="I3873" i="1"/>
  <c r="H3873" i="1"/>
  <c r="G3873" i="1"/>
  <c r="F3873" i="1"/>
  <c r="E3873" i="1"/>
  <c r="D3873" i="1"/>
  <c r="C3873" i="1"/>
  <c r="B3873" i="1"/>
  <c r="A3873" i="1"/>
  <c r="R3872" i="1"/>
  <c r="J3872" i="1"/>
  <c r="I3872" i="1"/>
  <c r="G3872" i="1"/>
  <c r="F3872" i="1"/>
  <c r="E3872" i="1"/>
  <c r="D3872" i="1"/>
  <c r="C3872" i="1"/>
  <c r="B3872" i="1"/>
  <c r="A3872" i="1"/>
  <c r="R3871" i="1"/>
  <c r="J3871" i="1"/>
  <c r="I3871" i="1"/>
  <c r="G3871" i="1"/>
  <c r="F3871" i="1"/>
  <c r="E3871" i="1"/>
  <c r="D3871" i="1"/>
  <c r="C3871" i="1"/>
  <c r="B3871" i="1"/>
  <c r="A3871" i="1"/>
  <c r="R3870" i="1"/>
  <c r="J3870" i="1"/>
  <c r="I3870" i="1"/>
  <c r="G3870" i="1"/>
  <c r="F3870" i="1"/>
  <c r="E3870" i="1"/>
  <c r="D3870" i="1"/>
  <c r="C3870" i="1"/>
  <c r="B3870" i="1"/>
  <c r="A3870" i="1"/>
  <c r="S3869" i="1"/>
  <c r="O3869" i="1"/>
  <c r="K3869" i="1"/>
  <c r="J3869" i="1"/>
  <c r="I3869" i="1"/>
  <c r="H3869" i="1"/>
  <c r="G3869" i="1"/>
  <c r="F3869" i="1"/>
  <c r="E3869" i="1"/>
  <c r="D3869" i="1"/>
  <c r="C3869" i="1"/>
  <c r="B3869" i="1"/>
  <c r="A3869" i="1"/>
  <c r="R3868" i="1"/>
  <c r="J3868" i="1"/>
  <c r="I3868" i="1"/>
  <c r="G3868" i="1"/>
  <c r="F3868" i="1"/>
  <c r="E3868" i="1"/>
  <c r="D3868" i="1"/>
  <c r="C3868" i="1"/>
  <c r="B3868" i="1"/>
  <c r="A3868" i="1"/>
  <c r="S3867" i="1"/>
  <c r="O3867" i="1"/>
  <c r="K3867" i="1"/>
  <c r="J3867" i="1"/>
  <c r="I3867" i="1"/>
  <c r="H3867" i="1"/>
  <c r="G3867" i="1"/>
  <c r="F3867" i="1"/>
  <c r="E3867" i="1"/>
  <c r="D3867" i="1"/>
  <c r="C3867" i="1"/>
  <c r="B3867" i="1"/>
  <c r="A3867" i="1"/>
  <c r="R3866" i="1"/>
  <c r="J3866" i="1"/>
  <c r="I3866" i="1"/>
  <c r="G3866" i="1"/>
  <c r="F3866" i="1"/>
  <c r="E3866" i="1"/>
  <c r="D3866" i="1"/>
  <c r="C3866" i="1"/>
  <c r="B3866" i="1"/>
  <c r="A3866" i="1"/>
  <c r="S3865" i="1"/>
  <c r="O3865" i="1"/>
  <c r="K3865" i="1"/>
  <c r="J3865" i="1"/>
  <c r="I3865" i="1"/>
  <c r="H3865" i="1"/>
  <c r="G3865" i="1"/>
  <c r="F3865" i="1"/>
  <c r="E3865" i="1"/>
  <c r="D3865" i="1"/>
  <c r="C3865" i="1"/>
  <c r="B3865" i="1"/>
  <c r="A3865" i="1"/>
  <c r="R3864" i="1"/>
  <c r="J3864" i="1"/>
  <c r="I3864" i="1"/>
  <c r="G3864" i="1"/>
  <c r="F3864" i="1"/>
  <c r="E3864" i="1"/>
  <c r="D3864" i="1"/>
  <c r="C3864" i="1"/>
  <c r="B3864" i="1"/>
  <c r="A3864" i="1"/>
  <c r="S3863" i="1"/>
  <c r="O3863" i="1"/>
  <c r="K3863" i="1"/>
  <c r="J3863" i="1"/>
  <c r="I3863" i="1"/>
  <c r="H3863" i="1"/>
  <c r="G3863" i="1"/>
  <c r="F3863" i="1"/>
  <c r="E3863" i="1"/>
  <c r="D3863" i="1"/>
  <c r="C3863" i="1"/>
  <c r="B3863" i="1"/>
  <c r="A3863" i="1"/>
  <c r="R3862" i="1"/>
  <c r="J3862" i="1"/>
  <c r="I3862" i="1"/>
  <c r="G3862" i="1"/>
  <c r="F3862" i="1"/>
  <c r="E3862" i="1"/>
  <c r="D3862" i="1"/>
  <c r="C3862" i="1"/>
  <c r="B3862" i="1"/>
  <c r="A3862" i="1"/>
  <c r="S3861" i="1"/>
  <c r="O3861" i="1"/>
  <c r="K3861" i="1"/>
  <c r="J3861" i="1"/>
  <c r="I3861" i="1"/>
  <c r="H3861" i="1"/>
  <c r="G3861" i="1"/>
  <c r="F3861" i="1"/>
  <c r="E3861" i="1"/>
  <c r="D3861" i="1"/>
  <c r="C3861" i="1"/>
  <c r="B3861" i="1"/>
  <c r="A3861" i="1"/>
  <c r="R3860" i="1"/>
  <c r="J3860" i="1"/>
  <c r="I3860" i="1"/>
  <c r="G3860" i="1"/>
  <c r="F3860" i="1"/>
  <c r="E3860" i="1"/>
  <c r="D3860" i="1"/>
  <c r="C3860" i="1"/>
  <c r="B3860" i="1"/>
  <c r="A3860" i="1"/>
  <c r="S3859" i="1"/>
  <c r="O3859" i="1"/>
  <c r="K3859" i="1"/>
  <c r="J3859" i="1"/>
  <c r="I3859" i="1"/>
  <c r="H3859" i="1"/>
  <c r="G3859" i="1"/>
  <c r="F3859" i="1"/>
  <c r="E3859" i="1"/>
  <c r="D3859" i="1"/>
  <c r="C3859" i="1"/>
  <c r="B3859" i="1"/>
  <c r="A3859" i="1"/>
  <c r="R3858" i="1"/>
  <c r="J3858" i="1"/>
  <c r="I3858" i="1"/>
  <c r="G3858" i="1"/>
  <c r="F3858" i="1"/>
  <c r="E3858" i="1"/>
  <c r="D3858" i="1"/>
  <c r="C3858" i="1"/>
  <c r="B3858" i="1"/>
  <c r="A3858" i="1"/>
  <c r="S3857" i="1"/>
  <c r="O3857" i="1"/>
  <c r="K3857" i="1"/>
  <c r="J3857" i="1"/>
  <c r="I3857" i="1"/>
  <c r="H3857" i="1"/>
  <c r="G3857" i="1"/>
  <c r="F3857" i="1"/>
  <c r="E3857" i="1"/>
  <c r="D3857" i="1"/>
  <c r="C3857" i="1"/>
  <c r="B3857" i="1"/>
  <c r="A3857" i="1"/>
  <c r="R3856" i="1"/>
  <c r="J3856" i="1"/>
  <c r="I3856" i="1"/>
  <c r="G3856" i="1"/>
  <c r="F3856" i="1"/>
  <c r="E3856" i="1"/>
  <c r="D3856" i="1"/>
  <c r="C3856" i="1"/>
  <c r="B3856" i="1"/>
  <c r="A3856" i="1"/>
  <c r="S3855" i="1"/>
  <c r="O3855" i="1"/>
  <c r="K3855" i="1"/>
  <c r="J3855" i="1"/>
  <c r="I3855" i="1"/>
  <c r="H3855" i="1"/>
  <c r="G3855" i="1"/>
  <c r="F3855" i="1"/>
  <c r="E3855" i="1"/>
  <c r="D3855" i="1"/>
  <c r="C3855" i="1"/>
  <c r="B3855" i="1"/>
  <c r="A3855" i="1"/>
  <c r="R3854" i="1"/>
  <c r="J3854" i="1"/>
  <c r="I3854" i="1"/>
  <c r="G3854" i="1"/>
  <c r="F3854" i="1"/>
  <c r="E3854" i="1"/>
  <c r="D3854" i="1"/>
  <c r="C3854" i="1"/>
  <c r="B3854" i="1"/>
  <c r="A3854" i="1"/>
  <c r="R3853" i="1"/>
  <c r="J3853" i="1"/>
  <c r="I3853" i="1"/>
  <c r="G3853" i="1"/>
  <c r="F3853" i="1"/>
  <c r="E3853" i="1"/>
  <c r="D3853" i="1"/>
  <c r="C3853" i="1"/>
  <c r="B3853" i="1"/>
  <c r="A3853" i="1"/>
  <c r="S3852" i="1"/>
  <c r="O3852" i="1"/>
  <c r="K3852" i="1"/>
  <c r="J3852" i="1"/>
  <c r="I3852" i="1"/>
  <c r="H3852" i="1"/>
  <c r="G3852" i="1"/>
  <c r="F3852" i="1"/>
  <c r="E3852" i="1"/>
  <c r="D3852" i="1"/>
  <c r="C3852" i="1"/>
  <c r="B3852" i="1"/>
  <c r="A3852" i="1"/>
  <c r="R3851" i="1"/>
  <c r="J3851" i="1"/>
  <c r="I3851" i="1"/>
  <c r="G3851" i="1"/>
  <c r="F3851" i="1"/>
  <c r="E3851" i="1"/>
  <c r="D3851" i="1"/>
  <c r="C3851" i="1"/>
  <c r="B3851" i="1"/>
  <c r="A3851" i="1"/>
  <c r="S3850" i="1"/>
  <c r="O3850" i="1"/>
  <c r="K3850" i="1"/>
  <c r="J3850" i="1"/>
  <c r="I3850" i="1"/>
  <c r="H3850" i="1"/>
  <c r="G3850" i="1"/>
  <c r="F3850" i="1"/>
  <c r="E3850" i="1"/>
  <c r="D3850" i="1"/>
  <c r="C3850" i="1"/>
  <c r="B3850" i="1"/>
  <c r="A3850" i="1"/>
  <c r="R3849" i="1"/>
  <c r="J3849" i="1"/>
  <c r="I3849" i="1"/>
  <c r="G3849" i="1"/>
  <c r="F3849" i="1"/>
  <c r="E3849" i="1"/>
  <c r="D3849" i="1"/>
  <c r="C3849" i="1"/>
  <c r="B3849" i="1"/>
  <c r="A3849" i="1"/>
  <c r="S3848" i="1"/>
  <c r="O3848" i="1"/>
  <c r="K3848" i="1"/>
  <c r="J3848" i="1"/>
  <c r="I3848" i="1"/>
  <c r="H3848" i="1"/>
  <c r="G3848" i="1"/>
  <c r="F3848" i="1"/>
  <c r="E3848" i="1"/>
  <c r="D3848" i="1"/>
  <c r="C3848" i="1"/>
  <c r="B3848" i="1"/>
  <c r="A3848" i="1"/>
  <c r="R3847" i="1"/>
  <c r="J3847" i="1"/>
  <c r="I3847" i="1"/>
  <c r="G3847" i="1"/>
  <c r="F3847" i="1"/>
  <c r="E3847" i="1"/>
  <c r="D3847" i="1"/>
  <c r="C3847" i="1"/>
  <c r="B3847" i="1"/>
  <c r="A3847" i="1"/>
  <c r="S3846" i="1"/>
  <c r="O3846" i="1"/>
  <c r="K3846" i="1"/>
  <c r="J3846" i="1"/>
  <c r="I3846" i="1"/>
  <c r="H3846" i="1"/>
  <c r="G3846" i="1"/>
  <c r="F3846" i="1"/>
  <c r="E3846" i="1"/>
  <c r="D3846" i="1"/>
  <c r="C3846" i="1"/>
  <c r="B3846" i="1"/>
  <c r="A3846" i="1"/>
  <c r="R3845" i="1"/>
  <c r="J3845" i="1"/>
  <c r="I3845" i="1"/>
  <c r="G3845" i="1"/>
  <c r="F3845" i="1"/>
  <c r="E3845" i="1"/>
  <c r="D3845" i="1"/>
  <c r="C3845" i="1"/>
  <c r="B3845" i="1"/>
  <c r="A3845" i="1"/>
  <c r="S3844" i="1"/>
  <c r="O3844" i="1"/>
  <c r="K3844" i="1"/>
  <c r="J3844" i="1"/>
  <c r="I3844" i="1"/>
  <c r="H3844" i="1"/>
  <c r="G3844" i="1"/>
  <c r="F3844" i="1"/>
  <c r="E3844" i="1"/>
  <c r="D3844" i="1"/>
  <c r="C3844" i="1"/>
  <c r="B3844" i="1"/>
  <c r="A3844" i="1"/>
  <c r="R3843" i="1"/>
  <c r="J3843" i="1"/>
  <c r="I3843" i="1"/>
  <c r="G3843" i="1"/>
  <c r="F3843" i="1"/>
  <c r="E3843" i="1"/>
  <c r="D3843" i="1"/>
  <c r="C3843" i="1"/>
  <c r="B3843" i="1"/>
  <c r="A3843" i="1"/>
  <c r="S3842" i="1"/>
  <c r="O3842" i="1"/>
  <c r="K3842" i="1"/>
  <c r="J3842" i="1"/>
  <c r="I3842" i="1"/>
  <c r="H3842" i="1"/>
  <c r="G3842" i="1"/>
  <c r="F3842" i="1"/>
  <c r="E3842" i="1"/>
  <c r="D3842" i="1"/>
  <c r="C3842" i="1"/>
  <c r="B3842" i="1"/>
  <c r="A3842" i="1"/>
  <c r="R3841" i="1"/>
  <c r="J3841" i="1"/>
  <c r="I3841" i="1"/>
  <c r="G3841" i="1"/>
  <c r="F3841" i="1"/>
  <c r="E3841" i="1"/>
  <c r="D3841" i="1"/>
  <c r="C3841" i="1"/>
  <c r="B3841" i="1"/>
  <c r="A3841" i="1"/>
  <c r="S3840" i="1"/>
  <c r="O3840" i="1"/>
  <c r="K3840" i="1"/>
  <c r="J3840" i="1"/>
  <c r="I3840" i="1"/>
  <c r="H3840" i="1"/>
  <c r="G3840" i="1"/>
  <c r="F3840" i="1"/>
  <c r="E3840" i="1"/>
  <c r="D3840" i="1"/>
  <c r="C3840" i="1"/>
  <c r="B3840" i="1"/>
  <c r="A3840" i="1"/>
  <c r="R3839" i="1"/>
  <c r="J3839" i="1"/>
  <c r="I3839" i="1"/>
  <c r="G3839" i="1"/>
  <c r="F3839" i="1"/>
  <c r="E3839" i="1"/>
  <c r="D3839" i="1"/>
  <c r="C3839" i="1"/>
  <c r="B3839" i="1"/>
  <c r="A3839" i="1"/>
  <c r="S3838" i="1"/>
  <c r="O3838" i="1"/>
  <c r="K3838" i="1"/>
  <c r="J3838" i="1"/>
  <c r="I3838" i="1"/>
  <c r="H3838" i="1"/>
  <c r="G3838" i="1"/>
  <c r="F3838" i="1"/>
  <c r="E3838" i="1"/>
  <c r="D3838" i="1"/>
  <c r="C3838" i="1"/>
  <c r="B3838" i="1"/>
  <c r="A3838" i="1"/>
  <c r="R3837" i="1"/>
  <c r="J3837" i="1"/>
  <c r="I3837" i="1"/>
  <c r="G3837" i="1"/>
  <c r="F3837" i="1"/>
  <c r="E3837" i="1"/>
  <c r="D3837" i="1"/>
  <c r="C3837" i="1"/>
  <c r="B3837" i="1"/>
  <c r="A3837" i="1"/>
  <c r="S3836" i="1"/>
  <c r="O3836" i="1"/>
  <c r="K3836" i="1"/>
  <c r="J3836" i="1"/>
  <c r="I3836" i="1"/>
  <c r="H3836" i="1"/>
  <c r="G3836" i="1"/>
  <c r="F3836" i="1"/>
  <c r="E3836" i="1"/>
  <c r="D3836" i="1"/>
  <c r="C3836" i="1"/>
  <c r="B3836" i="1"/>
  <c r="A3836" i="1"/>
  <c r="R3835" i="1"/>
  <c r="J3835" i="1"/>
  <c r="I3835" i="1"/>
  <c r="G3835" i="1"/>
  <c r="F3835" i="1"/>
  <c r="E3835" i="1"/>
  <c r="D3835" i="1"/>
  <c r="C3835" i="1"/>
  <c r="B3835" i="1"/>
  <c r="A3835" i="1"/>
  <c r="S3834" i="1"/>
  <c r="O3834" i="1"/>
  <c r="K3834" i="1"/>
  <c r="J3834" i="1"/>
  <c r="I3834" i="1"/>
  <c r="H3834" i="1"/>
  <c r="G3834" i="1"/>
  <c r="F3834" i="1"/>
  <c r="E3834" i="1"/>
  <c r="D3834" i="1"/>
  <c r="C3834" i="1"/>
  <c r="B3834" i="1"/>
  <c r="A3834" i="1"/>
  <c r="R3833" i="1"/>
  <c r="J3833" i="1"/>
  <c r="I3833" i="1"/>
  <c r="G3833" i="1"/>
  <c r="F3833" i="1"/>
  <c r="E3833" i="1"/>
  <c r="D3833" i="1"/>
  <c r="C3833" i="1"/>
  <c r="B3833" i="1"/>
  <c r="A3833" i="1"/>
  <c r="S3832" i="1"/>
  <c r="O3832" i="1"/>
  <c r="K3832" i="1"/>
  <c r="J3832" i="1"/>
  <c r="I3832" i="1"/>
  <c r="H3832" i="1"/>
  <c r="G3832" i="1"/>
  <c r="F3832" i="1"/>
  <c r="E3832" i="1"/>
  <c r="D3832" i="1"/>
  <c r="C3832" i="1"/>
  <c r="B3832" i="1"/>
  <c r="A3832" i="1"/>
  <c r="R3831" i="1"/>
  <c r="J3831" i="1"/>
  <c r="I3831" i="1"/>
  <c r="G3831" i="1"/>
  <c r="F3831" i="1"/>
  <c r="E3831" i="1"/>
  <c r="D3831" i="1"/>
  <c r="C3831" i="1"/>
  <c r="B3831" i="1"/>
  <c r="A3831" i="1"/>
  <c r="S3830" i="1"/>
  <c r="O3830" i="1"/>
  <c r="K3830" i="1"/>
  <c r="J3830" i="1"/>
  <c r="I3830" i="1"/>
  <c r="H3830" i="1"/>
  <c r="G3830" i="1"/>
  <c r="F3830" i="1"/>
  <c r="E3830" i="1"/>
  <c r="D3830" i="1"/>
  <c r="C3830" i="1"/>
  <c r="B3830" i="1"/>
  <c r="A3830" i="1"/>
  <c r="R3829" i="1"/>
  <c r="J3829" i="1"/>
  <c r="I3829" i="1"/>
  <c r="G3829" i="1"/>
  <c r="F3829" i="1"/>
  <c r="E3829" i="1"/>
  <c r="D3829" i="1"/>
  <c r="C3829" i="1"/>
  <c r="B3829" i="1"/>
  <c r="A3829" i="1"/>
  <c r="S3828" i="1"/>
  <c r="O3828" i="1"/>
  <c r="K3828" i="1"/>
  <c r="J3828" i="1"/>
  <c r="I3828" i="1"/>
  <c r="H3828" i="1"/>
  <c r="G3828" i="1"/>
  <c r="F3828" i="1"/>
  <c r="E3828" i="1"/>
  <c r="D3828" i="1"/>
  <c r="C3828" i="1"/>
  <c r="B3828" i="1"/>
  <c r="A3828" i="1"/>
  <c r="R3827" i="1"/>
  <c r="J3827" i="1"/>
  <c r="I3827" i="1"/>
  <c r="G3827" i="1"/>
  <c r="F3827" i="1"/>
  <c r="E3827" i="1"/>
  <c r="D3827" i="1"/>
  <c r="C3827" i="1"/>
  <c r="B3827" i="1"/>
  <c r="A3827" i="1"/>
  <c r="S3826" i="1"/>
  <c r="O3826" i="1"/>
  <c r="K3826" i="1"/>
  <c r="J3826" i="1"/>
  <c r="I3826" i="1"/>
  <c r="H3826" i="1"/>
  <c r="G3826" i="1"/>
  <c r="F3826" i="1"/>
  <c r="E3826" i="1"/>
  <c r="D3826" i="1"/>
  <c r="C3826" i="1"/>
  <c r="B3826" i="1"/>
  <c r="A3826" i="1"/>
  <c r="R3825" i="1"/>
  <c r="J3825" i="1"/>
  <c r="I3825" i="1"/>
  <c r="G3825" i="1"/>
  <c r="F3825" i="1"/>
  <c r="E3825" i="1"/>
  <c r="D3825" i="1"/>
  <c r="C3825" i="1"/>
  <c r="B3825" i="1"/>
  <c r="A3825" i="1"/>
  <c r="S3824" i="1"/>
  <c r="O3824" i="1"/>
  <c r="K3824" i="1"/>
  <c r="J3824" i="1"/>
  <c r="I3824" i="1"/>
  <c r="H3824" i="1"/>
  <c r="G3824" i="1"/>
  <c r="F3824" i="1"/>
  <c r="E3824" i="1"/>
  <c r="D3824" i="1"/>
  <c r="C3824" i="1"/>
  <c r="B3824" i="1"/>
  <c r="A3824" i="1"/>
  <c r="R3823" i="1"/>
  <c r="J3823" i="1"/>
  <c r="I3823" i="1"/>
  <c r="G3823" i="1"/>
  <c r="F3823" i="1"/>
  <c r="E3823" i="1"/>
  <c r="D3823" i="1"/>
  <c r="C3823" i="1"/>
  <c r="B3823" i="1"/>
  <c r="A3823" i="1"/>
  <c r="S3822" i="1"/>
  <c r="O3822" i="1"/>
  <c r="K3822" i="1"/>
  <c r="J3822" i="1"/>
  <c r="I3822" i="1"/>
  <c r="H3822" i="1"/>
  <c r="G3822" i="1"/>
  <c r="F3822" i="1"/>
  <c r="E3822" i="1"/>
  <c r="D3822" i="1"/>
  <c r="C3822" i="1"/>
  <c r="B3822" i="1"/>
  <c r="A3822" i="1"/>
  <c r="R3821" i="1"/>
  <c r="J3821" i="1"/>
  <c r="I3821" i="1"/>
  <c r="G3821" i="1"/>
  <c r="F3821" i="1"/>
  <c r="E3821" i="1"/>
  <c r="D3821" i="1"/>
  <c r="C3821" i="1"/>
  <c r="B3821" i="1"/>
  <c r="A3821" i="1"/>
  <c r="S3820" i="1"/>
  <c r="O3820" i="1"/>
  <c r="K3820" i="1"/>
  <c r="J3820" i="1"/>
  <c r="I3820" i="1"/>
  <c r="H3820" i="1"/>
  <c r="G3820" i="1"/>
  <c r="F3820" i="1"/>
  <c r="E3820" i="1"/>
  <c r="D3820" i="1"/>
  <c r="C3820" i="1"/>
  <c r="B3820" i="1"/>
  <c r="A3820" i="1"/>
  <c r="R3819" i="1"/>
  <c r="J3819" i="1"/>
  <c r="I3819" i="1"/>
  <c r="G3819" i="1"/>
  <c r="F3819" i="1"/>
  <c r="E3819" i="1"/>
  <c r="D3819" i="1"/>
  <c r="C3819" i="1"/>
  <c r="B3819" i="1"/>
  <c r="A3819" i="1"/>
  <c r="S3818" i="1"/>
  <c r="O3818" i="1"/>
  <c r="K3818" i="1"/>
  <c r="J3818" i="1"/>
  <c r="I3818" i="1"/>
  <c r="H3818" i="1"/>
  <c r="G3818" i="1"/>
  <c r="F3818" i="1"/>
  <c r="E3818" i="1"/>
  <c r="D3818" i="1"/>
  <c r="C3818" i="1"/>
  <c r="B3818" i="1"/>
  <c r="A3818" i="1"/>
  <c r="R3817" i="1"/>
  <c r="J3817" i="1"/>
  <c r="I3817" i="1"/>
  <c r="G3817" i="1"/>
  <c r="F3817" i="1"/>
  <c r="E3817" i="1"/>
  <c r="D3817" i="1"/>
  <c r="C3817" i="1"/>
  <c r="B3817" i="1"/>
  <c r="A3817" i="1"/>
  <c r="S3816" i="1"/>
  <c r="O3816" i="1"/>
  <c r="K3816" i="1"/>
  <c r="J3816" i="1"/>
  <c r="I3816" i="1"/>
  <c r="H3816" i="1"/>
  <c r="G3816" i="1"/>
  <c r="F3816" i="1"/>
  <c r="E3816" i="1"/>
  <c r="D3816" i="1"/>
  <c r="C3816" i="1"/>
  <c r="B3816" i="1"/>
  <c r="A3816" i="1"/>
  <c r="R3815" i="1"/>
  <c r="J3815" i="1"/>
  <c r="I3815" i="1"/>
  <c r="G3815" i="1"/>
  <c r="F3815" i="1"/>
  <c r="E3815" i="1"/>
  <c r="D3815" i="1"/>
  <c r="C3815" i="1"/>
  <c r="B3815" i="1"/>
  <c r="A3815" i="1"/>
  <c r="S3814" i="1"/>
  <c r="O3814" i="1"/>
  <c r="K3814" i="1"/>
  <c r="J3814" i="1"/>
  <c r="I3814" i="1"/>
  <c r="H3814" i="1"/>
  <c r="G3814" i="1"/>
  <c r="F3814" i="1"/>
  <c r="E3814" i="1"/>
  <c r="D3814" i="1"/>
  <c r="C3814" i="1"/>
  <c r="B3814" i="1"/>
  <c r="A3814" i="1"/>
  <c r="R3813" i="1"/>
  <c r="J3813" i="1"/>
  <c r="I3813" i="1"/>
  <c r="G3813" i="1"/>
  <c r="F3813" i="1"/>
  <c r="E3813" i="1"/>
  <c r="D3813" i="1"/>
  <c r="C3813" i="1"/>
  <c r="B3813" i="1"/>
  <c r="A3813" i="1"/>
  <c r="S3812" i="1"/>
  <c r="O3812" i="1"/>
  <c r="K3812" i="1"/>
  <c r="J3812" i="1"/>
  <c r="I3812" i="1"/>
  <c r="H3812" i="1"/>
  <c r="G3812" i="1"/>
  <c r="F3812" i="1"/>
  <c r="E3812" i="1"/>
  <c r="D3812" i="1"/>
  <c r="C3812" i="1"/>
  <c r="B3812" i="1"/>
  <c r="A3812" i="1"/>
  <c r="R3811" i="1"/>
  <c r="J3811" i="1"/>
  <c r="I3811" i="1"/>
  <c r="G3811" i="1"/>
  <c r="F3811" i="1"/>
  <c r="E3811" i="1"/>
  <c r="D3811" i="1"/>
  <c r="C3811" i="1"/>
  <c r="B3811" i="1"/>
  <c r="A3811" i="1"/>
  <c r="S3810" i="1"/>
  <c r="O3810" i="1"/>
  <c r="K3810" i="1"/>
  <c r="J3810" i="1"/>
  <c r="I3810" i="1"/>
  <c r="H3810" i="1"/>
  <c r="G3810" i="1"/>
  <c r="F3810" i="1"/>
  <c r="E3810" i="1"/>
  <c r="D3810" i="1"/>
  <c r="C3810" i="1"/>
  <c r="B3810" i="1"/>
  <c r="A3810" i="1"/>
  <c r="R3809" i="1"/>
  <c r="J3809" i="1"/>
  <c r="I3809" i="1"/>
  <c r="G3809" i="1"/>
  <c r="F3809" i="1"/>
  <c r="E3809" i="1"/>
  <c r="D3809" i="1"/>
  <c r="C3809" i="1"/>
  <c r="B3809" i="1"/>
  <c r="A3809" i="1"/>
  <c r="S3808" i="1"/>
  <c r="O3808" i="1"/>
  <c r="K3808" i="1"/>
  <c r="J3808" i="1"/>
  <c r="I3808" i="1"/>
  <c r="H3808" i="1"/>
  <c r="G3808" i="1"/>
  <c r="F3808" i="1"/>
  <c r="E3808" i="1"/>
  <c r="D3808" i="1"/>
  <c r="C3808" i="1"/>
  <c r="B3808" i="1"/>
  <c r="A3808" i="1"/>
  <c r="R3807" i="1"/>
  <c r="J3807" i="1"/>
  <c r="I3807" i="1"/>
  <c r="G3807" i="1"/>
  <c r="F3807" i="1"/>
  <c r="E3807" i="1"/>
  <c r="D3807" i="1"/>
  <c r="C3807" i="1"/>
  <c r="B3807" i="1"/>
  <c r="A3807" i="1"/>
  <c r="S3806" i="1"/>
  <c r="O3806" i="1"/>
  <c r="K3806" i="1"/>
  <c r="J3806" i="1"/>
  <c r="I3806" i="1"/>
  <c r="H3806" i="1"/>
  <c r="G3806" i="1"/>
  <c r="F3806" i="1"/>
  <c r="E3806" i="1"/>
  <c r="D3806" i="1"/>
  <c r="C3806" i="1"/>
  <c r="B3806" i="1"/>
  <c r="A3806" i="1"/>
  <c r="R3805" i="1"/>
  <c r="J3805" i="1"/>
  <c r="I3805" i="1"/>
  <c r="G3805" i="1"/>
  <c r="F3805" i="1"/>
  <c r="E3805" i="1"/>
  <c r="D3805" i="1"/>
  <c r="C3805" i="1"/>
  <c r="B3805" i="1"/>
  <c r="A3805" i="1"/>
  <c r="S3804" i="1"/>
  <c r="O3804" i="1"/>
  <c r="K3804" i="1"/>
  <c r="J3804" i="1"/>
  <c r="I3804" i="1"/>
  <c r="H3804" i="1"/>
  <c r="G3804" i="1"/>
  <c r="F3804" i="1"/>
  <c r="E3804" i="1"/>
  <c r="D3804" i="1"/>
  <c r="C3804" i="1"/>
  <c r="B3804" i="1"/>
  <c r="A3804" i="1"/>
  <c r="R3803" i="1"/>
  <c r="J3803" i="1"/>
  <c r="I3803" i="1"/>
  <c r="G3803" i="1"/>
  <c r="F3803" i="1"/>
  <c r="E3803" i="1"/>
  <c r="D3803" i="1"/>
  <c r="C3803" i="1"/>
  <c r="B3803" i="1"/>
  <c r="A3803" i="1"/>
  <c r="S3802" i="1"/>
  <c r="O3802" i="1"/>
  <c r="K3802" i="1"/>
  <c r="J3802" i="1"/>
  <c r="I3802" i="1"/>
  <c r="H3802" i="1"/>
  <c r="G3802" i="1"/>
  <c r="F3802" i="1"/>
  <c r="E3802" i="1"/>
  <c r="D3802" i="1"/>
  <c r="C3802" i="1"/>
  <c r="B3802" i="1"/>
  <c r="A3802" i="1"/>
  <c r="R3801" i="1"/>
  <c r="J3801" i="1"/>
  <c r="I3801" i="1"/>
  <c r="G3801" i="1"/>
  <c r="F3801" i="1"/>
  <c r="E3801" i="1"/>
  <c r="D3801" i="1"/>
  <c r="C3801" i="1"/>
  <c r="B3801" i="1"/>
  <c r="A3801" i="1"/>
  <c r="S3800" i="1"/>
  <c r="O3800" i="1"/>
  <c r="K3800" i="1"/>
  <c r="J3800" i="1"/>
  <c r="I3800" i="1"/>
  <c r="H3800" i="1"/>
  <c r="G3800" i="1"/>
  <c r="F3800" i="1"/>
  <c r="E3800" i="1"/>
  <c r="D3800" i="1"/>
  <c r="C3800" i="1"/>
  <c r="B3800" i="1"/>
  <c r="A3800" i="1"/>
  <c r="R3799" i="1"/>
  <c r="J3799" i="1"/>
  <c r="I3799" i="1"/>
  <c r="G3799" i="1"/>
  <c r="F3799" i="1"/>
  <c r="E3799" i="1"/>
  <c r="D3799" i="1"/>
  <c r="C3799" i="1"/>
  <c r="B3799" i="1"/>
  <c r="A3799" i="1"/>
  <c r="S3798" i="1"/>
  <c r="O3798" i="1"/>
  <c r="K3798" i="1"/>
  <c r="J3798" i="1"/>
  <c r="I3798" i="1"/>
  <c r="H3798" i="1"/>
  <c r="G3798" i="1"/>
  <c r="F3798" i="1"/>
  <c r="E3798" i="1"/>
  <c r="D3798" i="1"/>
  <c r="C3798" i="1"/>
  <c r="B3798" i="1"/>
  <c r="A3798" i="1"/>
  <c r="R3797" i="1"/>
  <c r="J3797" i="1"/>
  <c r="I3797" i="1"/>
  <c r="G3797" i="1"/>
  <c r="F3797" i="1"/>
  <c r="E3797" i="1"/>
  <c r="D3797" i="1"/>
  <c r="C3797" i="1"/>
  <c r="B3797" i="1"/>
  <c r="A3797" i="1"/>
  <c r="S3796" i="1"/>
  <c r="O3796" i="1"/>
  <c r="K3796" i="1"/>
  <c r="J3796" i="1"/>
  <c r="I3796" i="1"/>
  <c r="H3796" i="1"/>
  <c r="G3796" i="1"/>
  <c r="F3796" i="1"/>
  <c r="E3796" i="1"/>
  <c r="D3796" i="1"/>
  <c r="C3796" i="1"/>
  <c r="B3796" i="1"/>
  <c r="A3796" i="1"/>
  <c r="R3795" i="1"/>
  <c r="J3795" i="1"/>
  <c r="I3795" i="1"/>
  <c r="G3795" i="1"/>
  <c r="F3795" i="1"/>
  <c r="E3795" i="1"/>
  <c r="D3795" i="1"/>
  <c r="C3795" i="1"/>
  <c r="B3795" i="1"/>
  <c r="A3795" i="1"/>
  <c r="S3794" i="1"/>
  <c r="O3794" i="1"/>
  <c r="K3794" i="1"/>
  <c r="J3794" i="1"/>
  <c r="I3794" i="1"/>
  <c r="H3794" i="1"/>
  <c r="G3794" i="1"/>
  <c r="F3794" i="1"/>
  <c r="E3794" i="1"/>
  <c r="D3794" i="1"/>
  <c r="C3794" i="1"/>
  <c r="B3794" i="1"/>
  <c r="A3794" i="1"/>
  <c r="R3793" i="1"/>
  <c r="J3793" i="1"/>
  <c r="I3793" i="1"/>
  <c r="G3793" i="1"/>
  <c r="F3793" i="1"/>
  <c r="E3793" i="1"/>
  <c r="D3793" i="1"/>
  <c r="C3793" i="1"/>
  <c r="B3793" i="1"/>
  <c r="A3793" i="1"/>
  <c r="S3792" i="1"/>
  <c r="O3792" i="1"/>
  <c r="K3792" i="1"/>
  <c r="J3792" i="1"/>
  <c r="I3792" i="1"/>
  <c r="H3792" i="1"/>
  <c r="G3792" i="1"/>
  <c r="F3792" i="1"/>
  <c r="E3792" i="1"/>
  <c r="D3792" i="1"/>
  <c r="C3792" i="1"/>
  <c r="B3792" i="1"/>
  <c r="A3792" i="1"/>
  <c r="R3791" i="1"/>
  <c r="J3791" i="1"/>
  <c r="I3791" i="1"/>
  <c r="G3791" i="1"/>
  <c r="F3791" i="1"/>
  <c r="E3791" i="1"/>
  <c r="D3791" i="1"/>
  <c r="C3791" i="1"/>
  <c r="B3791" i="1"/>
  <c r="A3791" i="1"/>
  <c r="S3790" i="1"/>
  <c r="O3790" i="1"/>
  <c r="K3790" i="1"/>
  <c r="J3790" i="1"/>
  <c r="I3790" i="1"/>
  <c r="H3790" i="1"/>
  <c r="G3790" i="1"/>
  <c r="F3790" i="1"/>
  <c r="E3790" i="1"/>
  <c r="D3790" i="1"/>
  <c r="C3790" i="1"/>
  <c r="B3790" i="1"/>
  <c r="A3790" i="1"/>
  <c r="R3789" i="1"/>
  <c r="J3789" i="1"/>
  <c r="I3789" i="1"/>
  <c r="G3789" i="1"/>
  <c r="F3789" i="1"/>
  <c r="E3789" i="1"/>
  <c r="D3789" i="1"/>
  <c r="C3789" i="1"/>
  <c r="B3789" i="1"/>
  <c r="A3789" i="1"/>
  <c r="S3788" i="1"/>
  <c r="O3788" i="1"/>
  <c r="K3788" i="1"/>
  <c r="J3788" i="1"/>
  <c r="I3788" i="1"/>
  <c r="H3788" i="1"/>
  <c r="G3788" i="1"/>
  <c r="F3788" i="1"/>
  <c r="E3788" i="1"/>
  <c r="D3788" i="1"/>
  <c r="C3788" i="1"/>
  <c r="B3788" i="1"/>
  <c r="A3788" i="1"/>
  <c r="R3787" i="1"/>
  <c r="J3787" i="1"/>
  <c r="I3787" i="1"/>
  <c r="G3787" i="1"/>
  <c r="F3787" i="1"/>
  <c r="E3787" i="1"/>
  <c r="D3787" i="1"/>
  <c r="C3787" i="1"/>
  <c r="B3787" i="1"/>
  <c r="A3787" i="1"/>
  <c r="S3786" i="1"/>
  <c r="O3786" i="1"/>
  <c r="K3786" i="1"/>
  <c r="J3786" i="1"/>
  <c r="I3786" i="1"/>
  <c r="H3786" i="1"/>
  <c r="G3786" i="1"/>
  <c r="F3786" i="1"/>
  <c r="E3786" i="1"/>
  <c r="D3786" i="1"/>
  <c r="C3786" i="1"/>
  <c r="B3786" i="1"/>
  <c r="A3786" i="1"/>
  <c r="R3785" i="1"/>
  <c r="J3785" i="1"/>
  <c r="I3785" i="1"/>
  <c r="G3785" i="1"/>
  <c r="F3785" i="1"/>
  <c r="E3785" i="1"/>
  <c r="D3785" i="1"/>
  <c r="C3785" i="1"/>
  <c r="B3785" i="1"/>
  <c r="A3785" i="1"/>
  <c r="S3784" i="1"/>
  <c r="O3784" i="1"/>
  <c r="K3784" i="1"/>
  <c r="J3784" i="1"/>
  <c r="I3784" i="1"/>
  <c r="H3784" i="1"/>
  <c r="G3784" i="1"/>
  <c r="F3784" i="1"/>
  <c r="E3784" i="1"/>
  <c r="D3784" i="1"/>
  <c r="C3784" i="1"/>
  <c r="B3784" i="1"/>
  <c r="A3784" i="1"/>
  <c r="R3783" i="1"/>
  <c r="J3783" i="1"/>
  <c r="I3783" i="1"/>
  <c r="G3783" i="1"/>
  <c r="F3783" i="1"/>
  <c r="E3783" i="1"/>
  <c r="D3783" i="1"/>
  <c r="C3783" i="1"/>
  <c r="B3783" i="1"/>
  <c r="A3783" i="1"/>
  <c r="S3782" i="1"/>
  <c r="O3782" i="1"/>
  <c r="K3782" i="1"/>
  <c r="J3782" i="1"/>
  <c r="I3782" i="1"/>
  <c r="H3782" i="1"/>
  <c r="G3782" i="1"/>
  <c r="F3782" i="1"/>
  <c r="E3782" i="1"/>
  <c r="D3782" i="1"/>
  <c r="C3782" i="1"/>
  <c r="B3782" i="1"/>
  <c r="A3782" i="1"/>
  <c r="R3781" i="1"/>
  <c r="J3781" i="1"/>
  <c r="I3781" i="1"/>
  <c r="G3781" i="1"/>
  <c r="F3781" i="1"/>
  <c r="E3781" i="1"/>
  <c r="D3781" i="1"/>
  <c r="C3781" i="1"/>
  <c r="B3781" i="1"/>
  <c r="A3781" i="1"/>
  <c r="S3780" i="1"/>
  <c r="O3780" i="1"/>
  <c r="K3780" i="1"/>
  <c r="J3780" i="1"/>
  <c r="I3780" i="1"/>
  <c r="H3780" i="1"/>
  <c r="G3780" i="1"/>
  <c r="F3780" i="1"/>
  <c r="E3780" i="1"/>
  <c r="D3780" i="1"/>
  <c r="C3780" i="1"/>
  <c r="B3780" i="1"/>
  <c r="A3780" i="1"/>
  <c r="R3779" i="1"/>
  <c r="J3779" i="1"/>
  <c r="I3779" i="1"/>
  <c r="G3779" i="1"/>
  <c r="F3779" i="1"/>
  <c r="E3779" i="1"/>
  <c r="D3779" i="1"/>
  <c r="C3779" i="1"/>
  <c r="B3779" i="1"/>
  <c r="A3779" i="1"/>
  <c r="S3778" i="1"/>
  <c r="O3778" i="1"/>
  <c r="K3778" i="1"/>
  <c r="J3778" i="1"/>
  <c r="I3778" i="1"/>
  <c r="H3778" i="1"/>
  <c r="G3778" i="1"/>
  <c r="F3778" i="1"/>
  <c r="E3778" i="1"/>
  <c r="D3778" i="1"/>
  <c r="C3778" i="1"/>
  <c r="B3778" i="1"/>
  <c r="A3778" i="1"/>
  <c r="R3777" i="1"/>
  <c r="J3777" i="1"/>
  <c r="I3777" i="1"/>
  <c r="G3777" i="1"/>
  <c r="F3777" i="1"/>
  <c r="E3777" i="1"/>
  <c r="D3777" i="1"/>
  <c r="C3777" i="1"/>
  <c r="B3777" i="1"/>
  <c r="A3777" i="1"/>
  <c r="S3776" i="1"/>
  <c r="O3776" i="1"/>
  <c r="K3776" i="1"/>
  <c r="J3776" i="1"/>
  <c r="I3776" i="1"/>
  <c r="H3776" i="1"/>
  <c r="G3776" i="1"/>
  <c r="F3776" i="1"/>
  <c r="E3776" i="1"/>
  <c r="D3776" i="1"/>
  <c r="C3776" i="1"/>
  <c r="B3776" i="1"/>
  <c r="A3776" i="1"/>
  <c r="R3775" i="1"/>
  <c r="J3775" i="1"/>
  <c r="I3775" i="1"/>
  <c r="G3775" i="1"/>
  <c r="F3775" i="1"/>
  <c r="E3775" i="1"/>
  <c r="D3775" i="1"/>
  <c r="C3775" i="1"/>
  <c r="B3775" i="1"/>
  <c r="A3775" i="1"/>
  <c r="S3774" i="1"/>
  <c r="O3774" i="1"/>
  <c r="K3774" i="1"/>
  <c r="J3774" i="1"/>
  <c r="I3774" i="1"/>
  <c r="H3774" i="1"/>
  <c r="G3774" i="1"/>
  <c r="F3774" i="1"/>
  <c r="E3774" i="1"/>
  <c r="D3774" i="1"/>
  <c r="C3774" i="1"/>
  <c r="B3774" i="1"/>
  <c r="A3774" i="1"/>
  <c r="R3773" i="1"/>
  <c r="J3773" i="1"/>
  <c r="I3773" i="1"/>
  <c r="G3773" i="1"/>
  <c r="F3773" i="1"/>
  <c r="E3773" i="1"/>
  <c r="D3773" i="1"/>
  <c r="C3773" i="1"/>
  <c r="B3773" i="1"/>
  <c r="A3773" i="1"/>
  <c r="S3772" i="1"/>
  <c r="O3772" i="1"/>
  <c r="K3772" i="1"/>
  <c r="J3772" i="1"/>
  <c r="I3772" i="1"/>
  <c r="H3772" i="1"/>
  <c r="G3772" i="1"/>
  <c r="F3772" i="1"/>
  <c r="E3772" i="1"/>
  <c r="D3772" i="1"/>
  <c r="C3772" i="1"/>
  <c r="B3772" i="1"/>
  <c r="A3772" i="1"/>
  <c r="S3771" i="1"/>
  <c r="O3771" i="1"/>
  <c r="K3771" i="1"/>
  <c r="J3771" i="1"/>
  <c r="I3771" i="1"/>
  <c r="H3771" i="1"/>
  <c r="G3771" i="1"/>
  <c r="F3771" i="1"/>
  <c r="D3771" i="1"/>
  <c r="C3771" i="1"/>
  <c r="B3771" i="1"/>
  <c r="A3771" i="1"/>
  <c r="S3770" i="1"/>
  <c r="O3770" i="1"/>
  <c r="K3770" i="1"/>
  <c r="J3770" i="1"/>
  <c r="I3770" i="1"/>
  <c r="H3770" i="1"/>
  <c r="G3770" i="1"/>
  <c r="F3770" i="1"/>
  <c r="D3770" i="1"/>
  <c r="C3770" i="1"/>
  <c r="B3770" i="1"/>
  <c r="A3770" i="1"/>
  <c r="S3769" i="1"/>
  <c r="O3769" i="1"/>
  <c r="K3769" i="1"/>
  <c r="J3769" i="1"/>
  <c r="I3769" i="1"/>
  <c r="H3769" i="1"/>
  <c r="G3769" i="1"/>
  <c r="F3769" i="1"/>
  <c r="D3769" i="1"/>
  <c r="C3769" i="1"/>
  <c r="B3769" i="1"/>
  <c r="A3769" i="1"/>
  <c r="S3768" i="1"/>
  <c r="O3768" i="1"/>
  <c r="K3768" i="1"/>
  <c r="J3768" i="1"/>
  <c r="I3768" i="1"/>
  <c r="H3768" i="1"/>
  <c r="G3768" i="1"/>
  <c r="F3768" i="1"/>
  <c r="D3768" i="1"/>
  <c r="C3768" i="1"/>
  <c r="B3768" i="1"/>
  <c r="A3768" i="1"/>
  <c r="S3767" i="1"/>
  <c r="O3767" i="1"/>
  <c r="K3767" i="1"/>
  <c r="J3767" i="1"/>
  <c r="I3767" i="1"/>
  <c r="H3767" i="1"/>
  <c r="G3767" i="1"/>
  <c r="F3767" i="1"/>
  <c r="D3767" i="1"/>
  <c r="C3767" i="1"/>
  <c r="B3767" i="1"/>
  <c r="A3767" i="1"/>
  <c r="S3766" i="1"/>
  <c r="O3766" i="1"/>
  <c r="K3766" i="1"/>
  <c r="J3766" i="1"/>
  <c r="I3766" i="1"/>
  <c r="H3766" i="1"/>
  <c r="G3766" i="1"/>
  <c r="F3766" i="1"/>
  <c r="D3766" i="1"/>
  <c r="C3766" i="1"/>
  <c r="B3766" i="1"/>
  <c r="A3766" i="1"/>
  <c r="S3765" i="1"/>
  <c r="O3765" i="1"/>
  <c r="K3765" i="1"/>
  <c r="J3765" i="1"/>
  <c r="I3765" i="1"/>
  <c r="H3765" i="1"/>
  <c r="G3765" i="1"/>
  <c r="F3765" i="1"/>
  <c r="D3765" i="1"/>
  <c r="C3765" i="1"/>
  <c r="B3765" i="1"/>
  <c r="A3765" i="1"/>
  <c r="S3764" i="1"/>
  <c r="O3764" i="1"/>
  <c r="K3764" i="1"/>
  <c r="J3764" i="1"/>
  <c r="I3764" i="1"/>
  <c r="H3764" i="1"/>
  <c r="G3764" i="1"/>
  <c r="F3764" i="1"/>
  <c r="D3764" i="1"/>
  <c r="C3764" i="1"/>
  <c r="B3764" i="1"/>
  <c r="A3764" i="1"/>
  <c r="S3763" i="1"/>
  <c r="O3763" i="1"/>
  <c r="K3763" i="1"/>
  <c r="J3763" i="1"/>
  <c r="I3763" i="1"/>
  <c r="H3763" i="1"/>
  <c r="G3763" i="1"/>
  <c r="F3763" i="1"/>
  <c r="D3763" i="1"/>
  <c r="C3763" i="1"/>
  <c r="B3763" i="1"/>
  <c r="A3763" i="1"/>
  <c r="R3762" i="1"/>
  <c r="J3762" i="1"/>
  <c r="I3762" i="1"/>
  <c r="G3762" i="1"/>
  <c r="F3762" i="1"/>
  <c r="E3762" i="1"/>
  <c r="D3762" i="1"/>
  <c r="C3762" i="1"/>
  <c r="B3762" i="1"/>
  <c r="A3762" i="1"/>
  <c r="S3761" i="1"/>
  <c r="O3761" i="1"/>
  <c r="K3761" i="1"/>
  <c r="J3761" i="1"/>
  <c r="I3761" i="1"/>
  <c r="H3761" i="1"/>
  <c r="G3761" i="1"/>
  <c r="F3761" i="1"/>
  <c r="E3761" i="1"/>
  <c r="D3761" i="1"/>
  <c r="C3761" i="1"/>
  <c r="B3761" i="1"/>
  <c r="A3761" i="1"/>
  <c r="R3760" i="1"/>
  <c r="J3760" i="1"/>
  <c r="I3760" i="1"/>
  <c r="G3760" i="1"/>
  <c r="F3760" i="1"/>
  <c r="E3760" i="1"/>
  <c r="D3760" i="1"/>
  <c r="C3760" i="1"/>
  <c r="B3760" i="1"/>
  <c r="A3760" i="1"/>
  <c r="S3759" i="1"/>
  <c r="O3759" i="1"/>
  <c r="K3759" i="1"/>
  <c r="J3759" i="1"/>
  <c r="I3759" i="1"/>
  <c r="H3759" i="1"/>
  <c r="G3759" i="1"/>
  <c r="F3759" i="1"/>
  <c r="E3759" i="1"/>
  <c r="D3759" i="1"/>
  <c r="C3759" i="1"/>
  <c r="B3759" i="1"/>
  <c r="A3759" i="1"/>
  <c r="R3758" i="1"/>
  <c r="J3758" i="1"/>
  <c r="I3758" i="1"/>
  <c r="G3758" i="1"/>
  <c r="F3758" i="1"/>
  <c r="E3758" i="1"/>
  <c r="D3758" i="1"/>
  <c r="C3758" i="1"/>
  <c r="B3758" i="1"/>
  <c r="A3758" i="1"/>
  <c r="S3757" i="1"/>
  <c r="O3757" i="1"/>
  <c r="K3757" i="1"/>
  <c r="J3757" i="1"/>
  <c r="I3757" i="1"/>
  <c r="H3757" i="1"/>
  <c r="G3757" i="1"/>
  <c r="F3757" i="1"/>
  <c r="E3757" i="1"/>
  <c r="D3757" i="1"/>
  <c r="C3757" i="1"/>
  <c r="B3757" i="1"/>
  <c r="A3757" i="1"/>
  <c r="R3756" i="1"/>
  <c r="J3756" i="1"/>
  <c r="I3756" i="1"/>
  <c r="G3756" i="1"/>
  <c r="F3756" i="1"/>
  <c r="E3756" i="1"/>
  <c r="D3756" i="1"/>
  <c r="C3756" i="1"/>
  <c r="B3756" i="1"/>
  <c r="A3756" i="1"/>
  <c r="S3755" i="1"/>
  <c r="O3755" i="1"/>
  <c r="K3755" i="1"/>
  <c r="J3755" i="1"/>
  <c r="I3755" i="1"/>
  <c r="H3755" i="1"/>
  <c r="G3755" i="1"/>
  <c r="F3755" i="1"/>
  <c r="E3755" i="1"/>
  <c r="D3755" i="1"/>
  <c r="C3755" i="1"/>
  <c r="B3755" i="1"/>
  <c r="A3755" i="1"/>
  <c r="R3754" i="1"/>
  <c r="J3754" i="1"/>
  <c r="I3754" i="1"/>
  <c r="G3754" i="1"/>
  <c r="F3754" i="1"/>
  <c r="E3754" i="1"/>
  <c r="D3754" i="1"/>
  <c r="C3754" i="1"/>
  <c r="B3754" i="1"/>
  <c r="A3754" i="1"/>
  <c r="S3753" i="1"/>
  <c r="O3753" i="1"/>
  <c r="K3753" i="1"/>
  <c r="J3753" i="1"/>
  <c r="I3753" i="1"/>
  <c r="H3753" i="1"/>
  <c r="G3753" i="1"/>
  <c r="F3753" i="1"/>
  <c r="E3753" i="1"/>
  <c r="D3753" i="1"/>
  <c r="C3753" i="1"/>
  <c r="B3753" i="1"/>
  <c r="A3753" i="1"/>
  <c r="R3752" i="1"/>
  <c r="J3752" i="1"/>
  <c r="I3752" i="1"/>
  <c r="G3752" i="1"/>
  <c r="F3752" i="1"/>
  <c r="E3752" i="1"/>
  <c r="D3752" i="1"/>
  <c r="C3752" i="1"/>
  <c r="B3752" i="1"/>
  <c r="A3752" i="1"/>
  <c r="S3751" i="1"/>
  <c r="O3751" i="1"/>
  <c r="K3751" i="1"/>
  <c r="J3751" i="1"/>
  <c r="I3751" i="1"/>
  <c r="H3751" i="1"/>
  <c r="G3751" i="1"/>
  <c r="F3751" i="1"/>
  <c r="E3751" i="1"/>
  <c r="D3751" i="1"/>
  <c r="C3751" i="1"/>
  <c r="B3751" i="1"/>
  <c r="A3751" i="1"/>
  <c r="R3750" i="1"/>
  <c r="J3750" i="1"/>
  <c r="I3750" i="1"/>
  <c r="G3750" i="1"/>
  <c r="F3750" i="1"/>
  <c r="E3750" i="1"/>
  <c r="D3750" i="1"/>
  <c r="C3750" i="1"/>
  <c r="B3750" i="1"/>
  <c r="A3750" i="1"/>
  <c r="S3749" i="1"/>
  <c r="O3749" i="1"/>
  <c r="K3749" i="1"/>
  <c r="J3749" i="1"/>
  <c r="I3749" i="1"/>
  <c r="H3749" i="1"/>
  <c r="G3749" i="1"/>
  <c r="F3749" i="1"/>
  <c r="E3749" i="1"/>
  <c r="D3749" i="1"/>
  <c r="C3749" i="1"/>
  <c r="B3749" i="1"/>
  <c r="A3749" i="1"/>
  <c r="R3748" i="1"/>
  <c r="J3748" i="1"/>
  <c r="I3748" i="1"/>
  <c r="G3748" i="1"/>
  <c r="F3748" i="1"/>
  <c r="E3748" i="1"/>
  <c r="D3748" i="1"/>
  <c r="C3748" i="1"/>
  <c r="B3748" i="1"/>
  <c r="A3748" i="1"/>
  <c r="S3747" i="1"/>
  <c r="O3747" i="1"/>
  <c r="K3747" i="1"/>
  <c r="J3747" i="1"/>
  <c r="I3747" i="1"/>
  <c r="H3747" i="1"/>
  <c r="G3747" i="1"/>
  <c r="F3747" i="1"/>
  <c r="E3747" i="1"/>
  <c r="D3747" i="1"/>
  <c r="C3747" i="1"/>
  <c r="B3747" i="1"/>
  <c r="A3747" i="1"/>
  <c r="R3746" i="1"/>
  <c r="J3746" i="1"/>
  <c r="I3746" i="1"/>
  <c r="G3746" i="1"/>
  <c r="F3746" i="1"/>
  <c r="E3746" i="1"/>
  <c r="D3746" i="1"/>
  <c r="C3746" i="1"/>
  <c r="B3746" i="1"/>
  <c r="A3746" i="1"/>
  <c r="S3745" i="1"/>
  <c r="O3745" i="1"/>
  <c r="K3745" i="1"/>
  <c r="J3745" i="1"/>
  <c r="I3745" i="1"/>
  <c r="H3745" i="1"/>
  <c r="G3745" i="1"/>
  <c r="F3745" i="1"/>
  <c r="E3745" i="1"/>
  <c r="D3745" i="1"/>
  <c r="C3745" i="1"/>
  <c r="B3745" i="1"/>
  <c r="A3745" i="1"/>
  <c r="R3744" i="1"/>
  <c r="J3744" i="1"/>
  <c r="I3744" i="1"/>
  <c r="G3744" i="1"/>
  <c r="F3744" i="1"/>
  <c r="E3744" i="1"/>
  <c r="D3744" i="1"/>
  <c r="C3744" i="1"/>
  <c r="B3744" i="1"/>
  <c r="A3744" i="1"/>
  <c r="S3743" i="1"/>
  <c r="O3743" i="1"/>
  <c r="K3743" i="1"/>
  <c r="J3743" i="1"/>
  <c r="I3743" i="1"/>
  <c r="H3743" i="1"/>
  <c r="G3743" i="1"/>
  <c r="F3743" i="1"/>
  <c r="E3743" i="1"/>
  <c r="D3743" i="1"/>
  <c r="C3743" i="1"/>
  <c r="B3743" i="1"/>
  <c r="A3743" i="1"/>
  <c r="R3742" i="1"/>
  <c r="J3742" i="1"/>
  <c r="I3742" i="1"/>
  <c r="G3742" i="1"/>
  <c r="F3742" i="1"/>
  <c r="E3742" i="1"/>
  <c r="D3742" i="1"/>
  <c r="C3742" i="1"/>
  <c r="B3742" i="1"/>
  <c r="A3742" i="1"/>
  <c r="S3741" i="1"/>
  <c r="O3741" i="1"/>
  <c r="K3741" i="1"/>
  <c r="J3741" i="1"/>
  <c r="I3741" i="1"/>
  <c r="H3741" i="1"/>
  <c r="G3741" i="1"/>
  <c r="F3741" i="1"/>
  <c r="E3741" i="1"/>
  <c r="D3741" i="1"/>
  <c r="C3741" i="1"/>
  <c r="B3741" i="1"/>
  <c r="A3741" i="1"/>
  <c r="R3740" i="1"/>
  <c r="J3740" i="1"/>
  <c r="I3740" i="1"/>
  <c r="G3740" i="1"/>
  <c r="F3740" i="1"/>
  <c r="E3740" i="1"/>
  <c r="D3740" i="1"/>
  <c r="C3740" i="1"/>
  <c r="B3740" i="1"/>
  <c r="A3740" i="1"/>
  <c r="S3739" i="1"/>
  <c r="O3739" i="1"/>
  <c r="K3739" i="1"/>
  <c r="J3739" i="1"/>
  <c r="I3739" i="1"/>
  <c r="H3739" i="1"/>
  <c r="G3739" i="1"/>
  <c r="F3739" i="1"/>
  <c r="E3739" i="1"/>
  <c r="D3739" i="1"/>
  <c r="C3739" i="1"/>
  <c r="B3739" i="1"/>
  <c r="A3739" i="1"/>
  <c r="R3738" i="1"/>
  <c r="J3738" i="1"/>
  <c r="I3738" i="1"/>
  <c r="G3738" i="1"/>
  <c r="F3738" i="1"/>
  <c r="E3738" i="1"/>
  <c r="D3738" i="1"/>
  <c r="C3738" i="1"/>
  <c r="B3738" i="1"/>
  <c r="A3738" i="1"/>
  <c r="S3737" i="1"/>
  <c r="O3737" i="1"/>
  <c r="K3737" i="1"/>
  <c r="J3737" i="1"/>
  <c r="I3737" i="1"/>
  <c r="H3737" i="1"/>
  <c r="G3737" i="1"/>
  <c r="F3737" i="1"/>
  <c r="E3737" i="1"/>
  <c r="D3737" i="1"/>
  <c r="C3737" i="1"/>
  <c r="B3737" i="1"/>
  <c r="A3737" i="1"/>
  <c r="R3736" i="1"/>
  <c r="J3736" i="1"/>
  <c r="I3736" i="1"/>
  <c r="G3736" i="1"/>
  <c r="F3736" i="1"/>
  <c r="E3736" i="1"/>
  <c r="D3736" i="1"/>
  <c r="C3736" i="1"/>
  <c r="B3736" i="1"/>
  <c r="A3736" i="1"/>
  <c r="S3735" i="1"/>
  <c r="O3735" i="1"/>
  <c r="K3735" i="1"/>
  <c r="J3735" i="1"/>
  <c r="I3735" i="1"/>
  <c r="H3735" i="1"/>
  <c r="G3735" i="1"/>
  <c r="F3735" i="1"/>
  <c r="E3735" i="1"/>
  <c r="D3735" i="1"/>
  <c r="C3735" i="1"/>
  <c r="B3735" i="1"/>
  <c r="A3735" i="1"/>
  <c r="R3734" i="1"/>
  <c r="J3734" i="1"/>
  <c r="I3734" i="1"/>
  <c r="G3734" i="1"/>
  <c r="F3734" i="1"/>
  <c r="E3734" i="1"/>
  <c r="D3734" i="1"/>
  <c r="C3734" i="1"/>
  <c r="B3734" i="1"/>
  <c r="A3734" i="1"/>
  <c r="S3733" i="1"/>
  <c r="O3733" i="1"/>
  <c r="K3733" i="1"/>
  <c r="J3733" i="1"/>
  <c r="I3733" i="1"/>
  <c r="H3733" i="1"/>
  <c r="G3733" i="1"/>
  <c r="F3733" i="1"/>
  <c r="E3733" i="1"/>
  <c r="D3733" i="1"/>
  <c r="C3733" i="1"/>
  <c r="B3733" i="1"/>
  <c r="A3733" i="1"/>
  <c r="R3732" i="1"/>
  <c r="J3732" i="1"/>
  <c r="I3732" i="1"/>
  <c r="G3732" i="1"/>
  <c r="F3732" i="1"/>
  <c r="E3732" i="1"/>
  <c r="D3732" i="1"/>
  <c r="C3732" i="1"/>
  <c r="B3732" i="1"/>
  <c r="A3732" i="1"/>
  <c r="S3731" i="1"/>
  <c r="O3731" i="1"/>
  <c r="K3731" i="1"/>
  <c r="J3731" i="1"/>
  <c r="I3731" i="1"/>
  <c r="H3731" i="1"/>
  <c r="G3731" i="1"/>
  <c r="F3731" i="1"/>
  <c r="E3731" i="1"/>
  <c r="D3731" i="1"/>
  <c r="C3731" i="1"/>
  <c r="B3731" i="1"/>
  <c r="A3731" i="1"/>
  <c r="R3730" i="1"/>
  <c r="J3730" i="1"/>
  <c r="I3730" i="1"/>
  <c r="G3730" i="1"/>
  <c r="F3730" i="1"/>
  <c r="E3730" i="1"/>
  <c r="D3730" i="1"/>
  <c r="C3730" i="1"/>
  <c r="B3730" i="1"/>
  <c r="A3730" i="1"/>
  <c r="S3729" i="1"/>
  <c r="O3729" i="1"/>
  <c r="K3729" i="1"/>
  <c r="J3729" i="1"/>
  <c r="I3729" i="1"/>
  <c r="H3729" i="1"/>
  <c r="G3729" i="1"/>
  <c r="F3729" i="1"/>
  <c r="E3729" i="1"/>
  <c r="D3729" i="1"/>
  <c r="C3729" i="1"/>
  <c r="B3729" i="1"/>
  <c r="A3729" i="1"/>
  <c r="R3728" i="1"/>
  <c r="J3728" i="1"/>
  <c r="I3728" i="1"/>
  <c r="G3728" i="1"/>
  <c r="F3728" i="1"/>
  <c r="E3728" i="1"/>
  <c r="D3728" i="1"/>
  <c r="C3728" i="1"/>
  <c r="B3728" i="1"/>
  <c r="A3728" i="1"/>
  <c r="S3727" i="1"/>
  <c r="O3727" i="1"/>
  <c r="K3727" i="1"/>
  <c r="J3727" i="1"/>
  <c r="I3727" i="1"/>
  <c r="H3727" i="1"/>
  <c r="G3727" i="1"/>
  <c r="F3727" i="1"/>
  <c r="E3727" i="1"/>
  <c r="D3727" i="1"/>
  <c r="C3727" i="1"/>
  <c r="B3727" i="1"/>
  <c r="A3727" i="1"/>
  <c r="R3726" i="1"/>
  <c r="J3726" i="1"/>
  <c r="I3726" i="1"/>
  <c r="G3726" i="1"/>
  <c r="F3726" i="1"/>
  <c r="E3726" i="1"/>
  <c r="D3726" i="1"/>
  <c r="C3726" i="1"/>
  <c r="B3726" i="1"/>
  <c r="A3726" i="1"/>
  <c r="S3725" i="1"/>
  <c r="O3725" i="1"/>
  <c r="K3725" i="1"/>
  <c r="J3725" i="1"/>
  <c r="I3725" i="1"/>
  <c r="H3725" i="1"/>
  <c r="G3725" i="1"/>
  <c r="F3725" i="1"/>
  <c r="E3725" i="1"/>
  <c r="D3725" i="1"/>
  <c r="C3725" i="1"/>
  <c r="B3725" i="1"/>
  <c r="A3725" i="1"/>
  <c r="R3724" i="1"/>
  <c r="J3724" i="1"/>
  <c r="I3724" i="1"/>
  <c r="G3724" i="1"/>
  <c r="F3724" i="1"/>
  <c r="E3724" i="1"/>
  <c r="D3724" i="1"/>
  <c r="C3724" i="1"/>
  <c r="B3724" i="1"/>
  <c r="A3724" i="1"/>
  <c r="S3723" i="1"/>
  <c r="O3723" i="1"/>
  <c r="K3723" i="1"/>
  <c r="J3723" i="1"/>
  <c r="I3723" i="1"/>
  <c r="H3723" i="1"/>
  <c r="G3723" i="1"/>
  <c r="F3723" i="1"/>
  <c r="E3723" i="1"/>
  <c r="D3723" i="1"/>
  <c r="C3723" i="1"/>
  <c r="B3723" i="1"/>
  <c r="A3723" i="1"/>
  <c r="R3722" i="1"/>
  <c r="J3722" i="1"/>
  <c r="I3722" i="1"/>
  <c r="G3722" i="1"/>
  <c r="F3722" i="1"/>
  <c r="E3722" i="1"/>
  <c r="D3722" i="1"/>
  <c r="C3722" i="1"/>
  <c r="B3722" i="1"/>
  <c r="A3722" i="1"/>
  <c r="S3721" i="1"/>
  <c r="O3721" i="1"/>
  <c r="K3721" i="1"/>
  <c r="J3721" i="1"/>
  <c r="I3721" i="1"/>
  <c r="H3721" i="1"/>
  <c r="G3721" i="1"/>
  <c r="F3721" i="1"/>
  <c r="E3721" i="1"/>
  <c r="D3721" i="1"/>
  <c r="C3721" i="1"/>
  <c r="B3721" i="1"/>
  <c r="A3721" i="1"/>
  <c r="R3720" i="1"/>
  <c r="J3720" i="1"/>
  <c r="I3720" i="1"/>
  <c r="G3720" i="1"/>
  <c r="F3720" i="1"/>
  <c r="E3720" i="1"/>
  <c r="D3720" i="1"/>
  <c r="C3720" i="1"/>
  <c r="B3720" i="1"/>
  <c r="A3720" i="1"/>
  <c r="S3719" i="1"/>
  <c r="O3719" i="1"/>
  <c r="K3719" i="1"/>
  <c r="J3719" i="1"/>
  <c r="I3719" i="1"/>
  <c r="H3719" i="1"/>
  <c r="G3719" i="1"/>
  <c r="F3719" i="1"/>
  <c r="E3719" i="1"/>
  <c r="D3719" i="1"/>
  <c r="C3719" i="1"/>
  <c r="B3719" i="1"/>
  <c r="A3719" i="1"/>
  <c r="S3718" i="1"/>
  <c r="O3718" i="1"/>
  <c r="K3718" i="1"/>
  <c r="J3718" i="1"/>
  <c r="I3718" i="1"/>
  <c r="H3718" i="1"/>
  <c r="G3718" i="1"/>
  <c r="F3718" i="1"/>
  <c r="D3718" i="1"/>
  <c r="C3718" i="1"/>
  <c r="B3718" i="1"/>
  <c r="A3718" i="1"/>
  <c r="S3717" i="1"/>
  <c r="O3717" i="1"/>
  <c r="K3717" i="1"/>
  <c r="J3717" i="1"/>
  <c r="I3717" i="1"/>
  <c r="H3717" i="1"/>
  <c r="G3717" i="1"/>
  <c r="F3717" i="1"/>
  <c r="D3717" i="1"/>
  <c r="C3717" i="1"/>
  <c r="B3717" i="1"/>
  <c r="A3717" i="1"/>
  <c r="S3716" i="1"/>
  <c r="O3716" i="1"/>
  <c r="K3716" i="1"/>
  <c r="J3716" i="1"/>
  <c r="I3716" i="1"/>
  <c r="H3716" i="1"/>
  <c r="G3716" i="1"/>
  <c r="F3716" i="1"/>
  <c r="D3716" i="1"/>
  <c r="C3716" i="1"/>
  <c r="B3716" i="1"/>
  <c r="A3716" i="1"/>
  <c r="S3715" i="1"/>
  <c r="O3715" i="1"/>
  <c r="K3715" i="1"/>
  <c r="J3715" i="1"/>
  <c r="I3715" i="1"/>
  <c r="H3715" i="1"/>
  <c r="G3715" i="1"/>
  <c r="F3715" i="1"/>
  <c r="D3715" i="1"/>
  <c r="C3715" i="1"/>
  <c r="B3715" i="1"/>
  <c r="A3715" i="1"/>
  <c r="S3714" i="1"/>
  <c r="O3714" i="1"/>
  <c r="K3714" i="1"/>
  <c r="J3714" i="1"/>
  <c r="I3714" i="1"/>
  <c r="H3714" i="1"/>
  <c r="G3714" i="1"/>
  <c r="F3714" i="1"/>
  <c r="D3714" i="1"/>
  <c r="C3714" i="1"/>
  <c r="B3714" i="1"/>
  <c r="A3714" i="1"/>
  <c r="S3713" i="1"/>
  <c r="O3713" i="1"/>
  <c r="K3713" i="1"/>
  <c r="J3713" i="1"/>
  <c r="I3713" i="1"/>
  <c r="H3713" i="1"/>
  <c r="G3713" i="1"/>
  <c r="F3713" i="1"/>
  <c r="D3713" i="1"/>
  <c r="C3713" i="1"/>
  <c r="B3713" i="1"/>
  <c r="A3713" i="1"/>
  <c r="R3712" i="1"/>
  <c r="J3712" i="1"/>
  <c r="I3712" i="1"/>
  <c r="G3712" i="1"/>
  <c r="F3712" i="1"/>
  <c r="E3712" i="1"/>
  <c r="D3712" i="1"/>
  <c r="C3712" i="1"/>
  <c r="B3712" i="1"/>
  <c r="A3712" i="1"/>
  <c r="S3711" i="1"/>
  <c r="O3711" i="1"/>
  <c r="K3711" i="1"/>
  <c r="J3711" i="1"/>
  <c r="I3711" i="1"/>
  <c r="H3711" i="1"/>
  <c r="G3711" i="1"/>
  <c r="F3711" i="1"/>
  <c r="E3711" i="1"/>
  <c r="D3711" i="1"/>
  <c r="C3711" i="1"/>
  <c r="B3711" i="1"/>
  <c r="A3711" i="1"/>
  <c r="R3710" i="1"/>
  <c r="J3710" i="1"/>
  <c r="I3710" i="1"/>
  <c r="G3710" i="1"/>
  <c r="F3710" i="1"/>
  <c r="E3710" i="1"/>
  <c r="D3710" i="1"/>
  <c r="C3710" i="1"/>
  <c r="B3710" i="1"/>
  <c r="A3710" i="1"/>
  <c r="S3709" i="1"/>
  <c r="O3709" i="1"/>
  <c r="K3709" i="1"/>
  <c r="J3709" i="1"/>
  <c r="I3709" i="1"/>
  <c r="H3709" i="1"/>
  <c r="G3709" i="1"/>
  <c r="F3709" i="1"/>
  <c r="E3709" i="1"/>
  <c r="D3709" i="1"/>
  <c r="C3709" i="1"/>
  <c r="B3709" i="1"/>
  <c r="A3709" i="1"/>
  <c r="R3708" i="1"/>
  <c r="J3708" i="1"/>
  <c r="I3708" i="1"/>
  <c r="G3708" i="1"/>
  <c r="F3708" i="1"/>
  <c r="E3708" i="1"/>
  <c r="D3708" i="1"/>
  <c r="C3708" i="1"/>
  <c r="B3708" i="1"/>
  <c r="A3708" i="1"/>
  <c r="S3707" i="1"/>
  <c r="O3707" i="1"/>
  <c r="K3707" i="1"/>
  <c r="J3707" i="1"/>
  <c r="I3707" i="1"/>
  <c r="H3707" i="1"/>
  <c r="G3707" i="1"/>
  <c r="F3707" i="1"/>
  <c r="E3707" i="1"/>
  <c r="D3707" i="1"/>
  <c r="C3707" i="1"/>
  <c r="B3707" i="1"/>
  <c r="A3707" i="1"/>
  <c r="R3706" i="1"/>
  <c r="J3706" i="1"/>
  <c r="I3706" i="1"/>
  <c r="G3706" i="1"/>
  <c r="F3706" i="1"/>
  <c r="E3706" i="1"/>
  <c r="D3706" i="1"/>
  <c r="C3706" i="1"/>
  <c r="B3706" i="1"/>
  <c r="A3706" i="1"/>
  <c r="S3705" i="1"/>
  <c r="O3705" i="1"/>
  <c r="K3705" i="1"/>
  <c r="J3705" i="1"/>
  <c r="I3705" i="1"/>
  <c r="H3705" i="1"/>
  <c r="G3705" i="1"/>
  <c r="F3705" i="1"/>
  <c r="E3705" i="1"/>
  <c r="D3705" i="1"/>
  <c r="C3705" i="1"/>
  <c r="B3705" i="1"/>
  <c r="A3705" i="1"/>
  <c r="R3704" i="1"/>
  <c r="J3704" i="1"/>
  <c r="I3704" i="1"/>
  <c r="G3704" i="1"/>
  <c r="F3704" i="1"/>
  <c r="E3704" i="1"/>
  <c r="D3704" i="1"/>
  <c r="C3704" i="1"/>
  <c r="B3704" i="1"/>
  <c r="A3704" i="1"/>
  <c r="S3703" i="1"/>
  <c r="O3703" i="1"/>
  <c r="K3703" i="1"/>
  <c r="J3703" i="1"/>
  <c r="I3703" i="1"/>
  <c r="H3703" i="1"/>
  <c r="G3703" i="1"/>
  <c r="F3703" i="1"/>
  <c r="E3703" i="1"/>
  <c r="D3703" i="1"/>
  <c r="C3703" i="1"/>
  <c r="B3703" i="1"/>
  <c r="A3703" i="1"/>
  <c r="R3702" i="1"/>
  <c r="J3702" i="1"/>
  <c r="I3702" i="1"/>
  <c r="G3702" i="1"/>
  <c r="F3702" i="1"/>
  <c r="E3702" i="1"/>
  <c r="D3702" i="1"/>
  <c r="C3702" i="1"/>
  <c r="B3702" i="1"/>
  <c r="A3702" i="1"/>
  <c r="S3701" i="1"/>
  <c r="O3701" i="1"/>
  <c r="K3701" i="1"/>
  <c r="J3701" i="1"/>
  <c r="I3701" i="1"/>
  <c r="H3701" i="1"/>
  <c r="G3701" i="1"/>
  <c r="F3701" i="1"/>
  <c r="E3701" i="1"/>
  <c r="D3701" i="1"/>
  <c r="C3701" i="1"/>
  <c r="B3701" i="1"/>
  <c r="A3701" i="1"/>
  <c r="R3700" i="1"/>
  <c r="J3700" i="1"/>
  <c r="I3700" i="1"/>
  <c r="G3700" i="1"/>
  <c r="F3700" i="1"/>
  <c r="E3700" i="1"/>
  <c r="D3700" i="1"/>
  <c r="C3700" i="1"/>
  <c r="B3700" i="1"/>
  <c r="A3700" i="1"/>
  <c r="S3699" i="1"/>
  <c r="O3699" i="1"/>
  <c r="K3699" i="1"/>
  <c r="J3699" i="1"/>
  <c r="I3699" i="1"/>
  <c r="H3699" i="1"/>
  <c r="G3699" i="1"/>
  <c r="F3699" i="1"/>
  <c r="E3699" i="1"/>
  <c r="D3699" i="1"/>
  <c r="C3699" i="1"/>
  <c r="B3699" i="1"/>
  <c r="A3699" i="1"/>
  <c r="R3698" i="1"/>
  <c r="J3698" i="1"/>
  <c r="I3698" i="1"/>
  <c r="G3698" i="1"/>
  <c r="F3698" i="1"/>
  <c r="E3698" i="1"/>
  <c r="D3698" i="1"/>
  <c r="C3698" i="1"/>
  <c r="B3698" i="1"/>
  <c r="A3698" i="1"/>
  <c r="S3697" i="1"/>
  <c r="O3697" i="1"/>
  <c r="K3697" i="1"/>
  <c r="J3697" i="1"/>
  <c r="I3697" i="1"/>
  <c r="H3697" i="1"/>
  <c r="G3697" i="1"/>
  <c r="F3697" i="1"/>
  <c r="E3697" i="1"/>
  <c r="D3697" i="1"/>
  <c r="C3697" i="1"/>
  <c r="B3697" i="1"/>
  <c r="A3697" i="1"/>
  <c r="R3696" i="1"/>
  <c r="J3696" i="1"/>
  <c r="I3696" i="1"/>
  <c r="G3696" i="1"/>
  <c r="F3696" i="1"/>
  <c r="E3696" i="1"/>
  <c r="D3696" i="1"/>
  <c r="C3696" i="1"/>
  <c r="B3696" i="1"/>
  <c r="A3696" i="1"/>
  <c r="R3695" i="1"/>
  <c r="J3695" i="1"/>
  <c r="I3695" i="1"/>
  <c r="G3695" i="1"/>
  <c r="F3695" i="1"/>
  <c r="E3695" i="1"/>
  <c r="D3695" i="1"/>
  <c r="C3695" i="1"/>
  <c r="B3695" i="1"/>
  <c r="A3695" i="1"/>
  <c r="S3694" i="1"/>
  <c r="O3694" i="1"/>
  <c r="K3694" i="1"/>
  <c r="J3694" i="1"/>
  <c r="I3694" i="1"/>
  <c r="H3694" i="1"/>
  <c r="G3694" i="1"/>
  <c r="F3694" i="1"/>
  <c r="E3694" i="1"/>
  <c r="D3694" i="1"/>
  <c r="C3694" i="1"/>
  <c r="B3694" i="1"/>
  <c r="A3694" i="1"/>
  <c r="R3693" i="1"/>
  <c r="J3693" i="1"/>
  <c r="I3693" i="1"/>
  <c r="G3693" i="1"/>
  <c r="F3693" i="1"/>
  <c r="E3693" i="1"/>
  <c r="D3693" i="1"/>
  <c r="C3693" i="1"/>
  <c r="B3693" i="1"/>
  <c r="A3693" i="1"/>
  <c r="S3692" i="1"/>
  <c r="O3692" i="1"/>
  <c r="K3692" i="1"/>
  <c r="J3692" i="1"/>
  <c r="I3692" i="1"/>
  <c r="H3692" i="1"/>
  <c r="G3692" i="1"/>
  <c r="F3692" i="1"/>
  <c r="E3692" i="1"/>
  <c r="D3692" i="1"/>
  <c r="C3692" i="1"/>
  <c r="B3692" i="1"/>
  <c r="A3692" i="1"/>
  <c r="R3691" i="1"/>
  <c r="J3691" i="1"/>
  <c r="I3691" i="1"/>
  <c r="G3691" i="1"/>
  <c r="F3691" i="1"/>
  <c r="E3691" i="1"/>
  <c r="D3691" i="1"/>
  <c r="C3691" i="1"/>
  <c r="B3691" i="1"/>
  <c r="A3691" i="1"/>
  <c r="S3690" i="1"/>
  <c r="O3690" i="1"/>
  <c r="K3690" i="1"/>
  <c r="J3690" i="1"/>
  <c r="I3690" i="1"/>
  <c r="H3690" i="1"/>
  <c r="G3690" i="1"/>
  <c r="F3690" i="1"/>
  <c r="E3690" i="1"/>
  <c r="D3690" i="1"/>
  <c r="C3690" i="1"/>
  <c r="B3690" i="1"/>
  <c r="A3690" i="1"/>
  <c r="R3689" i="1"/>
  <c r="J3689" i="1"/>
  <c r="I3689" i="1"/>
  <c r="G3689" i="1"/>
  <c r="F3689" i="1"/>
  <c r="E3689" i="1"/>
  <c r="D3689" i="1"/>
  <c r="C3689" i="1"/>
  <c r="B3689" i="1"/>
  <c r="A3689" i="1"/>
  <c r="S3688" i="1"/>
  <c r="O3688" i="1"/>
  <c r="K3688" i="1"/>
  <c r="J3688" i="1"/>
  <c r="I3688" i="1"/>
  <c r="H3688" i="1"/>
  <c r="G3688" i="1"/>
  <c r="F3688" i="1"/>
  <c r="E3688" i="1"/>
  <c r="D3688" i="1"/>
  <c r="C3688" i="1"/>
  <c r="B3688" i="1"/>
  <c r="A3688" i="1"/>
  <c r="R3687" i="1"/>
  <c r="J3687" i="1"/>
  <c r="I3687" i="1"/>
  <c r="G3687" i="1"/>
  <c r="F3687" i="1"/>
  <c r="E3687" i="1"/>
  <c r="D3687" i="1"/>
  <c r="C3687" i="1"/>
  <c r="B3687" i="1"/>
  <c r="A3687" i="1"/>
  <c r="R3686" i="1"/>
  <c r="J3686" i="1"/>
  <c r="I3686" i="1"/>
  <c r="G3686" i="1"/>
  <c r="F3686" i="1"/>
  <c r="E3686" i="1"/>
  <c r="D3686" i="1"/>
  <c r="C3686" i="1"/>
  <c r="B3686" i="1"/>
  <c r="A3686" i="1"/>
  <c r="S3685" i="1"/>
  <c r="O3685" i="1"/>
  <c r="K3685" i="1"/>
  <c r="J3685" i="1"/>
  <c r="I3685" i="1"/>
  <c r="H3685" i="1"/>
  <c r="G3685" i="1"/>
  <c r="F3685" i="1"/>
  <c r="E3685" i="1"/>
  <c r="D3685" i="1"/>
  <c r="C3685" i="1"/>
  <c r="B3685" i="1"/>
  <c r="A3685" i="1"/>
  <c r="R3684" i="1"/>
  <c r="J3684" i="1"/>
  <c r="I3684" i="1"/>
  <c r="G3684" i="1"/>
  <c r="F3684" i="1"/>
  <c r="E3684" i="1"/>
  <c r="D3684" i="1"/>
  <c r="C3684" i="1"/>
  <c r="B3684" i="1"/>
  <c r="A3684" i="1"/>
  <c r="S3683" i="1"/>
  <c r="O3683" i="1"/>
  <c r="K3683" i="1"/>
  <c r="J3683" i="1"/>
  <c r="I3683" i="1"/>
  <c r="H3683" i="1"/>
  <c r="G3683" i="1"/>
  <c r="F3683" i="1"/>
  <c r="E3683" i="1"/>
  <c r="D3683" i="1"/>
  <c r="C3683" i="1"/>
  <c r="B3683" i="1"/>
  <c r="A3683" i="1"/>
  <c r="R3682" i="1"/>
  <c r="J3682" i="1"/>
  <c r="I3682" i="1"/>
  <c r="G3682" i="1"/>
  <c r="F3682" i="1"/>
  <c r="E3682" i="1"/>
  <c r="D3682" i="1"/>
  <c r="C3682" i="1"/>
  <c r="B3682" i="1"/>
  <c r="A3682" i="1"/>
  <c r="S3681" i="1"/>
  <c r="O3681" i="1"/>
  <c r="K3681" i="1"/>
  <c r="J3681" i="1"/>
  <c r="I3681" i="1"/>
  <c r="H3681" i="1"/>
  <c r="G3681" i="1"/>
  <c r="F3681" i="1"/>
  <c r="E3681" i="1"/>
  <c r="D3681" i="1"/>
  <c r="C3681" i="1"/>
  <c r="B3681" i="1"/>
  <c r="A3681" i="1"/>
  <c r="R3680" i="1"/>
  <c r="J3680" i="1"/>
  <c r="I3680" i="1"/>
  <c r="G3680" i="1"/>
  <c r="F3680" i="1"/>
  <c r="E3680" i="1"/>
  <c r="D3680" i="1"/>
  <c r="C3680" i="1"/>
  <c r="B3680" i="1"/>
  <c r="A3680" i="1"/>
  <c r="S3679" i="1"/>
  <c r="O3679" i="1"/>
  <c r="K3679" i="1"/>
  <c r="J3679" i="1"/>
  <c r="I3679" i="1"/>
  <c r="H3679" i="1"/>
  <c r="G3679" i="1"/>
  <c r="F3679" i="1"/>
  <c r="E3679" i="1"/>
  <c r="D3679" i="1"/>
  <c r="C3679" i="1"/>
  <c r="B3679" i="1"/>
  <c r="A3679" i="1"/>
  <c r="R3678" i="1"/>
  <c r="J3678" i="1"/>
  <c r="I3678" i="1"/>
  <c r="G3678" i="1"/>
  <c r="F3678" i="1"/>
  <c r="E3678" i="1"/>
  <c r="D3678" i="1"/>
  <c r="C3678" i="1"/>
  <c r="B3678" i="1"/>
  <c r="A3678" i="1"/>
  <c r="S3677" i="1"/>
  <c r="O3677" i="1"/>
  <c r="K3677" i="1"/>
  <c r="J3677" i="1"/>
  <c r="I3677" i="1"/>
  <c r="H3677" i="1"/>
  <c r="G3677" i="1"/>
  <c r="F3677" i="1"/>
  <c r="E3677" i="1"/>
  <c r="D3677" i="1"/>
  <c r="C3677" i="1"/>
  <c r="B3677" i="1"/>
  <c r="A3677" i="1"/>
  <c r="R3676" i="1"/>
  <c r="J3676" i="1"/>
  <c r="I3676" i="1"/>
  <c r="G3676" i="1"/>
  <c r="F3676" i="1"/>
  <c r="E3676" i="1"/>
  <c r="D3676" i="1"/>
  <c r="C3676" i="1"/>
  <c r="B3676" i="1"/>
  <c r="A3676" i="1"/>
  <c r="S3675" i="1"/>
  <c r="O3675" i="1"/>
  <c r="K3675" i="1"/>
  <c r="J3675" i="1"/>
  <c r="I3675" i="1"/>
  <c r="H3675" i="1"/>
  <c r="G3675" i="1"/>
  <c r="F3675" i="1"/>
  <c r="E3675" i="1"/>
  <c r="D3675" i="1"/>
  <c r="C3675" i="1"/>
  <c r="B3675" i="1"/>
  <c r="A3675" i="1"/>
  <c r="R3674" i="1"/>
  <c r="J3674" i="1"/>
  <c r="I3674" i="1"/>
  <c r="G3674" i="1"/>
  <c r="F3674" i="1"/>
  <c r="E3674" i="1"/>
  <c r="D3674" i="1"/>
  <c r="C3674" i="1"/>
  <c r="B3674" i="1"/>
  <c r="A3674" i="1"/>
  <c r="S3673" i="1"/>
  <c r="O3673" i="1"/>
  <c r="K3673" i="1"/>
  <c r="J3673" i="1"/>
  <c r="I3673" i="1"/>
  <c r="H3673" i="1"/>
  <c r="G3673" i="1"/>
  <c r="F3673" i="1"/>
  <c r="E3673" i="1"/>
  <c r="D3673" i="1"/>
  <c r="C3673" i="1"/>
  <c r="B3673" i="1"/>
  <c r="A3673" i="1"/>
  <c r="R3672" i="1"/>
  <c r="J3672" i="1"/>
  <c r="I3672" i="1"/>
  <c r="G3672" i="1"/>
  <c r="F3672" i="1"/>
  <c r="E3672" i="1"/>
  <c r="D3672" i="1"/>
  <c r="C3672" i="1"/>
  <c r="B3672" i="1"/>
  <c r="A3672" i="1"/>
  <c r="R3671" i="1"/>
  <c r="J3671" i="1"/>
  <c r="I3671" i="1"/>
  <c r="G3671" i="1"/>
  <c r="F3671" i="1"/>
  <c r="E3671" i="1"/>
  <c r="D3671" i="1"/>
  <c r="C3671" i="1"/>
  <c r="B3671" i="1"/>
  <c r="A3671" i="1"/>
  <c r="S3670" i="1"/>
  <c r="O3670" i="1"/>
  <c r="K3670" i="1"/>
  <c r="J3670" i="1"/>
  <c r="I3670" i="1"/>
  <c r="H3670" i="1"/>
  <c r="G3670" i="1"/>
  <c r="F3670" i="1"/>
  <c r="E3670" i="1"/>
  <c r="D3670" i="1"/>
  <c r="C3670" i="1"/>
  <c r="B3670" i="1"/>
  <c r="A3670" i="1"/>
  <c r="R3669" i="1"/>
  <c r="J3669" i="1"/>
  <c r="I3669" i="1"/>
  <c r="G3669" i="1"/>
  <c r="F3669" i="1"/>
  <c r="E3669" i="1"/>
  <c r="D3669" i="1"/>
  <c r="C3669" i="1"/>
  <c r="B3669" i="1"/>
  <c r="A3669" i="1"/>
  <c r="S3668" i="1"/>
  <c r="O3668" i="1"/>
  <c r="K3668" i="1"/>
  <c r="J3668" i="1"/>
  <c r="I3668" i="1"/>
  <c r="H3668" i="1"/>
  <c r="G3668" i="1"/>
  <c r="F3668" i="1"/>
  <c r="E3668" i="1"/>
  <c r="D3668" i="1"/>
  <c r="C3668" i="1"/>
  <c r="B3668" i="1"/>
  <c r="A3668" i="1"/>
  <c r="R3667" i="1"/>
  <c r="J3667" i="1"/>
  <c r="I3667" i="1"/>
  <c r="G3667" i="1"/>
  <c r="F3667" i="1"/>
  <c r="E3667" i="1"/>
  <c r="D3667" i="1"/>
  <c r="C3667" i="1"/>
  <c r="B3667" i="1"/>
  <c r="A3667" i="1"/>
  <c r="R3666" i="1"/>
  <c r="J3666" i="1"/>
  <c r="I3666" i="1"/>
  <c r="G3666" i="1"/>
  <c r="F3666" i="1"/>
  <c r="E3666" i="1"/>
  <c r="D3666" i="1"/>
  <c r="C3666" i="1"/>
  <c r="B3666" i="1"/>
  <c r="A3666" i="1"/>
  <c r="S3665" i="1"/>
  <c r="O3665" i="1"/>
  <c r="K3665" i="1"/>
  <c r="J3665" i="1"/>
  <c r="I3665" i="1"/>
  <c r="H3665" i="1"/>
  <c r="G3665" i="1"/>
  <c r="F3665" i="1"/>
  <c r="E3665" i="1"/>
  <c r="D3665" i="1"/>
  <c r="C3665" i="1"/>
  <c r="B3665" i="1"/>
  <c r="A3665" i="1"/>
  <c r="R3664" i="1"/>
  <c r="J3664" i="1"/>
  <c r="I3664" i="1"/>
  <c r="G3664" i="1"/>
  <c r="F3664" i="1"/>
  <c r="E3664" i="1"/>
  <c r="D3664" i="1"/>
  <c r="C3664" i="1"/>
  <c r="B3664" i="1"/>
  <c r="A3664" i="1"/>
  <c r="S3663" i="1"/>
  <c r="O3663" i="1"/>
  <c r="K3663" i="1"/>
  <c r="J3663" i="1"/>
  <c r="I3663" i="1"/>
  <c r="H3663" i="1"/>
  <c r="G3663" i="1"/>
  <c r="F3663" i="1"/>
  <c r="E3663" i="1"/>
  <c r="D3663" i="1"/>
  <c r="C3663" i="1"/>
  <c r="B3663" i="1"/>
  <c r="A3663" i="1"/>
  <c r="R3662" i="1"/>
  <c r="J3662" i="1"/>
  <c r="I3662" i="1"/>
  <c r="G3662" i="1"/>
  <c r="F3662" i="1"/>
  <c r="E3662" i="1"/>
  <c r="D3662" i="1"/>
  <c r="C3662" i="1"/>
  <c r="B3662" i="1"/>
  <c r="A3662" i="1"/>
  <c r="S3661" i="1"/>
  <c r="O3661" i="1"/>
  <c r="K3661" i="1"/>
  <c r="J3661" i="1"/>
  <c r="I3661" i="1"/>
  <c r="H3661" i="1"/>
  <c r="G3661" i="1"/>
  <c r="F3661" i="1"/>
  <c r="E3661" i="1"/>
  <c r="D3661" i="1"/>
  <c r="C3661" i="1"/>
  <c r="B3661" i="1"/>
  <c r="A3661" i="1"/>
  <c r="R3660" i="1"/>
  <c r="J3660" i="1"/>
  <c r="I3660" i="1"/>
  <c r="G3660" i="1"/>
  <c r="F3660" i="1"/>
  <c r="E3660" i="1"/>
  <c r="D3660" i="1"/>
  <c r="C3660" i="1"/>
  <c r="B3660" i="1"/>
  <c r="A3660" i="1"/>
  <c r="R3659" i="1"/>
  <c r="J3659" i="1"/>
  <c r="I3659" i="1"/>
  <c r="G3659" i="1"/>
  <c r="F3659" i="1"/>
  <c r="E3659" i="1"/>
  <c r="D3659" i="1"/>
  <c r="C3659" i="1"/>
  <c r="B3659" i="1"/>
  <c r="A3659" i="1"/>
  <c r="R3658" i="1"/>
  <c r="J3658" i="1"/>
  <c r="I3658" i="1"/>
  <c r="G3658" i="1"/>
  <c r="F3658" i="1"/>
  <c r="E3658" i="1"/>
  <c r="D3658" i="1"/>
  <c r="C3658" i="1"/>
  <c r="B3658" i="1"/>
  <c r="A3658" i="1"/>
  <c r="R3657" i="1"/>
  <c r="J3657" i="1"/>
  <c r="I3657" i="1"/>
  <c r="G3657" i="1"/>
  <c r="F3657" i="1"/>
  <c r="E3657" i="1"/>
  <c r="D3657" i="1"/>
  <c r="C3657" i="1"/>
  <c r="B3657" i="1"/>
  <c r="A3657" i="1"/>
  <c r="S3656" i="1"/>
  <c r="O3656" i="1"/>
  <c r="K3656" i="1"/>
  <c r="J3656" i="1"/>
  <c r="I3656" i="1"/>
  <c r="H3656" i="1"/>
  <c r="G3656" i="1"/>
  <c r="F3656" i="1"/>
  <c r="E3656" i="1"/>
  <c r="D3656" i="1"/>
  <c r="C3656" i="1"/>
  <c r="B3656" i="1"/>
  <c r="A3656" i="1"/>
  <c r="R3655" i="1"/>
  <c r="J3655" i="1"/>
  <c r="I3655" i="1"/>
  <c r="G3655" i="1"/>
  <c r="F3655" i="1"/>
  <c r="E3655" i="1"/>
  <c r="D3655" i="1"/>
  <c r="C3655" i="1"/>
  <c r="B3655" i="1"/>
  <c r="A3655" i="1"/>
  <c r="S3654" i="1"/>
  <c r="O3654" i="1"/>
  <c r="K3654" i="1"/>
  <c r="J3654" i="1"/>
  <c r="I3654" i="1"/>
  <c r="H3654" i="1"/>
  <c r="G3654" i="1"/>
  <c r="F3654" i="1"/>
  <c r="E3654" i="1"/>
  <c r="D3654" i="1"/>
  <c r="C3654" i="1"/>
  <c r="B3654" i="1"/>
  <c r="A3654" i="1"/>
  <c r="R3653" i="1"/>
  <c r="J3653" i="1"/>
  <c r="I3653" i="1"/>
  <c r="G3653" i="1"/>
  <c r="F3653" i="1"/>
  <c r="E3653" i="1"/>
  <c r="D3653" i="1"/>
  <c r="C3653" i="1"/>
  <c r="B3653" i="1"/>
  <c r="A3653" i="1"/>
  <c r="S3652" i="1"/>
  <c r="O3652" i="1"/>
  <c r="K3652" i="1"/>
  <c r="J3652" i="1"/>
  <c r="I3652" i="1"/>
  <c r="H3652" i="1"/>
  <c r="G3652" i="1"/>
  <c r="F3652" i="1"/>
  <c r="E3652" i="1"/>
  <c r="D3652" i="1"/>
  <c r="C3652" i="1"/>
  <c r="B3652" i="1"/>
  <c r="A3652" i="1"/>
  <c r="R3651" i="1"/>
  <c r="J3651" i="1"/>
  <c r="I3651" i="1"/>
  <c r="G3651" i="1"/>
  <c r="F3651" i="1"/>
  <c r="E3651" i="1"/>
  <c r="D3651" i="1"/>
  <c r="C3651" i="1"/>
  <c r="B3651" i="1"/>
  <c r="A3651" i="1"/>
  <c r="S3650" i="1"/>
  <c r="O3650" i="1"/>
  <c r="K3650" i="1"/>
  <c r="J3650" i="1"/>
  <c r="I3650" i="1"/>
  <c r="H3650" i="1"/>
  <c r="G3650" i="1"/>
  <c r="F3650" i="1"/>
  <c r="E3650" i="1"/>
  <c r="D3650" i="1"/>
  <c r="C3650" i="1"/>
  <c r="B3650" i="1"/>
  <c r="A3650" i="1"/>
  <c r="R3649" i="1"/>
  <c r="J3649" i="1"/>
  <c r="I3649" i="1"/>
  <c r="G3649" i="1"/>
  <c r="F3649" i="1"/>
  <c r="E3649" i="1"/>
  <c r="D3649" i="1"/>
  <c r="C3649" i="1"/>
  <c r="B3649" i="1"/>
  <c r="A3649" i="1"/>
  <c r="S3648" i="1"/>
  <c r="O3648" i="1"/>
  <c r="K3648" i="1"/>
  <c r="J3648" i="1"/>
  <c r="I3648" i="1"/>
  <c r="H3648" i="1"/>
  <c r="G3648" i="1"/>
  <c r="F3648" i="1"/>
  <c r="E3648" i="1"/>
  <c r="D3648" i="1"/>
  <c r="C3648" i="1"/>
  <c r="B3648" i="1"/>
  <c r="A3648" i="1"/>
  <c r="R3647" i="1"/>
  <c r="J3647" i="1"/>
  <c r="I3647" i="1"/>
  <c r="G3647" i="1"/>
  <c r="F3647" i="1"/>
  <c r="E3647" i="1"/>
  <c r="D3647" i="1"/>
  <c r="C3647" i="1"/>
  <c r="B3647" i="1"/>
  <c r="A3647" i="1"/>
  <c r="R3646" i="1"/>
  <c r="J3646" i="1"/>
  <c r="I3646" i="1"/>
  <c r="G3646" i="1"/>
  <c r="F3646" i="1"/>
  <c r="E3646" i="1"/>
  <c r="D3646" i="1"/>
  <c r="C3646" i="1"/>
  <c r="B3646" i="1"/>
  <c r="A3646" i="1"/>
  <c r="R3645" i="1"/>
  <c r="J3645" i="1"/>
  <c r="I3645" i="1"/>
  <c r="G3645" i="1"/>
  <c r="F3645" i="1"/>
  <c r="E3645" i="1"/>
  <c r="D3645" i="1"/>
  <c r="C3645" i="1"/>
  <c r="B3645" i="1"/>
  <c r="A3645" i="1"/>
  <c r="S3644" i="1"/>
  <c r="O3644" i="1"/>
  <c r="K3644" i="1"/>
  <c r="J3644" i="1"/>
  <c r="I3644" i="1"/>
  <c r="H3644" i="1"/>
  <c r="G3644" i="1"/>
  <c r="F3644" i="1"/>
  <c r="E3644" i="1"/>
  <c r="D3644" i="1"/>
  <c r="C3644" i="1"/>
  <c r="B3644" i="1"/>
  <c r="A3644" i="1"/>
  <c r="R3643" i="1"/>
  <c r="J3643" i="1"/>
  <c r="I3643" i="1"/>
  <c r="G3643" i="1"/>
  <c r="F3643" i="1"/>
  <c r="E3643" i="1"/>
  <c r="D3643" i="1"/>
  <c r="C3643" i="1"/>
  <c r="B3643" i="1"/>
  <c r="A3643" i="1"/>
  <c r="S3642" i="1"/>
  <c r="O3642" i="1"/>
  <c r="K3642" i="1"/>
  <c r="J3642" i="1"/>
  <c r="I3642" i="1"/>
  <c r="H3642" i="1"/>
  <c r="G3642" i="1"/>
  <c r="F3642" i="1"/>
  <c r="E3642" i="1"/>
  <c r="D3642" i="1"/>
  <c r="C3642" i="1"/>
  <c r="B3642" i="1"/>
  <c r="A3642" i="1"/>
  <c r="R3641" i="1"/>
  <c r="J3641" i="1"/>
  <c r="I3641" i="1"/>
  <c r="G3641" i="1"/>
  <c r="F3641" i="1"/>
  <c r="E3641" i="1"/>
  <c r="D3641" i="1"/>
  <c r="C3641" i="1"/>
  <c r="B3641" i="1"/>
  <c r="A3641" i="1"/>
  <c r="S3640" i="1"/>
  <c r="O3640" i="1"/>
  <c r="K3640" i="1"/>
  <c r="J3640" i="1"/>
  <c r="I3640" i="1"/>
  <c r="H3640" i="1"/>
  <c r="G3640" i="1"/>
  <c r="F3640" i="1"/>
  <c r="E3640" i="1"/>
  <c r="D3640" i="1"/>
  <c r="C3640" i="1"/>
  <c r="B3640" i="1"/>
  <c r="A3640" i="1"/>
  <c r="R3639" i="1"/>
  <c r="J3639" i="1"/>
  <c r="I3639" i="1"/>
  <c r="G3639" i="1"/>
  <c r="F3639" i="1"/>
  <c r="E3639" i="1"/>
  <c r="D3639" i="1"/>
  <c r="C3639" i="1"/>
  <c r="B3639" i="1"/>
  <c r="A3639" i="1"/>
  <c r="R3638" i="1"/>
  <c r="J3638" i="1"/>
  <c r="I3638" i="1"/>
  <c r="G3638" i="1"/>
  <c r="F3638" i="1"/>
  <c r="E3638" i="1"/>
  <c r="D3638" i="1"/>
  <c r="C3638" i="1"/>
  <c r="B3638" i="1"/>
  <c r="A3638" i="1"/>
  <c r="S3637" i="1"/>
  <c r="O3637" i="1"/>
  <c r="K3637" i="1"/>
  <c r="J3637" i="1"/>
  <c r="I3637" i="1"/>
  <c r="H3637" i="1"/>
  <c r="G3637" i="1"/>
  <c r="F3637" i="1"/>
  <c r="E3637" i="1"/>
  <c r="D3637" i="1"/>
  <c r="C3637" i="1"/>
  <c r="B3637" i="1"/>
  <c r="A3637" i="1"/>
  <c r="R3636" i="1"/>
  <c r="J3636" i="1"/>
  <c r="I3636" i="1"/>
  <c r="G3636" i="1"/>
  <c r="F3636" i="1"/>
  <c r="E3636" i="1"/>
  <c r="D3636" i="1"/>
  <c r="C3636" i="1"/>
  <c r="B3636" i="1"/>
  <c r="A3636" i="1"/>
  <c r="S3635" i="1"/>
  <c r="O3635" i="1"/>
  <c r="K3635" i="1"/>
  <c r="J3635" i="1"/>
  <c r="I3635" i="1"/>
  <c r="H3635" i="1"/>
  <c r="G3635" i="1"/>
  <c r="F3635" i="1"/>
  <c r="E3635" i="1"/>
  <c r="D3635" i="1"/>
  <c r="C3635" i="1"/>
  <c r="B3635" i="1"/>
  <c r="A3635" i="1"/>
  <c r="R3634" i="1"/>
  <c r="J3634" i="1"/>
  <c r="I3634" i="1"/>
  <c r="G3634" i="1"/>
  <c r="F3634" i="1"/>
  <c r="E3634" i="1"/>
  <c r="D3634" i="1"/>
  <c r="C3634" i="1"/>
  <c r="B3634" i="1"/>
  <c r="A3634" i="1"/>
  <c r="S3633" i="1"/>
  <c r="O3633" i="1"/>
  <c r="K3633" i="1"/>
  <c r="J3633" i="1"/>
  <c r="I3633" i="1"/>
  <c r="H3633" i="1"/>
  <c r="G3633" i="1"/>
  <c r="F3633" i="1"/>
  <c r="E3633" i="1"/>
  <c r="D3633" i="1"/>
  <c r="C3633" i="1"/>
  <c r="B3633" i="1"/>
  <c r="A3633" i="1"/>
  <c r="R3632" i="1"/>
  <c r="J3632" i="1"/>
  <c r="I3632" i="1"/>
  <c r="G3632" i="1"/>
  <c r="F3632" i="1"/>
  <c r="E3632" i="1"/>
  <c r="D3632" i="1"/>
  <c r="C3632" i="1"/>
  <c r="B3632" i="1"/>
  <c r="A3632" i="1"/>
  <c r="S3631" i="1"/>
  <c r="O3631" i="1"/>
  <c r="K3631" i="1"/>
  <c r="J3631" i="1"/>
  <c r="I3631" i="1"/>
  <c r="H3631" i="1"/>
  <c r="G3631" i="1"/>
  <c r="F3631" i="1"/>
  <c r="E3631" i="1"/>
  <c r="D3631" i="1"/>
  <c r="C3631" i="1"/>
  <c r="B3631" i="1"/>
  <c r="A3631" i="1"/>
  <c r="R3630" i="1"/>
  <c r="J3630" i="1"/>
  <c r="I3630" i="1"/>
  <c r="G3630" i="1"/>
  <c r="F3630" i="1"/>
  <c r="E3630" i="1"/>
  <c r="D3630" i="1"/>
  <c r="C3630" i="1"/>
  <c r="B3630" i="1"/>
  <c r="A3630" i="1"/>
  <c r="S3629" i="1"/>
  <c r="O3629" i="1"/>
  <c r="K3629" i="1"/>
  <c r="J3629" i="1"/>
  <c r="I3629" i="1"/>
  <c r="H3629" i="1"/>
  <c r="G3629" i="1"/>
  <c r="F3629" i="1"/>
  <c r="E3629" i="1"/>
  <c r="D3629" i="1"/>
  <c r="C3629" i="1"/>
  <c r="B3629" i="1"/>
  <c r="A3629" i="1"/>
  <c r="R3628" i="1"/>
  <c r="J3628" i="1"/>
  <c r="I3628" i="1"/>
  <c r="G3628" i="1"/>
  <c r="F3628" i="1"/>
  <c r="E3628" i="1"/>
  <c r="D3628" i="1"/>
  <c r="C3628" i="1"/>
  <c r="B3628" i="1"/>
  <c r="A3628" i="1"/>
  <c r="S3627" i="1"/>
  <c r="O3627" i="1"/>
  <c r="K3627" i="1"/>
  <c r="J3627" i="1"/>
  <c r="I3627" i="1"/>
  <c r="H3627" i="1"/>
  <c r="G3627" i="1"/>
  <c r="F3627" i="1"/>
  <c r="E3627" i="1"/>
  <c r="D3627" i="1"/>
  <c r="C3627" i="1"/>
  <c r="B3627" i="1"/>
  <c r="A3627" i="1"/>
  <c r="R3626" i="1"/>
  <c r="J3626" i="1"/>
  <c r="I3626" i="1"/>
  <c r="G3626" i="1"/>
  <c r="F3626" i="1"/>
  <c r="E3626" i="1"/>
  <c r="D3626" i="1"/>
  <c r="C3626" i="1"/>
  <c r="B3626" i="1"/>
  <c r="A3626" i="1"/>
  <c r="R3625" i="1"/>
  <c r="J3625" i="1"/>
  <c r="I3625" i="1"/>
  <c r="G3625" i="1"/>
  <c r="F3625" i="1"/>
  <c r="E3625" i="1"/>
  <c r="D3625" i="1"/>
  <c r="C3625" i="1"/>
  <c r="B3625" i="1"/>
  <c r="A3625" i="1"/>
  <c r="R3624" i="1"/>
  <c r="J3624" i="1"/>
  <c r="I3624" i="1"/>
  <c r="G3624" i="1"/>
  <c r="F3624" i="1"/>
  <c r="E3624" i="1"/>
  <c r="D3624" i="1"/>
  <c r="C3624" i="1"/>
  <c r="B3624" i="1"/>
  <c r="A3624" i="1"/>
  <c r="S3623" i="1"/>
  <c r="O3623" i="1"/>
  <c r="K3623" i="1"/>
  <c r="J3623" i="1"/>
  <c r="I3623" i="1"/>
  <c r="H3623" i="1"/>
  <c r="G3623" i="1"/>
  <c r="F3623" i="1"/>
  <c r="E3623" i="1"/>
  <c r="D3623" i="1"/>
  <c r="C3623" i="1"/>
  <c r="B3623" i="1"/>
  <c r="A3623" i="1"/>
  <c r="R3622" i="1"/>
  <c r="J3622" i="1"/>
  <c r="I3622" i="1"/>
  <c r="G3622" i="1"/>
  <c r="F3622" i="1"/>
  <c r="E3622" i="1"/>
  <c r="D3622" i="1"/>
  <c r="C3622" i="1"/>
  <c r="B3622" i="1"/>
  <c r="A3622" i="1"/>
  <c r="S3621" i="1"/>
  <c r="O3621" i="1"/>
  <c r="K3621" i="1"/>
  <c r="J3621" i="1"/>
  <c r="I3621" i="1"/>
  <c r="H3621" i="1"/>
  <c r="G3621" i="1"/>
  <c r="F3621" i="1"/>
  <c r="E3621" i="1"/>
  <c r="D3621" i="1"/>
  <c r="C3621" i="1"/>
  <c r="B3621" i="1"/>
  <c r="A3621" i="1"/>
  <c r="R3620" i="1"/>
  <c r="J3620" i="1"/>
  <c r="I3620" i="1"/>
  <c r="G3620" i="1"/>
  <c r="F3620" i="1"/>
  <c r="E3620" i="1"/>
  <c r="D3620" i="1"/>
  <c r="C3620" i="1"/>
  <c r="B3620" i="1"/>
  <c r="A3620" i="1"/>
  <c r="S3619" i="1"/>
  <c r="O3619" i="1"/>
  <c r="K3619" i="1"/>
  <c r="J3619" i="1"/>
  <c r="I3619" i="1"/>
  <c r="H3619" i="1"/>
  <c r="G3619" i="1"/>
  <c r="F3619" i="1"/>
  <c r="E3619" i="1"/>
  <c r="D3619" i="1"/>
  <c r="C3619" i="1"/>
  <c r="B3619" i="1"/>
  <c r="A3619" i="1"/>
  <c r="R3618" i="1"/>
  <c r="J3618" i="1"/>
  <c r="I3618" i="1"/>
  <c r="G3618" i="1"/>
  <c r="F3618" i="1"/>
  <c r="E3618" i="1"/>
  <c r="D3618" i="1"/>
  <c r="C3618" i="1"/>
  <c r="B3618" i="1"/>
  <c r="A3618" i="1"/>
  <c r="S3617" i="1"/>
  <c r="O3617" i="1"/>
  <c r="K3617" i="1"/>
  <c r="J3617" i="1"/>
  <c r="I3617" i="1"/>
  <c r="H3617" i="1"/>
  <c r="G3617" i="1"/>
  <c r="F3617" i="1"/>
  <c r="E3617" i="1"/>
  <c r="D3617" i="1"/>
  <c r="C3617" i="1"/>
  <c r="B3617" i="1"/>
  <c r="A3617" i="1"/>
  <c r="R3616" i="1"/>
  <c r="J3616" i="1"/>
  <c r="I3616" i="1"/>
  <c r="G3616" i="1"/>
  <c r="F3616" i="1"/>
  <c r="E3616" i="1"/>
  <c r="D3616" i="1"/>
  <c r="C3616" i="1"/>
  <c r="B3616" i="1"/>
  <c r="A3616" i="1"/>
  <c r="S3615" i="1"/>
  <c r="O3615" i="1"/>
  <c r="K3615" i="1"/>
  <c r="J3615" i="1"/>
  <c r="I3615" i="1"/>
  <c r="H3615" i="1"/>
  <c r="G3615" i="1"/>
  <c r="F3615" i="1"/>
  <c r="E3615" i="1"/>
  <c r="D3615" i="1"/>
  <c r="C3615" i="1"/>
  <c r="B3615" i="1"/>
  <c r="A3615" i="1"/>
  <c r="R3614" i="1"/>
  <c r="J3614" i="1"/>
  <c r="I3614" i="1"/>
  <c r="G3614" i="1"/>
  <c r="F3614" i="1"/>
  <c r="E3614" i="1"/>
  <c r="D3614" i="1"/>
  <c r="C3614" i="1"/>
  <c r="B3614" i="1"/>
  <c r="A3614" i="1"/>
  <c r="S3613" i="1"/>
  <c r="O3613" i="1"/>
  <c r="K3613" i="1"/>
  <c r="J3613" i="1"/>
  <c r="I3613" i="1"/>
  <c r="H3613" i="1"/>
  <c r="G3613" i="1"/>
  <c r="F3613" i="1"/>
  <c r="E3613" i="1"/>
  <c r="D3613" i="1"/>
  <c r="C3613" i="1"/>
  <c r="B3613" i="1"/>
  <c r="A3613" i="1"/>
  <c r="R3612" i="1"/>
  <c r="J3612" i="1"/>
  <c r="I3612" i="1"/>
  <c r="G3612" i="1"/>
  <c r="F3612" i="1"/>
  <c r="E3612" i="1"/>
  <c r="D3612" i="1"/>
  <c r="C3612" i="1"/>
  <c r="B3612" i="1"/>
  <c r="A3612" i="1"/>
  <c r="S3611" i="1"/>
  <c r="O3611" i="1"/>
  <c r="K3611" i="1"/>
  <c r="J3611" i="1"/>
  <c r="I3611" i="1"/>
  <c r="H3611" i="1"/>
  <c r="G3611" i="1"/>
  <c r="F3611" i="1"/>
  <c r="E3611" i="1"/>
  <c r="D3611" i="1"/>
  <c r="C3611" i="1"/>
  <c r="B3611" i="1"/>
  <c r="A3611" i="1"/>
  <c r="R3610" i="1"/>
  <c r="J3610" i="1"/>
  <c r="I3610" i="1"/>
  <c r="G3610" i="1"/>
  <c r="F3610" i="1"/>
  <c r="E3610" i="1"/>
  <c r="D3610" i="1"/>
  <c r="C3610" i="1"/>
  <c r="B3610" i="1"/>
  <c r="A3610" i="1"/>
  <c r="S3609" i="1"/>
  <c r="O3609" i="1"/>
  <c r="K3609" i="1"/>
  <c r="J3609" i="1"/>
  <c r="I3609" i="1"/>
  <c r="H3609" i="1"/>
  <c r="G3609" i="1"/>
  <c r="F3609" i="1"/>
  <c r="E3609" i="1"/>
  <c r="D3609" i="1"/>
  <c r="C3609" i="1"/>
  <c r="B3609" i="1"/>
  <c r="A3609" i="1"/>
  <c r="R3608" i="1"/>
  <c r="J3608" i="1"/>
  <c r="I3608" i="1"/>
  <c r="G3608" i="1"/>
  <c r="F3608" i="1"/>
  <c r="E3608" i="1"/>
  <c r="D3608" i="1"/>
  <c r="C3608" i="1"/>
  <c r="B3608" i="1"/>
  <c r="A3608" i="1"/>
  <c r="S3607" i="1"/>
  <c r="O3607" i="1"/>
  <c r="K3607" i="1"/>
  <c r="J3607" i="1"/>
  <c r="I3607" i="1"/>
  <c r="H3607" i="1"/>
  <c r="G3607" i="1"/>
  <c r="F3607" i="1"/>
  <c r="E3607" i="1"/>
  <c r="D3607" i="1"/>
  <c r="C3607" i="1"/>
  <c r="B3607" i="1"/>
  <c r="A3607" i="1"/>
  <c r="R3606" i="1"/>
  <c r="J3606" i="1"/>
  <c r="I3606" i="1"/>
  <c r="G3606" i="1"/>
  <c r="F3606" i="1"/>
  <c r="E3606" i="1"/>
  <c r="D3606" i="1"/>
  <c r="C3606" i="1"/>
  <c r="B3606" i="1"/>
  <c r="A3606" i="1"/>
  <c r="S3605" i="1"/>
  <c r="O3605" i="1"/>
  <c r="K3605" i="1"/>
  <c r="J3605" i="1"/>
  <c r="I3605" i="1"/>
  <c r="H3605" i="1"/>
  <c r="G3605" i="1"/>
  <c r="F3605" i="1"/>
  <c r="E3605" i="1"/>
  <c r="D3605" i="1"/>
  <c r="C3605" i="1"/>
  <c r="B3605" i="1"/>
  <c r="A3605" i="1"/>
  <c r="R3604" i="1"/>
  <c r="J3604" i="1"/>
  <c r="I3604" i="1"/>
  <c r="G3604" i="1"/>
  <c r="F3604" i="1"/>
  <c r="E3604" i="1"/>
  <c r="D3604" i="1"/>
  <c r="C3604" i="1"/>
  <c r="B3604" i="1"/>
  <c r="A3604" i="1"/>
  <c r="R3603" i="1"/>
  <c r="J3603" i="1"/>
  <c r="I3603" i="1"/>
  <c r="G3603" i="1"/>
  <c r="F3603" i="1"/>
  <c r="E3603" i="1"/>
  <c r="D3603" i="1"/>
  <c r="C3603" i="1"/>
  <c r="B3603" i="1"/>
  <c r="A3603" i="1"/>
  <c r="S3602" i="1"/>
  <c r="O3602" i="1"/>
  <c r="K3602" i="1"/>
  <c r="J3602" i="1"/>
  <c r="I3602" i="1"/>
  <c r="H3602" i="1"/>
  <c r="G3602" i="1"/>
  <c r="F3602" i="1"/>
  <c r="E3602" i="1"/>
  <c r="D3602" i="1"/>
  <c r="C3602" i="1"/>
  <c r="B3602" i="1"/>
  <c r="A3602" i="1"/>
  <c r="R3601" i="1"/>
  <c r="J3601" i="1"/>
  <c r="I3601" i="1"/>
  <c r="G3601" i="1"/>
  <c r="F3601" i="1"/>
  <c r="E3601" i="1"/>
  <c r="D3601" i="1"/>
  <c r="C3601" i="1"/>
  <c r="B3601" i="1"/>
  <c r="A3601" i="1"/>
  <c r="R3600" i="1"/>
  <c r="J3600" i="1"/>
  <c r="I3600" i="1"/>
  <c r="G3600" i="1"/>
  <c r="F3600" i="1"/>
  <c r="E3600" i="1"/>
  <c r="D3600" i="1"/>
  <c r="C3600" i="1"/>
  <c r="B3600" i="1"/>
  <c r="A3600" i="1"/>
  <c r="S3599" i="1"/>
  <c r="O3599" i="1"/>
  <c r="K3599" i="1"/>
  <c r="J3599" i="1"/>
  <c r="I3599" i="1"/>
  <c r="H3599" i="1"/>
  <c r="G3599" i="1"/>
  <c r="F3599" i="1"/>
  <c r="E3599" i="1"/>
  <c r="D3599" i="1"/>
  <c r="C3599" i="1"/>
  <c r="B3599" i="1"/>
  <c r="A3599" i="1"/>
  <c r="R3598" i="1"/>
  <c r="J3598" i="1"/>
  <c r="I3598" i="1"/>
  <c r="G3598" i="1"/>
  <c r="F3598" i="1"/>
  <c r="E3598" i="1"/>
  <c r="D3598" i="1"/>
  <c r="C3598" i="1"/>
  <c r="B3598" i="1"/>
  <c r="A3598" i="1"/>
  <c r="S3597" i="1"/>
  <c r="O3597" i="1"/>
  <c r="K3597" i="1"/>
  <c r="J3597" i="1"/>
  <c r="I3597" i="1"/>
  <c r="H3597" i="1"/>
  <c r="G3597" i="1"/>
  <c r="F3597" i="1"/>
  <c r="E3597" i="1"/>
  <c r="D3597" i="1"/>
  <c r="C3597" i="1"/>
  <c r="B3597" i="1"/>
  <c r="A3597" i="1"/>
  <c r="R3596" i="1"/>
  <c r="J3596" i="1"/>
  <c r="I3596" i="1"/>
  <c r="G3596" i="1"/>
  <c r="F3596" i="1"/>
  <c r="E3596" i="1"/>
  <c r="D3596" i="1"/>
  <c r="C3596" i="1"/>
  <c r="B3596" i="1"/>
  <c r="A3596" i="1"/>
  <c r="S3595" i="1"/>
  <c r="O3595" i="1"/>
  <c r="K3595" i="1"/>
  <c r="J3595" i="1"/>
  <c r="I3595" i="1"/>
  <c r="H3595" i="1"/>
  <c r="G3595" i="1"/>
  <c r="F3595" i="1"/>
  <c r="E3595" i="1"/>
  <c r="D3595" i="1"/>
  <c r="C3595" i="1"/>
  <c r="B3595" i="1"/>
  <c r="A3595" i="1"/>
  <c r="R3594" i="1"/>
  <c r="J3594" i="1"/>
  <c r="I3594" i="1"/>
  <c r="G3594" i="1"/>
  <c r="F3594" i="1"/>
  <c r="E3594" i="1"/>
  <c r="D3594" i="1"/>
  <c r="C3594" i="1"/>
  <c r="B3594" i="1"/>
  <c r="A3594" i="1"/>
  <c r="R3593" i="1"/>
  <c r="J3593" i="1"/>
  <c r="I3593" i="1"/>
  <c r="G3593" i="1"/>
  <c r="F3593" i="1"/>
  <c r="E3593" i="1"/>
  <c r="D3593" i="1"/>
  <c r="C3593" i="1"/>
  <c r="B3593" i="1"/>
  <c r="A3593" i="1"/>
  <c r="S3592" i="1"/>
  <c r="O3592" i="1"/>
  <c r="K3592" i="1"/>
  <c r="J3592" i="1"/>
  <c r="I3592" i="1"/>
  <c r="H3592" i="1"/>
  <c r="G3592" i="1"/>
  <c r="F3592" i="1"/>
  <c r="E3592" i="1"/>
  <c r="D3592" i="1"/>
  <c r="C3592" i="1"/>
  <c r="B3592" i="1"/>
  <c r="A3592" i="1"/>
  <c r="R3591" i="1"/>
  <c r="J3591" i="1"/>
  <c r="I3591" i="1"/>
  <c r="G3591" i="1"/>
  <c r="F3591" i="1"/>
  <c r="E3591" i="1"/>
  <c r="D3591" i="1"/>
  <c r="C3591" i="1"/>
  <c r="B3591" i="1"/>
  <c r="A3591" i="1"/>
  <c r="S3590" i="1"/>
  <c r="O3590" i="1"/>
  <c r="K3590" i="1"/>
  <c r="J3590" i="1"/>
  <c r="I3590" i="1"/>
  <c r="H3590" i="1"/>
  <c r="G3590" i="1"/>
  <c r="F3590" i="1"/>
  <c r="E3590" i="1"/>
  <c r="D3590" i="1"/>
  <c r="C3590" i="1"/>
  <c r="B3590" i="1"/>
  <c r="A3590" i="1"/>
  <c r="R3589" i="1"/>
  <c r="J3589" i="1"/>
  <c r="I3589" i="1"/>
  <c r="G3589" i="1"/>
  <c r="F3589" i="1"/>
  <c r="E3589" i="1"/>
  <c r="D3589" i="1"/>
  <c r="C3589" i="1"/>
  <c r="B3589" i="1"/>
  <c r="A3589" i="1"/>
  <c r="S3588" i="1"/>
  <c r="O3588" i="1"/>
  <c r="K3588" i="1"/>
  <c r="J3588" i="1"/>
  <c r="I3588" i="1"/>
  <c r="H3588" i="1"/>
  <c r="G3588" i="1"/>
  <c r="F3588" i="1"/>
  <c r="E3588" i="1"/>
  <c r="D3588" i="1"/>
  <c r="C3588" i="1"/>
  <c r="B3588" i="1"/>
  <c r="A3588" i="1"/>
  <c r="R3587" i="1"/>
  <c r="J3587" i="1"/>
  <c r="I3587" i="1"/>
  <c r="G3587" i="1"/>
  <c r="F3587" i="1"/>
  <c r="E3587" i="1"/>
  <c r="D3587" i="1"/>
  <c r="C3587" i="1"/>
  <c r="B3587" i="1"/>
  <c r="A3587" i="1"/>
  <c r="R3586" i="1"/>
  <c r="J3586" i="1"/>
  <c r="I3586" i="1"/>
  <c r="G3586" i="1"/>
  <c r="F3586" i="1"/>
  <c r="E3586" i="1"/>
  <c r="D3586" i="1"/>
  <c r="C3586" i="1"/>
  <c r="B3586" i="1"/>
  <c r="A3586" i="1"/>
  <c r="S3585" i="1"/>
  <c r="O3585" i="1"/>
  <c r="K3585" i="1"/>
  <c r="J3585" i="1"/>
  <c r="I3585" i="1"/>
  <c r="H3585" i="1"/>
  <c r="G3585" i="1"/>
  <c r="F3585" i="1"/>
  <c r="E3585" i="1"/>
  <c r="D3585" i="1"/>
  <c r="C3585" i="1"/>
  <c r="B3585" i="1"/>
  <c r="A3585" i="1"/>
  <c r="R3584" i="1"/>
  <c r="J3584" i="1"/>
  <c r="I3584" i="1"/>
  <c r="G3584" i="1"/>
  <c r="F3584" i="1"/>
  <c r="E3584" i="1"/>
  <c r="D3584" i="1"/>
  <c r="C3584" i="1"/>
  <c r="B3584" i="1"/>
  <c r="A3584" i="1"/>
  <c r="S3583" i="1"/>
  <c r="O3583" i="1"/>
  <c r="K3583" i="1"/>
  <c r="J3583" i="1"/>
  <c r="I3583" i="1"/>
  <c r="H3583" i="1"/>
  <c r="G3583" i="1"/>
  <c r="F3583" i="1"/>
  <c r="E3583" i="1"/>
  <c r="D3583" i="1"/>
  <c r="C3583" i="1"/>
  <c r="B3583" i="1"/>
  <c r="A3583" i="1"/>
  <c r="R3582" i="1"/>
  <c r="J3582" i="1"/>
  <c r="I3582" i="1"/>
  <c r="G3582" i="1"/>
  <c r="F3582" i="1"/>
  <c r="E3582" i="1"/>
  <c r="D3582" i="1"/>
  <c r="C3582" i="1"/>
  <c r="B3582" i="1"/>
  <c r="A3582" i="1"/>
  <c r="S3581" i="1"/>
  <c r="O3581" i="1"/>
  <c r="K3581" i="1"/>
  <c r="J3581" i="1"/>
  <c r="I3581" i="1"/>
  <c r="H3581" i="1"/>
  <c r="G3581" i="1"/>
  <c r="F3581" i="1"/>
  <c r="E3581" i="1"/>
  <c r="D3581" i="1"/>
  <c r="C3581" i="1"/>
  <c r="B3581" i="1"/>
  <c r="A3581" i="1"/>
  <c r="R3580" i="1"/>
  <c r="J3580" i="1"/>
  <c r="I3580" i="1"/>
  <c r="G3580" i="1"/>
  <c r="F3580" i="1"/>
  <c r="E3580" i="1"/>
  <c r="D3580" i="1"/>
  <c r="C3580" i="1"/>
  <c r="B3580" i="1"/>
  <c r="A3580" i="1"/>
  <c r="S3579" i="1"/>
  <c r="O3579" i="1"/>
  <c r="K3579" i="1"/>
  <c r="J3579" i="1"/>
  <c r="I3579" i="1"/>
  <c r="H3579" i="1"/>
  <c r="G3579" i="1"/>
  <c r="F3579" i="1"/>
  <c r="E3579" i="1"/>
  <c r="D3579" i="1"/>
  <c r="C3579" i="1"/>
  <c r="B3579" i="1"/>
  <c r="A3579" i="1"/>
  <c r="R3578" i="1"/>
  <c r="J3578" i="1"/>
  <c r="I3578" i="1"/>
  <c r="G3578" i="1"/>
  <c r="F3578" i="1"/>
  <c r="E3578" i="1"/>
  <c r="D3578" i="1"/>
  <c r="C3578" i="1"/>
  <c r="B3578" i="1"/>
  <c r="A3578" i="1"/>
  <c r="S3577" i="1"/>
  <c r="O3577" i="1"/>
  <c r="K3577" i="1"/>
  <c r="J3577" i="1"/>
  <c r="I3577" i="1"/>
  <c r="H3577" i="1"/>
  <c r="G3577" i="1"/>
  <c r="F3577" i="1"/>
  <c r="E3577" i="1"/>
  <c r="D3577" i="1"/>
  <c r="C3577" i="1"/>
  <c r="B3577" i="1"/>
  <c r="A3577" i="1"/>
  <c r="R3576" i="1"/>
  <c r="J3576" i="1"/>
  <c r="I3576" i="1"/>
  <c r="G3576" i="1"/>
  <c r="F3576" i="1"/>
  <c r="E3576" i="1"/>
  <c r="D3576" i="1"/>
  <c r="C3576" i="1"/>
  <c r="B3576" i="1"/>
  <c r="A3576" i="1"/>
  <c r="S3575" i="1"/>
  <c r="O3575" i="1"/>
  <c r="K3575" i="1"/>
  <c r="J3575" i="1"/>
  <c r="I3575" i="1"/>
  <c r="H3575" i="1"/>
  <c r="G3575" i="1"/>
  <c r="F3575" i="1"/>
  <c r="E3575" i="1"/>
  <c r="D3575" i="1"/>
  <c r="C3575" i="1"/>
  <c r="B3575" i="1"/>
  <c r="A3575" i="1"/>
  <c r="R3574" i="1"/>
  <c r="J3574" i="1"/>
  <c r="I3574" i="1"/>
  <c r="G3574" i="1"/>
  <c r="F3574" i="1"/>
  <c r="E3574" i="1"/>
  <c r="D3574" i="1"/>
  <c r="C3574" i="1"/>
  <c r="B3574" i="1"/>
  <c r="A3574" i="1"/>
  <c r="S3573" i="1"/>
  <c r="O3573" i="1"/>
  <c r="K3573" i="1"/>
  <c r="J3573" i="1"/>
  <c r="I3573" i="1"/>
  <c r="H3573" i="1"/>
  <c r="G3573" i="1"/>
  <c r="F3573" i="1"/>
  <c r="E3573" i="1"/>
  <c r="D3573" i="1"/>
  <c r="C3573" i="1"/>
  <c r="B3573" i="1"/>
  <c r="A3573" i="1"/>
  <c r="R3572" i="1"/>
  <c r="J3572" i="1"/>
  <c r="I3572" i="1"/>
  <c r="G3572" i="1"/>
  <c r="F3572" i="1"/>
  <c r="E3572" i="1"/>
  <c r="D3572" i="1"/>
  <c r="C3572" i="1"/>
  <c r="B3572" i="1"/>
  <c r="A3572" i="1"/>
  <c r="S3571" i="1"/>
  <c r="O3571" i="1"/>
  <c r="K3571" i="1"/>
  <c r="J3571" i="1"/>
  <c r="I3571" i="1"/>
  <c r="H3571" i="1"/>
  <c r="G3571" i="1"/>
  <c r="F3571" i="1"/>
  <c r="E3571" i="1"/>
  <c r="D3571" i="1"/>
  <c r="C3571" i="1"/>
  <c r="B3571" i="1"/>
  <c r="A3571" i="1"/>
  <c r="R3570" i="1"/>
  <c r="J3570" i="1"/>
  <c r="I3570" i="1"/>
  <c r="G3570" i="1"/>
  <c r="F3570" i="1"/>
  <c r="E3570" i="1"/>
  <c r="D3570" i="1"/>
  <c r="C3570" i="1"/>
  <c r="B3570" i="1"/>
  <c r="A3570" i="1"/>
  <c r="S3569" i="1"/>
  <c r="O3569" i="1"/>
  <c r="K3569" i="1"/>
  <c r="J3569" i="1"/>
  <c r="I3569" i="1"/>
  <c r="H3569" i="1"/>
  <c r="G3569" i="1"/>
  <c r="F3569" i="1"/>
  <c r="E3569" i="1"/>
  <c r="D3569" i="1"/>
  <c r="C3569" i="1"/>
  <c r="B3569" i="1"/>
  <c r="A3569" i="1"/>
  <c r="R3568" i="1"/>
  <c r="J3568" i="1"/>
  <c r="I3568" i="1"/>
  <c r="G3568" i="1"/>
  <c r="F3568" i="1"/>
  <c r="E3568" i="1"/>
  <c r="D3568" i="1"/>
  <c r="C3568" i="1"/>
  <c r="B3568" i="1"/>
  <c r="A3568" i="1"/>
  <c r="R3567" i="1"/>
  <c r="J3567" i="1"/>
  <c r="I3567" i="1"/>
  <c r="G3567" i="1"/>
  <c r="F3567" i="1"/>
  <c r="E3567" i="1"/>
  <c r="D3567" i="1"/>
  <c r="C3567" i="1"/>
  <c r="B3567" i="1"/>
  <c r="A3567" i="1"/>
  <c r="S3566" i="1"/>
  <c r="O3566" i="1"/>
  <c r="K3566" i="1"/>
  <c r="J3566" i="1"/>
  <c r="I3566" i="1"/>
  <c r="H3566" i="1"/>
  <c r="G3566" i="1"/>
  <c r="F3566" i="1"/>
  <c r="E3566" i="1"/>
  <c r="D3566" i="1"/>
  <c r="C3566" i="1"/>
  <c r="B3566" i="1"/>
  <c r="A3566" i="1"/>
  <c r="R3565" i="1"/>
  <c r="J3565" i="1"/>
  <c r="I3565" i="1"/>
  <c r="G3565" i="1"/>
  <c r="F3565" i="1"/>
  <c r="E3565" i="1"/>
  <c r="D3565" i="1"/>
  <c r="C3565" i="1"/>
  <c r="B3565" i="1"/>
  <c r="A3565" i="1"/>
  <c r="S3564" i="1"/>
  <c r="O3564" i="1"/>
  <c r="K3564" i="1"/>
  <c r="J3564" i="1"/>
  <c r="I3564" i="1"/>
  <c r="H3564" i="1"/>
  <c r="G3564" i="1"/>
  <c r="F3564" i="1"/>
  <c r="E3564" i="1"/>
  <c r="D3564" i="1"/>
  <c r="C3564" i="1"/>
  <c r="B3564" i="1"/>
  <c r="A3564" i="1"/>
  <c r="R3563" i="1"/>
  <c r="J3563" i="1"/>
  <c r="I3563" i="1"/>
  <c r="G3563" i="1"/>
  <c r="F3563" i="1"/>
  <c r="E3563" i="1"/>
  <c r="D3563" i="1"/>
  <c r="C3563" i="1"/>
  <c r="B3563" i="1"/>
  <c r="A3563" i="1"/>
  <c r="S3562" i="1"/>
  <c r="O3562" i="1"/>
  <c r="K3562" i="1"/>
  <c r="J3562" i="1"/>
  <c r="I3562" i="1"/>
  <c r="H3562" i="1"/>
  <c r="G3562" i="1"/>
  <c r="F3562" i="1"/>
  <c r="E3562" i="1"/>
  <c r="D3562" i="1"/>
  <c r="C3562" i="1"/>
  <c r="B3562" i="1"/>
  <c r="A3562" i="1"/>
  <c r="R3561" i="1"/>
  <c r="J3561" i="1"/>
  <c r="I3561" i="1"/>
  <c r="G3561" i="1"/>
  <c r="F3561" i="1"/>
  <c r="E3561" i="1"/>
  <c r="D3561" i="1"/>
  <c r="C3561" i="1"/>
  <c r="B3561" i="1"/>
  <c r="A3561" i="1"/>
  <c r="S3560" i="1"/>
  <c r="O3560" i="1"/>
  <c r="K3560" i="1"/>
  <c r="J3560" i="1"/>
  <c r="I3560" i="1"/>
  <c r="H3560" i="1"/>
  <c r="G3560" i="1"/>
  <c r="F3560" i="1"/>
  <c r="E3560" i="1"/>
  <c r="D3560" i="1"/>
  <c r="C3560" i="1"/>
  <c r="B3560" i="1"/>
  <c r="A3560" i="1"/>
  <c r="R3559" i="1"/>
  <c r="J3559" i="1"/>
  <c r="I3559" i="1"/>
  <c r="G3559" i="1"/>
  <c r="F3559" i="1"/>
  <c r="E3559" i="1"/>
  <c r="D3559" i="1"/>
  <c r="C3559" i="1"/>
  <c r="B3559" i="1"/>
  <c r="A3559" i="1"/>
  <c r="S3558" i="1"/>
  <c r="O3558" i="1"/>
  <c r="K3558" i="1"/>
  <c r="J3558" i="1"/>
  <c r="I3558" i="1"/>
  <c r="H3558" i="1"/>
  <c r="G3558" i="1"/>
  <c r="F3558" i="1"/>
  <c r="E3558" i="1"/>
  <c r="D3558" i="1"/>
  <c r="C3558" i="1"/>
  <c r="B3558" i="1"/>
  <c r="A3558" i="1"/>
  <c r="R3557" i="1"/>
  <c r="J3557" i="1"/>
  <c r="I3557" i="1"/>
  <c r="G3557" i="1"/>
  <c r="F3557" i="1"/>
  <c r="E3557" i="1"/>
  <c r="D3557" i="1"/>
  <c r="C3557" i="1"/>
  <c r="B3557" i="1"/>
  <c r="A3557" i="1"/>
  <c r="R3556" i="1"/>
  <c r="J3556" i="1"/>
  <c r="I3556" i="1"/>
  <c r="G3556" i="1"/>
  <c r="F3556" i="1"/>
  <c r="E3556" i="1"/>
  <c r="D3556" i="1"/>
  <c r="C3556" i="1"/>
  <c r="B3556" i="1"/>
  <c r="A3556" i="1"/>
  <c r="S3555" i="1"/>
  <c r="O3555" i="1"/>
  <c r="K3555" i="1"/>
  <c r="J3555" i="1"/>
  <c r="I3555" i="1"/>
  <c r="H3555" i="1"/>
  <c r="G3555" i="1"/>
  <c r="F3555" i="1"/>
  <c r="E3555" i="1"/>
  <c r="D3555" i="1"/>
  <c r="C3555" i="1"/>
  <c r="B3555" i="1"/>
  <c r="A3555" i="1"/>
  <c r="R3554" i="1"/>
  <c r="J3554" i="1"/>
  <c r="I3554" i="1"/>
  <c r="G3554" i="1"/>
  <c r="F3554" i="1"/>
  <c r="E3554" i="1"/>
  <c r="D3554" i="1"/>
  <c r="C3554" i="1"/>
  <c r="B3554" i="1"/>
  <c r="A3554" i="1"/>
  <c r="S3553" i="1"/>
  <c r="O3553" i="1"/>
  <c r="K3553" i="1"/>
  <c r="J3553" i="1"/>
  <c r="I3553" i="1"/>
  <c r="H3553" i="1"/>
  <c r="G3553" i="1"/>
  <c r="F3553" i="1"/>
  <c r="E3553" i="1"/>
  <c r="D3553" i="1"/>
  <c r="C3553" i="1"/>
  <c r="B3553" i="1"/>
  <c r="A3553" i="1"/>
  <c r="R3552" i="1"/>
  <c r="J3552" i="1"/>
  <c r="I3552" i="1"/>
  <c r="G3552" i="1"/>
  <c r="F3552" i="1"/>
  <c r="E3552" i="1"/>
  <c r="D3552" i="1"/>
  <c r="C3552" i="1"/>
  <c r="B3552" i="1"/>
  <c r="A3552" i="1"/>
  <c r="S3551" i="1"/>
  <c r="O3551" i="1"/>
  <c r="K3551" i="1"/>
  <c r="J3551" i="1"/>
  <c r="I3551" i="1"/>
  <c r="H3551" i="1"/>
  <c r="G3551" i="1"/>
  <c r="F3551" i="1"/>
  <c r="E3551" i="1"/>
  <c r="D3551" i="1"/>
  <c r="C3551" i="1"/>
  <c r="B3551" i="1"/>
  <c r="A3551" i="1"/>
  <c r="R3550" i="1"/>
  <c r="J3550" i="1"/>
  <c r="I3550" i="1"/>
  <c r="G3550" i="1"/>
  <c r="F3550" i="1"/>
  <c r="E3550" i="1"/>
  <c r="D3550" i="1"/>
  <c r="C3550" i="1"/>
  <c r="B3550" i="1"/>
  <c r="A3550" i="1"/>
  <c r="S3549" i="1"/>
  <c r="O3549" i="1"/>
  <c r="K3549" i="1"/>
  <c r="J3549" i="1"/>
  <c r="I3549" i="1"/>
  <c r="H3549" i="1"/>
  <c r="G3549" i="1"/>
  <c r="F3549" i="1"/>
  <c r="E3549" i="1"/>
  <c r="D3549" i="1"/>
  <c r="C3549" i="1"/>
  <c r="B3549" i="1"/>
  <c r="A3549" i="1"/>
  <c r="R3548" i="1"/>
  <c r="J3548" i="1"/>
  <c r="I3548" i="1"/>
  <c r="G3548" i="1"/>
  <c r="F3548" i="1"/>
  <c r="E3548" i="1"/>
  <c r="D3548" i="1"/>
  <c r="C3548" i="1"/>
  <c r="B3548" i="1"/>
  <c r="A3548" i="1"/>
  <c r="S3547" i="1"/>
  <c r="O3547" i="1"/>
  <c r="K3547" i="1"/>
  <c r="J3547" i="1"/>
  <c r="I3547" i="1"/>
  <c r="H3547" i="1"/>
  <c r="G3547" i="1"/>
  <c r="F3547" i="1"/>
  <c r="E3547" i="1"/>
  <c r="D3547" i="1"/>
  <c r="C3547" i="1"/>
  <c r="B3547" i="1"/>
  <c r="A3547" i="1"/>
  <c r="R3546" i="1"/>
  <c r="J3546" i="1"/>
  <c r="I3546" i="1"/>
  <c r="G3546" i="1"/>
  <c r="F3546" i="1"/>
  <c r="E3546" i="1"/>
  <c r="D3546" i="1"/>
  <c r="C3546" i="1"/>
  <c r="B3546" i="1"/>
  <c r="A3546" i="1"/>
  <c r="S3545" i="1"/>
  <c r="O3545" i="1"/>
  <c r="K3545" i="1"/>
  <c r="J3545" i="1"/>
  <c r="I3545" i="1"/>
  <c r="H3545" i="1"/>
  <c r="G3545" i="1"/>
  <c r="F3545" i="1"/>
  <c r="E3545" i="1"/>
  <c r="D3545" i="1"/>
  <c r="C3545" i="1"/>
  <c r="B3545" i="1"/>
  <c r="A3545" i="1"/>
  <c r="R3544" i="1"/>
  <c r="J3544" i="1"/>
  <c r="I3544" i="1"/>
  <c r="G3544" i="1"/>
  <c r="F3544" i="1"/>
  <c r="E3544" i="1"/>
  <c r="D3544" i="1"/>
  <c r="C3544" i="1"/>
  <c r="B3544" i="1"/>
  <c r="A3544" i="1"/>
  <c r="S3543" i="1"/>
  <c r="O3543" i="1"/>
  <c r="K3543" i="1"/>
  <c r="J3543" i="1"/>
  <c r="I3543" i="1"/>
  <c r="H3543" i="1"/>
  <c r="G3543" i="1"/>
  <c r="F3543" i="1"/>
  <c r="E3543" i="1"/>
  <c r="D3543" i="1"/>
  <c r="C3543" i="1"/>
  <c r="B3543" i="1"/>
  <c r="A3543" i="1"/>
  <c r="R3542" i="1"/>
  <c r="J3542" i="1"/>
  <c r="I3542" i="1"/>
  <c r="G3542" i="1"/>
  <c r="F3542" i="1"/>
  <c r="E3542" i="1"/>
  <c r="D3542" i="1"/>
  <c r="C3542" i="1"/>
  <c r="B3542" i="1"/>
  <c r="A3542" i="1"/>
  <c r="R3541" i="1"/>
  <c r="J3541" i="1"/>
  <c r="I3541" i="1"/>
  <c r="G3541" i="1"/>
  <c r="F3541" i="1"/>
  <c r="E3541" i="1"/>
  <c r="D3541" i="1"/>
  <c r="C3541" i="1"/>
  <c r="B3541" i="1"/>
  <c r="A3541" i="1"/>
  <c r="S3540" i="1"/>
  <c r="O3540" i="1"/>
  <c r="K3540" i="1"/>
  <c r="J3540" i="1"/>
  <c r="I3540" i="1"/>
  <c r="H3540" i="1"/>
  <c r="G3540" i="1"/>
  <c r="F3540" i="1"/>
  <c r="E3540" i="1"/>
  <c r="D3540" i="1"/>
  <c r="C3540" i="1"/>
  <c r="B3540" i="1"/>
  <c r="A3540" i="1"/>
  <c r="R3539" i="1"/>
  <c r="J3539" i="1"/>
  <c r="I3539" i="1"/>
  <c r="G3539" i="1"/>
  <c r="F3539" i="1"/>
  <c r="E3539" i="1"/>
  <c r="D3539" i="1"/>
  <c r="C3539" i="1"/>
  <c r="B3539" i="1"/>
  <c r="A3539" i="1"/>
  <c r="S3538" i="1"/>
  <c r="O3538" i="1"/>
  <c r="K3538" i="1"/>
  <c r="J3538" i="1"/>
  <c r="I3538" i="1"/>
  <c r="H3538" i="1"/>
  <c r="G3538" i="1"/>
  <c r="F3538" i="1"/>
  <c r="E3538" i="1"/>
  <c r="D3538" i="1"/>
  <c r="C3538" i="1"/>
  <c r="B3538" i="1"/>
  <c r="A3538" i="1"/>
  <c r="R3537" i="1"/>
  <c r="J3537" i="1"/>
  <c r="I3537" i="1"/>
  <c r="G3537" i="1"/>
  <c r="F3537" i="1"/>
  <c r="E3537" i="1"/>
  <c r="D3537" i="1"/>
  <c r="C3537" i="1"/>
  <c r="B3537" i="1"/>
  <c r="A3537" i="1"/>
  <c r="S3536" i="1"/>
  <c r="O3536" i="1"/>
  <c r="K3536" i="1"/>
  <c r="J3536" i="1"/>
  <c r="I3536" i="1"/>
  <c r="H3536" i="1"/>
  <c r="G3536" i="1"/>
  <c r="F3536" i="1"/>
  <c r="E3536" i="1"/>
  <c r="D3536" i="1"/>
  <c r="C3536" i="1"/>
  <c r="B3536" i="1"/>
  <c r="A3536" i="1"/>
  <c r="R3535" i="1"/>
  <c r="J3535" i="1"/>
  <c r="I3535" i="1"/>
  <c r="G3535" i="1"/>
  <c r="F3535" i="1"/>
  <c r="E3535" i="1"/>
  <c r="D3535" i="1"/>
  <c r="C3535" i="1"/>
  <c r="B3535" i="1"/>
  <c r="A3535" i="1"/>
  <c r="R3534" i="1"/>
  <c r="J3534" i="1"/>
  <c r="I3534" i="1"/>
  <c r="G3534" i="1"/>
  <c r="F3534" i="1"/>
  <c r="E3534" i="1"/>
  <c r="D3534" i="1"/>
  <c r="C3534" i="1"/>
  <c r="B3534" i="1"/>
  <c r="A3534" i="1"/>
  <c r="S3533" i="1"/>
  <c r="O3533" i="1"/>
  <c r="K3533" i="1"/>
  <c r="J3533" i="1"/>
  <c r="I3533" i="1"/>
  <c r="H3533" i="1"/>
  <c r="G3533" i="1"/>
  <c r="F3533" i="1"/>
  <c r="E3533" i="1"/>
  <c r="D3533" i="1"/>
  <c r="C3533" i="1"/>
  <c r="B3533" i="1"/>
  <c r="A3533" i="1"/>
  <c r="R3532" i="1"/>
  <c r="J3532" i="1"/>
  <c r="I3532" i="1"/>
  <c r="G3532" i="1"/>
  <c r="F3532" i="1"/>
  <c r="E3532" i="1"/>
  <c r="D3532" i="1"/>
  <c r="C3532" i="1"/>
  <c r="B3532" i="1"/>
  <c r="A3532" i="1"/>
  <c r="S3531" i="1"/>
  <c r="O3531" i="1"/>
  <c r="K3531" i="1"/>
  <c r="J3531" i="1"/>
  <c r="I3531" i="1"/>
  <c r="H3531" i="1"/>
  <c r="G3531" i="1"/>
  <c r="F3531" i="1"/>
  <c r="E3531" i="1"/>
  <c r="D3531" i="1"/>
  <c r="C3531" i="1"/>
  <c r="B3531" i="1"/>
  <c r="A3531" i="1"/>
  <c r="R3530" i="1"/>
  <c r="J3530" i="1"/>
  <c r="I3530" i="1"/>
  <c r="G3530" i="1"/>
  <c r="F3530" i="1"/>
  <c r="E3530" i="1"/>
  <c r="D3530" i="1"/>
  <c r="C3530" i="1"/>
  <c r="B3530" i="1"/>
  <c r="A3530" i="1"/>
  <c r="S3529" i="1"/>
  <c r="O3529" i="1"/>
  <c r="K3529" i="1"/>
  <c r="J3529" i="1"/>
  <c r="I3529" i="1"/>
  <c r="H3529" i="1"/>
  <c r="G3529" i="1"/>
  <c r="F3529" i="1"/>
  <c r="E3529" i="1"/>
  <c r="D3529" i="1"/>
  <c r="C3529" i="1"/>
  <c r="B3529" i="1"/>
  <c r="A3529" i="1"/>
  <c r="R3528" i="1"/>
  <c r="J3528" i="1"/>
  <c r="I3528" i="1"/>
  <c r="G3528" i="1"/>
  <c r="F3528" i="1"/>
  <c r="E3528" i="1"/>
  <c r="D3528" i="1"/>
  <c r="C3528" i="1"/>
  <c r="B3528" i="1"/>
  <c r="A3528" i="1"/>
  <c r="S3527" i="1"/>
  <c r="O3527" i="1"/>
  <c r="K3527" i="1"/>
  <c r="J3527" i="1"/>
  <c r="I3527" i="1"/>
  <c r="H3527" i="1"/>
  <c r="G3527" i="1"/>
  <c r="F3527" i="1"/>
  <c r="E3527" i="1"/>
  <c r="D3527" i="1"/>
  <c r="C3527" i="1"/>
  <c r="B3527" i="1"/>
  <c r="A3527" i="1"/>
  <c r="R3526" i="1"/>
  <c r="J3526" i="1"/>
  <c r="I3526" i="1"/>
  <c r="G3526" i="1"/>
  <c r="F3526" i="1"/>
  <c r="E3526" i="1"/>
  <c r="D3526" i="1"/>
  <c r="C3526" i="1"/>
  <c r="B3526" i="1"/>
  <c r="A3526" i="1"/>
  <c r="S3525" i="1"/>
  <c r="O3525" i="1"/>
  <c r="K3525" i="1"/>
  <c r="J3525" i="1"/>
  <c r="I3525" i="1"/>
  <c r="H3525" i="1"/>
  <c r="G3525" i="1"/>
  <c r="F3525" i="1"/>
  <c r="E3525" i="1"/>
  <c r="D3525" i="1"/>
  <c r="C3525" i="1"/>
  <c r="B3525" i="1"/>
  <c r="A3525" i="1"/>
  <c r="R3524" i="1"/>
  <c r="J3524" i="1"/>
  <c r="I3524" i="1"/>
  <c r="G3524" i="1"/>
  <c r="F3524" i="1"/>
  <c r="E3524" i="1"/>
  <c r="D3524" i="1"/>
  <c r="C3524" i="1"/>
  <c r="B3524" i="1"/>
  <c r="A3524" i="1"/>
  <c r="R3523" i="1"/>
  <c r="J3523" i="1"/>
  <c r="I3523" i="1"/>
  <c r="G3523" i="1"/>
  <c r="F3523" i="1"/>
  <c r="E3523" i="1"/>
  <c r="D3523" i="1"/>
  <c r="C3523" i="1"/>
  <c r="B3523" i="1"/>
  <c r="A3523" i="1"/>
  <c r="S3522" i="1"/>
  <c r="O3522" i="1"/>
  <c r="K3522" i="1"/>
  <c r="J3522" i="1"/>
  <c r="I3522" i="1"/>
  <c r="H3522" i="1"/>
  <c r="G3522" i="1"/>
  <c r="F3522" i="1"/>
  <c r="E3522" i="1"/>
  <c r="D3522" i="1"/>
  <c r="C3522" i="1"/>
  <c r="B3522" i="1"/>
  <c r="A3522" i="1"/>
  <c r="R3521" i="1"/>
  <c r="J3521" i="1"/>
  <c r="I3521" i="1"/>
  <c r="G3521" i="1"/>
  <c r="F3521" i="1"/>
  <c r="E3521" i="1"/>
  <c r="D3521" i="1"/>
  <c r="C3521" i="1"/>
  <c r="B3521" i="1"/>
  <c r="A3521" i="1"/>
  <c r="S3520" i="1"/>
  <c r="O3520" i="1"/>
  <c r="K3520" i="1"/>
  <c r="J3520" i="1"/>
  <c r="I3520" i="1"/>
  <c r="H3520" i="1"/>
  <c r="G3520" i="1"/>
  <c r="F3520" i="1"/>
  <c r="E3520" i="1"/>
  <c r="D3520" i="1"/>
  <c r="C3520" i="1"/>
  <c r="B3520" i="1"/>
  <c r="A3520" i="1"/>
  <c r="R3519" i="1"/>
  <c r="J3519" i="1"/>
  <c r="I3519" i="1"/>
  <c r="G3519" i="1"/>
  <c r="F3519" i="1"/>
  <c r="E3519" i="1"/>
  <c r="D3519" i="1"/>
  <c r="C3519" i="1"/>
  <c r="B3519" i="1"/>
  <c r="A3519" i="1"/>
  <c r="S3518" i="1"/>
  <c r="O3518" i="1"/>
  <c r="K3518" i="1"/>
  <c r="J3518" i="1"/>
  <c r="I3518" i="1"/>
  <c r="H3518" i="1"/>
  <c r="G3518" i="1"/>
  <c r="F3518" i="1"/>
  <c r="E3518" i="1"/>
  <c r="D3518" i="1"/>
  <c r="C3518" i="1"/>
  <c r="B3518" i="1"/>
  <c r="A3518" i="1"/>
  <c r="R3517" i="1"/>
  <c r="J3517" i="1"/>
  <c r="I3517" i="1"/>
  <c r="G3517" i="1"/>
  <c r="F3517" i="1"/>
  <c r="E3517" i="1"/>
  <c r="D3517" i="1"/>
  <c r="C3517" i="1"/>
  <c r="B3517" i="1"/>
  <c r="A3517" i="1"/>
  <c r="S3516" i="1"/>
  <c r="O3516" i="1"/>
  <c r="K3516" i="1"/>
  <c r="J3516" i="1"/>
  <c r="I3516" i="1"/>
  <c r="H3516" i="1"/>
  <c r="G3516" i="1"/>
  <c r="F3516" i="1"/>
  <c r="E3516" i="1"/>
  <c r="D3516" i="1"/>
  <c r="C3516" i="1"/>
  <c r="B3516" i="1"/>
  <c r="A3516" i="1"/>
  <c r="R3515" i="1"/>
  <c r="J3515" i="1"/>
  <c r="I3515" i="1"/>
  <c r="G3515" i="1"/>
  <c r="F3515" i="1"/>
  <c r="E3515" i="1"/>
  <c r="D3515" i="1"/>
  <c r="C3515" i="1"/>
  <c r="B3515" i="1"/>
  <c r="A3515" i="1"/>
  <c r="S3514" i="1"/>
  <c r="O3514" i="1"/>
  <c r="K3514" i="1"/>
  <c r="J3514" i="1"/>
  <c r="I3514" i="1"/>
  <c r="H3514" i="1"/>
  <c r="G3514" i="1"/>
  <c r="F3514" i="1"/>
  <c r="E3514" i="1"/>
  <c r="D3514" i="1"/>
  <c r="C3514" i="1"/>
  <c r="B3514" i="1"/>
  <c r="A3514" i="1"/>
  <c r="R3513" i="1"/>
  <c r="J3513" i="1"/>
  <c r="I3513" i="1"/>
  <c r="G3513" i="1"/>
  <c r="F3513" i="1"/>
  <c r="E3513" i="1"/>
  <c r="D3513" i="1"/>
  <c r="C3513" i="1"/>
  <c r="B3513" i="1"/>
  <c r="A3513" i="1"/>
  <c r="S3512" i="1"/>
  <c r="O3512" i="1"/>
  <c r="K3512" i="1"/>
  <c r="J3512" i="1"/>
  <c r="I3512" i="1"/>
  <c r="H3512" i="1"/>
  <c r="G3512" i="1"/>
  <c r="F3512" i="1"/>
  <c r="E3512" i="1"/>
  <c r="D3512" i="1"/>
  <c r="C3512" i="1"/>
  <c r="B3512" i="1"/>
  <c r="A3512" i="1"/>
  <c r="R3511" i="1"/>
  <c r="J3511" i="1"/>
  <c r="I3511" i="1"/>
  <c r="G3511" i="1"/>
  <c r="F3511" i="1"/>
  <c r="E3511" i="1"/>
  <c r="D3511" i="1"/>
  <c r="C3511" i="1"/>
  <c r="B3511" i="1"/>
  <c r="A3511" i="1"/>
  <c r="S3510" i="1"/>
  <c r="O3510" i="1"/>
  <c r="K3510" i="1"/>
  <c r="J3510" i="1"/>
  <c r="I3510" i="1"/>
  <c r="H3510" i="1"/>
  <c r="G3510" i="1"/>
  <c r="F3510" i="1"/>
  <c r="E3510" i="1"/>
  <c r="D3510" i="1"/>
  <c r="C3510" i="1"/>
  <c r="B3510" i="1"/>
  <c r="A3510" i="1"/>
  <c r="R3509" i="1"/>
  <c r="J3509" i="1"/>
  <c r="I3509" i="1"/>
  <c r="G3509" i="1"/>
  <c r="F3509" i="1"/>
  <c r="E3509" i="1"/>
  <c r="D3509" i="1"/>
  <c r="C3509" i="1"/>
  <c r="B3509" i="1"/>
  <c r="A3509" i="1"/>
  <c r="R3508" i="1"/>
  <c r="J3508" i="1"/>
  <c r="I3508" i="1"/>
  <c r="G3508" i="1"/>
  <c r="F3508" i="1"/>
  <c r="E3508" i="1"/>
  <c r="D3508" i="1"/>
  <c r="C3508" i="1"/>
  <c r="B3508" i="1"/>
  <c r="A3508" i="1"/>
  <c r="S3507" i="1"/>
  <c r="O3507" i="1"/>
  <c r="K3507" i="1"/>
  <c r="J3507" i="1"/>
  <c r="I3507" i="1"/>
  <c r="H3507" i="1"/>
  <c r="G3507" i="1"/>
  <c r="F3507" i="1"/>
  <c r="E3507" i="1"/>
  <c r="D3507" i="1"/>
  <c r="C3507" i="1"/>
  <c r="B3507" i="1"/>
  <c r="A3507" i="1"/>
  <c r="R3506" i="1"/>
  <c r="J3506" i="1"/>
  <c r="I3506" i="1"/>
  <c r="G3506" i="1"/>
  <c r="F3506" i="1"/>
  <c r="E3506" i="1"/>
  <c r="D3506" i="1"/>
  <c r="C3506" i="1"/>
  <c r="B3506" i="1"/>
  <c r="A3506" i="1"/>
  <c r="S3505" i="1"/>
  <c r="O3505" i="1"/>
  <c r="K3505" i="1"/>
  <c r="J3505" i="1"/>
  <c r="I3505" i="1"/>
  <c r="H3505" i="1"/>
  <c r="G3505" i="1"/>
  <c r="F3505" i="1"/>
  <c r="E3505" i="1"/>
  <c r="D3505" i="1"/>
  <c r="C3505" i="1"/>
  <c r="B3505" i="1"/>
  <c r="A3505" i="1"/>
  <c r="R3504" i="1"/>
  <c r="J3504" i="1"/>
  <c r="I3504" i="1"/>
  <c r="G3504" i="1"/>
  <c r="F3504" i="1"/>
  <c r="E3504" i="1"/>
  <c r="D3504" i="1"/>
  <c r="C3504" i="1"/>
  <c r="B3504" i="1"/>
  <c r="A3504" i="1"/>
  <c r="S3503" i="1"/>
  <c r="O3503" i="1"/>
  <c r="K3503" i="1"/>
  <c r="J3503" i="1"/>
  <c r="I3503" i="1"/>
  <c r="H3503" i="1"/>
  <c r="G3503" i="1"/>
  <c r="F3503" i="1"/>
  <c r="E3503" i="1"/>
  <c r="D3503" i="1"/>
  <c r="C3503" i="1"/>
  <c r="B3503" i="1"/>
  <c r="A3503" i="1"/>
  <c r="R3502" i="1"/>
  <c r="J3502" i="1"/>
  <c r="I3502" i="1"/>
  <c r="G3502" i="1"/>
  <c r="F3502" i="1"/>
  <c r="E3502" i="1"/>
  <c r="D3502" i="1"/>
  <c r="C3502" i="1"/>
  <c r="B3502" i="1"/>
  <c r="A3502" i="1"/>
  <c r="S3501" i="1"/>
  <c r="O3501" i="1"/>
  <c r="K3501" i="1"/>
  <c r="J3501" i="1"/>
  <c r="I3501" i="1"/>
  <c r="H3501" i="1"/>
  <c r="G3501" i="1"/>
  <c r="F3501" i="1"/>
  <c r="E3501" i="1"/>
  <c r="D3501" i="1"/>
  <c r="C3501" i="1"/>
  <c r="B3501" i="1"/>
  <c r="A3501" i="1"/>
  <c r="R3500" i="1"/>
  <c r="J3500" i="1"/>
  <c r="I3500" i="1"/>
  <c r="G3500" i="1"/>
  <c r="F3500" i="1"/>
  <c r="E3500" i="1"/>
  <c r="D3500" i="1"/>
  <c r="C3500" i="1"/>
  <c r="B3500" i="1"/>
  <c r="A3500" i="1"/>
  <c r="S3499" i="1"/>
  <c r="O3499" i="1"/>
  <c r="K3499" i="1"/>
  <c r="J3499" i="1"/>
  <c r="I3499" i="1"/>
  <c r="H3499" i="1"/>
  <c r="G3499" i="1"/>
  <c r="F3499" i="1"/>
  <c r="E3499" i="1"/>
  <c r="D3499" i="1"/>
  <c r="C3499" i="1"/>
  <c r="B3499" i="1"/>
  <c r="A3499" i="1"/>
  <c r="R3498" i="1"/>
  <c r="J3498" i="1"/>
  <c r="I3498" i="1"/>
  <c r="G3498" i="1"/>
  <c r="F3498" i="1"/>
  <c r="E3498" i="1"/>
  <c r="D3498" i="1"/>
  <c r="C3498" i="1"/>
  <c r="B3498" i="1"/>
  <c r="A3498" i="1"/>
  <c r="S3497" i="1"/>
  <c r="O3497" i="1"/>
  <c r="K3497" i="1"/>
  <c r="J3497" i="1"/>
  <c r="I3497" i="1"/>
  <c r="H3497" i="1"/>
  <c r="G3497" i="1"/>
  <c r="F3497" i="1"/>
  <c r="E3497" i="1"/>
  <c r="D3497" i="1"/>
  <c r="C3497" i="1"/>
  <c r="B3497" i="1"/>
  <c r="A3497" i="1"/>
  <c r="R3496" i="1"/>
  <c r="J3496" i="1"/>
  <c r="I3496" i="1"/>
  <c r="G3496" i="1"/>
  <c r="F3496" i="1"/>
  <c r="E3496" i="1"/>
  <c r="D3496" i="1"/>
  <c r="C3496" i="1"/>
  <c r="B3496" i="1"/>
  <c r="A3496" i="1"/>
  <c r="S3495" i="1"/>
  <c r="O3495" i="1"/>
  <c r="K3495" i="1"/>
  <c r="J3495" i="1"/>
  <c r="I3495" i="1"/>
  <c r="H3495" i="1"/>
  <c r="G3495" i="1"/>
  <c r="F3495" i="1"/>
  <c r="E3495" i="1"/>
  <c r="D3495" i="1"/>
  <c r="C3495" i="1"/>
  <c r="B3495" i="1"/>
  <c r="A3495" i="1"/>
  <c r="R3494" i="1"/>
  <c r="J3494" i="1"/>
  <c r="I3494" i="1"/>
  <c r="G3494" i="1"/>
  <c r="F3494" i="1"/>
  <c r="E3494" i="1"/>
  <c r="D3494" i="1"/>
  <c r="C3494" i="1"/>
  <c r="B3494" i="1"/>
  <c r="A3494" i="1"/>
  <c r="S3493" i="1"/>
  <c r="O3493" i="1"/>
  <c r="K3493" i="1"/>
  <c r="J3493" i="1"/>
  <c r="I3493" i="1"/>
  <c r="H3493" i="1"/>
  <c r="G3493" i="1"/>
  <c r="F3493" i="1"/>
  <c r="E3493" i="1"/>
  <c r="D3493" i="1"/>
  <c r="C3493" i="1"/>
  <c r="B3493" i="1"/>
  <c r="A3493" i="1"/>
  <c r="R3492" i="1"/>
  <c r="J3492" i="1"/>
  <c r="I3492" i="1"/>
  <c r="G3492" i="1"/>
  <c r="F3492" i="1"/>
  <c r="E3492" i="1"/>
  <c r="D3492" i="1"/>
  <c r="C3492" i="1"/>
  <c r="B3492" i="1"/>
  <c r="A3492" i="1"/>
  <c r="S3491" i="1"/>
  <c r="O3491" i="1"/>
  <c r="K3491" i="1"/>
  <c r="J3491" i="1"/>
  <c r="I3491" i="1"/>
  <c r="H3491" i="1"/>
  <c r="G3491" i="1"/>
  <c r="F3491" i="1"/>
  <c r="E3491" i="1"/>
  <c r="D3491" i="1"/>
  <c r="C3491" i="1"/>
  <c r="B3491" i="1"/>
  <c r="A3491" i="1"/>
  <c r="R3490" i="1"/>
  <c r="J3490" i="1"/>
  <c r="I3490" i="1"/>
  <c r="G3490" i="1"/>
  <c r="F3490" i="1"/>
  <c r="E3490" i="1"/>
  <c r="D3490" i="1"/>
  <c r="C3490" i="1"/>
  <c r="B3490" i="1"/>
  <c r="A3490" i="1"/>
  <c r="S3489" i="1"/>
  <c r="O3489" i="1"/>
  <c r="K3489" i="1"/>
  <c r="J3489" i="1"/>
  <c r="I3489" i="1"/>
  <c r="H3489" i="1"/>
  <c r="G3489" i="1"/>
  <c r="F3489" i="1"/>
  <c r="E3489" i="1"/>
  <c r="D3489" i="1"/>
  <c r="C3489" i="1"/>
  <c r="B3489" i="1"/>
  <c r="A3489" i="1"/>
  <c r="R3488" i="1"/>
  <c r="J3488" i="1"/>
  <c r="I3488" i="1"/>
  <c r="G3488" i="1"/>
  <c r="F3488" i="1"/>
  <c r="E3488" i="1"/>
  <c r="D3488" i="1"/>
  <c r="C3488" i="1"/>
  <c r="B3488" i="1"/>
  <c r="A3488" i="1"/>
  <c r="S3487" i="1"/>
  <c r="O3487" i="1"/>
  <c r="K3487" i="1"/>
  <c r="J3487" i="1"/>
  <c r="I3487" i="1"/>
  <c r="H3487" i="1"/>
  <c r="G3487" i="1"/>
  <c r="F3487" i="1"/>
  <c r="E3487" i="1"/>
  <c r="D3487" i="1"/>
  <c r="C3487" i="1"/>
  <c r="B3487" i="1"/>
  <c r="A3487" i="1"/>
  <c r="R3486" i="1"/>
  <c r="J3486" i="1"/>
  <c r="I3486" i="1"/>
  <c r="G3486" i="1"/>
  <c r="F3486" i="1"/>
  <c r="E3486" i="1"/>
  <c r="D3486" i="1"/>
  <c r="C3486" i="1"/>
  <c r="B3486" i="1"/>
  <c r="A3486" i="1"/>
  <c r="S3485" i="1"/>
  <c r="O3485" i="1"/>
  <c r="K3485" i="1"/>
  <c r="J3485" i="1"/>
  <c r="I3485" i="1"/>
  <c r="H3485" i="1"/>
  <c r="G3485" i="1"/>
  <c r="F3485" i="1"/>
  <c r="E3485" i="1"/>
  <c r="D3485" i="1"/>
  <c r="C3485" i="1"/>
  <c r="B3485" i="1"/>
  <c r="A3485" i="1"/>
  <c r="R3484" i="1"/>
  <c r="J3484" i="1"/>
  <c r="I3484" i="1"/>
  <c r="G3484" i="1"/>
  <c r="F3484" i="1"/>
  <c r="E3484" i="1"/>
  <c r="D3484" i="1"/>
  <c r="C3484" i="1"/>
  <c r="B3484" i="1"/>
  <c r="A3484" i="1"/>
  <c r="S3483" i="1"/>
  <c r="O3483" i="1"/>
  <c r="K3483" i="1"/>
  <c r="J3483" i="1"/>
  <c r="I3483" i="1"/>
  <c r="H3483" i="1"/>
  <c r="G3483" i="1"/>
  <c r="F3483" i="1"/>
  <c r="E3483" i="1"/>
  <c r="D3483" i="1"/>
  <c r="C3483" i="1"/>
  <c r="B3483" i="1"/>
  <c r="A3483" i="1"/>
  <c r="R3482" i="1"/>
  <c r="J3482" i="1"/>
  <c r="I3482" i="1"/>
  <c r="G3482" i="1"/>
  <c r="F3482" i="1"/>
  <c r="E3482" i="1"/>
  <c r="D3482" i="1"/>
  <c r="C3482" i="1"/>
  <c r="B3482" i="1"/>
  <c r="A3482" i="1"/>
  <c r="S3481" i="1"/>
  <c r="O3481" i="1"/>
  <c r="K3481" i="1"/>
  <c r="J3481" i="1"/>
  <c r="I3481" i="1"/>
  <c r="H3481" i="1"/>
  <c r="G3481" i="1"/>
  <c r="F3481" i="1"/>
  <c r="E3481" i="1"/>
  <c r="D3481" i="1"/>
  <c r="C3481" i="1"/>
  <c r="B3481" i="1"/>
  <c r="A3481" i="1"/>
  <c r="R3480" i="1"/>
  <c r="J3480" i="1"/>
  <c r="I3480" i="1"/>
  <c r="G3480" i="1"/>
  <c r="F3480" i="1"/>
  <c r="E3480" i="1"/>
  <c r="D3480" i="1"/>
  <c r="C3480" i="1"/>
  <c r="B3480" i="1"/>
  <c r="A3480" i="1"/>
  <c r="R3479" i="1"/>
  <c r="J3479" i="1"/>
  <c r="I3479" i="1"/>
  <c r="G3479" i="1"/>
  <c r="F3479" i="1"/>
  <c r="E3479" i="1"/>
  <c r="D3479" i="1"/>
  <c r="C3479" i="1"/>
  <c r="B3479" i="1"/>
  <c r="A3479" i="1"/>
  <c r="S3478" i="1"/>
  <c r="O3478" i="1"/>
  <c r="K3478" i="1"/>
  <c r="J3478" i="1"/>
  <c r="I3478" i="1"/>
  <c r="H3478" i="1"/>
  <c r="G3478" i="1"/>
  <c r="F3478" i="1"/>
  <c r="E3478" i="1"/>
  <c r="D3478" i="1"/>
  <c r="C3478" i="1"/>
  <c r="B3478" i="1"/>
  <c r="A3478" i="1"/>
  <c r="R3477" i="1"/>
  <c r="J3477" i="1"/>
  <c r="I3477" i="1"/>
  <c r="G3477" i="1"/>
  <c r="F3477" i="1"/>
  <c r="E3477" i="1"/>
  <c r="D3477" i="1"/>
  <c r="C3477" i="1"/>
  <c r="B3477" i="1"/>
  <c r="A3477" i="1"/>
  <c r="S3476" i="1"/>
  <c r="O3476" i="1"/>
  <c r="K3476" i="1"/>
  <c r="J3476" i="1"/>
  <c r="I3476" i="1"/>
  <c r="H3476" i="1"/>
  <c r="G3476" i="1"/>
  <c r="F3476" i="1"/>
  <c r="E3476" i="1"/>
  <c r="D3476" i="1"/>
  <c r="C3476" i="1"/>
  <c r="B3476" i="1"/>
  <c r="A3476" i="1"/>
  <c r="R3475" i="1"/>
  <c r="J3475" i="1"/>
  <c r="I3475" i="1"/>
  <c r="G3475" i="1"/>
  <c r="F3475" i="1"/>
  <c r="E3475" i="1"/>
  <c r="D3475" i="1"/>
  <c r="C3475" i="1"/>
  <c r="B3475" i="1"/>
  <c r="A3475" i="1"/>
  <c r="S3474" i="1"/>
  <c r="O3474" i="1"/>
  <c r="K3474" i="1"/>
  <c r="J3474" i="1"/>
  <c r="I3474" i="1"/>
  <c r="H3474" i="1"/>
  <c r="G3474" i="1"/>
  <c r="F3474" i="1"/>
  <c r="E3474" i="1"/>
  <c r="D3474" i="1"/>
  <c r="C3474" i="1"/>
  <c r="B3474" i="1"/>
  <c r="A3474" i="1"/>
  <c r="R3473" i="1"/>
  <c r="J3473" i="1"/>
  <c r="I3473" i="1"/>
  <c r="G3473" i="1"/>
  <c r="F3473" i="1"/>
  <c r="E3473" i="1"/>
  <c r="D3473" i="1"/>
  <c r="C3473" i="1"/>
  <c r="B3473" i="1"/>
  <c r="A3473" i="1"/>
  <c r="S3472" i="1"/>
  <c r="O3472" i="1"/>
  <c r="K3472" i="1"/>
  <c r="J3472" i="1"/>
  <c r="I3472" i="1"/>
  <c r="H3472" i="1"/>
  <c r="G3472" i="1"/>
  <c r="F3472" i="1"/>
  <c r="E3472" i="1"/>
  <c r="D3472" i="1"/>
  <c r="C3472" i="1"/>
  <c r="B3472" i="1"/>
  <c r="A3472" i="1"/>
  <c r="R3471" i="1"/>
  <c r="J3471" i="1"/>
  <c r="I3471" i="1"/>
  <c r="G3471" i="1"/>
  <c r="F3471" i="1"/>
  <c r="E3471" i="1"/>
  <c r="D3471" i="1"/>
  <c r="C3471" i="1"/>
  <c r="B3471" i="1"/>
  <c r="A3471" i="1"/>
  <c r="S3470" i="1"/>
  <c r="O3470" i="1"/>
  <c r="K3470" i="1"/>
  <c r="J3470" i="1"/>
  <c r="I3470" i="1"/>
  <c r="H3470" i="1"/>
  <c r="G3470" i="1"/>
  <c r="F3470" i="1"/>
  <c r="E3470" i="1"/>
  <c r="D3470" i="1"/>
  <c r="C3470" i="1"/>
  <c r="B3470" i="1"/>
  <c r="A3470" i="1"/>
  <c r="R3469" i="1"/>
  <c r="J3469" i="1"/>
  <c r="I3469" i="1"/>
  <c r="G3469" i="1"/>
  <c r="F3469" i="1"/>
  <c r="E3469" i="1"/>
  <c r="D3469" i="1"/>
  <c r="C3469" i="1"/>
  <c r="B3469" i="1"/>
  <c r="A3469" i="1"/>
  <c r="R3468" i="1"/>
  <c r="J3468" i="1"/>
  <c r="I3468" i="1"/>
  <c r="G3468" i="1"/>
  <c r="F3468" i="1"/>
  <c r="E3468" i="1"/>
  <c r="D3468" i="1"/>
  <c r="C3468" i="1"/>
  <c r="B3468" i="1"/>
  <c r="A3468" i="1"/>
  <c r="S3467" i="1"/>
  <c r="O3467" i="1"/>
  <c r="K3467" i="1"/>
  <c r="J3467" i="1"/>
  <c r="I3467" i="1"/>
  <c r="H3467" i="1"/>
  <c r="G3467" i="1"/>
  <c r="F3467" i="1"/>
  <c r="E3467" i="1"/>
  <c r="D3467" i="1"/>
  <c r="C3467" i="1"/>
  <c r="B3467" i="1"/>
  <c r="A3467" i="1"/>
  <c r="R3466" i="1"/>
  <c r="J3466" i="1"/>
  <c r="I3466" i="1"/>
  <c r="G3466" i="1"/>
  <c r="F3466" i="1"/>
  <c r="E3466" i="1"/>
  <c r="D3466" i="1"/>
  <c r="C3466" i="1"/>
  <c r="B3466" i="1"/>
  <c r="A3466" i="1"/>
  <c r="R3465" i="1"/>
  <c r="J3465" i="1"/>
  <c r="I3465" i="1"/>
  <c r="G3465" i="1"/>
  <c r="F3465" i="1"/>
  <c r="E3465" i="1"/>
  <c r="D3465" i="1"/>
  <c r="C3465" i="1"/>
  <c r="B3465" i="1"/>
  <c r="A3465" i="1"/>
  <c r="S3464" i="1"/>
  <c r="O3464" i="1"/>
  <c r="K3464" i="1"/>
  <c r="J3464" i="1"/>
  <c r="I3464" i="1"/>
  <c r="H3464" i="1"/>
  <c r="G3464" i="1"/>
  <c r="F3464" i="1"/>
  <c r="E3464" i="1"/>
  <c r="D3464" i="1"/>
  <c r="C3464" i="1"/>
  <c r="B3464" i="1"/>
  <c r="A3464" i="1"/>
  <c r="R3463" i="1"/>
  <c r="J3463" i="1"/>
  <c r="I3463" i="1"/>
  <c r="G3463" i="1"/>
  <c r="F3463" i="1"/>
  <c r="E3463" i="1"/>
  <c r="D3463" i="1"/>
  <c r="C3463" i="1"/>
  <c r="B3463" i="1"/>
  <c r="A3463" i="1"/>
  <c r="S3462" i="1"/>
  <c r="O3462" i="1"/>
  <c r="K3462" i="1"/>
  <c r="J3462" i="1"/>
  <c r="I3462" i="1"/>
  <c r="H3462" i="1"/>
  <c r="G3462" i="1"/>
  <c r="F3462" i="1"/>
  <c r="E3462" i="1"/>
  <c r="D3462" i="1"/>
  <c r="C3462" i="1"/>
  <c r="B3462" i="1"/>
  <c r="A3462" i="1"/>
  <c r="R3461" i="1"/>
  <c r="J3461" i="1"/>
  <c r="I3461" i="1"/>
  <c r="G3461" i="1"/>
  <c r="F3461" i="1"/>
  <c r="E3461" i="1"/>
  <c r="D3461" i="1"/>
  <c r="C3461" i="1"/>
  <c r="B3461" i="1"/>
  <c r="A3461" i="1"/>
  <c r="S3460" i="1"/>
  <c r="O3460" i="1"/>
  <c r="K3460" i="1"/>
  <c r="J3460" i="1"/>
  <c r="I3460" i="1"/>
  <c r="H3460" i="1"/>
  <c r="G3460" i="1"/>
  <c r="F3460" i="1"/>
  <c r="E3460" i="1"/>
  <c r="D3460" i="1"/>
  <c r="C3460" i="1"/>
  <c r="B3460" i="1"/>
  <c r="A3460" i="1"/>
  <c r="R3459" i="1"/>
  <c r="J3459" i="1"/>
  <c r="I3459" i="1"/>
  <c r="G3459" i="1"/>
  <c r="F3459" i="1"/>
  <c r="E3459" i="1"/>
  <c r="D3459" i="1"/>
  <c r="C3459" i="1"/>
  <c r="B3459" i="1"/>
  <c r="A3459" i="1"/>
  <c r="R3458" i="1"/>
  <c r="J3458" i="1"/>
  <c r="I3458" i="1"/>
  <c r="G3458" i="1"/>
  <c r="F3458" i="1"/>
  <c r="E3458" i="1"/>
  <c r="D3458" i="1"/>
  <c r="C3458" i="1"/>
  <c r="B3458" i="1"/>
  <c r="A3458" i="1"/>
  <c r="S3457" i="1"/>
  <c r="O3457" i="1"/>
  <c r="K3457" i="1"/>
  <c r="J3457" i="1"/>
  <c r="I3457" i="1"/>
  <c r="H3457" i="1"/>
  <c r="G3457" i="1"/>
  <c r="F3457" i="1"/>
  <c r="E3457" i="1"/>
  <c r="D3457" i="1"/>
  <c r="C3457" i="1"/>
  <c r="B3457" i="1"/>
  <c r="A3457" i="1"/>
  <c r="R3456" i="1"/>
  <c r="J3456" i="1"/>
  <c r="I3456" i="1"/>
  <c r="G3456" i="1"/>
  <c r="F3456" i="1"/>
  <c r="E3456" i="1"/>
  <c r="D3456" i="1"/>
  <c r="C3456" i="1"/>
  <c r="B3456" i="1"/>
  <c r="A3456" i="1"/>
  <c r="R3455" i="1"/>
  <c r="J3455" i="1"/>
  <c r="I3455" i="1"/>
  <c r="G3455" i="1"/>
  <c r="F3455" i="1"/>
  <c r="E3455" i="1"/>
  <c r="D3455" i="1"/>
  <c r="C3455" i="1"/>
  <c r="B3455" i="1"/>
  <c r="A3455" i="1"/>
  <c r="R3454" i="1"/>
  <c r="J3454" i="1"/>
  <c r="I3454" i="1"/>
  <c r="G3454" i="1"/>
  <c r="F3454" i="1"/>
  <c r="E3454" i="1"/>
  <c r="D3454" i="1"/>
  <c r="C3454" i="1"/>
  <c r="B3454" i="1"/>
  <c r="A3454" i="1"/>
  <c r="S3453" i="1"/>
  <c r="O3453" i="1"/>
  <c r="K3453" i="1"/>
  <c r="J3453" i="1"/>
  <c r="I3453" i="1"/>
  <c r="H3453" i="1"/>
  <c r="G3453" i="1"/>
  <c r="F3453" i="1"/>
  <c r="E3453" i="1"/>
  <c r="D3453" i="1"/>
  <c r="C3453" i="1"/>
  <c r="B3453" i="1"/>
  <c r="A3453" i="1"/>
  <c r="R3452" i="1"/>
  <c r="J3452" i="1"/>
  <c r="I3452" i="1"/>
  <c r="G3452" i="1"/>
  <c r="F3452" i="1"/>
  <c r="E3452" i="1"/>
  <c r="D3452" i="1"/>
  <c r="C3452" i="1"/>
  <c r="B3452" i="1"/>
  <c r="A3452" i="1"/>
  <c r="S3451" i="1"/>
  <c r="O3451" i="1"/>
  <c r="K3451" i="1"/>
  <c r="J3451" i="1"/>
  <c r="I3451" i="1"/>
  <c r="H3451" i="1"/>
  <c r="G3451" i="1"/>
  <c r="F3451" i="1"/>
  <c r="E3451" i="1"/>
  <c r="D3451" i="1"/>
  <c r="C3451" i="1"/>
  <c r="B3451" i="1"/>
  <c r="A3451" i="1"/>
  <c r="R3450" i="1"/>
  <c r="J3450" i="1"/>
  <c r="I3450" i="1"/>
  <c r="G3450" i="1"/>
  <c r="F3450" i="1"/>
  <c r="E3450" i="1"/>
  <c r="D3450" i="1"/>
  <c r="C3450" i="1"/>
  <c r="B3450" i="1"/>
  <c r="A3450" i="1"/>
  <c r="S3449" i="1"/>
  <c r="O3449" i="1"/>
  <c r="K3449" i="1"/>
  <c r="J3449" i="1"/>
  <c r="I3449" i="1"/>
  <c r="H3449" i="1"/>
  <c r="G3449" i="1"/>
  <c r="F3449" i="1"/>
  <c r="E3449" i="1"/>
  <c r="D3449" i="1"/>
  <c r="C3449" i="1"/>
  <c r="B3449" i="1"/>
  <c r="A3449" i="1"/>
  <c r="R3448" i="1"/>
  <c r="J3448" i="1"/>
  <c r="I3448" i="1"/>
  <c r="G3448" i="1"/>
  <c r="F3448" i="1"/>
  <c r="E3448" i="1"/>
  <c r="D3448" i="1"/>
  <c r="C3448" i="1"/>
  <c r="B3448" i="1"/>
  <c r="A3448" i="1"/>
  <c r="R3447" i="1"/>
  <c r="J3447" i="1"/>
  <c r="I3447" i="1"/>
  <c r="G3447" i="1"/>
  <c r="F3447" i="1"/>
  <c r="E3447" i="1"/>
  <c r="D3447" i="1"/>
  <c r="C3447" i="1"/>
  <c r="B3447" i="1"/>
  <c r="A3447" i="1"/>
  <c r="R3446" i="1"/>
  <c r="J3446" i="1"/>
  <c r="I3446" i="1"/>
  <c r="G3446" i="1"/>
  <c r="F3446" i="1"/>
  <c r="E3446" i="1"/>
  <c r="D3446" i="1"/>
  <c r="C3446" i="1"/>
  <c r="B3446" i="1"/>
  <c r="A3446" i="1"/>
  <c r="S3445" i="1"/>
  <c r="O3445" i="1"/>
  <c r="K3445" i="1"/>
  <c r="J3445" i="1"/>
  <c r="I3445" i="1"/>
  <c r="H3445" i="1"/>
  <c r="G3445" i="1"/>
  <c r="F3445" i="1"/>
  <c r="E3445" i="1"/>
  <c r="D3445" i="1"/>
  <c r="C3445" i="1"/>
  <c r="B3445" i="1"/>
  <c r="A3445" i="1"/>
  <c r="R3444" i="1"/>
  <c r="J3444" i="1"/>
  <c r="I3444" i="1"/>
  <c r="G3444" i="1"/>
  <c r="F3444" i="1"/>
  <c r="E3444" i="1"/>
  <c r="D3444" i="1"/>
  <c r="C3444" i="1"/>
  <c r="B3444" i="1"/>
  <c r="A3444" i="1"/>
  <c r="S3443" i="1"/>
  <c r="O3443" i="1"/>
  <c r="K3443" i="1"/>
  <c r="J3443" i="1"/>
  <c r="I3443" i="1"/>
  <c r="H3443" i="1"/>
  <c r="G3443" i="1"/>
  <c r="F3443" i="1"/>
  <c r="E3443" i="1"/>
  <c r="D3443" i="1"/>
  <c r="C3443" i="1"/>
  <c r="B3443" i="1"/>
  <c r="A3443" i="1"/>
  <c r="R3442" i="1"/>
  <c r="J3442" i="1"/>
  <c r="I3442" i="1"/>
  <c r="G3442" i="1"/>
  <c r="F3442" i="1"/>
  <c r="E3442" i="1"/>
  <c r="D3442" i="1"/>
  <c r="C3442" i="1"/>
  <c r="B3442" i="1"/>
  <c r="A3442" i="1"/>
  <c r="S3441" i="1"/>
  <c r="O3441" i="1"/>
  <c r="K3441" i="1"/>
  <c r="J3441" i="1"/>
  <c r="I3441" i="1"/>
  <c r="H3441" i="1"/>
  <c r="G3441" i="1"/>
  <c r="F3441" i="1"/>
  <c r="E3441" i="1"/>
  <c r="D3441" i="1"/>
  <c r="C3441" i="1"/>
  <c r="B3441" i="1"/>
  <c r="A3441" i="1"/>
  <c r="R3440" i="1"/>
  <c r="J3440" i="1"/>
  <c r="I3440" i="1"/>
  <c r="G3440" i="1"/>
  <c r="F3440" i="1"/>
  <c r="E3440" i="1"/>
  <c r="D3440" i="1"/>
  <c r="C3440" i="1"/>
  <c r="B3440" i="1"/>
  <c r="A3440" i="1"/>
  <c r="S3439" i="1"/>
  <c r="O3439" i="1"/>
  <c r="K3439" i="1"/>
  <c r="J3439" i="1"/>
  <c r="I3439" i="1"/>
  <c r="H3439" i="1"/>
  <c r="G3439" i="1"/>
  <c r="F3439" i="1"/>
  <c r="E3439" i="1"/>
  <c r="D3439" i="1"/>
  <c r="C3439" i="1"/>
  <c r="B3439" i="1"/>
  <c r="A3439" i="1"/>
  <c r="R3438" i="1"/>
  <c r="J3438" i="1"/>
  <c r="I3438" i="1"/>
  <c r="G3438" i="1"/>
  <c r="F3438" i="1"/>
  <c r="E3438" i="1"/>
  <c r="D3438" i="1"/>
  <c r="C3438" i="1"/>
  <c r="B3438" i="1"/>
  <c r="A3438" i="1"/>
  <c r="S3437" i="1"/>
  <c r="O3437" i="1"/>
  <c r="K3437" i="1"/>
  <c r="J3437" i="1"/>
  <c r="I3437" i="1"/>
  <c r="H3437" i="1"/>
  <c r="G3437" i="1"/>
  <c r="F3437" i="1"/>
  <c r="E3437" i="1"/>
  <c r="D3437" i="1"/>
  <c r="C3437" i="1"/>
  <c r="B3437" i="1"/>
  <c r="A3437" i="1"/>
  <c r="R3436" i="1"/>
  <c r="J3436" i="1"/>
  <c r="I3436" i="1"/>
  <c r="G3436" i="1"/>
  <c r="F3436" i="1"/>
  <c r="E3436" i="1"/>
  <c r="D3436" i="1"/>
  <c r="C3436" i="1"/>
  <c r="B3436" i="1"/>
  <c r="A3436" i="1"/>
  <c r="S3435" i="1"/>
  <c r="O3435" i="1"/>
  <c r="K3435" i="1"/>
  <c r="J3435" i="1"/>
  <c r="I3435" i="1"/>
  <c r="H3435" i="1"/>
  <c r="G3435" i="1"/>
  <c r="F3435" i="1"/>
  <c r="E3435" i="1"/>
  <c r="D3435" i="1"/>
  <c r="C3435" i="1"/>
  <c r="B3435" i="1"/>
  <c r="A3435" i="1"/>
  <c r="R3434" i="1"/>
  <c r="J3434" i="1"/>
  <c r="I3434" i="1"/>
  <c r="G3434" i="1"/>
  <c r="F3434" i="1"/>
  <c r="E3434" i="1"/>
  <c r="D3434" i="1"/>
  <c r="C3434" i="1"/>
  <c r="B3434" i="1"/>
  <c r="A3434" i="1"/>
  <c r="R3433" i="1"/>
  <c r="J3433" i="1"/>
  <c r="I3433" i="1"/>
  <c r="G3433" i="1"/>
  <c r="F3433" i="1"/>
  <c r="E3433" i="1"/>
  <c r="D3433" i="1"/>
  <c r="C3433" i="1"/>
  <c r="B3433" i="1"/>
  <c r="A3433" i="1"/>
  <c r="S3432" i="1"/>
  <c r="O3432" i="1"/>
  <c r="K3432" i="1"/>
  <c r="J3432" i="1"/>
  <c r="I3432" i="1"/>
  <c r="H3432" i="1"/>
  <c r="G3432" i="1"/>
  <c r="F3432" i="1"/>
  <c r="E3432" i="1"/>
  <c r="D3432" i="1"/>
  <c r="C3432" i="1"/>
  <c r="B3432" i="1"/>
  <c r="A3432" i="1"/>
  <c r="R3431" i="1"/>
  <c r="J3431" i="1"/>
  <c r="I3431" i="1"/>
  <c r="G3431" i="1"/>
  <c r="F3431" i="1"/>
  <c r="E3431" i="1"/>
  <c r="D3431" i="1"/>
  <c r="C3431" i="1"/>
  <c r="B3431" i="1"/>
  <c r="A3431" i="1"/>
  <c r="R3430" i="1"/>
  <c r="J3430" i="1"/>
  <c r="I3430" i="1"/>
  <c r="G3430" i="1"/>
  <c r="F3430" i="1"/>
  <c r="E3430" i="1"/>
  <c r="D3430" i="1"/>
  <c r="C3430" i="1"/>
  <c r="B3430" i="1"/>
  <c r="A3430" i="1"/>
  <c r="S3429" i="1"/>
  <c r="O3429" i="1"/>
  <c r="K3429" i="1"/>
  <c r="J3429" i="1"/>
  <c r="I3429" i="1"/>
  <c r="H3429" i="1"/>
  <c r="G3429" i="1"/>
  <c r="F3429" i="1"/>
  <c r="E3429" i="1"/>
  <c r="D3429" i="1"/>
  <c r="C3429" i="1"/>
  <c r="B3429" i="1"/>
  <c r="A3429" i="1"/>
  <c r="R3428" i="1"/>
  <c r="J3428" i="1"/>
  <c r="I3428" i="1"/>
  <c r="G3428" i="1"/>
  <c r="F3428" i="1"/>
  <c r="E3428" i="1"/>
  <c r="D3428" i="1"/>
  <c r="C3428" i="1"/>
  <c r="B3428" i="1"/>
  <c r="A3428" i="1"/>
  <c r="S3427" i="1"/>
  <c r="O3427" i="1"/>
  <c r="K3427" i="1"/>
  <c r="J3427" i="1"/>
  <c r="I3427" i="1"/>
  <c r="H3427" i="1"/>
  <c r="G3427" i="1"/>
  <c r="F3427" i="1"/>
  <c r="E3427" i="1"/>
  <c r="D3427" i="1"/>
  <c r="C3427" i="1"/>
  <c r="B3427" i="1"/>
  <c r="A3427" i="1"/>
  <c r="R3426" i="1"/>
  <c r="J3426" i="1"/>
  <c r="I3426" i="1"/>
  <c r="G3426" i="1"/>
  <c r="F3426" i="1"/>
  <c r="E3426" i="1"/>
  <c r="D3426" i="1"/>
  <c r="C3426" i="1"/>
  <c r="B3426" i="1"/>
  <c r="A3426" i="1"/>
  <c r="S3425" i="1"/>
  <c r="O3425" i="1"/>
  <c r="K3425" i="1"/>
  <c r="J3425" i="1"/>
  <c r="I3425" i="1"/>
  <c r="H3425" i="1"/>
  <c r="G3425" i="1"/>
  <c r="F3425" i="1"/>
  <c r="E3425" i="1"/>
  <c r="D3425" i="1"/>
  <c r="C3425" i="1"/>
  <c r="B3425" i="1"/>
  <c r="A3425" i="1"/>
  <c r="R3424" i="1"/>
  <c r="J3424" i="1"/>
  <c r="I3424" i="1"/>
  <c r="G3424" i="1"/>
  <c r="F3424" i="1"/>
  <c r="E3424" i="1"/>
  <c r="D3424" i="1"/>
  <c r="C3424" i="1"/>
  <c r="B3424" i="1"/>
  <c r="A3424" i="1"/>
  <c r="S3423" i="1"/>
  <c r="O3423" i="1"/>
  <c r="K3423" i="1"/>
  <c r="J3423" i="1"/>
  <c r="I3423" i="1"/>
  <c r="H3423" i="1"/>
  <c r="G3423" i="1"/>
  <c r="F3423" i="1"/>
  <c r="E3423" i="1"/>
  <c r="D3423" i="1"/>
  <c r="C3423" i="1"/>
  <c r="B3423" i="1"/>
  <c r="A3423" i="1"/>
  <c r="R3422" i="1"/>
  <c r="J3422" i="1"/>
  <c r="I3422" i="1"/>
  <c r="G3422" i="1"/>
  <c r="F3422" i="1"/>
  <c r="E3422" i="1"/>
  <c r="D3422" i="1"/>
  <c r="C3422" i="1"/>
  <c r="B3422" i="1"/>
  <c r="A3422" i="1"/>
  <c r="R3421" i="1"/>
  <c r="J3421" i="1"/>
  <c r="I3421" i="1"/>
  <c r="G3421" i="1"/>
  <c r="F3421" i="1"/>
  <c r="E3421" i="1"/>
  <c r="D3421" i="1"/>
  <c r="C3421" i="1"/>
  <c r="B3421" i="1"/>
  <c r="A3421" i="1"/>
  <c r="S3420" i="1"/>
  <c r="O3420" i="1"/>
  <c r="K3420" i="1"/>
  <c r="J3420" i="1"/>
  <c r="I3420" i="1"/>
  <c r="H3420" i="1"/>
  <c r="G3420" i="1"/>
  <c r="F3420" i="1"/>
  <c r="E3420" i="1"/>
  <c r="D3420" i="1"/>
  <c r="C3420" i="1"/>
  <c r="B3420" i="1"/>
  <c r="A3420" i="1"/>
  <c r="R3419" i="1"/>
  <c r="J3419" i="1"/>
  <c r="I3419" i="1"/>
  <c r="G3419" i="1"/>
  <c r="F3419" i="1"/>
  <c r="E3419" i="1"/>
  <c r="D3419" i="1"/>
  <c r="C3419" i="1"/>
  <c r="B3419" i="1"/>
  <c r="A3419" i="1"/>
  <c r="S3418" i="1"/>
  <c r="O3418" i="1"/>
  <c r="K3418" i="1"/>
  <c r="J3418" i="1"/>
  <c r="I3418" i="1"/>
  <c r="H3418" i="1"/>
  <c r="G3418" i="1"/>
  <c r="F3418" i="1"/>
  <c r="E3418" i="1"/>
  <c r="D3418" i="1"/>
  <c r="C3418" i="1"/>
  <c r="B3418" i="1"/>
  <c r="A3418" i="1"/>
  <c r="R3417" i="1"/>
  <c r="J3417" i="1"/>
  <c r="I3417" i="1"/>
  <c r="G3417" i="1"/>
  <c r="F3417" i="1"/>
  <c r="E3417" i="1"/>
  <c r="D3417" i="1"/>
  <c r="C3417" i="1"/>
  <c r="B3417" i="1"/>
  <c r="A3417" i="1"/>
  <c r="S3416" i="1"/>
  <c r="O3416" i="1"/>
  <c r="K3416" i="1"/>
  <c r="J3416" i="1"/>
  <c r="I3416" i="1"/>
  <c r="H3416" i="1"/>
  <c r="G3416" i="1"/>
  <c r="F3416" i="1"/>
  <c r="E3416" i="1"/>
  <c r="D3416" i="1"/>
  <c r="C3416" i="1"/>
  <c r="B3416" i="1"/>
  <c r="A3416" i="1"/>
  <c r="R3415" i="1"/>
  <c r="J3415" i="1"/>
  <c r="I3415" i="1"/>
  <c r="G3415" i="1"/>
  <c r="F3415" i="1"/>
  <c r="E3415" i="1"/>
  <c r="D3415" i="1"/>
  <c r="C3415" i="1"/>
  <c r="B3415" i="1"/>
  <c r="A3415" i="1"/>
  <c r="S3414" i="1"/>
  <c r="O3414" i="1"/>
  <c r="K3414" i="1"/>
  <c r="J3414" i="1"/>
  <c r="I3414" i="1"/>
  <c r="H3414" i="1"/>
  <c r="G3414" i="1"/>
  <c r="F3414" i="1"/>
  <c r="E3414" i="1"/>
  <c r="D3414" i="1"/>
  <c r="C3414" i="1"/>
  <c r="B3414" i="1"/>
  <c r="A3414" i="1"/>
  <c r="R3413" i="1"/>
  <c r="J3413" i="1"/>
  <c r="I3413" i="1"/>
  <c r="G3413" i="1"/>
  <c r="F3413" i="1"/>
  <c r="E3413" i="1"/>
  <c r="D3413" i="1"/>
  <c r="C3413" i="1"/>
  <c r="B3413" i="1"/>
  <c r="A3413" i="1"/>
  <c r="S3412" i="1"/>
  <c r="O3412" i="1"/>
  <c r="K3412" i="1"/>
  <c r="J3412" i="1"/>
  <c r="I3412" i="1"/>
  <c r="H3412" i="1"/>
  <c r="G3412" i="1"/>
  <c r="F3412" i="1"/>
  <c r="E3412" i="1"/>
  <c r="D3412" i="1"/>
  <c r="C3412" i="1"/>
  <c r="B3412" i="1"/>
  <c r="A3412" i="1"/>
  <c r="R3411" i="1"/>
  <c r="J3411" i="1"/>
  <c r="I3411" i="1"/>
  <c r="G3411" i="1"/>
  <c r="F3411" i="1"/>
  <c r="E3411" i="1"/>
  <c r="D3411" i="1"/>
  <c r="C3411" i="1"/>
  <c r="B3411" i="1"/>
  <c r="A3411" i="1"/>
  <c r="S3410" i="1"/>
  <c r="O3410" i="1"/>
  <c r="K3410" i="1"/>
  <c r="J3410" i="1"/>
  <c r="I3410" i="1"/>
  <c r="H3410" i="1"/>
  <c r="G3410" i="1"/>
  <c r="F3410" i="1"/>
  <c r="E3410" i="1"/>
  <c r="D3410" i="1"/>
  <c r="C3410" i="1"/>
  <c r="B3410" i="1"/>
  <c r="A3410" i="1"/>
  <c r="R3409" i="1"/>
  <c r="J3409" i="1"/>
  <c r="I3409" i="1"/>
  <c r="G3409" i="1"/>
  <c r="F3409" i="1"/>
  <c r="E3409" i="1"/>
  <c r="D3409" i="1"/>
  <c r="C3409" i="1"/>
  <c r="B3409" i="1"/>
  <c r="A3409" i="1"/>
  <c r="S3408" i="1"/>
  <c r="O3408" i="1"/>
  <c r="K3408" i="1"/>
  <c r="J3408" i="1"/>
  <c r="I3408" i="1"/>
  <c r="H3408" i="1"/>
  <c r="G3408" i="1"/>
  <c r="F3408" i="1"/>
  <c r="E3408" i="1"/>
  <c r="D3408" i="1"/>
  <c r="C3408" i="1"/>
  <c r="B3408" i="1"/>
  <c r="A3408" i="1"/>
  <c r="R3407" i="1"/>
  <c r="J3407" i="1"/>
  <c r="I3407" i="1"/>
  <c r="G3407" i="1"/>
  <c r="F3407" i="1"/>
  <c r="E3407" i="1"/>
  <c r="D3407" i="1"/>
  <c r="C3407" i="1"/>
  <c r="B3407" i="1"/>
  <c r="A3407" i="1"/>
  <c r="S3406" i="1"/>
  <c r="O3406" i="1"/>
  <c r="K3406" i="1"/>
  <c r="J3406" i="1"/>
  <c r="I3406" i="1"/>
  <c r="H3406" i="1"/>
  <c r="G3406" i="1"/>
  <c r="F3406" i="1"/>
  <c r="E3406" i="1"/>
  <c r="D3406" i="1"/>
  <c r="C3406" i="1"/>
  <c r="B3406" i="1"/>
  <c r="A3406" i="1"/>
  <c r="R3405" i="1"/>
  <c r="J3405" i="1"/>
  <c r="I3405" i="1"/>
  <c r="G3405" i="1"/>
  <c r="F3405" i="1"/>
  <c r="E3405" i="1"/>
  <c r="D3405" i="1"/>
  <c r="C3405" i="1"/>
  <c r="B3405" i="1"/>
  <c r="A3405" i="1"/>
  <c r="S3404" i="1"/>
  <c r="O3404" i="1"/>
  <c r="K3404" i="1"/>
  <c r="J3404" i="1"/>
  <c r="I3404" i="1"/>
  <c r="H3404" i="1"/>
  <c r="G3404" i="1"/>
  <c r="F3404" i="1"/>
  <c r="E3404" i="1"/>
  <c r="D3404" i="1"/>
  <c r="C3404" i="1"/>
  <c r="B3404" i="1"/>
  <c r="A3404" i="1"/>
  <c r="R3403" i="1"/>
  <c r="J3403" i="1"/>
  <c r="I3403" i="1"/>
  <c r="G3403" i="1"/>
  <c r="F3403" i="1"/>
  <c r="E3403" i="1"/>
  <c r="D3403" i="1"/>
  <c r="C3403" i="1"/>
  <c r="B3403" i="1"/>
  <c r="A3403" i="1"/>
  <c r="R3402" i="1"/>
  <c r="J3402" i="1"/>
  <c r="I3402" i="1"/>
  <c r="G3402" i="1"/>
  <c r="F3402" i="1"/>
  <c r="E3402" i="1"/>
  <c r="D3402" i="1"/>
  <c r="C3402" i="1"/>
  <c r="B3402" i="1"/>
  <c r="A3402" i="1"/>
  <c r="S3401" i="1"/>
  <c r="O3401" i="1"/>
  <c r="K3401" i="1"/>
  <c r="J3401" i="1"/>
  <c r="I3401" i="1"/>
  <c r="H3401" i="1"/>
  <c r="G3401" i="1"/>
  <c r="F3401" i="1"/>
  <c r="E3401" i="1"/>
  <c r="D3401" i="1"/>
  <c r="C3401" i="1"/>
  <c r="B3401" i="1"/>
  <c r="A3401" i="1"/>
  <c r="R3400" i="1"/>
  <c r="J3400" i="1"/>
  <c r="I3400" i="1"/>
  <c r="G3400" i="1"/>
  <c r="F3400" i="1"/>
  <c r="E3400" i="1"/>
  <c r="D3400" i="1"/>
  <c r="C3400" i="1"/>
  <c r="B3400" i="1"/>
  <c r="A3400" i="1"/>
  <c r="S3399" i="1"/>
  <c r="O3399" i="1"/>
  <c r="K3399" i="1"/>
  <c r="J3399" i="1"/>
  <c r="I3399" i="1"/>
  <c r="H3399" i="1"/>
  <c r="G3399" i="1"/>
  <c r="F3399" i="1"/>
  <c r="E3399" i="1"/>
  <c r="D3399" i="1"/>
  <c r="C3399" i="1"/>
  <c r="B3399" i="1"/>
  <c r="A3399" i="1"/>
  <c r="R3398" i="1"/>
  <c r="J3398" i="1"/>
  <c r="I3398" i="1"/>
  <c r="G3398" i="1"/>
  <c r="F3398" i="1"/>
  <c r="E3398" i="1"/>
  <c r="D3398" i="1"/>
  <c r="C3398" i="1"/>
  <c r="B3398" i="1"/>
  <c r="A3398" i="1"/>
  <c r="R3397" i="1"/>
  <c r="J3397" i="1"/>
  <c r="I3397" i="1"/>
  <c r="G3397" i="1"/>
  <c r="F3397" i="1"/>
  <c r="E3397" i="1"/>
  <c r="D3397" i="1"/>
  <c r="C3397" i="1"/>
  <c r="B3397" i="1"/>
  <c r="A3397" i="1"/>
  <c r="S3396" i="1"/>
  <c r="O3396" i="1"/>
  <c r="K3396" i="1"/>
  <c r="J3396" i="1"/>
  <c r="I3396" i="1"/>
  <c r="H3396" i="1"/>
  <c r="G3396" i="1"/>
  <c r="F3396" i="1"/>
  <c r="E3396" i="1"/>
  <c r="D3396" i="1"/>
  <c r="C3396" i="1"/>
  <c r="B3396" i="1"/>
  <c r="A3396" i="1"/>
  <c r="R3395" i="1"/>
  <c r="J3395" i="1"/>
  <c r="I3395" i="1"/>
  <c r="G3395" i="1"/>
  <c r="F3395" i="1"/>
  <c r="E3395" i="1"/>
  <c r="D3395" i="1"/>
  <c r="C3395" i="1"/>
  <c r="B3395" i="1"/>
  <c r="A3395" i="1"/>
  <c r="S3394" i="1"/>
  <c r="O3394" i="1"/>
  <c r="K3394" i="1"/>
  <c r="J3394" i="1"/>
  <c r="I3394" i="1"/>
  <c r="H3394" i="1"/>
  <c r="G3394" i="1"/>
  <c r="F3394" i="1"/>
  <c r="E3394" i="1"/>
  <c r="D3394" i="1"/>
  <c r="C3394" i="1"/>
  <c r="B3394" i="1"/>
  <c r="A3394" i="1"/>
  <c r="R3393" i="1"/>
  <c r="J3393" i="1"/>
  <c r="I3393" i="1"/>
  <c r="G3393" i="1"/>
  <c r="F3393" i="1"/>
  <c r="E3393" i="1"/>
  <c r="D3393" i="1"/>
  <c r="C3393" i="1"/>
  <c r="B3393" i="1"/>
  <c r="A3393" i="1"/>
  <c r="S3392" i="1"/>
  <c r="O3392" i="1"/>
  <c r="K3392" i="1"/>
  <c r="J3392" i="1"/>
  <c r="I3392" i="1"/>
  <c r="H3392" i="1"/>
  <c r="G3392" i="1"/>
  <c r="F3392" i="1"/>
  <c r="E3392" i="1"/>
  <c r="D3392" i="1"/>
  <c r="C3392" i="1"/>
  <c r="B3392" i="1"/>
  <c r="A3392" i="1"/>
  <c r="R3391" i="1"/>
  <c r="J3391" i="1"/>
  <c r="I3391" i="1"/>
  <c r="G3391" i="1"/>
  <c r="F3391" i="1"/>
  <c r="E3391" i="1"/>
  <c r="D3391" i="1"/>
  <c r="C3391" i="1"/>
  <c r="B3391" i="1"/>
  <c r="A3391" i="1"/>
  <c r="R3390" i="1"/>
  <c r="J3390" i="1"/>
  <c r="I3390" i="1"/>
  <c r="G3390" i="1"/>
  <c r="F3390" i="1"/>
  <c r="E3390" i="1"/>
  <c r="D3390" i="1"/>
  <c r="C3390" i="1"/>
  <c r="B3390" i="1"/>
  <c r="A3390" i="1"/>
  <c r="S3389" i="1"/>
  <c r="O3389" i="1"/>
  <c r="K3389" i="1"/>
  <c r="J3389" i="1"/>
  <c r="I3389" i="1"/>
  <c r="H3389" i="1"/>
  <c r="G3389" i="1"/>
  <c r="F3389" i="1"/>
  <c r="E3389" i="1"/>
  <c r="D3389" i="1"/>
  <c r="C3389" i="1"/>
  <c r="B3389" i="1"/>
  <c r="A3389" i="1"/>
  <c r="R3388" i="1"/>
  <c r="J3388" i="1"/>
  <c r="I3388" i="1"/>
  <c r="G3388" i="1"/>
  <c r="F3388" i="1"/>
  <c r="E3388" i="1"/>
  <c r="D3388" i="1"/>
  <c r="C3388" i="1"/>
  <c r="B3388" i="1"/>
  <c r="A3388" i="1"/>
  <c r="R3387" i="1"/>
  <c r="J3387" i="1"/>
  <c r="I3387" i="1"/>
  <c r="G3387" i="1"/>
  <c r="F3387" i="1"/>
  <c r="E3387" i="1"/>
  <c r="D3387" i="1"/>
  <c r="C3387" i="1"/>
  <c r="B3387" i="1"/>
  <c r="A3387" i="1"/>
  <c r="S3386" i="1"/>
  <c r="O3386" i="1"/>
  <c r="K3386" i="1"/>
  <c r="J3386" i="1"/>
  <c r="I3386" i="1"/>
  <c r="H3386" i="1"/>
  <c r="G3386" i="1"/>
  <c r="F3386" i="1"/>
  <c r="E3386" i="1"/>
  <c r="D3386" i="1"/>
  <c r="C3386" i="1"/>
  <c r="B3386" i="1"/>
  <c r="A3386" i="1"/>
  <c r="R3385" i="1"/>
  <c r="J3385" i="1"/>
  <c r="I3385" i="1"/>
  <c r="G3385" i="1"/>
  <c r="F3385" i="1"/>
  <c r="E3385" i="1"/>
  <c r="D3385" i="1"/>
  <c r="C3385" i="1"/>
  <c r="B3385" i="1"/>
  <c r="A3385" i="1"/>
  <c r="R3384" i="1"/>
  <c r="J3384" i="1"/>
  <c r="I3384" i="1"/>
  <c r="G3384" i="1"/>
  <c r="F3384" i="1"/>
  <c r="E3384" i="1"/>
  <c r="D3384" i="1"/>
  <c r="C3384" i="1"/>
  <c r="B3384" i="1"/>
  <c r="A3384" i="1"/>
  <c r="S3383" i="1"/>
  <c r="O3383" i="1"/>
  <c r="K3383" i="1"/>
  <c r="J3383" i="1"/>
  <c r="I3383" i="1"/>
  <c r="H3383" i="1"/>
  <c r="G3383" i="1"/>
  <c r="F3383" i="1"/>
  <c r="E3383" i="1"/>
  <c r="D3383" i="1"/>
  <c r="C3383" i="1"/>
  <c r="B3383" i="1"/>
  <c r="A3383" i="1"/>
  <c r="R3382" i="1"/>
  <c r="J3382" i="1"/>
  <c r="I3382" i="1"/>
  <c r="G3382" i="1"/>
  <c r="F3382" i="1"/>
  <c r="E3382" i="1"/>
  <c r="D3382" i="1"/>
  <c r="C3382" i="1"/>
  <c r="B3382" i="1"/>
  <c r="A3382" i="1"/>
  <c r="R3381" i="1"/>
  <c r="J3381" i="1"/>
  <c r="I3381" i="1"/>
  <c r="G3381" i="1"/>
  <c r="F3381" i="1"/>
  <c r="E3381" i="1"/>
  <c r="D3381" i="1"/>
  <c r="C3381" i="1"/>
  <c r="B3381" i="1"/>
  <c r="A3381" i="1"/>
  <c r="S3380" i="1"/>
  <c r="O3380" i="1"/>
  <c r="K3380" i="1"/>
  <c r="J3380" i="1"/>
  <c r="I3380" i="1"/>
  <c r="H3380" i="1"/>
  <c r="G3380" i="1"/>
  <c r="F3380" i="1"/>
  <c r="E3380" i="1"/>
  <c r="D3380" i="1"/>
  <c r="C3380" i="1"/>
  <c r="B3380" i="1"/>
  <c r="A3380" i="1"/>
  <c r="R3379" i="1"/>
  <c r="J3379" i="1"/>
  <c r="I3379" i="1"/>
  <c r="G3379" i="1"/>
  <c r="F3379" i="1"/>
  <c r="E3379" i="1"/>
  <c r="D3379" i="1"/>
  <c r="C3379" i="1"/>
  <c r="B3379" i="1"/>
  <c r="A3379" i="1"/>
  <c r="S3378" i="1"/>
  <c r="O3378" i="1"/>
  <c r="K3378" i="1"/>
  <c r="J3378" i="1"/>
  <c r="I3378" i="1"/>
  <c r="H3378" i="1"/>
  <c r="G3378" i="1"/>
  <c r="F3378" i="1"/>
  <c r="E3378" i="1"/>
  <c r="D3378" i="1"/>
  <c r="C3378" i="1"/>
  <c r="B3378" i="1"/>
  <c r="A3378" i="1"/>
  <c r="R3377" i="1"/>
  <c r="J3377" i="1"/>
  <c r="I3377" i="1"/>
  <c r="G3377" i="1"/>
  <c r="F3377" i="1"/>
  <c r="E3377" i="1"/>
  <c r="D3377" i="1"/>
  <c r="C3377" i="1"/>
  <c r="B3377" i="1"/>
  <c r="A3377" i="1"/>
  <c r="R3376" i="1"/>
  <c r="J3376" i="1"/>
  <c r="I3376" i="1"/>
  <c r="G3376" i="1"/>
  <c r="F3376" i="1"/>
  <c r="E3376" i="1"/>
  <c r="D3376" i="1"/>
  <c r="C3376" i="1"/>
  <c r="B3376" i="1"/>
  <c r="A3376" i="1"/>
  <c r="S3375" i="1"/>
  <c r="O3375" i="1"/>
  <c r="K3375" i="1"/>
  <c r="J3375" i="1"/>
  <c r="I3375" i="1"/>
  <c r="H3375" i="1"/>
  <c r="G3375" i="1"/>
  <c r="F3375" i="1"/>
  <c r="E3375" i="1"/>
  <c r="D3375" i="1"/>
  <c r="C3375" i="1"/>
  <c r="B3375" i="1"/>
  <c r="A3375" i="1"/>
  <c r="R3374" i="1"/>
  <c r="J3374" i="1"/>
  <c r="I3374" i="1"/>
  <c r="G3374" i="1"/>
  <c r="F3374" i="1"/>
  <c r="E3374" i="1"/>
  <c r="D3374" i="1"/>
  <c r="C3374" i="1"/>
  <c r="B3374" i="1"/>
  <c r="A3374" i="1"/>
  <c r="S3373" i="1"/>
  <c r="O3373" i="1"/>
  <c r="K3373" i="1"/>
  <c r="J3373" i="1"/>
  <c r="I3373" i="1"/>
  <c r="H3373" i="1"/>
  <c r="G3373" i="1"/>
  <c r="F3373" i="1"/>
  <c r="E3373" i="1"/>
  <c r="D3373" i="1"/>
  <c r="C3373" i="1"/>
  <c r="B3373" i="1"/>
  <c r="A3373" i="1"/>
  <c r="R3372" i="1"/>
  <c r="J3372" i="1"/>
  <c r="I3372" i="1"/>
  <c r="G3372" i="1"/>
  <c r="F3372" i="1"/>
  <c r="E3372" i="1"/>
  <c r="D3372" i="1"/>
  <c r="C3372" i="1"/>
  <c r="B3372" i="1"/>
  <c r="A3372" i="1"/>
  <c r="S3371" i="1"/>
  <c r="O3371" i="1"/>
  <c r="K3371" i="1"/>
  <c r="J3371" i="1"/>
  <c r="I3371" i="1"/>
  <c r="H3371" i="1"/>
  <c r="G3371" i="1"/>
  <c r="F3371" i="1"/>
  <c r="E3371" i="1"/>
  <c r="D3371" i="1"/>
  <c r="C3371" i="1"/>
  <c r="B3371" i="1"/>
  <c r="A3371" i="1"/>
  <c r="R3370" i="1"/>
  <c r="J3370" i="1"/>
  <c r="I3370" i="1"/>
  <c r="G3370" i="1"/>
  <c r="F3370" i="1"/>
  <c r="E3370" i="1"/>
  <c r="D3370" i="1"/>
  <c r="C3370" i="1"/>
  <c r="B3370" i="1"/>
  <c r="A3370" i="1"/>
  <c r="S3369" i="1"/>
  <c r="O3369" i="1"/>
  <c r="K3369" i="1"/>
  <c r="J3369" i="1"/>
  <c r="I3369" i="1"/>
  <c r="H3369" i="1"/>
  <c r="G3369" i="1"/>
  <c r="F3369" i="1"/>
  <c r="E3369" i="1"/>
  <c r="D3369" i="1"/>
  <c r="C3369" i="1"/>
  <c r="B3369" i="1"/>
  <c r="A3369" i="1"/>
  <c r="R3368" i="1"/>
  <c r="J3368" i="1"/>
  <c r="I3368" i="1"/>
  <c r="G3368" i="1"/>
  <c r="F3368" i="1"/>
  <c r="E3368" i="1"/>
  <c r="D3368" i="1"/>
  <c r="C3368" i="1"/>
  <c r="B3368" i="1"/>
  <c r="A3368" i="1"/>
  <c r="S3367" i="1"/>
  <c r="O3367" i="1"/>
  <c r="K3367" i="1"/>
  <c r="J3367" i="1"/>
  <c r="I3367" i="1"/>
  <c r="H3367" i="1"/>
  <c r="G3367" i="1"/>
  <c r="F3367" i="1"/>
  <c r="E3367" i="1"/>
  <c r="D3367" i="1"/>
  <c r="C3367" i="1"/>
  <c r="B3367" i="1"/>
  <c r="A3367" i="1"/>
  <c r="R3366" i="1"/>
  <c r="J3366" i="1"/>
  <c r="I3366" i="1"/>
  <c r="G3366" i="1"/>
  <c r="F3366" i="1"/>
  <c r="E3366" i="1"/>
  <c r="D3366" i="1"/>
  <c r="C3366" i="1"/>
  <c r="B3366" i="1"/>
  <c r="A3366" i="1"/>
  <c r="S3365" i="1"/>
  <c r="O3365" i="1"/>
  <c r="K3365" i="1"/>
  <c r="J3365" i="1"/>
  <c r="I3365" i="1"/>
  <c r="H3365" i="1"/>
  <c r="G3365" i="1"/>
  <c r="F3365" i="1"/>
  <c r="E3365" i="1"/>
  <c r="D3365" i="1"/>
  <c r="C3365" i="1"/>
  <c r="B3365" i="1"/>
  <c r="A3365" i="1"/>
  <c r="R3364" i="1"/>
  <c r="J3364" i="1"/>
  <c r="I3364" i="1"/>
  <c r="G3364" i="1"/>
  <c r="F3364" i="1"/>
  <c r="E3364" i="1"/>
  <c r="D3364" i="1"/>
  <c r="C3364" i="1"/>
  <c r="B3364" i="1"/>
  <c r="A3364" i="1"/>
  <c r="S3363" i="1"/>
  <c r="O3363" i="1"/>
  <c r="K3363" i="1"/>
  <c r="J3363" i="1"/>
  <c r="I3363" i="1"/>
  <c r="H3363" i="1"/>
  <c r="G3363" i="1"/>
  <c r="F3363" i="1"/>
  <c r="E3363" i="1"/>
  <c r="D3363" i="1"/>
  <c r="C3363" i="1"/>
  <c r="B3363" i="1"/>
  <c r="A3363" i="1"/>
  <c r="R3362" i="1"/>
  <c r="J3362" i="1"/>
  <c r="I3362" i="1"/>
  <c r="G3362" i="1"/>
  <c r="F3362" i="1"/>
  <c r="E3362" i="1"/>
  <c r="D3362" i="1"/>
  <c r="C3362" i="1"/>
  <c r="B3362" i="1"/>
  <c r="A3362" i="1"/>
  <c r="S3361" i="1"/>
  <c r="O3361" i="1"/>
  <c r="K3361" i="1"/>
  <c r="J3361" i="1"/>
  <c r="I3361" i="1"/>
  <c r="H3361" i="1"/>
  <c r="G3361" i="1"/>
  <c r="F3361" i="1"/>
  <c r="E3361" i="1"/>
  <c r="D3361" i="1"/>
  <c r="C3361" i="1"/>
  <c r="B3361" i="1"/>
  <c r="A3361" i="1"/>
  <c r="R3360" i="1"/>
  <c r="J3360" i="1"/>
  <c r="I3360" i="1"/>
  <c r="G3360" i="1"/>
  <c r="F3360" i="1"/>
  <c r="E3360" i="1"/>
  <c r="D3360" i="1"/>
  <c r="C3360" i="1"/>
  <c r="B3360" i="1"/>
  <c r="A3360" i="1"/>
  <c r="S3359" i="1"/>
  <c r="O3359" i="1"/>
  <c r="K3359" i="1"/>
  <c r="J3359" i="1"/>
  <c r="I3359" i="1"/>
  <c r="H3359" i="1"/>
  <c r="G3359" i="1"/>
  <c r="F3359" i="1"/>
  <c r="E3359" i="1"/>
  <c r="D3359" i="1"/>
  <c r="C3359" i="1"/>
  <c r="B3359" i="1"/>
  <c r="A3359" i="1"/>
  <c r="R3358" i="1"/>
  <c r="J3358" i="1"/>
  <c r="I3358" i="1"/>
  <c r="G3358" i="1"/>
  <c r="F3358" i="1"/>
  <c r="E3358" i="1"/>
  <c r="D3358" i="1"/>
  <c r="C3358" i="1"/>
  <c r="B3358" i="1"/>
  <c r="A3358" i="1"/>
  <c r="S3357" i="1"/>
  <c r="O3357" i="1"/>
  <c r="K3357" i="1"/>
  <c r="J3357" i="1"/>
  <c r="I3357" i="1"/>
  <c r="H3357" i="1"/>
  <c r="G3357" i="1"/>
  <c r="F3357" i="1"/>
  <c r="E3357" i="1"/>
  <c r="D3357" i="1"/>
  <c r="C3357" i="1"/>
  <c r="B3357" i="1"/>
  <c r="A3357" i="1"/>
  <c r="R3356" i="1"/>
  <c r="J3356" i="1"/>
  <c r="I3356" i="1"/>
  <c r="G3356" i="1"/>
  <c r="F3356" i="1"/>
  <c r="E3356" i="1"/>
  <c r="D3356" i="1"/>
  <c r="C3356" i="1"/>
  <c r="B3356" i="1"/>
  <c r="A3356" i="1"/>
  <c r="S3355" i="1"/>
  <c r="O3355" i="1"/>
  <c r="K3355" i="1"/>
  <c r="J3355" i="1"/>
  <c r="I3355" i="1"/>
  <c r="H3355" i="1"/>
  <c r="G3355" i="1"/>
  <c r="F3355" i="1"/>
  <c r="E3355" i="1"/>
  <c r="D3355" i="1"/>
  <c r="C3355" i="1"/>
  <c r="B3355" i="1"/>
  <c r="A3355" i="1"/>
  <c r="R3354" i="1"/>
  <c r="J3354" i="1"/>
  <c r="I3354" i="1"/>
  <c r="G3354" i="1"/>
  <c r="F3354" i="1"/>
  <c r="E3354" i="1"/>
  <c r="D3354" i="1"/>
  <c r="C3354" i="1"/>
  <c r="B3354" i="1"/>
  <c r="A3354" i="1"/>
  <c r="S3353" i="1"/>
  <c r="O3353" i="1"/>
  <c r="K3353" i="1"/>
  <c r="J3353" i="1"/>
  <c r="I3353" i="1"/>
  <c r="H3353" i="1"/>
  <c r="G3353" i="1"/>
  <c r="F3353" i="1"/>
  <c r="E3353" i="1"/>
  <c r="D3353" i="1"/>
  <c r="C3353" i="1"/>
  <c r="B3353" i="1"/>
  <c r="A3353" i="1"/>
  <c r="R3352" i="1"/>
  <c r="J3352" i="1"/>
  <c r="I3352" i="1"/>
  <c r="G3352" i="1"/>
  <c r="F3352" i="1"/>
  <c r="E3352" i="1"/>
  <c r="D3352" i="1"/>
  <c r="C3352" i="1"/>
  <c r="B3352" i="1"/>
  <c r="A3352" i="1"/>
  <c r="S3351" i="1"/>
  <c r="O3351" i="1"/>
  <c r="K3351" i="1"/>
  <c r="J3351" i="1"/>
  <c r="I3351" i="1"/>
  <c r="H3351" i="1"/>
  <c r="G3351" i="1"/>
  <c r="F3351" i="1"/>
  <c r="E3351" i="1"/>
  <c r="D3351" i="1"/>
  <c r="C3351" i="1"/>
  <c r="B3351" i="1"/>
  <c r="A3351" i="1"/>
  <c r="R3350" i="1"/>
  <c r="J3350" i="1"/>
  <c r="I3350" i="1"/>
  <c r="G3350" i="1"/>
  <c r="F3350" i="1"/>
  <c r="E3350" i="1"/>
  <c r="D3350" i="1"/>
  <c r="C3350" i="1"/>
  <c r="B3350" i="1"/>
  <c r="A3350" i="1"/>
  <c r="S3349" i="1"/>
  <c r="O3349" i="1"/>
  <c r="K3349" i="1"/>
  <c r="J3349" i="1"/>
  <c r="I3349" i="1"/>
  <c r="H3349" i="1"/>
  <c r="G3349" i="1"/>
  <c r="F3349" i="1"/>
  <c r="E3349" i="1"/>
  <c r="D3349" i="1"/>
  <c r="C3349" i="1"/>
  <c r="B3349" i="1"/>
  <c r="A3349" i="1"/>
  <c r="R3348" i="1"/>
  <c r="J3348" i="1"/>
  <c r="I3348" i="1"/>
  <c r="G3348" i="1"/>
  <c r="F3348" i="1"/>
  <c r="E3348" i="1"/>
  <c r="D3348" i="1"/>
  <c r="C3348" i="1"/>
  <c r="B3348" i="1"/>
  <c r="A3348" i="1"/>
  <c r="S3347" i="1"/>
  <c r="O3347" i="1"/>
  <c r="K3347" i="1"/>
  <c r="J3347" i="1"/>
  <c r="I3347" i="1"/>
  <c r="H3347" i="1"/>
  <c r="G3347" i="1"/>
  <c r="F3347" i="1"/>
  <c r="E3347" i="1"/>
  <c r="D3347" i="1"/>
  <c r="C3347" i="1"/>
  <c r="B3347" i="1"/>
  <c r="A3347" i="1"/>
  <c r="R3346" i="1"/>
  <c r="J3346" i="1"/>
  <c r="I3346" i="1"/>
  <c r="G3346" i="1"/>
  <c r="F3346" i="1"/>
  <c r="E3346" i="1"/>
  <c r="D3346" i="1"/>
  <c r="C3346" i="1"/>
  <c r="B3346" i="1"/>
  <c r="A3346" i="1"/>
  <c r="S3345" i="1"/>
  <c r="O3345" i="1"/>
  <c r="K3345" i="1"/>
  <c r="J3345" i="1"/>
  <c r="I3345" i="1"/>
  <c r="H3345" i="1"/>
  <c r="G3345" i="1"/>
  <c r="F3345" i="1"/>
  <c r="E3345" i="1"/>
  <c r="D3345" i="1"/>
  <c r="C3345" i="1"/>
  <c r="B3345" i="1"/>
  <c r="A3345" i="1"/>
  <c r="R3344" i="1"/>
  <c r="J3344" i="1"/>
  <c r="I3344" i="1"/>
  <c r="G3344" i="1"/>
  <c r="F3344" i="1"/>
  <c r="E3344" i="1"/>
  <c r="D3344" i="1"/>
  <c r="C3344" i="1"/>
  <c r="B3344" i="1"/>
  <c r="A3344" i="1"/>
  <c r="S3343" i="1"/>
  <c r="O3343" i="1"/>
  <c r="K3343" i="1"/>
  <c r="J3343" i="1"/>
  <c r="I3343" i="1"/>
  <c r="H3343" i="1"/>
  <c r="G3343" i="1"/>
  <c r="F3343" i="1"/>
  <c r="E3343" i="1"/>
  <c r="D3343" i="1"/>
  <c r="C3343" i="1"/>
  <c r="B3343" i="1"/>
  <c r="A3343" i="1"/>
  <c r="R3342" i="1"/>
  <c r="J3342" i="1"/>
  <c r="I3342" i="1"/>
  <c r="G3342" i="1"/>
  <c r="F3342" i="1"/>
  <c r="E3342" i="1"/>
  <c r="D3342" i="1"/>
  <c r="C3342" i="1"/>
  <c r="B3342" i="1"/>
  <c r="A3342" i="1"/>
  <c r="S3341" i="1"/>
  <c r="O3341" i="1"/>
  <c r="K3341" i="1"/>
  <c r="J3341" i="1"/>
  <c r="I3341" i="1"/>
  <c r="H3341" i="1"/>
  <c r="G3341" i="1"/>
  <c r="F3341" i="1"/>
  <c r="E3341" i="1"/>
  <c r="D3341" i="1"/>
  <c r="C3341" i="1"/>
  <c r="B3341" i="1"/>
  <c r="A3341" i="1"/>
  <c r="R3340" i="1"/>
  <c r="J3340" i="1"/>
  <c r="I3340" i="1"/>
  <c r="G3340" i="1"/>
  <c r="F3340" i="1"/>
  <c r="E3340" i="1"/>
  <c r="D3340" i="1"/>
  <c r="C3340" i="1"/>
  <c r="B3340" i="1"/>
  <c r="A3340" i="1"/>
  <c r="S3339" i="1"/>
  <c r="O3339" i="1"/>
  <c r="K3339" i="1"/>
  <c r="J3339" i="1"/>
  <c r="I3339" i="1"/>
  <c r="H3339" i="1"/>
  <c r="G3339" i="1"/>
  <c r="F3339" i="1"/>
  <c r="E3339" i="1"/>
  <c r="D3339" i="1"/>
  <c r="C3339" i="1"/>
  <c r="B3339" i="1"/>
  <c r="A3339" i="1"/>
  <c r="R3338" i="1"/>
  <c r="J3338" i="1"/>
  <c r="I3338" i="1"/>
  <c r="G3338" i="1"/>
  <c r="F3338" i="1"/>
  <c r="E3338" i="1"/>
  <c r="D3338" i="1"/>
  <c r="C3338" i="1"/>
  <c r="B3338" i="1"/>
  <c r="A3338" i="1"/>
  <c r="S3337" i="1"/>
  <c r="O3337" i="1"/>
  <c r="K3337" i="1"/>
  <c r="J3337" i="1"/>
  <c r="I3337" i="1"/>
  <c r="H3337" i="1"/>
  <c r="G3337" i="1"/>
  <c r="F3337" i="1"/>
  <c r="E3337" i="1"/>
  <c r="D3337" i="1"/>
  <c r="C3337" i="1"/>
  <c r="B3337" i="1"/>
  <c r="A3337" i="1"/>
  <c r="R3336" i="1"/>
  <c r="J3336" i="1"/>
  <c r="I3336" i="1"/>
  <c r="G3336" i="1"/>
  <c r="F3336" i="1"/>
  <c r="E3336" i="1"/>
  <c r="D3336" i="1"/>
  <c r="C3336" i="1"/>
  <c r="B3336" i="1"/>
  <c r="A3336" i="1"/>
  <c r="S3335" i="1"/>
  <c r="O3335" i="1"/>
  <c r="K3335" i="1"/>
  <c r="J3335" i="1"/>
  <c r="I3335" i="1"/>
  <c r="H3335" i="1"/>
  <c r="G3335" i="1"/>
  <c r="F3335" i="1"/>
  <c r="E3335" i="1"/>
  <c r="D3335" i="1"/>
  <c r="C3335" i="1"/>
  <c r="B3335" i="1"/>
  <c r="A3335" i="1"/>
  <c r="R3334" i="1"/>
  <c r="J3334" i="1"/>
  <c r="I3334" i="1"/>
  <c r="G3334" i="1"/>
  <c r="F3334" i="1"/>
  <c r="E3334" i="1"/>
  <c r="D3334" i="1"/>
  <c r="C3334" i="1"/>
  <c r="B3334" i="1"/>
  <c r="A3334" i="1"/>
  <c r="S3333" i="1"/>
  <c r="O3333" i="1"/>
  <c r="K3333" i="1"/>
  <c r="J3333" i="1"/>
  <c r="I3333" i="1"/>
  <c r="H3333" i="1"/>
  <c r="G3333" i="1"/>
  <c r="F3333" i="1"/>
  <c r="E3333" i="1"/>
  <c r="D3333" i="1"/>
  <c r="C3333" i="1"/>
  <c r="B3333" i="1"/>
  <c r="A3333" i="1"/>
  <c r="R3332" i="1"/>
  <c r="J3332" i="1"/>
  <c r="I3332" i="1"/>
  <c r="G3332" i="1"/>
  <c r="F3332" i="1"/>
  <c r="E3332" i="1"/>
  <c r="D3332" i="1"/>
  <c r="C3332" i="1"/>
  <c r="B3332" i="1"/>
  <c r="A3332" i="1"/>
  <c r="S3331" i="1"/>
  <c r="O3331" i="1"/>
  <c r="K3331" i="1"/>
  <c r="J3331" i="1"/>
  <c r="I3331" i="1"/>
  <c r="H3331" i="1"/>
  <c r="G3331" i="1"/>
  <c r="F3331" i="1"/>
  <c r="E3331" i="1"/>
  <c r="D3331" i="1"/>
  <c r="C3331" i="1"/>
  <c r="B3331" i="1"/>
  <c r="A3331" i="1"/>
  <c r="R3330" i="1"/>
  <c r="J3330" i="1"/>
  <c r="I3330" i="1"/>
  <c r="G3330" i="1"/>
  <c r="F3330" i="1"/>
  <c r="E3330" i="1"/>
  <c r="D3330" i="1"/>
  <c r="C3330" i="1"/>
  <c r="B3330" i="1"/>
  <c r="A3330" i="1"/>
  <c r="S3329" i="1"/>
  <c r="O3329" i="1"/>
  <c r="K3329" i="1"/>
  <c r="J3329" i="1"/>
  <c r="I3329" i="1"/>
  <c r="H3329" i="1"/>
  <c r="G3329" i="1"/>
  <c r="F3329" i="1"/>
  <c r="E3329" i="1"/>
  <c r="D3329" i="1"/>
  <c r="C3329" i="1"/>
  <c r="B3329" i="1"/>
  <c r="A3329" i="1"/>
  <c r="R3328" i="1"/>
  <c r="J3328" i="1"/>
  <c r="I3328" i="1"/>
  <c r="G3328" i="1"/>
  <c r="F3328" i="1"/>
  <c r="E3328" i="1"/>
  <c r="D3328" i="1"/>
  <c r="C3328" i="1"/>
  <c r="B3328" i="1"/>
  <c r="A3328" i="1"/>
  <c r="S3327" i="1"/>
  <c r="O3327" i="1"/>
  <c r="K3327" i="1"/>
  <c r="J3327" i="1"/>
  <c r="I3327" i="1"/>
  <c r="H3327" i="1"/>
  <c r="G3327" i="1"/>
  <c r="F3327" i="1"/>
  <c r="E3327" i="1"/>
  <c r="D3327" i="1"/>
  <c r="C3327" i="1"/>
  <c r="B3327" i="1"/>
  <c r="A3327" i="1"/>
  <c r="R3326" i="1"/>
  <c r="J3326" i="1"/>
  <c r="I3326" i="1"/>
  <c r="G3326" i="1"/>
  <c r="F3326" i="1"/>
  <c r="E3326" i="1"/>
  <c r="D3326" i="1"/>
  <c r="C3326" i="1"/>
  <c r="B3326" i="1"/>
  <c r="A3326" i="1"/>
  <c r="S3325" i="1"/>
  <c r="O3325" i="1"/>
  <c r="K3325" i="1"/>
  <c r="J3325" i="1"/>
  <c r="I3325" i="1"/>
  <c r="H3325" i="1"/>
  <c r="G3325" i="1"/>
  <c r="F3325" i="1"/>
  <c r="E3325" i="1"/>
  <c r="D3325" i="1"/>
  <c r="C3325" i="1"/>
  <c r="B3325" i="1"/>
  <c r="A3325" i="1"/>
  <c r="R3324" i="1"/>
  <c r="J3324" i="1"/>
  <c r="I3324" i="1"/>
  <c r="G3324" i="1"/>
  <c r="F3324" i="1"/>
  <c r="E3324" i="1"/>
  <c r="D3324" i="1"/>
  <c r="C3324" i="1"/>
  <c r="B3324" i="1"/>
  <c r="A3324" i="1"/>
  <c r="S3323" i="1"/>
  <c r="O3323" i="1"/>
  <c r="K3323" i="1"/>
  <c r="J3323" i="1"/>
  <c r="I3323" i="1"/>
  <c r="H3323" i="1"/>
  <c r="G3323" i="1"/>
  <c r="F3323" i="1"/>
  <c r="E3323" i="1"/>
  <c r="D3323" i="1"/>
  <c r="C3323" i="1"/>
  <c r="B3323" i="1"/>
  <c r="A3323" i="1"/>
  <c r="R3322" i="1"/>
  <c r="J3322" i="1"/>
  <c r="I3322" i="1"/>
  <c r="G3322" i="1"/>
  <c r="F3322" i="1"/>
  <c r="E3322" i="1"/>
  <c r="D3322" i="1"/>
  <c r="C3322" i="1"/>
  <c r="B3322" i="1"/>
  <c r="A3322" i="1"/>
  <c r="S3321" i="1"/>
  <c r="O3321" i="1"/>
  <c r="K3321" i="1"/>
  <c r="J3321" i="1"/>
  <c r="I3321" i="1"/>
  <c r="H3321" i="1"/>
  <c r="G3321" i="1"/>
  <c r="F3321" i="1"/>
  <c r="E3321" i="1"/>
  <c r="D3321" i="1"/>
  <c r="C3321" i="1"/>
  <c r="B3321" i="1"/>
  <c r="A3321" i="1"/>
  <c r="R3320" i="1"/>
  <c r="J3320" i="1"/>
  <c r="I3320" i="1"/>
  <c r="G3320" i="1"/>
  <c r="F3320" i="1"/>
  <c r="E3320" i="1"/>
  <c r="D3320" i="1"/>
  <c r="C3320" i="1"/>
  <c r="B3320" i="1"/>
  <c r="A3320" i="1"/>
  <c r="S3319" i="1"/>
  <c r="O3319" i="1"/>
  <c r="K3319" i="1"/>
  <c r="J3319" i="1"/>
  <c r="I3319" i="1"/>
  <c r="H3319" i="1"/>
  <c r="G3319" i="1"/>
  <c r="F3319" i="1"/>
  <c r="E3319" i="1"/>
  <c r="D3319" i="1"/>
  <c r="C3319" i="1"/>
  <c r="B3319" i="1"/>
  <c r="A3319" i="1"/>
  <c r="R3318" i="1"/>
  <c r="J3318" i="1"/>
  <c r="I3318" i="1"/>
  <c r="G3318" i="1"/>
  <c r="F3318" i="1"/>
  <c r="E3318" i="1"/>
  <c r="D3318" i="1"/>
  <c r="C3318" i="1"/>
  <c r="B3318" i="1"/>
  <c r="A3318" i="1"/>
  <c r="S3317" i="1"/>
  <c r="O3317" i="1"/>
  <c r="K3317" i="1"/>
  <c r="J3317" i="1"/>
  <c r="I3317" i="1"/>
  <c r="H3317" i="1"/>
  <c r="G3317" i="1"/>
  <c r="F3317" i="1"/>
  <c r="E3317" i="1"/>
  <c r="D3317" i="1"/>
  <c r="C3317" i="1"/>
  <c r="B3317" i="1"/>
  <c r="A3317" i="1"/>
  <c r="R3316" i="1"/>
  <c r="J3316" i="1"/>
  <c r="I3316" i="1"/>
  <c r="G3316" i="1"/>
  <c r="F3316" i="1"/>
  <c r="E3316" i="1"/>
  <c r="D3316" i="1"/>
  <c r="C3316" i="1"/>
  <c r="B3316" i="1"/>
  <c r="A3316" i="1"/>
  <c r="S3315" i="1"/>
  <c r="O3315" i="1"/>
  <c r="K3315" i="1"/>
  <c r="J3315" i="1"/>
  <c r="I3315" i="1"/>
  <c r="H3315" i="1"/>
  <c r="G3315" i="1"/>
  <c r="F3315" i="1"/>
  <c r="E3315" i="1"/>
  <c r="D3315" i="1"/>
  <c r="C3315" i="1"/>
  <c r="B3315" i="1"/>
  <c r="A3315" i="1"/>
  <c r="R3314" i="1"/>
  <c r="J3314" i="1"/>
  <c r="I3314" i="1"/>
  <c r="G3314" i="1"/>
  <c r="F3314" i="1"/>
  <c r="E3314" i="1"/>
  <c r="D3314" i="1"/>
  <c r="C3314" i="1"/>
  <c r="B3314" i="1"/>
  <c r="A3314" i="1"/>
  <c r="S3313" i="1"/>
  <c r="O3313" i="1"/>
  <c r="K3313" i="1"/>
  <c r="J3313" i="1"/>
  <c r="I3313" i="1"/>
  <c r="H3313" i="1"/>
  <c r="G3313" i="1"/>
  <c r="F3313" i="1"/>
  <c r="E3313" i="1"/>
  <c r="D3313" i="1"/>
  <c r="C3313" i="1"/>
  <c r="B3313" i="1"/>
  <c r="A3313" i="1"/>
  <c r="R3312" i="1"/>
  <c r="J3312" i="1"/>
  <c r="I3312" i="1"/>
  <c r="G3312" i="1"/>
  <c r="F3312" i="1"/>
  <c r="E3312" i="1"/>
  <c r="D3312" i="1"/>
  <c r="C3312" i="1"/>
  <c r="B3312" i="1"/>
  <c r="A3312" i="1"/>
  <c r="S3311" i="1"/>
  <c r="O3311" i="1"/>
  <c r="K3311" i="1"/>
  <c r="J3311" i="1"/>
  <c r="I3311" i="1"/>
  <c r="H3311" i="1"/>
  <c r="G3311" i="1"/>
  <c r="F3311" i="1"/>
  <c r="E3311" i="1"/>
  <c r="D3311" i="1"/>
  <c r="C3311" i="1"/>
  <c r="B3311" i="1"/>
  <c r="A3311" i="1"/>
  <c r="R3310" i="1"/>
  <c r="J3310" i="1"/>
  <c r="I3310" i="1"/>
  <c r="G3310" i="1"/>
  <c r="F3310" i="1"/>
  <c r="E3310" i="1"/>
  <c r="D3310" i="1"/>
  <c r="C3310" i="1"/>
  <c r="B3310" i="1"/>
  <c r="A3310" i="1"/>
  <c r="S3309" i="1"/>
  <c r="O3309" i="1"/>
  <c r="K3309" i="1"/>
  <c r="J3309" i="1"/>
  <c r="I3309" i="1"/>
  <c r="H3309" i="1"/>
  <c r="G3309" i="1"/>
  <c r="F3309" i="1"/>
  <c r="E3309" i="1"/>
  <c r="D3309" i="1"/>
  <c r="C3309" i="1"/>
  <c r="B3309" i="1"/>
  <c r="A3309" i="1"/>
  <c r="R3308" i="1"/>
  <c r="J3308" i="1"/>
  <c r="I3308" i="1"/>
  <c r="G3308" i="1"/>
  <c r="F3308" i="1"/>
  <c r="E3308" i="1"/>
  <c r="D3308" i="1"/>
  <c r="C3308" i="1"/>
  <c r="B3308" i="1"/>
  <c r="A3308" i="1"/>
  <c r="S3307" i="1"/>
  <c r="O3307" i="1"/>
  <c r="K3307" i="1"/>
  <c r="J3307" i="1"/>
  <c r="I3307" i="1"/>
  <c r="H3307" i="1"/>
  <c r="G3307" i="1"/>
  <c r="F3307" i="1"/>
  <c r="E3307" i="1"/>
  <c r="D3307" i="1"/>
  <c r="C3307" i="1"/>
  <c r="B3307" i="1"/>
  <c r="A3307" i="1"/>
  <c r="R3306" i="1"/>
  <c r="J3306" i="1"/>
  <c r="I3306" i="1"/>
  <c r="G3306" i="1"/>
  <c r="F3306" i="1"/>
  <c r="E3306" i="1"/>
  <c r="D3306" i="1"/>
  <c r="C3306" i="1"/>
  <c r="B3306" i="1"/>
  <c r="A3306" i="1"/>
  <c r="S3305" i="1"/>
  <c r="O3305" i="1"/>
  <c r="K3305" i="1"/>
  <c r="J3305" i="1"/>
  <c r="I3305" i="1"/>
  <c r="H3305" i="1"/>
  <c r="G3305" i="1"/>
  <c r="F3305" i="1"/>
  <c r="E3305" i="1"/>
  <c r="D3305" i="1"/>
  <c r="C3305" i="1"/>
  <c r="B3305" i="1"/>
  <c r="A3305" i="1"/>
  <c r="R3304" i="1"/>
  <c r="J3304" i="1"/>
  <c r="I3304" i="1"/>
  <c r="G3304" i="1"/>
  <c r="F3304" i="1"/>
  <c r="E3304" i="1"/>
  <c r="D3304" i="1"/>
  <c r="C3304" i="1"/>
  <c r="B3304" i="1"/>
  <c r="A3304" i="1"/>
  <c r="S3303" i="1"/>
  <c r="O3303" i="1"/>
  <c r="K3303" i="1"/>
  <c r="J3303" i="1"/>
  <c r="I3303" i="1"/>
  <c r="H3303" i="1"/>
  <c r="G3303" i="1"/>
  <c r="F3303" i="1"/>
  <c r="E3303" i="1"/>
  <c r="D3303" i="1"/>
  <c r="C3303" i="1"/>
  <c r="B3303" i="1"/>
  <c r="A3303" i="1"/>
  <c r="R3302" i="1"/>
  <c r="J3302" i="1"/>
  <c r="I3302" i="1"/>
  <c r="G3302" i="1"/>
  <c r="F3302" i="1"/>
  <c r="E3302" i="1"/>
  <c r="D3302" i="1"/>
  <c r="C3302" i="1"/>
  <c r="B3302" i="1"/>
  <c r="A3302" i="1"/>
  <c r="S3301" i="1"/>
  <c r="O3301" i="1"/>
  <c r="K3301" i="1"/>
  <c r="J3301" i="1"/>
  <c r="I3301" i="1"/>
  <c r="H3301" i="1"/>
  <c r="G3301" i="1"/>
  <c r="F3301" i="1"/>
  <c r="E3301" i="1"/>
  <c r="D3301" i="1"/>
  <c r="C3301" i="1"/>
  <c r="B3301" i="1"/>
  <c r="A3301" i="1"/>
  <c r="R3300" i="1"/>
  <c r="J3300" i="1"/>
  <c r="I3300" i="1"/>
  <c r="G3300" i="1"/>
  <c r="F3300" i="1"/>
  <c r="E3300" i="1"/>
  <c r="D3300" i="1"/>
  <c r="C3300" i="1"/>
  <c r="B3300" i="1"/>
  <c r="A3300" i="1"/>
  <c r="S3299" i="1"/>
  <c r="O3299" i="1"/>
  <c r="K3299" i="1"/>
  <c r="J3299" i="1"/>
  <c r="I3299" i="1"/>
  <c r="H3299" i="1"/>
  <c r="G3299" i="1"/>
  <c r="F3299" i="1"/>
  <c r="E3299" i="1"/>
  <c r="D3299" i="1"/>
  <c r="C3299" i="1"/>
  <c r="B3299" i="1"/>
  <c r="A3299" i="1"/>
  <c r="R3298" i="1"/>
  <c r="J3298" i="1"/>
  <c r="I3298" i="1"/>
  <c r="G3298" i="1"/>
  <c r="F3298" i="1"/>
  <c r="E3298" i="1"/>
  <c r="D3298" i="1"/>
  <c r="C3298" i="1"/>
  <c r="B3298" i="1"/>
  <c r="A3298" i="1"/>
  <c r="S3297" i="1"/>
  <c r="O3297" i="1"/>
  <c r="K3297" i="1"/>
  <c r="J3297" i="1"/>
  <c r="I3297" i="1"/>
  <c r="H3297" i="1"/>
  <c r="G3297" i="1"/>
  <c r="F3297" i="1"/>
  <c r="E3297" i="1"/>
  <c r="D3297" i="1"/>
  <c r="C3297" i="1"/>
  <c r="B3297" i="1"/>
  <c r="A3297" i="1"/>
  <c r="R3296" i="1"/>
  <c r="J3296" i="1"/>
  <c r="I3296" i="1"/>
  <c r="G3296" i="1"/>
  <c r="F3296" i="1"/>
  <c r="E3296" i="1"/>
  <c r="D3296" i="1"/>
  <c r="C3296" i="1"/>
  <c r="B3296" i="1"/>
  <c r="A3296" i="1"/>
  <c r="S3295" i="1"/>
  <c r="O3295" i="1"/>
  <c r="K3295" i="1"/>
  <c r="J3295" i="1"/>
  <c r="I3295" i="1"/>
  <c r="H3295" i="1"/>
  <c r="G3295" i="1"/>
  <c r="F3295" i="1"/>
  <c r="E3295" i="1"/>
  <c r="D3295" i="1"/>
  <c r="C3295" i="1"/>
  <c r="B3295" i="1"/>
  <c r="A3295" i="1"/>
  <c r="R3294" i="1"/>
  <c r="J3294" i="1"/>
  <c r="I3294" i="1"/>
  <c r="G3294" i="1"/>
  <c r="F3294" i="1"/>
  <c r="E3294" i="1"/>
  <c r="D3294" i="1"/>
  <c r="C3294" i="1"/>
  <c r="B3294" i="1"/>
  <c r="A3294" i="1"/>
  <c r="S3293" i="1"/>
  <c r="O3293" i="1"/>
  <c r="K3293" i="1"/>
  <c r="J3293" i="1"/>
  <c r="I3293" i="1"/>
  <c r="H3293" i="1"/>
  <c r="G3293" i="1"/>
  <c r="F3293" i="1"/>
  <c r="E3293" i="1"/>
  <c r="D3293" i="1"/>
  <c r="C3293" i="1"/>
  <c r="B3293" i="1"/>
  <c r="A3293" i="1"/>
  <c r="R3292" i="1"/>
  <c r="J3292" i="1"/>
  <c r="I3292" i="1"/>
  <c r="G3292" i="1"/>
  <c r="F3292" i="1"/>
  <c r="E3292" i="1"/>
  <c r="D3292" i="1"/>
  <c r="C3292" i="1"/>
  <c r="B3292" i="1"/>
  <c r="A3292" i="1"/>
  <c r="S3291" i="1"/>
  <c r="O3291" i="1"/>
  <c r="K3291" i="1"/>
  <c r="J3291" i="1"/>
  <c r="I3291" i="1"/>
  <c r="H3291" i="1"/>
  <c r="G3291" i="1"/>
  <c r="F3291" i="1"/>
  <c r="E3291" i="1"/>
  <c r="D3291" i="1"/>
  <c r="C3291" i="1"/>
  <c r="B3291" i="1"/>
  <c r="A3291" i="1"/>
  <c r="R3290" i="1"/>
  <c r="J3290" i="1"/>
  <c r="I3290" i="1"/>
  <c r="G3290" i="1"/>
  <c r="F3290" i="1"/>
  <c r="E3290" i="1"/>
  <c r="D3290" i="1"/>
  <c r="C3290" i="1"/>
  <c r="B3290" i="1"/>
  <c r="A3290" i="1"/>
  <c r="S3289" i="1"/>
  <c r="O3289" i="1"/>
  <c r="K3289" i="1"/>
  <c r="J3289" i="1"/>
  <c r="I3289" i="1"/>
  <c r="H3289" i="1"/>
  <c r="G3289" i="1"/>
  <c r="F3289" i="1"/>
  <c r="E3289" i="1"/>
  <c r="D3289" i="1"/>
  <c r="C3289" i="1"/>
  <c r="B3289" i="1"/>
  <c r="A3289" i="1"/>
  <c r="R3288" i="1"/>
  <c r="J3288" i="1"/>
  <c r="I3288" i="1"/>
  <c r="G3288" i="1"/>
  <c r="F3288" i="1"/>
  <c r="E3288" i="1"/>
  <c r="D3288" i="1"/>
  <c r="C3288" i="1"/>
  <c r="B3288" i="1"/>
  <c r="A3288" i="1"/>
  <c r="R3287" i="1"/>
  <c r="J3287" i="1"/>
  <c r="I3287" i="1"/>
  <c r="G3287" i="1"/>
  <c r="F3287" i="1"/>
  <c r="E3287" i="1"/>
  <c r="D3287" i="1"/>
  <c r="C3287" i="1"/>
  <c r="B3287" i="1"/>
  <c r="A3287" i="1"/>
  <c r="S3286" i="1"/>
  <c r="O3286" i="1"/>
  <c r="K3286" i="1"/>
  <c r="J3286" i="1"/>
  <c r="I3286" i="1"/>
  <c r="H3286" i="1"/>
  <c r="G3286" i="1"/>
  <c r="F3286" i="1"/>
  <c r="E3286" i="1"/>
  <c r="D3286" i="1"/>
  <c r="C3286" i="1"/>
  <c r="B3286" i="1"/>
  <c r="A3286" i="1"/>
  <c r="R3285" i="1"/>
  <c r="J3285" i="1"/>
  <c r="I3285" i="1"/>
  <c r="G3285" i="1"/>
  <c r="F3285" i="1"/>
  <c r="E3285" i="1"/>
  <c r="D3285" i="1"/>
  <c r="C3285" i="1"/>
  <c r="B3285" i="1"/>
  <c r="A3285" i="1"/>
  <c r="S3284" i="1"/>
  <c r="O3284" i="1"/>
  <c r="K3284" i="1"/>
  <c r="J3284" i="1"/>
  <c r="I3284" i="1"/>
  <c r="H3284" i="1"/>
  <c r="G3284" i="1"/>
  <c r="F3284" i="1"/>
  <c r="E3284" i="1"/>
  <c r="D3284" i="1"/>
  <c r="C3284" i="1"/>
  <c r="B3284" i="1"/>
  <c r="A3284" i="1"/>
  <c r="R3283" i="1"/>
  <c r="J3283" i="1"/>
  <c r="I3283" i="1"/>
  <c r="G3283" i="1"/>
  <c r="F3283" i="1"/>
  <c r="E3283" i="1"/>
  <c r="D3283" i="1"/>
  <c r="C3283" i="1"/>
  <c r="B3283" i="1"/>
  <c r="A3283" i="1"/>
  <c r="S3282" i="1"/>
  <c r="O3282" i="1"/>
  <c r="K3282" i="1"/>
  <c r="J3282" i="1"/>
  <c r="I3282" i="1"/>
  <c r="H3282" i="1"/>
  <c r="G3282" i="1"/>
  <c r="F3282" i="1"/>
  <c r="E3282" i="1"/>
  <c r="D3282" i="1"/>
  <c r="C3282" i="1"/>
  <c r="B3282" i="1"/>
  <c r="A3282" i="1"/>
  <c r="R3281" i="1"/>
  <c r="J3281" i="1"/>
  <c r="I3281" i="1"/>
  <c r="G3281" i="1"/>
  <c r="F3281" i="1"/>
  <c r="E3281" i="1"/>
  <c r="D3281" i="1"/>
  <c r="C3281" i="1"/>
  <c r="B3281" i="1"/>
  <c r="A3281" i="1"/>
  <c r="S3280" i="1"/>
  <c r="O3280" i="1"/>
  <c r="K3280" i="1"/>
  <c r="J3280" i="1"/>
  <c r="I3280" i="1"/>
  <c r="H3280" i="1"/>
  <c r="G3280" i="1"/>
  <c r="F3280" i="1"/>
  <c r="E3280" i="1"/>
  <c r="D3280" i="1"/>
  <c r="C3280" i="1"/>
  <c r="B3280" i="1"/>
  <c r="A3280" i="1"/>
  <c r="R3279" i="1"/>
  <c r="J3279" i="1"/>
  <c r="I3279" i="1"/>
  <c r="G3279" i="1"/>
  <c r="F3279" i="1"/>
  <c r="E3279" i="1"/>
  <c r="D3279" i="1"/>
  <c r="C3279" i="1"/>
  <c r="B3279" i="1"/>
  <c r="A3279" i="1"/>
  <c r="S3278" i="1"/>
  <c r="O3278" i="1"/>
  <c r="K3278" i="1"/>
  <c r="J3278" i="1"/>
  <c r="I3278" i="1"/>
  <c r="H3278" i="1"/>
  <c r="G3278" i="1"/>
  <c r="F3278" i="1"/>
  <c r="E3278" i="1"/>
  <c r="D3278" i="1"/>
  <c r="C3278" i="1"/>
  <c r="B3278" i="1"/>
  <c r="A3278" i="1"/>
  <c r="R3277" i="1"/>
  <c r="J3277" i="1"/>
  <c r="I3277" i="1"/>
  <c r="G3277" i="1"/>
  <c r="F3277" i="1"/>
  <c r="E3277" i="1"/>
  <c r="D3277" i="1"/>
  <c r="C3277" i="1"/>
  <c r="B3277" i="1"/>
  <c r="A3277" i="1"/>
  <c r="S3276" i="1"/>
  <c r="O3276" i="1"/>
  <c r="K3276" i="1"/>
  <c r="J3276" i="1"/>
  <c r="I3276" i="1"/>
  <c r="H3276" i="1"/>
  <c r="G3276" i="1"/>
  <c r="F3276" i="1"/>
  <c r="E3276" i="1"/>
  <c r="D3276" i="1"/>
  <c r="C3276" i="1"/>
  <c r="B3276" i="1"/>
  <c r="A3276" i="1"/>
  <c r="R3275" i="1"/>
  <c r="J3275" i="1"/>
  <c r="I3275" i="1"/>
  <c r="G3275" i="1"/>
  <c r="F3275" i="1"/>
  <c r="E3275" i="1"/>
  <c r="D3275" i="1"/>
  <c r="C3275" i="1"/>
  <c r="B3275" i="1"/>
  <c r="A3275" i="1"/>
  <c r="S3274" i="1"/>
  <c r="O3274" i="1"/>
  <c r="K3274" i="1"/>
  <c r="J3274" i="1"/>
  <c r="I3274" i="1"/>
  <c r="H3274" i="1"/>
  <c r="G3274" i="1"/>
  <c r="F3274" i="1"/>
  <c r="E3274" i="1"/>
  <c r="D3274" i="1"/>
  <c r="C3274" i="1"/>
  <c r="B3274" i="1"/>
  <c r="A3274" i="1"/>
  <c r="R3273" i="1"/>
  <c r="J3273" i="1"/>
  <c r="I3273" i="1"/>
  <c r="G3273" i="1"/>
  <c r="F3273" i="1"/>
  <c r="E3273" i="1"/>
  <c r="D3273" i="1"/>
  <c r="C3273" i="1"/>
  <c r="B3273" i="1"/>
  <c r="A3273" i="1"/>
  <c r="S3272" i="1"/>
  <c r="O3272" i="1"/>
  <c r="K3272" i="1"/>
  <c r="J3272" i="1"/>
  <c r="I3272" i="1"/>
  <c r="H3272" i="1"/>
  <c r="G3272" i="1"/>
  <c r="F3272" i="1"/>
  <c r="E3272" i="1"/>
  <c r="D3272" i="1"/>
  <c r="C3272" i="1"/>
  <c r="B3272" i="1"/>
  <c r="A3272" i="1"/>
  <c r="R3271" i="1"/>
  <c r="J3271" i="1"/>
  <c r="I3271" i="1"/>
  <c r="G3271" i="1"/>
  <c r="F3271" i="1"/>
  <c r="E3271" i="1"/>
  <c r="D3271" i="1"/>
  <c r="C3271" i="1"/>
  <c r="B3271" i="1"/>
  <c r="A3271" i="1"/>
  <c r="S3270" i="1"/>
  <c r="O3270" i="1"/>
  <c r="K3270" i="1"/>
  <c r="J3270" i="1"/>
  <c r="I3270" i="1"/>
  <c r="H3270" i="1"/>
  <c r="G3270" i="1"/>
  <c r="F3270" i="1"/>
  <c r="E3270" i="1"/>
  <c r="D3270" i="1"/>
  <c r="C3270" i="1"/>
  <c r="B3270" i="1"/>
  <c r="A3270" i="1"/>
  <c r="R3269" i="1"/>
  <c r="J3269" i="1"/>
  <c r="I3269" i="1"/>
  <c r="G3269" i="1"/>
  <c r="F3269" i="1"/>
  <c r="E3269" i="1"/>
  <c r="D3269" i="1"/>
  <c r="C3269" i="1"/>
  <c r="B3269" i="1"/>
  <c r="A3269" i="1"/>
  <c r="S3268" i="1"/>
  <c r="O3268" i="1"/>
  <c r="K3268" i="1"/>
  <c r="J3268" i="1"/>
  <c r="I3268" i="1"/>
  <c r="H3268" i="1"/>
  <c r="G3268" i="1"/>
  <c r="F3268" i="1"/>
  <c r="E3268" i="1"/>
  <c r="D3268" i="1"/>
  <c r="C3268" i="1"/>
  <c r="B3268" i="1"/>
  <c r="A3268" i="1"/>
  <c r="R3267" i="1"/>
  <c r="J3267" i="1"/>
  <c r="I3267" i="1"/>
  <c r="G3267" i="1"/>
  <c r="F3267" i="1"/>
  <c r="E3267" i="1"/>
  <c r="D3267" i="1"/>
  <c r="C3267" i="1"/>
  <c r="B3267" i="1"/>
  <c r="A3267" i="1"/>
  <c r="S3266" i="1"/>
  <c r="O3266" i="1"/>
  <c r="K3266" i="1"/>
  <c r="J3266" i="1"/>
  <c r="I3266" i="1"/>
  <c r="H3266" i="1"/>
  <c r="G3266" i="1"/>
  <c r="F3266" i="1"/>
  <c r="E3266" i="1"/>
  <c r="D3266" i="1"/>
  <c r="C3266" i="1"/>
  <c r="B3266" i="1"/>
  <c r="A3266" i="1"/>
  <c r="R3265" i="1"/>
  <c r="J3265" i="1"/>
  <c r="I3265" i="1"/>
  <c r="G3265" i="1"/>
  <c r="F3265" i="1"/>
  <c r="E3265" i="1"/>
  <c r="D3265" i="1"/>
  <c r="C3265" i="1"/>
  <c r="B3265" i="1"/>
  <c r="A3265" i="1"/>
  <c r="S3264" i="1"/>
  <c r="O3264" i="1"/>
  <c r="K3264" i="1"/>
  <c r="J3264" i="1"/>
  <c r="I3264" i="1"/>
  <c r="H3264" i="1"/>
  <c r="G3264" i="1"/>
  <c r="F3264" i="1"/>
  <c r="E3264" i="1"/>
  <c r="D3264" i="1"/>
  <c r="C3264" i="1"/>
  <c r="B3264" i="1"/>
  <c r="A3264" i="1"/>
  <c r="R3263" i="1"/>
  <c r="J3263" i="1"/>
  <c r="I3263" i="1"/>
  <c r="G3263" i="1"/>
  <c r="F3263" i="1"/>
  <c r="E3263" i="1"/>
  <c r="D3263" i="1"/>
  <c r="C3263" i="1"/>
  <c r="B3263" i="1"/>
  <c r="A3263" i="1"/>
  <c r="S3262" i="1"/>
  <c r="O3262" i="1"/>
  <c r="K3262" i="1"/>
  <c r="J3262" i="1"/>
  <c r="I3262" i="1"/>
  <c r="H3262" i="1"/>
  <c r="G3262" i="1"/>
  <c r="F3262" i="1"/>
  <c r="E3262" i="1"/>
  <c r="D3262" i="1"/>
  <c r="C3262" i="1"/>
  <c r="B3262" i="1"/>
  <c r="A3262" i="1"/>
  <c r="R3261" i="1"/>
  <c r="J3261" i="1"/>
  <c r="I3261" i="1"/>
  <c r="G3261" i="1"/>
  <c r="F3261" i="1"/>
  <c r="E3261" i="1"/>
  <c r="D3261" i="1"/>
  <c r="C3261" i="1"/>
  <c r="B3261" i="1"/>
  <c r="A3261" i="1"/>
  <c r="S3260" i="1"/>
  <c r="O3260" i="1"/>
  <c r="K3260" i="1"/>
  <c r="J3260" i="1"/>
  <c r="I3260" i="1"/>
  <c r="H3260" i="1"/>
  <c r="G3260" i="1"/>
  <c r="F3260" i="1"/>
  <c r="E3260" i="1"/>
  <c r="D3260" i="1"/>
  <c r="C3260" i="1"/>
  <c r="B3260" i="1"/>
  <c r="A3260" i="1"/>
  <c r="R3259" i="1"/>
  <c r="J3259" i="1"/>
  <c r="I3259" i="1"/>
  <c r="G3259" i="1"/>
  <c r="F3259" i="1"/>
  <c r="E3259" i="1"/>
  <c r="D3259" i="1"/>
  <c r="C3259" i="1"/>
  <c r="B3259" i="1"/>
  <c r="A3259" i="1"/>
  <c r="R3258" i="1"/>
  <c r="J3258" i="1"/>
  <c r="I3258" i="1"/>
  <c r="G3258" i="1"/>
  <c r="F3258" i="1"/>
  <c r="E3258" i="1"/>
  <c r="D3258" i="1"/>
  <c r="C3258" i="1"/>
  <c r="B3258" i="1"/>
  <c r="A3258" i="1"/>
  <c r="R3257" i="1"/>
  <c r="J3257" i="1"/>
  <c r="I3257" i="1"/>
  <c r="G3257" i="1"/>
  <c r="F3257" i="1"/>
  <c r="E3257" i="1"/>
  <c r="D3257" i="1"/>
  <c r="C3257" i="1"/>
  <c r="B3257" i="1"/>
  <c r="A3257" i="1"/>
  <c r="S3256" i="1"/>
  <c r="O3256" i="1"/>
  <c r="K3256" i="1"/>
  <c r="J3256" i="1"/>
  <c r="I3256" i="1"/>
  <c r="H3256" i="1"/>
  <c r="G3256" i="1"/>
  <c r="F3256" i="1"/>
  <c r="E3256" i="1"/>
  <c r="D3256" i="1"/>
  <c r="C3256" i="1"/>
  <c r="B3256" i="1"/>
  <c r="A3256" i="1"/>
  <c r="R3255" i="1"/>
  <c r="J3255" i="1"/>
  <c r="I3255" i="1"/>
  <c r="G3255" i="1"/>
  <c r="F3255" i="1"/>
  <c r="E3255" i="1"/>
  <c r="D3255" i="1"/>
  <c r="C3255" i="1"/>
  <c r="B3255" i="1"/>
  <c r="A3255" i="1"/>
  <c r="R3254" i="1"/>
  <c r="J3254" i="1"/>
  <c r="I3254" i="1"/>
  <c r="G3254" i="1"/>
  <c r="F3254" i="1"/>
  <c r="E3254" i="1"/>
  <c r="D3254" i="1"/>
  <c r="C3254" i="1"/>
  <c r="B3254" i="1"/>
  <c r="A3254" i="1"/>
  <c r="R3253" i="1"/>
  <c r="J3253" i="1"/>
  <c r="I3253" i="1"/>
  <c r="G3253" i="1"/>
  <c r="F3253" i="1"/>
  <c r="E3253" i="1"/>
  <c r="D3253" i="1"/>
  <c r="C3253" i="1"/>
  <c r="B3253" i="1"/>
  <c r="A3253" i="1"/>
  <c r="S3252" i="1"/>
  <c r="O3252" i="1"/>
  <c r="K3252" i="1"/>
  <c r="J3252" i="1"/>
  <c r="I3252" i="1"/>
  <c r="H3252" i="1"/>
  <c r="G3252" i="1"/>
  <c r="F3252" i="1"/>
  <c r="E3252" i="1"/>
  <c r="D3252" i="1"/>
  <c r="C3252" i="1"/>
  <c r="B3252" i="1"/>
  <c r="A3252" i="1"/>
  <c r="R3251" i="1"/>
  <c r="J3251" i="1"/>
  <c r="I3251" i="1"/>
  <c r="G3251" i="1"/>
  <c r="F3251" i="1"/>
  <c r="E3251" i="1"/>
  <c r="D3251" i="1"/>
  <c r="C3251" i="1"/>
  <c r="B3251" i="1"/>
  <c r="A3251" i="1"/>
  <c r="S3250" i="1"/>
  <c r="O3250" i="1"/>
  <c r="K3250" i="1"/>
  <c r="J3250" i="1"/>
  <c r="I3250" i="1"/>
  <c r="H3250" i="1"/>
  <c r="G3250" i="1"/>
  <c r="F3250" i="1"/>
  <c r="E3250" i="1"/>
  <c r="D3250" i="1"/>
  <c r="C3250" i="1"/>
  <c r="B3250" i="1"/>
  <c r="A3250" i="1"/>
  <c r="R3249" i="1"/>
  <c r="J3249" i="1"/>
  <c r="I3249" i="1"/>
  <c r="G3249" i="1"/>
  <c r="F3249" i="1"/>
  <c r="E3249" i="1"/>
  <c r="D3249" i="1"/>
  <c r="C3249" i="1"/>
  <c r="B3249" i="1"/>
  <c r="A3249" i="1"/>
  <c r="S3248" i="1"/>
  <c r="O3248" i="1"/>
  <c r="K3248" i="1"/>
  <c r="J3248" i="1"/>
  <c r="I3248" i="1"/>
  <c r="H3248" i="1"/>
  <c r="G3248" i="1"/>
  <c r="F3248" i="1"/>
  <c r="E3248" i="1"/>
  <c r="D3248" i="1"/>
  <c r="C3248" i="1"/>
  <c r="B3248" i="1"/>
  <c r="A3248" i="1"/>
  <c r="R3247" i="1"/>
  <c r="J3247" i="1"/>
  <c r="I3247" i="1"/>
  <c r="G3247" i="1"/>
  <c r="F3247" i="1"/>
  <c r="E3247" i="1"/>
  <c r="D3247" i="1"/>
  <c r="C3247" i="1"/>
  <c r="B3247" i="1"/>
  <c r="A3247" i="1"/>
  <c r="S3246" i="1"/>
  <c r="O3246" i="1"/>
  <c r="K3246" i="1"/>
  <c r="J3246" i="1"/>
  <c r="I3246" i="1"/>
  <c r="H3246" i="1"/>
  <c r="G3246" i="1"/>
  <c r="F3246" i="1"/>
  <c r="E3246" i="1"/>
  <c r="D3246" i="1"/>
  <c r="C3246" i="1"/>
  <c r="B3246" i="1"/>
  <c r="A3246" i="1"/>
  <c r="R3245" i="1"/>
  <c r="J3245" i="1"/>
  <c r="I3245" i="1"/>
  <c r="G3245" i="1"/>
  <c r="F3245" i="1"/>
  <c r="E3245" i="1"/>
  <c r="D3245" i="1"/>
  <c r="C3245" i="1"/>
  <c r="B3245" i="1"/>
  <c r="A3245" i="1"/>
  <c r="S3244" i="1"/>
  <c r="O3244" i="1"/>
  <c r="K3244" i="1"/>
  <c r="J3244" i="1"/>
  <c r="I3244" i="1"/>
  <c r="H3244" i="1"/>
  <c r="G3244" i="1"/>
  <c r="F3244" i="1"/>
  <c r="E3244" i="1"/>
  <c r="D3244" i="1"/>
  <c r="C3244" i="1"/>
  <c r="B3244" i="1"/>
  <c r="A3244" i="1"/>
  <c r="R3243" i="1"/>
  <c r="J3243" i="1"/>
  <c r="I3243" i="1"/>
  <c r="G3243" i="1"/>
  <c r="F3243" i="1"/>
  <c r="E3243" i="1"/>
  <c r="D3243" i="1"/>
  <c r="C3243" i="1"/>
  <c r="B3243" i="1"/>
  <c r="A3243" i="1"/>
  <c r="S3242" i="1"/>
  <c r="O3242" i="1"/>
  <c r="K3242" i="1"/>
  <c r="J3242" i="1"/>
  <c r="I3242" i="1"/>
  <c r="H3242" i="1"/>
  <c r="G3242" i="1"/>
  <c r="F3242" i="1"/>
  <c r="E3242" i="1"/>
  <c r="D3242" i="1"/>
  <c r="C3242" i="1"/>
  <c r="B3242" i="1"/>
  <c r="A3242" i="1"/>
  <c r="R3241" i="1"/>
  <c r="J3241" i="1"/>
  <c r="I3241" i="1"/>
  <c r="G3241" i="1"/>
  <c r="F3241" i="1"/>
  <c r="E3241" i="1"/>
  <c r="D3241" i="1"/>
  <c r="C3241" i="1"/>
  <c r="B3241" i="1"/>
  <c r="A3241" i="1"/>
  <c r="S3240" i="1"/>
  <c r="O3240" i="1"/>
  <c r="K3240" i="1"/>
  <c r="J3240" i="1"/>
  <c r="I3240" i="1"/>
  <c r="H3240" i="1"/>
  <c r="G3240" i="1"/>
  <c r="F3240" i="1"/>
  <c r="E3240" i="1"/>
  <c r="D3240" i="1"/>
  <c r="C3240" i="1"/>
  <c r="B3240" i="1"/>
  <c r="A3240" i="1"/>
  <c r="R3239" i="1"/>
  <c r="J3239" i="1"/>
  <c r="I3239" i="1"/>
  <c r="G3239" i="1"/>
  <c r="F3239" i="1"/>
  <c r="E3239" i="1"/>
  <c r="D3239" i="1"/>
  <c r="C3239" i="1"/>
  <c r="B3239" i="1"/>
  <c r="A3239" i="1"/>
  <c r="S3238" i="1"/>
  <c r="O3238" i="1"/>
  <c r="K3238" i="1"/>
  <c r="J3238" i="1"/>
  <c r="I3238" i="1"/>
  <c r="H3238" i="1"/>
  <c r="G3238" i="1"/>
  <c r="F3238" i="1"/>
  <c r="E3238" i="1"/>
  <c r="D3238" i="1"/>
  <c r="C3238" i="1"/>
  <c r="B3238" i="1"/>
  <c r="A3238" i="1"/>
  <c r="R3237" i="1"/>
  <c r="J3237" i="1"/>
  <c r="I3237" i="1"/>
  <c r="G3237" i="1"/>
  <c r="F3237" i="1"/>
  <c r="E3237" i="1"/>
  <c r="D3237" i="1"/>
  <c r="C3237" i="1"/>
  <c r="B3237" i="1"/>
  <c r="A3237" i="1"/>
  <c r="S3236" i="1"/>
  <c r="O3236" i="1"/>
  <c r="K3236" i="1"/>
  <c r="J3236" i="1"/>
  <c r="I3236" i="1"/>
  <c r="H3236" i="1"/>
  <c r="G3236" i="1"/>
  <c r="F3236" i="1"/>
  <c r="E3236" i="1"/>
  <c r="D3236" i="1"/>
  <c r="C3236" i="1"/>
  <c r="B3236" i="1"/>
  <c r="A3236" i="1"/>
  <c r="R3235" i="1"/>
  <c r="J3235" i="1"/>
  <c r="I3235" i="1"/>
  <c r="G3235" i="1"/>
  <c r="F3235" i="1"/>
  <c r="E3235" i="1"/>
  <c r="D3235" i="1"/>
  <c r="C3235" i="1"/>
  <c r="B3235" i="1"/>
  <c r="A3235" i="1"/>
  <c r="S3234" i="1"/>
  <c r="O3234" i="1"/>
  <c r="K3234" i="1"/>
  <c r="J3234" i="1"/>
  <c r="I3234" i="1"/>
  <c r="H3234" i="1"/>
  <c r="G3234" i="1"/>
  <c r="F3234" i="1"/>
  <c r="E3234" i="1"/>
  <c r="D3234" i="1"/>
  <c r="C3234" i="1"/>
  <c r="B3234" i="1"/>
  <c r="A3234" i="1"/>
  <c r="R3233" i="1"/>
  <c r="J3233" i="1"/>
  <c r="I3233" i="1"/>
  <c r="G3233" i="1"/>
  <c r="F3233" i="1"/>
  <c r="E3233" i="1"/>
  <c r="D3233" i="1"/>
  <c r="C3233" i="1"/>
  <c r="B3233" i="1"/>
  <c r="A3233" i="1"/>
  <c r="S3232" i="1"/>
  <c r="O3232" i="1"/>
  <c r="K3232" i="1"/>
  <c r="J3232" i="1"/>
  <c r="I3232" i="1"/>
  <c r="H3232" i="1"/>
  <c r="G3232" i="1"/>
  <c r="F3232" i="1"/>
  <c r="E3232" i="1"/>
  <c r="D3232" i="1"/>
  <c r="C3232" i="1"/>
  <c r="B3232" i="1"/>
  <c r="A3232" i="1"/>
  <c r="R3231" i="1"/>
  <c r="J3231" i="1"/>
  <c r="I3231" i="1"/>
  <c r="G3231" i="1"/>
  <c r="F3231" i="1"/>
  <c r="E3231" i="1"/>
  <c r="D3231" i="1"/>
  <c r="C3231" i="1"/>
  <c r="B3231" i="1"/>
  <c r="A3231" i="1"/>
  <c r="S3230" i="1"/>
  <c r="O3230" i="1"/>
  <c r="K3230" i="1"/>
  <c r="J3230" i="1"/>
  <c r="I3230" i="1"/>
  <c r="H3230" i="1"/>
  <c r="G3230" i="1"/>
  <c r="F3230" i="1"/>
  <c r="E3230" i="1"/>
  <c r="D3230" i="1"/>
  <c r="C3230" i="1"/>
  <c r="B3230" i="1"/>
  <c r="A3230" i="1"/>
  <c r="R3229" i="1"/>
  <c r="J3229" i="1"/>
  <c r="I3229" i="1"/>
  <c r="G3229" i="1"/>
  <c r="F3229" i="1"/>
  <c r="E3229" i="1"/>
  <c r="D3229" i="1"/>
  <c r="C3229" i="1"/>
  <c r="B3229" i="1"/>
  <c r="A3229" i="1"/>
  <c r="S3228" i="1"/>
  <c r="O3228" i="1"/>
  <c r="K3228" i="1"/>
  <c r="J3228" i="1"/>
  <c r="I3228" i="1"/>
  <c r="H3228" i="1"/>
  <c r="G3228" i="1"/>
  <c r="F3228" i="1"/>
  <c r="E3228" i="1"/>
  <c r="D3228" i="1"/>
  <c r="C3228" i="1"/>
  <c r="B3228" i="1"/>
  <c r="A3228" i="1"/>
  <c r="R3227" i="1"/>
  <c r="J3227" i="1"/>
  <c r="I3227" i="1"/>
  <c r="G3227" i="1"/>
  <c r="F3227" i="1"/>
  <c r="E3227" i="1"/>
  <c r="D3227" i="1"/>
  <c r="C3227" i="1"/>
  <c r="B3227" i="1"/>
  <c r="A3227" i="1"/>
  <c r="S3226" i="1"/>
  <c r="O3226" i="1"/>
  <c r="K3226" i="1"/>
  <c r="J3226" i="1"/>
  <c r="I3226" i="1"/>
  <c r="H3226" i="1"/>
  <c r="G3226" i="1"/>
  <c r="F3226" i="1"/>
  <c r="E3226" i="1"/>
  <c r="D3226" i="1"/>
  <c r="C3226" i="1"/>
  <c r="B3226" i="1"/>
  <c r="A3226" i="1"/>
  <c r="R3225" i="1"/>
  <c r="J3225" i="1"/>
  <c r="I3225" i="1"/>
  <c r="G3225" i="1"/>
  <c r="F3225" i="1"/>
  <c r="E3225" i="1"/>
  <c r="D3225" i="1"/>
  <c r="C3225" i="1"/>
  <c r="B3225" i="1"/>
  <c r="A3225" i="1"/>
  <c r="S3224" i="1"/>
  <c r="O3224" i="1"/>
  <c r="K3224" i="1"/>
  <c r="J3224" i="1"/>
  <c r="I3224" i="1"/>
  <c r="H3224" i="1"/>
  <c r="G3224" i="1"/>
  <c r="F3224" i="1"/>
  <c r="E3224" i="1"/>
  <c r="D3224" i="1"/>
  <c r="C3224" i="1"/>
  <c r="B3224" i="1"/>
  <c r="A3224" i="1"/>
  <c r="R3223" i="1"/>
  <c r="J3223" i="1"/>
  <c r="I3223" i="1"/>
  <c r="G3223" i="1"/>
  <c r="F3223" i="1"/>
  <c r="E3223" i="1"/>
  <c r="D3223" i="1"/>
  <c r="C3223" i="1"/>
  <c r="B3223" i="1"/>
  <c r="A3223" i="1"/>
  <c r="S3222" i="1"/>
  <c r="O3222" i="1"/>
  <c r="K3222" i="1"/>
  <c r="J3222" i="1"/>
  <c r="I3222" i="1"/>
  <c r="H3222" i="1"/>
  <c r="G3222" i="1"/>
  <c r="F3222" i="1"/>
  <c r="E3222" i="1"/>
  <c r="D3222" i="1"/>
  <c r="C3222" i="1"/>
  <c r="B3222" i="1"/>
  <c r="A3222" i="1"/>
  <c r="R3221" i="1"/>
  <c r="J3221" i="1"/>
  <c r="I3221" i="1"/>
  <c r="G3221" i="1"/>
  <c r="F3221" i="1"/>
  <c r="E3221" i="1"/>
  <c r="D3221" i="1"/>
  <c r="C3221" i="1"/>
  <c r="B3221" i="1"/>
  <c r="A3221" i="1"/>
  <c r="S3220" i="1"/>
  <c r="O3220" i="1"/>
  <c r="K3220" i="1"/>
  <c r="J3220" i="1"/>
  <c r="I3220" i="1"/>
  <c r="H3220" i="1"/>
  <c r="G3220" i="1"/>
  <c r="F3220" i="1"/>
  <c r="E3220" i="1"/>
  <c r="D3220" i="1"/>
  <c r="C3220" i="1"/>
  <c r="B3220" i="1"/>
  <c r="A3220" i="1"/>
  <c r="R3219" i="1"/>
  <c r="J3219" i="1"/>
  <c r="I3219" i="1"/>
  <c r="G3219" i="1"/>
  <c r="F3219" i="1"/>
  <c r="E3219" i="1"/>
  <c r="D3219" i="1"/>
  <c r="C3219" i="1"/>
  <c r="B3219" i="1"/>
  <c r="A3219" i="1"/>
  <c r="S3218" i="1"/>
  <c r="O3218" i="1"/>
  <c r="K3218" i="1"/>
  <c r="J3218" i="1"/>
  <c r="I3218" i="1"/>
  <c r="H3218" i="1"/>
  <c r="G3218" i="1"/>
  <c r="F3218" i="1"/>
  <c r="E3218" i="1"/>
  <c r="D3218" i="1"/>
  <c r="C3218" i="1"/>
  <c r="B3218" i="1"/>
  <c r="A3218" i="1"/>
  <c r="R3217" i="1"/>
  <c r="J3217" i="1"/>
  <c r="I3217" i="1"/>
  <c r="G3217" i="1"/>
  <c r="F3217" i="1"/>
  <c r="E3217" i="1"/>
  <c r="D3217" i="1"/>
  <c r="C3217" i="1"/>
  <c r="B3217" i="1"/>
  <c r="A3217" i="1"/>
  <c r="S3216" i="1"/>
  <c r="O3216" i="1"/>
  <c r="K3216" i="1"/>
  <c r="J3216" i="1"/>
  <c r="I3216" i="1"/>
  <c r="H3216" i="1"/>
  <c r="G3216" i="1"/>
  <c r="F3216" i="1"/>
  <c r="E3216" i="1"/>
  <c r="D3216" i="1"/>
  <c r="C3216" i="1"/>
  <c r="B3216" i="1"/>
  <c r="A3216" i="1"/>
  <c r="R3215" i="1"/>
  <c r="J3215" i="1"/>
  <c r="I3215" i="1"/>
  <c r="G3215" i="1"/>
  <c r="F3215" i="1"/>
  <c r="E3215" i="1"/>
  <c r="D3215" i="1"/>
  <c r="C3215" i="1"/>
  <c r="B3215" i="1"/>
  <c r="A3215" i="1"/>
  <c r="S3214" i="1"/>
  <c r="O3214" i="1"/>
  <c r="K3214" i="1"/>
  <c r="J3214" i="1"/>
  <c r="I3214" i="1"/>
  <c r="H3214" i="1"/>
  <c r="G3214" i="1"/>
  <c r="F3214" i="1"/>
  <c r="E3214" i="1"/>
  <c r="D3214" i="1"/>
  <c r="C3214" i="1"/>
  <c r="B3214" i="1"/>
  <c r="A3214" i="1"/>
  <c r="R3213" i="1"/>
  <c r="J3213" i="1"/>
  <c r="I3213" i="1"/>
  <c r="G3213" i="1"/>
  <c r="F3213" i="1"/>
  <c r="E3213" i="1"/>
  <c r="D3213" i="1"/>
  <c r="C3213" i="1"/>
  <c r="B3213" i="1"/>
  <c r="A3213" i="1"/>
  <c r="S3212" i="1"/>
  <c r="O3212" i="1"/>
  <c r="K3212" i="1"/>
  <c r="J3212" i="1"/>
  <c r="I3212" i="1"/>
  <c r="H3212" i="1"/>
  <c r="G3212" i="1"/>
  <c r="F3212" i="1"/>
  <c r="E3212" i="1"/>
  <c r="D3212" i="1"/>
  <c r="C3212" i="1"/>
  <c r="B3212" i="1"/>
  <c r="A3212" i="1"/>
  <c r="R3211" i="1"/>
  <c r="J3211" i="1"/>
  <c r="I3211" i="1"/>
  <c r="G3211" i="1"/>
  <c r="F3211" i="1"/>
  <c r="E3211" i="1"/>
  <c r="D3211" i="1"/>
  <c r="C3211" i="1"/>
  <c r="B3211" i="1"/>
  <c r="A3211" i="1"/>
  <c r="S3210" i="1"/>
  <c r="O3210" i="1"/>
  <c r="K3210" i="1"/>
  <c r="J3210" i="1"/>
  <c r="I3210" i="1"/>
  <c r="H3210" i="1"/>
  <c r="G3210" i="1"/>
  <c r="F3210" i="1"/>
  <c r="E3210" i="1"/>
  <c r="D3210" i="1"/>
  <c r="C3210" i="1"/>
  <c r="B3210" i="1"/>
  <c r="A3210" i="1"/>
  <c r="R3209" i="1"/>
  <c r="J3209" i="1"/>
  <c r="I3209" i="1"/>
  <c r="G3209" i="1"/>
  <c r="F3209" i="1"/>
  <c r="E3209" i="1"/>
  <c r="D3209" i="1"/>
  <c r="C3209" i="1"/>
  <c r="B3209" i="1"/>
  <c r="A3209" i="1"/>
  <c r="S3208" i="1"/>
  <c r="O3208" i="1"/>
  <c r="K3208" i="1"/>
  <c r="J3208" i="1"/>
  <c r="I3208" i="1"/>
  <c r="H3208" i="1"/>
  <c r="G3208" i="1"/>
  <c r="F3208" i="1"/>
  <c r="E3208" i="1"/>
  <c r="D3208" i="1"/>
  <c r="C3208" i="1"/>
  <c r="B3208" i="1"/>
  <c r="A3208" i="1"/>
  <c r="R3207" i="1"/>
  <c r="J3207" i="1"/>
  <c r="I3207" i="1"/>
  <c r="G3207" i="1"/>
  <c r="F3207" i="1"/>
  <c r="E3207" i="1"/>
  <c r="D3207" i="1"/>
  <c r="C3207" i="1"/>
  <c r="B3207" i="1"/>
  <c r="A3207" i="1"/>
  <c r="S3206" i="1"/>
  <c r="O3206" i="1"/>
  <c r="K3206" i="1"/>
  <c r="J3206" i="1"/>
  <c r="I3206" i="1"/>
  <c r="H3206" i="1"/>
  <c r="G3206" i="1"/>
  <c r="F3206" i="1"/>
  <c r="E3206" i="1"/>
  <c r="D3206" i="1"/>
  <c r="C3206" i="1"/>
  <c r="B3206" i="1"/>
  <c r="A3206" i="1"/>
  <c r="R3205" i="1"/>
  <c r="J3205" i="1"/>
  <c r="I3205" i="1"/>
  <c r="G3205" i="1"/>
  <c r="F3205" i="1"/>
  <c r="E3205" i="1"/>
  <c r="D3205" i="1"/>
  <c r="C3205" i="1"/>
  <c r="B3205" i="1"/>
  <c r="A3205" i="1"/>
  <c r="S3204" i="1"/>
  <c r="O3204" i="1"/>
  <c r="K3204" i="1"/>
  <c r="J3204" i="1"/>
  <c r="I3204" i="1"/>
  <c r="H3204" i="1"/>
  <c r="G3204" i="1"/>
  <c r="F3204" i="1"/>
  <c r="E3204" i="1"/>
  <c r="D3204" i="1"/>
  <c r="C3204" i="1"/>
  <c r="B3204" i="1"/>
  <c r="A3204" i="1"/>
  <c r="R3203" i="1"/>
  <c r="J3203" i="1"/>
  <c r="I3203" i="1"/>
  <c r="G3203" i="1"/>
  <c r="F3203" i="1"/>
  <c r="E3203" i="1"/>
  <c r="D3203" i="1"/>
  <c r="C3203" i="1"/>
  <c r="B3203" i="1"/>
  <c r="A3203" i="1"/>
  <c r="S3202" i="1"/>
  <c r="O3202" i="1"/>
  <c r="K3202" i="1"/>
  <c r="J3202" i="1"/>
  <c r="I3202" i="1"/>
  <c r="H3202" i="1"/>
  <c r="G3202" i="1"/>
  <c r="F3202" i="1"/>
  <c r="E3202" i="1"/>
  <c r="D3202" i="1"/>
  <c r="C3202" i="1"/>
  <c r="B3202" i="1"/>
  <c r="A3202" i="1"/>
  <c r="R3201" i="1"/>
  <c r="J3201" i="1"/>
  <c r="I3201" i="1"/>
  <c r="G3201" i="1"/>
  <c r="F3201" i="1"/>
  <c r="E3201" i="1"/>
  <c r="D3201" i="1"/>
  <c r="C3201" i="1"/>
  <c r="B3201" i="1"/>
  <c r="A3201" i="1"/>
  <c r="S3200" i="1"/>
  <c r="O3200" i="1"/>
  <c r="K3200" i="1"/>
  <c r="J3200" i="1"/>
  <c r="I3200" i="1"/>
  <c r="H3200" i="1"/>
  <c r="G3200" i="1"/>
  <c r="F3200" i="1"/>
  <c r="E3200" i="1"/>
  <c r="D3200" i="1"/>
  <c r="C3200" i="1"/>
  <c r="B3200" i="1"/>
  <c r="A3200" i="1"/>
  <c r="R3199" i="1"/>
  <c r="J3199" i="1"/>
  <c r="I3199" i="1"/>
  <c r="G3199" i="1"/>
  <c r="F3199" i="1"/>
  <c r="E3199" i="1"/>
  <c r="D3199" i="1"/>
  <c r="C3199" i="1"/>
  <c r="B3199" i="1"/>
  <c r="A3199" i="1"/>
  <c r="S3198" i="1"/>
  <c r="O3198" i="1"/>
  <c r="K3198" i="1"/>
  <c r="J3198" i="1"/>
  <c r="I3198" i="1"/>
  <c r="H3198" i="1"/>
  <c r="G3198" i="1"/>
  <c r="F3198" i="1"/>
  <c r="E3198" i="1"/>
  <c r="D3198" i="1"/>
  <c r="C3198" i="1"/>
  <c r="B3198" i="1"/>
  <c r="A3198" i="1"/>
  <c r="S3197" i="1"/>
  <c r="O3197" i="1"/>
  <c r="K3197" i="1"/>
  <c r="J3197" i="1"/>
  <c r="I3197" i="1"/>
  <c r="H3197" i="1"/>
  <c r="G3197" i="1"/>
  <c r="F3197" i="1"/>
  <c r="D3197" i="1"/>
  <c r="C3197" i="1"/>
  <c r="B3197" i="1"/>
  <c r="A3197" i="1"/>
  <c r="S3196" i="1"/>
  <c r="O3196" i="1"/>
  <c r="K3196" i="1"/>
  <c r="J3196" i="1"/>
  <c r="I3196" i="1"/>
  <c r="H3196" i="1"/>
  <c r="G3196" i="1"/>
  <c r="F3196" i="1"/>
  <c r="D3196" i="1"/>
  <c r="C3196" i="1"/>
  <c r="B3196" i="1"/>
  <c r="A3196" i="1"/>
  <c r="S3195" i="1"/>
  <c r="O3195" i="1"/>
  <c r="K3195" i="1"/>
  <c r="J3195" i="1"/>
  <c r="I3195" i="1"/>
  <c r="H3195" i="1"/>
  <c r="G3195" i="1"/>
  <c r="F3195" i="1"/>
  <c r="D3195" i="1"/>
  <c r="C3195" i="1"/>
  <c r="B3195" i="1"/>
  <c r="A3195" i="1"/>
  <c r="S3194" i="1"/>
  <c r="O3194" i="1"/>
  <c r="K3194" i="1"/>
  <c r="J3194" i="1"/>
  <c r="I3194" i="1"/>
  <c r="H3194" i="1"/>
  <c r="G3194" i="1"/>
  <c r="F3194" i="1"/>
  <c r="D3194" i="1"/>
  <c r="C3194" i="1"/>
  <c r="B3194" i="1"/>
  <c r="A3194" i="1"/>
  <c r="R3193" i="1"/>
  <c r="J3193" i="1"/>
  <c r="I3193" i="1"/>
  <c r="G3193" i="1"/>
  <c r="F3193" i="1"/>
  <c r="E3193" i="1"/>
  <c r="D3193" i="1"/>
  <c r="C3193" i="1"/>
  <c r="B3193" i="1"/>
  <c r="A3193" i="1"/>
  <c r="S3192" i="1"/>
  <c r="O3192" i="1"/>
  <c r="K3192" i="1"/>
  <c r="J3192" i="1"/>
  <c r="I3192" i="1"/>
  <c r="H3192" i="1"/>
  <c r="G3192" i="1"/>
  <c r="F3192" i="1"/>
  <c r="E3192" i="1"/>
  <c r="D3192" i="1"/>
  <c r="C3192" i="1"/>
  <c r="B3192" i="1"/>
  <c r="A3192" i="1"/>
  <c r="R3191" i="1"/>
  <c r="J3191" i="1"/>
  <c r="I3191" i="1"/>
  <c r="G3191" i="1"/>
  <c r="F3191" i="1"/>
  <c r="E3191" i="1"/>
  <c r="D3191" i="1"/>
  <c r="C3191" i="1"/>
  <c r="B3191" i="1"/>
  <c r="A3191" i="1"/>
  <c r="S3190" i="1"/>
  <c r="O3190" i="1"/>
  <c r="K3190" i="1"/>
  <c r="J3190" i="1"/>
  <c r="I3190" i="1"/>
  <c r="H3190" i="1"/>
  <c r="G3190" i="1"/>
  <c r="F3190" i="1"/>
  <c r="E3190" i="1"/>
  <c r="D3190" i="1"/>
  <c r="C3190" i="1"/>
  <c r="B3190" i="1"/>
  <c r="A3190" i="1"/>
  <c r="R3189" i="1"/>
  <c r="J3189" i="1"/>
  <c r="I3189" i="1"/>
  <c r="G3189" i="1"/>
  <c r="F3189" i="1"/>
  <c r="E3189" i="1"/>
  <c r="D3189" i="1"/>
  <c r="C3189" i="1"/>
  <c r="B3189" i="1"/>
  <c r="A3189" i="1"/>
  <c r="R3188" i="1"/>
  <c r="J3188" i="1"/>
  <c r="I3188" i="1"/>
  <c r="G3188" i="1"/>
  <c r="F3188" i="1"/>
  <c r="E3188" i="1"/>
  <c r="D3188" i="1"/>
  <c r="C3188" i="1"/>
  <c r="B3188" i="1"/>
  <c r="A3188" i="1"/>
  <c r="R3187" i="1"/>
  <c r="J3187" i="1"/>
  <c r="I3187" i="1"/>
  <c r="G3187" i="1"/>
  <c r="F3187" i="1"/>
  <c r="E3187" i="1"/>
  <c r="D3187" i="1"/>
  <c r="C3187" i="1"/>
  <c r="B3187" i="1"/>
  <c r="A3187" i="1"/>
  <c r="S3186" i="1"/>
  <c r="O3186" i="1"/>
  <c r="K3186" i="1"/>
  <c r="J3186" i="1"/>
  <c r="I3186" i="1"/>
  <c r="H3186" i="1"/>
  <c r="G3186" i="1"/>
  <c r="F3186" i="1"/>
  <c r="E3186" i="1"/>
  <c r="D3186" i="1"/>
  <c r="C3186" i="1"/>
  <c r="B3186" i="1"/>
  <c r="A3186" i="1"/>
  <c r="R3185" i="1"/>
  <c r="J3185" i="1"/>
  <c r="I3185" i="1"/>
  <c r="G3185" i="1"/>
  <c r="F3185" i="1"/>
  <c r="E3185" i="1"/>
  <c r="D3185" i="1"/>
  <c r="C3185" i="1"/>
  <c r="B3185" i="1"/>
  <c r="A3185" i="1"/>
  <c r="S3184" i="1"/>
  <c r="O3184" i="1"/>
  <c r="K3184" i="1"/>
  <c r="J3184" i="1"/>
  <c r="I3184" i="1"/>
  <c r="H3184" i="1"/>
  <c r="G3184" i="1"/>
  <c r="F3184" i="1"/>
  <c r="E3184" i="1"/>
  <c r="D3184" i="1"/>
  <c r="C3184" i="1"/>
  <c r="B3184" i="1"/>
  <c r="A3184" i="1"/>
  <c r="R3183" i="1"/>
  <c r="J3183" i="1"/>
  <c r="I3183" i="1"/>
  <c r="G3183" i="1"/>
  <c r="F3183" i="1"/>
  <c r="E3183" i="1"/>
  <c r="D3183" i="1"/>
  <c r="C3183" i="1"/>
  <c r="B3183" i="1"/>
  <c r="A3183" i="1"/>
  <c r="S3182" i="1"/>
  <c r="O3182" i="1"/>
  <c r="K3182" i="1"/>
  <c r="J3182" i="1"/>
  <c r="I3182" i="1"/>
  <c r="H3182" i="1"/>
  <c r="G3182" i="1"/>
  <c r="F3182" i="1"/>
  <c r="E3182" i="1"/>
  <c r="D3182" i="1"/>
  <c r="C3182" i="1"/>
  <c r="B3182" i="1"/>
  <c r="A3182" i="1"/>
  <c r="R3181" i="1"/>
  <c r="J3181" i="1"/>
  <c r="I3181" i="1"/>
  <c r="G3181" i="1"/>
  <c r="F3181" i="1"/>
  <c r="E3181" i="1"/>
  <c r="D3181" i="1"/>
  <c r="C3181" i="1"/>
  <c r="B3181" i="1"/>
  <c r="A3181" i="1"/>
  <c r="S3180" i="1"/>
  <c r="O3180" i="1"/>
  <c r="K3180" i="1"/>
  <c r="J3180" i="1"/>
  <c r="I3180" i="1"/>
  <c r="H3180" i="1"/>
  <c r="G3180" i="1"/>
  <c r="F3180" i="1"/>
  <c r="E3180" i="1"/>
  <c r="D3180" i="1"/>
  <c r="C3180" i="1"/>
  <c r="B3180" i="1"/>
  <c r="A3180" i="1"/>
  <c r="R3179" i="1"/>
  <c r="J3179" i="1"/>
  <c r="I3179" i="1"/>
  <c r="G3179" i="1"/>
  <c r="F3179" i="1"/>
  <c r="E3179" i="1"/>
  <c r="D3179" i="1"/>
  <c r="C3179" i="1"/>
  <c r="B3179" i="1"/>
  <c r="A3179" i="1"/>
  <c r="R3178" i="1"/>
  <c r="J3178" i="1"/>
  <c r="I3178" i="1"/>
  <c r="G3178" i="1"/>
  <c r="F3178" i="1"/>
  <c r="E3178" i="1"/>
  <c r="D3178" i="1"/>
  <c r="C3178" i="1"/>
  <c r="B3178" i="1"/>
  <c r="A3178" i="1"/>
  <c r="R3177" i="1"/>
  <c r="J3177" i="1"/>
  <c r="I3177" i="1"/>
  <c r="G3177" i="1"/>
  <c r="F3177" i="1"/>
  <c r="E3177" i="1"/>
  <c r="D3177" i="1"/>
  <c r="C3177" i="1"/>
  <c r="B3177" i="1"/>
  <c r="A3177" i="1"/>
  <c r="S3176" i="1"/>
  <c r="O3176" i="1"/>
  <c r="K3176" i="1"/>
  <c r="J3176" i="1"/>
  <c r="I3176" i="1"/>
  <c r="H3176" i="1"/>
  <c r="G3176" i="1"/>
  <c r="F3176" i="1"/>
  <c r="E3176" i="1"/>
  <c r="D3176" i="1"/>
  <c r="C3176" i="1"/>
  <c r="B3176" i="1"/>
  <c r="A3176" i="1"/>
  <c r="R3175" i="1"/>
  <c r="J3175" i="1"/>
  <c r="I3175" i="1"/>
  <c r="G3175" i="1"/>
  <c r="F3175" i="1"/>
  <c r="E3175" i="1"/>
  <c r="D3175" i="1"/>
  <c r="C3175" i="1"/>
  <c r="B3175" i="1"/>
  <c r="A3175" i="1"/>
  <c r="S3174" i="1"/>
  <c r="O3174" i="1"/>
  <c r="K3174" i="1"/>
  <c r="J3174" i="1"/>
  <c r="I3174" i="1"/>
  <c r="H3174" i="1"/>
  <c r="G3174" i="1"/>
  <c r="F3174" i="1"/>
  <c r="E3174" i="1"/>
  <c r="D3174" i="1"/>
  <c r="C3174" i="1"/>
  <c r="B3174" i="1"/>
  <c r="A3174" i="1"/>
  <c r="R3173" i="1"/>
  <c r="J3173" i="1"/>
  <c r="I3173" i="1"/>
  <c r="G3173" i="1"/>
  <c r="F3173" i="1"/>
  <c r="E3173" i="1"/>
  <c r="D3173" i="1"/>
  <c r="C3173" i="1"/>
  <c r="B3173" i="1"/>
  <c r="A3173" i="1"/>
  <c r="S3172" i="1"/>
  <c r="O3172" i="1"/>
  <c r="K3172" i="1"/>
  <c r="J3172" i="1"/>
  <c r="I3172" i="1"/>
  <c r="H3172" i="1"/>
  <c r="G3172" i="1"/>
  <c r="F3172" i="1"/>
  <c r="E3172" i="1"/>
  <c r="D3172" i="1"/>
  <c r="C3172" i="1"/>
  <c r="B3172" i="1"/>
  <c r="A3172" i="1"/>
  <c r="R3171" i="1"/>
  <c r="J3171" i="1"/>
  <c r="I3171" i="1"/>
  <c r="G3171" i="1"/>
  <c r="F3171" i="1"/>
  <c r="E3171" i="1"/>
  <c r="D3171" i="1"/>
  <c r="C3171" i="1"/>
  <c r="B3171" i="1"/>
  <c r="A3171" i="1"/>
  <c r="S3170" i="1"/>
  <c r="O3170" i="1"/>
  <c r="K3170" i="1"/>
  <c r="J3170" i="1"/>
  <c r="I3170" i="1"/>
  <c r="H3170" i="1"/>
  <c r="G3170" i="1"/>
  <c r="F3170" i="1"/>
  <c r="E3170" i="1"/>
  <c r="D3170" i="1"/>
  <c r="C3170" i="1"/>
  <c r="B3170" i="1"/>
  <c r="A3170" i="1"/>
  <c r="R3169" i="1"/>
  <c r="J3169" i="1"/>
  <c r="I3169" i="1"/>
  <c r="G3169" i="1"/>
  <c r="F3169" i="1"/>
  <c r="E3169" i="1"/>
  <c r="D3169" i="1"/>
  <c r="C3169" i="1"/>
  <c r="B3169" i="1"/>
  <c r="A3169" i="1"/>
  <c r="S3168" i="1"/>
  <c r="O3168" i="1"/>
  <c r="K3168" i="1"/>
  <c r="J3168" i="1"/>
  <c r="I3168" i="1"/>
  <c r="H3168" i="1"/>
  <c r="G3168" i="1"/>
  <c r="F3168" i="1"/>
  <c r="E3168" i="1"/>
  <c r="D3168" i="1"/>
  <c r="C3168" i="1"/>
  <c r="B3168" i="1"/>
  <c r="A3168" i="1"/>
  <c r="R3167" i="1"/>
  <c r="J3167" i="1"/>
  <c r="I3167" i="1"/>
  <c r="G3167" i="1"/>
  <c r="F3167" i="1"/>
  <c r="E3167" i="1"/>
  <c r="D3167" i="1"/>
  <c r="C3167" i="1"/>
  <c r="B3167" i="1"/>
  <c r="A3167" i="1"/>
  <c r="S3166" i="1"/>
  <c r="O3166" i="1"/>
  <c r="K3166" i="1"/>
  <c r="J3166" i="1"/>
  <c r="I3166" i="1"/>
  <c r="H3166" i="1"/>
  <c r="G3166" i="1"/>
  <c r="F3166" i="1"/>
  <c r="E3166" i="1"/>
  <c r="D3166" i="1"/>
  <c r="C3166" i="1"/>
  <c r="B3166" i="1"/>
  <c r="A3166" i="1"/>
  <c r="R3165" i="1"/>
  <c r="J3165" i="1"/>
  <c r="I3165" i="1"/>
  <c r="G3165" i="1"/>
  <c r="F3165" i="1"/>
  <c r="E3165" i="1"/>
  <c r="D3165" i="1"/>
  <c r="C3165" i="1"/>
  <c r="B3165" i="1"/>
  <c r="A3165" i="1"/>
  <c r="S3164" i="1"/>
  <c r="O3164" i="1"/>
  <c r="K3164" i="1"/>
  <c r="J3164" i="1"/>
  <c r="I3164" i="1"/>
  <c r="H3164" i="1"/>
  <c r="G3164" i="1"/>
  <c r="F3164" i="1"/>
  <c r="E3164" i="1"/>
  <c r="D3164" i="1"/>
  <c r="C3164" i="1"/>
  <c r="B3164" i="1"/>
  <c r="A3164" i="1"/>
  <c r="R3163" i="1"/>
  <c r="J3163" i="1"/>
  <c r="I3163" i="1"/>
  <c r="G3163" i="1"/>
  <c r="F3163" i="1"/>
  <c r="E3163" i="1"/>
  <c r="D3163" i="1"/>
  <c r="C3163" i="1"/>
  <c r="B3163" i="1"/>
  <c r="A3163" i="1"/>
  <c r="S3162" i="1"/>
  <c r="O3162" i="1"/>
  <c r="K3162" i="1"/>
  <c r="J3162" i="1"/>
  <c r="I3162" i="1"/>
  <c r="H3162" i="1"/>
  <c r="G3162" i="1"/>
  <c r="F3162" i="1"/>
  <c r="E3162" i="1"/>
  <c r="D3162" i="1"/>
  <c r="C3162" i="1"/>
  <c r="B3162" i="1"/>
  <c r="A3162" i="1"/>
  <c r="R3161" i="1"/>
  <c r="J3161" i="1"/>
  <c r="I3161" i="1"/>
  <c r="G3161" i="1"/>
  <c r="F3161" i="1"/>
  <c r="E3161" i="1"/>
  <c r="D3161" i="1"/>
  <c r="C3161" i="1"/>
  <c r="B3161" i="1"/>
  <c r="A3161" i="1"/>
  <c r="S3160" i="1"/>
  <c r="O3160" i="1"/>
  <c r="K3160" i="1"/>
  <c r="J3160" i="1"/>
  <c r="I3160" i="1"/>
  <c r="H3160" i="1"/>
  <c r="G3160" i="1"/>
  <c r="F3160" i="1"/>
  <c r="E3160" i="1"/>
  <c r="D3160" i="1"/>
  <c r="C3160" i="1"/>
  <c r="B3160" i="1"/>
  <c r="A3160" i="1"/>
  <c r="R3159" i="1"/>
  <c r="J3159" i="1"/>
  <c r="I3159" i="1"/>
  <c r="G3159" i="1"/>
  <c r="F3159" i="1"/>
  <c r="E3159" i="1"/>
  <c r="D3159" i="1"/>
  <c r="C3159" i="1"/>
  <c r="B3159" i="1"/>
  <c r="A3159" i="1"/>
  <c r="S3158" i="1"/>
  <c r="O3158" i="1"/>
  <c r="K3158" i="1"/>
  <c r="J3158" i="1"/>
  <c r="I3158" i="1"/>
  <c r="H3158" i="1"/>
  <c r="G3158" i="1"/>
  <c r="F3158" i="1"/>
  <c r="E3158" i="1"/>
  <c r="D3158" i="1"/>
  <c r="C3158" i="1"/>
  <c r="B3158" i="1"/>
  <c r="A3158" i="1"/>
  <c r="R3157" i="1"/>
  <c r="J3157" i="1"/>
  <c r="I3157" i="1"/>
  <c r="G3157" i="1"/>
  <c r="F3157" i="1"/>
  <c r="E3157" i="1"/>
  <c r="D3157" i="1"/>
  <c r="C3157" i="1"/>
  <c r="B3157" i="1"/>
  <c r="A3157" i="1"/>
  <c r="R3156" i="1"/>
  <c r="J3156" i="1"/>
  <c r="I3156" i="1"/>
  <c r="G3156" i="1"/>
  <c r="F3156" i="1"/>
  <c r="E3156" i="1"/>
  <c r="D3156" i="1"/>
  <c r="C3156" i="1"/>
  <c r="B3156" i="1"/>
  <c r="A3156" i="1"/>
  <c r="S3155" i="1"/>
  <c r="O3155" i="1"/>
  <c r="K3155" i="1"/>
  <c r="J3155" i="1"/>
  <c r="I3155" i="1"/>
  <c r="H3155" i="1"/>
  <c r="G3155" i="1"/>
  <c r="F3155" i="1"/>
  <c r="E3155" i="1"/>
  <c r="D3155" i="1"/>
  <c r="C3155" i="1"/>
  <c r="B3155" i="1"/>
  <c r="A3155" i="1"/>
  <c r="R3154" i="1"/>
  <c r="J3154" i="1"/>
  <c r="I3154" i="1"/>
  <c r="G3154" i="1"/>
  <c r="F3154" i="1"/>
  <c r="E3154" i="1"/>
  <c r="D3154" i="1"/>
  <c r="C3154" i="1"/>
  <c r="B3154" i="1"/>
  <c r="A3154" i="1"/>
  <c r="R3153" i="1"/>
  <c r="J3153" i="1"/>
  <c r="I3153" i="1"/>
  <c r="G3153" i="1"/>
  <c r="F3153" i="1"/>
  <c r="E3153" i="1"/>
  <c r="D3153" i="1"/>
  <c r="C3153" i="1"/>
  <c r="B3153" i="1"/>
  <c r="A3153" i="1"/>
  <c r="R3152" i="1"/>
  <c r="J3152" i="1"/>
  <c r="I3152" i="1"/>
  <c r="G3152" i="1"/>
  <c r="F3152" i="1"/>
  <c r="E3152" i="1"/>
  <c r="D3152" i="1"/>
  <c r="C3152" i="1"/>
  <c r="B3152" i="1"/>
  <c r="A3152" i="1"/>
  <c r="R3151" i="1"/>
  <c r="J3151" i="1"/>
  <c r="I3151" i="1"/>
  <c r="G3151" i="1"/>
  <c r="F3151" i="1"/>
  <c r="E3151" i="1"/>
  <c r="D3151" i="1"/>
  <c r="C3151" i="1"/>
  <c r="B3151" i="1"/>
  <c r="A3151" i="1"/>
  <c r="R3150" i="1"/>
  <c r="J3150" i="1"/>
  <c r="I3150" i="1"/>
  <c r="G3150" i="1"/>
  <c r="F3150" i="1"/>
  <c r="E3150" i="1"/>
  <c r="D3150" i="1"/>
  <c r="C3150" i="1"/>
  <c r="B3150" i="1"/>
  <c r="A3150" i="1"/>
  <c r="R3149" i="1"/>
  <c r="J3149" i="1"/>
  <c r="I3149" i="1"/>
  <c r="G3149" i="1"/>
  <c r="F3149" i="1"/>
  <c r="E3149" i="1"/>
  <c r="D3149" i="1"/>
  <c r="C3149" i="1"/>
  <c r="B3149" i="1"/>
  <c r="A3149" i="1"/>
  <c r="R3148" i="1"/>
  <c r="J3148" i="1"/>
  <c r="I3148" i="1"/>
  <c r="G3148" i="1"/>
  <c r="F3148" i="1"/>
  <c r="E3148" i="1"/>
  <c r="D3148" i="1"/>
  <c r="C3148" i="1"/>
  <c r="B3148" i="1"/>
  <c r="A3148" i="1"/>
  <c r="R3147" i="1"/>
  <c r="J3147" i="1"/>
  <c r="I3147" i="1"/>
  <c r="G3147" i="1"/>
  <c r="F3147" i="1"/>
  <c r="E3147" i="1"/>
  <c r="D3147" i="1"/>
  <c r="C3147" i="1"/>
  <c r="B3147" i="1"/>
  <c r="A3147" i="1"/>
  <c r="R3146" i="1"/>
  <c r="J3146" i="1"/>
  <c r="I3146" i="1"/>
  <c r="G3146" i="1"/>
  <c r="F3146" i="1"/>
  <c r="E3146" i="1"/>
  <c r="D3146" i="1"/>
  <c r="C3146" i="1"/>
  <c r="B3146" i="1"/>
  <c r="A3146" i="1"/>
  <c r="R3145" i="1"/>
  <c r="J3145" i="1"/>
  <c r="I3145" i="1"/>
  <c r="G3145" i="1"/>
  <c r="F3145" i="1"/>
  <c r="E3145" i="1"/>
  <c r="D3145" i="1"/>
  <c r="C3145" i="1"/>
  <c r="B3145" i="1"/>
  <c r="A3145" i="1"/>
  <c r="S3144" i="1"/>
  <c r="O3144" i="1"/>
  <c r="K3144" i="1"/>
  <c r="J3144" i="1"/>
  <c r="I3144" i="1"/>
  <c r="H3144" i="1"/>
  <c r="G3144" i="1"/>
  <c r="F3144" i="1"/>
  <c r="E3144" i="1"/>
  <c r="D3144" i="1"/>
  <c r="C3144" i="1"/>
  <c r="B3144" i="1"/>
  <c r="A3144" i="1"/>
  <c r="R3143" i="1"/>
  <c r="J3143" i="1"/>
  <c r="I3143" i="1"/>
  <c r="G3143" i="1"/>
  <c r="F3143" i="1"/>
  <c r="E3143" i="1"/>
  <c r="D3143" i="1"/>
  <c r="C3143" i="1"/>
  <c r="B3143" i="1"/>
  <c r="A3143" i="1"/>
  <c r="R3142" i="1"/>
  <c r="J3142" i="1"/>
  <c r="I3142" i="1"/>
  <c r="G3142" i="1"/>
  <c r="F3142" i="1"/>
  <c r="E3142" i="1"/>
  <c r="D3142" i="1"/>
  <c r="C3142" i="1"/>
  <c r="B3142" i="1"/>
  <c r="A3142" i="1"/>
  <c r="R3141" i="1"/>
  <c r="J3141" i="1"/>
  <c r="I3141" i="1"/>
  <c r="G3141" i="1"/>
  <c r="F3141" i="1"/>
  <c r="E3141" i="1"/>
  <c r="D3141" i="1"/>
  <c r="C3141" i="1"/>
  <c r="B3141" i="1"/>
  <c r="A3141" i="1"/>
  <c r="R3140" i="1"/>
  <c r="J3140" i="1"/>
  <c r="I3140" i="1"/>
  <c r="G3140" i="1"/>
  <c r="F3140" i="1"/>
  <c r="E3140" i="1"/>
  <c r="D3140" i="1"/>
  <c r="C3140" i="1"/>
  <c r="B3140" i="1"/>
  <c r="A3140" i="1"/>
  <c r="R3139" i="1"/>
  <c r="J3139" i="1"/>
  <c r="I3139" i="1"/>
  <c r="G3139" i="1"/>
  <c r="F3139" i="1"/>
  <c r="E3139" i="1"/>
  <c r="D3139" i="1"/>
  <c r="C3139" i="1"/>
  <c r="B3139" i="1"/>
  <c r="A3139" i="1"/>
  <c r="R3138" i="1"/>
  <c r="J3138" i="1"/>
  <c r="I3138" i="1"/>
  <c r="G3138" i="1"/>
  <c r="F3138" i="1"/>
  <c r="E3138" i="1"/>
  <c r="D3138" i="1"/>
  <c r="C3138" i="1"/>
  <c r="B3138" i="1"/>
  <c r="A3138" i="1"/>
  <c r="R3137" i="1"/>
  <c r="J3137" i="1"/>
  <c r="I3137" i="1"/>
  <c r="G3137" i="1"/>
  <c r="F3137" i="1"/>
  <c r="E3137" i="1"/>
  <c r="D3137" i="1"/>
  <c r="C3137" i="1"/>
  <c r="B3137" i="1"/>
  <c r="A3137" i="1"/>
  <c r="R3136" i="1"/>
  <c r="J3136" i="1"/>
  <c r="I3136" i="1"/>
  <c r="G3136" i="1"/>
  <c r="F3136" i="1"/>
  <c r="E3136" i="1"/>
  <c r="D3136" i="1"/>
  <c r="C3136" i="1"/>
  <c r="B3136" i="1"/>
  <c r="A3136" i="1"/>
  <c r="R3135" i="1"/>
  <c r="J3135" i="1"/>
  <c r="I3135" i="1"/>
  <c r="G3135" i="1"/>
  <c r="F3135" i="1"/>
  <c r="E3135" i="1"/>
  <c r="D3135" i="1"/>
  <c r="C3135" i="1"/>
  <c r="B3135" i="1"/>
  <c r="A3135" i="1"/>
  <c r="R3134" i="1"/>
  <c r="J3134" i="1"/>
  <c r="I3134" i="1"/>
  <c r="G3134" i="1"/>
  <c r="F3134" i="1"/>
  <c r="E3134" i="1"/>
  <c r="D3134" i="1"/>
  <c r="C3134" i="1"/>
  <c r="B3134" i="1"/>
  <c r="A3134" i="1"/>
  <c r="R3133" i="1"/>
  <c r="J3133" i="1"/>
  <c r="I3133" i="1"/>
  <c r="G3133" i="1"/>
  <c r="F3133" i="1"/>
  <c r="E3133" i="1"/>
  <c r="D3133" i="1"/>
  <c r="C3133" i="1"/>
  <c r="B3133" i="1"/>
  <c r="A3133" i="1"/>
  <c r="R3132" i="1"/>
  <c r="J3132" i="1"/>
  <c r="I3132" i="1"/>
  <c r="G3132" i="1"/>
  <c r="F3132" i="1"/>
  <c r="E3132" i="1"/>
  <c r="D3132" i="1"/>
  <c r="C3132" i="1"/>
  <c r="B3132" i="1"/>
  <c r="A3132" i="1"/>
  <c r="S3131" i="1"/>
  <c r="O3131" i="1"/>
  <c r="K3131" i="1"/>
  <c r="J3131" i="1"/>
  <c r="I3131" i="1"/>
  <c r="H3131" i="1"/>
  <c r="G3131" i="1"/>
  <c r="F3131" i="1"/>
  <c r="E3131" i="1"/>
  <c r="D3131" i="1"/>
  <c r="C3131" i="1"/>
  <c r="B3131" i="1"/>
  <c r="A3131" i="1"/>
  <c r="R3130" i="1"/>
  <c r="J3130" i="1"/>
  <c r="I3130" i="1"/>
  <c r="G3130" i="1"/>
  <c r="F3130" i="1"/>
  <c r="E3130" i="1"/>
  <c r="D3130" i="1"/>
  <c r="C3130" i="1"/>
  <c r="B3130" i="1"/>
  <c r="A3130" i="1"/>
  <c r="S3129" i="1"/>
  <c r="O3129" i="1"/>
  <c r="K3129" i="1"/>
  <c r="J3129" i="1"/>
  <c r="I3129" i="1"/>
  <c r="H3129" i="1"/>
  <c r="G3129" i="1"/>
  <c r="F3129" i="1"/>
  <c r="E3129" i="1"/>
  <c r="D3129" i="1"/>
  <c r="C3129" i="1"/>
  <c r="B3129" i="1"/>
  <c r="A3129" i="1"/>
  <c r="R3128" i="1"/>
  <c r="J3128" i="1"/>
  <c r="I3128" i="1"/>
  <c r="G3128" i="1"/>
  <c r="F3128" i="1"/>
  <c r="E3128" i="1"/>
  <c r="D3128" i="1"/>
  <c r="C3128" i="1"/>
  <c r="B3128" i="1"/>
  <c r="A3128" i="1"/>
  <c r="R3127" i="1"/>
  <c r="J3127" i="1"/>
  <c r="I3127" i="1"/>
  <c r="G3127" i="1"/>
  <c r="F3127" i="1"/>
  <c r="E3127" i="1"/>
  <c r="D3127" i="1"/>
  <c r="C3127" i="1"/>
  <c r="B3127" i="1"/>
  <c r="A3127" i="1"/>
  <c r="R3126" i="1"/>
  <c r="J3126" i="1"/>
  <c r="I3126" i="1"/>
  <c r="G3126" i="1"/>
  <c r="F3126" i="1"/>
  <c r="E3126" i="1"/>
  <c r="D3126" i="1"/>
  <c r="C3126" i="1"/>
  <c r="B3126" i="1"/>
  <c r="A3126" i="1"/>
  <c r="R3125" i="1"/>
  <c r="J3125" i="1"/>
  <c r="I3125" i="1"/>
  <c r="G3125" i="1"/>
  <c r="F3125" i="1"/>
  <c r="E3125" i="1"/>
  <c r="D3125" i="1"/>
  <c r="C3125" i="1"/>
  <c r="B3125" i="1"/>
  <c r="A3125" i="1"/>
  <c r="R3124" i="1"/>
  <c r="J3124" i="1"/>
  <c r="I3124" i="1"/>
  <c r="G3124" i="1"/>
  <c r="F3124" i="1"/>
  <c r="E3124" i="1"/>
  <c r="D3124" i="1"/>
  <c r="C3124" i="1"/>
  <c r="B3124" i="1"/>
  <c r="A3124" i="1"/>
  <c r="R3123" i="1"/>
  <c r="J3123" i="1"/>
  <c r="I3123" i="1"/>
  <c r="G3123" i="1"/>
  <c r="F3123" i="1"/>
  <c r="E3123" i="1"/>
  <c r="D3123" i="1"/>
  <c r="C3123" i="1"/>
  <c r="B3123" i="1"/>
  <c r="A3123" i="1"/>
  <c r="R3122" i="1"/>
  <c r="J3122" i="1"/>
  <c r="I3122" i="1"/>
  <c r="G3122" i="1"/>
  <c r="F3122" i="1"/>
  <c r="E3122" i="1"/>
  <c r="D3122" i="1"/>
  <c r="C3122" i="1"/>
  <c r="B3122" i="1"/>
  <c r="A3122" i="1"/>
  <c r="R3121" i="1"/>
  <c r="J3121" i="1"/>
  <c r="I3121" i="1"/>
  <c r="G3121" i="1"/>
  <c r="F3121" i="1"/>
  <c r="E3121" i="1"/>
  <c r="D3121" i="1"/>
  <c r="C3121" i="1"/>
  <c r="B3121" i="1"/>
  <c r="A3121" i="1"/>
  <c r="R3120" i="1"/>
  <c r="J3120" i="1"/>
  <c r="I3120" i="1"/>
  <c r="G3120" i="1"/>
  <c r="F3120" i="1"/>
  <c r="E3120" i="1"/>
  <c r="D3120" i="1"/>
  <c r="C3120" i="1"/>
  <c r="B3120" i="1"/>
  <c r="A3120" i="1"/>
  <c r="R3119" i="1"/>
  <c r="J3119" i="1"/>
  <c r="I3119" i="1"/>
  <c r="G3119" i="1"/>
  <c r="F3119" i="1"/>
  <c r="E3119" i="1"/>
  <c r="D3119" i="1"/>
  <c r="C3119" i="1"/>
  <c r="B3119" i="1"/>
  <c r="A3119" i="1"/>
  <c r="R3118" i="1"/>
  <c r="J3118" i="1"/>
  <c r="I3118" i="1"/>
  <c r="G3118" i="1"/>
  <c r="F3118" i="1"/>
  <c r="E3118" i="1"/>
  <c r="D3118" i="1"/>
  <c r="C3118" i="1"/>
  <c r="B3118" i="1"/>
  <c r="A3118" i="1"/>
  <c r="R3117" i="1"/>
  <c r="J3117" i="1"/>
  <c r="I3117" i="1"/>
  <c r="G3117" i="1"/>
  <c r="F3117" i="1"/>
  <c r="E3117" i="1"/>
  <c r="D3117" i="1"/>
  <c r="C3117" i="1"/>
  <c r="B3117" i="1"/>
  <c r="A3117" i="1"/>
  <c r="R3116" i="1"/>
  <c r="J3116" i="1"/>
  <c r="I3116" i="1"/>
  <c r="G3116" i="1"/>
  <c r="F3116" i="1"/>
  <c r="E3116" i="1"/>
  <c r="D3116" i="1"/>
  <c r="C3116" i="1"/>
  <c r="B3116" i="1"/>
  <c r="A3116" i="1"/>
  <c r="R3115" i="1"/>
  <c r="J3115" i="1"/>
  <c r="I3115" i="1"/>
  <c r="G3115" i="1"/>
  <c r="F3115" i="1"/>
  <c r="E3115" i="1"/>
  <c r="D3115" i="1"/>
  <c r="C3115" i="1"/>
  <c r="B3115" i="1"/>
  <c r="A3115" i="1"/>
  <c r="R3114" i="1"/>
  <c r="J3114" i="1"/>
  <c r="I3114" i="1"/>
  <c r="G3114" i="1"/>
  <c r="F3114" i="1"/>
  <c r="E3114" i="1"/>
  <c r="D3114" i="1"/>
  <c r="C3114" i="1"/>
  <c r="B3114" i="1"/>
  <c r="A3114" i="1"/>
  <c r="R3113" i="1"/>
  <c r="J3113" i="1"/>
  <c r="I3113" i="1"/>
  <c r="G3113" i="1"/>
  <c r="F3113" i="1"/>
  <c r="E3113" i="1"/>
  <c r="D3113" i="1"/>
  <c r="C3113" i="1"/>
  <c r="B3113" i="1"/>
  <c r="A3113" i="1"/>
  <c r="R3112" i="1"/>
  <c r="J3112" i="1"/>
  <c r="I3112" i="1"/>
  <c r="G3112" i="1"/>
  <c r="F3112" i="1"/>
  <c r="E3112" i="1"/>
  <c r="D3112" i="1"/>
  <c r="C3112" i="1"/>
  <c r="B3112" i="1"/>
  <c r="A3112" i="1"/>
  <c r="R3111" i="1"/>
  <c r="J3111" i="1"/>
  <c r="I3111" i="1"/>
  <c r="G3111" i="1"/>
  <c r="F3111" i="1"/>
  <c r="E3111" i="1"/>
  <c r="D3111" i="1"/>
  <c r="C3111" i="1"/>
  <c r="B3111" i="1"/>
  <c r="A3111" i="1"/>
  <c r="R3110" i="1"/>
  <c r="J3110" i="1"/>
  <c r="I3110" i="1"/>
  <c r="G3110" i="1"/>
  <c r="F3110" i="1"/>
  <c r="E3110" i="1"/>
  <c r="D3110" i="1"/>
  <c r="C3110" i="1"/>
  <c r="B3110" i="1"/>
  <c r="A3110" i="1"/>
  <c r="R3109" i="1"/>
  <c r="J3109" i="1"/>
  <c r="I3109" i="1"/>
  <c r="G3109" i="1"/>
  <c r="F3109" i="1"/>
  <c r="E3109" i="1"/>
  <c r="D3109" i="1"/>
  <c r="C3109" i="1"/>
  <c r="B3109" i="1"/>
  <c r="A3109" i="1"/>
  <c r="R3108" i="1"/>
  <c r="J3108" i="1"/>
  <c r="I3108" i="1"/>
  <c r="G3108" i="1"/>
  <c r="F3108" i="1"/>
  <c r="E3108" i="1"/>
  <c r="D3108" i="1"/>
  <c r="C3108" i="1"/>
  <c r="B3108" i="1"/>
  <c r="A3108" i="1"/>
  <c r="R3107" i="1"/>
  <c r="J3107" i="1"/>
  <c r="I3107" i="1"/>
  <c r="G3107" i="1"/>
  <c r="F3107" i="1"/>
  <c r="E3107" i="1"/>
  <c r="D3107" i="1"/>
  <c r="C3107" i="1"/>
  <c r="B3107" i="1"/>
  <c r="A3107" i="1"/>
  <c r="R3106" i="1"/>
  <c r="J3106" i="1"/>
  <c r="I3106" i="1"/>
  <c r="G3106" i="1"/>
  <c r="F3106" i="1"/>
  <c r="E3106" i="1"/>
  <c r="D3106" i="1"/>
  <c r="C3106" i="1"/>
  <c r="B3106" i="1"/>
  <c r="A3106" i="1"/>
  <c r="R3105" i="1"/>
  <c r="J3105" i="1"/>
  <c r="I3105" i="1"/>
  <c r="G3105" i="1"/>
  <c r="F3105" i="1"/>
  <c r="E3105" i="1"/>
  <c r="D3105" i="1"/>
  <c r="C3105" i="1"/>
  <c r="B3105" i="1"/>
  <c r="A3105" i="1"/>
  <c r="R3104" i="1"/>
  <c r="J3104" i="1"/>
  <c r="I3104" i="1"/>
  <c r="G3104" i="1"/>
  <c r="F3104" i="1"/>
  <c r="E3104" i="1"/>
  <c r="D3104" i="1"/>
  <c r="C3104" i="1"/>
  <c r="B3104" i="1"/>
  <c r="A3104" i="1"/>
  <c r="R3103" i="1"/>
  <c r="J3103" i="1"/>
  <c r="I3103" i="1"/>
  <c r="G3103" i="1"/>
  <c r="F3103" i="1"/>
  <c r="E3103" i="1"/>
  <c r="D3103" i="1"/>
  <c r="C3103" i="1"/>
  <c r="B3103" i="1"/>
  <c r="A3103" i="1"/>
  <c r="R3102" i="1"/>
  <c r="J3102" i="1"/>
  <c r="I3102" i="1"/>
  <c r="G3102" i="1"/>
  <c r="F3102" i="1"/>
  <c r="E3102" i="1"/>
  <c r="D3102" i="1"/>
  <c r="C3102" i="1"/>
  <c r="B3102" i="1"/>
  <c r="A3102" i="1"/>
  <c r="R3101" i="1"/>
  <c r="J3101" i="1"/>
  <c r="I3101" i="1"/>
  <c r="G3101" i="1"/>
  <c r="F3101" i="1"/>
  <c r="E3101" i="1"/>
  <c r="D3101" i="1"/>
  <c r="C3101" i="1"/>
  <c r="B3101" i="1"/>
  <c r="A3101" i="1"/>
  <c r="R3100" i="1"/>
  <c r="J3100" i="1"/>
  <c r="I3100" i="1"/>
  <c r="G3100" i="1"/>
  <c r="F3100" i="1"/>
  <c r="E3100" i="1"/>
  <c r="D3100" i="1"/>
  <c r="C3100" i="1"/>
  <c r="B3100" i="1"/>
  <c r="A3100" i="1"/>
  <c r="R3099" i="1"/>
  <c r="J3099" i="1"/>
  <c r="I3099" i="1"/>
  <c r="G3099" i="1"/>
  <c r="F3099" i="1"/>
  <c r="E3099" i="1"/>
  <c r="D3099" i="1"/>
  <c r="C3099" i="1"/>
  <c r="B3099" i="1"/>
  <c r="A3099" i="1"/>
  <c r="R3098" i="1"/>
  <c r="J3098" i="1"/>
  <c r="I3098" i="1"/>
  <c r="G3098" i="1"/>
  <c r="F3098" i="1"/>
  <c r="E3098" i="1"/>
  <c r="D3098" i="1"/>
  <c r="C3098" i="1"/>
  <c r="B3098" i="1"/>
  <c r="A3098" i="1"/>
  <c r="R3097" i="1"/>
  <c r="J3097" i="1"/>
  <c r="I3097" i="1"/>
  <c r="G3097" i="1"/>
  <c r="F3097" i="1"/>
  <c r="E3097" i="1"/>
  <c r="D3097" i="1"/>
  <c r="C3097" i="1"/>
  <c r="B3097" i="1"/>
  <c r="A3097" i="1"/>
  <c r="R3096" i="1"/>
  <c r="J3096" i="1"/>
  <c r="I3096" i="1"/>
  <c r="G3096" i="1"/>
  <c r="F3096" i="1"/>
  <c r="E3096" i="1"/>
  <c r="D3096" i="1"/>
  <c r="C3096" i="1"/>
  <c r="B3096" i="1"/>
  <c r="A3096" i="1"/>
  <c r="R3095" i="1"/>
  <c r="J3095" i="1"/>
  <c r="I3095" i="1"/>
  <c r="G3095" i="1"/>
  <c r="F3095" i="1"/>
  <c r="E3095" i="1"/>
  <c r="D3095" i="1"/>
  <c r="C3095" i="1"/>
  <c r="B3095" i="1"/>
  <c r="A3095" i="1"/>
  <c r="R3094" i="1"/>
  <c r="J3094" i="1"/>
  <c r="I3094" i="1"/>
  <c r="G3094" i="1"/>
  <c r="F3094" i="1"/>
  <c r="E3094" i="1"/>
  <c r="D3094" i="1"/>
  <c r="C3094" i="1"/>
  <c r="B3094" i="1"/>
  <c r="A3094" i="1"/>
  <c r="R3093" i="1"/>
  <c r="J3093" i="1"/>
  <c r="I3093" i="1"/>
  <c r="G3093" i="1"/>
  <c r="F3093" i="1"/>
  <c r="E3093" i="1"/>
  <c r="D3093" i="1"/>
  <c r="C3093" i="1"/>
  <c r="B3093" i="1"/>
  <c r="A3093" i="1"/>
  <c r="R3092" i="1"/>
  <c r="J3092" i="1"/>
  <c r="I3092" i="1"/>
  <c r="G3092" i="1"/>
  <c r="F3092" i="1"/>
  <c r="E3092" i="1"/>
  <c r="D3092" i="1"/>
  <c r="C3092" i="1"/>
  <c r="B3092" i="1"/>
  <c r="A3092" i="1"/>
  <c r="R3091" i="1"/>
  <c r="J3091" i="1"/>
  <c r="I3091" i="1"/>
  <c r="G3091" i="1"/>
  <c r="F3091" i="1"/>
  <c r="E3091" i="1"/>
  <c r="D3091" i="1"/>
  <c r="C3091" i="1"/>
  <c r="B3091" i="1"/>
  <c r="A3091" i="1"/>
  <c r="R3090" i="1"/>
  <c r="J3090" i="1"/>
  <c r="I3090" i="1"/>
  <c r="G3090" i="1"/>
  <c r="F3090" i="1"/>
  <c r="E3090" i="1"/>
  <c r="D3090" i="1"/>
  <c r="C3090" i="1"/>
  <c r="B3090" i="1"/>
  <c r="A3090" i="1"/>
  <c r="R3089" i="1"/>
  <c r="J3089" i="1"/>
  <c r="I3089" i="1"/>
  <c r="G3089" i="1"/>
  <c r="F3089" i="1"/>
  <c r="E3089" i="1"/>
  <c r="D3089" i="1"/>
  <c r="C3089" i="1"/>
  <c r="B3089" i="1"/>
  <c r="A3089" i="1"/>
  <c r="R3088" i="1"/>
  <c r="J3088" i="1"/>
  <c r="I3088" i="1"/>
  <c r="G3088" i="1"/>
  <c r="F3088" i="1"/>
  <c r="E3088" i="1"/>
  <c r="D3088" i="1"/>
  <c r="C3088" i="1"/>
  <c r="B3088" i="1"/>
  <c r="A3088" i="1"/>
  <c r="R3087" i="1"/>
  <c r="J3087" i="1"/>
  <c r="I3087" i="1"/>
  <c r="G3087" i="1"/>
  <c r="F3087" i="1"/>
  <c r="E3087" i="1"/>
  <c r="D3087" i="1"/>
  <c r="C3087" i="1"/>
  <c r="B3087" i="1"/>
  <c r="A3087" i="1"/>
  <c r="R3086" i="1"/>
  <c r="J3086" i="1"/>
  <c r="I3086" i="1"/>
  <c r="G3086" i="1"/>
  <c r="F3086" i="1"/>
  <c r="E3086" i="1"/>
  <c r="D3086" i="1"/>
  <c r="C3086" i="1"/>
  <c r="B3086" i="1"/>
  <c r="A3086" i="1"/>
  <c r="R3085" i="1"/>
  <c r="J3085" i="1"/>
  <c r="I3085" i="1"/>
  <c r="G3085" i="1"/>
  <c r="F3085" i="1"/>
  <c r="E3085" i="1"/>
  <c r="D3085" i="1"/>
  <c r="C3085" i="1"/>
  <c r="B3085" i="1"/>
  <c r="A3085" i="1"/>
  <c r="R3084" i="1"/>
  <c r="J3084" i="1"/>
  <c r="I3084" i="1"/>
  <c r="G3084" i="1"/>
  <c r="F3084" i="1"/>
  <c r="E3084" i="1"/>
  <c r="D3084" i="1"/>
  <c r="C3084" i="1"/>
  <c r="B3084" i="1"/>
  <c r="A3084" i="1"/>
  <c r="R3083" i="1"/>
  <c r="J3083" i="1"/>
  <c r="I3083" i="1"/>
  <c r="G3083" i="1"/>
  <c r="F3083" i="1"/>
  <c r="E3083" i="1"/>
  <c r="D3083" i="1"/>
  <c r="C3083" i="1"/>
  <c r="B3083" i="1"/>
  <c r="A3083" i="1"/>
  <c r="R3082" i="1"/>
  <c r="J3082" i="1"/>
  <c r="I3082" i="1"/>
  <c r="G3082" i="1"/>
  <c r="F3082" i="1"/>
  <c r="E3082" i="1"/>
  <c r="D3082" i="1"/>
  <c r="C3082" i="1"/>
  <c r="B3082" i="1"/>
  <c r="A3082" i="1"/>
  <c r="S3081" i="1"/>
  <c r="O3081" i="1"/>
  <c r="K3081" i="1"/>
  <c r="J3081" i="1"/>
  <c r="I3081" i="1"/>
  <c r="H3081" i="1"/>
  <c r="G3081" i="1"/>
  <c r="F3081" i="1"/>
  <c r="E3081" i="1"/>
  <c r="D3081" i="1"/>
  <c r="C3081" i="1"/>
  <c r="B3081" i="1"/>
  <c r="A3081" i="1"/>
  <c r="R3080" i="1"/>
  <c r="J3080" i="1"/>
  <c r="I3080" i="1"/>
  <c r="G3080" i="1"/>
  <c r="F3080" i="1"/>
  <c r="E3080" i="1"/>
  <c r="D3080" i="1"/>
  <c r="C3080" i="1"/>
  <c r="B3080" i="1"/>
  <c r="A3080" i="1"/>
  <c r="S3079" i="1"/>
  <c r="O3079" i="1"/>
  <c r="K3079" i="1"/>
  <c r="J3079" i="1"/>
  <c r="I3079" i="1"/>
  <c r="H3079" i="1"/>
  <c r="G3079" i="1"/>
  <c r="F3079" i="1"/>
  <c r="E3079" i="1"/>
  <c r="D3079" i="1"/>
  <c r="C3079" i="1"/>
  <c r="B3079" i="1"/>
  <c r="A3079" i="1"/>
  <c r="R3078" i="1"/>
  <c r="J3078" i="1"/>
  <c r="I3078" i="1"/>
  <c r="G3078" i="1"/>
  <c r="F3078" i="1"/>
  <c r="E3078" i="1"/>
  <c r="D3078" i="1"/>
  <c r="C3078" i="1"/>
  <c r="B3078" i="1"/>
  <c r="A3078" i="1"/>
  <c r="S3077" i="1"/>
  <c r="O3077" i="1"/>
  <c r="K3077" i="1"/>
  <c r="J3077" i="1"/>
  <c r="I3077" i="1"/>
  <c r="H3077" i="1"/>
  <c r="G3077" i="1"/>
  <c r="F3077" i="1"/>
  <c r="E3077" i="1"/>
  <c r="D3077" i="1"/>
  <c r="C3077" i="1"/>
  <c r="B3077" i="1"/>
  <c r="A3077" i="1"/>
  <c r="R3076" i="1"/>
  <c r="J3076" i="1"/>
  <c r="I3076" i="1"/>
  <c r="G3076" i="1"/>
  <c r="F3076" i="1"/>
  <c r="E3076" i="1"/>
  <c r="D3076" i="1"/>
  <c r="C3076" i="1"/>
  <c r="B3076" i="1"/>
  <c r="A3076" i="1"/>
  <c r="S3075" i="1"/>
  <c r="O3075" i="1"/>
  <c r="K3075" i="1"/>
  <c r="J3075" i="1"/>
  <c r="I3075" i="1"/>
  <c r="H3075" i="1"/>
  <c r="G3075" i="1"/>
  <c r="F3075" i="1"/>
  <c r="E3075" i="1"/>
  <c r="D3075" i="1"/>
  <c r="C3075" i="1"/>
  <c r="B3075" i="1"/>
  <c r="A3075" i="1"/>
  <c r="R3074" i="1"/>
  <c r="J3074" i="1"/>
  <c r="I3074" i="1"/>
  <c r="G3074" i="1"/>
  <c r="F3074" i="1"/>
  <c r="E3074" i="1"/>
  <c r="D3074" i="1"/>
  <c r="C3074" i="1"/>
  <c r="B3074" i="1"/>
  <c r="A3074" i="1"/>
  <c r="S3073" i="1"/>
  <c r="O3073" i="1"/>
  <c r="K3073" i="1"/>
  <c r="J3073" i="1"/>
  <c r="I3073" i="1"/>
  <c r="H3073" i="1"/>
  <c r="G3073" i="1"/>
  <c r="F3073" i="1"/>
  <c r="E3073" i="1"/>
  <c r="D3073" i="1"/>
  <c r="C3073" i="1"/>
  <c r="B3073" i="1"/>
  <c r="A3073" i="1"/>
  <c r="R3072" i="1"/>
  <c r="J3072" i="1"/>
  <c r="I3072" i="1"/>
  <c r="G3072" i="1"/>
  <c r="F3072" i="1"/>
  <c r="E3072" i="1"/>
  <c r="D3072" i="1"/>
  <c r="C3072" i="1"/>
  <c r="B3072" i="1"/>
  <c r="A3072" i="1"/>
  <c r="S3071" i="1"/>
  <c r="O3071" i="1"/>
  <c r="K3071" i="1"/>
  <c r="J3071" i="1"/>
  <c r="I3071" i="1"/>
  <c r="H3071" i="1"/>
  <c r="G3071" i="1"/>
  <c r="F3071" i="1"/>
  <c r="E3071" i="1"/>
  <c r="D3071" i="1"/>
  <c r="C3071" i="1"/>
  <c r="B3071" i="1"/>
  <c r="A3071" i="1"/>
  <c r="R3070" i="1"/>
  <c r="J3070" i="1"/>
  <c r="I3070" i="1"/>
  <c r="G3070" i="1"/>
  <c r="F3070" i="1"/>
  <c r="E3070" i="1"/>
  <c r="D3070" i="1"/>
  <c r="C3070" i="1"/>
  <c r="B3070" i="1"/>
  <c r="A3070" i="1"/>
  <c r="S3069" i="1"/>
  <c r="O3069" i="1"/>
  <c r="K3069" i="1"/>
  <c r="J3069" i="1"/>
  <c r="I3069" i="1"/>
  <c r="H3069" i="1"/>
  <c r="G3069" i="1"/>
  <c r="F3069" i="1"/>
  <c r="E3069" i="1"/>
  <c r="D3069" i="1"/>
  <c r="C3069" i="1"/>
  <c r="B3069" i="1"/>
  <c r="A3069" i="1"/>
  <c r="R3068" i="1"/>
  <c r="J3068" i="1"/>
  <c r="I3068" i="1"/>
  <c r="G3068" i="1"/>
  <c r="F3068" i="1"/>
  <c r="E3068" i="1"/>
  <c r="D3068" i="1"/>
  <c r="C3068" i="1"/>
  <c r="B3068" i="1"/>
  <c r="A3068" i="1"/>
  <c r="S3067" i="1"/>
  <c r="O3067" i="1"/>
  <c r="K3067" i="1"/>
  <c r="J3067" i="1"/>
  <c r="I3067" i="1"/>
  <c r="H3067" i="1"/>
  <c r="G3067" i="1"/>
  <c r="F3067" i="1"/>
  <c r="E3067" i="1"/>
  <c r="D3067" i="1"/>
  <c r="C3067" i="1"/>
  <c r="B3067" i="1"/>
  <c r="A3067" i="1"/>
  <c r="R3066" i="1"/>
  <c r="J3066" i="1"/>
  <c r="I3066" i="1"/>
  <c r="G3066" i="1"/>
  <c r="F3066" i="1"/>
  <c r="E3066" i="1"/>
  <c r="D3066" i="1"/>
  <c r="C3066" i="1"/>
  <c r="B3066" i="1"/>
  <c r="A3066" i="1"/>
  <c r="S3065" i="1"/>
  <c r="O3065" i="1"/>
  <c r="K3065" i="1"/>
  <c r="J3065" i="1"/>
  <c r="I3065" i="1"/>
  <c r="H3065" i="1"/>
  <c r="G3065" i="1"/>
  <c r="F3065" i="1"/>
  <c r="E3065" i="1"/>
  <c r="D3065" i="1"/>
  <c r="C3065" i="1"/>
  <c r="B3065" i="1"/>
  <c r="A3065" i="1"/>
  <c r="R3064" i="1"/>
  <c r="J3064" i="1"/>
  <c r="I3064" i="1"/>
  <c r="G3064" i="1"/>
  <c r="F3064" i="1"/>
  <c r="E3064" i="1"/>
  <c r="D3064" i="1"/>
  <c r="C3064" i="1"/>
  <c r="B3064" i="1"/>
  <c r="A3064" i="1"/>
  <c r="S3063" i="1"/>
  <c r="O3063" i="1"/>
  <c r="K3063" i="1"/>
  <c r="J3063" i="1"/>
  <c r="I3063" i="1"/>
  <c r="H3063" i="1"/>
  <c r="G3063" i="1"/>
  <c r="F3063" i="1"/>
  <c r="E3063" i="1"/>
  <c r="D3063" i="1"/>
  <c r="C3063" i="1"/>
  <c r="B3063" i="1"/>
  <c r="A3063" i="1"/>
  <c r="R3062" i="1"/>
  <c r="J3062" i="1"/>
  <c r="I3062" i="1"/>
  <c r="G3062" i="1"/>
  <c r="F3062" i="1"/>
  <c r="E3062" i="1"/>
  <c r="D3062" i="1"/>
  <c r="C3062" i="1"/>
  <c r="B3062" i="1"/>
  <c r="A3062" i="1"/>
  <c r="S3061" i="1"/>
  <c r="O3061" i="1"/>
  <c r="K3061" i="1"/>
  <c r="J3061" i="1"/>
  <c r="I3061" i="1"/>
  <c r="H3061" i="1"/>
  <c r="G3061" i="1"/>
  <c r="F3061" i="1"/>
  <c r="E3061" i="1"/>
  <c r="D3061" i="1"/>
  <c r="C3061" i="1"/>
  <c r="B3061" i="1"/>
  <c r="A3061" i="1"/>
  <c r="R3060" i="1"/>
  <c r="J3060" i="1"/>
  <c r="I3060" i="1"/>
  <c r="G3060" i="1"/>
  <c r="F3060" i="1"/>
  <c r="E3060" i="1"/>
  <c r="D3060" i="1"/>
  <c r="C3060" i="1"/>
  <c r="B3060" i="1"/>
  <c r="A3060" i="1"/>
  <c r="R3059" i="1"/>
  <c r="J3059" i="1"/>
  <c r="I3059" i="1"/>
  <c r="G3059" i="1"/>
  <c r="F3059" i="1"/>
  <c r="E3059" i="1"/>
  <c r="D3059" i="1"/>
  <c r="C3059" i="1"/>
  <c r="B3059" i="1"/>
  <c r="A3059" i="1"/>
  <c r="S3058" i="1"/>
  <c r="O3058" i="1"/>
  <c r="K3058" i="1"/>
  <c r="J3058" i="1"/>
  <c r="I3058" i="1"/>
  <c r="H3058" i="1"/>
  <c r="G3058" i="1"/>
  <c r="F3058" i="1"/>
  <c r="E3058" i="1"/>
  <c r="D3058" i="1"/>
  <c r="C3058" i="1"/>
  <c r="B3058" i="1"/>
  <c r="A3058" i="1"/>
  <c r="R3057" i="1"/>
  <c r="J3057" i="1"/>
  <c r="I3057" i="1"/>
  <c r="G3057" i="1"/>
  <c r="F3057" i="1"/>
  <c r="E3057" i="1"/>
  <c r="D3057" i="1"/>
  <c r="C3057" i="1"/>
  <c r="B3057" i="1"/>
  <c r="A3057" i="1"/>
  <c r="S3056" i="1"/>
  <c r="O3056" i="1"/>
  <c r="K3056" i="1"/>
  <c r="J3056" i="1"/>
  <c r="I3056" i="1"/>
  <c r="H3056" i="1"/>
  <c r="G3056" i="1"/>
  <c r="F3056" i="1"/>
  <c r="E3056" i="1"/>
  <c r="D3056" i="1"/>
  <c r="C3056" i="1"/>
  <c r="B3056" i="1"/>
  <c r="A3056" i="1"/>
  <c r="R3055" i="1"/>
  <c r="J3055" i="1"/>
  <c r="I3055" i="1"/>
  <c r="G3055" i="1"/>
  <c r="F3055" i="1"/>
  <c r="E3055" i="1"/>
  <c r="D3055" i="1"/>
  <c r="C3055" i="1"/>
  <c r="B3055" i="1"/>
  <c r="A3055" i="1"/>
  <c r="S3054" i="1"/>
  <c r="O3054" i="1"/>
  <c r="K3054" i="1"/>
  <c r="J3054" i="1"/>
  <c r="I3054" i="1"/>
  <c r="H3054" i="1"/>
  <c r="G3054" i="1"/>
  <c r="F3054" i="1"/>
  <c r="E3054" i="1"/>
  <c r="D3054" i="1"/>
  <c r="C3054" i="1"/>
  <c r="B3054" i="1"/>
  <c r="A3054" i="1"/>
  <c r="R3053" i="1"/>
  <c r="J3053" i="1"/>
  <c r="I3053" i="1"/>
  <c r="G3053" i="1"/>
  <c r="F3053" i="1"/>
  <c r="E3053" i="1"/>
  <c r="D3053" i="1"/>
  <c r="C3053" i="1"/>
  <c r="B3053" i="1"/>
  <c r="A3053" i="1"/>
  <c r="S3052" i="1"/>
  <c r="O3052" i="1"/>
  <c r="K3052" i="1"/>
  <c r="J3052" i="1"/>
  <c r="I3052" i="1"/>
  <c r="H3052" i="1"/>
  <c r="G3052" i="1"/>
  <c r="F3052" i="1"/>
  <c r="E3052" i="1"/>
  <c r="D3052" i="1"/>
  <c r="C3052" i="1"/>
  <c r="B3052" i="1"/>
  <c r="A3052" i="1"/>
  <c r="R3051" i="1"/>
  <c r="J3051" i="1"/>
  <c r="I3051" i="1"/>
  <c r="G3051" i="1"/>
  <c r="F3051" i="1"/>
  <c r="E3051" i="1"/>
  <c r="D3051" i="1"/>
  <c r="C3051" i="1"/>
  <c r="B3051" i="1"/>
  <c r="A3051" i="1"/>
  <c r="S3050" i="1"/>
  <c r="O3050" i="1"/>
  <c r="K3050" i="1"/>
  <c r="J3050" i="1"/>
  <c r="I3050" i="1"/>
  <c r="H3050" i="1"/>
  <c r="G3050" i="1"/>
  <c r="F3050" i="1"/>
  <c r="E3050" i="1"/>
  <c r="D3050" i="1"/>
  <c r="C3050" i="1"/>
  <c r="B3050" i="1"/>
  <c r="A3050" i="1"/>
  <c r="S3049" i="1"/>
  <c r="O3049" i="1"/>
  <c r="K3049" i="1"/>
  <c r="J3049" i="1"/>
  <c r="I3049" i="1"/>
  <c r="H3049" i="1"/>
  <c r="G3049" i="1"/>
  <c r="F3049" i="1"/>
  <c r="D3049" i="1"/>
  <c r="C3049" i="1"/>
  <c r="B3049" i="1"/>
  <c r="A3049" i="1"/>
  <c r="S3048" i="1"/>
  <c r="O3048" i="1"/>
  <c r="K3048" i="1"/>
  <c r="J3048" i="1"/>
  <c r="I3048" i="1"/>
  <c r="H3048" i="1"/>
  <c r="G3048" i="1"/>
  <c r="F3048" i="1"/>
  <c r="D3048" i="1"/>
  <c r="C3048" i="1"/>
  <c r="B3048" i="1"/>
  <c r="A3048" i="1"/>
  <c r="R3047" i="1"/>
  <c r="J3047" i="1"/>
  <c r="I3047" i="1"/>
  <c r="G3047" i="1"/>
  <c r="F3047" i="1"/>
  <c r="E3047" i="1"/>
  <c r="D3047" i="1"/>
  <c r="C3047" i="1"/>
  <c r="B3047" i="1"/>
  <c r="A3047" i="1"/>
  <c r="S3046" i="1"/>
  <c r="O3046" i="1"/>
  <c r="K3046" i="1"/>
  <c r="J3046" i="1"/>
  <c r="I3046" i="1"/>
  <c r="H3046" i="1"/>
  <c r="G3046" i="1"/>
  <c r="F3046" i="1"/>
  <c r="E3046" i="1"/>
  <c r="D3046" i="1"/>
  <c r="C3046" i="1"/>
  <c r="B3046" i="1"/>
  <c r="A3046" i="1"/>
  <c r="R3045" i="1"/>
  <c r="J3045" i="1"/>
  <c r="I3045" i="1"/>
  <c r="G3045" i="1"/>
  <c r="F3045" i="1"/>
  <c r="E3045" i="1"/>
  <c r="D3045" i="1"/>
  <c r="C3045" i="1"/>
  <c r="B3045" i="1"/>
  <c r="A3045" i="1"/>
  <c r="S3044" i="1"/>
  <c r="O3044" i="1"/>
  <c r="K3044" i="1"/>
  <c r="J3044" i="1"/>
  <c r="I3044" i="1"/>
  <c r="H3044" i="1"/>
  <c r="G3044" i="1"/>
  <c r="F3044" i="1"/>
  <c r="E3044" i="1"/>
  <c r="D3044" i="1"/>
  <c r="C3044" i="1"/>
  <c r="B3044" i="1"/>
  <c r="A3044" i="1"/>
  <c r="R3043" i="1"/>
  <c r="J3043" i="1"/>
  <c r="I3043" i="1"/>
  <c r="G3043" i="1"/>
  <c r="F3043" i="1"/>
  <c r="E3043" i="1"/>
  <c r="D3043" i="1"/>
  <c r="C3043" i="1"/>
  <c r="B3043" i="1"/>
  <c r="A3043" i="1"/>
  <c r="S3042" i="1"/>
  <c r="O3042" i="1"/>
  <c r="K3042" i="1"/>
  <c r="J3042" i="1"/>
  <c r="I3042" i="1"/>
  <c r="H3042" i="1"/>
  <c r="G3042" i="1"/>
  <c r="F3042" i="1"/>
  <c r="E3042" i="1"/>
  <c r="D3042" i="1"/>
  <c r="C3042" i="1"/>
  <c r="B3042" i="1"/>
  <c r="A3042" i="1"/>
  <c r="R3041" i="1"/>
  <c r="J3041" i="1"/>
  <c r="I3041" i="1"/>
  <c r="G3041" i="1"/>
  <c r="F3041" i="1"/>
  <c r="E3041" i="1"/>
  <c r="D3041" i="1"/>
  <c r="C3041" i="1"/>
  <c r="B3041" i="1"/>
  <c r="A3041" i="1"/>
  <c r="S3040" i="1"/>
  <c r="O3040" i="1"/>
  <c r="K3040" i="1"/>
  <c r="J3040" i="1"/>
  <c r="I3040" i="1"/>
  <c r="H3040" i="1"/>
  <c r="G3040" i="1"/>
  <c r="F3040" i="1"/>
  <c r="E3040" i="1"/>
  <c r="D3040" i="1"/>
  <c r="C3040" i="1"/>
  <c r="B3040" i="1"/>
  <c r="A3040" i="1"/>
  <c r="R3039" i="1"/>
  <c r="J3039" i="1"/>
  <c r="I3039" i="1"/>
  <c r="G3039" i="1"/>
  <c r="F3039" i="1"/>
  <c r="E3039" i="1"/>
  <c r="D3039" i="1"/>
  <c r="C3039" i="1"/>
  <c r="B3039" i="1"/>
  <c r="A3039" i="1"/>
  <c r="S3038" i="1"/>
  <c r="O3038" i="1"/>
  <c r="K3038" i="1"/>
  <c r="J3038" i="1"/>
  <c r="I3038" i="1"/>
  <c r="H3038" i="1"/>
  <c r="G3038" i="1"/>
  <c r="F3038" i="1"/>
  <c r="E3038" i="1"/>
  <c r="D3038" i="1"/>
  <c r="C3038" i="1"/>
  <c r="B3038" i="1"/>
  <c r="A3038" i="1"/>
  <c r="R3037" i="1"/>
  <c r="J3037" i="1"/>
  <c r="I3037" i="1"/>
  <c r="G3037" i="1"/>
  <c r="F3037" i="1"/>
  <c r="E3037" i="1"/>
  <c r="D3037" i="1"/>
  <c r="C3037" i="1"/>
  <c r="B3037" i="1"/>
  <c r="A3037" i="1"/>
  <c r="S3036" i="1"/>
  <c r="O3036" i="1"/>
  <c r="K3036" i="1"/>
  <c r="J3036" i="1"/>
  <c r="I3036" i="1"/>
  <c r="H3036" i="1"/>
  <c r="G3036" i="1"/>
  <c r="F3036" i="1"/>
  <c r="E3036" i="1"/>
  <c r="D3036" i="1"/>
  <c r="C3036" i="1"/>
  <c r="B3036" i="1"/>
  <c r="A3036" i="1"/>
  <c r="R3035" i="1"/>
  <c r="J3035" i="1"/>
  <c r="I3035" i="1"/>
  <c r="G3035" i="1"/>
  <c r="F3035" i="1"/>
  <c r="E3035" i="1"/>
  <c r="D3035" i="1"/>
  <c r="C3035" i="1"/>
  <c r="B3035" i="1"/>
  <c r="A3035" i="1"/>
  <c r="S3034" i="1"/>
  <c r="O3034" i="1"/>
  <c r="K3034" i="1"/>
  <c r="J3034" i="1"/>
  <c r="I3034" i="1"/>
  <c r="H3034" i="1"/>
  <c r="G3034" i="1"/>
  <c r="F3034" i="1"/>
  <c r="E3034" i="1"/>
  <c r="D3034" i="1"/>
  <c r="C3034" i="1"/>
  <c r="B3034" i="1"/>
  <c r="A3034" i="1"/>
  <c r="R3033" i="1"/>
  <c r="J3033" i="1"/>
  <c r="I3033" i="1"/>
  <c r="G3033" i="1"/>
  <c r="F3033" i="1"/>
  <c r="E3033" i="1"/>
  <c r="D3033" i="1"/>
  <c r="C3033" i="1"/>
  <c r="B3033" i="1"/>
  <c r="A3033" i="1"/>
  <c r="S3032" i="1"/>
  <c r="O3032" i="1"/>
  <c r="K3032" i="1"/>
  <c r="J3032" i="1"/>
  <c r="I3032" i="1"/>
  <c r="H3032" i="1"/>
  <c r="G3032" i="1"/>
  <c r="F3032" i="1"/>
  <c r="E3032" i="1"/>
  <c r="D3032" i="1"/>
  <c r="C3032" i="1"/>
  <c r="B3032" i="1"/>
  <c r="A3032" i="1"/>
  <c r="R3031" i="1"/>
  <c r="J3031" i="1"/>
  <c r="I3031" i="1"/>
  <c r="G3031" i="1"/>
  <c r="F3031" i="1"/>
  <c r="E3031" i="1"/>
  <c r="D3031" i="1"/>
  <c r="C3031" i="1"/>
  <c r="B3031" i="1"/>
  <c r="A3031" i="1"/>
  <c r="S3030" i="1"/>
  <c r="O3030" i="1"/>
  <c r="K3030" i="1"/>
  <c r="J3030" i="1"/>
  <c r="I3030" i="1"/>
  <c r="H3030" i="1"/>
  <c r="G3030" i="1"/>
  <c r="F3030" i="1"/>
  <c r="E3030" i="1"/>
  <c r="D3030" i="1"/>
  <c r="C3030" i="1"/>
  <c r="B3030" i="1"/>
  <c r="A3030" i="1"/>
  <c r="R3029" i="1"/>
  <c r="J3029" i="1"/>
  <c r="I3029" i="1"/>
  <c r="G3029" i="1"/>
  <c r="F3029" i="1"/>
  <c r="E3029" i="1"/>
  <c r="D3029" i="1"/>
  <c r="C3029" i="1"/>
  <c r="B3029" i="1"/>
  <c r="A3029" i="1"/>
  <c r="S3028" i="1"/>
  <c r="O3028" i="1"/>
  <c r="K3028" i="1"/>
  <c r="J3028" i="1"/>
  <c r="I3028" i="1"/>
  <c r="H3028" i="1"/>
  <c r="G3028" i="1"/>
  <c r="F3028" i="1"/>
  <c r="E3028" i="1"/>
  <c r="D3028" i="1"/>
  <c r="C3028" i="1"/>
  <c r="B3028" i="1"/>
  <c r="A3028" i="1"/>
  <c r="R3027" i="1"/>
  <c r="J3027" i="1"/>
  <c r="I3027" i="1"/>
  <c r="G3027" i="1"/>
  <c r="F3027" i="1"/>
  <c r="E3027" i="1"/>
  <c r="D3027" i="1"/>
  <c r="C3027" i="1"/>
  <c r="B3027" i="1"/>
  <c r="A3027" i="1"/>
  <c r="R3026" i="1"/>
  <c r="J3026" i="1"/>
  <c r="I3026" i="1"/>
  <c r="G3026" i="1"/>
  <c r="F3026" i="1"/>
  <c r="E3026" i="1"/>
  <c r="D3026" i="1"/>
  <c r="C3026" i="1"/>
  <c r="B3026" i="1"/>
  <c r="A3026" i="1"/>
  <c r="S3025" i="1"/>
  <c r="O3025" i="1"/>
  <c r="K3025" i="1"/>
  <c r="J3025" i="1"/>
  <c r="I3025" i="1"/>
  <c r="H3025" i="1"/>
  <c r="G3025" i="1"/>
  <c r="F3025" i="1"/>
  <c r="E3025" i="1"/>
  <c r="D3025" i="1"/>
  <c r="C3025" i="1"/>
  <c r="B3025" i="1"/>
  <c r="A3025" i="1"/>
  <c r="R3024" i="1"/>
  <c r="J3024" i="1"/>
  <c r="I3024" i="1"/>
  <c r="G3024" i="1"/>
  <c r="F3024" i="1"/>
  <c r="E3024" i="1"/>
  <c r="D3024" i="1"/>
  <c r="C3024" i="1"/>
  <c r="B3024" i="1"/>
  <c r="A3024" i="1"/>
  <c r="S3023" i="1"/>
  <c r="O3023" i="1"/>
  <c r="K3023" i="1"/>
  <c r="J3023" i="1"/>
  <c r="I3023" i="1"/>
  <c r="H3023" i="1"/>
  <c r="G3023" i="1"/>
  <c r="F3023" i="1"/>
  <c r="E3023" i="1"/>
  <c r="D3023" i="1"/>
  <c r="C3023" i="1"/>
  <c r="B3023" i="1"/>
  <c r="A3023" i="1"/>
  <c r="R3022" i="1"/>
  <c r="J3022" i="1"/>
  <c r="I3022" i="1"/>
  <c r="G3022" i="1"/>
  <c r="F3022" i="1"/>
  <c r="E3022" i="1"/>
  <c r="D3022" i="1"/>
  <c r="C3022" i="1"/>
  <c r="B3022" i="1"/>
  <c r="A3022" i="1"/>
  <c r="R3021" i="1"/>
  <c r="J3021" i="1"/>
  <c r="I3021" i="1"/>
  <c r="G3021" i="1"/>
  <c r="F3021" i="1"/>
  <c r="E3021" i="1"/>
  <c r="D3021" i="1"/>
  <c r="C3021" i="1"/>
  <c r="B3021" i="1"/>
  <c r="A3021" i="1"/>
  <c r="S3020" i="1"/>
  <c r="O3020" i="1"/>
  <c r="K3020" i="1"/>
  <c r="J3020" i="1"/>
  <c r="I3020" i="1"/>
  <c r="H3020" i="1"/>
  <c r="G3020" i="1"/>
  <c r="F3020" i="1"/>
  <c r="E3020" i="1"/>
  <c r="D3020" i="1"/>
  <c r="C3020" i="1"/>
  <c r="B3020" i="1"/>
  <c r="A3020" i="1"/>
  <c r="R3019" i="1"/>
  <c r="J3019" i="1"/>
  <c r="I3019" i="1"/>
  <c r="G3019" i="1"/>
  <c r="F3019" i="1"/>
  <c r="E3019" i="1"/>
  <c r="D3019" i="1"/>
  <c r="C3019" i="1"/>
  <c r="B3019" i="1"/>
  <c r="A3019" i="1"/>
  <c r="S3018" i="1"/>
  <c r="O3018" i="1"/>
  <c r="K3018" i="1"/>
  <c r="J3018" i="1"/>
  <c r="I3018" i="1"/>
  <c r="H3018" i="1"/>
  <c r="G3018" i="1"/>
  <c r="F3018" i="1"/>
  <c r="E3018" i="1"/>
  <c r="D3018" i="1"/>
  <c r="C3018" i="1"/>
  <c r="B3018" i="1"/>
  <c r="A3018" i="1"/>
  <c r="R3017" i="1"/>
  <c r="J3017" i="1"/>
  <c r="I3017" i="1"/>
  <c r="G3017" i="1"/>
  <c r="F3017" i="1"/>
  <c r="E3017" i="1"/>
  <c r="D3017" i="1"/>
  <c r="C3017" i="1"/>
  <c r="B3017" i="1"/>
  <c r="A3017" i="1"/>
  <c r="S3016" i="1"/>
  <c r="O3016" i="1"/>
  <c r="K3016" i="1"/>
  <c r="J3016" i="1"/>
  <c r="I3016" i="1"/>
  <c r="H3016" i="1"/>
  <c r="G3016" i="1"/>
  <c r="F3016" i="1"/>
  <c r="E3016" i="1"/>
  <c r="D3016" i="1"/>
  <c r="C3016" i="1"/>
  <c r="B3016" i="1"/>
  <c r="A3016" i="1"/>
  <c r="R3015" i="1"/>
  <c r="J3015" i="1"/>
  <c r="I3015" i="1"/>
  <c r="G3015" i="1"/>
  <c r="F3015" i="1"/>
  <c r="E3015" i="1"/>
  <c r="D3015" i="1"/>
  <c r="C3015" i="1"/>
  <c r="B3015" i="1"/>
  <c r="A3015" i="1"/>
  <c r="S3014" i="1"/>
  <c r="O3014" i="1"/>
  <c r="K3014" i="1"/>
  <c r="J3014" i="1"/>
  <c r="I3014" i="1"/>
  <c r="H3014" i="1"/>
  <c r="G3014" i="1"/>
  <c r="F3014" i="1"/>
  <c r="E3014" i="1"/>
  <c r="D3014" i="1"/>
  <c r="C3014" i="1"/>
  <c r="B3014" i="1"/>
  <c r="A3014" i="1"/>
  <c r="R3013" i="1"/>
  <c r="J3013" i="1"/>
  <c r="I3013" i="1"/>
  <c r="G3013" i="1"/>
  <c r="F3013" i="1"/>
  <c r="E3013" i="1"/>
  <c r="D3013" i="1"/>
  <c r="C3013" i="1"/>
  <c r="B3013" i="1"/>
  <c r="A3013" i="1"/>
  <c r="R3012" i="1"/>
  <c r="J3012" i="1"/>
  <c r="I3012" i="1"/>
  <c r="G3012" i="1"/>
  <c r="F3012" i="1"/>
  <c r="E3012" i="1"/>
  <c r="D3012" i="1"/>
  <c r="C3012" i="1"/>
  <c r="B3012" i="1"/>
  <c r="A3012" i="1"/>
  <c r="R3011" i="1"/>
  <c r="J3011" i="1"/>
  <c r="I3011" i="1"/>
  <c r="G3011" i="1"/>
  <c r="F3011" i="1"/>
  <c r="E3011" i="1"/>
  <c r="D3011" i="1"/>
  <c r="C3011" i="1"/>
  <c r="B3011" i="1"/>
  <c r="A3011" i="1"/>
  <c r="S3010" i="1"/>
  <c r="O3010" i="1"/>
  <c r="K3010" i="1"/>
  <c r="J3010" i="1"/>
  <c r="I3010" i="1"/>
  <c r="H3010" i="1"/>
  <c r="G3010" i="1"/>
  <c r="F3010" i="1"/>
  <c r="E3010" i="1"/>
  <c r="D3010" i="1"/>
  <c r="C3010" i="1"/>
  <c r="B3010" i="1"/>
  <c r="A3010" i="1"/>
  <c r="R3009" i="1"/>
  <c r="J3009" i="1"/>
  <c r="I3009" i="1"/>
  <c r="G3009" i="1"/>
  <c r="F3009" i="1"/>
  <c r="E3009" i="1"/>
  <c r="D3009" i="1"/>
  <c r="C3009" i="1"/>
  <c r="B3009" i="1"/>
  <c r="A3009" i="1"/>
  <c r="S3008" i="1"/>
  <c r="O3008" i="1"/>
  <c r="K3008" i="1"/>
  <c r="J3008" i="1"/>
  <c r="I3008" i="1"/>
  <c r="H3008" i="1"/>
  <c r="G3008" i="1"/>
  <c r="F3008" i="1"/>
  <c r="E3008" i="1"/>
  <c r="D3008" i="1"/>
  <c r="C3008" i="1"/>
  <c r="B3008" i="1"/>
  <c r="A3008" i="1"/>
  <c r="R3007" i="1"/>
  <c r="J3007" i="1"/>
  <c r="I3007" i="1"/>
  <c r="G3007" i="1"/>
  <c r="F3007" i="1"/>
  <c r="E3007" i="1"/>
  <c r="D3007" i="1"/>
  <c r="C3007" i="1"/>
  <c r="B3007" i="1"/>
  <c r="A3007" i="1"/>
  <c r="S3006" i="1"/>
  <c r="O3006" i="1"/>
  <c r="K3006" i="1"/>
  <c r="J3006" i="1"/>
  <c r="I3006" i="1"/>
  <c r="H3006" i="1"/>
  <c r="G3006" i="1"/>
  <c r="F3006" i="1"/>
  <c r="E3006" i="1"/>
  <c r="D3006" i="1"/>
  <c r="C3006" i="1"/>
  <c r="B3006" i="1"/>
  <c r="A3006" i="1"/>
  <c r="R3005" i="1"/>
  <c r="J3005" i="1"/>
  <c r="I3005" i="1"/>
  <c r="G3005" i="1"/>
  <c r="F3005" i="1"/>
  <c r="E3005" i="1"/>
  <c r="D3005" i="1"/>
  <c r="C3005" i="1"/>
  <c r="B3005" i="1"/>
  <c r="A3005" i="1"/>
  <c r="S3004" i="1"/>
  <c r="O3004" i="1"/>
  <c r="K3004" i="1"/>
  <c r="J3004" i="1"/>
  <c r="I3004" i="1"/>
  <c r="H3004" i="1"/>
  <c r="G3004" i="1"/>
  <c r="F3004" i="1"/>
  <c r="E3004" i="1"/>
  <c r="D3004" i="1"/>
  <c r="C3004" i="1"/>
  <c r="B3004" i="1"/>
  <c r="A3004" i="1"/>
  <c r="R3003" i="1"/>
  <c r="J3003" i="1"/>
  <c r="I3003" i="1"/>
  <c r="G3003" i="1"/>
  <c r="F3003" i="1"/>
  <c r="E3003" i="1"/>
  <c r="D3003" i="1"/>
  <c r="C3003" i="1"/>
  <c r="B3003" i="1"/>
  <c r="A3003" i="1"/>
  <c r="S3002" i="1"/>
  <c r="O3002" i="1"/>
  <c r="K3002" i="1"/>
  <c r="J3002" i="1"/>
  <c r="I3002" i="1"/>
  <c r="H3002" i="1"/>
  <c r="G3002" i="1"/>
  <c r="F3002" i="1"/>
  <c r="E3002" i="1"/>
  <c r="D3002" i="1"/>
  <c r="C3002" i="1"/>
  <c r="B3002" i="1"/>
  <c r="A3002" i="1"/>
  <c r="R3001" i="1"/>
  <c r="J3001" i="1"/>
  <c r="I3001" i="1"/>
  <c r="G3001" i="1"/>
  <c r="F3001" i="1"/>
  <c r="E3001" i="1"/>
  <c r="D3001" i="1"/>
  <c r="C3001" i="1"/>
  <c r="B3001" i="1"/>
  <c r="A3001" i="1"/>
  <c r="S3000" i="1"/>
  <c r="O3000" i="1"/>
  <c r="K3000" i="1"/>
  <c r="J3000" i="1"/>
  <c r="I3000" i="1"/>
  <c r="H3000" i="1"/>
  <c r="G3000" i="1"/>
  <c r="F3000" i="1"/>
  <c r="E3000" i="1"/>
  <c r="D3000" i="1"/>
  <c r="C3000" i="1"/>
  <c r="B3000" i="1"/>
  <c r="A3000" i="1"/>
  <c r="R2999" i="1"/>
  <c r="J2999" i="1"/>
  <c r="I2999" i="1"/>
  <c r="G2999" i="1"/>
  <c r="F2999" i="1"/>
  <c r="E2999" i="1"/>
  <c r="D2999" i="1"/>
  <c r="C2999" i="1"/>
  <c r="B2999" i="1"/>
  <c r="A2999" i="1"/>
  <c r="S2998" i="1"/>
  <c r="O2998" i="1"/>
  <c r="K2998" i="1"/>
  <c r="J2998" i="1"/>
  <c r="I2998" i="1"/>
  <c r="H2998" i="1"/>
  <c r="G2998" i="1"/>
  <c r="F2998" i="1"/>
  <c r="E2998" i="1"/>
  <c r="D2998" i="1"/>
  <c r="C2998" i="1"/>
  <c r="B2998" i="1"/>
  <c r="A2998" i="1"/>
  <c r="S2997" i="1"/>
  <c r="O2997" i="1"/>
  <c r="K2997" i="1"/>
  <c r="J2997" i="1"/>
  <c r="I2997" i="1"/>
  <c r="H2997" i="1"/>
  <c r="G2997" i="1"/>
  <c r="F2997" i="1"/>
  <c r="D2997" i="1"/>
  <c r="C2997" i="1"/>
  <c r="B2997" i="1"/>
  <c r="A2997" i="1"/>
  <c r="S2996" i="1"/>
  <c r="O2996" i="1"/>
  <c r="K2996" i="1"/>
  <c r="J2996" i="1"/>
  <c r="I2996" i="1"/>
  <c r="H2996" i="1"/>
  <c r="G2996" i="1"/>
  <c r="F2996" i="1"/>
  <c r="D2996" i="1"/>
  <c r="C2996" i="1"/>
  <c r="B2996" i="1"/>
  <c r="A2996" i="1"/>
  <c r="R2995" i="1"/>
  <c r="J2995" i="1"/>
  <c r="I2995" i="1"/>
  <c r="G2995" i="1"/>
  <c r="F2995" i="1"/>
  <c r="E2995" i="1"/>
  <c r="D2995" i="1"/>
  <c r="C2995" i="1"/>
  <c r="B2995" i="1"/>
  <c r="A2995" i="1"/>
  <c r="S2994" i="1"/>
  <c r="O2994" i="1"/>
  <c r="K2994" i="1"/>
  <c r="J2994" i="1"/>
  <c r="I2994" i="1"/>
  <c r="H2994" i="1"/>
  <c r="G2994" i="1"/>
  <c r="F2994" i="1"/>
  <c r="E2994" i="1"/>
  <c r="D2994" i="1"/>
  <c r="C2994" i="1"/>
  <c r="B2994" i="1"/>
  <c r="A2994" i="1"/>
  <c r="R2993" i="1"/>
  <c r="J2993" i="1"/>
  <c r="I2993" i="1"/>
  <c r="G2993" i="1"/>
  <c r="F2993" i="1"/>
  <c r="E2993" i="1"/>
  <c r="D2993" i="1"/>
  <c r="C2993" i="1"/>
  <c r="B2993" i="1"/>
  <c r="A2993" i="1"/>
  <c r="S2992" i="1"/>
  <c r="O2992" i="1"/>
  <c r="K2992" i="1"/>
  <c r="J2992" i="1"/>
  <c r="I2992" i="1"/>
  <c r="H2992" i="1"/>
  <c r="G2992" i="1"/>
  <c r="F2992" i="1"/>
  <c r="E2992" i="1"/>
  <c r="D2992" i="1"/>
  <c r="C2992" i="1"/>
  <c r="B2992" i="1"/>
  <c r="A2992" i="1"/>
  <c r="R2991" i="1"/>
  <c r="J2991" i="1"/>
  <c r="I2991" i="1"/>
  <c r="G2991" i="1"/>
  <c r="F2991" i="1"/>
  <c r="E2991" i="1"/>
  <c r="D2991" i="1"/>
  <c r="C2991" i="1"/>
  <c r="B2991" i="1"/>
  <c r="A2991" i="1"/>
  <c r="S2990" i="1"/>
  <c r="O2990" i="1"/>
  <c r="K2990" i="1"/>
  <c r="J2990" i="1"/>
  <c r="I2990" i="1"/>
  <c r="H2990" i="1"/>
  <c r="G2990" i="1"/>
  <c r="F2990" i="1"/>
  <c r="E2990" i="1"/>
  <c r="D2990" i="1"/>
  <c r="C2990" i="1"/>
  <c r="B2990" i="1"/>
  <c r="A2990" i="1"/>
  <c r="R2989" i="1"/>
  <c r="J2989" i="1"/>
  <c r="I2989" i="1"/>
  <c r="G2989" i="1"/>
  <c r="F2989" i="1"/>
  <c r="E2989" i="1"/>
  <c r="D2989" i="1"/>
  <c r="C2989" i="1"/>
  <c r="B2989" i="1"/>
  <c r="A2989" i="1"/>
  <c r="S2988" i="1"/>
  <c r="O2988" i="1"/>
  <c r="K2988" i="1"/>
  <c r="J2988" i="1"/>
  <c r="I2988" i="1"/>
  <c r="H2988" i="1"/>
  <c r="G2988" i="1"/>
  <c r="F2988" i="1"/>
  <c r="E2988" i="1"/>
  <c r="D2988" i="1"/>
  <c r="C2988" i="1"/>
  <c r="B2988" i="1"/>
  <c r="A2988" i="1"/>
  <c r="R2987" i="1"/>
  <c r="J2987" i="1"/>
  <c r="I2987" i="1"/>
  <c r="G2987" i="1"/>
  <c r="F2987" i="1"/>
  <c r="E2987" i="1"/>
  <c r="D2987" i="1"/>
  <c r="C2987" i="1"/>
  <c r="B2987" i="1"/>
  <c r="A2987" i="1"/>
  <c r="S2986" i="1"/>
  <c r="O2986" i="1"/>
  <c r="K2986" i="1"/>
  <c r="J2986" i="1"/>
  <c r="I2986" i="1"/>
  <c r="H2986" i="1"/>
  <c r="G2986" i="1"/>
  <c r="F2986" i="1"/>
  <c r="E2986" i="1"/>
  <c r="D2986" i="1"/>
  <c r="C2986" i="1"/>
  <c r="B2986" i="1"/>
  <c r="A2986" i="1"/>
  <c r="R2985" i="1"/>
  <c r="J2985" i="1"/>
  <c r="I2985" i="1"/>
  <c r="G2985" i="1"/>
  <c r="F2985" i="1"/>
  <c r="E2985" i="1"/>
  <c r="D2985" i="1"/>
  <c r="C2985" i="1"/>
  <c r="B2985" i="1"/>
  <c r="A2985" i="1"/>
  <c r="S2984" i="1"/>
  <c r="O2984" i="1"/>
  <c r="K2984" i="1"/>
  <c r="J2984" i="1"/>
  <c r="I2984" i="1"/>
  <c r="H2984" i="1"/>
  <c r="G2984" i="1"/>
  <c r="F2984" i="1"/>
  <c r="E2984" i="1"/>
  <c r="D2984" i="1"/>
  <c r="C2984" i="1"/>
  <c r="B2984" i="1"/>
  <c r="A2984" i="1"/>
  <c r="R2983" i="1"/>
  <c r="J2983" i="1"/>
  <c r="I2983" i="1"/>
  <c r="G2983" i="1"/>
  <c r="F2983" i="1"/>
  <c r="E2983" i="1"/>
  <c r="D2983" i="1"/>
  <c r="C2983" i="1"/>
  <c r="B2983" i="1"/>
  <c r="A2983" i="1"/>
  <c r="R2982" i="1"/>
  <c r="J2982" i="1"/>
  <c r="I2982" i="1"/>
  <c r="G2982" i="1"/>
  <c r="F2982" i="1"/>
  <c r="E2982" i="1"/>
  <c r="D2982" i="1"/>
  <c r="C2982" i="1"/>
  <c r="B2982" i="1"/>
  <c r="A2982" i="1"/>
  <c r="S2981" i="1"/>
  <c r="O2981" i="1"/>
  <c r="K2981" i="1"/>
  <c r="J2981" i="1"/>
  <c r="I2981" i="1"/>
  <c r="H2981" i="1"/>
  <c r="G2981" i="1"/>
  <c r="F2981" i="1"/>
  <c r="E2981" i="1"/>
  <c r="D2981" i="1"/>
  <c r="C2981" i="1"/>
  <c r="B2981" i="1"/>
  <c r="A2981" i="1"/>
  <c r="R2980" i="1"/>
  <c r="J2980" i="1"/>
  <c r="I2980" i="1"/>
  <c r="G2980" i="1"/>
  <c r="F2980" i="1"/>
  <c r="E2980" i="1"/>
  <c r="D2980" i="1"/>
  <c r="C2980" i="1"/>
  <c r="B2980" i="1"/>
  <c r="A2980" i="1"/>
  <c r="R2979" i="1"/>
  <c r="J2979" i="1"/>
  <c r="I2979" i="1"/>
  <c r="G2979" i="1"/>
  <c r="F2979" i="1"/>
  <c r="E2979" i="1"/>
  <c r="D2979" i="1"/>
  <c r="C2979" i="1"/>
  <c r="B2979" i="1"/>
  <c r="A2979" i="1"/>
  <c r="S2978" i="1"/>
  <c r="O2978" i="1"/>
  <c r="K2978" i="1"/>
  <c r="J2978" i="1"/>
  <c r="I2978" i="1"/>
  <c r="H2978" i="1"/>
  <c r="G2978" i="1"/>
  <c r="F2978" i="1"/>
  <c r="E2978" i="1"/>
  <c r="D2978" i="1"/>
  <c r="C2978" i="1"/>
  <c r="B2978" i="1"/>
  <c r="A2978" i="1"/>
  <c r="R2977" i="1"/>
  <c r="J2977" i="1"/>
  <c r="I2977" i="1"/>
  <c r="G2977" i="1"/>
  <c r="F2977" i="1"/>
  <c r="E2977" i="1"/>
  <c r="D2977" i="1"/>
  <c r="C2977" i="1"/>
  <c r="B2977" i="1"/>
  <c r="A2977" i="1"/>
  <c r="R2976" i="1"/>
  <c r="J2976" i="1"/>
  <c r="I2976" i="1"/>
  <c r="G2976" i="1"/>
  <c r="F2976" i="1"/>
  <c r="E2976" i="1"/>
  <c r="D2976" i="1"/>
  <c r="C2976" i="1"/>
  <c r="B2976" i="1"/>
  <c r="A2976" i="1"/>
  <c r="S2975" i="1"/>
  <c r="O2975" i="1"/>
  <c r="K2975" i="1"/>
  <c r="J2975" i="1"/>
  <c r="I2975" i="1"/>
  <c r="H2975" i="1"/>
  <c r="G2975" i="1"/>
  <c r="F2975" i="1"/>
  <c r="E2975" i="1"/>
  <c r="D2975" i="1"/>
  <c r="C2975" i="1"/>
  <c r="B2975" i="1"/>
  <c r="A2975" i="1"/>
  <c r="R2974" i="1"/>
  <c r="J2974" i="1"/>
  <c r="I2974" i="1"/>
  <c r="G2974" i="1"/>
  <c r="F2974" i="1"/>
  <c r="E2974" i="1"/>
  <c r="D2974" i="1"/>
  <c r="C2974" i="1"/>
  <c r="B2974" i="1"/>
  <c r="A2974" i="1"/>
  <c r="S2973" i="1"/>
  <c r="O2973" i="1"/>
  <c r="K2973" i="1"/>
  <c r="J2973" i="1"/>
  <c r="I2973" i="1"/>
  <c r="H2973" i="1"/>
  <c r="G2973" i="1"/>
  <c r="F2973" i="1"/>
  <c r="E2973" i="1"/>
  <c r="D2973" i="1"/>
  <c r="C2973" i="1"/>
  <c r="B2973" i="1"/>
  <c r="A2973" i="1"/>
  <c r="R2972" i="1"/>
  <c r="J2972" i="1"/>
  <c r="I2972" i="1"/>
  <c r="G2972" i="1"/>
  <c r="F2972" i="1"/>
  <c r="E2972" i="1"/>
  <c r="D2972" i="1"/>
  <c r="C2972" i="1"/>
  <c r="B2972" i="1"/>
  <c r="A2972" i="1"/>
  <c r="S2971" i="1"/>
  <c r="O2971" i="1"/>
  <c r="K2971" i="1"/>
  <c r="J2971" i="1"/>
  <c r="I2971" i="1"/>
  <c r="H2971" i="1"/>
  <c r="G2971" i="1"/>
  <c r="F2971" i="1"/>
  <c r="E2971" i="1"/>
  <c r="D2971" i="1"/>
  <c r="C2971" i="1"/>
  <c r="B2971" i="1"/>
  <c r="A2971" i="1"/>
  <c r="R2970" i="1"/>
  <c r="J2970" i="1"/>
  <c r="I2970" i="1"/>
  <c r="G2970" i="1"/>
  <c r="F2970" i="1"/>
  <c r="E2970" i="1"/>
  <c r="D2970" i="1"/>
  <c r="C2970" i="1"/>
  <c r="B2970" i="1"/>
  <c r="A2970" i="1"/>
  <c r="S2969" i="1"/>
  <c r="O2969" i="1"/>
  <c r="K2969" i="1"/>
  <c r="J2969" i="1"/>
  <c r="I2969" i="1"/>
  <c r="H2969" i="1"/>
  <c r="G2969" i="1"/>
  <c r="F2969" i="1"/>
  <c r="E2969" i="1"/>
  <c r="D2969" i="1"/>
  <c r="C2969" i="1"/>
  <c r="B2969" i="1"/>
  <c r="A2969" i="1"/>
  <c r="R2968" i="1"/>
  <c r="J2968" i="1"/>
  <c r="I2968" i="1"/>
  <c r="G2968" i="1"/>
  <c r="F2968" i="1"/>
  <c r="E2968" i="1"/>
  <c r="D2968" i="1"/>
  <c r="C2968" i="1"/>
  <c r="B2968" i="1"/>
  <c r="A2968" i="1"/>
  <c r="S2967" i="1"/>
  <c r="O2967" i="1"/>
  <c r="K2967" i="1"/>
  <c r="J2967" i="1"/>
  <c r="I2967" i="1"/>
  <c r="H2967" i="1"/>
  <c r="G2967" i="1"/>
  <c r="F2967" i="1"/>
  <c r="E2967" i="1"/>
  <c r="D2967" i="1"/>
  <c r="C2967" i="1"/>
  <c r="B2967" i="1"/>
  <c r="A2967" i="1"/>
  <c r="R2966" i="1"/>
  <c r="J2966" i="1"/>
  <c r="I2966" i="1"/>
  <c r="G2966" i="1"/>
  <c r="F2966" i="1"/>
  <c r="E2966" i="1"/>
  <c r="D2966" i="1"/>
  <c r="C2966" i="1"/>
  <c r="B2966" i="1"/>
  <c r="A2966" i="1"/>
  <c r="S2965" i="1"/>
  <c r="O2965" i="1"/>
  <c r="K2965" i="1"/>
  <c r="J2965" i="1"/>
  <c r="I2965" i="1"/>
  <c r="H2965" i="1"/>
  <c r="G2965" i="1"/>
  <c r="F2965" i="1"/>
  <c r="E2965" i="1"/>
  <c r="D2965" i="1"/>
  <c r="C2965" i="1"/>
  <c r="B2965" i="1"/>
  <c r="A2965" i="1"/>
  <c r="R2964" i="1"/>
  <c r="J2964" i="1"/>
  <c r="I2964" i="1"/>
  <c r="G2964" i="1"/>
  <c r="F2964" i="1"/>
  <c r="E2964" i="1"/>
  <c r="D2964" i="1"/>
  <c r="C2964" i="1"/>
  <c r="B2964" i="1"/>
  <c r="A2964" i="1"/>
  <c r="S2963" i="1"/>
  <c r="O2963" i="1"/>
  <c r="K2963" i="1"/>
  <c r="J2963" i="1"/>
  <c r="I2963" i="1"/>
  <c r="H2963" i="1"/>
  <c r="G2963" i="1"/>
  <c r="F2963" i="1"/>
  <c r="E2963" i="1"/>
  <c r="D2963" i="1"/>
  <c r="C2963" i="1"/>
  <c r="B2963" i="1"/>
  <c r="A2963" i="1"/>
  <c r="R2962" i="1"/>
  <c r="J2962" i="1"/>
  <c r="I2962" i="1"/>
  <c r="G2962" i="1"/>
  <c r="F2962" i="1"/>
  <c r="E2962" i="1"/>
  <c r="D2962" i="1"/>
  <c r="C2962" i="1"/>
  <c r="B2962" i="1"/>
  <c r="A2962" i="1"/>
  <c r="S2961" i="1"/>
  <c r="O2961" i="1"/>
  <c r="K2961" i="1"/>
  <c r="J2961" i="1"/>
  <c r="I2961" i="1"/>
  <c r="H2961" i="1"/>
  <c r="G2961" i="1"/>
  <c r="F2961" i="1"/>
  <c r="E2961" i="1"/>
  <c r="D2961" i="1"/>
  <c r="C2961" i="1"/>
  <c r="B2961" i="1"/>
  <c r="A2961" i="1"/>
  <c r="R2960" i="1"/>
  <c r="J2960" i="1"/>
  <c r="I2960" i="1"/>
  <c r="G2960" i="1"/>
  <c r="F2960" i="1"/>
  <c r="E2960" i="1"/>
  <c r="D2960" i="1"/>
  <c r="C2960" i="1"/>
  <c r="B2960" i="1"/>
  <c r="A2960" i="1"/>
  <c r="S2959" i="1"/>
  <c r="O2959" i="1"/>
  <c r="K2959" i="1"/>
  <c r="J2959" i="1"/>
  <c r="I2959" i="1"/>
  <c r="H2959" i="1"/>
  <c r="G2959" i="1"/>
  <c r="F2959" i="1"/>
  <c r="E2959" i="1"/>
  <c r="D2959" i="1"/>
  <c r="C2959" i="1"/>
  <c r="B2959" i="1"/>
  <c r="A2959" i="1"/>
  <c r="R2958" i="1"/>
  <c r="J2958" i="1"/>
  <c r="I2958" i="1"/>
  <c r="G2958" i="1"/>
  <c r="F2958" i="1"/>
  <c r="E2958" i="1"/>
  <c r="D2958" i="1"/>
  <c r="C2958" i="1"/>
  <c r="B2958" i="1"/>
  <c r="A2958" i="1"/>
  <c r="S2957" i="1"/>
  <c r="O2957" i="1"/>
  <c r="K2957" i="1"/>
  <c r="J2957" i="1"/>
  <c r="I2957" i="1"/>
  <c r="H2957" i="1"/>
  <c r="G2957" i="1"/>
  <c r="F2957" i="1"/>
  <c r="E2957" i="1"/>
  <c r="D2957" i="1"/>
  <c r="C2957" i="1"/>
  <c r="B2957" i="1"/>
  <c r="A2957" i="1"/>
  <c r="R2956" i="1"/>
  <c r="J2956" i="1"/>
  <c r="I2956" i="1"/>
  <c r="G2956" i="1"/>
  <c r="F2956" i="1"/>
  <c r="E2956" i="1"/>
  <c r="D2956" i="1"/>
  <c r="C2956" i="1"/>
  <c r="B2956" i="1"/>
  <c r="A2956" i="1"/>
  <c r="S2955" i="1"/>
  <c r="O2955" i="1"/>
  <c r="K2955" i="1"/>
  <c r="J2955" i="1"/>
  <c r="I2955" i="1"/>
  <c r="H2955" i="1"/>
  <c r="G2955" i="1"/>
  <c r="F2955" i="1"/>
  <c r="E2955" i="1"/>
  <c r="D2955" i="1"/>
  <c r="C2955" i="1"/>
  <c r="B2955" i="1"/>
  <c r="A2955" i="1"/>
  <c r="R2954" i="1"/>
  <c r="J2954" i="1"/>
  <c r="I2954" i="1"/>
  <c r="G2954" i="1"/>
  <c r="F2954" i="1"/>
  <c r="E2954" i="1"/>
  <c r="D2954" i="1"/>
  <c r="C2954" i="1"/>
  <c r="B2954" i="1"/>
  <c r="A2954" i="1"/>
  <c r="S2953" i="1"/>
  <c r="O2953" i="1"/>
  <c r="K2953" i="1"/>
  <c r="J2953" i="1"/>
  <c r="I2953" i="1"/>
  <c r="H2953" i="1"/>
  <c r="G2953" i="1"/>
  <c r="F2953" i="1"/>
  <c r="E2953" i="1"/>
  <c r="D2953" i="1"/>
  <c r="C2953" i="1"/>
  <c r="B2953" i="1"/>
  <c r="A2953" i="1"/>
  <c r="R2952" i="1"/>
  <c r="J2952" i="1"/>
  <c r="I2952" i="1"/>
  <c r="G2952" i="1"/>
  <c r="F2952" i="1"/>
  <c r="E2952" i="1"/>
  <c r="D2952" i="1"/>
  <c r="C2952" i="1"/>
  <c r="B2952" i="1"/>
  <c r="A2952" i="1"/>
  <c r="S2951" i="1"/>
  <c r="O2951" i="1"/>
  <c r="K2951" i="1"/>
  <c r="J2951" i="1"/>
  <c r="I2951" i="1"/>
  <c r="H2951" i="1"/>
  <c r="G2951" i="1"/>
  <c r="F2951" i="1"/>
  <c r="E2951" i="1"/>
  <c r="D2951" i="1"/>
  <c r="C2951" i="1"/>
  <c r="B2951" i="1"/>
  <c r="A2951" i="1"/>
  <c r="R2950" i="1"/>
  <c r="J2950" i="1"/>
  <c r="I2950" i="1"/>
  <c r="G2950" i="1"/>
  <c r="F2950" i="1"/>
  <c r="E2950" i="1"/>
  <c r="D2950" i="1"/>
  <c r="C2950" i="1"/>
  <c r="B2950" i="1"/>
  <c r="A2950" i="1"/>
  <c r="S2949" i="1"/>
  <c r="O2949" i="1"/>
  <c r="K2949" i="1"/>
  <c r="J2949" i="1"/>
  <c r="I2949" i="1"/>
  <c r="H2949" i="1"/>
  <c r="G2949" i="1"/>
  <c r="F2949" i="1"/>
  <c r="E2949" i="1"/>
  <c r="D2949" i="1"/>
  <c r="C2949" i="1"/>
  <c r="B2949" i="1"/>
  <c r="A2949" i="1"/>
  <c r="R2948" i="1"/>
  <c r="J2948" i="1"/>
  <c r="I2948" i="1"/>
  <c r="G2948" i="1"/>
  <c r="F2948" i="1"/>
  <c r="E2948" i="1"/>
  <c r="D2948" i="1"/>
  <c r="C2948" i="1"/>
  <c r="B2948" i="1"/>
  <c r="A2948" i="1"/>
  <c r="S2947" i="1"/>
  <c r="O2947" i="1"/>
  <c r="K2947" i="1"/>
  <c r="J2947" i="1"/>
  <c r="I2947" i="1"/>
  <c r="H2947" i="1"/>
  <c r="G2947" i="1"/>
  <c r="F2947" i="1"/>
  <c r="E2947" i="1"/>
  <c r="D2947" i="1"/>
  <c r="C2947" i="1"/>
  <c r="B2947" i="1"/>
  <c r="A2947" i="1"/>
  <c r="R2946" i="1"/>
  <c r="J2946" i="1"/>
  <c r="I2946" i="1"/>
  <c r="G2946" i="1"/>
  <c r="F2946" i="1"/>
  <c r="E2946" i="1"/>
  <c r="D2946" i="1"/>
  <c r="C2946" i="1"/>
  <c r="B2946" i="1"/>
  <c r="A2946" i="1"/>
  <c r="S2945" i="1"/>
  <c r="O2945" i="1"/>
  <c r="K2945" i="1"/>
  <c r="J2945" i="1"/>
  <c r="I2945" i="1"/>
  <c r="H2945" i="1"/>
  <c r="G2945" i="1"/>
  <c r="F2945" i="1"/>
  <c r="E2945" i="1"/>
  <c r="D2945" i="1"/>
  <c r="C2945" i="1"/>
  <c r="B2945" i="1"/>
  <c r="A2945" i="1"/>
  <c r="R2944" i="1"/>
  <c r="J2944" i="1"/>
  <c r="I2944" i="1"/>
  <c r="G2944" i="1"/>
  <c r="F2944" i="1"/>
  <c r="E2944" i="1"/>
  <c r="D2944" i="1"/>
  <c r="C2944" i="1"/>
  <c r="B2944" i="1"/>
  <c r="A2944" i="1"/>
  <c r="S2943" i="1"/>
  <c r="O2943" i="1"/>
  <c r="K2943" i="1"/>
  <c r="J2943" i="1"/>
  <c r="I2943" i="1"/>
  <c r="H2943" i="1"/>
  <c r="G2943" i="1"/>
  <c r="F2943" i="1"/>
  <c r="E2943" i="1"/>
  <c r="D2943" i="1"/>
  <c r="C2943" i="1"/>
  <c r="B2943" i="1"/>
  <c r="A2943" i="1"/>
  <c r="R2942" i="1"/>
  <c r="J2942" i="1"/>
  <c r="I2942" i="1"/>
  <c r="G2942" i="1"/>
  <c r="F2942" i="1"/>
  <c r="E2942" i="1"/>
  <c r="D2942" i="1"/>
  <c r="C2942" i="1"/>
  <c r="B2942" i="1"/>
  <c r="A2942" i="1"/>
  <c r="S2941" i="1"/>
  <c r="O2941" i="1"/>
  <c r="K2941" i="1"/>
  <c r="J2941" i="1"/>
  <c r="I2941" i="1"/>
  <c r="H2941" i="1"/>
  <c r="G2941" i="1"/>
  <c r="F2941" i="1"/>
  <c r="E2941" i="1"/>
  <c r="D2941" i="1"/>
  <c r="C2941" i="1"/>
  <c r="B2941" i="1"/>
  <c r="A2941" i="1"/>
  <c r="R2940" i="1"/>
  <c r="J2940" i="1"/>
  <c r="I2940" i="1"/>
  <c r="G2940" i="1"/>
  <c r="F2940" i="1"/>
  <c r="E2940" i="1"/>
  <c r="D2940" i="1"/>
  <c r="C2940" i="1"/>
  <c r="B2940" i="1"/>
  <c r="A2940" i="1"/>
  <c r="S2939" i="1"/>
  <c r="O2939" i="1"/>
  <c r="K2939" i="1"/>
  <c r="J2939" i="1"/>
  <c r="I2939" i="1"/>
  <c r="H2939" i="1"/>
  <c r="G2939" i="1"/>
  <c r="F2939" i="1"/>
  <c r="E2939" i="1"/>
  <c r="D2939" i="1"/>
  <c r="C2939" i="1"/>
  <c r="B2939" i="1"/>
  <c r="A2939" i="1"/>
  <c r="R2938" i="1"/>
  <c r="J2938" i="1"/>
  <c r="I2938" i="1"/>
  <c r="G2938" i="1"/>
  <c r="F2938" i="1"/>
  <c r="E2938" i="1"/>
  <c r="D2938" i="1"/>
  <c r="C2938" i="1"/>
  <c r="B2938" i="1"/>
  <c r="A2938" i="1"/>
  <c r="S2937" i="1"/>
  <c r="O2937" i="1"/>
  <c r="K2937" i="1"/>
  <c r="J2937" i="1"/>
  <c r="I2937" i="1"/>
  <c r="H2937" i="1"/>
  <c r="G2937" i="1"/>
  <c r="F2937" i="1"/>
  <c r="E2937" i="1"/>
  <c r="D2937" i="1"/>
  <c r="C2937" i="1"/>
  <c r="B2937" i="1"/>
  <c r="A2937" i="1"/>
  <c r="R2936" i="1"/>
  <c r="J2936" i="1"/>
  <c r="I2936" i="1"/>
  <c r="G2936" i="1"/>
  <c r="F2936" i="1"/>
  <c r="E2936" i="1"/>
  <c r="D2936" i="1"/>
  <c r="C2936" i="1"/>
  <c r="B2936" i="1"/>
  <c r="A2936" i="1"/>
  <c r="S2935" i="1"/>
  <c r="O2935" i="1"/>
  <c r="K2935" i="1"/>
  <c r="J2935" i="1"/>
  <c r="I2935" i="1"/>
  <c r="H2935" i="1"/>
  <c r="G2935" i="1"/>
  <c r="F2935" i="1"/>
  <c r="E2935" i="1"/>
  <c r="D2935" i="1"/>
  <c r="C2935" i="1"/>
  <c r="B2935" i="1"/>
  <c r="A2935" i="1"/>
  <c r="R2934" i="1"/>
  <c r="J2934" i="1"/>
  <c r="I2934" i="1"/>
  <c r="G2934" i="1"/>
  <c r="F2934" i="1"/>
  <c r="E2934" i="1"/>
  <c r="D2934" i="1"/>
  <c r="C2934" i="1"/>
  <c r="B2934" i="1"/>
  <c r="A2934" i="1"/>
  <c r="S2933" i="1"/>
  <c r="O2933" i="1"/>
  <c r="K2933" i="1"/>
  <c r="J2933" i="1"/>
  <c r="I2933" i="1"/>
  <c r="H2933" i="1"/>
  <c r="G2933" i="1"/>
  <c r="F2933" i="1"/>
  <c r="E2933" i="1"/>
  <c r="D2933" i="1"/>
  <c r="C2933" i="1"/>
  <c r="B2933" i="1"/>
  <c r="A2933" i="1"/>
  <c r="R2932" i="1"/>
  <c r="J2932" i="1"/>
  <c r="I2932" i="1"/>
  <c r="G2932" i="1"/>
  <c r="F2932" i="1"/>
  <c r="E2932" i="1"/>
  <c r="D2932" i="1"/>
  <c r="C2932" i="1"/>
  <c r="B2932" i="1"/>
  <c r="A2932" i="1"/>
  <c r="R2931" i="1"/>
  <c r="J2931" i="1"/>
  <c r="I2931" i="1"/>
  <c r="G2931" i="1"/>
  <c r="F2931" i="1"/>
  <c r="E2931" i="1"/>
  <c r="D2931" i="1"/>
  <c r="C2931" i="1"/>
  <c r="B2931" i="1"/>
  <c r="A2931" i="1"/>
  <c r="S2930" i="1"/>
  <c r="O2930" i="1"/>
  <c r="K2930" i="1"/>
  <c r="J2930" i="1"/>
  <c r="I2930" i="1"/>
  <c r="H2930" i="1"/>
  <c r="G2930" i="1"/>
  <c r="F2930" i="1"/>
  <c r="E2930" i="1"/>
  <c r="D2930" i="1"/>
  <c r="C2930" i="1"/>
  <c r="B2930" i="1"/>
  <c r="A2930" i="1"/>
  <c r="R2929" i="1"/>
  <c r="J2929" i="1"/>
  <c r="I2929" i="1"/>
  <c r="G2929" i="1"/>
  <c r="F2929" i="1"/>
  <c r="E2929" i="1"/>
  <c r="D2929" i="1"/>
  <c r="C2929" i="1"/>
  <c r="B2929" i="1"/>
  <c r="A2929" i="1"/>
  <c r="S2928" i="1"/>
  <c r="O2928" i="1"/>
  <c r="K2928" i="1"/>
  <c r="J2928" i="1"/>
  <c r="I2928" i="1"/>
  <c r="H2928" i="1"/>
  <c r="G2928" i="1"/>
  <c r="F2928" i="1"/>
  <c r="E2928" i="1"/>
  <c r="D2928" i="1"/>
  <c r="C2928" i="1"/>
  <c r="B2928" i="1"/>
  <c r="A2928" i="1"/>
  <c r="R2927" i="1"/>
  <c r="J2927" i="1"/>
  <c r="I2927" i="1"/>
  <c r="G2927" i="1"/>
  <c r="F2927" i="1"/>
  <c r="E2927" i="1"/>
  <c r="D2927" i="1"/>
  <c r="C2927" i="1"/>
  <c r="B2927" i="1"/>
  <c r="A2927" i="1"/>
  <c r="S2926" i="1"/>
  <c r="O2926" i="1"/>
  <c r="K2926" i="1"/>
  <c r="J2926" i="1"/>
  <c r="I2926" i="1"/>
  <c r="H2926" i="1"/>
  <c r="G2926" i="1"/>
  <c r="F2926" i="1"/>
  <c r="E2926" i="1"/>
  <c r="D2926" i="1"/>
  <c r="C2926" i="1"/>
  <c r="B2926" i="1"/>
  <c r="A2926" i="1"/>
  <c r="R2925" i="1"/>
  <c r="J2925" i="1"/>
  <c r="I2925" i="1"/>
  <c r="G2925" i="1"/>
  <c r="F2925" i="1"/>
  <c r="E2925" i="1"/>
  <c r="D2925" i="1"/>
  <c r="C2925" i="1"/>
  <c r="B2925" i="1"/>
  <c r="A2925" i="1"/>
  <c r="S2924" i="1"/>
  <c r="O2924" i="1"/>
  <c r="K2924" i="1"/>
  <c r="J2924" i="1"/>
  <c r="I2924" i="1"/>
  <c r="H2924" i="1"/>
  <c r="G2924" i="1"/>
  <c r="F2924" i="1"/>
  <c r="E2924" i="1"/>
  <c r="D2924" i="1"/>
  <c r="C2924" i="1"/>
  <c r="B2924" i="1"/>
  <c r="A2924" i="1"/>
  <c r="R2923" i="1"/>
  <c r="J2923" i="1"/>
  <c r="I2923" i="1"/>
  <c r="G2923" i="1"/>
  <c r="F2923" i="1"/>
  <c r="E2923" i="1"/>
  <c r="D2923" i="1"/>
  <c r="C2923" i="1"/>
  <c r="B2923" i="1"/>
  <c r="A2923" i="1"/>
  <c r="S2922" i="1"/>
  <c r="O2922" i="1"/>
  <c r="K2922" i="1"/>
  <c r="J2922" i="1"/>
  <c r="I2922" i="1"/>
  <c r="H2922" i="1"/>
  <c r="G2922" i="1"/>
  <c r="F2922" i="1"/>
  <c r="E2922" i="1"/>
  <c r="D2922" i="1"/>
  <c r="C2922" i="1"/>
  <c r="B2922" i="1"/>
  <c r="A2922" i="1"/>
  <c r="R2921" i="1"/>
  <c r="J2921" i="1"/>
  <c r="I2921" i="1"/>
  <c r="G2921" i="1"/>
  <c r="F2921" i="1"/>
  <c r="E2921" i="1"/>
  <c r="D2921" i="1"/>
  <c r="C2921" i="1"/>
  <c r="B2921" i="1"/>
  <c r="A2921" i="1"/>
  <c r="S2920" i="1"/>
  <c r="O2920" i="1"/>
  <c r="K2920" i="1"/>
  <c r="J2920" i="1"/>
  <c r="I2920" i="1"/>
  <c r="H2920" i="1"/>
  <c r="G2920" i="1"/>
  <c r="F2920" i="1"/>
  <c r="E2920" i="1"/>
  <c r="D2920" i="1"/>
  <c r="C2920" i="1"/>
  <c r="B2920" i="1"/>
  <c r="A2920" i="1"/>
  <c r="R2919" i="1"/>
  <c r="J2919" i="1"/>
  <c r="I2919" i="1"/>
  <c r="G2919" i="1"/>
  <c r="F2919" i="1"/>
  <c r="E2919" i="1"/>
  <c r="D2919" i="1"/>
  <c r="C2919" i="1"/>
  <c r="B2919" i="1"/>
  <c r="A2919" i="1"/>
  <c r="S2918" i="1"/>
  <c r="O2918" i="1"/>
  <c r="K2918" i="1"/>
  <c r="J2918" i="1"/>
  <c r="I2918" i="1"/>
  <c r="H2918" i="1"/>
  <c r="G2918" i="1"/>
  <c r="F2918" i="1"/>
  <c r="E2918" i="1"/>
  <c r="D2918" i="1"/>
  <c r="C2918" i="1"/>
  <c r="B2918" i="1"/>
  <c r="A2918" i="1"/>
  <c r="R2917" i="1"/>
  <c r="J2917" i="1"/>
  <c r="I2917" i="1"/>
  <c r="G2917" i="1"/>
  <c r="F2917" i="1"/>
  <c r="E2917" i="1"/>
  <c r="D2917" i="1"/>
  <c r="C2917" i="1"/>
  <c r="B2917" i="1"/>
  <c r="A2917" i="1"/>
  <c r="S2916" i="1"/>
  <c r="O2916" i="1"/>
  <c r="K2916" i="1"/>
  <c r="J2916" i="1"/>
  <c r="I2916" i="1"/>
  <c r="H2916" i="1"/>
  <c r="G2916" i="1"/>
  <c r="F2916" i="1"/>
  <c r="E2916" i="1"/>
  <c r="D2916" i="1"/>
  <c r="C2916" i="1"/>
  <c r="B2916" i="1"/>
  <c r="A2916" i="1"/>
  <c r="R2915" i="1"/>
  <c r="J2915" i="1"/>
  <c r="I2915" i="1"/>
  <c r="G2915" i="1"/>
  <c r="F2915" i="1"/>
  <c r="E2915" i="1"/>
  <c r="D2915" i="1"/>
  <c r="C2915" i="1"/>
  <c r="B2915" i="1"/>
  <c r="A2915" i="1"/>
  <c r="S2914" i="1"/>
  <c r="O2914" i="1"/>
  <c r="K2914" i="1"/>
  <c r="J2914" i="1"/>
  <c r="I2914" i="1"/>
  <c r="H2914" i="1"/>
  <c r="G2914" i="1"/>
  <c r="F2914" i="1"/>
  <c r="E2914" i="1"/>
  <c r="D2914" i="1"/>
  <c r="C2914" i="1"/>
  <c r="B2914" i="1"/>
  <c r="A2914" i="1"/>
  <c r="S2913" i="1"/>
  <c r="O2913" i="1"/>
  <c r="K2913" i="1"/>
  <c r="J2913" i="1"/>
  <c r="I2913" i="1"/>
  <c r="H2913" i="1"/>
  <c r="G2913" i="1"/>
  <c r="F2913" i="1"/>
  <c r="D2913" i="1"/>
  <c r="C2913" i="1"/>
  <c r="B2913" i="1"/>
  <c r="A2913" i="1"/>
  <c r="S2912" i="1"/>
  <c r="O2912" i="1"/>
  <c r="K2912" i="1"/>
  <c r="J2912" i="1"/>
  <c r="I2912" i="1"/>
  <c r="H2912" i="1"/>
  <c r="G2912" i="1"/>
  <c r="F2912" i="1"/>
  <c r="D2912" i="1"/>
  <c r="C2912" i="1"/>
  <c r="B2912" i="1"/>
  <c r="A2912" i="1"/>
  <c r="S2911" i="1"/>
  <c r="O2911" i="1"/>
  <c r="K2911" i="1"/>
  <c r="J2911" i="1"/>
  <c r="I2911" i="1"/>
  <c r="H2911" i="1"/>
  <c r="G2911" i="1"/>
  <c r="F2911" i="1"/>
  <c r="D2911" i="1"/>
  <c r="C2911" i="1"/>
  <c r="B2911" i="1"/>
  <c r="A2911" i="1"/>
  <c r="S2910" i="1"/>
  <c r="O2910" i="1"/>
  <c r="K2910" i="1"/>
  <c r="J2910" i="1"/>
  <c r="I2910" i="1"/>
  <c r="H2910" i="1"/>
  <c r="G2910" i="1"/>
  <c r="F2910" i="1"/>
  <c r="D2910" i="1"/>
  <c r="C2910" i="1"/>
  <c r="B2910" i="1"/>
  <c r="A2910" i="1"/>
  <c r="R2909" i="1"/>
  <c r="J2909" i="1"/>
  <c r="I2909" i="1"/>
  <c r="G2909" i="1"/>
  <c r="F2909" i="1"/>
  <c r="E2909" i="1"/>
  <c r="D2909" i="1"/>
  <c r="C2909" i="1"/>
  <c r="B2909" i="1"/>
  <c r="A2909" i="1"/>
  <c r="S2908" i="1"/>
  <c r="O2908" i="1"/>
  <c r="K2908" i="1"/>
  <c r="J2908" i="1"/>
  <c r="I2908" i="1"/>
  <c r="H2908" i="1"/>
  <c r="G2908" i="1"/>
  <c r="F2908" i="1"/>
  <c r="E2908" i="1"/>
  <c r="D2908" i="1"/>
  <c r="C2908" i="1"/>
  <c r="B2908" i="1"/>
  <c r="A2908" i="1"/>
  <c r="R2907" i="1"/>
  <c r="J2907" i="1"/>
  <c r="I2907" i="1"/>
  <c r="G2907" i="1"/>
  <c r="F2907" i="1"/>
  <c r="E2907" i="1"/>
  <c r="D2907" i="1"/>
  <c r="C2907" i="1"/>
  <c r="B2907" i="1"/>
  <c r="A2907" i="1"/>
  <c r="S2906" i="1"/>
  <c r="O2906" i="1"/>
  <c r="K2906" i="1"/>
  <c r="J2906" i="1"/>
  <c r="I2906" i="1"/>
  <c r="H2906" i="1"/>
  <c r="G2906" i="1"/>
  <c r="F2906" i="1"/>
  <c r="E2906" i="1"/>
  <c r="D2906" i="1"/>
  <c r="C2906" i="1"/>
  <c r="B2906" i="1"/>
  <c r="A2906" i="1"/>
  <c r="R2905" i="1"/>
  <c r="J2905" i="1"/>
  <c r="I2905" i="1"/>
  <c r="G2905" i="1"/>
  <c r="F2905" i="1"/>
  <c r="E2905" i="1"/>
  <c r="D2905" i="1"/>
  <c r="C2905" i="1"/>
  <c r="B2905" i="1"/>
  <c r="A2905" i="1"/>
  <c r="S2904" i="1"/>
  <c r="O2904" i="1"/>
  <c r="K2904" i="1"/>
  <c r="J2904" i="1"/>
  <c r="I2904" i="1"/>
  <c r="H2904" i="1"/>
  <c r="G2904" i="1"/>
  <c r="F2904" i="1"/>
  <c r="E2904" i="1"/>
  <c r="D2904" i="1"/>
  <c r="C2904" i="1"/>
  <c r="B2904" i="1"/>
  <c r="A2904" i="1"/>
  <c r="R2903" i="1"/>
  <c r="J2903" i="1"/>
  <c r="I2903" i="1"/>
  <c r="G2903" i="1"/>
  <c r="F2903" i="1"/>
  <c r="E2903" i="1"/>
  <c r="D2903" i="1"/>
  <c r="C2903" i="1"/>
  <c r="B2903" i="1"/>
  <c r="A2903" i="1"/>
  <c r="S2902" i="1"/>
  <c r="O2902" i="1"/>
  <c r="K2902" i="1"/>
  <c r="J2902" i="1"/>
  <c r="I2902" i="1"/>
  <c r="H2902" i="1"/>
  <c r="G2902" i="1"/>
  <c r="F2902" i="1"/>
  <c r="E2902" i="1"/>
  <c r="D2902" i="1"/>
  <c r="C2902" i="1"/>
  <c r="B2902" i="1"/>
  <c r="A2902" i="1"/>
  <c r="R2901" i="1"/>
  <c r="J2901" i="1"/>
  <c r="I2901" i="1"/>
  <c r="G2901" i="1"/>
  <c r="F2901" i="1"/>
  <c r="E2901" i="1"/>
  <c r="D2901" i="1"/>
  <c r="C2901" i="1"/>
  <c r="B2901" i="1"/>
  <c r="A2901" i="1"/>
  <c r="S2900" i="1"/>
  <c r="O2900" i="1"/>
  <c r="K2900" i="1"/>
  <c r="J2900" i="1"/>
  <c r="I2900" i="1"/>
  <c r="H2900" i="1"/>
  <c r="G2900" i="1"/>
  <c r="F2900" i="1"/>
  <c r="E2900" i="1"/>
  <c r="D2900" i="1"/>
  <c r="C2900" i="1"/>
  <c r="B2900" i="1"/>
  <c r="A2900" i="1"/>
  <c r="R2899" i="1"/>
  <c r="J2899" i="1"/>
  <c r="I2899" i="1"/>
  <c r="G2899" i="1"/>
  <c r="F2899" i="1"/>
  <c r="E2899" i="1"/>
  <c r="D2899" i="1"/>
  <c r="C2899" i="1"/>
  <c r="B2899" i="1"/>
  <c r="A2899" i="1"/>
  <c r="S2898" i="1"/>
  <c r="O2898" i="1"/>
  <c r="K2898" i="1"/>
  <c r="J2898" i="1"/>
  <c r="I2898" i="1"/>
  <c r="H2898" i="1"/>
  <c r="G2898" i="1"/>
  <c r="F2898" i="1"/>
  <c r="E2898" i="1"/>
  <c r="D2898" i="1"/>
  <c r="C2898" i="1"/>
  <c r="B2898" i="1"/>
  <c r="A2898" i="1"/>
  <c r="R2897" i="1"/>
  <c r="J2897" i="1"/>
  <c r="I2897" i="1"/>
  <c r="G2897" i="1"/>
  <c r="F2897" i="1"/>
  <c r="E2897" i="1"/>
  <c r="D2897" i="1"/>
  <c r="C2897" i="1"/>
  <c r="B2897" i="1"/>
  <c r="A2897" i="1"/>
  <c r="S2896" i="1"/>
  <c r="O2896" i="1"/>
  <c r="K2896" i="1"/>
  <c r="J2896" i="1"/>
  <c r="I2896" i="1"/>
  <c r="H2896" i="1"/>
  <c r="G2896" i="1"/>
  <c r="F2896" i="1"/>
  <c r="E2896" i="1"/>
  <c r="D2896" i="1"/>
  <c r="C2896" i="1"/>
  <c r="B2896" i="1"/>
  <c r="A2896" i="1"/>
  <c r="R2895" i="1"/>
  <c r="J2895" i="1"/>
  <c r="I2895" i="1"/>
  <c r="G2895" i="1"/>
  <c r="F2895" i="1"/>
  <c r="E2895" i="1"/>
  <c r="D2895" i="1"/>
  <c r="C2895" i="1"/>
  <c r="B2895" i="1"/>
  <c r="A2895" i="1"/>
  <c r="S2894" i="1"/>
  <c r="O2894" i="1"/>
  <c r="K2894" i="1"/>
  <c r="J2894" i="1"/>
  <c r="I2894" i="1"/>
  <c r="H2894" i="1"/>
  <c r="G2894" i="1"/>
  <c r="F2894" i="1"/>
  <c r="E2894" i="1"/>
  <c r="D2894" i="1"/>
  <c r="C2894" i="1"/>
  <c r="B2894" i="1"/>
  <c r="A2894" i="1"/>
  <c r="R2893" i="1"/>
  <c r="J2893" i="1"/>
  <c r="I2893" i="1"/>
  <c r="G2893" i="1"/>
  <c r="F2893" i="1"/>
  <c r="E2893" i="1"/>
  <c r="D2893" i="1"/>
  <c r="C2893" i="1"/>
  <c r="B2893" i="1"/>
  <c r="A2893" i="1"/>
  <c r="S2892" i="1"/>
  <c r="O2892" i="1"/>
  <c r="K2892" i="1"/>
  <c r="J2892" i="1"/>
  <c r="I2892" i="1"/>
  <c r="H2892" i="1"/>
  <c r="G2892" i="1"/>
  <c r="F2892" i="1"/>
  <c r="E2892" i="1"/>
  <c r="D2892" i="1"/>
  <c r="C2892" i="1"/>
  <c r="B2892" i="1"/>
  <c r="A2892" i="1"/>
  <c r="R2891" i="1"/>
  <c r="J2891" i="1"/>
  <c r="I2891" i="1"/>
  <c r="G2891" i="1"/>
  <c r="F2891" i="1"/>
  <c r="E2891" i="1"/>
  <c r="D2891" i="1"/>
  <c r="C2891" i="1"/>
  <c r="B2891" i="1"/>
  <c r="A2891" i="1"/>
  <c r="S2890" i="1"/>
  <c r="O2890" i="1"/>
  <c r="K2890" i="1"/>
  <c r="J2890" i="1"/>
  <c r="I2890" i="1"/>
  <c r="H2890" i="1"/>
  <c r="G2890" i="1"/>
  <c r="F2890" i="1"/>
  <c r="E2890" i="1"/>
  <c r="D2890" i="1"/>
  <c r="C2890" i="1"/>
  <c r="B2890" i="1"/>
  <c r="A2890" i="1"/>
  <c r="R2889" i="1"/>
  <c r="J2889" i="1"/>
  <c r="I2889" i="1"/>
  <c r="G2889" i="1"/>
  <c r="F2889" i="1"/>
  <c r="E2889" i="1"/>
  <c r="D2889" i="1"/>
  <c r="C2889" i="1"/>
  <c r="B2889" i="1"/>
  <c r="A2889" i="1"/>
  <c r="S2888" i="1"/>
  <c r="O2888" i="1"/>
  <c r="K2888" i="1"/>
  <c r="J2888" i="1"/>
  <c r="I2888" i="1"/>
  <c r="H2888" i="1"/>
  <c r="G2888" i="1"/>
  <c r="F2888" i="1"/>
  <c r="E2888" i="1"/>
  <c r="D2888" i="1"/>
  <c r="C2888" i="1"/>
  <c r="B2888" i="1"/>
  <c r="A2888" i="1"/>
  <c r="R2887" i="1"/>
  <c r="J2887" i="1"/>
  <c r="I2887" i="1"/>
  <c r="G2887" i="1"/>
  <c r="F2887" i="1"/>
  <c r="E2887" i="1"/>
  <c r="D2887" i="1"/>
  <c r="C2887" i="1"/>
  <c r="B2887" i="1"/>
  <c r="A2887" i="1"/>
  <c r="S2886" i="1"/>
  <c r="O2886" i="1"/>
  <c r="K2886" i="1"/>
  <c r="J2886" i="1"/>
  <c r="I2886" i="1"/>
  <c r="H2886" i="1"/>
  <c r="G2886" i="1"/>
  <c r="F2886" i="1"/>
  <c r="E2886" i="1"/>
  <c r="D2886" i="1"/>
  <c r="C2886" i="1"/>
  <c r="B2886" i="1"/>
  <c r="A2886" i="1"/>
  <c r="R2885" i="1"/>
  <c r="J2885" i="1"/>
  <c r="I2885" i="1"/>
  <c r="G2885" i="1"/>
  <c r="F2885" i="1"/>
  <c r="E2885" i="1"/>
  <c r="D2885" i="1"/>
  <c r="C2885" i="1"/>
  <c r="B2885" i="1"/>
  <c r="A2885" i="1"/>
  <c r="S2884" i="1"/>
  <c r="O2884" i="1"/>
  <c r="K2884" i="1"/>
  <c r="J2884" i="1"/>
  <c r="I2884" i="1"/>
  <c r="H2884" i="1"/>
  <c r="G2884" i="1"/>
  <c r="F2884" i="1"/>
  <c r="E2884" i="1"/>
  <c r="D2884" i="1"/>
  <c r="C2884" i="1"/>
  <c r="B2884" i="1"/>
  <c r="A2884" i="1"/>
  <c r="R2883" i="1"/>
  <c r="J2883" i="1"/>
  <c r="I2883" i="1"/>
  <c r="G2883" i="1"/>
  <c r="F2883" i="1"/>
  <c r="E2883" i="1"/>
  <c r="D2883" i="1"/>
  <c r="C2883" i="1"/>
  <c r="B2883" i="1"/>
  <c r="A2883" i="1"/>
  <c r="S2882" i="1"/>
  <c r="O2882" i="1"/>
  <c r="K2882" i="1"/>
  <c r="J2882" i="1"/>
  <c r="I2882" i="1"/>
  <c r="H2882" i="1"/>
  <c r="G2882" i="1"/>
  <c r="F2882" i="1"/>
  <c r="E2882" i="1"/>
  <c r="D2882" i="1"/>
  <c r="C2882" i="1"/>
  <c r="B2882" i="1"/>
  <c r="A2882" i="1"/>
  <c r="R2881" i="1"/>
  <c r="J2881" i="1"/>
  <c r="I2881" i="1"/>
  <c r="G2881" i="1"/>
  <c r="F2881" i="1"/>
  <c r="E2881" i="1"/>
  <c r="D2881" i="1"/>
  <c r="C2881" i="1"/>
  <c r="B2881" i="1"/>
  <c r="A2881" i="1"/>
  <c r="S2880" i="1"/>
  <c r="O2880" i="1"/>
  <c r="K2880" i="1"/>
  <c r="J2880" i="1"/>
  <c r="I2880" i="1"/>
  <c r="H2880" i="1"/>
  <c r="G2880" i="1"/>
  <c r="F2880" i="1"/>
  <c r="E2880" i="1"/>
  <c r="D2880" i="1"/>
  <c r="C2880" i="1"/>
  <c r="B2880" i="1"/>
  <c r="A2880" i="1"/>
  <c r="R2879" i="1"/>
  <c r="J2879" i="1"/>
  <c r="I2879" i="1"/>
  <c r="G2879" i="1"/>
  <c r="F2879" i="1"/>
  <c r="E2879" i="1"/>
  <c r="D2879" i="1"/>
  <c r="C2879" i="1"/>
  <c r="B2879" i="1"/>
  <c r="A2879" i="1"/>
  <c r="S2878" i="1"/>
  <c r="O2878" i="1"/>
  <c r="K2878" i="1"/>
  <c r="J2878" i="1"/>
  <c r="I2878" i="1"/>
  <c r="H2878" i="1"/>
  <c r="G2878" i="1"/>
  <c r="F2878" i="1"/>
  <c r="E2878" i="1"/>
  <c r="D2878" i="1"/>
  <c r="C2878" i="1"/>
  <c r="B2878" i="1"/>
  <c r="A2878" i="1"/>
  <c r="R2877" i="1"/>
  <c r="J2877" i="1"/>
  <c r="I2877" i="1"/>
  <c r="G2877" i="1"/>
  <c r="F2877" i="1"/>
  <c r="E2877" i="1"/>
  <c r="D2877" i="1"/>
  <c r="C2877" i="1"/>
  <c r="B2877" i="1"/>
  <c r="A2877" i="1"/>
  <c r="S2876" i="1"/>
  <c r="O2876" i="1"/>
  <c r="K2876" i="1"/>
  <c r="J2876" i="1"/>
  <c r="I2876" i="1"/>
  <c r="H2876" i="1"/>
  <c r="G2876" i="1"/>
  <c r="F2876" i="1"/>
  <c r="E2876" i="1"/>
  <c r="D2876" i="1"/>
  <c r="C2876" i="1"/>
  <c r="B2876" i="1"/>
  <c r="A2876" i="1"/>
  <c r="R2875" i="1"/>
  <c r="J2875" i="1"/>
  <c r="I2875" i="1"/>
  <c r="G2875" i="1"/>
  <c r="F2875" i="1"/>
  <c r="E2875" i="1"/>
  <c r="D2875" i="1"/>
  <c r="C2875" i="1"/>
  <c r="B2875" i="1"/>
  <c r="A2875" i="1"/>
  <c r="S2874" i="1"/>
  <c r="O2874" i="1"/>
  <c r="K2874" i="1"/>
  <c r="J2874" i="1"/>
  <c r="I2874" i="1"/>
  <c r="H2874" i="1"/>
  <c r="G2874" i="1"/>
  <c r="F2874" i="1"/>
  <c r="E2874" i="1"/>
  <c r="D2874" i="1"/>
  <c r="C2874" i="1"/>
  <c r="B2874" i="1"/>
  <c r="A2874" i="1"/>
  <c r="R2873" i="1"/>
  <c r="J2873" i="1"/>
  <c r="I2873" i="1"/>
  <c r="G2873" i="1"/>
  <c r="F2873" i="1"/>
  <c r="E2873" i="1"/>
  <c r="D2873" i="1"/>
  <c r="C2873" i="1"/>
  <c r="B2873" i="1"/>
  <c r="A2873" i="1"/>
  <c r="S2872" i="1"/>
  <c r="O2872" i="1"/>
  <c r="K2872" i="1"/>
  <c r="J2872" i="1"/>
  <c r="I2872" i="1"/>
  <c r="H2872" i="1"/>
  <c r="G2872" i="1"/>
  <c r="F2872" i="1"/>
  <c r="E2872" i="1"/>
  <c r="D2872" i="1"/>
  <c r="C2872" i="1"/>
  <c r="B2872" i="1"/>
  <c r="A2872" i="1"/>
  <c r="R2871" i="1"/>
  <c r="J2871" i="1"/>
  <c r="I2871" i="1"/>
  <c r="G2871" i="1"/>
  <c r="F2871" i="1"/>
  <c r="E2871" i="1"/>
  <c r="D2871" i="1"/>
  <c r="C2871" i="1"/>
  <c r="B2871" i="1"/>
  <c r="A2871" i="1"/>
  <c r="S2870" i="1"/>
  <c r="O2870" i="1"/>
  <c r="K2870" i="1"/>
  <c r="J2870" i="1"/>
  <c r="I2870" i="1"/>
  <c r="H2870" i="1"/>
  <c r="G2870" i="1"/>
  <c r="F2870" i="1"/>
  <c r="E2870" i="1"/>
  <c r="D2870" i="1"/>
  <c r="C2870" i="1"/>
  <c r="B2870" i="1"/>
  <c r="A2870" i="1"/>
  <c r="R2869" i="1"/>
  <c r="J2869" i="1"/>
  <c r="I2869" i="1"/>
  <c r="G2869" i="1"/>
  <c r="F2869" i="1"/>
  <c r="E2869" i="1"/>
  <c r="D2869" i="1"/>
  <c r="C2869" i="1"/>
  <c r="B2869" i="1"/>
  <c r="A2869" i="1"/>
  <c r="S2868" i="1"/>
  <c r="O2868" i="1"/>
  <c r="K2868" i="1"/>
  <c r="J2868" i="1"/>
  <c r="I2868" i="1"/>
  <c r="H2868" i="1"/>
  <c r="G2868" i="1"/>
  <c r="F2868" i="1"/>
  <c r="E2868" i="1"/>
  <c r="D2868" i="1"/>
  <c r="C2868" i="1"/>
  <c r="B2868" i="1"/>
  <c r="A2868" i="1"/>
  <c r="R2867" i="1"/>
  <c r="J2867" i="1"/>
  <c r="I2867" i="1"/>
  <c r="G2867" i="1"/>
  <c r="F2867" i="1"/>
  <c r="E2867" i="1"/>
  <c r="D2867" i="1"/>
  <c r="C2867" i="1"/>
  <c r="B2867" i="1"/>
  <c r="A2867" i="1"/>
  <c r="S2866" i="1"/>
  <c r="O2866" i="1"/>
  <c r="K2866" i="1"/>
  <c r="J2866" i="1"/>
  <c r="I2866" i="1"/>
  <c r="H2866" i="1"/>
  <c r="G2866" i="1"/>
  <c r="F2866" i="1"/>
  <c r="E2866" i="1"/>
  <c r="D2866" i="1"/>
  <c r="C2866" i="1"/>
  <c r="B2866" i="1"/>
  <c r="A2866" i="1"/>
  <c r="R2865" i="1"/>
  <c r="J2865" i="1"/>
  <c r="I2865" i="1"/>
  <c r="G2865" i="1"/>
  <c r="F2865" i="1"/>
  <c r="E2865" i="1"/>
  <c r="D2865" i="1"/>
  <c r="C2865" i="1"/>
  <c r="B2865" i="1"/>
  <c r="A2865" i="1"/>
  <c r="S2864" i="1"/>
  <c r="O2864" i="1"/>
  <c r="K2864" i="1"/>
  <c r="J2864" i="1"/>
  <c r="I2864" i="1"/>
  <c r="H2864" i="1"/>
  <c r="G2864" i="1"/>
  <c r="F2864" i="1"/>
  <c r="E2864" i="1"/>
  <c r="D2864" i="1"/>
  <c r="C2864" i="1"/>
  <c r="B2864" i="1"/>
  <c r="A2864" i="1"/>
  <c r="R2863" i="1"/>
  <c r="J2863" i="1"/>
  <c r="I2863" i="1"/>
  <c r="G2863" i="1"/>
  <c r="F2863" i="1"/>
  <c r="E2863" i="1"/>
  <c r="D2863" i="1"/>
  <c r="C2863" i="1"/>
  <c r="B2863" i="1"/>
  <c r="A2863" i="1"/>
  <c r="S2862" i="1"/>
  <c r="O2862" i="1"/>
  <c r="K2862" i="1"/>
  <c r="J2862" i="1"/>
  <c r="I2862" i="1"/>
  <c r="H2862" i="1"/>
  <c r="G2862" i="1"/>
  <c r="F2862" i="1"/>
  <c r="E2862" i="1"/>
  <c r="D2862" i="1"/>
  <c r="C2862" i="1"/>
  <c r="B2862" i="1"/>
  <c r="A2862" i="1"/>
  <c r="R2861" i="1"/>
  <c r="J2861" i="1"/>
  <c r="I2861" i="1"/>
  <c r="G2861" i="1"/>
  <c r="F2861" i="1"/>
  <c r="E2861" i="1"/>
  <c r="D2861" i="1"/>
  <c r="C2861" i="1"/>
  <c r="B2861" i="1"/>
  <c r="A2861" i="1"/>
  <c r="S2860" i="1"/>
  <c r="O2860" i="1"/>
  <c r="K2860" i="1"/>
  <c r="J2860" i="1"/>
  <c r="I2860" i="1"/>
  <c r="H2860" i="1"/>
  <c r="G2860" i="1"/>
  <c r="F2860" i="1"/>
  <c r="E2860" i="1"/>
  <c r="D2860" i="1"/>
  <c r="C2860" i="1"/>
  <c r="B2860" i="1"/>
  <c r="A2860" i="1"/>
  <c r="R2859" i="1"/>
  <c r="J2859" i="1"/>
  <c r="I2859" i="1"/>
  <c r="G2859" i="1"/>
  <c r="F2859" i="1"/>
  <c r="E2859" i="1"/>
  <c r="D2859" i="1"/>
  <c r="C2859" i="1"/>
  <c r="B2859" i="1"/>
  <c r="A2859" i="1"/>
  <c r="S2858" i="1"/>
  <c r="O2858" i="1"/>
  <c r="K2858" i="1"/>
  <c r="J2858" i="1"/>
  <c r="I2858" i="1"/>
  <c r="H2858" i="1"/>
  <c r="G2858" i="1"/>
  <c r="F2858" i="1"/>
  <c r="E2858" i="1"/>
  <c r="D2858" i="1"/>
  <c r="C2858" i="1"/>
  <c r="B2858" i="1"/>
  <c r="A2858" i="1"/>
  <c r="R2857" i="1"/>
  <c r="J2857" i="1"/>
  <c r="I2857" i="1"/>
  <c r="G2857" i="1"/>
  <c r="F2857" i="1"/>
  <c r="E2857" i="1"/>
  <c r="D2857" i="1"/>
  <c r="C2857" i="1"/>
  <c r="B2857" i="1"/>
  <c r="A2857" i="1"/>
  <c r="S2856" i="1"/>
  <c r="O2856" i="1"/>
  <c r="K2856" i="1"/>
  <c r="J2856" i="1"/>
  <c r="I2856" i="1"/>
  <c r="H2856" i="1"/>
  <c r="G2856" i="1"/>
  <c r="F2856" i="1"/>
  <c r="E2856" i="1"/>
  <c r="D2856" i="1"/>
  <c r="C2856" i="1"/>
  <c r="B2856" i="1"/>
  <c r="A2856" i="1"/>
  <c r="R2855" i="1"/>
  <c r="J2855" i="1"/>
  <c r="I2855" i="1"/>
  <c r="G2855" i="1"/>
  <c r="F2855" i="1"/>
  <c r="E2855" i="1"/>
  <c r="D2855" i="1"/>
  <c r="C2855" i="1"/>
  <c r="B2855" i="1"/>
  <c r="A2855" i="1"/>
  <c r="S2854" i="1"/>
  <c r="O2854" i="1"/>
  <c r="K2854" i="1"/>
  <c r="J2854" i="1"/>
  <c r="I2854" i="1"/>
  <c r="H2854" i="1"/>
  <c r="G2854" i="1"/>
  <c r="F2854" i="1"/>
  <c r="E2854" i="1"/>
  <c r="D2854" i="1"/>
  <c r="C2854" i="1"/>
  <c r="B2854" i="1"/>
  <c r="A2854" i="1"/>
  <c r="R2853" i="1"/>
  <c r="J2853" i="1"/>
  <c r="I2853" i="1"/>
  <c r="G2853" i="1"/>
  <c r="F2853" i="1"/>
  <c r="E2853" i="1"/>
  <c r="D2853" i="1"/>
  <c r="C2853" i="1"/>
  <c r="B2853" i="1"/>
  <c r="A2853" i="1"/>
  <c r="S2852" i="1"/>
  <c r="O2852" i="1"/>
  <c r="K2852" i="1"/>
  <c r="J2852" i="1"/>
  <c r="I2852" i="1"/>
  <c r="H2852" i="1"/>
  <c r="G2852" i="1"/>
  <c r="F2852" i="1"/>
  <c r="E2852" i="1"/>
  <c r="D2852" i="1"/>
  <c r="C2852" i="1"/>
  <c r="B2852" i="1"/>
  <c r="A2852" i="1"/>
  <c r="R2851" i="1"/>
  <c r="J2851" i="1"/>
  <c r="I2851" i="1"/>
  <c r="G2851" i="1"/>
  <c r="F2851" i="1"/>
  <c r="E2851" i="1"/>
  <c r="D2851" i="1"/>
  <c r="C2851" i="1"/>
  <c r="B2851" i="1"/>
  <c r="A2851" i="1"/>
  <c r="S2850" i="1"/>
  <c r="O2850" i="1"/>
  <c r="K2850" i="1"/>
  <c r="J2850" i="1"/>
  <c r="I2850" i="1"/>
  <c r="H2850" i="1"/>
  <c r="G2850" i="1"/>
  <c r="F2850" i="1"/>
  <c r="E2850" i="1"/>
  <c r="D2850" i="1"/>
  <c r="C2850" i="1"/>
  <c r="B2850" i="1"/>
  <c r="A2850" i="1"/>
  <c r="R2849" i="1"/>
  <c r="J2849" i="1"/>
  <c r="I2849" i="1"/>
  <c r="G2849" i="1"/>
  <c r="F2849" i="1"/>
  <c r="E2849" i="1"/>
  <c r="D2849" i="1"/>
  <c r="C2849" i="1"/>
  <c r="B2849" i="1"/>
  <c r="A2849" i="1"/>
  <c r="S2848" i="1"/>
  <c r="O2848" i="1"/>
  <c r="K2848" i="1"/>
  <c r="J2848" i="1"/>
  <c r="I2848" i="1"/>
  <c r="H2848" i="1"/>
  <c r="G2848" i="1"/>
  <c r="F2848" i="1"/>
  <c r="E2848" i="1"/>
  <c r="D2848" i="1"/>
  <c r="C2848" i="1"/>
  <c r="B2848" i="1"/>
  <c r="A2848" i="1"/>
  <c r="R2847" i="1"/>
  <c r="J2847" i="1"/>
  <c r="I2847" i="1"/>
  <c r="G2847" i="1"/>
  <c r="F2847" i="1"/>
  <c r="E2847" i="1"/>
  <c r="D2847" i="1"/>
  <c r="C2847" i="1"/>
  <c r="B2847" i="1"/>
  <c r="A2847" i="1"/>
  <c r="S2846" i="1"/>
  <c r="O2846" i="1"/>
  <c r="K2846" i="1"/>
  <c r="J2846" i="1"/>
  <c r="I2846" i="1"/>
  <c r="H2846" i="1"/>
  <c r="G2846" i="1"/>
  <c r="F2846" i="1"/>
  <c r="E2846" i="1"/>
  <c r="D2846" i="1"/>
  <c r="C2846" i="1"/>
  <c r="B2846" i="1"/>
  <c r="A2846" i="1"/>
  <c r="R2845" i="1"/>
  <c r="J2845" i="1"/>
  <c r="I2845" i="1"/>
  <c r="G2845" i="1"/>
  <c r="F2845" i="1"/>
  <c r="E2845" i="1"/>
  <c r="D2845" i="1"/>
  <c r="C2845" i="1"/>
  <c r="B2845" i="1"/>
  <c r="A2845" i="1"/>
  <c r="S2844" i="1"/>
  <c r="O2844" i="1"/>
  <c r="K2844" i="1"/>
  <c r="J2844" i="1"/>
  <c r="I2844" i="1"/>
  <c r="H2844" i="1"/>
  <c r="G2844" i="1"/>
  <c r="F2844" i="1"/>
  <c r="E2844" i="1"/>
  <c r="D2844" i="1"/>
  <c r="C2844" i="1"/>
  <c r="B2844" i="1"/>
  <c r="A2844" i="1"/>
  <c r="R2843" i="1"/>
  <c r="J2843" i="1"/>
  <c r="I2843" i="1"/>
  <c r="G2843" i="1"/>
  <c r="F2843" i="1"/>
  <c r="E2843" i="1"/>
  <c r="D2843" i="1"/>
  <c r="C2843" i="1"/>
  <c r="B2843" i="1"/>
  <c r="A2843" i="1"/>
  <c r="S2842" i="1"/>
  <c r="O2842" i="1"/>
  <c r="K2842" i="1"/>
  <c r="J2842" i="1"/>
  <c r="I2842" i="1"/>
  <c r="H2842" i="1"/>
  <c r="G2842" i="1"/>
  <c r="F2842" i="1"/>
  <c r="E2842" i="1"/>
  <c r="D2842" i="1"/>
  <c r="C2842" i="1"/>
  <c r="B2842" i="1"/>
  <c r="A2842" i="1"/>
  <c r="R2841" i="1"/>
  <c r="J2841" i="1"/>
  <c r="I2841" i="1"/>
  <c r="G2841" i="1"/>
  <c r="F2841" i="1"/>
  <c r="E2841" i="1"/>
  <c r="D2841" i="1"/>
  <c r="C2841" i="1"/>
  <c r="B2841" i="1"/>
  <c r="A2841" i="1"/>
  <c r="S2840" i="1"/>
  <c r="O2840" i="1"/>
  <c r="K2840" i="1"/>
  <c r="J2840" i="1"/>
  <c r="I2840" i="1"/>
  <c r="H2840" i="1"/>
  <c r="G2840" i="1"/>
  <c r="F2840" i="1"/>
  <c r="E2840" i="1"/>
  <c r="D2840" i="1"/>
  <c r="C2840" i="1"/>
  <c r="B2840" i="1"/>
  <c r="A2840" i="1"/>
  <c r="R2839" i="1"/>
  <c r="J2839" i="1"/>
  <c r="I2839" i="1"/>
  <c r="G2839" i="1"/>
  <c r="F2839" i="1"/>
  <c r="E2839" i="1"/>
  <c r="D2839" i="1"/>
  <c r="C2839" i="1"/>
  <c r="B2839" i="1"/>
  <c r="A2839" i="1"/>
  <c r="S2838" i="1"/>
  <c r="O2838" i="1"/>
  <c r="K2838" i="1"/>
  <c r="J2838" i="1"/>
  <c r="I2838" i="1"/>
  <c r="H2838" i="1"/>
  <c r="G2838" i="1"/>
  <c r="F2838" i="1"/>
  <c r="E2838" i="1"/>
  <c r="D2838" i="1"/>
  <c r="C2838" i="1"/>
  <c r="B2838" i="1"/>
  <c r="A2838" i="1"/>
  <c r="R2837" i="1"/>
  <c r="J2837" i="1"/>
  <c r="I2837" i="1"/>
  <c r="G2837" i="1"/>
  <c r="F2837" i="1"/>
  <c r="E2837" i="1"/>
  <c r="D2837" i="1"/>
  <c r="C2837" i="1"/>
  <c r="B2837" i="1"/>
  <c r="A2837" i="1"/>
  <c r="S2836" i="1"/>
  <c r="O2836" i="1"/>
  <c r="K2836" i="1"/>
  <c r="J2836" i="1"/>
  <c r="I2836" i="1"/>
  <c r="H2836" i="1"/>
  <c r="G2836" i="1"/>
  <c r="F2836" i="1"/>
  <c r="E2836" i="1"/>
  <c r="D2836" i="1"/>
  <c r="C2836" i="1"/>
  <c r="B2836" i="1"/>
  <c r="A2836" i="1"/>
  <c r="R2835" i="1"/>
  <c r="J2835" i="1"/>
  <c r="I2835" i="1"/>
  <c r="G2835" i="1"/>
  <c r="F2835" i="1"/>
  <c r="E2835" i="1"/>
  <c r="D2835" i="1"/>
  <c r="C2835" i="1"/>
  <c r="B2835" i="1"/>
  <c r="A2835" i="1"/>
  <c r="S2834" i="1"/>
  <c r="O2834" i="1"/>
  <c r="K2834" i="1"/>
  <c r="J2834" i="1"/>
  <c r="I2834" i="1"/>
  <c r="H2834" i="1"/>
  <c r="G2834" i="1"/>
  <c r="F2834" i="1"/>
  <c r="E2834" i="1"/>
  <c r="D2834" i="1"/>
  <c r="C2834" i="1"/>
  <c r="B2834" i="1"/>
  <c r="A2834" i="1"/>
  <c r="R2833" i="1"/>
  <c r="J2833" i="1"/>
  <c r="I2833" i="1"/>
  <c r="G2833" i="1"/>
  <c r="F2833" i="1"/>
  <c r="E2833" i="1"/>
  <c r="D2833" i="1"/>
  <c r="C2833" i="1"/>
  <c r="B2833" i="1"/>
  <c r="A2833" i="1"/>
  <c r="S2832" i="1"/>
  <c r="O2832" i="1"/>
  <c r="K2832" i="1"/>
  <c r="J2832" i="1"/>
  <c r="I2832" i="1"/>
  <c r="H2832" i="1"/>
  <c r="G2832" i="1"/>
  <c r="F2832" i="1"/>
  <c r="E2832" i="1"/>
  <c r="D2832" i="1"/>
  <c r="C2832" i="1"/>
  <c r="B2832" i="1"/>
  <c r="A2832" i="1"/>
  <c r="R2831" i="1"/>
  <c r="J2831" i="1"/>
  <c r="I2831" i="1"/>
  <c r="G2831" i="1"/>
  <c r="F2831" i="1"/>
  <c r="E2831" i="1"/>
  <c r="D2831" i="1"/>
  <c r="C2831" i="1"/>
  <c r="B2831" i="1"/>
  <c r="A2831" i="1"/>
  <c r="S2830" i="1"/>
  <c r="O2830" i="1"/>
  <c r="K2830" i="1"/>
  <c r="J2830" i="1"/>
  <c r="I2830" i="1"/>
  <c r="H2830" i="1"/>
  <c r="G2830" i="1"/>
  <c r="F2830" i="1"/>
  <c r="E2830" i="1"/>
  <c r="D2830" i="1"/>
  <c r="C2830" i="1"/>
  <c r="B2830" i="1"/>
  <c r="A2830" i="1"/>
  <c r="R2829" i="1"/>
  <c r="J2829" i="1"/>
  <c r="I2829" i="1"/>
  <c r="G2829" i="1"/>
  <c r="F2829" i="1"/>
  <c r="E2829" i="1"/>
  <c r="D2829" i="1"/>
  <c r="C2829" i="1"/>
  <c r="B2829" i="1"/>
  <c r="A2829" i="1"/>
  <c r="S2828" i="1"/>
  <c r="O2828" i="1"/>
  <c r="K2828" i="1"/>
  <c r="J2828" i="1"/>
  <c r="I2828" i="1"/>
  <c r="H2828" i="1"/>
  <c r="G2828" i="1"/>
  <c r="F2828" i="1"/>
  <c r="E2828" i="1"/>
  <c r="D2828" i="1"/>
  <c r="C2828" i="1"/>
  <c r="B2828" i="1"/>
  <c r="A2828" i="1"/>
  <c r="R2827" i="1"/>
  <c r="J2827" i="1"/>
  <c r="I2827" i="1"/>
  <c r="G2827" i="1"/>
  <c r="F2827" i="1"/>
  <c r="E2827" i="1"/>
  <c r="D2827" i="1"/>
  <c r="C2827" i="1"/>
  <c r="B2827" i="1"/>
  <c r="A2827" i="1"/>
  <c r="S2826" i="1"/>
  <c r="O2826" i="1"/>
  <c r="K2826" i="1"/>
  <c r="J2826" i="1"/>
  <c r="I2826" i="1"/>
  <c r="H2826" i="1"/>
  <c r="G2826" i="1"/>
  <c r="F2826" i="1"/>
  <c r="E2826" i="1"/>
  <c r="D2826" i="1"/>
  <c r="C2826" i="1"/>
  <c r="B2826" i="1"/>
  <c r="A2826" i="1"/>
  <c r="R2825" i="1"/>
  <c r="J2825" i="1"/>
  <c r="I2825" i="1"/>
  <c r="G2825" i="1"/>
  <c r="F2825" i="1"/>
  <c r="E2825" i="1"/>
  <c r="D2825" i="1"/>
  <c r="C2825" i="1"/>
  <c r="B2825" i="1"/>
  <c r="A2825" i="1"/>
  <c r="S2824" i="1"/>
  <c r="O2824" i="1"/>
  <c r="K2824" i="1"/>
  <c r="J2824" i="1"/>
  <c r="I2824" i="1"/>
  <c r="H2824" i="1"/>
  <c r="G2824" i="1"/>
  <c r="F2824" i="1"/>
  <c r="E2824" i="1"/>
  <c r="D2824" i="1"/>
  <c r="C2824" i="1"/>
  <c r="B2824" i="1"/>
  <c r="A2824" i="1"/>
  <c r="R2823" i="1"/>
  <c r="J2823" i="1"/>
  <c r="I2823" i="1"/>
  <c r="G2823" i="1"/>
  <c r="F2823" i="1"/>
  <c r="E2823" i="1"/>
  <c r="D2823" i="1"/>
  <c r="C2823" i="1"/>
  <c r="B2823" i="1"/>
  <c r="A2823" i="1"/>
  <c r="S2822" i="1"/>
  <c r="O2822" i="1"/>
  <c r="K2822" i="1"/>
  <c r="J2822" i="1"/>
  <c r="I2822" i="1"/>
  <c r="H2822" i="1"/>
  <c r="G2822" i="1"/>
  <c r="F2822" i="1"/>
  <c r="E2822" i="1"/>
  <c r="D2822" i="1"/>
  <c r="C2822" i="1"/>
  <c r="B2822" i="1"/>
  <c r="A2822" i="1"/>
  <c r="R2821" i="1"/>
  <c r="J2821" i="1"/>
  <c r="I2821" i="1"/>
  <c r="G2821" i="1"/>
  <c r="F2821" i="1"/>
  <c r="E2821" i="1"/>
  <c r="D2821" i="1"/>
  <c r="C2821" i="1"/>
  <c r="B2821" i="1"/>
  <c r="A2821" i="1"/>
  <c r="S2820" i="1"/>
  <c r="O2820" i="1"/>
  <c r="K2820" i="1"/>
  <c r="J2820" i="1"/>
  <c r="I2820" i="1"/>
  <c r="H2820" i="1"/>
  <c r="G2820" i="1"/>
  <c r="F2820" i="1"/>
  <c r="E2820" i="1"/>
  <c r="D2820" i="1"/>
  <c r="C2820" i="1"/>
  <c r="B2820" i="1"/>
  <c r="A2820" i="1"/>
  <c r="R2819" i="1"/>
  <c r="J2819" i="1"/>
  <c r="I2819" i="1"/>
  <c r="G2819" i="1"/>
  <c r="F2819" i="1"/>
  <c r="E2819" i="1"/>
  <c r="D2819" i="1"/>
  <c r="C2819" i="1"/>
  <c r="B2819" i="1"/>
  <c r="A2819" i="1"/>
  <c r="S2818" i="1"/>
  <c r="O2818" i="1"/>
  <c r="K2818" i="1"/>
  <c r="J2818" i="1"/>
  <c r="I2818" i="1"/>
  <c r="H2818" i="1"/>
  <c r="G2818" i="1"/>
  <c r="F2818" i="1"/>
  <c r="E2818" i="1"/>
  <c r="D2818" i="1"/>
  <c r="C2818" i="1"/>
  <c r="B2818" i="1"/>
  <c r="A2818" i="1"/>
  <c r="R2817" i="1"/>
  <c r="J2817" i="1"/>
  <c r="I2817" i="1"/>
  <c r="G2817" i="1"/>
  <c r="F2817" i="1"/>
  <c r="E2817" i="1"/>
  <c r="D2817" i="1"/>
  <c r="C2817" i="1"/>
  <c r="B2817" i="1"/>
  <c r="A2817" i="1"/>
  <c r="S2816" i="1"/>
  <c r="O2816" i="1"/>
  <c r="K2816" i="1"/>
  <c r="J2816" i="1"/>
  <c r="I2816" i="1"/>
  <c r="H2816" i="1"/>
  <c r="G2816" i="1"/>
  <c r="F2816" i="1"/>
  <c r="E2816" i="1"/>
  <c r="D2816" i="1"/>
  <c r="C2816" i="1"/>
  <c r="B2816" i="1"/>
  <c r="A2816" i="1"/>
  <c r="R2815" i="1"/>
  <c r="J2815" i="1"/>
  <c r="I2815" i="1"/>
  <c r="G2815" i="1"/>
  <c r="F2815" i="1"/>
  <c r="E2815" i="1"/>
  <c r="D2815" i="1"/>
  <c r="C2815" i="1"/>
  <c r="B2815" i="1"/>
  <c r="A2815" i="1"/>
  <c r="S2814" i="1"/>
  <c r="O2814" i="1"/>
  <c r="K2814" i="1"/>
  <c r="J2814" i="1"/>
  <c r="I2814" i="1"/>
  <c r="H2814" i="1"/>
  <c r="G2814" i="1"/>
  <c r="F2814" i="1"/>
  <c r="E2814" i="1"/>
  <c r="D2814" i="1"/>
  <c r="C2814" i="1"/>
  <c r="B2814" i="1"/>
  <c r="A2814" i="1"/>
  <c r="R2813" i="1"/>
  <c r="J2813" i="1"/>
  <c r="I2813" i="1"/>
  <c r="G2813" i="1"/>
  <c r="F2813" i="1"/>
  <c r="E2813" i="1"/>
  <c r="D2813" i="1"/>
  <c r="C2813" i="1"/>
  <c r="B2813" i="1"/>
  <c r="A2813" i="1"/>
  <c r="R2812" i="1"/>
  <c r="J2812" i="1"/>
  <c r="I2812" i="1"/>
  <c r="G2812" i="1"/>
  <c r="F2812" i="1"/>
  <c r="E2812" i="1"/>
  <c r="D2812" i="1"/>
  <c r="C2812" i="1"/>
  <c r="B2812" i="1"/>
  <c r="A2812" i="1"/>
  <c r="S2811" i="1"/>
  <c r="O2811" i="1"/>
  <c r="K2811" i="1"/>
  <c r="J2811" i="1"/>
  <c r="I2811" i="1"/>
  <c r="H2811" i="1"/>
  <c r="G2811" i="1"/>
  <c r="F2811" i="1"/>
  <c r="E2811" i="1"/>
  <c r="D2811" i="1"/>
  <c r="C2811" i="1"/>
  <c r="B2811" i="1"/>
  <c r="A2811" i="1"/>
  <c r="R2810" i="1"/>
  <c r="J2810" i="1"/>
  <c r="I2810" i="1"/>
  <c r="G2810" i="1"/>
  <c r="F2810" i="1"/>
  <c r="E2810" i="1"/>
  <c r="D2810" i="1"/>
  <c r="C2810" i="1"/>
  <c r="B2810" i="1"/>
  <c r="A2810" i="1"/>
  <c r="S2809" i="1"/>
  <c r="O2809" i="1"/>
  <c r="K2809" i="1"/>
  <c r="J2809" i="1"/>
  <c r="I2809" i="1"/>
  <c r="H2809" i="1"/>
  <c r="G2809" i="1"/>
  <c r="F2809" i="1"/>
  <c r="E2809" i="1"/>
  <c r="D2809" i="1"/>
  <c r="C2809" i="1"/>
  <c r="B2809" i="1"/>
  <c r="A2809" i="1"/>
  <c r="R2808" i="1"/>
  <c r="J2808" i="1"/>
  <c r="I2808" i="1"/>
  <c r="G2808" i="1"/>
  <c r="F2808" i="1"/>
  <c r="E2808" i="1"/>
  <c r="D2808" i="1"/>
  <c r="C2808" i="1"/>
  <c r="B2808" i="1"/>
  <c r="A2808" i="1"/>
  <c r="S2807" i="1"/>
  <c r="O2807" i="1"/>
  <c r="K2807" i="1"/>
  <c r="J2807" i="1"/>
  <c r="I2807" i="1"/>
  <c r="H2807" i="1"/>
  <c r="G2807" i="1"/>
  <c r="F2807" i="1"/>
  <c r="E2807" i="1"/>
  <c r="D2807" i="1"/>
  <c r="C2807" i="1"/>
  <c r="B2807" i="1"/>
  <c r="A2807" i="1"/>
  <c r="R2806" i="1"/>
  <c r="J2806" i="1"/>
  <c r="I2806" i="1"/>
  <c r="G2806" i="1"/>
  <c r="F2806" i="1"/>
  <c r="E2806" i="1"/>
  <c r="D2806" i="1"/>
  <c r="C2806" i="1"/>
  <c r="B2806" i="1"/>
  <c r="A2806" i="1"/>
  <c r="S2805" i="1"/>
  <c r="O2805" i="1"/>
  <c r="K2805" i="1"/>
  <c r="J2805" i="1"/>
  <c r="I2805" i="1"/>
  <c r="H2805" i="1"/>
  <c r="G2805" i="1"/>
  <c r="F2805" i="1"/>
  <c r="E2805" i="1"/>
  <c r="D2805" i="1"/>
  <c r="C2805" i="1"/>
  <c r="B2805" i="1"/>
  <c r="A2805" i="1"/>
  <c r="R2804" i="1"/>
  <c r="J2804" i="1"/>
  <c r="I2804" i="1"/>
  <c r="G2804" i="1"/>
  <c r="F2804" i="1"/>
  <c r="E2804" i="1"/>
  <c r="D2804" i="1"/>
  <c r="C2804" i="1"/>
  <c r="B2804" i="1"/>
  <c r="A2804" i="1"/>
  <c r="S2803" i="1"/>
  <c r="O2803" i="1"/>
  <c r="K2803" i="1"/>
  <c r="J2803" i="1"/>
  <c r="I2803" i="1"/>
  <c r="H2803" i="1"/>
  <c r="G2803" i="1"/>
  <c r="F2803" i="1"/>
  <c r="E2803" i="1"/>
  <c r="D2803" i="1"/>
  <c r="C2803" i="1"/>
  <c r="B2803" i="1"/>
  <c r="A2803" i="1"/>
  <c r="R2802" i="1"/>
  <c r="J2802" i="1"/>
  <c r="I2802" i="1"/>
  <c r="G2802" i="1"/>
  <c r="F2802" i="1"/>
  <c r="E2802" i="1"/>
  <c r="D2802" i="1"/>
  <c r="C2802" i="1"/>
  <c r="B2802" i="1"/>
  <c r="A2802" i="1"/>
  <c r="S2801" i="1"/>
  <c r="O2801" i="1"/>
  <c r="K2801" i="1"/>
  <c r="J2801" i="1"/>
  <c r="I2801" i="1"/>
  <c r="H2801" i="1"/>
  <c r="G2801" i="1"/>
  <c r="F2801" i="1"/>
  <c r="E2801" i="1"/>
  <c r="D2801" i="1"/>
  <c r="C2801" i="1"/>
  <c r="B2801" i="1"/>
  <c r="A2801" i="1"/>
  <c r="R2800" i="1"/>
  <c r="J2800" i="1"/>
  <c r="I2800" i="1"/>
  <c r="G2800" i="1"/>
  <c r="F2800" i="1"/>
  <c r="E2800" i="1"/>
  <c r="D2800" i="1"/>
  <c r="C2800" i="1"/>
  <c r="B2800" i="1"/>
  <c r="A2800" i="1"/>
  <c r="S2799" i="1"/>
  <c r="O2799" i="1"/>
  <c r="K2799" i="1"/>
  <c r="J2799" i="1"/>
  <c r="I2799" i="1"/>
  <c r="H2799" i="1"/>
  <c r="G2799" i="1"/>
  <c r="F2799" i="1"/>
  <c r="E2799" i="1"/>
  <c r="D2799" i="1"/>
  <c r="C2799" i="1"/>
  <c r="B2799" i="1"/>
  <c r="A2799" i="1"/>
  <c r="R2798" i="1"/>
  <c r="J2798" i="1"/>
  <c r="I2798" i="1"/>
  <c r="G2798" i="1"/>
  <c r="F2798" i="1"/>
  <c r="E2798" i="1"/>
  <c r="D2798" i="1"/>
  <c r="C2798" i="1"/>
  <c r="B2798" i="1"/>
  <c r="A2798" i="1"/>
  <c r="S2797" i="1"/>
  <c r="O2797" i="1"/>
  <c r="K2797" i="1"/>
  <c r="J2797" i="1"/>
  <c r="I2797" i="1"/>
  <c r="H2797" i="1"/>
  <c r="G2797" i="1"/>
  <c r="F2797" i="1"/>
  <c r="E2797" i="1"/>
  <c r="D2797" i="1"/>
  <c r="C2797" i="1"/>
  <c r="B2797" i="1"/>
  <c r="A2797" i="1"/>
  <c r="R2796" i="1"/>
  <c r="J2796" i="1"/>
  <c r="I2796" i="1"/>
  <c r="G2796" i="1"/>
  <c r="F2796" i="1"/>
  <c r="E2796" i="1"/>
  <c r="D2796" i="1"/>
  <c r="C2796" i="1"/>
  <c r="B2796" i="1"/>
  <c r="A2796" i="1"/>
  <c r="S2795" i="1"/>
  <c r="O2795" i="1"/>
  <c r="K2795" i="1"/>
  <c r="J2795" i="1"/>
  <c r="I2795" i="1"/>
  <c r="H2795" i="1"/>
  <c r="G2795" i="1"/>
  <c r="F2795" i="1"/>
  <c r="E2795" i="1"/>
  <c r="D2795" i="1"/>
  <c r="C2795" i="1"/>
  <c r="B2795" i="1"/>
  <c r="A2795" i="1"/>
  <c r="R2794" i="1"/>
  <c r="J2794" i="1"/>
  <c r="I2794" i="1"/>
  <c r="G2794" i="1"/>
  <c r="F2794" i="1"/>
  <c r="E2794" i="1"/>
  <c r="D2794" i="1"/>
  <c r="C2794" i="1"/>
  <c r="B2794" i="1"/>
  <c r="A2794" i="1"/>
  <c r="S2793" i="1"/>
  <c r="O2793" i="1"/>
  <c r="K2793" i="1"/>
  <c r="J2793" i="1"/>
  <c r="I2793" i="1"/>
  <c r="H2793" i="1"/>
  <c r="G2793" i="1"/>
  <c r="F2793" i="1"/>
  <c r="E2793" i="1"/>
  <c r="D2793" i="1"/>
  <c r="C2793" i="1"/>
  <c r="B2793" i="1"/>
  <c r="A2793" i="1"/>
  <c r="R2792" i="1"/>
  <c r="J2792" i="1"/>
  <c r="I2792" i="1"/>
  <c r="G2792" i="1"/>
  <c r="F2792" i="1"/>
  <c r="E2792" i="1"/>
  <c r="D2792" i="1"/>
  <c r="C2792" i="1"/>
  <c r="B2792" i="1"/>
  <c r="A2792" i="1"/>
  <c r="S2791" i="1"/>
  <c r="O2791" i="1"/>
  <c r="K2791" i="1"/>
  <c r="J2791" i="1"/>
  <c r="I2791" i="1"/>
  <c r="H2791" i="1"/>
  <c r="G2791" i="1"/>
  <c r="F2791" i="1"/>
  <c r="E2791" i="1"/>
  <c r="D2791" i="1"/>
  <c r="C2791" i="1"/>
  <c r="B2791" i="1"/>
  <c r="A2791" i="1"/>
  <c r="R2790" i="1"/>
  <c r="J2790" i="1"/>
  <c r="I2790" i="1"/>
  <c r="G2790" i="1"/>
  <c r="F2790" i="1"/>
  <c r="E2790" i="1"/>
  <c r="D2790" i="1"/>
  <c r="C2790" i="1"/>
  <c r="B2790" i="1"/>
  <c r="A2790" i="1"/>
  <c r="S2789" i="1"/>
  <c r="O2789" i="1"/>
  <c r="K2789" i="1"/>
  <c r="J2789" i="1"/>
  <c r="I2789" i="1"/>
  <c r="H2789" i="1"/>
  <c r="G2789" i="1"/>
  <c r="F2789" i="1"/>
  <c r="E2789" i="1"/>
  <c r="D2789" i="1"/>
  <c r="C2789" i="1"/>
  <c r="B2789" i="1"/>
  <c r="A2789" i="1"/>
  <c r="R2788" i="1"/>
  <c r="J2788" i="1"/>
  <c r="I2788" i="1"/>
  <c r="G2788" i="1"/>
  <c r="F2788" i="1"/>
  <c r="E2788" i="1"/>
  <c r="D2788" i="1"/>
  <c r="C2788" i="1"/>
  <c r="B2788" i="1"/>
  <c r="A2788" i="1"/>
  <c r="S2787" i="1"/>
  <c r="O2787" i="1"/>
  <c r="K2787" i="1"/>
  <c r="J2787" i="1"/>
  <c r="I2787" i="1"/>
  <c r="H2787" i="1"/>
  <c r="G2787" i="1"/>
  <c r="F2787" i="1"/>
  <c r="E2787" i="1"/>
  <c r="D2787" i="1"/>
  <c r="C2787" i="1"/>
  <c r="B2787" i="1"/>
  <c r="A2787" i="1"/>
  <c r="R2786" i="1"/>
  <c r="J2786" i="1"/>
  <c r="I2786" i="1"/>
  <c r="G2786" i="1"/>
  <c r="F2786" i="1"/>
  <c r="E2786" i="1"/>
  <c r="D2786" i="1"/>
  <c r="C2786" i="1"/>
  <c r="B2786" i="1"/>
  <c r="A2786" i="1"/>
  <c r="S2785" i="1"/>
  <c r="O2785" i="1"/>
  <c r="K2785" i="1"/>
  <c r="J2785" i="1"/>
  <c r="I2785" i="1"/>
  <c r="H2785" i="1"/>
  <c r="G2785" i="1"/>
  <c r="F2785" i="1"/>
  <c r="E2785" i="1"/>
  <c r="D2785" i="1"/>
  <c r="C2785" i="1"/>
  <c r="B2785" i="1"/>
  <c r="A2785" i="1"/>
  <c r="R2784" i="1"/>
  <c r="J2784" i="1"/>
  <c r="I2784" i="1"/>
  <c r="G2784" i="1"/>
  <c r="F2784" i="1"/>
  <c r="E2784" i="1"/>
  <c r="D2784" i="1"/>
  <c r="C2784" i="1"/>
  <c r="B2784" i="1"/>
  <c r="A2784" i="1"/>
  <c r="S2783" i="1"/>
  <c r="O2783" i="1"/>
  <c r="K2783" i="1"/>
  <c r="J2783" i="1"/>
  <c r="I2783" i="1"/>
  <c r="H2783" i="1"/>
  <c r="G2783" i="1"/>
  <c r="F2783" i="1"/>
  <c r="E2783" i="1"/>
  <c r="D2783" i="1"/>
  <c r="C2783" i="1"/>
  <c r="B2783" i="1"/>
  <c r="A2783" i="1"/>
  <c r="R2782" i="1"/>
  <c r="J2782" i="1"/>
  <c r="I2782" i="1"/>
  <c r="G2782" i="1"/>
  <c r="F2782" i="1"/>
  <c r="E2782" i="1"/>
  <c r="D2782" i="1"/>
  <c r="C2782" i="1"/>
  <c r="B2782" i="1"/>
  <c r="A2782" i="1"/>
  <c r="S2781" i="1"/>
  <c r="O2781" i="1"/>
  <c r="K2781" i="1"/>
  <c r="J2781" i="1"/>
  <c r="I2781" i="1"/>
  <c r="H2781" i="1"/>
  <c r="G2781" i="1"/>
  <c r="F2781" i="1"/>
  <c r="E2781" i="1"/>
  <c r="D2781" i="1"/>
  <c r="C2781" i="1"/>
  <c r="B2781" i="1"/>
  <c r="A2781" i="1"/>
  <c r="R2780" i="1"/>
  <c r="J2780" i="1"/>
  <c r="I2780" i="1"/>
  <c r="G2780" i="1"/>
  <c r="F2780" i="1"/>
  <c r="E2780" i="1"/>
  <c r="D2780" i="1"/>
  <c r="C2780" i="1"/>
  <c r="B2780" i="1"/>
  <c r="A2780" i="1"/>
  <c r="S2779" i="1"/>
  <c r="O2779" i="1"/>
  <c r="K2779" i="1"/>
  <c r="J2779" i="1"/>
  <c r="I2779" i="1"/>
  <c r="H2779" i="1"/>
  <c r="G2779" i="1"/>
  <c r="F2779" i="1"/>
  <c r="E2779" i="1"/>
  <c r="D2779" i="1"/>
  <c r="C2779" i="1"/>
  <c r="B2779" i="1"/>
  <c r="A2779" i="1"/>
  <c r="R2778" i="1"/>
  <c r="J2778" i="1"/>
  <c r="I2778" i="1"/>
  <c r="G2778" i="1"/>
  <c r="F2778" i="1"/>
  <c r="E2778" i="1"/>
  <c r="D2778" i="1"/>
  <c r="C2778" i="1"/>
  <c r="B2778" i="1"/>
  <c r="A2778" i="1"/>
  <c r="S2777" i="1"/>
  <c r="O2777" i="1"/>
  <c r="K2777" i="1"/>
  <c r="J2777" i="1"/>
  <c r="I2777" i="1"/>
  <c r="H2777" i="1"/>
  <c r="G2777" i="1"/>
  <c r="F2777" i="1"/>
  <c r="E2777" i="1"/>
  <c r="D2777" i="1"/>
  <c r="C2777" i="1"/>
  <c r="B2777" i="1"/>
  <c r="A2777" i="1"/>
  <c r="R2776" i="1"/>
  <c r="J2776" i="1"/>
  <c r="I2776" i="1"/>
  <c r="G2776" i="1"/>
  <c r="F2776" i="1"/>
  <c r="E2776" i="1"/>
  <c r="D2776" i="1"/>
  <c r="C2776" i="1"/>
  <c r="B2776" i="1"/>
  <c r="A2776" i="1"/>
  <c r="S2775" i="1"/>
  <c r="O2775" i="1"/>
  <c r="K2775" i="1"/>
  <c r="J2775" i="1"/>
  <c r="I2775" i="1"/>
  <c r="H2775" i="1"/>
  <c r="G2775" i="1"/>
  <c r="F2775" i="1"/>
  <c r="E2775" i="1"/>
  <c r="D2775" i="1"/>
  <c r="C2775" i="1"/>
  <c r="B2775" i="1"/>
  <c r="A2775" i="1"/>
  <c r="R2774" i="1"/>
  <c r="J2774" i="1"/>
  <c r="I2774" i="1"/>
  <c r="G2774" i="1"/>
  <c r="F2774" i="1"/>
  <c r="E2774" i="1"/>
  <c r="D2774" i="1"/>
  <c r="C2774" i="1"/>
  <c r="B2774" i="1"/>
  <c r="A2774" i="1"/>
  <c r="S2773" i="1"/>
  <c r="O2773" i="1"/>
  <c r="K2773" i="1"/>
  <c r="J2773" i="1"/>
  <c r="I2773" i="1"/>
  <c r="H2773" i="1"/>
  <c r="G2773" i="1"/>
  <c r="F2773" i="1"/>
  <c r="E2773" i="1"/>
  <c r="D2773" i="1"/>
  <c r="C2773" i="1"/>
  <c r="B2773" i="1"/>
  <c r="A2773" i="1"/>
  <c r="R2772" i="1"/>
  <c r="J2772" i="1"/>
  <c r="I2772" i="1"/>
  <c r="G2772" i="1"/>
  <c r="F2772" i="1"/>
  <c r="E2772" i="1"/>
  <c r="D2772" i="1"/>
  <c r="C2772" i="1"/>
  <c r="B2772" i="1"/>
  <c r="A2772" i="1"/>
  <c r="R2771" i="1"/>
  <c r="J2771" i="1"/>
  <c r="I2771" i="1"/>
  <c r="G2771" i="1"/>
  <c r="F2771" i="1"/>
  <c r="E2771" i="1"/>
  <c r="D2771" i="1"/>
  <c r="C2771" i="1"/>
  <c r="B2771" i="1"/>
  <c r="A2771" i="1"/>
  <c r="S2770" i="1"/>
  <c r="O2770" i="1"/>
  <c r="K2770" i="1"/>
  <c r="J2770" i="1"/>
  <c r="I2770" i="1"/>
  <c r="H2770" i="1"/>
  <c r="G2770" i="1"/>
  <c r="F2770" i="1"/>
  <c r="E2770" i="1"/>
  <c r="D2770" i="1"/>
  <c r="C2770" i="1"/>
  <c r="B2770" i="1"/>
  <c r="A2770" i="1"/>
  <c r="R2769" i="1"/>
  <c r="J2769" i="1"/>
  <c r="I2769" i="1"/>
  <c r="G2769" i="1"/>
  <c r="F2769" i="1"/>
  <c r="E2769" i="1"/>
  <c r="D2769" i="1"/>
  <c r="C2769" i="1"/>
  <c r="B2769" i="1"/>
  <c r="A2769" i="1"/>
  <c r="R2768" i="1"/>
  <c r="J2768" i="1"/>
  <c r="I2768" i="1"/>
  <c r="G2768" i="1"/>
  <c r="F2768" i="1"/>
  <c r="E2768" i="1"/>
  <c r="D2768" i="1"/>
  <c r="C2768" i="1"/>
  <c r="B2768" i="1"/>
  <c r="A2768" i="1"/>
  <c r="S2767" i="1"/>
  <c r="O2767" i="1"/>
  <c r="K2767" i="1"/>
  <c r="J2767" i="1"/>
  <c r="I2767" i="1"/>
  <c r="H2767" i="1"/>
  <c r="G2767" i="1"/>
  <c r="F2767" i="1"/>
  <c r="E2767" i="1"/>
  <c r="D2767" i="1"/>
  <c r="C2767" i="1"/>
  <c r="B2767" i="1"/>
  <c r="A2767" i="1"/>
  <c r="R2766" i="1"/>
  <c r="J2766" i="1"/>
  <c r="I2766" i="1"/>
  <c r="G2766" i="1"/>
  <c r="F2766" i="1"/>
  <c r="E2766" i="1"/>
  <c r="D2766" i="1"/>
  <c r="C2766" i="1"/>
  <c r="B2766" i="1"/>
  <c r="A2766" i="1"/>
  <c r="R2765" i="1"/>
  <c r="J2765" i="1"/>
  <c r="I2765" i="1"/>
  <c r="G2765" i="1"/>
  <c r="F2765" i="1"/>
  <c r="E2765" i="1"/>
  <c r="D2765" i="1"/>
  <c r="C2765" i="1"/>
  <c r="B2765" i="1"/>
  <c r="A2765" i="1"/>
  <c r="S2764" i="1"/>
  <c r="O2764" i="1"/>
  <c r="K2764" i="1"/>
  <c r="J2764" i="1"/>
  <c r="I2764" i="1"/>
  <c r="H2764" i="1"/>
  <c r="G2764" i="1"/>
  <c r="F2764" i="1"/>
  <c r="E2764" i="1"/>
  <c r="D2764" i="1"/>
  <c r="C2764" i="1"/>
  <c r="B2764" i="1"/>
  <c r="A2764" i="1"/>
  <c r="R2763" i="1"/>
  <c r="J2763" i="1"/>
  <c r="I2763" i="1"/>
  <c r="G2763" i="1"/>
  <c r="F2763" i="1"/>
  <c r="E2763" i="1"/>
  <c r="D2763" i="1"/>
  <c r="C2763" i="1"/>
  <c r="B2763" i="1"/>
  <c r="A2763" i="1"/>
  <c r="S2762" i="1"/>
  <c r="O2762" i="1"/>
  <c r="K2762" i="1"/>
  <c r="J2762" i="1"/>
  <c r="I2762" i="1"/>
  <c r="H2762" i="1"/>
  <c r="G2762" i="1"/>
  <c r="F2762" i="1"/>
  <c r="E2762" i="1"/>
  <c r="D2762" i="1"/>
  <c r="C2762" i="1"/>
  <c r="B2762" i="1"/>
  <c r="A2762" i="1"/>
  <c r="R2761" i="1"/>
  <c r="J2761" i="1"/>
  <c r="I2761" i="1"/>
  <c r="G2761" i="1"/>
  <c r="F2761" i="1"/>
  <c r="E2761" i="1"/>
  <c r="D2761" i="1"/>
  <c r="C2761" i="1"/>
  <c r="B2761" i="1"/>
  <c r="A2761" i="1"/>
  <c r="S2760" i="1"/>
  <c r="O2760" i="1"/>
  <c r="K2760" i="1"/>
  <c r="J2760" i="1"/>
  <c r="I2760" i="1"/>
  <c r="H2760" i="1"/>
  <c r="G2760" i="1"/>
  <c r="F2760" i="1"/>
  <c r="E2760" i="1"/>
  <c r="D2760" i="1"/>
  <c r="C2760" i="1"/>
  <c r="B2760" i="1"/>
  <c r="A2760" i="1"/>
  <c r="R2759" i="1"/>
  <c r="J2759" i="1"/>
  <c r="I2759" i="1"/>
  <c r="G2759" i="1"/>
  <c r="F2759" i="1"/>
  <c r="E2759" i="1"/>
  <c r="D2759" i="1"/>
  <c r="C2759" i="1"/>
  <c r="B2759" i="1"/>
  <c r="A2759" i="1"/>
  <c r="S2758" i="1"/>
  <c r="O2758" i="1"/>
  <c r="K2758" i="1"/>
  <c r="J2758" i="1"/>
  <c r="I2758" i="1"/>
  <c r="H2758" i="1"/>
  <c r="G2758" i="1"/>
  <c r="F2758" i="1"/>
  <c r="E2758" i="1"/>
  <c r="D2758" i="1"/>
  <c r="C2758" i="1"/>
  <c r="B2758" i="1"/>
  <c r="A2758" i="1"/>
  <c r="R2757" i="1"/>
  <c r="J2757" i="1"/>
  <c r="I2757" i="1"/>
  <c r="G2757" i="1"/>
  <c r="F2757" i="1"/>
  <c r="E2757" i="1"/>
  <c r="D2757" i="1"/>
  <c r="C2757" i="1"/>
  <c r="B2757" i="1"/>
  <c r="A2757" i="1"/>
  <c r="S2756" i="1"/>
  <c r="O2756" i="1"/>
  <c r="K2756" i="1"/>
  <c r="J2756" i="1"/>
  <c r="I2756" i="1"/>
  <c r="H2756" i="1"/>
  <c r="G2756" i="1"/>
  <c r="F2756" i="1"/>
  <c r="E2756" i="1"/>
  <c r="D2756" i="1"/>
  <c r="C2756" i="1"/>
  <c r="B2756" i="1"/>
  <c r="A2756" i="1"/>
  <c r="R2755" i="1"/>
  <c r="J2755" i="1"/>
  <c r="I2755" i="1"/>
  <c r="G2755" i="1"/>
  <c r="F2755" i="1"/>
  <c r="E2755" i="1"/>
  <c r="D2755" i="1"/>
  <c r="C2755" i="1"/>
  <c r="B2755" i="1"/>
  <c r="A2755" i="1"/>
  <c r="S2754" i="1"/>
  <c r="O2754" i="1"/>
  <c r="K2754" i="1"/>
  <c r="J2754" i="1"/>
  <c r="I2754" i="1"/>
  <c r="H2754" i="1"/>
  <c r="G2754" i="1"/>
  <c r="F2754" i="1"/>
  <c r="E2754" i="1"/>
  <c r="D2754" i="1"/>
  <c r="C2754" i="1"/>
  <c r="B2754" i="1"/>
  <c r="A2754" i="1"/>
  <c r="R2753" i="1"/>
  <c r="J2753" i="1"/>
  <c r="I2753" i="1"/>
  <c r="G2753" i="1"/>
  <c r="F2753" i="1"/>
  <c r="E2753" i="1"/>
  <c r="D2753" i="1"/>
  <c r="C2753" i="1"/>
  <c r="B2753" i="1"/>
  <c r="A2753" i="1"/>
  <c r="S2752" i="1"/>
  <c r="O2752" i="1"/>
  <c r="K2752" i="1"/>
  <c r="J2752" i="1"/>
  <c r="I2752" i="1"/>
  <c r="H2752" i="1"/>
  <c r="G2752" i="1"/>
  <c r="F2752" i="1"/>
  <c r="E2752" i="1"/>
  <c r="D2752" i="1"/>
  <c r="C2752" i="1"/>
  <c r="B2752" i="1"/>
  <c r="A2752" i="1"/>
  <c r="R2751" i="1"/>
  <c r="J2751" i="1"/>
  <c r="I2751" i="1"/>
  <c r="G2751" i="1"/>
  <c r="F2751" i="1"/>
  <c r="E2751" i="1"/>
  <c r="D2751" i="1"/>
  <c r="C2751" i="1"/>
  <c r="B2751" i="1"/>
  <c r="A2751" i="1"/>
  <c r="S2750" i="1"/>
  <c r="O2750" i="1"/>
  <c r="K2750" i="1"/>
  <c r="J2750" i="1"/>
  <c r="I2750" i="1"/>
  <c r="H2750" i="1"/>
  <c r="G2750" i="1"/>
  <c r="F2750" i="1"/>
  <c r="E2750" i="1"/>
  <c r="D2750" i="1"/>
  <c r="C2750" i="1"/>
  <c r="B2750" i="1"/>
  <c r="A2750" i="1"/>
  <c r="R2749" i="1"/>
  <c r="J2749" i="1"/>
  <c r="I2749" i="1"/>
  <c r="G2749" i="1"/>
  <c r="F2749" i="1"/>
  <c r="E2749" i="1"/>
  <c r="D2749" i="1"/>
  <c r="C2749" i="1"/>
  <c r="B2749" i="1"/>
  <c r="A2749" i="1"/>
  <c r="S2748" i="1"/>
  <c r="O2748" i="1"/>
  <c r="K2748" i="1"/>
  <c r="J2748" i="1"/>
  <c r="I2748" i="1"/>
  <c r="H2748" i="1"/>
  <c r="G2748" i="1"/>
  <c r="F2748" i="1"/>
  <c r="E2748" i="1"/>
  <c r="D2748" i="1"/>
  <c r="C2748" i="1"/>
  <c r="B2748" i="1"/>
  <c r="A2748" i="1"/>
  <c r="R2747" i="1"/>
  <c r="J2747" i="1"/>
  <c r="I2747" i="1"/>
  <c r="G2747" i="1"/>
  <c r="F2747" i="1"/>
  <c r="E2747" i="1"/>
  <c r="D2747" i="1"/>
  <c r="C2747" i="1"/>
  <c r="B2747" i="1"/>
  <c r="A2747" i="1"/>
  <c r="S2746" i="1"/>
  <c r="O2746" i="1"/>
  <c r="K2746" i="1"/>
  <c r="J2746" i="1"/>
  <c r="I2746" i="1"/>
  <c r="H2746" i="1"/>
  <c r="G2746" i="1"/>
  <c r="F2746" i="1"/>
  <c r="E2746" i="1"/>
  <c r="D2746" i="1"/>
  <c r="C2746" i="1"/>
  <c r="B2746" i="1"/>
  <c r="A2746" i="1"/>
  <c r="R2745" i="1"/>
  <c r="J2745" i="1"/>
  <c r="I2745" i="1"/>
  <c r="G2745" i="1"/>
  <c r="F2745" i="1"/>
  <c r="E2745" i="1"/>
  <c r="D2745" i="1"/>
  <c r="C2745" i="1"/>
  <c r="B2745" i="1"/>
  <c r="A2745" i="1"/>
  <c r="S2744" i="1"/>
  <c r="O2744" i="1"/>
  <c r="K2744" i="1"/>
  <c r="J2744" i="1"/>
  <c r="I2744" i="1"/>
  <c r="H2744" i="1"/>
  <c r="G2744" i="1"/>
  <c r="F2744" i="1"/>
  <c r="E2744" i="1"/>
  <c r="D2744" i="1"/>
  <c r="C2744" i="1"/>
  <c r="B2744" i="1"/>
  <c r="A2744" i="1"/>
  <c r="R2743" i="1"/>
  <c r="J2743" i="1"/>
  <c r="I2743" i="1"/>
  <c r="G2743" i="1"/>
  <c r="F2743" i="1"/>
  <c r="E2743" i="1"/>
  <c r="D2743" i="1"/>
  <c r="C2743" i="1"/>
  <c r="B2743" i="1"/>
  <c r="A2743" i="1"/>
  <c r="S2742" i="1"/>
  <c r="O2742" i="1"/>
  <c r="K2742" i="1"/>
  <c r="J2742" i="1"/>
  <c r="I2742" i="1"/>
  <c r="H2742" i="1"/>
  <c r="G2742" i="1"/>
  <c r="F2742" i="1"/>
  <c r="E2742" i="1"/>
  <c r="D2742" i="1"/>
  <c r="C2742" i="1"/>
  <c r="B2742" i="1"/>
  <c r="A2742" i="1"/>
  <c r="R2741" i="1"/>
  <c r="J2741" i="1"/>
  <c r="I2741" i="1"/>
  <c r="G2741" i="1"/>
  <c r="F2741" i="1"/>
  <c r="E2741" i="1"/>
  <c r="D2741" i="1"/>
  <c r="C2741" i="1"/>
  <c r="B2741" i="1"/>
  <c r="A2741" i="1"/>
  <c r="S2740" i="1"/>
  <c r="O2740" i="1"/>
  <c r="K2740" i="1"/>
  <c r="J2740" i="1"/>
  <c r="I2740" i="1"/>
  <c r="H2740" i="1"/>
  <c r="G2740" i="1"/>
  <c r="F2740" i="1"/>
  <c r="E2740" i="1"/>
  <c r="D2740" i="1"/>
  <c r="C2740" i="1"/>
  <c r="B2740" i="1"/>
  <c r="A2740" i="1"/>
  <c r="R2739" i="1"/>
  <c r="J2739" i="1"/>
  <c r="I2739" i="1"/>
  <c r="G2739" i="1"/>
  <c r="F2739" i="1"/>
  <c r="E2739" i="1"/>
  <c r="D2739" i="1"/>
  <c r="C2739" i="1"/>
  <c r="B2739" i="1"/>
  <c r="A2739" i="1"/>
  <c r="S2738" i="1"/>
  <c r="O2738" i="1"/>
  <c r="K2738" i="1"/>
  <c r="J2738" i="1"/>
  <c r="I2738" i="1"/>
  <c r="H2738" i="1"/>
  <c r="G2738" i="1"/>
  <c r="F2738" i="1"/>
  <c r="E2738" i="1"/>
  <c r="D2738" i="1"/>
  <c r="C2738" i="1"/>
  <c r="B2738" i="1"/>
  <c r="A2738" i="1"/>
  <c r="R2737" i="1"/>
  <c r="J2737" i="1"/>
  <c r="I2737" i="1"/>
  <c r="G2737" i="1"/>
  <c r="F2737" i="1"/>
  <c r="E2737" i="1"/>
  <c r="D2737" i="1"/>
  <c r="C2737" i="1"/>
  <c r="B2737" i="1"/>
  <c r="A2737" i="1"/>
  <c r="S2736" i="1"/>
  <c r="O2736" i="1"/>
  <c r="K2736" i="1"/>
  <c r="J2736" i="1"/>
  <c r="I2736" i="1"/>
  <c r="H2736" i="1"/>
  <c r="G2736" i="1"/>
  <c r="F2736" i="1"/>
  <c r="E2736" i="1"/>
  <c r="D2736" i="1"/>
  <c r="C2736" i="1"/>
  <c r="B2736" i="1"/>
  <c r="A2736" i="1"/>
  <c r="R2735" i="1"/>
  <c r="J2735" i="1"/>
  <c r="I2735" i="1"/>
  <c r="G2735" i="1"/>
  <c r="F2735" i="1"/>
  <c r="E2735" i="1"/>
  <c r="D2735" i="1"/>
  <c r="C2735" i="1"/>
  <c r="B2735" i="1"/>
  <c r="A2735" i="1"/>
  <c r="S2734" i="1"/>
  <c r="O2734" i="1"/>
  <c r="K2734" i="1"/>
  <c r="J2734" i="1"/>
  <c r="I2734" i="1"/>
  <c r="H2734" i="1"/>
  <c r="G2734" i="1"/>
  <c r="F2734" i="1"/>
  <c r="E2734" i="1"/>
  <c r="D2734" i="1"/>
  <c r="C2734" i="1"/>
  <c r="B2734" i="1"/>
  <c r="A2734" i="1"/>
  <c r="R2733" i="1"/>
  <c r="J2733" i="1"/>
  <c r="I2733" i="1"/>
  <c r="G2733" i="1"/>
  <c r="F2733" i="1"/>
  <c r="E2733" i="1"/>
  <c r="D2733" i="1"/>
  <c r="C2733" i="1"/>
  <c r="B2733" i="1"/>
  <c r="A2733" i="1"/>
  <c r="S2732" i="1"/>
  <c r="O2732" i="1"/>
  <c r="K2732" i="1"/>
  <c r="J2732" i="1"/>
  <c r="I2732" i="1"/>
  <c r="H2732" i="1"/>
  <c r="G2732" i="1"/>
  <c r="F2732" i="1"/>
  <c r="E2732" i="1"/>
  <c r="D2732" i="1"/>
  <c r="C2732" i="1"/>
  <c r="B2732" i="1"/>
  <c r="A2732" i="1"/>
  <c r="R2731" i="1"/>
  <c r="J2731" i="1"/>
  <c r="I2731" i="1"/>
  <c r="G2731" i="1"/>
  <c r="F2731" i="1"/>
  <c r="E2731" i="1"/>
  <c r="D2731" i="1"/>
  <c r="C2731" i="1"/>
  <c r="B2731" i="1"/>
  <c r="A2731" i="1"/>
  <c r="R2730" i="1"/>
  <c r="J2730" i="1"/>
  <c r="I2730" i="1"/>
  <c r="G2730" i="1"/>
  <c r="F2730" i="1"/>
  <c r="E2730" i="1"/>
  <c r="D2730" i="1"/>
  <c r="C2730" i="1"/>
  <c r="B2730" i="1"/>
  <c r="A2730" i="1"/>
  <c r="S2729" i="1"/>
  <c r="O2729" i="1"/>
  <c r="K2729" i="1"/>
  <c r="J2729" i="1"/>
  <c r="I2729" i="1"/>
  <c r="H2729" i="1"/>
  <c r="G2729" i="1"/>
  <c r="F2729" i="1"/>
  <c r="E2729" i="1"/>
  <c r="D2729" i="1"/>
  <c r="C2729" i="1"/>
  <c r="B2729" i="1"/>
  <c r="A2729" i="1"/>
  <c r="R2728" i="1"/>
  <c r="J2728" i="1"/>
  <c r="I2728" i="1"/>
  <c r="G2728" i="1"/>
  <c r="F2728" i="1"/>
  <c r="E2728" i="1"/>
  <c r="D2728" i="1"/>
  <c r="C2728" i="1"/>
  <c r="B2728" i="1"/>
  <c r="A2728" i="1"/>
  <c r="S2727" i="1"/>
  <c r="O2727" i="1"/>
  <c r="K2727" i="1"/>
  <c r="J2727" i="1"/>
  <c r="I2727" i="1"/>
  <c r="H2727" i="1"/>
  <c r="G2727" i="1"/>
  <c r="F2727" i="1"/>
  <c r="E2727" i="1"/>
  <c r="D2727" i="1"/>
  <c r="C2727" i="1"/>
  <c r="B2727" i="1"/>
  <c r="A2727" i="1"/>
  <c r="R2726" i="1"/>
  <c r="J2726" i="1"/>
  <c r="I2726" i="1"/>
  <c r="G2726" i="1"/>
  <c r="F2726" i="1"/>
  <c r="E2726" i="1"/>
  <c r="D2726" i="1"/>
  <c r="C2726" i="1"/>
  <c r="B2726" i="1"/>
  <c r="A2726" i="1"/>
  <c r="R2725" i="1"/>
  <c r="J2725" i="1"/>
  <c r="I2725" i="1"/>
  <c r="G2725" i="1"/>
  <c r="F2725" i="1"/>
  <c r="E2725" i="1"/>
  <c r="D2725" i="1"/>
  <c r="C2725" i="1"/>
  <c r="B2725" i="1"/>
  <c r="A2725" i="1"/>
  <c r="S2724" i="1"/>
  <c r="O2724" i="1"/>
  <c r="K2724" i="1"/>
  <c r="J2724" i="1"/>
  <c r="I2724" i="1"/>
  <c r="H2724" i="1"/>
  <c r="G2724" i="1"/>
  <c r="F2724" i="1"/>
  <c r="E2724" i="1"/>
  <c r="D2724" i="1"/>
  <c r="C2724" i="1"/>
  <c r="B2724" i="1"/>
  <c r="A2724" i="1"/>
  <c r="R2723" i="1"/>
  <c r="J2723" i="1"/>
  <c r="I2723" i="1"/>
  <c r="G2723" i="1"/>
  <c r="F2723" i="1"/>
  <c r="E2723" i="1"/>
  <c r="D2723" i="1"/>
  <c r="C2723" i="1"/>
  <c r="B2723" i="1"/>
  <c r="A2723" i="1"/>
  <c r="S2722" i="1"/>
  <c r="O2722" i="1"/>
  <c r="K2722" i="1"/>
  <c r="J2722" i="1"/>
  <c r="I2722" i="1"/>
  <c r="H2722" i="1"/>
  <c r="G2722" i="1"/>
  <c r="F2722" i="1"/>
  <c r="E2722" i="1"/>
  <c r="D2722" i="1"/>
  <c r="C2722" i="1"/>
  <c r="B2722" i="1"/>
  <c r="A2722" i="1"/>
  <c r="R2721" i="1"/>
  <c r="J2721" i="1"/>
  <c r="I2721" i="1"/>
  <c r="G2721" i="1"/>
  <c r="F2721" i="1"/>
  <c r="E2721" i="1"/>
  <c r="D2721" i="1"/>
  <c r="C2721" i="1"/>
  <c r="B2721" i="1"/>
  <c r="A2721" i="1"/>
  <c r="S2720" i="1"/>
  <c r="O2720" i="1"/>
  <c r="K2720" i="1"/>
  <c r="J2720" i="1"/>
  <c r="I2720" i="1"/>
  <c r="H2720" i="1"/>
  <c r="G2720" i="1"/>
  <c r="F2720" i="1"/>
  <c r="E2720" i="1"/>
  <c r="D2720" i="1"/>
  <c r="C2720" i="1"/>
  <c r="B2720" i="1"/>
  <c r="A2720" i="1"/>
  <c r="R2719" i="1"/>
  <c r="J2719" i="1"/>
  <c r="I2719" i="1"/>
  <c r="G2719" i="1"/>
  <c r="F2719" i="1"/>
  <c r="E2719" i="1"/>
  <c r="D2719" i="1"/>
  <c r="C2719" i="1"/>
  <c r="B2719" i="1"/>
  <c r="A2719" i="1"/>
  <c r="S2718" i="1"/>
  <c r="O2718" i="1"/>
  <c r="K2718" i="1"/>
  <c r="J2718" i="1"/>
  <c r="I2718" i="1"/>
  <c r="H2718" i="1"/>
  <c r="G2718" i="1"/>
  <c r="F2718" i="1"/>
  <c r="E2718" i="1"/>
  <c r="D2718" i="1"/>
  <c r="C2718" i="1"/>
  <c r="B2718" i="1"/>
  <c r="A2718" i="1"/>
  <c r="R2717" i="1"/>
  <c r="J2717" i="1"/>
  <c r="I2717" i="1"/>
  <c r="G2717" i="1"/>
  <c r="F2717" i="1"/>
  <c r="E2717" i="1"/>
  <c r="D2717" i="1"/>
  <c r="C2717" i="1"/>
  <c r="B2717" i="1"/>
  <c r="A2717" i="1"/>
  <c r="S2716" i="1"/>
  <c r="O2716" i="1"/>
  <c r="K2716" i="1"/>
  <c r="J2716" i="1"/>
  <c r="I2716" i="1"/>
  <c r="H2716" i="1"/>
  <c r="G2716" i="1"/>
  <c r="F2716" i="1"/>
  <c r="E2716" i="1"/>
  <c r="D2716" i="1"/>
  <c r="C2716" i="1"/>
  <c r="B2716" i="1"/>
  <c r="A2716" i="1"/>
  <c r="R2715" i="1"/>
  <c r="J2715" i="1"/>
  <c r="I2715" i="1"/>
  <c r="G2715" i="1"/>
  <c r="F2715" i="1"/>
  <c r="E2715" i="1"/>
  <c r="D2715" i="1"/>
  <c r="C2715" i="1"/>
  <c r="B2715" i="1"/>
  <c r="A2715" i="1"/>
  <c r="S2714" i="1"/>
  <c r="O2714" i="1"/>
  <c r="K2714" i="1"/>
  <c r="J2714" i="1"/>
  <c r="I2714" i="1"/>
  <c r="H2714" i="1"/>
  <c r="G2714" i="1"/>
  <c r="F2714" i="1"/>
  <c r="E2714" i="1"/>
  <c r="D2714" i="1"/>
  <c r="C2714" i="1"/>
  <c r="B2714" i="1"/>
  <c r="A2714" i="1"/>
  <c r="R2713" i="1"/>
  <c r="J2713" i="1"/>
  <c r="I2713" i="1"/>
  <c r="G2713" i="1"/>
  <c r="F2713" i="1"/>
  <c r="E2713" i="1"/>
  <c r="D2713" i="1"/>
  <c r="C2713" i="1"/>
  <c r="B2713" i="1"/>
  <c r="A2713" i="1"/>
  <c r="R2712" i="1"/>
  <c r="J2712" i="1"/>
  <c r="I2712" i="1"/>
  <c r="G2712" i="1"/>
  <c r="F2712" i="1"/>
  <c r="E2712" i="1"/>
  <c r="D2712" i="1"/>
  <c r="C2712" i="1"/>
  <c r="B2712" i="1"/>
  <c r="A2712" i="1"/>
  <c r="S2711" i="1"/>
  <c r="O2711" i="1"/>
  <c r="K2711" i="1"/>
  <c r="J2711" i="1"/>
  <c r="I2711" i="1"/>
  <c r="H2711" i="1"/>
  <c r="G2711" i="1"/>
  <c r="F2711" i="1"/>
  <c r="E2711" i="1"/>
  <c r="D2711" i="1"/>
  <c r="C2711" i="1"/>
  <c r="B2711" i="1"/>
  <c r="A2711" i="1"/>
  <c r="R2710" i="1"/>
  <c r="J2710" i="1"/>
  <c r="I2710" i="1"/>
  <c r="G2710" i="1"/>
  <c r="F2710" i="1"/>
  <c r="E2710" i="1"/>
  <c r="D2710" i="1"/>
  <c r="C2710" i="1"/>
  <c r="B2710" i="1"/>
  <c r="A2710" i="1"/>
  <c r="R2709" i="1"/>
  <c r="J2709" i="1"/>
  <c r="I2709" i="1"/>
  <c r="G2709" i="1"/>
  <c r="F2709" i="1"/>
  <c r="E2709" i="1"/>
  <c r="D2709" i="1"/>
  <c r="C2709" i="1"/>
  <c r="B2709" i="1"/>
  <c r="A2709" i="1"/>
  <c r="S2708" i="1"/>
  <c r="O2708" i="1"/>
  <c r="K2708" i="1"/>
  <c r="J2708" i="1"/>
  <c r="I2708" i="1"/>
  <c r="H2708" i="1"/>
  <c r="G2708" i="1"/>
  <c r="F2708" i="1"/>
  <c r="E2708" i="1"/>
  <c r="D2708" i="1"/>
  <c r="C2708" i="1"/>
  <c r="B2708" i="1"/>
  <c r="A2708" i="1"/>
  <c r="R2707" i="1"/>
  <c r="J2707" i="1"/>
  <c r="I2707" i="1"/>
  <c r="G2707" i="1"/>
  <c r="F2707" i="1"/>
  <c r="E2707" i="1"/>
  <c r="D2707" i="1"/>
  <c r="C2707" i="1"/>
  <c r="B2707" i="1"/>
  <c r="A2707" i="1"/>
  <c r="S2706" i="1"/>
  <c r="O2706" i="1"/>
  <c r="K2706" i="1"/>
  <c r="J2706" i="1"/>
  <c r="I2706" i="1"/>
  <c r="H2706" i="1"/>
  <c r="G2706" i="1"/>
  <c r="F2706" i="1"/>
  <c r="E2706" i="1"/>
  <c r="D2706" i="1"/>
  <c r="C2706" i="1"/>
  <c r="B2706" i="1"/>
  <c r="A2706" i="1"/>
  <c r="R2705" i="1"/>
  <c r="J2705" i="1"/>
  <c r="I2705" i="1"/>
  <c r="G2705" i="1"/>
  <c r="F2705" i="1"/>
  <c r="E2705" i="1"/>
  <c r="D2705" i="1"/>
  <c r="C2705" i="1"/>
  <c r="B2705" i="1"/>
  <c r="A2705" i="1"/>
  <c r="S2704" i="1"/>
  <c r="O2704" i="1"/>
  <c r="K2704" i="1"/>
  <c r="J2704" i="1"/>
  <c r="I2704" i="1"/>
  <c r="H2704" i="1"/>
  <c r="G2704" i="1"/>
  <c r="F2704" i="1"/>
  <c r="E2704" i="1"/>
  <c r="D2704" i="1"/>
  <c r="C2704" i="1"/>
  <c r="B2704" i="1"/>
  <c r="A2704" i="1"/>
  <c r="R2703" i="1"/>
  <c r="J2703" i="1"/>
  <c r="I2703" i="1"/>
  <c r="G2703" i="1"/>
  <c r="F2703" i="1"/>
  <c r="E2703" i="1"/>
  <c r="D2703" i="1"/>
  <c r="C2703" i="1"/>
  <c r="B2703" i="1"/>
  <c r="A2703" i="1"/>
  <c r="S2702" i="1"/>
  <c r="O2702" i="1"/>
  <c r="K2702" i="1"/>
  <c r="J2702" i="1"/>
  <c r="I2702" i="1"/>
  <c r="H2702" i="1"/>
  <c r="G2702" i="1"/>
  <c r="F2702" i="1"/>
  <c r="E2702" i="1"/>
  <c r="D2702" i="1"/>
  <c r="C2702" i="1"/>
  <c r="B2702" i="1"/>
  <c r="A2702" i="1"/>
  <c r="R2701" i="1"/>
  <c r="J2701" i="1"/>
  <c r="I2701" i="1"/>
  <c r="G2701" i="1"/>
  <c r="F2701" i="1"/>
  <c r="E2701" i="1"/>
  <c r="D2701" i="1"/>
  <c r="C2701" i="1"/>
  <c r="B2701" i="1"/>
  <c r="A2701" i="1"/>
  <c r="R2700" i="1"/>
  <c r="J2700" i="1"/>
  <c r="I2700" i="1"/>
  <c r="G2700" i="1"/>
  <c r="F2700" i="1"/>
  <c r="E2700" i="1"/>
  <c r="D2700" i="1"/>
  <c r="C2700" i="1"/>
  <c r="B2700" i="1"/>
  <c r="A2700" i="1"/>
  <c r="S2699" i="1"/>
  <c r="O2699" i="1"/>
  <c r="K2699" i="1"/>
  <c r="J2699" i="1"/>
  <c r="I2699" i="1"/>
  <c r="H2699" i="1"/>
  <c r="G2699" i="1"/>
  <c r="F2699" i="1"/>
  <c r="E2699" i="1"/>
  <c r="D2699" i="1"/>
  <c r="C2699" i="1"/>
  <c r="B2699" i="1"/>
  <c r="A2699" i="1"/>
  <c r="R2698" i="1"/>
  <c r="J2698" i="1"/>
  <c r="I2698" i="1"/>
  <c r="G2698" i="1"/>
  <c r="F2698" i="1"/>
  <c r="E2698" i="1"/>
  <c r="D2698" i="1"/>
  <c r="C2698" i="1"/>
  <c r="B2698" i="1"/>
  <c r="A2698" i="1"/>
  <c r="S2697" i="1"/>
  <c r="O2697" i="1"/>
  <c r="K2697" i="1"/>
  <c r="J2697" i="1"/>
  <c r="I2697" i="1"/>
  <c r="H2697" i="1"/>
  <c r="G2697" i="1"/>
  <c r="F2697" i="1"/>
  <c r="E2697" i="1"/>
  <c r="D2697" i="1"/>
  <c r="C2697" i="1"/>
  <c r="B2697" i="1"/>
  <c r="A2697" i="1"/>
  <c r="R2696" i="1"/>
  <c r="J2696" i="1"/>
  <c r="I2696" i="1"/>
  <c r="G2696" i="1"/>
  <c r="F2696" i="1"/>
  <c r="E2696" i="1"/>
  <c r="D2696" i="1"/>
  <c r="C2696" i="1"/>
  <c r="B2696" i="1"/>
  <c r="A2696" i="1"/>
  <c r="S2695" i="1"/>
  <c r="O2695" i="1"/>
  <c r="K2695" i="1"/>
  <c r="J2695" i="1"/>
  <c r="I2695" i="1"/>
  <c r="H2695" i="1"/>
  <c r="G2695" i="1"/>
  <c r="F2695" i="1"/>
  <c r="E2695" i="1"/>
  <c r="D2695" i="1"/>
  <c r="C2695" i="1"/>
  <c r="B2695" i="1"/>
  <c r="A2695" i="1"/>
  <c r="R2694" i="1"/>
  <c r="J2694" i="1"/>
  <c r="I2694" i="1"/>
  <c r="G2694" i="1"/>
  <c r="F2694" i="1"/>
  <c r="E2694" i="1"/>
  <c r="D2694" i="1"/>
  <c r="C2694" i="1"/>
  <c r="B2694" i="1"/>
  <c r="A2694" i="1"/>
  <c r="S2693" i="1"/>
  <c r="O2693" i="1"/>
  <c r="K2693" i="1"/>
  <c r="J2693" i="1"/>
  <c r="I2693" i="1"/>
  <c r="H2693" i="1"/>
  <c r="G2693" i="1"/>
  <c r="F2693" i="1"/>
  <c r="E2693" i="1"/>
  <c r="D2693" i="1"/>
  <c r="C2693" i="1"/>
  <c r="B2693" i="1"/>
  <c r="A2693" i="1"/>
  <c r="R2692" i="1"/>
  <c r="J2692" i="1"/>
  <c r="I2692" i="1"/>
  <c r="G2692" i="1"/>
  <c r="F2692" i="1"/>
  <c r="E2692" i="1"/>
  <c r="D2692" i="1"/>
  <c r="C2692" i="1"/>
  <c r="B2692" i="1"/>
  <c r="A2692" i="1"/>
  <c r="S2691" i="1"/>
  <c r="O2691" i="1"/>
  <c r="K2691" i="1"/>
  <c r="J2691" i="1"/>
  <c r="I2691" i="1"/>
  <c r="H2691" i="1"/>
  <c r="G2691" i="1"/>
  <c r="F2691" i="1"/>
  <c r="E2691" i="1"/>
  <c r="D2691" i="1"/>
  <c r="C2691" i="1"/>
  <c r="B2691" i="1"/>
  <c r="A2691" i="1"/>
  <c r="R2690" i="1"/>
  <c r="J2690" i="1"/>
  <c r="I2690" i="1"/>
  <c r="G2690" i="1"/>
  <c r="F2690" i="1"/>
  <c r="E2690" i="1"/>
  <c r="D2690" i="1"/>
  <c r="C2690" i="1"/>
  <c r="B2690" i="1"/>
  <c r="A2690" i="1"/>
  <c r="S2689" i="1"/>
  <c r="O2689" i="1"/>
  <c r="K2689" i="1"/>
  <c r="J2689" i="1"/>
  <c r="I2689" i="1"/>
  <c r="H2689" i="1"/>
  <c r="G2689" i="1"/>
  <c r="F2689" i="1"/>
  <c r="E2689" i="1"/>
  <c r="D2689" i="1"/>
  <c r="C2689" i="1"/>
  <c r="B2689" i="1"/>
  <c r="A2689" i="1"/>
  <c r="R2688" i="1"/>
  <c r="J2688" i="1"/>
  <c r="I2688" i="1"/>
  <c r="G2688" i="1"/>
  <c r="F2688" i="1"/>
  <c r="E2688" i="1"/>
  <c r="D2688" i="1"/>
  <c r="C2688" i="1"/>
  <c r="B2688" i="1"/>
  <c r="A2688" i="1"/>
  <c r="S2687" i="1"/>
  <c r="O2687" i="1"/>
  <c r="K2687" i="1"/>
  <c r="J2687" i="1"/>
  <c r="I2687" i="1"/>
  <c r="H2687" i="1"/>
  <c r="G2687" i="1"/>
  <c r="F2687" i="1"/>
  <c r="E2687" i="1"/>
  <c r="D2687" i="1"/>
  <c r="C2687" i="1"/>
  <c r="B2687" i="1"/>
  <c r="A2687" i="1"/>
  <c r="R2686" i="1"/>
  <c r="J2686" i="1"/>
  <c r="I2686" i="1"/>
  <c r="G2686" i="1"/>
  <c r="F2686" i="1"/>
  <c r="E2686" i="1"/>
  <c r="D2686" i="1"/>
  <c r="C2686" i="1"/>
  <c r="B2686" i="1"/>
  <c r="A2686" i="1"/>
  <c r="S2685" i="1"/>
  <c r="O2685" i="1"/>
  <c r="K2685" i="1"/>
  <c r="J2685" i="1"/>
  <c r="I2685" i="1"/>
  <c r="H2685" i="1"/>
  <c r="G2685" i="1"/>
  <c r="F2685" i="1"/>
  <c r="E2685" i="1"/>
  <c r="D2685" i="1"/>
  <c r="C2685" i="1"/>
  <c r="B2685" i="1"/>
  <c r="A2685" i="1"/>
  <c r="R2684" i="1"/>
  <c r="J2684" i="1"/>
  <c r="I2684" i="1"/>
  <c r="G2684" i="1"/>
  <c r="F2684" i="1"/>
  <c r="E2684" i="1"/>
  <c r="D2684" i="1"/>
  <c r="C2684" i="1"/>
  <c r="B2684" i="1"/>
  <c r="A2684" i="1"/>
  <c r="S2683" i="1"/>
  <c r="O2683" i="1"/>
  <c r="K2683" i="1"/>
  <c r="J2683" i="1"/>
  <c r="I2683" i="1"/>
  <c r="H2683" i="1"/>
  <c r="G2683" i="1"/>
  <c r="F2683" i="1"/>
  <c r="E2683" i="1"/>
  <c r="D2683" i="1"/>
  <c r="C2683" i="1"/>
  <c r="B2683" i="1"/>
  <c r="A2683" i="1"/>
  <c r="R2682" i="1"/>
  <c r="J2682" i="1"/>
  <c r="I2682" i="1"/>
  <c r="G2682" i="1"/>
  <c r="F2682" i="1"/>
  <c r="E2682" i="1"/>
  <c r="D2682" i="1"/>
  <c r="C2682" i="1"/>
  <c r="B2682" i="1"/>
  <c r="A2682" i="1"/>
  <c r="S2681" i="1"/>
  <c r="O2681" i="1"/>
  <c r="K2681" i="1"/>
  <c r="J2681" i="1"/>
  <c r="I2681" i="1"/>
  <c r="H2681" i="1"/>
  <c r="G2681" i="1"/>
  <c r="F2681" i="1"/>
  <c r="E2681" i="1"/>
  <c r="D2681" i="1"/>
  <c r="C2681" i="1"/>
  <c r="B2681" i="1"/>
  <c r="A2681" i="1"/>
  <c r="R2680" i="1"/>
  <c r="J2680" i="1"/>
  <c r="I2680" i="1"/>
  <c r="G2680" i="1"/>
  <c r="F2680" i="1"/>
  <c r="E2680" i="1"/>
  <c r="D2680" i="1"/>
  <c r="C2680" i="1"/>
  <c r="B2680" i="1"/>
  <c r="A2680" i="1"/>
  <c r="R2679" i="1"/>
  <c r="J2679" i="1"/>
  <c r="I2679" i="1"/>
  <c r="G2679" i="1"/>
  <c r="F2679" i="1"/>
  <c r="E2679" i="1"/>
  <c r="D2679" i="1"/>
  <c r="C2679" i="1"/>
  <c r="B2679" i="1"/>
  <c r="A2679" i="1"/>
  <c r="S2678" i="1"/>
  <c r="O2678" i="1"/>
  <c r="K2678" i="1"/>
  <c r="J2678" i="1"/>
  <c r="I2678" i="1"/>
  <c r="H2678" i="1"/>
  <c r="G2678" i="1"/>
  <c r="F2678" i="1"/>
  <c r="E2678" i="1"/>
  <c r="D2678" i="1"/>
  <c r="C2678" i="1"/>
  <c r="B2678" i="1"/>
  <c r="A2678" i="1"/>
  <c r="R2677" i="1"/>
  <c r="J2677" i="1"/>
  <c r="I2677" i="1"/>
  <c r="G2677" i="1"/>
  <c r="F2677" i="1"/>
  <c r="E2677" i="1"/>
  <c r="D2677" i="1"/>
  <c r="C2677" i="1"/>
  <c r="B2677" i="1"/>
  <c r="A2677" i="1"/>
  <c r="S2676" i="1"/>
  <c r="O2676" i="1"/>
  <c r="K2676" i="1"/>
  <c r="J2676" i="1"/>
  <c r="I2676" i="1"/>
  <c r="H2676" i="1"/>
  <c r="G2676" i="1"/>
  <c r="F2676" i="1"/>
  <c r="E2676" i="1"/>
  <c r="D2676" i="1"/>
  <c r="C2676" i="1"/>
  <c r="B2676" i="1"/>
  <c r="A2676" i="1"/>
  <c r="R2675" i="1"/>
  <c r="J2675" i="1"/>
  <c r="I2675" i="1"/>
  <c r="G2675" i="1"/>
  <c r="F2675" i="1"/>
  <c r="E2675" i="1"/>
  <c r="D2675" i="1"/>
  <c r="C2675" i="1"/>
  <c r="B2675" i="1"/>
  <c r="A2675" i="1"/>
  <c r="R2674" i="1"/>
  <c r="J2674" i="1"/>
  <c r="I2674" i="1"/>
  <c r="G2674" i="1"/>
  <c r="F2674" i="1"/>
  <c r="E2674" i="1"/>
  <c r="D2674" i="1"/>
  <c r="C2674" i="1"/>
  <c r="B2674" i="1"/>
  <c r="A2674" i="1"/>
  <c r="R2673" i="1"/>
  <c r="J2673" i="1"/>
  <c r="I2673" i="1"/>
  <c r="G2673" i="1"/>
  <c r="F2673" i="1"/>
  <c r="E2673" i="1"/>
  <c r="D2673" i="1"/>
  <c r="C2673" i="1"/>
  <c r="B2673" i="1"/>
  <c r="A2673" i="1"/>
  <c r="R2672" i="1"/>
  <c r="J2672" i="1"/>
  <c r="I2672" i="1"/>
  <c r="G2672" i="1"/>
  <c r="F2672" i="1"/>
  <c r="E2672" i="1"/>
  <c r="D2672" i="1"/>
  <c r="C2672" i="1"/>
  <c r="B2672" i="1"/>
  <c r="A2672" i="1"/>
  <c r="S2671" i="1"/>
  <c r="O2671" i="1"/>
  <c r="K2671" i="1"/>
  <c r="J2671" i="1"/>
  <c r="I2671" i="1"/>
  <c r="H2671" i="1"/>
  <c r="G2671" i="1"/>
  <c r="F2671" i="1"/>
  <c r="E2671" i="1"/>
  <c r="D2671" i="1"/>
  <c r="C2671" i="1"/>
  <c r="B2671" i="1"/>
  <c r="A2671" i="1"/>
  <c r="R2670" i="1"/>
  <c r="J2670" i="1"/>
  <c r="I2670" i="1"/>
  <c r="G2670" i="1"/>
  <c r="F2670" i="1"/>
  <c r="E2670" i="1"/>
  <c r="D2670" i="1"/>
  <c r="C2670" i="1"/>
  <c r="B2670" i="1"/>
  <c r="A2670" i="1"/>
  <c r="S2669" i="1"/>
  <c r="O2669" i="1"/>
  <c r="K2669" i="1"/>
  <c r="J2669" i="1"/>
  <c r="I2669" i="1"/>
  <c r="H2669" i="1"/>
  <c r="G2669" i="1"/>
  <c r="F2669" i="1"/>
  <c r="E2669" i="1"/>
  <c r="D2669" i="1"/>
  <c r="C2669" i="1"/>
  <c r="B2669" i="1"/>
  <c r="A2669" i="1"/>
  <c r="R2668" i="1"/>
  <c r="J2668" i="1"/>
  <c r="I2668" i="1"/>
  <c r="G2668" i="1"/>
  <c r="F2668" i="1"/>
  <c r="E2668" i="1"/>
  <c r="D2668" i="1"/>
  <c r="C2668" i="1"/>
  <c r="B2668" i="1"/>
  <c r="A2668" i="1"/>
  <c r="S2667" i="1"/>
  <c r="O2667" i="1"/>
  <c r="K2667" i="1"/>
  <c r="J2667" i="1"/>
  <c r="I2667" i="1"/>
  <c r="H2667" i="1"/>
  <c r="G2667" i="1"/>
  <c r="F2667" i="1"/>
  <c r="E2667" i="1"/>
  <c r="D2667" i="1"/>
  <c r="C2667" i="1"/>
  <c r="B2667" i="1"/>
  <c r="A2667" i="1"/>
  <c r="R2666" i="1"/>
  <c r="J2666" i="1"/>
  <c r="I2666" i="1"/>
  <c r="G2666" i="1"/>
  <c r="F2666" i="1"/>
  <c r="E2666" i="1"/>
  <c r="D2666" i="1"/>
  <c r="C2666" i="1"/>
  <c r="B2666" i="1"/>
  <c r="A2666" i="1"/>
  <c r="S2665" i="1"/>
  <c r="O2665" i="1"/>
  <c r="K2665" i="1"/>
  <c r="J2665" i="1"/>
  <c r="I2665" i="1"/>
  <c r="H2665" i="1"/>
  <c r="G2665" i="1"/>
  <c r="F2665" i="1"/>
  <c r="E2665" i="1"/>
  <c r="D2665" i="1"/>
  <c r="C2665" i="1"/>
  <c r="B2665" i="1"/>
  <c r="A2665" i="1"/>
  <c r="R2664" i="1"/>
  <c r="J2664" i="1"/>
  <c r="I2664" i="1"/>
  <c r="G2664" i="1"/>
  <c r="F2664" i="1"/>
  <c r="E2664" i="1"/>
  <c r="D2664" i="1"/>
  <c r="C2664" i="1"/>
  <c r="B2664" i="1"/>
  <c r="A2664" i="1"/>
  <c r="R2663" i="1"/>
  <c r="J2663" i="1"/>
  <c r="I2663" i="1"/>
  <c r="G2663" i="1"/>
  <c r="F2663" i="1"/>
  <c r="E2663" i="1"/>
  <c r="D2663" i="1"/>
  <c r="C2663" i="1"/>
  <c r="B2663" i="1"/>
  <c r="A2663" i="1"/>
  <c r="S2662" i="1"/>
  <c r="O2662" i="1"/>
  <c r="K2662" i="1"/>
  <c r="J2662" i="1"/>
  <c r="I2662" i="1"/>
  <c r="H2662" i="1"/>
  <c r="G2662" i="1"/>
  <c r="F2662" i="1"/>
  <c r="E2662" i="1"/>
  <c r="D2662" i="1"/>
  <c r="C2662" i="1"/>
  <c r="B2662" i="1"/>
  <c r="A2662" i="1"/>
  <c r="R2661" i="1"/>
  <c r="J2661" i="1"/>
  <c r="I2661" i="1"/>
  <c r="G2661" i="1"/>
  <c r="F2661" i="1"/>
  <c r="E2661" i="1"/>
  <c r="D2661" i="1"/>
  <c r="C2661" i="1"/>
  <c r="B2661" i="1"/>
  <c r="A2661" i="1"/>
  <c r="S2660" i="1"/>
  <c r="O2660" i="1"/>
  <c r="K2660" i="1"/>
  <c r="J2660" i="1"/>
  <c r="I2660" i="1"/>
  <c r="H2660" i="1"/>
  <c r="G2660" i="1"/>
  <c r="F2660" i="1"/>
  <c r="E2660" i="1"/>
  <c r="D2660" i="1"/>
  <c r="C2660" i="1"/>
  <c r="B2660" i="1"/>
  <c r="A2660" i="1"/>
  <c r="R2659" i="1"/>
  <c r="J2659" i="1"/>
  <c r="I2659" i="1"/>
  <c r="G2659" i="1"/>
  <c r="F2659" i="1"/>
  <c r="E2659" i="1"/>
  <c r="D2659" i="1"/>
  <c r="C2659" i="1"/>
  <c r="B2659" i="1"/>
  <c r="A2659" i="1"/>
  <c r="S2658" i="1"/>
  <c r="O2658" i="1"/>
  <c r="K2658" i="1"/>
  <c r="J2658" i="1"/>
  <c r="I2658" i="1"/>
  <c r="H2658" i="1"/>
  <c r="G2658" i="1"/>
  <c r="F2658" i="1"/>
  <c r="E2658" i="1"/>
  <c r="D2658" i="1"/>
  <c r="C2658" i="1"/>
  <c r="B2658" i="1"/>
  <c r="A2658" i="1"/>
  <c r="R2657" i="1"/>
  <c r="J2657" i="1"/>
  <c r="I2657" i="1"/>
  <c r="G2657" i="1"/>
  <c r="F2657" i="1"/>
  <c r="E2657" i="1"/>
  <c r="D2657" i="1"/>
  <c r="C2657" i="1"/>
  <c r="B2657" i="1"/>
  <c r="A2657" i="1"/>
  <c r="R2656" i="1"/>
  <c r="J2656" i="1"/>
  <c r="I2656" i="1"/>
  <c r="G2656" i="1"/>
  <c r="F2656" i="1"/>
  <c r="E2656" i="1"/>
  <c r="D2656" i="1"/>
  <c r="C2656" i="1"/>
  <c r="B2656" i="1"/>
  <c r="A2656" i="1"/>
  <c r="S2655" i="1"/>
  <c r="O2655" i="1"/>
  <c r="K2655" i="1"/>
  <c r="J2655" i="1"/>
  <c r="I2655" i="1"/>
  <c r="H2655" i="1"/>
  <c r="G2655" i="1"/>
  <c r="F2655" i="1"/>
  <c r="E2655" i="1"/>
  <c r="D2655" i="1"/>
  <c r="C2655" i="1"/>
  <c r="B2655" i="1"/>
  <c r="A2655" i="1"/>
  <c r="R2654" i="1"/>
  <c r="J2654" i="1"/>
  <c r="I2654" i="1"/>
  <c r="G2654" i="1"/>
  <c r="F2654" i="1"/>
  <c r="E2654" i="1"/>
  <c r="D2654" i="1"/>
  <c r="C2654" i="1"/>
  <c r="B2654" i="1"/>
  <c r="A2654" i="1"/>
  <c r="S2653" i="1"/>
  <c r="O2653" i="1"/>
  <c r="K2653" i="1"/>
  <c r="J2653" i="1"/>
  <c r="I2653" i="1"/>
  <c r="H2653" i="1"/>
  <c r="G2653" i="1"/>
  <c r="F2653" i="1"/>
  <c r="E2653" i="1"/>
  <c r="D2653" i="1"/>
  <c r="C2653" i="1"/>
  <c r="B2653" i="1"/>
  <c r="A2653" i="1"/>
  <c r="R2652" i="1"/>
  <c r="J2652" i="1"/>
  <c r="I2652" i="1"/>
  <c r="G2652" i="1"/>
  <c r="F2652" i="1"/>
  <c r="E2652" i="1"/>
  <c r="D2652" i="1"/>
  <c r="C2652" i="1"/>
  <c r="B2652" i="1"/>
  <c r="A2652" i="1"/>
  <c r="S2651" i="1"/>
  <c r="O2651" i="1"/>
  <c r="K2651" i="1"/>
  <c r="J2651" i="1"/>
  <c r="I2651" i="1"/>
  <c r="H2651" i="1"/>
  <c r="G2651" i="1"/>
  <c r="F2651" i="1"/>
  <c r="E2651" i="1"/>
  <c r="D2651" i="1"/>
  <c r="C2651" i="1"/>
  <c r="B2651" i="1"/>
  <c r="A2651" i="1"/>
  <c r="R2650" i="1"/>
  <c r="J2650" i="1"/>
  <c r="I2650" i="1"/>
  <c r="G2650" i="1"/>
  <c r="F2650" i="1"/>
  <c r="E2650" i="1"/>
  <c r="D2650" i="1"/>
  <c r="C2650" i="1"/>
  <c r="B2650" i="1"/>
  <c r="A2650" i="1"/>
  <c r="S2649" i="1"/>
  <c r="O2649" i="1"/>
  <c r="K2649" i="1"/>
  <c r="J2649" i="1"/>
  <c r="I2649" i="1"/>
  <c r="H2649" i="1"/>
  <c r="G2649" i="1"/>
  <c r="F2649" i="1"/>
  <c r="E2649" i="1"/>
  <c r="D2649" i="1"/>
  <c r="C2649" i="1"/>
  <c r="B2649" i="1"/>
  <c r="A2649" i="1"/>
  <c r="R2648" i="1"/>
  <c r="J2648" i="1"/>
  <c r="I2648" i="1"/>
  <c r="G2648" i="1"/>
  <c r="F2648" i="1"/>
  <c r="E2648" i="1"/>
  <c r="D2648" i="1"/>
  <c r="C2648" i="1"/>
  <c r="B2648" i="1"/>
  <c r="A2648" i="1"/>
  <c r="R2647" i="1"/>
  <c r="J2647" i="1"/>
  <c r="I2647" i="1"/>
  <c r="G2647" i="1"/>
  <c r="F2647" i="1"/>
  <c r="E2647" i="1"/>
  <c r="D2647" i="1"/>
  <c r="C2647" i="1"/>
  <c r="B2647" i="1"/>
  <c r="A2647" i="1"/>
  <c r="S2646" i="1"/>
  <c r="O2646" i="1"/>
  <c r="K2646" i="1"/>
  <c r="J2646" i="1"/>
  <c r="I2646" i="1"/>
  <c r="H2646" i="1"/>
  <c r="G2646" i="1"/>
  <c r="F2646" i="1"/>
  <c r="E2646" i="1"/>
  <c r="D2646" i="1"/>
  <c r="C2646" i="1"/>
  <c r="B2646" i="1"/>
  <c r="A2646" i="1"/>
  <c r="R2645" i="1"/>
  <c r="J2645" i="1"/>
  <c r="I2645" i="1"/>
  <c r="G2645" i="1"/>
  <c r="F2645" i="1"/>
  <c r="E2645" i="1"/>
  <c r="D2645" i="1"/>
  <c r="C2645" i="1"/>
  <c r="B2645" i="1"/>
  <c r="A2645" i="1"/>
  <c r="S2644" i="1"/>
  <c r="O2644" i="1"/>
  <c r="K2644" i="1"/>
  <c r="J2644" i="1"/>
  <c r="I2644" i="1"/>
  <c r="H2644" i="1"/>
  <c r="G2644" i="1"/>
  <c r="F2644" i="1"/>
  <c r="E2644" i="1"/>
  <c r="D2644" i="1"/>
  <c r="C2644" i="1"/>
  <c r="B2644" i="1"/>
  <c r="A2644" i="1"/>
  <c r="R2643" i="1"/>
  <c r="J2643" i="1"/>
  <c r="I2643" i="1"/>
  <c r="G2643" i="1"/>
  <c r="F2643" i="1"/>
  <c r="E2643" i="1"/>
  <c r="D2643" i="1"/>
  <c r="C2643" i="1"/>
  <c r="B2643" i="1"/>
  <c r="A2643" i="1"/>
  <c r="R2642" i="1"/>
  <c r="J2642" i="1"/>
  <c r="I2642" i="1"/>
  <c r="G2642" i="1"/>
  <c r="F2642" i="1"/>
  <c r="E2642" i="1"/>
  <c r="D2642" i="1"/>
  <c r="C2642" i="1"/>
  <c r="B2642" i="1"/>
  <c r="A2642" i="1"/>
  <c r="R2641" i="1"/>
  <c r="J2641" i="1"/>
  <c r="I2641" i="1"/>
  <c r="G2641" i="1"/>
  <c r="F2641" i="1"/>
  <c r="E2641" i="1"/>
  <c r="D2641" i="1"/>
  <c r="C2641" i="1"/>
  <c r="B2641" i="1"/>
  <c r="A2641" i="1"/>
  <c r="S2640" i="1"/>
  <c r="O2640" i="1"/>
  <c r="K2640" i="1"/>
  <c r="J2640" i="1"/>
  <c r="I2640" i="1"/>
  <c r="H2640" i="1"/>
  <c r="G2640" i="1"/>
  <c r="F2640" i="1"/>
  <c r="E2640" i="1"/>
  <c r="D2640" i="1"/>
  <c r="C2640" i="1"/>
  <c r="B2640" i="1"/>
  <c r="A2640" i="1"/>
  <c r="R2639" i="1"/>
  <c r="J2639" i="1"/>
  <c r="I2639" i="1"/>
  <c r="G2639" i="1"/>
  <c r="F2639" i="1"/>
  <c r="E2639" i="1"/>
  <c r="D2639" i="1"/>
  <c r="C2639" i="1"/>
  <c r="B2639" i="1"/>
  <c r="A2639" i="1"/>
  <c r="S2638" i="1"/>
  <c r="O2638" i="1"/>
  <c r="K2638" i="1"/>
  <c r="J2638" i="1"/>
  <c r="I2638" i="1"/>
  <c r="H2638" i="1"/>
  <c r="G2638" i="1"/>
  <c r="F2638" i="1"/>
  <c r="E2638" i="1"/>
  <c r="D2638" i="1"/>
  <c r="C2638" i="1"/>
  <c r="B2638" i="1"/>
  <c r="A2638" i="1"/>
  <c r="R2637" i="1"/>
  <c r="J2637" i="1"/>
  <c r="I2637" i="1"/>
  <c r="G2637" i="1"/>
  <c r="F2637" i="1"/>
  <c r="E2637" i="1"/>
  <c r="D2637" i="1"/>
  <c r="C2637" i="1"/>
  <c r="B2637" i="1"/>
  <c r="A2637" i="1"/>
  <c r="S2636" i="1"/>
  <c r="O2636" i="1"/>
  <c r="K2636" i="1"/>
  <c r="J2636" i="1"/>
  <c r="I2636" i="1"/>
  <c r="H2636" i="1"/>
  <c r="G2636" i="1"/>
  <c r="F2636" i="1"/>
  <c r="E2636" i="1"/>
  <c r="D2636" i="1"/>
  <c r="C2636" i="1"/>
  <c r="B2636" i="1"/>
  <c r="A2636" i="1"/>
  <c r="R2635" i="1"/>
  <c r="J2635" i="1"/>
  <c r="I2635" i="1"/>
  <c r="G2635" i="1"/>
  <c r="F2635" i="1"/>
  <c r="E2635" i="1"/>
  <c r="D2635" i="1"/>
  <c r="C2635" i="1"/>
  <c r="B2635" i="1"/>
  <c r="A2635" i="1"/>
  <c r="S2634" i="1"/>
  <c r="O2634" i="1"/>
  <c r="K2634" i="1"/>
  <c r="J2634" i="1"/>
  <c r="I2634" i="1"/>
  <c r="H2634" i="1"/>
  <c r="G2634" i="1"/>
  <c r="F2634" i="1"/>
  <c r="E2634" i="1"/>
  <c r="D2634" i="1"/>
  <c r="C2634" i="1"/>
  <c r="B2634" i="1"/>
  <c r="A2634" i="1"/>
  <c r="R2633" i="1"/>
  <c r="J2633" i="1"/>
  <c r="I2633" i="1"/>
  <c r="G2633" i="1"/>
  <c r="F2633" i="1"/>
  <c r="E2633" i="1"/>
  <c r="D2633" i="1"/>
  <c r="C2633" i="1"/>
  <c r="B2633" i="1"/>
  <c r="A2633" i="1"/>
  <c r="S2632" i="1"/>
  <c r="O2632" i="1"/>
  <c r="K2632" i="1"/>
  <c r="J2632" i="1"/>
  <c r="I2632" i="1"/>
  <c r="H2632" i="1"/>
  <c r="G2632" i="1"/>
  <c r="F2632" i="1"/>
  <c r="E2632" i="1"/>
  <c r="D2632" i="1"/>
  <c r="C2632" i="1"/>
  <c r="B2632" i="1"/>
  <c r="A2632" i="1"/>
  <c r="R2631" i="1"/>
  <c r="J2631" i="1"/>
  <c r="I2631" i="1"/>
  <c r="G2631" i="1"/>
  <c r="F2631" i="1"/>
  <c r="E2631" i="1"/>
  <c r="D2631" i="1"/>
  <c r="C2631" i="1"/>
  <c r="B2631" i="1"/>
  <c r="A2631" i="1"/>
  <c r="S2630" i="1"/>
  <c r="O2630" i="1"/>
  <c r="K2630" i="1"/>
  <c r="J2630" i="1"/>
  <c r="I2630" i="1"/>
  <c r="H2630" i="1"/>
  <c r="G2630" i="1"/>
  <c r="F2630" i="1"/>
  <c r="E2630" i="1"/>
  <c r="D2630" i="1"/>
  <c r="C2630" i="1"/>
  <c r="B2630" i="1"/>
  <c r="A2630" i="1"/>
  <c r="R2629" i="1"/>
  <c r="J2629" i="1"/>
  <c r="I2629" i="1"/>
  <c r="G2629" i="1"/>
  <c r="F2629" i="1"/>
  <c r="E2629" i="1"/>
  <c r="D2629" i="1"/>
  <c r="C2629" i="1"/>
  <c r="B2629" i="1"/>
  <c r="A2629" i="1"/>
  <c r="S2628" i="1"/>
  <c r="O2628" i="1"/>
  <c r="K2628" i="1"/>
  <c r="J2628" i="1"/>
  <c r="I2628" i="1"/>
  <c r="H2628" i="1"/>
  <c r="G2628" i="1"/>
  <c r="F2628" i="1"/>
  <c r="E2628" i="1"/>
  <c r="D2628" i="1"/>
  <c r="C2628" i="1"/>
  <c r="B2628" i="1"/>
  <c r="A2628" i="1"/>
  <c r="R2627" i="1"/>
  <c r="J2627" i="1"/>
  <c r="I2627" i="1"/>
  <c r="G2627" i="1"/>
  <c r="F2627" i="1"/>
  <c r="E2627" i="1"/>
  <c r="D2627" i="1"/>
  <c r="C2627" i="1"/>
  <c r="B2627" i="1"/>
  <c r="A2627" i="1"/>
  <c r="S2626" i="1"/>
  <c r="O2626" i="1"/>
  <c r="K2626" i="1"/>
  <c r="J2626" i="1"/>
  <c r="I2626" i="1"/>
  <c r="H2626" i="1"/>
  <c r="G2626" i="1"/>
  <c r="F2626" i="1"/>
  <c r="E2626" i="1"/>
  <c r="D2626" i="1"/>
  <c r="C2626" i="1"/>
  <c r="B2626" i="1"/>
  <c r="A2626" i="1"/>
  <c r="R2625" i="1"/>
  <c r="J2625" i="1"/>
  <c r="I2625" i="1"/>
  <c r="G2625" i="1"/>
  <c r="F2625" i="1"/>
  <c r="E2625" i="1"/>
  <c r="D2625" i="1"/>
  <c r="C2625" i="1"/>
  <c r="B2625" i="1"/>
  <c r="A2625" i="1"/>
  <c r="S2624" i="1"/>
  <c r="O2624" i="1"/>
  <c r="K2624" i="1"/>
  <c r="J2624" i="1"/>
  <c r="I2624" i="1"/>
  <c r="H2624" i="1"/>
  <c r="G2624" i="1"/>
  <c r="F2624" i="1"/>
  <c r="E2624" i="1"/>
  <c r="D2624" i="1"/>
  <c r="C2624" i="1"/>
  <c r="B2624" i="1"/>
  <c r="A2624" i="1"/>
  <c r="R2623" i="1"/>
  <c r="J2623" i="1"/>
  <c r="I2623" i="1"/>
  <c r="G2623" i="1"/>
  <c r="F2623" i="1"/>
  <c r="E2623" i="1"/>
  <c r="D2623" i="1"/>
  <c r="C2623" i="1"/>
  <c r="B2623" i="1"/>
  <c r="A2623" i="1"/>
  <c r="S2622" i="1"/>
  <c r="O2622" i="1"/>
  <c r="K2622" i="1"/>
  <c r="J2622" i="1"/>
  <c r="I2622" i="1"/>
  <c r="H2622" i="1"/>
  <c r="G2622" i="1"/>
  <c r="F2622" i="1"/>
  <c r="E2622" i="1"/>
  <c r="D2622" i="1"/>
  <c r="C2622" i="1"/>
  <c r="B2622" i="1"/>
  <c r="A2622" i="1"/>
  <c r="R2621" i="1"/>
  <c r="J2621" i="1"/>
  <c r="I2621" i="1"/>
  <c r="G2621" i="1"/>
  <c r="F2621" i="1"/>
  <c r="E2621" i="1"/>
  <c r="D2621" i="1"/>
  <c r="C2621" i="1"/>
  <c r="B2621" i="1"/>
  <c r="A2621" i="1"/>
  <c r="R2620" i="1"/>
  <c r="J2620" i="1"/>
  <c r="I2620" i="1"/>
  <c r="G2620" i="1"/>
  <c r="F2620" i="1"/>
  <c r="E2620" i="1"/>
  <c r="D2620" i="1"/>
  <c r="C2620" i="1"/>
  <c r="B2620" i="1"/>
  <c r="A2620" i="1"/>
  <c r="S2619" i="1"/>
  <c r="O2619" i="1"/>
  <c r="K2619" i="1"/>
  <c r="J2619" i="1"/>
  <c r="I2619" i="1"/>
  <c r="H2619" i="1"/>
  <c r="G2619" i="1"/>
  <c r="F2619" i="1"/>
  <c r="E2619" i="1"/>
  <c r="D2619" i="1"/>
  <c r="C2619" i="1"/>
  <c r="B2619" i="1"/>
  <c r="A2619" i="1"/>
  <c r="R2618" i="1"/>
  <c r="J2618" i="1"/>
  <c r="I2618" i="1"/>
  <c r="G2618" i="1"/>
  <c r="F2618" i="1"/>
  <c r="E2618" i="1"/>
  <c r="D2618" i="1"/>
  <c r="C2618" i="1"/>
  <c r="B2618" i="1"/>
  <c r="A2618" i="1"/>
  <c r="S2617" i="1"/>
  <c r="O2617" i="1"/>
  <c r="K2617" i="1"/>
  <c r="J2617" i="1"/>
  <c r="I2617" i="1"/>
  <c r="H2617" i="1"/>
  <c r="G2617" i="1"/>
  <c r="F2617" i="1"/>
  <c r="E2617" i="1"/>
  <c r="D2617" i="1"/>
  <c r="C2617" i="1"/>
  <c r="B2617" i="1"/>
  <c r="A2617" i="1"/>
  <c r="R2616" i="1"/>
  <c r="J2616" i="1"/>
  <c r="I2616" i="1"/>
  <c r="G2616" i="1"/>
  <c r="F2616" i="1"/>
  <c r="E2616" i="1"/>
  <c r="D2616" i="1"/>
  <c r="C2616" i="1"/>
  <c r="B2616" i="1"/>
  <c r="A2616" i="1"/>
  <c r="S2615" i="1"/>
  <c r="O2615" i="1"/>
  <c r="K2615" i="1"/>
  <c r="J2615" i="1"/>
  <c r="I2615" i="1"/>
  <c r="H2615" i="1"/>
  <c r="G2615" i="1"/>
  <c r="F2615" i="1"/>
  <c r="E2615" i="1"/>
  <c r="D2615" i="1"/>
  <c r="C2615" i="1"/>
  <c r="B2615" i="1"/>
  <c r="A2615" i="1"/>
  <c r="R2614" i="1"/>
  <c r="J2614" i="1"/>
  <c r="I2614" i="1"/>
  <c r="G2614" i="1"/>
  <c r="F2614" i="1"/>
  <c r="E2614" i="1"/>
  <c r="D2614" i="1"/>
  <c r="C2614" i="1"/>
  <c r="B2614" i="1"/>
  <c r="A2614" i="1"/>
  <c r="R2613" i="1"/>
  <c r="J2613" i="1"/>
  <c r="I2613" i="1"/>
  <c r="G2613" i="1"/>
  <c r="F2613" i="1"/>
  <c r="E2613" i="1"/>
  <c r="D2613" i="1"/>
  <c r="C2613" i="1"/>
  <c r="B2613" i="1"/>
  <c r="A2613" i="1"/>
  <c r="S2612" i="1"/>
  <c r="O2612" i="1"/>
  <c r="K2612" i="1"/>
  <c r="J2612" i="1"/>
  <c r="I2612" i="1"/>
  <c r="H2612" i="1"/>
  <c r="G2612" i="1"/>
  <c r="F2612" i="1"/>
  <c r="E2612" i="1"/>
  <c r="D2612" i="1"/>
  <c r="C2612" i="1"/>
  <c r="B2612" i="1"/>
  <c r="A2612" i="1"/>
  <c r="R2611" i="1"/>
  <c r="J2611" i="1"/>
  <c r="I2611" i="1"/>
  <c r="G2611" i="1"/>
  <c r="F2611" i="1"/>
  <c r="E2611" i="1"/>
  <c r="D2611" i="1"/>
  <c r="C2611" i="1"/>
  <c r="B2611" i="1"/>
  <c r="A2611" i="1"/>
  <c r="S2610" i="1"/>
  <c r="O2610" i="1"/>
  <c r="K2610" i="1"/>
  <c r="J2610" i="1"/>
  <c r="I2610" i="1"/>
  <c r="H2610" i="1"/>
  <c r="G2610" i="1"/>
  <c r="F2610" i="1"/>
  <c r="E2610" i="1"/>
  <c r="D2610" i="1"/>
  <c r="C2610" i="1"/>
  <c r="B2610" i="1"/>
  <c r="A2610" i="1"/>
  <c r="R2609" i="1"/>
  <c r="J2609" i="1"/>
  <c r="I2609" i="1"/>
  <c r="G2609" i="1"/>
  <c r="F2609" i="1"/>
  <c r="E2609" i="1"/>
  <c r="D2609" i="1"/>
  <c r="C2609" i="1"/>
  <c r="B2609" i="1"/>
  <c r="A2609" i="1"/>
  <c r="S2608" i="1"/>
  <c r="O2608" i="1"/>
  <c r="K2608" i="1"/>
  <c r="J2608" i="1"/>
  <c r="I2608" i="1"/>
  <c r="H2608" i="1"/>
  <c r="G2608" i="1"/>
  <c r="F2608" i="1"/>
  <c r="E2608" i="1"/>
  <c r="D2608" i="1"/>
  <c r="C2608" i="1"/>
  <c r="B2608" i="1"/>
  <c r="A2608" i="1"/>
  <c r="R2607" i="1"/>
  <c r="J2607" i="1"/>
  <c r="I2607" i="1"/>
  <c r="G2607" i="1"/>
  <c r="F2607" i="1"/>
  <c r="E2607" i="1"/>
  <c r="D2607" i="1"/>
  <c r="C2607" i="1"/>
  <c r="B2607" i="1"/>
  <c r="A2607" i="1"/>
  <c r="S2606" i="1"/>
  <c r="O2606" i="1"/>
  <c r="K2606" i="1"/>
  <c r="J2606" i="1"/>
  <c r="I2606" i="1"/>
  <c r="H2606" i="1"/>
  <c r="G2606" i="1"/>
  <c r="F2606" i="1"/>
  <c r="E2606" i="1"/>
  <c r="D2606" i="1"/>
  <c r="C2606" i="1"/>
  <c r="B2606" i="1"/>
  <c r="A2606" i="1"/>
  <c r="R2605" i="1"/>
  <c r="J2605" i="1"/>
  <c r="I2605" i="1"/>
  <c r="G2605" i="1"/>
  <c r="F2605" i="1"/>
  <c r="E2605" i="1"/>
  <c r="D2605" i="1"/>
  <c r="C2605" i="1"/>
  <c r="B2605" i="1"/>
  <c r="A2605" i="1"/>
  <c r="R2604" i="1"/>
  <c r="J2604" i="1"/>
  <c r="I2604" i="1"/>
  <c r="G2604" i="1"/>
  <c r="F2604" i="1"/>
  <c r="E2604" i="1"/>
  <c r="D2604" i="1"/>
  <c r="C2604" i="1"/>
  <c r="B2604" i="1"/>
  <c r="A2604" i="1"/>
  <c r="S2603" i="1"/>
  <c r="O2603" i="1"/>
  <c r="K2603" i="1"/>
  <c r="J2603" i="1"/>
  <c r="I2603" i="1"/>
  <c r="H2603" i="1"/>
  <c r="G2603" i="1"/>
  <c r="F2603" i="1"/>
  <c r="E2603" i="1"/>
  <c r="D2603" i="1"/>
  <c r="C2603" i="1"/>
  <c r="B2603" i="1"/>
  <c r="A2603" i="1"/>
  <c r="R2602" i="1"/>
  <c r="J2602" i="1"/>
  <c r="I2602" i="1"/>
  <c r="G2602" i="1"/>
  <c r="F2602" i="1"/>
  <c r="E2602" i="1"/>
  <c r="D2602" i="1"/>
  <c r="C2602" i="1"/>
  <c r="B2602" i="1"/>
  <c r="A2602" i="1"/>
  <c r="S2601" i="1"/>
  <c r="O2601" i="1"/>
  <c r="K2601" i="1"/>
  <c r="J2601" i="1"/>
  <c r="I2601" i="1"/>
  <c r="H2601" i="1"/>
  <c r="G2601" i="1"/>
  <c r="F2601" i="1"/>
  <c r="E2601" i="1"/>
  <c r="D2601" i="1"/>
  <c r="C2601" i="1"/>
  <c r="B2601" i="1"/>
  <c r="A2601" i="1"/>
  <c r="R2600" i="1"/>
  <c r="J2600" i="1"/>
  <c r="I2600" i="1"/>
  <c r="G2600" i="1"/>
  <c r="F2600" i="1"/>
  <c r="E2600" i="1"/>
  <c r="D2600" i="1"/>
  <c r="C2600" i="1"/>
  <c r="B2600" i="1"/>
  <c r="A2600" i="1"/>
  <c r="S2599" i="1"/>
  <c r="O2599" i="1"/>
  <c r="K2599" i="1"/>
  <c r="J2599" i="1"/>
  <c r="I2599" i="1"/>
  <c r="H2599" i="1"/>
  <c r="G2599" i="1"/>
  <c r="F2599" i="1"/>
  <c r="E2599" i="1"/>
  <c r="D2599" i="1"/>
  <c r="C2599" i="1"/>
  <c r="B2599" i="1"/>
  <c r="A2599" i="1"/>
  <c r="R2598" i="1"/>
  <c r="J2598" i="1"/>
  <c r="I2598" i="1"/>
  <c r="G2598" i="1"/>
  <c r="F2598" i="1"/>
  <c r="E2598" i="1"/>
  <c r="D2598" i="1"/>
  <c r="C2598" i="1"/>
  <c r="B2598" i="1"/>
  <c r="A2598" i="1"/>
  <c r="S2597" i="1"/>
  <c r="O2597" i="1"/>
  <c r="K2597" i="1"/>
  <c r="J2597" i="1"/>
  <c r="I2597" i="1"/>
  <c r="H2597" i="1"/>
  <c r="G2597" i="1"/>
  <c r="F2597" i="1"/>
  <c r="E2597" i="1"/>
  <c r="D2597" i="1"/>
  <c r="C2597" i="1"/>
  <c r="B2597" i="1"/>
  <c r="A2597" i="1"/>
  <c r="R2596" i="1"/>
  <c r="J2596" i="1"/>
  <c r="I2596" i="1"/>
  <c r="G2596" i="1"/>
  <c r="F2596" i="1"/>
  <c r="E2596" i="1"/>
  <c r="D2596" i="1"/>
  <c r="C2596" i="1"/>
  <c r="B2596" i="1"/>
  <c r="A2596" i="1"/>
  <c r="S2595" i="1"/>
  <c r="O2595" i="1"/>
  <c r="K2595" i="1"/>
  <c r="J2595" i="1"/>
  <c r="I2595" i="1"/>
  <c r="H2595" i="1"/>
  <c r="G2595" i="1"/>
  <c r="F2595" i="1"/>
  <c r="E2595" i="1"/>
  <c r="D2595" i="1"/>
  <c r="C2595" i="1"/>
  <c r="B2595" i="1"/>
  <c r="A2595" i="1"/>
  <c r="R2594" i="1"/>
  <c r="J2594" i="1"/>
  <c r="I2594" i="1"/>
  <c r="G2594" i="1"/>
  <c r="F2594" i="1"/>
  <c r="E2594" i="1"/>
  <c r="D2594" i="1"/>
  <c r="C2594" i="1"/>
  <c r="B2594" i="1"/>
  <c r="A2594" i="1"/>
  <c r="S2593" i="1"/>
  <c r="O2593" i="1"/>
  <c r="K2593" i="1"/>
  <c r="J2593" i="1"/>
  <c r="I2593" i="1"/>
  <c r="H2593" i="1"/>
  <c r="G2593" i="1"/>
  <c r="F2593" i="1"/>
  <c r="E2593" i="1"/>
  <c r="D2593" i="1"/>
  <c r="C2593" i="1"/>
  <c r="B2593" i="1"/>
  <c r="A2593" i="1"/>
  <c r="R2592" i="1"/>
  <c r="J2592" i="1"/>
  <c r="I2592" i="1"/>
  <c r="G2592" i="1"/>
  <c r="F2592" i="1"/>
  <c r="E2592" i="1"/>
  <c r="D2592" i="1"/>
  <c r="C2592" i="1"/>
  <c r="B2592" i="1"/>
  <c r="A2592" i="1"/>
  <c r="S2591" i="1"/>
  <c r="O2591" i="1"/>
  <c r="K2591" i="1"/>
  <c r="J2591" i="1"/>
  <c r="I2591" i="1"/>
  <c r="H2591" i="1"/>
  <c r="G2591" i="1"/>
  <c r="F2591" i="1"/>
  <c r="E2591" i="1"/>
  <c r="D2591" i="1"/>
  <c r="C2591" i="1"/>
  <c r="B2591" i="1"/>
  <c r="A2591" i="1"/>
  <c r="R2590" i="1"/>
  <c r="J2590" i="1"/>
  <c r="I2590" i="1"/>
  <c r="G2590" i="1"/>
  <c r="F2590" i="1"/>
  <c r="E2590" i="1"/>
  <c r="D2590" i="1"/>
  <c r="C2590" i="1"/>
  <c r="B2590" i="1"/>
  <c r="A2590" i="1"/>
  <c r="S2589" i="1"/>
  <c r="O2589" i="1"/>
  <c r="K2589" i="1"/>
  <c r="J2589" i="1"/>
  <c r="I2589" i="1"/>
  <c r="H2589" i="1"/>
  <c r="G2589" i="1"/>
  <c r="F2589" i="1"/>
  <c r="E2589" i="1"/>
  <c r="D2589" i="1"/>
  <c r="C2589" i="1"/>
  <c r="B2589" i="1"/>
  <c r="A2589" i="1"/>
  <c r="R2588" i="1"/>
  <c r="J2588" i="1"/>
  <c r="I2588" i="1"/>
  <c r="G2588" i="1"/>
  <c r="F2588" i="1"/>
  <c r="E2588" i="1"/>
  <c r="D2588" i="1"/>
  <c r="C2588" i="1"/>
  <c r="B2588" i="1"/>
  <c r="A2588" i="1"/>
  <c r="S2587" i="1"/>
  <c r="O2587" i="1"/>
  <c r="K2587" i="1"/>
  <c r="J2587" i="1"/>
  <c r="I2587" i="1"/>
  <c r="H2587" i="1"/>
  <c r="G2587" i="1"/>
  <c r="F2587" i="1"/>
  <c r="E2587" i="1"/>
  <c r="D2587" i="1"/>
  <c r="C2587" i="1"/>
  <c r="B2587" i="1"/>
  <c r="A2587" i="1"/>
  <c r="R2586" i="1"/>
  <c r="J2586" i="1"/>
  <c r="I2586" i="1"/>
  <c r="G2586" i="1"/>
  <c r="F2586" i="1"/>
  <c r="E2586" i="1"/>
  <c r="D2586" i="1"/>
  <c r="C2586" i="1"/>
  <c r="B2586" i="1"/>
  <c r="A2586" i="1"/>
  <c r="S2585" i="1"/>
  <c r="O2585" i="1"/>
  <c r="K2585" i="1"/>
  <c r="J2585" i="1"/>
  <c r="I2585" i="1"/>
  <c r="H2585" i="1"/>
  <c r="G2585" i="1"/>
  <c r="F2585" i="1"/>
  <c r="E2585" i="1"/>
  <c r="D2585" i="1"/>
  <c r="C2585" i="1"/>
  <c r="B2585" i="1"/>
  <c r="A2585" i="1"/>
  <c r="R2584" i="1"/>
  <c r="J2584" i="1"/>
  <c r="I2584" i="1"/>
  <c r="G2584" i="1"/>
  <c r="F2584" i="1"/>
  <c r="E2584" i="1"/>
  <c r="D2584" i="1"/>
  <c r="C2584" i="1"/>
  <c r="B2584" i="1"/>
  <c r="A2584" i="1"/>
  <c r="S2583" i="1"/>
  <c r="O2583" i="1"/>
  <c r="K2583" i="1"/>
  <c r="J2583" i="1"/>
  <c r="I2583" i="1"/>
  <c r="H2583" i="1"/>
  <c r="G2583" i="1"/>
  <c r="F2583" i="1"/>
  <c r="E2583" i="1"/>
  <c r="D2583" i="1"/>
  <c r="C2583" i="1"/>
  <c r="B2583" i="1"/>
  <c r="A2583" i="1"/>
  <c r="R2582" i="1"/>
  <c r="J2582" i="1"/>
  <c r="I2582" i="1"/>
  <c r="G2582" i="1"/>
  <c r="F2582" i="1"/>
  <c r="E2582" i="1"/>
  <c r="D2582" i="1"/>
  <c r="C2582" i="1"/>
  <c r="B2582" i="1"/>
  <c r="A2582" i="1"/>
  <c r="S2581" i="1"/>
  <c r="O2581" i="1"/>
  <c r="K2581" i="1"/>
  <c r="J2581" i="1"/>
  <c r="I2581" i="1"/>
  <c r="H2581" i="1"/>
  <c r="G2581" i="1"/>
  <c r="F2581" i="1"/>
  <c r="E2581" i="1"/>
  <c r="D2581" i="1"/>
  <c r="C2581" i="1"/>
  <c r="B2581" i="1"/>
  <c r="A2581" i="1"/>
  <c r="R2580" i="1"/>
  <c r="J2580" i="1"/>
  <c r="I2580" i="1"/>
  <c r="G2580" i="1"/>
  <c r="F2580" i="1"/>
  <c r="E2580" i="1"/>
  <c r="D2580" i="1"/>
  <c r="C2580" i="1"/>
  <c r="B2580" i="1"/>
  <c r="A2580" i="1"/>
  <c r="S2579" i="1"/>
  <c r="O2579" i="1"/>
  <c r="K2579" i="1"/>
  <c r="J2579" i="1"/>
  <c r="I2579" i="1"/>
  <c r="H2579" i="1"/>
  <c r="G2579" i="1"/>
  <c r="F2579" i="1"/>
  <c r="E2579" i="1"/>
  <c r="D2579" i="1"/>
  <c r="C2579" i="1"/>
  <c r="B2579" i="1"/>
  <c r="A2579" i="1"/>
  <c r="R2578" i="1"/>
  <c r="J2578" i="1"/>
  <c r="I2578" i="1"/>
  <c r="G2578" i="1"/>
  <c r="F2578" i="1"/>
  <c r="E2578" i="1"/>
  <c r="D2578" i="1"/>
  <c r="C2578" i="1"/>
  <c r="B2578" i="1"/>
  <c r="A2578" i="1"/>
  <c r="S2577" i="1"/>
  <c r="O2577" i="1"/>
  <c r="K2577" i="1"/>
  <c r="J2577" i="1"/>
  <c r="I2577" i="1"/>
  <c r="H2577" i="1"/>
  <c r="G2577" i="1"/>
  <c r="F2577" i="1"/>
  <c r="E2577" i="1"/>
  <c r="D2577" i="1"/>
  <c r="C2577" i="1"/>
  <c r="B2577" i="1"/>
  <c r="A2577" i="1"/>
  <c r="R2576" i="1"/>
  <c r="J2576" i="1"/>
  <c r="I2576" i="1"/>
  <c r="G2576" i="1"/>
  <c r="F2576" i="1"/>
  <c r="E2576" i="1"/>
  <c r="D2576" i="1"/>
  <c r="C2576" i="1"/>
  <c r="B2576" i="1"/>
  <c r="A2576" i="1"/>
  <c r="R2575" i="1"/>
  <c r="J2575" i="1"/>
  <c r="I2575" i="1"/>
  <c r="G2575" i="1"/>
  <c r="F2575" i="1"/>
  <c r="E2575" i="1"/>
  <c r="D2575" i="1"/>
  <c r="C2575" i="1"/>
  <c r="B2575" i="1"/>
  <c r="A2575" i="1"/>
  <c r="S2574" i="1"/>
  <c r="O2574" i="1"/>
  <c r="K2574" i="1"/>
  <c r="J2574" i="1"/>
  <c r="I2574" i="1"/>
  <c r="H2574" i="1"/>
  <c r="G2574" i="1"/>
  <c r="F2574" i="1"/>
  <c r="E2574" i="1"/>
  <c r="D2574" i="1"/>
  <c r="C2574" i="1"/>
  <c r="B2574" i="1"/>
  <c r="A2574" i="1"/>
  <c r="R2573" i="1"/>
  <c r="J2573" i="1"/>
  <c r="I2573" i="1"/>
  <c r="G2573" i="1"/>
  <c r="F2573" i="1"/>
  <c r="E2573" i="1"/>
  <c r="D2573" i="1"/>
  <c r="C2573" i="1"/>
  <c r="B2573" i="1"/>
  <c r="A2573" i="1"/>
  <c r="S2572" i="1"/>
  <c r="O2572" i="1"/>
  <c r="K2572" i="1"/>
  <c r="J2572" i="1"/>
  <c r="I2572" i="1"/>
  <c r="H2572" i="1"/>
  <c r="G2572" i="1"/>
  <c r="F2572" i="1"/>
  <c r="E2572" i="1"/>
  <c r="D2572" i="1"/>
  <c r="C2572" i="1"/>
  <c r="B2572" i="1"/>
  <c r="A2572" i="1"/>
  <c r="R2571" i="1"/>
  <c r="J2571" i="1"/>
  <c r="I2571" i="1"/>
  <c r="G2571" i="1"/>
  <c r="F2571" i="1"/>
  <c r="E2571" i="1"/>
  <c r="D2571" i="1"/>
  <c r="C2571" i="1"/>
  <c r="B2571" i="1"/>
  <c r="A2571" i="1"/>
  <c r="S2570" i="1"/>
  <c r="O2570" i="1"/>
  <c r="K2570" i="1"/>
  <c r="J2570" i="1"/>
  <c r="I2570" i="1"/>
  <c r="H2570" i="1"/>
  <c r="G2570" i="1"/>
  <c r="F2570" i="1"/>
  <c r="E2570" i="1"/>
  <c r="D2570" i="1"/>
  <c r="C2570" i="1"/>
  <c r="B2570" i="1"/>
  <c r="A2570" i="1"/>
  <c r="R2569" i="1"/>
  <c r="J2569" i="1"/>
  <c r="I2569" i="1"/>
  <c r="G2569" i="1"/>
  <c r="F2569" i="1"/>
  <c r="E2569" i="1"/>
  <c r="D2569" i="1"/>
  <c r="C2569" i="1"/>
  <c r="B2569" i="1"/>
  <c r="A2569" i="1"/>
  <c r="S2568" i="1"/>
  <c r="O2568" i="1"/>
  <c r="K2568" i="1"/>
  <c r="J2568" i="1"/>
  <c r="I2568" i="1"/>
  <c r="H2568" i="1"/>
  <c r="G2568" i="1"/>
  <c r="F2568" i="1"/>
  <c r="E2568" i="1"/>
  <c r="D2568" i="1"/>
  <c r="C2568" i="1"/>
  <c r="B2568" i="1"/>
  <c r="A2568" i="1"/>
  <c r="R2567" i="1"/>
  <c r="J2567" i="1"/>
  <c r="I2567" i="1"/>
  <c r="G2567" i="1"/>
  <c r="F2567" i="1"/>
  <c r="E2567" i="1"/>
  <c r="D2567" i="1"/>
  <c r="C2567" i="1"/>
  <c r="B2567" i="1"/>
  <c r="A2567" i="1"/>
  <c r="S2566" i="1"/>
  <c r="O2566" i="1"/>
  <c r="K2566" i="1"/>
  <c r="J2566" i="1"/>
  <c r="I2566" i="1"/>
  <c r="H2566" i="1"/>
  <c r="G2566" i="1"/>
  <c r="F2566" i="1"/>
  <c r="E2566" i="1"/>
  <c r="D2566" i="1"/>
  <c r="C2566" i="1"/>
  <c r="B2566" i="1"/>
  <c r="A2566" i="1"/>
  <c r="R2565" i="1"/>
  <c r="J2565" i="1"/>
  <c r="I2565" i="1"/>
  <c r="G2565" i="1"/>
  <c r="F2565" i="1"/>
  <c r="E2565" i="1"/>
  <c r="D2565" i="1"/>
  <c r="C2565" i="1"/>
  <c r="B2565" i="1"/>
  <c r="A2565" i="1"/>
  <c r="S2564" i="1"/>
  <c r="O2564" i="1"/>
  <c r="K2564" i="1"/>
  <c r="J2564" i="1"/>
  <c r="I2564" i="1"/>
  <c r="H2564" i="1"/>
  <c r="G2564" i="1"/>
  <c r="F2564" i="1"/>
  <c r="E2564" i="1"/>
  <c r="D2564" i="1"/>
  <c r="C2564" i="1"/>
  <c r="B2564" i="1"/>
  <c r="A2564" i="1"/>
  <c r="R2563" i="1"/>
  <c r="J2563" i="1"/>
  <c r="I2563" i="1"/>
  <c r="G2563" i="1"/>
  <c r="F2563" i="1"/>
  <c r="E2563" i="1"/>
  <c r="D2563" i="1"/>
  <c r="C2563" i="1"/>
  <c r="B2563" i="1"/>
  <c r="A2563" i="1"/>
  <c r="S2562" i="1"/>
  <c r="O2562" i="1"/>
  <c r="K2562" i="1"/>
  <c r="J2562" i="1"/>
  <c r="I2562" i="1"/>
  <c r="H2562" i="1"/>
  <c r="G2562" i="1"/>
  <c r="F2562" i="1"/>
  <c r="E2562" i="1"/>
  <c r="D2562" i="1"/>
  <c r="C2562" i="1"/>
  <c r="B2562" i="1"/>
  <c r="A2562" i="1"/>
  <c r="R2561" i="1"/>
  <c r="J2561" i="1"/>
  <c r="I2561" i="1"/>
  <c r="G2561" i="1"/>
  <c r="F2561" i="1"/>
  <c r="E2561" i="1"/>
  <c r="D2561" i="1"/>
  <c r="C2561" i="1"/>
  <c r="B2561" i="1"/>
  <c r="A2561" i="1"/>
  <c r="S2560" i="1"/>
  <c r="O2560" i="1"/>
  <c r="K2560" i="1"/>
  <c r="J2560" i="1"/>
  <c r="I2560" i="1"/>
  <c r="H2560" i="1"/>
  <c r="G2560" i="1"/>
  <c r="F2560" i="1"/>
  <c r="E2560" i="1"/>
  <c r="D2560" i="1"/>
  <c r="C2560" i="1"/>
  <c r="B2560" i="1"/>
  <c r="A2560" i="1"/>
  <c r="R2559" i="1"/>
  <c r="J2559" i="1"/>
  <c r="I2559" i="1"/>
  <c r="G2559" i="1"/>
  <c r="F2559" i="1"/>
  <c r="E2559" i="1"/>
  <c r="D2559" i="1"/>
  <c r="C2559" i="1"/>
  <c r="B2559" i="1"/>
  <c r="A2559" i="1"/>
  <c r="S2558" i="1"/>
  <c r="O2558" i="1"/>
  <c r="K2558" i="1"/>
  <c r="J2558" i="1"/>
  <c r="I2558" i="1"/>
  <c r="H2558" i="1"/>
  <c r="G2558" i="1"/>
  <c r="F2558" i="1"/>
  <c r="E2558" i="1"/>
  <c r="D2558" i="1"/>
  <c r="C2558" i="1"/>
  <c r="B2558" i="1"/>
  <c r="A2558" i="1"/>
  <c r="R2557" i="1"/>
  <c r="J2557" i="1"/>
  <c r="I2557" i="1"/>
  <c r="G2557" i="1"/>
  <c r="F2557" i="1"/>
  <c r="E2557" i="1"/>
  <c r="D2557" i="1"/>
  <c r="C2557" i="1"/>
  <c r="B2557" i="1"/>
  <c r="A2557" i="1"/>
  <c r="S2556" i="1"/>
  <c r="O2556" i="1"/>
  <c r="K2556" i="1"/>
  <c r="J2556" i="1"/>
  <c r="I2556" i="1"/>
  <c r="H2556" i="1"/>
  <c r="G2556" i="1"/>
  <c r="F2556" i="1"/>
  <c r="E2556" i="1"/>
  <c r="D2556" i="1"/>
  <c r="C2556" i="1"/>
  <c r="B2556" i="1"/>
  <c r="A2556" i="1"/>
  <c r="R2555" i="1"/>
  <c r="J2555" i="1"/>
  <c r="I2555" i="1"/>
  <c r="G2555" i="1"/>
  <c r="F2555" i="1"/>
  <c r="E2555" i="1"/>
  <c r="D2555" i="1"/>
  <c r="C2555" i="1"/>
  <c r="B2555" i="1"/>
  <c r="A2555" i="1"/>
  <c r="S2554" i="1"/>
  <c r="O2554" i="1"/>
  <c r="K2554" i="1"/>
  <c r="J2554" i="1"/>
  <c r="I2554" i="1"/>
  <c r="H2554" i="1"/>
  <c r="G2554" i="1"/>
  <c r="F2554" i="1"/>
  <c r="E2554" i="1"/>
  <c r="D2554" i="1"/>
  <c r="C2554" i="1"/>
  <c r="B2554" i="1"/>
  <c r="A2554" i="1"/>
  <c r="R2553" i="1"/>
  <c r="J2553" i="1"/>
  <c r="I2553" i="1"/>
  <c r="G2553" i="1"/>
  <c r="F2553" i="1"/>
  <c r="E2553" i="1"/>
  <c r="D2553" i="1"/>
  <c r="C2553" i="1"/>
  <c r="B2553" i="1"/>
  <c r="A2553" i="1"/>
  <c r="S2552" i="1"/>
  <c r="O2552" i="1"/>
  <c r="K2552" i="1"/>
  <c r="J2552" i="1"/>
  <c r="I2552" i="1"/>
  <c r="H2552" i="1"/>
  <c r="G2552" i="1"/>
  <c r="F2552" i="1"/>
  <c r="E2552" i="1"/>
  <c r="D2552" i="1"/>
  <c r="C2552" i="1"/>
  <c r="B2552" i="1"/>
  <c r="A2552" i="1"/>
  <c r="R2551" i="1"/>
  <c r="J2551" i="1"/>
  <c r="I2551" i="1"/>
  <c r="G2551" i="1"/>
  <c r="F2551" i="1"/>
  <c r="E2551" i="1"/>
  <c r="D2551" i="1"/>
  <c r="C2551" i="1"/>
  <c r="B2551" i="1"/>
  <c r="A2551" i="1"/>
  <c r="S2550" i="1"/>
  <c r="O2550" i="1"/>
  <c r="K2550" i="1"/>
  <c r="J2550" i="1"/>
  <c r="I2550" i="1"/>
  <c r="H2550" i="1"/>
  <c r="G2550" i="1"/>
  <c r="F2550" i="1"/>
  <c r="E2550" i="1"/>
  <c r="D2550" i="1"/>
  <c r="C2550" i="1"/>
  <c r="B2550" i="1"/>
  <c r="A2550" i="1"/>
  <c r="R2549" i="1"/>
  <c r="J2549" i="1"/>
  <c r="I2549" i="1"/>
  <c r="G2549" i="1"/>
  <c r="F2549" i="1"/>
  <c r="E2549" i="1"/>
  <c r="D2549" i="1"/>
  <c r="C2549" i="1"/>
  <c r="B2549" i="1"/>
  <c r="A2549" i="1"/>
  <c r="R2548" i="1"/>
  <c r="J2548" i="1"/>
  <c r="I2548" i="1"/>
  <c r="G2548" i="1"/>
  <c r="F2548" i="1"/>
  <c r="E2548" i="1"/>
  <c r="D2548" i="1"/>
  <c r="C2548" i="1"/>
  <c r="B2548" i="1"/>
  <c r="A2548" i="1"/>
  <c r="S2547" i="1"/>
  <c r="O2547" i="1"/>
  <c r="K2547" i="1"/>
  <c r="J2547" i="1"/>
  <c r="I2547" i="1"/>
  <c r="H2547" i="1"/>
  <c r="G2547" i="1"/>
  <c r="F2547" i="1"/>
  <c r="E2547" i="1"/>
  <c r="D2547" i="1"/>
  <c r="C2547" i="1"/>
  <c r="B2547" i="1"/>
  <c r="A2547" i="1"/>
  <c r="R2546" i="1"/>
  <c r="J2546" i="1"/>
  <c r="I2546" i="1"/>
  <c r="G2546" i="1"/>
  <c r="F2546" i="1"/>
  <c r="E2546" i="1"/>
  <c r="D2546" i="1"/>
  <c r="C2546" i="1"/>
  <c r="B2546" i="1"/>
  <c r="A2546" i="1"/>
  <c r="S2545" i="1"/>
  <c r="O2545" i="1"/>
  <c r="K2545" i="1"/>
  <c r="J2545" i="1"/>
  <c r="I2545" i="1"/>
  <c r="H2545" i="1"/>
  <c r="G2545" i="1"/>
  <c r="F2545" i="1"/>
  <c r="E2545" i="1"/>
  <c r="D2545" i="1"/>
  <c r="C2545" i="1"/>
  <c r="B2545" i="1"/>
  <c r="A2545" i="1"/>
  <c r="R2544" i="1"/>
  <c r="J2544" i="1"/>
  <c r="I2544" i="1"/>
  <c r="G2544" i="1"/>
  <c r="F2544" i="1"/>
  <c r="E2544" i="1"/>
  <c r="D2544" i="1"/>
  <c r="C2544" i="1"/>
  <c r="B2544" i="1"/>
  <c r="A2544" i="1"/>
  <c r="S2543" i="1"/>
  <c r="O2543" i="1"/>
  <c r="K2543" i="1"/>
  <c r="J2543" i="1"/>
  <c r="I2543" i="1"/>
  <c r="H2543" i="1"/>
  <c r="G2543" i="1"/>
  <c r="F2543" i="1"/>
  <c r="E2543" i="1"/>
  <c r="D2543" i="1"/>
  <c r="C2543" i="1"/>
  <c r="B2543" i="1"/>
  <c r="A2543" i="1"/>
  <c r="R2542" i="1"/>
  <c r="J2542" i="1"/>
  <c r="I2542" i="1"/>
  <c r="G2542" i="1"/>
  <c r="F2542" i="1"/>
  <c r="E2542" i="1"/>
  <c r="D2542" i="1"/>
  <c r="C2542" i="1"/>
  <c r="B2542" i="1"/>
  <c r="A2542" i="1"/>
  <c r="S2541" i="1"/>
  <c r="O2541" i="1"/>
  <c r="K2541" i="1"/>
  <c r="J2541" i="1"/>
  <c r="I2541" i="1"/>
  <c r="H2541" i="1"/>
  <c r="G2541" i="1"/>
  <c r="F2541" i="1"/>
  <c r="E2541" i="1"/>
  <c r="D2541" i="1"/>
  <c r="C2541" i="1"/>
  <c r="B2541" i="1"/>
  <c r="A2541" i="1"/>
  <c r="R2540" i="1"/>
  <c r="J2540" i="1"/>
  <c r="I2540" i="1"/>
  <c r="G2540" i="1"/>
  <c r="F2540" i="1"/>
  <c r="E2540" i="1"/>
  <c r="D2540" i="1"/>
  <c r="C2540" i="1"/>
  <c r="B2540" i="1"/>
  <c r="A2540" i="1"/>
  <c r="S2539" i="1"/>
  <c r="O2539" i="1"/>
  <c r="K2539" i="1"/>
  <c r="J2539" i="1"/>
  <c r="I2539" i="1"/>
  <c r="H2539" i="1"/>
  <c r="G2539" i="1"/>
  <c r="F2539" i="1"/>
  <c r="E2539" i="1"/>
  <c r="D2539" i="1"/>
  <c r="C2539" i="1"/>
  <c r="B2539" i="1"/>
  <c r="A2539" i="1"/>
  <c r="R2538" i="1"/>
  <c r="J2538" i="1"/>
  <c r="I2538" i="1"/>
  <c r="G2538" i="1"/>
  <c r="F2538" i="1"/>
  <c r="E2538" i="1"/>
  <c r="D2538" i="1"/>
  <c r="C2538" i="1"/>
  <c r="B2538" i="1"/>
  <c r="A2538" i="1"/>
  <c r="S2537" i="1"/>
  <c r="O2537" i="1"/>
  <c r="K2537" i="1"/>
  <c r="J2537" i="1"/>
  <c r="I2537" i="1"/>
  <c r="H2537" i="1"/>
  <c r="G2537" i="1"/>
  <c r="F2537" i="1"/>
  <c r="E2537" i="1"/>
  <c r="D2537" i="1"/>
  <c r="C2537" i="1"/>
  <c r="B2537" i="1"/>
  <c r="A2537" i="1"/>
  <c r="R2536" i="1"/>
  <c r="J2536" i="1"/>
  <c r="I2536" i="1"/>
  <c r="G2536" i="1"/>
  <c r="F2536" i="1"/>
  <c r="E2536" i="1"/>
  <c r="D2536" i="1"/>
  <c r="C2536" i="1"/>
  <c r="B2536" i="1"/>
  <c r="A2536" i="1"/>
  <c r="S2535" i="1"/>
  <c r="O2535" i="1"/>
  <c r="K2535" i="1"/>
  <c r="J2535" i="1"/>
  <c r="I2535" i="1"/>
  <c r="H2535" i="1"/>
  <c r="G2535" i="1"/>
  <c r="F2535" i="1"/>
  <c r="E2535" i="1"/>
  <c r="D2535" i="1"/>
  <c r="C2535" i="1"/>
  <c r="B2535" i="1"/>
  <c r="A2535" i="1"/>
  <c r="R2534" i="1"/>
  <c r="J2534" i="1"/>
  <c r="I2534" i="1"/>
  <c r="G2534" i="1"/>
  <c r="F2534" i="1"/>
  <c r="E2534" i="1"/>
  <c r="D2534" i="1"/>
  <c r="C2534" i="1"/>
  <c r="B2534" i="1"/>
  <c r="A2534" i="1"/>
  <c r="S2533" i="1"/>
  <c r="O2533" i="1"/>
  <c r="K2533" i="1"/>
  <c r="J2533" i="1"/>
  <c r="I2533" i="1"/>
  <c r="H2533" i="1"/>
  <c r="G2533" i="1"/>
  <c r="F2533" i="1"/>
  <c r="E2533" i="1"/>
  <c r="D2533" i="1"/>
  <c r="C2533" i="1"/>
  <c r="B2533" i="1"/>
  <c r="A2533" i="1"/>
  <c r="R2532" i="1"/>
  <c r="J2532" i="1"/>
  <c r="I2532" i="1"/>
  <c r="G2532" i="1"/>
  <c r="F2532" i="1"/>
  <c r="E2532" i="1"/>
  <c r="D2532" i="1"/>
  <c r="C2532" i="1"/>
  <c r="B2532" i="1"/>
  <c r="A2532" i="1"/>
  <c r="S2531" i="1"/>
  <c r="O2531" i="1"/>
  <c r="K2531" i="1"/>
  <c r="J2531" i="1"/>
  <c r="I2531" i="1"/>
  <c r="H2531" i="1"/>
  <c r="G2531" i="1"/>
  <c r="F2531" i="1"/>
  <c r="E2531" i="1"/>
  <c r="D2531" i="1"/>
  <c r="C2531" i="1"/>
  <c r="B2531" i="1"/>
  <c r="A2531" i="1"/>
  <c r="R2530" i="1"/>
  <c r="J2530" i="1"/>
  <c r="I2530" i="1"/>
  <c r="G2530" i="1"/>
  <c r="F2530" i="1"/>
  <c r="E2530" i="1"/>
  <c r="D2530" i="1"/>
  <c r="C2530" i="1"/>
  <c r="B2530" i="1"/>
  <c r="A2530" i="1"/>
  <c r="S2529" i="1"/>
  <c r="O2529" i="1"/>
  <c r="K2529" i="1"/>
  <c r="J2529" i="1"/>
  <c r="I2529" i="1"/>
  <c r="H2529" i="1"/>
  <c r="G2529" i="1"/>
  <c r="F2529" i="1"/>
  <c r="E2529" i="1"/>
  <c r="D2529" i="1"/>
  <c r="C2529" i="1"/>
  <c r="B2529" i="1"/>
  <c r="A2529" i="1"/>
  <c r="R2528" i="1"/>
  <c r="J2528" i="1"/>
  <c r="I2528" i="1"/>
  <c r="G2528" i="1"/>
  <c r="F2528" i="1"/>
  <c r="E2528" i="1"/>
  <c r="D2528" i="1"/>
  <c r="C2528" i="1"/>
  <c r="B2528" i="1"/>
  <c r="A2528" i="1"/>
  <c r="S2527" i="1"/>
  <c r="O2527" i="1"/>
  <c r="K2527" i="1"/>
  <c r="J2527" i="1"/>
  <c r="I2527" i="1"/>
  <c r="H2527" i="1"/>
  <c r="G2527" i="1"/>
  <c r="F2527" i="1"/>
  <c r="E2527" i="1"/>
  <c r="D2527" i="1"/>
  <c r="C2527" i="1"/>
  <c r="B2527" i="1"/>
  <c r="A2527" i="1"/>
  <c r="R2526" i="1"/>
  <c r="J2526" i="1"/>
  <c r="I2526" i="1"/>
  <c r="G2526" i="1"/>
  <c r="F2526" i="1"/>
  <c r="E2526" i="1"/>
  <c r="D2526" i="1"/>
  <c r="C2526" i="1"/>
  <c r="B2526" i="1"/>
  <c r="A2526" i="1"/>
  <c r="S2525" i="1"/>
  <c r="O2525" i="1"/>
  <c r="K2525" i="1"/>
  <c r="J2525" i="1"/>
  <c r="I2525" i="1"/>
  <c r="H2525" i="1"/>
  <c r="G2525" i="1"/>
  <c r="F2525" i="1"/>
  <c r="E2525" i="1"/>
  <c r="D2525" i="1"/>
  <c r="C2525" i="1"/>
  <c r="B2525" i="1"/>
  <c r="A2525" i="1"/>
  <c r="R2524" i="1"/>
  <c r="J2524" i="1"/>
  <c r="I2524" i="1"/>
  <c r="G2524" i="1"/>
  <c r="F2524" i="1"/>
  <c r="E2524" i="1"/>
  <c r="D2524" i="1"/>
  <c r="C2524" i="1"/>
  <c r="B2524" i="1"/>
  <c r="A2524" i="1"/>
  <c r="S2523" i="1"/>
  <c r="O2523" i="1"/>
  <c r="K2523" i="1"/>
  <c r="J2523" i="1"/>
  <c r="I2523" i="1"/>
  <c r="H2523" i="1"/>
  <c r="G2523" i="1"/>
  <c r="F2523" i="1"/>
  <c r="E2523" i="1"/>
  <c r="D2523" i="1"/>
  <c r="C2523" i="1"/>
  <c r="B2523" i="1"/>
  <c r="A2523" i="1"/>
  <c r="R2522" i="1"/>
  <c r="J2522" i="1"/>
  <c r="I2522" i="1"/>
  <c r="G2522" i="1"/>
  <c r="F2522" i="1"/>
  <c r="E2522" i="1"/>
  <c r="D2522" i="1"/>
  <c r="C2522" i="1"/>
  <c r="B2522" i="1"/>
  <c r="A2522" i="1"/>
  <c r="S2521" i="1"/>
  <c r="O2521" i="1"/>
  <c r="K2521" i="1"/>
  <c r="J2521" i="1"/>
  <c r="I2521" i="1"/>
  <c r="H2521" i="1"/>
  <c r="G2521" i="1"/>
  <c r="F2521" i="1"/>
  <c r="E2521" i="1"/>
  <c r="D2521" i="1"/>
  <c r="C2521" i="1"/>
  <c r="B2521" i="1"/>
  <c r="A2521" i="1"/>
  <c r="R2520" i="1"/>
  <c r="J2520" i="1"/>
  <c r="I2520" i="1"/>
  <c r="G2520" i="1"/>
  <c r="F2520" i="1"/>
  <c r="E2520" i="1"/>
  <c r="D2520" i="1"/>
  <c r="C2520" i="1"/>
  <c r="B2520" i="1"/>
  <c r="A2520" i="1"/>
  <c r="S2519" i="1"/>
  <c r="O2519" i="1"/>
  <c r="K2519" i="1"/>
  <c r="J2519" i="1"/>
  <c r="I2519" i="1"/>
  <c r="H2519" i="1"/>
  <c r="G2519" i="1"/>
  <c r="F2519" i="1"/>
  <c r="E2519" i="1"/>
  <c r="D2519" i="1"/>
  <c r="C2519" i="1"/>
  <c r="B2519" i="1"/>
  <c r="A2519" i="1"/>
  <c r="R2518" i="1"/>
  <c r="J2518" i="1"/>
  <c r="I2518" i="1"/>
  <c r="G2518" i="1"/>
  <c r="F2518" i="1"/>
  <c r="E2518" i="1"/>
  <c r="D2518" i="1"/>
  <c r="C2518" i="1"/>
  <c r="B2518" i="1"/>
  <c r="A2518" i="1"/>
  <c r="S2517" i="1"/>
  <c r="O2517" i="1"/>
  <c r="K2517" i="1"/>
  <c r="J2517" i="1"/>
  <c r="I2517" i="1"/>
  <c r="H2517" i="1"/>
  <c r="G2517" i="1"/>
  <c r="F2517" i="1"/>
  <c r="E2517" i="1"/>
  <c r="D2517" i="1"/>
  <c r="C2517" i="1"/>
  <c r="B2517" i="1"/>
  <c r="A2517" i="1"/>
  <c r="R2516" i="1"/>
  <c r="J2516" i="1"/>
  <c r="I2516" i="1"/>
  <c r="G2516" i="1"/>
  <c r="F2516" i="1"/>
  <c r="E2516" i="1"/>
  <c r="D2516" i="1"/>
  <c r="C2516" i="1"/>
  <c r="B2516" i="1"/>
  <c r="A2516" i="1"/>
  <c r="S2515" i="1"/>
  <c r="O2515" i="1"/>
  <c r="K2515" i="1"/>
  <c r="J2515" i="1"/>
  <c r="I2515" i="1"/>
  <c r="H2515" i="1"/>
  <c r="G2515" i="1"/>
  <c r="F2515" i="1"/>
  <c r="E2515" i="1"/>
  <c r="D2515" i="1"/>
  <c r="C2515" i="1"/>
  <c r="B2515" i="1"/>
  <c r="A2515" i="1"/>
  <c r="R2514" i="1"/>
  <c r="J2514" i="1"/>
  <c r="I2514" i="1"/>
  <c r="G2514" i="1"/>
  <c r="F2514" i="1"/>
  <c r="E2514" i="1"/>
  <c r="D2514" i="1"/>
  <c r="C2514" i="1"/>
  <c r="B2514" i="1"/>
  <c r="A2514" i="1"/>
  <c r="S2513" i="1"/>
  <c r="O2513" i="1"/>
  <c r="K2513" i="1"/>
  <c r="J2513" i="1"/>
  <c r="I2513" i="1"/>
  <c r="H2513" i="1"/>
  <c r="G2513" i="1"/>
  <c r="F2513" i="1"/>
  <c r="E2513" i="1"/>
  <c r="D2513" i="1"/>
  <c r="C2513" i="1"/>
  <c r="B2513" i="1"/>
  <c r="A2513" i="1"/>
  <c r="R2512" i="1"/>
  <c r="J2512" i="1"/>
  <c r="I2512" i="1"/>
  <c r="G2512" i="1"/>
  <c r="F2512" i="1"/>
  <c r="E2512" i="1"/>
  <c r="D2512" i="1"/>
  <c r="C2512" i="1"/>
  <c r="B2512" i="1"/>
  <c r="A2512" i="1"/>
  <c r="S2511" i="1"/>
  <c r="O2511" i="1"/>
  <c r="K2511" i="1"/>
  <c r="J2511" i="1"/>
  <c r="I2511" i="1"/>
  <c r="H2511" i="1"/>
  <c r="G2511" i="1"/>
  <c r="F2511" i="1"/>
  <c r="E2511" i="1"/>
  <c r="D2511" i="1"/>
  <c r="C2511" i="1"/>
  <c r="B2511" i="1"/>
  <c r="A2511" i="1"/>
  <c r="R2510" i="1"/>
  <c r="J2510" i="1"/>
  <c r="I2510" i="1"/>
  <c r="G2510" i="1"/>
  <c r="F2510" i="1"/>
  <c r="E2510" i="1"/>
  <c r="D2510" i="1"/>
  <c r="C2510" i="1"/>
  <c r="B2510" i="1"/>
  <c r="A2510" i="1"/>
  <c r="R2509" i="1"/>
  <c r="J2509" i="1"/>
  <c r="I2509" i="1"/>
  <c r="G2509" i="1"/>
  <c r="F2509" i="1"/>
  <c r="E2509" i="1"/>
  <c r="D2509" i="1"/>
  <c r="C2509" i="1"/>
  <c r="B2509" i="1"/>
  <c r="A2509" i="1"/>
  <c r="S2508" i="1"/>
  <c r="O2508" i="1"/>
  <c r="K2508" i="1"/>
  <c r="J2508" i="1"/>
  <c r="I2508" i="1"/>
  <c r="H2508" i="1"/>
  <c r="G2508" i="1"/>
  <c r="F2508" i="1"/>
  <c r="E2508" i="1"/>
  <c r="D2508" i="1"/>
  <c r="C2508" i="1"/>
  <c r="B2508" i="1"/>
  <c r="A2508" i="1"/>
  <c r="R2507" i="1"/>
  <c r="J2507" i="1"/>
  <c r="I2507" i="1"/>
  <c r="G2507" i="1"/>
  <c r="F2507" i="1"/>
  <c r="E2507" i="1"/>
  <c r="D2507" i="1"/>
  <c r="C2507" i="1"/>
  <c r="B2507" i="1"/>
  <c r="A2507" i="1"/>
  <c r="R2506" i="1"/>
  <c r="J2506" i="1"/>
  <c r="I2506" i="1"/>
  <c r="G2506" i="1"/>
  <c r="F2506" i="1"/>
  <c r="E2506" i="1"/>
  <c r="D2506" i="1"/>
  <c r="C2506" i="1"/>
  <c r="B2506" i="1"/>
  <c r="A2506" i="1"/>
  <c r="S2505" i="1"/>
  <c r="O2505" i="1"/>
  <c r="K2505" i="1"/>
  <c r="J2505" i="1"/>
  <c r="I2505" i="1"/>
  <c r="H2505" i="1"/>
  <c r="G2505" i="1"/>
  <c r="F2505" i="1"/>
  <c r="E2505" i="1"/>
  <c r="D2505" i="1"/>
  <c r="C2505" i="1"/>
  <c r="B2505" i="1"/>
  <c r="A2505" i="1"/>
  <c r="R2504" i="1"/>
  <c r="J2504" i="1"/>
  <c r="I2504" i="1"/>
  <c r="G2504" i="1"/>
  <c r="F2504" i="1"/>
  <c r="E2504" i="1"/>
  <c r="D2504" i="1"/>
  <c r="C2504" i="1"/>
  <c r="B2504" i="1"/>
  <c r="A2504" i="1"/>
  <c r="S2503" i="1"/>
  <c r="O2503" i="1"/>
  <c r="K2503" i="1"/>
  <c r="J2503" i="1"/>
  <c r="I2503" i="1"/>
  <c r="H2503" i="1"/>
  <c r="G2503" i="1"/>
  <c r="F2503" i="1"/>
  <c r="E2503" i="1"/>
  <c r="D2503" i="1"/>
  <c r="C2503" i="1"/>
  <c r="B2503" i="1"/>
  <c r="A2503" i="1"/>
  <c r="R2502" i="1"/>
  <c r="J2502" i="1"/>
  <c r="I2502" i="1"/>
  <c r="G2502" i="1"/>
  <c r="F2502" i="1"/>
  <c r="E2502" i="1"/>
  <c r="D2502" i="1"/>
  <c r="C2502" i="1"/>
  <c r="B2502" i="1"/>
  <c r="A2502" i="1"/>
  <c r="S2501" i="1"/>
  <c r="O2501" i="1"/>
  <c r="K2501" i="1"/>
  <c r="J2501" i="1"/>
  <c r="I2501" i="1"/>
  <c r="H2501" i="1"/>
  <c r="G2501" i="1"/>
  <c r="F2501" i="1"/>
  <c r="E2501" i="1"/>
  <c r="D2501" i="1"/>
  <c r="C2501" i="1"/>
  <c r="B2501" i="1"/>
  <c r="A2501" i="1"/>
  <c r="R2500" i="1"/>
  <c r="J2500" i="1"/>
  <c r="I2500" i="1"/>
  <c r="G2500" i="1"/>
  <c r="F2500" i="1"/>
  <c r="E2500" i="1"/>
  <c r="D2500" i="1"/>
  <c r="C2500" i="1"/>
  <c r="B2500" i="1"/>
  <c r="A2500" i="1"/>
  <c r="R2499" i="1"/>
  <c r="J2499" i="1"/>
  <c r="I2499" i="1"/>
  <c r="G2499" i="1"/>
  <c r="F2499" i="1"/>
  <c r="E2499" i="1"/>
  <c r="D2499" i="1"/>
  <c r="C2499" i="1"/>
  <c r="B2499" i="1"/>
  <c r="A2499" i="1"/>
  <c r="S2498" i="1"/>
  <c r="O2498" i="1"/>
  <c r="K2498" i="1"/>
  <c r="J2498" i="1"/>
  <c r="I2498" i="1"/>
  <c r="H2498" i="1"/>
  <c r="G2498" i="1"/>
  <c r="F2498" i="1"/>
  <c r="E2498" i="1"/>
  <c r="D2498" i="1"/>
  <c r="C2498" i="1"/>
  <c r="B2498" i="1"/>
  <c r="A2498" i="1"/>
  <c r="R2497" i="1"/>
  <c r="J2497" i="1"/>
  <c r="I2497" i="1"/>
  <c r="G2497" i="1"/>
  <c r="F2497" i="1"/>
  <c r="E2497" i="1"/>
  <c r="D2497" i="1"/>
  <c r="C2497" i="1"/>
  <c r="B2497" i="1"/>
  <c r="A2497" i="1"/>
  <c r="S2496" i="1"/>
  <c r="O2496" i="1"/>
  <c r="K2496" i="1"/>
  <c r="J2496" i="1"/>
  <c r="I2496" i="1"/>
  <c r="H2496" i="1"/>
  <c r="G2496" i="1"/>
  <c r="F2496" i="1"/>
  <c r="E2496" i="1"/>
  <c r="D2496" i="1"/>
  <c r="C2496" i="1"/>
  <c r="B2496" i="1"/>
  <c r="A2496" i="1"/>
  <c r="R2495" i="1"/>
  <c r="J2495" i="1"/>
  <c r="I2495" i="1"/>
  <c r="G2495" i="1"/>
  <c r="F2495" i="1"/>
  <c r="E2495" i="1"/>
  <c r="D2495" i="1"/>
  <c r="C2495" i="1"/>
  <c r="B2495" i="1"/>
  <c r="A2495" i="1"/>
  <c r="R2494" i="1"/>
  <c r="J2494" i="1"/>
  <c r="I2494" i="1"/>
  <c r="G2494" i="1"/>
  <c r="F2494" i="1"/>
  <c r="E2494" i="1"/>
  <c r="D2494" i="1"/>
  <c r="C2494" i="1"/>
  <c r="B2494" i="1"/>
  <c r="A2494" i="1"/>
  <c r="S2493" i="1"/>
  <c r="O2493" i="1"/>
  <c r="K2493" i="1"/>
  <c r="J2493" i="1"/>
  <c r="I2493" i="1"/>
  <c r="H2493" i="1"/>
  <c r="G2493" i="1"/>
  <c r="F2493" i="1"/>
  <c r="E2493" i="1"/>
  <c r="D2493" i="1"/>
  <c r="C2493" i="1"/>
  <c r="B2493" i="1"/>
  <c r="A2493" i="1"/>
  <c r="R2492" i="1"/>
  <c r="J2492" i="1"/>
  <c r="I2492" i="1"/>
  <c r="G2492" i="1"/>
  <c r="F2492" i="1"/>
  <c r="E2492" i="1"/>
  <c r="D2492" i="1"/>
  <c r="C2492" i="1"/>
  <c r="B2492" i="1"/>
  <c r="A2492" i="1"/>
  <c r="R2491" i="1"/>
  <c r="J2491" i="1"/>
  <c r="I2491" i="1"/>
  <c r="G2491" i="1"/>
  <c r="F2491" i="1"/>
  <c r="E2491" i="1"/>
  <c r="D2491" i="1"/>
  <c r="C2491" i="1"/>
  <c r="B2491" i="1"/>
  <c r="A2491" i="1"/>
  <c r="S2490" i="1"/>
  <c r="O2490" i="1"/>
  <c r="K2490" i="1"/>
  <c r="J2490" i="1"/>
  <c r="I2490" i="1"/>
  <c r="H2490" i="1"/>
  <c r="G2490" i="1"/>
  <c r="F2490" i="1"/>
  <c r="E2490" i="1"/>
  <c r="D2490" i="1"/>
  <c r="C2490" i="1"/>
  <c r="B2490" i="1"/>
  <c r="A2490" i="1"/>
  <c r="R2489" i="1"/>
  <c r="J2489" i="1"/>
  <c r="I2489" i="1"/>
  <c r="G2489" i="1"/>
  <c r="F2489" i="1"/>
  <c r="E2489" i="1"/>
  <c r="D2489" i="1"/>
  <c r="C2489" i="1"/>
  <c r="B2489" i="1"/>
  <c r="A2489" i="1"/>
  <c r="S2488" i="1"/>
  <c r="O2488" i="1"/>
  <c r="K2488" i="1"/>
  <c r="J2488" i="1"/>
  <c r="I2488" i="1"/>
  <c r="H2488" i="1"/>
  <c r="G2488" i="1"/>
  <c r="F2488" i="1"/>
  <c r="E2488" i="1"/>
  <c r="D2488" i="1"/>
  <c r="C2488" i="1"/>
  <c r="B2488" i="1"/>
  <c r="A2488" i="1"/>
  <c r="R2487" i="1"/>
  <c r="J2487" i="1"/>
  <c r="I2487" i="1"/>
  <c r="G2487" i="1"/>
  <c r="F2487" i="1"/>
  <c r="E2487" i="1"/>
  <c r="D2487" i="1"/>
  <c r="C2487" i="1"/>
  <c r="B2487" i="1"/>
  <c r="A2487" i="1"/>
  <c r="S2486" i="1"/>
  <c r="O2486" i="1"/>
  <c r="K2486" i="1"/>
  <c r="J2486" i="1"/>
  <c r="I2486" i="1"/>
  <c r="H2486" i="1"/>
  <c r="G2486" i="1"/>
  <c r="F2486" i="1"/>
  <c r="E2486" i="1"/>
  <c r="D2486" i="1"/>
  <c r="C2486" i="1"/>
  <c r="B2486" i="1"/>
  <c r="A2486" i="1"/>
  <c r="R2485" i="1"/>
  <c r="J2485" i="1"/>
  <c r="I2485" i="1"/>
  <c r="G2485" i="1"/>
  <c r="F2485" i="1"/>
  <c r="E2485" i="1"/>
  <c r="D2485" i="1"/>
  <c r="C2485" i="1"/>
  <c r="B2485" i="1"/>
  <c r="A2485" i="1"/>
  <c r="S2484" i="1"/>
  <c r="O2484" i="1"/>
  <c r="K2484" i="1"/>
  <c r="J2484" i="1"/>
  <c r="I2484" i="1"/>
  <c r="H2484" i="1"/>
  <c r="G2484" i="1"/>
  <c r="F2484" i="1"/>
  <c r="E2484" i="1"/>
  <c r="D2484" i="1"/>
  <c r="C2484" i="1"/>
  <c r="B2484" i="1"/>
  <c r="A2484" i="1"/>
  <c r="R2483" i="1"/>
  <c r="J2483" i="1"/>
  <c r="I2483" i="1"/>
  <c r="G2483" i="1"/>
  <c r="F2483" i="1"/>
  <c r="E2483" i="1"/>
  <c r="D2483" i="1"/>
  <c r="C2483" i="1"/>
  <c r="B2483" i="1"/>
  <c r="A2483" i="1"/>
  <c r="R2482" i="1"/>
  <c r="J2482" i="1"/>
  <c r="I2482" i="1"/>
  <c r="G2482" i="1"/>
  <c r="F2482" i="1"/>
  <c r="E2482" i="1"/>
  <c r="D2482" i="1"/>
  <c r="C2482" i="1"/>
  <c r="B2482" i="1"/>
  <c r="A2482" i="1"/>
  <c r="R2481" i="1"/>
  <c r="J2481" i="1"/>
  <c r="I2481" i="1"/>
  <c r="G2481" i="1"/>
  <c r="F2481" i="1"/>
  <c r="E2481" i="1"/>
  <c r="D2481" i="1"/>
  <c r="C2481" i="1"/>
  <c r="B2481" i="1"/>
  <c r="A2481" i="1"/>
  <c r="S2480" i="1"/>
  <c r="O2480" i="1"/>
  <c r="K2480" i="1"/>
  <c r="J2480" i="1"/>
  <c r="I2480" i="1"/>
  <c r="H2480" i="1"/>
  <c r="G2480" i="1"/>
  <c r="F2480" i="1"/>
  <c r="E2480" i="1"/>
  <c r="D2480" i="1"/>
  <c r="C2480" i="1"/>
  <c r="B2480" i="1"/>
  <c r="A2480" i="1"/>
  <c r="R2479" i="1"/>
  <c r="J2479" i="1"/>
  <c r="I2479" i="1"/>
  <c r="G2479" i="1"/>
  <c r="F2479" i="1"/>
  <c r="E2479" i="1"/>
  <c r="D2479" i="1"/>
  <c r="C2479" i="1"/>
  <c r="B2479" i="1"/>
  <c r="A2479" i="1"/>
  <c r="S2478" i="1"/>
  <c r="O2478" i="1"/>
  <c r="K2478" i="1"/>
  <c r="J2478" i="1"/>
  <c r="I2478" i="1"/>
  <c r="H2478" i="1"/>
  <c r="G2478" i="1"/>
  <c r="F2478" i="1"/>
  <c r="E2478" i="1"/>
  <c r="D2478" i="1"/>
  <c r="C2478" i="1"/>
  <c r="B2478" i="1"/>
  <c r="A2478" i="1"/>
  <c r="R2477" i="1"/>
  <c r="J2477" i="1"/>
  <c r="I2477" i="1"/>
  <c r="G2477" i="1"/>
  <c r="F2477" i="1"/>
  <c r="E2477" i="1"/>
  <c r="D2477" i="1"/>
  <c r="C2477" i="1"/>
  <c r="B2477" i="1"/>
  <c r="A2477" i="1"/>
  <c r="S2476" i="1"/>
  <c r="O2476" i="1"/>
  <c r="K2476" i="1"/>
  <c r="J2476" i="1"/>
  <c r="I2476" i="1"/>
  <c r="H2476" i="1"/>
  <c r="G2476" i="1"/>
  <c r="F2476" i="1"/>
  <c r="E2476" i="1"/>
  <c r="D2476" i="1"/>
  <c r="C2476" i="1"/>
  <c r="B2476" i="1"/>
  <c r="A2476" i="1"/>
  <c r="R2475" i="1"/>
  <c r="J2475" i="1"/>
  <c r="I2475" i="1"/>
  <c r="G2475" i="1"/>
  <c r="F2475" i="1"/>
  <c r="E2475" i="1"/>
  <c r="D2475" i="1"/>
  <c r="C2475" i="1"/>
  <c r="B2475" i="1"/>
  <c r="A2475" i="1"/>
  <c r="R2474" i="1"/>
  <c r="J2474" i="1"/>
  <c r="I2474" i="1"/>
  <c r="G2474" i="1"/>
  <c r="F2474" i="1"/>
  <c r="E2474" i="1"/>
  <c r="D2474" i="1"/>
  <c r="C2474" i="1"/>
  <c r="B2474" i="1"/>
  <c r="A2474" i="1"/>
  <c r="S2473" i="1"/>
  <c r="O2473" i="1"/>
  <c r="K2473" i="1"/>
  <c r="J2473" i="1"/>
  <c r="I2473" i="1"/>
  <c r="H2473" i="1"/>
  <c r="G2473" i="1"/>
  <c r="F2473" i="1"/>
  <c r="E2473" i="1"/>
  <c r="D2473" i="1"/>
  <c r="C2473" i="1"/>
  <c r="B2473" i="1"/>
  <c r="A2473" i="1"/>
  <c r="R2472" i="1"/>
  <c r="J2472" i="1"/>
  <c r="I2472" i="1"/>
  <c r="G2472" i="1"/>
  <c r="F2472" i="1"/>
  <c r="E2472" i="1"/>
  <c r="D2472" i="1"/>
  <c r="C2472" i="1"/>
  <c r="B2472" i="1"/>
  <c r="A2472" i="1"/>
  <c r="S2471" i="1"/>
  <c r="O2471" i="1"/>
  <c r="K2471" i="1"/>
  <c r="J2471" i="1"/>
  <c r="I2471" i="1"/>
  <c r="H2471" i="1"/>
  <c r="G2471" i="1"/>
  <c r="F2471" i="1"/>
  <c r="E2471" i="1"/>
  <c r="D2471" i="1"/>
  <c r="C2471" i="1"/>
  <c r="B2471" i="1"/>
  <c r="A2471" i="1"/>
  <c r="R2470" i="1"/>
  <c r="J2470" i="1"/>
  <c r="I2470" i="1"/>
  <c r="G2470" i="1"/>
  <c r="F2470" i="1"/>
  <c r="E2470" i="1"/>
  <c r="D2470" i="1"/>
  <c r="C2470" i="1"/>
  <c r="B2470" i="1"/>
  <c r="A2470" i="1"/>
  <c r="S2469" i="1"/>
  <c r="O2469" i="1"/>
  <c r="K2469" i="1"/>
  <c r="J2469" i="1"/>
  <c r="I2469" i="1"/>
  <c r="H2469" i="1"/>
  <c r="G2469" i="1"/>
  <c r="F2469" i="1"/>
  <c r="E2469" i="1"/>
  <c r="D2469" i="1"/>
  <c r="C2469" i="1"/>
  <c r="B2469" i="1"/>
  <c r="A2469" i="1"/>
  <c r="R2468" i="1"/>
  <c r="J2468" i="1"/>
  <c r="I2468" i="1"/>
  <c r="G2468" i="1"/>
  <c r="F2468" i="1"/>
  <c r="E2468" i="1"/>
  <c r="D2468" i="1"/>
  <c r="C2468" i="1"/>
  <c r="B2468" i="1"/>
  <c r="A2468" i="1"/>
  <c r="S2467" i="1"/>
  <c r="O2467" i="1"/>
  <c r="K2467" i="1"/>
  <c r="J2467" i="1"/>
  <c r="I2467" i="1"/>
  <c r="H2467" i="1"/>
  <c r="G2467" i="1"/>
  <c r="F2467" i="1"/>
  <c r="E2467" i="1"/>
  <c r="D2467" i="1"/>
  <c r="C2467" i="1"/>
  <c r="B2467" i="1"/>
  <c r="A2467" i="1"/>
  <c r="R2466" i="1"/>
  <c r="J2466" i="1"/>
  <c r="I2466" i="1"/>
  <c r="G2466" i="1"/>
  <c r="F2466" i="1"/>
  <c r="E2466" i="1"/>
  <c r="D2466" i="1"/>
  <c r="C2466" i="1"/>
  <c r="B2466" i="1"/>
  <c r="A2466" i="1"/>
  <c r="S2465" i="1"/>
  <c r="O2465" i="1"/>
  <c r="K2465" i="1"/>
  <c r="J2465" i="1"/>
  <c r="I2465" i="1"/>
  <c r="H2465" i="1"/>
  <c r="G2465" i="1"/>
  <c r="F2465" i="1"/>
  <c r="E2465" i="1"/>
  <c r="D2465" i="1"/>
  <c r="C2465" i="1"/>
  <c r="B2465" i="1"/>
  <c r="A2465" i="1"/>
  <c r="R2464" i="1"/>
  <c r="J2464" i="1"/>
  <c r="I2464" i="1"/>
  <c r="G2464" i="1"/>
  <c r="F2464" i="1"/>
  <c r="E2464" i="1"/>
  <c r="D2464" i="1"/>
  <c r="C2464" i="1"/>
  <c r="B2464" i="1"/>
  <c r="A2464" i="1"/>
  <c r="S2463" i="1"/>
  <c r="O2463" i="1"/>
  <c r="K2463" i="1"/>
  <c r="J2463" i="1"/>
  <c r="I2463" i="1"/>
  <c r="H2463" i="1"/>
  <c r="G2463" i="1"/>
  <c r="F2463" i="1"/>
  <c r="E2463" i="1"/>
  <c r="D2463" i="1"/>
  <c r="C2463" i="1"/>
  <c r="B2463" i="1"/>
  <c r="A2463" i="1"/>
  <c r="R2462" i="1"/>
  <c r="J2462" i="1"/>
  <c r="I2462" i="1"/>
  <c r="G2462" i="1"/>
  <c r="F2462" i="1"/>
  <c r="E2462" i="1"/>
  <c r="D2462" i="1"/>
  <c r="C2462" i="1"/>
  <c r="B2462" i="1"/>
  <c r="A2462" i="1"/>
  <c r="S2461" i="1"/>
  <c r="O2461" i="1"/>
  <c r="K2461" i="1"/>
  <c r="J2461" i="1"/>
  <c r="I2461" i="1"/>
  <c r="H2461" i="1"/>
  <c r="G2461" i="1"/>
  <c r="F2461" i="1"/>
  <c r="E2461" i="1"/>
  <c r="D2461" i="1"/>
  <c r="C2461" i="1"/>
  <c r="B2461" i="1"/>
  <c r="A2461" i="1"/>
  <c r="R2460" i="1"/>
  <c r="J2460" i="1"/>
  <c r="I2460" i="1"/>
  <c r="G2460" i="1"/>
  <c r="F2460" i="1"/>
  <c r="E2460" i="1"/>
  <c r="D2460" i="1"/>
  <c r="C2460" i="1"/>
  <c r="B2460" i="1"/>
  <c r="A2460" i="1"/>
  <c r="S2459" i="1"/>
  <c r="O2459" i="1"/>
  <c r="K2459" i="1"/>
  <c r="J2459" i="1"/>
  <c r="I2459" i="1"/>
  <c r="H2459" i="1"/>
  <c r="G2459" i="1"/>
  <c r="F2459" i="1"/>
  <c r="E2459" i="1"/>
  <c r="D2459" i="1"/>
  <c r="C2459" i="1"/>
  <c r="B2459" i="1"/>
  <c r="A2459" i="1"/>
  <c r="R2458" i="1"/>
  <c r="J2458" i="1"/>
  <c r="I2458" i="1"/>
  <c r="G2458" i="1"/>
  <c r="F2458" i="1"/>
  <c r="E2458" i="1"/>
  <c r="D2458" i="1"/>
  <c r="C2458" i="1"/>
  <c r="B2458" i="1"/>
  <c r="A2458" i="1"/>
  <c r="S2457" i="1"/>
  <c r="O2457" i="1"/>
  <c r="K2457" i="1"/>
  <c r="J2457" i="1"/>
  <c r="I2457" i="1"/>
  <c r="H2457" i="1"/>
  <c r="G2457" i="1"/>
  <c r="F2457" i="1"/>
  <c r="E2457" i="1"/>
  <c r="D2457" i="1"/>
  <c r="C2457" i="1"/>
  <c r="B2457" i="1"/>
  <c r="A2457" i="1"/>
  <c r="R2456" i="1"/>
  <c r="J2456" i="1"/>
  <c r="I2456" i="1"/>
  <c r="G2456" i="1"/>
  <c r="F2456" i="1"/>
  <c r="E2456" i="1"/>
  <c r="D2456" i="1"/>
  <c r="C2456" i="1"/>
  <c r="B2456" i="1"/>
  <c r="A2456" i="1"/>
  <c r="S2455" i="1"/>
  <c r="O2455" i="1"/>
  <c r="K2455" i="1"/>
  <c r="J2455" i="1"/>
  <c r="I2455" i="1"/>
  <c r="H2455" i="1"/>
  <c r="G2455" i="1"/>
  <c r="F2455" i="1"/>
  <c r="E2455" i="1"/>
  <c r="D2455" i="1"/>
  <c r="C2455" i="1"/>
  <c r="B2455" i="1"/>
  <c r="A2455" i="1"/>
  <c r="R2454" i="1"/>
  <c r="J2454" i="1"/>
  <c r="I2454" i="1"/>
  <c r="G2454" i="1"/>
  <c r="F2454" i="1"/>
  <c r="E2454" i="1"/>
  <c r="D2454" i="1"/>
  <c r="C2454" i="1"/>
  <c r="B2454" i="1"/>
  <c r="A2454" i="1"/>
  <c r="S2453" i="1"/>
  <c r="O2453" i="1"/>
  <c r="K2453" i="1"/>
  <c r="J2453" i="1"/>
  <c r="I2453" i="1"/>
  <c r="H2453" i="1"/>
  <c r="G2453" i="1"/>
  <c r="F2453" i="1"/>
  <c r="E2453" i="1"/>
  <c r="D2453" i="1"/>
  <c r="C2453" i="1"/>
  <c r="B2453" i="1"/>
  <c r="A2453" i="1"/>
  <c r="R2452" i="1"/>
  <c r="J2452" i="1"/>
  <c r="I2452" i="1"/>
  <c r="G2452" i="1"/>
  <c r="F2452" i="1"/>
  <c r="E2452" i="1"/>
  <c r="D2452" i="1"/>
  <c r="C2452" i="1"/>
  <c r="B2452" i="1"/>
  <c r="A2452" i="1"/>
  <c r="S2451" i="1"/>
  <c r="O2451" i="1"/>
  <c r="K2451" i="1"/>
  <c r="J2451" i="1"/>
  <c r="I2451" i="1"/>
  <c r="H2451" i="1"/>
  <c r="G2451" i="1"/>
  <c r="F2451" i="1"/>
  <c r="E2451" i="1"/>
  <c r="D2451" i="1"/>
  <c r="C2451" i="1"/>
  <c r="B2451" i="1"/>
  <c r="A2451" i="1"/>
  <c r="R2450" i="1"/>
  <c r="J2450" i="1"/>
  <c r="I2450" i="1"/>
  <c r="G2450" i="1"/>
  <c r="F2450" i="1"/>
  <c r="E2450" i="1"/>
  <c r="D2450" i="1"/>
  <c r="C2450" i="1"/>
  <c r="B2450" i="1"/>
  <c r="A2450" i="1"/>
  <c r="S2449" i="1"/>
  <c r="O2449" i="1"/>
  <c r="K2449" i="1"/>
  <c r="J2449" i="1"/>
  <c r="I2449" i="1"/>
  <c r="H2449" i="1"/>
  <c r="G2449" i="1"/>
  <c r="F2449" i="1"/>
  <c r="E2449" i="1"/>
  <c r="D2449" i="1"/>
  <c r="C2449" i="1"/>
  <c r="B2449" i="1"/>
  <c r="A2449" i="1"/>
  <c r="R2448" i="1"/>
  <c r="J2448" i="1"/>
  <c r="I2448" i="1"/>
  <c r="G2448" i="1"/>
  <c r="F2448" i="1"/>
  <c r="E2448" i="1"/>
  <c r="D2448" i="1"/>
  <c r="C2448" i="1"/>
  <c r="B2448" i="1"/>
  <c r="A2448" i="1"/>
  <c r="S2447" i="1"/>
  <c r="O2447" i="1"/>
  <c r="K2447" i="1"/>
  <c r="J2447" i="1"/>
  <c r="I2447" i="1"/>
  <c r="H2447" i="1"/>
  <c r="G2447" i="1"/>
  <c r="F2447" i="1"/>
  <c r="E2447" i="1"/>
  <c r="D2447" i="1"/>
  <c r="C2447" i="1"/>
  <c r="B2447" i="1"/>
  <c r="A2447" i="1"/>
  <c r="R2446" i="1"/>
  <c r="J2446" i="1"/>
  <c r="I2446" i="1"/>
  <c r="G2446" i="1"/>
  <c r="F2446" i="1"/>
  <c r="E2446" i="1"/>
  <c r="D2446" i="1"/>
  <c r="C2446" i="1"/>
  <c r="B2446" i="1"/>
  <c r="A2446" i="1"/>
  <c r="S2445" i="1"/>
  <c r="O2445" i="1"/>
  <c r="K2445" i="1"/>
  <c r="J2445" i="1"/>
  <c r="I2445" i="1"/>
  <c r="H2445" i="1"/>
  <c r="G2445" i="1"/>
  <c r="F2445" i="1"/>
  <c r="E2445" i="1"/>
  <c r="D2445" i="1"/>
  <c r="C2445" i="1"/>
  <c r="B2445" i="1"/>
  <c r="A2445" i="1"/>
  <c r="R2444" i="1"/>
  <c r="J2444" i="1"/>
  <c r="I2444" i="1"/>
  <c r="G2444" i="1"/>
  <c r="F2444" i="1"/>
  <c r="E2444" i="1"/>
  <c r="D2444" i="1"/>
  <c r="C2444" i="1"/>
  <c r="B2444" i="1"/>
  <c r="A2444" i="1"/>
  <c r="S2443" i="1"/>
  <c r="O2443" i="1"/>
  <c r="K2443" i="1"/>
  <c r="J2443" i="1"/>
  <c r="I2443" i="1"/>
  <c r="H2443" i="1"/>
  <c r="G2443" i="1"/>
  <c r="F2443" i="1"/>
  <c r="E2443" i="1"/>
  <c r="D2443" i="1"/>
  <c r="C2443" i="1"/>
  <c r="B2443" i="1"/>
  <c r="A2443" i="1"/>
  <c r="R2442" i="1"/>
  <c r="J2442" i="1"/>
  <c r="I2442" i="1"/>
  <c r="G2442" i="1"/>
  <c r="F2442" i="1"/>
  <c r="E2442" i="1"/>
  <c r="D2442" i="1"/>
  <c r="C2442" i="1"/>
  <c r="B2442" i="1"/>
  <c r="A2442" i="1"/>
  <c r="S2441" i="1"/>
  <c r="O2441" i="1"/>
  <c r="K2441" i="1"/>
  <c r="J2441" i="1"/>
  <c r="I2441" i="1"/>
  <c r="H2441" i="1"/>
  <c r="G2441" i="1"/>
  <c r="F2441" i="1"/>
  <c r="E2441" i="1"/>
  <c r="D2441" i="1"/>
  <c r="C2441" i="1"/>
  <c r="B2441" i="1"/>
  <c r="A2441" i="1"/>
  <c r="R2440" i="1"/>
  <c r="J2440" i="1"/>
  <c r="I2440" i="1"/>
  <c r="G2440" i="1"/>
  <c r="F2440" i="1"/>
  <c r="E2440" i="1"/>
  <c r="D2440" i="1"/>
  <c r="C2440" i="1"/>
  <c r="B2440" i="1"/>
  <c r="A2440" i="1"/>
  <c r="S2439" i="1"/>
  <c r="O2439" i="1"/>
  <c r="K2439" i="1"/>
  <c r="J2439" i="1"/>
  <c r="I2439" i="1"/>
  <c r="H2439" i="1"/>
  <c r="G2439" i="1"/>
  <c r="F2439" i="1"/>
  <c r="E2439" i="1"/>
  <c r="D2439" i="1"/>
  <c r="C2439" i="1"/>
  <c r="B2439" i="1"/>
  <c r="A2439" i="1"/>
  <c r="R2438" i="1"/>
  <c r="J2438" i="1"/>
  <c r="I2438" i="1"/>
  <c r="G2438" i="1"/>
  <c r="F2438" i="1"/>
  <c r="E2438" i="1"/>
  <c r="D2438" i="1"/>
  <c r="C2438" i="1"/>
  <c r="B2438" i="1"/>
  <c r="A2438" i="1"/>
  <c r="S2437" i="1"/>
  <c r="O2437" i="1"/>
  <c r="K2437" i="1"/>
  <c r="J2437" i="1"/>
  <c r="I2437" i="1"/>
  <c r="H2437" i="1"/>
  <c r="G2437" i="1"/>
  <c r="F2437" i="1"/>
  <c r="E2437" i="1"/>
  <c r="D2437" i="1"/>
  <c r="C2437" i="1"/>
  <c r="B2437" i="1"/>
  <c r="A2437" i="1"/>
  <c r="R2436" i="1"/>
  <c r="J2436" i="1"/>
  <c r="I2436" i="1"/>
  <c r="G2436" i="1"/>
  <c r="F2436" i="1"/>
  <c r="E2436" i="1"/>
  <c r="D2436" i="1"/>
  <c r="C2436" i="1"/>
  <c r="B2436" i="1"/>
  <c r="A2436" i="1"/>
  <c r="R2435" i="1"/>
  <c r="J2435" i="1"/>
  <c r="I2435" i="1"/>
  <c r="G2435" i="1"/>
  <c r="F2435" i="1"/>
  <c r="E2435" i="1"/>
  <c r="D2435" i="1"/>
  <c r="C2435" i="1"/>
  <c r="B2435" i="1"/>
  <c r="A2435" i="1"/>
  <c r="S2434" i="1"/>
  <c r="O2434" i="1"/>
  <c r="K2434" i="1"/>
  <c r="J2434" i="1"/>
  <c r="I2434" i="1"/>
  <c r="H2434" i="1"/>
  <c r="G2434" i="1"/>
  <c r="F2434" i="1"/>
  <c r="E2434" i="1"/>
  <c r="D2434" i="1"/>
  <c r="C2434" i="1"/>
  <c r="B2434" i="1"/>
  <c r="A2434" i="1"/>
  <c r="R2433" i="1"/>
  <c r="J2433" i="1"/>
  <c r="I2433" i="1"/>
  <c r="G2433" i="1"/>
  <c r="F2433" i="1"/>
  <c r="E2433" i="1"/>
  <c r="D2433" i="1"/>
  <c r="C2433" i="1"/>
  <c r="B2433" i="1"/>
  <c r="A2433" i="1"/>
  <c r="S2432" i="1"/>
  <c r="O2432" i="1"/>
  <c r="K2432" i="1"/>
  <c r="J2432" i="1"/>
  <c r="I2432" i="1"/>
  <c r="H2432" i="1"/>
  <c r="G2432" i="1"/>
  <c r="F2432" i="1"/>
  <c r="E2432" i="1"/>
  <c r="D2432" i="1"/>
  <c r="C2432" i="1"/>
  <c r="B2432" i="1"/>
  <c r="A2432" i="1"/>
  <c r="R2431" i="1"/>
  <c r="J2431" i="1"/>
  <c r="I2431" i="1"/>
  <c r="G2431" i="1"/>
  <c r="F2431" i="1"/>
  <c r="E2431" i="1"/>
  <c r="D2431" i="1"/>
  <c r="C2431" i="1"/>
  <c r="B2431" i="1"/>
  <c r="A2431" i="1"/>
  <c r="S2430" i="1"/>
  <c r="O2430" i="1"/>
  <c r="K2430" i="1"/>
  <c r="J2430" i="1"/>
  <c r="I2430" i="1"/>
  <c r="H2430" i="1"/>
  <c r="G2430" i="1"/>
  <c r="F2430" i="1"/>
  <c r="E2430" i="1"/>
  <c r="D2430" i="1"/>
  <c r="C2430" i="1"/>
  <c r="B2430" i="1"/>
  <c r="A2430" i="1"/>
  <c r="R2429" i="1"/>
  <c r="J2429" i="1"/>
  <c r="I2429" i="1"/>
  <c r="G2429" i="1"/>
  <c r="F2429" i="1"/>
  <c r="E2429" i="1"/>
  <c r="D2429" i="1"/>
  <c r="C2429" i="1"/>
  <c r="B2429" i="1"/>
  <c r="A2429" i="1"/>
  <c r="S2428" i="1"/>
  <c r="O2428" i="1"/>
  <c r="K2428" i="1"/>
  <c r="J2428" i="1"/>
  <c r="I2428" i="1"/>
  <c r="H2428" i="1"/>
  <c r="G2428" i="1"/>
  <c r="F2428" i="1"/>
  <c r="E2428" i="1"/>
  <c r="D2428" i="1"/>
  <c r="C2428" i="1"/>
  <c r="B2428" i="1"/>
  <c r="A2428" i="1"/>
  <c r="R2427" i="1"/>
  <c r="J2427" i="1"/>
  <c r="I2427" i="1"/>
  <c r="G2427" i="1"/>
  <c r="F2427" i="1"/>
  <c r="E2427" i="1"/>
  <c r="D2427" i="1"/>
  <c r="C2427" i="1"/>
  <c r="B2427" i="1"/>
  <c r="A2427" i="1"/>
  <c r="S2426" i="1"/>
  <c r="O2426" i="1"/>
  <c r="K2426" i="1"/>
  <c r="J2426" i="1"/>
  <c r="I2426" i="1"/>
  <c r="H2426" i="1"/>
  <c r="G2426" i="1"/>
  <c r="F2426" i="1"/>
  <c r="E2426" i="1"/>
  <c r="D2426" i="1"/>
  <c r="C2426" i="1"/>
  <c r="B2426" i="1"/>
  <c r="A2426" i="1"/>
  <c r="R2425" i="1"/>
  <c r="J2425" i="1"/>
  <c r="I2425" i="1"/>
  <c r="G2425" i="1"/>
  <c r="F2425" i="1"/>
  <c r="E2425" i="1"/>
  <c r="D2425" i="1"/>
  <c r="C2425" i="1"/>
  <c r="B2425" i="1"/>
  <c r="A2425" i="1"/>
  <c r="S2424" i="1"/>
  <c r="O2424" i="1"/>
  <c r="K2424" i="1"/>
  <c r="J2424" i="1"/>
  <c r="I2424" i="1"/>
  <c r="H2424" i="1"/>
  <c r="G2424" i="1"/>
  <c r="F2424" i="1"/>
  <c r="E2424" i="1"/>
  <c r="D2424" i="1"/>
  <c r="C2424" i="1"/>
  <c r="B2424" i="1"/>
  <c r="A2424" i="1"/>
  <c r="R2423" i="1"/>
  <c r="J2423" i="1"/>
  <c r="I2423" i="1"/>
  <c r="G2423" i="1"/>
  <c r="F2423" i="1"/>
  <c r="E2423" i="1"/>
  <c r="D2423" i="1"/>
  <c r="C2423" i="1"/>
  <c r="B2423" i="1"/>
  <c r="A2423" i="1"/>
  <c r="S2422" i="1"/>
  <c r="O2422" i="1"/>
  <c r="K2422" i="1"/>
  <c r="J2422" i="1"/>
  <c r="I2422" i="1"/>
  <c r="H2422" i="1"/>
  <c r="G2422" i="1"/>
  <c r="F2422" i="1"/>
  <c r="E2422" i="1"/>
  <c r="D2422" i="1"/>
  <c r="C2422" i="1"/>
  <c r="B2422" i="1"/>
  <c r="A2422" i="1"/>
  <c r="R2421" i="1"/>
  <c r="J2421" i="1"/>
  <c r="I2421" i="1"/>
  <c r="G2421" i="1"/>
  <c r="F2421" i="1"/>
  <c r="E2421" i="1"/>
  <c r="D2421" i="1"/>
  <c r="C2421" i="1"/>
  <c r="B2421" i="1"/>
  <c r="A2421" i="1"/>
  <c r="R2420" i="1"/>
  <c r="J2420" i="1"/>
  <c r="I2420" i="1"/>
  <c r="G2420" i="1"/>
  <c r="F2420" i="1"/>
  <c r="E2420" i="1"/>
  <c r="D2420" i="1"/>
  <c r="C2420" i="1"/>
  <c r="B2420" i="1"/>
  <c r="A2420" i="1"/>
  <c r="R2419" i="1"/>
  <c r="J2419" i="1"/>
  <c r="I2419" i="1"/>
  <c r="G2419" i="1"/>
  <c r="F2419" i="1"/>
  <c r="E2419" i="1"/>
  <c r="D2419" i="1"/>
  <c r="C2419" i="1"/>
  <c r="B2419" i="1"/>
  <c r="A2419" i="1"/>
  <c r="R2418" i="1"/>
  <c r="J2418" i="1"/>
  <c r="I2418" i="1"/>
  <c r="G2418" i="1"/>
  <c r="F2418" i="1"/>
  <c r="E2418" i="1"/>
  <c r="D2418" i="1"/>
  <c r="C2418" i="1"/>
  <c r="B2418" i="1"/>
  <c r="A2418" i="1"/>
  <c r="R2417" i="1"/>
  <c r="J2417" i="1"/>
  <c r="I2417" i="1"/>
  <c r="G2417" i="1"/>
  <c r="F2417" i="1"/>
  <c r="E2417" i="1"/>
  <c r="D2417" i="1"/>
  <c r="C2417" i="1"/>
  <c r="B2417" i="1"/>
  <c r="A2417" i="1"/>
  <c r="R2416" i="1"/>
  <c r="J2416" i="1"/>
  <c r="I2416" i="1"/>
  <c r="G2416" i="1"/>
  <c r="F2416" i="1"/>
  <c r="E2416" i="1"/>
  <c r="D2416" i="1"/>
  <c r="C2416" i="1"/>
  <c r="B2416" i="1"/>
  <c r="A2416" i="1"/>
  <c r="R2415" i="1"/>
  <c r="J2415" i="1"/>
  <c r="I2415" i="1"/>
  <c r="G2415" i="1"/>
  <c r="F2415" i="1"/>
  <c r="E2415" i="1"/>
  <c r="D2415" i="1"/>
  <c r="C2415" i="1"/>
  <c r="B2415" i="1"/>
  <c r="A2415" i="1"/>
  <c r="R2414" i="1"/>
  <c r="J2414" i="1"/>
  <c r="I2414" i="1"/>
  <c r="G2414" i="1"/>
  <c r="F2414" i="1"/>
  <c r="E2414" i="1"/>
  <c r="D2414" i="1"/>
  <c r="C2414" i="1"/>
  <c r="B2414" i="1"/>
  <c r="A2414" i="1"/>
  <c r="R2413" i="1"/>
  <c r="J2413" i="1"/>
  <c r="I2413" i="1"/>
  <c r="G2413" i="1"/>
  <c r="F2413" i="1"/>
  <c r="E2413" i="1"/>
  <c r="D2413" i="1"/>
  <c r="C2413" i="1"/>
  <c r="B2413" i="1"/>
  <c r="A2413" i="1"/>
  <c r="R2412" i="1"/>
  <c r="J2412" i="1"/>
  <c r="I2412" i="1"/>
  <c r="G2412" i="1"/>
  <c r="F2412" i="1"/>
  <c r="E2412" i="1"/>
  <c r="D2412" i="1"/>
  <c r="C2412" i="1"/>
  <c r="B2412" i="1"/>
  <c r="A2412" i="1"/>
  <c r="S2411" i="1"/>
  <c r="O2411" i="1"/>
  <c r="K2411" i="1"/>
  <c r="J2411" i="1"/>
  <c r="I2411" i="1"/>
  <c r="H2411" i="1"/>
  <c r="G2411" i="1"/>
  <c r="F2411" i="1"/>
  <c r="E2411" i="1"/>
  <c r="D2411" i="1"/>
  <c r="C2411" i="1"/>
  <c r="B2411" i="1"/>
  <c r="A2411" i="1"/>
  <c r="R2410" i="1"/>
  <c r="J2410" i="1"/>
  <c r="I2410" i="1"/>
  <c r="G2410" i="1"/>
  <c r="F2410" i="1"/>
  <c r="E2410" i="1"/>
  <c r="D2410" i="1"/>
  <c r="C2410" i="1"/>
  <c r="B2410" i="1"/>
  <c r="A2410" i="1"/>
  <c r="R2409" i="1"/>
  <c r="J2409" i="1"/>
  <c r="I2409" i="1"/>
  <c r="G2409" i="1"/>
  <c r="F2409" i="1"/>
  <c r="E2409" i="1"/>
  <c r="D2409" i="1"/>
  <c r="C2409" i="1"/>
  <c r="B2409" i="1"/>
  <c r="A2409" i="1"/>
  <c r="R2408" i="1"/>
  <c r="J2408" i="1"/>
  <c r="I2408" i="1"/>
  <c r="G2408" i="1"/>
  <c r="F2408" i="1"/>
  <c r="E2408" i="1"/>
  <c r="D2408" i="1"/>
  <c r="C2408" i="1"/>
  <c r="B2408" i="1"/>
  <c r="A2408" i="1"/>
  <c r="R2407" i="1"/>
  <c r="J2407" i="1"/>
  <c r="I2407" i="1"/>
  <c r="G2407" i="1"/>
  <c r="F2407" i="1"/>
  <c r="E2407" i="1"/>
  <c r="D2407" i="1"/>
  <c r="C2407" i="1"/>
  <c r="B2407" i="1"/>
  <c r="A2407" i="1"/>
  <c r="R2406" i="1"/>
  <c r="J2406" i="1"/>
  <c r="I2406" i="1"/>
  <c r="G2406" i="1"/>
  <c r="F2406" i="1"/>
  <c r="E2406" i="1"/>
  <c r="D2406" i="1"/>
  <c r="C2406" i="1"/>
  <c r="B2406" i="1"/>
  <c r="A2406" i="1"/>
  <c r="R2405" i="1"/>
  <c r="J2405" i="1"/>
  <c r="I2405" i="1"/>
  <c r="G2405" i="1"/>
  <c r="F2405" i="1"/>
  <c r="E2405" i="1"/>
  <c r="D2405" i="1"/>
  <c r="C2405" i="1"/>
  <c r="B2405" i="1"/>
  <c r="A2405" i="1"/>
  <c r="R2404" i="1"/>
  <c r="J2404" i="1"/>
  <c r="I2404" i="1"/>
  <c r="G2404" i="1"/>
  <c r="F2404" i="1"/>
  <c r="E2404" i="1"/>
  <c r="D2404" i="1"/>
  <c r="C2404" i="1"/>
  <c r="B2404" i="1"/>
  <c r="A2404" i="1"/>
  <c r="R2403" i="1"/>
  <c r="J2403" i="1"/>
  <c r="I2403" i="1"/>
  <c r="G2403" i="1"/>
  <c r="F2403" i="1"/>
  <c r="E2403" i="1"/>
  <c r="D2403" i="1"/>
  <c r="C2403" i="1"/>
  <c r="B2403" i="1"/>
  <c r="A2403" i="1"/>
  <c r="R2402" i="1"/>
  <c r="J2402" i="1"/>
  <c r="I2402" i="1"/>
  <c r="G2402" i="1"/>
  <c r="F2402" i="1"/>
  <c r="E2402" i="1"/>
  <c r="D2402" i="1"/>
  <c r="C2402" i="1"/>
  <c r="B2402" i="1"/>
  <c r="A2402" i="1"/>
  <c r="R2401" i="1"/>
  <c r="J2401" i="1"/>
  <c r="I2401" i="1"/>
  <c r="G2401" i="1"/>
  <c r="F2401" i="1"/>
  <c r="E2401" i="1"/>
  <c r="D2401" i="1"/>
  <c r="C2401" i="1"/>
  <c r="B2401" i="1"/>
  <c r="A2401" i="1"/>
  <c r="R2400" i="1"/>
  <c r="J2400" i="1"/>
  <c r="I2400" i="1"/>
  <c r="G2400" i="1"/>
  <c r="F2400" i="1"/>
  <c r="E2400" i="1"/>
  <c r="D2400" i="1"/>
  <c r="C2400" i="1"/>
  <c r="B2400" i="1"/>
  <c r="A2400" i="1"/>
  <c r="R2399" i="1"/>
  <c r="J2399" i="1"/>
  <c r="I2399" i="1"/>
  <c r="G2399" i="1"/>
  <c r="F2399" i="1"/>
  <c r="E2399" i="1"/>
  <c r="D2399" i="1"/>
  <c r="C2399" i="1"/>
  <c r="B2399" i="1"/>
  <c r="A2399" i="1"/>
  <c r="S2398" i="1"/>
  <c r="O2398" i="1"/>
  <c r="K2398" i="1"/>
  <c r="J2398" i="1"/>
  <c r="I2398" i="1"/>
  <c r="H2398" i="1"/>
  <c r="G2398" i="1"/>
  <c r="F2398" i="1"/>
  <c r="E2398" i="1"/>
  <c r="D2398" i="1"/>
  <c r="C2398" i="1"/>
  <c r="B2398" i="1"/>
  <c r="A2398" i="1"/>
  <c r="R2397" i="1"/>
  <c r="J2397" i="1"/>
  <c r="I2397" i="1"/>
  <c r="G2397" i="1"/>
  <c r="F2397" i="1"/>
  <c r="E2397" i="1"/>
  <c r="D2397" i="1"/>
  <c r="C2397" i="1"/>
  <c r="B2397" i="1"/>
  <c r="A2397" i="1"/>
  <c r="S2396" i="1"/>
  <c r="O2396" i="1"/>
  <c r="K2396" i="1"/>
  <c r="J2396" i="1"/>
  <c r="I2396" i="1"/>
  <c r="H2396" i="1"/>
  <c r="G2396" i="1"/>
  <c r="F2396" i="1"/>
  <c r="E2396" i="1"/>
  <c r="D2396" i="1"/>
  <c r="C2396" i="1"/>
  <c r="B2396" i="1"/>
  <c r="A2396" i="1"/>
  <c r="R2395" i="1"/>
  <c r="J2395" i="1"/>
  <c r="I2395" i="1"/>
  <c r="G2395" i="1"/>
  <c r="F2395" i="1"/>
  <c r="E2395" i="1"/>
  <c r="D2395" i="1"/>
  <c r="C2395" i="1"/>
  <c r="B2395" i="1"/>
  <c r="A2395" i="1"/>
  <c r="R2394" i="1"/>
  <c r="J2394" i="1"/>
  <c r="I2394" i="1"/>
  <c r="G2394" i="1"/>
  <c r="F2394" i="1"/>
  <c r="E2394" i="1"/>
  <c r="D2394" i="1"/>
  <c r="C2394" i="1"/>
  <c r="B2394" i="1"/>
  <c r="A2394" i="1"/>
  <c r="R2393" i="1"/>
  <c r="J2393" i="1"/>
  <c r="I2393" i="1"/>
  <c r="G2393" i="1"/>
  <c r="F2393" i="1"/>
  <c r="E2393" i="1"/>
  <c r="D2393" i="1"/>
  <c r="C2393" i="1"/>
  <c r="B2393" i="1"/>
  <c r="A2393" i="1"/>
  <c r="R2392" i="1"/>
  <c r="J2392" i="1"/>
  <c r="I2392" i="1"/>
  <c r="G2392" i="1"/>
  <c r="F2392" i="1"/>
  <c r="E2392" i="1"/>
  <c r="D2392" i="1"/>
  <c r="C2392" i="1"/>
  <c r="B2392" i="1"/>
  <c r="A2392" i="1"/>
  <c r="R2391" i="1"/>
  <c r="J2391" i="1"/>
  <c r="I2391" i="1"/>
  <c r="G2391" i="1"/>
  <c r="F2391" i="1"/>
  <c r="E2391" i="1"/>
  <c r="D2391" i="1"/>
  <c r="C2391" i="1"/>
  <c r="B2391" i="1"/>
  <c r="A2391" i="1"/>
  <c r="R2390" i="1"/>
  <c r="J2390" i="1"/>
  <c r="I2390" i="1"/>
  <c r="G2390" i="1"/>
  <c r="F2390" i="1"/>
  <c r="E2390" i="1"/>
  <c r="D2390" i="1"/>
  <c r="C2390" i="1"/>
  <c r="B2390" i="1"/>
  <c r="A2390" i="1"/>
  <c r="R2389" i="1"/>
  <c r="J2389" i="1"/>
  <c r="I2389" i="1"/>
  <c r="G2389" i="1"/>
  <c r="F2389" i="1"/>
  <c r="E2389" i="1"/>
  <c r="D2389" i="1"/>
  <c r="C2389" i="1"/>
  <c r="B2389" i="1"/>
  <c r="A2389" i="1"/>
  <c r="R2388" i="1"/>
  <c r="J2388" i="1"/>
  <c r="I2388" i="1"/>
  <c r="G2388" i="1"/>
  <c r="F2388" i="1"/>
  <c r="E2388" i="1"/>
  <c r="D2388" i="1"/>
  <c r="C2388" i="1"/>
  <c r="B2388" i="1"/>
  <c r="A2388" i="1"/>
  <c r="R2387" i="1"/>
  <c r="J2387" i="1"/>
  <c r="I2387" i="1"/>
  <c r="G2387" i="1"/>
  <c r="F2387" i="1"/>
  <c r="E2387" i="1"/>
  <c r="D2387" i="1"/>
  <c r="C2387" i="1"/>
  <c r="B2387" i="1"/>
  <c r="A2387" i="1"/>
  <c r="R2386" i="1"/>
  <c r="J2386" i="1"/>
  <c r="I2386" i="1"/>
  <c r="G2386" i="1"/>
  <c r="F2386" i="1"/>
  <c r="E2386" i="1"/>
  <c r="D2386" i="1"/>
  <c r="C2386" i="1"/>
  <c r="B2386" i="1"/>
  <c r="A2386" i="1"/>
  <c r="R2385" i="1"/>
  <c r="J2385" i="1"/>
  <c r="I2385" i="1"/>
  <c r="G2385" i="1"/>
  <c r="F2385" i="1"/>
  <c r="E2385" i="1"/>
  <c r="D2385" i="1"/>
  <c r="C2385" i="1"/>
  <c r="B2385" i="1"/>
  <c r="A2385" i="1"/>
  <c r="R2384" i="1"/>
  <c r="J2384" i="1"/>
  <c r="I2384" i="1"/>
  <c r="G2384" i="1"/>
  <c r="F2384" i="1"/>
  <c r="E2384" i="1"/>
  <c r="D2384" i="1"/>
  <c r="C2384" i="1"/>
  <c r="B2384" i="1"/>
  <c r="A2384" i="1"/>
  <c r="R2383" i="1"/>
  <c r="J2383" i="1"/>
  <c r="I2383" i="1"/>
  <c r="G2383" i="1"/>
  <c r="F2383" i="1"/>
  <c r="E2383" i="1"/>
  <c r="D2383" i="1"/>
  <c r="C2383" i="1"/>
  <c r="B2383" i="1"/>
  <c r="A2383" i="1"/>
  <c r="R2382" i="1"/>
  <c r="J2382" i="1"/>
  <c r="I2382" i="1"/>
  <c r="G2382" i="1"/>
  <c r="F2382" i="1"/>
  <c r="E2382" i="1"/>
  <c r="D2382" i="1"/>
  <c r="C2382" i="1"/>
  <c r="B2382" i="1"/>
  <c r="A2382" i="1"/>
  <c r="R2381" i="1"/>
  <c r="J2381" i="1"/>
  <c r="I2381" i="1"/>
  <c r="G2381" i="1"/>
  <c r="F2381" i="1"/>
  <c r="E2381" i="1"/>
  <c r="D2381" i="1"/>
  <c r="C2381" i="1"/>
  <c r="B2381" i="1"/>
  <c r="A2381" i="1"/>
  <c r="R2380" i="1"/>
  <c r="J2380" i="1"/>
  <c r="I2380" i="1"/>
  <c r="G2380" i="1"/>
  <c r="F2380" i="1"/>
  <c r="E2380" i="1"/>
  <c r="D2380" i="1"/>
  <c r="C2380" i="1"/>
  <c r="B2380" i="1"/>
  <c r="A2380" i="1"/>
  <c r="R2379" i="1"/>
  <c r="J2379" i="1"/>
  <c r="I2379" i="1"/>
  <c r="G2379" i="1"/>
  <c r="F2379" i="1"/>
  <c r="E2379" i="1"/>
  <c r="D2379" i="1"/>
  <c r="C2379" i="1"/>
  <c r="B2379" i="1"/>
  <c r="A2379" i="1"/>
  <c r="R2378" i="1"/>
  <c r="J2378" i="1"/>
  <c r="I2378" i="1"/>
  <c r="G2378" i="1"/>
  <c r="F2378" i="1"/>
  <c r="E2378" i="1"/>
  <c r="D2378" i="1"/>
  <c r="C2378" i="1"/>
  <c r="B2378" i="1"/>
  <c r="A2378" i="1"/>
  <c r="R2377" i="1"/>
  <c r="J2377" i="1"/>
  <c r="I2377" i="1"/>
  <c r="G2377" i="1"/>
  <c r="F2377" i="1"/>
  <c r="E2377" i="1"/>
  <c r="D2377" i="1"/>
  <c r="C2377" i="1"/>
  <c r="B2377" i="1"/>
  <c r="A2377" i="1"/>
  <c r="R2376" i="1"/>
  <c r="J2376" i="1"/>
  <c r="I2376" i="1"/>
  <c r="G2376" i="1"/>
  <c r="F2376" i="1"/>
  <c r="E2376" i="1"/>
  <c r="D2376" i="1"/>
  <c r="C2376" i="1"/>
  <c r="B2376" i="1"/>
  <c r="A2376" i="1"/>
  <c r="R2375" i="1"/>
  <c r="J2375" i="1"/>
  <c r="I2375" i="1"/>
  <c r="G2375" i="1"/>
  <c r="F2375" i="1"/>
  <c r="E2375" i="1"/>
  <c r="D2375" i="1"/>
  <c r="C2375" i="1"/>
  <c r="B2375" i="1"/>
  <c r="A2375" i="1"/>
  <c r="R2374" i="1"/>
  <c r="J2374" i="1"/>
  <c r="I2374" i="1"/>
  <c r="G2374" i="1"/>
  <c r="F2374" i="1"/>
  <c r="E2374" i="1"/>
  <c r="D2374" i="1"/>
  <c r="C2374" i="1"/>
  <c r="B2374" i="1"/>
  <c r="A2374" i="1"/>
  <c r="R2373" i="1"/>
  <c r="J2373" i="1"/>
  <c r="I2373" i="1"/>
  <c r="G2373" i="1"/>
  <c r="F2373" i="1"/>
  <c r="E2373" i="1"/>
  <c r="D2373" i="1"/>
  <c r="C2373" i="1"/>
  <c r="B2373" i="1"/>
  <c r="A2373" i="1"/>
  <c r="R2372" i="1"/>
  <c r="J2372" i="1"/>
  <c r="I2372" i="1"/>
  <c r="G2372" i="1"/>
  <c r="F2372" i="1"/>
  <c r="E2372" i="1"/>
  <c r="D2372" i="1"/>
  <c r="C2372" i="1"/>
  <c r="B2372" i="1"/>
  <c r="A2372" i="1"/>
  <c r="R2371" i="1"/>
  <c r="J2371" i="1"/>
  <c r="I2371" i="1"/>
  <c r="G2371" i="1"/>
  <c r="F2371" i="1"/>
  <c r="E2371" i="1"/>
  <c r="D2371" i="1"/>
  <c r="C2371" i="1"/>
  <c r="B2371" i="1"/>
  <c r="A2371" i="1"/>
  <c r="R2370" i="1"/>
  <c r="J2370" i="1"/>
  <c r="I2370" i="1"/>
  <c r="G2370" i="1"/>
  <c r="F2370" i="1"/>
  <c r="E2370" i="1"/>
  <c r="D2370" i="1"/>
  <c r="C2370" i="1"/>
  <c r="B2370" i="1"/>
  <c r="A2370" i="1"/>
  <c r="R2369" i="1"/>
  <c r="J2369" i="1"/>
  <c r="I2369" i="1"/>
  <c r="G2369" i="1"/>
  <c r="F2369" i="1"/>
  <c r="E2369" i="1"/>
  <c r="D2369" i="1"/>
  <c r="C2369" i="1"/>
  <c r="B2369" i="1"/>
  <c r="A2369" i="1"/>
  <c r="R2368" i="1"/>
  <c r="J2368" i="1"/>
  <c r="I2368" i="1"/>
  <c r="G2368" i="1"/>
  <c r="F2368" i="1"/>
  <c r="E2368" i="1"/>
  <c r="D2368" i="1"/>
  <c r="C2368" i="1"/>
  <c r="B2368" i="1"/>
  <c r="A2368" i="1"/>
  <c r="R2367" i="1"/>
  <c r="J2367" i="1"/>
  <c r="I2367" i="1"/>
  <c r="G2367" i="1"/>
  <c r="F2367" i="1"/>
  <c r="E2367" i="1"/>
  <c r="D2367" i="1"/>
  <c r="C2367" i="1"/>
  <c r="B2367" i="1"/>
  <c r="A2367" i="1"/>
  <c r="R2366" i="1"/>
  <c r="J2366" i="1"/>
  <c r="I2366" i="1"/>
  <c r="G2366" i="1"/>
  <c r="F2366" i="1"/>
  <c r="E2366" i="1"/>
  <c r="D2366" i="1"/>
  <c r="C2366" i="1"/>
  <c r="B2366" i="1"/>
  <c r="A2366" i="1"/>
  <c r="R2365" i="1"/>
  <c r="J2365" i="1"/>
  <c r="I2365" i="1"/>
  <c r="G2365" i="1"/>
  <c r="F2365" i="1"/>
  <c r="E2365" i="1"/>
  <c r="D2365" i="1"/>
  <c r="C2365" i="1"/>
  <c r="B2365" i="1"/>
  <c r="A2365" i="1"/>
  <c r="R2364" i="1"/>
  <c r="J2364" i="1"/>
  <c r="I2364" i="1"/>
  <c r="G2364" i="1"/>
  <c r="F2364" i="1"/>
  <c r="E2364" i="1"/>
  <c r="D2364" i="1"/>
  <c r="C2364" i="1"/>
  <c r="B2364" i="1"/>
  <c r="A2364" i="1"/>
  <c r="R2363" i="1"/>
  <c r="J2363" i="1"/>
  <c r="I2363" i="1"/>
  <c r="G2363" i="1"/>
  <c r="F2363" i="1"/>
  <c r="E2363" i="1"/>
  <c r="D2363" i="1"/>
  <c r="C2363" i="1"/>
  <c r="B2363" i="1"/>
  <c r="A2363" i="1"/>
  <c r="R2362" i="1"/>
  <c r="J2362" i="1"/>
  <c r="I2362" i="1"/>
  <c r="G2362" i="1"/>
  <c r="F2362" i="1"/>
  <c r="E2362" i="1"/>
  <c r="D2362" i="1"/>
  <c r="C2362" i="1"/>
  <c r="B2362" i="1"/>
  <c r="A2362" i="1"/>
  <c r="R2361" i="1"/>
  <c r="J2361" i="1"/>
  <c r="I2361" i="1"/>
  <c r="G2361" i="1"/>
  <c r="F2361" i="1"/>
  <c r="E2361" i="1"/>
  <c r="D2361" i="1"/>
  <c r="C2361" i="1"/>
  <c r="B2361" i="1"/>
  <c r="A2361" i="1"/>
  <c r="R2360" i="1"/>
  <c r="J2360" i="1"/>
  <c r="I2360" i="1"/>
  <c r="G2360" i="1"/>
  <c r="F2360" i="1"/>
  <c r="E2360" i="1"/>
  <c r="D2360" i="1"/>
  <c r="C2360" i="1"/>
  <c r="B2360" i="1"/>
  <c r="A2360" i="1"/>
  <c r="R2359" i="1"/>
  <c r="J2359" i="1"/>
  <c r="I2359" i="1"/>
  <c r="G2359" i="1"/>
  <c r="F2359" i="1"/>
  <c r="E2359" i="1"/>
  <c r="D2359" i="1"/>
  <c r="C2359" i="1"/>
  <c r="B2359" i="1"/>
  <c r="A2359" i="1"/>
  <c r="R2358" i="1"/>
  <c r="J2358" i="1"/>
  <c r="I2358" i="1"/>
  <c r="G2358" i="1"/>
  <c r="F2358" i="1"/>
  <c r="E2358" i="1"/>
  <c r="D2358" i="1"/>
  <c r="C2358" i="1"/>
  <c r="B2358" i="1"/>
  <c r="A2358" i="1"/>
  <c r="R2357" i="1"/>
  <c r="J2357" i="1"/>
  <c r="I2357" i="1"/>
  <c r="G2357" i="1"/>
  <c r="F2357" i="1"/>
  <c r="E2357" i="1"/>
  <c r="D2357" i="1"/>
  <c r="C2357" i="1"/>
  <c r="B2357" i="1"/>
  <c r="A2357" i="1"/>
  <c r="R2356" i="1"/>
  <c r="J2356" i="1"/>
  <c r="I2356" i="1"/>
  <c r="G2356" i="1"/>
  <c r="F2356" i="1"/>
  <c r="E2356" i="1"/>
  <c r="D2356" i="1"/>
  <c r="C2356" i="1"/>
  <c r="B2356" i="1"/>
  <c r="A2356" i="1"/>
  <c r="R2355" i="1"/>
  <c r="J2355" i="1"/>
  <c r="I2355" i="1"/>
  <c r="G2355" i="1"/>
  <c r="F2355" i="1"/>
  <c r="E2355" i="1"/>
  <c r="D2355" i="1"/>
  <c r="C2355" i="1"/>
  <c r="B2355" i="1"/>
  <c r="A2355" i="1"/>
  <c r="R2354" i="1"/>
  <c r="J2354" i="1"/>
  <c r="I2354" i="1"/>
  <c r="G2354" i="1"/>
  <c r="F2354" i="1"/>
  <c r="E2354" i="1"/>
  <c r="D2354" i="1"/>
  <c r="C2354" i="1"/>
  <c r="B2354" i="1"/>
  <c r="A2354" i="1"/>
  <c r="R2353" i="1"/>
  <c r="J2353" i="1"/>
  <c r="I2353" i="1"/>
  <c r="G2353" i="1"/>
  <c r="F2353" i="1"/>
  <c r="E2353" i="1"/>
  <c r="D2353" i="1"/>
  <c r="C2353" i="1"/>
  <c r="B2353" i="1"/>
  <c r="A2353" i="1"/>
  <c r="R2352" i="1"/>
  <c r="J2352" i="1"/>
  <c r="I2352" i="1"/>
  <c r="G2352" i="1"/>
  <c r="F2352" i="1"/>
  <c r="E2352" i="1"/>
  <c r="D2352" i="1"/>
  <c r="C2352" i="1"/>
  <c r="B2352" i="1"/>
  <c r="A2352" i="1"/>
  <c r="R2351" i="1"/>
  <c r="J2351" i="1"/>
  <c r="I2351" i="1"/>
  <c r="G2351" i="1"/>
  <c r="F2351" i="1"/>
  <c r="E2351" i="1"/>
  <c r="D2351" i="1"/>
  <c r="C2351" i="1"/>
  <c r="B2351" i="1"/>
  <c r="A2351" i="1"/>
  <c r="R2350" i="1"/>
  <c r="J2350" i="1"/>
  <c r="I2350" i="1"/>
  <c r="G2350" i="1"/>
  <c r="F2350" i="1"/>
  <c r="E2350" i="1"/>
  <c r="D2350" i="1"/>
  <c r="C2350" i="1"/>
  <c r="B2350" i="1"/>
  <c r="A2350" i="1"/>
  <c r="R2349" i="1"/>
  <c r="J2349" i="1"/>
  <c r="I2349" i="1"/>
  <c r="G2349" i="1"/>
  <c r="F2349" i="1"/>
  <c r="E2349" i="1"/>
  <c r="D2349" i="1"/>
  <c r="C2349" i="1"/>
  <c r="B2349" i="1"/>
  <c r="A2349" i="1"/>
  <c r="S2348" i="1"/>
  <c r="O2348" i="1"/>
  <c r="K2348" i="1"/>
  <c r="J2348" i="1"/>
  <c r="I2348" i="1"/>
  <c r="H2348" i="1"/>
  <c r="G2348" i="1"/>
  <c r="F2348" i="1"/>
  <c r="E2348" i="1"/>
  <c r="D2348" i="1"/>
  <c r="C2348" i="1"/>
  <c r="B2348" i="1"/>
  <c r="A2348" i="1"/>
  <c r="R2347" i="1"/>
  <c r="J2347" i="1"/>
  <c r="I2347" i="1"/>
  <c r="G2347" i="1"/>
  <c r="F2347" i="1"/>
  <c r="E2347" i="1"/>
  <c r="D2347" i="1"/>
  <c r="C2347" i="1"/>
  <c r="B2347" i="1"/>
  <c r="A2347" i="1"/>
  <c r="S2346" i="1"/>
  <c r="O2346" i="1"/>
  <c r="K2346" i="1"/>
  <c r="J2346" i="1"/>
  <c r="I2346" i="1"/>
  <c r="H2346" i="1"/>
  <c r="G2346" i="1"/>
  <c r="F2346" i="1"/>
  <c r="E2346" i="1"/>
  <c r="D2346" i="1"/>
  <c r="C2346" i="1"/>
  <c r="B2346" i="1"/>
  <c r="A2346" i="1"/>
  <c r="R2345" i="1"/>
  <c r="J2345" i="1"/>
  <c r="I2345" i="1"/>
  <c r="G2345" i="1"/>
  <c r="F2345" i="1"/>
  <c r="E2345" i="1"/>
  <c r="D2345" i="1"/>
  <c r="C2345" i="1"/>
  <c r="B2345" i="1"/>
  <c r="A2345" i="1"/>
  <c r="S2344" i="1"/>
  <c r="O2344" i="1"/>
  <c r="K2344" i="1"/>
  <c r="J2344" i="1"/>
  <c r="I2344" i="1"/>
  <c r="H2344" i="1"/>
  <c r="G2344" i="1"/>
  <c r="F2344" i="1"/>
  <c r="E2344" i="1"/>
  <c r="D2344" i="1"/>
  <c r="C2344" i="1"/>
  <c r="B2344" i="1"/>
  <c r="A2344" i="1"/>
  <c r="R2343" i="1"/>
  <c r="J2343" i="1"/>
  <c r="I2343" i="1"/>
  <c r="G2343" i="1"/>
  <c r="F2343" i="1"/>
  <c r="E2343" i="1"/>
  <c r="D2343" i="1"/>
  <c r="C2343" i="1"/>
  <c r="B2343" i="1"/>
  <c r="A2343" i="1"/>
  <c r="S2342" i="1"/>
  <c r="O2342" i="1"/>
  <c r="K2342" i="1"/>
  <c r="J2342" i="1"/>
  <c r="I2342" i="1"/>
  <c r="H2342" i="1"/>
  <c r="G2342" i="1"/>
  <c r="F2342" i="1"/>
  <c r="E2342" i="1"/>
  <c r="D2342" i="1"/>
  <c r="C2342" i="1"/>
  <c r="B2342" i="1"/>
  <c r="A2342" i="1"/>
  <c r="R2341" i="1"/>
  <c r="J2341" i="1"/>
  <c r="I2341" i="1"/>
  <c r="G2341" i="1"/>
  <c r="F2341" i="1"/>
  <c r="E2341" i="1"/>
  <c r="D2341" i="1"/>
  <c r="C2341" i="1"/>
  <c r="B2341" i="1"/>
  <c r="A2341" i="1"/>
  <c r="S2340" i="1"/>
  <c r="O2340" i="1"/>
  <c r="K2340" i="1"/>
  <c r="J2340" i="1"/>
  <c r="I2340" i="1"/>
  <c r="H2340" i="1"/>
  <c r="G2340" i="1"/>
  <c r="F2340" i="1"/>
  <c r="E2340" i="1"/>
  <c r="D2340" i="1"/>
  <c r="C2340" i="1"/>
  <c r="B2340" i="1"/>
  <c r="A2340" i="1"/>
  <c r="R2339" i="1"/>
  <c r="J2339" i="1"/>
  <c r="I2339" i="1"/>
  <c r="G2339" i="1"/>
  <c r="F2339" i="1"/>
  <c r="E2339" i="1"/>
  <c r="D2339" i="1"/>
  <c r="C2339" i="1"/>
  <c r="B2339" i="1"/>
  <c r="A2339" i="1"/>
  <c r="S2338" i="1"/>
  <c r="O2338" i="1"/>
  <c r="K2338" i="1"/>
  <c r="J2338" i="1"/>
  <c r="I2338" i="1"/>
  <c r="H2338" i="1"/>
  <c r="G2338" i="1"/>
  <c r="F2338" i="1"/>
  <c r="E2338" i="1"/>
  <c r="D2338" i="1"/>
  <c r="C2338" i="1"/>
  <c r="B2338" i="1"/>
  <c r="A2338" i="1"/>
  <c r="R2337" i="1"/>
  <c r="J2337" i="1"/>
  <c r="I2337" i="1"/>
  <c r="G2337" i="1"/>
  <c r="F2337" i="1"/>
  <c r="E2337" i="1"/>
  <c r="D2337" i="1"/>
  <c r="C2337" i="1"/>
  <c r="B2337" i="1"/>
  <c r="A2337" i="1"/>
  <c r="R2336" i="1"/>
  <c r="J2336" i="1"/>
  <c r="I2336" i="1"/>
  <c r="G2336" i="1"/>
  <c r="F2336" i="1"/>
  <c r="E2336" i="1"/>
  <c r="D2336" i="1"/>
  <c r="C2336" i="1"/>
  <c r="B2336" i="1"/>
  <c r="A2336" i="1"/>
  <c r="R2335" i="1"/>
  <c r="J2335" i="1"/>
  <c r="I2335" i="1"/>
  <c r="G2335" i="1"/>
  <c r="F2335" i="1"/>
  <c r="E2335" i="1"/>
  <c r="D2335" i="1"/>
  <c r="C2335" i="1"/>
  <c r="B2335" i="1"/>
  <c r="A2335" i="1"/>
  <c r="S2334" i="1"/>
  <c r="O2334" i="1"/>
  <c r="K2334" i="1"/>
  <c r="J2334" i="1"/>
  <c r="I2334" i="1"/>
  <c r="H2334" i="1"/>
  <c r="G2334" i="1"/>
  <c r="F2334" i="1"/>
  <c r="E2334" i="1"/>
  <c r="D2334" i="1"/>
  <c r="C2334" i="1"/>
  <c r="B2334" i="1"/>
  <c r="A2334" i="1"/>
  <c r="R2333" i="1"/>
  <c r="J2333" i="1"/>
  <c r="I2333" i="1"/>
  <c r="G2333" i="1"/>
  <c r="F2333" i="1"/>
  <c r="E2333" i="1"/>
  <c r="D2333" i="1"/>
  <c r="C2333" i="1"/>
  <c r="B2333" i="1"/>
  <c r="A2333" i="1"/>
  <c r="S2332" i="1"/>
  <c r="O2332" i="1"/>
  <c r="K2332" i="1"/>
  <c r="J2332" i="1"/>
  <c r="I2332" i="1"/>
  <c r="H2332" i="1"/>
  <c r="G2332" i="1"/>
  <c r="F2332" i="1"/>
  <c r="E2332" i="1"/>
  <c r="D2332" i="1"/>
  <c r="C2332" i="1"/>
  <c r="B2332" i="1"/>
  <c r="A2332" i="1"/>
  <c r="R2331" i="1"/>
  <c r="J2331" i="1"/>
  <c r="I2331" i="1"/>
  <c r="G2331" i="1"/>
  <c r="F2331" i="1"/>
  <c r="E2331" i="1"/>
  <c r="D2331" i="1"/>
  <c r="C2331" i="1"/>
  <c r="B2331" i="1"/>
  <c r="A2331" i="1"/>
  <c r="R2330" i="1"/>
  <c r="J2330" i="1"/>
  <c r="I2330" i="1"/>
  <c r="G2330" i="1"/>
  <c r="F2330" i="1"/>
  <c r="E2330" i="1"/>
  <c r="D2330" i="1"/>
  <c r="C2330" i="1"/>
  <c r="B2330" i="1"/>
  <c r="A2330" i="1"/>
  <c r="S2329" i="1"/>
  <c r="O2329" i="1"/>
  <c r="K2329" i="1"/>
  <c r="J2329" i="1"/>
  <c r="I2329" i="1"/>
  <c r="H2329" i="1"/>
  <c r="G2329" i="1"/>
  <c r="F2329" i="1"/>
  <c r="E2329" i="1"/>
  <c r="D2329" i="1"/>
  <c r="C2329" i="1"/>
  <c r="B2329" i="1"/>
  <c r="A2329" i="1"/>
  <c r="R2328" i="1"/>
  <c r="J2328" i="1"/>
  <c r="I2328" i="1"/>
  <c r="G2328" i="1"/>
  <c r="F2328" i="1"/>
  <c r="E2328" i="1"/>
  <c r="D2328" i="1"/>
  <c r="C2328" i="1"/>
  <c r="B2328" i="1"/>
  <c r="A2328" i="1"/>
  <c r="S2327" i="1"/>
  <c r="O2327" i="1"/>
  <c r="K2327" i="1"/>
  <c r="J2327" i="1"/>
  <c r="I2327" i="1"/>
  <c r="H2327" i="1"/>
  <c r="G2327" i="1"/>
  <c r="F2327" i="1"/>
  <c r="E2327" i="1"/>
  <c r="D2327" i="1"/>
  <c r="C2327" i="1"/>
  <c r="B2327" i="1"/>
  <c r="A2327" i="1"/>
  <c r="R2326" i="1"/>
  <c r="J2326" i="1"/>
  <c r="I2326" i="1"/>
  <c r="G2326" i="1"/>
  <c r="F2326" i="1"/>
  <c r="E2326" i="1"/>
  <c r="D2326" i="1"/>
  <c r="C2326" i="1"/>
  <c r="B2326" i="1"/>
  <c r="A2326" i="1"/>
  <c r="S2325" i="1"/>
  <c r="O2325" i="1"/>
  <c r="K2325" i="1"/>
  <c r="J2325" i="1"/>
  <c r="I2325" i="1"/>
  <c r="H2325" i="1"/>
  <c r="G2325" i="1"/>
  <c r="F2325" i="1"/>
  <c r="E2325" i="1"/>
  <c r="D2325" i="1"/>
  <c r="C2325" i="1"/>
  <c r="B2325" i="1"/>
  <c r="A2325" i="1"/>
  <c r="R2324" i="1"/>
  <c r="J2324" i="1"/>
  <c r="I2324" i="1"/>
  <c r="G2324" i="1"/>
  <c r="F2324" i="1"/>
  <c r="E2324" i="1"/>
  <c r="D2324" i="1"/>
  <c r="C2324" i="1"/>
  <c r="B2324" i="1"/>
  <c r="A2324" i="1"/>
  <c r="S2323" i="1"/>
  <c r="O2323" i="1"/>
  <c r="K2323" i="1"/>
  <c r="J2323" i="1"/>
  <c r="I2323" i="1"/>
  <c r="H2323" i="1"/>
  <c r="G2323" i="1"/>
  <c r="F2323" i="1"/>
  <c r="E2323" i="1"/>
  <c r="D2323" i="1"/>
  <c r="C2323" i="1"/>
  <c r="B2323" i="1"/>
  <c r="A2323" i="1"/>
  <c r="R2322" i="1"/>
  <c r="J2322" i="1"/>
  <c r="I2322" i="1"/>
  <c r="G2322" i="1"/>
  <c r="F2322" i="1"/>
  <c r="E2322" i="1"/>
  <c r="D2322" i="1"/>
  <c r="C2322" i="1"/>
  <c r="B2322" i="1"/>
  <c r="A2322" i="1"/>
  <c r="S2321" i="1"/>
  <c r="O2321" i="1"/>
  <c r="K2321" i="1"/>
  <c r="J2321" i="1"/>
  <c r="I2321" i="1"/>
  <c r="H2321" i="1"/>
  <c r="G2321" i="1"/>
  <c r="F2321" i="1"/>
  <c r="E2321" i="1"/>
  <c r="D2321" i="1"/>
  <c r="C2321" i="1"/>
  <c r="B2321" i="1"/>
  <c r="A2321" i="1"/>
  <c r="R2320" i="1"/>
  <c r="J2320" i="1"/>
  <c r="I2320" i="1"/>
  <c r="G2320" i="1"/>
  <c r="F2320" i="1"/>
  <c r="E2320" i="1"/>
  <c r="D2320" i="1"/>
  <c r="C2320" i="1"/>
  <c r="B2320" i="1"/>
  <c r="A2320" i="1"/>
  <c r="S2319" i="1"/>
  <c r="O2319" i="1"/>
  <c r="K2319" i="1"/>
  <c r="J2319" i="1"/>
  <c r="I2319" i="1"/>
  <c r="H2319" i="1"/>
  <c r="G2319" i="1"/>
  <c r="F2319" i="1"/>
  <c r="E2319" i="1"/>
  <c r="D2319" i="1"/>
  <c r="C2319" i="1"/>
  <c r="B2319" i="1"/>
  <c r="A2319" i="1"/>
  <c r="R2318" i="1"/>
  <c r="J2318" i="1"/>
  <c r="I2318" i="1"/>
  <c r="G2318" i="1"/>
  <c r="F2318" i="1"/>
  <c r="E2318" i="1"/>
  <c r="D2318" i="1"/>
  <c r="C2318" i="1"/>
  <c r="B2318" i="1"/>
  <c r="A2318" i="1"/>
  <c r="S2317" i="1"/>
  <c r="O2317" i="1"/>
  <c r="K2317" i="1"/>
  <c r="J2317" i="1"/>
  <c r="I2317" i="1"/>
  <c r="H2317" i="1"/>
  <c r="G2317" i="1"/>
  <c r="F2317" i="1"/>
  <c r="E2317" i="1"/>
  <c r="D2317" i="1"/>
  <c r="C2317" i="1"/>
  <c r="B2317" i="1"/>
  <c r="A2317" i="1"/>
  <c r="R2316" i="1"/>
  <c r="J2316" i="1"/>
  <c r="I2316" i="1"/>
  <c r="G2316" i="1"/>
  <c r="F2316" i="1"/>
  <c r="E2316" i="1"/>
  <c r="D2316" i="1"/>
  <c r="C2316" i="1"/>
  <c r="B2316" i="1"/>
  <c r="A2316" i="1"/>
  <c r="S2315" i="1"/>
  <c r="O2315" i="1"/>
  <c r="K2315" i="1"/>
  <c r="J2315" i="1"/>
  <c r="I2315" i="1"/>
  <c r="H2315" i="1"/>
  <c r="G2315" i="1"/>
  <c r="F2315" i="1"/>
  <c r="E2315" i="1"/>
  <c r="D2315" i="1"/>
  <c r="C2315" i="1"/>
  <c r="B2315" i="1"/>
  <c r="A2315" i="1"/>
  <c r="R2314" i="1"/>
  <c r="J2314" i="1"/>
  <c r="I2314" i="1"/>
  <c r="G2314" i="1"/>
  <c r="F2314" i="1"/>
  <c r="E2314" i="1"/>
  <c r="D2314" i="1"/>
  <c r="C2314" i="1"/>
  <c r="B2314" i="1"/>
  <c r="A2314" i="1"/>
  <c r="S2313" i="1"/>
  <c r="O2313" i="1"/>
  <c r="K2313" i="1"/>
  <c r="J2313" i="1"/>
  <c r="I2313" i="1"/>
  <c r="H2313" i="1"/>
  <c r="G2313" i="1"/>
  <c r="F2313" i="1"/>
  <c r="E2313" i="1"/>
  <c r="D2313" i="1"/>
  <c r="C2313" i="1"/>
  <c r="B2313" i="1"/>
  <c r="A2313" i="1"/>
  <c r="R2312" i="1"/>
  <c r="J2312" i="1"/>
  <c r="I2312" i="1"/>
  <c r="G2312" i="1"/>
  <c r="F2312" i="1"/>
  <c r="E2312" i="1"/>
  <c r="D2312" i="1"/>
  <c r="C2312" i="1"/>
  <c r="B2312" i="1"/>
  <c r="A2312" i="1"/>
  <c r="S2311" i="1"/>
  <c r="O2311" i="1"/>
  <c r="K2311" i="1"/>
  <c r="J2311" i="1"/>
  <c r="I2311" i="1"/>
  <c r="H2311" i="1"/>
  <c r="G2311" i="1"/>
  <c r="F2311" i="1"/>
  <c r="E2311" i="1"/>
  <c r="D2311" i="1"/>
  <c r="C2311" i="1"/>
  <c r="B2311" i="1"/>
  <c r="A2311" i="1"/>
  <c r="R2310" i="1"/>
  <c r="J2310" i="1"/>
  <c r="I2310" i="1"/>
  <c r="G2310" i="1"/>
  <c r="F2310" i="1"/>
  <c r="E2310" i="1"/>
  <c r="D2310" i="1"/>
  <c r="C2310" i="1"/>
  <c r="B2310" i="1"/>
  <c r="A2310" i="1"/>
  <c r="S2309" i="1"/>
  <c r="O2309" i="1"/>
  <c r="K2309" i="1"/>
  <c r="J2309" i="1"/>
  <c r="I2309" i="1"/>
  <c r="H2309" i="1"/>
  <c r="G2309" i="1"/>
  <c r="F2309" i="1"/>
  <c r="E2309" i="1"/>
  <c r="D2309" i="1"/>
  <c r="C2309" i="1"/>
  <c r="B2309" i="1"/>
  <c r="A2309" i="1"/>
  <c r="R2308" i="1"/>
  <c r="J2308" i="1"/>
  <c r="I2308" i="1"/>
  <c r="G2308" i="1"/>
  <c r="F2308" i="1"/>
  <c r="E2308" i="1"/>
  <c r="D2308" i="1"/>
  <c r="C2308" i="1"/>
  <c r="B2308" i="1"/>
  <c r="A2308" i="1"/>
  <c r="S2307" i="1"/>
  <c r="O2307" i="1"/>
  <c r="K2307" i="1"/>
  <c r="J2307" i="1"/>
  <c r="I2307" i="1"/>
  <c r="H2307" i="1"/>
  <c r="G2307" i="1"/>
  <c r="F2307" i="1"/>
  <c r="E2307" i="1"/>
  <c r="D2307" i="1"/>
  <c r="C2307" i="1"/>
  <c r="B2307" i="1"/>
  <c r="A2307" i="1"/>
  <c r="R2306" i="1"/>
  <c r="J2306" i="1"/>
  <c r="I2306" i="1"/>
  <c r="G2306" i="1"/>
  <c r="F2306" i="1"/>
  <c r="E2306" i="1"/>
  <c r="D2306" i="1"/>
  <c r="C2306" i="1"/>
  <c r="B2306" i="1"/>
  <c r="A2306" i="1"/>
  <c r="S2305" i="1"/>
  <c r="O2305" i="1"/>
  <c r="K2305" i="1"/>
  <c r="J2305" i="1"/>
  <c r="I2305" i="1"/>
  <c r="H2305" i="1"/>
  <c r="G2305" i="1"/>
  <c r="F2305" i="1"/>
  <c r="E2305" i="1"/>
  <c r="D2305" i="1"/>
  <c r="C2305" i="1"/>
  <c r="B2305" i="1"/>
  <c r="A2305" i="1"/>
  <c r="R2304" i="1"/>
  <c r="J2304" i="1"/>
  <c r="I2304" i="1"/>
  <c r="G2304" i="1"/>
  <c r="F2304" i="1"/>
  <c r="E2304" i="1"/>
  <c r="D2304" i="1"/>
  <c r="C2304" i="1"/>
  <c r="B2304" i="1"/>
  <c r="A2304" i="1"/>
  <c r="S2303" i="1"/>
  <c r="O2303" i="1"/>
  <c r="K2303" i="1"/>
  <c r="J2303" i="1"/>
  <c r="I2303" i="1"/>
  <c r="H2303" i="1"/>
  <c r="G2303" i="1"/>
  <c r="F2303" i="1"/>
  <c r="E2303" i="1"/>
  <c r="D2303" i="1"/>
  <c r="C2303" i="1"/>
  <c r="B2303" i="1"/>
  <c r="A2303" i="1"/>
  <c r="R2302" i="1"/>
  <c r="J2302" i="1"/>
  <c r="I2302" i="1"/>
  <c r="G2302" i="1"/>
  <c r="F2302" i="1"/>
  <c r="E2302" i="1"/>
  <c r="D2302" i="1"/>
  <c r="C2302" i="1"/>
  <c r="B2302" i="1"/>
  <c r="A2302" i="1"/>
  <c r="S2301" i="1"/>
  <c r="O2301" i="1"/>
  <c r="K2301" i="1"/>
  <c r="J2301" i="1"/>
  <c r="I2301" i="1"/>
  <c r="H2301" i="1"/>
  <c r="G2301" i="1"/>
  <c r="F2301" i="1"/>
  <c r="E2301" i="1"/>
  <c r="D2301" i="1"/>
  <c r="C2301" i="1"/>
  <c r="B2301" i="1"/>
  <c r="A2301" i="1"/>
  <c r="R2300" i="1"/>
  <c r="J2300" i="1"/>
  <c r="I2300" i="1"/>
  <c r="G2300" i="1"/>
  <c r="F2300" i="1"/>
  <c r="E2300" i="1"/>
  <c r="D2300" i="1"/>
  <c r="C2300" i="1"/>
  <c r="B2300" i="1"/>
  <c r="A2300" i="1"/>
  <c r="S2299" i="1"/>
  <c r="O2299" i="1"/>
  <c r="K2299" i="1"/>
  <c r="J2299" i="1"/>
  <c r="I2299" i="1"/>
  <c r="H2299" i="1"/>
  <c r="G2299" i="1"/>
  <c r="F2299" i="1"/>
  <c r="E2299" i="1"/>
  <c r="D2299" i="1"/>
  <c r="C2299" i="1"/>
  <c r="B2299" i="1"/>
  <c r="A2299" i="1"/>
  <c r="S2298" i="1"/>
  <c r="O2298" i="1"/>
  <c r="K2298" i="1"/>
  <c r="J2298" i="1"/>
  <c r="I2298" i="1"/>
  <c r="H2298" i="1"/>
  <c r="G2298" i="1"/>
  <c r="F2298" i="1"/>
  <c r="D2298" i="1"/>
  <c r="C2298" i="1"/>
  <c r="B2298" i="1"/>
  <c r="A2298" i="1"/>
  <c r="S2297" i="1"/>
  <c r="O2297" i="1"/>
  <c r="K2297" i="1"/>
  <c r="J2297" i="1"/>
  <c r="I2297" i="1"/>
  <c r="H2297" i="1"/>
  <c r="G2297" i="1"/>
  <c r="F2297" i="1"/>
  <c r="D2297" i="1"/>
  <c r="C2297" i="1"/>
  <c r="B2297" i="1"/>
  <c r="A2297" i="1"/>
  <c r="R2296" i="1"/>
  <c r="J2296" i="1"/>
  <c r="I2296" i="1"/>
  <c r="G2296" i="1"/>
  <c r="F2296" i="1"/>
  <c r="E2296" i="1"/>
  <c r="D2296" i="1"/>
  <c r="C2296" i="1"/>
  <c r="B2296" i="1"/>
  <c r="A2296" i="1"/>
  <c r="S2295" i="1"/>
  <c r="O2295" i="1"/>
  <c r="K2295" i="1"/>
  <c r="J2295" i="1"/>
  <c r="I2295" i="1"/>
  <c r="H2295" i="1"/>
  <c r="G2295" i="1"/>
  <c r="F2295" i="1"/>
  <c r="E2295" i="1"/>
  <c r="D2295" i="1"/>
  <c r="C2295" i="1"/>
  <c r="B2295" i="1"/>
  <c r="A2295" i="1"/>
  <c r="R2294" i="1"/>
  <c r="J2294" i="1"/>
  <c r="I2294" i="1"/>
  <c r="G2294" i="1"/>
  <c r="F2294" i="1"/>
  <c r="E2294" i="1"/>
  <c r="D2294" i="1"/>
  <c r="C2294" i="1"/>
  <c r="B2294" i="1"/>
  <c r="A2294" i="1"/>
  <c r="S2293" i="1"/>
  <c r="O2293" i="1"/>
  <c r="K2293" i="1"/>
  <c r="J2293" i="1"/>
  <c r="I2293" i="1"/>
  <c r="H2293" i="1"/>
  <c r="G2293" i="1"/>
  <c r="F2293" i="1"/>
  <c r="E2293" i="1"/>
  <c r="D2293" i="1"/>
  <c r="C2293" i="1"/>
  <c r="B2293" i="1"/>
  <c r="A2293" i="1"/>
  <c r="R2292" i="1"/>
  <c r="J2292" i="1"/>
  <c r="I2292" i="1"/>
  <c r="G2292" i="1"/>
  <c r="F2292" i="1"/>
  <c r="E2292" i="1"/>
  <c r="D2292" i="1"/>
  <c r="C2292" i="1"/>
  <c r="B2292" i="1"/>
  <c r="A2292" i="1"/>
  <c r="S2291" i="1"/>
  <c r="O2291" i="1"/>
  <c r="K2291" i="1"/>
  <c r="J2291" i="1"/>
  <c r="I2291" i="1"/>
  <c r="H2291" i="1"/>
  <c r="G2291" i="1"/>
  <c r="F2291" i="1"/>
  <c r="E2291" i="1"/>
  <c r="D2291" i="1"/>
  <c r="C2291" i="1"/>
  <c r="B2291" i="1"/>
  <c r="A2291" i="1"/>
  <c r="R2290" i="1"/>
  <c r="J2290" i="1"/>
  <c r="I2290" i="1"/>
  <c r="G2290" i="1"/>
  <c r="F2290" i="1"/>
  <c r="E2290" i="1"/>
  <c r="D2290" i="1"/>
  <c r="C2290" i="1"/>
  <c r="B2290" i="1"/>
  <c r="A2290" i="1"/>
  <c r="S2289" i="1"/>
  <c r="O2289" i="1"/>
  <c r="K2289" i="1"/>
  <c r="J2289" i="1"/>
  <c r="I2289" i="1"/>
  <c r="H2289" i="1"/>
  <c r="G2289" i="1"/>
  <c r="F2289" i="1"/>
  <c r="E2289" i="1"/>
  <c r="D2289" i="1"/>
  <c r="C2289" i="1"/>
  <c r="B2289" i="1"/>
  <c r="A2289" i="1"/>
  <c r="R2288" i="1"/>
  <c r="J2288" i="1"/>
  <c r="I2288" i="1"/>
  <c r="G2288" i="1"/>
  <c r="F2288" i="1"/>
  <c r="E2288" i="1"/>
  <c r="D2288" i="1"/>
  <c r="C2288" i="1"/>
  <c r="B2288" i="1"/>
  <c r="A2288" i="1"/>
  <c r="S2287" i="1"/>
  <c r="O2287" i="1"/>
  <c r="K2287" i="1"/>
  <c r="J2287" i="1"/>
  <c r="I2287" i="1"/>
  <c r="H2287" i="1"/>
  <c r="G2287" i="1"/>
  <c r="F2287" i="1"/>
  <c r="E2287" i="1"/>
  <c r="D2287" i="1"/>
  <c r="C2287" i="1"/>
  <c r="B2287" i="1"/>
  <c r="A2287" i="1"/>
  <c r="R2286" i="1"/>
  <c r="J2286" i="1"/>
  <c r="I2286" i="1"/>
  <c r="G2286" i="1"/>
  <c r="F2286" i="1"/>
  <c r="E2286" i="1"/>
  <c r="D2286" i="1"/>
  <c r="C2286" i="1"/>
  <c r="B2286" i="1"/>
  <c r="A2286" i="1"/>
  <c r="S2285" i="1"/>
  <c r="O2285" i="1"/>
  <c r="K2285" i="1"/>
  <c r="J2285" i="1"/>
  <c r="I2285" i="1"/>
  <c r="H2285" i="1"/>
  <c r="G2285" i="1"/>
  <c r="F2285" i="1"/>
  <c r="E2285" i="1"/>
  <c r="D2285" i="1"/>
  <c r="C2285" i="1"/>
  <c r="B2285" i="1"/>
  <c r="A2285" i="1"/>
  <c r="R2284" i="1"/>
  <c r="J2284" i="1"/>
  <c r="I2284" i="1"/>
  <c r="G2284" i="1"/>
  <c r="F2284" i="1"/>
  <c r="E2284" i="1"/>
  <c r="D2284" i="1"/>
  <c r="C2284" i="1"/>
  <c r="B2284" i="1"/>
  <c r="A2284" i="1"/>
  <c r="S2283" i="1"/>
  <c r="O2283" i="1"/>
  <c r="K2283" i="1"/>
  <c r="J2283" i="1"/>
  <c r="I2283" i="1"/>
  <c r="H2283" i="1"/>
  <c r="G2283" i="1"/>
  <c r="F2283" i="1"/>
  <c r="E2283" i="1"/>
  <c r="D2283" i="1"/>
  <c r="C2283" i="1"/>
  <c r="B2283" i="1"/>
  <c r="A2283" i="1"/>
  <c r="R2282" i="1"/>
  <c r="J2282" i="1"/>
  <c r="I2282" i="1"/>
  <c r="G2282" i="1"/>
  <c r="F2282" i="1"/>
  <c r="E2282" i="1"/>
  <c r="D2282" i="1"/>
  <c r="C2282" i="1"/>
  <c r="B2282" i="1"/>
  <c r="A2282" i="1"/>
  <c r="S2281" i="1"/>
  <c r="O2281" i="1"/>
  <c r="K2281" i="1"/>
  <c r="J2281" i="1"/>
  <c r="I2281" i="1"/>
  <c r="H2281" i="1"/>
  <c r="G2281" i="1"/>
  <c r="F2281" i="1"/>
  <c r="E2281" i="1"/>
  <c r="D2281" i="1"/>
  <c r="C2281" i="1"/>
  <c r="B2281" i="1"/>
  <c r="A2281" i="1"/>
  <c r="R2280" i="1"/>
  <c r="J2280" i="1"/>
  <c r="I2280" i="1"/>
  <c r="G2280" i="1"/>
  <c r="F2280" i="1"/>
  <c r="E2280" i="1"/>
  <c r="D2280" i="1"/>
  <c r="C2280" i="1"/>
  <c r="B2280" i="1"/>
  <c r="A2280" i="1"/>
  <c r="S2279" i="1"/>
  <c r="O2279" i="1"/>
  <c r="K2279" i="1"/>
  <c r="J2279" i="1"/>
  <c r="I2279" i="1"/>
  <c r="H2279" i="1"/>
  <c r="G2279" i="1"/>
  <c r="F2279" i="1"/>
  <c r="E2279" i="1"/>
  <c r="D2279" i="1"/>
  <c r="C2279" i="1"/>
  <c r="B2279" i="1"/>
  <c r="A2279" i="1"/>
  <c r="R2278" i="1"/>
  <c r="J2278" i="1"/>
  <c r="I2278" i="1"/>
  <c r="G2278" i="1"/>
  <c r="F2278" i="1"/>
  <c r="E2278" i="1"/>
  <c r="D2278" i="1"/>
  <c r="C2278" i="1"/>
  <c r="B2278" i="1"/>
  <c r="A2278" i="1"/>
  <c r="S2277" i="1"/>
  <c r="O2277" i="1"/>
  <c r="K2277" i="1"/>
  <c r="J2277" i="1"/>
  <c r="I2277" i="1"/>
  <c r="H2277" i="1"/>
  <c r="G2277" i="1"/>
  <c r="F2277" i="1"/>
  <c r="E2277" i="1"/>
  <c r="D2277" i="1"/>
  <c r="C2277" i="1"/>
  <c r="B2277" i="1"/>
  <c r="A2277" i="1"/>
  <c r="R2276" i="1"/>
  <c r="J2276" i="1"/>
  <c r="I2276" i="1"/>
  <c r="G2276" i="1"/>
  <c r="F2276" i="1"/>
  <c r="E2276" i="1"/>
  <c r="D2276" i="1"/>
  <c r="C2276" i="1"/>
  <c r="B2276" i="1"/>
  <c r="A2276" i="1"/>
  <c r="S2275" i="1"/>
  <c r="O2275" i="1"/>
  <c r="K2275" i="1"/>
  <c r="J2275" i="1"/>
  <c r="I2275" i="1"/>
  <c r="H2275" i="1"/>
  <c r="G2275" i="1"/>
  <c r="F2275" i="1"/>
  <c r="E2275" i="1"/>
  <c r="D2275" i="1"/>
  <c r="C2275" i="1"/>
  <c r="B2275" i="1"/>
  <c r="A2275" i="1"/>
  <c r="R2274" i="1"/>
  <c r="J2274" i="1"/>
  <c r="I2274" i="1"/>
  <c r="G2274" i="1"/>
  <c r="F2274" i="1"/>
  <c r="E2274" i="1"/>
  <c r="D2274" i="1"/>
  <c r="C2274" i="1"/>
  <c r="B2274" i="1"/>
  <c r="A2274" i="1"/>
  <c r="S2273" i="1"/>
  <c r="O2273" i="1"/>
  <c r="K2273" i="1"/>
  <c r="J2273" i="1"/>
  <c r="I2273" i="1"/>
  <c r="H2273" i="1"/>
  <c r="G2273" i="1"/>
  <c r="F2273" i="1"/>
  <c r="E2273" i="1"/>
  <c r="D2273" i="1"/>
  <c r="C2273" i="1"/>
  <c r="B2273" i="1"/>
  <c r="A2273" i="1"/>
  <c r="R2272" i="1"/>
  <c r="J2272" i="1"/>
  <c r="I2272" i="1"/>
  <c r="G2272" i="1"/>
  <c r="F2272" i="1"/>
  <c r="E2272" i="1"/>
  <c r="D2272" i="1"/>
  <c r="C2272" i="1"/>
  <c r="B2272" i="1"/>
  <c r="A2272" i="1"/>
  <c r="S2271" i="1"/>
  <c r="O2271" i="1"/>
  <c r="K2271" i="1"/>
  <c r="J2271" i="1"/>
  <c r="I2271" i="1"/>
  <c r="H2271" i="1"/>
  <c r="G2271" i="1"/>
  <c r="F2271" i="1"/>
  <c r="E2271" i="1"/>
  <c r="D2271" i="1"/>
  <c r="C2271" i="1"/>
  <c r="B2271" i="1"/>
  <c r="A2271" i="1"/>
  <c r="R2270" i="1"/>
  <c r="J2270" i="1"/>
  <c r="I2270" i="1"/>
  <c r="G2270" i="1"/>
  <c r="F2270" i="1"/>
  <c r="E2270" i="1"/>
  <c r="D2270" i="1"/>
  <c r="C2270" i="1"/>
  <c r="B2270" i="1"/>
  <c r="A2270" i="1"/>
  <c r="S2269" i="1"/>
  <c r="O2269" i="1"/>
  <c r="K2269" i="1"/>
  <c r="J2269" i="1"/>
  <c r="I2269" i="1"/>
  <c r="H2269" i="1"/>
  <c r="G2269" i="1"/>
  <c r="F2269" i="1"/>
  <c r="E2269" i="1"/>
  <c r="D2269" i="1"/>
  <c r="C2269" i="1"/>
  <c r="B2269" i="1"/>
  <c r="A2269" i="1"/>
  <c r="R2268" i="1"/>
  <c r="J2268" i="1"/>
  <c r="I2268" i="1"/>
  <c r="G2268" i="1"/>
  <c r="F2268" i="1"/>
  <c r="E2268" i="1"/>
  <c r="D2268" i="1"/>
  <c r="C2268" i="1"/>
  <c r="B2268" i="1"/>
  <c r="A2268" i="1"/>
  <c r="S2267" i="1"/>
  <c r="O2267" i="1"/>
  <c r="K2267" i="1"/>
  <c r="J2267" i="1"/>
  <c r="I2267" i="1"/>
  <c r="H2267" i="1"/>
  <c r="G2267" i="1"/>
  <c r="F2267" i="1"/>
  <c r="E2267" i="1"/>
  <c r="D2267" i="1"/>
  <c r="C2267" i="1"/>
  <c r="B2267" i="1"/>
  <c r="A2267" i="1"/>
  <c r="R2266" i="1"/>
  <c r="J2266" i="1"/>
  <c r="I2266" i="1"/>
  <c r="G2266" i="1"/>
  <c r="F2266" i="1"/>
  <c r="E2266" i="1"/>
  <c r="D2266" i="1"/>
  <c r="C2266" i="1"/>
  <c r="B2266" i="1"/>
  <c r="A2266" i="1"/>
  <c r="S2265" i="1"/>
  <c r="O2265" i="1"/>
  <c r="K2265" i="1"/>
  <c r="J2265" i="1"/>
  <c r="I2265" i="1"/>
  <c r="H2265" i="1"/>
  <c r="G2265" i="1"/>
  <c r="F2265" i="1"/>
  <c r="E2265" i="1"/>
  <c r="D2265" i="1"/>
  <c r="C2265" i="1"/>
  <c r="B2265" i="1"/>
  <c r="A2265" i="1"/>
  <c r="R2264" i="1"/>
  <c r="J2264" i="1"/>
  <c r="I2264" i="1"/>
  <c r="G2264" i="1"/>
  <c r="F2264" i="1"/>
  <c r="E2264" i="1"/>
  <c r="D2264" i="1"/>
  <c r="C2264" i="1"/>
  <c r="B2264" i="1"/>
  <c r="A2264" i="1"/>
  <c r="S2263" i="1"/>
  <c r="O2263" i="1"/>
  <c r="K2263" i="1"/>
  <c r="J2263" i="1"/>
  <c r="I2263" i="1"/>
  <c r="H2263" i="1"/>
  <c r="G2263" i="1"/>
  <c r="F2263" i="1"/>
  <c r="E2263" i="1"/>
  <c r="D2263" i="1"/>
  <c r="C2263" i="1"/>
  <c r="B2263" i="1"/>
  <c r="A2263" i="1"/>
  <c r="R2262" i="1"/>
  <c r="J2262" i="1"/>
  <c r="I2262" i="1"/>
  <c r="G2262" i="1"/>
  <c r="F2262" i="1"/>
  <c r="E2262" i="1"/>
  <c r="D2262" i="1"/>
  <c r="C2262" i="1"/>
  <c r="B2262" i="1"/>
  <c r="A2262" i="1"/>
  <c r="S2261" i="1"/>
  <c r="O2261" i="1"/>
  <c r="K2261" i="1"/>
  <c r="J2261" i="1"/>
  <c r="I2261" i="1"/>
  <c r="H2261" i="1"/>
  <c r="G2261" i="1"/>
  <c r="F2261" i="1"/>
  <c r="E2261" i="1"/>
  <c r="D2261" i="1"/>
  <c r="C2261" i="1"/>
  <c r="B2261" i="1"/>
  <c r="A2261" i="1"/>
  <c r="R2260" i="1"/>
  <c r="J2260" i="1"/>
  <c r="I2260" i="1"/>
  <c r="G2260" i="1"/>
  <c r="F2260" i="1"/>
  <c r="E2260" i="1"/>
  <c r="D2260" i="1"/>
  <c r="C2260" i="1"/>
  <c r="B2260" i="1"/>
  <c r="A2260" i="1"/>
  <c r="S2259" i="1"/>
  <c r="O2259" i="1"/>
  <c r="K2259" i="1"/>
  <c r="J2259" i="1"/>
  <c r="I2259" i="1"/>
  <c r="H2259" i="1"/>
  <c r="G2259" i="1"/>
  <c r="F2259" i="1"/>
  <c r="E2259" i="1"/>
  <c r="D2259" i="1"/>
  <c r="C2259" i="1"/>
  <c r="B2259" i="1"/>
  <c r="A2259" i="1"/>
  <c r="R2258" i="1"/>
  <c r="J2258" i="1"/>
  <c r="I2258" i="1"/>
  <c r="G2258" i="1"/>
  <c r="F2258" i="1"/>
  <c r="E2258" i="1"/>
  <c r="D2258" i="1"/>
  <c r="C2258" i="1"/>
  <c r="B2258" i="1"/>
  <c r="A2258" i="1"/>
  <c r="S2257" i="1"/>
  <c r="O2257" i="1"/>
  <c r="K2257" i="1"/>
  <c r="J2257" i="1"/>
  <c r="I2257" i="1"/>
  <c r="H2257" i="1"/>
  <c r="G2257" i="1"/>
  <c r="F2257" i="1"/>
  <c r="E2257" i="1"/>
  <c r="D2257" i="1"/>
  <c r="C2257" i="1"/>
  <c r="B2257" i="1"/>
  <c r="A2257" i="1"/>
  <c r="R2256" i="1"/>
  <c r="J2256" i="1"/>
  <c r="I2256" i="1"/>
  <c r="G2256" i="1"/>
  <c r="F2256" i="1"/>
  <c r="E2256" i="1"/>
  <c r="D2256" i="1"/>
  <c r="C2256" i="1"/>
  <c r="B2256" i="1"/>
  <c r="A2256" i="1"/>
  <c r="R2255" i="1"/>
  <c r="J2255" i="1"/>
  <c r="I2255" i="1"/>
  <c r="G2255" i="1"/>
  <c r="F2255" i="1"/>
  <c r="E2255" i="1"/>
  <c r="D2255" i="1"/>
  <c r="C2255" i="1"/>
  <c r="B2255" i="1"/>
  <c r="A2255" i="1"/>
  <c r="R2254" i="1"/>
  <c r="J2254" i="1"/>
  <c r="I2254" i="1"/>
  <c r="G2254" i="1"/>
  <c r="F2254" i="1"/>
  <c r="E2254" i="1"/>
  <c r="D2254" i="1"/>
  <c r="C2254" i="1"/>
  <c r="B2254" i="1"/>
  <c r="A2254" i="1"/>
  <c r="R2253" i="1"/>
  <c r="J2253" i="1"/>
  <c r="I2253" i="1"/>
  <c r="G2253" i="1"/>
  <c r="F2253" i="1"/>
  <c r="E2253" i="1"/>
  <c r="D2253" i="1"/>
  <c r="C2253" i="1"/>
  <c r="B2253" i="1"/>
  <c r="A2253" i="1"/>
  <c r="R2252" i="1"/>
  <c r="J2252" i="1"/>
  <c r="I2252" i="1"/>
  <c r="G2252" i="1"/>
  <c r="F2252" i="1"/>
  <c r="E2252" i="1"/>
  <c r="D2252" i="1"/>
  <c r="C2252" i="1"/>
  <c r="B2252" i="1"/>
  <c r="A2252" i="1"/>
  <c r="R2251" i="1"/>
  <c r="J2251" i="1"/>
  <c r="I2251" i="1"/>
  <c r="G2251" i="1"/>
  <c r="F2251" i="1"/>
  <c r="E2251" i="1"/>
  <c r="D2251" i="1"/>
  <c r="C2251" i="1"/>
  <c r="B2251" i="1"/>
  <c r="A2251" i="1"/>
  <c r="R2250" i="1"/>
  <c r="J2250" i="1"/>
  <c r="I2250" i="1"/>
  <c r="G2250" i="1"/>
  <c r="F2250" i="1"/>
  <c r="E2250" i="1"/>
  <c r="D2250" i="1"/>
  <c r="C2250" i="1"/>
  <c r="B2250" i="1"/>
  <c r="A2250" i="1"/>
  <c r="R2249" i="1"/>
  <c r="J2249" i="1"/>
  <c r="I2249" i="1"/>
  <c r="G2249" i="1"/>
  <c r="F2249" i="1"/>
  <c r="E2249" i="1"/>
  <c r="D2249" i="1"/>
  <c r="C2249" i="1"/>
  <c r="B2249" i="1"/>
  <c r="A2249" i="1"/>
  <c r="R2248" i="1"/>
  <c r="J2248" i="1"/>
  <c r="I2248" i="1"/>
  <c r="G2248" i="1"/>
  <c r="F2248" i="1"/>
  <c r="E2248" i="1"/>
  <c r="D2248" i="1"/>
  <c r="C2248" i="1"/>
  <c r="B2248" i="1"/>
  <c r="A2248" i="1"/>
  <c r="R2247" i="1"/>
  <c r="J2247" i="1"/>
  <c r="I2247" i="1"/>
  <c r="G2247" i="1"/>
  <c r="F2247" i="1"/>
  <c r="E2247" i="1"/>
  <c r="D2247" i="1"/>
  <c r="C2247" i="1"/>
  <c r="B2247" i="1"/>
  <c r="A2247" i="1"/>
  <c r="R2246" i="1"/>
  <c r="J2246" i="1"/>
  <c r="I2246" i="1"/>
  <c r="G2246" i="1"/>
  <c r="F2246" i="1"/>
  <c r="E2246" i="1"/>
  <c r="D2246" i="1"/>
  <c r="C2246" i="1"/>
  <c r="B2246" i="1"/>
  <c r="A2246" i="1"/>
  <c r="R2245" i="1"/>
  <c r="J2245" i="1"/>
  <c r="I2245" i="1"/>
  <c r="G2245" i="1"/>
  <c r="F2245" i="1"/>
  <c r="E2245" i="1"/>
  <c r="D2245" i="1"/>
  <c r="C2245" i="1"/>
  <c r="B2245" i="1"/>
  <c r="A2245" i="1"/>
  <c r="R2244" i="1"/>
  <c r="J2244" i="1"/>
  <c r="I2244" i="1"/>
  <c r="G2244" i="1"/>
  <c r="F2244" i="1"/>
  <c r="E2244" i="1"/>
  <c r="D2244" i="1"/>
  <c r="C2244" i="1"/>
  <c r="B2244" i="1"/>
  <c r="A2244" i="1"/>
  <c r="R2243" i="1"/>
  <c r="J2243" i="1"/>
  <c r="I2243" i="1"/>
  <c r="G2243" i="1"/>
  <c r="F2243" i="1"/>
  <c r="E2243" i="1"/>
  <c r="D2243" i="1"/>
  <c r="C2243" i="1"/>
  <c r="B2243" i="1"/>
  <c r="A2243" i="1"/>
  <c r="S2242" i="1"/>
  <c r="O2242" i="1"/>
  <c r="K2242" i="1"/>
  <c r="J2242" i="1"/>
  <c r="I2242" i="1"/>
  <c r="H2242" i="1"/>
  <c r="G2242" i="1"/>
  <c r="F2242" i="1"/>
  <c r="E2242" i="1"/>
  <c r="D2242" i="1"/>
  <c r="C2242" i="1"/>
  <c r="B2242" i="1"/>
  <c r="A2242" i="1"/>
  <c r="R2241" i="1"/>
  <c r="J2241" i="1"/>
  <c r="I2241" i="1"/>
  <c r="G2241" i="1"/>
  <c r="F2241" i="1"/>
  <c r="E2241" i="1"/>
  <c r="D2241" i="1"/>
  <c r="C2241" i="1"/>
  <c r="B2241" i="1"/>
  <c r="A2241" i="1"/>
  <c r="R2240" i="1"/>
  <c r="J2240" i="1"/>
  <c r="I2240" i="1"/>
  <c r="G2240" i="1"/>
  <c r="F2240" i="1"/>
  <c r="E2240" i="1"/>
  <c r="D2240" i="1"/>
  <c r="C2240" i="1"/>
  <c r="B2240" i="1"/>
  <c r="A2240" i="1"/>
  <c r="R2239" i="1"/>
  <c r="J2239" i="1"/>
  <c r="I2239" i="1"/>
  <c r="G2239" i="1"/>
  <c r="F2239" i="1"/>
  <c r="E2239" i="1"/>
  <c r="D2239" i="1"/>
  <c r="C2239" i="1"/>
  <c r="B2239" i="1"/>
  <c r="A2239" i="1"/>
  <c r="R2238" i="1"/>
  <c r="J2238" i="1"/>
  <c r="I2238" i="1"/>
  <c r="G2238" i="1"/>
  <c r="F2238" i="1"/>
  <c r="E2238" i="1"/>
  <c r="D2238" i="1"/>
  <c r="C2238" i="1"/>
  <c r="B2238" i="1"/>
  <c r="A2238" i="1"/>
  <c r="R2237" i="1"/>
  <c r="J2237" i="1"/>
  <c r="I2237" i="1"/>
  <c r="G2237" i="1"/>
  <c r="F2237" i="1"/>
  <c r="E2237" i="1"/>
  <c r="D2237" i="1"/>
  <c r="C2237" i="1"/>
  <c r="B2237" i="1"/>
  <c r="A2237" i="1"/>
  <c r="R2236" i="1"/>
  <c r="J2236" i="1"/>
  <c r="I2236" i="1"/>
  <c r="G2236" i="1"/>
  <c r="F2236" i="1"/>
  <c r="E2236" i="1"/>
  <c r="D2236" i="1"/>
  <c r="C2236" i="1"/>
  <c r="B2236" i="1"/>
  <c r="A2236" i="1"/>
  <c r="R2235" i="1"/>
  <c r="J2235" i="1"/>
  <c r="I2235" i="1"/>
  <c r="G2235" i="1"/>
  <c r="F2235" i="1"/>
  <c r="E2235" i="1"/>
  <c r="D2235" i="1"/>
  <c r="C2235" i="1"/>
  <c r="B2235" i="1"/>
  <c r="A2235" i="1"/>
  <c r="R2234" i="1"/>
  <c r="J2234" i="1"/>
  <c r="I2234" i="1"/>
  <c r="G2234" i="1"/>
  <c r="F2234" i="1"/>
  <c r="E2234" i="1"/>
  <c r="D2234" i="1"/>
  <c r="C2234" i="1"/>
  <c r="B2234" i="1"/>
  <c r="A2234" i="1"/>
  <c r="R2233" i="1"/>
  <c r="J2233" i="1"/>
  <c r="I2233" i="1"/>
  <c r="G2233" i="1"/>
  <c r="F2233" i="1"/>
  <c r="E2233" i="1"/>
  <c r="D2233" i="1"/>
  <c r="C2233" i="1"/>
  <c r="B2233" i="1"/>
  <c r="A2233" i="1"/>
  <c r="R2232" i="1"/>
  <c r="J2232" i="1"/>
  <c r="I2232" i="1"/>
  <c r="G2232" i="1"/>
  <c r="F2232" i="1"/>
  <c r="E2232" i="1"/>
  <c r="D2232" i="1"/>
  <c r="C2232" i="1"/>
  <c r="B2232" i="1"/>
  <c r="A2232" i="1"/>
  <c r="S2231" i="1"/>
  <c r="O2231" i="1"/>
  <c r="K2231" i="1"/>
  <c r="J2231" i="1"/>
  <c r="I2231" i="1"/>
  <c r="H2231" i="1"/>
  <c r="G2231" i="1"/>
  <c r="F2231" i="1"/>
  <c r="E2231" i="1"/>
  <c r="D2231" i="1"/>
  <c r="C2231" i="1"/>
  <c r="B2231" i="1"/>
  <c r="A2231" i="1"/>
  <c r="R2230" i="1"/>
  <c r="J2230" i="1"/>
  <c r="I2230" i="1"/>
  <c r="G2230" i="1"/>
  <c r="F2230" i="1"/>
  <c r="E2230" i="1"/>
  <c r="D2230" i="1"/>
  <c r="C2230" i="1"/>
  <c r="B2230" i="1"/>
  <c r="A2230" i="1"/>
  <c r="R2229" i="1"/>
  <c r="J2229" i="1"/>
  <c r="I2229" i="1"/>
  <c r="G2229" i="1"/>
  <c r="F2229" i="1"/>
  <c r="E2229" i="1"/>
  <c r="D2229" i="1"/>
  <c r="C2229" i="1"/>
  <c r="B2229" i="1"/>
  <c r="A2229" i="1"/>
  <c r="S2228" i="1"/>
  <c r="O2228" i="1"/>
  <c r="K2228" i="1"/>
  <c r="J2228" i="1"/>
  <c r="I2228" i="1"/>
  <c r="H2228" i="1"/>
  <c r="G2228" i="1"/>
  <c r="F2228" i="1"/>
  <c r="E2228" i="1"/>
  <c r="D2228" i="1"/>
  <c r="C2228" i="1"/>
  <c r="B2228" i="1"/>
  <c r="A2228" i="1"/>
  <c r="R2227" i="1"/>
  <c r="J2227" i="1"/>
  <c r="I2227" i="1"/>
  <c r="G2227" i="1"/>
  <c r="F2227" i="1"/>
  <c r="E2227" i="1"/>
  <c r="D2227" i="1"/>
  <c r="C2227" i="1"/>
  <c r="B2227" i="1"/>
  <c r="A2227" i="1"/>
  <c r="R2226" i="1"/>
  <c r="J2226" i="1"/>
  <c r="I2226" i="1"/>
  <c r="G2226" i="1"/>
  <c r="F2226" i="1"/>
  <c r="E2226" i="1"/>
  <c r="D2226" i="1"/>
  <c r="C2226" i="1"/>
  <c r="B2226" i="1"/>
  <c r="A2226" i="1"/>
  <c r="R2225" i="1"/>
  <c r="J2225" i="1"/>
  <c r="I2225" i="1"/>
  <c r="G2225" i="1"/>
  <c r="F2225" i="1"/>
  <c r="E2225" i="1"/>
  <c r="D2225" i="1"/>
  <c r="C2225" i="1"/>
  <c r="B2225" i="1"/>
  <c r="A2225" i="1"/>
  <c r="S2224" i="1"/>
  <c r="O2224" i="1"/>
  <c r="K2224" i="1"/>
  <c r="J2224" i="1"/>
  <c r="I2224" i="1"/>
  <c r="H2224" i="1"/>
  <c r="G2224" i="1"/>
  <c r="F2224" i="1"/>
  <c r="E2224" i="1"/>
  <c r="D2224" i="1"/>
  <c r="C2224" i="1"/>
  <c r="B2224" i="1"/>
  <c r="A2224" i="1"/>
  <c r="R2223" i="1"/>
  <c r="J2223" i="1"/>
  <c r="I2223" i="1"/>
  <c r="G2223" i="1"/>
  <c r="F2223" i="1"/>
  <c r="E2223" i="1"/>
  <c r="D2223" i="1"/>
  <c r="C2223" i="1"/>
  <c r="B2223" i="1"/>
  <c r="A2223" i="1"/>
  <c r="R2222" i="1"/>
  <c r="J2222" i="1"/>
  <c r="I2222" i="1"/>
  <c r="G2222" i="1"/>
  <c r="F2222" i="1"/>
  <c r="E2222" i="1"/>
  <c r="D2222" i="1"/>
  <c r="C2222" i="1"/>
  <c r="B2222" i="1"/>
  <c r="A2222" i="1"/>
  <c r="S2221" i="1"/>
  <c r="O2221" i="1"/>
  <c r="K2221" i="1"/>
  <c r="J2221" i="1"/>
  <c r="I2221" i="1"/>
  <c r="H2221" i="1"/>
  <c r="G2221" i="1"/>
  <c r="F2221" i="1"/>
  <c r="E2221" i="1"/>
  <c r="D2221" i="1"/>
  <c r="C2221" i="1"/>
  <c r="B2221" i="1"/>
  <c r="A2221" i="1"/>
  <c r="R2220" i="1"/>
  <c r="J2220" i="1"/>
  <c r="I2220" i="1"/>
  <c r="G2220" i="1"/>
  <c r="F2220" i="1"/>
  <c r="E2220" i="1"/>
  <c r="D2220" i="1"/>
  <c r="C2220" i="1"/>
  <c r="B2220" i="1"/>
  <c r="A2220" i="1"/>
  <c r="R2219" i="1"/>
  <c r="J2219" i="1"/>
  <c r="I2219" i="1"/>
  <c r="G2219" i="1"/>
  <c r="F2219" i="1"/>
  <c r="E2219" i="1"/>
  <c r="D2219" i="1"/>
  <c r="C2219" i="1"/>
  <c r="B2219" i="1"/>
  <c r="A2219" i="1"/>
  <c r="R2218" i="1"/>
  <c r="J2218" i="1"/>
  <c r="I2218" i="1"/>
  <c r="G2218" i="1"/>
  <c r="F2218" i="1"/>
  <c r="E2218" i="1"/>
  <c r="D2218" i="1"/>
  <c r="C2218" i="1"/>
  <c r="B2218" i="1"/>
  <c r="A2218" i="1"/>
  <c r="R2217" i="1"/>
  <c r="J2217" i="1"/>
  <c r="I2217" i="1"/>
  <c r="G2217" i="1"/>
  <c r="F2217" i="1"/>
  <c r="E2217" i="1"/>
  <c r="D2217" i="1"/>
  <c r="C2217" i="1"/>
  <c r="B2217" i="1"/>
  <c r="A2217" i="1"/>
  <c r="R2216" i="1"/>
  <c r="J2216" i="1"/>
  <c r="I2216" i="1"/>
  <c r="G2216" i="1"/>
  <c r="F2216" i="1"/>
  <c r="E2216" i="1"/>
  <c r="D2216" i="1"/>
  <c r="C2216" i="1"/>
  <c r="B2216" i="1"/>
  <c r="A2216" i="1"/>
  <c r="R2215" i="1"/>
  <c r="J2215" i="1"/>
  <c r="I2215" i="1"/>
  <c r="G2215" i="1"/>
  <c r="F2215" i="1"/>
  <c r="E2215" i="1"/>
  <c r="D2215" i="1"/>
  <c r="C2215" i="1"/>
  <c r="B2215" i="1"/>
  <c r="A2215" i="1"/>
  <c r="R2214" i="1"/>
  <c r="J2214" i="1"/>
  <c r="I2214" i="1"/>
  <c r="G2214" i="1"/>
  <c r="F2214" i="1"/>
  <c r="E2214" i="1"/>
  <c r="D2214" i="1"/>
  <c r="C2214" i="1"/>
  <c r="B2214" i="1"/>
  <c r="A2214" i="1"/>
  <c r="R2213" i="1"/>
  <c r="J2213" i="1"/>
  <c r="I2213" i="1"/>
  <c r="G2213" i="1"/>
  <c r="F2213" i="1"/>
  <c r="E2213" i="1"/>
  <c r="D2213" i="1"/>
  <c r="C2213" i="1"/>
  <c r="B2213" i="1"/>
  <c r="A2213" i="1"/>
  <c r="R2212" i="1"/>
  <c r="J2212" i="1"/>
  <c r="I2212" i="1"/>
  <c r="G2212" i="1"/>
  <c r="F2212" i="1"/>
  <c r="E2212" i="1"/>
  <c r="D2212" i="1"/>
  <c r="C2212" i="1"/>
  <c r="B2212" i="1"/>
  <c r="A2212" i="1"/>
  <c r="R2211" i="1"/>
  <c r="J2211" i="1"/>
  <c r="I2211" i="1"/>
  <c r="G2211" i="1"/>
  <c r="F2211" i="1"/>
  <c r="E2211" i="1"/>
  <c r="D2211" i="1"/>
  <c r="C2211" i="1"/>
  <c r="B2211" i="1"/>
  <c r="A2211" i="1"/>
  <c r="S2210" i="1"/>
  <c r="O2210" i="1"/>
  <c r="K2210" i="1"/>
  <c r="J2210" i="1"/>
  <c r="I2210" i="1"/>
  <c r="H2210" i="1"/>
  <c r="G2210" i="1"/>
  <c r="F2210" i="1"/>
  <c r="E2210" i="1"/>
  <c r="D2210" i="1"/>
  <c r="C2210" i="1"/>
  <c r="B2210" i="1"/>
  <c r="A2210" i="1"/>
  <c r="R2209" i="1"/>
  <c r="J2209" i="1"/>
  <c r="I2209" i="1"/>
  <c r="G2209" i="1"/>
  <c r="F2209" i="1"/>
  <c r="E2209" i="1"/>
  <c r="D2209" i="1"/>
  <c r="C2209" i="1"/>
  <c r="B2209" i="1"/>
  <c r="A2209" i="1"/>
  <c r="R2208" i="1"/>
  <c r="J2208" i="1"/>
  <c r="I2208" i="1"/>
  <c r="G2208" i="1"/>
  <c r="F2208" i="1"/>
  <c r="E2208" i="1"/>
  <c r="D2208" i="1"/>
  <c r="C2208" i="1"/>
  <c r="B2208" i="1"/>
  <c r="A2208" i="1"/>
  <c r="S2207" i="1"/>
  <c r="O2207" i="1"/>
  <c r="K2207" i="1"/>
  <c r="J2207" i="1"/>
  <c r="I2207" i="1"/>
  <c r="H2207" i="1"/>
  <c r="G2207" i="1"/>
  <c r="F2207" i="1"/>
  <c r="E2207" i="1"/>
  <c r="D2207" i="1"/>
  <c r="C2207" i="1"/>
  <c r="B2207" i="1"/>
  <c r="A2207" i="1"/>
  <c r="R2206" i="1"/>
  <c r="J2206" i="1"/>
  <c r="I2206" i="1"/>
  <c r="G2206" i="1"/>
  <c r="F2206" i="1"/>
  <c r="E2206" i="1"/>
  <c r="D2206" i="1"/>
  <c r="C2206" i="1"/>
  <c r="B2206" i="1"/>
  <c r="A2206" i="1"/>
  <c r="R2205" i="1"/>
  <c r="J2205" i="1"/>
  <c r="I2205" i="1"/>
  <c r="G2205" i="1"/>
  <c r="F2205" i="1"/>
  <c r="E2205" i="1"/>
  <c r="D2205" i="1"/>
  <c r="C2205" i="1"/>
  <c r="B2205" i="1"/>
  <c r="A2205" i="1"/>
  <c r="R2204" i="1"/>
  <c r="J2204" i="1"/>
  <c r="I2204" i="1"/>
  <c r="G2204" i="1"/>
  <c r="F2204" i="1"/>
  <c r="E2204" i="1"/>
  <c r="D2204" i="1"/>
  <c r="C2204" i="1"/>
  <c r="B2204" i="1"/>
  <c r="A2204" i="1"/>
  <c r="R2203" i="1"/>
  <c r="J2203" i="1"/>
  <c r="I2203" i="1"/>
  <c r="G2203" i="1"/>
  <c r="F2203" i="1"/>
  <c r="E2203" i="1"/>
  <c r="D2203" i="1"/>
  <c r="C2203" i="1"/>
  <c r="B2203" i="1"/>
  <c r="A2203" i="1"/>
  <c r="S2202" i="1"/>
  <c r="O2202" i="1"/>
  <c r="K2202" i="1"/>
  <c r="J2202" i="1"/>
  <c r="I2202" i="1"/>
  <c r="H2202" i="1"/>
  <c r="G2202" i="1"/>
  <c r="F2202" i="1"/>
  <c r="E2202" i="1"/>
  <c r="D2202" i="1"/>
  <c r="C2202" i="1"/>
  <c r="B2202" i="1"/>
  <c r="A2202" i="1"/>
  <c r="S2201" i="1"/>
  <c r="O2201" i="1"/>
  <c r="K2201" i="1"/>
  <c r="J2201" i="1"/>
  <c r="I2201" i="1"/>
  <c r="H2201" i="1"/>
  <c r="G2201" i="1"/>
  <c r="F2201" i="1"/>
  <c r="D2201" i="1"/>
  <c r="C2201" i="1"/>
  <c r="B2201" i="1"/>
  <c r="A2201" i="1"/>
  <c r="S2200" i="1"/>
  <c r="O2200" i="1"/>
  <c r="K2200" i="1"/>
  <c r="J2200" i="1"/>
  <c r="I2200" i="1"/>
  <c r="H2200" i="1"/>
  <c r="G2200" i="1"/>
  <c r="F2200" i="1"/>
  <c r="D2200" i="1"/>
  <c r="C2200" i="1"/>
  <c r="B2200" i="1"/>
  <c r="A2200" i="1"/>
  <c r="R2199" i="1"/>
  <c r="J2199" i="1"/>
  <c r="I2199" i="1"/>
  <c r="G2199" i="1"/>
  <c r="F2199" i="1"/>
  <c r="E2199" i="1"/>
  <c r="D2199" i="1"/>
  <c r="C2199" i="1"/>
  <c r="B2199" i="1"/>
  <c r="A2199" i="1"/>
  <c r="S2198" i="1"/>
  <c r="O2198" i="1"/>
  <c r="K2198" i="1"/>
  <c r="J2198" i="1"/>
  <c r="I2198" i="1"/>
  <c r="H2198" i="1"/>
  <c r="G2198" i="1"/>
  <c r="F2198" i="1"/>
  <c r="E2198" i="1"/>
  <c r="D2198" i="1"/>
  <c r="C2198" i="1"/>
  <c r="B2198" i="1"/>
  <c r="A2198" i="1"/>
  <c r="R2197" i="1"/>
  <c r="J2197" i="1"/>
  <c r="I2197" i="1"/>
  <c r="G2197" i="1"/>
  <c r="F2197" i="1"/>
  <c r="E2197" i="1"/>
  <c r="D2197" i="1"/>
  <c r="C2197" i="1"/>
  <c r="B2197" i="1"/>
  <c r="A2197" i="1"/>
  <c r="S2196" i="1"/>
  <c r="O2196" i="1"/>
  <c r="K2196" i="1"/>
  <c r="J2196" i="1"/>
  <c r="I2196" i="1"/>
  <c r="H2196" i="1"/>
  <c r="G2196" i="1"/>
  <c r="F2196" i="1"/>
  <c r="E2196" i="1"/>
  <c r="D2196" i="1"/>
  <c r="C2196" i="1"/>
  <c r="B2196" i="1"/>
  <c r="A2196" i="1"/>
  <c r="R2195" i="1"/>
  <c r="J2195" i="1"/>
  <c r="I2195" i="1"/>
  <c r="G2195" i="1"/>
  <c r="F2195" i="1"/>
  <c r="E2195" i="1"/>
  <c r="D2195" i="1"/>
  <c r="C2195" i="1"/>
  <c r="B2195" i="1"/>
  <c r="A2195" i="1"/>
  <c r="S2194" i="1"/>
  <c r="O2194" i="1"/>
  <c r="K2194" i="1"/>
  <c r="J2194" i="1"/>
  <c r="I2194" i="1"/>
  <c r="H2194" i="1"/>
  <c r="G2194" i="1"/>
  <c r="F2194" i="1"/>
  <c r="E2194" i="1"/>
  <c r="D2194" i="1"/>
  <c r="C2194" i="1"/>
  <c r="B2194" i="1"/>
  <c r="A2194" i="1"/>
  <c r="R2193" i="1"/>
  <c r="J2193" i="1"/>
  <c r="I2193" i="1"/>
  <c r="G2193" i="1"/>
  <c r="F2193" i="1"/>
  <c r="E2193" i="1"/>
  <c r="D2193" i="1"/>
  <c r="C2193" i="1"/>
  <c r="B2193" i="1"/>
  <c r="A2193" i="1"/>
  <c r="S2192" i="1"/>
  <c r="O2192" i="1"/>
  <c r="K2192" i="1"/>
  <c r="J2192" i="1"/>
  <c r="I2192" i="1"/>
  <c r="H2192" i="1"/>
  <c r="G2192" i="1"/>
  <c r="F2192" i="1"/>
  <c r="E2192" i="1"/>
  <c r="D2192" i="1"/>
  <c r="C2192" i="1"/>
  <c r="B2192" i="1"/>
  <c r="A2192" i="1"/>
  <c r="R2191" i="1"/>
  <c r="J2191" i="1"/>
  <c r="I2191" i="1"/>
  <c r="G2191" i="1"/>
  <c r="F2191" i="1"/>
  <c r="E2191" i="1"/>
  <c r="D2191" i="1"/>
  <c r="C2191" i="1"/>
  <c r="B2191" i="1"/>
  <c r="A2191" i="1"/>
  <c r="S2190" i="1"/>
  <c r="O2190" i="1"/>
  <c r="K2190" i="1"/>
  <c r="J2190" i="1"/>
  <c r="I2190" i="1"/>
  <c r="H2190" i="1"/>
  <c r="G2190" i="1"/>
  <c r="F2190" i="1"/>
  <c r="E2190" i="1"/>
  <c r="D2190" i="1"/>
  <c r="C2190" i="1"/>
  <c r="B2190" i="1"/>
  <c r="A2190" i="1"/>
  <c r="R2189" i="1"/>
  <c r="J2189" i="1"/>
  <c r="I2189" i="1"/>
  <c r="G2189" i="1"/>
  <c r="F2189" i="1"/>
  <c r="E2189" i="1"/>
  <c r="D2189" i="1"/>
  <c r="C2189" i="1"/>
  <c r="B2189" i="1"/>
  <c r="A2189" i="1"/>
  <c r="R2188" i="1"/>
  <c r="J2188" i="1"/>
  <c r="I2188" i="1"/>
  <c r="G2188" i="1"/>
  <c r="F2188" i="1"/>
  <c r="E2188" i="1"/>
  <c r="D2188" i="1"/>
  <c r="C2188" i="1"/>
  <c r="B2188" i="1"/>
  <c r="A2188" i="1"/>
  <c r="R2187" i="1"/>
  <c r="J2187" i="1"/>
  <c r="I2187" i="1"/>
  <c r="G2187" i="1"/>
  <c r="F2187" i="1"/>
  <c r="E2187" i="1"/>
  <c r="D2187" i="1"/>
  <c r="C2187" i="1"/>
  <c r="B2187" i="1"/>
  <c r="A2187" i="1"/>
  <c r="R2186" i="1"/>
  <c r="J2186" i="1"/>
  <c r="I2186" i="1"/>
  <c r="G2186" i="1"/>
  <c r="F2186" i="1"/>
  <c r="E2186" i="1"/>
  <c r="D2186" i="1"/>
  <c r="C2186" i="1"/>
  <c r="B2186" i="1"/>
  <c r="A2186" i="1"/>
  <c r="S2185" i="1"/>
  <c r="O2185" i="1"/>
  <c r="K2185" i="1"/>
  <c r="J2185" i="1"/>
  <c r="I2185" i="1"/>
  <c r="H2185" i="1"/>
  <c r="G2185" i="1"/>
  <c r="F2185" i="1"/>
  <c r="E2185" i="1"/>
  <c r="D2185" i="1"/>
  <c r="C2185" i="1"/>
  <c r="B2185" i="1"/>
  <c r="A2185" i="1"/>
  <c r="R2184" i="1"/>
  <c r="J2184" i="1"/>
  <c r="I2184" i="1"/>
  <c r="G2184" i="1"/>
  <c r="F2184" i="1"/>
  <c r="E2184" i="1"/>
  <c r="D2184" i="1"/>
  <c r="C2184" i="1"/>
  <c r="B2184" i="1"/>
  <c r="A2184" i="1"/>
  <c r="S2183" i="1"/>
  <c r="O2183" i="1"/>
  <c r="K2183" i="1"/>
  <c r="J2183" i="1"/>
  <c r="I2183" i="1"/>
  <c r="H2183" i="1"/>
  <c r="G2183" i="1"/>
  <c r="F2183" i="1"/>
  <c r="E2183" i="1"/>
  <c r="D2183" i="1"/>
  <c r="C2183" i="1"/>
  <c r="B2183" i="1"/>
  <c r="A2183" i="1"/>
  <c r="R2182" i="1"/>
  <c r="J2182" i="1"/>
  <c r="I2182" i="1"/>
  <c r="G2182" i="1"/>
  <c r="F2182" i="1"/>
  <c r="E2182" i="1"/>
  <c r="D2182" i="1"/>
  <c r="C2182" i="1"/>
  <c r="B2182" i="1"/>
  <c r="A2182" i="1"/>
  <c r="S2181" i="1"/>
  <c r="O2181" i="1"/>
  <c r="K2181" i="1"/>
  <c r="J2181" i="1"/>
  <c r="I2181" i="1"/>
  <c r="H2181" i="1"/>
  <c r="G2181" i="1"/>
  <c r="F2181" i="1"/>
  <c r="E2181" i="1"/>
  <c r="D2181" i="1"/>
  <c r="C2181" i="1"/>
  <c r="B2181" i="1"/>
  <c r="A2181" i="1"/>
  <c r="R2180" i="1"/>
  <c r="J2180" i="1"/>
  <c r="I2180" i="1"/>
  <c r="G2180" i="1"/>
  <c r="F2180" i="1"/>
  <c r="E2180" i="1"/>
  <c r="D2180" i="1"/>
  <c r="C2180" i="1"/>
  <c r="B2180" i="1"/>
  <c r="A2180" i="1"/>
  <c r="S2179" i="1"/>
  <c r="O2179" i="1"/>
  <c r="K2179" i="1"/>
  <c r="J2179" i="1"/>
  <c r="I2179" i="1"/>
  <c r="H2179" i="1"/>
  <c r="G2179" i="1"/>
  <c r="F2179" i="1"/>
  <c r="E2179" i="1"/>
  <c r="D2179" i="1"/>
  <c r="C2179" i="1"/>
  <c r="B2179" i="1"/>
  <c r="A2179" i="1"/>
  <c r="R2178" i="1"/>
  <c r="J2178" i="1"/>
  <c r="I2178" i="1"/>
  <c r="G2178" i="1"/>
  <c r="F2178" i="1"/>
  <c r="E2178" i="1"/>
  <c r="D2178" i="1"/>
  <c r="C2178" i="1"/>
  <c r="B2178" i="1"/>
  <c r="A2178" i="1"/>
  <c r="S2177" i="1"/>
  <c r="O2177" i="1"/>
  <c r="K2177" i="1"/>
  <c r="J2177" i="1"/>
  <c r="I2177" i="1"/>
  <c r="H2177" i="1"/>
  <c r="G2177" i="1"/>
  <c r="F2177" i="1"/>
  <c r="E2177" i="1"/>
  <c r="D2177" i="1"/>
  <c r="C2177" i="1"/>
  <c r="B2177" i="1"/>
  <c r="A2177" i="1"/>
  <c r="R2176" i="1"/>
  <c r="J2176" i="1"/>
  <c r="I2176" i="1"/>
  <c r="G2176" i="1"/>
  <c r="F2176" i="1"/>
  <c r="E2176" i="1"/>
  <c r="D2176" i="1"/>
  <c r="C2176" i="1"/>
  <c r="B2176" i="1"/>
  <c r="A2176" i="1"/>
  <c r="S2175" i="1"/>
  <c r="O2175" i="1"/>
  <c r="K2175" i="1"/>
  <c r="J2175" i="1"/>
  <c r="I2175" i="1"/>
  <c r="H2175" i="1"/>
  <c r="G2175" i="1"/>
  <c r="F2175" i="1"/>
  <c r="E2175" i="1"/>
  <c r="D2175" i="1"/>
  <c r="C2175" i="1"/>
  <c r="B2175" i="1"/>
  <c r="A2175" i="1"/>
  <c r="R2174" i="1"/>
  <c r="J2174" i="1"/>
  <c r="I2174" i="1"/>
  <c r="G2174" i="1"/>
  <c r="F2174" i="1"/>
  <c r="E2174" i="1"/>
  <c r="D2174" i="1"/>
  <c r="C2174" i="1"/>
  <c r="B2174" i="1"/>
  <c r="A2174" i="1"/>
  <c r="S2173" i="1"/>
  <c r="O2173" i="1"/>
  <c r="K2173" i="1"/>
  <c r="J2173" i="1"/>
  <c r="I2173" i="1"/>
  <c r="H2173" i="1"/>
  <c r="G2173" i="1"/>
  <c r="F2173" i="1"/>
  <c r="E2173" i="1"/>
  <c r="D2173" i="1"/>
  <c r="C2173" i="1"/>
  <c r="B2173" i="1"/>
  <c r="A2173" i="1"/>
  <c r="R2172" i="1"/>
  <c r="J2172" i="1"/>
  <c r="I2172" i="1"/>
  <c r="G2172" i="1"/>
  <c r="F2172" i="1"/>
  <c r="E2172" i="1"/>
  <c r="D2172" i="1"/>
  <c r="C2172" i="1"/>
  <c r="B2172" i="1"/>
  <c r="A2172" i="1"/>
  <c r="S2171" i="1"/>
  <c r="O2171" i="1"/>
  <c r="K2171" i="1"/>
  <c r="J2171" i="1"/>
  <c r="I2171" i="1"/>
  <c r="H2171" i="1"/>
  <c r="G2171" i="1"/>
  <c r="F2171" i="1"/>
  <c r="E2171" i="1"/>
  <c r="D2171" i="1"/>
  <c r="C2171" i="1"/>
  <c r="B2171" i="1"/>
  <c r="A2171" i="1"/>
  <c r="R2170" i="1"/>
  <c r="J2170" i="1"/>
  <c r="I2170" i="1"/>
  <c r="G2170" i="1"/>
  <c r="F2170" i="1"/>
  <c r="E2170" i="1"/>
  <c r="D2170" i="1"/>
  <c r="C2170" i="1"/>
  <c r="B2170" i="1"/>
  <c r="A2170" i="1"/>
  <c r="S2169" i="1"/>
  <c r="O2169" i="1"/>
  <c r="K2169" i="1"/>
  <c r="J2169" i="1"/>
  <c r="I2169" i="1"/>
  <c r="H2169" i="1"/>
  <c r="G2169" i="1"/>
  <c r="F2169" i="1"/>
  <c r="E2169" i="1"/>
  <c r="D2169" i="1"/>
  <c r="C2169" i="1"/>
  <c r="B2169" i="1"/>
  <c r="A2169" i="1"/>
  <c r="R2168" i="1"/>
  <c r="J2168" i="1"/>
  <c r="I2168" i="1"/>
  <c r="G2168" i="1"/>
  <c r="F2168" i="1"/>
  <c r="E2168" i="1"/>
  <c r="D2168" i="1"/>
  <c r="C2168" i="1"/>
  <c r="B2168" i="1"/>
  <c r="A2168" i="1"/>
  <c r="S2167" i="1"/>
  <c r="O2167" i="1"/>
  <c r="K2167" i="1"/>
  <c r="J2167" i="1"/>
  <c r="I2167" i="1"/>
  <c r="H2167" i="1"/>
  <c r="G2167" i="1"/>
  <c r="F2167" i="1"/>
  <c r="E2167" i="1"/>
  <c r="D2167" i="1"/>
  <c r="C2167" i="1"/>
  <c r="B2167" i="1"/>
  <c r="A2167" i="1"/>
  <c r="R2166" i="1"/>
  <c r="J2166" i="1"/>
  <c r="I2166" i="1"/>
  <c r="G2166" i="1"/>
  <c r="F2166" i="1"/>
  <c r="E2166" i="1"/>
  <c r="D2166" i="1"/>
  <c r="C2166" i="1"/>
  <c r="B2166" i="1"/>
  <c r="A2166" i="1"/>
  <c r="S2165" i="1"/>
  <c r="O2165" i="1"/>
  <c r="K2165" i="1"/>
  <c r="J2165" i="1"/>
  <c r="I2165" i="1"/>
  <c r="H2165" i="1"/>
  <c r="G2165" i="1"/>
  <c r="F2165" i="1"/>
  <c r="E2165" i="1"/>
  <c r="D2165" i="1"/>
  <c r="C2165" i="1"/>
  <c r="B2165" i="1"/>
  <c r="A2165" i="1"/>
  <c r="R2164" i="1"/>
  <c r="J2164" i="1"/>
  <c r="I2164" i="1"/>
  <c r="G2164" i="1"/>
  <c r="F2164" i="1"/>
  <c r="E2164" i="1"/>
  <c r="D2164" i="1"/>
  <c r="C2164" i="1"/>
  <c r="B2164" i="1"/>
  <c r="A2164" i="1"/>
  <c r="S2163" i="1"/>
  <c r="O2163" i="1"/>
  <c r="K2163" i="1"/>
  <c r="J2163" i="1"/>
  <c r="I2163" i="1"/>
  <c r="H2163" i="1"/>
  <c r="G2163" i="1"/>
  <c r="F2163" i="1"/>
  <c r="E2163" i="1"/>
  <c r="D2163" i="1"/>
  <c r="C2163" i="1"/>
  <c r="B2163" i="1"/>
  <c r="A2163" i="1"/>
  <c r="R2162" i="1"/>
  <c r="J2162" i="1"/>
  <c r="I2162" i="1"/>
  <c r="G2162" i="1"/>
  <c r="F2162" i="1"/>
  <c r="E2162" i="1"/>
  <c r="D2162" i="1"/>
  <c r="C2162" i="1"/>
  <c r="B2162" i="1"/>
  <c r="A2162" i="1"/>
  <c r="S2161" i="1"/>
  <c r="O2161" i="1"/>
  <c r="K2161" i="1"/>
  <c r="J2161" i="1"/>
  <c r="I2161" i="1"/>
  <c r="H2161" i="1"/>
  <c r="G2161" i="1"/>
  <c r="F2161" i="1"/>
  <c r="E2161" i="1"/>
  <c r="D2161" i="1"/>
  <c r="C2161" i="1"/>
  <c r="B2161" i="1"/>
  <c r="A2161" i="1"/>
  <c r="R2160" i="1"/>
  <c r="J2160" i="1"/>
  <c r="I2160" i="1"/>
  <c r="G2160" i="1"/>
  <c r="F2160" i="1"/>
  <c r="E2160" i="1"/>
  <c r="D2160" i="1"/>
  <c r="C2160" i="1"/>
  <c r="B2160" i="1"/>
  <c r="A2160" i="1"/>
  <c r="S2159" i="1"/>
  <c r="O2159" i="1"/>
  <c r="K2159" i="1"/>
  <c r="J2159" i="1"/>
  <c r="I2159" i="1"/>
  <c r="H2159" i="1"/>
  <c r="G2159" i="1"/>
  <c r="F2159" i="1"/>
  <c r="E2159" i="1"/>
  <c r="D2159" i="1"/>
  <c r="C2159" i="1"/>
  <c r="B2159" i="1"/>
  <c r="A2159" i="1"/>
  <c r="R2158" i="1"/>
  <c r="J2158" i="1"/>
  <c r="I2158" i="1"/>
  <c r="G2158" i="1"/>
  <c r="F2158" i="1"/>
  <c r="E2158" i="1"/>
  <c r="D2158" i="1"/>
  <c r="C2158" i="1"/>
  <c r="B2158" i="1"/>
  <c r="A2158" i="1"/>
  <c r="S2157" i="1"/>
  <c r="O2157" i="1"/>
  <c r="K2157" i="1"/>
  <c r="J2157" i="1"/>
  <c r="I2157" i="1"/>
  <c r="H2157" i="1"/>
  <c r="G2157" i="1"/>
  <c r="F2157" i="1"/>
  <c r="E2157" i="1"/>
  <c r="D2157" i="1"/>
  <c r="C2157" i="1"/>
  <c r="B2157" i="1"/>
  <c r="A2157" i="1"/>
  <c r="S2156" i="1"/>
  <c r="O2156" i="1"/>
  <c r="K2156" i="1"/>
  <c r="J2156" i="1"/>
  <c r="I2156" i="1"/>
  <c r="H2156" i="1"/>
  <c r="G2156" i="1"/>
  <c r="F2156" i="1"/>
  <c r="D2156" i="1"/>
  <c r="C2156" i="1"/>
  <c r="B2156" i="1"/>
  <c r="A2156" i="1"/>
  <c r="S2155" i="1"/>
  <c r="O2155" i="1"/>
  <c r="K2155" i="1"/>
  <c r="J2155" i="1"/>
  <c r="I2155" i="1"/>
  <c r="H2155" i="1"/>
  <c r="G2155" i="1"/>
  <c r="F2155" i="1"/>
  <c r="D2155" i="1"/>
  <c r="C2155" i="1"/>
  <c r="B2155" i="1"/>
  <c r="A2155" i="1"/>
  <c r="R2154" i="1"/>
  <c r="J2154" i="1"/>
  <c r="I2154" i="1"/>
  <c r="G2154" i="1"/>
  <c r="F2154" i="1"/>
  <c r="E2154" i="1"/>
  <c r="D2154" i="1"/>
  <c r="C2154" i="1"/>
  <c r="B2154" i="1"/>
  <c r="A2154" i="1"/>
  <c r="S2153" i="1"/>
  <c r="O2153" i="1"/>
  <c r="K2153" i="1"/>
  <c r="J2153" i="1"/>
  <c r="I2153" i="1"/>
  <c r="H2153" i="1"/>
  <c r="G2153" i="1"/>
  <c r="F2153" i="1"/>
  <c r="E2153" i="1"/>
  <c r="D2153" i="1"/>
  <c r="C2153" i="1"/>
  <c r="B2153" i="1"/>
  <c r="A2153" i="1"/>
  <c r="R2152" i="1"/>
  <c r="J2152" i="1"/>
  <c r="I2152" i="1"/>
  <c r="G2152" i="1"/>
  <c r="F2152" i="1"/>
  <c r="E2152" i="1"/>
  <c r="D2152" i="1"/>
  <c r="C2152" i="1"/>
  <c r="B2152" i="1"/>
  <c r="A2152" i="1"/>
  <c r="S2151" i="1"/>
  <c r="O2151" i="1"/>
  <c r="K2151" i="1"/>
  <c r="J2151" i="1"/>
  <c r="I2151" i="1"/>
  <c r="H2151" i="1"/>
  <c r="G2151" i="1"/>
  <c r="F2151" i="1"/>
  <c r="E2151" i="1"/>
  <c r="D2151" i="1"/>
  <c r="C2151" i="1"/>
  <c r="B2151" i="1"/>
  <c r="A2151" i="1"/>
  <c r="R2150" i="1"/>
  <c r="J2150" i="1"/>
  <c r="I2150" i="1"/>
  <c r="G2150" i="1"/>
  <c r="F2150" i="1"/>
  <c r="E2150" i="1"/>
  <c r="D2150" i="1"/>
  <c r="C2150" i="1"/>
  <c r="B2150" i="1"/>
  <c r="A2150" i="1"/>
  <c r="S2149" i="1"/>
  <c r="O2149" i="1"/>
  <c r="K2149" i="1"/>
  <c r="J2149" i="1"/>
  <c r="I2149" i="1"/>
  <c r="H2149" i="1"/>
  <c r="G2149" i="1"/>
  <c r="F2149" i="1"/>
  <c r="E2149" i="1"/>
  <c r="D2149" i="1"/>
  <c r="C2149" i="1"/>
  <c r="B2149" i="1"/>
  <c r="A2149" i="1"/>
  <c r="R2148" i="1"/>
  <c r="J2148" i="1"/>
  <c r="I2148" i="1"/>
  <c r="G2148" i="1"/>
  <c r="F2148" i="1"/>
  <c r="E2148" i="1"/>
  <c r="D2148" i="1"/>
  <c r="C2148" i="1"/>
  <c r="B2148" i="1"/>
  <c r="A2148" i="1"/>
  <c r="S2147" i="1"/>
  <c r="O2147" i="1"/>
  <c r="K2147" i="1"/>
  <c r="J2147" i="1"/>
  <c r="I2147" i="1"/>
  <c r="H2147" i="1"/>
  <c r="G2147" i="1"/>
  <c r="F2147" i="1"/>
  <c r="E2147" i="1"/>
  <c r="D2147" i="1"/>
  <c r="C2147" i="1"/>
  <c r="B2147" i="1"/>
  <c r="A2147" i="1"/>
  <c r="R2146" i="1"/>
  <c r="J2146" i="1"/>
  <c r="I2146" i="1"/>
  <c r="G2146" i="1"/>
  <c r="F2146" i="1"/>
  <c r="E2146" i="1"/>
  <c r="D2146" i="1"/>
  <c r="C2146" i="1"/>
  <c r="B2146" i="1"/>
  <c r="A2146" i="1"/>
  <c r="R2145" i="1"/>
  <c r="J2145" i="1"/>
  <c r="I2145" i="1"/>
  <c r="G2145" i="1"/>
  <c r="F2145" i="1"/>
  <c r="E2145" i="1"/>
  <c r="D2145" i="1"/>
  <c r="C2145" i="1"/>
  <c r="B2145" i="1"/>
  <c r="A2145" i="1"/>
  <c r="R2144" i="1"/>
  <c r="J2144" i="1"/>
  <c r="I2144" i="1"/>
  <c r="G2144" i="1"/>
  <c r="F2144" i="1"/>
  <c r="E2144" i="1"/>
  <c r="D2144" i="1"/>
  <c r="C2144" i="1"/>
  <c r="B2144" i="1"/>
  <c r="A2144" i="1"/>
  <c r="R2143" i="1"/>
  <c r="J2143" i="1"/>
  <c r="I2143" i="1"/>
  <c r="G2143" i="1"/>
  <c r="F2143" i="1"/>
  <c r="E2143" i="1"/>
  <c r="D2143" i="1"/>
  <c r="C2143" i="1"/>
  <c r="B2143" i="1"/>
  <c r="A2143" i="1"/>
  <c r="R2142" i="1"/>
  <c r="J2142" i="1"/>
  <c r="I2142" i="1"/>
  <c r="G2142" i="1"/>
  <c r="F2142" i="1"/>
  <c r="E2142" i="1"/>
  <c r="D2142" i="1"/>
  <c r="C2142" i="1"/>
  <c r="B2142" i="1"/>
  <c r="A2142" i="1"/>
  <c r="R2141" i="1"/>
  <c r="J2141" i="1"/>
  <c r="I2141" i="1"/>
  <c r="G2141" i="1"/>
  <c r="F2141" i="1"/>
  <c r="E2141" i="1"/>
  <c r="D2141" i="1"/>
  <c r="C2141" i="1"/>
  <c r="B2141" i="1"/>
  <c r="A2141" i="1"/>
  <c r="R2140" i="1"/>
  <c r="J2140" i="1"/>
  <c r="I2140" i="1"/>
  <c r="G2140" i="1"/>
  <c r="F2140" i="1"/>
  <c r="E2140" i="1"/>
  <c r="D2140" i="1"/>
  <c r="C2140" i="1"/>
  <c r="B2140" i="1"/>
  <c r="A2140" i="1"/>
  <c r="S2139" i="1"/>
  <c r="O2139" i="1"/>
  <c r="K2139" i="1"/>
  <c r="J2139" i="1"/>
  <c r="I2139" i="1"/>
  <c r="H2139" i="1"/>
  <c r="G2139" i="1"/>
  <c r="F2139" i="1"/>
  <c r="E2139" i="1"/>
  <c r="D2139" i="1"/>
  <c r="C2139" i="1"/>
  <c r="B2139" i="1"/>
  <c r="A2139" i="1"/>
  <c r="R2138" i="1"/>
  <c r="J2138" i="1"/>
  <c r="I2138" i="1"/>
  <c r="G2138" i="1"/>
  <c r="F2138" i="1"/>
  <c r="E2138" i="1"/>
  <c r="D2138" i="1"/>
  <c r="C2138" i="1"/>
  <c r="B2138" i="1"/>
  <c r="A2138" i="1"/>
  <c r="S2137" i="1"/>
  <c r="O2137" i="1"/>
  <c r="K2137" i="1"/>
  <c r="J2137" i="1"/>
  <c r="I2137" i="1"/>
  <c r="H2137" i="1"/>
  <c r="G2137" i="1"/>
  <c r="F2137" i="1"/>
  <c r="E2137" i="1"/>
  <c r="D2137" i="1"/>
  <c r="C2137" i="1"/>
  <c r="B2137" i="1"/>
  <c r="A2137" i="1"/>
  <c r="R2136" i="1"/>
  <c r="J2136" i="1"/>
  <c r="I2136" i="1"/>
  <c r="G2136" i="1"/>
  <c r="F2136" i="1"/>
  <c r="E2136" i="1"/>
  <c r="D2136" i="1"/>
  <c r="C2136" i="1"/>
  <c r="B2136" i="1"/>
  <c r="A2136" i="1"/>
  <c r="R2135" i="1"/>
  <c r="J2135" i="1"/>
  <c r="I2135" i="1"/>
  <c r="G2135" i="1"/>
  <c r="F2135" i="1"/>
  <c r="E2135" i="1"/>
  <c r="D2135" i="1"/>
  <c r="C2135" i="1"/>
  <c r="B2135" i="1"/>
  <c r="A2135" i="1"/>
  <c r="R2134" i="1"/>
  <c r="J2134" i="1"/>
  <c r="I2134" i="1"/>
  <c r="G2134" i="1"/>
  <c r="F2134" i="1"/>
  <c r="E2134" i="1"/>
  <c r="D2134" i="1"/>
  <c r="C2134" i="1"/>
  <c r="B2134" i="1"/>
  <c r="A2134" i="1"/>
  <c r="R2133" i="1"/>
  <c r="J2133" i="1"/>
  <c r="I2133" i="1"/>
  <c r="G2133" i="1"/>
  <c r="F2133" i="1"/>
  <c r="E2133" i="1"/>
  <c r="D2133" i="1"/>
  <c r="C2133" i="1"/>
  <c r="B2133" i="1"/>
  <c r="A2133" i="1"/>
  <c r="R2132" i="1"/>
  <c r="J2132" i="1"/>
  <c r="I2132" i="1"/>
  <c r="G2132" i="1"/>
  <c r="F2132" i="1"/>
  <c r="E2132" i="1"/>
  <c r="D2132" i="1"/>
  <c r="C2132" i="1"/>
  <c r="B2132" i="1"/>
  <c r="A2132" i="1"/>
  <c r="R2131" i="1"/>
  <c r="J2131" i="1"/>
  <c r="I2131" i="1"/>
  <c r="G2131" i="1"/>
  <c r="F2131" i="1"/>
  <c r="E2131" i="1"/>
  <c r="D2131" i="1"/>
  <c r="C2131" i="1"/>
  <c r="B2131" i="1"/>
  <c r="A2131" i="1"/>
  <c r="R2130" i="1"/>
  <c r="J2130" i="1"/>
  <c r="I2130" i="1"/>
  <c r="G2130" i="1"/>
  <c r="F2130" i="1"/>
  <c r="E2130" i="1"/>
  <c r="D2130" i="1"/>
  <c r="C2130" i="1"/>
  <c r="B2130" i="1"/>
  <c r="A2130" i="1"/>
  <c r="R2129" i="1"/>
  <c r="J2129" i="1"/>
  <c r="I2129" i="1"/>
  <c r="G2129" i="1"/>
  <c r="F2129" i="1"/>
  <c r="E2129" i="1"/>
  <c r="D2129" i="1"/>
  <c r="C2129" i="1"/>
  <c r="B2129" i="1"/>
  <c r="A2129" i="1"/>
  <c r="R2128" i="1"/>
  <c r="J2128" i="1"/>
  <c r="I2128" i="1"/>
  <c r="G2128" i="1"/>
  <c r="F2128" i="1"/>
  <c r="E2128" i="1"/>
  <c r="D2128" i="1"/>
  <c r="C2128" i="1"/>
  <c r="B2128" i="1"/>
  <c r="A2128" i="1"/>
  <c r="R2127" i="1"/>
  <c r="J2127" i="1"/>
  <c r="I2127" i="1"/>
  <c r="G2127" i="1"/>
  <c r="F2127" i="1"/>
  <c r="E2127" i="1"/>
  <c r="D2127" i="1"/>
  <c r="C2127" i="1"/>
  <c r="B2127" i="1"/>
  <c r="A2127" i="1"/>
  <c r="R2126" i="1"/>
  <c r="J2126" i="1"/>
  <c r="I2126" i="1"/>
  <c r="G2126" i="1"/>
  <c r="F2126" i="1"/>
  <c r="E2126" i="1"/>
  <c r="D2126" i="1"/>
  <c r="C2126" i="1"/>
  <c r="B2126" i="1"/>
  <c r="A2126" i="1"/>
  <c r="R2125" i="1"/>
  <c r="J2125" i="1"/>
  <c r="I2125" i="1"/>
  <c r="G2125" i="1"/>
  <c r="F2125" i="1"/>
  <c r="E2125" i="1"/>
  <c r="D2125" i="1"/>
  <c r="C2125" i="1"/>
  <c r="B2125" i="1"/>
  <c r="A2125" i="1"/>
  <c r="R2124" i="1"/>
  <c r="J2124" i="1"/>
  <c r="I2124" i="1"/>
  <c r="G2124" i="1"/>
  <c r="F2124" i="1"/>
  <c r="E2124" i="1"/>
  <c r="D2124" i="1"/>
  <c r="C2124" i="1"/>
  <c r="B2124" i="1"/>
  <c r="A2124" i="1"/>
  <c r="R2123" i="1"/>
  <c r="J2123" i="1"/>
  <c r="I2123" i="1"/>
  <c r="G2123" i="1"/>
  <c r="F2123" i="1"/>
  <c r="E2123" i="1"/>
  <c r="D2123" i="1"/>
  <c r="C2123" i="1"/>
  <c r="B2123" i="1"/>
  <c r="A2123" i="1"/>
  <c r="R2122" i="1"/>
  <c r="J2122" i="1"/>
  <c r="I2122" i="1"/>
  <c r="G2122" i="1"/>
  <c r="F2122" i="1"/>
  <c r="E2122" i="1"/>
  <c r="D2122" i="1"/>
  <c r="C2122" i="1"/>
  <c r="B2122" i="1"/>
  <c r="A2122" i="1"/>
  <c r="R2121" i="1"/>
  <c r="J2121" i="1"/>
  <c r="I2121" i="1"/>
  <c r="G2121" i="1"/>
  <c r="F2121" i="1"/>
  <c r="E2121" i="1"/>
  <c r="D2121" i="1"/>
  <c r="C2121" i="1"/>
  <c r="B2121" i="1"/>
  <c r="A2121" i="1"/>
  <c r="R2120" i="1"/>
  <c r="J2120" i="1"/>
  <c r="I2120" i="1"/>
  <c r="G2120" i="1"/>
  <c r="F2120" i="1"/>
  <c r="E2120" i="1"/>
  <c r="D2120" i="1"/>
  <c r="C2120" i="1"/>
  <c r="B2120" i="1"/>
  <c r="A2120" i="1"/>
  <c r="R2119" i="1"/>
  <c r="J2119" i="1"/>
  <c r="I2119" i="1"/>
  <c r="G2119" i="1"/>
  <c r="F2119" i="1"/>
  <c r="E2119" i="1"/>
  <c r="D2119" i="1"/>
  <c r="C2119" i="1"/>
  <c r="B2119" i="1"/>
  <c r="A2119" i="1"/>
  <c r="R2118" i="1"/>
  <c r="J2118" i="1"/>
  <c r="I2118" i="1"/>
  <c r="G2118" i="1"/>
  <c r="F2118" i="1"/>
  <c r="E2118" i="1"/>
  <c r="D2118" i="1"/>
  <c r="C2118" i="1"/>
  <c r="B2118" i="1"/>
  <c r="A2118" i="1"/>
  <c r="R2117" i="1"/>
  <c r="J2117" i="1"/>
  <c r="I2117" i="1"/>
  <c r="G2117" i="1"/>
  <c r="F2117" i="1"/>
  <c r="E2117" i="1"/>
  <c r="D2117" i="1"/>
  <c r="C2117" i="1"/>
  <c r="B2117" i="1"/>
  <c r="A2117" i="1"/>
  <c r="S2116" i="1"/>
  <c r="O2116" i="1"/>
  <c r="K2116" i="1"/>
  <c r="J2116" i="1"/>
  <c r="I2116" i="1"/>
  <c r="H2116" i="1"/>
  <c r="G2116" i="1"/>
  <c r="F2116" i="1"/>
  <c r="E2116" i="1"/>
  <c r="D2116" i="1"/>
  <c r="C2116" i="1"/>
  <c r="B2116" i="1"/>
  <c r="A2116" i="1"/>
  <c r="R2115" i="1"/>
  <c r="J2115" i="1"/>
  <c r="I2115" i="1"/>
  <c r="G2115" i="1"/>
  <c r="F2115" i="1"/>
  <c r="E2115" i="1"/>
  <c r="D2115" i="1"/>
  <c r="C2115" i="1"/>
  <c r="B2115" i="1"/>
  <c r="A2115" i="1"/>
  <c r="S2114" i="1"/>
  <c r="O2114" i="1"/>
  <c r="K2114" i="1"/>
  <c r="J2114" i="1"/>
  <c r="I2114" i="1"/>
  <c r="H2114" i="1"/>
  <c r="G2114" i="1"/>
  <c r="F2114" i="1"/>
  <c r="E2114" i="1"/>
  <c r="D2114" i="1"/>
  <c r="C2114" i="1"/>
  <c r="B2114" i="1"/>
  <c r="A2114" i="1"/>
  <c r="R2113" i="1"/>
  <c r="J2113" i="1"/>
  <c r="I2113" i="1"/>
  <c r="G2113" i="1"/>
  <c r="F2113" i="1"/>
  <c r="E2113" i="1"/>
  <c r="D2113" i="1"/>
  <c r="C2113" i="1"/>
  <c r="B2113" i="1"/>
  <c r="A2113" i="1"/>
  <c r="R2112" i="1"/>
  <c r="J2112" i="1"/>
  <c r="I2112" i="1"/>
  <c r="G2112" i="1"/>
  <c r="F2112" i="1"/>
  <c r="E2112" i="1"/>
  <c r="D2112" i="1"/>
  <c r="C2112" i="1"/>
  <c r="B2112" i="1"/>
  <c r="A2112" i="1"/>
  <c r="R2111" i="1"/>
  <c r="J2111" i="1"/>
  <c r="I2111" i="1"/>
  <c r="G2111" i="1"/>
  <c r="F2111" i="1"/>
  <c r="E2111" i="1"/>
  <c r="D2111" i="1"/>
  <c r="C2111" i="1"/>
  <c r="B2111" i="1"/>
  <c r="A2111" i="1"/>
  <c r="R2110" i="1"/>
  <c r="J2110" i="1"/>
  <c r="I2110" i="1"/>
  <c r="G2110" i="1"/>
  <c r="F2110" i="1"/>
  <c r="E2110" i="1"/>
  <c r="D2110" i="1"/>
  <c r="C2110" i="1"/>
  <c r="B2110" i="1"/>
  <c r="A2110" i="1"/>
  <c r="R2109" i="1"/>
  <c r="J2109" i="1"/>
  <c r="I2109" i="1"/>
  <c r="G2109" i="1"/>
  <c r="F2109" i="1"/>
  <c r="E2109" i="1"/>
  <c r="D2109" i="1"/>
  <c r="C2109" i="1"/>
  <c r="B2109" i="1"/>
  <c r="A2109" i="1"/>
  <c r="R2108" i="1"/>
  <c r="J2108" i="1"/>
  <c r="I2108" i="1"/>
  <c r="G2108" i="1"/>
  <c r="F2108" i="1"/>
  <c r="E2108" i="1"/>
  <c r="D2108" i="1"/>
  <c r="C2108" i="1"/>
  <c r="B2108" i="1"/>
  <c r="A2108" i="1"/>
  <c r="R2107" i="1"/>
  <c r="J2107" i="1"/>
  <c r="I2107" i="1"/>
  <c r="G2107" i="1"/>
  <c r="F2107" i="1"/>
  <c r="E2107" i="1"/>
  <c r="D2107" i="1"/>
  <c r="C2107" i="1"/>
  <c r="B2107" i="1"/>
  <c r="A2107" i="1"/>
  <c r="R2106" i="1"/>
  <c r="J2106" i="1"/>
  <c r="I2106" i="1"/>
  <c r="G2106" i="1"/>
  <c r="F2106" i="1"/>
  <c r="E2106" i="1"/>
  <c r="D2106" i="1"/>
  <c r="C2106" i="1"/>
  <c r="B2106" i="1"/>
  <c r="A2106" i="1"/>
  <c r="R2105" i="1"/>
  <c r="J2105" i="1"/>
  <c r="I2105" i="1"/>
  <c r="G2105" i="1"/>
  <c r="F2105" i="1"/>
  <c r="E2105" i="1"/>
  <c r="D2105" i="1"/>
  <c r="C2105" i="1"/>
  <c r="B2105" i="1"/>
  <c r="A2105" i="1"/>
  <c r="R2104" i="1"/>
  <c r="J2104" i="1"/>
  <c r="I2104" i="1"/>
  <c r="G2104" i="1"/>
  <c r="F2104" i="1"/>
  <c r="E2104" i="1"/>
  <c r="D2104" i="1"/>
  <c r="C2104" i="1"/>
  <c r="B2104" i="1"/>
  <c r="A2104" i="1"/>
  <c r="S2103" i="1"/>
  <c r="O2103" i="1"/>
  <c r="K2103" i="1"/>
  <c r="J2103" i="1"/>
  <c r="I2103" i="1"/>
  <c r="H2103" i="1"/>
  <c r="G2103" i="1"/>
  <c r="F2103" i="1"/>
  <c r="E2103" i="1"/>
  <c r="D2103" i="1"/>
  <c r="C2103" i="1"/>
  <c r="B2103" i="1"/>
  <c r="A2103" i="1"/>
  <c r="S2102" i="1"/>
  <c r="O2102" i="1"/>
  <c r="K2102" i="1"/>
  <c r="J2102" i="1"/>
  <c r="I2102" i="1"/>
  <c r="H2102" i="1"/>
  <c r="G2102" i="1"/>
  <c r="F2102" i="1"/>
  <c r="D2102" i="1"/>
  <c r="C2102" i="1"/>
  <c r="B2102" i="1"/>
  <c r="A2102" i="1"/>
  <c r="R2101" i="1"/>
  <c r="J2101" i="1"/>
  <c r="I2101" i="1"/>
  <c r="G2101" i="1"/>
  <c r="F2101" i="1"/>
  <c r="E2101" i="1"/>
  <c r="D2101" i="1"/>
  <c r="C2101" i="1"/>
  <c r="B2101" i="1"/>
  <c r="A2101" i="1"/>
  <c r="S2100" i="1"/>
  <c r="O2100" i="1"/>
  <c r="K2100" i="1"/>
  <c r="J2100" i="1"/>
  <c r="I2100" i="1"/>
  <c r="H2100" i="1"/>
  <c r="G2100" i="1"/>
  <c r="F2100" i="1"/>
  <c r="E2100" i="1"/>
  <c r="D2100" i="1"/>
  <c r="C2100" i="1"/>
  <c r="B2100" i="1"/>
  <c r="A2100" i="1"/>
  <c r="R2099" i="1"/>
  <c r="J2099" i="1"/>
  <c r="I2099" i="1"/>
  <c r="G2099" i="1"/>
  <c r="F2099" i="1"/>
  <c r="E2099" i="1"/>
  <c r="D2099" i="1"/>
  <c r="C2099" i="1"/>
  <c r="B2099" i="1"/>
  <c r="A2099" i="1"/>
  <c r="S2098" i="1"/>
  <c r="O2098" i="1"/>
  <c r="K2098" i="1"/>
  <c r="J2098" i="1"/>
  <c r="I2098" i="1"/>
  <c r="H2098" i="1"/>
  <c r="G2098" i="1"/>
  <c r="F2098" i="1"/>
  <c r="E2098" i="1"/>
  <c r="D2098" i="1"/>
  <c r="C2098" i="1"/>
  <c r="B2098" i="1"/>
  <c r="A2098" i="1"/>
  <c r="R2097" i="1"/>
  <c r="J2097" i="1"/>
  <c r="I2097" i="1"/>
  <c r="G2097" i="1"/>
  <c r="F2097" i="1"/>
  <c r="E2097" i="1"/>
  <c r="D2097" i="1"/>
  <c r="C2097" i="1"/>
  <c r="B2097" i="1"/>
  <c r="A2097" i="1"/>
  <c r="S2096" i="1"/>
  <c r="O2096" i="1"/>
  <c r="K2096" i="1"/>
  <c r="J2096" i="1"/>
  <c r="I2096" i="1"/>
  <c r="H2096" i="1"/>
  <c r="G2096" i="1"/>
  <c r="F2096" i="1"/>
  <c r="E2096" i="1"/>
  <c r="D2096" i="1"/>
  <c r="C2096" i="1"/>
  <c r="B2096" i="1"/>
  <c r="A2096" i="1"/>
  <c r="R2095" i="1"/>
  <c r="J2095" i="1"/>
  <c r="I2095" i="1"/>
  <c r="G2095" i="1"/>
  <c r="F2095" i="1"/>
  <c r="E2095" i="1"/>
  <c r="D2095" i="1"/>
  <c r="C2095" i="1"/>
  <c r="B2095" i="1"/>
  <c r="A2095" i="1"/>
  <c r="S2094" i="1"/>
  <c r="O2094" i="1"/>
  <c r="K2094" i="1"/>
  <c r="J2094" i="1"/>
  <c r="I2094" i="1"/>
  <c r="H2094" i="1"/>
  <c r="G2094" i="1"/>
  <c r="F2094" i="1"/>
  <c r="E2094" i="1"/>
  <c r="D2094" i="1"/>
  <c r="C2094" i="1"/>
  <c r="B2094" i="1"/>
  <c r="A2094" i="1"/>
  <c r="R2093" i="1"/>
  <c r="J2093" i="1"/>
  <c r="I2093" i="1"/>
  <c r="G2093" i="1"/>
  <c r="F2093" i="1"/>
  <c r="E2093" i="1"/>
  <c r="D2093" i="1"/>
  <c r="C2093" i="1"/>
  <c r="B2093" i="1"/>
  <c r="A2093" i="1"/>
  <c r="S2092" i="1"/>
  <c r="O2092" i="1"/>
  <c r="K2092" i="1"/>
  <c r="J2092" i="1"/>
  <c r="I2092" i="1"/>
  <c r="H2092" i="1"/>
  <c r="G2092" i="1"/>
  <c r="F2092" i="1"/>
  <c r="E2092" i="1"/>
  <c r="D2092" i="1"/>
  <c r="C2092" i="1"/>
  <c r="B2092" i="1"/>
  <c r="A2092" i="1"/>
  <c r="R2091" i="1"/>
  <c r="J2091" i="1"/>
  <c r="I2091" i="1"/>
  <c r="G2091" i="1"/>
  <c r="F2091" i="1"/>
  <c r="E2091" i="1"/>
  <c r="D2091" i="1"/>
  <c r="C2091" i="1"/>
  <c r="B2091" i="1"/>
  <c r="A2091" i="1"/>
  <c r="S2090" i="1"/>
  <c r="O2090" i="1"/>
  <c r="K2090" i="1"/>
  <c r="J2090" i="1"/>
  <c r="I2090" i="1"/>
  <c r="H2090" i="1"/>
  <c r="G2090" i="1"/>
  <c r="F2090" i="1"/>
  <c r="E2090" i="1"/>
  <c r="D2090" i="1"/>
  <c r="C2090" i="1"/>
  <c r="B2090" i="1"/>
  <c r="A2090" i="1"/>
  <c r="R2089" i="1"/>
  <c r="J2089" i="1"/>
  <c r="I2089" i="1"/>
  <c r="G2089" i="1"/>
  <c r="F2089" i="1"/>
  <c r="E2089" i="1"/>
  <c r="D2089" i="1"/>
  <c r="C2089" i="1"/>
  <c r="B2089" i="1"/>
  <c r="A2089" i="1"/>
  <c r="S2088" i="1"/>
  <c r="O2088" i="1"/>
  <c r="K2088" i="1"/>
  <c r="J2088" i="1"/>
  <c r="I2088" i="1"/>
  <c r="H2088" i="1"/>
  <c r="G2088" i="1"/>
  <c r="F2088" i="1"/>
  <c r="E2088" i="1"/>
  <c r="D2088" i="1"/>
  <c r="C2088" i="1"/>
  <c r="B2088" i="1"/>
  <c r="A2088" i="1"/>
  <c r="R2087" i="1"/>
  <c r="J2087" i="1"/>
  <c r="I2087" i="1"/>
  <c r="G2087" i="1"/>
  <c r="F2087" i="1"/>
  <c r="E2087" i="1"/>
  <c r="D2087" i="1"/>
  <c r="C2087" i="1"/>
  <c r="B2087" i="1"/>
  <c r="A2087" i="1"/>
  <c r="S2086" i="1"/>
  <c r="O2086" i="1"/>
  <c r="K2086" i="1"/>
  <c r="J2086" i="1"/>
  <c r="I2086" i="1"/>
  <c r="H2086" i="1"/>
  <c r="G2086" i="1"/>
  <c r="F2086" i="1"/>
  <c r="E2086" i="1"/>
  <c r="D2086" i="1"/>
  <c r="C2086" i="1"/>
  <c r="B2086" i="1"/>
  <c r="A2086" i="1"/>
  <c r="R2085" i="1"/>
  <c r="J2085" i="1"/>
  <c r="I2085" i="1"/>
  <c r="G2085" i="1"/>
  <c r="F2085" i="1"/>
  <c r="E2085" i="1"/>
  <c r="D2085" i="1"/>
  <c r="C2085" i="1"/>
  <c r="B2085" i="1"/>
  <c r="A2085" i="1"/>
  <c r="S2084" i="1"/>
  <c r="O2084" i="1"/>
  <c r="K2084" i="1"/>
  <c r="J2084" i="1"/>
  <c r="I2084" i="1"/>
  <c r="H2084" i="1"/>
  <c r="G2084" i="1"/>
  <c r="F2084" i="1"/>
  <c r="E2084" i="1"/>
  <c r="D2084" i="1"/>
  <c r="C2084" i="1"/>
  <c r="B2084" i="1"/>
  <c r="A2084" i="1"/>
  <c r="R2083" i="1"/>
  <c r="J2083" i="1"/>
  <c r="I2083" i="1"/>
  <c r="G2083" i="1"/>
  <c r="F2083" i="1"/>
  <c r="E2083" i="1"/>
  <c r="D2083" i="1"/>
  <c r="C2083" i="1"/>
  <c r="B2083" i="1"/>
  <c r="A2083" i="1"/>
  <c r="S2082" i="1"/>
  <c r="O2082" i="1"/>
  <c r="K2082" i="1"/>
  <c r="J2082" i="1"/>
  <c r="I2082" i="1"/>
  <c r="H2082" i="1"/>
  <c r="G2082" i="1"/>
  <c r="F2082" i="1"/>
  <c r="E2082" i="1"/>
  <c r="D2082" i="1"/>
  <c r="C2082" i="1"/>
  <c r="B2082" i="1"/>
  <c r="A2082" i="1"/>
  <c r="R2081" i="1"/>
  <c r="J2081" i="1"/>
  <c r="I2081" i="1"/>
  <c r="G2081" i="1"/>
  <c r="F2081" i="1"/>
  <c r="E2081" i="1"/>
  <c r="D2081" i="1"/>
  <c r="C2081" i="1"/>
  <c r="B2081" i="1"/>
  <c r="A2081" i="1"/>
  <c r="S2080" i="1"/>
  <c r="O2080" i="1"/>
  <c r="K2080" i="1"/>
  <c r="J2080" i="1"/>
  <c r="I2080" i="1"/>
  <c r="H2080" i="1"/>
  <c r="G2080" i="1"/>
  <c r="F2080" i="1"/>
  <c r="E2080" i="1"/>
  <c r="D2080" i="1"/>
  <c r="C2080" i="1"/>
  <c r="B2080" i="1"/>
  <c r="A2080" i="1"/>
  <c r="R2079" i="1"/>
  <c r="J2079" i="1"/>
  <c r="I2079" i="1"/>
  <c r="G2079" i="1"/>
  <c r="F2079" i="1"/>
  <c r="E2079" i="1"/>
  <c r="D2079" i="1"/>
  <c r="C2079" i="1"/>
  <c r="B2079" i="1"/>
  <c r="A2079" i="1"/>
  <c r="S2078" i="1"/>
  <c r="O2078" i="1"/>
  <c r="K2078" i="1"/>
  <c r="J2078" i="1"/>
  <c r="I2078" i="1"/>
  <c r="H2078" i="1"/>
  <c r="G2078" i="1"/>
  <c r="F2078" i="1"/>
  <c r="E2078" i="1"/>
  <c r="D2078" i="1"/>
  <c r="C2078" i="1"/>
  <c r="B2078" i="1"/>
  <c r="A2078" i="1"/>
  <c r="R2077" i="1"/>
  <c r="J2077" i="1"/>
  <c r="I2077" i="1"/>
  <c r="G2077" i="1"/>
  <c r="F2077" i="1"/>
  <c r="E2077" i="1"/>
  <c r="D2077" i="1"/>
  <c r="C2077" i="1"/>
  <c r="B2077" i="1"/>
  <c r="A2077" i="1"/>
  <c r="S2076" i="1"/>
  <c r="O2076" i="1"/>
  <c r="K2076" i="1"/>
  <c r="J2076" i="1"/>
  <c r="I2076" i="1"/>
  <c r="H2076" i="1"/>
  <c r="G2076" i="1"/>
  <c r="F2076" i="1"/>
  <c r="E2076" i="1"/>
  <c r="D2076" i="1"/>
  <c r="C2076" i="1"/>
  <c r="B2076" i="1"/>
  <c r="A2076" i="1"/>
  <c r="R2075" i="1"/>
  <c r="J2075" i="1"/>
  <c r="I2075" i="1"/>
  <c r="G2075" i="1"/>
  <c r="F2075" i="1"/>
  <c r="E2075" i="1"/>
  <c r="D2075" i="1"/>
  <c r="C2075" i="1"/>
  <c r="B2075" i="1"/>
  <c r="A2075" i="1"/>
  <c r="S2074" i="1"/>
  <c r="O2074" i="1"/>
  <c r="K2074" i="1"/>
  <c r="J2074" i="1"/>
  <c r="I2074" i="1"/>
  <c r="H2074" i="1"/>
  <c r="G2074" i="1"/>
  <c r="F2074" i="1"/>
  <c r="E2074" i="1"/>
  <c r="D2074" i="1"/>
  <c r="C2074" i="1"/>
  <c r="B2074" i="1"/>
  <c r="A2074" i="1"/>
  <c r="R2073" i="1"/>
  <c r="J2073" i="1"/>
  <c r="I2073" i="1"/>
  <c r="G2073" i="1"/>
  <c r="F2073" i="1"/>
  <c r="E2073" i="1"/>
  <c r="D2073" i="1"/>
  <c r="C2073" i="1"/>
  <c r="B2073" i="1"/>
  <c r="A2073" i="1"/>
  <c r="S2072" i="1"/>
  <c r="O2072" i="1"/>
  <c r="K2072" i="1"/>
  <c r="J2072" i="1"/>
  <c r="I2072" i="1"/>
  <c r="H2072" i="1"/>
  <c r="G2072" i="1"/>
  <c r="F2072" i="1"/>
  <c r="E2072" i="1"/>
  <c r="D2072" i="1"/>
  <c r="C2072" i="1"/>
  <c r="B2072" i="1"/>
  <c r="A2072" i="1"/>
  <c r="R2071" i="1"/>
  <c r="J2071" i="1"/>
  <c r="I2071" i="1"/>
  <c r="G2071" i="1"/>
  <c r="F2071" i="1"/>
  <c r="E2071" i="1"/>
  <c r="D2071" i="1"/>
  <c r="C2071" i="1"/>
  <c r="B2071" i="1"/>
  <c r="A2071" i="1"/>
  <c r="S2070" i="1"/>
  <c r="O2070" i="1"/>
  <c r="K2070" i="1"/>
  <c r="J2070" i="1"/>
  <c r="I2070" i="1"/>
  <c r="H2070" i="1"/>
  <c r="G2070" i="1"/>
  <c r="F2070" i="1"/>
  <c r="E2070" i="1"/>
  <c r="D2070" i="1"/>
  <c r="C2070" i="1"/>
  <c r="B2070" i="1"/>
  <c r="A2070" i="1"/>
  <c r="R2069" i="1"/>
  <c r="J2069" i="1"/>
  <c r="I2069" i="1"/>
  <c r="G2069" i="1"/>
  <c r="F2069" i="1"/>
  <c r="E2069" i="1"/>
  <c r="D2069" i="1"/>
  <c r="C2069" i="1"/>
  <c r="B2069" i="1"/>
  <c r="A2069" i="1"/>
  <c r="R2068" i="1"/>
  <c r="J2068" i="1"/>
  <c r="I2068" i="1"/>
  <c r="G2068" i="1"/>
  <c r="F2068" i="1"/>
  <c r="E2068" i="1"/>
  <c r="D2068" i="1"/>
  <c r="C2068" i="1"/>
  <c r="B2068" i="1"/>
  <c r="A2068" i="1"/>
  <c r="S2067" i="1"/>
  <c r="O2067" i="1"/>
  <c r="K2067" i="1"/>
  <c r="J2067" i="1"/>
  <c r="I2067" i="1"/>
  <c r="H2067" i="1"/>
  <c r="G2067" i="1"/>
  <c r="F2067" i="1"/>
  <c r="E2067" i="1"/>
  <c r="D2067" i="1"/>
  <c r="C2067" i="1"/>
  <c r="B2067" i="1"/>
  <c r="A2067" i="1"/>
  <c r="R2066" i="1"/>
  <c r="J2066" i="1"/>
  <c r="I2066" i="1"/>
  <c r="G2066" i="1"/>
  <c r="F2066" i="1"/>
  <c r="E2066" i="1"/>
  <c r="D2066" i="1"/>
  <c r="C2066" i="1"/>
  <c r="B2066" i="1"/>
  <c r="A2066" i="1"/>
  <c r="R2065" i="1"/>
  <c r="J2065" i="1"/>
  <c r="I2065" i="1"/>
  <c r="G2065" i="1"/>
  <c r="F2065" i="1"/>
  <c r="E2065" i="1"/>
  <c r="D2065" i="1"/>
  <c r="C2065" i="1"/>
  <c r="B2065" i="1"/>
  <c r="A2065" i="1"/>
  <c r="S2064" i="1"/>
  <c r="O2064" i="1"/>
  <c r="K2064" i="1"/>
  <c r="J2064" i="1"/>
  <c r="I2064" i="1"/>
  <c r="H2064" i="1"/>
  <c r="G2064" i="1"/>
  <c r="F2064" i="1"/>
  <c r="E2064" i="1"/>
  <c r="D2064" i="1"/>
  <c r="C2064" i="1"/>
  <c r="B2064" i="1"/>
  <c r="A2064" i="1"/>
  <c r="R2063" i="1"/>
  <c r="J2063" i="1"/>
  <c r="I2063" i="1"/>
  <c r="G2063" i="1"/>
  <c r="F2063" i="1"/>
  <c r="E2063" i="1"/>
  <c r="D2063" i="1"/>
  <c r="C2063" i="1"/>
  <c r="B2063" i="1"/>
  <c r="A2063" i="1"/>
  <c r="S2062" i="1"/>
  <c r="O2062" i="1"/>
  <c r="K2062" i="1"/>
  <c r="J2062" i="1"/>
  <c r="I2062" i="1"/>
  <c r="H2062" i="1"/>
  <c r="G2062" i="1"/>
  <c r="F2062" i="1"/>
  <c r="E2062" i="1"/>
  <c r="D2062" i="1"/>
  <c r="C2062" i="1"/>
  <c r="B2062" i="1"/>
  <c r="A2062" i="1"/>
  <c r="R2061" i="1"/>
  <c r="J2061" i="1"/>
  <c r="I2061" i="1"/>
  <c r="G2061" i="1"/>
  <c r="F2061" i="1"/>
  <c r="E2061" i="1"/>
  <c r="D2061" i="1"/>
  <c r="C2061" i="1"/>
  <c r="B2061" i="1"/>
  <c r="A2061" i="1"/>
  <c r="S2060" i="1"/>
  <c r="O2060" i="1"/>
  <c r="K2060" i="1"/>
  <c r="J2060" i="1"/>
  <c r="I2060" i="1"/>
  <c r="H2060" i="1"/>
  <c r="G2060" i="1"/>
  <c r="F2060" i="1"/>
  <c r="E2060" i="1"/>
  <c r="D2060" i="1"/>
  <c r="C2060" i="1"/>
  <c r="B2060" i="1"/>
  <c r="A2060" i="1"/>
  <c r="S2059" i="1"/>
  <c r="O2059" i="1"/>
  <c r="K2059" i="1"/>
  <c r="J2059" i="1"/>
  <c r="I2059" i="1"/>
  <c r="H2059" i="1"/>
  <c r="G2059" i="1"/>
  <c r="F2059" i="1"/>
  <c r="D2059" i="1"/>
  <c r="C2059" i="1"/>
  <c r="B2059" i="1"/>
  <c r="A2059" i="1"/>
  <c r="S2058" i="1"/>
  <c r="O2058" i="1"/>
  <c r="K2058" i="1"/>
  <c r="J2058" i="1"/>
  <c r="I2058" i="1"/>
  <c r="H2058" i="1"/>
  <c r="G2058" i="1"/>
  <c r="F2058" i="1"/>
  <c r="D2058" i="1"/>
  <c r="C2058" i="1"/>
  <c r="B2058" i="1"/>
  <c r="A2058" i="1"/>
  <c r="S2057" i="1"/>
  <c r="O2057" i="1"/>
  <c r="K2057" i="1"/>
  <c r="J2057" i="1"/>
  <c r="I2057" i="1"/>
  <c r="H2057" i="1"/>
  <c r="G2057" i="1"/>
  <c r="F2057" i="1"/>
  <c r="D2057" i="1"/>
  <c r="C2057" i="1"/>
  <c r="B2057" i="1"/>
  <c r="A2057" i="1"/>
  <c r="S2056" i="1"/>
  <c r="O2056" i="1"/>
  <c r="K2056" i="1"/>
  <c r="J2056" i="1"/>
  <c r="I2056" i="1"/>
  <c r="H2056" i="1"/>
  <c r="G2056" i="1"/>
  <c r="F2056" i="1"/>
  <c r="D2056" i="1"/>
  <c r="C2056" i="1"/>
  <c r="B2056" i="1"/>
  <c r="A2056" i="1"/>
  <c r="S2055" i="1"/>
  <c r="O2055" i="1"/>
  <c r="K2055" i="1"/>
  <c r="J2055" i="1"/>
  <c r="I2055" i="1"/>
  <c r="H2055" i="1"/>
  <c r="G2055" i="1"/>
  <c r="F2055" i="1"/>
  <c r="D2055" i="1"/>
  <c r="C2055" i="1"/>
  <c r="B2055" i="1"/>
  <c r="A2055" i="1"/>
  <c r="S2054" i="1"/>
  <c r="O2054" i="1"/>
  <c r="K2054" i="1"/>
  <c r="J2054" i="1"/>
  <c r="I2054" i="1"/>
  <c r="H2054" i="1"/>
  <c r="G2054" i="1"/>
  <c r="F2054" i="1"/>
  <c r="D2054" i="1"/>
  <c r="C2054" i="1"/>
  <c r="B2054" i="1"/>
  <c r="A2054" i="1"/>
  <c r="R2053" i="1"/>
  <c r="J2053" i="1"/>
  <c r="I2053" i="1"/>
  <c r="G2053" i="1"/>
  <c r="F2053" i="1"/>
  <c r="E2053" i="1"/>
  <c r="D2053" i="1"/>
  <c r="C2053" i="1"/>
  <c r="B2053" i="1"/>
  <c r="A2053" i="1"/>
  <c r="S2052" i="1"/>
  <c r="O2052" i="1"/>
  <c r="K2052" i="1"/>
  <c r="J2052" i="1"/>
  <c r="I2052" i="1"/>
  <c r="H2052" i="1"/>
  <c r="G2052" i="1"/>
  <c r="F2052" i="1"/>
  <c r="E2052" i="1"/>
  <c r="D2052" i="1"/>
  <c r="C2052" i="1"/>
  <c r="B2052" i="1"/>
  <c r="A2052" i="1"/>
  <c r="R2051" i="1"/>
  <c r="J2051" i="1"/>
  <c r="I2051" i="1"/>
  <c r="G2051" i="1"/>
  <c r="F2051" i="1"/>
  <c r="E2051" i="1"/>
  <c r="D2051" i="1"/>
  <c r="C2051" i="1"/>
  <c r="B2051" i="1"/>
  <c r="A2051" i="1"/>
  <c r="S2050" i="1"/>
  <c r="O2050" i="1"/>
  <c r="K2050" i="1"/>
  <c r="J2050" i="1"/>
  <c r="I2050" i="1"/>
  <c r="H2050" i="1"/>
  <c r="G2050" i="1"/>
  <c r="F2050" i="1"/>
  <c r="E2050" i="1"/>
  <c r="D2050" i="1"/>
  <c r="C2050" i="1"/>
  <c r="B2050" i="1"/>
  <c r="A2050" i="1"/>
  <c r="R2049" i="1"/>
  <c r="J2049" i="1"/>
  <c r="I2049" i="1"/>
  <c r="G2049" i="1"/>
  <c r="F2049" i="1"/>
  <c r="E2049" i="1"/>
  <c r="D2049" i="1"/>
  <c r="C2049" i="1"/>
  <c r="B2049" i="1"/>
  <c r="A2049" i="1"/>
  <c r="R2048" i="1"/>
  <c r="J2048" i="1"/>
  <c r="I2048" i="1"/>
  <c r="G2048" i="1"/>
  <c r="F2048" i="1"/>
  <c r="E2048" i="1"/>
  <c r="D2048" i="1"/>
  <c r="C2048" i="1"/>
  <c r="B2048" i="1"/>
  <c r="A2048" i="1"/>
  <c r="R2047" i="1"/>
  <c r="J2047" i="1"/>
  <c r="I2047" i="1"/>
  <c r="G2047" i="1"/>
  <c r="F2047" i="1"/>
  <c r="E2047" i="1"/>
  <c r="D2047" i="1"/>
  <c r="C2047" i="1"/>
  <c r="B2047" i="1"/>
  <c r="A2047" i="1"/>
  <c r="R2046" i="1"/>
  <c r="J2046" i="1"/>
  <c r="I2046" i="1"/>
  <c r="G2046" i="1"/>
  <c r="F2046" i="1"/>
  <c r="E2046" i="1"/>
  <c r="D2046" i="1"/>
  <c r="C2046" i="1"/>
  <c r="B2046" i="1"/>
  <c r="A2046" i="1"/>
  <c r="S2045" i="1"/>
  <c r="O2045" i="1"/>
  <c r="K2045" i="1"/>
  <c r="J2045" i="1"/>
  <c r="I2045" i="1"/>
  <c r="H2045" i="1"/>
  <c r="G2045" i="1"/>
  <c r="F2045" i="1"/>
  <c r="E2045" i="1"/>
  <c r="D2045" i="1"/>
  <c r="C2045" i="1"/>
  <c r="B2045" i="1"/>
  <c r="A2045" i="1"/>
  <c r="R2044" i="1"/>
  <c r="J2044" i="1"/>
  <c r="I2044" i="1"/>
  <c r="G2044" i="1"/>
  <c r="F2044" i="1"/>
  <c r="E2044" i="1"/>
  <c r="D2044" i="1"/>
  <c r="C2044" i="1"/>
  <c r="B2044" i="1"/>
  <c r="A2044" i="1"/>
  <c r="S2043" i="1"/>
  <c r="O2043" i="1"/>
  <c r="K2043" i="1"/>
  <c r="J2043" i="1"/>
  <c r="I2043" i="1"/>
  <c r="H2043" i="1"/>
  <c r="G2043" i="1"/>
  <c r="F2043" i="1"/>
  <c r="E2043" i="1"/>
  <c r="D2043" i="1"/>
  <c r="C2043" i="1"/>
  <c r="B2043" i="1"/>
  <c r="A2043" i="1"/>
  <c r="R2042" i="1"/>
  <c r="J2042" i="1"/>
  <c r="I2042" i="1"/>
  <c r="G2042" i="1"/>
  <c r="F2042" i="1"/>
  <c r="E2042" i="1"/>
  <c r="D2042" i="1"/>
  <c r="C2042" i="1"/>
  <c r="B2042" i="1"/>
  <c r="A2042" i="1"/>
  <c r="S2041" i="1"/>
  <c r="O2041" i="1"/>
  <c r="K2041" i="1"/>
  <c r="J2041" i="1"/>
  <c r="I2041" i="1"/>
  <c r="H2041" i="1"/>
  <c r="G2041" i="1"/>
  <c r="F2041" i="1"/>
  <c r="E2041" i="1"/>
  <c r="D2041" i="1"/>
  <c r="C2041" i="1"/>
  <c r="B2041" i="1"/>
  <c r="A2041" i="1"/>
  <c r="R2040" i="1"/>
  <c r="J2040" i="1"/>
  <c r="I2040" i="1"/>
  <c r="G2040" i="1"/>
  <c r="F2040" i="1"/>
  <c r="E2040" i="1"/>
  <c r="D2040" i="1"/>
  <c r="C2040" i="1"/>
  <c r="B2040" i="1"/>
  <c r="A2040" i="1"/>
  <c r="S2039" i="1"/>
  <c r="O2039" i="1"/>
  <c r="K2039" i="1"/>
  <c r="J2039" i="1"/>
  <c r="I2039" i="1"/>
  <c r="H2039" i="1"/>
  <c r="G2039" i="1"/>
  <c r="F2039" i="1"/>
  <c r="E2039" i="1"/>
  <c r="D2039" i="1"/>
  <c r="C2039" i="1"/>
  <c r="B2039" i="1"/>
  <c r="A2039" i="1"/>
  <c r="R2038" i="1"/>
  <c r="J2038" i="1"/>
  <c r="I2038" i="1"/>
  <c r="G2038" i="1"/>
  <c r="F2038" i="1"/>
  <c r="E2038" i="1"/>
  <c r="D2038" i="1"/>
  <c r="C2038" i="1"/>
  <c r="B2038" i="1"/>
  <c r="A2038" i="1"/>
  <c r="S2037" i="1"/>
  <c r="O2037" i="1"/>
  <c r="K2037" i="1"/>
  <c r="J2037" i="1"/>
  <c r="I2037" i="1"/>
  <c r="H2037" i="1"/>
  <c r="G2037" i="1"/>
  <c r="F2037" i="1"/>
  <c r="E2037" i="1"/>
  <c r="D2037" i="1"/>
  <c r="C2037" i="1"/>
  <c r="B2037" i="1"/>
  <c r="A2037" i="1"/>
  <c r="R2036" i="1"/>
  <c r="J2036" i="1"/>
  <c r="I2036" i="1"/>
  <c r="G2036" i="1"/>
  <c r="F2036" i="1"/>
  <c r="E2036" i="1"/>
  <c r="D2036" i="1"/>
  <c r="C2036" i="1"/>
  <c r="B2036" i="1"/>
  <c r="A2036" i="1"/>
  <c r="S2035" i="1"/>
  <c r="O2035" i="1"/>
  <c r="K2035" i="1"/>
  <c r="J2035" i="1"/>
  <c r="I2035" i="1"/>
  <c r="H2035" i="1"/>
  <c r="G2035" i="1"/>
  <c r="F2035" i="1"/>
  <c r="E2035" i="1"/>
  <c r="D2035" i="1"/>
  <c r="C2035" i="1"/>
  <c r="B2035" i="1"/>
  <c r="A2035" i="1"/>
  <c r="R2034" i="1"/>
  <c r="J2034" i="1"/>
  <c r="I2034" i="1"/>
  <c r="G2034" i="1"/>
  <c r="F2034" i="1"/>
  <c r="E2034" i="1"/>
  <c r="D2034" i="1"/>
  <c r="C2034" i="1"/>
  <c r="B2034" i="1"/>
  <c r="A2034" i="1"/>
  <c r="S2033" i="1"/>
  <c r="O2033" i="1"/>
  <c r="K2033" i="1"/>
  <c r="J2033" i="1"/>
  <c r="I2033" i="1"/>
  <c r="H2033" i="1"/>
  <c r="G2033" i="1"/>
  <c r="F2033" i="1"/>
  <c r="E2033" i="1"/>
  <c r="D2033" i="1"/>
  <c r="C2033" i="1"/>
  <c r="B2033" i="1"/>
  <c r="A2033" i="1"/>
  <c r="R2032" i="1"/>
  <c r="J2032" i="1"/>
  <c r="I2032" i="1"/>
  <c r="G2032" i="1"/>
  <c r="F2032" i="1"/>
  <c r="E2032" i="1"/>
  <c r="D2032" i="1"/>
  <c r="C2032" i="1"/>
  <c r="B2032" i="1"/>
  <c r="A2032" i="1"/>
  <c r="S2031" i="1"/>
  <c r="O2031" i="1"/>
  <c r="K2031" i="1"/>
  <c r="J2031" i="1"/>
  <c r="I2031" i="1"/>
  <c r="H2031" i="1"/>
  <c r="G2031" i="1"/>
  <c r="F2031" i="1"/>
  <c r="E2031" i="1"/>
  <c r="D2031" i="1"/>
  <c r="C2031" i="1"/>
  <c r="B2031" i="1"/>
  <c r="A2031" i="1"/>
  <c r="R2030" i="1"/>
  <c r="J2030" i="1"/>
  <c r="I2030" i="1"/>
  <c r="G2030" i="1"/>
  <c r="F2030" i="1"/>
  <c r="E2030" i="1"/>
  <c r="D2030" i="1"/>
  <c r="C2030" i="1"/>
  <c r="B2030" i="1"/>
  <c r="A2030" i="1"/>
  <c r="S2029" i="1"/>
  <c r="O2029" i="1"/>
  <c r="K2029" i="1"/>
  <c r="J2029" i="1"/>
  <c r="I2029" i="1"/>
  <c r="H2029" i="1"/>
  <c r="G2029" i="1"/>
  <c r="F2029" i="1"/>
  <c r="E2029" i="1"/>
  <c r="D2029" i="1"/>
  <c r="C2029" i="1"/>
  <c r="B2029" i="1"/>
  <c r="A2029" i="1"/>
  <c r="R2028" i="1"/>
  <c r="J2028" i="1"/>
  <c r="I2028" i="1"/>
  <c r="G2028" i="1"/>
  <c r="F2028" i="1"/>
  <c r="E2028" i="1"/>
  <c r="D2028" i="1"/>
  <c r="C2028" i="1"/>
  <c r="B2028" i="1"/>
  <c r="A2028" i="1"/>
  <c r="S2027" i="1"/>
  <c r="O2027" i="1"/>
  <c r="K2027" i="1"/>
  <c r="J2027" i="1"/>
  <c r="I2027" i="1"/>
  <c r="H2027" i="1"/>
  <c r="G2027" i="1"/>
  <c r="F2027" i="1"/>
  <c r="E2027" i="1"/>
  <c r="D2027" i="1"/>
  <c r="C2027" i="1"/>
  <c r="B2027" i="1"/>
  <c r="A2027" i="1"/>
  <c r="R2026" i="1"/>
  <c r="J2026" i="1"/>
  <c r="I2026" i="1"/>
  <c r="G2026" i="1"/>
  <c r="F2026" i="1"/>
  <c r="E2026" i="1"/>
  <c r="D2026" i="1"/>
  <c r="C2026" i="1"/>
  <c r="B2026" i="1"/>
  <c r="A2026" i="1"/>
  <c r="S2025" i="1"/>
  <c r="O2025" i="1"/>
  <c r="K2025" i="1"/>
  <c r="J2025" i="1"/>
  <c r="I2025" i="1"/>
  <c r="H2025" i="1"/>
  <c r="G2025" i="1"/>
  <c r="F2025" i="1"/>
  <c r="E2025" i="1"/>
  <c r="D2025" i="1"/>
  <c r="C2025" i="1"/>
  <c r="B2025" i="1"/>
  <c r="A2025" i="1"/>
  <c r="R2024" i="1"/>
  <c r="J2024" i="1"/>
  <c r="I2024" i="1"/>
  <c r="G2024" i="1"/>
  <c r="F2024" i="1"/>
  <c r="E2024" i="1"/>
  <c r="D2024" i="1"/>
  <c r="C2024" i="1"/>
  <c r="B2024" i="1"/>
  <c r="A2024" i="1"/>
  <c r="S2023" i="1"/>
  <c r="O2023" i="1"/>
  <c r="K2023" i="1"/>
  <c r="J2023" i="1"/>
  <c r="I2023" i="1"/>
  <c r="H2023" i="1"/>
  <c r="G2023" i="1"/>
  <c r="F2023" i="1"/>
  <c r="E2023" i="1"/>
  <c r="D2023" i="1"/>
  <c r="C2023" i="1"/>
  <c r="B2023" i="1"/>
  <c r="A2023" i="1"/>
  <c r="R2022" i="1"/>
  <c r="J2022" i="1"/>
  <c r="I2022" i="1"/>
  <c r="G2022" i="1"/>
  <c r="F2022" i="1"/>
  <c r="E2022" i="1"/>
  <c r="D2022" i="1"/>
  <c r="C2022" i="1"/>
  <c r="B2022" i="1"/>
  <c r="A2022" i="1"/>
  <c r="S2021" i="1"/>
  <c r="O2021" i="1"/>
  <c r="K2021" i="1"/>
  <c r="J2021" i="1"/>
  <c r="I2021" i="1"/>
  <c r="H2021" i="1"/>
  <c r="G2021" i="1"/>
  <c r="F2021" i="1"/>
  <c r="E2021" i="1"/>
  <c r="D2021" i="1"/>
  <c r="C2021" i="1"/>
  <c r="B2021" i="1"/>
  <c r="A2021" i="1"/>
  <c r="R2020" i="1"/>
  <c r="J2020" i="1"/>
  <c r="I2020" i="1"/>
  <c r="G2020" i="1"/>
  <c r="F2020" i="1"/>
  <c r="E2020" i="1"/>
  <c r="D2020" i="1"/>
  <c r="C2020" i="1"/>
  <c r="B2020" i="1"/>
  <c r="A2020" i="1"/>
  <c r="S2019" i="1"/>
  <c r="O2019" i="1"/>
  <c r="K2019" i="1"/>
  <c r="J2019" i="1"/>
  <c r="I2019" i="1"/>
  <c r="H2019" i="1"/>
  <c r="G2019" i="1"/>
  <c r="F2019" i="1"/>
  <c r="E2019" i="1"/>
  <c r="D2019" i="1"/>
  <c r="C2019" i="1"/>
  <c r="B2019" i="1"/>
  <c r="A2019" i="1"/>
  <c r="R2018" i="1"/>
  <c r="J2018" i="1"/>
  <c r="I2018" i="1"/>
  <c r="G2018" i="1"/>
  <c r="F2018" i="1"/>
  <c r="E2018" i="1"/>
  <c r="D2018" i="1"/>
  <c r="C2018" i="1"/>
  <c r="B2018" i="1"/>
  <c r="A2018" i="1"/>
  <c r="S2017" i="1"/>
  <c r="O2017" i="1"/>
  <c r="K2017" i="1"/>
  <c r="J2017" i="1"/>
  <c r="I2017" i="1"/>
  <c r="H2017" i="1"/>
  <c r="G2017" i="1"/>
  <c r="F2017" i="1"/>
  <c r="E2017" i="1"/>
  <c r="D2017" i="1"/>
  <c r="C2017" i="1"/>
  <c r="B2017" i="1"/>
  <c r="A2017" i="1"/>
  <c r="R2016" i="1"/>
  <c r="J2016" i="1"/>
  <c r="I2016" i="1"/>
  <c r="G2016" i="1"/>
  <c r="F2016" i="1"/>
  <c r="E2016" i="1"/>
  <c r="D2016" i="1"/>
  <c r="C2016" i="1"/>
  <c r="B2016" i="1"/>
  <c r="A2016" i="1"/>
  <c r="S2015" i="1"/>
  <c r="O2015" i="1"/>
  <c r="K2015" i="1"/>
  <c r="J2015" i="1"/>
  <c r="I2015" i="1"/>
  <c r="H2015" i="1"/>
  <c r="G2015" i="1"/>
  <c r="F2015" i="1"/>
  <c r="E2015" i="1"/>
  <c r="D2015" i="1"/>
  <c r="C2015" i="1"/>
  <c r="B2015" i="1"/>
  <c r="A2015" i="1"/>
  <c r="R2014" i="1"/>
  <c r="J2014" i="1"/>
  <c r="I2014" i="1"/>
  <c r="G2014" i="1"/>
  <c r="F2014" i="1"/>
  <c r="E2014" i="1"/>
  <c r="D2014" i="1"/>
  <c r="C2014" i="1"/>
  <c r="B2014" i="1"/>
  <c r="A2014" i="1"/>
  <c r="S2013" i="1"/>
  <c r="O2013" i="1"/>
  <c r="K2013" i="1"/>
  <c r="J2013" i="1"/>
  <c r="I2013" i="1"/>
  <c r="H2013" i="1"/>
  <c r="G2013" i="1"/>
  <c r="F2013" i="1"/>
  <c r="E2013" i="1"/>
  <c r="D2013" i="1"/>
  <c r="C2013" i="1"/>
  <c r="B2013" i="1"/>
  <c r="A2013" i="1"/>
  <c r="R2012" i="1"/>
  <c r="J2012" i="1"/>
  <c r="I2012" i="1"/>
  <c r="G2012" i="1"/>
  <c r="F2012" i="1"/>
  <c r="E2012" i="1"/>
  <c r="D2012" i="1"/>
  <c r="C2012" i="1"/>
  <c r="B2012" i="1"/>
  <c r="A2012" i="1"/>
  <c r="S2011" i="1"/>
  <c r="O2011" i="1"/>
  <c r="K2011" i="1"/>
  <c r="J2011" i="1"/>
  <c r="I2011" i="1"/>
  <c r="H2011" i="1"/>
  <c r="G2011" i="1"/>
  <c r="F2011" i="1"/>
  <c r="E2011" i="1"/>
  <c r="D2011" i="1"/>
  <c r="C2011" i="1"/>
  <c r="B2011" i="1"/>
  <c r="A2011" i="1"/>
  <c r="R2010" i="1"/>
  <c r="J2010" i="1"/>
  <c r="I2010" i="1"/>
  <c r="G2010" i="1"/>
  <c r="F2010" i="1"/>
  <c r="E2010" i="1"/>
  <c r="D2010" i="1"/>
  <c r="C2010" i="1"/>
  <c r="B2010" i="1"/>
  <c r="A2010" i="1"/>
  <c r="S2009" i="1"/>
  <c r="O2009" i="1"/>
  <c r="K2009" i="1"/>
  <c r="J2009" i="1"/>
  <c r="I2009" i="1"/>
  <c r="H2009" i="1"/>
  <c r="G2009" i="1"/>
  <c r="F2009" i="1"/>
  <c r="E2009" i="1"/>
  <c r="D2009" i="1"/>
  <c r="C2009" i="1"/>
  <c r="B2009" i="1"/>
  <c r="A2009" i="1"/>
  <c r="R2008" i="1"/>
  <c r="J2008" i="1"/>
  <c r="I2008" i="1"/>
  <c r="G2008" i="1"/>
  <c r="F2008" i="1"/>
  <c r="E2008" i="1"/>
  <c r="D2008" i="1"/>
  <c r="C2008" i="1"/>
  <c r="B2008" i="1"/>
  <c r="A2008" i="1"/>
  <c r="S2007" i="1"/>
  <c r="O2007" i="1"/>
  <c r="K2007" i="1"/>
  <c r="J2007" i="1"/>
  <c r="I2007" i="1"/>
  <c r="H2007" i="1"/>
  <c r="G2007" i="1"/>
  <c r="F2007" i="1"/>
  <c r="E2007" i="1"/>
  <c r="D2007" i="1"/>
  <c r="C2007" i="1"/>
  <c r="B2007" i="1"/>
  <c r="A2007" i="1"/>
  <c r="R2006" i="1"/>
  <c r="J2006" i="1"/>
  <c r="I2006" i="1"/>
  <c r="G2006" i="1"/>
  <c r="F2006" i="1"/>
  <c r="E2006" i="1"/>
  <c r="D2006" i="1"/>
  <c r="C2006" i="1"/>
  <c r="B2006" i="1"/>
  <c r="A2006" i="1"/>
  <c r="S2005" i="1"/>
  <c r="O2005" i="1"/>
  <c r="K2005" i="1"/>
  <c r="J2005" i="1"/>
  <c r="I2005" i="1"/>
  <c r="H2005" i="1"/>
  <c r="G2005" i="1"/>
  <c r="F2005" i="1"/>
  <c r="E2005" i="1"/>
  <c r="D2005" i="1"/>
  <c r="C2005" i="1"/>
  <c r="B2005" i="1"/>
  <c r="A2005" i="1"/>
  <c r="R2004" i="1"/>
  <c r="J2004" i="1"/>
  <c r="I2004" i="1"/>
  <c r="G2004" i="1"/>
  <c r="F2004" i="1"/>
  <c r="E2004" i="1"/>
  <c r="D2004" i="1"/>
  <c r="C2004" i="1"/>
  <c r="B2004" i="1"/>
  <c r="A2004" i="1"/>
  <c r="S2003" i="1"/>
  <c r="O2003" i="1"/>
  <c r="K2003" i="1"/>
  <c r="J2003" i="1"/>
  <c r="I2003" i="1"/>
  <c r="H2003" i="1"/>
  <c r="G2003" i="1"/>
  <c r="F2003" i="1"/>
  <c r="E2003" i="1"/>
  <c r="D2003" i="1"/>
  <c r="C2003" i="1"/>
  <c r="B2003" i="1"/>
  <c r="A2003" i="1"/>
  <c r="R2002" i="1"/>
  <c r="J2002" i="1"/>
  <c r="I2002" i="1"/>
  <c r="G2002" i="1"/>
  <c r="F2002" i="1"/>
  <c r="E2002" i="1"/>
  <c r="D2002" i="1"/>
  <c r="C2002" i="1"/>
  <c r="B2002" i="1"/>
  <c r="A2002" i="1"/>
  <c r="S2001" i="1"/>
  <c r="O2001" i="1"/>
  <c r="K2001" i="1"/>
  <c r="J2001" i="1"/>
  <c r="I2001" i="1"/>
  <c r="H2001" i="1"/>
  <c r="G2001" i="1"/>
  <c r="F2001" i="1"/>
  <c r="E2001" i="1"/>
  <c r="D2001" i="1"/>
  <c r="C2001" i="1"/>
  <c r="B2001" i="1"/>
  <c r="A2001" i="1"/>
  <c r="R2000" i="1"/>
  <c r="J2000" i="1"/>
  <c r="I2000" i="1"/>
  <c r="G2000" i="1"/>
  <c r="F2000" i="1"/>
  <c r="E2000" i="1"/>
  <c r="D2000" i="1"/>
  <c r="C2000" i="1"/>
  <c r="B2000" i="1"/>
  <c r="A2000" i="1"/>
  <c r="S1999" i="1"/>
  <c r="O1999" i="1"/>
  <c r="K1999" i="1"/>
  <c r="J1999" i="1"/>
  <c r="I1999" i="1"/>
  <c r="H1999" i="1"/>
  <c r="G1999" i="1"/>
  <c r="F1999" i="1"/>
  <c r="E1999" i="1"/>
  <c r="D1999" i="1"/>
  <c r="C1999" i="1"/>
  <c r="B1999" i="1"/>
  <c r="A1999" i="1"/>
  <c r="R1998" i="1"/>
  <c r="J1998" i="1"/>
  <c r="I1998" i="1"/>
  <c r="G1998" i="1"/>
  <c r="F1998" i="1"/>
  <c r="E1998" i="1"/>
  <c r="D1998" i="1"/>
  <c r="C1998" i="1"/>
  <c r="B1998" i="1"/>
  <c r="A1998" i="1"/>
  <c r="S1997" i="1"/>
  <c r="O1997" i="1"/>
  <c r="K1997" i="1"/>
  <c r="J1997" i="1"/>
  <c r="I1997" i="1"/>
  <c r="H1997" i="1"/>
  <c r="G1997" i="1"/>
  <c r="F1997" i="1"/>
  <c r="E1997" i="1"/>
  <c r="D1997" i="1"/>
  <c r="C1997" i="1"/>
  <c r="B1997" i="1"/>
  <c r="A1997" i="1"/>
  <c r="R1996" i="1"/>
  <c r="J1996" i="1"/>
  <c r="I1996" i="1"/>
  <c r="G1996" i="1"/>
  <c r="F1996" i="1"/>
  <c r="E1996" i="1"/>
  <c r="D1996" i="1"/>
  <c r="C1996" i="1"/>
  <c r="B1996" i="1"/>
  <c r="A1996" i="1"/>
  <c r="S1995" i="1"/>
  <c r="O1995" i="1"/>
  <c r="K1995" i="1"/>
  <c r="J1995" i="1"/>
  <c r="I1995" i="1"/>
  <c r="H1995" i="1"/>
  <c r="G1995" i="1"/>
  <c r="F1995" i="1"/>
  <c r="E1995" i="1"/>
  <c r="D1995" i="1"/>
  <c r="C1995" i="1"/>
  <c r="B1995" i="1"/>
  <c r="A1995" i="1"/>
  <c r="R1994" i="1"/>
  <c r="J1994" i="1"/>
  <c r="I1994" i="1"/>
  <c r="G1994" i="1"/>
  <c r="F1994" i="1"/>
  <c r="E1994" i="1"/>
  <c r="D1994" i="1"/>
  <c r="C1994" i="1"/>
  <c r="B1994" i="1"/>
  <c r="A1994" i="1"/>
  <c r="S1993" i="1"/>
  <c r="O1993" i="1"/>
  <c r="K1993" i="1"/>
  <c r="J1993" i="1"/>
  <c r="I1993" i="1"/>
  <c r="H1993" i="1"/>
  <c r="G1993" i="1"/>
  <c r="F1993" i="1"/>
  <c r="E1993" i="1"/>
  <c r="D1993" i="1"/>
  <c r="C1993" i="1"/>
  <c r="B1993" i="1"/>
  <c r="A1993" i="1"/>
  <c r="R1992" i="1"/>
  <c r="J1992" i="1"/>
  <c r="I1992" i="1"/>
  <c r="G1992" i="1"/>
  <c r="F1992" i="1"/>
  <c r="E1992" i="1"/>
  <c r="D1992" i="1"/>
  <c r="C1992" i="1"/>
  <c r="B1992" i="1"/>
  <c r="A1992" i="1"/>
  <c r="S1991" i="1"/>
  <c r="O1991" i="1"/>
  <c r="K1991" i="1"/>
  <c r="J1991" i="1"/>
  <c r="I1991" i="1"/>
  <c r="H1991" i="1"/>
  <c r="G1991" i="1"/>
  <c r="F1991" i="1"/>
  <c r="E1991" i="1"/>
  <c r="D1991" i="1"/>
  <c r="C1991" i="1"/>
  <c r="B1991" i="1"/>
  <c r="A1991" i="1"/>
  <c r="R1990" i="1"/>
  <c r="J1990" i="1"/>
  <c r="I1990" i="1"/>
  <c r="G1990" i="1"/>
  <c r="F1990" i="1"/>
  <c r="E1990" i="1"/>
  <c r="D1990" i="1"/>
  <c r="C1990" i="1"/>
  <c r="B1990" i="1"/>
  <c r="A1990" i="1"/>
  <c r="S1989" i="1"/>
  <c r="O1989" i="1"/>
  <c r="K1989" i="1"/>
  <c r="J1989" i="1"/>
  <c r="I1989" i="1"/>
  <c r="H1989" i="1"/>
  <c r="G1989" i="1"/>
  <c r="F1989" i="1"/>
  <c r="E1989" i="1"/>
  <c r="D1989" i="1"/>
  <c r="C1989" i="1"/>
  <c r="B1989" i="1"/>
  <c r="A1989" i="1"/>
  <c r="R1988" i="1"/>
  <c r="J1988" i="1"/>
  <c r="I1988" i="1"/>
  <c r="G1988" i="1"/>
  <c r="F1988" i="1"/>
  <c r="E1988" i="1"/>
  <c r="D1988" i="1"/>
  <c r="C1988" i="1"/>
  <c r="B1988" i="1"/>
  <c r="A1988" i="1"/>
  <c r="S1987" i="1"/>
  <c r="O1987" i="1"/>
  <c r="K1987" i="1"/>
  <c r="J1987" i="1"/>
  <c r="I1987" i="1"/>
  <c r="H1987" i="1"/>
  <c r="G1987" i="1"/>
  <c r="F1987" i="1"/>
  <c r="E1987" i="1"/>
  <c r="D1987" i="1"/>
  <c r="C1987" i="1"/>
  <c r="B1987" i="1"/>
  <c r="A1987" i="1"/>
  <c r="R1986" i="1"/>
  <c r="J1986" i="1"/>
  <c r="I1986" i="1"/>
  <c r="G1986" i="1"/>
  <c r="F1986" i="1"/>
  <c r="E1986" i="1"/>
  <c r="D1986" i="1"/>
  <c r="C1986" i="1"/>
  <c r="B1986" i="1"/>
  <c r="A1986" i="1"/>
  <c r="S1985" i="1"/>
  <c r="O1985" i="1"/>
  <c r="K1985" i="1"/>
  <c r="J1985" i="1"/>
  <c r="I1985" i="1"/>
  <c r="H1985" i="1"/>
  <c r="G1985" i="1"/>
  <c r="F1985" i="1"/>
  <c r="E1985" i="1"/>
  <c r="D1985" i="1"/>
  <c r="C1985" i="1"/>
  <c r="B1985" i="1"/>
  <c r="A1985" i="1"/>
  <c r="R1984" i="1"/>
  <c r="J1984" i="1"/>
  <c r="I1984" i="1"/>
  <c r="G1984" i="1"/>
  <c r="F1984" i="1"/>
  <c r="E1984" i="1"/>
  <c r="D1984" i="1"/>
  <c r="C1984" i="1"/>
  <c r="B1984" i="1"/>
  <c r="A1984" i="1"/>
  <c r="S1983" i="1"/>
  <c r="O1983" i="1"/>
  <c r="K1983" i="1"/>
  <c r="J1983" i="1"/>
  <c r="I1983" i="1"/>
  <c r="H1983" i="1"/>
  <c r="G1983" i="1"/>
  <c r="F1983" i="1"/>
  <c r="E1983" i="1"/>
  <c r="D1983" i="1"/>
  <c r="C1983" i="1"/>
  <c r="B1983" i="1"/>
  <c r="A1983" i="1"/>
  <c r="R1982" i="1"/>
  <c r="J1982" i="1"/>
  <c r="I1982" i="1"/>
  <c r="G1982" i="1"/>
  <c r="F1982" i="1"/>
  <c r="E1982" i="1"/>
  <c r="D1982" i="1"/>
  <c r="C1982" i="1"/>
  <c r="B1982" i="1"/>
  <c r="A1982" i="1"/>
  <c r="S1981" i="1"/>
  <c r="O1981" i="1"/>
  <c r="K1981" i="1"/>
  <c r="J1981" i="1"/>
  <c r="I1981" i="1"/>
  <c r="H1981" i="1"/>
  <c r="G1981" i="1"/>
  <c r="F1981" i="1"/>
  <c r="E1981" i="1"/>
  <c r="D1981" i="1"/>
  <c r="C1981" i="1"/>
  <c r="B1981" i="1"/>
  <c r="A1981" i="1"/>
  <c r="R1980" i="1"/>
  <c r="J1980" i="1"/>
  <c r="I1980" i="1"/>
  <c r="G1980" i="1"/>
  <c r="F1980" i="1"/>
  <c r="E1980" i="1"/>
  <c r="D1980" i="1"/>
  <c r="C1980" i="1"/>
  <c r="B1980" i="1"/>
  <c r="A1980" i="1"/>
  <c r="S1979" i="1"/>
  <c r="O1979" i="1"/>
  <c r="K1979" i="1"/>
  <c r="J1979" i="1"/>
  <c r="I1979" i="1"/>
  <c r="H1979" i="1"/>
  <c r="G1979" i="1"/>
  <c r="F1979" i="1"/>
  <c r="E1979" i="1"/>
  <c r="D1979" i="1"/>
  <c r="C1979" i="1"/>
  <c r="B1979" i="1"/>
  <c r="A1979" i="1"/>
  <c r="R1978" i="1"/>
  <c r="J1978" i="1"/>
  <c r="I1978" i="1"/>
  <c r="G1978" i="1"/>
  <c r="F1978" i="1"/>
  <c r="E1978" i="1"/>
  <c r="D1978" i="1"/>
  <c r="C1978" i="1"/>
  <c r="B1978" i="1"/>
  <c r="A1978" i="1"/>
  <c r="S1977" i="1"/>
  <c r="O1977" i="1"/>
  <c r="K1977" i="1"/>
  <c r="J1977" i="1"/>
  <c r="I1977" i="1"/>
  <c r="H1977" i="1"/>
  <c r="G1977" i="1"/>
  <c r="F1977" i="1"/>
  <c r="E1977" i="1"/>
  <c r="D1977" i="1"/>
  <c r="C1977" i="1"/>
  <c r="B1977" i="1"/>
  <c r="A1977" i="1"/>
  <c r="R1976" i="1"/>
  <c r="J1976" i="1"/>
  <c r="I1976" i="1"/>
  <c r="G1976" i="1"/>
  <c r="F1976" i="1"/>
  <c r="E1976" i="1"/>
  <c r="D1976" i="1"/>
  <c r="C1976" i="1"/>
  <c r="B1976" i="1"/>
  <c r="A1976" i="1"/>
  <c r="S1975" i="1"/>
  <c r="O1975" i="1"/>
  <c r="K1975" i="1"/>
  <c r="J1975" i="1"/>
  <c r="I1975" i="1"/>
  <c r="H1975" i="1"/>
  <c r="G1975" i="1"/>
  <c r="F1975" i="1"/>
  <c r="E1975" i="1"/>
  <c r="D1975" i="1"/>
  <c r="C1975" i="1"/>
  <c r="B1975" i="1"/>
  <c r="A1975" i="1"/>
  <c r="R1974" i="1"/>
  <c r="J1974" i="1"/>
  <c r="I1974" i="1"/>
  <c r="G1974" i="1"/>
  <c r="F1974" i="1"/>
  <c r="E1974" i="1"/>
  <c r="D1974" i="1"/>
  <c r="C1974" i="1"/>
  <c r="B1974" i="1"/>
  <c r="A1974" i="1"/>
  <c r="S1973" i="1"/>
  <c r="O1973" i="1"/>
  <c r="K1973" i="1"/>
  <c r="J1973" i="1"/>
  <c r="I1973" i="1"/>
  <c r="H1973" i="1"/>
  <c r="G1973" i="1"/>
  <c r="F1973" i="1"/>
  <c r="E1973" i="1"/>
  <c r="D1973" i="1"/>
  <c r="C1973" i="1"/>
  <c r="B1973" i="1"/>
  <c r="A1973" i="1"/>
  <c r="R1972" i="1"/>
  <c r="J1972" i="1"/>
  <c r="I1972" i="1"/>
  <c r="G1972" i="1"/>
  <c r="F1972" i="1"/>
  <c r="E1972" i="1"/>
  <c r="D1972" i="1"/>
  <c r="C1972" i="1"/>
  <c r="B1972" i="1"/>
  <c r="A1972" i="1"/>
  <c r="S1971" i="1"/>
  <c r="O1971" i="1"/>
  <c r="K1971" i="1"/>
  <c r="J1971" i="1"/>
  <c r="I1971" i="1"/>
  <c r="H1971" i="1"/>
  <c r="G1971" i="1"/>
  <c r="F1971" i="1"/>
  <c r="E1971" i="1"/>
  <c r="D1971" i="1"/>
  <c r="C1971" i="1"/>
  <c r="B1971" i="1"/>
  <c r="A1971" i="1"/>
  <c r="R1970" i="1"/>
  <c r="J1970" i="1"/>
  <c r="I1970" i="1"/>
  <c r="G1970" i="1"/>
  <c r="F1970" i="1"/>
  <c r="E1970" i="1"/>
  <c r="D1970" i="1"/>
  <c r="C1970" i="1"/>
  <c r="B1970" i="1"/>
  <c r="A1970" i="1"/>
  <c r="S1969" i="1"/>
  <c r="O1969" i="1"/>
  <c r="K1969" i="1"/>
  <c r="J1969" i="1"/>
  <c r="I1969" i="1"/>
  <c r="H1969" i="1"/>
  <c r="G1969" i="1"/>
  <c r="F1969" i="1"/>
  <c r="E1969" i="1"/>
  <c r="D1969" i="1"/>
  <c r="C1969" i="1"/>
  <c r="B1969" i="1"/>
  <c r="A1969" i="1"/>
  <c r="R1968" i="1"/>
  <c r="J1968" i="1"/>
  <c r="I1968" i="1"/>
  <c r="G1968" i="1"/>
  <c r="F1968" i="1"/>
  <c r="E1968" i="1"/>
  <c r="D1968" i="1"/>
  <c r="C1968" i="1"/>
  <c r="B1968" i="1"/>
  <c r="A1968" i="1"/>
  <c r="S1967" i="1"/>
  <c r="O1967" i="1"/>
  <c r="K1967" i="1"/>
  <c r="J1967" i="1"/>
  <c r="I1967" i="1"/>
  <c r="H1967" i="1"/>
  <c r="G1967" i="1"/>
  <c r="F1967" i="1"/>
  <c r="E1967" i="1"/>
  <c r="D1967" i="1"/>
  <c r="C1967" i="1"/>
  <c r="B1967" i="1"/>
  <c r="A1967" i="1"/>
  <c r="R1966" i="1"/>
  <c r="J1966" i="1"/>
  <c r="I1966" i="1"/>
  <c r="G1966" i="1"/>
  <c r="F1966" i="1"/>
  <c r="E1966" i="1"/>
  <c r="D1966" i="1"/>
  <c r="C1966" i="1"/>
  <c r="B1966" i="1"/>
  <c r="A1966" i="1"/>
  <c r="S1965" i="1"/>
  <c r="O1965" i="1"/>
  <c r="K1965" i="1"/>
  <c r="J1965" i="1"/>
  <c r="I1965" i="1"/>
  <c r="H1965" i="1"/>
  <c r="G1965" i="1"/>
  <c r="F1965" i="1"/>
  <c r="E1965" i="1"/>
  <c r="D1965" i="1"/>
  <c r="C1965" i="1"/>
  <c r="B1965" i="1"/>
  <c r="A1965" i="1"/>
  <c r="R1964" i="1"/>
  <c r="J1964" i="1"/>
  <c r="I1964" i="1"/>
  <c r="G1964" i="1"/>
  <c r="F1964" i="1"/>
  <c r="E1964" i="1"/>
  <c r="D1964" i="1"/>
  <c r="C1964" i="1"/>
  <c r="B1964" i="1"/>
  <c r="A1964" i="1"/>
  <c r="S1963" i="1"/>
  <c r="O1963" i="1"/>
  <c r="K1963" i="1"/>
  <c r="J1963" i="1"/>
  <c r="I1963" i="1"/>
  <c r="H1963" i="1"/>
  <c r="G1963" i="1"/>
  <c r="F1963" i="1"/>
  <c r="E1963" i="1"/>
  <c r="D1963" i="1"/>
  <c r="C1963" i="1"/>
  <c r="B1963" i="1"/>
  <c r="A1963" i="1"/>
  <c r="R1962" i="1"/>
  <c r="J1962" i="1"/>
  <c r="I1962" i="1"/>
  <c r="G1962" i="1"/>
  <c r="F1962" i="1"/>
  <c r="E1962" i="1"/>
  <c r="D1962" i="1"/>
  <c r="C1962" i="1"/>
  <c r="B1962" i="1"/>
  <c r="A1962" i="1"/>
  <c r="S1961" i="1"/>
  <c r="O1961" i="1"/>
  <c r="K1961" i="1"/>
  <c r="J1961" i="1"/>
  <c r="I1961" i="1"/>
  <c r="H1961" i="1"/>
  <c r="G1961" i="1"/>
  <c r="F1961" i="1"/>
  <c r="E1961" i="1"/>
  <c r="D1961" i="1"/>
  <c r="C1961" i="1"/>
  <c r="B1961" i="1"/>
  <c r="A1961" i="1"/>
  <c r="R1960" i="1"/>
  <c r="J1960" i="1"/>
  <c r="I1960" i="1"/>
  <c r="G1960" i="1"/>
  <c r="F1960" i="1"/>
  <c r="E1960" i="1"/>
  <c r="D1960" i="1"/>
  <c r="C1960" i="1"/>
  <c r="B1960" i="1"/>
  <c r="A1960" i="1"/>
  <c r="S1959" i="1"/>
  <c r="O1959" i="1"/>
  <c r="K1959" i="1"/>
  <c r="J1959" i="1"/>
  <c r="I1959" i="1"/>
  <c r="H1959" i="1"/>
  <c r="G1959" i="1"/>
  <c r="F1959" i="1"/>
  <c r="E1959" i="1"/>
  <c r="D1959" i="1"/>
  <c r="C1959" i="1"/>
  <c r="B1959" i="1"/>
  <c r="A1959" i="1"/>
  <c r="R1958" i="1"/>
  <c r="J1958" i="1"/>
  <c r="I1958" i="1"/>
  <c r="G1958" i="1"/>
  <c r="F1958" i="1"/>
  <c r="E1958" i="1"/>
  <c r="D1958" i="1"/>
  <c r="C1958" i="1"/>
  <c r="B1958" i="1"/>
  <c r="A1958" i="1"/>
  <c r="S1957" i="1"/>
  <c r="O1957" i="1"/>
  <c r="K1957" i="1"/>
  <c r="J1957" i="1"/>
  <c r="I1957" i="1"/>
  <c r="H1957" i="1"/>
  <c r="G1957" i="1"/>
  <c r="F1957" i="1"/>
  <c r="E1957" i="1"/>
  <c r="D1957" i="1"/>
  <c r="C1957" i="1"/>
  <c r="B1957" i="1"/>
  <c r="A1957" i="1"/>
  <c r="R1956" i="1"/>
  <c r="J1956" i="1"/>
  <c r="I1956" i="1"/>
  <c r="G1956" i="1"/>
  <c r="F1956" i="1"/>
  <c r="E1956" i="1"/>
  <c r="D1956" i="1"/>
  <c r="C1956" i="1"/>
  <c r="B1956" i="1"/>
  <c r="A1956" i="1"/>
  <c r="S1955" i="1"/>
  <c r="O1955" i="1"/>
  <c r="K1955" i="1"/>
  <c r="J1955" i="1"/>
  <c r="I1955" i="1"/>
  <c r="H1955" i="1"/>
  <c r="G1955" i="1"/>
  <c r="F1955" i="1"/>
  <c r="E1955" i="1"/>
  <c r="D1955" i="1"/>
  <c r="C1955" i="1"/>
  <c r="B1955" i="1"/>
  <c r="A1955" i="1"/>
  <c r="R1954" i="1"/>
  <c r="J1954" i="1"/>
  <c r="I1954" i="1"/>
  <c r="G1954" i="1"/>
  <c r="F1954" i="1"/>
  <c r="E1954" i="1"/>
  <c r="D1954" i="1"/>
  <c r="C1954" i="1"/>
  <c r="B1954" i="1"/>
  <c r="A1954" i="1"/>
  <c r="S1953" i="1"/>
  <c r="O1953" i="1"/>
  <c r="K1953" i="1"/>
  <c r="J1953" i="1"/>
  <c r="I1953" i="1"/>
  <c r="H1953" i="1"/>
  <c r="G1953" i="1"/>
  <c r="F1953" i="1"/>
  <c r="E1953" i="1"/>
  <c r="D1953" i="1"/>
  <c r="C1953" i="1"/>
  <c r="B1953" i="1"/>
  <c r="A1953" i="1"/>
  <c r="R1952" i="1"/>
  <c r="J1952" i="1"/>
  <c r="I1952" i="1"/>
  <c r="G1952" i="1"/>
  <c r="F1952" i="1"/>
  <c r="E1952" i="1"/>
  <c r="D1952" i="1"/>
  <c r="C1952" i="1"/>
  <c r="B1952" i="1"/>
  <c r="A1952" i="1"/>
  <c r="S1951" i="1"/>
  <c r="O1951" i="1"/>
  <c r="K1951" i="1"/>
  <c r="J1951" i="1"/>
  <c r="I1951" i="1"/>
  <c r="H1951" i="1"/>
  <c r="G1951" i="1"/>
  <c r="F1951" i="1"/>
  <c r="E1951" i="1"/>
  <c r="D1951" i="1"/>
  <c r="C1951" i="1"/>
  <c r="B1951" i="1"/>
  <c r="A1951" i="1"/>
  <c r="R1950" i="1"/>
  <c r="J1950" i="1"/>
  <c r="I1950" i="1"/>
  <c r="G1950" i="1"/>
  <c r="F1950" i="1"/>
  <c r="E1950" i="1"/>
  <c r="D1950" i="1"/>
  <c r="C1950" i="1"/>
  <c r="B1950" i="1"/>
  <c r="A1950" i="1"/>
  <c r="S1949" i="1"/>
  <c r="O1949" i="1"/>
  <c r="K1949" i="1"/>
  <c r="J1949" i="1"/>
  <c r="I1949" i="1"/>
  <c r="H1949" i="1"/>
  <c r="G1949" i="1"/>
  <c r="F1949" i="1"/>
  <c r="E1949" i="1"/>
  <c r="D1949" i="1"/>
  <c r="C1949" i="1"/>
  <c r="B1949" i="1"/>
  <c r="A1949" i="1"/>
  <c r="R1948" i="1"/>
  <c r="J1948" i="1"/>
  <c r="I1948" i="1"/>
  <c r="G1948" i="1"/>
  <c r="F1948" i="1"/>
  <c r="E1948" i="1"/>
  <c r="D1948" i="1"/>
  <c r="C1948" i="1"/>
  <c r="B1948" i="1"/>
  <c r="A1948" i="1"/>
  <c r="S1947" i="1"/>
  <c r="O1947" i="1"/>
  <c r="K1947" i="1"/>
  <c r="J1947" i="1"/>
  <c r="I1947" i="1"/>
  <c r="H1947" i="1"/>
  <c r="G1947" i="1"/>
  <c r="F1947" i="1"/>
  <c r="E1947" i="1"/>
  <c r="D1947" i="1"/>
  <c r="C1947" i="1"/>
  <c r="B1947" i="1"/>
  <c r="A1947" i="1"/>
  <c r="R1946" i="1"/>
  <c r="J1946" i="1"/>
  <c r="I1946" i="1"/>
  <c r="G1946" i="1"/>
  <c r="F1946" i="1"/>
  <c r="E1946" i="1"/>
  <c r="D1946" i="1"/>
  <c r="C1946" i="1"/>
  <c r="B1946" i="1"/>
  <c r="A1946" i="1"/>
  <c r="S1945" i="1"/>
  <c r="O1945" i="1"/>
  <c r="K1945" i="1"/>
  <c r="J1945" i="1"/>
  <c r="I1945" i="1"/>
  <c r="H1945" i="1"/>
  <c r="G1945" i="1"/>
  <c r="F1945" i="1"/>
  <c r="E1945" i="1"/>
  <c r="D1945" i="1"/>
  <c r="C1945" i="1"/>
  <c r="B1945" i="1"/>
  <c r="A1945" i="1"/>
  <c r="R1944" i="1"/>
  <c r="J1944" i="1"/>
  <c r="I1944" i="1"/>
  <c r="G1944" i="1"/>
  <c r="F1944" i="1"/>
  <c r="E1944" i="1"/>
  <c r="D1944" i="1"/>
  <c r="C1944" i="1"/>
  <c r="B1944" i="1"/>
  <c r="A1944" i="1"/>
  <c r="S1943" i="1"/>
  <c r="O1943" i="1"/>
  <c r="K1943" i="1"/>
  <c r="J1943" i="1"/>
  <c r="I1943" i="1"/>
  <c r="H1943" i="1"/>
  <c r="G1943" i="1"/>
  <c r="F1943" i="1"/>
  <c r="E1943" i="1"/>
  <c r="D1943" i="1"/>
  <c r="C1943" i="1"/>
  <c r="B1943" i="1"/>
  <c r="A1943" i="1"/>
  <c r="R1942" i="1"/>
  <c r="J1942" i="1"/>
  <c r="I1942" i="1"/>
  <c r="G1942" i="1"/>
  <c r="F1942" i="1"/>
  <c r="E1942" i="1"/>
  <c r="D1942" i="1"/>
  <c r="C1942" i="1"/>
  <c r="B1942" i="1"/>
  <c r="A1942" i="1"/>
  <c r="R1941" i="1"/>
  <c r="J1941" i="1"/>
  <c r="I1941" i="1"/>
  <c r="G1941" i="1"/>
  <c r="F1941" i="1"/>
  <c r="E1941" i="1"/>
  <c r="D1941" i="1"/>
  <c r="C1941" i="1"/>
  <c r="B1941" i="1"/>
  <c r="A1941" i="1"/>
  <c r="S1940" i="1"/>
  <c r="O1940" i="1"/>
  <c r="K1940" i="1"/>
  <c r="J1940" i="1"/>
  <c r="I1940" i="1"/>
  <c r="H1940" i="1"/>
  <c r="G1940" i="1"/>
  <c r="F1940" i="1"/>
  <c r="E1940" i="1"/>
  <c r="D1940" i="1"/>
  <c r="C1940" i="1"/>
  <c r="B1940" i="1"/>
  <c r="A1940" i="1"/>
  <c r="R1939" i="1"/>
  <c r="J1939" i="1"/>
  <c r="I1939" i="1"/>
  <c r="G1939" i="1"/>
  <c r="F1939" i="1"/>
  <c r="E1939" i="1"/>
  <c r="D1939" i="1"/>
  <c r="C1939" i="1"/>
  <c r="B1939" i="1"/>
  <c r="A1939" i="1"/>
  <c r="S1938" i="1"/>
  <c r="O1938" i="1"/>
  <c r="K1938" i="1"/>
  <c r="J1938" i="1"/>
  <c r="I1938" i="1"/>
  <c r="H1938" i="1"/>
  <c r="G1938" i="1"/>
  <c r="F1938" i="1"/>
  <c r="E1938" i="1"/>
  <c r="D1938" i="1"/>
  <c r="C1938" i="1"/>
  <c r="B1938" i="1"/>
  <c r="A1938" i="1"/>
  <c r="R1937" i="1"/>
  <c r="J1937" i="1"/>
  <c r="I1937" i="1"/>
  <c r="G1937" i="1"/>
  <c r="F1937" i="1"/>
  <c r="E1937" i="1"/>
  <c r="D1937" i="1"/>
  <c r="C1937" i="1"/>
  <c r="B1937" i="1"/>
  <c r="A1937" i="1"/>
  <c r="S1936" i="1"/>
  <c r="O1936" i="1"/>
  <c r="K1936" i="1"/>
  <c r="J1936" i="1"/>
  <c r="I1936" i="1"/>
  <c r="H1936" i="1"/>
  <c r="G1936" i="1"/>
  <c r="F1936" i="1"/>
  <c r="E1936" i="1"/>
  <c r="D1936" i="1"/>
  <c r="C1936" i="1"/>
  <c r="B1936" i="1"/>
  <c r="A1936" i="1"/>
  <c r="R1935" i="1"/>
  <c r="J1935" i="1"/>
  <c r="I1935" i="1"/>
  <c r="G1935" i="1"/>
  <c r="F1935" i="1"/>
  <c r="E1935" i="1"/>
  <c r="D1935" i="1"/>
  <c r="C1935" i="1"/>
  <c r="B1935" i="1"/>
  <c r="A1935" i="1"/>
  <c r="S1934" i="1"/>
  <c r="O1934" i="1"/>
  <c r="K1934" i="1"/>
  <c r="J1934" i="1"/>
  <c r="I1934" i="1"/>
  <c r="H1934" i="1"/>
  <c r="G1934" i="1"/>
  <c r="F1934" i="1"/>
  <c r="E1934" i="1"/>
  <c r="D1934" i="1"/>
  <c r="C1934" i="1"/>
  <c r="B1934" i="1"/>
  <c r="A1934" i="1"/>
  <c r="R1933" i="1"/>
  <c r="J1933" i="1"/>
  <c r="I1933" i="1"/>
  <c r="G1933" i="1"/>
  <c r="F1933" i="1"/>
  <c r="E1933" i="1"/>
  <c r="D1933" i="1"/>
  <c r="C1933" i="1"/>
  <c r="B1933" i="1"/>
  <c r="A1933" i="1"/>
  <c r="S1932" i="1"/>
  <c r="O1932" i="1"/>
  <c r="K1932" i="1"/>
  <c r="J1932" i="1"/>
  <c r="I1932" i="1"/>
  <c r="H1932" i="1"/>
  <c r="G1932" i="1"/>
  <c r="F1932" i="1"/>
  <c r="E1932" i="1"/>
  <c r="D1932" i="1"/>
  <c r="C1932" i="1"/>
  <c r="B1932" i="1"/>
  <c r="A1932" i="1"/>
  <c r="R1931" i="1"/>
  <c r="J1931" i="1"/>
  <c r="I1931" i="1"/>
  <c r="G1931" i="1"/>
  <c r="F1931" i="1"/>
  <c r="E1931" i="1"/>
  <c r="D1931" i="1"/>
  <c r="C1931" i="1"/>
  <c r="B1931" i="1"/>
  <c r="A1931" i="1"/>
  <c r="S1930" i="1"/>
  <c r="O1930" i="1"/>
  <c r="K1930" i="1"/>
  <c r="J1930" i="1"/>
  <c r="I1930" i="1"/>
  <c r="H1930" i="1"/>
  <c r="G1930" i="1"/>
  <c r="F1930" i="1"/>
  <c r="E1930" i="1"/>
  <c r="D1930" i="1"/>
  <c r="C1930" i="1"/>
  <c r="B1930" i="1"/>
  <c r="A1930" i="1"/>
  <c r="R1929" i="1"/>
  <c r="J1929" i="1"/>
  <c r="I1929" i="1"/>
  <c r="G1929" i="1"/>
  <c r="F1929" i="1"/>
  <c r="E1929" i="1"/>
  <c r="D1929" i="1"/>
  <c r="C1929" i="1"/>
  <c r="B1929" i="1"/>
  <c r="A1929" i="1"/>
  <c r="S1928" i="1"/>
  <c r="O1928" i="1"/>
  <c r="K1928" i="1"/>
  <c r="J1928" i="1"/>
  <c r="I1928" i="1"/>
  <c r="H1928" i="1"/>
  <c r="G1928" i="1"/>
  <c r="F1928" i="1"/>
  <c r="E1928" i="1"/>
  <c r="D1928" i="1"/>
  <c r="C1928" i="1"/>
  <c r="B1928" i="1"/>
  <c r="A1928" i="1"/>
  <c r="R1927" i="1"/>
  <c r="J1927" i="1"/>
  <c r="I1927" i="1"/>
  <c r="G1927" i="1"/>
  <c r="F1927" i="1"/>
  <c r="E1927" i="1"/>
  <c r="D1927" i="1"/>
  <c r="C1927" i="1"/>
  <c r="B1927" i="1"/>
  <c r="A1927" i="1"/>
  <c r="S1926" i="1"/>
  <c r="O1926" i="1"/>
  <c r="K1926" i="1"/>
  <c r="J1926" i="1"/>
  <c r="I1926" i="1"/>
  <c r="H1926" i="1"/>
  <c r="G1926" i="1"/>
  <c r="F1926" i="1"/>
  <c r="E1926" i="1"/>
  <c r="D1926" i="1"/>
  <c r="C1926" i="1"/>
  <c r="B1926" i="1"/>
  <c r="A1926" i="1"/>
  <c r="R1925" i="1"/>
  <c r="J1925" i="1"/>
  <c r="I1925" i="1"/>
  <c r="G1925" i="1"/>
  <c r="F1925" i="1"/>
  <c r="E1925" i="1"/>
  <c r="D1925" i="1"/>
  <c r="C1925" i="1"/>
  <c r="B1925" i="1"/>
  <c r="A1925" i="1"/>
  <c r="S1924" i="1"/>
  <c r="O1924" i="1"/>
  <c r="K1924" i="1"/>
  <c r="J1924" i="1"/>
  <c r="I1924" i="1"/>
  <c r="H1924" i="1"/>
  <c r="G1924" i="1"/>
  <c r="F1924" i="1"/>
  <c r="E1924" i="1"/>
  <c r="D1924" i="1"/>
  <c r="C1924" i="1"/>
  <c r="B1924" i="1"/>
  <c r="A1924" i="1"/>
  <c r="R1923" i="1"/>
  <c r="J1923" i="1"/>
  <c r="I1923" i="1"/>
  <c r="G1923" i="1"/>
  <c r="F1923" i="1"/>
  <c r="E1923" i="1"/>
  <c r="D1923" i="1"/>
  <c r="C1923" i="1"/>
  <c r="B1923" i="1"/>
  <c r="A1923" i="1"/>
  <c r="S1922" i="1"/>
  <c r="O1922" i="1"/>
  <c r="K1922" i="1"/>
  <c r="J1922" i="1"/>
  <c r="I1922" i="1"/>
  <c r="H1922" i="1"/>
  <c r="G1922" i="1"/>
  <c r="F1922" i="1"/>
  <c r="E1922" i="1"/>
  <c r="D1922" i="1"/>
  <c r="C1922" i="1"/>
  <c r="B1922" i="1"/>
  <c r="A1922" i="1"/>
  <c r="R1921" i="1"/>
  <c r="J1921" i="1"/>
  <c r="I1921" i="1"/>
  <c r="G1921" i="1"/>
  <c r="F1921" i="1"/>
  <c r="E1921" i="1"/>
  <c r="D1921" i="1"/>
  <c r="C1921" i="1"/>
  <c r="B1921" i="1"/>
  <c r="A1921" i="1"/>
  <c r="R1920" i="1"/>
  <c r="J1920" i="1"/>
  <c r="I1920" i="1"/>
  <c r="G1920" i="1"/>
  <c r="F1920" i="1"/>
  <c r="E1920" i="1"/>
  <c r="D1920" i="1"/>
  <c r="C1920" i="1"/>
  <c r="B1920" i="1"/>
  <c r="A1920" i="1"/>
  <c r="S1919" i="1"/>
  <c r="O1919" i="1"/>
  <c r="K1919" i="1"/>
  <c r="J1919" i="1"/>
  <c r="I1919" i="1"/>
  <c r="H1919" i="1"/>
  <c r="G1919" i="1"/>
  <c r="F1919" i="1"/>
  <c r="E1919" i="1"/>
  <c r="D1919" i="1"/>
  <c r="C1919" i="1"/>
  <c r="B1919" i="1"/>
  <c r="A1919" i="1"/>
  <c r="R1918" i="1"/>
  <c r="J1918" i="1"/>
  <c r="I1918" i="1"/>
  <c r="G1918" i="1"/>
  <c r="F1918" i="1"/>
  <c r="E1918" i="1"/>
  <c r="D1918" i="1"/>
  <c r="C1918" i="1"/>
  <c r="B1918" i="1"/>
  <c r="A1918" i="1"/>
  <c r="S1917" i="1"/>
  <c r="O1917" i="1"/>
  <c r="K1917" i="1"/>
  <c r="J1917" i="1"/>
  <c r="I1917" i="1"/>
  <c r="H1917" i="1"/>
  <c r="G1917" i="1"/>
  <c r="F1917" i="1"/>
  <c r="E1917" i="1"/>
  <c r="D1917" i="1"/>
  <c r="C1917" i="1"/>
  <c r="B1917" i="1"/>
  <c r="A1917" i="1"/>
  <c r="R1916" i="1"/>
  <c r="J1916" i="1"/>
  <c r="I1916" i="1"/>
  <c r="G1916" i="1"/>
  <c r="F1916" i="1"/>
  <c r="E1916" i="1"/>
  <c r="D1916" i="1"/>
  <c r="C1916" i="1"/>
  <c r="B1916" i="1"/>
  <c r="A1916" i="1"/>
  <c r="R1915" i="1"/>
  <c r="J1915" i="1"/>
  <c r="I1915" i="1"/>
  <c r="G1915" i="1"/>
  <c r="F1915" i="1"/>
  <c r="E1915" i="1"/>
  <c r="D1915" i="1"/>
  <c r="C1915" i="1"/>
  <c r="B1915" i="1"/>
  <c r="A1915" i="1"/>
  <c r="S1914" i="1"/>
  <c r="O1914" i="1"/>
  <c r="K1914" i="1"/>
  <c r="J1914" i="1"/>
  <c r="I1914" i="1"/>
  <c r="H1914" i="1"/>
  <c r="G1914" i="1"/>
  <c r="F1914" i="1"/>
  <c r="E1914" i="1"/>
  <c r="D1914" i="1"/>
  <c r="C1914" i="1"/>
  <c r="B1914" i="1"/>
  <c r="A1914" i="1"/>
  <c r="R1913" i="1"/>
  <c r="J1913" i="1"/>
  <c r="I1913" i="1"/>
  <c r="G1913" i="1"/>
  <c r="F1913" i="1"/>
  <c r="E1913" i="1"/>
  <c r="D1913" i="1"/>
  <c r="C1913" i="1"/>
  <c r="B1913" i="1"/>
  <c r="A1913" i="1"/>
  <c r="R1912" i="1"/>
  <c r="J1912" i="1"/>
  <c r="I1912" i="1"/>
  <c r="G1912" i="1"/>
  <c r="F1912" i="1"/>
  <c r="E1912" i="1"/>
  <c r="D1912" i="1"/>
  <c r="C1912" i="1"/>
  <c r="B1912" i="1"/>
  <c r="A1912" i="1"/>
  <c r="S1911" i="1"/>
  <c r="O1911" i="1"/>
  <c r="K1911" i="1"/>
  <c r="J1911" i="1"/>
  <c r="I1911" i="1"/>
  <c r="H1911" i="1"/>
  <c r="G1911" i="1"/>
  <c r="F1911" i="1"/>
  <c r="E1911" i="1"/>
  <c r="D1911" i="1"/>
  <c r="C1911" i="1"/>
  <c r="B1911" i="1"/>
  <c r="A1911" i="1"/>
  <c r="R1910" i="1"/>
  <c r="J1910" i="1"/>
  <c r="I1910" i="1"/>
  <c r="G1910" i="1"/>
  <c r="F1910" i="1"/>
  <c r="E1910" i="1"/>
  <c r="D1910" i="1"/>
  <c r="C1910" i="1"/>
  <c r="B1910" i="1"/>
  <c r="A1910" i="1"/>
  <c r="R1909" i="1"/>
  <c r="J1909" i="1"/>
  <c r="I1909" i="1"/>
  <c r="G1909" i="1"/>
  <c r="F1909" i="1"/>
  <c r="E1909" i="1"/>
  <c r="D1909" i="1"/>
  <c r="C1909" i="1"/>
  <c r="B1909" i="1"/>
  <c r="A1909" i="1"/>
  <c r="S1908" i="1"/>
  <c r="O1908" i="1"/>
  <c r="K1908" i="1"/>
  <c r="J1908" i="1"/>
  <c r="I1908" i="1"/>
  <c r="H1908" i="1"/>
  <c r="G1908" i="1"/>
  <c r="F1908" i="1"/>
  <c r="E1908" i="1"/>
  <c r="D1908" i="1"/>
  <c r="C1908" i="1"/>
  <c r="B1908" i="1"/>
  <c r="A1908" i="1"/>
  <c r="R1907" i="1"/>
  <c r="J1907" i="1"/>
  <c r="I1907" i="1"/>
  <c r="G1907" i="1"/>
  <c r="F1907" i="1"/>
  <c r="E1907" i="1"/>
  <c r="D1907" i="1"/>
  <c r="C1907" i="1"/>
  <c r="B1907" i="1"/>
  <c r="A1907" i="1"/>
  <c r="S1906" i="1"/>
  <c r="O1906" i="1"/>
  <c r="K1906" i="1"/>
  <c r="J1906" i="1"/>
  <c r="I1906" i="1"/>
  <c r="H1906" i="1"/>
  <c r="G1906" i="1"/>
  <c r="F1906" i="1"/>
  <c r="E1906" i="1"/>
  <c r="D1906" i="1"/>
  <c r="C1906" i="1"/>
  <c r="B1906" i="1"/>
  <c r="A1906" i="1"/>
  <c r="R1905" i="1"/>
  <c r="J1905" i="1"/>
  <c r="I1905" i="1"/>
  <c r="G1905" i="1"/>
  <c r="F1905" i="1"/>
  <c r="E1905" i="1"/>
  <c r="D1905" i="1"/>
  <c r="C1905" i="1"/>
  <c r="B1905" i="1"/>
  <c r="A1905" i="1"/>
  <c r="S1904" i="1"/>
  <c r="O1904" i="1"/>
  <c r="K1904" i="1"/>
  <c r="J1904" i="1"/>
  <c r="I1904" i="1"/>
  <c r="H1904" i="1"/>
  <c r="G1904" i="1"/>
  <c r="F1904" i="1"/>
  <c r="E1904" i="1"/>
  <c r="D1904" i="1"/>
  <c r="C1904" i="1"/>
  <c r="B1904" i="1"/>
  <c r="A1904" i="1"/>
  <c r="R1903" i="1"/>
  <c r="J1903" i="1"/>
  <c r="I1903" i="1"/>
  <c r="G1903" i="1"/>
  <c r="F1903" i="1"/>
  <c r="E1903" i="1"/>
  <c r="D1903" i="1"/>
  <c r="C1903" i="1"/>
  <c r="B1903" i="1"/>
  <c r="A1903" i="1"/>
  <c r="R1902" i="1"/>
  <c r="J1902" i="1"/>
  <c r="I1902" i="1"/>
  <c r="G1902" i="1"/>
  <c r="F1902" i="1"/>
  <c r="E1902" i="1"/>
  <c r="D1902" i="1"/>
  <c r="C1902" i="1"/>
  <c r="B1902" i="1"/>
  <c r="A1902" i="1"/>
  <c r="S1901" i="1"/>
  <c r="O1901" i="1"/>
  <c r="K1901" i="1"/>
  <c r="J1901" i="1"/>
  <c r="I1901" i="1"/>
  <c r="H1901" i="1"/>
  <c r="G1901" i="1"/>
  <c r="F1901" i="1"/>
  <c r="E1901" i="1"/>
  <c r="D1901" i="1"/>
  <c r="C1901" i="1"/>
  <c r="B1901" i="1"/>
  <c r="A1901" i="1"/>
  <c r="R1900" i="1"/>
  <c r="J1900" i="1"/>
  <c r="I1900" i="1"/>
  <c r="G1900" i="1"/>
  <c r="F1900" i="1"/>
  <c r="E1900" i="1"/>
  <c r="D1900" i="1"/>
  <c r="C1900" i="1"/>
  <c r="B1900" i="1"/>
  <c r="A1900" i="1"/>
  <c r="S1899" i="1"/>
  <c r="O1899" i="1"/>
  <c r="K1899" i="1"/>
  <c r="J1899" i="1"/>
  <c r="I1899" i="1"/>
  <c r="H1899" i="1"/>
  <c r="G1899" i="1"/>
  <c r="F1899" i="1"/>
  <c r="E1899" i="1"/>
  <c r="D1899" i="1"/>
  <c r="C1899" i="1"/>
  <c r="B1899" i="1"/>
  <c r="A1899" i="1"/>
  <c r="R1898" i="1"/>
  <c r="J1898" i="1"/>
  <c r="I1898" i="1"/>
  <c r="G1898" i="1"/>
  <c r="F1898" i="1"/>
  <c r="E1898" i="1"/>
  <c r="D1898" i="1"/>
  <c r="C1898" i="1"/>
  <c r="B1898" i="1"/>
  <c r="A1898" i="1"/>
  <c r="S1897" i="1"/>
  <c r="O1897" i="1"/>
  <c r="K1897" i="1"/>
  <c r="J1897" i="1"/>
  <c r="I1897" i="1"/>
  <c r="H1897" i="1"/>
  <c r="G1897" i="1"/>
  <c r="F1897" i="1"/>
  <c r="E1897" i="1"/>
  <c r="D1897" i="1"/>
  <c r="C1897" i="1"/>
  <c r="B1897" i="1"/>
  <c r="A1897" i="1"/>
  <c r="R1896" i="1"/>
  <c r="J1896" i="1"/>
  <c r="I1896" i="1"/>
  <c r="G1896" i="1"/>
  <c r="F1896" i="1"/>
  <c r="E1896" i="1"/>
  <c r="D1896" i="1"/>
  <c r="C1896" i="1"/>
  <c r="B1896" i="1"/>
  <c r="A1896" i="1"/>
  <c r="S1895" i="1"/>
  <c r="O1895" i="1"/>
  <c r="K1895" i="1"/>
  <c r="J1895" i="1"/>
  <c r="I1895" i="1"/>
  <c r="H1895" i="1"/>
  <c r="G1895" i="1"/>
  <c r="F1895" i="1"/>
  <c r="E1895" i="1"/>
  <c r="D1895" i="1"/>
  <c r="C1895" i="1"/>
  <c r="B1895" i="1"/>
  <c r="A1895" i="1"/>
  <c r="R1894" i="1"/>
  <c r="J1894" i="1"/>
  <c r="I1894" i="1"/>
  <c r="G1894" i="1"/>
  <c r="F1894" i="1"/>
  <c r="E1894" i="1"/>
  <c r="D1894" i="1"/>
  <c r="C1894" i="1"/>
  <c r="B1894" i="1"/>
  <c r="A1894" i="1"/>
  <c r="S1893" i="1"/>
  <c r="O1893" i="1"/>
  <c r="K1893" i="1"/>
  <c r="J1893" i="1"/>
  <c r="I1893" i="1"/>
  <c r="H1893" i="1"/>
  <c r="G1893" i="1"/>
  <c r="F1893" i="1"/>
  <c r="E1893" i="1"/>
  <c r="D1893" i="1"/>
  <c r="C1893" i="1"/>
  <c r="B1893" i="1"/>
  <c r="A1893" i="1"/>
  <c r="R1892" i="1"/>
  <c r="J1892" i="1"/>
  <c r="I1892" i="1"/>
  <c r="G1892" i="1"/>
  <c r="F1892" i="1"/>
  <c r="E1892" i="1"/>
  <c r="D1892" i="1"/>
  <c r="C1892" i="1"/>
  <c r="B1892" i="1"/>
  <c r="A1892" i="1"/>
  <c r="S1891" i="1"/>
  <c r="O1891" i="1"/>
  <c r="K1891" i="1"/>
  <c r="J1891" i="1"/>
  <c r="I1891" i="1"/>
  <c r="H1891" i="1"/>
  <c r="G1891" i="1"/>
  <c r="F1891" i="1"/>
  <c r="E1891" i="1"/>
  <c r="D1891" i="1"/>
  <c r="C1891" i="1"/>
  <c r="B1891" i="1"/>
  <c r="A1891" i="1"/>
  <c r="R1890" i="1"/>
  <c r="J1890" i="1"/>
  <c r="I1890" i="1"/>
  <c r="G1890" i="1"/>
  <c r="F1890" i="1"/>
  <c r="E1890" i="1"/>
  <c r="D1890" i="1"/>
  <c r="C1890" i="1"/>
  <c r="B1890" i="1"/>
  <c r="A1890" i="1"/>
  <c r="S1889" i="1"/>
  <c r="O1889" i="1"/>
  <c r="K1889" i="1"/>
  <c r="J1889" i="1"/>
  <c r="I1889" i="1"/>
  <c r="H1889" i="1"/>
  <c r="G1889" i="1"/>
  <c r="F1889" i="1"/>
  <c r="E1889" i="1"/>
  <c r="D1889" i="1"/>
  <c r="C1889" i="1"/>
  <c r="B1889" i="1"/>
  <c r="A1889" i="1"/>
  <c r="R1888" i="1"/>
  <c r="J1888" i="1"/>
  <c r="I1888" i="1"/>
  <c r="G1888" i="1"/>
  <c r="F1888" i="1"/>
  <c r="E1888" i="1"/>
  <c r="D1888" i="1"/>
  <c r="C1888" i="1"/>
  <c r="B1888" i="1"/>
  <c r="A1888" i="1"/>
  <c r="S1887" i="1"/>
  <c r="O1887" i="1"/>
  <c r="K1887" i="1"/>
  <c r="J1887" i="1"/>
  <c r="I1887" i="1"/>
  <c r="H1887" i="1"/>
  <c r="G1887" i="1"/>
  <c r="F1887" i="1"/>
  <c r="E1887" i="1"/>
  <c r="D1887" i="1"/>
  <c r="C1887" i="1"/>
  <c r="B1887" i="1"/>
  <c r="A1887" i="1"/>
  <c r="R1886" i="1"/>
  <c r="J1886" i="1"/>
  <c r="I1886" i="1"/>
  <c r="G1886" i="1"/>
  <c r="F1886" i="1"/>
  <c r="E1886" i="1"/>
  <c r="D1886" i="1"/>
  <c r="C1886" i="1"/>
  <c r="B1886" i="1"/>
  <c r="A1886" i="1"/>
  <c r="S1885" i="1"/>
  <c r="O1885" i="1"/>
  <c r="K1885" i="1"/>
  <c r="J1885" i="1"/>
  <c r="I1885" i="1"/>
  <c r="H1885" i="1"/>
  <c r="G1885" i="1"/>
  <c r="F1885" i="1"/>
  <c r="E1885" i="1"/>
  <c r="D1885" i="1"/>
  <c r="C1885" i="1"/>
  <c r="B1885" i="1"/>
  <c r="A1885" i="1"/>
  <c r="R1884" i="1"/>
  <c r="J1884" i="1"/>
  <c r="I1884" i="1"/>
  <c r="G1884" i="1"/>
  <c r="F1884" i="1"/>
  <c r="E1884" i="1"/>
  <c r="D1884" i="1"/>
  <c r="C1884" i="1"/>
  <c r="B1884" i="1"/>
  <c r="A1884" i="1"/>
  <c r="R1883" i="1"/>
  <c r="J1883" i="1"/>
  <c r="I1883" i="1"/>
  <c r="G1883" i="1"/>
  <c r="F1883" i="1"/>
  <c r="E1883" i="1"/>
  <c r="D1883" i="1"/>
  <c r="C1883" i="1"/>
  <c r="B1883" i="1"/>
  <c r="A1883" i="1"/>
  <c r="R1882" i="1"/>
  <c r="J1882" i="1"/>
  <c r="I1882" i="1"/>
  <c r="G1882" i="1"/>
  <c r="F1882" i="1"/>
  <c r="E1882" i="1"/>
  <c r="D1882" i="1"/>
  <c r="C1882" i="1"/>
  <c r="B1882" i="1"/>
  <c r="A1882" i="1"/>
  <c r="R1881" i="1"/>
  <c r="J1881" i="1"/>
  <c r="I1881" i="1"/>
  <c r="G1881" i="1"/>
  <c r="F1881" i="1"/>
  <c r="E1881" i="1"/>
  <c r="D1881" i="1"/>
  <c r="C1881" i="1"/>
  <c r="B1881" i="1"/>
  <c r="A1881" i="1"/>
  <c r="S1880" i="1"/>
  <c r="O1880" i="1"/>
  <c r="K1880" i="1"/>
  <c r="J1880" i="1"/>
  <c r="I1880" i="1"/>
  <c r="H1880" i="1"/>
  <c r="G1880" i="1"/>
  <c r="F1880" i="1"/>
  <c r="E1880" i="1"/>
  <c r="D1880" i="1"/>
  <c r="C1880" i="1"/>
  <c r="B1880" i="1"/>
  <c r="A1880" i="1"/>
  <c r="R1879" i="1"/>
  <c r="J1879" i="1"/>
  <c r="I1879" i="1"/>
  <c r="G1879" i="1"/>
  <c r="F1879" i="1"/>
  <c r="E1879" i="1"/>
  <c r="D1879" i="1"/>
  <c r="C1879" i="1"/>
  <c r="B1879" i="1"/>
  <c r="A1879" i="1"/>
  <c r="S1878" i="1"/>
  <c r="O1878" i="1"/>
  <c r="K1878" i="1"/>
  <c r="J1878" i="1"/>
  <c r="I1878" i="1"/>
  <c r="H1878" i="1"/>
  <c r="G1878" i="1"/>
  <c r="F1878" i="1"/>
  <c r="E1878" i="1"/>
  <c r="D1878" i="1"/>
  <c r="C1878" i="1"/>
  <c r="B1878" i="1"/>
  <c r="A1878" i="1"/>
  <c r="R1877" i="1"/>
  <c r="J1877" i="1"/>
  <c r="I1877" i="1"/>
  <c r="G1877" i="1"/>
  <c r="F1877" i="1"/>
  <c r="E1877" i="1"/>
  <c r="D1877" i="1"/>
  <c r="C1877" i="1"/>
  <c r="B1877" i="1"/>
  <c r="A1877" i="1"/>
  <c r="S1876" i="1"/>
  <c r="O1876" i="1"/>
  <c r="K1876" i="1"/>
  <c r="J1876" i="1"/>
  <c r="I1876" i="1"/>
  <c r="H1876" i="1"/>
  <c r="G1876" i="1"/>
  <c r="F1876" i="1"/>
  <c r="E1876" i="1"/>
  <c r="D1876" i="1"/>
  <c r="C1876" i="1"/>
  <c r="B1876" i="1"/>
  <c r="A1876" i="1"/>
  <c r="R1875" i="1"/>
  <c r="J1875" i="1"/>
  <c r="I1875" i="1"/>
  <c r="G1875" i="1"/>
  <c r="F1875" i="1"/>
  <c r="E1875" i="1"/>
  <c r="D1875" i="1"/>
  <c r="C1875" i="1"/>
  <c r="B1875" i="1"/>
  <c r="A1875" i="1"/>
  <c r="S1874" i="1"/>
  <c r="O1874" i="1"/>
  <c r="K1874" i="1"/>
  <c r="J1874" i="1"/>
  <c r="I1874" i="1"/>
  <c r="H1874" i="1"/>
  <c r="G1874" i="1"/>
  <c r="F1874" i="1"/>
  <c r="E1874" i="1"/>
  <c r="D1874" i="1"/>
  <c r="C1874" i="1"/>
  <c r="B1874" i="1"/>
  <c r="A1874" i="1"/>
  <c r="R1873" i="1"/>
  <c r="J1873" i="1"/>
  <c r="I1873" i="1"/>
  <c r="G1873" i="1"/>
  <c r="F1873" i="1"/>
  <c r="E1873" i="1"/>
  <c r="D1873" i="1"/>
  <c r="C1873" i="1"/>
  <c r="B1873" i="1"/>
  <c r="A1873" i="1"/>
  <c r="R1872" i="1"/>
  <c r="J1872" i="1"/>
  <c r="I1872" i="1"/>
  <c r="G1872" i="1"/>
  <c r="F1872" i="1"/>
  <c r="E1872" i="1"/>
  <c r="D1872" i="1"/>
  <c r="C1872" i="1"/>
  <c r="B1872" i="1"/>
  <c r="A1872" i="1"/>
  <c r="R1871" i="1"/>
  <c r="J1871" i="1"/>
  <c r="I1871" i="1"/>
  <c r="G1871" i="1"/>
  <c r="F1871" i="1"/>
  <c r="E1871" i="1"/>
  <c r="D1871" i="1"/>
  <c r="C1871" i="1"/>
  <c r="B1871" i="1"/>
  <c r="A1871" i="1"/>
  <c r="R1870" i="1"/>
  <c r="J1870" i="1"/>
  <c r="I1870" i="1"/>
  <c r="G1870" i="1"/>
  <c r="F1870" i="1"/>
  <c r="E1870" i="1"/>
  <c r="D1870" i="1"/>
  <c r="C1870" i="1"/>
  <c r="B1870" i="1"/>
  <c r="A1870" i="1"/>
  <c r="S1869" i="1"/>
  <c r="O1869" i="1"/>
  <c r="K1869" i="1"/>
  <c r="J1869" i="1"/>
  <c r="I1869" i="1"/>
  <c r="H1869" i="1"/>
  <c r="G1869" i="1"/>
  <c r="F1869" i="1"/>
  <c r="E1869" i="1"/>
  <c r="D1869" i="1"/>
  <c r="C1869" i="1"/>
  <c r="B1869" i="1"/>
  <c r="A1869" i="1"/>
  <c r="R1868" i="1"/>
  <c r="J1868" i="1"/>
  <c r="I1868" i="1"/>
  <c r="G1868" i="1"/>
  <c r="F1868" i="1"/>
  <c r="E1868" i="1"/>
  <c r="D1868" i="1"/>
  <c r="C1868" i="1"/>
  <c r="B1868" i="1"/>
  <c r="A1868" i="1"/>
  <c r="S1867" i="1"/>
  <c r="O1867" i="1"/>
  <c r="K1867" i="1"/>
  <c r="J1867" i="1"/>
  <c r="I1867" i="1"/>
  <c r="H1867" i="1"/>
  <c r="G1867" i="1"/>
  <c r="F1867" i="1"/>
  <c r="E1867" i="1"/>
  <c r="D1867" i="1"/>
  <c r="C1867" i="1"/>
  <c r="B1867" i="1"/>
  <c r="A1867" i="1"/>
  <c r="R1866" i="1"/>
  <c r="J1866" i="1"/>
  <c r="I1866" i="1"/>
  <c r="G1866" i="1"/>
  <c r="F1866" i="1"/>
  <c r="E1866" i="1"/>
  <c r="D1866" i="1"/>
  <c r="C1866" i="1"/>
  <c r="B1866" i="1"/>
  <c r="A1866" i="1"/>
  <c r="S1865" i="1"/>
  <c r="O1865" i="1"/>
  <c r="K1865" i="1"/>
  <c r="J1865" i="1"/>
  <c r="I1865" i="1"/>
  <c r="H1865" i="1"/>
  <c r="G1865" i="1"/>
  <c r="F1865" i="1"/>
  <c r="E1865" i="1"/>
  <c r="D1865" i="1"/>
  <c r="C1865" i="1"/>
  <c r="B1865" i="1"/>
  <c r="A1865" i="1"/>
  <c r="R1864" i="1"/>
  <c r="J1864" i="1"/>
  <c r="I1864" i="1"/>
  <c r="G1864" i="1"/>
  <c r="F1864" i="1"/>
  <c r="E1864" i="1"/>
  <c r="D1864" i="1"/>
  <c r="C1864" i="1"/>
  <c r="B1864" i="1"/>
  <c r="A1864" i="1"/>
  <c r="R1863" i="1"/>
  <c r="J1863" i="1"/>
  <c r="I1863" i="1"/>
  <c r="G1863" i="1"/>
  <c r="F1863" i="1"/>
  <c r="E1863" i="1"/>
  <c r="D1863" i="1"/>
  <c r="C1863" i="1"/>
  <c r="B1863" i="1"/>
  <c r="A1863" i="1"/>
  <c r="S1862" i="1"/>
  <c r="O1862" i="1"/>
  <c r="K1862" i="1"/>
  <c r="J1862" i="1"/>
  <c r="I1862" i="1"/>
  <c r="H1862" i="1"/>
  <c r="G1862" i="1"/>
  <c r="F1862" i="1"/>
  <c r="E1862" i="1"/>
  <c r="D1862" i="1"/>
  <c r="C1862" i="1"/>
  <c r="B1862" i="1"/>
  <c r="A1862" i="1"/>
  <c r="R1861" i="1"/>
  <c r="J1861" i="1"/>
  <c r="I1861" i="1"/>
  <c r="G1861" i="1"/>
  <c r="F1861" i="1"/>
  <c r="E1861" i="1"/>
  <c r="D1861" i="1"/>
  <c r="C1861" i="1"/>
  <c r="B1861" i="1"/>
  <c r="A1861" i="1"/>
  <c r="S1860" i="1"/>
  <c r="O1860" i="1"/>
  <c r="K1860" i="1"/>
  <c r="J1860" i="1"/>
  <c r="I1860" i="1"/>
  <c r="H1860" i="1"/>
  <c r="G1860" i="1"/>
  <c r="F1860" i="1"/>
  <c r="E1860" i="1"/>
  <c r="D1860" i="1"/>
  <c r="C1860" i="1"/>
  <c r="B1860" i="1"/>
  <c r="A1860" i="1"/>
  <c r="R1859" i="1"/>
  <c r="J1859" i="1"/>
  <c r="I1859" i="1"/>
  <c r="G1859" i="1"/>
  <c r="F1859" i="1"/>
  <c r="E1859" i="1"/>
  <c r="D1859" i="1"/>
  <c r="C1859" i="1"/>
  <c r="B1859" i="1"/>
  <c r="A1859" i="1"/>
  <c r="S1858" i="1"/>
  <c r="O1858" i="1"/>
  <c r="K1858" i="1"/>
  <c r="J1858" i="1"/>
  <c r="I1858" i="1"/>
  <c r="H1858" i="1"/>
  <c r="G1858" i="1"/>
  <c r="F1858" i="1"/>
  <c r="E1858" i="1"/>
  <c r="D1858" i="1"/>
  <c r="C1858" i="1"/>
  <c r="B1858" i="1"/>
  <c r="A1858" i="1"/>
  <c r="R1857" i="1"/>
  <c r="J1857" i="1"/>
  <c r="I1857" i="1"/>
  <c r="G1857" i="1"/>
  <c r="F1857" i="1"/>
  <c r="E1857" i="1"/>
  <c r="D1857" i="1"/>
  <c r="C1857" i="1"/>
  <c r="B1857" i="1"/>
  <c r="A1857" i="1"/>
  <c r="S1856" i="1"/>
  <c r="O1856" i="1"/>
  <c r="K1856" i="1"/>
  <c r="J1856" i="1"/>
  <c r="I1856" i="1"/>
  <c r="H1856" i="1"/>
  <c r="G1856" i="1"/>
  <c r="F1856" i="1"/>
  <c r="E1856" i="1"/>
  <c r="D1856" i="1"/>
  <c r="C1856" i="1"/>
  <c r="B1856" i="1"/>
  <c r="A1856" i="1"/>
  <c r="R1855" i="1"/>
  <c r="J1855" i="1"/>
  <c r="I1855" i="1"/>
  <c r="G1855" i="1"/>
  <c r="F1855" i="1"/>
  <c r="E1855" i="1"/>
  <c r="D1855" i="1"/>
  <c r="C1855" i="1"/>
  <c r="B1855" i="1"/>
  <c r="A1855" i="1"/>
  <c r="S1854" i="1"/>
  <c r="O1854" i="1"/>
  <c r="K1854" i="1"/>
  <c r="J1854" i="1"/>
  <c r="I1854" i="1"/>
  <c r="H1854" i="1"/>
  <c r="G1854" i="1"/>
  <c r="F1854" i="1"/>
  <c r="E1854" i="1"/>
  <c r="D1854" i="1"/>
  <c r="C1854" i="1"/>
  <c r="B1854" i="1"/>
  <c r="A1854" i="1"/>
  <c r="R1853" i="1"/>
  <c r="J1853" i="1"/>
  <c r="I1853" i="1"/>
  <c r="G1853" i="1"/>
  <c r="F1853" i="1"/>
  <c r="E1853" i="1"/>
  <c r="D1853" i="1"/>
  <c r="C1853" i="1"/>
  <c r="B1853" i="1"/>
  <c r="A1853" i="1"/>
  <c r="S1852" i="1"/>
  <c r="O1852" i="1"/>
  <c r="K1852" i="1"/>
  <c r="J1852" i="1"/>
  <c r="I1852" i="1"/>
  <c r="H1852" i="1"/>
  <c r="G1852" i="1"/>
  <c r="F1852" i="1"/>
  <c r="E1852" i="1"/>
  <c r="D1852" i="1"/>
  <c r="C1852" i="1"/>
  <c r="B1852" i="1"/>
  <c r="A1852" i="1"/>
  <c r="R1851" i="1"/>
  <c r="J1851" i="1"/>
  <c r="I1851" i="1"/>
  <c r="G1851" i="1"/>
  <c r="F1851" i="1"/>
  <c r="E1851" i="1"/>
  <c r="D1851" i="1"/>
  <c r="C1851" i="1"/>
  <c r="B1851" i="1"/>
  <c r="A1851" i="1"/>
  <c r="S1850" i="1"/>
  <c r="O1850" i="1"/>
  <c r="K1850" i="1"/>
  <c r="J1850" i="1"/>
  <c r="I1850" i="1"/>
  <c r="H1850" i="1"/>
  <c r="G1850" i="1"/>
  <c r="F1850" i="1"/>
  <c r="E1850" i="1"/>
  <c r="D1850" i="1"/>
  <c r="C1850" i="1"/>
  <c r="B1850" i="1"/>
  <c r="A1850" i="1"/>
  <c r="R1849" i="1"/>
  <c r="J1849" i="1"/>
  <c r="I1849" i="1"/>
  <c r="G1849" i="1"/>
  <c r="F1849" i="1"/>
  <c r="E1849" i="1"/>
  <c r="D1849" i="1"/>
  <c r="C1849" i="1"/>
  <c r="B1849" i="1"/>
  <c r="A1849" i="1"/>
  <c r="R1848" i="1"/>
  <c r="J1848" i="1"/>
  <c r="I1848" i="1"/>
  <c r="G1848" i="1"/>
  <c r="F1848" i="1"/>
  <c r="E1848" i="1"/>
  <c r="D1848" i="1"/>
  <c r="C1848" i="1"/>
  <c r="B1848" i="1"/>
  <c r="A1848" i="1"/>
  <c r="R1847" i="1"/>
  <c r="J1847" i="1"/>
  <c r="I1847" i="1"/>
  <c r="G1847" i="1"/>
  <c r="F1847" i="1"/>
  <c r="E1847" i="1"/>
  <c r="D1847" i="1"/>
  <c r="C1847" i="1"/>
  <c r="B1847" i="1"/>
  <c r="A1847" i="1"/>
  <c r="S1846" i="1"/>
  <c r="O1846" i="1"/>
  <c r="K1846" i="1"/>
  <c r="J1846" i="1"/>
  <c r="I1846" i="1"/>
  <c r="H1846" i="1"/>
  <c r="G1846" i="1"/>
  <c r="F1846" i="1"/>
  <c r="E1846" i="1"/>
  <c r="D1846" i="1"/>
  <c r="C1846" i="1"/>
  <c r="B1846" i="1"/>
  <c r="A1846" i="1"/>
  <c r="R1845" i="1"/>
  <c r="J1845" i="1"/>
  <c r="I1845" i="1"/>
  <c r="G1845" i="1"/>
  <c r="F1845" i="1"/>
  <c r="E1845" i="1"/>
  <c r="D1845" i="1"/>
  <c r="C1845" i="1"/>
  <c r="B1845" i="1"/>
  <c r="A1845" i="1"/>
  <c r="S1844" i="1"/>
  <c r="O1844" i="1"/>
  <c r="K1844" i="1"/>
  <c r="J1844" i="1"/>
  <c r="I1844" i="1"/>
  <c r="H1844" i="1"/>
  <c r="G1844" i="1"/>
  <c r="F1844" i="1"/>
  <c r="E1844" i="1"/>
  <c r="D1844" i="1"/>
  <c r="C1844" i="1"/>
  <c r="B1844" i="1"/>
  <c r="A1844" i="1"/>
  <c r="R1843" i="1"/>
  <c r="J1843" i="1"/>
  <c r="I1843" i="1"/>
  <c r="G1843" i="1"/>
  <c r="F1843" i="1"/>
  <c r="E1843" i="1"/>
  <c r="D1843" i="1"/>
  <c r="C1843" i="1"/>
  <c r="B1843" i="1"/>
  <c r="A1843" i="1"/>
  <c r="S1842" i="1"/>
  <c r="O1842" i="1"/>
  <c r="K1842" i="1"/>
  <c r="J1842" i="1"/>
  <c r="I1842" i="1"/>
  <c r="H1842" i="1"/>
  <c r="G1842" i="1"/>
  <c r="F1842" i="1"/>
  <c r="E1842" i="1"/>
  <c r="D1842" i="1"/>
  <c r="C1842" i="1"/>
  <c r="B1842" i="1"/>
  <c r="A1842" i="1"/>
  <c r="R1841" i="1"/>
  <c r="J1841" i="1"/>
  <c r="I1841" i="1"/>
  <c r="G1841" i="1"/>
  <c r="F1841" i="1"/>
  <c r="E1841" i="1"/>
  <c r="D1841" i="1"/>
  <c r="C1841" i="1"/>
  <c r="B1841" i="1"/>
  <c r="A1841" i="1"/>
  <c r="S1840" i="1"/>
  <c r="O1840" i="1"/>
  <c r="K1840" i="1"/>
  <c r="J1840" i="1"/>
  <c r="I1840" i="1"/>
  <c r="H1840" i="1"/>
  <c r="G1840" i="1"/>
  <c r="F1840" i="1"/>
  <c r="E1840" i="1"/>
  <c r="D1840" i="1"/>
  <c r="C1840" i="1"/>
  <c r="B1840" i="1"/>
  <c r="A1840" i="1"/>
  <c r="R1839" i="1"/>
  <c r="J1839" i="1"/>
  <c r="I1839" i="1"/>
  <c r="G1839" i="1"/>
  <c r="F1839" i="1"/>
  <c r="E1839" i="1"/>
  <c r="D1839" i="1"/>
  <c r="C1839" i="1"/>
  <c r="B1839" i="1"/>
  <c r="A1839" i="1"/>
  <c r="S1838" i="1"/>
  <c r="O1838" i="1"/>
  <c r="K1838" i="1"/>
  <c r="J1838" i="1"/>
  <c r="I1838" i="1"/>
  <c r="H1838" i="1"/>
  <c r="G1838" i="1"/>
  <c r="F1838" i="1"/>
  <c r="E1838" i="1"/>
  <c r="D1838" i="1"/>
  <c r="C1838" i="1"/>
  <c r="B1838" i="1"/>
  <c r="A1838" i="1"/>
  <c r="R1837" i="1"/>
  <c r="J1837" i="1"/>
  <c r="I1837" i="1"/>
  <c r="G1837" i="1"/>
  <c r="F1837" i="1"/>
  <c r="E1837" i="1"/>
  <c r="D1837" i="1"/>
  <c r="C1837" i="1"/>
  <c r="B1837" i="1"/>
  <c r="A1837" i="1"/>
  <c r="S1836" i="1"/>
  <c r="O1836" i="1"/>
  <c r="K1836" i="1"/>
  <c r="J1836" i="1"/>
  <c r="I1836" i="1"/>
  <c r="H1836" i="1"/>
  <c r="G1836" i="1"/>
  <c r="F1836" i="1"/>
  <c r="E1836" i="1"/>
  <c r="D1836" i="1"/>
  <c r="C1836" i="1"/>
  <c r="B1836" i="1"/>
  <c r="A1836" i="1"/>
  <c r="R1835" i="1"/>
  <c r="J1835" i="1"/>
  <c r="I1835" i="1"/>
  <c r="G1835" i="1"/>
  <c r="F1835" i="1"/>
  <c r="E1835" i="1"/>
  <c r="D1835" i="1"/>
  <c r="C1835" i="1"/>
  <c r="B1835" i="1"/>
  <c r="A1835" i="1"/>
  <c r="S1834" i="1"/>
  <c r="O1834" i="1"/>
  <c r="K1834" i="1"/>
  <c r="J1834" i="1"/>
  <c r="I1834" i="1"/>
  <c r="H1834" i="1"/>
  <c r="G1834" i="1"/>
  <c r="F1834" i="1"/>
  <c r="E1834" i="1"/>
  <c r="D1834" i="1"/>
  <c r="C1834" i="1"/>
  <c r="B1834" i="1"/>
  <c r="A1834" i="1"/>
  <c r="R1833" i="1"/>
  <c r="J1833" i="1"/>
  <c r="I1833" i="1"/>
  <c r="G1833" i="1"/>
  <c r="F1833" i="1"/>
  <c r="E1833" i="1"/>
  <c r="D1833" i="1"/>
  <c r="C1833" i="1"/>
  <c r="B1833" i="1"/>
  <c r="A1833" i="1"/>
  <c r="S1832" i="1"/>
  <c r="O1832" i="1"/>
  <c r="K1832" i="1"/>
  <c r="J1832" i="1"/>
  <c r="I1832" i="1"/>
  <c r="H1832" i="1"/>
  <c r="G1832" i="1"/>
  <c r="F1832" i="1"/>
  <c r="E1832" i="1"/>
  <c r="D1832" i="1"/>
  <c r="C1832" i="1"/>
  <c r="B1832" i="1"/>
  <c r="A1832" i="1"/>
  <c r="R1831" i="1"/>
  <c r="J1831" i="1"/>
  <c r="I1831" i="1"/>
  <c r="G1831" i="1"/>
  <c r="F1831" i="1"/>
  <c r="E1831" i="1"/>
  <c r="D1831" i="1"/>
  <c r="C1831" i="1"/>
  <c r="B1831" i="1"/>
  <c r="A1831" i="1"/>
  <c r="S1830" i="1"/>
  <c r="O1830" i="1"/>
  <c r="K1830" i="1"/>
  <c r="J1830" i="1"/>
  <c r="I1830" i="1"/>
  <c r="H1830" i="1"/>
  <c r="G1830" i="1"/>
  <c r="F1830" i="1"/>
  <c r="E1830" i="1"/>
  <c r="D1830" i="1"/>
  <c r="C1830" i="1"/>
  <c r="B1830" i="1"/>
  <c r="A1830" i="1"/>
  <c r="R1829" i="1"/>
  <c r="J1829" i="1"/>
  <c r="I1829" i="1"/>
  <c r="G1829" i="1"/>
  <c r="F1829" i="1"/>
  <c r="E1829" i="1"/>
  <c r="D1829" i="1"/>
  <c r="C1829" i="1"/>
  <c r="B1829" i="1"/>
  <c r="A1829" i="1"/>
  <c r="R1828" i="1"/>
  <c r="J1828" i="1"/>
  <c r="I1828" i="1"/>
  <c r="G1828" i="1"/>
  <c r="F1828" i="1"/>
  <c r="E1828" i="1"/>
  <c r="D1828" i="1"/>
  <c r="C1828" i="1"/>
  <c r="B1828" i="1"/>
  <c r="A1828" i="1"/>
  <c r="S1827" i="1"/>
  <c r="O1827" i="1"/>
  <c r="K1827" i="1"/>
  <c r="J1827" i="1"/>
  <c r="I1827" i="1"/>
  <c r="H1827" i="1"/>
  <c r="G1827" i="1"/>
  <c r="F1827" i="1"/>
  <c r="E1827" i="1"/>
  <c r="D1827" i="1"/>
  <c r="C1827" i="1"/>
  <c r="B1827" i="1"/>
  <c r="A1827" i="1"/>
  <c r="R1826" i="1"/>
  <c r="J1826" i="1"/>
  <c r="I1826" i="1"/>
  <c r="G1826" i="1"/>
  <c r="F1826" i="1"/>
  <c r="E1826" i="1"/>
  <c r="D1826" i="1"/>
  <c r="C1826" i="1"/>
  <c r="B1826" i="1"/>
  <c r="A1826" i="1"/>
  <c r="S1825" i="1"/>
  <c r="O1825" i="1"/>
  <c r="K1825" i="1"/>
  <c r="J1825" i="1"/>
  <c r="I1825" i="1"/>
  <c r="H1825" i="1"/>
  <c r="G1825" i="1"/>
  <c r="F1825" i="1"/>
  <c r="E1825" i="1"/>
  <c r="D1825" i="1"/>
  <c r="C1825" i="1"/>
  <c r="B1825" i="1"/>
  <c r="A1825" i="1"/>
  <c r="R1824" i="1"/>
  <c r="J1824" i="1"/>
  <c r="I1824" i="1"/>
  <c r="G1824" i="1"/>
  <c r="F1824" i="1"/>
  <c r="E1824" i="1"/>
  <c r="D1824" i="1"/>
  <c r="C1824" i="1"/>
  <c r="B1824" i="1"/>
  <c r="A1824" i="1"/>
  <c r="S1823" i="1"/>
  <c r="O1823" i="1"/>
  <c r="K1823" i="1"/>
  <c r="J1823" i="1"/>
  <c r="I1823" i="1"/>
  <c r="H1823" i="1"/>
  <c r="G1823" i="1"/>
  <c r="F1823" i="1"/>
  <c r="E1823" i="1"/>
  <c r="D1823" i="1"/>
  <c r="C1823" i="1"/>
  <c r="B1823" i="1"/>
  <c r="A1823" i="1"/>
  <c r="R1822" i="1"/>
  <c r="J1822" i="1"/>
  <c r="I1822" i="1"/>
  <c r="G1822" i="1"/>
  <c r="F1822" i="1"/>
  <c r="E1822" i="1"/>
  <c r="D1822" i="1"/>
  <c r="C1822" i="1"/>
  <c r="B1822" i="1"/>
  <c r="A1822" i="1"/>
  <c r="R1821" i="1"/>
  <c r="J1821" i="1"/>
  <c r="I1821" i="1"/>
  <c r="G1821" i="1"/>
  <c r="F1821" i="1"/>
  <c r="E1821" i="1"/>
  <c r="D1821" i="1"/>
  <c r="C1821" i="1"/>
  <c r="B1821" i="1"/>
  <c r="A1821" i="1"/>
  <c r="S1820" i="1"/>
  <c r="O1820" i="1"/>
  <c r="K1820" i="1"/>
  <c r="J1820" i="1"/>
  <c r="I1820" i="1"/>
  <c r="H1820" i="1"/>
  <c r="G1820" i="1"/>
  <c r="F1820" i="1"/>
  <c r="E1820" i="1"/>
  <c r="D1820" i="1"/>
  <c r="C1820" i="1"/>
  <c r="B1820" i="1"/>
  <c r="A1820" i="1"/>
  <c r="R1819" i="1"/>
  <c r="J1819" i="1"/>
  <c r="I1819" i="1"/>
  <c r="G1819" i="1"/>
  <c r="F1819" i="1"/>
  <c r="E1819" i="1"/>
  <c r="D1819" i="1"/>
  <c r="C1819" i="1"/>
  <c r="B1819" i="1"/>
  <c r="A1819" i="1"/>
  <c r="S1818" i="1"/>
  <c r="O1818" i="1"/>
  <c r="K1818" i="1"/>
  <c r="J1818" i="1"/>
  <c r="I1818" i="1"/>
  <c r="H1818" i="1"/>
  <c r="G1818" i="1"/>
  <c r="F1818" i="1"/>
  <c r="E1818" i="1"/>
  <c r="D1818" i="1"/>
  <c r="C1818" i="1"/>
  <c r="B1818" i="1"/>
  <c r="A1818" i="1"/>
  <c r="R1817" i="1"/>
  <c r="J1817" i="1"/>
  <c r="I1817" i="1"/>
  <c r="G1817" i="1"/>
  <c r="F1817" i="1"/>
  <c r="E1817" i="1"/>
  <c r="D1817" i="1"/>
  <c r="C1817" i="1"/>
  <c r="B1817" i="1"/>
  <c r="A1817" i="1"/>
  <c r="S1816" i="1"/>
  <c r="O1816" i="1"/>
  <c r="K1816" i="1"/>
  <c r="J1816" i="1"/>
  <c r="I1816" i="1"/>
  <c r="H1816" i="1"/>
  <c r="G1816" i="1"/>
  <c r="F1816" i="1"/>
  <c r="E1816" i="1"/>
  <c r="D1816" i="1"/>
  <c r="C1816" i="1"/>
  <c r="B1816" i="1"/>
  <c r="A1816" i="1"/>
  <c r="R1815" i="1"/>
  <c r="J1815" i="1"/>
  <c r="I1815" i="1"/>
  <c r="G1815" i="1"/>
  <c r="F1815" i="1"/>
  <c r="E1815" i="1"/>
  <c r="D1815" i="1"/>
  <c r="C1815" i="1"/>
  <c r="B1815" i="1"/>
  <c r="A1815" i="1"/>
  <c r="S1814" i="1"/>
  <c r="O1814" i="1"/>
  <c r="K1814" i="1"/>
  <c r="J1814" i="1"/>
  <c r="I1814" i="1"/>
  <c r="H1814" i="1"/>
  <c r="G1814" i="1"/>
  <c r="F1814" i="1"/>
  <c r="E1814" i="1"/>
  <c r="D1814" i="1"/>
  <c r="C1814" i="1"/>
  <c r="B1814" i="1"/>
  <c r="A1814" i="1"/>
  <c r="R1813" i="1"/>
  <c r="J1813" i="1"/>
  <c r="I1813" i="1"/>
  <c r="G1813" i="1"/>
  <c r="F1813" i="1"/>
  <c r="E1813" i="1"/>
  <c r="D1813" i="1"/>
  <c r="C1813" i="1"/>
  <c r="B1813" i="1"/>
  <c r="A1813" i="1"/>
  <c r="R1812" i="1"/>
  <c r="J1812" i="1"/>
  <c r="I1812" i="1"/>
  <c r="G1812" i="1"/>
  <c r="F1812" i="1"/>
  <c r="E1812" i="1"/>
  <c r="D1812" i="1"/>
  <c r="C1812" i="1"/>
  <c r="B1812" i="1"/>
  <c r="A1812" i="1"/>
  <c r="S1811" i="1"/>
  <c r="O1811" i="1"/>
  <c r="K1811" i="1"/>
  <c r="J1811" i="1"/>
  <c r="I1811" i="1"/>
  <c r="H1811" i="1"/>
  <c r="G1811" i="1"/>
  <c r="F1811" i="1"/>
  <c r="E1811" i="1"/>
  <c r="D1811" i="1"/>
  <c r="C1811" i="1"/>
  <c r="B1811" i="1"/>
  <c r="A1811" i="1"/>
  <c r="R1810" i="1"/>
  <c r="J1810" i="1"/>
  <c r="I1810" i="1"/>
  <c r="G1810" i="1"/>
  <c r="F1810" i="1"/>
  <c r="E1810" i="1"/>
  <c r="D1810" i="1"/>
  <c r="C1810" i="1"/>
  <c r="B1810" i="1"/>
  <c r="A1810" i="1"/>
  <c r="S1809" i="1"/>
  <c r="O1809" i="1"/>
  <c r="K1809" i="1"/>
  <c r="J1809" i="1"/>
  <c r="I1809" i="1"/>
  <c r="H1809" i="1"/>
  <c r="G1809" i="1"/>
  <c r="F1809" i="1"/>
  <c r="E1809" i="1"/>
  <c r="D1809" i="1"/>
  <c r="C1809" i="1"/>
  <c r="B1809" i="1"/>
  <c r="A1809" i="1"/>
  <c r="R1808" i="1"/>
  <c r="J1808" i="1"/>
  <c r="I1808" i="1"/>
  <c r="G1808" i="1"/>
  <c r="F1808" i="1"/>
  <c r="E1808" i="1"/>
  <c r="D1808" i="1"/>
  <c r="C1808" i="1"/>
  <c r="B1808" i="1"/>
  <c r="A1808" i="1"/>
  <c r="S1807" i="1"/>
  <c r="O1807" i="1"/>
  <c r="K1807" i="1"/>
  <c r="J1807" i="1"/>
  <c r="I1807" i="1"/>
  <c r="H1807" i="1"/>
  <c r="G1807" i="1"/>
  <c r="F1807" i="1"/>
  <c r="E1807" i="1"/>
  <c r="D1807" i="1"/>
  <c r="C1807" i="1"/>
  <c r="B1807" i="1"/>
  <c r="A1807" i="1"/>
  <c r="R1806" i="1"/>
  <c r="J1806" i="1"/>
  <c r="I1806" i="1"/>
  <c r="G1806" i="1"/>
  <c r="F1806" i="1"/>
  <c r="E1806" i="1"/>
  <c r="D1806" i="1"/>
  <c r="C1806" i="1"/>
  <c r="B1806" i="1"/>
  <c r="A1806" i="1"/>
  <c r="S1805" i="1"/>
  <c r="O1805" i="1"/>
  <c r="K1805" i="1"/>
  <c r="J1805" i="1"/>
  <c r="I1805" i="1"/>
  <c r="H1805" i="1"/>
  <c r="G1805" i="1"/>
  <c r="F1805" i="1"/>
  <c r="E1805" i="1"/>
  <c r="D1805" i="1"/>
  <c r="C1805" i="1"/>
  <c r="B1805" i="1"/>
  <c r="A1805" i="1"/>
  <c r="R1804" i="1"/>
  <c r="J1804" i="1"/>
  <c r="I1804" i="1"/>
  <c r="G1804" i="1"/>
  <c r="F1804" i="1"/>
  <c r="E1804" i="1"/>
  <c r="D1804" i="1"/>
  <c r="C1804" i="1"/>
  <c r="B1804" i="1"/>
  <c r="A1804" i="1"/>
  <c r="S1803" i="1"/>
  <c r="O1803" i="1"/>
  <c r="K1803" i="1"/>
  <c r="J1803" i="1"/>
  <c r="I1803" i="1"/>
  <c r="H1803" i="1"/>
  <c r="G1803" i="1"/>
  <c r="F1803" i="1"/>
  <c r="E1803" i="1"/>
  <c r="D1803" i="1"/>
  <c r="C1803" i="1"/>
  <c r="B1803" i="1"/>
  <c r="A1803" i="1"/>
  <c r="R1802" i="1"/>
  <c r="J1802" i="1"/>
  <c r="I1802" i="1"/>
  <c r="G1802" i="1"/>
  <c r="F1802" i="1"/>
  <c r="E1802" i="1"/>
  <c r="D1802" i="1"/>
  <c r="C1802" i="1"/>
  <c r="B1802" i="1"/>
  <c r="A1802" i="1"/>
  <c r="S1801" i="1"/>
  <c r="O1801" i="1"/>
  <c r="K1801" i="1"/>
  <c r="J1801" i="1"/>
  <c r="I1801" i="1"/>
  <c r="H1801" i="1"/>
  <c r="G1801" i="1"/>
  <c r="F1801" i="1"/>
  <c r="E1801" i="1"/>
  <c r="D1801" i="1"/>
  <c r="C1801" i="1"/>
  <c r="B1801" i="1"/>
  <c r="A1801" i="1"/>
  <c r="R1800" i="1"/>
  <c r="J1800" i="1"/>
  <c r="I1800" i="1"/>
  <c r="G1800" i="1"/>
  <c r="F1800" i="1"/>
  <c r="E1800" i="1"/>
  <c r="D1800" i="1"/>
  <c r="C1800" i="1"/>
  <c r="B1800" i="1"/>
  <c r="A1800" i="1"/>
  <c r="S1799" i="1"/>
  <c r="O1799" i="1"/>
  <c r="K1799" i="1"/>
  <c r="J1799" i="1"/>
  <c r="I1799" i="1"/>
  <c r="H1799" i="1"/>
  <c r="G1799" i="1"/>
  <c r="F1799" i="1"/>
  <c r="E1799" i="1"/>
  <c r="D1799" i="1"/>
  <c r="C1799" i="1"/>
  <c r="B1799" i="1"/>
  <c r="A1799" i="1"/>
  <c r="R1798" i="1"/>
  <c r="J1798" i="1"/>
  <c r="I1798" i="1"/>
  <c r="G1798" i="1"/>
  <c r="F1798" i="1"/>
  <c r="E1798" i="1"/>
  <c r="D1798" i="1"/>
  <c r="C1798" i="1"/>
  <c r="B1798" i="1"/>
  <c r="A1798" i="1"/>
  <c r="S1797" i="1"/>
  <c r="O1797" i="1"/>
  <c r="K1797" i="1"/>
  <c r="J1797" i="1"/>
  <c r="I1797" i="1"/>
  <c r="H1797" i="1"/>
  <c r="G1797" i="1"/>
  <c r="F1797" i="1"/>
  <c r="E1797" i="1"/>
  <c r="D1797" i="1"/>
  <c r="C1797" i="1"/>
  <c r="B1797" i="1"/>
  <c r="A1797" i="1"/>
  <c r="R1796" i="1"/>
  <c r="J1796" i="1"/>
  <c r="I1796" i="1"/>
  <c r="G1796" i="1"/>
  <c r="F1796" i="1"/>
  <c r="E1796" i="1"/>
  <c r="D1796" i="1"/>
  <c r="C1796" i="1"/>
  <c r="B1796" i="1"/>
  <c r="A1796" i="1"/>
  <c r="S1795" i="1"/>
  <c r="O1795" i="1"/>
  <c r="K1795" i="1"/>
  <c r="J1795" i="1"/>
  <c r="I1795" i="1"/>
  <c r="H1795" i="1"/>
  <c r="G1795" i="1"/>
  <c r="F1795" i="1"/>
  <c r="E1795" i="1"/>
  <c r="D1795" i="1"/>
  <c r="C1795" i="1"/>
  <c r="B1795" i="1"/>
  <c r="A1795" i="1"/>
  <c r="R1794" i="1"/>
  <c r="J1794" i="1"/>
  <c r="I1794" i="1"/>
  <c r="G1794" i="1"/>
  <c r="F1794" i="1"/>
  <c r="E1794" i="1"/>
  <c r="D1794" i="1"/>
  <c r="C1794" i="1"/>
  <c r="B1794" i="1"/>
  <c r="A1794" i="1"/>
  <c r="S1793" i="1"/>
  <c r="O1793" i="1"/>
  <c r="K1793" i="1"/>
  <c r="J1793" i="1"/>
  <c r="I1793" i="1"/>
  <c r="H1793" i="1"/>
  <c r="G1793" i="1"/>
  <c r="F1793" i="1"/>
  <c r="E1793" i="1"/>
  <c r="D1793" i="1"/>
  <c r="C1793" i="1"/>
  <c r="B1793" i="1"/>
  <c r="A1793" i="1"/>
  <c r="R1792" i="1"/>
  <c r="J1792" i="1"/>
  <c r="I1792" i="1"/>
  <c r="G1792" i="1"/>
  <c r="F1792" i="1"/>
  <c r="E1792" i="1"/>
  <c r="D1792" i="1"/>
  <c r="C1792" i="1"/>
  <c r="B1792" i="1"/>
  <c r="A1792" i="1"/>
  <c r="S1791" i="1"/>
  <c r="O1791" i="1"/>
  <c r="K1791" i="1"/>
  <c r="J1791" i="1"/>
  <c r="I1791" i="1"/>
  <c r="H1791" i="1"/>
  <c r="G1791" i="1"/>
  <c r="F1791" i="1"/>
  <c r="E1791" i="1"/>
  <c r="D1791" i="1"/>
  <c r="C1791" i="1"/>
  <c r="B1791" i="1"/>
  <c r="A1791" i="1"/>
  <c r="R1790" i="1"/>
  <c r="J1790" i="1"/>
  <c r="I1790" i="1"/>
  <c r="G1790" i="1"/>
  <c r="F1790" i="1"/>
  <c r="E1790" i="1"/>
  <c r="D1790" i="1"/>
  <c r="C1790" i="1"/>
  <c r="B1790" i="1"/>
  <c r="A1790" i="1"/>
  <c r="S1789" i="1"/>
  <c r="O1789" i="1"/>
  <c r="K1789" i="1"/>
  <c r="J1789" i="1"/>
  <c r="I1789" i="1"/>
  <c r="H1789" i="1"/>
  <c r="G1789" i="1"/>
  <c r="F1789" i="1"/>
  <c r="E1789" i="1"/>
  <c r="D1789" i="1"/>
  <c r="C1789" i="1"/>
  <c r="B1789" i="1"/>
  <c r="A1789" i="1"/>
  <c r="R1788" i="1"/>
  <c r="J1788" i="1"/>
  <c r="I1788" i="1"/>
  <c r="G1788" i="1"/>
  <c r="F1788" i="1"/>
  <c r="E1788" i="1"/>
  <c r="D1788" i="1"/>
  <c r="C1788" i="1"/>
  <c r="B1788" i="1"/>
  <c r="A1788" i="1"/>
  <c r="S1787" i="1"/>
  <c r="O1787" i="1"/>
  <c r="K1787" i="1"/>
  <c r="J1787" i="1"/>
  <c r="I1787" i="1"/>
  <c r="H1787" i="1"/>
  <c r="G1787" i="1"/>
  <c r="F1787" i="1"/>
  <c r="E1787" i="1"/>
  <c r="D1787" i="1"/>
  <c r="C1787" i="1"/>
  <c r="B1787" i="1"/>
  <c r="A1787" i="1"/>
  <c r="R1786" i="1"/>
  <c r="J1786" i="1"/>
  <c r="I1786" i="1"/>
  <c r="G1786" i="1"/>
  <c r="F1786" i="1"/>
  <c r="E1786" i="1"/>
  <c r="D1786" i="1"/>
  <c r="C1786" i="1"/>
  <c r="B1786" i="1"/>
  <c r="A1786" i="1"/>
  <c r="R1785" i="1"/>
  <c r="J1785" i="1"/>
  <c r="I1785" i="1"/>
  <c r="G1785" i="1"/>
  <c r="F1785" i="1"/>
  <c r="E1785" i="1"/>
  <c r="D1785" i="1"/>
  <c r="C1785" i="1"/>
  <c r="B1785" i="1"/>
  <c r="A1785" i="1"/>
  <c r="S1784" i="1"/>
  <c r="O1784" i="1"/>
  <c r="K1784" i="1"/>
  <c r="J1784" i="1"/>
  <c r="I1784" i="1"/>
  <c r="H1784" i="1"/>
  <c r="G1784" i="1"/>
  <c r="F1784" i="1"/>
  <c r="E1784" i="1"/>
  <c r="D1784" i="1"/>
  <c r="C1784" i="1"/>
  <c r="B1784" i="1"/>
  <c r="A1784" i="1"/>
  <c r="R1783" i="1"/>
  <c r="J1783" i="1"/>
  <c r="I1783" i="1"/>
  <c r="G1783" i="1"/>
  <c r="F1783" i="1"/>
  <c r="E1783" i="1"/>
  <c r="D1783" i="1"/>
  <c r="C1783" i="1"/>
  <c r="B1783" i="1"/>
  <c r="A1783" i="1"/>
  <c r="S1782" i="1"/>
  <c r="O1782" i="1"/>
  <c r="K1782" i="1"/>
  <c r="J1782" i="1"/>
  <c r="I1782" i="1"/>
  <c r="H1782" i="1"/>
  <c r="G1782" i="1"/>
  <c r="F1782" i="1"/>
  <c r="E1782" i="1"/>
  <c r="D1782" i="1"/>
  <c r="C1782" i="1"/>
  <c r="B1782" i="1"/>
  <c r="A1782" i="1"/>
  <c r="R1781" i="1"/>
  <c r="J1781" i="1"/>
  <c r="I1781" i="1"/>
  <c r="G1781" i="1"/>
  <c r="F1781" i="1"/>
  <c r="E1781" i="1"/>
  <c r="D1781" i="1"/>
  <c r="C1781" i="1"/>
  <c r="B1781" i="1"/>
  <c r="A1781" i="1"/>
  <c r="S1780" i="1"/>
  <c r="O1780" i="1"/>
  <c r="K1780" i="1"/>
  <c r="J1780" i="1"/>
  <c r="I1780" i="1"/>
  <c r="H1780" i="1"/>
  <c r="G1780" i="1"/>
  <c r="F1780" i="1"/>
  <c r="E1780" i="1"/>
  <c r="D1780" i="1"/>
  <c r="C1780" i="1"/>
  <c r="B1780" i="1"/>
  <c r="A1780" i="1"/>
  <c r="R1779" i="1"/>
  <c r="J1779" i="1"/>
  <c r="I1779" i="1"/>
  <c r="G1779" i="1"/>
  <c r="F1779" i="1"/>
  <c r="E1779" i="1"/>
  <c r="D1779" i="1"/>
  <c r="C1779" i="1"/>
  <c r="B1779" i="1"/>
  <c r="A1779" i="1"/>
  <c r="S1778" i="1"/>
  <c r="O1778" i="1"/>
  <c r="K1778" i="1"/>
  <c r="J1778" i="1"/>
  <c r="I1778" i="1"/>
  <c r="H1778" i="1"/>
  <c r="G1778" i="1"/>
  <c r="F1778" i="1"/>
  <c r="E1778" i="1"/>
  <c r="D1778" i="1"/>
  <c r="C1778" i="1"/>
  <c r="B1778" i="1"/>
  <c r="A1778" i="1"/>
  <c r="R1777" i="1"/>
  <c r="J1777" i="1"/>
  <c r="I1777" i="1"/>
  <c r="G1777" i="1"/>
  <c r="F1777" i="1"/>
  <c r="E1777" i="1"/>
  <c r="D1777" i="1"/>
  <c r="C1777" i="1"/>
  <c r="B1777" i="1"/>
  <c r="A1777" i="1"/>
  <c r="S1776" i="1"/>
  <c r="O1776" i="1"/>
  <c r="K1776" i="1"/>
  <c r="J1776" i="1"/>
  <c r="I1776" i="1"/>
  <c r="H1776" i="1"/>
  <c r="G1776" i="1"/>
  <c r="F1776" i="1"/>
  <c r="E1776" i="1"/>
  <c r="D1776" i="1"/>
  <c r="C1776" i="1"/>
  <c r="B1776" i="1"/>
  <c r="A1776" i="1"/>
  <c r="R1775" i="1"/>
  <c r="J1775" i="1"/>
  <c r="I1775" i="1"/>
  <c r="G1775" i="1"/>
  <c r="F1775" i="1"/>
  <c r="E1775" i="1"/>
  <c r="D1775" i="1"/>
  <c r="C1775" i="1"/>
  <c r="B1775" i="1"/>
  <c r="A1775" i="1"/>
  <c r="S1774" i="1"/>
  <c r="O1774" i="1"/>
  <c r="K1774" i="1"/>
  <c r="J1774" i="1"/>
  <c r="I1774" i="1"/>
  <c r="H1774" i="1"/>
  <c r="G1774" i="1"/>
  <c r="F1774" i="1"/>
  <c r="E1774" i="1"/>
  <c r="D1774" i="1"/>
  <c r="C1774" i="1"/>
  <c r="B1774" i="1"/>
  <c r="A1774" i="1"/>
  <c r="R1773" i="1"/>
  <c r="J1773" i="1"/>
  <c r="I1773" i="1"/>
  <c r="G1773" i="1"/>
  <c r="F1773" i="1"/>
  <c r="E1773" i="1"/>
  <c r="D1773" i="1"/>
  <c r="C1773" i="1"/>
  <c r="B1773" i="1"/>
  <c r="A1773" i="1"/>
  <c r="S1772" i="1"/>
  <c r="O1772" i="1"/>
  <c r="K1772" i="1"/>
  <c r="J1772" i="1"/>
  <c r="I1772" i="1"/>
  <c r="H1772" i="1"/>
  <c r="G1772" i="1"/>
  <c r="F1772" i="1"/>
  <c r="E1772" i="1"/>
  <c r="D1772" i="1"/>
  <c r="C1772" i="1"/>
  <c r="B1772" i="1"/>
  <c r="A1772" i="1"/>
  <c r="R1771" i="1"/>
  <c r="J1771" i="1"/>
  <c r="I1771" i="1"/>
  <c r="G1771" i="1"/>
  <c r="F1771" i="1"/>
  <c r="E1771" i="1"/>
  <c r="D1771" i="1"/>
  <c r="C1771" i="1"/>
  <c r="B1771" i="1"/>
  <c r="A1771" i="1"/>
  <c r="S1770" i="1"/>
  <c r="O1770" i="1"/>
  <c r="K1770" i="1"/>
  <c r="J1770" i="1"/>
  <c r="I1770" i="1"/>
  <c r="H1770" i="1"/>
  <c r="G1770" i="1"/>
  <c r="F1770" i="1"/>
  <c r="E1770" i="1"/>
  <c r="D1770" i="1"/>
  <c r="C1770" i="1"/>
  <c r="B1770" i="1"/>
  <c r="A1770" i="1"/>
  <c r="R1769" i="1"/>
  <c r="J1769" i="1"/>
  <c r="I1769" i="1"/>
  <c r="G1769" i="1"/>
  <c r="F1769" i="1"/>
  <c r="E1769" i="1"/>
  <c r="D1769" i="1"/>
  <c r="C1769" i="1"/>
  <c r="B1769" i="1"/>
  <c r="A1769" i="1"/>
  <c r="S1768" i="1"/>
  <c r="O1768" i="1"/>
  <c r="K1768" i="1"/>
  <c r="J1768" i="1"/>
  <c r="I1768" i="1"/>
  <c r="H1768" i="1"/>
  <c r="G1768" i="1"/>
  <c r="F1768" i="1"/>
  <c r="E1768" i="1"/>
  <c r="D1768" i="1"/>
  <c r="C1768" i="1"/>
  <c r="B1768" i="1"/>
  <c r="A1768" i="1"/>
  <c r="R1767" i="1"/>
  <c r="J1767" i="1"/>
  <c r="I1767" i="1"/>
  <c r="G1767" i="1"/>
  <c r="F1767" i="1"/>
  <c r="E1767" i="1"/>
  <c r="D1767" i="1"/>
  <c r="C1767" i="1"/>
  <c r="B1767" i="1"/>
  <c r="A1767" i="1"/>
  <c r="S1766" i="1"/>
  <c r="O1766" i="1"/>
  <c r="K1766" i="1"/>
  <c r="J1766" i="1"/>
  <c r="I1766" i="1"/>
  <c r="H1766" i="1"/>
  <c r="G1766" i="1"/>
  <c r="F1766" i="1"/>
  <c r="E1766" i="1"/>
  <c r="D1766" i="1"/>
  <c r="C1766" i="1"/>
  <c r="B1766" i="1"/>
  <c r="A1766" i="1"/>
  <c r="R1765" i="1"/>
  <c r="J1765" i="1"/>
  <c r="I1765" i="1"/>
  <c r="G1765" i="1"/>
  <c r="F1765" i="1"/>
  <c r="E1765" i="1"/>
  <c r="D1765" i="1"/>
  <c r="C1765" i="1"/>
  <c r="B1765" i="1"/>
  <c r="A1765" i="1"/>
  <c r="S1764" i="1"/>
  <c r="O1764" i="1"/>
  <c r="K1764" i="1"/>
  <c r="J1764" i="1"/>
  <c r="I1764" i="1"/>
  <c r="H1764" i="1"/>
  <c r="G1764" i="1"/>
  <c r="F1764" i="1"/>
  <c r="E1764" i="1"/>
  <c r="D1764" i="1"/>
  <c r="C1764" i="1"/>
  <c r="B1764" i="1"/>
  <c r="A1764" i="1"/>
  <c r="R1763" i="1"/>
  <c r="J1763" i="1"/>
  <c r="I1763" i="1"/>
  <c r="G1763" i="1"/>
  <c r="F1763" i="1"/>
  <c r="E1763" i="1"/>
  <c r="D1763" i="1"/>
  <c r="C1763" i="1"/>
  <c r="B1763" i="1"/>
  <c r="A1763" i="1"/>
  <c r="S1762" i="1"/>
  <c r="O1762" i="1"/>
  <c r="K1762" i="1"/>
  <c r="J1762" i="1"/>
  <c r="I1762" i="1"/>
  <c r="H1762" i="1"/>
  <c r="G1762" i="1"/>
  <c r="F1762" i="1"/>
  <c r="E1762" i="1"/>
  <c r="D1762" i="1"/>
  <c r="C1762" i="1"/>
  <c r="B1762" i="1"/>
  <c r="A1762" i="1"/>
  <c r="R1761" i="1"/>
  <c r="J1761" i="1"/>
  <c r="I1761" i="1"/>
  <c r="G1761" i="1"/>
  <c r="F1761" i="1"/>
  <c r="E1761" i="1"/>
  <c r="D1761" i="1"/>
  <c r="C1761" i="1"/>
  <c r="B1761" i="1"/>
  <c r="A1761" i="1"/>
  <c r="S1760" i="1"/>
  <c r="O1760" i="1"/>
  <c r="K1760" i="1"/>
  <c r="J1760" i="1"/>
  <c r="I1760" i="1"/>
  <c r="H1760" i="1"/>
  <c r="G1760" i="1"/>
  <c r="F1760" i="1"/>
  <c r="E1760" i="1"/>
  <c r="D1760" i="1"/>
  <c r="C1760" i="1"/>
  <c r="B1760" i="1"/>
  <c r="A1760" i="1"/>
  <c r="R1759" i="1"/>
  <c r="J1759" i="1"/>
  <c r="I1759" i="1"/>
  <c r="G1759" i="1"/>
  <c r="F1759" i="1"/>
  <c r="E1759" i="1"/>
  <c r="D1759" i="1"/>
  <c r="C1759" i="1"/>
  <c r="B1759" i="1"/>
  <c r="A1759" i="1"/>
  <c r="S1758" i="1"/>
  <c r="O1758" i="1"/>
  <c r="K1758" i="1"/>
  <c r="J1758" i="1"/>
  <c r="I1758" i="1"/>
  <c r="H1758" i="1"/>
  <c r="G1758" i="1"/>
  <c r="F1758" i="1"/>
  <c r="E1758" i="1"/>
  <c r="D1758" i="1"/>
  <c r="C1758" i="1"/>
  <c r="B1758" i="1"/>
  <c r="A1758" i="1"/>
  <c r="R1757" i="1"/>
  <c r="J1757" i="1"/>
  <c r="I1757" i="1"/>
  <c r="G1757" i="1"/>
  <c r="F1757" i="1"/>
  <c r="E1757" i="1"/>
  <c r="D1757" i="1"/>
  <c r="C1757" i="1"/>
  <c r="B1757" i="1"/>
  <c r="A1757" i="1"/>
  <c r="S1756" i="1"/>
  <c r="O1756" i="1"/>
  <c r="K1756" i="1"/>
  <c r="J1756" i="1"/>
  <c r="I1756" i="1"/>
  <c r="H1756" i="1"/>
  <c r="G1756" i="1"/>
  <c r="F1756" i="1"/>
  <c r="E1756" i="1"/>
  <c r="D1756" i="1"/>
  <c r="C1756" i="1"/>
  <c r="B1756" i="1"/>
  <c r="A1756" i="1"/>
  <c r="R1755" i="1"/>
  <c r="J1755" i="1"/>
  <c r="I1755" i="1"/>
  <c r="G1755" i="1"/>
  <c r="F1755" i="1"/>
  <c r="E1755" i="1"/>
  <c r="D1755" i="1"/>
  <c r="C1755" i="1"/>
  <c r="B1755" i="1"/>
  <c r="A1755" i="1"/>
  <c r="S1754" i="1"/>
  <c r="O1754" i="1"/>
  <c r="K1754" i="1"/>
  <c r="J1754" i="1"/>
  <c r="I1754" i="1"/>
  <c r="H1754" i="1"/>
  <c r="G1754" i="1"/>
  <c r="F1754" i="1"/>
  <c r="E1754" i="1"/>
  <c r="D1754" i="1"/>
  <c r="C1754" i="1"/>
  <c r="B1754" i="1"/>
  <c r="A1754" i="1"/>
  <c r="R1753" i="1"/>
  <c r="J1753" i="1"/>
  <c r="I1753" i="1"/>
  <c r="G1753" i="1"/>
  <c r="F1753" i="1"/>
  <c r="E1753" i="1"/>
  <c r="D1753" i="1"/>
  <c r="C1753" i="1"/>
  <c r="B1753" i="1"/>
  <c r="A1753" i="1"/>
  <c r="S1752" i="1"/>
  <c r="O1752" i="1"/>
  <c r="K1752" i="1"/>
  <c r="J1752" i="1"/>
  <c r="I1752" i="1"/>
  <c r="H1752" i="1"/>
  <c r="G1752" i="1"/>
  <c r="F1752" i="1"/>
  <c r="E1752" i="1"/>
  <c r="D1752" i="1"/>
  <c r="C1752" i="1"/>
  <c r="B1752" i="1"/>
  <c r="A1752" i="1"/>
  <c r="R1751" i="1"/>
  <c r="J1751" i="1"/>
  <c r="I1751" i="1"/>
  <c r="G1751" i="1"/>
  <c r="F1751" i="1"/>
  <c r="E1751" i="1"/>
  <c r="D1751" i="1"/>
  <c r="C1751" i="1"/>
  <c r="B1751" i="1"/>
  <c r="A1751" i="1"/>
  <c r="S1750" i="1"/>
  <c r="O1750" i="1"/>
  <c r="K1750" i="1"/>
  <c r="J1750" i="1"/>
  <c r="I1750" i="1"/>
  <c r="H1750" i="1"/>
  <c r="G1750" i="1"/>
  <c r="F1750" i="1"/>
  <c r="E1750" i="1"/>
  <c r="D1750" i="1"/>
  <c r="C1750" i="1"/>
  <c r="B1750" i="1"/>
  <c r="A1750" i="1"/>
  <c r="R1749" i="1"/>
  <c r="J1749" i="1"/>
  <c r="I1749" i="1"/>
  <c r="G1749" i="1"/>
  <c r="F1749" i="1"/>
  <c r="E1749" i="1"/>
  <c r="D1749" i="1"/>
  <c r="C1749" i="1"/>
  <c r="B1749" i="1"/>
  <c r="A1749" i="1"/>
  <c r="S1748" i="1"/>
  <c r="O1748" i="1"/>
  <c r="K1748" i="1"/>
  <c r="J1748" i="1"/>
  <c r="I1748" i="1"/>
  <c r="H1748" i="1"/>
  <c r="G1748" i="1"/>
  <c r="F1748" i="1"/>
  <c r="E1748" i="1"/>
  <c r="D1748" i="1"/>
  <c r="C1748" i="1"/>
  <c r="B1748" i="1"/>
  <c r="A1748" i="1"/>
  <c r="R1747" i="1"/>
  <c r="J1747" i="1"/>
  <c r="I1747" i="1"/>
  <c r="G1747" i="1"/>
  <c r="F1747" i="1"/>
  <c r="E1747" i="1"/>
  <c r="D1747" i="1"/>
  <c r="C1747" i="1"/>
  <c r="B1747" i="1"/>
  <c r="A1747" i="1"/>
  <c r="S1746" i="1"/>
  <c r="O1746" i="1"/>
  <c r="K1746" i="1"/>
  <c r="J1746" i="1"/>
  <c r="I1746" i="1"/>
  <c r="H1746" i="1"/>
  <c r="G1746" i="1"/>
  <c r="F1746" i="1"/>
  <c r="E1746" i="1"/>
  <c r="D1746" i="1"/>
  <c r="C1746" i="1"/>
  <c r="B1746" i="1"/>
  <c r="A1746" i="1"/>
  <c r="R1745" i="1"/>
  <c r="J1745" i="1"/>
  <c r="I1745" i="1"/>
  <c r="G1745" i="1"/>
  <c r="F1745" i="1"/>
  <c r="E1745" i="1"/>
  <c r="D1745" i="1"/>
  <c r="C1745" i="1"/>
  <c r="B1745" i="1"/>
  <c r="A1745" i="1"/>
  <c r="S1744" i="1"/>
  <c r="O1744" i="1"/>
  <c r="K1744" i="1"/>
  <c r="J1744" i="1"/>
  <c r="I1744" i="1"/>
  <c r="H1744" i="1"/>
  <c r="G1744" i="1"/>
  <c r="F1744" i="1"/>
  <c r="E1744" i="1"/>
  <c r="D1744" i="1"/>
  <c r="C1744" i="1"/>
  <c r="B1744" i="1"/>
  <c r="A1744" i="1"/>
  <c r="R1743" i="1"/>
  <c r="J1743" i="1"/>
  <c r="I1743" i="1"/>
  <c r="G1743" i="1"/>
  <c r="F1743" i="1"/>
  <c r="E1743" i="1"/>
  <c r="D1743" i="1"/>
  <c r="C1743" i="1"/>
  <c r="B1743" i="1"/>
  <c r="A1743" i="1"/>
  <c r="S1742" i="1"/>
  <c r="O1742" i="1"/>
  <c r="K1742" i="1"/>
  <c r="J1742" i="1"/>
  <c r="I1742" i="1"/>
  <c r="H1742" i="1"/>
  <c r="G1742" i="1"/>
  <c r="F1742" i="1"/>
  <c r="E1742" i="1"/>
  <c r="D1742" i="1"/>
  <c r="C1742" i="1"/>
  <c r="B1742" i="1"/>
  <c r="A1742" i="1"/>
  <c r="R1741" i="1"/>
  <c r="J1741" i="1"/>
  <c r="I1741" i="1"/>
  <c r="G1741" i="1"/>
  <c r="F1741" i="1"/>
  <c r="E1741" i="1"/>
  <c r="D1741" i="1"/>
  <c r="C1741" i="1"/>
  <c r="B1741" i="1"/>
  <c r="A1741" i="1"/>
  <c r="S1740" i="1"/>
  <c r="O1740" i="1"/>
  <c r="K1740" i="1"/>
  <c r="J1740" i="1"/>
  <c r="I1740" i="1"/>
  <c r="H1740" i="1"/>
  <c r="G1740" i="1"/>
  <c r="F1740" i="1"/>
  <c r="E1740" i="1"/>
  <c r="D1740" i="1"/>
  <c r="C1740" i="1"/>
  <c r="B1740" i="1"/>
  <c r="A1740" i="1"/>
  <c r="R1739" i="1"/>
  <c r="J1739" i="1"/>
  <c r="I1739" i="1"/>
  <c r="G1739" i="1"/>
  <c r="F1739" i="1"/>
  <c r="E1739" i="1"/>
  <c r="D1739" i="1"/>
  <c r="C1739" i="1"/>
  <c r="B1739" i="1"/>
  <c r="A1739" i="1"/>
  <c r="S1738" i="1"/>
  <c r="O1738" i="1"/>
  <c r="K1738" i="1"/>
  <c r="J1738" i="1"/>
  <c r="I1738" i="1"/>
  <c r="H1738" i="1"/>
  <c r="G1738" i="1"/>
  <c r="F1738" i="1"/>
  <c r="E1738" i="1"/>
  <c r="D1738" i="1"/>
  <c r="C1738" i="1"/>
  <c r="B1738" i="1"/>
  <c r="A1738" i="1"/>
  <c r="R1737" i="1"/>
  <c r="J1737" i="1"/>
  <c r="I1737" i="1"/>
  <c r="G1737" i="1"/>
  <c r="F1737" i="1"/>
  <c r="E1737" i="1"/>
  <c r="D1737" i="1"/>
  <c r="C1737" i="1"/>
  <c r="B1737" i="1"/>
  <c r="A1737" i="1"/>
  <c r="S1736" i="1"/>
  <c r="O1736" i="1"/>
  <c r="K1736" i="1"/>
  <c r="J1736" i="1"/>
  <c r="I1736" i="1"/>
  <c r="H1736" i="1"/>
  <c r="G1736" i="1"/>
  <c r="F1736" i="1"/>
  <c r="E1736" i="1"/>
  <c r="D1736" i="1"/>
  <c r="C1736" i="1"/>
  <c r="B1736" i="1"/>
  <c r="A1736" i="1"/>
  <c r="R1735" i="1"/>
  <c r="J1735" i="1"/>
  <c r="I1735" i="1"/>
  <c r="G1735" i="1"/>
  <c r="F1735" i="1"/>
  <c r="E1735" i="1"/>
  <c r="D1735" i="1"/>
  <c r="C1735" i="1"/>
  <c r="B1735" i="1"/>
  <c r="A1735" i="1"/>
  <c r="S1734" i="1"/>
  <c r="O1734" i="1"/>
  <c r="K1734" i="1"/>
  <c r="J1734" i="1"/>
  <c r="I1734" i="1"/>
  <c r="H1734" i="1"/>
  <c r="G1734" i="1"/>
  <c r="F1734" i="1"/>
  <c r="E1734" i="1"/>
  <c r="D1734" i="1"/>
  <c r="C1734" i="1"/>
  <c r="B1734" i="1"/>
  <c r="A1734" i="1"/>
  <c r="R1733" i="1"/>
  <c r="J1733" i="1"/>
  <c r="I1733" i="1"/>
  <c r="G1733" i="1"/>
  <c r="F1733" i="1"/>
  <c r="E1733" i="1"/>
  <c r="D1733" i="1"/>
  <c r="C1733" i="1"/>
  <c r="B1733" i="1"/>
  <c r="A1733" i="1"/>
  <c r="S1732" i="1"/>
  <c r="O1732" i="1"/>
  <c r="K1732" i="1"/>
  <c r="J1732" i="1"/>
  <c r="I1732" i="1"/>
  <c r="H1732" i="1"/>
  <c r="G1732" i="1"/>
  <c r="F1732" i="1"/>
  <c r="E1732" i="1"/>
  <c r="D1732" i="1"/>
  <c r="C1732" i="1"/>
  <c r="B1732" i="1"/>
  <c r="A1732" i="1"/>
  <c r="R1731" i="1"/>
  <c r="J1731" i="1"/>
  <c r="I1731" i="1"/>
  <c r="G1731" i="1"/>
  <c r="F1731" i="1"/>
  <c r="E1731" i="1"/>
  <c r="D1731" i="1"/>
  <c r="C1731" i="1"/>
  <c r="B1731" i="1"/>
  <c r="A1731" i="1"/>
  <c r="S1730" i="1"/>
  <c r="O1730" i="1"/>
  <c r="K1730" i="1"/>
  <c r="J1730" i="1"/>
  <c r="I1730" i="1"/>
  <c r="H1730" i="1"/>
  <c r="G1730" i="1"/>
  <c r="F1730" i="1"/>
  <c r="E1730" i="1"/>
  <c r="D1730" i="1"/>
  <c r="C1730" i="1"/>
  <c r="B1730" i="1"/>
  <c r="A1730" i="1"/>
  <c r="R1729" i="1"/>
  <c r="J1729" i="1"/>
  <c r="I1729" i="1"/>
  <c r="G1729" i="1"/>
  <c r="F1729" i="1"/>
  <c r="E1729" i="1"/>
  <c r="D1729" i="1"/>
  <c r="C1729" i="1"/>
  <c r="B1729" i="1"/>
  <c r="A1729" i="1"/>
  <c r="S1728" i="1"/>
  <c r="O1728" i="1"/>
  <c r="K1728" i="1"/>
  <c r="J1728" i="1"/>
  <c r="I1728" i="1"/>
  <c r="H1728" i="1"/>
  <c r="G1728" i="1"/>
  <c r="F1728" i="1"/>
  <c r="E1728" i="1"/>
  <c r="D1728" i="1"/>
  <c r="C1728" i="1"/>
  <c r="B1728" i="1"/>
  <c r="A1728" i="1"/>
  <c r="R1727" i="1"/>
  <c r="J1727" i="1"/>
  <c r="I1727" i="1"/>
  <c r="G1727" i="1"/>
  <c r="F1727" i="1"/>
  <c r="E1727" i="1"/>
  <c r="D1727" i="1"/>
  <c r="C1727" i="1"/>
  <c r="B1727" i="1"/>
  <c r="A1727" i="1"/>
  <c r="S1726" i="1"/>
  <c r="O1726" i="1"/>
  <c r="K1726" i="1"/>
  <c r="J1726" i="1"/>
  <c r="I1726" i="1"/>
  <c r="H1726" i="1"/>
  <c r="G1726" i="1"/>
  <c r="F1726" i="1"/>
  <c r="E1726" i="1"/>
  <c r="D1726" i="1"/>
  <c r="C1726" i="1"/>
  <c r="B1726" i="1"/>
  <c r="A1726" i="1"/>
  <c r="R1725" i="1"/>
  <c r="J1725" i="1"/>
  <c r="I1725" i="1"/>
  <c r="G1725" i="1"/>
  <c r="F1725" i="1"/>
  <c r="E1725" i="1"/>
  <c r="D1725" i="1"/>
  <c r="C1725" i="1"/>
  <c r="B1725" i="1"/>
  <c r="A1725" i="1"/>
  <c r="S1724" i="1"/>
  <c r="O1724" i="1"/>
  <c r="K1724" i="1"/>
  <c r="J1724" i="1"/>
  <c r="I1724" i="1"/>
  <c r="H1724" i="1"/>
  <c r="G1724" i="1"/>
  <c r="F1724" i="1"/>
  <c r="E1724" i="1"/>
  <c r="D1724" i="1"/>
  <c r="C1724" i="1"/>
  <c r="B1724" i="1"/>
  <c r="A1724" i="1"/>
  <c r="R1723" i="1"/>
  <c r="J1723" i="1"/>
  <c r="I1723" i="1"/>
  <c r="G1723" i="1"/>
  <c r="F1723" i="1"/>
  <c r="E1723" i="1"/>
  <c r="D1723" i="1"/>
  <c r="C1723" i="1"/>
  <c r="B1723" i="1"/>
  <c r="A1723" i="1"/>
  <c r="S1722" i="1"/>
  <c r="O1722" i="1"/>
  <c r="K1722" i="1"/>
  <c r="J1722" i="1"/>
  <c r="I1722" i="1"/>
  <c r="H1722" i="1"/>
  <c r="G1722" i="1"/>
  <c r="F1722" i="1"/>
  <c r="E1722" i="1"/>
  <c r="D1722" i="1"/>
  <c r="C1722" i="1"/>
  <c r="B1722" i="1"/>
  <c r="A1722" i="1"/>
  <c r="R1721" i="1"/>
  <c r="J1721" i="1"/>
  <c r="I1721" i="1"/>
  <c r="G1721" i="1"/>
  <c r="F1721" i="1"/>
  <c r="E1721" i="1"/>
  <c r="D1721" i="1"/>
  <c r="C1721" i="1"/>
  <c r="B1721" i="1"/>
  <c r="A1721" i="1"/>
  <c r="S1720" i="1"/>
  <c r="O1720" i="1"/>
  <c r="K1720" i="1"/>
  <c r="J1720" i="1"/>
  <c r="I1720" i="1"/>
  <c r="H1720" i="1"/>
  <c r="G1720" i="1"/>
  <c r="F1720" i="1"/>
  <c r="E1720" i="1"/>
  <c r="D1720" i="1"/>
  <c r="C1720" i="1"/>
  <c r="B1720" i="1"/>
  <c r="A1720" i="1"/>
  <c r="R1719" i="1"/>
  <c r="J1719" i="1"/>
  <c r="I1719" i="1"/>
  <c r="G1719" i="1"/>
  <c r="F1719" i="1"/>
  <c r="E1719" i="1"/>
  <c r="D1719" i="1"/>
  <c r="C1719" i="1"/>
  <c r="B1719" i="1"/>
  <c r="A1719" i="1"/>
  <c r="R1718" i="1"/>
  <c r="J1718" i="1"/>
  <c r="I1718" i="1"/>
  <c r="G1718" i="1"/>
  <c r="F1718" i="1"/>
  <c r="E1718" i="1"/>
  <c r="D1718" i="1"/>
  <c r="C1718" i="1"/>
  <c r="B1718" i="1"/>
  <c r="A1718" i="1"/>
  <c r="S1717" i="1"/>
  <c r="O1717" i="1"/>
  <c r="K1717" i="1"/>
  <c r="J1717" i="1"/>
  <c r="I1717" i="1"/>
  <c r="H1717" i="1"/>
  <c r="G1717" i="1"/>
  <c r="F1717" i="1"/>
  <c r="E1717" i="1"/>
  <c r="D1717" i="1"/>
  <c r="C1717" i="1"/>
  <c r="B1717" i="1"/>
  <c r="A1717" i="1"/>
  <c r="R1716" i="1"/>
  <c r="J1716" i="1"/>
  <c r="I1716" i="1"/>
  <c r="G1716" i="1"/>
  <c r="F1716" i="1"/>
  <c r="E1716" i="1"/>
  <c r="D1716" i="1"/>
  <c r="C1716" i="1"/>
  <c r="B1716" i="1"/>
  <c r="A1716" i="1"/>
  <c r="S1715" i="1"/>
  <c r="O1715" i="1"/>
  <c r="K1715" i="1"/>
  <c r="J1715" i="1"/>
  <c r="I1715" i="1"/>
  <c r="H1715" i="1"/>
  <c r="G1715" i="1"/>
  <c r="F1715" i="1"/>
  <c r="E1715" i="1"/>
  <c r="D1715" i="1"/>
  <c r="C1715" i="1"/>
  <c r="B1715" i="1"/>
  <c r="A1715" i="1"/>
  <c r="R1714" i="1"/>
  <c r="J1714" i="1"/>
  <c r="I1714" i="1"/>
  <c r="G1714" i="1"/>
  <c r="F1714" i="1"/>
  <c r="E1714" i="1"/>
  <c r="D1714" i="1"/>
  <c r="C1714" i="1"/>
  <c r="B1714" i="1"/>
  <c r="A1714" i="1"/>
  <c r="S1713" i="1"/>
  <c r="O1713" i="1"/>
  <c r="K1713" i="1"/>
  <c r="J1713" i="1"/>
  <c r="I1713" i="1"/>
  <c r="H1713" i="1"/>
  <c r="G1713" i="1"/>
  <c r="F1713" i="1"/>
  <c r="E1713" i="1"/>
  <c r="D1713" i="1"/>
  <c r="C1713" i="1"/>
  <c r="B1713" i="1"/>
  <c r="A1713" i="1"/>
  <c r="R1712" i="1"/>
  <c r="J1712" i="1"/>
  <c r="I1712" i="1"/>
  <c r="G1712" i="1"/>
  <c r="F1712" i="1"/>
  <c r="E1712" i="1"/>
  <c r="D1712" i="1"/>
  <c r="C1712" i="1"/>
  <c r="B1712" i="1"/>
  <c r="A1712" i="1"/>
  <c r="S1711" i="1"/>
  <c r="O1711" i="1"/>
  <c r="K1711" i="1"/>
  <c r="J1711" i="1"/>
  <c r="I1711" i="1"/>
  <c r="H1711" i="1"/>
  <c r="G1711" i="1"/>
  <c r="F1711" i="1"/>
  <c r="E1711" i="1"/>
  <c r="D1711" i="1"/>
  <c r="C1711" i="1"/>
  <c r="B1711" i="1"/>
  <c r="A1711" i="1"/>
  <c r="R1710" i="1"/>
  <c r="J1710" i="1"/>
  <c r="I1710" i="1"/>
  <c r="G1710" i="1"/>
  <c r="F1710" i="1"/>
  <c r="E1710" i="1"/>
  <c r="D1710" i="1"/>
  <c r="C1710" i="1"/>
  <c r="B1710" i="1"/>
  <c r="A1710" i="1"/>
  <c r="S1709" i="1"/>
  <c r="O1709" i="1"/>
  <c r="K1709" i="1"/>
  <c r="J1709" i="1"/>
  <c r="I1709" i="1"/>
  <c r="H1709" i="1"/>
  <c r="G1709" i="1"/>
  <c r="F1709" i="1"/>
  <c r="E1709" i="1"/>
  <c r="D1709" i="1"/>
  <c r="C1709" i="1"/>
  <c r="B1709" i="1"/>
  <c r="A1709" i="1"/>
  <c r="R1708" i="1"/>
  <c r="J1708" i="1"/>
  <c r="I1708" i="1"/>
  <c r="G1708" i="1"/>
  <c r="F1708" i="1"/>
  <c r="E1708" i="1"/>
  <c r="D1708" i="1"/>
  <c r="C1708" i="1"/>
  <c r="B1708" i="1"/>
  <c r="A1708" i="1"/>
  <c r="R1707" i="1"/>
  <c r="J1707" i="1"/>
  <c r="I1707" i="1"/>
  <c r="G1707" i="1"/>
  <c r="F1707" i="1"/>
  <c r="E1707" i="1"/>
  <c r="D1707" i="1"/>
  <c r="C1707" i="1"/>
  <c r="B1707" i="1"/>
  <c r="A1707" i="1"/>
  <c r="S1706" i="1"/>
  <c r="O1706" i="1"/>
  <c r="K1706" i="1"/>
  <c r="J1706" i="1"/>
  <c r="I1706" i="1"/>
  <c r="H1706" i="1"/>
  <c r="G1706" i="1"/>
  <c r="F1706" i="1"/>
  <c r="E1706" i="1"/>
  <c r="D1706" i="1"/>
  <c r="C1706" i="1"/>
  <c r="B1706" i="1"/>
  <c r="A1706" i="1"/>
  <c r="R1705" i="1"/>
  <c r="J1705" i="1"/>
  <c r="I1705" i="1"/>
  <c r="G1705" i="1"/>
  <c r="F1705" i="1"/>
  <c r="E1705" i="1"/>
  <c r="D1705" i="1"/>
  <c r="C1705" i="1"/>
  <c r="B1705" i="1"/>
  <c r="A1705" i="1"/>
  <c r="R1704" i="1"/>
  <c r="J1704" i="1"/>
  <c r="I1704" i="1"/>
  <c r="G1704" i="1"/>
  <c r="F1704" i="1"/>
  <c r="E1704" i="1"/>
  <c r="D1704" i="1"/>
  <c r="C1704" i="1"/>
  <c r="B1704" i="1"/>
  <c r="A1704" i="1"/>
  <c r="S1703" i="1"/>
  <c r="O1703" i="1"/>
  <c r="K1703" i="1"/>
  <c r="J1703" i="1"/>
  <c r="I1703" i="1"/>
  <c r="H1703" i="1"/>
  <c r="G1703" i="1"/>
  <c r="F1703" i="1"/>
  <c r="E1703" i="1"/>
  <c r="D1703" i="1"/>
  <c r="C1703" i="1"/>
  <c r="B1703" i="1"/>
  <c r="A1703" i="1"/>
  <c r="R1702" i="1"/>
  <c r="J1702" i="1"/>
  <c r="I1702" i="1"/>
  <c r="G1702" i="1"/>
  <c r="F1702" i="1"/>
  <c r="E1702" i="1"/>
  <c r="D1702" i="1"/>
  <c r="C1702" i="1"/>
  <c r="B1702" i="1"/>
  <c r="A1702" i="1"/>
  <c r="S1701" i="1"/>
  <c r="O1701" i="1"/>
  <c r="K1701" i="1"/>
  <c r="J1701" i="1"/>
  <c r="I1701" i="1"/>
  <c r="H1701" i="1"/>
  <c r="G1701" i="1"/>
  <c r="F1701" i="1"/>
  <c r="E1701" i="1"/>
  <c r="D1701" i="1"/>
  <c r="C1701" i="1"/>
  <c r="B1701" i="1"/>
  <c r="A1701" i="1"/>
  <c r="R1700" i="1"/>
  <c r="J1700" i="1"/>
  <c r="I1700" i="1"/>
  <c r="G1700" i="1"/>
  <c r="F1700" i="1"/>
  <c r="E1700" i="1"/>
  <c r="D1700" i="1"/>
  <c r="C1700" i="1"/>
  <c r="B1700" i="1"/>
  <c r="A1700" i="1"/>
  <c r="S1699" i="1"/>
  <c r="O1699" i="1"/>
  <c r="K1699" i="1"/>
  <c r="J1699" i="1"/>
  <c r="I1699" i="1"/>
  <c r="H1699" i="1"/>
  <c r="G1699" i="1"/>
  <c r="F1699" i="1"/>
  <c r="E1699" i="1"/>
  <c r="D1699" i="1"/>
  <c r="C1699" i="1"/>
  <c r="B1699" i="1"/>
  <c r="A1699" i="1"/>
  <c r="R1698" i="1"/>
  <c r="J1698" i="1"/>
  <c r="I1698" i="1"/>
  <c r="G1698" i="1"/>
  <c r="F1698" i="1"/>
  <c r="E1698" i="1"/>
  <c r="D1698" i="1"/>
  <c r="C1698" i="1"/>
  <c r="B1698" i="1"/>
  <c r="A1698" i="1"/>
  <c r="S1697" i="1"/>
  <c r="O1697" i="1"/>
  <c r="K1697" i="1"/>
  <c r="J1697" i="1"/>
  <c r="I1697" i="1"/>
  <c r="H1697" i="1"/>
  <c r="G1697" i="1"/>
  <c r="F1697" i="1"/>
  <c r="E1697" i="1"/>
  <c r="D1697" i="1"/>
  <c r="C1697" i="1"/>
  <c r="B1697" i="1"/>
  <c r="A1697" i="1"/>
  <c r="R1696" i="1"/>
  <c r="J1696" i="1"/>
  <c r="I1696" i="1"/>
  <c r="G1696" i="1"/>
  <c r="F1696" i="1"/>
  <c r="E1696" i="1"/>
  <c r="D1696" i="1"/>
  <c r="C1696" i="1"/>
  <c r="B1696" i="1"/>
  <c r="A1696" i="1"/>
  <c r="R1695" i="1"/>
  <c r="J1695" i="1"/>
  <c r="I1695" i="1"/>
  <c r="G1695" i="1"/>
  <c r="F1695" i="1"/>
  <c r="E1695" i="1"/>
  <c r="D1695" i="1"/>
  <c r="C1695" i="1"/>
  <c r="B1695" i="1"/>
  <c r="A1695" i="1"/>
  <c r="R1694" i="1"/>
  <c r="J1694" i="1"/>
  <c r="I1694" i="1"/>
  <c r="G1694" i="1"/>
  <c r="F1694" i="1"/>
  <c r="E1694" i="1"/>
  <c r="D1694" i="1"/>
  <c r="C1694" i="1"/>
  <c r="B1694" i="1"/>
  <c r="A1694" i="1"/>
  <c r="S1693" i="1"/>
  <c r="O1693" i="1"/>
  <c r="K1693" i="1"/>
  <c r="J1693" i="1"/>
  <c r="I1693" i="1"/>
  <c r="H1693" i="1"/>
  <c r="G1693" i="1"/>
  <c r="F1693" i="1"/>
  <c r="E1693" i="1"/>
  <c r="D1693" i="1"/>
  <c r="C1693" i="1"/>
  <c r="B1693" i="1"/>
  <c r="A1693" i="1"/>
  <c r="R1692" i="1"/>
  <c r="J1692" i="1"/>
  <c r="I1692" i="1"/>
  <c r="G1692" i="1"/>
  <c r="F1692" i="1"/>
  <c r="E1692" i="1"/>
  <c r="D1692" i="1"/>
  <c r="C1692" i="1"/>
  <c r="B1692" i="1"/>
  <c r="A1692" i="1"/>
  <c r="S1691" i="1"/>
  <c r="O1691" i="1"/>
  <c r="K1691" i="1"/>
  <c r="J1691" i="1"/>
  <c r="I1691" i="1"/>
  <c r="H1691" i="1"/>
  <c r="G1691" i="1"/>
  <c r="F1691" i="1"/>
  <c r="E1691" i="1"/>
  <c r="D1691" i="1"/>
  <c r="C1691" i="1"/>
  <c r="B1691" i="1"/>
  <c r="A1691" i="1"/>
  <c r="R1690" i="1"/>
  <c r="J1690" i="1"/>
  <c r="I1690" i="1"/>
  <c r="G1690" i="1"/>
  <c r="F1690" i="1"/>
  <c r="E1690" i="1"/>
  <c r="D1690" i="1"/>
  <c r="C1690" i="1"/>
  <c r="B1690" i="1"/>
  <c r="A1690" i="1"/>
  <c r="S1689" i="1"/>
  <c r="O1689" i="1"/>
  <c r="K1689" i="1"/>
  <c r="J1689" i="1"/>
  <c r="I1689" i="1"/>
  <c r="H1689" i="1"/>
  <c r="G1689" i="1"/>
  <c r="F1689" i="1"/>
  <c r="E1689" i="1"/>
  <c r="D1689" i="1"/>
  <c r="C1689" i="1"/>
  <c r="B1689" i="1"/>
  <c r="A1689" i="1"/>
  <c r="R1688" i="1"/>
  <c r="J1688" i="1"/>
  <c r="I1688" i="1"/>
  <c r="G1688" i="1"/>
  <c r="F1688" i="1"/>
  <c r="E1688" i="1"/>
  <c r="D1688" i="1"/>
  <c r="C1688" i="1"/>
  <c r="B1688" i="1"/>
  <c r="A1688" i="1"/>
  <c r="R1687" i="1"/>
  <c r="J1687" i="1"/>
  <c r="I1687" i="1"/>
  <c r="G1687" i="1"/>
  <c r="F1687" i="1"/>
  <c r="E1687" i="1"/>
  <c r="D1687" i="1"/>
  <c r="C1687" i="1"/>
  <c r="B1687" i="1"/>
  <c r="A1687" i="1"/>
  <c r="R1686" i="1"/>
  <c r="J1686" i="1"/>
  <c r="I1686" i="1"/>
  <c r="G1686" i="1"/>
  <c r="F1686" i="1"/>
  <c r="E1686" i="1"/>
  <c r="D1686" i="1"/>
  <c r="C1686" i="1"/>
  <c r="B1686" i="1"/>
  <c r="A1686" i="1"/>
  <c r="S1685" i="1"/>
  <c r="O1685" i="1"/>
  <c r="K1685" i="1"/>
  <c r="J1685" i="1"/>
  <c r="I1685" i="1"/>
  <c r="H1685" i="1"/>
  <c r="G1685" i="1"/>
  <c r="F1685" i="1"/>
  <c r="E1685" i="1"/>
  <c r="D1685" i="1"/>
  <c r="C1685" i="1"/>
  <c r="B1685" i="1"/>
  <c r="A1685" i="1"/>
  <c r="R1684" i="1"/>
  <c r="J1684" i="1"/>
  <c r="I1684" i="1"/>
  <c r="G1684" i="1"/>
  <c r="F1684" i="1"/>
  <c r="E1684" i="1"/>
  <c r="D1684" i="1"/>
  <c r="C1684" i="1"/>
  <c r="B1684" i="1"/>
  <c r="A1684" i="1"/>
  <c r="S1683" i="1"/>
  <c r="O1683" i="1"/>
  <c r="K1683" i="1"/>
  <c r="J1683" i="1"/>
  <c r="I1683" i="1"/>
  <c r="H1683" i="1"/>
  <c r="G1683" i="1"/>
  <c r="F1683" i="1"/>
  <c r="E1683" i="1"/>
  <c r="D1683" i="1"/>
  <c r="C1683" i="1"/>
  <c r="B1683" i="1"/>
  <c r="A1683" i="1"/>
  <c r="R1682" i="1"/>
  <c r="J1682" i="1"/>
  <c r="I1682" i="1"/>
  <c r="G1682" i="1"/>
  <c r="F1682" i="1"/>
  <c r="E1682" i="1"/>
  <c r="D1682" i="1"/>
  <c r="C1682" i="1"/>
  <c r="B1682" i="1"/>
  <c r="A1682" i="1"/>
  <c r="S1681" i="1"/>
  <c r="O1681" i="1"/>
  <c r="K1681" i="1"/>
  <c r="J1681" i="1"/>
  <c r="I1681" i="1"/>
  <c r="H1681" i="1"/>
  <c r="G1681" i="1"/>
  <c r="F1681" i="1"/>
  <c r="E1681" i="1"/>
  <c r="D1681" i="1"/>
  <c r="C1681" i="1"/>
  <c r="B1681" i="1"/>
  <c r="A1681" i="1"/>
  <c r="R1680" i="1"/>
  <c r="J1680" i="1"/>
  <c r="I1680" i="1"/>
  <c r="G1680" i="1"/>
  <c r="F1680" i="1"/>
  <c r="E1680" i="1"/>
  <c r="D1680" i="1"/>
  <c r="C1680" i="1"/>
  <c r="B1680" i="1"/>
  <c r="A1680" i="1"/>
  <c r="S1679" i="1"/>
  <c r="O1679" i="1"/>
  <c r="K1679" i="1"/>
  <c r="J1679" i="1"/>
  <c r="I1679" i="1"/>
  <c r="H1679" i="1"/>
  <c r="G1679" i="1"/>
  <c r="F1679" i="1"/>
  <c r="E1679" i="1"/>
  <c r="D1679" i="1"/>
  <c r="C1679" i="1"/>
  <c r="B1679" i="1"/>
  <c r="A1679" i="1"/>
  <c r="R1678" i="1"/>
  <c r="J1678" i="1"/>
  <c r="I1678" i="1"/>
  <c r="G1678" i="1"/>
  <c r="F1678" i="1"/>
  <c r="E1678" i="1"/>
  <c r="D1678" i="1"/>
  <c r="C1678" i="1"/>
  <c r="B1678" i="1"/>
  <c r="A1678" i="1"/>
  <c r="S1677" i="1"/>
  <c r="O1677" i="1"/>
  <c r="K1677" i="1"/>
  <c r="J1677" i="1"/>
  <c r="I1677" i="1"/>
  <c r="H1677" i="1"/>
  <c r="G1677" i="1"/>
  <c r="F1677" i="1"/>
  <c r="E1677" i="1"/>
  <c r="D1677" i="1"/>
  <c r="C1677" i="1"/>
  <c r="B1677" i="1"/>
  <c r="A1677" i="1"/>
  <c r="R1676" i="1"/>
  <c r="J1676" i="1"/>
  <c r="I1676" i="1"/>
  <c r="G1676" i="1"/>
  <c r="F1676" i="1"/>
  <c r="E1676" i="1"/>
  <c r="D1676" i="1"/>
  <c r="C1676" i="1"/>
  <c r="B1676" i="1"/>
  <c r="A1676" i="1"/>
  <c r="R1675" i="1"/>
  <c r="J1675" i="1"/>
  <c r="I1675" i="1"/>
  <c r="G1675" i="1"/>
  <c r="F1675" i="1"/>
  <c r="E1675" i="1"/>
  <c r="D1675" i="1"/>
  <c r="C1675" i="1"/>
  <c r="B1675" i="1"/>
  <c r="A1675" i="1"/>
  <c r="S1674" i="1"/>
  <c r="O1674" i="1"/>
  <c r="K1674" i="1"/>
  <c r="J1674" i="1"/>
  <c r="I1674" i="1"/>
  <c r="H1674" i="1"/>
  <c r="G1674" i="1"/>
  <c r="F1674" i="1"/>
  <c r="E1674" i="1"/>
  <c r="D1674" i="1"/>
  <c r="C1674" i="1"/>
  <c r="B1674" i="1"/>
  <c r="A1674" i="1"/>
  <c r="R1673" i="1"/>
  <c r="J1673" i="1"/>
  <c r="I1673" i="1"/>
  <c r="G1673" i="1"/>
  <c r="F1673" i="1"/>
  <c r="E1673" i="1"/>
  <c r="D1673" i="1"/>
  <c r="C1673" i="1"/>
  <c r="B1673" i="1"/>
  <c r="A1673" i="1"/>
  <c r="S1672" i="1"/>
  <c r="O1672" i="1"/>
  <c r="K1672" i="1"/>
  <c r="J1672" i="1"/>
  <c r="I1672" i="1"/>
  <c r="H1672" i="1"/>
  <c r="G1672" i="1"/>
  <c r="F1672" i="1"/>
  <c r="E1672" i="1"/>
  <c r="D1672" i="1"/>
  <c r="C1672" i="1"/>
  <c r="B1672" i="1"/>
  <c r="A1672" i="1"/>
  <c r="R1671" i="1"/>
  <c r="J1671" i="1"/>
  <c r="I1671" i="1"/>
  <c r="G1671" i="1"/>
  <c r="F1671" i="1"/>
  <c r="E1671" i="1"/>
  <c r="D1671" i="1"/>
  <c r="C1671" i="1"/>
  <c r="B1671" i="1"/>
  <c r="A1671" i="1"/>
  <c r="R1670" i="1"/>
  <c r="J1670" i="1"/>
  <c r="I1670" i="1"/>
  <c r="G1670" i="1"/>
  <c r="F1670" i="1"/>
  <c r="E1670" i="1"/>
  <c r="D1670" i="1"/>
  <c r="C1670" i="1"/>
  <c r="B1670" i="1"/>
  <c r="A1670" i="1"/>
  <c r="S1669" i="1"/>
  <c r="O1669" i="1"/>
  <c r="K1669" i="1"/>
  <c r="J1669" i="1"/>
  <c r="I1669" i="1"/>
  <c r="H1669" i="1"/>
  <c r="G1669" i="1"/>
  <c r="F1669" i="1"/>
  <c r="E1669" i="1"/>
  <c r="D1669" i="1"/>
  <c r="C1669" i="1"/>
  <c r="B1669" i="1"/>
  <c r="A1669" i="1"/>
  <c r="R1668" i="1"/>
  <c r="J1668" i="1"/>
  <c r="I1668" i="1"/>
  <c r="G1668" i="1"/>
  <c r="F1668" i="1"/>
  <c r="E1668" i="1"/>
  <c r="D1668" i="1"/>
  <c r="C1668" i="1"/>
  <c r="B1668" i="1"/>
  <c r="A1668" i="1"/>
  <c r="S1667" i="1"/>
  <c r="O1667" i="1"/>
  <c r="K1667" i="1"/>
  <c r="J1667" i="1"/>
  <c r="I1667" i="1"/>
  <c r="H1667" i="1"/>
  <c r="G1667" i="1"/>
  <c r="F1667" i="1"/>
  <c r="E1667" i="1"/>
  <c r="D1667" i="1"/>
  <c r="C1667" i="1"/>
  <c r="B1667" i="1"/>
  <c r="A1667" i="1"/>
  <c r="R1666" i="1"/>
  <c r="J1666" i="1"/>
  <c r="I1666" i="1"/>
  <c r="G1666" i="1"/>
  <c r="F1666" i="1"/>
  <c r="E1666" i="1"/>
  <c r="D1666" i="1"/>
  <c r="C1666" i="1"/>
  <c r="B1666" i="1"/>
  <c r="A1666" i="1"/>
  <c r="S1665" i="1"/>
  <c r="O1665" i="1"/>
  <c r="K1665" i="1"/>
  <c r="J1665" i="1"/>
  <c r="I1665" i="1"/>
  <c r="H1665" i="1"/>
  <c r="G1665" i="1"/>
  <c r="F1665" i="1"/>
  <c r="E1665" i="1"/>
  <c r="D1665" i="1"/>
  <c r="C1665" i="1"/>
  <c r="B1665" i="1"/>
  <c r="A1665" i="1"/>
  <c r="R1664" i="1"/>
  <c r="J1664" i="1"/>
  <c r="I1664" i="1"/>
  <c r="G1664" i="1"/>
  <c r="F1664" i="1"/>
  <c r="E1664" i="1"/>
  <c r="D1664" i="1"/>
  <c r="C1664" i="1"/>
  <c r="B1664" i="1"/>
  <c r="A1664" i="1"/>
  <c r="S1663" i="1"/>
  <c r="O1663" i="1"/>
  <c r="K1663" i="1"/>
  <c r="J1663" i="1"/>
  <c r="I1663" i="1"/>
  <c r="H1663" i="1"/>
  <c r="G1663" i="1"/>
  <c r="F1663" i="1"/>
  <c r="E1663" i="1"/>
  <c r="D1663" i="1"/>
  <c r="C1663" i="1"/>
  <c r="B1663" i="1"/>
  <c r="A1663" i="1"/>
  <c r="R1662" i="1"/>
  <c r="J1662" i="1"/>
  <c r="I1662" i="1"/>
  <c r="G1662" i="1"/>
  <c r="F1662" i="1"/>
  <c r="E1662" i="1"/>
  <c r="D1662" i="1"/>
  <c r="C1662" i="1"/>
  <c r="B1662" i="1"/>
  <c r="A1662" i="1"/>
  <c r="S1661" i="1"/>
  <c r="O1661" i="1"/>
  <c r="K1661" i="1"/>
  <c r="J1661" i="1"/>
  <c r="I1661" i="1"/>
  <c r="H1661" i="1"/>
  <c r="G1661" i="1"/>
  <c r="F1661" i="1"/>
  <c r="E1661" i="1"/>
  <c r="D1661" i="1"/>
  <c r="C1661" i="1"/>
  <c r="B1661" i="1"/>
  <c r="A1661" i="1"/>
  <c r="R1660" i="1"/>
  <c r="J1660" i="1"/>
  <c r="I1660" i="1"/>
  <c r="G1660" i="1"/>
  <c r="F1660" i="1"/>
  <c r="E1660" i="1"/>
  <c r="D1660" i="1"/>
  <c r="C1660" i="1"/>
  <c r="B1660" i="1"/>
  <c r="A1660" i="1"/>
  <c r="S1659" i="1"/>
  <c r="O1659" i="1"/>
  <c r="K1659" i="1"/>
  <c r="J1659" i="1"/>
  <c r="I1659" i="1"/>
  <c r="H1659" i="1"/>
  <c r="G1659" i="1"/>
  <c r="F1659" i="1"/>
  <c r="E1659" i="1"/>
  <c r="D1659" i="1"/>
  <c r="C1659" i="1"/>
  <c r="B1659" i="1"/>
  <c r="A1659" i="1"/>
  <c r="R1658" i="1"/>
  <c r="J1658" i="1"/>
  <c r="I1658" i="1"/>
  <c r="G1658" i="1"/>
  <c r="F1658" i="1"/>
  <c r="E1658" i="1"/>
  <c r="D1658" i="1"/>
  <c r="C1658" i="1"/>
  <c r="B1658" i="1"/>
  <c r="A1658" i="1"/>
  <c r="S1657" i="1"/>
  <c r="O1657" i="1"/>
  <c r="K1657" i="1"/>
  <c r="J1657" i="1"/>
  <c r="I1657" i="1"/>
  <c r="H1657" i="1"/>
  <c r="G1657" i="1"/>
  <c r="F1657" i="1"/>
  <c r="E1657" i="1"/>
  <c r="D1657" i="1"/>
  <c r="C1657" i="1"/>
  <c r="B1657" i="1"/>
  <c r="A1657" i="1"/>
  <c r="R1656" i="1"/>
  <c r="J1656" i="1"/>
  <c r="I1656" i="1"/>
  <c r="G1656" i="1"/>
  <c r="F1656" i="1"/>
  <c r="E1656" i="1"/>
  <c r="D1656" i="1"/>
  <c r="C1656" i="1"/>
  <c r="B1656" i="1"/>
  <c r="A1656" i="1"/>
  <c r="R1655" i="1"/>
  <c r="J1655" i="1"/>
  <c r="I1655" i="1"/>
  <c r="G1655" i="1"/>
  <c r="F1655" i="1"/>
  <c r="E1655" i="1"/>
  <c r="D1655" i="1"/>
  <c r="C1655" i="1"/>
  <c r="B1655" i="1"/>
  <c r="A1655" i="1"/>
  <c r="S1654" i="1"/>
  <c r="O1654" i="1"/>
  <c r="K1654" i="1"/>
  <c r="J1654" i="1"/>
  <c r="I1654" i="1"/>
  <c r="H1654" i="1"/>
  <c r="G1654" i="1"/>
  <c r="F1654" i="1"/>
  <c r="E1654" i="1"/>
  <c r="D1654" i="1"/>
  <c r="C1654" i="1"/>
  <c r="B1654" i="1"/>
  <c r="A1654" i="1"/>
  <c r="R1653" i="1"/>
  <c r="J1653" i="1"/>
  <c r="I1653" i="1"/>
  <c r="G1653" i="1"/>
  <c r="F1653" i="1"/>
  <c r="E1653" i="1"/>
  <c r="D1653" i="1"/>
  <c r="C1653" i="1"/>
  <c r="B1653" i="1"/>
  <c r="A1653" i="1"/>
  <c r="S1652" i="1"/>
  <c r="O1652" i="1"/>
  <c r="K1652" i="1"/>
  <c r="J1652" i="1"/>
  <c r="I1652" i="1"/>
  <c r="H1652" i="1"/>
  <c r="G1652" i="1"/>
  <c r="F1652" i="1"/>
  <c r="E1652" i="1"/>
  <c r="D1652" i="1"/>
  <c r="C1652" i="1"/>
  <c r="B1652" i="1"/>
  <c r="A1652" i="1"/>
  <c r="R1651" i="1"/>
  <c r="J1651" i="1"/>
  <c r="I1651" i="1"/>
  <c r="G1651" i="1"/>
  <c r="F1651" i="1"/>
  <c r="E1651" i="1"/>
  <c r="D1651" i="1"/>
  <c r="C1651" i="1"/>
  <c r="B1651" i="1"/>
  <c r="A1651" i="1"/>
  <c r="S1650" i="1"/>
  <c r="O1650" i="1"/>
  <c r="K1650" i="1"/>
  <c r="J1650" i="1"/>
  <c r="I1650" i="1"/>
  <c r="H1650" i="1"/>
  <c r="G1650" i="1"/>
  <c r="F1650" i="1"/>
  <c r="E1650" i="1"/>
  <c r="D1650" i="1"/>
  <c r="C1650" i="1"/>
  <c r="B1650" i="1"/>
  <c r="A1650" i="1"/>
  <c r="R1649" i="1"/>
  <c r="J1649" i="1"/>
  <c r="I1649" i="1"/>
  <c r="G1649" i="1"/>
  <c r="F1649" i="1"/>
  <c r="E1649" i="1"/>
  <c r="D1649" i="1"/>
  <c r="C1649" i="1"/>
  <c r="B1649" i="1"/>
  <c r="A1649" i="1"/>
  <c r="R1648" i="1"/>
  <c r="J1648" i="1"/>
  <c r="I1648" i="1"/>
  <c r="G1648" i="1"/>
  <c r="F1648" i="1"/>
  <c r="E1648" i="1"/>
  <c r="D1648" i="1"/>
  <c r="C1648" i="1"/>
  <c r="B1648" i="1"/>
  <c r="A1648" i="1"/>
  <c r="S1647" i="1"/>
  <c r="O1647" i="1"/>
  <c r="K1647" i="1"/>
  <c r="J1647" i="1"/>
  <c r="I1647" i="1"/>
  <c r="H1647" i="1"/>
  <c r="G1647" i="1"/>
  <c r="F1647" i="1"/>
  <c r="E1647" i="1"/>
  <c r="D1647" i="1"/>
  <c r="C1647" i="1"/>
  <c r="B1647" i="1"/>
  <c r="A1647" i="1"/>
  <c r="R1646" i="1"/>
  <c r="J1646" i="1"/>
  <c r="I1646" i="1"/>
  <c r="G1646" i="1"/>
  <c r="F1646" i="1"/>
  <c r="E1646" i="1"/>
  <c r="D1646" i="1"/>
  <c r="C1646" i="1"/>
  <c r="B1646" i="1"/>
  <c r="A1646" i="1"/>
  <c r="S1645" i="1"/>
  <c r="O1645" i="1"/>
  <c r="K1645" i="1"/>
  <c r="J1645" i="1"/>
  <c r="I1645" i="1"/>
  <c r="H1645" i="1"/>
  <c r="G1645" i="1"/>
  <c r="F1645" i="1"/>
  <c r="E1645" i="1"/>
  <c r="D1645" i="1"/>
  <c r="C1645" i="1"/>
  <c r="B1645" i="1"/>
  <c r="A1645" i="1"/>
  <c r="R1644" i="1"/>
  <c r="J1644" i="1"/>
  <c r="I1644" i="1"/>
  <c r="G1644" i="1"/>
  <c r="F1644" i="1"/>
  <c r="E1644" i="1"/>
  <c r="D1644" i="1"/>
  <c r="C1644" i="1"/>
  <c r="B1644" i="1"/>
  <c r="A1644" i="1"/>
  <c r="R1643" i="1"/>
  <c r="J1643" i="1"/>
  <c r="I1643" i="1"/>
  <c r="G1643" i="1"/>
  <c r="F1643" i="1"/>
  <c r="E1643" i="1"/>
  <c r="D1643" i="1"/>
  <c r="C1643" i="1"/>
  <c r="B1643" i="1"/>
  <c r="A1643" i="1"/>
  <c r="S1642" i="1"/>
  <c r="O1642" i="1"/>
  <c r="K1642" i="1"/>
  <c r="J1642" i="1"/>
  <c r="I1642" i="1"/>
  <c r="H1642" i="1"/>
  <c r="G1642" i="1"/>
  <c r="F1642" i="1"/>
  <c r="E1642" i="1"/>
  <c r="D1642" i="1"/>
  <c r="C1642" i="1"/>
  <c r="B1642" i="1"/>
  <c r="A1642" i="1"/>
  <c r="R1641" i="1"/>
  <c r="J1641" i="1"/>
  <c r="I1641" i="1"/>
  <c r="G1641" i="1"/>
  <c r="F1641" i="1"/>
  <c r="E1641" i="1"/>
  <c r="D1641" i="1"/>
  <c r="C1641" i="1"/>
  <c r="B1641" i="1"/>
  <c r="A1641" i="1"/>
  <c r="S1640" i="1"/>
  <c r="O1640" i="1"/>
  <c r="K1640" i="1"/>
  <c r="J1640" i="1"/>
  <c r="I1640" i="1"/>
  <c r="H1640" i="1"/>
  <c r="G1640" i="1"/>
  <c r="F1640" i="1"/>
  <c r="E1640" i="1"/>
  <c r="D1640" i="1"/>
  <c r="C1640" i="1"/>
  <c r="B1640" i="1"/>
  <c r="A1640" i="1"/>
  <c r="R1639" i="1"/>
  <c r="J1639" i="1"/>
  <c r="I1639" i="1"/>
  <c r="G1639" i="1"/>
  <c r="F1639" i="1"/>
  <c r="E1639" i="1"/>
  <c r="D1639" i="1"/>
  <c r="C1639" i="1"/>
  <c r="B1639" i="1"/>
  <c r="A1639" i="1"/>
  <c r="S1638" i="1"/>
  <c r="O1638" i="1"/>
  <c r="K1638" i="1"/>
  <c r="J1638" i="1"/>
  <c r="I1638" i="1"/>
  <c r="H1638" i="1"/>
  <c r="G1638" i="1"/>
  <c r="F1638" i="1"/>
  <c r="E1638" i="1"/>
  <c r="D1638" i="1"/>
  <c r="C1638" i="1"/>
  <c r="B1638" i="1"/>
  <c r="A1638" i="1"/>
  <c r="R1637" i="1"/>
  <c r="J1637" i="1"/>
  <c r="I1637" i="1"/>
  <c r="G1637" i="1"/>
  <c r="F1637" i="1"/>
  <c r="E1637" i="1"/>
  <c r="D1637" i="1"/>
  <c r="C1637" i="1"/>
  <c r="B1637" i="1"/>
  <c r="A1637" i="1"/>
  <c r="S1636" i="1"/>
  <c r="O1636" i="1"/>
  <c r="K1636" i="1"/>
  <c r="J1636" i="1"/>
  <c r="I1636" i="1"/>
  <c r="H1636" i="1"/>
  <c r="G1636" i="1"/>
  <c r="F1636" i="1"/>
  <c r="E1636" i="1"/>
  <c r="D1636" i="1"/>
  <c r="C1636" i="1"/>
  <c r="B1636" i="1"/>
  <c r="A1636" i="1"/>
  <c r="R1635" i="1"/>
  <c r="J1635" i="1"/>
  <c r="I1635" i="1"/>
  <c r="G1635" i="1"/>
  <c r="F1635" i="1"/>
  <c r="E1635" i="1"/>
  <c r="D1635" i="1"/>
  <c r="C1635" i="1"/>
  <c r="B1635" i="1"/>
  <c r="A1635" i="1"/>
  <c r="S1634" i="1"/>
  <c r="O1634" i="1"/>
  <c r="K1634" i="1"/>
  <c r="J1634" i="1"/>
  <c r="I1634" i="1"/>
  <c r="H1634" i="1"/>
  <c r="G1634" i="1"/>
  <c r="F1634" i="1"/>
  <c r="E1634" i="1"/>
  <c r="D1634" i="1"/>
  <c r="C1634" i="1"/>
  <c r="B1634" i="1"/>
  <c r="A1634" i="1"/>
  <c r="R1633" i="1"/>
  <c r="J1633" i="1"/>
  <c r="I1633" i="1"/>
  <c r="G1633" i="1"/>
  <c r="F1633" i="1"/>
  <c r="E1633" i="1"/>
  <c r="D1633" i="1"/>
  <c r="C1633" i="1"/>
  <c r="B1633" i="1"/>
  <c r="A1633" i="1"/>
  <c r="S1632" i="1"/>
  <c r="O1632" i="1"/>
  <c r="K1632" i="1"/>
  <c r="J1632" i="1"/>
  <c r="I1632" i="1"/>
  <c r="H1632" i="1"/>
  <c r="G1632" i="1"/>
  <c r="F1632" i="1"/>
  <c r="E1632" i="1"/>
  <c r="D1632" i="1"/>
  <c r="C1632" i="1"/>
  <c r="B1632" i="1"/>
  <c r="A1632" i="1"/>
  <c r="R1631" i="1"/>
  <c r="J1631" i="1"/>
  <c r="I1631" i="1"/>
  <c r="G1631" i="1"/>
  <c r="F1631" i="1"/>
  <c r="E1631" i="1"/>
  <c r="D1631" i="1"/>
  <c r="C1631" i="1"/>
  <c r="B1631" i="1"/>
  <c r="A1631" i="1"/>
  <c r="S1630" i="1"/>
  <c r="O1630" i="1"/>
  <c r="K1630" i="1"/>
  <c r="J1630" i="1"/>
  <c r="I1630" i="1"/>
  <c r="H1630" i="1"/>
  <c r="G1630" i="1"/>
  <c r="F1630" i="1"/>
  <c r="E1630" i="1"/>
  <c r="D1630" i="1"/>
  <c r="C1630" i="1"/>
  <c r="B1630" i="1"/>
  <c r="A1630" i="1"/>
  <c r="R1629" i="1"/>
  <c r="J1629" i="1"/>
  <c r="I1629" i="1"/>
  <c r="G1629" i="1"/>
  <c r="F1629" i="1"/>
  <c r="E1629" i="1"/>
  <c r="D1629" i="1"/>
  <c r="C1629" i="1"/>
  <c r="B1629" i="1"/>
  <c r="A1629" i="1"/>
  <c r="S1628" i="1"/>
  <c r="O1628" i="1"/>
  <c r="K1628" i="1"/>
  <c r="J1628" i="1"/>
  <c r="I1628" i="1"/>
  <c r="H1628" i="1"/>
  <c r="G1628" i="1"/>
  <c r="F1628" i="1"/>
  <c r="E1628" i="1"/>
  <c r="D1628" i="1"/>
  <c r="C1628" i="1"/>
  <c r="B1628" i="1"/>
  <c r="A1628" i="1"/>
  <c r="R1627" i="1"/>
  <c r="J1627" i="1"/>
  <c r="I1627" i="1"/>
  <c r="G1627" i="1"/>
  <c r="F1627" i="1"/>
  <c r="E1627" i="1"/>
  <c r="D1627" i="1"/>
  <c r="C1627" i="1"/>
  <c r="B1627" i="1"/>
  <c r="A1627" i="1"/>
  <c r="S1626" i="1"/>
  <c r="O1626" i="1"/>
  <c r="K1626" i="1"/>
  <c r="J1626" i="1"/>
  <c r="I1626" i="1"/>
  <c r="H1626" i="1"/>
  <c r="G1626" i="1"/>
  <c r="F1626" i="1"/>
  <c r="E1626" i="1"/>
  <c r="D1626" i="1"/>
  <c r="C1626" i="1"/>
  <c r="B1626" i="1"/>
  <c r="A1626" i="1"/>
  <c r="R1625" i="1"/>
  <c r="J1625" i="1"/>
  <c r="I1625" i="1"/>
  <c r="G1625" i="1"/>
  <c r="F1625" i="1"/>
  <c r="E1625" i="1"/>
  <c r="D1625" i="1"/>
  <c r="C1625" i="1"/>
  <c r="B1625" i="1"/>
  <c r="A1625" i="1"/>
  <c r="R1624" i="1"/>
  <c r="J1624" i="1"/>
  <c r="I1624" i="1"/>
  <c r="G1624" i="1"/>
  <c r="F1624" i="1"/>
  <c r="E1624" i="1"/>
  <c r="D1624" i="1"/>
  <c r="C1624" i="1"/>
  <c r="B1624" i="1"/>
  <c r="A1624" i="1"/>
  <c r="S1623" i="1"/>
  <c r="O1623" i="1"/>
  <c r="K1623" i="1"/>
  <c r="J1623" i="1"/>
  <c r="I1623" i="1"/>
  <c r="H1623" i="1"/>
  <c r="G1623" i="1"/>
  <c r="F1623" i="1"/>
  <c r="E1623" i="1"/>
  <c r="D1623" i="1"/>
  <c r="C1623" i="1"/>
  <c r="B1623" i="1"/>
  <c r="A1623" i="1"/>
  <c r="R1622" i="1"/>
  <c r="J1622" i="1"/>
  <c r="I1622" i="1"/>
  <c r="G1622" i="1"/>
  <c r="F1622" i="1"/>
  <c r="E1622" i="1"/>
  <c r="D1622" i="1"/>
  <c r="C1622" i="1"/>
  <c r="B1622" i="1"/>
  <c r="A1622" i="1"/>
  <c r="R1621" i="1"/>
  <c r="J1621" i="1"/>
  <c r="I1621" i="1"/>
  <c r="G1621" i="1"/>
  <c r="F1621" i="1"/>
  <c r="E1621" i="1"/>
  <c r="D1621" i="1"/>
  <c r="C1621" i="1"/>
  <c r="B1621" i="1"/>
  <c r="A1621" i="1"/>
  <c r="S1620" i="1"/>
  <c r="O1620" i="1"/>
  <c r="K1620" i="1"/>
  <c r="J1620" i="1"/>
  <c r="I1620" i="1"/>
  <c r="H1620" i="1"/>
  <c r="G1620" i="1"/>
  <c r="F1620" i="1"/>
  <c r="E1620" i="1"/>
  <c r="D1620" i="1"/>
  <c r="C1620" i="1"/>
  <c r="B1620" i="1"/>
  <c r="A1620" i="1"/>
  <c r="R1619" i="1"/>
  <c r="J1619" i="1"/>
  <c r="I1619" i="1"/>
  <c r="G1619" i="1"/>
  <c r="F1619" i="1"/>
  <c r="E1619" i="1"/>
  <c r="D1619" i="1"/>
  <c r="C1619" i="1"/>
  <c r="B1619" i="1"/>
  <c r="A1619" i="1"/>
  <c r="S1618" i="1"/>
  <c r="O1618" i="1"/>
  <c r="K1618" i="1"/>
  <c r="J1618" i="1"/>
  <c r="I1618" i="1"/>
  <c r="H1618" i="1"/>
  <c r="G1618" i="1"/>
  <c r="F1618" i="1"/>
  <c r="E1618" i="1"/>
  <c r="D1618" i="1"/>
  <c r="C1618" i="1"/>
  <c r="B1618" i="1"/>
  <c r="A1618" i="1"/>
  <c r="R1617" i="1"/>
  <c r="J1617" i="1"/>
  <c r="I1617" i="1"/>
  <c r="G1617" i="1"/>
  <c r="F1617" i="1"/>
  <c r="E1617" i="1"/>
  <c r="D1617" i="1"/>
  <c r="C1617" i="1"/>
  <c r="B1617" i="1"/>
  <c r="A1617" i="1"/>
  <c r="S1616" i="1"/>
  <c r="O1616" i="1"/>
  <c r="K1616" i="1"/>
  <c r="J1616" i="1"/>
  <c r="I1616" i="1"/>
  <c r="H1616" i="1"/>
  <c r="G1616" i="1"/>
  <c r="F1616" i="1"/>
  <c r="E1616" i="1"/>
  <c r="D1616" i="1"/>
  <c r="C1616" i="1"/>
  <c r="B1616" i="1"/>
  <c r="A1616" i="1"/>
  <c r="R1615" i="1"/>
  <c r="J1615" i="1"/>
  <c r="I1615" i="1"/>
  <c r="G1615" i="1"/>
  <c r="F1615" i="1"/>
  <c r="E1615" i="1"/>
  <c r="D1615" i="1"/>
  <c r="C1615" i="1"/>
  <c r="B1615" i="1"/>
  <c r="A1615" i="1"/>
  <c r="S1614" i="1"/>
  <c r="O1614" i="1"/>
  <c r="K1614" i="1"/>
  <c r="J1614" i="1"/>
  <c r="I1614" i="1"/>
  <c r="H1614" i="1"/>
  <c r="G1614" i="1"/>
  <c r="F1614" i="1"/>
  <c r="E1614" i="1"/>
  <c r="D1614" i="1"/>
  <c r="C1614" i="1"/>
  <c r="B1614" i="1"/>
  <c r="A1614" i="1"/>
  <c r="R1613" i="1"/>
  <c r="J1613" i="1"/>
  <c r="I1613" i="1"/>
  <c r="G1613" i="1"/>
  <c r="F1613" i="1"/>
  <c r="E1613" i="1"/>
  <c r="D1613" i="1"/>
  <c r="C1613" i="1"/>
  <c r="B1613" i="1"/>
  <c r="A1613" i="1"/>
  <c r="S1612" i="1"/>
  <c r="O1612" i="1"/>
  <c r="K1612" i="1"/>
  <c r="J1612" i="1"/>
  <c r="I1612" i="1"/>
  <c r="H1612" i="1"/>
  <c r="G1612" i="1"/>
  <c r="F1612" i="1"/>
  <c r="E1612" i="1"/>
  <c r="D1612" i="1"/>
  <c r="C1612" i="1"/>
  <c r="B1612" i="1"/>
  <c r="A1612" i="1"/>
  <c r="R1611" i="1"/>
  <c r="J1611" i="1"/>
  <c r="I1611" i="1"/>
  <c r="G1611" i="1"/>
  <c r="F1611" i="1"/>
  <c r="E1611" i="1"/>
  <c r="D1611" i="1"/>
  <c r="C1611" i="1"/>
  <c r="B1611" i="1"/>
  <c r="A1611" i="1"/>
  <c r="S1610" i="1"/>
  <c r="O1610" i="1"/>
  <c r="K1610" i="1"/>
  <c r="J1610" i="1"/>
  <c r="I1610" i="1"/>
  <c r="H1610" i="1"/>
  <c r="G1610" i="1"/>
  <c r="F1610" i="1"/>
  <c r="E1610" i="1"/>
  <c r="D1610" i="1"/>
  <c r="C1610" i="1"/>
  <c r="B1610" i="1"/>
  <c r="A1610" i="1"/>
  <c r="R1609" i="1"/>
  <c r="J1609" i="1"/>
  <c r="I1609" i="1"/>
  <c r="G1609" i="1"/>
  <c r="F1609" i="1"/>
  <c r="E1609" i="1"/>
  <c r="D1609" i="1"/>
  <c r="C1609" i="1"/>
  <c r="B1609" i="1"/>
  <c r="A1609" i="1"/>
  <c r="S1608" i="1"/>
  <c r="O1608" i="1"/>
  <c r="K1608" i="1"/>
  <c r="J1608" i="1"/>
  <c r="I1608" i="1"/>
  <c r="H1608" i="1"/>
  <c r="G1608" i="1"/>
  <c r="F1608" i="1"/>
  <c r="E1608" i="1"/>
  <c r="D1608" i="1"/>
  <c r="C1608" i="1"/>
  <c r="B1608" i="1"/>
  <c r="A1608" i="1"/>
  <c r="R1607" i="1"/>
  <c r="J1607" i="1"/>
  <c r="I1607" i="1"/>
  <c r="G1607" i="1"/>
  <c r="F1607" i="1"/>
  <c r="E1607" i="1"/>
  <c r="D1607" i="1"/>
  <c r="C1607" i="1"/>
  <c r="B1607" i="1"/>
  <c r="A1607" i="1"/>
  <c r="S1606" i="1"/>
  <c r="O1606" i="1"/>
  <c r="K1606" i="1"/>
  <c r="J1606" i="1"/>
  <c r="I1606" i="1"/>
  <c r="H1606" i="1"/>
  <c r="G1606" i="1"/>
  <c r="F1606" i="1"/>
  <c r="E1606" i="1"/>
  <c r="D1606" i="1"/>
  <c r="C1606" i="1"/>
  <c r="B1606" i="1"/>
  <c r="A1606" i="1"/>
  <c r="R1605" i="1"/>
  <c r="J1605" i="1"/>
  <c r="I1605" i="1"/>
  <c r="G1605" i="1"/>
  <c r="F1605" i="1"/>
  <c r="E1605" i="1"/>
  <c r="D1605" i="1"/>
  <c r="C1605" i="1"/>
  <c r="B1605" i="1"/>
  <c r="A1605" i="1"/>
  <c r="S1604" i="1"/>
  <c r="O1604" i="1"/>
  <c r="K1604" i="1"/>
  <c r="J1604" i="1"/>
  <c r="I1604" i="1"/>
  <c r="H1604" i="1"/>
  <c r="G1604" i="1"/>
  <c r="F1604" i="1"/>
  <c r="E1604" i="1"/>
  <c r="D1604" i="1"/>
  <c r="C1604" i="1"/>
  <c r="B1604" i="1"/>
  <c r="A1604" i="1"/>
  <c r="R1603" i="1"/>
  <c r="J1603" i="1"/>
  <c r="I1603" i="1"/>
  <c r="G1603" i="1"/>
  <c r="F1603" i="1"/>
  <c r="E1603" i="1"/>
  <c r="D1603" i="1"/>
  <c r="C1603" i="1"/>
  <c r="B1603" i="1"/>
  <c r="A1603" i="1"/>
  <c r="S1602" i="1"/>
  <c r="O1602" i="1"/>
  <c r="K1602" i="1"/>
  <c r="J1602" i="1"/>
  <c r="I1602" i="1"/>
  <c r="H1602" i="1"/>
  <c r="G1602" i="1"/>
  <c r="F1602" i="1"/>
  <c r="E1602" i="1"/>
  <c r="D1602" i="1"/>
  <c r="C1602" i="1"/>
  <c r="B1602" i="1"/>
  <c r="A1602" i="1"/>
  <c r="R1601" i="1"/>
  <c r="J1601" i="1"/>
  <c r="I1601" i="1"/>
  <c r="G1601" i="1"/>
  <c r="F1601" i="1"/>
  <c r="E1601" i="1"/>
  <c r="D1601" i="1"/>
  <c r="C1601" i="1"/>
  <c r="B1601" i="1"/>
  <c r="A1601" i="1"/>
  <c r="S1600" i="1"/>
  <c r="O1600" i="1"/>
  <c r="K1600" i="1"/>
  <c r="J1600" i="1"/>
  <c r="I1600" i="1"/>
  <c r="H1600" i="1"/>
  <c r="G1600" i="1"/>
  <c r="F1600" i="1"/>
  <c r="E1600" i="1"/>
  <c r="D1600" i="1"/>
  <c r="C1600" i="1"/>
  <c r="B1600" i="1"/>
  <c r="A1600" i="1"/>
  <c r="R1599" i="1"/>
  <c r="J1599" i="1"/>
  <c r="I1599" i="1"/>
  <c r="G1599" i="1"/>
  <c r="F1599" i="1"/>
  <c r="E1599" i="1"/>
  <c r="D1599" i="1"/>
  <c r="C1599" i="1"/>
  <c r="B1599" i="1"/>
  <c r="A1599" i="1"/>
  <c r="S1598" i="1"/>
  <c r="O1598" i="1"/>
  <c r="K1598" i="1"/>
  <c r="J1598" i="1"/>
  <c r="I1598" i="1"/>
  <c r="H1598" i="1"/>
  <c r="G1598" i="1"/>
  <c r="F1598" i="1"/>
  <c r="E1598" i="1"/>
  <c r="D1598" i="1"/>
  <c r="C1598" i="1"/>
  <c r="B1598" i="1"/>
  <c r="A1598" i="1"/>
  <c r="R1597" i="1"/>
  <c r="J1597" i="1"/>
  <c r="I1597" i="1"/>
  <c r="G1597" i="1"/>
  <c r="F1597" i="1"/>
  <c r="E1597" i="1"/>
  <c r="D1597" i="1"/>
  <c r="C1597" i="1"/>
  <c r="B1597" i="1"/>
  <c r="A1597" i="1"/>
  <c r="S1596" i="1"/>
  <c r="O1596" i="1"/>
  <c r="K1596" i="1"/>
  <c r="J1596" i="1"/>
  <c r="I1596" i="1"/>
  <c r="H1596" i="1"/>
  <c r="G1596" i="1"/>
  <c r="F1596" i="1"/>
  <c r="E1596" i="1"/>
  <c r="D1596" i="1"/>
  <c r="C1596" i="1"/>
  <c r="B1596" i="1"/>
  <c r="A1596" i="1"/>
  <c r="R1595" i="1"/>
  <c r="J1595" i="1"/>
  <c r="I1595" i="1"/>
  <c r="G1595" i="1"/>
  <c r="F1595" i="1"/>
  <c r="E1595" i="1"/>
  <c r="D1595" i="1"/>
  <c r="C1595" i="1"/>
  <c r="B1595" i="1"/>
  <c r="A1595" i="1"/>
  <c r="S1594" i="1"/>
  <c r="O1594" i="1"/>
  <c r="K1594" i="1"/>
  <c r="J1594" i="1"/>
  <c r="I1594" i="1"/>
  <c r="H1594" i="1"/>
  <c r="G1594" i="1"/>
  <c r="F1594" i="1"/>
  <c r="E1594" i="1"/>
  <c r="D1594" i="1"/>
  <c r="C1594" i="1"/>
  <c r="B1594" i="1"/>
  <c r="A1594" i="1"/>
  <c r="R1593" i="1"/>
  <c r="J1593" i="1"/>
  <c r="I1593" i="1"/>
  <c r="G1593" i="1"/>
  <c r="F1593" i="1"/>
  <c r="E1593" i="1"/>
  <c r="D1593" i="1"/>
  <c r="C1593" i="1"/>
  <c r="B1593" i="1"/>
  <c r="A1593" i="1"/>
  <c r="S1592" i="1"/>
  <c r="O1592" i="1"/>
  <c r="K1592" i="1"/>
  <c r="J1592" i="1"/>
  <c r="I1592" i="1"/>
  <c r="H1592" i="1"/>
  <c r="G1592" i="1"/>
  <c r="F1592" i="1"/>
  <c r="E1592" i="1"/>
  <c r="D1592" i="1"/>
  <c r="C1592" i="1"/>
  <c r="B1592" i="1"/>
  <c r="A1592" i="1"/>
  <c r="R1591" i="1"/>
  <c r="J1591" i="1"/>
  <c r="I1591" i="1"/>
  <c r="G1591" i="1"/>
  <c r="F1591" i="1"/>
  <c r="E1591" i="1"/>
  <c r="D1591" i="1"/>
  <c r="C1591" i="1"/>
  <c r="B1591" i="1"/>
  <c r="A1591" i="1"/>
  <c r="S1590" i="1"/>
  <c r="O1590" i="1"/>
  <c r="K1590" i="1"/>
  <c r="J1590" i="1"/>
  <c r="I1590" i="1"/>
  <c r="H1590" i="1"/>
  <c r="G1590" i="1"/>
  <c r="F1590" i="1"/>
  <c r="E1590" i="1"/>
  <c r="D1590" i="1"/>
  <c r="C1590" i="1"/>
  <c r="B1590" i="1"/>
  <c r="A1590" i="1"/>
  <c r="R1589" i="1"/>
  <c r="J1589" i="1"/>
  <c r="I1589" i="1"/>
  <c r="G1589" i="1"/>
  <c r="F1589" i="1"/>
  <c r="E1589" i="1"/>
  <c r="D1589" i="1"/>
  <c r="C1589" i="1"/>
  <c r="B1589" i="1"/>
  <c r="A1589" i="1"/>
  <c r="S1588" i="1"/>
  <c r="O1588" i="1"/>
  <c r="K1588" i="1"/>
  <c r="J1588" i="1"/>
  <c r="I1588" i="1"/>
  <c r="H1588" i="1"/>
  <c r="G1588" i="1"/>
  <c r="F1588" i="1"/>
  <c r="E1588" i="1"/>
  <c r="D1588" i="1"/>
  <c r="C1588" i="1"/>
  <c r="B1588" i="1"/>
  <c r="A1588" i="1"/>
  <c r="R1587" i="1"/>
  <c r="J1587" i="1"/>
  <c r="I1587" i="1"/>
  <c r="G1587" i="1"/>
  <c r="F1587" i="1"/>
  <c r="E1587" i="1"/>
  <c r="D1587" i="1"/>
  <c r="C1587" i="1"/>
  <c r="B1587" i="1"/>
  <c r="A1587" i="1"/>
  <c r="S1586" i="1"/>
  <c r="O1586" i="1"/>
  <c r="K1586" i="1"/>
  <c r="J1586" i="1"/>
  <c r="I1586" i="1"/>
  <c r="H1586" i="1"/>
  <c r="G1586" i="1"/>
  <c r="F1586" i="1"/>
  <c r="E1586" i="1"/>
  <c r="D1586" i="1"/>
  <c r="C1586" i="1"/>
  <c r="B1586" i="1"/>
  <c r="A1586" i="1"/>
  <c r="R1585" i="1"/>
  <c r="J1585" i="1"/>
  <c r="I1585" i="1"/>
  <c r="G1585" i="1"/>
  <c r="F1585" i="1"/>
  <c r="E1585" i="1"/>
  <c r="D1585" i="1"/>
  <c r="C1585" i="1"/>
  <c r="B1585" i="1"/>
  <c r="A1585" i="1"/>
  <c r="S1584" i="1"/>
  <c r="O1584" i="1"/>
  <c r="K1584" i="1"/>
  <c r="J1584" i="1"/>
  <c r="I1584" i="1"/>
  <c r="H1584" i="1"/>
  <c r="G1584" i="1"/>
  <c r="F1584" i="1"/>
  <c r="E1584" i="1"/>
  <c r="D1584" i="1"/>
  <c r="C1584" i="1"/>
  <c r="B1584" i="1"/>
  <c r="A1584" i="1"/>
  <c r="R1583" i="1"/>
  <c r="J1583" i="1"/>
  <c r="I1583" i="1"/>
  <c r="G1583" i="1"/>
  <c r="F1583" i="1"/>
  <c r="E1583" i="1"/>
  <c r="D1583" i="1"/>
  <c r="C1583" i="1"/>
  <c r="B1583" i="1"/>
  <c r="A1583" i="1"/>
  <c r="S1582" i="1"/>
  <c r="O1582" i="1"/>
  <c r="K1582" i="1"/>
  <c r="J1582" i="1"/>
  <c r="I1582" i="1"/>
  <c r="H1582" i="1"/>
  <c r="G1582" i="1"/>
  <c r="F1582" i="1"/>
  <c r="E1582" i="1"/>
  <c r="D1582" i="1"/>
  <c r="C1582" i="1"/>
  <c r="B1582" i="1"/>
  <c r="A1582" i="1"/>
  <c r="R1581" i="1"/>
  <c r="J1581" i="1"/>
  <c r="I1581" i="1"/>
  <c r="G1581" i="1"/>
  <c r="F1581" i="1"/>
  <c r="E1581" i="1"/>
  <c r="D1581" i="1"/>
  <c r="C1581" i="1"/>
  <c r="B1581" i="1"/>
  <c r="A1581" i="1"/>
  <c r="S1580" i="1"/>
  <c r="O1580" i="1"/>
  <c r="K1580" i="1"/>
  <c r="J1580" i="1"/>
  <c r="I1580" i="1"/>
  <c r="H1580" i="1"/>
  <c r="G1580" i="1"/>
  <c r="F1580" i="1"/>
  <c r="E1580" i="1"/>
  <c r="D1580" i="1"/>
  <c r="C1580" i="1"/>
  <c r="B1580" i="1"/>
  <c r="A1580" i="1"/>
  <c r="R1579" i="1"/>
  <c r="J1579" i="1"/>
  <c r="I1579" i="1"/>
  <c r="G1579" i="1"/>
  <c r="F1579" i="1"/>
  <c r="E1579" i="1"/>
  <c r="D1579" i="1"/>
  <c r="C1579" i="1"/>
  <c r="B1579" i="1"/>
  <c r="A1579" i="1"/>
  <c r="S1578" i="1"/>
  <c r="O1578" i="1"/>
  <c r="K1578" i="1"/>
  <c r="J1578" i="1"/>
  <c r="I1578" i="1"/>
  <c r="H1578" i="1"/>
  <c r="G1578" i="1"/>
  <c r="F1578" i="1"/>
  <c r="E1578" i="1"/>
  <c r="D1578" i="1"/>
  <c r="C1578" i="1"/>
  <c r="B1578" i="1"/>
  <c r="A1578" i="1"/>
  <c r="R1577" i="1"/>
  <c r="J1577" i="1"/>
  <c r="I1577" i="1"/>
  <c r="G1577" i="1"/>
  <c r="F1577" i="1"/>
  <c r="E1577" i="1"/>
  <c r="D1577" i="1"/>
  <c r="C1577" i="1"/>
  <c r="B1577" i="1"/>
  <c r="A1577" i="1"/>
  <c r="R1576" i="1"/>
  <c r="J1576" i="1"/>
  <c r="I1576" i="1"/>
  <c r="G1576" i="1"/>
  <c r="F1576" i="1"/>
  <c r="E1576" i="1"/>
  <c r="D1576" i="1"/>
  <c r="C1576" i="1"/>
  <c r="B1576" i="1"/>
  <c r="A1576" i="1"/>
  <c r="R1575" i="1"/>
  <c r="J1575" i="1"/>
  <c r="I1575" i="1"/>
  <c r="G1575" i="1"/>
  <c r="F1575" i="1"/>
  <c r="E1575" i="1"/>
  <c r="D1575" i="1"/>
  <c r="C1575" i="1"/>
  <c r="B1575" i="1"/>
  <c r="A1575" i="1"/>
  <c r="R1574" i="1"/>
  <c r="J1574" i="1"/>
  <c r="I1574" i="1"/>
  <c r="G1574" i="1"/>
  <c r="F1574" i="1"/>
  <c r="E1574" i="1"/>
  <c r="D1574" i="1"/>
  <c r="C1574" i="1"/>
  <c r="B1574" i="1"/>
  <c r="A1574" i="1"/>
  <c r="R1573" i="1"/>
  <c r="J1573" i="1"/>
  <c r="I1573" i="1"/>
  <c r="G1573" i="1"/>
  <c r="F1573" i="1"/>
  <c r="E1573" i="1"/>
  <c r="D1573" i="1"/>
  <c r="C1573" i="1"/>
  <c r="B1573" i="1"/>
  <c r="A1573" i="1"/>
  <c r="R1572" i="1"/>
  <c r="J1572" i="1"/>
  <c r="I1572" i="1"/>
  <c r="G1572" i="1"/>
  <c r="F1572" i="1"/>
  <c r="E1572" i="1"/>
  <c r="D1572" i="1"/>
  <c r="C1572" i="1"/>
  <c r="B1572" i="1"/>
  <c r="A1572" i="1"/>
  <c r="R1571" i="1"/>
  <c r="J1571" i="1"/>
  <c r="I1571" i="1"/>
  <c r="G1571" i="1"/>
  <c r="F1571" i="1"/>
  <c r="E1571" i="1"/>
  <c r="D1571" i="1"/>
  <c r="C1571" i="1"/>
  <c r="B1571" i="1"/>
  <c r="A1571" i="1"/>
  <c r="R1570" i="1"/>
  <c r="J1570" i="1"/>
  <c r="I1570" i="1"/>
  <c r="G1570" i="1"/>
  <c r="F1570" i="1"/>
  <c r="E1570" i="1"/>
  <c r="D1570" i="1"/>
  <c r="C1570" i="1"/>
  <c r="B1570" i="1"/>
  <c r="A1570" i="1"/>
  <c r="R1569" i="1"/>
  <c r="J1569" i="1"/>
  <c r="I1569" i="1"/>
  <c r="G1569" i="1"/>
  <c r="F1569" i="1"/>
  <c r="E1569" i="1"/>
  <c r="D1569" i="1"/>
  <c r="C1569" i="1"/>
  <c r="B1569" i="1"/>
  <c r="A1569" i="1"/>
  <c r="S1568" i="1"/>
  <c r="O1568" i="1"/>
  <c r="K1568" i="1"/>
  <c r="J1568" i="1"/>
  <c r="I1568" i="1"/>
  <c r="H1568" i="1"/>
  <c r="G1568" i="1"/>
  <c r="F1568" i="1"/>
  <c r="E1568" i="1"/>
  <c r="D1568" i="1"/>
  <c r="C1568" i="1"/>
  <c r="B1568" i="1"/>
  <c r="A1568" i="1"/>
  <c r="R1567" i="1"/>
  <c r="J1567" i="1"/>
  <c r="I1567" i="1"/>
  <c r="G1567" i="1"/>
  <c r="F1567" i="1"/>
  <c r="E1567" i="1"/>
  <c r="D1567" i="1"/>
  <c r="C1567" i="1"/>
  <c r="B1567" i="1"/>
  <c r="A1567" i="1"/>
  <c r="R1566" i="1"/>
  <c r="J1566" i="1"/>
  <c r="I1566" i="1"/>
  <c r="G1566" i="1"/>
  <c r="F1566" i="1"/>
  <c r="E1566" i="1"/>
  <c r="D1566" i="1"/>
  <c r="C1566" i="1"/>
  <c r="B1566" i="1"/>
  <c r="A1566" i="1"/>
  <c r="R1565" i="1"/>
  <c r="J1565" i="1"/>
  <c r="I1565" i="1"/>
  <c r="G1565" i="1"/>
  <c r="F1565" i="1"/>
  <c r="E1565" i="1"/>
  <c r="D1565" i="1"/>
  <c r="C1565" i="1"/>
  <c r="B1565" i="1"/>
  <c r="A1565" i="1"/>
  <c r="R1564" i="1"/>
  <c r="J1564" i="1"/>
  <c r="I1564" i="1"/>
  <c r="G1564" i="1"/>
  <c r="F1564" i="1"/>
  <c r="E1564" i="1"/>
  <c r="D1564" i="1"/>
  <c r="C1564" i="1"/>
  <c r="B1564" i="1"/>
  <c r="A1564" i="1"/>
  <c r="R1563" i="1"/>
  <c r="J1563" i="1"/>
  <c r="I1563" i="1"/>
  <c r="G1563" i="1"/>
  <c r="F1563" i="1"/>
  <c r="E1563" i="1"/>
  <c r="D1563" i="1"/>
  <c r="C1563" i="1"/>
  <c r="B1563" i="1"/>
  <c r="A1563" i="1"/>
  <c r="R1562" i="1"/>
  <c r="J1562" i="1"/>
  <c r="I1562" i="1"/>
  <c r="G1562" i="1"/>
  <c r="F1562" i="1"/>
  <c r="E1562" i="1"/>
  <c r="D1562" i="1"/>
  <c r="C1562" i="1"/>
  <c r="B1562" i="1"/>
  <c r="A1562" i="1"/>
  <c r="R1561" i="1"/>
  <c r="J1561" i="1"/>
  <c r="I1561" i="1"/>
  <c r="G1561" i="1"/>
  <c r="F1561" i="1"/>
  <c r="E1561" i="1"/>
  <c r="D1561" i="1"/>
  <c r="C1561" i="1"/>
  <c r="B1561" i="1"/>
  <c r="A1561" i="1"/>
  <c r="R1560" i="1"/>
  <c r="J1560" i="1"/>
  <c r="I1560" i="1"/>
  <c r="G1560" i="1"/>
  <c r="F1560" i="1"/>
  <c r="E1560" i="1"/>
  <c r="D1560" i="1"/>
  <c r="C1560" i="1"/>
  <c r="B1560" i="1"/>
  <c r="A1560" i="1"/>
  <c r="R1559" i="1"/>
  <c r="J1559" i="1"/>
  <c r="I1559" i="1"/>
  <c r="G1559" i="1"/>
  <c r="F1559" i="1"/>
  <c r="E1559" i="1"/>
  <c r="D1559" i="1"/>
  <c r="C1559" i="1"/>
  <c r="B1559" i="1"/>
  <c r="A1559" i="1"/>
  <c r="R1558" i="1"/>
  <c r="J1558" i="1"/>
  <c r="I1558" i="1"/>
  <c r="G1558" i="1"/>
  <c r="F1558" i="1"/>
  <c r="E1558" i="1"/>
  <c r="D1558" i="1"/>
  <c r="C1558" i="1"/>
  <c r="B1558" i="1"/>
  <c r="A1558" i="1"/>
  <c r="R1557" i="1"/>
  <c r="J1557" i="1"/>
  <c r="I1557" i="1"/>
  <c r="G1557" i="1"/>
  <c r="F1557" i="1"/>
  <c r="E1557" i="1"/>
  <c r="D1557" i="1"/>
  <c r="C1557" i="1"/>
  <c r="B1557" i="1"/>
  <c r="A1557" i="1"/>
  <c r="R1556" i="1"/>
  <c r="J1556" i="1"/>
  <c r="I1556" i="1"/>
  <c r="G1556" i="1"/>
  <c r="F1556" i="1"/>
  <c r="E1556" i="1"/>
  <c r="D1556" i="1"/>
  <c r="C1556" i="1"/>
  <c r="B1556" i="1"/>
  <c r="A1556" i="1"/>
  <c r="S1555" i="1"/>
  <c r="O1555" i="1"/>
  <c r="K1555" i="1"/>
  <c r="J1555" i="1"/>
  <c r="I1555" i="1"/>
  <c r="H1555" i="1"/>
  <c r="G1555" i="1"/>
  <c r="F1555" i="1"/>
  <c r="E1555" i="1"/>
  <c r="D1555" i="1"/>
  <c r="C1555" i="1"/>
  <c r="B1555" i="1"/>
  <c r="A1555" i="1"/>
  <c r="R1554" i="1"/>
  <c r="J1554" i="1"/>
  <c r="I1554" i="1"/>
  <c r="G1554" i="1"/>
  <c r="F1554" i="1"/>
  <c r="E1554" i="1"/>
  <c r="D1554" i="1"/>
  <c r="C1554" i="1"/>
  <c r="B1554" i="1"/>
  <c r="A1554" i="1"/>
  <c r="R1553" i="1"/>
  <c r="J1553" i="1"/>
  <c r="I1553" i="1"/>
  <c r="G1553" i="1"/>
  <c r="F1553" i="1"/>
  <c r="E1553" i="1"/>
  <c r="D1553" i="1"/>
  <c r="C1553" i="1"/>
  <c r="B1553" i="1"/>
  <c r="A1553" i="1"/>
  <c r="R1552" i="1"/>
  <c r="J1552" i="1"/>
  <c r="I1552" i="1"/>
  <c r="G1552" i="1"/>
  <c r="F1552" i="1"/>
  <c r="E1552" i="1"/>
  <c r="D1552" i="1"/>
  <c r="C1552" i="1"/>
  <c r="B1552" i="1"/>
  <c r="A1552" i="1"/>
  <c r="R1551" i="1"/>
  <c r="J1551" i="1"/>
  <c r="I1551" i="1"/>
  <c r="G1551" i="1"/>
  <c r="F1551" i="1"/>
  <c r="E1551" i="1"/>
  <c r="D1551" i="1"/>
  <c r="C1551" i="1"/>
  <c r="B1551" i="1"/>
  <c r="A1551" i="1"/>
  <c r="R1550" i="1"/>
  <c r="J1550" i="1"/>
  <c r="I1550" i="1"/>
  <c r="G1550" i="1"/>
  <c r="F1550" i="1"/>
  <c r="E1550" i="1"/>
  <c r="D1550" i="1"/>
  <c r="C1550" i="1"/>
  <c r="B1550" i="1"/>
  <c r="A1550" i="1"/>
  <c r="R1549" i="1"/>
  <c r="J1549" i="1"/>
  <c r="I1549" i="1"/>
  <c r="G1549" i="1"/>
  <c r="F1549" i="1"/>
  <c r="E1549" i="1"/>
  <c r="D1549" i="1"/>
  <c r="C1549" i="1"/>
  <c r="B1549" i="1"/>
  <c r="A1549" i="1"/>
  <c r="R1548" i="1"/>
  <c r="J1548" i="1"/>
  <c r="I1548" i="1"/>
  <c r="G1548" i="1"/>
  <c r="F1548" i="1"/>
  <c r="E1548" i="1"/>
  <c r="D1548" i="1"/>
  <c r="C1548" i="1"/>
  <c r="B1548" i="1"/>
  <c r="A1548" i="1"/>
  <c r="R1547" i="1"/>
  <c r="J1547" i="1"/>
  <c r="I1547" i="1"/>
  <c r="G1547" i="1"/>
  <c r="F1547" i="1"/>
  <c r="E1547" i="1"/>
  <c r="D1547" i="1"/>
  <c r="C1547" i="1"/>
  <c r="B1547" i="1"/>
  <c r="A1547" i="1"/>
  <c r="R1546" i="1"/>
  <c r="J1546" i="1"/>
  <c r="I1546" i="1"/>
  <c r="G1546" i="1"/>
  <c r="F1546" i="1"/>
  <c r="E1546" i="1"/>
  <c r="D1546" i="1"/>
  <c r="C1546" i="1"/>
  <c r="B1546" i="1"/>
  <c r="A1546" i="1"/>
  <c r="R1545" i="1"/>
  <c r="J1545" i="1"/>
  <c r="I1545" i="1"/>
  <c r="G1545" i="1"/>
  <c r="F1545" i="1"/>
  <c r="E1545" i="1"/>
  <c r="D1545" i="1"/>
  <c r="C1545" i="1"/>
  <c r="B1545" i="1"/>
  <c r="A1545" i="1"/>
  <c r="R1544" i="1"/>
  <c r="J1544" i="1"/>
  <c r="I1544" i="1"/>
  <c r="G1544" i="1"/>
  <c r="F1544" i="1"/>
  <c r="E1544" i="1"/>
  <c r="D1544" i="1"/>
  <c r="C1544" i="1"/>
  <c r="B1544" i="1"/>
  <c r="A1544" i="1"/>
  <c r="R1543" i="1"/>
  <c r="J1543" i="1"/>
  <c r="I1543" i="1"/>
  <c r="G1543" i="1"/>
  <c r="F1543" i="1"/>
  <c r="E1543" i="1"/>
  <c r="D1543" i="1"/>
  <c r="C1543" i="1"/>
  <c r="B1543" i="1"/>
  <c r="A1543" i="1"/>
  <c r="R1542" i="1"/>
  <c r="J1542" i="1"/>
  <c r="I1542" i="1"/>
  <c r="G1542" i="1"/>
  <c r="F1542" i="1"/>
  <c r="E1542" i="1"/>
  <c r="D1542" i="1"/>
  <c r="C1542" i="1"/>
  <c r="B1542" i="1"/>
  <c r="A1542" i="1"/>
  <c r="R1541" i="1"/>
  <c r="J1541" i="1"/>
  <c r="I1541" i="1"/>
  <c r="G1541" i="1"/>
  <c r="F1541" i="1"/>
  <c r="E1541" i="1"/>
  <c r="D1541" i="1"/>
  <c r="C1541" i="1"/>
  <c r="B1541" i="1"/>
  <c r="A1541" i="1"/>
  <c r="R1540" i="1"/>
  <c r="J1540" i="1"/>
  <c r="I1540" i="1"/>
  <c r="G1540" i="1"/>
  <c r="F1540" i="1"/>
  <c r="E1540" i="1"/>
  <c r="D1540" i="1"/>
  <c r="C1540" i="1"/>
  <c r="B1540" i="1"/>
  <c r="A1540" i="1"/>
  <c r="R1539" i="1"/>
  <c r="J1539" i="1"/>
  <c r="I1539" i="1"/>
  <c r="G1539" i="1"/>
  <c r="F1539" i="1"/>
  <c r="E1539" i="1"/>
  <c r="D1539" i="1"/>
  <c r="C1539" i="1"/>
  <c r="B1539" i="1"/>
  <c r="A1539" i="1"/>
  <c r="R1538" i="1"/>
  <c r="J1538" i="1"/>
  <c r="I1538" i="1"/>
  <c r="G1538" i="1"/>
  <c r="F1538" i="1"/>
  <c r="E1538" i="1"/>
  <c r="D1538" i="1"/>
  <c r="C1538" i="1"/>
  <c r="B1538" i="1"/>
  <c r="A1538" i="1"/>
  <c r="R1537" i="1"/>
  <c r="J1537" i="1"/>
  <c r="I1537" i="1"/>
  <c r="G1537" i="1"/>
  <c r="F1537" i="1"/>
  <c r="E1537" i="1"/>
  <c r="D1537" i="1"/>
  <c r="C1537" i="1"/>
  <c r="B1537" i="1"/>
  <c r="A1537" i="1"/>
  <c r="R1536" i="1"/>
  <c r="J1536" i="1"/>
  <c r="I1536" i="1"/>
  <c r="G1536" i="1"/>
  <c r="F1536" i="1"/>
  <c r="E1536" i="1"/>
  <c r="D1536" i="1"/>
  <c r="C1536" i="1"/>
  <c r="B1536" i="1"/>
  <c r="A1536" i="1"/>
  <c r="R1535" i="1"/>
  <c r="J1535" i="1"/>
  <c r="I1535" i="1"/>
  <c r="G1535" i="1"/>
  <c r="F1535" i="1"/>
  <c r="E1535" i="1"/>
  <c r="D1535" i="1"/>
  <c r="C1535" i="1"/>
  <c r="B1535" i="1"/>
  <c r="A1535" i="1"/>
  <c r="R1534" i="1"/>
  <c r="J1534" i="1"/>
  <c r="I1534" i="1"/>
  <c r="G1534" i="1"/>
  <c r="F1534" i="1"/>
  <c r="E1534" i="1"/>
  <c r="D1534" i="1"/>
  <c r="C1534" i="1"/>
  <c r="B1534" i="1"/>
  <c r="A1534" i="1"/>
  <c r="R1533" i="1"/>
  <c r="J1533" i="1"/>
  <c r="I1533" i="1"/>
  <c r="G1533" i="1"/>
  <c r="F1533" i="1"/>
  <c r="E1533" i="1"/>
  <c r="D1533" i="1"/>
  <c r="C1533" i="1"/>
  <c r="B1533" i="1"/>
  <c r="A1533" i="1"/>
  <c r="R1532" i="1"/>
  <c r="J1532" i="1"/>
  <c r="I1532" i="1"/>
  <c r="G1532" i="1"/>
  <c r="F1532" i="1"/>
  <c r="E1532" i="1"/>
  <c r="D1532" i="1"/>
  <c r="C1532" i="1"/>
  <c r="B1532" i="1"/>
  <c r="A1532" i="1"/>
  <c r="R1531" i="1"/>
  <c r="J1531" i="1"/>
  <c r="I1531" i="1"/>
  <c r="G1531" i="1"/>
  <c r="F1531" i="1"/>
  <c r="E1531" i="1"/>
  <c r="D1531" i="1"/>
  <c r="C1531" i="1"/>
  <c r="B1531" i="1"/>
  <c r="A1531" i="1"/>
  <c r="R1530" i="1"/>
  <c r="J1530" i="1"/>
  <c r="I1530" i="1"/>
  <c r="G1530" i="1"/>
  <c r="F1530" i="1"/>
  <c r="E1530" i="1"/>
  <c r="D1530" i="1"/>
  <c r="C1530" i="1"/>
  <c r="B1530" i="1"/>
  <c r="A1530" i="1"/>
  <c r="R1529" i="1"/>
  <c r="J1529" i="1"/>
  <c r="I1529" i="1"/>
  <c r="G1529" i="1"/>
  <c r="F1529" i="1"/>
  <c r="E1529" i="1"/>
  <c r="D1529" i="1"/>
  <c r="C1529" i="1"/>
  <c r="B1529" i="1"/>
  <c r="A1529" i="1"/>
  <c r="R1528" i="1"/>
  <c r="J1528" i="1"/>
  <c r="I1528" i="1"/>
  <c r="G1528" i="1"/>
  <c r="F1528" i="1"/>
  <c r="E1528" i="1"/>
  <c r="D1528" i="1"/>
  <c r="C1528" i="1"/>
  <c r="B1528" i="1"/>
  <c r="A1528" i="1"/>
  <c r="R1527" i="1"/>
  <c r="J1527" i="1"/>
  <c r="I1527" i="1"/>
  <c r="G1527" i="1"/>
  <c r="F1527" i="1"/>
  <c r="E1527" i="1"/>
  <c r="D1527" i="1"/>
  <c r="C1527" i="1"/>
  <c r="B1527" i="1"/>
  <c r="A1527" i="1"/>
  <c r="R1526" i="1"/>
  <c r="J1526" i="1"/>
  <c r="I1526" i="1"/>
  <c r="G1526" i="1"/>
  <c r="F1526" i="1"/>
  <c r="E1526" i="1"/>
  <c r="D1526" i="1"/>
  <c r="C1526" i="1"/>
  <c r="B1526" i="1"/>
  <c r="A1526" i="1"/>
  <c r="R1525" i="1"/>
  <c r="J1525" i="1"/>
  <c r="I1525" i="1"/>
  <c r="G1525" i="1"/>
  <c r="F1525" i="1"/>
  <c r="E1525" i="1"/>
  <c r="D1525" i="1"/>
  <c r="C1525" i="1"/>
  <c r="B1525" i="1"/>
  <c r="A1525" i="1"/>
  <c r="R1524" i="1"/>
  <c r="J1524" i="1"/>
  <c r="I1524" i="1"/>
  <c r="G1524" i="1"/>
  <c r="F1524" i="1"/>
  <c r="E1524" i="1"/>
  <c r="D1524" i="1"/>
  <c r="C1524" i="1"/>
  <c r="B1524" i="1"/>
  <c r="A1524" i="1"/>
  <c r="R1523" i="1"/>
  <c r="J1523" i="1"/>
  <c r="I1523" i="1"/>
  <c r="G1523" i="1"/>
  <c r="F1523" i="1"/>
  <c r="E1523" i="1"/>
  <c r="D1523" i="1"/>
  <c r="C1523" i="1"/>
  <c r="B1523" i="1"/>
  <c r="A1523" i="1"/>
  <c r="R1522" i="1"/>
  <c r="J1522" i="1"/>
  <c r="I1522" i="1"/>
  <c r="G1522" i="1"/>
  <c r="F1522" i="1"/>
  <c r="E1522" i="1"/>
  <c r="D1522" i="1"/>
  <c r="C1522" i="1"/>
  <c r="B1522" i="1"/>
  <c r="A1522" i="1"/>
  <c r="R1521" i="1"/>
  <c r="J1521" i="1"/>
  <c r="I1521" i="1"/>
  <c r="G1521" i="1"/>
  <c r="F1521" i="1"/>
  <c r="E1521" i="1"/>
  <c r="D1521" i="1"/>
  <c r="C1521" i="1"/>
  <c r="B1521" i="1"/>
  <c r="A1521" i="1"/>
  <c r="R1520" i="1"/>
  <c r="J1520" i="1"/>
  <c r="I1520" i="1"/>
  <c r="G1520" i="1"/>
  <c r="F1520" i="1"/>
  <c r="E1520" i="1"/>
  <c r="D1520" i="1"/>
  <c r="C1520" i="1"/>
  <c r="B1520" i="1"/>
  <c r="A1520" i="1"/>
  <c r="R1519" i="1"/>
  <c r="J1519" i="1"/>
  <c r="I1519" i="1"/>
  <c r="G1519" i="1"/>
  <c r="F1519" i="1"/>
  <c r="E1519" i="1"/>
  <c r="D1519" i="1"/>
  <c r="C1519" i="1"/>
  <c r="B1519" i="1"/>
  <c r="A1519" i="1"/>
  <c r="R1518" i="1"/>
  <c r="J1518" i="1"/>
  <c r="I1518" i="1"/>
  <c r="G1518" i="1"/>
  <c r="F1518" i="1"/>
  <c r="E1518" i="1"/>
  <c r="D1518" i="1"/>
  <c r="C1518" i="1"/>
  <c r="B1518" i="1"/>
  <c r="A1518" i="1"/>
  <c r="R1517" i="1"/>
  <c r="J1517" i="1"/>
  <c r="I1517" i="1"/>
  <c r="G1517" i="1"/>
  <c r="F1517" i="1"/>
  <c r="E1517" i="1"/>
  <c r="D1517" i="1"/>
  <c r="C1517" i="1"/>
  <c r="B1517" i="1"/>
  <c r="A1517" i="1"/>
  <c r="R1516" i="1"/>
  <c r="J1516" i="1"/>
  <c r="I1516" i="1"/>
  <c r="G1516" i="1"/>
  <c r="F1516" i="1"/>
  <c r="E1516" i="1"/>
  <c r="D1516" i="1"/>
  <c r="C1516" i="1"/>
  <c r="B1516" i="1"/>
  <c r="A1516" i="1"/>
  <c r="R1515" i="1"/>
  <c r="J1515" i="1"/>
  <c r="I1515" i="1"/>
  <c r="G1515" i="1"/>
  <c r="F1515" i="1"/>
  <c r="E1515" i="1"/>
  <c r="D1515" i="1"/>
  <c r="C1515" i="1"/>
  <c r="B1515" i="1"/>
  <c r="A1515" i="1"/>
  <c r="R1514" i="1"/>
  <c r="J1514" i="1"/>
  <c r="I1514" i="1"/>
  <c r="G1514" i="1"/>
  <c r="F1514" i="1"/>
  <c r="E1514" i="1"/>
  <c r="D1514" i="1"/>
  <c r="C1514" i="1"/>
  <c r="B1514" i="1"/>
  <c r="A1514" i="1"/>
  <c r="R1513" i="1"/>
  <c r="J1513" i="1"/>
  <c r="I1513" i="1"/>
  <c r="G1513" i="1"/>
  <c r="F1513" i="1"/>
  <c r="E1513" i="1"/>
  <c r="D1513" i="1"/>
  <c r="C1513" i="1"/>
  <c r="B1513" i="1"/>
  <c r="A1513" i="1"/>
  <c r="R1512" i="1"/>
  <c r="J1512" i="1"/>
  <c r="I1512" i="1"/>
  <c r="G1512" i="1"/>
  <c r="F1512" i="1"/>
  <c r="E1512" i="1"/>
  <c r="D1512" i="1"/>
  <c r="C1512" i="1"/>
  <c r="B1512" i="1"/>
  <c r="A1512" i="1"/>
  <c r="R1511" i="1"/>
  <c r="J1511" i="1"/>
  <c r="I1511" i="1"/>
  <c r="G1511" i="1"/>
  <c r="F1511" i="1"/>
  <c r="E1511" i="1"/>
  <c r="D1511" i="1"/>
  <c r="C1511" i="1"/>
  <c r="B1511" i="1"/>
  <c r="A1511" i="1"/>
  <c r="R1510" i="1"/>
  <c r="J1510" i="1"/>
  <c r="I1510" i="1"/>
  <c r="G1510" i="1"/>
  <c r="F1510" i="1"/>
  <c r="E1510" i="1"/>
  <c r="D1510" i="1"/>
  <c r="C1510" i="1"/>
  <c r="B1510" i="1"/>
  <c r="A1510" i="1"/>
  <c r="R1509" i="1"/>
  <c r="J1509" i="1"/>
  <c r="I1509" i="1"/>
  <c r="G1509" i="1"/>
  <c r="F1509" i="1"/>
  <c r="E1509" i="1"/>
  <c r="D1509" i="1"/>
  <c r="C1509" i="1"/>
  <c r="B1509" i="1"/>
  <c r="A1509" i="1"/>
  <c r="R1508" i="1"/>
  <c r="J1508" i="1"/>
  <c r="I1508" i="1"/>
  <c r="G1508" i="1"/>
  <c r="F1508" i="1"/>
  <c r="E1508" i="1"/>
  <c r="D1508" i="1"/>
  <c r="C1508" i="1"/>
  <c r="B1508" i="1"/>
  <c r="A1508" i="1"/>
  <c r="S1507" i="1"/>
  <c r="O1507" i="1"/>
  <c r="K1507" i="1"/>
  <c r="J1507" i="1"/>
  <c r="I1507" i="1"/>
  <c r="H1507" i="1"/>
  <c r="G1507" i="1"/>
  <c r="F1507" i="1"/>
  <c r="E1507" i="1"/>
  <c r="D1507" i="1"/>
  <c r="C1507" i="1"/>
  <c r="B1507" i="1"/>
  <c r="A1507" i="1"/>
  <c r="R1506" i="1"/>
  <c r="J1506" i="1"/>
  <c r="I1506" i="1"/>
  <c r="G1506" i="1"/>
  <c r="F1506" i="1"/>
  <c r="E1506" i="1"/>
  <c r="D1506" i="1"/>
  <c r="C1506" i="1"/>
  <c r="B1506" i="1"/>
  <c r="A1506" i="1"/>
  <c r="S1505" i="1"/>
  <c r="O1505" i="1"/>
  <c r="K1505" i="1"/>
  <c r="J1505" i="1"/>
  <c r="I1505" i="1"/>
  <c r="H1505" i="1"/>
  <c r="G1505" i="1"/>
  <c r="F1505" i="1"/>
  <c r="E1505" i="1"/>
  <c r="D1505" i="1"/>
  <c r="C1505" i="1"/>
  <c r="B1505" i="1"/>
  <c r="A1505" i="1"/>
  <c r="R1504" i="1"/>
  <c r="J1504" i="1"/>
  <c r="I1504" i="1"/>
  <c r="G1504" i="1"/>
  <c r="F1504" i="1"/>
  <c r="E1504" i="1"/>
  <c r="D1504" i="1"/>
  <c r="C1504" i="1"/>
  <c r="B1504" i="1"/>
  <c r="A1504" i="1"/>
  <c r="S1503" i="1"/>
  <c r="O1503" i="1"/>
  <c r="K1503" i="1"/>
  <c r="J1503" i="1"/>
  <c r="I1503" i="1"/>
  <c r="H1503" i="1"/>
  <c r="G1503" i="1"/>
  <c r="F1503" i="1"/>
  <c r="E1503" i="1"/>
  <c r="D1503" i="1"/>
  <c r="C1503" i="1"/>
  <c r="B1503" i="1"/>
  <c r="A1503" i="1"/>
  <c r="R1502" i="1"/>
  <c r="J1502" i="1"/>
  <c r="I1502" i="1"/>
  <c r="G1502" i="1"/>
  <c r="F1502" i="1"/>
  <c r="E1502" i="1"/>
  <c r="D1502" i="1"/>
  <c r="C1502" i="1"/>
  <c r="B1502" i="1"/>
  <c r="A1502" i="1"/>
  <c r="S1501" i="1"/>
  <c r="O1501" i="1"/>
  <c r="K1501" i="1"/>
  <c r="J1501" i="1"/>
  <c r="I1501" i="1"/>
  <c r="H1501" i="1"/>
  <c r="G1501" i="1"/>
  <c r="F1501" i="1"/>
  <c r="E1501" i="1"/>
  <c r="D1501" i="1"/>
  <c r="C1501" i="1"/>
  <c r="B1501" i="1"/>
  <c r="A1501" i="1"/>
  <c r="R1500" i="1"/>
  <c r="J1500" i="1"/>
  <c r="I1500" i="1"/>
  <c r="G1500" i="1"/>
  <c r="F1500" i="1"/>
  <c r="E1500" i="1"/>
  <c r="D1500" i="1"/>
  <c r="C1500" i="1"/>
  <c r="B1500" i="1"/>
  <c r="A1500" i="1"/>
  <c r="S1499" i="1"/>
  <c r="O1499" i="1"/>
  <c r="K1499" i="1"/>
  <c r="J1499" i="1"/>
  <c r="I1499" i="1"/>
  <c r="H1499" i="1"/>
  <c r="G1499" i="1"/>
  <c r="F1499" i="1"/>
  <c r="E1499" i="1"/>
  <c r="D1499" i="1"/>
  <c r="C1499" i="1"/>
  <c r="B1499" i="1"/>
  <c r="A1499" i="1"/>
  <c r="R1498" i="1"/>
  <c r="J1498" i="1"/>
  <c r="I1498" i="1"/>
  <c r="G1498" i="1"/>
  <c r="F1498" i="1"/>
  <c r="E1498" i="1"/>
  <c r="D1498" i="1"/>
  <c r="C1498" i="1"/>
  <c r="B1498" i="1"/>
  <c r="A1498" i="1"/>
  <c r="S1497" i="1"/>
  <c r="O1497" i="1"/>
  <c r="K1497" i="1"/>
  <c r="J1497" i="1"/>
  <c r="I1497" i="1"/>
  <c r="H1497" i="1"/>
  <c r="G1497" i="1"/>
  <c r="F1497" i="1"/>
  <c r="E1497" i="1"/>
  <c r="D1497" i="1"/>
  <c r="C1497" i="1"/>
  <c r="B1497" i="1"/>
  <c r="A1497" i="1"/>
  <c r="R1496" i="1"/>
  <c r="J1496" i="1"/>
  <c r="I1496" i="1"/>
  <c r="G1496" i="1"/>
  <c r="F1496" i="1"/>
  <c r="E1496" i="1"/>
  <c r="D1496" i="1"/>
  <c r="C1496" i="1"/>
  <c r="B1496" i="1"/>
  <c r="A1496" i="1"/>
  <c r="S1495" i="1"/>
  <c r="O1495" i="1"/>
  <c r="K1495" i="1"/>
  <c r="J1495" i="1"/>
  <c r="I1495" i="1"/>
  <c r="H1495" i="1"/>
  <c r="G1495" i="1"/>
  <c r="F1495" i="1"/>
  <c r="E1495" i="1"/>
  <c r="D1495" i="1"/>
  <c r="C1495" i="1"/>
  <c r="B1495" i="1"/>
  <c r="A1495" i="1"/>
  <c r="R1494" i="1"/>
  <c r="J1494" i="1"/>
  <c r="I1494" i="1"/>
  <c r="G1494" i="1"/>
  <c r="F1494" i="1"/>
  <c r="E1494" i="1"/>
  <c r="D1494" i="1"/>
  <c r="C1494" i="1"/>
  <c r="B1494" i="1"/>
  <c r="A1494" i="1"/>
  <c r="S1493" i="1"/>
  <c r="O1493" i="1"/>
  <c r="K1493" i="1"/>
  <c r="J1493" i="1"/>
  <c r="I1493" i="1"/>
  <c r="H1493" i="1"/>
  <c r="G1493" i="1"/>
  <c r="F1493" i="1"/>
  <c r="E1493" i="1"/>
  <c r="D1493" i="1"/>
  <c r="C1493" i="1"/>
  <c r="B1493" i="1"/>
  <c r="A1493" i="1"/>
  <c r="R1492" i="1"/>
  <c r="J1492" i="1"/>
  <c r="I1492" i="1"/>
  <c r="G1492" i="1"/>
  <c r="F1492" i="1"/>
  <c r="E1492" i="1"/>
  <c r="D1492" i="1"/>
  <c r="C1492" i="1"/>
  <c r="B1492" i="1"/>
  <c r="A1492" i="1"/>
  <c r="S1491" i="1"/>
  <c r="O1491" i="1"/>
  <c r="K1491" i="1"/>
  <c r="J1491" i="1"/>
  <c r="I1491" i="1"/>
  <c r="H1491" i="1"/>
  <c r="G1491" i="1"/>
  <c r="F1491" i="1"/>
  <c r="E1491" i="1"/>
  <c r="D1491" i="1"/>
  <c r="C1491" i="1"/>
  <c r="B1491" i="1"/>
  <c r="A1491" i="1"/>
  <c r="R1490" i="1"/>
  <c r="J1490" i="1"/>
  <c r="I1490" i="1"/>
  <c r="G1490" i="1"/>
  <c r="F1490" i="1"/>
  <c r="E1490" i="1"/>
  <c r="D1490" i="1"/>
  <c r="C1490" i="1"/>
  <c r="B1490" i="1"/>
  <c r="A1490" i="1"/>
  <c r="S1489" i="1"/>
  <c r="O1489" i="1"/>
  <c r="K1489" i="1"/>
  <c r="J1489" i="1"/>
  <c r="I1489" i="1"/>
  <c r="H1489" i="1"/>
  <c r="G1489" i="1"/>
  <c r="F1489" i="1"/>
  <c r="E1489" i="1"/>
  <c r="D1489" i="1"/>
  <c r="C1489" i="1"/>
  <c r="B1489" i="1"/>
  <c r="A1489" i="1"/>
  <c r="R1488" i="1"/>
  <c r="J1488" i="1"/>
  <c r="I1488" i="1"/>
  <c r="G1488" i="1"/>
  <c r="F1488" i="1"/>
  <c r="E1488" i="1"/>
  <c r="D1488" i="1"/>
  <c r="C1488" i="1"/>
  <c r="B1488" i="1"/>
  <c r="A1488" i="1"/>
  <c r="S1487" i="1"/>
  <c r="O1487" i="1"/>
  <c r="K1487" i="1"/>
  <c r="J1487" i="1"/>
  <c r="I1487" i="1"/>
  <c r="H1487" i="1"/>
  <c r="G1487" i="1"/>
  <c r="F1487" i="1"/>
  <c r="E1487" i="1"/>
  <c r="D1487" i="1"/>
  <c r="C1487" i="1"/>
  <c r="B1487" i="1"/>
  <c r="A1487" i="1"/>
  <c r="R1486" i="1"/>
  <c r="J1486" i="1"/>
  <c r="I1486" i="1"/>
  <c r="G1486" i="1"/>
  <c r="F1486" i="1"/>
  <c r="E1486" i="1"/>
  <c r="D1486" i="1"/>
  <c r="C1486" i="1"/>
  <c r="B1486" i="1"/>
  <c r="A1486" i="1"/>
  <c r="S1485" i="1"/>
  <c r="O1485" i="1"/>
  <c r="K1485" i="1"/>
  <c r="J1485" i="1"/>
  <c r="I1485" i="1"/>
  <c r="H1485" i="1"/>
  <c r="G1485" i="1"/>
  <c r="F1485" i="1"/>
  <c r="E1485" i="1"/>
  <c r="D1485" i="1"/>
  <c r="C1485" i="1"/>
  <c r="B1485" i="1"/>
  <c r="A1485" i="1"/>
  <c r="R1484" i="1"/>
  <c r="J1484" i="1"/>
  <c r="I1484" i="1"/>
  <c r="G1484" i="1"/>
  <c r="F1484" i="1"/>
  <c r="E1484" i="1"/>
  <c r="D1484" i="1"/>
  <c r="C1484" i="1"/>
  <c r="B1484" i="1"/>
  <c r="A1484" i="1"/>
  <c r="S1483" i="1"/>
  <c r="O1483" i="1"/>
  <c r="K1483" i="1"/>
  <c r="J1483" i="1"/>
  <c r="I1483" i="1"/>
  <c r="H1483" i="1"/>
  <c r="G1483" i="1"/>
  <c r="F1483" i="1"/>
  <c r="E1483" i="1"/>
  <c r="D1483" i="1"/>
  <c r="C1483" i="1"/>
  <c r="B1483" i="1"/>
  <c r="A1483" i="1"/>
  <c r="R1482" i="1"/>
  <c r="J1482" i="1"/>
  <c r="I1482" i="1"/>
  <c r="G1482" i="1"/>
  <c r="F1482" i="1"/>
  <c r="E1482" i="1"/>
  <c r="D1482" i="1"/>
  <c r="C1482" i="1"/>
  <c r="B1482" i="1"/>
  <c r="A1482" i="1"/>
  <c r="S1481" i="1"/>
  <c r="O1481" i="1"/>
  <c r="K1481" i="1"/>
  <c r="J1481" i="1"/>
  <c r="I1481" i="1"/>
  <c r="H1481" i="1"/>
  <c r="G1481" i="1"/>
  <c r="F1481" i="1"/>
  <c r="E1481" i="1"/>
  <c r="D1481" i="1"/>
  <c r="C1481" i="1"/>
  <c r="B1481" i="1"/>
  <c r="A1481" i="1"/>
  <c r="R1480" i="1"/>
  <c r="J1480" i="1"/>
  <c r="I1480" i="1"/>
  <c r="G1480" i="1"/>
  <c r="F1480" i="1"/>
  <c r="E1480" i="1"/>
  <c r="D1480" i="1"/>
  <c r="C1480" i="1"/>
  <c r="B1480" i="1"/>
  <c r="A1480" i="1"/>
  <c r="S1479" i="1"/>
  <c r="O1479" i="1"/>
  <c r="K1479" i="1"/>
  <c r="J1479" i="1"/>
  <c r="I1479" i="1"/>
  <c r="H1479" i="1"/>
  <c r="G1479" i="1"/>
  <c r="F1479" i="1"/>
  <c r="E1479" i="1"/>
  <c r="D1479" i="1"/>
  <c r="C1479" i="1"/>
  <c r="B1479" i="1"/>
  <c r="A1479" i="1"/>
  <c r="R1478" i="1"/>
  <c r="J1478" i="1"/>
  <c r="I1478" i="1"/>
  <c r="G1478" i="1"/>
  <c r="F1478" i="1"/>
  <c r="E1478" i="1"/>
  <c r="D1478" i="1"/>
  <c r="C1478" i="1"/>
  <c r="B1478" i="1"/>
  <c r="A1478" i="1"/>
  <c r="S1477" i="1"/>
  <c r="O1477" i="1"/>
  <c r="K1477" i="1"/>
  <c r="J1477" i="1"/>
  <c r="I1477" i="1"/>
  <c r="H1477" i="1"/>
  <c r="G1477" i="1"/>
  <c r="F1477" i="1"/>
  <c r="E1477" i="1"/>
  <c r="D1477" i="1"/>
  <c r="C1477" i="1"/>
  <c r="B1477" i="1"/>
  <c r="A1477" i="1"/>
  <c r="R1476" i="1"/>
  <c r="J1476" i="1"/>
  <c r="I1476" i="1"/>
  <c r="G1476" i="1"/>
  <c r="F1476" i="1"/>
  <c r="E1476" i="1"/>
  <c r="D1476" i="1"/>
  <c r="C1476" i="1"/>
  <c r="B1476" i="1"/>
  <c r="A1476" i="1"/>
  <c r="S1475" i="1"/>
  <c r="O1475" i="1"/>
  <c r="K1475" i="1"/>
  <c r="J1475" i="1"/>
  <c r="I1475" i="1"/>
  <c r="H1475" i="1"/>
  <c r="G1475" i="1"/>
  <c r="F1475" i="1"/>
  <c r="E1475" i="1"/>
  <c r="D1475" i="1"/>
  <c r="C1475" i="1"/>
  <c r="B1475" i="1"/>
  <c r="A1475" i="1"/>
  <c r="R1474" i="1"/>
  <c r="J1474" i="1"/>
  <c r="I1474" i="1"/>
  <c r="G1474" i="1"/>
  <c r="F1474" i="1"/>
  <c r="E1474" i="1"/>
  <c r="D1474" i="1"/>
  <c r="C1474" i="1"/>
  <c r="B1474" i="1"/>
  <c r="A1474" i="1"/>
  <c r="S1473" i="1"/>
  <c r="O1473" i="1"/>
  <c r="K1473" i="1"/>
  <c r="J1473" i="1"/>
  <c r="I1473" i="1"/>
  <c r="H1473" i="1"/>
  <c r="G1473" i="1"/>
  <c r="F1473" i="1"/>
  <c r="E1473" i="1"/>
  <c r="D1473" i="1"/>
  <c r="C1473" i="1"/>
  <c r="B1473" i="1"/>
  <c r="A1473" i="1"/>
  <c r="R1472" i="1"/>
  <c r="J1472" i="1"/>
  <c r="I1472" i="1"/>
  <c r="G1472" i="1"/>
  <c r="F1472" i="1"/>
  <c r="E1472" i="1"/>
  <c r="D1472" i="1"/>
  <c r="C1472" i="1"/>
  <c r="B1472" i="1"/>
  <c r="A1472" i="1"/>
  <c r="R1471" i="1"/>
  <c r="J1471" i="1"/>
  <c r="I1471" i="1"/>
  <c r="G1471" i="1"/>
  <c r="F1471" i="1"/>
  <c r="E1471" i="1"/>
  <c r="D1471" i="1"/>
  <c r="C1471" i="1"/>
  <c r="B1471" i="1"/>
  <c r="A1471" i="1"/>
  <c r="S1470" i="1"/>
  <c r="O1470" i="1"/>
  <c r="K1470" i="1"/>
  <c r="J1470" i="1"/>
  <c r="I1470" i="1"/>
  <c r="H1470" i="1"/>
  <c r="G1470" i="1"/>
  <c r="F1470" i="1"/>
  <c r="E1470" i="1"/>
  <c r="D1470" i="1"/>
  <c r="C1470" i="1"/>
  <c r="B1470" i="1"/>
  <c r="A1470" i="1"/>
  <c r="R1469" i="1"/>
  <c r="J1469" i="1"/>
  <c r="I1469" i="1"/>
  <c r="G1469" i="1"/>
  <c r="F1469" i="1"/>
  <c r="E1469" i="1"/>
  <c r="D1469" i="1"/>
  <c r="C1469" i="1"/>
  <c r="B1469" i="1"/>
  <c r="A1469" i="1"/>
  <c r="S1468" i="1"/>
  <c r="O1468" i="1"/>
  <c r="K1468" i="1"/>
  <c r="J1468" i="1"/>
  <c r="I1468" i="1"/>
  <c r="H1468" i="1"/>
  <c r="G1468" i="1"/>
  <c r="F1468" i="1"/>
  <c r="E1468" i="1"/>
  <c r="D1468" i="1"/>
  <c r="C1468" i="1"/>
  <c r="B1468" i="1"/>
  <c r="A1468" i="1"/>
  <c r="R1467" i="1"/>
  <c r="J1467" i="1"/>
  <c r="I1467" i="1"/>
  <c r="G1467" i="1"/>
  <c r="F1467" i="1"/>
  <c r="E1467" i="1"/>
  <c r="D1467" i="1"/>
  <c r="C1467" i="1"/>
  <c r="B1467" i="1"/>
  <c r="A1467" i="1"/>
  <c r="S1466" i="1"/>
  <c r="O1466" i="1"/>
  <c r="K1466" i="1"/>
  <c r="J1466" i="1"/>
  <c r="I1466" i="1"/>
  <c r="H1466" i="1"/>
  <c r="G1466" i="1"/>
  <c r="F1466" i="1"/>
  <c r="E1466" i="1"/>
  <c r="D1466" i="1"/>
  <c r="C1466" i="1"/>
  <c r="B1466" i="1"/>
  <c r="A1466" i="1"/>
  <c r="S1465" i="1"/>
  <c r="O1465" i="1"/>
  <c r="K1465" i="1"/>
  <c r="J1465" i="1"/>
  <c r="I1465" i="1"/>
  <c r="H1465" i="1"/>
  <c r="G1465" i="1"/>
  <c r="F1465" i="1"/>
  <c r="E1465" i="1"/>
  <c r="D1465" i="1"/>
  <c r="C1465" i="1"/>
  <c r="B1465" i="1"/>
  <c r="A1465" i="1"/>
  <c r="R1464" i="1"/>
  <c r="J1464" i="1"/>
  <c r="I1464" i="1"/>
  <c r="G1464" i="1"/>
  <c r="F1464" i="1"/>
  <c r="E1464" i="1"/>
  <c r="D1464" i="1"/>
  <c r="C1464" i="1"/>
  <c r="B1464" i="1"/>
  <c r="A1464" i="1"/>
  <c r="S1463" i="1"/>
  <c r="O1463" i="1"/>
  <c r="K1463" i="1"/>
  <c r="J1463" i="1"/>
  <c r="I1463" i="1"/>
  <c r="H1463" i="1"/>
  <c r="G1463" i="1"/>
  <c r="F1463" i="1"/>
  <c r="E1463" i="1"/>
  <c r="D1463" i="1"/>
  <c r="C1463" i="1"/>
  <c r="B1463" i="1"/>
  <c r="A1463" i="1"/>
  <c r="R1462" i="1"/>
  <c r="J1462" i="1"/>
  <c r="I1462" i="1"/>
  <c r="G1462" i="1"/>
  <c r="F1462" i="1"/>
  <c r="E1462" i="1"/>
  <c r="D1462" i="1"/>
  <c r="C1462" i="1"/>
  <c r="B1462" i="1"/>
  <c r="A1462" i="1"/>
  <c r="S1461" i="1"/>
  <c r="O1461" i="1"/>
  <c r="K1461" i="1"/>
  <c r="J1461" i="1"/>
  <c r="I1461" i="1"/>
  <c r="H1461" i="1"/>
  <c r="G1461" i="1"/>
  <c r="F1461" i="1"/>
  <c r="E1461" i="1"/>
  <c r="D1461" i="1"/>
  <c r="C1461" i="1"/>
  <c r="B1461" i="1"/>
  <c r="A1461" i="1"/>
  <c r="R1460" i="1"/>
  <c r="J1460" i="1"/>
  <c r="I1460" i="1"/>
  <c r="G1460" i="1"/>
  <c r="F1460" i="1"/>
  <c r="E1460" i="1"/>
  <c r="D1460" i="1"/>
  <c r="C1460" i="1"/>
  <c r="B1460" i="1"/>
  <c r="A1460" i="1"/>
  <c r="S1459" i="1"/>
  <c r="O1459" i="1"/>
  <c r="K1459" i="1"/>
  <c r="J1459" i="1"/>
  <c r="I1459" i="1"/>
  <c r="H1459" i="1"/>
  <c r="G1459" i="1"/>
  <c r="F1459" i="1"/>
  <c r="E1459" i="1"/>
  <c r="D1459" i="1"/>
  <c r="C1459" i="1"/>
  <c r="B1459" i="1"/>
  <c r="A1459" i="1"/>
  <c r="R1458" i="1"/>
  <c r="J1458" i="1"/>
  <c r="I1458" i="1"/>
  <c r="G1458" i="1"/>
  <c r="F1458" i="1"/>
  <c r="E1458" i="1"/>
  <c r="D1458" i="1"/>
  <c r="C1458" i="1"/>
  <c r="B1458" i="1"/>
  <c r="A1458" i="1"/>
  <c r="S1457" i="1"/>
  <c r="O1457" i="1"/>
  <c r="K1457" i="1"/>
  <c r="J1457" i="1"/>
  <c r="I1457" i="1"/>
  <c r="H1457" i="1"/>
  <c r="G1457" i="1"/>
  <c r="F1457" i="1"/>
  <c r="E1457" i="1"/>
  <c r="D1457" i="1"/>
  <c r="C1457" i="1"/>
  <c r="B1457" i="1"/>
  <c r="A1457" i="1"/>
  <c r="R1456" i="1"/>
  <c r="J1456" i="1"/>
  <c r="I1456" i="1"/>
  <c r="G1456" i="1"/>
  <c r="F1456" i="1"/>
  <c r="E1456" i="1"/>
  <c r="D1456" i="1"/>
  <c r="C1456" i="1"/>
  <c r="B1456" i="1"/>
  <c r="A1456" i="1"/>
  <c r="S1455" i="1"/>
  <c r="O1455" i="1"/>
  <c r="K1455" i="1"/>
  <c r="J1455" i="1"/>
  <c r="I1455" i="1"/>
  <c r="H1455" i="1"/>
  <c r="G1455" i="1"/>
  <c r="F1455" i="1"/>
  <c r="E1455" i="1"/>
  <c r="D1455" i="1"/>
  <c r="C1455" i="1"/>
  <c r="B1455" i="1"/>
  <c r="A1455" i="1"/>
  <c r="R1454" i="1"/>
  <c r="J1454" i="1"/>
  <c r="I1454" i="1"/>
  <c r="G1454" i="1"/>
  <c r="F1454" i="1"/>
  <c r="E1454" i="1"/>
  <c r="D1454" i="1"/>
  <c r="C1454" i="1"/>
  <c r="B1454" i="1"/>
  <c r="A1454" i="1"/>
  <c r="S1453" i="1"/>
  <c r="O1453" i="1"/>
  <c r="K1453" i="1"/>
  <c r="J1453" i="1"/>
  <c r="I1453" i="1"/>
  <c r="H1453" i="1"/>
  <c r="G1453" i="1"/>
  <c r="F1453" i="1"/>
  <c r="E1453" i="1"/>
  <c r="D1453" i="1"/>
  <c r="C1453" i="1"/>
  <c r="B1453" i="1"/>
  <c r="A1453" i="1"/>
  <c r="R1452" i="1"/>
  <c r="J1452" i="1"/>
  <c r="I1452" i="1"/>
  <c r="G1452" i="1"/>
  <c r="F1452" i="1"/>
  <c r="E1452" i="1"/>
  <c r="D1452" i="1"/>
  <c r="C1452" i="1"/>
  <c r="B1452" i="1"/>
  <c r="A1452" i="1"/>
  <c r="S1451" i="1"/>
  <c r="O1451" i="1"/>
  <c r="K1451" i="1"/>
  <c r="J1451" i="1"/>
  <c r="I1451" i="1"/>
  <c r="H1451" i="1"/>
  <c r="G1451" i="1"/>
  <c r="F1451" i="1"/>
  <c r="E1451" i="1"/>
  <c r="D1451" i="1"/>
  <c r="C1451" i="1"/>
  <c r="B1451" i="1"/>
  <c r="A1451" i="1"/>
  <c r="R1450" i="1"/>
  <c r="J1450" i="1"/>
  <c r="I1450" i="1"/>
  <c r="G1450" i="1"/>
  <c r="F1450" i="1"/>
  <c r="E1450" i="1"/>
  <c r="D1450" i="1"/>
  <c r="C1450" i="1"/>
  <c r="B1450" i="1"/>
  <c r="A1450" i="1"/>
  <c r="S1449" i="1"/>
  <c r="O1449" i="1"/>
  <c r="K1449" i="1"/>
  <c r="J1449" i="1"/>
  <c r="I1449" i="1"/>
  <c r="H1449" i="1"/>
  <c r="G1449" i="1"/>
  <c r="F1449" i="1"/>
  <c r="E1449" i="1"/>
  <c r="D1449" i="1"/>
  <c r="C1449" i="1"/>
  <c r="B1449" i="1"/>
  <c r="A1449" i="1"/>
  <c r="R1448" i="1"/>
  <c r="J1448" i="1"/>
  <c r="I1448" i="1"/>
  <c r="G1448" i="1"/>
  <c r="F1448" i="1"/>
  <c r="E1448" i="1"/>
  <c r="D1448" i="1"/>
  <c r="C1448" i="1"/>
  <c r="B1448" i="1"/>
  <c r="A1448" i="1"/>
  <c r="S1447" i="1"/>
  <c r="O1447" i="1"/>
  <c r="K1447" i="1"/>
  <c r="J1447" i="1"/>
  <c r="I1447" i="1"/>
  <c r="H1447" i="1"/>
  <c r="G1447" i="1"/>
  <c r="F1447" i="1"/>
  <c r="E1447" i="1"/>
  <c r="D1447" i="1"/>
  <c r="C1447" i="1"/>
  <c r="B1447" i="1"/>
  <c r="A1447" i="1"/>
  <c r="R1446" i="1"/>
  <c r="J1446" i="1"/>
  <c r="I1446" i="1"/>
  <c r="G1446" i="1"/>
  <c r="F1446" i="1"/>
  <c r="E1446" i="1"/>
  <c r="D1446" i="1"/>
  <c r="C1446" i="1"/>
  <c r="B1446" i="1"/>
  <c r="A1446" i="1"/>
  <c r="S1445" i="1"/>
  <c r="O1445" i="1"/>
  <c r="K1445" i="1"/>
  <c r="J1445" i="1"/>
  <c r="I1445" i="1"/>
  <c r="H1445" i="1"/>
  <c r="G1445" i="1"/>
  <c r="F1445" i="1"/>
  <c r="E1445" i="1"/>
  <c r="D1445" i="1"/>
  <c r="C1445" i="1"/>
  <c r="B1445" i="1"/>
  <c r="A1445" i="1"/>
  <c r="R1444" i="1"/>
  <c r="J1444" i="1"/>
  <c r="I1444" i="1"/>
  <c r="G1444" i="1"/>
  <c r="F1444" i="1"/>
  <c r="E1444" i="1"/>
  <c r="D1444" i="1"/>
  <c r="C1444" i="1"/>
  <c r="B1444" i="1"/>
  <c r="A1444" i="1"/>
  <c r="S1443" i="1"/>
  <c r="O1443" i="1"/>
  <c r="K1443" i="1"/>
  <c r="J1443" i="1"/>
  <c r="I1443" i="1"/>
  <c r="H1443" i="1"/>
  <c r="G1443" i="1"/>
  <c r="F1443" i="1"/>
  <c r="E1443" i="1"/>
  <c r="D1443" i="1"/>
  <c r="C1443" i="1"/>
  <c r="B1443" i="1"/>
  <c r="A1443" i="1"/>
  <c r="R1442" i="1"/>
  <c r="J1442" i="1"/>
  <c r="I1442" i="1"/>
  <c r="G1442" i="1"/>
  <c r="F1442" i="1"/>
  <c r="E1442" i="1"/>
  <c r="D1442" i="1"/>
  <c r="C1442" i="1"/>
  <c r="B1442" i="1"/>
  <c r="A1442" i="1"/>
  <c r="S1441" i="1"/>
  <c r="O1441" i="1"/>
  <c r="K1441" i="1"/>
  <c r="J1441" i="1"/>
  <c r="I1441" i="1"/>
  <c r="H1441" i="1"/>
  <c r="G1441" i="1"/>
  <c r="F1441" i="1"/>
  <c r="E1441" i="1"/>
  <c r="D1441" i="1"/>
  <c r="C1441" i="1"/>
  <c r="B1441" i="1"/>
  <c r="A1441" i="1"/>
  <c r="R1440" i="1"/>
  <c r="J1440" i="1"/>
  <c r="I1440" i="1"/>
  <c r="G1440" i="1"/>
  <c r="F1440" i="1"/>
  <c r="E1440" i="1"/>
  <c r="D1440" i="1"/>
  <c r="C1440" i="1"/>
  <c r="B1440" i="1"/>
  <c r="A1440" i="1"/>
  <c r="S1439" i="1"/>
  <c r="O1439" i="1"/>
  <c r="K1439" i="1"/>
  <c r="J1439" i="1"/>
  <c r="I1439" i="1"/>
  <c r="H1439" i="1"/>
  <c r="G1439" i="1"/>
  <c r="F1439" i="1"/>
  <c r="E1439" i="1"/>
  <c r="D1439" i="1"/>
  <c r="C1439" i="1"/>
  <c r="B1439" i="1"/>
  <c r="A1439" i="1"/>
  <c r="R1438" i="1"/>
  <c r="J1438" i="1"/>
  <c r="I1438" i="1"/>
  <c r="G1438" i="1"/>
  <c r="F1438" i="1"/>
  <c r="E1438" i="1"/>
  <c r="D1438" i="1"/>
  <c r="C1438" i="1"/>
  <c r="B1438" i="1"/>
  <c r="A1438" i="1"/>
  <c r="S1437" i="1"/>
  <c r="O1437" i="1"/>
  <c r="K1437" i="1"/>
  <c r="J1437" i="1"/>
  <c r="I1437" i="1"/>
  <c r="H1437" i="1"/>
  <c r="G1437" i="1"/>
  <c r="F1437" i="1"/>
  <c r="E1437" i="1"/>
  <c r="D1437" i="1"/>
  <c r="C1437" i="1"/>
  <c r="B1437" i="1"/>
  <c r="A1437" i="1"/>
  <c r="R1436" i="1"/>
  <c r="J1436" i="1"/>
  <c r="I1436" i="1"/>
  <c r="G1436" i="1"/>
  <c r="F1436" i="1"/>
  <c r="E1436" i="1"/>
  <c r="D1436" i="1"/>
  <c r="C1436" i="1"/>
  <c r="B1436" i="1"/>
  <c r="A1436" i="1"/>
  <c r="R1435" i="1"/>
  <c r="J1435" i="1"/>
  <c r="I1435" i="1"/>
  <c r="G1435" i="1"/>
  <c r="F1435" i="1"/>
  <c r="E1435" i="1"/>
  <c r="D1435" i="1"/>
  <c r="C1435" i="1"/>
  <c r="B1435" i="1"/>
  <c r="A1435" i="1"/>
  <c r="R1434" i="1"/>
  <c r="J1434" i="1"/>
  <c r="I1434" i="1"/>
  <c r="G1434" i="1"/>
  <c r="F1434" i="1"/>
  <c r="E1434" i="1"/>
  <c r="D1434" i="1"/>
  <c r="C1434" i="1"/>
  <c r="B1434" i="1"/>
  <c r="A1434" i="1"/>
  <c r="R1433" i="1"/>
  <c r="J1433" i="1"/>
  <c r="I1433" i="1"/>
  <c r="G1433" i="1"/>
  <c r="F1433" i="1"/>
  <c r="E1433" i="1"/>
  <c r="D1433" i="1"/>
  <c r="C1433" i="1"/>
  <c r="B1433" i="1"/>
  <c r="A1433" i="1"/>
  <c r="S1432" i="1"/>
  <c r="O1432" i="1"/>
  <c r="K1432" i="1"/>
  <c r="J1432" i="1"/>
  <c r="I1432" i="1"/>
  <c r="H1432" i="1"/>
  <c r="G1432" i="1"/>
  <c r="F1432" i="1"/>
  <c r="E1432" i="1"/>
  <c r="D1432" i="1"/>
  <c r="C1432" i="1"/>
  <c r="B1432" i="1"/>
  <c r="A1432" i="1"/>
  <c r="R1431" i="1"/>
  <c r="J1431" i="1"/>
  <c r="I1431" i="1"/>
  <c r="G1431" i="1"/>
  <c r="F1431" i="1"/>
  <c r="E1431" i="1"/>
  <c r="D1431" i="1"/>
  <c r="C1431" i="1"/>
  <c r="B1431" i="1"/>
  <c r="A1431" i="1"/>
  <c r="S1430" i="1"/>
  <c r="O1430" i="1"/>
  <c r="K1430" i="1"/>
  <c r="J1430" i="1"/>
  <c r="I1430" i="1"/>
  <c r="H1430" i="1"/>
  <c r="G1430" i="1"/>
  <c r="F1430" i="1"/>
  <c r="E1430" i="1"/>
  <c r="D1430" i="1"/>
  <c r="C1430" i="1"/>
  <c r="B1430" i="1"/>
  <c r="A1430" i="1"/>
  <c r="R1429" i="1"/>
  <c r="J1429" i="1"/>
  <c r="I1429" i="1"/>
  <c r="G1429" i="1"/>
  <c r="F1429" i="1"/>
  <c r="E1429" i="1"/>
  <c r="D1429" i="1"/>
  <c r="C1429" i="1"/>
  <c r="B1429" i="1"/>
  <c r="A1429" i="1"/>
  <c r="S1428" i="1"/>
  <c r="O1428" i="1"/>
  <c r="K1428" i="1"/>
  <c r="J1428" i="1"/>
  <c r="I1428" i="1"/>
  <c r="H1428" i="1"/>
  <c r="G1428" i="1"/>
  <c r="F1428" i="1"/>
  <c r="E1428" i="1"/>
  <c r="D1428" i="1"/>
  <c r="C1428" i="1"/>
  <c r="B1428" i="1"/>
  <c r="A1428" i="1"/>
  <c r="R1427" i="1"/>
  <c r="J1427" i="1"/>
  <c r="I1427" i="1"/>
  <c r="G1427" i="1"/>
  <c r="F1427" i="1"/>
  <c r="E1427" i="1"/>
  <c r="D1427" i="1"/>
  <c r="C1427" i="1"/>
  <c r="B1427" i="1"/>
  <c r="A1427" i="1"/>
  <c r="S1426" i="1"/>
  <c r="O1426" i="1"/>
  <c r="K1426" i="1"/>
  <c r="J1426" i="1"/>
  <c r="I1426" i="1"/>
  <c r="H1426" i="1"/>
  <c r="G1426" i="1"/>
  <c r="F1426" i="1"/>
  <c r="E1426" i="1"/>
  <c r="D1426" i="1"/>
  <c r="C1426" i="1"/>
  <c r="B1426" i="1"/>
  <c r="A1426" i="1"/>
  <c r="R1425" i="1"/>
  <c r="J1425" i="1"/>
  <c r="I1425" i="1"/>
  <c r="G1425" i="1"/>
  <c r="F1425" i="1"/>
  <c r="E1425" i="1"/>
  <c r="D1425" i="1"/>
  <c r="C1425" i="1"/>
  <c r="B1425" i="1"/>
  <c r="A1425" i="1"/>
  <c r="S1424" i="1"/>
  <c r="O1424" i="1"/>
  <c r="K1424" i="1"/>
  <c r="J1424" i="1"/>
  <c r="I1424" i="1"/>
  <c r="H1424" i="1"/>
  <c r="G1424" i="1"/>
  <c r="F1424" i="1"/>
  <c r="E1424" i="1"/>
  <c r="D1424" i="1"/>
  <c r="C1424" i="1"/>
  <c r="B1424" i="1"/>
  <c r="A1424" i="1"/>
  <c r="R1423" i="1"/>
  <c r="J1423" i="1"/>
  <c r="I1423" i="1"/>
  <c r="G1423" i="1"/>
  <c r="F1423" i="1"/>
  <c r="E1423" i="1"/>
  <c r="D1423" i="1"/>
  <c r="C1423" i="1"/>
  <c r="B1423" i="1"/>
  <c r="A1423" i="1"/>
  <c r="S1422" i="1"/>
  <c r="O1422" i="1"/>
  <c r="K1422" i="1"/>
  <c r="J1422" i="1"/>
  <c r="I1422" i="1"/>
  <c r="H1422" i="1"/>
  <c r="G1422" i="1"/>
  <c r="F1422" i="1"/>
  <c r="E1422" i="1"/>
  <c r="D1422" i="1"/>
  <c r="C1422" i="1"/>
  <c r="B1422" i="1"/>
  <c r="A1422" i="1"/>
  <c r="R1421" i="1"/>
  <c r="J1421" i="1"/>
  <c r="I1421" i="1"/>
  <c r="G1421" i="1"/>
  <c r="F1421" i="1"/>
  <c r="E1421" i="1"/>
  <c r="D1421" i="1"/>
  <c r="C1421" i="1"/>
  <c r="B1421" i="1"/>
  <c r="A1421" i="1"/>
  <c r="S1420" i="1"/>
  <c r="O1420" i="1"/>
  <c r="K1420" i="1"/>
  <c r="J1420" i="1"/>
  <c r="I1420" i="1"/>
  <c r="H1420" i="1"/>
  <c r="G1420" i="1"/>
  <c r="F1420" i="1"/>
  <c r="E1420" i="1"/>
  <c r="D1420" i="1"/>
  <c r="C1420" i="1"/>
  <c r="B1420" i="1"/>
  <c r="A1420" i="1"/>
  <c r="R1419" i="1"/>
  <c r="J1419" i="1"/>
  <c r="I1419" i="1"/>
  <c r="G1419" i="1"/>
  <c r="F1419" i="1"/>
  <c r="E1419" i="1"/>
  <c r="D1419" i="1"/>
  <c r="C1419" i="1"/>
  <c r="B1419" i="1"/>
  <c r="A1419" i="1"/>
  <c r="S1418" i="1"/>
  <c r="O1418" i="1"/>
  <c r="K1418" i="1"/>
  <c r="J1418" i="1"/>
  <c r="I1418" i="1"/>
  <c r="H1418" i="1"/>
  <c r="G1418" i="1"/>
  <c r="F1418" i="1"/>
  <c r="E1418" i="1"/>
  <c r="D1418" i="1"/>
  <c r="C1418" i="1"/>
  <c r="B1418" i="1"/>
  <c r="A1418" i="1"/>
  <c r="R1417" i="1"/>
  <c r="J1417" i="1"/>
  <c r="I1417" i="1"/>
  <c r="G1417" i="1"/>
  <c r="F1417" i="1"/>
  <c r="E1417" i="1"/>
  <c r="D1417" i="1"/>
  <c r="C1417" i="1"/>
  <c r="B1417" i="1"/>
  <c r="A1417" i="1"/>
  <c r="S1416" i="1"/>
  <c r="O1416" i="1"/>
  <c r="K1416" i="1"/>
  <c r="J1416" i="1"/>
  <c r="I1416" i="1"/>
  <c r="H1416" i="1"/>
  <c r="G1416" i="1"/>
  <c r="F1416" i="1"/>
  <c r="E1416" i="1"/>
  <c r="D1416" i="1"/>
  <c r="C1416" i="1"/>
  <c r="B1416" i="1"/>
  <c r="A1416" i="1"/>
  <c r="R1415" i="1"/>
  <c r="J1415" i="1"/>
  <c r="I1415" i="1"/>
  <c r="G1415" i="1"/>
  <c r="F1415" i="1"/>
  <c r="E1415" i="1"/>
  <c r="D1415" i="1"/>
  <c r="C1415" i="1"/>
  <c r="B1415" i="1"/>
  <c r="A1415" i="1"/>
  <c r="S1414" i="1"/>
  <c r="O1414" i="1"/>
  <c r="K1414" i="1"/>
  <c r="J1414" i="1"/>
  <c r="I1414" i="1"/>
  <c r="H1414" i="1"/>
  <c r="G1414" i="1"/>
  <c r="F1414" i="1"/>
  <c r="E1414" i="1"/>
  <c r="D1414" i="1"/>
  <c r="C1414" i="1"/>
  <c r="B1414" i="1"/>
  <c r="A1414" i="1"/>
  <c r="R1413" i="1"/>
  <c r="J1413" i="1"/>
  <c r="I1413" i="1"/>
  <c r="G1413" i="1"/>
  <c r="F1413" i="1"/>
  <c r="E1413" i="1"/>
  <c r="D1413" i="1"/>
  <c r="C1413" i="1"/>
  <c r="B1413" i="1"/>
  <c r="A1413" i="1"/>
  <c r="S1412" i="1"/>
  <c r="O1412" i="1"/>
  <c r="K1412" i="1"/>
  <c r="J1412" i="1"/>
  <c r="I1412" i="1"/>
  <c r="H1412" i="1"/>
  <c r="G1412" i="1"/>
  <c r="F1412" i="1"/>
  <c r="E1412" i="1"/>
  <c r="D1412" i="1"/>
  <c r="C1412" i="1"/>
  <c r="B1412" i="1"/>
  <c r="A1412" i="1"/>
  <c r="R1411" i="1"/>
  <c r="J1411" i="1"/>
  <c r="I1411" i="1"/>
  <c r="G1411" i="1"/>
  <c r="F1411" i="1"/>
  <c r="E1411" i="1"/>
  <c r="D1411" i="1"/>
  <c r="C1411" i="1"/>
  <c r="B1411" i="1"/>
  <c r="A1411" i="1"/>
  <c r="S1410" i="1"/>
  <c r="O1410" i="1"/>
  <c r="K1410" i="1"/>
  <c r="J1410" i="1"/>
  <c r="I1410" i="1"/>
  <c r="H1410" i="1"/>
  <c r="G1410" i="1"/>
  <c r="F1410" i="1"/>
  <c r="E1410" i="1"/>
  <c r="D1410" i="1"/>
  <c r="C1410" i="1"/>
  <c r="B1410" i="1"/>
  <c r="A1410" i="1"/>
  <c r="R1409" i="1"/>
  <c r="J1409" i="1"/>
  <c r="I1409" i="1"/>
  <c r="G1409" i="1"/>
  <c r="F1409" i="1"/>
  <c r="E1409" i="1"/>
  <c r="D1409" i="1"/>
  <c r="C1409" i="1"/>
  <c r="B1409" i="1"/>
  <c r="A1409" i="1"/>
  <c r="S1408" i="1"/>
  <c r="O1408" i="1"/>
  <c r="K1408" i="1"/>
  <c r="J1408" i="1"/>
  <c r="I1408" i="1"/>
  <c r="H1408" i="1"/>
  <c r="G1408" i="1"/>
  <c r="F1408" i="1"/>
  <c r="E1408" i="1"/>
  <c r="D1408" i="1"/>
  <c r="C1408" i="1"/>
  <c r="B1408" i="1"/>
  <c r="A1408" i="1"/>
  <c r="R1407" i="1"/>
  <c r="J1407" i="1"/>
  <c r="I1407" i="1"/>
  <c r="G1407" i="1"/>
  <c r="F1407" i="1"/>
  <c r="E1407" i="1"/>
  <c r="D1407" i="1"/>
  <c r="C1407" i="1"/>
  <c r="B1407" i="1"/>
  <c r="A1407" i="1"/>
  <c r="S1406" i="1"/>
  <c r="O1406" i="1"/>
  <c r="K1406" i="1"/>
  <c r="J1406" i="1"/>
  <c r="I1406" i="1"/>
  <c r="H1406" i="1"/>
  <c r="G1406" i="1"/>
  <c r="F1406" i="1"/>
  <c r="E1406" i="1"/>
  <c r="D1406" i="1"/>
  <c r="C1406" i="1"/>
  <c r="B1406" i="1"/>
  <c r="A1406" i="1"/>
  <c r="R1405" i="1"/>
  <c r="J1405" i="1"/>
  <c r="I1405" i="1"/>
  <c r="G1405" i="1"/>
  <c r="F1405" i="1"/>
  <c r="E1405" i="1"/>
  <c r="D1405" i="1"/>
  <c r="C1405" i="1"/>
  <c r="B1405" i="1"/>
  <c r="A1405" i="1"/>
  <c r="R1404" i="1"/>
  <c r="J1404" i="1"/>
  <c r="I1404" i="1"/>
  <c r="G1404" i="1"/>
  <c r="F1404" i="1"/>
  <c r="E1404" i="1"/>
  <c r="D1404" i="1"/>
  <c r="C1404" i="1"/>
  <c r="B1404" i="1"/>
  <c r="A1404" i="1"/>
  <c r="R1403" i="1"/>
  <c r="J1403" i="1"/>
  <c r="I1403" i="1"/>
  <c r="G1403" i="1"/>
  <c r="F1403" i="1"/>
  <c r="E1403" i="1"/>
  <c r="D1403" i="1"/>
  <c r="C1403" i="1"/>
  <c r="B1403" i="1"/>
  <c r="A1403" i="1"/>
  <c r="R1402" i="1"/>
  <c r="J1402" i="1"/>
  <c r="I1402" i="1"/>
  <c r="G1402" i="1"/>
  <c r="F1402" i="1"/>
  <c r="E1402" i="1"/>
  <c r="D1402" i="1"/>
  <c r="C1402" i="1"/>
  <c r="B1402" i="1"/>
  <c r="A1402" i="1"/>
  <c r="S1401" i="1"/>
  <c r="O1401" i="1"/>
  <c r="K1401" i="1"/>
  <c r="J1401" i="1"/>
  <c r="I1401" i="1"/>
  <c r="H1401" i="1"/>
  <c r="G1401" i="1"/>
  <c r="F1401" i="1"/>
  <c r="E1401" i="1"/>
  <c r="D1401" i="1"/>
  <c r="C1401" i="1"/>
  <c r="B1401" i="1"/>
  <c r="A1401" i="1"/>
  <c r="R1400" i="1"/>
  <c r="J1400" i="1"/>
  <c r="I1400" i="1"/>
  <c r="G1400" i="1"/>
  <c r="F1400" i="1"/>
  <c r="E1400" i="1"/>
  <c r="D1400" i="1"/>
  <c r="C1400" i="1"/>
  <c r="B1400" i="1"/>
  <c r="A1400" i="1"/>
  <c r="S1399" i="1"/>
  <c r="O1399" i="1"/>
  <c r="K1399" i="1"/>
  <c r="J1399" i="1"/>
  <c r="I1399" i="1"/>
  <c r="H1399" i="1"/>
  <c r="G1399" i="1"/>
  <c r="F1399" i="1"/>
  <c r="E1399" i="1"/>
  <c r="D1399" i="1"/>
  <c r="C1399" i="1"/>
  <c r="B1399" i="1"/>
  <c r="A1399" i="1"/>
  <c r="S1398" i="1"/>
  <c r="O1398" i="1"/>
  <c r="K1398" i="1"/>
  <c r="J1398" i="1"/>
  <c r="I1398" i="1"/>
  <c r="H1398" i="1"/>
  <c r="G1398" i="1"/>
  <c r="F1398" i="1"/>
  <c r="E1398" i="1"/>
  <c r="D1398" i="1"/>
  <c r="C1398" i="1"/>
  <c r="B1398" i="1"/>
  <c r="A1398" i="1"/>
  <c r="R1397" i="1"/>
  <c r="J1397" i="1"/>
  <c r="I1397" i="1"/>
  <c r="G1397" i="1"/>
  <c r="F1397" i="1"/>
  <c r="E1397" i="1"/>
  <c r="D1397" i="1"/>
  <c r="C1397" i="1"/>
  <c r="B1397" i="1"/>
  <c r="A1397" i="1"/>
  <c r="S1396" i="1"/>
  <c r="O1396" i="1"/>
  <c r="K1396" i="1"/>
  <c r="J1396" i="1"/>
  <c r="I1396" i="1"/>
  <c r="H1396" i="1"/>
  <c r="G1396" i="1"/>
  <c r="F1396" i="1"/>
  <c r="E1396" i="1"/>
  <c r="D1396" i="1"/>
  <c r="C1396" i="1"/>
  <c r="B1396" i="1"/>
  <c r="A1396" i="1"/>
  <c r="R1395" i="1"/>
  <c r="J1395" i="1"/>
  <c r="I1395" i="1"/>
  <c r="G1395" i="1"/>
  <c r="F1395" i="1"/>
  <c r="E1395" i="1"/>
  <c r="D1395" i="1"/>
  <c r="C1395" i="1"/>
  <c r="B1395" i="1"/>
  <c r="A1395" i="1"/>
  <c r="S1394" i="1"/>
  <c r="O1394" i="1"/>
  <c r="K1394" i="1"/>
  <c r="J1394" i="1"/>
  <c r="I1394" i="1"/>
  <c r="H1394" i="1"/>
  <c r="G1394" i="1"/>
  <c r="F1394" i="1"/>
  <c r="E1394" i="1"/>
  <c r="D1394" i="1"/>
  <c r="C1394" i="1"/>
  <c r="B1394" i="1"/>
  <c r="A1394" i="1"/>
  <c r="R1393" i="1"/>
  <c r="J1393" i="1"/>
  <c r="I1393" i="1"/>
  <c r="G1393" i="1"/>
  <c r="F1393" i="1"/>
  <c r="E1393" i="1"/>
  <c r="D1393" i="1"/>
  <c r="C1393" i="1"/>
  <c r="B1393" i="1"/>
  <c r="A1393" i="1"/>
  <c r="S1392" i="1"/>
  <c r="O1392" i="1"/>
  <c r="K1392" i="1"/>
  <c r="J1392" i="1"/>
  <c r="I1392" i="1"/>
  <c r="H1392" i="1"/>
  <c r="G1392" i="1"/>
  <c r="F1392" i="1"/>
  <c r="E1392" i="1"/>
  <c r="D1392" i="1"/>
  <c r="C1392" i="1"/>
  <c r="B1392" i="1"/>
  <c r="A1392" i="1"/>
  <c r="R1391" i="1"/>
  <c r="J1391" i="1"/>
  <c r="I1391" i="1"/>
  <c r="G1391" i="1"/>
  <c r="F1391" i="1"/>
  <c r="E1391" i="1"/>
  <c r="D1391" i="1"/>
  <c r="C1391" i="1"/>
  <c r="B1391" i="1"/>
  <c r="A1391" i="1"/>
  <c r="S1390" i="1"/>
  <c r="O1390" i="1"/>
  <c r="K1390" i="1"/>
  <c r="J1390" i="1"/>
  <c r="I1390" i="1"/>
  <c r="H1390" i="1"/>
  <c r="G1390" i="1"/>
  <c r="F1390" i="1"/>
  <c r="E1390" i="1"/>
  <c r="D1390" i="1"/>
  <c r="C1390" i="1"/>
  <c r="B1390" i="1"/>
  <c r="A1390" i="1"/>
  <c r="R1389" i="1"/>
  <c r="J1389" i="1"/>
  <c r="I1389" i="1"/>
  <c r="G1389" i="1"/>
  <c r="F1389" i="1"/>
  <c r="E1389" i="1"/>
  <c r="D1389" i="1"/>
  <c r="C1389" i="1"/>
  <c r="B1389" i="1"/>
  <c r="A1389" i="1"/>
  <c r="S1388" i="1"/>
  <c r="O1388" i="1"/>
  <c r="K1388" i="1"/>
  <c r="J1388" i="1"/>
  <c r="I1388" i="1"/>
  <c r="H1388" i="1"/>
  <c r="G1388" i="1"/>
  <c r="F1388" i="1"/>
  <c r="E1388" i="1"/>
  <c r="D1388" i="1"/>
  <c r="C1388" i="1"/>
  <c r="B1388" i="1"/>
  <c r="A1388" i="1"/>
  <c r="R1387" i="1"/>
  <c r="J1387" i="1"/>
  <c r="I1387" i="1"/>
  <c r="G1387" i="1"/>
  <c r="F1387" i="1"/>
  <c r="E1387" i="1"/>
  <c r="D1387" i="1"/>
  <c r="C1387" i="1"/>
  <c r="B1387" i="1"/>
  <c r="A1387" i="1"/>
  <c r="S1386" i="1"/>
  <c r="O1386" i="1"/>
  <c r="K1386" i="1"/>
  <c r="J1386" i="1"/>
  <c r="I1386" i="1"/>
  <c r="H1386" i="1"/>
  <c r="G1386" i="1"/>
  <c r="F1386" i="1"/>
  <c r="E1386" i="1"/>
  <c r="D1386" i="1"/>
  <c r="C1386" i="1"/>
  <c r="B1386" i="1"/>
  <c r="A1386" i="1"/>
  <c r="R1385" i="1"/>
  <c r="J1385" i="1"/>
  <c r="I1385" i="1"/>
  <c r="G1385" i="1"/>
  <c r="F1385" i="1"/>
  <c r="E1385" i="1"/>
  <c r="D1385" i="1"/>
  <c r="C1385" i="1"/>
  <c r="B1385" i="1"/>
  <c r="A1385" i="1"/>
  <c r="S1384" i="1"/>
  <c r="O1384" i="1"/>
  <c r="K1384" i="1"/>
  <c r="J1384" i="1"/>
  <c r="I1384" i="1"/>
  <c r="H1384" i="1"/>
  <c r="G1384" i="1"/>
  <c r="F1384" i="1"/>
  <c r="E1384" i="1"/>
  <c r="D1384" i="1"/>
  <c r="C1384" i="1"/>
  <c r="B1384" i="1"/>
  <c r="A1384" i="1"/>
  <c r="R1383" i="1"/>
  <c r="J1383" i="1"/>
  <c r="I1383" i="1"/>
  <c r="G1383" i="1"/>
  <c r="F1383" i="1"/>
  <c r="E1383" i="1"/>
  <c r="D1383" i="1"/>
  <c r="C1383" i="1"/>
  <c r="B1383" i="1"/>
  <c r="A1383" i="1"/>
  <c r="S1382" i="1"/>
  <c r="O1382" i="1"/>
  <c r="K1382" i="1"/>
  <c r="J1382" i="1"/>
  <c r="I1382" i="1"/>
  <c r="H1382" i="1"/>
  <c r="G1382" i="1"/>
  <c r="F1382" i="1"/>
  <c r="E1382" i="1"/>
  <c r="D1382" i="1"/>
  <c r="C1382" i="1"/>
  <c r="B1382" i="1"/>
  <c r="A1382" i="1"/>
  <c r="R1381" i="1"/>
  <c r="J1381" i="1"/>
  <c r="I1381" i="1"/>
  <c r="G1381" i="1"/>
  <c r="F1381" i="1"/>
  <c r="E1381" i="1"/>
  <c r="D1381" i="1"/>
  <c r="C1381" i="1"/>
  <c r="B1381" i="1"/>
  <c r="A1381" i="1"/>
  <c r="S1380" i="1"/>
  <c r="O1380" i="1"/>
  <c r="K1380" i="1"/>
  <c r="J1380" i="1"/>
  <c r="I1380" i="1"/>
  <c r="H1380" i="1"/>
  <c r="G1380" i="1"/>
  <c r="F1380" i="1"/>
  <c r="E1380" i="1"/>
  <c r="D1380" i="1"/>
  <c r="C1380" i="1"/>
  <c r="B1380" i="1"/>
  <c r="A1380" i="1"/>
  <c r="R1379" i="1"/>
  <c r="J1379" i="1"/>
  <c r="I1379" i="1"/>
  <c r="G1379" i="1"/>
  <c r="F1379" i="1"/>
  <c r="E1379" i="1"/>
  <c r="D1379" i="1"/>
  <c r="C1379" i="1"/>
  <c r="B1379" i="1"/>
  <c r="A1379" i="1"/>
  <c r="S1378" i="1"/>
  <c r="O1378" i="1"/>
  <c r="K1378" i="1"/>
  <c r="J1378" i="1"/>
  <c r="I1378" i="1"/>
  <c r="H1378" i="1"/>
  <c r="G1378" i="1"/>
  <c r="F1378" i="1"/>
  <c r="E1378" i="1"/>
  <c r="D1378" i="1"/>
  <c r="C1378" i="1"/>
  <c r="B1378" i="1"/>
  <c r="A1378" i="1"/>
  <c r="R1377" i="1"/>
  <c r="J1377" i="1"/>
  <c r="I1377" i="1"/>
  <c r="G1377" i="1"/>
  <c r="F1377" i="1"/>
  <c r="E1377" i="1"/>
  <c r="D1377" i="1"/>
  <c r="C1377" i="1"/>
  <c r="B1377" i="1"/>
  <c r="A1377" i="1"/>
  <c r="S1376" i="1"/>
  <c r="O1376" i="1"/>
  <c r="K1376" i="1"/>
  <c r="J1376" i="1"/>
  <c r="I1376" i="1"/>
  <c r="H1376" i="1"/>
  <c r="G1376" i="1"/>
  <c r="F1376" i="1"/>
  <c r="E1376" i="1"/>
  <c r="D1376" i="1"/>
  <c r="C1376" i="1"/>
  <c r="B1376" i="1"/>
  <c r="A1376" i="1"/>
  <c r="R1375" i="1"/>
  <c r="J1375" i="1"/>
  <c r="I1375" i="1"/>
  <c r="G1375" i="1"/>
  <c r="F1375" i="1"/>
  <c r="E1375" i="1"/>
  <c r="D1375" i="1"/>
  <c r="C1375" i="1"/>
  <c r="B1375" i="1"/>
  <c r="A1375" i="1"/>
  <c r="S1374" i="1"/>
  <c r="O1374" i="1"/>
  <c r="K1374" i="1"/>
  <c r="J1374" i="1"/>
  <c r="I1374" i="1"/>
  <c r="H1374" i="1"/>
  <c r="G1374" i="1"/>
  <c r="F1374" i="1"/>
  <c r="E1374" i="1"/>
  <c r="D1374" i="1"/>
  <c r="C1374" i="1"/>
  <c r="B1374" i="1"/>
  <c r="A1374" i="1"/>
  <c r="R1373" i="1"/>
  <c r="J1373" i="1"/>
  <c r="I1373" i="1"/>
  <c r="G1373" i="1"/>
  <c r="F1373" i="1"/>
  <c r="E1373" i="1"/>
  <c r="D1373" i="1"/>
  <c r="C1373" i="1"/>
  <c r="B1373" i="1"/>
  <c r="A1373" i="1"/>
  <c r="S1372" i="1"/>
  <c r="O1372" i="1"/>
  <c r="K1372" i="1"/>
  <c r="J1372" i="1"/>
  <c r="I1372" i="1"/>
  <c r="H1372" i="1"/>
  <c r="G1372" i="1"/>
  <c r="F1372" i="1"/>
  <c r="E1372" i="1"/>
  <c r="D1372" i="1"/>
  <c r="C1372" i="1"/>
  <c r="B1372" i="1"/>
  <c r="A1372" i="1"/>
  <c r="R1371" i="1"/>
  <c r="J1371" i="1"/>
  <c r="I1371" i="1"/>
  <c r="G1371" i="1"/>
  <c r="F1371" i="1"/>
  <c r="E1371" i="1"/>
  <c r="D1371" i="1"/>
  <c r="C1371" i="1"/>
  <c r="B1371" i="1"/>
  <c r="A1371" i="1"/>
  <c r="S1370" i="1"/>
  <c r="O1370" i="1"/>
  <c r="K1370" i="1"/>
  <c r="J1370" i="1"/>
  <c r="I1370" i="1"/>
  <c r="H1370" i="1"/>
  <c r="G1370" i="1"/>
  <c r="F1370" i="1"/>
  <c r="E1370" i="1"/>
  <c r="D1370" i="1"/>
  <c r="C1370" i="1"/>
  <c r="B1370" i="1"/>
  <c r="A1370" i="1"/>
  <c r="R1369" i="1"/>
  <c r="J1369" i="1"/>
  <c r="I1369" i="1"/>
  <c r="G1369" i="1"/>
  <c r="F1369" i="1"/>
  <c r="E1369" i="1"/>
  <c r="D1369" i="1"/>
  <c r="C1369" i="1"/>
  <c r="B1369" i="1"/>
  <c r="A1369" i="1"/>
  <c r="S1368" i="1"/>
  <c r="O1368" i="1"/>
  <c r="K1368" i="1"/>
  <c r="J1368" i="1"/>
  <c r="I1368" i="1"/>
  <c r="H1368" i="1"/>
  <c r="G1368" i="1"/>
  <c r="F1368" i="1"/>
  <c r="E1368" i="1"/>
  <c r="D1368" i="1"/>
  <c r="C1368" i="1"/>
  <c r="B1368" i="1"/>
  <c r="A1368" i="1"/>
  <c r="R1367" i="1"/>
  <c r="J1367" i="1"/>
  <c r="I1367" i="1"/>
  <c r="G1367" i="1"/>
  <c r="F1367" i="1"/>
  <c r="E1367" i="1"/>
  <c r="D1367" i="1"/>
  <c r="C1367" i="1"/>
  <c r="B1367" i="1"/>
  <c r="A1367" i="1"/>
  <c r="S1366" i="1"/>
  <c r="O1366" i="1"/>
  <c r="K1366" i="1"/>
  <c r="J1366" i="1"/>
  <c r="I1366" i="1"/>
  <c r="H1366" i="1"/>
  <c r="G1366" i="1"/>
  <c r="F1366" i="1"/>
  <c r="E1366" i="1"/>
  <c r="D1366" i="1"/>
  <c r="C1366" i="1"/>
  <c r="B1366" i="1"/>
  <c r="A1366" i="1"/>
  <c r="R1365" i="1"/>
  <c r="J1365" i="1"/>
  <c r="I1365" i="1"/>
  <c r="G1365" i="1"/>
  <c r="F1365" i="1"/>
  <c r="E1365" i="1"/>
  <c r="D1365" i="1"/>
  <c r="C1365" i="1"/>
  <c r="B1365" i="1"/>
  <c r="A1365" i="1"/>
  <c r="S1364" i="1"/>
  <c r="O1364" i="1"/>
  <c r="K1364" i="1"/>
  <c r="J1364" i="1"/>
  <c r="I1364" i="1"/>
  <c r="H1364" i="1"/>
  <c r="G1364" i="1"/>
  <c r="F1364" i="1"/>
  <c r="E1364" i="1"/>
  <c r="D1364" i="1"/>
  <c r="C1364" i="1"/>
  <c r="B1364" i="1"/>
  <c r="A1364" i="1"/>
  <c r="R1363" i="1"/>
  <c r="J1363" i="1"/>
  <c r="I1363" i="1"/>
  <c r="G1363" i="1"/>
  <c r="F1363" i="1"/>
  <c r="E1363" i="1"/>
  <c r="D1363" i="1"/>
  <c r="C1363" i="1"/>
  <c r="B1363" i="1"/>
  <c r="A1363" i="1"/>
  <c r="S1362" i="1"/>
  <c r="O1362" i="1"/>
  <c r="K1362" i="1"/>
  <c r="J1362" i="1"/>
  <c r="I1362" i="1"/>
  <c r="H1362" i="1"/>
  <c r="G1362" i="1"/>
  <c r="F1362" i="1"/>
  <c r="E1362" i="1"/>
  <c r="D1362" i="1"/>
  <c r="C1362" i="1"/>
  <c r="B1362" i="1"/>
  <c r="A1362" i="1"/>
  <c r="R1361" i="1"/>
  <c r="J1361" i="1"/>
  <c r="I1361" i="1"/>
  <c r="G1361" i="1"/>
  <c r="F1361" i="1"/>
  <c r="E1361" i="1"/>
  <c r="D1361" i="1"/>
  <c r="C1361" i="1"/>
  <c r="B1361" i="1"/>
  <c r="A1361" i="1"/>
  <c r="S1360" i="1"/>
  <c r="O1360" i="1"/>
  <c r="K1360" i="1"/>
  <c r="J1360" i="1"/>
  <c r="I1360" i="1"/>
  <c r="H1360" i="1"/>
  <c r="G1360" i="1"/>
  <c r="F1360" i="1"/>
  <c r="E1360" i="1"/>
  <c r="D1360" i="1"/>
  <c r="C1360" i="1"/>
  <c r="B1360" i="1"/>
  <c r="A1360" i="1"/>
  <c r="R1359" i="1"/>
  <c r="J1359" i="1"/>
  <c r="I1359" i="1"/>
  <c r="G1359" i="1"/>
  <c r="F1359" i="1"/>
  <c r="E1359" i="1"/>
  <c r="D1359" i="1"/>
  <c r="C1359" i="1"/>
  <c r="B1359" i="1"/>
  <c r="A1359" i="1"/>
  <c r="S1358" i="1"/>
  <c r="O1358" i="1"/>
  <c r="K1358" i="1"/>
  <c r="J1358" i="1"/>
  <c r="I1358" i="1"/>
  <c r="H1358" i="1"/>
  <c r="G1358" i="1"/>
  <c r="F1358" i="1"/>
  <c r="E1358" i="1"/>
  <c r="D1358" i="1"/>
  <c r="C1358" i="1"/>
  <c r="B1358" i="1"/>
  <c r="A1358" i="1"/>
  <c r="R1357" i="1"/>
  <c r="J1357" i="1"/>
  <c r="I1357" i="1"/>
  <c r="G1357" i="1"/>
  <c r="F1357" i="1"/>
  <c r="E1357" i="1"/>
  <c r="D1357" i="1"/>
  <c r="C1357" i="1"/>
  <c r="B1357" i="1"/>
  <c r="A1357" i="1"/>
  <c r="S1356" i="1"/>
  <c r="O1356" i="1"/>
  <c r="K1356" i="1"/>
  <c r="J1356" i="1"/>
  <c r="I1356" i="1"/>
  <c r="H1356" i="1"/>
  <c r="G1356" i="1"/>
  <c r="F1356" i="1"/>
  <c r="E1356" i="1"/>
  <c r="D1356" i="1"/>
  <c r="C1356" i="1"/>
  <c r="B1356" i="1"/>
  <c r="A1356" i="1"/>
  <c r="R1355" i="1"/>
  <c r="J1355" i="1"/>
  <c r="I1355" i="1"/>
  <c r="G1355" i="1"/>
  <c r="F1355" i="1"/>
  <c r="E1355" i="1"/>
  <c r="D1355" i="1"/>
  <c r="C1355" i="1"/>
  <c r="B1355" i="1"/>
  <c r="A1355" i="1"/>
  <c r="S1354" i="1"/>
  <c r="O1354" i="1"/>
  <c r="K1354" i="1"/>
  <c r="J1354" i="1"/>
  <c r="I1354" i="1"/>
  <c r="H1354" i="1"/>
  <c r="G1354" i="1"/>
  <c r="F1354" i="1"/>
  <c r="E1354" i="1"/>
  <c r="D1354" i="1"/>
  <c r="C1354" i="1"/>
  <c r="B1354" i="1"/>
  <c r="A1354" i="1"/>
  <c r="R1353" i="1"/>
  <c r="J1353" i="1"/>
  <c r="I1353" i="1"/>
  <c r="G1353" i="1"/>
  <c r="F1353" i="1"/>
  <c r="E1353" i="1"/>
  <c r="D1353" i="1"/>
  <c r="C1353" i="1"/>
  <c r="B1353" i="1"/>
  <c r="A1353" i="1"/>
  <c r="S1352" i="1"/>
  <c r="O1352" i="1"/>
  <c r="K1352" i="1"/>
  <c r="J1352" i="1"/>
  <c r="I1352" i="1"/>
  <c r="H1352" i="1"/>
  <c r="G1352" i="1"/>
  <c r="F1352" i="1"/>
  <c r="E1352" i="1"/>
  <c r="D1352" i="1"/>
  <c r="C1352" i="1"/>
  <c r="B1352" i="1"/>
  <c r="A1352" i="1"/>
  <c r="R1351" i="1"/>
  <c r="J1351" i="1"/>
  <c r="I1351" i="1"/>
  <c r="G1351" i="1"/>
  <c r="F1351" i="1"/>
  <c r="E1351" i="1"/>
  <c r="D1351" i="1"/>
  <c r="C1351" i="1"/>
  <c r="B1351" i="1"/>
  <c r="A1351" i="1"/>
  <c r="S1350" i="1"/>
  <c r="O1350" i="1"/>
  <c r="K1350" i="1"/>
  <c r="J1350" i="1"/>
  <c r="I1350" i="1"/>
  <c r="H1350" i="1"/>
  <c r="G1350" i="1"/>
  <c r="F1350" i="1"/>
  <c r="E1350" i="1"/>
  <c r="D1350" i="1"/>
  <c r="C1350" i="1"/>
  <c r="B1350" i="1"/>
  <c r="A1350" i="1"/>
  <c r="R1349" i="1"/>
  <c r="J1349" i="1"/>
  <c r="I1349" i="1"/>
  <c r="G1349" i="1"/>
  <c r="F1349" i="1"/>
  <c r="E1349" i="1"/>
  <c r="D1349" i="1"/>
  <c r="C1349" i="1"/>
  <c r="B1349" i="1"/>
  <c r="A1349" i="1"/>
  <c r="S1348" i="1"/>
  <c r="O1348" i="1"/>
  <c r="K1348" i="1"/>
  <c r="J1348" i="1"/>
  <c r="I1348" i="1"/>
  <c r="H1348" i="1"/>
  <c r="G1348" i="1"/>
  <c r="F1348" i="1"/>
  <c r="E1348" i="1"/>
  <c r="D1348" i="1"/>
  <c r="C1348" i="1"/>
  <c r="B1348" i="1"/>
  <c r="A1348" i="1"/>
  <c r="R1347" i="1"/>
  <c r="J1347" i="1"/>
  <c r="I1347" i="1"/>
  <c r="G1347" i="1"/>
  <c r="F1347" i="1"/>
  <c r="E1347" i="1"/>
  <c r="D1347" i="1"/>
  <c r="C1347" i="1"/>
  <c r="B1347" i="1"/>
  <c r="A1347" i="1"/>
  <c r="S1346" i="1"/>
  <c r="O1346" i="1"/>
  <c r="K1346" i="1"/>
  <c r="J1346" i="1"/>
  <c r="I1346" i="1"/>
  <c r="H1346" i="1"/>
  <c r="G1346" i="1"/>
  <c r="F1346" i="1"/>
  <c r="E1346" i="1"/>
  <c r="D1346" i="1"/>
  <c r="C1346" i="1"/>
  <c r="B1346" i="1"/>
  <c r="A1346" i="1"/>
  <c r="R1345" i="1"/>
  <c r="J1345" i="1"/>
  <c r="I1345" i="1"/>
  <c r="G1345" i="1"/>
  <c r="F1345" i="1"/>
  <c r="E1345" i="1"/>
  <c r="D1345" i="1"/>
  <c r="C1345" i="1"/>
  <c r="B1345" i="1"/>
  <c r="A1345" i="1"/>
  <c r="R1344" i="1"/>
  <c r="J1344" i="1"/>
  <c r="I1344" i="1"/>
  <c r="G1344" i="1"/>
  <c r="F1344" i="1"/>
  <c r="E1344" i="1"/>
  <c r="D1344" i="1"/>
  <c r="C1344" i="1"/>
  <c r="B1344" i="1"/>
  <c r="A1344" i="1"/>
  <c r="R1343" i="1"/>
  <c r="J1343" i="1"/>
  <c r="I1343" i="1"/>
  <c r="G1343" i="1"/>
  <c r="F1343" i="1"/>
  <c r="E1343" i="1"/>
  <c r="D1343" i="1"/>
  <c r="C1343" i="1"/>
  <c r="B1343" i="1"/>
  <c r="A1343" i="1"/>
  <c r="S1342" i="1"/>
  <c r="O1342" i="1"/>
  <c r="K1342" i="1"/>
  <c r="J1342" i="1"/>
  <c r="I1342" i="1"/>
  <c r="H1342" i="1"/>
  <c r="G1342" i="1"/>
  <c r="F1342" i="1"/>
  <c r="E1342" i="1"/>
  <c r="D1342" i="1"/>
  <c r="C1342" i="1"/>
  <c r="B1342" i="1"/>
  <c r="A1342" i="1"/>
  <c r="R1341" i="1"/>
  <c r="J1341" i="1"/>
  <c r="I1341" i="1"/>
  <c r="G1341" i="1"/>
  <c r="F1341" i="1"/>
  <c r="E1341" i="1"/>
  <c r="D1341" i="1"/>
  <c r="C1341" i="1"/>
  <c r="B1341" i="1"/>
  <c r="A1341" i="1"/>
  <c r="S1340" i="1"/>
  <c r="O1340" i="1"/>
  <c r="K1340" i="1"/>
  <c r="J1340" i="1"/>
  <c r="I1340" i="1"/>
  <c r="H1340" i="1"/>
  <c r="G1340" i="1"/>
  <c r="F1340" i="1"/>
  <c r="E1340" i="1"/>
  <c r="D1340" i="1"/>
  <c r="C1340" i="1"/>
  <c r="B1340" i="1"/>
  <c r="A1340" i="1"/>
  <c r="R1339" i="1"/>
  <c r="J1339" i="1"/>
  <c r="I1339" i="1"/>
  <c r="G1339" i="1"/>
  <c r="F1339" i="1"/>
  <c r="E1339" i="1"/>
  <c r="D1339" i="1"/>
  <c r="C1339" i="1"/>
  <c r="B1339" i="1"/>
  <c r="A1339" i="1"/>
  <c r="S1338" i="1"/>
  <c r="O1338" i="1"/>
  <c r="K1338" i="1"/>
  <c r="J1338" i="1"/>
  <c r="I1338" i="1"/>
  <c r="H1338" i="1"/>
  <c r="G1338" i="1"/>
  <c r="F1338" i="1"/>
  <c r="E1338" i="1"/>
  <c r="D1338" i="1"/>
  <c r="C1338" i="1"/>
  <c r="B1338" i="1"/>
  <c r="A1338" i="1"/>
  <c r="R1337" i="1"/>
  <c r="J1337" i="1"/>
  <c r="I1337" i="1"/>
  <c r="G1337" i="1"/>
  <c r="F1337" i="1"/>
  <c r="E1337" i="1"/>
  <c r="D1337" i="1"/>
  <c r="C1337" i="1"/>
  <c r="B1337" i="1"/>
  <c r="A1337" i="1"/>
  <c r="S1336" i="1"/>
  <c r="O1336" i="1"/>
  <c r="K1336" i="1"/>
  <c r="J1336" i="1"/>
  <c r="I1336" i="1"/>
  <c r="H1336" i="1"/>
  <c r="G1336" i="1"/>
  <c r="F1336" i="1"/>
  <c r="E1336" i="1"/>
  <c r="D1336" i="1"/>
  <c r="C1336" i="1"/>
  <c r="B1336" i="1"/>
  <c r="A1336" i="1"/>
  <c r="R1335" i="1"/>
  <c r="J1335" i="1"/>
  <c r="I1335" i="1"/>
  <c r="G1335" i="1"/>
  <c r="F1335" i="1"/>
  <c r="E1335" i="1"/>
  <c r="D1335" i="1"/>
  <c r="C1335" i="1"/>
  <c r="B1335" i="1"/>
  <c r="A1335" i="1"/>
  <c r="S1334" i="1"/>
  <c r="O1334" i="1"/>
  <c r="K1334" i="1"/>
  <c r="J1334" i="1"/>
  <c r="I1334" i="1"/>
  <c r="H1334" i="1"/>
  <c r="G1334" i="1"/>
  <c r="F1334" i="1"/>
  <c r="E1334" i="1"/>
  <c r="D1334" i="1"/>
  <c r="C1334" i="1"/>
  <c r="B1334" i="1"/>
  <c r="A1334" i="1"/>
  <c r="R1333" i="1"/>
  <c r="J1333" i="1"/>
  <c r="I1333" i="1"/>
  <c r="G1333" i="1"/>
  <c r="F1333" i="1"/>
  <c r="E1333" i="1"/>
  <c r="D1333" i="1"/>
  <c r="C1333" i="1"/>
  <c r="B1333" i="1"/>
  <c r="A1333" i="1"/>
  <c r="S1332" i="1"/>
  <c r="O1332" i="1"/>
  <c r="K1332" i="1"/>
  <c r="J1332" i="1"/>
  <c r="I1332" i="1"/>
  <c r="H1332" i="1"/>
  <c r="G1332" i="1"/>
  <c r="F1332" i="1"/>
  <c r="E1332" i="1"/>
  <c r="D1332" i="1"/>
  <c r="C1332" i="1"/>
  <c r="B1332" i="1"/>
  <c r="A1332" i="1"/>
  <c r="R1331" i="1"/>
  <c r="J1331" i="1"/>
  <c r="I1331" i="1"/>
  <c r="G1331" i="1"/>
  <c r="F1331" i="1"/>
  <c r="E1331" i="1"/>
  <c r="D1331" i="1"/>
  <c r="C1331" i="1"/>
  <c r="B1331" i="1"/>
  <c r="A1331" i="1"/>
  <c r="S1330" i="1"/>
  <c r="O1330" i="1"/>
  <c r="K1330" i="1"/>
  <c r="J1330" i="1"/>
  <c r="I1330" i="1"/>
  <c r="H1330" i="1"/>
  <c r="G1330" i="1"/>
  <c r="F1330" i="1"/>
  <c r="E1330" i="1"/>
  <c r="D1330" i="1"/>
  <c r="C1330" i="1"/>
  <c r="B1330" i="1"/>
  <c r="A1330" i="1"/>
  <c r="R1329" i="1"/>
  <c r="J1329" i="1"/>
  <c r="I1329" i="1"/>
  <c r="G1329" i="1"/>
  <c r="F1329" i="1"/>
  <c r="E1329" i="1"/>
  <c r="D1329" i="1"/>
  <c r="C1329" i="1"/>
  <c r="B1329" i="1"/>
  <c r="A1329" i="1"/>
  <c r="S1328" i="1"/>
  <c r="O1328" i="1"/>
  <c r="K1328" i="1"/>
  <c r="J1328" i="1"/>
  <c r="I1328" i="1"/>
  <c r="H1328" i="1"/>
  <c r="G1328" i="1"/>
  <c r="F1328" i="1"/>
  <c r="E1328" i="1"/>
  <c r="D1328" i="1"/>
  <c r="C1328" i="1"/>
  <c r="B1328" i="1"/>
  <c r="A1328" i="1"/>
  <c r="R1327" i="1"/>
  <c r="J1327" i="1"/>
  <c r="I1327" i="1"/>
  <c r="G1327" i="1"/>
  <c r="F1327" i="1"/>
  <c r="E1327" i="1"/>
  <c r="D1327" i="1"/>
  <c r="C1327" i="1"/>
  <c r="B1327" i="1"/>
  <c r="A1327" i="1"/>
  <c r="S1326" i="1"/>
  <c r="O1326" i="1"/>
  <c r="K1326" i="1"/>
  <c r="J1326" i="1"/>
  <c r="I1326" i="1"/>
  <c r="H1326" i="1"/>
  <c r="G1326" i="1"/>
  <c r="F1326" i="1"/>
  <c r="E1326" i="1"/>
  <c r="D1326" i="1"/>
  <c r="C1326" i="1"/>
  <c r="B1326" i="1"/>
  <c r="A1326" i="1"/>
  <c r="R1325" i="1"/>
  <c r="J1325" i="1"/>
  <c r="I1325" i="1"/>
  <c r="G1325" i="1"/>
  <c r="F1325" i="1"/>
  <c r="E1325" i="1"/>
  <c r="D1325" i="1"/>
  <c r="C1325" i="1"/>
  <c r="B1325" i="1"/>
  <c r="A1325" i="1"/>
  <c r="S1324" i="1"/>
  <c r="O1324" i="1"/>
  <c r="K1324" i="1"/>
  <c r="J1324" i="1"/>
  <c r="I1324" i="1"/>
  <c r="H1324" i="1"/>
  <c r="G1324" i="1"/>
  <c r="F1324" i="1"/>
  <c r="E1324" i="1"/>
  <c r="D1324" i="1"/>
  <c r="C1324" i="1"/>
  <c r="B1324" i="1"/>
  <c r="A1324" i="1"/>
  <c r="R1323" i="1"/>
  <c r="J1323" i="1"/>
  <c r="I1323" i="1"/>
  <c r="G1323" i="1"/>
  <c r="F1323" i="1"/>
  <c r="E1323" i="1"/>
  <c r="D1323" i="1"/>
  <c r="C1323" i="1"/>
  <c r="B1323" i="1"/>
  <c r="A1323" i="1"/>
  <c r="S1322" i="1"/>
  <c r="O1322" i="1"/>
  <c r="K1322" i="1"/>
  <c r="J1322" i="1"/>
  <c r="I1322" i="1"/>
  <c r="H1322" i="1"/>
  <c r="G1322" i="1"/>
  <c r="F1322" i="1"/>
  <c r="E1322" i="1"/>
  <c r="D1322" i="1"/>
  <c r="C1322" i="1"/>
  <c r="B1322" i="1"/>
  <c r="A1322" i="1"/>
  <c r="R1321" i="1"/>
  <c r="J1321" i="1"/>
  <c r="I1321" i="1"/>
  <c r="G1321" i="1"/>
  <c r="F1321" i="1"/>
  <c r="E1321" i="1"/>
  <c r="D1321" i="1"/>
  <c r="C1321" i="1"/>
  <c r="B1321" i="1"/>
  <c r="A1321" i="1"/>
  <c r="S1320" i="1"/>
  <c r="O1320" i="1"/>
  <c r="K1320" i="1"/>
  <c r="J1320" i="1"/>
  <c r="I1320" i="1"/>
  <c r="H1320" i="1"/>
  <c r="G1320" i="1"/>
  <c r="F1320" i="1"/>
  <c r="E1320" i="1"/>
  <c r="D1320" i="1"/>
  <c r="C1320" i="1"/>
  <c r="B1320" i="1"/>
  <c r="A1320" i="1"/>
  <c r="R1319" i="1"/>
  <c r="J1319" i="1"/>
  <c r="I1319" i="1"/>
  <c r="G1319" i="1"/>
  <c r="F1319" i="1"/>
  <c r="E1319" i="1"/>
  <c r="D1319" i="1"/>
  <c r="C1319" i="1"/>
  <c r="B1319" i="1"/>
  <c r="A1319" i="1"/>
  <c r="S1318" i="1"/>
  <c r="O1318" i="1"/>
  <c r="K1318" i="1"/>
  <c r="J1318" i="1"/>
  <c r="I1318" i="1"/>
  <c r="H1318" i="1"/>
  <c r="G1318" i="1"/>
  <c r="F1318" i="1"/>
  <c r="E1318" i="1"/>
  <c r="D1318" i="1"/>
  <c r="C1318" i="1"/>
  <c r="B1318" i="1"/>
  <c r="A1318" i="1"/>
  <c r="R1317" i="1"/>
  <c r="J1317" i="1"/>
  <c r="I1317" i="1"/>
  <c r="G1317" i="1"/>
  <c r="F1317" i="1"/>
  <c r="E1317" i="1"/>
  <c r="D1317" i="1"/>
  <c r="C1317" i="1"/>
  <c r="B1317" i="1"/>
  <c r="A1317" i="1"/>
  <c r="S1316" i="1"/>
  <c r="O1316" i="1"/>
  <c r="K1316" i="1"/>
  <c r="J1316" i="1"/>
  <c r="I1316" i="1"/>
  <c r="H1316" i="1"/>
  <c r="G1316" i="1"/>
  <c r="F1316" i="1"/>
  <c r="E1316" i="1"/>
  <c r="D1316" i="1"/>
  <c r="C1316" i="1"/>
  <c r="B1316" i="1"/>
  <c r="A1316" i="1"/>
  <c r="R1315" i="1"/>
  <c r="J1315" i="1"/>
  <c r="I1315" i="1"/>
  <c r="G1315" i="1"/>
  <c r="F1315" i="1"/>
  <c r="E1315" i="1"/>
  <c r="D1315" i="1"/>
  <c r="C1315" i="1"/>
  <c r="B1315" i="1"/>
  <c r="A1315" i="1"/>
  <c r="S1314" i="1"/>
  <c r="O1314" i="1"/>
  <c r="K1314" i="1"/>
  <c r="J1314" i="1"/>
  <c r="I1314" i="1"/>
  <c r="H1314" i="1"/>
  <c r="G1314" i="1"/>
  <c r="F1314" i="1"/>
  <c r="E1314" i="1"/>
  <c r="D1314" i="1"/>
  <c r="C1314" i="1"/>
  <c r="B1314" i="1"/>
  <c r="A1314" i="1"/>
  <c r="R1313" i="1"/>
  <c r="J1313" i="1"/>
  <c r="I1313" i="1"/>
  <c r="G1313" i="1"/>
  <c r="F1313" i="1"/>
  <c r="E1313" i="1"/>
  <c r="D1313" i="1"/>
  <c r="C1313" i="1"/>
  <c r="B1313" i="1"/>
  <c r="A1313" i="1"/>
  <c r="S1312" i="1"/>
  <c r="O1312" i="1"/>
  <c r="K1312" i="1"/>
  <c r="J1312" i="1"/>
  <c r="I1312" i="1"/>
  <c r="H1312" i="1"/>
  <c r="G1312" i="1"/>
  <c r="F1312" i="1"/>
  <c r="E1312" i="1"/>
  <c r="D1312" i="1"/>
  <c r="C1312" i="1"/>
  <c r="B1312" i="1"/>
  <c r="A1312" i="1"/>
  <c r="R1311" i="1"/>
  <c r="J1311" i="1"/>
  <c r="I1311" i="1"/>
  <c r="G1311" i="1"/>
  <c r="F1311" i="1"/>
  <c r="E1311" i="1"/>
  <c r="D1311" i="1"/>
  <c r="C1311" i="1"/>
  <c r="B1311" i="1"/>
  <c r="A1311" i="1"/>
  <c r="S1310" i="1"/>
  <c r="O1310" i="1"/>
  <c r="K1310" i="1"/>
  <c r="J1310" i="1"/>
  <c r="I1310" i="1"/>
  <c r="H1310" i="1"/>
  <c r="G1310" i="1"/>
  <c r="F1310" i="1"/>
  <c r="E1310" i="1"/>
  <c r="D1310" i="1"/>
  <c r="C1310" i="1"/>
  <c r="B1310" i="1"/>
  <c r="A1310" i="1"/>
  <c r="R1309" i="1"/>
  <c r="J1309" i="1"/>
  <c r="I1309" i="1"/>
  <c r="G1309" i="1"/>
  <c r="F1309" i="1"/>
  <c r="E1309" i="1"/>
  <c r="D1309" i="1"/>
  <c r="C1309" i="1"/>
  <c r="B1309" i="1"/>
  <c r="A1309" i="1"/>
  <c r="S1308" i="1"/>
  <c r="O1308" i="1"/>
  <c r="K1308" i="1"/>
  <c r="J1308" i="1"/>
  <c r="I1308" i="1"/>
  <c r="H1308" i="1"/>
  <c r="G1308" i="1"/>
  <c r="F1308" i="1"/>
  <c r="E1308" i="1"/>
  <c r="D1308" i="1"/>
  <c r="C1308" i="1"/>
  <c r="B1308" i="1"/>
  <c r="A1308" i="1"/>
  <c r="R1307" i="1"/>
  <c r="J1307" i="1"/>
  <c r="I1307" i="1"/>
  <c r="G1307" i="1"/>
  <c r="F1307" i="1"/>
  <c r="E1307" i="1"/>
  <c r="D1307" i="1"/>
  <c r="C1307" i="1"/>
  <c r="B1307" i="1"/>
  <c r="A1307" i="1"/>
  <c r="S1306" i="1"/>
  <c r="O1306" i="1"/>
  <c r="K1306" i="1"/>
  <c r="J1306" i="1"/>
  <c r="I1306" i="1"/>
  <c r="H1306" i="1"/>
  <c r="G1306" i="1"/>
  <c r="F1306" i="1"/>
  <c r="E1306" i="1"/>
  <c r="D1306" i="1"/>
  <c r="C1306" i="1"/>
  <c r="B1306" i="1"/>
  <c r="A1306" i="1"/>
  <c r="R1305" i="1"/>
  <c r="J1305" i="1"/>
  <c r="I1305" i="1"/>
  <c r="G1305" i="1"/>
  <c r="F1305" i="1"/>
  <c r="E1305" i="1"/>
  <c r="D1305" i="1"/>
  <c r="C1305" i="1"/>
  <c r="B1305" i="1"/>
  <c r="A1305" i="1"/>
  <c r="S1304" i="1"/>
  <c r="O1304" i="1"/>
  <c r="K1304" i="1"/>
  <c r="J1304" i="1"/>
  <c r="I1304" i="1"/>
  <c r="H1304" i="1"/>
  <c r="G1304" i="1"/>
  <c r="F1304" i="1"/>
  <c r="E1304" i="1"/>
  <c r="D1304" i="1"/>
  <c r="C1304" i="1"/>
  <c r="B1304" i="1"/>
  <c r="A1304" i="1"/>
  <c r="R1303" i="1"/>
  <c r="J1303" i="1"/>
  <c r="I1303" i="1"/>
  <c r="G1303" i="1"/>
  <c r="F1303" i="1"/>
  <c r="E1303" i="1"/>
  <c r="D1303" i="1"/>
  <c r="C1303" i="1"/>
  <c r="B1303" i="1"/>
  <c r="A1303" i="1"/>
  <c r="R1302" i="1"/>
  <c r="J1302" i="1"/>
  <c r="I1302" i="1"/>
  <c r="G1302" i="1"/>
  <c r="F1302" i="1"/>
  <c r="E1302" i="1"/>
  <c r="D1302" i="1"/>
  <c r="C1302" i="1"/>
  <c r="B1302" i="1"/>
  <c r="A1302" i="1"/>
  <c r="S1301" i="1"/>
  <c r="O1301" i="1"/>
  <c r="K1301" i="1"/>
  <c r="J1301" i="1"/>
  <c r="I1301" i="1"/>
  <c r="H1301" i="1"/>
  <c r="G1301" i="1"/>
  <c r="F1301" i="1"/>
  <c r="E1301" i="1"/>
  <c r="D1301" i="1"/>
  <c r="C1301" i="1"/>
  <c r="B1301" i="1"/>
  <c r="A1301" i="1"/>
  <c r="R1300" i="1"/>
  <c r="J1300" i="1"/>
  <c r="I1300" i="1"/>
  <c r="G1300" i="1"/>
  <c r="F1300" i="1"/>
  <c r="E1300" i="1"/>
  <c r="D1300" i="1"/>
  <c r="C1300" i="1"/>
  <c r="B1300" i="1"/>
  <c r="A1300" i="1"/>
  <c r="S1299" i="1"/>
  <c r="O1299" i="1"/>
  <c r="K1299" i="1"/>
  <c r="J1299" i="1"/>
  <c r="I1299" i="1"/>
  <c r="H1299" i="1"/>
  <c r="G1299" i="1"/>
  <c r="F1299" i="1"/>
  <c r="E1299" i="1"/>
  <c r="D1299" i="1"/>
  <c r="C1299" i="1"/>
  <c r="B1299" i="1"/>
  <c r="A1299" i="1"/>
  <c r="R1298" i="1"/>
  <c r="J1298" i="1"/>
  <c r="I1298" i="1"/>
  <c r="G1298" i="1"/>
  <c r="F1298" i="1"/>
  <c r="E1298" i="1"/>
  <c r="D1298" i="1"/>
  <c r="C1298" i="1"/>
  <c r="B1298" i="1"/>
  <c r="A1298" i="1"/>
  <c r="S1297" i="1"/>
  <c r="O1297" i="1"/>
  <c r="K1297" i="1"/>
  <c r="J1297" i="1"/>
  <c r="I1297" i="1"/>
  <c r="H1297" i="1"/>
  <c r="G1297" i="1"/>
  <c r="F1297" i="1"/>
  <c r="E1297" i="1"/>
  <c r="D1297" i="1"/>
  <c r="C1297" i="1"/>
  <c r="B1297" i="1"/>
  <c r="A1297" i="1"/>
  <c r="R1296" i="1"/>
  <c r="J1296" i="1"/>
  <c r="I1296" i="1"/>
  <c r="G1296" i="1"/>
  <c r="F1296" i="1"/>
  <c r="E1296" i="1"/>
  <c r="D1296" i="1"/>
  <c r="C1296" i="1"/>
  <c r="B1296" i="1"/>
  <c r="A1296" i="1"/>
  <c r="S1295" i="1"/>
  <c r="O1295" i="1"/>
  <c r="K1295" i="1"/>
  <c r="J1295" i="1"/>
  <c r="I1295" i="1"/>
  <c r="H1295" i="1"/>
  <c r="G1295" i="1"/>
  <c r="F1295" i="1"/>
  <c r="E1295" i="1"/>
  <c r="D1295" i="1"/>
  <c r="C1295" i="1"/>
  <c r="B1295" i="1"/>
  <c r="A1295" i="1"/>
  <c r="R1294" i="1"/>
  <c r="J1294" i="1"/>
  <c r="I1294" i="1"/>
  <c r="G1294" i="1"/>
  <c r="F1294" i="1"/>
  <c r="E1294" i="1"/>
  <c r="D1294" i="1"/>
  <c r="C1294" i="1"/>
  <c r="B1294" i="1"/>
  <c r="A1294" i="1"/>
  <c r="S1293" i="1"/>
  <c r="O1293" i="1"/>
  <c r="K1293" i="1"/>
  <c r="J1293" i="1"/>
  <c r="I1293" i="1"/>
  <c r="H1293" i="1"/>
  <c r="G1293" i="1"/>
  <c r="F1293" i="1"/>
  <c r="E1293" i="1"/>
  <c r="D1293" i="1"/>
  <c r="C1293" i="1"/>
  <c r="B1293" i="1"/>
  <c r="A1293" i="1"/>
  <c r="R1292" i="1"/>
  <c r="J1292" i="1"/>
  <c r="I1292" i="1"/>
  <c r="G1292" i="1"/>
  <c r="F1292" i="1"/>
  <c r="E1292" i="1"/>
  <c r="D1292" i="1"/>
  <c r="C1292" i="1"/>
  <c r="B1292" i="1"/>
  <c r="A1292" i="1"/>
  <c r="S1291" i="1"/>
  <c r="O1291" i="1"/>
  <c r="K1291" i="1"/>
  <c r="J1291" i="1"/>
  <c r="I1291" i="1"/>
  <c r="H1291" i="1"/>
  <c r="G1291" i="1"/>
  <c r="F1291" i="1"/>
  <c r="E1291" i="1"/>
  <c r="D1291" i="1"/>
  <c r="C1291" i="1"/>
  <c r="B1291" i="1"/>
  <c r="A1291" i="1"/>
  <c r="R1290" i="1"/>
  <c r="J1290" i="1"/>
  <c r="I1290" i="1"/>
  <c r="G1290" i="1"/>
  <c r="F1290" i="1"/>
  <c r="E1290" i="1"/>
  <c r="D1290" i="1"/>
  <c r="C1290" i="1"/>
  <c r="B1290" i="1"/>
  <c r="A1290" i="1"/>
  <c r="R1289" i="1"/>
  <c r="J1289" i="1"/>
  <c r="I1289" i="1"/>
  <c r="G1289" i="1"/>
  <c r="F1289" i="1"/>
  <c r="E1289" i="1"/>
  <c r="D1289" i="1"/>
  <c r="C1289" i="1"/>
  <c r="B1289" i="1"/>
  <c r="A1289" i="1"/>
  <c r="S1288" i="1"/>
  <c r="O1288" i="1"/>
  <c r="K1288" i="1"/>
  <c r="J1288" i="1"/>
  <c r="I1288" i="1"/>
  <c r="H1288" i="1"/>
  <c r="G1288" i="1"/>
  <c r="F1288" i="1"/>
  <c r="E1288" i="1"/>
  <c r="D1288" i="1"/>
  <c r="C1288" i="1"/>
  <c r="B1288" i="1"/>
  <c r="A1288" i="1"/>
  <c r="R1287" i="1"/>
  <c r="J1287" i="1"/>
  <c r="I1287" i="1"/>
  <c r="G1287" i="1"/>
  <c r="F1287" i="1"/>
  <c r="E1287" i="1"/>
  <c r="D1287" i="1"/>
  <c r="C1287" i="1"/>
  <c r="B1287" i="1"/>
  <c r="A1287" i="1"/>
  <c r="S1286" i="1"/>
  <c r="O1286" i="1"/>
  <c r="K1286" i="1"/>
  <c r="J1286" i="1"/>
  <c r="I1286" i="1"/>
  <c r="H1286" i="1"/>
  <c r="G1286" i="1"/>
  <c r="F1286" i="1"/>
  <c r="E1286" i="1"/>
  <c r="D1286" i="1"/>
  <c r="C1286" i="1"/>
  <c r="B1286" i="1"/>
  <c r="A1286" i="1"/>
  <c r="R1285" i="1"/>
  <c r="J1285" i="1"/>
  <c r="I1285" i="1"/>
  <c r="G1285" i="1"/>
  <c r="F1285" i="1"/>
  <c r="E1285" i="1"/>
  <c r="D1285" i="1"/>
  <c r="C1285" i="1"/>
  <c r="B1285" i="1"/>
  <c r="A1285" i="1"/>
  <c r="S1284" i="1"/>
  <c r="O1284" i="1"/>
  <c r="K1284" i="1"/>
  <c r="J1284" i="1"/>
  <c r="I1284" i="1"/>
  <c r="H1284" i="1"/>
  <c r="G1284" i="1"/>
  <c r="F1284" i="1"/>
  <c r="E1284" i="1"/>
  <c r="D1284" i="1"/>
  <c r="C1284" i="1"/>
  <c r="B1284" i="1"/>
  <c r="A1284" i="1"/>
  <c r="R1283" i="1"/>
  <c r="J1283" i="1"/>
  <c r="I1283" i="1"/>
  <c r="G1283" i="1"/>
  <c r="F1283" i="1"/>
  <c r="E1283" i="1"/>
  <c r="D1283" i="1"/>
  <c r="C1283" i="1"/>
  <c r="B1283" i="1"/>
  <c r="A1283" i="1"/>
  <c r="S1282" i="1"/>
  <c r="O1282" i="1"/>
  <c r="K1282" i="1"/>
  <c r="J1282" i="1"/>
  <c r="I1282" i="1"/>
  <c r="H1282" i="1"/>
  <c r="G1282" i="1"/>
  <c r="F1282" i="1"/>
  <c r="E1282" i="1"/>
  <c r="D1282" i="1"/>
  <c r="C1282" i="1"/>
  <c r="B1282" i="1"/>
  <c r="A1282" i="1"/>
  <c r="R1281" i="1"/>
  <c r="J1281" i="1"/>
  <c r="I1281" i="1"/>
  <c r="G1281" i="1"/>
  <c r="F1281" i="1"/>
  <c r="E1281" i="1"/>
  <c r="D1281" i="1"/>
  <c r="C1281" i="1"/>
  <c r="B1281" i="1"/>
  <c r="A1281" i="1"/>
  <c r="S1280" i="1"/>
  <c r="O1280" i="1"/>
  <c r="K1280" i="1"/>
  <c r="J1280" i="1"/>
  <c r="I1280" i="1"/>
  <c r="H1280" i="1"/>
  <c r="G1280" i="1"/>
  <c r="F1280" i="1"/>
  <c r="E1280" i="1"/>
  <c r="D1280" i="1"/>
  <c r="C1280" i="1"/>
  <c r="B1280" i="1"/>
  <c r="A1280" i="1"/>
  <c r="R1279" i="1"/>
  <c r="J1279" i="1"/>
  <c r="I1279" i="1"/>
  <c r="G1279" i="1"/>
  <c r="F1279" i="1"/>
  <c r="E1279" i="1"/>
  <c r="D1279" i="1"/>
  <c r="C1279" i="1"/>
  <c r="B1279" i="1"/>
  <c r="A1279" i="1"/>
  <c r="S1278" i="1"/>
  <c r="O1278" i="1"/>
  <c r="K1278" i="1"/>
  <c r="J1278" i="1"/>
  <c r="I1278" i="1"/>
  <c r="H1278" i="1"/>
  <c r="G1278" i="1"/>
  <c r="F1278" i="1"/>
  <c r="E1278" i="1"/>
  <c r="D1278" i="1"/>
  <c r="C1278" i="1"/>
  <c r="B1278" i="1"/>
  <c r="A1278" i="1"/>
  <c r="R1277" i="1"/>
  <c r="J1277" i="1"/>
  <c r="I1277" i="1"/>
  <c r="G1277" i="1"/>
  <c r="F1277" i="1"/>
  <c r="E1277" i="1"/>
  <c r="D1277" i="1"/>
  <c r="C1277" i="1"/>
  <c r="B1277" i="1"/>
  <c r="A1277" i="1"/>
  <c r="S1276" i="1"/>
  <c r="O1276" i="1"/>
  <c r="K1276" i="1"/>
  <c r="J1276" i="1"/>
  <c r="I1276" i="1"/>
  <c r="H1276" i="1"/>
  <c r="G1276" i="1"/>
  <c r="F1276" i="1"/>
  <c r="E1276" i="1"/>
  <c r="D1276" i="1"/>
  <c r="C1276" i="1"/>
  <c r="B1276" i="1"/>
  <c r="A1276" i="1"/>
  <c r="R1275" i="1"/>
  <c r="J1275" i="1"/>
  <c r="I1275" i="1"/>
  <c r="G1275" i="1"/>
  <c r="F1275" i="1"/>
  <c r="E1275" i="1"/>
  <c r="D1275" i="1"/>
  <c r="C1275" i="1"/>
  <c r="B1275" i="1"/>
  <c r="A1275" i="1"/>
  <c r="S1274" i="1"/>
  <c r="O1274" i="1"/>
  <c r="K1274" i="1"/>
  <c r="J1274" i="1"/>
  <c r="I1274" i="1"/>
  <c r="H1274" i="1"/>
  <c r="G1274" i="1"/>
  <c r="F1274" i="1"/>
  <c r="E1274" i="1"/>
  <c r="D1274" i="1"/>
  <c r="C1274" i="1"/>
  <c r="B1274" i="1"/>
  <c r="A1274" i="1"/>
  <c r="R1273" i="1"/>
  <c r="J1273" i="1"/>
  <c r="I1273" i="1"/>
  <c r="G1273" i="1"/>
  <c r="F1273" i="1"/>
  <c r="E1273" i="1"/>
  <c r="D1273" i="1"/>
  <c r="C1273" i="1"/>
  <c r="B1273" i="1"/>
  <c r="A1273" i="1"/>
  <c r="R1272" i="1"/>
  <c r="J1272" i="1"/>
  <c r="I1272" i="1"/>
  <c r="G1272" i="1"/>
  <c r="F1272" i="1"/>
  <c r="E1272" i="1"/>
  <c r="D1272" i="1"/>
  <c r="C1272" i="1"/>
  <c r="B1272" i="1"/>
  <c r="A1272" i="1"/>
  <c r="S1271" i="1"/>
  <c r="O1271" i="1"/>
  <c r="K1271" i="1"/>
  <c r="J1271" i="1"/>
  <c r="I1271" i="1"/>
  <c r="H1271" i="1"/>
  <c r="G1271" i="1"/>
  <c r="F1271" i="1"/>
  <c r="E1271" i="1"/>
  <c r="D1271" i="1"/>
  <c r="C1271" i="1"/>
  <c r="B1271" i="1"/>
  <c r="A1271" i="1"/>
  <c r="R1270" i="1"/>
  <c r="J1270" i="1"/>
  <c r="I1270" i="1"/>
  <c r="G1270" i="1"/>
  <c r="F1270" i="1"/>
  <c r="E1270" i="1"/>
  <c r="D1270" i="1"/>
  <c r="C1270" i="1"/>
  <c r="B1270" i="1"/>
  <c r="A1270" i="1"/>
  <c r="S1269" i="1"/>
  <c r="O1269" i="1"/>
  <c r="K1269" i="1"/>
  <c r="J1269" i="1"/>
  <c r="I1269" i="1"/>
  <c r="H1269" i="1"/>
  <c r="G1269" i="1"/>
  <c r="F1269" i="1"/>
  <c r="E1269" i="1"/>
  <c r="D1269" i="1"/>
  <c r="C1269" i="1"/>
  <c r="B1269" i="1"/>
  <c r="A1269" i="1"/>
  <c r="R1268" i="1"/>
  <c r="J1268" i="1"/>
  <c r="I1268" i="1"/>
  <c r="G1268" i="1"/>
  <c r="F1268" i="1"/>
  <c r="E1268" i="1"/>
  <c r="D1268" i="1"/>
  <c r="C1268" i="1"/>
  <c r="B1268" i="1"/>
  <c r="A1268" i="1"/>
  <c r="S1267" i="1"/>
  <c r="O1267" i="1"/>
  <c r="K1267" i="1"/>
  <c r="J1267" i="1"/>
  <c r="I1267" i="1"/>
  <c r="H1267" i="1"/>
  <c r="G1267" i="1"/>
  <c r="F1267" i="1"/>
  <c r="E1267" i="1"/>
  <c r="D1267" i="1"/>
  <c r="C1267" i="1"/>
  <c r="B1267" i="1"/>
  <c r="A1267" i="1"/>
  <c r="R1266" i="1"/>
  <c r="J1266" i="1"/>
  <c r="I1266" i="1"/>
  <c r="G1266" i="1"/>
  <c r="F1266" i="1"/>
  <c r="E1266" i="1"/>
  <c r="D1266" i="1"/>
  <c r="C1266" i="1"/>
  <c r="B1266" i="1"/>
  <c r="A1266" i="1"/>
  <c r="S1265" i="1"/>
  <c r="O1265" i="1"/>
  <c r="K1265" i="1"/>
  <c r="J1265" i="1"/>
  <c r="I1265" i="1"/>
  <c r="H1265" i="1"/>
  <c r="G1265" i="1"/>
  <c r="F1265" i="1"/>
  <c r="E1265" i="1"/>
  <c r="D1265" i="1"/>
  <c r="C1265" i="1"/>
  <c r="B1265" i="1"/>
  <c r="A1265" i="1"/>
  <c r="R1264" i="1"/>
  <c r="J1264" i="1"/>
  <c r="I1264" i="1"/>
  <c r="G1264" i="1"/>
  <c r="F1264" i="1"/>
  <c r="E1264" i="1"/>
  <c r="D1264" i="1"/>
  <c r="C1264" i="1"/>
  <c r="B1264" i="1"/>
  <c r="A1264" i="1"/>
  <c r="S1263" i="1"/>
  <c r="O1263" i="1"/>
  <c r="K1263" i="1"/>
  <c r="J1263" i="1"/>
  <c r="I1263" i="1"/>
  <c r="H1263" i="1"/>
  <c r="G1263" i="1"/>
  <c r="F1263" i="1"/>
  <c r="E1263" i="1"/>
  <c r="D1263" i="1"/>
  <c r="C1263" i="1"/>
  <c r="B1263" i="1"/>
  <c r="A1263" i="1"/>
  <c r="R1262" i="1"/>
  <c r="J1262" i="1"/>
  <c r="I1262" i="1"/>
  <c r="G1262" i="1"/>
  <c r="F1262" i="1"/>
  <c r="E1262" i="1"/>
  <c r="D1262" i="1"/>
  <c r="C1262" i="1"/>
  <c r="B1262" i="1"/>
  <c r="A1262" i="1"/>
  <c r="S1261" i="1"/>
  <c r="O1261" i="1"/>
  <c r="K1261" i="1"/>
  <c r="J1261" i="1"/>
  <c r="I1261" i="1"/>
  <c r="H1261" i="1"/>
  <c r="G1261" i="1"/>
  <c r="F1261" i="1"/>
  <c r="E1261" i="1"/>
  <c r="D1261" i="1"/>
  <c r="C1261" i="1"/>
  <c r="B1261" i="1"/>
  <c r="A1261" i="1"/>
  <c r="R1260" i="1"/>
  <c r="J1260" i="1"/>
  <c r="I1260" i="1"/>
  <c r="G1260" i="1"/>
  <c r="F1260" i="1"/>
  <c r="E1260" i="1"/>
  <c r="D1260" i="1"/>
  <c r="C1260" i="1"/>
  <c r="B1260" i="1"/>
  <c r="A1260" i="1"/>
  <c r="S1259" i="1"/>
  <c r="O1259" i="1"/>
  <c r="K1259" i="1"/>
  <c r="J1259" i="1"/>
  <c r="I1259" i="1"/>
  <c r="H1259" i="1"/>
  <c r="G1259" i="1"/>
  <c r="F1259" i="1"/>
  <c r="E1259" i="1"/>
  <c r="D1259" i="1"/>
  <c r="C1259" i="1"/>
  <c r="B1259" i="1"/>
  <c r="A1259" i="1"/>
  <c r="R1258" i="1"/>
  <c r="J1258" i="1"/>
  <c r="I1258" i="1"/>
  <c r="G1258" i="1"/>
  <c r="F1258" i="1"/>
  <c r="E1258" i="1"/>
  <c r="D1258" i="1"/>
  <c r="C1258" i="1"/>
  <c r="B1258" i="1"/>
  <c r="A1258" i="1"/>
  <c r="S1257" i="1"/>
  <c r="O1257" i="1"/>
  <c r="K1257" i="1"/>
  <c r="J1257" i="1"/>
  <c r="I1257" i="1"/>
  <c r="H1257" i="1"/>
  <c r="G1257" i="1"/>
  <c r="F1257" i="1"/>
  <c r="E1257" i="1"/>
  <c r="D1257" i="1"/>
  <c r="C1257" i="1"/>
  <c r="B1257" i="1"/>
  <c r="A1257" i="1"/>
  <c r="R1256" i="1"/>
  <c r="J1256" i="1"/>
  <c r="I1256" i="1"/>
  <c r="G1256" i="1"/>
  <c r="F1256" i="1"/>
  <c r="E1256" i="1"/>
  <c r="D1256" i="1"/>
  <c r="C1256" i="1"/>
  <c r="B1256" i="1"/>
  <c r="A1256" i="1"/>
  <c r="S1255" i="1"/>
  <c r="O1255" i="1"/>
  <c r="K1255" i="1"/>
  <c r="J1255" i="1"/>
  <c r="I1255" i="1"/>
  <c r="H1255" i="1"/>
  <c r="G1255" i="1"/>
  <c r="F1255" i="1"/>
  <c r="E1255" i="1"/>
  <c r="D1255" i="1"/>
  <c r="C1255" i="1"/>
  <c r="B1255" i="1"/>
  <c r="A1255" i="1"/>
  <c r="R1254" i="1"/>
  <c r="J1254" i="1"/>
  <c r="I1254" i="1"/>
  <c r="G1254" i="1"/>
  <c r="F1254" i="1"/>
  <c r="E1254" i="1"/>
  <c r="D1254" i="1"/>
  <c r="C1254" i="1"/>
  <c r="B1254" i="1"/>
  <c r="A1254" i="1"/>
  <c r="S1253" i="1"/>
  <c r="O1253" i="1"/>
  <c r="K1253" i="1"/>
  <c r="J1253" i="1"/>
  <c r="I1253" i="1"/>
  <c r="H1253" i="1"/>
  <c r="G1253" i="1"/>
  <c r="F1253" i="1"/>
  <c r="E1253" i="1"/>
  <c r="D1253" i="1"/>
  <c r="C1253" i="1"/>
  <c r="B1253" i="1"/>
  <c r="A1253" i="1"/>
  <c r="R1252" i="1"/>
  <c r="J1252" i="1"/>
  <c r="I1252" i="1"/>
  <c r="G1252" i="1"/>
  <c r="F1252" i="1"/>
  <c r="E1252" i="1"/>
  <c r="D1252" i="1"/>
  <c r="C1252" i="1"/>
  <c r="B1252" i="1"/>
  <c r="A1252" i="1"/>
  <c r="S1251" i="1"/>
  <c r="O1251" i="1"/>
  <c r="K1251" i="1"/>
  <c r="J1251" i="1"/>
  <c r="I1251" i="1"/>
  <c r="H1251" i="1"/>
  <c r="G1251" i="1"/>
  <c r="F1251" i="1"/>
  <c r="E1251" i="1"/>
  <c r="D1251" i="1"/>
  <c r="C1251" i="1"/>
  <c r="B1251" i="1"/>
  <c r="A1251" i="1"/>
  <c r="R1250" i="1"/>
  <c r="J1250" i="1"/>
  <c r="I1250" i="1"/>
  <c r="G1250" i="1"/>
  <c r="F1250" i="1"/>
  <c r="E1250" i="1"/>
  <c r="D1250" i="1"/>
  <c r="C1250" i="1"/>
  <c r="B1250" i="1"/>
  <c r="A1250" i="1"/>
  <c r="S1249" i="1"/>
  <c r="O1249" i="1"/>
  <c r="K1249" i="1"/>
  <c r="J1249" i="1"/>
  <c r="I1249" i="1"/>
  <c r="H1249" i="1"/>
  <c r="G1249" i="1"/>
  <c r="F1249" i="1"/>
  <c r="E1249" i="1"/>
  <c r="D1249" i="1"/>
  <c r="C1249" i="1"/>
  <c r="B1249" i="1"/>
  <c r="A1249" i="1"/>
  <c r="R1248" i="1"/>
  <c r="J1248" i="1"/>
  <c r="I1248" i="1"/>
  <c r="G1248" i="1"/>
  <c r="F1248" i="1"/>
  <c r="E1248" i="1"/>
  <c r="D1248" i="1"/>
  <c r="C1248" i="1"/>
  <c r="B1248" i="1"/>
  <c r="A1248" i="1"/>
  <c r="S1247" i="1"/>
  <c r="O1247" i="1"/>
  <c r="K1247" i="1"/>
  <c r="J1247" i="1"/>
  <c r="I1247" i="1"/>
  <c r="H1247" i="1"/>
  <c r="G1247" i="1"/>
  <c r="F1247" i="1"/>
  <c r="E1247" i="1"/>
  <c r="D1247" i="1"/>
  <c r="C1247" i="1"/>
  <c r="B1247" i="1"/>
  <c r="A1247" i="1"/>
  <c r="R1246" i="1"/>
  <c r="J1246" i="1"/>
  <c r="I1246" i="1"/>
  <c r="G1246" i="1"/>
  <c r="F1246" i="1"/>
  <c r="E1246" i="1"/>
  <c r="D1246" i="1"/>
  <c r="C1246" i="1"/>
  <c r="B1246" i="1"/>
  <c r="A1246" i="1"/>
  <c r="S1245" i="1"/>
  <c r="O1245" i="1"/>
  <c r="K1245" i="1"/>
  <c r="J1245" i="1"/>
  <c r="I1245" i="1"/>
  <c r="H1245" i="1"/>
  <c r="G1245" i="1"/>
  <c r="F1245" i="1"/>
  <c r="E1245" i="1"/>
  <c r="D1245" i="1"/>
  <c r="C1245" i="1"/>
  <c r="B1245" i="1"/>
  <c r="A1245" i="1"/>
  <c r="R1244" i="1"/>
  <c r="J1244" i="1"/>
  <c r="I1244" i="1"/>
  <c r="G1244" i="1"/>
  <c r="F1244" i="1"/>
  <c r="E1244" i="1"/>
  <c r="D1244" i="1"/>
  <c r="C1244" i="1"/>
  <c r="B1244" i="1"/>
  <c r="A1244" i="1"/>
  <c r="S1243" i="1"/>
  <c r="O1243" i="1"/>
  <c r="K1243" i="1"/>
  <c r="J1243" i="1"/>
  <c r="I1243" i="1"/>
  <c r="H1243" i="1"/>
  <c r="G1243" i="1"/>
  <c r="F1243" i="1"/>
  <c r="E1243" i="1"/>
  <c r="D1243" i="1"/>
  <c r="C1243" i="1"/>
  <c r="B1243" i="1"/>
  <c r="A1243" i="1"/>
  <c r="R1242" i="1"/>
  <c r="J1242" i="1"/>
  <c r="I1242" i="1"/>
  <c r="G1242" i="1"/>
  <c r="F1242" i="1"/>
  <c r="E1242" i="1"/>
  <c r="D1242" i="1"/>
  <c r="C1242" i="1"/>
  <c r="B1242" i="1"/>
  <c r="A1242" i="1"/>
  <c r="S1241" i="1"/>
  <c r="O1241" i="1"/>
  <c r="K1241" i="1"/>
  <c r="J1241" i="1"/>
  <c r="I1241" i="1"/>
  <c r="H1241" i="1"/>
  <c r="G1241" i="1"/>
  <c r="F1241" i="1"/>
  <c r="E1241" i="1"/>
  <c r="D1241" i="1"/>
  <c r="C1241" i="1"/>
  <c r="B1241" i="1"/>
  <c r="A1241" i="1"/>
  <c r="R1240" i="1"/>
  <c r="J1240" i="1"/>
  <c r="I1240" i="1"/>
  <c r="G1240" i="1"/>
  <c r="F1240" i="1"/>
  <c r="E1240" i="1"/>
  <c r="D1240" i="1"/>
  <c r="C1240" i="1"/>
  <c r="B1240" i="1"/>
  <c r="A1240" i="1"/>
  <c r="S1239" i="1"/>
  <c r="O1239" i="1"/>
  <c r="K1239" i="1"/>
  <c r="J1239" i="1"/>
  <c r="I1239" i="1"/>
  <c r="H1239" i="1"/>
  <c r="G1239" i="1"/>
  <c r="F1239" i="1"/>
  <c r="E1239" i="1"/>
  <c r="D1239" i="1"/>
  <c r="C1239" i="1"/>
  <c r="B1239" i="1"/>
  <c r="A1239" i="1"/>
  <c r="R1238" i="1"/>
  <c r="J1238" i="1"/>
  <c r="I1238" i="1"/>
  <c r="G1238" i="1"/>
  <c r="F1238" i="1"/>
  <c r="E1238" i="1"/>
  <c r="D1238" i="1"/>
  <c r="C1238" i="1"/>
  <c r="B1238" i="1"/>
  <c r="A1238" i="1"/>
  <c r="S1237" i="1"/>
  <c r="O1237" i="1"/>
  <c r="K1237" i="1"/>
  <c r="J1237" i="1"/>
  <c r="I1237" i="1"/>
  <c r="H1237" i="1"/>
  <c r="G1237" i="1"/>
  <c r="F1237" i="1"/>
  <c r="E1237" i="1"/>
  <c r="D1237" i="1"/>
  <c r="C1237" i="1"/>
  <c r="B1237" i="1"/>
  <c r="A1237" i="1"/>
  <c r="R1236" i="1"/>
  <c r="J1236" i="1"/>
  <c r="I1236" i="1"/>
  <c r="G1236" i="1"/>
  <c r="F1236" i="1"/>
  <c r="E1236" i="1"/>
  <c r="D1236" i="1"/>
  <c r="C1236" i="1"/>
  <c r="B1236" i="1"/>
  <c r="A1236" i="1"/>
  <c r="S1235" i="1"/>
  <c r="O1235" i="1"/>
  <c r="K1235" i="1"/>
  <c r="J1235" i="1"/>
  <c r="I1235" i="1"/>
  <c r="H1235" i="1"/>
  <c r="G1235" i="1"/>
  <c r="F1235" i="1"/>
  <c r="E1235" i="1"/>
  <c r="D1235" i="1"/>
  <c r="C1235" i="1"/>
  <c r="B1235" i="1"/>
  <c r="A1235" i="1"/>
  <c r="R1234" i="1"/>
  <c r="J1234" i="1"/>
  <c r="I1234" i="1"/>
  <c r="G1234" i="1"/>
  <c r="F1234" i="1"/>
  <c r="E1234" i="1"/>
  <c r="D1234" i="1"/>
  <c r="C1234" i="1"/>
  <c r="B1234" i="1"/>
  <c r="A1234" i="1"/>
  <c r="S1233" i="1"/>
  <c r="O1233" i="1"/>
  <c r="K1233" i="1"/>
  <c r="J1233" i="1"/>
  <c r="I1233" i="1"/>
  <c r="H1233" i="1"/>
  <c r="G1233" i="1"/>
  <c r="F1233" i="1"/>
  <c r="E1233" i="1"/>
  <c r="D1233" i="1"/>
  <c r="C1233" i="1"/>
  <c r="B1233" i="1"/>
  <c r="A1233" i="1"/>
  <c r="R1232" i="1"/>
  <c r="J1232" i="1"/>
  <c r="I1232" i="1"/>
  <c r="G1232" i="1"/>
  <c r="F1232" i="1"/>
  <c r="E1232" i="1"/>
  <c r="D1232" i="1"/>
  <c r="C1232" i="1"/>
  <c r="B1232" i="1"/>
  <c r="A1232" i="1"/>
  <c r="S1231" i="1"/>
  <c r="O1231" i="1"/>
  <c r="K1231" i="1"/>
  <c r="J1231" i="1"/>
  <c r="I1231" i="1"/>
  <c r="H1231" i="1"/>
  <c r="G1231" i="1"/>
  <c r="F1231" i="1"/>
  <c r="E1231" i="1"/>
  <c r="D1231" i="1"/>
  <c r="C1231" i="1"/>
  <c r="B1231" i="1"/>
  <c r="A1231" i="1"/>
  <c r="R1230" i="1"/>
  <c r="J1230" i="1"/>
  <c r="I1230" i="1"/>
  <c r="G1230" i="1"/>
  <c r="F1230" i="1"/>
  <c r="E1230" i="1"/>
  <c r="D1230" i="1"/>
  <c r="C1230" i="1"/>
  <c r="B1230" i="1"/>
  <c r="A1230" i="1"/>
  <c r="S1229" i="1"/>
  <c r="O1229" i="1"/>
  <c r="K1229" i="1"/>
  <c r="J1229" i="1"/>
  <c r="I1229" i="1"/>
  <c r="H1229" i="1"/>
  <c r="G1229" i="1"/>
  <c r="F1229" i="1"/>
  <c r="E1229" i="1"/>
  <c r="D1229" i="1"/>
  <c r="C1229" i="1"/>
  <c r="B1229" i="1"/>
  <c r="A1229" i="1"/>
  <c r="R1228" i="1"/>
  <c r="J1228" i="1"/>
  <c r="I1228" i="1"/>
  <c r="G1228" i="1"/>
  <c r="F1228" i="1"/>
  <c r="E1228" i="1"/>
  <c r="D1228" i="1"/>
  <c r="C1228" i="1"/>
  <c r="B1228" i="1"/>
  <c r="A1228" i="1"/>
  <c r="S1227" i="1"/>
  <c r="O1227" i="1"/>
  <c r="K1227" i="1"/>
  <c r="J1227" i="1"/>
  <c r="I1227" i="1"/>
  <c r="H1227" i="1"/>
  <c r="G1227" i="1"/>
  <c r="F1227" i="1"/>
  <c r="E1227" i="1"/>
  <c r="D1227" i="1"/>
  <c r="C1227" i="1"/>
  <c r="B1227" i="1"/>
  <c r="A1227" i="1"/>
  <c r="R1226" i="1"/>
  <c r="J1226" i="1"/>
  <c r="I1226" i="1"/>
  <c r="G1226" i="1"/>
  <c r="F1226" i="1"/>
  <c r="E1226" i="1"/>
  <c r="D1226" i="1"/>
  <c r="C1226" i="1"/>
  <c r="B1226" i="1"/>
  <c r="A1226" i="1"/>
  <c r="S1225" i="1"/>
  <c r="O1225" i="1"/>
  <c r="K1225" i="1"/>
  <c r="J1225" i="1"/>
  <c r="I1225" i="1"/>
  <c r="H1225" i="1"/>
  <c r="G1225" i="1"/>
  <c r="F1225" i="1"/>
  <c r="E1225" i="1"/>
  <c r="D1225" i="1"/>
  <c r="C1225" i="1"/>
  <c r="B1225" i="1"/>
  <c r="A1225" i="1"/>
  <c r="R1224" i="1"/>
  <c r="J1224" i="1"/>
  <c r="I1224" i="1"/>
  <c r="G1224" i="1"/>
  <c r="F1224" i="1"/>
  <c r="E1224" i="1"/>
  <c r="D1224" i="1"/>
  <c r="C1224" i="1"/>
  <c r="B1224" i="1"/>
  <c r="A1224" i="1"/>
  <c r="S1223" i="1"/>
  <c r="O1223" i="1"/>
  <c r="K1223" i="1"/>
  <c r="J1223" i="1"/>
  <c r="I1223" i="1"/>
  <c r="H1223" i="1"/>
  <c r="G1223" i="1"/>
  <c r="F1223" i="1"/>
  <c r="E1223" i="1"/>
  <c r="D1223" i="1"/>
  <c r="C1223" i="1"/>
  <c r="B1223" i="1"/>
  <c r="A1223" i="1"/>
  <c r="R1222" i="1"/>
  <c r="J1222" i="1"/>
  <c r="I1222" i="1"/>
  <c r="G1222" i="1"/>
  <c r="F1222" i="1"/>
  <c r="E1222" i="1"/>
  <c r="D1222" i="1"/>
  <c r="C1222" i="1"/>
  <c r="B1222" i="1"/>
  <c r="A1222" i="1"/>
  <c r="S1221" i="1"/>
  <c r="O1221" i="1"/>
  <c r="K1221" i="1"/>
  <c r="J1221" i="1"/>
  <c r="I1221" i="1"/>
  <c r="H1221" i="1"/>
  <c r="G1221" i="1"/>
  <c r="F1221" i="1"/>
  <c r="E1221" i="1"/>
  <c r="D1221" i="1"/>
  <c r="C1221" i="1"/>
  <c r="B1221" i="1"/>
  <c r="A1221" i="1"/>
  <c r="R1220" i="1"/>
  <c r="J1220" i="1"/>
  <c r="I1220" i="1"/>
  <c r="G1220" i="1"/>
  <c r="F1220" i="1"/>
  <c r="E1220" i="1"/>
  <c r="D1220" i="1"/>
  <c r="C1220" i="1"/>
  <c r="B1220" i="1"/>
  <c r="A1220" i="1"/>
  <c r="S1219" i="1"/>
  <c r="O1219" i="1"/>
  <c r="K1219" i="1"/>
  <c r="J1219" i="1"/>
  <c r="I1219" i="1"/>
  <c r="H1219" i="1"/>
  <c r="G1219" i="1"/>
  <c r="F1219" i="1"/>
  <c r="E1219" i="1"/>
  <c r="D1219" i="1"/>
  <c r="C1219" i="1"/>
  <c r="B1219" i="1"/>
  <c r="A1219" i="1"/>
  <c r="R1218" i="1"/>
  <c r="J1218" i="1"/>
  <c r="I1218" i="1"/>
  <c r="G1218" i="1"/>
  <c r="F1218" i="1"/>
  <c r="E1218" i="1"/>
  <c r="D1218" i="1"/>
  <c r="C1218" i="1"/>
  <c r="B1218" i="1"/>
  <c r="A1218" i="1"/>
  <c r="S1217" i="1"/>
  <c r="O1217" i="1"/>
  <c r="K1217" i="1"/>
  <c r="J1217" i="1"/>
  <c r="I1217" i="1"/>
  <c r="H1217" i="1"/>
  <c r="G1217" i="1"/>
  <c r="F1217" i="1"/>
  <c r="E1217" i="1"/>
  <c r="D1217" i="1"/>
  <c r="C1217" i="1"/>
  <c r="B1217" i="1"/>
  <c r="A1217" i="1"/>
  <c r="R1216" i="1"/>
  <c r="J1216" i="1"/>
  <c r="I1216" i="1"/>
  <c r="G1216" i="1"/>
  <c r="F1216" i="1"/>
  <c r="E1216" i="1"/>
  <c r="D1216" i="1"/>
  <c r="C1216" i="1"/>
  <c r="B1216" i="1"/>
  <c r="A1216" i="1"/>
  <c r="R1215" i="1"/>
  <c r="J1215" i="1"/>
  <c r="I1215" i="1"/>
  <c r="G1215" i="1"/>
  <c r="F1215" i="1"/>
  <c r="E1215" i="1"/>
  <c r="D1215" i="1"/>
  <c r="C1215" i="1"/>
  <c r="B1215" i="1"/>
  <c r="A1215" i="1"/>
  <c r="S1214" i="1"/>
  <c r="O1214" i="1"/>
  <c r="K1214" i="1"/>
  <c r="J1214" i="1"/>
  <c r="I1214" i="1"/>
  <c r="H1214" i="1"/>
  <c r="G1214" i="1"/>
  <c r="F1214" i="1"/>
  <c r="E1214" i="1"/>
  <c r="D1214" i="1"/>
  <c r="C1214" i="1"/>
  <c r="B1214" i="1"/>
  <c r="A1214" i="1"/>
  <c r="R1213" i="1"/>
  <c r="J1213" i="1"/>
  <c r="I1213" i="1"/>
  <c r="G1213" i="1"/>
  <c r="F1213" i="1"/>
  <c r="E1213" i="1"/>
  <c r="D1213" i="1"/>
  <c r="C1213" i="1"/>
  <c r="B1213" i="1"/>
  <c r="A1213" i="1"/>
  <c r="S1212" i="1"/>
  <c r="O1212" i="1"/>
  <c r="K1212" i="1"/>
  <c r="J1212" i="1"/>
  <c r="I1212" i="1"/>
  <c r="H1212" i="1"/>
  <c r="G1212" i="1"/>
  <c r="F1212" i="1"/>
  <c r="E1212" i="1"/>
  <c r="D1212" i="1"/>
  <c r="C1212" i="1"/>
  <c r="B1212" i="1"/>
  <c r="A1212" i="1"/>
  <c r="R1211" i="1"/>
  <c r="J1211" i="1"/>
  <c r="I1211" i="1"/>
  <c r="G1211" i="1"/>
  <c r="F1211" i="1"/>
  <c r="E1211" i="1"/>
  <c r="D1211" i="1"/>
  <c r="C1211" i="1"/>
  <c r="B1211" i="1"/>
  <c r="A1211" i="1"/>
  <c r="S1210" i="1"/>
  <c r="O1210" i="1"/>
  <c r="K1210" i="1"/>
  <c r="J1210" i="1"/>
  <c r="I1210" i="1"/>
  <c r="H1210" i="1"/>
  <c r="G1210" i="1"/>
  <c r="F1210" i="1"/>
  <c r="E1210" i="1"/>
  <c r="D1210" i="1"/>
  <c r="C1210" i="1"/>
  <c r="B1210" i="1"/>
  <c r="A1210" i="1"/>
  <c r="R1209" i="1"/>
  <c r="J1209" i="1"/>
  <c r="I1209" i="1"/>
  <c r="G1209" i="1"/>
  <c r="F1209" i="1"/>
  <c r="E1209" i="1"/>
  <c r="D1209" i="1"/>
  <c r="C1209" i="1"/>
  <c r="B1209" i="1"/>
  <c r="A1209" i="1"/>
  <c r="S1208" i="1"/>
  <c r="O1208" i="1"/>
  <c r="K1208" i="1"/>
  <c r="J1208" i="1"/>
  <c r="I1208" i="1"/>
  <c r="H1208" i="1"/>
  <c r="G1208" i="1"/>
  <c r="F1208" i="1"/>
  <c r="E1208" i="1"/>
  <c r="D1208" i="1"/>
  <c r="C1208" i="1"/>
  <c r="B1208" i="1"/>
  <c r="A1208" i="1"/>
  <c r="R1207" i="1"/>
  <c r="J1207" i="1"/>
  <c r="I1207" i="1"/>
  <c r="G1207" i="1"/>
  <c r="F1207" i="1"/>
  <c r="E1207" i="1"/>
  <c r="D1207" i="1"/>
  <c r="C1207" i="1"/>
  <c r="B1207" i="1"/>
  <c r="A1207" i="1"/>
  <c r="S1206" i="1"/>
  <c r="O1206" i="1"/>
  <c r="K1206" i="1"/>
  <c r="J1206" i="1"/>
  <c r="I1206" i="1"/>
  <c r="H1206" i="1"/>
  <c r="G1206" i="1"/>
  <c r="F1206" i="1"/>
  <c r="E1206" i="1"/>
  <c r="D1206" i="1"/>
  <c r="C1206" i="1"/>
  <c r="B1206" i="1"/>
  <c r="A1206" i="1"/>
  <c r="R1205" i="1"/>
  <c r="J1205" i="1"/>
  <c r="I1205" i="1"/>
  <c r="G1205" i="1"/>
  <c r="F1205" i="1"/>
  <c r="E1205" i="1"/>
  <c r="D1205" i="1"/>
  <c r="C1205" i="1"/>
  <c r="B1205" i="1"/>
  <c r="A1205" i="1"/>
  <c r="S1204" i="1"/>
  <c r="O1204" i="1"/>
  <c r="K1204" i="1"/>
  <c r="J1204" i="1"/>
  <c r="I1204" i="1"/>
  <c r="H1204" i="1"/>
  <c r="G1204" i="1"/>
  <c r="F1204" i="1"/>
  <c r="E1204" i="1"/>
  <c r="D1204" i="1"/>
  <c r="C1204" i="1"/>
  <c r="B1204" i="1"/>
  <c r="A1204" i="1"/>
  <c r="R1203" i="1"/>
  <c r="J1203" i="1"/>
  <c r="I1203" i="1"/>
  <c r="G1203" i="1"/>
  <c r="F1203" i="1"/>
  <c r="E1203" i="1"/>
  <c r="D1203" i="1"/>
  <c r="C1203" i="1"/>
  <c r="B1203" i="1"/>
  <c r="A1203" i="1"/>
  <c r="R1202" i="1"/>
  <c r="J1202" i="1"/>
  <c r="I1202" i="1"/>
  <c r="G1202" i="1"/>
  <c r="F1202" i="1"/>
  <c r="E1202" i="1"/>
  <c r="D1202" i="1"/>
  <c r="C1202" i="1"/>
  <c r="B1202" i="1"/>
  <c r="A1202" i="1"/>
  <c r="S1201" i="1"/>
  <c r="O1201" i="1"/>
  <c r="K1201" i="1"/>
  <c r="J1201" i="1"/>
  <c r="I1201" i="1"/>
  <c r="H1201" i="1"/>
  <c r="G1201" i="1"/>
  <c r="F1201" i="1"/>
  <c r="E1201" i="1"/>
  <c r="D1201" i="1"/>
  <c r="C1201" i="1"/>
  <c r="B1201" i="1"/>
  <c r="A1201" i="1"/>
  <c r="R1200" i="1"/>
  <c r="J1200" i="1"/>
  <c r="I1200" i="1"/>
  <c r="G1200" i="1"/>
  <c r="F1200" i="1"/>
  <c r="E1200" i="1"/>
  <c r="D1200" i="1"/>
  <c r="C1200" i="1"/>
  <c r="B1200" i="1"/>
  <c r="A1200" i="1"/>
  <c r="S1199" i="1"/>
  <c r="O1199" i="1"/>
  <c r="K1199" i="1"/>
  <c r="J1199" i="1"/>
  <c r="I1199" i="1"/>
  <c r="H1199" i="1"/>
  <c r="G1199" i="1"/>
  <c r="F1199" i="1"/>
  <c r="E1199" i="1"/>
  <c r="D1199" i="1"/>
  <c r="C1199" i="1"/>
  <c r="B1199" i="1"/>
  <c r="A1199" i="1"/>
  <c r="R1198" i="1"/>
  <c r="J1198" i="1"/>
  <c r="I1198" i="1"/>
  <c r="G1198" i="1"/>
  <c r="F1198" i="1"/>
  <c r="E1198" i="1"/>
  <c r="D1198" i="1"/>
  <c r="C1198" i="1"/>
  <c r="B1198" i="1"/>
  <c r="A1198" i="1"/>
  <c r="S1197" i="1"/>
  <c r="O1197" i="1"/>
  <c r="K1197" i="1"/>
  <c r="J1197" i="1"/>
  <c r="I1197" i="1"/>
  <c r="H1197" i="1"/>
  <c r="G1197" i="1"/>
  <c r="F1197" i="1"/>
  <c r="E1197" i="1"/>
  <c r="D1197" i="1"/>
  <c r="C1197" i="1"/>
  <c r="B1197" i="1"/>
  <c r="A1197" i="1"/>
  <c r="R1196" i="1"/>
  <c r="J1196" i="1"/>
  <c r="I1196" i="1"/>
  <c r="G1196" i="1"/>
  <c r="F1196" i="1"/>
  <c r="E1196" i="1"/>
  <c r="D1196" i="1"/>
  <c r="C1196" i="1"/>
  <c r="B1196" i="1"/>
  <c r="A1196" i="1"/>
  <c r="S1195" i="1"/>
  <c r="O1195" i="1"/>
  <c r="K1195" i="1"/>
  <c r="J1195" i="1"/>
  <c r="I1195" i="1"/>
  <c r="H1195" i="1"/>
  <c r="G1195" i="1"/>
  <c r="F1195" i="1"/>
  <c r="E1195" i="1"/>
  <c r="D1195" i="1"/>
  <c r="C1195" i="1"/>
  <c r="B1195" i="1"/>
  <c r="A1195" i="1"/>
  <c r="R1194" i="1"/>
  <c r="J1194" i="1"/>
  <c r="I1194" i="1"/>
  <c r="G1194" i="1"/>
  <c r="F1194" i="1"/>
  <c r="E1194" i="1"/>
  <c r="D1194" i="1"/>
  <c r="C1194" i="1"/>
  <c r="B1194" i="1"/>
  <c r="A1194" i="1"/>
  <c r="S1193" i="1"/>
  <c r="O1193" i="1"/>
  <c r="K1193" i="1"/>
  <c r="J1193" i="1"/>
  <c r="I1193" i="1"/>
  <c r="H1193" i="1"/>
  <c r="G1193" i="1"/>
  <c r="F1193" i="1"/>
  <c r="E1193" i="1"/>
  <c r="D1193" i="1"/>
  <c r="C1193" i="1"/>
  <c r="B1193" i="1"/>
  <c r="A1193" i="1"/>
  <c r="R1192" i="1"/>
  <c r="J1192" i="1"/>
  <c r="I1192" i="1"/>
  <c r="G1192" i="1"/>
  <c r="F1192" i="1"/>
  <c r="E1192" i="1"/>
  <c r="D1192" i="1"/>
  <c r="C1192" i="1"/>
  <c r="B1192" i="1"/>
  <c r="A1192" i="1"/>
  <c r="S1191" i="1"/>
  <c r="O1191" i="1"/>
  <c r="K1191" i="1"/>
  <c r="J1191" i="1"/>
  <c r="I1191" i="1"/>
  <c r="H1191" i="1"/>
  <c r="G1191" i="1"/>
  <c r="F1191" i="1"/>
  <c r="E1191" i="1"/>
  <c r="D1191" i="1"/>
  <c r="C1191" i="1"/>
  <c r="B1191" i="1"/>
  <c r="A1191" i="1"/>
  <c r="R1190" i="1"/>
  <c r="J1190" i="1"/>
  <c r="I1190" i="1"/>
  <c r="G1190" i="1"/>
  <c r="F1190" i="1"/>
  <c r="E1190" i="1"/>
  <c r="D1190" i="1"/>
  <c r="C1190" i="1"/>
  <c r="B1190" i="1"/>
  <c r="A1190" i="1"/>
  <c r="R1189" i="1"/>
  <c r="J1189" i="1"/>
  <c r="I1189" i="1"/>
  <c r="G1189" i="1"/>
  <c r="F1189" i="1"/>
  <c r="E1189" i="1"/>
  <c r="D1189" i="1"/>
  <c r="C1189" i="1"/>
  <c r="B1189" i="1"/>
  <c r="A1189" i="1"/>
  <c r="S1188" i="1"/>
  <c r="O1188" i="1"/>
  <c r="K1188" i="1"/>
  <c r="J1188" i="1"/>
  <c r="I1188" i="1"/>
  <c r="H1188" i="1"/>
  <c r="G1188" i="1"/>
  <c r="F1188" i="1"/>
  <c r="E1188" i="1"/>
  <c r="D1188" i="1"/>
  <c r="C1188" i="1"/>
  <c r="B1188" i="1"/>
  <c r="A1188" i="1"/>
  <c r="R1187" i="1"/>
  <c r="J1187" i="1"/>
  <c r="I1187" i="1"/>
  <c r="G1187" i="1"/>
  <c r="F1187" i="1"/>
  <c r="E1187" i="1"/>
  <c r="D1187" i="1"/>
  <c r="C1187" i="1"/>
  <c r="B1187" i="1"/>
  <c r="A1187" i="1"/>
  <c r="S1186" i="1"/>
  <c r="O1186" i="1"/>
  <c r="K1186" i="1"/>
  <c r="J1186" i="1"/>
  <c r="I1186" i="1"/>
  <c r="H1186" i="1"/>
  <c r="G1186" i="1"/>
  <c r="F1186" i="1"/>
  <c r="E1186" i="1"/>
  <c r="D1186" i="1"/>
  <c r="C1186" i="1"/>
  <c r="B1186" i="1"/>
  <c r="A1186" i="1"/>
  <c r="R1185" i="1"/>
  <c r="J1185" i="1"/>
  <c r="I1185" i="1"/>
  <c r="G1185" i="1"/>
  <c r="F1185" i="1"/>
  <c r="E1185" i="1"/>
  <c r="D1185" i="1"/>
  <c r="C1185" i="1"/>
  <c r="B1185" i="1"/>
  <c r="A1185" i="1"/>
  <c r="S1184" i="1"/>
  <c r="O1184" i="1"/>
  <c r="K1184" i="1"/>
  <c r="J1184" i="1"/>
  <c r="I1184" i="1"/>
  <c r="H1184" i="1"/>
  <c r="G1184" i="1"/>
  <c r="F1184" i="1"/>
  <c r="E1184" i="1"/>
  <c r="D1184" i="1"/>
  <c r="C1184" i="1"/>
  <c r="B1184" i="1"/>
  <c r="A1184" i="1"/>
  <c r="R1183" i="1"/>
  <c r="J1183" i="1"/>
  <c r="I1183" i="1"/>
  <c r="G1183" i="1"/>
  <c r="F1183" i="1"/>
  <c r="E1183" i="1"/>
  <c r="D1183" i="1"/>
  <c r="C1183" i="1"/>
  <c r="B1183" i="1"/>
  <c r="A1183" i="1"/>
  <c r="S1182" i="1"/>
  <c r="O1182" i="1"/>
  <c r="K1182" i="1"/>
  <c r="J1182" i="1"/>
  <c r="I1182" i="1"/>
  <c r="H1182" i="1"/>
  <c r="G1182" i="1"/>
  <c r="F1182" i="1"/>
  <c r="E1182" i="1"/>
  <c r="D1182" i="1"/>
  <c r="C1182" i="1"/>
  <c r="B1182" i="1"/>
  <c r="A1182" i="1"/>
  <c r="R1181" i="1"/>
  <c r="J1181" i="1"/>
  <c r="I1181" i="1"/>
  <c r="G1181" i="1"/>
  <c r="F1181" i="1"/>
  <c r="E1181" i="1"/>
  <c r="D1181" i="1"/>
  <c r="C1181" i="1"/>
  <c r="B1181" i="1"/>
  <c r="A1181" i="1"/>
  <c r="S1180" i="1"/>
  <c r="O1180" i="1"/>
  <c r="K1180" i="1"/>
  <c r="J1180" i="1"/>
  <c r="I1180" i="1"/>
  <c r="H1180" i="1"/>
  <c r="G1180" i="1"/>
  <c r="F1180" i="1"/>
  <c r="E1180" i="1"/>
  <c r="D1180" i="1"/>
  <c r="C1180" i="1"/>
  <c r="B1180" i="1"/>
  <c r="A1180" i="1"/>
  <c r="R1179" i="1"/>
  <c r="J1179" i="1"/>
  <c r="I1179" i="1"/>
  <c r="G1179" i="1"/>
  <c r="F1179" i="1"/>
  <c r="E1179" i="1"/>
  <c r="D1179" i="1"/>
  <c r="C1179" i="1"/>
  <c r="B1179" i="1"/>
  <c r="A1179" i="1"/>
  <c r="S1178" i="1"/>
  <c r="O1178" i="1"/>
  <c r="K1178" i="1"/>
  <c r="J1178" i="1"/>
  <c r="I1178" i="1"/>
  <c r="H1178" i="1"/>
  <c r="G1178" i="1"/>
  <c r="F1178" i="1"/>
  <c r="E1178" i="1"/>
  <c r="D1178" i="1"/>
  <c r="C1178" i="1"/>
  <c r="B1178" i="1"/>
  <c r="A1178" i="1"/>
  <c r="R1177" i="1"/>
  <c r="J1177" i="1"/>
  <c r="I1177" i="1"/>
  <c r="G1177" i="1"/>
  <c r="F1177" i="1"/>
  <c r="E1177" i="1"/>
  <c r="D1177" i="1"/>
  <c r="C1177" i="1"/>
  <c r="B1177" i="1"/>
  <c r="A1177" i="1"/>
  <c r="S1176" i="1"/>
  <c r="O1176" i="1"/>
  <c r="K1176" i="1"/>
  <c r="J1176" i="1"/>
  <c r="I1176" i="1"/>
  <c r="H1176" i="1"/>
  <c r="G1176" i="1"/>
  <c r="F1176" i="1"/>
  <c r="E1176" i="1"/>
  <c r="D1176" i="1"/>
  <c r="C1176" i="1"/>
  <c r="B1176" i="1"/>
  <c r="A1176" i="1"/>
  <c r="R1175" i="1"/>
  <c r="J1175" i="1"/>
  <c r="I1175" i="1"/>
  <c r="G1175" i="1"/>
  <c r="F1175" i="1"/>
  <c r="E1175" i="1"/>
  <c r="D1175" i="1"/>
  <c r="C1175" i="1"/>
  <c r="B1175" i="1"/>
  <c r="A1175" i="1"/>
  <c r="S1174" i="1"/>
  <c r="O1174" i="1"/>
  <c r="K1174" i="1"/>
  <c r="J1174" i="1"/>
  <c r="I1174" i="1"/>
  <c r="H1174" i="1"/>
  <c r="G1174" i="1"/>
  <c r="F1174" i="1"/>
  <c r="E1174" i="1"/>
  <c r="D1174" i="1"/>
  <c r="C1174" i="1"/>
  <c r="B1174" i="1"/>
  <c r="A1174" i="1"/>
  <c r="R1173" i="1"/>
  <c r="J1173" i="1"/>
  <c r="I1173" i="1"/>
  <c r="G1173" i="1"/>
  <c r="F1173" i="1"/>
  <c r="E1173" i="1"/>
  <c r="D1173" i="1"/>
  <c r="C1173" i="1"/>
  <c r="B1173" i="1"/>
  <c r="A1173" i="1"/>
  <c r="S1172" i="1"/>
  <c r="O1172" i="1"/>
  <c r="K1172" i="1"/>
  <c r="J1172" i="1"/>
  <c r="I1172" i="1"/>
  <c r="H1172" i="1"/>
  <c r="G1172" i="1"/>
  <c r="F1172" i="1"/>
  <c r="E1172" i="1"/>
  <c r="D1172" i="1"/>
  <c r="C1172" i="1"/>
  <c r="B1172" i="1"/>
  <c r="A1172" i="1"/>
  <c r="R1171" i="1"/>
  <c r="J1171" i="1"/>
  <c r="I1171" i="1"/>
  <c r="G1171" i="1"/>
  <c r="F1171" i="1"/>
  <c r="E1171" i="1"/>
  <c r="D1171" i="1"/>
  <c r="C1171" i="1"/>
  <c r="B1171" i="1"/>
  <c r="A1171" i="1"/>
  <c r="S1170" i="1"/>
  <c r="O1170" i="1"/>
  <c r="K1170" i="1"/>
  <c r="J1170" i="1"/>
  <c r="I1170" i="1"/>
  <c r="H1170" i="1"/>
  <c r="G1170" i="1"/>
  <c r="F1170" i="1"/>
  <c r="E1170" i="1"/>
  <c r="D1170" i="1"/>
  <c r="C1170" i="1"/>
  <c r="B1170" i="1"/>
  <c r="A1170" i="1"/>
  <c r="R1169" i="1"/>
  <c r="J1169" i="1"/>
  <c r="I1169" i="1"/>
  <c r="G1169" i="1"/>
  <c r="F1169" i="1"/>
  <c r="E1169" i="1"/>
  <c r="D1169" i="1"/>
  <c r="C1169" i="1"/>
  <c r="B1169" i="1"/>
  <c r="A1169" i="1"/>
  <c r="S1168" i="1"/>
  <c r="O1168" i="1"/>
  <c r="K1168" i="1"/>
  <c r="J1168" i="1"/>
  <c r="I1168" i="1"/>
  <c r="H1168" i="1"/>
  <c r="G1168" i="1"/>
  <c r="F1168" i="1"/>
  <c r="E1168" i="1"/>
  <c r="D1168" i="1"/>
  <c r="C1168" i="1"/>
  <c r="B1168" i="1"/>
  <c r="A1168" i="1"/>
  <c r="S1167" i="1"/>
  <c r="O1167" i="1"/>
  <c r="K1167" i="1"/>
  <c r="J1167" i="1"/>
  <c r="I1167" i="1"/>
  <c r="H1167" i="1"/>
  <c r="G1167" i="1"/>
  <c r="F1167" i="1"/>
  <c r="E1167" i="1"/>
  <c r="D1167" i="1"/>
  <c r="C1167" i="1"/>
  <c r="B1167" i="1"/>
  <c r="A1167" i="1"/>
  <c r="R1166" i="1"/>
  <c r="J1166" i="1"/>
  <c r="I1166" i="1"/>
  <c r="G1166" i="1"/>
  <c r="F1166" i="1"/>
  <c r="E1166" i="1"/>
  <c r="D1166" i="1"/>
  <c r="C1166" i="1"/>
  <c r="B1166" i="1"/>
  <c r="A1166" i="1"/>
  <c r="S1165" i="1"/>
  <c r="O1165" i="1"/>
  <c r="K1165" i="1"/>
  <c r="J1165" i="1"/>
  <c r="I1165" i="1"/>
  <c r="H1165" i="1"/>
  <c r="G1165" i="1"/>
  <c r="F1165" i="1"/>
  <c r="E1165" i="1"/>
  <c r="D1165" i="1"/>
  <c r="C1165" i="1"/>
  <c r="B1165" i="1"/>
  <c r="A1165" i="1"/>
  <c r="R1164" i="1"/>
  <c r="J1164" i="1"/>
  <c r="I1164" i="1"/>
  <c r="G1164" i="1"/>
  <c r="F1164" i="1"/>
  <c r="E1164" i="1"/>
  <c r="D1164" i="1"/>
  <c r="C1164" i="1"/>
  <c r="B1164" i="1"/>
  <c r="A1164" i="1"/>
  <c r="S1163" i="1"/>
  <c r="O1163" i="1"/>
  <c r="K1163" i="1"/>
  <c r="J1163" i="1"/>
  <c r="I1163" i="1"/>
  <c r="H1163" i="1"/>
  <c r="G1163" i="1"/>
  <c r="F1163" i="1"/>
  <c r="E1163" i="1"/>
  <c r="D1163" i="1"/>
  <c r="C1163" i="1"/>
  <c r="B1163" i="1"/>
  <c r="A1163" i="1"/>
  <c r="R1162" i="1"/>
  <c r="J1162" i="1"/>
  <c r="I1162" i="1"/>
  <c r="G1162" i="1"/>
  <c r="F1162" i="1"/>
  <c r="E1162" i="1"/>
  <c r="D1162" i="1"/>
  <c r="C1162" i="1"/>
  <c r="B1162" i="1"/>
  <c r="A1162" i="1"/>
  <c r="R1161" i="1"/>
  <c r="J1161" i="1"/>
  <c r="I1161" i="1"/>
  <c r="G1161" i="1"/>
  <c r="F1161" i="1"/>
  <c r="E1161" i="1"/>
  <c r="D1161" i="1"/>
  <c r="C1161" i="1"/>
  <c r="B1161" i="1"/>
  <c r="A1161" i="1"/>
  <c r="S1160" i="1"/>
  <c r="O1160" i="1"/>
  <c r="K1160" i="1"/>
  <c r="J1160" i="1"/>
  <c r="I1160" i="1"/>
  <c r="H1160" i="1"/>
  <c r="G1160" i="1"/>
  <c r="F1160" i="1"/>
  <c r="E1160" i="1"/>
  <c r="D1160" i="1"/>
  <c r="C1160" i="1"/>
  <c r="B1160" i="1"/>
  <c r="A1160" i="1"/>
  <c r="R1159" i="1"/>
  <c r="J1159" i="1"/>
  <c r="I1159" i="1"/>
  <c r="G1159" i="1"/>
  <c r="F1159" i="1"/>
  <c r="E1159" i="1"/>
  <c r="D1159" i="1"/>
  <c r="C1159" i="1"/>
  <c r="B1159" i="1"/>
  <c r="A1159" i="1"/>
  <c r="S1158" i="1"/>
  <c r="O1158" i="1"/>
  <c r="K1158" i="1"/>
  <c r="J1158" i="1"/>
  <c r="I1158" i="1"/>
  <c r="H1158" i="1"/>
  <c r="G1158" i="1"/>
  <c r="F1158" i="1"/>
  <c r="E1158" i="1"/>
  <c r="D1158" i="1"/>
  <c r="C1158" i="1"/>
  <c r="B1158" i="1"/>
  <c r="A1158" i="1"/>
  <c r="S1157" i="1"/>
  <c r="O1157" i="1"/>
  <c r="K1157" i="1"/>
  <c r="J1157" i="1"/>
  <c r="I1157" i="1"/>
  <c r="H1157" i="1"/>
  <c r="G1157" i="1"/>
  <c r="F1157" i="1"/>
  <c r="E1157" i="1"/>
  <c r="D1157" i="1"/>
  <c r="C1157" i="1"/>
  <c r="B1157" i="1"/>
  <c r="A1157" i="1"/>
  <c r="R1156" i="1"/>
  <c r="J1156" i="1"/>
  <c r="I1156" i="1"/>
  <c r="G1156" i="1"/>
  <c r="F1156" i="1"/>
  <c r="E1156" i="1"/>
  <c r="D1156" i="1"/>
  <c r="C1156" i="1"/>
  <c r="B1156" i="1"/>
  <c r="A1156" i="1"/>
  <c r="S1155" i="1"/>
  <c r="O1155" i="1"/>
  <c r="K1155" i="1"/>
  <c r="J1155" i="1"/>
  <c r="I1155" i="1"/>
  <c r="H1155" i="1"/>
  <c r="G1155" i="1"/>
  <c r="F1155" i="1"/>
  <c r="E1155" i="1"/>
  <c r="D1155" i="1"/>
  <c r="C1155" i="1"/>
  <c r="B1155" i="1"/>
  <c r="A1155" i="1"/>
  <c r="R1154" i="1"/>
  <c r="J1154" i="1"/>
  <c r="I1154" i="1"/>
  <c r="G1154" i="1"/>
  <c r="F1154" i="1"/>
  <c r="E1154" i="1"/>
  <c r="D1154" i="1"/>
  <c r="C1154" i="1"/>
  <c r="B1154" i="1"/>
  <c r="A1154" i="1"/>
  <c r="S1153" i="1"/>
  <c r="O1153" i="1"/>
  <c r="K1153" i="1"/>
  <c r="J1153" i="1"/>
  <c r="I1153" i="1"/>
  <c r="H1153" i="1"/>
  <c r="G1153" i="1"/>
  <c r="F1153" i="1"/>
  <c r="E1153" i="1"/>
  <c r="D1153" i="1"/>
  <c r="C1153" i="1"/>
  <c r="B1153" i="1"/>
  <c r="A1153" i="1"/>
  <c r="R1152" i="1"/>
  <c r="J1152" i="1"/>
  <c r="I1152" i="1"/>
  <c r="G1152" i="1"/>
  <c r="F1152" i="1"/>
  <c r="E1152" i="1"/>
  <c r="D1152" i="1"/>
  <c r="C1152" i="1"/>
  <c r="B1152" i="1"/>
  <c r="A1152" i="1"/>
  <c r="S1151" i="1"/>
  <c r="O1151" i="1"/>
  <c r="K1151" i="1"/>
  <c r="J1151" i="1"/>
  <c r="I1151" i="1"/>
  <c r="H1151" i="1"/>
  <c r="G1151" i="1"/>
  <c r="F1151" i="1"/>
  <c r="E1151" i="1"/>
  <c r="D1151" i="1"/>
  <c r="C1151" i="1"/>
  <c r="B1151" i="1"/>
  <c r="A1151" i="1"/>
  <c r="R1150" i="1"/>
  <c r="J1150" i="1"/>
  <c r="I1150" i="1"/>
  <c r="G1150" i="1"/>
  <c r="F1150" i="1"/>
  <c r="E1150" i="1"/>
  <c r="D1150" i="1"/>
  <c r="C1150" i="1"/>
  <c r="B1150" i="1"/>
  <c r="A1150" i="1"/>
  <c r="S1149" i="1"/>
  <c r="O1149" i="1"/>
  <c r="K1149" i="1"/>
  <c r="J1149" i="1"/>
  <c r="I1149" i="1"/>
  <c r="H1149" i="1"/>
  <c r="G1149" i="1"/>
  <c r="F1149" i="1"/>
  <c r="E1149" i="1"/>
  <c r="D1149" i="1"/>
  <c r="C1149" i="1"/>
  <c r="B1149" i="1"/>
  <c r="A1149" i="1"/>
  <c r="R1148" i="1"/>
  <c r="J1148" i="1"/>
  <c r="I1148" i="1"/>
  <c r="G1148" i="1"/>
  <c r="F1148" i="1"/>
  <c r="E1148" i="1"/>
  <c r="D1148" i="1"/>
  <c r="C1148" i="1"/>
  <c r="B1148" i="1"/>
  <c r="A1148" i="1"/>
  <c r="S1147" i="1"/>
  <c r="O1147" i="1"/>
  <c r="K1147" i="1"/>
  <c r="J1147" i="1"/>
  <c r="I1147" i="1"/>
  <c r="H1147" i="1"/>
  <c r="G1147" i="1"/>
  <c r="F1147" i="1"/>
  <c r="E1147" i="1"/>
  <c r="D1147" i="1"/>
  <c r="C1147" i="1"/>
  <c r="B1147" i="1"/>
  <c r="A1147" i="1"/>
  <c r="R1146" i="1"/>
  <c r="J1146" i="1"/>
  <c r="I1146" i="1"/>
  <c r="G1146" i="1"/>
  <c r="F1146" i="1"/>
  <c r="E1146" i="1"/>
  <c r="D1146" i="1"/>
  <c r="C1146" i="1"/>
  <c r="B1146" i="1"/>
  <c r="A1146" i="1"/>
  <c r="S1145" i="1"/>
  <c r="O1145" i="1"/>
  <c r="K1145" i="1"/>
  <c r="J1145" i="1"/>
  <c r="I1145" i="1"/>
  <c r="H1145" i="1"/>
  <c r="G1145" i="1"/>
  <c r="F1145" i="1"/>
  <c r="E1145" i="1"/>
  <c r="D1145" i="1"/>
  <c r="C1145" i="1"/>
  <c r="B1145" i="1"/>
  <c r="A1145" i="1"/>
  <c r="R1144" i="1"/>
  <c r="J1144" i="1"/>
  <c r="I1144" i="1"/>
  <c r="G1144" i="1"/>
  <c r="F1144" i="1"/>
  <c r="E1144" i="1"/>
  <c r="D1144" i="1"/>
  <c r="C1144" i="1"/>
  <c r="B1144" i="1"/>
  <c r="A1144" i="1"/>
  <c r="S1143" i="1"/>
  <c r="O1143" i="1"/>
  <c r="K1143" i="1"/>
  <c r="J1143" i="1"/>
  <c r="I1143" i="1"/>
  <c r="H1143" i="1"/>
  <c r="G1143" i="1"/>
  <c r="F1143" i="1"/>
  <c r="E1143" i="1"/>
  <c r="D1143" i="1"/>
  <c r="C1143" i="1"/>
  <c r="B1143" i="1"/>
  <c r="A1143" i="1"/>
  <c r="R1142" i="1"/>
  <c r="J1142" i="1"/>
  <c r="I1142" i="1"/>
  <c r="G1142" i="1"/>
  <c r="F1142" i="1"/>
  <c r="E1142" i="1"/>
  <c r="D1142" i="1"/>
  <c r="C1142" i="1"/>
  <c r="B1142" i="1"/>
  <c r="A1142" i="1"/>
  <c r="S1141" i="1"/>
  <c r="O1141" i="1"/>
  <c r="K1141" i="1"/>
  <c r="J1141" i="1"/>
  <c r="I1141" i="1"/>
  <c r="H1141" i="1"/>
  <c r="G1141" i="1"/>
  <c r="F1141" i="1"/>
  <c r="E1141" i="1"/>
  <c r="D1141" i="1"/>
  <c r="C1141" i="1"/>
  <c r="B1141" i="1"/>
  <c r="A1141" i="1"/>
  <c r="R1140" i="1"/>
  <c r="J1140" i="1"/>
  <c r="I1140" i="1"/>
  <c r="G1140" i="1"/>
  <c r="F1140" i="1"/>
  <c r="E1140" i="1"/>
  <c r="D1140" i="1"/>
  <c r="C1140" i="1"/>
  <c r="B1140" i="1"/>
  <c r="A1140" i="1"/>
  <c r="S1139" i="1"/>
  <c r="O1139" i="1"/>
  <c r="K1139" i="1"/>
  <c r="J1139" i="1"/>
  <c r="I1139" i="1"/>
  <c r="H1139" i="1"/>
  <c r="G1139" i="1"/>
  <c r="F1139" i="1"/>
  <c r="E1139" i="1"/>
  <c r="D1139" i="1"/>
  <c r="C1139" i="1"/>
  <c r="B1139" i="1"/>
  <c r="A1139" i="1"/>
  <c r="R1138" i="1"/>
  <c r="J1138" i="1"/>
  <c r="I1138" i="1"/>
  <c r="G1138" i="1"/>
  <c r="F1138" i="1"/>
  <c r="E1138" i="1"/>
  <c r="D1138" i="1"/>
  <c r="C1138" i="1"/>
  <c r="B1138" i="1"/>
  <c r="A1138" i="1"/>
  <c r="S1137" i="1"/>
  <c r="O1137" i="1"/>
  <c r="K1137" i="1"/>
  <c r="J1137" i="1"/>
  <c r="I1137" i="1"/>
  <c r="H1137" i="1"/>
  <c r="G1137" i="1"/>
  <c r="F1137" i="1"/>
  <c r="E1137" i="1"/>
  <c r="D1137" i="1"/>
  <c r="C1137" i="1"/>
  <c r="B1137" i="1"/>
  <c r="A1137" i="1"/>
  <c r="R1136" i="1"/>
  <c r="J1136" i="1"/>
  <c r="I1136" i="1"/>
  <c r="G1136" i="1"/>
  <c r="F1136" i="1"/>
  <c r="E1136" i="1"/>
  <c r="D1136" i="1"/>
  <c r="C1136" i="1"/>
  <c r="B1136" i="1"/>
  <c r="A1136" i="1"/>
  <c r="S1135" i="1"/>
  <c r="O1135" i="1"/>
  <c r="K1135" i="1"/>
  <c r="J1135" i="1"/>
  <c r="I1135" i="1"/>
  <c r="H1135" i="1"/>
  <c r="G1135" i="1"/>
  <c r="F1135" i="1"/>
  <c r="E1135" i="1"/>
  <c r="D1135" i="1"/>
  <c r="C1135" i="1"/>
  <c r="B1135" i="1"/>
  <c r="A1135" i="1"/>
  <c r="R1134" i="1"/>
  <c r="J1134" i="1"/>
  <c r="I1134" i="1"/>
  <c r="G1134" i="1"/>
  <c r="F1134" i="1"/>
  <c r="E1134" i="1"/>
  <c r="D1134" i="1"/>
  <c r="C1134" i="1"/>
  <c r="B1134" i="1"/>
  <c r="A1134" i="1"/>
  <c r="S1133" i="1"/>
  <c r="O1133" i="1"/>
  <c r="K1133" i="1"/>
  <c r="J1133" i="1"/>
  <c r="I1133" i="1"/>
  <c r="H1133" i="1"/>
  <c r="G1133" i="1"/>
  <c r="F1133" i="1"/>
  <c r="E1133" i="1"/>
  <c r="D1133" i="1"/>
  <c r="C1133" i="1"/>
  <c r="B1133" i="1"/>
  <c r="A1133" i="1"/>
  <c r="R1132" i="1"/>
  <c r="J1132" i="1"/>
  <c r="I1132" i="1"/>
  <c r="G1132" i="1"/>
  <c r="F1132" i="1"/>
  <c r="E1132" i="1"/>
  <c r="D1132" i="1"/>
  <c r="C1132" i="1"/>
  <c r="B1132" i="1"/>
  <c r="A1132" i="1"/>
  <c r="R1131" i="1"/>
  <c r="J1131" i="1"/>
  <c r="I1131" i="1"/>
  <c r="G1131" i="1"/>
  <c r="F1131" i="1"/>
  <c r="E1131" i="1"/>
  <c r="D1131" i="1"/>
  <c r="C1131" i="1"/>
  <c r="B1131" i="1"/>
  <c r="A1131" i="1"/>
  <c r="S1130" i="1"/>
  <c r="O1130" i="1"/>
  <c r="K1130" i="1"/>
  <c r="J1130" i="1"/>
  <c r="I1130" i="1"/>
  <c r="H1130" i="1"/>
  <c r="G1130" i="1"/>
  <c r="F1130" i="1"/>
  <c r="E1130" i="1"/>
  <c r="D1130" i="1"/>
  <c r="C1130" i="1"/>
  <c r="B1130" i="1"/>
  <c r="A1130" i="1"/>
  <c r="R1129" i="1"/>
  <c r="J1129" i="1"/>
  <c r="I1129" i="1"/>
  <c r="G1129" i="1"/>
  <c r="F1129" i="1"/>
  <c r="E1129" i="1"/>
  <c r="D1129" i="1"/>
  <c r="C1129" i="1"/>
  <c r="B1129" i="1"/>
  <c r="A1129" i="1"/>
  <c r="S1128" i="1"/>
  <c r="O1128" i="1"/>
  <c r="K1128" i="1"/>
  <c r="J1128" i="1"/>
  <c r="I1128" i="1"/>
  <c r="H1128" i="1"/>
  <c r="G1128" i="1"/>
  <c r="F1128" i="1"/>
  <c r="E1128" i="1"/>
  <c r="D1128" i="1"/>
  <c r="C1128" i="1"/>
  <c r="B1128" i="1"/>
  <c r="A1128" i="1"/>
  <c r="R1127" i="1"/>
  <c r="J1127" i="1"/>
  <c r="I1127" i="1"/>
  <c r="G1127" i="1"/>
  <c r="F1127" i="1"/>
  <c r="E1127" i="1"/>
  <c r="D1127" i="1"/>
  <c r="C1127" i="1"/>
  <c r="B1127" i="1"/>
  <c r="A1127" i="1"/>
  <c r="S1126" i="1"/>
  <c r="O1126" i="1"/>
  <c r="K1126" i="1"/>
  <c r="J1126" i="1"/>
  <c r="I1126" i="1"/>
  <c r="H1126" i="1"/>
  <c r="G1126" i="1"/>
  <c r="F1126" i="1"/>
  <c r="E1126" i="1"/>
  <c r="D1126" i="1"/>
  <c r="C1126" i="1"/>
  <c r="B1126" i="1"/>
  <c r="A1126" i="1"/>
  <c r="R1125" i="1"/>
  <c r="J1125" i="1"/>
  <c r="I1125" i="1"/>
  <c r="G1125" i="1"/>
  <c r="F1125" i="1"/>
  <c r="E1125" i="1"/>
  <c r="D1125" i="1"/>
  <c r="C1125" i="1"/>
  <c r="B1125" i="1"/>
  <c r="A1125" i="1"/>
  <c r="S1124" i="1"/>
  <c r="O1124" i="1"/>
  <c r="K1124" i="1"/>
  <c r="J1124" i="1"/>
  <c r="I1124" i="1"/>
  <c r="H1124" i="1"/>
  <c r="G1124" i="1"/>
  <c r="F1124" i="1"/>
  <c r="E1124" i="1"/>
  <c r="D1124" i="1"/>
  <c r="C1124" i="1"/>
  <c r="B1124" i="1"/>
  <c r="A1124" i="1"/>
  <c r="R1123" i="1"/>
  <c r="J1123" i="1"/>
  <c r="I1123" i="1"/>
  <c r="G1123" i="1"/>
  <c r="F1123" i="1"/>
  <c r="E1123" i="1"/>
  <c r="D1123" i="1"/>
  <c r="C1123" i="1"/>
  <c r="B1123" i="1"/>
  <c r="A1123" i="1"/>
  <c r="S1122" i="1"/>
  <c r="O1122" i="1"/>
  <c r="K1122" i="1"/>
  <c r="J1122" i="1"/>
  <c r="I1122" i="1"/>
  <c r="H1122" i="1"/>
  <c r="G1122" i="1"/>
  <c r="F1122" i="1"/>
  <c r="E1122" i="1"/>
  <c r="D1122" i="1"/>
  <c r="C1122" i="1"/>
  <c r="B1122" i="1"/>
  <c r="A1122" i="1"/>
  <c r="R1121" i="1"/>
  <c r="J1121" i="1"/>
  <c r="I1121" i="1"/>
  <c r="G1121" i="1"/>
  <c r="F1121" i="1"/>
  <c r="E1121" i="1"/>
  <c r="D1121" i="1"/>
  <c r="C1121" i="1"/>
  <c r="B1121" i="1"/>
  <c r="A1121" i="1"/>
  <c r="S1120" i="1"/>
  <c r="O1120" i="1"/>
  <c r="K1120" i="1"/>
  <c r="J1120" i="1"/>
  <c r="I1120" i="1"/>
  <c r="H1120" i="1"/>
  <c r="G1120" i="1"/>
  <c r="F1120" i="1"/>
  <c r="E1120" i="1"/>
  <c r="D1120" i="1"/>
  <c r="C1120" i="1"/>
  <c r="B1120" i="1"/>
  <c r="A1120" i="1"/>
  <c r="R1119" i="1"/>
  <c r="J1119" i="1"/>
  <c r="I1119" i="1"/>
  <c r="G1119" i="1"/>
  <c r="F1119" i="1"/>
  <c r="E1119" i="1"/>
  <c r="D1119" i="1"/>
  <c r="C1119" i="1"/>
  <c r="B1119" i="1"/>
  <c r="A1119" i="1"/>
  <c r="S1118" i="1"/>
  <c r="O1118" i="1"/>
  <c r="K1118" i="1"/>
  <c r="J1118" i="1"/>
  <c r="I1118" i="1"/>
  <c r="H1118" i="1"/>
  <c r="G1118" i="1"/>
  <c r="F1118" i="1"/>
  <c r="E1118" i="1"/>
  <c r="D1118" i="1"/>
  <c r="C1118" i="1"/>
  <c r="B1118" i="1"/>
  <c r="A1118" i="1"/>
  <c r="R1117" i="1"/>
  <c r="J1117" i="1"/>
  <c r="I1117" i="1"/>
  <c r="G1117" i="1"/>
  <c r="F1117" i="1"/>
  <c r="E1117" i="1"/>
  <c r="D1117" i="1"/>
  <c r="C1117" i="1"/>
  <c r="B1117" i="1"/>
  <c r="A1117" i="1"/>
  <c r="S1116" i="1"/>
  <c r="O1116" i="1"/>
  <c r="K1116" i="1"/>
  <c r="J1116" i="1"/>
  <c r="I1116" i="1"/>
  <c r="H1116" i="1"/>
  <c r="G1116" i="1"/>
  <c r="F1116" i="1"/>
  <c r="E1116" i="1"/>
  <c r="D1116" i="1"/>
  <c r="C1116" i="1"/>
  <c r="B1116" i="1"/>
  <c r="A1116" i="1"/>
  <c r="R1115" i="1"/>
  <c r="J1115" i="1"/>
  <c r="I1115" i="1"/>
  <c r="G1115" i="1"/>
  <c r="F1115" i="1"/>
  <c r="E1115" i="1"/>
  <c r="D1115" i="1"/>
  <c r="C1115" i="1"/>
  <c r="B1115" i="1"/>
  <c r="A1115" i="1"/>
  <c r="S1114" i="1"/>
  <c r="O1114" i="1"/>
  <c r="K1114" i="1"/>
  <c r="J1114" i="1"/>
  <c r="I1114" i="1"/>
  <c r="H1114" i="1"/>
  <c r="G1114" i="1"/>
  <c r="F1114" i="1"/>
  <c r="E1114" i="1"/>
  <c r="D1114" i="1"/>
  <c r="C1114" i="1"/>
  <c r="B1114" i="1"/>
  <c r="A1114" i="1"/>
  <c r="R1113" i="1"/>
  <c r="J1113" i="1"/>
  <c r="I1113" i="1"/>
  <c r="G1113" i="1"/>
  <c r="F1113" i="1"/>
  <c r="E1113" i="1"/>
  <c r="D1113" i="1"/>
  <c r="C1113" i="1"/>
  <c r="B1113" i="1"/>
  <c r="A1113" i="1"/>
  <c r="S1112" i="1"/>
  <c r="O1112" i="1"/>
  <c r="K1112" i="1"/>
  <c r="J1112" i="1"/>
  <c r="I1112" i="1"/>
  <c r="H1112" i="1"/>
  <c r="G1112" i="1"/>
  <c r="F1112" i="1"/>
  <c r="E1112" i="1"/>
  <c r="D1112" i="1"/>
  <c r="C1112" i="1"/>
  <c r="B1112" i="1"/>
  <c r="A1112" i="1"/>
  <c r="R1111" i="1"/>
  <c r="J1111" i="1"/>
  <c r="I1111" i="1"/>
  <c r="G1111" i="1"/>
  <c r="F1111" i="1"/>
  <c r="E1111" i="1"/>
  <c r="D1111" i="1"/>
  <c r="C1111" i="1"/>
  <c r="B1111" i="1"/>
  <c r="A1111" i="1"/>
  <c r="S1110" i="1"/>
  <c r="O1110" i="1"/>
  <c r="K1110" i="1"/>
  <c r="J1110" i="1"/>
  <c r="I1110" i="1"/>
  <c r="H1110" i="1"/>
  <c r="G1110" i="1"/>
  <c r="F1110" i="1"/>
  <c r="E1110" i="1"/>
  <c r="D1110" i="1"/>
  <c r="C1110" i="1"/>
  <c r="B1110" i="1"/>
  <c r="A1110" i="1"/>
  <c r="R1109" i="1"/>
  <c r="J1109" i="1"/>
  <c r="I1109" i="1"/>
  <c r="G1109" i="1"/>
  <c r="F1109" i="1"/>
  <c r="E1109" i="1"/>
  <c r="D1109" i="1"/>
  <c r="C1109" i="1"/>
  <c r="B1109" i="1"/>
  <c r="A1109" i="1"/>
  <c r="S1108" i="1"/>
  <c r="O1108" i="1"/>
  <c r="K1108" i="1"/>
  <c r="J1108" i="1"/>
  <c r="I1108" i="1"/>
  <c r="H1108" i="1"/>
  <c r="G1108" i="1"/>
  <c r="F1108" i="1"/>
  <c r="E1108" i="1"/>
  <c r="D1108" i="1"/>
  <c r="C1108" i="1"/>
  <c r="B1108" i="1"/>
  <c r="A1108" i="1"/>
  <c r="R1107" i="1"/>
  <c r="J1107" i="1"/>
  <c r="I1107" i="1"/>
  <c r="G1107" i="1"/>
  <c r="F1107" i="1"/>
  <c r="E1107" i="1"/>
  <c r="D1107" i="1"/>
  <c r="C1107" i="1"/>
  <c r="B1107" i="1"/>
  <c r="A1107" i="1"/>
  <c r="S1106" i="1"/>
  <c r="O1106" i="1"/>
  <c r="K1106" i="1"/>
  <c r="J1106" i="1"/>
  <c r="I1106" i="1"/>
  <c r="H1106" i="1"/>
  <c r="G1106" i="1"/>
  <c r="F1106" i="1"/>
  <c r="E1106" i="1"/>
  <c r="D1106" i="1"/>
  <c r="C1106" i="1"/>
  <c r="B1106" i="1"/>
  <c r="A1106" i="1"/>
  <c r="R1105" i="1"/>
  <c r="J1105" i="1"/>
  <c r="I1105" i="1"/>
  <c r="G1105" i="1"/>
  <c r="F1105" i="1"/>
  <c r="E1105" i="1"/>
  <c r="D1105" i="1"/>
  <c r="C1105" i="1"/>
  <c r="B1105" i="1"/>
  <c r="A1105" i="1"/>
  <c r="S1104" i="1"/>
  <c r="O1104" i="1"/>
  <c r="K1104" i="1"/>
  <c r="J1104" i="1"/>
  <c r="I1104" i="1"/>
  <c r="H1104" i="1"/>
  <c r="G1104" i="1"/>
  <c r="F1104" i="1"/>
  <c r="E1104" i="1"/>
  <c r="D1104" i="1"/>
  <c r="C1104" i="1"/>
  <c r="B1104" i="1"/>
  <c r="A1104" i="1"/>
  <c r="R1103" i="1"/>
  <c r="J1103" i="1"/>
  <c r="I1103" i="1"/>
  <c r="G1103" i="1"/>
  <c r="F1103" i="1"/>
  <c r="E1103" i="1"/>
  <c r="D1103" i="1"/>
  <c r="C1103" i="1"/>
  <c r="B1103" i="1"/>
  <c r="A1103" i="1"/>
  <c r="S1102" i="1"/>
  <c r="O1102" i="1"/>
  <c r="K1102" i="1"/>
  <c r="J1102" i="1"/>
  <c r="I1102" i="1"/>
  <c r="H1102" i="1"/>
  <c r="G1102" i="1"/>
  <c r="F1102" i="1"/>
  <c r="E1102" i="1"/>
  <c r="D1102" i="1"/>
  <c r="C1102" i="1"/>
  <c r="B1102" i="1"/>
  <c r="A1102" i="1"/>
  <c r="R1101" i="1"/>
  <c r="J1101" i="1"/>
  <c r="I1101" i="1"/>
  <c r="G1101" i="1"/>
  <c r="F1101" i="1"/>
  <c r="E1101" i="1"/>
  <c r="D1101" i="1"/>
  <c r="C1101" i="1"/>
  <c r="B1101" i="1"/>
  <c r="A1101" i="1"/>
  <c r="S1100" i="1"/>
  <c r="O1100" i="1"/>
  <c r="K1100" i="1"/>
  <c r="J1100" i="1"/>
  <c r="I1100" i="1"/>
  <c r="H1100" i="1"/>
  <c r="G1100" i="1"/>
  <c r="F1100" i="1"/>
  <c r="E1100" i="1"/>
  <c r="D1100" i="1"/>
  <c r="C1100" i="1"/>
  <c r="B1100" i="1"/>
  <c r="A1100" i="1"/>
  <c r="R1099" i="1"/>
  <c r="J1099" i="1"/>
  <c r="I1099" i="1"/>
  <c r="G1099" i="1"/>
  <c r="F1099" i="1"/>
  <c r="E1099" i="1"/>
  <c r="D1099" i="1"/>
  <c r="C1099" i="1"/>
  <c r="B1099" i="1"/>
  <c r="A1099" i="1"/>
  <c r="S1098" i="1"/>
  <c r="O1098" i="1"/>
  <c r="K1098" i="1"/>
  <c r="J1098" i="1"/>
  <c r="I1098" i="1"/>
  <c r="H1098" i="1"/>
  <c r="G1098" i="1"/>
  <c r="F1098" i="1"/>
  <c r="E1098" i="1"/>
  <c r="D1098" i="1"/>
  <c r="C1098" i="1"/>
  <c r="B1098" i="1"/>
  <c r="A1098" i="1"/>
  <c r="R1097" i="1"/>
  <c r="J1097" i="1"/>
  <c r="I1097" i="1"/>
  <c r="G1097" i="1"/>
  <c r="F1097" i="1"/>
  <c r="E1097" i="1"/>
  <c r="D1097" i="1"/>
  <c r="C1097" i="1"/>
  <c r="B1097" i="1"/>
  <c r="A1097" i="1"/>
  <c r="S1096" i="1"/>
  <c r="O1096" i="1"/>
  <c r="K1096" i="1"/>
  <c r="J1096" i="1"/>
  <c r="I1096" i="1"/>
  <c r="H1096" i="1"/>
  <c r="G1096" i="1"/>
  <c r="F1096" i="1"/>
  <c r="E1096" i="1"/>
  <c r="D1096" i="1"/>
  <c r="C1096" i="1"/>
  <c r="B1096" i="1"/>
  <c r="A1096" i="1"/>
  <c r="R1095" i="1"/>
  <c r="J1095" i="1"/>
  <c r="I1095" i="1"/>
  <c r="G1095" i="1"/>
  <c r="F1095" i="1"/>
  <c r="E1095" i="1"/>
  <c r="D1095" i="1"/>
  <c r="C1095" i="1"/>
  <c r="B1095" i="1"/>
  <c r="A1095" i="1"/>
  <c r="S1094" i="1"/>
  <c r="O1094" i="1"/>
  <c r="K1094" i="1"/>
  <c r="J1094" i="1"/>
  <c r="I1094" i="1"/>
  <c r="H1094" i="1"/>
  <c r="G1094" i="1"/>
  <c r="F1094" i="1"/>
  <c r="E1094" i="1"/>
  <c r="D1094" i="1"/>
  <c r="C1094" i="1"/>
  <c r="B1094" i="1"/>
  <c r="A1094" i="1"/>
  <c r="R1093" i="1"/>
  <c r="J1093" i="1"/>
  <c r="I1093" i="1"/>
  <c r="G1093" i="1"/>
  <c r="F1093" i="1"/>
  <c r="E1093" i="1"/>
  <c r="D1093" i="1"/>
  <c r="C1093" i="1"/>
  <c r="B1093" i="1"/>
  <c r="A1093" i="1"/>
  <c r="S1092" i="1"/>
  <c r="O1092" i="1"/>
  <c r="K1092" i="1"/>
  <c r="J1092" i="1"/>
  <c r="I1092" i="1"/>
  <c r="H1092" i="1"/>
  <c r="G1092" i="1"/>
  <c r="F1092" i="1"/>
  <c r="E1092" i="1"/>
  <c r="D1092" i="1"/>
  <c r="C1092" i="1"/>
  <c r="B1092" i="1"/>
  <c r="A1092" i="1"/>
  <c r="R1091" i="1"/>
  <c r="J1091" i="1"/>
  <c r="I1091" i="1"/>
  <c r="G1091" i="1"/>
  <c r="F1091" i="1"/>
  <c r="E1091" i="1"/>
  <c r="D1091" i="1"/>
  <c r="C1091" i="1"/>
  <c r="B1091" i="1"/>
  <c r="A1091" i="1"/>
  <c r="S1090" i="1"/>
  <c r="O1090" i="1"/>
  <c r="K1090" i="1"/>
  <c r="J1090" i="1"/>
  <c r="I1090" i="1"/>
  <c r="H1090" i="1"/>
  <c r="G1090" i="1"/>
  <c r="F1090" i="1"/>
  <c r="E1090" i="1"/>
  <c r="D1090" i="1"/>
  <c r="C1090" i="1"/>
  <c r="B1090" i="1"/>
  <c r="A1090" i="1"/>
  <c r="R1089" i="1"/>
  <c r="J1089" i="1"/>
  <c r="I1089" i="1"/>
  <c r="G1089" i="1"/>
  <c r="F1089" i="1"/>
  <c r="E1089" i="1"/>
  <c r="D1089" i="1"/>
  <c r="C1089" i="1"/>
  <c r="B1089" i="1"/>
  <c r="A1089" i="1"/>
  <c r="S1088" i="1"/>
  <c r="O1088" i="1"/>
  <c r="K1088" i="1"/>
  <c r="J1088" i="1"/>
  <c r="I1088" i="1"/>
  <c r="H1088" i="1"/>
  <c r="G1088" i="1"/>
  <c r="F1088" i="1"/>
  <c r="E1088" i="1"/>
  <c r="D1088" i="1"/>
  <c r="C1088" i="1"/>
  <c r="B1088" i="1"/>
  <c r="A1088" i="1"/>
  <c r="R1087" i="1"/>
  <c r="J1087" i="1"/>
  <c r="I1087" i="1"/>
  <c r="G1087" i="1"/>
  <c r="F1087" i="1"/>
  <c r="E1087" i="1"/>
  <c r="D1087" i="1"/>
  <c r="C1087" i="1"/>
  <c r="B1087" i="1"/>
  <c r="A1087" i="1"/>
  <c r="S1086" i="1"/>
  <c r="O1086" i="1"/>
  <c r="K1086" i="1"/>
  <c r="J1086" i="1"/>
  <c r="I1086" i="1"/>
  <c r="H1086" i="1"/>
  <c r="G1086" i="1"/>
  <c r="F1086" i="1"/>
  <c r="E1086" i="1"/>
  <c r="D1086" i="1"/>
  <c r="C1086" i="1"/>
  <c r="B1086" i="1"/>
  <c r="A1086" i="1"/>
  <c r="R1085" i="1"/>
  <c r="J1085" i="1"/>
  <c r="I1085" i="1"/>
  <c r="G1085" i="1"/>
  <c r="F1085" i="1"/>
  <c r="E1085" i="1"/>
  <c r="D1085" i="1"/>
  <c r="C1085" i="1"/>
  <c r="B1085" i="1"/>
  <c r="A1085" i="1"/>
  <c r="S1084" i="1"/>
  <c r="O1084" i="1"/>
  <c r="K1084" i="1"/>
  <c r="J1084" i="1"/>
  <c r="I1084" i="1"/>
  <c r="H1084" i="1"/>
  <c r="G1084" i="1"/>
  <c r="F1084" i="1"/>
  <c r="E1084" i="1"/>
  <c r="D1084" i="1"/>
  <c r="C1084" i="1"/>
  <c r="B1084" i="1"/>
  <c r="A1084" i="1"/>
  <c r="R1083" i="1"/>
  <c r="J1083" i="1"/>
  <c r="I1083" i="1"/>
  <c r="G1083" i="1"/>
  <c r="F1083" i="1"/>
  <c r="E1083" i="1"/>
  <c r="D1083" i="1"/>
  <c r="C1083" i="1"/>
  <c r="B1083" i="1"/>
  <c r="A1083" i="1"/>
  <c r="S1082" i="1"/>
  <c r="O1082" i="1"/>
  <c r="K1082" i="1"/>
  <c r="J1082" i="1"/>
  <c r="I1082" i="1"/>
  <c r="H1082" i="1"/>
  <c r="G1082" i="1"/>
  <c r="F1082" i="1"/>
  <c r="E1082" i="1"/>
  <c r="D1082" i="1"/>
  <c r="C1082" i="1"/>
  <c r="B1082" i="1"/>
  <c r="A1082" i="1"/>
  <c r="R1081" i="1"/>
  <c r="J1081" i="1"/>
  <c r="I1081" i="1"/>
  <c r="G1081" i="1"/>
  <c r="F1081" i="1"/>
  <c r="E1081" i="1"/>
  <c r="D1081" i="1"/>
  <c r="C1081" i="1"/>
  <c r="B1081" i="1"/>
  <c r="A1081" i="1"/>
  <c r="S1080" i="1"/>
  <c r="O1080" i="1"/>
  <c r="K1080" i="1"/>
  <c r="J1080" i="1"/>
  <c r="I1080" i="1"/>
  <c r="H1080" i="1"/>
  <c r="G1080" i="1"/>
  <c r="F1080" i="1"/>
  <c r="E1080" i="1"/>
  <c r="D1080" i="1"/>
  <c r="C1080" i="1"/>
  <c r="B1080" i="1"/>
  <c r="A1080" i="1"/>
  <c r="R1079" i="1"/>
  <c r="J1079" i="1"/>
  <c r="I1079" i="1"/>
  <c r="G1079" i="1"/>
  <c r="F1079" i="1"/>
  <c r="E1079" i="1"/>
  <c r="D1079" i="1"/>
  <c r="C1079" i="1"/>
  <c r="B1079" i="1"/>
  <c r="A1079" i="1"/>
  <c r="S1078" i="1"/>
  <c r="O1078" i="1"/>
  <c r="K1078" i="1"/>
  <c r="J1078" i="1"/>
  <c r="I1078" i="1"/>
  <c r="H1078" i="1"/>
  <c r="G1078" i="1"/>
  <c r="F1078" i="1"/>
  <c r="E1078" i="1"/>
  <c r="D1078" i="1"/>
  <c r="C1078" i="1"/>
  <c r="B1078" i="1"/>
  <c r="A1078" i="1"/>
  <c r="R1077" i="1"/>
  <c r="J1077" i="1"/>
  <c r="I1077" i="1"/>
  <c r="G1077" i="1"/>
  <c r="F1077" i="1"/>
  <c r="E1077" i="1"/>
  <c r="D1077" i="1"/>
  <c r="C1077" i="1"/>
  <c r="B1077" i="1"/>
  <c r="A1077" i="1"/>
  <c r="S1076" i="1"/>
  <c r="O1076" i="1"/>
  <c r="K1076" i="1"/>
  <c r="J1076" i="1"/>
  <c r="I1076" i="1"/>
  <c r="H1076" i="1"/>
  <c r="G1076" i="1"/>
  <c r="F1076" i="1"/>
  <c r="E1076" i="1"/>
  <c r="D1076" i="1"/>
  <c r="C1076" i="1"/>
  <c r="B1076" i="1"/>
  <c r="A1076" i="1"/>
  <c r="R1075" i="1"/>
  <c r="J1075" i="1"/>
  <c r="I1075" i="1"/>
  <c r="G1075" i="1"/>
  <c r="F1075" i="1"/>
  <c r="E1075" i="1"/>
  <c r="D1075" i="1"/>
  <c r="C1075" i="1"/>
  <c r="B1075" i="1"/>
  <c r="A1075" i="1"/>
  <c r="S1074" i="1"/>
  <c r="O1074" i="1"/>
  <c r="K1074" i="1"/>
  <c r="J1074" i="1"/>
  <c r="I1074" i="1"/>
  <c r="H1074" i="1"/>
  <c r="G1074" i="1"/>
  <c r="F1074" i="1"/>
  <c r="E1074" i="1"/>
  <c r="D1074" i="1"/>
  <c r="C1074" i="1"/>
  <c r="B1074" i="1"/>
  <c r="A1074" i="1"/>
  <c r="R1073" i="1"/>
  <c r="J1073" i="1"/>
  <c r="I1073" i="1"/>
  <c r="G1073" i="1"/>
  <c r="F1073" i="1"/>
  <c r="E1073" i="1"/>
  <c r="D1073" i="1"/>
  <c r="C1073" i="1"/>
  <c r="B1073" i="1"/>
  <c r="A1073" i="1"/>
  <c r="S1072" i="1"/>
  <c r="O1072" i="1"/>
  <c r="K1072" i="1"/>
  <c r="J1072" i="1"/>
  <c r="I1072" i="1"/>
  <c r="H1072" i="1"/>
  <c r="G1072" i="1"/>
  <c r="F1072" i="1"/>
  <c r="E1072" i="1"/>
  <c r="D1072" i="1"/>
  <c r="C1072" i="1"/>
  <c r="B1072" i="1"/>
  <c r="A1072" i="1"/>
  <c r="R1071" i="1"/>
  <c r="J1071" i="1"/>
  <c r="I1071" i="1"/>
  <c r="G1071" i="1"/>
  <c r="F1071" i="1"/>
  <c r="E1071" i="1"/>
  <c r="D1071" i="1"/>
  <c r="C1071" i="1"/>
  <c r="B1071" i="1"/>
  <c r="A1071" i="1"/>
  <c r="S1070" i="1"/>
  <c r="O1070" i="1"/>
  <c r="K1070" i="1"/>
  <c r="J1070" i="1"/>
  <c r="I1070" i="1"/>
  <c r="H1070" i="1"/>
  <c r="G1070" i="1"/>
  <c r="F1070" i="1"/>
  <c r="E1070" i="1"/>
  <c r="D1070" i="1"/>
  <c r="C1070" i="1"/>
  <c r="B1070" i="1"/>
  <c r="A1070" i="1"/>
  <c r="R1069" i="1"/>
  <c r="J1069" i="1"/>
  <c r="I1069" i="1"/>
  <c r="G1069" i="1"/>
  <c r="F1069" i="1"/>
  <c r="E1069" i="1"/>
  <c r="D1069" i="1"/>
  <c r="C1069" i="1"/>
  <c r="B1069" i="1"/>
  <c r="A1069" i="1"/>
  <c r="S1068" i="1"/>
  <c r="O1068" i="1"/>
  <c r="K1068" i="1"/>
  <c r="J1068" i="1"/>
  <c r="I1068" i="1"/>
  <c r="H1068" i="1"/>
  <c r="G1068" i="1"/>
  <c r="F1068" i="1"/>
  <c r="E1068" i="1"/>
  <c r="D1068" i="1"/>
  <c r="C1068" i="1"/>
  <c r="B1068" i="1"/>
  <c r="A1068" i="1"/>
  <c r="R1067" i="1"/>
  <c r="J1067" i="1"/>
  <c r="I1067" i="1"/>
  <c r="G1067" i="1"/>
  <c r="F1067" i="1"/>
  <c r="E1067" i="1"/>
  <c r="D1067" i="1"/>
  <c r="C1067" i="1"/>
  <c r="B1067" i="1"/>
  <c r="A1067" i="1"/>
  <c r="S1066" i="1"/>
  <c r="O1066" i="1"/>
  <c r="K1066" i="1"/>
  <c r="J1066" i="1"/>
  <c r="I1066" i="1"/>
  <c r="H1066" i="1"/>
  <c r="G1066" i="1"/>
  <c r="F1066" i="1"/>
  <c r="E1066" i="1"/>
  <c r="D1066" i="1"/>
  <c r="C1066" i="1"/>
  <c r="B1066" i="1"/>
  <c r="A1066" i="1"/>
  <c r="R1065" i="1"/>
  <c r="J1065" i="1"/>
  <c r="I1065" i="1"/>
  <c r="G1065" i="1"/>
  <c r="F1065" i="1"/>
  <c r="E1065" i="1"/>
  <c r="D1065" i="1"/>
  <c r="C1065" i="1"/>
  <c r="B1065" i="1"/>
  <c r="A1065" i="1"/>
  <c r="S1064" i="1"/>
  <c r="O1064" i="1"/>
  <c r="K1064" i="1"/>
  <c r="J1064" i="1"/>
  <c r="I1064" i="1"/>
  <c r="H1064" i="1"/>
  <c r="G1064" i="1"/>
  <c r="F1064" i="1"/>
  <c r="E1064" i="1"/>
  <c r="D1064" i="1"/>
  <c r="C1064" i="1"/>
  <c r="B1064" i="1"/>
  <c r="A1064" i="1"/>
  <c r="R1063" i="1"/>
  <c r="J1063" i="1"/>
  <c r="I1063" i="1"/>
  <c r="G1063" i="1"/>
  <c r="F1063" i="1"/>
  <c r="E1063" i="1"/>
  <c r="D1063" i="1"/>
  <c r="C1063" i="1"/>
  <c r="B1063" i="1"/>
  <c r="A1063" i="1"/>
  <c r="S1062" i="1"/>
  <c r="O1062" i="1"/>
  <c r="K1062" i="1"/>
  <c r="J1062" i="1"/>
  <c r="I1062" i="1"/>
  <c r="H1062" i="1"/>
  <c r="G1062" i="1"/>
  <c r="F1062" i="1"/>
  <c r="E1062" i="1"/>
  <c r="D1062" i="1"/>
  <c r="C1062" i="1"/>
  <c r="B1062" i="1"/>
  <c r="A1062" i="1"/>
  <c r="R1061" i="1"/>
  <c r="J1061" i="1"/>
  <c r="I1061" i="1"/>
  <c r="G1061" i="1"/>
  <c r="F1061" i="1"/>
  <c r="E1061" i="1"/>
  <c r="D1061" i="1"/>
  <c r="C1061" i="1"/>
  <c r="B1061" i="1"/>
  <c r="A1061" i="1"/>
  <c r="S1060" i="1"/>
  <c r="O1060" i="1"/>
  <c r="K1060" i="1"/>
  <c r="J1060" i="1"/>
  <c r="I1060" i="1"/>
  <c r="H1060" i="1"/>
  <c r="G1060" i="1"/>
  <c r="F1060" i="1"/>
  <c r="E1060" i="1"/>
  <c r="D1060" i="1"/>
  <c r="C1060" i="1"/>
  <c r="B1060" i="1"/>
  <c r="A1060" i="1"/>
  <c r="R1059" i="1"/>
  <c r="J1059" i="1"/>
  <c r="I1059" i="1"/>
  <c r="G1059" i="1"/>
  <c r="F1059" i="1"/>
  <c r="E1059" i="1"/>
  <c r="D1059" i="1"/>
  <c r="C1059" i="1"/>
  <c r="B1059" i="1"/>
  <c r="A1059" i="1"/>
  <c r="S1058" i="1"/>
  <c r="O1058" i="1"/>
  <c r="K1058" i="1"/>
  <c r="J1058" i="1"/>
  <c r="I1058" i="1"/>
  <c r="H1058" i="1"/>
  <c r="G1058" i="1"/>
  <c r="F1058" i="1"/>
  <c r="E1058" i="1"/>
  <c r="D1058" i="1"/>
  <c r="C1058" i="1"/>
  <c r="B1058" i="1"/>
  <c r="A1058" i="1"/>
  <c r="R1057" i="1"/>
  <c r="J1057" i="1"/>
  <c r="I1057" i="1"/>
  <c r="G1057" i="1"/>
  <c r="F1057" i="1"/>
  <c r="E1057" i="1"/>
  <c r="D1057" i="1"/>
  <c r="C1057" i="1"/>
  <c r="B1057" i="1"/>
  <c r="A1057" i="1"/>
  <c r="S1056" i="1"/>
  <c r="O1056" i="1"/>
  <c r="K1056" i="1"/>
  <c r="J1056" i="1"/>
  <c r="I1056" i="1"/>
  <c r="H1056" i="1"/>
  <c r="G1056" i="1"/>
  <c r="F1056" i="1"/>
  <c r="E1056" i="1"/>
  <c r="D1056" i="1"/>
  <c r="C1056" i="1"/>
  <c r="B1056" i="1"/>
  <c r="A1056" i="1"/>
  <c r="R1055" i="1"/>
  <c r="J1055" i="1"/>
  <c r="I1055" i="1"/>
  <c r="G1055" i="1"/>
  <c r="F1055" i="1"/>
  <c r="E1055" i="1"/>
  <c r="D1055" i="1"/>
  <c r="C1055" i="1"/>
  <c r="B1055" i="1"/>
  <c r="A1055" i="1"/>
  <c r="S1054" i="1"/>
  <c r="O1054" i="1"/>
  <c r="K1054" i="1"/>
  <c r="J1054" i="1"/>
  <c r="I1054" i="1"/>
  <c r="H1054" i="1"/>
  <c r="G1054" i="1"/>
  <c r="F1054" i="1"/>
  <c r="E1054" i="1"/>
  <c r="D1054" i="1"/>
  <c r="C1054" i="1"/>
  <c r="B1054" i="1"/>
  <c r="A1054" i="1"/>
  <c r="R1053" i="1"/>
  <c r="J1053" i="1"/>
  <c r="I1053" i="1"/>
  <c r="G1053" i="1"/>
  <c r="F1053" i="1"/>
  <c r="E1053" i="1"/>
  <c r="D1053" i="1"/>
  <c r="C1053" i="1"/>
  <c r="B1053" i="1"/>
  <c r="A1053" i="1"/>
  <c r="S1052" i="1"/>
  <c r="O1052" i="1"/>
  <c r="K1052" i="1"/>
  <c r="J1052" i="1"/>
  <c r="I1052" i="1"/>
  <c r="H1052" i="1"/>
  <c r="G1052" i="1"/>
  <c r="F1052" i="1"/>
  <c r="E1052" i="1"/>
  <c r="D1052" i="1"/>
  <c r="C1052" i="1"/>
  <c r="B1052" i="1"/>
  <c r="A1052" i="1"/>
  <c r="R1051" i="1"/>
  <c r="J1051" i="1"/>
  <c r="I1051" i="1"/>
  <c r="G1051" i="1"/>
  <c r="F1051" i="1"/>
  <c r="E1051" i="1"/>
  <c r="D1051" i="1"/>
  <c r="C1051" i="1"/>
  <c r="B1051" i="1"/>
  <c r="A1051" i="1"/>
  <c r="S1050" i="1"/>
  <c r="O1050" i="1"/>
  <c r="K1050" i="1"/>
  <c r="J1050" i="1"/>
  <c r="I1050" i="1"/>
  <c r="H1050" i="1"/>
  <c r="G1050" i="1"/>
  <c r="F1050" i="1"/>
  <c r="E1050" i="1"/>
  <c r="D1050" i="1"/>
  <c r="C1050" i="1"/>
  <c r="B1050" i="1"/>
  <c r="A1050" i="1"/>
  <c r="R1049" i="1"/>
  <c r="J1049" i="1"/>
  <c r="I1049" i="1"/>
  <c r="G1049" i="1"/>
  <c r="F1049" i="1"/>
  <c r="E1049" i="1"/>
  <c r="D1049" i="1"/>
  <c r="C1049" i="1"/>
  <c r="B1049" i="1"/>
  <c r="A1049" i="1"/>
  <c r="S1048" i="1"/>
  <c r="O1048" i="1"/>
  <c r="K1048" i="1"/>
  <c r="J1048" i="1"/>
  <c r="I1048" i="1"/>
  <c r="H1048" i="1"/>
  <c r="G1048" i="1"/>
  <c r="F1048" i="1"/>
  <c r="E1048" i="1"/>
  <c r="D1048" i="1"/>
  <c r="C1048" i="1"/>
  <c r="B1048" i="1"/>
  <c r="A1048" i="1"/>
  <c r="R1047" i="1"/>
  <c r="J1047" i="1"/>
  <c r="I1047" i="1"/>
  <c r="G1047" i="1"/>
  <c r="F1047" i="1"/>
  <c r="E1047" i="1"/>
  <c r="D1047" i="1"/>
  <c r="C1047" i="1"/>
  <c r="B1047" i="1"/>
  <c r="A1047" i="1"/>
  <c r="S1046" i="1"/>
  <c r="O1046" i="1"/>
  <c r="K1046" i="1"/>
  <c r="J1046" i="1"/>
  <c r="I1046" i="1"/>
  <c r="H1046" i="1"/>
  <c r="G1046" i="1"/>
  <c r="F1046" i="1"/>
  <c r="E1046" i="1"/>
  <c r="D1046" i="1"/>
  <c r="C1046" i="1"/>
  <c r="B1046" i="1"/>
  <c r="A1046" i="1"/>
  <c r="R1045" i="1"/>
  <c r="J1045" i="1"/>
  <c r="I1045" i="1"/>
  <c r="G1045" i="1"/>
  <c r="F1045" i="1"/>
  <c r="E1045" i="1"/>
  <c r="D1045" i="1"/>
  <c r="C1045" i="1"/>
  <c r="B1045" i="1"/>
  <c r="A1045" i="1"/>
  <c r="S1044" i="1"/>
  <c r="O1044" i="1"/>
  <c r="K1044" i="1"/>
  <c r="J1044" i="1"/>
  <c r="I1044" i="1"/>
  <c r="H1044" i="1"/>
  <c r="G1044" i="1"/>
  <c r="F1044" i="1"/>
  <c r="E1044" i="1"/>
  <c r="D1044" i="1"/>
  <c r="C1044" i="1"/>
  <c r="B1044" i="1"/>
  <c r="A1044" i="1"/>
  <c r="R1043" i="1"/>
  <c r="J1043" i="1"/>
  <c r="I1043" i="1"/>
  <c r="G1043" i="1"/>
  <c r="F1043" i="1"/>
  <c r="E1043" i="1"/>
  <c r="D1043" i="1"/>
  <c r="C1043" i="1"/>
  <c r="B1043" i="1"/>
  <c r="A1043" i="1"/>
  <c r="S1042" i="1"/>
  <c r="O1042" i="1"/>
  <c r="K1042" i="1"/>
  <c r="J1042" i="1"/>
  <c r="I1042" i="1"/>
  <c r="H1042" i="1"/>
  <c r="G1042" i="1"/>
  <c r="F1042" i="1"/>
  <c r="E1042" i="1"/>
  <c r="D1042" i="1"/>
  <c r="C1042" i="1"/>
  <c r="B1042" i="1"/>
  <c r="A1042" i="1"/>
  <c r="R1041" i="1"/>
  <c r="J1041" i="1"/>
  <c r="I1041" i="1"/>
  <c r="G1041" i="1"/>
  <c r="F1041" i="1"/>
  <c r="E1041" i="1"/>
  <c r="D1041" i="1"/>
  <c r="C1041" i="1"/>
  <c r="B1041" i="1"/>
  <c r="A1041" i="1"/>
  <c r="S1040" i="1"/>
  <c r="O1040" i="1"/>
  <c r="K1040" i="1"/>
  <c r="J1040" i="1"/>
  <c r="I1040" i="1"/>
  <c r="H1040" i="1"/>
  <c r="G1040" i="1"/>
  <c r="F1040" i="1"/>
  <c r="E1040" i="1"/>
  <c r="D1040" i="1"/>
  <c r="C1040" i="1"/>
  <c r="B1040" i="1"/>
  <c r="A1040" i="1"/>
  <c r="R1039" i="1"/>
  <c r="J1039" i="1"/>
  <c r="I1039" i="1"/>
  <c r="G1039" i="1"/>
  <c r="F1039" i="1"/>
  <c r="E1039" i="1"/>
  <c r="D1039" i="1"/>
  <c r="C1039" i="1"/>
  <c r="B1039" i="1"/>
  <c r="A1039" i="1"/>
  <c r="S1038" i="1"/>
  <c r="O1038" i="1"/>
  <c r="K1038" i="1"/>
  <c r="J1038" i="1"/>
  <c r="I1038" i="1"/>
  <c r="H1038" i="1"/>
  <c r="G1038" i="1"/>
  <c r="F1038" i="1"/>
  <c r="E1038" i="1"/>
  <c r="D1038" i="1"/>
  <c r="C1038" i="1"/>
  <c r="B1038" i="1"/>
  <c r="A1038" i="1"/>
  <c r="R1037" i="1"/>
  <c r="J1037" i="1"/>
  <c r="I1037" i="1"/>
  <c r="G1037" i="1"/>
  <c r="F1037" i="1"/>
  <c r="E1037" i="1"/>
  <c r="D1037" i="1"/>
  <c r="C1037" i="1"/>
  <c r="B1037" i="1"/>
  <c r="A1037" i="1"/>
  <c r="S1036" i="1"/>
  <c r="O1036" i="1"/>
  <c r="K1036" i="1"/>
  <c r="J1036" i="1"/>
  <c r="I1036" i="1"/>
  <c r="H1036" i="1"/>
  <c r="G1036" i="1"/>
  <c r="F1036" i="1"/>
  <c r="E1036" i="1"/>
  <c r="D1036" i="1"/>
  <c r="C1036" i="1"/>
  <c r="B1036" i="1"/>
  <c r="A1036" i="1"/>
  <c r="R1035" i="1"/>
  <c r="J1035" i="1"/>
  <c r="I1035" i="1"/>
  <c r="G1035" i="1"/>
  <c r="F1035" i="1"/>
  <c r="E1035" i="1"/>
  <c r="D1035" i="1"/>
  <c r="C1035" i="1"/>
  <c r="B1035" i="1"/>
  <c r="A1035" i="1"/>
  <c r="R1034" i="1"/>
  <c r="J1034" i="1"/>
  <c r="I1034" i="1"/>
  <c r="G1034" i="1"/>
  <c r="F1034" i="1"/>
  <c r="E1034" i="1"/>
  <c r="D1034" i="1"/>
  <c r="C1034" i="1"/>
  <c r="B1034" i="1"/>
  <c r="A1034" i="1"/>
  <c r="S1033" i="1"/>
  <c r="O1033" i="1"/>
  <c r="K1033" i="1"/>
  <c r="J1033" i="1"/>
  <c r="I1033" i="1"/>
  <c r="H1033" i="1"/>
  <c r="G1033" i="1"/>
  <c r="F1033" i="1"/>
  <c r="E1033" i="1"/>
  <c r="D1033" i="1"/>
  <c r="C1033" i="1"/>
  <c r="B1033" i="1"/>
  <c r="A1033" i="1"/>
  <c r="R1032" i="1"/>
  <c r="J1032" i="1"/>
  <c r="I1032" i="1"/>
  <c r="G1032" i="1"/>
  <c r="F1032" i="1"/>
  <c r="E1032" i="1"/>
  <c r="D1032" i="1"/>
  <c r="C1032" i="1"/>
  <c r="B1032" i="1"/>
  <c r="A1032" i="1"/>
  <c r="S1031" i="1"/>
  <c r="O1031" i="1"/>
  <c r="K1031" i="1"/>
  <c r="J1031" i="1"/>
  <c r="I1031" i="1"/>
  <c r="H1031" i="1"/>
  <c r="G1031" i="1"/>
  <c r="F1031" i="1"/>
  <c r="E1031" i="1"/>
  <c r="D1031" i="1"/>
  <c r="C1031" i="1"/>
  <c r="B1031" i="1"/>
  <c r="A1031" i="1"/>
  <c r="R1030" i="1"/>
  <c r="J1030" i="1"/>
  <c r="I1030" i="1"/>
  <c r="G1030" i="1"/>
  <c r="F1030" i="1"/>
  <c r="E1030" i="1"/>
  <c r="D1030" i="1"/>
  <c r="C1030" i="1"/>
  <c r="B1030" i="1"/>
  <c r="A1030" i="1"/>
  <c r="S1029" i="1"/>
  <c r="O1029" i="1"/>
  <c r="K1029" i="1"/>
  <c r="J1029" i="1"/>
  <c r="I1029" i="1"/>
  <c r="H1029" i="1"/>
  <c r="G1029" i="1"/>
  <c r="F1029" i="1"/>
  <c r="E1029" i="1"/>
  <c r="D1029" i="1"/>
  <c r="C1029" i="1"/>
  <c r="B1029" i="1"/>
  <c r="A1029" i="1"/>
  <c r="R1028" i="1"/>
  <c r="J1028" i="1"/>
  <c r="I1028" i="1"/>
  <c r="G1028" i="1"/>
  <c r="F1028" i="1"/>
  <c r="E1028" i="1"/>
  <c r="D1028" i="1"/>
  <c r="C1028" i="1"/>
  <c r="B1028" i="1"/>
  <c r="A1028" i="1"/>
  <c r="R1027" i="1"/>
  <c r="J1027" i="1"/>
  <c r="I1027" i="1"/>
  <c r="G1027" i="1"/>
  <c r="F1027" i="1"/>
  <c r="E1027" i="1"/>
  <c r="D1027" i="1"/>
  <c r="C1027" i="1"/>
  <c r="B1027" i="1"/>
  <c r="A1027" i="1"/>
  <c r="S1026" i="1"/>
  <c r="O1026" i="1"/>
  <c r="K1026" i="1"/>
  <c r="J1026" i="1"/>
  <c r="I1026" i="1"/>
  <c r="H1026" i="1"/>
  <c r="G1026" i="1"/>
  <c r="F1026" i="1"/>
  <c r="E1026" i="1"/>
  <c r="D1026" i="1"/>
  <c r="C1026" i="1"/>
  <c r="B1026" i="1"/>
  <c r="A1026" i="1"/>
  <c r="R1025" i="1"/>
  <c r="J1025" i="1"/>
  <c r="I1025" i="1"/>
  <c r="G1025" i="1"/>
  <c r="F1025" i="1"/>
  <c r="E1025" i="1"/>
  <c r="D1025" i="1"/>
  <c r="C1025" i="1"/>
  <c r="B1025" i="1"/>
  <c r="A1025" i="1"/>
  <c r="S1024" i="1"/>
  <c r="O1024" i="1"/>
  <c r="K1024" i="1"/>
  <c r="J1024" i="1"/>
  <c r="I1024" i="1"/>
  <c r="H1024" i="1"/>
  <c r="G1024" i="1"/>
  <c r="F1024" i="1"/>
  <c r="E1024" i="1"/>
  <c r="D1024" i="1"/>
  <c r="C1024" i="1"/>
  <c r="B1024" i="1"/>
  <c r="A1024" i="1"/>
  <c r="R1023" i="1"/>
  <c r="J1023" i="1"/>
  <c r="I1023" i="1"/>
  <c r="G1023" i="1"/>
  <c r="F1023" i="1"/>
  <c r="E1023" i="1"/>
  <c r="D1023" i="1"/>
  <c r="C1023" i="1"/>
  <c r="B1023" i="1"/>
  <c r="A1023" i="1"/>
  <c r="S1022" i="1"/>
  <c r="O1022" i="1"/>
  <c r="K1022" i="1"/>
  <c r="J1022" i="1"/>
  <c r="I1022" i="1"/>
  <c r="H1022" i="1"/>
  <c r="G1022" i="1"/>
  <c r="F1022" i="1"/>
  <c r="E1022" i="1"/>
  <c r="D1022" i="1"/>
  <c r="C1022" i="1"/>
  <c r="B1022" i="1"/>
  <c r="A1022" i="1"/>
  <c r="R1021" i="1"/>
  <c r="J1021" i="1"/>
  <c r="I1021" i="1"/>
  <c r="G1021" i="1"/>
  <c r="F1021" i="1"/>
  <c r="E1021" i="1"/>
  <c r="D1021" i="1"/>
  <c r="C1021" i="1"/>
  <c r="B1021" i="1"/>
  <c r="A1021" i="1"/>
  <c r="S1020" i="1"/>
  <c r="O1020" i="1"/>
  <c r="K1020" i="1"/>
  <c r="J1020" i="1"/>
  <c r="I1020" i="1"/>
  <c r="H1020" i="1"/>
  <c r="G1020" i="1"/>
  <c r="F1020" i="1"/>
  <c r="E1020" i="1"/>
  <c r="D1020" i="1"/>
  <c r="C1020" i="1"/>
  <c r="B1020" i="1"/>
  <c r="A1020" i="1"/>
  <c r="R1019" i="1"/>
  <c r="J1019" i="1"/>
  <c r="I1019" i="1"/>
  <c r="G1019" i="1"/>
  <c r="F1019" i="1"/>
  <c r="E1019" i="1"/>
  <c r="D1019" i="1"/>
  <c r="C1019" i="1"/>
  <c r="B1019" i="1"/>
  <c r="A1019" i="1"/>
  <c r="S1018" i="1"/>
  <c r="O1018" i="1"/>
  <c r="K1018" i="1"/>
  <c r="J1018" i="1"/>
  <c r="I1018" i="1"/>
  <c r="H1018" i="1"/>
  <c r="G1018" i="1"/>
  <c r="F1018" i="1"/>
  <c r="E1018" i="1"/>
  <c r="D1018" i="1"/>
  <c r="C1018" i="1"/>
  <c r="B1018" i="1"/>
  <c r="A1018" i="1"/>
  <c r="R1017" i="1"/>
  <c r="J1017" i="1"/>
  <c r="I1017" i="1"/>
  <c r="G1017" i="1"/>
  <c r="F1017" i="1"/>
  <c r="E1017" i="1"/>
  <c r="D1017" i="1"/>
  <c r="C1017" i="1"/>
  <c r="B1017" i="1"/>
  <c r="A1017" i="1"/>
  <c r="S1016" i="1"/>
  <c r="O1016" i="1"/>
  <c r="K1016" i="1"/>
  <c r="J1016" i="1"/>
  <c r="I1016" i="1"/>
  <c r="H1016" i="1"/>
  <c r="G1016" i="1"/>
  <c r="F1016" i="1"/>
  <c r="E1016" i="1"/>
  <c r="D1016" i="1"/>
  <c r="C1016" i="1"/>
  <c r="B1016" i="1"/>
  <c r="A1016" i="1"/>
  <c r="R1015" i="1"/>
  <c r="J1015" i="1"/>
  <c r="I1015" i="1"/>
  <c r="G1015" i="1"/>
  <c r="F1015" i="1"/>
  <c r="E1015" i="1"/>
  <c r="D1015" i="1"/>
  <c r="C1015" i="1"/>
  <c r="B1015" i="1"/>
  <c r="A1015" i="1"/>
  <c r="S1014" i="1"/>
  <c r="O1014" i="1"/>
  <c r="K1014" i="1"/>
  <c r="J1014" i="1"/>
  <c r="I1014" i="1"/>
  <c r="H1014" i="1"/>
  <c r="G1014" i="1"/>
  <c r="F1014" i="1"/>
  <c r="E1014" i="1"/>
  <c r="D1014" i="1"/>
  <c r="C1014" i="1"/>
  <c r="B1014" i="1"/>
  <c r="A1014" i="1"/>
  <c r="R1013" i="1"/>
  <c r="J1013" i="1"/>
  <c r="I1013" i="1"/>
  <c r="G1013" i="1"/>
  <c r="F1013" i="1"/>
  <c r="E1013" i="1"/>
  <c r="D1013" i="1"/>
  <c r="C1013" i="1"/>
  <c r="B1013" i="1"/>
  <c r="A1013" i="1"/>
  <c r="S1012" i="1"/>
  <c r="O1012" i="1"/>
  <c r="K1012" i="1"/>
  <c r="J1012" i="1"/>
  <c r="I1012" i="1"/>
  <c r="H1012" i="1"/>
  <c r="G1012" i="1"/>
  <c r="F1012" i="1"/>
  <c r="E1012" i="1"/>
  <c r="D1012" i="1"/>
  <c r="C1012" i="1"/>
  <c r="B1012" i="1"/>
  <c r="A1012" i="1"/>
  <c r="R1011" i="1"/>
  <c r="J1011" i="1"/>
  <c r="I1011" i="1"/>
  <c r="G1011" i="1"/>
  <c r="F1011" i="1"/>
  <c r="E1011" i="1"/>
  <c r="D1011" i="1"/>
  <c r="C1011" i="1"/>
  <c r="B1011" i="1"/>
  <c r="A1011" i="1"/>
  <c r="S1010" i="1"/>
  <c r="O1010" i="1"/>
  <c r="K1010" i="1"/>
  <c r="J1010" i="1"/>
  <c r="I1010" i="1"/>
  <c r="H1010" i="1"/>
  <c r="G1010" i="1"/>
  <c r="F1010" i="1"/>
  <c r="E1010" i="1"/>
  <c r="D1010" i="1"/>
  <c r="C1010" i="1"/>
  <c r="B1010" i="1"/>
  <c r="A1010" i="1"/>
  <c r="R1009" i="1"/>
  <c r="J1009" i="1"/>
  <c r="I1009" i="1"/>
  <c r="G1009" i="1"/>
  <c r="F1009" i="1"/>
  <c r="E1009" i="1"/>
  <c r="D1009" i="1"/>
  <c r="C1009" i="1"/>
  <c r="B1009" i="1"/>
  <c r="A1009" i="1"/>
  <c r="S1008" i="1"/>
  <c r="O1008" i="1"/>
  <c r="K1008" i="1"/>
  <c r="J1008" i="1"/>
  <c r="I1008" i="1"/>
  <c r="H1008" i="1"/>
  <c r="G1008" i="1"/>
  <c r="F1008" i="1"/>
  <c r="E1008" i="1"/>
  <c r="D1008" i="1"/>
  <c r="C1008" i="1"/>
  <c r="B1008" i="1"/>
  <c r="A1008" i="1"/>
  <c r="R1007" i="1"/>
  <c r="J1007" i="1"/>
  <c r="I1007" i="1"/>
  <c r="G1007" i="1"/>
  <c r="F1007" i="1"/>
  <c r="E1007" i="1"/>
  <c r="D1007" i="1"/>
  <c r="C1007" i="1"/>
  <c r="B1007" i="1"/>
  <c r="A1007" i="1"/>
  <c r="S1006" i="1"/>
  <c r="O1006" i="1"/>
  <c r="K1006" i="1"/>
  <c r="J1006" i="1"/>
  <c r="I1006" i="1"/>
  <c r="H1006" i="1"/>
  <c r="G1006" i="1"/>
  <c r="F1006" i="1"/>
  <c r="E1006" i="1"/>
  <c r="D1006" i="1"/>
  <c r="C1006" i="1"/>
  <c r="B1006" i="1"/>
  <c r="A1006" i="1"/>
  <c r="R1005" i="1"/>
  <c r="J1005" i="1"/>
  <c r="I1005" i="1"/>
  <c r="G1005" i="1"/>
  <c r="F1005" i="1"/>
  <c r="E1005" i="1"/>
  <c r="D1005" i="1"/>
  <c r="C1005" i="1"/>
  <c r="B1005" i="1"/>
  <c r="A1005" i="1"/>
  <c r="S1004" i="1"/>
  <c r="O1004" i="1"/>
  <c r="K1004" i="1"/>
  <c r="J1004" i="1"/>
  <c r="I1004" i="1"/>
  <c r="H1004" i="1"/>
  <c r="G1004" i="1"/>
  <c r="F1004" i="1"/>
  <c r="E1004" i="1"/>
  <c r="D1004" i="1"/>
  <c r="C1004" i="1"/>
  <c r="B1004" i="1"/>
  <c r="A1004" i="1"/>
  <c r="R1003" i="1"/>
  <c r="J1003" i="1"/>
  <c r="I1003" i="1"/>
  <c r="G1003" i="1"/>
  <c r="F1003" i="1"/>
  <c r="E1003" i="1"/>
  <c r="D1003" i="1"/>
  <c r="C1003" i="1"/>
  <c r="B1003" i="1"/>
  <c r="A1003" i="1"/>
  <c r="S1002" i="1"/>
  <c r="O1002" i="1"/>
  <c r="K1002" i="1"/>
  <c r="J1002" i="1"/>
  <c r="I1002" i="1"/>
  <c r="H1002" i="1"/>
  <c r="G1002" i="1"/>
  <c r="F1002" i="1"/>
  <c r="E1002" i="1"/>
  <c r="D1002" i="1"/>
  <c r="C1002" i="1"/>
  <c r="B1002" i="1"/>
  <c r="A1002" i="1"/>
  <c r="R1001" i="1"/>
  <c r="J1001" i="1"/>
  <c r="I1001" i="1"/>
  <c r="G1001" i="1"/>
  <c r="F1001" i="1"/>
  <c r="E1001" i="1"/>
  <c r="D1001" i="1"/>
  <c r="C1001" i="1"/>
  <c r="B1001" i="1"/>
  <c r="A1001" i="1"/>
  <c r="S1000" i="1"/>
  <c r="O1000" i="1"/>
  <c r="K1000" i="1"/>
  <c r="J1000" i="1"/>
  <c r="I1000" i="1"/>
  <c r="H1000" i="1"/>
  <c r="G1000" i="1"/>
  <c r="F1000" i="1"/>
  <c r="E1000" i="1"/>
  <c r="D1000" i="1"/>
  <c r="C1000" i="1"/>
  <c r="B1000" i="1"/>
  <c r="A1000" i="1"/>
  <c r="R999" i="1"/>
  <c r="J999" i="1"/>
  <c r="I999" i="1"/>
  <c r="G999" i="1"/>
  <c r="F999" i="1"/>
  <c r="E999" i="1"/>
  <c r="D999" i="1"/>
  <c r="C999" i="1"/>
  <c r="B999" i="1"/>
  <c r="A999" i="1"/>
  <c r="S998" i="1"/>
  <c r="O998" i="1"/>
  <c r="K998" i="1"/>
  <c r="J998" i="1"/>
  <c r="I998" i="1"/>
  <c r="H998" i="1"/>
  <c r="G998" i="1"/>
  <c r="F998" i="1"/>
  <c r="E998" i="1"/>
  <c r="D998" i="1"/>
  <c r="C998" i="1"/>
  <c r="B998" i="1"/>
  <c r="A998" i="1"/>
  <c r="R997" i="1"/>
  <c r="J997" i="1"/>
  <c r="I997" i="1"/>
  <c r="G997" i="1"/>
  <c r="F997" i="1"/>
  <c r="E997" i="1"/>
  <c r="D997" i="1"/>
  <c r="C997" i="1"/>
  <c r="B997" i="1"/>
  <c r="A997" i="1"/>
  <c r="S996" i="1"/>
  <c r="O996" i="1"/>
  <c r="K996" i="1"/>
  <c r="J996" i="1"/>
  <c r="I996" i="1"/>
  <c r="H996" i="1"/>
  <c r="G996" i="1"/>
  <c r="F996" i="1"/>
  <c r="E996" i="1"/>
  <c r="D996" i="1"/>
  <c r="C996" i="1"/>
  <c r="B996" i="1"/>
  <c r="A996" i="1"/>
  <c r="R995" i="1"/>
  <c r="J995" i="1"/>
  <c r="I995" i="1"/>
  <c r="G995" i="1"/>
  <c r="F995" i="1"/>
  <c r="E995" i="1"/>
  <c r="D995" i="1"/>
  <c r="C995" i="1"/>
  <c r="B995" i="1"/>
  <c r="A995" i="1"/>
  <c r="S994" i="1"/>
  <c r="O994" i="1"/>
  <c r="K994" i="1"/>
  <c r="J994" i="1"/>
  <c r="I994" i="1"/>
  <c r="H994" i="1"/>
  <c r="G994" i="1"/>
  <c r="F994" i="1"/>
  <c r="E994" i="1"/>
  <c r="D994" i="1"/>
  <c r="C994" i="1"/>
  <c r="B994" i="1"/>
  <c r="A994" i="1"/>
  <c r="R993" i="1"/>
  <c r="J993" i="1"/>
  <c r="I993" i="1"/>
  <c r="G993" i="1"/>
  <c r="F993" i="1"/>
  <c r="E993" i="1"/>
  <c r="D993" i="1"/>
  <c r="C993" i="1"/>
  <c r="B993" i="1"/>
  <c r="A993" i="1"/>
  <c r="S992" i="1"/>
  <c r="O992" i="1"/>
  <c r="K992" i="1"/>
  <c r="J992" i="1"/>
  <c r="I992" i="1"/>
  <c r="H992" i="1"/>
  <c r="G992" i="1"/>
  <c r="F992" i="1"/>
  <c r="E992" i="1"/>
  <c r="D992" i="1"/>
  <c r="C992" i="1"/>
  <c r="B992" i="1"/>
  <c r="A992" i="1"/>
  <c r="R991" i="1"/>
  <c r="J991" i="1"/>
  <c r="I991" i="1"/>
  <c r="G991" i="1"/>
  <c r="F991" i="1"/>
  <c r="E991" i="1"/>
  <c r="D991" i="1"/>
  <c r="C991" i="1"/>
  <c r="B991" i="1"/>
  <c r="A991" i="1"/>
  <c r="S990" i="1"/>
  <c r="O990" i="1"/>
  <c r="K990" i="1"/>
  <c r="J990" i="1"/>
  <c r="I990" i="1"/>
  <c r="H990" i="1"/>
  <c r="G990" i="1"/>
  <c r="F990" i="1"/>
  <c r="E990" i="1"/>
  <c r="D990" i="1"/>
  <c r="C990" i="1"/>
  <c r="B990" i="1"/>
  <c r="A990" i="1"/>
  <c r="R989" i="1"/>
  <c r="J989" i="1"/>
  <c r="I989" i="1"/>
  <c r="G989" i="1"/>
  <c r="F989" i="1"/>
  <c r="E989" i="1"/>
  <c r="D989" i="1"/>
  <c r="C989" i="1"/>
  <c r="B989" i="1"/>
  <c r="A989" i="1"/>
  <c r="S988" i="1"/>
  <c r="O988" i="1"/>
  <c r="K988" i="1"/>
  <c r="J988" i="1"/>
  <c r="I988" i="1"/>
  <c r="H988" i="1"/>
  <c r="G988" i="1"/>
  <c r="F988" i="1"/>
  <c r="E988" i="1"/>
  <c r="D988" i="1"/>
  <c r="C988" i="1"/>
  <c r="B988" i="1"/>
  <c r="A988" i="1"/>
  <c r="R987" i="1"/>
  <c r="J987" i="1"/>
  <c r="I987" i="1"/>
  <c r="G987" i="1"/>
  <c r="F987" i="1"/>
  <c r="E987" i="1"/>
  <c r="D987" i="1"/>
  <c r="C987" i="1"/>
  <c r="B987" i="1"/>
  <c r="A987" i="1"/>
  <c r="S986" i="1"/>
  <c r="O986" i="1"/>
  <c r="K986" i="1"/>
  <c r="J986" i="1"/>
  <c r="I986" i="1"/>
  <c r="H986" i="1"/>
  <c r="G986" i="1"/>
  <c r="F986" i="1"/>
  <c r="E986" i="1"/>
  <c r="D986" i="1"/>
  <c r="C986" i="1"/>
  <c r="B986" i="1"/>
  <c r="A986" i="1"/>
  <c r="R985" i="1"/>
  <c r="J985" i="1"/>
  <c r="I985" i="1"/>
  <c r="G985" i="1"/>
  <c r="F985" i="1"/>
  <c r="E985" i="1"/>
  <c r="D985" i="1"/>
  <c r="C985" i="1"/>
  <c r="B985" i="1"/>
  <c r="A985" i="1"/>
  <c r="S984" i="1"/>
  <c r="O984" i="1"/>
  <c r="K984" i="1"/>
  <c r="J984" i="1"/>
  <c r="I984" i="1"/>
  <c r="H984" i="1"/>
  <c r="G984" i="1"/>
  <c r="F984" i="1"/>
  <c r="E984" i="1"/>
  <c r="D984" i="1"/>
  <c r="C984" i="1"/>
  <c r="B984" i="1"/>
  <c r="A984" i="1"/>
  <c r="R983" i="1"/>
  <c r="J983" i="1"/>
  <c r="I983" i="1"/>
  <c r="G983" i="1"/>
  <c r="F983" i="1"/>
  <c r="E983" i="1"/>
  <c r="D983" i="1"/>
  <c r="C983" i="1"/>
  <c r="B983" i="1"/>
  <c r="A983" i="1"/>
  <c r="S982" i="1"/>
  <c r="O982" i="1"/>
  <c r="K982" i="1"/>
  <c r="J982" i="1"/>
  <c r="I982" i="1"/>
  <c r="H982" i="1"/>
  <c r="G982" i="1"/>
  <c r="F982" i="1"/>
  <c r="E982" i="1"/>
  <c r="D982" i="1"/>
  <c r="C982" i="1"/>
  <c r="B982" i="1"/>
  <c r="A982" i="1"/>
  <c r="R981" i="1"/>
  <c r="J981" i="1"/>
  <c r="I981" i="1"/>
  <c r="G981" i="1"/>
  <c r="F981" i="1"/>
  <c r="E981" i="1"/>
  <c r="D981" i="1"/>
  <c r="C981" i="1"/>
  <c r="B981" i="1"/>
  <c r="A981" i="1"/>
  <c r="S980" i="1"/>
  <c r="O980" i="1"/>
  <c r="K980" i="1"/>
  <c r="J980" i="1"/>
  <c r="I980" i="1"/>
  <c r="H980" i="1"/>
  <c r="G980" i="1"/>
  <c r="F980" i="1"/>
  <c r="E980" i="1"/>
  <c r="D980" i="1"/>
  <c r="C980" i="1"/>
  <c r="B980" i="1"/>
  <c r="A980" i="1"/>
  <c r="R979" i="1"/>
  <c r="J979" i="1"/>
  <c r="I979" i="1"/>
  <c r="G979" i="1"/>
  <c r="F979" i="1"/>
  <c r="E979" i="1"/>
  <c r="D979" i="1"/>
  <c r="C979" i="1"/>
  <c r="B979" i="1"/>
  <c r="A979" i="1"/>
  <c r="S978" i="1"/>
  <c r="O978" i="1"/>
  <c r="K978" i="1"/>
  <c r="J978" i="1"/>
  <c r="I978" i="1"/>
  <c r="H978" i="1"/>
  <c r="G978" i="1"/>
  <c r="F978" i="1"/>
  <c r="E978" i="1"/>
  <c r="D978" i="1"/>
  <c r="C978" i="1"/>
  <c r="B978" i="1"/>
  <c r="A978" i="1"/>
  <c r="R977" i="1"/>
  <c r="J977" i="1"/>
  <c r="I977" i="1"/>
  <c r="G977" i="1"/>
  <c r="F977" i="1"/>
  <c r="E977" i="1"/>
  <c r="D977" i="1"/>
  <c r="C977" i="1"/>
  <c r="B977" i="1"/>
  <c r="A977" i="1"/>
  <c r="S976" i="1"/>
  <c r="O976" i="1"/>
  <c r="K976" i="1"/>
  <c r="J976" i="1"/>
  <c r="I976" i="1"/>
  <c r="H976" i="1"/>
  <c r="G976" i="1"/>
  <c r="F976" i="1"/>
  <c r="E976" i="1"/>
  <c r="D976" i="1"/>
  <c r="C976" i="1"/>
  <c r="B976" i="1"/>
  <c r="A976" i="1"/>
  <c r="R975" i="1"/>
  <c r="J975" i="1"/>
  <c r="I975" i="1"/>
  <c r="G975" i="1"/>
  <c r="F975" i="1"/>
  <c r="E975" i="1"/>
  <c r="D975" i="1"/>
  <c r="C975" i="1"/>
  <c r="B975" i="1"/>
  <c r="A975" i="1"/>
  <c r="S974" i="1"/>
  <c r="O974" i="1"/>
  <c r="K974" i="1"/>
  <c r="J974" i="1"/>
  <c r="I974" i="1"/>
  <c r="H974" i="1"/>
  <c r="G974" i="1"/>
  <c r="F974" i="1"/>
  <c r="E974" i="1"/>
  <c r="D974" i="1"/>
  <c r="C974" i="1"/>
  <c r="B974" i="1"/>
  <c r="A974" i="1"/>
  <c r="R973" i="1"/>
  <c r="J973" i="1"/>
  <c r="I973" i="1"/>
  <c r="G973" i="1"/>
  <c r="F973" i="1"/>
  <c r="E973" i="1"/>
  <c r="D973" i="1"/>
  <c r="C973" i="1"/>
  <c r="B973" i="1"/>
  <c r="A973" i="1"/>
  <c r="S972" i="1"/>
  <c r="O972" i="1"/>
  <c r="K972" i="1"/>
  <c r="J972" i="1"/>
  <c r="I972" i="1"/>
  <c r="H972" i="1"/>
  <c r="G972" i="1"/>
  <c r="F972" i="1"/>
  <c r="E972" i="1"/>
  <c r="D972" i="1"/>
  <c r="C972" i="1"/>
  <c r="B972" i="1"/>
  <c r="A972" i="1"/>
  <c r="R971" i="1"/>
  <c r="J971" i="1"/>
  <c r="I971" i="1"/>
  <c r="G971" i="1"/>
  <c r="F971" i="1"/>
  <c r="E971" i="1"/>
  <c r="D971" i="1"/>
  <c r="C971" i="1"/>
  <c r="B971" i="1"/>
  <c r="A971" i="1"/>
  <c r="S970" i="1"/>
  <c r="O970" i="1"/>
  <c r="K970" i="1"/>
  <c r="J970" i="1"/>
  <c r="I970" i="1"/>
  <c r="H970" i="1"/>
  <c r="G970" i="1"/>
  <c r="F970" i="1"/>
  <c r="E970" i="1"/>
  <c r="D970" i="1"/>
  <c r="C970" i="1"/>
  <c r="B970" i="1"/>
  <c r="A970" i="1"/>
  <c r="R969" i="1"/>
  <c r="J969" i="1"/>
  <c r="I969" i="1"/>
  <c r="G969" i="1"/>
  <c r="F969" i="1"/>
  <c r="E969" i="1"/>
  <c r="D969" i="1"/>
  <c r="C969" i="1"/>
  <c r="B969" i="1"/>
  <c r="A969" i="1"/>
  <c r="S968" i="1"/>
  <c r="O968" i="1"/>
  <c r="K968" i="1"/>
  <c r="J968" i="1"/>
  <c r="I968" i="1"/>
  <c r="H968" i="1"/>
  <c r="G968" i="1"/>
  <c r="F968" i="1"/>
  <c r="E968" i="1"/>
  <c r="D968" i="1"/>
  <c r="C968" i="1"/>
  <c r="B968" i="1"/>
  <c r="A968" i="1"/>
  <c r="R967" i="1"/>
  <c r="J967" i="1"/>
  <c r="I967" i="1"/>
  <c r="G967" i="1"/>
  <c r="F967" i="1"/>
  <c r="E967" i="1"/>
  <c r="D967" i="1"/>
  <c r="C967" i="1"/>
  <c r="B967" i="1"/>
  <c r="A967" i="1"/>
  <c r="S966" i="1"/>
  <c r="O966" i="1"/>
  <c r="K966" i="1"/>
  <c r="J966" i="1"/>
  <c r="I966" i="1"/>
  <c r="H966" i="1"/>
  <c r="G966" i="1"/>
  <c r="F966" i="1"/>
  <c r="E966" i="1"/>
  <c r="D966" i="1"/>
  <c r="C966" i="1"/>
  <c r="B966" i="1"/>
  <c r="A966" i="1"/>
  <c r="R965" i="1"/>
  <c r="J965" i="1"/>
  <c r="I965" i="1"/>
  <c r="G965" i="1"/>
  <c r="F965" i="1"/>
  <c r="E965" i="1"/>
  <c r="D965" i="1"/>
  <c r="C965" i="1"/>
  <c r="B965" i="1"/>
  <c r="A965" i="1"/>
  <c r="S964" i="1"/>
  <c r="O964" i="1"/>
  <c r="K964" i="1"/>
  <c r="J964" i="1"/>
  <c r="I964" i="1"/>
  <c r="H964" i="1"/>
  <c r="G964" i="1"/>
  <c r="F964" i="1"/>
  <c r="E964" i="1"/>
  <c r="D964" i="1"/>
  <c r="C964" i="1"/>
  <c r="B964" i="1"/>
  <c r="A964" i="1"/>
  <c r="R963" i="1"/>
  <c r="J963" i="1"/>
  <c r="I963" i="1"/>
  <c r="G963" i="1"/>
  <c r="F963" i="1"/>
  <c r="E963" i="1"/>
  <c r="D963" i="1"/>
  <c r="C963" i="1"/>
  <c r="B963" i="1"/>
  <c r="A963" i="1"/>
  <c r="S962" i="1"/>
  <c r="O962" i="1"/>
  <c r="K962" i="1"/>
  <c r="J962" i="1"/>
  <c r="I962" i="1"/>
  <c r="H962" i="1"/>
  <c r="G962" i="1"/>
  <c r="F962" i="1"/>
  <c r="E962" i="1"/>
  <c r="D962" i="1"/>
  <c r="C962" i="1"/>
  <c r="B962" i="1"/>
  <c r="A962" i="1"/>
  <c r="R961" i="1"/>
  <c r="J961" i="1"/>
  <c r="I961" i="1"/>
  <c r="G961" i="1"/>
  <c r="F961" i="1"/>
  <c r="E961" i="1"/>
  <c r="D961" i="1"/>
  <c r="C961" i="1"/>
  <c r="B961" i="1"/>
  <c r="A961" i="1"/>
  <c r="R960" i="1"/>
  <c r="J960" i="1"/>
  <c r="I960" i="1"/>
  <c r="G960" i="1"/>
  <c r="F960" i="1"/>
  <c r="E960" i="1"/>
  <c r="D960" i="1"/>
  <c r="C960" i="1"/>
  <c r="B960" i="1"/>
  <c r="A960" i="1"/>
  <c r="S959" i="1"/>
  <c r="O959" i="1"/>
  <c r="K959" i="1"/>
  <c r="J959" i="1"/>
  <c r="I959" i="1"/>
  <c r="H959" i="1"/>
  <c r="G959" i="1"/>
  <c r="F959" i="1"/>
  <c r="E959" i="1"/>
  <c r="D959" i="1"/>
  <c r="C959" i="1"/>
  <c r="B959" i="1"/>
  <c r="A959" i="1"/>
  <c r="R958" i="1"/>
  <c r="J958" i="1"/>
  <c r="I958" i="1"/>
  <c r="G958" i="1"/>
  <c r="F958" i="1"/>
  <c r="E958" i="1"/>
  <c r="D958" i="1"/>
  <c r="C958" i="1"/>
  <c r="B958" i="1"/>
  <c r="A958" i="1"/>
  <c r="S957" i="1"/>
  <c r="O957" i="1"/>
  <c r="K957" i="1"/>
  <c r="J957" i="1"/>
  <c r="I957" i="1"/>
  <c r="H957" i="1"/>
  <c r="G957" i="1"/>
  <c r="F957" i="1"/>
  <c r="E957" i="1"/>
  <c r="D957" i="1"/>
  <c r="C957" i="1"/>
  <c r="B957" i="1"/>
  <c r="A957" i="1"/>
  <c r="R956" i="1"/>
  <c r="J956" i="1"/>
  <c r="I956" i="1"/>
  <c r="G956" i="1"/>
  <c r="F956" i="1"/>
  <c r="E956" i="1"/>
  <c r="D956" i="1"/>
  <c r="C956" i="1"/>
  <c r="B956" i="1"/>
  <c r="A956" i="1"/>
  <c r="S955" i="1"/>
  <c r="O955" i="1"/>
  <c r="K955" i="1"/>
  <c r="J955" i="1"/>
  <c r="I955" i="1"/>
  <c r="H955" i="1"/>
  <c r="G955" i="1"/>
  <c r="F955" i="1"/>
  <c r="E955" i="1"/>
  <c r="D955" i="1"/>
  <c r="C955" i="1"/>
  <c r="B955" i="1"/>
  <c r="A955" i="1"/>
  <c r="R954" i="1"/>
  <c r="J954" i="1"/>
  <c r="I954" i="1"/>
  <c r="G954" i="1"/>
  <c r="F954" i="1"/>
  <c r="E954" i="1"/>
  <c r="D954" i="1"/>
  <c r="C954" i="1"/>
  <c r="B954" i="1"/>
  <c r="A954" i="1"/>
  <c r="S953" i="1"/>
  <c r="O953" i="1"/>
  <c r="K953" i="1"/>
  <c r="J953" i="1"/>
  <c r="I953" i="1"/>
  <c r="H953" i="1"/>
  <c r="G953" i="1"/>
  <c r="F953" i="1"/>
  <c r="E953" i="1"/>
  <c r="D953" i="1"/>
  <c r="C953" i="1"/>
  <c r="B953" i="1"/>
  <c r="A953" i="1"/>
  <c r="R952" i="1"/>
  <c r="J952" i="1"/>
  <c r="I952" i="1"/>
  <c r="G952" i="1"/>
  <c r="F952" i="1"/>
  <c r="E952" i="1"/>
  <c r="D952" i="1"/>
  <c r="C952" i="1"/>
  <c r="B952" i="1"/>
  <c r="A952" i="1"/>
  <c r="S951" i="1"/>
  <c r="O951" i="1"/>
  <c r="K951" i="1"/>
  <c r="J951" i="1"/>
  <c r="I951" i="1"/>
  <c r="H951" i="1"/>
  <c r="G951" i="1"/>
  <c r="F951" i="1"/>
  <c r="E951" i="1"/>
  <c r="D951" i="1"/>
  <c r="C951" i="1"/>
  <c r="B951" i="1"/>
  <c r="A951" i="1"/>
  <c r="R950" i="1"/>
  <c r="J950" i="1"/>
  <c r="I950" i="1"/>
  <c r="G950" i="1"/>
  <c r="F950" i="1"/>
  <c r="E950" i="1"/>
  <c r="D950" i="1"/>
  <c r="C950" i="1"/>
  <c r="B950" i="1"/>
  <c r="A950" i="1"/>
  <c r="S949" i="1"/>
  <c r="O949" i="1"/>
  <c r="K949" i="1"/>
  <c r="J949" i="1"/>
  <c r="I949" i="1"/>
  <c r="H949" i="1"/>
  <c r="G949" i="1"/>
  <c r="F949" i="1"/>
  <c r="E949" i="1"/>
  <c r="D949" i="1"/>
  <c r="C949" i="1"/>
  <c r="B949" i="1"/>
  <c r="A949" i="1"/>
  <c r="R948" i="1"/>
  <c r="J948" i="1"/>
  <c r="I948" i="1"/>
  <c r="G948" i="1"/>
  <c r="F948" i="1"/>
  <c r="E948" i="1"/>
  <c r="D948" i="1"/>
  <c r="C948" i="1"/>
  <c r="B948" i="1"/>
  <c r="A948" i="1"/>
  <c r="S947" i="1"/>
  <c r="O947" i="1"/>
  <c r="K947" i="1"/>
  <c r="J947" i="1"/>
  <c r="I947" i="1"/>
  <c r="H947" i="1"/>
  <c r="G947" i="1"/>
  <c r="F947" i="1"/>
  <c r="E947" i="1"/>
  <c r="D947" i="1"/>
  <c r="C947" i="1"/>
  <c r="B947" i="1"/>
  <c r="A947" i="1"/>
  <c r="R946" i="1"/>
  <c r="J946" i="1"/>
  <c r="I946" i="1"/>
  <c r="G946" i="1"/>
  <c r="F946" i="1"/>
  <c r="E946" i="1"/>
  <c r="D946" i="1"/>
  <c r="C946" i="1"/>
  <c r="B946" i="1"/>
  <c r="A946" i="1"/>
  <c r="S945" i="1"/>
  <c r="O945" i="1"/>
  <c r="K945" i="1"/>
  <c r="J945" i="1"/>
  <c r="I945" i="1"/>
  <c r="H945" i="1"/>
  <c r="G945" i="1"/>
  <c r="F945" i="1"/>
  <c r="E945" i="1"/>
  <c r="D945" i="1"/>
  <c r="C945" i="1"/>
  <c r="B945" i="1"/>
  <c r="A945" i="1"/>
  <c r="R944" i="1"/>
  <c r="J944" i="1"/>
  <c r="I944" i="1"/>
  <c r="G944" i="1"/>
  <c r="F944" i="1"/>
  <c r="E944" i="1"/>
  <c r="D944" i="1"/>
  <c r="C944" i="1"/>
  <c r="B944" i="1"/>
  <c r="A944" i="1"/>
  <c r="S943" i="1"/>
  <c r="O943" i="1"/>
  <c r="K943" i="1"/>
  <c r="J943" i="1"/>
  <c r="I943" i="1"/>
  <c r="H943" i="1"/>
  <c r="G943" i="1"/>
  <c r="F943" i="1"/>
  <c r="E943" i="1"/>
  <c r="D943" i="1"/>
  <c r="C943" i="1"/>
  <c r="B943" i="1"/>
  <c r="A943" i="1"/>
  <c r="R942" i="1"/>
  <c r="J942" i="1"/>
  <c r="I942" i="1"/>
  <c r="G942" i="1"/>
  <c r="F942" i="1"/>
  <c r="E942" i="1"/>
  <c r="D942" i="1"/>
  <c r="C942" i="1"/>
  <c r="B942" i="1"/>
  <c r="A942" i="1"/>
  <c r="S941" i="1"/>
  <c r="O941" i="1"/>
  <c r="K941" i="1"/>
  <c r="J941" i="1"/>
  <c r="I941" i="1"/>
  <c r="H941" i="1"/>
  <c r="G941" i="1"/>
  <c r="F941" i="1"/>
  <c r="E941" i="1"/>
  <c r="D941" i="1"/>
  <c r="C941" i="1"/>
  <c r="B941" i="1"/>
  <c r="A941" i="1"/>
  <c r="R940" i="1"/>
  <c r="J940" i="1"/>
  <c r="I940" i="1"/>
  <c r="G940" i="1"/>
  <c r="F940" i="1"/>
  <c r="E940" i="1"/>
  <c r="D940" i="1"/>
  <c r="C940" i="1"/>
  <c r="B940" i="1"/>
  <c r="A940" i="1"/>
  <c r="R939" i="1"/>
  <c r="J939" i="1"/>
  <c r="I939" i="1"/>
  <c r="G939" i="1"/>
  <c r="F939" i="1"/>
  <c r="E939" i="1"/>
  <c r="D939" i="1"/>
  <c r="C939" i="1"/>
  <c r="B939" i="1"/>
  <c r="A939" i="1"/>
  <c r="S938" i="1"/>
  <c r="O938" i="1"/>
  <c r="K938" i="1"/>
  <c r="J938" i="1"/>
  <c r="I938" i="1"/>
  <c r="H938" i="1"/>
  <c r="G938" i="1"/>
  <c r="F938" i="1"/>
  <c r="E938" i="1"/>
  <c r="D938" i="1"/>
  <c r="C938" i="1"/>
  <c r="B938" i="1"/>
  <c r="A938" i="1"/>
  <c r="R937" i="1"/>
  <c r="J937" i="1"/>
  <c r="I937" i="1"/>
  <c r="G937" i="1"/>
  <c r="F937" i="1"/>
  <c r="E937" i="1"/>
  <c r="D937" i="1"/>
  <c r="C937" i="1"/>
  <c r="B937" i="1"/>
  <c r="A937" i="1"/>
  <c r="S936" i="1"/>
  <c r="O936" i="1"/>
  <c r="K936" i="1"/>
  <c r="J936" i="1"/>
  <c r="I936" i="1"/>
  <c r="H936" i="1"/>
  <c r="G936" i="1"/>
  <c r="F936" i="1"/>
  <c r="E936" i="1"/>
  <c r="D936" i="1"/>
  <c r="C936" i="1"/>
  <c r="B936" i="1"/>
  <c r="A936" i="1"/>
  <c r="R935" i="1"/>
  <c r="J935" i="1"/>
  <c r="I935" i="1"/>
  <c r="G935" i="1"/>
  <c r="F935" i="1"/>
  <c r="E935" i="1"/>
  <c r="D935" i="1"/>
  <c r="C935" i="1"/>
  <c r="B935" i="1"/>
  <c r="A935" i="1"/>
  <c r="R934" i="1"/>
  <c r="J934" i="1"/>
  <c r="I934" i="1"/>
  <c r="G934" i="1"/>
  <c r="F934" i="1"/>
  <c r="E934" i="1"/>
  <c r="D934" i="1"/>
  <c r="C934" i="1"/>
  <c r="B934" i="1"/>
  <c r="A934" i="1"/>
  <c r="S933" i="1"/>
  <c r="O933" i="1"/>
  <c r="K933" i="1"/>
  <c r="J933" i="1"/>
  <c r="I933" i="1"/>
  <c r="H933" i="1"/>
  <c r="G933" i="1"/>
  <c r="F933" i="1"/>
  <c r="E933" i="1"/>
  <c r="D933" i="1"/>
  <c r="C933" i="1"/>
  <c r="B933" i="1"/>
  <c r="A933" i="1"/>
  <c r="R932" i="1"/>
  <c r="J932" i="1"/>
  <c r="I932" i="1"/>
  <c r="G932" i="1"/>
  <c r="F932" i="1"/>
  <c r="E932" i="1"/>
  <c r="D932" i="1"/>
  <c r="C932" i="1"/>
  <c r="B932" i="1"/>
  <c r="A932" i="1"/>
  <c r="S931" i="1"/>
  <c r="O931" i="1"/>
  <c r="K931" i="1"/>
  <c r="J931" i="1"/>
  <c r="I931" i="1"/>
  <c r="H931" i="1"/>
  <c r="G931" i="1"/>
  <c r="F931" i="1"/>
  <c r="E931" i="1"/>
  <c r="D931" i="1"/>
  <c r="C931" i="1"/>
  <c r="B931" i="1"/>
  <c r="A931" i="1"/>
  <c r="R930" i="1"/>
  <c r="J930" i="1"/>
  <c r="I930" i="1"/>
  <c r="G930" i="1"/>
  <c r="F930" i="1"/>
  <c r="E930" i="1"/>
  <c r="D930" i="1"/>
  <c r="C930" i="1"/>
  <c r="B930" i="1"/>
  <c r="A930" i="1"/>
  <c r="S929" i="1"/>
  <c r="O929" i="1"/>
  <c r="K929" i="1"/>
  <c r="J929" i="1"/>
  <c r="I929" i="1"/>
  <c r="H929" i="1"/>
  <c r="G929" i="1"/>
  <c r="F929" i="1"/>
  <c r="E929" i="1"/>
  <c r="D929" i="1"/>
  <c r="C929" i="1"/>
  <c r="B929" i="1"/>
  <c r="A929" i="1"/>
  <c r="R928" i="1"/>
  <c r="J928" i="1"/>
  <c r="I928" i="1"/>
  <c r="G928" i="1"/>
  <c r="F928" i="1"/>
  <c r="E928" i="1"/>
  <c r="D928" i="1"/>
  <c r="C928" i="1"/>
  <c r="B928" i="1"/>
  <c r="A928" i="1"/>
  <c r="R927" i="1"/>
  <c r="J927" i="1"/>
  <c r="I927" i="1"/>
  <c r="G927" i="1"/>
  <c r="F927" i="1"/>
  <c r="E927" i="1"/>
  <c r="D927" i="1"/>
  <c r="C927" i="1"/>
  <c r="B927" i="1"/>
  <c r="A927" i="1"/>
  <c r="S926" i="1"/>
  <c r="O926" i="1"/>
  <c r="K926" i="1"/>
  <c r="J926" i="1"/>
  <c r="I926" i="1"/>
  <c r="H926" i="1"/>
  <c r="G926" i="1"/>
  <c r="F926" i="1"/>
  <c r="E926" i="1"/>
  <c r="D926" i="1"/>
  <c r="C926" i="1"/>
  <c r="B926" i="1"/>
  <c r="A926" i="1"/>
  <c r="R925" i="1"/>
  <c r="J925" i="1"/>
  <c r="I925" i="1"/>
  <c r="G925" i="1"/>
  <c r="F925" i="1"/>
  <c r="E925" i="1"/>
  <c r="D925" i="1"/>
  <c r="C925" i="1"/>
  <c r="B925" i="1"/>
  <c r="A925" i="1"/>
  <c r="S924" i="1"/>
  <c r="O924" i="1"/>
  <c r="K924" i="1"/>
  <c r="J924" i="1"/>
  <c r="I924" i="1"/>
  <c r="H924" i="1"/>
  <c r="G924" i="1"/>
  <c r="F924" i="1"/>
  <c r="E924" i="1"/>
  <c r="D924" i="1"/>
  <c r="C924" i="1"/>
  <c r="B924" i="1"/>
  <c r="A924" i="1"/>
  <c r="R923" i="1"/>
  <c r="J923" i="1"/>
  <c r="I923" i="1"/>
  <c r="G923" i="1"/>
  <c r="F923" i="1"/>
  <c r="E923" i="1"/>
  <c r="D923" i="1"/>
  <c r="C923" i="1"/>
  <c r="B923" i="1"/>
  <c r="A923" i="1"/>
  <c r="S922" i="1"/>
  <c r="O922" i="1"/>
  <c r="K922" i="1"/>
  <c r="J922" i="1"/>
  <c r="I922" i="1"/>
  <c r="H922" i="1"/>
  <c r="G922" i="1"/>
  <c r="F922" i="1"/>
  <c r="E922" i="1"/>
  <c r="D922" i="1"/>
  <c r="C922" i="1"/>
  <c r="B922" i="1"/>
  <c r="A922" i="1"/>
  <c r="R921" i="1"/>
  <c r="J921" i="1"/>
  <c r="I921" i="1"/>
  <c r="G921" i="1"/>
  <c r="F921" i="1"/>
  <c r="E921" i="1"/>
  <c r="D921" i="1"/>
  <c r="C921" i="1"/>
  <c r="B921" i="1"/>
  <c r="A921" i="1"/>
  <c r="S920" i="1"/>
  <c r="O920" i="1"/>
  <c r="K920" i="1"/>
  <c r="J920" i="1"/>
  <c r="I920" i="1"/>
  <c r="H920" i="1"/>
  <c r="G920" i="1"/>
  <c r="F920" i="1"/>
  <c r="E920" i="1"/>
  <c r="D920" i="1"/>
  <c r="C920" i="1"/>
  <c r="B920" i="1"/>
  <c r="A920" i="1"/>
  <c r="R919" i="1"/>
  <c r="J919" i="1"/>
  <c r="I919" i="1"/>
  <c r="G919" i="1"/>
  <c r="F919" i="1"/>
  <c r="E919" i="1"/>
  <c r="D919" i="1"/>
  <c r="C919" i="1"/>
  <c r="B919" i="1"/>
  <c r="A919" i="1"/>
  <c r="S918" i="1"/>
  <c r="O918" i="1"/>
  <c r="K918" i="1"/>
  <c r="J918" i="1"/>
  <c r="I918" i="1"/>
  <c r="H918" i="1"/>
  <c r="G918" i="1"/>
  <c r="F918" i="1"/>
  <c r="E918" i="1"/>
  <c r="D918" i="1"/>
  <c r="C918" i="1"/>
  <c r="B918" i="1"/>
  <c r="A918" i="1"/>
  <c r="R917" i="1"/>
  <c r="J917" i="1"/>
  <c r="I917" i="1"/>
  <c r="G917" i="1"/>
  <c r="F917" i="1"/>
  <c r="E917" i="1"/>
  <c r="D917" i="1"/>
  <c r="C917" i="1"/>
  <c r="B917" i="1"/>
  <c r="A917" i="1"/>
  <c r="S916" i="1"/>
  <c r="O916" i="1"/>
  <c r="K916" i="1"/>
  <c r="J916" i="1"/>
  <c r="I916" i="1"/>
  <c r="H916" i="1"/>
  <c r="G916" i="1"/>
  <c r="F916" i="1"/>
  <c r="E916" i="1"/>
  <c r="D916" i="1"/>
  <c r="C916" i="1"/>
  <c r="B916" i="1"/>
  <c r="A916" i="1"/>
  <c r="R915" i="1"/>
  <c r="J915" i="1"/>
  <c r="I915" i="1"/>
  <c r="G915" i="1"/>
  <c r="F915" i="1"/>
  <c r="E915" i="1"/>
  <c r="D915" i="1"/>
  <c r="C915" i="1"/>
  <c r="B915" i="1"/>
  <c r="A915" i="1"/>
  <c r="S914" i="1"/>
  <c r="O914" i="1"/>
  <c r="K914" i="1"/>
  <c r="J914" i="1"/>
  <c r="I914" i="1"/>
  <c r="H914" i="1"/>
  <c r="G914" i="1"/>
  <c r="F914" i="1"/>
  <c r="E914" i="1"/>
  <c r="D914" i="1"/>
  <c r="C914" i="1"/>
  <c r="B914" i="1"/>
  <c r="A914" i="1"/>
  <c r="R913" i="1"/>
  <c r="J913" i="1"/>
  <c r="I913" i="1"/>
  <c r="G913" i="1"/>
  <c r="F913" i="1"/>
  <c r="E913" i="1"/>
  <c r="D913" i="1"/>
  <c r="C913" i="1"/>
  <c r="B913" i="1"/>
  <c r="A913" i="1"/>
  <c r="S912" i="1"/>
  <c r="O912" i="1"/>
  <c r="K912" i="1"/>
  <c r="J912" i="1"/>
  <c r="I912" i="1"/>
  <c r="H912" i="1"/>
  <c r="G912" i="1"/>
  <c r="F912" i="1"/>
  <c r="E912" i="1"/>
  <c r="D912" i="1"/>
  <c r="C912" i="1"/>
  <c r="B912" i="1"/>
  <c r="A912" i="1"/>
  <c r="R911" i="1"/>
  <c r="J911" i="1"/>
  <c r="I911" i="1"/>
  <c r="G911" i="1"/>
  <c r="F911" i="1"/>
  <c r="E911" i="1"/>
  <c r="D911" i="1"/>
  <c r="C911" i="1"/>
  <c r="B911" i="1"/>
  <c r="A911" i="1"/>
  <c r="S910" i="1"/>
  <c r="O910" i="1"/>
  <c r="K910" i="1"/>
  <c r="J910" i="1"/>
  <c r="I910" i="1"/>
  <c r="H910" i="1"/>
  <c r="G910" i="1"/>
  <c r="F910" i="1"/>
  <c r="E910" i="1"/>
  <c r="D910" i="1"/>
  <c r="C910" i="1"/>
  <c r="B910" i="1"/>
  <c r="A910" i="1"/>
  <c r="R909" i="1"/>
  <c r="J909" i="1"/>
  <c r="I909" i="1"/>
  <c r="G909" i="1"/>
  <c r="F909" i="1"/>
  <c r="E909" i="1"/>
  <c r="D909" i="1"/>
  <c r="C909" i="1"/>
  <c r="B909" i="1"/>
  <c r="A909" i="1"/>
  <c r="R908" i="1"/>
  <c r="J908" i="1"/>
  <c r="I908" i="1"/>
  <c r="G908" i="1"/>
  <c r="F908" i="1"/>
  <c r="E908" i="1"/>
  <c r="D908" i="1"/>
  <c r="C908" i="1"/>
  <c r="B908" i="1"/>
  <c r="A908" i="1"/>
  <c r="S907" i="1"/>
  <c r="O907" i="1"/>
  <c r="K907" i="1"/>
  <c r="J907" i="1"/>
  <c r="I907" i="1"/>
  <c r="H907" i="1"/>
  <c r="G907" i="1"/>
  <c r="F907" i="1"/>
  <c r="E907" i="1"/>
  <c r="D907" i="1"/>
  <c r="C907" i="1"/>
  <c r="B907" i="1"/>
  <c r="A907" i="1"/>
  <c r="R906" i="1"/>
  <c r="J906" i="1"/>
  <c r="I906" i="1"/>
  <c r="G906" i="1"/>
  <c r="F906" i="1"/>
  <c r="E906" i="1"/>
  <c r="D906" i="1"/>
  <c r="C906" i="1"/>
  <c r="B906" i="1"/>
  <c r="A906" i="1"/>
  <c r="S905" i="1"/>
  <c r="O905" i="1"/>
  <c r="K905" i="1"/>
  <c r="J905" i="1"/>
  <c r="I905" i="1"/>
  <c r="H905" i="1"/>
  <c r="G905" i="1"/>
  <c r="F905" i="1"/>
  <c r="E905" i="1"/>
  <c r="D905" i="1"/>
  <c r="C905" i="1"/>
  <c r="B905" i="1"/>
  <c r="A905" i="1"/>
  <c r="R904" i="1"/>
  <c r="J904" i="1"/>
  <c r="I904" i="1"/>
  <c r="G904" i="1"/>
  <c r="F904" i="1"/>
  <c r="E904" i="1"/>
  <c r="D904" i="1"/>
  <c r="C904" i="1"/>
  <c r="B904" i="1"/>
  <c r="A904" i="1"/>
  <c r="S903" i="1"/>
  <c r="O903" i="1"/>
  <c r="K903" i="1"/>
  <c r="J903" i="1"/>
  <c r="I903" i="1"/>
  <c r="H903" i="1"/>
  <c r="G903" i="1"/>
  <c r="F903" i="1"/>
  <c r="E903" i="1"/>
  <c r="D903" i="1"/>
  <c r="C903" i="1"/>
  <c r="B903" i="1"/>
  <c r="A903" i="1"/>
  <c r="R902" i="1"/>
  <c r="J902" i="1"/>
  <c r="I902" i="1"/>
  <c r="G902" i="1"/>
  <c r="F902" i="1"/>
  <c r="E902" i="1"/>
  <c r="D902" i="1"/>
  <c r="C902" i="1"/>
  <c r="B902" i="1"/>
  <c r="A902" i="1"/>
  <c r="S901" i="1"/>
  <c r="O901" i="1"/>
  <c r="K901" i="1"/>
  <c r="J901" i="1"/>
  <c r="I901" i="1"/>
  <c r="H901" i="1"/>
  <c r="G901" i="1"/>
  <c r="F901" i="1"/>
  <c r="E901" i="1"/>
  <c r="D901" i="1"/>
  <c r="C901" i="1"/>
  <c r="B901" i="1"/>
  <c r="A901" i="1"/>
  <c r="R900" i="1"/>
  <c r="J900" i="1"/>
  <c r="I900" i="1"/>
  <c r="G900" i="1"/>
  <c r="F900" i="1"/>
  <c r="E900" i="1"/>
  <c r="D900" i="1"/>
  <c r="C900" i="1"/>
  <c r="B900" i="1"/>
  <c r="A900" i="1"/>
  <c r="S899" i="1"/>
  <c r="O899" i="1"/>
  <c r="K899" i="1"/>
  <c r="J899" i="1"/>
  <c r="I899" i="1"/>
  <c r="H899" i="1"/>
  <c r="G899" i="1"/>
  <c r="F899" i="1"/>
  <c r="E899" i="1"/>
  <c r="D899" i="1"/>
  <c r="C899" i="1"/>
  <c r="B899" i="1"/>
  <c r="A899" i="1"/>
  <c r="R898" i="1"/>
  <c r="J898" i="1"/>
  <c r="I898" i="1"/>
  <c r="G898" i="1"/>
  <c r="F898" i="1"/>
  <c r="E898" i="1"/>
  <c r="D898" i="1"/>
  <c r="C898" i="1"/>
  <c r="B898" i="1"/>
  <c r="A898" i="1"/>
  <c r="R897" i="1"/>
  <c r="J897" i="1"/>
  <c r="I897" i="1"/>
  <c r="G897" i="1"/>
  <c r="F897" i="1"/>
  <c r="E897" i="1"/>
  <c r="D897" i="1"/>
  <c r="C897" i="1"/>
  <c r="B897" i="1"/>
  <c r="A897" i="1"/>
  <c r="R896" i="1"/>
  <c r="J896" i="1"/>
  <c r="I896" i="1"/>
  <c r="G896" i="1"/>
  <c r="F896" i="1"/>
  <c r="E896" i="1"/>
  <c r="D896" i="1"/>
  <c r="C896" i="1"/>
  <c r="B896" i="1"/>
  <c r="A896" i="1"/>
  <c r="S895" i="1"/>
  <c r="O895" i="1"/>
  <c r="K895" i="1"/>
  <c r="J895" i="1"/>
  <c r="I895" i="1"/>
  <c r="H895" i="1"/>
  <c r="G895" i="1"/>
  <c r="F895" i="1"/>
  <c r="E895" i="1"/>
  <c r="D895" i="1"/>
  <c r="C895" i="1"/>
  <c r="B895" i="1"/>
  <c r="A895" i="1"/>
  <c r="R894" i="1"/>
  <c r="J894" i="1"/>
  <c r="I894" i="1"/>
  <c r="G894" i="1"/>
  <c r="F894" i="1"/>
  <c r="E894" i="1"/>
  <c r="D894" i="1"/>
  <c r="C894" i="1"/>
  <c r="B894" i="1"/>
  <c r="A894" i="1"/>
  <c r="S893" i="1"/>
  <c r="O893" i="1"/>
  <c r="K893" i="1"/>
  <c r="J893" i="1"/>
  <c r="I893" i="1"/>
  <c r="H893" i="1"/>
  <c r="G893" i="1"/>
  <c r="F893" i="1"/>
  <c r="E893" i="1"/>
  <c r="D893" i="1"/>
  <c r="C893" i="1"/>
  <c r="B893" i="1"/>
  <c r="A893" i="1"/>
  <c r="R892" i="1"/>
  <c r="J892" i="1"/>
  <c r="I892" i="1"/>
  <c r="G892" i="1"/>
  <c r="F892" i="1"/>
  <c r="E892" i="1"/>
  <c r="D892" i="1"/>
  <c r="C892" i="1"/>
  <c r="B892" i="1"/>
  <c r="A892" i="1"/>
  <c r="S891" i="1"/>
  <c r="O891" i="1"/>
  <c r="K891" i="1"/>
  <c r="J891" i="1"/>
  <c r="I891" i="1"/>
  <c r="H891" i="1"/>
  <c r="G891" i="1"/>
  <c r="F891" i="1"/>
  <c r="E891" i="1"/>
  <c r="D891" i="1"/>
  <c r="C891" i="1"/>
  <c r="B891" i="1"/>
  <c r="A891" i="1"/>
  <c r="R890" i="1"/>
  <c r="J890" i="1"/>
  <c r="I890" i="1"/>
  <c r="G890" i="1"/>
  <c r="F890" i="1"/>
  <c r="E890" i="1"/>
  <c r="D890" i="1"/>
  <c r="C890" i="1"/>
  <c r="B890" i="1"/>
  <c r="A890" i="1"/>
  <c r="S889" i="1"/>
  <c r="O889" i="1"/>
  <c r="K889" i="1"/>
  <c r="J889" i="1"/>
  <c r="I889" i="1"/>
  <c r="H889" i="1"/>
  <c r="G889" i="1"/>
  <c r="F889" i="1"/>
  <c r="E889" i="1"/>
  <c r="D889" i="1"/>
  <c r="C889" i="1"/>
  <c r="B889" i="1"/>
  <c r="A889" i="1"/>
  <c r="R888" i="1"/>
  <c r="J888" i="1"/>
  <c r="I888" i="1"/>
  <c r="G888" i="1"/>
  <c r="F888" i="1"/>
  <c r="E888" i="1"/>
  <c r="D888" i="1"/>
  <c r="C888" i="1"/>
  <c r="B888" i="1"/>
  <c r="A888" i="1"/>
  <c r="S887" i="1"/>
  <c r="O887" i="1"/>
  <c r="K887" i="1"/>
  <c r="J887" i="1"/>
  <c r="I887" i="1"/>
  <c r="H887" i="1"/>
  <c r="G887" i="1"/>
  <c r="F887" i="1"/>
  <c r="E887" i="1"/>
  <c r="D887" i="1"/>
  <c r="C887" i="1"/>
  <c r="B887" i="1"/>
  <c r="A887" i="1"/>
  <c r="R886" i="1"/>
  <c r="J886" i="1"/>
  <c r="I886" i="1"/>
  <c r="G886" i="1"/>
  <c r="F886" i="1"/>
  <c r="E886" i="1"/>
  <c r="D886" i="1"/>
  <c r="C886" i="1"/>
  <c r="B886" i="1"/>
  <c r="A886" i="1"/>
  <c r="S885" i="1"/>
  <c r="O885" i="1"/>
  <c r="K885" i="1"/>
  <c r="J885" i="1"/>
  <c r="I885" i="1"/>
  <c r="H885" i="1"/>
  <c r="G885" i="1"/>
  <c r="F885" i="1"/>
  <c r="E885" i="1"/>
  <c r="D885" i="1"/>
  <c r="C885" i="1"/>
  <c r="B885" i="1"/>
  <c r="A885" i="1"/>
  <c r="R884" i="1"/>
  <c r="J884" i="1"/>
  <c r="I884" i="1"/>
  <c r="G884" i="1"/>
  <c r="F884" i="1"/>
  <c r="E884" i="1"/>
  <c r="D884" i="1"/>
  <c r="C884" i="1"/>
  <c r="B884" i="1"/>
  <c r="A884" i="1"/>
  <c r="S883" i="1"/>
  <c r="O883" i="1"/>
  <c r="K883" i="1"/>
  <c r="J883" i="1"/>
  <c r="I883" i="1"/>
  <c r="H883" i="1"/>
  <c r="G883" i="1"/>
  <c r="F883" i="1"/>
  <c r="E883" i="1"/>
  <c r="D883" i="1"/>
  <c r="C883" i="1"/>
  <c r="B883" i="1"/>
  <c r="A883" i="1"/>
  <c r="R882" i="1"/>
  <c r="J882" i="1"/>
  <c r="I882" i="1"/>
  <c r="G882" i="1"/>
  <c r="F882" i="1"/>
  <c r="E882" i="1"/>
  <c r="D882" i="1"/>
  <c r="C882" i="1"/>
  <c r="B882" i="1"/>
  <c r="A882" i="1"/>
  <c r="S881" i="1"/>
  <c r="O881" i="1"/>
  <c r="K881" i="1"/>
  <c r="J881" i="1"/>
  <c r="I881" i="1"/>
  <c r="H881" i="1"/>
  <c r="G881" i="1"/>
  <c r="F881" i="1"/>
  <c r="E881" i="1"/>
  <c r="D881" i="1"/>
  <c r="C881" i="1"/>
  <c r="B881" i="1"/>
  <c r="A881" i="1"/>
  <c r="R880" i="1"/>
  <c r="J880" i="1"/>
  <c r="I880" i="1"/>
  <c r="G880" i="1"/>
  <c r="F880" i="1"/>
  <c r="E880" i="1"/>
  <c r="D880" i="1"/>
  <c r="C880" i="1"/>
  <c r="B880" i="1"/>
  <c r="A880" i="1"/>
  <c r="S879" i="1"/>
  <c r="O879" i="1"/>
  <c r="K879" i="1"/>
  <c r="J879" i="1"/>
  <c r="I879" i="1"/>
  <c r="H879" i="1"/>
  <c r="G879" i="1"/>
  <c r="F879" i="1"/>
  <c r="E879" i="1"/>
  <c r="D879" i="1"/>
  <c r="C879" i="1"/>
  <c r="B879" i="1"/>
  <c r="A879" i="1"/>
  <c r="R878" i="1"/>
  <c r="J878" i="1"/>
  <c r="I878" i="1"/>
  <c r="G878" i="1"/>
  <c r="F878" i="1"/>
  <c r="E878" i="1"/>
  <c r="D878" i="1"/>
  <c r="C878" i="1"/>
  <c r="B878" i="1"/>
  <c r="A878" i="1"/>
  <c r="S877" i="1"/>
  <c r="O877" i="1"/>
  <c r="K877" i="1"/>
  <c r="J877" i="1"/>
  <c r="I877" i="1"/>
  <c r="H877" i="1"/>
  <c r="G877" i="1"/>
  <c r="F877" i="1"/>
  <c r="E877" i="1"/>
  <c r="D877" i="1"/>
  <c r="C877" i="1"/>
  <c r="B877" i="1"/>
  <c r="A877" i="1"/>
  <c r="R876" i="1"/>
  <c r="J876" i="1"/>
  <c r="I876" i="1"/>
  <c r="G876" i="1"/>
  <c r="F876" i="1"/>
  <c r="E876" i="1"/>
  <c r="D876" i="1"/>
  <c r="C876" i="1"/>
  <c r="B876" i="1"/>
  <c r="A876" i="1"/>
  <c r="S875" i="1"/>
  <c r="O875" i="1"/>
  <c r="K875" i="1"/>
  <c r="J875" i="1"/>
  <c r="I875" i="1"/>
  <c r="H875" i="1"/>
  <c r="G875" i="1"/>
  <c r="F875" i="1"/>
  <c r="E875" i="1"/>
  <c r="D875" i="1"/>
  <c r="C875" i="1"/>
  <c r="B875" i="1"/>
  <c r="A875" i="1"/>
  <c r="R874" i="1"/>
  <c r="J874" i="1"/>
  <c r="I874" i="1"/>
  <c r="G874" i="1"/>
  <c r="F874" i="1"/>
  <c r="E874" i="1"/>
  <c r="D874" i="1"/>
  <c r="C874" i="1"/>
  <c r="B874" i="1"/>
  <c r="A874" i="1"/>
  <c r="R873" i="1"/>
  <c r="J873" i="1"/>
  <c r="I873" i="1"/>
  <c r="G873" i="1"/>
  <c r="F873" i="1"/>
  <c r="E873" i="1"/>
  <c r="D873" i="1"/>
  <c r="C873" i="1"/>
  <c r="B873" i="1"/>
  <c r="A873" i="1"/>
  <c r="R872" i="1"/>
  <c r="J872" i="1"/>
  <c r="I872" i="1"/>
  <c r="G872" i="1"/>
  <c r="F872" i="1"/>
  <c r="E872" i="1"/>
  <c r="D872" i="1"/>
  <c r="C872" i="1"/>
  <c r="B872" i="1"/>
  <c r="A872" i="1"/>
  <c r="S871" i="1"/>
  <c r="O871" i="1"/>
  <c r="K871" i="1"/>
  <c r="J871" i="1"/>
  <c r="I871" i="1"/>
  <c r="H871" i="1"/>
  <c r="G871" i="1"/>
  <c r="F871" i="1"/>
  <c r="E871" i="1"/>
  <c r="D871" i="1"/>
  <c r="C871" i="1"/>
  <c r="B871" i="1"/>
  <c r="A871" i="1"/>
  <c r="S870" i="1"/>
  <c r="O870" i="1"/>
  <c r="K870" i="1"/>
  <c r="J870" i="1"/>
  <c r="I870" i="1"/>
  <c r="H870" i="1"/>
  <c r="G870" i="1"/>
  <c r="F870" i="1"/>
  <c r="E870" i="1"/>
  <c r="D870" i="1"/>
  <c r="C870" i="1"/>
  <c r="B870" i="1"/>
  <c r="A870" i="1"/>
  <c r="R869" i="1"/>
  <c r="J869" i="1"/>
  <c r="I869" i="1"/>
  <c r="G869" i="1"/>
  <c r="F869" i="1"/>
  <c r="E869" i="1"/>
  <c r="D869" i="1"/>
  <c r="C869" i="1"/>
  <c r="B869" i="1"/>
  <c r="A869" i="1"/>
  <c r="R868" i="1"/>
  <c r="J868" i="1"/>
  <c r="I868" i="1"/>
  <c r="G868" i="1"/>
  <c r="F868" i="1"/>
  <c r="E868" i="1"/>
  <c r="D868" i="1"/>
  <c r="C868" i="1"/>
  <c r="B868" i="1"/>
  <c r="A868" i="1"/>
  <c r="S867" i="1"/>
  <c r="O867" i="1"/>
  <c r="K867" i="1"/>
  <c r="J867" i="1"/>
  <c r="I867" i="1"/>
  <c r="H867" i="1"/>
  <c r="G867" i="1"/>
  <c r="F867" i="1"/>
  <c r="E867" i="1"/>
  <c r="D867" i="1"/>
  <c r="C867" i="1"/>
  <c r="B867" i="1"/>
  <c r="A867" i="1"/>
  <c r="R866" i="1"/>
  <c r="J866" i="1"/>
  <c r="I866" i="1"/>
  <c r="G866" i="1"/>
  <c r="F866" i="1"/>
  <c r="E866" i="1"/>
  <c r="D866" i="1"/>
  <c r="C866" i="1"/>
  <c r="B866" i="1"/>
  <c r="A866" i="1"/>
  <c r="S865" i="1"/>
  <c r="O865" i="1"/>
  <c r="K865" i="1"/>
  <c r="J865" i="1"/>
  <c r="I865" i="1"/>
  <c r="H865" i="1"/>
  <c r="G865" i="1"/>
  <c r="F865" i="1"/>
  <c r="E865" i="1"/>
  <c r="D865" i="1"/>
  <c r="C865" i="1"/>
  <c r="B865" i="1"/>
  <c r="A865" i="1"/>
  <c r="R864" i="1"/>
  <c r="J864" i="1"/>
  <c r="I864" i="1"/>
  <c r="G864" i="1"/>
  <c r="F864" i="1"/>
  <c r="E864" i="1"/>
  <c r="D864" i="1"/>
  <c r="C864" i="1"/>
  <c r="B864" i="1"/>
  <c r="A864" i="1"/>
  <c r="S863" i="1"/>
  <c r="O863" i="1"/>
  <c r="K863" i="1"/>
  <c r="J863" i="1"/>
  <c r="I863" i="1"/>
  <c r="H863" i="1"/>
  <c r="G863" i="1"/>
  <c r="F863" i="1"/>
  <c r="E863" i="1"/>
  <c r="D863" i="1"/>
  <c r="C863" i="1"/>
  <c r="B863" i="1"/>
  <c r="A863" i="1"/>
  <c r="R862" i="1"/>
  <c r="J862" i="1"/>
  <c r="I862" i="1"/>
  <c r="G862" i="1"/>
  <c r="F862" i="1"/>
  <c r="E862" i="1"/>
  <c r="D862" i="1"/>
  <c r="C862" i="1"/>
  <c r="B862" i="1"/>
  <c r="A862" i="1"/>
  <c r="S861" i="1"/>
  <c r="O861" i="1"/>
  <c r="K861" i="1"/>
  <c r="J861" i="1"/>
  <c r="I861" i="1"/>
  <c r="H861" i="1"/>
  <c r="G861" i="1"/>
  <c r="F861" i="1"/>
  <c r="E861" i="1"/>
  <c r="D861" i="1"/>
  <c r="C861" i="1"/>
  <c r="B861" i="1"/>
  <c r="A861" i="1"/>
  <c r="R860" i="1"/>
  <c r="J860" i="1"/>
  <c r="I860" i="1"/>
  <c r="G860" i="1"/>
  <c r="F860" i="1"/>
  <c r="E860" i="1"/>
  <c r="D860" i="1"/>
  <c r="C860" i="1"/>
  <c r="B860" i="1"/>
  <c r="A860" i="1"/>
  <c r="S859" i="1"/>
  <c r="O859" i="1"/>
  <c r="K859" i="1"/>
  <c r="J859" i="1"/>
  <c r="I859" i="1"/>
  <c r="H859" i="1"/>
  <c r="G859" i="1"/>
  <c r="F859" i="1"/>
  <c r="E859" i="1"/>
  <c r="D859" i="1"/>
  <c r="C859" i="1"/>
  <c r="B859" i="1"/>
  <c r="A859" i="1"/>
  <c r="R858" i="1"/>
  <c r="J858" i="1"/>
  <c r="I858" i="1"/>
  <c r="G858" i="1"/>
  <c r="F858" i="1"/>
  <c r="E858" i="1"/>
  <c r="D858" i="1"/>
  <c r="C858" i="1"/>
  <c r="B858" i="1"/>
  <c r="A858" i="1"/>
  <c r="S857" i="1"/>
  <c r="O857" i="1"/>
  <c r="K857" i="1"/>
  <c r="J857" i="1"/>
  <c r="I857" i="1"/>
  <c r="H857" i="1"/>
  <c r="G857" i="1"/>
  <c r="F857" i="1"/>
  <c r="E857" i="1"/>
  <c r="D857" i="1"/>
  <c r="C857" i="1"/>
  <c r="B857" i="1"/>
  <c r="A857" i="1"/>
  <c r="R856" i="1"/>
  <c r="J856" i="1"/>
  <c r="I856" i="1"/>
  <c r="G856" i="1"/>
  <c r="F856" i="1"/>
  <c r="E856" i="1"/>
  <c r="D856" i="1"/>
  <c r="C856" i="1"/>
  <c r="B856" i="1"/>
  <c r="A856" i="1"/>
  <c r="S855" i="1"/>
  <c r="O855" i="1"/>
  <c r="K855" i="1"/>
  <c r="J855" i="1"/>
  <c r="I855" i="1"/>
  <c r="H855" i="1"/>
  <c r="G855" i="1"/>
  <c r="F855" i="1"/>
  <c r="E855" i="1"/>
  <c r="D855" i="1"/>
  <c r="C855" i="1"/>
  <c r="B855" i="1"/>
  <c r="A855" i="1"/>
  <c r="R854" i="1"/>
  <c r="J854" i="1"/>
  <c r="I854" i="1"/>
  <c r="G854" i="1"/>
  <c r="F854" i="1"/>
  <c r="E854" i="1"/>
  <c r="D854" i="1"/>
  <c r="C854" i="1"/>
  <c r="B854" i="1"/>
  <c r="A854" i="1"/>
  <c r="S853" i="1"/>
  <c r="O853" i="1"/>
  <c r="K853" i="1"/>
  <c r="J853" i="1"/>
  <c r="I853" i="1"/>
  <c r="H853" i="1"/>
  <c r="G853" i="1"/>
  <c r="F853" i="1"/>
  <c r="E853" i="1"/>
  <c r="D853" i="1"/>
  <c r="C853" i="1"/>
  <c r="B853" i="1"/>
  <c r="A853" i="1"/>
  <c r="R852" i="1"/>
  <c r="J852" i="1"/>
  <c r="I852" i="1"/>
  <c r="G852" i="1"/>
  <c r="F852" i="1"/>
  <c r="E852" i="1"/>
  <c r="D852" i="1"/>
  <c r="C852" i="1"/>
  <c r="B852" i="1"/>
  <c r="A852" i="1"/>
  <c r="S851" i="1"/>
  <c r="O851" i="1"/>
  <c r="K851" i="1"/>
  <c r="J851" i="1"/>
  <c r="I851" i="1"/>
  <c r="H851" i="1"/>
  <c r="G851" i="1"/>
  <c r="F851" i="1"/>
  <c r="E851" i="1"/>
  <c r="D851" i="1"/>
  <c r="C851" i="1"/>
  <c r="B851" i="1"/>
  <c r="A851" i="1"/>
  <c r="R850" i="1"/>
  <c r="J850" i="1"/>
  <c r="I850" i="1"/>
  <c r="G850" i="1"/>
  <c r="F850" i="1"/>
  <c r="E850" i="1"/>
  <c r="D850" i="1"/>
  <c r="C850" i="1"/>
  <c r="B850" i="1"/>
  <c r="A850" i="1"/>
  <c r="S849" i="1"/>
  <c r="O849" i="1"/>
  <c r="K849" i="1"/>
  <c r="J849" i="1"/>
  <c r="I849" i="1"/>
  <c r="H849" i="1"/>
  <c r="G849" i="1"/>
  <c r="F849" i="1"/>
  <c r="E849" i="1"/>
  <c r="D849" i="1"/>
  <c r="C849" i="1"/>
  <c r="B849" i="1"/>
  <c r="A849" i="1"/>
  <c r="R848" i="1"/>
  <c r="J848" i="1"/>
  <c r="I848" i="1"/>
  <c r="G848" i="1"/>
  <c r="F848" i="1"/>
  <c r="E848" i="1"/>
  <c r="D848" i="1"/>
  <c r="C848" i="1"/>
  <c r="B848" i="1"/>
  <c r="A848" i="1"/>
  <c r="S847" i="1"/>
  <c r="O847" i="1"/>
  <c r="K847" i="1"/>
  <c r="J847" i="1"/>
  <c r="I847" i="1"/>
  <c r="H847" i="1"/>
  <c r="G847" i="1"/>
  <c r="F847" i="1"/>
  <c r="E847" i="1"/>
  <c r="D847" i="1"/>
  <c r="C847" i="1"/>
  <c r="B847" i="1"/>
  <c r="A847" i="1"/>
  <c r="R846" i="1"/>
  <c r="J846" i="1"/>
  <c r="I846" i="1"/>
  <c r="G846" i="1"/>
  <c r="F846" i="1"/>
  <c r="E846" i="1"/>
  <c r="D846" i="1"/>
  <c r="C846" i="1"/>
  <c r="B846" i="1"/>
  <c r="A846" i="1"/>
  <c r="S845" i="1"/>
  <c r="O845" i="1"/>
  <c r="K845" i="1"/>
  <c r="J845" i="1"/>
  <c r="I845" i="1"/>
  <c r="H845" i="1"/>
  <c r="G845" i="1"/>
  <c r="F845" i="1"/>
  <c r="E845" i="1"/>
  <c r="D845" i="1"/>
  <c r="C845" i="1"/>
  <c r="B845" i="1"/>
  <c r="A845" i="1"/>
  <c r="R844" i="1"/>
  <c r="J844" i="1"/>
  <c r="I844" i="1"/>
  <c r="G844" i="1"/>
  <c r="F844" i="1"/>
  <c r="E844" i="1"/>
  <c r="D844" i="1"/>
  <c r="C844" i="1"/>
  <c r="B844" i="1"/>
  <c r="A844" i="1"/>
  <c r="S843" i="1"/>
  <c r="O843" i="1"/>
  <c r="K843" i="1"/>
  <c r="J843" i="1"/>
  <c r="I843" i="1"/>
  <c r="H843" i="1"/>
  <c r="G843" i="1"/>
  <c r="F843" i="1"/>
  <c r="E843" i="1"/>
  <c r="D843" i="1"/>
  <c r="C843" i="1"/>
  <c r="B843" i="1"/>
  <c r="A843" i="1"/>
  <c r="R842" i="1"/>
  <c r="J842" i="1"/>
  <c r="I842" i="1"/>
  <c r="G842" i="1"/>
  <c r="F842" i="1"/>
  <c r="E842" i="1"/>
  <c r="D842" i="1"/>
  <c r="C842" i="1"/>
  <c r="B842" i="1"/>
  <c r="A842" i="1"/>
  <c r="S841" i="1"/>
  <c r="O841" i="1"/>
  <c r="K841" i="1"/>
  <c r="J841" i="1"/>
  <c r="I841" i="1"/>
  <c r="H841" i="1"/>
  <c r="G841" i="1"/>
  <c r="F841" i="1"/>
  <c r="E841" i="1"/>
  <c r="D841" i="1"/>
  <c r="C841" i="1"/>
  <c r="B841" i="1"/>
  <c r="A841" i="1"/>
  <c r="R840" i="1"/>
  <c r="J840" i="1"/>
  <c r="I840" i="1"/>
  <c r="G840" i="1"/>
  <c r="F840" i="1"/>
  <c r="E840" i="1"/>
  <c r="D840" i="1"/>
  <c r="C840" i="1"/>
  <c r="B840" i="1"/>
  <c r="A840" i="1"/>
  <c r="S839" i="1"/>
  <c r="O839" i="1"/>
  <c r="K839" i="1"/>
  <c r="J839" i="1"/>
  <c r="I839" i="1"/>
  <c r="H839" i="1"/>
  <c r="G839" i="1"/>
  <c r="F839" i="1"/>
  <c r="E839" i="1"/>
  <c r="D839" i="1"/>
  <c r="C839" i="1"/>
  <c r="B839" i="1"/>
  <c r="A839" i="1"/>
  <c r="R838" i="1"/>
  <c r="J838" i="1"/>
  <c r="I838" i="1"/>
  <c r="G838" i="1"/>
  <c r="F838" i="1"/>
  <c r="E838" i="1"/>
  <c r="D838" i="1"/>
  <c r="C838" i="1"/>
  <c r="B838" i="1"/>
  <c r="A838" i="1"/>
  <c r="S837" i="1"/>
  <c r="O837" i="1"/>
  <c r="K837" i="1"/>
  <c r="J837" i="1"/>
  <c r="I837" i="1"/>
  <c r="H837" i="1"/>
  <c r="G837" i="1"/>
  <c r="F837" i="1"/>
  <c r="E837" i="1"/>
  <c r="D837" i="1"/>
  <c r="C837" i="1"/>
  <c r="B837" i="1"/>
  <c r="A837" i="1"/>
  <c r="R836" i="1"/>
  <c r="J836" i="1"/>
  <c r="I836" i="1"/>
  <c r="G836" i="1"/>
  <c r="F836" i="1"/>
  <c r="E836" i="1"/>
  <c r="D836" i="1"/>
  <c r="C836" i="1"/>
  <c r="B836" i="1"/>
  <c r="A836" i="1"/>
  <c r="S835" i="1"/>
  <c r="O835" i="1"/>
  <c r="K835" i="1"/>
  <c r="J835" i="1"/>
  <c r="I835" i="1"/>
  <c r="H835" i="1"/>
  <c r="G835" i="1"/>
  <c r="F835" i="1"/>
  <c r="E835" i="1"/>
  <c r="D835" i="1"/>
  <c r="C835" i="1"/>
  <c r="B835" i="1"/>
  <c r="A835" i="1"/>
  <c r="R834" i="1"/>
  <c r="J834" i="1"/>
  <c r="I834" i="1"/>
  <c r="G834" i="1"/>
  <c r="F834" i="1"/>
  <c r="E834" i="1"/>
  <c r="D834" i="1"/>
  <c r="C834" i="1"/>
  <c r="B834" i="1"/>
  <c r="A834" i="1"/>
  <c r="S833" i="1"/>
  <c r="O833" i="1"/>
  <c r="K833" i="1"/>
  <c r="J833" i="1"/>
  <c r="I833" i="1"/>
  <c r="H833" i="1"/>
  <c r="G833" i="1"/>
  <c r="F833" i="1"/>
  <c r="E833" i="1"/>
  <c r="D833" i="1"/>
  <c r="C833" i="1"/>
  <c r="B833" i="1"/>
  <c r="A833" i="1"/>
  <c r="R832" i="1"/>
  <c r="J832" i="1"/>
  <c r="I832" i="1"/>
  <c r="G832" i="1"/>
  <c r="F832" i="1"/>
  <c r="E832" i="1"/>
  <c r="D832" i="1"/>
  <c r="C832" i="1"/>
  <c r="B832" i="1"/>
  <c r="A832" i="1"/>
  <c r="S831" i="1"/>
  <c r="O831" i="1"/>
  <c r="K831" i="1"/>
  <c r="J831" i="1"/>
  <c r="I831" i="1"/>
  <c r="H831" i="1"/>
  <c r="G831" i="1"/>
  <c r="F831" i="1"/>
  <c r="E831" i="1"/>
  <c r="D831" i="1"/>
  <c r="C831" i="1"/>
  <c r="B831" i="1"/>
  <c r="A831" i="1"/>
  <c r="R830" i="1"/>
  <c r="J830" i="1"/>
  <c r="I830" i="1"/>
  <c r="G830" i="1"/>
  <c r="F830" i="1"/>
  <c r="E830" i="1"/>
  <c r="D830" i="1"/>
  <c r="C830" i="1"/>
  <c r="B830" i="1"/>
  <c r="A830" i="1"/>
  <c r="S829" i="1"/>
  <c r="O829" i="1"/>
  <c r="K829" i="1"/>
  <c r="J829" i="1"/>
  <c r="I829" i="1"/>
  <c r="H829" i="1"/>
  <c r="G829" i="1"/>
  <c r="F829" i="1"/>
  <c r="E829" i="1"/>
  <c r="D829" i="1"/>
  <c r="C829" i="1"/>
  <c r="B829" i="1"/>
  <c r="A829" i="1"/>
  <c r="R828" i="1"/>
  <c r="J828" i="1"/>
  <c r="I828" i="1"/>
  <c r="G828" i="1"/>
  <c r="F828" i="1"/>
  <c r="E828" i="1"/>
  <c r="D828" i="1"/>
  <c r="C828" i="1"/>
  <c r="B828" i="1"/>
  <c r="A828" i="1"/>
  <c r="S827" i="1"/>
  <c r="O827" i="1"/>
  <c r="K827" i="1"/>
  <c r="J827" i="1"/>
  <c r="I827" i="1"/>
  <c r="H827" i="1"/>
  <c r="G827" i="1"/>
  <c r="F827" i="1"/>
  <c r="E827" i="1"/>
  <c r="D827" i="1"/>
  <c r="C827" i="1"/>
  <c r="B827" i="1"/>
  <c r="A827" i="1"/>
  <c r="R826" i="1"/>
  <c r="J826" i="1"/>
  <c r="I826" i="1"/>
  <c r="G826" i="1"/>
  <c r="F826" i="1"/>
  <c r="E826" i="1"/>
  <c r="D826" i="1"/>
  <c r="C826" i="1"/>
  <c r="B826" i="1"/>
  <c r="A826" i="1"/>
  <c r="S825" i="1"/>
  <c r="O825" i="1"/>
  <c r="K825" i="1"/>
  <c r="J825" i="1"/>
  <c r="I825" i="1"/>
  <c r="H825" i="1"/>
  <c r="G825" i="1"/>
  <c r="F825" i="1"/>
  <c r="E825" i="1"/>
  <c r="D825" i="1"/>
  <c r="C825" i="1"/>
  <c r="B825" i="1"/>
  <c r="A825" i="1"/>
  <c r="R824" i="1"/>
  <c r="J824" i="1"/>
  <c r="I824" i="1"/>
  <c r="G824" i="1"/>
  <c r="F824" i="1"/>
  <c r="E824" i="1"/>
  <c r="D824" i="1"/>
  <c r="C824" i="1"/>
  <c r="B824" i="1"/>
  <c r="A824" i="1"/>
  <c r="S823" i="1"/>
  <c r="O823" i="1"/>
  <c r="K823" i="1"/>
  <c r="J823" i="1"/>
  <c r="I823" i="1"/>
  <c r="H823" i="1"/>
  <c r="G823" i="1"/>
  <c r="F823" i="1"/>
  <c r="E823" i="1"/>
  <c r="D823" i="1"/>
  <c r="C823" i="1"/>
  <c r="B823" i="1"/>
  <c r="A823" i="1"/>
  <c r="R822" i="1"/>
  <c r="J822" i="1"/>
  <c r="I822" i="1"/>
  <c r="G822" i="1"/>
  <c r="F822" i="1"/>
  <c r="E822" i="1"/>
  <c r="D822" i="1"/>
  <c r="C822" i="1"/>
  <c r="B822" i="1"/>
  <c r="A822" i="1"/>
  <c r="S821" i="1"/>
  <c r="O821" i="1"/>
  <c r="K821" i="1"/>
  <c r="J821" i="1"/>
  <c r="I821" i="1"/>
  <c r="H821" i="1"/>
  <c r="G821" i="1"/>
  <c r="F821" i="1"/>
  <c r="E821" i="1"/>
  <c r="D821" i="1"/>
  <c r="C821" i="1"/>
  <c r="B821" i="1"/>
  <c r="A821" i="1"/>
  <c r="R820" i="1"/>
  <c r="J820" i="1"/>
  <c r="I820" i="1"/>
  <c r="G820" i="1"/>
  <c r="F820" i="1"/>
  <c r="E820" i="1"/>
  <c r="D820" i="1"/>
  <c r="C820" i="1"/>
  <c r="B820" i="1"/>
  <c r="A820" i="1"/>
  <c r="S819" i="1"/>
  <c r="O819" i="1"/>
  <c r="K819" i="1"/>
  <c r="J819" i="1"/>
  <c r="I819" i="1"/>
  <c r="H819" i="1"/>
  <c r="G819" i="1"/>
  <c r="F819" i="1"/>
  <c r="E819" i="1"/>
  <c r="D819" i="1"/>
  <c r="C819" i="1"/>
  <c r="B819" i="1"/>
  <c r="A819" i="1"/>
  <c r="R818" i="1"/>
  <c r="J818" i="1"/>
  <c r="I818" i="1"/>
  <c r="G818" i="1"/>
  <c r="F818" i="1"/>
  <c r="E818" i="1"/>
  <c r="D818" i="1"/>
  <c r="C818" i="1"/>
  <c r="B818" i="1"/>
  <c r="A818" i="1"/>
  <c r="S817" i="1"/>
  <c r="O817" i="1"/>
  <c r="K817" i="1"/>
  <c r="J817" i="1"/>
  <c r="I817" i="1"/>
  <c r="H817" i="1"/>
  <c r="G817" i="1"/>
  <c r="F817" i="1"/>
  <c r="E817" i="1"/>
  <c r="D817" i="1"/>
  <c r="C817" i="1"/>
  <c r="B817" i="1"/>
  <c r="A817" i="1"/>
  <c r="R816" i="1"/>
  <c r="J816" i="1"/>
  <c r="I816" i="1"/>
  <c r="G816" i="1"/>
  <c r="F816" i="1"/>
  <c r="E816" i="1"/>
  <c r="D816" i="1"/>
  <c r="C816" i="1"/>
  <c r="B816" i="1"/>
  <c r="A816" i="1"/>
  <c r="S815" i="1"/>
  <c r="O815" i="1"/>
  <c r="K815" i="1"/>
  <c r="J815" i="1"/>
  <c r="I815" i="1"/>
  <c r="H815" i="1"/>
  <c r="G815" i="1"/>
  <c r="F815" i="1"/>
  <c r="E815" i="1"/>
  <c r="D815" i="1"/>
  <c r="C815" i="1"/>
  <c r="B815" i="1"/>
  <c r="A815" i="1"/>
  <c r="R814" i="1"/>
  <c r="J814" i="1"/>
  <c r="I814" i="1"/>
  <c r="G814" i="1"/>
  <c r="F814" i="1"/>
  <c r="E814" i="1"/>
  <c r="D814" i="1"/>
  <c r="C814" i="1"/>
  <c r="B814" i="1"/>
  <c r="A814" i="1"/>
  <c r="S813" i="1"/>
  <c r="O813" i="1"/>
  <c r="K813" i="1"/>
  <c r="J813" i="1"/>
  <c r="I813" i="1"/>
  <c r="H813" i="1"/>
  <c r="G813" i="1"/>
  <c r="F813" i="1"/>
  <c r="E813" i="1"/>
  <c r="D813" i="1"/>
  <c r="C813" i="1"/>
  <c r="B813" i="1"/>
  <c r="A813" i="1"/>
  <c r="R812" i="1"/>
  <c r="J812" i="1"/>
  <c r="I812" i="1"/>
  <c r="G812" i="1"/>
  <c r="F812" i="1"/>
  <c r="E812" i="1"/>
  <c r="D812" i="1"/>
  <c r="C812" i="1"/>
  <c r="B812" i="1"/>
  <c r="A812" i="1"/>
  <c r="R811" i="1"/>
  <c r="J811" i="1"/>
  <c r="I811" i="1"/>
  <c r="G811" i="1"/>
  <c r="F811" i="1"/>
  <c r="E811" i="1"/>
  <c r="D811" i="1"/>
  <c r="C811" i="1"/>
  <c r="B811" i="1"/>
  <c r="A811" i="1"/>
  <c r="R810" i="1"/>
  <c r="J810" i="1"/>
  <c r="I810" i="1"/>
  <c r="G810" i="1"/>
  <c r="F810" i="1"/>
  <c r="E810" i="1"/>
  <c r="D810" i="1"/>
  <c r="C810" i="1"/>
  <c r="B810" i="1"/>
  <c r="A810" i="1"/>
  <c r="R809" i="1"/>
  <c r="J809" i="1"/>
  <c r="I809" i="1"/>
  <c r="G809" i="1"/>
  <c r="F809" i="1"/>
  <c r="E809" i="1"/>
  <c r="D809" i="1"/>
  <c r="C809" i="1"/>
  <c r="B809" i="1"/>
  <c r="A809" i="1"/>
  <c r="R808" i="1"/>
  <c r="J808" i="1"/>
  <c r="I808" i="1"/>
  <c r="G808" i="1"/>
  <c r="F808" i="1"/>
  <c r="E808" i="1"/>
  <c r="D808" i="1"/>
  <c r="C808" i="1"/>
  <c r="B808" i="1"/>
  <c r="A808" i="1"/>
  <c r="R807" i="1"/>
  <c r="J807" i="1"/>
  <c r="I807" i="1"/>
  <c r="G807" i="1"/>
  <c r="F807" i="1"/>
  <c r="E807" i="1"/>
  <c r="D807" i="1"/>
  <c r="C807" i="1"/>
  <c r="B807" i="1"/>
  <c r="A807" i="1"/>
  <c r="R806" i="1"/>
  <c r="J806" i="1"/>
  <c r="I806" i="1"/>
  <c r="G806" i="1"/>
  <c r="F806" i="1"/>
  <c r="E806" i="1"/>
  <c r="D806" i="1"/>
  <c r="C806" i="1"/>
  <c r="B806" i="1"/>
  <c r="A806" i="1"/>
  <c r="R805" i="1"/>
  <c r="J805" i="1"/>
  <c r="I805" i="1"/>
  <c r="G805" i="1"/>
  <c r="F805" i="1"/>
  <c r="E805" i="1"/>
  <c r="D805" i="1"/>
  <c r="C805" i="1"/>
  <c r="B805" i="1"/>
  <c r="A805" i="1"/>
  <c r="R804" i="1"/>
  <c r="J804" i="1"/>
  <c r="I804" i="1"/>
  <c r="G804" i="1"/>
  <c r="F804" i="1"/>
  <c r="E804" i="1"/>
  <c r="D804" i="1"/>
  <c r="C804" i="1"/>
  <c r="B804" i="1"/>
  <c r="A804" i="1"/>
  <c r="R803" i="1"/>
  <c r="J803" i="1"/>
  <c r="I803" i="1"/>
  <c r="G803" i="1"/>
  <c r="F803" i="1"/>
  <c r="E803" i="1"/>
  <c r="D803" i="1"/>
  <c r="C803" i="1"/>
  <c r="B803" i="1"/>
  <c r="A803" i="1"/>
  <c r="R802" i="1"/>
  <c r="J802" i="1"/>
  <c r="I802" i="1"/>
  <c r="G802" i="1"/>
  <c r="F802" i="1"/>
  <c r="E802" i="1"/>
  <c r="D802" i="1"/>
  <c r="C802" i="1"/>
  <c r="B802" i="1"/>
  <c r="A802" i="1"/>
  <c r="R801" i="1"/>
  <c r="J801" i="1"/>
  <c r="I801" i="1"/>
  <c r="G801" i="1"/>
  <c r="F801" i="1"/>
  <c r="E801" i="1"/>
  <c r="D801" i="1"/>
  <c r="C801" i="1"/>
  <c r="B801" i="1"/>
  <c r="A801" i="1"/>
  <c r="R800" i="1"/>
  <c r="J800" i="1"/>
  <c r="I800" i="1"/>
  <c r="G800" i="1"/>
  <c r="F800" i="1"/>
  <c r="E800" i="1"/>
  <c r="D800" i="1"/>
  <c r="C800" i="1"/>
  <c r="B800" i="1"/>
  <c r="A800" i="1"/>
  <c r="R799" i="1"/>
  <c r="J799" i="1"/>
  <c r="I799" i="1"/>
  <c r="G799" i="1"/>
  <c r="F799" i="1"/>
  <c r="E799" i="1"/>
  <c r="D799" i="1"/>
  <c r="C799" i="1"/>
  <c r="B799" i="1"/>
  <c r="A799" i="1"/>
  <c r="R798" i="1"/>
  <c r="J798" i="1"/>
  <c r="I798" i="1"/>
  <c r="G798" i="1"/>
  <c r="F798" i="1"/>
  <c r="E798" i="1"/>
  <c r="D798" i="1"/>
  <c r="C798" i="1"/>
  <c r="B798" i="1"/>
  <c r="A798" i="1"/>
  <c r="R797" i="1"/>
  <c r="J797" i="1"/>
  <c r="I797" i="1"/>
  <c r="G797" i="1"/>
  <c r="F797" i="1"/>
  <c r="E797" i="1"/>
  <c r="D797" i="1"/>
  <c r="C797" i="1"/>
  <c r="B797" i="1"/>
  <c r="A797" i="1"/>
  <c r="R796" i="1"/>
  <c r="J796" i="1"/>
  <c r="I796" i="1"/>
  <c r="G796" i="1"/>
  <c r="F796" i="1"/>
  <c r="E796" i="1"/>
  <c r="D796" i="1"/>
  <c r="C796" i="1"/>
  <c r="B796" i="1"/>
  <c r="A796" i="1"/>
  <c r="R795" i="1"/>
  <c r="J795" i="1"/>
  <c r="I795" i="1"/>
  <c r="G795" i="1"/>
  <c r="F795" i="1"/>
  <c r="E795" i="1"/>
  <c r="D795" i="1"/>
  <c r="C795" i="1"/>
  <c r="B795" i="1"/>
  <c r="A795" i="1"/>
  <c r="R794" i="1"/>
  <c r="J794" i="1"/>
  <c r="I794" i="1"/>
  <c r="G794" i="1"/>
  <c r="F794" i="1"/>
  <c r="E794" i="1"/>
  <c r="D794" i="1"/>
  <c r="C794" i="1"/>
  <c r="B794" i="1"/>
  <c r="A794" i="1"/>
  <c r="R793" i="1"/>
  <c r="J793" i="1"/>
  <c r="I793" i="1"/>
  <c r="G793" i="1"/>
  <c r="F793" i="1"/>
  <c r="E793" i="1"/>
  <c r="D793" i="1"/>
  <c r="C793" i="1"/>
  <c r="B793" i="1"/>
  <c r="A793" i="1"/>
  <c r="S792" i="1"/>
  <c r="O792" i="1"/>
  <c r="K792" i="1"/>
  <c r="J792" i="1"/>
  <c r="I792" i="1"/>
  <c r="H792" i="1"/>
  <c r="G792" i="1"/>
  <c r="F792" i="1"/>
  <c r="E792" i="1"/>
  <c r="D792" i="1"/>
  <c r="C792" i="1"/>
  <c r="B792" i="1"/>
  <c r="A792" i="1"/>
  <c r="R791" i="1"/>
  <c r="J791" i="1"/>
  <c r="I791" i="1"/>
  <c r="G791" i="1"/>
  <c r="F791" i="1"/>
  <c r="E791" i="1"/>
  <c r="D791" i="1"/>
  <c r="C791" i="1"/>
  <c r="B791" i="1"/>
  <c r="A791" i="1"/>
  <c r="S790" i="1"/>
  <c r="O790" i="1"/>
  <c r="K790" i="1"/>
  <c r="J790" i="1"/>
  <c r="I790" i="1"/>
  <c r="H790" i="1"/>
  <c r="G790" i="1"/>
  <c r="F790" i="1"/>
  <c r="E790" i="1"/>
  <c r="D790" i="1"/>
  <c r="C790" i="1"/>
  <c r="B790" i="1"/>
  <c r="A790" i="1"/>
  <c r="R789" i="1"/>
  <c r="J789" i="1"/>
  <c r="I789" i="1"/>
  <c r="G789" i="1"/>
  <c r="F789" i="1"/>
  <c r="E789" i="1"/>
  <c r="D789" i="1"/>
  <c r="C789" i="1"/>
  <c r="B789" i="1"/>
  <c r="A789" i="1"/>
  <c r="S788" i="1"/>
  <c r="O788" i="1"/>
  <c r="K788" i="1"/>
  <c r="J788" i="1"/>
  <c r="I788" i="1"/>
  <c r="H788" i="1"/>
  <c r="G788" i="1"/>
  <c r="F788" i="1"/>
  <c r="E788" i="1"/>
  <c r="D788" i="1"/>
  <c r="C788" i="1"/>
  <c r="B788" i="1"/>
  <c r="A788" i="1"/>
  <c r="R787" i="1"/>
  <c r="J787" i="1"/>
  <c r="I787" i="1"/>
  <c r="G787" i="1"/>
  <c r="F787" i="1"/>
  <c r="E787" i="1"/>
  <c r="D787" i="1"/>
  <c r="C787" i="1"/>
  <c r="B787" i="1"/>
  <c r="A787" i="1"/>
  <c r="S786" i="1"/>
  <c r="O786" i="1"/>
  <c r="K786" i="1"/>
  <c r="J786" i="1"/>
  <c r="I786" i="1"/>
  <c r="H786" i="1"/>
  <c r="G786" i="1"/>
  <c r="F786" i="1"/>
  <c r="E786" i="1"/>
  <c r="D786" i="1"/>
  <c r="C786" i="1"/>
  <c r="B786" i="1"/>
  <c r="A786" i="1"/>
  <c r="R785" i="1"/>
  <c r="J785" i="1"/>
  <c r="I785" i="1"/>
  <c r="G785" i="1"/>
  <c r="F785" i="1"/>
  <c r="E785" i="1"/>
  <c r="D785" i="1"/>
  <c r="C785" i="1"/>
  <c r="B785" i="1"/>
  <c r="A785" i="1"/>
  <c r="S784" i="1"/>
  <c r="O784" i="1"/>
  <c r="K784" i="1"/>
  <c r="J784" i="1"/>
  <c r="I784" i="1"/>
  <c r="H784" i="1"/>
  <c r="G784" i="1"/>
  <c r="F784" i="1"/>
  <c r="E784" i="1"/>
  <c r="D784" i="1"/>
  <c r="C784" i="1"/>
  <c r="B784" i="1"/>
  <c r="A784" i="1"/>
  <c r="R783" i="1"/>
  <c r="J783" i="1"/>
  <c r="I783" i="1"/>
  <c r="G783" i="1"/>
  <c r="F783" i="1"/>
  <c r="E783" i="1"/>
  <c r="D783" i="1"/>
  <c r="C783" i="1"/>
  <c r="B783" i="1"/>
  <c r="A783" i="1"/>
  <c r="R782" i="1"/>
  <c r="J782" i="1"/>
  <c r="I782" i="1"/>
  <c r="G782" i="1"/>
  <c r="F782" i="1"/>
  <c r="E782" i="1"/>
  <c r="D782" i="1"/>
  <c r="C782" i="1"/>
  <c r="B782" i="1"/>
  <c r="A782" i="1"/>
  <c r="S781" i="1"/>
  <c r="O781" i="1"/>
  <c r="K781" i="1"/>
  <c r="J781" i="1"/>
  <c r="I781" i="1"/>
  <c r="H781" i="1"/>
  <c r="G781" i="1"/>
  <c r="F781" i="1"/>
  <c r="E781" i="1"/>
  <c r="D781" i="1"/>
  <c r="C781" i="1"/>
  <c r="B781" i="1"/>
  <c r="A781" i="1"/>
  <c r="R780" i="1"/>
  <c r="J780" i="1"/>
  <c r="I780" i="1"/>
  <c r="G780" i="1"/>
  <c r="F780" i="1"/>
  <c r="E780" i="1"/>
  <c r="D780" i="1"/>
  <c r="C780" i="1"/>
  <c r="B780" i="1"/>
  <c r="A780" i="1"/>
  <c r="S779" i="1"/>
  <c r="O779" i="1"/>
  <c r="K779" i="1"/>
  <c r="J779" i="1"/>
  <c r="I779" i="1"/>
  <c r="H779" i="1"/>
  <c r="G779" i="1"/>
  <c r="F779" i="1"/>
  <c r="E779" i="1"/>
  <c r="D779" i="1"/>
  <c r="C779" i="1"/>
  <c r="B779" i="1"/>
  <c r="A779" i="1"/>
  <c r="R778" i="1"/>
  <c r="J778" i="1"/>
  <c r="I778" i="1"/>
  <c r="G778" i="1"/>
  <c r="F778" i="1"/>
  <c r="E778" i="1"/>
  <c r="D778" i="1"/>
  <c r="C778" i="1"/>
  <c r="B778" i="1"/>
  <c r="A778" i="1"/>
  <c r="S777" i="1"/>
  <c r="O777" i="1"/>
  <c r="K777" i="1"/>
  <c r="J777" i="1"/>
  <c r="I777" i="1"/>
  <c r="H777" i="1"/>
  <c r="G777" i="1"/>
  <c r="F777" i="1"/>
  <c r="E777" i="1"/>
  <c r="D777" i="1"/>
  <c r="C777" i="1"/>
  <c r="B777" i="1"/>
  <c r="A777" i="1"/>
  <c r="R776" i="1"/>
  <c r="J776" i="1"/>
  <c r="I776" i="1"/>
  <c r="G776" i="1"/>
  <c r="F776" i="1"/>
  <c r="E776" i="1"/>
  <c r="D776" i="1"/>
  <c r="C776" i="1"/>
  <c r="B776" i="1"/>
  <c r="A776" i="1"/>
  <c r="S775" i="1"/>
  <c r="O775" i="1"/>
  <c r="K775" i="1"/>
  <c r="J775" i="1"/>
  <c r="I775" i="1"/>
  <c r="H775" i="1"/>
  <c r="G775" i="1"/>
  <c r="F775" i="1"/>
  <c r="E775" i="1"/>
  <c r="D775" i="1"/>
  <c r="C775" i="1"/>
  <c r="B775" i="1"/>
  <c r="A775" i="1"/>
  <c r="R774" i="1"/>
  <c r="J774" i="1"/>
  <c r="I774" i="1"/>
  <c r="G774" i="1"/>
  <c r="F774" i="1"/>
  <c r="E774" i="1"/>
  <c r="D774" i="1"/>
  <c r="C774" i="1"/>
  <c r="B774" i="1"/>
  <c r="A774" i="1"/>
  <c r="S773" i="1"/>
  <c r="O773" i="1"/>
  <c r="K773" i="1"/>
  <c r="J773" i="1"/>
  <c r="I773" i="1"/>
  <c r="H773" i="1"/>
  <c r="G773" i="1"/>
  <c r="F773" i="1"/>
  <c r="E773" i="1"/>
  <c r="D773" i="1"/>
  <c r="C773" i="1"/>
  <c r="B773" i="1"/>
  <c r="A773" i="1"/>
  <c r="R772" i="1"/>
  <c r="J772" i="1"/>
  <c r="I772" i="1"/>
  <c r="G772" i="1"/>
  <c r="F772" i="1"/>
  <c r="E772" i="1"/>
  <c r="D772" i="1"/>
  <c r="C772" i="1"/>
  <c r="B772" i="1"/>
  <c r="A772" i="1"/>
  <c r="S771" i="1"/>
  <c r="O771" i="1"/>
  <c r="K771" i="1"/>
  <c r="J771" i="1"/>
  <c r="I771" i="1"/>
  <c r="H771" i="1"/>
  <c r="G771" i="1"/>
  <c r="F771" i="1"/>
  <c r="E771" i="1"/>
  <c r="D771" i="1"/>
  <c r="C771" i="1"/>
  <c r="B771" i="1"/>
  <c r="A771" i="1"/>
  <c r="R770" i="1"/>
  <c r="J770" i="1"/>
  <c r="I770" i="1"/>
  <c r="G770" i="1"/>
  <c r="F770" i="1"/>
  <c r="E770" i="1"/>
  <c r="D770" i="1"/>
  <c r="C770" i="1"/>
  <c r="B770" i="1"/>
  <c r="A770" i="1"/>
  <c r="S769" i="1"/>
  <c r="O769" i="1"/>
  <c r="K769" i="1"/>
  <c r="J769" i="1"/>
  <c r="I769" i="1"/>
  <c r="H769" i="1"/>
  <c r="G769" i="1"/>
  <c r="F769" i="1"/>
  <c r="E769" i="1"/>
  <c r="D769" i="1"/>
  <c r="C769" i="1"/>
  <c r="B769" i="1"/>
  <c r="A769" i="1"/>
  <c r="R768" i="1"/>
  <c r="J768" i="1"/>
  <c r="I768" i="1"/>
  <c r="G768" i="1"/>
  <c r="F768" i="1"/>
  <c r="E768" i="1"/>
  <c r="D768" i="1"/>
  <c r="C768" i="1"/>
  <c r="B768" i="1"/>
  <c r="A768" i="1"/>
  <c r="S767" i="1"/>
  <c r="O767" i="1"/>
  <c r="K767" i="1"/>
  <c r="J767" i="1"/>
  <c r="I767" i="1"/>
  <c r="H767" i="1"/>
  <c r="G767" i="1"/>
  <c r="F767" i="1"/>
  <c r="E767" i="1"/>
  <c r="D767" i="1"/>
  <c r="C767" i="1"/>
  <c r="B767" i="1"/>
  <c r="A767" i="1"/>
  <c r="R766" i="1"/>
  <c r="J766" i="1"/>
  <c r="I766" i="1"/>
  <c r="G766" i="1"/>
  <c r="F766" i="1"/>
  <c r="E766" i="1"/>
  <c r="D766" i="1"/>
  <c r="C766" i="1"/>
  <c r="B766" i="1"/>
  <c r="A766" i="1"/>
  <c r="R765" i="1"/>
  <c r="J765" i="1"/>
  <c r="I765" i="1"/>
  <c r="G765" i="1"/>
  <c r="F765" i="1"/>
  <c r="E765" i="1"/>
  <c r="D765" i="1"/>
  <c r="C765" i="1"/>
  <c r="B765" i="1"/>
  <c r="A765" i="1"/>
  <c r="S764" i="1"/>
  <c r="O764" i="1"/>
  <c r="K764" i="1"/>
  <c r="J764" i="1"/>
  <c r="I764" i="1"/>
  <c r="H764" i="1"/>
  <c r="G764" i="1"/>
  <c r="F764" i="1"/>
  <c r="E764" i="1"/>
  <c r="D764" i="1"/>
  <c r="C764" i="1"/>
  <c r="B764" i="1"/>
  <c r="A764" i="1"/>
  <c r="R763" i="1"/>
  <c r="J763" i="1"/>
  <c r="I763" i="1"/>
  <c r="G763" i="1"/>
  <c r="F763" i="1"/>
  <c r="E763" i="1"/>
  <c r="D763" i="1"/>
  <c r="C763" i="1"/>
  <c r="B763" i="1"/>
  <c r="A763" i="1"/>
  <c r="S762" i="1"/>
  <c r="O762" i="1"/>
  <c r="K762" i="1"/>
  <c r="J762" i="1"/>
  <c r="I762" i="1"/>
  <c r="H762" i="1"/>
  <c r="G762" i="1"/>
  <c r="F762" i="1"/>
  <c r="E762" i="1"/>
  <c r="D762" i="1"/>
  <c r="C762" i="1"/>
  <c r="B762" i="1"/>
  <c r="A762" i="1"/>
  <c r="R761" i="1"/>
  <c r="J761" i="1"/>
  <c r="I761" i="1"/>
  <c r="G761" i="1"/>
  <c r="F761" i="1"/>
  <c r="E761" i="1"/>
  <c r="D761" i="1"/>
  <c r="C761" i="1"/>
  <c r="B761" i="1"/>
  <c r="A761" i="1"/>
  <c r="S760" i="1"/>
  <c r="O760" i="1"/>
  <c r="K760" i="1"/>
  <c r="J760" i="1"/>
  <c r="I760" i="1"/>
  <c r="H760" i="1"/>
  <c r="G760" i="1"/>
  <c r="F760" i="1"/>
  <c r="E760" i="1"/>
  <c r="D760" i="1"/>
  <c r="C760" i="1"/>
  <c r="B760" i="1"/>
  <c r="A760" i="1"/>
  <c r="R759" i="1"/>
  <c r="J759" i="1"/>
  <c r="I759" i="1"/>
  <c r="G759" i="1"/>
  <c r="F759" i="1"/>
  <c r="E759" i="1"/>
  <c r="D759" i="1"/>
  <c r="C759" i="1"/>
  <c r="B759" i="1"/>
  <c r="A759" i="1"/>
  <c r="S758" i="1"/>
  <c r="O758" i="1"/>
  <c r="K758" i="1"/>
  <c r="J758" i="1"/>
  <c r="I758" i="1"/>
  <c r="H758" i="1"/>
  <c r="G758" i="1"/>
  <c r="F758" i="1"/>
  <c r="E758" i="1"/>
  <c r="D758" i="1"/>
  <c r="C758" i="1"/>
  <c r="B758" i="1"/>
  <c r="A758" i="1"/>
  <c r="R757" i="1"/>
  <c r="J757" i="1"/>
  <c r="I757" i="1"/>
  <c r="G757" i="1"/>
  <c r="F757" i="1"/>
  <c r="E757" i="1"/>
  <c r="D757" i="1"/>
  <c r="C757" i="1"/>
  <c r="B757" i="1"/>
  <c r="A757" i="1"/>
  <c r="R756" i="1"/>
  <c r="J756" i="1"/>
  <c r="I756" i="1"/>
  <c r="G756" i="1"/>
  <c r="F756" i="1"/>
  <c r="E756" i="1"/>
  <c r="D756" i="1"/>
  <c r="C756" i="1"/>
  <c r="B756" i="1"/>
  <c r="A756" i="1"/>
  <c r="S755" i="1"/>
  <c r="O755" i="1"/>
  <c r="K755" i="1"/>
  <c r="J755" i="1"/>
  <c r="I755" i="1"/>
  <c r="H755" i="1"/>
  <c r="G755" i="1"/>
  <c r="F755" i="1"/>
  <c r="E755" i="1"/>
  <c r="D755" i="1"/>
  <c r="C755" i="1"/>
  <c r="B755" i="1"/>
  <c r="A755" i="1"/>
  <c r="R754" i="1"/>
  <c r="J754" i="1"/>
  <c r="I754" i="1"/>
  <c r="G754" i="1"/>
  <c r="F754" i="1"/>
  <c r="E754" i="1"/>
  <c r="D754" i="1"/>
  <c r="C754" i="1"/>
  <c r="B754" i="1"/>
  <c r="A754" i="1"/>
  <c r="S753" i="1"/>
  <c r="O753" i="1"/>
  <c r="K753" i="1"/>
  <c r="J753" i="1"/>
  <c r="I753" i="1"/>
  <c r="H753" i="1"/>
  <c r="G753" i="1"/>
  <c r="F753" i="1"/>
  <c r="E753" i="1"/>
  <c r="D753" i="1"/>
  <c r="C753" i="1"/>
  <c r="B753" i="1"/>
  <c r="A753" i="1"/>
  <c r="R752" i="1"/>
  <c r="J752" i="1"/>
  <c r="I752" i="1"/>
  <c r="G752" i="1"/>
  <c r="F752" i="1"/>
  <c r="E752" i="1"/>
  <c r="D752" i="1"/>
  <c r="C752" i="1"/>
  <c r="B752" i="1"/>
  <c r="A752" i="1"/>
  <c r="S751" i="1"/>
  <c r="O751" i="1"/>
  <c r="K751" i="1"/>
  <c r="J751" i="1"/>
  <c r="I751" i="1"/>
  <c r="H751" i="1"/>
  <c r="G751" i="1"/>
  <c r="F751" i="1"/>
  <c r="E751" i="1"/>
  <c r="D751" i="1"/>
  <c r="C751" i="1"/>
  <c r="B751" i="1"/>
  <c r="A751" i="1"/>
  <c r="R750" i="1"/>
  <c r="J750" i="1"/>
  <c r="I750" i="1"/>
  <c r="G750" i="1"/>
  <c r="F750" i="1"/>
  <c r="E750" i="1"/>
  <c r="D750" i="1"/>
  <c r="C750" i="1"/>
  <c r="B750" i="1"/>
  <c r="A750" i="1"/>
  <c r="S749" i="1"/>
  <c r="O749" i="1"/>
  <c r="K749" i="1"/>
  <c r="J749" i="1"/>
  <c r="I749" i="1"/>
  <c r="H749" i="1"/>
  <c r="G749" i="1"/>
  <c r="F749" i="1"/>
  <c r="E749" i="1"/>
  <c r="D749" i="1"/>
  <c r="C749" i="1"/>
  <c r="B749" i="1"/>
  <c r="A749" i="1"/>
  <c r="R748" i="1"/>
  <c r="J748" i="1"/>
  <c r="I748" i="1"/>
  <c r="G748" i="1"/>
  <c r="F748" i="1"/>
  <c r="E748" i="1"/>
  <c r="D748" i="1"/>
  <c r="C748" i="1"/>
  <c r="B748" i="1"/>
  <c r="A748" i="1"/>
  <c r="S747" i="1"/>
  <c r="O747" i="1"/>
  <c r="K747" i="1"/>
  <c r="J747" i="1"/>
  <c r="I747" i="1"/>
  <c r="H747" i="1"/>
  <c r="G747" i="1"/>
  <c r="F747" i="1"/>
  <c r="E747" i="1"/>
  <c r="D747" i="1"/>
  <c r="C747" i="1"/>
  <c r="B747" i="1"/>
  <c r="A747" i="1"/>
  <c r="R746" i="1"/>
  <c r="J746" i="1"/>
  <c r="I746" i="1"/>
  <c r="G746" i="1"/>
  <c r="F746" i="1"/>
  <c r="E746" i="1"/>
  <c r="D746" i="1"/>
  <c r="C746" i="1"/>
  <c r="B746" i="1"/>
  <c r="A746" i="1"/>
  <c r="S745" i="1"/>
  <c r="O745" i="1"/>
  <c r="K745" i="1"/>
  <c r="J745" i="1"/>
  <c r="I745" i="1"/>
  <c r="H745" i="1"/>
  <c r="G745" i="1"/>
  <c r="F745" i="1"/>
  <c r="E745" i="1"/>
  <c r="D745" i="1"/>
  <c r="C745" i="1"/>
  <c r="B745" i="1"/>
  <c r="A745" i="1"/>
  <c r="S744" i="1"/>
  <c r="O744" i="1"/>
  <c r="K744" i="1"/>
  <c r="J744" i="1"/>
  <c r="I744" i="1"/>
  <c r="H744" i="1"/>
  <c r="G744" i="1"/>
  <c r="F744" i="1"/>
  <c r="E744" i="1"/>
  <c r="D744" i="1"/>
  <c r="C744" i="1"/>
  <c r="B744" i="1"/>
  <c r="A744" i="1"/>
  <c r="S743" i="1"/>
  <c r="O743" i="1"/>
  <c r="K743" i="1"/>
  <c r="J743" i="1"/>
  <c r="I743" i="1"/>
  <c r="H743" i="1"/>
  <c r="G743" i="1"/>
  <c r="F743" i="1"/>
  <c r="E743" i="1"/>
  <c r="D743" i="1"/>
  <c r="C743" i="1"/>
  <c r="B743" i="1"/>
  <c r="A743" i="1"/>
  <c r="S742" i="1"/>
  <c r="O742" i="1"/>
  <c r="K742" i="1"/>
  <c r="J742" i="1"/>
  <c r="I742" i="1"/>
  <c r="H742" i="1"/>
  <c r="G742" i="1"/>
  <c r="F742" i="1"/>
  <c r="E742" i="1"/>
  <c r="D742" i="1"/>
  <c r="C742" i="1"/>
  <c r="B742" i="1"/>
  <c r="A742" i="1"/>
  <c r="R741" i="1"/>
  <c r="J741" i="1"/>
  <c r="I741" i="1"/>
  <c r="G741" i="1"/>
  <c r="F741" i="1"/>
  <c r="E741" i="1"/>
  <c r="D741" i="1"/>
  <c r="C741" i="1"/>
  <c r="B741" i="1"/>
  <c r="A741" i="1"/>
  <c r="S740" i="1"/>
  <c r="O740" i="1"/>
  <c r="K740" i="1"/>
  <c r="J740" i="1"/>
  <c r="I740" i="1"/>
  <c r="H740" i="1"/>
  <c r="G740" i="1"/>
  <c r="F740" i="1"/>
  <c r="E740" i="1"/>
  <c r="D740" i="1"/>
  <c r="C740" i="1"/>
  <c r="B740" i="1"/>
  <c r="A740" i="1"/>
  <c r="S739" i="1"/>
  <c r="O739" i="1"/>
  <c r="K739" i="1"/>
  <c r="J739" i="1"/>
  <c r="I739" i="1"/>
  <c r="H739" i="1"/>
  <c r="G739" i="1"/>
  <c r="F739" i="1"/>
  <c r="E739" i="1"/>
  <c r="D739" i="1"/>
  <c r="C739" i="1"/>
  <c r="B739" i="1"/>
  <c r="A739" i="1"/>
  <c r="R738" i="1"/>
  <c r="J738" i="1"/>
  <c r="I738" i="1"/>
  <c r="G738" i="1"/>
  <c r="F738" i="1"/>
  <c r="E738" i="1"/>
  <c r="D738" i="1"/>
  <c r="C738" i="1"/>
  <c r="B738" i="1"/>
  <c r="A738" i="1"/>
  <c r="S737" i="1"/>
  <c r="O737" i="1"/>
  <c r="K737" i="1"/>
  <c r="J737" i="1"/>
  <c r="I737" i="1"/>
  <c r="H737" i="1"/>
  <c r="G737" i="1"/>
  <c r="F737" i="1"/>
  <c r="E737" i="1"/>
  <c r="D737" i="1"/>
  <c r="C737" i="1"/>
  <c r="B737" i="1"/>
  <c r="A737" i="1"/>
  <c r="R736" i="1"/>
  <c r="J736" i="1"/>
  <c r="I736" i="1"/>
  <c r="G736" i="1"/>
  <c r="F736" i="1"/>
  <c r="E736" i="1"/>
  <c r="D736" i="1"/>
  <c r="C736" i="1"/>
  <c r="B736" i="1"/>
  <c r="A736" i="1"/>
  <c r="S735" i="1"/>
  <c r="O735" i="1"/>
  <c r="K735" i="1"/>
  <c r="J735" i="1"/>
  <c r="I735" i="1"/>
  <c r="H735" i="1"/>
  <c r="G735" i="1"/>
  <c r="F735" i="1"/>
  <c r="E735" i="1"/>
  <c r="D735" i="1"/>
  <c r="C735" i="1"/>
  <c r="B735" i="1"/>
  <c r="A735" i="1"/>
  <c r="S734" i="1"/>
  <c r="O734" i="1"/>
  <c r="K734" i="1"/>
  <c r="J734" i="1"/>
  <c r="I734" i="1"/>
  <c r="H734" i="1"/>
  <c r="G734" i="1"/>
  <c r="F734" i="1"/>
  <c r="E734" i="1"/>
  <c r="D734" i="1"/>
  <c r="C734" i="1"/>
  <c r="B734" i="1"/>
  <c r="A734" i="1"/>
  <c r="R733" i="1"/>
  <c r="J733" i="1"/>
  <c r="I733" i="1"/>
  <c r="G733" i="1"/>
  <c r="F733" i="1"/>
  <c r="E733" i="1"/>
  <c r="D733" i="1"/>
  <c r="C733" i="1"/>
  <c r="B733" i="1"/>
  <c r="A733" i="1"/>
  <c r="S732" i="1"/>
  <c r="O732" i="1"/>
  <c r="K732" i="1"/>
  <c r="J732" i="1"/>
  <c r="I732" i="1"/>
  <c r="H732" i="1"/>
  <c r="G732" i="1"/>
  <c r="F732" i="1"/>
  <c r="E732" i="1"/>
  <c r="D732" i="1"/>
  <c r="C732" i="1"/>
  <c r="B732" i="1"/>
  <c r="A732" i="1"/>
  <c r="S731" i="1"/>
  <c r="O731" i="1"/>
  <c r="K731" i="1"/>
  <c r="J731" i="1"/>
  <c r="I731" i="1"/>
  <c r="H731" i="1"/>
  <c r="G731" i="1"/>
  <c r="F731" i="1"/>
  <c r="D731" i="1"/>
  <c r="C731" i="1"/>
  <c r="B731" i="1"/>
  <c r="A731" i="1"/>
  <c r="S730" i="1"/>
  <c r="O730" i="1"/>
  <c r="K730" i="1"/>
  <c r="J730" i="1"/>
  <c r="I730" i="1"/>
  <c r="H730" i="1"/>
  <c r="G730" i="1"/>
  <c r="F730" i="1"/>
  <c r="D730" i="1"/>
  <c r="C730" i="1"/>
  <c r="B730" i="1"/>
  <c r="A730" i="1"/>
  <c r="R729" i="1"/>
  <c r="J729" i="1"/>
  <c r="I729" i="1"/>
  <c r="G729" i="1"/>
  <c r="F729" i="1"/>
  <c r="E729" i="1"/>
  <c r="D729" i="1"/>
  <c r="C729" i="1"/>
  <c r="B729" i="1"/>
  <c r="A729" i="1"/>
  <c r="R728" i="1"/>
  <c r="J728" i="1"/>
  <c r="I728" i="1"/>
  <c r="G728" i="1"/>
  <c r="F728" i="1"/>
  <c r="E728" i="1"/>
  <c r="D728" i="1"/>
  <c r="C728" i="1"/>
  <c r="B728" i="1"/>
  <c r="A728" i="1"/>
  <c r="R727" i="1"/>
  <c r="J727" i="1"/>
  <c r="I727" i="1"/>
  <c r="G727" i="1"/>
  <c r="F727" i="1"/>
  <c r="E727" i="1"/>
  <c r="D727" i="1"/>
  <c r="C727" i="1"/>
  <c r="B727" i="1"/>
  <c r="A727" i="1"/>
  <c r="R726" i="1"/>
  <c r="J726" i="1"/>
  <c r="I726" i="1"/>
  <c r="G726" i="1"/>
  <c r="F726" i="1"/>
  <c r="E726" i="1"/>
  <c r="D726" i="1"/>
  <c r="C726" i="1"/>
  <c r="B726" i="1"/>
  <c r="A726" i="1"/>
  <c r="S725" i="1"/>
  <c r="O725" i="1"/>
  <c r="K725" i="1"/>
  <c r="J725" i="1"/>
  <c r="I725" i="1"/>
  <c r="H725" i="1"/>
  <c r="G725" i="1"/>
  <c r="F725" i="1"/>
  <c r="E725" i="1"/>
  <c r="D725" i="1"/>
  <c r="C725" i="1"/>
  <c r="B725" i="1"/>
  <c r="A725" i="1"/>
  <c r="R724" i="1"/>
  <c r="J724" i="1"/>
  <c r="I724" i="1"/>
  <c r="G724" i="1"/>
  <c r="F724" i="1"/>
  <c r="E724" i="1"/>
  <c r="D724" i="1"/>
  <c r="C724" i="1"/>
  <c r="B724" i="1"/>
  <c r="A724" i="1"/>
  <c r="S723" i="1"/>
  <c r="O723" i="1"/>
  <c r="K723" i="1"/>
  <c r="J723" i="1"/>
  <c r="I723" i="1"/>
  <c r="H723" i="1"/>
  <c r="G723" i="1"/>
  <c r="F723" i="1"/>
  <c r="E723" i="1"/>
  <c r="D723" i="1"/>
  <c r="C723" i="1"/>
  <c r="B723" i="1"/>
  <c r="A723" i="1"/>
  <c r="R722" i="1"/>
  <c r="J722" i="1"/>
  <c r="I722" i="1"/>
  <c r="G722" i="1"/>
  <c r="F722" i="1"/>
  <c r="E722" i="1"/>
  <c r="D722" i="1"/>
  <c r="C722" i="1"/>
  <c r="B722" i="1"/>
  <c r="A722" i="1"/>
  <c r="S721" i="1"/>
  <c r="O721" i="1"/>
  <c r="K721" i="1"/>
  <c r="J721" i="1"/>
  <c r="I721" i="1"/>
  <c r="H721" i="1"/>
  <c r="G721" i="1"/>
  <c r="F721" i="1"/>
  <c r="E721" i="1"/>
  <c r="D721" i="1"/>
  <c r="C721" i="1"/>
  <c r="B721" i="1"/>
  <c r="A721" i="1"/>
  <c r="R720" i="1"/>
  <c r="J720" i="1"/>
  <c r="I720" i="1"/>
  <c r="G720" i="1"/>
  <c r="F720" i="1"/>
  <c r="E720" i="1"/>
  <c r="D720" i="1"/>
  <c r="C720" i="1"/>
  <c r="B720" i="1"/>
  <c r="A720" i="1"/>
  <c r="S719" i="1"/>
  <c r="O719" i="1"/>
  <c r="K719" i="1"/>
  <c r="J719" i="1"/>
  <c r="I719" i="1"/>
  <c r="H719" i="1"/>
  <c r="G719" i="1"/>
  <c r="F719" i="1"/>
  <c r="E719" i="1"/>
  <c r="D719" i="1"/>
  <c r="C719" i="1"/>
  <c r="B719" i="1"/>
  <c r="A719" i="1"/>
  <c r="R718" i="1"/>
  <c r="J718" i="1"/>
  <c r="I718" i="1"/>
  <c r="G718" i="1"/>
  <c r="F718" i="1"/>
  <c r="E718" i="1"/>
  <c r="D718" i="1"/>
  <c r="C718" i="1"/>
  <c r="B718" i="1"/>
  <c r="A718" i="1"/>
  <c r="S717" i="1"/>
  <c r="O717" i="1"/>
  <c r="K717" i="1"/>
  <c r="J717" i="1"/>
  <c r="I717" i="1"/>
  <c r="H717" i="1"/>
  <c r="G717" i="1"/>
  <c r="F717" i="1"/>
  <c r="E717" i="1"/>
  <c r="D717" i="1"/>
  <c r="C717" i="1"/>
  <c r="B717" i="1"/>
  <c r="A717" i="1"/>
  <c r="R716" i="1"/>
  <c r="J716" i="1"/>
  <c r="I716" i="1"/>
  <c r="G716" i="1"/>
  <c r="F716" i="1"/>
  <c r="E716" i="1"/>
  <c r="D716" i="1"/>
  <c r="C716" i="1"/>
  <c r="B716" i="1"/>
  <c r="A716" i="1"/>
  <c r="S715" i="1"/>
  <c r="O715" i="1"/>
  <c r="K715" i="1"/>
  <c r="J715" i="1"/>
  <c r="I715" i="1"/>
  <c r="H715" i="1"/>
  <c r="G715" i="1"/>
  <c r="F715" i="1"/>
  <c r="E715" i="1"/>
  <c r="D715" i="1"/>
  <c r="C715" i="1"/>
  <c r="B715" i="1"/>
  <c r="A715" i="1"/>
  <c r="R714" i="1"/>
  <c r="J714" i="1"/>
  <c r="I714" i="1"/>
  <c r="G714" i="1"/>
  <c r="F714" i="1"/>
  <c r="E714" i="1"/>
  <c r="D714" i="1"/>
  <c r="C714" i="1"/>
  <c r="B714" i="1"/>
  <c r="A714" i="1"/>
  <c r="S713" i="1"/>
  <c r="O713" i="1"/>
  <c r="K713" i="1"/>
  <c r="J713" i="1"/>
  <c r="I713" i="1"/>
  <c r="H713" i="1"/>
  <c r="G713" i="1"/>
  <c r="F713" i="1"/>
  <c r="E713" i="1"/>
  <c r="D713" i="1"/>
  <c r="C713" i="1"/>
  <c r="B713" i="1"/>
  <c r="A713" i="1"/>
  <c r="R712" i="1"/>
  <c r="J712" i="1"/>
  <c r="I712" i="1"/>
  <c r="G712" i="1"/>
  <c r="F712" i="1"/>
  <c r="E712" i="1"/>
  <c r="D712" i="1"/>
  <c r="C712" i="1"/>
  <c r="B712" i="1"/>
  <c r="A712" i="1"/>
  <c r="S711" i="1"/>
  <c r="O711" i="1"/>
  <c r="K711" i="1"/>
  <c r="J711" i="1"/>
  <c r="I711" i="1"/>
  <c r="H711" i="1"/>
  <c r="G711" i="1"/>
  <c r="F711" i="1"/>
  <c r="E711" i="1"/>
  <c r="D711" i="1"/>
  <c r="C711" i="1"/>
  <c r="B711" i="1"/>
  <c r="A711" i="1"/>
  <c r="R710" i="1"/>
  <c r="J710" i="1"/>
  <c r="I710" i="1"/>
  <c r="G710" i="1"/>
  <c r="F710" i="1"/>
  <c r="E710" i="1"/>
  <c r="D710" i="1"/>
  <c r="C710" i="1"/>
  <c r="B710" i="1"/>
  <c r="A710" i="1"/>
  <c r="S709" i="1"/>
  <c r="O709" i="1"/>
  <c r="K709" i="1"/>
  <c r="J709" i="1"/>
  <c r="I709" i="1"/>
  <c r="H709" i="1"/>
  <c r="G709" i="1"/>
  <c r="F709" i="1"/>
  <c r="E709" i="1"/>
  <c r="D709" i="1"/>
  <c r="C709" i="1"/>
  <c r="B709" i="1"/>
  <c r="A709" i="1"/>
  <c r="R708" i="1"/>
  <c r="J708" i="1"/>
  <c r="I708" i="1"/>
  <c r="G708" i="1"/>
  <c r="F708" i="1"/>
  <c r="E708" i="1"/>
  <c r="D708" i="1"/>
  <c r="C708" i="1"/>
  <c r="B708" i="1"/>
  <c r="A708" i="1"/>
  <c r="S707" i="1"/>
  <c r="O707" i="1"/>
  <c r="K707" i="1"/>
  <c r="J707" i="1"/>
  <c r="I707" i="1"/>
  <c r="H707" i="1"/>
  <c r="G707" i="1"/>
  <c r="F707" i="1"/>
  <c r="E707" i="1"/>
  <c r="D707" i="1"/>
  <c r="C707" i="1"/>
  <c r="B707" i="1"/>
  <c r="A707" i="1"/>
  <c r="R706" i="1"/>
  <c r="J706" i="1"/>
  <c r="I706" i="1"/>
  <c r="G706" i="1"/>
  <c r="F706" i="1"/>
  <c r="E706" i="1"/>
  <c r="D706" i="1"/>
  <c r="C706" i="1"/>
  <c r="B706" i="1"/>
  <c r="A706" i="1"/>
  <c r="S705" i="1"/>
  <c r="O705" i="1"/>
  <c r="K705" i="1"/>
  <c r="J705" i="1"/>
  <c r="I705" i="1"/>
  <c r="H705" i="1"/>
  <c r="G705" i="1"/>
  <c r="F705" i="1"/>
  <c r="E705" i="1"/>
  <c r="D705" i="1"/>
  <c r="C705" i="1"/>
  <c r="B705" i="1"/>
  <c r="A705" i="1"/>
  <c r="R704" i="1"/>
  <c r="J704" i="1"/>
  <c r="I704" i="1"/>
  <c r="G704" i="1"/>
  <c r="F704" i="1"/>
  <c r="E704" i="1"/>
  <c r="D704" i="1"/>
  <c r="C704" i="1"/>
  <c r="B704" i="1"/>
  <c r="A704" i="1"/>
  <c r="S703" i="1"/>
  <c r="O703" i="1"/>
  <c r="K703" i="1"/>
  <c r="J703" i="1"/>
  <c r="I703" i="1"/>
  <c r="H703" i="1"/>
  <c r="G703" i="1"/>
  <c r="F703" i="1"/>
  <c r="E703" i="1"/>
  <c r="D703" i="1"/>
  <c r="C703" i="1"/>
  <c r="B703" i="1"/>
  <c r="A703" i="1"/>
  <c r="R702" i="1"/>
  <c r="J702" i="1"/>
  <c r="I702" i="1"/>
  <c r="G702" i="1"/>
  <c r="F702" i="1"/>
  <c r="E702" i="1"/>
  <c r="D702" i="1"/>
  <c r="C702" i="1"/>
  <c r="B702" i="1"/>
  <c r="A702" i="1"/>
  <c r="S701" i="1"/>
  <c r="O701" i="1"/>
  <c r="K701" i="1"/>
  <c r="J701" i="1"/>
  <c r="I701" i="1"/>
  <c r="H701" i="1"/>
  <c r="G701" i="1"/>
  <c r="F701" i="1"/>
  <c r="E701" i="1"/>
  <c r="D701" i="1"/>
  <c r="C701" i="1"/>
  <c r="B701" i="1"/>
  <c r="A701" i="1"/>
  <c r="R700" i="1"/>
  <c r="J700" i="1"/>
  <c r="I700" i="1"/>
  <c r="G700" i="1"/>
  <c r="F700" i="1"/>
  <c r="E700" i="1"/>
  <c r="D700" i="1"/>
  <c r="C700" i="1"/>
  <c r="B700" i="1"/>
  <c r="A700" i="1"/>
  <c r="S699" i="1"/>
  <c r="O699" i="1"/>
  <c r="K699" i="1"/>
  <c r="J699" i="1"/>
  <c r="I699" i="1"/>
  <c r="H699" i="1"/>
  <c r="G699" i="1"/>
  <c r="F699" i="1"/>
  <c r="E699" i="1"/>
  <c r="D699" i="1"/>
  <c r="C699" i="1"/>
  <c r="B699" i="1"/>
  <c r="A699" i="1"/>
  <c r="R698" i="1"/>
  <c r="J698" i="1"/>
  <c r="I698" i="1"/>
  <c r="G698" i="1"/>
  <c r="F698" i="1"/>
  <c r="E698" i="1"/>
  <c r="D698" i="1"/>
  <c r="C698" i="1"/>
  <c r="B698" i="1"/>
  <c r="A698" i="1"/>
  <c r="S697" i="1"/>
  <c r="O697" i="1"/>
  <c r="K697" i="1"/>
  <c r="J697" i="1"/>
  <c r="I697" i="1"/>
  <c r="H697" i="1"/>
  <c r="G697" i="1"/>
  <c r="F697" i="1"/>
  <c r="E697" i="1"/>
  <c r="D697" i="1"/>
  <c r="C697" i="1"/>
  <c r="B697" i="1"/>
  <c r="A697" i="1"/>
  <c r="R696" i="1"/>
  <c r="J696" i="1"/>
  <c r="I696" i="1"/>
  <c r="G696" i="1"/>
  <c r="F696" i="1"/>
  <c r="E696" i="1"/>
  <c r="D696" i="1"/>
  <c r="C696" i="1"/>
  <c r="B696" i="1"/>
  <c r="A696" i="1"/>
  <c r="S695" i="1"/>
  <c r="O695" i="1"/>
  <c r="K695" i="1"/>
  <c r="J695" i="1"/>
  <c r="I695" i="1"/>
  <c r="H695" i="1"/>
  <c r="G695" i="1"/>
  <c r="F695" i="1"/>
  <c r="E695" i="1"/>
  <c r="D695" i="1"/>
  <c r="C695" i="1"/>
  <c r="B695" i="1"/>
  <c r="A695" i="1"/>
  <c r="R694" i="1"/>
  <c r="J694" i="1"/>
  <c r="I694" i="1"/>
  <c r="G694" i="1"/>
  <c r="F694" i="1"/>
  <c r="E694" i="1"/>
  <c r="D694" i="1"/>
  <c r="C694" i="1"/>
  <c r="B694" i="1"/>
  <c r="A694" i="1"/>
  <c r="S693" i="1"/>
  <c r="O693" i="1"/>
  <c r="K693" i="1"/>
  <c r="J693" i="1"/>
  <c r="I693" i="1"/>
  <c r="H693" i="1"/>
  <c r="G693" i="1"/>
  <c r="F693" i="1"/>
  <c r="E693" i="1"/>
  <c r="D693" i="1"/>
  <c r="C693" i="1"/>
  <c r="B693" i="1"/>
  <c r="A693" i="1"/>
  <c r="R692" i="1"/>
  <c r="J692" i="1"/>
  <c r="I692" i="1"/>
  <c r="G692" i="1"/>
  <c r="F692" i="1"/>
  <c r="E692" i="1"/>
  <c r="D692" i="1"/>
  <c r="C692" i="1"/>
  <c r="B692" i="1"/>
  <c r="A692" i="1"/>
  <c r="S691" i="1"/>
  <c r="O691" i="1"/>
  <c r="K691" i="1"/>
  <c r="J691" i="1"/>
  <c r="I691" i="1"/>
  <c r="H691" i="1"/>
  <c r="G691" i="1"/>
  <c r="F691" i="1"/>
  <c r="E691" i="1"/>
  <c r="D691" i="1"/>
  <c r="C691" i="1"/>
  <c r="B691" i="1"/>
  <c r="A691" i="1"/>
  <c r="R690" i="1"/>
  <c r="J690" i="1"/>
  <c r="I690" i="1"/>
  <c r="G690" i="1"/>
  <c r="F690" i="1"/>
  <c r="E690" i="1"/>
  <c r="D690" i="1"/>
  <c r="C690" i="1"/>
  <c r="B690" i="1"/>
  <c r="A690" i="1"/>
  <c r="S689" i="1"/>
  <c r="O689" i="1"/>
  <c r="K689" i="1"/>
  <c r="J689" i="1"/>
  <c r="I689" i="1"/>
  <c r="H689" i="1"/>
  <c r="G689" i="1"/>
  <c r="F689" i="1"/>
  <c r="E689" i="1"/>
  <c r="D689" i="1"/>
  <c r="C689" i="1"/>
  <c r="B689" i="1"/>
  <c r="A689" i="1"/>
  <c r="R688" i="1"/>
  <c r="J688" i="1"/>
  <c r="I688" i="1"/>
  <c r="G688" i="1"/>
  <c r="F688" i="1"/>
  <c r="E688" i="1"/>
  <c r="D688" i="1"/>
  <c r="C688" i="1"/>
  <c r="B688" i="1"/>
  <c r="A688" i="1"/>
  <c r="R687" i="1"/>
  <c r="J687" i="1"/>
  <c r="I687" i="1"/>
  <c r="G687" i="1"/>
  <c r="F687" i="1"/>
  <c r="E687" i="1"/>
  <c r="D687" i="1"/>
  <c r="C687" i="1"/>
  <c r="B687" i="1"/>
  <c r="A687" i="1"/>
  <c r="S686" i="1"/>
  <c r="O686" i="1"/>
  <c r="K686" i="1"/>
  <c r="J686" i="1"/>
  <c r="I686" i="1"/>
  <c r="H686" i="1"/>
  <c r="G686" i="1"/>
  <c r="F686" i="1"/>
  <c r="E686" i="1"/>
  <c r="D686" i="1"/>
  <c r="C686" i="1"/>
  <c r="B686" i="1"/>
  <c r="A686" i="1"/>
  <c r="R685" i="1"/>
  <c r="J685" i="1"/>
  <c r="I685" i="1"/>
  <c r="G685" i="1"/>
  <c r="F685" i="1"/>
  <c r="E685" i="1"/>
  <c r="D685" i="1"/>
  <c r="C685" i="1"/>
  <c r="B685" i="1"/>
  <c r="A685" i="1"/>
  <c r="S684" i="1"/>
  <c r="O684" i="1"/>
  <c r="K684" i="1"/>
  <c r="J684" i="1"/>
  <c r="I684" i="1"/>
  <c r="H684" i="1"/>
  <c r="G684" i="1"/>
  <c r="F684" i="1"/>
  <c r="E684" i="1"/>
  <c r="D684" i="1"/>
  <c r="C684" i="1"/>
  <c r="B684" i="1"/>
  <c r="A684" i="1"/>
  <c r="R683" i="1"/>
  <c r="J683" i="1"/>
  <c r="I683" i="1"/>
  <c r="G683" i="1"/>
  <c r="F683" i="1"/>
  <c r="E683" i="1"/>
  <c r="D683" i="1"/>
  <c r="C683" i="1"/>
  <c r="B683" i="1"/>
  <c r="A683" i="1"/>
  <c r="S682" i="1"/>
  <c r="O682" i="1"/>
  <c r="K682" i="1"/>
  <c r="J682" i="1"/>
  <c r="I682" i="1"/>
  <c r="H682" i="1"/>
  <c r="G682" i="1"/>
  <c r="F682" i="1"/>
  <c r="E682" i="1"/>
  <c r="D682" i="1"/>
  <c r="C682" i="1"/>
  <c r="B682" i="1"/>
  <c r="A682" i="1"/>
  <c r="R681" i="1"/>
  <c r="J681" i="1"/>
  <c r="I681" i="1"/>
  <c r="G681" i="1"/>
  <c r="F681" i="1"/>
  <c r="E681" i="1"/>
  <c r="D681" i="1"/>
  <c r="C681" i="1"/>
  <c r="B681" i="1"/>
  <c r="A681" i="1"/>
  <c r="S680" i="1"/>
  <c r="O680" i="1"/>
  <c r="K680" i="1"/>
  <c r="J680" i="1"/>
  <c r="I680" i="1"/>
  <c r="H680" i="1"/>
  <c r="G680" i="1"/>
  <c r="F680" i="1"/>
  <c r="E680" i="1"/>
  <c r="D680" i="1"/>
  <c r="C680" i="1"/>
  <c r="B680" i="1"/>
  <c r="A680" i="1"/>
  <c r="R679" i="1"/>
  <c r="J679" i="1"/>
  <c r="I679" i="1"/>
  <c r="G679" i="1"/>
  <c r="F679" i="1"/>
  <c r="E679" i="1"/>
  <c r="D679" i="1"/>
  <c r="C679" i="1"/>
  <c r="B679" i="1"/>
  <c r="A679" i="1"/>
  <c r="S678" i="1"/>
  <c r="O678" i="1"/>
  <c r="K678" i="1"/>
  <c r="J678" i="1"/>
  <c r="I678" i="1"/>
  <c r="H678" i="1"/>
  <c r="G678" i="1"/>
  <c r="F678" i="1"/>
  <c r="E678" i="1"/>
  <c r="D678" i="1"/>
  <c r="C678" i="1"/>
  <c r="B678" i="1"/>
  <c r="A678" i="1"/>
  <c r="R677" i="1"/>
  <c r="J677" i="1"/>
  <c r="I677" i="1"/>
  <c r="G677" i="1"/>
  <c r="F677" i="1"/>
  <c r="E677" i="1"/>
  <c r="D677" i="1"/>
  <c r="C677" i="1"/>
  <c r="B677" i="1"/>
  <c r="A677" i="1"/>
  <c r="S676" i="1"/>
  <c r="O676" i="1"/>
  <c r="K676" i="1"/>
  <c r="J676" i="1"/>
  <c r="I676" i="1"/>
  <c r="H676" i="1"/>
  <c r="G676" i="1"/>
  <c r="F676" i="1"/>
  <c r="E676" i="1"/>
  <c r="D676" i="1"/>
  <c r="C676" i="1"/>
  <c r="B676" i="1"/>
  <c r="A676" i="1"/>
  <c r="R675" i="1"/>
  <c r="J675" i="1"/>
  <c r="I675" i="1"/>
  <c r="G675" i="1"/>
  <c r="F675" i="1"/>
  <c r="E675" i="1"/>
  <c r="D675" i="1"/>
  <c r="C675" i="1"/>
  <c r="B675" i="1"/>
  <c r="A675" i="1"/>
  <c r="S674" i="1"/>
  <c r="O674" i="1"/>
  <c r="K674" i="1"/>
  <c r="J674" i="1"/>
  <c r="I674" i="1"/>
  <c r="H674" i="1"/>
  <c r="G674" i="1"/>
  <c r="F674" i="1"/>
  <c r="E674" i="1"/>
  <c r="D674" i="1"/>
  <c r="C674" i="1"/>
  <c r="B674" i="1"/>
  <c r="A674" i="1"/>
  <c r="R673" i="1"/>
  <c r="J673" i="1"/>
  <c r="I673" i="1"/>
  <c r="G673" i="1"/>
  <c r="F673" i="1"/>
  <c r="E673" i="1"/>
  <c r="D673" i="1"/>
  <c r="C673" i="1"/>
  <c r="B673" i="1"/>
  <c r="A673" i="1"/>
  <c r="S672" i="1"/>
  <c r="O672" i="1"/>
  <c r="K672" i="1"/>
  <c r="J672" i="1"/>
  <c r="I672" i="1"/>
  <c r="H672" i="1"/>
  <c r="G672" i="1"/>
  <c r="F672" i="1"/>
  <c r="E672" i="1"/>
  <c r="D672" i="1"/>
  <c r="C672" i="1"/>
  <c r="B672" i="1"/>
  <c r="A672" i="1"/>
  <c r="R671" i="1"/>
  <c r="J671" i="1"/>
  <c r="I671" i="1"/>
  <c r="G671" i="1"/>
  <c r="F671" i="1"/>
  <c r="E671" i="1"/>
  <c r="D671" i="1"/>
  <c r="C671" i="1"/>
  <c r="B671" i="1"/>
  <c r="A671" i="1"/>
  <c r="S670" i="1"/>
  <c r="O670" i="1"/>
  <c r="K670" i="1"/>
  <c r="J670" i="1"/>
  <c r="I670" i="1"/>
  <c r="H670" i="1"/>
  <c r="G670" i="1"/>
  <c r="F670" i="1"/>
  <c r="E670" i="1"/>
  <c r="D670" i="1"/>
  <c r="C670" i="1"/>
  <c r="B670" i="1"/>
  <c r="A670" i="1"/>
  <c r="R669" i="1"/>
  <c r="J669" i="1"/>
  <c r="I669" i="1"/>
  <c r="G669" i="1"/>
  <c r="F669" i="1"/>
  <c r="E669" i="1"/>
  <c r="D669" i="1"/>
  <c r="C669" i="1"/>
  <c r="B669" i="1"/>
  <c r="A669" i="1"/>
  <c r="S668" i="1"/>
  <c r="O668" i="1"/>
  <c r="K668" i="1"/>
  <c r="J668" i="1"/>
  <c r="I668" i="1"/>
  <c r="H668" i="1"/>
  <c r="G668" i="1"/>
  <c r="F668" i="1"/>
  <c r="E668" i="1"/>
  <c r="D668" i="1"/>
  <c r="C668" i="1"/>
  <c r="B668" i="1"/>
  <c r="A668" i="1"/>
  <c r="R667" i="1"/>
  <c r="J667" i="1"/>
  <c r="I667" i="1"/>
  <c r="G667" i="1"/>
  <c r="F667" i="1"/>
  <c r="E667" i="1"/>
  <c r="D667" i="1"/>
  <c r="C667" i="1"/>
  <c r="B667" i="1"/>
  <c r="A667" i="1"/>
  <c r="S666" i="1"/>
  <c r="O666" i="1"/>
  <c r="K666" i="1"/>
  <c r="J666" i="1"/>
  <c r="I666" i="1"/>
  <c r="H666" i="1"/>
  <c r="G666" i="1"/>
  <c r="F666" i="1"/>
  <c r="E666" i="1"/>
  <c r="D666" i="1"/>
  <c r="C666" i="1"/>
  <c r="B666" i="1"/>
  <c r="A666" i="1"/>
  <c r="S665" i="1"/>
  <c r="O665" i="1"/>
  <c r="K665" i="1"/>
  <c r="J665" i="1"/>
  <c r="I665" i="1"/>
  <c r="H665" i="1"/>
  <c r="G665" i="1"/>
  <c r="F665" i="1"/>
  <c r="E665" i="1"/>
  <c r="D665" i="1"/>
  <c r="C665" i="1"/>
  <c r="B665" i="1"/>
  <c r="A665" i="1"/>
  <c r="R664" i="1"/>
  <c r="J664" i="1"/>
  <c r="I664" i="1"/>
  <c r="G664" i="1"/>
  <c r="F664" i="1"/>
  <c r="E664" i="1"/>
  <c r="D664" i="1"/>
  <c r="C664" i="1"/>
  <c r="B664" i="1"/>
  <c r="A664" i="1"/>
  <c r="S663" i="1"/>
  <c r="O663" i="1"/>
  <c r="K663" i="1"/>
  <c r="J663" i="1"/>
  <c r="I663" i="1"/>
  <c r="H663" i="1"/>
  <c r="G663" i="1"/>
  <c r="F663" i="1"/>
  <c r="E663" i="1"/>
  <c r="D663" i="1"/>
  <c r="C663" i="1"/>
  <c r="B663" i="1"/>
  <c r="A663" i="1"/>
  <c r="R662" i="1"/>
  <c r="J662" i="1"/>
  <c r="I662" i="1"/>
  <c r="G662" i="1"/>
  <c r="F662" i="1"/>
  <c r="E662" i="1"/>
  <c r="D662" i="1"/>
  <c r="C662" i="1"/>
  <c r="B662" i="1"/>
  <c r="A662" i="1"/>
  <c r="S661" i="1"/>
  <c r="O661" i="1"/>
  <c r="K661" i="1"/>
  <c r="J661" i="1"/>
  <c r="I661" i="1"/>
  <c r="H661" i="1"/>
  <c r="G661" i="1"/>
  <c r="F661" i="1"/>
  <c r="E661" i="1"/>
  <c r="D661" i="1"/>
  <c r="C661" i="1"/>
  <c r="B661" i="1"/>
  <c r="A661" i="1"/>
  <c r="R660" i="1"/>
  <c r="J660" i="1"/>
  <c r="I660" i="1"/>
  <c r="G660" i="1"/>
  <c r="F660" i="1"/>
  <c r="E660" i="1"/>
  <c r="D660" i="1"/>
  <c r="C660" i="1"/>
  <c r="B660" i="1"/>
  <c r="A660" i="1"/>
  <c r="S659" i="1"/>
  <c r="O659" i="1"/>
  <c r="K659" i="1"/>
  <c r="J659" i="1"/>
  <c r="I659" i="1"/>
  <c r="H659" i="1"/>
  <c r="G659" i="1"/>
  <c r="F659" i="1"/>
  <c r="E659" i="1"/>
  <c r="D659" i="1"/>
  <c r="C659" i="1"/>
  <c r="B659" i="1"/>
  <c r="A659" i="1"/>
  <c r="R658" i="1"/>
  <c r="J658" i="1"/>
  <c r="I658" i="1"/>
  <c r="G658" i="1"/>
  <c r="F658" i="1"/>
  <c r="E658" i="1"/>
  <c r="D658" i="1"/>
  <c r="C658" i="1"/>
  <c r="B658" i="1"/>
  <c r="A658" i="1"/>
  <c r="S657" i="1"/>
  <c r="O657" i="1"/>
  <c r="K657" i="1"/>
  <c r="J657" i="1"/>
  <c r="I657" i="1"/>
  <c r="H657" i="1"/>
  <c r="G657" i="1"/>
  <c r="F657" i="1"/>
  <c r="E657" i="1"/>
  <c r="D657" i="1"/>
  <c r="C657" i="1"/>
  <c r="B657" i="1"/>
  <c r="A657" i="1"/>
  <c r="R656" i="1"/>
  <c r="J656" i="1"/>
  <c r="I656" i="1"/>
  <c r="G656" i="1"/>
  <c r="F656" i="1"/>
  <c r="E656" i="1"/>
  <c r="D656" i="1"/>
  <c r="C656" i="1"/>
  <c r="B656" i="1"/>
  <c r="A656" i="1"/>
  <c r="S655" i="1"/>
  <c r="O655" i="1"/>
  <c r="K655" i="1"/>
  <c r="J655" i="1"/>
  <c r="I655" i="1"/>
  <c r="H655" i="1"/>
  <c r="G655" i="1"/>
  <c r="F655" i="1"/>
  <c r="E655" i="1"/>
  <c r="D655" i="1"/>
  <c r="C655" i="1"/>
  <c r="B655" i="1"/>
  <c r="A655" i="1"/>
  <c r="R654" i="1"/>
  <c r="J654" i="1"/>
  <c r="I654" i="1"/>
  <c r="G654" i="1"/>
  <c r="F654" i="1"/>
  <c r="E654" i="1"/>
  <c r="D654" i="1"/>
  <c r="C654" i="1"/>
  <c r="B654" i="1"/>
  <c r="A654" i="1"/>
  <c r="S653" i="1"/>
  <c r="O653" i="1"/>
  <c r="K653" i="1"/>
  <c r="J653" i="1"/>
  <c r="I653" i="1"/>
  <c r="H653" i="1"/>
  <c r="G653" i="1"/>
  <c r="F653" i="1"/>
  <c r="E653" i="1"/>
  <c r="D653" i="1"/>
  <c r="C653" i="1"/>
  <c r="B653" i="1"/>
  <c r="A653" i="1"/>
  <c r="R652" i="1"/>
  <c r="J652" i="1"/>
  <c r="I652" i="1"/>
  <c r="G652" i="1"/>
  <c r="F652" i="1"/>
  <c r="E652" i="1"/>
  <c r="D652" i="1"/>
  <c r="C652" i="1"/>
  <c r="B652" i="1"/>
  <c r="A652" i="1"/>
  <c r="S651" i="1"/>
  <c r="O651" i="1"/>
  <c r="K651" i="1"/>
  <c r="J651" i="1"/>
  <c r="I651" i="1"/>
  <c r="H651" i="1"/>
  <c r="G651" i="1"/>
  <c r="F651" i="1"/>
  <c r="E651" i="1"/>
  <c r="D651" i="1"/>
  <c r="C651" i="1"/>
  <c r="B651" i="1"/>
  <c r="A651" i="1"/>
  <c r="R650" i="1"/>
  <c r="J650" i="1"/>
  <c r="I650" i="1"/>
  <c r="G650" i="1"/>
  <c r="F650" i="1"/>
  <c r="E650" i="1"/>
  <c r="D650" i="1"/>
  <c r="C650" i="1"/>
  <c r="B650" i="1"/>
  <c r="A650" i="1"/>
  <c r="S649" i="1"/>
  <c r="O649" i="1"/>
  <c r="K649" i="1"/>
  <c r="J649" i="1"/>
  <c r="I649" i="1"/>
  <c r="H649" i="1"/>
  <c r="G649" i="1"/>
  <c r="F649" i="1"/>
  <c r="E649" i="1"/>
  <c r="D649" i="1"/>
  <c r="C649" i="1"/>
  <c r="B649" i="1"/>
  <c r="A649" i="1"/>
  <c r="R648" i="1"/>
  <c r="J648" i="1"/>
  <c r="I648" i="1"/>
  <c r="G648" i="1"/>
  <c r="F648" i="1"/>
  <c r="E648" i="1"/>
  <c r="D648" i="1"/>
  <c r="C648" i="1"/>
  <c r="B648" i="1"/>
  <c r="A648" i="1"/>
  <c r="S647" i="1"/>
  <c r="O647" i="1"/>
  <c r="K647" i="1"/>
  <c r="J647" i="1"/>
  <c r="I647" i="1"/>
  <c r="H647" i="1"/>
  <c r="G647" i="1"/>
  <c r="F647" i="1"/>
  <c r="E647" i="1"/>
  <c r="D647" i="1"/>
  <c r="C647" i="1"/>
  <c r="B647" i="1"/>
  <c r="A647" i="1"/>
  <c r="R646" i="1"/>
  <c r="J646" i="1"/>
  <c r="I646" i="1"/>
  <c r="G646" i="1"/>
  <c r="F646" i="1"/>
  <c r="E646" i="1"/>
  <c r="D646" i="1"/>
  <c r="C646" i="1"/>
  <c r="B646" i="1"/>
  <c r="A646" i="1"/>
  <c r="R645" i="1"/>
  <c r="J645" i="1"/>
  <c r="I645" i="1"/>
  <c r="G645" i="1"/>
  <c r="F645" i="1"/>
  <c r="E645" i="1"/>
  <c r="D645" i="1"/>
  <c r="C645" i="1"/>
  <c r="B645" i="1"/>
  <c r="A645" i="1"/>
  <c r="S644" i="1"/>
  <c r="O644" i="1"/>
  <c r="K644" i="1"/>
  <c r="J644" i="1"/>
  <c r="I644" i="1"/>
  <c r="H644" i="1"/>
  <c r="G644" i="1"/>
  <c r="F644" i="1"/>
  <c r="E644" i="1"/>
  <c r="D644" i="1"/>
  <c r="C644" i="1"/>
  <c r="B644" i="1"/>
  <c r="A644" i="1"/>
  <c r="R643" i="1"/>
  <c r="J643" i="1"/>
  <c r="I643" i="1"/>
  <c r="G643" i="1"/>
  <c r="F643" i="1"/>
  <c r="E643" i="1"/>
  <c r="D643" i="1"/>
  <c r="C643" i="1"/>
  <c r="B643" i="1"/>
  <c r="A643" i="1"/>
  <c r="S642" i="1"/>
  <c r="O642" i="1"/>
  <c r="K642" i="1"/>
  <c r="J642" i="1"/>
  <c r="I642" i="1"/>
  <c r="H642" i="1"/>
  <c r="G642" i="1"/>
  <c r="F642" i="1"/>
  <c r="E642" i="1"/>
  <c r="D642" i="1"/>
  <c r="C642" i="1"/>
  <c r="B642" i="1"/>
  <c r="A642" i="1"/>
  <c r="R641" i="1"/>
  <c r="J641" i="1"/>
  <c r="I641" i="1"/>
  <c r="G641" i="1"/>
  <c r="F641" i="1"/>
  <c r="E641" i="1"/>
  <c r="D641" i="1"/>
  <c r="C641" i="1"/>
  <c r="B641" i="1"/>
  <c r="A641" i="1"/>
  <c r="S640" i="1"/>
  <c r="O640" i="1"/>
  <c r="K640" i="1"/>
  <c r="J640" i="1"/>
  <c r="I640" i="1"/>
  <c r="H640" i="1"/>
  <c r="G640" i="1"/>
  <c r="F640" i="1"/>
  <c r="E640" i="1"/>
  <c r="D640" i="1"/>
  <c r="C640" i="1"/>
  <c r="B640" i="1"/>
  <c r="A640" i="1"/>
  <c r="R639" i="1"/>
  <c r="J639" i="1"/>
  <c r="I639" i="1"/>
  <c r="G639" i="1"/>
  <c r="F639" i="1"/>
  <c r="E639" i="1"/>
  <c r="D639" i="1"/>
  <c r="C639" i="1"/>
  <c r="B639" i="1"/>
  <c r="A639" i="1"/>
  <c r="S638" i="1"/>
  <c r="O638" i="1"/>
  <c r="K638" i="1"/>
  <c r="J638" i="1"/>
  <c r="I638" i="1"/>
  <c r="H638" i="1"/>
  <c r="G638" i="1"/>
  <c r="F638" i="1"/>
  <c r="E638" i="1"/>
  <c r="D638" i="1"/>
  <c r="C638" i="1"/>
  <c r="B638" i="1"/>
  <c r="A638" i="1"/>
  <c r="R637" i="1"/>
  <c r="J637" i="1"/>
  <c r="I637" i="1"/>
  <c r="G637" i="1"/>
  <c r="F637" i="1"/>
  <c r="E637" i="1"/>
  <c r="D637" i="1"/>
  <c r="C637" i="1"/>
  <c r="B637" i="1"/>
  <c r="A637" i="1"/>
  <c r="S636" i="1"/>
  <c r="O636" i="1"/>
  <c r="K636" i="1"/>
  <c r="J636" i="1"/>
  <c r="I636" i="1"/>
  <c r="H636" i="1"/>
  <c r="G636" i="1"/>
  <c r="F636" i="1"/>
  <c r="E636" i="1"/>
  <c r="D636" i="1"/>
  <c r="C636" i="1"/>
  <c r="B636" i="1"/>
  <c r="A636" i="1"/>
  <c r="R635" i="1"/>
  <c r="J635" i="1"/>
  <c r="I635" i="1"/>
  <c r="G635" i="1"/>
  <c r="F635" i="1"/>
  <c r="E635" i="1"/>
  <c r="D635" i="1"/>
  <c r="C635" i="1"/>
  <c r="B635" i="1"/>
  <c r="A635" i="1"/>
  <c r="S634" i="1"/>
  <c r="O634" i="1"/>
  <c r="K634" i="1"/>
  <c r="J634" i="1"/>
  <c r="I634" i="1"/>
  <c r="H634" i="1"/>
  <c r="G634" i="1"/>
  <c r="F634" i="1"/>
  <c r="E634" i="1"/>
  <c r="D634" i="1"/>
  <c r="C634" i="1"/>
  <c r="B634" i="1"/>
  <c r="A634" i="1"/>
  <c r="R633" i="1"/>
  <c r="J633" i="1"/>
  <c r="I633" i="1"/>
  <c r="G633" i="1"/>
  <c r="F633" i="1"/>
  <c r="E633" i="1"/>
  <c r="D633" i="1"/>
  <c r="C633" i="1"/>
  <c r="B633" i="1"/>
  <c r="A633" i="1"/>
  <c r="S632" i="1"/>
  <c r="O632" i="1"/>
  <c r="K632" i="1"/>
  <c r="J632" i="1"/>
  <c r="I632" i="1"/>
  <c r="H632" i="1"/>
  <c r="G632" i="1"/>
  <c r="F632" i="1"/>
  <c r="E632" i="1"/>
  <c r="D632" i="1"/>
  <c r="C632" i="1"/>
  <c r="B632" i="1"/>
  <c r="A632" i="1"/>
  <c r="R631" i="1"/>
  <c r="J631" i="1"/>
  <c r="I631" i="1"/>
  <c r="G631" i="1"/>
  <c r="F631" i="1"/>
  <c r="E631" i="1"/>
  <c r="D631" i="1"/>
  <c r="C631" i="1"/>
  <c r="B631" i="1"/>
  <c r="A631" i="1"/>
  <c r="R630" i="1"/>
  <c r="J630" i="1"/>
  <c r="I630" i="1"/>
  <c r="G630" i="1"/>
  <c r="F630" i="1"/>
  <c r="E630" i="1"/>
  <c r="D630" i="1"/>
  <c r="C630" i="1"/>
  <c r="B630" i="1"/>
  <c r="A630" i="1"/>
  <c r="S629" i="1"/>
  <c r="O629" i="1"/>
  <c r="K629" i="1"/>
  <c r="J629" i="1"/>
  <c r="I629" i="1"/>
  <c r="H629" i="1"/>
  <c r="G629" i="1"/>
  <c r="F629" i="1"/>
  <c r="E629" i="1"/>
  <c r="D629" i="1"/>
  <c r="C629" i="1"/>
  <c r="B629" i="1"/>
  <c r="A629" i="1"/>
  <c r="R628" i="1"/>
  <c r="J628" i="1"/>
  <c r="I628" i="1"/>
  <c r="G628" i="1"/>
  <c r="F628" i="1"/>
  <c r="E628" i="1"/>
  <c r="D628" i="1"/>
  <c r="C628" i="1"/>
  <c r="B628" i="1"/>
  <c r="A628" i="1"/>
  <c r="S627" i="1"/>
  <c r="O627" i="1"/>
  <c r="K627" i="1"/>
  <c r="J627" i="1"/>
  <c r="I627" i="1"/>
  <c r="H627" i="1"/>
  <c r="G627" i="1"/>
  <c r="F627" i="1"/>
  <c r="E627" i="1"/>
  <c r="D627" i="1"/>
  <c r="C627" i="1"/>
  <c r="B627" i="1"/>
  <c r="A627" i="1"/>
  <c r="R626" i="1"/>
  <c r="J626" i="1"/>
  <c r="I626" i="1"/>
  <c r="G626" i="1"/>
  <c r="F626" i="1"/>
  <c r="E626" i="1"/>
  <c r="D626" i="1"/>
  <c r="C626" i="1"/>
  <c r="B626" i="1"/>
  <c r="A626" i="1"/>
  <c r="S625" i="1"/>
  <c r="O625" i="1"/>
  <c r="K625" i="1"/>
  <c r="J625" i="1"/>
  <c r="I625" i="1"/>
  <c r="H625" i="1"/>
  <c r="G625" i="1"/>
  <c r="F625" i="1"/>
  <c r="E625" i="1"/>
  <c r="D625" i="1"/>
  <c r="C625" i="1"/>
  <c r="B625" i="1"/>
  <c r="A625" i="1"/>
  <c r="R624" i="1"/>
  <c r="J624" i="1"/>
  <c r="I624" i="1"/>
  <c r="G624" i="1"/>
  <c r="F624" i="1"/>
  <c r="E624" i="1"/>
  <c r="D624" i="1"/>
  <c r="C624" i="1"/>
  <c r="B624" i="1"/>
  <c r="A624" i="1"/>
  <c r="S623" i="1"/>
  <c r="O623" i="1"/>
  <c r="K623" i="1"/>
  <c r="J623" i="1"/>
  <c r="I623" i="1"/>
  <c r="H623" i="1"/>
  <c r="G623" i="1"/>
  <c r="F623" i="1"/>
  <c r="E623" i="1"/>
  <c r="D623" i="1"/>
  <c r="C623" i="1"/>
  <c r="B623" i="1"/>
  <c r="A623" i="1"/>
  <c r="R622" i="1"/>
  <c r="J622" i="1"/>
  <c r="I622" i="1"/>
  <c r="G622" i="1"/>
  <c r="F622" i="1"/>
  <c r="E622" i="1"/>
  <c r="D622" i="1"/>
  <c r="C622" i="1"/>
  <c r="B622" i="1"/>
  <c r="A622" i="1"/>
  <c r="S621" i="1"/>
  <c r="O621" i="1"/>
  <c r="K621" i="1"/>
  <c r="J621" i="1"/>
  <c r="I621" i="1"/>
  <c r="H621" i="1"/>
  <c r="G621" i="1"/>
  <c r="F621" i="1"/>
  <c r="E621" i="1"/>
  <c r="D621" i="1"/>
  <c r="C621" i="1"/>
  <c r="B621" i="1"/>
  <c r="A621" i="1"/>
  <c r="R620" i="1"/>
  <c r="J620" i="1"/>
  <c r="I620" i="1"/>
  <c r="G620" i="1"/>
  <c r="F620" i="1"/>
  <c r="E620" i="1"/>
  <c r="D620" i="1"/>
  <c r="C620" i="1"/>
  <c r="B620" i="1"/>
  <c r="A620" i="1"/>
  <c r="S619" i="1"/>
  <c r="O619" i="1"/>
  <c r="K619" i="1"/>
  <c r="J619" i="1"/>
  <c r="I619" i="1"/>
  <c r="H619" i="1"/>
  <c r="G619" i="1"/>
  <c r="F619" i="1"/>
  <c r="E619" i="1"/>
  <c r="D619" i="1"/>
  <c r="C619" i="1"/>
  <c r="B619" i="1"/>
  <c r="A619" i="1"/>
  <c r="R618" i="1"/>
  <c r="J618" i="1"/>
  <c r="I618" i="1"/>
  <c r="G618" i="1"/>
  <c r="F618" i="1"/>
  <c r="E618" i="1"/>
  <c r="D618" i="1"/>
  <c r="C618" i="1"/>
  <c r="B618" i="1"/>
  <c r="A618" i="1"/>
  <c r="S617" i="1"/>
  <c r="O617" i="1"/>
  <c r="K617" i="1"/>
  <c r="J617" i="1"/>
  <c r="I617" i="1"/>
  <c r="H617" i="1"/>
  <c r="G617" i="1"/>
  <c r="F617" i="1"/>
  <c r="E617" i="1"/>
  <c r="D617" i="1"/>
  <c r="C617" i="1"/>
  <c r="B617" i="1"/>
  <c r="A617" i="1"/>
  <c r="R616" i="1"/>
  <c r="J616" i="1"/>
  <c r="I616" i="1"/>
  <c r="G616" i="1"/>
  <c r="F616" i="1"/>
  <c r="E616" i="1"/>
  <c r="D616" i="1"/>
  <c r="C616" i="1"/>
  <c r="B616" i="1"/>
  <c r="A616" i="1"/>
  <c r="S615" i="1"/>
  <c r="O615" i="1"/>
  <c r="K615" i="1"/>
  <c r="J615" i="1"/>
  <c r="I615" i="1"/>
  <c r="H615" i="1"/>
  <c r="G615" i="1"/>
  <c r="F615" i="1"/>
  <c r="E615" i="1"/>
  <c r="D615" i="1"/>
  <c r="C615" i="1"/>
  <c r="B615" i="1"/>
  <c r="A615" i="1"/>
  <c r="R614" i="1"/>
  <c r="J614" i="1"/>
  <c r="I614" i="1"/>
  <c r="G614" i="1"/>
  <c r="F614" i="1"/>
  <c r="E614" i="1"/>
  <c r="D614" i="1"/>
  <c r="C614" i="1"/>
  <c r="B614" i="1"/>
  <c r="A614" i="1"/>
  <c r="S613" i="1"/>
  <c r="O613" i="1"/>
  <c r="K613" i="1"/>
  <c r="J613" i="1"/>
  <c r="I613" i="1"/>
  <c r="H613" i="1"/>
  <c r="G613" i="1"/>
  <c r="F613" i="1"/>
  <c r="E613" i="1"/>
  <c r="D613" i="1"/>
  <c r="C613" i="1"/>
  <c r="B613" i="1"/>
  <c r="A613" i="1"/>
  <c r="R612" i="1"/>
  <c r="J612" i="1"/>
  <c r="I612" i="1"/>
  <c r="G612" i="1"/>
  <c r="F612" i="1"/>
  <c r="E612" i="1"/>
  <c r="D612" i="1"/>
  <c r="C612" i="1"/>
  <c r="B612" i="1"/>
  <c r="A612" i="1"/>
  <c r="S611" i="1"/>
  <c r="O611" i="1"/>
  <c r="K611" i="1"/>
  <c r="J611" i="1"/>
  <c r="I611" i="1"/>
  <c r="H611" i="1"/>
  <c r="G611" i="1"/>
  <c r="F611" i="1"/>
  <c r="E611" i="1"/>
  <c r="D611" i="1"/>
  <c r="C611" i="1"/>
  <c r="B611" i="1"/>
  <c r="A611" i="1"/>
  <c r="R610" i="1"/>
  <c r="J610" i="1"/>
  <c r="I610" i="1"/>
  <c r="G610" i="1"/>
  <c r="F610" i="1"/>
  <c r="E610" i="1"/>
  <c r="D610" i="1"/>
  <c r="C610" i="1"/>
  <c r="B610" i="1"/>
  <c r="A610" i="1"/>
  <c r="S609" i="1"/>
  <c r="O609" i="1"/>
  <c r="K609" i="1"/>
  <c r="J609" i="1"/>
  <c r="I609" i="1"/>
  <c r="H609" i="1"/>
  <c r="G609" i="1"/>
  <c r="F609" i="1"/>
  <c r="E609" i="1"/>
  <c r="D609" i="1"/>
  <c r="C609" i="1"/>
  <c r="B609" i="1"/>
  <c r="A609" i="1"/>
  <c r="R608" i="1"/>
  <c r="J608" i="1"/>
  <c r="I608" i="1"/>
  <c r="G608" i="1"/>
  <c r="F608" i="1"/>
  <c r="E608" i="1"/>
  <c r="D608" i="1"/>
  <c r="C608" i="1"/>
  <c r="B608" i="1"/>
  <c r="A608" i="1"/>
  <c r="S607" i="1"/>
  <c r="O607" i="1"/>
  <c r="K607" i="1"/>
  <c r="J607" i="1"/>
  <c r="I607" i="1"/>
  <c r="H607" i="1"/>
  <c r="G607" i="1"/>
  <c r="F607" i="1"/>
  <c r="E607" i="1"/>
  <c r="D607" i="1"/>
  <c r="C607" i="1"/>
  <c r="B607" i="1"/>
  <c r="A607" i="1"/>
  <c r="R606" i="1"/>
  <c r="J606" i="1"/>
  <c r="I606" i="1"/>
  <c r="G606" i="1"/>
  <c r="F606" i="1"/>
  <c r="E606" i="1"/>
  <c r="D606" i="1"/>
  <c r="C606" i="1"/>
  <c r="B606" i="1"/>
  <c r="A606" i="1"/>
  <c r="S605" i="1"/>
  <c r="O605" i="1"/>
  <c r="K605" i="1"/>
  <c r="J605" i="1"/>
  <c r="I605" i="1"/>
  <c r="H605" i="1"/>
  <c r="G605" i="1"/>
  <c r="F605" i="1"/>
  <c r="E605" i="1"/>
  <c r="D605" i="1"/>
  <c r="C605" i="1"/>
  <c r="B605" i="1"/>
  <c r="A605" i="1"/>
  <c r="R604" i="1"/>
  <c r="J604" i="1"/>
  <c r="I604" i="1"/>
  <c r="G604" i="1"/>
  <c r="F604" i="1"/>
  <c r="E604" i="1"/>
  <c r="D604" i="1"/>
  <c r="C604" i="1"/>
  <c r="B604" i="1"/>
  <c r="A604" i="1"/>
  <c r="S603" i="1"/>
  <c r="O603" i="1"/>
  <c r="K603" i="1"/>
  <c r="J603" i="1"/>
  <c r="I603" i="1"/>
  <c r="H603" i="1"/>
  <c r="G603" i="1"/>
  <c r="F603" i="1"/>
  <c r="E603" i="1"/>
  <c r="D603" i="1"/>
  <c r="C603" i="1"/>
  <c r="B603" i="1"/>
  <c r="A603" i="1"/>
  <c r="R602" i="1"/>
  <c r="J602" i="1"/>
  <c r="I602" i="1"/>
  <c r="G602" i="1"/>
  <c r="F602" i="1"/>
  <c r="E602" i="1"/>
  <c r="D602" i="1"/>
  <c r="C602" i="1"/>
  <c r="B602" i="1"/>
  <c r="A602" i="1"/>
  <c r="S601" i="1"/>
  <c r="O601" i="1"/>
  <c r="K601" i="1"/>
  <c r="J601" i="1"/>
  <c r="I601" i="1"/>
  <c r="H601" i="1"/>
  <c r="G601" i="1"/>
  <c r="F601" i="1"/>
  <c r="E601" i="1"/>
  <c r="D601" i="1"/>
  <c r="C601" i="1"/>
  <c r="B601" i="1"/>
  <c r="A601" i="1"/>
  <c r="R600" i="1"/>
  <c r="J600" i="1"/>
  <c r="I600" i="1"/>
  <c r="G600" i="1"/>
  <c r="F600" i="1"/>
  <c r="E600" i="1"/>
  <c r="D600" i="1"/>
  <c r="C600" i="1"/>
  <c r="B600" i="1"/>
  <c r="A600" i="1"/>
  <c r="S599" i="1"/>
  <c r="O599" i="1"/>
  <c r="K599" i="1"/>
  <c r="J599" i="1"/>
  <c r="I599" i="1"/>
  <c r="H599" i="1"/>
  <c r="G599" i="1"/>
  <c r="F599" i="1"/>
  <c r="E599" i="1"/>
  <c r="D599" i="1"/>
  <c r="C599" i="1"/>
  <c r="B599" i="1"/>
  <c r="A599" i="1"/>
  <c r="R598" i="1"/>
  <c r="J598" i="1"/>
  <c r="I598" i="1"/>
  <c r="G598" i="1"/>
  <c r="F598" i="1"/>
  <c r="E598" i="1"/>
  <c r="D598" i="1"/>
  <c r="C598" i="1"/>
  <c r="B598" i="1"/>
  <c r="A598" i="1"/>
  <c r="S597" i="1"/>
  <c r="O597" i="1"/>
  <c r="K597" i="1"/>
  <c r="J597" i="1"/>
  <c r="I597" i="1"/>
  <c r="H597" i="1"/>
  <c r="G597" i="1"/>
  <c r="F597" i="1"/>
  <c r="E597" i="1"/>
  <c r="D597" i="1"/>
  <c r="C597" i="1"/>
  <c r="B597" i="1"/>
  <c r="A597" i="1"/>
  <c r="R596" i="1"/>
  <c r="J596" i="1"/>
  <c r="I596" i="1"/>
  <c r="G596" i="1"/>
  <c r="F596" i="1"/>
  <c r="E596" i="1"/>
  <c r="D596" i="1"/>
  <c r="C596" i="1"/>
  <c r="B596" i="1"/>
  <c r="A596" i="1"/>
  <c r="S595" i="1"/>
  <c r="O595" i="1"/>
  <c r="K595" i="1"/>
  <c r="J595" i="1"/>
  <c r="I595" i="1"/>
  <c r="H595" i="1"/>
  <c r="G595" i="1"/>
  <c r="F595" i="1"/>
  <c r="E595" i="1"/>
  <c r="D595" i="1"/>
  <c r="C595" i="1"/>
  <c r="B595" i="1"/>
  <c r="A595" i="1"/>
  <c r="R594" i="1"/>
  <c r="J594" i="1"/>
  <c r="I594" i="1"/>
  <c r="G594" i="1"/>
  <c r="F594" i="1"/>
  <c r="E594" i="1"/>
  <c r="D594" i="1"/>
  <c r="C594" i="1"/>
  <c r="B594" i="1"/>
  <c r="A594" i="1"/>
  <c r="S593" i="1"/>
  <c r="O593" i="1"/>
  <c r="K593" i="1"/>
  <c r="J593" i="1"/>
  <c r="I593" i="1"/>
  <c r="H593" i="1"/>
  <c r="G593" i="1"/>
  <c r="F593" i="1"/>
  <c r="E593" i="1"/>
  <c r="D593" i="1"/>
  <c r="C593" i="1"/>
  <c r="B593" i="1"/>
  <c r="A593" i="1"/>
  <c r="R592" i="1"/>
  <c r="J592" i="1"/>
  <c r="I592" i="1"/>
  <c r="G592" i="1"/>
  <c r="F592" i="1"/>
  <c r="E592" i="1"/>
  <c r="D592" i="1"/>
  <c r="C592" i="1"/>
  <c r="B592" i="1"/>
  <c r="A592" i="1"/>
  <c r="S591" i="1"/>
  <c r="O591" i="1"/>
  <c r="K591" i="1"/>
  <c r="J591" i="1"/>
  <c r="I591" i="1"/>
  <c r="H591" i="1"/>
  <c r="G591" i="1"/>
  <c r="F591" i="1"/>
  <c r="E591" i="1"/>
  <c r="D591" i="1"/>
  <c r="C591" i="1"/>
  <c r="B591" i="1"/>
  <c r="A591" i="1"/>
  <c r="R590" i="1"/>
  <c r="J590" i="1"/>
  <c r="I590" i="1"/>
  <c r="G590" i="1"/>
  <c r="F590" i="1"/>
  <c r="E590" i="1"/>
  <c r="D590" i="1"/>
  <c r="C590" i="1"/>
  <c r="B590" i="1"/>
  <c r="A590" i="1"/>
  <c r="S589" i="1"/>
  <c r="O589" i="1"/>
  <c r="K589" i="1"/>
  <c r="J589" i="1"/>
  <c r="I589" i="1"/>
  <c r="H589" i="1"/>
  <c r="G589" i="1"/>
  <c r="F589" i="1"/>
  <c r="E589" i="1"/>
  <c r="D589" i="1"/>
  <c r="C589" i="1"/>
  <c r="B589" i="1"/>
  <c r="A589" i="1"/>
  <c r="R588" i="1"/>
  <c r="J588" i="1"/>
  <c r="I588" i="1"/>
  <c r="G588" i="1"/>
  <c r="F588" i="1"/>
  <c r="E588" i="1"/>
  <c r="D588" i="1"/>
  <c r="C588" i="1"/>
  <c r="B588" i="1"/>
  <c r="A588" i="1"/>
  <c r="S587" i="1"/>
  <c r="O587" i="1"/>
  <c r="K587" i="1"/>
  <c r="J587" i="1"/>
  <c r="I587" i="1"/>
  <c r="H587" i="1"/>
  <c r="G587" i="1"/>
  <c r="F587" i="1"/>
  <c r="E587" i="1"/>
  <c r="D587" i="1"/>
  <c r="C587" i="1"/>
  <c r="B587" i="1"/>
  <c r="A587" i="1"/>
  <c r="R586" i="1"/>
  <c r="J586" i="1"/>
  <c r="I586" i="1"/>
  <c r="G586" i="1"/>
  <c r="F586" i="1"/>
  <c r="E586" i="1"/>
  <c r="D586" i="1"/>
  <c r="C586" i="1"/>
  <c r="B586" i="1"/>
  <c r="A586" i="1"/>
  <c r="S585" i="1"/>
  <c r="O585" i="1"/>
  <c r="K585" i="1"/>
  <c r="J585" i="1"/>
  <c r="I585" i="1"/>
  <c r="H585" i="1"/>
  <c r="G585" i="1"/>
  <c r="F585" i="1"/>
  <c r="E585" i="1"/>
  <c r="D585" i="1"/>
  <c r="C585" i="1"/>
  <c r="B585" i="1"/>
  <c r="A585" i="1"/>
  <c r="R584" i="1"/>
  <c r="J584" i="1"/>
  <c r="I584" i="1"/>
  <c r="G584" i="1"/>
  <c r="F584" i="1"/>
  <c r="E584" i="1"/>
  <c r="D584" i="1"/>
  <c r="C584" i="1"/>
  <c r="B584" i="1"/>
  <c r="A584" i="1"/>
  <c r="S583" i="1"/>
  <c r="O583" i="1"/>
  <c r="K583" i="1"/>
  <c r="J583" i="1"/>
  <c r="I583" i="1"/>
  <c r="H583" i="1"/>
  <c r="G583" i="1"/>
  <c r="F583" i="1"/>
  <c r="E583" i="1"/>
  <c r="D583" i="1"/>
  <c r="C583" i="1"/>
  <c r="B583" i="1"/>
  <c r="A583" i="1"/>
  <c r="R582" i="1"/>
  <c r="J582" i="1"/>
  <c r="I582" i="1"/>
  <c r="G582" i="1"/>
  <c r="F582" i="1"/>
  <c r="E582" i="1"/>
  <c r="D582" i="1"/>
  <c r="C582" i="1"/>
  <c r="B582" i="1"/>
  <c r="A582" i="1"/>
  <c r="S581" i="1"/>
  <c r="O581" i="1"/>
  <c r="K581" i="1"/>
  <c r="J581" i="1"/>
  <c r="I581" i="1"/>
  <c r="H581" i="1"/>
  <c r="G581" i="1"/>
  <c r="F581" i="1"/>
  <c r="E581" i="1"/>
  <c r="D581" i="1"/>
  <c r="C581" i="1"/>
  <c r="B581" i="1"/>
  <c r="A581" i="1"/>
  <c r="R580" i="1"/>
  <c r="J580" i="1"/>
  <c r="I580" i="1"/>
  <c r="G580" i="1"/>
  <c r="F580" i="1"/>
  <c r="E580" i="1"/>
  <c r="D580" i="1"/>
  <c r="C580" i="1"/>
  <c r="B580" i="1"/>
  <c r="A580" i="1"/>
  <c r="S579" i="1"/>
  <c r="O579" i="1"/>
  <c r="K579" i="1"/>
  <c r="J579" i="1"/>
  <c r="I579" i="1"/>
  <c r="H579" i="1"/>
  <c r="G579" i="1"/>
  <c r="F579" i="1"/>
  <c r="E579" i="1"/>
  <c r="D579" i="1"/>
  <c r="C579" i="1"/>
  <c r="B579" i="1"/>
  <c r="A579" i="1"/>
  <c r="R578" i="1"/>
  <c r="J578" i="1"/>
  <c r="I578" i="1"/>
  <c r="G578" i="1"/>
  <c r="F578" i="1"/>
  <c r="E578" i="1"/>
  <c r="D578" i="1"/>
  <c r="C578" i="1"/>
  <c r="B578" i="1"/>
  <c r="A578" i="1"/>
  <c r="S577" i="1"/>
  <c r="O577" i="1"/>
  <c r="K577" i="1"/>
  <c r="J577" i="1"/>
  <c r="I577" i="1"/>
  <c r="H577" i="1"/>
  <c r="G577" i="1"/>
  <c r="F577" i="1"/>
  <c r="E577" i="1"/>
  <c r="D577" i="1"/>
  <c r="C577" i="1"/>
  <c r="B577" i="1"/>
  <c r="A577" i="1"/>
  <c r="R576" i="1"/>
  <c r="J576" i="1"/>
  <c r="I576" i="1"/>
  <c r="G576" i="1"/>
  <c r="F576" i="1"/>
  <c r="E576" i="1"/>
  <c r="D576" i="1"/>
  <c r="C576" i="1"/>
  <c r="B576" i="1"/>
  <c r="A576" i="1"/>
  <c r="S575" i="1"/>
  <c r="O575" i="1"/>
  <c r="K575" i="1"/>
  <c r="J575" i="1"/>
  <c r="I575" i="1"/>
  <c r="H575" i="1"/>
  <c r="G575" i="1"/>
  <c r="F575" i="1"/>
  <c r="E575" i="1"/>
  <c r="D575" i="1"/>
  <c r="C575" i="1"/>
  <c r="B575" i="1"/>
  <c r="A575" i="1"/>
  <c r="R574" i="1"/>
  <c r="J574" i="1"/>
  <c r="I574" i="1"/>
  <c r="G574" i="1"/>
  <c r="F574" i="1"/>
  <c r="E574" i="1"/>
  <c r="D574" i="1"/>
  <c r="C574" i="1"/>
  <c r="B574" i="1"/>
  <c r="A574" i="1"/>
  <c r="S573" i="1"/>
  <c r="O573" i="1"/>
  <c r="K573" i="1"/>
  <c r="J573" i="1"/>
  <c r="I573" i="1"/>
  <c r="H573" i="1"/>
  <c r="G573" i="1"/>
  <c r="F573" i="1"/>
  <c r="E573" i="1"/>
  <c r="D573" i="1"/>
  <c r="C573" i="1"/>
  <c r="B573" i="1"/>
  <c r="A573" i="1"/>
  <c r="R572" i="1"/>
  <c r="J572" i="1"/>
  <c r="I572" i="1"/>
  <c r="G572" i="1"/>
  <c r="F572" i="1"/>
  <c r="E572" i="1"/>
  <c r="D572" i="1"/>
  <c r="C572" i="1"/>
  <c r="B572" i="1"/>
  <c r="A572" i="1"/>
  <c r="S571" i="1"/>
  <c r="O571" i="1"/>
  <c r="K571" i="1"/>
  <c r="J571" i="1"/>
  <c r="I571" i="1"/>
  <c r="H571" i="1"/>
  <c r="G571" i="1"/>
  <c r="F571" i="1"/>
  <c r="E571" i="1"/>
  <c r="D571" i="1"/>
  <c r="C571" i="1"/>
  <c r="B571" i="1"/>
  <c r="A571" i="1"/>
  <c r="R570" i="1"/>
  <c r="J570" i="1"/>
  <c r="I570" i="1"/>
  <c r="G570" i="1"/>
  <c r="F570" i="1"/>
  <c r="E570" i="1"/>
  <c r="D570" i="1"/>
  <c r="C570" i="1"/>
  <c r="B570" i="1"/>
  <c r="A570" i="1"/>
  <c r="S569" i="1"/>
  <c r="O569" i="1"/>
  <c r="K569" i="1"/>
  <c r="J569" i="1"/>
  <c r="I569" i="1"/>
  <c r="H569" i="1"/>
  <c r="G569" i="1"/>
  <c r="F569" i="1"/>
  <c r="E569" i="1"/>
  <c r="D569" i="1"/>
  <c r="C569" i="1"/>
  <c r="B569" i="1"/>
  <c r="A569" i="1"/>
  <c r="R568" i="1"/>
  <c r="J568" i="1"/>
  <c r="I568" i="1"/>
  <c r="G568" i="1"/>
  <c r="F568" i="1"/>
  <c r="E568" i="1"/>
  <c r="D568" i="1"/>
  <c r="C568" i="1"/>
  <c r="B568" i="1"/>
  <c r="A568" i="1"/>
  <c r="S567" i="1"/>
  <c r="O567" i="1"/>
  <c r="K567" i="1"/>
  <c r="J567" i="1"/>
  <c r="I567" i="1"/>
  <c r="H567" i="1"/>
  <c r="G567" i="1"/>
  <c r="F567" i="1"/>
  <c r="E567" i="1"/>
  <c r="D567" i="1"/>
  <c r="C567" i="1"/>
  <c r="B567" i="1"/>
  <c r="A567" i="1"/>
  <c r="R566" i="1"/>
  <c r="J566" i="1"/>
  <c r="I566" i="1"/>
  <c r="G566" i="1"/>
  <c r="F566" i="1"/>
  <c r="E566" i="1"/>
  <c r="D566" i="1"/>
  <c r="C566" i="1"/>
  <c r="B566" i="1"/>
  <c r="A566" i="1"/>
  <c r="S565" i="1"/>
  <c r="O565" i="1"/>
  <c r="K565" i="1"/>
  <c r="J565" i="1"/>
  <c r="I565" i="1"/>
  <c r="H565" i="1"/>
  <c r="G565" i="1"/>
  <c r="F565" i="1"/>
  <c r="E565" i="1"/>
  <c r="D565" i="1"/>
  <c r="C565" i="1"/>
  <c r="B565" i="1"/>
  <c r="A565" i="1"/>
  <c r="R564" i="1"/>
  <c r="J564" i="1"/>
  <c r="I564" i="1"/>
  <c r="G564" i="1"/>
  <c r="F564" i="1"/>
  <c r="E564" i="1"/>
  <c r="D564" i="1"/>
  <c r="C564" i="1"/>
  <c r="B564" i="1"/>
  <c r="A564" i="1"/>
  <c r="S563" i="1"/>
  <c r="O563" i="1"/>
  <c r="K563" i="1"/>
  <c r="J563" i="1"/>
  <c r="I563" i="1"/>
  <c r="H563" i="1"/>
  <c r="G563" i="1"/>
  <c r="F563" i="1"/>
  <c r="E563" i="1"/>
  <c r="D563" i="1"/>
  <c r="C563" i="1"/>
  <c r="B563" i="1"/>
  <c r="A563" i="1"/>
  <c r="R562" i="1"/>
  <c r="J562" i="1"/>
  <c r="I562" i="1"/>
  <c r="G562" i="1"/>
  <c r="F562" i="1"/>
  <c r="E562" i="1"/>
  <c r="D562" i="1"/>
  <c r="C562" i="1"/>
  <c r="B562" i="1"/>
  <c r="A562" i="1"/>
  <c r="S561" i="1"/>
  <c r="O561" i="1"/>
  <c r="K561" i="1"/>
  <c r="J561" i="1"/>
  <c r="I561" i="1"/>
  <c r="H561" i="1"/>
  <c r="G561" i="1"/>
  <c r="F561" i="1"/>
  <c r="E561" i="1"/>
  <c r="D561" i="1"/>
  <c r="C561" i="1"/>
  <c r="B561" i="1"/>
  <c r="A561" i="1"/>
  <c r="R560" i="1"/>
  <c r="J560" i="1"/>
  <c r="I560" i="1"/>
  <c r="G560" i="1"/>
  <c r="F560" i="1"/>
  <c r="E560" i="1"/>
  <c r="D560" i="1"/>
  <c r="C560" i="1"/>
  <c r="B560" i="1"/>
  <c r="A560" i="1"/>
  <c r="S559" i="1"/>
  <c r="O559" i="1"/>
  <c r="K559" i="1"/>
  <c r="J559" i="1"/>
  <c r="I559" i="1"/>
  <c r="H559" i="1"/>
  <c r="G559" i="1"/>
  <c r="F559" i="1"/>
  <c r="E559" i="1"/>
  <c r="D559" i="1"/>
  <c r="C559" i="1"/>
  <c r="B559" i="1"/>
  <c r="A559" i="1"/>
  <c r="R558" i="1"/>
  <c r="J558" i="1"/>
  <c r="I558" i="1"/>
  <c r="G558" i="1"/>
  <c r="F558" i="1"/>
  <c r="E558" i="1"/>
  <c r="D558" i="1"/>
  <c r="C558" i="1"/>
  <c r="B558" i="1"/>
  <c r="A558" i="1"/>
  <c r="S557" i="1"/>
  <c r="O557" i="1"/>
  <c r="K557" i="1"/>
  <c r="J557" i="1"/>
  <c r="I557" i="1"/>
  <c r="H557" i="1"/>
  <c r="G557" i="1"/>
  <c r="F557" i="1"/>
  <c r="E557" i="1"/>
  <c r="D557" i="1"/>
  <c r="C557" i="1"/>
  <c r="B557" i="1"/>
  <c r="A557" i="1"/>
  <c r="R556" i="1"/>
  <c r="J556" i="1"/>
  <c r="I556" i="1"/>
  <c r="G556" i="1"/>
  <c r="F556" i="1"/>
  <c r="E556" i="1"/>
  <c r="D556" i="1"/>
  <c r="C556" i="1"/>
  <c r="B556" i="1"/>
  <c r="A556" i="1"/>
  <c r="R555" i="1"/>
  <c r="J555" i="1"/>
  <c r="I555" i="1"/>
  <c r="G555" i="1"/>
  <c r="F555" i="1"/>
  <c r="E555" i="1"/>
  <c r="D555" i="1"/>
  <c r="C555" i="1"/>
  <c r="B555" i="1"/>
  <c r="A555" i="1"/>
  <c r="S554" i="1"/>
  <c r="O554" i="1"/>
  <c r="K554" i="1"/>
  <c r="J554" i="1"/>
  <c r="I554" i="1"/>
  <c r="H554" i="1"/>
  <c r="G554" i="1"/>
  <c r="F554" i="1"/>
  <c r="E554" i="1"/>
  <c r="D554" i="1"/>
  <c r="C554" i="1"/>
  <c r="B554" i="1"/>
  <c r="A554" i="1"/>
  <c r="R553" i="1"/>
  <c r="J553" i="1"/>
  <c r="I553" i="1"/>
  <c r="G553" i="1"/>
  <c r="F553" i="1"/>
  <c r="E553" i="1"/>
  <c r="D553" i="1"/>
  <c r="C553" i="1"/>
  <c r="B553" i="1"/>
  <c r="A553" i="1"/>
  <c r="S552" i="1"/>
  <c r="O552" i="1"/>
  <c r="K552" i="1"/>
  <c r="J552" i="1"/>
  <c r="I552" i="1"/>
  <c r="H552" i="1"/>
  <c r="G552" i="1"/>
  <c r="F552" i="1"/>
  <c r="E552" i="1"/>
  <c r="D552" i="1"/>
  <c r="C552" i="1"/>
  <c r="B552" i="1"/>
  <c r="A552" i="1"/>
  <c r="R551" i="1"/>
  <c r="J551" i="1"/>
  <c r="I551" i="1"/>
  <c r="G551" i="1"/>
  <c r="F551" i="1"/>
  <c r="E551" i="1"/>
  <c r="D551" i="1"/>
  <c r="C551" i="1"/>
  <c r="B551" i="1"/>
  <c r="A551" i="1"/>
  <c r="S550" i="1"/>
  <c r="O550" i="1"/>
  <c r="K550" i="1"/>
  <c r="J550" i="1"/>
  <c r="I550" i="1"/>
  <c r="H550" i="1"/>
  <c r="G550" i="1"/>
  <c r="F550" i="1"/>
  <c r="E550" i="1"/>
  <c r="D550" i="1"/>
  <c r="C550" i="1"/>
  <c r="B550" i="1"/>
  <c r="A550" i="1"/>
  <c r="R549" i="1"/>
  <c r="J549" i="1"/>
  <c r="I549" i="1"/>
  <c r="G549" i="1"/>
  <c r="F549" i="1"/>
  <c r="E549" i="1"/>
  <c r="D549" i="1"/>
  <c r="C549" i="1"/>
  <c r="B549" i="1"/>
  <c r="A549" i="1"/>
  <c r="S548" i="1"/>
  <c r="O548" i="1"/>
  <c r="K548" i="1"/>
  <c r="J548" i="1"/>
  <c r="I548" i="1"/>
  <c r="H548" i="1"/>
  <c r="G548" i="1"/>
  <c r="F548" i="1"/>
  <c r="E548" i="1"/>
  <c r="D548" i="1"/>
  <c r="C548" i="1"/>
  <c r="B548" i="1"/>
  <c r="A548" i="1"/>
  <c r="R547" i="1"/>
  <c r="J547" i="1"/>
  <c r="I547" i="1"/>
  <c r="G547" i="1"/>
  <c r="F547" i="1"/>
  <c r="E547" i="1"/>
  <c r="D547" i="1"/>
  <c r="C547" i="1"/>
  <c r="B547" i="1"/>
  <c r="A547" i="1"/>
  <c r="S546" i="1"/>
  <c r="O546" i="1"/>
  <c r="K546" i="1"/>
  <c r="J546" i="1"/>
  <c r="I546" i="1"/>
  <c r="H546" i="1"/>
  <c r="G546" i="1"/>
  <c r="F546" i="1"/>
  <c r="E546" i="1"/>
  <c r="D546" i="1"/>
  <c r="C546" i="1"/>
  <c r="B546" i="1"/>
  <c r="A546" i="1"/>
  <c r="R545" i="1"/>
  <c r="J545" i="1"/>
  <c r="I545" i="1"/>
  <c r="G545" i="1"/>
  <c r="F545" i="1"/>
  <c r="E545" i="1"/>
  <c r="D545" i="1"/>
  <c r="C545" i="1"/>
  <c r="B545" i="1"/>
  <c r="A545" i="1"/>
  <c r="S544" i="1"/>
  <c r="O544" i="1"/>
  <c r="K544" i="1"/>
  <c r="J544" i="1"/>
  <c r="I544" i="1"/>
  <c r="H544" i="1"/>
  <c r="G544" i="1"/>
  <c r="F544" i="1"/>
  <c r="E544" i="1"/>
  <c r="D544" i="1"/>
  <c r="C544" i="1"/>
  <c r="B544" i="1"/>
  <c r="A544" i="1"/>
  <c r="R543" i="1"/>
  <c r="J543" i="1"/>
  <c r="I543" i="1"/>
  <c r="G543" i="1"/>
  <c r="F543" i="1"/>
  <c r="E543" i="1"/>
  <c r="D543" i="1"/>
  <c r="C543" i="1"/>
  <c r="B543" i="1"/>
  <c r="A543" i="1"/>
  <c r="S542" i="1"/>
  <c r="O542" i="1"/>
  <c r="K542" i="1"/>
  <c r="J542" i="1"/>
  <c r="I542" i="1"/>
  <c r="H542" i="1"/>
  <c r="G542" i="1"/>
  <c r="F542" i="1"/>
  <c r="E542" i="1"/>
  <c r="D542" i="1"/>
  <c r="C542" i="1"/>
  <c r="B542" i="1"/>
  <c r="A542" i="1"/>
  <c r="R541" i="1"/>
  <c r="J541" i="1"/>
  <c r="I541" i="1"/>
  <c r="G541" i="1"/>
  <c r="F541" i="1"/>
  <c r="E541" i="1"/>
  <c r="D541" i="1"/>
  <c r="C541" i="1"/>
  <c r="B541" i="1"/>
  <c r="A541" i="1"/>
  <c r="S540" i="1"/>
  <c r="O540" i="1"/>
  <c r="K540" i="1"/>
  <c r="J540" i="1"/>
  <c r="I540" i="1"/>
  <c r="H540" i="1"/>
  <c r="G540" i="1"/>
  <c r="F540" i="1"/>
  <c r="E540" i="1"/>
  <c r="D540" i="1"/>
  <c r="C540" i="1"/>
  <c r="B540" i="1"/>
  <c r="A540" i="1"/>
  <c r="R539" i="1"/>
  <c r="J539" i="1"/>
  <c r="I539" i="1"/>
  <c r="G539" i="1"/>
  <c r="F539" i="1"/>
  <c r="E539" i="1"/>
  <c r="D539" i="1"/>
  <c r="C539" i="1"/>
  <c r="B539" i="1"/>
  <c r="A539" i="1"/>
  <c r="S538" i="1"/>
  <c r="O538" i="1"/>
  <c r="K538" i="1"/>
  <c r="J538" i="1"/>
  <c r="I538" i="1"/>
  <c r="H538" i="1"/>
  <c r="G538" i="1"/>
  <c r="F538" i="1"/>
  <c r="E538" i="1"/>
  <c r="D538" i="1"/>
  <c r="C538" i="1"/>
  <c r="B538" i="1"/>
  <c r="A538" i="1"/>
  <c r="R537" i="1"/>
  <c r="J537" i="1"/>
  <c r="I537" i="1"/>
  <c r="G537" i="1"/>
  <c r="F537" i="1"/>
  <c r="E537" i="1"/>
  <c r="D537" i="1"/>
  <c r="C537" i="1"/>
  <c r="B537" i="1"/>
  <c r="A537" i="1"/>
  <c r="S536" i="1"/>
  <c r="O536" i="1"/>
  <c r="K536" i="1"/>
  <c r="J536" i="1"/>
  <c r="I536" i="1"/>
  <c r="H536" i="1"/>
  <c r="G536" i="1"/>
  <c r="F536" i="1"/>
  <c r="E536" i="1"/>
  <c r="D536" i="1"/>
  <c r="C536" i="1"/>
  <c r="B536" i="1"/>
  <c r="A536" i="1"/>
  <c r="R535" i="1"/>
  <c r="J535" i="1"/>
  <c r="I535" i="1"/>
  <c r="G535" i="1"/>
  <c r="F535" i="1"/>
  <c r="E535" i="1"/>
  <c r="D535" i="1"/>
  <c r="C535" i="1"/>
  <c r="B535" i="1"/>
  <c r="A535" i="1"/>
  <c r="S534" i="1"/>
  <c r="O534" i="1"/>
  <c r="K534" i="1"/>
  <c r="J534" i="1"/>
  <c r="I534" i="1"/>
  <c r="H534" i="1"/>
  <c r="G534" i="1"/>
  <c r="F534" i="1"/>
  <c r="E534" i="1"/>
  <c r="D534" i="1"/>
  <c r="C534" i="1"/>
  <c r="B534" i="1"/>
  <c r="A534" i="1"/>
  <c r="R533" i="1"/>
  <c r="J533" i="1"/>
  <c r="I533" i="1"/>
  <c r="G533" i="1"/>
  <c r="F533" i="1"/>
  <c r="E533" i="1"/>
  <c r="D533" i="1"/>
  <c r="C533" i="1"/>
  <c r="B533" i="1"/>
  <c r="A533" i="1"/>
  <c r="S532" i="1"/>
  <c r="O532" i="1"/>
  <c r="K532" i="1"/>
  <c r="J532" i="1"/>
  <c r="I532" i="1"/>
  <c r="H532" i="1"/>
  <c r="G532" i="1"/>
  <c r="F532" i="1"/>
  <c r="E532" i="1"/>
  <c r="D532" i="1"/>
  <c r="C532" i="1"/>
  <c r="B532" i="1"/>
  <c r="A532" i="1"/>
  <c r="R531" i="1"/>
  <c r="J531" i="1"/>
  <c r="I531" i="1"/>
  <c r="G531" i="1"/>
  <c r="F531" i="1"/>
  <c r="E531" i="1"/>
  <c r="D531" i="1"/>
  <c r="C531" i="1"/>
  <c r="B531" i="1"/>
  <c r="A531" i="1"/>
  <c r="S530" i="1"/>
  <c r="O530" i="1"/>
  <c r="K530" i="1"/>
  <c r="J530" i="1"/>
  <c r="I530" i="1"/>
  <c r="H530" i="1"/>
  <c r="G530" i="1"/>
  <c r="F530" i="1"/>
  <c r="E530" i="1"/>
  <c r="D530" i="1"/>
  <c r="C530" i="1"/>
  <c r="B530" i="1"/>
  <c r="A530" i="1"/>
  <c r="R529" i="1"/>
  <c r="J529" i="1"/>
  <c r="I529" i="1"/>
  <c r="G529" i="1"/>
  <c r="F529" i="1"/>
  <c r="E529" i="1"/>
  <c r="D529" i="1"/>
  <c r="C529" i="1"/>
  <c r="B529" i="1"/>
  <c r="A529" i="1"/>
  <c r="S528" i="1"/>
  <c r="O528" i="1"/>
  <c r="K528" i="1"/>
  <c r="J528" i="1"/>
  <c r="I528" i="1"/>
  <c r="H528" i="1"/>
  <c r="G528" i="1"/>
  <c r="F528" i="1"/>
  <c r="E528" i="1"/>
  <c r="D528" i="1"/>
  <c r="C528" i="1"/>
  <c r="B528" i="1"/>
  <c r="A528" i="1"/>
  <c r="R527" i="1"/>
  <c r="J527" i="1"/>
  <c r="I527" i="1"/>
  <c r="G527" i="1"/>
  <c r="F527" i="1"/>
  <c r="E527" i="1"/>
  <c r="D527" i="1"/>
  <c r="C527" i="1"/>
  <c r="B527" i="1"/>
  <c r="A527" i="1"/>
  <c r="S526" i="1"/>
  <c r="O526" i="1"/>
  <c r="K526" i="1"/>
  <c r="J526" i="1"/>
  <c r="I526" i="1"/>
  <c r="H526" i="1"/>
  <c r="G526" i="1"/>
  <c r="F526" i="1"/>
  <c r="E526" i="1"/>
  <c r="D526" i="1"/>
  <c r="C526" i="1"/>
  <c r="B526" i="1"/>
  <c r="A526" i="1"/>
  <c r="R525" i="1"/>
  <c r="J525" i="1"/>
  <c r="I525" i="1"/>
  <c r="G525" i="1"/>
  <c r="F525" i="1"/>
  <c r="E525" i="1"/>
  <c r="D525" i="1"/>
  <c r="C525" i="1"/>
  <c r="B525" i="1"/>
  <c r="A525" i="1"/>
  <c r="S524" i="1"/>
  <c r="O524" i="1"/>
  <c r="K524" i="1"/>
  <c r="J524" i="1"/>
  <c r="I524" i="1"/>
  <c r="H524" i="1"/>
  <c r="G524" i="1"/>
  <c r="F524" i="1"/>
  <c r="E524" i="1"/>
  <c r="D524" i="1"/>
  <c r="C524" i="1"/>
  <c r="B524" i="1"/>
  <c r="A524" i="1"/>
  <c r="R523" i="1"/>
  <c r="J523" i="1"/>
  <c r="I523" i="1"/>
  <c r="G523" i="1"/>
  <c r="F523" i="1"/>
  <c r="E523" i="1"/>
  <c r="D523" i="1"/>
  <c r="C523" i="1"/>
  <c r="B523" i="1"/>
  <c r="A523" i="1"/>
  <c r="S522" i="1"/>
  <c r="O522" i="1"/>
  <c r="K522" i="1"/>
  <c r="J522" i="1"/>
  <c r="I522" i="1"/>
  <c r="H522" i="1"/>
  <c r="G522" i="1"/>
  <c r="F522" i="1"/>
  <c r="E522" i="1"/>
  <c r="D522" i="1"/>
  <c r="C522" i="1"/>
  <c r="B522" i="1"/>
  <c r="A522" i="1"/>
  <c r="R521" i="1"/>
  <c r="J521" i="1"/>
  <c r="I521" i="1"/>
  <c r="G521" i="1"/>
  <c r="F521" i="1"/>
  <c r="E521" i="1"/>
  <c r="D521" i="1"/>
  <c r="C521" i="1"/>
  <c r="B521" i="1"/>
  <c r="A521" i="1"/>
  <c r="S520" i="1"/>
  <c r="O520" i="1"/>
  <c r="K520" i="1"/>
  <c r="J520" i="1"/>
  <c r="I520" i="1"/>
  <c r="H520" i="1"/>
  <c r="G520" i="1"/>
  <c r="F520" i="1"/>
  <c r="E520" i="1"/>
  <c r="D520" i="1"/>
  <c r="C520" i="1"/>
  <c r="B520" i="1"/>
  <c r="A520" i="1"/>
  <c r="R519" i="1"/>
  <c r="J519" i="1"/>
  <c r="I519" i="1"/>
  <c r="G519" i="1"/>
  <c r="F519" i="1"/>
  <c r="E519" i="1"/>
  <c r="D519" i="1"/>
  <c r="C519" i="1"/>
  <c r="B519" i="1"/>
  <c r="A519" i="1"/>
  <c r="S518" i="1"/>
  <c r="O518" i="1"/>
  <c r="K518" i="1"/>
  <c r="J518" i="1"/>
  <c r="I518" i="1"/>
  <c r="H518" i="1"/>
  <c r="G518" i="1"/>
  <c r="F518" i="1"/>
  <c r="E518" i="1"/>
  <c r="D518" i="1"/>
  <c r="C518" i="1"/>
  <c r="B518" i="1"/>
  <c r="A518" i="1"/>
  <c r="R517" i="1"/>
  <c r="J517" i="1"/>
  <c r="I517" i="1"/>
  <c r="G517" i="1"/>
  <c r="F517" i="1"/>
  <c r="E517" i="1"/>
  <c r="D517" i="1"/>
  <c r="C517" i="1"/>
  <c r="B517" i="1"/>
  <c r="A517" i="1"/>
  <c r="S516" i="1"/>
  <c r="O516" i="1"/>
  <c r="K516" i="1"/>
  <c r="J516" i="1"/>
  <c r="I516" i="1"/>
  <c r="H516" i="1"/>
  <c r="G516" i="1"/>
  <c r="F516" i="1"/>
  <c r="E516" i="1"/>
  <c r="D516" i="1"/>
  <c r="C516" i="1"/>
  <c r="B516" i="1"/>
  <c r="A516" i="1"/>
  <c r="R515" i="1"/>
  <c r="J515" i="1"/>
  <c r="I515" i="1"/>
  <c r="G515" i="1"/>
  <c r="F515" i="1"/>
  <c r="E515" i="1"/>
  <c r="D515" i="1"/>
  <c r="C515" i="1"/>
  <c r="B515" i="1"/>
  <c r="A515" i="1"/>
  <c r="S514" i="1"/>
  <c r="O514" i="1"/>
  <c r="K514" i="1"/>
  <c r="J514" i="1"/>
  <c r="I514" i="1"/>
  <c r="H514" i="1"/>
  <c r="G514" i="1"/>
  <c r="F514" i="1"/>
  <c r="E514" i="1"/>
  <c r="D514" i="1"/>
  <c r="C514" i="1"/>
  <c r="B514" i="1"/>
  <c r="A514" i="1"/>
  <c r="R513" i="1"/>
  <c r="J513" i="1"/>
  <c r="I513" i="1"/>
  <c r="G513" i="1"/>
  <c r="F513" i="1"/>
  <c r="E513" i="1"/>
  <c r="D513" i="1"/>
  <c r="C513" i="1"/>
  <c r="B513" i="1"/>
  <c r="A513" i="1"/>
  <c r="S512" i="1"/>
  <c r="O512" i="1"/>
  <c r="K512" i="1"/>
  <c r="J512" i="1"/>
  <c r="I512" i="1"/>
  <c r="H512" i="1"/>
  <c r="G512" i="1"/>
  <c r="F512" i="1"/>
  <c r="E512" i="1"/>
  <c r="D512" i="1"/>
  <c r="C512" i="1"/>
  <c r="B512" i="1"/>
  <c r="A512" i="1"/>
  <c r="R511" i="1"/>
  <c r="J511" i="1"/>
  <c r="I511" i="1"/>
  <c r="G511" i="1"/>
  <c r="F511" i="1"/>
  <c r="E511" i="1"/>
  <c r="D511" i="1"/>
  <c r="C511" i="1"/>
  <c r="B511" i="1"/>
  <c r="A511" i="1"/>
  <c r="S510" i="1"/>
  <c r="O510" i="1"/>
  <c r="K510" i="1"/>
  <c r="J510" i="1"/>
  <c r="I510" i="1"/>
  <c r="H510" i="1"/>
  <c r="G510" i="1"/>
  <c r="F510" i="1"/>
  <c r="E510" i="1"/>
  <c r="D510" i="1"/>
  <c r="C510" i="1"/>
  <c r="B510" i="1"/>
  <c r="A510" i="1"/>
  <c r="R509" i="1"/>
  <c r="J509" i="1"/>
  <c r="I509" i="1"/>
  <c r="G509" i="1"/>
  <c r="F509" i="1"/>
  <c r="E509" i="1"/>
  <c r="D509" i="1"/>
  <c r="C509" i="1"/>
  <c r="B509" i="1"/>
  <c r="A509" i="1"/>
  <c r="S508" i="1"/>
  <c r="O508" i="1"/>
  <c r="K508" i="1"/>
  <c r="J508" i="1"/>
  <c r="I508" i="1"/>
  <c r="H508" i="1"/>
  <c r="G508" i="1"/>
  <c r="F508" i="1"/>
  <c r="E508" i="1"/>
  <c r="D508" i="1"/>
  <c r="C508" i="1"/>
  <c r="B508" i="1"/>
  <c r="A508" i="1"/>
  <c r="S507" i="1"/>
  <c r="O507" i="1"/>
  <c r="K507" i="1"/>
  <c r="J507" i="1"/>
  <c r="I507" i="1"/>
  <c r="H507" i="1"/>
  <c r="G507" i="1"/>
  <c r="F507" i="1"/>
  <c r="E507" i="1"/>
  <c r="D507" i="1"/>
  <c r="C507" i="1"/>
  <c r="B507" i="1"/>
  <c r="A507" i="1"/>
  <c r="R506" i="1"/>
  <c r="J506" i="1"/>
  <c r="I506" i="1"/>
  <c r="G506" i="1"/>
  <c r="F506" i="1"/>
  <c r="E506" i="1"/>
  <c r="D506" i="1"/>
  <c r="C506" i="1"/>
  <c r="B506" i="1"/>
  <c r="A506" i="1"/>
  <c r="S505" i="1"/>
  <c r="O505" i="1"/>
  <c r="K505" i="1"/>
  <c r="J505" i="1"/>
  <c r="I505" i="1"/>
  <c r="H505" i="1"/>
  <c r="G505" i="1"/>
  <c r="F505" i="1"/>
  <c r="E505" i="1"/>
  <c r="D505" i="1"/>
  <c r="C505" i="1"/>
  <c r="B505" i="1"/>
  <c r="A505" i="1"/>
  <c r="R504" i="1"/>
  <c r="J504" i="1"/>
  <c r="I504" i="1"/>
  <c r="G504" i="1"/>
  <c r="F504" i="1"/>
  <c r="E504" i="1"/>
  <c r="D504" i="1"/>
  <c r="C504" i="1"/>
  <c r="B504" i="1"/>
  <c r="A504" i="1"/>
  <c r="S503" i="1"/>
  <c r="O503" i="1"/>
  <c r="K503" i="1"/>
  <c r="J503" i="1"/>
  <c r="I503" i="1"/>
  <c r="H503" i="1"/>
  <c r="G503" i="1"/>
  <c r="F503" i="1"/>
  <c r="E503" i="1"/>
  <c r="D503" i="1"/>
  <c r="C503" i="1"/>
  <c r="B503" i="1"/>
  <c r="A503" i="1"/>
  <c r="R502" i="1"/>
  <c r="J502" i="1"/>
  <c r="I502" i="1"/>
  <c r="G502" i="1"/>
  <c r="F502" i="1"/>
  <c r="E502" i="1"/>
  <c r="D502" i="1"/>
  <c r="C502" i="1"/>
  <c r="B502" i="1"/>
  <c r="A502" i="1"/>
  <c r="S501" i="1"/>
  <c r="O501" i="1"/>
  <c r="K501" i="1"/>
  <c r="J501" i="1"/>
  <c r="I501" i="1"/>
  <c r="H501" i="1"/>
  <c r="G501" i="1"/>
  <c r="F501" i="1"/>
  <c r="E501" i="1"/>
  <c r="D501" i="1"/>
  <c r="C501" i="1"/>
  <c r="B501" i="1"/>
  <c r="A501" i="1"/>
  <c r="R500" i="1"/>
  <c r="J500" i="1"/>
  <c r="I500" i="1"/>
  <c r="G500" i="1"/>
  <c r="F500" i="1"/>
  <c r="E500" i="1"/>
  <c r="D500" i="1"/>
  <c r="C500" i="1"/>
  <c r="B500" i="1"/>
  <c r="A500" i="1"/>
  <c r="S499" i="1"/>
  <c r="O499" i="1"/>
  <c r="K499" i="1"/>
  <c r="J499" i="1"/>
  <c r="I499" i="1"/>
  <c r="H499" i="1"/>
  <c r="G499" i="1"/>
  <c r="F499" i="1"/>
  <c r="E499" i="1"/>
  <c r="D499" i="1"/>
  <c r="C499" i="1"/>
  <c r="B499" i="1"/>
  <c r="A499" i="1"/>
  <c r="R498" i="1"/>
  <c r="J498" i="1"/>
  <c r="I498" i="1"/>
  <c r="G498" i="1"/>
  <c r="F498" i="1"/>
  <c r="E498" i="1"/>
  <c r="D498" i="1"/>
  <c r="C498" i="1"/>
  <c r="B498" i="1"/>
  <c r="A498" i="1"/>
  <c r="S497" i="1"/>
  <c r="O497" i="1"/>
  <c r="K497" i="1"/>
  <c r="J497" i="1"/>
  <c r="I497" i="1"/>
  <c r="H497" i="1"/>
  <c r="G497" i="1"/>
  <c r="F497" i="1"/>
  <c r="E497" i="1"/>
  <c r="D497" i="1"/>
  <c r="C497" i="1"/>
  <c r="B497" i="1"/>
  <c r="A497" i="1"/>
  <c r="R496" i="1"/>
  <c r="J496" i="1"/>
  <c r="I496" i="1"/>
  <c r="G496" i="1"/>
  <c r="F496" i="1"/>
  <c r="E496" i="1"/>
  <c r="D496" i="1"/>
  <c r="C496" i="1"/>
  <c r="B496" i="1"/>
  <c r="A496" i="1"/>
  <c r="R495" i="1"/>
  <c r="J495" i="1"/>
  <c r="I495" i="1"/>
  <c r="G495" i="1"/>
  <c r="F495" i="1"/>
  <c r="E495" i="1"/>
  <c r="D495" i="1"/>
  <c r="C495" i="1"/>
  <c r="B495" i="1"/>
  <c r="A495" i="1"/>
  <c r="S494" i="1"/>
  <c r="O494" i="1"/>
  <c r="K494" i="1"/>
  <c r="J494" i="1"/>
  <c r="I494" i="1"/>
  <c r="H494" i="1"/>
  <c r="G494" i="1"/>
  <c r="F494" i="1"/>
  <c r="E494" i="1"/>
  <c r="D494" i="1"/>
  <c r="C494" i="1"/>
  <c r="B494" i="1"/>
  <c r="A494" i="1"/>
  <c r="R493" i="1"/>
  <c r="J493" i="1"/>
  <c r="I493" i="1"/>
  <c r="G493" i="1"/>
  <c r="F493" i="1"/>
  <c r="E493" i="1"/>
  <c r="D493" i="1"/>
  <c r="C493" i="1"/>
  <c r="B493" i="1"/>
  <c r="A493" i="1"/>
  <c r="S492" i="1"/>
  <c r="O492" i="1"/>
  <c r="K492" i="1"/>
  <c r="J492" i="1"/>
  <c r="I492" i="1"/>
  <c r="H492" i="1"/>
  <c r="G492" i="1"/>
  <c r="F492" i="1"/>
  <c r="E492" i="1"/>
  <c r="D492" i="1"/>
  <c r="C492" i="1"/>
  <c r="B492" i="1"/>
  <c r="A492" i="1"/>
  <c r="R491" i="1"/>
  <c r="J491" i="1"/>
  <c r="I491" i="1"/>
  <c r="G491" i="1"/>
  <c r="F491" i="1"/>
  <c r="E491" i="1"/>
  <c r="D491" i="1"/>
  <c r="C491" i="1"/>
  <c r="B491" i="1"/>
  <c r="A491" i="1"/>
  <c r="S490" i="1"/>
  <c r="O490" i="1"/>
  <c r="K490" i="1"/>
  <c r="J490" i="1"/>
  <c r="I490" i="1"/>
  <c r="H490" i="1"/>
  <c r="G490" i="1"/>
  <c r="F490" i="1"/>
  <c r="E490" i="1"/>
  <c r="D490" i="1"/>
  <c r="C490" i="1"/>
  <c r="B490" i="1"/>
  <c r="A490" i="1"/>
  <c r="R489" i="1"/>
  <c r="J489" i="1"/>
  <c r="I489" i="1"/>
  <c r="G489" i="1"/>
  <c r="F489" i="1"/>
  <c r="E489" i="1"/>
  <c r="D489" i="1"/>
  <c r="C489" i="1"/>
  <c r="B489" i="1"/>
  <c r="A489" i="1"/>
  <c r="S488" i="1"/>
  <c r="O488" i="1"/>
  <c r="K488" i="1"/>
  <c r="J488" i="1"/>
  <c r="I488" i="1"/>
  <c r="H488" i="1"/>
  <c r="G488" i="1"/>
  <c r="F488" i="1"/>
  <c r="E488" i="1"/>
  <c r="D488" i="1"/>
  <c r="C488" i="1"/>
  <c r="B488" i="1"/>
  <c r="A488" i="1"/>
  <c r="R487" i="1"/>
  <c r="J487" i="1"/>
  <c r="I487" i="1"/>
  <c r="G487" i="1"/>
  <c r="F487" i="1"/>
  <c r="E487" i="1"/>
  <c r="D487" i="1"/>
  <c r="C487" i="1"/>
  <c r="B487" i="1"/>
  <c r="A487" i="1"/>
  <c r="S486" i="1"/>
  <c r="O486" i="1"/>
  <c r="K486" i="1"/>
  <c r="J486" i="1"/>
  <c r="I486" i="1"/>
  <c r="H486" i="1"/>
  <c r="G486" i="1"/>
  <c r="F486" i="1"/>
  <c r="E486" i="1"/>
  <c r="D486" i="1"/>
  <c r="C486" i="1"/>
  <c r="B486" i="1"/>
  <c r="A486" i="1"/>
  <c r="R485" i="1"/>
  <c r="J485" i="1"/>
  <c r="I485" i="1"/>
  <c r="G485" i="1"/>
  <c r="F485" i="1"/>
  <c r="E485" i="1"/>
  <c r="D485" i="1"/>
  <c r="C485" i="1"/>
  <c r="B485" i="1"/>
  <c r="A485" i="1"/>
  <c r="S484" i="1"/>
  <c r="O484" i="1"/>
  <c r="K484" i="1"/>
  <c r="J484" i="1"/>
  <c r="I484" i="1"/>
  <c r="H484" i="1"/>
  <c r="G484" i="1"/>
  <c r="F484" i="1"/>
  <c r="E484" i="1"/>
  <c r="D484" i="1"/>
  <c r="C484" i="1"/>
  <c r="B484" i="1"/>
  <c r="A484" i="1"/>
  <c r="R483" i="1"/>
  <c r="J483" i="1"/>
  <c r="I483" i="1"/>
  <c r="G483" i="1"/>
  <c r="F483" i="1"/>
  <c r="E483" i="1"/>
  <c r="D483" i="1"/>
  <c r="C483" i="1"/>
  <c r="B483" i="1"/>
  <c r="A483" i="1"/>
  <c r="S482" i="1"/>
  <c r="O482" i="1"/>
  <c r="K482" i="1"/>
  <c r="J482" i="1"/>
  <c r="I482" i="1"/>
  <c r="H482" i="1"/>
  <c r="G482" i="1"/>
  <c r="F482" i="1"/>
  <c r="E482" i="1"/>
  <c r="D482" i="1"/>
  <c r="C482" i="1"/>
  <c r="B482" i="1"/>
  <c r="A482" i="1"/>
  <c r="R481" i="1"/>
  <c r="J481" i="1"/>
  <c r="I481" i="1"/>
  <c r="G481" i="1"/>
  <c r="F481" i="1"/>
  <c r="E481" i="1"/>
  <c r="D481" i="1"/>
  <c r="C481" i="1"/>
  <c r="B481" i="1"/>
  <c r="A481" i="1"/>
  <c r="R480" i="1"/>
  <c r="J480" i="1"/>
  <c r="I480" i="1"/>
  <c r="G480" i="1"/>
  <c r="F480" i="1"/>
  <c r="E480" i="1"/>
  <c r="D480" i="1"/>
  <c r="C480" i="1"/>
  <c r="B480" i="1"/>
  <c r="A480" i="1"/>
  <c r="S479" i="1"/>
  <c r="O479" i="1"/>
  <c r="K479" i="1"/>
  <c r="J479" i="1"/>
  <c r="I479" i="1"/>
  <c r="H479" i="1"/>
  <c r="G479" i="1"/>
  <c r="F479" i="1"/>
  <c r="E479" i="1"/>
  <c r="D479" i="1"/>
  <c r="C479" i="1"/>
  <c r="B479" i="1"/>
  <c r="A479" i="1"/>
  <c r="R478" i="1"/>
  <c r="J478" i="1"/>
  <c r="I478" i="1"/>
  <c r="G478" i="1"/>
  <c r="F478" i="1"/>
  <c r="E478" i="1"/>
  <c r="D478" i="1"/>
  <c r="C478" i="1"/>
  <c r="B478" i="1"/>
  <c r="A478" i="1"/>
  <c r="S477" i="1"/>
  <c r="O477" i="1"/>
  <c r="K477" i="1"/>
  <c r="J477" i="1"/>
  <c r="I477" i="1"/>
  <c r="H477" i="1"/>
  <c r="G477" i="1"/>
  <c r="F477" i="1"/>
  <c r="E477" i="1"/>
  <c r="D477" i="1"/>
  <c r="C477" i="1"/>
  <c r="B477" i="1"/>
  <c r="A477" i="1"/>
  <c r="R476" i="1"/>
  <c r="J476" i="1"/>
  <c r="I476" i="1"/>
  <c r="G476" i="1"/>
  <c r="F476" i="1"/>
  <c r="E476" i="1"/>
  <c r="D476" i="1"/>
  <c r="C476" i="1"/>
  <c r="B476" i="1"/>
  <c r="A476" i="1"/>
  <c r="S475" i="1"/>
  <c r="O475" i="1"/>
  <c r="K475" i="1"/>
  <c r="J475" i="1"/>
  <c r="I475" i="1"/>
  <c r="H475" i="1"/>
  <c r="G475" i="1"/>
  <c r="F475" i="1"/>
  <c r="E475" i="1"/>
  <c r="D475" i="1"/>
  <c r="C475" i="1"/>
  <c r="B475" i="1"/>
  <c r="A475" i="1"/>
  <c r="R474" i="1"/>
  <c r="J474" i="1"/>
  <c r="I474" i="1"/>
  <c r="G474" i="1"/>
  <c r="F474" i="1"/>
  <c r="E474" i="1"/>
  <c r="D474" i="1"/>
  <c r="C474" i="1"/>
  <c r="B474" i="1"/>
  <c r="A474" i="1"/>
  <c r="R473" i="1"/>
  <c r="J473" i="1"/>
  <c r="I473" i="1"/>
  <c r="G473" i="1"/>
  <c r="F473" i="1"/>
  <c r="E473" i="1"/>
  <c r="D473" i="1"/>
  <c r="C473" i="1"/>
  <c r="B473" i="1"/>
  <c r="A473" i="1"/>
  <c r="S472" i="1"/>
  <c r="O472" i="1"/>
  <c r="K472" i="1"/>
  <c r="J472" i="1"/>
  <c r="I472" i="1"/>
  <c r="H472" i="1"/>
  <c r="G472" i="1"/>
  <c r="F472" i="1"/>
  <c r="E472" i="1"/>
  <c r="D472" i="1"/>
  <c r="C472" i="1"/>
  <c r="B472" i="1"/>
  <c r="A472" i="1"/>
  <c r="R471" i="1"/>
  <c r="J471" i="1"/>
  <c r="I471" i="1"/>
  <c r="G471" i="1"/>
  <c r="F471" i="1"/>
  <c r="E471" i="1"/>
  <c r="D471" i="1"/>
  <c r="C471" i="1"/>
  <c r="B471" i="1"/>
  <c r="A471" i="1"/>
  <c r="S470" i="1"/>
  <c r="O470" i="1"/>
  <c r="K470" i="1"/>
  <c r="J470" i="1"/>
  <c r="I470" i="1"/>
  <c r="H470" i="1"/>
  <c r="G470" i="1"/>
  <c r="F470" i="1"/>
  <c r="E470" i="1"/>
  <c r="D470" i="1"/>
  <c r="C470" i="1"/>
  <c r="B470" i="1"/>
  <c r="A470" i="1"/>
  <c r="R469" i="1"/>
  <c r="J469" i="1"/>
  <c r="I469" i="1"/>
  <c r="G469" i="1"/>
  <c r="F469" i="1"/>
  <c r="E469" i="1"/>
  <c r="D469" i="1"/>
  <c r="C469" i="1"/>
  <c r="B469" i="1"/>
  <c r="A469" i="1"/>
  <c r="R468" i="1"/>
  <c r="J468" i="1"/>
  <c r="I468" i="1"/>
  <c r="G468" i="1"/>
  <c r="F468" i="1"/>
  <c r="E468" i="1"/>
  <c r="D468" i="1"/>
  <c r="C468" i="1"/>
  <c r="B468" i="1"/>
  <c r="A468" i="1"/>
  <c r="S467" i="1"/>
  <c r="O467" i="1"/>
  <c r="K467" i="1"/>
  <c r="J467" i="1"/>
  <c r="I467" i="1"/>
  <c r="H467" i="1"/>
  <c r="G467" i="1"/>
  <c r="F467" i="1"/>
  <c r="E467" i="1"/>
  <c r="D467" i="1"/>
  <c r="C467" i="1"/>
  <c r="B467" i="1"/>
  <c r="A467" i="1"/>
  <c r="R466" i="1"/>
  <c r="J466" i="1"/>
  <c r="I466" i="1"/>
  <c r="G466" i="1"/>
  <c r="F466" i="1"/>
  <c r="E466" i="1"/>
  <c r="D466" i="1"/>
  <c r="C466" i="1"/>
  <c r="B466" i="1"/>
  <c r="A466" i="1"/>
  <c r="S465" i="1"/>
  <c r="O465" i="1"/>
  <c r="K465" i="1"/>
  <c r="J465" i="1"/>
  <c r="I465" i="1"/>
  <c r="H465" i="1"/>
  <c r="G465" i="1"/>
  <c r="F465" i="1"/>
  <c r="E465" i="1"/>
  <c r="D465" i="1"/>
  <c r="C465" i="1"/>
  <c r="B465" i="1"/>
  <c r="A465" i="1"/>
  <c r="R464" i="1"/>
  <c r="J464" i="1"/>
  <c r="I464" i="1"/>
  <c r="G464" i="1"/>
  <c r="F464" i="1"/>
  <c r="E464" i="1"/>
  <c r="D464" i="1"/>
  <c r="C464" i="1"/>
  <c r="B464" i="1"/>
  <c r="A464" i="1"/>
  <c r="R463" i="1"/>
  <c r="J463" i="1"/>
  <c r="I463" i="1"/>
  <c r="G463" i="1"/>
  <c r="F463" i="1"/>
  <c r="E463" i="1"/>
  <c r="D463" i="1"/>
  <c r="C463" i="1"/>
  <c r="B463" i="1"/>
  <c r="A463" i="1"/>
  <c r="S462" i="1"/>
  <c r="O462" i="1"/>
  <c r="K462" i="1"/>
  <c r="J462" i="1"/>
  <c r="I462" i="1"/>
  <c r="H462" i="1"/>
  <c r="G462" i="1"/>
  <c r="F462" i="1"/>
  <c r="E462" i="1"/>
  <c r="D462" i="1"/>
  <c r="C462" i="1"/>
  <c r="B462" i="1"/>
  <c r="A462" i="1"/>
  <c r="R461" i="1"/>
  <c r="J461" i="1"/>
  <c r="I461" i="1"/>
  <c r="G461" i="1"/>
  <c r="F461" i="1"/>
  <c r="E461" i="1"/>
  <c r="D461" i="1"/>
  <c r="C461" i="1"/>
  <c r="B461" i="1"/>
  <c r="A461" i="1"/>
  <c r="S460" i="1"/>
  <c r="O460" i="1"/>
  <c r="K460" i="1"/>
  <c r="J460" i="1"/>
  <c r="I460" i="1"/>
  <c r="H460" i="1"/>
  <c r="G460" i="1"/>
  <c r="F460" i="1"/>
  <c r="E460" i="1"/>
  <c r="D460" i="1"/>
  <c r="C460" i="1"/>
  <c r="B460" i="1"/>
  <c r="A460" i="1"/>
  <c r="R459" i="1"/>
  <c r="J459" i="1"/>
  <c r="I459" i="1"/>
  <c r="G459" i="1"/>
  <c r="F459" i="1"/>
  <c r="E459" i="1"/>
  <c r="D459" i="1"/>
  <c r="C459" i="1"/>
  <c r="B459" i="1"/>
  <c r="A459" i="1"/>
  <c r="S458" i="1"/>
  <c r="O458" i="1"/>
  <c r="K458" i="1"/>
  <c r="J458" i="1"/>
  <c r="I458" i="1"/>
  <c r="H458" i="1"/>
  <c r="G458" i="1"/>
  <c r="F458" i="1"/>
  <c r="E458" i="1"/>
  <c r="D458" i="1"/>
  <c r="C458" i="1"/>
  <c r="B458" i="1"/>
  <c r="A458" i="1"/>
  <c r="R457" i="1"/>
  <c r="J457" i="1"/>
  <c r="I457" i="1"/>
  <c r="G457" i="1"/>
  <c r="F457" i="1"/>
  <c r="E457" i="1"/>
  <c r="D457" i="1"/>
  <c r="C457" i="1"/>
  <c r="B457" i="1"/>
  <c r="A457" i="1"/>
  <c r="S456" i="1"/>
  <c r="O456" i="1"/>
  <c r="K456" i="1"/>
  <c r="J456" i="1"/>
  <c r="I456" i="1"/>
  <c r="H456" i="1"/>
  <c r="G456" i="1"/>
  <c r="F456" i="1"/>
  <c r="E456" i="1"/>
  <c r="D456" i="1"/>
  <c r="C456" i="1"/>
  <c r="B456" i="1"/>
  <c r="A456" i="1"/>
  <c r="R455" i="1"/>
  <c r="J455" i="1"/>
  <c r="I455" i="1"/>
  <c r="G455" i="1"/>
  <c r="F455" i="1"/>
  <c r="E455" i="1"/>
  <c r="D455" i="1"/>
  <c r="C455" i="1"/>
  <c r="B455" i="1"/>
  <c r="A455" i="1"/>
  <c r="S454" i="1"/>
  <c r="O454" i="1"/>
  <c r="K454" i="1"/>
  <c r="J454" i="1"/>
  <c r="I454" i="1"/>
  <c r="H454" i="1"/>
  <c r="G454" i="1"/>
  <c r="F454" i="1"/>
  <c r="E454" i="1"/>
  <c r="D454" i="1"/>
  <c r="C454" i="1"/>
  <c r="B454" i="1"/>
  <c r="A454" i="1"/>
  <c r="R453" i="1"/>
  <c r="J453" i="1"/>
  <c r="I453" i="1"/>
  <c r="G453" i="1"/>
  <c r="F453" i="1"/>
  <c r="E453" i="1"/>
  <c r="D453" i="1"/>
  <c r="C453" i="1"/>
  <c r="B453" i="1"/>
  <c r="A453" i="1"/>
  <c r="S452" i="1"/>
  <c r="O452" i="1"/>
  <c r="K452" i="1"/>
  <c r="J452" i="1"/>
  <c r="I452" i="1"/>
  <c r="H452" i="1"/>
  <c r="G452" i="1"/>
  <c r="F452" i="1"/>
  <c r="E452" i="1"/>
  <c r="D452" i="1"/>
  <c r="C452" i="1"/>
  <c r="B452" i="1"/>
  <c r="A452" i="1"/>
  <c r="R451" i="1"/>
  <c r="J451" i="1"/>
  <c r="I451" i="1"/>
  <c r="G451" i="1"/>
  <c r="F451" i="1"/>
  <c r="E451" i="1"/>
  <c r="D451" i="1"/>
  <c r="C451" i="1"/>
  <c r="B451" i="1"/>
  <c r="A451" i="1"/>
  <c r="S450" i="1"/>
  <c r="O450" i="1"/>
  <c r="K450" i="1"/>
  <c r="J450" i="1"/>
  <c r="I450" i="1"/>
  <c r="H450" i="1"/>
  <c r="G450" i="1"/>
  <c r="F450" i="1"/>
  <c r="E450" i="1"/>
  <c r="D450" i="1"/>
  <c r="C450" i="1"/>
  <c r="B450" i="1"/>
  <c r="A450" i="1"/>
  <c r="R449" i="1"/>
  <c r="J449" i="1"/>
  <c r="I449" i="1"/>
  <c r="G449" i="1"/>
  <c r="F449" i="1"/>
  <c r="E449" i="1"/>
  <c r="D449" i="1"/>
  <c r="C449" i="1"/>
  <c r="B449" i="1"/>
  <c r="A449" i="1"/>
  <c r="R448" i="1"/>
  <c r="J448" i="1"/>
  <c r="I448" i="1"/>
  <c r="G448" i="1"/>
  <c r="F448" i="1"/>
  <c r="E448" i="1"/>
  <c r="D448" i="1"/>
  <c r="C448" i="1"/>
  <c r="B448" i="1"/>
  <c r="A448" i="1"/>
  <c r="S447" i="1"/>
  <c r="O447" i="1"/>
  <c r="K447" i="1"/>
  <c r="J447" i="1"/>
  <c r="I447" i="1"/>
  <c r="H447" i="1"/>
  <c r="G447" i="1"/>
  <c r="F447" i="1"/>
  <c r="E447" i="1"/>
  <c r="D447" i="1"/>
  <c r="C447" i="1"/>
  <c r="B447" i="1"/>
  <c r="A447" i="1"/>
  <c r="S446" i="1"/>
  <c r="O446" i="1"/>
  <c r="K446" i="1"/>
  <c r="J446" i="1"/>
  <c r="I446" i="1"/>
  <c r="H446" i="1"/>
  <c r="G446" i="1"/>
  <c r="F446" i="1"/>
  <c r="E446" i="1"/>
  <c r="D446" i="1"/>
  <c r="C446" i="1"/>
  <c r="B446" i="1"/>
  <c r="A446" i="1"/>
  <c r="R445" i="1"/>
  <c r="J445" i="1"/>
  <c r="I445" i="1"/>
  <c r="G445" i="1"/>
  <c r="F445" i="1"/>
  <c r="E445" i="1"/>
  <c r="D445" i="1"/>
  <c r="C445" i="1"/>
  <c r="B445" i="1"/>
  <c r="A445" i="1"/>
  <c r="S444" i="1"/>
  <c r="O444" i="1"/>
  <c r="K444" i="1"/>
  <c r="J444" i="1"/>
  <c r="I444" i="1"/>
  <c r="H444" i="1"/>
  <c r="G444" i="1"/>
  <c r="F444" i="1"/>
  <c r="E444" i="1"/>
  <c r="D444" i="1"/>
  <c r="C444" i="1"/>
  <c r="B444" i="1"/>
  <c r="A444" i="1"/>
  <c r="R443" i="1"/>
  <c r="J443" i="1"/>
  <c r="I443" i="1"/>
  <c r="G443" i="1"/>
  <c r="F443" i="1"/>
  <c r="E443" i="1"/>
  <c r="D443" i="1"/>
  <c r="C443" i="1"/>
  <c r="B443" i="1"/>
  <c r="A443" i="1"/>
  <c r="R442" i="1"/>
  <c r="J442" i="1"/>
  <c r="I442" i="1"/>
  <c r="G442" i="1"/>
  <c r="F442" i="1"/>
  <c r="E442" i="1"/>
  <c r="D442" i="1"/>
  <c r="C442" i="1"/>
  <c r="B442" i="1"/>
  <c r="A442" i="1"/>
  <c r="R441" i="1"/>
  <c r="J441" i="1"/>
  <c r="I441" i="1"/>
  <c r="G441" i="1"/>
  <c r="F441" i="1"/>
  <c r="E441" i="1"/>
  <c r="D441" i="1"/>
  <c r="C441" i="1"/>
  <c r="B441" i="1"/>
  <c r="A441" i="1"/>
  <c r="R440" i="1"/>
  <c r="J440" i="1"/>
  <c r="I440" i="1"/>
  <c r="G440" i="1"/>
  <c r="F440" i="1"/>
  <c r="E440" i="1"/>
  <c r="D440" i="1"/>
  <c r="C440" i="1"/>
  <c r="B440" i="1"/>
  <c r="A440" i="1"/>
  <c r="S439" i="1"/>
  <c r="O439" i="1"/>
  <c r="K439" i="1"/>
  <c r="J439" i="1"/>
  <c r="I439" i="1"/>
  <c r="H439" i="1"/>
  <c r="G439" i="1"/>
  <c r="F439" i="1"/>
  <c r="E439" i="1"/>
  <c r="D439" i="1"/>
  <c r="C439" i="1"/>
  <c r="B439" i="1"/>
  <c r="A439" i="1"/>
  <c r="R438" i="1"/>
  <c r="J438" i="1"/>
  <c r="I438" i="1"/>
  <c r="G438" i="1"/>
  <c r="F438" i="1"/>
  <c r="E438" i="1"/>
  <c r="D438" i="1"/>
  <c r="C438" i="1"/>
  <c r="B438" i="1"/>
  <c r="A438" i="1"/>
  <c r="R437" i="1"/>
  <c r="J437" i="1"/>
  <c r="I437" i="1"/>
  <c r="G437" i="1"/>
  <c r="F437" i="1"/>
  <c r="E437" i="1"/>
  <c r="D437" i="1"/>
  <c r="C437" i="1"/>
  <c r="B437" i="1"/>
  <c r="A437" i="1"/>
  <c r="S436" i="1"/>
  <c r="O436" i="1"/>
  <c r="K436" i="1"/>
  <c r="J436" i="1"/>
  <c r="I436" i="1"/>
  <c r="H436" i="1"/>
  <c r="G436" i="1"/>
  <c r="F436" i="1"/>
  <c r="E436" i="1"/>
  <c r="D436" i="1"/>
  <c r="C436" i="1"/>
  <c r="B436" i="1"/>
  <c r="A436" i="1"/>
  <c r="R435" i="1"/>
  <c r="J435" i="1"/>
  <c r="I435" i="1"/>
  <c r="G435" i="1"/>
  <c r="F435" i="1"/>
  <c r="E435" i="1"/>
  <c r="D435" i="1"/>
  <c r="C435" i="1"/>
  <c r="B435" i="1"/>
  <c r="A435" i="1"/>
  <c r="S434" i="1"/>
  <c r="O434" i="1"/>
  <c r="K434" i="1"/>
  <c r="J434" i="1"/>
  <c r="I434" i="1"/>
  <c r="H434" i="1"/>
  <c r="G434" i="1"/>
  <c r="F434" i="1"/>
  <c r="E434" i="1"/>
  <c r="D434" i="1"/>
  <c r="C434" i="1"/>
  <c r="B434" i="1"/>
  <c r="A434" i="1"/>
  <c r="S433" i="1"/>
  <c r="O433" i="1"/>
  <c r="K433" i="1"/>
  <c r="J433" i="1"/>
  <c r="I433" i="1"/>
  <c r="H433" i="1"/>
  <c r="G433" i="1"/>
  <c r="F433" i="1"/>
  <c r="E433" i="1"/>
  <c r="D433" i="1"/>
  <c r="C433" i="1"/>
  <c r="B433" i="1"/>
  <c r="A433" i="1"/>
  <c r="R432" i="1"/>
  <c r="J432" i="1"/>
  <c r="I432" i="1"/>
  <c r="G432" i="1"/>
  <c r="F432" i="1"/>
  <c r="E432" i="1"/>
  <c r="D432" i="1"/>
  <c r="C432" i="1"/>
  <c r="B432" i="1"/>
  <c r="A432" i="1"/>
  <c r="S431" i="1"/>
  <c r="O431" i="1"/>
  <c r="K431" i="1"/>
  <c r="J431" i="1"/>
  <c r="I431" i="1"/>
  <c r="H431" i="1"/>
  <c r="G431" i="1"/>
  <c r="F431" i="1"/>
  <c r="E431" i="1"/>
  <c r="D431" i="1"/>
  <c r="C431" i="1"/>
  <c r="B431" i="1"/>
  <c r="A431" i="1"/>
  <c r="R430" i="1"/>
  <c r="J430" i="1"/>
  <c r="I430" i="1"/>
  <c r="G430" i="1"/>
  <c r="F430" i="1"/>
  <c r="E430" i="1"/>
  <c r="D430" i="1"/>
  <c r="C430" i="1"/>
  <c r="B430" i="1"/>
  <c r="A430" i="1"/>
  <c r="S429" i="1"/>
  <c r="O429" i="1"/>
  <c r="K429" i="1"/>
  <c r="J429" i="1"/>
  <c r="I429" i="1"/>
  <c r="H429" i="1"/>
  <c r="G429" i="1"/>
  <c r="F429" i="1"/>
  <c r="E429" i="1"/>
  <c r="D429" i="1"/>
  <c r="C429" i="1"/>
  <c r="B429" i="1"/>
  <c r="A429" i="1"/>
  <c r="R428" i="1"/>
  <c r="J428" i="1"/>
  <c r="I428" i="1"/>
  <c r="G428" i="1"/>
  <c r="F428" i="1"/>
  <c r="E428" i="1"/>
  <c r="D428" i="1"/>
  <c r="C428" i="1"/>
  <c r="B428" i="1"/>
  <c r="A428" i="1"/>
  <c r="R427" i="1"/>
  <c r="J427" i="1"/>
  <c r="I427" i="1"/>
  <c r="G427" i="1"/>
  <c r="F427" i="1"/>
  <c r="E427" i="1"/>
  <c r="D427" i="1"/>
  <c r="C427" i="1"/>
  <c r="B427" i="1"/>
  <c r="A427" i="1"/>
  <c r="R426" i="1"/>
  <c r="J426" i="1"/>
  <c r="I426" i="1"/>
  <c r="G426" i="1"/>
  <c r="F426" i="1"/>
  <c r="E426" i="1"/>
  <c r="D426" i="1"/>
  <c r="C426" i="1"/>
  <c r="B426" i="1"/>
  <c r="A426" i="1"/>
  <c r="S425" i="1"/>
  <c r="O425" i="1"/>
  <c r="K425" i="1"/>
  <c r="J425" i="1"/>
  <c r="I425" i="1"/>
  <c r="H425" i="1"/>
  <c r="G425" i="1"/>
  <c r="F425" i="1"/>
  <c r="E425" i="1"/>
  <c r="D425" i="1"/>
  <c r="C425" i="1"/>
  <c r="B425" i="1"/>
  <c r="A425" i="1"/>
  <c r="R424" i="1"/>
  <c r="J424" i="1"/>
  <c r="I424" i="1"/>
  <c r="G424" i="1"/>
  <c r="F424" i="1"/>
  <c r="E424" i="1"/>
  <c r="D424" i="1"/>
  <c r="C424" i="1"/>
  <c r="B424" i="1"/>
  <c r="A424" i="1"/>
  <c r="S423" i="1"/>
  <c r="O423" i="1"/>
  <c r="K423" i="1"/>
  <c r="J423" i="1"/>
  <c r="I423" i="1"/>
  <c r="H423" i="1"/>
  <c r="G423" i="1"/>
  <c r="F423" i="1"/>
  <c r="E423" i="1"/>
  <c r="D423" i="1"/>
  <c r="C423" i="1"/>
  <c r="B423" i="1"/>
  <c r="A423" i="1"/>
  <c r="R422" i="1"/>
  <c r="J422" i="1"/>
  <c r="I422" i="1"/>
  <c r="G422" i="1"/>
  <c r="F422" i="1"/>
  <c r="E422" i="1"/>
  <c r="D422" i="1"/>
  <c r="C422" i="1"/>
  <c r="B422" i="1"/>
  <c r="A422" i="1"/>
  <c r="R421" i="1"/>
  <c r="J421" i="1"/>
  <c r="I421" i="1"/>
  <c r="G421" i="1"/>
  <c r="F421" i="1"/>
  <c r="E421" i="1"/>
  <c r="D421" i="1"/>
  <c r="C421" i="1"/>
  <c r="B421" i="1"/>
  <c r="A421" i="1"/>
  <c r="S420" i="1"/>
  <c r="O420" i="1"/>
  <c r="K420" i="1"/>
  <c r="J420" i="1"/>
  <c r="I420" i="1"/>
  <c r="H420" i="1"/>
  <c r="G420" i="1"/>
  <c r="F420" i="1"/>
  <c r="E420" i="1"/>
  <c r="D420" i="1"/>
  <c r="C420" i="1"/>
  <c r="B420" i="1"/>
  <c r="A420" i="1"/>
  <c r="R419" i="1"/>
  <c r="J419" i="1"/>
  <c r="I419" i="1"/>
  <c r="G419" i="1"/>
  <c r="F419" i="1"/>
  <c r="E419" i="1"/>
  <c r="D419" i="1"/>
  <c r="C419" i="1"/>
  <c r="B419" i="1"/>
  <c r="A419" i="1"/>
  <c r="S418" i="1"/>
  <c r="O418" i="1"/>
  <c r="K418" i="1"/>
  <c r="J418" i="1"/>
  <c r="I418" i="1"/>
  <c r="H418" i="1"/>
  <c r="G418" i="1"/>
  <c r="F418" i="1"/>
  <c r="E418" i="1"/>
  <c r="D418" i="1"/>
  <c r="C418" i="1"/>
  <c r="B418" i="1"/>
  <c r="A418" i="1"/>
  <c r="R417" i="1"/>
  <c r="J417" i="1"/>
  <c r="I417" i="1"/>
  <c r="G417" i="1"/>
  <c r="F417" i="1"/>
  <c r="E417" i="1"/>
  <c r="D417" i="1"/>
  <c r="C417" i="1"/>
  <c r="B417" i="1"/>
  <c r="A417" i="1"/>
  <c r="S416" i="1"/>
  <c r="O416" i="1"/>
  <c r="K416" i="1"/>
  <c r="J416" i="1"/>
  <c r="I416" i="1"/>
  <c r="H416" i="1"/>
  <c r="G416" i="1"/>
  <c r="F416" i="1"/>
  <c r="E416" i="1"/>
  <c r="D416" i="1"/>
  <c r="C416" i="1"/>
  <c r="B416" i="1"/>
  <c r="A416" i="1"/>
  <c r="R415" i="1"/>
  <c r="J415" i="1"/>
  <c r="I415" i="1"/>
  <c r="G415" i="1"/>
  <c r="F415" i="1"/>
  <c r="E415" i="1"/>
  <c r="D415" i="1"/>
  <c r="C415" i="1"/>
  <c r="B415" i="1"/>
  <c r="A415" i="1"/>
  <c r="S414" i="1"/>
  <c r="O414" i="1"/>
  <c r="K414" i="1"/>
  <c r="J414" i="1"/>
  <c r="I414" i="1"/>
  <c r="H414" i="1"/>
  <c r="G414" i="1"/>
  <c r="F414" i="1"/>
  <c r="E414" i="1"/>
  <c r="D414" i="1"/>
  <c r="C414" i="1"/>
  <c r="B414" i="1"/>
  <c r="A414" i="1"/>
  <c r="R413" i="1"/>
  <c r="J413" i="1"/>
  <c r="I413" i="1"/>
  <c r="G413" i="1"/>
  <c r="F413" i="1"/>
  <c r="E413" i="1"/>
  <c r="D413" i="1"/>
  <c r="C413" i="1"/>
  <c r="B413" i="1"/>
  <c r="A413" i="1"/>
  <c r="S412" i="1"/>
  <c r="O412" i="1"/>
  <c r="K412" i="1"/>
  <c r="J412" i="1"/>
  <c r="I412" i="1"/>
  <c r="H412" i="1"/>
  <c r="G412" i="1"/>
  <c r="F412" i="1"/>
  <c r="E412" i="1"/>
  <c r="D412" i="1"/>
  <c r="C412" i="1"/>
  <c r="B412" i="1"/>
  <c r="A412" i="1"/>
  <c r="R411" i="1"/>
  <c r="J411" i="1"/>
  <c r="I411" i="1"/>
  <c r="G411" i="1"/>
  <c r="F411" i="1"/>
  <c r="E411" i="1"/>
  <c r="D411" i="1"/>
  <c r="C411" i="1"/>
  <c r="B411" i="1"/>
  <c r="A411" i="1"/>
  <c r="S410" i="1"/>
  <c r="O410" i="1"/>
  <c r="K410" i="1"/>
  <c r="J410" i="1"/>
  <c r="I410" i="1"/>
  <c r="H410" i="1"/>
  <c r="G410" i="1"/>
  <c r="F410" i="1"/>
  <c r="E410" i="1"/>
  <c r="D410" i="1"/>
  <c r="C410" i="1"/>
  <c r="B410" i="1"/>
  <c r="A410" i="1"/>
  <c r="R409" i="1"/>
  <c r="J409" i="1"/>
  <c r="I409" i="1"/>
  <c r="G409" i="1"/>
  <c r="F409" i="1"/>
  <c r="E409" i="1"/>
  <c r="D409" i="1"/>
  <c r="C409" i="1"/>
  <c r="B409" i="1"/>
  <c r="A409" i="1"/>
  <c r="R408" i="1"/>
  <c r="J408" i="1"/>
  <c r="I408" i="1"/>
  <c r="G408" i="1"/>
  <c r="F408" i="1"/>
  <c r="E408" i="1"/>
  <c r="D408" i="1"/>
  <c r="C408" i="1"/>
  <c r="B408" i="1"/>
  <c r="A408" i="1"/>
  <c r="R407" i="1"/>
  <c r="J407" i="1"/>
  <c r="I407" i="1"/>
  <c r="G407" i="1"/>
  <c r="F407" i="1"/>
  <c r="E407" i="1"/>
  <c r="D407" i="1"/>
  <c r="C407" i="1"/>
  <c r="B407" i="1"/>
  <c r="A407" i="1"/>
  <c r="S406" i="1"/>
  <c r="O406" i="1"/>
  <c r="K406" i="1"/>
  <c r="J406" i="1"/>
  <c r="I406" i="1"/>
  <c r="H406" i="1"/>
  <c r="G406" i="1"/>
  <c r="F406" i="1"/>
  <c r="E406" i="1"/>
  <c r="D406" i="1"/>
  <c r="C406" i="1"/>
  <c r="B406" i="1"/>
  <c r="A406" i="1"/>
  <c r="R405" i="1"/>
  <c r="J405" i="1"/>
  <c r="I405" i="1"/>
  <c r="G405" i="1"/>
  <c r="F405" i="1"/>
  <c r="E405" i="1"/>
  <c r="D405" i="1"/>
  <c r="C405" i="1"/>
  <c r="B405" i="1"/>
  <c r="A405" i="1"/>
  <c r="S404" i="1"/>
  <c r="O404" i="1"/>
  <c r="K404" i="1"/>
  <c r="J404" i="1"/>
  <c r="I404" i="1"/>
  <c r="H404" i="1"/>
  <c r="G404" i="1"/>
  <c r="F404" i="1"/>
  <c r="E404" i="1"/>
  <c r="D404" i="1"/>
  <c r="C404" i="1"/>
  <c r="B404" i="1"/>
  <c r="A404" i="1"/>
  <c r="R403" i="1"/>
  <c r="J403" i="1"/>
  <c r="I403" i="1"/>
  <c r="G403" i="1"/>
  <c r="F403" i="1"/>
  <c r="E403" i="1"/>
  <c r="D403" i="1"/>
  <c r="C403" i="1"/>
  <c r="B403" i="1"/>
  <c r="A403" i="1"/>
  <c r="S402" i="1"/>
  <c r="O402" i="1"/>
  <c r="K402" i="1"/>
  <c r="J402" i="1"/>
  <c r="I402" i="1"/>
  <c r="H402" i="1"/>
  <c r="G402" i="1"/>
  <c r="F402" i="1"/>
  <c r="E402" i="1"/>
  <c r="D402" i="1"/>
  <c r="C402" i="1"/>
  <c r="B402" i="1"/>
  <c r="A402" i="1"/>
  <c r="R401" i="1"/>
  <c r="J401" i="1"/>
  <c r="I401" i="1"/>
  <c r="G401" i="1"/>
  <c r="F401" i="1"/>
  <c r="E401" i="1"/>
  <c r="D401" i="1"/>
  <c r="C401" i="1"/>
  <c r="B401" i="1"/>
  <c r="A401" i="1"/>
  <c r="S400" i="1"/>
  <c r="O400" i="1"/>
  <c r="K400" i="1"/>
  <c r="J400" i="1"/>
  <c r="I400" i="1"/>
  <c r="H400" i="1"/>
  <c r="G400" i="1"/>
  <c r="F400" i="1"/>
  <c r="E400" i="1"/>
  <c r="D400" i="1"/>
  <c r="C400" i="1"/>
  <c r="B400" i="1"/>
  <c r="A400" i="1"/>
  <c r="R399" i="1"/>
  <c r="J399" i="1"/>
  <c r="I399" i="1"/>
  <c r="G399" i="1"/>
  <c r="F399" i="1"/>
  <c r="E399" i="1"/>
  <c r="D399" i="1"/>
  <c r="C399" i="1"/>
  <c r="B399" i="1"/>
  <c r="A399" i="1"/>
  <c r="S398" i="1"/>
  <c r="O398" i="1"/>
  <c r="K398" i="1"/>
  <c r="J398" i="1"/>
  <c r="I398" i="1"/>
  <c r="H398" i="1"/>
  <c r="G398" i="1"/>
  <c r="F398" i="1"/>
  <c r="E398" i="1"/>
  <c r="D398" i="1"/>
  <c r="C398" i="1"/>
  <c r="B398" i="1"/>
  <c r="A398" i="1"/>
  <c r="R397" i="1"/>
  <c r="J397" i="1"/>
  <c r="I397" i="1"/>
  <c r="G397" i="1"/>
  <c r="F397" i="1"/>
  <c r="E397" i="1"/>
  <c r="D397" i="1"/>
  <c r="C397" i="1"/>
  <c r="B397" i="1"/>
  <c r="A397" i="1"/>
  <c r="S396" i="1"/>
  <c r="O396" i="1"/>
  <c r="K396" i="1"/>
  <c r="J396" i="1"/>
  <c r="I396" i="1"/>
  <c r="H396" i="1"/>
  <c r="G396" i="1"/>
  <c r="F396" i="1"/>
  <c r="E396" i="1"/>
  <c r="D396" i="1"/>
  <c r="C396" i="1"/>
  <c r="B396" i="1"/>
  <c r="A396" i="1"/>
  <c r="R395" i="1"/>
  <c r="J395" i="1"/>
  <c r="I395" i="1"/>
  <c r="G395" i="1"/>
  <c r="F395" i="1"/>
  <c r="E395" i="1"/>
  <c r="D395" i="1"/>
  <c r="C395" i="1"/>
  <c r="B395" i="1"/>
  <c r="A395" i="1"/>
  <c r="S394" i="1"/>
  <c r="O394" i="1"/>
  <c r="K394" i="1"/>
  <c r="J394" i="1"/>
  <c r="I394" i="1"/>
  <c r="H394" i="1"/>
  <c r="G394" i="1"/>
  <c r="F394" i="1"/>
  <c r="E394" i="1"/>
  <c r="D394" i="1"/>
  <c r="C394" i="1"/>
  <c r="B394" i="1"/>
  <c r="A394" i="1"/>
  <c r="R393" i="1"/>
  <c r="J393" i="1"/>
  <c r="I393" i="1"/>
  <c r="G393" i="1"/>
  <c r="F393" i="1"/>
  <c r="E393" i="1"/>
  <c r="D393" i="1"/>
  <c r="C393" i="1"/>
  <c r="B393" i="1"/>
  <c r="A393" i="1"/>
  <c r="S392" i="1"/>
  <c r="O392" i="1"/>
  <c r="K392" i="1"/>
  <c r="J392" i="1"/>
  <c r="I392" i="1"/>
  <c r="H392" i="1"/>
  <c r="G392" i="1"/>
  <c r="F392" i="1"/>
  <c r="E392" i="1"/>
  <c r="D392" i="1"/>
  <c r="C392" i="1"/>
  <c r="B392" i="1"/>
  <c r="A392" i="1"/>
  <c r="R391" i="1"/>
  <c r="J391" i="1"/>
  <c r="I391" i="1"/>
  <c r="G391" i="1"/>
  <c r="F391" i="1"/>
  <c r="E391" i="1"/>
  <c r="D391" i="1"/>
  <c r="C391" i="1"/>
  <c r="B391" i="1"/>
  <c r="A391" i="1"/>
  <c r="S390" i="1"/>
  <c r="O390" i="1"/>
  <c r="K390" i="1"/>
  <c r="J390" i="1"/>
  <c r="I390" i="1"/>
  <c r="H390" i="1"/>
  <c r="G390" i="1"/>
  <c r="F390" i="1"/>
  <c r="E390" i="1"/>
  <c r="D390" i="1"/>
  <c r="C390" i="1"/>
  <c r="B390" i="1"/>
  <c r="A390" i="1"/>
  <c r="R389" i="1"/>
  <c r="J389" i="1"/>
  <c r="I389" i="1"/>
  <c r="G389" i="1"/>
  <c r="F389" i="1"/>
  <c r="E389" i="1"/>
  <c r="D389" i="1"/>
  <c r="C389" i="1"/>
  <c r="B389" i="1"/>
  <c r="A389" i="1"/>
  <c r="S388" i="1"/>
  <c r="O388" i="1"/>
  <c r="K388" i="1"/>
  <c r="J388" i="1"/>
  <c r="I388" i="1"/>
  <c r="H388" i="1"/>
  <c r="G388" i="1"/>
  <c r="F388" i="1"/>
  <c r="E388" i="1"/>
  <c r="D388" i="1"/>
  <c r="C388" i="1"/>
  <c r="B388" i="1"/>
  <c r="A388" i="1"/>
  <c r="R387" i="1"/>
  <c r="J387" i="1"/>
  <c r="I387" i="1"/>
  <c r="G387" i="1"/>
  <c r="F387" i="1"/>
  <c r="E387" i="1"/>
  <c r="D387" i="1"/>
  <c r="C387" i="1"/>
  <c r="B387" i="1"/>
  <c r="A387" i="1"/>
  <c r="R386" i="1"/>
  <c r="J386" i="1"/>
  <c r="I386" i="1"/>
  <c r="G386" i="1"/>
  <c r="F386" i="1"/>
  <c r="E386" i="1"/>
  <c r="D386" i="1"/>
  <c r="C386" i="1"/>
  <c r="B386" i="1"/>
  <c r="A386" i="1"/>
  <c r="S385" i="1"/>
  <c r="O385" i="1"/>
  <c r="K385" i="1"/>
  <c r="J385" i="1"/>
  <c r="I385" i="1"/>
  <c r="H385" i="1"/>
  <c r="G385" i="1"/>
  <c r="F385" i="1"/>
  <c r="E385" i="1"/>
  <c r="D385" i="1"/>
  <c r="C385" i="1"/>
  <c r="B385" i="1"/>
  <c r="A385" i="1"/>
  <c r="R384" i="1"/>
  <c r="J384" i="1"/>
  <c r="I384" i="1"/>
  <c r="G384" i="1"/>
  <c r="F384" i="1"/>
  <c r="E384" i="1"/>
  <c r="D384" i="1"/>
  <c r="C384" i="1"/>
  <c r="B384" i="1"/>
  <c r="A384" i="1"/>
  <c r="S383" i="1"/>
  <c r="O383" i="1"/>
  <c r="K383" i="1"/>
  <c r="J383" i="1"/>
  <c r="I383" i="1"/>
  <c r="H383" i="1"/>
  <c r="G383" i="1"/>
  <c r="F383" i="1"/>
  <c r="E383" i="1"/>
  <c r="D383" i="1"/>
  <c r="C383" i="1"/>
  <c r="B383" i="1"/>
  <c r="A383" i="1"/>
  <c r="R382" i="1"/>
  <c r="J382" i="1"/>
  <c r="I382" i="1"/>
  <c r="G382" i="1"/>
  <c r="F382" i="1"/>
  <c r="E382" i="1"/>
  <c r="D382" i="1"/>
  <c r="C382" i="1"/>
  <c r="B382" i="1"/>
  <c r="A382" i="1"/>
  <c r="S381" i="1"/>
  <c r="O381" i="1"/>
  <c r="K381" i="1"/>
  <c r="J381" i="1"/>
  <c r="I381" i="1"/>
  <c r="H381" i="1"/>
  <c r="G381" i="1"/>
  <c r="F381" i="1"/>
  <c r="E381" i="1"/>
  <c r="D381" i="1"/>
  <c r="C381" i="1"/>
  <c r="B381" i="1"/>
  <c r="A381" i="1"/>
  <c r="R380" i="1"/>
  <c r="J380" i="1"/>
  <c r="I380" i="1"/>
  <c r="G380" i="1"/>
  <c r="F380" i="1"/>
  <c r="E380" i="1"/>
  <c r="D380" i="1"/>
  <c r="C380" i="1"/>
  <c r="B380" i="1"/>
  <c r="A380" i="1"/>
  <c r="R379" i="1"/>
  <c r="J379" i="1"/>
  <c r="I379" i="1"/>
  <c r="G379" i="1"/>
  <c r="F379" i="1"/>
  <c r="E379" i="1"/>
  <c r="D379" i="1"/>
  <c r="C379" i="1"/>
  <c r="B379" i="1"/>
  <c r="A379" i="1"/>
  <c r="S378" i="1"/>
  <c r="O378" i="1"/>
  <c r="K378" i="1"/>
  <c r="J378" i="1"/>
  <c r="I378" i="1"/>
  <c r="H378" i="1"/>
  <c r="G378" i="1"/>
  <c r="F378" i="1"/>
  <c r="E378" i="1"/>
  <c r="D378" i="1"/>
  <c r="C378" i="1"/>
  <c r="B378" i="1"/>
  <c r="A378" i="1"/>
  <c r="R377" i="1"/>
  <c r="J377" i="1"/>
  <c r="I377" i="1"/>
  <c r="G377" i="1"/>
  <c r="F377" i="1"/>
  <c r="E377" i="1"/>
  <c r="D377" i="1"/>
  <c r="C377" i="1"/>
  <c r="B377" i="1"/>
  <c r="A377" i="1"/>
  <c r="S376" i="1"/>
  <c r="O376" i="1"/>
  <c r="K376" i="1"/>
  <c r="J376" i="1"/>
  <c r="I376" i="1"/>
  <c r="H376" i="1"/>
  <c r="G376" i="1"/>
  <c r="F376" i="1"/>
  <c r="E376" i="1"/>
  <c r="D376" i="1"/>
  <c r="C376" i="1"/>
  <c r="B376" i="1"/>
  <c r="A376" i="1"/>
  <c r="S375" i="1"/>
  <c r="O375" i="1"/>
  <c r="K375" i="1"/>
  <c r="J375" i="1"/>
  <c r="I375" i="1"/>
  <c r="H375" i="1"/>
  <c r="G375" i="1"/>
  <c r="F375" i="1"/>
  <c r="E375" i="1"/>
  <c r="D375" i="1"/>
  <c r="C375" i="1"/>
  <c r="B375" i="1"/>
  <c r="A375" i="1"/>
  <c r="R374" i="1"/>
  <c r="J374" i="1"/>
  <c r="I374" i="1"/>
  <c r="G374" i="1"/>
  <c r="F374" i="1"/>
  <c r="E374" i="1"/>
  <c r="D374" i="1"/>
  <c r="C374" i="1"/>
  <c r="B374" i="1"/>
  <c r="A374" i="1"/>
  <c r="S373" i="1"/>
  <c r="O373" i="1"/>
  <c r="K373" i="1"/>
  <c r="J373" i="1"/>
  <c r="I373" i="1"/>
  <c r="H373" i="1"/>
  <c r="G373" i="1"/>
  <c r="F373" i="1"/>
  <c r="E373" i="1"/>
  <c r="D373" i="1"/>
  <c r="C373" i="1"/>
  <c r="B373" i="1"/>
  <c r="A373" i="1"/>
  <c r="R372" i="1"/>
  <c r="J372" i="1"/>
  <c r="I372" i="1"/>
  <c r="G372" i="1"/>
  <c r="F372" i="1"/>
  <c r="E372" i="1"/>
  <c r="D372" i="1"/>
  <c r="C372" i="1"/>
  <c r="B372" i="1"/>
  <c r="A372" i="1"/>
  <c r="S371" i="1"/>
  <c r="O371" i="1"/>
  <c r="K371" i="1"/>
  <c r="J371" i="1"/>
  <c r="I371" i="1"/>
  <c r="H371" i="1"/>
  <c r="G371" i="1"/>
  <c r="F371" i="1"/>
  <c r="E371" i="1"/>
  <c r="D371" i="1"/>
  <c r="C371" i="1"/>
  <c r="B371" i="1"/>
  <c r="A371" i="1"/>
  <c r="S370" i="1"/>
  <c r="O370" i="1"/>
  <c r="K370" i="1"/>
  <c r="J370" i="1"/>
  <c r="I370" i="1"/>
  <c r="H370" i="1"/>
  <c r="G370" i="1"/>
  <c r="F370" i="1"/>
  <c r="E370" i="1"/>
  <c r="D370" i="1"/>
  <c r="C370" i="1"/>
  <c r="B370" i="1"/>
  <c r="A370" i="1"/>
  <c r="R369" i="1"/>
  <c r="J369" i="1"/>
  <c r="I369" i="1"/>
  <c r="G369" i="1"/>
  <c r="F369" i="1"/>
  <c r="E369" i="1"/>
  <c r="D369" i="1"/>
  <c r="C369" i="1"/>
  <c r="B369" i="1"/>
  <c r="A369" i="1"/>
  <c r="R368" i="1"/>
  <c r="J368" i="1"/>
  <c r="I368" i="1"/>
  <c r="G368" i="1"/>
  <c r="F368" i="1"/>
  <c r="E368" i="1"/>
  <c r="D368" i="1"/>
  <c r="C368" i="1"/>
  <c r="B368" i="1"/>
  <c r="A368" i="1"/>
  <c r="S367" i="1"/>
  <c r="O367" i="1"/>
  <c r="K367" i="1"/>
  <c r="J367" i="1"/>
  <c r="I367" i="1"/>
  <c r="H367" i="1"/>
  <c r="G367" i="1"/>
  <c r="F367" i="1"/>
  <c r="E367" i="1"/>
  <c r="D367" i="1"/>
  <c r="C367" i="1"/>
  <c r="B367" i="1"/>
  <c r="A367" i="1"/>
  <c r="R366" i="1"/>
  <c r="J366" i="1"/>
  <c r="I366" i="1"/>
  <c r="G366" i="1"/>
  <c r="F366" i="1"/>
  <c r="E366" i="1"/>
  <c r="D366" i="1"/>
  <c r="C366" i="1"/>
  <c r="B366" i="1"/>
  <c r="A366" i="1"/>
  <c r="S365" i="1"/>
  <c r="O365" i="1"/>
  <c r="K365" i="1"/>
  <c r="J365" i="1"/>
  <c r="I365" i="1"/>
  <c r="H365" i="1"/>
  <c r="G365" i="1"/>
  <c r="F365" i="1"/>
  <c r="E365" i="1"/>
  <c r="D365" i="1"/>
  <c r="C365" i="1"/>
  <c r="B365" i="1"/>
  <c r="A365" i="1"/>
  <c r="S364" i="1"/>
  <c r="O364" i="1"/>
  <c r="K364" i="1"/>
  <c r="J364" i="1"/>
  <c r="I364" i="1"/>
  <c r="H364" i="1"/>
  <c r="G364" i="1"/>
  <c r="F364" i="1"/>
  <c r="E364" i="1"/>
  <c r="D364" i="1"/>
  <c r="C364" i="1"/>
  <c r="B364" i="1"/>
  <c r="A364" i="1"/>
  <c r="R363" i="1"/>
  <c r="J363" i="1"/>
  <c r="I363" i="1"/>
  <c r="G363" i="1"/>
  <c r="F363" i="1"/>
  <c r="E363" i="1"/>
  <c r="D363" i="1"/>
  <c r="C363" i="1"/>
  <c r="B363" i="1"/>
  <c r="A363" i="1"/>
  <c r="S362" i="1"/>
  <c r="O362" i="1"/>
  <c r="K362" i="1"/>
  <c r="J362" i="1"/>
  <c r="I362" i="1"/>
  <c r="H362" i="1"/>
  <c r="G362" i="1"/>
  <c r="F362" i="1"/>
  <c r="E362" i="1"/>
  <c r="D362" i="1"/>
  <c r="C362" i="1"/>
  <c r="B362" i="1"/>
  <c r="A362" i="1"/>
  <c r="S361" i="1"/>
  <c r="O361" i="1"/>
  <c r="K361" i="1"/>
  <c r="J361" i="1"/>
  <c r="I361" i="1"/>
  <c r="H361" i="1"/>
  <c r="G361" i="1"/>
  <c r="F361" i="1"/>
  <c r="E361" i="1"/>
  <c r="D361" i="1"/>
  <c r="C361" i="1"/>
  <c r="B361" i="1"/>
  <c r="A361" i="1"/>
  <c r="R360" i="1"/>
  <c r="J360" i="1"/>
  <c r="I360" i="1"/>
  <c r="G360" i="1"/>
  <c r="F360" i="1"/>
  <c r="E360" i="1"/>
  <c r="D360" i="1"/>
  <c r="C360" i="1"/>
  <c r="B360" i="1"/>
  <c r="A360" i="1"/>
  <c r="S359" i="1"/>
  <c r="O359" i="1"/>
  <c r="K359" i="1"/>
  <c r="J359" i="1"/>
  <c r="I359" i="1"/>
  <c r="H359" i="1"/>
  <c r="G359" i="1"/>
  <c r="F359" i="1"/>
  <c r="E359" i="1"/>
  <c r="D359" i="1"/>
  <c r="C359" i="1"/>
  <c r="B359" i="1"/>
  <c r="A359" i="1"/>
  <c r="R358" i="1"/>
  <c r="J358" i="1"/>
  <c r="I358" i="1"/>
  <c r="G358" i="1"/>
  <c r="F358" i="1"/>
  <c r="E358" i="1"/>
  <c r="D358" i="1"/>
  <c r="C358" i="1"/>
  <c r="B358" i="1"/>
  <c r="A358" i="1"/>
  <c r="S357" i="1"/>
  <c r="O357" i="1"/>
  <c r="K357" i="1"/>
  <c r="J357" i="1"/>
  <c r="I357" i="1"/>
  <c r="H357" i="1"/>
  <c r="G357" i="1"/>
  <c r="F357" i="1"/>
  <c r="E357" i="1"/>
  <c r="D357" i="1"/>
  <c r="C357" i="1"/>
  <c r="B357" i="1"/>
  <c r="A357" i="1"/>
  <c r="R356" i="1"/>
  <c r="J356" i="1"/>
  <c r="I356" i="1"/>
  <c r="G356" i="1"/>
  <c r="F356" i="1"/>
  <c r="E356" i="1"/>
  <c r="D356" i="1"/>
  <c r="C356" i="1"/>
  <c r="B356" i="1"/>
  <c r="A356" i="1"/>
  <c r="S355" i="1"/>
  <c r="O355" i="1"/>
  <c r="K355" i="1"/>
  <c r="J355" i="1"/>
  <c r="I355" i="1"/>
  <c r="H355" i="1"/>
  <c r="G355" i="1"/>
  <c r="F355" i="1"/>
  <c r="E355" i="1"/>
  <c r="D355" i="1"/>
  <c r="C355" i="1"/>
  <c r="B355" i="1"/>
  <c r="A355" i="1"/>
  <c r="R354" i="1"/>
  <c r="J354" i="1"/>
  <c r="I354" i="1"/>
  <c r="G354" i="1"/>
  <c r="F354" i="1"/>
  <c r="E354" i="1"/>
  <c r="D354" i="1"/>
  <c r="C354" i="1"/>
  <c r="B354" i="1"/>
  <c r="A354" i="1"/>
  <c r="S353" i="1"/>
  <c r="O353" i="1"/>
  <c r="K353" i="1"/>
  <c r="J353" i="1"/>
  <c r="I353" i="1"/>
  <c r="H353" i="1"/>
  <c r="G353" i="1"/>
  <c r="F353" i="1"/>
  <c r="E353" i="1"/>
  <c r="D353" i="1"/>
  <c r="C353" i="1"/>
  <c r="B353" i="1"/>
  <c r="A353" i="1"/>
  <c r="R352" i="1"/>
  <c r="J352" i="1"/>
  <c r="I352" i="1"/>
  <c r="G352" i="1"/>
  <c r="F352" i="1"/>
  <c r="E352" i="1"/>
  <c r="D352" i="1"/>
  <c r="C352" i="1"/>
  <c r="B352" i="1"/>
  <c r="A352" i="1"/>
  <c r="S351" i="1"/>
  <c r="O351" i="1"/>
  <c r="K351" i="1"/>
  <c r="J351" i="1"/>
  <c r="I351" i="1"/>
  <c r="H351" i="1"/>
  <c r="G351" i="1"/>
  <c r="F351" i="1"/>
  <c r="E351" i="1"/>
  <c r="D351" i="1"/>
  <c r="C351" i="1"/>
  <c r="B351" i="1"/>
  <c r="A351" i="1"/>
  <c r="R350" i="1"/>
  <c r="J350" i="1"/>
  <c r="I350" i="1"/>
  <c r="G350" i="1"/>
  <c r="F350" i="1"/>
  <c r="E350" i="1"/>
  <c r="D350" i="1"/>
  <c r="C350" i="1"/>
  <c r="B350" i="1"/>
  <c r="A350" i="1"/>
  <c r="S349" i="1"/>
  <c r="O349" i="1"/>
  <c r="K349" i="1"/>
  <c r="J349" i="1"/>
  <c r="I349" i="1"/>
  <c r="H349" i="1"/>
  <c r="G349" i="1"/>
  <c r="F349" i="1"/>
  <c r="E349" i="1"/>
  <c r="D349" i="1"/>
  <c r="C349" i="1"/>
  <c r="B349" i="1"/>
  <c r="A349" i="1"/>
  <c r="R348" i="1"/>
  <c r="J348" i="1"/>
  <c r="I348" i="1"/>
  <c r="G348" i="1"/>
  <c r="F348" i="1"/>
  <c r="E348" i="1"/>
  <c r="D348" i="1"/>
  <c r="C348" i="1"/>
  <c r="B348" i="1"/>
  <c r="A348" i="1"/>
  <c r="S347" i="1"/>
  <c r="O347" i="1"/>
  <c r="K347" i="1"/>
  <c r="J347" i="1"/>
  <c r="I347" i="1"/>
  <c r="H347" i="1"/>
  <c r="G347" i="1"/>
  <c r="F347" i="1"/>
  <c r="E347" i="1"/>
  <c r="D347" i="1"/>
  <c r="C347" i="1"/>
  <c r="B347" i="1"/>
  <c r="A347" i="1"/>
  <c r="R346" i="1"/>
  <c r="J346" i="1"/>
  <c r="I346" i="1"/>
  <c r="G346" i="1"/>
  <c r="F346" i="1"/>
  <c r="E346" i="1"/>
  <c r="D346" i="1"/>
  <c r="C346" i="1"/>
  <c r="B346" i="1"/>
  <c r="A346" i="1"/>
  <c r="S345" i="1"/>
  <c r="O345" i="1"/>
  <c r="K345" i="1"/>
  <c r="J345" i="1"/>
  <c r="I345" i="1"/>
  <c r="H345" i="1"/>
  <c r="G345" i="1"/>
  <c r="F345" i="1"/>
  <c r="E345" i="1"/>
  <c r="D345" i="1"/>
  <c r="C345" i="1"/>
  <c r="B345" i="1"/>
  <c r="A345" i="1"/>
  <c r="R344" i="1"/>
  <c r="J344" i="1"/>
  <c r="I344" i="1"/>
  <c r="G344" i="1"/>
  <c r="F344" i="1"/>
  <c r="E344" i="1"/>
  <c r="D344" i="1"/>
  <c r="C344" i="1"/>
  <c r="B344" i="1"/>
  <c r="A344" i="1"/>
  <c r="S343" i="1"/>
  <c r="O343" i="1"/>
  <c r="K343" i="1"/>
  <c r="J343" i="1"/>
  <c r="I343" i="1"/>
  <c r="H343" i="1"/>
  <c r="G343" i="1"/>
  <c r="F343" i="1"/>
  <c r="E343" i="1"/>
  <c r="D343" i="1"/>
  <c r="C343" i="1"/>
  <c r="B343" i="1"/>
  <c r="A343" i="1"/>
  <c r="R342" i="1"/>
  <c r="J342" i="1"/>
  <c r="I342" i="1"/>
  <c r="G342" i="1"/>
  <c r="F342" i="1"/>
  <c r="E342" i="1"/>
  <c r="D342" i="1"/>
  <c r="C342" i="1"/>
  <c r="B342" i="1"/>
  <c r="A342" i="1"/>
  <c r="S341" i="1"/>
  <c r="O341" i="1"/>
  <c r="K341" i="1"/>
  <c r="J341" i="1"/>
  <c r="I341" i="1"/>
  <c r="H341" i="1"/>
  <c r="G341" i="1"/>
  <c r="F341" i="1"/>
  <c r="E341" i="1"/>
  <c r="D341" i="1"/>
  <c r="C341" i="1"/>
  <c r="B341" i="1"/>
  <c r="A341" i="1"/>
  <c r="R340" i="1"/>
  <c r="J340" i="1"/>
  <c r="I340" i="1"/>
  <c r="G340" i="1"/>
  <c r="F340" i="1"/>
  <c r="E340" i="1"/>
  <c r="D340" i="1"/>
  <c r="C340" i="1"/>
  <c r="B340" i="1"/>
  <c r="A340" i="1"/>
  <c r="R339" i="1"/>
  <c r="J339" i="1"/>
  <c r="I339" i="1"/>
  <c r="G339" i="1"/>
  <c r="F339" i="1"/>
  <c r="E339" i="1"/>
  <c r="D339" i="1"/>
  <c r="C339" i="1"/>
  <c r="B339" i="1"/>
  <c r="A339" i="1"/>
  <c r="S338" i="1"/>
  <c r="O338" i="1"/>
  <c r="K338" i="1"/>
  <c r="J338" i="1"/>
  <c r="I338" i="1"/>
  <c r="H338" i="1"/>
  <c r="G338" i="1"/>
  <c r="F338" i="1"/>
  <c r="E338" i="1"/>
  <c r="D338" i="1"/>
  <c r="C338" i="1"/>
  <c r="B338" i="1"/>
  <c r="A338" i="1"/>
  <c r="S337" i="1"/>
  <c r="O337" i="1"/>
  <c r="K337" i="1"/>
  <c r="J337" i="1"/>
  <c r="I337" i="1"/>
  <c r="H337" i="1"/>
  <c r="G337" i="1"/>
  <c r="F337" i="1"/>
  <c r="E337" i="1"/>
  <c r="D337" i="1"/>
  <c r="C337" i="1"/>
  <c r="B337" i="1"/>
  <c r="A337" i="1"/>
  <c r="R336" i="1"/>
  <c r="J336" i="1"/>
  <c r="I336" i="1"/>
  <c r="G336" i="1"/>
  <c r="F336" i="1"/>
  <c r="E336" i="1"/>
  <c r="D336" i="1"/>
  <c r="C336" i="1"/>
  <c r="B336" i="1"/>
  <c r="A336" i="1"/>
  <c r="S335" i="1"/>
  <c r="O335" i="1"/>
  <c r="K335" i="1"/>
  <c r="J335" i="1"/>
  <c r="I335" i="1"/>
  <c r="H335" i="1"/>
  <c r="G335" i="1"/>
  <c r="F335" i="1"/>
  <c r="E335" i="1"/>
  <c r="D335" i="1"/>
  <c r="C335" i="1"/>
  <c r="B335" i="1"/>
  <c r="A335" i="1"/>
  <c r="R334" i="1"/>
  <c r="J334" i="1"/>
  <c r="I334" i="1"/>
  <c r="G334" i="1"/>
  <c r="F334" i="1"/>
  <c r="E334" i="1"/>
  <c r="D334" i="1"/>
  <c r="C334" i="1"/>
  <c r="B334" i="1"/>
  <c r="A334" i="1"/>
  <c r="S333" i="1"/>
  <c r="O333" i="1"/>
  <c r="K333" i="1"/>
  <c r="J333" i="1"/>
  <c r="I333" i="1"/>
  <c r="H333" i="1"/>
  <c r="G333" i="1"/>
  <c r="F333" i="1"/>
  <c r="E333" i="1"/>
  <c r="D333" i="1"/>
  <c r="C333" i="1"/>
  <c r="B333" i="1"/>
  <c r="A333" i="1"/>
  <c r="R332" i="1"/>
  <c r="J332" i="1"/>
  <c r="I332" i="1"/>
  <c r="G332" i="1"/>
  <c r="F332" i="1"/>
  <c r="E332" i="1"/>
  <c r="D332" i="1"/>
  <c r="C332" i="1"/>
  <c r="B332" i="1"/>
  <c r="A332" i="1"/>
  <c r="S331" i="1"/>
  <c r="O331" i="1"/>
  <c r="K331" i="1"/>
  <c r="J331" i="1"/>
  <c r="I331" i="1"/>
  <c r="H331" i="1"/>
  <c r="G331" i="1"/>
  <c r="F331" i="1"/>
  <c r="E331" i="1"/>
  <c r="D331" i="1"/>
  <c r="C331" i="1"/>
  <c r="B331" i="1"/>
  <c r="A331" i="1"/>
  <c r="R330" i="1"/>
  <c r="J330" i="1"/>
  <c r="I330" i="1"/>
  <c r="G330" i="1"/>
  <c r="F330" i="1"/>
  <c r="E330" i="1"/>
  <c r="D330" i="1"/>
  <c r="C330" i="1"/>
  <c r="B330" i="1"/>
  <c r="A330" i="1"/>
  <c r="S329" i="1"/>
  <c r="O329" i="1"/>
  <c r="K329" i="1"/>
  <c r="J329" i="1"/>
  <c r="I329" i="1"/>
  <c r="H329" i="1"/>
  <c r="G329" i="1"/>
  <c r="F329" i="1"/>
  <c r="E329" i="1"/>
  <c r="D329" i="1"/>
  <c r="C329" i="1"/>
  <c r="B329" i="1"/>
  <c r="A329" i="1"/>
  <c r="R328" i="1"/>
  <c r="J328" i="1"/>
  <c r="I328" i="1"/>
  <c r="G328" i="1"/>
  <c r="F328" i="1"/>
  <c r="E328" i="1"/>
  <c r="D328" i="1"/>
  <c r="C328" i="1"/>
  <c r="B328" i="1"/>
  <c r="A328" i="1"/>
  <c r="S327" i="1"/>
  <c r="O327" i="1"/>
  <c r="K327" i="1"/>
  <c r="J327" i="1"/>
  <c r="I327" i="1"/>
  <c r="H327" i="1"/>
  <c r="G327" i="1"/>
  <c r="F327" i="1"/>
  <c r="E327" i="1"/>
  <c r="D327" i="1"/>
  <c r="C327" i="1"/>
  <c r="B327" i="1"/>
  <c r="A327" i="1"/>
  <c r="R326" i="1"/>
  <c r="J326" i="1"/>
  <c r="I326" i="1"/>
  <c r="G326" i="1"/>
  <c r="F326" i="1"/>
  <c r="E326" i="1"/>
  <c r="D326" i="1"/>
  <c r="C326" i="1"/>
  <c r="B326" i="1"/>
  <c r="A326" i="1"/>
  <c r="S325" i="1"/>
  <c r="O325" i="1"/>
  <c r="K325" i="1"/>
  <c r="J325" i="1"/>
  <c r="I325" i="1"/>
  <c r="H325" i="1"/>
  <c r="G325" i="1"/>
  <c r="F325" i="1"/>
  <c r="E325" i="1"/>
  <c r="D325" i="1"/>
  <c r="C325" i="1"/>
  <c r="B325" i="1"/>
  <c r="A325" i="1"/>
  <c r="R324" i="1"/>
  <c r="J324" i="1"/>
  <c r="I324" i="1"/>
  <c r="G324" i="1"/>
  <c r="F324" i="1"/>
  <c r="E324" i="1"/>
  <c r="D324" i="1"/>
  <c r="C324" i="1"/>
  <c r="B324" i="1"/>
  <c r="A324" i="1"/>
  <c r="S323" i="1"/>
  <c r="O323" i="1"/>
  <c r="K323" i="1"/>
  <c r="J323" i="1"/>
  <c r="I323" i="1"/>
  <c r="H323" i="1"/>
  <c r="G323" i="1"/>
  <c r="F323" i="1"/>
  <c r="E323" i="1"/>
  <c r="D323" i="1"/>
  <c r="C323" i="1"/>
  <c r="B323" i="1"/>
  <c r="A323" i="1"/>
  <c r="R322" i="1"/>
  <c r="J322" i="1"/>
  <c r="I322" i="1"/>
  <c r="G322" i="1"/>
  <c r="F322" i="1"/>
  <c r="E322" i="1"/>
  <c r="D322" i="1"/>
  <c r="C322" i="1"/>
  <c r="B322" i="1"/>
  <c r="A322" i="1"/>
  <c r="S321" i="1"/>
  <c r="O321" i="1"/>
  <c r="K321" i="1"/>
  <c r="J321" i="1"/>
  <c r="I321" i="1"/>
  <c r="H321" i="1"/>
  <c r="G321" i="1"/>
  <c r="F321" i="1"/>
  <c r="E321" i="1"/>
  <c r="D321" i="1"/>
  <c r="C321" i="1"/>
  <c r="B321" i="1"/>
  <c r="A321" i="1"/>
  <c r="R320" i="1"/>
  <c r="J320" i="1"/>
  <c r="I320" i="1"/>
  <c r="G320" i="1"/>
  <c r="F320" i="1"/>
  <c r="E320" i="1"/>
  <c r="D320" i="1"/>
  <c r="C320" i="1"/>
  <c r="B320" i="1"/>
  <c r="A320" i="1"/>
  <c r="R319" i="1"/>
  <c r="J319" i="1"/>
  <c r="I319" i="1"/>
  <c r="G319" i="1"/>
  <c r="F319" i="1"/>
  <c r="E319" i="1"/>
  <c r="D319" i="1"/>
  <c r="C319" i="1"/>
  <c r="B319" i="1"/>
  <c r="A319" i="1"/>
  <c r="S318" i="1"/>
  <c r="O318" i="1"/>
  <c r="K318" i="1"/>
  <c r="J318" i="1"/>
  <c r="I318" i="1"/>
  <c r="H318" i="1"/>
  <c r="G318" i="1"/>
  <c r="F318" i="1"/>
  <c r="E318" i="1"/>
  <c r="D318" i="1"/>
  <c r="C318" i="1"/>
  <c r="B318" i="1"/>
  <c r="A318" i="1"/>
  <c r="R317" i="1"/>
  <c r="J317" i="1"/>
  <c r="I317" i="1"/>
  <c r="G317" i="1"/>
  <c r="F317" i="1"/>
  <c r="E317" i="1"/>
  <c r="D317" i="1"/>
  <c r="C317" i="1"/>
  <c r="B317" i="1"/>
  <c r="A317" i="1"/>
  <c r="S316" i="1"/>
  <c r="O316" i="1"/>
  <c r="K316" i="1"/>
  <c r="J316" i="1"/>
  <c r="I316" i="1"/>
  <c r="H316" i="1"/>
  <c r="G316" i="1"/>
  <c r="F316" i="1"/>
  <c r="E316" i="1"/>
  <c r="D316" i="1"/>
  <c r="C316" i="1"/>
  <c r="B316" i="1"/>
  <c r="A316" i="1"/>
  <c r="R315" i="1"/>
  <c r="J315" i="1"/>
  <c r="I315" i="1"/>
  <c r="G315" i="1"/>
  <c r="F315" i="1"/>
  <c r="E315" i="1"/>
  <c r="D315" i="1"/>
  <c r="C315" i="1"/>
  <c r="B315" i="1"/>
  <c r="A315" i="1"/>
  <c r="S314" i="1"/>
  <c r="O314" i="1"/>
  <c r="K314" i="1"/>
  <c r="J314" i="1"/>
  <c r="I314" i="1"/>
  <c r="H314" i="1"/>
  <c r="G314" i="1"/>
  <c r="F314" i="1"/>
  <c r="E314" i="1"/>
  <c r="D314" i="1"/>
  <c r="C314" i="1"/>
  <c r="B314" i="1"/>
  <c r="A314" i="1"/>
  <c r="R313" i="1"/>
  <c r="J313" i="1"/>
  <c r="I313" i="1"/>
  <c r="G313" i="1"/>
  <c r="F313" i="1"/>
  <c r="E313" i="1"/>
  <c r="D313" i="1"/>
  <c r="C313" i="1"/>
  <c r="B313" i="1"/>
  <c r="A313" i="1"/>
  <c r="S312" i="1"/>
  <c r="O312" i="1"/>
  <c r="K312" i="1"/>
  <c r="J312" i="1"/>
  <c r="I312" i="1"/>
  <c r="H312" i="1"/>
  <c r="G312" i="1"/>
  <c r="F312" i="1"/>
  <c r="E312" i="1"/>
  <c r="D312" i="1"/>
  <c r="C312" i="1"/>
  <c r="B312" i="1"/>
  <c r="A312" i="1"/>
  <c r="R311" i="1"/>
  <c r="J311" i="1"/>
  <c r="I311" i="1"/>
  <c r="G311" i="1"/>
  <c r="F311" i="1"/>
  <c r="E311" i="1"/>
  <c r="D311" i="1"/>
  <c r="C311" i="1"/>
  <c r="B311" i="1"/>
  <c r="A311" i="1"/>
  <c r="S310" i="1"/>
  <c r="O310" i="1"/>
  <c r="K310" i="1"/>
  <c r="J310" i="1"/>
  <c r="I310" i="1"/>
  <c r="H310" i="1"/>
  <c r="G310" i="1"/>
  <c r="F310" i="1"/>
  <c r="E310" i="1"/>
  <c r="D310" i="1"/>
  <c r="C310" i="1"/>
  <c r="B310" i="1"/>
  <c r="A310" i="1"/>
  <c r="R309" i="1"/>
  <c r="J309" i="1"/>
  <c r="I309" i="1"/>
  <c r="G309" i="1"/>
  <c r="F309" i="1"/>
  <c r="E309" i="1"/>
  <c r="D309" i="1"/>
  <c r="C309" i="1"/>
  <c r="B309" i="1"/>
  <c r="A309" i="1"/>
  <c r="S308" i="1"/>
  <c r="O308" i="1"/>
  <c r="K308" i="1"/>
  <c r="J308" i="1"/>
  <c r="I308" i="1"/>
  <c r="H308" i="1"/>
  <c r="G308" i="1"/>
  <c r="F308" i="1"/>
  <c r="E308" i="1"/>
  <c r="D308" i="1"/>
  <c r="C308" i="1"/>
  <c r="B308" i="1"/>
  <c r="A308" i="1"/>
  <c r="S307" i="1"/>
  <c r="O307" i="1"/>
  <c r="K307" i="1"/>
  <c r="J307" i="1"/>
  <c r="I307" i="1"/>
  <c r="H307" i="1"/>
  <c r="G307" i="1"/>
  <c r="F307" i="1"/>
  <c r="E307" i="1"/>
  <c r="D307" i="1"/>
  <c r="C307" i="1"/>
  <c r="B307" i="1"/>
  <c r="A307" i="1"/>
  <c r="R306" i="1"/>
  <c r="J306" i="1"/>
  <c r="I306" i="1"/>
  <c r="G306" i="1"/>
  <c r="F306" i="1"/>
  <c r="E306" i="1"/>
  <c r="D306" i="1"/>
  <c r="C306" i="1"/>
  <c r="B306" i="1"/>
  <c r="A306" i="1"/>
  <c r="S305" i="1"/>
  <c r="O305" i="1"/>
  <c r="K305" i="1"/>
  <c r="J305" i="1"/>
  <c r="I305" i="1"/>
  <c r="H305" i="1"/>
  <c r="G305" i="1"/>
  <c r="F305" i="1"/>
  <c r="E305" i="1"/>
  <c r="D305" i="1"/>
  <c r="C305" i="1"/>
  <c r="B305" i="1"/>
  <c r="A305" i="1"/>
  <c r="S304" i="1"/>
  <c r="O304" i="1"/>
  <c r="K304" i="1"/>
  <c r="J304" i="1"/>
  <c r="I304" i="1"/>
  <c r="H304" i="1"/>
  <c r="G304" i="1"/>
  <c r="F304" i="1"/>
  <c r="E304" i="1"/>
  <c r="D304" i="1"/>
  <c r="C304" i="1"/>
  <c r="B304" i="1"/>
  <c r="A304" i="1"/>
  <c r="R303" i="1"/>
  <c r="J303" i="1"/>
  <c r="I303" i="1"/>
  <c r="G303" i="1"/>
  <c r="F303" i="1"/>
  <c r="E303" i="1"/>
  <c r="D303" i="1"/>
  <c r="C303" i="1"/>
  <c r="B303" i="1"/>
  <c r="A303" i="1"/>
  <c r="S302" i="1"/>
  <c r="O302" i="1"/>
  <c r="K302" i="1"/>
  <c r="J302" i="1"/>
  <c r="I302" i="1"/>
  <c r="H302" i="1"/>
  <c r="G302" i="1"/>
  <c r="F302" i="1"/>
  <c r="E302" i="1"/>
  <c r="D302" i="1"/>
  <c r="C302" i="1"/>
  <c r="B302" i="1"/>
  <c r="A302" i="1"/>
  <c r="R301" i="1"/>
  <c r="J301" i="1"/>
  <c r="I301" i="1"/>
  <c r="G301" i="1"/>
  <c r="F301" i="1"/>
  <c r="E301" i="1"/>
  <c r="D301" i="1"/>
  <c r="C301" i="1"/>
  <c r="B301" i="1"/>
  <c r="A301" i="1"/>
  <c r="S300" i="1"/>
  <c r="O300" i="1"/>
  <c r="K300" i="1"/>
  <c r="J300" i="1"/>
  <c r="I300" i="1"/>
  <c r="H300" i="1"/>
  <c r="G300" i="1"/>
  <c r="F300" i="1"/>
  <c r="E300" i="1"/>
  <c r="D300" i="1"/>
  <c r="C300" i="1"/>
  <c r="B300" i="1"/>
  <c r="A300" i="1"/>
  <c r="R299" i="1"/>
  <c r="J299" i="1"/>
  <c r="I299" i="1"/>
  <c r="G299" i="1"/>
  <c r="F299" i="1"/>
  <c r="E299" i="1"/>
  <c r="D299" i="1"/>
  <c r="C299" i="1"/>
  <c r="B299" i="1"/>
  <c r="A299" i="1"/>
  <c r="S298" i="1"/>
  <c r="O298" i="1"/>
  <c r="K298" i="1"/>
  <c r="J298" i="1"/>
  <c r="I298" i="1"/>
  <c r="H298" i="1"/>
  <c r="G298" i="1"/>
  <c r="F298" i="1"/>
  <c r="E298" i="1"/>
  <c r="D298" i="1"/>
  <c r="C298" i="1"/>
  <c r="B298" i="1"/>
  <c r="A298" i="1"/>
  <c r="R297" i="1"/>
  <c r="J297" i="1"/>
  <c r="I297" i="1"/>
  <c r="G297" i="1"/>
  <c r="F297" i="1"/>
  <c r="E297" i="1"/>
  <c r="D297" i="1"/>
  <c r="C297" i="1"/>
  <c r="B297" i="1"/>
  <c r="A297" i="1"/>
  <c r="S296" i="1"/>
  <c r="O296" i="1"/>
  <c r="K296" i="1"/>
  <c r="J296" i="1"/>
  <c r="I296" i="1"/>
  <c r="H296" i="1"/>
  <c r="G296" i="1"/>
  <c r="F296" i="1"/>
  <c r="E296" i="1"/>
  <c r="D296" i="1"/>
  <c r="C296" i="1"/>
  <c r="B296" i="1"/>
  <c r="A296" i="1"/>
  <c r="R295" i="1"/>
  <c r="J295" i="1"/>
  <c r="I295" i="1"/>
  <c r="G295" i="1"/>
  <c r="F295" i="1"/>
  <c r="E295" i="1"/>
  <c r="D295" i="1"/>
  <c r="C295" i="1"/>
  <c r="B295" i="1"/>
  <c r="A295" i="1"/>
  <c r="S294" i="1"/>
  <c r="O294" i="1"/>
  <c r="K294" i="1"/>
  <c r="J294" i="1"/>
  <c r="I294" i="1"/>
  <c r="H294" i="1"/>
  <c r="G294" i="1"/>
  <c r="F294" i="1"/>
  <c r="E294" i="1"/>
  <c r="D294" i="1"/>
  <c r="C294" i="1"/>
  <c r="B294" i="1"/>
  <c r="A294" i="1"/>
  <c r="R293" i="1"/>
  <c r="J293" i="1"/>
  <c r="I293" i="1"/>
  <c r="G293" i="1"/>
  <c r="F293" i="1"/>
  <c r="E293" i="1"/>
  <c r="D293" i="1"/>
  <c r="C293" i="1"/>
  <c r="B293" i="1"/>
  <c r="A293" i="1"/>
  <c r="S292" i="1"/>
  <c r="O292" i="1"/>
  <c r="K292" i="1"/>
  <c r="J292" i="1"/>
  <c r="I292" i="1"/>
  <c r="H292" i="1"/>
  <c r="G292" i="1"/>
  <c r="F292" i="1"/>
  <c r="E292" i="1"/>
  <c r="D292" i="1"/>
  <c r="C292" i="1"/>
  <c r="B292" i="1"/>
  <c r="A292" i="1"/>
  <c r="S291" i="1"/>
  <c r="O291" i="1"/>
  <c r="K291" i="1"/>
  <c r="J291" i="1"/>
  <c r="I291" i="1"/>
  <c r="H291" i="1"/>
  <c r="G291" i="1"/>
  <c r="F291" i="1"/>
  <c r="E291" i="1"/>
  <c r="D291" i="1"/>
  <c r="C291" i="1"/>
  <c r="B291" i="1"/>
  <c r="A291" i="1"/>
  <c r="R290" i="1"/>
  <c r="J290" i="1"/>
  <c r="I290" i="1"/>
  <c r="G290" i="1"/>
  <c r="F290" i="1"/>
  <c r="E290" i="1"/>
  <c r="D290" i="1"/>
  <c r="C290" i="1"/>
  <c r="B290" i="1"/>
  <c r="A290" i="1"/>
  <c r="S289" i="1"/>
  <c r="O289" i="1"/>
  <c r="K289" i="1"/>
  <c r="J289" i="1"/>
  <c r="I289" i="1"/>
  <c r="H289" i="1"/>
  <c r="G289" i="1"/>
  <c r="F289" i="1"/>
  <c r="E289" i="1"/>
  <c r="D289" i="1"/>
  <c r="C289" i="1"/>
  <c r="B289" i="1"/>
  <c r="A289" i="1"/>
  <c r="R288" i="1"/>
  <c r="J288" i="1"/>
  <c r="I288" i="1"/>
  <c r="G288" i="1"/>
  <c r="F288" i="1"/>
  <c r="E288" i="1"/>
  <c r="D288" i="1"/>
  <c r="C288" i="1"/>
  <c r="B288" i="1"/>
  <c r="A288" i="1"/>
  <c r="S287" i="1"/>
  <c r="O287" i="1"/>
  <c r="K287" i="1"/>
  <c r="J287" i="1"/>
  <c r="I287" i="1"/>
  <c r="H287" i="1"/>
  <c r="G287" i="1"/>
  <c r="F287" i="1"/>
  <c r="E287" i="1"/>
  <c r="D287" i="1"/>
  <c r="C287" i="1"/>
  <c r="B287" i="1"/>
  <c r="A287" i="1"/>
  <c r="R286" i="1"/>
  <c r="J286" i="1"/>
  <c r="I286" i="1"/>
  <c r="G286" i="1"/>
  <c r="F286" i="1"/>
  <c r="E286" i="1"/>
  <c r="D286" i="1"/>
  <c r="C286" i="1"/>
  <c r="B286" i="1"/>
  <c r="A286" i="1"/>
  <c r="S285" i="1"/>
  <c r="O285" i="1"/>
  <c r="K285" i="1"/>
  <c r="J285" i="1"/>
  <c r="I285" i="1"/>
  <c r="H285" i="1"/>
  <c r="G285" i="1"/>
  <c r="F285" i="1"/>
  <c r="E285" i="1"/>
  <c r="D285" i="1"/>
  <c r="C285" i="1"/>
  <c r="B285" i="1"/>
  <c r="A285" i="1"/>
  <c r="R284" i="1"/>
  <c r="J284" i="1"/>
  <c r="I284" i="1"/>
  <c r="G284" i="1"/>
  <c r="F284" i="1"/>
  <c r="E284" i="1"/>
  <c r="D284" i="1"/>
  <c r="C284" i="1"/>
  <c r="B284" i="1"/>
  <c r="A284" i="1"/>
  <c r="S283" i="1"/>
  <c r="O283" i="1"/>
  <c r="K283" i="1"/>
  <c r="J283" i="1"/>
  <c r="I283" i="1"/>
  <c r="H283" i="1"/>
  <c r="G283" i="1"/>
  <c r="F283" i="1"/>
  <c r="E283" i="1"/>
  <c r="D283" i="1"/>
  <c r="C283" i="1"/>
  <c r="B283" i="1"/>
  <c r="A283" i="1"/>
  <c r="R282" i="1"/>
  <c r="J282" i="1"/>
  <c r="I282" i="1"/>
  <c r="G282" i="1"/>
  <c r="F282" i="1"/>
  <c r="E282" i="1"/>
  <c r="D282" i="1"/>
  <c r="C282" i="1"/>
  <c r="B282" i="1"/>
  <c r="A282" i="1"/>
  <c r="S281" i="1"/>
  <c r="O281" i="1"/>
  <c r="K281" i="1"/>
  <c r="J281" i="1"/>
  <c r="I281" i="1"/>
  <c r="H281" i="1"/>
  <c r="G281" i="1"/>
  <c r="F281" i="1"/>
  <c r="E281" i="1"/>
  <c r="D281" i="1"/>
  <c r="C281" i="1"/>
  <c r="B281" i="1"/>
  <c r="A281" i="1"/>
  <c r="R280" i="1"/>
  <c r="J280" i="1"/>
  <c r="I280" i="1"/>
  <c r="G280" i="1"/>
  <c r="F280" i="1"/>
  <c r="E280" i="1"/>
  <c r="D280" i="1"/>
  <c r="C280" i="1"/>
  <c r="B280" i="1"/>
  <c r="A280" i="1"/>
  <c r="S279" i="1"/>
  <c r="O279" i="1"/>
  <c r="K279" i="1"/>
  <c r="J279" i="1"/>
  <c r="I279" i="1"/>
  <c r="H279" i="1"/>
  <c r="G279" i="1"/>
  <c r="F279" i="1"/>
  <c r="E279" i="1"/>
  <c r="D279" i="1"/>
  <c r="C279" i="1"/>
  <c r="B279" i="1"/>
  <c r="A279" i="1"/>
  <c r="R278" i="1"/>
  <c r="J278" i="1"/>
  <c r="I278" i="1"/>
  <c r="G278" i="1"/>
  <c r="F278" i="1"/>
  <c r="E278" i="1"/>
  <c r="D278" i="1"/>
  <c r="C278" i="1"/>
  <c r="B278" i="1"/>
  <c r="A278" i="1"/>
  <c r="S277" i="1"/>
  <c r="O277" i="1"/>
  <c r="K277" i="1"/>
  <c r="J277" i="1"/>
  <c r="I277" i="1"/>
  <c r="H277" i="1"/>
  <c r="G277" i="1"/>
  <c r="F277" i="1"/>
  <c r="E277" i="1"/>
  <c r="D277" i="1"/>
  <c r="C277" i="1"/>
  <c r="B277" i="1"/>
  <c r="A277" i="1"/>
  <c r="R276" i="1"/>
  <c r="J276" i="1"/>
  <c r="I276" i="1"/>
  <c r="G276" i="1"/>
  <c r="F276" i="1"/>
  <c r="E276" i="1"/>
  <c r="D276" i="1"/>
  <c r="C276" i="1"/>
  <c r="B276" i="1"/>
  <c r="A276" i="1"/>
  <c r="S275" i="1"/>
  <c r="O275" i="1"/>
  <c r="K275" i="1"/>
  <c r="J275" i="1"/>
  <c r="I275" i="1"/>
  <c r="H275" i="1"/>
  <c r="G275" i="1"/>
  <c r="F275" i="1"/>
  <c r="E275" i="1"/>
  <c r="D275" i="1"/>
  <c r="C275" i="1"/>
  <c r="B275" i="1"/>
  <c r="A275" i="1"/>
  <c r="R274" i="1"/>
  <c r="J274" i="1"/>
  <c r="I274" i="1"/>
  <c r="G274" i="1"/>
  <c r="F274" i="1"/>
  <c r="E274" i="1"/>
  <c r="D274" i="1"/>
  <c r="C274" i="1"/>
  <c r="B274" i="1"/>
  <c r="A274" i="1"/>
  <c r="S273" i="1"/>
  <c r="O273" i="1"/>
  <c r="K273" i="1"/>
  <c r="J273" i="1"/>
  <c r="I273" i="1"/>
  <c r="H273" i="1"/>
  <c r="G273" i="1"/>
  <c r="F273" i="1"/>
  <c r="E273" i="1"/>
  <c r="D273" i="1"/>
  <c r="C273" i="1"/>
  <c r="B273" i="1"/>
  <c r="A273" i="1"/>
  <c r="R272" i="1"/>
  <c r="J272" i="1"/>
  <c r="I272" i="1"/>
  <c r="G272" i="1"/>
  <c r="F272" i="1"/>
  <c r="E272" i="1"/>
  <c r="D272" i="1"/>
  <c r="C272" i="1"/>
  <c r="B272" i="1"/>
  <c r="A272" i="1"/>
  <c r="S271" i="1"/>
  <c r="O271" i="1"/>
  <c r="K271" i="1"/>
  <c r="J271" i="1"/>
  <c r="I271" i="1"/>
  <c r="H271" i="1"/>
  <c r="G271" i="1"/>
  <c r="F271" i="1"/>
  <c r="E271" i="1"/>
  <c r="D271" i="1"/>
  <c r="C271" i="1"/>
  <c r="B271" i="1"/>
  <c r="A271" i="1"/>
  <c r="S270" i="1"/>
  <c r="O270" i="1"/>
  <c r="K270" i="1"/>
  <c r="J270" i="1"/>
  <c r="I270" i="1"/>
  <c r="H270" i="1"/>
  <c r="G270" i="1"/>
  <c r="F270" i="1"/>
  <c r="E270" i="1"/>
  <c r="D270" i="1"/>
  <c r="C270" i="1"/>
  <c r="B270" i="1"/>
  <c r="A270" i="1"/>
  <c r="R269" i="1"/>
  <c r="J269" i="1"/>
  <c r="I269" i="1"/>
  <c r="G269" i="1"/>
  <c r="F269" i="1"/>
  <c r="E269" i="1"/>
  <c r="D269" i="1"/>
  <c r="C269" i="1"/>
  <c r="B269" i="1"/>
  <c r="A269" i="1"/>
  <c r="S268" i="1"/>
  <c r="O268" i="1"/>
  <c r="K268" i="1"/>
  <c r="J268" i="1"/>
  <c r="I268" i="1"/>
  <c r="H268" i="1"/>
  <c r="G268" i="1"/>
  <c r="F268" i="1"/>
  <c r="E268" i="1"/>
  <c r="D268" i="1"/>
  <c r="C268" i="1"/>
  <c r="B268" i="1"/>
  <c r="A268" i="1"/>
  <c r="R267" i="1"/>
  <c r="J267" i="1"/>
  <c r="I267" i="1"/>
  <c r="G267" i="1"/>
  <c r="F267" i="1"/>
  <c r="E267" i="1"/>
  <c r="D267" i="1"/>
  <c r="C267" i="1"/>
  <c r="B267" i="1"/>
  <c r="A267" i="1"/>
  <c r="R266" i="1"/>
  <c r="J266" i="1"/>
  <c r="I266" i="1"/>
  <c r="G266" i="1"/>
  <c r="F266" i="1"/>
  <c r="E266" i="1"/>
  <c r="D266" i="1"/>
  <c r="C266" i="1"/>
  <c r="B266" i="1"/>
  <c r="A266" i="1"/>
  <c r="S265" i="1"/>
  <c r="O265" i="1"/>
  <c r="K265" i="1"/>
  <c r="J265" i="1"/>
  <c r="I265" i="1"/>
  <c r="H265" i="1"/>
  <c r="G265" i="1"/>
  <c r="F265" i="1"/>
  <c r="E265" i="1"/>
  <c r="D265" i="1"/>
  <c r="C265" i="1"/>
  <c r="B265" i="1"/>
  <c r="A265" i="1"/>
  <c r="R264" i="1"/>
  <c r="J264" i="1"/>
  <c r="I264" i="1"/>
  <c r="G264" i="1"/>
  <c r="F264" i="1"/>
  <c r="E264" i="1"/>
  <c r="D264" i="1"/>
  <c r="C264" i="1"/>
  <c r="B264" i="1"/>
  <c r="A264" i="1"/>
  <c r="S263" i="1"/>
  <c r="O263" i="1"/>
  <c r="K263" i="1"/>
  <c r="J263" i="1"/>
  <c r="I263" i="1"/>
  <c r="H263" i="1"/>
  <c r="G263" i="1"/>
  <c r="F263" i="1"/>
  <c r="E263" i="1"/>
  <c r="D263" i="1"/>
  <c r="C263" i="1"/>
  <c r="B263" i="1"/>
  <c r="A263" i="1"/>
  <c r="S262" i="1"/>
  <c r="O262" i="1"/>
  <c r="K262" i="1"/>
  <c r="J262" i="1"/>
  <c r="I262" i="1"/>
  <c r="H262" i="1"/>
  <c r="G262" i="1"/>
  <c r="F262" i="1"/>
  <c r="E262" i="1"/>
  <c r="D262" i="1"/>
  <c r="C262" i="1"/>
  <c r="B262" i="1"/>
  <c r="A262" i="1"/>
  <c r="R261" i="1"/>
  <c r="J261" i="1"/>
  <c r="I261" i="1"/>
  <c r="G261" i="1"/>
  <c r="F261" i="1"/>
  <c r="E261" i="1"/>
  <c r="D261" i="1"/>
  <c r="C261" i="1"/>
  <c r="B261" i="1"/>
  <c r="A261" i="1"/>
  <c r="S260" i="1"/>
  <c r="O260" i="1"/>
  <c r="K260" i="1"/>
  <c r="J260" i="1"/>
  <c r="I260" i="1"/>
  <c r="H260" i="1"/>
  <c r="G260" i="1"/>
  <c r="F260" i="1"/>
  <c r="E260" i="1"/>
  <c r="D260" i="1"/>
  <c r="C260" i="1"/>
  <c r="B260" i="1"/>
  <c r="A260" i="1"/>
  <c r="R259" i="1"/>
  <c r="J259" i="1"/>
  <c r="I259" i="1"/>
  <c r="G259" i="1"/>
  <c r="F259" i="1"/>
  <c r="E259" i="1"/>
  <c r="D259" i="1"/>
  <c r="C259" i="1"/>
  <c r="B259" i="1"/>
  <c r="A259" i="1"/>
  <c r="S258" i="1"/>
  <c r="O258" i="1"/>
  <c r="K258" i="1"/>
  <c r="J258" i="1"/>
  <c r="I258" i="1"/>
  <c r="H258" i="1"/>
  <c r="G258" i="1"/>
  <c r="F258" i="1"/>
  <c r="E258" i="1"/>
  <c r="D258" i="1"/>
  <c r="C258" i="1"/>
  <c r="B258" i="1"/>
  <c r="A258" i="1"/>
  <c r="R257" i="1"/>
  <c r="J257" i="1"/>
  <c r="I257" i="1"/>
  <c r="G257" i="1"/>
  <c r="F257" i="1"/>
  <c r="E257" i="1"/>
  <c r="D257" i="1"/>
  <c r="C257" i="1"/>
  <c r="B257" i="1"/>
  <c r="A257" i="1"/>
  <c r="S256" i="1"/>
  <c r="O256" i="1"/>
  <c r="K256" i="1"/>
  <c r="J256" i="1"/>
  <c r="I256" i="1"/>
  <c r="H256" i="1"/>
  <c r="G256" i="1"/>
  <c r="F256" i="1"/>
  <c r="E256" i="1"/>
  <c r="D256" i="1"/>
  <c r="C256" i="1"/>
  <c r="B256" i="1"/>
  <c r="A256" i="1"/>
  <c r="S255" i="1"/>
  <c r="O255" i="1"/>
  <c r="K255" i="1"/>
  <c r="J255" i="1"/>
  <c r="I255" i="1"/>
  <c r="H255" i="1"/>
  <c r="G255" i="1"/>
  <c r="F255" i="1"/>
  <c r="E255" i="1"/>
  <c r="D255" i="1"/>
  <c r="C255" i="1"/>
  <c r="B255" i="1"/>
  <c r="A255" i="1"/>
  <c r="R254" i="1"/>
  <c r="J254" i="1"/>
  <c r="I254" i="1"/>
  <c r="G254" i="1"/>
  <c r="F254" i="1"/>
  <c r="E254" i="1"/>
  <c r="D254" i="1"/>
  <c r="C254" i="1"/>
  <c r="B254" i="1"/>
  <c r="A254" i="1"/>
  <c r="R253" i="1"/>
  <c r="J253" i="1"/>
  <c r="I253" i="1"/>
  <c r="G253" i="1"/>
  <c r="F253" i="1"/>
  <c r="E253" i="1"/>
  <c r="D253" i="1"/>
  <c r="C253" i="1"/>
  <c r="B253" i="1"/>
  <c r="A253" i="1"/>
  <c r="S252" i="1"/>
  <c r="O252" i="1"/>
  <c r="K252" i="1"/>
  <c r="J252" i="1"/>
  <c r="I252" i="1"/>
  <c r="H252" i="1"/>
  <c r="G252" i="1"/>
  <c r="F252" i="1"/>
  <c r="E252" i="1"/>
  <c r="D252" i="1"/>
  <c r="C252" i="1"/>
  <c r="B252" i="1"/>
  <c r="A252" i="1"/>
  <c r="R251" i="1"/>
  <c r="J251" i="1"/>
  <c r="I251" i="1"/>
  <c r="G251" i="1"/>
  <c r="F251" i="1"/>
  <c r="E251" i="1"/>
  <c r="D251" i="1"/>
  <c r="C251" i="1"/>
  <c r="B251" i="1"/>
  <c r="A251" i="1"/>
  <c r="R250" i="1"/>
  <c r="J250" i="1"/>
  <c r="I250" i="1"/>
  <c r="G250" i="1"/>
  <c r="F250" i="1"/>
  <c r="E250" i="1"/>
  <c r="D250" i="1"/>
  <c r="C250" i="1"/>
  <c r="B250" i="1"/>
  <c r="A250" i="1"/>
  <c r="S249" i="1"/>
  <c r="O249" i="1"/>
  <c r="K249" i="1"/>
  <c r="J249" i="1"/>
  <c r="I249" i="1"/>
  <c r="H249" i="1"/>
  <c r="G249" i="1"/>
  <c r="F249" i="1"/>
  <c r="E249" i="1"/>
  <c r="D249" i="1"/>
  <c r="C249" i="1"/>
  <c r="B249" i="1"/>
  <c r="A249" i="1"/>
  <c r="R248" i="1"/>
  <c r="J248" i="1"/>
  <c r="I248" i="1"/>
  <c r="G248" i="1"/>
  <c r="F248" i="1"/>
  <c r="E248" i="1"/>
  <c r="D248" i="1"/>
  <c r="C248" i="1"/>
  <c r="B248" i="1"/>
  <c r="A248" i="1"/>
  <c r="S247" i="1"/>
  <c r="O247" i="1"/>
  <c r="K247" i="1"/>
  <c r="J247" i="1"/>
  <c r="I247" i="1"/>
  <c r="H247" i="1"/>
  <c r="G247" i="1"/>
  <c r="F247" i="1"/>
  <c r="E247" i="1"/>
  <c r="D247" i="1"/>
  <c r="C247" i="1"/>
  <c r="B247" i="1"/>
  <c r="A247" i="1"/>
  <c r="S246" i="1"/>
  <c r="O246" i="1"/>
  <c r="K246" i="1"/>
  <c r="J246" i="1"/>
  <c r="I246" i="1"/>
  <c r="H246" i="1"/>
  <c r="G246" i="1"/>
  <c r="F246" i="1"/>
  <c r="E246" i="1"/>
  <c r="D246" i="1"/>
  <c r="C246" i="1"/>
  <c r="B246" i="1"/>
  <c r="A246" i="1"/>
  <c r="R245" i="1"/>
  <c r="J245" i="1"/>
  <c r="I245" i="1"/>
  <c r="G245" i="1"/>
  <c r="F245" i="1"/>
  <c r="E245" i="1"/>
  <c r="D245" i="1"/>
  <c r="C245" i="1"/>
  <c r="B245" i="1"/>
  <c r="A245" i="1"/>
  <c r="S244" i="1"/>
  <c r="O244" i="1"/>
  <c r="K244" i="1"/>
  <c r="J244" i="1"/>
  <c r="I244" i="1"/>
  <c r="H244" i="1"/>
  <c r="G244" i="1"/>
  <c r="F244" i="1"/>
  <c r="E244" i="1"/>
  <c r="D244" i="1"/>
  <c r="C244" i="1"/>
  <c r="B244" i="1"/>
  <c r="A244" i="1"/>
  <c r="R243" i="1"/>
  <c r="J243" i="1"/>
  <c r="I243" i="1"/>
  <c r="G243" i="1"/>
  <c r="F243" i="1"/>
  <c r="E243" i="1"/>
  <c r="D243" i="1"/>
  <c r="C243" i="1"/>
  <c r="B243" i="1"/>
  <c r="A243" i="1"/>
  <c r="S242" i="1"/>
  <c r="O242" i="1"/>
  <c r="K242" i="1"/>
  <c r="J242" i="1"/>
  <c r="I242" i="1"/>
  <c r="H242" i="1"/>
  <c r="G242" i="1"/>
  <c r="F242" i="1"/>
  <c r="E242" i="1"/>
  <c r="D242" i="1"/>
  <c r="C242" i="1"/>
  <c r="B242" i="1"/>
  <c r="A242" i="1"/>
  <c r="R241" i="1"/>
  <c r="J241" i="1"/>
  <c r="I241" i="1"/>
  <c r="G241" i="1"/>
  <c r="F241" i="1"/>
  <c r="E241" i="1"/>
  <c r="D241" i="1"/>
  <c r="C241" i="1"/>
  <c r="B241" i="1"/>
  <c r="A241" i="1"/>
  <c r="R240" i="1"/>
  <c r="J240" i="1"/>
  <c r="I240" i="1"/>
  <c r="G240" i="1"/>
  <c r="F240" i="1"/>
  <c r="E240" i="1"/>
  <c r="D240" i="1"/>
  <c r="C240" i="1"/>
  <c r="B240" i="1"/>
  <c r="A240" i="1"/>
  <c r="R239" i="1"/>
  <c r="J239" i="1"/>
  <c r="I239" i="1"/>
  <c r="G239" i="1"/>
  <c r="F239" i="1"/>
  <c r="E239" i="1"/>
  <c r="D239" i="1"/>
  <c r="C239" i="1"/>
  <c r="B239" i="1"/>
  <c r="A239" i="1"/>
  <c r="S238" i="1"/>
  <c r="O238" i="1"/>
  <c r="K238" i="1"/>
  <c r="J238" i="1"/>
  <c r="I238" i="1"/>
  <c r="H238" i="1"/>
  <c r="G238" i="1"/>
  <c r="F238" i="1"/>
  <c r="E238" i="1"/>
  <c r="D238" i="1"/>
  <c r="C238" i="1"/>
  <c r="B238" i="1"/>
  <c r="A238" i="1"/>
  <c r="R237" i="1"/>
  <c r="J237" i="1"/>
  <c r="I237" i="1"/>
  <c r="G237" i="1"/>
  <c r="F237" i="1"/>
  <c r="E237" i="1"/>
  <c r="D237" i="1"/>
  <c r="C237" i="1"/>
  <c r="B237" i="1"/>
  <c r="A237" i="1"/>
  <c r="S236" i="1"/>
  <c r="O236" i="1"/>
  <c r="K236" i="1"/>
  <c r="J236" i="1"/>
  <c r="I236" i="1"/>
  <c r="H236" i="1"/>
  <c r="G236" i="1"/>
  <c r="F236" i="1"/>
  <c r="E236" i="1"/>
  <c r="D236" i="1"/>
  <c r="C236" i="1"/>
  <c r="B236" i="1"/>
  <c r="A236" i="1"/>
  <c r="R235" i="1"/>
  <c r="J235" i="1"/>
  <c r="I235" i="1"/>
  <c r="G235" i="1"/>
  <c r="F235" i="1"/>
  <c r="E235" i="1"/>
  <c r="D235" i="1"/>
  <c r="C235" i="1"/>
  <c r="B235" i="1"/>
  <c r="A235" i="1"/>
  <c r="S234" i="1"/>
  <c r="O234" i="1"/>
  <c r="K234" i="1"/>
  <c r="J234" i="1"/>
  <c r="I234" i="1"/>
  <c r="H234" i="1"/>
  <c r="G234" i="1"/>
  <c r="F234" i="1"/>
  <c r="E234" i="1"/>
  <c r="D234" i="1"/>
  <c r="C234" i="1"/>
  <c r="B234" i="1"/>
  <c r="A234" i="1"/>
  <c r="S233" i="1"/>
  <c r="O233" i="1"/>
  <c r="K233" i="1"/>
  <c r="J233" i="1"/>
  <c r="I233" i="1"/>
  <c r="H233" i="1"/>
  <c r="G233" i="1"/>
  <c r="F233" i="1"/>
  <c r="E233" i="1"/>
  <c r="D233" i="1"/>
  <c r="C233" i="1"/>
  <c r="B233" i="1"/>
  <c r="A233" i="1"/>
  <c r="R232" i="1"/>
  <c r="J232" i="1"/>
  <c r="I232" i="1"/>
  <c r="G232" i="1"/>
  <c r="F232" i="1"/>
  <c r="E232" i="1"/>
  <c r="D232" i="1"/>
  <c r="C232" i="1"/>
  <c r="B232" i="1"/>
  <c r="A232" i="1"/>
  <c r="S231" i="1"/>
  <c r="O231" i="1"/>
  <c r="K231" i="1"/>
  <c r="J231" i="1"/>
  <c r="I231" i="1"/>
  <c r="H231" i="1"/>
  <c r="G231" i="1"/>
  <c r="F231" i="1"/>
  <c r="E231" i="1"/>
  <c r="D231" i="1"/>
  <c r="C231" i="1"/>
  <c r="B231" i="1"/>
  <c r="A231" i="1"/>
  <c r="R230" i="1"/>
  <c r="J230" i="1"/>
  <c r="I230" i="1"/>
  <c r="G230" i="1"/>
  <c r="F230" i="1"/>
  <c r="E230" i="1"/>
  <c r="D230" i="1"/>
  <c r="C230" i="1"/>
  <c r="B230" i="1"/>
  <c r="A230" i="1"/>
  <c r="S229" i="1"/>
  <c r="O229" i="1"/>
  <c r="K229" i="1"/>
  <c r="J229" i="1"/>
  <c r="I229" i="1"/>
  <c r="H229" i="1"/>
  <c r="G229" i="1"/>
  <c r="F229" i="1"/>
  <c r="E229" i="1"/>
  <c r="D229" i="1"/>
  <c r="C229" i="1"/>
  <c r="B229" i="1"/>
  <c r="A229" i="1"/>
  <c r="R228" i="1"/>
  <c r="J228" i="1"/>
  <c r="I228" i="1"/>
  <c r="G228" i="1"/>
  <c r="F228" i="1"/>
  <c r="E228" i="1"/>
  <c r="D228" i="1"/>
  <c r="C228" i="1"/>
  <c r="B228" i="1"/>
  <c r="A228" i="1"/>
  <c r="S227" i="1"/>
  <c r="O227" i="1"/>
  <c r="K227" i="1"/>
  <c r="J227" i="1"/>
  <c r="I227" i="1"/>
  <c r="H227" i="1"/>
  <c r="G227" i="1"/>
  <c r="F227" i="1"/>
  <c r="E227" i="1"/>
  <c r="D227" i="1"/>
  <c r="C227" i="1"/>
  <c r="B227" i="1"/>
  <c r="A227" i="1"/>
  <c r="R226" i="1"/>
  <c r="J226" i="1"/>
  <c r="I226" i="1"/>
  <c r="G226" i="1"/>
  <c r="F226" i="1"/>
  <c r="E226" i="1"/>
  <c r="D226" i="1"/>
  <c r="C226" i="1"/>
  <c r="B226" i="1"/>
  <c r="A226" i="1"/>
  <c r="S225" i="1"/>
  <c r="O225" i="1"/>
  <c r="K225" i="1"/>
  <c r="J225" i="1"/>
  <c r="I225" i="1"/>
  <c r="H225" i="1"/>
  <c r="G225" i="1"/>
  <c r="F225" i="1"/>
  <c r="E225" i="1"/>
  <c r="D225" i="1"/>
  <c r="C225" i="1"/>
  <c r="B225" i="1"/>
  <c r="A225" i="1"/>
  <c r="R224" i="1"/>
  <c r="J224" i="1"/>
  <c r="I224" i="1"/>
  <c r="G224" i="1"/>
  <c r="F224" i="1"/>
  <c r="E224" i="1"/>
  <c r="D224" i="1"/>
  <c r="C224" i="1"/>
  <c r="B224" i="1"/>
  <c r="A224" i="1"/>
  <c r="S223" i="1"/>
  <c r="O223" i="1"/>
  <c r="K223" i="1"/>
  <c r="J223" i="1"/>
  <c r="I223" i="1"/>
  <c r="H223" i="1"/>
  <c r="G223" i="1"/>
  <c r="F223" i="1"/>
  <c r="E223" i="1"/>
  <c r="D223" i="1"/>
  <c r="C223" i="1"/>
  <c r="B223" i="1"/>
  <c r="A223" i="1"/>
  <c r="R222" i="1"/>
  <c r="J222" i="1"/>
  <c r="I222" i="1"/>
  <c r="G222" i="1"/>
  <c r="F222" i="1"/>
  <c r="E222" i="1"/>
  <c r="D222" i="1"/>
  <c r="C222" i="1"/>
  <c r="B222" i="1"/>
  <c r="A222" i="1"/>
  <c r="S221" i="1"/>
  <c r="O221" i="1"/>
  <c r="K221" i="1"/>
  <c r="J221" i="1"/>
  <c r="I221" i="1"/>
  <c r="H221" i="1"/>
  <c r="G221" i="1"/>
  <c r="F221" i="1"/>
  <c r="E221" i="1"/>
  <c r="D221" i="1"/>
  <c r="C221" i="1"/>
  <c r="B221" i="1"/>
  <c r="A221" i="1"/>
  <c r="R220" i="1"/>
  <c r="J220" i="1"/>
  <c r="I220" i="1"/>
  <c r="G220" i="1"/>
  <c r="F220" i="1"/>
  <c r="E220" i="1"/>
  <c r="D220" i="1"/>
  <c r="C220" i="1"/>
  <c r="B220" i="1"/>
  <c r="A220" i="1"/>
  <c r="S219" i="1"/>
  <c r="O219" i="1"/>
  <c r="K219" i="1"/>
  <c r="J219" i="1"/>
  <c r="I219" i="1"/>
  <c r="H219" i="1"/>
  <c r="G219" i="1"/>
  <c r="F219" i="1"/>
  <c r="E219" i="1"/>
  <c r="D219" i="1"/>
  <c r="C219" i="1"/>
  <c r="B219" i="1"/>
  <c r="A219" i="1"/>
  <c r="R218" i="1"/>
  <c r="J218" i="1"/>
  <c r="I218" i="1"/>
  <c r="G218" i="1"/>
  <c r="F218" i="1"/>
  <c r="E218" i="1"/>
  <c r="D218" i="1"/>
  <c r="C218" i="1"/>
  <c r="B218" i="1"/>
  <c r="A218" i="1"/>
  <c r="S217" i="1"/>
  <c r="O217" i="1"/>
  <c r="K217" i="1"/>
  <c r="J217" i="1"/>
  <c r="I217" i="1"/>
  <c r="H217" i="1"/>
  <c r="G217" i="1"/>
  <c r="F217" i="1"/>
  <c r="E217" i="1"/>
  <c r="D217" i="1"/>
  <c r="C217" i="1"/>
  <c r="B217" i="1"/>
  <c r="A217" i="1"/>
  <c r="R216" i="1"/>
  <c r="J216" i="1"/>
  <c r="I216" i="1"/>
  <c r="G216" i="1"/>
  <c r="F216" i="1"/>
  <c r="E216" i="1"/>
  <c r="D216" i="1"/>
  <c r="C216" i="1"/>
  <c r="B216" i="1"/>
  <c r="A216" i="1"/>
  <c r="R215" i="1"/>
  <c r="J215" i="1"/>
  <c r="I215" i="1"/>
  <c r="G215" i="1"/>
  <c r="F215" i="1"/>
  <c r="E215" i="1"/>
  <c r="D215" i="1"/>
  <c r="C215" i="1"/>
  <c r="B215" i="1"/>
  <c r="A215" i="1"/>
  <c r="S214" i="1"/>
  <c r="O214" i="1"/>
  <c r="K214" i="1"/>
  <c r="J214" i="1"/>
  <c r="I214" i="1"/>
  <c r="H214" i="1"/>
  <c r="G214" i="1"/>
  <c r="F214" i="1"/>
  <c r="E214" i="1"/>
  <c r="D214" i="1"/>
  <c r="C214" i="1"/>
  <c r="B214" i="1"/>
  <c r="A214" i="1"/>
  <c r="R213" i="1"/>
  <c r="J213" i="1"/>
  <c r="I213" i="1"/>
  <c r="G213" i="1"/>
  <c r="F213" i="1"/>
  <c r="E213" i="1"/>
  <c r="D213" i="1"/>
  <c r="C213" i="1"/>
  <c r="B213" i="1"/>
  <c r="A213" i="1"/>
  <c r="S212" i="1"/>
  <c r="O212" i="1"/>
  <c r="K212" i="1"/>
  <c r="J212" i="1"/>
  <c r="I212" i="1"/>
  <c r="H212" i="1"/>
  <c r="G212" i="1"/>
  <c r="F212" i="1"/>
  <c r="E212" i="1"/>
  <c r="D212" i="1"/>
  <c r="C212" i="1"/>
  <c r="B212" i="1"/>
  <c r="A212" i="1"/>
  <c r="R211" i="1"/>
  <c r="J211" i="1"/>
  <c r="I211" i="1"/>
  <c r="G211" i="1"/>
  <c r="F211" i="1"/>
  <c r="E211" i="1"/>
  <c r="D211" i="1"/>
  <c r="C211" i="1"/>
  <c r="B211" i="1"/>
  <c r="A211" i="1"/>
  <c r="S210" i="1"/>
  <c r="O210" i="1"/>
  <c r="K210" i="1"/>
  <c r="J210" i="1"/>
  <c r="I210" i="1"/>
  <c r="H210" i="1"/>
  <c r="G210" i="1"/>
  <c r="F210" i="1"/>
  <c r="E210" i="1"/>
  <c r="D210" i="1"/>
  <c r="C210" i="1"/>
  <c r="B210" i="1"/>
  <c r="A210" i="1"/>
  <c r="R209" i="1"/>
  <c r="J209" i="1"/>
  <c r="I209" i="1"/>
  <c r="G209" i="1"/>
  <c r="F209" i="1"/>
  <c r="E209" i="1"/>
  <c r="D209" i="1"/>
  <c r="C209" i="1"/>
  <c r="B209" i="1"/>
  <c r="A209" i="1"/>
  <c r="S208" i="1"/>
  <c r="O208" i="1"/>
  <c r="K208" i="1"/>
  <c r="J208" i="1"/>
  <c r="I208" i="1"/>
  <c r="H208" i="1"/>
  <c r="G208" i="1"/>
  <c r="F208" i="1"/>
  <c r="E208" i="1"/>
  <c r="D208" i="1"/>
  <c r="C208" i="1"/>
  <c r="B208" i="1"/>
  <c r="A208" i="1"/>
  <c r="R207" i="1"/>
  <c r="J207" i="1"/>
  <c r="I207" i="1"/>
  <c r="G207" i="1"/>
  <c r="F207" i="1"/>
  <c r="E207" i="1"/>
  <c r="D207" i="1"/>
  <c r="C207" i="1"/>
  <c r="B207" i="1"/>
  <c r="A207" i="1"/>
  <c r="R206" i="1"/>
  <c r="J206" i="1"/>
  <c r="I206" i="1"/>
  <c r="G206" i="1"/>
  <c r="F206" i="1"/>
  <c r="E206" i="1"/>
  <c r="D206" i="1"/>
  <c r="C206" i="1"/>
  <c r="B206" i="1"/>
  <c r="A206" i="1"/>
  <c r="S205" i="1"/>
  <c r="O205" i="1"/>
  <c r="K205" i="1"/>
  <c r="J205" i="1"/>
  <c r="I205" i="1"/>
  <c r="H205" i="1"/>
  <c r="G205" i="1"/>
  <c r="F205" i="1"/>
  <c r="E205" i="1"/>
  <c r="D205" i="1"/>
  <c r="C205" i="1"/>
  <c r="B205" i="1"/>
  <c r="A205" i="1"/>
  <c r="R204" i="1"/>
  <c r="J204" i="1"/>
  <c r="I204" i="1"/>
  <c r="G204" i="1"/>
  <c r="F204" i="1"/>
  <c r="E204" i="1"/>
  <c r="D204" i="1"/>
  <c r="C204" i="1"/>
  <c r="B204" i="1"/>
  <c r="A204" i="1"/>
  <c r="S203" i="1"/>
  <c r="O203" i="1"/>
  <c r="K203" i="1"/>
  <c r="J203" i="1"/>
  <c r="I203" i="1"/>
  <c r="H203" i="1"/>
  <c r="G203" i="1"/>
  <c r="F203" i="1"/>
  <c r="E203" i="1"/>
  <c r="D203" i="1"/>
  <c r="C203" i="1"/>
  <c r="B203" i="1"/>
  <c r="A203" i="1"/>
  <c r="R202" i="1"/>
  <c r="J202" i="1"/>
  <c r="I202" i="1"/>
  <c r="G202" i="1"/>
  <c r="F202" i="1"/>
  <c r="E202" i="1"/>
  <c r="D202" i="1"/>
  <c r="C202" i="1"/>
  <c r="B202" i="1"/>
  <c r="A202" i="1"/>
  <c r="S201" i="1"/>
  <c r="O201" i="1"/>
  <c r="K201" i="1"/>
  <c r="J201" i="1"/>
  <c r="I201" i="1"/>
  <c r="H201" i="1"/>
  <c r="G201" i="1"/>
  <c r="F201" i="1"/>
  <c r="E201" i="1"/>
  <c r="D201" i="1"/>
  <c r="C201" i="1"/>
  <c r="B201" i="1"/>
  <c r="A201" i="1"/>
  <c r="R200" i="1"/>
  <c r="J200" i="1"/>
  <c r="I200" i="1"/>
  <c r="G200" i="1"/>
  <c r="F200" i="1"/>
  <c r="E200" i="1"/>
  <c r="D200" i="1"/>
  <c r="C200" i="1"/>
  <c r="B200" i="1"/>
  <c r="A200" i="1"/>
  <c r="R199" i="1"/>
  <c r="J199" i="1"/>
  <c r="I199" i="1"/>
  <c r="G199" i="1"/>
  <c r="F199" i="1"/>
  <c r="E199" i="1"/>
  <c r="D199" i="1"/>
  <c r="C199" i="1"/>
  <c r="B199" i="1"/>
  <c r="A199" i="1"/>
  <c r="R198" i="1"/>
  <c r="J198" i="1"/>
  <c r="I198" i="1"/>
  <c r="G198" i="1"/>
  <c r="F198" i="1"/>
  <c r="E198" i="1"/>
  <c r="D198" i="1"/>
  <c r="C198" i="1"/>
  <c r="B198" i="1"/>
  <c r="A198" i="1"/>
  <c r="S197" i="1"/>
  <c r="O197" i="1"/>
  <c r="K197" i="1"/>
  <c r="J197" i="1"/>
  <c r="I197" i="1"/>
  <c r="H197" i="1"/>
  <c r="G197" i="1"/>
  <c r="F197" i="1"/>
  <c r="E197" i="1"/>
  <c r="D197" i="1"/>
  <c r="C197" i="1"/>
  <c r="B197" i="1"/>
  <c r="A197" i="1"/>
  <c r="R196" i="1"/>
  <c r="J196" i="1"/>
  <c r="I196" i="1"/>
  <c r="G196" i="1"/>
  <c r="F196" i="1"/>
  <c r="E196" i="1"/>
  <c r="D196" i="1"/>
  <c r="C196" i="1"/>
  <c r="B196" i="1"/>
  <c r="A196" i="1"/>
  <c r="S195" i="1"/>
  <c r="O195" i="1"/>
  <c r="K195" i="1"/>
  <c r="J195" i="1"/>
  <c r="I195" i="1"/>
  <c r="H195" i="1"/>
  <c r="G195" i="1"/>
  <c r="F195" i="1"/>
  <c r="E195" i="1"/>
  <c r="D195" i="1"/>
  <c r="C195" i="1"/>
  <c r="B195" i="1"/>
  <c r="A195" i="1"/>
  <c r="R194" i="1"/>
  <c r="J194" i="1"/>
  <c r="I194" i="1"/>
  <c r="G194" i="1"/>
  <c r="F194" i="1"/>
  <c r="E194" i="1"/>
  <c r="D194" i="1"/>
  <c r="C194" i="1"/>
  <c r="B194" i="1"/>
  <c r="A194" i="1"/>
  <c r="S193" i="1"/>
  <c r="O193" i="1"/>
  <c r="K193" i="1"/>
  <c r="J193" i="1"/>
  <c r="I193" i="1"/>
  <c r="H193" i="1"/>
  <c r="G193" i="1"/>
  <c r="F193" i="1"/>
  <c r="E193" i="1"/>
  <c r="D193" i="1"/>
  <c r="C193" i="1"/>
  <c r="B193" i="1"/>
  <c r="A193" i="1"/>
  <c r="R192" i="1"/>
  <c r="J192" i="1"/>
  <c r="I192" i="1"/>
  <c r="G192" i="1"/>
  <c r="F192" i="1"/>
  <c r="E192" i="1"/>
  <c r="D192" i="1"/>
  <c r="C192" i="1"/>
  <c r="B192" i="1"/>
  <c r="A192" i="1"/>
  <c r="S191" i="1"/>
  <c r="O191" i="1"/>
  <c r="K191" i="1"/>
  <c r="J191" i="1"/>
  <c r="I191" i="1"/>
  <c r="H191" i="1"/>
  <c r="G191" i="1"/>
  <c r="F191" i="1"/>
  <c r="E191" i="1"/>
  <c r="D191" i="1"/>
  <c r="C191" i="1"/>
  <c r="B191" i="1"/>
  <c r="A191" i="1"/>
  <c r="S190" i="1"/>
  <c r="O190" i="1"/>
  <c r="K190" i="1"/>
  <c r="J190" i="1"/>
  <c r="I190" i="1"/>
  <c r="H190" i="1"/>
  <c r="G190" i="1"/>
  <c r="F190" i="1"/>
  <c r="E190" i="1"/>
  <c r="D190" i="1"/>
  <c r="C190" i="1"/>
  <c r="B190" i="1"/>
  <c r="A190" i="1"/>
  <c r="R189" i="1"/>
  <c r="J189" i="1"/>
  <c r="I189" i="1"/>
  <c r="G189" i="1"/>
  <c r="F189" i="1"/>
  <c r="E189" i="1"/>
  <c r="D189" i="1"/>
  <c r="C189" i="1"/>
  <c r="B189" i="1"/>
  <c r="A189" i="1"/>
  <c r="S188" i="1"/>
  <c r="O188" i="1"/>
  <c r="K188" i="1"/>
  <c r="J188" i="1"/>
  <c r="I188" i="1"/>
  <c r="H188" i="1"/>
  <c r="G188" i="1"/>
  <c r="F188" i="1"/>
  <c r="E188" i="1"/>
  <c r="D188" i="1"/>
  <c r="C188" i="1"/>
  <c r="B188" i="1"/>
  <c r="A188" i="1"/>
  <c r="R187" i="1"/>
  <c r="J187" i="1"/>
  <c r="I187" i="1"/>
  <c r="G187" i="1"/>
  <c r="F187" i="1"/>
  <c r="E187" i="1"/>
  <c r="D187" i="1"/>
  <c r="C187" i="1"/>
  <c r="B187" i="1"/>
  <c r="A187" i="1"/>
  <c r="S186" i="1"/>
  <c r="O186" i="1"/>
  <c r="K186" i="1"/>
  <c r="J186" i="1"/>
  <c r="I186" i="1"/>
  <c r="H186" i="1"/>
  <c r="G186" i="1"/>
  <c r="F186" i="1"/>
  <c r="E186" i="1"/>
  <c r="D186" i="1"/>
  <c r="C186" i="1"/>
  <c r="B186" i="1"/>
  <c r="A186" i="1"/>
  <c r="R185" i="1"/>
  <c r="J185" i="1"/>
  <c r="I185" i="1"/>
  <c r="G185" i="1"/>
  <c r="F185" i="1"/>
  <c r="E185" i="1"/>
  <c r="D185" i="1"/>
  <c r="C185" i="1"/>
  <c r="B185" i="1"/>
  <c r="A185" i="1"/>
  <c r="R184" i="1"/>
  <c r="J184" i="1"/>
  <c r="I184" i="1"/>
  <c r="G184" i="1"/>
  <c r="F184" i="1"/>
  <c r="E184" i="1"/>
  <c r="D184" i="1"/>
  <c r="C184" i="1"/>
  <c r="B184" i="1"/>
  <c r="A184" i="1"/>
  <c r="R183" i="1"/>
  <c r="J183" i="1"/>
  <c r="I183" i="1"/>
  <c r="G183" i="1"/>
  <c r="F183" i="1"/>
  <c r="E183" i="1"/>
  <c r="D183" i="1"/>
  <c r="C183" i="1"/>
  <c r="B183" i="1"/>
  <c r="A183" i="1"/>
  <c r="R182" i="1"/>
  <c r="J182" i="1"/>
  <c r="I182" i="1"/>
  <c r="G182" i="1"/>
  <c r="F182" i="1"/>
  <c r="E182" i="1"/>
  <c r="D182" i="1"/>
  <c r="C182" i="1"/>
  <c r="B182" i="1"/>
  <c r="A182" i="1"/>
  <c r="R181" i="1"/>
  <c r="J181" i="1"/>
  <c r="I181" i="1"/>
  <c r="G181" i="1"/>
  <c r="F181" i="1"/>
  <c r="E181" i="1"/>
  <c r="D181" i="1"/>
  <c r="C181" i="1"/>
  <c r="B181" i="1"/>
  <c r="A181" i="1"/>
  <c r="R180" i="1"/>
  <c r="J180" i="1"/>
  <c r="I180" i="1"/>
  <c r="G180" i="1"/>
  <c r="F180" i="1"/>
  <c r="E180" i="1"/>
  <c r="D180" i="1"/>
  <c r="C180" i="1"/>
  <c r="B180" i="1"/>
  <c r="A180" i="1"/>
  <c r="R179" i="1"/>
  <c r="J179" i="1"/>
  <c r="I179" i="1"/>
  <c r="G179" i="1"/>
  <c r="F179" i="1"/>
  <c r="E179" i="1"/>
  <c r="D179" i="1"/>
  <c r="C179" i="1"/>
  <c r="B179" i="1"/>
  <c r="A179" i="1"/>
  <c r="R178" i="1"/>
  <c r="J178" i="1"/>
  <c r="I178" i="1"/>
  <c r="G178" i="1"/>
  <c r="F178" i="1"/>
  <c r="E178" i="1"/>
  <c r="D178" i="1"/>
  <c r="C178" i="1"/>
  <c r="B178" i="1"/>
  <c r="A178" i="1"/>
  <c r="S177" i="1"/>
  <c r="O177" i="1"/>
  <c r="K177" i="1"/>
  <c r="J177" i="1"/>
  <c r="I177" i="1"/>
  <c r="H177" i="1"/>
  <c r="G177" i="1"/>
  <c r="F177" i="1"/>
  <c r="E177" i="1"/>
  <c r="D177" i="1"/>
  <c r="C177" i="1"/>
  <c r="B177" i="1"/>
  <c r="A177" i="1"/>
  <c r="R176" i="1"/>
  <c r="J176" i="1"/>
  <c r="I176" i="1"/>
  <c r="G176" i="1"/>
  <c r="F176" i="1"/>
  <c r="E176" i="1"/>
  <c r="D176" i="1"/>
  <c r="C176" i="1"/>
  <c r="B176" i="1"/>
  <c r="A176" i="1"/>
  <c r="R175" i="1"/>
  <c r="J175" i="1"/>
  <c r="I175" i="1"/>
  <c r="G175" i="1"/>
  <c r="F175" i="1"/>
  <c r="E175" i="1"/>
  <c r="D175" i="1"/>
  <c r="C175" i="1"/>
  <c r="B175" i="1"/>
  <c r="A175" i="1"/>
  <c r="R174" i="1"/>
  <c r="J174" i="1"/>
  <c r="I174" i="1"/>
  <c r="G174" i="1"/>
  <c r="F174" i="1"/>
  <c r="E174" i="1"/>
  <c r="D174" i="1"/>
  <c r="C174" i="1"/>
  <c r="B174" i="1"/>
  <c r="A174" i="1"/>
  <c r="R173" i="1"/>
  <c r="J173" i="1"/>
  <c r="I173" i="1"/>
  <c r="G173" i="1"/>
  <c r="F173" i="1"/>
  <c r="E173" i="1"/>
  <c r="D173" i="1"/>
  <c r="C173" i="1"/>
  <c r="B173" i="1"/>
  <c r="A173" i="1"/>
  <c r="R172" i="1"/>
  <c r="J172" i="1"/>
  <c r="I172" i="1"/>
  <c r="G172" i="1"/>
  <c r="F172" i="1"/>
  <c r="E172" i="1"/>
  <c r="D172" i="1"/>
  <c r="C172" i="1"/>
  <c r="B172" i="1"/>
  <c r="A172" i="1"/>
  <c r="R171" i="1"/>
  <c r="J171" i="1"/>
  <c r="I171" i="1"/>
  <c r="G171" i="1"/>
  <c r="F171" i="1"/>
  <c r="E171" i="1"/>
  <c r="D171" i="1"/>
  <c r="C171" i="1"/>
  <c r="B171" i="1"/>
  <c r="A171" i="1"/>
  <c r="R170" i="1"/>
  <c r="J170" i="1"/>
  <c r="I170" i="1"/>
  <c r="G170" i="1"/>
  <c r="F170" i="1"/>
  <c r="E170" i="1"/>
  <c r="D170" i="1"/>
  <c r="C170" i="1"/>
  <c r="B170" i="1"/>
  <c r="A170" i="1"/>
  <c r="R169" i="1"/>
  <c r="J169" i="1"/>
  <c r="I169" i="1"/>
  <c r="G169" i="1"/>
  <c r="F169" i="1"/>
  <c r="E169" i="1"/>
  <c r="D169" i="1"/>
  <c r="C169" i="1"/>
  <c r="B169" i="1"/>
  <c r="A169" i="1"/>
  <c r="R168" i="1"/>
  <c r="J168" i="1"/>
  <c r="I168" i="1"/>
  <c r="G168" i="1"/>
  <c r="F168" i="1"/>
  <c r="E168" i="1"/>
  <c r="D168" i="1"/>
  <c r="C168" i="1"/>
  <c r="B168" i="1"/>
  <c r="A168" i="1"/>
  <c r="R167" i="1"/>
  <c r="J167" i="1"/>
  <c r="I167" i="1"/>
  <c r="G167" i="1"/>
  <c r="F167" i="1"/>
  <c r="E167" i="1"/>
  <c r="D167" i="1"/>
  <c r="C167" i="1"/>
  <c r="B167" i="1"/>
  <c r="A167" i="1"/>
  <c r="R166" i="1"/>
  <c r="J166" i="1"/>
  <c r="I166" i="1"/>
  <c r="G166" i="1"/>
  <c r="F166" i="1"/>
  <c r="E166" i="1"/>
  <c r="D166" i="1"/>
  <c r="C166" i="1"/>
  <c r="B166" i="1"/>
  <c r="A166" i="1"/>
  <c r="R165" i="1"/>
  <c r="J165" i="1"/>
  <c r="I165" i="1"/>
  <c r="G165" i="1"/>
  <c r="F165" i="1"/>
  <c r="E165" i="1"/>
  <c r="D165" i="1"/>
  <c r="C165" i="1"/>
  <c r="B165" i="1"/>
  <c r="A165" i="1"/>
  <c r="S164" i="1"/>
  <c r="O164" i="1"/>
  <c r="K164" i="1"/>
  <c r="J164" i="1"/>
  <c r="I164" i="1"/>
  <c r="H164" i="1"/>
  <c r="G164" i="1"/>
  <c r="F164" i="1"/>
  <c r="E164" i="1"/>
  <c r="D164" i="1"/>
  <c r="C164" i="1"/>
  <c r="B164" i="1"/>
  <c r="A164" i="1"/>
  <c r="R163" i="1"/>
  <c r="J163" i="1"/>
  <c r="I163" i="1"/>
  <c r="G163" i="1"/>
  <c r="F163" i="1"/>
  <c r="E163" i="1"/>
  <c r="D163" i="1"/>
  <c r="C163" i="1"/>
  <c r="B163" i="1"/>
  <c r="A163" i="1"/>
  <c r="R162" i="1"/>
  <c r="J162" i="1"/>
  <c r="I162" i="1"/>
  <c r="G162" i="1"/>
  <c r="F162" i="1"/>
  <c r="E162" i="1"/>
  <c r="D162" i="1"/>
  <c r="C162" i="1"/>
  <c r="B162" i="1"/>
  <c r="A162" i="1"/>
  <c r="R161" i="1"/>
  <c r="J161" i="1"/>
  <c r="I161" i="1"/>
  <c r="G161" i="1"/>
  <c r="F161" i="1"/>
  <c r="E161" i="1"/>
  <c r="D161" i="1"/>
  <c r="C161" i="1"/>
  <c r="B161" i="1"/>
  <c r="A161" i="1"/>
  <c r="R160" i="1"/>
  <c r="J160" i="1"/>
  <c r="I160" i="1"/>
  <c r="G160" i="1"/>
  <c r="F160" i="1"/>
  <c r="E160" i="1"/>
  <c r="D160" i="1"/>
  <c r="C160" i="1"/>
  <c r="B160" i="1"/>
  <c r="A160" i="1"/>
  <c r="R159" i="1"/>
  <c r="J159" i="1"/>
  <c r="I159" i="1"/>
  <c r="G159" i="1"/>
  <c r="F159" i="1"/>
  <c r="E159" i="1"/>
  <c r="D159" i="1"/>
  <c r="C159" i="1"/>
  <c r="B159" i="1"/>
  <c r="A159" i="1"/>
  <c r="R158" i="1"/>
  <c r="J158" i="1"/>
  <c r="I158" i="1"/>
  <c r="G158" i="1"/>
  <c r="F158" i="1"/>
  <c r="E158" i="1"/>
  <c r="D158" i="1"/>
  <c r="C158" i="1"/>
  <c r="B158" i="1"/>
  <c r="A158" i="1"/>
  <c r="R157" i="1"/>
  <c r="J157" i="1"/>
  <c r="I157" i="1"/>
  <c r="G157" i="1"/>
  <c r="F157" i="1"/>
  <c r="E157" i="1"/>
  <c r="D157" i="1"/>
  <c r="C157" i="1"/>
  <c r="B157" i="1"/>
  <c r="A157" i="1"/>
  <c r="R156" i="1"/>
  <c r="J156" i="1"/>
  <c r="I156" i="1"/>
  <c r="G156" i="1"/>
  <c r="F156" i="1"/>
  <c r="E156" i="1"/>
  <c r="D156" i="1"/>
  <c r="C156" i="1"/>
  <c r="B156" i="1"/>
  <c r="A156" i="1"/>
  <c r="R155" i="1"/>
  <c r="J155" i="1"/>
  <c r="I155" i="1"/>
  <c r="G155" i="1"/>
  <c r="F155" i="1"/>
  <c r="E155" i="1"/>
  <c r="D155" i="1"/>
  <c r="C155" i="1"/>
  <c r="B155" i="1"/>
  <c r="A155" i="1"/>
  <c r="R154" i="1"/>
  <c r="J154" i="1"/>
  <c r="I154" i="1"/>
  <c r="G154" i="1"/>
  <c r="F154" i="1"/>
  <c r="E154" i="1"/>
  <c r="D154" i="1"/>
  <c r="C154" i="1"/>
  <c r="B154" i="1"/>
  <c r="A154" i="1"/>
  <c r="R153" i="1"/>
  <c r="J153" i="1"/>
  <c r="I153" i="1"/>
  <c r="G153" i="1"/>
  <c r="F153" i="1"/>
  <c r="E153" i="1"/>
  <c r="D153" i="1"/>
  <c r="C153" i="1"/>
  <c r="B153" i="1"/>
  <c r="A153" i="1"/>
  <c r="R152" i="1"/>
  <c r="J152" i="1"/>
  <c r="I152" i="1"/>
  <c r="G152" i="1"/>
  <c r="F152" i="1"/>
  <c r="E152" i="1"/>
  <c r="D152" i="1"/>
  <c r="C152" i="1"/>
  <c r="B152" i="1"/>
  <c r="A152" i="1"/>
  <c r="R151" i="1"/>
  <c r="J151" i="1"/>
  <c r="I151" i="1"/>
  <c r="G151" i="1"/>
  <c r="F151" i="1"/>
  <c r="E151" i="1"/>
  <c r="D151" i="1"/>
  <c r="C151" i="1"/>
  <c r="B151" i="1"/>
  <c r="A151" i="1"/>
  <c r="R150" i="1"/>
  <c r="J150" i="1"/>
  <c r="I150" i="1"/>
  <c r="G150" i="1"/>
  <c r="F150" i="1"/>
  <c r="E150" i="1"/>
  <c r="D150" i="1"/>
  <c r="C150" i="1"/>
  <c r="B150" i="1"/>
  <c r="A150" i="1"/>
  <c r="R149" i="1"/>
  <c r="J149" i="1"/>
  <c r="I149" i="1"/>
  <c r="G149" i="1"/>
  <c r="F149" i="1"/>
  <c r="E149" i="1"/>
  <c r="D149" i="1"/>
  <c r="C149" i="1"/>
  <c r="B149" i="1"/>
  <c r="A149" i="1"/>
  <c r="R148" i="1"/>
  <c r="J148" i="1"/>
  <c r="I148" i="1"/>
  <c r="G148" i="1"/>
  <c r="F148" i="1"/>
  <c r="E148" i="1"/>
  <c r="D148" i="1"/>
  <c r="C148" i="1"/>
  <c r="B148" i="1"/>
  <c r="A148" i="1"/>
  <c r="R147" i="1"/>
  <c r="J147" i="1"/>
  <c r="I147" i="1"/>
  <c r="G147" i="1"/>
  <c r="F147" i="1"/>
  <c r="E147" i="1"/>
  <c r="D147" i="1"/>
  <c r="C147" i="1"/>
  <c r="B147" i="1"/>
  <c r="A147" i="1"/>
  <c r="R146" i="1"/>
  <c r="J146" i="1"/>
  <c r="I146" i="1"/>
  <c r="G146" i="1"/>
  <c r="F146" i="1"/>
  <c r="E146" i="1"/>
  <c r="D146" i="1"/>
  <c r="C146" i="1"/>
  <c r="B146" i="1"/>
  <c r="A146" i="1"/>
  <c r="R145" i="1"/>
  <c r="J145" i="1"/>
  <c r="I145" i="1"/>
  <c r="G145" i="1"/>
  <c r="F145" i="1"/>
  <c r="E145" i="1"/>
  <c r="D145" i="1"/>
  <c r="C145" i="1"/>
  <c r="B145" i="1"/>
  <c r="A145" i="1"/>
  <c r="R144" i="1"/>
  <c r="J144" i="1"/>
  <c r="I144" i="1"/>
  <c r="G144" i="1"/>
  <c r="F144" i="1"/>
  <c r="E144" i="1"/>
  <c r="D144" i="1"/>
  <c r="C144" i="1"/>
  <c r="B144" i="1"/>
  <c r="A144" i="1"/>
  <c r="R143" i="1"/>
  <c r="J143" i="1"/>
  <c r="I143" i="1"/>
  <c r="G143" i="1"/>
  <c r="F143" i="1"/>
  <c r="E143" i="1"/>
  <c r="D143" i="1"/>
  <c r="C143" i="1"/>
  <c r="B143" i="1"/>
  <c r="A143" i="1"/>
  <c r="R142" i="1"/>
  <c r="J142" i="1"/>
  <c r="I142" i="1"/>
  <c r="G142" i="1"/>
  <c r="F142" i="1"/>
  <c r="E142" i="1"/>
  <c r="D142" i="1"/>
  <c r="C142" i="1"/>
  <c r="B142" i="1"/>
  <c r="A142" i="1"/>
  <c r="R141" i="1"/>
  <c r="J141" i="1"/>
  <c r="I141" i="1"/>
  <c r="G141" i="1"/>
  <c r="F141" i="1"/>
  <c r="E141" i="1"/>
  <c r="D141" i="1"/>
  <c r="C141" i="1"/>
  <c r="B141" i="1"/>
  <c r="A141" i="1"/>
  <c r="R140" i="1"/>
  <c r="J140" i="1"/>
  <c r="I140" i="1"/>
  <c r="G140" i="1"/>
  <c r="F140" i="1"/>
  <c r="E140" i="1"/>
  <c r="D140" i="1"/>
  <c r="C140" i="1"/>
  <c r="B140" i="1"/>
  <c r="A140" i="1"/>
  <c r="R139" i="1"/>
  <c r="J139" i="1"/>
  <c r="I139" i="1"/>
  <c r="G139" i="1"/>
  <c r="F139" i="1"/>
  <c r="E139" i="1"/>
  <c r="D139" i="1"/>
  <c r="C139" i="1"/>
  <c r="B139" i="1"/>
  <c r="A139" i="1"/>
  <c r="R138" i="1"/>
  <c r="J138" i="1"/>
  <c r="I138" i="1"/>
  <c r="G138" i="1"/>
  <c r="F138" i="1"/>
  <c r="E138" i="1"/>
  <c r="D138" i="1"/>
  <c r="C138" i="1"/>
  <c r="B138" i="1"/>
  <c r="A138" i="1"/>
  <c r="R137" i="1"/>
  <c r="J137" i="1"/>
  <c r="I137" i="1"/>
  <c r="G137" i="1"/>
  <c r="F137" i="1"/>
  <c r="E137" i="1"/>
  <c r="D137" i="1"/>
  <c r="C137" i="1"/>
  <c r="B137" i="1"/>
  <c r="A137" i="1"/>
  <c r="R136" i="1"/>
  <c r="J136" i="1"/>
  <c r="I136" i="1"/>
  <c r="G136" i="1"/>
  <c r="F136" i="1"/>
  <c r="E136" i="1"/>
  <c r="D136" i="1"/>
  <c r="C136" i="1"/>
  <c r="B136" i="1"/>
  <c r="A136" i="1"/>
  <c r="R135" i="1"/>
  <c r="J135" i="1"/>
  <c r="I135" i="1"/>
  <c r="G135" i="1"/>
  <c r="F135" i="1"/>
  <c r="E135" i="1"/>
  <c r="D135" i="1"/>
  <c r="C135" i="1"/>
  <c r="B135" i="1"/>
  <c r="A135" i="1"/>
  <c r="R134" i="1"/>
  <c r="J134" i="1"/>
  <c r="I134" i="1"/>
  <c r="G134" i="1"/>
  <c r="F134" i="1"/>
  <c r="E134" i="1"/>
  <c r="D134" i="1"/>
  <c r="C134" i="1"/>
  <c r="B134" i="1"/>
  <c r="A134" i="1"/>
  <c r="R133" i="1"/>
  <c r="J133" i="1"/>
  <c r="I133" i="1"/>
  <c r="G133" i="1"/>
  <c r="F133" i="1"/>
  <c r="E133" i="1"/>
  <c r="D133" i="1"/>
  <c r="C133" i="1"/>
  <c r="B133" i="1"/>
  <c r="A133" i="1"/>
  <c r="R132" i="1"/>
  <c r="J132" i="1"/>
  <c r="I132" i="1"/>
  <c r="G132" i="1"/>
  <c r="F132" i="1"/>
  <c r="E132" i="1"/>
  <c r="D132" i="1"/>
  <c r="C132" i="1"/>
  <c r="B132" i="1"/>
  <c r="A132" i="1"/>
  <c r="R131" i="1"/>
  <c r="J131" i="1"/>
  <c r="I131" i="1"/>
  <c r="G131" i="1"/>
  <c r="F131" i="1"/>
  <c r="E131" i="1"/>
  <c r="D131" i="1"/>
  <c r="C131" i="1"/>
  <c r="B131" i="1"/>
  <c r="A131" i="1"/>
  <c r="R130" i="1"/>
  <c r="J130" i="1"/>
  <c r="I130" i="1"/>
  <c r="G130" i="1"/>
  <c r="F130" i="1"/>
  <c r="E130" i="1"/>
  <c r="D130" i="1"/>
  <c r="C130" i="1"/>
  <c r="B130" i="1"/>
  <c r="A130" i="1"/>
  <c r="R129" i="1"/>
  <c r="J129" i="1"/>
  <c r="I129" i="1"/>
  <c r="G129" i="1"/>
  <c r="F129" i="1"/>
  <c r="E129" i="1"/>
  <c r="D129" i="1"/>
  <c r="C129" i="1"/>
  <c r="B129" i="1"/>
  <c r="A129" i="1"/>
  <c r="R128" i="1"/>
  <c r="J128" i="1"/>
  <c r="I128" i="1"/>
  <c r="G128" i="1"/>
  <c r="F128" i="1"/>
  <c r="E128" i="1"/>
  <c r="D128" i="1"/>
  <c r="C128" i="1"/>
  <c r="B128" i="1"/>
  <c r="A128" i="1"/>
  <c r="R127" i="1"/>
  <c r="J127" i="1"/>
  <c r="I127" i="1"/>
  <c r="G127" i="1"/>
  <c r="F127" i="1"/>
  <c r="E127" i="1"/>
  <c r="D127" i="1"/>
  <c r="C127" i="1"/>
  <c r="B127" i="1"/>
  <c r="A127" i="1"/>
  <c r="R126" i="1"/>
  <c r="J126" i="1"/>
  <c r="I126" i="1"/>
  <c r="G126" i="1"/>
  <c r="F126" i="1"/>
  <c r="E126" i="1"/>
  <c r="D126" i="1"/>
  <c r="C126" i="1"/>
  <c r="B126" i="1"/>
  <c r="A126" i="1"/>
  <c r="R125" i="1"/>
  <c r="J125" i="1"/>
  <c r="I125" i="1"/>
  <c r="G125" i="1"/>
  <c r="F125" i="1"/>
  <c r="E125" i="1"/>
  <c r="D125" i="1"/>
  <c r="C125" i="1"/>
  <c r="B125" i="1"/>
  <c r="A125" i="1"/>
  <c r="R124" i="1"/>
  <c r="J124" i="1"/>
  <c r="I124" i="1"/>
  <c r="G124" i="1"/>
  <c r="F124" i="1"/>
  <c r="E124" i="1"/>
  <c r="D124" i="1"/>
  <c r="C124" i="1"/>
  <c r="B124" i="1"/>
  <c r="A124" i="1"/>
  <c r="R123" i="1"/>
  <c r="J123" i="1"/>
  <c r="I123" i="1"/>
  <c r="G123" i="1"/>
  <c r="F123" i="1"/>
  <c r="E123" i="1"/>
  <c r="D123" i="1"/>
  <c r="C123" i="1"/>
  <c r="B123" i="1"/>
  <c r="A123" i="1"/>
  <c r="R122" i="1"/>
  <c r="J122" i="1"/>
  <c r="I122" i="1"/>
  <c r="G122" i="1"/>
  <c r="F122" i="1"/>
  <c r="E122" i="1"/>
  <c r="D122" i="1"/>
  <c r="C122" i="1"/>
  <c r="B122" i="1"/>
  <c r="A122" i="1"/>
  <c r="R121" i="1"/>
  <c r="J121" i="1"/>
  <c r="I121" i="1"/>
  <c r="G121" i="1"/>
  <c r="F121" i="1"/>
  <c r="E121" i="1"/>
  <c r="D121" i="1"/>
  <c r="C121" i="1"/>
  <c r="B121" i="1"/>
  <c r="A121" i="1"/>
  <c r="R120" i="1"/>
  <c r="J120" i="1"/>
  <c r="I120" i="1"/>
  <c r="G120" i="1"/>
  <c r="F120" i="1"/>
  <c r="E120" i="1"/>
  <c r="D120" i="1"/>
  <c r="C120" i="1"/>
  <c r="B120" i="1"/>
  <c r="A120" i="1"/>
  <c r="R119" i="1"/>
  <c r="J119" i="1"/>
  <c r="I119" i="1"/>
  <c r="G119" i="1"/>
  <c r="F119" i="1"/>
  <c r="E119" i="1"/>
  <c r="D119" i="1"/>
  <c r="C119" i="1"/>
  <c r="B119" i="1"/>
  <c r="A119" i="1"/>
  <c r="R118" i="1"/>
  <c r="J118" i="1"/>
  <c r="I118" i="1"/>
  <c r="G118" i="1"/>
  <c r="F118" i="1"/>
  <c r="E118" i="1"/>
  <c r="D118" i="1"/>
  <c r="C118" i="1"/>
  <c r="B118" i="1"/>
  <c r="A118" i="1"/>
  <c r="R117" i="1"/>
  <c r="J117" i="1"/>
  <c r="I117" i="1"/>
  <c r="G117" i="1"/>
  <c r="F117" i="1"/>
  <c r="E117" i="1"/>
  <c r="D117" i="1"/>
  <c r="C117" i="1"/>
  <c r="B117" i="1"/>
  <c r="A117" i="1"/>
  <c r="S116" i="1"/>
  <c r="O116" i="1"/>
  <c r="K116" i="1"/>
  <c r="J116" i="1"/>
  <c r="I116" i="1"/>
  <c r="H116" i="1"/>
  <c r="G116" i="1"/>
  <c r="F116" i="1"/>
  <c r="E116" i="1"/>
  <c r="D116" i="1"/>
  <c r="C116" i="1"/>
  <c r="B116" i="1"/>
  <c r="A116" i="1"/>
  <c r="R115" i="1"/>
  <c r="J115" i="1"/>
  <c r="I115" i="1"/>
  <c r="G115" i="1"/>
  <c r="F115" i="1"/>
  <c r="E115" i="1"/>
  <c r="D115" i="1"/>
  <c r="C115" i="1"/>
  <c r="B115" i="1"/>
  <c r="A115" i="1"/>
  <c r="S114" i="1"/>
  <c r="O114" i="1"/>
  <c r="K114" i="1"/>
  <c r="J114" i="1"/>
  <c r="I114" i="1"/>
  <c r="H114" i="1"/>
  <c r="G114" i="1"/>
  <c r="F114" i="1"/>
  <c r="E114" i="1"/>
  <c r="D114" i="1"/>
  <c r="C114" i="1"/>
  <c r="B114" i="1"/>
  <c r="A114" i="1"/>
  <c r="R113" i="1"/>
  <c r="J113" i="1"/>
  <c r="I113" i="1"/>
  <c r="G113" i="1"/>
  <c r="F113" i="1"/>
  <c r="E113" i="1"/>
  <c r="D113" i="1"/>
  <c r="C113" i="1"/>
  <c r="B113" i="1"/>
  <c r="A113" i="1"/>
  <c r="S112" i="1"/>
  <c r="O112" i="1"/>
  <c r="K112" i="1"/>
  <c r="J112" i="1"/>
  <c r="I112" i="1"/>
  <c r="H112" i="1"/>
  <c r="G112" i="1"/>
  <c r="F112" i="1"/>
  <c r="E112" i="1"/>
  <c r="D112" i="1"/>
  <c r="C112" i="1"/>
  <c r="B112" i="1"/>
  <c r="A112" i="1"/>
  <c r="R111" i="1"/>
  <c r="J111" i="1"/>
  <c r="I111" i="1"/>
  <c r="G111" i="1"/>
  <c r="F111" i="1"/>
  <c r="E111" i="1"/>
  <c r="D111" i="1"/>
  <c r="C111" i="1"/>
  <c r="B111" i="1"/>
  <c r="A111" i="1"/>
  <c r="S110" i="1"/>
  <c r="O110" i="1"/>
  <c r="K110" i="1"/>
  <c r="J110" i="1"/>
  <c r="I110" i="1"/>
  <c r="H110" i="1"/>
  <c r="G110" i="1"/>
  <c r="F110" i="1"/>
  <c r="E110" i="1"/>
  <c r="D110" i="1"/>
  <c r="C110" i="1"/>
  <c r="B110" i="1"/>
  <c r="A110" i="1"/>
  <c r="R109" i="1"/>
  <c r="J109" i="1"/>
  <c r="I109" i="1"/>
  <c r="G109" i="1"/>
  <c r="F109" i="1"/>
  <c r="E109" i="1"/>
  <c r="D109" i="1"/>
  <c r="C109" i="1"/>
  <c r="B109" i="1"/>
  <c r="A109" i="1"/>
  <c r="S108" i="1"/>
  <c r="O108" i="1"/>
  <c r="K108" i="1"/>
  <c r="J108" i="1"/>
  <c r="I108" i="1"/>
  <c r="H108" i="1"/>
  <c r="G108" i="1"/>
  <c r="F108" i="1"/>
  <c r="E108" i="1"/>
  <c r="D108" i="1"/>
  <c r="C108" i="1"/>
  <c r="B108" i="1"/>
  <c r="A108" i="1"/>
  <c r="R107" i="1"/>
  <c r="J107" i="1"/>
  <c r="I107" i="1"/>
  <c r="G107" i="1"/>
  <c r="F107" i="1"/>
  <c r="E107" i="1"/>
  <c r="D107" i="1"/>
  <c r="C107" i="1"/>
  <c r="B107" i="1"/>
  <c r="A107" i="1"/>
  <c r="S106" i="1"/>
  <c r="O106" i="1"/>
  <c r="K106" i="1"/>
  <c r="J106" i="1"/>
  <c r="I106" i="1"/>
  <c r="H106" i="1"/>
  <c r="G106" i="1"/>
  <c r="F106" i="1"/>
  <c r="E106" i="1"/>
  <c r="D106" i="1"/>
  <c r="C106" i="1"/>
  <c r="B106" i="1"/>
  <c r="A106" i="1"/>
  <c r="R105" i="1"/>
  <c r="J105" i="1"/>
  <c r="I105" i="1"/>
  <c r="G105" i="1"/>
  <c r="F105" i="1"/>
  <c r="E105" i="1"/>
  <c r="D105" i="1"/>
  <c r="C105" i="1"/>
  <c r="B105" i="1"/>
  <c r="A105" i="1"/>
  <c r="R104" i="1"/>
  <c r="J104" i="1"/>
  <c r="I104" i="1"/>
  <c r="G104" i="1"/>
  <c r="F104" i="1"/>
  <c r="E104" i="1"/>
  <c r="D104" i="1"/>
  <c r="C104" i="1"/>
  <c r="B104" i="1"/>
  <c r="A104" i="1"/>
  <c r="S103" i="1"/>
  <c r="O103" i="1"/>
  <c r="K103" i="1"/>
  <c r="J103" i="1"/>
  <c r="I103" i="1"/>
  <c r="H103" i="1"/>
  <c r="G103" i="1"/>
  <c r="F103" i="1"/>
  <c r="E103" i="1"/>
  <c r="D103" i="1"/>
  <c r="C103" i="1"/>
  <c r="B103" i="1"/>
  <c r="A103" i="1"/>
  <c r="R102" i="1"/>
  <c r="J102" i="1"/>
  <c r="I102" i="1"/>
  <c r="G102" i="1"/>
  <c r="F102" i="1"/>
  <c r="E102" i="1"/>
  <c r="D102" i="1"/>
  <c r="C102" i="1"/>
  <c r="B102" i="1"/>
  <c r="A102" i="1"/>
  <c r="S101" i="1"/>
  <c r="O101" i="1"/>
  <c r="K101" i="1"/>
  <c r="J101" i="1"/>
  <c r="I101" i="1"/>
  <c r="H101" i="1"/>
  <c r="G101" i="1"/>
  <c r="F101" i="1"/>
  <c r="E101" i="1"/>
  <c r="D101" i="1"/>
  <c r="C101" i="1"/>
  <c r="B101" i="1"/>
  <c r="A101" i="1"/>
  <c r="R100" i="1"/>
  <c r="J100" i="1"/>
  <c r="I100" i="1"/>
  <c r="G100" i="1"/>
  <c r="F100" i="1"/>
  <c r="E100" i="1"/>
  <c r="D100" i="1"/>
  <c r="C100" i="1"/>
  <c r="B100" i="1"/>
  <c r="A100" i="1"/>
  <c r="S99" i="1"/>
  <c r="O99" i="1"/>
  <c r="K99" i="1"/>
  <c r="J99" i="1"/>
  <c r="I99" i="1"/>
  <c r="H99" i="1"/>
  <c r="G99" i="1"/>
  <c r="F99" i="1"/>
  <c r="E99" i="1"/>
  <c r="D99" i="1"/>
  <c r="C99" i="1"/>
  <c r="B99" i="1"/>
  <c r="A99" i="1"/>
  <c r="R98" i="1"/>
  <c r="J98" i="1"/>
  <c r="I98" i="1"/>
  <c r="G98" i="1"/>
  <c r="F98" i="1"/>
  <c r="E98" i="1"/>
  <c r="D98" i="1"/>
  <c r="C98" i="1"/>
  <c r="B98" i="1"/>
  <c r="A98" i="1"/>
  <c r="S97" i="1"/>
  <c r="O97" i="1"/>
  <c r="K97" i="1"/>
  <c r="J97" i="1"/>
  <c r="I97" i="1"/>
  <c r="H97" i="1"/>
  <c r="G97" i="1"/>
  <c r="F97" i="1"/>
  <c r="E97" i="1"/>
  <c r="D97" i="1"/>
  <c r="C97" i="1"/>
  <c r="B97" i="1"/>
  <c r="A97" i="1"/>
  <c r="R96" i="1"/>
  <c r="J96" i="1"/>
  <c r="I96" i="1"/>
  <c r="G96" i="1"/>
  <c r="F96" i="1"/>
  <c r="E96" i="1"/>
  <c r="D96" i="1"/>
  <c r="C96" i="1"/>
  <c r="B96" i="1"/>
  <c r="A96" i="1"/>
  <c r="S95" i="1"/>
  <c r="O95" i="1"/>
  <c r="K95" i="1"/>
  <c r="J95" i="1"/>
  <c r="I95" i="1"/>
  <c r="H95" i="1"/>
  <c r="G95" i="1"/>
  <c r="F95" i="1"/>
  <c r="E95" i="1"/>
  <c r="D95" i="1"/>
  <c r="C95" i="1"/>
  <c r="B95" i="1"/>
  <c r="A95" i="1"/>
  <c r="R94" i="1"/>
  <c r="J94" i="1"/>
  <c r="I94" i="1"/>
  <c r="G94" i="1"/>
  <c r="F94" i="1"/>
  <c r="E94" i="1"/>
  <c r="D94" i="1"/>
  <c r="C94" i="1"/>
  <c r="B94" i="1"/>
  <c r="A94" i="1"/>
  <c r="S93" i="1"/>
  <c r="O93" i="1"/>
  <c r="K93" i="1"/>
  <c r="J93" i="1"/>
  <c r="I93" i="1"/>
  <c r="H93" i="1"/>
  <c r="G93" i="1"/>
  <c r="F93" i="1"/>
  <c r="E93" i="1"/>
  <c r="D93" i="1"/>
  <c r="C93" i="1"/>
  <c r="B93" i="1"/>
  <c r="A93" i="1"/>
  <c r="R92" i="1"/>
  <c r="J92" i="1"/>
  <c r="I92" i="1"/>
  <c r="G92" i="1"/>
  <c r="F92" i="1"/>
  <c r="E92" i="1"/>
  <c r="D92" i="1"/>
  <c r="C92" i="1"/>
  <c r="B92" i="1"/>
  <c r="A92" i="1"/>
  <c r="S91" i="1"/>
  <c r="O91" i="1"/>
  <c r="K91" i="1"/>
  <c r="J91" i="1"/>
  <c r="I91" i="1"/>
  <c r="H91" i="1"/>
  <c r="G91" i="1"/>
  <c r="F91" i="1"/>
  <c r="E91" i="1"/>
  <c r="D91" i="1"/>
  <c r="C91" i="1"/>
  <c r="B91" i="1"/>
  <c r="A91" i="1"/>
  <c r="R90" i="1"/>
  <c r="J90" i="1"/>
  <c r="I90" i="1"/>
  <c r="G90" i="1"/>
  <c r="F90" i="1"/>
  <c r="E90" i="1"/>
  <c r="D90" i="1"/>
  <c r="C90" i="1"/>
  <c r="B90" i="1"/>
  <c r="A90" i="1"/>
  <c r="R89" i="1"/>
  <c r="J89" i="1"/>
  <c r="I89" i="1"/>
  <c r="G89" i="1"/>
  <c r="F89" i="1"/>
  <c r="E89" i="1"/>
  <c r="D89" i="1"/>
  <c r="C89" i="1"/>
  <c r="B89" i="1"/>
  <c r="A89" i="1"/>
  <c r="S88" i="1"/>
  <c r="O88" i="1"/>
  <c r="K88" i="1"/>
  <c r="J88" i="1"/>
  <c r="I88" i="1"/>
  <c r="H88" i="1"/>
  <c r="G88" i="1"/>
  <c r="F88" i="1"/>
  <c r="E88" i="1"/>
  <c r="D88" i="1"/>
  <c r="C88" i="1"/>
  <c r="B88" i="1"/>
  <c r="A88" i="1"/>
  <c r="R87" i="1"/>
  <c r="J87" i="1"/>
  <c r="I87" i="1"/>
  <c r="G87" i="1"/>
  <c r="F87" i="1"/>
  <c r="E87" i="1"/>
  <c r="D87" i="1"/>
  <c r="C87" i="1"/>
  <c r="B87" i="1"/>
  <c r="A87" i="1"/>
  <c r="S86" i="1"/>
  <c r="O86" i="1"/>
  <c r="K86" i="1"/>
  <c r="J86" i="1"/>
  <c r="I86" i="1"/>
  <c r="H86" i="1"/>
  <c r="G86" i="1"/>
  <c r="F86" i="1"/>
  <c r="E86" i="1"/>
  <c r="D86" i="1"/>
  <c r="C86" i="1"/>
  <c r="B86" i="1"/>
  <c r="A86" i="1"/>
  <c r="R85" i="1"/>
  <c r="J85" i="1"/>
  <c r="I85" i="1"/>
  <c r="G85" i="1"/>
  <c r="F85" i="1"/>
  <c r="E85" i="1"/>
  <c r="D85" i="1"/>
  <c r="C85" i="1"/>
  <c r="B85" i="1"/>
  <c r="A85" i="1"/>
  <c r="S84" i="1"/>
  <c r="O84" i="1"/>
  <c r="K84" i="1"/>
  <c r="J84" i="1"/>
  <c r="I84" i="1"/>
  <c r="H84" i="1"/>
  <c r="G84" i="1"/>
  <c r="F84" i="1"/>
  <c r="E84" i="1"/>
  <c r="D84" i="1"/>
  <c r="C84" i="1"/>
  <c r="B84" i="1"/>
  <c r="A84" i="1"/>
  <c r="R83" i="1"/>
  <c r="J83" i="1"/>
  <c r="I83" i="1"/>
  <c r="G83" i="1"/>
  <c r="F83" i="1"/>
  <c r="E83" i="1"/>
  <c r="D83" i="1"/>
  <c r="C83" i="1"/>
  <c r="B83" i="1"/>
  <c r="A83" i="1"/>
  <c r="S82" i="1"/>
  <c r="O82" i="1"/>
  <c r="K82" i="1"/>
  <c r="J82" i="1"/>
  <c r="I82" i="1"/>
  <c r="H82" i="1"/>
  <c r="G82" i="1"/>
  <c r="F82" i="1"/>
  <c r="E82" i="1"/>
  <c r="D82" i="1"/>
  <c r="C82" i="1"/>
  <c r="B82" i="1"/>
  <c r="A82" i="1"/>
  <c r="R81" i="1"/>
  <c r="J81" i="1"/>
  <c r="I81" i="1"/>
  <c r="G81" i="1"/>
  <c r="F81" i="1"/>
  <c r="E81" i="1"/>
  <c r="D81" i="1"/>
  <c r="C81" i="1"/>
  <c r="B81" i="1"/>
  <c r="A81" i="1"/>
  <c r="S80" i="1"/>
  <c r="O80" i="1"/>
  <c r="K80" i="1"/>
  <c r="J80" i="1"/>
  <c r="I80" i="1"/>
  <c r="H80" i="1"/>
  <c r="G80" i="1"/>
  <c r="F80" i="1"/>
  <c r="E80" i="1"/>
  <c r="D80" i="1"/>
  <c r="C80" i="1"/>
  <c r="B80" i="1"/>
  <c r="A80" i="1"/>
  <c r="R79" i="1"/>
  <c r="J79" i="1"/>
  <c r="I79" i="1"/>
  <c r="G79" i="1"/>
  <c r="F79" i="1"/>
  <c r="E79" i="1"/>
  <c r="D79" i="1"/>
  <c r="C79" i="1"/>
  <c r="B79" i="1"/>
  <c r="A79" i="1"/>
  <c r="S78" i="1"/>
  <c r="O78" i="1"/>
  <c r="K78" i="1"/>
  <c r="J78" i="1"/>
  <c r="I78" i="1"/>
  <c r="H78" i="1"/>
  <c r="G78" i="1"/>
  <c r="F78" i="1"/>
  <c r="E78" i="1"/>
  <c r="D78" i="1"/>
  <c r="C78" i="1"/>
  <c r="B78" i="1"/>
  <c r="A78" i="1"/>
  <c r="R77" i="1"/>
  <c r="J77" i="1"/>
  <c r="I77" i="1"/>
  <c r="G77" i="1"/>
  <c r="F77" i="1"/>
  <c r="E77" i="1"/>
  <c r="D77" i="1"/>
  <c r="C77" i="1"/>
  <c r="B77" i="1"/>
  <c r="A77" i="1"/>
  <c r="S76" i="1"/>
  <c r="O76" i="1"/>
  <c r="K76" i="1"/>
  <c r="J76" i="1"/>
  <c r="I76" i="1"/>
  <c r="H76" i="1"/>
  <c r="G76" i="1"/>
  <c r="F76" i="1"/>
  <c r="E76" i="1"/>
  <c r="D76" i="1"/>
  <c r="C76" i="1"/>
  <c r="B76" i="1"/>
  <c r="A76" i="1"/>
  <c r="R75" i="1"/>
  <c r="J75" i="1"/>
  <c r="I75" i="1"/>
  <c r="G75" i="1"/>
  <c r="F75" i="1"/>
  <c r="E75" i="1"/>
  <c r="D75" i="1"/>
  <c r="C75" i="1"/>
  <c r="B75" i="1"/>
  <c r="A75" i="1"/>
  <c r="S74" i="1"/>
  <c r="O74" i="1"/>
  <c r="K74" i="1"/>
  <c r="J74" i="1"/>
  <c r="I74" i="1"/>
  <c r="H74" i="1"/>
  <c r="G74" i="1"/>
  <c r="F74" i="1"/>
  <c r="E74" i="1"/>
  <c r="D74" i="1"/>
  <c r="C74" i="1"/>
  <c r="B74" i="1"/>
  <c r="A74" i="1"/>
  <c r="R73" i="1"/>
  <c r="J73" i="1"/>
  <c r="I73" i="1"/>
  <c r="G73" i="1"/>
  <c r="F73" i="1"/>
  <c r="E73" i="1"/>
  <c r="D73" i="1"/>
  <c r="C73" i="1"/>
  <c r="B73" i="1"/>
  <c r="A73" i="1"/>
  <c r="S72" i="1"/>
  <c r="O72" i="1"/>
  <c r="K72" i="1"/>
  <c r="J72" i="1"/>
  <c r="I72" i="1"/>
  <c r="H72" i="1"/>
  <c r="G72" i="1"/>
  <c r="F72" i="1"/>
  <c r="E72" i="1"/>
  <c r="D72" i="1"/>
  <c r="C72" i="1"/>
  <c r="B72" i="1"/>
  <c r="A72" i="1"/>
  <c r="R71" i="1"/>
  <c r="J71" i="1"/>
  <c r="I71" i="1"/>
  <c r="G71" i="1"/>
  <c r="F71" i="1"/>
  <c r="E71" i="1"/>
  <c r="D71" i="1"/>
  <c r="C71" i="1"/>
  <c r="B71" i="1"/>
  <c r="A71" i="1"/>
  <c r="S70" i="1"/>
  <c r="O70" i="1"/>
  <c r="K70" i="1"/>
  <c r="J70" i="1"/>
  <c r="I70" i="1"/>
  <c r="H70" i="1"/>
  <c r="G70" i="1"/>
  <c r="F70" i="1"/>
  <c r="E70" i="1"/>
  <c r="D70" i="1"/>
  <c r="C70" i="1"/>
  <c r="B70" i="1"/>
  <c r="A70" i="1"/>
  <c r="R69" i="1"/>
  <c r="J69" i="1"/>
  <c r="I69" i="1"/>
  <c r="G69" i="1"/>
  <c r="F69" i="1"/>
  <c r="E69" i="1"/>
  <c r="D69" i="1"/>
  <c r="C69" i="1"/>
  <c r="B69" i="1"/>
  <c r="A69" i="1"/>
  <c r="S68" i="1"/>
  <c r="O68" i="1"/>
  <c r="K68" i="1"/>
  <c r="J68" i="1"/>
  <c r="I68" i="1"/>
  <c r="H68" i="1"/>
  <c r="G68" i="1"/>
  <c r="F68" i="1"/>
  <c r="E68" i="1"/>
  <c r="D68" i="1"/>
  <c r="C68" i="1"/>
  <c r="B68" i="1"/>
  <c r="A68" i="1"/>
  <c r="R67" i="1"/>
  <c r="J67" i="1"/>
  <c r="I67" i="1"/>
  <c r="G67" i="1"/>
  <c r="F67" i="1"/>
  <c r="E67" i="1"/>
  <c r="D67" i="1"/>
  <c r="C67" i="1"/>
  <c r="B67" i="1"/>
  <c r="A67" i="1"/>
  <c r="S66" i="1"/>
  <c r="O66" i="1"/>
  <c r="K66" i="1"/>
  <c r="J66" i="1"/>
  <c r="I66" i="1"/>
  <c r="H66" i="1"/>
  <c r="G66" i="1"/>
  <c r="F66" i="1"/>
  <c r="E66" i="1"/>
  <c r="D66" i="1"/>
  <c r="C66" i="1"/>
  <c r="B66" i="1"/>
  <c r="A66" i="1"/>
  <c r="R65" i="1"/>
  <c r="J65" i="1"/>
  <c r="I65" i="1"/>
  <c r="G65" i="1"/>
  <c r="F65" i="1"/>
  <c r="E65" i="1"/>
  <c r="D65" i="1"/>
  <c r="C65" i="1"/>
  <c r="B65" i="1"/>
  <c r="A65" i="1"/>
  <c r="S64" i="1"/>
  <c r="O64" i="1"/>
  <c r="K64" i="1"/>
  <c r="J64" i="1"/>
  <c r="I64" i="1"/>
  <c r="H64" i="1"/>
  <c r="G64" i="1"/>
  <c r="F64" i="1"/>
  <c r="E64" i="1"/>
  <c r="D64" i="1"/>
  <c r="C64" i="1"/>
  <c r="B64" i="1"/>
  <c r="A64" i="1"/>
  <c r="R63" i="1"/>
  <c r="J63" i="1"/>
  <c r="I63" i="1"/>
  <c r="G63" i="1"/>
  <c r="F63" i="1"/>
  <c r="E63" i="1"/>
  <c r="D63" i="1"/>
  <c r="C63" i="1"/>
  <c r="B63" i="1"/>
  <c r="A63" i="1"/>
  <c r="S62" i="1"/>
  <c r="O62" i="1"/>
  <c r="K62" i="1"/>
  <c r="J62" i="1"/>
  <c r="I62" i="1"/>
  <c r="H62" i="1"/>
  <c r="G62" i="1"/>
  <c r="F62" i="1"/>
  <c r="E62" i="1"/>
  <c r="D62" i="1"/>
  <c r="C62" i="1"/>
  <c r="B62" i="1"/>
  <c r="A62" i="1"/>
  <c r="R61" i="1"/>
  <c r="J61" i="1"/>
  <c r="I61" i="1"/>
  <c r="G61" i="1"/>
  <c r="F61" i="1"/>
  <c r="E61" i="1"/>
  <c r="D61" i="1"/>
  <c r="C61" i="1"/>
  <c r="B61" i="1"/>
  <c r="A61" i="1"/>
  <c r="S60" i="1"/>
  <c r="O60" i="1"/>
  <c r="K60" i="1"/>
  <c r="J60" i="1"/>
  <c r="I60" i="1"/>
  <c r="H60" i="1"/>
  <c r="G60" i="1"/>
  <c r="F60" i="1"/>
  <c r="E60" i="1"/>
  <c r="D60" i="1"/>
  <c r="C60" i="1"/>
  <c r="B60" i="1"/>
  <c r="A60" i="1"/>
  <c r="R59" i="1"/>
  <c r="J59" i="1"/>
  <c r="I59" i="1"/>
  <c r="G59" i="1"/>
  <c r="F59" i="1"/>
  <c r="E59" i="1"/>
  <c r="D59" i="1"/>
  <c r="C59" i="1"/>
  <c r="B59" i="1"/>
  <c r="A59" i="1"/>
  <c r="S58" i="1"/>
  <c r="O58" i="1"/>
  <c r="K58" i="1"/>
  <c r="J58" i="1"/>
  <c r="I58" i="1"/>
  <c r="H58" i="1"/>
  <c r="G58" i="1"/>
  <c r="F58" i="1"/>
  <c r="E58" i="1"/>
  <c r="D58" i="1"/>
  <c r="C58" i="1"/>
  <c r="B58" i="1"/>
  <c r="A58" i="1"/>
  <c r="R57" i="1"/>
  <c r="J57" i="1"/>
  <c r="I57" i="1"/>
  <c r="G57" i="1"/>
  <c r="F57" i="1"/>
  <c r="E57" i="1"/>
  <c r="D57" i="1"/>
  <c r="C57" i="1"/>
  <c r="B57" i="1"/>
  <c r="A57" i="1"/>
  <c r="S56" i="1"/>
  <c r="O56" i="1"/>
  <c r="K56" i="1"/>
  <c r="J56" i="1"/>
  <c r="I56" i="1"/>
  <c r="H56" i="1"/>
  <c r="G56" i="1"/>
  <c r="F56" i="1"/>
  <c r="E56" i="1"/>
  <c r="D56" i="1"/>
  <c r="C56" i="1"/>
  <c r="B56" i="1"/>
  <c r="A56" i="1"/>
  <c r="R55" i="1"/>
  <c r="J55" i="1"/>
  <c r="I55" i="1"/>
  <c r="G55" i="1"/>
  <c r="F55" i="1"/>
  <c r="E55" i="1"/>
  <c r="D55" i="1"/>
  <c r="C55" i="1"/>
  <c r="B55" i="1"/>
  <c r="A55" i="1"/>
  <c r="S54" i="1"/>
  <c r="O54" i="1"/>
  <c r="K54" i="1"/>
  <c r="J54" i="1"/>
  <c r="I54" i="1"/>
  <c r="H54" i="1"/>
  <c r="G54" i="1"/>
  <c r="F54" i="1"/>
  <c r="E54" i="1"/>
  <c r="D54" i="1"/>
  <c r="C54" i="1"/>
  <c r="B54" i="1"/>
  <c r="A54" i="1"/>
  <c r="R53" i="1"/>
  <c r="J53" i="1"/>
  <c r="I53" i="1"/>
  <c r="G53" i="1"/>
  <c r="F53" i="1"/>
  <c r="E53" i="1"/>
  <c r="D53" i="1"/>
  <c r="C53" i="1"/>
  <c r="B53" i="1"/>
  <c r="A53" i="1"/>
  <c r="S52" i="1"/>
  <c r="O52" i="1"/>
  <c r="K52" i="1"/>
  <c r="J52" i="1"/>
  <c r="I52" i="1"/>
  <c r="H52" i="1"/>
  <c r="G52" i="1"/>
  <c r="F52" i="1"/>
  <c r="E52" i="1"/>
  <c r="D52" i="1"/>
  <c r="C52" i="1"/>
  <c r="B52" i="1"/>
  <c r="A52" i="1"/>
  <c r="R51" i="1"/>
  <c r="J51" i="1"/>
  <c r="I51" i="1"/>
  <c r="G51" i="1"/>
  <c r="F51" i="1"/>
  <c r="E51" i="1"/>
  <c r="D51" i="1"/>
  <c r="C51" i="1"/>
  <c r="B51" i="1"/>
  <c r="A51" i="1"/>
  <c r="S50" i="1"/>
  <c r="O50" i="1"/>
  <c r="K50" i="1"/>
  <c r="J50" i="1"/>
  <c r="I50" i="1"/>
  <c r="H50" i="1"/>
  <c r="G50" i="1"/>
  <c r="F50" i="1"/>
  <c r="E50" i="1"/>
  <c r="D50" i="1"/>
  <c r="C50" i="1"/>
  <c r="B50" i="1"/>
  <c r="A50" i="1"/>
  <c r="S49" i="1"/>
  <c r="O49" i="1"/>
  <c r="K49" i="1"/>
  <c r="J49" i="1"/>
  <c r="I49" i="1"/>
  <c r="H49" i="1"/>
  <c r="G49" i="1"/>
  <c r="F49" i="1"/>
  <c r="E49" i="1"/>
  <c r="D49" i="1"/>
  <c r="C49" i="1"/>
  <c r="B49" i="1"/>
  <c r="A49" i="1"/>
  <c r="R48" i="1"/>
  <c r="J48" i="1"/>
  <c r="I48" i="1"/>
  <c r="G48" i="1"/>
  <c r="F48" i="1"/>
  <c r="E48" i="1"/>
  <c r="D48" i="1"/>
  <c r="C48" i="1"/>
  <c r="B48" i="1"/>
  <c r="A48" i="1"/>
  <c r="S47" i="1"/>
  <c r="O47" i="1"/>
  <c r="K47" i="1"/>
  <c r="J47" i="1"/>
  <c r="I47" i="1"/>
  <c r="H47" i="1"/>
  <c r="G47" i="1"/>
  <c r="F47" i="1"/>
  <c r="E47" i="1"/>
  <c r="D47" i="1"/>
  <c r="C47" i="1"/>
  <c r="B47" i="1"/>
  <c r="A47" i="1"/>
  <c r="R46" i="1"/>
  <c r="J46" i="1"/>
  <c r="I46" i="1"/>
  <c r="G46" i="1"/>
  <c r="F46" i="1"/>
  <c r="E46" i="1"/>
  <c r="D46" i="1"/>
  <c r="C46" i="1"/>
  <c r="B46" i="1"/>
  <c r="A46" i="1"/>
  <c r="S45" i="1"/>
  <c r="O45" i="1"/>
  <c r="K45" i="1"/>
  <c r="J45" i="1"/>
  <c r="I45" i="1"/>
  <c r="H45" i="1"/>
  <c r="G45" i="1"/>
  <c r="F45" i="1"/>
  <c r="E45" i="1"/>
  <c r="D45" i="1"/>
  <c r="C45" i="1"/>
  <c r="B45" i="1"/>
  <c r="A45" i="1"/>
  <c r="R44" i="1"/>
  <c r="J44" i="1"/>
  <c r="I44" i="1"/>
  <c r="G44" i="1"/>
  <c r="F44" i="1"/>
  <c r="E44" i="1"/>
  <c r="D44" i="1"/>
  <c r="C44" i="1"/>
  <c r="B44" i="1"/>
  <c r="A44" i="1"/>
  <c r="S43" i="1"/>
  <c r="O43" i="1"/>
  <c r="K43" i="1"/>
  <c r="J43" i="1"/>
  <c r="I43" i="1"/>
  <c r="H43" i="1"/>
  <c r="G43" i="1"/>
  <c r="F43" i="1"/>
  <c r="E43" i="1"/>
  <c r="D43" i="1"/>
  <c r="C43" i="1"/>
  <c r="B43" i="1"/>
  <c r="A43" i="1"/>
  <c r="R42" i="1"/>
  <c r="J42" i="1"/>
  <c r="I42" i="1"/>
  <c r="G42" i="1"/>
  <c r="F42" i="1"/>
  <c r="E42" i="1"/>
  <c r="D42" i="1"/>
  <c r="C42" i="1"/>
  <c r="B42" i="1"/>
  <c r="A42" i="1"/>
  <c r="S41" i="1"/>
  <c r="O41" i="1"/>
  <c r="K41" i="1"/>
  <c r="J41" i="1"/>
  <c r="I41" i="1"/>
  <c r="H41" i="1"/>
  <c r="G41" i="1"/>
  <c r="F41" i="1"/>
  <c r="E41" i="1"/>
  <c r="D41" i="1"/>
  <c r="C41" i="1"/>
  <c r="B41" i="1"/>
  <c r="A41" i="1"/>
  <c r="R40" i="1"/>
  <c r="J40" i="1"/>
  <c r="I40" i="1"/>
  <c r="G40" i="1"/>
  <c r="F40" i="1"/>
  <c r="E40" i="1"/>
  <c r="D40" i="1"/>
  <c r="C40" i="1"/>
  <c r="B40" i="1"/>
  <c r="A40" i="1"/>
  <c r="S39" i="1"/>
  <c r="O39" i="1"/>
  <c r="K39" i="1"/>
  <c r="J39" i="1"/>
  <c r="I39" i="1"/>
  <c r="H39" i="1"/>
  <c r="G39" i="1"/>
  <c r="F39" i="1"/>
  <c r="E39" i="1"/>
  <c r="D39" i="1"/>
  <c r="C39" i="1"/>
  <c r="B39" i="1"/>
  <c r="A39" i="1"/>
  <c r="R38" i="1"/>
  <c r="J38" i="1"/>
  <c r="I38" i="1"/>
  <c r="G38" i="1"/>
  <c r="F38" i="1"/>
  <c r="E38" i="1"/>
  <c r="D38" i="1"/>
  <c r="C38" i="1"/>
  <c r="B38" i="1"/>
  <c r="A38" i="1"/>
  <c r="S37" i="1"/>
  <c r="O37" i="1"/>
  <c r="K37" i="1"/>
  <c r="J37" i="1"/>
  <c r="I37" i="1"/>
  <c r="H37" i="1"/>
  <c r="G37" i="1"/>
  <c r="F37" i="1"/>
  <c r="E37" i="1"/>
  <c r="D37" i="1"/>
  <c r="C37" i="1"/>
  <c r="B37" i="1"/>
  <c r="A37" i="1"/>
  <c r="R36" i="1"/>
  <c r="J36" i="1"/>
  <c r="I36" i="1"/>
  <c r="G36" i="1"/>
  <c r="F36" i="1"/>
  <c r="E36" i="1"/>
  <c r="D36" i="1"/>
  <c r="C36" i="1"/>
  <c r="B36" i="1"/>
  <c r="A36" i="1"/>
  <c r="S35" i="1"/>
  <c r="O35" i="1"/>
  <c r="K35" i="1"/>
  <c r="J35" i="1"/>
  <c r="I35" i="1"/>
  <c r="H35" i="1"/>
  <c r="G35" i="1"/>
  <c r="F35" i="1"/>
  <c r="E35" i="1"/>
  <c r="D35" i="1"/>
  <c r="C35" i="1"/>
  <c r="B35" i="1"/>
  <c r="A35" i="1"/>
  <c r="R34" i="1"/>
  <c r="J34" i="1"/>
  <c r="I34" i="1"/>
  <c r="G34" i="1"/>
  <c r="F34" i="1"/>
  <c r="E34" i="1"/>
  <c r="D34" i="1"/>
  <c r="C34" i="1"/>
  <c r="B34" i="1"/>
  <c r="A34" i="1"/>
  <c r="S33" i="1"/>
  <c r="O33" i="1"/>
  <c r="K33" i="1"/>
  <c r="J33" i="1"/>
  <c r="I33" i="1"/>
  <c r="H33" i="1"/>
  <c r="G33" i="1"/>
  <c r="F33" i="1"/>
  <c r="E33" i="1"/>
  <c r="D33" i="1"/>
  <c r="C33" i="1"/>
  <c r="B33" i="1"/>
  <c r="A33" i="1"/>
  <c r="R32" i="1"/>
  <c r="J32" i="1"/>
  <c r="I32" i="1"/>
  <c r="G32" i="1"/>
  <c r="F32" i="1"/>
  <c r="E32" i="1"/>
  <c r="D32" i="1"/>
  <c r="C32" i="1"/>
  <c r="B32" i="1"/>
  <c r="A32" i="1"/>
  <c r="S31" i="1"/>
  <c r="O31" i="1"/>
  <c r="K31" i="1"/>
  <c r="J31" i="1"/>
  <c r="I31" i="1"/>
  <c r="H31" i="1"/>
  <c r="G31" i="1"/>
  <c r="F31" i="1"/>
  <c r="E31" i="1"/>
  <c r="D31" i="1"/>
  <c r="C31" i="1"/>
  <c r="B31" i="1"/>
  <c r="A31" i="1"/>
  <c r="R30" i="1"/>
  <c r="J30" i="1"/>
  <c r="I30" i="1"/>
  <c r="G30" i="1"/>
  <c r="F30" i="1"/>
  <c r="E30" i="1"/>
  <c r="D30" i="1"/>
  <c r="C30" i="1"/>
  <c r="B30" i="1"/>
  <c r="A30" i="1"/>
  <c r="S29" i="1"/>
  <c r="O29" i="1"/>
  <c r="K29" i="1"/>
  <c r="J29" i="1"/>
  <c r="I29" i="1"/>
  <c r="H29" i="1"/>
  <c r="G29" i="1"/>
  <c r="F29" i="1"/>
  <c r="E29" i="1"/>
  <c r="D29" i="1"/>
  <c r="C29" i="1"/>
  <c r="B29" i="1"/>
  <c r="A29" i="1"/>
  <c r="R28" i="1"/>
  <c r="J28" i="1"/>
  <c r="I28" i="1"/>
  <c r="G28" i="1"/>
  <c r="F28" i="1"/>
  <c r="E28" i="1"/>
  <c r="D28" i="1"/>
  <c r="C28" i="1"/>
  <c r="B28" i="1"/>
  <c r="A28" i="1"/>
  <c r="S27" i="1"/>
  <c r="O27" i="1"/>
  <c r="K27" i="1"/>
  <c r="J27" i="1"/>
  <c r="I27" i="1"/>
  <c r="H27" i="1"/>
  <c r="G27" i="1"/>
  <c r="F27" i="1"/>
  <c r="E27" i="1"/>
  <c r="D27" i="1"/>
  <c r="C27" i="1"/>
  <c r="B27" i="1"/>
  <c r="A27" i="1"/>
  <c r="R26" i="1"/>
  <c r="J26" i="1"/>
  <c r="I26" i="1"/>
  <c r="G26" i="1"/>
  <c r="F26" i="1"/>
  <c r="E26" i="1"/>
  <c r="D26" i="1"/>
  <c r="C26" i="1"/>
  <c r="B26" i="1"/>
  <c r="A26" i="1"/>
  <c r="S25" i="1"/>
  <c r="O25" i="1"/>
  <c r="K25" i="1"/>
  <c r="J25" i="1"/>
  <c r="I25" i="1"/>
  <c r="H25" i="1"/>
  <c r="G25" i="1"/>
  <c r="F25" i="1"/>
  <c r="E25" i="1"/>
  <c r="D25" i="1"/>
  <c r="C25" i="1"/>
  <c r="B25" i="1"/>
  <c r="A25" i="1"/>
  <c r="R24" i="1"/>
  <c r="J24" i="1"/>
  <c r="I24" i="1"/>
  <c r="G24" i="1"/>
  <c r="F24" i="1"/>
  <c r="E24" i="1"/>
  <c r="D24" i="1"/>
  <c r="C24" i="1"/>
  <c r="B24" i="1"/>
  <c r="A24" i="1"/>
  <c r="S23" i="1"/>
  <c r="O23" i="1"/>
  <c r="K23" i="1"/>
  <c r="J23" i="1"/>
  <c r="I23" i="1"/>
  <c r="H23" i="1"/>
  <c r="G23" i="1"/>
  <c r="F23" i="1"/>
  <c r="E23" i="1"/>
  <c r="D23" i="1"/>
  <c r="C23" i="1"/>
  <c r="B23" i="1"/>
  <c r="A23" i="1"/>
  <c r="R22" i="1"/>
  <c r="J22" i="1"/>
  <c r="I22" i="1"/>
  <c r="G22" i="1"/>
  <c r="F22" i="1"/>
  <c r="E22" i="1"/>
  <c r="D22" i="1"/>
  <c r="C22" i="1"/>
  <c r="B22" i="1"/>
  <c r="A22" i="1"/>
  <c r="S21" i="1"/>
  <c r="O21" i="1"/>
  <c r="K21" i="1"/>
  <c r="J21" i="1"/>
  <c r="I21" i="1"/>
  <c r="H21" i="1"/>
  <c r="G21" i="1"/>
  <c r="F21" i="1"/>
  <c r="E21" i="1"/>
  <c r="D21" i="1"/>
  <c r="C21" i="1"/>
  <c r="B21" i="1"/>
  <c r="A21" i="1"/>
  <c r="R20" i="1"/>
  <c r="J20" i="1"/>
  <c r="I20" i="1"/>
  <c r="G20" i="1"/>
  <c r="F20" i="1"/>
  <c r="E20" i="1"/>
  <c r="D20" i="1"/>
  <c r="C20" i="1"/>
  <c r="B20" i="1"/>
  <c r="A20" i="1"/>
  <c r="S19" i="1"/>
  <c r="O19" i="1"/>
  <c r="K19" i="1"/>
  <c r="J19" i="1"/>
  <c r="I19" i="1"/>
  <c r="H19" i="1"/>
  <c r="G19" i="1"/>
  <c r="F19" i="1"/>
  <c r="E19" i="1"/>
  <c r="D19" i="1"/>
  <c r="C19" i="1"/>
  <c r="B19" i="1"/>
  <c r="A19" i="1"/>
  <c r="R18" i="1"/>
  <c r="J18" i="1"/>
  <c r="I18" i="1"/>
  <c r="G18" i="1"/>
  <c r="F18" i="1"/>
  <c r="E18" i="1"/>
  <c r="D18" i="1"/>
  <c r="C18" i="1"/>
  <c r="B18" i="1"/>
  <c r="A18" i="1"/>
  <c r="S17" i="1"/>
  <c r="O17" i="1"/>
  <c r="K17" i="1"/>
  <c r="J17" i="1"/>
  <c r="I17" i="1"/>
  <c r="H17" i="1"/>
  <c r="G17" i="1"/>
  <c r="F17" i="1"/>
  <c r="E17" i="1"/>
  <c r="D17" i="1"/>
  <c r="C17" i="1"/>
  <c r="B17" i="1"/>
  <c r="A17" i="1"/>
  <c r="R16" i="1"/>
  <c r="J16" i="1"/>
  <c r="I16" i="1"/>
  <c r="G16" i="1"/>
  <c r="F16" i="1"/>
  <c r="E16" i="1"/>
  <c r="D16" i="1"/>
  <c r="C16" i="1"/>
  <c r="B16" i="1"/>
  <c r="A16" i="1"/>
  <c r="S15" i="1"/>
  <c r="O15" i="1"/>
  <c r="K15" i="1"/>
  <c r="J15" i="1"/>
  <c r="I15" i="1"/>
  <c r="H15" i="1"/>
  <c r="G15" i="1"/>
  <c r="F15" i="1"/>
  <c r="E15" i="1"/>
  <c r="D15" i="1"/>
  <c r="C15" i="1"/>
  <c r="B15" i="1"/>
  <c r="A15" i="1"/>
  <c r="R14" i="1"/>
  <c r="J14" i="1"/>
  <c r="I14" i="1"/>
  <c r="G14" i="1"/>
  <c r="F14" i="1"/>
  <c r="E14" i="1"/>
  <c r="D14" i="1"/>
  <c r="C14" i="1"/>
  <c r="B14" i="1"/>
  <c r="A14" i="1"/>
  <c r="S13" i="1"/>
  <c r="O13" i="1"/>
  <c r="K13" i="1"/>
  <c r="J13" i="1"/>
  <c r="I13" i="1"/>
  <c r="H13" i="1"/>
  <c r="G13" i="1"/>
  <c r="F13" i="1"/>
  <c r="E13" i="1"/>
  <c r="D13" i="1"/>
  <c r="C13" i="1"/>
  <c r="B13" i="1"/>
  <c r="A13" i="1"/>
  <c r="R12" i="1"/>
  <c r="J12" i="1"/>
  <c r="I12" i="1"/>
  <c r="G12" i="1"/>
  <c r="F12" i="1"/>
  <c r="E12" i="1"/>
  <c r="D12" i="1"/>
  <c r="C12" i="1"/>
  <c r="B12" i="1"/>
  <c r="A12" i="1"/>
  <c r="S11" i="1"/>
  <c r="O11" i="1"/>
  <c r="K11" i="1"/>
  <c r="J11" i="1"/>
  <c r="I11" i="1"/>
  <c r="H11" i="1"/>
  <c r="G11" i="1"/>
  <c r="F11" i="1"/>
  <c r="E11" i="1"/>
  <c r="D11" i="1"/>
  <c r="C11" i="1"/>
  <c r="B11" i="1"/>
  <c r="A11" i="1"/>
  <c r="R10" i="1"/>
  <c r="J10" i="1"/>
  <c r="I10" i="1"/>
  <c r="G10" i="1"/>
  <c r="F10" i="1"/>
  <c r="E10" i="1"/>
  <c r="D10" i="1"/>
  <c r="C10" i="1"/>
  <c r="B10" i="1"/>
  <c r="A10" i="1"/>
  <c r="S9" i="1"/>
  <c r="O9" i="1"/>
  <c r="K9" i="1"/>
  <c r="J9" i="1"/>
  <c r="I9" i="1"/>
  <c r="H9" i="1"/>
  <c r="G9" i="1"/>
  <c r="F9" i="1"/>
  <c r="E9" i="1"/>
  <c r="D9" i="1"/>
  <c r="C9" i="1"/>
  <c r="B9" i="1"/>
  <c r="A9" i="1"/>
  <c r="R8" i="1"/>
  <c r="J8" i="1"/>
  <c r="I8" i="1"/>
  <c r="G8" i="1"/>
  <c r="F8" i="1"/>
  <c r="E8" i="1"/>
  <c r="D8" i="1"/>
  <c r="C8" i="1"/>
  <c r="B8" i="1"/>
  <c r="A8" i="1"/>
  <c r="S7" i="1"/>
  <c r="O7" i="1"/>
  <c r="K7" i="1"/>
  <c r="J7" i="1"/>
  <c r="I7" i="1"/>
  <c r="H7" i="1"/>
  <c r="G7" i="1"/>
  <c r="F7" i="1"/>
  <c r="E7" i="1"/>
  <c r="D7" i="1"/>
  <c r="C7" i="1"/>
  <c r="B7" i="1"/>
  <c r="A7" i="1"/>
  <c r="R6" i="1"/>
  <c r="J6" i="1"/>
  <c r="I6" i="1"/>
  <c r="G6" i="1"/>
  <c r="F6" i="1"/>
  <c r="E6" i="1"/>
  <c r="D6" i="1"/>
  <c r="C6" i="1"/>
  <c r="B6" i="1"/>
  <c r="A6" i="1"/>
  <c r="R5" i="1"/>
  <c r="J5" i="1"/>
  <c r="I5" i="1"/>
  <c r="G5" i="1"/>
  <c r="F5" i="1"/>
  <c r="E5" i="1"/>
  <c r="D5" i="1"/>
  <c r="C5" i="1"/>
  <c r="B5" i="1"/>
  <c r="A5" i="1"/>
  <c r="S4" i="1"/>
  <c r="O4" i="1"/>
  <c r="K4" i="1"/>
  <c r="J4" i="1"/>
  <c r="I4" i="1"/>
  <c r="H4" i="1"/>
  <c r="G4" i="1"/>
  <c r="F4" i="1"/>
  <c r="E4" i="1"/>
  <c r="D4" i="1"/>
  <c r="C4" i="1"/>
  <c r="B4" i="1"/>
  <c r="A4" i="1"/>
  <c r="R3" i="1"/>
  <c r="J3" i="1"/>
  <c r="I3" i="1"/>
  <c r="G3" i="1"/>
  <c r="F3" i="1"/>
  <c r="E3" i="1"/>
  <c r="D3" i="1"/>
  <c r="C3" i="1"/>
  <c r="B3" i="1"/>
  <c r="A3" i="1"/>
  <c r="S2" i="1"/>
  <c r="O2" i="1"/>
  <c r="K2" i="1"/>
  <c r="J2" i="1"/>
  <c r="I2" i="1"/>
  <c r="H2" i="1"/>
  <c r="G2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<sst xmlns="http://schemas.openxmlformats.org/spreadsheetml/2006/main" count="37618" uniqueCount="3707">
  <si>
    <t>DATA MOVIMENTO</t>
  </si>
  <si>
    <t>ENTRADA/SAÍDA</t>
  </si>
  <si>
    <t>TIPO TÍTULO</t>
  </si>
  <si>
    <t>NÚMERO DOCTO</t>
  </si>
  <si>
    <t>PARC</t>
  </si>
  <si>
    <t>QUEM GEROU</t>
  </si>
  <si>
    <t>PARCEIROV (FARMÁCIA PAGADOR OU ENTREGADOR)</t>
  </si>
  <si>
    <t>REFERENTE</t>
  </si>
  <si>
    <t>VENCIMENTO</t>
  </si>
  <si>
    <t>EMISSÃO</t>
  </si>
  <si>
    <t>PAGAMENTO</t>
  </si>
  <si>
    <t>VALOR ORIGINAL</t>
  </si>
  <si>
    <t>VALOR PAGO / RECEBIDO</t>
  </si>
  <si>
    <t>CONTA</t>
  </si>
  <si>
    <t>PLANO DE CONTAS</t>
  </si>
  <si>
    <t>VALOR MOV.CONTA</t>
  </si>
  <si>
    <t>VALOR RATEADO PARA O PRESTADOR</t>
  </si>
  <si>
    <t>CENTRO DE CUSTO (FARMÁCIA PRESTADORA)</t>
  </si>
  <si>
    <t>BANCO / CAIXA</t>
  </si>
  <si>
    <t>REGISTRO MOVIMENTO</t>
  </si>
  <si>
    <t>REGISTRO COMPROMISSO</t>
  </si>
  <si>
    <t>BANCO</t>
  </si>
  <si>
    <t>BANCO CORA (102)</t>
  </si>
  <si>
    <t>Serv.Prest. 18/08/2025 a 24/08/2025 - PIX: E-MAIL - CHAVE: alanacosta1999@gmail.com</t>
  </si>
  <si>
    <t>PAGAMENTO DE ENTREGADORES</t>
  </si>
  <si>
    <t>Serv.Prest. 25/08/2025 a 31/08/2025 - PIX: CPF - CHAVE: 396.124.108-28</t>
  </si>
  <si>
    <t>Serv.Prest. 25/08/2025 a 31/08/2025 - PIX: CELULAR - CHAVE: (73) 98155-8496</t>
  </si>
  <si>
    <t>Serv.Prest. 25/08/2025 a 31/08/2025 - PIX: E-MAIL - CHAVE: ericsilva8marcena@gmail.com</t>
  </si>
  <si>
    <t>Serv.Prest. 25/08/2025 a 31/08/2025 - PIX: CPF - CHAVE: 170.180.266-01</t>
  </si>
  <si>
    <t>Serv.Prest. 25/08/2025 a 31/08/2025 - PIX: CELULAR - CHAVE: (31) 99373-5678</t>
  </si>
  <si>
    <t>Serv.Prest. 25/08/2025 a 31/08/2025 - PIX: CELULAR - CHAVE: (33) 99199-7983</t>
  </si>
  <si>
    <t>Serv.Prest. 25/08/2025 a 31/08/2025 - PIX: CELULAR - CHAVE: (11) 95449-1055</t>
  </si>
  <si>
    <t>Serv.Prest. 25/08/2025 a 31/08/2025 - PIX: CELULAR - CHAVE: (11) 94281-7123</t>
  </si>
  <si>
    <t>MANUTENCAO SISTEMA SD</t>
  </si>
  <si>
    <t>SOFTWARE / LICENÇAS</t>
  </si>
  <si>
    <t>DESENVOLVIMENTO MODULO EXCLUSAO DE COMPROMISSO EM LOTE</t>
  </si>
  <si>
    <t>01/08 PROPOSTA 075527/2024 Máquina Dedicada Virtual – BR 2 vCPU Licenciadas com Windows Server 2019</t>
  </si>
  <si>
    <t>PLANO FARMACIA PARA COOPERADOS</t>
  </si>
  <si>
    <t>PLANOS E SEGUROS</t>
  </si>
  <si>
    <t>CHAT GPT</t>
  </si>
  <si>
    <t>Serv.Prest. 25/08/2025 a 31/08/2025 - PIX: CPF - CHAVE: 106.393.056-10</t>
  </si>
  <si>
    <t>DIARIA DE MOTOBOY</t>
  </si>
  <si>
    <t>Serv.Prest. 25/08/2025 a 31/08/2025 - PIX: CPF - CHAVE: 130.993.576-93</t>
  </si>
  <si>
    <t>Diaria 02/09/2025 - PIX: CPF - CHAVE: 096.891.935-97</t>
  </si>
  <si>
    <t>Serv.Prest. 25/08/2025 a 31/08/2025 - PIX: CELULAR - CHAVE: (32) 99913-0476</t>
  </si>
  <si>
    <t>Serv.Prest. 01/09/2025 a 07/09/2025 - PIX: CELULAR - CHAVE: (31) 99373-5678</t>
  </si>
  <si>
    <t>Serv.Prest. 01/09/2025 a 07/09/2025 - PIX: CELULAR - CHAVE: (11) 91439-9070</t>
  </si>
  <si>
    <t>Serv.Prest. 25/08/2025 a 31/08/2025 - PIX: CPF - CHAVE: 423.098.018-36</t>
  </si>
  <si>
    <t>CAIXA MOVIMENTAÇÃO OPERACIONAL (132)</t>
  </si>
  <si>
    <t>Serv.Prest. 01/08/2025 a 31/08/2025 - PIX: NÃO CADASTRADO - CHAVE: CEF AG 2986 CONTA 2292-5 POUPANÇA</t>
  </si>
  <si>
    <t>COTA COOPERATIVA</t>
  </si>
  <si>
    <t>ENTRADA DE CAPITAL</t>
  </si>
  <si>
    <t>ENTRADA DE CAPITAL (106)</t>
  </si>
  <si>
    <t>REEMBOLSO COMPRA CAMISETA</t>
  </si>
  <si>
    <t>RECEITAS COM REEMBOLSOS</t>
  </si>
  <si>
    <t>RECEITAS COM REEMBOLSOS (108)</t>
  </si>
  <si>
    <t>Serv.Prest. 25/08/2025 a 31/08/2025 - PIX: CELULAR - CHAVE: (32) 99920-0416</t>
  </si>
  <si>
    <t>REEMBOLSO ADIANTAMENTO</t>
  </si>
  <si>
    <t>ENTRADA DE REEMBOLSO ADIANTAMENTO</t>
  </si>
  <si>
    <t>ENTRADA DE REEMBOLSO ADIANTAMENTO (129)</t>
  </si>
  <si>
    <t>Serv.Prest. 25/08/2025 a 31/08/2025 - PIX: CPF - CHAVE: 463.491.858-70</t>
  </si>
  <si>
    <t>Serv.Prest. 25/08/2025 a 31/08/2025 - PIX: CPF - CHAVE: 012.600.851-55</t>
  </si>
  <si>
    <t>Serv.Prest. 18/08/2025 a 24/08/2025 - PIX: CPF - CHAVE: 157.874.046-02</t>
  </si>
  <si>
    <t>Serv.Prest. 25/08/2025 a 31/08/2025 - PIX: CPF - CHAVE: 097.245.586-81</t>
  </si>
  <si>
    <t>REEMBOLSO COMPRA BAG</t>
  </si>
  <si>
    <t>Serv.Prest. 01/09/2025 a 07/09/2025 - PIX: CELULAR - CHAVE: (73) 98155-8496</t>
  </si>
  <si>
    <t>Serv.Prest. 01/09/2025 a 07/09/2025 - PIX: CELULAR - CHAVE: (11) 94281-7123</t>
  </si>
  <si>
    <t>Serv.Prest. 01/09/2025 a 07/09/2025 - PIX: CELULAR - CHAVE: (11) 96366-0000</t>
  </si>
  <si>
    <t>Serv.Prest. 25/08/2025 a 31/08/2025 - RPS: 1173 - NFSe: 3297</t>
  </si>
  <si>
    <t>RECEITAS COM ENTREGAS</t>
  </si>
  <si>
    <t>RECEITAS COM ENTREGAS (303)</t>
  </si>
  <si>
    <t>Serv.Prest. 25/08/2025 a 31/08/2025 - RPS: 1177 - NFSe: 3301</t>
  </si>
  <si>
    <t>Serv.Prest. 25/08/2025 a 31/08/2025 - RPS: 1184 - NFSe: 3308</t>
  </si>
  <si>
    <t>Serv.Prest. 25/08/2025 a 31/08/2025 - RPS: 1187 - NFSe: 3311</t>
  </si>
  <si>
    <t>Serv.Prest. 25/08/2025 a 31/08/2025 - RPS: 1178 - NFSe: 3302</t>
  </si>
  <si>
    <t xml:space="preserve">TAXA BOLETO </t>
  </si>
  <si>
    <t>IOF/JUROS/DESP.FINANCEIRA</t>
  </si>
  <si>
    <t>BANCO C6 (149)</t>
  </si>
  <si>
    <t>Serv.Prest. 18/08/2025 a 24/08/2025 - RPS: 1162 - NFSe: 3286</t>
  </si>
  <si>
    <t>Serv.Prest. 18/08/2025 a 24/08/2025 - RPS: 1163 - NFSe: 3287</t>
  </si>
  <si>
    <t>Serv.Prest. 18/08/2025 a 24/08/2025 - RPS: 1164 - NFSe: 3288</t>
  </si>
  <si>
    <t>Serv.Prest. 25/08/2025 a 31/08/2025 - PIX: CELULAR - CHAVE: (73) 988381077</t>
  </si>
  <si>
    <t>Complemento Serv.Prest. 18/08/2025 a 24/08/2025 - PIX: CPF - CHAVE: 705.097.186-39</t>
  </si>
  <si>
    <t>DESC DE BAG, UNIFORME, PLANOS Serv.Prest. 25/08/2025 a 31/08/2025 - PIX: CELULAR - CHAVE: (33) 98884-1637</t>
  </si>
  <si>
    <t>Serv.Prest. 25/08/2025 a 31/08/2025 - PIX: CELULAR - CHAVE: (33) 98857-0494</t>
  </si>
  <si>
    <t>ADIANTAMENTO</t>
  </si>
  <si>
    <t>SOLICITACAO DE ADIANTAMENTO</t>
  </si>
  <si>
    <t>Serv.Prest. 25/08/2025 a 31/08/2025 - PIX: CPF - CHAVE: 021.178.446-00</t>
  </si>
  <si>
    <t>Serv.Prest. 18/08/2025 a 24/08/2025 - PIX: CPF - CHAVE: 004.682.359-06</t>
  </si>
  <si>
    <t>SERVIDOR SITE COOPERATIVA - coopmob.com.br (03/09/2025 - 02/10/2025)</t>
  </si>
  <si>
    <t>Serv.Prest. 25/08/2025 a 31/08/2025 - PIX: CPF - CHAVE: 007.842.745-25</t>
  </si>
  <si>
    <t>Serv.Prest. 25/08/2025 a 31/08/2025 - PIX: CPF - CHAVE: 091.575.986-14</t>
  </si>
  <si>
    <t>Serv.Prest. 18/08/2025 a 24/08/2025 - PIX: CELULAR - CHAVE: (43) 99630-7532</t>
  </si>
  <si>
    <t>Serv.Prest. 18/08/2025 a 24/08/2025 - PIX: CPF - CHAVE: 975.425.989-53</t>
  </si>
  <si>
    <t>Serv.Prest. 18/08/2025 a 24/08/2025 - PIX: CPF - CHAVE: 878.196.869-87</t>
  </si>
  <si>
    <t>Serv.Prest. 18/08/2025 a 24/08/2025 - PIX: CPF - CHAVE: 074.604.219-10</t>
  </si>
  <si>
    <t>Serv.Prest. 18/08/2025 a 24/08/2025 - PIX: CELULAR - CHAVE: (43) 99934-1696</t>
  </si>
  <si>
    <t>DESC DE BAG, UNIFORME, PLANOS Serv.Prest. 18/08/2025 a 24/08/2025 - PIX: CPF - CHAVE: 134.385.606-07</t>
  </si>
  <si>
    <t>Serv.Prest. 18/08/2025 a 24/08/2025 - PIX: CELULAR - CHAVE: (33) 99877-0415</t>
  </si>
  <si>
    <t>Serv.Prest. 18/08/2025 a 24/08/2025 - PIX: CPF - CHAVE: 099.626.666-60</t>
  </si>
  <si>
    <t>Serv.Prest. 18/08/2025 a 24/08/2025 - PIX: E-MAIL - CHAVE: anissoanidaldepaula@gmail.com</t>
  </si>
  <si>
    <t>Serv.Prest. 18/08/2025 a 24/08/2025 - PIX: CPF - CHAVE: 037.192.076-09</t>
  </si>
  <si>
    <t>DESC DE BAG, UNIFORME, PLANOS Serv.Prest. 18/08/2025 a 24/08/2025 - PIX: CPF - CHAVE: 137.446.146-62</t>
  </si>
  <si>
    <t>Serv.Prest. 18/08/2025 a 24/08/2025 - PIX: CPF - CHAVE: 155.328.666-94</t>
  </si>
  <si>
    <t>Serv.Prest. 18/08/2025 a 24/08/2025 - PIX: CELULAR - CHAVE: (32) 98896-0708</t>
  </si>
  <si>
    <t>DESC DE BAG, UNIFORME, PLANOS Serv.Prest. 18/08/2025 a 24/08/2025 - PIX: CELULAR - CHAVE: (32) 99166-8238</t>
  </si>
  <si>
    <t>Serv.Prest. 18/08/2025 a 24/08/2025 - PIX: CPF - CHAVE: 091.575.986-14</t>
  </si>
  <si>
    <t>Serv.Prest. 18/08/2025 a 24/08/2025 - PIX: CELULAR - CHAVE: (33) 98845-4528</t>
  </si>
  <si>
    <t>DESC DE BAG, UNIFORME, PLANOS Serv.Prest. 18/08/2025 a 24/08/2025 - PIX: CELULAR - CHAVE: (31) 98511-2851</t>
  </si>
  <si>
    <t>Serv.Prest. 18/08/2025 a 24/08/2025 - PIX: CELULAR - CHAVE: (32) 99177-6167</t>
  </si>
  <si>
    <t>Serv.Prest. 18/08/2025 a 24/08/2025 - PIX: CPF - CHAVE: 110.483.296-82</t>
  </si>
  <si>
    <t>DESC DE BAG, UNIFORME, PLANOS Serv.Prest. 18/08/2025 a 24/08/2025 - PIX: CELULAR - CHAVE: (33) 98749-5105</t>
  </si>
  <si>
    <t>Serv.Prest. 18/08/2025 a 24/08/2025 - PIX: CELULAR - CHAVE: (33) 99802-1883</t>
  </si>
  <si>
    <t>Serv.Prest. 18/08/2025 a 24/08/2025 - PIX: CELULAR - CHAVE: (31) 99610-7049</t>
  </si>
  <si>
    <t>Serv.Prest. 18/08/2025 a 24/08/2025 - PIX: E-MAIL - CHAVE: turano296801@gmail.com</t>
  </si>
  <si>
    <t>Serv.Prest. 18/08/2025 a 24/08/2025 - PIX: CPF - CHAVE: 102.023.716-38</t>
  </si>
  <si>
    <t>Serv.Prest. 18/08/2025 a 24/08/2025 - PIX: CELULAR - CHAVE: (33) 98890-5095</t>
  </si>
  <si>
    <t>Serv.Prest. 18/08/2025 a 24/08/2025 - PIX: CPF - CHAVE: 141.134.256-98</t>
  </si>
  <si>
    <t>Serv.Prest. 18/08/2025 a 24/08/2025 - PIX: CPF - CHAVE: 070.073.316-70</t>
  </si>
  <si>
    <t>Serv.Prest. 18/08/2025 a 24/08/2025 - PIX: CELULAR - CHAVE: (31) 98483-3242</t>
  </si>
  <si>
    <t>Serv.Prest. 18/08/2025 a 24/08/2025 - PIX: CPF - CHAVE: 160.160.216-28</t>
  </si>
  <si>
    <t>DESC DE BAG, UNIFORME, PLANOS Serv.Prest. 18/08/2025 a 24/08/2025 - PIX: CPF - CHAVE: 179.800.027-09</t>
  </si>
  <si>
    <t>Serv.Prest. 18/08/2025 a 24/08/2025 - PIX: CPF - CHAVE: 386.313.426-53</t>
  </si>
  <si>
    <t>Serv.Prest. 18/08/2025 a 24/08/2025 - PIX: CELULAR - CHAVE: (33) 99706-4860</t>
  </si>
  <si>
    <t>Serv.Prest. 18/08/2025 a 24/08/2025 - PIX: CELULAR - CHAVE: (31) 99816-8965</t>
  </si>
  <si>
    <t>Serv.Prest. 18/08/2025 a 24/08/2025 - PIX: CPF - CHAVE: 113.084.266-58</t>
  </si>
  <si>
    <t>Serv.Prest. 18/08/2025 a 24/08/2025 - PIX: CPF - CHAVE: 067.393.286-92</t>
  </si>
  <si>
    <t>DESC DE BAG, UNIFORME, PLANOS Serv.Prest. 18/08/2025 a 24/08/2025 - PIX: CPF - CHAVE: 121.297.376-33</t>
  </si>
  <si>
    <t>DESC DE BAG, UNIFORME, PLANOS Serv.Prest. 18/08/2025 a 24/08/2025 - PIX: CPF - CHAVE: 126.873.296-65</t>
  </si>
  <si>
    <t>Serv.Prest. 18/08/2025 a 24/08/2025 - PIX: CPF - CHAVE: 023.645.626-19</t>
  </si>
  <si>
    <t>Serv.Prest. 18/08/2025 a 24/08/2025 - PIX: CELULAR - CHAVE: (33) 98836-6015</t>
  </si>
  <si>
    <t>Serv.Prest. 18/08/2025 a 24/08/2025 - PIX: E-MAIL - CHAVE: jhonantanlacerda@gmail.com</t>
  </si>
  <si>
    <t>Serv.Prest. 18/08/2025 a 24/08/2025 - PIX: CPF - CHAVE: 049.276.546-48</t>
  </si>
  <si>
    <t>Serv.Prest. 18/08/2025 a 24/08/2025 - PIX: CPF - CHAVE: 602.838.315-53</t>
  </si>
  <si>
    <t>Serv.Prest. 18/08/2025 a 24/08/2025 - PIX: CPF - CHAVE: 043.301.196-33</t>
  </si>
  <si>
    <t>Serv.Prest. 18/08/2025 a 24/08/2025 - PIX: CPF - CHAVE: 012.459.366-62</t>
  </si>
  <si>
    <t>Serv.Prest. 18/08/2025 a 24/08/2025 - PIX: CPF - CHAVE: 077.488.126-75</t>
  </si>
  <si>
    <t>Serv.Prest. 18/08/2025 a 24/08/2025 - PIX: CPF - CHAVE: 074.520.456-29</t>
  </si>
  <si>
    <t>Serv.Prest. 18/08/2025 a 24/08/2025 - PIX: CELULAR - CHAVE: (33) 99106-9330</t>
  </si>
  <si>
    <t>Serv.Prest. 18/08/2025 a 24/08/2025 - PIX: CHAVE ALEATÓRIA - CHAVE: c489bee1-360b-4fa9-86c4-fbb0e9844cb8</t>
  </si>
  <si>
    <t>Serv.Prest. 18/08/2025 a 24/08/2025 - PIX: CELULAR - CHAVE: (33) 98463-0821</t>
  </si>
  <si>
    <t>Serv.Prest. 18/08/2025 a 24/08/2025 - PIX: CELULAR - CHAVE: (31) 99850-4727</t>
  </si>
  <si>
    <t>DESC DE BAG, UNIFORME, PLANOS Serv.Prest. 18/08/2025 a 24/08/2025 - PIX: CELULAR - CHAVE: (33) 98749-4693</t>
  </si>
  <si>
    <t>Serv.Prest. 18/08/2025 a 24/08/2025 - PIX: CELULAR - CHAVE: (31) 99385-4405</t>
  </si>
  <si>
    <t>Serv.Prest. 18/08/2025 a 24/08/2025 - PIX: CPF - CHAVE: 161.508.516-56</t>
  </si>
  <si>
    <t>Serv.Prest. 18/08/2025 a 24/08/2025 - PIX: CELULAR - CHAVE: (33) 99172-0627</t>
  </si>
  <si>
    <t>Serv.Prest. 18/08/2025 a 24/08/2025 - PIX: CELULAR - CHAVE: (33) 99981-6650</t>
  </si>
  <si>
    <t>Serv.Prest. 18/08/2025 a 24/08/2025 - PIX: CPF - CHAVE: 101.220.976-88</t>
  </si>
  <si>
    <t>Serv.Prest. 18/08/2025 a 24/08/2025 - PIX: CPF - CHAVE: 705.097.186-39</t>
  </si>
  <si>
    <t>Serv.Prest. 18/08/2025 a 24/08/2025 - PIX: CELULAR - CHAVE: (31) 98412-5118</t>
  </si>
  <si>
    <t>Serv.Prest. 18/08/2025 a 24/08/2025 - PIX: CELULAR - CHAVE: (33) 98427-3872</t>
  </si>
  <si>
    <t>Serv.Prest. 18/08/2025 a 24/08/2025 - PIX: CELULAR - CHAVE: (33) 99815-2379</t>
  </si>
  <si>
    <t>Serv.Prest. 18/08/2025 a 24/08/2025 - PIX: CELULAR - CHAVE: (33) 99194-2339</t>
  </si>
  <si>
    <t>DESC DE BAG, UNIFORME, PLANOS Serv.Prest. 18/08/2025 a 24/08/2025 - PIX: CPF - CHAVE: 705.849.816-43</t>
  </si>
  <si>
    <t>DESC DE BAG, UNIFORME, PLANOS Serv.Prest. 18/08/2025 a 24/08/2025 - PIX: E-MAIL - CHAVE: meamatheusvieira@gmail.com</t>
  </si>
  <si>
    <t>Serv.Prest. 18/08/2025 a 24/08/2025 - PIX: CPF - CHAVE: 163.330.766-27</t>
  </si>
  <si>
    <t>DESC DE BAG, UNIFORME, PLANOS Serv.Prest. 18/08/2025 a 24/08/2025 - PIX: E-MAIL - CHAVE: maxwel.borges14@gmail.com</t>
  </si>
  <si>
    <t>Serv.Prest. 18/08/2025 a 24/08/2025 - PIX: CELULAR - CHAVE: (31) 99076-6539</t>
  </si>
  <si>
    <t>DESC DE BAG, UNIFORME, PLANOS Serv.Prest. 18/08/2025 a 24/08/2025 - PIX: CELULAR - CHAVE: (33) 99845-0493</t>
  </si>
  <si>
    <t>Serv.Prest. 18/08/2025 a 24/08/2025 - PIX: CPF - CHAVE: 123.020.026-60</t>
  </si>
  <si>
    <t>Serv.Prest. 18/08/2025 a 24/08/2025 - PIX: CPF - CHAVE: 108.680.396-59</t>
  </si>
  <si>
    <t>Serv.Prest. 18/08/2025 a 24/08/2025 - PIX: CPF - CHAVE: 037.974.316-78</t>
  </si>
  <si>
    <t>Serv.Prest. 18/08/2025 a 24/08/2025 - PIX: CELULAR - CHAVE: (31) 99216-8711</t>
  </si>
  <si>
    <t>Serv.Prest. 18/08/2025 a 24/08/2025 - PIX: CELULAR - CHAVE: (31) 97339-3761</t>
  </si>
  <si>
    <t>Serv.Prest. 18/08/2025 a 24/08/2025 - PIX: CELULAR - CHAVE: (35) 99264-4504</t>
  </si>
  <si>
    <t>Serv.Prest. 18/08/2025 a 24/08/2025 - PIX: E-MAIL - CHAVE: sypedrinho@gmail.com</t>
  </si>
  <si>
    <t>Serv.Prest. 18/08/2025 a 24/08/2025 - PIX: CELULAR - CHAVE: (31) 99959-5414</t>
  </si>
  <si>
    <t>Serv.Prest. 18/08/2025 a 24/08/2025 - PIX: CPF - CHAVE: 012.783.036-77</t>
  </si>
  <si>
    <t>Serv.Prest. 18/08/2025 a 24/08/2025 - PIX: CELULAR - CHAVE: (31) 98891-8440</t>
  </si>
  <si>
    <t>Serv.Prest. 18/08/2025 a 24/08/2025 - PIX: E-MAIL - CHAVE: roger.l.borges04@gmail.com</t>
  </si>
  <si>
    <t>Serv.Prest. 18/08/2025 a 24/08/2025 - PIX: CELULAR - CHAVE: (33) 98840-0998</t>
  </si>
  <si>
    <t>Serv.Prest. 18/08/2025 a 24/08/2025 - PIX: CPF - CHAVE: 118.731.976-75</t>
  </si>
  <si>
    <t>Serv.Prest. 18/08/2025 a 24/08/2025 - PIX: CPF - CHAVE: 048.151.276-46</t>
  </si>
  <si>
    <t>Serv.Prest. 18/08/2025 a 24/08/2025 - PIX: CPF - CHAVE: 097.855.786-74</t>
  </si>
  <si>
    <t>Serv.Prest. 18/08/2025 a 24/08/2025 - PIX: CHAVE ALEATÓRIA - CHAVE: 1550e869-c9d7-4436-be93-6858fd0cb900</t>
  </si>
  <si>
    <t>Serv.Prest. 18/08/2025 a 24/08/2025 - PIX: CPF - CHAVE: 092.566.416-23</t>
  </si>
  <si>
    <t>Serv.Prest. 18/08/2025 a 24/08/2025 - PIX: CPF - CHAVE: 130.194.566-81</t>
  </si>
  <si>
    <t>Serv.Prest. 18/08/2025 a 24/08/2025 - PIX: CELULAR - CHAVE: (33) 99118-9032</t>
  </si>
  <si>
    <t>Serv.Prest. 18/08/2025 a 24/08/2025 - PIX: CELULAR - CHAVE: (31) 97251-6838</t>
  </si>
  <si>
    <t>Serv.Prest. 18/08/2025 a 24/08/2025 - PIX: CELULAR - CHAVE: (32) 99800-1691</t>
  </si>
  <si>
    <t>Serv.Prest. 18/08/2025 a 24/08/2025 - PIX: CPF - CHAVE: 700.454.836-80</t>
  </si>
  <si>
    <t>Serv.Prest. 18/08/2025 a 24/08/2025 - PIX: CELULAR - CHAVE: (33) 98806-5772</t>
  </si>
  <si>
    <t>DESC DE BAG, UNIFORME, PLANOS Serv.Prest. 18/08/2025 a 24/08/2025 - PIX: CELULAR - CHAVE: (33) 99996-3668</t>
  </si>
  <si>
    <t>Serv.Prest. 18/08/2025 a 24/08/2025 - PIX: CPF - CHAVE: 012.906.122-00</t>
  </si>
  <si>
    <t>Serv.Prest. 18/08/2025 a 24/08/2025 - PIX: E-MAIL - CHAVE: wilianvieirawrv3578@gmail.com</t>
  </si>
  <si>
    <t>Serv.Prest. 18/08/2025 a 24/08/2025 - PIX: CELULAR - CHAVE: (33) 99859-8751</t>
  </si>
  <si>
    <t>DESC DE BAG, UNIFORME, PLANOS Serv.Prest. 18/08/2025 a 24/08/2025 - PIX: CPF - CHAVE: 036.875.515-04</t>
  </si>
  <si>
    <t>Serv.Prest. 18/08/2025 a 24/08/2025 - PIX: CELULAR - CHAVE: (73) 99966-7211</t>
  </si>
  <si>
    <t>Serv.Prest. 18/08/2025 a 24/08/2025 - PIX: CPF - CHAVE: 094.947.395-23</t>
  </si>
  <si>
    <t>Serv.Prest. 18/08/2025 a 24/08/2025 - PIX: E-MAIL - CHAVE: ericgomes508@gmail.com</t>
  </si>
  <si>
    <t>Serv.Prest. 18/08/2025 a 24/08/2025 - PIX: CPF - CHAVE: 005.022.525-10</t>
  </si>
  <si>
    <t>Serv.Prest. 18/08/2025 a 24/08/2025 - PIX: CPF - CHAVE: 087.398.185-51</t>
  </si>
  <si>
    <t>Serv.Prest. 18/08/2025 a 24/08/2025 - PIX: CELULAR - CHAVE: (73) 99941-8352</t>
  </si>
  <si>
    <t>Serv.Prest. 18/08/2025 a 24/08/2025 - PIX: CELULAR - CHAVE: (73) 98888-3793</t>
  </si>
  <si>
    <t>Serv.Prest. 18/08/2025 a 24/08/2025 - PIX: CPF - CHAVE: 439.169.103-53</t>
  </si>
  <si>
    <t>Serv.Prest. 18/08/2025 a 24/08/2025 - PIX: CELULAR - CHAVE: (73) 99115-9602</t>
  </si>
  <si>
    <t>Serv.Prest. 18/08/2025 a 24/08/2025 - PIX: CPF - CHAVE: 035.018.455-02</t>
  </si>
  <si>
    <t>Serv.Prest. 18/08/2025 a 24/08/2025 - PIX: CPF - CHAVE: 860.305.455-07</t>
  </si>
  <si>
    <t>Serv.Prest. 18/08/2025 a 24/08/2025 - PIX: CELULAR - CHAVE: (73) 98105-2187</t>
  </si>
  <si>
    <t>Serv.Prest. 18/08/2025 a 24/08/2025 - PIX: CELULAR - CHAVE: (73) 99803-0715</t>
  </si>
  <si>
    <t>Serv.Prest. 18/08/2025 a 24/08/2025 - PIX: CELULAR - CHAVE: (73) 99967-3239</t>
  </si>
  <si>
    <t>Serv.Prest. 18/08/2025 a 24/08/2025 - PIX: CPF - CHAVE: 003.157.195-67</t>
  </si>
  <si>
    <t>Serv.Prest. 18/08/2025 a 24/08/2025 - PIX: CNPJ - CHAVE: 33.412.676/0001-41</t>
  </si>
  <si>
    <t>Serv.Prest. 18/08/2025 a 24/08/2025 - PIX: CELULAR - CHAVE: (73) 99977-2721</t>
  </si>
  <si>
    <t>Serv.Prest. 18/08/2025 a 24/08/2025 - PIX: CELULAR - CHAVE: (73) 99818-9718</t>
  </si>
  <si>
    <t>Serv.Prest. 18/08/2025 a 24/08/2025 - PIX: CPF - CHAVE: 079.068.045-97</t>
  </si>
  <si>
    <t>Serv.Prest. 18/08/2025 a 24/08/2025 - PIX: CPF - CHAVE: 096.891.935-97</t>
  </si>
  <si>
    <t>Serv.Prest. 18/08/2025 a 24/08/2025 - PIX: CPF - CHAVE: 079.930.865-07</t>
  </si>
  <si>
    <t>Serv.Prest. 18/08/2025 a 24/08/2025 - PIX: CELULAR - CHAVE: (27) 99811-6850</t>
  </si>
  <si>
    <t>Serv.Prest. 18/08/2025 a 24/08/2025 - PIX: CELULAR - CHAVE: (27) 99950-3450</t>
  </si>
  <si>
    <t>Serv.Prest. 18/08/2025 a 24/08/2025 - PIX: CNPJ - CHAVE: 40.359.224/0001-09</t>
  </si>
  <si>
    <t>Serv.Prest. 18/08/2025 a 24/08/2025 - PIX: CELULAR - CHAVE: (27) 99616-4468</t>
  </si>
  <si>
    <t>Serv.Prest. 18/08/2025 a 24/08/2025 - PIX: CELULAR - CHAVE: (27) 99916-8443</t>
  </si>
  <si>
    <t>DESC DE BAG, UNIFORME, PLANOS Serv.Prest. 18/08/2025 a 24/08/2025 - PIX: CPF - CHAVE: 121.963.507-37</t>
  </si>
  <si>
    <t>Serv.Prest. 25/08/2025 a 31/08/2025 - PIX: CELULAR - CHAVE: (62) 99550-3226</t>
  </si>
  <si>
    <t>Serv.Prest. 25/08/2025 a 31/08/2025 - PIX: CELULAR - CHAVE: (11) 95552-9905</t>
  </si>
  <si>
    <t>Serv.Prest. 25/08/2025 a 31/08/2025 - PIX: CPF - CHAVE: 505.341.528-56</t>
  </si>
  <si>
    <t>Serv.Prest. 25/08/2025 a 31/08/2025 - PIX: CPF - CHAVE: 336.516.138-44</t>
  </si>
  <si>
    <t>Serv.Prest. 25/08/2025 a 31/08/2025 - PIX: CPF - CHAVE: 157.591.436-03</t>
  </si>
  <si>
    <t>Serv.Prest. 25/08/2025 a 31/08/2025 - PIX: CPF - CHAVE: 140.108.466-40</t>
  </si>
  <si>
    <t>Serv.Prest. 25/08/2025 a 31/08/2025 - PIX: CPF - CHAVE: 080.965.696-51</t>
  </si>
  <si>
    <t>Serv.Prest. 25/08/2025 a 31/08/2025 - PIX: CPF - CHAVE: 100.710.806-19</t>
  </si>
  <si>
    <t>Serv.Prest. 25/08/2025 a 31/08/2025 - PIX: CELULAR - CHAVE: (31) 99376-7989</t>
  </si>
  <si>
    <t>Serv.Prest. 25/08/2025 a 31/08/2025 - PIX: CPF - CHAVE: 103.983.366-79</t>
  </si>
  <si>
    <t>Serv.Prest. 25/08/2025 a 31/08/2025 - PIX: CPF - CHAVE: 138.263.636-98</t>
  </si>
  <si>
    <t>Serv.Prest. 25/08/2025 a 31/08/2025 - PIX: CPF - CHAVE: 128.367.756-37</t>
  </si>
  <si>
    <t>Serv.Prest. 25/08/2025 a 31/08/2025 - PIX: CPF - CHAVE: 147.592.156-03</t>
  </si>
  <si>
    <t>Serv.Prest. 25/08/2025 a 31/08/2025 - PIX: CPF - CHAVE: 138.798.486-10</t>
  </si>
  <si>
    <t>Serv.Prest. 25/08/2025 a 31/08/2025 - PIX: CPF - CHAVE: 100.826.516-04</t>
  </si>
  <si>
    <t>Serv.Prest. 25/08/2025 a 31/08/2025 - PIX: CPF - CHAVE: 126.686.406-79</t>
  </si>
  <si>
    <t>Serv.Prest. 25/08/2025 a 31/08/2025 - PIX: CPF - CHAVE: 016.203.336-27</t>
  </si>
  <si>
    <t>Serv.Prest. 25/08/2025 a 31/08/2025 - PIX: CELULAR - CHAVE: (11) 97402-1586</t>
  </si>
  <si>
    <t>Serv.Prest. 25/08/2025 a 31/08/2025 - PIX: CELULAR - CHAVE: (19) 98944-4977</t>
  </si>
  <si>
    <t>Serv.Prest. 25/08/2025 a 31/08/2025 - PIX: CELULAR - CHAVE: (11) 99992-0816</t>
  </si>
  <si>
    <t>Serv.Prest. 25/08/2025 a 31/08/2025 - PIX: E-MAIL - CHAVE: claudioverdinho2009@hotmail.com</t>
  </si>
  <si>
    <t>Serv.Prest. 25/08/2025 a 31/08/2025 - PIX: CELULAR - CHAVE: (41) 98421-2278</t>
  </si>
  <si>
    <t>Serv.Prest. 25/08/2025 a 31/08/2025 - PIX: CPF - CHAVE: 124.575.099-20</t>
  </si>
  <si>
    <t>Serv.Prest. 25/08/2025 a 31/08/2025 - PIX: CELULAR - CHAVE: (33) 99924-7557</t>
  </si>
  <si>
    <t>Serv.Prest. 25/08/2025 a 31/08/2025 - PIX: CPF - CHAVE: 082.990.555-39</t>
  </si>
  <si>
    <t>Serv.Prest. 25/08/2025 a 31/08/2025 - PIX: CELULAR - CHAVE: (71) 99214-9256</t>
  </si>
  <si>
    <t>Serv.Prest. 25/08/2025 a 31/08/2025 - PIX: CPF - CHAVE: 048.672.645-20</t>
  </si>
  <si>
    <t>Serv.Prest. 25/08/2025 a 31/08/2025 - PIX: CELULAR - CHAVE: (73) 98191-0061</t>
  </si>
  <si>
    <t>Serv.Prest. 25/08/2025 a 31/08/2025 - PIX: CPF - CHAVE: 009.265.655-24</t>
  </si>
  <si>
    <t>Serv.Prest. 25/08/2025 a 31/08/2025 - PIX: CPF - CHAVE: 378.223.888-51</t>
  </si>
  <si>
    <t>Serv.Prest. 25/08/2025 a 31/08/2025 - PIX: CPF - CHAVE: 701.955.866-62</t>
  </si>
  <si>
    <t>Serv.Prest. 25/08/2025 a 31/08/2025 - PIX: CELULAR - CHAVE: (33) 99880-7941</t>
  </si>
  <si>
    <t>Serv.Prest. 25/08/2025 a 31/08/2025 - PIX: CELULAR - CHAVE: (64) 98118-5132</t>
  </si>
  <si>
    <t>Serv.Prest. 25/08/2025 a 31/08/2025 - PIX: CELULAR - CHAVE: (64) 97400-9101</t>
  </si>
  <si>
    <t>Serv.Prest. 25/08/2025 a 31/08/2025 - PIX: CELULAR - CHAVE: (37) 99146-2630</t>
  </si>
  <si>
    <t>Serv.Prest. 25/08/2025 a 31/08/2025 - PIX: CPF - CHAVE: 090.332.006-19</t>
  </si>
  <si>
    <t>Serv.Prest. 25/08/2025 a 31/08/2025 - PIX: CELULAR - CHAVE: (37) 99197-6834</t>
  </si>
  <si>
    <t>Serv.Prest. 25/08/2025 a 31/08/2025 - PIX: CPF - CHAVE: 950.176.406-06</t>
  </si>
  <si>
    <t>Serv.Prest. 25/08/2025 a 31/08/2025 - PIX: CELULAR - CHAVE: (37) 99138-1777</t>
  </si>
  <si>
    <t>Serv.Prest. 25/08/2025 a 31/08/2025 - PIX: CELULAR - CHAVE: (37) 98841-8571</t>
  </si>
  <si>
    <t>Serv.Prest. 25/08/2025 a 31/08/2025 - PIX: CELULAR - CHAVE: (33) 99194-2339</t>
  </si>
  <si>
    <t>Serv.Prest. 25/08/2025 a 31/08/2025 - PIX: CELULAR - CHAVE: (73) 99115-9602</t>
  </si>
  <si>
    <t>Serv.Prest. 25/08/2025 a 31/08/2025 - PIX: CPF - CHAVE: 113.084.266-58</t>
  </si>
  <si>
    <t>BONUS PERFORMANCE ENTREGAS - PIX: CPF - CHAVE: 097.855.786-74</t>
  </si>
  <si>
    <t>BONUS PERFORMANCE ENTREGAS - PIX: CPF - CHAVE: 108.680.396-59</t>
  </si>
  <si>
    <t>PRESTACAO DE SERVICO MENSAL 08/2025</t>
  </si>
  <si>
    <t>PRESTADORES DE SERVIÇOS</t>
  </si>
  <si>
    <t>DESPESAS VIAGEM CASTELO E BARRA DA CONCEIÇÃO - PIX: CELULAR - CHAVE: (32) 99166-8238</t>
  </si>
  <si>
    <t>DESPESAS COM VIAGENS OPERACIONAIS</t>
  </si>
  <si>
    <t>Serv.Prest. 01/09/2025 a 07/09/2025 - PIX: CNPJ - CHAVE: 49.607.413/0001-28</t>
  </si>
  <si>
    <t>PRESTACAO DE SERVICOS MES 08/2025</t>
  </si>
  <si>
    <t>PRESTAÇÃO DE SERVIÇO MENSAL 08/2025</t>
  </si>
  <si>
    <t>PAGAMENTO SERVIÇO MENSAL 08/2025</t>
  </si>
  <si>
    <t>PAGAMENTO DE FUNCIONÁRIOS</t>
  </si>
  <si>
    <t>PAGAMENTO PRESTACAO DE SERVIÇOS MARKETING 08/2025</t>
  </si>
  <si>
    <t>PRESTACAO DE SERVICOS 08/2025</t>
  </si>
  <si>
    <t>BOLSA ESTAGIO 08/2025</t>
  </si>
  <si>
    <t>PAGAMENTO PRESTACAO SERVICOS MENSAL 08/2025</t>
  </si>
  <si>
    <t>Serv.Prest. 18/08/2025 a 24/08/2025 - RPS: 1171 - NFSe: 3295</t>
  </si>
  <si>
    <t>Serv.Prest. 25/08/2025 a 31/08/2025 - RPS: 1172 - NFSe: 3296</t>
  </si>
  <si>
    <t>Serv.Prest. 25/08/2025 a 31/08/2025 - RPS: 1174 - NFSe: 3298</t>
  </si>
  <si>
    <t>Serv.Prest. 25/08/2025 a 31/08/2025 - RPS: 1176 - NFSe: 3300</t>
  </si>
  <si>
    <t>Serv.Prest. 25/08/2025 a 31/08/2025 - RPS: 1179 - NFSe: 3303</t>
  </si>
  <si>
    <t>Serv.Prest. 25/08/2025 a 31/08/2025 - RPS: 1182 - NFSe: 3306</t>
  </si>
  <si>
    <t>Serv.Prest. 25/08/2025 a 31/08/2025 - RPS: 1183 - NFSe: 3307</t>
  </si>
  <si>
    <t>Serv.Prest. 25/08/2025 a 31/08/2025 - RPS: 1185 - NFSe: 3309</t>
  </si>
  <si>
    <t>Serv.Prest. 25/08/2025 a 31/08/2025 - RPS: 1191 - NFSe: 3315</t>
  </si>
  <si>
    <t>Serv.Prest. 18/08/2025 a 24/08/2025 - RPS: 1170 - NFSe: 3294</t>
  </si>
  <si>
    <t>Serv.Prest. 18/08/2025 a 24/08/2025 - RPS: 1169 - NFSe: 3293</t>
  </si>
  <si>
    <t>Serv.Prest. 25/08/2025 a 31/08/2025 - RPS: 1175 - NFSe: 3299</t>
  </si>
  <si>
    <t>Serv.Prest. 25/08/2025 a 31/08/2025 - RPS: 1186 - NFSe: 3310</t>
  </si>
  <si>
    <t>Serv.Prest. 18/08/2025 a 24/08/2025 - RPS: 1158 - NFSe: 3282</t>
  </si>
  <si>
    <t>Serv.Prest. 18/08/2025 a 24/08/2025 - RPS: 1159 - NFSe: 3283</t>
  </si>
  <si>
    <t>Serv.Prest. 18/08/2025 a 24/08/2025 - PIX: CPF - CHAVE: 021.178.446-00</t>
  </si>
  <si>
    <t>VALE TRANSPORTE - SETEMBRO/25 - 05 DIAS</t>
  </si>
  <si>
    <t>VALE TRANSPORTE</t>
  </si>
  <si>
    <t>DEVOLUCAO COTA COOPERATIVA - PIX: CELULAR - CHAVE: (33) 99815-5459</t>
  </si>
  <si>
    <t>DEVOLUÇÃO COTA COOPERATIVA</t>
  </si>
  <si>
    <t>Serv.Prest. 25/08/2025 a 31/08/2025 - RPS: 1192 - NFSe: 3316</t>
  </si>
  <si>
    <t>Serv.Prest. 01/08/2025 a 31/08/2025 - RPS: 1193 - NFSe: 3317</t>
  </si>
  <si>
    <t>PARCELAMENTO ISS</t>
  </si>
  <si>
    <t>ISS</t>
  </si>
  <si>
    <t>Serv.Prest. 01/09/2025 a 07/09/2025 - PIX: CELULAR - CHAVE: (27) 99650-9691</t>
  </si>
  <si>
    <t>Serv.Prest. 01/09/2025 a 07/09/2025 - Phablo Heinrick Valadares Ferreira</t>
  </si>
  <si>
    <t>Serv.Prest. 01/09/2025 a 07/09/2025 Danilo Vieira dos Reis</t>
  </si>
  <si>
    <t>Serv.Prest. 01/09/2025 a 07/09/2025 - PIX: CELULAR - CHAVE: (11) 95530-0331</t>
  </si>
  <si>
    <t>Serv.Prest. 01/09/2025 a 07/09/2025 - PIX: CPF - CHAVE: 900.512.622-15</t>
  </si>
  <si>
    <t>Serv.Prest. 01/09/2025 a 07/09/2025 Bruno Marcelo Faria Nogueira</t>
  </si>
  <si>
    <t>Serv.Prest. 01/09/2025 a 07/09/2025 - PIX: CPF - CHAVE: 157.591.436-03</t>
  </si>
  <si>
    <t>Serv.Prest. 01/09/2025 a 07/09/2025 - PIX: E-MAIL - CHAVE: ericsilva8marcena@gmail.com</t>
  </si>
  <si>
    <t>Serv.Prest. 01/09/2025 a 07/09/2025 - PIX: CELULAR - CHAVE: (11) 95449-1055</t>
  </si>
  <si>
    <t>PAGAMENTO LIDERANÇA REF. MES 08/2025 - PIX: CELULAR - CHAVE: (73) 988381077</t>
  </si>
  <si>
    <t>PAGAMENTO COMISSAO LIDERES</t>
  </si>
  <si>
    <t>TARIFA BANCARIA</t>
  </si>
  <si>
    <t>Serv.Prest. 25/08/2025 a 31/08/2025 - PIX: CELULAR - CHAVE: (27) 99916-8443</t>
  </si>
  <si>
    <t>DESCONTO COTA COOPERADO</t>
  </si>
  <si>
    <t>Serv.Prest. 25/08/2025 a 31/08/2025 - PIX: CPF - CHAVE: 074.520.456-29</t>
  </si>
  <si>
    <t>Serv.Prest. 01/09/2025 a 07/09/2025 - PIX: CPF - CHAVE: 016.203.336-27</t>
  </si>
  <si>
    <t>Serv.Prest. 01/09/2025 a 07/09/2025 - PIX: CPF - CHAVE: 396.124.108-28</t>
  </si>
  <si>
    <t>Serv.Prest. 25/08/2025 a 31/08/2025 - PIX: CPF - CHAVE: 096.891.935-97</t>
  </si>
  <si>
    <t>Serv.Prest. 25/08/2025 a 31/08/2025 - PIX: CPF - CHAVE: 126.873.296-65</t>
  </si>
  <si>
    <t>Serv.Prest. 01/09/2025 a 07/09/2025 - PIX: CPF - CHAVE: 012.600.851-55</t>
  </si>
  <si>
    <t>Serv.Prest. 25/08/2025 a 31/08/2025 - PIX: CPF - CHAVE: 160.160.216-28</t>
  </si>
  <si>
    <t>Serv.Prest. 25/08/2025 a 31/08/2025 - PIX: CELULAR - CHAVE: (73) 98888-3793</t>
  </si>
  <si>
    <t>COTAS COOPERATIVA</t>
  </si>
  <si>
    <t>Serv.Prest. 01/09/2025 a 07/09/2025 - PIX: CPF - CHAVE: 378.223.888-51</t>
  </si>
  <si>
    <t>Serv.Prest. 01/09/2025 a 07/09/2025 - PIX: CELULAR - CHAVE: (73) 98191-0061</t>
  </si>
  <si>
    <t>Serv.Prest. 01/09/2025 a 07/09/2025 - PIX: CPF - CHAVE: 009.265.655-24</t>
  </si>
  <si>
    <t>Serv.Prest. 01/09/2025 a 07/09/2025 - PIX: CELULAR - CHAVE: (32) 99913-0476</t>
  </si>
  <si>
    <t>Serv.Prest. 01/09/2025 a 07/09/2025 - PIX: CPF - CHAVE: 021.178.446-00</t>
  </si>
  <si>
    <t>Serv.Prest. 01/09/2025 a 07/09/2025 - PIX: CELULAR - CHAVE: (71) 99696-7530</t>
  </si>
  <si>
    <t>Serv.Prest. 25/08/2025 a 31/08/2025 - PIX: CPF - CHAVE: 975.425.989-53</t>
  </si>
  <si>
    <t>Serv.Prest. 25/08/2025 a 31/08/2025 - PIX: CPF - CHAVE: 134.385.606-07</t>
  </si>
  <si>
    <t>Serv.Prest. 01/09/2025 a 07/09/2025 - PIX: CELULAR - CHAVE: (19) 98944-4977</t>
  </si>
  <si>
    <t>Serv.Prest. 25/08/2025 a 31/08/2025 - PIX: CPF - CHAVE: 099.626.666-60</t>
  </si>
  <si>
    <t>Serv.Prest. 01/09/2025 a 07/09/2025 - PIX: CELULAR - CHAVE: (32) 99920-0416</t>
  </si>
  <si>
    <t>Serv.Prest. 25/08/2025 a 31/08/2025 - PIX: CPF - CHAVE: 079.930.865-07</t>
  </si>
  <si>
    <t>Serv.Prest. 25/08/2025 a 31/08/2025 - PIX: E-MAIL - CHAVE: anissoanidaldepaula@gmail.com</t>
  </si>
  <si>
    <t>Serv.Prest. 01/09/2025 a 07/09/2025 - PIX: CPF - CHAVE: 103.983.366-79</t>
  </si>
  <si>
    <t>Serv.Prest. 25/08/2025 a 31/08/2025 - PIX: CPF - CHAVE: 037.192.076-09</t>
  </si>
  <si>
    <t>Serv.Prest. 01/09/2025 a 07/09/2025 - PIX: CELULAR - CHAVE: (37) 99146-2630</t>
  </si>
  <si>
    <t>Serv.Prest. 25/08/2025 a 31/08/2025 - PIX: CPF - CHAVE: 155.328.666-94</t>
  </si>
  <si>
    <t>Serv.Prest. 01/09/2025 a 07/09/2025 - PIX: CPF - CHAVE: 155.328.666-94</t>
  </si>
  <si>
    <t>Serv.Prest. 25/08/2025 a 31/08/2025 - PIX: CELULAR - CHAVE: (32) 98896-0708</t>
  </si>
  <si>
    <t>Serv.Prest. 25/08/2025 a 31/08/2025 - PIX: CELULAR - CHAVE: (32) 99166-8238</t>
  </si>
  <si>
    <t>Serv.Prest. 25/08/2025 a 31/08/2025 - PIX: CELULAR - CHAVE: (43) 99630-7532</t>
  </si>
  <si>
    <t>Serv.Prest. 01/09/2025 a 07/09/2025 - PIX: E-MAIL - CHAVE: claudioverdinho2009@hotmail.com</t>
  </si>
  <si>
    <t>Serv.Prest. 25/08/2025 a 31/08/2025 - PIX: CELULAR - CHAVE: (32) 99177-6167</t>
  </si>
  <si>
    <t>Serv.Prest. 25/08/2025 a 31/08/2025 - PIX: CELULAR - CHAVE: (27) 99811-6850</t>
  </si>
  <si>
    <t>Serv.Prest. 25/08/2025 a 31/08/2025 - PIX: CELULAR - CHAVE: (33) 98749-5105</t>
  </si>
  <si>
    <t>Serv.Prest. 25/08/2025 a 31/08/2025 - PIX: CELULAR - CHAVE: (33) 99802-1883</t>
  </si>
  <si>
    <t>Serv.Prest. 01/09/2025 a 07/09/2025 - PIX: CELULAR - CHAVE: (62) 99550-3226</t>
  </si>
  <si>
    <t>Serv.Prest. 25/08/2025 a 31/08/2025 - PIX: CELULAR - CHAVE: (31) 99610-7049</t>
  </si>
  <si>
    <t>Serv.Prest. 25/08/2025 a 31/08/2025 - PIX: CELULAR - CHAVE: (73) 99966-7211</t>
  </si>
  <si>
    <t>Serv.Prest. 01/09/2025 a 07/09/2025 - PIX: CELULAR - CHAVE: (71) 99214-9256</t>
  </si>
  <si>
    <t>Serv.Prest. 25/08/2025 a 31/08/2025 - PIX: CPF - CHAVE: 141.134.256-98</t>
  </si>
  <si>
    <t>Serv.Prest. 01/09/2025 a 07/09/2025 - PIX: CELULAR - CHAVE: (11) 95552-9905</t>
  </si>
  <si>
    <t>Serv.Prest. 01/09/2025 a 07/09/2025 - PIX: CELULAR - CHAVE: (11) 97402-1586</t>
  </si>
  <si>
    <t>Serv.Prest. 25/08/2025 a 31/08/2025 - PIX: CPF - CHAVE: 094.947.395-23</t>
  </si>
  <si>
    <t>Serv.Prest. 01/09/2025 a 07/09/2025 - PIX: CPF - CHAVE: 048.672.645-20</t>
  </si>
  <si>
    <t>Serv.Prest. 01/09/2025 a 07/09/2025 - PIX: CPF - CHAVE: 463.491.858-70</t>
  </si>
  <si>
    <t>Serv.Prest. 25/08/2025 a 31/08/2025 - PIX: E-MAIL - CHAVE: ericgomes508@gmail.com</t>
  </si>
  <si>
    <t>Serv.Prest. 25/08/2025 a 31/08/2025 - PIX: CPF - CHAVE: 070.073.316-70</t>
  </si>
  <si>
    <t>Serv.Prest. 25/08/2025 a 31/08/2025 - PIX: CELULAR - CHAVE: (27) 99950-3450</t>
  </si>
  <si>
    <t>Serv.Prest. 01/09/2025 a 07/09/2025 - PIX: CPF - CHAVE: 138.798.486-10</t>
  </si>
  <si>
    <t>Serv.Prest. 25/08/2025 a 31/08/2025 - PIX: CELULAR - CHAVE: (31) 98483-3242</t>
  </si>
  <si>
    <t>DESCONTO COTA COOPERATIVA</t>
  </si>
  <si>
    <t>Serv.Prest. 25/08/2025 a 31/08/2025 - PIX: CPF - CHAVE: 004.682.359-06</t>
  </si>
  <si>
    <t>Serv.Prest. 01/09/2025 a 07/09/2025 - PIX: CPF - CHAVE: 140.108.466-40</t>
  </si>
  <si>
    <t>REEMBOLSO COMPRA DE CAMISETA</t>
  </si>
  <si>
    <t>Serv.Prest. 25/08/2025 a 31/08/2025 - PIX: CPF - CHAVE: 179.800.027-09</t>
  </si>
  <si>
    <t>Serv.Prest. 01/09/2025 a 07/09/2025 - PIX: CPF - CHAVE: 179.800.027-09</t>
  </si>
  <si>
    <t>Serv.Prest. 25/08/2025 a 31/08/2025 - PIX: CPF - CHAVE: 087.398.185-51</t>
  </si>
  <si>
    <t>Serv.Prest. 08/09/2025 a 14/09/2025 - PIX: CELULAR - CHAVE: (73) 98155-8496</t>
  </si>
  <si>
    <t>REEMBOLSO MENSALIDADE PACOTE ADOBE</t>
  </si>
  <si>
    <t>Serv.Prest. 01/09/2025 a 07/09/2025 - PIX: CPF - CHAVE: 106.393.056-10</t>
  </si>
  <si>
    <t>Serv.Prest. 01/09/2025 a 07/09/2025 - PIX: CELULAR - CHAVE: (33) 99110-6940</t>
  </si>
  <si>
    <t>Serv.Prest. 01/09/2025 a 07/09/2025 - PIX: CPF - CHAVE: 141.994.266-20</t>
  </si>
  <si>
    <t>Serv.Prest. 01/09/2025 a 07/09/2025 - PIX: CPF - CHAVE: 096.891.935-97</t>
  </si>
  <si>
    <t>Serv.Prest. 25/08/2025 a 31/08/2025 - PIX: CELULAR - CHAVE: (43) 99934-1696</t>
  </si>
  <si>
    <t>Serv.Prest. 25/08/2025 a 31/08/2025 - PIX: CELULAR - CHAVE: (73) 99941-8352</t>
  </si>
  <si>
    <t>Serv.Prest. 25/08/2025 a 31/08/2025 - PIX: CELULAR - CHAVE: (33) 99706-4860</t>
  </si>
  <si>
    <t>Serv.Prest. 25/08/2025 a 31/08/2025 - PIX: CELULAR - CHAVE: (31) 99816-8965</t>
  </si>
  <si>
    <t>Serv.Prest. 01/09/2025 a 07/09/2025 - PIX: CELULAR - CHAVE: (41) 98421-2278</t>
  </si>
  <si>
    <t>Serv.Prest. 25/08/2025 a 31/08/2025 - PIX: CPF - CHAVE: 074.604.219-10</t>
  </si>
  <si>
    <t>Serv.Prest. 01/09/2025 a 07/09/2025 - PIX: CELULAR - CHAVE: (31) 99376-7989</t>
  </si>
  <si>
    <t>Serv.Prest. 25/08/2025 a 31/08/2025 - PIX: CPF - CHAVE: 067.393.286-92</t>
  </si>
  <si>
    <t>Serv.Prest. 25/08/2025 a 31/08/2025 - PIX: CPF - CHAVE: 439.169.103-53</t>
  </si>
  <si>
    <t>Serv.Prest. 01/09/2025 a 07/09/2025 - PIX: CPF - CHAVE: 423.098.018-36</t>
  </si>
  <si>
    <t>Serv.Prest. 25/08/2025 a 31/08/2025 - PIX: CPF - CHAVE: 121.297.376-33</t>
  </si>
  <si>
    <t>Serv.Prest. 25/08/2025 a 31/08/2025 - PIX: CELULAR - CHAVE: (27) 99616-4468</t>
  </si>
  <si>
    <t>Serv.Prest. 25/08/2025 a 31/08/2025 - PIX: CPF - CHAVE: 023.645.626-19</t>
  </si>
  <si>
    <t>Serv.Prest. 01/09/2025 a 07/09/2025 - PIX: CPF - CHAVE: 124.575.099-20</t>
  </si>
  <si>
    <t>Serv.Prest. 25/08/2025 a 31/08/2025 - PIX: E-MAIL - CHAVE: jhonantanlacerda@gmail.com</t>
  </si>
  <si>
    <t>Serv.Prest. 25/08/2025 a 31/08/2025 - PIX: CPF - CHAVE: 035.018.455-02</t>
  </si>
  <si>
    <t>Serv.Prest. 25/08/2025 a 31/08/2025 - PIX: CPF - CHAVE: 049.276.546-48</t>
  </si>
  <si>
    <t>Serv.Prest. 25/08/2025 a 31/08/2025 - PIX: CPF - CHAVE: 860.305.455-07</t>
  </si>
  <si>
    <t>Serv.Prest. 01/09/2025 a 07/09/2025 - PIX: CELULAR - CHAVE: (33) 99924-7557</t>
  </si>
  <si>
    <t>Serv.Prest. 01/09/2025 a 07/09/2025 - PIX: CELULAR - CHAVE: (64) 98118-5132</t>
  </si>
  <si>
    <t>Serv.Prest. 01/09/2025 a 07/09/2025 - PIX: CPF - CHAVE: 100.826.516-04</t>
  </si>
  <si>
    <t>Serv.Prest. 25/08/2025 a 31/08/2025 - PIX: CPF - CHAVE: 077.488.126-75</t>
  </si>
  <si>
    <t>Serv.Prest. 25/08/2025 a 31/08/2025 - PIX: CELULAR - CHAVE: (73) 98105-2187</t>
  </si>
  <si>
    <t>Serv.Prest. 01/09/2025 a 07/09/2025 - PIX: CHAVE ALEATÓRIA - CHAVE: c489bee1-360b-4fa9-86c4-fbb0e9844cb8</t>
  </si>
  <si>
    <t>Serv.Prest. 25/08/2025 a 31/08/2025 - PIX: CELULAR - CHAVE: (33) 99860-1035</t>
  </si>
  <si>
    <t>Serv.Prest. 25/08/2025 a 31/08/2025 - PIX: CELULAR - CHAVE: (73) 99803-0715</t>
  </si>
  <si>
    <t>Serv.Prest. 01/09/2025 a 07/09/2025 - PIX: CPF - CHAVE: 138.263.636-98</t>
  </si>
  <si>
    <t>Serv.Prest. 25/08/2025 a 31/08/2025 - PIX: CELULAR - CHAVE: (33) 98749-4693</t>
  </si>
  <si>
    <t>Serv.Prest. 25/08/2025 a 31/08/2025 - PIX: CPF - CHAVE: 161.508.516-56</t>
  </si>
  <si>
    <t>Serv.Prest. 25/08/2025 a 31/08/2025 - PIX: CELULAR - CHAVE: (33) 99172-0627</t>
  </si>
  <si>
    <t>Serv.Prest. 25/08/2025 a 31/08/2025 - PIX: CELULAR - CHAVE: (73) 99967-3239</t>
  </si>
  <si>
    <t>Serv.Prest. 25/08/2025 a 31/08/2025 - PIX: CPF - CHAVE: 101.220.976-88</t>
  </si>
  <si>
    <t>Serv.Prest. 25/08/2025 a 31/08/2025 - PIX: CPF - CHAVE: 129.269.326-69</t>
  </si>
  <si>
    <t>Serv.Prest. 25/08/2025 a 31/08/2025 - PIX: CPF - CHAVE: 705.097.186-39</t>
  </si>
  <si>
    <t>Serv.Prest. 01/09/2025 a 07/09/2025 - PIX: CPF - CHAVE: 090.332.006-19</t>
  </si>
  <si>
    <t>Serv.Prest. 25/08/2025 a 31/08/2025 - PIX: CELULAR - CHAVE: (31) 98412-5118</t>
  </si>
  <si>
    <t>Serv.Prest. 25/08/2025 a 31/08/2025 - PIX: CELULAR - CHAVE: (33) 98427-3872</t>
  </si>
  <si>
    <t>Serv.Prest. 25/08/2025 a 31/08/2025 - PIX: CELULAR - CHAVE: (33) 99815-2379</t>
  </si>
  <si>
    <t>Serv.Prest. 25/08/2025 a 31/08/2025 - PIX: CPF - CHAVE: 003.157.195-67</t>
  </si>
  <si>
    <t>Serv.Prest. 25/08/2025 a 31/08/2025 - PIX: CPF - CHAVE: 705.849.816-43</t>
  </si>
  <si>
    <t>Serv.Prest. 01/09/2025 a 07/09/2025 - PIX: CPF - CHAVE: 705.849.816-43</t>
  </si>
  <si>
    <t>Serv.Prest. 25/08/2025 a 31/08/2025 - PIX: E-MAIL - CHAVE: meamatheusvieira@gmail.com</t>
  </si>
  <si>
    <t>Serv.Prest. 25/08/2025 a 31/08/2025 - PIX: CPF - CHAVE: 163.330.766-27</t>
  </si>
  <si>
    <t>Serv.Prest. 25/08/2025 a 31/08/2025 - PIX: E-MAIL - CHAVE: maxwel.borges14@gmail.com</t>
  </si>
  <si>
    <t>Serv.Prest. 25/08/2025 a 31/08/2025 - PIX: CELULAR - CHAVE: (31) 99076-6539</t>
  </si>
  <si>
    <t>Serv.Prest. 25/08/2025 a 31/08/2025 - PIX: CELULAR - CHAVE: (33) 99845-0493</t>
  </si>
  <si>
    <t>Serv.Prest. 25/08/2025 a 31/08/2025 - PIX: CPF - CHAVE: 123.020.026-60</t>
  </si>
  <si>
    <t>Serv.Prest. 25/08/2025 a 31/08/2025 - PIX: CPF - CHAVE: 037.974.316-78</t>
  </si>
  <si>
    <t>Serv.Prest. 25/08/2025 a 31/08/2025 - PIX: CELULAR - CHAVE: (73) 99977-2721</t>
  </si>
  <si>
    <t>Serv.Prest. 25/08/2025 a 31/08/2025 - PIX: CELULAR - CHAVE: (31) 99216-8711</t>
  </si>
  <si>
    <t>Serv.Prest. 01/09/2025 a 07/09/2025 - PIX: CELULAR - CHAVE: (11) 99992-0816</t>
  </si>
  <si>
    <t>Serv.Prest. 25/08/2025 a 31/08/2025 - PIX: CELULAR - CHAVE: (35) 99264-4504</t>
  </si>
  <si>
    <t>Serv.Prest. 25/08/2025 a 31/08/2025 - PIX: CELULAR - CHAVE: (31) 99959-5414</t>
  </si>
  <si>
    <t>Serv.Prest. 25/08/2025 a 31/08/2025 - PIX: CPF - CHAVE: 878.196.869-87</t>
  </si>
  <si>
    <t>Serv.Prest. 25/08/2025 a 31/08/2025 - PIX: CELULAR - CHAVE: (31) 98891-8440</t>
  </si>
  <si>
    <t>Serv.Prest. 01/09/2025 a 07/09/2025 - PIX: CELULAR - CHAVE: (37) 99197-6834</t>
  </si>
  <si>
    <t>Serv.Prest. 01/09/2025 a 07/09/2025 - PIX: CPF - CHAVE: 950.176.406-06</t>
  </si>
  <si>
    <t>Serv.Prest. 01/09/2025 a 07/09/2025 - PIX: CPF - CHAVE: 128.367.756-37</t>
  </si>
  <si>
    <t>Serv.Prest. 25/08/2025 a 31/08/2025 - PIX: CPF - CHAVE: 118.731.976-75</t>
  </si>
  <si>
    <t>Serv.Prest. 25/08/2025 a 31/08/2025 - PIX: CPF - CHAVE: 048.151.276-46</t>
  </si>
  <si>
    <t>Serv.Prest. 01/09/2025 a 07/09/2025 - PIX: CPF - CHAVE: 126.686.406-79</t>
  </si>
  <si>
    <t>COTA COOPERADO</t>
  </si>
  <si>
    <t>Serv.Prest. 25/08/2025 a 31/08/2025 - PIX: CHAVE ALEATÓRIA - CHAVE: 1550e869-c9d7-4436-be93-6858fd0cb900</t>
  </si>
  <si>
    <t>Serv.Prest. 01/09/2025 a 07/09/2025 - PIX: CELULAR - CHAVE: (37) 99138-1777</t>
  </si>
  <si>
    <t>Serv.Prest. 01/09/2025 a 07/09/2025 - PIX: CELULAR - CHAVE: (37) 98841-8571</t>
  </si>
  <si>
    <t>Serv.Prest. 25/08/2025 a 31/08/2025 - PIX: CPF - CHAVE: 092.566.416-23</t>
  </si>
  <si>
    <t>Serv.Prest. 25/08/2025 a 31/08/2025 - PIX: CPF - CHAVE: 121.963.507-37</t>
  </si>
  <si>
    <t>Serv.Prest. 25/08/2025 a 31/08/2025 - PIX: CELULAR - CHAVE: (73) 99818-9718</t>
  </si>
  <si>
    <t>Serv.Prest. 25/08/2025 a 31/08/2025 - PIX: CPF - CHAVE: 157.874.046-02</t>
  </si>
  <si>
    <t>Serv.Prest. 01/09/2025 a 07/09/2025 - PIX: CPF - CHAVE: 157.874.046-02</t>
  </si>
  <si>
    <t>Serv.Prest. 25/08/2025 a 31/08/2025 - PIX: CPF - CHAVE: 130.194.566-81</t>
  </si>
  <si>
    <t>Serv.Prest. 25/08/2025 a 31/08/2025 - PIX: CELULAR - CHAVE: (31) 97251-6838</t>
  </si>
  <si>
    <t>Serv.Prest. 01/09/2025 a 07/09/2025 - PIX: CPF - CHAVE: 080.965.696-51</t>
  </si>
  <si>
    <t>Serv.Prest. 25/08/2025 a 31/08/2025 - PIX: CELULAR - CHAVE: (32) 99800-1691</t>
  </si>
  <si>
    <t>Serv.Prest. 25/08/2025 a 31/08/2025 - PIX: CELULAR - CHAVE: (33) 98806-5772</t>
  </si>
  <si>
    <t>Serv.Prest. 25/08/2025 a 31/08/2025 - PIX: CELULAR - CHAVE: (33) 99996-3668</t>
  </si>
  <si>
    <t>Serv.Prest. 25/08/2025 a 31/08/2025 - PIX: CPF - CHAVE: 012.906.122-00</t>
  </si>
  <si>
    <t>Serv.Prest. 01/09/2025 a 07/09/2025 - PIX: CPF - CHAVE: 147.592.156-03</t>
  </si>
  <si>
    <t>Serv.Prest. 25/08/2025 a 31/08/2025 - PIX: CPF - CHAVE: 079.068.045-97</t>
  </si>
  <si>
    <t>Serv.Prest. 01/09/2025 a 07/09/2025 - PIX: CPF - CHAVE: 336.516.138-44</t>
  </si>
  <si>
    <t>Serv.Prest. 25/08/2025 a 31/08/2025 - PIX: E-MAIL - CHAVE: wilianvieirawrv3578@gmail.com</t>
  </si>
  <si>
    <t>Serv.Prest. 01/09/2025 a 07/09/2025 - PIX: CELULAR - CHAVE: (64) 97400-9101</t>
  </si>
  <si>
    <t>Serv.Prest. 25/08/2025 a 31/08/2025 - PIX: CELULAR - CHAVE: (33) 99859-8751</t>
  </si>
  <si>
    <t>Serv.Prest. 01/09/2025 a 07/09/2025 - PIX: CPF - CHAVE: 097.245.586-81</t>
  </si>
  <si>
    <t>Serv.Prest. 01/09/2025 a 07/09/2025 - PIX: CELULAR - CHAVE: (33) 99880-7941</t>
  </si>
  <si>
    <t>Serv.Prest. 08/09/2025 a 14/09/2025 - PIX: CELULAR - CHAVE: (11) 94281-7123</t>
  </si>
  <si>
    <t>PARCELAMENTO ISS 2023 9040 023 01935667/23 09/25</t>
  </si>
  <si>
    <t>PARCELAMENTO ISS 2024 9040 017 00879702/24 09/25</t>
  </si>
  <si>
    <t>ALUGUEL SALA COWORKING - pixcolina1@gmail.com</t>
  </si>
  <si>
    <t>ALUGUEL</t>
  </si>
  <si>
    <t>ICMS DIFAL REF. MES 08/2025</t>
  </si>
  <si>
    <t>ICMS</t>
  </si>
  <si>
    <t>Serv.Prest. 01/09/2025 a 07/09/2025 - RPS: 1199 - NFSe: 3323</t>
  </si>
  <si>
    <t>Serv.Prest. 01/09/2025 a 07/09/2025 - RPS: 1200 - NFSe: 3324</t>
  </si>
  <si>
    <t>Serv.Prest. 01/09/2025 a 07/09/2025 - RPS: 1201 - NFSe: 3325</t>
  </si>
  <si>
    <t>Serv.Prest. 01/09/2025 a 07/09/2025 - RPS: 1203 - NFSe: 3327</t>
  </si>
  <si>
    <t>Serv.Prest. 01/09/2025 a 07/09/2025 - RPS: 1206 - NFSe: 3330</t>
  </si>
  <si>
    <t>Serv.Prest. 01/09/2025 a 07/09/2025 - RPS: 1207 - NFSe: 3331</t>
  </si>
  <si>
    <t>Serv.Prest. 01/09/2025 a 07/09/2025 - RPS: 1208 - NFSe: 3332</t>
  </si>
  <si>
    <t>Serv.Prest. 01/09/2025 a 07/09/2025 - RPS: 1210 - NFSe: 3334</t>
  </si>
  <si>
    <t>Serv.Prest. 01/09/2025 a 07/09/2025 - RPS: 1218 - NFSe: 3342</t>
  </si>
  <si>
    <t>Serv.Prest. 25/08/2025 a 31/08/2025 - RPS: 1181 - NFSe: 3305</t>
  </si>
  <si>
    <t>Serv.Prest. 25/08/2025 a 31/08/2025 - RPS: 1190 - NFSe: 3314</t>
  </si>
  <si>
    <t>Serv.Prest. 25/08/2025 a 31/08/2025 - RPS: 1188 - NFSe: 3312</t>
  </si>
  <si>
    <t>Serv.Prest. 25/08/2025 a 31/08/2025 - RPS: 1189 - NFSe: 3313</t>
  </si>
  <si>
    <t>PAGAMENTO INSS COMPLEMENTO PRESTADOR FABIANO 10/2024</t>
  </si>
  <si>
    <t>INSS</t>
  </si>
  <si>
    <t>PAGAMENTO INSS COMPLEMENTO PRESTADOR FABIANO 06/2024</t>
  </si>
  <si>
    <t>PAGAMENTO INSS COMPLEMENTO PRESTADOR FABIANO 10, 11, 12/2023</t>
  </si>
  <si>
    <t>PAGAMENTO INSS COMPLEMENTO PRESTADOR FABIANO 09/2023</t>
  </si>
  <si>
    <t>PAGAMENTO INSS COMPLEMENTO PRESTADOR FABIANO 07/2024</t>
  </si>
  <si>
    <t>PAGAMENTO INSS COMPLEMENTO PRESTADOR FABIANO 09/2024</t>
  </si>
  <si>
    <t>PAGAMENTO INSS COMPLEMENTO PRESTADOR FABIANO 07/2023</t>
  </si>
  <si>
    <t>PAGAMENTO INSS COMPLEMENTO PRESTADOR FABIANO 05/2024</t>
  </si>
  <si>
    <t>PAGAMENTO INSS COMPLEMENTO PRESTADOR FABIANO 02/2024</t>
  </si>
  <si>
    <t>PAGAMENTO INSS COMPLEMENTO PRESTADOR FABIANO 04/2024</t>
  </si>
  <si>
    <t>PAGAMENTO INSS COMPLEMENTO PRESTADOR FABIANO 08/2024</t>
  </si>
  <si>
    <t>PAGAMENTO INSS COMPLEMENTO PRESTADOR FABIANO 12/2024</t>
  </si>
  <si>
    <t>PAGAMENTO INSS COMPLEMENTO PRESTADOR FABIANO 08/2023</t>
  </si>
  <si>
    <t>PAGAMENTO INSS COMPLEMENTO PRESTADOR FABIANO 03/2024</t>
  </si>
  <si>
    <t>PAGAMENTO INSS COMPLEMENTO PRESTADOR FABIANO 06/2023</t>
  </si>
  <si>
    <t>PAGAMENTO INSS COMPLEMENTO PRESTADOR FABIANO 01/2024</t>
  </si>
  <si>
    <t>PAGAMENTO INSS COMPLEMENTO PRESTADOR FABIANO 11/2024</t>
  </si>
  <si>
    <t>Serv.Prest. 01/09/2025 a 07/09/2025 - PIX: CPF - CHAVE: 007.842.745-25</t>
  </si>
  <si>
    <t>ADIANTAMENTO ENTREGAS NAO LANÇADAS - PIX: CNPJ - CHAVE: 33.412.676/0001-41</t>
  </si>
  <si>
    <t>Serv.Prest. 01/09/2025 a 07/09/2025 - PIX: CPF - CHAVE: 091.575.986-14</t>
  </si>
  <si>
    <t>Serv.Prest. 25/08/2025 a 31/08/2025 - PIX: CPF - CHAVE: 036.875.515-04</t>
  </si>
  <si>
    <t>Serv.Prest. 25/08/2025 a 31/08/2025 - PIX: CPF - CHAVE: 005.022.525-10</t>
  </si>
  <si>
    <t>Serv.Prest. 25/08/2025 a 31/08/2025 - PIX: CNPJ - CHAVE: 33.412.676/0001-41</t>
  </si>
  <si>
    <t>Serv.Prest. 25/08/2025 a 31/08/2025 - PIX: CNPJ - CHAVE: 40.359.224/0001-09</t>
  </si>
  <si>
    <t>Serv.Prest. 25/08/2025 a 31/08/2025 - PIX: CELULAR - CHAVE: (33) 99877-0415</t>
  </si>
  <si>
    <t>Serv.Prest. 25/08/2025 a 31/08/2025 - PIX: CPF - CHAVE: 137.446.146-62</t>
  </si>
  <si>
    <t>Serv.Prest. 25/08/2025 a 31/08/2025 - PIX: CELULAR - CHAVE: (33) 98845-4528</t>
  </si>
  <si>
    <t>Serv.Prest. 25/08/2025 a 31/08/2025 - PIX: CELULAR - CHAVE: (31) 98511-2851</t>
  </si>
  <si>
    <t>Serv.Prest. 25/08/2025 a 31/08/2025 - PIX: CPF - CHAVE: 110.483.296-82</t>
  </si>
  <si>
    <t>Serv.Prest. 25/08/2025 a 31/08/2025 - PIX: E-MAIL - CHAVE: turano296801@gmail.com</t>
  </si>
  <si>
    <t>Serv.Prest. 25/08/2025 a 31/08/2025 - PIX: CPF - CHAVE: 102.023.716-38</t>
  </si>
  <si>
    <t>Serv.Prest. 25/08/2025 a 31/08/2025 - PIX: CELULAR - CHAVE: (33) 98890-5095</t>
  </si>
  <si>
    <t>Serv.Prest. 25/08/2025 a 31/08/2025 - PIX: CPF - CHAVE: 386.313.426-53</t>
  </si>
  <si>
    <t>Serv.Prest. 25/08/2025 a 31/08/2025 - PIX: CELULAR - CHAVE: (33) 98836-6015</t>
  </si>
  <si>
    <t>Serv.Prest. 25/08/2025 a 31/08/2025 - PIX: CPF - CHAVE: 602.838.315-53</t>
  </si>
  <si>
    <t>Serv.Prest. 25/08/2025 a 31/08/2025 - PIX: CPF - CHAVE: 043.301.196-33</t>
  </si>
  <si>
    <t>Serv.Prest. 25/08/2025 a 31/08/2025 - PIX: CPF - CHAVE: 012.459.366-62</t>
  </si>
  <si>
    <t>Serv.Prest. 25/08/2025 a 31/08/2025 - PIX: CELULAR - CHAVE: (33) 99106-9330</t>
  </si>
  <si>
    <t>Serv.Prest. 25/08/2025 a 31/08/2025 - PIX: CHAVE ALEATÓRIA - CHAVE: c489bee1-360b-4fa9-86c4-fbb0e9844cb8</t>
  </si>
  <si>
    <t>Serv.Prest. 25/08/2025 a 31/08/2025 - PIX: CELULAR - CHAVE: (33) 98463-0821</t>
  </si>
  <si>
    <t>Serv.Prest. 25/08/2025 a 31/08/2025 - PIX: CELULAR - CHAVE: (31) 99850-4727</t>
  </si>
  <si>
    <t>Serv.Prest. 25/08/2025 a 31/08/2025 - PIX: CELULAR - CHAVE: (31) 99385-4405</t>
  </si>
  <si>
    <t>Serv.Prest. 25/08/2025 a 31/08/2025 - PIX: CELULAR - CHAVE: (33) 99981-6650</t>
  </si>
  <si>
    <t>Serv.Prest. 25/08/2025 a 31/08/2025 - PIX: CPF - CHAVE: 108.680.396-59</t>
  </si>
  <si>
    <t>Serv.Prest. 25/08/2025 a 31/08/2025 - PIX: CELULAR - CHAVE: (31) 97339-3761</t>
  </si>
  <si>
    <t>Serv.Prest. 25/08/2025 a 31/08/2025 - PIX: CPF - CHAVE: 012.783.036-77</t>
  </si>
  <si>
    <t>Serv.Prest. 25/08/2025 a 31/08/2025 - PIX: E-MAIL - CHAVE: roger.l.borges04@gmail.com</t>
  </si>
  <si>
    <t>Serv.Prest. 25/08/2025 a 31/08/2025 - PIX: CELULAR - CHAVE: (33) 98840-0998</t>
  </si>
  <si>
    <t>Serv.Prest. 25/08/2025 a 31/08/2025 - PIX: CPF - CHAVE: 097.855.786-74</t>
  </si>
  <si>
    <t>Serv.Prest. 25/08/2025 a 31/08/2025 - PIX: CPF - CHAVE: 131.280.206-55</t>
  </si>
  <si>
    <t>Serv.Prest. 25/08/2025 a 31/08/2025 - PIX: CELULAR - CHAVE: (33) 99118-9032</t>
  </si>
  <si>
    <t>Serv.Prest. 25/08/2025 a 31/08/2025 - PIX: E-MAIL - CHAVE: alanacosta1999@gmail.com</t>
  </si>
  <si>
    <t>Serv.Prest. 01/09/2025 a 07/09/2025 - PIX: CPF - CHAVE: 505.341.528-56</t>
  </si>
  <si>
    <t>Serv.Prest. 01/09/2025 a 07/09/2025 - PIX: CPF - CHAVE: 100.710.806-19</t>
  </si>
  <si>
    <t>Serv.Prest. 01/09/2025 a 07/09/2025 - PIX: CELULAR - CHAVE: (28) 99908-0831</t>
  </si>
  <si>
    <t>Serv.Prest. 01/09/2025 a 07/09/2025 - PIX: CELULAR - CHAVE: (28) 98816-4170</t>
  </si>
  <si>
    <t>Serv.Prest. 01/09/2025 a 07/09/2025 - PIX: CELULAR - CHAVE: (33) 98857-0494</t>
  </si>
  <si>
    <t>Serv.Prest. 01/09/2025 a 07/09/2025 - PIX: CPF - CHAVE: 701.955.866-62</t>
  </si>
  <si>
    <t>Serv.Prest. 01/09/2025 a 07/09/2025 - PIX: CELULAR - CHAVE: (73) 988381077</t>
  </si>
  <si>
    <t>Serv.Prest. 01/09/2025 a 07/09/2025 - PIX: CPF - CHAVE: 074.520.456-29</t>
  </si>
  <si>
    <t>Serv.Prest. 01/09/2025 a 07/09/2025 - PIX: CPF - CHAVE: 707.468.161-03</t>
  </si>
  <si>
    <t>ADIANTAMENTO - PIX: CELULAR - CHAVE: (19) 98944-4977</t>
  </si>
  <si>
    <t>ADIANTAMENTO - PIX: CPF - CHAVE: 012.600.851-55</t>
  </si>
  <si>
    <t>ADIANTAMENTO - PIX: CELULAR - CHAVE: (32) 99800-1691</t>
  </si>
  <si>
    <t>DESENVOLVIMENTO FERRAMENTA DE IA - ANALISE DE PERFIL</t>
  </si>
  <si>
    <t>CARTÃO CREDITO COOPMOB (138)</t>
  </si>
  <si>
    <t>Serv.Prest. 01/09/2025 a 07/09/2025 - RPS: 1202 - NFSe: 3326</t>
  </si>
  <si>
    <t>Serv.Prest. 25/08/2025 a 31/08/2025 - RPS: 1194 - NFSe: 3318</t>
  </si>
  <si>
    <t>Serv.Prest. 25/08/2025 a 31/08/2025 - RPS: 1195 - NFSe: 3319</t>
  </si>
  <si>
    <t>Serv.Prest. 25/08/2025 a 31/08/2025 - RPS: 1196 - NFSe: 3320</t>
  </si>
  <si>
    <t>Serv.Prest. 01/09/2025 a 07/09/2025 - RPS: 1197 - NFSe: 3321</t>
  </si>
  <si>
    <t>Serv.Prest. 01/09/2025 a 07/09/2025 - RPS: 1209 - NFSe: 3333</t>
  </si>
  <si>
    <t>Serv.Prest. 01/09/2025 a 07/09/2025 - RPS: 1211 - NFSe: 3335</t>
  </si>
  <si>
    <t>Serv.Prest. 01/09/2025 a 07/09/2025 - RPS: 1222 - NFSe: 3346</t>
  </si>
  <si>
    <t>Serv.Prest. 01/09/2025 a 07/09/2025 - RPS: 1198 - NFSe: 3322</t>
  </si>
  <si>
    <t>ADIANTAMENTO PRESTACAO DE SERVICOS MES 09/2025</t>
  </si>
  <si>
    <t>Serv.Prest. 25/08/2025 a 31/08/2025 - RPS: 1180 - NFSe: 3304</t>
  </si>
  <si>
    <t>DESPESAS COM EVENTOS E CONFRATERNIZAÇÕES (144)</t>
  </si>
  <si>
    <t>PAGAMENTO LIDERANÇA REF. MES 08/2025 - PIX: CPF - CHAVE: 091.575.986-14</t>
  </si>
  <si>
    <t>REEMBOLSO ADIANTAMENTO LIDERANÇA</t>
  </si>
  <si>
    <t xml:space="preserve">REEMBOLSO ADIANTAMENTO </t>
  </si>
  <si>
    <t>PAGAMENTO LIDERANÇA REF. MES 08/2025 - PIX: CPF - CHAVE: 137.446.146-62</t>
  </si>
  <si>
    <t>Serv.Prest. 01/09/2025 a 07/09/2025 - RPS: 1217 - NFSe: 3341</t>
  </si>
  <si>
    <t>DESPESAS COM VIAGEM EUNÁPOLIS</t>
  </si>
  <si>
    <t>Serv.Prest. 01/09/2025 a 07/09/2025 - RPS: 1215 - NFSe: 3339</t>
  </si>
  <si>
    <t>Serv.Prest. 08/09/2025 a 14/09/2025 - PIX: CELULAR - CHAVE: (64) 97400-9101</t>
  </si>
  <si>
    <t>Serv.Prest. 08/09/2025 a 14/09/2025 - PIX: CELULAR - CHAVE: (31) 99373-5678</t>
  </si>
  <si>
    <t>Serv.Prest. 08/09/2025 a 14/09/2025 - PIX: CPF - CHAVE: 900.512.622-15</t>
  </si>
  <si>
    <t>Serv.Prest. 08/09/2025 a 14/09/2025 - PIX: CELULAR - CHAVE: (27) 99650-9691</t>
  </si>
  <si>
    <t>Serv.Prest. 08/09/2025 a 14/09/2025 - PIX: CELULAR - CHAVE: (73) 988381077</t>
  </si>
  <si>
    <t>Serv.Prest. 08/09/2025 a 14/09/2025 - PIX: E-MAIL - CHAVE: ericsilva8marcena@gmail.com</t>
  </si>
  <si>
    <t>PAGAMENTO LIDERANÇA REF. MES 08/2025 - PIX: CELULAR - CHAVE: (64) 97400-9101</t>
  </si>
  <si>
    <t>PAGAMENTO LIDERANÇA REF. MES 08/2025 - PIX: CPF - CHAVE: 423.098.018-36</t>
  </si>
  <si>
    <t>Serv.Prest. 08/09/2025 a 14/09/2025 - PIX: CPF - CHAVE: 423.098.018-36</t>
  </si>
  <si>
    <t>Serv.Prest. 08/09/2025 a 14/09/2025 - PIX: CPF - CHAVE: 052.353.883-99</t>
  </si>
  <si>
    <t>Serv.Prest. 10/09/2025 a 14/09/2025 - PIX: CELULAR - CHAVE: (11) 9844-7654</t>
  </si>
  <si>
    <t>PAGAMENTO LIDERENÇA REF. MES 08/2025 - PIX: CPF - CHAVE: 097.245.586-81</t>
  </si>
  <si>
    <t>ISS REF. MES 08/2025</t>
  </si>
  <si>
    <t>CAIXA - FLUX (131)</t>
  </si>
  <si>
    <t>PAGAMENTO LIDERANÇA REF. MES 08/2025 - PIX: CELULAR - CHAVE: (32) 99800-1691</t>
  </si>
  <si>
    <t>PAGAMENTO LIDERANÇA REF. MES 08/2025 - PIX: CELULAR - CHAVE: (37) 99197-6834</t>
  </si>
  <si>
    <t>PAGAMENTO LIDERANÇA REF. MES 08/2025 - PIX: CELULAR - CHAVE: (31) 99216-8711</t>
  </si>
  <si>
    <t>PAGAMENTO LIDERANÇA REF. MES 08/2025 - PIX: CELULAR - CHAVE: (73) 99115-960</t>
  </si>
  <si>
    <t>PAGAMENTO LIDERANÇA REF. MES 08/2025 - PIX: CPF - CHAVE: 179.800.027-09</t>
  </si>
  <si>
    <t>PAGAMENTO LIDERANÇA REF. MES 08/2025 - PIX: CPF - CHAVE: 104.591.886-58</t>
  </si>
  <si>
    <t>PAGAMENTO LIDERENÇA REF. MES 08/2025 - PIX: CELULAR - CHAVE: (32) 99166-8238</t>
  </si>
  <si>
    <t>PAGAMENTO LIDERANÇA REF. MES 08/2025 - PIX: CELULAR - CHAVE: (33) 99877-0415</t>
  </si>
  <si>
    <t>PAGAMENTO PRESTACAO DE SERVICO 08/2025</t>
  </si>
  <si>
    <t>PAGAMENTO PRESTACAO DE SERVICO</t>
  </si>
  <si>
    <t>Serv.Prest. 08/09/2025 a 14/09/2025 - PIX: CELULAR - CHAVE: (31) 99680-9634 - Rayane Gabriele Ferreira Afonso</t>
  </si>
  <si>
    <t>Serv.Prest. 01/09/2025 a 07/09/2025 - PIX: CPF - CHAVE: 094.700.685-05</t>
  </si>
  <si>
    <t>Serv.Prest. 01/09/2025 a 07/09/2025 - PIX: E-MAIL - CHAVE: sypedrinho@gmail.com</t>
  </si>
  <si>
    <t>DEVOLUCAO COTA COOPERATIVA</t>
  </si>
  <si>
    <t>ESTORNO VALOR TRANSFERIDO A MAIOR</t>
  </si>
  <si>
    <t>Serv.Prest. 08/09/2025 a 14/09/2025 - PIX: CELULAR - CHAVE: (34) 99772-2954</t>
  </si>
  <si>
    <t>Serv.Prest. 15/09/2025 a 21/09/2025 - PIX: CELULAR - CHAVE: (11) 95530-0331</t>
  </si>
  <si>
    <t>Serv.Prest. 15/09/2025 a 21/09/2025 - PIX: CELULAR - CHAVE: (11) 96366-0000</t>
  </si>
  <si>
    <t>Serv.Prest. 08/09/2025 a 14/09/2025 - PIX: CPF - CHAVE: 096.891.935-97</t>
  </si>
  <si>
    <t>Serv.Prest. 08/09/2025 a 14/09/2025 - PIX: CPF - CHAVE: 106.393.056-10</t>
  </si>
  <si>
    <t>Serv.Prest. 08/09/2025 a 14/09/2025 - PIX: CPF - CHAVE: 141.994.266-20</t>
  </si>
  <si>
    <t>Serv.Prest. 08/09/2025 a 14/09/2025 - PIX: CPF - CHAVE: 396.124.108-28</t>
  </si>
  <si>
    <t>Serv.Prest. 08/09/2025 a 14/09/2025 - PIX: CELULAR - CHAVE: (33) 99110-6940</t>
  </si>
  <si>
    <t>Serv.Prest. 08/09/2025 a 14/09/2025 - PIX: CELULAR - CHAVE: (32) 99913-0476</t>
  </si>
  <si>
    <t>Serv.Prest. 08/09/2025 a 14/09/2025 - PIX: CELULAR - CHAVE: (19) 98944-4977</t>
  </si>
  <si>
    <t>Serv.Prest. 01/09/2025 a 07/09/2025 - PIX: CPF - CHAVE: 121.297.376-33</t>
  </si>
  <si>
    <t>Serv.Prest. 01/09/2025 a 07/09/2025 - PIX: CELULAR - CHAVE: (33) 98884-1637</t>
  </si>
  <si>
    <t>Serv.Prest. 08/09/2025 a 14/09/2025 - PIX: CELULAR - CHAVE: (33) 98884-1637</t>
  </si>
  <si>
    <t>Serv.Prest. 08/09/2025 a 14/09/2025 - PIX: CPF - CHAVE: 012.600.851-55</t>
  </si>
  <si>
    <t>Serv.Prest. 08/09/2025 a 14/09/2025 - PIX: CELULAR - CHAVE: (33) 99880-7941</t>
  </si>
  <si>
    <t>REEMBOLSO DE ADIANTAMENTO</t>
  </si>
  <si>
    <t>Serv.Prest. 08/09/2025 a 14/09/2025 - PIX: CPF - CHAVE: 097.245.586-81</t>
  </si>
  <si>
    <t>Serv.Prest. 01/09/2025 a 07/09/2025 - PIX: CELULAR - CHAVE: (32) 99800-1691</t>
  </si>
  <si>
    <t>Serv.Prest. 08/09/2025 a 14/09/2025 - PIX: CELULAR - CHAVE: (32) 99800-1691</t>
  </si>
  <si>
    <t>Serv.Prest. 25/08/2025 a 31/08/2025 - PIX: CELULAR - CHAVE: (33) 99854-8720</t>
  </si>
  <si>
    <t>Serv.Prest. 08/09/2025 a 14/09/2025 - PIX: CPF - CHAVE: 700.454.836-80</t>
  </si>
  <si>
    <t>UNIFORMES MOTOBOYS - 50% restantes + FRETE (R$ 15,00)</t>
  </si>
  <si>
    <t>DESPESAS COM UNIFORMES</t>
  </si>
  <si>
    <t>Serv.Prest. 01/09/2025 a 07/09/2025 - RPS: 1212 - NFSe: 3336</t>
  </si>
  <si>
    <t>Serv.Prest. 01/09/2025 a 07/09/2025 - RPS: 1216 - NFSe: 3340</t>
  </si>
  <si>
    <t>Serv.Prest. 01/09/2025 a 07/09/2025 - RPS: 1213 - NFSe: 3337</t>
  </si>
  <si>
    <t>Serv.Prest. 01/09/2025 a 07/09/2025 - RPS: 1214 - NFSe: 3338</t>
  </si>
  <si>
    <t>Serv.Prest. 08/09/2025 a 14/09/2025 - RPS: 1226 - NFSe: 3350</t>
  </si>
  <si>
    <t>Serv.Prest. 08/09/2025 a 14/09/2025 - RPS: 1239 - NFSe: 3363</t>
  </si>
  <si>
    <t>Serv.Prest. 08/09/2025 a 14/09/2025 - RPS: 1240 - NFSe: 3364</t>
  </si>
  <si>
    <t>Serv.Prest. 08/09/2025 a 14/09/2025 - RPS: 1224 - NFSe: 3348</t>
  </si>
  <si>
    <t>Serv.Prest. 08/09/2025 a 14/09/2025 - RPS: 1227 - NFSe: 3351</t>
  </si>
  <si>
    <t>Serv.Prest. 08/09/2025 a 14/09/2025 - RPS: 1243 - NFSe: 3367</t>
  </si>
  <si>
    <t>Serv.Prest. 08/09/2025 a 14/09/2025 - RPS: 1228 - NFSe: 3352</t>
  </si>
  <si>
    <t>SEGURO VEICULAR - RICHARD HENRIQUE DE SILVA - PLACA HCD3186</t>
  </si>
  <si>
    <t>SEGURO VEICULAR - ELENICIO ALVES DOS SANTOS - PLACA PYJ7510</t>
  </si>
  <si>
    <t>SEGURO DE VIDA PRESTADORES - APOLICE 1018200557266</t>
  </si>
  <si>
    <t>BONUS PERFORMANCE ENTREGAS - PIX: CPF - CHAVE: 102.023.716-38</t>
  </si>
  <si>
    <t>BONUS PERFORMANCE ENTREGAS - PIX: CELULAR - CHAVE: (31) 97339-3761</t>
  </si>
  <si>
    <t>Serv.Prest. 08/09/2025 a 14/09/2025 - PIX: CELULAR - CHAVE: (33) 98817-9868</t>
  </si>
  <si>
    <t>Serv.Prest. 10/09/2025 a 14/09/2025 - PIX: CPF - CHAVE: 427.090.718-51</t>
  </si>
  <si>
    <t>Serv.Prest. 11/08/2025 a 17/08/2025 - PIX: CELULAR - CHAVE: (33) 99854-8720</t>
  </si>
  <si>
    <t>Serv.Prest. 18/08/2025 a 24/08/2025 - PIX: CELULAR - CHAVE: (33) 99854-8720</t>
  </si>
  <si>
    <t>Serv.Prest. 01/09/2025 a 07/09/2025 - PIX: CPF - CHAVE: 134.385.606-07</t>
  </si>
  <si>
    <t>Serv.Prest. 01/09/2025 a 07/09/2025 - PIX: CELULAR - CHAVE: (33) 99877-0415</t>
  </si>
  <si>
    <t>Serv.Prest. 01/09/2025 a 07/09/2025 - PIX: CPF - CHAVE: 099.626.666-60</t>
  </si>
  <si>
    <t>Serv.Prest. 01/09/2025 a 07/09/2025 - PIX: E-MAIL - CHAVE: anissoanidaldepaula@gmail.com</t>
  </si>
  <si>
    <t>Serv.Prest. 01/09/2025 a 07/09/2025 - PIX: CPF - CHAVE: 037.192.076-09</t>
  </si>
  <si>
    <t>Serv.Prest. 01/09/2025 a 07/09/2025 - PIX: CPF - CHAVE: 137.446.146-62</t>
  </si>
  <si>
    <t>Serv.Prest. 01/09/2025 a 07/09/2025 - PIX: CELULAR - CHAVE: (32) 98896-0708</t>
  </si>
  <si>
    <t>Serv.Prest. 01/09/2025 a 07/09/2025 - PIX: CELULAR - CHAVE: (32) 99166-8238</t>
  </si>
  <si>
    <t>Serv.Prest. 01/09/2025 a 07/09/2025 - PIX: CELULAR - CHAVE: (33) 98845-4528</t>
  </si>
  <si>
    <t>Serv.Prest. 01/09/2025 a 07/09/2025 - PIX: CELULAR - CHAVE: (31) 98511-2851</t>
  </si>
  <si>
    <t>Serv.Prest. 01/09/2025 a 07/09/2025 - PIX: CELULAR - CHAVE: (32) 99177-6167</t>
  </si>
  <si>
    <t>Serv.Prest. 01/09/2025 a 07/09/2025 - PIX: CPF - CHAVE: 110.483.296-82</t>
  </si>
  <si>
    <t>Serv.Prest. 01/09/2025 a 07/09/2025 - PIX: CELULAR - CHAVE: (33) 98749-5105</t>
  </si>
  <si>
    <t>Serv.Prest. 01/09/2025 a 07/09/2025 - PIX: CELULAR - CHAVE: (33) 99802-1883</t>
  </si>
  <si>
    <t>Serv.Prest. 01/09/2025 a 07/09/2025 - PIX: CELULAR - CHAVE: (31) 99610-7049</t>
  </si>
  <si>
    <t>Serv.Prest. 01/09/2025 a 07/09/2025 - PIX: E-MAIL - CHAVE: turano296801@gmail.com</t>
  </si>
  <si>
    <t>Serv.Prest. 01/09/2025 a 07/09/2025 - PIX: CPF - CHAVE: 102.023.716-38</t>
  </si>
  <si>
    <t>Serv.Prest. 01/09/2025 a 07/09/2025 - PIX: CELULAR - CHAVE: (33) 98890-5095</t>
  </si>
  <si>
    <t>Serv.Prest. 01/09/2025 a 07/09/2025 - PIX: CELULAR - CHAVE: (33) 99199-7983</t>
  </si>
  <si>
    <t>Serv.Prest. 01/09/2025 a 07/09/2025 - PIX: CPF - CHAVE: 141.134.256-98</t>
  </si>
  <si>
    <t>Serv.Prest. 01/09/2025 a 07/09/2025 - PIX: CPF - CHAVE: 070.073.316-70</t>
  </si>
  <si>
    <t>Serv.Prest. 01/09/2025 a 07/09/2025 - PIX: CELULAR - CHAVE: (31) 98483-3242</t>
  </si>
  <si>
    <t>Serv.Prest. 01/09/2025 a 07/09/2025 - PIX: CPF - CHAVE: 160.160.216-28</t>
  </si>
  <si>
    <t>Serv.Prest. 01/09/2025 a 07/09/2025 - PIX: CPF - CHAVE: 386.313.426-53</t>
  </si>
  <si>
    <t>Serv.Prest. 01/09/2025 a 07/09/2025 - PIX: CELULAR - CHAVE: (33) 99706-4860</t>
  </si>
  <si>
    <t>Serv.Prest. 01/09/2025 a 07/09/2025 - PIX: CELULAR - CHAVE: (31) 99816-8965</t>
  </si>
  <si>
    <t>Serv.Prest. 01/09/2025 a 07/09/2025 - PIX: CPF - CHAVE: 113.084.266-58</t>
  </si>
  <si>
    <t>Serv.Prest. 01/09/2025 a 07/09/2025 - PIX: CPF - CHAVE: 067.393.286-92</t>
  </si>
  <si>
    <t>Serv.Prest. 01/09/2025 a 07/09/2025 - PIX: CPF - CHAVE: 126.873.296-65</t>
  </si>
  <si>
    <t>Serv.Prest. 01/09/2025 a 07/09/2025 - PIX: CPF - CHAVE: 023.645.626-19</t>
  </si>
  <si>
    <t>Serv.Prest. 01/09/2025 a 07/09/2025 - PIX: CELULAR - CHAVE: (33) 98836-6015</t>
  </si>
  <si>
    <t>Serv.Prest. 01/09/2025 a 07/09/2025 - PIX: E-MAIL - CHAVE: jhonantanlacerda@gmail.com</t>
  </si>
  <si>
    <t>Serv.Prest. 01/09/2025 a 07/09/2025 - PIX: CPF - CHAVE: 602.838.315-53</t>
  </si>
  <si>
    <t>Serv.Prest. 01/09/2025 a 07/09/2025 - PIX: CPF - CHAVE: 043.301.196-33</t>
  </si>
  <si>
    <t>Serv.Prest. 01/09/2025 a 07/09/2025 - PIX: CPF - CHAVE: 012.459.366-62</t>
  </si>
  <si>
    <t>Serv.Prest. 01/09/2025 a 07/09/2025 - PIX: CPF - CHAVE: 077.488.126-75</t>
  </si>
  <si>
    <t>Serv.Prest. 01/09/2025 a 07/09/2025 - PIX: CELULAR - CHAVE: (33) 99106-9330</t>
  </si>
  <si>
    <t>Serv.Prest. 01/09/2025 a 07/09/2025 - PIX: CELULAR - CHAVE: (33) 98463-0821</t>
  </si>
  <si>
    <t>Serv.Prest. 01/09/2025 a 07/09/2025 - PIX: CELULAR - CHAVE: (31) 99850-4727</t>
  </si>
  <si>
    <t>Serv.Prest. 01/09/2025 a 07/09/2025 - PIX: CELULAR - CHAVE: (33) 98749-4693</t>
  </si>
  <si>
    <t>Serv.Prest. 01/09/2025 a 07/09/2025 - PIX: CPF - CHAVE: 161.508.516-56</t>
  </si>
  <si>
    <t>Serv.Prest. 01/09/2025 a 07/09/2025 - PIX: CELULAR - CHAVE: (33) 99172-0627</t>
  </si>
  <si>
    <t>Serv.Prest. 01/09/2025 a 07/09/2025 - PIX: CELULAR - CHAVE: (33) 99981-6650</t>
  </si>
  <si>
    <t>Serv.Prest. 01/09/2025 a 07/09/2025 - PIX: CPF - CHAVE: 101.220.976-88</t>
  </si>
  <si>
    <t>Serv.Prest. 01/09/2025 a 07/09/2025 - PIX: CPF - CHAVE: 129.269.326-69</t>
  </si>
  <si>
    <t>Serv.Prest. 01/09/2025 a 07/09/2025 - PIX: CPF - CHAVE: 705.097.186-39</t>
  </si>
  <si>
    <t>Serv.Prest. 01/09/2025 a 07/09/2025 - PIX: CELULAR - CHAVE: (31) 98412-5118</t>
  </si>
  <si>
    <t>Serv.Prest. 01/09/2025 a 07/09/2025 - PIX: CELULAR - CHAVE: (33) 98427-3872</t>
  </si>
  <si>
    <t>Serv.Prest. 01/09/2025 a 07/09/2025 - PIX: CELULAR - CHAVE: (33) 99815-2379</t>
  </si>
  <si>
    <t>Serv.Prest. 01/09/2025 a 07/09/2025 - PIX: CELULAR - CHAVE: (33) 99194-2339</t>
  </si>
  <si>
    <t>Serv.Prest. 01/09/2025 a 07/09/2025 - PIX: E-MAIL - CHAVE: meamatheusvieira@gmail.com</t>
  </si>
  <si>
    <t>Serv.Prest. 01/09/2025 a 07/09/2025 - PIX: CPF - CHAVE: 163.330.766-27</t>
  </si>
  <si>
    <t>Serv.Prest. 01/09/2025 a 07/09/2025 - PIX: E-MAIL - CHAVE: maxwel.borges14@gmail.com</t>
  </si>
  <si>
    <t>Serv.Prest. 01/09/2025 a 07/09/2025 - PIX: CELULAR - CHAVE: (31) 99076-6539</t>
  </si>
  <si>
    <t>Serv.Prest. 01/09/2025 a 07/09/2025 - PIX: CELULAR - CHAVE: (33) 99845-0493</t>
  </si>
  <si>
    <t>Serv.Prest. 01/09/2025 a 07/09/2025 - PIX: CPF - CHAVE: 123.020.026-60</t>
  </si>
  <si>
    <t>Serv.Prest. 01/09/2025 a 07/09/2025 - PIX: CPF - CHAVE: 108.680.396-59</t>
  </si>
  <si>
    <t>Serv.Prest. 01/09/2025 a 07/09/2025 - PIX: CPF - CHAVE: 037.974.316-78</t>
  </si>
  <si>
    <t>Serv.Prest. 01/09/2025 a 07/09/2025 - PIX: CELULAR - CHAVE: (31) 99216-8711</t>
  </si>
  <si>
    <t>Serv.Prest. 01/09/2025 a 07/09/2025 - PIX: CELULAR - CHAVE: (31) 97339-3761</t>
  </si>
  <si>
    <t>Serv.Prest. 01/09/2025 a 07/09/2025 - PIX: CELULAR - CHAVE: (35) 99264-4504</t>
  </si>
  <si>
    <t>Serv.Prest. 01/09/2025 a 07/09/2025 - PIX: CELULAR - CHAVE: (31) 99959-5414</t>
  </si>
  <si>
    <t>Serv.Prest. 01/09/2025 a 07/09/2025 - PIX: CPF - CHAVE: 012.783.036-77</t>
  </si>
  <si>
    <t>Serv.Prest. 01/09/2025 a 07/09/2025 - PIX: CELULAR - CHAVE: (31) 98891-8440</t>
  </si>
  <si>
    <t>Serv.Prest. 01/09/2025 a 07/09/2025 - PIX: E-MAIL - CHAVE: roger.l.borges04@gmail.com</t>
  </si>
  <si>
    <t>Serv.Prest. 01/09/2025 a 07/09/2025 - PIX: CELULAR - CHAVE: (33) 98840-0998</t>
  </si>
  <si>
    <t>Serv.Prest. 01/09/2025 a 07/09/2025 - PIX: CPF - CHAVE: 118.731.976-75</t>
  </si>
  <si>
    <t>Serv.Prest. 01/09/2025 a 07/09/2025 - PIX: CPF - CHAVE: 048.151.276-46</t>
  </si>
  <si>
    <t>Serv.Prest. 01/09/2025 a 07/09/2025 - PIX: CPF - CHAVE: 097.855.786-74</t>
  </si>
  <si>
    <t>Serv.Prest. 01/09/2025 a 07/09/2025 - PIX: CHAVE ALEATÓRIA - CHAVE: 1550e869-c9d7-4436-be93-6858fd0cb900</t>
  </si>
  <si>
    <t>Serv.Prest. 01/09/2025 a 07/09/2025 - PIX: CPF - CHAVE: 092.566.416-23</t>
  </si>
  <si>
    <t>Serv.Prest. 01/09/2025 a 07/09/2025 - PIX: CPF - CHAVE: 130.194.566-81</t>
  </si>
  <si>
    <t>Serv.Prest. 01/09/2025 a 07/09/2025 - PIX: CELULAR - CHAVE: (33) 99118-9032</t>
  </si>
  <si>
    <t>Serv.Prest. 01/09/2025 a 07/09/2025 - PIX: CPF - CHAVE: 170.180.266-01</t>
  </si>
  <si>
    <t>Serv.Prest. 01/09/2025 a 07/09/2025 - PIX: CELULAR - CHAVE: (31) 97251-6838</t>
  </si>
  <si>
    <t>Serv.Prest. 01/09/2025 a 07/09/2025 - PIX: CELULAR - CHAVE: (33) 98806-5772</t>
  </si>
  <si>
    <t>Serv.Prest. 01/09/2025 a 07/09/2025 - PIX: CELULAR - CHAVE: (33) 99996-3668</t>
  </si>
  <si>
    <t>Serv.Prest. 01/09/2025 a 07/09/2025 - PIX: CPF - CHAVE: 012.906.122-00</t>
  </si>
  <si>
    <t>Serv.Prest. 01/09/2025 a 07/09/2025 - PIX: E-MAIL - CHAVE: wilianvieirawrv3578@gmail.com</t>
  </si>
  <si>
    <t>Serv.Prest. 01/09/2025 a 07/09/2025 - PIX: CELULAR - CHAVE: (33) 99859-8751</t>
  </si>
  <si>
    <t>Serv.Prest. 01/09/2025 a 07/09/2025 - PIX: CPF - CHAVE: 036.875.515-04</t>
  </si>
  <si>
    <t>Serv.Prest. 01/09/2025 a 07/09/2025 - PIX: CELULAR - CHAVE: (73) 99966-7211</t>
  </si>
  <si>
    <t>Serv.Prest. 01/09/2025 a 07/09/2025 - PIX: CPF - CHAVE: 094.947.395-23</t>
  </si>
  <si>
    <t>Serv.Prest. 01/09/2025 a 07/09/2025 - PIX: E-MAIL - CHAVE: ericgomes508@gmail.com</t>
  </si>
  <si>
    <t>Serv.Prest. 01/09/2025 a 07/09/2025 - PIX: CPF - CHAVE: 005.022.525-10</t>
  </si>
  <si>
    <t>Serv.Prest. 01/09/2025 a 07/09/2025 - PIX: CELULAR - CHAVE: (73) 99941-8352</t>
  </si>
  <si>
    <t>Serv.Prest. 01/09/2025 a 07/09/2025 - PIX: CELULAR - CHAVE: (73) 98888-3793</t>
  </si>
  <si>
    <t>Serv.Prest. 01/09/2025 a 07/09/2025 - PIX: CPF - CHAVE: 439.169.103-53</t>
  </si>
  <si>
    <t>Serv.Prest. 01/09/2025 a 07/09/2025 - PIX: CELULAR - CHAVE: (73) 99115-9602</t>
  </si>
  <si>
    <t>Serv.Prest. 01/09/2025 a 07/09/2025 - PIX: CPF - CHAVE: 035.018.455-02</t>
  </si>
  <si>
    <t>Serv.Prest. 01/09/2025 a 07/09/2025 - PIX: CPF - CHAVE: 860.305.455-07</t>
  </si>
  <si>
    <t>Serv.Prest. 01/09/2025 a 07/09/2025 - PIX: CELULAR - CHAVE: (73) 98105-2187</t>
  </si>
  <si>
    <t>Serv.Prest. 01/09/2025 a 07/09/2025 - PIX: CELULAR - CHAVE: (73) 99803-0715</t>
  </si>
  <si>
    <t>Serv.Prest. 01/09/2025 a 07/09/2025 - PIX: CELULAR - CHAVE: (73) 99967-3239</t>
  </si>
  <si>
    <t>Serv.Prest. 01/09/2025 a 07/09/2025 - PIX: CPF - CHAVE: 003.157.195-67</t>
  </si>
  <si>
    <t>Serv.Prest. 01/09/2025 a 07/09/2025 - PIX: CNPJ - CHAVE: 33.412.676/0001-41</t>
  </si>
  <si>
    <t>Serv.Prest. 01/09/2025 a 07/09/2025 - PIX: CELULAR - CHAVE: (73) 99977-2721</t>
  </si>
  <si>
    <t>Serv.Prest. 01/09/2025 a 07/09/2025 - PIX: CELULAR - CHAVE: (73) 99818-9718</t>
  </si>
  <si>
    <t>Serv.Prest. 01/09/2025 a 07/09/2025 - PIX: CPF - CHAVE: 079.068.045-97</t>
  </si>
  <si>
    <t>Serv.Prest. 01/09/2025 a 07/09/2025 - PIX: CPF - CHAVE: 079.930.865-07</t>
  </si>
  <si>
    <t>Serv.Prest. 01/09/2025 a 07/09/2025 - PIX: CELULAR - CHAVE: (27) 99811-6850</t>
  </si>
  <si>
    <t>Serv.Prest. 01/09/2025 a 07/09/2025 - PIX: CELULAR - CHAVE: (27) 99950-3450</t>
  </si>
  <si>
    <t>Serv.Prest. 01/09/2025 a 07/09/2025 - PIX: CNPJ - CHAVE: 40.359.224/0001-09</t>
  </si>
  <si>
    <t>Serv.Prest. 01/09/2025 a 07/09/2025 - PIX: CELULAR - CHAVE: (27) 99616-4468</t>
  </si>
  <si>
    <t>Serv.Prest. 01/09/2025 a 07/09/2025 - PIX: CELULAR - CHAVE: (73) 99167-5954</t>
  </si>
  <si>
    <t>Serv.Prest. 01/09/2025 a 07/09/2025 - PIX: CELULAR - CHAVE: (27) 99916-8443</t>
  </si>
  <si>
    <t>Serv.Prest. 01/09/2025 a 07/09/2025 - PIX: CPF - CHAVE: 121.963.507-37</t>
  </si>
  <si>
    <t>Serv.Prest. 01/09/2025 a 07/09/2025 - PIX: E-MAIL - CHAVE: alanacosta1999@gmail.com</t>
  </si>
  <si>
    <t>Serv.Prest. 01/09/2025 a 07/09/2025 - PIX: CPF - CHAVE: 975.425.989-53</t>
  </si>
  <si>
    <t>Serv.Prest. 01/09/2025 a 07/09/2025 - PIX: CELULAR - CHAVE: (43) 99630-7532</t>
  </si>
  <si>
    <t>Serv.Prest. 01/09/2025 a 07/09/2025 - PIX: CPF - CHAVE: 004.682.359-06</t>
  </si>
  <si>
    <t>Serv.Prest. 01/09/2025 a 07/09/2025 - PIX: CELULAR - CHAVE: (43) 99934-1696</t>
  </si>
  <si>
    <t>Serv.Prest. 01/09/2025 a 07/09/2025 - PIX: CPF - CHAVE: 074.604.219-10</t>
  </si>
  <si>
    <t>Serv.Prest. 01/09/2025 a 07/09/2025 - PIX: CPF - CHAVE: 878.196.869-87</t>
  </si>
  <si>
    <t>Serv.Prest. 08/09/2025 a 14/09/2025 - PIX: CELULAR - CHAVE: (62) 99550-3226</t>
  </si>
  <si>
    <t>Serv.Prest. 08/09/2025 a 14/09/2025 - PIX: CELULAR - CHAVE: (11) 95552-9905</t>
  </si>
  <si>
    <t>Serv.Prest. 08/09/2025 a 14/09/2025 - PIX: CPF - CHAVE: 505.341.528-56</t>
  </si>
  <si>
    <t>Serv.Prest. 08/09/2025 a 14/09/2025 - PIX: CPF - CHAVE: 336.516.138-44</t>
  </si>
  <si>
    <t>Serv.Prest. 08/09/2025 a 14/09/2025 - PIX: CPF - CHAVE: 157.591.436-03</t>
  </si>
  <si>
    <t>Serv.Prest. 08/09/2025 a 14/09/2025 - PIX: CELULAR - CHAVE: (32) 99920-0416</t>
  </si>
  <si>
    <t>Serv.Prest. 08/09/2025 a 14/09/2025 - PIX: CPF - CHAVE: 140.108.466-40</t>
  </si>
  <si>
    <t>Serv.Prest. 08/09/2025 a 14/09/2025 - PIX: CPF - CHAVE: 080.965.696-51</t>
  </si>
  <si>
    <t>Serv.Prest. 08/09/2025 a 14/09/2025 - PIX: CPF - CHAVE: 100.710.806-19</t>
  </si>
  <si>
    <t>Serv.Prest. 08/09/2025 a 14/09/2025 - PIX: CPF - CHAVE: 103.983.366-79</t>
  </si>
  <si>
    <t>Serv.Prest. 08/09/2025 a 14/09/2025 - PIX: CPF - CHAVE: 138.263.636-98</t>
  </si>
  <si>
    <t>Serv.Prest. 08/09/2025 a 14/09/2025 - PIX: CPF - CHAVE: 128.367.756-37</t>
  </si>
  <si>
    <t>Serv.Prest. 08/09/2025 a 14/09/2025 - PIX: CPF - CHAVE: 147.592.156-03</t>
  </si>
  <si>
    <t>Serv.Prest. 08/09/2025 a 14/09/2025 - PIX: CPF - CHAVE: 138.798.486-10</t>
  </si>
  <si>
    <t>Serv.Prest. 08/09/2025 a 14/09/2025 - PIX: CPF - CHAVE: 100.826.516-04</t>
  </si>
  <si>
    <t>Serv.Prest. 08/09/2025 a 14/09/2025 - PIX: CPF - CHAVE: 126.686.406-79</t>
  </si>
  <si>
    <t>Serv.Prest. 08/09/2025 a 14/09/2025 - PIX: CPF - CHAVE: 016.203.336-27</t>
  </si>
  <si>
    <t>Serv.Prest. 08/09/2025 a 14/09/2025 - PIX: E-MAIL - CHAVE: claudioverdinho2009@hotmail.com</t>
  </si>
  <si>
    <t>Serv.Prest. 08/09/2025 a 14/09/2025 - PIX: CELULAR - CHAVE: (41) 98421-2278</t>
  </si>
  <si>
    <t>Serv.Prest. 08/09/2025 a 14/09/2025 - PIX: CPF - CHAVE: 124.575.099-20</t>
  </si>
  <si>
    <t>Serv.Prest. 08/09/2025 a 14/09/2025 - PIX: CELULAR - CHAVE: (31) 99376-7989</t>
  </si>
  <si>
    <t>Serv.Prest. 08/09/2025 a 14/09/2025 - PIX: CELULAR - CHAVE: (37) 99146-2630</t>
  </si>
  <si>
    <t>Serv.Prest. 08/09/2025 a 14/09/2025 - PIX: CPF - CHAVE: 090.332.006-19</t>
  </si>
  <si>
    <t>Serv.Prest. 08/09/2025 a 14/09/2025 - PIX: CELULAR - CHAVE: (37) 99197-6834</t>
  </si>
  <si>
    <t>Serv.Prest. 08/09/2025 a 14/09/2025 - PIX: CPF - CHAVE: 950.176.406-06</t>
  </si>
  <si>
    <t>Serv.Prest. 08/09/2025 a 14/09/2025 - PIX: CELULAR - CHAVE: (37) 99138-1777</t>
  </si>
  <si>
    <t>Serv.Prest. 08/09/2025 a 14/09/2025 - PIX: CELULAR - CHAVE: (37) 98841-8571</t>
  </si>
  <si>
    <t>Serv.Prest. 08/09/2025 a 14/09/2025 - PIX: CPF - CHAVE: 463.491.858-70</t>
  </si>
  <si>
    <t>Serv.Prest. 08/09/2025 a 14/09/2025 - PIX: CELULAR - CHAVE: (11) 97402-1586</t>
  </si>
  <si>
    <t>Serv.Prest. 08/09/2025 a 14/09/2025 - PIX: CELULAR - CHAVE: (11) 99992-0816</t>
  </si>
  <si>
    <t>Serv.Prest. 08/09/2025 a 14/09/2025 - PIX: CELULAR - CHAVE: (73) 98191-0061</t>
  </si>
  <si>
    <t>Serv.Prest. 08/09/2025 a 14/09/2025 - PIX: CELULAR - CHAVE: (73) 99115-9602</t>
  </si>
  <si>
    <t>Serv.Prest. 08/09/2025 a 14/09/2025 - PIX: CPF - CHAVE: 009.265.655-24</t>
  </si>
  <si>
    <t>Serv.Prest. 08/09/2025 a 14/09/2025 - PIX: CPF - CHAVE: 378.223.888-51</t>
  </si>
  <si>
    <t>Serv.Prest. 08/09/2025 a 14/09/2025 - PIX: CELULAR - CHAVE: (33) 98857-0494</t>
  </si>
  <si>
    <t>Serv.Prest. 08/09/2025 a 14/09/2025 - PIX: CPF - CHAVE: 701.955.866-62</t>
  </si>
  <si>
    <t>Serv.Prest. 08/09/2025 a 14/09/2025 - PIX: CELULAR - CHAVE: (71) 99696-7530</t>
  </si>
  <si>
    <t>Serv.Prest. 08/09/2025 a 14/09/2025 - PIX: CELULAR - CHAVE: (71) 99214-9256</t>
  </si>
  <si>
    <t>Serv.Prest. 08/09/2025 a 14/09/2025 - PIX: E-MAIL - CHAVE: edvam18.alves@gmail.com</t>
  </si>
  <si>
    <t>Serv.Prest. 08/09/2025 a 14/09/2025 - PIX: CPF - CHAVE: 048.672.645-20</t>
  </si>
  <si>
    <t>Serv.Prest. 08/09/2025 a 14/09/2025 - PIX: CPF - CHAVE: 707.468.161-03</t>
  </si>
  <si>
    <t>Serv.Prest. 08/09/2025 a 14/09/2025 - PIX: CELULAR - CHAVE: (64) 98118-5132</t>
  </si>
  <si>
    <t>Serv.Prest. 08/09/2025 a 14/09/2025 - PIX: CELULAR - CHAVE: (28) 99908-0831</t>
  </si>
  <si>
    <t>Serv.Prest. 08/09/2025 a 14/09/2025 - PIX: CELULAR - CHAVE: (28) 98816-4170</t>
  </si>
  <si>
    <t>Serv.Prest. 08/09/2025 a 14/09/2025 - PIX: CELULAR - CHAVE: (33) 99924-7557</t>
  </si>
  <si>
    <t>Serv.Prest. 08/09/2025 a 14/09/2025 - PIX: CELULAR - CHAVE: (33) 99194-2339</t>
  </si>
  <si>
    <t>Serv.Prest. 08/09/2025 a 14/09/2025 - PIX: CPF - CHAVE: 137.411.686-61</t>
  </si>
  <si>
    <t>Serv.Prest. 15/09/2025 a 21/09/2025 - PIX: CPF - CHAVE: 091.918.426-03</t>
  </si>
  <si>
    <t>Serv.Prest. 08/09/2025 a 14/09/2025 - RPS: 1238 - NFSe: 3362</t>
  </si>
  <si>
    <t>Serv.Prest. 08/09/2025 a 14/09/2025 - RPS: 1234 - NFSe: 3358</t>
  </si>
  <si>
    <t>Serv.Prest. 01/09/2025 a 07/09/2025 - RPS: 1205 - NFSe: 3329</t>
  </si>
  <si>
    <t>Serv.Prest. 01/09/2025 a 07/09/2025 - RPS: 1204 - NFSe: 3328</t>
  </si>
  <si>
    <t>Serv.Prest. 08/09/2025 a 14/09/2025 - RPS: 1247 - NFSe: 3371</t>
  </si>
  <si>
    <t>Serv.Prest. 08/09/2025 a 14/09/2025 - RPS: 1249 - NFSe: 3373</t>
  </si>
  <si>
    <t>Serv.Prest. 08/09/2025 a 14/09/2025 - RPS: 1223 - NFSe: 3347</t>
  </si>
  <si>
    <t>Serv.Prest. 08/09/2025 a 14/09/2025 - RPS: 1225 - NFSe: 3349</t>
  </si>
  <si>
    <t>Serv.Prest. 08/09/2025 a 14/09/2025 - RPS: 1233 - NFSe: 3357</t>
  </si>
  <si>
    <t>Serv.Prest. 08/09/2025 a 14/09/2025 - RPS: 1251 - NFSe: 3375</t>
  </si>
  <si>
    <t>Serv.Prest. 01/09/2025 a 07/09/2025 - RPS: 1220 - NFSe: 3344</t>
  </si>
  <si>
    <t>Serv.Prest. 01/09/2025 a 07/09/2025 - RPS: 1221 - NFSe: 3345</t>
  </si>
  <si>
    <t>Serv.Prest. 08/09/2025 a 14/09/2025 - RPS: 1232 - NFSe: 3356</t>
  </si>
  <si>
    <t>Serv.Prest. 08/09/2025 a 14/09/2025 - RPS: 1229 - NFSe: 3353</t>
  </si>
  <si>
    <t>Serv.Prest. 08/09/2025 a 14/09/2025 - RPS: 1245 - NFSe: 3369</t>
  </si>
  <si>
    <t>Serv.Prest. 01/09/2025 a 07/09/2025 - RPS: 1219 - NFSe: 3343</t>
  </si>
  <si>
    <t>Serv.Prest. 08/09/2025 a 14/09/2025 - RPS: 1246 - NFSe: 3370</t>
  </si>
  <si>
    <t>Complemento Serv.Prest. 08/09/2025 a 14/09/2025 - PIX: CELULAR - CHAVE: (28) 99908-0831</t>
  </si>
  <si>
    <t>Serv.Prest. 15/09/2025 a 21/09/2025 - PIX: CELULAR - CHAVE: (31) 99680-9634</t>
  </si>
  <si>
    <t>Serv.Prest. 15/09/2025 a 21/09/2025 - PIX: CNPJ - CHAVE: 49.607.413/0001-28</t>
  </si>
  <si>
    <t>Serv.Prest. 15/09/2025 a 21/09/2025 - PIX: CELULAR - CHAVE: (73) 98155-8496</t>
  </si>
  <si>
    <t>INSS PRESTADORES MES 08/2025</t>
  </si>
  <si>
    <t>PLATAFORMA DE ASSINATUARS DIGITAIS</t>
  </si>
  <si>
    <t>DESPESAS COM VIAGEM</t>
  </si>
  <si>
    <t>DESPESAS COM VIAGENS COMERCIAIS</t>
  </si>
  <si>
    <t>Serv.Prest. 15/09/2025 a 21/09/2025 - PIX: CPF - CHAVE: 092.566.416-23</t>
  </si>
  <si>
    <t>Serv.Prest. 15/09/2025 a 21/09/2025 - PIX: CPF - CHAVE: 900.512.622-15</t>
  </si>
  <si>
    <t>Serv.Prest. 15/09/2025 a 21/09/2025 - PIX: CELULAR - CHAVE: (27) 99650-9691</t>
  </si>
  <si>
    <t>Serv.Prest. 15/09/2025 a 21/09/2025 - PIX: CELULAR - CHAVE: (64) 97400-9101</t>
  </si>
  <si>
    <t>Serv.Prest. 15/09/2025 a 21/09/2025 - PIX: CELULAR - CHAVE: (11) 96568-0316</t>
  </si>
  <si>
    <t>Serv.Prest. 15/09/2025 a 21/09/2025 - PIX: CELULAR - CHAVE: (11) 9844-7654</t>
  </si>
  <si>
    <t>ALUGUEL FISCAL COOPERATIVA - RESCISÃO</t>
  </si>
  <si>
    <t>Serv.Prest. 15/09/2025 a 21/09/2025 - PIX: CPF - CHAVE: 096.891.935-97</t>
  </si>
  <si>
    <t>Serv.Prest. 15/09/2025 a 21/09/2025 - PIX: CPF - CHAVE: 106.393.056-10</t>
  </si>
  <si>
    <t>Serv.Prest. 15/09/2025 a 21/09/2025 - PIX: CPF - CHAVE: 141.994.266-20</t>
  </si>
  <si>
    <t>Serv.Prest. 15/09/2025 a 21/09/2025 - PIX: CPF - CHAVE: 396.124.108-28</t>
  </si>
  <si>
    <t>Serv.Prest. 15/09/2025 a 21/09/2025 - PIX: E-MAIL - CHAVE: ericsilva8marcena@gmail.com</t>
  </si>
  <si>
    <t>Serv.Prest. 15/09/2025 a 21/09/2025 - PIX: CELULAR - CHAVE: (31) 99373-5678</t>
  </si>
  <si>
    <t>Serv.Prest. 15/09/2025 a 21/09/2025 - PIX: CPF - CHAVE: 052.353.883-99</t>
  </si>
  <si>
    <t>Serv.Prest. 15/09/2025 a 21/09/2025 - PIX: CPF - CHAVE: 133.055.616-02</t>
  </si>
  <si>
    <t>Serv.Prest. 15/09/2025 a 21/09/2025 - PIX: CELULAR - CHAVE: (37) 99146-2630</t>
  </si>
  <si>
    <t>Serv.Prest. 22/09/2025 a 28/09/2025 - PIX: CPF - CHAVE: 423.098.018-36</t>
  </si>
  <si>
    <t>Serv.Prest. 22/09/2025 a 28/09/2025 - PIX: E-MAIL - CHAVE: jairomachadocampelo@gmail.com</t>
  </si>
  <si>
    <t>Serv.Prest. 15/09/2025 a 21/09/2025 - PIX: CELULAR - CHAVE: (32) 99913-0476</t>
  </si>
  <si>
    <t>Serv.Prest. 10/09/2025 a 14/09/2025 - RPS: 1252 - NFSe: 3376</t>
  </si>
  <si>
    <t>Serv.Prest. 15/09/2025 a 21/09/2025 - PIX: CELULAR - CHAVE: (19) 98944-4977</t>
  </si>
  <si>
    <t>Serv.Prest. 08/09/2025 a 14/09/2025 - PIX: CPF - CHAVE: 155.328.666-94</t>
  </si>
  <si>
    <t>Serv.Prest. 08/09/2025 a 14/09/2025 - PIX: CPF - CHAVE: 091.575.986-14</t>
  </si>
  <si>
    <t>Serv.Prest. 15/09/2025 a 21/09/2025 - PIX: CPF - CHAVE: 012.600.851-55</t>
  </si>
  <si>
    <t>Serv.Prest. 08/09/2025 a 14/09/2025 - PIX: CNPJ - CHAVE: 33.412.676/0001-41</t>
  </si>
  <si>
    <t>Serv.Prest. 08/09/2025 a 14/09/2025 - PIX: E-MAIL - CHAVE: sypedrinho@gmail.com</t>
  </si>
  <si>
    <t>Serv.Prest. 15/09/2025 a 21/09/2025 - PIX: CPF - CHAVE: 463.491.858-70</t>
  </si>
  <si>
    <t>Serv.Prest. 08/09/2025 a 14/09/2025 - RPS: 1242 - NFSe: 3366</t>
  </si>
  <si>
    <t>Serv.Prest. 08/09/2025 a 14/09/2025 - RPS: 1248 - NFSe: 3372</t>
  </si>
  <si>
    <t>Serv.Prest. 08/09/2025 a 14/09/2025 - RPS: 1241 - NFSe: 3365</t>
  </si>
  <si>
    <t>Serv.Prest. 08/09/2025 a 14/09/2025 - RPS: 1250 - NFSe: 3374</t>
  </si>
  <si>
    <t>Serv.Prest. 08/09/2025 a 14/09/2025 - PIX: CPF - CHAVE: 179.800.027-09</t>
  </si>
  <si>
    <t>Serv.Prest. 22/09/2025 a 28/09/2025 - PIX: CELULAR - CHAVE: (64) 97400-9101</t>
  </si>
  <si>
    <t>ASSESSORIA JURIDICA - PIX CELULAR 34 98815 1329 - Carina Silva de Oliveira Galvão</t>
  </si>
  <si>
    <t>HONORARIOS ADVOCATICIOS</t>
  </si>
  <si>
    <t>CONTABILIDADE 07/2025</t>
  </si>
  <si>
    <t>CONTABILIDADE</t>
  </si>
  <si>
    <t>DESPESAS COM POSTAGENS</t>
  </si>
  <si>
    <t>COMPRA DE FORNECEDORES</t>
  </si>
  <si>
    <t>MENSALIDADE UNICO CONTATO + DISPARA 08/2025</t>
  </si>
  <si>
    <t>Serv.Prest. 15/09/2025 a 21/09/2025 - PIX: CELULAR - CHAVE: (33) 99110-6940</t>
  </si>
  <si>
    <t>ASSESSORIA EM MARKETING DIGITAL 04/2025</t>
  </si>
  <si>
    <t>PUBLICIDADE E PROPAGANDAS</t>
  </si>
  <si>
    <t>Serv.Prest. 15/09/2025 a 21/09/2025 - RPS: 1266 - NFSe: 3390</t>
  </si>
  <si>
    <t>Serv.Prest. 15/09/2025 a 21/09/2025 - RPS: 1255 - NFSe: 3379</t>
  </si>
  <si>
    <t>Serv.Prest. 15/09/2025 a 21/09/2025 - RPS: 1280 - NFSe: 3404</t>
  </si>
  <si>
    <t>Serv.Prest. 15/09/2025 a 21/09/2025 - RPS: 1267 - NFSe: 3391</t>
  </si>
  <si>
    <t>Serv.Prest. 15/09/2025 a 21/09/2025 - RPS: 1278 - NFSe: 3402</t>
  </si>
  <si>
    <t>Serv.Prest. 15/09/2025 a 21/09/2025 - RPS: 1254 - NFSe: 3378</t>
  </si>
  <si>
    <t>Serv.Prest. 15/09/2025 a 21/09/2025 - RPS: 1268 - NFSe: 3392</t>
  </si>
  <si>
    <t>Serv.Prest. 15/09/2025 a 21/09/2025 - RPS: 1264 - NFSe: 3388</t>
  </si>
  <si>
    <t>Complemento Serv.Prest. 08/09/2025 a 14/09/2025 - PIX: CPF - CHAVE: 700.454.836-80</t>
  </si>
  <si>
    <t>Serv.Prest. 15/09/2025 a 21/09/2025 - PIX: CPF - CHAVE: 087.398.185-51</t>
  </si>
  <si>
    <t>Serv.Prest. 15/09/2025 a 21/09/2025 - PIX: CPF - CHAVE: 009.476.175-23</t>
  </si>
  <si>
    <t>Complemento Serv.Prest. 15/09/2025 a 21/09/2025 - PIX: CPF - CHAVE: 090.332.006-19</t>
  </si>
  <si>
    <t>Serv.Prest. 15/09/2025 a 21/09/2025 - PIX: CELULAR - CHAVE: (33) 98857-0494</t>
  </si>
  <si>
    <t>Serv.Prest. 15/09/2025 a 21/09/2025 - PIX: CELULAR - CHAVE: (11) 95449-1055</t>
  </si>
  <si>
    <t>Serv.Prest. 15/09/2025 a 21/09/2025 - PIX: CELULAR - CHAVE: (11) 99992-0816</t>
  </si>
  <si>
    <t>Serv.Prest. 15/09/2025 a 21/09/2025 - PIX: CELULAR - CHAVE: (11) 97402-1586</t>
  </si>
  <si>
    <t>Serv.Prest. 15/09/2025 a 21/09/2025 - PIX: CELULAR - CHAVE: (37) 98841-8571</t>
  </si>
  <si>
    <t>Serv.Prest. 15/09/2025 a 21/09/2025 - PIX: CELULAR - CHAVE: (37) 99138-1777</t>
  </si>
  <si>
    <t>Serv.Prest. 15/09/2025 a 21/09/2025 - PIX: CPF - CHAVE: 950.176.406-06</t>
  </si>
  <si>
    <t>Serv.Prest. 15/09/2025 a 21/09/2025 - PIX: CELULAR - CHAVE: (37) 99197-6834</t>
  </si>
  <si>
    <t>Serv.Prest. 15/09/2025 a 21/09/2025 - PIX: CPF - CHAVE: 090.332.006-19</t>
  </si>
  <si>
    <t>Serv.Prest. 15/09/2025 a 21/09/2025 - PIX: CELULAR - CHAVE: (28) 98816-4170</t>
  </si>
  <si>
    <t>Serv.Prest. 15/09/2025 a 21/09/2025 - PIX: CELULAR - CHAVE: (28) 99908-0831</t>
  </si>
  <si>
    <t>Serv.Prest. 15/09/2025 a 21/09/2025 - PIX: CELULAR - CHAVE: (11) 95038-0621</t>
  </si>
  <si>
    <t>Serv.Prest. 15/09/2025 a 21/09/2025 - PIX: CPF - CHAVE: 124.575.099-20</t>
  </si>
  <si>
    <t>Serv.Prest. 15/09/2025 a 21/09/2025 - PIX: CELULAR - CHAVE: (41) 98421-2278</t>
  </si>
  <si>
    <t>Serv.Prest. 15/09/2025 a 21/09/2025 - PIX: E-MAIL - CHAVE: claudioverdinho2009@hotmail.com</t>
  </si>
  <si>
    <t>Serv.Prest. 15/09/2025 a 21/09/2025 - PIX: CPF - CHAVE: 427.090.718-51</t>
  </si>
  <si>
    <t>Serv.Prest. 15/09/2025 a 21/09/2025 - PIX: CPF - CHAVE: 016.203.336-27</t>
  </si>
  <si>
    <t>Serv.Prest. 15/09/2025 a 21/09/2025 - PIX: CPF - CHAVE: 126.686.406-79</t>
  </si>
  <si>
    <t>Serv.Prest. 15/09/2025 a 21/09/2025 - PIX: CPF - CHAVE: 100.826.516-04</t>
  </si>
  <si>
    <t>Serv.Prest. 15/09/2025 a 21/09/2025 - PIX: CELULAR - CHAVE: (33) 99924-7557</t>
  </si>
  <si>
    <t>Serv.Prest. 15/09/2025 a 21/09/2025 - PIX: CPF - CHAVE: 138.798.486-10</t>
  </si>
  <si>
    <t>Serv.Prest. 15/09/2025 a 21/09/2025 - PIX: CELULAR - CHAVE: (11) 95159-8728</t>
  </si>
  <si>
    <t>Serv.Prest. 15/09/2025 a 21/09/2025 - PIX: CPF - CHAVE: 147.592.156-03</t>
  </si>
  <si>
    <t>Serv.Prest. 15/09/2025 a 21/09/2025 - PIX: CPF - CHAVE: 128.367.756-37</t>
  </si>
  <si>
    <t>Serv.Prest. 15/09/2025 a 21/09/2025 - PIX: CPF - CHAVE: 138.263.636-98</t>
  </si>
  <si>
    <t>Serv.Prest. 15/09/2025 a 21/09/2025 - PIX: CPF - CHAVE: 103.983.366-79</t>
  </si>
  <si>
    <t>Serv.Prest. 15/09/2025 a 21/09/2025 - PIX: CPF - CHAVE: 423.098.018-36</t>
  </si>
  <si>
    <t>Serv.Prest. 15/09/2025 a 21/09/2025 - PIX: CELULAR - CHAVE: (31) 99376-7989</t>
  </si>
  <si>
    <t>Serv.Prest. 15/09/2025 a 21/09/2025 - PIX: CPF - CHAVE: 100.710.806-19</t>
  </si>
  <si>
    <t>Serv.Prest. 15/09/2025 a 21/09/2025 - PIX: CPF - CHAVE: 080.965.696-51</t>
  </si>
  <si>
    <t>Serv.Prest. 15/09/2025 a 21/09/2025 - PIX: CPF - CHAVE: 140.108.466-40</t>
  </si>
  <si>
    <t>Serv.Prest. 15/09/2025 a 21/09/2025 - PIX: CELULAR - CHAVE: (32) 99920-0416</t>
  </si>
  <si>
    <t>Serv.Prest. 15/09/2025 a 21/09/2025 - PIX: CPF - CHAVE: 157.591.436-03</t>
  </si>
  <si>
    <t>Serv.Prest. 15/09/2025 a 21/09/2025 - PIX: CELULAR - CHAVE: (11) 91214-6176</t>
  </si>
  <si>
    <t>Serv.Prest. 15/09/2025 a 21/09/2025 - PIX: CPF - CHAVE: 505.341.528-56</t>
  </si>
  <si>
    <t>Serv.Prest. 15/09/2025 a 21/09/2025 - PIX: CELULAR - CHAVE: (11) 95552-9905</t>
  </si>
  <si>
    <t>Serv.Prest. 15/09/2025 a 21/09/2025 - PIX: CELULAR - CHAVE: (62) 99550-3226</t>
  </si>
  <si>
    <t>Serv.Prest. 15/09/2025 a 21/09/2025 - PIX: CPF - CHAVE: 074.520.456-29</t>
  </si>
  <si>
    <t>Serv.Prest. 15/09/2025 a 21/09/2025 - PIX: CPF - CHAVE: 707.468.161-03</t>
  </si>
  <si>
    <t>Serv.Prest. 15/09/2025 a 21/09/2025 - PIX: CPF - CHAVE: 048.672.645-20</t>
  </si>
  <si>
    <t>Serv.Prest. 15/09/2025 a 21/09/2025 - PIX: E-MAIL - CHAVE: edvam18.alves@gmail.com</t>
  </si>
  <si>
    <t>Serv.Prest. 15/09/2025 a 21/09/2025 - PIX: CELULAR - CHAVE: (71) 99214-9256</t>
  </si>
  <si>
    <t>Serv.Prest. 15/09/2025 a 21/09/2025 - PIX: CELULAR - CHAVE: (71) 99696-7530</t>
  </si>
  <si>
    <t>Serv.Prest. 15/09/2025 a 21/09/2025 - PIX: CPF - CHAVE: 378.223.888-51</t>
  </si>
  <si>
    <t>Serv.Prest. 15/09/2025 a 21/09/2025 - PIX: CPF - CHAVE: 009.265.655-24</t>
  </si>
  <si>
    <t>Serv.Prest. 15/09/2025 a 21/09/2025 - PIX: CELULAR - CHAVE: (73) 988381077</t>
  </si>
  <si>
    <t>Serv.Prest. 15/09/2025 a 21/09/2025 - PIX: CELULAR - CHAVE: (73) 98191-0061</t>
  </si>
  <si>
    <t>Serv.Prest. 15/09/2025 a 21/09/2025 - PIX: CPF - CHAVE: 097.245.586-81</t>
  </si>
  <si>
    <t>Serv.Prest. 15/09/2025 a 21/09/2025 - PIX: CPF - CHAVE: 157.874.046-02</t>
  </si>
  <si>
    <t>Serv.Prest. 15/09/2025 a 21/09/2025 - PIX: CELULAR - CHAVE: (33) 99880-7941</t>
  </si>
  <si>
    <t>Serv.Prest. 15/09/2025 a 21/09/2025 - PIX: CPF - CHAVE: 701.955.866-62</t>
  </si>
  <si>
    <t>Serv.Prest. 15/09/2025 a 21/09/2025 - PIX: CELULAR - CHAVE: (34) 99772-2954</t>
  </si>
  <si>
    <t>Serv.Prest. 15/09/2025 a 21/09/2025 - PIX: CELULAR - CHAVE: (34) 99149-4422</t>
  </si>
  <si>
    <t>Serv.Prest. 08/09/2025 a 14/09/2025 - PIX: E-MAIL - CHAVE: alanacosta1999@gmail.com</t>
  </si>
  <si>
    <t>Serv.Prest. 08/09/2025 a 14/09/2025 - PIX: CPF - CHAVE: 975.425.989-53</t>
  </si>
  <si>
    <t>Serv.Prest. 08/09/2025 a 14/09/2025 - PIX: CELULAR - CHAVE: (43) 99630-7532</t>
  </si>
  <si>
    <t>Serv.Prest. 08/09/2025 a 14/09/2025 - PIX: CPF - CHAVE: 004.682.359-06</t>
  </si>
  <si>
    <t>Serv.Prest. 08/09/2025 a 14/09/2025 - PIX: CELULAR - CHAVE: (43) 99934-1696</t>
  </si>
  <si>
    <t>Serv.Prest. 08/09/2025 a 14/09/2025 - PIX: CPF - CHAVE: 074.604.219-10</t>
  </si>
  <si>
    <t>Serv.Prest. 08/09/2025 a 14/09/2025 - PIX: CPF - CHAVE: 878.196.869-87</t>
  </si>
  <si>
    <t>Serv.Prest. 08/09/2025 a 14/09/2025 - PIX: CPF - CHAVE: 036.875.515-04</t>
  </si>
  <si>
    <t>Serv.Prest. 08/09/2025 a 14/09/2025 - PIX: CELULAR - CHAVE: (73) 99966-7211</t>
  </si>
  <si>
    <t>Serv.Prest. 08/09/2025 a 14/09/2025 - PIX: CPF - CHAVE: 094.947.395-23</t>
  </si>
  <si>
    <t>Serv.Prest. 08/09/2025 a 14/09/2025 - PIX: E-MAIL - CHAVE: ericgomes508@gmail.com</t>
  </si>
  <si>
    <t>Serv.Prest. 08/09/2025 a 14/09/2025 - PIX: CPF - CHAVE: 005.022.525-10</t>
  </si>
  <si>
    <t>Serv.Prest. 08/09/2025 a 14/09/2025 - PIX: CELULAR - CHAVE: (73) 99941-8352</t>
  </si>
  <si>
    <t>Serv.Prest. 08/09/2025 a 14/09/2025 - PIX: CELULAR - CHAVE: (73) 98888-3793</t>
  </si>
  <si>
    <t>Serv.Prest. 08/09/2025 a 14/09/2025 - PIX: CPF - CHAVE: 439.169.103-53</t>
  </si>
  <si>
    <t>Serv.Prest. 08/09/2025 a 14/09/2025 - PIX: CPF - CHAVE: 035.018.455-02</t>
  </si>
  <si>
    <t>Serv.Prest. 08/09/2025 a 14/09/2025 - PIX: CPF - CHAVE: 860.305.455-07</t>
  </si>
  <si>
    <t>Serv.Prest. 08/09/2025 a 14/09/2025 - PIX: CELULAR - CHAVE: (73) 98105-2187</t>
  </si>
  <si>
    <t>Serv.Prest. 08/09/2025 a 14/09/2025 - PIX: CPF - CHAVE: 094.700.685-05</t>
  </si>
  <si>
    <t>Serv.Prest. 08/09/2025 a 14/09/2025 - PIX: CELULAR - CHAVE: (73) 99803-0715</t>
  </si>
  <si>
    <t>Serv.Prest. 08/09/2025 a 14/09/2025 - PIX: CELULAR - CHAVE: (73) 99967-3239</t>
  </si>
  <si>
    <t>Serv.Prest. 08/09/2025 a 14/09/2025 - PIX: CPF - CHAVE: 003.157.195-67</t>
  </si>
  <si>
    <t>Serv.Prest. 08/09/2025 a 14/09/2025 - PIX: CELULAR - CHAVE: (73) 99977-2721</t>
  </si>
  <si>
    <t>Serv.Prest. 08/09/2025 a 14/09/2025 - PIX: CELULAR - CHAVE: (73) 99818-9718</t>
  </si>
  <si>
    <t>Serv.Prest. 08/09/2025 a 14/09/2025 - PIX: CPF - CHAVE: 079.068.045-97</t>
  </si>
  <si>
    <t>Serv.Prest. 08/09/2025 a 14/09/2025 - PIX: CPF - CHAVE: 021.178.446-00</t>
  </si>
  <si>
    <t>Serv.Prest. 08/09/2025 a 14/09/2025 - PIX: CPF - CHAVE: 134.385.606-07</t>
  </si>
  <si>
    <t>Serv.Prest. 08/09/2025 a 14/09/2025 - PIX: CELULAR - CHAVE: (33) 99877-0415</t>
  </si>
  <si>
    <t>Serv.Prest. 08/09/2025 a 14/09/2025 - PIX: CPF - CHAVE: 099.626.666-60</t>
  </si>
  <si>
    <t>Serv.Prest. 08/09/2025 a 14/09/2025 - PIX: E-MAIL - CHAVE: anissoanidaldepaula@gmail.com</t>
  </si>
  <si>
    <t>Serv.Prest. 08/09/2025 a 14/09/2025 - PIX: CPF - CHAVE: 037.192.076-09</t>
  </si>
  <si>
    <t>Serv.Prest. 08/09/2025 a 14/09/2025 - PIX: CPF - CHAVE: 137.446.146-62</t>
  </si>
  <si>
    <t>Serv.Prest. 08/09/2025 a 14/09/2025 - PIX: CELULAR - CHAVE: (32) 98896-0708</t>
  </si>
  <si>
    <t>Serv.Prest. 08/09/2025 a 14/09/2025 - PIX: CELULAR - CHAVE: (32) 99166-8238</t>
  </si>
  <si>
    <t>Serv.Prest. 08/09/2025 a 14/09/2025 - PIX: CELULAR - CHAVE: (33) 98845-4528</t>
  </si>
  <si>
    <t>Serv.Prest. 08/09/2025 a 14/09/2025 - PIX: CELULAR - CHAVE: (31) 98511-2851</t>
  </si>
  <si>
    <t>Serv.Prest. 08/09/2025 a 14/09/2025 - PIX: CELULAR - CHAVE: (32) 99177-6167</t>
  </si>
  <si>
    <t>Serv.Prest. 08/09/2025 a 14/09/2025 - PIX: CPF - CHAVE: 110.483.296-82</t>
  </si>
  <si>
    <t>Serv.Prest. 08/09/2025 a 14/09/2025 - PIX: CELULAR - CHAVE: (33) 98749-5105</t>
  </si>
  <si>
    <t>Serv.Prest. 08/09/2025 a 14/09/2025 - PIX: CELULAR - CHAVE: (33) 99802-1883</t>
  </si>
  <si>
    <t>Serv.Prest. 08/09/2025 a 14/09/2025 - PIX: CELULAR - CHAVE: (31) 99610-7049</t>
  </si>
  <si>
    <t>Serv.Prest. 08/09/2025 a 14/09/2025 - PIX: CPF - CHAVE: 180.147.766-31</t>
  </si>
  <si>
    <t>Serv.Prest. 08/09/2025 a 14/09/2025 - PIX: E-MAIL - CHAVE: turano296801@gmail.com</t>
  </si>
  <si>
    <t>Serv.Prest. 08/09/2025 a 14/09/2025 - PIX: CPF - CHAVE: 102.023.716-38</t>
  </si>
  <si>
    <t>Serv.Prest. 08/09/2025 a 14/09/2025 - PIX: CELULAR - CHAVE: (33) 98890-5095</t>
  </si>
  <si>
    <t>Serv.Prest. 08/09/2025 a 14/09/2025 - PIX: CELULAR - CHAVE: (33) 99199-7983</t>
  </si>
  <si>
    <t>Serv.Prest. 08/09/2025 a 14/09/2025 - PIX: CPF - CHAVE: 141.134.256-98</t>
  </si>
  <si>
    <t>Serv.Prest. 08/09/2025 a 14/09/2025 - PIX: CPF - CHAVE: 070.073.316-70</t>
  </si>
  <si>
    <t>Serv.Prest. 08/09/2025 a 14/09/2025 - PIX: CELULAR - CHAVE: (31) 98483-3242</t>
  </si>
  <si>
    <t>Serv.Prest. 08/09/2025 a 14/09/2025 - PIX: CPF - CHAVE: 160.160.216-28</t>
  </si>
  <si>
    <t>Serv.Prest. 08/09/2025 a 14/09/2025 - PIX: CPF - CHAVE: 386.313.426-53</t>
  </si>
  <si>
    <t>Serv.Prest. 08/09/2025 a 14/09/2025 - PIX: CELULAR - CHAVE: (33) 99706-4860</t>
  </si>
  <si>
    <t>Serv.Prest. 08/09/2025 a 14/09/2025 - PIX: CELULAR - CHAVE: (31) 99816-8965</t>
  </si>
  <si>
    <t>Serv.Prest. 08/09/2025 a 14/09/2025 - PIX: CPF - CHAVE: 113.084.266-58</t>
  </si>
  <si>
    <t>Serv.Prest. 08/09/2025 a 14/09/2025 - PIX: CPF - CHAVE: 067.393.286-92</t>
  </si>
  <si>
    <t>Serv.Prest. 08/09/2025 a 14/09/2025 - PIX: CPF - CHAVE: 121.297.376-33</t>
  </si>
  <si>
    <t>Serv.Prest. 08/09/2025 a 14/09/2025 - PIX: CPF - CHAVE: 126.873.296-65</t>
  </si>
  <si>
    <t>Serv.Prest. 08/09/2025 a 14/09/2025 - PIX: CPF - CHAVE: 023.645.626-19</t>
  </si>
  <si>
    <t>Serv.Prest. 08/09/2025 a 14/09/2025 - PIX: CELULAR - CHAVE: (33) 98836-6015</t>
  </si>
  <si>
    <t>Serv.Prest. 08/09/2025 a 14/09/2025 - PIX: E-MAIL - CHAVE: jhonantanlacerda@gmail.com</t>
  </si>
  <si>
    <t>Serv.Prest. 08/09/2025 a 14/09/2025 - PIX: CPF - CHAVE: 049.276.546-48</t>
  </si>
  <si>
    <t>Serv.Prest. 08/09/2025 a 14/09/2025 - PIX: CPF - CHAVE: 602.838.315-53</t>
  </si>
  <si>
    <t>Serv.Prest. 08/09/2025 a 14/09/2025 - PIX: CPF - CHAVE: 043.301.196-33</t>
  </si>
  <si>
    <t>Serv.Prest. 08/09/2025 a 14/09/2025 - PIX: CPF - CHAVE: 012.459.366-62</t>
  </si>
  <si>
    <t>Serv.Prest. 08/09/2025 a 14/09/2025 - PIX: CPF - CHAVE: 077.488.126-75</t>
  </si>
  <si>
    <t>Serv.Prest. 08/09/2025 a 14/09/2025 - PIX: CPF - CHAVE: 074.520.456-29</t>
  </si>
  <si>
    <t>Serv.Prest. 08/09/2025 a 14/09/2025 - PIX: CELULAR - CHAVE: (33) 99106-9330</t>
  </si>
  <si>
    <t>Serv.Prest. 08/09/2025 a 14/09/2025 - PIX: CHAVE ALEATÓRIA - CHAVE: c489bee1-360b-4fa9-86c4-fbb0e9844cb8</t>
  </si>
  <si>
    <t>Serv.Prest. 08/09/2025 a 14/09/2025 - PIX: CELULAR - CHAVE: (33) 99860-1035</t>
  </si>
  <si>
    <t>Serv.Prest. 08/09/2025 a 14/09/2025 - PIX: CELULAR - CHAVE: (33) 98463-0821</t>
  </si>
  <si>
    <t>Serv.Prest. 08/09/2025 a 14/09/2025 - PIX: CELULAR - CHAVE: (31) 99850-4727</t>
  </si>
  <si>
    <t>Serv.Prest. 08/09/2025 a 14/09/2025 - PIX: CELULAR - CHAVE: (33) 98749-4693</t>
  </si>
  <si>
    <t>Serv.Prest. 08/09/2025 a 14/09/2025 - PIX: CPF - CHAVE: 161.508.516-56</t>
  </si>
  <si>
    <t>Serv.Prest. 08/09/2025 a 14/09/2025 - PIX: CELULAR - CHAVE: (33) 99172-0627</t>
  </si>
  <si>
    <t>Serv.Prest. 08/09/2025 a 14/09/2025 - PIX: CELULAR - CHAVE: (33) 99981-6650</t>
  </si>
  <si>
    <t>Serv.Prest. 08/09/2025 a 14/09/2025 - PIX: CPF - CHAVE: 101.220.976-88</t>
  </si>
  <si>
    <t>Serv.Prest. 08/09/2025 a 14/09/2025 - PIX: CPF - CHAVE: 129.269.326-69</t>
  </si>
  <si>
    <t>Serv.Prest. 08/09/2025 a 14/09/2025 - PIX: CPF - CHAVE: 705.097.186-39</t>
  </si>
  <si>
    <t>Serv.Prest. 08/09/2025 a 14/09/2025 - PIX: CELULAR - CHAVE: (31) 98412-5118</t>
  </si>
  <si>
    <t>Serv.Prest. 08/09/2025 a 14/09/2025 - PIX: CELULAR - CHAVE: (33) 98427-3872</t>
  </si>
  <si>
    <t>Serv.Prest. 08/09/2025 a 14/09/2025 - PIX: CELULAR - CHAVE: (33) 99815-2379</t>
  </si>
  <si>
    <t>Serv.Prest. 08/09/2025 a 14/09/2025 - PIX: CPF - CHAVE: 705.849.816-43</t>
  </si>
  <si>
    <t>Serv.Prest. 08/09/2025 a 14/09/2025 - PIX: E-MAIL - CHAVE: meamatheusvieira@gmail.com</t>
  </si>
  <si>
    <t>Serv.Prest. 08/09/2025 a 14/09/2025 - PIX: CPF - CHAVE: 163.330.766-27</t>
  </si>
  <si>
    <t>Serv.Prest. 08/09/2025 a 14/09/2025 - PIX: CELULAR - CHAVE: (31) 99076-6539</t>
  </si>
  <si>
    <t>Serv.Prest. 08/09/2025 a 14/09/2025 - PIX: CELULAR - CHAVE: (33) 99845-0493</t>
  </si>
  <si>
    <t>Serv.Prest. 08/09/2025 a 14/09/2025 - PIX: CPF - CHAVE: 123.020.026-60</t>
  </si>
  <si>
    <t>Serv.Prest. 08/09/2025 a 14/09/2025 - PIX: CPF - CHAVE: 108.680.396-59</t>
  </si>
  <si>
    <t>Serv.Prest. 08/09/2025 a 14/09/2025 - PIX: CPF - CHAVE: 037.974.316-78</t>
  </si>
  <si>
    <t>Serv.Prest. 08/09/2025 a 14/09/2025 - PIX: CELULAR - CHAVE: (31) 99216-8711</t>
  </si>
  <si>
    <t>Serv.Prest. 08/09/2025 a 14/09/2025 - PIX: CELULAR - CHAVE: (31) 97339-3761</t>
  </si>
  <si>
    <t>Serv.Prest. 08/09/2025 a 14/09/2025 - PIX: CELULAR - CHAVE: (35) 99264-4504</t>
  </si>
  <si>
    <t>Serv.Prest. 08/09/2025 a 14/09/2025 - PIX: CELULAR - CHAVE: (31) 99959-5414</t>
  </si>
  <si>
    <t>Serv.Prest. 08/09/2025 a 14/09/2025 - PIX: CPF - CHAVE: 012.783.036-77</t>
  </si>
  <si>
    <t>Serv.Prest. 08/09/2025 a 14/09/2025 - PIX: CELULAR - CHAVE: (31) 98891-8440</t>
  </si>
  <si>
    <t>Serv.Prest. 08/09/2025 a 14/09/2025 - PIX: E-MAIL - CHAVE: roger.l.borges04@gmail.com</t>
  </si>
  <si>
    <t>Serv.Prest. 08/09/2025 a 14/09/2025 - PIX: CELULAR - CHAVE: (33) 98840-0998</t>
  </si>
  <si>
    <t>Serv.Prest. 08/09/2025 a 14/09/2025 - PIX: CPF - CHAVE: 118.731.976-75</t>
  </si>
  <si>
    <t>Serv.Prest. 08/09/2025 a 14/09/2025 - PIX: CPF - CHAVE: 048.151.276-46</t>
  </si>
  <si>
    <t>Serv.Prest. 08/09/2025 a 14/09/2025 - PIX: CPF - CHAVE: 097.855.786-74</t>
  </si>
  <si>
    <t>Serv.Prest. 08/09/2025 a 14/09/2025 - PIX: CHAVE ALEATÓRIA - CHAVE: 1550e869-c9d7-4436-be93-6858fd0cb900</t>
  </si>
  <si>
    <t>Serv.Prest. 08/09/2025 a 14/09/2025 - PIX: CPF - CHAVE: 092.566.416-23</t>
  </si>
  <si>
    <t>Serv.Prest. 08/09/2025 a 14/09/2025 - PIX: CPF - CHAVE: 157.874.046-02</t>
  </si>
  <si>
    <t>Serv.Prest. 08/09/2025 a 14/09/2025 - PIX: CPF - CHAVE: 130.194.566-81</t>
  </si>
  <si>
    <t>Serv.Prest. 08/09/2025 a 14/09/2025 - PIX: CELULAR - CHAVE: (33) 99118-9032</t>
  </si>
  <si>
    <t>Serv.Prest. 08/09/2025 a 14/09/2025 - PIX: CPF - CHAVE: 170.180.266-01</t>
  </si>
  <si>
    <t>Serv.Prest. 08/09/2025 a 14/09/2025 - PIX: CELULAR - CHAVE: (31) 97251-6838</t>
  </si>
  <si>
    <t>Serv.Prest. 08/09/2025 a 14/09/2025 - PIX: CELULAR - CHAVE: (33) 98806-5772</t>
  </si>
  <si>
    <t>Serv.Prest. 08/09/2025 a 14/09/2025 - PIX: CELULAR - CHAVE: (33) 99996-3668</t>
  </si>
  <si>
    <t>Serv.Prest. 08/09/2025 a 14/09/2025 - PIX: CPF - CHAVE: 012.906.122-00</t>
  </si>
  <si>
    <t>Serv.Prest. 08/09/2025 a 14/09/2025 - PIX: E-MAIL - CHAVE: wilianvieirawrv3578@gmail.com</t>
  </si>
  <si>
    <t>Serv.Prest. 08/09/2025 a 14/09/2025 - PIX: CELULAR - CHAVE: (33) 99859-8751</t>
  </si>
  <si>
    <t>Serv.Prest. 08/09/2025 a 14/09/2025 - PIX: CPF - CHAVE: 079.930.865-07</t>
  </si>
  <si>
    <t>Serv.Prest. 08/09/2025 a 14/09/2025 - PIX: CELULAR - CHAVE: (27) 99811-6850</t>
  </si>
  <si>
    <t>Serv.Prest. 08/09/2025 a 14/09/2025 - PIX: CELULAR - CHAVE: (27) 99950-3450</t>
  </si>
  <si>
    <t>Serv.Prest. 08/09/2025 a 14/09/2025 - PIX: CNPJ - CHAVE: 40.359.224/0001-09</t>
  </si>
  <si>
    <t>Serv.Prest. 08/09/2025 a 14/09/2025 - PIX: CELULAR - CHAVE: (27) 99616-4468</t>
  </si>
  <si>
    <t>Serv.Prest. 08/09/2025 a 14/09/2025 - PIX: CELULAR - CHAVE: (73) 99167-5954</t>
  </si>
  <si>
    <t>Serv.Prest. 08/09/2025 a 14/09/2025 - PIX: CPF - CHAVE: 121.963.507-37</t>
  </si>
  <si>
    <t>Serv.Prest. 22/09/2025 a 28/09/2025 - PIX: CELULAR - CHAVE: (11) 95530-0331</t>
  </si>
  <si>
    <t>Serv.Prest. 15/09/2025 a 21/09/2025 - RPS: 1269 - NFSe: 3393</t>
  </si>
  <si>
    <t>Serv.Prest. 08/09/2025 a 14/09/2025 - RPS: 1236 - NFSe: 3360</t>
  </si>
  <si>
    <t>Serv.Prest. 15/09/2025 a 21/09/2025 - RPS: 1270 - NFSe: 3394</t>
  </si>
  <si>
    <t>Serv.Prest. 08/09/2025 a 14/09/2025 - RPS: 1235 - NFSe: 3359</t>
  </si>
  <si>
    <t>Serv.Prest. 15/09/2025 a 21/09/2025 - RPS: 1277 - NFSe: 3401</t>
  </si>
  <si>
    <t>Serv.Prest. 08/09/2025 a 14/09/2025 - RPS: 1237 - NFSe: 3361</t>
  </si>
  <si>
    <t>Serv.Prest. 15/09/2025 a 21/09/2025 - RPS: 1279 - NFSe: 3403</t>
  </si>
  <si>
    <t>Serv.Prest. 15/09/2025 a 21/09/2025 - RPS: 1272 - NFSe: 3396</t>
  </si>
  <si>
    <t>Serv.Prest. 15/09/2025 a 21/09/2025 - RPS: 1265 - NFSe: 3389</t>
  </si>
  <si>
    <t>Serv.Prest. 15/09/2025 a 21/09/2025 - RPS: 1258 - NFSe: 3382</t>
  </si>
  <si>
    <t>Serv.Prest. 15/09/2025 a 21/09/2025 - RPS: 1260 - NFSe: 3384</t>
  </si>
  <si>
    <t>Serv.Prest. 15/09/2025 a 21/09/2025 - RPS: 1253 - NFSe: 3377</t>
  </si>
  <si>
    <t>Serv.Prest. 15/09/2025 a 21/09/2025 - RPS: 1261 - NFSe: 3385</t>
  </si>
  <si>
    <t>Serv.Prest. 15/09/2025 a 21/09/2025 - RPS: 1257 - NFSe: 3381</t>
  </si>
  <si>
    <t>Serv.Prest. 08/09/2025 a 14/09/2025 - RPS: 1230 - NFSe: 3354</t>
  </si>
  <si>
    <t>Serv.Prest. 08/09/2025 a 14/09/2025 - RPS: 1231 - NFSe: 3355</t>
  </si>
  <si>
    <t>DEVOLUCAO VALOR RECEBIDO Serv.Prest. 08/09/2025 a 14/09/2025</t>
  </si>
  <si>
    <t>PLANO TELEMEDICINA COOPERADOS</t>
  </si>
  <si>
    <t>DIARIA 21/09/2025 - CANDEIAS - PIX: CPF - CHAVE: 048.672.645-20</t>
  </si>
  <si>
    <t>Serv.Prest. 22/09/2025 a 28/09/2025 - PIX: CPF - CHAVE: 052.353.883-99</t>
  </si>
  <si>
    <t>APLICAÇÃO BANCO A (121)</t>
  </si>
  <si>
    <t>DESPESAS COM VIAGENS COMERCIAIS (117)</t>
  </si>
  <si>
    <t>Serv.Prest. 15/09/2025 a 21/09/2025 - RPS: 1256 - NFSe: 3380</t>
  </si>
  <si>
    <t>Serv.Prest. 15/09/2025 a 21/09/2025 - RPS: 1271 - NFSe: 3395</t>
  </si>
  <si>
    <t>Serv.Prest. 22/09/2025 a 28/09/2025 - PIX: E-MAIL - CHAVE: natanlogin@outlook.com</t>
  </si>
  <si>
    <t>Serv.Prest. 22/09/2025 a 28/09/2025 - PIX: CPF - CHAVE: 135.353.446-46</t>
  </si>
  <si>
    <t>DESPESAS DE VIAGEM RECIFE</t>
  </si>
  <si>
    <t>Serv.Prest. 22/09/2025 a 28/09/2025 - PIX: CELULAR - CHAVE: (11) 99111-0464</t>
  </si>
  <si>
    <t>COMPRA DE FORNECEDOR EMBALAGENS</t>
  </si>
  <si>
    <t>Serv.Prest. 22/09/2025 a 28/09/2025 - PIX: CPF - CHAVE: 133.055.616-02</t>
  </si>
  <si>
    <t>Serv.Prest. 15/09/2025 a 21/09/2025 - PIX: CELULAR - CHAVE: (31) 99812-7173</t>
  </si>
  <si>
    <t>Serv.Prest. 22/09/2025 a 28/09/2025 - PIX: CELULAR - CHAVE: (19) 98944-4977</t>
  </si>
  <si>
    <t>Serv.Prest. 15/09/2025 a 21/09/2025 - PIX: CPF - CHAVE: 091.575.986-14</t>
  </si>
  <si>
    <t>REEMBOLSO FALTA DIA 21/09/2025</t>
  </si>
  <si>
    <t>Serv.Prest. 22/09/2025 a 28/09/2025 - PIX: CELULAR - CHAVE: (71) 99214-9256</t>
  </si>
  <si>
    <t>Serv.Prest. 22/09/2025 a 28/09/2025 - PIX: CPF - CHAVE: 012.600.851-55</t>
  </si>
  <si>
    <t>Serv.Prest. 15/09/2025 a 21/09/2025 - PIX: E-MAIL - CHAVE: sypedrinho@gmail.com</t>
  </si>
  <si>
    <t>Serv.Prest. 29/09/2025 a 05/10/2025 - PIX: E-MAIL - CHAVE: silvaalessandro3909@gmail.com</t>
  </si>
  <si>
    <t>Serv.Prest. 29/09/2025 a 05/10/2025 - PIX: CPF - CHAVE: 700.687.936-18</t>
  </si>
  <si>
    <t>Serv.Prest. 22/09/2025 a 25/09/2025 - PIX: CELULAR - CHAVE: (27) 99650-9691</t>
  </si>
  <si>
    <t>Serv.Prest. 22/09/2025 a 25/09/2025 - PIX: E-MAIL - CHAVE: ericsilva8marcena@gmail.com</t>
  </si>
  <si>
    <t>Serv.Prest. 22/09/2025 a 25/09/2025 - PIX: CELULAR - CHAVE: (31) 99373-5678</t>
  </si>
  <si>
    <t>Serv.Prest. 22/09/2025 a 25/09/2025 - PIX: CELULAR - CHAVE: (73) 988381077</t>
  </si>
  <si>
    <t>Serv.Prest. 22/09/2025 a 25/09/2025 - PIX: CELULAR - CHAVE: (32) 99913-0476</t>
  </si>
  <si>
    <t>Serv.Prest. 22/09/2025 a 28/09/2025 - PIX: CNPJ - CHAVE: 49.607.413/0001-28</t>
  </si>
  <si>
    <t>Serv.Prest. 22/09/2025 a 25/09/2025 - PIX: CPF - CHAVE: 096.891.935-97</t>
  </si>
  <si>
    <t>DIARIA 28/09/2025 - MATIPO - PIX CELULAR - CHAVE: (31) 9 9206-7115</t>
  </si>
  <si>
    <t>Serv.Prest. 26/09/2025 a 05/10/2025 - PIX: CELULAR - CHAVE: (31) 99680-9634</t>
  </si>
  <si>
    <t>DESENVOLVIMENTO MODULO ALTERACAO CONTA/COMPETENCIA - PIX - CNPJ: 21.866.827/0001-52</t>
  </si>
  <si>
    <t xml:space="preserve">DIARIA MOTOBOY </t>
  </si>
  <si>
    <t>DESESPESAS VIAGEM RECIFE</t>
  </si>
  <si>
    <t xml:space="preserve">Serv.Prest. 26/09/2025 a 05/10/2025 - PIX: CPF - CHAVE: 096.116.707-61 </t>
  </si>
  <si>
    <t>Serv.Prest. 22/09/2025 a 28/09/2025 - RPS: 1289 - NFSe: 3413</t>
  </si>
  <si>
    <t>Serv.Prest. 22/09/2025 a 28/09/2025 - RPS: 1292 - NFSe: 3416</t>
  </si>
  <si>
    <t>Serv.Prest. 22/09/2025 a 28/09/2025 - RPS: 1293 - NFSe: 3417</t>
  </si>
  <si>
    <t>Serv.Prest. 22/09/2025 a 28/09/2025 - RPS: 1303 - NFSe: 3427</t>
  </si>
  <si>
    <t>Serv.Prest. 22/09/2025 a 28/09/2025 - RPS: 1311 - NFSe: 3435</t>
  </si>
  <si>
    <t>Serv.Prest. 15/09/2025 a 21/09/2025 - RPS: 1273 - NFSe: 3397</t>
  </si>
  <si>
    <t>Serv.Prest. 15/09/2025 a 21/09/2025 - RPS: 1275 - NFSe: 3399</t>
  </si>
  <si>
    <t>Serv.Prest. 15/09/2025 a 21/09/2025 - RPS: 1274 - NFSe: 3398</t>
  </si>
  <si>
    <t>Serv.Prest. 15/09/2025 a 21/09/2025 - RPS: 1276 - NFSe: 3400</t>
  </si>
  <si>
    <t>IOF/JUROS/DESP.FINANCEIRA (401)</t>
  </si>
  <si>
    <t>Serv.Prest. 29/09/2025 a 05/10/2025 - PIX: CELULAR - CHAVE: (64) 97400-9101</t>
  </si>
  <si>
    <t>Serv.Prest. 29/09/2025 a 05/10/2025 - PIX: CELULAR - CHAVE: (11) 99111-0464</t>
  </si>
  <si>
    <t>DEVOLUCAO 5 COTAS COOPERATIVA</t>
  </si>
  <si>
    <t>Serv.Prest. 22/09/2025 a 28/09/2025 - PIX: CPF - CHAVE: 123.020.026-60</t>
  </si>
  <si>
    <t>Serv.Prest. 15/09/2025 a 21/09/2025 - PIX: CPF - CHAVE: 074.604.219-10</t>
  </si>
  <si>
    <t>Serv.Prest. 15/09/2025 a 21/09/2025 - PIX: CELULAR - CHAVE: (43) 99934-1696</t>
  </si>
  <si>
    <t>Serv.Prest. 15/09/2025 a 21/09/2025 - PIX: CPF - CHAVE: 012.783.036-77</t>
  </si>
  <si>
    <t>Serv.Prest. 15/09/2025 a 21/09/2025 - PIX: CELULAR - CHAVE: (31) 99959-5414</t>
  </si>
  <si>
    <t>DESC DE BAG, UNIFORME, PLANOS Serv.Prest. 15/09/2025 a 21/09/2025 - PIX: CELULAR - CHAVE: (35) 99264-4504</t>
  </si>
  <si>
    <t>Serv.Prest. 15/09/2025 a 21/09/2025 - PIX: CELULAR - CHAVE: (31) 97339-3761</t>
  </si>
  <si>
    <t>Serv.Prest. 15/09/2025 a 21/09/2025 - PIX: CELULAR - CHAVE: (31) 99216-8711</t>
  </si>
  <si>
    <t>Serv.Prest. 15/09/2025 a 21/09/2025 - PIX: CPF - CHAVE: 037.974.316-78</t>
  </si>
  <si>
    <t>Serv.Prest. 15/09/2025 a 21/09/2025 - PIX: CPF - CHAVE: 108.680.396-59</t>
  </si>
  <si>
    <t>Serv.Prest. 15/09/2025 a 21/09/2025 - PIX: CELULAR - CHAVE: (33) 98427-3872</t>
  </si>
  <si>
    <t>Serv.Prest. 15/09/2025 a 21/09/2025 - PIX: CELULAR - CHAVE: (31) 98412-5118</t>
  </si>
  <si>
    <t>Serv.Prest. 15/09/2025 a 21/09/2025 - PIX: CPF - CHAVE: 705.097.186-39</t>
  </si>
  <si>
    <t>Serv.Prest. 15/09/2025 a 21/09/2025 - PIX: CELULAR - CHAVE: (33) 98817-9868</t>
  </si>
  <si>
    <t>Serv.Prest. 15/09/2025 a 21/09/2025 - PIX: CPF - CHAVE: 123.020.026-60</t>
  </si>
  <si>
    <t>Serv.Prest. 15/09/2025 a 21/09/2025 - PIX: CELULAR - CHAVE: (33) 99845-0493</t>
  </si>
  <si>
    <t>Serv.Prest. 15/09/2025 a 21/09/2025 - PIX: CELULAR - CHAVE: (31) 99076-6539</t>
  </si>
  <si>
    <t>Serv.Prest. 15/09/2025 a 21/09/2025 - PIX: CPF - CHAVE: 163.330.766-27</t>
  </si>
  <si>
    <t>Serv.Prest. 15/09/2025 a 21/09/2025 - PIX: E-MAIL - CHAVE: meamatheusvieira@gmail.com</t>
  </si>
  <si>
    <t>Serv.Prest. 15/09/2025 a 21/09/2025 - PIX: CELULAR - CHAVE: (33) 98884-1637</t>
  </si>
  <si>
    <t>Serv.Prest. 15/09/2025 a 21/09/2025 - PIX: CELULAR - CHAVE: (33) 99194-2339</t>
  </si>
  <si>
    <t>Serv.Prest. 15/09/2025 a 21/09/2025 - PIX: CELULAR - CHAVE: (33) 99815-2379</t>
  </si>
  <si>
    <t>Serv.Prest. 15/09/2025 a 21/09/2025 - PIX: CPF - CHAVE: 129.269.326-69</t>
  </si>
  <si>
    <t>Serv.Prest. 15/09/2025 a 21/09/2025 - PIX: CPF - CHAVE: 101.220.976-88</t>
  </si>
  <si>
    <t>Serv.Prest. 15/09/2025 a 21/09/2025 - PIX: CELULAR - CHAVE: (33) 99981-6650</t>
  </si>
  <si>
    <t>Serv.Prest. 15/09/2025 a 21/09/2025 - PIX: CELULAR - CHAVE: (33) 99172-0627</t>
  </si>
  <si>
    <t>DESC DE BAG, UNIFORME, PLANOS Serv.Prest. 15/09/2025 a 21/09/2025 - PIX: CPF - CHAVE: 161.508.516-56</t>
  </si>
  <si>
    <t>Serv.Prest. 15/09/2025 a 21/09/2025 - PIX: CELULAR - CHAVE: (33) 98749-4693</t>
  </si>
  <si>
    <t>Serv.Prest. 15/09/2025 a 21/09/2025 - PIX: CELULAR - CHAVE: (31) 99850-4727</t>
  </si>
  <si>
    <t>Serv.Prest. 15/09/2025 a 21/09/2025 - PIX: CELULAR - CHAVE: (33) 98463-0821</t>
  </si>
  <si>
    <t>Serv.Prest. 15/09/2025 a 21/09/2025 - PIX: CHAVE ALEATÓRIA - CHAVE: c489bee1-360b-4fa9-86c4-fbb0e9844cb8</t>
  </si>
  <si>
    <t>Serv.Prest. 15/09/2025 a 21/09/2025 - PIX: CELULAR - CHAVE: (33) 99106-9330</t>
  </si>
  <si>
    <t>Serv.Prest. 15/09/2025 a 21/09/2025 - PIX: CPF - CHAVE: 077.488.126-75</t>
  </si>
  <si>
    <t>Serv.Prest. 15/09/2025 a 21/09/2025 - PIX: CPF - CHAVE: 012.459.366-62</t>
  </si>
  <si>
    <t>Serv.Prest. 15/09/2025 a 21/09/2025 - PIX: CPF - CHAVE: 043.301.196-33</t>
  </si>
  <si>
    <t>Serv.Prest. 15/09/2025 a 21/09/2025 - PIX: CPF - CHAVE: 602.838.315-53</t>
  </si>
  <si>
    <t>Serv.Prest. 15/09/2025 a 21/09/2025 - PIX: E-MAIL - CHAVE: jhonantanlacerda@gmail.com</t>
  </si>
  <si>
    <t>Serv.Prest. 15/09/2025 a 21/09/2025 - PIX: CELULAR - CHAVE: (33) 98836-6015</t>
  </si>
  <si>
    <t>Serv.Prest. 15/09/2025 a 21/09/2025 - PIX: CPF - CHAVE: 023.645.626-19</t>
  </si>
  <si>
    <t>Serv.Prest. 15/09/2025 a 21/09/2025 - PIX: CPF - CHAVE: 126.873.296-65</t>
  </si>
  <si>
    <t>Serv.Prest. 15/09/2025 a 21/09/2025 - PIX: CPF - CHAVE: 121.297.376-33</t>
  </si>
  <si>
    <t>Serv.Prest. 15/09/2025 a 21/09/2025 - PIX: CPF - CHAVE: 067.393.286-92</t>
  </si>
  <si>
    <t>Serv.Prest. 15/09/2025 a 21/09/2025 - PIX: CPF - CHAVE: 113.084.266-58</t>
  </si>
  <si>
    <t>Serv.Prest. 15/09/2025 a 21/09/2025 - PIX: CELULAR - CHAVE: (31) 99816-8965</t>
  </si>
  <si>
    <t>Serv.Prest. 15/09/2025 a 21/09/2025 - PIX: CELULAR - CHAVE: (33) 99706-4860</t>
  </si>
  <si>
    <t>Serv.Prest. 15/09/2025 a 21/09/2025 - PIX: CPF - CHAVE: 386.313.426-53</t>
  </si>
  <si>
    <t>Serv.Prest. 15/09/2025 a 21/09/2025 - PIX: CPF - CHAVE: 179.800.027-09</t>
  </si>
  <si>
    <t>Serv.Prest. 15/09/2025 a 21/09/2025 - PIX: CPF - CHAVE: 160.160.216-28</t>
  </si>
  <si>
    <t>Serv.Prest. 15/09/2025 a 21/09/2025 - PIX: CELULAR - CHAVE: (31) 98483-3242</t>
  </si>
  <si>
    <t>Serv.Prest. 15/09/2025 a 21/09/2025 - PIX: CPF - CHAVE: 070.073.316-70</t>
  </si>
  <si>
    <t>Serv.Prest. 15/09/2025 a 21/09/2025 - PIX: CPF - CHAVE: 141.134.256-98</t>
  </si>
  <si>
    <t>Serv.Prest. 15/09/2025 a 21/09/2025 - PIX: CELULAR - CHAVE: (33) 99199-7983</t>
  </si>
  <si>
    <t>Serv.Prest. 15/09/2025 a 21/09/2025 - PIX: CELULAR - CHAVE: (33) 98890-5095</t>
  </si>
  <si>
    <t>Serv.Prest. 15/09/2025 a 21/09/2025 - PIX: CPF - CHAVE: 102.023.716-38</t>
  </si>
  <si>
    <t>Serv.Prest. 15/09/2025 a 21/09/2025 - PIX: E-MAIL - CHAVE: turano296801@gmail.com</t>
  </si>
  <si>
    <t>Serv.Prest. 15/09/2025 a 21/09/2025 - PIX: CELULAR - CHAVE: (31) 99610-7049</t>
  </si>
  <si>
    <t>Serv.Prest. 15/09/2025 a 21/09/2025 - PIX: CELULAR - CHAVE: (33) 99802-1883</t>
  </si>
  <si>
    <t>Serv.Prest. 15/09/2025 a 21/09/2025 - PIX: CELULAR - CHAVE: (33) 98749-5105</t>
  </si>
  <si>
    <t>Serv.Prest. 15/09/2025 a 21/09/2025 - PIX: CPF - CHAVE: 110.483.296-82</t>
  </si>
  <si>
    <t>Serv.Prest. 15/09/2025 a 21/09/2025 - PIX: CELULAR - CHAVE: (32) 99177-6167</t>
  </si>
  <si>
    <t>Serv.Prest. 15/09/2025 a 21/09/2025 - PIX: CELULAR - CHAVE: (31) 98511-2851</t>
  </si>
  <si>
    <t>Serv.Prest. 15/09/2025 a 21/09/2025 - PIX: CELULAR - CHAVE: (33) 98845-4528</t>
  </si>
  <si>
    <t>DESC DE BAG, UNIFORME, PLANOS Serv.Prest. 15/09/2025 a 21/09/2025 - PIX: CELULAR - CHAVE: (32) 99166-8238</t>
  </si>
  <si>
    <t>Serv.Prest. 15/09/2025 a 21/09/2025 - PIX: CELULAR - CHAVE: (32) 98896-0708</t>
  </si>
  <si>
    <t>Serv.Prest. 15/09/2025 a 21/09/2025 - PIX: CPF - CHAVE: 155.328.666-94</t>
  </si>
  <si>
    <t>Serv.Prest. 15/09/2025 a 21/09/2025 - PIX: CPF - CHAVE: 137.446.146-62</t>
  </si>
  <si>
    <t>Serv.Prest. 15/09/2025 a 21/09/2025 - PIX: CPF - CHAVE: 037.192.076-09</t>
  </si>
  <si>
    <t>Serv.Prest. 15/09/2025 a 21/09/2025 - PIX: E-MAIL - CHAVE: anissoanidaldepaula@gmail.com</t>
  </si>
  <si>
    <t>Serv.Prest. 15/09/2025 a 21/09/2025 - PIX: CPF - CHAVE: 099.626.666-60</t>
  </si>
  <si>
    <t>Serv.Prest. 15/09/2025 a 21/09/2025 - PIX: CELULAR - CHAVE: (33) 99877-0415</t>
  </si>
  <si>
    <t>Serv.Prest. 15/09/2025 a 21/09/2025 - PIX: CPF - CHAVE: 021.178.446-00</t>
  </si>
  <si>
    <t>ADIANTAMENTO LIDERANÇA</t>
  </si>
  <si>
    <t>Serv.Prest. 15/09/2025 a 21/09/2025 - PIX: CPF - CHAVE: 975.425.989-53</t>
  </si>
  <si>
    <t>Serv.Prest. 15/09/2025 a 21/09/2025 - PIX: E-MAIL - CHAVE: alanacosta1999@gmail.com</t>
  </si>
  <si>
    <t>Serv.Prest. 15/09/2025 a 21/09/2025 - PIX: CPF - CHAVE: 079.068.045-97</t>
  </si>
  <si>
    <t>DESC DE BAG, UNIFORME, PLANOS Serv.Prest. 15/09/2025 a 21/09/2025 - PIX: CELULAR - CHAVE: (73) 99818-9718</t>
  </si>
  <si>
    <t>Serv.Prest. 15/09/2025 a 21/09/2025 - PIX: CELULAR - CHAVE: (73) 99977-2721</t>
  </si>
  <si>
    <t>Serv.Prest. 15/09/2025 a 21/09/2025 - PIX: CPF - CHAVE: 007.842.745-25</t>
  </si>
  <si>
    <t>Serv.Prest. 15/09/2025 a 21/09/2025 - PIX: CNPJ - CHAVE: 33.412.676/0001-41</t>
  </si>
  <si>
    <t>Serv.Prest. 15/09/2025 a 21/09/2025 - PIX: CPF - CHAVE: 003.157.195-67</t>
  </si>
  <si>
    <t>Serv.Prest. 15/09/2025 a 21/09/2025 - PIX: CELULAR - CHAVE: (73) 99967-3239</t>
  </si>
  <si>
    <t>Serv.Prest. 15/09/2025 a 21/09/2025 - PIX: CELULAR - CHAVE: (73) 99803-0715</t>
  </si>
  <si>
    <t>Serv.Prest. 15/09/2025 a 21/09/2025 - PIX: CPF - CHAVE: 094.700.685-05</t>
  </si>
  <si>
    <t>Serv.Prest. 15/09/2025 a 21/09/2025 - PIX: CELULAR - CHAVE: (73) 98105-2187</t>
  </si>
  <si>
    <t>Serv.Prest. 15/09/2025 a 21/09/2025 - PIX: CPF - CHAVE: 860.305.455-07</t>
  </si>
  <si>
    <t>Serv.Prest. 15/09/2025 a 21/09/2025 - PIX: CPF - CHAVE: 035.018.455-02</t>
  </si>
  <si>
    <t>Serv.Prest. 15/09/2025 a 21/09/2025 - PIX: CELULAR - CHAVE: (73) 99115-9602</t>
  </si>
  <si>
    <t>Serv.Prest. 15/09/2025 a 21/09/2025 - PIX: CPF - CHAVE: 439.169.103-53</t>
  </si>
  <si>
    <t>Serv.Prest. 15/09/2025 a 21/09/2025 - PIX: CELULAR - CHAVE: (73) 98888-3793</t>
  </si>
  <si>
    <t>Serv.Prest. 15/09/2025 a 21/09/2025 - PIX: CELULAR - CHAVE: (73) 99941-8352</t>
  </si>
  <si>
    <t>Serv.Prest. 15/09/2025 a 21/09/2025 - PIX: E-MAIL - CHAVE: ericgomes508@gmail.com</t>
  </si>
  <si>
    <t>Serv.Prest. 15/09/2025 a 21/09/2025 - PIX: CPF - CHAVE: 094.947.395-23</t>
  </si>
  <si>
    <t>Serv.Prest. 15/09/2025 a 21/09/2025 - PIX: CELULAR - CHAVE: (73) 99966-7211</t>
  </si>
  <si>
    <t>Serv.Prest. 15/09/2025 a 21/09/2025 - PIX: CPF - CHAVE: 036.875.515-04</t>
  </si>
  <si>
    <t>Serv.Prest. 15/09/2025 a 21/09/2025 - PIX: CELULAR - CHAVE: (33) 99859-8751</t>
  </si>
  <si>
    <t>Serv.Prest. 15/09/2025 a 21/09/2025 - PIX: E-MAIL - CHAVE: wilianvieirawrv3578@gmail.com</t>
  </si>
  <si>
    <t>Serv.Prest. 15/09/2025 a 21/09/2025 - PIX: CPF - CHAVE: 012.906.122-00</t>
  </si>
  <si>
    <t>Serv.Prest. 15/09/2025 a 21/09/2025 - PIX: CELULAR - CHAVE: (33) 99996-3668</t>
  </si>
  <si>
    <t>Serv.Prest. 15/09/2025 a 21/09/2025 - PIX: CELULAR - CHAVE: (33) 98806-5772</t>
  </si>
  <si>
    <t>Serv.Prest. 15/09/2025 a 21/09/2025 - PIX: CPF - CHAVE: 700.454.836-80</t>
  </si>
  <si>
    <t>Serv.Prest. 15/09/2025 a 21/09/2025 - PIX: CELULAR - CHAVE: (32) 99800-1691</t>
  </si>
  <si>
    <t>Serv.Prest. 15/09/2025 a 21/09/2025 - PIX: CELULAR - CHAVE: (31) 97251-6838</t>
  </si>
  <si>
    <t>Serv.Prest. 15/09/2025 a 21/09/2025 - PIX: CELULAR - CHAVE: (33) 99118-9032</t>
  </si>
  <si>
    <t>Serv.Prest. 15/09/2025 a 21/09/2025 - PIX: CPF - CHAVE: 130.194.566-81</t>
  </si>
  <si>
    <t>Serv.Prest. 15/09/2025 a 21/09/2025 - PIX: CHAVE ALEATÓRIA - CHAVE: 1550e869-c9d7-4436-be93-6858fd0cb900</t>
  </si>
  <si>
    <t>Serv.Prest. 15/09/2025 a 21/09/2025 - PIX: CPF - CHAVE: 097.855.786-74</t>
  </si>
  <si>
    <t>Serv.Prest. 15/09/2025 a 21/09/2025 - PIX: CPF - CHAVE: 048.151.276-46</t>
  </si>
  <si>
    <t>Serv.Prest. 15/09/2025 a 21/09/2025 - PIX: CPF - CHAVE: 118.731.976-75</t>
  </si>
  <si>
    <t>Serv.Prest. 15/09/2025 a 21/09/2025 - PIX: CELULAR - CHAVE: (33) 98840-0998</t>
  </si>
  <si>
    <t>Serv.Prest. 15/09/2025 a 21/09/2025 - PIX: E-MAIL - CHAVE: roger.l.borges04@gmail.com</t>
  </si>
  <si>
    <t>Serv.Prest. 15/09/2025 a 21/09/2025 - PIX: CELULAR - CHAVE: (31) 98891-8440</t>
  </si>
  <si>
    <t>Serv.Prest. 15/09/2025 a 21/09/2025 - PIX: CPF - CHAVE: 121.963.507-37</t>
  </si>
  <si>
    <t>Serv.Prest. 15/09/2025 a 21/09/2025 - PIX: CELULAR - CHAVE: (73) 99167-5954</t>
  </si>
  <si>
    <t>Serv.Prest. 15/09/2025 a 21/09/2025 - PIX: CELULAR - CHAVE: (27) 99616-4468</t>
  </si>
  <si>
    <t>Serv.Prest. 15/09/2025 a 21/09/2025 - PIX: CNPJ - CHAVE: 40.359.224/0001-09</t>
  </si>
  <si>
    <t>Serv.Prest. 15/09/2025 a 21/09/2025 - PIX: CELULAR - CHAVE: (27) 99950-3450</t>
  </si>
  <si>
    <t>Serv.Prest. 15/09/2025 a 21/09/2025 - PIX: CELULAR - CHAVE: (27) 99811-6850</t>
  </si>
  <si>
    <t>Serv.Prest. 15/09/2025 a 21/09/2025 - PIX: CPF - CHAVE: 079.930.865-07</t>
  </si>
  <si>
    <t>DESC DE BAG, UNIFORME, PLANOS Serv.Prest. 22/09/2025 a 25/09/2025 - PIX: CELULAR - CHAVE: (73) 98191-0061</t>
  </si>
  <si>
    <t>Serv.Prest. 22/09/2025 a 25/09/2025 - PIX: CELULAR - CHAVE: (33) 98857-0494</t>
  </si>
  <si>
    <t>Serv.Prest. 22/09/2025 a 25/09/2025 - PIX: CPF - CHAVE: 021.178.446-00</t>
  </si>
  <si>
    <t>Serv.Prest. 22/09/2025 a 25/09/2025 - PIX: CPF - CHAVE: 378.223.888-51</t>
  </si>
  <si>
    <t>Serv.Prest. 22/09/2025 a 25/09/2025 - PIX: CPF - CHAVE: 009.265.655-24</t>
  </si>
  <si>
    <t>Serv.Prest. 22/09/2025 a 25/09/2025 - PIX: CPF - CHAVE: 007.842.745-25</t>
  </si>
  <si>
    <t>Serv.Prest. 15/09/2025 a 21/09/2025 - PIX: CPF - CHAVE: 004.682.359-06</t>
  </si>
  <si>
    <t>Serv.Prest. 15/09/2025 a 21/09/2025 - PIX: CELULAR - CHAVE: (43) 99630-7532</t>
  </si>
  <si>
    <t>Serv.Prest. 15/09/2025 a 21/09/2025 - PIX: CPF - CHAVE: 878.196.869-87</t>
  </si>
  <si>
    <t>Serv.Prest. 22/09/2025 a 25/09/2025 - PIX: CPF - CHAVE: 701.955.866-62</t>
  </si>
  <si>
    <t>Serv.Prest. 22/09/2025 a 25/09/2025 - PIX: CELULAR - CHAVE: (33) 99880-7941</t>
  </si>
  <si>
    <t>Serv.Prest. 22/09/2025 a 25/09/2025 - PIX: CPF - CHAVE: 097.245.586-81</t>
  </si>
  <si>
    <t>Serv.Prest. 22/09/2025 a 28/09/2025 - PIX: CELULAR - CHAVE: (62) 99550-3226</t>
  </si>
  <si>
    <t>Serv.Prest. 22/09/2025 a 28/09/2025 - PIX: CELULAR - CHAVE: (11) 95552-9905</t>
  </si>
  <si>
    <t>Serv.Prest. 22/09/2025 a 28/09/2025 - PIX: CPF - CHAVE: 505.341.528-56</t>
  </si>
  <si>
    <t>Serv.Prest. 22/09/2025 a 28/09/2025 - PIX: CELULAR - CHAVE: (11) 91214-6176</t>
  </si>
  <si>
    <t>Serv.Prest. 22/09/2025 a 28/09/2025 - PIX: CELULAR - CHAVE: (31) 99376-7989</t>
  </si>
  <si>
    <t>Serv.Prest. 22/09/2025 a 28/09/2025 - PIX: CPF - CHAVE: 103.983.366-79</t>
  </si>
  <si>
    <t>Serv.Prest. 22/09/2025 a 28/09/2025 - PIX: CPF - CHAVE: 138.263.636-98</t>
  </si>
  <si>
    <t>Serv.Prest. 22/09/2025 a 28/09/2025 - PIX: CPF - CHAVE: 128.367.756-37</t>
  </si>
  <si>
    <t>Serv.Prest. 22/09/2025 a 28/09/2025 - PIX: CPF - CHAVE: 147.592.156-03</t>
  </si>
  <si>
    <t>Serv.Prest. 22/09/2025 a 28/09/2025 - PIX: CPF - CHAVE: 138.798.486-10</t>
  </si>
  <si>
    <t>Serv.Prest. 22/09/2025 a 28/09/2025 - PIX: CPF - CHAVE: 707.468.161-03</t>
  </si>
  <si>
    <t>Serv.Prest. 22/09/2025 a 28/09/2025 - PIX: CPF - CHAVE: 157.591.436-03</t>
  </si>
  <si>
    <t>Serv.Prest. 22/09/2025 a 28/09/2025 - PIX: CELULAR - CHAVE: (32) 99920-0416</t>
  </si>
  <si>
    <t>Serv.Prest. 22/09/2025 a 28/09/2025 - PIX: CNPJ - CHAVE: 51.676.704/0001-10</t>
  </si>
  <si>
    <t>Serv.Prest. 22/09/2025 a 28/09/2025 - PIX: CPF - CHAVE: 140.108.466-40</t>
  </si>
  <si>
    <t>Serv.Prest. 22/09/2025 a 28/09/2025 - PIX: CPF - CHAVE: 080.965.696-51</t>
  </si>
  <si>
    <t>Serv.Prest. 22/09/2025 a 28/09/2025 - PIX: CPF - CHAVE: 396.124.108-28</t>
  </si>
  <si>
    <t>Serv.Prest. 22/09/2025 a 28/09/2025 - PIX: CELULAR - CHAVE: (37) 99146-2630</t>
  </si>
  <si>
    <t>Serv.Prest. 22/09/2025 a 28/09/2025 - PIX: CPF - CHAVE: 090.332.006-19</t>
  </si>
  <si>
    <t>Serv.Prest. 22/09/2025 a 28/09/2025 - PIX: CELULAR - CHAVE: (37) 99197-6834</t>
  </si>
  <si>
    <t>Serv.Prest. 22/09/2025 a 28/09/2025 - PIX: CPF - CHAVE: 950.176.406-06</t>
  </si>
  <si>
    <t>Serv.Prest. 22/09/2025 a 28/09/2025 - PIX: CELULAR - CHAVE: (37) 99138-1777</t>
  </si>
  <si>
    <t>Serv.Prest. 22/09/2025 a 28/09/2025 - PIX: CELULAR - CHAVE: (37) 98841-8571</t>
  </si>
  <si>
    <t>Serv.Prest. 22/09/2025 a 28/09/2025 - PIX: CPF - CHAVE: 463.491.858-70</t>
  </si>
  <si>
    <t>Serv.Prest. 22/09/2025 a 28/09/2025 - PIX: CELULAR - CHAVE: (11) 97402-1586</t>
  </si>
  <si>
    <t>Serv.Prest. 22/09/2025 a 28/09/2025 - PIX: CELULAR - CHAVE: (11) 99992-0816</t>
  </si>
  <si>
    <t>Serv.Prest. 22/09/2025 a 28/09/2025 - PIX: CELULAR - CHAVE: (33) 99924-7557</t>
  </si>
  <si>
    <t>Serv.Prest. 22/09/2025 a 28/09/2025 - PIX: CPF - CHAVE: 100.826.516-04</t>
  </si>
  <si>
    <t>Serv.Prest. 22/09/2025 a 28/09/2025 - PIX: CPF - CHAVE: 126.686.406-79</t>
  </si>
  <si>
    <t>Serv.Prest. 22/09/2025 a 28/09/2025 - PIX: CPF - CHAVE: 016.203.336-27</t>
  </si>
  <si>
    <t>Serv.Prest. 22/09/2025 a 28/09/2025 - PIX: E-MAIL - CHAVE: claudioverdinho2009@hotmail.com</t>
  </si>
  <si>
    <t>Serv.Prest. 22/09/2025 a 28/09/2025 - PIX: CELULAR - CHAVE: (41) 98421-2278</t>
  </si>
  <si>
    <t>Serv.Prest. 22/09/2025 a 28/09/2025 - PIX: CPF - CHAVE: 124.575.099-20</t>
  </si>
  <si>
    <t>Serv.Prest. 22/09/2025 a 28/09/2025 - PIX: CELULAR - CHAVE: (28) 99988-2177</t>
  </si>
  <si>
    <t>Serv.Prest. 22/09/2025 a 28/09/2025 - PIX: CELULAR - CHAVE: (28) 98816-4170</t>
  </si>
  <si>
    <t>Serv.Prest. 22/09/2025 a 28/09/2025 - PIX: CELULAR - CHAVE: (34) 99772-2954</t>
  </si>
  <si>
    <t>Serv.Prest. 22/09/2025 a 28/09/2025 - PIX: CPF - CHAVE: 427.090.718-51</t>
  </si>
  <si>
    <t>Serv.Prest. 22/09/2025 a 28/09/2025 - PIX: CELULAR - CHAVE: (11) 95038-0621</t>
  </si>
  <si>
    <t>Serv.Prest. 22/09/2025 a 28/09/2025 - PIX: CELULAR - CHAVE: (11) 98447-6954</t>
  </si>
  <si>
    <t>Serv.Prest. 22/09/2025 a 28/09/2025 - PIX: CPF - CHAVE: 383.328.968-60</t>
  </si>
  <si>
    <t>Serv.Prest. 22/09/2025 a 28/09/2025 - PIX: CELULAR - CHAVE: (11) 95202-7513</t>
  </si>
  <si>
    <t>Serv.Prest. 22/09/2025 a 28/09/2025 - PIX: CPF - CHAVE: 325.815.008-75</t>
  </si>
  <si>
    <t>Serv.Prest. 22/09/2025 a 28/09/2025 - PIX: CELULAR - CHAVE: (71) 99696-7530</t>
  </si>
  <si>
    <t>Serv.Prest. 22/09/2025 a 28/09/2025 - PIX: E-MAIL - CHAVE: edvam18.alves@gmail.com</t>
  </si>
  <si>
    <t>Serv.Prest. 22/09/2025 a 28/09/2025 - PIX: CPF - CHAVE: 048.672.645-20</t>
  </si>
  <si>
    <t>Serv.Prest. 15/09/2025 a 21/09/2025 - RPS: 1283 - NFSe: 3407</t>
  </si>
  <si>
    <t>Serv.Prest. 15/09/2025 a 21/09/2025 - RPS: 1282 - NFSe: 3406</t>
  </si>
  <si>
    <t>Serv.Prest. 15/09/2025 a 21/09/2025 - RPS: 1281 - NFSe: 3405</t>
  </si>
  <si>
    <t>Serv.Prest. 22/09/2025 a 28/09/2025 - RPS: 1288 - NFSe: 3412</t>
  </si>
  <si>
    <t>Serv.Prest. 22/09/2025 a 28/09/2025 - RPS: 1291 - NFSe: 3415</t>
  </si>
  <si>
    <t>Serv.Prest. 22/09/2025 a 28/09/2025 - RPS: 1294 - NFSe: 3418</t>
  </si>
  <si>
    <t>Serv.Prest. 22/09/2025 a 28/09/2025 - RPS: 1295 - NFSe: 3419</t>
  </si>
  <si>
    <t>Serv.Prest. 22/09/2025 a 28/09/2025 - RPS: 1296 - NFSe: 3420</t>
  </si>
  <si>
    <t>Serv.Prest. 22/09/2025 a 28/09/2025 - RPS: 1298 - NFSe: 3422</t>
  </si>
  <si>
    <t>Serv.Prest. 22/09/2025 a 28/09/2025 - RPS: 1299 - NFSe: 3423</t>
  </si>
  <si>
    <t>Serv.Prest. 22/09/2025 a 28/09/2025 - RPS: 1304 - NFSe: 3428</t>
  </si>
  <si>
    <t>Serv.Prest. 22/09/2025 a 28/09/2025 - RPS: 1305 - NFSe: 3429</t>
  </si>
  <si>
    <t>Serv.Prest. 22/09/2025 a 28/09/2025 - RPS: 1306 - NFSe: 3430</t>
  </si>
  <si>
    <t>Serv.Prest. 22/09/2025 a 28/09/2025 - RPS: 1312 - NFSe: 3436</t>
  </si>
  <si>
    <t>Serv.Prest. 22/09/2025 a 28/09/2025 - RPS: 1308 - NFSe: 3432</t>
  </si>
  <si>
    <t>Serv.Prest. 22/09/2025 a 28/09/2025 - RPS: 1309 - NFSe: 3433</t>
  </si>
  <si>
    <t>Serv.Prest. 22/09/2025 a 28/09/2025 - RPS: 1310 - NFSe: 3434</t>
  </si>
  <si>
    <t>Serv.Prest. 29/09/2025 a 05/10/2025 - PIX: CELULAR - CHAVE: (19) 98944-4977</t>
  </si>
  <si>
    <t>Serv.Prest. 29/09/2025 a 05/10/2025 - PIX: CPF - CHAVE: 343.022.318-07</t>
  </si>
  <si>
    <t>Serv.Prest. 15/09/2025 a 21/09/2025 - PIX: CPF - CHAVE: 170.180.266-01</t>
  </si>
  <si>
    <t>Serv.Prest. 22/09/2025 a 28/09/2025 - RPS: 1290 - NFSe: 3414</t>
  </si>
  <si>
    <t>Serv.Prest. 22/09/2025 a 28/09/2025 - RPS: 1297 - NFSe: 3421</t>
  </si>
  <si>
    <t>Prestação de Serviço Mensal</t>
  </si>
  <si>
    <t>PRESTAÇÃO DE SERVIÇO MENSAL</t>
  </si>
  <si>
    <t>PAGAMENTO SERVIÇO MENSAL REF. 09/2025</t>
  </si>
  <si>
    <t>PAGAMENTO PRESTACAO DE SERVIÇOS MARKETING 09/2025</t>
  </si>
  <si>
    <t>PRESTACAO DE SERVICOS MES 09/2025</t>
  </si>
  <si>
    <t>PRESTACAO DE SERVICOS 09/2025</t>
  </si>
  <si>
    <t>SERVIDOR SITE COOPERATIVA - coopmob.com.br (03/10/2025 - 02/11/2025)</t>
  </si>
  <si>
    <t>BOLSA ESTAGIO SETEMBRO/2025</t>
  </si>
  <si>
    <t>VALE TRANSPORTE OUTUBRO/2025 04 DIAS</t>
  </si>
  <si>
    <t>VALE TRANSPORTE - OUTUBRO/2025 - 04 DIAS</t>
  </si>
  <si>
    <t>VALE TRANSPORTE - OUTUBRO/25 - 04 DIAS</t>
  </si>
  <si>
    <t>PAGAMENTO PRESTACAO SERVICOS MENSAL 09/2025</t>
  </si>
  <si>
    <t>Serv.Prest. 22/09/2025 a 28/09/2025 - RPS: 1300 - NFSe: 3424</t>
  </si>
  <si>
    <t xml:space="preserve">COMPRA DE EMBALAGENS </t>
  </si>
  <si>
    <t>OUTRAS DESPESAS / TAXAS</t>
  </si>
  <si>
    <t xml:space="preserve">PAGO PARA NATHANAEL </t>
  </si>
  <si>
    <t>Serv.Prest. 29/09/2025 a 05/10/2025 - PIX: CPF - CHAVE: 483.814.568-35</t>
  </si>
  <si>
    <t>Serv.Prest. 29/09/2025 a 05/10/2025 - PIX: CPF - CHAVE: 073.042.759-52</t>
  </si>
  <si>
    <t>PAGO PARA Leandro Ribeiro da Silva - PIX CPF 308.540.658-14</t>
  </si>
  <si>
    <t>Serv.Prest. 26/09/2025 a 05/10/2025 - PIX: CPF - CHAVE: 096.891.935-97</t>
  </si>
  <si>
    <t>Serv.Prest. 29/09/2025 a 05/10/2025 - PIX: CELULAR - CHAVE: (11) 99220-4018</t>
  </si>
  <si>
    <t>Serv.Prest. 29/09/2025 a 05/10/2025 - PIX: CPF - CHAVE: 052.353.883-99</t>
  </si>
  <si>
    <t>Serv.Prest. 29/09/2025 a 05/10/2025 - PIX: CPF - CHAVE: 157.591.436-03</t>
  </si>
  <si>
    <t>Serv.Prest. 26/09/2025 a 05/10/2025 - PIX: CPF - CHAVE: 094.947.395-23</t>
  </si>
  <si>
    <t>Serv.Prest. 26/09/2025 a 05/10/2025 - PIX: CPF - CHAVE: 141.994.266-20</t>
  </si>
  <si>
    <t>Serv.Prest. 26/09/2025 a 05/10/2025 - PIX: E-MAIL - CHAVE: ericsilva8marcena@gmail.com</t>
  </si>
  <si>
    <t>Serv.Prest. 26/09/2025 a 05/10/2025 - PIX: CELULAR - CHAVE: (31) 99373-5678</t>
  </si>
  <si>
    <t>Serv.Prest. 26/09/2025 a 05/10/2025 - PIX: CELULAR - CHAVE: (32) 99913-0476</t>
  </si>
  <si>
    <t>Serv.Prest. 29/09/2025 a 05/10/2025 - PIX: CELULAR - CHAVE: (11) 95906-5439</t>
  </si>
  <si>
    <t>Serv.Prest. 29/09/2025 a 05/10/2025 - PIX: CELULAR - CHAVE: (11) 94212-6784</t>
  </si>
  <si>
    <t>Serv.Prest. 29/09/2025 a 05/10/2025 - PIX: CPF - CHAVE: 106.393.056-10</t>
  </si>
  <si>
    <t>Serv.Prest. 26/09/2025 a 05/10/2025 - PIX: CELULAR - CHAVE: (73) 988381077</t>
  </si>
  <si>
    <t>Serv.Prest. 26/09/2025 a 05/10/2025 - PIX: CELULAR - CHAVE: (27) 99650-9691</t>
  </si>
  <si>
    <t>DEVOLUCAO 2 COTAS COOPERATIVA - PIX: CPF - CHAVE: 021.178.446-00</t>
  </si>
  <si>
    <t>PREMIO SOBRE VENDAS 09/2025</t>
  </si>
  <si>
    <t>COMISSÃO DE REPRESENTANTES</t>
  </si>
  <si>
    <t>Serv.Prest. 29/09/2025 a 05/10/2025 - PIX: CELULAR - CHAVE: (11) 97493-2917</t>
  </si>
  <si>
    <t>Serv.Prest. 22/09/2025 a 25/09/2025 - PIX: CELULAR - CHAVE: (31) 99680-9634</t>
  </si>
  <si>
    <t>Serv.Prest. 06/10/2025 a 12/10/2025 - PIX: CELULAR - CHAVE: (62) 99550-3226</t>
  </si>
  <si>
    <t>Serv.Prest. 06/10/2025 a 12/10/2025 - PIX: CPF - CHAVE: 423.098.018-36</t>
  </si>
  <si>
    <t>Serv.Prest. 06/10/2025 a 12/10/2025 - PIX: CELULAR - CHAVE: (11) 94281-7123</t>
  </si>
  <si>
    <t>Serv.Prest. 06/10/2025 a 12/10/2025 - PIX: CPF - CHAVE: 410.623.498-06</t>
  </si>
  <si>
    <t>Serv.Prest. 06/10/2025 a 12/10/2025 - PIX: CELULAR - CHAVE: (64) 97400-9101</t>
  </si>
  <si>
    <t>Serv.Prest. 22/09/2025 a 25/09/2025 - PIX: CPF - CHAVE: 174.029.607-90</t>
  </si>
  <si>
    <t>REEMBOLSO ADIANTAMENTO DIARIA</t>
  </si>
  <si>
    <t>Serv.Prest. 26/09/2025 a 05/10/2025 - PIX: CELULAR - CHAVE: (31) 99206-7115</t>
  </si>
  <si>
    <t>Serv.Prest. 26/09/2025 a 05/10/2025 - PIX: CPF - CHAVE: 378.223.888-51</t>
  </si>
  <si>
    <t>Serv.Prest. 26/09/2025 a 05/10/2025 - PIX: CELULAR - CHAVE: (73) 98191-0061</t>
  </si>
  <si>
    <t>Serv.Prest. 26/09/2025 a 05/10/2025 - PIX: CPF - CHAVE: 009.265.655-24</t>
  </si>
  <si>
    <t>Serv.Prest. 01/09/2025 a 30/09/2025 - PIX: NÃO CADASTRADO - CHAVE: CEF AG 2986 CONTA 2292-5 POUPANÇA</t>
  </si>
  <si>
    <t>Serv.Prest. 22/09/2025 a 28/09/2025 - PIX: E-MAIL - CHAVE: alanacosta1999@gmail.com</t>
  </si>
  <si>
    <t>Serv.Prest. 29/09/2025 a 05/10/2025 - PIX: CELULAR - CHAVE: (71) 99696-7530</t>
  </si>
  <si>
    <t>Serv.Prest. 22/09/2025 a 28/09/2025 - PIX: CPF - CHAVE: 975.425.989-53</t>
  </si>
  <si>
    <t>Serv.Prest. 22/09/2025 a 25/09/2025 - PIX: CPF - CHAVE: 099.626.666-60</t>
  </si>
  <si>
    <t>Serv.Prest. 29/09/2025 a 05/10/2025 - PIX: CELULAR - CHAVE: (32) 99920-0416</t>
  </si>
  <si>
    <t>Serv.Prest. 22/09/2025 a 25/09/2025 - PIX: CPF - CHAVE: 079.930.865-07</t>
  </si>
  <si>
    <t>Serv.Prest. 26/09/2025 a 05/10/2025 - PIX: E-MAIL - CHAVE: anissoanidaldepaula@gmail.com</t>
  </si>
  <si>
    <t>Serv.Prest. 29/09/2025 a 05/10/2025 - PIX: CPF - CHAVE: 103.983.366-79</t>
  </si>
  <si>
    <t>Serv.Prest. 22/09/2025 a 25/09/2025 - PIX: CPF - CHAVE: 037.192.076-09</t>
  </si>
  <si>
    <t>Serv.Prest. 22/09/2025 a 25/09/2025 - PIX: CELULAR - CHAVE: (33) 99110-6940</t>
  </si>
  <si>
    <t>Serv.Prest. 29/09/2025 a 05/10/2025 - PIX: CELULAR - CHAVE: (37) 99146-2630</t>
  </si>
  <si>
    <t>Serv.Prest. 29/09/2025 a 05/10/2025 - PIX: CNPJ - CHAVE: 51.676.704/0001-10</t>
  </si>
  <si>
    <t>Serv.Prest. 29/09/2025 a 05/10/2025 - PIX: CELULAR - CHAVE: (28) 99988-2177</t>
  </si>
  <si>
    <t>Serv.Prest. 22/09/2025 a 25/09/2025 - PIX: CPF - CHAVE: 155.328.666-94</t>
  </si>
  <si>
    <t>Serv.Prest. 22/09/2025 a 25/09/2025 - PIX: CELULAR - CHAVE: (32) 98896-0708</t>
  </si>
  <si>
    <t>Serv.Prest. 22/09/2025 a 25/09/2025 - PIX: CELULAR - CHAVE: (32) 99166-8238</t>
  </si>
  <si>
    <t>Serv.Prest. 22/09/2025 a 28/09/2025 - PIX: CELULAR - CHAVE: (43) 99630-7532</t>
  </si>
  <si>
    <t>Serv.Prest. 29/09/2025 a 05/10/2025 - PIX: E-MAIL - CHAVE: claudioverdinho2009@hotmail.com</t>
  </si>
  <si>
    <t>Serv.Prest. 22/09/2025 a 25/09/2025 - PIX: CELULAR - CHAVE: (32) 99177-6167</t>
  </si>
  <si>
    <t>Serv.Prest. 22/09/2025 a 25/09/2025 - PIX: CELULAR - CHAVE: (27) 99811-6850</t>
  </si>
  <si>
    <t>Serv.Prest. 22/09/2025 a 25/09/2025 - PIX: CELULAR - CHAVE: (33) 98749-5105</t>
  </si>
  <si>
    <t>Serv.Prest. 26/09/2025 a 05/10/2025 - PIX: CELULAR - CHAVE: (33) 99802-1883</t>
  </si>
  <si>
    <t>Serv.Prest. 29/09/2025 a 05/10/2025 - PIX: CELULAR - CHAVE: (62) 99550-3226</t>
  </si>
  <si>
    <t>Serv.Prest. 22/09/2025 a 25/09/2025 - PIX: CELULAR - CHAVE: (31) 99610-7049</t>
  </si>
  <si>
    <t>Serv.Prest. 22/09/2025 a 25/09/2025 - PIX: E-MAIL - CHAVE: turano296801@gmail.com</t>
  </si>
  <si>
    <t>Serv.Prest. 29/09/2025 a 05/10/2025 - PIX: CELULAR - CHAVE: (71) 99214-9256</t>
  </si>
  <si>
    <t>Serv.Prest. 22/09/2025 a 25/09/2025 - PIX: CPF - CHAVE: 141.134.256-98</t>
  </si>
  <si>
    <t>Serv.Prest. 29/09/2025 a 05/10/2025 - PIX: CELULAR - CHAVE: (11) 95552-9905</t>
  </si>
  <si>
    <t>Serv.Prest. 29/09/2025 a 05/10/2025 - PIX: CELULAR - CHAVE: (11) 97402-1586</t>
  </si>
  <si>
    <t>Serv.Prest. 29/09/2025 a 05/10/2025 - PIX: E-MAIL - CHAVE: edvam18.alves@gmail.com</t>
  </si>
  <si>
    <t>Serv.Prest. 29/09/2025 a 05/10/2025 - PIX: CPF - CHAVE: 048.672.645-20</t>
  </si>
  <si>
    <t>Serv.Prest. 29/09/2025 a 05/10/2025 - PIX: CPF - CHAVE: 463.491.858-70</t>
  </si>
  <si>
    <t>Serv.Prest. 22/09/2025 a 25/09/2025 - PIX: E-MAIL - CHAVE: ericgomes508@gmail.com</t>
  </si>
  <si>
    <t>Serv.Prest. 22/09/2025 a 25/09/2025 - PIX: CPF - CHAVE: 070.073.316-70</t>
  </si>
  <si>
    <t>Serv.Prest. 22/09/2025 a 25/09/2025 - PIX: CELULAR - CHAVE: (27) 99950-3450</t>
  </si>
  <si>
    <t>Serv.Prest. 29/09/2025 a 05/10/2025 - PIX: CPF - CHAVE: 138.798.486-10</t>
  </si>
  <si>
    <t>Serv.Prest. 22/09/2025 a 25/09/2025 - PIX: CELULAR - CHAVE: (31) 98483-3242</t>
  </si>
  <si>
    <t>Serv.Prest. 22/09/2025 a 28/09/2025 - PIX: CPF - CHAVE: 004.682.359-06</t>
  </si>
  <si>
    <t>Serv.Prest. 22/09/2025 a 25/09/2025 - PIX: CPF - CHAVE: 160.160.216-28</t>
  </si>
  <si>
    <t>Serv.Prest. 29/09/2025 a 05/10/2025 - PIX: CPF - CHAVE: 140.108.466-40</t>
  </si>
  <si>
    <t>Serv.Prest. 22/09/2025 a 25/09/2025 - PIX: CPF - CHAVE: 087.398.185-51</t>
  </si>
  <si>
    <t>Serv.Prest. 22/09/2025 a 28/09/2025 - PIX: CELULAR - CHAVE: (43) 99934-1696</t>
  </si>
  <si>
    <t>Serv.Prest. 26/09/2025 a 05/10/2025 - PIX: CELULAR - CHAVE: (73) 99941-8352</t>
  </si>
  <si>
    <t>Serv.Prest. 29/09/2025 a 05/10/2025 - PIX: CPF - CHAVE: 505.341.528-56</t>
  </si>
  <si>
    <t>Serv.Prest. 22/09/2025 a 25/09/2025 - PIX: CELULAR - CHAVE: (33) 99706-4860</t>
  </si>
  <si>
    <t>Serv.Prest. 22/09/2025 a 25/09/2025 - PIX: CELULAR - CHAVE: (31) 99816-8965</t>
  </si>
  <si>
    <t>Serv.Prest. 22/09/2025 a 25/09/2025 - PIX: CPF - CHAVE: 113.084.266-58</t>
  </si>
  <si>
    <t>Serv.Prest. 22/09/2025 a 25/09/2025 - PIX: CELULAR - CHAVE: (73) 98888-3793</t>
  </si>
  <si>
    <t>Serv.Prest. 29/09/2025 a 05/10/2025 - PIX: CELULAR - CHAVE: (41) 98421-2278</t>
  </si>
  <si>
    <t>Serv.Prest. 22/09/2025 a 28/09/2025 - PIX: CPF - CHAVE: 074.604.219-10</t>
  </si>
  <si>
    <t>Serv.Prest. 29/09/2025 a 05/10/2025 - PIX: CELULAR - CHAVE: (31) 99376-7989</t>
  </si>
  <si>
    <t>Serv.Prest. 22/09/2025 a 25/09/2025 - PIX: CPF - CHAVE: 067.393.286-92</t>
  </si>
  <si>
    <t>Serv.Prest. 22/09/2025 a 25/09/2025 - PIX: CPF - CHAVE: 439.169.103-53</t>
  </si>
  <si>
    <t>Serv.Prest. 29/09/2025 a 05/10/2025 - PIX: CPF - CHAVE: 423.098.018-36</t>
  </si>
  <si>
    <t xml:space="preserve">REEMBOLSO </t>
  </si>
  <si>
    <t>Serv.Prest. 22/09/2025 a 25/09/2025 - PIX: CPF - CHAVE: 121.297.376-33</t>
  </si>
  <si>
    <t>Serv.Prest. 22/09/2025 a 25/09/2025 - PIX: CELULAR - CHAVE: (73) 99115-9602</t>
  </si>
  <si>
    <t>Serv.Prest. 22/09/2025 a 25/09/2025 - PIX: CPF - CHAVE: 126.873.296-65</t>
  </si>
  <si>
    <t>Serv.Prest. 22/09/2025 a 25/09/2025 - PIX: CPF - CHAVE: 023.645.626-19</t>
  </si>
  <si>
    <t>Serv.Prest. 26/09/2025 a 05/10/2025 - PIX: CELULAR - CHAVE: (33) 98836-6015</t>
  </si>
  <si>
    <t>Serv.Prest. 29/09/2025 a 05/10/2025 - PIX: CPF - CHAVE: 124.575.099-20</t>
  </si>
  <si>
    <t>Serv.Prest. 22/09/2025 a 25/09/2025 - PIX: E-MAIL - CHAVE: jhonantanlacerda@gmail.com</t>
  </si>
  <si>
    <t>Serv.Prest. 22/09/2025 a 25/09/2025 - PIX: CPF - CHAVE: 035.018.455-02</t>
  </si>
  <si>
    <t>Serv.Prest. 22/09/2025 a 25/09/2025 - PIX: CPF - CHAVE: 860.305.455-07</t>
  </si>
  <si>
    <t>Serv.Prest. 29/09/2025 a 05/10/2025 - PIX: CELULAR - CHAVE: (33) 99924-7557</t>
  </si>
  <si>
    <t>Serv.Prest. 29/09/2025 a 05/10/2025 - PIX: CPF - CHAVE: 100.826.516-04</t>
  </si>
  <si>
    <t>Serv.Prest. 29/09/2025 a 05/10/2025 - PIX: CPF - CHAVE: 383.328.968-60</t>
  </si>
  <si>
    <t>Serv.Prest. 22/09/2025 a 25/09/2025 - PIX: CELULAR - CHAVE: (73) 98105-2187</t>
  </si>
  <si>
    <t>Serv.Prest. 26/09/2025 a 05/10/2025 - PIX: CPF - CHAVE: 074.520.456-29</t>
  </si>
  <si>
    <t>Serv.Prest. 22/09/2025 a 25/09/2025 - PIX: CHAVE ALEATÓRIA - CHAVE: c489bee1-360b-4fa9-86c4-fbb0e9844cb8</t>
  </si>
  <si>
    <t>Serv.Prest. 22/09/2025 a 25/09/2025 - PIX: CPF - CHAVE: 094.700.685-05</t>
  </si>
  <si>
    <t>Serv.Prest. 22/09/2025 a 25/09/2025 - PIX: CELULAR - CHAVE: (73) 99803-0715</t>
  </si>
  <si>
    <t>Serv.Prest. 22/09/2025 a 25/09/2025 - PIX: CELULAR - CHAVE: (33) 98463-0821</t>
  </si>
  <si>
    <t>Serv.Prest. 22/09/2025 a 25/09/2025 - RPS: 1285 - NFSe: 3409</t>
  </si>
  <si>
    <t>Serv.Prest. 22/09/2025 a 26/09/2025 - RPS: 1284 - NFSe: 3408</t>
  </si>
  <si>
    <t>Serv.Prest. 22/09/2025 a 25/09/2025 - RPS: 1286 - NFSe: 3410</t>
  </si>
  <si>
    <t>Serv.Prest. 22/09/2025 a 25/09/2025 - RPS: 1287 - NFSe: 3411</t>
  </si>
  <si>
    <t>Serv.Prest. 29/09/2025 a 05/10/2025 - RPS: 1318 - NFSe: 3442</t>
  </si>
  <si>
    <t>Serv.Prest. 29/09/2025 a 05/10/2025 - RPS: 1319 - NFSe: 3443</t>
  </si>
  <si>
    <t>Serv.Prest. 29/09/2025 a 05/10/2025 - RPS: 1321 - NFSe: 3445</t>
  </si>
  <si>
    <t>Serv.Prest. 29/09/2025 a 05/10/2025 - RPS: 1327 - NFSe: 3451</t>
  </si>
  <si>
    <t>Serv.Prest. 29/09/2025 a 05/10/2025 - RPS: 1328 - NFSe: 3452</t>
  </si>
  <si>
    <t>Serv.Prest. 29/09/2025 a 05/10/2025 - RPS: 1329 - NFSe: 3453</t>
  </si>
  <si>
    <t>Serv.Prest. 29/09/2025 a 05/10/2025 - RPS: 1333 - NFSe: 3457</t>
  </si>
  <si>
    <t>Serv.Prest. 29/09/2025 a 05/10/2025 - RPS: 1337 - NFSe: 3461</t>
  </si>
  <si>
    <t>Serv.Prest. 29/09/2025 a 05/10/2025 - PIX: CPF - CHAVE: 138.263.636-98</t>
  </si>
  <si>
    <t>Serv.Prest. 22/09/2025 a 25/09/2025 - PIX: CELULAR - CHAVE: (33) 98749-4693</t>
  </si>
  <si>
    <t>Serv.Prest. 22/09/2025 a 25/09/2025 - PIX: CPF - CHAVE: 161.508.516-56</t>
  </si>
  <si>
    <t>Serv.Prest. 22/09/2025 a 25/09/2025 - PIX: CELULAR - CHAVE: (33) 99172-0627</t>
  </si>
  <si>
    <t>Serv.Prest. 22/09/2025 a 25/09/2025 - PIX: CELULAR - CHAVE: (73) 99967-3239</t>
  </si>
  <si>
    <t>Serv.Prest. 22/09/2025 a 25/09/2025 - PIX: CPF - CHAVE: 101.220.976-88</t>
  </si>
  <si>
    <t>Serv.Prest. 22/09/2025 a 25/09/2025 - PIX: CPF - CHAVE: 129.269.326-69</t>
  </si>
  <si>
    <t>Serv.Prest. 22/09/2025 a 25/09/2025 - PIX: CPF - CHAVE: 705.097.186-39</t>
  </si>
  <si>
    <t>Serv.Prest. 29/09/2025 a 05/10/2025 - PIX: CPF - CHAVE: 090.332.006-19</t>
  </si>
  <si>
    <t>Serv.Prest. 22/09/2025 a 25/09/2025 - PIX: CELULAR - CHAVE: (31) 98412-5118</t>
  </si>
  <si>
    <t>Serv.Prest. 22/09/2025 a 25/09/2025 - PIX: CELULAR - CHAVE: (33) 99815-2379</t>
  </si>
  <si>
    <t>Serv.Prest. 22/09/2025 a 25/09/2025 - PIX: CELULAR - CHAVE: (33) 99194-2339</t>
  </si>
  <si>
    <t>Serv.Prest. 22/09/2025 a 25/09/2025 - PIX: CPF - CHAVE: 003.157.195-67</t>
  </si>
  <si>
    <t>Serv.Prest. 22/09/2025 a 25/09/2025 - PIX: E-MAIL - CHAVE: meamatheusvieira@gmail.com</t>
  </si>
  <si>
    <t>Serv.Prest. 22/09/2025 a 25/09/2025 - PIX: CPF - CHAVE: 163.330.766-27</t>
  </si>
  <si>
    <t>Serv.Prest. 22/09/2025 a 25/09/2025 - PIX: CELULAR - CHAVE: (31) 99076-6539</t>
  </si>
  <si>
    <t>Serv.Prest. 29/09/2025 a 05/10/2025 - PIX: CPF - CHAVE: 012.600.851-55</t>
  </si>
  <si>
    <t>Serv.Prest. 22/09/2025 a 25/09/2025 - PIX: CPF - CHAVE: 123.020.026-60</t>
  </si>
  <si>
    <t>Serv.Prest. 22/09/2025 a 25/09/2025 - PIX: CPF - CHAVE: 037.974.316-78</t>
  </si>
  <si>
    <t>Serv.Prest. 22/09/2025 a 25/09/2025 - PIX: CELULAR - CHAVE: (73) 99977-2721</t>
  </si>
  <si>
    <t>Serv.Prest. 22/09/2025 a 25/09/2025 - PIX: CELULAR - CHAVE: (31) 99216-8711</t>
  </si>
  <si>
    <t>Serv.Prest. 29/09/2025 a 05/10/2025 - PIX: CELULAR - CHAVE: (11) 99992-0816</t>
  </si>
  <si>
    <t>Serv.Prest. 22/09/2025 a 25/09/2025 - PIX: CELULAR - CHAVE: (35) 99264-4504</t>
  </si>
  <si>
    <t>Serv.Prest. 22/09/2025 a 25/09/2025 - PIX: E-MAIL - CHAVE: sypedrinho@gmail.com</t>
  </si>
  <si>
    <t>Serv.Prest. 22/09/2025 a 25/09/2025 - PIX: CELULAR - CHAVE: (31) 99959-5414</t>
  </si>
  <si>
    <t>Serv.Prest. 22/09/2025 a 28/09/2025 - PIX: CPF - CHAVE: 878.196.869-87</t>
  </si>
  <si>
    <t>Serv.Prest. 22/09/2025 a 25/09/2025 - PIX: CELULAR - CHAVE: (31) 98891-8440</t>
  </si>
  <si>
    <t>Serv.Prest. 29/09/2025 a 05/10/2025 - PIX: CELULAR - CHAVE: (37) 99197-6834</t>
  </si>
  <si>
    <t>Serv.Prest. 29/09/2025 a 05/10/2025 - PIX: CPF - CHAVE: 950.176.406-06</t>
  </si>
  <si>
    <t>Serv.Prest. 29/09/2025 a 05/10/2025 - PIX: CPF - CHAVE: 128.367.756-37</t>
  </si>
  <si>
    <t>Serv.Prest. 29/09/2025 a 05/10/2025 - PIX: CPF - CHAVE: 396.124.108-28</t>
  </si>
  <si>
    <t>Serv.Prest. 22/09/2025 a 25/09/2025 - PIX: CPF - CHAVE: 118.731.976-75</t>
  </si>
  <si>
    <t>Serv.Prest. 22/09/2025 a 25/09/2025 - PIX: CPF - CHAVE: 048.151.276-46</t>
  </si>
  <si>
    <t>Serv.Prest. 29/09/2025 a 05/10/2025 - PIX: CPF - CHAVE: 126.686.406-79</t>
  </si>
  <si>
    <t>Serv.Prest. 22/09/2025 a 25/09/2025 - PIX: CHAVE ALEATÓRIA - CHAVE: 1550e869-c9d7-4436-be93-6858fd0cb900</t>
  </si>
  <si>
    <t>Serv.Prest. 29/09/2025 a 05/10/2025 - PIX: CELULAR - CHAVE: (37) 99138-1777</t>
  </si>
  <si>
    <t>Serv.Prest. 29/09/2025 a 05/10/2025 - PIX: CELULAR - CHAVE: (37) 98841-8571</t>
  </si>
  <si>
    <t>Serv.Prest. 22/09/2025 a 25/09/2025 - PIX: CPF - CHAVE: 092.566.416-23</t>
  </si>
  <si>
    <t>Serv.Prest. 22/09/2025 a 25/09/2025 - PIX: CPF - CHAVE: 121.963.507-37</t>
  </si>
  <si>
    <t>Serv.Prest. 22/09/2025 a 25/09/2025 - PIX: CELULAR - CHAVE: (73) 99818-9718</t>
  </si>
  <si>
    <t>Serv.Prest. 26/09/2025 a 05/10/2025 - PIX: CPF - CHAVE: 157.874.046-02</t>
  </si>
  <si>
    <t>Serv.Prest. 22/09/2025 a 25/09/2025 - PIX: CPF - CHAVE: 130.194.566-81</t>
  </si>
  <si>
    <t>Serv.Prest. 22/09/2025 a 25/09/2025 - PIX: CELULAR - CHAVE: (31) 97251-6838</t>
  </si>
  <si>
    <t>Serv.Prest. 29/09/2025 a 05/10/2025 - PIX: CPF - CHAVE: 080.965.696-51</t>
  </si>
  <si>
    <t>Serv.Prest. 22/09/2025 a 25/09/2025 - PIX: CELULAR - CHAVE: (32) 99800-1691</t>
  </si>
  <si>
    <t>Serv.Prest. 22/09/2025 a 25/09/2025 - PIX: CELULAR - CHAVE: (33) 98806-5772</t>
  </si>
  <si>
    <t>Serv.Prest. 22/09/2025 a 25/09/2025 - PIX: CPF - CHAVE: 012.906.122-00</t>
  </si>
  <si>
    <t>Serv.Prest. 29/09/2025 a 05/10/2025 - PIX: CPF - CHAVE: 147.592.156-03</t>
  </si>
  <si>
    <t>Serv.Prest. 22/09/2025 a 25/09/2025 - PIX: CPF - CHAVE: 079.068.045-97</t>
  </si>
  <si>
    <t>Serv.Prest. 29/09/2025 a 05/10/2025 - PIX: CELULAR - CHAVE: (11) 91214-6176</t>
  </si>
  <si>
    <t>Serv.Prest. 22/09/2025 a 25/09/2025 - PIX: E-MAIL - CHAVE: wilianvieirawrv3578@gmail.com</t>
  </si>
  <si>
    <t>Serv.Prest. 29/09/2025 a 05/10/2025 - PIX: CPF - CHAVE: 016.203.336-27</t>
  </si>
  <si>
    <t>Serv.Prest. 29/09/2025 a 05/10/2025 - PIX: CPF - CHAVE: 100.710.806-19</t>
  </si>
  <si>
    <t>Serv.Prest. 22/09/2025 a 25/09/2025 - PIX: CELULAR - CHAVE: (33) 99859-8751</t>
  </si>
  <si>
    <t>Serv.Prest. 29/09/2025 a 05/10/2025 - PIX: CELULAR - CHAVE: (28) 98816-4170</t>
  </si>
  <si>
    <t>Serv.Prest. 26/09/2025 a 05/10/2025 - PIX: CPF - CHAVE: 007.842.745-25</t>
  </si>
  <si>
    <t>Serv.Prest. 29/09/2025 a 05/10/2025 - PIX: CPF - CHAVE: 119.419.525-34</t>
  </si>
  <si>
    <t>Serv.Prest. 22/09/2025 a 25/09/2025 - PIX: CPF - CHAVE: 170.180.266-01</t>
  </si>
  <si>
    <t>Serv.Prest. 01/09/2025 a 30/09/2025 - RPS: 1316 - NFSe: 3440</t>
  </si>
  <si>
    <t>Serv.Prest. 29/09/2025 a 05/10/2025 - RPS: 1345 - NFSe: 3469</t>
  </si>
  <si>
    <t>Serv.Prest. 29/09/2025 a 05/10/2025 - RPS: 1346 - NFSe: 3470</t>
  </si>
  <si>
    <t>Serv.Prest. 22/09/2025 a 28/09/2025 - RPS: 1313 - NFSe: 3437</t>
  </si>
  <si>
    <t>Serv.Prest. 22/09/2025 a 28/09/2025 - RPS: 1314 - NFSe: 3438</t>
  </si>
  <si>
    <t>Serv.Prest. 22/09/2025 a 28/09/2025 - RPS: 1315 - NFSe: 3439</t>
  </si>
  <si>
    <t>Serv.Prest. 29/09/2025 a 05/10/2025 - RPS: 1317 - NFSe: 3441</t>
  </si>
  <si>
    <t>Serv.Prest. 29/09/2025 a 05/10/2025 - RPS: 1322 - NFSe: 3446</t>
  </si>
  <si>
    <t>Serv.Prest. 29/09/2025 a 05/10/2025 - RPS: 1323 - NFSe: 3447</t>
  </si>
  <si>
    <t>Serv.Prest. 29/09/2025 a 05/10/2025 - RPS: 1330 - NFSe: 3454</t>
  </si>
  <si>
    <t>Serv.Prest. 29/09/2025 a 05/10/2025 - RPS: 1331 - NFSe: 3455</t>
  </si>
  <si>
    <t>Serv.Prest. 29/09/2025 a 05/10/2025 - RPS: 1332 - NFSe: 3456</t>
  </si>
  <si>
    <t>Serv.Prest. 29/09/2025 a 05/10/2025 - RPS: 1338 - NFSe: 3462</t>
  </si>
  <si>
    <t>Serv.Prest. 29/09/2025 a 05/10/2025 - RPS: 1348 - NFSe: 3472</t>
  </si>
  <si>
    <t>Serv.Prest. 30/09/2025 a 30/09/2025 - PIX: NÃO CADASTRADO - CHAVE: CEF AG 2986 CONTA 2292-5 POUPANÇA</t>
  </si>
  <si>
    <t>Serv.Prest. 26/09/2025 a 05/10/2025 - PIX: CELULAR - CHAVE: (27) 99869-8144</t>
  </si>
  <si>
    <t>DEVOLUCAO 18 COTAS COOPERATIVA</t>
  </si>
  <si>
    <t>Serv.Prest. 22/09/2025 a 25/09/2025 - PIX: CELULAR - CHAVE: (73) 99941-8352</t>
  </si>
  <si>
    <t>Serv.Prest. 22/09/2025 a 25/09/2025 - PIX: CPF - CHAVE: 094.947.395-23</t>
  </si>
  <si>
    <t>Serv.Prest. 22/09/2025 a 25/09/2025 - PIX: CELULAR - CHAVE: (73) 99966-7211</t>
  </si>
  <si>
    <t>Serv.Prest. 22/09/2025 a 25/09/2025 - PIX: CPF - CHAVE: 036.875.515-04</t>
  </si>
  <si>
    <t>Serv.Prest. 22/09/2025 a 26/09/2025 - PIX: CPF - CHAVE: 091.575.986-14</t>
  </si>
  <si>
    <t>Serv.Prest. 22/09/2025 a 25/09/2025 - PIX: CPF - CHAVE: 012.459.366-62</t>
  </si>
  <si>
    <t>Serv.Prest. 22/09/2025 a 25/09/2025 - PIX: CPF - CHAVE: 043.301.196-33</t>
  </si>
  <si>
    <t>Serv.Prest. 22/09/2025 a 25/09/2025 - PIX: CPF - CHAVE: 602.838.315-53</t>
  </si>
  <si>
    <t>Serv.Prest. 22/09/2025 a 25/09/2025 - PIX: CELULAR - CHAVE: (33) 98836-6015</t>
  </si>
  <si>
    <t>Serv.Prest. 22/09/2025 a 25/09/2025 - PIX: CPF - CHAVE: 386.313.426-53</t>
  </si>
  <si>
    <t>Serv.Prest. 22/09/2025 a 25/09/2025 - PIX: CPF - CHAVE: 179.800.027-09</t>
  </si>
  <si>
    <t>Serv.Prest. 22/09/2025 a 25/09/2025 - PIX: CELULAR - CHAVE: (33) 99199-7983</t>
  </si>
  <si>
    <t>Serv.Prest. 22/09/2025 a 25/09/2025 - PIX: CELULAR - CHAVE: (33) 98890-5095</t>
  </si>
  <si>
    <t>Serv.Prest. 22/09/2025 a 25/09/2025 - PIX: CPF - CHAVE: 102.023.716-38</t>
  </si>
  <si>
    <t>Serv.Prest. 22/09/2025 a 25/09/2025 - PIX: CELULAR - CHAVE: (33) 99802-1883</t>
  </si>
  <si>
    <t>Serv.Prest. 22/09/2025 a 25/09/2025 - PIX: CPF - CHAVE: 110.483.296-82</t>
  </si>
  <si>
    <t>Serv.Prest. 22/09/2025 a 25/09/2025 - PIX: CELULAR - CHAVE: (31) 98511-2851</t>
  </si>
  <si>
    <t>Serv.Prest. 22/09/2025 a 25/09/2025 - PIX: CELULAR - CHAVE: (33) 98845-4528</t>
  </si>
  <si>
    <t>Serv.Prest. 22/09/2025 a 25/09/2025 - PIX: CPF - CHAVE: 137.446.146-62</t>
  </si>
  <si>
    <t>Serv.Prest. 22/09/2025 a 25/09/2025 - PIX: E-MAIL - CHAVE: anissoanidaldepaula@gmail.com</t>
  </si>
  <si>
    <t>Serv.Prest. 22/09/2025 a 25/09/2025 - PIX: CELULAR - CHAVE: (33) 99877-0415</t>
  </si>
  <si>
    <t>Serv.Prest. 22/09/2025 a 25/09/2025 - PIX: CNPJ - CHAVE: 33.412.676/0001-41</t>
  </si>
  <si>
    <t>Serv.Prest. 22/09/2025 a 25/09/2025 - PIX: CPF - CHAVE: 009.476.175-23</t>
  </si>
  <si>
    <t>Serv.Prest. 22/09/2025 a 25/09/2025 - PIX: CPF - CHAVE: 077.488.126-75</t>
  </si>
  <si>
    <t>Serv.Prest. 22/09/2025 a 25/09/2025 - PIX: CPF - CHAVE: 074.520.456-29</t>
  </si>
  <si>
    <t>Serv.Prest. 22/09/2025 a 25/09/2025 - PIX: CELULAR - CHAVE: (33) 99106-9330</t>
  </si>
  <si>
    <t>Serv.Prest. 22/09/2025 a 25/09/2025 - PIX: CELULAR - CHAVE: (31) 99850-4727</t>
  </si>
  <si>
    <t>Serv.Prest. 22/09/2025 a 25/09/2025 - PIX: CELULAR - CHAVE: (33) 99981-6650</t>
  </si>
  <si>
    <t>Serv.Prest. 22/09/2025 a 25/09/2025 - PIX: CELULAR - CHAVE: (33) 98427-3872</t>
  </si>
  <si>
    <t>Serv.Prest. 22/09/2025 a 25/09/2025 - PIX: CELULAR - CHAVE: (33) 98884-1637</t>
  </si>
  <si>
    <t>Serv.Prest. 22/09/2025 a 25/09/2025 - PIX: CELULAR - CHAVE: (33) 99845-0493</t>
  </si>
  <si>
    <t>Serv.Prest. 22/09/2025 a 25/09/2025 - PIX: CELULAR - CHAVE: (33) 98817-9868</t>
  </si>
  <si>
    <t>Serv.Prest. 22/09/2025 a 25/09/2025 - PIX: CPF - CHAVE: 108.680.396-59</t>
  </si>
  <si>
    <t>Serv.Prest. 22/09/2025 a 25/09/2025 - PIX: CELULAR - CHAVE: (31) 97339-3761</t>
  </si>
  <si>
    <t>Serv.Prest. 22/09/2025 a 25/09/2025 - PIX: CPF - CHAVE: 012.783.036-77</t>
  </si>
  <si>
    <t>Serv.Prest. 22/09/2025 a 25/09/2025 - PIX: E-MAIL - CHAVE: roger.l.borges04@gmail.com</t>
  </si>
  <si>
    <t>Serv.Prest. 22/09/2025 a 25/09/2025 - PIX: CELULAR - CHAVE: (33) 98840-0998</t>
  </si>
  <si>
    <t>Serv.Prest. 22/09/2025 a 25/09/2025 - PIX: CPF - CHAVE: 097.855.786-74</t>
  </si>
  <si>
    <t>Serv.Prest. 22/09/2025 a 25/09/2025 - PIX: CPF - CHAVE: 157.874.046-02</t>
  </si>
  <si>
    <t>Serv.Prest. 22/09/2025 a 25/09/2025 - PIX: CELULAR - CHAVE: (33) 99118-9032</t>
  </si>
  <si>
    <t>Serv.Prest. 22/09/2025 a 25/09/2025 - PIX: CPF - CHAVE: 700.454.836-80</t>
  </si>
  <si>
    <t>Serv.Prest. 22/09/2025 a 25/09/2025 - PIX: CELULAR - CHAVE: (33) 99996-3668</t>
  </si>
  <si>
    <t>Serv.Prest. 22/09/2025 a 25/09/2025 - PIX: CNPJ - CHAVE: 40.359.224/0001-09</t>
  </si>
  <si>
    <t>Serv.Prest. 22/09/2025 a 25/09/2025 - PIX: CELULAR - CHAVE: (27) 99616-4468</t>
  </si>
  <si>
    <t>Serv.Prest. 22/09/2025 a 25/09/2025 - PIX: CELULAR - CHAVE: (73) 99167-5954</t>
  </si>
  <si>
    <t>Serv.Prest. 29/09/2025 a 05/10/2025 - PIX: CELULAR - CHAVE: (11) 95038-0621</t>
  </si>
  <si>
    <t>Serv.Prest. 29/09/2025 a 05/10/2025 - PIX: CELULAR - CHAVE: (11) 98447-6954</t>
  </si>
  <si>
    <t>Serv.Prest. 29/09/2025 a 05/10/2025 - PIX: CPF - CHAVE: 427.090.718-51</t>
  </si>
  <si>
    <t>Serv.Prest. 26/09/2025 a 05/10/2025 - PIX: CELULAR - CHAVE: (33) 98857-0494</t>
  </si>
  <si>
    <t>Serv.Prest. 26/09/2025 a 05/10/2025 - PIX: CPF - CHAVE: 701.955.866-62</t>
  </si>
  <si>
    <t>Serv.Prest. 26/09/2025 a 05/10/2025 - PIX: CELULAR - CHAVE: (33) 99880-7941</t>
  </si>
  <si>
    <t>Serv.Prest. 26/09/2025 a 05/10/2025 - PIX: CPF - CHAVE: 097.245.586-81</t>
  </si>
  <si>
    <t>Serv.Prest. 26/09/2025 a 05/10/2025 - PIX: CELULAR - CHAVE: (27) 99616-4468</t>
  </si>
  <si>
    <t>Serv.Prest. 29/09/2025 a 05/10/2025 - PIX: CPF - CHAVE: 421.097.678-47</t>
  </si>
  <si>
    <t>Serv.Prest. 29/09/2025 a 05/10/2025 - PIX: CPF - CHAVE: 471.142.438-55</t>
  </si>
  <si>
    <t>Serv.Prest. 29/09/2025 a 05/10/2025 - PIX: CELULAR - CHAVE: (11) 99270-3082</t>
  </si>
  <si>
    <t>Serv.Prest. 29/09/2025 a 05/10/2025 - PIX: CELULAR - CHAVE: (34) 99772-2954</t>
  </si>
  <si>
    <t>Serv.Prest. 29/09/2025 a 05/10/2025 - PIX: CELULAR - CHAVE: (64) 99983-6981</t>
  </si>
  <si>
    <t>DESPESAS COM REEMBOLSOS (110)</t>
  </si>
  <si>
    <t>Serv.Prest. 29/09/2025 a 05/10/2025 - RPS: 1324 - NFSe: 3448</t>
  </si>
  <si>
    <t>Serv.Prest. 15/09/2025 a 21/09/2025 - RPS: 1263 - NFSe: 3387</t>
  </si>
  <si>
    <t>Serv.Prest. 22/09/2025 a 28/09/2025 - RPS: 1302 - NFSe: 3426</t>
  </si>
  <si>
    <t>Serv.Prest. 15/09/2025 a 21/09/2025 - RPS: 1262 - NFSe: 3386</t>
  </si>
  <si>
    <t>Serv.Prest. 22/09/2025 a 28/09/2025 - RPS: 1301 - NFSe: 3425</t>
  </si>
  <si>
    <t>DIARIA DE MOTOBOY 09/10/2025 INDIANA 118</t>
  </si>
  <si>
    <t>Serv.Prest. 26/09/2025 a 05/10/2025 - PIX: CPF - CHAVE: 035.018.455-02</t>
  </si>
  <si>
    <t>ADIANTAMENTO PAGAMENTO SEMANAL 06/10 A 10/10/2025</t>
  </si>
  <si>
    <t>Serv.Prest. 29/09/2025 a 05/10/2025 - RPS: 1342 - NFSe: 3466</t>
  </si>
  <si>
    <t>Serv.Prest. 29/09/2025 a 05/10/2025 - RPS: 1343 - NFSe: 3467</t>
  </si>
  <si>
    <t>Serv.Prest. 29/09/2025 a 05/10/2025 - RPS: 1344 - NFSe: 3468</t>
  </si>
  <si>
    <t>Serv.Prest. 29/09/2025 a 05/10/2025 - RPS: 1320 - NFSe: 3444</t>
  </si>
  <si>
    <t>Serv.Prest. 29/09/2025 a 05/10/2025 - RPS: 1335 - NFSe: 3459</t>
  </si>
  <si>
    <t>Serv.Prest. 30/09/2025 a 30/09/2025 - RPS: 1336 - NFSe: 3460</t>
  </si>
  <si>
    <t>Serv.Prest. 06/10/2025 a 12/10/2025 - PIX: CELULAR - CHAVE: (11) 99270-3082</t>
  </si>
  <si>
    <t>PAGO PARA ULISSES SOUSA SANTOS - Serv.Prest. 06/10/2025 a 12/10/2025</t>
  </si>
  <si>
    <t xml:space="preserve">PARCELAMENTO ISS </t>
  </si>
  <si>
    <t>Serv.Prest. 29/09/2025 a 05/10/2025 - RPS: 1334 - NFSe: 3458</t>
  </si>
  <si>
    <t>Serv.Prest. 06/10/2025 a 12/10/2025 - PIX: CPF - CHAVE: 396.124.108-28</t>
  </si>
  <si>
    <t>Serv.Prest. 06/10/2025 a 12/10/2025 - PIX: CPF - CHAVE: 290.093.188-69</t>
  </si>
  <si>
    <t>Serv.Prest. 06/10/2025 a 12/10/2025 - PIX: CELULAR - CHAVE: (37) 99146-2630</t>
  </si>
  <si>
    <t>Serv.Prest. 06/10/2025 a 12/10/2025 - PIX: E-MAIL - CHAVE: higor.180@hotmail.com</t>
  </si>
  <si>
    <t>Serv.Prest. 06/10/2025 a 12/10/2025 - PIX: CELULAR - CHAVE: (11) 99220-4018</t>
  </si>
  <si>
    <t xml:space="preserve">REEMBOLSO HOSPEDAGEM AGENTE IA CAPTAÇÃO MOTOBOYS - GOOGLE CLOUD </t>
  </si>
  <si>
    <t>ADIANTAMENTO - PIX: CELULAR - CHAVE: (11) 98447-6954</t>
  </si>
  <si>
    <t>Serv.Prest. 06/10/2025 a 12/10/2025 - PIX: CPF - CHAVE: 421.097.678-47</t>
  </si>
  <si>
    <t>PAGO PARA LEANDRO RIBEIRO DA SILVA - Serv.Prest. 06/10/2025 a 12/10/2025</t>
  </si>
  <si>
    <t>Serv.Prest. 06/10/2025 a 12/10/2025 - PIX: CPF - CHAVE: 106.393.056-10</t>
  </si>
  <si>
    <t>Serv.Prest. 06/10/2025 a 12/10/2025 - PIX: CPF - CHAVE: 052.353.883-99</t>
  </si>
  <si>
    <t>Serv.Prest. 06/10/2025 a 12/10/2025 - PIX: CELULAR - CHAVE: (11) 97493-2917</t>
  </si>
  <si>
    <t>Serv.Prest. 06/10/2025 a 12/10/2025 - PIX: CPF - CHAVE: 180.147.766-31</t>
  </si>
  <si>
    <t>Serv.Prest. 06/10/2025 a 12/10/2025 - PIX: CPF - CHAVE: 141.994.266-20</t>
  </si>
  <si>
    <t>Serv.Prest. 06/10/2025 a 12/10/2025 - PIX: E-MAIL - CHAVE: ericsilva8marcena@gmail.com</t>
  </si>
  <si>
    <t>Serv.Prest. 06/10/2025 a 12/10/2025 - PIX: CELULAR - CHAVE: (31) 99373-5678</t>
  </si>
  <si>
    <t>Serv.Prest. 06/10/2025 a 12/10/2025 - PIX: CELULAR - CHAVE: (32) 99913-0476</t>
  </si>
  <si>
    <t>Serv.Prest. 06/10/2025 a 12/10/2025 - PIX: CELULAR - CHAVE: (31) 99680-9634</t>
  </si>
  <si>
    <t>Serv.Prest. 06/10/2025 a 12/10/2025 - PIX: CELULAR - CHAVE: (11) 95906-5439</t>
  </si>
  <si>
    <t>Serv.Prest. 06/10/2025 a 12/10/2025 - PIX: CPF - CHAVE: 096.891.935-97</t>
  </si>
  <si>
    <t>PAGO PARA ULISSES SOUSA SANTOS - Serv.Prest. 13/10/2025 a 19/10/2025</t>
  </si>
  <si>
    <t>PAGAMENTO LIDERANÇA REF. MES 09/2025 - PIX: CPF - CHAVE: 091.575.986-14</t>
  </si>
  <si>
    <t>PAGAMENTO LIDERANÇA REF. MES 09/2025 - PIX: CELULAR - CHAVE: (73) 988381077</t>
  </si>
  <si>
    <t>PAGAMENTO LIDERANÇA REF. MES 09/2025 - PIX: CPF - CHAVE: 137.446.146-62</t>
  </si>
  <si>
    <t>Serv.Prest. 06/10/2025 a 12/10/2025 - PIX: CELULAR - CHAVE: (19) 98944-4977</t>
  </si>
  <si>
    <t>Serv.Prest. 26/09/2025 a 05/10/2025 - PIX: CPF - CHAVE: 091.575.986-14</t>
  </si>
  <si>
    <t>Serv.Prest. 06/10/2025 a 12/10/2025 - PIX: CPF - CHAVE: 463.491.858-70</t>
  </si>
  <si>
    <t>Serv.Prest. 26/09/2025 a 05/10/2025 - PIX: E-MAIL - CHAVE: sypedrinho@gmail.com</t>
  </si>
  <si>
    <t>Serv.Prest. 06/10/2025 a 12/10/2025 - PIX: E-MAIL - CHAVE: sypedrinho@gmail.com</t>
  </si>
  <si>
    <t>Serv.Prest. 06/10/2025 a 12/10/2025 - RPS: 1353 - NFSe: 3477</t>
  </si>
  <si>
    <t>Serv.Prest. 06/10/2025 a 12/10/2025 - RPS: 1357 - NFSe: 3481</t>
  </si>
  <si>
    <t>Serv.Prest. 06/10/2025 a 12/10/2025 - RPS: 1377 - NFSe: 3501</t>
  </si>
  <si>
    <t>Serv.Prest. 06/10/2025 a 12/10/2025 - RPS: 1373 - NFSe: 3497</t>
  </si>
  <si>
    <t>ISS REF. MES 09/2025</t>
  </si>
  <si>
    <t>PAGAMENTO LIDERENÇA REF. MES 09/2025 - PIX: CPF - CHAVE: 097.245.586-81</t>
  </si>
  <si>
    <t>PAGAMENTO LIDERENÇA REF. MES 09/2025 - PIX: CELULAR - CHAVE: (32) 99166-8238</t>
  </si>
  <si>
    <t>PAGAMENTO LIDERANÇA REF. MES 09/2025 - PIX: CELULAR - CHAVE: (37) 99197-6834</t>
  </si>
  <si>
    <t>PAGAMENTO LIDERANÇA REF. MES 09/2025 - PIX: CPF - CHAVE: 179.800.027-09</t>
  </si>
  <si>
    <t>PAGAMENTO LIDERANÇA REF. MES 09/2025 - PIX: CPF - CHAVE: 423.098.018-36</t>
  </si>
  <si>
    <t>PAGAMENTO LIDERANÇA REF. MES 09/2025 - PIX: CELULAR - CHAVE: (73) 99115-9602</t>
  </si>
  <si>
    <t>PAGAMENTO LIDERANÇA REF 09/2025 - PIX: CPF - CHAVE: 126.873.296-65</t>
  </si>
  <si>
    <t>PAGAMENTO LIDERANÇA REF. MES 09/2025 - PIX: CELULAR - CHAVE: (31) 99216-8711</t>
  </si>
  <si>
    <t>PAGAMENTO LIDERANÇA REF. MES 09/2025 - CHAVE PIX CPF: 121.024.896-47</t>
  </si>
  <si>
    <t>PAGAMENTO LIDERANÇA REF 09/2025 - PIX: CELULAR - CHAVE: (11) 99270-3082</t>
  </si>
  <si>
    <t>PAGAMENTO LIDERANÇA REF. MES 09/2025 - PIX: CELULAR - CHAVE: (64) 97400-9101</t>
  </si>
  <si>
    <t>PAGAMENTO LIDERANÇA REF. MES 09/2025 - PIX: CELULAR - CHAVE: (33) 99877-0415</t>
  </si>
  <si>
    <t>DESPESAS VIAGEM SAO PAULO</t>
  </si>
  <si>
    <t>Complemento de valor pago de liderança ref. mes 09/2025</t>
  </si>
  <si>
    <t>Serv.Prest. 26/09/2025 a 05/10/2025 - RPS: 1339 - NFSe: 3463</t>
  </si>
  <si>
    <t>Serv.Prest. 26/09/2025 a 05/10/2025 - RPS: 1340 - NFSe: 3464</t>
  </si>
  <si>
    <t>Serv.Prest. 26/09/2025 a 05/10/2025 - RPS: 1341 - NFSe: 3465</t>
  </si>
  <si>
    <t>Serv.Prest. 29/09/2025 a 29/09/2025 - RPS: 1347 - NFSe: 3471</t>
  </si>
  <si>
    <t>Serv.Prest. 06/10/2025 a 12/10/2025 - PIX: CPF - CHAVE: 007.842.745-25</t>
  </si>
  <si>
    <t>Serv.Prest. 06/10/2025 a 12/10/2025 - PIX: CPF - CHAVE: 097.245.586-81</t>
  </si>
  <si>
    <t>DEVOLUCAO 6 COTA COOPERATIVA</t>
  </si>
  <si>
    <t>Serv.Prest. 06/10/2025 a 12/10/2025 - PIX: CPF - CHAVE: 035.018.455-02</t>
  </si>
  <si>
    <t>DEVOLUCAO INTEGRAL COTA COOPERATIVA</t>
  </si>
  <si>
    <t>Serv.Prest. 26/09/2025 a 05/10/2025 - PIX: CPF - CHAVE: 036.875.515-04</t>
  </si>
  <si>
    <t>Serv.Prest. 26/09/2025 a 05/10/2025 - PIX: CELULAR - CHAVE: (73) 99966-7211</t>
  </si>
  <si>
    <t>Serv.Prest. 26/09/2025 a 05/10/2025 - PIX: E-MAIL - CHAVE: ericgomes508@gmail.com</t>
  </si>
  <si>
    <t>Serv.Prest. 26/09/2025 a 05/10/2025 - PIX: CPF - CHAVE: 087.398.185-51</t>
  </si>
  <si>
    <t>Serv.Prest. 26/09/2025 a 05/10/2025 - PIX: CELULAR - CHAVE: (73) 98888-3793</t>
  </si>
  <si>
    <t>Serv.Prest. 26/09/2025 a 05/10/2025 - PIX: CPF - CHAVE: 439.169.103-53</t>
  </si>
  <si>
    <t>Serv.Prest. 26/09/2025 a 05/10/2025 - PIX: CELULAR - CHAVE: (73) 99115-9602</t>
  </si>
  <si>
    <t>Serv.Prest. 26/09/2025 a 05/10/2025 - PIX: CPF - CHAVE: 860.305.455-07</t>
  </si>
  <si>
    <t>Serv.Prest. 26/09/2025 a 05/10/2025 - PIX: CPF - CHAVE: 009.476.175-23</t>
  </si>
  <si>
    <t>Serv.Prest. 26/09/2025 a 05/10/2025 - PIX: CELULAR - CHAVE: (73) 98105-2187</t>
  </si>
  <si>
    <t>Serv.Prest. 26/09/2025 a 05/10/2025 - PIX: CPF - CHAVE: 094.700.685-05</t>
  </si>
  <si>
    <t>Serv.Prest. 26/09/2025 a 05/10/2025 - PIX: CELULAR - CHAVE: (73) 99803-0715</t>
  </si>
  <si>
    <t>Serv.Prest. 26/09/2025 a 05/10/2025 - PIX: CELULAR - CHAVE: (73) 99967-3239</t>
  </si>
  <si>
    <t>Serv.Prest. 26/09/2025 a 05/10/2025 - PIX: CPF - CHAVE: 003.157.195-67</t>
  </si>
  <si>
    <t>Serv.Prest. 26/09/2025 a 05/10/2025 - PIX: CNPJ - CHAVE: 33.412.676/0001-41</t>
  </si>
  <si>
    <t>Serv.Prest. 26/09/2025 a 05/10/2025 - PIX: CELULAR - CHAVE: (73) 99977-2721</t>
  </si>
  <si>
    <t>Serv.Prest. 26/09/2025 a 05/10/2025 - PIX: CELULAR - CHAVE: (73) 99818-9718</t>
  </si>
  <si>
    <t>Serv.Prest. 26/09/2025 a 05/10/2025 - PIX: CPF - CHAVE: 079.068.045-97</t>
  </si>
  <si>
    <t>Serv.Prest. 26/09/2025 a 05/10/2025 - PIX: CELULAR - CHAVE: (33) 99877-0415</t>
  </si>
  <si>
    <t>Serv.Prest. 26/09/2025 a 05/10/2025 - PIX: CPF - CHAVE: 099.626.666-60</t>
  </si>
  <si>
    <t>Serv.Prest. 26/09/2025 a 05/10/2025 - PIX: CPF - CHAVE: 037.192.076-09</t>
  </si>
  <si>
    <t>Serv.Prest. 26/09/2025 a 05/10/2025 - PIX: CELULAR - CHAVE: (33) 99110-6940</t>
  </si>
  <si>
    <t>Serv.Prest. 26/09/2025 a 05/10/2025 - PIX: CPF - CHAVE: 137.446.146-62</t>
  </si>
  <si>
    <t>Serv.Prest. 26/09/2025 a 05/10/2025 - PIX: CPF - CHAVE: 155.328.666-94</t>
  </si>
  <si>
    <t>Serv.Prest. 26/09/2025 a 05/10/2025 - PIX: CELULAR - CHAVE: (32) 98896-0708</t>
  </si>
  <si>
    <t>Serv.Prest. 26/09/2025 a 05/10/2025 - PIX: CELULAR - CHAVE: (32) 99166-8238</t>
  </si>
  <si>
    <t>Serv.Prest. 26/09/2025 a 05/10/2025 - PIX: CELULAR - CHAVE: (33) 98845-4528</t>
  </si>
  <si>
    <t>Serv.Prest. 26/09/2025 a 05/10/2025 - PIX: CELULAR - CHAVE: (31) 98511-2851</t>
  </si>
  <si>
    <t>Serv.Prest. 26/09/2025 a 05/10/2025 - PIX: CELULAR - CHAVE: (32) 99177-6167</t>
  </si>
  <si>
    <t>Serv.Prest. 26/09/2025 a 05/10/2025 - PIX: CPF - CHAVE: 110.483.296-82</t>
  </si>
  <si>
    <t>Serv.Prest. 26/09/2025 a 05/10/2025 - PIX: CELULAR - CHAVE: (33) 98749-5105</t>
  </si>
  <si>
    <t>Serv.Prest. 26/09/2025 a 05/10/2025 - PIX: CELULAR - CHAVE: (31) 99610-7049</t>
  </si>
  <si>
    <t>Serv.Prest. 26/09/2025 a 05/10/2025 - PIX: E-MAIL - CHAVE: turano296801@gmail.com</t>
  </si>
  <si>
    <t>Serv.Prest. 26/09/2025 a 05/10/2025 - PIX: CPF - CHAVE: 102.023.716-38</t>
  </si>
  <si>
    <t>Serv.Prest. 26/09/2025 a 05/10/2025 - PIX: CELULAR - CHAVE: (33) 98890-5095</t>
  </si>
  <si>
    <t>Serv.Prest. 26/09/2025 a 05/10/2025 - PIX: CELULAR - CHAVE: (33) 99199-7983</t>
  </si>
  <si>
    <t>Serv.Prest. 26/09/2025 a 05/10/2025 - PIX: CPF - CHAVE: 141.134.256-98</t>
  </si>
  <si>
    <t>Serv.Prest. 26/09/2025 a 05/10/2025 - PIX: CPF - CHAVE: 070.073.316-70</t>
  </si>
  <si>
    <t>Serv.Prest. 26/09/2025 a 05/10/2025 - PIX: CELULAR - CHAVE: (31) 98483-3242</t>
  </si>
  <si>
    <t>Serv.Prest. 26/09/2025 a 05/10/2025 - PIX: CPF - CHAVE: 160.160.216-28</t>
  </si>
  <si>
    <t>Serv.Prest. 26/09/2025 a 05/10/2025 - PIX: CPF - CHAVE: 179.800.027-09</t>
  </si>
  <si>
    <t>Serv.Prest. 26/09/2025 a 05/10/2025 - PIX: CPF - CHAVE: 386.313.426-53</t>
  </si>
  <si>
    <t>Serv.Prest. 26/09/2025 a 05/10/2025 - PIX: CELULAR - CHAVE: (33) 99706-4860</t>
  </si>
  <si>
    <t>Serv.Prest. 26/09/2025 a 05/10/2025 - PIX: CELULAR - CHAVE: (31) 99816-8965</t>
  </si>
  <si>
    <t>Serv.Prest. 26/09/2025 a 05/10/2025 - PIX: CPF - CHAVE: 113.084.266-58</t>
  </si>
  <si>
    <t>Serv.Prest. 26/09/2025 a 05/10/2025 - PIX: CPF - CHAVE: 067.393.286-92</t>
  </si>
  <si>
    <t>Serv.Prest. 26/09/2025 a 05/10/2025 - PIX: CPF - CHAVE: 121.297.376-33</t>
  </si>
  <si>
    <t>Serv.Prest. 26/09/2025 a 05/10/2025 - PIX: CELULAR - CHAVE: (31) 99812-7173</t>
  </si>
  <si>
    <t>Serv.Prest. 26/09/2025 a 05/10/2025 - PIX: CPF - CHAVE: 126.873.296-65</t>
  </si>
  <si>
    <t>Serv.Prest. 26/09/2025 a 05/10/2025 - PIX: CPF - CHAVE: 023.645.626-19</t>
  </si>
  <si>
    <t>Serv.Prest. 26/09/2025 a 05/10/2025 - PIX: E-MAIL - CHAVE: jhonantanlacerda@gmail.com</t>
  </si>
  <si>
    <t>Serv.Prest. 26/09/2025 a 05/10/2025 - PIX: CPF - CHAVE: 602.838.315-53</t>
  </si>
  <si>
    <t>Serv.Prest. 26/09/2025 a 05/10/2025 - PIX: CPF - CHAVE: 043.301.196-33</t>
  </si>
  <si>
    <t>Serv.Prest. 26/09/2025 a 05/10/2025 - PIX: CPF - CHAVE: 012.459.366-62</t>
  </si>
  <si>
    <t>Serv.Prest. 26/09/2025 a 05/10/2025 - PIX: CPF - CHAVE: 077.488.126-75</t>
  </si>
  <si>
    <t>Serv.Prest. 26/09/2025 a 05/10/2025 - PIX: CELULAR - CHAVE: (33) 99106-9330</t>
  </si>
  <si>
    <t>Serv.Prest. 26/09/2025 a 05/10/2025 - PIX: CHAVE ALEATÓRIA - CHAVE: c489bee1-360b-4fa9-86c4-fbb0e9844cb8</t>
  </si>
  <si>
    <t>Serv.Prest. 26/09/2025 a 05/10/2025 - PIX: CELULAR - CHAVE: (33) 98463-0821</t>
  </si>
  <si>
    <t>Serv.Prest. 26/09/2025 a 05/10/2025 - PIX: CELULAR - CHAVE: (31) 99850-4727</t>
  </si>
  <si>
    <t>Serv.Prest. 26/09/2025 a 05/10/2025 - PIX: CELULAR - CHAVE: (33) 98749-4693</t>
  </si>
  <si>
    <t>Serv.Prest. 26/09/2025 a 05/10/2025 - PIX: CPF - CHAVE: 161.508.516-56</t>
  </si>
  <si>
    <t>Serv.Prest. 26/09/2025 a 05/10/2025 - PIX: CELULAR - CHAVE: (33) 99172-0627</t>
  </si>
  <si>
    <t>Serv.Prest. 26/09/2025 a 05/10/2025 - PIX: CELULAR - CHAVE: (33) 99981-6650</t>
  </si>
  <si>
    <t>Serv.Prest. 26/09/2025 a 05/10/2025 - PIX: CPF - CHAVE: 101.220.976-88</t>
  </si>
  <si>
    <t>Serv.Prest. 26/09/2025 a 05/10/2025 - PIX: CPF - CHAVE: 129.269.326-69</t>
  </si>
  <si>
    <t>Serv.Prest. 26/09/2025 a 05/10/2025 - PIX: CPF - CHAVE: 705.097.186-39</t>
  </si>
  <si>
    <t>Serv.Prest. 26/09/2025 a 05/10/2025 - PIX: CELULAR - CHAVE: (31) 98412-5118</t>
  </si>
  <si>
    <t>Serv.Prest. 26/09/2025 a 05/10/2025 - PIX: CELULAR - CHAVE: (33) 98427-3872</t>
  </si>
  <si>
    <t>Serv.Prest. 26/09/2025 a 05/10/2025 - PIX: CELULAR - CHAVE: (33) 99815-2379</t>
  </si>
  <si>
    <t>Serv.Prest. 26/09/2025 a 05/10/2025 - PIX: CELULAR - CHAVE: (33) 99194-2339</t>
  </si>
  <si>
    <t>Serv.Prest. 26/09/2025 a 05/10/2025 - PIX: CELULAR - CHAVE: (33) 98884-1637</t>
  </si>
  <si>
    <t>Serv.Prest. 26/09/2025 a 05/10/2025 - PIX: E-MAIL - CHAVE: meamatheusvieira@gmail.com</t>
  </si>
  <si>
    <t>Serv.Prest. 26/09/2025 a 05/10/2025 - PIX: CPF - CHAVE: 163.330.766-27</t>
  </si>
  <si>
    <t>Serv.Prest. 26/09/2025 a 05/10/2025 - PIX: CELULAR - CHAVE: (31) 99076-6539</t>
  </si>
  <si>
    <t>Serv.Prest. 26/09/2025 a 05/10/2025 - PIX: CELULAR - CHAVE: (33) 99845-0493</t>
  </si>
  <si>
    <t>Serv.Prest. 26/09/2025 a 05/10/2025 - PIX: CPF - CHAVE: 123.020.026-60</t>
  </si>
  <si>
    <t>Serv.Prest. 26/09/2025 a 05/10/2025 - PIX: CELULAR - CHAVE: (33) 98817-9868</t>
  </si>
  <si>
    <t>Serv.Prest. 26/09/2025 a 05/10/2025 - PIX: CPF - CHAVE: 108.680.396-59</t>
  </si>
  <si>
    <t>Serv.Prest. 26/09/2025 a 05/10/2025 - PIX: CPF - CHAVE: 037.974.316-78</t>
  </si>
  <si>
    <t>Serv.Prest. 26/09/2025 a 05/10/2025 - PIX: CELULAR - CHAVE: (31) 99216-8711</t>
  </si>
  <si>
    <t>Serv.Prest. 26/09/2025 a 05/10/2025 - PIX: CELULAR - CHAVE: (31) 97339-3761</t>
  </si>
  <si>
    <t>Serv.Prest. 26/09/2025 a 05/10/2025 - PIX: CELULAR - CHAVE: (35) 99264-4504</t>
  </si>
  <si>
    <t>Serv.Prest. 26/09/2025 a 05/10/2025 - PIX: CELULAR - CHAVE: (31) 99959-5414</t>
  </si>
  <si>
    <t>Serv.Prest. 26/09/2025 a 05/10/2025 - PIX: CPF - CHAVE: 012.783.036-77</t>
  </si>
  <si>
    <t>Serv.Prest. 26/09/2025 a 05/10/2025 - PIX: CELULAR - CHAVE: (31) 98891-8440</t>
  </si>
  <si>
    <t>Serv.Prest. 26/09/2025 a 05/10/2025 - PIX: E-MAIL - CHAVE: roger.l.borges04@gmail.com</t>
  </si>
  <si>
    <t>Serv.Prest. 26/09/2025 a 05/10/2025 - PIX: CELULAR - CHAVE: (33) 98840-0998</t>
  </si>
  <si>
    <t>Serv.Prest. 26/09/2025 a 05/10/2025 - PIX: CPF - CHAVE: 118.731.976-75</t>
  </si>
  <si>
    <t>Serv.Prest. 26/09/2025 a 05/10/2025 - PIX: CPF - CHAVE: 048.151.276-46</t>
  </si>
  <si>
    <t>Serv.Prest. 26/09/2025 a 05/10/2025 - PIX: CPF - CHAVE: 097.855.786-74</t>
  </si>
  <si>
    <t>Serv.Prest. 26/09/2025 a 05/10/2025 - PIX: CHAVE ALEATÓRIA - CHAVE: 1550e869-c9d7-4436-be93-6858fd0cb900</t>
  </si>
  <si>
    <t>Serv.Prest. 26/09/2025 a 05/10/2025 - PIX: CPF - CHAVE: 092.566.416-23</t>
  </si>
  <si>
    <t>Serv.Prest. 26/09/2025 a 05/10/2025 - PIX: CPF - CHAVE: 130.194.566-81</t>
  </si>
  <si>
    <t>Serv.Prest. 26/09/2025 a 05/10/2025 - PIX: CELULAR - CHAVE: (33) 99118-9032</t>
  </si>
  <si>
    <t>Serv.Prest. 26/09/2025 a 05/10/2025 - PIX: CPF - CHAVE: 093.481.716-23</t>
  </si>
  <si>
    <t>Serv.Prest. 26/09/2025 a 05/10/2025 - PIX: CELULAR - CHAVE: (31) 97251-6838</t>
  </si>
  <si>
    <t>Serv.Prest. 26/09/2025 a 05/10/2025 - PIX: CELULAR - CHAVE: (32) 99800-1691</t>
  </si>
  <si>
    <t>Serv.Prest. 26/09/2025 a 05/10/2025 - PIX: CPF - CHAVE: 700.454.836-80</t>
  </si>
  <si>
    <t>Serv.Prest. 26/09/2025 a 05/10/2025 - PIX: CELULAR - CHAVE: (33) 98806-5772</t>
  </si>
  <si>
    <t>Serv.Prest. 26/09/2025 a 05/10/2025 - PIX: CELULAR - CHAVE: (33) 99996-3668</t>
  </si>
  <si>
    <t>Serv.Prest. 26/09/2025 a 05/10/2025 - PIX: CPF - CHAVE: 012.906.122-00</t>
  </si>
  <si>
    <t>Serv.Prest. 26/09/2025 a 05/10/2025 - PIX: E-MAIL - CHAVE: wilianvieirawrv3578@gmail.com</t>
  </si>
  <si>
    <t>Serv.Prest. 26/09/2025 a 05/10/2025 - PIX: CELULAR - CHAVE: (33) 99859-8751</t>
  </si>
  <si>
    <t>Serv.Prest. 26/09/2025 a 05/10/2025 - PIX: CPF - CHAVE: 079.930.865-07</t>
  </si>
  <si>
    <t>Serv.Prest. 26/09/2025 a 05/10/2025 - PIX: CELULAR - CHAVE: (27) 99811-6850</t>
  </si>
  <si>
    <t>Serv.Prest. 26/09/2025 a 05/10/2025 - PIX: CELULAR - CHAVE: (27) 99950-3450</t>
  </si>
  <si>
    <t>Serv.Prest. 26/09/2025 a 05/10/2025 - PIX: CPF - CHAVE: 096.116.707-61</t>
  </si>
  <si>
    <t>Serv.Prest. 26/09/2025 a 05/10/2025 - PIX: CPF - CHAVE: 174.029.607-90</t>
  </si>
  <si>
    <t>Serv.Prest. 26/09/2025 a 05/10/2025 - PIX: CELULAR - CHAVE: (73) 99167-5954</t>
  </si>
  <si>
    <t>Serv.Prest. 26/09/2025 a 05/10/2025 - PIX: CPF - CHAVE: 121.963.507-37</t>
  </si>
  <si>
    <t>Serv.Prest. 29/09/2025 a 29/09/2025 - PIX: CPF - CHAVE: 091.575.986-14</t>
  </si>
  <si>
    <t>Serv.Prest. 29/09/2025 a 05/10/2025 - PIX: E-MAIL - CHAVE: alanacosta1999@gmail.com</t>
  </si>
  <si>
    <t>Serv.Prest. 29/09/2025 a 05/10/2025 - PIX: CPF - CHAVE: 975.425.989-53</t>
  </si>
  <si>
    <t>Serv.Prest. 29/09/2025 a 05/10/2025 - PIX: CELULAR - CHAVE: (43) 99630-7532</t>
  </si>
  <si>
    <t>Serv.Prest. 29/09/2025 a 05/10/2025 - PIX: CPF - CHAVE: 004.682.359-06</t>
  </si>
  <si>
    <t>Serv.Prest. 29/09/2025 a 05/10/2025 - PIX: CELULAR - CHAVE: (43) 99934-1696</t>
  </si>
  <si>
    <t>Serv.Prest. 29/09/2025 a 05/10/2025 - PIX: CPF - CHAVE: 074.604.219-10</t>
  </si>
  <si>
    <t>Serv.Prest. 29/09/2025 a 05/10/2025 - PIX: CPF - CHAVE: 878.196.869-87</t>
  </si>
  <si>
    <t>Serv.Prest. 06/10/2025 a 12/10/2025 - PIX: CPF - CHAVE: 012.600.851-55</t>
  </si>
  <si>
    <t>Serv.Prest. 06/10/2025 a 12/10/2025 - PIX: CELULAR - CHAVE: (11) 95552-9905</t>
  </si>
  <si>
    <t>Serv.Prest. 06/10/2025 a 12/10/2025 - PIX: CPF - CHAVE: 505.341.528-56</t>
  </si>
  <si>
    <t>Serv.Prest. 06/10/2025 a 12/10/2025 - PIX: CELULAR - CHAVE: (11) 91214-6176</t>
  </si>
  <si>
    <t>Serv.Prest. 06/10/2025 a 12/10/2025 - PIX: CPF - CHAVE: 157.591.436-03</t>
  </si>
  <si>
    <t>Serv.Prest. 06/10/2025 a 12/10/2025 - PIX: CELULAR - CHAVE: (32) 99920-0416</t>
  </si>
  <si>
    <t>Serv.Prest. 06/10/2025 a 12/10/2025 - PIX: CNPJ - CHAVE: 51.676.704/0001-10</t>
  </si>
  <si>
    <t>Serv.Prest. 06/10/2025 a 12/10/2025 - PIX: CPF - CHAVE: 140.108.466-40</t>
  </si>
  <si>
    <t>Serv.Prest. 06/10/2025 a 12/10/2025 - PIX: CPF - CHAVE: 080.965.696-51</t>
  </si>
  <si>
    <t>Serv.Prest. 06/10/2025 a 12/10/2025 - PIX: CELULAR - CHAVE: (31) 99376-7989</t>
  </si>
  <si>
    <t>Serv.Prest. 06/10/2025 a 12/10/2025 - PIX: CPF - CHAVE: 103.983.366-79</t>
  </si>
  <si>
    <t>Serv.Prest. 06/10/2025 a 12/10/2025 - PIX: CPF - CHAVE: 138.263.636-98</t>
  </si>
  <si>
    <t>Serv.Prest. 06/10/2025 a 12/10/2025 - PIX: CPF - CHAVE: 128.367.756-37</t>
  </si>
  <si>
    <t>Serv.Prest. 06/10/2025 a 12/10/2025 - PIX: CPF - CHAVE: 147.592.156-03</t>
  </si>
  <si>
    <t>Serv.Prest. 06/10/2025 a 12/10/2025 - PIX: CPF - CHAVE: 138.798.486-10</t>
  </si>
  <si>
    <t>Serv.Prest. 06/10/2025 a 12/10/2025 - PIX: CPF - CHAVE: 100.826.516-04</t>
  </si>
  <si>
    <t>Serv.Prest. 06/10/2025 a 12/10/2025 - PIX: CPF - CHAVE: 126.686.406-79</t>
  </si>
  <si>
    <t>Serv.Prest. 06/10/2025 a 12/10/2025 - PIX: CPF - CHAVE: 016.203.336-27</t>
  </si>
  <si>
    <t>Serv.Prest. 06/10/2025 a 12/10/2025 - PIX: CPF - CHAVE: 090.332.006-19</t>
  </si>
  <si>
    <t>Serv.Prest. 06/10/2025 a 12/10/2025 - PIX: CELULAR - CHAVE: (37) 99197-6834</t>
  </si>
  <si>
    <t>Serv.Prest. 06/10/2025 a 12/10/2025 - PIX: CPF - CHAVE: 950.176.406-06</t>
  </si>
  <si>
    <t>Serv.Prest. 06/10/2025 a 12/10/2025 - PIX: CELULAR - CHAVE: (37) 99138-1777</t>
  </si>
  <si>
    <t>Serv.Prest. 06/10/2025 a 12/10/2025 - PIX: CELULAR - CHAVE: (37) 98841-8571</t>
  </si>
  <si>
    <t>Serv.Prest. 06/10/2025 a 12/10/2025 - PIX: CELULAR - CHAVE: (11) 94212-6784</t>
  </si>
  <si>
    <t>Serv.Prest. 06/10/2025 a 12/10/2025 - PIX: CPF - CHAVE: 343.022.318-07</t>
  </si>
  <si>
    <t>Serv.Prest. 06/10/2025 a 12/10/2025 - PIX: CELULAR - CHAVE: (11) 95038-0621</t>
  </si>
  <si>
    <t>Serv.Prest. 06/10/2025 a 12/10/2025 - PIX: CELULAR - CHAVE: (11) 98447-6954</t>
  </si>
  <si>
    <t>Serv.Prest. 06/10/2025 a 12/10/2025 - PIX: CELULAR - CHAVE: (11) 97402-1586</t>
  </si>
  <si>
    <t>Serv.Prest. 06/10/2025 a 12/10/2025 - PIX: CELULAR - CHAVE: (11) 99992-0816</t>
  </si>
  <si>
    <t>Serv.Prest. 06/10/2025 a 12/10/2025 - PIX: E-MAIL - CHAVE: claudioverdinho2009@hotmail.com</t>
  </si>
  <si>
    <t>Serv.Prest. 06/10/2025 a 12/10/2025 - PIX: CELULAR - CHAVE: (41) 98421-2278</t>
  </si>
  <si>
    <t>Serv.Prest. 06/10/2025 a 12/10/2025 - PIX: CPF - CHAVE: 124.575.099-20</t>
  </si>
  <si>
    <t>Serv.Prest. 06/10/2025 a 12/10/2025 - PIX: E-MAIL - CHAVE: silvaalessandro3909@gmail.com</t>
  </si>
  <si>
    <t>Serv.Prest. 06/10/2025 a 12/10/2025 - PIX: CPF - CHAVE: 383.328.968-60</t>
  </si>
  <si>
    <t>Serv.Prest. 06/10/2025 a 12/10/2025 - PIX: CPF - CHAVE: 427.090.718-51</t>
  </si>
  <si>
    <t>Serv.Prest. 06/10/2025 a 12/10/2025 - PIX: CPF - CHAVE: 471.142.438-55</t>
  </si>
  <si>
    <t>Serv.Prest. 06/10/2025 a 12/10/2025 - PIX: CELULAR - CHAVE: (11) 94195-2534</t>
  </si>
  <si>
    <t>Serv.Prest. 06/10/2025 a 12/10/2025 - PIX: CELULAR - CHAVE: (33) 99924-7557</t>
  </si>
  <si>
    <t>Serv.Prest. 06/10/2025 a 12/10/2025 - PIX: CELULAR - CHAVE: (31) 98412-5118</t>
  </si>
  <si>
    <t>Serv.Prest. 06/10/2025 a 12/10/2025 - PIX: CELULAR - CHAVE: (73) 98191-0061</t>
  </si>
  <si>
    <t>Serv.Prest. 06/10/2025 a 12/10/2025 - PIX: CPF - CHAVE: 009.265.655-24</t>
  </si>
  <si>
    <t>Serv.Prest. 06/10/2025 a 12/10/2025 - PIX: CPF - CHAVE: 378.223.888-51</t>
  </si>
  <si>
    <t>Serv.Prest. 06/10/2025 a 12/10/2025 - PIX: CPF - CHAVE: 174.029.607-90</t>
  </si>
  <si>
    <t>Serv.Prest. 06/10/2025 a 12/10/2025 - PIX: CELULAR - CHAVE: (33) 99194-2339</t>
  </si>
  <si>
    <t>Serv.Prest. 06/10/2025 a 12/10/2025 - PIX: CELULAR - CHAVE: (28) 99988-2177</t>
  </si>
  <si>
    <t>Serv.Prest. 06/10/2025 a 12/10/2025 - PIX: CELULAR - CHAVE: (28) 98816-4170</t>
  </si>
  <si>
    <t>Serv.Prest. 06/10/2025 a 12/10/2025 - PIX: CELULAR - CHAVE: (71) 99696-7530</t>
  </si>
  <si>
    <t>Serv.Prest. 06/10/2025 a 12/10/2025 - PIX: CELULAR - CHAVE: (71) 99214-9256</t>
  </si>
  <si>
    <t>Serv.Prest. 06/10/2025 a 12/10/2025 - PIX: E-MAIL - CHAVE: edvam18.alves@gmail.com</t>
  </si>
  <si>
    <t>Serv.Prest. 06/10/2025 a 12/10/2025 - PIX: CPF - CHAVE: 048.672.645-20</t>
  </si>
  <si>
    <t>Serv.Prest. 06/10/2025 a 12/10/2025 - PIX: CELULAR - CHAVE: (34) 99772-2954</t>
  </si>
  <si>
    <t>Serv.Prest. 06/10/2025 a 12/10/2025 - PIX: CELULAR - CHAVE: (73) 988381077</t>
  </si>
  <si>
    <t>Serv.Prest. 06/10/2025 a 12/10/2025 - PIX: CELULAR - CHAVE: (27) 99916-8443</t>
  </si>
  <si>
    <t>Serv.Prest. 26/10/2025 a 05/11/2025 - PIX: CPF - CHAVE: 170.180.266-01</t>
  </si>
  <si>
    <t>Serv.Prest. 06/10/2025 a 12/10/2025 - RPS: 1378 - NFSe: 3502</t>
  </si>
  <si>
    <t>Serv.Prest. 29/09/2025 a 05/10/2025 - RPS: 1349 - NFSe: 3473</t>
  </si>
  <si>
    <t>Serv.Prest. 29/09/2025 a 05/10/2025 - RPS: 1350 - NFSe: 3474</t>
  </si>
  <si>
    <t>Serv.Prest. 29/09/2025 a 05/10/2025 - RPS: 1351 - NFSe: 3475</t>
  </si>
  <si>
    <t>Serv.Prest. 06/10/2025 a 12/10/2025 - RPS: 1352 - NFSe: 3476</t>
  </si>
  <si>
    <t>Serv.Prest. 06/10/2025 a 12/10/2025 - RPS: 1354 - NFSe: 3478</t>
  </si>
  <si>
    <t>Serv.Prest. 06/10/2025 a 12/10/2025 - RPS: 1355 - NFSe: 3479</t>
  </si>
  <si>
    <t>Serv.Prest. 06/10/2025 a 12/10/2025 - RPS: 1359 - NFSe: 3483</t>
  </si>
  <si>
    <t>Serv.Prest. 06/10/2025 a 12/10/2025 - RPS: 1363 - NFSe: 3487</t>
  </si>
  <si>
    <t>Serv.Prest. 06/10/2025 a 12/10/2025 - RPS: 1364 - NFSe: 3488</t>
  </si>
  <si>
    <t>Serv.Prest. 06/10/2025 a 12/10/2025 - RPS: 1365 - NFSe: 3489</t>
  </si>
  <si>
    <t>Serv.Prest. 06/10/2025 a 12/10/2025 - RPS: 1366 - NFSe: 3490</t>
  </si>
  <si>
    <t>Serv.Prest. 06/10/2025 a 12/10/2025 - RPS: 1367 - NFSe: 3491</t>
  </si>
  <si>
    <t>Serv.Prest. 06/10/2025 a 12/10/2025 - RPS: 1368 - NFSe: 3492</t>
  </si>
  <si>
    <t>Serv.Prest. 06/10/2025 a 12/10/2025 - RPS: 1369 - NFSe: 3493</t>
  </si>
  <si>
    <t>Serv.Prest. 06/10/2025 a 12/10/2025 - RPS: 1370 - NFSe: 3494</t>
  </si>
  <si>
    <t>Serv.Prest. 06/10/2025 a 12/10/2025 - RPS: 1371 - NFSe: 3495</t>
  </si>
  <si>
    <t>Serv.Prest. 06/10/2025 a 12/10/2025 - RPS: 1372 - NFSe: 3496</t>
  </si>
  <si>
    <t>Serv.Prest. 13/10/2025 a 19/10/2025 - PIX: E-MAIL - CHAVE: irenefragoso45@gmail.com</t>
  </si>
  <si>
    <t>Serv.Prest. 13/10/2025 a 19/10/2025 - PIX: CELULAR - CHAVE: (11) 98310-4830</t>
  </si>
  <si>
    <t>Serv.Prest. 13/10/2025 a 19/10/2025 - PIX: CELULAR - CHAVE: (11) 95530-0331</t>
  </si>
  <si>
    <t>Serv.Prest. 06/10/2025 a 12/10/2025 - RPS: 1362 - NFSe: 3486</t>
  </si>
  <si>
    <t>Serv.Prest. 06/10/2025 a 12/10/2025 - RPS: 1379 - NFSe: 3503</t>
  </si>
  <si>
    <t>Serv.Prest. 06/10/2025 a 12/10/2025 - RPS: 1380 - NFSe: 3504</t>
  </si>
  <si>
    <t>Serv.Prest. 06/10/2025 a 12/10/2025 - RPS: 1381 - NFSe: 3505</t>
  </si>
  <si>
    <t>Serv.Prest. 06/10/2025 a 12/10/2025 - RPS: 1382 - NFSe: 3506</t>
  </si>
  <si>
    <t>Serv.Prest. 13/10/2025 a 19/10/2025 - PIX: CELULAR - CHAVE: (11) 96409-0865</t>
  </si>
  <si>
    <t>Serv.Prest. 06/10/2025 a 12/10/2025 - PIX: CPF - CHAVE: 159.443.306-27</t>
  </si>
  <si>
    <t>Serv.Prest. 06/10/2025 a 12/10/2025 - RPS: 1356 - NFSe: 3480</t>
  </si>
  <si>
    <t>Serv.Prest. 13/10/2025 a 19/10/2025 - PIX: CPF - CHAVE: 281.600.398-16</t>
  </si>
  <si>
    <t>Serv.Prest. 13/10/2025 a 19/10/2025 - PIX: CPF - CHAVE: 361.750.258-06</t>
  </si>
  <si>
    <t>Serv.Prest. 13/10/2025 a 19/10/2025 - PIX: CPF - CHAVE: 396.124.108-28</t>
  </si>
  <si>
    <t>Serv.Prest. 13/10/2025 a 19/10/2025 - PIX: CPF - CHAVE: 290.093.188-69</t>
  </si>
  <si>
    <t>Serv.Prest. 13/10/2025 a 19/10/2025 - PIX: CELULAR - CHAVE: (11) 91767-9056</t>
  </si>
  <si>
    <t>INSS PRESTADORES MES 09/2025</t>
  </si>
  <si>
    <t>Serv.Prest. 13/10/2025 a 19/10/2025 - PIX: CPF - CHAVE: 052.353.883-99</t>
  </si>
  <si>
    <t>Serv.Prest. 29/09/2025 a 05/10/2025 - RPS: 1325 - NFSe: 3449</t>
  </si>
  <si>
    <t>Serv.Prest. 29/09/2025 a 05/10/2025 - RPS: 1326 - NFSe: 3450</t>
  </si>
  <si>
    <t>LANCHES/REFEIÇÕES (708)</t>
  </si>
  <si>
    <t>DESPESAS DE VIAGEM</t>
  </si>
  <si>
    <t>Diaria na farmacia Indiana Joao Monlevade Farmácia INDIANA LJ 110</t>
  </si>
  <si>
    <t>Serv.Prest. 13/10/2025 a 19/10/2025 - PIX: CPF - CHAVE: 157.591.436-03</t>
  </si>
  <si>
    <t>Serv.Prest. 13/10/2025 a 19/10/2025 - PIX: CPF - CHAVE: 106.393.056-10</t>
  </si>
  <si>
    <t>Serv.Prest. 13/10/2025 a 19/10/2025 - PIX: CPF - CHAVE: 141.994.266-20</t>
  </si>
  <si>
    <t>Serv.Prest. 13/10/2025 a 19/10/2025 - PIX: CELULAR - CHAVE: (31) 99373-5678</t>
  </si>
  <si>
    <t>Serv.Prest. 13/10/2025 a 19/10/2025 - PIX: CELULAR - CHAVE: (32) 99913-0476</t>
  </si>
  <si>
    <t>Serv.Prest. 13/10/2025 a 19/10/2025 - PIX: CELULAR - CHAVE: (31) 99680-9634</t>
  </si>
  <si>
    <t>Serv.Prest. 13/10/2025 a 19/10/2025 - PIX: CELULAR - CHAVE: (11) 95906-5439</t>
  </si>
  <si>
    <t>Serv.Prest. 13/10/2025 a 19/10/2025 - PIX: CELULAR - CHAVE: (11) 94195-2534</t>
  </si>
  <si>
    <t>Serv.Prest. 13/10/2025 a 19/10/2025 - PIX: CELULAR - CHAVE: (11) 98281-4526</t>
  </si>
  <si>
    <t>Serv.Prest. 13/10/2025 a 19/10/2025 - PIX: CELULAR - CHAVE: (11) 97702-1316</t>
  </si>
  <si>
    <t>Serv.Prest. 13/10/2025 a 19/10/2025 - PIX: CELULAR - CHAVE: (11) 94212-6784</t>
  </si>
  <si>
    <t>PAGO PARA ULISSES SOUSA SANTOS - Serv.Prest. 20/10/2025 a 26/10/2025</t>
  </si>
  <si>
    <t>Serv.Prest. 20/10/2025 a 26/10/2025 - PIX: CELULAR - CHAVE: (11) 95530-0331</t>
  </si>
  <si>
    <t>Serv.Prest. 20/10/2025 a 26/10/2025 - PIX: CELULAR - CHAVE: (11) 96366-0000</t>
  </si>
  <si>
    <t>Serv.Prest. 13/10/2025 a 19/10/2025 - PIX: CELULAR - CHAVE: (19) 98944-4977</t>
  </si>
  <si>
    <t>Serv.Prest. 06/10/2025 a 12/10/2025 - PIX: CPF - CHAVE: 091.575.986-14</t>
  </si>
  <si>
    <t>Serv.Prest. 13/10/2025 a 19/10/2025 - PIX: CPF - CHAVE: 463.491.858-70</t>
  </si>
  <si>
    <t>Serv.Prest. 13/10/2025 a 19/10/2025 - PIX: CPF - CHAVE: 423.098.018-36</t>
  </si>
  <si>
    <t>Serv.Prest. 13/10/2025 a 19/10/2025 - PIX: CELULAR - CHAVE: (11) 98447-6954</t>
  </si>
  <si>
    <t>Serv.Prest. 13/10/2025 a 19/10/2025 - PIX: CPF - CHAVE: 097.245.586-81</t>
  </si>
  <si>
    <t>Serv.Prest. 13/10/2025 a 19/10/2025 - PIX: CPF - CHAVE: 096.891.935-97</t>
  </si>
  <si>
    <t>Serv.Prest. 06/10/2025 a 12/10/2025 - RPS: 1376 - NFSe: 3500</t>
  </si>
  <si>
    <t>Serv.Prest. 13/10/2025 a 19/10/2025 - RPS: 1388 - NFSe: 3512</t>
  </si>
  <si>
    <t>Serv.Prest. 13/10/2025 a 19/10/2025 - RPS: 1387 - NFSe: 3511</t>
  </si>
  <si>
    <t>Serv.Prest. 13/10/2025 a 19/10/2025 - RPS: 1405 - NFSe: 3529</t>
  </si>
  <si>
    <t>Serv.Prest. 13/10/2025 a 19/10/2025 - RPS: 1407 - NFSe: 3531</t>
  </si>
  <si>
    <t>Serv.Prest. 13/10/2025 a 19/10/2025 - RPS: 1408 - NFSe: 3532</t>
  </si>
  <si>
    <t>Serv.Prest. 13/10/2025 a 19/10/2025 - RPS: 1419 - NFSe: 3543</t>
  </si>
  <si>
    <t>Serv.Prest. 13/10/2025 a 19/10/2025 - RPS: 1392 - NFSe: 3516</t>
  </si>
  <si>
    <t>Serv.Prest. 13/10/2025 a 19/10/2025 - RPS: 1393 - NFSe: 3517</t>
  </si>
  <si>
    <t>Serv.Prest. 13/10/2025 a 19/10/2025 - RPS: 1394 - NFSe: 3518</t>
  </si>
  <si>
    <t>Serv.Prest. 13/10/2025 a 19/10/2025 - RPS: 1395 - NFSe: 3519</t>
  </si>
  <si>
    <t>Serv.Prest. 13/10/2025 a 19/10/2025 - RPS: 1397 - NFSe: 3521</t>
  </si>
  <si>
    <t>Serv.Prest. 13/10/2025 a 19/10/2025 - RPS: 1401 - NFSe: 3525</t>
  </si>
  <si>
    <t>Serv.Prest. 13/10/2025 a 19/10/2025 - RPS: 1390 - NFSe: 3513</t>
  </si>
  <si>
    <t>Serv.Prest. 13/10/2025 a 19/10/2025 - RPS: 1391 - NFSe: 3514</t>
  </si>
  <si>
    <t>Serv.Prest. 13/10/2025 a 19/10/2025 - RPS: 1396 - NFSe: 3520</t>
  </si>
  <si>
    <t>Serv.Prest. 13/10/2025 a 19/10/2025 - RPS: 1399 - NFSe: 3523</t>
  </si>
  <si>
    <t>Serv.Prest. 13/10/2025 a 19/10/2025 - RPS: 1400 - NFSe: 3524</t>
  </si>
  <si>
    <t>Serv.Prest. 13/10/2025 a 19/10/2025 - RPS: 1402 - NFSe: 3526</t>
  </si>
  <si>
    <t>Serv.Prest. 13/10/2025 a 19/10/2025 - RPS: 1403 - NFSe: 3527</t>
  </si>
  <si>
    <t>DESPESAS VIAGEM UBERABA - DROGALIDER</t>
  </si>
  <si>
    <t>Serv.Prest. 20/10/2025 a 26/10/2025 - PIX: CPF - CHAVE: 052.353.883-99</t>
  </si>
  <si>
    <t>Serv.Prest. 20/10/2025 a 26/10/2025 - PIX: CELULAR - CHAVE: (11) 91439-9070</t>
  </si>
  <si>
    <t>Serv.Prest. 20/10/2025 a 26/10/2025 - PIX: CELULAR - CHAVE: (11) 99220-4018</t>
  </si>
  <si>
    <t>Serv.Prest. 20/10/2025 a 26/10/2025 - PIX: CELULAR - CHAVE: (11) 95764-9968</t>
  </si>
  <si>
    <t>Serv.Prest. 13/10/2025 a 19/10/2025 - RPS: 1398 - NFSe: 3522</t>
  </si>
  <si>
    <t>Serv.Prest. 06/10/2025 a 12/10/2025 - PIX: CPF - CHAVE: 179.800.027-09</t>
  </si>
  <si>
    <t>Serv.Prest. 13/10/2025 a 19/10/2025 - RPS: 1386 - NFSe: 3510</t>
  </si>
  <si>
    <t>Serv.Prest. 06/10/2025 a 12/10/2025 - RPS: 1385 - NFSe: 3509</t>
  </si>
  <si>
    <t>Serv.Prest. 06/10/2025 a 12/10/2025 - RPS: 1384 - NFSe: 3508</t>
  </si>
  <si>
    <t>Serv.Prest. 06/10/2025 a 12/10/2025 - RPS: 1383 - NFSe: 3507</t>
  </si>
  <si>
    <t>Serv.Prest. 13/10/2025 a 19/10/2025 - RPS: 1404 - NFSe: 3528</t>
  </si>
  <si>
    <t>Serv.Prest. 13/10/2025 a 19/10/2025 - RPS: 1409 - NFSe: 3533</t>
  </si>
  <si>
    <t>Serv.Prest. 13/10/2025 a 19/10/2025 - RPS: 1410 - NFSe: 3534</t>
  </si>
  <si>
    <t>Serv.Prest. 13/10/2025 a 19/10/2025 - RPS: 1411 - NFSe: 3535</t>
  </si>
  <si>
    <t>Serv.Prest. 13/10/2025 a 19/10/2025 - RPS: 1414 - NFSe: 3538</t>
  </si>
  <si>
    <t>Serv.Prest. 13/10/2025 a 19/10/2025 - RPS: 1417 - NFSe: 3541</t>
  </si>
  <si>
    <t>Serv.Prest. 13/10/2025 a 19/10/2025 - RPS: 1418 - NFSe: 3542</t>
  </si>
  <si>
    <t>Serv.Prest. 13/10/2025 a 19/10/2025 - RPS: 1420 - NFSe: 3544</t>
  </si>
  <si>
    <t>Serv.Prest. 13/10/2025 a 19/10/2025 - RPS: 1421 - NFSe: 3545</t>
  </si>
  <si>
    <t>Serv.Prest. 13/10/2025 a 19/10/2025 - RPS: 1425 - NFSe: 3549</t>
  </si>
  <si>
    <t>Serv.Prest. 13/10/2025 a 19/10/2025 - RPS: 1426 - NFSe: 3550</t>
  </si>
  <si>
    <t>MENSALIDADE UNICO CONTATO - CRM + DISPARA 09/2025</t>
  </si>
  <si>
    <t>Serv.Prest. 13/10/2025 a 19/10/2025 - PIX: CPF - CHAVE: 506.935.218-05</t>
  </si>
  <si>
    <t>Serv.Prest. 13/10/2025 a 19/10/2025 - PIX: CPF - CHAVE: 370.849.948-40</t>
  </si>
  <si>
    <t>Serv.Prest. 13/10/2025 a 19/10/2025 - PIX: CELULAR - CHAVE: (11) 98768-7863</t>
  </si>
  <si>
    <t>Serv.Prest. 13/10/2025 a 19/10/2025 - PIX: CPF - CHAVE: 100.710.806-19</t>
  </si>
  <si>
    <t>Serv.Prest. 13/10/2025 a 19/10/2025 - PIX: CPF - CHAVE: 140.108.466-40</t>
  </si>
  <si>
    <t>Serv.Prest. 13/10/2025 a 19/10/2025 - PIX: CNPJ - CHAVE: 51.676.704/0001-10</t>
  </si>
  <si>
    <t>Serv.Prest. 13/10/2025 a 19/10/2025 - PIX: CELULAR - CHAVE: (32) 99920-0416</t>
  </si>
  <si>
    <t>Serv.Prest. 06/10/2025 a 12/10/2025 - PIX: CPF - CHAVE: 074.604.219-10</t>
  </si>
  <si>
    <t>Serv.Prest. 06/10/2025 a 12/10/2025 - PIX: CELULAR - CHAVE: (43) 99934-1696</t>
  </si>
  <si>
    <t>Serv.Prest. 06/10/2025 a 12/10/2025 - PIX: CPF - CHAVE: 004.682.359-06</t>
  </si>
  <si>
    <t>Serv.Prest. 06/10/2025 a 12/10/2025 - PIX: E-MAIL - CHAVE: alanacosta1999@gmail.com</t>
  </si>
  <si>
    <t>Serv.Prest. 06/10/2025 a 12/10/2025 - PIX: CELULAR - CHAVE: (43) 99630-7532</t>
  </si>
  <si>
    <t>Serv.Prest. 06/10/2025 a 12/10/2025 - PIX: CPF - CHAVE: 975.425.989-53</t>
  </si>
  <si>
    <t>Serv.Prest. 06/10/2025 a 12/10/2025 - PIX: CPF - CHAVE: 878.196.869-87</t>
  </si>
  <si>
    <t>Serv.Prest. 13/10/2025 a 19/10/2025 - PIX: CPF - CHAVE: 419.678.508-52</t>
  </si>
  <si>
    <t>Serv.Prest. 13/10/2025 a 19/10/2025 - PIX: CELULAR - CHAVE: (11) 95038-0621</t>
  </si>
  <si>
    <t>Serv.Prest. 13/10/2025 a 19/10/2025 - PIX: CPF - CHAVE: 396.877.618-65</t>
  </si>
  <si>
    <t>Serv.Prest. 13/10/2025 a 19/10/2025 - PIX: CNPJ - CHAVE: 52.606.983/0001-08</t>
  </si>
  <si>
    <t>Serv.Prest. 13/10/2025 a 19/10/2025 - PIX: CPF - CHAVE: 026.422.254-70</t>
  </si>
  <si>
    <t>Serv.Prest. 13/10/2025 a 19/10/2025 - PIX: CPF - CHAVE: 469.543.578-04</t>
  </si>
  <si>
    <t>Serv.Prest. 13/10/2025 a 19/10/2025 - PIX: CPF - CHAVE: 489.237.478-40</t>
  </si>
  <si>
    <t>Serv.Prest. 13/10/2025 a 19/10/2025 - PIX: CPF - CHAVE: 471.142.438-55</t>
  </si>
  <si>
    <t>Serv.Prest. 13/10/2025 a 19/10/2025 - PIX: CELULAR - CHAVE: (11) 99270-3082</t>
  </si>
  <si>
    <t>Serv.Prest. 13/10/2025 a 19/10/2025 - PIX: CELULAR - CHAVE: (11) 98484-6837</t>
  </si>
  <si>
    <t>Serv.Prest. 13/10/2025 a 19/10/2025 - PIX: CELULAR - CHAVE: (11) 95054-2206</t>
  </si>
  <si>
    <t>Serv.Prest. 13/10/2025 a 19/10/2025 - PIX: CELULAR - CHAVE: (11) 98144-5840</t>
  </si>
  <si>
    <t>Serv.Prest. 13/10/2025 a 19/10/2025 - PIX: CPF - CHAVE: 427.090.718-51</t>
  </si>
  <si>
    <t>Serv.Prest. 13/10/2025 a 19/10/2025 - PIX: CELULAR - CHAVE: (11) 98612-9589</t>
  </si>
  <si>
    <t>Serv.Prest. 13/10/2025 a 19/10/2025 - PIX: CPF - CHAVE: 500.480.978-02</t>
  </si>
  <si>
    <t>Serv.Prest. 13/10/2025 a 19/10/2025 - PIX: E-MAIL - CHAVE: silvaalessandro3909@gmail.com</t>
  </si>
  <si>
    <t>Serv.Prest. 13/10/2025 a 19/10/2025 - PIX: CPF - CHAVE: 383.328.968-60</t>
  </si>
  <si>
    <t>Serv.Prest. 13/10/2025 a 19/10/2025 - PIX: CELULAR - CHAVE: (62) 99550-3226</t>
  </si>
  <si>
    <t>Serv.Prest. 13/10/2025 a 19/10/2025 - PIX: CPF - CHAVE: 012.600.851-55</t>
  </si>
  <si>
    <t>Serv.Prest. 13/10/2025 a 19/10/2025 - PIX: CELULAR - CHAVE: (11) 95552-9905</t>
  </si>
  <si>
    <t>Serv.Prest. 13/10/2025 a 19/10/2025 - PIX: CPF - CHAVE: 505.341.528-56</t>
  </si>
  <si>
    <t>Serv.Prest. 13/10/2025 a 19/10/2025 - PIX: CELULAR - CHAVE: (11) 91214-6176</t>
  </si>
  <si>
    <t>Serv.Prest. 13/10/2025 a 19/10/2025 - PIX: CELULAR - CHAVE: (31) 99376-7989</t>
  </si>
  <si>
    <t>Serv.Prest. 13/10/2025 a 19/10/2025 - PIX: CPF - CHAVE: 103.983.366-79</t>
  </si>
  <si>
    <t>Serv.Prest. 13/10/2025 a 19/10/2025 - PIX: CPF - CHAVE: 138.263.636-98</t>
  </si>
  <si>
    <t>Serv.Prest. 13/10/2025 a 19/10/2025 - PIX: CPF - CHAVE: 128.367.756-37</t>
  </si>
  <si>
    <t>Serv.Prest. 13/10/2025 a 19/10/2025 - PIX: CPF - CHAVE: 147.592.156-03</t>
  </si>
  <si>
    <t>Serv.Prest. 13/10/2025 a 19/10/2025 - PIX: CPF - CHAVE: 138.798.486-10</t>
  </si>
  <si>
    <t>Serv.Prest. 13/10/2025 a 19/10/2025 - PIX: CELULAR - CHAVE: (11) 97402-1586</t>
  </si>
  <si>
    <t>Serv.Prest. 13/10/2025 a 19/10/2025 - PIX: CELULAR - CHAVE: (11) 99992-0816</t>
  </si>
  <si>
    <t>Serv.Prest. 13/10/2025 a 19/10/2025 - PIX: CELULAR - CHAVE: (37) 99146-2630</t>
  </si>
  <si>
    <t>Serv.Prest. 13/10/2025 a 19/10/2025 - PIX: CPF - CHAVE: 090.332.006-19</t>
  </si>
  <si>
    <t>Serv.Prest. 13/10/2025 a 19/10/2025 - PIX: CELULAR - CHAVE: (37) 99197-6834</t>
  </si>
  <si>
    <t>Serv.Prest. 13/10/2025 a 19/10/2025 - PIX: CPF - CHAVE: 950.176.406-06</t>
  </si>
  <si>
    <t>Serv.Prest. 13/10/2025 a 19/10/2025 - PIX: CELULAR - CHAVE: (37) 99138-1777</t>
  </si>
  <si>
    <t>Serv.Prest. 13/10/2025 a 19/10/2025 - PIX: CELULAR - CHAVE: (37) 98841-8571</t>
  </si>
  <si>
    <t>Serv.Prest. 13/10/2025 a 19/10/2025 - PIX: CELULAR - CHAVE: (33) 99924-7557</t>
  </si>
  <si>
    <t>Serv.Prest. 13/10/2025 a 19/10/2025 - PIX: CPF - CHAVE: 100.826.516-04</t>
  </si>
  <si>
    <t>Serv.Prest. 13/10/2025 a 19/10/2025 - PIX: CPF - CHAVE: 126.686.406-79</t>
  </si>
  <si>
    <t>Serv.Prest. 13/10/2025 a 19/10/2025 - PIX: CPF - CHAVE: 016.203.336-27</t>
  </si>
  <si>
    <t>Serv.Prest. 13/10/2025 a 19/10/2025 - PIX: CELULAR - CHAVE: (64) 97400-9101</t>
  </si>
  <si>
    <t>Serv.Prest. 13/10/2025 a 19/10/2025 - PIX: E-MAIL - CHAVE: claudioverdinho2009@hotmail.com</t>
  </si>
  <si>
    <t>Serv.Prest. 13/10/2025 a 19/10/2025 - PIX: CELULAR - CHAVE: (41) 98421-2278</t>
  </si>
  <si>
    <t>Serv.Prest. 13/10/2025 a 19/10/2025 - PIX: CPF - CHAVE: 124.575.099-20</t>
  </si>
  <si>
    <t>Serv.Prest. 13/10/2025 a 19/10/2025 - PIX: CELULAR - CHAVE: (28) 99988-2177</t>
  </si>
  <si>
    <t>Serv.Prest. 13/10/2025 a 19/10/2025 - PIX: CELULAR - CHAVE: (28) 98816-4170</t>
  </si>
  <si>
    <t>Serv.Prest. 13/10/2025 a 19/10/2025 - PIX: CELULAR - CHAVE: (71) 99696-7530</t>
  </si>
  <si>
    <t>Serv.Prest. 13/10/2025 a 19/10/2025 - PIX: CELULAR - CHAVE: (71) 99214-9256</t>
  </si>
  <si>
    <t>Serv.Prest. 13/10/2025 a 19/10/2025 - PIX: E-MAIL - CHAVE: edvam18.alves@gmail.com</t>
  </si>
  <si>
    <t>Serv.Prest. 13/10/2025 a 19/10/2025 - PIX: CPF - CHAVE: 048.672.645-20</t>
  </si>
  <si>
    <t>Serv.Prest. 13/10/2025 a 19/10/2025 - PIX: CELULAR - CHAVE: (71) 98124-7946</t>
  </si>
  <si>
    <t>Serv.Prest. 13/10/2025 a 19/10/2025 - PIX: CELULAR - CHAVE: (34) 99772-2954</t>
  </si>
  <si>
    <t>DIARIAS VIAGEM PARA SAO PAULO (PENSE FARMA) - PIX: CPF - CHAVE: 423.098.018-36</t>
  </si>
  <si>
    <t>PAGAMENTO PRESTACAO DE SERVICOS - PIX CELULAR (11) 99181-5502</t>
  </si>
  <si>
    <t>Serv.Prest. 13/10/2025 a 19/10/2025 - PIX: CELULAR - CHAVE: (73) 988381077</t>
  </si>
  <si>
    <t>Serv.Prest. 13/10/2025 a 19/10/2025 - PIX: CPF - CHAVE: 077.317.327-70</t>
  </si>
  <si>
    <t>DIARIA 11/10/2025 - JOAO MONLEVADE - PIX: CPF - CHAVE: 113.084.266-58</t>
  </si>
  <si>
    <t>Serv.Prest. 06/10/2025 a 12/10/2025 - RPS: 1374 - NFSe: 3498</t>
  </si>
  <si>
    <t>Serv.Prest. 06/10/2025 a 12/10/2025 - PIX: CELULAR - CHAVE: (33) 99877-0415</t>
  </si>
  <si>
    <t>Serv.Prest. 06/10/2025 a 12/10/2025 - PIX: CPF - CHAVE: 099.626.666-60</t>
  </si>
  <si>
    <t>Serv.Prest. 06/10/2025 a 12/10/2025 - PIX: E-MAIL - CHAVE: anissoanidaldepaula@gmail.com</t>
  </si>
  <si>
    <t>Serv.Prest. 06/10/2025 a 12/10/2025 - PIX: CPF - CHAVE: 037.192.076-09</t>
  </si>
  <si>
    <t>Serv.Prest. 06/10/2025 a 12/10/2025 - PIX: CELULAR - CHAVE: (33) 99110-6940</t>
  </si>
  <si>
    <t>Serv.Prest. 06/10/2025 a 12/10/2025 - PIX: CPF - CHAVE: 137.446.146-62</t>
  </si>
  <si>
    <t>Serv.Prest. 06/10/2025 a 12/10/2025 - PIX: CPF - CHAVE: 155.328.666-94</t>
  </si>
  <si>
    <t>Serv.Prest. 06/10/2025 a 12/10/2025 - PIX: CELULAR - CHAVE: (32) 98896-0708</t>
  </si>
  <si>
    <t>Serv.Prest. 06/10/2025 a 12/10/2025 - PIX: CELULAR - CHAVE: (32) 99166-8238</t>
  </si>
  <si>
    <t>Serv.Prest. 06/10/2025 a 12/10/2025 - PIX: CELULAR - CHAVE: (33) 98845-4528</t>
  </si>
  <si>
    <t>Serv.Prest. 06/10/2025 a 12/10/2025 - PIX: CELULAR - CHAVE: (31) 98511-2851</t>
  </si>
  <si>
    <t>Serv.Prest. 06/10/2025 a 12/10/2025 - PIX: CELULAR - CHAVE: (32) 99177-6167</t>
  </si>
  <si>
    <t>Serv.Prest. 06/10/2025 a 12/10/2025 - PIX: CPF - CHAVE: 110.483.296-82</t>
  </si>
  <si>
    <t>Serv.Prest. 06/10/2025 a 12/10/2025 - PIX: CELULAR - CHAVE: (33) 98749-5105</t>
  </si>
  <si>
    <t>Serv.Prest. 06/10/2025 a 12/10/2025 - PIX: CELULAR - CHAVE: (33) 99802-1883</t>
  </si>
  <si>
    <t>Serv.Prest. 06/10/2025 a 12/10/2025 - PIX: CELULAR - CHAVE: (31) 99610-7049</t>
  </si>
  <si>
    <t>Serv.Prest. 06/10/2025 a 12/10/2025 - PIX: E-MAIL - CHAVE: turano296801@gmail.com</t>
  </si>
  <si>
    <t>Serv.Prest. 06/10/2025 a 12/10/2025 - PIX: CPF - CHAVE: 102.023.716-38</t>
  </si>
  <si>
    <t>Serv.Prest. 06/10/2025 a 12/10/2025 - PIX: CELULAR - CHAVE: (33) 98890-5095</t>
  </si>
  <si>
    <t>Serv.Prest. 06/10/2025 a 12/10/2025 - PIX: CELULAR - CHAVE: (33) 99199-7983</t>
  </si>
  <si>
    <t>Serv.Prest. 06/10/2025 a 12/10/2025 - PIX: CPF - CHAVE: 141.134.256-98</t>
  </si>
  <si>
    <t>Serv.Prest. 06/10/2025 a 12/10/2025 - PIX: CPF - CHAVE: 070.073.316-70</t>
  </si>
  <si>
    <t>Serv.Prest. 06/10/2025 a 12/10/2025 - PIX: CELULAR - CHAVE: (31) 98483-3242</t>
  </si>
  <si>
    <t>Serv.Prest. 06/10/2025 a 12/10/2025 - PIX: CPF - CHAVE: 160.160.216-28</t>
  </si>
  <si>
    <t>Serv.Prest. 06/10/2025 a 12/10/2025 - PIX: CELULAR - CHAVE: (33) 98857-0494</t>
  </si>
  <si>
    <t>Serv.Prest. 06/10/2025 a 12/10/2025 - PIX: CPF - CHAVE: 386.313.426-53</t>
  </si>
  <si>
    <t>Serv.Prest. 06/10/2025 a 12/10/2025 - PIX: CELULAR - CHAVE: (33) 99706-4860</t>
  </si>
  <si>
    <t>Serv.Prest. 06/10/2025 a 12/10/2025 - PIX: CELULAR - CHAVE: (31) 99816-8965</t>
  </si>
  <si>
    <t>Serv.Prest. 06/10/2025 a 12/10/2025 - PIX: CPF - CHAVE: 113.084.266-58</t>
  </si>
  <si>
    <t>Serv.Prest. 06/10/2025 a 12/10/2025 - PIX: CPF - CHAVE: 067.393.286-92</t>
  </si>
  <si>
    <t>Serv.Prest. 06/10/2025 a 12/10/2025 - PIX: CPF - CHAVE: 121.297.376-33</t>
  </si>
  <si>
    <t>Serv.Prest. 06/10/2025 a 12/10/2025 - PIX: CELULAR - CHAVE: (31) 99812-7173</t>
  </si>
  <si>
    <t>Serv.Prest. 06/10/2025 a 12/10/2025 - PIX: CPF - CHAVE: 126.873.296-65</t>
  </si>
  <si>
    <t>Serv.Prest. 06/10/2025 a 12/10/2025 - PIX: CPF - CHAVE: 023.645.626-19</t>
  </si>
  <si>
    <t>Serv.Prest. 06/10/2025 a 12/10/2025 - PIX: CELULAR - CHAVE: (33) 98836-6015</t>
  </si>
  <si>
    <t>Serv.Prest. 06/10/2025 a 12/10/2025 - PIX: E-MAIL - CHAVE: jhonantanlacerda@gmail.com</t>
  </si>
  <si>
    <t>Serv.Prest. 06/10/2025 a 12/10/2025 - PIX: CPF - CHAVE: 602.838.315-53</t>
  </si>
  <si>
    <t>Serv.Prest. 06/10/2025 a 12/10/2025 - PIX: CPF - CHAVE: 043.301.196-33</t>
  </si>
  <si>
    <t>Serv.Prest. 06/10/2025 a 12/10/2025 - PIX: CPF - CHAVE: 012.459.366-62</t>
  </si>
  <si>
    <t>Serv.Prest. 06/10/2025 a 12/10/2025 - PIX: CPF - CHAVE: 077.488.126-75</t>
  </si>
  <si>
    <t>Serv.Prest. 06/10/2025 a 12/10/2025 - PIX: CPF - CHAVE: 074.520.456-29</t>
  </si>
  <si>
    <t>Serv.Prest. 06/10/2025 a 12/10/2025 - PIX: CELULAR - CHAVE: (33) 99106-9330</t>
  </si>
  <si>
    <t>Serv.Prest. 06/10/2025 a 12/10/2025 - PIX: CHAVE ALEATÓRIA - CHAVE: c489bee1-360b-4fa9-86c4-fbb0e9844cb8</t>
  </si>
  <si>
    <t>Serv.Prest. 06/10/2025 a 12/10/2025 - PIX: CELULAR - CHAVE: (33) 98463-0821</t>
  </si>
  <si>
    <t>Serv.Prest. 06/10/2025 a 12/10/2025 - PIX: CELULAR - CHAVE: (31) 99850-4727</t>
  </si>
  <si>
    <t>Serv.Prest. 06/10/2025 a 12/10/2025 - PIX: CELULAR - CHAVE: (33) 98749-4693</t>
  </si>
  <si>
    <t>Serv.Prest. 06/10/2025 a 12/10/2025 - PIX: CPF - CHAVE: 161.508.516-56</t>
  </si>
  <si>
    <t>Serv.Prest. 06/10/2025 a 12/10/2025 - PIX: CELULAR - CHAVE: (33) 99172-0627</t>
  </si>
  <si>
    <t>Serv.Prest. 06/10/2025 a 12/10/2025 - PIX: CELULAR - CHAVE: (33) 99981-6650</t>
  </si>
  <si>
    <t>Serv.Prest. 06/10/2025 a 12/10/2025 - PIX: CPF - CHAVE: 101.220.976-88</t>
  </si>
  <si>
    <t>Serv.Prest. 06/10/2025 a 12/10/2025 - PIX: CPF - CHAVE: 129.269.326-69</t>
  </si>
  <si>
    <t>Serv.Prest. 06/10/2025 a 12/10/2025 - PIX: CPF - CHAVE: 705.097.186-39</t>
  </si>
  <si>
    <t>Serv.Prest. 06/10/2025 a 12/10/2025 - PIX: CELULAR - CHAVE: (33) 98427-3872</t>
  </si>
  <si>
    <t>Serv.Prest. 06/10/2025 a 12/10/2025 - PIX: CELULAR - CHAVE: (33) 99815-2379</t>
  </si>
  <si>
    <t>Serv.Prest. 06/10/2025 a 12/10/2025 - PIX: E-MAIL - CHAVE: meamatheusvieira@gmail.com</t>
  </si>
  <si>
    <t>Serv.Prest. 06/10/2025 a 12/10/2025 - PIX: CPF - CHAVE: 163.330.766-27</t>
  </si>
  <si>
    <t>Serv.Prest. 06/10/2025 a 12/10/2025 - PIX: CELULAR - CHAVE: (31) 99076-6539</t>
  </si>
  <si>
    <t>Serv.Prest. 06/10/2025 a 12/10/2025 - PIX: CELULAR - CHAVE: (33) 99845-0493</t>
  </si>
  <si>
    <t>Serv.Prest. 06/10/2025 a 12/10/2025 - PIX: CPF - CHAVE: 123.020.026-60</t>
  </si>
  <si>
    <t>Serv.Prest. 06/10/2025 a 12/10/2025 - PIX: CELULAR - CHAVE: (33) 98817-9868</t>
  </si>
  <si>
    <t>Serv.Prest. 06/10/2025 a 12/10/2025 - PIX: CPF - CHAVE: 108.680.396-59</t>
  </si>
  <si>
    <t>Serv.Prest. 06/10/2025 a 12/10/2025 - PIX: CPF - CHAVE: 037.974.316-78</t>
  </si>
  <si>
    <t>Serv.Prest. 06/10/2025 a 12/10/2025 - PIX: CELULAR - CHAVE: (31) 99216-8711</t>
  </si>
  <si>
    <t>Serv.Prest. 06/10/2025 a 12/10/2025 - PIX: CELULAR - CHAVE: (31) 97339-3761</t>
  </si>
  <si>
    <t>Serv.Prest. 06/10/2025 a 12/10/2025 - PIX: CELULAR - CHAVE: (35) 99264-4504</t>
  </si>
  <si>
    <t>Serv.Prest. 06/10/2025 a 12/10/2025 - PIX: CELULAR - CHAVE: (31) 99959-5414</t>
  </si>
  <si>
    <t>Serv.Prest. 06/10/2025 a 12/10/2025 - PIX: CPF - CHAVE: 012.783.036-77</t>
  </si>
  <si>
    <t>Serv.Prest. 06/10/2025 a 12/10/2025 - PIX: CELULAR - CHAVE: (31) 98891-8440</t>
  </si>
  <si>
    <t>Serv.Prest. 06/10/2025 a 12/10/2025 - PIX: E-MAIL - CHAVE: roger.l.borges04@gmail.com</t>
  </si>
  <si>
    <t>Serv.Prest. 06/10/2025 a 12/10/2025 - PIX: CELULAR - CHAVE: (33) 98840-0998</t>
  </si>
  <si>
    <t>Serv.Prest. 06/10/2025 a 12/10/2025 - PIX: CPF - CHAVE: 701.955.866-62</t>
  </si>
  <si>
    <t>Serv.Prest. 06/10/2025 a 12/10/2025 - PIX: CPF - CHAVE: 118.731.976-75</t>
  </si>
  <si>
    <t>Serv.Prest. 06/10/2025 a 12/10/2025 - PIX: CPF - CHAVE: 048.151.276-46</t>
  </si>
  <si>
    <t>Serv.Prest. 06/10/2025 a 12/10/2025 - PIX: CPF - CHAVE: 097.855.786-74</t>
  </si>
  <si>
    <t>Serv.Prest. 06/10/2025 a 12/10/2025 - PIX: CHAVE ALEATÓRIA - CHAVE: 1550e869-c9d7-4436-be93-6858fd0cb900</t>
  </si>
  <si>
    <t>Serv.Prest. 06/10/2025 a 12/10/2025 - PIX: CELULAR - CHAVE: (33) 99880-7941</t>
  </si>
  <si>
    <t>Serv.Prest. 06/10/2025 a 12/10/2025 - PIX: CPF - CHAVE: 092.566.416-23</t>
  </si>
  <si>
    <t>Serv.Prest. 06/10/2025 a 12/10/2025 - PIX: CPF - CHAVE: 157.874.046-02</t>
  </si>
  <si>
    <t>Serv.Prest. 06/10/2025 a 12/10/2025 - PIX: CPF - CHAVE: 130.194.566-81</t>
  </si>
  <si>
    <t>Serv.Prest. 06/10/2025 a 12/10/2025 - PIX: CELULAR - CHAVE: (33) 99118-9032</t>
  </si>
  <si>
    <t>Serv.Prest. 06/10/2025 a 12/10/2025 - PIX: CPF - CHAVE: 170.180.266-01</t>
  </si>
  <si>
    <t>Serv.Prest. 06/10/2025 a 12/10/2025 - PIX: CELULAR - CHAVE: (31) 97251-6838</t>
  </si>
  <si>
    <t>Serv.Prest. 06/10/2025 a 12/10/2025 - PIX: CELULAR - CHAVE: (32) 99800-1691</t>
  </si>
  <si>
    <t>Serv.Prest. 06/10/2025 a 12/10/2025 - PIX: CPF - CHAVE: 700.454.836-80</t>
  </si>
  <si>
    <t>Serv.Prest. 06/10/2025 a 12/10/2025 - PIX: CELULAR - CHAVE: (33) 98806-5772</t>
  </si>
  <si>
    <t>Serv.Prest. 06/10/2025 a 12/10/2025 - PIX: CELULAR - CHAVE: (33) 99996-3668</t>
  </si>
  <si>
    <t>Serv.Prest. 06/10/2025 a 12/10/2025 - PIX: CPF - CHAVE: 012.906.122-00</t>
  </si>
  <si>
    <t>Serv.Prest. 06/10/2025 a 12/10/2025 - PIX: E-MAIL - CHAVE: wilianvieirawrv3578@gmail.com</t>
  </si>
  <si>
    <t>Serv.Prest. 06/10/2025 a 12/10/2025 - PIX: CELULAR - CHAVE: (33) 99859-8751</t>
  </si>
  <si>
    <t>Serv.Prest. 06/10/2025 a 12/10/2025 - PIX: CPF - CHAVE: 036.875.515-04</t>
  </si>
  <si>
    <t>Serv.Prest. 06/10/2025 a 12/10/2025 - PIX: CELULAR - CHAVE: (73) 99966-7211</t>
  </si>
  <si>
    <t>Serv.Prest. 06/10/2025 a 12/10/2025 - PIX: CPF - CHAVE: 094.947.395-23</t>
  </si>
  <si>
    <t>Serv.Prest. 06/10/2025 a 12/10/2025 - PIX: E-MAIL - CHAVE: ericgomes508@gmail.com</t>
  </si>
  <si>
    <t>Serv.Prest. 06/10/2025 a 12/10/2025 - PIX: CPF - CHAVE: 087.398.185-51</t>
  </si>
  <si>
    <t>Serv.Prest. 06/10/2025 a 12/10/2025 - PIX: CELULAR - CHAVE: (73) 99941-8352</t>
  </si>
  <si>
    <t>Serv.Prest. 06/10/2025 a 12/10/2025 - PIX: CELULAR - CHAVE: (73) 98888-3793</t>
  </si>
  <si>
    <t>Serv.Prest. 06/10/2025 a 12/10/2025 - PIX: CPF - CHAVE: 439.169.103-53</t>
  </si>
  <si>
    <t>Serv.Prest. 06/10/2025 a 12/10/2025 - PIX: CELULAR - CHAVE: (73) 99115-9602</t>
  </si>
  <si>
    <t>Serv.Prest. 06/10/2025 a 12/10/2025 - PIX: CPF - CHAVE: 860.305.455-07</t>
  </si>
  <si>
    <t>Serv.Prest. 06/10/2025 a 12/10/2025 - PIX: CPF - CHAVE: 009.476.175-23</t>
  </si>
  <si>
    <t>Serv.Prest. 06/10/2025 a 12/10/2025 - PIX: CELULAR - CHAVE: (73) 98105-2187</t>
  </si>
  <si>
    <t>Serv.Prest. 06/10/2025 a 12/10/2025 - PIX: CPF - CHAVE: 094.700.685-05</t>
  </si>
  <si>
    <t>Serv.Prest. 06/10/2025 a 12/10/2025 - PIX: CELULAR - CHAVE: (73) 99803-0715</t>
  </si>
  <si>
    <t>Serv.Prest. 06/10/2025 a 12/10/2025 - PIX: CELULAR - CHAVE: (73) 99967-3239</t>
  </si>
  <si>
    <t>Serv.Prest. 06/10/2025 a 12/10/2025 - PIX: CPF - CHAVE: 003.157.195-67</t>
  </si>
  <si>
    <t>Serv.Prest. 06/10/2025 a 12/10/2025 - PIX: CNPJ - CHAVE: 33.412.676/0001-41</t>
  </si>
  <si>
    <t>Serv.Prest. 06/10/2025 a 12/10/2025 - PIX: CELULAR - CHAVE: (73) 99977-2721</t>
  </si>
  <si>
    <t>Serv.Prest. 06/10/2025 a 12/10/2025 - PIX: CELULAR - CHAVE: (73) 99818-9718</t>
  </si>
  <si>
    <t>Serv.Prest. 06/10/2025 a 12/10/2025 - PIX: CPF - CHAVE: 079.068.045-97</t>
  </si>
  <si>
    <t>Serv.Prest. 06/10/2025 a 12/10/2025 - PIX: CPF - CHAVE: 079.930.865-07</t>
  </si>
  <si>
    <t>Serv.Prest. 06/10/2025 a 12/10/2025 - PIX: CELULAR - CHAVE: (27) 99811-6850</t>
  </si>
  <si>
    <t>Serv.Prest. 06/10/2025 a 12/10/2025 - PIX: CELULAR - CHAVE: (27) 99950-3450</t>
  </si>
  <si>
    <t>Serv.Prest. 06/10/2025 a 12/10/2025 - PIX: CELULAR - CHAVE: (27) 99869-8144</t>
  </si>
  <si>
    <t>Serv.Prest. 06/10/2025 a 12/10/2025 - PIX: CELULAR - CHAVE: (73) 99167-5954</t>
  </si>
  <si>
    <t>Serv.Prest. 06/10/2025 a 12/10/2025 - PIX: CPF - CHAVE: 121.963.507-37</t>
  </si>
  <si>
    <t>Serv.Prest. 13/10/2025 a 19/10/2025 - PIX: CELULAR - CHAVE: (73) 98191-0061</t>
  </si>
  <si>
    <t>Serv.Prest. 13/10/2025 a 19/10/2025 - PIX: CELULAR - CHAVE: (73) 98166-3325</t>
  </si>
  <si>
    <t>Serv.Prest. 13/10/2025 a 19/10/2025 - PIX: CPF - CHAVE: 378.223.888-51</t>
  </si>
  <si>
    <t>Serv.Prest. 13/10/2025 a 19/10/2025 - PIX: CELULAR - CHAVE: (27) 99916-8443</t>
  </si>
  <si>
    <t>Serv.Prest. 13/10/2025 a 19/10/2025 - PIX: CPF - CHAVE: 074.520.456-29</t>
  </si>
  <si>
    <t>Serv.Prest. 06/10/2025 a 12/10/2025 - PIX: CELULAR - CHAVE: (33) 99874-5128</t>
  </si>
  <si>
    <t>ASSESSORIA EM MARKETING DIGITAL 05/2025</t>
  </si>
  <si>
    <t>ASSESSORIA EM MARKETING DIGITAL 10/2025</t>
  </si>
  <si>
    <t>Serv.Prest. 13/10/2025 a 19/10/2025 - RPS: 1406 - NFSe: 3530</t>
  </si>
  <si>
    <t>Serv.Prest. 20/10/2025 a 26/10/2025 - PIX: CPF - CHAVE: 290.093.188-69</t>
  </si>
  <si>
    <t>Serv.Prest. 20/10/2025 a 26/10/2025 - PIX: CPF - CHAVE: 115.519.146-38</t>
  </si>
  <si>
    <t>Serv.Prest. 13/10/2025 a 19/10/2025 - RPS: 1412 - NFSe: 3536</t>
  </si>
  <si>
    <t>ASSESSORIA EM MARKETING DIGITAL 09/2025</t>
  </si>
  <si>
    <t>Serv.Prest. 13/10/2025 a 19/10/2025 - RPS: 1413 - NFSe: 3537</t>
  </si>
  <si>
    <t>Serv.Prest. 20/10/2025 a 26/10/2025 - PIX: CPF - CHAVE: 361.868.298-04</t>
  </si>
  <si>
    <t>Serv.Prest. 20/10/2025 a 26/10/2025 - PIX: CPF - CHAVE: 604.319.363-90</t>
  </si>
  <si>
    <t>Serv.Prest. 20/10/2025 a 26/10/2025 - PIX: CPF - CHAVE: 396.124.108-28</t>
  </si>
  <si>
    <t>Serv.Prest. 20/10/2025 a 26/10/2025 - PIX: CPF - CHAVE: 481.220.058-02</t>
  </si>
  <si>
    <t>Serv.Prest. 20/10/2025 a 24/10/2025 - PIX: CPF - CHAVE: 174.029.607-90</t>
  </si>
  <si>
    <t>Serv.Prest. 13/10/2025 a 19/10/2025 - PIX: CPF - CHAVE: 174.029.607-90</t>
  </si>
  <si>
    <t>Serv.Prest. 13/10/2025 a 19/10/2025 - RPS: 1389 - NFSe: 3515</t>
  </si>
  <si>
    <t>ASSESSORIA JURIDICA</t>
  </si>
  <si>
    <t>BANCO SICREDI (143)</t>
  </si>
  <si>
    <t>Serv.Prest. 20/10/2025 a 26/10/2025 - PIX: CPF - CHAVE: 034.055.155-05</t>
  </si>
  <si>
    <t>Serv.Prest. 20/10/2025 a 26/10/2025 - PIX: E-MAIL - CHAVE: irenefragoso45@gmail.com</t>
  </si>
  <si>
    <t>Serv.Prest. 20/10/2025 a 26/10/2025 - PIX: CPF - CHAVE: 423.098.018-36</t>
  </si>
  <si>
    <t>Serv.Prest. 20/10/2025 a 26/10/2025 - PIX: CELULAR - CHAVE: (11) 95906-5439</t>
  </si>
  <si>
    <t>Serv.Prest. 20/10/2025 a 26/10/2025 - PIX: CPF - CHAVE: 463.491.858-70</t>
  </si>
  <si>
    <t>Serv.Prest. 20/10/2025 a 26/10/2025 - PIX: CPF - CHAVE: 141.994.266-20</t>
  </si>
  <si>
    <t>Serv.Prest. 20/10/2025 a 26/10/2025 - PIX: CELULAR - CHAVE: (11) 94195-2534</t>
  </si>
  <si>
    <t>Serv.Prest. 20/10/2025 a 26/10/2025 - PIX: CELULAR - CHAVE: (11) 98281-4526</t>
  </si>
  <si>
    <t>Serv.Prest. 20/10/2025 a 26/10/2025 - PIX: E-MAIL - CHAVE: ericsilva8marcena@gmail.com</t>
  </si>
  <si>
    <t>Serv.Prest. 20/10/2025 a 24/10/2025 - PIX: CPF - CHAVE: 096.891.935-97</t>
  </si>
  <si>
    <t>Serv.Prest. 20/10/2025 a 26/10/2025 - PIX: CPF - CHAVE: 106.393.056-10</t>
  </si>
  <si>
    <t>Serv.Prest. 27/10/2025 a 02/11/2025 - PIX: CPF - CHAVE: 290.093.188-69</t>
  </si>
  <si>
    <t>Serv.Prest. 06/10/2025 a 12/10/2025 - RPS: 1360 - NFSe: 3484</t>
  </si>
  <si>
    <t>Serv.Prest. 06/10/2025 a 12/10/2025 - RPS: 1361 - NFSe: 3485</t>
  </si>
  <si>
    <t>Serv.Prest. 20/10/2025 a 26/10/2025 - PIX: CPF - CHAVE: 507.243.348-07</t>
  </si>
  <si>
    <t>Serv.Prest. 20/10/2025 a 26/10/2025 - PIX: CPF - CHAVE: 502.953.968-90</t>
  </si>
  <si>
    <t>Serv.Prest. 20/10/2025 a 26/10/2025 - RPS: 1435 - NFSe: 3559</t>
  </si>
  <si>
    <t>Serv.Prest. 20/10/2025 a 26/10/2025 - RPS: 1436 - NFSe: 3560</t>
  </si>
  <si>
    <t>Serv.Prest. 20/10/2025 a 26/10/2025 - RPS: 1437 - NFSe: 3561</t>
  </si>
  <si>
    <t>Serv.Prest. 20/10/2025 a 26/10/2025 - RPS: 1438 - NFSe: 3562</t>
  </si>
  <si>
    <t>Serv.Prest. 20/10/2025 a 26/10/2025 - RPS: 1439 - NFSe: 3563</t>
  </si>
  <si>
    <t>Serv.Prest. 20/10/2025 a 26/10/2025 - RPS: 1440 - NFSe: 3564</t>
  </si>
  <si>
    <t>Serv.Prest. 20/10/2025 a 26/10/2025 - RPS: 1441 - NFSe: 3565</t>
  </si>
  <si>
    <t>Serv.Prest. 20/10/2025 a 26/10/2025 - RPS: 1442 - NFSe: 3566</t>
  </si>
  <si>
    <t>Serv.Prest. 20/10/2025 a 26/10/2025 - RPS: 1443 - NFSe: 3567</t>
  </si>
  <si>
    <t>Serv.Prest. 20/10/2025 a 26/10/2025 - RPS: 1444 - NFSe: 3568</t>
  </si>
  <si>
    <t>Serv.Prest. 20/10/2025 a 26/10/2025 - RPS: 1445 - NFSe: 3569</t>
  </si>
  <si>
    <t>Serv.Prest. 20/10/2025 a 26/10/2025 - RPS: 1446 - NFSe: 3570</t>
  </si>
  <si>
    <t>Serv.Prest. 20/10/2025 a 26/10/2025 - RPS: 1447 - NFSe: 3571</t>
  </si>
  <si>
    <t>Serv.Prest. 20/10/2025 a 26/10/2025 - RPS: 1448 - NFSe: 3572</t>
  </si>
  <si>
    <t>Serv.Prest. 20/10/2025 a 26/10/2025 - RPS: 1449 - NFSe: 3573</t>
  </si>
  <si>
    <t>Serv.Prest. 20/10/2025 a 26/10/2025 - RPS: 1450 - NFSe: 3574</t>
  </si>
  <si>
    <t>Serv.Prest. 20/10/2025 a 26/10/2025 - RPS: 1451 - NFSe: 3575</t>
  </si>
  <si>
    <t>Serv.Prest. 20/10/2025 a 26/10/2025 - RPS: 1457 - NFSe: 3581</t>
  </si>
  <si>
    <t>Serv.Prest. 20/10/2025 a 26/10/2025 - RPS: 1464 - NFSe: 3588</t>
  </si>
  <si>
    <t>Serv.Prest. 20/10/2025 a 26/10/2025 - RPS: 1468 - NFSe: 3592</t>
  </si>
  <si>
    <t>Serv.Prest. 20/10/2025 a 26/10/2025 - RPS: 1469 - NFSe: 3593</t>
  </si>
  <si>
    <t>Serv.Prest. 27/10/2025 a 02/11/2025 - PIX: CELULAR - CHAVE: (11) 94875-4305</t>
  </si>
  <si>
    <t>Serv.Prest. 27/10/2025 a 02/11/2025 - PIX: CELULAR - CHAVE: (11) 98731-4534</t>
  </si>
  <si>
    <t>Serv.Prest. 13/10/2025 a 19/10/2025 - RPS: 1422 - NFSe: 3546</t>
  </si>
  <si>
    <t>Serv.Prest. 06/10/2025 a 12/10/2025 - RPS: 1375 - NFSe: 3499</t>
  </si>
  <si>
    <t>Serv.Prest. 13/10/2025 a 19/10/2025 - RPS: 1423 - NFSe: 3547</t>
  </si>
  <si>
    <t>Serv.Prest. 13/10/2025 a 19/10/2025 - RPS: 1424 - NFSe: 3548</t>
  </si>
  <si>
    <t>Serv.Prest. 20/10/2025 a 26/10/2025 - PIX: CELULAR - CHAVE: (19) 98944-4977</t>
  </si>
  <si>
    <t>Serv.Prest. 13/10/2025 a 19/10/2025 - PIX: E-MAIL - CHAVE: sypedrinho@gmail.com</t>
  </si>
  <si>
    <t>Serv.Prest. 20/10/2025 a 26/10/2025 - PIX: CPF - CHAVE: 126.720.606-30</t>
  </si>
  <si>
    <t>Serv.Prest. 20/10/2025 a 26/10/2025 - PIX: CPF - CHAVE: 023.116.166-25</t>
  </si>
  <si>
    <t>Serv.Prest. 20/10/2025 a 24/10/2025 - PIX: CELULAR - CHAVE: (73) 98191-0061</t>
  </si>
  <si>
    <t>Serv.Prest. 20/10/2025 a 24/10/2025 - PIX: CPF - CHAVE: 378.223.888-51</t>
  </si>
  <si>
    <t>Serv.Prest. 13/10/2025 a 19/10/2025 - RPS: 1427 - NFSe: 3551</t>
  </si>
  <si>
    <t>Serv.Prest. 13/10/2025 a 19/10/2025 - RPS: 1428 - NFSe: 3552</t>
  </si>
  <si>
    <t>Serv.Prest. 13/10/2025 a 19/10/2025 - RPS: 1429 - NFSe: 3553</t>
  </si>
  <si>
    <t>Serv.Prest. 20/10/2025 a 26/10/2025 - RPS: 1455 - NFSe: 3579</t>
  </si>
  <si>
    <t>Serv.Prest. 20/10/2025 a 26/10/2025 - RPS: 1456 - NFSe: 3580</t>
  </si>
  <si>
    <t>Serv.Prest. 20/10/2025 a 26/10/2025 - RPS: 1459 - NFSe: 3583</t>
  </si>
  <si>
    <t>Serv.Prest. 20/10/2025 a 26/10/2025 - RPS: 1460 - NFSe: 3584</t>
  </si>
  <si>
    <t>Serv.Prest. 20/10/2025 a 26/10/2025 - RPS: 1462 - NFSe: 3586</t>
  </si>
  <si>
    <t>Serv.Prest. 20/10/2025 a 26/10/2025 - RPS: 1466 - NFSe: 3590</t>
  </si>
  <si>
    <t>Serv.Prest. 20/10/2025 a 26/10/2025 - RPS: 1467 - NFSe: 3591</t>
  </si>
  <si>
    <t>Serv.Prest. 20/10/2025 a 26/10/2025 - PIX: CELULAR - CHAVE: (11) 98768-7863</t>
  </si>
  <si>
    <t>Serv.Prest. 13/10/2025 a 19/10/2025 - PIX: CPF - CHAVE: 975.425.989-53</t>
  </si>
  <si>
    <t>Serv.Prest. 13/10/2025 a 19/10/2025 - PIX: CPF - CHAVE: 009.476.175-23</t>
  </si>
  <si>
    <t>Serv.Prest. 13/10/2025 a 19/10/2025 - PIX: CELULAR - CHAVE: (33) 99106-9330</t>
  </si>
  <si>
    <t>Serv.Prest. 20/10/2025 a 26/10/2025 - PIX: CELULAR - CHAVE: (31) 99376-7989</t>
  </si>
  <si>
    <t>DIARIA 28/10/2025 - PIX: CPF - CHAVE: 423.098.018-36</t>
  </si>
  <si>
    <t>DEVOLUCAO 8 COTAS COOPERATIVA - PIX: CELULAR - CHAVE: (33) 99854-8720</t>
  </si>
  <si>
    <t>Serv.Prest. 27/10/2025 a 29/10/2025 - PIX: CELULAR - CHAVE: (33) 99854-8720</t>
  </si>
  <si>
    <t>DEVOLUCAO 9 COTAS COOPERATIVA - PIX: CPF - CHAVE: 170.180.266-01</t>
  </si>
  <si>
    <t>DEVOLUCAO 9 COTAS COOPERATIVA - PIX: CELULAR - CHAVE: (71) 99729-9802</t>
  </si>
  <si>
    <t>Serv.Prest. 13/10/2025 a 19/10/2025 - PIX: CELULAR - CHAVE: (33) 99877-0415</t>
  </si>
  <si>
    <t>Serv.Prest. 13/10/2025 a 19/10/2025 - PIX: CPF - CHAVE: 099.626.666-60</t>
  </si>
  <si>
    <t>Serv.Prest. 13/10/2025 a 19/10/2025 - PIX: E-MAIL - CHAVE: anissoanidaldepaula@gmail.com</t>
  </si>
  <si>
    <t>Serv.Prest. 13/10/2025 a 19/10/2025 - PIX: CPF - CHAVE: 037.192.076-09</t>
  </si>
  <si>
    <t>Serv.Prest. 13/10/2025 a 19/10/2025 - PIX: CELULAR - CHAVE: (33) 99110-6940</t>
  </si>
  <si>
    <t>Serv.Prest. 13/10/2025 a 19/10/2025 - PIX: CPF - CHAVE: 137.446.146-62</t>
  </si>
  <si>
    <t>Serv.Prest. 13/10/2025 a 19/10/2025 - PIX: CPF - CHAVE: 155.328.666-94</t>
  </si>
  <si>
    <t>Serv.Prest. 13/10/2025 a 19/10/2025 - PIX: CELULAR - CHAVE: (32) 98896-0708</t>
  </si>
  <si>
    <t>Serv.Prest. 13/10/2025 a 19/10/2025 - PIX: CELULAR - CHAVE: (32) 99166-8238</t>
  </si>
  <si>
    <t>Serv.Prest. 13/10/2025 a 19/10/2025 - PIX: CPF - CHAVE: 091.575.986-14</t>
  </si>
  <si>
    <t>Serv.Prest. 13/10/2025 a 19/10/2025 - PIX: CELULAR - CHAVE: (33) 98845-4528</t>
  </si>
  <si>
    <t>Serv.Prest. 13/10/2025 a 19/10/2025 - PIX: CELULAR - CHAVE: (31) 98511-2851</t>
  </si>
  <si>
    <t>Serv.Prest. 13/10/2025 a 19/10/2025 - PIX: CELULAR - CHAVE: (32) 99177-6167</t>
  </si>
  <si>
    <t>Serv.Prest. 13/10/2025 a 19/10/2025 - PIX: CPF - CHAVE: 110.483.296-82</t>
  </si>
  <si>
    <t>Serv.Prest. 13/10/2025 a 19/10/2025 - PIX: CELULAR - CHAVE: (33) 98749-5105</t>
  </si>
  <si>
    <t>Serv.Prest. 13/10/2025 a 19/10/2025 - PIX: CELULAR - CHAVE: (33) 99802-1883</t>
  </si>
  <si>
    <t>Serv.Prest. 13/10/2025 a 19/10/2025 - PIX: CELULAR - CHAVE: (31) 99610-7049</t>
  </si>
  <si>
    <t>Serv.Prest. 13/10/2025 a 19/10/2025 - PIX: E-MAIL - CHAVE: turano296801@gmail.com</t>
  </si>
  <si>
    <t>Serv.Prest. 13/10/2025 a 19/10/2025 - PIX: CPF - CHAVE: 102.023.716-38</t>
  </si>
  <si>
    <t>Serv.Prest. 13/10/2025 a 19/10/2025 - PIX: CELULAR - CHAVE: (33) 98890-5095</t>
  </si>
  <si>
    <t>Serv.Prest. 13/10/2025 a 19/10/2025 - PIX: CELULAR - CHAVE: (33) 99199-7983</t>
  </si>
  <si>
    <t>Serv.Prest. 13/10/2025 a 19/10/2025 - PIX: CPF - CHAVE: 141.134.256-98</t>
  </si>
  <si>
    <t>Serv.Prest. 13/10/2025 a 19/10/2025 - PIX: CPF - CHAVE: 070.073.316-70</t>
  </si>
  <si>
    <t>Serv.Prest. 13/10/2025 a 19/10/2025 - PIX: CELULAR - CHAVE: (31) 98483-3242</t>
  </si>
  <si>
    <t>Serv.Prest. 13/10/2025 a 19/10/2025 - PIX: CPF - CHAVE: 160.160.216-28</t>
  </si>
  <si>
    <t>Serv.Prest. 13/10/2025 a 19/10/2025 - PIX: CELULAR - CHAVE: (33) 98857-0494</t>
  </si>
  <si>
    <t>Serv.Prest. 13/10/2025 a 19/10/2025 - PIX: CPF - CHAVE: 386.313.426-53</t>
  </si>
  <si>
    <t>Serv.Prest. 13/10/2025 a 19/10/2025 - PIX: CELULAR - CHAVE: (33) 99706-4860</t>
  </si>
  <si>
    <t>Serv.Prest. 13/10/2025 a 19/10/2025 - PIX: CELULAR - CHAVE: (31) 99816-8965</t>
  </si>
  <si>
    <t>Serv.Prest. 13/10/2025 a 19/10/2025 - PIX: CPF - CHAVE: 113.084.266-58</t>
  </si>
  <si>
    <t>Serv.Prest. 13/10/2025 a 19/10/2025 - PIX: CPF - CHAVE: 067.393.286-92</t>
  </si>
  <si>
    <t>Serv.Prest. 13/10/2025 a 19/10/2025 - PIX: CPF - CHAVE: 121.297.376-33</t>
  </si>
  <si>
    <t>Serv.Prest. 13/10/2025 a 19/10/2025 - PIX: CELULAR - CHAVE: (31) 99812-7173</t>
  </si>
  <si>
    <t>Serv.Prest. 13/10/2025 a 19/10/2025 - PIX: CPF - CHAVE: 126.873.296-65</t>
  </si>
  <si>
    <t>Serv.Prest. 13/10/2025 a 19/10/2025 - PIX: CPF - CHAVE: 023.645.626-19</t>
  </si>
  <si>
    <t>Serv.Prest. 13/10/2025 a 19/10/2025 - PIX: CELULAR - CHAVE: (33) 98836-6015</t>
  </si>
  <si>
    <t>Serv.Prest. 13/10/2025 a 19/10/2025 - PIX: E-MAIL - CHAVE: jhonantanlacerda@gmail.com</t>
  </si>
  <si>
    <t>Serv.Prest. 13/10/2025 a 19/10/2025 - PIX: CPF - CHAVE: 602.838.315-53</t>
  </si>
  <si>
    <t>Serv.Prest. 13/10/2025 a 19/10/2025 - PIX: CPF - CHAVE: 043.301.196-33</t>
  </si>
  <si>
    <t>Serv.Prest. 13/10/2025 a 19/10/2025 - PIX: CPF - CHAVE: 012.459.366-62</t>
  </si>
  <si>
    <t>Serv.Prest. 13/10/2025 a 19/10/2025 - PIX: CPF - CHAVE: 077.488.126-75</t>
  </si>
  <si>
    <t>Serv.Prest. 13/10/2025 a 19/10/2025 - PIX: CHAVE ALEATÓRIA - CHAVE: c489bee1-360b-4fa9-86c4-fbb0e9844cb8</t>
  </si>
  <si>
    <t>Serv.Prest. 13/10/2025 a 19/10/2025 - PIX: CELULAR - CHAVE: (33) 98463-0821</t>
  </si>
  <si>
    <t>Serv.Prest. 13/10/2025 a 19/10/2025 - PIX: CELULAR - CHAVE: (31) 99850-4727</t>
  </si>
  <si>
    <t>Serv.Prest. 13/10/2025 a 19/10/2025 - PIX: CELULAR - CHAVE: (33) 98749-4693</t>
  </si>
  <si>
    <t>Serv.Prest. 13/10/2025 a 19/10/2025 - PIX: CPF - CHAVE: 161.508.516-56</t>
  </si>
  <si>
    <t>Serv.Prest. 13/10/2025 a 19/10/2025 - PIX: CELULAR - CHAVE: (33) 99172-0627</t>
  </si>
  <si>
    <t>Serv.Prest. 13/10/2025 a 19/10/2025 - PIX: CELULAR - CHAVE: (33) 99981-6650</t>
  </si>
  <si>
    <t>Serv.Prest. 13/10/2025 a 19/10/2025 - PIX: CPF - CHAVE: 101.220.976-88</t>
  </si>
  <si>
    <t>Serv.Prest. 13/10/2025 a 19/10/2025 - PIX: CPF - CHAVE: 129.269.326-69</t>
  </si>
  <si>
    <t>Serv.Prest. 13/10/2025 a 19/10/2025 - PIX: CPF - CHAVE: 705.097.186-39</t>
  </si>
  <si>
    <t>Serv.Prest. 13/10/2025 a 19/10/2025 - PIX: CPF - CHAVE: 159.443.306-27</t>
  </si>
  <si>
    <t>Serv.Prest. 13/10/2025 a 19/10/2025 - PIX: CELULAR - CHAVE: (33) 98427-3872</t>
  </si>
  <si>
    <t>Serv.Prest. 13/10/2025 a 19/10/2025 - PIX: CELULAR - CHAVE: (33) 99815-2379</t>
  </si>
  <si>
    <t>Serv.Prest. 13/10/2025 a 19/10/2025 - PIX: CELULAR - CHAVE: (33) 99194-2339</t>
  </si>
  <si>
    <t>Serv.Prest. 13/10/2025 a 19/10/2025 - PIX: E-MAIL - CHAVE: meamatheusvieira@gmail.com</t>
  </si>
  <si>
    <t>Serv.Prest. 13/10/2025 a 19/10/2025 - PIX: CPF - CHAVE: 163.330.766-27</t>
  </si>
  <si>
    <t>Serv.Prest. 13/10/2025 a 19/10/2025 - PIX: CELULAR - CHAVE: (31) 99076-6539</t>
  </si>
  <si>
    <t>Serv.Prest. 13/10/2025 a 19/10/2025 - PIX: CELULAR - CHAVE: (33) 99845-0493</t>
  </si>
  <si>
    <t>Serv.Prest. 13/10/2025 a 19/10/2025 - PIX: CPF - CHAVE: 123.020.026-60</t>
  </si>
  <si>
    <t>Serv.Prest. 13/10/2025 a 19/10/2025 - PIX: CELULAR - CHAVE: (33) 98817-9868</t>
  </si>
  <si>
    <t>Serv.Prest. 13/10/2025 a 19/10/2025 - PIX: CPF - CHAVE: 108.680.396-59</t>
  </si>
  <si>
    <t>Serv.Prest. 13/10/2025 a 19/10/2025 - PIX: CPF - CHAVE: 037.974.316-78</t>
  </si>
  <si>
    <t>Serv.Prest. 13/10/2025 a 19/10/2025 - PIX: CELULAR - CHAVE: (31) 99216-8711</t>
  </si>
  <si>
    <t>Serv.Prest. 13/10/2025 a 19/10/2025 - PIX: CELULAR - CHAVE: (31) 97339-3761</t>
  </si>
  <si>
    <t>Serv.Prest. 13/10/2025 a 19/10/2025 - PIX: CELULAR - CHAVE: (35) 99264-4504</t>
  </si>
  <si>
    <t>Serv.Prest. 13/10/2025 a 19/10/2025 - PIX: CPF - CHAVE: 135.640.066-30</t>
  </si>
  <si>
    <t>Serv.Prest. 13/10/2025 a 19/10/2025 - PIX: CELULAR - CHAVE: (31) 99959-5414</t>
  </si>
  <si>
    <t>Serv.Prest. 13/10/2025 a 19/10/2025 - PIX: CPF - CHAVE: 012.783.036-77</t>
  </si>
  <si>
    <t>Serv.Prest. 13/10/2025 a 19/10/2025 - PIX: E-MAIL - CHAVE: rhupego@gmail.com</t>
  </si>
  <si>
    <t>Serv.Prest. 13/10/2025 a 19/10/2025 - PIX: CELULAR - CHAVE: (31) 98891-8440</t>
  </si>
  <si>
    <t>Serv.Prest. 13/10/2025 a 19/10/2025 - PIX: E-MAIL - CHAVE: roger.l.borges04@gmail.com</t>
  </si>
  <si>
    <t>Serv.Prest. 13/10/2025 a 19/10/2025 - PIX: CPF - CHAVE: 701.955.866-62</t>
  </si>
  <si>
    <t>Serv.Prest. 13/10/2025 a 19/10/2025 - PIX: CPF - CHAVE: 118.731.976-75</t>
  </si>
  <si>
    <t>Serv.Prest. 13/10/2025 a 19/10/2025 - PIX: CPF - CHAVE: 048.151.276-46</t>
  </si>
  <si>
    <t>Serv.Prest. 13/10/2025 a 19/10/2025 - PIX: CPF - CHAVE: 097.855.786-74</t>
  </si>
  <si>
    <t>Serv.Prest. 13/10/2025 a 19/10/2025 - PIX: CHAVE ALEATÓRIA - CHAVE: 1550e869-c9d7-4436-be93-6858fd0cb900</t>
  </si>
  <si>
    <t>Serv.Prest. 13/10/2025 a 19/10/2025 - PIX: CELULAR - CHAVE: (33) 99880-7941</t>
  </si>
  <si>
    <t>Serv.Prest. 13/10/2025 a 19/10/2025 - PIX: CELULAR - CHAVE: (33) 99874-5128</t>
  </si>
  <si>
    <t>Serv.Prest. 13/10/2025 a 19/10/2025 - PIX: CPF - CHAVE: 092.566.416-23</t>
  </si>
  <si>
    <t>Serv.Prest. 13/10/2025 a 19/10/2025 - PIX: CPF - CHAVE: 157.874.046-02</t>
  </si>
  <si>
    <t>Serv.Prest. 13/10/2025 a 19/10/2025 - PIX: CPF - CHAVE: 130.194.566-81</t>
  </si>
  <si>
    <t>Serv.Prest. 13/10/2025 a 19/10/2025 - PIX: CELULAR - CHAVE: (33) 99118-9032</t>
  </si>
  <si>
    <t>Serv.Prest. 13/10/2025 a 19/10/2025 - PIX: CPF - CHAVE: 170.180.266-01</t>
  </si>
  <si>
    <t>Serv.Prest. 13/10/2025 a 19/10/2025 - PIX: CELULAR - CHAVE: (31) 97251-6838</t>
  </si>
  <si>
    <t>Serv.Prest. 13/10/2025 a 19/10/2025 - PIX: CELULAR - CHAVE: (32) 99800-1691</t>
  </si>
  <si>
    <t>Serv.Prest. 13/10/2025 a 19/10/2025 - PIX: CPF - CHAVE: 700.454.836-80</t>
  </si>
  <si>
    <t>Serv.Prest. 13/10/2025 a 19/10/2025 - PIX: CELULAR - CHAVE: (33) 98806-5772</t>
  </si>
  <si>
    <t>Serv.Prest. 13/10/2025 a 19/10/2025 - PIX: CELULAR - CHAVE: (31) 99666-0952</t>
  </si>
  <si>
    <t>Serv.Prest. 13/10/2025 a 19/10/2025 - PIX: CELULAR - CHAVE: (33) 99996-3668</t>
  </si>
  <si>
    <t>Serv.Prest. 13/10/2025 a 19/10/2025 - PIX: CPF - CHAVE: 012.906.122-00</t>
  </si>
  <si>
    <t>Serv.Prest. 13/10/2025 a 19/10/2025 - PIX: E-MAIL - CHAVE: wilianvieirawrv3578@gmail.com</t>
  </si>
  <si>
    <t>Serv.Prest. 13/10/2025 a 19/10/2025 - PIX: CELULAR - CHAVE: (33) 99859-8751</t>
  </si>
  <si>
    <t>Serv.Prest. 13/10/2025 a 19/10/2025 - PIX: CPF - CHAVE: 036.875.515-04</t>
  </si>
  <si>
    <t>Serv.Prest. 13/10/2025 a 19/10/2025 - PIX: CELULAR - CHAVE: (73) 99966-7211</t>
  </si>
  <si>
    <t>Serv.Prest. 13/10/2025 a 19/10/2025 - PIX: CPF - CHAVE: 094.947.395-23</t>
  </si>
  <si>
    <t>Serv.Prest. 13/10/2025 a 19/10/2025 - PIX: E-MAIL - CHAVE: ericgomes508@gmail.com</t>
  </si>
  <si>
    <t>Serv.Prest. 13/10/2025 a 19/10/2025 - PIX: CPF - CHAVE: 087.398.185-51</t>
  </si>
  <si>
    <t>Serv.Prest. 13/10/2025 a 19/10/2025 - PIX: CELULAR - CHAVE: (73) 99941-8352</t>
  </si>
  <si>
    <t>Serv.Prest. 13/10/2025 a 19/10/2025 - PIX: CELULAR - CHAVE: (73) 98888-3793</t>
  </si>
  <si>
    <t>Serv.Prest. 13/10/2025 a 19/10/2025 - PIX: CPF - CHAVE: 439.169.103-53</t>
  </si>
  <si>
    <t>Serv.Prest. 13/10/2025 a 19/10/2025 - PIX: CELULAR - CHAVE: (73) 99115-9602</t>
  </si>
  <si>
    <t>Serv.Prest. 13/10/2025 a 19/10/2025 - PIX: CPF - CHAVE: 035.018.455-02</t>
  </si>
  <si>
    <t>Serv.Prest. 13/10/2025 a 19/10/2025 - PIX: CPF - CHAVE: 860.305.455-07</t>
  </si>
  <si>
    <t>Serv.Prest. 13/10/2025 a 19/10/2025 - PIX: CELULAR - CHAVE: (73) 98105-2187</t>
  </si>
  <si>
    <t>Serv.Prest. 13/10/2025 a 19/10/2025 - PIX: CPF - CHAVE: 094.700.685-05</t>
  </si>
  <si>
    <t>Serv.Prest. 13/10/2025 a 19/10/2025 - PIX: CELULAR - CHAVE: (73) 99803-0715</t>
  </si>
  <si>
    <t>Serv.Prest. 13/10/2025 a 19/10/2025 - PIX: CELULAR - CHAVE: (73) 99967-3239</t>
  </si>
  <si>
    <t>Serv.Prest. 13/10/2025 a 19/10/2025 - PIX: CPF - CHAVE: 003.157.195-67</t>
  </si>
  <si>
    <t>Serv.Prest. 13/10/2025 a 19/10/2025 - PIX: CNPJ - CHAVE: 33.412.676/0001-41</t>
  </si>
  <si>
    <t>Serv.Prest. 13/10/2025 a 19/10/2025 - PIX: CPF - CHAVE: 007.842.745-25</t>
  </si>
  <si>
    <t>Serv.Prest. 13/10/2025 a 19/10/2025 - PIX: CELULAR - CHAVE: (73) 99977-2721</t>
  </si>
  <si>
    <t>Serv.Prest. 13/10/2025 a 19/10/2025 - PIX: CELULAR - CHAVE: (73) 99818-9718</t>
  </si>
  <si>
    <t>Serv.Prest. 13/10/2025 a 19/10/2025 - PIX: CPF - CHAVE: 079.068.045-97</t>
  </si>
  <si>
    <t>Serv.Prest. 13/10/2025 a 19/10/2025 - PIX: CPF - CHAVE: 079.930.865-07</t>
  </si>
  <si>
    <t>Serv.Prest. 13/10/2025 a 19/10/2025 - PIX: CELULAR - CHAVE: (27) 99811-6850</t>
  </si>
  <si>
    <t>Serv.Prest. 13/10/2025 a 19/10/2025 - PIX: CELULAR - CHAVE: (27) 99869-8144</t>
  </si>
  <si>
    <t>Serv.Prest. 13/10/2025 a 19/10/2025 - PIX: CELULAR - CHAVE: (73) 99167-5954</t>
  </si>
  <si>
    <t>Serv.Prest. 13/10/2025 a 19/10/2025 - PIX: CPF - CHAVE: 121.963.507-37</t>
  </si>
  <si>
    <t>Serv.Prest. 13/10/2025 a 19/10/2025 - PIX: E-MAIL - CHAVE: alanacosta1999@gmail.com</t>
  </si>
  <si>
    <t>Serv.Prest. 13/10/2025 a 19/10/2025 - PIX: CELULAR - CHAVE: (43) 99630-7532</t>
  </si>
  <si>
    <t>Serv.Prest. 13/10/2025 a 19/10/2025 - PIX: CPF - CHAVE: 004.682.359-06</t>
  </si>
  <si>
    <t>Serv.Prest. 13/10/2025 a 19/10/2025 - PIX: CELULAR - CHAVE: (43) 99934-1696</t>
  </si>
  <si>
    <t>Serv.Prest. 13/10/2025 a 19/10/2025 - PIX: CPF - CHAVE: 074.604.219-10</t>
  </si>
  <si>
    <t>Serv.Prest. 13/10/2025 a 19/10/2025 - PIX: CPF - CHAVE: 878.196.869-87</t>
  </si>
  <si>
    <t>Serv.Prest. 20/10/2025 a 24/10/2025 - PIX: CPF - CHAVE: 170.180.266-01</t>
  </si>
  <si>
    <t>Serv.Prest. 20/10/2025 a 24/10/2025 - PIX: CPF - CHAVE: 097.245.586-81</t>
  </si>
  <si>
    <t>Serv.Prest. 20/10/2025 a 24/10/2025 - PIX: CELULAR - CHAVE: (27) 99916-8443</t>
  </si>
  <si>
    <t>Serv.Prest. 20/10/2025 a 26/10/2025 - PIX: CPF - CHAVE: 100.826.516-04</t>
  </si>
  <si>
    <t>Serv.Prest. 20/10/2025 a 26/10/2025 - PIX: CPF - CHAVE: 126.686.406-79</t>
  </si>
  <si>
    <t>Serv.Prest. 20/10/2025 a 26/10/2025 - PIX: CPF - CHAVE: 016.203.336-27</t>
  </si>
  <si>
    <t>Serv.Prest. 20/10/2025 a 26/10/2025 - PIX: CELULAR - CHAVE: (11) 95552-9905</t>
  </si>
  <si>
    <t>Serv.Prest. 20/10/2025 a 26/10/2025 - PIX: CPF - CHAVE: 505.341.528-56</t>
  </si>
  <si>
    <t>Serv.Prest. 20/10/2025 a 26/10/2025 - PIX: CELULAR - CHAVE: (11) 91214-6176</t>
  </si>
  <si>
    <t>Serv.Prest. 20/10/2025 a 26/10/2025 - PIX: CPF - CHAVE: 103.983.366-79</t>
  </si>
  <si>
    <t>Serv.Prest. 20/10/2025 a 26/10/2025 - PIX: CPF - CHAVE: 138.263.636-98</t>
  </si>
  <si>
    <t>Serv.Prest. 20/10/2025 a 26/10/2025 - PIX: CPF - CHAVE: 128.367.756-37</t>
  </si>
  <si>
    <t>Serv.Prest. 20/10/2025 a 26/10/2025 - PIX: CPF - CHAVE: 147.592.156-03</t>
  </si>
  <si>
    <t>Serv.Prest. 20/10/2025 a 26/10/2025 - PIX: CPF - CHAVE: 138.798.486-10</t>
  </si>
  <si>
    <t>Serv.Prest. 20/10/2025 a 26/10/2025 - PIX: CELULAR - CHAVE: (11) 98612-9589</t>
  </si>
  <si>
    <t>Serv.Prest. 20/10/2025 a 26/10/2025 - PIX: CPF - CHAVE: 469.543.578-04</t>
  </si>
  <si>
    <t>Serv.Prest. 20/10/2025 a 26/10/2025 - PIX: CELULAR - CHAVE: (11) 98144-5840</t>
  </si>
  <si>
    <t>Serv.Prest. 20/10/2025 a 26/10/2025 - PIX: CPF - CHAVE: 361.750.258-06</t>
  </si>
  <si>
    <t>Serv.Prest. 20/10/2025 a 26/10/2025 - PIX: CNPJ - CHAVE: 52.606.983/0001-08</t>
  </si>
  <si>
    <t>Serv.Prest. 20/10/2025 a 26/10/2025 - PIX: CPF - CHAVE: 500.480.978-02</t>
  </si>
  <si>
    <t>Serv.Prest. 20/10/2025 a 26/10/2025 - PIX: CELULAR - CHAVE: (11) 98484-6837</t>
  </si>
  <si>
    <t>Serv.Prest. 20/10/2025 a 26/10/2025 - PIX: CELULAR - CHAVE: (11) 95054-2206</t>
  </si>
  <si>
    <t>Serv.Prest. 20/10/2025 a 26/10/2025 - PIX: CELULAR - CHAVE: (11) 97702-1316</t>
  </si>
  <si>
    <t>Serv.Prest. 20/10/2025 a 26/10/2025 - PIX: CPF - CHAVE: 506.934.998-85</t>
  </si>
  <si>
    <t>Serv.Prest. 20/10/2025 a 26/10/2025 - PIX: CPF - CHAVE: 419.678.508-52</t>
  </si>
  <si>
    <t>Serv.Prest. 20/10/2025 a 26/10/2025 - PIX: CPF - CHAVE: 489.237.478-40</t>
  </si>
  <si>
    <t>Serv.Prest. 20/10/2025 a 26/10/2025 - PIX: CPF - CHAVE: 370.849.948-40</t>
  </si>
  <si>
    <t>Serv.Prest. 20/10/2025 a 26/10/2025 - PIX: CPF - CHAVE: 396.877.618-65</t>
  </si>
  <si>
    <t>Serv.Prest. 20/10/2025 a 26/10/2025 - PIX: CPF - CHAVE: 427.090.718-51</t>
  </si>
  <si>
    <t>Serv.Prest. 20/10/2025 a 26/10/2025 - PIX: CPF - CHAVE: 471.142.438-55</t>
  </si>
  <si>
    <t>Serv.Prest. 20/10/2025 a 26/10/2025 - PIX: CELULAR - CHAVE: (11) 99270-3082</t>
  </si>
  <si>
    <t>Serv.Prest. 20/10/2025 a 26/10/2025 - PIX: CPF - CHAVE: 026.422.254-70</t>
  </si>
  <si>
    <t>Serv.Prest. 20/10/2025 a 26/10/2025 - PIX: E-MAIL - CHAVE: silvaalessandro3909@gmail.com</t>
  </si>
  <si>
    <t>Serv.Prest. 20/10/2025 a 26/10/2025 - PIX: CPF - CHAVE: 383.328.968-60</t>
  </si>
  <si>
    <t>Serv.Prest. 20/10/2025 a 26/10/2025 - PIX: CELULAR - CHAVE: (11) 96409-0865</t>
  </si>
  <si>
    <t>Serv.Prest. 20/10/2025 a 26/10/2025 - PIX: CELULAR - CHAVE: (11) 95038-0621</t>
  </si>
  <si>
    <t>Serv.Prest. 20/10/2025 a 26/10/2025 - PIX: CELULAR - CHAVE: (11) 98447-6954</t>
  </si>
  <si>
    <t>Serv.Prest. 20/10/2025 a 26/10/2025 - PIX: CELULAR - CHAVE: (11) 94212-6784</t>
  </si>
  <si>
    <t>Serv.Prest. 20/10/2025 a 26/10/2025 - PIX: CELULAR - CHAVE: (62) 99550-3226</t>
  </si>
  <si>
    <t>Serv.Prest. 20/10/2025 a 26/10/2025 - PIX: CPF - CHAVE: 012.600.851-55</t>
  </si>
  <si>
    <t>Serv.Prest. 20/10/2025 a 26/10/2025 - PIX: CPF - CHAVE: 157.591.436-03</t>
  </si>
  <si>
    <t>Serv.Prest. 20/10/2025 a 26/10/2025 - PIX: CELULAR - CHAVE: (32) 99920-0416</t>
  </si>
  <si>
    <t>Serv.Prest. 20/10/2025 a 26/10/2025 - PIX: CNPJ - CHAVE: 51.676.704/0001-10</t>
  </si>
  <si>
    <t>Serv.Prest. 20/10/2025 a 26/10/2025 - PIX: CPF - CHAVE: 140.108.466-40</t>
  </si>
  <si>
    <t>Serv.Prest. 20/10/2025 a 26/10/2025 - PIX: CPF - CHAVE: 100.710.806-19</t>
  </si>
  <si>
    <t>Serv.Prest. 20/10/2025 a 26/10/2025 - PIX: CELULAR - CHAVE: (11) 97402-1586</t>
  </si>
  <si>
    <t>Serv.Prest. 20/10/2025 a 26/10/2025 - PIX: CELULAR - CHAVE: (11) 99992-0816</t>
  </si>
  <si>
    <t>Serv.Prest. 20/10/2025 a 26/10/2025 - PIX: CELULAR - CHAVE: (64) 99952-0910</t>
  </si>
  <si>
    <t>Serv.Prest. 20/10/2025 a 26/10/2025 - PIX: CELULAR - CHAVE: (64) 97400-9101</t>
  </si>
  <si>
    <t>Serv.Prest. 20/10/2025 a 26/10/2025 - PIX: CELULAR - CHAVE: (33) 99924-7557</t>
  </si>
  <si>
    <t>Serv.Prest. 20/10/2025 a 24/10/2025 - PIX: CELULAR - CHAVE: (33) 99194-2339</t>
  </si>
  <si>
    <t>Serv.Prest. 20/10/2025 a 26/10/2025 - PIX: E-MAIL - CHAVE: claudioverdinho2009@hotmail.com</t>
  </si>
  <si>
    <t>Serv.Prest. 20/10/2025 a 26/10/2025 - PIX: CELULAR - CHAVE: (41) 98421-2278</t>
  </si>
  <si>
    <t>Serv.Prest. 20/10/2025 a 26/10/2025 - PIX: CPF - CHAVE: 124.575.099-20</t>
  </si>
  <si>
    <t>Serv.Prest. 20/10/2025 a 26/10/2025 - PIX: CELULAR - CHAVE: (28) 99988-2177</t>
  </si>
  <si>
    <t>Serv.Prest. 20/10/2025 a 26/10/2025 - PIX: CELULAR - CHAVE: (28) 98816-4170</t>
  </si>
  <si>
    <t>Serv.Prest. 20/10/2025 a 26/10/2025 - PIX: CELULAR - CHAVE: (71) 99696-7530</t>
  </si>
  <si>
    <t>Serv.Prest. 20/10/2025 a 26/10/2025 - PIX: CELULAR - CHAVE: (71) 99214-9256</t>
  </si>
  <si>
    <t>Serv.Prest. 20/10/2025 a 26/10/2025 - PIX: E-MAIL - CHAVE: edvam18.alves@gmail.com</t>
  </si>
  <si>
    <t>Serv.Prest. 20/10/2025 a 26/10/2025 - PIX: CPF - CHAVE: 048.672.645-20</t>
  </si>
  <si>
    <t>Serv.Prest. 20/10/2025 a 26/10/2025 - PIX: CELULAR - CHAVE: (71) 98124-7946</t>
  </si>
  <si>
    <t>Serv.Prest. 20/10/2025 a 26/10/2025 - PIX: CELULAR - CHAVE: (34) 99772-2954</t>
  </si>
  <si>
    <t>Serv.Prest. 20/10/2025 a 26/10/2025 - PIX: CPF - CHAVE: 023.572.936-16</t>
  </si>
  <si>
    <t>Serv.Prest. 20/10/2025 a 26/10/2025 - PIX: CELULAR - CHAVE: (37) 99146-2630</t>
  </si>
  <si>
    <t>Serv.Prest. 20/10/2025 a 26/10/2025 - PIX: CPF - CHAVE: 090.332.006-19</t>
  </si>
  <si>
    <t>Serv.Prest. 20/10/2025 a 26/10/2025 - PIX: CELULAR - CHAVE: (37) 99197-6834</t>
  </si>
  <si>
    <t>Serv.Prest. 20/10/2025 a 26/10/2025 - PIX: CPF - CHAVE: 950.176.406-06</t>
  </si>
  <si>
    <t>Serv.Prest. 20/10/2025 a 26/10/2025 - PIX: CELULAR - CHAVE: (37) 99138-1777</t>
  </si>
  <si>
    <t>Serv.Prest. 20/10/2025 a 26/10/2025 - PIX: CELULAR - CHAVE: (37) 98841-8571</t>
  </si>
  <si>
    <t>ADINATAMENTO ENTREGAS DIA 27/10/2025 - PIX: CELULAR - CHAVE: (19) 98944-4977</t>
  </si>
  <si>
    <t>DIARIAS VIAGEM PARA UBERABA - PIX: CPF - CHAVE: 423.098.018-36</t>
  </si>
  <si>
    <t>DIARIA 25/10/2025 - PIX: CPF - CHAVE: 126.873.296-65</t>
  </si>
  <si>
    <t>DIARIA DIA 26/10/2025 - PIX: CELULAR - CHAVE: (31) 98483-3242</t>
  </si>
  <si>
    <t>Serv.Prest. 20/10/2025 a 26/10/2025 - RPS: 1452 - NFSe: 3576</t>
  </si>
  <si>
    <t>Serv.Prest. 20/10/2025 a 26/10/2025 - RPS: 1454 - NFSe: 3578</t>
  </si>
  <si>
    <t>Serv.Prest. 20/10/2025 a 26/10/2025 - RPS: 1453 - NFSe: 3577</t>
  </si>
  <si>
    <t>Serv.Prest. 20/10/2025 a 24/10/2025 - PIX: CELULAR - CHAVE: (73) 98166-3325</t>
  </si>
  <si>
    <t>Complemento Serv.Prest. 20/10/2025 a 26/10/2025 - PIX: CPF - CHAVE: 115.519.146-38</t>
  </si>
  <si>
    <t>COMPLEMENTO Serv.Prest. 13/10/2025 a 19/10/2025 - PIX: CELULAR - CHAVE: (33) 98427-3872</t>
  </si>
  <si>
    <t xml:space="preserve">PARCELAMENTO INSS </t>
  </si>
  <si>
    <t>Serv.Prest. 20/10/2025 a 24/10/2025 - PIX: CELULAR - CHAVE: (33) 98463-0821</t>
  </si>
  <si>
    <t>DESPESAS VIAGEM PARA UBERABA - PIX: CPF - CHAVE: 423.098.018-36</t>
  </si>
  <si>
    <t>Serv.Prest. 20/10/2025 a 26/10/2025 - RPS: 1470 - NFSe: 3594</t>
  </si>
  <si>
    <t>Serv.Prest. 27/10/2025 a 02/11/2025 - PIX: CELULAR - CHAVE: (34) 99768-4372</t>
  </si>
  <si>
    <t>Serv.Prest. 27/10/2025 a 02/11/2025 - PIX: CELULAR - CHAVE: (62) 99550-3226</t>
  </si>
  <si>
    <t>Serv.Prest. 27/10/2025 a 02/11/2025 - PIX: CELULAR - CHAVE: (34) 99668-5593</t>
  </si>
  <si>
    <t>Serv.Prest. 27/10/2025 a 02/11/2025 - PIX: CELULAR - CHAVE: (11) 97402-1586</t>
  </si>
  <si>
    <t>Serv.Prest. 27/10/2025 a 02/11/2025 - PIX: CPF - CHAVE: 126.720.606-30</t>
  </si>
  <si>
    <t>Serv.Prest. 24/10/2025 a 02/11/2025 - PIX: CELULAR - CHAVE: (24) 99846-2202</t>
  </si>
  <si>
    <t>Serv.Prest. 24/10/2025 a 02/11/2025 - PIX: CELULAR - CHAVE: (31) 99373-5678</t>
  </si>
  <si>
    <t>Serv.Prest. 24/10/2025 a 02/11/2025 - PIX: CPF - CHAVE: 171.393.446-98</t>
  </si>
  <si>
    <t>Serv.Prest. 20/10/2025 a 26/10/2025 - RPS: 1461 - NFSe: 3585</t>
  </si>
  <si>
    <t>Serv.Prest. 20/10/2025 a 26/10/2025 - RPS: 1465 - NFSe: 3589</t>
  </si>
  <si>
    <t>Serv.Prest. 13/10/2025 a 19/10/2025 - PIX: CPF - CHAVE: 179.800.027-09</t>
  </si>
  <si>
    <t>Serv.Prest. 20/10/2025 a 24/10/2025 - PIX: CPF - CHAVE: 179.800.027-09</t>
  </si>
  <si>
    <t>Serv.Prest. 27/10/2025 a 02/11/2025 - PIX: E-MAIL - CHAVE: odair.araujo@onmail.com</t>
  </si>
  <si>
    <t>PAGO PARA ANA PAULA Serv.Prest. 27/10/2025 a 02/11/2025</t>
  </si>
  <si>
    <t>Serv.Prest. 27/10/2025 a 02/11/2025 - PIX: E-MAIL - CHAVE: davidmartinssantos73@gmail.com</t>
  </si>
  <si>
    <t>Serv.Prest. 20/10/2025 a 24/10/2025 - PIX: CPF - CHAVE: 091.575.986-14</t>
  </si>
  <si>
    <t>Serv.Prest. 20/10/2025 a 24/10/2025 - PIX: CPF - CHAVE: 130.194.566-81</t>
  </si>
  <si>
    <t>REEMBOLSO VALORES PERDIDOS POR MOTOBOY - PIX drogalider.pix@drogalider.com.br</t>
  </si>
  <si>
    <t>DESPESAS COM REEMBOLSOS</t>
  </si>
  <si>
    <t>Serv.Prest. 13/10/2025 a 19/10/2025 - RPS: 1416 - NFSe: 3540</t>
  </si>
  <si>
    <t>Serv.Prest. 27/10/2025 a 02/11/2025 - PIX: CELULAR - CHAVE: (37) 99146-2630</t>
  </si>
  <si>
    <t>PAGO PARA PEDRO HENRIQUE LPES - Serv.Prest. 24/10/2025 a 02/11/2025</t>
  </si>
  <si>
    <t>Serv.Prest. 20/10/2025 a 26/10/2025 - RPS: 1463 - NFSe: 3587</t>
  </si>
  <si>
    <t xml:space="preserve">FATURA DO CARTÃO DE CRÉDITO </t>
  </si>
  <si>
    <t>Serv.Prest. 27/10/2025 a 02/11/2025 - PIX: CELULAR - CHAVE: (11) 95038-0621</t>
  </si>
  <si>
    <t>Serv.Prest. 27/10/2025 a 02/11/2025 - PIX: CPF - CHAVE: 396.124.108-28</t>
  </si>
  <si>
    <t>Serv.Prest. 27/10/2025 a 02/11/2025 - PIX: E-MAIL - CHAVE: irenefragoso45@gmail.com</t>
  </si>
  <si>
    <t>Serv.Prest. 27/10/2025 a 02/11/2025 - PIX: CPF - CHAVE: 507.243.348-07</t>
  </si>
  <si>
    <t>Serv.Prest. 27/10/2025 a 02/11/2025 - PIX: CELULAR - CHAVE: (11) 91767-9056</t>
  </si>
  <si>
    <t>Serv.Prest. 24/10/2025 a 02/11/2025 - PIX: CELULAR - CHAVE: (32) 99913-0476</t>
  </si>
  <si>
    <t>Serv.Prest. 27/10/2025 a 02/11/2025 - PIX: CELULAR - CHAVE: (11) 94910-8689</t>
  </si>
  <si>
    <t>Serv.Prest. 27/10/2025 a 02/11/2025 - PIX: CPF - CHAVE: 106.393.056-10</t>
  </si>
  <si>
    <t>Serv.Prest. 24/10/2025 a 02/11/2025 - PIX: CELULAR - CHAVE: (31) 99607-6585</t>
  </si>
  <si>
    <t>Serv.Prest. 27/10/2025 a 02/11/2025 - PIX: CELULAR - CHAVE: (11) 95906-5439</t>
  </si>
  <si>
    <t>Serv.Prest. 24/10/2025 a 02/11/2025 - PIX: CPF - CHAVE: 141.994.266-20</t>
  </si>
  <si>
    <t>Serv.Prest. 27/10/2025 a 02/11/2025 - PIX: CELULAR - CHAVE: (11) 98281-4526</t>
  </si>
  <si>
    <t>DIARIA 31/10 - UBERABA - PIX: CPF - CHAVE: 023.116.166-25</t>
  </si>
  <si>
    <t>DIARIA 01/11 - UBERABA - PIX: CPF - CHAVE: 115.519.146-38</t>
  </si>
  <si>
    <t>Serv.Prest. 24/10/2025 a 02/11/2025 - PIX: E-MAIL - CHAVE: ericsilva8marcena@gmail.com</t>
  </si>
  <si>
    <t>Serv.Prest. 27/10/2025 a 02/11/2025 - PIX: CPF - CHAVE: 423.098.018-36</t>
  </si>
  <si>
    <t>Serv.Prest. 20/10/2025 a 24/10/2025 - RPS: 1431 - NFSe: 3555</t>
  </si>
  <si>
    <t>Serv.Prest. 20/10/2025 a 24/10/2025 - RPS: 1432 - NFSe: 3556</t>
  </si>
  <si>
    <t>Serv.Prest. 13/10/2025 a 19/10/2025 - RPS: 1415 - NFSe: 3539</t>
  </si>
  <si>
    <t>Serv.Prest. 24/10/2025 a 02/11/2025 - PIX: CELULAR - CHAVE: (73) 988381077</t>
  </si>
  <si>
    <t>Serv.Prest. 27/10/2025 a 02/11/2025 - PIX: CELULAR - CHAVE: (19) 98944-4977</t>
  </si>
  <si>
    <t>REEMBOLSO ADIANTAMENTO DIARIA FELIPE GEBRAN 26/10/2025</t>
  </si>
  <si>
    <t>REEMBOLSO ADIANTAMENTO DIARIA DARIO TAVARES 28/10/2025</t>
  </si>
  <si>
    <t>Serv.Prest. 27/10/2025 a 02/11/2025 - RPS: 1495 - NFSe: 3619</t>
  </si>
  <si>
    <t>Serv.Prest. 27/10/2025 a 02/11/2025 - RPS: 1480 - NFSe: 3604</t>
  </si>
  <si>
    <t>Serv.Prest. 27/10/2025 a 02/11/2025 - RPS: 1481 - NFSe: 3605</t>
  </si>
  <si>
    <t>Serv.Prest. 27/10/2025 a 02/11/2025 - RPS: 1482 - NFSe: 3606</t>
  </si>
  <si>
    <t>Serv.Prest. 27/10/2025 a 02/11/2025 - RPS: 1483 - NFSe: 3607</t>
  </si>
  <si>
    <t>Serv.Prest. 27/10/2025 a 02/11/2025 - RPS: 1484 - NFSe: 3608</t>
  </si>
  <si>
    <t>Serv.Prest. 27/10/2025 a 02/11/2025 - RPS: 1485 - NFSe: 3609</t>
  </si>
  <si>
    <t>Serv.Prest. 27/10/2025 a 02/11/2025 - RPS: 1486 - NFSe: 3610</t>
  </si>
  <si>
    <t>Serv.Prest. 27/10/2025 a 02/11/2025 - RPS: 1487 - NFSe: 3611</t>
  </si>
  <si>
    <t>Serv.Prest. 27/10/2025 a 02/11/2025 - RPS: 1488 - NFSe: 3612</t>
  </si>
  <si>
    <t>Serv.Prest. 27/10/2025 a 02/11/2025 - RPS: 1489 - NFSe: 3613</t>
  </si>
  <si>
    <t>Serv.Prest. 27/10/2025 a 02/11/2025 - RPS: 1490 - NFSe: 3614</t>
  </si>
  <si>
    <t>Serv.Prest. 27/10/2025 a 02/11/2025 - RPS: 1491 - NFSe: 3615</t>
  </si>
  <si>
    <t>Serv.Prest. 27/10/2025 a 02/11/2025 - RPS: 1492 - NFSe: 3616</t>
  </si>
  <si>
    <t>Serv.Prest. 27/10/2025 a 02/11/2025 - RPS: 1493 - NFSe: 3617</t>
  </si>
  <si>
    <t>Serv.Prest. 27/10/2025 a 02/11/2025 - RPS: 1494 - NFSe: 3618</t>
  </si>
  <si>
    <t>Serv.Prest. 27/10/2025 a 02/11/2025 - RPS: 1497 - NFSe: 3621</t>
  </si>
  <si>
    <t>Serv.Prest. 27/10/2025 a 02/11/2025 - RPS: 1498 - NFSe: 3622</t>
  </si>
  <si>
    <t>Serv.Prest. 27/10/2025 a 02/11/2025 - RPS: 1500 - NFSe: 3624</t>
  </si>
  <si>
    <t>Serv.Prest. 27/10/2025 a 02/11/2025 - RPS: 1504 - NFSe: 3628</t>
  </si>
  <si>
    <t>Serv.Prest. 27/10/2025 a 02/11/2025 - RPS: 1505 - NFSe: 3629</t>
  </si>
  <si>
    <t>Serv.Prest. 27/10/2025 a 02/11/2025 - RPS: 1509 - NFSe: 3633</t>
  </si>
  <si>
    <t>Serv.Prest. 27/10/2025 a 02/11/2025 - RPS: 1512 - NFSe: 3636</t>
  </si>
  <si>
    <t>Serv.Prest. 27/10/2025 a 02/11/2025 - RPS: 1521 - NFSe: 3645</t>
  </si>
  <si>
    <t>Serv.Prest. 27/10/2025 a 02/11/2025 - RPS: 1479 - NFSe: 3603</t>
  </si>
  <si>
    <t>Serv.Prest. 20/10/2025 a 26/10/2025 - RPS: 1475 - NFSe: 3599</t>
  </si>
  <si>
    <t>Serv.Prest. 20/10/2025 a 26/10/2025 - RPS: 1474 - NFSe: 3598</t>
  </si>
  <si>
    <t>Serv.Prest. 20/10/2025 a 26/10/2025 - RPS: 1473 - NFSe: 3597</t>
  </si>
  <si>
    <t>Serv.Prest. 20/10/2025 a 26/10/2025 - RPS: 1472 - NFSe: 3596</t>
  </si>
  <si>
    <t>Serv.Prest. 20/10/2025 a 26/10/2025 - RPS: 1471 - NFSe: 3595</t>
  </si>
  <si>
    <t>PRESTACAO DE SERVICO MENSAL 10/2025</t>
  </si>
  <si>
    <t>PRESTAÇÃO DE SERVIÇO MENSAL 10/2025</t>
  </si>
  <si>
    <t>PAGAMENTO SERVIÇO MENSAL 10/2025</t>
  </si>
  <si>
    <t>PRESTACAO DE SERVICOS 10/2025</t>
  </si>
  <si>
    <t>BOLSA ESTAGIO 10/2025</t>
  </si>
  <si>
    <t>VALE TRANSPORTE - NOVEMBRO/25 - 04 DIAS</t>
  </si>
  <si>
    <t>BONUS PRODUTIVIDADE 10/2025</t>
  </si>
  <si>
    <t>PREMIO SOBRE VENDAS 10/2025</t>
  </si>
  <si>
    <t>PAGAMENTO PRESTACAO SERVICOS MENSAL 10/2025</t>
  </si>
  <si>
    <t>Serv.Prest. 03/11/2025 a 09/11/2025 - PIX: CELULAR - CHAVE: (34) 99768-4372</t>
  </si>
  <si>
    <t>Serv.Prest. 03/11/2025 a 09/11/2025 - PIX: CELULAR - CHAVE: (31) 99373-5678</t>
  </si>
  <si>
    <t>Serv.Prest. 03/11/2025 a 09/11/2025 - PIX: CPF - CHAVE: 171.393.446-98</t>
  </si>
  <si>
    <t>PRESTACAO DE SERVICOS MENSAL 10/2025</t>
  </si>
  <si>
    <t>PAGAMENTO PRESTACAO DE SERVIÇOS MARKETING 10/2025</t>
  </si>
  <si>
    <t xml:space="preserve">PRESTACAO DE SERVICO MENSAL 10/2025 E DIAS AVULSOS </t>
  </si>
  <si>
    <t>Serv.Prest. 27/10/2025 a 02/11/2025 - PIX: CPF - CHAVE: 034.055.155-05</t>
  </si>
  <si>
    <t>Serv.Prest. 27/10/2025 a 02/11/2025 - PIX: CPF - CHAVE: 115.519.146-38</t>
  </si>
  <si>
    <t>REEMBOLSO</t>
  </si>
  <si>
    <t>Serv.Prest. 27/10/2025 a 02/11/2025 - PIX: CPF - CHAVE: 023.116.166-25</t>
  </si>
  <si>
    <t>Serv.Prest. 24/10/2025 a 02/11/2025 - PIX: CPF - CHAVE: 126.873.296-65</t>
  </si>
  <si>
    <t>Serv.Prest. 24/10/2025 a 02/11/2025 - PIX: CELULAR - CHAVE: (31) 98483-3242</t>
  </si>
  <si>
    <t>Serv.Prest. 24/10/2025 a 02/11/2025 - PIX: CPF - CHAVE: 113.084.266-58</t>
  </si>
  <si>
    <t>Serv.Prest. 24/10/2025 a 02/11/2025 - PIX: CPF - CHAVE: 096.891.935-97</t>
  </si>
  <si>
    <t>Serv.Prest. 01/10/2025 a 31/10/2025 - PIX: NÃO CADASTRADO - CHAVE: CEF AG 2986 CONTA 2292-5 POUPANÇA</t>
  </si>
  <si>
    <t>Serv.Prest. 24/10/2025 a 02/11/2025 - PIX: CPF - CHAVE: 097.245.586-81</t>
  </si>
  <si>
    <t>Serv.Prest. 24/10/2025 a 02/11/2025 - PIX: CPF - CHAVE: 161.508.516-56</t>
  </si>
  <si>
    <t>Serv.Prest. 27/10/2025 a 02/11/2025 - PIX: CELULAR - CHAVE: (34) 97400-1695</t>
  </si>
  <si>
    <t>Serv.Prest. 24/10/2025 a 02/11/2025 - PIX: CPF - CHAVE: 067.393.286-92</t>
  </si>
  <si>
    <t>Serv.Prest. 24/10/2025 a 02/11/2025 - PIX: CPF - CHAVE: 174.029.607-90</t>
  </si>
  <si>
    <t>Serv.Prest. 27/10/2025 a 02/11/2025 - PIX: E-MAIL - CHAVE: silvaalessandro3909@gmail.com</t>
  </si>
  <si>
    <t>Serv.Prest. 20/10/2025 a 24/10/2025 - PIX: CELULAR - CHAVE: (33) 99877-0415</t>
  </si>
  <si>
    <t>Serv.Prest. 20/10/2025 a 24/10/2025 - PIX: CPF - CHAVE: 099.626.666-60</t>
  </si>
  <si>
    <t>Serv.Prest. 20/10/2025 a 24/10/2025 - PIX: E-MAIL - CHAVE: anissoanidaldepaula@gmail.com</t>
  </si>
  <si>
    <t>Serv.Prest. 20/10/2025 a 24/10/2025 - PIX: CPF - CHAVE: 037.192.076-09</t>
  </si>
  <si>
    <t>Serv.Prest. 20/10/2025 a 24/10/2025 - PIX: CELULAR - CHAVE: (33) 99110-6940</t>
  </si>
  <si>
    <t>Serv.Prest. 20/10/2025 a 24/10/2025 - PIX: CPF - CHAVE: 137.446.146-62</t>
  </si>
  <si>
    <t>Serv.Prest. 20/10/2025 a 24/10/2025 - PIX: CPF - CHAVE: 155.328.666-94</t>
  </si>
  <si>
    <t>Serv.Prest. 20/10/2025 a 24/10/2025 - PIX: CELULAR - CHAVE: (32) 98896-0708</t>
  </si>
  <si>
    <t>Serv.Prest. 20/10/2025 a 24/10/2025 - PIX: CELULAR - CHAVE: (32) 99166-8238</t>
  </si>
  <si>
    <t>Serv.Prest. 20/10/2025 a 24/10/2025 - PIX: CELULAR - CHAVE: (33) 98845-4528</t>
  </si>
  <si>
    <t>Serv.Prest. 20/10/2025 a 24/10/2025 - PIX: CELULAR - CHAVE: (31) 98511-2851</t>
  </si>
  <si>
    <t>Serv.Prest. 20/10/2025 a 24/10/2025 - PIX: CELULAR - CHAVE: (32) 99177-6167</t>
  </si>
  <si>
    <t>Serv.Prest. 20/10/2025 a 24/10/2025 - PIX: CPF - CHAVE: 110.483.296-82</t>
  </si>
  <si>
    <t>Serv.Prest. 20/10/2025 a 24/10/2025 - PIX: CELULAR - CHAVE: (33) 98749-5105</t>
  </si>
  <si>
    <t>Serv.Prest. 20/10/2025 a 24/10/2025 - PIX: CELULAR - CHAVE: (33) 99802-1883</t>
  </si>
  <si>
    <t>Serv.Prest. 20/10/2025 a 24/10/2025 - PIX: CELULAR - CHAVE: (31) 99610-7049</t>
  </si>
  <si>
    <t>Serv.Prest. 20/10/2025 a 24/10/2025 - PIX: E-MAIL - CHAVE: turano296801@gmail.com</t>
  </si>
  <si>
    <t>Serv.Prest. 20/10/2025 a 24/10/2025 - PIX: CPF - CHAVE: 102.023.716-38</t>
  </si>
  <si>
    <t>Serv.Prest. 20/10/2025 a 24/10/2025 - PIX: CELULAR - CHAVE: (33) 98890-5095</t>
  </si>
  <si>
    <t>Serv.Prest. 20/10/2025 a 24/10/2025 - PIX: CELULAR - CHAVE: (33) 99199-7983</t>
  </si>
  <si>
    <t>Serv.Prest. 20/10/2025 a 24/10/2025 - PIX: CPF - CHAVE: 141.134.256-98</t>
  </si>
  <si>
    <t>Serv.Prest. 20/10/2025 a 24/10/2025 - PIX: CPF - CHAVE: 070.073.316-70</t>
  </si>
  <si>
    <t>Serv.Prest. 20/10/2025 a 24/10/2025 - PIX: CELULAR - CHAVE: (31) 98483-3242</t>
  </si>
  <si>
    <t>Serv.Prest. 20/10/2025 a 24/10/2025 - PIX: CPF - CHAVE: 160.160.216-28</t>
  </si>
  <si>
    <t>Serv.Prest. 20/10/2025 a 24/10/2025 - PIX: CELULAR - CHAVE: (33) 9 9114-8112</t>
  </si>
  <si>
    <t>Serv.Prest. 20/10/2025 a 24/10/2025 - PIX: CELULAR - CHAVE: (33) 98857-0494</t>
  </si>
  <si>
    <t>Serv.Prest. 20/10/2025 a 24/10/2025 - PIX: CPF - CHAVE: 386.313.426-53</t>
  </si>
  <si>
    <t>Serv.Prest. 20/10/2025 a 24/10/2025 - PIX: CELULAR - CHAVE: (33) 99706-4860</t>
  </si>
  <si>
    <t>Serv.Prest. 20/10/2025 a 24/10/2025 - PIX: CELULAR - CHAVE: (31) 99816-8965</t>
  </si>
  <si>
    <t>Serv.Prest. 20/10/2025 a 24/10/2025 - PIX: CPF - CHAVE: 113.084.266-58</t>
  </si>
  <si>
    <t>Serv.Prest. 20/10/2025 a 24/10/2025 - PIX: CPF - CHAVE: 067.393.286-92</t>
  </si>
  <si>
    <t>Serv.Prest. 20/10/2025 a 24/10/2025 - PIX: CPF - CHAVE: 121.297.376-33</t>
  </si>
  <si>
    <t>Serv.Prest. 20/10/2025 a 24/10/2025 - PIX: CELULAR - CHAVE: (31) 99812-7173</t>
  </si>
  <si>
    <t>Serv.Prest. 20/10/2025 a 24/10/2025 - PIX: CPF - CHAVE: 126.873.296-65</t>
  </si>
  <si>
    <t>Serv.Prest. 20/10/2025 a 24/10/2025 - PIX: CPF - CHAVE: 023.645.626-19</t>
  </si>
  <si>
    <t>Serv.Prest. 20/10/2025 a 24/10/2025 - PIX: CELULAR - CHAVE: (33) 98836-6015</t>
  </si>
  <si>
    <t>Serv.Prest. 20/10/2025 a 24/10/2025 - PIX: E-MAIL - CHAVE: jhonantanlacerda@gmail.com</t>
  </si>
  <si>
    <t>Serv.Prest. 24/10/2025 a 02/11/2025 - PIX: CELULAR - CHAVE: (33) 99802-1883</t>
  </si>
  <si>
    <t>Serv.Prest. 20/10/2025 a 24/10/2025 - PIX: CPF - CHAVE: 602.838.315-53</t>
  </si>
  <si>
    <t>Serv.Prest. 20/10/2025 a 24/10/2025 - PIX: CPF - CHAVE: 043.301.196-33</t>
  </si>
  <si>
    <t>Serv.Prest. 20/10/2025 a 24/10/2025 - PIX: CPF - CHAVE: 012.459.366-62</t>
  </si>
  <si>
    <t>Serv.Prest. 20/10/2025 a 24/10/2025 - PIX: CPF - CHAVE: 077.488.126-75</t>
  </si>
  <si>
    <t>Serv.Prest. 20/10/2025 a 24/10/2025 - PIX: CPF - CHAVE: 074.520.456-29</t>
  </si>
  <si>
    <t>Serv.Prest. 20/10/2025 a 24/10/2025 - PIX: CELULAR - CHAVE: (33) 99106-9330</t>
  </si>
  <si>
    <t>Serv.Prest. 20/10/2025 a 24/10/2025 - PIX: CHAVE ALEATÓRIA - CHAVE: c489bee1-360b-4fa9-86c4-fbb0e9844cb8</t>
  </si>
  <si>
    <t>Serv.Prest. 20/10/2025 a 24/10/2025 - PIX: CELULAR - CHAVE: (31) 99850-4727</t>
  </si>
  <si>
    <t>Serv.Prest. 20/10/2025 a 24/10/2025 - PIX: CELULAR - CHAVE: (33) 98749-4693</t>
  </si>
  <si>
    <t>Serv.Prest. 20/10/2025 a 24/10/2025 - PIX: CPF - CHAVE: 161.508.516-56</t>
  </si>
  <si>
    <t>Serv.Prest. 20/10/2025 a 24/10/2025 - PIX: CELULAR - CHAVE: (33) 99172-0627</t>
  </si>
  <si>
    <t>Serv.Prest. 20/10/2025 a 24/10/2025 - PIX: CELULAR - CHAVE: (33) 99981-6650</t>
  </si>
  <si>
    <t>Serv.Prest. 20/10/2025 a 24/10/2025 - PIX: CPF - CHAVE: 101.220.976-88</t>
  </si>
  <si>
    <t>Serv.Prest. 20/10/2025 a 24/10/2025 - PIX: CPF - CHAVE: 129.269.326-69</t>
  </si>
  <si>
    <t>Serv.Prest. 20/10/2025 a 24/10/2025 - PIX: CPF - CHAVE: 705.097.186-39</t>
  </si>
  <si>
    <t>Serv.Prest. 20/10/2025 a 24/10/2025 - PIX: CPF - CHAVE: 159.443.306-27</t>
  </si>
  <si>
    <t>Serv.Prest. 20/10/2025 a 24/10/2025 - PIX: CELULAR - CHAVE: (33) 98427-3872</t>
  </si>
  <si>
    <t>Serv.Prest. 20/10/2025 a 24/10/2025 - PIX: CELULAR - CHAVE: (33) 99815-2379</t>
  </si>
  <si>
    <t>Serv.Prest. 20/10/2025 a 24/10/2025 - PIX: E-MAIL - CHAVE: meamatheusvieira@gmail.com</t>
  </si>
  <si>
    <t>Serv.Prest. 20/10/2025 a 24/10/2025 - PIX: CPF - CHAVE: 163.330.766-27</t>
  </si>
  <si>
    <t>Serv.Prest. 20/10/2025 a 24/10/2025 - PIX: CELULAR - CHAVE: (31) 99076-6539</t>
  </si>
  <si>
    <t>Serv.Prest. 20/10/2025 a 24/10/2025 - PIX: CELULAR - CHAVE: (33) 99845-0493</t>
  </si>
  <si>
    <t>Serv.Prest. 20/10/2025 a 24/10/2025 - PIX: CPF - CHAVE: 123.020.026-60</t>
  </si>
  <si>
    <t>Serv.Prest. 20/10/2025 a 24/10/2025 - PIX: CELULAR - CHAVE: (33) 98817-9868</t>
  </si>
  <si>
    <t>Serv.Prest. 20/10/2025 a 24/10/2025 - PIX: CPF - CHAVE: 108.680.396-59</t>
  </si>
  <si>
    <t>Serv.Prest. 20/10/2025 a 24/10/2025 - PIX: CPF - CHAVE: 037.974.316-78</t>
  </si>
  <si>
    <t>Serv.Prest. 20/10/2025 a 24/10/2025 - PIX: CELULAR - CHAVE: (31) 99216-8711</t>
  </si>
  <si>
    <t>Serv.Prest. 20/10/2025 a 24/10/2025 - PIX: CELULAR - CHAVE: (31) 97339-3761</t>
  </si>
  <si>
    <t>Serv.Prest. 20/10/2025 a 24/10/2025 - PIX: CELULAR - CHAVE: (35) 99264-4504</t>
  </si>
  <si>
    <t>Serv.Prest. 20/10/2025 a 24/10/2025 - PIX: E-MAIL - CHAVE: sypedrinho@gmail.com</t>
  </si>
  <si>
    <t>Serv.Prest. 20/10/2025 a 24/10/2025 - PIX: CPF - CHAVE: 135.640.066-30</t>
  </si>
  <si>
    <t>Serv.Prest. 20/10/2025 a 24/10/2025 - PIX: CELULAR - CHAVE: (31) 99959-5414</t>
  </si>
  <si>
    <t>Serv.Prest. 20/10/2025 a 24/10/2025 - PIX: CPF - CHAVE: 072.968.086-08</t>
  </si>
  <si>
    <t>Serv.Prest. 20/10/2025 a 24/10/2025 - PIX: CPF - CHAVE: 012.783.036-77</t>
  </si>
  <si>
    <t>Serv.Prest. 20/10/2025 a 24/10/2025 - PIX: E-MAIL - CHAVE: rhupego@gmail.com</t>
  </si>
  <si>
    <t>Serv.Prest. 20/10/2025 a 24/10/2025 - PIX: E-MAIL - CHAVE: roger.l.borges04@gmail.com</t>
  </si>
  <si>
    <t>Serv.Prest. 20/10/2025 a 24/10/2025 - PIX: CPF - CHAVE: 701.955.866-62</t>
  </si>
  <si>
    <t>Serv.Prest. 20/10/2025 a 24/10/2025 - PIX: CPF - CHAVE: 118.731.976-75</t>
  </si>
  <si>
    <t>Serv.Prest. 20/10/2025 a 24/10/2025 - PIX: CPF - CHAVE: 048.151.276-46</t>
  </si>
  <si>
    <t>Serv.Prest. 20/10/2025 a 24/10/2025 - PIX: CPF - CHAVE: 097.855.786-74</t>
  </si>
  <si>
    <t>Serv.Prest. 20/10/2025 a 24/10/2025 - PIX: CHAVE ALEATÓRIA - CHAVE: 1550e869-c9d7-4436-be93-6858fd0cb900</t>
  </si>
  <si>
    <t>Serv.Prest. 20/10/2025 a 24/10/2025 - PIX: CELULAR - CHAVE: (33) 99880-7941</t>
  </si>
  <si>
    <t>Serv.Prest. 20/10/2025 a 24/10/2025 - PIX: CELULAR - CHAVE: (33) 99874-5128</t>
  </si>
  <si>
    <t>Serv.Prest. 20/10/2025 a 24/10/2025 - PIX: CPF - CHAVE: 092.566.416-23</t>
  </si>
  <si>
    <t>Serv.Prest. 20/10/2025 a 24/10/2025 - PIX: CPF - CHAVE: 157.874.046-02</t>
  </si>
  <si>
    <t>Serv.Prest. 20/10/2025 a 24/10/2025 - PIX: CELULAR - CHAVE: (33) 99118-9032</t>
  </si>
  <si>
    <t>Serv.Prest. 20/10/2025 a 24/10/2025 - PIX: CELULAR - CHAVE: (31) 97251-6838</t>
  </si>
  <si>
    <t>Serv.Prest. 20/10/2025 a 24/10/2025 - PIX: CELULAR - CHAVE: (32) 99800-1691</t>
  </si>
  <si>
    <t>Serv.Prest. 20/10/2025 a 24/10/2025 - PIX: CPF - CHAVE: 700.454.836-80</t>
  </si>
  <si>
    <t>Serv.Prest. 20/10/2025 a 24/10/2025 - PIX: CELULAR - CHAVE: (33) 98806-5772</t>
  </si>
  <si>
    <t>Serv.Prest. 20/10/2025 a 24/10/2025 - PIX: CELULAR - CHAVE: (33) 99996-3668</t>
  </si>
  <si>
    <t>Serv.Prest. 20/10/2025 a 24/10/2025 - PIX: CPF - CHAVE: 012.906.122-00</t>
  </si>
  <si>
    <t>Serv.Prest. 20/10/2025 a 24/10/2025 - PIX: E-MAIL - CHAVE: wilianvieirawrv3578@gmail.com</t>
  </si>
  <si>
    <t>Serv.Prest. 20/10/2025 a 24/10/2025 - PIX: CELULAR - CHAVE: (33) 99859-8751</t>
  </si>
  <si>
    <t>Serv.Prest. 20/10/2025 a 24/10/2025 - PIX: CPF - CHAVE: 036.875.515-04</t>
  </si>
  <si>
    <t>Serv.Prest. 20/10/2025 a 24/10/2025 - PIX: CELULAR - CHAVE: (73) 99966-7211</t>
  </si>
  <si>
    <t>Serv.Prest. 20/10/2025 a 24/10/2025 - PIX: CPF - CHAVE: 094.947.395-23</t>
  </si>
  <si>
    <t>Serv.Prest. 20/10/2025 a 24/10/2025 - PIX: E-MAIL - CHAVE: ericgomes508@gmail.com</t>
  </si>
  <si>
    <t>Serv.Prest. 20/10/2025 a 24/10/2025 - PIX: CPF - CHAVE: 087.398.185-51</t>
  </si>
  <si>
    <t>Serv.Prest. 20/10/2025 a 24/10/2025 - PIX: CELULAR - CHAVE: (73) 99941-8352</t>
  </si>
  <si>
    <t>Serv.Prest. 20/10/2025 a 24/10/2025 - PIX: CELULAR - CHAVE: (73) 988381077</t>
  </si>
  <si>
    <t>Serv.Prest. 20/10/2025 a 24/10/2025 - PIX: CELULAR - CHAVE: (73) 98888-3793</t>
  </si>
  <si>
    <t>Serv.Prest. 20/10/2025 a 24/10/2025 - PIX: CPF - CHAVE: 439.169.103-53</t>
  </si>
  <si>
    <t>Serv.Prest. 20/10/2025 a 24/10/2025 - PIX: CELULAR - CHAVE: (73) 99115-9602</t>
  </si>
  <si>
    <t>Serv.Prest. 20/10/2025 a 24/10/2025 - PIX: CPF - CHAVE: 035.018.455-02</t>
  </si>
  <si>
    <t>Serv.Prest. 20/10/2025 a 24/10/2025 - PIX: CPF - CHAVE: 860.305.455-07</t>
  </si>
  <si>
    <t>Serv.Prest. 20/10/2025 a 24/10/2025 - PIX: CPF - CHAVE: 009.476.175-23</t>
  </si>
  <si>
    <t>Serv.Prest. 20/10/2025 a 24/10/2025 - PIX: CELULAR - CHAVE: (73) 98105-2187</t>
  </si>
  <si>
    <t>Serv.Prest. 20/10/2025 a 24/10/2025 - PIX: CPF - CHAVE: 094.700.685-05</t>
  </si>
  <si>
    <t>Serv.Prest. 20/10/2025 a 24/10/2025 - PIX: CELULAR - CHAVE: (73) 99803-0715</t>
  </si>
  <si>
    <t>Serv.Prest. 20/10/2025 a 24/10/2025 - PIX: CELULAR - CHAVE: (73) 99967-3239</t>
  </si>
  <si>
    <t>Serv.Prest. 20/10/2025 a 24/10/2025 - PIX: CPF - CHAVE: 003.157.195-67</t>
  </si>
  <si>
    <t>Serv.Prest. 20/10/2025 a 24/10/2025 - PIX: CNPJ - CHAVE: 33.412.676/0001-41</t>
  </si>
  <si>
    <t>Serv.Prest. 20/10/2025 a 24/10/2025 - PIX: CELULAR - CHAVE: (73) 99977-2721</t>
  </si>
  <si>
    <t>Serv.Prest. 20/10/2025 a 24/10/2025 - PIX: CELULAR - CHAVE: (73) 99818-9718</t>
  </si>
  <si>
    <t>Serv.Prest. 20/10/2025 a 24/10/2025 - PIX: CPF - CHAVE: 079.068.045-97</t>
  </si>
  <si>
    <t>Serv.Prest. 20/10/2025 a 24/10/2025 - PIX: CPF - CHAVE: 079.930.865-07</t>
  </si>
  <si>
    <t>Serv.Prest. 20/10/2025 a 24/10/2025 - PIX: CPF - CHAVE: 077.317.327-70</t>
  </si>
  <si>
    <t>Serv.Prest. 20/10/2025 a 24/10/2025 - PIX: CELULAR - CHAVE: (27) 99811-6850</t>
  </si>
  <si>
    <t>Serv.Prest. 20/10/2025 a 24/10/2025 - PIX: CELULAR - CHAVE: (27) 99869-8144</t>
  </si>
  <si>
    <t>Serv.Prest. 20/10/2025 a 24/10/2025 - PIX: CELULAR - CHAVE: (73) 99167-5954</t>
  </si>
  <si>
    <t>Serv.Prest. 20/10/2025 a 24/10/2025 - PIX: CPF - CHAVE: 121.963.507-37</t>
  </si>
  <si>
    <t>Serv.Prest. 20/10/2025 a 26/10/2025 - PIX: E-MAIL - CHAVE: alanacosta1999@gmail.com</t>
  </si>
  <si>
    <t>Serv.Prest. 20/10/2025 a 26/10/2025 - PIX: CPF - CHAVE: 975.425.989-53</t>
  </si>
  <si>
    <t>Serv.Prest. 20/10/2025 a 26/10/2025 - PIX: CELULAR - CHAVE: (43) 99630-7532</t>
  </si>
  <si>
    <t>Serv.Prest. 20/10/2025 a 26/10/2025 - PIX: CPF - CHAVE: 004.682.359-06</t>
  </si>
  <si>
    <t>Serv.Prest. 20/10/2025 a 26/10/2025 - PIX: CELULAR - CHAVE: (43) 99934-1696</t>
  </si>
  <si>
    <t>Serv.Prest. 20/10/2025 a 26/10/2025 - PIX: CPF - CHAVE: 074.604.219-10</t>
  </si>
  <si>
    <t>Serv.Prest. 20/10/2025 a 26/10/2025 - PIX: CPF - CHAVE: 878.196.869-87</t>
  </si>
  <si>
    <t>Serv.Prest. 27/10/2025 a 02/11/2025 - PIX: CELULAR - CHAVE: (11) 98612-9589</t>
  </si>
  <si>
    <t>Serv.Prest. 27/10/2025 a 02/11/2025 - PIX: CPF - CHAVE: 469.543.578-04</t>
  </si>
  <si>
    <t>Serv.Prest. 27/10/2025 a 02/11/2025 - PIX: CELULAR - CHAVE: (11) 98144-5840</t>
  </si>
  <si>
    <t>Serv.Prest. 27/10/2025 a 02/11/2025 - PIX: CNPJ - CHAVE: 52.606.983/0001-08</t>
  </si>
  <si>
    <t>Serv.Prest. 27/10/2025 a 02/11/2025 - PIX: CPF - CHAVE: 500.480.978-02</t>
  </si>
  <si>
    <t>Serv.Prest. 27/10/2025 a 02/11/2025 - PIX: CELULAR - CHAVE: (11) 98484-6837</t>
  </si>
  <si>
    <t>Serv.Prest. 27/10/2025 a 02/11/2025 - PIX: CELULAR - CHAVE: (11) 95054-2206</t>
  </si>
  <si>
    <t>Serv.Prest. 27/10/2025 a 02/11/2025 - PIX: CELULAR - CHAVE: (11) 97702-1316</t>
  </si>
  <si>
    <t>Serv.Prest. 27/10/2025 a 02/11/2025 - PIX: CPF - CHAVE: 506.934.998-85</t>
  </si>
  <si>
    <t>Serv.Prest. 27/10/2025 a 02/11/2025 - PIX: CPF - CHAVE: 419.678.508-52</t>
  </si>
  <si>
    <t>Serv.Prest. 27/10/2025 a 02/11/2025 - PIX: CPF - CHAVE: 489.237.478-40</t>
  </si>
  <si>
    <t>Serv.Prest. 27/10/2025 a 02/11/2025 - PIX: CELULAR - CHAVE: (11) 98768-7863</t>
  </si>
  <si>
    <t>Serv.Prest. 27/10/2025 a 02/11/2025 - PIX: CPF - CHAVE: 370.849.948-40</t>
  </si>
  <si>
    <t>Serv.Prest. 27/10/2025 a 02/11/2025 - PIX: CPF - CHAVE: 396.877.618-65</t>
  </si>
  <si>
    <t>Serv.Prest. 27/10/2025 a 02/11/2025 - PIX: CPF - CHAVE: 427.090.718-51</t>
  </si>
  <si>
    <t>Serv.Prest. 27/10/2025 a 02/11/2025 - PIX: CPF - CHAVE: 471.142.438-55</t>
  </si>
  <si>
    <t>Serv.Prest. 27/10/2025 a 02/11/2025 - PIX: CELULAR - CHAVE: (11) 94195-2534</t>
  </si>
  <si>
    <t>Serv.Prest. 27/10/2025 a 02/11/2025 - PIX: CELULAR - CHAVE: (11) 99270-3082</t>
  </si>
  <si>
    <t>Serv.Prest. 27/10/2025 a 02/11/2025 - PIX: CPF - CHAVE: 026.422.254-70</t>
  </si>
  <si>
    <t>Serv.Prest. 27/10/2025 a 02/11/2025 - PIX: CELULAR - CHAVE: (11) 96409-0865</t>
  </si>
  <si>
    <t>Serv.Prest. 27/10/2025 a 02/11/2025 - PIX: CELULAR - CHAVE: (11) 99220-4018</t>
  </si>
  <si>
    <t>Serv.Prest. 27/10/2025 a 02/11/2025 - PIX: CELULAR - CHAVE: (11) 98447-6954</t>
  </si>
  <si>
    <t>Serv.Prest. 27/10/2025 a 02/11/2025 - PIX: CPF - CHAVE: 383.328.968-60</t>
  </si>
  <si>
    <t>Serv.Prest. 27/10/2025 a 02/11/2025 - PIX: CPF - CHAVE: 012.600.851-55</t>
  </si>
  <si>
    <t>Serv.Prest. 27/10/2025 a 02/11/2025 - PIX: CELULAR - CHAVE: (11) 95552-9905</t>
  </si>
  <si>
    <t>Serv.Prest. 27/10/2025 a 02/11/2025 - PIX: CPF - CHAVE: 505.341.528-56</t>
  </si>
  <si>
    <t>Serv.Prest. 27/10/2025 a 02/11/2025 - PIX: CELULAR - CHAVE: (11) 91214-6176</t>
  </si>
  <si>
    <t>Serv.Prest. 27/10/2025 a 02/11/2025 - PIX: CPF - CHAVE: 157.591.436-03</t>
  </si>
  <si>
    <t>Serv.Prest. 27/10/2025 a 02/11/2025 - PIX: CELULAR - CHAVE: (32) 99920-0416</t>
  </si>
  <si>
    <t>Serv.Prest. 27/10/2025 a 02/11/2025 - PIX: CNPJ - CHAVE: 51.676.704/0001-10</t>
  </si>
  <si>
    <t>Serv.Prest. 27/10/2025 a 02/11/2025 - PIX: CPF - CHAVE: 140.108.466-40</t>
  </si>
  <si>
    <t>Serv.Prest. 27/10/2025 a 02/11/2025 - PIX: CPF - CHAVE: 100.710.806-19</t>
  </si>
  <si>
    <t>Serv.Prest. 27/10/2025 a 02/11/2025 - PIX: CPF - CHAVE: 463.491.858-70</t>
  </si>
  <si>
    <t>Serv.Prest. 27/10/2025 a 02/11/2025 - PIX: CELULAR - CHAVE: (11) 99992-0816</t>
  </si>
  <si>
    <t>Serv.Prest. 27/10/2025 a 02/11/2025 - PIX: CELULAR - CHAVE: (31) 99376-7989</t>
  </si>
  <si>
    <t>Serv.Prest. 27/10/2025 a 02/11/2025 - PIX: CPF - CHAVE: 090.332.006-19</t>
  </si>
  <si>
    <t>Serv.Prest. 27/10/2025 a 02/11/2025 - PIX: CELULAR - CHAVE: (37) 99197-6834</t>
  </si>
  <si>
    <t>Serv.Prest. 27/10/2025 a 02/11/2025 - PIX: CPF - CHAVE: 950.176.406-06</t>
  </si>
  <si>
    <t>Serv.Prest. 27/10/2025 a 02/11/2025 - PIX: CELULAR - CHAVE: (37) 99138-1777</t>
  </si>
  <si>
    <t>Serv.Prest. 27/10/2025 a 02/11/2025 - PIX: CELULAR - CHAVE: (37) 98841-8571</t>
  </si>
  <si>
    <t>Serv.Prest. 27/10/2025 a 02/11/2025 - PIX: CPF - CHAVE: 103.983.366-79</t>
  </si>
  <si>
    <t>Serv.Prest. 27/10/2025 a 02/11/2025 - PIX: CPF - CHAVE: 138.263.636-98</t>
  </si>
  <si>
    <t>Serv.Prest. 27/10/2025 a 02/11/2025 - PIX: CPF - CHAVE: 128.367.756-37</t>
  </si>
  <si>
    <t>Serv.Prest. 27/10/2025 a 02/11/2025 - PIX: CPF - CHAVE: 147.592.156-03</t>
  </si>
  <si>
    <t>Serv.Prest. 27/10/2025 a 02/11/2025 - PIX: CPF - CHAVE: 138.798.486-10</t>
  </si>
  <si>
    <t>Serv.Prest. 27/10/2025 a 02/11/2025 - PIX: CELULAR - CHAVE: (33) 99924-7557</t>
  </si>
  <si>
    <t>Serv.Prest. 27/10/2025 a 02/11/2025 - PIX: E-MAIL - CHAVE: claudioverdinho2009@hotmail.com</t>
  </si>
  <si>
    <t>Serv.Prest. 27/10/2025 a 02/11/2025 - PIX: CELULAR - CHAVE: (41) 98421-2278</t>
  </si>
  <si>
    <t>Serv.Prest. 27/10/2025 a 02/11/2025 - PIX: CPF - CHAVE: 124.575.099-20</t>
  </si>
  <si>
    <t>Serv.Prest. 27/10/2025 a 02/11/2025 - PIX: CELULAR - CHAVE: (28) 99988-2177</t>
  </si>
  <si>
    <t>Serv.Prest. 27/10/2025 a 02/11/2025 - PIX: CELULAR - CHAVE: (28) 98816-4170</t>
  </si>
  <si>
    <t>Serv.Prest. 27/10/2025 a 02/11/2025 - PIX: CPF - CHAVE: 100.826.516-04</t>
  </si>
  <si>
    <t>Serv.Prest. 27/10/2025 a 02/11/2025 - PIX: CPF - CHAVE: 126.686.406-79</t>
  </si>
  <si>
    <t>Serv.Prest. 27/10/2025 a 02/11/2025 - PIX: CPF - CHAVE: 016.203.336-27</t>
  </si>
  <si>
    <t>Serv.Prest. 27/10/2025 a 02/11/2025 - PIX: CELULAR - CHAVE: (34) 99694-0926</t>
  </si>
  <si>
    <t>Serv.Prest. 24/10/2025 a 02/11/2025 - PIX: CELULAR - CHAVE: (73) 98191-0061</t>
  </si>
  <si>
    <t>Serv.Prest. 24/10/2025 a 02/11/2025 - PIX: CELULAR - CHAVE: (73) 98166-3325</t>
  </si>
  <si>
    <t>Serv.Prest. 24/10/2025 a 02/11/2025 - PIX: CPF - CHAVE: 378.223.888-51</t>
  </si>
  <si>
    <t>Serv.Prest. 27/10/2025 a 02/11/2025 - PIX: CPF - CHAVE: 361.750.258-06</t>
  </si>
  <si>
    <t>Serv.Prest. 27/10/2025 a 02/11/2025 - PIX: CELULAR - CHAVE: (64) 99952-0910</t>
  </si>
  <si>
    <t>Serv.Prest. 27/10/2025 a 02/11/2025 - PIX: CELULAR - CHAVE: (64) 97400-9101</t>
  </si>
  <si>
    <t>Serv.Prest. 27/10/2025 a 02/11/2025 - PIX: CELULAR - CHAVE: (71) 99696-7530</t>
  </si>
  <si>
    <t>Serv.Prest. 27/10/2025 a 02/11/2025 - PIX: CELULAR - CHAVE: (71) 99214-9256</t>
  </si>
  <si>
    <t>Serv.Prest. 27/10/2025 a 02/11/2025 - PIX: E-MAIL - CHAVE: edvam18.alves@gmail.com</t>
  </si>
  <si>
    <t>Serv.Prest. 27/10/2025 a 02/11/2025 - PIX: CPF - CHAVE: 048.672.645-20</t>
  </si>
  <si>
    <t>Serv.Prest. 27/10/2025 a 02/11/2025 - PIX: CELULAR - CHAVE: (71) 98124-7946</t>
  </si>
  <si>
    <t>Serv.Prest. 27/10/2025 a 02/11/2025 - PIX: CELULAR - CHAVE: (34) 99772-2954</t>
  </si>
  <si>
    <t>Serv.Prest. 27/10/2025 a 02/11/2025 - PIX: CELULAR - CHAVE: (34) 99688-5705</t>
  </si>
  <si>
    <t>Serv.Prest. 27/10/2025 a 02/11/2025 - PIX: CPF - CHAVE: 130.109.156-16</t>
  </si>
  <si>
    <t>Serv.Prest. 27/10/2025 a 02/11/2025 - PIX: CPF - CHAVE: 054.162.686-89</t>
  </si>
  <si>
    <t>Serv.Prest. 27/10/2025 a 02/11/2025 - PIX: CELULAR - CHAVE: (34) 99889-9792</t>
  </si>
  <si>
    <t>Serv.Prest. 27/10/2025 a 02/11/2025 - PIX: CELULAR - CHAVE: (34) 99178-2263</t>
  </si>
  <si>
    <t>Serv.Prest. 24/10/2025 a 02/11/2025 - PIX: CPF - CHAVE: 092.566.416-23</t>
  </si>
  <si>
    <t>DIARIA 02/11 - ALEM PARAIBA - CHAVE PIX CELULAR - (32) 9 8703-8039</t>
  </si>
  <si>
    <t>Serv.Prest. 24/10/2025 a 02/11/2025 - PIX: CPF - CHAVE: 074.520.456-29</t>
  </si>
  <si>
    <t>Serv.Prest. 20/10/2025 a 26/10/2025 - RPS: 1476 - NFSe: 3600</t>
  </si>
  <si>
    <t>Serv.Prest. 20/10/2025 a 26/10/2025 - RPS: 1477 - NFSe: 3601</t>
  </si>
  <si>
    <t>Serv.Prest. 20/10/2025 a 26/10/2025 - RPS: 1478 - NFSe: 3602</t>
  </si>
  <si>
    <t>Serv.Prest. 27/10/2025 a 02/11/2025 - RPS: 1496 - NFSe: 3620</t>
  </si>
  <si>
    <t>Serv.Prest. 27/10/2025 a 02/11/2025 - RPS: 1499 - NFSe: 3623</t>
  </si>
  <si>
    <t>Serv.Prest. 27/10/2025 a 02/11/2025 - RPS: 1501 - NFSe: 3625</t>
  </si>
  <si>
    <t>Serv.Prest. 27/10/2025 a 02/11/2025 - RPS: 1507 - NFSe: 3631</t>
  </si>
  <si>
    <t>Serv.Prest. 27/10/2025 a 02/11/2025 - RPS: 1510 - NFSe: 3634</t>
  </si>
  <si>
    <t>Serv.Prest. 27/10/2025 a 02/11/2025 - RPS: 1511 - NFSe: 3635</t>
  </si>
  <si>
    <t>Serv.Prest. 27/10/2025 a 02/11/2025 - RPS: 1516 - NFSe: 3640</t>
  </si>
  <si>
    <t>Serv.Prest. 27/10/2025 a 02/11/2025 - RPS: 1520 - NFSe: 3644</t>
  </si>
  <si>
    <t>Serv.Prest. 27/10/2025 a 02/11/2025 - RPS: 1522 - NFSe: 3646</t>
  </si>
  <si>
    <t>Serv.Prest. 03/11/2025 a 09/11/2025 - PIX: CELULAR - CHAVE: (34) 99668-5593</t>
  </si>
  <si>
    <t>Serv.Prest. 20/10/2025 a 24/10/2025 - RPS: 1430 - NFSe: 3554</t>
  </si>
  <si>
    <t>Serv.Prest. 24/11/2025 a 30/11/2025 - PIX: CPF - CHAVE: 113.084.266-58</t>
  </si>
  <si>
    <t>Serv.Prest. 24/10/2025 a 02/11/2025 - PIX: CPF - CHAVE: 007.842.745-25</t>
  </si>
  <si>
    <t>Serv.Prest. 27/10/2025 a 02/11/2025 - RPS: 1508 - NFSe: 3632</t>
  </si>
  <si>
    <t>Serv.Prest. 01/10/2025 a 31/10/2025 - RPS: 1506 - NFSe: 3630</t>
  </si>
  <si>
    <t>Serv.Prest. 27/10/2025 a 02/11/2025 - RPS: 1502 - NFSe: 3626</t>
  </si>
  <si>
    <t>Serv.Prest. 27/10/2025 a 02/11/2025 - RPS: 1503 - NFSe: 3627</t>
  </si>
  <si>
    <t>Serv.Prest. 03/11/2025 a 09/11/2025 - PIX: CPF - CHAVE: 126.935.356-03</t>
  </si>
  <si>
    <t>Serv.Prest. 03/11/2025 a 09/11/2025 - PIX: CELULAR - CHAVE: (19) 98944-4977</t>
  </si>
  <si>
    <t>Serv.Prest. 03/11/2025 a 09/11/2025 - PIX: CPF - CHAVE: 423.098.018-36</t>
  </si>
  <si>
    <t>Serv.Prest. 03/11/2025 a 09/11/2025 - PIX: CPF - CHAVE: 400.402.668-77</t>
  </si>
  <si>
    <t>Serv.Prest. 03/11/2025 a 09/11/2025 - PIX: CPF - CHAVE: 298.747.458-00</t>
  </si>
  <si>
    <t>Serv.Prest. 03/11/2025 a 09/11/2025 - PIX: CELULAR - CHAVE: (11) 98731-4534</t>
  </si>
  <si>
    <t>Serv.Prest. 03/11/2025 a 09/11/2025 - PIX: CELULAR - CHAVE: (32) 99166-8238</t>
  </si>
  <si>
    <t>Serv.Prest. 03/11/2025 a 09/11/2025 - PIX: E-MAIL - CHAVE: davidmartinssantos73@gmail.com</t>
  </si>
  <si>
    <t>Serv.Prest. 03/11/2025 a 09/11/2025 - PIX: CELULAR - CHAVE: (11) 93933-2088</t>
  </si>
  <si>
    <t>Serv.Prest. 03/11/2025 a 09/11/2025 - PIX: CELULAR - CHAVE: (11) 91767-9056</t>
  </si>
  <si>
    <t>Serv.Prest. 03/11/2025 a 09/11/2025 - PIX: CPF - CHAVE: 615.521.869-20</t>
  </si>
  <si>
    <t>DIARIA 09/11 - COTIA</t>
  </si>
  <si>
    <t>Serv.Prest. 03/11/2025 a 09/11/2025 - PIX: CELULAR - CHAVE: (62) 99550-3226</t>
  </si>
  <si>
    <t>Serv.Prest. 03/11/2025 a 09/11/2025 - PIX: CPF - CHAVE: 488.769.518-73</t>
  </si>
  <si>
    <t>Serv.Prest. 03/11/2025 a 09/11/2025 - PIX: CPF - CHAVE: 174.029.607-90</t>
  </si>
  <si>
    <t>Serv.Prest. 10/11/2025 a 16/11/2025 - PIX: CELULAR - CHAVE: (11) 93933-2088</t>
  </si>
  <si>
    <t>ADIANTAMENTO LIDERANÇA E DIARIAS UBERABA</t>
  </si>
  <si>
    <t>Serv.Prest. 03/11/2025 a 09/11/2025 - PIX: CELULAR - CHAVE: (11) 95038-0621</t>
  </si>
  <si>
    <t>Serv.Prest. 24/10/2025 a 02/11/2025 - PIX: CPF - CHAVE: 037.192.076-09</t>
  </si>
  <si>
    <t>Serv.Prest. 03/11/2025 a 09/11/2025 - PIX: CPF - CHAVE: 106.393.056-10</t>
  </si>
  <si>
    <t>Serv.Prest. 24/10/2025 a 02/11/2025 - PIX: CPF - CHAVE: 179.800.027-09</t>
  </si>
  <si>
    <t>Serv.Prest. 03/11/2025 a 09/11/2025 - PIX: CPF - CHAVE: 141.994.266-20</t>
  </si>
  <si>
    <t>Serv.Prest. 03/11/2025 a 09/11/2025 - PIX: E-MAIL - CHAVE: ericsilva8marcena@gmail.com</t>
  </si>
  <si>
    <t>Serv.Prest. 03/11/2025 a 09/11/2025 - PIX: CELULAR - CHAVE: (32) 99913-0476</t>
  </si>
  <si>
    <t>Serv.Prest. 03/11/2025 a 09/11/2025 - PIX: CELULAR - CHAVE: (31) 99607-6585</t>
  </si>
  <si>
    <t>Serv.Prest. 03/11/2025 a 09/11/2025 - PIX: CELULAR - CHAVE: (32) 98703-8039</t>
  </si>
  <si>
    <t>Serv.Prest. 03/11/2025 a 09/11/2025 - PIX: CPF - CHAVE: 016.203.336-27</t>
  </si>
  <si>
    <t>Serv.Prest. 03/11/2025 a 09/11/2025 - PIX: CELULAR - CHAVE: (73) 988381077</t>
  </si>
  <si>
    <t>Serv.Prest. 03/11/2025 a 09/11/2025 - PIX: CELULAR - CHAVE: (11) 95906-5439</t>
  </si>
  <si>
    <t>Serv.Prest. 03/11/2025 a 09/11/2025 - PIX: CELULAR - CHAVE: (11) 98281-4526</t>
  </si>
  <si>
    <t>Serv.Prest. 03/11/2025 a 09/11/2025 - PIX: CELULAR - CHAVE: (11) 97702-1316</t>
  </si>
  <si>
    <t>Serv.Prest. 03/11/2025 a 09/11/2025 - PIX: CPF - CHAVE: 096.891.935-97</t>
  </si>
  <si>
    <t>Serv.Prest. 24/10/2025 a 02/11/2025 - PIX: CELULAR - CHAVE: (32) 99166-8238</t>
  </si>
  <si>
    <t>Serv.Prest. 20/10/2025 a 26/10/2025 - RPS: 1433 - NFSe: 3557</t>
  </si>
  <si>
    <t>Serv.Prest. 03/11/2025 a 09/11/2025 - RPS: 1567 - NFSe: 3691</t>
  </si>
  <si>
    <t>Serv.Prest. 24/10/2025 a 02/11/2025 - PIX: CELULAR - CHAVE: (33) 99194-2339</t>
  </si>
  <si>
    <t>Serv.Prest. 03/11/2025 a 09/11/2025 - PIX: CPF - CHAVE: 012.600.851-55</t>
  </si>
  <si>
    <t>Serv.Prest. 24/10/2025 a 02/11/2025 - PIX: E-MAIL - CHAVE: turano296801@gmail.com</t>
  </si>
  <si>
    <t>Serv.Prest. 03/11/2025 a 09/11/2025 - PIX: CPF - CHAVE: 378.223.888-51</t>
  </si>
  <si>
    <t>Serv.Prest. 03/11/2025 a 09/11/2025 - PIX: CELULAR - CHAVE: (73) 98191-0061</t>
  </si>
  <si>
    <t>Serv.Prest. 03/11/2025 a 09/11/2025 - PIX: CELULAR - CHAVE: (73) 98166-3325</t>
  </si>
  <si>
    <t>Serv.Prest. 03/11/2025 a 09/11/2025 - PIX: CPF - CHAVE: 097.245.586-81</t>
  </si>
  <si>
    <t>Serv.Prest. 03/11/2025 a 09/11/2025 - RPS: 1556 - NFSe: 3680</t>
  </si>
  <si>
    <t>Serv.Prest. 03/11/2025 a 09/11/2025 - RPS: 1552 - NFSe: 3676</t>
  </si>
  <si>
    <t>Serv.Prest. 03/11/2025 a 09/11/2025 - RPS: 1551 - NFSe: 3675</t>
  </si>
  <si>
    <t>Serv.Prest. 03/11/2025 a 09/11/2025 - RPS: 1559 - NFSe: 3683</t>
  </si>
  <si>
    <t>Serv.Prest. 03/11/2025 a 09/11/2025 - RPS: 1548 - NFSe: 3672</t>
  </si>
  <si>
    <t>Serv.Prest. 03/11/2025 a 09/11/2025 - RPS: 1555 - NFSe: 3679</t>
  </si>
  <si>
    <t>Serv.Prest. 03/11/2025 a 09/11/2025 - RPS: 1554 - NFSe: 3678</t>
  </si>
  <si>
    <t>Serv.Prest. 27/10/2025 a 02/11/2025 - RPS: 1529 - NFSe: 3653</t>
  </si>
  <si>
    <t>Serv.Prest. 27/10/2025 a 02/11/2025 - RPS: 1528 - NFSe: 3652</t>
  </si>
  <si>
    <t>ADIANTAMENTO Serv.Prest. 03/11/2025 a 09/11/2025 - RPS: 1553 - NFSe: 3677</t>
  </si>
  <si>
    <t>Serv.Prest. 10/11/2025 a 16/11/2025 - PIX: CPF - CHAVE: 615.521.869-20</t>
  </si>
  <si>
    <t>Serv.Prest. 24/10/2025 a 02/11/2025 - RPS: 1518 - NFSe: 3642</t>
  </si>
  <si>
    <t>Serv.Prest. 24/10/2025 a 02/11/2025 - RPS: 1517 - NFSe: 3641</t>
  </si>
  <si>
    <t>Serv.Prest. 24/10/2025 a 02/11/2025 - RPS: 1519 - NFSe: 3643</t>
  </si>
  <si>
    <t>Serv.Prest. 27/10/2025 a 02/11/2025 - PIX: E-MAIL - CHAVE: alanacosta1999@gmail.com</t>
  </si>
  <si>
    <t>Serv.Prest. 03/11/2025 a 09/11/2025 - PIX: CELULAR - CHAVE: (71) 99696-7530</t>
  </si>
  <si>
    <t>Serv.Prest. 27/10/2025 a 02/11/2025 - PIX: CPF - CHAVE: 975.425.989-53</t>
  </si>
  <si>
    <t>Serv.Prest. 03/11/2025 a 09/11/2025 - PIX: CPF - CHAVE: 157.591.436-03</t>
  </si>
  <si>
    <t>Serv.Prest. 24/10/2025 a 02/11/2025 - PIX: CPF - CHAVE: 099.626.666-60</t>
  </si>
  <si>
    <t>Serv.Prest. 03/11/2025 a 09/11/2025 - PIX: CELULAR - CHAVE: (32) 99920-0416</t>
  </si>
  <si>
    <t>Serv.Prest. 24/10/2025 a 02/11/2025 - PIX: CPF - CHAVE: 079.930.865-07</t>
  </si>
  <si>
    <t>Serv.Prest. 03/11/2025 a 09/11/2025 - PIX: CPF - CHAVE: 103.983.366-79</t>
  </si>
  <si>
    <t>Serv.Prest. 24/10/2025 a 02/11/2025 - PIX: CELULAR - CHAVE: (33) 99110-6940</t>
  </si>
  <si>
    <t>Serv.Prest. 03/11/2025 a 09/11/2025 - PIX: CELULAR - CHAVE: (37) 99146-2630</t>
  </si>
  <si>
    <t>Serv.Prest. 03/11/2025 a 09/11/2025 - PIX: CNPJ - CHAVE: 51.676.704/0001-10</t>
  </si>
  <si>
    <t>Serv.Prest. 03/11/2025 a 09/11/2025 - PIX: CELULAR - CHAVE: (28) 99988-2177</t>
  </si>
  <si>
    <t>Serv.Prest. 24/10/2025 a 02/11/2025 - PIX: CPF - CHAVE: 155.328.666-94</t>
  </si>
  <si>
    <t>Serv.Prest. 24/10/2025 a 02/11/2025 - PIX: CELULAR - CHAVE: (32) 98896-0708</t>
  </si>
  <si>
    <t>Serv.Prest. 27/10/2025 a 02/11/2025 - PIX: CELULAR - CHAVE: (43) 99630-7532</t>
  </si>
  <si>
    <t>Serv.Prest. 03/11/2025 a 09/11/2025 - PIX: E-MAIL - CHAVE: claudioverdinho2009@hotmail.com</t>
  </si>
  <si>
    <t>Serv.Prest. 24/10/2025 a 02/11/2025 - PIX: CELULAR - CHAVE: (32) 99177-6167</t>
  </si>
  <si>
    <t>Serv.Prest. 24/10/2025 a 02/11/2025 - PIX: CELULAR - CHAVE: (33) 98749-5105</t>
  </si>
  <si>
    <t>Serv.Prest. 24/10/2025 a 02/11/2025 - PIX: CELULAR - CHAVE: (31) 99610-7049</t>
  </si>
  <si>
    <t>Serv.Prest. 03/11/2025 a 09/11/2025 - PIX: CELULAR - CHAVE: (71) 99214-9256</t>
  </si>
  <si>
    <t>Serv.Prest. 24/10/2025 a 02/11/2025 - PIX: CPF - CHAVE: 141.134.256-98</t>
  </si>
  <si>
    <t>Serv.Prest. 03/11/2025 a 09/11/2025 - PIX: CELULAR - CHAVE: (11) 95552-9905</t>
  </si>
  <si>
    <t>Serv.Prest. 03/11/2025 a 09/11/2025 - PIX: CELULAR - CHAVE: (11) 97402-1586</t>
  </si>
  <si>
    <t>Serv.Prest. 24/10/2025 a 02/11/2025 - PIX: CPF - CHAVE: 094.947.395-23</t>
  </si>
  <si>
    <t>Serv.Prest. 03/11/2025 a 09/11/2025 - PIX: E-MAIL - CHAVE: edvam18.alves@gmail.com</t>
  </si>
  <si>
    <t>Serv.Prest. 03/11/2025 a 09/11/2025 - PIX: CPF - CHAVE: 048.672.645-20</t>
  </si>
  <si>
    <t>Serv.Prest. 03/11/2025 a 09/11/2025 - PIX: CPF - CHAVE: 463.491.858-70</t>
  </si>
  <si>
    <t>Serv.Prest. 24/10/2025 a 02/11/2025 - PIX: E-MAIL - CHAVE: ericgomes508@gmail.com</t>
  </si>
  <si>
    <t>Serv.Prest. 24/10/2025 a 02/11/2025 - PIX: CPF - CHAVE: 070.073.316-70</t>
  </si>
  <si>
    <t>Serv.Prest. 03/11/2025 a 09/11/2025 - PIX: CPF - CHAVE: 138.798.486-10</t>
  </si>
  <si>
    <t>Serv.Prest. 27/10/2025 a 02/11/2025 - PIX: CPF - CHAVE: 004.682.359-06</t>
  </si>
  <si>
    <t>Serv.Prest. 24/10/2025 a 02/11/2025 - PIX: CPF - CHAVE: 160.160.216-28</t>
  </si>
  <si>
    <t>Serv.Prest. 03/11/2025 a 09/11/2025 - PIX: CPF - CHAVE: 140.108.466-40</t>
  </si>
  <si>
    <t>Serv.Prest. 24/10/2025 a 02/11/2025 - PIX: CPF - CHAVE: 087.398.185-51</t>
  </si>
  <si>
    <t>Serv.Prest. 27/10/2025 a 02/11/2025 - PIX: CELULAR - CHAVE: (43) 99934-1696</t>
  </si>
  <si>
    <t>Serv.Prest. 24/10/2025 a 02/11/2025 - PIX: CELULAR - CHAVE: (73) 99941-8352</t>
  </si>
  <si>
    <t>Serv.Prest. 03/11/2025 a 09/11/2025 - PIX: CPF - CHAVE: 505.341.528-56</t>
  </si>
  <si>
    <t>Serv.Prest. 24/10/2025 a 02/11/2025 - PIX: CELULAR - CHAVE: (33) 99706-4860</t>
  </si>
  <si>
    <t>Serv.Prest. 24/10/2025 a 02/11/2025 - PIX: CELULAR - CHAVE: (31) 99816-8965</t>
  </si>
  <si>
    <t>Serv.Prest. 24/10/2025 a 02/11/2025 - PIX: CELULAR - CHAVE: (73) 98888-3793</t>
  </si>
  <si>
    <t>Serv.Prest. 03/11/2025 a 09/11/2025 - PIX: CELULAR - CHAVE: (41) 98421-2278</t>
  </si>
  <si>
    <t>Serv.Prest. 27/10/2025 a 02/11/2025 - PIX: CPF - CHAVE: 074.604.219-10</t>
  </si>
  <si>
    <t>Serv.Prest. 03/11/2025 a 09/11/2025 - PIX: CELULAR - CHAVE: (31) 99376-7989</t>
  </si>
  <si>
    <t>Serv.Prest. 24/10/2025 a 02/11/2025 - PIX: CPF - CHAVE: 439.169.103-53</t>
  </si>
  <si>
    <t>Serv.Prest. 24/10/2025 a 02/11/2025 - PIX: CPF - CHAVE: 121.297.376-33</t>
  </si>
  <si>
    <t>Serv.Prest. 24/10/2025 a 02/11/2025 - PIX: CELULAR - CHAVE: (31) 99812-7173</t>
  </si>
  <si>
    <t>Serv.Prest. 24/10/2025 a 02/11/2025 - PIX: CPF - CHAVE: 023.645.626-19</t>
  </si>
  <si>
    <t>Serv.Prest. 24/10/2025 a 02/11/2025 - PIX: CELULAR - CHAVE: (33) 98836-6015</t>
  </si>
  <si>
    <t>Serv.Prest. 03/11/2025 a 09/11/2025 - PIX: CPF - CHAVE: 124.575.099-20</t>
  </si>
  <si>
    <t>Serv.Prest. 24/10/2025 a 02/11/2025 - PIX: E-MAIL - CHAVE: jhonantanlacerda@gmail.com</t>
  </si>
  <si>
    <t>Serv.Prest. 24/10/2025 a 02/11/2025 - PIX: CPF - CHAVE: 860.305.455-07</t>
  </si>
  <si>
    <t>Serv.Prest. 24/10/2025 a 02/11/2025 - PIX: CELULAR - CHAVE: (33) 99924-7557</t>
  </si>
  <si>
    <t>Serv.Prest. 03/11/2025 a 09/11/2025 - PIX: CPF - CHAVE: 100.826.516-04</t>
  </si>
  <si>
    <t>Serv.Prest. 03/11/2025 a 09/11/2025 - PIX: CPF - CHAVE: 383.328.968-60</t>
  </si>
  <si>
    <t>Serv.Prest. 24/10/2025 a 02/11/2025 - PIX: CELULAR - CHAVE: (73) 98105-2187</t>
  </si>
  <si>
    <t>Serv.Prest. 24/10/2025 a 02/11/2025 - PIX: CHAVE ALEATÓRIA - CHAVE: c489bee1-360b-4fa9-86c4-fbb0e9844cb8</t>
  </si>
  <si>
    <t>Serv.Prest. 24/10/2025 a 02/11/2025 - PIX: CPF - CHAVE: 094.700.685-05</t>
  </si>
  <si>
    <t>Serv.Prest. 24/10/2025 a 02/11/2025 - PIX: CELULAR - CHAVE: (73) 99803-0715</t>
  </si>
  <si>
    <t>Serv.Prest. 03/11/2025 a 09/11/2025 - PIX: CPF - CHAVE: 138.263.636-98</t>
  </si>
  <si>
    <t>Serv.Prest. 24/10/2025 a 02/11/2025 - PIX: CELULAR - CHAVE: (33) 98749-4693</t>
  </si>
  <si>
    <t>Serv.Prest. 24/10/2025 a 02/11/2025 - PIX: CELULAR - CHAVE: (33) 99172-0627</t>
  </si>
  <si>
    <t>Serv.Prest. 24/10/2025 a 02/11/2025 - PIX: CELULAR - CHAVE: (73) 99967-3239</t>
  </si>
  <si>
    <t>Serv.Prest. 24/10/2025 a 02/11/2025 - PIX: CPF - CHAVE: 101.220.976-88</t>
  </si>
  <si>
    <t>Serv.Prest. 24/10/2025 a 02/11/2025 - PIX: CPF - CHAVE: 129.269.326-69</t>
  </si>
  <si>
    <t>Serv.Prest. 24/10/2025 a 02/11/2025 - PIX: CPF - CHAVE: 705.097.186-39</t>
  </si>
  <si>
    <t>Serv.Prest. 03/11/2025 a 09/11/2025 - PIX: CPF - CHAVE: 090.332.006-19</t>
  </si>
  <si>
    <t>Serv.Prest. 24/10/2025 a 02/11/2025 - PIX: CPF - CHAVE: 159.443.306-27</t>
  </si>
  <si>
    <t>Serv.Prest. 24/10/2025 a 02/11/2025 - PIX: CELULAR - CHAVE: (33) 98427-3872</t>
  </si>
  <si>
    <t>Serv.Prest. 24/10/2025 a 02/11/2025 - PIX: CELULAR - CHAVE: (33) 99815-2379</t>
  </si>
  <si>
    <t>Serv.Prest. 24/10/2025 a 02/11/2025 - PIX: CPF - CHAVE: 003.157.195-67</t>
  </si>
  <si>
    <t>Serv.Prest. 24/10/2025 a 02/11/2025 - PIX: E-MAIL - CHAVE: meamatheusvieira@gmail.com</t>
  </si>
  <si>
    <t>Serv.Prest. 24/10/2025 a 02/11/2025 - PIX: CPF - CHAVE: 163.330.766-27</t>
  </si>
  <si>
    <t>Serv.Prest. 24/10/2025 a 02/11/2025 - PIX: CELULAR - CHAVE: (31) 99076-6539</t>
  </si>
  <si>
    <t>Serv.Prest. 24/10/2025 a 02/11/2025 - PIX: CPF - CHAVE: 123.020.026-60</t>
  </si>
  <si>
    <t>Serv.Prest. 24/10/2025 a 02/11/2025 - PIX: CELULAR - CHAVE: (73) 99977-2721</t>
  </si>
  <si>
    <t>Serv.Prest. 24/10/2025 a 02/11/2025 - PIX: CELULAR - CHAVE: (31) 99216-8711</t>
  </si>
  <si>
    <t>Serv.Prest. 03/11/2025 a 09/11/2025 - PIX: CELULAR - CHAVE: (11) 99992-0816</t>
  </si>
  <si>
    <t>Serv.Prest. 24/10/2025 a 02/11/2025 - PIX: CELULAR - CHAVE: (35) 99264-4504</t>
  </si>
  <si>
    <t>Serv.Prest. 24/10/2025 a 02/11/2025 - PIX: E-MAIL - CHAVE: sypedrinho@gmail.com</t>
  </si>
  <si>
    <t>Serv.Prest. 03/11/2025 a 09/11/2025 - PIX: CELULAR - CHAVE: (31) 99959-5414</t>
  </si>
  <si>
    <t>Serv.Prest. 27/10/2025 a 02/11/2025 - PIX: CPF - CHAVE: 878.196.869-87</t>
  </si>
  <si>
    <t>Serv.Prest. 03/11/2025 a 09/11/2025 - PIX: CELULAR - CHAVE: (37) 99197-6834</t>
  </si>
  <si>
    <t>Serv.Prest. 03/11/2025 a 09/11/2025 - PIX: CPF - CHAVE: 950.176.406-06</t>
  </si>
  <si>
    <t>Serv.Prest. 03/11/2025 a 09/11/2025 - PIX: CPF - CHAVE: 128.367.756-37</t>
  </si>
  <si>
    <t>Serv.Prest. 03/11/2025 a 09/11/2025 - PIX: CPF - CHAVE: 396.124.108-28</t>
  </si>
  <si>
    <t>Serv.Prest. 24/10/2025 a 02/11/2025 - PIX: CPF - CHAVE: 118.731.976-75</t>
  </si>
  <si>
    <t>Serv.Prest. 24/10/2025 a 02/11/2025 - PIX: CPF - CHAVE: 048.151.276-46</t>
  </si>
  <si>
    <t>Serv.Prest. 03/11/2025 a 09/11/2025 - PIX: CPF - CHAVE: 126.686.406-79</t>
  </si>
  <si>
    <t>Serv.Prest. 24/10/2025 a 02/11/2025 - PIX: CHAVE ALEATÓRIA - CHAVE: 1550e869-c9d7-4436-be93-6858fd0cb900</t>
  </si>
  <si>
    <t>Serv.Prest. 03/11/2025 a 09/11/2025 - PIX: CELULAR - CHAVE: (37) 99138-1777</t>
  </si>
  <si>
    <t>Serv.Prest. 03/11/2025 a 09/11/2025 - PIX: CELULAR - CHAVE: (37) 98841-8571</t>
  </si>
  <si>
    <t>Serv.Prest. 24/10/2025 a 02/11/2025 - PIX: CPF - CHAVE: 121.963.507-37</t>
  </si>
  <si>
    <t>Serv.Prest. 24/10/2025 a 02/11/2025 - PIX: CELULAR - CHAVE: (73) 99818-9718</t>
  </si>
  <si>
    <t>Serv.Prest. 24/10/2025 a 02/11/2025 - PIX: CPF - CHAVE: 157.874.046-02</t>
  </si>
  <si>
    <t>Serv.Prest. 24/10/2025 a 02/11/2025 - PIX: CPF - CHAVE: 130.194.566-81</t>
  </si>
  <si>
    <t>Serv.Prest. 24/10/2025 a 02/11/2025 - PIX: CELULAR - CHAVE: (31) 97251-6838</t>
  </si>
  <si>
    <t>Serv.Prest. 24/10/2025 a 02/11/2025 - PIX: CELULAR - CHAVE: (32) 99800-1691</t>
  </si>
  <si>
    <t>Serv.Prest. 24/10/2025 a 02/11/2025 - PIX: CELULAR - CHAVE: (33) 98806-5772</t>
  </si>
  <si>
    <t>Serv.Prest. 24/10/2025 a 02/11/2025 - PIX: CPF - CHAVE: 012.906.122-00</t>
  </si>
  <si>
    <t>Serv.Prest. 03/11/2025 a 09/11/2025 - PIX: CPF - CHAVE: 147.592.156-03</t>
  </si>
  <si>
    <t>Serv.Prest. 24/10/2025 a 02/11/2025 - PIX: CPF - CHAVE: 079.068.045-97</t>
  </si>
  <si>
    <t>Serv.Prest. 03/11/2025 a 09/11/2025 - PIX: CELULAR - CHAVE: (11) 91214-6176</t>
  </si>
  <si>
    <t>Serv.Prest. 24/10/2025 a 02/11/2025 - PIX: E-MAIL - CHAVE: wilianvieirawrv3578@gmail.com</t>
  </si>
  <si>
    <t>Serv.Prest. 03/11/2025 a 09/11/2025 - PIX: CPF - CHAVE: 100.710.806-19</t>
  </si>
  <si>
    <t>Serv.Prest. 03/11/2025 a 09/11/2025 - PIX: CELULAR - CHAVE: (64) 97400-9101</t>
  </si>
  <si>
    <t>Serv.Prest. 24/10/2025 a 02/11/2025 - PIX: CELULAR - CHAVE: (33) 99859-8751</t>
  </si>
  <si>
    <t>Serv.Prest. 03/11/2025 a 09/11/2025 - PIX: CELULAR - CHAVE: (28) 98816-4170</t>
  </si>
  <si>
    <t>PAGAMENTO LIDERENÇA REF. MES 10/2025 - PIX: CPF - CHAVE: 097.245.586-81</t>
  </si>
  <si>
    <t>Serv.Prest. 03/11/2025 a 09/11/2025 - RPS: 1573 - NFSe: 3697</t>
  </si>
  <si>
    <t>Serv.Prest. 03/11/2025 a 09/11/2025 - RPS: 1560 - NFSe: 3684</t>
  </si>
  <si>
    <t>Serv.Prest. 03/11/2025 a 09/11/2025 - RPS: 1547 - NFSe: 3671</t>
  </si>
  <si>
    <t>Serv.Prest. 03/11/2025 a 09/11/2025 - RPS: 1561 - NFSe: 3685</t>
  </si>
  <si>
    <t>Serv.Prest. 03/11/2025 a 09/11/2025 - RPS: 1558 - NFSe: 3682</t>
  </si>
  <si>
    <t>Serv.Prest. 27/10/2025 a 02/11/2025 - RPS: 1527 - NFSe: 3651</t>
  </si>
  <si>
    <t>Serv.Prest. 03/11/2025 a 09/11/2025 - RPS: 1562 - NFSe: 3686</t>
  </si>
  <si>
    <t>Serv.Prest. 27/10/2025 a 02/11/2025 - RPS: 1526 - NFSe: 3650</t>
  </si>
  <si>
    <t>Serv.Prest. 03/11/2025 a 09/11/2025 - RPS: 1534 - NFSe: 3658</t>
  </si>
  <si>
    <t>Serv.Prest. 03/11/2025 a 09/11/2025 - RPS: 1549 - NFSe: 3673</t>
  </si>
  <si>
    <t>Serv.Prest. 03/11/2025 a 09/11/2025 - RPS: 1540 - NFSe: 3664</t>
  </si>
  <si>
    <t>Serv.Prest. 03/11/2025 a 09/11/2025 - RPS: 1568 - NFSe: 3692</t>
  </si>
  <si>
    <t>Serv.Prest. 03/11/2025 a 09/11/2025 - RPS: 1544 - NFSe: 3668</t>
  </si>
  <si>
    <t>Serv.Prest. 03/11/2025 a 09/11/2025 - RPS: 1543 - NFSe: 3667</t>
  </si>
  <si>
    <t>Serv.Prest. 03/11/2025 a 09/11/2025 - RPS: 1538 - NFSe: 3662</t>
  </si>
  <si>
    <t>Serv.Prest. 03/11/2025 a 09/11/2025 - RPS: 1532 - NFSe: 3656</t>
  </si>
  <si>
    <t>Serv.Prest. 03/11/2025 a 09/11/2025 - RPS: 1541 - NFSe: 3665</t>
  </si>
  <si>
    <t>Serv.Prest. 03/11/2025 a 09/11/2025 - RPS: 1542 - NFSe: 3666</t>
  </si>
  <si>
    <t>Serv.Prest. 03/11/2025 a 09/11/2025 - RPS: 1545 - NFSe: 3669</t>
  </si>
  <si>
    <t>Serv.Prest. 03/11/2025 a 09/11/2025 - RPS: 1531 - NFSe: 3655</t>
  </si>
  <si>
    <t>Serv.Prest. 03/11/2025 a 09/11/2025 - RPS: 1533 - NFSe: 3657</t>
  </si>
  <si>
    <t>Serv.Prest. 03/11/2025 a 09/11/2025 - RPS: 1539 - NFSe: 3663</t>
  </si>
  <si>
    <t>Serv.Prest. 03/11/2025 a 09/11/2025 - RPS: 1536 - NFSe: 3660</t>
  </si>
  <si>
    <t>Serv.Prest. 03/11/2025 a 09/11/2025 - RPS: 1537 - NFSe: 3661</t>
  </si>
  <si>
    <t>Serv.Prest. 03/11/2025 a 09/11/2025 - RPS: 1546 - NFSe: 3670</t>
  </si>
  <si>
    <t>Serv.Prest. 03/11/2025 a 09/11/2025 - RPS: 1535 - NFSe: 3659</t>
  </si>
  <si>
    <t>Serv.Prest. 03/11/2025 a 09/11/2025 - RPS: 1530 - NFSe: 3654</t>
  </si>
  <si>
    <t>Serv.Prest. 27/10/2025 a 02/11/2025 - RPS: 1525 - NFSe: 3649</t>
  </si>
  <si>
    <t>Serv.Prest. 10/11/2025 a 16/11/2025 - PIX: CPF - CHAVE: 096.116.707-61</t>
  </si>
  <si>
    <t>Serv.Prest. 24/10/2025 a 02/11/2025 - PIX: CPF - CHAVE: 036.875.515-04</t>
  </si>
  <si>
    <t>Serv.Prest. 24/10/2025 a 02/11/2025 - PIX: CELULAR - CHAVE: (73) 99966-7211</t>
  </si>
  <si>
    <t>Serv.Prest. 24/10/2025 a 02/11/2025 - PIX: CELULAR - CHAVE: (73) 99115-9602</t>
  </si>
  <si>
    <t>Serv.Prest. 24/10/2025 a 02/11/2025 - PIX: CPF - CHAVE: 035.018.455-02</t>
  </si>
  <si>
    <t>Serv.Prest. 24/10/2025 a 02/11/2025 - PIX: CPF - CHAVE: 009.476.175-23</t>
  </si>
  <si>
    <t>Serv.Prest. 24/10/2025 a 02/11/2025 - PIX: CNPJ - CHAVE: 33.412.676/0001-41</t>
  </si>
  <si>
    <t>Serv.Prest. 24/10/2025 a 02/11/2025 - PIX: CELULAR - CHAVE: (33) 99877-0415</t>
  </si>
  <si>
    <t>Serv.Prest. 24/10/2025 a 02/11/2025 - PIX: E-MAIL - CHAVE: anissoanidaldepaula@gmail.com</t>
  </si>
  <si>
    <t>Serv.Prest. 24/10/2025 a 02/11/2025 - PIX: CPF - CHAVE: 137.446.146-62</t>
  </si>
  <si>
    <t>Serv.Prest. 24/10/2025 a 02/11/2025 - PIX: CPF - CHAVE: 091.575.986-14</t>
  </si>
  <si>
    <t>Serv.Prest. 24/10/2025 a 02/11/2025 - PIX: CELULAR - CHAVE: (33) 98845-4528</t>
  </si>
  <si>
    <t>Serv.Prest. 24/10/2025 a 02/11/2025 - PIX: CELULAR - CHAVE: (31) 98511-2851</t>
  </si>
  <si>
    <t>Serv.Prest. 24/10/2025 a 02/11/2025 - PIX: CPF - CHAVE: 110.483.296-82</t>
  </si>
  <si>
    <t>Serv.Prest. 24/10/2025 a 02/11/2025 - PIX: CPF - CHAVE: 102.023.716-38</t>
  </si>
  <si>
    <t>Serv.Prest. 24/10/2025 a 02/11/2025 - PIX: CELULAR - CHAVE: (33) 98890-5095</t>
  </si>
  <si>
    <t>Serv.Prest. 24/10/2025 a 02/11/2025 - PIX: CELULAR - CHAVE: (33) 99199-7983</t>
  </si>
  <si>
    <t>Serv.Prest. 24/10/2025 a 02/11/2025 - PIX: CELULAR - CHAVE: (33) 99114-8112</t>
  </si>
  <si>
    <t>Serv.Prest. 24/10/2025 a 02/11/2025 - PIX: CELULAR - CHAVE: (33) 98857-0494</t>
  </si>
  <si>
    <t>Serv.Prest. 24/10/2025 a 02/11/2025 - PIX: CPF - CHAVE: 386.313.426-53</t>
  </si>
  <si>
    <t>Serv.Prest. 24/10/2025 a 02/11/2025 - PIX: CPF - CHAVE: 602.838.315-53</t>
  </si>
  <si>
    <t>Serv.Prest. 24/10/2025 a 02/11/2025 - PIX: CPF - CHAVE: 043.301.196-33</t>
  </si>
  <si>
    <t>Serv.Prest. 24/10/2025 a 02/11/2025 - PIX: CPF - CHAVE: 012.459.366-62</t>
  </si>
  <si>
    <t>Serv.Prest. 24/10/2025 a 02/11/2025 - PIX: CPF - CHAVE: 077.488.126-75</t>
  </si>
  <si>
    <t>Serv.Prest. 24/10/2025 a 02/11/2025 - PIX: CELULAR - CHAVE: (33) 99106-9330</t>
  </si>
  <si>
    <t>Serv.Prest. 24/10/2025 a 02/11/2025 - PIX: CELULAR - CHAVE: (31) 99850-4727</t>
  </si>
  <si>
    <t>Serv.Prest. 24/10/2025 a 02/11/2025 - PIX: CELULAR - CHAVE: (33) 99981-6650</t>
  </si>
  <si>
    <t>Serv.Prest. 24/10/2025 a 02/11/2025 - PIX: CELULAR - CHAVE: (33) 99845-0493</t>
  </si>
  <si>
    <t>Serv.Prest. 24/10/2025 a 02/11/2025 - PIX: CELULAR - CHAVE: (33) 98817-9868</t>
  </si>
  <si>
    <t>Serv.Prest. 24/10/2025 a 02/11/2025 - PIX: CPF - CHAVE: 108.680.396-59</t>
  </si>
  <si>
    <t>Serv.Prest. 24/10/2025 a 02/11/2025 - PIX: CPF - CHAVE: 037.974.316-78</t>
  </si>
  <si>
    <t>Serv.Prest. 24/10/2025 a 02/11/2025 - PIX: CPF - CHAVE: 135.640.066-30</t>
  </si>
  <si>
    <t>Serv.Prest. 24/10/2025 a 02/11/2025 - PIX: CELULAR - CHAVE: (31) 99959-5414</t>
  </si>
  <si>
    <t>Serv.Prest. 24/10/2025 a 02/11/2025 - PIX: CPF - CHAVE: 072.968.086-08</t>
  </si>
  <si>
    <t>Serv.Prest. 24/10/2025 a 02/11/2025 - PIX: CPF - CHAVE: 012.783.036-77</t>
  </si>
  <si>
    <t>Serv.Prest. 24/10/2025 a 02/11/2025 - PIX: E-MAIL - CHAVE: roger.l.borges04@gmail.com</t>
  </si>
  <si>
    <t>Serv.Prest. 24/10/2025 a 02/11/2025 - PIX: CPF - CHAVE: 701.955.866-62</t>
  </si>
  <si>
    <t>Serv.Prest. 24/10/2025 a 02/11/2025 - PIX: CPF - CHAVE: 097.855.786-74</t>
  </si>
  <si>
    <t>Serv.Prest. 24/10/2025 a 02/11/2025 - PIX: CELULAR - CHAVE: (33) 99880-7941</t>
  </si>
  <si>
    <t>Serv.Prest. 24/10/2025 a 02/11/2025 - PIX: CELULAR - CHAVE: (33) 99874-5128</t>
  </si>
  <si>
    <t>Serv.Prest. 24/10/2025 a 02/11/2025 - PIX: CELULAR - CHAVE: (33) 99118-9032</t>
  </si>
  <si>
    <t>Serv.Prest. 24/10/2025 a 02/11/2025 - PIX: CPF - CHAVE: 700.454.836-80</t>
  </si>
  <si>
    <t>Serv.Prest. 24/10/2025 a 02/11/2025 - PIX: CELULAR - CHAVE: (33) 99996-3668</t>
  </si>
  <si>
    <t>Serv.Prest. 24/10/2025 a 02/11/2025 - PIX: CPF - CHAVE: 077.317.327-70</t>
  </si>
  <si>
    <t>Serv.Prest. 24/10/2025 a 02/11/2025 - PIX: CELULAR - CHAVE: (27) 99811-6850</t>
  </si>
  <si>
    <t>Serv.Prest. 24/10/2025 a 02/11/2025 - PIX: CELULAR - CHAVE: (27) 99869-8144</t>
  </si>
  <si>
    <t>Serv.Prest. 24/10/2025 a 02/11/2025 - PIX: CELULAR - CHAVE: (73) 99167-5954</t>
  </si>
  <si>
    <t>Serv.Prest. 24/10/2025 a 02/11/2025 - PIX: CELULAR - CHAVE: (27) 99650-9691</t>
  </si>
  <si>
    <t>Serv.Prest. 03/11/2025 a 09/11/2025 - PIX: CELULAR - CHAVE: (11) 98612-9589</t>
  </si>
  <si>
    <t>Serv.Prest. 03/11/2025 a 09/11/2025 - PIX: CPF - CHAVE: 469.543.578-04</t>
  </si>
  <si>
    <t>Serv.Prest. 03/11/2025 a 09/11/2025 - PIX: CELULAR - CHAVE: (11) 98144-5840</t>
  </si>
  <si>
    <t>Serv.Prest. 03/11/2025 a 09/11/2025 - PIX: CPF - CHAVE: 500.480.978-02</t>
  </si>
  <si>
    <t>Serv.Prest. 03/11/2025 a 09/11/2025 - PIX: CELULAR - CHAVE: (11) 98484-6837</t>
  </si>
  <si>
    <t>Serv.Prest. 03/11/2025 a 09/11/2025 - PIX: CELULAR - CHAVE: (11) 95054-2206</t>
  </si>
  <si>
    <t>Serv.Prest. 03/11/2025 a 09/11/2025 - PIX: CPF - CHAVE: 506.934.998-85</t>
  </si>
  <si>
    <t>Serv.Prest. 03/11/2025 a 09/11/2025 - PIX: CPF - CHAVE: 419.678.508-52</t>
  </si>
  <si>
    <t>Serv.Prest. 03/11/2025 a 09/11/2025 - PIX: CPF - CHAVE: 489.237.478-40</t>
  </si>
  <si>
    <t>Serv.Prest. 03/11/2025 a 09/11/2025 - PIX: CELULAR - CHAVE: (11) 98768-7863</t>
  </si>
  <si>
    <t>Serv.Prest. 03/11/2025 a 09/11/2025 - PIX: CPF - CHAVE: 370.849.948-40</t>
  </si>
  <si>
    <t>Serv.Prest. 03/11/2025 a 09/11/2025 - PIX: CPF - CHAVE: 396.877.618-65</t>
  </si>
  <si>
    <t>Serv.Prest. 03/11/2025 a 09/11/2025 - PIX: CPF - CHAVE: 427.090.718-51</t>
  </si>
  <si>
    <t>Serv.Prest. 03/11/2025 a 09/11/2025 - PIX: CPF - CHAVE: 026.422.254-70</t>
  </si>
  <si>
    <t>Serv.Prest. 03/11/2025 a 09/11/2025 - PIX: CPF - CHAVE: 361.750.258-06</t>
  </si>
  <si>
    <t>Serv.Prest. 03/11/2025 a 09/11/2025 - PIX: CNPJ - CHAVE: 52.606.983/0001-08</t>
  </si>
  <si>
    <t>Serv.Prest. 03/11/2025 a 09/11/2025 - PIX: CELULAR - CHAVE: (11) 96409-0865</t>
  </si>
  <si>
    <t>Serv.Prest. 03/11/2025 a 09/11/2025 - PIX: CELULAR - CHAVE: (11) 98447-6954</t>
  </si>
  <si>
    <t>Serv.Prest. 03/11/2025 a 09/11/2025 - PIX: CPF - CHAVE: 439.367.298-40</t>
  </si>
  <si>
    <t>Serv.Prest. 03/11/2025 a 09/11/2025 - PIX: E-MAIL - CHAVE: silvaalessandro3909@gmail.com</t>
  </si>
  <si>
    <t>Serv.Prest. 03/11/2025 a 09/11/2025 - PIX: CELULAR - CHAVE: (11) 95335-4943</t>
  </si>
  <si>
    <t>Serv.Prest. 03/11/2025 a 09/11/2025 - PIX: CPF - CHAVE: 471.142.438-55</t>
  </si>
  <si>
    <t>Serv.Prest. 03/11/2025 a 09/11/2025 - PIX: CELULAR - CHAVE: (11) 94195-2534</t>
  </si>
  <si>
    <t>Serv.Prest. 03/11/2025 a 09/11/2025 - PIX: CELULAR - CHAVE: (11) 99270-3082</t>
  </si>
  <si>
    <t>Serv.Prest. 03/11/2025 a 09/11/2025 - PIX: CELULAR - CHAVE: (64) 99952-0910</t>
  </si>
  <si>
    <t>Serv.Prest. 03/11/2025 a 09/11/2025 - PIX: CELULAR - CHAVE: (28) 99908-0831</t>
  </si>
  <si>
    <t>Serv.Prest. 03/11/2025 a 09/11/2025 - PIX: CELULAR - CHAVE: (34) 99694-0926</t>
  </si>
  <si>
    <t>Serv.Prest. 03/11/2025 a 09/11/2025 - PIX: CPF - CHAVE: 162.570.846-79</t>
  </si>
  <si>
    <t>Serv.Prest. 03/11/2025 a 09/11/2025 - PIX: E-MAIL - CHAVE: odair.araujo@onmail.com</t>
  </si>
  <si>
    <t>Serv.Prest. 03/11/2025 a 09/11/2025 - PIX: CELULAR - CHAVE: (34) 99688-5705</t>
  </si>
  <si>
    <t>Serv.Prest. 03/11/2025 a 09/11/2025 - PIX: CELULAR - CHAVE: (33) 99924-7557</t>
  </si>
  <si>
    <t>Serv.Prest. 03/11/2025 a 09/11/2025 - PIX: CELULAR - CHAVE: (73) 99115-9602</t>
  </si>
  <si>
    <t>Serv.Prest. 03/11/2025 a 09/11/2025 - PIX: CELULAR - CHAVE: (34) 99772-2954</t>
  </si>
  <si>
    <t>Serv.Prest. 03/11/2025 a 09/11/2025 - PIX: CELULAR - CHAVE: (71) 98124-7946</t>
  </si>
  <si>
    <t>Serv.Prest. 03/11/2025 a 09/11/2025 - PIX: CPF - CHAVE: 126.720.606-30</t>
  </si>
  <si>
    <t>Serv.Prest. 03/11/2025 a 09/11/2025 - PIX: CELULAR - CHAVE: (34) 97400-1695</t>
  </si>
  <si>
    <t>Serv.Prest. 03/11/2025 a 09/11/2025 - PIX: CPF - CHAVE: 480.429.318-32</t>
  </si>
  <si>
    <t>Serv.Prest. 03/11/2025 a 09/11/2025 - PIX: CPF - CHAVE: 023.116.166-25</t>
  </si>
  <si>
    <t>Serv.Prest. 03/11/2025 a 09/11/2025 - PIX: CPF - CHAVE: 054.162.686-89</t>
  </si>
  <si>
    <t>Serv.Prest. 03/11/2025 a 09/11/2025 - PIX: CELULAR - CHAVE: (34) 99889-9792</t>
  </si>
  <si>
    <t>Serv.Prest. 03/11/2025 a 09/11/2025 - PIX: CELULAR - CHAVE: (34) 99178-2263</t>
  </si>
  <si>
    <t>Serv.Prest. 03/11/2025 a 09/11/2025 - PIX: CELULAR - CHAVE: (33) 99194-2339</t>
  </si>
  <si>
    <t>Serv.Prest. 03/11/2025 a 09/11/2025 - RPS: 1569 - NFSe: 3693</t>
  </si>
  <si>
    <t>PAGAMENTO LIDERANÇA REF. MES 10/2025 - PIX: CPF - CHAVE: 091.575.986-14</t>
  </si>
  <si>
    <t>PAGAMENTO LIDERANÇA REF. MES 10/2025 - PIX: CPF - CHAVE: 137.446.146-62</t>
  </si>
  <si>
    <t>ASSESSORIA MARKETING DIGITAL - 11/2025</t>
  </si>
  <si>
    <t>SERVIDOR CLOUD BOT RECRUTAMENTO - REEMBOLSO</t>
  </si>
  <si>
    <t>PAGAMENTO LIDERANÇA REF. MES 10/2025 - PIX: CELULAR - CHAVE: (64) 97400-9101</t>
  </si>
  <si>
    <t>PAGAMENTO LIDERANÇA REF. MES 10/2025 - PIX: CELULAR - CHAVE: (32) 99800-1691</t>
  </si>
  <si>
    <t>PAGAMENTO LIDERANÇA REF. MES 10/2025 - PIX: CELULAR - CHAVE: (37) 99197-6834</t>
  </si>
  <si>
    <t>PAGAMENTO LIDERANÇA REF 10/2025 - PIX: CELULAR - CHAVE: (11) 99270-3082</t>
  </si>
  <si>
    <t>PAGAMENTO LIDERANÇA REF. MES 10/2025 - PIX: CELULAR - CHAVE: (31) 99216-8711</t>
  </si>
  <si>
    <t>PAGAMENTO LIDERANÇA REF 10/2025 - PIX: CPF - CHAVE: 126.873.296-65</t>
  </si>
  <si>
    <t>BOLSA ESTAGIO - TRABALHO EXTRA 07/10 A 31/10</t>
  </si>
  <si>
    <t>PAGAMENTO LIDERENÇA REF. MES 10/2025 - PIX: CELULAR - CHAVE: (32) 99166-8238</t>
  </si>
  <si>
    <t>PAGAMENTO LIDERANÇA REF. MES 10/2025 - PIX: CELULAR - CHAVE: (33) 99877-0415</t>
  </si>
  <si>
    <t>Serv.Prest. 03/11/2025 a 09/11/2025 - RPS: 1574 - NFSe: 3698</t>
  </si>
  <si>
    <t>Serv.Prest. 03/11/2025 a 09/11/2025 - RPS: 1550 - NFSe: 3674</t>
  </si>
  <si>
    <t>Serv.Prest. 03/11/2025 a 09/11/2025 - RPS: 1557 - NFSe: 3681</t>
  </si>
  <si>
    <t>COMBUSTIVEL DEVOLUCAO VEICULO LOCALIZA</t>
  </si>
  <si>
    <t>UBER DEVOLUCAO VEICULO LOCALIZA</t>
  </si>
  <si>
    <t>UBER RETIRADA/DEVOLUCAO VEICULO LOCALIZA</t>
  </si>
  <si>
    <t>REEMBOLSO VIAGEM ARAGUARI - UBERLANDIA</t>
  </si>
  <si>
    <t>Serv.Prest. 10/11/2025 a 16/11/2025 - PIX: CELULAR - CHAVE: (11) 99293-5521</t>
  </si>
  <si>
    <t>Serv.Prest. 10/11/2025 a 16/11/2025 - PIX: CELULAR - CHAVE: (34) 99991-3450</t>
  </si>
  <si>
    <t>Serv.Prest. 10/11/2025 a 16/11/2025 - PIX: CELULAR - CHAVE: (11) 94910-8689</t>
  </si>
  <si>
    <t>ISS REF. MES 10/2025</t>
  </si>
  <si>
    <t>Serv.Prest. 10/11/2025 a 16/11/2025 - PIX: CPF - CHAVE: 171.393.446-98</t>
  </si>
  <si>
    <t>PARA PAGAR DIARISTA NA FARMACIA DE CASTELO</t>
  </si>
  <si>
    <t>PAGAMENTO LIDERANÇA REF. MES 10/2025 - PIX: CELULAR - CHAVE: (33) 9 9114-8112</t>
  </si>
  <si>
    <t xml:space="preserve">COMPLEMENTO PRESTAÇÃO DE SERVIÇO </t>
  </si>
  <si>
    <t>PAGAMENTO LIDERANÇA REF. MES 10/2025 - PIX: CELULAR - CHAVE: (73) 99115-960</t>
  </si>
  <si>
    <t>Serv.Prest. 10/11/2025 a 16/11/2025 - PIX: CPF - CHAVE: 126.935.356-03</t>
  </si>
  <si>
    <t>Serv.Prest. 10/11/2025 a 16/11/2025 - PIX: CELULAR - CHAVE: (31) 99373-5678</t>
  </si>
  <si>
    <t>Serv.Prest. 10/11/2025 a 16/11/2025 - PIX: CELULAR - CHAVE: (11) 91767-9056</t>
  </si>
  <si>
    <t>PAGAMENTO LIDERANÇA REF. MES 10/2025 - PIX: CELULAR - CHAVE: (73) 988381077</t>
  </si>
  <si>
    <t>Serv.Prest. 10/11/2025 a 16/11/2025 - PIX: CPF - CHAVE: 396.124.108-28</t>
  </si>
  <si>
    <t>Serv.Prest. 10/11/2025 a 16/11/2025 - PIX: CELULAR - CHAVE: (11) 94878-2634</t>
  </si>
  <si>
    <t>Serv.Prest. 10/11/2025 a 16/11/2025 - PIX: CPF - CHAVE: 298.747.458-00</t>
  </si>
  <si>
    <t>Serv.Prest. 10/11/2025 a 16/11/2025 - RPS: 1590 - NFSe: 3714</t>
  </si>
  <si>
    <t>CLUBE DE BENEFICIOS MOTOBOYS - PIX CPF 03291254600</t>
  </si>
  <si>
    <t>PAGAMENTO LIDERANÇA REF. MES 10/2025 - PIX: CPF - CHAVE: 138.263.636-98</t>
  </si>
  <si>
    <t>DESPESAS DE VIAGEM EUNAPOLIS</t>
  </si>
  <si>
    <t>Serv.Prest. 10/11/2025 a 16/11/2025 - PIX: CPF - CHAVE: 138.798.486-10</t>
  </si>
  <si>
    <t>Serv.Prest. 10/11/2025 a 16/11/2025 - PIX: CELULAR - CHAVE: (73) 988381077</t>
  </si>
  <si>
    <t>Serv.Prest. 10/11/2025 a 16/11/2025 - PIX: CPF - CHAVE: 096.891.935-97</t>
  </si>
  <si>
    <t>Serv.Prest. 10/11/2025 a 16/11/2025 - PIX: CELULAR - CHAVE: (32) 98703-8039</t>
  </si>
  <si>
    <t>Serv.Prest. 10/11/2025 a 16/11/2025 - PIX: CELULAR - CHAVE: (11) 98439-2238</t>
  </si>
  <si>
    <t>Serv.Prest. 10/11/2025 a 16/11/2025 - PIX: CELULAR - CHAVE: (11) 93081-1308</t>
  </si>
  <si>
    <t>Serv.Prest. 10/11/2025 a 16/11/2025 - PIX: CNPJ - CHAVE: 45.037.027/0001-97</t>
  </si>
  <si>
    <t>Serv.Prest. 10/11/2025 a 16/11/2025 - PIX: CPF - CHAVE: 124.213.448-40</t>
  </si>
  <si>
    <t>Serv.Prest. 10/11/2025 a 16/11/2025 - PIX: CELULAR - CHAVE: (11) 99239-3232</t>
  </si>
  <si>
    <t>Serv.Prest. 10/11/2025 a 16/11/2025 - PIX: CPF - CHAVE: 507.243.348-07</t>
  </si>
  <si>
    <t>Serv.Prest. 10/11/2025 a 16/11/2025 - PIX: CPF - CHAVE: 106.393.056-10</t>
  </si>
  <si>
    <t>Serv.Prest. 10/11/2025 a 16/11/2025 - PIX: CELULAR - CHAVE: (19) 98944-4977</t>
  </si>
  <si>
    <t>Serv.Prest. 10/11/2025 a 16/11/2025 - PIX: E-MAIL - CHAVE: matheus100sousa123@gmail.com</t>
  </si>
  <si>
    <t>Serv.Prest. 10/11/2025 a 16/11/2025 - PIX: CELULAR - CHAVE: (11) 95906-5439</t>
  </si>
  <si>
    <t>Serv.Prest. 10/11/2025 a 16/11/2025 - PIX: CELULAR - CHAVE: (11) 97702-1316</t>
  </si>
  <si>
    <t>Serv.Prest. 10/11/2025 a 16/11/2025 - PIX: CELULAR - CHAVE: (11) 98281-4526</t>
  </si>
  <si>
    <t>Serv.Prest. 10/11/2025 a 16/11/2025 - PIX: CPF - CHAVE: 141.994.266-20</t>
  </si>
  <si>
    <t>Serv.Prest. 10/11/2025 a 16/11/2025 - PIX: E-MAIL - CHAVE: ericsilva8marcena@gmail.com</t>
  </si>
  <si>
    <t>Serv.Prest. 10/11/2025 a 16/11/2025 - PIX: CELULAR - CHAVE: (32) 99913-0476</t>
  </si>
  <si>
    <t>Serv.Prest. 10/11/2025 a 16/11/2025 - PIX: CELULAR - CHAVE: (31) 99607-6585</t>
  </si>
  <si>
    <t>DIARIA 17/11 JUNDIAI - PIX CPF 42309801836</t>
  </si>
  <si>
    <t>DIARIA 17/11 JUNDIAI - PIX CPF 480.384.188.83</t>
  </si>
  <si>
    <t>Serv.Prest. 10/11/2025 a 16/11/2025 - PIX: CELULAR - CHAVE: (37) 99146-2630</t>
  </si>
  <si>
    <t>Serv.Prest. 03/11/2025 a 09/11/2025 - PIX: CPF - CHAVE: 179.800.027-09</t>
  </si>
  <si>
    <t>DOMINIO DE SOFTWARE COOPERATIVA</t>
  </si>
  <si>
    <t>Serv.Prest. 03/11/2025 a 09/11/2025 - RPS: 1576 - NFSe: 3700</t>
  </si>
  <si>
    <t>Serv.Prest. 03/11/2025 a 09/11/2025 - RPS: 1575 - NFSe: 3699</t>
  </si>
  <si>
    <t>Serv.Prest. 27/10/2025 a 02/11/2025 - RPS: 1514 - NFSe: 3638</t>
  </si>
  <si>
    <t>Serv.Prest. 27/10/2025 a 02/11/2025 - RPS: 1513 - NFSe: 3637</t>
  </si>
  <si>
    <t>Serv.Prest. 27/10/2025 a 02/11/2025 - RPS: 1515 - NFSe: 3639</t>
  </si>
  <si>
    <t>Serv.Prest. 10/11/2025 a 16/11/2025 - PIX: CELULAR - CHAVE: (11) 98144-5840</t>
  </si>
  <si>
    <t>Serv.Prest. 10/11/2025 a 16/11/2025 - PIX: CELULAR - CHAVE: (27) 99950-3450</t>
  </si>
  <si>
    <t>Serv.Prest. 10/11/2025 a 16/11/2025 - RPS: 1630 - NFSe: 3754</t>
  </si>
  <si>
    <t>Serv.Prest. 03/11/2025 a 09/11/2025 - RPS: 1631 - NFSe: 3755</t>
  </si>
  <si>
    <t>Serv.Prest. 10/11/2025 a 16/11/2025 - PIX: CELULAR - CHAVE: (11) 95038-0621</t>
  </si>
  <si>
    <t>Serv.Prest. 10/11/2025 a 16/11/2025 - PIX: CPF - CHAVE: 097.245.586-81</t>
  </si>
  <si>
    <t>Serv.Prest. 10/11/2025 a 16/11/2025 - PIX: CPF - CHAVE: 091.575.986-14</t>
  </si>
  <si>
    <t>Serv.Prest. 03/11/2025 a 09/11/2025 - RPS: 1570 - NFSe: 3694</t>
  </si>
  <si>
    <t>Serv.Prest. 03/11/2025 a 09/11/2025 - RPS: 1571 - NFSe: 3695</t>
  </si>
  <si>
    <t>Serv.Prest. 03/11/2025 a 09/11/2025 - RPS: 1572 - NFSe: 3696</t>
  </si>
  <si>
    <t>Serv.Prest. 17/11/2025 a 23/11/2025 - PIX: CPF - CHAVE: 499.814.888-52</t>
  </si>
  <si>
    <t>Serv.Prest. 17/11/2025 a 23/11/2025 - PIX: CELULAR - CHAVE: (11) 99293-5521</t>
  </si>
  <si>
    <t>Serv.Prest. 10/11/2025 a 16/11/2025 - RPS: 1610 - NFSe: 3734</t>
  </si>
  <si>
    <t>Serv.Prest. 10/11/2025 a 16/11/2025 - RPS: 1611 - NFSe: 3735</t>
  </si>
  <si>
    <t>Serv.Prest. 10/11/2025 a 16/11/2025 - RPS: 1597 - NFSe: 3721</t>
  </si>
  <si>
    <t>Serv.Prest. 10/11/2025 a 16/11/2025 - RPS: 1598 - NFSe: 3722</t>
  </si>
  <si>
    <t>Serv.Prest. 10/11/2025 a 16/11/2025 - RPS: 1591 - NFSe: 3715</t>
  </si>
  <si>
    <t>Serv.Prest. 10/11/2025 a 16/11/2025 - RPS: 1593 - NFSe: 3717</t>
  </si>
  <si>
    <t>Serv.Prest. 10/11/2025 a 16/11/2025 - RPS: 1589 - NFSe: 3713</t>
  </si>
  <si>
    <t>Serv.Prest. 10/11/2025 a 16/11/2025 - RPS: 1619 - NFSe: 3743</t>
  </si>
  <si>
    <t>Serv.Prest. 10/11/2025 a 16/11/2025 - RPS: 1602 - NFSe: 3726</t>
  </si>
  <si>
    <t>Serv.Prest. 10/11/2025 a 16/11/2025 - RPS: 1588 - NFSe: 3712</t>
  </si>
  <si>
    <t>Serv.Prest. 10/11/2025 a 16/11/2025 - RPS: 1600 - NFSe: 3724</t>
  </si>
  <si>
    <t>Serv.Prest. 10/11/2025 a 16/11/2025 - RPS: 1581 - NFSe: 3705</t>
  </si>
  <si>
    <t>Serv.Prest. 10/11/2025 a 16/11/2025 - RPS: 1584 - NFSe: 3708</t>
  </si>
  <si>
    <t>Serv.Prest. 10/11/2025 a 16/11/2025 - RPS: 1583 - NFSe: 3707</t>
  </si>
  <si>
    <t>Serv.Prest. 10/11/2025 a 16/11/2025 - RPS: 1601 - NFSe: 3725</t>
  </si>
  <si>
    <t>Serv.Prest. 10/11/2025 a 16/11/2025 - RPS: 1586 - NFSe: 3710</t>
  </si>
  <si>
    <t>Serv.Prest. 10/11/2025 a 16/11/2025 - RPS: 1582 - NFSe: 3706</t>
  </si>
  <si>
    <t>Serv.Prest. 10/11/2025 a 16/11/2025 - RPS: 1595 - NFSe: 3719</t>
  </si>
  <si>
    <t>Serv.Prest. 10/11/2025 a 16/11/2025 - RPS: 1609 - NFSe: 3733</t>
  </si>
  <si>
    <t>Serv.Prest. 10/11/2025 a 16/11/2025 - RPS: 1592 - NFSe: 3716</t>
  </si>
  <si>
    <t>Serv.Prest. 10/11/2025 a 16/11/2025 - RPS: 1617 - NFSe: 3741</t>
  </si>
  <si>
    <t>Serv.Prest. 10/11/2025 a 16/11/2025 - RPS: 1618 - NFSe: 3742</t>
  </si>
  <si>
    <t>Serv.Prest. 10/11/2025 a 16/11/2025 - RPS: 1596 - NFSe: 3720</t>
  </si>
  <si>
    <t>INSS PRESTADORES MES 10/2025</t>
  </si>
  <si>
    <t>Serv.Prest. 27/10/2025 a 02/11/2025 - RPS: 1524 - NFSe: 3648</t>
  </si>
  <si>
    <t>Serv.Prest. 27/10/2025 a 02/11/2025 - RPS: 1523 - NFSe: 3647</t>
  </si>
  <si>
    <t>Serv.Prest. 10/11/2025 a 16/11/2025 - RPS: 1585 - NFSe: 3709</t>
  </si>
  <si>
    <t>UNIFORMES MOTOBOYS - 50%</t>
  </si>
  <si>
    <t>Serv.Prest. 17/11/2025 a 23/11/2025 - PIX: CELULAR - CHAVE: (11) 95460-2535</t>
  </si>
  <si>
    <t>PRESTAÇÃO DE SERVIÇO ENTRE 19/11 A 23/11/2025 CHAVE PIX: felipebrito00009@gmail.com</t>
  </si>
  <si>
    <t>Serv.Prest. 17/11/2025 a 23/11/2025 - PIX: CPF - CHAVE: 423.098.018-36</t>
  </si>
  <si>
    <t>Serv.Prest. 17/11/2025 a 23/11/2025 - PIX: CPF - CHAVE: 298.747.458-00</t>
  </si>
  <si>
    <t>Serv.Prest. 17/11/2025 a 23/11/2025 - PIX: CPF - CHAVE: 507.243.348-07</t>
  </si>
  <si>
    <t>Serv.Prest. 10/11/2025 a 16/11/2025 - PIX: CPF - CHAVE: 057.893.536-81</t>
  </si>
  <si>
    <t>Serv.Prest. 10/11/2025 a 16/11/2025 - PIX: CELULAR - CHAVE: (11) 98731-4534</t>
  </si>
  <si>
    <t>Serv.Prest. 10/11/2025 a 16/11/2025 - PIX: CELULAR - CHAVE: (27) 99650-9691</t>
  </si>
  <si>
    <t>REEMBOLSO VALOR COBRADO A MAIS - CHAVE PIX ALEATORIA: 53e99937-7680-4d99-8085-4b2095316e1c</t>
  </si>
  <si>
    <t>Serv.Prest. 03/11/2025 a 09/11/2025 - PIX: CELULAR - CHAVE: (33) 99973-4407</t>
  </si>
  <si>
    <t>Serv.Prest. 03/11/2025 a 09/11/2025 - PIX: CPF - CHAVE: 108.723.916-80</t>
  </si>
  <si>
    <t>Serv.Prest. 03/11/2025 a 09/11/2025 - PIX: CELULAR - CHAVE: (33) 99877-0415</t>
  </si>
  <si>
    <t>Serv.Prest. 03/11/2025 a 09/11/2025 - PIX: CPF - CHAVE: 099.626.666-60</t>
  </si>
  <si>
    <t>Serv.Prest. 03/11/2025 a 09/11/2025 - PIX: E-MAIL - CHAVE: anissoanidaldepaula@gmail.com</t>
  </si>
  <si>
    <t>Serv.Prest. 03/11/2025 a 09/11/2025 - PIX: CPF - CHAVE: 037.192.076-09</t>
  </si>
  <si>
    <t>Serv.Prest. 03/11/2025 a 09/11/2025 - PIX: CELULAR - CHAVE: (33) 99110-6940</t>
  </si>
  <si>
    <t>Serv.Prest. 03/11/2025 a 09/11/2025 - PIX: CPF - CHAVE: 137.446.146-62</t>
  </si>
  <si>
    <t>Serv.Prest. 03/11/2025 a 09/11/2025 - PIX: CPF - CHAVE: 155.328.666-94</t>
  </si>
  <si>
    <t>Serv.Prest. 03/11/2025 a 09/11/2025 - PIX: CELULAR - CHAVE: (32) 98896-0708</t>
  </si>
  <si>
    <t>Serv.Prest. 03/11/2025 a 09/11/2025 - PIX: CPF - CHAVE: 091.575.986-14</t>
  </si>
  <si>
    <t>Serv.Prest. 03/11/2025 a 09/11/2025 - PIX: CELULAR - CHAVE: (33) 98845-4528</t>
  </si>
  <si>
    <t>Serv.Prest. 03/11/2025 a 09/11/2025 - PIX: CELULAR - CHAVE: (31) 98511-2851</t>
  </si>
  <si>
    <t>Serv.Prest. 03/11/2025 a 09/11/2025 - PIX: CELULAR - CHAVE: (32) 99177-6167</t>
  </si>
  <si>
    <t>Serv.Prest. 03/11/2025 a 09/11/2025 - PIX: CPF - CHAVE: 110.483.296-82</t>
  </si>
  <si>
    <t>Serv.Prest. 03/11/2025 a 09/11/2025 - PIX: CELULAR - CHAVE: (33) 98749-5105</t>
  </si>
  <si>
    <t>Serv.Prest. 03/11/2025 a 09/11/2025 - PIX: CELULAR - CHAVE: (33) 99802-1883</t>
  </si>
  <si>
    <t>Serv.Prest. 03/11/2025 a 09/11/2025 - PIX: CELULAR - CHAVE: (31) 99610-7049</t>
  </si>
  <si>
    <t>Serv.Prest. 03/11/2025 a 09/11/2025 - PIX: CPF - CHAVE: 102.023.716-38</t>
  </si>
  <si>
    <t>Serv.Prest. 03/11/2025 a 09/11/2025 - PIX: CELULAR - CHAVE: (33) 98890-5095</t>
  </si>
  <si>
    <t>Serv.Prest. 03/11/2025 a 09/11/2025 - PIX: CELULAR - CHAVE: (33) 99199-7983</t>
  </si>
  <si>
    <t>Serv.Prest. 03/11/2025 a 09/11/2025 - PIX: CPF - CHAVE: 141.134.256-98</t>
  </si>
  <si>
    <t>Serv.Prest. 03/11/2025 a 09/11/2025 - PIX: CPF - CHAVE: 070.073.316-70</t>
  </si>
  <si>
    <t>Serv.Prest. 03/11/2025 a 09/11/2025 - PIX: CELULAR - CHAVE: (31) 98483-3242</t>
  </si>
  <si>
    <t>Serv.Prest. 03/11/2025 a 09/11/2025 - PIX: CPF - CHAVE: 160.160.216-28</t>
  </si>
  <si>
    <t>Serv.Prest. 03/11/2025 a 09/11/2025 - PIX: CELULAR - CHAVE: (33) 98857-0494</t>
  </si>
  <si>
    <t>Serv.Prest. 03/11/2025 a 09/11/2025 - PIX: CPF - CHAVE: 386.313.426-53</t>
  </si>
  <si>
    <t>Serv.Prest. 03/11/2025 a 09/11/2025 - PIX: CELULAR - CHAVE: (33) 99706-4860</t>
  </si>
  <si>
    <t>Serv.Prest. 03/11/2025 a 09/11/2025 - PIX: CELULAR - CHAVE: (31) 99816-8965</t>
  </si>
  <si>
    <t>Serv.Prest. 03/11/2025 a 09/11/2025 - PIX: CPF - CHAVE: 113.084.266-58</t>
  </si>
  <si>
    <t>Serv.Prest. 03/11/2025 a 09/11/2025 - PIX: CPF - CHAVE: 067.393.286-92</t>
  </si>
  <si>
    <t>Serv.Prest. 03/11/2025 a 09/11/2025 - PIX: CPF - CHAVE: 121.297.376-33</t>
  </si>
  <si>
    <t>Serv.Prest. 03/11/2025 a 09/11/2025 - PIX: CELULAR - CHAVE: (31) 99812-7173</t>
  </si>
  <si>
    <t>Serv.Prest. 03/11/2025 a 09/11/2025 - PIX: CPF - CHAVE: 126.873.296-65</t>
  </si>
  <si>
    <t>Serv.Prest. 03/11/2025 a 09/11/2025 - PIX: CPF - CHAVE: 023.645.626-19</t>
  </si>
  <si>
    <t>Serv.Prest. 03/11/2025 a 09/11/2025 - PIX: CELULAR - CHAVE: (33) 98836-6015</t>
  </si>
  <si>
    <t>Serv.Prest. 03/11/2025 a 09/11/2025 - PIX: E-MAIL - CHAVE: jhonantanlacerda@gmail.com</t>
  </si>
  <si>
    <t>Serv.Prest. 03/11/2025 a 09/11/2025 - PIX: CELULAR - CHAVE: (33) 99983-2339</t>
  </si>
  <si>
    <t>Serv.Prest. 03/11/2025 a 09/11/2025 - PIX: CPF - CHAVE: 602.838.315-53</t>
  </si>
  <si>
    <t>Serv.Prest. 03/11/2025 a 09/11/2025 - PIX: CPF - CHAVE: 043.301.196-33</t>
  </si>
  <si>
    <t>Serv.Prest. 03/11/2025 a 09/11/2025 - PIX: CPF - CHAVE: 012.459.366-62</t>
  </si>
  <si>
    <t>Serv.Prest. 03/11/2025 a 09/11/2025 - PIX: CPF - CHAVE: 077.488.126-75</t>
  </si>
  <si>
    <t>Serv.Prest. 03/11/2025 a 09/11/2025 - PIX: CPF - CHAVE: 074.520.456-29</t>
  </si>
  <si>
    <t>Serv.Prest. 03/11/2025 a 09/11/2025 - PIX: CELULAR - CHAVE: (33) 99106-9330</t>
  </si>
  <si>
    <t>Serv.Prest. 03/11/2025 a 09/11/2025 - PIX: CHAVE ALEATÓRIA - CHAVE: c489bee1-360b-4fa9-86c4-fbb0e9844cb8</t>
  </si>
  <si>
    <t>Serv.Prest. 03/11/2025 a 09/11/2025 - PIX: CELULAR - CHAVE: (31) 99850-4727</t>
  </si>
  <si>
    <t>Serv.Prest. 03/11/2025 a 09/11/2025 - PIX: CELULAR - CHAVE: (33) 98749-4693</t>
  </si>
  <si>
    <t>Serv.Prest. 03/11/2025 a 09/11/2025 - PIX: CPF - CHAVE: 161.508.516-56</t>
  </si>
  <si>
    <t>Serv.Prest. 03/11/2025 a 09/11/2025 - PIX: CELULAR - CHAVE: (33) 99172-0627</t>
  </si>
  <si>
    <t>Serv.Prest. 03/11/2025 a 09/11/2025 - PIX: CELULAR - CHAVE: (33) 99981-6650</t>
  </si>
  <si>
    <t>Serv.Prest. 03/11/2025 a 09/11/2025 - PIX: CPF - CHAVE: 101.220.976-88</t>
  </si>
  <si>
    <t>Serv.Prest. 03/11/2025 a 09/11/2025 - PIX: CPF - CHAVE: 129.269.326-69</t>
  </si>
  <si>
    <t>Serv.Prest. 03/11/2025 a 09/11/2025 - PIX: CPF - CHAVE: 705.097.186-39</t>
  </si>
  <si>
    <t>Serv.Prest. 03/11/2025 a 09/11/2025 - PIX: CPF - CHAVE: 159.443.306-27</t>
  </si>
  <si>
    <t>Serv.Prest. 03/11/2025 a 09/11/2025 - PIX: CELULAR - CHAVE: (33) 98427-3872</t>
  </si>
  <si>
    <t>Serv.Prest. 03/11/2025 a 09/11/2025 - PIX: CELULAR - CHAVE: (33) 99815-2379</t>
  </si>
  <si>
    <t>Serv.Prest. 03/11/2025 a 09/11/2025 - PIX: E-MAIL - CHAVE: meamatheusvieira@gmail.com</t>
  </si>
  <si>
    <t>Serv.Prest. 03/11/2025 a 09/11/2025 - PIX: CPF - CHAVE: 163.330.766-27</t>
  </si>
  <si>
    <t>Serv.Prest. 03/11/2025 a 09/11/2025 - PIX: CELULAR - CHAVE: (31) 99076-6539</t>
  </si>
  <si>
    <t>Serv.Prest. 03/11/2025 a 09/11/2025 - PIX: CELULAR - CHAVE: (33) 99845-0493</t>
  </si>
  <si>
    <t>Serv.Prest. 03/11/2025 a 09/11/2025 - PIX: CPF - CHAVE: 123.020.026-60</t>
  </si>
  <si>
    <t>Serv.Prest. 03/11/2025 a 09/11/2025 - PIX: CELULAR - CHAVE: (33) 98817-9868</t>
  </si>
  <si>
    <t>Serv.Prest. 03/11/2025 a 09/11/2025 - PIX: CPF - CHAVE: 108.680.396-59</t>
  </si>
  <si>
    <t>Serv.Prest. 03/11/2025 a 09/11/2025 - PIX: CPF - CHAVE: 037.974.316-78</t>
  </si>
  <si>
    <t>Serv.Prest. 03/11/2025 a 09/11/2025 - PIX: CELULAR - CHAVE: (31) 99216-8711</t>
  </si>
  <si>
    <t>Serv.Prest. 03/11/2025 a 09/11/2025 - PIX: CELULAR - CHAVE: (31) 97339-3761</t>
  </si>
  <si>
    <t>Serv.Prest. 03/11/2025 a 09/11/2025 - PIX: CELULAR - CHAVE: (35) 99264-4504</t>
  </si>
  <si>
    <t>Serv.Prest. 03/11/2025 a 09/11/2025 - PIX: E-MAIL - CHAVE: sypedrinho@gmail.com</t>
  </si>
  <si>
    <t>Serv.Prest. 03/11/2025 a 09/11/2025 - PIX: CPF - CHAVE: 135.640.066-30</t>
  </si>
  <si>
    <t>Serv.Prest. 03/11/2025 a 09/11/2025 - PIX: CELULAR - CHAVE: (24) 99846-2202</t>
  </si>
  <si>
    <t>Serv.Prest. 03/11/2025 a 09/11/2025 - PIX: CPF - CHAVE: 072.968.086-08</t>
  </si>
  <si>
    <t>Serv.Prest. 03/11/2025 a 09/11/2025 - PIX: CPF - CHAVE: 012.783.036-77</t>
  </si>
  <si>
    <t>Serv.Prest. 03/11/2025 a 09/11/2025 - PIX: E-MAIL - CHAVE: roger.l.borges04@gmail.com</t>
  </si>
  <si>
    <t>Serv.Prest. 03/11/2025 a 09/11/2025 - PIX: CPF - CHAVE: 701.955.866-62</t>
  </si>
  <si>
    <t>Serv.Prest. 03/11/2025 a 09/11/2025 - PIX: CPF - CHAVE: 048.151.276-46</t>
  </si>
  <si>
    <t>Serv.Prest. 03/11/2025 a 09/11/2025 - PIX: CPF - CHAVE: 097.855.786-74</t>
  </si>
  <si>
    <t>Serv.Prest. 03/11/2025 a 09/11/2025 - PIX: CHAVE ALEATÓRIA - CHAVE: 1550e869-c9d7-4436-be93-6858fd0cb900</t>
  </si>
  <si>
    <t>Serv.Prest. 03/11/2025 a 09/11/2025 - PIX: CELULAR - CHAVE: (33) 99880-7941</t>
  </si>
  <si>
    <t>Serv.Prest. 03/11/2025 a 09/11/2025 - PIX: CPF - CHAVE: 092.566.416-23</t>
  </si>
  <si>
    <t>Serv.Prest. 03/11/2025 a 09/11/2025 - PIX: CPF - CHAVE: 157.874.046-02</t>
  </si>
  <si>
    <t>Serv.Prest. 03/11/2025 a 09/11/2025 - PIX: CPF - CHAVE: 130.194.566-81</t>
  </si>
  <si>
    <t>Serv.Prest. 03/11/2025 a 09/11/2025 - PIX: CELULAR - CHAVE: (33) 99118-9032</t>
  </si>
  <si>
    <t>Serv.Prest. 03/11/2025 a 09/11/2025 - PIX: CELULAR - CHAVE: (31) 97251-6838</t>
  </si>
  <si>
    <t>Serv.Prest. 03/11/2025 a 09/11/2025 - PIX: CELULAR - CHAVE: (32) 99800-1691</t>
  </si>
  <si>
    <t>Serv.Prest. 03/11/2025 a 09/11/2025 - PIX: CPF - CHAVE: 700.454.836-80</t>
  </si>
  <si>
    <t>Serv.Prest. 03/11/2025 a 09/11/2025 - PIX: CELULAR - CHAVE: (33) 98806-5772</t>
  </si>
  <si>
    <t>Serv.Prest. 03/11/2025 a 09/11/2025 - PIX: CELULAR - CHAVE: (33) 99996-3668</t>
  </si>
  <si>
    <t>Serv.Prest. 03/11/2025 a 09/11/2025 - PIX: CPF - CHAVE: 012.906.122-00</t>
  </si>
  <si>
    <t>Serv.Prest. 03/11/2025 a 09/11/2025 - PIX: E-MAIL - CHAVE: wilianvieirawrv3578@gmail.com</t>
  </si>
  <si>
    <t>Serv.Prest. 03/11/2025 a 09/11/2025 - PIX: CELULAR - CHAVE: (33) 99859-8751</t>
  </si>
  <si>
    <t>Serv.Prest. 03/11/2025 a 09/11/2025 - PIX: CPF - CHAVE: 036.875.515-04</t>
  </si>
  <si>
    <t>Serv.Prest. 03/11/2025 a 09/11/2025 - PIX: CELULAR - CHAVE: (73) 99966-7211</t>
  </si>
  <si>
    <t>Serv.Prest. 03/11/2025 a 09/11/2025 - PIX: CPF - CHAVE: 094.947.395-23</t>
  </si>
  <si>
    <t>Serv.Prest. 03/11/2025 a 09/11/2025 - PIX: E-MAIL - CHAVE: ericgomes508@gmail.com</t>
  </si>
  <si>
    <t>Serv.Prest. 03/11/2025 a 09/11/2025 - PIX: CPF - CHAVE: 087.398.185-51</t>
  </si>
  <si>
    <t>Serv.Prest. 03/11/2025 a 09/11/2025 - PIX: CELULAR - CHAVE: (73) 99941-8352</t>
  </si>
  <si>
    <t>Serv.Prest. 03/11/2025 a 09/11/2025 - PIX: CELULAR - CHAVE: (73) 98888-3793</t>
  </si>
  <si>
    <t>Serv.Prest. 03/11/2025 a 09/11/2025 - PIX: CPF - CHAVE: 439.169.103-53</t>
  </si>
  <si>
    <t>Serv.Prest. 03/11/2025 a 09/11/2025 - PIX: CPF - CHAVE: 035.018.455-02</t>
  </si>
  <si>
    <t>Serv.Prest. 03/11/2025 a 09/11/2025 - PIX: CPF - CHAVE: 860.305.455-07</t>
  </si>
  <si>
    <t>Serv.Prest. 03/11/2025 a 09/11/2025 - PIX: CPF - CHAVE: 009.476.175-23</t>
  </si>
  <si>
    <t>Serv.Prest. 03/11/2025 a 09/11/2025 - PIX: CELULAR - CHAVE: (73) 98105-2187</t>
  </si>
  <si>
    <t>Serv.Prest. 03/11/2025 a 09/11/2025 - PIX: CPF - CHAVE: 094.700.685-05</t>
  </si>
  <si>
    <t>Serv.Prest. 03/11/2025 a 09/11/2025 - PIX: CELULAR - CHAVE: (73) 99803-0715</t>
  </si>
  <si>
    <t>Serv.Prest. 03/11/2025 a 09/11/2025 - PIX: CELULAR - CHAVE: (73) 99967-3239</t>
  </si>
  <si>
    <t>Serv.Prest. 03/11/2025 a 09/11/2025 - PIX: CPF - CHAVE: 003.157.195-67</t>
  </si>
  <si>
    <t>Serv.Prest. 03/11/2025 a 09/11/2025 - PIX: CNPJ - CHAVE: 33.412.676/0001-41</t>
  </si>
  <si>
    <t>Serv.Prest. 03/11/2025 a 09/11/2025 - PIX: CPF - CHAVE: 007.842.745-25</t>
  </si>
  <si>
    <t>Serv.Prest. 03/11/2025 a 09/11/2025 - PIX: CELULAR - CHAVE: (73) 99977-2721</t>
  </si>
  <si>
    <t>Serv.Prest. 03/11/2025 a 09/11/2025 - PIX: CELULAR - CHAVE: (73) 99818-9718</t>
  </si>
  <si>
    <t>Serv.Prest. 03/11/2025 a 09/11/2025 - PIX: CPF - CHAVE: 079.068.045-97</t>
  </si>
  <si>
    <t>Serv.Prest. 03/11/2025 a 09/11/2025 - PIX: CPF - CHAVE: 079.930.865-07</t>
  </si>
  <si>
    <t>Serv.Prest. 03/11/2025 a 09/11/2025 - PIX: CPF - CHAVE: 077.317.327-70</t>
  </si>
  <si>
    <t>Serv.Prest. 03/11/2025 a 09/11/2025 - PIX: CELULAR - CHAVE: (27) 99811-6850</t>
  </si>
  <si>
    <t>Serv.Prest. 03/11/2025 a 09/11/2025 - PIX: CELULAR - CHAVE: (27) 99869-8144</t>
  </si>
  <si>
    <t>Serv.Prest. 03/11/2025 a 09/11/2025 - PIX: CELULAR - CHAVE: (73) 99167-5954</t>
  </si>
  <si>
    <t>Serv.Prest. 03/11/2025 a 09/11/2025 - PIX: CELULAR - CHAVE: (27) 99650-9691</t>
  </si>
  <si>
    <t>Serv.Prest. 03/11/2025 a 09/11/2025 - PIX: CPF - CHAVE: 121.963.507-37</t>
  </si>
  <si>
    <t>Serv.Prest. 03/11/2025 a 09/11/2025 - PIX: E-MAIL - CHAVE: alanacosta1999@gmail.com</t>
  </si>
  <si>
    <t>Serv.Prest. 03/11/2025 a 09/11/2025 - PIX: CPF - CHAVE: 975.425.989-53</t>
  </si>
  <si>
    <t>Serv.Prest. 03/11/2025 a 09/11/2025 - PIX: CELULAR - CHAVE: (43) 99630-7532</t>
  </si>
  <si>
    <t>Serv.Prest. 03/11/2025 a 09/11/2025 - PIX: CPF - CHAVE: 004.682.359-06</t>
  </si>
  <si>
    <t>Serv.Prest. 03/11/2025 a 09/11/2025 - PIX: CELULAR - CHAVE: (43) 99934-1696</t>
  </si>
  <si>
    <t>Serv.Prest. 03/11/2025 a 09/11/2025 - PIX: CPF - CHAVE: 074.604.219-10</t>
  </si>
  <si>
    <t>Serv.Prest. 03/11/2025 a 09/11/2025 - PIX: CPF - CHAVE: 878.196.869-87</t>
  </si>
  <si>
    <t>Serv.Prest. 10/11/2025 a 16/11/2025 - PIX: CPF - CHAVE: 469.543.578-04</t>
  </si>
  <si>
    <t>Serv.Prest. 10/11/2025 a 16/11/2025 - PIX: CPF - CHAVE: 361.750.258-06</t>
  </si>
  <si>
    <t>Serv.Prest. 10/11/2025 a 16/11/2025 - PIX: CNPJ - CHAVE: 52.606.983/0001-08</t>
  </si>
  <si>
    <t>Serv.Prest. 10/11/2025 a 16/11/2025 - PIX: CPF - CHAVE: 500.480.978-02</t>
  </si>
  <si>
    <t>Serv.Prest. 10/11/2025 a 16/11/2025 - PIX: CELULAR - CHAVE: (11) 98484-6837</t>
  </si>
  <si>
    <t>Serv.Prest. 10/11/2025 a 16/11/2025 - PIX: CELULAR - CHAVE: (11) 95054-2206</t>
  </si>
  <si>
    <t>Serv.Prest. 10/11/2025 a 16/11/2025 - PIX: CELULAR - CHAVE: (62) 99550-3226</t>
  </si>
  <si>
    <t>Serv.Prest. 10/11/2025 a 16/11/2025 - PIX: CELULAR - CHAVE: (11) 95552-9905</t>
  </si>
  <si>
    <t>Serv.Prest. 10/11/2025 a 16/11/2025 - PIX: CPF - CHAVE: 505.341.528-56</t>
  </si>
  <si>
    <t>Serv.Prest. 10/11/2025 a 16/11/2025 - PIX: CELULAR - CHAVE: (11) 91214-6176</t>
  </si>
  <si>
    <t>Serv.Prest. 10/11/2025 a 16/11/2025 - PIX: CPF - CHAVE: 506.934.998-85</t>
  </si>
  <si>
    <t>Serv.Prest. 10/11/2025 a 16/11/2025 - PIX: CPF - CHAVE: 419.678.508-52</t>
  </si>
  <si>
    <t>Serv.Prest. 10/11/2025 a 16/11/2025 - PIX: CELULAR - CHAVE: (31) 99376-7989</t>
  </si>
  <si>
    <t>Serv.Prest. 10/11/2025 a 16/11/2025 - PIX: CPF - CHAVE: 489.237.478-40</t>
  </si>
  <si>
    <t>Serv.Prest. 10/11/2025 a 16/11/2025 - PIX: CPF - CHAVE: 103.983.366-79</t>
  </si>
  <si>
    <t>Serv.Prest. 10/11/2025 a 16/11/2025 - PIX: CPF - CHAVE: 138.263.636-98</t>
  </si>
  <si>
    <t>Serv.Prest. 10/11/2025 a 16/11/2025 - PIX: CPF - CHAVE: 128.367.756-37</t>
  </si>
  <si>
    <t>Serv.Prest. 10/11/2025 a 16/11/2025 - PIX: CPF - CHAVE: 147.592.156-03</t>
  </si>
  <si>
    <t>Serv.Prest. 10/11/2025 a 16/11/2025 - PIX: CELULAR - CHAVE: (11) 98768-7863</t>
  </si>
  <si>
    <t>Serv.Prest. 10/11/2025 a 16/11/2025 - PIX: CPF - CHAVE: 370.849.948-40</t>
  </si>
  <si>
    <t>Serv.Prest. 10/11/2025 a 16/11/2025 - PIX: CELULAR - CHAVE: (64) 99952-0910</t>
  </si>
  <si>
    <t>Serv.Prest. 10/11/2025 a 16/11/2025 - PIX: CELULAR - CHAVE: (64) 97400-9101</t>
  </si>
  <si>
    <t>Serv.Prest. 10/11/2025 a 16/11/2025 - PIX: CPF - CHAVE: 396.877.618-65</t>
  </si>
  <si>
    <t>Serv.Prest. 10/11/2025 a 16/11/2025 - PIX: CELULAR - CHAVE: (11) 96409-0865</t>
  </si>
  <si>
    <t>Serv.Prest. 10/11/2025 a 16/11/2025 - PIX: CELULAR - CHAVE: (11) 98447-6954</t>
  </si>
  <si>
    <t>Serv.Prest. 10/11/2025 a 16/11/2025 - PIX: CPF - CHAVE: 439.367.298-40</t>
  </si>
  <si>
    <t>Serv.Prest. 10/11/2025 a 16/11/2025 - PIX: CPF - CHAVE: 351.063.158-75</t>
  </si>
  <si>
    <t>Serv.Prest. 10/11/2025 a 16/11/2025 - PIX: CPF - CHAVE: 427.090.718-51</t>
  </si>
  <si>
    <t>Serv.Prest. 10/11/2025 a 16/11/2025 - PIX: CPF - CHAVE: 471.142.438-55</t>
  </si>
  <si>
    <t>Serv.Prest. 10/11/2025 a 16/11/2025 - PIX: CELULAR - CHAVE: (11) 94195-2534</t>
  </si>
  <si>
    <t>Serv.Prest. 10/11/2025 a 16/11/2025 - PIX: CELULAR - CHAVE: (11) 99270-3082</t>
  </si>
  <si>
    <t>Serv.Prest. 10/11/2025 a 16/11/2025 - PIX: CPF - CHAVE: 026.422.254-70</t>
  </si>
  <si>
    <t>Serv.Prest. 10/11/2025 a 16/11/2025 - PIX: CPF - CHAVE: 100.826.516-04</t>
  </si>
  <si>
    <t>Serv.Prest. 10/11/2025 a 16/11/2025 - PIX: CPF - CHAVE: 126.686.406-79</t>
  </si>
  <si>
    <t>Serv.Prest. 10/11/2025 a 16/11/2025 - PIX: CPF - CHAVE: 016.203.336-27</t>
  </si>
  <si>
    <t>Serv.Prest. 10/11/2025 a 16/11/2025 - PIX: CELULAR - CHAVE: (34) 99694-0926</t>
  </si>
  <si>
    <t>Serv.Prest. 10/11/2025 a 16/11/2025 - PIX: CPF - CHAVE: 162.570.846-79</t>
  </si>
  <si>
    <t>Serv.Prest. 10/11/2025 a 16/11/2025 - PIX: E-MAIL - CHAVE: odair.araujo@onmail.com</t>
  </si>
  <si>
    <t>Serv.Prest. 10/11/2025 a 16/11/2025 - PIX: CELULAR - CHAVE: (34) 99688-5705</t>
  </si>
  <si>
    <t>Serv.Prest. 10/11/2025 a 16/11/2025 - PIX: CPF - CHAVE: 126.720.606-30</t>
  </si>
  <si>
    <t>Serv.Prest. 10/11/2025 a 16/11/2025 - PIX: CELULAR - CHAVE: (34) 97400-1695</t>
  </si>
  <si>
    <t>Serv.Prest. 10/11/2025 a 16/11/2025 - PIX: CPF - CHAVE: 480.429.318-32</t>
  </si>
  <si>
    <t>Serv.Prest. 10/11/2025 a 16/11/2025 - PIX: CPF - CHAVE: 023.116.166-25</t>
  </si>
  <si>
    <t>Serv.Prest. 10/11/2025 a 16/11/2025 - PIX: CPF - CHAVE: 157.591.436-03</t>
  </si>
  <si>
    <t>Serv.Prest. 10/11/2025 a 16/11/2025 - PIX: CELULAR - CHAVE: (32) 99920-0416</t>
  </si>
  <si>
    <t>Serv.Prest. 10/11/2025 a 16/11/2025 - PIX: CNPJ - CHAVE: 51.676.704/0001-10</t>
  </si>
  <si>
    <t>Serv.Prest. 10/11/2025 a 16/11/2025 - PIX: CPF - CHAVE: 140.108.466-40</t>
  </si>
  <si>
    <t>Serv.Prest. 10/11/2025 a 16/11/2025 - PIX: CPF - CHAVE: 100.710.806-19</t>
  </si>
  <si>
    <t>Serv.Prest. 10/11/2025 a 16/11/2025 - PIX: CPF - CHAVE: 463.491.858-70</t>
  </si>
  <si>
    <t>Serv.Prest. 10/11/2025 a 16/11/2025 - PIX: CELULAR - CHAVE: (11) 97402-1586</t>
  </si>
  <si>
    <t>Serv.Prest. 10/11/2025 a 16/11/2025 - PIX: CELULAR - CHAVE: (11) 99992-0816</t>
  </si>
  <si>
    <t>Serv.Prest. 10/11/2025 a 16/11/2025 - PIX: CPF - CHAVE: 090.332.006-19</t>
  </si>
  <si>
    <t>Serv.Prest. 10/11/2025 a 16/11/2025 - PIX: CELULAR - CHAVE: (37) 99197-6834</t>
  </si>
  <si>
    <t>Serv.Prest. 10/11/2025 a 16/11/2025 - PIX: CPF - CHAVE: 950.176.406-06</t>
  </si>
  <si>
    <t>Serv.Prest. 10/11/2025 a 16/11/2025 - PIX: CELULAR - CHAVE: (37) 99138-1777</t>
  </si>
  <si>
    <t>Serv.Prest. 10/11/2025 a 16/11/2025 - PIX: CELULAR - CHAVE: (37) 98841-8571</t>
  </si>
  <si>
    <t>Serv.Prest. 10/11/2025 a 16/11/2025 - PIX: CPF - CHAVE: 423.098.018-36</t>
  </si>
  <si>
    <t>Serv.Prest. 10/11/2025 a 16/11/2025 - PIX: E-MAIL - CHAVE: claudioverdinho2009@hotmail.com</t>
  </si>
  <si>
    <t>Serv.Prest. 10/11/2025 a 16/11/2025 - PIX: CELULAR - CHAVE: (41) 98421-2278</t>
  </si>
  <si>
    <t>Serv.Prest. 10/11/2025 a 16/11/2025 - PIX: CPF - CHAVE: 124.575.099-20</t>
  </si>
  <si>
    <t>Serv.Prest. 10/11/2025 a 16/11/2025 - PIX: CELULAR - CHAVE: (28) 99988-2177</t>
  </si>
  <si>
    <t>Serv.Prest. 10/11/2025 a 16/11/2025 - PIX: CELULAR - CHAVE: (28) 99908-0831</t>
  </si>
  <si>
    <t>Serv.Prest. 10/11/2025 a 16/11/2025 - PIX: CELULAR - CHAVE: (28) 98816-4170</t>
  </si>
  <si>
    <t>Serv.Prest. 10/11/2025 a 16/11/2025 - PIX: E-MAIL - CHAVE: silvaalessandro3909@gmail.com</t>
  </si>
  <si>
    <t>Serv.Prest. 10/11/2025 a 16/11/2025 - PIX: CPF - CHAVE: 383.328.968-60</t>
  </si>
  <si>
    <t>Serv.Prest. 10/11/2025 a 16/11/2025 - PIX: CELULAR - CHAVE: (11) 95335-4943</t>
  </si>
  <si>
    <t>Serv.Prest. 10/11/2025 a 16/11/2025 - PIX: CELULAR - CHAVE: (73) 98191-0061</t>
  </si>
  <si>
    <t>Serv.Prest. 10/11/2025 a 16/11/2025 - PIX: CELULAR - CHAVE: (73) 98166-3325</t>
  </si>
  <si>
    <t>Serv.Prest. 10/11/2025 a 16/11/2025 - PIX: CPF - CHAVE: 378.223.888-51</t>
  </si>
  <si>
    <t>Serv.Prest. 10/11/2025 a 16/11/2025 - PIX: CELULAR - CHAVE: (33) 99924-7557</t>
  </si>
  <si>
    <t>Serv.Prest. 10/11/2025 a 16/11/2025 - PIX: CELULAR - CHAVE: (71) 99696-7530</t>
  </si>
  <si>
    <t>Serv.Prest. 10/11/2025 a 16/11/2025 - PIX: CELULAR - CHAVE: (71) 99214-9256</t>
  </si>
  <si>
    <t>Serv.Prest. 10/11/2025 a 16/11/2025 - PIX: E-MAIL - CHAVE: edvam18.alves@gmail.com</t>
  </si>
  <si>
    <t>Serv.Prest. 10/11/2025 a 16/11/2025 - PIX: CPF - CHAVE: 048.672.645-20</t>
  </si>
  <si>
    <t>Serv.Prest. 10/11/2025 a 16/11/2025 - PIX: CELULAR - CHAVE: (71) 98124-7946</t>
  </si>
  <si>
    <t>Serv.Prest. 10/11/2025 a 16/11/2025 - PIX: CELULAR - CHAVE: (34) 99772-2954</t>
  </si>
  <si>
    <t>Serv.Prest. 10/11/2025 a 16/11/2025 - PIX: CELULAR - CHAVE: (34) 99768-4372</t>
  </si>
  <si>
    <t>Serv.Prest. 10/11/2025 a 16/11/2025 - PIX: CPF - CHAVE: 054.162.686-89</t>
  </si>
  <si>
    <t>Serv.Prest. 10/11/2025 a 16/11/2025 - PIX: CELULAR - CHAVE: (34) 99889-9792</t>
  </si>
  <si>
    <t>Serv.Prest. 10/11/2025 a 16/11/2025 - PIX: CPF - CHAVE: 384.490.518-94</t>
  </si>
  <si>
    <t>Serv.Prest. 10/11/2025 a 16/11/2025 - PIX: CELULAR - CHAVE: (34) 99178-2263</t>
  </si>
  <si>
    <t>Serv.Prest. 10/11/2025 a 16/11/2025 - PIX: CPF - CHAVE: 074.520.456-29</t>
  </si>
  <si>
    <t>CONTABILIDADE 10/2025</t>
  </si>
  <si>
    <t xml:space="preserve">VALE TRANSPORTE REFERENTE AO MES 11/2025 </t>
  </si>
  <si>
    <t>Serv.Prest. 03/11/2025 a 09/11/2025 - RPS: 1578 - NFSe: 3702</t>
  </si>
  <si>
    <t>Serv.Prest. 03/11/2025 a 09/11/2025 - RPS: 1579 - NFSe: 3703</t>
  </si>
  <si>
    <t>Serv.Prest. 10/11/2025 a 16/11/2025 - RPS: 1587 - NFSe: 3711</t>
  </si>
  <si>
    <t>Serv.Prest. 10/11/2025 a 16/11/2025 - RPS: 1615 - NFSe: 3739</t>
  </si>
  <si>
    <t>Serv.Prest. 03/11/2025 a 09/11/2025 - RPS: 1577 - NFSe: 3701</t>
  </si>
  <si>
    <t>Serv.Prest. 10/11/2025 a 16/11/2025 - RPS: 1616 - NFSe: 3740</t>
  </si>
  <si>
    <t>Serv.Prest. 10/11/2025 a 16/11/2025 - RPS: 1594 - NFSe: 3718</t>
  </si>
  <si>
    <t>Serv.Prest. 10/11/2025 a 16/11/2025 - RPS: 1613 - NFSe: 3737</t>
  </si>
  <si>
    <t>Serv.Prest. 10/11/2025 a 16/11/2025 - RPS: 1599 - NFSe: 3723</t>
  </si>
  <si>
    <t>Serv.Prest. 17/11/2025 a 23/11/2025 - PIX: CELULAR - CHAVE: (19) 98944-4977</t>
  </si>
  <si>
    <t>Serv.Prest. 17/11/2025 a 23/11/2025 - PIX: CELULAR - CHAVE: (11) 99992-0816</t>
  </si>
  <si>
    <t>Serv.Prest. 10/11/2025 a 16/11/2025 - RPS: 1625 - NFSe: 3749</t>
  </si>
  <si>
    <t>Serv.Prest. 10/11/2025 a 16/11/2025 - RPS: 1624 - NFSe: 3748</t>
  </si>
  <si>
    <t>Serv.Prest. 10/11/2025 a 16/11/2025 - RPS: 1608 - NFSe: 3732</t>
  </si>
  <si>
    <t>Serv.Prest. 10/11/2025 a 16/11/2025 - RPS: 1614 - NFSe: 3738</t>
  </si>
  <si>
    <t>Serv.Prest. 17/11/2025 a 23/11/2025 - PIX: CELULAR - CHAVE: (64) 97400-9101</t>
  </si>
  <si>
    <t xml:space="preserve">DEVOLUÇÃO RECEBIDA PIX </t>
  </si>
  <si>
    <t>ESTORNO RECEBIDO</t>
  </si>
  <si>
    <t>ESTORNO RECEBIDO (141)</t>
  </si>
  <si>
    <t>Serv.Prest. 17/11/2025 a 23/11/2025 - PIX: CELULAR - CHAVE: (11) 94910-8689</t>
  </si>
  <si>
    <t>Serv.Prest. 10/11/2025 a 16/11/2025 - RPS: 1623 - NFSe: 3747</t>
  </si>
  <si>
    <t>PAGAMENTO LIDERANÇA REF. MES 10/2025 - PIX: CPF - CHAVE: 423.098.018-36</t>
  </si>
  <si>
    <t>Serv.Prest. 17/11/2025 a 23/11/2025 - PIX: CPF - CHAVE: 166.062.316-20</t>
  </si>
  <si>
    <t>Serv.Prest. 17/11/2025 a 23/11/2025 - PIX: CELULAR - CHAVE: (11) 93933-2088</t>
  </si>
  <si>
    <t>Serv.Prest. 17/11/2025 a 23/11/2025 - PIX: CPF - CHAVE: 052.353.883-99</t>
  </si>
  <si>
    <t>Serv.Prest. 17/11/2025 a 23/11/2025 - PIX: CELULAR - CHAVE: (34) 98828-2438</t>
  </si>
  <si>
    <t>Serv.Prest. 24/11/2025 a 30/11/2025 - PIX: CPF - CHAVE: 262.099.808-56</t>
  </si>
  <si>
    <t>Serv.Prest. 10/11/2025 a 16/11/2025 - RPS: 1629 - NFSe: 3753</t>
  </si>
  <si>
    <t>Serv.Prest. 10/11/2025 a 16/11/2025 - RPS: 1612 - NFSe: 3736</t>
  </si>
  <si>
    <t>Serv.Prest. 20/10/2025 a 26/10/2025 - RPS: 1458 - NFSe: 3582</t>
  </si>
  <si>
    <t>Serv.Prest. 17/11/2025 a 23/11/2025 - PIX: CPF - CHAVE: 097.245.586-81</t>
  </si>
  <si>
    <t>Serv.Prest. 17/11/2025 a 23/11/2025 - PIX: CELULAR - CHAVE: (73) 988381077</t>
  </si>
  <si>
    <t>Serv.Prest. 10/11/2025 a 16/11/2025 - PIX: CPF - CHAVE: 179.800.027-09</t>
  </si>
  <si>
    <t>Serv.Prest. 10/11/2025 a 16/11/2025 - PIX: CPF - CHAVE: 174.029.607-90</t>
  </si>
  <si>
    <t>Serv.Prest. 17/11/2025 a 23/11/2025 - PIX: CPF - CHAVE: 174.029.607-90</t>
  </si>
  <si>
    <t>Serv.Prest. 17/11/2025 a 23/11/2025 - PIX: CELULAR - CHAVE: (11) 98439-2238</t>
  </si>
  <si>
    <t>Serv.Prest. 17/11/2025 a 23/11/2025 - PIX: CELULAR - CHAVE: (11) 94878-2634</t>
  </si>
  <si>
    <t>Serv.Prest. 17/11/2025 a 23/11/2025 - PIX: CELULAR - CHAVE: (11) 93051-0411</t>
  </si>
  <si>
    <t>Serv.Prest. 17/11/2025 a 23/11/2025 - PIX: CELULAR - CHAVE: (11) 95038-0621</t>
  </si>
  <si>
    <t>Serv.Prest. 17/11/2025 a 23/11/2025 - PIX: CELULAR - CHAVE: (11) 98447-6954</t>
  </si>
  <si>
    <t>Serv.Prest. 17/11/2025 a 23/11/2025 - PIX: E-MAIL - CHAVE: ericsilva8marcena@gmail.com</t>
  </si>
  <si>
    <t>Serv.Prest. 17/11/2025 a 23/11/2025 - PIX: CELULAR - CHAVE: (31) 99373-5678</t>
  </si>
  <si>
    <t>Serv.Prest. 17/11/2025 a 23/11/2025 - PIX: CELULAR - CHAVE: (32) 99913-0476</t>
  </si>
  <si>
    <t>Serv.Prest. 17/11/2025 a 23/11/2025 - PIX: CELULAR - CHAVE: (11) 95906-5439</t>
  </si>
  <si>
    <t>Serv.Prest. 17/11/2025 a 23/11/2025 - PIX: CELULAR - CHAVE: (31) 99607-6585</t>
  </si>
  <si>
    <t>Serv.Prest. 17/11/2025 a 23/11/2025 - PIX: CELULAR - CHAVE: (11) 93081-1308</t>
  </si>
  <si>
    <t>Serv.Prest. 17/11/2025 a 23/11/2025 - PIX: CELULAR - CHAVE: (11) 97702-1316</t>
  </si>
  <si>
    <t>Serv.Prest. 17/11/2025 a 23/11/2025 - PIX: CPF - CHAVE: 123.020.026-60</t>
  </si>
  <si>
    <t>Serv.Prest. 17/11/2025 a 23/11/2025 - PIX: CELULAR - CHAVE: (32) 98703-8039</t>
  </si>
  <si>
    <t>Serv.Prest. 17/11/2025 a 23/11/2025 - PIX: CELULAR - CHAVE: (11) 99239-3232</t>
  </si>
  <si>
    <t>Serv.Prest. 17/11/2025 a 23/11/2025 - PIX: CPF - CHAVE: 396.124.108-28</t>
  </si>
  <si>
    <t>Serv.Prest. 17/11/2025 a 23/11/2025 - PIX: CELULAR - CHAVE: (11) 91767-9056</t>
  </si>
  <si>
    <t>DIARIA MOTOBOY CATAGUASES 23/11/2025 - PIX: CPF - CHAVE: 106.393.056-10</t>
  </si>
  <si>
    <t>Serv.Prest. 17/11/2025 a 23/11/2025 - PIX: CPF - CHAVE: 096.891.935-97</t>
  </si>
  <si>
    <t>Serv.Prest. 03/11/2025 a 09/11/2025 - RPS: 1563 - NFSe: 3687</t>
  </si>
  <si>
    <t>Serv.Prest. 03/11/2025 a 09/11/2025 - RPS: 1564 - NFSe: 3688</t>
  </si>
  <si>
    <t>Serv.Prest. 10/11/2025 a 16/11/2025 - RPS: 1604 - NFSe: 3728</t>
  </si>
  <si>
    <t>Serv.Prest. 03/11/2025 a 09/11/2025 - RPS: 1565 - NFSe: 3689</t>
  </si>
  <si>
    <t>DESPESA DE VIAGEM SÃO PAULO</t>
  </si>
  <si>
    <t>Serv.Prest. 24/11/2025 a 30/11/2025 - PIX: E-MAIL - CHAVE: felipebrito00009@gmail.com</t>
  </si>
  <si>
    <t>Serv.Prest. 24/11/2025 a 30/11/2025 - PIX: CELULAR - CHAVE: (11) 93933-2088</t>
  </si>
  <si>
    <t>Serv.Prest. 17/11/2025 a 23/11/2025 - PIX: CPF - CHAVE: 768.859.176-72</t>
  </si>
  <si>
    <t>Serv.Prest. 24/11/2025 a 30/11/2025 - PIX: CPF - CHAVE: 423.098.018-36</t>
  </si>
  <si>
    <t>Serv.Prest. 10/11/2025 a 16/11/2025 - RPS: 1603 - NFSe: 3727</t>
  </si>
  <si>
    <t>Serv.Prest. 17/11/2025 a 23/11/2025 - RPS: 1638 - NFSe: 3762</t>
  </si>
  <si>
    <t>Serv.Prest. 17/11/2025 a 23/11/2025 - RPS: 1640 - NFSe: 3764</t>
  </si>
  <si>
    <t>Serv.Prest. 17/11/2025 a 23/11/2025 - RPS: 1641 - NFSe: 3765</t>
  </si>
  <si>
    <t>Serv.Prest. 17/11/2025 a 23/11/2025 - RPS: 1644 - NFSe: 3768</t>
  </si>
  <si>
    <t>Serv.Prest. 17/11/2025 a 23/11/2025 - RPS: 1645 - NFSe: 3769</t>
  </si>
  <si>
    <t>Serv.Prest. 17/11/2025 a 23/11/2025 - RPS: 1659 - NFSe: 3783</t>
  </si>
  <si>
    <t>Serv.Prest. 17/11/2025 a 23/11/2025 - RPS: 1663 - NFSe: 3787</t>
  </si>
  <si>
    <t>Serv.Prest. 17/11/2025 a 23/11/2025 - RPS: 1666 - NFSe: 3790</t>
  </si>
  <si>
    <t>Serv.Prest. 17/11/2025 a 23/11/2025 - RPS: 1669 - NFSe: 3793</t>
  </si>
  <si>
    <t>Serv.Prest. 17/11/2025 a 23/11/2025 - RPS: 1676 - NFSe: 3800</t>
  </si>
  <si>
    <t>Serv.Prest. 17/11/2025 a 23/11/2025 - RPS: 1677 - NFSe: 3801</t>
  </si>
  <si>
    <t>REEMBOLSO VALOR NAO COBRADO - drogalider.pix@drogalider.com.br</t>
  </si>
  <si>
    <t>ADIANTAMENTO - PIX: CPF - CHAVE: 035.018.455-02</t>
  </si>
  <si>
    <t>Serv.Prest. 24/11/2025 a 30/11/2025 - PIX: CELULAR - CHAVE: (11) 94848-0368</t>
  </si>
  <si>
    <t>DESPESAS COM VIAGENS OPERACIONAIS (119)</t>
  </si>
  <si>
    <t>Serv.Prest. 10/11/2025 a 16/11/2025 - RPS: 1620 - NFSe: 3744</t>
  </si>
  <si>
    <t>Serv.Prest. 10/11/2025 a 16/11/2025 - RPS: 1621 - NFSe: 3745</t>
  </si>
  <si>
    <t>Serv.Prest. 10/11/2025 a 16/11/2025 - RPS: 1622 - NFSe: 3746</t>
  </si>
  <si>
    <t>Serv.Prest. 10/11/2025 a 16/11/2025 - PIX: CELULAR - CHAVE: (33) 99877-0415</t>
  </si>
  <si>
    <t>Serv.Prest. 10/11/2025 a 16/11/2025 - PIX: CPF - CHAVE: 099.626.666-60</t>
  </si>
  <si>
    <t>Serv.Prest. 10/11/2025 a 16/11/2025 - PIX: E-MAIL - CHAVE: anissoanidaldepaula@gmail.com</t>
  </si>
  <si>
    <t>Serv.Prest. 10/11/2025 a 16/11/2025 - PIX: CPF - CHAVE: 037.192.076-09</t>
  </si>
  <si>
    <t>Serv.Prest. 10/11/2025 a 16/11/2025 - PIX: CELULAR - CHAVE: (33) 99110-6940</t>
  </si>
  <si>
    <t>Serv.Prest. 10/11/2025 a 16/11/2025 - PIX: CPF - CHAVE: 137.446.146-62</t>
  </si>
  <si>
    <t>Serv.Prest. 10/11/2025 a 16/11/2025 - PIX: CPF - CHAVE: 155.328.666-94</t>
  </si>
  <si>
    <t>Serv.Prest. 10/11/2025 a 16/11/2025 - PIX: CELULAR - CHAVE: (32) 98896-0708</t>
  </si>
  <si>
    <t>Serv.Prest. 10/11/2025 a 16/11/2025 - PIX: CELULAR - CHAVE: (32) 99166-8238</t>
  </si>
  <si>
    <t>Serv.Prest. 10/11/2025 a 16/11/2025 - PIX: CELULAR - CHAVE: (33) 98845-4528</t>
  </si>
  <si>
    <t>Serv.Prest. 10/11/2025 a 16/11/2025 - PIX: CELULAR - CHAVE: (31) 98511-2851</t>
  </si>
  <si>
    <t>Serv.Prest. 10/11/2025 a 16/11/2025 - PIX: CELULAR - CHAVE: (32) 99177-6167</t>
  </si>
  <si>
    <t>Serv.Prest. 10/11/2025 a 16/11/2025 - PIX: CPF - CHAVE: 110.483.296-82</t>
  </si>
  <si>
    <t>Serv.Prest. 10/11/2025 a 16/11/2025 - PIX: CELULAR - CHAVE: (33) 98749-5105</t>
  </si>
  <si>
    <t>Serv.Prest. 10/11/2025 a 16/11/2025 - PIX: CELULAR - CHAVE: (33) 99802-1883</t>
  </si>
  <si>
    <t>Serv.Prest. 10/11/2025 a 16/11/2025 - PIX: CELULAR - CHAVE: (31) 99610-7049</t>
  </si>
  <si>
    <t>Serv.Prest. 10/11/2025 a 16/11/2025 - PIX: CPF - CHAVE: 102.023.716-38</t>
  </si>
  <si>
    <t>Serv.Prest. 10/11/2025 a 16/11/2025 - PIX: CELULAR - CHAVE: (33) 99874-0376</t>
  </si>
  <si>
    <t>Serv.Prest. 10/11/2025 a 16/11/2025 - PIX: CELULAR - CHAVE: (33) 98890-5095</t>
  </si>
  <si>
    <t>Serv.Prest. 10/11/2025 a 16/11/2025 - PIX: CELULAR - CHAVE: (33) 99199-7983</t>
  </si>
  <si>
    <t>Serv.Prest. 10/11/2025 a 16/11/2025 - PIX: CPF - CHAVE: 141.134.256-98</t>
  </si>
  <si>
    <t>Serv.Prest. 10/11/2025 a 16/11/2025 - PIX: CPF - CHAVE: 070.073.316-70</t>
  </si>
  <si>
    <t>Serv.Prest. 10/11/2025 a 16/11/2025 - PIX: CELULAR - CHAVE: (31) 98483-3242</t>
  </si>
  <si>
    <t>Serv.Prest. 17/11/2025 a 23/11/2025 - PIX: CELULAR - CHAVE: (73) 99115-9602</t>
  </si>
  <si>
    <t>Serv.Prest. 10/11/2025 a 16/11/2025 - PIX: CPF - CHAVE: 160.160.216-28</t>
  </si>
  <si>
    <t>Serv.Prest. 10/11/2025 a 16/11/2025 - PIX: CELULAR - CHAVE: (33) 98857-0494</t>
  </si>
  <si>
    <t>Serv.Prest. 10/11/2025 a 16/11/2025 - PIX: CPF - CHAVE: 386.313.426-53</t>
  </si>
  <si>
    <t>Serv.Prest. 10/11/2025 a 16/11/2025 - PIX: CELULAR - CHAVE: (33) 99706-4860</t>
  </si>
  <si>
    <t>Serv.Prest. 10/11/2025 a 16/11/2025 - PIX: CELULAR - CHAVE: (31) 99816-8965</t>
  </si>
  <si>
    <t>Serv.Prest. 10/11/2025 a 16/11/2025 - PIX: CPF - CHAVE: 113.084.266-58</t>
  </si>
  <si>
    <t>Serv.Prest. 10/11/2025 a 16/11/2025 - PIX: CPF - CHAVE: 067.393.286-92</t>
  </si>
  <si>
    <t>Serv.Prest. 10/11/2025 a 16/11/2025 - PIX: CPF - CHAVE: 121.297.376-33</t>
  </si>
  <si>
    <t>Serv.Prest. 10/11/2025 a 16/11/2025 - PIX: CELULAR - CHAVE: (31) 99812-7173</t>
  </si>
  <si>
    <t>Serv.Prest. 10/11/2025 a 16/11/2025 - PIX: CPF - CHAVE: 126.873.296-65</t>
  </si>
  <si>
    <t>Serv.Prest. 10/11/2025 a 16/11/2025 - PIX: CPF - CHAVE: 023.645.626-19</t>
  </si>
  <si>
    <t>Serv.Prest. 10/11/2025 a 16/11/2025 - PIX: CELULAR - CHAVE: (33) 98836-6015</t>
  </si>
  <si>
    <t>Serv.Prest. 10/11/2025 a 16/11/2025 - PIX: E-MAIL - CHAVE: jhonantanlacerda@gmail.com</t>
  </si>
  <si>
    <t>Serv.Prest. 10/11/2025 a 16/11/2025 - PIX: CELULAR - CHAVE: (33) 99983-2339</t>
  </si>
  <si>
    <t>Serv.Prest. 10/11/2025 a 16/11/2025 - PIX: CPF - CHAVE: 602.838.315-53</t>
  </si>
  <si>
    <t>Serv.Prest. 10/11/2025 a 16/11/2025 - PIX: CPF - CHAVE: 043.301.196-33</t>
  </si>
  <si>
    <t>Serv.Prest. 10/11/2025 a 16/11/2025 - PIX: CPF - CHAVE: 012.459.366-62</t>
  </si>
  <si>
    <t>Serv.Prest. 10/11/2025 a 16/11/2025 - PIX: CPF - CHAVE: 077.488.126-75</t>
  </si>
  <si>
    <t>Serv.Prest. 10/11/2025 a 16/11/2025 - PIX: CELULAR - CHAVE: (33) 99106-9330</t>
  </si>
  <si>
    <t>Serv.Prest. 10/11/2025 a 16/11/2025 - PIX: CELULAR - CHAVE: (31) 99850-4727</t>
  </si>
  <si>
    <t>Serv.Prest. 10/11/2025 a 16/11/2025 - PIX: CELULAR - CHAVE: (33) 98749-4693</t>
  </si>
  <si>
    <t>Serv.Prest. 10/11/2025 a 16/11/2025 - PIX: CPF - CHAVE: 161.508.516-56</t>
  </si>
  <si>
    <t>Serv.Prest. 10/11/2025 a 16/11/2025 - PIX: CELULAR - CHAVE: (33) 99172-0627</t>
  </si>
  <si>
    <t>Serv.Prest. 10/11/2025 a 16/11/2025 - PIX: CELULAR - CHAVE: (33) 99981-6650</t>
  </si>
  <si>
    <t>Serv.Prest. 10/11/2025 a 16/11/2025 - PIX: CPF - CHAVE: 101.220.976-88</t>
  </si>
  <si>
    <t>Serv.Prest. 10/11/2025 a 16/11/2025 - PIX: CPF - CHAVE: 129.269.326-69</t>
  </si>
  <si>
    <t>Serv.Prest. 10/11/2025 a 16/11/2025 - PIX: CPF - CHAVE: 705.097.186-39</t>
  </si>
  <si>
    <t>Serv.Prest. 10/11/2025 a 16/11/2025 - PIX: CPF - CHAVE: 159.443.306-27</t>
  </si>
  <si>
    <t>Serv.Prest. 10/11/2025 a 16/11/2025 - PIX: CELULAR - CHAVE: (33) 98427-3872</t>
  </si>
  <si>
    <t>Serv.Prest. 10/11/2025 a 16/11/2025 - PIX: CELULAR - CHAVE: (33) 99815-2379</t>
  </si>
  <si>
    <t>Serv.Prest. 10/11/2025 a 16/11/2025 - PIX: CELULAR - CHAVE: (33) 99194-2339</t>
  </si>
  <si>
    <t>Serv.Prest. 10/11/2025 a 16/11/2025 - PIX: CPF - CHAVE: 142.716.106-23</t>
  </si>
  <si>
    <t>Serv.Prest. 10/11/2025 a 16/11/2025 - PIX: CPF - CHAVE: 163.330.766-27</t>
  </si>
  <si>
    <t>Serv.Prest. 10/11/2025 a 16/11/2025 - PIX: CELULAR - CHAVE: (31) 99076-6539</t>
  </si>
  <si>
    <t>Serv.Prest. 10/11/2025 a 16/11/2025 - PIX: CELULAR - CHAVE: (33) 99845-0493</t>
  </si>
  <si>
    <t>Serv.Prest. 10/11/2025 a 16/11/2025 - PIX: CPF - CHAVE: 123.020.026-60</t>
  </si>
  <si>
    <t>ENTREGAS TEOFIO OTONI  PIX: CELULAR - CHAVE: (33) 98408-4618</t>
  </si>
  <si>
    <t>Serv.Prest. 10/11/2025 a 16/11/2025 - PIX: CPF - CHAVE: 108.680.396-59</t>
  </si>
  <si>
    <t>Serv.Prest. 10/11/2025 a 16/11/2025 - PIX: CPF - CHAVE: 037.974.316-78</t>
  </si>
  <si>
    <t>Serv.Prest. 10/11/2025 a 16/11/2025 - PIX: CELULAR - CHAVE: (31) 99216-8711</t>
  </si>
  <si>
    <t>Serv.Prest. 10/11/2025 a 16/11/2025 - PIX: CELULAR - CHAVE: (31) 97339-3761</t>
  </si>
  <si>
    <t>Serv.Prest. 10/11/2025 a 16/11/2025 - PIX: CELULAR - CHAVE: (35) 99264-4504</t>
  </si>
  <si>
    <t>Serv.Prest. 10/11/2025 a 16/11/2025 - PIX: E-MAIL - CHAVE: sypedrinho@gmail.com</t>
  </si>
  <si>
    <t>Serv.Prest. 10/11/2025 a 16/11/2025 - PIX: CPF - CHAVE: 135.640.066-30</t>
  </si>
  <si>
    <t>Serv.Prest. 10/11/2025 a 16/11/2025 - PIX: CELULAR - CHAVE: (24) 99846-2202</t>
  </si>
  <si>
    <t>Serv.Prest. 10/11/2025 a 16/11/2025 - PIX: CELULAR - CHAVE: (31) 99959-5414</t>
  </si>
  <si>
    <t>Serv.Prest. 10/11/2025 a 16/11/2025 - PIX: CPF - CHAVE: 072.968.086-08</t>
  </si>
  <si>
    <t>Serv.Prest. 10/11/2025 a 16/11/2025 - PIX: CPF - CHAVE: 012.783.036-77</t>
  </si>
  <si>
    <t>Serv.Prest. 10/11/2025 a 16/11/2025 - PIX: E-MAIL - CHAVE: roger.l.borges04@gmail.com</t>
  </si>
  <si>
    <t>Serv.Prest. 10/11/2025 a 16/11/2025 - PIX: CPF - CHAVE: 701.955.866-62</t>
  </si>
  <si>
    <t>Serv.Prest. 10/11/2025 a 16/11/2025 - PIX: CPF - CHAVE: 048.151.276-46</t>
  </si>
  <si>
    <t>Serv.Prest. 10/11/2025 a 16/11/2025 - PIX: CPF - CHAVE: 097.855.786-74</t>
  </si>
  <si>
    <t>Serv.Prest. 10/11/2025 a 16/11/2025 - PIX: CHAVE CPF - CHAVE: 016.516.596-05</t>
  </si>
  <si>
    <t>Serv.Prest. 10/11/2025 a 16/11/2025 - PIX: CELULAR - CHAVE: (33) 99880-7941</t>
  </si>
  <si>
    <t>Serv.Prest. 10/11/2025 a 16/11/2025 - PIX: CELULAR - CHAVE: (33) 99973-4407</t>
  </si>
  <si>
    <t>Serv.Prest. 10/11/2025 a 16/11/2025 - PIX: CPF - CHAVE: 092.566.416-23</t>
  </si>
  <si>
    <t>Serv.Prest. 10/11/2025 a 16/11/2025 - PIX: CPF - CHAVE: 157.874.046-02</t>
  </si>
  <si>
    <t>Serv.Prest. 10/11/2025 a 16/11/2025 - PIX: CPF - CHAVE: 130.194.566-81</t>
  </si>
  <si>
    <t>Serv.Prest. 10/11/2025 a 16/11/2025 - PIX: CELULAR - CHAVE: (33) 99118-9032</t>
  </si>
  <si>
    <t>Serv.Prest. 10/11/2025 a 16/11/2025 - PIX: CELULAR - CHAVE: (31) 97251-6838</t>
  </si>
  <si>
    <t>Serv.Prest. 10/11/2025 a 16/11/2025 - PIX: CELULAR - CHAVE: (32) 99800-1691</t>
  </si>
  <si>
    <t>Serv.Prest. 10/11/2025 a 16/11/2025 - PIX: CPF - CHAVE: 700.454.836-80</t>
  </si>
  <si>
    <t>Serv.Prest. 10/11/2025 a 16/11/2025 - PIX: CELULAR - CHAVE: (33) 98806-5772</t>
  </si>
  <si>
    <t>Serv.Prest. 10/11/2025 a 16/11/2025 - PIX: CELULAR - CHAVE: (33) 99996-3668</t>
  </si>
  <si>
    <t>Serv.Prest. 10/11/2025 a 16/11/2025 - PIX: CPF - CHAVE: 012.906.122-00</t>
  </si>
  <si>
    <t>Serv.Prest. 10/11/2025 a 16/11/2025 - PIX: E-MAIL - CHAVE: wilianvieirawrv3578@gmail.com</t>
  </si>
  <si>
    <t>Serv.Prest. 10/11/2025 a 16/11/2025 - PIX: CELULAR - CHAVE: (33) 99859-8751</t>
  </si>
  <si>
    <t>Serv.Prest. 10/11/2025 a 16/11/2025 - PIX: CPF - CHAVE: 036.875.515-04</t>
  </si>
  <si>
    <t>Serv.Prest. 10/11/2025 a 16/11/2025 - PIX: CELULAR - CHAVE: (73) 99966-7211</t>
  </si>
  <si>
    <t>Serv.Prest. 10/11/2025 a 16/11/2025 - PIX: CPF - CHAVE: 094.947.395-23</t>
  </si>
  <si>
    <t>Serv.Prest. 10/11/2025 a 16/11/2025 - PIX: E-MAIL - CHAVE: ericgomes508@gmail.com</t>
  </si>
  <si>
    <t>Serv.Prest. 10/11/2025 a 16/11/2025 - PIX: CPF - CHAVE: 087.398.185-51</t>
  </si>
  <si>
    <t>Serv.Prest. 10/11/2025 a 16/11/2025 - PIX: CELULAR - CHAVE: (73) 99941-8352</t>
  </si>
  <si>
    <t>Serv.Prest. 10/11/2025 a 16/11/2025 - PIX: CELULAR - CHAVE: (73) 98888-3793</t>
  </si>
  <si>
    <t>Serv.Prest. 10/11/2025 a 16/11/2025 - PIX: CPF - CHAVE: 768.859.176-72</t>
  </si>
  <si>
    <t>Serv.Prest. 10/11/2025 a 16/11/2025 - PIX: CPF - CHAVE: 439.169.103-53</t>
  </si>
  <si>
    <t>Serv.Prest. 10/11/2025 a 16/11/2025 - PIX: CELULAR - CHAVE: (73) 99115-9602</t>
  </si>
  <si>
    <t>Serv.Prest. 10/11/2025 a 16/11/2025 - PIX: CPF - CHAVE: 035.018.455-02</t>
  </si>
  <si>
    <t>Serv.Prest. 10/11/2025 a 16/11/2025 - PIX: CPF - CHAVE: 860.305.455-07</t>
  </si>
  <si>
    <t>Serv.Prest. 10/11/2025 a 16/11/2025 - PIX: CPF - CHAVE: 009.476.175-23</t>
  </si>
  <si>
    <t>Serv.Prest. 10/11/2025 a 16/11/2025 - PIX: CELULAR - CHAVE: (73) 98105-2187</t>
  </si>
  <si>
    <t>Serv.Prest. 10/11/2025 a 16/11/2025 - PIX: CPF - CHAVE: 094.700.685-05</t>
  </si>
  <si>
    <t>Serv.Prest. 10/11/2025 a 16/11/2025 - PIX: CELULAR - CHAVE: (73) 99803-0715</t>
  </si>
  <si>
    <t>Serv.Prest. 10/11/2025 a 16/11/2025 - PIX: CELULAR - CHAVE: (73) 99967-3239</t>
  </si>
  <si>
    <t>Serv.Prest. 10/11/2025 a 16/11/2025 - PIX: CPF - CHAVE: 003.157.195-67</t>
  </si>
  <si>
    <t>Serv.Prest. 10/11/2025 a 16/11/2025 - PIX: CNPJ - CHAVE: 33.412.676/0001-41</t>
  </si>
  <si>
    <t>Serv.Prest. 10/11/2025 a 16/11/2025 - PIX: CPF - CHAVE: 007.842.745-25</t>
  </si>
  <si>
    <t>Serv.Prest. 10/11/2025 a 16/11/2025 - PIX: CELULAR - CHAVE: (73) 99977-2721</t>
  </si>
  <si>
    <t>Serv.Prest. 10/11/2025 a 16/11/2025 - PIX: CELULAR - CHAVE: (73) 99818-9718</t>
  </si>
  <si>
    <t>Serv.Prest. 10/11/2025 a 16/11/2025 - PIX: CPF - CHAVE: 079.068.045-97</t>
  </si>
  <si>
    <t>Serv.Prest. 10/11/2025 a 16/11/2025 - PIX: CPF - CHAVE: 079.930.865-07</t>
  </si>
  <si>
    <t>Serv.Prest. 10/11/2025 a 16/11/2025 - PIX: CPF - CHAVE: 077.317.327-70</t>
  </si>
  <si>
    <t>Serv.Prest. 10/11/2025 a 16/11/2025 - PIX: CELULAR - CHAVE: (27) 99811-6850</t>
  </si>
  <si>
    <t>Serv.Prest. 10/11/2025 a 16/11/2025 - PIX: CELULAR - CHAVE: (27) 99869-8144</t>
  </si>
  <si>
    <t>Serv.Prest. 10/11/2025 a 16/11/2025 - PIX: CELULAR - CHAVE: (73) 99167-5954</t>
  </si>
  <si>
    <t>Serv.Prest. 10/11/2025 a 16/11/2025 - PIX: CPF - CHAVE: 121.963.507-37</t>
  </si>
  <si>
    <t>Serv.Prest. 10/11/2025 a 16/11/2025 - PIX: E-MAIL - CHAVE: alanacosta1999@gmail.com</t>
  </si>
  <si>
    <t>Serv.Prest. 10/11/2025 a 16/11/2025 - PIX: CPF - CHAVE: 975.425.989-53</t>
  </si>
  <si>
    <t>Serv.Prest. 10/11/2025 a 16/11/2025 - PIX: CELULAR - CHAVE: (43) 99630-7532</t>
  </si>
  <si>
    <t>Serv.Prest. 10/11/2025 a 16/11/2025 - PIX: CPF - CHAVE: 004.682.359-06</t>
  </si>
  <si>
    <t>Serv.Prest. 10/11/2025 a 16/11/2025 - PIX: CELULAR - CHAVE: (43) 99934-1696</t>
  </si>
  <si>
    <t>Serv.Prest. 10/11/2025 a 16/11/2025 - PIX: CPF - CHAVE: 074.604.219-10</t>
  </si>
  <si>
    <t>Serv.Prest. 10/11/2025 a 16/11/2025 - PIX: CPF - CHAVE: 878.196.869-87</t>
  </si>
  <si>
    <t>Serv.Prest. 17/11/2025 a 23/11/2025 - PIX: CPF - CHAVE: 100.826.516-04</t>
  </si>
  <si>
    <t>Serv.Prest. 17/11/2025 a 23/11/2025 - PIX: CPF - CHAVE: 126.686.406-79</t>
  </si>
  <si>
    <t>Serv.Prest. 17/11/2025 a 23/11/2025 - PIX: CPF - CHAVE: 016.203.336-27</t>
  </si>
  <si>
    <t>Serv.Prest. 17/11/2025 a 23/11/2025 - PIX: CELULAR - CHAVE: (34) 99694-0926</t>
  </si>
  <si>
    <t>Serv.Prest. 17/11/2025 a 23/11/2025 - PIX: CPF - CHAVE: 162.570.846-79</t>
  </si>
  <si>
    <t>Serv.Prest. 17/11/2025 a 23/11/2025 - PIX: E-MAIL - CHAVE: odair.araujo@onmail.com</t>
  </si>
  <si>
    <t>Serv.Prest. 17/11/2025 a 23/11/2025 - PIX: CELULAR - CHAVE: (34) 99688-5705</t>
  </si>
  <si>
    <t>Serv.Prest. 17/11/2025 a 23/11/2025 - PIX: CELULAR - CHAVE: (34) 99991-3450</t>
  </si>
  <si>
    <t>Serv.Prest. 17/11/2025 a 23/11/2025 - PIX: CELULAR - CHAVE: (62) 99550-3226</t>
  </si>
  <si>
    <t>Serv.Prest. 17/11/2025 a 23/11/2025 - PIX: CELULAR - CHAVE: (11) 95552-9905</t>
  </si>
  <si>
    <t>Serv.Prest. 17/11/2025 a 23/11/2025 - PIX: CPF - CHAVE: 505.341.528-56</t>
  </si>
  <si>
    <t>Serv.Prest. 17/11/2025 a 23/11/2025 - PIX: CELULAR - CHAVE: (11) 91214-6176</t>
  </si>
  <si>
    <t>Serv.Prest. 17/11/2025 a 23/11/2025 - PIX: CPF - CHAVE: 157.591.436-03</t>
  </si>
  <si>
    <t>Serv.Prest. 17/11/2025 a 23/11/2025 - PIX: CELULAR - CHAVE: (32) 99920-0416</t>
  </si>
  <si>
    <t>Serv.Prest. 17/11/2025 a 23/11/2025 - PIX: CNPJ - CHAVE: 51.676.704/0001-10</t>
  </si>
  <si>
    <t>Serv.Prest. 17/11/2025 a 23/11/2025 - PIX: CPF - CHAVE: 140.108.466-40</t>
  </si>
  <si>
    <t>Serv.Prest. 17/11/2025 a 23/11/2025 - PIX: CPF - CHAVE: 100.710.806-19</t>
  </si>
  <si>
    <t>Serv.Prest. 17/11/2025 a 23/11/2025 - PIX: CELULAR - CHAVE: (31) 99376-7989</t>
  </si>
  <si>
    <t>Serv.Prest. 17/11/2025 a 23/11/2025 - PIX: CELULAR - CHAVE: (33) 99924-7557</t>
  </si>
  <si>
    <t>Serv.Prest. 17/11/2025 a 23/11/2025 - PIX: CPF - CHAVE: 103.983.366-79</t>
  </si>
  <si>
    <t>Serv.Prest. 17/11/2025 a 23/11/2025 - PIX: CPF - CHAVE: 138.263.636-98</t>
  </si>
  <si>
    <t>Serv.Prest. 17/11/2025 a 23/11/2025 - PIX: CPF - CHAVE: 128.367.756-37</t>
  </si>
  <si>
    <t>Serv.Prest. 17/11/2025 a 23/11/2025 - PIX: CPF - CHAVE: 147.592.156-03</t>
  </si>
  <si>
    <t>Serv.Prest. 17/11/2025 a 23/11/2025 - PIX: CPF - CHAVE: 138.798.486-10</t>
  </si>
  <si>
    <t>Serv.Prest. 17/11/2025 a 23/11/2025 - PIX: CPF - CHAVE: 469.543.578-04</t>
  </si>
  <si>
    <t>Serv.Prest. 17/11/2025 a 23/11/2025 - PIX: CELULAR - CHAVE: (11) 98144-5840</t>
  </si>
  <si>
    <t>Serv.Prest. 17/11/2025 a 23/11/2025 - PIX: CELULAR - CHAVE: (11) 98281-4526</t>
  </si>
  <si>
    <t>Serv.Prest. 17/11/2025 a 23/11/2025 - PIX: CPF - CHAVE: 361.750.258-06</t>
  </si>
  <si>
    <t>Serv.Prest. 17/11/2025 a 23/11/2025 - PIX: CNPJ - CHAVE: 52.606.983/0001-08</t>
  </si>
  <si>
    <t>Serv.Prest. 17/11/2025 a 23/11/2025 - PIX: CPF - CHAVE: 500.480.978-02</t>
  </si>
  <si>
    <t>Serv.Prest. 17/11/2025 a 23/11/2025 - PIX: CELULAR - CHAVE: (11) 98484-6837</t>
  </si>
  <si>
    <t>Serv.Prest. 17/11/2025 a 23/11/2025 - PIX: CELULAR - CHAVE: (11) 95054-2206</t>
  </si>
  <si>
    <t>Serv.Prest. 17/11/2025 a 23/11/2025 - PIX: CPF - CHAVE: 506.934.998-85</t>
  </si>
  <si>
    <t>Serv.Prest. 17/11/2025 a 23/11/2025 - PIX: CPF - CHAVE: 419.678.508-52</t>
  </si>
  <si>
    <t>Serv.Prest. 17/11/2025 a 23/11/2025 - PIX: CPF - CHAVE: 489.237.478-40</t>
  </si>
  <si>
    <t>Serv.Prest. 17/11/2025 a 23/11/2025 - PIX: CELULAR - CHAVE: (11) 98768-7863</t>
  </si>
  <si>
    <t>Serv.Prest. 17/11/2025 a 23/11/2025 - PIX: CPF - CHAVE: 370.849.948-40</t>
  </si>
  <si>
    <t>Serv.Prest. 17/11/2025 a 23/11/2025 - PIX: CPF - CHAVE: 396.877.618-65</t>
  </si>
  <si>
    <t>Serv.Prest. 17/11/2025 a 23/11/2025 - PIX: CPF - CHAVE: 351.063.158-75</t>
  </si>
  <si>
    <t>Serv.Prest. 17/11/2025 a 23/11/2025 - PIX: CPF - CHAVE: 427.090.718-51</t>
  </si>
  <si>
    <t>Serv.Prest. 17/11/2025 a 23/11/2025 - PIX: CPF - CHAVE: 471.142.438-55</t>
  </si>
  <si>
    <t>Serv.Prest. 17/11/2025 a 23/11/2025 - PIX: CELULAR - CHAVE: (11) 94195-2534</t>
  </si>
  <si>
    <t>Serv.Prest. 17/11/2025 a 23/11/2025 - PIX: CELULAR - CHAVE: (11) 99270-3082</t>
  </si>
  <si>
    <t>Serv.Prest. 17/11/2025 a 23/11/2025 - PIX: CPF - CHAVE: 026.422.254-70</t>
  </si>
  <si>
    <t>Serv.Prest. 17/11/2025 a 23/11/2025 - PIX: CPF - CHAVE: 126.720.606-30</t>
  </si>
  <si>
    <t>Serv.Prest. 17/11/2025 a 23/11/2025 - PIX: CELULAR - CHAVE: (34) 97400-1695</t>
  </si>
  <si>
    <t>Serv.Prest. 17/11/2025 a 23/11/2025 - PIX: CPF - CHAVE: 480.429.318-32</t>
  </si>
  <si>
    <t>Serv.Prest. 17/11/2025 a 23/11/2025 - PIX: CPF - CHAVE: 023.116.166-25</t>
  </si>
  <si>
    <t>Serv.Prest. 17/11/2025 a 23/11/2025 - PIX: CPF - CHAVE: 439.367.298-40</t>
  </si>
  <si>
    <t>Serv.Prest. 17/11/2025 a 23/11/2025 - PIX: CELULAR - CHAVE: (11) 98731-4534</t>
  </si>
  <si>
    <t>Serv.Prest. 17/11/2025 a 23/11/2025 - PIX: E-MAIL - CHAVE: silvaalessandro3909@gmail.com</t>
  </si>
  <si>
    <t>Serv.Prest. 17/11/2025 a 23/11/2025 - PIX: CPF - CHAVE: 383.328.968-60</t>
  </si>
  <si>
    <t>Serv.Prest. 17/11/2025 a 23/11/2025 - PIX: CELULAR - CHAVE: (11) 95335-4943</t>
  </si>
  <si>
    <t>Serv.Prest. 17/11/2025 a 23/11/2025 - PIX: CELULAR - CHAVE: (34) 99889-9792</t>
  </si>
  <si>
    <t>Serv.Prest. 17/11/2025 a 23/11/2025 - PIX: CPF - CHAVE: 384.490.518-94</t>
  </si>
  <si>
    <t>Serv.Prest. 17/11/2025 a 23/11/2025 - PIX: CELULAR - CHAVE: (34) 98830-1317</t>
  </si>
  <si>
    <t>Serv.Prest. 17/11/2025 a 23/11/2025 - PIX: CELULAR - CHAVE: (11) 94281-7123</t>
  </si>
  <si>
    <t>Serv.Prest. 17/11/2025 a 23/11/2025 - PIX: CELULAR - CHAVE: (11) 97402-1586</t>
  </si>
  <si>
    <t>Serv.Prest. 17/11/2025 a 23/11/2025 - PIX: CELULAR - CHAVE: (37) 99146-2630</t>
  </si>
  <si>
    <t>Serv.Prest. 17/11/2025 a 23/11/2025 - PIX: CPF - CHAVE: 090.332.006-19</t>
  </si>
  <si>
    <t>Serv.Prest. 17/11/2025 a 23/11/2025 - PIX: CELULAR - CHAVE: (37) 99197-6834</t>
  </si>
  <si>
    <t>Serv.Prest. 17/11/2025 a 23/11/2025 - PIX: CPF - CHAVE: 950.176.406-06</t>
  </si>
  <si>
    <t>Serv.Prest. 17/11/2025 a 23/11/2025 - PIX: CELULAR - CHAVE: (37) 99138-1777</t>
  </si>
  <si>
    <t>Serv.Prest. 17/11/2025 a 23/11/2025 - PIX: CELULAR - CHAVE: (37) 98841-8571</t>
  </si>
  <si>
    <t>Serv.Prest. 17/11/2025 a 23/11/2025 - PIX: E-MAIL - CHAVE: claudioverdinho2009@hotmail.com</t>
  </si>
  <si>
    <t>Serv.Prest. 17/11/2025 a 23/11/2025 - PIX: CELULAR - CHAVE: (41) 98421-2278</t>
  </si>
  <si>
    <t>Serv.Prest. 17/11/2025 a 23/11/2025 - PIX: CPF - CHAVE: 124.575.099-20</t>
  </si>
  <si>
    <t>Serv.Prest. 17/11/2025 a 23/11/2025 - PIX: CELULAR - CHAVE: (28) 99988-2177</t>
  </si>
  <si>
    <t>Serv.Prest. 17/11/2025 a 23/11/2025 - PIX: CELULAR - CHAVE: (28) 99908-0831</t>
  </si>
  <si>
    <t>Serv.Prest. 17/11/2025 a 23/11/2025 - PIX: CELULAR - CHAVE: (28) 98816-4170</t>
  </si>
  <si>
    <t>Serv.Prest. 17/11/2025 a 23/11/2025 - PIX: CELULAR - CHAVE: (64) 99952-0910</t>
  </si>
  <si>
    <t>Serv.Prest. 17/11/2025 a 23/11/2025 - PIX: CPF - CHAVE: 074.520.456-29</t>
  </si>
  <si>
    <t>Serv.Prest. 17/11/2025 a 23/11/2025 - PIX: CELULAR - CHAVE: (33) 99194-2339</t>
  </si>
  <si>
    <t>Serv.Prest. 17/11/2025 a 23/11/2025 - PIX: CELULAR - CHAVE: (33) 99880-7941</t>
  </si>
  <si>
    <t>Serv.Prest. 17/11/2025 a 23/11/2025 - PIX: CELULAR - CHAVE: (73) 98191-0061</t>
  </si>
  <si>
    <t>Serv.Prest. 17/11/2025 a 23/11/2025 - PIX: CELULAR - CHAVE: (73) 98166-3325</t>
  </si>
  <si>
    <t>Serv.Prest. 17/11/2025 a 23/11/2025 - PIX: CPF - CHAVE: 378.223.888-51</t>
  </si>
  <si>
    <t>Serv.Prest. 17/11/2025 a 23/11/2025 - PIX: CELULAR - CHAVE: (31) 98483-3242</t>
  </si>
  <si>
    <t>Serv.Prest. 17/11/2025 a 23/11/2025 - PIX: CELULAR - CHAVE: (71) 99696-7530</t>
  </si>
  <si>
    <t>Serv.Prest. 17/11/2025 a 23/11/2025 - PIX: CELULAR - CHAVE: (71) 99214-9256</t>
  </si>
  <si>
    <t>Serv.Prest. 17/11/2025 a 23/11/2025 - PIX: E-MAIL - CHAVE: edvam18.alves@gmail.com</t>
  </si>
  <si>
    <t>Serv.Prest. 17/11/2025 a 23/11/2025 - PIX: CPF - CHAVE: 048.672.645-20</t>
  </si>
  <si>
    <t>Serv.Prest. 17/11/2025 a 23/11/2025 - PIX: CELULAR - CHAVE: (71) 98124-7946</t>
  </si>
  <si>
    <t>Serv.Prest. 17/11/2025 a 23/11/2025 - PIX: CELULAR - CHAVE: (34) 99772-2954</t>
  </si>
  <si>
    <t>Serv.Prest. 17/11/2025 a 23/11/2025 - PIX: CPF - CHAVE: 568.250.486-00</t>
  </si>
  <si>
    <t>DEVOLUCAO 25 COTAS COOPERATIVA - PIX: CPF - CHAVE: 147.664.706-21</t>
  </si>
  <si>
    <t>Serv.Prest. 17/11/2025 a 23/11/2025 - PIX: CPF - CHAVE: 072.209.985-11</t>
  </si>
  <si>
    <t>Serv.Prest. 17/11/2025 a 23/11/2025 - PIX: CELULAR - CHAVE: (27) 99950-3450</t>
  </si>
  <si>
    <t>Serv.Prest. 17/11/2025 a 23/11/2025 - PIX: CPF - CHAVE: 057.893.536-81</t>
  </si>
  <si>
    <t>Serv.Prest. 10/11/2025 a 16/11/2025 - PIX: CPF - CHAVE: 108.723.916-80</t>
  </si>
  <si>
    <t>Serv.Prest. 10/11/2025 a 16/11/2025 - RPS: 1626 - NFSe: 3750</t>
  </si>
  <si>
    <t>Serv.Prest. 10/11/2025 a 16/11/2025 - RPS: 1627 - NFSe: 3751</t>
  </si>
  <si>
    <t>Serv.Prest. 10/11/2025 a 16/11/2025 - RPS: 1628 - NFSe: 3752</t>
  </si>
  <si>
    <t>Serv.Prest. 17/11/2025 a 23/11/2025 - RPS: 1637 - NFSe: 3761</t>
  </si>
  <si>
    <t>Serv.Prest. 17/11/2025 a 23/11/2025 - RPS: 1639 - NFSe: 3763</t>
  </si>
  <si>
    <t>Serv.Prest. 17/11/2025 a 23/11/2025 - RPS: 1646 - NFSe: 3770</t>
  </si>
  <si>
    <t>Serv.Prest. 17/11/2025 a 23/11/2025 - RPS: 1647 - NFSe: 3771</t>
  </si>
  <si>
    <t>Serv.Prest. 17/11/2025 a 23/11/2025 - RPS: 1648 - NFSe: 3772</t>
  </si>
  <si>
    <t>Serv.Prest. 17/11/2025 a 23/11/2025 - RPS: 1649 - NFSe: 3773</t>
  </si>
  <si>
    <t>Serv.Prest. 17/11/2025 a 23/11/2025 - RPS: 1650 - NFSe: 3774</t>
  </si>
  <si>
    <t>Serv.Prest. 17/11/2025 a 23/11/2025 - RPS: 1651 - NFSe: 3775</t>
  </si>
  <si>
    <t>Serv.Prest. 17/11/2025 a 23/11/2025 - RPS: 1652 - NFSe: 3776</t>
  </si>
  <si>
    <t>Serv.Prest. 17/11/2025 a 23/11/2025 - RPS: 1653 - NFSe: 3777</t>
  </si>
  <si>
    <t>Serv.Prest. 17/11/2025 a 23/11/2025 - RPS: 1654 - NFSe: 3778</t>
  </si>
  <si>
    <t>Serv.Prest. 17/11/2025 a 23/11/2025 - RPS: 1655 - NFSe: 3779</t>
  </si>
  <si>
    <t>Serv.Prest. 17/11/2025 a 23/11/2025 - RPS: 1656 - NFSe: 3780</t>
  </si>
  <si>
    <t>Serv.Prest. 17/11/2025 a 23/11/2025 - RPS: 1657 - NFSe: 3781</t>
  </si>
  <si>
    <t>Serv.Prest. 17/11/2025 a 23/11/2025 - RPS: 1658 - NFSe: 3782</t>
  </si>
  <si>
    <t>Serv.Prest. 17/11/2025 a 23/11/2025 - RPS: 1660 - NFSe: 3784</t>
  </si>
  <si>
    <t>Serv.Prest. 17/11/2025 a 23/11/2025 - RPS: 1661 - NFSe: 3785</t>
  </si>
  <si>
    <t>Serv.Prest. 17/11/2025 a 23/11/2025 - RPS: 1662 - NFSe: 3786</t>
  </si>
  <si>
    <t>Serv.Prest. 17/11/2025 a 23/11/2025 - RPS: 1664 - NFSe: 3788</t>
  </si>
  <si>
    <t>Serv.Prest. 17/11/2025 a 23/11/2025 - RPS: 1665 - NFSe: 3789</t>
  </si>
  <si>
    <t>Serv.Prest. 17/11/2025 a 23/11/2025 - RPS: 1668 - NFSe: 3792</t>
  </si>
  <si>
    <t>Serv.Prest. 17/11/2025 a 23/11/2025 - RPS: 1670 - NFSe: 3794</t>
  </si>
  <si>
    <t>Serv.Prest. 17/11/2025 a 23/11/2025 - RPS: 1671 - NFSe: 3795</t>
  </si>
  <si>
    <t>Serv.Prest. 17/11/2025 a 23/11/2025 - RPS: 1672 - NFSe: 3796</t>
  </si>
  <si>
    <t>Serv.Prest. 24/11/2025 a 30/11/2025 - PIX: CELULAR - CHAVE: (11) 94281-7123</t>
  </si>
  <si>
    <t>Serv.Prest. 24/11/2025 a 30/11/2025 - PIX: CPF - CHAVE: 281.600.398-16</t>
  </si>
  <si>
    <t>Serv.Prest. 17/11/2025 a 23/11/2025 - RPS: 1678 - NFSe: 3802</t>
  </si>
  <si>
    <t>Serv.Prest. 24/11/2025 a 30/11/2025 - PIX: CELULAR - CHAVE: (73) 988381077</t>
  </si>
  <si>
    <t>DIARIA MOTOBOY PIX: CPF - CHAVE: 162.570.846-79</t>
  </si>
  <si>
    <t>DIARIA MOTOBOY PIX: E-MAIL - CHAVE: odair.araujo@onmail.com</t>
  </si>
  <si>
    <t>Complemento Serv.Prest. 17/11/2025 a 23/11/2025 - PIX: CELULAR - CHAVE: (11) 94281-7123</t>
  </si>
  <si>
    <t>REEMBOLSO VALOR NAO COBRADO DIA 10/10/2025 - PIX CNPJ 37.579.920/0009-73</t>
  </si>
  <si>
    <t>REEMBOLSO VALOR NAO COBRADO DIA 02/10/2025 - PIX CNPJ 37.579.920/0009-73</t>
  </si>
  <si>
    <t>REEMBOLSO VALOR PAGO A UBER DIA 04/10/2025 - PIX CNPJ 37.579.920/0009-73</t>
  </si>
  <si>
    <t>REEMBOLSO VALOR NAO COBRADO DIA 16/10/2025 - PIX CNPJ 37.579.920/0009-73</t>
  </si>
  <si>
    <t>REEMBOLSO VALOR NAO COBRADO DIA 17/10/2025 - PIX CNPJ 37.579.920/0009-73</t>
  </si>
  <si>
    <t>REEMBOLSO VALOR NAO COBRADO DIA 22/10/2025 - PIX CNPJ 37.579.920/0009-73</t>
  </si>
  <si>
    <t>REEMBOLSO VALOR NAO COBRADO DIA 19/11/2025 - PIX CNPJ 37.579.920/0009-73</t>
  </si>
  <si>
    <t>Serv.Prest. 17/11/2025 a 23/11/2025 - RPS: 1642 - NFSe: 3766</t>
  </si>
  <si>
    <t>Serv.Prest. 17/11/2025 a 23/11/2025 - RPS: 1667 - NFSe: 3791</t>
  </si>
  <si>
    <t>Serv.Prest. 24/11/2025 a 30/11/2025 - PIX: CELULAR - CHAVE: (11) 99293-5521</t>
  </si>
  <si>
    <t>Serv.Prest. 24/11/2025 a 30/11/2025 - PIX: CELULAR - CHAVE: (64) 99926-4484</t>
  </si>
  <si>
    <t>Serv.Prest. 24/11/2025 a 30/11/2025 - PIX: CELULAR - CHAVE: (11) 91767-9056</t>
  </si>
  <si>
    <t>Serv.Prest. 24/11/2025 a 30/11/2025 - PIX: CELULAR - CHAVE: (11) 95460-2535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</si>
</sst>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630"/>
  <sheetViews>
    <sheetView tabSelected="1" topLeftCell="A13281" workbookViewId="0">
      <pane activePane="bottomRight" state="frozen"/>
      <selection activeCell="H13392" sqref="H13392"/>
    </sheetView>
  </sheetViews>
  <sheetFormatPr defaultColWidth="8.88671875" defaultRowHeight="13.8"/>
  <cols>
    <col min="7" max="7" width="27.7773437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tr">
        <f t="shared" ref="A2:A36" si="0">("01/09/2025")</f>
        <v>01/09/2025</v>
      </c>
      <c r="B2" t="str">
        <f t="shared" ref="B2:B33" si="1">"SAÍDA"</f>
        <v>SAÍDA</v>
      </c>
      <c r="C2" t="str">
        <f t="shared" ref="C2:C26" si="2">"PIX"</f>
        <v>PIX</v>
      </c>
      <c r="D2" t="str">
        <f>"21046"</f>
        <v>21046</v>
      </c>
      <c r="E2" t="str">
        <f t="shared" ref="E2:E26" si="3">"1"</f>
        <v>1</v>
      </c>
      <c r="F2" t="str">
        <f t="shared" ref="F2:F65" si="4">"COM"</f>
        <v>COM</v>
      </c>
      <c r="G2" t="str">
        <f t="shared" ref="G2:G8" si="5">"ALAN ACOSTA (897)"</f>
        <v>ALAN ACOSTA (897)</v>
      </c>
      <c r="H2" t="str">
        <f>"Serv.Prest. 18/08/2025 a 24/08/2025 - PIX: E-MAIL - CHAVE: alanacosta1999@gmail.com"</f>
        <v>Serv.Prest. 18/08/2025 a 24/08/2025 - PIX: E-MAIL - CHAVE: alanacosta1999@gmail.com</v>
      </c>
      <c r="I2" t="str">
        <f t="shared" ref="I2:I10" si="6">("04/09/2025")</f>
        <v>04/09/2025</v>
      </c>
      <c r="J2" t="str">
        <f t="shared" ref="J2:J8" si="7">("27/08/2025")</f>
        <v>27/08/2025</v>
      </c>
      <c r="K2" t="str">
        <f>("01/09/2025")</f>
        <v>01/09/2025</v>
      </c>
      <c r="L2">
        <v>60.6</v>
      </c>
      <c r="M2">
        <v>60.6</v>
      </c>
      <c r="N2">
        <v>109</v>
      </c>
      <c r="O2" t="str">
        <f>"PAGAMENTO DE ENTREGADORES"</f>
        <v>PAGAMENTO DE ENTREGADORES</v>
      </c>
      <c r="P2">
        <v>60.6</v>
      </c>
      <c r="S2" t="str">
        <f>"BANCO CORA (102)"</f>
        <v>BANCO CORA (102)</v>
      </c>
      <c r="T2">
        <v>17365</v>
      </c>
      <c r="U2">
        <v>21046</v>
      </c>
      <c r="V2" t="s">
        <v>22</v>
      </c>
    </row>
    <row r="3" spans="1:22">
      <c r="A3" t="str">
        <f t="shared" si="0"/>
        <v>01/09/2025</v>
      </c>
      <c r="B3" t="str">
        <f t="shared" si="1"/>
        <v>SAÍDA</v>
      </c>
      <c r="C3" t="str">
        <f t="shared" si="2"/>
        <v>PIX</v>
      </c>
      <c r="D3" t="str">
        <f>"21046"</f>
        <v>21046</v>
      </c>
      <c r="E3" t="str">
        <f t="shared" si="3"/>
        <v>1</v>
      </c>
      <c r="F3" t="str">
        <f t="shared" si="4"/>
        <v>COM</v>
      </c>
      <c r="G3" t="str">
        <f t="shared" si="5"/>
        <v>ALAN ACOSTA (897)</v>
      </c>
      <c r="H3" t="s">
        <v>23</v>
      </c>
      <c r="I3" t="str">
        <f t="shared" si="6"/>
        <v>04/09/2025</v>
      </c>
      <c r="J3" t="str">
        <f t="shared" si="7"/>
        <v>27/08/2025</v>
      </c>
      <c r="K3">
        <v>45901</v>
      </c>
      <c r="N3">
        <v>109</v>
      </c>
      <c r="O3" t="s">
        <v>24</v>
      </c>
      <c r="Q3">
        <v>60.6</v>
      </c>
      <c r="R3" t="str">
        <f>"AC FARMA - CID.ALTA (10166)"</f>
        <v>AC FARMA - CID.ALTA (10166)</v>
      </c>
      <c r="S3" t="s">
        <v>22</v>
      </c>
      <c r="T3">
        <v>17365</v>
      </c>
      <c r="U3">
        <v>21046</v>
      </c>
      <c r="V3" t="s">
        <v>22</v>
      </c>
    </row>
    <row r="4" spans="1:22">
      <c r="A4" t="str">
        <f t="shared" si="0"/>
        <v>01/09/2025</v>
      </c>
      <c r="B4" t="str">
        <f t="shared" si="1"/>
        <v>SAÍDA</v>
      </c>
      <c r="C4" t="str">
        <f t="shared" si="2"/>
        <v>PIX</v>
      </c>
      <c r="D4" t="str">
        <f>"21054"</f>
        <v>21054</v>
      </c>
      <c r="E4" t="str">
        <f t="shared" si="3"/>
        <v>1</v>
      </c>
      <c r="F4" t="str">
        <f t="shared" si="4"/>
        <v>COM</v>
      </c>
      <c r="G4" t="str">
        <f t="shared" si="5"/>
        <v>ALAN ACOSTA (897)</v>
      </c>
      <c r="H4" t="str">
        <f>"Serv.Prest. 18/08/2025 a 24/08/2025 - PIX: E-MAIL - CHAVE: alanacosta1999@gmail.com"</f>
        <v>Serv.Prest. 18/08/2025 a 24/08/2025 - PIX: E-MAIL - CHAVE: alanacosta1999@gmail.com</v>
      </c>
      <c r="I4" t="str">
        <f t="shared" si="6"/>
        <v>04/09/2025</v>
      </c>
      <c r="J4" t="str">
        <f t="shared" si="7"/>
        <v>27/08/2025</v>
      </c>
      <c r="K4" t="str">
        <f>("01/09/2025")</f>
        <v>01/09/2025</v>
      </c>
      <c r="L4">
        <v>157.5</v>
      </c>
      <c r="M4">
        <v>157.5</v>
      </c>
      <c r="N4">
        <v>109</v>
      </c>
      <c r="O4" t="str">
        <f>"PAGAMENTO DE ENTREGADORES"</f>
        <v>PAGAMENTO DE ENTREGADORES</v>
      </c>
      <c r="S4" t="str">
        <f>"BANCO CORA (102)"</f>
        <v>BANCO CORA (102)</v>
      </c>
      <c r="T4">
        <v>17365</v>
      </c>
      <c r="U4">
        <v>21054</v>
      </c>
      <c r="V4" t="s">
        <v>22</v>
      </c>
    </row>
    <row r="5" spans="1:22">
      <c r="A5" t="str">
        <f t="shared" si="0"/>
        <v>01/09/2025</v>
      </c>
      <c r="B5" t="str">
        <f t="shared" si="1"/>
        <v>SAÍDA</v>
      </c>
      <c r="C5" t="str">
        <f t="shared" si="2"/>
        <v>PIX</v>
      </c>
      <c r="D5" t="str">
        <f>"21054"</f>
        <v>21054</v>
      </c>
      <c r="E5" t="str">
        <f t="shared" si="3"/>
        <v>1</v>
      </c>
      <c r="F5" t="str">
        <f t="shared" si="4"/>
        <v>COM</v>
      </c>
      <c r="G5" t="str">
        <f t="shared" si="5"/>
        <v>ALAN ACOSTA (897)</v>
      </c>
      <c r="H5" t="s">
        <v>23</v>
      </c>
      <c r="I5" t="str">
        <f t="shared" si="6"/>
        <v>04/09/2025</v>
      </c>
      <c r="J5" t="str">
        <f t="shared" si="7"/>
        <v>27/08/2025</v>
      </c>
      <c r="K5">
        <v>45901</v>
      </c>
      <c r="N5">
        <v>109</v>
      </c>
      <c r="O5" t="s">
        <v>24</v>
      </c>
      <c r="Q5">
        <v>144.9</v>
      </c>
      <c r="R5" t="str">
        <f>"AC FARMA -  FLEMINFARMA (10159)"</f>
        <v>AC FARMA -  FLEMINFARMA (10159)</v>
      </c>
      <c r="S5" t="s">
        <v>22</v>
      </c>
      <c r="T5">
        <v>17365</v>
      </c>
      <c r="U5">
        <v>21054</v>
      </c>
      <c r="V5" t="s">
        <v>22</v>
      </c>
    </row>
    <row r="6" spans="1:22">
      <c r="A6" t="str">
        <f t="shared" si="0"/>
        <v>01/09/2025</v>
      </c>
      <c r="B6" t="str">
        <f t="shared" si="1"/>
        <v>SAÍDA</v>
      </c>
      <c r="C6" t="str">
        <f t="shared" si="2"/>
        <v>PIX</v>
      </c>
      <c r="D6" t="str">
        <f>"21054"</f>
        <v>21054</v>
      </c>
      <c r="E6" t="str">
        <f t="shared" si="3"/>
        <v>1</v>
      </c>
      <c r="F6" t="str">
        <f t="shared" si="4"/>
        <v>COM</v>
      </c>
      <c r="G6" t="str">
        <f t="shared" si="5"/>
        <v>ALAN ACOSTA (897)</v>
      </c>
      <c r="H6" t="s">
        <v>23</v>
      </c>
      <c r="I6" t="str">
        <f t="shared" si="6"/>
        <v>04/09/2025</v>
      </c>
      <c r="J6" t="str">
        <f t="shared" si="7"/>
        <v>27/08/2025</v>
      </c>
      <c r="K6">
        <v>45901</v>
      </c>
      <c r="N6">
        <v>109</v>
      </c>
      <c r="O6" t="s">
        <v>24</v>
      </c>
      <c r="Q6">
        <v>12.6</v>
      </c>
      <c r="R6" t="str">
        <f>"AC FARMA - FLEMINFARMA (10160)"</f>
        <v>AC FARMA - FLEMINFARMA (10160)</v>
      </c>
      <c r="S6" t="s">
        <v>22</v>
      </c>
      <c r="T6">
        <v>17365</v>
      </c>
      <c r="U6">
        <v>21054</v>
      </c>
      <c r="V6" t="s">
        <v>22</v>
      </c>
    </row>
    <row r="7" spans="1:22">
      <c r="A7" t="str">
        <f t="shared" si="0"/>
        <v>01/09/2025</v>
      </c>
      <c r="B7" t="str">
        <f t="shared" si="1"/>
        <v>SAÍDA</v>
      </c>
      <c r="C7" t="str">
        <f t="shared" si="2"/>
        <v>PIX</v>
      </c>
      <c r="D7" t="str">
        <f>"21062"</f>
        <v>21062</v>
      </c>
      <c r="E7" t="str">
        <f t="shared" si="3"/>
        <v>1</v>
      </c>
      <c r="F7" t="str">
        <f t="shared" si="4"/>
        <v>COM</v>
      </c>
      <c r="G7" t="str">
        <f t="shared" si="5"/>
        <v>ALAN ACOSTA (897)</v>
      </c>
      <c r="H7" t="str">
        <f>"Serv.Prest. 18/08/2025 a 24/08/2025 - PIX: E-MAIL - CHAVE: alanacosta1999@gmail.com"</f>
        <v>Serv.Prest. 18/08/2025 a 24/08/2025 - PIX: E-MAIL - CHAVE: alanacosta1999@gmail.com</v>
      </c>
      <c r="I7" t="str">
        <f t="shared" si="6"/>
        <v>04/09/2025</v>
      </c>
      <c r="J7" t="str">
        <f t="shared" si="7"/>
        <v>27/08/2025</v>
      </c>
      <c r="K7" t="str">
        <f>("01/09/2025")</f>
        <v>01/09/2025</v>
      </c>
      <c r="L7">
        <v>81.900000000000006</v>
      </c>
      <c r="M7">
        <v>81.900000000000006</v>
      </c>
      <c r="N7">
        <v>109</v>
      </c>
      <c r="O7" t="str">
        <f>"PAGAMENTO DE ENTREGADORES"</f>
        <v>PAGAMENTO DE ENTREGADORES</v>
      </c>
      <c r="S7" t="str">
        <f>"BANCO CORA (102)"</f>
        <v>BANCO CORA (102)</v>
      </c>
      <c r="T7">
        <v>17365</v>
      </c>
      <c r="U7">
        <v>21062</v>
      </c>
      <c r="V7" t="s">
        <v>22</v>
      </c>
    </row>
    <row r="8" spans="1:22">
      <c r="A8" t="str">
        <f t="shared" si="0"/>
        <v>01/09/2025</v>
      </c>
      <c r="B8" t="str">
        <f t="shared" si="1"/>
        <v>SAÍDA</v>
      </c>
      <c r="C8" t="str">
        <f t="shared" si="2"/>
        <v>PIX</v>
      </c>
      <c r="D8" t="str">
        <f>"21062"</f>
        <v>21062</v>
      </c>
      <c r="E8" t="str">
        <f t="shared" si="3"/>
        <v>1</v>
      </c>
      <c r="F8" t="str">
        <f t="shared" si="4"/>
        <v>COM</v>
      </c>
      <c r="G8" t="str">
        <f t="shared" si="5"/>
        <v>ALAN ACOSTA (897)</v>
      </c>
      <c r="H8" t="s">
        <v>23</v>
      </c>
      <c r="I8" t="str">
        <f t="shared" si="6"/>
        <v>04/09/2025</v>
      </c>
      <c r="J8" t="str">
        <f t="shared" si="7"/>
        <v>27/08/2025</v>
      </c>
      <c r="K8">
        <v>45901</v>
      </c>
      <c r="N8">
        <v>109</v>
      </c>
      <c r="O8" t="s">
        <v>24</v>
      </c>
      <c r="Q8">
        <v>81.900000000000006</v>
      </c>
      <c r="R8" t="str">
        <f>"AC FARMA - FLEMINFARMA 5 (10183)"</f>
        <v>AC FARMA - FLEMINFARMA 5 (10183)</v>
      </c>
      <c r="S8" t="s">
        <v>22</v>
      </c>
      <c r="T8">
        <v>17365</v>
      </c>
      <c r="U8">
        <v>21062</v>
      </c>
      <c r="V8" t="s">
        <v>22</v>
      </c>
    </row>
    <row r="9" spans="1:22">
      <c r="A9" t="str">
        <f t="shared" si="0"/>
        <v>01/09/2025</v>
      </c>
      <c r="B9" t="str">
        <f t="shared" si="1"/>
        <v>SAÍDA</v>
      </c>
      <c r="C9" t="str">
        <f t="shared" si="2"/>
        <v>PIX</v>
      </c>
      <c r="D9" t="str">
        <f>"21098"</f>
        <v>21098</v>
      </c>
      <c r="E9" t="str">
        <f t="shared" si="3"/>
        <v>1</v>
      </c>
      <c r="F9" t="str">
        <f t="shared" si="4"/>
        <v>COM</v>
      </c>
      <c r="G9" t="str">
        <f>"SAMUEL SOARES DA SILVA (867)"</f>
        <v>SAMUEL SOARES DA SILVA (867)</v>
      </c>
      <c r="H9" t="str">
        <f>"Serv.Prest. 25/08/2025 a 31/08/2025 - PIX: CPF - CHAVE: 396.124.108-28"</f>
        <v>Serv.Prest. 25/08/2025 a 31/08/2025 - PIX: CPF - CHAVE: 396.124.108-28</v>
      </c>
      <c r="I9" t="str">
        <f t="shared" si="6"/>
        <v>04/09/2025</v>
      </c>
      <c r="J9" t="str">
        <f>("01/09/2025")</f>
        <v>01/09/2025</v>
      </c>
      <c r="K9" t="str">
        <f>("01/09/2025")</f>
        <v>01/09/2025</v>
      </c>
      <c r="L9">
        <v>140</v>
      </c>
      <c r="M9">
        <v>140</v>
      </c>
      <c r="N9">
        <v>109</v>
      </c>
      <c r="O9" t="str">
        <f>"PAGAMENTO DE ENTREGADORES"</f>
        <v>PAGAMENTO DE ENTREGADORES</v>
      </c>
      <c r="P9">
        <v>140</v>
      </c>
      <c r="S9" t="str">
        <f>"BANCO CORA (102)"</f>
        <v>BANCO CORA (102)</v>
      </c>
      <c r="T9">
        <v>17370</v>
      </c>
      <c r="U9">
        <v>21310</v>
      </c>
      <c r="V9" t="s">
        <v>22</v>
      </c>
    </row>
    <row r="10" spans="1:22">
      <c r="A10" t="str">
        <f t="shared" si="0"/>
        <v>01/09/2025</v>
      </c>
      <c r="B10" t="str">
        <f t="shared" si="1"/>
        <v>SAÍDA</v>
      </c>
      <c r="C10" t="str">
        <f t="shared" si="2"/>
        <v>PIX</v>
      </c>
      <c r="D10" t="str">
        <f>"21098"</f>
        <v>21098</v>
      </c>
      <c r="E10" t="str">
        <f t="shared" si="3"/>
        <v>1</v>
      </c>
      <c r="F10" t="str">
        <f t="shared" si="4"/>
        <v>COM</v>
      </c>
      <c r="G10" t="str">
        <f>"SAMUEL SOARES DA SILVA (867)"</f>
        <v>SAMUEL SOARES DA SILVA (867)</v>
      </c>
      <c r="H10" t="s">
        <v>25</v>
      </c>
      <c r="I10" t="str">
        <f t="shared" si="6"/>
        <v>04/09/2025</v>
      </c>
      <c r="J10" t="str">
        <f>("01/09/2025")</f>
        <v>01/09/2025</v>
      </c>
      <c r="K10">
        <v>45901</v>
      </c>
      <c r="N10">
        <v>109</v>
      </c>
      <c r="O10" t="s">
        <v>24</v>
      </c>
      <c r="Q10">
        <v>140</v>
      </c>
      <c r="R10" t="str">
        <f>"DROGA ELIDA (10121)"</f>
        <v>DROGA ELIDA (10121)</v>
      </c>
      <c r="S10" t="s">
        <v>22</v>
      </c>
      <c r="T10">
        <v>17370</v>
      </c>
      <c r="U10">
        <v>21310</v>
      </c>
      <c r="V10" t="s">
        <v>22</v>
      </c>
    </row>
    <row r="11" spans="1:22">
      <c r="A11" t="str">
        <f t="shared" si="0"/>
        <v>01/09/2025</v>
      </c>
      <c r="B11" t="str">
        <f t="shared" si="1"/>
        <v>SAÍDA</v>
      </c>
      <c r="C11" t="str">
        <f t="shared" si="2"/>
        <v>PIX</v>
      </c>
      <c r="D11" t="str">
        <f>"21159"</f>
        <v>21159</v>
      </c>
      <c r="E11" t="str">
        <f t="shared" si="3"/>
        <v>1</v>
      </c>
      <c r="F11" t="str">
        <f t="shared" si="4"/>
        <v>COM</v>
      </c>
      <c r="G11" t="str">
        <f>"WILDES ALVES CERQUEIRA ALMEIDA (874)"</f>
        <v>WILDES ALVES CERQUEIRA ALMEIDA (874)</v>
      </c>
      <c r="H11" t="str">
        <f>"Serv.Prest. 25/08/2025 a 31/08/2025 - PIX: CELULAR - CHAVE: (73) 98155-8496"</f>
        <v>Serv.Prest. 25/08/2025 a 31/08/2025 - PIX: CELULAR - CHAVE: (73) 98155-8496</v>
      </c>
      <c r="I11" t="str">
        <f t="shared" ref="I11:I22" si="8">("11/09/2025")</f>
        <v>11/09/2025</v>
      </c>
      <c r="J11" t="str">
        <f t="shared" ref="J11:J22" si="9">("02/09/2025")</f>
        <v>02/09/2025</v>
      </c>
      <c r="K11" t="str">
        <f>("01/09/2025")</f>
        <v>01/09/2025</v>
      </c>
      <c r="L11">
        <v>120</v>
      </c>
      <c r="M11">
        <v>120</v>
      </c>
      <c r="N11">
        <v>109</v>
      </c>
      <c r="O11" t="str">
        <f>"PAGAMENTO DE ENTREGADORES"</f>
        <v>PAGAMENTO DE ENTREGADORES</v>
      </c>
      <c r="P11">
        <v>120</v>
      </c>
      <c r="S11" t="str">
        <f>"BANCO CORA (102)"</f>
        <v>BANCO CORA (102)</v>
      </c>
      <c r="T11">
        <v>17383</v>
      </c>
      <c r="U11">
        <v>21314</v>
      </c>
      <c r="V11" t="s">
        <v>22</v>
      </c>
    </row>
    <row r="12" spans="1:22">
      <c r="A12" t="str">
        <f t="shared" si="0"/>
        <v>01/09/2025</v>
      </c>
      <c r="B12" t="str">
        <f t="shared" si="1"/>
        <v>SAÍDA</v>
      </c>
      <c r="C12" t="str">
        <f t="shared" si="2"/>
        <v>PIX</v>
      </c>
      <c r="D12" t="str">
        <f>"21159"</f>
        <v>21159</v>
      </c>
      <c r="E12" t="str">
        <f t="shared" si="3"/>
        <v>1</v>
      </c>
      <c r="F12" t="str">
        <f t="shared" si="4"/>
        <v>COM</v>
      </c>
      <c r="G12" t="str">
        <f>"WILDES ALVES CERQUEIRA ALMEIDA (874)"</f>
        <v>WILDES ALVES CERQUEIRA ALMEIDA (874)</v>
      </c>
      <c r="H12" t="s">
        <v>26</v>
      </c>
      <c r="I12" t="str">
        <f t="shared" si="8"/>
        <v>11/09/2025</v>
      </c>
      <c r="J12" t="str">
        <f t="shared" si="9"/>
        <v>02/09/2025</v>
      </c>
      <c r="K12">
        <v>45901</v>
      </c>
      <c r="N12">
        <v>109</v>
      </c>
      <c r="O12" t="s">
        <v>24</v>
      </c>
      <c r="Q12">
        <v>120</v>
      </c>
      <c r="R12" t="str">
        <f>"FARMÁCIA INDIANA LJ 65 (10030)"</f>
        <v>FARMÁCIA INDIANA LJ 65 (10030)</v>
      </c>
      <c r="S12" t="s">
        <v>22</v>
      </c>
      <c r="T12">
        <v>17383</v>
      </c>
      <c r="U12">
        <v>21314</v>
      </c>
      <c r="V12" t="s">
        <v>22</v>
      </c>
    </row>
    <row r="13" spans="1:22">
      <c r="A13" t="str">
        <f t="shared" si="0"/>
        <v>01/09/2025</v>
      </c>
      <c r="B13" t="str">
        <f t="shared" si="1"/>
        <v>SAÍDA</v>
      </c>
      <c r="C13" t="str">
        <f t="shared" si="2"/>
        <v>PIX</v>
      </c>
      <c r="D13" t="str">
        <f>"21213"</f>
        <v>21213</v>
      </c>
      <c r="E13" t="str">
        <f t="shared" si="3"/>
        <v>1</v>
      </c>
      <c r="F13" t="str">
        <f t="shared" si="4"/>
        <v>COM</v>
      </c>
      <c r="G13" t="str">
        <f>"JOSE ERIC SILVA MACENA (854)"</f>
        <v>JOSE ERIC SILVA MACENA (854)</v>
      </c>
      <c r="H13" t="str">
        <f>"Serv.Prest. 25/08/2025 a 31/08/2025 - PIX: E-MAIL - CHAVE: ericsilva8marcena@gmail.com"</f>
        <v>Serv.Prest. 25/08/2025 a 31/08/2025 - PIX: E-MAIL - CHAVE: ericsilva8marcena@gmail.com</v>
      </c>
      <c r="I13" t="str">
        <f t="shared" si="8"/>
        <v>11/09/2025</v>
      </c>
      <c r="J13" t="str">
        <f t="shared" si="9"/>
        <v>02/09/2025</v>
      </c>
      <c r="K13" t="str">
        <f>("01/09/2025")</f>
        <v>01/09/2025</v>
      </c>
      <c r="L13">
        <v>180</v>
      </c>
      <c r="M13">
        <v>180</v>
      </c>
      <c r="N13">
        <v>109</v>
      </c>
      <c r="O13" t="str">
        <f>"PAGAMENTO DE ENTREGADORES"</f>
        <v>PAGAMENTO DE ENTREGADORES</v>
      </c>
      <c r="P13">
        <v>180</v>
      </c>
      <c r="S13" t="str">
        <f>"BANCO CORA (102)"</f>
        <v>BANCO CORA (102)</v>
      </c>
      <c r="T13">
        <v>17386</v>
      </c>
      <c r="U13">
        <v>21213</v>
      </c>
      <c r="V13" t="s">
        <v>22</v>
      </c>
    </row>
    <row r="14" spans="1:22">
      <c r="A14" t="str">
        <f t="shared" si="0"/>
        <v>01/09/2025</v>
      </c>
      <c r="B14" t="str">
        <f t="shared" si="1"/>
        <v>SAÍDA</v>
      </c>
      <c r="C14" t="str">
        <f t="shared" si="2"/>
        <v>PIX</v>
      </c>
      <c r="D14" t="str">
        <f>"21213"</f>
        <v>21213</v>
      </c>
      <c r="E14" t="str">
        <f t="shared" si="3"/>
        <v>1</v>
      </c>
      <c r="F14" t="str">
        <f t="shared" si="4"/>
        <v>COM</v>
      </c>
      <c r="G14" t="str">
        <f>"JOSE ERIC SILVA MACENA (854)"</f>
        <v>JOSE ERIC SILVA MACENA (854)</v>
      </c>
      <c r="H14" t="s">
        <v>27</v>
      </c>
      <c r="I14" t="str">
        <f t="shared" si="8"/>
        <v>11/09/2025</v>
      </c>
      <c r="J14" t="str">
        <f t="shared" si="9"/>
        <v>02/09/2025</v>
      </c>
      <c r="K14">
        <v>45901</v>
      </c>
      <c r="N14">
        <v>109</v>
      </c>
      <c r="O14" t="s">
        <v>24</v>
      </c>
      <c r="Q14">
        <v>180</v>
      </c>
      <c r="R14" t="str">
        <f>"FARMÁCIA INDIANA LJ 101 (10043)"</f>
        <v>FARMÁCIA INDIANA LJ 101 (10043)</v>
      </c>
      <c r="S14" t="s">
        <v>22</v>
      </c>
      <c r="T14">
        <v>17386</v>
      </c>
      <c r="U14">
        <v>21213</v>
      </c>
      <c r="V14" t="s">
        <v>22</v>
      </c>
    </row>
    <row r="15" spans="1:22">
      <c r="A15" t="str">
        <f t="shared" si="0"/>
        <v>01/09/2025</v>
      </c>
      <c r="B15" t="str">
        <f t="shared" si="1"/>
        <v>SAÍDA</v>
      </c>
      <c r="C15" t="str">
        <f t="shared" si="2"/>
        <v>PIX</v>
      </c>
      <c r="D15" t="str">
        <f>"21266"</f>
        <v>21266</v>
      </c>
      <c r="E15" t="str">
        <f t="shared" si="3"/>
        <v>1</v>
      </c>
      <c r="F15" t="str">
        <f t="shared" si="4"/>
        <v>COM</v>
      </c>
      <c r="G15" t="str">
        <f>"WANDERSON JÚNIOR SOARES (628)"</f>
        <v>WANDERSON JÚNIOR SOARES (628)</v>
      </c>
      <c r="H15" t="str">
        <f>"Serv.Prest. 25/08/2025 a 31/08/2025 - PIX: CPF - CHAVE: 170.180.266-01"</f>
        <v>Serv.Prest. 25/08/2025 a 31/08/2025 - PIX: CPF - CHAVE: 170.180.266-01</v>
      </c>
      <c r="I15" t="str">
        <f t="shared" si="8"/>
        <v>11/09/2025</v>
      </c>
      <c r="J15" t="str">
        <f t="shared" si="9"/>
        <v>02/09/2025</v>
      </c>
      <c r="K15" t="str">
        <f>("01/09/2025")</f>
        <v>01/09/2025</v>
      </c>
      <c r="L15">
        <v>120</v>
      </c>
      <c r="M15">
        <v>120</v>
      </c>
      <c r="N15">
        <v>109</v>
      </c>
      <c r="O15" t="str">
        <f>"PAGAMENTO DE ENTREGADORES"</f>
        <v>PAGAMENTO DE ENTREGADORES</v>
      </c>
      <c r="P15">
        <v>120</v>
      </c>
      <c r="S15" t="str">
        <f>"BANCO CORA (102)"</f>
        <v>BANCO CORA (102)</v>
      </c>
      <c r="T15">
        <v>17401</v>
      </c>
      <c r="U15">
        <v>21317</v>
      </c>
      <c r="V15" t="s">
        <v>22</v>
      </c>
    </row>
    <row r="16" spans="1:22">
      <c r="A16" t="str">
        <f t="shared" si="0"/>
        <v>01/09/2025</v>
      </c>
      <c r="B16" t="str">
        <f t="shared" si="1"/>
        <v>SAÍDA</v>
      </c>
      <c r="C16" t="str">
        <f t="shared" si="2"/>
        <v>PIX</v>
      </c>
      <c r="D16" t="str">
        <f>"21266"</f>
        <v>21266</v>
      </c>
      <c r="E16" t="str">
        <f t="shared" si="3"/>
        <v>1</v>
      </c>
      <c r="F16" t="str">
        <f t="shared" si="4"/>
        <v>COM</v>
      </c>
      <c r="G16" t="str">
        <f>"WANDERSON JÚNIOR SOARES (628)"</f>
        <v>WANDERSON JÚNIOR SOARES (628)</v>
      </c>
      <c r="H16" t="s">
        <v>28</v>
      </c>
      <c r="I16" t="str">
        <f t="shared" si="8"/>
        <v>11/09/2025</v>
      </c>
      <c r="J16" t="str">
        <f t="shared" si="9"/>
        <v>02/09/2025</v>
      </c>
      <c r="K16">
        <v>45901</v>
      </c>
      <c r="N16">
        <v>109</v>
      </c>
      <c r="O16" t="s">
        <v>24</v>
      </c>
      <c r="Q16">
        <v>120</v>
      </c>
      <c r="R16" t="str">
        <f>"FARMÁCIA INDIANA LJ 110 (10048)"</f>
        <v>FARMÁCIA INDIANA LJ 110 (10048)</v>
      </c>
      <c r="S16" t="s">
        <v>22</v>
      </c>
      <c r="T16">
        <v>17401</v>
      </c>
      <c r="U16">
        <v>21317</v>
      </c>
      <c r="V16" t="s">
        <v>22</v>
      </c>
    </row>
    <row r="17" spans="1:22">
      <c r="A17" t="str">
        <f t="shared" si="0"/>
        <v>01/09/2025</v>
      </c>
      <c r="B17" t="str">
        <f t="shared" si="1"/>
        <v>SAÍDA</v>
      </c>
      <c r="C17" t="str">
        <f t="shared" si="2"/>
        <v>PIX</v>
      </c>
      <c r="D17" t="str">
        <f>"21217"</f>
        <v>21217</v>
      </c>
      <c r="E17" t="str">
        <f t="shared" si="3"/>
        <v>1</v>
      </c>
      <c r="F17" t="str">
        <f t="shared" si="4"/>
        <v>COM</v>
      </c>
      <c r="G17" t="str">
        <f>"JUSSARA CRISTINA FARIA (783)"</f>
        <v>JUSSARA CRISTINA FARIA (783)</v>
      </c>
      <c r="H17" t="str">
        <f>"Serv.Prest. 25/08/2025 a 31/08/2025 - PIX: CELULAR - CHAVE: (31) 99373-5678"</f>
        <v>Serv.Prest. 25/08/2025 a 31/08/2025 - PIX: CELULAR - CHAVE: (31) 99373-5678</v>
      </c>
      <c r="I17" t="str">
        <f t="shared" si="8"/>
        <v>11/09/2025</v>
      </c>
      <c r="J17" t="str">
        <f t="shared" si="9"/>
        <v>02/09/2025</v>
      </c>
      <c r="K17" t="str">
        <f>("01/09/2025")</f>
        <v>01/09/2025</v>
      </c>
      <c r="L17">
        <v>150</v>
      </c>
      <c r="M17">
        <v>150</v>
      </c>
      <c r="N17">
        <v>109</v>
      </c>
      <c r="O17" t="str">
        <f>"PAGAMENTO DE ENTREGADORES"</f>
        <v>PAGAMENTO DE ENTREGADORES</v>
      </c>
      <c r="P17">
        <v>150</v>
      </c>
      <c r="S17" t="str">
        <f>"BANCO CORA (102)"</f>
        <v>BANCO CORA (102)</v>
      </c>
      <c r="T17">
        <v>17410</v>
      </c>
      <c r="U17">
        <v>21323</v>
      </c>
      <c r="V17" t="s">
        <v>22</v>
      </c>
    </row>
    <row r="18" spans="1:22">
      <c r="A18" t="str">
        <f t="shared" si="0"/>
        <v>01/09/2025</v>
      </c>
      <c r="B18" t="str">
        <f t="shared" si="1"/>
        <v>SAÍDA</v>
      </c>
      <c r="C18" t="str">
        <f t="shared" si="2"/>
        <v>PIX</v>
      </c>
      <c r="D18" t="str">
        <f>"21217"</f>
        <v>21217</v>
      </c>
      <c r="E18" t="str">
        <f t="shared" si="3"/>
        <v>1</v>
      </c>
      <c r="F18" t="str">
        <f t="shared" si="4"/>
        <v>COM</v>
      </c>
      <c r="G18" t="str">
        <f>"JUSSARA CRISTINA FARIA (783)"</f>
        <v>JUSSARA CRISTINA FARIA (783)</v>
      </c>
      <c r="H18" t="s">
        <v>29</v>
      </c>
      <c r="I18" t="str">
        <f t="shared" si="8"/>
        <v>11/09/2025</v>
      </c>
      <c r="J18" t="str">
        <f t="shared" si="9"/>
        <v>02/09/2025</v>
      </c>
      <c r="K18">
        <v>45901</v>
      </c>
      <c r="N18">
        <v>109</v>
      </c>
      <c r="O18" t="s">
        <v>24</v>
      </c>
      <c r="Q18">
        <v>150</v>
      </c>
      <c r="R18" t="str">
        <f>"FARMÁCIA INDIANA LJ 110 (10048)"</f>
        <v>FARMÁCIA INDIANA LJ 110 (10048)</v>
      </c>
      <c r="S18" t="s">
        <v>22</v>
      </c>
      <c r="T18">
        <v>17410</v>
      </c>
      <c r="U18">
        <v>21323</v>
      </c>
      <c r="V18" t="s">
        <v>22</v>
      </c>
    </row>
    <row r="19" spans="1:22">
      <c r="A19" t="str">
        <f t="shared" si="0"/>
        <v>01/09/2025</v>
      </c>
      <c r="B19" t="str">
        <f t="shared" si="1"/>
        <v>SAÍDA</v>
      </c>
      <c r="C19" t="str">
        <f t="shared" si="2"/>
        <v>PIX</v>
      </c>
      <c r="D19" t="str">
        <f>"21191"</f>
        <v>21191</v>
      </c>
      <c r="E19" t="str">
        <f t="shared" si="3"/>
        <v>1</v>
      </c>
      <c r="F19" t="str">
        <f t="shared" si="4"/>
        <v>COM</v>
      </c>
      <c r="G19" t="str">
        <f>"EDIONIO CARVALHO DA SILVA (920)"</f>
        <v>EDIONIO CARVALHO DA SILVA (920)</v>
      </c>
      <c r="H19" t="str">
        <f>"Serv.Prest. 25/08/2025 a 31/08/2025 - PIX: CELULAR - CHAVE: (33) 99199-7983"</f>
        <v>Serv.Prest. 25/08/2025 a 31/08/2025 - PIX: CELULAR - CHAVE: (33) 99199-7983</v>
      </c>
      <c r="I19" t="str">
        <f t="shared" si="8"/>
        <v>11/09/2025</v>
      </c>
      <c r="J19" t="str">
        <f t="shared" si="9"/>
        <v>02/09/2025</v>
      </c>
      <c r="K19" t="str">
        <f>("01/09/2025")</f>
        <v>01/09/2025</v>
      </c>
      <c r="L19">
        <v>120</v>
      </c>
      <c r="M19">
        <v>120</v>
      </c>
      <c r="N19">
        <v>109</v>
      </c>
      <c r="O19" t="str">
        <f>"PAGAMENTO DE ENTREGADORES"</f>
        <v>PAGAMENTO DE ENTREGADORES</v>
      </c>
      <c r="P19">
        <v>120</v>
      </c>
      <c r="S19" t="str">
        <f>"BANCO CORA (102)"</f>
        <v>BANCO CORA (102)</v>
      </c>
      <c r="T19">
        <v>17414</v>
      </c>
      <c r="U19">
        <v>21326</v>
      </c>
      <c r="V19" t="s">
        <v>22</v>
      </c>
    </row>
    <row r="20" spans="1:22">
      <c r="A20" t="str">
        <f t="shared" si="0"/>
        <v>01/09/2025</v>
      </c>
      <c r="B20" t="str">
        <f t="shared" si="1"/>
        <v>SAÍDA</v>
      </c>
      <c r="C20" t="str">
        <f t="shared" si="2"/>
        <v>PIX</v>
      </c>
      <c r="D20" t="str">
        <f>"21191"</f>
        <v>21191</v>
      </c>
      <c r="E20" t="str">
        <f t="shared" si="3"/>
        <v>1</v>
      </c>
      <c r="F20" t="str">
        <f t="shared" si="4"/>
        <v>COM</v>
      </c>
      <c r="G20" t="str">
        <f>"EDIONIO CARVALHO DA SILVA (920)"</f>
        <v>EDIONIO CARVALHO DA SILVA (920)</v>
      </c>
      <c r="H20" t="s">
        <v>30</v>
      </c>
      <c r="I20" t="str">
        <f t="shared" si="8"/>
        <v>11/09/2025</v>
      </c>
      <c r="J20" t="str">
        <f t="shared" si="9"/>
        <v>02/09/2025</v>
      </c>
      <c r="K20">
        <v>45901</v>
      </c>
      <c r="N20">
        <v>109</v>
      </c>
      <c r="O20" t="s">
        <v>24</v>
      </c>
      <c r="Q20">
        <v>120</v>
      </c>
      <c r="R20" t="str">
        <f>"FARMÁCIA INDIANA LJ 171 (10074)"</f>
        <v>FARMÁCIA INDIANA LJ 171 (10074)</v>
      </c>
      <c r="S20" t="s">
        <v>22</v>
      </c>
      <c r="T20">
        <v>17414</v>
      </c>
      <c r="U20">
        <v>21326</v>
      </c>
      <c r="V20" t="s">
        <v>22</v>
      </c>
    </row>
    <row r="21" spans="1:22">
      <c r="A21" t="str">
        <f t="shared" si="0"/>
        <v>01/09/2025</v>
      </c>
      <c r="B21" t="str">
        <f t="shared" si="1"/>
        <v>SAÍDA</v>
      </c>
      <c r="C21" t="str">
        <f t="shared" si="2"/>
        <v>PIX</v>
      </c>
      <c r="D21" t="str">
        <f>"21191"</f>
        <v>21191</v>
      </c>
      <c r="E21" t="str">
        <f t="shared" si="3"/>
        <v>1</v>
      </c>
      <c r="F21" t="str">
        <f t="shared" si="4"/>
        <v>COM</v>
      </c>
      <c r="G21" t="str">
        <f>"EDIONIO CARVALHO DA SILVA (920)"</f>
        <v>EDIONIO CARVALHO DA SILVA (920)</v>
      </c>
      <c r="H21" t="str">
        <f>"Serv.Prest. 25/08/2025 a 31/08/2025 - PIX: CELULAR - CHAVE: (33) 99199-7983"</f>
        <v>Serv.Prest. 25/08/2025 a 31/08/2025 - PIX: CELULAR - CHAVE: (33) 99199-7983</v>
      </c>
      <c r="I21" t="str">
        <f t="shared" si="8"/>
        <v>11/09/2025</v>
      </c>
      <c r="J21" t="str">
        <f t="shared" si="9"/>
        <v>02/09/2025</v>
      </c>
      <c r="K21" t="str">
        <f>("01/09/2025")</f>
        <v>01/09/2025</v>
      </c>
      <c r="L21">
        <v>120</v>
      </c>
      <c r="M21">
        <v>120</v>
      </c>
      <c r="N21">
        <v>109</v>
      </c>
      <c r="O21" t="str">
        <f>"PAGAMENTO DE ENTREGADORES"</f>
        <v>PAGAMENTO DE ENTREGADORES</v>
      </c>
      <c r="P21">
        <v>120</v>
      </c>
      <c r="S21" t="str">
        <f>"BANCO CORA (102)"</f>
        <v>BANCO CORA (102)</v>
      </c>
      <c r="T21">
        <v>17415</v>
      </c>
      <c r="U21">
        <v>21327</v>
      </c>
      <c r="V21" t="s">
        <v>22</v>
      </c>
    </row>
    <row r="22" spans="1:22">
      <c r="A22" t="str">
        <f t="shared" si="0"/>
        <v>01/09/2025</v>
      </c>
      <c r="B22" t="str">
        <f t="shared" si="1"/>
        <v>SAÍDA</v>
      </c>
      <c r="C22" t="str">
        <f t="shared" si="2"/>
        <v>PIX</v>
      </c>
      <c r="D22" t="str">
        <f>"21191"</f>
        <v>21191</v>
      </c>
      <c r="E22" t="str">
        <f t="shared" si="3"/>
        <v>1</v>
      </c>
      <c r="F22" t="str">
        <f t="shared" si="4"/>
        <v>COM</v>
      </c>
      <c r="G22" t="str">
        <f>"EDIONIO CARVALHO DA SILVA (920)"</f>
        <v>EDIONIO CARVALHO DA SILVA (920)</v>
      </c>
      <c r="H22" t="s">
        <v>30</v>
      </c>
      <c r="I22" t="str">
        <f t="shared" si="8"/>
        <v>11/09/2025</v>
      </c>
      <c r="J22" t="str">
        <f t="shared" si="9"/>
        <v>02/09/2025</v>
      </c>
      <c r="K22">
        <v>45901</v>
      </c>
      <c r="N22">
        <v>109</v>
      </c>
      <c r="O22" t="s">
        <v>24</v>
      </c>
      <c r="Q22">
        <v>120</v>
      </c>
      <c r="R22" t="str">
        <f>"FARMÁCIA INDIANA LJ 171 (10074)"</f>
        <v>FARMÁCIA INDIANA LJ 171 (10074)</v>
      </c>
      <c r="S22" t="s">
        <v>22</v>
      </c>
      <c r="T22">
        <v>17415</v>
      </c>
      <c r="U22">
        <v>21327</v>
      </c>
      <c r="V22" t="s">
        <v>22</v>
      </c>
    </row>
    <row r="23" spans="1:22">
      <c r="A23" t="str">
        <f t="shared" si="0"/>
        <v>01/09/2025</v>
      </c>
      <c r="B23" t="str">
        <f t="shared" si="1"/>
        <v>SAÍDA</v>
      </c>
      <c r="C23" t="str">
        <f t="shared" si="2"/>
        <v>PIX</v>
      </c>
      <c r="D23" t="str">
        <f>"21116"</f>
        <v>21116</v>
      </c>
      <c r="E23" t="str">
        <f t="shared" si="3"/>
        <v>1</v>
      </c>
      <c r="F23" t="str">
        <f t="shared" si="4"/>
        <v>COM</v>
      </c>
      <c r="G23" t="str">
        <f>"RICHARD FERREIRA RIBEIRO (748)"</f>
        <v>RICHARD FERREIRA RIBEIRO (748)</v>
      </c>
      <c r="H23" t="str">
        <f>"Serv.Prest. 25/08/2025 a 31/08/2025 - PIX: CELULAR - CHAVE: (11) 95449-1055"</f>
        <v>Serv.Prest. 25/08/2025 a 31/08/2025 - PIX: CELULAR - CHAVE: (11) 95449-1055</v>
      </c>
      <c r="I23" t="str">
        <f>("04/09/2025")</f>
        <v>04/09/2025</v>
      </c>
      <c r="J23" t="str">
        <f>("01/09/2025")</f>
        <v>01/09/2025</v>
      </c>
      <c r="K23" t="str">
        <f>("01/09/2025")</f>
        <v>01/09/2025</v>
      </c>
      <c r="L23">
        <v>168</v>
      </c>
      <c r="M23">
        <v>147</v>
      </c>
      <c r="N23">
        <v>109</v>
      </c>
      <c r="O23" t="str">
        <f>"PAGAMENTO DE ENTREGADORES"</f>
        <v>PAGAMENTO DE ENTREGADORES</v>
      </c>
      <c r="P23">
        <v>147</v>
      </c>
      <c r="S23" t="str">
        <f>"BANCO CORA (102)"</f>
        <v>BANCO CORA (102)</v>
      </c>
      <c r="T23">
        <v>17419</v>
      </c>
      <c r="U23">
        <v>21116</v>
      </c>
      <c r="V23" t="s">
        <v>22</v>
      </c>
    </row>
    <row r="24" spans="1:22">
      <c r="A24" t="str">
        <f t="shared" si="0"/>
        <v>01/09/2025</v>
      </c>
      <c r="B24" t="str">
        <f t="shared" si="1"/>
        <v>SAÍDA</v>
      </c>
      <c r="C24" t="str">
        <f t="shared" si="2"/>
        <v>PIX</v>
      </c>
      <c r="D24" t="str">
        <f>"21116"</f>
        <v>21116</v>
      </c>
      <c r="E24" t="str">
        <f t="shared" si="3"/>
        <v>1</v>
      </c>
      <c r="F24" t="str">
        <f t="shared" si="4"/>
        <v>COM</v>
      </c>
      <c r="G24" t="str">
        <f>"RICHARD FERREIRA RIBEIRO (748)"</f>
        <v>RICHARD FERREIRA RIBEIRO (748)</v>
      </c>
      <c r="H24" t="s">
        <v>31</v>
      </c>
      <c r="I24" t="str">
        <f>("04/09/2025")</f>
        <v>04/09/2025</v>
      </c>
      <c r="J24" t="str">
        <f>("01/09/2025")</f>
        <v>01/09/2025</v>
      </c>
      <c r="K24">
        <v>45901</v>
      </c>
      <c r="N24">
        <v>109</v>
      </c>
      <c r="O24" t="s">
        <v>24</v>
      </c>
      <c r="Q24">
        <v>147</v>
      </c>
      <c r="R24" t="str">
        <f>"DROGARIA MORENO LTDA (10171)"</f>
        <v>DROGARIA MORENO LTDA (10171)</v>
      </c>
      <c r="S24" t="s">
        <v>22</v>
      </c>
      <c r="T24">
        <v>17419</v>
      </c>
      <c r="U24">
        <v>21116</v>
      </c>
      <c r="V24" t="s">
        <v>22</v>
      </c>
    </row>
    <row r="25" spans="1:22">
      <c r="A25" t="str">
        <f t="shared" si="0"/>
        <v>01/09/2025</v>
      </c>
      <c r="B25" t="str">
        <f t="shared" si="1"/>
        <v>SAÍDA</v>
      </c>
      <c r="C25" t="str">
        <f t="shared" si="2"/>
        <v>PIX</v>
      </c>
      <c r="D25" t="str">
        <f>"21109"</f>
        <v>21109</v>
      </c>
      <c r="E25" t="str">
        <f t="shared" si="3"/>
        <v>1</v>
      </c>
      <c r="F25" t="str">
        <f t="shared" si="4"/>
        <v>COM</v>
      </c>
      <c r="G25" t="str">
        <f>"REGINALDO ANDRE BORTOLETTO (802)"</f>
        <v>REGINALDO ANDRE BORTOLETTO (802)</v>
      </c>
      <c r="H25" t="str">
        <f>"Serv.Prest. 25/08/2025 a 31/08/2025 - PIX: CELULAR - CHAVE: (11) 94281-7123"</f>
        <v>Serv.Prest. 25/08/2025 a 31/08/2025 - PIX: CELULAR - CHAVE: (11) 94281-7123</v>
      </c>
      <c r="I25" t="str">
        <f>("04/09/2025")</f>
        <v>04/09/2025</v>
      </c>
      <c r="J25" t="str">
        <f>("01/09/2025")</f>
        <v>01/09/2025</v>
      </c>
      <c r="K25" t="str">
        <f>("01/09/2025")</f>
        <v>01/09/2025</v>
      </c>
      <c r="L25">
        <v>130</v>
      </c>
      <c r="M25">
        <v>130</v>
      </c>
      <c r="N25">
        <v>109</v>
      </c>
      <c r="O25" t="str">
        <f>"PAGAMENTO DE ENTREGADORES"</f>
        <v>PAGAMENTO DE ENTREGADORES</v>
      </c>
      <c r="P25">
        <v>130</v>
      </c>
      <c r="S25" t="str">
        <f>"BANCO CORA (102)"</f>
        <v>BANCO CORA (102)</v>
      </c>
      <c r="T25">
        <v>17421</v>
      </c>
      <c r="U25">
        <v>21330</v>
      </c>
      <c r="V25" t="s">
        <v>22</v>
      </c>
    </row>
    <row r="26" spans="1:22">
      <c r="A26" t="str">
        <f t="shared" si="0"/>
        <v>01/09/2025</v>
      </c>
      <c r="B26" t="str">
        <f t="shared" si="1"/>
        <v>SAÍDA</v>
      </c>
      <c r="C26" t="str">
        <f t="shared" si="2"/>
        <v>PIX</v>
      </c>
      <c r="D26" t="str">
        <f>"21109"</f>
        <v>21109</v>
      </c>
      <c r="E26" t="str">
        <f t="shared" si="3"/>
        <v>1</v>
      </c>
      <c r="F26" t="str">
        <f t="shared" si="4"/>
        <v>COM</v>
      </c>
      <c r="G26" t="str">
        <f>"REGINALDO ANDRE BORTOLETTO (802)"</f>
        <v>REGINALDO ANDRE BORTOLETTO (802)</v>
      </c>
      <c r="H26" t="s">
        <v>32</v>
      </c>
      <c r="I26" t="str">
        <f>("04/09/2025")</f>
        <v>04/09/2025</v>
      </c>
      <c r="J26" t="str">
        <f>("01/09/2025")</f>
        <v>01/09/2025</v>
      </c>
      <c r="K26">
        <v>45901</v>
      </c>
      <c r="N26">
        <v>109</v>
      </c>
      <c r="O26" t="s">
        <v>24</v>
      </c>
      <c r="Q26">
        <v>130</v>
      </c>
      <c r="R26" t="str">
        <f>"DROGARIA MEDIC CENTER LTDA (10172)"</f>
        <v>DROGARIA MEDIC CENTER LTDA (10172)</v>
      </c>
      <c r="S26" t="s">
        <v>22</v>
      </c>
      <c r="T26">
        <v>17421</v>
      </c>
      <c r="U26">
        <v>21330</v>
      </c>
      <c r="V26" t="s">
        <v>22</v>
      </c>
    </row>
    <row r="27" spans="1:22">
      <c r="A27" t="str">
        <f t="shared" si="0"/>
        <v>01/09/2025</v>
      </c>
      <c r="B27" t="str">
        <f t="shared" si="1"/>
        <v>SAÍDA</v>
      </c>
      <c r="C27" t="str">
        <f t="shared" ref="C27:C34" si="10">"BOLETO"</f>
        <v>BOLETO</v>
      </c>
      <c r="D27" t="str">
        <f>"24162"</f>
        <v>24162</v>
      </c>
      <c r="E27" t="str">
        <f>""</f>
        <v/>
      </c>
      <c r="F27" t="str">
        <f t="shared" si="4"/>
        <v>COM</v>
      </c>
      <c r="G27" t="str">
        <f>"SYSTEM DESIGN INFORMATICA LTDA (20039)"</f>
        <v>SYSTEM DESIGN INFORMATICA LTDA (20039)</v>
      </c>
      <c r="H27" t="str">
        <f>"MANUTENCAO SISTEMA SD"</f>
        <v>MANUTENCAO SISTEMA SD</v>
      </c>
      <c r="I27" t="str">
        <f>("30/08/2025")</f>
        <v>30/08/2025</v>
      </c>
      <c r="J27" t="str">
        <f>("12/08/2025")</f>
        <v>12/08/2025</v>
      </c>
      <c r="K27" t="str">
        <f>("01/09/2025")</f>
        <v>01/09/2025</v>
      </c>
      <c r="L27">
        <v>863</v>
      </c>
      <c r="M27">
        <v>863</v>
      </c>
      <c r="N27">
        <v>104</v>
      </c>
      <c r="O27" t="str">
        <f>"SOFTWARE / LICENÇAS"</f>
        <v>SOFTWARE / LICENÇAS</v>
      </c>
      <c r="P27">
        <v>863</v>
      </c>
      <c r="S27" t="str">
        <f>"BANCO CORA (102)"</f>
        <v>BANCO CORA (102)</v>
      </c>
      <c r="T27">
        <v>18517</v>
      </c>
      <c r="U27">
        <v>14959</v>
      </c>
      <c r="V27" t="s">
        <v>22</v>
      </c>
    </row>
    <row r="28" spans="1:22">
      <c r="A28" t="str">
        <f t="shared" si="0"/>
        <v>01/09/2025</v>
      </c>
      <c r="B28" t="str">
        <f t="shared" si="1"/>
        <v>SAÍDA</v>
      </c>
      <c r="C28" t="str">
        <f t="shared" si="10"/>
        <v>BOLETO</v>
      </c>
      <c r="D28" t="str">
        <f>"24162"</f>
        <v>24162</v>
      </c>
      <c r="E28" t="str">
        <f>""</f>
        <v/>
      </c>
      <c r="F28" t="str">
        <f t="shared" si="4"/>
        <v>COM</v>
      </c>
      <c r="G28" t="str">
        <f>"SYSTEM DESIGN INFORMATICA LTDA (20039)"</f>
        <v>SYSTEM DESIGN INFORMATICA LTDA (20039)</v>
      </c>
      <c r="H28" t="s">
        <v>33</v>
      </c>
      <c r="I28" t="str">
        <f>("30/08/2025")</f>
        <v>30/08/2025</v>
      </c>
      <c r="J28" t="str">
        <f>("12/08/2025")</f>
        <v>12/08/2025</v>
      </c>
      <c r="K28">
        <v>45901</v>
      </c>
      <c r="N28">
        <v>104</v>
      </c>
      <c r="O28" t="s">
        <v>34</v>
      </c>
      <c r="Q28">
        <v>863</v>
      </c>
      <c r="R28" t="str">
        <f>"SYSTEM DESIGN INFORMATICA LTDA (20039)"</f>
        <v>SYSTEM DESIGN INFORMATICA LTDA (20039)</v>
      </c>
      <c r="S28" t="s">
        <v>22</v>
      </c>
      <c r="T28">
        <v>18517</v>
      </c>
      <c r="U28">
        <v>14959</v>
      </c>
      <c r="V28" t="s">
        <v>22</v>
      </c>
    </row>
    <row r="29" spans="1:22">
      <c r="A29" t="str">
        <f t="shared" si="0"/>
        <v>01/09/2025</v>
      </c>
      <c r="B29" t="str">
        <f t="shared" si="1"/>
        <v>SAÍDA</v>
      </c>
      <c r="C29" t="str">
        <f t="shared" si="10"/>
        <v>BOLETO</v>
      </c>
      <c r="D29" t="str">
        <f>"24144"</f>
        <v>24144</v>
      </c>
      <c r="E29" t="str">
        <f>""</f>
        <v/>
      </c>
      <c r="F29" t="str">
        <f t="shared" si="4"/>
        <v>COM</v>
      </c>
      <c r="G29" t="str">
        <f>"SYSTEM DESIGN INFORMATICA LTDA (20039)"</f>
        <v>SYSTEM DESIGN INFORMATICA LTDA (20039)</v>
      </c>
      <c r="H29" t="str">
        <f>"DESENVOLVIMENTO MODULO EXCLUSAO DE COMPROMISSO EM LOTE"</f>
        <v>DESENVOLVIMENTO MODULO EXCLUSAO DE COMPROMISSO EM LOTE</v>
      </c>
      <c r="I29" t="str">
        <f>("30/08/2025")</f>
        <v>30/08/2025</v>
      </c>
      <c r="J29" t="str">
        <f>("11/08/2025")</f>
        <v>11/08/2025</v>
      </c>
      <c r="K29" t="str">
        <f>("01/09/2025")</f>
        <v>01/09/2025</v>
      </c>
      <c r="L29">
        <v>250</v>
      </c>
      <c r="M29">
        <v>250</v>
      </c>
      <c r="N29">
        <v>104</v>
      </c>
      <c r="O29" t="str">
        <f>"SOFTWARE / LICENÇAS"</f>
        <v>SOFTWARE / LICENÇAS</v>
      </c>
      <c r="P29">
        <v>250</v>
      </c>
      <c r="S29" t="str">
        <f>"BANCO CORA (102)"</f>
        <v>BANCO CORA (102)</v>
      </c>
      <c r="T29">
        <v>18518</v>
      </c>
      <c r="U29">
        <v>20368</v>
      </c>
      <c r="V29" t="s">
        <v>22</v>
      </c>
    </row>
    <row r="30" spans="1:22">
      <c r="A30" t="str">
        <f t="shared" si="0"/>
        <v>01/09/2025</v>
      </c>
      <c r="B30" t="str">
        <f t="shared" si="1"/>
        <v>SAÍDA</v>
      </c>
      <c r="C30" t="str">
        <f t="shared" si="10"/>
        <v>BOLETO</v>
      </c>
      <c r="D30" t="str">
        <f>"24144"</f>
        <v>24144</v>
      </c>
      <c r="E30" t="str">
        <f>""</f>
        <v/>
      </c>
      <c r="F30" t="str">
        <f t="shared" si="4"/>
        <v>COM</v>
      </c>
      <c r="G30" t="str">
        <f>"SYSTEM DESIGN INFORMATICA LTDA (20039)"</f>
        <v>SYSTEM DESIGN INFORMATICA LTDA (20039)</v>
      </c>
      <c r="H30" t="s">
        <v>35</v>
      </c>
      <c r="I30" t="str">
        <f>("30/08/2025")</f>
        <v>30/08/2025</v>
      </c>
      <c r="J30" t="str">
        <f>("11/08/2025")</f>
        <v>11/08/2025</v>
      </c>
      <c r="K30">
        <v>45901</v>
      </c>
      <c r="N30">
        <v>104</v>
      </c>
      <c r="O30" t="s">
        <v>34</v>
      </c>
      <c r="Q30">
        <v>250</v>
      </c>
      <c r="R30" t="str">
        <f>"SYSTEM DESIGN INFORMATICA LTDA (20039)"</f>
        <v>SYSTEM DESIGN INFORMATICA LTDA (20039)</v>
      </c>
      <c r="S30" t="s">
        <v>22</v>
      </c>
      <c r="T30">
        <v>18518</v>
      </c>
      <c r="U30">
        <v>20368</v>
      </c>
      <c r="V30" t="s">
        <v>22</v>
      </c>
    </row>
    <row r="31" spans="1:22">
      <c r="A31" t="str">
        <f t="shared" si="0"/>
        <v>01/09/2025</v>
      </c>
      <c r="B31" t="str">
        <f t="shared" si="1"/>
        <v>SAÍDA</v>
      </c>
      <c r="C31" t="str">
        <f t="shared" si="10"/>
        <v>BOLETO</v>
      </c>
      <c r="D31" t="str">
        <f>"20272"</f>
        <v>20272</v>
      </c>
      <c r="E31" t="str">
        <f>""</f>
        <v/>
      </c>
      <c r="F31" t="str">
        <f t="shared" si="4"/>
        <v>COM</v>
      </c>
      <c r="G31" t="str">
        <f>"OPEN DATACENTER BRASIL LTDA (20044)"</f>
        <v>OPEN DATACENTER BRASIL LTDA (20044)</v>
      </c>
      <c r="H31" t="str">
        <f>"01/08 PROPOSTA 075527/2024 Máquina Dedicada Virtual – BR 2 vCPU Licenciadas com Windows Server 2019"</f>
        <v>01/08 PROPOSTA 075527/2024 Máquina Dedicada Virtual – BR 2 vCPU Licenciadas com Windows Server 2019</v>
      </c>
      <c r="I31" t="str">
        <f t="shared" ref="I31:I36" si="11">("01/09/2025")</f>
        <v>01/09/2025</v>
      </c>
      <c r="J31" t="str">
        <f>("20/08/2025")</f>
        <v>20/08/2025</v>
      </c>
      <c r="K31" t="str">
        <f>("01/09/2025")</f>
        <v>01/09/2025</v>
      </c>
      <c r="L31">
        <v>400.13</v>
      </c>
      <c r="M31">
        <v>400.13</v>
      </c>
      <c r="N31">
        <v>104</v>
      </c>
      <c r="O31" t="str">
        <f>"SOFTWARE / LICENÇAS"</f>
        <v>SOFTWARE / LICENÇAS</v>
      </c>
      <c r="P31">
        <v>400.13</v>
      </c>
      <c r="S31" t="str">
        <f>"BANCO CORA (102)"</f>
        <v>BANCO CORA (102)</v>
      </c>
      <c r="T31">
        <v>18519</v>
      </c>
      <c r="U31">
        <v>13391</v>
      </c>
      <c r="V31" t="s">
        <v>22</v>
      </c>
    </row>
    <row r="32" spans="1:22">
      <c r="A32" t="str">
        <f t="shared" si="0"/>
        <v>01/09/2025</v>
      </c>
      <c r="B32" t="str">
        <f t="shared" si="1"/>
        <v>SAÍDA</v>
      </c>
      <c r="C32" t="str">
        <f t="shared" si="10"/>
        <v>BOLETO</v>
      </c>
      <c r="D32" t="str">
        <f>"20272"</f>
        <v>20272</v>
      </c>
      <c r="E32" t="str">
        <f>""</f>
        <v/>
      </c>
      <c r="F32" t="str">
        <f t="shared" si="4"/>
        <v>COM</v>
      </c>
      <c r="G32" t="str">
        <f>"OPEN DATACENTER BRASIL LTDA (20044)"</f>
        <v>OPEN DATACENTER BRASIL LTDA (20044)</v>
      </c>
      <c r="H32" t="s">
        <v>36</v>
      </c>
      <c r="I32" t="str">
        <f t="shared" si="11"/>
        <v>01/09/2025</v>
      </c>
      <c r="J32" t="str">
        <f>("20/08/2025")</f>
        <v>20/08/2025</v>
      </c>
      <c r="K32">
        <v>45901</v>
      </c>
      <c r="N32">
        <v>104</v>
      </c>
      <c r="O32" t="s">
        <v>34</v>
      </c>
      <c r="Q32">
        <v>400.13</v>
      </c>
      <c r="R32" t="str">
        <f>"OPEN DATACENTER BRASIL LTDA (20044)"</f>
        <v>OPEN DATACENTER BRASIL LTDA (20044)</v>
      </c>
      <c r="S32" t="s">
        <v>22</v>
      </c>
      <c r="T32">
        <v>18519</v>
      </c>
      <c r="U32">
        <v>13391</v>
      </c>
      <c r="V32" t="s">
        <v>22</v>
      </c>
    </row>
    <row r="33" spans="1:22">
      <c r="A33" t="str">
        <f t="shared" si="0"/>
        <v>01/09/2025</v>
      </c>
      <c r="B33" t="str">
        <f t="shared" si="1"/>
        <v>SAÍDA</v>
      </c>
      <c r="C33" t="str">
        <f t="shared" si="10"/>
        <v>BOLETO</v>
      </c>
      <c r="D33" t="str">
        <f>"4950001"</f>
        <v>4950001</v>
      </c>
      <c r="E33" t="str">
        <f>""</f>
        <v/>
      </c>
      <c r="F33" t="str">
        <f t="shared" si="4"/>
        <v>COM</v>
      </c>
      <c r="G33" t="str">
        <f>"FUNCIONAL HEALTH TECH SOLUCOES EM SAUDE S.A. (20075)"</f>
        <v>FUNCIONAL HEALTH TECH SOLUCOES EM SAUDE S.A. (20075)</v>
      </c>
      <c r="H33" t="str">
        <f>"PLANO FARMACIA PARA COOPERADOS"</f>
        <v>PLANO FARMACIA PARA COOPERADOS</v>
      </c>
      <c r="I33" t="str">
        <f t="shared" si="11"/>
        <v>01/09/2025</v>
      </c>
      <c r="J33" t="str">
        <f>("14/08/2025")</f>
        <v>14/08/2025</v>
      </c>
      <c r="K33" t="str">
        <f>("01/09/2025")</f>
        <v>01/09/2025</v>
      </c>
      <c r="L33">
        <v>528</v>
      </c>
      <c r="M33">
        <v>528</v>
      </c>
      <c r="N33">
        <v>192</v>
      </c>
      <c r="O33" t="str">
        <f>"PLANOS E SEGUROS"</f>
        <v>PLANOS E SEGUROS</v>
      </c>
      <c r="P33">
        <v>528</v>
      </c>
      <c r="S33" t="str">
        <f>"BANCO CORA (102)"</f>
        <v>BANCO CORA (102)</v>
      </c>
      <c r="T33">
        <v>18520</v>
      </c>
      <c r="U33">
        <v>13400</v>
      </c>
      <c r="V33" t="s">
        <v>22</v>
      </c>
    </row>
    <row r="34" spans="1:22">
      <c r="A34" t="str">
        <f t="shared" si="0"/>
        <v>01/09/2025</v>
      </c>
      <c r="B34" t="str">
        <f t="shared" ref="B34:B55" si="12">"SAÍDA"</f>
        <v>SAÍDA</v>
      </c>
      <c r="C34" t="str">
        <f t="shared" si="10"/>
        <v>BOLETO</v>
      </c>
      <c r="D34" t="str">
        <f>"4950001"</f>
        <v>4950001</v>
      </c>
      <c r="E34" t="str">
        <f>""</f>
        <v/>
      </c>
      <c r="F34" t="str">
        <f t="shared" si="4"/>
        <v>COM</v>
      </c>
      <c r="G34" t="str">
        <f>"FUNCIONAL HEALTH TECH SOLUCOES EM SAUDE S.A. (20075)"</f>
        <v>FUNCIONAL HEALTH TECH SOLUCOES EM SAUDE S.A. (20075)</v>
      </c>
      <c r="H34" t="s">
        <v>37</v>
      </c>
      <c r="I34" t="str">
        <f t="shared" si="11"/>
        <v>01/09/2025</v>
      </c>
      <c r="J34" t="str">
        <f>("14/08/2025")</f>
        <v>14/08/2025</v>
      </c>
      <c r="K34">
        <v>45901</v>
      </c>
      <c r="N34">
        <v>192</v>
      </c>
      <c r="O34" t="s">
        <v>38</v>
      </c>
      <c r="Q34">
        <v>528</v>
      </c>
      <c r="R34" t="str">
        <f>"FUNCIONAL HEALTH TECH SOLUCOES EM SAUDE S.A. (20075)"</f>
        <v>FUNCIONAL HEALTH TECH SOLUCOES EM SAUDE S.A. (20075)</v>
      </c>
      <c r="S34" t="s">
        <v>22</v>
      </c>
      <c r="T34">
        <v>18520</v>
      </c>
      <c r="U34">
        <v>13400</v>
      </c>
      <c r="V34" t="s">
        <v>22</v>
      </c>
    </row>
    <row r="35" spans="1:22">
      <c r="A35" t="str">
        <f t="shared" si="0"/>
        <v>01/09/2025</v>
      </c>
      <c r="B35" t="str">
        <f t="shared" si="12"/>
        <v>SAÍDA</v>
      </c>
      <c r="C35" t="str">
        <f t="shared" ref="C35:C55" si="13">"PIX"</f>
        <v>PIX</v>
      </c>
      <c r="D35" t="str">
        <f>"01082513049"</f>
        <v>01082513049</v>
      </c>
      <c r="E35" t="str">
        <f>"9"</f>
        <v>9</v>
      </c>
      <c r="F35" t="str">
        <f t="shared" si="4"/>
        <v>COM</v>
      </c>
      <c r="G35" t="str">
        <f>"54.235.509 ROBERT MAGDIEL DE CARVALHO (20004)"</f>
        <v>54.235.509 ROBERT MAGDIEL DE CARVALHO (20004)</v>
      </c>
      <c r="H35" t="str">
        <f>"CHAT GPT"</f>
        <v>CHAT GPT</v>
      </c>
      <c r="I35" t="str">
        <f t="shared" si="11"/>
        <v>01/09/2025</v>
      </c>
      <c r="J35" t="str">
        <f>("01/08/2025")</f>
        <v>01/08/2025</v>
      </c>
      <c r="K35" t="str">
        <f>("01/09/2025")</f>
        <v>01/09/2025</v>
      </c>
      <c r="L35">
        <v>130.49</v>
      </c>
      <c r="M35">
        <v>130.49</v>
      </c>
      <c r="N35">
        <v>104</v>
      </c>
      <c r="O35" t="str">
        <f>"SOFTWARE / LICENÇAS"</f>
        <v>SOFTWARE / LICENÇAS</v>
      </c>
      <c r="P35">
        <v>130.49</v>
      </c>
      <c r="S35" t="str">
        <f>"BANCO CORA (102)"</f>
        <v>BANCO CORA (102)</v>
      </c>
      <c r="T35">
        <v>18521</v>
      </c>
      <c r="U35">
        <v>19903</v>
      </c>
      <c r="V35" t="s">
        <v>22</v>
      </c>
    </row>
    <row r="36" spans="1:22">
      <c r="A36" t="str">
        <f t="shared" si="0"/>
        <v>01/09/2025</v>
      </c>
      <c r="B36" t="str">
        <f t="shared" si="12"/>
        <v>SAÍDA</v>
      </c>
      <c r="C36" t="str">
        <f t="shared" si="13"/>
        <v>PIX</v>
      </c>
      <c r="D36" t="str">
        <f>"01082513049"</f>
        <v>01082513049</v>
      </c>
      <c r="E36" t="str">
        <f>"9"</f>
        <v>9</v>
      </c>
      <c r="F36" t="str">
        <f t="shared" si="4"/>
        <v>COM</v>
      </c>
      <c r="G36" t="str">
        <f>"54.235.509 ROBERT MAGDIEL DE CARVALHO (20004)"</f>
        <v>54.235.509 ROBERT MAGDIEL DE CARVALHO (20004)</v>
      </c>
      <c r="H36" t="s">
        <v>39</v>
      </c>
      <c r="I36" t="str">
        <f t="shared" si="11"/>
        <v>01/09/2025</v>
      </c>
      <c r="J36" t="str">
        <f>("01/08/2025")</f>
        <v>01/08/2025</v>
      </c>
      <c r="K36">
        <v>45901</v>
      </c>
      <c r="N36">
        <v>104</v>
      </c>
      <c r="O36" t="s">
        <v>34</v>
      </c>
      <c r="Q36">
        <v>130.49</v>
      </c>
      <c r="R36" t="str">
        <f>"54.235.509 ROBERT MAGDIEL DE CARVALHO (20004)"</f>
        <v>54.235.509 ROBERT MAGDIEL DE CARVALHO (20004)</v>
      </c>
      <c r="S36" t="s">
        <v>22</v>
      </c>
      <c r="T36">
        <v>18521</v>
      </c>
      <c r="U36">
        <v>19903</v>
      </c>
      <c r="V36" t="s">
        <v>22</v>
      </c>
    </row>
    <row r="37" spans="1:22">
      <c r="A37" t="str">
        <f t="shared" ref="A37:A49" si="14">("02/09/2025")</f>
        <v>02/09/2025</v>
      </c>
      <c r="B37" t="str">
        <f t="shared" si="12"/>
        <v>SAÍDA</v>
      </c>
      <c r="C37" t="str">
        <f t="shared" si="13"/>
        <v>PIX</v>
      </c>
      <c r="D37" t="str">
        <f>"21104"</f>
        <v>21104</v>
      </c>
      <c r="E37" t="str">
        <f t="shared" ref="E37:E48" si="15">"1"</f>
        <v>1</v>
      </c>
      <c r="F37" t="str">
        <f t="shared" si="4"/>
        <v>COM</v>
      </c>
      <c r="G37" t="str">
        <f>"WILLIAM FERREIRA DE OLIVEIRA (900)"</f>
        <v>WILLIAM FERREIRA DE OLIVEIRA (900)</v>
      </c>
      <c r="H37" t="str">
        <f>"Serv.Prest. 25/08/2025 a 31/08/2025 - PIX: CPF - CHAVE: 106.393.056-10"</f>
        <v>Serv.Prest. 25/08/2025 a 31/08/2025 - PIX: CPF - CHAVE: 106.393.056-10</v>
      </c>
      <c r="I37" t="str">
        <f t="shared" ref="I37:I44" si="16">("02/09/2025")</f>
        <v>02/09/2025</v>
      </c>
      <c r="J37" t="str">
        <f>("01/09/2025")</f>
        <v>01/09/2025</v>
      </c>
      <c r="K37" t="str">
        <f>("02/09/2025")</f>
        <v>02/09/2025</v>
      </c>
      <c r="L37">
        <v>144</v>
      </c>
      <c r="M37">
        <v>140</v>
      </c>
      <c r="N37">
        <v>134</v>
      </c>
      <c r="O37" t="str">
        <f>"DIARIA DE MOTOBOY"</f>
        <v>DIARIA DE MOTOBOY</v>
      </c>
      <c r="P37">
        <v>140</v>
      </c>
      <c r="S37" t="str">
        <f>"BANCO CORA (102)"</f>
        <v>BANCO CORA (102)</v>
      </c>
      <c r="T37">
        <v>17366</v>
      </c>
      <c r="U37">
        <v>21104</v>
      </c>
      <c r="V37" t="s">
        <v>22</v>
      </c>
    </row>
    <row r="38" spans="1:22">
      <c r="A38" t="str">
        <f t="shared" si="14"/>
        <v>02/09/2025</v>
      </c>
      <c r="B38" t="str">
        <f t="shared" si="12"/>
        <v>SAÍDA</v>
      </c>
      <c r="C38" t="str">
        <f t="shared" si="13"/>
        <v>PIX</v>
      </c>
      <c r="D38" t="str">
        <f>"21104"</f>
        <v>21104</v>
      </c>
      <c r="E38" t="str">
        <f t="shared" si="15"/>
        <v>1</v>
      </c>
      <c r="F38" t="str">
        <f t="shared" si="4"/>
        <v>COM</v>
      </c>
      <c r="G38" t="str">
        <f>"WILLIAM FERREIRA DE OLIVEIRA (900)"</f>
        <v>WILLIAM FERREIRA DE OLIVEIRA (900)</v>
      </c>
      <c r="H38" t="s">
        <v>40</v>
      </c>
      <c r="I38" t="str">
        <f t="shared" si="16"/>
        <v>02/09/2025</v>
      </c>
      <c r="J38" t="str">
        <f>("01/09/2025")</f>
        <v>01/09/2025</v>
      </c>
      <c r="K38">
        <v>45902</v>
      </c>
      <c r="N38">
        <v>134</v>
      </c>
      <c r="O38" t="s">
        <v>41</v>
      </c>
      <c r="Q38">
        <v>140</v>
      </c>
      <c r="R38" t="str">
        <f>"PAGMENOS - LJ 657 (10136)"</f>
        <v>PAGMENOS - LJ 657 (10136)</v>
      </c>
      <c r="S38" t="s">
        <v>22</v>
      </c>
      <c r="T38">
        <v>17366</v>
      </c>
      <c r="U38">
        <v>21104</v>
      </c>
      <c r="V38" t="s">
        <v>22</v>
      </c>
    </row>
    <row r="39" spans="1:22">
      <c r="A39" t="str">
        <f t="shared" si="14"/>
        <v>02/09/2025</v>
      </c>
      <c r="B39" t="str">
        <f t="shared" si="12"/>
        <v>SAÍDA</v>
      </c>
      <c r="C39" t="str">
        <f t="shared" si="13"/>
        <v>PIX</v>
      </c>
      <c r="D39" t="str">
        <f>"21261"</f>
        <v>21261</v>
      </c>
      <c r="E39" t="str">
        <f t="shared" si="15"/>
        <v>1</v>
      </c>
      <c r="F39" t="str">
        <f t="shared" si="4"/>
        <v>COM</v>
      </c>
      <c r="G39" t="str">
        <f>"VINÍCIUS CHAGAS ARAUJO (517)"</f>
        <v>VINÍCIUS CHAGAS ARAUJO (517)</v>
      </c>
      <c r="H39" t="str">
        <f>"Serv.Prest. 25/08/2025 a 31/08/2025 - PIX: CPF - CHAVE: 130.993.576-93"</f>
        <v>Serv.Prest. 25/08/2025 a 31/08/2025 - PIX: CPF - CHAVE: 130.993.576-93</v>
      </c>
      <c r="I39" t="str">
        <f t="shared" si="16"/>
        <v>02/09/2025</v>
      </c>
      <c r="J39" t="str">
        <f>("02/09/2025")</f>
        <v>02/09/2025</v>
      </c>
      <c r="K39" t="str">
        <f>("02/09/2025")</f>
        <v>02/09/2025</v>
      </c>
      <c r="L39">
        <v>170</v>
      </c>
      <c r="M39">
        <v>170</v>
      </c>
      <c r="N39">
        <v>134</v>
      </c>
      <c r="O39" t="str">
        <f>"DIARIA DE MOTOBOY"</f>
        <v>DIARIA DE MOTOBOY</v>
      </c>
      <c r="P39">
        <v>170</v>
      </c>
      <c r="S39" t="str">
        <f>"BANCO CORA (102)"</f>
        <v>BANCO CORA (102)</v>
      </c>
      <c r="T39">
        <v>17367</v>
      </c>
      <c r="U39">
        <v>21261</v>
      </c>
      <c r="V39" t="s">
        <v>22</v>
      </c>
    </row>
    <row r="40" spans="1:22">
      <c r="A40" t="str">
        <f t="shared" si="14"/>
        <v>02/09/2025</v>
      </c>
      <c r="B40" t="str">
        <f t="shared" si="12"/>
        <v>SAÍDA</v>
      </c>
      <c r="C40" t="str">
        <f t="shared" si="13"/>
        <v>PIX</v>
      </c>
      <c r="D40" t="str">
        <f>"21261"</f>
        <v>21261</v>
      </c>
      <c r="E40" t="str">
        <f t="shared" si="15"/>
        <v>1</v>
      </c>
      <c r="F40" t="str">
        <f t="shared" si="4"/>
        <v>COM</v>
      </c>
      <c r="G40" t="str">
        <f>"VINÍCIUS CHAGAS ARAUJO (517)"</f>
        <v>VINÍCIUS CHAGAS ARAUJO (517)</v>
      </c>
      <c r="H40" t="s">
        <v>42</v>
      </c>
      <c r="I40" t="str">
        <f t="shared" si="16"/>
        <v>02/09/2025</v>
      </c>
      <c r="J40" t="str">
        <f>("02/09/2025")</f>
        <v>02/09/2025</v>
      </c>
      <c r="K40">
        <v>45902</v>
      </c>
      <c r="N40">
        <v>134</v>
      </c>
      <c r="O40" t="s">
        <v>41</v>
      </c>
      <c r="Q40">
        <v>170</v>
      </c>
      <c r="R40" t="str">
        <f>"FARMÁCIA INDIANA LJ 118 (10052)"</f>
        <v>FARMÁCIA INDIANA LJ 118 (10052)</v>
      </c>
      <c r="S40" t="s">
        <v>22</v>
      </c>
      <c r="T40">
        <v>17367</v>
      </c>
      <c r="U40">
        <v>21261</v>
      </c>
      <c r="V40" t="s">
        <v>22</v>
      </c>
    </row>
    <row r="41" spans="1:22">
      <c r="A41" t="str">
        <f t="shared" si="14"/>
        <v>02/09/2025</v>
      </c>
      <c r="B41" t="str">
        <f t="shared" si="12"/>
        <v>SAÍDA</v>
      </c>
      <c r="C41" t="str">
        <f t="shared" si="13"/>
        <v>PIX</v>
      </c>
      <c r="D41" t="str">
        <f>"21160"</f>
        <v>21160</v>
      </c>
      <c r="E41" t="str">
        <f t="shared" si="15"/>
        <v>1</v>
      </c>
      <c r="F41" t="str">
        <f t="shared" si="4"/>
        <v>COM</v>
      </c>
      <c r="G41" t="str">
        <f>"YAN BRENDO CORREIA VIEIRA (861)"</f>
        <v>YAN BRENDO CORREIA VIEIRA (861)</v>
      </c>
      <c r="H41" t="str">
        <f>"Diaria 02/09/2025 - PIX: CPF - CHAVE: 096.891.935-97"</f>
        <v>Diaria 02/09/2025 - PIX: CPF - CHAVE: 096.891.935-97</v>
      </c>
      <c r="I41" t="str">
        <f t="shared" si="16"/>
        <v>02/09/2025</v>
      </c>
      <c r="J41" t="str">
        <f>("02/09/2025")</f>
        <v>02/09/2025</v>
      </c>
      <c r="K41" t="str">
        <f>("02/09/2025")</f>
        <v>02/09/2025</v>
      </c>
      <c r="L41">
        <v>150</v>
      </c>
      <c r="M41">
        <v>150</v>
      </c>
      <c r="N41">
        <v>109</v>
      </c>
      <c r="O41" t="str">
        <f>"PAGAMENTO DE ENTREGADORES"</f>
        <v>PAGAMENTO DE ENTREGADORES</v>
      </c>
      <c r="P41">
        <v>150</v>
      </c>
      <c r="S41" t="str">
        <f>"BANCO CORA (102)"</f>
        <v>BANCO CORA (102)</v>
      </c>
      <c r="T41">
        <v>17423</v>
      </c>
      <c r="U41">
        <v>21278</v>
      </c>
      <c r="V41" t="s">
        <v>22</v>
      </c>
    </row>
    <row r="42" spans="1:22">
      <c r="A42" t="str">
        <f t="shared" si="14"/>
        <v>02/09/2025</v>
      </c>
      <c r="B42" t="str">
        <f t="shared" si="12"/>
        <v>SAÍDA</v>
      </c>
      <c r="C42" t="str">
        <f t="shared" si="13"/>
        <v>PIX</v>
      </c>
      <c r="D42" t="str">
        <f>"21160"</f>
        <v>21160</v>
      </c>
      <c r="E42" t="str">
        <f t="shared" si="15"/>
        <v>1</v>
      </c>
      <c r="F42" t="str">
        <f t="shared" si="4"/>
        <v>COM</v>
      </c>
      <c r="G42" t="str">
        <f>"YAN BRENDO CORREIA VIEIRA (861)"</f>
        <v>YAN BRENDO CORREIA VIEIRA (861)</v>
      </c>
      <c r="H42" t="s">
        <v>43</v>
      </c>
      <c r="I42" t="str">
        <f t="shared" si="16"/>
        <v>02/09/2025</v>
      </c>
      <c r="J42" t="str">
        <f>("02/09/2025")</f>
        <v>02/09/2025</v>
      </c>
      <c r="K42">
        <v>45902</v>
      </c>
      <c r="N42">
        <v>109</v>
      </c>
      <c r="O42" t="s">
        <v>24</v>
      </c>
      <c r="Q42">
        <v>150</v>
      </c>
      <c r="R42" t="str">
        <f>"FARMÁCIA INDIANA LJ 200 (10155)"</f>
        <v>FARMÁCIA INDIANA LJ 200 (10155)</v>
      </c>
      <c r="S42" t="s">
        <v>22</v>
      </c>
      <c r="T42">
        <v>17423</v>
      </c>
      <c r="U42">
        <v>21278</v>
      </c>
      <c r="V42" t="s">
        <v>22</v>
      </c>
    </row>
    <row r="43" spans="1:22">
      <c r="A43" t="str">
        <f t="shared" si="14"/>
        <v>02/09/2025</v>
      </c>
      <c r="B43" t="str">
        <f t="shared" si="12"/>
        <v>SAÍDA</v>
      </c>
      <c r="C43" t="str">
        <f t="shared" si="13"/>
        <v>PIX</v>
      </c>
      <c r="D43" t="str">
        <f>"21220"</f>
        <v>21220</v>
      </c>
      <c r="E43" t="str">
        <f t="shared" si="15"/>
        <v>1</v>
      </c>
      <c r="F43" t="str">
        <f t="shared" si="4"/>
        <v>COM</v>
      </c>
      <c r="G43" t="str">
        <f>"LAUAN ROCHA DE MELO (914)"</f>
        <v>LAUAN ROCHA DE MELO (914)</v>
      </c>
      <c r="H43" t="str">
        <f>"Serv.Prest. 25/08/2025 a 31/08/2025 - PIX: CELULAR - CHAVE: (32) 99913-0476"</f>
        <v>Serv.Prest. 25/08/2025 a 31/08/2025 - PIX: CELULAR - CHAVE: (32) 99913-0476</v>
      </c>
      <c r="I43" t="str">
        <f t="shared" si="16"/>
        <v>02/09/2025</v>
      </c>
      <c r="J43" t="str">
        <f>("02/09/2025")</f>
        <v>02/09/2025</v>
      </c>
      <c r="K43" t="str">
        <f>("02/09/2025")</f>
        <v>02/09/2025</v>
      </c>
      <c r="L43">
        <v>120</v>
      </c>
      <c r="M43">
        <v>120</v>
      </c>
      <c r="N43">
        <v>134</v>
      </c>
      <c r="O43" t="str">
        <f>"DIARIA DE MOTOBOY"</f>
        <v>DIARIA DE MOTOBOY</v>
      </c>
      <c r="P43">
        <v>120</v>
      </c>
      <c r="S43" t="str">
        <f>"BANCO CORA (102)"</f>
        <v>BANCO CORA (102)</v>
      </c>
      <c r="T43">
        <v>17424</v>
      </c>
      <c r="U43">
        <v>21220</v>
      </c>
      <c r="V43" t="s">
        <v>22</v>
      </c>
    </row>
    <row r="44" spans="1:22">
      <c r="A44" t="str">
        <f t="shared" si="14"/>
        <v>02/09/2025</v>
      </c>
      <c r="B44" t="str">
        <f t="shared" si="12"/>
        <v>SAÍDA</v>
      </c>
      <c r="C44" t="str">
        <f t="shared" si="13"/>
        <v>PIX</v>
      </c>
      <c r="D44" t="str">
        <f>"21220"</f>
        <v>21220</v>
      </c>
      <c r="E44" t="str">
        <f t="shared" si="15"/>
        <v>1</v>
      </c>
      <c r="F44" t="str">
        <f t="shared" si="4"/>
        <v>COM</v>
      </c>
      <c r="G44" t="str">
        <f>"LAUAN ROCHA DE MELO (914)"</f>
        <v>LAUAN ROCHA DE MELO (914)</v>
      </c>
      <c r="H44" t="s">
        <v>44</v>
      </c>
      <c r="I44" t="str">
        <f t="shared" si="16"/>
        <v>02/09/2025</v>
      </c>
      <c r="J44" t="str">
        <f>("02/09/2025")</f>
        <v>02/09/2025</v>
      </c>
      <c r="K44">
        <v>45902</v>
      </c>
      <c r="N44">
        <v>134</v>
      </c>
      <c r="O44" t="s">
        <v>41</v>
      </c>
      <c r="Q44">
        <v>120</v>
      </c>
      <c r="R44" t="str">
        <f>"FARMÁCIA INDIANA LJ 109 (10047)"</f>
        <v>FARMÁCIA INDIANA LJ 109 (10047)</v>
      </c>
      <c r="S44" t="s">
        <v>22</v>
      </c>
      <c r="T44">
        <v>17424</v>
      </c>
      <c r="U44">
        <v>21220</v>
      </c>
      <c r="V44" t="s">
        <v>22</v>
      </c>
    </row>
    <row r="45" spans="1:22">
      <c r="A45" t="str">
        <f t="shared" si="14"/>
        <v>02/09/2025</v>
      </c>
      <c r="B45" t="str">
        <f t="shared" si="12"/>
        <v>SAÍDA</v>
      </c>
      <c r="C45" t="str">
        <f t="shared" si="13"/>
        <v>PIX</v>
      </c>
      <c r="D45" t="str">
        <f>"21536"</f>
        <v>21536</v>
      </c>
      <c r="E45" t="str">
        <f t="shared" si="15"/>
        <v>1</v>
      </c>
      <c r="F45" t="str">
        <f t="shared" si="4"/>
        <v>COM</v>
      </c>
      <c r="G45" t="str">
        <f>"JUSSARA CRISTINA FARIA (783)"</f>
        <v>JUSSARA CRISTINA FARIA (783)</v>
      </c>
      <c r="H45" t="str">
        <f>"Serv.Prest. 01/09/2025 a 07/09/2025 - PIX: CELULAR - CHAVE: (31) 99373-5678"</f>
        <v>Serv.Prest. 01/09/2025 a 07/09/2025 - PIX: CELULAR - CHAVE: (31) 99373-5678</v>
      </c>
      <c r="I45" t="str">
        <f>("18/09/2025")</f>
        <v>18/09/2025</v>
      </c>
      <c r="J45" t="str">
        <f>("08/09/2025")</f>
        <v>08/09/2025</v>
      </c>
      <c r="K45" t="str">
        <f>("02/09/2025")</f>
        <v>02/09/2025</v>
      </c>
      <c r="L45">
        <v>262.5</v>
      </c>
      <c r="M45">
        <v>150</v>
      </c>
      <c r="N45">
        <v>109</v>
      </c>
      <c r="O45" t="str">
        <f>"PAGAMENTO DE ENTREGADORES"</f>
        <v>PAGAMENTO DE ENTREGADORES</v>
      </c>
      <c r="P45">
        <v>150</v>
      </c>
      <c r="S45" t="str">
        <f>"BANCO CORA (102)"</f>
        <v>BANCO CORA (102)</v>
      </c>
      <c r="T45">
        <v>17750</v>
      </c>
      <c r="U45">
        <v>21536</v>
      </c>
      <c r="V45" t="s">
        <v>22</v>
      </c>
    </row>
    <row r="46" spans="1:22">
      <c r="A46" t="str">
        <f t="shared" si="14"/>
        <v>02/09/2025</v>
      </c>
      <c r="B46" t="str">
        <f t="shared" si="12"/>
        <v>SAÍDA</v>
      </c>
      <c r="C46" t="str">
        <f t="shared" si="13"/>
        <v>PIX</v>
      </c>
      <c r="D46" t="str">
        <f>"21536"</f>
        <v>21536</v>
      </c>
      <c r="E46" t="str">
        <f t="shared" si="15"/>
        <v>1</v>
      </c>
      <c r="F46" t="str">
        <f t="shared" si="4"/>
        <v>COM</v>
      </c>
      <c r="G46" t="str">
        <f>"JUSSARA CRISTINA FARIA (783)"</f>
        <v>JUSSARA CRISTINA FARIA (783)</v>
      </c>
      <c r="H46" t="s">
        <v>45</v>
      </c>
      <c r="I46" t="str">
        <f>("18/09/2025")</f>
        <v>18/09/2025</v>
      </c>
      <c r="J46" t="str">
        <f>("08/09/2025")</f>
        <v>08/09/2025</v>
      </c>
      <c r="K46">
        <v>45902</v>
      </c>
      <c r="N46">
        <v>109</v>
      </c>
      <c r="O46" t="s">
        <v>24</v>
      </c>
      <c r="Q46">
        <v>150</v>
      </c>
      <c r="R46" t="str">
        <f>"FARMÁCIA INDIANA LJ 110 (10048)"</f>
        <v>FARMÁCIA INDIANA LJ 110 (10048)</v>
      </c>
      <c r="S46" t="s">
        <v>22</v>
      </c>
      <c r="T46">
        <v>17750</v>
      </c>
      <c r="U46">
        <v>21536</v>
      </c>
      <c r="V46" t="s">
        <v>22</v>
      </c>
    </row>
    <row r="47" spans="1:22">
      <c r="A47" t="str">
        <f t="shared" si="14"/>
        <v>02/09/2025</v>
      </c>
      <c r="B47" t="str">
        <f t="shared" si="12"/>
        <v>SAÍDA</v>
      </c>
      <c r="C47" t="str">
        <f t="shared" si="13"/>
        <v>PIX</v>
      </c>
      <c r="D47" t="str">
        <f>"21473"</f>
        <v>21473</v>
      </c>
      <c r="E47" t="str">
        <f t="shared" si="15"/>
        <v>1</v>
      </c>
      <c r="F47" t="str">
        <f t="shared" si="4"/>
        <v>COM</v>
      </c>
      <c r="G47" t="str">
        <f>"FABIO JUNIOR DOS SANTOS FERRAZ (927)"</f>
        <v>FABIO JUNIOR DOS SANTOS FERRAZ (927)</v>
      </c>
      <c r="H47" t="str">
        <f>"Serv.Prest. 01/09/2025 a 07/09/2025 - PIX: CELULAR - CHAVE: (11) 91439-9070"</f>
        <v>Serv.Prest. 01/09/2025 a 07/09/2025 - PIX: CELULAR - CHAVE: (11) 91439-9070</v>
      </c>
      <c r="I47" t="str">
        <f>("11/09/2025")</f>
        <v>11/09/2025</v>
      </c>
      <c r="J47" t="str">
        <f>("08/09/2025")</f>
        <v>08/09/2025</v>
      </c>
      <c r="K47" t="str">
        <f>("02/09/2025")</f>
        <v>02/09/2025</v>
      </c>
      <c r="L47">
        <v>147</v>
      </c>
      <c r="M47">
        <v>150</v>
      </c>
      <c r="N47">
        <v>109</v>
      </c>
      <c r="O47" t="str">
        <f>"PAGAMENTO DE ENTREGADORES"</f>
        <v>PAGAMENTO DE ENTREGADORES</v>
      </c>
      <c r="P47">
        <v>150</v>
      </c>
      <c r="S47" t="str">
        <f>"BANCO CORA (102)"</f>
        <v>BANCO CORA (102)</v>
      </c>
      <c r="T47">
        <v>17755</v>
      </c>
      <c r="U47">
        <v>21473</v>
      </c>
      <c r="V47" t="s">
        <v>22</v>
      </c>
    </row>
    <row r="48" spans="1:22">
      <c r="A48" t="str">
        <f t="shared" si="14"/>
        <v>02/09/2025</v>
      </c>
      <c r="B48" t="str">
        <f t="shared" si="12"/>
        <v>SAÍDA</v>
      </c>
      <c r="C48" t="str">
        <f t="shared" si="13"/>
        <v>PIX</v>
      </c>
      <c r="D48" t="str">
        <f>"21473"</f>
        <v>21473</v>
      </c>
      <c r="E48" t="str">
        <f t="shared" si="15"/>
        <v>1</v>
      </c>
      <c r="F48" t="str">
        <f t="shared" si="4"/>
        <v>COM</v>
      </c>
      <c r="G48" t="str">
        <f>"FABIO JUNIOR DOS SANTOS FERRAZ (927)"</f>
        <v>FABIO JUNIOR DOS SANTOS FERRAZ (927)</v>
      </c>
      <c r="H48" t="s">
        <v>46</v>
      </c>
      <c r="I48" t="str">
        <f>("11/09/2025")</f>
        <v>11/09/2025</v>
      </c>
      <c r="J48" t="str">
        <f>("08/09/2025")</f>
        <v>08/09/2025</v>
      </c>
      <c r="K48">
        <v>45902</v>
      </c>
      <c r="N48">
        <v>109</v>
      </c>
      <c r="O48" t="s">
        <v>24</v>
      </c>
      <c r="Q48">
        <v>150</v>
      </c>
      <c r="R48" t="str">
        <f>"DROGARIA MORENO LTDA (10171)"</f>
        <v>DROGARIA MORENO LTDA (10171)</v>
      </c>
      <c r="S48" t="s">
        <v>22</v>
      </c>
      <c r="T48">
        <v>17755</v>
      </c>
      <c r="U48">
        <v>21473</v>
      </c>
      <c r="V48" t="s">
        <v>22</v>
      </c>
    </row>
    <row r="49" spans="1:22">
      <c r="A49" t="str">
        <f t="shared" si="14"/>
        <v>02/09/2025</v>
      </c>
      <c r="B49" t="str">
        <f t="shared" si="12"/>
        <v>SAÍDA</v>
      </c>
      <c r="C49" t="str">
        <f t="shared" si="13"/>
        <v>PIX</v>
      </c>
      <c r="D49" t="str">
        <f>"020925328484"</f>
        <v>020925328484</v>
      </c>
      <c r="E49" t="str">
        <f>""</f>
        <v/>
      </c>
      <c r="F49" t="str">
        <f t="shared" si="4"/>
        <v>COM</v>
      </c>
      <c r="G49" t="str">
        <f>"47.157.493 EDER DONIZETI GOMIDE (20096)"</f>
        <v>47.157.493 EDER DONIZETI GOMIDE (20096)</v>
      </c>
      <c r="H49" t="str">
        <f>"PASSAGENS + HOSPEDAGEM - RECIFE"</f>
        <v>PASSAGENS + HOSPEDAGEM - RECIFE</v>
      </c>
      <c r="I49" t="str">
        <f>("02/09/2025")</f>
        <v>02/09/2025</v>
      </c>
      <c r="J49" t="str">
        <f>("02/09/2025")</f>
        <v>02/09/2025</v>
      </c>
      <c r="K49" t="str">
        <f>("02/09/2025")</f>
        <v>02/09/2025</v>
      </c>
      <c r="L49">
        <v>3284.84</v>
      </c>
      <c r="M49">
        <v>3284.84</v>
      </c>
      <c r="N49">
        <v>117</v>
      </c>
      <c r="O49" t="str">
        <f>"DESPESAS COM VIAGENS COMERCIAIS"</f>
        <v>DESPESAS COM VIAGENS COMERCIAIS</v>
      </c>
      <c r="P49">
        <v>3284.84</v>
      </c>
      <c r="S49" t="str">
        <f>"BANCO CORA (102)"</f>
        <v>BANCO CORA (102)</v>
      </c>
      <c r="T49">
        <v>18522</v>
      </c>
      <c r="U49">
        <v>21288</v>
      </c>
      <c r="V49" t="s">
        <v>22</v>
      </c>
    </row>
    <row r="50" spans="1:22">
      <c r="A50" t="str">
        <f t="shared" ref="A50:A81" si="17">("03/09/2025")</f>
        <v>03/09/2025</v>
      </c>
      <c r="B50" t="str">
        <f t="shared" si="12"/>
        <v>SAÍDA</v>
      </c>
      <c r="C50" t="str">
        <f t="shared" si="13"/>
        <v>PIX</v>
      </c>
      <c r="D50" t="str">
        <f>"21089"</f>
        <v>21089</v>
      </c>
      <c r="E50" t="str">
        <f t="shared" ref="E50:E55" si="18">"1"</f>
        <v>1</v>
      </c>
      <c r="F50" t="str">
        <f t="shared" si="4"/>
        <v>COM</v>
      </c>
      <c r="G50" t="str">
        <f>"JAMERSON SOUZA LOPES (749)"</f>
        <v>JAMERSON SOUZA LOPES (749)</v>
      </c>
      <c r="H50" t="str">
        <f>"Serv.Prest. 25/08/2025 a 31/08/2025 - PIX: CPF - CHAVE: 423.098.018-36"</f>
        <v>Serv.Prest. 25/08/2025 a 31/08/2025 - PIX: CPF - CHAVE: 423.098.018-36</v>
      </c>
      <c r="I50" t="str">
        <f t="shared" ref="I50:I55" si="19">("04/09/2025")</f>
        <v>04/09/2025</v>
      </c>
      <c r="J50" t="str">
        <f>("01/09/2025")</f>
        <v>01/09/2025</v>
      </c>
      <c r="K50" t="str">
        <f>("03/09/2025")</f>
        <v>03/09/2025</v>
      </c>
      <c r="L50">
        <v>100</v>
      </c>
      <c r="M50">
        <v>100</v>
      </c>
      <c r="N50">
        <v>109</v>
      </c>
      <c r="O50" t="str">
        <f>"PAGAMENTO DE ENTREGADORES"</f>
        <v>PAGAMENTO DE ENTREGADORES</v>
      </c>
      <c r="P50">
        <v>100</v>
      </c>
      <c r="S50" t="str">
        <f>"BANCO CORA (102)"</f>
        <v>BANCO CORA (102)</v>
      </c>
      <c r="T50">
        <v>17422</v>
      </c>
      <c r="U50">
        <v>21331</v>
      </c>
      <c r="V50" t="s">
        <v>22</v>
      </c>
    </row>
    <row r="51" spans="1:22">
      <c r="A51" t="str">
        <f t="shared" si="17"/>
        <v>03/09/2025</v>
      </c>
      <c r="B51" t="str">
        <f t="shared" si="12"/>
        <v>SAÍDA</v>
      </c>
      <c r="C51" t="str">
        <f t="shared" si="13"/>
        <v>PIX</v>
      </c>
      <c r="D51" t="str">
        <f>"21089"</f>
        <v>21089</v>
      </c>
      <c r="E51" t="str">
        <f t="shared" si="18"/>
        <v>1</v>
      </c>
      <c r="F51" t="str">
        <f t="shared" si="4"/>
        <v>COM</v>
      </c>
      <c r="G51" t="str">
        <f>"JAMERSON SOUZA LOPES (749)"</f>
        <v>JAMERSON SOUZA LOPES (749)</v>
      </c>
      <c r="H51" t="s">
        <v>47</v>
      </c>
      <c r="I51" t="str">
        <f t="shared" si="19"/>
        <v>04/09/2025</v>
      </c>
      <c r="J51" t="str">
        <f>("01/09/2025")</f>
        <v>01/09/2025</v>
      </c>
      <c r="K51">
        <v>45903</v>
      </c>
      <c r="N51">
        <v>109</v>
      </c>
      <c r="O51" t="s">
        <v>24</v>
      </c>
      <c r="Q51">
        <v>100</v>
      </c>
      <c r="R51" t="str">
        <f>"DROGARIA TOTAL JUNDIAI (10177)"</f>
        <v>DROGARIA TOTAL JUNDIAI (10177)</v>
      </c>
      <c r="S51" t="s">
        <v>22</v>
      </c>
      <c r="T51">
        <v>17422</v>
      </c>
      <c r="U51">
        <v>21331</v>
      </c>
      <c r="V51" t="s">
        <v>22</v>
      </c>
    </row>
    <row r="52" spans="1:22">
      <c r="A52" t="str">
        <f t="shared" si="17"/>
        <v>03/09/2025</v>
      </c>
      <c r="B52" t="str">
        <f t="shared" si="12"/>
        <v>SAÍDA</v>
      </c>
      <c r="C52" t="str">
        <f t="shared" si="13"/>
        <v>PIX</v>
      </c>
      <c r="D52" t="str">
        <f>"21098"</f>
        <v>21098</v>
      </c>
      <c r="E52" t="str">
        <f t="shared" si="18"/>
        <v>1</v>
      </c>
      <c r="F52" t="str">
        <f t="shared" si="4"/>
        <v>COM</v>
      </c>
      <c r="G52" t="str">
        <f>"SAMUEL SOARES DA SILVA (867)"</f>
        <v>SAMUEL SOARES DA SILVA (867)</v>
      </c>
      <c r="H52" t="str">
        <f>"Serv.Prest. 25/08/2025 a 31/08/2025 - PIX: CPF - CHAVE: 396.124.108-28"</f>
        <v>Serv.Prest. 25/08/2025 a 31/08/2025 - PIX: CPF - CHAVE: 396.124.108-28</v>
      </c>
      <c r="I52" t="str">
        <f t="shared" si="19"/>
        <v>04/09/2025</v>
      </c>
      <c r="J52" t="str">
        <f>("01/09/2025")</f>
        <v>01/09/2025</v>
      </c>
      <c r="K52" t="str">
        <f>("03/09/2025")</f>
        <v>03/09/2025</v>
      </c>
      <c r="L52">
        <v>100</v>
      </c>
      <c r="M52">
        <v>100</v>
      </c>
      <c r="N52">
        <v>109</v>
      </c>
      <c r="O52" t="str">
        <f>"PAGAMENTO DE ENTREGADORES"</f>
        <v>PAGAMENTO DE ENTREGADORES</v>
      </c>
      <c r="P52">
        <v>100</v>
      </c>
      <c r="S52" t="str">
        <f>"BANCO CORA (102)"</f>
        <v>BANCO CORA (102)</v>
      </c>
      <c r="T52">
        <v>17431</v>
      </c>
      <c r="U52">
        <v>21334</v>
      </c>
      <c r="V52" t="s">
        <v>22</v>
      </c>
    </row>
    <row r="53" spans="1:22">
      <c r="A53" t="str">
        <f t="shared" si="17"/>
        <v>03/09/2025</v>
      </c>
      <c r="B53" t="str">
        <f t="shared" si="12"/>
        <v>SAÍDA</v>
      </c>
      <c r="C53" t="str">
        <f t="shared" si="13"/>
        <v>PIX</v>
      </c>
      <c r="D53" t="str">
        <f>"21098"</f>
        <v>21098</v>
      </c>
      <c r="E53" t="str">
        <f t="shared" si="18"/>
        <v>1</v>
      </c>
      <c r="F53" t="str">
        <f t="shared" si="4"/>
        <v>COM</v>
      </c>
      <c r="G53" t="str">
        <f>"SAMUEL SOARES DA SILVA (867)"</f>
        <v>SAMUEL SOARES DA SILVA (867)</v>
      </c>
      <c r="H53" t="s">
        <v>25</v>
      </c>
      <c r="I53" t="str">
        <f t="shared" si="19"/>
        <v>04/09/2025</v>
      </c>
      <c r="J53" t="str">
        <f>("01/09/2025")</f>
        <v>01/09/2025</v>
      </c>
      <c r="K53">
        <v>45903</v>
      </c>
      <c r="N53">
        <v>109</v>
      </c>
      <c r="O53" t="s">
        <v>24</v>
      </c>
      <c r="Q53">
        <v>100</v>
      </c>
      <c r="R53" t="str">
        <f>"DROGA ELIDA (10121)"</f>
        <v>DROGA ELIDA (10121)</v>
      </c>
      <c r="S53" t="s">
        <v>22</v>
      </c>
      <c r="T53">
        <v>17431</v>
      </c>
      <c r="U53">
        <v>21334</v>
      </c>
      <c r="V53" t="s">
        <v>22</v>
      </c>
    </row>
    <row r="54" spans="1:22">
      <c r="A54" t="str">
        <f t="shared" si="17"/>
        <v>03/09/2025</v>
      </c>
      <c r="B54" t="str">
        <f t="shared" si="12"/>
        <v>SAÍDA</v>
      </c>
      <c r="C54" t="str">
        <f t="shared" si="13"/>
        <v>PIX</v>
      </c>
      <c r="D54" t="str">
        <f>"21287"</f>
        <v>21287</v>
      </c>
      <c r="E54" t="str">
        <f t="shared" si="18"/>
        <v>1</v>
      </c>
      <c r="F54" t="str">
        <f t="shared" si="4"/>
        <v>COM</v>
      </c>
      <c r="G54" t="str">
        <f>"ELENICIO ALVES DOS SANTOS (243)"</f>
        <v>ELENICIO ALVES DOS SANTOS (243)</v>
      </c>
      <c r="H54" t="str">
        <f>"Serv.Prest. 01/08/2025 a 31/08/2025 - PIX: NÃO CADASTRADO - CHAVE: CEF AG 2986 CONTA 2292-5 POUPANÇA"</f>
        <v>Serv.Prest. 01/08/2025 a 31/08/2025 - PIX: NÃO CADASTRADO - CHAVE: CEF AG 2986 CONTA 2292-5 POUPANÇA</v>
      </c>
      <c r="I54" t="str">
        <f t="shared" si="19"/>
        <v>04/09/2025</v>
      </c>
      <c r="J54" t="str">
        <f>("02/09/2025")</f>
        <v>02/09/2025</v>
      </c>
      <c r="K54" t="str">
        <f>("03/09/2025")</f>
        <v>03/09/2025</v>
      </c>
      <c r="L54">
        <v>20</v>
      </c>
      <c r="M54">
        <v>20</v>
      </c>
      <c r="N54">
        <v>109</v>
      </c>
      <c r="O54" t="str">
        <f>"PAGAMENTO DE ENTREGADORES"</f>
        <v>PAGAMENTO DE ENTREGADORES</v>
      </c>
      <c r="P54">
        <v>20</v>
      </c>
      <c r="S54" t="str">
        <f>"CAIXA MOVIMENTAÇÃO OPERACIONAL (132)"</f>
        <v>CAIXA MOVIMENTAÇÃO OPERACIONAL (132)</v>
      </c>
      <c r="T54">
        <v>17432</v>
      </c>
      <c r="U54">
        <v>21335</v>
      </c>
      <c r="V54" t="s">
        <v>48</v>
      </c>
    </row>
    <row r="55" spans="1:22">
      <c r="A55" t="str">
        <f t="shared" si="17"/>
        <v>03/09/2025</v>
      </c>
      <c r="B55" t="str">
        <f t="shared" si="12"/>
        <v>SAÍDA</v>
      </c>
      <c r="C55" t="str">
        <f t="shared" si="13"/>
        <v>PIX</v>
      </c>
      <c r="D55" t="str">
        <f>"21287"</f>
        <v>21287</v>
      </c>
      <c r="E55" t="str">
        <f t="shared" si="18"/>
        <v>1</v>
      </c>
      <c r="F55" t="str">
        <f t="shared" si="4"/>
        <v>COM</v>
      </c>
      <c r="G55" t="str">
        <f>"ELENICIO ALVES DOS SANTOS (243)"</f>
        <v>ELENICIO ALVES DOS SANTOS (243)</v>
      </c>
      <c r="H55" t="s">
        <v>49</v>
      </c>
      <c r="I55" t="str">
        <f t="shared" si="19"/>
        <v>04/09/2025</v>
      </c>
      <c r="J55" t="str">
        <f>("02/09/2025")</f>
        <v>02/09/2025</v>
      </c>
      <c r="K55">
        <v>45903</v>
      </c>
      <c r="N55">
        <v>109</v>
      </c>
      <c r="O55" t="s">
        <v>24</v>
      </c>
      <c r="Q55">
        <v>20</v>
      </c>
      <c r="R55" t="str">
        <f>"DROGARIA POUPA MINAS (ULTRAMINAS) 1 (10181)"</f>
        <v>DROGARIA POUPA MINAS (ULTRAMINAS) 1 (10181)</v>
      </c>
      <c r="S55" t="s">
        <v>48</v>
      </c>
      <c r="T55">
        <v>17432</v>
      </c>
      <c r="U55">
        <v>21335</v>
      </c>
      <c r="V55" t="s">
        <v>48</v>
      </c>
    </row>
    <row r="56" spans="1:22">
      <c r="A56" t="str">
        <f t="shared" si="17"/>
        <v>03/09/2025</v>
      </c>
      <c r="B56" t="str">
        <f>"ENTRADA"</f>
        <v>ENTRADA</v>
      </c>
      <c r="C56" t="str">
        <f>"DINHEIRO"</f>
        <v>DINHEIRO</v>
      </c>
      <c r="D56" t="str">
        <f>"243"</f>
        <v>243</v>
      </c>
      <c r="E56" t="str">
        <f>"11"</f>
        <v>11</v>
      </c>
      <c r="F56" t="str">
        <f t="shared" si="4"/>
        <v>COM</v>
      </c>
      <c r="G56" t="str">
        <f>"ELENICIO ALVES DOS SANTOS (243)"</f>
        <v>ELENICIO ALVES DOS SANTOS (243)</v>
      </c>
      <c r="H56" t="str">
        <f>"COTA COOPERATIVA"</f>
        <v>COTA COOPERATIVA</v>
      </c>
      <c r="I56" t="str">
        <f>("05/09/2025")</f>
        <v>05/09/2025</v>
      </c>
      <c r="J56" t="str">
        <f>("01/04/2025")</f>
        <v>01/04/2025</v>
      </c>
      <c r="K56" t="str">
        <f>("03/09/2025")</f>
        <v>03/09/2025</v>
      </c>
      <c r="L56">
        <v>20</v>
      </c>
      <c r="M56">
        <v>20</v>
      </c>
      <c r="N56">
        <v>106</v>
      </c>
      <c r="O56" t="str">
        <f>"ENTRADA DE CAPITAL"</f>
        <v>ENTRADA DE CAPITAL</v>
      </c>
      <c r="P56">
        <v>20</v>
      </c>
      <c r="S56" t="str">
        <f>"ENTRADA DE CAPITAL (106)"</f>
        <v>ENTRADA DE CAPITAL (106)</v>
      </c>
      <c r="T56">
        <v>17433</v>
      </c>
      <c r="U56">
        <v>11764</v>
      </c>
      <c r="V56" t="s">
        <v>48</v>
      </c>
    </row>
    <row r="57" spans="1:22">
      <c r="A57" t="str">
        <f t="shared" si="17"/>
        <v>03/09/2025</v>
      </c>
      <c r="B57" t="str">
        <f>"ENTRADA"</f>
        <v>ENTRADA</v>
      </c>
      <c r="C57" t="str">
        <f>"DINHEIRO"</f>
        <v>DINHEIRO</v>
      </c>
      <c r="D57" t="str">
        <f>"243"</f>
        <v>243</v>
      </c>
      <c r="E57" t="str">
        <f>"11"</f>
        <v>11</v>
      </c>
      <c r="F57" t="str">
        <f t="shared" si="4"/>
        <v>COM</v>
      </c>
      <c r="G57" t="str">
        <f>"ELENICIO ALVES DOS SANTOS (243)"</f>
        <v>ELENICIO ALVES DOS SANTOS (243)</v>
      </c>
      <c r="H57" t="s">
        <v>50</v>
      </c>
      <c r="I57" t="str">
        <f>("05/09/2025")</f>
        <v>05/09/2025</v>
      </c>
      <c r="J57" t="str">
        <f>("01/04/2025")</f>
        <v>01/04/2025</v>
      </c>
      <c r="K57">
        <v>45903</v>
      </c>
      <c r="N57">
        <v>106</v>
      </c>
      <c r="O57" t="s">
        <v>51</v>
      </c>
      <c r="Q57">
        <v>20</v>
      </c>
      <c r="R57" t="str">
        <f>"ELENICIO ALVES DOS SANTOS (243)"</f>
        <v>ELENICIO ALVES DOS SANTOS (243)</v>
      </c>
      <c r="S57" t="s">
        <v>52</v>
      </c>
      <c r="T57">
        <v>17433</v>
      </c>
      <c r="U57">
        <v>11764</v>
      </c>
      <c r="V57" t="s">
        <v>48</v>
      </c>
    </row>
    <row r="58" spans="1:22">
      <c r="A58" t="str">
        <f t="shared" si="17"/>
        <v>03/09/2025</v>
      </c>
      <c r="B58" t="str">
        <f>"ENTRADA"</f>
        <v>ENTRADA</v>
      </c>
      <c r="C58" t="str">
        <f>"DINHEIRO"</f>
        <v>DINHEIRO</v>
      </c>
      <c r="D58" t="str">
        <f>"0409"</f>
        <v>0409</v>
      </c>
      <c r="E58" t="str">
        <f>"25"</f>
        <v>25</v>
      </c>
      <c r="F58" t="str">
        <f t="shared" si="4"/>
        <v>COM</v>
      </c>
      <c r="G58" t="str">
        <f>"ANDERSON LUIZ SOARES (807)"</f>
        <v>ANDERSON LUIZ SOARES (807)</v>
      </c>
      <c r="H58" t="str">
        <f>"REEMBOLSO COMPRA CAMISETA"</f>
        <v>REEMBOLSO COMPRA CAMISETA</v>
      </c>
      <c r="I58" t="str">
        <f>("04/09/2025")</f>
        <v>04/09/2025</v>
      </c>
      <c r="J58" t="str">
        <f>("04/09/2025")</f>
        <v>04/09/2025</v>
      </c>
      <c r="K58" t="str">
        <f>("03/09/2025")</f>
        <v>03/09/2025</v>
      </c>
      <c r="L58">
        <v>20</v>
      </c>
      <c r="M58">
        <v>20</v>
      </c>
      <c r="N58">
        <v>108</v>
      </c>
      <c r="O58" t="str">
        <f>"RECEITAS COM REEMBOLSOS"</f>
        <v>RECEITAS COM REEMBOLSOS</v>
      </c>
      <c r="P58">
        <v>20</v>
      </c>
      <c r="S58" t="str">
        <f>"RECEITAS COM REEMBOLSOS (108)"</f>
        <v>RECEITAS COM REEMBOLSOS (108)</v>
      </c>
      <c r="T58">
        <v>17434</v>
      </c>
      <c r="U58">
        <v>21025</v>
      </c>
      <c r="V58" t="s">
        <v>48</v>
      </c>
    </row>
    <row r="59" spans="1:22">
      <c r="A59" t="str">
        <f t="shared" si="17"/>
        <v>03/09/2025</v>
      </c>
      <c r="B59" t="str">
        <f>"ENTRADA"</f>
        <v>ENTRADA</v>
      </c>
      <c r="C59" t="str">
        <f>"DINHEIRO"</f>
        <v>DINHEIRO</v>
      </c>
      <c r="D59" t="str">
        <f>"0409"</f>
        <v>0409</v>
      </c>
      <c r="E59" t="str">
        <f>"25"</f>
        <v>25</v>
      </c>
      <c r="F59" t="str">
        <f t="shared" si="4"/>
        <v>COM</v>
      </c>
      <c r="G59" t="str">
        <f>"ANDERSON LUIZ SOARES (807)"</f>
        <v>ANDERSON LUIZ SOARES (807)</v>
      </c>
      <c r="H59" t="s">
        <v>53</v>
      </c>
      <c r="I59" t="str">
        <f>("04/09/2025")</f>
        <v>04/09/2025</v>
      </c>
      <c r="J59" t="str">
        <f>("04/09/2025")</f>
        <v>04/09/2025</v>
      </c>
      <c r="K59">
        <v>45903</v>
      </c>
      <c r="N59">
        <v>108</v>
      </c>
      <c r="O59" t="s">
        <v>54</v>
      </c>
      <c r="Q59">
        <v>20</v>
      </c>
      <c r="R59" t="str">
        <f>"ANDERSON LUIZ SOARES (807)"</f>
        <v>ANDERSON LUIZ SOARES (807)</v>
      </c>
      <c r="S59" t="s">
        <v>55</v>
      </c>
      <c r="T59">
        <v>17434</v>
      </c>
      <c r="U59">
        <v>21025</v>
      </c>
      <c r="V59" t="s">
        <v>48</v>
      </c>
    </row>
    <row r="60" spans="1:22">
      <c r="A60" t="str">
        <f t="shared" si="17"/>
        <v>03/09/2025</v>
      </c>
      <c r="B60" t="str">
        <f>"SAÍDA"</f>
        <v>SAÍDA</v>
      </c>
      <c r="C60" t="str">
        <f>"PIX"</f>
        <v>PIX</v>
      </c>
      <c r="D60" t="str">
        <f>"21082"</f>
        <v>21082</v>
      </c>
      <c r="E60" t="str">
        <f>"1"</f>
        <v>1</v>
      </c>
      <c r="F60" t="str">
        <f t="shared" si="4"/>
        <v>COM</v>
      </c>
      <c r="G60" t="str">
        <f>"ANDERSON LUIZ SOARES (807)"</f>
        <v>ANDERSON LUIZ SOARES (807)</v>
      </c>
      <c r="H60" t="str">
        <f>"Serv.Prest. 25/08/2025 a 31/08/2025 - PIX: CELULAR - CHAVE: (32) 99920-0416"</f>
        <v>Serv.Prest. 25/08/2025 a 31/08/2025 - PIX: CELULAR - CHAVE: (32) 99920-0416</v>
      </c>
      <c r="I60" t="str">
        <f t="shared" ref="I60:I87" si="20">("04/09/2025")</f>
        <v>04/09/2025</v>
      </c>
      <c r="J60" t="str">
        <f>("01/09/2025")</f>
        <v>01/09/2025</v>
      </c>
      <c r="K60" t="str">
        <f>("03/09/2025")</f>
        <v>03/09/2025</v>
      </c>
      <c r="L60">
        <v>20</v>
      </c>
      <c r="M60">
        <v>20</v>
      </c>
      <c r="N60">
        <v>109</v>
      </c>
      <c r="O60" t="str">
        <f>"PAGAMENTO DE ENTREGADORES"</f>
        <v>PAGAMENTO DE ENTREGADORES</v>
      </c>
      <c r="P60">
        <v>20</v>
      </c>
      <c r="S60" t="str">
        <f>"CAIXA MOVIMENTAÇÃO OPERACIONAL (132)"</f>
        <v>CAIXA MOVIMENTAÇÃO OPERACIONAL (132)</v>
      </c>
      <c r="T60">
        <v>17435</v>
      </c>
      <c r="U60">
        <v>21336</v>
      </c>
      <c r="V60" t="s">
        <v>48</v>
      </c>
    </row>
    <row r="61" spans="1:22">
      <c r="A61" t="str">
        <f t="shared" si="17"/>
        <v>03/09/2025</v>
      </c>
      <c r="B61" t="str">
        <f>"SAÍDA"</f>
        <v>SAÍDA</v>
      </c>
      <c r="C61" t="str">
        <f>"PIX"</f>
        <v>PIX</v>
      </c>
      <c r="D61" t="str">
        <f>"21082"</f>
        <v>21082</v>
      </c>
      <c r="E61" t="str">
        <f>"1"</f>
        <v>1</v>
      </c>
      <c r="F61" t="str">
        <f t="shared" si="4"/>
        <v>COM</v>
      </c>
      <c r="G61" t="str">
        <f>"ANDERSON LUIZ SOARES (807)"</f>
        <v>ANDERSON LUIZ SOARES (807)</v>
      </c>
      <c r="H61" t="s">
        <v>56</v>
      </c>
      <c r="I61" t="str">
        <f t="shared" si="20"/>
        <v>04/09/2025</v>
      </c>
      <c r="J61" t="str">
        <f>("01/09/2025")</f>
        <v>01/09/2025</v>
      </c>
      <c r="K61">
        <v>45903</v>
      </c>
      <c r="N61">
        <v>109</v>
      </c>
      <c r="O61" t="s">
        <v>24</v>
      </c>
      <c r="Q61">
        <v>20</v>
      </c>
      <c r="R61" t="str">
        <f>"DROGARIA ANA VISCONDE DO RIO BRANCO (10182)"</f>
        <v>DROGARIA ANA VISCONDE DO RIO BRANCO (10182)</v>
      </c>
      <c r="S61" t="s">
        <v>48</v>
      </c>
      <c r="T61">
        <v>17435</v>
      </c>
      <c r="U61">
        <v>21336</v>
      </c>
      <c r="V61" t="s">
        <v>48</v>
      </c>
    </row>
    <row r="62" spans="1:22">
      <c r="A62" t="str">
        <f t="shared" si="17"/>
        <v>03/09/2025</v>
      </c>
      <c r="B62" t="str">
        <f>"ENTRADA"</f>
        <v>ENTRADA</v>
      </c>
      <c r="C62" t="str">
        <f>"DINHEIRO"</f>
        <v>DINHEIRO</v>
      </c>
      <c r="D62" t="str">
        <f>"040920"</f>
        <v>040920</v>
      </c>
      <c r="E62" t="str">
        <f>"25"</f>
        <v>25</v>
      </c>
      <c r="F62" t="str">
        <f t="shared" si="4"/>
        <v>COM</v>
      </c>
      <c r="G62" t="str">
        <f t="shared" ref="G62:G67" si="21">"ELIO CALDEIRA RIBEIRO JUNIOR (840)"</f>
        <v>ELIO CALDEIRA RIBEIRO JUNIOR (840)</v>
      </c>
      <c r="H62" t="str">
        <f>"REEMBOLSO COMPRA CAMISETA"</f>
        <v>REEMBOLSO COMPRA CAMISETA</v>
      </c>
      <c r="I62" t="str">
        <f t="shared" si="20"/>
        <v>04/09/2025</v>
      </c>
      <c r="J62" t="str">
        <f>("04/09/2025")</f>
        <v>04/09/2025</v>
      </c>
      <c r="K62" t="str">
        <f>("03/09/2025")</f>
        <v>03/09/2025</v>
      </c>
      <c r="L62">
        <v>20</v>
      </c>
      <c r="M62">
        <v>20</v>
      </c>
      <c r="N62">
        <v>108</v>
      </c>
      <c r="O62" t="str">
        <f>"RECEITAS COM REEMBOLSOS"</f>
        <v>RECEITAS COM REEMBOLSOS</v>
      </c>
      <c r="P62">
        <v>20</v>
      </c>
      <c r="S62" t="str">
        <f>"RECEITAS COM REEMBOLSOS (108)"</f>
        <v>RECEITAS COM REEMBOLSOS (108)</v>
      </c>
      <c r="T62">
        <v>17436</v>
      </c>
      <c r="U62">
        <v>21023</v>
      </c>
      <c r="V62" t="s">
        <v>48</v>
      </c>
    </row>
    <row r="63" spans="1:22">
      <c r="A63" t="str">
        <f t="shared" si="17"/>
        <v>03/09/2025</v>
      </c>
      <c r="B63" t="str">
        <f>"ENTRADA"</f>
        <v>ENTRADA</v>
      </c>
      <c r="C63" t="str">
        <f>"DINHEIRO"</f>
        <v>DINHEIRO</v>
      </c>
      <c r="D63" t="str">
        <f>"040920"</f>
        <v>040920</v>
      </c>
      <c r="E63" t="str">
        <f>"25"</f>
        <v>25</v>
      </c>
      <c r="F63" t="str">
        <f t="shared" si="4"/>
        <v>COM</v>
      </c>
      <c r="G63" t="str">
        <f t="shared" si="21"/>
        <v>ELIO CALDEIRA RIBEIRO JUNIOR (840)</v>
      </c>
      <c r="H63" t="s">
        <v>53</v>
      </c>
      <c r="I63" t="str">
        <f t="shared" si="20"/>
        <v>04/09/2025</v>
      </c>
      <c r="J63" t="str">
        <f>("04/09/2025")</f>
        <v>04/09/2025</v>
      </c>
      <c r="K63">
        <v>45903</v>
      </c>
      <c r="N63">
        <v>108</v>
      </c>
      <c r="O63" t="s">
        <v>54</v>
      </c>
      <c r="Q63">
        <v>20</v>
      </c>
      <c r="R63" t="str">
        <f>"ELIO CALDEIRA RIBEIRO JUNIOR (840)"</f>
        <v>ELIO CALDEIRA RIBEIRO JUNIOR (840)</v>
      </c>
      <c r="S63" t="s">
        <v>55</v>
      </c>
      <c r="T63">
        <v>17436</v>
      </c>
      <c r="U63">
        <v>21023</v>
      </c>
      <c r="V63" t="s">
        <v>48</v>
      </c>
    </row>
    <row r="64" spans="1:22">
      <c r="A64" t="str">
        <f t="shared" si="17"/>
        <v>03/09/2025</v>
      </c>
      <c r="B64" t="str">
        <f>"ENTRADA"</f>
        <v>ENTRADA</v>
      </c>
      <c r="C64" t="str">
        <f>"DINHEIRO"</f>
        <v>DINHEIRO</v>
      </c>
      <c r="D64" t="str">
        <f>"0409"</f>
        <v>0409</v>
      </c>
      <c r="E64" t="str">
        <f>"25"</f>
        <v>25</v>
      </c>
      <c r="F64" t="str">
        <f t="shared" si="4"/>
        <v>COM</v>
      </c>
      <c r="G64" t="str">
        <f t="shared" si="21"/>
        <v>ELIO CALDEIRA RIBEIRO JUNIOR (840)</v>
      </c>
      <c r="H64" t="str">
        <f>"REEMBOLSO ADIANTAMENTO"</f>
        <v>REEMBOLSO ADIANTAMENTO</v>
      </c>
      <c r="I64" t="str">
        <f t="shared" si="20"/>
        <v>04/09/2025</v>
      </c>
      <c r="J64" t="str">
        <f>("22/08/2025")</f>
        <v>22/08/2025</v>
      </c>
      <c r="K64" t="str">
        <f>("03/09/2025")</f>
        <v>03/09/2025</v>
      </c>
      <c r="L64">
        <v>500</v>
      </c>
      <c r="M64">
        <v>500</v>
      </c>
      <c r="N64">
        <v>129</v>
      </c>
      <c r="O64" t="str">
        <f>"ENTRADA DE REEMBOLSO ADIANTAMENTO"</f>
        <v>ENTRADA DE REEMBOLSO ADIANTAMENTO</v>
      </c>
      <c r="P64">
        <v>500</v>
      </c>
      <c r="S64" t="str">
        <f>"ENTRADA DE REEMBOLSO ADIANTAMENTO (129)"</f>
        <v>ENTRADA DE REEMBOLSO ADIANTAMENTO (129)</v>
      </c>
      <c r="T64">
        <v>17437</v>
      </c>
      <c r="U64">
        <v>20775</v>
      </c>
      <c r="V64" t="s">
        <v>48</v>
      </c>
    </row>
    <row r="65" spans="1:22">
      <c r="A65" t="str">
        <f t="shared" si="17"/>
        <v>03/09/2025</v>
      </c>
      <c r="B65" t="str">
        <f>"ENTRADA"</f>
        <v>ENTRADA</v>
      </c>
      <c r="C65" t="str">
        <f>"DINHEIRO"</f>
        <v>DINHEIRO</v>
      </c>
      <c r="D65" t="str">
        <f>"0409"</f>
        <v>0409</v>
      </c>
      <c r="E65" t="str">
        <f>"25"</f>
        <v>25</v>
      </c>
      <c r="F65" t="str">
        <f t="shared" si="4"/>
        <v>COM</v>
      </c>
      <c r="G65" t="str">
        <f t="shared" si="21"/>
        <v>ELIO CALDEIRA RIBEIRO JUNIOR (840)</v>
      </c>
      <c r="H65" t="s">
        <v>57</v>
      </c>
      <c r="I65" t="str">
        <f t="shared" si="20"/>
        <v>04/09/2025</v>
      </c>
      <c r="J65" t="str">
        <f>("22/08/2025")</f>
        <v>22/08/2025</v>
      </c>
      <c r="K65">
        <v>45903</v>
      </c>
      <c r="N65">
        <v>129</v>
      </c>
      <c r="O65" t="s">
        <v>58</v>
      </c>
      <c r="Q65">
        <v>500</v>
      </c>
      <c r="R65" t="str">
        <f>"ELIO CALDEIRA RIBEIRO JUNIOR (840)"</f>
        <v>ELIO CALDEIRA RIBEIRO JUNIOR (840)</v>
      </c>
      <c r="S65" t="s">
        <v>59</v>
      </c>
      <c r="T65">
        <v>17437</v>
      </c>
      <c r="U65">
        <v>20775</v>
      </c>
      <c r="V65" t="s">
        <v>48</v>
      </c>
    </row>
    <row r="66" spans="1:22">
      <c r="A66" t="str">
        <f t="shared" si="17"/>
        <v>03/09/2025</v>
      </c>
      <c r="B66" t="str">
        <f>"SAÍDA"</f>
        <v>SAÍDA</v>
      </c>
      <c r="C66" t="str">
        <f>"PIX"</f>
        <v>PIX</v>
      </c>
      <c r="D66" t="str">
        <f>"21108"</f>
        <v>21108</v>
      </c>
      <c r="E66" t="str">
        <f>"1"</f>
        <v>1</v>
      </c>
      <c r="F66" t="str">
        <f t="shared" ref="F66:F129" si="22">"COM"</f>
        <v>COM</v>
      </c>
      <c r="G66" t="str">
        <f t="shared" si="21"/>
        <v>ELIO CALDEIRA RIBEIRO JUNIOR (840)</v>
      </c>
      <c r="H66" t="str">
        <f>"Serv.Prest. 25/08/2025 a 31/08/2025 - PIX: CPF - CHAVE: 463.491.858-70"</f>
        <v>Serv.Prest. 25/08/2025 a 31/08/2025 - PIX: CPF - CHAVE: 463.491.858-70</v>
      </c>
      <c r="I66" t="str">
        <f t="shared" si="20"/>
        <v>04/09/2025</v>
      </c>
      <c r="J66" t="str">
        <f>("01/09/2025")</f>
        <v>01/09/2025</v>
      </c>
      <c r="K66" t="str">
        <f>("03/09/2025")</f>
        <v>03/09/2025</v>
      </c>
      <c r="L66">
        <v>520</v>
      </c>
      <c r="M66">
        <v>520</v>
      </c>
      <c r="N66">
        <v>109</v>
      </c>
      <c r="O66" t="str">
        <f>"PAGAMENTO DE ENTREGADORES"</f>
        <v>PAGAMENTO DE ENTREGADORES</v>
      </c>
      <c r="P66">
        <v>520</v>
      </c>
      <c r="S66" t="str">
        <f>"CAIXA MOVIMENTAÇÃO OPERACIONAL (132)"</f>
        <v>CAIXA MOVIMENTAÇÃO OPERACIONAL (132)</v>
      </c>
      <c r="T66">
        <v>17438</v>
      </c>
      <c r="U66">
        <v>21337</v>
      </c>
      <c r="V66" t="s">
        <v>48</v>
      </c>
    </row>
    <row r="67" spans="1:22">
      <c r="A67" t="str">
        <f t="shared" si="17"/>
        <v>03/09/2025</v>
      </c>
      <c r="B67" t="str">
        <f>"SAÍDA"</f>
        <v>SAÍDA</v>
      </c>
      <c r="C67" t="str">
        <f>"PIX"</f>
        <v>PIX</v>
      </c>
      <c r="D67" t="str">
        <f>"21108"</f>
        <v>21108</v>
      </c>
      <c r="E67" t="str">
        <f>"1"</f>
        <v>1</v>
      </c>
      <c r="F67" t="str">
        <f t="shared" si="22"/>
        <v>COM</v>
      </c>
      <c r="G67" t="str">
        <f t="shared" si="21"/>
        <v>ELIO CALDEIRA RIBEIRO JUNIOR (840)</v>
      </c>
      <c r="H67" t="s">
        <v>60</v>
      </c>
      <c r="I67" t="str">
        <f t="shared" si="20"/>
        <v>04/09/2025</v>
      </c>
      <c r="J67" t="str">
        <f>("01/09/2025")</f>
        <v>01/09/2025</v>
      </c>
      <c r="K67">
        <v>45903</v>
      </c>
      <c r="N67">
        <v>109</v>
      </c>
      <c r="O67" t="s">
        <v>24</v>
      </c>
      <c r="Q67">
        <v>520</v>
      </c>
      <c r="R67" t="str">
        <f>"DROGARIA MEDIC CENTER LTDA (10172)"</f>
        <v>DROGARIA MEDIC CENTER LTDA (10172)</v>
      </c>
      <c r="S67" t="s">
        <v>48</v>
      </c>
      <c r="T67">
        <v>17438</v>
      </c>
      <c r="U67">
        <v>21337</v>
      </c>
      <c r="V67" t="s">
        <v>48</v>
      </c>
    </row>
    <row r="68" spans="1:22">
      <c r="A68" t="str">
        <f t="shared" si="17"/>
        <v>03/09/2025</v>
      </c>
      <c r="B68" t="str">
        <f>"ENTRADA"</f>
        <v>ENTRADA</v>
      </c>
      <c r="C68" t="str">
        <f>"DINHEIRO"</f>
        <v>DINHEIRO</v>
      </c>
      <c r="D68" t="str">
        <f>"0409"</f>
        <v>0409</v>
      </c>
      <c r="E68" t="str">
        <f>"25"</f>
        <v>25</v>
      </c>
      <c r="F68" t="str">
        <f t="shared" si="22"/>
        <v>COM</v>
      </c>
      <c r="G68" t="str">
        <f t="shared" ref="G68:G73" si="23">"JAMERSON SOUZA LOPES (749)"</f>
        <v>JAMERSON SOUZA LOPES (749)</v>
      </c>
      <c r="H68" t="str">
        <f>"REEMBOLSO ADIANTAMENTO"</f>
        <v>REEMBOLSO ADIANTAMENTO</v>
      </c>
      <c r="I68" t="str">
        <f t="shared" si="20"/>
        <v>04/09/2025</v>
      </c>
      <c r="J68" t="str">
        <f>("29/07/2025")</f>
        <v>29/07/2025</v>
      </c>
      <c r="K68" t="str">
        <f>("03/09/2025")</f>
        <v>03/09/2025</v>
      </c>
      <c r="L68">
        <v>116.67</v>
      </c>
      <c r="M68">
        <v>116.67</v>
      </c>
      <c r="N68">
        <v>129</v>
      </c>
      <c r="O68" t="str">
        <f>"ENTRADA DE REEMBOLSO ADIANTAMENTO"</f>
        <v>ENTRADA DE REEMBOLSO ADIANTAMENTO</v>
      </c>
      <c r="P68">
        <v>116.67</v>
      </c>
      <c r="S68" t="str">
        <f>"ENTRADA DE REEMBOLSO ADIANTAMENTO (129)"</f>
        <v>ENTRADA DE REEMBOLSO ADIANTAMENTO (129)</v>
      </c>
      <c r="T68">
        <v>17439</v>
      </c>
      <c r="U68">
        <v>19338</v>
      </c>
      <c r="V68" t="s">
        <v>48</v>
      </c>
    </row>
    <row r="69" spans="1:22">
      <c r="A69" t="str">
        <f t="shared" si="17"/>
        <v>03/09/2025</v>
      </c>
      <c r="B69" t="str">
        <f>"ENTRADA"</f>
        <v>ENTRADA</v>
      </c>
      <c r="C69" t="str">
        <f>"DINHEIRO"</f>
        <v>DINHEIRO</v>
      </c>
      <c r="D69" t="str">
        <f>"0409"</f>
        <v>0409</v>
      </c>
      <c r="E69" t="str">
        <f>"25"</f>
        <v>25</v>
      </c>
      <c r="F69" t="str">
        <f t="shared" si="22"/>
        <v>COM</v>
      </c>
      <c r="G69" t="str">
        <f t="shared" si="23"/>
        <v>JAMERSON SOUZA LOPES (749)</v>
      </c>
      <c r="H69" t="s">
        <v>57</v>
      </c>
      <c r="I69" t="str">
        <f t="shared" si="20"/>
        <v>04/09/2025</v>
      </c>
      <c r="J69" t="str">
        <f>("29/07/2025")</f>
        <v>29/07/2025</v>
      </c>
      <c r="K69">
        <v>45903</v>
      </c>
      <c r="N69">
        <v>129</v>
      </c>
      <c r="O69" t="s">
        <v>58</v>
      </c>
      <c r="Q69">
        <v>116.67</v>
      </c>
      <c r="R69" t="str">
        <f>"JAMERSON SOUZA LOPES (749)"</f>
        <v>JAMERSON SOUZA LOPES (749)</v>
      </c>
      <c r="S69" t="s">
        <v>59</v>
      </c>
      <c r="T69">
        <v>17439</v>
      </c>
      <c r="U69">
        <v>19338</v>
      </c>
      <c r="V69" t="s">
        <v>48</v>
      </c>
    </row>
    <row r="70" spans="1:22">
      <c r="A70" t="str">
        <f t="shared" si="17"/>
        <v>03/09/2025</v>
      </c>
      <c r="B70" t="str">
        <f>"ENTRADA"</f>
        <v>ENTRADA</v>
      </c>
      <c r="C70" t="str">
        <f>"DINHEIRO"</f>
        <v>DINHEIRO</v>
      </c>
      <c r="D70" t="str">
        <f>"040920"</f>
        <v>040920</v>
      </c>
      <c r="E70" t="str">
        <f>"25"</f>
        <v>25</v>
      </c>
      <c r="F70" t="str">
        <f t="shared" si="22"/>
        <v>COM</v>
      </c>
      <c r="G70" t="str">
        <f t="shared" si="23"/>
        <v>JAMERSON SOUZA LOPES (749)</v>
      </c>
      <c r="H70" t="str">
        <f>"REEMBOLSO COMPRA CAMISETA"</f>
        <v>REEMBOLSO COMPRA CAMISETA</v>
      </c>
      <c r="I70" t="str">
        <f t="shared" si="20"/>
        <v>04/09/2025</v>
      </c>
      <c r="J70" t="str">
        <f>("04/09/2025")</f>
        <v>04/09/2025</v>
      </c>
      <c r="K70" t="str">
        <f>("03/09/2025")</f>
        <v>03/09/2025</v>
      </c>
      <c r="L70">
        <v>20</v>
      </c>
      <c r="M70">
        <v>20</v>
      </c>
      <c r="N70">
        <v>108</v>
      </c>
      <c r="O70" t="str">
        <f>"RECEITAS COM REEMBOLSOS"</f>
        <v>RECEITAS COM REEMBOLSOS</v>
      </c>
      <c r="P70">
        <v>20</v>
      </c>
      <c r="S70" t="str">
        <f>"RECEITAS COM REEMBOLSOS (108)"</f>
        <v>RECEITAS COM REEMBOLSOS (108)</v>
      </c>
      <c r="T70">
        <v>17440</v>
      </c>
      <c r="U70">
        <v>21024</v>
      </c>
      <c r="V70" t="s">
        <v>48</v>
      </c>
    </row>
    <row r="71" spans="1:22">
      <c r="A71" t="str">
        <f t="shared" si="17"/>
        <v>03/09/2025</v>
      </c>
      <c r="B71" t="str">
        <f>"ENTRADA"</f>
        <v>ENTRADA</v>
      </c>
      <c r="C71" t="str">
        <f>"DINHEIRO"</f>
        <v>DINHEIRO</v>
      </c>
      <c r="D71" t="str">
        <f>"040920"</f>
        <v>040920</v>
      </c>
      <c r="E71" t="str">
        <f>"25"</f>
        <v>25</v>
      </c>
      <c r="F71" t="str">
        <f t="shared" si="22"/>
        <v>COM</v>
      </c>
      <c r="G71" t="str">
        <f t="shared" si="23"/>
        <v>JAMERSON SOUZA LOPES (749)</v>
      </c>
      <c r="H71" t="s">
        <v>53</v>
      </c>
      <c r="I71" t="str">
        <f t="shared" si="20"/>
        <v>04/09/2025</v>
      </c>
      <c r="J71" t="str">
        <f>("04/09/2025")</f>
        <v>04/09/2025</v>
      </c>
      <c r="K71">
        <v>45903</v>
      </c>
      <c r="N71">
        <v>108</v>
      </c>
      <c r="O71" t="s">
        <v>54</v>
      </c>
      <c r="Q71">
        <v>20</v>
      </c>
      <c r="R71" t="str">
        <f>"JAMERSON SOUZA LOPES (749)"</f>
        <v>JAMERSON SOUZA LOPES (749)</v>
      </c>
      <c r="S71" t="s">
        <v>55</v>
      </c>
      <c r="T71">
        <v>17440</v>
      </c>
      <c r="U71">
        <v>21024</v>
      </c>
      <c r="V71" t="s">
        <v>48</v>
      </c>
    </row>
    <row r="72" spans="1:22">
      <c r="A72" t="str">
        <f t="shared" si="17"/>
        <v>03/09/2025</v>
      </c>
      <c r="B72" t="str">
        <f>"SAÍDA"</f>
        <v>SAÍDA</v>
      </c>
      <c r="C72" t="str">
        <f>"PIX"</f>
        <v>PIX</v>
      </c>
      <c r="D72" t="str">
        <f>"21089"</f>
        <v>21089</v>
      </c>
      <c r="E72" t="str">
        <f>"1"</f>
        <v>1</v>
      </c>
      <c r="F72" t="str">
        <f t="shared" si="22"/>
        <v>COM</v>
      </c>
      <c r="G72" t="str">
        <f t="shared" si="23"/>
        <v>JAMERSON SOUZA LOPES (749)</v>
      </c>
      <c r="H72" t="str">
        <f>"Serv.Prest. 25/08/2025 a 31/08/2025 - PIX: CPF - CHAVE: 423.098.018-36"</f>
        <v>Serv.Prest. 25/08/2025 a 31/08/2025 - PIX: CPF - CHAVE: 423.098.018-36</v>
      </c>
      <c r="I72" t="str">
        <f t="shared" si="20"/>
        <v>04/09/2025</v>
      </c>
      <c r="J72" t="str">
        <f>("01/09/2025")</f>
        <v>01/09/2025</v>
      </c>
      <c r="K72" t="str">
        <f>("03/09/2025")</f>
        <v>03/09/2025</v>
      </c>
      <c r="L72">
        <v>136.66999999999999</v>
      </c>
      <c r="M72">
        <v>136.66999999999999</v>
      </c>
      <c r="N72">
        <v>109</v>
      </c>
      <c r="O72" t="str">
        <f>"PAGAMENTO DE ENTREGADORES"</f>
        <v>PAGAMENTO DE ENTREGADORES</v>
      </c>
      <c r="P72">
        <v>136.66999999999999</v>
      </c>
      <c r="S72" t="str">
        <f>"CAIXA MOVIMENTAÇÃO OPERACIONAL (132)"</f>
        <v>CAIXA MOVIMENTAÇÃO OPERACIONAL (132)</v>
      </c>
      <c r="T72">
        <v>17441</v>
      </c>
      <c r="U72">
        <v>21338</v>
      </c>
      <c r="V72" t="s">
        <v>48</v>
      </c>
    </row>
    <row r="73" spans="1:22">
      <c r="A73" t="str">
        <f t="shared" si="17"/>
        <v>03/09/2025</v>
      </c>
      <c r="B73" t="str">
        <f>"SAÍDA"</f>
        <v>SAÍDA</v>
      </c>
      <c r="C73" t="str">
        <f>"PIX"</f>
        <v>PIX</v>
      </c>
      <c r="D73" t="str">
        <f>"21089"</f>
        <v>21089</v>
      </c>
      <c r="E73" t="str">
        <f>"1"</f>
        <v>1</v>
      </c>
      <c r="F73" t="str">
        <f t="shared" si="22"/>
        <v>COM</v>
      </c>
      <c r="G73" t="str">
        <f t="shared" si="23"/>
        <v>JAMERSON SOUZA LOPES (749)</v>
      </c>
      <c r="H73" t="s">
        <v>47</v>
      </c>
      <c r="I73" t="str">
        <f t="shared" si="20"/>
        <v>04/09/2025</v>
      </c>
      <c r="J73" t="str">
        <f>("01/09/2025")</f>
        <v>01/09/2025</v>
      </c>
      <c r="K73">
        <v>45903</v>
      </c>
      <c r="N73">
        <v>109</v>
      </c>
      <c r="O73" t="s">
        <v>24</v>
      </c>
      <c r="Q73">
        <v>136.66999999999999</v>
      </c>
      <c r="R73" t="str">
        <f>"DROGARIA TOTAL JUNDIAI (10177)"</f>
        <v>DROGARIA TOTAL JUNDIAI (10177)</v>
      </c>
      <c r="S73" t="s">
        <v>48</v>
      </c>
      <c r="T73">
        <v>17441</v>
      </c>
      <c r="U73">
        <v>21338</v>
      </c>
      <c r="V73" t="s">
        <v>48</v>
      </c>
    </row>
    <row r="74" spans="1:22">
      <c r="A74" t="str">
        <f t="shared" si="17"/>
        <v>03/09/2025</v>
      </c>
      <c r="B74" t="str">
        <f>"SAÍDA"</f>
        <v>SAÍDA</v>
      </c>
      <c r="C74" t="str">
        <f>"PIX"</f>
        <v>PIX</v>
      </c>
      <c r="D74" t="str">
        <f>"21074"</f>
        <v>21074</v>
      </c>
      <c r="E74" t="str">
        <f>"1"</f>
        <v>1</v>
      </c>
      <c r="F74" t="str">
        <f t="shared" si="22"/>
        <v>COM</v>
      </c>
      <c r="G74" t="str">
        <f>"MAYKON LOPES DE MENEZES (781)"</f>
        <v>MAYKON LOPES DE MENEZES (781)</v>
      </c>
      <c r="H74" t="str">
        <f>"Serv.Prest. 25/08/2025 a 31/08/2025 - PIX: CPF - CHAVE: 012.600.851-55"</f>
        <v>Serv.Prest. 25/08/2025 a 31/08/2025 - PIX: CPF - CHAVE: 012.600.851-55</v>
      </c>
      <c r="I74" t="str">
        <f t="shared" si="20"/>
        <v>04/09/2025</v>
      </c>
      <c r="J74" t="str">
        <f>("01/09/2025")</f>
        <v>01/09/2025</v>
      </c>
      <c r="K74" t="str">
        <f>("03/09/2025")</f>
        <v>03/09/2025</v>
      </c>
      <c r="L74">
        <v>20</v>
      </c>
      <c r="M74">
        <v>20</v>
      </c>
      <c r="N74">
        <v>109</v>
      </c>
      <c r="O74" t="str">
        <f>"PAGAMENTO DE ENTREGADORES"</f>
        <v>PAGAMENTO DE ENTREGADORES</v>
      </c>
      <c r="P74">
        <v>20</v>
      </c>
      <c r="S74" t="str">
        <f>"CAIXA MOVIMENTAÇÃO OPERACIONAL (132)"</f>
        <v>CAIXA MOVIMENTAÇÃO OPERACIONAL (132)</v>
      </c>
      <c r="T74">
        <v>17442</v>
      </c>
      <c r="U74">
        <v>21339</v>
      </c>
      <c r="V74" t="s">
        <v>48</v>
      </c>
    </row>
    <row r="75" spans="1:22">
      <c r="A75" t="str">
        <f t="shared" si="17"/>
        <v>03/09/2025</v>
      </c>
      <c r="B75" t="str">
        <f>"SAÍDA"</f>
        <v>SAÍDA</v>
      </c>
      <c r="C75" t="str">
        <f>"PIX"</f>
        <v>PIX</v>
      </c>
      <c r="D75" t="str">
        <f>"21074"</f>
        <v>21074</v>
      </c>
      <c r="E75" t="str">
        <f>"1"</f>
        <v>1</v>
      </c>
      <c r="F75" t="str">
        <f t="shared" si="22"/>
        <v>COM</v>
      </c>
      <c r="G75" t="str">
        <f>"MAYKON LOPES DE MENEZES (781)"</f>
        <v>MAYKON LOPES DE MENEZES (781)</v>
      </c>
      <c r="H75" t="s">
        <v>61</v>
      </c>
      <c r="I75" t="str">
        <f t="shared" si="20"/>
        <v>04/09/2025</v>
      </c>
      <c r="J75" t="str">
        <f>("01/09/2025")</f>
        <v>01/09/2025</v>
      </c>
      <c r="K75">
        <v>45903</v>
      </c>
      <c r="N75">
        <v>109</v>
      </c>
      <c r="O75" t="s">
        <v>24</v>
      </c>
      <c r="Q75">
        <v>20</v>
      </c>
      <c r="R75" t="str">
        <f>"BRASIL FARMA (10173)"</f>
        <v>BRASIL FARMA (10173)</v>
      </c>
      <c r="S75" t="s">
        <v>48</v>
      </c>
      <c r="T75">
        <v>17442</v>
      </c>
      <c r="U75">
        <v>21339</v>
      </c>
      <c r="V75" t="s">
        <v>48</v>
      </c>
    </row>
    <row r="76" spans="1:22">
      <c r="A76" t="str">
        <f t="shared" si="17"/>
        <v>03/09/2025</v>
      </c>
      <c r="B76" t="str">
        <f>"ENTRADA"</f>
        <v>ENTRADA</v>
      </c>
      <c r="C76" t="str">
        <f>"DINHEIRO"</f>
        <v>DINHEIRO</v>
      </c>
      <c r="D76" t="str">
        <f>"0409"</f>
        <v>0409</v>
      </c>
      <c r="E76" t="str">
        <f>"25"</f>
        <v>25</v>
      </c>
      <c r="F76" t="str">
        <f t="shared" si="22"/>
        <v>COM</v>
      </c>
      <c r="G76" t="str">
        <f>"MAYKON LOPES DE MENEZES (781)"</f>
        <v>MAYKON LOPES DE MENEZES (781)</v>
      </c>
      <c r="H76" t="str">
        <f>"REEMBOLSO COMPRA CAMISETA"</f>
        <v>REEMBOLSO COMPRA CAMISETA</v>
      </c>
      <c r="I76" t="str">
        <f t="shared" si="20"/>
        <v>04/09/2025</v>
      </c>
      <c r="J76" t="str">
        <f>("04/09/2025")</f>
        <v>04/09/2025</v>
      </c>
      <c r="K76" t="str">
        <f>("03/09/2025")</f>
        <v>03/09/2025</v>
      </c>
      <c r="L76">
        <v>20</v>
      </c>
      <c r="M76">
        <v>20</v>
      </c>
      <c r="N76">
        <v>108</v>
      </c>
      <c r="O76" t="str">
        <f>"RECEITAS COM REEMBOLSOS"</f>
        <v>RECEITAS COM REEMBOLSOS</v>
      </c>
      <c r="P76">
        <v>20</v>
      </c>
      <c r="S76" t="str">
        <f>"RECEITAS COM REEMBOLSOS (108)"</f>
        <v>RECEITAS COM REEMBOLSOS (108)</v>
      </c>
      <c r="T76">
        <v>17443</v>
      </c>
      <c r="U76">
        <v>21033</v>
      </c>
      <c r="V76" t="s">
        <v>48</v>
      </c>
    </row>
    <row r="77" spans="1:22">
      <c r="A77" t="str">
        <f t="shared" si="17"/>
        <v>03/09/2025</v>
      </c>
      <c r="B77" t="str">
        <f>"ENTRADA"</f>
        <v>ENTRADA</v>
      </c>
      <c r="C77" t="str">
        <f>"DINHEIRO"</f>
        <v>DINHEIRO</v>
      </c>
      <c r="D77" t="str">
        <f>"0409"</f>
        <v>0409</v>
      </c>
      <c r="E77" t="str">
        <f>"25"</f>
        <v>25</v>
      </c>
      <c r="F77" t="str">
        <f t="shared" si="22"/>
        <v>COM</v>
      </c>
      <c r="G77" t="str">
        <f>"MAYKON LOPES DE MENEZES (781)"</f>
        <v>MAYKON LOPES DE MENEZES (781)</v>
      </c>
      <c r="H77" t="s">
        <v>53</v>
      </c>
      <c r="I77" t="str">
        <f t="shared" si="20"/>
        <v>04/09/2025</v>
      </c>
      <c r="J77" t="str">
        <f>("04/09/2025")</f>
        <v>04/09/2025</v>
      </c>
      <c r="K77">
        <v>45903</v>
      </c>
      <c r="N77">
        <v>108</v>
      </c>
      <c r="O77" t="s">
        <v>54</v>
      </c>
      <c r="Q77">
        <v>20</v>
      </c>
      <c r="R77" t="str">
        <f>"MAYKON LOPES DE MENEZES (781)"</f>
        <v>MAYKON LOPES DE MENEZES (781)</v>
      </c>
      <c r="S77" t="s">
        <v>55</v>
      </c>
      <c r="T77">
        <v>17443</v>
      </c>
      <c r="U77">
        <v>21033</v>
      </c>
      <c r="V77" t="s">
        <v>48</v>
      </c>
    </row>
    <row r="78" spans="1:22">
      <c r="A78" t="str">
        <f t="shared" si="17"/>
        <v>03/09/2025</v>
      </c>
      <c r="B78" t="str">
        <f>"SAÍDA"</f>
        <v>SAÍDA</v>
      </c>
      <c r="C78" t="str">
        <f>"PIX"</f>
        <v>PIX</v>
      </c>
      <c r="D78" t="str">
        <f>"20930"</f>
        <v>20930</v>
      </c>
      <c r="E78" t="str">
        <f>"1"</f>
        <v>1</v>
      </c>
      <c r="F78" t="str">
        <f t="shared" si="22"/>
        <v>COM</v>
      </c>
      <c r="G78" t="str">
        <f>"VITOR CARDOSO FAUSTINO (257)"</f>
        <v>VITOR CARDOSO FAUSTINO (257)</v>
      </c>
      <c r="H78" t="str">
        <f>"Serv.Prest. 18/08/2025 a 24/08/2025 - PIX: CPF - CHAVE: 157.874.046-02"</f>
        <v>Serv.Prest. 18/08/2025 a 24/08/2025 - PIX: CPF - CHAVE: 157.874.046-02</v>
      </c>
      <c r="I78" t="str">
        <f t="shared" si="20"/>
        <v>04/09/2025</v>
      </c>
      <c r="J78" t="str">
        <f>("25/08/2025")</f>
        <v>25/08/2025</v>
      </c>
      <c r="K78" t="str">
        <f>("03/09/2025")</f>
        <v>03/09/2025</v>
      </c>
      <c r="L78">
        <v>250</v>
      </c>
      <c r="M78">
        <v>250</v>
      </c>
      <c r="N78">
        <v>109</v>
      </c>
      <c r="O78" t="str">
        <f>"PAGAMENTO DE ENTREGADORES"</f>
        <v>PAGAMENTO DE ENTREGADORES</v>
      </c>
      <c r="P78">
        <v>250</v>
      </c>
      <c r="S78" t="str">
        <f>"CAIXA MOVIMENTAÇÃO OPERACIONAL (132)"</f>
        <v>CAIXA MOVIMENTAÇÃO OPERACIONAL (132)</v>
      </c>
      <c r="T78">
        <v>17444</v>
      </c>
      <c r="U78">
        <v>21340</v>
      </c>
      <c r="V78" t="s">
        <v>48</v>
      </c>
    </row>
    <row r="79" spans="1:22">
      <c r="A79" t="str">
        <f t="shared" si="17"/>
        <v>03/09/2025</v>
      </c>
      <c r="B79" t="str">
        <f>"SAÍDA"</f>
        <v>SAÍDA</v>
      </c>
      <c r="C79" t="str">
        <f>"PIX"</f>
        <v>PIX</v>
      </c>
      <c r="D79" t="str">
        <f>"20930"</f>
        <v>20930</v>
      </c>
      <c r="E79" t="str">
        <f>"1"</f>
        <v>1</v>
      </c>
      <c r="F79" t="str">
        <f t="shared" si="22"/>
        <v>COM</v>
      </c>
      <c r="G79" t="str">
        <f>"VITOR CARDOSO FAUSTINO (257)"</f>
        <v>VITOR CARDOSO FAUSTINO (257)</v>
      </c>
      <c r="H79" t="s">
        <v>62</v>
      </c>
      <c r="I79" t="str">
        <f t="shared" si="20"/>
        <v>04/09/2025</v>
      </c>
      <c r="J79" t="str">
        <f>("25/08/2025")</f>
        <v>25/08/2025</v>
      </c>
      <c r="K79">
        <v>45903</v>
      </c>
      <c r="N79">
        <v>109</v>
      </c>
      <c r="O79" t="s">
        <v>24</v>
      </c>
      <c r="Q79">
        <v>250</v>
      </c>
      <c r="R79" t="str">
        <f>"FARMÁCIA INDIANA LJ 07 (10007)"</f>
        <v>FARMÁCIA INDIANA LJ 07 (10007)</v>
      </c>
      <c r="S79" t="s">
        <v>48</v>
      </c>
      <c r="T79">
        <v>17444</v>
      </c>
      <c r="U79">
        <v>21340</v>
      </c>
      <c r="V79" t="s">
        <v>48</v>
      </c>
    </row>
    <row r="80" spans="1:22">
      <c r="A80" t="str">
        <f t="shared" si="17"/>
        <v>03/09/2025</v>
      </c>
      <c r="B80" t="str">
        <f>"ENTRADA"</f>
        <v>ENTRADA</v>
      </c>
      <c r="C80" t="str">
        <f>"DINHEIRO"</f>
        <v>DINHEIRO</v>
      </c>
      <c r="D80" t="str">
        <f>"0409"</f>
        <v>0409</v>
      </c>
      <c r="E80" t="str">
        <f>"25"</f>
        <v>25</v>
      </c>
      <c r="F80" t="str">
        <f t="shared" si="22"/>
        <v>COM</v>
      </c>
      <c r="G80" t="str">
        <f>"VITOR CARDOSO FAUSTINO (257)"</f>
        <v>VITOR CARDOSO FAUSTINO (257)</v>
      </c>
      <c r="H80" t="str">
        <f>"REEMBOLSO ADIANTAMENTO"</f>
        <v>REEMBOLSO ADIANTAMENTO</v>
      </c>
      <c r="I80" t="str">
        <f t="shared" si="20"/>
        <v>04/09/2025</v>
      </c>
      <c r="J80" t="str">
        <f>("22/08/2025")</f>
        <v>22/08/2025</v>
      </c>
      <c r="K80" t="str">
        <f>("03/09/2025")</f>
        <v>03/09/2025</v>
      </c>
      <c r="L80">
        <v>250</v>
      </c>
      <c r="M80">
        <v>250</v>
      </c>
      <c r="N80">
        <v>129</v>
      </c>
      <c r="O80" t="str">
        <f>"ENTRADA DE REEMBOLSO ADIANTAMENTO"</f>
        <v>ENTRADA DE REEMBOLSO ADIANTAMENTO</v>
      </c>
      <c r="P80">
        <v>250</v>
      </c>
      <c r="S80" t="str">
        <f>"ENTRADA DE REEMBOLSO ADIANTAMENTO (129)"</f>
        <v>ENTRADA DE REEMBOLSO ADIANTAMENTO (129)</v>
      </c>
      <c r="T80">
        <v>17445</v>
      </c>
      <c r="U80">
        <v>20779</v>
      </c>
      <c r="V80" t="s">
        <v>48</v>
      </c>
    </row>
    <row r="81" spans="1:22">
      <c r="A81" t="str">
        <f t="shared" si="17"/>
        <v>03/09/2025</v>
      </c>
      <c r="B81" t="str">
        <f>"ENTRADA"</f>
        <v>ENTRADA</v>
      </c>
      <c r="C81" t="str">
        <f>"DINHEIRO"</f>
        <v>DINHEIRO</v>
      </c>
      <c r="D81" t="str">
        <f>"0409"</f>
        <v>0409</v>
      </c>
      <c r="E81" t="str">
        <f>"25"</f>
        <v>25</v>
      </c>
      <c r="F81" t="str">
        <f t="shared" si="22"/>
        <v>COM</v>
      </c>
      <c r="G81" t="str">
        <f>"VITOR CARDOSO FAUSTINO (257)"</f>
        <v>VITOR CARDOSO FAUSTINO (257)</v>
      </c>
      <c r="H81" t="s">
        <v>57</v>
      </c>
      <c r="I81" t="str">
        <f t="shared" si="20"/>
        <v>04/09/2025</v>
      </c>
      <c r="J81" t="str">
        <f>("22/08/2025")</f>
        <v>22/08/2025</v>
      </c>
      <c r="K81">
        <v>45903</v>
      </c>
      <c r="N81">
        <v>129</v>
      </c>
      <c r="O81" t="s">
        <v>58</v>
      </c>
      <c r="Q81">
        <v>250</v>
      </c>
      <c r="R81" t="str">
        <f>"VITOR CARDOSO FAUSTINO (257)"</f>
        <v>VITOR CARDOSO FAUSTINO (257)</v>
      </c>
      <c r="S81" t="s">
        <v>59</v>
      </c>
      <c r="T81">
        <v>17445</v>
      </c>
      <c r="U81">
        <v>20779</v>
      </c>
      <c r="V81" t="s">
        <v>48</v>
      </c>
    </row>
    <row r="82" spans="1:22">
      <c r="A82" t="str">
        <f t="shared" ref="A82:A113" si="24">("03/09/2025")</f>
        <v>03/09/2025</v>
      </c>
      <c r="B82" t="str">
        <f>"SAÍDA"</f>
        <v>SAÍDA</v>
      </c>
      <c r="C82" t="str">
        <f>"PIX"</f>
        <v>PIX</v>
      </c>
      <c r="D82" t="str">
        <f>"21268"</f>
        <v>21268</v>
      </c>
      <c r="E82" t="str">
        <f>"1"</f>
        <v>1</v>
      </c>
      <c r="F82" t="str">
        <f t="shared" si="22"/>
        <v>COM</v>
      </c>
      <c r="G82" t="str">
        <f t="shared" ref="G82:G87" si="25">"WEIGNE SENA CARDOSO (53)"</f>
        <v>WEIGNE SENA CARDOSO (53)</v>
      </c>
      <c r="H82" t="str">
        <f>"Serv.Prest. 25/08/2025 a 31/08/2025 - PIX: CPF - CHAVE: 097.245.586-81"</f>
        <v>Serv.Prest. 25/08/2025 a 31/08/2025 - PIX: CPF - CHAVE: 097.245.586-81</v>
      </c>
      <c r="I82" t="str">
        <f t="shared" si="20"/>
        <v>04/09/2025</v>
      </c>
      <c r="J82" t="str">
        <f>("02/09/2025")</f>
        <v>02/09/2025</v>
      </c>
      <c r="K82" t="str">
        <f>("03/09/2025")</f>
        <v>03/09/2025</v>
      </c>
      <c r="L82">
        <v>438.33</v>
      </c>
      <c r="M82">
        <v>438.33</v>
      </c>
      <c r="N82">
        <v>109</v>
      </c>
      <c r="O82" t="str">
        <f>"PAGAMENTO DE ENTREGADORES"</f>
        <v>PAGAMENTO DE ENTREGADORES</v>
      </c>
      <c r="P82">
        <v>438.33</v>
      </c>
      <c r="S82" t="str">
        <f>"CAIXA MOVIMENTAÇÃO OPERACIONAL (132)"</f>
        <v>CAIXA MOVIMENTAÇÃO OPERACIONAL (132)</v>
      </c>
      <c r="T82">
        <v>17446</v>
      </c>
      <c r="U82">
        <v>21341</v>
      </c>
      <c r="V82" t="s">
        <v>48</v>
      </c>
    </row>
    <row r="83" spans="1:22">
      <c r="A83" t="str">
        <f t="shared" si="24"/>
        <v>03/09/2025</v>
      </c>
      <c r="B83" t="str">
        <f>"SAÍDA"</f>
        <v>SAÍDA</v>
      </c>
      <c r="C83" t="str">
        <f>"PIX"</f>
        <v>PIX</v>
      </c>
      <c r="D83" t="str">
        <f>"21268"</f>
        <v>21268</v>
      </c>
      <c r="E83" t="str">
        <f>"1"</f>
        <v>1</v>
      </c>
      <c r="F83" t="str">
        <f t="shared" si="22"/>
        <v>COM</v>
      </c>
      <c r="G83" t="str">
        <f t="shared" si="25"/>
        <v>WEIGNE SENA CARDOSO (53)</v>
      </c>
      <c r="H83" t="s">
        <v>63</v>
      </c>
      <c r="I83" t="str">
        <f t="shared" si="20"/>
        <v>04/09/2025</v>
      </c>
      <c r="J83" t="str">
        <f>("02/09/2025")</f>
        <v>02/09/2025</v>
      </c>
      <c r="K83">
        <v>45903</v>
      </c>
      <c r="N83">
        <v>109</v>
      </c>
      <c r="O83" t="s">
        <v>24</v>
      </c>
      <c r="Q83">
        <v>438.33</v>
      </c>
      <c r="R83" t="str">
        <f>"FARMÁCIA INDIANA LJ 07 (10007)"</f>
        <v>FARMÁCIA INDIANA LJ 07 (10007)</v>
      </c>
      <c r="S83" t="s">
        <v>48</v>
      </c>
      <c r="T83">
        <v>17446</v>
      </c>
      <c r="U83">
        <v>21341</v>
      </c>
      <c r="V83" t="s">
        <v>48</v>
      </c>
    </row>
    <row r="84" spans="1:22">
      <c r="A84" t="str">
        <f t="shared" si="24"/>
        <v>03/09/2025</v>
      </c>
      <c r="B84" t="str">
        <f>"ENTRADA"</f>
        <v>ENTRADA</v>
      </c>
      <c r="C84" t="str">
        <f>"DINHEIRO"</f>
        <v>DINHEIRO</v>
      </c>
      <c r="D84" t="str">
        <f>"0409"</f>
        <v>0409</v>
      </c>
      <c r="E84" t="str">
        <f>"25"</f>
        <v>25</v>
      </c>
      <c r="F84" t="str">
        <f t="shared" si="22"/>
        <v>COM</v>
      </c>
      <c r="G84" t="str">
        <f t="shared" si="25"/>
        <v>WEIGNE SENA CARDOSO (53)</v>
      </c>
      <c r="H84" t="str">
        <f>"REEMBOLSO COMPRA BAG"</f>
        <v>REEMBOLSO COMPRA BAG</v>
      </c>
      <c r="I84" t="str">
        <f t="shared" si="20"/>
        <v>04/09/2025</v>
      </c>
      <c r="J84" t="str">
        <f>("04/09/2025")</f>
        <v>04/09/2025</v>
      </c>
      <c r="K84" t="str">
        <f>("03/09/2025")</f>
        <v>03/09/2025</v>
      </c>
      <c r="L84">
        <v>38.33</v>
      </c>
      <c r="M84">
        <v>38.33</v>
      </c>
      <c r="N84">
        <v>108</v>
      </c>
      <c r="O84" t="str">
        <f>"RECEITAS COM REEMBOLSOS"</f>
        <v>RECEITAS COM REEMBOLSOS</v>
      </c>
      <c r="P84">
        <v>38.33</v>
      </c>
      <c r="S84" t="str">
        <f>"RECEITAS COM REEMBOLSOS (108)"</f>
        <v>RECEITAS COM REEMBOLSOS (108)</v>
      </c>
      <c r="T84">
        <v>17447</v>
      </c>
      <c r="U84">
        <v>21044</v>
      </c>
      <c r="V84" t="s">
        <v>48</v>
      </c>
    </row>
    <row r="85" spans="1:22">
      <c r="A85" t="str">
        <f t="shared" si="24"/>
        <v>03/09/2025</v>
      </c>
      <c r="B85" t="str">
        <f>"ENTRADA"</f>
        <v>ENTRADA</v>
      </c>
      <c r="C85" t="str">
        <f>"DINHEIRO"</f>
        <v>DINHEIRO</v>
      </c>
      <c r="D85" t="str">
        <f>"0409"</f>
        <v>0409</v>
      </c>
      <c r="E85" t="str">
        <f>"25"</f>
        <v>25</v>
      </c>
      <c r="F85" t="str">
        <f t="shared" si="22"/>
        <v>COM</v>
      </c>
      <c r="G85" t="str">
        <f t="shared" si="25"/>
        <v>WEIGNE SENA CARDOSO (53)</v>
      </c>
      <c r="H85" t="s">
        <v>64</v>
      </c>
      <c r="I85" t="str">
        <f t="shared" si="20"/>
        <v>04/09/2025</v>
      </c>
      <c r="J85" t="str">
        <f>("04/09/2025")</f>
        <v>04/09/2025</v>
      </c>
      <c r="K85">
        <v>45903</v>
      </c>
      <c r="N85">
        <v>108</v>
      </c>
      <c r="O85" t="s">
        <v>54</v>
      </c>
      <c r="Q85">
        <v>38.33</v>
      </c>
      <c r="R85" t="str">
        <f>"WEIGNE SENA CARDOSO (53)"</f>
        <v>WEIGNE SENA CARDOSO (53)</v>
      </c>
      <c r="S85" t="s">
        <v>55</v>
      </c>
      <c r="T85">
        <v>17447</v>
      </c>
      <c r="U85">
        <v>21044</v>
      </c>
      <c r="V85" t="s">
        <v>48</v>
      </c>
    </row>
    <row r="86" spans="1:22">
      <c r="A86" t="str">
        <f t="shared" si="24"/>
        <v>03/09/2025</v>
      </c>
      <c r="B86" t="str">
        <f>"ENTRADA"</f>
        <v>ENTRADA</v>
      </c>
      <c r="C86" t="str">
        <f>"DINHEIRO"</f>
        <v>DINHEIRO</v>
      </c>
      <c r="D86" t="str">
        <f>"0409"</f>
        <v>0409</v>
      </c>
      <c r="E86" t="str">
        <f>"25"</f>
        <v>25</v>
      </c>
      <c r="F86" t="str">
        <f t="shared" si="22"/>
        <v>COM</v>
      </c>
      <c r="G86" t="str">
        <f t="shared" si="25"/>
        <v>WEIGNE SENA CARDOSO (53)</v>
      </c>
      <c r="H86" t="str">
        <f>"REEMBOLSO ADIANTAMENTO"</f>
        <v>REEMBOLSO ADIANTAMENTO</v>
      </c>
      <c r="I86" t="str">
        <f t="shared" si="20"/>
        <v>04/09/2025</v>
      </c>
      <c r="J86" t="str">
        <f>("04/02/2025")</f>
        <v>04/02/2025</v>
      </c>
      <c r="K86" t="str">
        <f>("03/09/2025")</f>
        <v>03/09/2025</v>
      </c>
      <c r="L86">
        <v>400</v>
      </c>
      <c r="M86">
        <v>400</v>
      </c>
      <c r="N86">
        <v>129</v>
      </c>
      <c r="O86" t="str">
        <f>"ENTRADA DE REEMBOLSO ADIANTAMENTO"</f>
        <v>ENTRADA DE REEMBOLSO ADIANTAMENTO</v>
      </c>
      <c r="P86">
        <v>400</v>
      </c>
      <c r="S86" t="str">
        <f>"ENTRADA DE REEMBOLSO ADIANTAMENTO (129)"</f>
        <v>ENTRADA DE REEMBOLSO ADIANTAMENTO (129)</v>
      </c>
      <c r="T86">
        <v>17448</v>
      </c>
      <c r="U86">
        <v>8705</v>
      </c>
      <c r="V86" t="s">
        <v>48</v>
      </c>
    </row>
    <row r="87" spans="1:22">
      <c r="A87" t="str">
        <f t="shared" si="24"/>
        <v>03/09/2025</v>
      </c>
      <c r="B87" t="str">
        <f>"ENTRADA"</f>
        <v>ENTRADA</v>
      </c>
      <c r="C87" t="str">
        <f>"DINHEIRO"</f>
        <v>DINHEIRO</v>
      </c>
      <c r="D87" t="str">
        <f>"0409"</f>
        <v>0409</v>
      </c>
      <c r="E87" t="str">
        <f>"25"</f>
        <v>25</v>
      </c>
      <c r="F87" t="str">
        <f t="shared" si="22"/>
        <v>COM</v>
      </c>
      <c r="G87" t="str">
        <f t="shared" si="25"/>
        <v>WEIGNE SENA CARDOSO (53)</v>
      </c>
      <c r="H87" t="s">
        <v>57</v>
      </c>
      <c r="I87" t="str">
        <f t="shared" si="20"/>
        <v>04/09/2025</v>
      </c>
      <c r="J87" t="str">
        <f>("04/02/2025")</f>
        <v>04/02/2025</v>
      </c>
      <c r="K87">
        <v>45903</v>
      </c>
      <c r="N87">
        <v>129</v>
      </c>
      <c r="O87" t="s">
        <v>58</v>
      </c>
      <c r="Q87">
        <v>400</v>
      </c>
      <c r="R87" t="str">
        <f>"WEIGNE SENA CARDOSO (53)"</f>
        <v>WEIGNE SENA CARDOSO (53)</v>
      </c>
      <c r="S87" t="s">
        <v>59</v>
      </c>
      <c r="T87">
        <v>17448</v>
      </c>
      <c r="U87">
        <v>8705</v>
      </c>
      <c r="V87" t="s">
        <v>48</v>
      </c>
    </row>
    <row r="88" spans="1:22">
      <c r="A88" t="str">
        <f t="shared" si="24"/>
        <v>03/09/2025</v>
      </c>
      <c r="B88" t="str">
        <f t="shared" ref="B88:B94" si="26">"SAÍDA"</f>
        <v>SAÍDA</v>
      </c>
      <c r="C88" t="str">
        <f t="shared" ref="C88:C94" si="27">"PIX"</f>
        <v>PIX</v>
      </c>
      <c r="D88" t="str">
        <f>"21618"</f>
        <v>21618</v>
      </c>
      <c r="E88" t="str">
        <f t="shared" ref="E88:E105" si="28">"1"</f>
        <v>1</v>
      </c>
      <c r="F88" t="str">
        <f t="shared" si="22"/>
        <v>COM</v>
      </c>
      <c r="G88" t="str">
        <f>"WILDES ALVES CERQUEIRA ALMEIDA (874)"</f>
        <v>WILDES ALVES CERQUEIRA ALMEIDA (874)</v>
      </c>
      <c r="H88" t="str">
        <f>"Serv.Prest. 01/09/2025 a 07/09/2025 - PIX: CELULAR - CHAVE: (73) 98155-8496"</f>
        <v>Serv.Prest. 01/09/2025 a 07/09/2025 - PIX: CELULAR - CHAVE: (73) 98155-8496</v>
      </c>
      <c r="I88" t="str">
        <f>("18/09/2025")</f>
        <v>18/09/2025</v>
      </c>
      <c r="J88" t="str">
        <f t="shared" ref="J88:J94" si="29">("08/09/2025")</f>
        <v>08/09/2025</v>
      </c>
      <c r="K88" t="str">
        <f>("03/09/2025")</f>
        <v>03/09/2025</v>
      </c>
      <c r="L88">
        <v>240</v>
      </c>
      <c r="M88">
        <v>240</v>
      </c>
      <c r="N88">
        <v>109</v>
      </c>
      <c r="O88" t="str">
        <f>"PAGAMENTO DE ENTREGADORES"</f>
        <v>PAGAMENTO DE ENTREGADORES</v>
      </c>
      <c r="P88">
        <v>240</v>
      </c>
      <c r="S88" t="str">
        <f>"BANCO CORA (102)"</f>
        <v>BANCO CORA (102)</v>
      </c>
      <c r="T88">
        <v>17737</v>
      </c>
      <c r="U88">
        <v>21642</v>
      </c>
      <c r="V88" t="s">
        <v>22</v>
      </c>
    </row>
    <row r="89" spans="1:22">
      <c r="A89" t="str">
        <f t="shared" si="24"/>
        <v>03/09/2025</v>
      </c>
      <c r="B89" t="str">
        <f t="shared" si="26"/>
        <v>SAÍDA</v>
      </c>
      <c r="C89" t="str">
        <f t="shared" si="27"/>
        <v>PIX</v>
      </c>
      <c r="D89" t="str">
        <f>"21618"</f>
        <v>21618</v>
      </c>
      <c r="E89" t="str">
        <f t="shared" si="28"/>
        <v>1</v>
      </c>
      <c r="F89" t="str">
        <f t="shared" si="22"/>
        <v>COM</v>
      </c>
      <c r="G89" t="str">
        <f>"WILDES ALVES CERQUEIRA ALMEIDA (874)"</f>
        <v>WILDES ALVES CERQUEIRA ALMEIDA (874)</v>
      </c>
      <c r="H89" t="s">
        <v>65</v>
      </c>
      <c r="I89" t="str">
        <f>("18/09/2025")</f>
        <v>18/09/2025</v>
      </c>
      <c r="J89" t="str">
        <f t="shared" si="29"/>
        <v>08/09/2025</v>
      </c>
      <c r="K89">
        <v>45903</v>
      </c>
      <c r="N89">
        <v>109</v>
      </c>
      <c r="O89" t="s">
        <v>24</v>
      </c>
      <c r="Q89">
        <v>192</v>
      </c>
      <c r="R89" t="str">
        <f>"FARMÁCIA INDIANA LJ 65 (10030)"</f>
        <v>FARMÁCIA INDIANA LJ 65 (10030)</v>
      </c>
      <c r="S89" t="s">
        <v>22</v>
      </c>
      <c r="T89">
        <v>17737</v>
      </c>
      <c r="U89">
        <v>21642</v>
      </c>
      <c r="V89" t="s">
        <v>22</v>
      </c>
    </row>
    <row r="90" spans="1:22">
      <c r="A90" t="str">
        <f t="shared" si="24"/>
        <v>03/09/2025</v>
      </c>
      <c r="B90" t="str">
        <f t="shared" si="26"/>
        <v>SAÍDA</v>
      </c>
      <c r="C90" t="str">
        <f t="shared" si="27"/>
        <v>PIX</v>
      </c>
      <c r="D90" t="str">
        <f>"21618"</f>
        <v>21618</v>
      </c>
      <c r="E90" t="str">
        <f t="shared" si="28"/>
        <v>1</v>
      </c>
      <c r="F90" t="str">
        <f t="shared" si="22"/>
        <v>COM</v>
      </c>
      <c r="G90" t="str">
        <f>"WILDES ALVES CERQUEIRA ALMEIDA (874)"</f>
        <v>WILDES ALVES CERQUEIRA ALMEIDA (874)</v>
      </c>
      <c r="H90" t="s">
        <v>65</v>
      </c>
      <c r="I90" t="str">
        <f>("18/09/2025")</f>
        <v>18/09/2025</v>
      </c>
      <c r="J90" t="str">
        <f t="shared" si="29"/>
        <v>08/09/2025</v>
      </c>
      <c r="K90">
        <v>45903</v>
      </c>
      <c r="N90">
        <v>109</v>
      </c>
      <c r="O90" t="s">
        <v>24</v>
      </c>
      <c r="Q90">
        <v>48</v>
      </c>
      <c r="R90" t="str">
        <f>"FARMÁCIA INDIANA LJ 173 (10075)"</f>
        <v>FARMÁCIA INDIANA LJ 173 (10075)</v>
      </c>
      <c r="S90" t="s">
        <v>22</v>
      </c>
      <c r="T90">
        <v>17737</v>
      </c>
      <c r="U90">
        <v>21642</v>
      </c>
      <c r="V90" t="s">
        <v>22</v>
      </c>
    </row>
    <row r="91" spans="1:22">
      <c r="A91" t="str">
        <f t="shared" si="24"/>
        <v>03/09/2025</v>
      </c>
      <c r="B91" t="str">
        <f t="shared" si="26"/>
        <v>SAÍDA</v>
      </c>
      <c r="C91" t="str">
        <f t="shared" si="27"/>
        <v>PIX</v>
      </c>
      <c r="D91" t="str">
        <f>"21467"</f>
        <v>21467</v>
      </c>
      <c r="E91" t="str">
        <f t="shared" si="28"/>
        <v>1</v>
      </c>
      <c r="F91" t="str">
        <f t="shared" si="22"/>
        <v>COM</v>
      </c>
      <c r="G91" t="str">
        <f>"REGINALDO ANDRE BORTOLETTO (802)"</f>
        <v>REGINALDO ANDRE BORTOLETTO (802)</v>
      </c>
      <c r="H91" t="str">
        <f>"Serv.Prest. 01/09/2025 a 07/09/2025 - PIX: CELULAR - CHAVE: (11) 94281-7123"</f>
        <v>Serv.Prest. 01/09/2025 a 07/09/2025 - PIX: CELULAR - CHAVE: (11) 94281-7123</v>
      </c>
      <c r="I91" t="str">
        <f>("11/09/2025")</f>
        <v>11/09/2025</v>
      </c>
      <c r="J91" t="str">
        <f t="shared" si="29"/>
        <v>08/09/2025</v>
      </c>
      <c r="K91" t="str">
        <f>("03/09/2025")</f>
        <v>03/09/2025</v>
      </c>
      <c r="L91">
        <v>130</v>
      </c>
      <c r="M91">
        <v>130</v>
      </c>
      <c r="N91">
        <v>109</v>
      </c>
      <c r="O91" t="str">
        <f>"PAGAMENTO DE ENTREGADORES"</f>
        <v>PAGAMENTO DE ENTREGADORES</v>
      </c>
      <c r="P91">
        <v>130</v>
      </c>
      <c r="S91" t="str">
        <f>"BANCO CORA (102)"</f>
        <v>BANCO CORA (102)</v>
      </c>
      <c r="T91">
        <v>17756</v>
      </c>
      <c r="U91">
        <v>21653</v>
      </c>
      <c r="V91" t="s">
        <v>22</v>
      </c>
    </row>
    <row r="92" spans="1:22">
      <c r="A92" t="str">
        <f t="shared" si="24"/>
        <v>03/09/2025</v>
      </c>
      <c r="B92" t="str">
        <f t="shared" si="26"/>
        <v>SAÍDA</v>
      </c>
      <c r="C92" t="str">
        <f t="shared" si="27"/>
        <v>PIX</v>
      </c>
      <c r="D92" t="str">
        <f>"21467"</f>
        <v>21467</v>
      </c>
      <c r="E92" t="str">
        <f t="shared" si="28"/>
        <v>1</v>
      </c>
      <c r="F92" t="str">
        <f t="shared" si="22"/>
        <v>COM</v>
      </c>
      <c r="G92" t="str">
        <f>"REGINALDO ANDRE BORTOLETTO (802)"</f>
        <v>REGINALDO ANDRE BORTOLETTO (802)</v>
      </c>
      <c r="H92" t="s">
        <v>66</v>
      </c>
      <c r="I92" t="str">
        <f>("11/09/2025")</f>
        <v>11/09/2025</v>
      </c>
      <c r="J92" t="str">
        <f t="shared" si="29"/>
        <v>08/09/2025</v>
      </c>
      <c r="K92">
        <v>45903</v>
      </c>
      <c r="N92">
        <v>109</v>
      </c>
      <c r="O92" t="s">
        <v>24</v>
      </c>
      <c r="Q92">
        <v>130</v>
      </c>
      <c r="R92" t="str">
        <f>"DROGARIA MEDIC CENTER LTDA (10172)"</f>
        <v>DROGARIA MEDIC CENTER LTDA (10172)</v>
      </c>
      <c r="S92" t="s">
        <v>22</v>
      </c>
      <c r="T92">
        <v>17756</v>
      </c>
      <c r="U92">
        <v>21653</v>
      </c>
      <c r="V92" t="s">
        <v>22</v>
      </c>
    </row>
    <row r="93" spans="1:22">
      <c r="A93" t="str">
        <f t="shared" si="24"/>
        <v>03/09/2025</v>
      </c>
      <c r="B93" t="str">
        <f t="shared" si="26"/>
        <v>SAÍDA</v>
      </c>
      <c r="C93" t="str">
        <f t="shared" si="27"/>
        <v>PIX</v>
      </c>
      <c r="D93" t="str">
        <f>"21476"</f>
        <v>21476</v>
      </c>
      <c r="E93" t="str">
        <f t="shared" si="28"/>
        <v>1</v>
      </c>
      <c r="F93" t="str">
        <f t="shared" si="22"/>
        <v>COM</v>
      </c>
      <c r="G93" t="str">
        <f>"ROBERTO ALVES BATISTA (930)"</f>
        <v>ROBERTO ALVES BATISTA (930)</v>
      </c>
      <c r="H93" t="str">
        <f>"Serv.Prest. 01/09/2025 a 07/09/2025 - PIX: CELULAR - CHAVE: (11) 96366-0000"</f>
        <v>Serv.Prest. 01/09/2025 a 07/09/2025 - PIX: CELULAR - CHAVE: (11) 96366-0000</v>
      </c>
      <c r="I93" t="str">
        <f>("11/09/2025")</f>
        <v>11/09/2025</v>
      </c>
      <c r="J93" t="str">
        <f t="shared" si="29"/>
        <v>08/09/2025</v>
      </c>
      <c r="K93" t="str">
        <f>("03/09/2025")</f>
        <v>03/09/2025</v>
      </c>
      <c r="L93">
        <v>182</v>
      </c>
      <c r="M93">
        <v>182</v>
      </c>
      <c r="N93">
        <v>109</v>
      </c>
      <c r="O93" t="str">
        <f>"PAGAMENTO DE ENTREGADORES"</f>
        <v>PAGAMENTO DE ENTREGADORES</v>
      </c>
      <c r="P93">
        <v>182</v>
      </c>
      <c r="S93" t="str">
        <f>"BANCO CORA (102)"</f>
        <v>BANCO CORA (102)</v>
      </c>
      <c r="T93">
        <v>17762</v>
      </c>
      <c r="U93">
        <v>21476</v>
      </c>
      <c r="V93" t="s">
        <v>22</v>
      </c>
    </row>
    <row r="94" spans="1:22">
      <c r="A94" t="str">
        <f t="shared" si="24"/>
        <v>03/09/2025</v>
      </c>
      <c r="B94" t="str">
        <f t="shared" si="26"/>
        <v>SAÍDA</v>
      </c>
      <c r="C94" t="str">
        <f t="shared" si="27"/>
        <v>PIX</v>
      </c>
      <c r="D94" t="str">
        <f>"21476"</f>
        <v>21476</v>
      </c>
      <c r="E94" t="str">
        <f t="shared" si="28"/>
        <v>1</v>
      </c>
      <c r="F94" t="str">
        <f t="shared" si="22"/>
        <v>COM</v>
      </c>
      <c r="G94" t="str">
        <f>"ROBERTO ALVES BATISTA (930)"</f>
        <v>ROBERTO ALVES BATISTA (930)</v>
      </c>
      <c r="H94" t="s">
        <v>67</v>
      </c>
      <c r="I94" t="str">
        <f>("11/09/2025")</f>
        <v>11/09/2025</v>
      </c>
      <c r="J94" t="str">
        <f t="shared" si="29"/>
        <v>08/09/2025</v>
      </c>
      <c r="K94">
        <v>45903</v>
      </c>
      <c r="N94">
        <v>109</v>
      </c>
      <c r="O94" t="s">
        <v>24</v>
      </c>
      <c r="Q94">
        <v>182</v>
      </c>
      <c r="R94" t="str">
        <f>"DROGARIA MORENO LTDA (10171)"</f>
        <v>DROGARIA MORENO LTDA (10171)</v>
      </c>
      <c r="S94" t="s">
        <v>22</v>
      </c>
      <c r="T94">
        <v>17762</v>
      </c>
      <c r="U94">
        <v>21476</v>
      </c>
      <c r="V94" t="s">
        <v>22</v>
      </c>
    </row>
    <row r="95" spans="1:22">
      <c r="A95" t="str">
        <f t="shared" si="24"/>
        <v>03/09/2025</v>
      </c>
      <c r="B95" t="str">
        <f t="shared" ref="B95:B105" si="30">"ENTRADA"</f>
        <v>ENTRADA</v>
      </c>
      <c r="C95" t="str">
        <f t="shared" ref="C95:C105" si="31">"NFSE"</f>
        <v>NFSE</v>
      </c>
      <c r="D95" t="str">
        <f>"3297"</f>
        <v>3297</v>
      </c>
      <c r="E95" t="str">
        <f t="shared" si="28"/>
        <v>1</v>
      </c>
      <c r="F95" t="str">
        <f t="shared" si="22"/>
        <v>COM</v>
      </c>
      <c r="G95" t="str">
        <f>"DROGARIA AGAPEAMA (10167)"</f>
        <v>DROGARIA AGAPEAMA (10167)</v>
      </c>
      <c r="H95" t="str">
        <f>"Serv.Prest. 25/08/2025 a 31/08/2025 - RPS: 1173 - NFSe: 3297"</f>
        <v>Serv.Prest. 25/08/2025 a 31/08/2025 - RPS: 1173 - NFSe: 3297</v>
      </c>
      <c r="I95" t="str">
        <f t="shared" ref="I95:I126" si="32">("03/09/2025")</f>
        <v>03/09/2025</v>
      </c>
      <c r="J95" t="str">
        <f t="shared" ref="J95:J115" si="33">("01/09/2025")</f>
        <v>01/09/2025</v>
      </c>
      <c r="K95" t="str">
        <f>("03/09/2025")</f>
        <v>03/09/2025</v>
      </c>
      <c r="L95">
        <v>3240</v>
      </c>
      <c r="M95">
        <v>3240</v>
      </c>
      <c r="N95">
        <v>303</v>
      </c>
      <c r="O95" t="str">
        <f>"RECEITAS COM ENTREGAS"</f>
        <v>RECEITAS COM ENTREGAS</v>
      </c>
      <c r="P95">
        <v>3240</v>
      </c>
      <c r="S95" t="str">
        <f>"RECEITAS COM ENTREGAS (303)"</f>
        <v>RECEITAS COM ENTREGAS (303)</v>
      </c>
      <c r="T95">
        <v>18559</v>
      </c>
      <c r="U95">
        <v>21076</v>
      </c>
      <c r="V95" t="s">
        <v>22</v>
      </c>
    </row>
    <row r="96" spans="1:22">
      <c r="A96" t="str">
        <f t="shared" si="24"/>
        <v>03/09/2025</v>
      </c>
      <c r="B96" t="str">
        <f t="shared" si="30"/>
        <v>ENTRADA</v>
      </c>
      <c r="C96" t="str">
        <f t="shared" si="31"/>
        <v>NFSE</v>
      </c>
      <c r="D96" t="str">
        <f>"3297"</f>
        <v>3297</v>
      </c>
      <c r="E96" t="str">
        <f t="shared" si="28"/>
        <v>1</v>
      </c>
      <c r="F96" t="str">
        <f t="shared" si="22"/>
        <v>COM</v>
      </c>
      <c r="G96" t="str">
        <f>"DROGARIA AGAPEAMA (10167)"</f>
        <v>DROGARIA AGAPEAMA (10167)</v>
      </c>
      <c r="H96" t="s">
        <v>68</v>
      </c>
      <c r="I96" t="str">
        <f t="shared" si="32"/>
        <v>03/09/2025</v>
      </c>
      <c r="J96" t="str">
        <f t="shared" si="33"/>
        <v>01/09/2025</v>
      </c>
      <c r="K96">
        <v>45903</v>
      </c>
      <c r="N96">
        <v>303</v>
      </c>
      <c r="O96" t="s">
        <v>69</v>
      </c>
      <c r="Q96">
        <v>3240</v>
      </c>
      <c r="R96" t="str">
        <f>"DROGARIA AGAPEAMA (10167)"</f>
        <v>DROGARIA AGAPEAMA (10167)</v>
      </c>
      <c r="S96" t="s">
        <v>70</v>
      </c>
      <c r="T96">
        <v>18559</v>
      </c>
      <c r="U96">
        <v>21076</v>
      </c>
      <c r="V96" t="s">
        <v>22</v>
      </c>
    </row>
    <row r="97" spans="1:22">
      <c r="A97" t="str">
        <f t="shared" si="24"/>
        <v>03/09/2025</v>
      </c>
      <c r="B97" t="str">
        <f t="shared" si="30"/>
        <v>ENTRADA</v>
      </c>
      <c r="C97" t="str">
        <f t="shared" si="31"/>
        <v>NFSE</v>
      </c>
      <c r="D97" t="str">
        <f>"3301"</f>
        <v>3301</v>
      </c>
      <c r="E97" t="str">
        <f t="shared" si="28"/>
        <v>1</v>
      </c>
      <c r="F97" t="str">
        <f t="shared" si="22"/>
        <v>COM</v>
      </c>
      <c r="G97" t="str">
        <f>"ENTREFARMA (10164)"</f>
        <v>ENTREFARMA (10164)</v>
      </c>
      <c r="H97" t="str">
        <f>"Serv.Prest. 25/08/2025 a 31/08/2025 - RPS: 1177 - NFSe: 3301"</f>
        <v>Serv.Prest. 25/08/2025 a 31/08/2025 - RPS: 1177 - NFSe: 3301</v>
      </c>
      <c r="I97" t="str">
        <f t="shared" si="32"/>
        <v>03/09/2025</v>
      </c>
      <c r="J97" t="str">
        <f t="shared" si="33"/>
        <v>01/09/2025</v>
      </c>
      <c r="K97" t="str">
        <f>("03/09/2025")</f>
        <v>03/09/2025</v>
      </c>
      <c r="L97">
        <v>6711.6</v>
      </c>
      <c r="M97">
        <v>6711.6</v>
      </c>
      <c r="N97">
        <v>303</v>
      </c>
      <c r="O97" t="str">
        <f>"RECEITAS COM ENTREGAS"</f>
        <v>RECEITAS COM ENTREGAS</v>
      </c>
      <c r="P97">
        <v>6711.6</v>
      </c>
      <c r="S97" t="str">
        <f>"RECEITAS COM ENTREGAS (303)"</f>
        <v>RECEITAS COM ENTREGAS (303)</v>
      </c>
      <c r="T97">
        <v>18560</v>
      </c>
      <c r="U97">
        <v>21090</v>
      </c>
      <c r="V97" t="s">
        <v>22</v>
      </c>
    </row>
    <row r="98" spans="1:22">
      <c r="A98" t="str">
        <f t="shared" si="24"/>
        <v>03/09/2025</v>
      </c>
      <c r="B98" t="str">
        <f t="shared" si="30"/>
        <v>ENTRADA</v>
      </c>
      <c r="C98" t="str">
        <f t="shared" si="31"/>
        <v>NFSE</v>
      </c>
      <c r="D98" t="str">
        <f>"3301"</f>
        <v>3301</v>
      </c>
      <c r="E98" t="str">
        <f t="shared" si="28"/>
        <v>1</v>
      </c>
      <c r="F98" t="str">
        <f t="shared" si="22"/>
        <v>COM</v>
      </c>
      <c r="G98" t="str">
        <f>"ENTREFARMA (10164)"</f>
        <v>ENTREFARMA (10164)</v>
      </c>
      <c r="H98" t="s">
        <v>71</v>
      </c>
      <c r="I98" t="str">
        <f t="shared" si="32"/>
        <v>03/09/2025</v>
      </c>
      <c r="J98" t="str">
        <f t="shared" si="33"/>
        <v>01/09/2025</v>
      </c>
      <c r="K98">
        <v>45903</v>
      </c>
      <c r="N98">
        <v>303</v>
      </c>
      <c r="O98" t="s">
        <v>69</v>
      </c>
      <c r="Q98">
        <v>6711.6</v>
      </c>
      <c r="R98" t="str">
        <f>"ENTREFARMA (10164)"</f>
        <v>ENTREFARMA (10164)</v>
      </c>
      <c r="S98" t="s">
        <v>70</v>
      </c>
      <c r="T98">
        <v>18560</v>
      </c>
      <c r="U98">
        <v>21090</v>
      </c>
      <c r="V98" t="s">
        <v>22</v>
      </c>
    </row>
    <row r="99" spans="1:22">
      <c r="A99" t="str">
        <f t="shared" si="24"/>
        <v>03/09/2025</v>
      </c>
      <c r="B99" t="str">
        <f t="shared" si="30"/>
        <v>ENTRADA</v>
      </c>
      <c r="C99" t="str">
        <f t="shared" si="31"/>
        <v>NFSE</v>
      </c>
      <c r="D99" t="str">
        <f>"3308"</f>
        <v>3308</v>
      </c>
      <c r="E99" t="str">
        <f t="shared" si="28"/>
        <v>1</v>
      </c>
      <c r="F99" t="str">
        <f t="shared" si="22"/>
        <v>COM</v>
      </c>
      <c r="G99" t="str">
        <f>"JAL FARMACIA E DROGARIA LJ 2 (10138)"</f>
        <v>JAL FARMACIA E DROGARIA LJ 2 (10138)</v>
      </c>
      <c r="H99" t="str">
        <f>"Serv.Prest. 25/08/2025 a 31/08/2025 - RPS: 1184 - NFSe: 3308"</f>
        <v>Serv.Prest. 25/08/2025 a 31/08/2025 - RPS: 1184 - NFSe: 3308</v>
      </c>
      <c r="I99" t="str">
        <f t="shared" si="32"/>
        <v>03/09/2025</v>
      </c>
      <c r="J99" t="str">
        <f t="shared" si="33"/>
        <v>01/09/2025</v>
      </c>
      <c r="K99" t="str">
        <f>("03/09/2025")</f>
        <v>03/09/2025</v>
      </c>
      <c r="L99">
        <v>1562.4</v>
      </c>
      <c r="M99">
        <v>1562.4</v>
      </c>
      <c r="N99">
        <v>303</v>
      </c>
      <c r="O99" t="str">
        <f>"RECEITAS COM ENTREGAS"</f>
        <v>RECEITAS COM ENTREGAS</v>
      </c>
      <c r="P99">
        <v>1562.4</v>
      </c>
      <c r="S99" t="str">
        <f>"RECEITAS COM ENTREGAS (303)"</f>
        <v>RECEITAS COM ENTREGAS (303)</v>
      </c>
      <c r="T99">
        <v>18561</v>
      </c>
      <c r="U99">
        <v>21117</v>
      </c>
      <c r="V99" t="s">
        <v>22</v>
      </c>
    </row>
    <row r="100" spans="1:22">
      <c r="A100" t="str">
        <f t="shared" si="24"/>
        <v>03/09/2025</v>
      </c>
      <c r="B100" t="str">
        <f t="shared" si="30"/>
        <v>ENTRADA</v>
      </c>
      <c r="C100" t="str">
        <f t="shared" si="31"/>
        <v>NFSE</v>
      </c>
      <c r="D100" t="str">
        <f>"3308"</f>
        <v>3308</v>
      </c>
      <c r="E100" t="str">
        <f t="shared" si="28"/>
        <v>1</v>
      </c>
      <c r="F100" t="str">
        <f t="shared" si="22"/>
        <v>COM</v>
      </c>
      <c r="G100" t="str">
        <f>"JAL FARMACIA E DROGARIA LJ 2 (10138)"</f>
        <v>JAL FARMACIA E DROGARIA LJ 2 (10138)</v>
      </c>
      <c r="H100" t="s">
        <v>72</v>
      </c>
      <c r="I100" t="str">
        <f t="shared" si="32"/>
        <v>03/09/2025</v>
      </c>
      <c r="J100" t="str">
        <f t="shared" si="33"/>
        <v>01/09/2025</v>
      </c>
      <c r="K100">
        <v>45903</v>
      </c>
      <c r="N100">
        <v>303</v>
      </c>
      <c r="O100" t="s">
        <v>69</v>
      </c>
      <c r="Q100">
        <v>1562.4</v>
      </c>
      <c r="R100" t="str">
        <f>"JAL FARMACIA E DROGARIA LJ 2 (10138)"</f>
        <v>JAL FARMACIA E DROGARIA LJ 2 (10138)</v>
      </c>
      <c r="S100" t="s">
        <v>70</v>
      </c>
      <c r="T100">
        <v>18561</v>
      </c>
      <c r="U100">
        <v>21117</v>
      </c>
      <c r="V100" t="s">
        <v>22</v>
      </c>
    </row>
    <row r="101" spans="1:22">
      <c r="A101" t="str">
        <f t="shared" si="24"/>
        <v>03/09/2025</v>
      </c>
      <c r="B101" t="str">
        <f t="shared" si="30"/>
        <v>ENTRADA</v>
      </c>
      <c r="C101" t="str">
        <f t="shared" si="31"/>
        <v>NFSE</v>
      </c>
      <c r="D101" t="str">
        <f>"3311"</f>
        <v>3311</v>
      </c>
      <c r="E101" t="str">
        <f t="shared" si="28"/>
        <v>1</v>
      </c>
      <c r="F101" t="str">
        <f t="shared" si="22"/>
        <v>COM</v>
      </c>
      <c r="G101" t="str">
        <f>"DELTA LOJA 2 (10123)"</f>
        <v>DELTA LOJA 2 (10123)</v>
      </c>
      <c r="H101" t="str">
        <f>"Serv.Prest. 25/08/2025 a 31/08/2025 - RPS: 1187 - NFSe: 3311"</f>
        <v>Serv.Prest. 25/08/2025 a 31/08/2025 - RPS: 1187 - NFSe: 3311</v>
      </c>
      <c r="I101" t="str">
        <f t="shared" si="32"/>
        <v>03/09/2025</v>
      </c>
      <c r="J101" t="str">
        <f t="shared" si="33"/>
        <v>01/09/2025</v>
      </c>
      <c r="K101" t="str">
        <f>("03/09/2025")</f>
        <v>03/09/2025</v>
      </c>
      <c r="L101">
        <v>3110.52</v>
      </c>
      <c r="M101">
        <v>3110.52</v>
      </c>
      <c r="N101">
        <v>303</v>
      </c>
      <c r="O101" t="str">
        <f>"RECEITAS COM ENTREGAS"</f>
        <v>RECEITAS COM ENTREGAS</v>
      </c>
      <c r="P101">
        <v>3110.52</v>
      </c>
      <c r="S101" t="str">
        <f>"RECEITAS COM ENTREGAS (303)"</f>
        <v>RECEITAS COM ENTREGAS (303)</v>
      </c>
      <c r="T101">
        <v>18562</v>
      </c>
      <c r="U101">
        <v>21129</v>
      </c>
      <c r="V101" t="s">
        <v>22</v>
      </c>
    </row>
    <row r="102" spans="1:22">
      <c r="A102" t="str">
        <f t="shared" si="24"/>
        <v>03/09/2025</v>
      </c>
      <c r="B102" t="str">
        <f t="shared" si="30"/>
        <v>ENTRADA</v>
      </c>
      <c r="C102" t="str">
        <f t="shared" si="31"/>
        <v>NFSE</v>
      </c>
      <c r="D102" t="str">
        <f>"3311"</f>
        <v>3311</v>
      </c>
      <c r="E102" t="str">
        <f t="shared" si="28"/>
        <v>1</v>
      </c>
      <c r="F102" t="str">
        <f t="shared" si="22"/>
        <v>COM</v>
      </c>
      <c r="G102" t="str">
        <f>"DELTA LOJA 2 (10123)"</f>
        <v>DELTA LOJA 2 (10123)</v>
      </c>
      <c r="H102" t="s">
        <v>73</v>
      </c>
      <c r="I102" t="str">
        <f t="shared" si="32"/>
        <v>03/09/2025</v>
      </c>
      <c r="J102" t="str">
        <f t="shared" si="33"/>
        <v>01/09/2025</v>
      </c>
      <c r="K102">
        <v>45903</v>
      </c>
      <c r="N102">
        <v>303</v>
      </c>
      <c r="O102" t="s">
        <v>69</v>
      </c>
      <c r="Q102">
        <v>3110.52</v>
      </c>
      <c r="R102" t="str">
        <f>"DELTA LOJA 2 (10123)"</f>
        <v>DELTA LOJA 2 (10123)</v>
      </c>
      <c r="S102" t="s">
        <v>70</v>
      </c>
      <c r="T102">
        <v>18562</v>
      </c>
      <c r="U102">
        <v>21129</v>
      </c>
      <c r="V102" t="s">
        <v>22</v>
      </c>
    </row>
    <row r="103" spans="1:22">
      <c r="A103" t="str">
        <f t="shared" si="24"/>
        <v>03/09/2025</v>
      </c>
      <c r="B103" t="str">
        <f t="shared" si="30"/>
        <v>ENTRADA</v>
      </c>
      <c r="C103" t="str">
        <f t="shared" si="31"/>
        <v>NFSE</v>
      </c>
      <c r="D103" t="str">
        <f>"3302"</f>
        <v>3302</v>
      </c>
      <c r="E103" t="str">
        <f t="shared" si="28"/>
        <v>1</v>
      </c>
      <c r="F103" t="str">
        <f t="shared" si="22"/>
        <v>COM</v>
      </c>
      <c r="G103" t="str">
        <f>"FRAN FARMA (10124)"</f>
        <v>FRAN FARMA (10124)</v>
      </c>
      <c r="H103" t="str">
        <f>"Serv.Prest. 25/08/2025 a 31/08/2025 - RPS: 1178 - NFSe: 3302"</f>
        <v>Serv.Prest. 25/08/2025 a 31/08/2025 - RPS: 1178 - NFSe: 3302</v>
      </c>
      <c r="I103" t="str">
        <f t="shared" si="32"/>
        <v>03/09/2025</v>
      </c>
      <c r="J103" t="str">
        <f t="shared" si="33"/>
        <v>01/09/2025</v>
      </c>
      <c r="K103" t="str">
        <f>("03/09/2025")</f>
        <v>03/09/2025</v>
      </c>
      <c r="L103">
        <v>840</v>
      </c>
      <c r="M103">
        <v>840</v>
      </c>
      <c r="N103">
        <v>303</v>
      </c>
      <c r="O103" t="str">
        <f>"RECEITAS COM ENTREGAS"</f>
        <v>RECEITAS COM ENTREGAS</v>
      </c>
      <c r="P103">
        <v>840</v>
      </c>
      <c r="S103" t="str">
        <f>"RECEITAS COM ENTREGAS (303)"</f>
        <v>RECEITAS COM ENTREGAS (303)</v>
      </c>
      <c r="T103">
        <v>18574</v>
      </c>
      <c r="U103">
        <v>21095</v>
      </c>
      <c r="V103" t="s">
        <v>22</v>
      </c>
    </row>
    <row r="104" spans="1:22">
      <c r="A104" t="str">
        <f t="shared" si="24"/>
        <v>03/09/2025</v>
      </c>
      <c r="B104" t="str">
        <f t="shared" si="30"/>
        <v>ENTRADA</v>
      </c>
      <c r="C104" t="str">
        <f t="shared" si="31"/>
        <v>NFSE</v>
      </c>
      <c r="D104" t="str">
        <f>"3302"</f>
        <v>3302</v>
      </c>
      <c r="E104" t="str">
        <f t="shared" si="28"/>
        <v>1</v>
      </c>
      <c r="F104" t="str">
        <f t="shared" si="22"/>
        <v>COM</v>
      </c>
      <c r="G104" t="str">
        <f>"FRAN FARMA (10124)"</f>
        <v>FRAN FARMA (10124)</v>
      </c>
      <c r="H104" t="s">
        <v>74</v>
      </c>
      <c r="I104" t="str">
        <f t="shared" si="32"/>
        <v>03/09/2025</v>
      </c>
      <c r="J104" t="str">
        <f t="shared" si="33"/>
        <v>01/09/2025</v>
      </c>
      <c r="K104">
        <v>45903</v>
      </c>
      <c r="N104">
        <v>303</v>
      </c>
      <c r="O104" t="s">
        <v>69</v>
      </c>
      <c r="Q104">
        <v>504</v>
      </c>
      <c r="R104" t="str">
        <f>"FRAN FARMA LJ 2 (10131)"</f>
        <v>FRAN FARMA LJ 2 (10131)</v>
      </c>
      <c r="S104" t="s">
        <v>70</v>
      </c>
      <c r="T104">
        <v>18574</v>
      </c>
      <c r="U104">
        <v>21095</v>
      </c>
      <c r="V104" t="s">
        <v>22</v>
      </c>
    </row>
    <row r="105" spans="1:22">
      <c r="A105" t="str">
        <f t="shared" si="24"/>
        <v>03/09/2025</v>
      </c>
      <c r="B105" t="str">
        <f t="shared" si="30"/>
        <v>ENTRADA</v>
      </c>
      <c r="C105" t="str">
        <f t="shared" si="31"/>
        <v>NFSE</v>
      </c>
      <c r="D105" t="str">
        <f>"3302"</f>
        <v>3302</v>
      </c>
      <c r="E105" t="str">
        <f t="shared" si="28"/>
        <v>1</v>
      </c>
      <c r="F105" t="str">
        <f t="shared" si="22"/>
        <v>COM</v>
      </c>
      <c r="G105" t="str">
        <f>"FRAN FARMA (10124)"</f>
        <v>FRAN FARMA (10124)</v>
      </c>
      <c r="H105" t="s">
        <v>74</v>
      </c>
      <c r="I105" t="str">
        <f t="shared" si="32"/>
        <v>03/09/2025</v>
      </c>
      <c r="J105" t="str">
        <f t="shared" si="33"/>
        <v>01/09/2025</v>
      </c>
      <c r="K105">
        <v>45903</v>
      </c>
      <c r="N105">
        <v>303</v>
      </c>
      <c r="O105" t="s">
        <v>69</v>
      </c>
      <c r="Q105">
        <v>336</v>
      </c>
      <c r="R105" t="str">
        <f>"FRAN FARMA LJ 3 (10132)"</f>
        <v>FRAN FARMA LJ 3 (10132)</v>
      </c>
      <c r="S105" t="s">
        <v>70</v>
      </c>
      <c r="T105">
        <v>18574</v>
      </c>
      <c r="U105">
        <v>21095</v>
      </c>
      <c r="V105" t="s">
        <v>22</v>
      </c>
    </row>
    <row r="106" spans="1:22">
      <c r="A106" t="str">
        <f t="shared" si="24"/>
        <v>03/09/2025</v>
      </c>
      <c r="B106" t="str">
        <f t="shared" ref="B106:B115" si="34">"SAÍDA"</f>
        <v>SAÍDA</v>
      </c>
      <c r="C106" t="str">
        <f t="shared" ref="C106:C115" si="35">"CONHECIMENTO"</f>
        <v>CONHECIMENTO</v>
      </c>
      <c r="D106" t="str">
        <f t="shared" ref="D106:D115" si="36">"01092025"</f>
        <v>01092025</v>
      </c>
      <c r="E106" t="str">
        <f>"2"</f>
        <v>2</v>
      </c>
      <c r="F106" t="str">
        <f t="shared" si="22"/>
        <v>COM</v>
      </c>
      <c r="G106" t="str">
        <f t="shared" ref="G106:G115" si="37">"CORA SOCIEDADE DE CREDITO, FINANCIAMENTO E INVESTIMENTO (20035)"</f>
        <v>CORA SOCIEDADE DE CREDITO, FINANCIAMENTO E INVESTIMENTO (20035)</v>
      </c>
      <c r="H106" t="str">
        <f>"TAXA BOLETO "</f>
        <v xml:space="preserve">TAXA BOLETO </v>
      </c>
      <c r="I106" t="str">
        <f t="shared" si="32"/>
        <v>03/09/2025</v>
      </c>
      <c r="J106" t="str">
        <f t="shared" si="33"/>
        <v>01/09/2025</v>
      </c>
      <c r="K106" t="str">
        <f>("03/09/2025")</f>
        <v>03/09/2025</v>
      </c>
      <c r="L106">
        <v>1.7</v>
      </c>
      <c r="M106">
        <v>1.7</v>
      </c>
      <c r="N106">
        <v>401</v>
      </c>
      <c r="O106" t="str">
        <f>"IOF/JUROS/DESP.FINANCEIRA"</f>
        <v>IOF/JUROS/DESP.FINANCEIRA</v>
      </c>
      <c r="P106">
        <v>1.7</v>
      </c>
      <c r="S106" t="str">
        <f>"BANCO CORA (102)"</f>
        <v>BANCO CORA (102)</v>
      </c>
      <c r="T106">
        <v>21288</v>
      </c>
      <c r="U106">
        <v>25898</v>
      </c>
      <c r="V106" t="s">
        <v>22</v>
      </c>
    </row>
    <row r="107" spans="1:22">
      <c r="A107" t="str">
        <f t="shared" si="24"/>
        <v>03/09/2025</v>
      </c>
      <c r="B107" t="str">
        <f t="shared" si="34"/>
        <v>SAÍDA</v>
      </c>
      <c r="C107" t="str">
        <f t="shared" si="35"/>
        <v>CONHECIMENTO</v>
      </c>
      <c r="D107" t="str">
        <f t="shared" si="36"/>
        <v>01092025</v>
      </c>
      <c r="E107" t="str">
        <f>"2"</f>
        <v>2</v>
      </c>
      <c r="F107" t="str">
        <f t="shared" si="22"/>
        <v>COM</v>
      </c>
      <c r="G107" t="str">
        <f t="shared" si="37"/>
        <v>CORA SOCIEDADE DE CREDITO, FINANCIAMENTO E INVESTIMENTO (20035)</v>
      </c>
      <c r="H107" t="s">
        <v>75</v>
      </c>
      <c r="I107" t="str">
        <f t="shared" si="32"/>
        <v>03/09/2025</v>
      </c>
      <c r="J107" t="str">
        <f t="shared" si="33"/>
        <v>01/09/2025</v>
      </c>
      <c r="K107">
        <v>45903</v>
      </c>
      <c r="N107">
        <v>401</v>
      </c>
      <c r="O107" t="s">
        <v>76</v>
      </c>
      <c r="Q107">
        <v>1.7</v>
      </c>
      <c r="R107" t="str">
        <f>"CORA SOCIEDADE DE CREDITO, FINANCIAMENTO E INVESTIMENTO (20035)"</f>
        <v>CORA SOCIEDADE DE CREDITO, FINANCIAMENTO E INVESTIMENTO (20035)</v>
      </c>
      <c r="S107" t="s">
        <v>22</v>
      </c>
      <c r="T107">
        <v>21288</v>
      </c>
      <c r="U107">
        <v>25898</v>
      </c>
      <c r="V107" t="s">
        <v>22</v>
      </c>
    </row>
    <row r="108" spans="1:22">
      <c r="A108" t="str">
        <f t="shared" si="24"/>
        <v>03/09/2025</v>
      </c>
      <c r="B108" t="str">
        <f t="shared" si="34"/>
        <v>SAÍDA</v>
      </c>
      <c r="C108" t="str">
        <f t="shared" si="35"/>
        <v>CONHECIMENTO</v>
      </c>
      <c r="D108" t="str">
        <f t="shared" si="36"/>
        <v>01092025</v>
      </c>
      <c r="E108" t="str">
        <f>"3"</f>
        <v>3</v>
      </c>
      <c r="F108" t="str">
        <f t="shared" si="22"/>
        <v>COM</v>
      </c>
      <c r="G108" t="str">
        <f t="shared" si="37"/>
        <v>CORA SOCIEDADE DE CREDITO, FINANCIAMENTO E INVESTIMENTO (20035)</v>
      </c>
      <c r="H108" t="str">
        <f>"TAXA BOLETO "</f>
        <v xml:space="preserve">TAXA BOLETO </v>
      </c>
      <c r="I108" t="str">
        <f t="shared" si="32"/>
        <v>03/09/2025</v>
      </c>
      <c r="J108" t="str">
        <f t="shared" si="33"/>
        <v>01/09/2025</v>
      </c>
      <c r="K108" t="str">
        <f>("03/09/2025")</f>
        <v>03/09/2025</v>
      </c>
      <c r="L108">
        <v>1.7</v>
      </c>
      <c r="M108">
        <v>1.7</v>
      </c>
      <c r="N108">
        <v>401</v>
      </c>
      <c r="O108" t="str">
        <f>"IOF/JUROS/DESP.FINANCEIRA"</f>
        <v>IOF/JUROS/DESP.FINANCEIRA</v>
      </c>
      <c r="P108">
        <v>1.7</v>
      </c>
      <c r="S108" t="str">
        <f>"BANCO CORA (102)"</f>
        <v>BANCO CORA (102)</v>
      </c>
      <c r="T108">
        <v>21289</v>
      </c>
      <c r="U108">
        <v>25899</v>
      </c>
      <c r="V108" t="s">
        <v>22</v>
      </c>
    </row>
    <row r="109" spans="1:22">
      <c r="A109" t="str">
        <f t="shared" si="24"/>
        <v>03/09/2025</v>
      </c>
      <c r="B109" t="str">
        <f t="shared" si="34"/>
        <v>SAÍDA</v>
      </c>
      <c r="C109" t="str">
        <f t="shared" si="35"/>
        <v>CONHECIMENTO</v>
      </c>
      <c r="D109" t="str">
        <f t="shared" si="36"/>
        <v>01092025</v>
      </c>
      <c r="E109" t="str">
        <f>"3"</f>
        <v>3</v>
      </c>
      <c r="F109" t="str">
        <f t="shared" si="22"/>
        <v>COM</v>
      </c>
      <c r="G109" t="str">
        <f t="shared" si="37"/>
        <v>CORA SOCIEDADE DE CREDITO, FINANCIAMENTO E INVESTIMENTO (20035)</v>
      </c>
      <c r="H109" t="s">
        <v>75</v>
      </c>
      <c r="I109" t="str">
        <f t="shared" si="32"/>
        <v>03/09/2025</v>
      </c>
      <c r="J109" t="str">
        <f t="shared" si="33"/>
        <v>01/09/2025</v>
      </c>
      <c r="K109">
        <v>45903</v>
      </c>
      <c r="N109">
        <v>401</v>
      </c>
      <c r="O109" t="s">
        <v>76</v>
      </c>
      <c r="Q109">
        <v>1.7</v>
      </c>
      <c r="R109" t="str">
        <f>"CORA SOCIEDADE DE CREDITO, FINANCIAMENTO E INVESTIMENTO (20035)"</f>
        <v>CORA SOCIEDADE DE CREDITO, FINANCIAMENTO E INVESTIMENTO (20035)</v>
      </c>
      <c r="S109" t="s">
        <v>22</v>
      </c>
      <c r="T109">
        <v>21289</v>
      </c>
      <c r="U109">
        <v>25899</v>
      </c>
      <c r="V109" t="s">
        <v>22</v>
      </c>
    </row>
    <row r="110" spans="1:22">
      <c r="A110" t="str">
        <f t="shared" si="24"/>
        <v>03/09/2025</v>
      </c>
      <c r="B110" t="str">
        <f t="shared" si="34"/>
        <v>SAÍDA</v>
      </c>
      <c r="C110" t="str">
        <f t="shared" si="35"/>
        <v>CONHECIMENTO</v>
      </c>
      <c r="D110" t="str">
        <f t="shared" si="36"/>
        <v>01092025</v>
      </c>
      <c r="E110" t="str">
        <f>"4"</f>
        <v>4</v>
      </c>
      <c r="F110" t="str">
        <f t="shared" si="22"/>
        <v>COM</v>
      </c>
      <c r="G110" t="str">
        <f t="shared" si="37"/>
        <v>CORA SOCIEDADE DE CREDITO, FINANCIAMENTO E INVESTIMENTO (20035)</v>
      </c>
      <c r="H110" t="str">
        <f>"TAXA BOLETO "</f>
        <v xml:space="preserve">TAXA BOLETO </v>
      </c>
      <c r="I110" t="str">
        <f t="shared" si="32"/>
        <v>03/09/2025</v>
      </c>
      <c r="J110" t="str">
        <f t="shared" si="33"/>
        <v>01/09/2025</v>
      </c>
      <c r="K110" t="str">
        <f>("03/09/2025")</f>
        <v>03/09/2025</v>
      </c>
      <c r="L110">
        <v>1.7</v>
      </c>
      <c r="M110">
        <v>1.7</v>
      </c>
      <c r="N110">
        <v>401</v>
      </c>
      <c r="O110" t="str">
        <f>"IOF/JUROS/DESP.FINANCEIRA"</f>
        <v>IOF/JUROS/DESP.FINANCEIRA</v>
      </c>
      <c r="P110">
        <v>1.7</v>
      </c>
      <c r="S110" t="str">
        <f>"BANCO CORA (102)"</f>
        <v>BANCO CORA (102)</v>
      </c>
      <c r="T110">
        <v>21290</v>
      </c>
      <c r="U110">
        <v>25900</v>
      </c>
      <c r="V110" t="s">
        <v>22</v>
      </c>
    </row>
    <row r="111" spans="1:22">
      <c r="A111" t="str">
        <f t="shared" si="24"/>
        <v>03/09/2025</v>
      </c>
      <c r="B111" t="str">
        <f t="shared" si="34"/>
        <v>SAÍDA</v>
      </c>
      <c r="C111" t="str">
        <f t="shared" si="35"/>
        <v>CONHECIMENTO</v>
      </c>
      <c r="D111" t="str">
        <f t="shared" si="36"/>
        <v>01092025</v>
      </c>
      <c r="E111" t="str">
        <f>"4"</f>
        <v>4</v>
      </c>
      <c r="F111" t="str">
        <f t="shared" si="22"/>
        <v>COM</v>
      </c>
      <c r="G111" t="str">
        <f t="shared" si="37"/>
        <v>CORA SOCIEDADE DE CREDITO, FINANCIAMENTO E INVESTIMENTO (20035)</v>
      </c>
      <c r="H111" t="s">
        <v>75</v>
      </c>
      <c r="I111" t="str">
        <f t="shared" si="32"/>
        <v>03/09/2025</v>
      </c>
      <c r="J111" t="str">
        <f t="shared" si="33"/>
        <v>01/09/2025</v>
      </c>
      <c r="K111">
        <v>45903</v>
      </c>
      <c r="N111">
        <v>401</v>
      </c>
      <c r="O111" t="s">
        <v>76</v>
      </c>
      <c r="Q111">
        <v>1.7</v>
      </c>
      <c r="R111" t="str">
        <f>"CORA SOCIEDADE DE CREDITO, FINANCIAMENTO E INVESTIMENTO (20035)"</f>
        <v>CORA SOCIEDADE DE CREDITO, FINANCIAMENTO E INVESTIMENTO (20035)</v>
      </c>
      <c r="S111" t="s">
        <v>22</v>
      </c>
      <c r="T111">
        <v>21290</v>
      </c>
      <c r="U111">
        <v>25900</v>
      </c>
      <c r="V111" t="s">
        <v>22</v>
      </c>
    </row>
    <row r="112" spans="1:22">
      <c r="A112" t="str">
        <f t="shared" si="24"/>
        <v>03/09/2025</v>
      </c>
      <c r="B112" t="str">
        <f t="shared" si="34"/>
        <v>SAÍDA</v>
      </c>
      <c r="C112" t="str">
        <f t="shared" si="35"/>
        <v>CONHECIMENTO</v>
      </c>
      <c r="D112" t="str">
        <f t="shared" si="36"/>
        <v>01092025</v>
      </c>
      <c r="E112" t="str">
        <f>"5"</f>
        <v>5</v>
      </c>
      <c r="F112" t="str">
        <f t="shared" si="22"/>
        <v>COM</v>
      </c>
      <c r="G112" t="str">
        <f t="shared" si="37"/>
        <v>CORA SOCIEDADE DE CREDITO, FINANCIAMENTO E INVESTIMENTO (20035)</v>
      </c>
      <c r="H112" t="str">
        <f>"TAXA BOLETO "</f>
        <v xml:space="preserve">TAXA BOLETO </v>
      </c>
      <c r="I112" t="str">
        <f t="shared" si="32"/>
        <v>03/09/2025</v>
      </c>
      <c r="J112" t="str">
        <f t="shared" si="33"/>
        <v>01/09/2025</v>
      </c>
      <c r="K112" t="str">
        <f>("03/09/2025")</f>
        <v>03/09/2025</v>
      </c>
      <c r="L112">
        <v>1.7</v>
      </c>
      <c r="M112">
        <v>1.7</v>
      </c>
      <c r="N112">
        <v>401</v>
      </c>
      <c r="O112" t="str">
        <f>"IOF/JUROS/DESP.FINANCEIRA"</f>
        <v>IOF/JUROS/DESP.FINANCEIRA</v>
      </c>
      <c r="P112">
        <v>1.7</v>
      </c>
      <c r="S112" t="str">
        <f>"BANCO CORA (102)"</f>
        <v>BANCO CORA (102)</v>
      </c>
      <c r="T112">
        <v>21291</v>
      </c>
      <c r="U112">
        <v>25901</v>
      </c>
      <c r="V112" t="s">
        <v>22</v>
      </c>
    </row>
    <row r="113" spans="1:22">
      <c r="A113" t="str">
        <f t="shared" si="24"/>
        <v>03/09/2025</v>
      </c>
      <c r="B113" t="str">
        <f t="shared" si="34"/>
        <v>SAÍDA</v>
      </c>
      <c r="C113" t="str">
        <f t="shared" si="35"/>
        <v>CONHECIMENTO</v>
      </c>
      <c r="D113" t="str">
        <f t="shared" si="36"/>
        <v>01092025</v>
      </c>
      <c r="E113" t="str">
        <f>"5"</f>
        <v>5</v>
      </c>
      <c r="F113" t="str">
        <f t="shared" si="22"/>
        <v>COM</v>
      </c>
      <c r="G113" t="str">
        <f t="shared" si="37"/>
        <v>CORA SOCIEDADE DE CREDITO, FINANCIAMENTO E INVESTIMENTO (20035)</v>
      </c>
      <c r="H113" t="s">
        <v>75</v>
      </c>
      <c r="I113" t="str">
        <f t="shared" si="32"/>
        <v>03/09/2025</v>
      </c>
      <c r="J113" t="str">
        <f t="shared" si="33"/>
        <v>01/09/2025</v>
      </c>
      <c r="K113">
        <v>45903</v>
      </c>
      <c r="N113">
        <v>401</v>
      </c>
      <c r="O113" t="s">
        <v>76</v>
      </c>
      <c r="Q113">
        <v>1.7</v>
      </c>
      <c r="R113" t="str">
        <f>"CORA SOCIEDADE DE CREDITO, FINANCIAMENTO E INVESTIMENTO (20035)"</f>
        <v>CORA SOCIEDADE DE CREDITO, FINANCIAMENTO E INVESTIMENTO (20035)</v>
      </c>
      <c r="S113" t="s">
        <v>22</v>
      </c>
      <c r="T113">
        <v>21291</v>
      </c>
      <c r="U113">
        <v>25901</v>
      </c>
      <c r="V113" t="s">
        <v>22</v>
      </c>
    </row>
    <row r="114" spans="1:22">
      <c r="A114" t="str">
        <f t="shared" ref="A114:A145" si="38">("03/09/2025")</f>
        <v>03/09/2025</v>
      </c>
      <c r="B114" t="str">
        <f t="shared" si="34"/>
        <v>SAÍDA</v>
      </c>
      <c r="C114" t="str">
        <f t="shared" si="35"/>
        <v>CONHECIMENTO</v>
      </c>
      <c r="D114" t="str">
        <f t="shared" si="36"/>
        <v>01092025</v>
      </c>
      <c r="E114" t="str">
        <f>"6"</f>
        <v>6</v>
      </c>
      <c r="F114" t="str">
        <f t="shared" si="22"/>
        <v>COM</v>
      </c>
      <c r="G114" t="str">
        <f t="shared" si="37"/>
        <v>CORA SOCIEDADE DE CREDITO, FINANCIAMENTO E INVESTIMENTO (20035)</v>
      </c>
      <c r="H114" t="str">
        <f>"TAXA BOLETO "</f>
        <v xml:space="preserve">TAXA BOLETO </v>
      </c>
      <c r="I114" t="str">
        <f t="shared" si="32"/>
        <v>03/09/2025</v>
      </c>
      <c r="J114" t="str">
        <f t="shared" si="33"/>
        <v>01/09/2025</v>
      </c>
      <c r="K114" t="str">
        <f>("03/09/2025")</f>
        <v>03/09/2025</v>
      </c>
      <c r="L114">
        <v>1.7</v>
      </c>
      <c r="M114">
        <v>1.7</v>
      </c>
      <c r="N114">
        <v>401</v>
      </c>
      <c r="O114" t="str">
        <f>"IOF/JUROS/DESP.FINANCEIRA"</f>
        <v>IOF/JUROS/DESP.FINANCEIRA</v>
      </c>
      <c r="P114">
        <v>1.7</v>
      </c>
      <c r="S114" t="str">
        <f>"BANCO CORA (102)"</f>
        <v>BANCO CORA (102)</v>
      </c>
      <c r="T114">
        <v>21292</v>
      </c>
      <c r="U114">
        <v>25902</v>
      </c>
      <c r="V114" t="s">
        <v>22</v>
      </c>
    </row>
    <row r="115" spans="1:22">
      <c r="A115" t="str">
        <f t="shared" si="38"/>
        <v>03/09/2025</v>
      </c>
      <c r="B115" t="str">
        <f t="shared" si="34"/>
        <v>SAÍDA</v>
      </c>
      <c r="C115" t="str">
        <f t="shared" si="35"/>
        <v>CONHECIMENTO</v>
      </c>
      <c r="D115" t="str">
        <f t="shared" si="36"/>
        <v>01092025</v>
      </c>
      <c r="E115" t="str">
        <f>"6"</f>
        <v>6</v>
      </c>
      <c r="F115" t="str">
        <f t="shared" si="22"/>
        <v>COM</v>
      </c>
      <c r="G115" t="str">
        <f t="shared" si="37"/>
        <v>CORA SOCIEDADE DE CREDITO, FINANCIAMENTO E INVESTIMENTO (20035)</v>
      </c>
      <c r="H115" t="s">
        <v>75</v>
      </c>
      <c r="I115" t="str">
        <f t="shared" si="32"/>
        <v>03/09/2025</v>
      </c>
      <c r="J115" t="str">
        <f t="shared" si="33"/>
        <v>01/09/2025</v>
      </c>
      <c r="K115">
        <v>45903</v>
      </c>
      <c r="N115">
        <v>401</v>
      </c>
      <c r="O115" t="s">
        <v>76</v>
      </c>
      <c r="Q115">
        <v>1.7</v>
      </c>
      <c r="R115" t="str">
        <f>"CORA SOCIEDADE DE CREDITO, FINANCIAMENTO E INVESTIMENTO (20035)"</f>
        <v>CORA SOCIEDADE DE CREDITO, FINANCIAMENTO E INVESTIMENTO (20035)</v>
      </c>
      <c r="S115" t="s">
        <v>22</v>
      </c>
      <c r="T115">
        <v>21292</v>
      </c>
      <c r="U115">
        <v>25902</v>
      </c>
      <c r="V115" t="s">
        <v>22</v>
      </c>
    </row>
    <row r="116" spans="1:22">
      <c r="A116" t="str">
        <f t="shared" si="38"/>
        <v>03/09/2025</v>
      </c>
      <c r="B116" t="str">
        <f t="shared" ref="B116:B147" si="39">"ENTRADA"</f>
        <v>ENTRADA</v>
      </c>
      <c r="C116" t="str">
        <f t="shared" ref="C116:C147" si="40">"NFSE"</f>
        <v>NFSE</v>
      </c>
      <c r="D116" t="str">
        <f t="shared" ref="D116:D163" si="41">"3286"</f>
        <v>3286</v>
      </c>
      <c r="E116" t="str">
        <f t="shared" ref="E116:E147" si="42">"1"</f>
        <v>1</v>
      </c>
      <c r="F116" t="str">
        <f t="shared" si="22"/>
        <v>COM</v>
      </c>
      <c r="G116" t="str">
        <f t="shared" ref="G116:G163" si="43">"FARMÁCIA INDIANA LJ 1 (10126)"</f>
        <v>FARMÁCIA INDIANA LJ 1 (10126)</v>
      </c>
      <c r="H116" t="str">
        <f>"Serv.Prest. 18/08/2025 a 24/08/2025 - RPS: 1162 - NFSe: 3286"</f>
        <v>Serv.Prest. 18/08/2025 a 24/08/2025 - RPS: 1162 - NFSe: 3286</v>
      </c>
      <c r="I116" t="str">
        <f t="shared" si="32"/>
        <v>03/09/2025</v>
      </c>
      <c r="J116" t="str">
        <f t="shared" ref="J116:J147" si="44">("25/08/2025")</f>
        <v>25/08/2025</v>
      </c>
      <c r="K116" t="str">
        <f>("03/09/2025")</f>
        <v>03/09/2025</v>
      </c>
      <c r="L116">
        <v>115873.27</v>
      </c>
      <c r="M116">
        <v>115873.27</v>
      </c>
      <c r="N116">
        <v>303</v>
      </c>
      <c r="O116" t="str">
        <f>"RECEITAS COM ENTREGAS"</f>
        <v>RECEITAS COM ENTREGAS</v>
      </c>
      <c r="P116">
        <v>115873.27</v>
      </c>
      <c r="S116" t="str">
        <f>"RECEITAS COM ENTREGAS (303)"</f>
        <v>RECEITAS COM ENTREGAS (303)</v>
      </c>
      <c r="T116">
        <v>21834</v>
      </c>
      <c r="U116">
        <v>20838</v>
      </c>
      <c r="V116" t="s">
        <v>77</v>
      </c>
    </row>
    <row r="117" spans="1:22">
      <c r="A117" t="str">
        <f t="shared" si="38"/>
        <v>03/09/2025</v>
      </c>
      <c r="B117" t="str">
        <f t="shared" si="39"/>
        <v>ENTRADA</v>
      </c>
      <c r="C117" t="str">
        <f t="shared" si="40"/>
        <v>NFSE</v>
      </c>
      <c r="D117" t="str">
        <f t="shared" si="41"/>
        <v>3286</v>
      </c>
      <c r="E117" t="str">
        <f t="shared" si="42"/>
        <v>1</v>
      </c>
      <c r="F117" t="str">
        <f t="shared" si="22"/>
        <v>COM</v>
      </c>
      <c r="G117" t="str">
        <f t="shared" si="43"/>
        <v>FARMÁCIA INDIANA LJ 1 (10126)</v>
      </c>
      <c r="H117" t="s">
        <v>78</v>
      </c>
      <c r="I117" t="str">
        <f t="shared" si="32"/>
        <v>03/09/2025</v>
      </c>
      <c r="J117" t="str">
        <f t="shared" si="44"/>
        <v>25/08/2025</v>
      </c>
      <c r="K117">
        <v>45903</v>
      </c>
      <c r="N117">
        <v>303</v>
      </c>
      <c r="O117" t="s">
        <v>69</v>
      </c>
      <c r="Q117">
        <v>16384.490000000002</v>
      </c>
      <c r="R117" t="str">
        <f>"FARMÁCIA INDIANA LJ 06 (10006)"</f>
        <v>FARMÁCIA INDIANA LJ 06 (10006)</v>
      </c>
      <c r="S117" t="s">
        <v>70</v>
      </c>
      <c r="T117">
        <v>21834</v>
      </c>
      <c r="U117">
        <v>20838</v>
      </c>
      <c r="V117" t="s">
        <v>77</v>
      </c>
    </row>
    <row r="118" spans="1:22">
      <c r="A118" t="str">
        <f t="shared" si="38"/>
        <v>03/09/2025</v>
      </c>
      <c r="B118" t="str">
        <f t="shared" si="39"/>
        <v>ENTRADA</v>
      </c>
      <c r="C118" t="str">
        <f t="shared" si="40"/>
        <v>NFSE</v>
      </c>
      <c r="D118" t="str">
        <f t="shared" si="41"/>
        <v>3286</v>
      </c>
      <c r="E118" t="str">
        <f t="shared" si="42"/>
        <v>1</v>
      </c>
      <c r="F118" t="str">
        <f t="shared" si="22"/>
        <v>COM</v>
      </c>
      <c r="G118" t="str">
        <f t="shared" si="43"/>
        <v>FARMÁCIA INDIANA LJ 1 (10126)</v>
      </c>
      <c r="H118" t="s">
        <v>78</v>
      </c>
      <c r="I118" t="str">
        <f t="shared" si="32"/>
        <v>03/09/2025</v>
      </c>
      <c r="J118" t="str">
        <f t="shared" si="44"/>
        <v>25/08/2025</v>
      </c>
      <c r="K118">
        <v>45903</v>
      </c>
      <c r="N118">
        <v>303</v>
      </c>
      <c r="O118" t="s">
        <v>69</v>
      </c>
      <c r="Q118">
        <v>11877.01</v>
      </c>
      <c r="R118" t="str">
        <f>"FARMÁCIA INDIANA LJ 07 (10007)"</f>
        <v>FARMÁCIA INDIANA LJ 07 (10007)</v>
      </c>
      <c r="S118" t="s">
        <v>70</v>
      </c>
      <c r="T118">
        <v>21834</v>
      </c>
      <c r="U118">
        <v>20838</v>
      </c>
      <c r="V118" t="s">
        <v>77</v>
      </c>
    </row>
    <row r="119" spans="1:22">
      <c r="A119" t="str">
        <f t="shared" si="38"/>
        <v>03/09/2025</v>
      </c>
      <c r="B119" t="str">
        <f t="shared" si="39"/>
        <v>ENTRADA</v>
      </c>
      <c r="C119" t="str">
        <f t="shared" si="40"/>
        <v>NFSE</v>
      </c>
      <c r="D119" t="str">
        <f t="shared" si="41"/>
        <v>3286</v>
      </c>
      <c r="E119" t="str">
        <f t="shared" si="42"/>
        <v>1</v>
      </c>
      <c r="F119" t="str">
        <f t="shared" si="22"/>
        <v>COM</v>
      </c>
      <c r="G119" t="str">
        <f t="shared" si="43"/>
        <v>FARMÁCIA INDIANA LJ 1 (10126)</v>
      </c>
      <c r="H119" t="s">
        <v>78</v>
      </c>
      <c r="I119" t="str">
        <f t="shared" si="32"/>
        <v>03/09/2025</v>
      </c>
      <c r="J119" t="str">
        <f t="shared" si="44"/>
        <v>25/08/2025</v>
      </c>
      <c r="K119">
        <v>45903</v>
      </c>
      <c r="N119">
        <v>303</v>
      </c>
      <c r="O119" t="s">
        <v>69</v>
      </c>
      <c r="Q119">
        <v>9327.7999999999993</v>
      </c>
      <c r="R119" t="str">
        <f>"FARMÁCIA INDIANA LJ 11 (10008)"</f>
        <v>FARMÁCIA INDIANA LJ 11 (10008)</v>
      </c>
      <c r="S119" t="s">
        <v>70</v>
      </c>
      <c r="T119">
        <v>21834</v>
      </c>
      <c r="U119">
        <v>20838</v>
      </c>
      <c r="V119" t="s">
        <v>77</v>
      </c>
    </row>
    <row r="120" spans="1:22">
      <c r="A120" t="str">
        <f t="shared" si="38"/>
        <v>03/09/2025</v>
      </c>
      <c r="B120" t="str">
        <f t="shared" si="39"/>
        <v>ENTRADA</v>
      </c>
      <c r="C120" t="str">
        <f t="shared" si="40"/>
        <v>NFSE</v>
      </c>
      <c r="D120" t="str">
        <f t="shared" si="41"/>
        <v>3286</v>
      </c>
      <c r="E120" t="str">
        <f t="shared" si="42"/>
        <v>1</v>
      </c>
      <c r="F120" t="str">
        <f t="shared" si="22"/>
        <v>COM</v>
      </c>
      <c r="G120" t="str">
        <f t="shared" si="43"/>
        <v>FARMÁCIA INDIANA LJ 1 (10126)</v>
      </c>
      <c r="H120" t="s">
        <v>78</v>
      </c>
      <c r="I120" t="str">
        <f t="shared" si="32"/>
        <v>03/09/2025</v>
      </c>
      <c r="J120" t="str">
        <f t="shared" si="44"/>
        <v>25/08/2025</v>
      </c>
      <c r="K120">
        <v>45903</v>
      </c>
      <c r="N120">
        <v>303</v>
      </c>
      <c r="O120" t="s">
        <v>69</v>
      </c>
      <c r="Q120">
        <v>3731.12</v>
      </c>
      <c r="R120" t="str">
        <f>"FARMÁCIA INDIANA LJ 14 (10009)"</f>
        <v>FARMÁCIA INDIANA LJ 14 (10009)</v>
      </c>
      <c r="S120" t="s">
        <v>70</v>
      </c>
      <c r="T120">
        <v>21834</v>
      </c>
      <c r="U120">
        <v>20838</v>
      </c>
      <c r="V120" t="s">
        <v>77</v>
      </c>
    </row>
    <row r="121" spans="1:22">
      <c r="A121" t="str">
        <f t="shared" si="38"/>
        <v>03/09/2025</v>
      </c>
      <c r="B121" t="str">
        <f t="shared" si="39"/>
        <v>ENTRADA</v>
      </c>
      <c r="C121" t="str">
        <f t="shared" si="40"/>
        <v>NFSE</v>
      </c>
      <c r="D121" t="str">
        <f t="shared" si="41"/>
        <v>3286</v>
      </c>
      <c r="E121" t="str">
        <f t="shared" si="42"/>
        <v>1</v>
      </c>
      <c r="F121" t="str">
        <f t="shared" si="22"/>
        <v>COM</v>
      </c>
      <c r="G121" t="str">
        <f t="shared" si="43"/>
        <v>FARMÁCIA INDIANA LJ 1 (10126)</v>
      </c>
      <c r="H121" t="s">
        <v>78</v>
      </c>
      <c r="I121" t="str">
        <f t="shared" si="32"/>
        <v>03/09/2025</v>
      </c>
      <c r="J121" t="str">
        <f t="shared" si="44"/>
        <v>25/08/2025</v>
      </c>
      <c r="K121">
        <v>45903</v>
      </c>
      <c r="N121">
        <v>303</v>
      </c>
      <c r="O121" t="s">
        <v>69</v>
      </c>
      <c r="Q121">
        <v>2804.13</v>
      </c>
      <c r="R121" t="str">
        <f>"FARMÁCIA INDIANA LJ 18 (10011)"</f>
        <v>FARMÁCIA INDIANA LJ 18 (10011)</v>
      </c>
      <c r="S121" t="s">
        <v>70</v>
      </c>
      <c r="T121">
        <v>21834</v>
      </c>
      <c r="U121">
        <v>20838</v>
      </c>
      <c r="V121" t="s">
        <v>77</v>
      </c>
    </row>
    <row r="122" spans="1:22">
      <c r="A122" t="str">
        <f t="shared" si="38"/>
        <v>03/09/2025</v>
      </c>
      <c r="B122" t="str">
        <f t="shared" si="39"/>
        <v>ENTRADA</v>
      </c>
      <c r="C122" t="str">
        <f t="shared" si="40"/>
        <v>NFSE</v>
      </c>
      <c r="D122" t="str">
        <f t="shared" si="41"/>
        <v>3286</v>
      </c>
      <c r="E122" t="str">
        <f t="shared" si="42"/>
        <v>1</v>
      </c>
      <c r="F122" t="str">
        <f t="shared" si="22"/>
        <v>COM</v>
      </c>
      <c r="G122" t="str">
        <f t="shared" si="43"/>
        <v>FARMÁCIA INDIANA LJ 1 (10126)</v>
      </c>
      <c r="H122" t="s">
        <v>78</v>
      </c>
      <c r="I122" t="str">
        <f t="shared" si="32"/>
        <v>03/09/2025</v>
      </c>
      <c r="J122" t="str">
        <f t="shared" si="44"/>
        <v>25/08/2025</v>
      </c>
      <c r="K122">
        <v>45903</v>
      </c>
      <c r="N122">
        <v>303</v>
      </c>
      <c r="O122" t="s">
        <v>69</v>
      </c>
      <c r="Q122">
        <v>3186.51</v>
      </c>
      <c r="R122" t="str">
        <f>"FARMÁCIA INDIANA LJ 19 (10012)"</f>
        <v>FARMÁCIA INDIANA LJ 19 (10012)</v>
      </c>
      <c r="S122" t="s">
        <v>70</v>
      </c>
      <c r="T122">
        <v>21834</v>
      </c>
      <c r="U122">
        <v>20838</v>
      </c>
      <c r="V122" t="s">
        <v>77</v>
      </c>
    </row>
    <row r="123" spans="1:22">
      <c r="A123" t="str">
        <f t="shared" si="38"/>
        <v>03/09/2025</v>
      </c>
      <c r="B123" t="str">
        <f t="shared" si="39"/>
        <v>ENTRADA</v>
      </c>
      <c r="C123" t="str">
        <f t="shared" si="40"/>
        <v>NFSE</v>
      </c>
      <c r="D123" t="str">
        <f t="shared" si="41"/>
        <v>3286</v>
      </c>
      <c r="E123" t="str">
        <f t="shared" si="42"/>
        <v>1</v>
      </c>
      <c r="F123" t="str">
        <f t="shared" si="22"/>
        <v>COM</v>
      </c>
      <c r="G123" t="str">
        <f t="shared" si="43"/>
        <v>FARMÁCIA INDIANA LJ 1 (10126)</v>
      </c>
      <c r="H123" t="s">
        <v>78</v>
      </c>
      <c r="I123" t="str">
        <f t="shared" si="32"/>
        <v>03/09/2025</v>
      </c>
      <c r="J123" t="str">
        <f t="shared" si="44"/>
        <v>25/08/2025</v>
      </c>
      <c r="K123">
        <v>45903</v>
      </c>
      <c r="N123">
        <v>303</v>
      </c>
      <c r="O123" t="s">
        <v>69</v>
      </c>
      <c r="Q123">
        <v>9478.43</v>
      </c>
      <c r="R123" t="str">
        <f>"FARMÁCIA INDIANA LJ 40 (10016)"</f>
        <v>FARMÁCIA INDIANA LJ 40 (10016)</v>
      </c>
      <c r="S123" t="s">
        <v>70</v>
      </c>
      <c r="T123">
        <v>21834</v>
      </c>
      <c r="U123">
        <v>20838</v>
      </c>
      <c r="V123" t="s">
        <v>77</v>
      </c>
    </row>
    <row r="124" spans="1:22">
      <c r="A124" t="str">
        <f t="shared" si="38"/>
        <v>03/09/2025</v>
      </c>
      <c r="B124" t="str">
        <f t="shared" si="39"/>
        <v>ENTRADA</v>
      </c>
      <c r="C124" t="str">
        <f t="shared" si="40"/>
        <v>NFSE</v>
      </c>
      <c r="D124" t="str">
        <f t="shared" si="41"/>
        <v>3286</v>
      </c>
      <c r="E124" t="str">
        <f t="shared" si="42"/>
        <v>1</v>
      </c>
      <c r="F124" t="str">
        <f t="shared" si="22"/>
        <v>COM</v>
      </c>
      <c r="G124" t="str">
        <f t="shared" si="43"/>
        <v>FARMÁCIA INDIANA LJ 1 (10126)</v>
      </c>
      <c r="H124" t="s">
        <v>78</v>
      </c>
      <c r="I124" t="str">
        <f t="shared" si="32"/>
        <v>03/09/2025</v>
      </c>
      <c r="J124" t="str">
        <f t="shared" si="44"/>
        <v>25/08/2025</v>
      </c>
      <c r="K124">
        <v>45903</v>
      </c>
      <c r="N124">
        <v>303</v>
      </c>
      <c r="O124" t="s">
        <v>69</v>
      </c>
      <c r="Q124">
        <v>1853.97</v>
      </c>
      <c r="R124" t="str">
        <f>"FARMÁCIA INDIANA LJ 59 (10026)"</f>
        <v>FARMÁCIA INDIANA LJ 59 (10026)</v>
      </c>
      <c r="S124" t="s">
        <v>70</v>
      </c>
      <c r="T124">
        <v>21834</v>
      </c>
      <c r="U124">
        <v>20838</v>
      </c>
      <c r="V124" t="s">
        <v>77</v>
      </c>
    </row>
    <row r="125" spans="1:22">
      <c r="A125" t="str">
        <f t="shared" si="38"/>
        <v>03/09/2025</v>
      </c>
      <c r="B125" t="str">
        <f t="shared" si="39"/>
        <v>ENTRADA</v>
      </c>
      <c r="C125" t="str">
        <f t="shared" si="40"/>
        <v>NFSE</v>
      </c>
      <c r="D125" t="str">
        <f t="shared" si="41"/>
        <v>3286</v>
      </c>
      <c r="E125" t="str">
        <f t="shared" si="42"/>
        <v>1</v>
      </c>
      <c r="F125" t="str">
        <f t="shared" si="22"/>
        <v>COM</v>
      </c>
      <c r="G125" t="str">
        <f t="shared" si="43"/>
        <v>FARMÁCIA INDIANA LJ 1 (10126)</v>
      </c>
      <c r="H125" t="s">
        <v>78</v>
      </c>
      <c r="I125" t="str">
        <f t="shared" si="32"/>
        <v>03/09/2025</v>
      </c>
      <c r="J125" t="str">
        <f t="shared" si="44"/>
        <v>25/08/2025</v>
      </c>
      <c r="K125">
        <v>45903</v>
      </c>
      <c r="N125">
        <v>303</v>
      </c>
      <c r="O125" t="s">
        <v>69</v>
      </c>
      <c r="Q125">
        <v>4368.42</v>
      </c>
      <c r="R125" t="str">
        <f>"FARMÁCIA INDIANA LJ 61 (10027)"</f>
        <v>FARMÁCIA INDIANA LJ 61 (10027)</v>
      </c>
      <c r="S125" t="s">
        <v>70</v>
      </c>
      <c r="T125">
        <v>21834</v>
      </c>
      <c r="U125">
        <v>20838</v>
      </c>
      <c r="V125" t="s">
        <v>77</v>
      </c>
    </row>
    <row r="126" spans="1:22">
      <c r="A126" t="str">
        <f t="shared" si="38"/>
        <v>03/09/2025</v>
      </c>
      <c r="B126" t="str">
        <f t="shared" si="39"/>
        <v>ENTRADA</v>
      </c>
      <c r="C126" t="str">
        <f t="shared" si="40"/>
        <v>NFSE</v>
      </c>
      <c r="D126" t="str">
        <f t="shared" si="41"/>
        <v>3286</v>
      </c>
      <c r="E126" t="str">
        <f t="shared" si="42"/>
        <v>1</v>
      </c>
      <c r="F126" t="str">
        <f t="shared" si="22"/>
        <v>COM</v>
      </c>
      <c r="G126" t="str">
        <f t="shared" si="43"/>
        <v>FARMÁCIA INDIANA LJ 1 (10126)</v>
      </c>
      <c r="H126" t="s">
        <v>78</v>
      </c>
      <c r="I126" t="str">
        <f t="shared" si="32"/>
        <v>03/09/2025</v>
      </c>
      <c r="J126" t="str">
        <f t="shared" si="44"/>
        <v>25/08/2025</v>
      </c>
      <c r="K126">
        <v>45903</v>
      </c>
      <c r="N126">
        <v>303</v>
      </c>
      <c r="O126" t="s">
        <v>69</v>
      </c>
      <c r="Q126">
        <v>1599.05</v>
      </c>
      <c r="R126" t="str">
        <f>"FARMÁCIA INDIANA LJ 62 (10028)"</f>
        <v>FARMÁCIA INDIANA LJ 62 (10028)</v>
      </c>
      <c r="S126" t="s">
        <v>70</v>
      </c>
      <c r="T126">
        <v>21834</v>
      </c>
      <c r="U126">
        <v>20838</v>
      </c>
      <c r="V126" t="s">
        <v>77</v>
      </c>
    </row>
    <row r="127" spans="1:22">
      <c r="A127" t="str">
        <f t="shared" si="38"/>
        <v>03/09/2025</v>
      </c>
      <c r="B127" t="str">
        <f t="shared" si="39"/>
        <v>ENTRADA</v>
      </c>
      <c r="C127" t="str">
        <f t="shared" si="40"/>
        <v>NFSE</v>
      </c>
      <c r="D127" t="str">
        <f t="shared" si="41"/>
        <v>3286</v>
      </c>
      <c r="E127" t="str">
        <f t="shared" si="42"/>
        <v>1</v>
      </c>
      <c r="F127" t="str">
        <f t="shared" si="22"/>
        <v>COM</v>
      </c>
      <c r="G127" t="str">
        <f t="shared" si="43"/>
        <v>FARMÁCIA INDIANA LJ 1 (10126)</v>
      </c>
      <c r="H127" t="s">
        <v>78</v>
      </c>
      <c r="I127" t="str">
        <f t="shared" ref="I127:I158" si="45">("03/09/2025")</f>
        <v>03/09/2025</v>
      </c>
      <c r="J127" t="str">
        <f t="shared" si="44"/>
        <v>25/08/2025</v>
      </c>
      <c r="K127">
        <v>45903</v>
      </c>
      <c r="N127">
        <v>303</v>
      </c>
      <c r="O127" t="s">
        <v>69</v>
      </c>
      <c r="Q127">
        <v>602.54</v>
      </c>
      <c r="R127" t="str">
        <f>"FARMÁCIA INDIANA LJ 64 (10029)"</f>
        <v>FARMÁCIA INDIANA LJ 64 (10029)</v>
      </c>
      <c r="S127" t="s">
        <v>70</v>
      </c>
      <c r="T127">
        <v>21834</v>
      </c>
      <c r="U127">
        <v>20838</v>
      </c>
      <c r="V127" t="s">
        <v>77</v>
      </c>
    </row>
    <row r="128" spans="1:22">
      <c r="A128" t="str">
        <f t="shared" si="38"/>
        <v>03/09/2025</v>
      </c>
      <c r="B128" t="str">
        <f t="shared" si="39"/>
        <v>ENTRADA</v>
      </c>
      <c r="C128" t="str">
        <f t="shared" si="40"/>
        <v>NFSE</v>
      </c>
      <c r="D128" t="str">
        <f t="shared" si="41"/>
        <v>3286</v>
      </c>
      <c r="E128" t="str">
        <f t="shared" si="42"/>
        <v>1</v>
      </c>
      <c r="F128" t="str">
        <f t="shared" si="22"/>
        <v>COM</v>
      </c>
      <c r="G128" t="str">
        <f t="shared" si="43"/>
        <v>FARMÁCIA INDIANA LJ 1 (10126)</v>
      </c>
      <c r="H128" t="s">
        <v>78</v>
      </c>
      <c r="I128" t="str">
        <f t="shared" si="45"/>
        <v>03/09/2025</v>
      </c>
      <c r="J128" t="str">
        <f t="shared" si="44"/>
        <v>25/08/2025</v>
      </c>
      <c r="K128">
        <v>45903</v>
      </c>
      <c r="N128">
        <v>303</v>
      </c>
      <c r="O128" t="s">
        <v>69</v>
      </c>
      <c r="Q128">
        <v>590.95000000000005</v>
      </c>
      <c r="R128" t="str">
        <f>"FARMÁCIA INDIANA LJ 97 (10040)"</f>
        <v>FARMÁCIA INDIANA LJ 97 (10040)</v>
      </c>
      <c r="S128" t="s">
        <v>70</v>
      </c>
      <c r="T128">
        <v>21834</v>
      </c>
      <c r="U128">
        <v>20838</v>
      </c>
      <c r="V128" t="s">
        <v>77</v>
      </c>
    </row>
    <row r="129" spans="1:22">
      <c r="A129" t="str">
        <f t="shared" si="38"/>
        <v>03/09/2025</v>
      </c>
      <c r="B129" t="str">
        <f t="shared" si="39"/>
        <v>ENTRADA</v>
      </c>
      <c r="C129" t="str">
        <f t="shared" si="40"/>
        <v>NFSE</v>
      </c>
      <c r="D129" t="str">
        <f t="shared" si="41"/>
        <v>3286</v>
      </c>
      <c r="E129" t="str">
        <f t="shared" si="42"/>
        <v>1</v>
      </c>
      <c r="F129" t="str">
        <f t="shared" si="22"/>
        <v>COM</v>
      </c>
      <c r="G129" t="str">
        <f t="shared" si="43"/>
        <v>FARMÁCIA INDIANA LJ 1 (10126)</v>
      </c>
      <c r="H129" t="s">
        <v>78</v>
      </c>
      <c r="I129" t="str">
        <f t="shared" si="45"/>
        <v>03/09/2025</v>
      </c>
      <c r="J129" t="str">
        <f t="shared" si="44"/>
        <v>25/08/2025</v>
      </c>
      <c r="K129">
        <v>45903</v>
      </c>
      <c r="N129">
        <v>303</v>
      </c>
      <c r="O129" t="s">
        <v>69</v>
      </c>
      <c r="Q129">
        <v>1680.16</v>
      </c>
      <c r="R129" t="str">
        <f>"FARMÁCIA INDIANA LJ 100 (10042)"</f>
        <v>FARMÁCIA INDIANA LJ 100 (10042)</v>
      </c>
      <c r="S129" t="s">
        <v>70</v>
      </c>
      <c r="T129">
        <v>21834</v>
      </c>
      <c r="U129">
        <v>20838</v>
      </c>
      <c r="V129" t="s">
        <v>77</v>
      </c>
    </row>
    <row r="130" spans="1:22">
      <c r="A130" t="str">
        <f t="shared" si="38"/>
        <v>03/09/2025</v>
      </c>
      <c r="B130" t="str">
        <f t="shared" si="39"/>
        <v>ENTRADA</v>
      </c>
      <c r="C130" t="str">
        <f t="shared" si="40"/>
        <v>NFSE</v>
      </c>
      <c r="D130" t="str">
        <f t="shared" si="41"/>
        <v>3286</v>
      </c>
      <c r="E130" t="str">
        <f t="shared" si="42"/>
        <v>1</v>
      </c>
      <c r="F130" t="str">
        <f t="shared" ref="F130:F193" si="46">"COM"</f>
        <v>COM</v>
      </c>
      <c r="G130" t="str">
        <f t="shared" si="43"/>
        <v>FARMÁCIA INDIANA LJ 1 (10126)</v>
      </c>
      <c r="H130" t="s">
        <v>78</v>
      </c>
      <c r="I130" t="str">
        <f t="shared" si="45"/>
        <v>03/09/2025</v>
      </c>
      <c r="J130" t="str">
        <f t="shared" si="44"/>
        <v>25/08/2025</v>
      </c>
      <c r="K130">
        <v>45903</v>
      </c>
      <c r="N130">
        <v>303</v>
      </c>
      <c r="O130" t="s">
        <v>69</v>
      </c>
      <c r="Q130">
        <v>4970.96</v>
      </c>
      <c r="R130" t="str">
        <f>"FARMÁCIA INDIANA LJ 101 (10043)"</f>
        <v>FARMÁCIA INDIANA LJ 101 (10043)</v>
      </c>
      <c r="S130" t="s">
        <v>70</v>
      </c>
      <c r="T130">
        <v>21834</v>
      </c>
      <c r="U130">
        <v>20838</v>
      </c>
      <c r="V130" t="s">
        <v>77</v>
      </c>
    </row>
    <row r="131" spans="1:22">
      <c r="A131" t="str">
        <f t="shared" si="38"/>
        <v>03/09/2025</v>
      </c>
      <c r="B131" t="str">
        <f t="shared" si="39"/>
        <v>ENTRADA</v>
      </c>
      <c r="C131" t="str">
        <f t="shared" si="40"/>
        <v>NFSE</v>
      </c>
      <c r="D131" t="str">
        <f t="shared" si="41"/>
        <v>3286</v>
      </c>
      <c r="E131" t="str">
        <f t="shared" si="42"/>
        <v>1</v>
      </c>
      <c r="F131" t="str">
        <f t="shared" si="46"/>
        <v>COM</v>
      </c>
      <c r="G131" t="str">
        <f t="shared" si="43"/>
        <v>FARMÁCIA INDIANA LJ 1 (10126)</v>
      </c>
      <c r="H131" t="s">
        <v>78</v>
      </c>
      <c r="I131" t="str">
        <f t="shared" si="45"/>
        <v>03/09/2025</v>
      </c>
      <c r="J131" t="str">
        <f t="shared" si="44"/>
        <v>25/08/2025</v>
      </c>
      <c r="K131">
        <v>45903</v>
      </c>
      <c r="N131">
        <v>303</v>
      </c>
      <c r="O131" t="s">
        <v>69</v>
      </c>
      <c r="Q131">
        <v>695.24</v>
      </c>
      <c r="R131" t="str">
        <f>"FARMÁCIA INDIANA LJ 103 (10044)"</f>
        <v>FARMÁCIA INDIANA LJ 103 (10044)</v>
      </c>
      <c r="S131" t="s">
        <v>70</v>
      </c>
      <c r="T131">
        <v>21834</v>
      </c>
      <c r="U131">
        <v>20838</v>
      </c>
      <c r="V131" t="s">
        <v>77</v>
      </c>
    </row>
    <row r="132" spans="1:22">
      <c r="A132" t="str">
        <f t="shared" si="38"/>
        <v>03/09/2025</v>
      </c>
      <c r="B132" t="str">
        <f t="shared" si="39"/>
        <v>ENTRADA</v>
      </c>
      <c r="C132" t="str">
        <f t="shared" si="40"/>
        <v>NFSE</v>
      </c>
      <c r="D132" t="str">
        <f t="shared" si="41"/>
        <v>3286</v>
      </c>
      <c r="E132" t="str">
        <f t="shared" si="42"/>
        <v>1</v>
      </c>
      <c r="F132" t="str">
        <f t="shared" si="46"/>
        <v>COM</v>
      </c>
      <c r="G132" t="str">
        <f t="shared" si="43"/>
        <v>FARMÁCIA INDIANA LJ 1 (10126)</v>
      </c>
      <c r="H132" t="s">
        <v>78</v>
      </c>
      <c r="I132" t="str">
        <f t="shared" si="45"/>
        <v>03/09/2025</v>
      </c>
      <c r="J132" t="str">
        <f t="shared" si="44"/>
        <v>25/08/2025</v>
      </c>
      <c r="K132">
        <v>45903</v>
      </c>
      <c r="N132">
        <v>303</v>
      </c>
      <c r="O132" t="s">
        <v>69</v>
      </c>
      <c r="Q132">
        <v>2039.37</v>
      </c>
      <c r="R132" t="str">
        <f>"FARMÁCIA INDIANA LJ 109 (10047)"</f>
        <v>FARMÁCIA INDIANA LJ 109 (10047)</v>
      </c>
      <c r="S132" t="s">
        <v>70</v>
      </c>
      <c r="T132">
        <v>21834</v>
      </c>
      <c r="U132">
        <v>20838</v>
      </c>
      <c r="V132" t="s">
        <v>77</v>
      </c>
    </row>
    <row r="133" spans="1:22">
      <c r="A133" t="str">
        <f t="shared" si="38"/>
        <v>03/09/2025</v>
      </c>
      <c r="B133" t="str">
        <f t="shared" si="39"/>
        <v>ENTRADA</v>
      </c>
      <c r="C133" t="str">
        <f t="shared" si="40"/>
        <v>NFSE</v>
      </c>
      <c r="D133" t="str">
        <f t="shared" si="41"/>
        <v>3286</v>
      </c>
      <c r="E133" t="str">
        <f t="shared" si="42"/>
        <v>1</v>
      </c>
      <c r="F133" t="str">
        <f t="shared" si="46"/>
        <v>COM</v>
      </c>
      <c r="G133" t="str">
        <f t="shared" si="43"/>
        <v>FARMÁCIA INDIANA LJ 1 (10126)</v>
      </c>
      <c r="H133" t="s">
        <v>78</v>
      </c>
      <c r="I133" t="str">
        <f t="shared" si="45"/>
        <v>03/09/2025</v>
      </c>
      <c r="J133" t="str">
        <f t="shared" si="44"/>
        <v>25/08/2025</v>
      </c>
      <c r="K133">
        <v>45903</v>
      </c>
      <c r="N133">
        <v>303</v>
      </c>
      <c r="O133" t="s">
        <v>69</v>
      </c>
      <c r="Q133">
        <v>3846.99</v>
      </c>
      <c r="R133" t="str">
        <f>"FARMÁCIA INDIANA LJ 110 (10048)"</f>
        <v>FARMÁCIA INDIANA LJ 110 (10048)</v>
      </c>
      <c r="S133" t="s">
        <v>70</v>
      </c>
      <c r="T133">
        <v>21834</v>
      </c>
      <c r="U133">
        <v>20838</v>
      </c>
      <c r="V133" t="s">
        <v>77</v>
      </c>
    </row>
    <row r="134" spans="1:22">
      <c r="A134" t="str">
        <f t="shared" si="38"/>
        <v>03/09/2025</v>
      </c>
      <c r="B134" t="str">
        <f t="shared" si="39"/>
        <v>ENTRADA</v>
      </c>
      <c r="C134" t="str">
        <f t="shared" si="40"/>
        <v>NFSE</v>
      </c>
      <c r="D134" t="str">
        <f t="shared" si="41"/>
        <v>3286</v>
      </c>
      <c r="E134" t="str">
        <f t="shared" si="42"/>
        <v>1</v>
      </c>
      <c r="F134" t="str">
        <f t="shared" si="46"/>
        <v>COM</v>
      </c>
      <c r="G134" t="str">
        <f t="shared" si="43"/>
        <v>FARMÁCIA INDIANA LJ 1 (10126)</v>
      </c>
      <c r="H134" t="s">
        <v>78</v>
      </c>
      <c r="I134" t="str">
        <f t="shared" si="45"/>
        <v>03/09/2025</v>
      </c>
      <c r="J134" t="str">
        <f t="shared" si="44"/>
        <v>25/08/2025</v>
      </c>
      <c r="K134">
        <v>45903</v>
      </c>
      <c r="N134">
        <v>303</v>
      </c>
      <c r="O134" t="s">
        <v>69</v>
      </c>
      <c r="Q134">
        <v>579.37</v>
      </c>
      <c r="R134" t="str">
        <f>"FARMÁCIA INDIANA LJ 111 (10049)"</f>
        <v>FARMÁCIA INDIANA LJ 111 (10049)</v>
      </c>
      <c r="S134" t="s">
        <v>70</v>
      </c>
      <c r="T134">
        <v>21834</v>
      </c>
      <c r="U134">
        <v>20838</v>
      </c>
      <c r="V134" t="s">
        <v>77</v>
      </c>
    </row>
    <row r="135" spans="1:22">
      <c r="A135" t="str">
        <f t="shared" si="38"/>
        <v>03/09/2025</v>
      </c>
      <c r="B135" t="str">
        <f t="shared" si="39"/>
        <v>ENTRADA</v>
      </c>
      <c r="C135" t="str">
        <f t="shared" si="40"/>
        <v>NFSE</v>
      </c>
      <c r="D135" t="str">
        <f t="shared" si="41"/>
        <v>3286</v>
      </c>
      <c r="E135" t="str">
        <f t="shared" si="42"/>
        <v>1</v>
      </c>
      <c r="F135" t="str">
        <f t="shared" si="46"/>
        <v>COM</v>
      </c>
      <c r="G135" t="str">
        <f t="shared" si="43"/>
        <v>FARMÁCIA INDIANA LJ 1 (10126)</v>
      </c>
      <c r="H135" t="s">
        <v>78</v>
      </c>
      <c r="I135" t="str">
        <f t="shared" si="45"/>
        <v>03/09/2025</v>
      </c>
      <c r="J135" t="str">
        <f t="shared" si="44"/>
        <v>25/08/2025</v>
      </c>
      <c r="K135">
        <v>45903</v>
      </c>
      <c r="N135">
        <v>303</v>
      </c>
      <c r="O135" t="s">
        <v>69</v>
      </c>
      <c r="Q135">
        <v>834.29</v>
      </c>
      <c r="R135" t="str">
        <f>"FARMÁCIA INDIANA LJ 112 (10050)"</f>
        <v>FARMÁCIA INDIANA LJ 112 (10050)</v>
      </c>
      <c r="S135" t="s">
        <v>70</v>
      </c>
      <c r="T135">
        <v>21834</v>
      </c>
      <c r="U135">
        <v>20838</v>
      </c>
      <c r="V135" t="s">
        <v>77</v>
      </c>
    </row>
    <row r="136" spans="1:22">
      <c r="A136" t="str">
        <f t="shared" si="38"/>
        <v>03/09/2025</v>
      </c>
      <c r="B136" t="str">
        <f t="shared" si="39"/>
        <v>ENTRADA</v>
      </c>
      <c r="C136" t="str">
        <f t="shared" si="40"/>
        <v>NFSE</v>
      </c>
      <c r="D136" t="str">
        <f t="shared" si="41"/>
        <v>3286</v>
      </c>
      <c r="E136" t="str">
        <f t="shared" si="42"/>
        <v>1</v>
      </c>
      <c r="F136" t="str">
        <f t="shared" si="46"/>
        <v>COM</v>
      </c>
      <c r="G136" t="str">
        <f t="shared" si="43"/>
        <v>FARMÁCIA INDIANA LJ 1 (10126)</v>
      </c>
      <c r="H136" t="s">
        <v>78</v>
      </c>
      <c r="I136" t="str">
        <f t="shared" si="45"/>
        <v>03/09/2025</v>
      </c>
      <c r="J136" t="str">
        <f t="shared" si="44"/>
        <v>25/08/2025</v>
      </c>
      <c r="K136">
        <v>45903</v>
      </c>
      <c r="N136">
        <v>303</v>
      </c>
      <c r="O136" t="s">
        <v>69</v>
      </c>
      <c r="Q136">
        <v>834.29</v>
      </c>
      <c r="R136" t="str">
        <f>"FARMÁCIA INDIANA LJ 116 (10051)"</f>
        <v>FARMÁCIA INDIANA LJ 116 (10051)</v>
      </c>
      <c r="S136" t="s">
        <v>70</v>
      </c>
      <c r="T136">
        <v>21834</v>
      </c>
      <c r="U136">
        <v>20838</v>
      </c>
      <c r="V136" t="s">
        <v>77</v>
      </c>
    </row>
    <row r="137" spans="1:22">
      <c r="A137" t="str">
        <f t="shared" si="38"/>
        <v>03/09/2025</v>
      </c>
      <c r="B137" t="str">
        <f t="shared" si="39"/>
        <v>ENTRADA</v>
      </c>
      <c r="C137" t="str">
        <f t="shared" si="40"/>
        <v>NFSE</v>
      </c>
      <c r="D137" t="str">
        <f t="shared" si="41"/>
        <v>3286</v>
      </c>
      <c r="E137" t="str">
        <f t="shared" si="42"/>
        <v>1</v>
      </c>
      <c r="F137" t="str">
        <f t="shared" si="46"/>
        <v>COM</v>
      </c>
      <c r="G137" t="str">
        <f t="shared" si="43"/>
        <v>FARMÁCIA INDIANA LJ 1 (10126)</v>
      </c>
      <c r="H137" t="s">
        <v>78</v>
      </c>
      <c r="I137" t="str">
        <f t="shared" si="45"/>
        <v>03/09/2025</v>
      </c>
      <c r="J137" t="str">
        <f t="shared" si="44"/>
        <v>25/08/2025</v>
      </c>
      <c r="K137">
        <v>45903</v>
      </c>
      <c r="N137">
        <v>303</v>
      </c>
      <c r="O137" t="s">
        <v>69</v>
      </c>
      <c r="Q137">
        <v>1042.8599999999999</v>
      </c>
      <c r="R137" t="str">
        <f>"FARMÁCIA INDIANA LJ 118 (10052)"</f>
        <v>FARMÁCIA INDIANA LJ 118 (10052)</v>
      </c>
      <c r="S137" t="s">
        <v>70</v>
      </c>
      <c r="T137">
        <v>21834</v>
      </c>
      <c r="U137">
        <v>20838</v>
      </c>
      <c r="V137" t="s">
        <v>77</v>
      </c>
    </row>
    <row r="138" spans="1:22">
      <c r="A138" t="str">
        <f t="shared" si="38"/>
        <v>03/09/2025</v>
      </c>
      <c r="B138" t="str">
        <f t="shared" si="39"/>
        <v>ENTRADA</v>
      </c>
      <c r="C138" t="str">
        <f t="shared" si="40"/>
        <v>NFSE</v>
      </c>
      <c r="D138" t="str">
        <f t="shared" si="41"/>
        <v>3286</v>
      </c>
      <c r="E138" t="str">
        <f t="shared" si="42"/>
        <v>1</v>
      </c>
      <c r="F138" t="str">
        <f t="shared" si="46"/>
        <v>COM</v>
      </c>
      <c r="G138" t="str">
        <f t="shared" si="43"/>
        <v>FARMÁCIA INDIANA LJ 1 (10126)</v>
      </c>
      <c r="H138" t="s">
        <v>78</v>
      </c>
      <c r="I138" t="str">
        <f t="shared" si="45"/>
        <v>03/09/2025</v>
      </c>
      <c r="J138" t="str">
        <f t="shared" si="44"/>
        <v>25/08/2025</v>
      </c>
      <c r="K138">
        <v>45903</v>
      </c>
      <c r="N138">
        <v>303</v>
      </c>
      <c r="O138" t="s">
        <v>69</v>
      </c>
      <c r="Q138">
        <v>834.29</v>
      </c>
      <c r="R138" t="str">
        <f>"FARMÁCIA INDIANA LJ 121 (10054)"</f>
        <v>FARMÁCIA INDIANA LJ 121 (10054)</v>
      </c>
      <c r="S138" t="s">
        <v>70</v>
      </c>
      <c r="T138">
        <v>21834</v>
      </c>
      <c r="U138">
        <v>20838</v>
      </c>
      <c r="V138" t="s">
        <v>77</v>
      </c>
    </row>
    <row r="139" spans="1:22">
      <c r="A139" t="str">
        <f t="shared" si="38"/>
        <v>03/09/2025</v>
      </c>
      <c r="B139" t="str">
        <f t="shared" si="39"/>
        <v>ENTRADA</v>
      </c>
      <c r="C139" t="str">
        <f t="shared" si="40"/>
        <v>NFSE</v>
      </c>
      <c r="D139" t="str">
        <f t="shared" si="41"/>
        <v>3286</v>
      </c>
      <c r="E139" t="str">
        <f t="shared" si="42"/>
        <v>1</v>
      </c>
      <c r="F139" t="str">
        <f t="shared" si="46"/>
        <v>COM</v>
      </c>
      <c r="G139" t="str">
        <f t="shared" si="43"/>
        <v>FARMÁCIA INDIANA LJ 1 (10126)</v>
      </c>
      <c r="H139" t="s">
        <v>78</v>
      </c>
      <c r="I139" t="str">
        <f t="shared" si="45"/>
        <v>03/09/2025</v>
      </c>
      <c r="J139" t="str">
        <f t="shared" si="44"/>
        <v>25/08/2025</v>
      </c>
      <c r="K139">
        <v>45903</v>
      </c>
      <c r="N139">
        <v>303</v>
      </c>
      <c r="O139" t="s">
        <v>69</v>
      </c>
      <c r="Q139">
        <v>845.87</v>
      </c>
      <c r="R139" t="str">
        <f>"FARMÁCIA INDIANA LJ 128 (10057)"</f>
        <v>FARMÁCIA INDIANA LJ 128 (10057)</v>
      </c>
      <c r="S139" t="s">
        <v>70</v>
      </c>
      <c r="T139">
        <v>21834</v>
      </c>
      <c r="U139">
        <v>20838</v>
      </c>
      <c r="V139" t="s">
        <v>77</v>
      </c>
    </row>
    <row r="140" spans="1:22">
      <c r="A140" t="str">
        <f t="shared" si="38"/>
        <v>03/09/2025</v>
      </c>
      <c r="B140" t="str">
        <f t="shared" si="39"/>
        <v>ENTRADA</v>
      </c>
      <c r="C140" t="str">
        <f t="shared" si="40"/>
        <v>NFSE</v>
      </c>
      <c r="D140" t="str">
        <f t="shared" si="41"/>
        <v>3286</v>
      </c>
      <c r="E140" t="str">
        <f t="shared" si="42"/>
        <v>1</v>
      </c>
      <c r="F140" t="str">
        <f t="shared" si="46"/>
        <v>COM</v>
      </c>
      <c r="G140" t="str">
        <f t="shared" si="43"/>
        <v>FARMÁCIA INDIANA LJ 1 (10126)</v>
      </c>
      <c r="H140" t="s">
        <v>78</v>
      </c>
      <c r="I140" t="str">
        <f t="shared" si="45"/>
        <v>03/09/2025</v>
      </c>
      <c r="J140" t="str">
        <f t="shared" si="44"/>
        <v>25/08/2025</v>
      </c>
      <c r="K140">
        <v>45903</v>
      </c>
      <c r="N140">
        <v>303</v>
      </c>
      <c r="O140" t="s">
        <v>69</v>
      </c>
      <c r="Q140">
        <v>150.63999999999999</v>
      </c>
      <c r="R140" t="str">
        <f>"FARMÁCIA INDIANA LJ 140 (10064)"</f>
        <v>FARMÁCIA INDIANA LJ 140 (10064)</v>
      </c>
      <c r="S140" t="s">
        <v>70</v>
      </c>
      <c r="T140">
        <v>21834</v>
      </c>
      <c r="U140">
        <v>20838</v>
      </c>
      <c r="V140" t="s">
        <v>77</v>
      </c>
    </row>
    <row r="141" spans="1:22">
      <c r="A141" t="str">
        <f t="shared" si="38"/>
        <v>03/09/2025</v>
      </c>
      <c r="B141" t="str">
        <f t="shared" si="39"/>
        <v>ENTRADA</v>
      </c>
      <c r="C141" t="str">
        <f t="shared" si="40"/>
        <v>NFSE</v>
      </c>
      <c r="D141" t="str">
        <f t="shared" si="41"/>
        <v>3286</v>
      </c>
      <c r="E141" t="str">
        <f t="shared" si="42"/>
        <v>1</v>
      </c>
      <c r="F141" t="str">
        <f t="shared" si="46"/>
        <v>COM</v>
      </c>
      <c r="G141" t="str">
        <f t="shared" si="43"/>
        <v>FARMÁCIA INDIANA LJ 1 (10126)</v>
      </c>
      <c r="H141" t="s">
        <v>78</v>
      </c>
      <c r="I141" t="str">
        <f t="shared" si="45"/>
        <v>03/09/2025</v>
      </c>
      <c r="J141" t="str">
        <f t="shared" si="44"/>
        <v>25/08/2025</v>
      </c>
      <c r="K141">
        <v>45903</v>
      </c>
      <c r="N141">
        <v>303</v>
      </c>
      <c r="O141" t="s">
        <v>69</v>
      </c>
      <c r="Q141">
        <v>104.29</v>
      </c>
      <c r="R141" t="str">
        <f>"FARMÁCIA INDIANA LJ 141 (10065)"</f>
        <v>FARMÁCIA INDIANA LJ 141 (10065)</v>
      </c>
      <c r="S141" t="s">
        <v>70</v>
      </c>
      <c r="T141">
        <v>21834</v>
      </c>
      <c r="U141">
        <v>20838</v>
      </c>
      <c r="V141" t="s">
        <v>77</v>
      </c>
    </row>
    <row r="142" spans="1:22">
      <c r="A142" t="str">
        <f t="shared" si="38"/>
        <v>03/09/2025</v>
      </c>
      <c r="B142" t="str">
        <f t="shared" si="39"/>
        <v>ENTRADA</v>
      </c>
      <c r="C142" t="str">
        <f t="shared" si="40"/>
        <v>NFSE</v>
      </c>
      <c r="D142" t="str">
        <f t="shared" si="41"/>
        <v>3286</v>
      </c>
      <c r="E142" t="str">
        <f t="shared" si="42"/>
        <v>1</v>
      </c>
      <c r="F142" t="str">
        <f t="shared" si="46"/>
        <v>COM</v>
      </c>
      <c r="G142" t="str">
        <f t="shared" si="43"/>
        <v>FARMÁCIA INDIANA LJ 1 (10126)</v>
      </c>
      <c r="H142" t="s">
        <v>78</v>
      </c>
      <c r="I142" t="str">
        <f t="shared" si="45"/>
        <v>03/09/2025</v>
      </c>
      <c r="J142" t="str">
        <f t="shared" si="44"/>
        <v>25/08/2025</v>
      </c>
      <c r="K142">
        <v>45903</v>
      </c>
      <c r="N142">
        <v>303</v>
      </c>
      <c r="O142" t="s">
        <v>69</v>
      </c>
      <c r="Q142">
        <v>6755.41</v>
      </c>
      <c r="R142" t="str">
        <f>"FARMÁCIA INDIANA LJ 142 (10066)"</f>
        <v>FARMÁCIA INDIANA LJ 142 (10066)</v>
      </c>
      <c r="S142" t="s">
        <v>70</v>
      </c>
      <c r="T142">
        <v>21834</v>
      </c>
      <c r="U142">
        <v>20838</v>
      </c>
      <c r="V142" t="s">
        <v>77</v>
      </c>
    </row>
    <row r="143" spans="1:22">
      <c r="A143" t="str">
        <f t="shared" si="38"/>
        <v>03/09/2025</v>
      </c>
      <c r="B143" t="str">
        <f t="shared" si="39"/>
        <v>ENTRADA</v>
      </c>
      <c r="C143" t="str">
        <f t="shared" si="40"/>
        <v>NFSE</v>
      </c>
      <c r="D143" t="str">
        <f t="shared" si="41"/>
        <v>3286</v>
      </c>
      <c r="E143" t="str">
        <f t="shared" si="42"/>
        <v>1</v>
      </c>
      <c r="F143" t="str">
        <f t="shared" si="46"/>
        <v>COM</v>
      </c>
      <c r="G143" t="str">
        <f t="shared" si="43"/>
        <v>FARMÁCIA INDIANA LJ 1 (10126)</v>
      </c>
      <c r="H143" t="s">
        <v>78</v>
      </c>
      <c r="I143" t="str">
        <f t="shared" si="45"/>
        <v>03/09/2025</v>
      </c>
      <c r="J143" t="str">
        <f t="shared" si="44"/>
        <v>25/08/2025</v>
      </c>
      <c r="K143">
        <v>45903</v>
      </c>
      <c r="N143">
        <v>303</v>
      </c>
      <c r="O143" t="s">
        <v>69</v>
      </c>
      <c r="Q143">
        <v>590.95000000000005</v>
      </c>
      <c r="R143" t="str">
        <f>"FARMÁCIA INDIANA LJ 143 (10067)"</f>
        <v>FARMÁCIA INDIANA LJ 143 (10067)</v>
      </c>
      <c r="S143" t="s">
        <v>70</v>
      </c>
      <c r="T143">
        <v>21834</v>
      </c>
      <c r="U143">
        <v>20838</v>
      </c>
      <c r="V143" t="s">
        <v>77</v>
      </c>
    </row>
    <row r="144" spans="1:22">
      <c r="A144" t="str">
        <f t="shared" si="38"/>
        <v>03/09/2025</v>
      </c>
      <c r="B144" t="str">
        <f t="shared" si="39"/>
        <v>ENTRADA</v>
      </c>
      <c r="C144" t="str">
        <f t="shared" si="40"/>
        <v>NFSE</v>
      </c>
      <c r="D144" t="str">
        <f t="shared" si="41"/>
        <v>3286</v>
      </c>
      <c r="E144" t="str">
        <f t="shared" si="42"/>
        <v>1</v>
      </c>
      <c r="F144" t="str">
        <f t="shared" si="46"/>
        <v>COM</v>
      </c>
      <c r="G144" t="str">
        <f t="shared" si="43"/>
        <v>FARMÁCIA INDIANA LJ 1 (10126)</v>
      </c>
      <c r="H144" t="s">
        <v>78</v>
      </c>
      <c r="I144" t="str">
        <f t="shared" si="45"/>
        <v>03/09/2025</v>
      </c>
      <c r="J144" t="str">
        <f t="shared" si="44"/>
        <v>25/08/2025</v>
      </c>
      <c r="K144">
        <v>45903</v>
      </c>
      <c r="N144">
        <v>303</v>
      </c>
      <c r="O144" t="s">
        <v>69</v>
      </c>
      <c r="Q144">
        <v>3707.94</v>
      </c>
      <c r="R144" t="str">
        <f>"FARMÁCIA INDIANA LJ 152 (10069)"</f>
        <v>FARMÁCIA INDIANA LJ 152 (10069)</v>
      </c>
      <c r="S144" t="s">
        <v>70</v>
      </c>
      <c r="T144">
        <v>21834</v>
      </c>
      <c r="U144">
        <v>20838</v>
      </c>
      <c r="V144" t="s">
        <v>77</v>
      </c>
    </row>
    <row r="145" spans="1:22">
      <c r="A145" t="str">
        <f t="shared" si="38"/>
        <v>03/09/2025</v>
      </c>
      <c r="B145" t="str">
        <f t="shared" si="39"/>
        <v>ENTRADA</v>
      </c>
      <c r="C145" t="str">
        <f t="shared" si="40"/>
        <v>NFSE</v>
      </c>
      <c r="D145" t="str">
        <f t="shared" si="41"/>
        <v>3286</v>
      </c>
      <c r="E145" t="str">
        <f t="shared" si="42"/>
        <v>1</v>
      </c>
      <c r="F145" t="str">
        <f t="shared" si="46"/>
        <v>COM</v>
      </c>
      <c r="G145" t="str">
        <f t="shared" si="43"/>
        <v>FARMÁCIA INDIANA LJ 1 (10126)</v>
      </c>
      <c r="H145" t="s">
        <v>78</v>
      </c>
      <c r="I145" t="str">
        <f t="shared" si="45"/>
        <v>03/09/2025</v>
      </c>
      <c r="J145" t="str">
        <f t="shared" si="44"/>
        <v>25/08/2025</v>
      </c>
      <c r="K145">
        <v>45903</v>
      </c>
      <c r="N145">
        <v>303</v>
      </c>
      <c r="O145" t="s">
        <v>69</v>
      </c>
      <c r="Q145">
        <v>278.10000000000002</v>
      </c>
      <c r="R145" t="str">
        <f>"FARMÁCIA INDIANA LJ 154 (10070)"</f>
        <v>FARMÁCIA INDIANA LJ 154 (10070)</v>
      </c>
      <c r="S145" t="s">
        <v>70</v>
      </c>
      <c r="T145">
        <v>21834</v>
      </c>
      <c r="U145">
        <v>20838</v>
      </c>
      <c r="V145" t="s">
        <v>77</v>
      </c>
    </row>
    <row r="146" spans="1:22">
      <c r="A146" t="str">
        <f t="shared" ref="A146:A177" si="47">("03/09/2025")</f>
        <v>03/09/2025</v>
      </c>
      <c r="B146" t="str">
        <f t="shared" si="39"/>
        <v>ENTRADA</v>
      </c>
      <c r="C146" t="str">
        <f t="shared" si="40"/>
        <v>NFSE</v>
      </c>
      <c r="D146" t="str">
        <f t="shared" si="41"/>
        <v>3286</v>
      </c>
      <c r="E146" t="str">
        <f t="shared" si="42"/>
        <v>1</v>
      </c>
      <c r="F146" t="str">
        <f t="shared" si="46"/>
        <v>COM</v>
      </c>
      <c r="G146" t="str">
        <f t="shared" si="43"/>
        <v>FARMÁCIA INDIANA LJ 1 (10126)</v>
      </c>
      <c r="H146" t="s">
        <v>78</v>
      </c>
      <c r="I146" t="str">
        <f t="shared" si="45"/>
        <v>03/09/2025</v>
      </c>
      <c r="J146" t="str">
        <f t="shared" si="44"/>
        <v>25/08/2025</v>
      </c>
      <c r="K146">
        <v>45903</v>
      </c>
      <c r="N146">
        <v>303</v>
      </c>
      <c r="O146" t="s">
        <v>69</v>
      </c>
      <c r="Q146">
        <v>1796.04</v>
      </c>
      <c r="R146" t="str">
        <f>"FARMÁCIA INDIANA LJ 171 (10074)"</f>
        <v>FARMÁCIA INDIANA LJ 171 (10074)</v>
      </c>
      <c r="S146" t="s">
        <v>70</v>
      </c>
      <c r="T146">
        <v>21834</v>
      </c>
      <c r="U146">
        <v>20838</v>
      </c>
      <c r="V146" t="s">
        <v>77</v>
      </c>
    </row>
    <row r="147" spans="1:22">
      <c r="A147" t="str">
        <f t="shared" si="47"/>
        <v>03/09/2025</v>
      </c>
      <c r="B147" t="str">
        <f t="shared" si="39"/>
        <v>ENTRADA</v>
      </c>
      <c r="C147" t="str">
        <f t="shared" si="40"/>
        <v>NFSE</v>
      </c>
      <c r="D147" t="str">
        <f t="shared" si="41"/>
        <v>3286</v>
      </c>
      <c r="E147" t="str">
        <f t="shared" si="42"/>
        <v>1</v>
      </c>
      <c r="F147" t="str">
        <f t="shared" si="46"/>
        <v>COM</v>
      </c>
      <c r="G147" t="str">
        <f t="shared" si="43"/>
        <v>FARMÁCIA INDIANA LJ 1 (10126)</v>
      </c>
      <c r="H147" t="s">
        <v>78</v>
      </c>
      <c r="I147" t="str">
        <f t="shared" si="45"/>
        <v>03/09/2025</v>
      </c>
      <c r="J147" t="str">
        <f t="shared" si="44"/>
        <v>25/08/2025</v>
      </c>
      <c r="K147">
        <v>45903</v>
      </c>
      <c r="N147">
        <v>303</v>
      </c>
      <c r="O147" t="s">
        <v>69</v>
      </c>
      <c r="Q147">
        <v>695.24</v>
      </c>
      <c r="R147" t="str">
        <f>"FARMÁCIA INDIANA LJ 175 (10076)"</f>
        <v>FARMÁCIA INDIANA LJ 175 (10076)</v>
      </c>
      <c r="S147" t="s">
        <v>70</v>
      </c>
      <c r="T147">
        <v>21834</v>
      </c>
      <c r="U147">
        <v>20838</v>
      </c>
      <c r="V147" t="s">
        <v>77</v>
      </c>
    </row>
    <row r="148" spans="1:22">
      <c r="A148" t="str">
        <f t="shared" si="47"/>
        <v>03/09/2025</v>
      </c>
      <c r="B148" t="str">
        <f t="shared" ref="B148:B179" si="48">"ENTRADA"</f>
        <v>ENTRADA</v>
      </c>
      <c r="C148" t="str">
        <f t="shared" ref="C148:C179" si="49">"NFSE"</f>
        <v>NFSE</v>
      </c>
      <c r="D148" t="str">
        <f t="shared" si="41"/>
        <v>3286</v>
      </c>
      <c r="E148" t="str">
        <f t="shared" ref="E148:E179" si="50">"1"</f>
        <v>1</v>
      </c>
      <c r="F148" t="str">
        <f t="shared" si="46"/>
        <v>COM</v>
      </c>
      <c r="G148" t="str">
        <f t="shared" si="43"/>
        <v>FARMÁCIA INDIANA LJ 1 (10126)</v>
      </c>
      <c r="H148" t="s">
        <v>78</v>
      </c>
      <c r="I148" t="str">
        <f t="shared" si="45"/>
        <v>03/09/2025</v>
      </c>
      <c r="J148" t="str">
        <f t="shared" ref="J148:J179" si="51">("25/08/2025")</f>
        <v>25/08/2025</v>
      </c>
      <c r="K148">
        <v>45903</v>
      </c>
      <c r="N148">
        <v>303</v>
      </c>
      <c r="O148" t="s">
        <v>69</v>
      </c>
      <c r="Q148">
        <v>996.51</v>
      </c>
      <c r="R148" t="str">
        <f>"FARMÁCIA INDIANA LJ 178 (10077)"</f>
        <v>FARMÁCIA INDIANA LJ 178 (10077)</v>
      </c>
      <c r="S148" t="s">
        <v>70</v>
      </c>
      <c r="T148">
        <v>21834</v>
      </c>
      <c r="U148">
        <v>20838</v>
      </c>
      <c r="V148" t="s">
        <v>77</v>
      </c>
    </row>
    <row r="149" spans="1:22">
      <c r="A149" t="str">
        <f t="shared" si="47"/>
        <v>03/09/2025</v>
      </c>
      <c r="B149" t="str">
        <f t="shared" si="48"/>
        <v>ENTRADA</v>
      </c>
      <c r="C149" t="str">
        <f t="shared" si="49"/>
        <v>NFSE</v>
      </c>
      <c r="D149" t="str">
        <f t="shared" si="41"/>
        <v>3286</v>
      </c>
      <c r="E149" t="str">
        <f t="shared" si="50"/>
        <v>1</v>
      </c>
      <c r="F149" t="str">
        <f t="shared" si="46"/>
        <v>COM</v>
      </c>
      <c r="G149" t="str">
        <f t="shared" si="43"/>
        <v>FARMÁCIA INDIANA LJ 1 (10126)</v>
      </c>
      <c r="H149" t="s">
        <v>78</v>
      </c>
      <c r="I149" t="str">
        <f t="shared" si="45"/>
        <v>03/09/2025</v>
      </c>
      <c r="J149" t="str">
        <f t="shared" si="51"/>
        <v>25/08/2025</v>
      </c>
      <c r="K149">
        <v>45903</v>
      </c>
      <c r="N149">
        <v>303</v>
      </c>
      <c r="O149" t="s">
        <v>69</v>
      </c>
      <c r="Q149">
        <v>417.14</v>
      </c>
      <c r="R149" t="str">
        <f>"FARMÁCIA INDIANA LJ 182 (10079)"</f>
        <v>FARMÁCIA INDIANA LJ 182 (10079)</v>
      </c>
      <c r="S149" t="s">
        <v>70</v>
      </c>
      <c r="T149">
        <v>21834</v>
      </c>
      <c r="U149">
        <v>20838</v>
      </c>
      <c r="V149" t="s">
        <v>77</v>
      </c>
    </row>
    <row r="150" spans="1:22">
      <c r="A150" t="str">
        <f t="shared" si="47"/>
        <v>03/09/2025</v>
      </c>
      <c r="B150" t="str">
        <f t="shared" si="48"/>
        <v>ENTRADA</v>
      </c>
      <c r="C150" t="str">
        <f t="shared" si="49"/>
        <v>NFSE</v>
      </c>
      <c r="D150" t="str">
        <f t="shared" si="41"/>
        <v>3286</v>
      </c>
      <c r="E150" t="str">
        <f t="shared" si="50"/>
        <v>1</v>
      </c>
      <c r="F150" t="str">
        <f t="shared" si="46"/>
        <v>COM</v>
      </c>
      <c r="G150" t="str">
        <f t="shared" si="43"/>
        <v>FARMÁCIA INDIANA LJ 1 (10126)</v>
      </c>
      <c r="H150" t="s">
        <v>78</v>
      </c>
      <c r="I150" t="str">
        <f t="shared" si="45"/>
        <v>03/09/2025</v>
      </c>
      <c r="J150" t="str">
        <f t="shared" si="51"/>
        <v>25/08/2025</v>
      </c>
      <c r="K150">
        <v>45903</v>
      </c>
      <c r="N150">
        <v>303</v>
      </c>
      <c r="O150" t="s">
        <v>69</v>
      </c>
      <c r="Q150">
        <v>359.21</v>
      </c>
      <c r="R150" t="str">
        <f>"FARMÁCIA INDIANA LJ 184 (10080)"</f>
        <v>FARMÁCIA INDIANA LJ 184 (10080)</v>
      </c>
      <c r="S150" t="s">
        <v>70</v>
      </c>
      <c r="T150">
        <v>21834</v>
      </c>
      <c r="U150">
        <v>20838</v>
      </c>
      <c r="V150" t="s">
        <v>77</v>
      </c>
    </row>
    <row r="151" spans="1:22">
      <c r="A151" t="str">
        <f t="shared" si="47"/>
        <v>03/09/2025</v>
      </c>
      <c r="B151" t="str">
        <f t="shared" si="48"/>
        <v>ENTRADA</v>
      </c>
      <c r="C151" t="str">
        <f t="shared" si="49"/>
        <v>NFSE</v>
      </c>
      <c r="D151" t="str">
        <f t="shared" si="41"/>
        <v>3286</v>
      </c>
      <c r="E151" t="str">
        <f t="shared" si="50"/>
        <v>1</v>
      </c>
      <c r="F151" t="str">
        <f t="shared" si="46"/>
        <v>COM</v>
      </c>
      <c r="G151" t="str">
        <f t="shared" si="43"/>
        <v>FARMÁCIA INDIANA LJ 1 (10126)</v>
      </c>
      <c r="H151" t="s">
        <v>78</v>
      </c>
      <c r="I151" t="str">
        <f t="shared" si="45"/>
        <v>03/09/2025</v>
      </c>
      <c r="J151" t="str">
        <f t="shared" si="51"/>
        <v>25/08/2025</v>
      </c>
      <c r="K151">
        <v>45903</v>
      </c>
      <c r="N151">
        <v>303</v>
      </c>
      <c r="O151" t="s">
        <v>69</v>
      </c>
      <c r="Q151">
        <v>417.14</v>
      </c>
      <c r="R151" t="str">
        <f>"FARMÁCIA INDIANA LJ 186 (10081)"</f>
        <v>FARMÁCIA INDIANA LJ 186 (10081)</v>
      </c>
      <c r="S151" t="s">
        <v>70</v>
      </c>
      <c r="T151">
        <v>21834</v>
      </c>
      <c r="U151">
        <v>20838</v>
      </c>
      <c r="V151" t="s">
        <v>77</v>
      </c>
    </row>
    <row r="152" spans="1:22">
      <c r="A152" t="str">
        <f t="shared" si="47"/>
        <v>03/09/2025</v>
      </c>
      <c r="B152" t="str">
        <f t="shared" si="48"/>
        <v>ENTRADA</v>
      </c>
      <c r="C152" t="str">
        <f t="shared" si="49"/>
        <v>NFSE</v>
      </c>
      <c r="D152" t="str">
        <f t="shared" si="41"/>
        <v>3286</v>
      </c>
      <c r="E152" t="str">
        <f t="shared" si="50"/>
        <v>1</v>
      </c>
      <c r="F152" t="str">
        <f t="shared" si="46"/>
        <v>COM</v>
      </c>
      <c r="G152" t="str">
        <f t="shared" si="43"/>
        <v>FARMÁCIA INDIANA LJ 1 (10126)</v>
      </c>
      <c r="H152" t="s">
        <v>78</v>
      </c>
      <c r="I152" t="str">
        <f t="shared" si="45"/>
        <v>03/09/2025</v>
      </c>
      <c r="J152" t="str">
        <f t="shared" si="51"/>
        <v>25/08/2025</v>
      </c>
      <c r="K152">
        <v>45903</v>
      </c>
      <c r="N152">
        <v>303</v>
      </c>
      <c r="O152" t="s">
        <v>69</v>
      </c>
      <c r="Q152">
        <v>1216.67</v>
      </c>
      <c r="R152" t="str">
        <f>"FARMÁCIA INDIANA LJ 192 (10082)"</f>
        <v>FARMÁCIA INDIANA LJ 192 (10082)</v>
      </c>
      <c r="S152" t="s">
        <v>70</v>
      </c>
      <c r="T152">
        <v>21834</v>
      </c>
      <c r="U152">
        <v>20838</v>
      </c>
      <c r="V152" t="s">
        <v>77</v>
      </c>
    </row>
    <row r="153" spans="1:22">
      <c r="A153" t="str">
        <f t="shared" si="47"/>
        <v>03/09/2025</v>
      </c>
      <c r="B153" t="str">
        <f t="shared" si="48"/>
        <v>ENTRADA</v>
      </c>
      <c r="C153" t="str">
        <f t="shared" si="49"/>
        <v>NFSE</v>
      </c>
      <c r="D153" t="str">
        <f t="shared" si="41"/>
        <v>3286</v>
      </c>
      <c r="E153" t="str">
        <f t="shared" si="50"/>
        <v>1</v>
      </c>
      <c r="F153" t="str">
        <f t="shared" si="46"/>
        <v>COM</v>
      </c>
      <c r="G153" t="str">
        <f t="shared" si="43"/>
        <v>FARMÁCIA INDIANA LJ 1 (10126)</v>
      </c>
      <c r="H153" t="s">
        <v>78</v>
      </c>
      <c r="I153" t="str">
        <f t="shared" si="45"/>
        <v>03/09/2025</v>
      </c>
      <c r="J153" t="str">
        <f t="shared" si="51"/>
        <v>25/08/2025</v>
      </c>
      <c r="K153">
        <v>45903</v>
      </c>
      <c r="N153">
        <v>303</v>
      </c>
      <c r="O153" t="s">
        <v>69</v>
      </c>
      <c r="Q153">
        <v>359.21</v>
      </c>
      <c r="R153" t="str">
        <f>"FARMÁCIA INDIANA LJ 195 (10083)"</f>
        <v>FARMÁCIA INDIANA LJ 195 (10083)</v>
      </c>
      <c r="S153" t="s">
        <v>70</v>
      </c>
      <c r="T153">
        <v>21834</v>
      </c>
      <c r="U153">
        <v>20838</v>
      </c>
      <c r="V153" t="s">
        <v>77</v>
      </c>
    </row>
    <row r="154" spans="1:22">
      <c r="A154" t="str">
        <f t="shared" si="47"/>
        <v>03/09/2025</v>
      </c>
      <c r="B154" t="str">
        <f t="shared" si="48"/>
        <v>ENTRADA</v>
      </c>
      <c r="C154" t="str">
        <f t="shared" si="49"/>
        <v>NFSE</v>
      </c>
      <c r="D154" t="str">
        <f t="shared" si="41"/>
        <v>3286</v>
      </c>
      <c r="E154" t="str">
        <f t="shared" si="50"/>
        <v>1</v>
      </c>
      <c r="F154" t="str">
        <f t="shared" si="46"/>
        <v>COM</v>
      </c>
      <c r="G154" t="str">
        <f t="shared" si="43"/>
        <v>FARMÁCIA INDIANA LJ 1 (10126)</v>
      </c>
      <c r="H154" t="s">
        <v>78</v>
      </c>
      <c r="I154" t="str">
        <f t="shared" si="45"/>
        <v>03/09/2025</v>
      </c>
      <c r="J154" t="str">
        <f t="shared" si="51"/>
        <v>25/08/2025</v>
      </c>
      <c r="K154">
        <v>45903</v>
      </c>
      <c r="N154">
        <v>303</v>
      </c>
      <c r="O154" t="s">
        <v>69</v>
      </c>
      <c r="Q154">
        <v>834.29</v>
      </c>
      <c r="R154" t="str">
        <f>"FARMÁCIA INDIANA LJ 202 (10085)"</f>
        <v>FARMÁCIA INDIANA LJ 202 (10085)</v>
      </c>
      <c r="S154" t="s">
        <v>70</v>
      </c>
      <c r="T154">
        <v>21834</v>
      </c>
      <c r="U154">
        <v>20838</v>
      </c>
      <c r="V154" t="s">
        <v>77</v>
      </c>
    </row>
    <row r="155" spans="1:22">
      <c r="A155" t="str">
        <f t="shared" si="47"/>
        <v>03/09/2025</v>
      </c>
      <c r="B155" t="str">
        <f t="shared" si="48"/>
        <v>ENTRADA</v>
      </c>
      <c r="C155" t="str">
        <f t="shared" si="49"/>
        <v>NFSE</v>
      </c>
      <c r="D155" t="str">
        <f t="shared" si="41"/>
        <v>3286</v>
      </c>
      <c r="E155" t="str">
        <f t="shared" si="50"/>
        <v>1</v>
      </c>
      <c r="F155" t="str">
        <f t="shared" si="46"/>
        <v>COM</v>
      </c>
      <c r="G155" t="str">
        <f t="shared" si="43"/>
        <v>FARMÁCIA INDIANA LJ 1 (10126)</v>
      </c>
      <c r="H155" t="s">
        <v>78</v>
      </c>
      <c r="I155" t="str">
        <f t="shared" si="45"/>
        <v>03/09/2025</v>
      </c>
      <c r="J155" t="str">
        <f t="shared" si="51"/>
        <v>25/08/2025</v>
      </c>
      <c r="K155">
        <v>45903</v>
      </c>
      <c r="N155">
        <v>303</v>
      </c>
      <c r="O155" t="s">
        <v>69</v>
      </c>
      <c r="Q155">
        <v>718.41</v>
      </c>
      <c r="R155" t="str">
        <f>"FARMÁCIA INDIANA LJ 204 (10087)"</f>
        <v>FARMÁCIA INDIANA LJ 204 (10087)</v>
      </c>
      <c r="S155" t="s">
        <v>70</v>
      </c>
      <c r="T155">
        <v>21834</v>
      </c>
      <c r="U155">
        <v>20838</v>
      </c>
      <c r="V155" t="s">
        <v>77</v>
      </c>
    </row>
    <row r="156" spans="1:22">
      <c r="A156" t="str">
        <f t="shared" si="47"/>
        <v>03/09/2025</v>
      </c>
      <c r="B156" t="str">
        <f t="shared" si="48"/>
        <v>ENTRADA</v>
      </c>
      <c r="C156" t="str">
        <f t="shared" si="49"/>
        <v>NFSE</v>
      </c>
      <c r="D156" t="str">
        <f t="shared" si="41"/>
        <v>3286</v>
      </c>
      <c r="E156" t="str">
        <f t="shared" si="50"/>
        <v>1</v>
      </c>
      <c r="F156" t="str">
        <f t="shared" si="46"/>
        <v>COM</v>
      </c>
      <c r="G156" t="str">
        <f t="shared" si="43"/>
        <v>FARMÁCIA INDIANA LJ 1 (10126)</v>
      </c>
      <c r="H156" t="s">
        <v>78</v>
      </c>
      <c r="I156" t="str">
        <f t="shared" si="45"/>
        <v>03/09/2025</v>
      </c>
      <c r="J156" t="str">
        <f t="shared" si="51"/>
        <v>25/08/2025</v>
      </c>
      <c r="K156">
        <v>45903</v>
      </c>
      <c r="N156">
        <v>303</v>
      </c>
      <c r="O156" t="s">
        <v>69</v>
      </c>
      <c r="Q156">
        <v>961.75</v>
      </c>
      <c r="R156" t="str">
        <f>"FARMÁCIA INDIANA LJ 207 (10088)"</f>
        <v>FARMÁCIA INDIANA LJ 207 (10088)</v>
      </c>
      <c r="S156" t="s">
        <v>70</v>
      </c>
      <c r="T156">
        <v>21834</v>
      </c>
      <c r="U156">
        <v>20838</v>
      </c>
      <c r="V156" t="s">
        <v>77</v>
      </c>
    </row>
    <row r="157" spans="1:22">
      <c r="A157" t="str">
        <f t="shared" si="47"/>
        <v>03/09/2025</v>
      </c>
      <c r="B157" t="str">
        <f t="shared" si="48"/>
        <v>ENTRADA</v>
      </c>
      <c r="C157" t="str">
        <f t="shared" si="49"/>
        <v>NFSE</v>
      </c>
      <c r="D157" t="str">
        <f t="shared" si="41"/>
        <v>3286</v>
      </c>
      <c r="E157" t="str">
        <f t="shared" si="50"/>
        <v>1</v>
      </c>
      <c r="F157" t="str">
        <f t="shared" si="46"/>
        <v>COM</v>
      </c>
      <c r="G157" t="str">
        <f t="shared" si="43"/>
        <v>FARMÁCIA INDIANA LJ 1 (10126)</v>
      </c>
      <c r="H157" t="s">
        <v>78</v>
      </c>
      <c r="I157" t="str">
        <f t="shared" si="45"/>
        <v>03/09/2025</v>
      </c>
      <c r="J157" t="str">
        <f t="shared" si="51"/>
        <v>25/08/2025</v>
      </c>
      <c r="K157">
        <v>45903</v>
      </c>
      <c r="N157">
        <v>303</v>
      </c>
      <c r="O157" t="s">
        <v>69</v>
      </c>
      <c r="Q157">
        <v>1123.97</v>
      </c>
      <c r="R157" t="str">
        <f>"FARMÁCIA INDIANA LJ 209 (10089)"</f>
        <v>FARMÁCIA INDIANA LJ 209 (10089)</v>
      </c>
      <c r="S157" t="s">
        <v>70</v>
      </c>
      <c r="T157">
        <v>21834</v>
      </c>
      <c r="U157">
        <v>20838</v>
      </c>
      <c r="V157" t="s">
        <v>77</v>
      </c>
    </row>
    <row r="158" spans="1:22">
      <c r="A158" t="str">
        <f t="shared" si="47"/>
        <v>03/09/2025</v>
      </c>
      <c r="B158" t="str">
        <f t="shared" si="48"/>
        <v>ENTRADA</v>
      </c>
      <c r="C158" t="str">
        <f t="shared" si="49"/>
        <v>NFSE</v>
      </c>
      <c r="D158" t="str">
        <f t="shared" si="41"/>
        <v>3286</v>
      </c>
      <c r="E158" t="str">
        <f t="shared" si="50"/>
        <v>1</v>
      </c>
      <c r="F158" t="str">
        <f t="shared" si="46"/>
        <v>COM</v>
      </c>
      <c r="G158" t="str">
        <f t="shared" si="43"/>
        <v>FARMÁCIA INDIANA LJ 1 (10126)</v>
      </c>
      <c r="H158" t="s">
        <v>78</v>
      </c>
      <c r="I158" t="str">
        <f t="shared" si="45"/>
        <v>03/09/2025</v>
      </c>
      <c r="J158" t="str">
        <f t="shared" si="51"/>
        <v>25/08/2025</v>
      </c>
      <c r="K158">
        <v>45903</v>
      </c>
      <c r="N158">
        <v>303</v>
      </c>
      <c r="O158" t="s">
        <v>69</v>
      </c>
      <c r="Q158">
        <v>880.64</v>
      </c>
      <c r="R158" t="str">
        <f>"FARMÁCIA INDIANA LJ 219 (10091)"</f>
        <v>FARMÁCIA INDIANA LJ 219 (10091)</v>
      </c>
      <c r="S158" t="s">
        <v>70</v>
      </c>
      <c r="T158">
        <v>21834</v>
      </c>
      <c r="U158">
        <v>20838</v>
      </c>
      <c r="V158" t="s">
        <v>77</v>
      </c>
    </row>
    <row r="159" spans="1:22">
      <c r="A159" t="str">
        <f t="shared" si="47"/>
        <v>03/09/2025</v>
      </c>
      <c r="B159" t="str">
        <f t="shared" si="48"/>
        <v>ENTRADA</v>
      </c>
      <c r="C159" t="str">
        <f t="shared" si="49"/>
        <v>NFSE</v>
      </c>
      <c r="D159" t="str">
        <f t="shared" si="41"/>
        <v>3286</v>
      </c>
      <c r="E159" t="str">
        <f t="shared" si="50"/>
        <v>1</v>
      </c>
      <c r="F159" t="str">
        <f t="shared" si="46"/>
        <v>COM</v>
      </c>
      <c r="G159" t="str">
        <f t="shared" si="43"/>
        <v>FARMÁCIA INDIANA LJ 1 (10126)</v>
      </c>
      <c r="H159" t="s">
        <v>78</v>
      </c>
      <c r="I159" t="str">
        <f t="shared" ref="I159:I185" si="52">("03/09/2025")</f>
        <v>03/09/2025</v>
      </c>
      <c r="J159" t="str">
        <f t="shared" si="51"/>
        <v>25/08/2025</v>
      </c>
      <c r="K159">
        <v>45903</v>
      </c>
      <c r="N159">
        <v>303</v>
      </c>
      <c r="O159" t="s">
        <v>69</v>
      </c>
      <c r="Q159">
        <v>1297.78</v>
      </c>
      <c r="R159" t="str">
        <f>"FARMÁCIA INDIANA LJ 220 (10092)"</f>
        <v>FARMÁCIA INDIANA LJ 220 (10092)</v>
      </c>
      <c r="S159" t="s">
        <v>70</v>
      </c>
      <c r="T159">
        <v>21834</v>
      </c>
      <c r="U159">
        <v>20838</v>
      </c>
      <c r="V159" t="s">
        <v>77</v>
      </c>
    </row>
    <row r="160" spans="1:22">
      <c r="A160" t="str">
        <f t="shared" si="47"/>
        <v>03/09/2025</v>
      </c>
      <c r="B160" t="str">
        <f t="shared" si="48"/>
        <v>ENTRADA</v>
      </c>
      <c r="C160" t="str">
        <f t="shared" si="49"/>
        <v>NFSE</v>
      </c>
      <c r="D160" t="str">
        <f t="shared" si="41"/>
        <v>3286</v>
      </c>
      <c r="E160" t="str">
        <f t="shared" si="50"/>
        <v>1</v>
      </c>
      <c r="F160" t="str">
        <f t="shared" si="46"/>
        <v>COM</v>
      </c>
      <c r="G160" t="str">
        <f t="shared" si="43"/>
        <v>FARMÁCIA INDIANA LJ 1 (10126)</v>
      </c>
      <c r="H160" t="s">
        <v>78</v>
      </c>
      <c r="I160" t="str">
        <f t="shared" si="52"/>
        <v>03/09/2025</v>
      </c>
      <c r="J160" t="str">
        <f t="shared" si="51"/>
        <v>25/08/2025</v>
      </c>
      <c r="K160">
        <v>45903</v>
      </c>
      <c r="N160">
        <v>303</v>
      </c>
      <c r="O160" t="s">
        <v>69</v>
      </c>
      <c r="Q160">
        <v>961.75</v>
      </c>
      <c r="R160" t="str">
        <f>"FARMÁCIA INDIANA LJ 185 (10141)"</f>
        <v>FARMÁCIA INDIANA LJ 185 (10141)</v>
      </c>
      <c r="S160" t="s">
        <v>70</v>
      </c>
      <c r="T160">
        <v>21834</v>
      </c>
      <c r="U160">
        <v>20838</v>
      </c>
      <c r="V160" t="s">
        <v>77</v>
      </c>
    </row>
    <row r="161" spans="1:22">
      <c r="A161" t="str">
        <f t="shared" si="47"/>
        <v>03/09/2025</v>
      </c>
      <c r="B161" t="str">
        <f t="shared" si="48"/>
        <v>ENTRADA</v>
      </c>
      <c r="C161" t="str">
        <f t="shared" si="49"/>
        <v>NFSE</v>
      </c>
      <c r="D161" t="str">
        <f t="shared" si="41"/>
        <v>3286</v>
      </c>
      <c r="E161" t="str">
        <f t="shared" si="50"/>
        <v>1</v>
      </c>
      <c r="F161" t="str">
        <f t="shared" si="46"/>
        <v>COM</v>
      </c>
      <c r="G161" t="str">
        <f t="shared" si="43"/>
        <v>FARMÁCIA INDIANA LJ 1 (10126)</v>
      </c>
      <c r="H161" t="s">
        <v>78</v>
      </c>
      <c r="I161" t="str">
        <f t="shared" si="52"/>
        <v>03/09/2025</v>
      </c>
      <c r="J161" t="str">
        <f t="shared" si="51"/>
        <v>25/08/2025</v>
      </c>
      <c r="K161">
        <v>45903</v>
      </c>
      <c r="N161">
        <v>303</v>
      </c>
      <c r="O161" t="s">
        <v>69</v>
      </c>
      <c r="Q161">
        <v>961.75</v>
      </c>
      <c r="R161" t="str">
        <f>"FARMÁCIA INDIANA LJ 205 (10150)"</f>
        <v>FARMÁCIA INDIANA LJ 205 (10150)</v>
      </c>
      <c r="S161" t="s">
        <v>70</v>
      </c>
      <c r="T161">
        <v>21834</v>
      </c>
      <c r="U161">
        <v>20838</v>
      </c>
      <c r="V161" t="s">
        <v>77</v>
      </c>
    </row>
    <row r="162" spans="1:22">
      <c r="A162" t="str">
        <f t="shared" si="47"/>
        <v>03/09/2025</v>
      </c>
      <c r="B162" t="str">
        <f t="shared" si="48"/>
        <v>ENTRADA</v>
      </c>
      <c r="C162" t="str">
        <f t="shared" si="49"/>
        <v>NFSE</v>
      </c>
      <c r="D162" t="str">
        <f t="shared" si="41"/>
        <v>3286</v>
      </c>
      <c r="E162" t="str">
        <f t="shared" si="50"/>
        <v>1</v>
      </c>
      <c r="F162" t="str">
        <f t="shared" si="46"/>
        <v>COM</v>
      </c>
      <c r="G162" t="str">
        <f t="shared" si="43"/>
        <v>FARMÁCIA INDIANA LJ 1 (10126)</v>
      </c>
      <c r="H162" t="s">
        <v>78</v>
      </c>
      <c r="I162" t="str">
        <f t="shared" si="52"/>
        <v>03/09/2025</v>
      </c>
      <c r="J162" t="str">
        <f t="shared" si="51"/>
        <v>25/08/2025</v>
      </c>
      <c r="K162">
        <v>45903</v>
      </c>
      <c r="N162">
        <v>303</v>
      </c>
      <c r="O162" t="s">
        <v>69</v>
      </c>
      <c r="Q162">
        <v>5515.57</v>
      </c>
      <c r="R162" t="str">
        <f>"FARMÁCIA INDIANA LJ 172 (10161)"</f>
        <v>FARMÁCIA INDIANA LJ 172 (10161)</v>
      </c>
      <c r="S162" t="s">
        <v>70</v>
      </c>
      <c r="T162">
        <v>21834</v>
      </c>
      <c r="U162">
        <v>20838</v>
      </c>
      <c r="V162" t="s">
        <v>77</v>
      </c>
    </row>
    <row r="163" spans="1:22">
      <c r="A163" t="str">
        <f t="shared" si="47"/>
        <v>03/09/2025</v>
      </c>
      <c r="B163" t="str">
        <f t="shared" si="48"/>
        <v>ENTRADA</v>
      </c>
      <c r="C163" t="str">
        <f t="shared" si="49"/>
        <v>NFSE</v>
      </c>
      <c r="D163" t="str">
        <f t="shared" si="41"/>
        <v>3286</v>
      </c>
      <c r="E163" t="str">
        <f t="shared" si="50"/>
        <v>1</v>
      </c>
      <c r="F163" t="str">
        <f t="shared" si="46"/>
        <v>COM</v>
      </c>
      <c r="G163" t="str">
        <f t="shared" si="43"/>
        <v>FARMÁCIA INDIANA LJ 1 (10126)</v>
      </c>
      <c r="H163" t="s">
        <v>78</v>
      </c>
      <c r="I163" t="str">
        <f t="shared" si="52"/>
        <v>03/09/2025</v>
      </c>
      <c r="J163" t="str">
        <f t="shared" si="51"/>
        <v>25/08/2025</v>
      </c>
      <c r="K163">
        <v>45903</v>
      </c>
      <c r="N163">
        <v>303</v>
      </c>
      <c r="O163" t="s">
        <v>69</v>
      </c>
      <c r="Q163">
        <v>764.76</v>
      </c>
      <c r="R163" t="str">
        <f>"FARMÁCIA INDIANA LJ 266 (10186)"</f>
        <v>FARMÁCIA INDIANA LJ 266 (10186)</v>
      </c>
      <c r="S163" t="s">
        <v>70</v>
      </c>
      <c r="T163">
        <v>21834</v>
      </c>
      <c r="U163">
        <v>20838</v>
      </c>
      <c r="V163" t="s">
        <v>77</v>
      </c>
    </row>
    <row r="164" spans="1:22">
      <c r="A164" t="str">
        <f t="shared" si="47"/>
        <v>03/09/2025</v>
      </c>
      <c r="B164" t="str">
        <f t="shared" si="48"/>
        <v>ENTRADA</v>
      </c>
      <c r="C164" t="str">
        <f t="shared" si="49"/>
        <v>NFSE</v>
      </c>
      <c r="D164" t="str">
        <f t="shared" ref="D164:D176" si="53">"3287"</f>
        <v>3287</v>
      </c>
      <c r="E164" t="str">
        <f t="shared" si="50"/>
        <v>1</v>
      </c>
      <c r="F164" t="str">
        <f t="shared" si="46"/>
        <v>COM</v>
      </c>
      <c r="G164" t="str">
        <f t="shared" ref="G164:G176" si="54">"FARMÁCIA INDIANA LJ 30 (10127)"</f>
        <v>FARMÁCIA INDIANA LJ 30 (10127)</v>
      </c>
      <c r="H164" t="str">
        <f>"Serv.Prest. 18/08/2025 a 24/08/2025 - RPS: 1163 - NFSe: 3287"</f>
        <v>Serv.Prest. 18/08/2025 a 24/08/2025 - RPS: 1163 - NFSe: 3287</v>
      </c>
      <c r="I164" t="str">
        <f t="shared" si="52"/>
        <v>03/09/2025</v>
      </c>
      <c r="J164" t="str">
        <f t="shared" si="51"/>
        <v>25/08/2025</v>
      </c>
      <c r="K164" t="str">
        <f>("03/09/2025")</f>
        <v>03/09/2025</v>
      </c>
      <c r="L164">
        <v>24746.81</v>
      </c>
      <c r="M164">
        <v>24746.81</v>
      </c>
      <c r="N164">
        <v>303</v>
      </c>
      <c r="O164" t="str">
        <f>"RECEITAS COM ENTREGAS"</f>
        <v>RECEITAS COM ENTREGAS</v>
      </c>
      <c r="P164">
        <v>24746.81</v>
      </c>
      <c r="S164" t="str">
        <f>"RECEITAS COM ENTREGAS (303)"</f>
        <v>RECEITAS COM ENTREGAS (303)</v>
      </c>
      <c r="T164">
        <v>21842</v>
      </c>
      <c r="U164">
        <v>20943</v>
      </c>
      <c r="V164" t="s">
        <v>77</v>
      </c>
    </row>
    <row r="165" spans="1:22">
      <c r="A165" t="str">
        <f t="shared" si="47"/>
        <v>03/09/2025</v>
      </c>
      <c r="B165" t="str">
        <f t="shared" si="48"/>
        <v>ENTRADA</v>
      </c>
      <c r="C165" t="str">
        <f t="shared" si="49"/>
        <v>NFSE</v>
      </c>
      <c r="D165" t="str">
        <f t="shared" si="53"/>
        <v>3287</v>
      </c>
      <c r="E165" t="str">
        <f t="shared" si="50"/>
        <v>1</v>
      </c>
      <c r="F165" t="str">
        <f t="shared" si="46"/>
        <v>COM</v>
      </c>
      <c r="G165" t="str">
        <f t="shared" si="54"/>
        <v>FARMÁCIA INDIANA LJ 30 (10127)</v>
      </c>
      <c r="H165" t="s">
        <v>79</v>
      </c>
      <c r="I165" t="str">
        <f t="shared" si="52"/>
        <v>03/09/2025</v>
      </c>
      <c r="J165" t="str">
        <f t="shared" si="51"/>
        <v>25/08/2025</v>
      </c>
      <c r="K165">
        <v>45903</v>
      </c>
      <c r="N165">
        <v>303</v>
      </c>
      <c r="O165" t="s">
        <v>69</v>
      </c>
      <c r="Q165">
        <v>2714.72</v>
      </c>
      <c r="R165" t="str">
        <f>"FARMÁCIA INDIANA LJ 34 (10014)"</f>
        <v>FARMÁCIA INDIANA LJ 34 (10014)</v>
      </c>
      <c r="S165" t="s">
        <v>70</v>
      </c>
      <c r="T165">
        <v>21842</v>
      </c>
      <c r="U165">
        <v>20943</v>
      </c>
      <c r="V165" t="s">
        <v>77</v>
      </c>
    </row>
    <row r="166" spans="1:22">
      <c r="A166" t="str">
        <f t="shared" si="47"/>
        <v>03/09/2025</v>
      </c>
      <c r="B166" t="str">
        <f t="shared" si="48"/>
        <v>ENTRADA</v>
      </c>
      <c r="C166" t="str">
        <f t="shared" si="49"/>
        <v>NFSE</v>
      </c>
      <c r="D166" t="str">
        <f t="shared" si="53"/>
        <v>3287</v>
      </c>
      <c r="E166" t="str">
        <f t="shared" si="50"/>
        <v>1</v>
      </c>
      <c r="F166" t="str">
        <f t="shared" si="46"/>
        <v>COM</v>
      </c>
      <c r="G166" t="str">
        <f t="shared" si="54"/>
        <v>FARMÁCIA INDIANA LJ 30 (10127)</v>
      </c>
      <c r="H166" t="s">
        <v>79</v>
      </c>
      <c r="I166" t="str">
        <f t="shared" si="52"/>
        <v>03/09/2025</v>
      </c>
      <c r="J166" t="str">
        <f t="shared" si="51"/>
        <v>25/08/2025</v>
      </c>
      <c r="K166">
        <v>45903</v>
      </c>
      <c r="N166">
        <v>303</v>
      </c>
      <c r="O166" t="s">
        <v>69</v>
      </c>
      <c r="Q166">
        <v>1415.52</v>
      </c>
      <c r="R166" t="str">
        <f>"FARMÁCIA INDIANA LJ 35 (10015)"</f>
        <v>FARMÁCIA INDIANA LJ 35 (10015)</v>
      </c>
      <c r="S166" t="s">
        <v>70</v>
      </c>
      <c r="T166">
        <v>21842</v>
      </c>
      <c r="U166">
        <v>20943</v>
      </c>
      <c r="V166" t="s">
        <v>77</v>
      </c>
    </row>
    <row r="167" spans="1:22">
      <c r="A167" t="str">
        <f t="shared" si="47"/>
        <v>03/09/2025</v>
      </c>
      <c r="B167" t="str">
        <f t="shared" si="48"/>
        <v>ENTRADA</v>
      </c>
      <c r="C167" t="str">
        <f t="shared" si="49"/>
        <v>NFSE</v>
      </c>
      <c r="D167" t="str">
        <f t="shared" si="53"/>
        <v>3287</v>
      </c>
      <c r="E167" t="str">
        <f t="shared" si="50"/>
        <v>1</v>
      </c>
      <c r="F167" t="str">
        <f t="shared" si="46"/>
        <v>COM</v>
      </c>
      <c r="G167" t="str">
        <f t="shared" si="54"/>
        <v>FARMÁCIA INDIANA LJ 30 (10127)</v>
      </c>
      <c r="H167" t="s">
        <v>79</v>
      </c>
      <c r="I167" t="str">
        <f t="shared" si="52"/>
        <v>03/09/2025</v>
      </c>
      <c r="J167" t="str">
        <f t="shared" si="51"/>
        <v>25/08/2025</v>
      </c>
      <c r="K167">
        <v>45903</v>
      </c>
      <c r="N167">
        <v>303</v>
      </c>
      <c r="O167" t="s">
        <v>69</v>
      </c>
      <c r="Q167">
        <v>2318.7800000000002</v>
      </c>
      <c r="R167" t="str">
        <f>"FARMÁCIA INDIANA LJ 48 (10018)"</f>
        <v>FARMÁCIA INDIANA LJ 48 (10018)</v>
      </c>
      <c r="S167" t="s">
        <v>70</v>
      </c>
      <c r="T167">
        <v>21842</v>
      </c>
      <c r="U167">
        <v>20943</v>
      </c>
      <c r="V167" t="s">
        <v>77</v>
      </c>
    </row>
    <row r="168" spans="1:22">
      <c r="A168" t="str">
        <f t="shared" si="47"/>
        <v>03/09/2025</v>
      </c>
      <c r="B168" t="str">
        <f t="shared" si="48"/>
        <v>ENTRADA</v>
      </c>
      <c r="C168" t="str">
        <f t="shared" si="49"/>
        <v>NFSE</v>
      </c>
      <c r="D168" t="str">
        <f t="shared" si="53"/>
        <v>3287</v>
      </c>
      <c r="E168" t="str">
        <f t="shared" si="50"/>
        <v>1</v>
      </c>
      <c r="F168" t="str">
        <f t="shared" si="46"/>
        <v>COM</v>
      </c>
      <c r="G168" t="str">
        <f t="shared" si="54"/>
        <v>FARMÁCIA INDIANA LJ 30 (10127)</v>
      </c>
      <c r="H168" t="s">
        <v>79</v>
      </c>
      <c r="I168" t="str">
        <f t="shared" si="52"/>
        <v>03/09/2025</v>
      </c>
      <c r="J168" t="str">
        <f t="shared" si="51"/>
        <v>25/08/2025</v>
      </c>
      <c r="K168">
        <v>45903</v>
      </c>
      <c r="N168">
        <v>303</v>
      </c>
      <c r="O168" t="s">
        <v>69</v>
      </c>
      <c r="Q168">
        <v>3068.6</v>
      </c>
      <c r="R168" t="str">
        <f>"FARMÁCIA INDIANA LJ 65 (10030)"</f>
        <v>FARMÁCIA INDIANA LJ 65 (10030)</v>
      </c>
      <c r="S168" t="s">
        <v>70</v>
      </c>
      <c r="T168">
        <v>21842</v>
      </c>
      <c r="U168">
        <v>20943</v>
      </c>
      <c r="V168" t="s">
        <v>77</v>
      </c>
    </row>
    <row r="169" spans="1:22">
      <c r="A169" t="str">
        <f t="shared" si="47"/>
        <v>03/09/2025</v>
      </c>
      <c r="B169" t="str">
        <f t="shared" si="48"/>
        <v>ENTRADA</v>
      </c>
      <c r="C169" t="str">
        <f t="shared" si="49"/>
        <v>NFSE</v>
      </c>
      <c r="D169" t="str">
        <f t="shared" si="53"/>
        <v>3287</v>
      </c>
      <c r="E169" t="str">
        <f t="shared" si="50"/>
        <v>1</v>
      </c>
      <c r="F169" t="str">
        <f t="shared" si="46"/>
        <v>COM</v>
      </c>
      <c r="G169" t="str">
        <f t="shared" si="54"/>
        <v>FARMÁCIA INDIANA LJ 30 (10127)</v>
      </c>
      <c r="H169" t="s">
        <v>79</v>
      </c>
      <c r="I169" t="str">
        <f t="shared" si="52"/>
        <v>03/09/2025</v>
      </c>
      <c r="J169" t="str">
        <f t="shared" si="51"/>
        <v>25/08/2025</v>
      </c>
      <c r="K169">
        <v>45903</v>
      </c>
      <c r="N169">
        <v>303</v>
      </c>
      <c r="O169" t="s">
        <v>69</v>
      </c>
      <c r="Q169">
        <v>720.13</v>
      </c>
      <c r="R169" t="str">
        <f>"FARMÁCIA INDIANA LJ 77 (10034)"</f>
        <v>FARMÁCIA INDIANA LJ 77 (10034)</v>
      </c>
      <c r="S169" t="s">
        <v>70</v>
      </c>
      <c r="T169">
        <v>21842</v>
      </c>
      <c r="U169">
        <v>20943</v>
      </c>
      <c r="V169" t="s">
        <v>77</v>
      </c>
    </row>
    <row r="170" spans="1:22">
      <c r="A170" t="str">
        <f t="shared" si="47"/>
        <v>03/09/2025</v>
      </c>
      <c r="B170" t="str">
        <f t="shared" si="48"/>
        <v>ENTRADA</v>
      </c>
      <c r="C170" t="str">
        <f t="shared" si="49"/>
        <v>NFSE</v>
      </c>
      <c r="D170" t="str">
        <f t="shared" si="53"/>
        <v>3287</v>
      </c>
      <c r="E170" t="str">
        <f t="shared" si="50"/>
        <v>1</v>
      </c>
      <c r="F170" t="str">
        <f t="shared" si="46"/>
        <v>COM</v>
      </c>
      <c r="G170" t="str">
        <f t="shared" si="54"/>
        <v>FARMÁCIA INDIANA LJ 30 (10127)</v>
      </c>
      <c r="H170" t="s">
        <v>79</v>
      </c>
      <c r="I170" t="str">
        <f t="shared" si="52"/>
        <v>03/09/2025</v>
      </c>
      <c r="J170" t="str">
        <f t="shared" si="51"/>
        <v>25/08/2025</v>
      </c>
      <c r="K170">
        <v>45903</v>
      </c>
      <c r="N170">
        <v>303</v>
      </c>
      <c r="O170" t="s">
        <v>69</v>
      </c>
      <c r="Q170">
        <v>4939.46</v>
      </c>
      <c r="R170" t="str">
        <f>"FARMÁCIA INDIANA LJ 91 (10037)"</f>
        <v>FARMÁCIA INDIANA LJ 91 (10037)</v>
      </c>
      <c r="S170" t="s">
        <v>70</v>
      </c>
      <c r="T170">
        <v>21842</v>
      </c>
      <c r="U170">
        <v>20943</v>
      </c>
      <c r="V170" t="s">
        <v>77</v>
      </c>
    </row>
    <row r="171" spans="1:22">
      <c r="A171" t="str">
        <f t="shared" si="47"/>
        <v>03/09/2025</v>
      </c>
      <c r="B171" t="str">
        <f t="shared" si="48"/>
        <v>ENTRADA</v>
      </c>
      <c r="C171" t="str">
        <f t="shared" si="49"/>
        <v>NFSE</v>
      </c>
      <c r="D171" t="str">
        <f t="shared" si="53"/>
        <v>3287</v>
      </c>
      <c r="E171" t="str">
        <f t="shared" si="50"/>
        <v>1</v>
      </c>
      <c r="F171" t="str">
        <f t="shared" si="46"/>
        <v>COM</v>
      </c>
      <c r="G171" t="str">
        <f t="shared" si="54"/>
        <v>FARMÁCIA INDIANA LJ 30 (10127)</v>
      </c>
      <c r="H171" t="s">
        <v>79</v>
      </c>
      <c r="I171" t="str">
        <f t="shared" si="52"/>
        <v>03/09/2025</v>
      </c>
      <c r="J171" t="str">
        <f t="shared" si="51"/>
        <v>25/08/2025</v>
      </c>
      <c r="K171">
        <v>45903</v>
      </c>
      <c r="N171">
        <v>303</v>
      </c>
      <c r="O171" t="s">
        <v>69</v>
      </c>
      <c r="Q171">
        <v>1969.85</v>
      </c>
      <c r="R171" t="str">
        <f>"FARMÁCIA INDIANA LJ 95 (10039)"</f>
        <v>FARMÁCIA INDIANA LJ 95 (10039)</v>
      </c>
      <c r="S171" t="s">
        <v>70</v>
      </c>
      <c r="T171">
        <v>21842</v>
      </c>
      <c r="U171">
        <v>20943</v>
      </c>
      <c r="V171" t="s">
        <v>77</v>
      </c>
    </row>
    <row r="172" spans="1:22">
      <c r="A172" t="str">
        <f t="shared" si="47"/>
        <v>03/09/2025</v>
      </c>
      <c r="B172" t="str">
        <f t="shared" si="48"/>
        <v>ENTRADA</v>
      </c>
      <c r="C172" t="str">
        <f t="shared" si="49"/>
        <v>NFSE</v>
      </c>
      <c r="D172" t="str">
        <f t="shared" si="53"/>
        <v>3287</v>
      </c>
      <c r="E172" t="str">
        <f t="shared" si="50"/>
        <v>1</v>
      </c>
      <c r="F172" t="str">
        <f t="shared" si="46"/>
        <v>COM</v>
      </c>
      <c r="G172" t="str">
        <f t="shared" si="54"/>
        <v>FARMÁCIA INDIANA LJ 30 (10127)</v>
      </c>
      <c r="H172" t="s">
        <v>79</v>
      </c>
      <c r="I172" t="str">
        <f t="shared" si="52"/>
        <v>03/09/2025</v>
      </c>
      <c r="J172" t="str">
        <f t="shared" si="51"/>
        <v>25/08/2025</v>
      </c>
      <c r="K172">
        <v>45903</v>
      </c>
      <c r="N172">
        <v>303</v>
      </c>
      <c r="O172" t="s">
        <v>69</v>
      </c>
      <c r="Q172">
        <v>2526.65</v>
      </c>
      <c r="R172" t="str">
        <f>"FARMÁCIA INDIANA LJ 145 (10068)"</f>
        <v>FARMÁCIA INDIANA LJ 145 (10068)</v>
      </c>
      <c r="S172" t="s">
        <v>70</v>
      </c>
      <c r="T172">
        <v>21842</v>
      </c>
      <c r="U172">
        <v>20943</v>
      </c>
      <c r="V172" t="s">
        <v>77</v>
      </c>
    </row>
    <row r="173" spans="1:22">
      <c r="A173" t="str">
        <f t="shared" si="47"/>
        <v>03/09/2025</v>
      </c>
      <c r="B173" t="str">
        <f t="shared" si="48"/>
        <v>ENTRADA</v>
      </c>
      <c r="C173" t="str">
        <f t="shared" si="49"/>
        <v>NFSE</v>
      </c>
      <c r="D173" t="str">
        <f t="shared" si="53"/>
        <v>3287</v>
      </c>
      <c r="E173" t="str">
        <f t="shared" si="50"/>
        <v>1</v>
      </c>
      <c r="F173" t="str">
        <f t="shared" si="46"/>
        <v>COM</v>
      </c>
      <c r="G173" t="str">
        <f t="shared" si="54"/>
        <v>FARMÁCIA INDIANA LJ 30 (10127)</v>
      </c>
      <c r="H173" t="s">
        <v>79</v>
      </c>
      <c r="I173" t="str">
        <f t="shared" si="52"/>
        <v>03/09/2025</v>
      </c>
      <c r="J173" t="str">
        <f t="shared" si="51"/>
        <v>25/08/2025</v>
      </c>
      <c r="K173">
        <v>45903</v>
      </c>
      <c r="N173">
        <v>303</v>
      </c>
      <c r="O173" t="s">
        <v>69</v>
      </c>
      <c r="Q173">
        <v>960.18</v>
      </c>
      <c r="R173" t="str">
        <f>"FARMÁCIA INDIANA LJ 169 (10073)"</f>
        <v>FARMÁCIA INDIANA LJ 169 (10073)</v>
      </c>
      <c r="S173" t="s">
        <v>70</v>
      </c>
      <c r="T173">
        <v>21842</v>
      </c>
      <c r="U173">
        <v>20943</v>
      </c>
      <c r="V173" t="s">
        <v>77</v>
      </c>
    </row>
    <row r="174" spans="1:22">
      <c r="A174" t="str">
        <f t="shared" si="47"/>
        <v>03/09/2025</v>
      </c>
      <c r="B174" t="str">
        <f t="shared" si="48"/>
        <v>ENTRADA</v>
      </c>
      <c r="C174" t="str">
        <f t="shared" si="49"/>
        <v>NFSE</v>
      </c>
      <c r="D174" t="str">
        <f t="shared" si="53"/>
        <v>3287</v>
      </c>
      <c r="E174" t="str">
        <f t="shared" si="50"/>
        <v>1</v>
      </c>
      <c r="F174" t="str">
        <f t="shared" si="46"/>
        <v>COM</v>
      </c>
      <c r="G174" t="str">
        <f t="shared" si="54"/>
        <v>FARMÁCIA INDIANA LJ 30 (10127)</v>
      </c>
      <c r="H174" t="s">
        <v>79</v>
      </c>
      <c r="I174" t="str">
        <f t="shared" si="52"/>
        <v>03/09/2025</v>
      </c>
      <c r="J174" t="str">
        <f t="shared" si="51"/>
        <v>25/08/2025</v>
      </c>
      <c r="K174">
        <v>45903</v>
      </c>
      <c r="N174">
        <v>303</v>
      </c>
      <c r="O174" t="s">
        <v>69</v>
      </c>
      <c r="Q174">
        <v>1534.3</v>
      </c>
      <c r="R174" t="str">
        <f>"FARMÁCIA INDIANA LJ 173 (10075)"</f>
        <v>FARMÁCIA INDIANA LJ 173 (10075)</v>
      </c>
      <c r="S174" t="s">
        <v>70</v>
      </c>
      <c r="T174">
        <v>21842</v>
      </c>
      <c r="U174">
        <v>20943</v>
      </c>
      <c r="V174" t="s">
        <v>77</v>
      </c>
    </row>
    <row r="175" spans="1:22">
      <c r="A175" t="str">
        <f t="shared" si="47"/>
        <v>03/09/2025</v>
      </c>
      <c r="B175" t="str">
        <f t="shared" si="48"/>
        <v>ENTRADA</v>
      </c>
      <c r="C175" t="str">
        <f t="shared" si="49"/>
        <v>NFSE</v>
      </c>
      <c r="D175" t="str">
        <f t="shared" si="53"/>
        <v>3287</v>
      </c>
      <c r="E175" t="str">
        <f t="shared" si="50"/>
        <v>1</v>
      </c>
      <c r="F175" t="str">
        <f t="shared" si="46"/>
        <v>COM</v>
      </c>
      <c r="G175" t="str">
        <f t="shared" si="54"/>
        <v>FARMÁCIA INDIANA LJ 30 (10127)</v>
      </c>
      <c r="H175" t="s">
        <v>79</v>
      </c>
      <c r="I175" t="str">
        <f t="shared" si="52"/>
        <v>03/09/2025</v>
      </c>
      <c r="J175" t="str">
        <f t="shared" si="51"/>
        <v>25/08/2025</v>
      </c>
      <c r="K175">
        <v>45903</v>
      </c>
      <c r="N175">
        <v>303</v>
      </c>
      <c r="O175" t="s">
        <v>69</v>
      </c>
      <c r="Q175">
        <v>960.18</v>
      </c>
      <c r="R175" t="str">
        <f>"FARMÁCIA INDIANA LJ 200 (10155)"</f>
        <v>FARMÁCIA INDIANA LJ 200 (10155)</v>
      </c>
      <c r="S175" t="s">
        <v>70</v>
      </c>
      <c r="T175">
        <v>21842</v>
      </c>
      <c r="U175">
        <v>20943</v>
      </c>
      <c r="V175" t="s">
        <v>77</v>
      </c>
    </row>
    <row r="176" spans="1:22">
      <c r="A176" t="str">
        <f t="shared" si="47"/>
        <v>03/09/2025</v>
      </c>
      <c r="B176" t="str">
        <f t="shared" si="48"/>
        <v>ENTRADA</v>
      </c>
      <c r="C176" t="str">
        <f t="shared" si="49"/>
        <v>NFSE</v>
      </c>
      <c r="D176" t="str">
        <f t="shared" si="53"/>
        <v>3287</v>
      </c>
      <c r="E176" t="str">
        <f t="shared" si="50"/>
        <v>1</v>
      </c>
      <c r="F176" t="str">
        <f t="shared" si="46"/>
        <v>COM</v>
      </c>
      <c r="G176" t="str">
        <f t="shared" si="54"/>
        <v>FARMÁCIA INDIANA LJ 30 (10127)</v>
      </c>
      <c r="H176" t="s">
        <v>79</v>
      </c>
      <c r="I176" t="str">
        <f t="shared" si="52"/>
        <v>03/09/2025</v>
      </c>
      <c r="J176" t="str">
        <f t="shared" si="51"/>
        <v>25/08/2025</v>
      </c>
      <c r="K176">
        <v>45903</v>
      </c>
      <c r="N176">
        <v>303</v>
      </c>
      <c r="O176" t="s">
        <v>69</v>
      </c>
      <c r="Q176">
        <v>1618.44</v>
      </c>
      <c r="R176" t="str">
        <f>"FARMÁCIA INDIANA LJ 33 (10187)"</f>
        <v>FARMÁCIA INDIANA LJ 33 (10187)</v>
      </c>
      <c r="S176" t="s">
        <v>70</v>
      </c>
      <c r="T176">
        <v>21842</v>
      </c>
      <c r="U176">
        <v>20943</v>
      </c>
      <c r="V176" t="s">
        <v>77</v>
      </c>
    </row>
    <row r="177" spans="1:22">
      <c r="A177" t="str">
        <f t="shared" si="47"/>
        <v>03/09/2025</v>
      </c>
      <c r="B177" t="str">
        <f t="shared" si="48"/>
        <v>ENTRADA</v>
      </c>
      <c r="C177" t="str">
        <f t="shared" si="49"/>
        <v>NFSE</v>
      </c>
      <c r="D177" t="str">
        <f t="shared" ref="D177:D185" si="55">"3288"</f>
        <v>3288</v>
      </c>
      <c r="E177" t="str">
        <f t="shared" si="50"/>
        <v>1</v>
      </c>
      <c r="F177" t="str">
        <f t="shared" si="46"/>
        <v>COM</v>
      </c>
      <c r="G177" t="str">
        <f t="shared" ref="G177:G185" si="56">"FARMÁCIA INDIANA LJ 85 (10128)"</f>
        <v>FARMÁCIA INDIANA LJ 85 (10128)</v>
      </c>
      <c r="H177" t="str">
        <f>"Serv.Prest. 18/08/2025 a 24/08/2025 - RPS: 1164 - NFSe: 3288"</f>
        <v>Serv.Prest. 18/08/2025 a 24/08/2025 - RPS: 1164 - NFSe: 3288</v>
      </c>
      <c r="I177" t="str">
        <f t="shared" si="52"/>
        <v>03/09/2025</v>
      </c>
      <c r="J177" t="str">
        <f t="shared" si="51"/>
        <v>25/08/2025</v>
      </c>
      <c r="K177" t="str">
        <f>("03/09/2025")</f>
        <v>03/09/2025</v>
      </c>
      <c r="L177">
        <v>8435.4500000000007</v>
      </c>
      <c r="M177">
        <v>8435.4500000000007</v>
      </c>
      <c r="N177">
        <v>303</v>
      </c>
      <c r="O177" t="str">
        <f>"RECEITAS COM ENTREGAS"</f>
        <v>RECEITAS COM ENTREGAS</v>
      </c>
      <c r="P177">
        <v>8435.4500000000007</v>
      </c>
      <c r="S177" t="str">
        <f>"RECEITAS COM ENTREGAS (303)"</f>
        <v>RECEITAS COM ENTREGAS (303)</v>
      </c>
      <c r="T177">
        <v>21843</v>
      </c>
      <c r="U177">
        <v>20970</v>
      </c>
      <c r="V177" t="s">
        <v>77</v>
      </c>
    </row>
    <row r="178" spans="1:22">
      <c r="A178" t="str">
        <f t="shared" ref="A178:A185" si="57">("03/09/2025")</f>
        <v>03/09/2025</v>
      </c>
      <c r="B178" t="str">
        <f t="shared" si="48"/>
        <v>ENTRADA</v>
      </c>
      <c r="C178" t="str">
        <f t="shared" si="49"/>
        <v>NFSE</v>
      </c>
      <c r="D178" t="str">
        <f t="shared" si="55"/>
        <v>3288</v>
      </c>
      <c r="E178" t="str">
        <f t="shared" si="50"/>
        <v>1</v>
      </c>
      <c r="F178" t="str">
        <f t="shared" si="46"/>
        <v>COM</v>
      </c>
      <c r="G178" t="str">
        <f t="shared" si="56"/>
        <v>FARMÁCIA INDIANA LJ 85 (10128)</v>
      </c>
      <c r="H178" t="s">
        <v>80</v>
      </c>
      <c r="I178" t="str">
        <f t="shared" si="52"/>
        <v>03/09/2025</v>
      </c>
      <c r="J178" t="str">
        <f t="shared" si="51"/>
        <v>25/08/2025</v>
      </c>
      <c r="K178">
        <v>45903</v>
      </c>
      <c r="N178">
        <v>303</v>
      </c>
      <c r="O178" t="s">
        <v>69</v>
      </c>
      <c r="Q178">
        <v>906.81</v>
      </c>
      <c r="R178" t="str">
        <f>"FARMÁCIA INDIANA LJ 119 (10053)"</f>
        <v>FARMÁCIA INDIANA LJ 119 (10053)</v>
      </c>
      <c r="S178" t="s">
        <v>70</v>
      </c>
      <c r="T178">
        <v>21843</v>
      </c>
      <c r="U178">
        <v>20970</v>
      </c>
      <c r="V178" t="s">
        <v>77</v>
      </c>
    </row>
    <row r="179" spans="1:22">
      <c r="A179" t="str">
        <f t="shared" si="57"/>
        <v>03/09/2025</v>
      </c>
      <c r="B179" t="str">
        <f t="shared" si="48"/>
        <v>ENTRADA</v>
      </c>
      <c r="C179" t="str">
        <f t="shared" si="49"/>
        <v>NFSE</v>
      </c>
      <c r="D179" t="str">
        <f t="shared" si="55"/>
        <v>3288</v>
      </c>
      <c r="E179" t="str">
        <f t="shared" si="50"/>
        <v>1</v>
      </c>
      <c r="F179" t="str">
        <f t="shared" si="46"/>
        <v>COM</v>
      </c>
      <c r="G179" t="str">
        <f t="shared" si="56"/>
        <v>FARMÁCIA INDIANA LJ 85 (10128)</v>
      </c>
      <c r="H179" t="s">
        <v>80</v>
      </c>
      <c r="I179" t="str">
        <f t="shared" si="52"/>
        <v>03/09/2025</v>
      </c>
      <c r="J179" t="str">
        <f t="shared" si="51"/>
        <v>25/08/2025</v>
      </c>
      <c r="K179">
        <v>45903</v>
      </c>
      <c r="N179">
        <v>303</v>
      </c>
      <c r="O179" t="s">
        <v>69</v>
      </c>
      <c r="Q179">
        <v>2303.7199999999998</v>
      </c>
      <c r="R179" t="str">
        <f>"FARMÁCIA INDIANA LJ 163 (10072)"</f>
        <v>FARMÁCIA INDIANA LJ 163 (10072)</v>
      </c>
      <c r="S179" t="s">
        <v>70</v>
      </c>
      <c r="T179">
        <v>21843</v>
      </c>
      <c r="U179">
        <v>20970</v>
      </c>
      <c r="V179" t="s">
        <v>77</v>
      </c>
    </row>
    <row r="180" spans="1:22">
      <c r="A180" t="str">
        <f t="shared" si="57"/>
        <v>03/09/2025</v>
      </c>
      <c r="B180" t="str">
        <f t="shared" ref="B180:B185" si="58">"ENTRADA"</f>
        <v>ENTRADA</v>
      </c>
      <c r="C180" t="str">
        <f t="shared" ref="C180:C185" si="59">"NFSE"</f>
        <v>NFSE</v>
      </c>
      <c r="D180" t="str">
        <f t="shared" si="55"/>
        <v>3288</v>
      </c>
      <c r="E180" t="str">
        <f t="shared" ref="E180:E187" si="60">"1"</f>
        <v>1</v>
      </c>
      <c r="F180" t="str">
        <f t="shared" si="46"/>
        <v>COM</v>
      </c>
      <c r="G180" t="str">
        <f t="shared" si="56"/>
        <v>FARMÁCIA INDIANA LJ 85 (10128)</v>
      </c>
      <c r="H180" t="s">
        <v>80</v>
      </c>
      <c r="I180" t="str">
        <f t="shared" si="52"/>
        <v>03/09/2025</v>
      </c>
      <c r="J180" t="str">
        <f t="shared" ref="J180:J185" si="61">("25/08/2025")</f>
        <v>25/08/2025</v>
      </c>
      <c r="K180">
        <v>45903</v>
      </c>
      <c r="N180">
        <v>303</v>
      </c>
      <c r="O180" t="s">
        <v>69</v>
      </c>
      <c r="Q180">
        <v>1208.8</v>
      </c>
      <c r="R180" t="str">
        <f>"FARMÁCIA INDIANA LJ 181 (10078)"</f>
        <v>FARMÁCIA INDIANA LJ 181 (10078)</v>
      </c>
      <c r="S180" t="s">
        <v>70</v>
      </c>
      <c r="T180">
        <v>21843</v>
      </c>
      <c r="U180">
        <v>20970</v>
      </c>
      <c r="V180" t="s">
        <v>77</v>
      </c>
    </row>
    <row r="181" spans="1:22">
      <c r="A181" t="str">
        <f t="shared" si="57"/>
        <v>03/09/2025</v>
      </c>
      <c r="B181" t="str">
        <f t="shared" si="58"/>
        <v>ENTRADA</v>
      </c>
      <c r="C181" t="str">
        <f t="shared" si="59"/>
        <v>NFSE</v>
      </c>
      <c r="D181" t="str">
        <f t="shared" si="55"/>
        <v>3288</v>
      </c>
      <c r="E181" t="str">
        <f t="shared" si="60"/>
        <v>1</v>
      </c>
      <c r="F181" t="str">
        <f t="shared" si="46"/>
        <v>COM</v>
      </c>
      <c r="G181" t="str">
        <f t="shared" si="56"/>
        <v>FARMÁCIA INDIANA LJ 85 (10128)</v>
      </c>
      <c r="H181" t="s">
        <v>80</v>
      </c>
      <c r="I181" t="str">
        <f t="shared" si="52"/>
        <v>03/09/2025</v>
      </c>
      <c r="J181" t="str">
        <f t="shared" si="61"/>
        <v>25/08/2025</v>
      </c>
      <c r="K181">
        <v>45903</v>
      </c>
      <c r="N181">
        <v>303</v>
      </c>
      <c r="O181" t="s">
        <v>69</v>
      </c>
      <c r="Q181">
        <v>905.12</v>
      </c>
      <c r="R181" t="str">
        <f>"FARMÁCIA INDIANA LJ 221 (10093)"</f>
        <v>FARMÁCIA INDIANA LJ 221 (10093)</v>
      </c>
      <c r="S181" t="s">
        <v>70</v>
      </c>
      <c r="T181">
        <v>21843</v>
      </c>
      <c r="U181">
        <v>20970</v>
      </c>
      <c r="V181" t="s">
        <v>77</v>
      </c>
    </row>
    <row r="182" spans="1:22">
      <c r="A182" t="str">
        <f t="shared" si="57"/>
        <v>03/09/2025</v>
      </c>
      <c r="B182" t="str">
        <f t="shared" si="58"/>
        <v>ENTRADA</v>
      </c>
      <c r="C182" t="str">
        <f t="shared" si="59"/>
        <v>NFSE</v>
      </c>
      <c r="D182" t="str">
        <f t="shared" si="55"/>
        <v>3288</v>
      </c>
      <c r="E182" t="str">
        <f t="shared" si="60"/>
        <v>1</v>
      </c>
      <c r="F182" t="str">
        <f t="shared" si="46"/>
        <v>COM</v>
      </c>
      <c r="G182" t="str">
        <f t="shared" si="56"/>
        <v>FARMÁCIA INDIANA LJ 85 (10128)</v>
      </c>
      <c r="H182" t="s">
        <v>80</v>
      </c>
      <c r="I182" t="str">
        <f t="shared" si="52"/>
        <v>03/09/2025</v>
      </c>
      <c r="J182" t="str">
        <f t="shared" si="61"/>
        <v>25/08/2025</v>
      </c>
      <c r="K182">
        <v>45903</v>
      </c>
      <c r="N182">
        <v>303</v>
      </c>
      <c r="O182" t="s">
        <v>69</v>
      </c>
      <c r="Q182">
        <v>1180.1199999999999</v>
      </c>
      <c r="R182" t="str">
        <f>"FARMÁCIA INDIANA LJ 243 (10142)"</f>
        <v>FARMÁCIA INDIANA LJ 243 (10142)</v>
      </c>
      <c r="S182" t="s">
        <v>70</v>
      </c>
      <c r="T182">
        <v>21843</v>
      </c>
      <c r="U182">
        <v>20970</v>
      </c>
      <c r="V182" t="s">
        <v>77</v>
      </c>
    </row>
    <row r="183" spans="1:22">
      <c r="A183" t="str">
        <f t="shared" si="57"/>
        <v>03/09/2025</v>
      </c>
      <c r="B183" t="str">
        <f t="shared" si="58"/>
        <v>ENTRADA</v>
      </c>
      <c r="C183" t="str">
        <f t="shared" si="59"/>
        <v>NFSE</v>
      </c>
      <c r="D183" t="str">
        <f t="shared" si="55"/>
        <v>3288</v>
      </c>
      <c r="E183" t="str">
        <f t="shared" si="60"/>
        <v>1</v>
      </c>
      <c r="F183" t="str">
        <f t="shared" si="46"/>
        <v>COM</v>
      </c>
      <c r="G183" t="str">
        <f t="shared" si="56"/>
        <v>FARMÁCIA INDIANA LJ 85 (10128)</v>
      </c>
      <c r="H183" t="s">
        <v>80</v>
      </c>
      <c r="I183" t="str">
        <f t="shared" si="52"/>
        <v>03/09/2025</v>
      </c>
      <c r="J183" t="str">
        <f t="shared" si="61"/>
        <v>25/08/2025</v>
      </c>
      <c r="K183">
        <v>45903</v>
      </c>
      <c r="N183">
        <v>303</v>
      </c>
      <c r="O183" t="s">
        <v>69</v>
      </c>
      <c r="Q183">
        <v>482.51</v>
      </c>
      <c r="R183" t="str">
        <f>"FARMÁCIA INDIANA LJ 211 (10168)"</f>
        <v>FARMÁCIA INDIANA LJ 211 (10168)</v>
      </c>
      <c r="S183" t="s">
        <v>70</v>
      </c>
      <c r="T183">
        <v>21843</v>
      </c>
      <c r="U183">
        <v>20970</v>
      </c>
      <c r="V183" t="s">
        <v>77</v>
      </c>
    </row>
    <row r="184" spans="1:22">
      <c r="A184" t="str">
        <f t="shared" si="57"/>
        <v>03/09/2025</v>
      </c>
      <c r="B184" t="str">
        <f t="shared" si="58"/>
        <v>ENTRADA</v>
      </c>
      <c r="C184" t="str">
        <f t="shared" si="59"/>
        <v>NFSE</v>
      </c>
      <c r="D184" t="str">
        <f t="shared" si="55"/>
        <v>3288</v>
      </c>
      <c r="E184" t="str">
        <f t="shared" si="60"/>
        <v>1</v>
      </c>
      <c r="F184" t="str">
        <f t="shared" si="46"/>
        <v>COM</v>
      </c>
      <c r="G184" t="str">
        <f t="shared" si="56"/>
        <v>FARMÁCIA INDIANA LJ 85 (10128)</v>
      </c>
      <c r="H184" t="s">
        <v>80</v>
      </c>
      <c r="I184" t="str">
        <f t="shared" si="52"/>
        <v>03/09/2025</v>
      </c>
      <c r="J184" t="str">
        <f t="shared" si="61"/>
        <v>25/08/2025</v>
      </c>
      <c r="K184">
        <v>45903</v>
      </c>
      <c r="N184">
        <v>303</v>
      </c>
      <c r="O184" t="s">
        <v>69</v>
      </c>
      <c r="Q184">
        <v>482.51</v>
      </c>
      <c r="R184" t="str">
        <f>"FARMÁCIA INDIANA LJ 236 (10169)"</f>
        <v>FARMÁCIA INDIANA LJ 236 (10169)</v>
      </c>
      <c r="S184" t="s">
        <v>70</v>
      </c>
      <c r="T184">
        <v>21843</v>
      </c>
      <c r="U184">
        <v>20970</v>
      </c>
      <c r="V184" t="s">
        <v>77</v>
      </c>
    </row>
    <row r="185" spans="1:22">
      <c r="A185" t="str">
        <f t="shared" si="57"/>
        <v>03/09/2025</v>
      </c>
      <c r="B185" t="str">
        <f t="shared" si="58"/>
        <v>ENTRADA</v>
      </c>
      <c r="C185" t="str">
        <f t="shared" si="59"/>
        <v>NFSE</v>
      </c>
      <c r="D185" t="str">
        <f t="shared" si="55"/>
        <v>3288</v>
      </c>
      <c r="E185" t="str">
        <f t="shared" si="60"/>
        <v>1</v>
      </c>
      <c r="F185" t="str">
        <f t="shared" si="46"/>
        <v>COM</v>
      </c>
      <c r="G185" t="str">
        <f t="shared" si="56"/>
        <v>FARMÁCIA INDIANA LJ 85 (10128)</v>
      </c>
      <c r="H185" t="s">
        <v>80</v>
      </c>
      <c r="I185" t="str">
        <f t="shared" si="52"/>
        <v>03/09/2025</v>
      </c>
      <c r="J185" t="str">
        <f t="shared" si="61"/>
        <v>25/08/2025</v>
      </c>
      <c r="K185">
        <v>45903</v>
      </c>
      <c r="N185">
        <v>303</v>
      </c>
      <c r="O185" t="s">
        <v>69</v>
      </c>
      <c r="Q185">
        <v>965.86</v>
      </c>
      <c r="R185" t="str">
        <f>"FARMÁCIA INDIANA LJ 188 (10176)"</f>
        <v>FARMÁCIA INDIANA LJ 188 (10176)</v>
      </c>
      <c r="S185" t="s">
        <v>70</v>
      </c>
      <c r="T185">
        <v>21843</v>
      </c>
      <c r="U185">
        <v>20970</v>
      </c>
      <c r="V185" t="s">
        <v>77</v>
      </c>
    </row>
    <row r="186" spans="1:22">
      <c r="A186" t="str">
        <f t="shared" ref="A186:A249" si="62">("04/09/2025")</f>
        <v>04/09/2025</v>
      </c>
      <c r="B186" t="str">
        <f>"SAÍDA"</f>
        <v>SAÍDA</v>
      </c>
      <c r="C186" t="str">
        <f t="shared" ref="C186:C200" si="63">"PIX"</f>
        <v>PIX</v>
      </c>
      <c r="D186" t="str">
        <f>"21142"</f>
        <v>21142</v>
      </c>
      <c r="E186" t="str">
        <f t="shared" si="60"/>
        <v>1</v>
      </c>
      <c r="F186" t="str">
        <f t="shared" si="46"/>
        <v>COM</v>
      </c>
      <c r="G186" t="str">
        <f>"GILSON OLIVEIRA CAMPINHO JUNIOR (132)"</f>
        <v>GILSON OLIVEIRA CAMPINHO JUNIOR (132)</v>
      </c>
      <c r="H186" t="str">
        <f>"Serv.Prest. 25/08/2025 a 31/08/2025 - PIX: CELULAR - CHAVE: (73) 988381077"</f>
        <v>Serv.Prest. 25/08/2025 a 31/08/2025 - PIX: CELULAR - CHAVE: (73) 988381077</v>
      </c>
      <c r="I186" t="str">
        <f>("11/09/2025")</f>
        <v>11/09/2025</v>
      </c>
      <c r="J186" t="str">
        <f>("02/09/2025")</f>
        <v>02/09/2025</v>
      </c>
      <c r="K186" t="str">
        <f>("04/09/2025")</f>
        <v>04/09/2025</v>
      </c>
      <c r="L186">
        <v>672</v>
      </c>
      <c r="M186">
        <v>672</v>
      </c>
      <c r="N186">
        <v>109</v>
      </c>
      <c r="O186" t="str">
        <f>"PAGAMENTO DE ENTREGADORES"</f>
        <v>PAGAMENTO DE ENTREGADORES</v>
      </c>
      <c r="P186">
        <v>672</v>
      </c>
      <c r="S186" t="str">
        <f>"BANCO CORA (102)"</f>
        <v>BANCO CORA (102)</v>
      </c>
      <c r="T186">
        <v>17462</v>
      </c>
      <c r="U186">
        <v>21142</v>
      </c>
      <c r="V186" t="s">
        <v>22</v>
      </c>
    </row>
    <row r="187" spans="1:22">
      <c r="A187" t="str">
        <f t="shared" si="62"/>
        <v>04/09/2025</v>
      </c>
      <c r="B187" t="str">
        <f>"SAÍDA"</f>
        <v>SAÍDA</v>
      </c>
      <c r="C187" t="str">
        <f t="shared" si="63"/>
        <v>PIX</v>
      </c>
      <c r="D187" t="str">
        <f>"21142"</f>
        <v>21142</v>
      </c>
      <c r="E187" t="str">
        <f t="shared" si="60"/>
        <v>1</v>
      </c>
      <c r="F187" t="str">
        <f t="shared" si="46"/>
        <v>COM</v>
      </c>
      <c r="G187" t="str">
        <f>"GILSON OLIVEIRA CAMPINHO JUNIOR (132)"</f>
        <v>GILSON OLIVEIRA CAMPINHO JUNIOR (132)</v>
      </c>
      <c r="H187" t="s">
        <v>81</v>
      </c>
      <c r="I187" t="str">
        <f>("11/09/2025")</f>
        <v>11/09/2025</v>
      </c>
      <c r="J187" t="str">
        <f>("02/09/2025")</f>
        <v>02/09/2025</v>
      </c>
      <c r="K187">
        <v>45904</v>
      </c>
      <c r="N187">
        <v>109</v>
      </c>
      <c r="O187" t="s">
        <v>24</v>
      </c>
      <c r="Q187">
        <v>672</v>
      </c>
      <c r="R187" t="str">
        <f>"FARMÁCIA INDIANA LJ 91 (10037)"</f>
        <v>FARMÁCIA INDIANA LJ 91 (10037)</v>
      </c>
      <c r="S187" t="s">
        <v>22</v>
      </c>
      <c r="T187">
        <v>17462</v>
      </c>
      <c r="U187">
        <v>21142</v>
      </c>
      <c r="V187" t="s">
        <v>22</v>
      </c>
    </row>
    <row r="188" spans="1:22">
      <c r="A188" t="str">
        <f t="shared" si="62"/>
        <v>04/09/2025</v>
      </c>
      <c r="B188" t="str">
        <f>"SAÍDA"</f>
        <v>SAÍDA</v>
      </c>
      <c r="C188" t="str">
        <f t="shared" si="63"/>
        <v>PIX</v>
      </c>
      <c r="D188" t="str">
        <f>"20897"</f>
        <v>20897</v>
      </c>
      <c r="E188" t="str">
        <f>"2"</f>
        <v>2</v>
      </c>
      <c r="F188" t="str">
        <f t="shared" si="46"/>
        <v>COM</v>
      </c>
      <c r="G188" t="str">
        <f>"LUIZ FERNANDO CARVALHO ALVES (198)"</f>
        <v>LUIZ FERNANDO CARVALHO ALVES (198)</v>
      </c>
      <c r="H188" t="str">
        <f>"Complemento Serv.Prest. 18/08/2025 a 24/08/2025 - PIX: CPF - CHAVE: 705.097.186-39"</f>
        <v>Complemento Serv.Prest. 18/08/2025 a 24/08/2025 - PIX: CPF - CHAVE: 705.097.186-39</v>
      </c>
      <c r="I188" t="str">
        <f>("04/09/2025")</f>
        <v>04/09/2025</v>
      </c>
      <c r="J188" t="str">
        <f>("25/08/2025")</f>
        <v>25/08/2025</v>
      </c>
      <c r="K188" t="str">
        <f>("04/09/2025")</f>
        <v>04/09/2025</v>
      </c>
      <c r="L188">
        <v>101.88</v>
      </c>
      <c r="M188">
        <v>101.88</v>
      </c>
      <c r="N188">
        <v>109</v>
      </c>
      <c r="O188" t="str">
        <f>"PAGAMENTO DE ENTREGADORES"</f>
        <v>PAGAMENTO DE ENTREGADORES</v>
      </c>
      <c r="P188">
        <v>101.88</v>
      </c>
      <c r="S188" t="str">
        <f>"BANCO CORA (102)"</f>
        <v>BANCO CORA (102)</v>
      </c>
      <c r="T188">
        <v>17463</v>
      </c>
      <c r="U188">
        <v>21359</v>
      </c>
      <c r="V188" t="s">
        <v>22</v>
      </c>
    </row>
    <row r="189" spans="1:22">
      <c r="A189" t="str">
        <f t="shared" si="62"/>
        <v>04/09/2025</v>
      </c>
      <c r="B189" t="str">
        <f>"SAÍDA"</f>
        <v>SAÍDA</v>
      </c>
      <c r="C189" t="str">
        <f t="shared" si="63"/>
        <v>PIX</v>
      </c>
      <c r="D189" t="str">
        <f>"20897"</f>
        <v>20897</v>
      </c>
      <c r="E189" t="str">
        <f>"2"</f>
        <v>2</v>
      </c>
      <c r="F189" t="str">
        <f t="shared" si="46"/>
        <v>COM</v>
      </c>
      <c r="G189" t="str">
        <f>"LUIZ FERNANDO CARVALHO ALVES (198)"</f>
        <v>LUIZ FERNANDO CARVALHO ALVES (198)</v>
      </c>
      <c r="H189" t="s">
        <v>82</v>
      </c>
      <c r="I189" t="str">
        <f>("04/09/2025")</f>
        <v>04/09/2025</v>
      </c>
      <c r="J189" t="str">
        <f>("25/08/2025")</f>
        <v>25/08/2025</v>
      </c>
      <c r="K189">
        <v>45904</v>
      </c>
      <c r="N189">
        <v>109</v>
      </c>
      <c r="O189" t="s">
        <v>24</v>
      </c>
      <c r="Q189">
        <v>101.88</v>
      </c>
      <c r="R189" t="str">
        <f>"FARMÁCIA INDIANA LJ 171 (10074)"</f>
        <v>FARMÁCIA INDIANA LJ 171 (10074)</v>
      </c>
      <c r="S189" t="s">
        <v>22</v>
      </c>
      <c r="T189">
        <v>17463</v>
      </c>
      <c r="U189">
        <v>21359</v>
      </c>
      <c r="V189" t="s">
        <v>22</v>
      </c>
    </row>
    <row r="190" spans="1:22">
      <c r="A190" t="str">
        <f t="shared" si="62"/>
        <v>04/09/2025</v>
      </c>
      <c r="B190" t="str">
        <f>"ENTRADA"</f>
        <v>ENTRADA</v>
      </c>
      <c r="C190" t="str">
        <f t="shared" si="63"/>
        <v>PIX</v>
      </c>
      <c r="D190" t="str">
        <f>"21237"</f>
        <v>21237</v>
      </c>
      <c r="E190" t="str">
        <f>"1"</f>
        <v>1</v>
      </c>
      <c r="F190" t="str">
        <f t="shared" si="46"/>
        <v>COM</v>
      </c>
      <c r="G190" t="str">
        <f>"MATHEUS ALMEIDA RAMOS (47)"</f>
        <v>MATHEUS ALMEIDA RAMOS (47)</v>
      </c>
      <c r="H190" t="str">
        <f>"DESC DE BAG, UNIFORME, PLANOS Serv.Prest. 25/08/2025 a 31/08/2025 - PIX: CELULAR - CHAVE: (33) 98884-1637"</f>
        <v>DESC DE BAG, UNIFORME, PLANOS Serv.Prest. 25/08/2025 a 31/08/2025 - PIX: CELULAR - CHAVE: (33) 98884-1637</v>
      </c>
      <c r="I190" t="str">
        <f>("11/09/2025")</f>
        <v>11/09/2025</v>
      </c>
      <c r="J190" t="str">
        <f>("02/09/2025")</f>
        <v>02/09/2025</v>
      </c>
      <c r="K190" t="str">
        <f>("04/09/2025")</f>
        <v>04/09/2025</v>
      </c>
      <c r="N190">
        <v>108</v>
      </c>
      <c r="O190" t="str">
        <f>"RECEITAS COM REEMBOLSOS"</f>
        <v>RECEITAS COM REEMBOLSOS</v>
      </c>
      <c r="P190">
        <v>38.33</v>
      </c>
      <c r="S190" t="str">
        <f>"BANCO CORA (102)"</f>
        <v>BANCO CORA (102)</v>
      </c>
      <c r="T190">
        <v>17465</v>
      </c>
      <c r="U190">
        <v>21237</v>
      </c>
      <c r="V190" t="s">
        <v>22</v>
      </c>
    </row>
    <row r="191" spans="1:22">
      <c r="A191" t="str">
        <f t="shared" si="62"/>
        <v>04/09/2025</v>
      </c>
      <c r="B191" t="str">
        <f t="shared" ref="B191:B200" si="64">"SAÍDA"</f>
        <v>SAÍDA</v>
      </c>
      <c r="C191" t="str">
        <f t="shared" si="63"/>
        <v>PIX</v>
      </c>
      <c r="D191" t="str">
        <f>"21237"</f>
        <v>21237</v>
      </c>
      <c r="E191" t="str">
        <f>"1"</f>
        <v>1</v>
      </c>
      <c r="F191" t="str">
        <f t="shared" si="46"/>
        <v>COM</v>
      </c>
      <c r="G191" t="str">
        <f>"MATHEUS ALMEIDA RAMOS (47)"</f>
        <v>MATHEUS ALMEIDA RAMOS (47)</v>
      </c>
      <c r="H191" t="str">
        <f>"Serv.Prest. 25/08/2025 a 31/08/2025 - PIX: CELULAR - CHAVE: (33) 98884-1637"</f>
        <v>Serv.Prest. 25/08/2025 a 31/08/2025 - PIX: CELULAR - CHAVE: (33) 98884-1637</v>
      </c>
      <c r="I191" t="str">
        <f>("11/09/2025")</f>
        <v>11/09/2025</v>
      </c>
      <c r="J191" t="str">
        <f>("02/09/2025")</f>
        <v>02/09/2025</v>
      </c>
      <c r="K191" t="str">
        <f>("04/09/2025")</f>
        <v>04/09/2025</v>
      </c>
      <c r="L191">
        <v>672</v>
      </c>
      <c r="M191">
        <v>633.66999999999996</v>
      </c>
      <c r="N191">
        <v>109</v>
      </c>
      <c r="O191" t="str">
        <f>"PAGAMENTO DE ENTREGADORES"</f>
        <v>PAGAMENTO DE ENTREGADORES</v>
      </c>
      <c r="P191">
        <v>672</v>
      </c>
      <c r="S191" t="str">
        <f>"BANCO CORA (102)"</f>
        <v>BANCO CORA (102)</v>
      </c>
      <c r="T191">
        <v>17465</v>
      </c>
      <c r="U191">
        <v>21237</v>
      </c>
      <c r="V191" t="s">
        <v>22</v>
      </c>
    </row>
    <row r="192" spans="1:22">
      <c r="A192" t="str">
        <f t="shared" si="62"/>
        <v>04/09/2025</v>
      </c>
      <c r="B192" t="str">
        <f t="shared" si="64"/>
        <v>SAÍDA</v>
      </c>
      <c r="C192" t="str">
        <f t="shared" si="63"/>
        <v>PIX</v>
      </c>
      <c r="D192" t="str">
        <f>"21237"</f>
        <v>21237</v>
      </c>
      <c r="E192" t="str">
        <f>"1"</f>
        <v>1</v>
      </c>
      <c r="F192" t="str">
        <f t="shared" si="46"/>
        <v>COM</v>
      </c>
      <c r="G192" t="str">
        <f>"MATHEUS ALMEIDA RAMOS (47)"</f>
        <v>MATHEUS ALMEIDA RAMOS (47)</v>
      </c>
      <c r="H192" t="s">
        <v>83</v>
      </c>
      <c r="I192" t="str">
        <f>("11/09/2025")</f>
        <v>11/09/2025</v>
      </c>
      <c r="J192" t="str">
        <f>("02/09/2025")</f>
        <v>02/09/2025</v>
      </c>
      <c r="K192">
        <v>45904</v>
      </c>
      <c r="N192">
        <v>108</v>
      </c>
      <c r="O192" t="s">
        <v>54</v>
      </c>
      <c r="Q192">
        <v>633.66999999999996</v>
      </c>
      <c r="R192" t="str">
        <f>"FARMÁCIA INDIANA LJ 07 (10007)"</f>
        <v>FARMÁCIA INDIANA LJ 07 (10007)</v>
      </c>
      <c r="S192" t="s">
        <v>22</v>
      </c>
      <c r="T192">
        <v>17465</v>
      </c>
      <c r="U192">
        <v>21237</v>
      </c>
      <c r="V192" t="s">
        <v>22</v>
      </c>
    </row>
    <row r="193" spans="1:22">
      <c r="A193" t="str">
        <f t="shared" si="62"/>
        <v>04/09/2025</v>
      </c>
      <c r="B193" t="str">
        <f t="shared" si="64"/>
        <v>SAÍDA</v>
      </c>
      <c r="C193" t="str">
        <f t="shared" si="63"/>
        <v>PIX</v>
      </c>
      <c r="D193" t="str">
        <f>"21197"</f>
        <v>21197</v>
      </c>
      <c r="E193" t="str">
        <f>"1"</f>
        <v>1</v>
      </c>
      <c r="F193" t="str">
        <f t="shared" si="46"/>
        <v>COM</v>
      </c>
      <c r="G193" t="str">
        <f>"GILDASIO DOMINGOS DOS SANTOS (54)"</f>
        <v>GILDASIO DOMINGOS DOS SANTOS (54)</v>
      </c>
      <c r="H193" t="str">
        <f>"Serv.Prest. 25/08/2025 a 31/08/2025 - PIX: CELULAR - CHAVE: (33) 98857-0494"</f>
        <v>Serv.Prest. 25/08/2025 a 31/08/2025 - PIX: CELULAR - CHAVE: (33) 98857-0494</v>
      </c>
      <c r="I193" t="str">
        <f>("11/09/2025")</f>
        <v>11/09/2025</v>
      </c>
      <c r="J193" t="str">
        <f>("02/09/2025")</f>
        <v>02/09/2025</v>
      </c>
      <c r="K193" t="str">
        <f>("04/09/2025")</f>
        <v>04/09/2025</v>
      </c>
      <c r="L193">
        <v>840</v>
      </c>
      <c r="M193">
        <v>840</v>
      </c>
      <c r="N193">
        <v>109</v>
      </c>
      <c r="O193" t="str">
        <f>"PAGAMENTO DE ENTREGADORES"</f>
        <v>PAGAMENTO DE ENTREGADORES</v>
      </c>
      <c r="P193">
        <v>840</v>
      </c>
      <c r="S193" t="str">
        <f>"BANCO CORA (102)"</f>
        <v>BANCO CORA (102)</v>
      </c>
      <c r="T193">
        <v>17466</v>
      </c>
      <c r="U193">
        <v>21197</v>
      </c>
      <c r="V193" t="s">
        <v>22</v>
      </c>
    </row>
    <row r="194" spans="1:22">
      <c r="A194" t="str">
        <f t="shared" si="62"/>
        <v>04/09/2025</v>
      </c>
      <c r="B194" t="str">
        <f t="shared" si="64"/>
        <v>SAÍDA</v>
      </c>
      <c r="C194" t="str">
        <f t="shared" si="63"/>
        <v>PIX</v>
      </c>
      <c r="D194" t="str">
        <f>"21197"</f>
        <v>21197</v>
      </c>
      <c r="E194" t="str">
        <f>"1"</f>
        <v>1</v>
      </c>
      <c r="F194" t="str">
        <f t="shared" ref="F194:F257" si="65">"COM"</f>
        <v>COM</v>
      </c>
      <c r="G194" t="str">
        <f>"GILDASIO DOMINGOS DOS SANTOS (54)"</f>
        <v>GILDASIO DOMINGOS DOS SANTOS (54)</v>
      </c>
      <c r="H194" t="s">
        <v>84</v>
      </c>
      <c r="I194" t="str">
        <f>("11/09/2025")</f>
        <v>11/09/2025</v>
      </c>
      <c r="J194" t="str">
        <f>("02/09/2025")</f>
        <v>02/09/2025</v>
      </c>
      <c r="K194">
        <v>45904</v>
      </c>
      <c r="N194">
        <v>109</v>
      </c>
      <c r="O194" t="s">
        <v>24</v>
      </c>
      <c r="Q194">
        <v>840</v>
      </c>
      <c r="R194" t="str">
        <f>"FARMÁCIA INDIANA LJ 07 (10007)"</f>
        <v>FARMÁCIA INDIANA LJ 07 (10007)</v>
      </c>
      <c r="S194" t="s">
        <v>22</v>
      </c>
      <c r="T194">
        <v>17466</v>
      </c>
      <c r="U194">
        <v>21197</v>
      </c>
      <c r="V194" t="s">
        <v>22</v>
      </c>
    </row>
    <row r="195" spans="1:22">
      <c r="A195" t="str">
        <f t="shared" si="62"/>
        <v>04/09/2025</v>
      </c>
      <c r="B195" t="str">
        <f t="shared" si="64"/>
        <v>SAÍDA</v>
      </c>
      <c r="C195" t="str">
        <f t="shared" si="63"/>
        <v>PIX</v>
      </c>
      <c r="D195" t="str">
        <f>"0409"</f>
        <v>0409</v>
      </c>
      <c r="E195" t="str">
        <f>"25"</f>
        <v>25</v>
      </c>
      <c r="F195" t="str">
        <f t="shared" si="65"/>
        <v>COM</v>
      </c>
      <c r="G195" t="str">
        <f t="shared" ref="G195:G202" si="66">"ADRYAN NUNES MARTINS (857)"</f>
        <v>ADRYAN NUNES MARTINS (857)</v>
      </c>
      <c r="H195" t="str">
        <f>"ADIANTAMENTO"</f>
        <v>ADIANTAMENTO</v>
      </c>
      <c r="I195" t="str">
        <f>("04/09/2025")</f>
        <v>04/09/2025</v>
      </c>
      <c r="J195" t="str">
        <f>("04/09/2025")</f>
        <v>04/09/2025</v>
      </c>
      <c r="K195" t="str">
        <f>("04/09/2025")</f>
        <v>04/09/2025</v>
      </c>
      <c r="L195">
        <v>700</v>
      </c>
      <c r="M195">
        <v>700</v>
      </c>
      <c r="N195">
        <v>5000</v>
      </c>
      <c r="O195" t="str">
        <f>"SOLICITACAO DE ADIANTAMENTO"</f>
        <v>SOLICITACAO DE ADIANTAMENTO</v>
      </c>
      <c r="P195">
        <v>700</v>
      </c>
      <c r="S195" t="str">
        <f>"BANCO CORA (102)"</f>
        <v>BANCO CORA (102)</v>
      </c>
      <c r="T195">
        <v>17467</v>
      </c>
      <c r="U195">
        <v>21360</v>
      </c>
      <c r="V195" t="s">
        <v>22</v>
      </c>
    </row>
    <row r="196" spans="1:22">
      <c r="A196" t="str">
        <f t="shared" si="62"/>
        <v>04/09/2025</v>
      </c>
      <c r="B196" t="str">
        <f t="shared" si="64"/>
        <v>SAÍDA</v>
      </c>
      <c r="C196" t="str">
        <f t="shared" si="63"/>
        <v>PIX</v>
      </c>
      <c r="D196" t="str">
        <f>"0409"</f>
        <v>0409</v>
      </c>
      <c r="E196" t="str">
        <f>"25"</f>
        <v>25</v>
      </c>
      <c r="F196" t="str">
        <f t="shared" si="65"/>
        <v>COM</v>
      </c>
      <c r="G196" t="str">
        <f t="shared" si="66"/>
        <v>ADRYAN NUNES MARTINS (857)</v>
      </c>
      <c r="H196" t="s">
        <v>85</v>
      </c>
      <c r="I196" t="str">
        <f>("04/09/2025")</f>
        <v>04/09/2025</v>
      </c>
      <c r="J196" t="str">
        <f>("04/09/2025")</f>
        <v>04/09/2025</v>
      </c>
      <c r="K196">
        <v>45904</v>
      </c>
      <c r="N196">
        <v>5000</v>
      </c>
      <c r="O196" t="s">
        <v>86</v>
      </c>
      <c r="Q196">
        <v>700</v>
      </c>
      <c r="R196" t="str">
        <f>"ADRYAN NUNES MARTINS (857)"</f>
        <v>ADRYAN NUNES MARTINS (857)</v>
      </c>
      <c r="S196" t="s">
        <v>22</v>
      </c>
      <c r="T196">
        <v>17467</v>
      </c>
      <c r="U196">
        <v>21360</v>
      </c>
      <c r="V196" t="s">
        <v>22</v>
      </c>
    </row>
    <row r="197" spans="1:22">
      <c r="A197" t="str">
        <f t="shared" si="62"/>
        <v>04/09/2025</v>
      </c>
      <c r="B197" t="str">
        <f t="shared" si="64"/>
        <v>SAÍDA</v>
      </c>
      <c r="C197" t="str">
        <f t="shared" si="63"/>
        <v>PIX</v>
      </c>
      <c r="D197" t="str">
        <f>"21170"</f>
        <v>21170</v>
      </c>
      <c r="E197" t="str">
        <f>"1"</f>
        <v>1</v>
      </c>
      <c r="F197" t="str">
        <f t="shared" si="65"/>
        <v>COM</v>
      </c>
      <c r="G197" t="str">
        <f t="shared" si="66"/>
        <v>ADRYAN NUNES MARTINS (857)</v>
      </c>
      <c r="H197" t="str">
        <f>"Serv.Prest. 25/08/2025 a 31/08/2025 - PIX: CPF - CHAVE: 021.178.446-00"</f>
        <v>Serv.Prest. 25/08/2025 a 31/08/2025 - PIX: CPF - CHAVE: 021.178.446-00</v>
      </c>
      <c r="I197" t="str">
        <f>("11/09/2025")</f>
        <v>11/09/2025</v>
      </c>
      <c r="J197" t="str">
        <f>("02/09/2025")</f>
        <v>02/09/2025</v>
      </c>
      <c r="K197" t="str">
        <f>("04/09/2025")</f>
        <v>04/09/2025</v>
      </c>
      <c r="L197">
        <v>350</v>
      </c>
      <c r="M197">
        <v>350</v>
      </c>
      <c r="N197">
        <v>109</v>
      </c>
      <c r="O197" t="str">
        <f>"PAGAMENTO DE ENTREGADORES"</f>
        <v>PAGAMENTO DE ENTREGADORES</v>
      </c>
      <c r="P197">
        <v>350</v>
      </c>
      <c r="S197" t="str">
        <f>"CAIXA MOVIMENTAÇÃO OPERACIONAL (132)"</f>
        <v>CAIXA MOVIMENTAÇÃO OPERACIONAL (132)</v>
      </c>
      <c r="T197">
        <v>17468</v>
      </c>
      <c r="U197">
        <v>21363</v>
      </c>
      <c r="V197" t="s">
        <v>48</v>
      </c>
    </row>
    <row r="198" spans="1:22">
      <c r="A198" t="str">
        <f t="shared" si="62"/>
        <v>04/09/2025</v>
      </c>
      <c r="B198" t="str">
        <f t="shared" si="64"/>
        <v>SAÍDA</v>
      </c>
      <c r="C198" t="str">
        <f t="shared" si="63"/>
        <v>PIX</v>
      </c>
      <c r="D198" t="str">
        <f>"21170"</f>
        <v>21170</v>
      </c>
      <c r="E198" t="str">
        <f>"1"</f>
        <v>1</v>
      </c>
      <c r="F198" t="str">
        <f t="shared" si="65"/>
        <v>COM</v>
      </c>
      <c r="G198" t="str">
        <f t="shared" si="66"/>
        <v>ADRYAN NUNES MARTINS (857)</v>
      </c>
      <c r="H198" t="s">
        <v>87</v>
      </c>
      <c r="I198" t="str">
        <f>("11/09/2025")</f>
        <v>11/09/2025</v>
      </c>
      <c r="J198" t="str">
        <f>("02/09/2025")</f>
        <v>02/09/2025</v>
      </c>
      <c r="K198">
        <v>45904</v>
      </c>
      <c r="N198">
        <v>109</v>
      </c>
      <c r="O198" t="s">
        <v>24</v>
      </c>
      <c r="Q198">
        <v>53.37</v>
      </c>
      <c r="R198" t="str">
        <f>"FARMÁCIA INDIANA LJ 116 (10051)"</f>
        <v>FARMÁCIA INDIANA LJ 116 (10051)</v>
      </c>
      <c r="S198" t="s">
        <v>48</v>
      </c>
      <c r="T198">
        <v>17468</v>
      </c>
      <c r="U198">
        <v>21363</v>
      </c>
      <c r="V198" t="s">
        <v>48</v>
      </c>
    </row>
    <row r="199" spans="1:22">
      <c r="A199" t="str">
        <f t="shared" si="62"/>
        <v>04/09/2025</v>
      </c>
      <c r="B199" t="str">
        <f t="shared" si="64"/>
        <v>SAÍDA</v>
      </c>
      <c r="C199" t="str">
        <f t="shared" si="63"/>
        <v>PIX</v>
      </c>
      <c r="D199" t="str">
        <f>"21170"</f>
        <v>21170</v>
      </c>
      <c r="E199" t="str">
        <f>"1"</f>
        <v>1</v>
      </c>
      <c r="F199" t="str">
        <f t="shared" si="65"/>
        <v>COM</v>
      </c>
      <c r="G199" t="str">
        <f t="shared" si="66"/>
        <v>ADRYAN NUNES MARTINS (857)</v>
      </c>
      <c r="H199" t="s">
        <v>87</v>
      </c>
      <c r="I199" t="str">
        <f>("11/09/2025")</f>
        <v>11/09/2025</v>
      </c>
      <c r="J199" t="str">
        <f>("02/09/2025")</f>
        <v>02/09/2025</v>
      </c>
      <c r="K199">
        <v>45904</v>
      </c>
      <c r="N199">
        <v>109</v>
      </c>
      <c r="O199" t="s">
        <v>24</v>
      </c>
      <c r="Q199">
        <v>23.73</v>
      </c>
      <c r="R199" t="str">
        <f>"FARMÁCIA INDIANA LJ 121 (10054)"</f>
        <v>FARMÁCIA INDIANA LJ 121 (10054)</v>
      </c>
      <c r="S199" t="s">
        <v>48</v>
      </c>
      <c r="T199">
        <v>17468</v>
      </c>
      <c r="U199">
        <v>21363</v>
      </c>
      <c r="V199" t="s">
        <v>48</v>
      </c>
    </row>
    <row r="200" spans="1:22">
      <c r="A200" t="str">
        <f t="shared" si="62"/>
        <v>04/09/2025</v>
      </c>
      <c r="B200" t="str">
        <f t="shared" si="64"/>
        <v>SAÍDA</v>
      </c>
      <c r="C200" t="str">
        <f t="shared" si="63"/>
        <v>PIX</v>
      </c>
      <c r="D200" t="str">
        <f>"21170"</f>
        <v>21170</v>
      </c>
      <c r="E200" t="str">
        <f>"1"</f>
        <v>1</v>
      </c>
      <c r="F200" t="str">
        <f t="shared" si="65"/>
        <v>COM</v>
      </c>
      <c r="G200" t="str">
        <f t="shared" si="66"/>
        <v>ADRYAN NUNES MARTINS (857)</v>
      </c>
      <c r="H200" t="s">
        <v>87</v>
      </c>
      <c r="I200" t="str">
        <f>("11/09/2025")</f>
        <v>11/09/2025</v>
      </c>
      <c r="J200" t="str">
        <f>("02/09/2025")</f>
        <v>02/09/2025</v>
      </c>
      <c r="K200">
        <v>45904</v>
      </c>
      <c r="N200">
        <v>109</v>
      </c>
      <c r="O200" t="s">
        <v>24</v>
      </c>
      <c r="Q200">
        <v>272.89999999999998</v>
      </c>
      <c r="R200" t="str">
        <f>"FARMÁCIA INDIANA LJ 128 (10057)"</f>
        <v>FARMÁCIA INDIANA LJ 128 (10057)</v>
      </c>
      <c r="S200" t="s">
        <v>48</v>
      </c>
      <c r="T200">
        <v>17468</v>
      </c>
      <c r="U200">
        <v>21363</v>
      </c>
      <c r="V200" t="s">
        <v>48</v>
      </c>
    </row>
    <row r="201" spans="1:22">
      <c r="A201" t="str">
        <f t="shared" si="62"/>
        <v>04/09/2025</v>
      </c>
      <c r="B201" t="str">
        <f>"ENTRADA"</f>
        <v>ENTRADA</v>
      </c>
      <c r="C201" t="str">
        <f>"DINHEIRO"</f>
        <v>DINHEIRO</v>
      </c>
      <c r="D201" t="str">
        <f>"1809"</f>
        <v>1809</v>
      </c>
      <c r="E201" t="str">
        <f>"25"</f>
        <v>25</v>
      </c>
      <c r="F201" t="str">
        <f t="shared" si="65"/>
        <v>COM</v>
      </c>
      <c r="G201" t="str">
        <f t="shared" si="66"/>
        <v>ADRYAN NUNES MARTINS (857)</v>
      </c>
      <c r="H201" t="str">
        <f>"REEMBOLSO ADIANTAMENTO"</f>
        <v>REEMBOLSO ADIANTAMENTO</v>
      </c>
      <c r="I201" t="str">
        <f>("18/09/2025")</f>
        <v>18/09/2025</v>
      </c>
      <c r="J201" t="str">
        <f>("04/09/2025")</f>
        <v>04/09/2025</v>
      </c>
      <c r="K201" t="str">
        <f>("04/09/2025")</f>
        <v>04/09/2025</v>
      </c>
      <c r="L201">
        <v>350</v>
      </c>
      <c r="M201">
        <v>350</v>
      </c>
      <c r="N201">
        <v>129</v>
      </c>
      <c r="O201" t="str">
        <f>"ENTRADA DE REEMBOLSO ADIANTAMENTO"</f>
        <v>ENTRADA DE REEMBOLSO ADIANTAMENTO</v>
      </c>
      <c r="P201">
        <v>350</v>
      </c>
      <c r="S201" t="str">
        <f>"ENTRADA DE REEMBOLSO ADIANTAMENTO (129)"</f>
        <v>ENTRADA DE REEMBOLSO ADIANTAMENTO (129)</v>
      </c>
      <c r="T201">
        <v>17469</v>
      </c>
      <c r="U201">
        <v>21361</v>
      </c>
      <c r="V201" t="s">
        <v>48</v>
      </c>
    </row>
    <row r="202" spans="1:22">
      <c r="A202" t="str">
        <f t="shared" si="62"/>
        <v>04/09/2025</v>
      </c>
      <c r="B202" t="str">
        <f>"ENTRADA"</f>
        <v>ENTRADA</v>
      </c>
      <c r="C202" t="str">
        <f>"DINHEIRO"</f>
        <v>DINHEIRO</v>
      </c>
      <c r="D202" t="str">
        <f>"1809"</f>
        <v>1809</v>
      </c>
      <c r="E202" t="str">
        <f>"25"</f>
        <v>25</v>
      </c>
      <c r="F202" t="str">
        <f t="shared" si="65"/>
        <v>COM</v>
      </c>
      <c r="G202" t="str">
        <f t="shared" si="66"/>
        <v>ADRYAN NUNES MARTINS (857)</v>
      </c>
      <c r="H202" t="s">
        <v>57</v>
      </c>
      <c r="I202" t="str">
        <f>("18/09/2025")</f>
        <v>18/09/2025</v>
      </c>
      <c r="J202" t="str">
        <f>("04/09/2025")</f>
        <v>04/09/2025</v>
      </c>
      <c r="K202">
        <v>45904</v>
      </c>
      <c r="N202">
        <v>129</v>
      </c>
      <c r="O202" t="s">
        <v>58</v>
      </c>
      <c r="Q202">
        <v>350</v>
      </c>
      <c r="R202" t="str">
        <f>"ADRYAN NUNES MARTINS (857)"</f>
        <v>ADRYAN NUNES MARTINS (857)</v>
      </c>
      <c r="S202" t="s">
        <v>59</v>
      </c>
      <c r="T202">
        <v>17469</v>
      </c>
      <c r="U202">
        <v>21361</v>
      </c>
      <c r="V202" t="s">
        <v>48</v>
      </c>
    </row>
    <row r="203" spans="1:22">
      <c r="A203" t="str">
        <f t="shared" si="62"/>
        <v>04/09/2025</v>
      </c>
      <c r="B203" t="str">
        <f t="shared" ref="B203:B232" si="67">"SAÍDA"</f>
        <v>SAÍDA</v>
      </c>
      <c r="C203" t="str">
        <f t="shared" ref="C203:C266" si="68">"PIX"</f>
        <v>PIX</v>
      </c>
      <c r="D203" t="str">
        <f>"21287"</f>
        <v>21287</v>
      </c>
      <c r="E203" t="str">
        <f>"1"</f>
        <v>1</v>
      </c>
      <c r="F203" t="str">
        <f t="shared" si="65"/>
        <v>COM</v>
      </c>
      <c r="G203" t="str">
        <f>"ELENICIO ALVES DOS SANTOS (243)"</f>
        <v>ELENICIO ALVES DOS SANTOS (243)</v>
      </c>
      <c r="H203" t="str">
        <f>"Serv.Prest. 01/08/2025 a 31/08/2025 - PIX: NÃO CADASTRADO - CHAVE: CEF AG 2986 CONTA 2292-5 POUPANÇA"</f>
        <v>Serv.Prest. 01/08/2025 a 31/08/2025 - PIX: NÃO CADASTRADO - CHAVE: CEF AG 2986 CONTA 2292-5 POUPANÇA</v>
      </c>
      <c r="I203" t="str">
        <f>("04/09/2025")</f>
        <v>04/09/2025</v>
      </c>
      <c r="J203" t="str">
        <f>("02/09/2025")</f>
        <v>02/09/2025</v>
      </c>
      <c r="K203" t="str">
        <f>("04/09/2025")</f>
        <v>04/09/2025</v>
      </c>
      <c r="L203">
        <v>4010</v>
      </c>
      <c r="M203">
        <v>4010</v>
      </c>
      <c r="N203">
        <v>109</v>
      </c>
      <c r="O203" t="str">
        <f>"PAGAMENTO DE ENTREGADORES"</f>
        <v>PAGAMENTO DE ENTREGADORES</v>
      </c>
      <c r="P203">
        <v>4010</v>
      </c>
      <c r="S203" t="str">
        <f>"BANCO CORA (102)"</f>
        <v>BANCO CORA (102)</v>
      </c>
      <c r="T203">
        <v>17470</v>
      </c>
      <c r="U203">
        <v>21287</v>
      </c>
      <c r="V203" t="s">
        <v>22</v>
      </c>
    </row>
    <row r="204" spans="1:22">
      <c r="A204" t="str">
        <f t="shared" si="62"/>
        <v>04/09/2025</v>
      </c>
      <c r="B204" t="str">
        <f t="shared" si="67"/>
        <v>SAÍDA</v>
      </c>
      <c r="C204" t="str">
        <f t="shared" si="68"/>
        <v>PIX</v>
      </c>
      <c r="D204" t="str">
        <f>"21287"</f>
        <v>21287</v>
      </c>
      <c r="E204" t="str">
        <f>"1"</f>
        <v>1</v>
      </c>
      <c r="F204" t="str">
        <f t="shared" si="65"/>
        <v>COM</v>
      </c>
      <c r="G204" t="str">
        <f>"ELENICIO ALVES DOS SANTOS (243)"</f>
        <v>ELENICIO ALVES DOS SANTOS (243)</v>
      </c>
      <c r="H204" t="s">
        <v>49</v>
      </c>
      <c r="I204" t="str">
        <f>("04/09/2025")</f>
        <v>04/09/2025</v>
      </c>
      <c r="J204" t="str">
        <f>("02/09/2025")</f>
        <v>02/09/2025</v>
      </c>
      <c r="K204">
        <v>45904</v>
      </c>
      <c r="N204">
        <v>109</v>
      </c>
      <c r="O204" t="s">
        <v>24</v>
      </c>
      <c r="Q204">
        <v>4010</v>
      </c>
      <c r="R204" t="str">
        <f>"DROGARIA POUPA MINAS (ULTRAMINAS) 1 (10181)"</f>
        <v>DROGARIA POUPA MINAS (ULTRAMINAS) 1 (10181)</v>
      </c>
      <c r="S204" t="s">
        <v>22</v>
      </c>
      <c r="T204">
        <v>17470</v>
      </c>
      <c r="U204">
        <v>21287</v>
      </c>
      <c r="V204" t="s">
        <v>22</v>
      </c>
    </row>
    <row r="205" spans="1:22">
      <c r="A205" t="str">
        <f t="shared" si="62"/>
        <v>04/09/2025</v>
      </c>
      <c r="B205" t="str">
        <f t="shared" si="67"/>
        <v>SAÍDA</v>
      </c>
      <c r="C205" t="str">
        <f t="shared" si="68"/>
        <v>PIX</v>
      </c>
      <c r="D205" t="str">
        <f>"21057"</f>
        <v>21057</v>
      </c>
      <c r="E205" t="str">
        <f>"1"</f>
        <v>1</v>
      </c>
      <c r="F205" t="str">
        <f t="shared" si="65"/>
        <v>COM</v>
      </c>
      <c r="G205" t="str">
        <f>"FERNANDO MARTINS DA SILVA (701)"</f>
        <v>FERNANDO MARTINS DA SILVA (701)</v>
      </c>
      <c r="H205" t="str">
        <f>"Serv.Prest. 18/08/2025 a 24/08/2025 - PIX: CPF - CHAVE: 004.682.359-06"</f>
        <v>Serv.Prest. 18/08/2025 a 24/08/2025 - PIX: CPF - CHAVE: 004.682.359-06</v>
      </c>
      <c r="I205" t="str">
        <f>("04/09/2025")</f>
        <v>04/09/2025</v>
      </c>
      <c r="J205" t="str">
        <f>("27/08/2025")</f>
        <v>27/08/2025</v>
      </c>
      <c r="K205" t="str">
        <f>("04/09/2025")</f>
        <v>04/09/2025</v>
      </c>
      <c r="L205">
        <v>308.7</v>
      </c>
      <c r="M205">
        <v>308.7</v>
      </c>
      <c r="N205">
        <v>109</v>
      </c>
      <c r="O205" t="str">
        <f>"PAGAMENTO DE ENTREGADORES"</f>
        <v>PAGAMENTO DE ENTREGADORES</v>
      </c>
      <c r="P205">
        <v>308.7</v>
      </c>
      <c r="S205" t="str">
        <f>"BANCO C6 (149)"</f>
        <v>BANCO C6 (149)</v>
      </c>
      <c r="T205">
        <v>17471</v>
      </c>
      <c r="U205">
        <v>21057</v>
      </c>
      <c r="V205" t="s">
        <v>77</v>
      </c>
    </row>
    <row r="206" spans="1:22">
      <c r="A206" t="str">
        <f t="shared" si="62"/>
        <v>04/09/2025</v>
      </c>
      <c r="B206" t="str">
        <f t="shared" si="67"/>
        <v>SAÍDA</v>
      </c>
      <c r="C206" t="str">
        <f t="shared" si="68"/>
        <v>PIX</v>
      </c>
      <c r="D206" t="str">
        <f>"21057"</f>
        <v>21057</v>
      </c>
      <c r="E206" t="str">
        <f>"1"</f>
        <v>1</v>
      </c>
      <c r="F206" t="str">
        <f t="shared" si="65"/>
        <v>COM</v>
      </c>
      <c r="G206" t="str">
        <f>"FERNANDO MARTINS DA SILVA (701)"</f>
        <v>FERNANDO MARTINS DA SILVA (701)</v>
      </c>
      <c r="H206" t="s">
        <v>88</v>
      </c>
      <c r="I206" t="str">
        <f>("04/09/2025")</f>
        <v>04/09/2025</v>
      </c>
      <c r="J206" t="str">
        <f>("27/08/2025")</f>
        <v>27/08/2025</v>
      </c>
      <c r="K206">
        <v>45904</v>
      </c>
      <c r="N206">
        <v>109</v>
      </c>
      <c r="O206" t="s">
        <v>24</v>
      </c>
      <c r="Q206">
        <v>296.11</v>
      </c>
      <c r="R206" t="str">
        <f>"AC FARMA -  FLEMINFARMA (10159)"</f>
        <v>AC FARMA -  FLEMINFARMA (10159)</v>
      </c>
      <c r="S206" t="s">
        <v>77</v>
      </c>
      <c r="T206">
        <v>17471</v>
      </c>
      <c r="U206">
        <v>21057</v>
      </c>
      <c r="V206" t="s">
        <v>77</v>
      </c>
    </row>
    <row r="207" spans="1:22">
      <c r="A207" t="str">
        <f t="shared" si="62"/>
        <v>04/09/2025</v>
      </c>
      <c r="B207" t="str">
        <f t="shared" si="67"/>
        <v>SAÍDA</v>
      </c>
      <c r="C207" t="str">
        <f t="shared" si="68"/>
        <v>PIX</v>
      </c>
      <c r="D207" t="str">
        <f>"21057"</f>
        <v>21057</v>
      </c>
      <c r="E207" t="str">
        <f>"1"</f>
        <v>1</v>
      </c>
      <c r="F207" t="str">
        <f t="shared" si="65"/>
        <v>COM</v>
      </c>
      <c r="G207" t="str">
        <f>"FERNANDO MARTINS DA SILVA (701)"</f>
        <v>FERNANDO MARTINS DA SILVA (701)</v>
      </c>
      <c r="H207" t="s">
        <v>88</v>
      </c>
      <c r="I207" t="str">
        <f>("04/09/2025")</f>
        <v>04/09/2025</v>
      </c>
      <c r="J207" t="str">
        <f>("27/08/2025")</f>
        <v>27/08/2025</v>
      </c>
      <c r="K207">
        <v>45904</v>
      </c>
      <c r="N207">
        <v>109</v>
      </c>
      <c r="O207" t="s">
        <v>24</v>
      </c>
      <c r="Q207">
        <v>12.59</v>
      </c>
      <c r="R207" t="str">
        <f>"AC FARMA - FLEMINFARMA (10160)"</f>
        <v>AC FARMA - FLEMINFARMA (10160)</v>
      </c>
      <c r="S207" t="s">
        <v>77</v>
      </c>
      <c r="T207">
        <v>17471</v>
      </c>
      <c r="U207">
        <v>21057</v>
      </c>
      <c r="V207" t="s">
        <v>77</v>
      </c>
    </row>
    <row r="208" spans="1:22">
      <c r="A208" t="str">
        <f t="shared" si="62"/>
        <v>04/09/2025</v>
      </c>
      <c r="B208" t="str">
        <f t="shared" si="67"/>
        <v>SAÍDA</v>
      </c>
      <c r="C208" t="str">
        <f t="shared" si="68"/>
        <v>PIX</v>
      </c>
      <c r="D208" t="str">
        <f>"772462"</f>
        <v>772462</v>
      </c>
      <c r="E208" t="str">
        <f>""</f>
        <v/>
      </c>
      <c r="F208" t="str">
        <f t="shared" si="65"/>
        <v>COM</v>
      </c>
      <c r="G208" t="str">
        <f>"NUCLEO BRASIL SERVIDORES LTDA (20090)"</f>
        <v>NUCLEO BRASIL SERVIDORES LTDA (20090)</v>
      </c>
      <c r="H208" t="str">
        <f>"SERVIDOR SITE COOPERATIVA - coopmob.com.br (03/09/2025 - 02/10/2025)"</f>
        <v>SERVIDOR SITE COOPERATIVA - coopmob.com.br (03/09/2025 - 02/10/2025)</v>
      </c>
      <c r="I208" t="str">
        <f>("05/09/2025")</f>
        <v>05/09/2025</v>
      </c>
      <c r="J208" t="str">
        <f>("24/08/2025")</f>
        <v>24/08/2025</v>
      </c>
      <c r="K208" t="str">
        <f>("04/09/2025")</f>
        <v>04/09/2025</v>
      </c>
      <c r="L208">
        <v>35.9</v>
      </c>
      <c r="M208">
        <v>35.9</v>
      </c>
      <c r="N208">
        <v>104</v>
      </c>
      <c r="O208" t="str">
        <f>"SOFTWARE / LICENÇAS"</f>
        <v>SOFTWARE / LICENÇAS</v>
      </c>
      <c r="P208">
        <v>35.9</v>
      </c>
      <c r="S208" t="str">
        <f>"BANCO CORA (102)"</f>
        <v>BANCO CORA (102)</v>
      </c>
      <c r="T208">
        <v>17472</v>
      </c>
      <c r="U208">
        <v>15962</v>
      </c>
      <c r="V208" t="s">
        <v>22</v>
      </c>
    </row>
    <row r="209" spans="1:22">
      <c r="A209" t="str">
        <f t="shared" si="62"/>
        <v>04/09/2025</v>
      </c>
      <c r="B209" t="str">
        <f t="shared" si="67"/>
        <v>SAÍDA</v>
      </c>
      <c r="C209" t="str">
        <f t="shared" si="68"/>
        <v>PIX</v>
      </c>
      <c r="D209" t="str">
        <f>"772462"</f>
        <v>772462</v>
      </c>
      <c r="E209" t="str">
        <f>""</f>
        <v/>
      </c>
      <c r="F209" t="str">
        <f t="shared" si="65"/>
        <v>COM</v>
      </c>
      <c r="G209" t="str">
        <f>"NUCLEO BRASIL SERVIDORES LTDA (20090)"</f>
        <v>NUCLEO BRASIL SERVIDORES LTDA (20090)</v>
      </c>
      <c r="H209" t="s">
        <v>89</v>
      </c>
      <c r="I209" t="str">
        <f>("05/09/2025")</f>
        <v>05/09/2025</v>
      </c>
      <c r="J209" t="str">
        <f>("24/08/2025")</f>
        <v>24/08/2025</v>
      </c>
      <c r="K209">
        <v>45904</v>
      </c>
      <c r="N209">
        <v>104</v>
      </c>
      <c r="O209" t="s">
        <v>34</v>
      </c>
      <c r="Q209">
        <v>35.9</v>
      </c>
      <c r="R209" t="str">
        <f>"NUCLEO BRASIL SERVIDORES LTDA (20090)"</f>
        <v>NUCLEO BRASIL SERVIDORES LTDA (20090)</v>
      </c>
      <c r="S209" t="s">
        <v>22</v>
      </c>
      <c r="T209">
        <v>17472</v>
      </c>
      <c r="U209">
        <v>15962</v>
      </c>
      <c r="V209" t="s">
        <v>22</v>
      </c>
    </row>
    <row r="210" spans="1:22">
      <c r="A210" t="str">
        <f t="shared" si="62"/>
        <v>04/09/2025</v>
      </c>
      <c r="B210" t="str">
        <f t="shared" si="67"/>
        <v>SAÍDA</v>
      </c>
      <c r="C210" t="str">
        <f t="shared" si="68"/>
        <v>PIX</v>
      </c>
      <c r="D210" t="str">
        <f>"21153"</f>
        <v>21153</v>
      </c>
      <c r="E210" t="str">
        <f t="shared" ref="E210:E273" si="69">"1"</f>
        <v>1</v>
      </c>
      <c r="F210" t="str">
        <f t="shared" si="65"/>
        <v>COM</v>
      </c>
      <c r="G210" t="str">
        <f>"NATANAEL AZEVEDO DOS SANTOS (765)"</f>
        <v>NATANAEL AZEVEDO DOS SANTOS (765)</v>
      </c>
      <c r="H210" t="str">
        <f>"Serv.Prest. 25/08/2025 a 31/08/2025 - PIX: CPF - CHAVE: 007.842.745-25"</f>
        <v>Serv.Prest. 25/08/2025 a 31/08/2025 - PIX: CPF - CHAVE: 007.842.745-25</v>
      </c>
      <c r="I210" t="str">
        <f>("11/09/2025")</f>
        <v>11/09/2025</v>
      </c>
      <c r="J210" t="str">
        <f>("02/09/2025")</f>
        <v>02/09/2025</v>
      </c>
      <c r="K210" t="str">
        <f>("04/09/2025")</f>
        <v>04/09/2025</v>
      </c>
      <c r="L210">
        <v>648</v>
      </c>
      <c r="M210">
        <v>648</v>
      </c>
      <c r="N210">
        <v>109</v>
      </c>
      <c r="O210" t="str">
        <f>"PAGAMENTO DE ENTREGADORES"</f>
        <v>PAGAMENTO DE ENTREGADORES</v>
      </c>
      <c r="P210">
        <v>648</v>
      </c>
      <c r="S210" t="str">
        <f>"BANCO CORA (102)"</f>
        <v>BANCO CORA (102)</v>
      </c>
      <c r="T210">
        <v>17473</v>
      </c>
      <c r="U210">
        <v>21153</v>
      </c>
      <c r="V210" t="s">
        <v>22</v>
      </c>
    </row>
    <row r="211" spans="1:22">
      <c r="A211" t="str">
        <f t="shared" si="62"/>
        <v>04/09/2025</v>
      </c>
      <c r="B211" t="str">
        <f t="shared" si="67"/>
        <v>SAÍDA</v>
      </c>
      <c r="C211" t="str">
        <f t="shared" si="68"/>
        <v>PIX</v>
      </c>
      <c r="D211" t="str">
        <f>"21153"</f>
        <v>21153</v>
      </c>
      <c r="E211" t="str">
        <f t="shared" si="69"/>
        <v>1</v>
      </c>
      <c r="F211" t="str">
        <f t="shared" si="65"/>
        <v>COM</v>
      </c>
      <c r="G211" t="str">
        <f>"NATANAEL AZEVEDO DOS SANTOS (765)"</f>
        <v>NATANAEL AZEVEDO DOS SANTOS (765)</v>
      </c>
      <c r="H211" t="s">
        <v>90</v>
      </c>
      <c r="I211" t="str">
        <f>("11/09/2025")</f>
        <v>11/09/2025</v>
      </c>
      <c r="J211" t="str">
        <f>("02/09/2025")</f>
        <v>02/09/2025</v>
      </c>
      <c r="K211">
        <v>45904</v>
      </c>
      <c r="N211">
        <v>109</v>
      </c>
      <c r="O211" t="s">
        <v>24</v>
      </c>
      <c r="Q211">
        <v>648</v>
      </c>
      <c r="R211" t="str">
        <f>"FARMÁCIA INDIANA LJ 91 (10037)"</f>
        <v>FARMÁCIA INDIANA LJ 91 (10037)</v>
      </c>
      <c r="S211" t="s">
        <v>22</v>
      </c>
      <c r="T211">
        <v>17473</v>
      </c>
      <c r="U211">
        <v>21153</v>
      </c>
      <c r="V211" t="s">
        <v>22</v>
      </c>
    </row>
    <row r="212" spans="1:22">
      <c r="A212" t="str">
        <f t="shared" si="62"/>
        <v>04/09/2025</v>
      </c>
      <c r="B212" t="str">
        <f t="shared" si="67"/>
        <v>SAÍDA</v>
      </c>
      <c r="C212" t="str">
        <f t="shared" si="68"/>
        <v>PIX</v>
      </c>
      <c r="D212" t="str">
        <f>"21180"</f>
        <v>21180</v>
      </c>
      <c r="E212" t="str">
        <f t="shared" si="69"/>
        <v>1</v>
      </c>
      <c r="F212" t="str">
        <f t="shared" si="65"/>
        <v>COM</v>
      </c>
      <c r="G212" t="str">
        <f>"CASSIO DIAS RIBEIRO (32)"</f>
        <v>CASSIO DIAS RIBEIRO (32)</v>
      </c>
      <c r="H212" t="str">
        <f>"Serv.Prest. 25/08/2025 a 31/08/2025 - PIX: CPF - CHAVE: 091.575.986-14"</f>
        <v>Serv.Prest. 25/08/2025 a 31/08/2025 - PIX: CPF - CHAVE: 091.575.986-14</v>
      </c>
      <c r="I212" t="str">
        <f>("11/09/2025")</f>
        <v>11/09/2025</v>
      </c>
      <c r="J212" t="str">
        <f>("02/09/2025")</f>
        <v>02/09/2025</v>
      </c>
      <c r="K212" t="str">
        <f>("04/09/2025")</f>
        <v>04/09/2025</v>
      </c>
      <c r="L212">
        <v>150</v>
      </c>
      <c r="M212">
        <v>150</v>
      </c>
      <c r="N212">
        <v>109</v>
      </c>
      <c r="O212" t="str">
        <f>"PAGAMENTO DE ENTREGADORES"</f>
        <v>PAGAMENTO DE ENTREGADORES</v>
      </c>
      <c r="P212">
        <v>150</v>
      </c>
      <c r="S212" t="str">
        <f>"BANCO CORA (102)"</f>
        <v>BANCO CORA (102)</v>
      </c>
      <c r="T212">
        <v>17474</v>
      </c>
      <c r="U212">
        <v>21364</v>
      </c>
      <c r="V212" t="s">
        <v>22</v>
      </c>
    </row>
    <row r="213" spans="1:22">
      <c r="A213" t="str">
        <f t="shared" si="62"/>
        <v>04/09/2025</v>
      </c>
      <c r="B213" t="str">
        <f t="shared" si="67"/>
        <v>SAÍDA</v>
      </c>
      <c r="C213" t="str">
        <f t="shared" si="68"/>
        <v>PIX</v>
      </c>
      <c r="D213" t="str">
        <f>"21180"</f>
        <v>21180</v>
      </c>
      <c r="E213" t="str">
        <f t="shared" si="69"/>
        <v>1</v>
      </c>
      <c r="F213" t="str">
        <f t="shared" si="65"/>
        <v>COM</v>
      </c>
      <c r="G213" t="str">
        <f>"CASSIO DIAS RIBEIRO (32)"</f>
        <v>CASSIO DIAS RIBEIRO (32)</v>
      </c>
      <c r="H213" t="s">
        <v>91</v>
      </c>
      <c r="I213" t="str">
        <f>("11/09/2025")</f>
        <v>11/09/2025</v>
      </c>
      <c r="J213" t="str">
        <f>("02/09/2025")</f>
        <v>02/09/2025</v>
      </c>
      <c r="K213">
        <v>45904</v>
      </c>
      <c r="N213">
        <v>109</v>
      </c>
      <c r="O213" t="s">
        <v>24</v>
      </c>
      <c r="Q213">
        <v>150</v>
      </c>
      <c r="R213" t="str">
        <f>"FARMÁCIA INDIANA LJ 11 (10008)"</f>
        <v>FARMÁCIA INDIANA LJ 11 (10008)</v>
      </c>
      <c r="S213" t="s">
        <v>22</v>
      </c>
      <c r="T213">
        <v>17474</v>
      </c>
      <c r="U213">
        <v>21364</v>
      </c>
      <c r="V213" t="s">
        <v>22</v>
      </c>
    </row>
    <row r="214" spans="1:22">
      <c r="A214" t="str">
        <f t="shared" si="62"/>
        <v>04/09/2025</v>
      </c>
      <c r="B214" t="str">
        <f t="shared" si="67"/>
        <v>SAÍDA</v>
      </c>
      <c r="C214" t="str">
        <f t="shared" si="68"/>
        <v>PIX</v>
      </c>
      <c r="D214" t="str">
        <f>"21056"</f>
        <v>21056</v>
      </c>
      <c r="E214" t="str">
        <f t="shared" si="69"/>
        <v>1</v>
      </c>
      <c r="F214" t="str">
        <f t="shared" si="65"/>
        <v>COM</v>
      </c>
      <c r="G214" t="str">
        <f>"CLAUDINEI RIBEIRO VALERIO (681)"</f>
        <v>CLAUDINEI RIBEIRO VALERIO (681)</v>
      </c>
      <c r="H214" t="str">
        <f>"Serv.Prest. 18/08/2025 a 24/08/2025 - PIX: CELULAR - CHAVE: (43) 99630-7532"</f>
        <v>Serv.Prest. 18/08/2025 a 24/08/2025 - PIX: CELULAR - CHAVE: (43) 99630-7532</v>
      </c>
      <c r="I214" t="str">
        <f t="shared" ref="I214:I277" si="70">("04/09/2025")</f>
        <v>04/09/2025</v>
      </c>
      <c r="J214" t="str">
        <f t="shared" ref="J214:J232" si="71">("27/08/2025")</f>
        <v>27/08/2025</v>
      </c>
      <c r="K214" t="str">
        <f>("04/09/2025")</f>
        <v>04/09/2025</v>
      </c>
      <c r="L214">
        <v>69.3</v>
      </c>
      <c r="M214">
        <v>69.3</v>
      </c>
      <c r="N214">
        <v>109</v>
      </c>
      <c r="O214" t="str">
        <f>"PAGAMENTO DE ENTREGADORES"</f>
        <v>PAGAMENTO DE ENTREGADORES</v>
      </c>
      <c r="P214">
        <v>69.3</v>
      </c>
      <c r="S214" t="str">
        <f>"BANCO C6 (149)"</f>
        <v>BANCO C6 (149)</v>
      </c>
      <c r="T214">
        <v>17475</v>
      </c>
      <c r="U214">
        <v>21056</v>
      </c>
      <c r="V214" t="s">
        <v>77</v>
      </c>
    </row>
    <row r="215" spans="1:22">
      <c r="A215" t="str">
        <f t="shared" si="62"/>
        <v>04/09/2025</v>
      </c>
      <c r="B215" t="str">
        <f t="shared" si="67"/>
        <v>SAÍDA</v>
      </c>
      <c r="C215" t="str">
        <f t="shared" si="68"/>
        <v>PIX</v>
      </c>
      <c r="D215" t="str">
        <f>"21056"</f>
        <v>21056</v>
      </c>
      <c r="E215" t="str">
        <f t="shared" si="69"/>
        <v>1</v>
      </c>
      <c r="F215" t="str">
        <f t="shared" si="65"/>
        <v>COM</v>
      </c>
      <c r="G215" t="str">
        <f>"CLAUDINEI RIBEIRO VALERIO (681)"</f>
        <v>CLAUDINEI RIBEIRO VALERIO (681)</v>
      </c>
      <c r="H215" t="s">
        <v>92</v>
      </c>
      <c r="I215" t="str">
        <f t="shared" si="70"/>
        <v>04/09/2025</v>
      </c>
      <c r="J215" t="str">
        <f t="shared" si="71"/>
        <v>27/08/2025</v>
      </c>
      <c r="K215">
        <v>45904</v>
      </c>
      <c r="N215">
        <v>109</v>
      </c>
      <c r="O215" t="s">
        <v>24</v>
      </c>
      <c r="Q215">
        <v>63</v>
      </c>
      <c r="R215" t="str">
        <f>"AC FARMA -  FLEMINFARMA (10159)"</f>
        <v>AC FARMA -  FLEMINFARMA (10159)</v>
      </c>
      <c r="S215" t="s">
        <v>77</v>
      </c>
      <c r="T215">
        <v>17475</v>
      </c>
      <c r="U215">
        <v>21056</v>
      </c>
      <c r="V215" t="s">
        <v>77</v>
      </c>
    </row>
    <row r="216" spans="1:22">
      <c r="A216" t="str">
        <f t="shared" si="62"/>
        <v>04/09/2025</v>
      </c>
      <c r="B216" t="str">
        <f t="shared" si="67"/>
        <v>SAÍDA</v>
      </c>
      <c r="C216" t="str">
        <f t="shared" si="68"/>
        <v>PIX</v>
      </c>
      <c r="D216" t="str">
        <f>"21056"</f>
        <v>21056</v>
      </c>
      <c r="E216" t="str">
        <f t="shared" si="69"/>
        <v>1</v>
      </c>
      <c r="F216" t="str">
        <f t="shared" si="65"/>
        <v>COM</v>
      </c>
      <c r="G216" t="str">
        <f>"CLAUDINEI RIBEIRO VALERIO (681)"</f>
        <v>CLAUDINEI RIBEIRO VALERIO (681)</v>
      </c>
      <c r="H216" t="s">
        <v>92</v>
      </c>
      <c r="I216" t="str">
        <f t="shared" si="70"/>
        <v>04/09/2025</v>
      </c>
      <c r="J216" t="str">
        <f t="shared" si="71"/>
        <v>27/08/2025</v>
      </c>
      <c r="K216">
        <v>45904</v>
      </c>
      <c r="N216">
        <v>109</v>
      </c>
      <c r="O216" t="s">
        <v>24</v>
      </c>
      <c r="Q216">
        <v>6.3</v>
      </c>
      <c r="R216" t="str">
        <f>"AC FARMA - FLEMINFARMA (10160)"</f>
        <v>AC FARMA - FLEMINFARMA (10160)</v>
      </c>
      <c r="S216" t="s">
        <v>77</v>
      </c>
      <c r="T216">
        <v>17475</v>
      </c>
      <c r="U216">
        <v>21056</v>
      </c>
      <c r="V216" t="s">
        <v>77</v>
      </c>
    </row>
    <row r="217" spans="1:22">
      <c r="A217" t="str">
        <f t="shared" si="62"/>
        <v>04/09/2025</v>
      </c>
      <c r="B217" t="str">
        <f t="shared" si="67"/>
        <v>SAÍDA</v>
      </c>
      <c r="C217" t="str">
        <f t="shared" si="68"/>
        <v>PIX</v>
      </c>
      <c r="D217" t="str">
        <f>"21055"</f>
        <v>21055</v>
      </c>
      <c r="E217" t="str">
        <f t="shared" si="69"/>
        <v>1</v>
      </c>
      <c r="F217" t="str">
        <f t="shared" si="65"/>
        <v>COM</v>
      </c>
      <c r="G217" t="str">
        <f>"ALEXANDRE DA CONCEICAO (714)"</f>
        <v>ALEXANDRE DA CONCEICAO (714)</v>
      </c>
      <c r="H217" t="str">
        <f>"Serv.Prest. 18/08/2025 a 24/08/2025 - PIX: CPF - CHAVE: 975.425.989-53"</f>
        <v>Serv.Prest. 18/08/2025 a 24/08/2025 - PIX: CPF - CHAVE: 975.425.989-53</v>
      </c>
      <c r="I217" t="str">
        <f t="shared" si="70"/>
        <v>04/09/2025</v>
      </c>
      <c r="J217" t="str">
        <f t="shared" si="71"/>
        <v>27/08/2025</v>
      </c>
      <c r="K217" t="str">
        <f>("04/09/2025")</f>
        <v>04/09/2025</v>
      </c>
      <c r="L217">
        <v>44.1</v>
      </c>
      <c r="M217">
        <v>44.1</v>
      </c>
      <c r="N217">
        <v>109</v>
      </c>
      <c r="O217" t="str">
        <f>"PAGAMENTO DE ENTREGADORES"</f>
        <v>PAGAMENTO DE ENTREGADORES</v>
      </c>
      <c r="P217">
        <v>44.1</v>
      </c>
      <c r="S217" t="str">
        <f>"BANCO C6 (149)"</f>
        <v>BANCO C6 (149)</v>
      </c>
      <c r="T217">
        <v>17476</v>
      </c>
      <c r="U217">
        <v>21055</v>
      </c>
      <c r="V217" t="s">
        <v>77</v>
      </c>
    </row>
    <row r="218" spans="1:22">
      <c r="A218" t="str">
        <f t="shared" si="62"/>
        <v>04/09/2025</v>
      </c>
      <c r="B218" t="str">
        <f t="shared" si="67"/>
        <v>SAÍDA</v>
      </c>
      <c r="C218" t="str">
        <f t="shared" si="68"/>
        <v>PIX</v>
      </c>
      <c r="D218" t="str">
        <f>"21055"</f>
        <v>21055</v>
      </c>
      <c r="E218" t="str">
        <f t="shared" si="69"/>
        <v>1</v>
      </c>
      <c r="F218" t="str">
        <f t="shared" si="65"/>
        <v>COM</v>
      </c>
      <c r="G218" t="str">
        <f>"ALEXANDRE DA CONCEICAO (714)"</f>
        <v>ALEXANDRE DA CONCEICAO (714)</v>
      </c>
      <c r="H218" t="s">
        <v>93</v>
      </c>
      <c r="I218" t="str">
        <f t="shared" si="70"/>
        <v>04/09/2025</v>
      </c>
      <c r="J218" t="str">
        <f t="shared" si="71"/>
        <v>27/08/2025</v>
      </c>
      <c r="K218">
        <v>45904</v>
      </c>
      <c r="N218">
        <v>109</v>
      </c>
      <c r="O218" t="s">
        <v>24</v>
      </c>
      <c r="Q218">
        <v>44.1</v>
      </c>
      <c r="R218" t="str">
        <f>"AC FARMA -  FLEMINFARMA (10159)"</f>
        <v>AC FARMA -  FLEMINFARMA (10159)</v>
      </c>
      <c r="S218" t="s">
        <v>77</v>
      </c>
      <c r="T218">
        <v>17476</v>
      </c>
      <c r="U218">
        <v>21055</v>
      </c>
      <c r="V218" t="s">
        <v>77</v>
      </c>
    </row>
    <row r="219" spans="1:22">
      <c r="A219" t="str">
        <f t="shared" si="62"/>
        <v>04/09/2025</v>
      </c>
      <c r="B219" t="str">
        <f t="shared" si="67"/>
        <v>SAÍDA</v>
      </c>
      <c r="C219" t="str">
        <f t="shared" si="68"/>
        <v>PIX</v>
      </c>
      <c r="D219" t="str">
        <f>"21052"</f>
        <v>21052</v>
      </c>
      <c r="E219" t="str">
        <f t="shared" si="69"/>
        <v>1</v>
      </c>
      <c r="F219" t="str">
        <f t="shared" si="65"/>
        <v>COM</v>
      </c>
      <c r="G219" t="str">
        <f>"RAUL SILVA ROMAO (727)"</f>
        <v>RAUL SILVA ROMAO (727)</v>
      </c>
      <c r="H219" t="str">
        <f>"Serv.Prest. 18/08/2025 a 24/08/2025 - PIX: CPF - CHAVE: 878.196.869-87"</f>
        <v>Serv.Prest. 18/08/2025 a 24/08/2025 - PIX: CPF - CHAVE: 878.196.869-87</v>
      </c>
      <c r="I219" t="str">
        <f t="shared" si="70"/>
        <v>04/09/2025</v>
      </c>
      <c r="J219" t="str">
        <f t="shared" si="71"/>
        <v>27/08/2025</v>
      </c>
      <c r="K219" t="str">
        <f>("04/09/2025")</f>
        <v>04/09/2025</v>
      </c>
      <c r="L219">
        <v>390.6</v>
      </c>
      <c r="M219">
        <v>390.6</v>
      </c>
      <c r="N219">
        <v>109</v>
      </c>
      <c r="O219" t="str">
        <f>"PAGAMENTO DE ENTREGADORES"</f>
        <v>PAGAMENTO DE ENTREGADORES</v>
      </c>
      <c r="P219">
        <v>390.6</v>
      </c>
      <c r="S219" t="str">
        <f>"BANCO C6 (149)"</f>
        <v>BANCO C6 (149)</v>
      </c>
      <c r="T219">
        <v>17477</v>
      </c>
      <c r="U219">
        <v>21052</v>
      </c>
      <c r="V219" t="s">
        <v>77</v>
      </c>
    </row>
    <row r="220" spans="1:22">
      <c r="A220" t="str">
        <f t="shared" si="62"/>
        <v>04/09/2025</v>
      </c>
      <c r="B220" t="str">
        <f t="shared" si="67"/>
        <v>SAÍDA</v>
      </c>
      <c r="C220" t="str">
        <f t="shared" si="68"/>
        <v>PIX</v>
      </c>
      <c r="D220" t="str">
        <f>"21052"</f>
        <v>21052</v>
      </c>
      <c r="E220" t="str">
        <f t="shared" si="69"/>
        <v>1</v>
      </c>
      <c r="F220" t="str">
        <f t="shared" si="65"/>
        <v>COM</v>
      </c>
      <c r="G220" t="str">
        <f>"RAUL SILVA ROMAO (727)"</f>
        <v>RAUL SILVA ROMAO (727)</v>
      </c>
      <c r="H220" t="s">
        <v>94</v>
      </c>
      <c r="I220" t="str">
        <f t="shared" si="70"/>
        <v>04/09/2025</v>
      </c>
      <c r="J220" t="str">
        <f t="shared" si="71"/>
        <v>27/08/2025</v>
      </c>
      <c r="K220">
        <v>45904</v>
      </c>
      <c r="N220">
        <v>109</v>
      </c>
      <c r="O220" t="s">
        <v>24</v>
      </c>
      <c r="Q220">
        <v>390.6</v>
      </c>
      <c r="R220" t="str">
        <f>"AC FARMA - CID.ALTA (10166)"</f>
        <v>AC FARMA - CID.ALTA (10166)</v>
      </c>
      <c r="S220" t="s">
        <v>77</v>
      </c>
      <c r="T220">
        <v>17477</v>
      </c>
      <c r="U220">
        <v>21052</v>
      </c>
      <c r="V220" t="s">
        <v>77</v>
      </c>
    </row>
    <row r="221" spans="1:22">
      <c r="A221" t="str">
        <f t="shared" si="62"/>
        <v>04/09/2025</v>
      </c>
      <c r="B221" t="str">
        <f t="shared" si="67"/>
        <v>SAÍDA</v>
      </c>
      <c r="C221" t="str">
        <f t="shared" si="68"/>
        <v>PIX</v>
      </c>
      <c r="D221" t="str">
        <f>"21051"</f>
        <v>21051</v>
      </c>
      <c r="E221" t="str">
        <f t="shared" si="69"/>
        <v>1</v>
      </c>
      <c r="F221" t="str">
        <f t="shared" si="65"/>
        <v>COM</v>
      </c>
      <c r="G221" t="str">
        <f>"HELITON DE OLIVEIRA RAMOS BARBOSA (724)"</f>
        <v>HELITON DE OLIVEIRA RAMOS BARBOSA (724)</v>
      </c>
      <c r="H221" t="str">
        <f>"Serv.Prest. 18/08/2025 a 24/08/2025 - PIX: CPF - CHAVE: 074.604.219-10"</f>
        <v>Serv.Prest. 18/08/2025 a 24/08/2025 - PIX: CPF - CHAVE: 074.604.219-10</v>
      </c>
      <c r="I221" t="str">
        <f t="shared" si="70"/>
        <v>04/09/2025</v>
      </c>
      <c r="J221" t="str">
        <f t="shared" si="71"/>
        <v>27/08/2025</v>
      </c>
      <c r="K221" t="str">
        <f>("04/09/2025")</f>
        <v>04/09/2025</v>
      </c>
      <c r="L221">
        <v>1026.9000000000001</v>
      </c>
      <c r="M221">
        <v>1026.9000000000001</v>
      </c>
      <c r="N221">
        <v>109</v>
      </c>
      <c r="O221" t="str">
        <f>"PAGAMENTO DE ENTREGADORES"</f>
        <v>PAGAMENTO DE ENTREGADORES</v>
      </c>
      <c r="P221">
        <v>1026.9000000000001</v>
      </c>
      <c r="S221" t="str">
        <f>"BANCO C6 (149)"</f>
        <v>BANCO C6 (149)</v>
      </c>
      <c r="T221">
        <v>17478</v>
      </c>
      <c r="U221">
        <v>21051</v>
      </c>
      <c r="V221" t="s">
        <v>77</v>
      </c>
    </row>
    <row r="222" spans="1:22">
      <c r="A222" t="str">
        <f t="shared" si="62"/>
        <v>04/09/2025</v>
      </c>
      <c r="B222" t="str">
        <f t="shared" si="67"/>
        <v>SAÍDA</v>
      </c>
      <c r="C222" t="str">
        <f t="shared" si="68"/>
        <v>PIX</v>
      </c>
      <c r="D222" t="str">
        <f>"21051"</f>
        <v>21051</v>
      </c>
      <c r="E222" t="str">
        <f t="shared" si="69"/>
        <v>1</v>
      </c>
      <c r="F222" t="str">
        <f t="shared" si="65"/>
        <v>COM</v>
      </c>
      <c r="G222" t="str">
        <f>"HELITON DE OLIVEIRA RAMOS BARBOSA (724)"</f>
        <v>HELITON DE OLIVEIRA RAMOS BARBOSA (724)</v>
      </c>
      <c r="H222" t="s">
        <v>95</v>
      </c>
      <c r="I222" t="str">
        <f t="shared" si="70"/>
        <v>04/09/2025</v>
      </c>
      <c r="J222" t="str">
        <f t="shared" si="71"/>
        <v>27/08/2025</v>
      </c>
      <c r="K222">
        <v>45904</v>
      </c>
      <c r="N222">
        <v>109</v>
      </c>
      <c r="O222" t="s">
        <v>24</v>
      </c>
      <c r="Q222">
        <v>1026.9000000000001</v>
      </c>
      <c r="R222" t="str">
        <f>"AC FARMA - CID.ALTA (10166)"</f>
        <v>AC FARMA - CID.ALTA (10166)</v>
      </c>
      <c r="S222" t="s">
        <v>77</v>
      </c>
      <c r="T222">
        <v>17478</v>
      </c>
      <c r="U222">
        <v>21051</v>
      </c>
      <c r="V222" t="s">
        <v>77</v>
      </c>
    </row>
    <row r="223" spans="1:22">
      <c r="A223" t="str">
        <f t="shared" si="62"/>
        <v>04/09/2025</v>
      </c>
      <c r="B223" t="str">
        <f t="shared" si="67"/>
        <v>SAÍDA</v>
      </c>
      <c r="C223" t="str">
        <f t="shared" si="68"/>
        <v>PIX</v>
      </c>
      <c r="D223" t="str">
        <f>"21050"</f>
        <v>21050</v>
      </c>
      <c r="E223" t="str">
        <f t="shared" si="69"/>
        <v>1</v>
      </c>
      <c r="F223" t="str">
        <f t="shared" si="65"/>
        <v>COM</v>
      </c>
      <c r="G223" t="str">
        <f>"GERALDO SEVERINO DE SANTANA (729)"</f>
        <v>GERALDO SEVERINO DE SANTANA (729)</v>
      </c>
      <c r="H223" t="str">
        <f>"Serv.Prest. 18/08/2025 a 24/08/2025 - PIX: CELULAR - CHAVE: (43) 99934-1696"</f>
        <v>Serv.Prest. 18/08/2025 a 24/08/2025 - PIX: CELULAR - CHAVE: (43) 99934-1696</v>
      </c>
      <c r="I223" t="str">
        <f t="shared" si="70"/>
        <v>04/09/2025</v>
      </c>
      <c r="J223" t="str">
        <f t="shared" si="71"/>
        <v>27/08/2025</v>
      </c>
      <c r="K223" t="str">
        <f>("04/09/2025")</f>
        <v>04/09/2025</v>
      </c>
      <c r="L223">
        <v>541.79999999999995</v>
      </c>
      <c r="M223">
        <v>541.79999999999995</v>
      </c>
      <c r="N223">
        <v>109</v>
      </c>
      <c r="O223" t="str">
        <f>"PAGAMENTO DE ENTREGADORES"</f>
        <v>PAGAMENTO DE ENTREGADORES</v>
      </c>
      <c r="P223">
        <v>541.79999999999995</v>
      </c>
      <c r="S223" t="str">
        <f>"BANCO C6 (149)"</f>
        <v>BANCO C6 (149)</v>
      </c>
      <c r="T223">
        <v>17479</v>
      </c>
      <c r="U223">
        <v>21050</v>
      </c>
      <c r="V223" t="s">
        <v>77</v>
      </c>
    </row>
    <row r="224" spans="1:22">
      <c r="A224" t="str">
        <f t="shared" si="62"/>
        <v>04/09/2025</v>
      </c>
      <c r="B224" t="str">
        <f t="shared" si="67"/>
        <v>SAÍDA</v>
      </c>
      <c r="C224" t="str">
        <f t="shared" si="68"/>
        <v>PIX</v>
      </c>
      <c r="D224" t="str">
        <f>"21050"</f>
        <v>21050</v>
      </c>
      <c r="E224" t="str">
        <f t="shared" si="69"/>
        <v>1</v>
      </c>
      <c r="F224" t="str">
        <f t="shared" si="65"/>
        <v>COM</v>
      </c>
      <c r="G224" t="str">
        <f>"GERALDO SEVERINO DE SANTANA (729)"</f>
        <v>GERALDO SEVERINO DE SANTANA (729)</v>
      </c>
      <c r="H224" t="s">
        <v>96</v>
      </c>
      <c r="I224" t="str">
        <f t="shared" si="70"/>
        <v>04/09/2025</v>
      </c>
      <c r="J224" t="str">
        <f t="shared" si="71"/>
        <v>27/08/2025</v>
      </c>
      <c r="K224">
        <v>45904</v>
      </c>
      <c r="N224">
        <v>109</v>
      </c>
      <c r="O224" t="s">
        <v>24</v>
      </c>
      <c r="Q224">
        <v>541.79999999999995</v>
      </c>
      <c r="R224" t="str">
        <f>"AC FARMA - CID.ALTA (10166)"</f>
        <v>AC FARMA - CID.ALTA (10166)</v>
      </c>
      <c r="S224" t="s">
        <v>77</v>
      </c>
      <c r="T224">
        <v>17479</v>
      </c>
      <c r="U224">
        <v>21050</v>
      </c>
      <c r="V224" t="s">
        <v>77</v>
      </c>
    </row>
    <row r="225" spans="1:22">
      <c r="A225" t="str">
        <f t="shared" si="62"/>
        <v>04/09/2025</v>
      </c>
      <c r="B225" t="str">
        <f t="shared" si="67"/>
        <v>SAÍDA</v>
      </c>
      <c r="C225" t="str">
        <f t="shared" si="68"/>
        <v>PIX</v>
      </c>
      <c r="D225" t="str">
        <f>"21049"</f>
        <v>21049</v>
      </c>
      <c r="E225" t="str">
        <f t="shared" si="69"/>
        <v>1</v>
      </c>
      <c r="F225" t="str">
        <f t="shared" si="65"/>
        <v>COM</v>
      </c>
      <c r="G225" t="str">
        <f>"FERNANDO MARTINS DA SILVA (701)"</f>
        <v>FERNANDO MARTINS DA SILVA (701)</v>
      </c>
      <c r="H225" t="str">
        <f>"Serv.Prest. 18/08/2025 a 24/08/2025 - PIX: CPF - CHAVE: 004.682.359-06"</f>
        <v>Serv.Prest. 18/08/2025 a 24/08/2025 - PIX: CPF - CHAVE: 004.682.359-06</v>
      </c>
      <c r="I225" t="str">
        <f t="shared" si="70"/>
        <v>04/09/2025</v>
      </c>
      <c r="J225" t="str">
        <f t="shared" si="71"/>
        <v>27/08/2025</v>
      </c>
      <c r="K225" t="str">
        <f>("04/09/2025")</f>
        <v>04/09/2025</v>
      </c>
      <c r="L225">
        <v>995.4</v>
      </c>
      <c r="M225">
        <v>995.4</v>
      </c>
      <c r="N225">
        <v>109</v>
      </c>
      <c r="O225" t="str">
        <f>"PAGAMENTO DE ENTREGADORES"</f>
        <v>PAGAMENTO DE ENTREGADORES</v>
      </c>
      <c r="P225">
        <v>995.4</v>
      </c>
      <c r="S225" t="str">
        <f>"BANCO C6 (149)"</f>
        <v>BANCO C6 (149)</v>
      </c>
      <c r="T225">
        <v>17480</v>
      </c>
      <c r="U225">
        <v>21049</v>
      </c>
      <c r="V225" t="s">
        <v>77</v>
      </c>
    </row>
    <row r="226" spans="1:22">
      <c r="A226" t="str">
        <f t="shared" si="62"/>
        <v>04/09/2025</v>
      </c>
      <c r="B226" t="str">
        <f t="shared" si="67"/>
        <v>SAÍDA</v>
      </c>
      <c r="C226" t="str">
        <f t="shared" si="68"/>
        <v>PIX</v>
      </c>
      <c r="D226" t="str">
        <f>"21049"</f>
        <v>21049</v>
      </c>
      <c r="E226" t="str">
        <f t="shared" si="69"/>
        <v>1</v>
      </c>
      <c r="F226" t="str">
        <f t="shared" si="65"/>
        <v>COM</v>
      </c>
      <c r="G226" t="str">
        <f>"FERNANDO MARTINS DA SILVA (701)"</f>
        <v>FERNANDO MARTINS DA SILVA (701)</v>
      </c>
      <c r="H226" t="s">
        <v>88</v>
      </c>
      <c r="I226" t="str">
        <f t="shared" si="70"/>
        <v>04/09/2025</v>
      </c>
      <c r="J226" t="str">
        <f t="shared" si="71"/>
        <v>27/08/2025</v>
      </c>
      <c r="K226">
        <v>45904</v>
      </c>
      <c r="N226">
        <v>109</v>
      </c>
      <c r="O226" t="s">
        <v>24</v>
      </c>
      <c r="Q226">
        <v>995.4</v>
      </c>
      <c r="R226" t="str">
        <f>"AC FARMA - CID.ALTA (10166)"</f>
        <v>AC FARMA - CID.ALTA (10166)</v>
      </c>
      <c r="S226" t="s">
        <v>77</v>
      </c>
      <c r="T226">
        <v>17480</v>
      </c>
      <c r="U226">
        <v>21049</v>
      </c>
      <c r="V226" t="s">
        <v>77</v>
      </c>
    </row>
    <row r="227" spans="1:22">
      <c r="A227" t="str">
        <f t="shared" si="62"/>
        <v>04/09/2025</v>
      </c>
      <c r="B227" t="str">
        <f t="shared" si="67"/>
        <v>SAÍDA</v>
      </c>
      <c r="C227" t="str">
        <f t="shared" si="68"/>
        <v>PIX</v>
      </c>
      <c r="D227" t="str">
        <f>"21048"</f>
        <v>21048</v>
      </c>
      <c r="E227" t="str">
        <f t="shared" si="69"/>
        <v>1</v>
      </c>
      <c r="F227" t="str">
        <f t="shared" si="65"/>
        <v>COM</v>
      </c>
      <c r="G227" t="str">
        <f>"CLAUDINEI RIBEIRO VALERIO (681)"</f>
        <v>CLAUDINEI RIBEIRO VALERIO (681)</v>
      </c>
      <c r="H227" t="str">
        <f>"Serv.Prest. 18/08/2025 a 24/08/2025 - PIX: CELULAR - CHAVE: (43) 99630-7532"</f>
        <v>Serv.Prest. 18/08/2025 a 24/08/2025 - PIX: CELULAR - CHAVE: (43) 99630-7532</v>
      </c>
      <c r="I227" t="str">
        <f t="shared" si="70"/>
        <v>04/09/2025</v>
      </c>
      <c r="J227" t="str">
        <f t="shared" si="71"/>
        <v>27/08/2025</v>
      </c>
      <c r="K227" t="str">
        <f>("04/09/2025")</f>
        <v>04/09/2025</v>
      </c>
      <c r="L227">
        <v>762.3</v>
      </c>
      <c r="M227">
        <v>762.3</v>
      </c>
      <c r="N227">
        <v>109</v>
      </c>
      <c r="O227" t="str">
        <f>"PAGAMENTO DE ENTREGADORES"</f>
        <v>PAGAMENTO DE ENTREGADORES</v>
      </c>
      <c r="P227">
        <v>762.3</v>
      </c>
      <c r="S227" t="str">
        <f>"BANCO C6 (149)"</f>
        <v>BANCO C6 (149)</v>
      </c>
      <c r="T227">
        <v>17481</v>
      </c>
      <c r="U227">
        <v>21048</v>
      </c>
      <c r="V227" t="s">
        <v>77</v>
      </c>
    </row>
    <row r="228" spans="1:22">
      <c r="A228" t="str">
        <f t="shared" si="62"/>
        <v>04/09/2025</v>
      </c>
      <c r="B228" t="str">
        <f t="shared" si="67"/>
        <v>SAÍDA</v>
      </c>
      <c r="C228" t="str">
        <f t="shared" si="68"/>
        <v>PIX</v>
      </c>
      <c r="D228" t="str">
        <f>"21048"</f>
        <v>21048</v>
      </c>
      <c r="E228" t="str">
        <f t="shared" si="69"/>
        <v>1</v>
      </c>
      <c r="F228" t="str">
        <f t="shared" si="65"/>
        <v>COM</v>
      </c>
      <c r="G228" t="str">
        <f>"CLAUDINEI RIBEIRO VALERIO (681)"</f>
        <v>CLAUDINEI RIBEIRO VALERIO (681)</v>
      </c>
      <c r="H228" t="s">
        <v>92</v>
      </c>
      <c r="I228" t="str">
        <f t="shared" si="70"/>
        <v>04/09/2025</v>
      </c>
      <c r="J228" t="str">
        <f t="shared" si="71"/>
        <v>27/08/2025</v>
      </c>
      <c r="K228">
        <v>45904</v>
      </c>
      <c r="N228">
        <v>109</v>
      </c>
      <c r="O228" t="s">
        <v>24</v>
      </c>
      <c r="Q228">
        <v>762.3</v>
      </c>
      <c r="R228" t="str">
        <f>"AC FARMA - CID.ALTA (10166)"</f>
        <v>AC FARMA - CID.ALTA (10166)</v>
      </c>
      <c r="S228" t="s">
        <v>77</v>
      </c>
      <c r="T228">
        <v>17481</v>
      </c>
      <c r="U228">
        <v>21048</v>
      </c>
      <c r="V228" t="s">
        <v>77</v>
      </c>
    </row>
    <row r="229" spans="1:22">
      <c r="A229" t="str">
        <f t="shared" si="62"/>
        <v>04/09/2025</v>
      </c>
      <c r="B229" t="str">
        <f t="shared" si="67"/>
        <v>SAÍDA</v>
      </c>
      <c r="C229" t="str">
        <f t="shared" si="68"/>
        <v>PIX</v>
      </c>
      <c r="D229" t="str">
        <f>"21047"</f>
        <v>21047</v>
      </c>
      <c r="E229" t="str">
        <f t="shared" si="69"/>
        <v>1</v>
      </c>
      <c r="F229" t="str">
        <f t="shared" si="65"/>
        <v>COM</v>
      </c>
      <c r="G229" t="str">
        <f>"ALEXANDRE DA CONCEICAO (714)"</f>
        <v>ALEXANDRE DA CONCEICAO (714)</v>
      </c>
      <c r="H229" t="str">
        <f>"Serv.Prest. 18/08/2025 a 24/08/2025 - PIX: CPF - CHAVE: 975.425.989-53"</f>
        <v>Serv.Prest. 18/08/2025 a 24/08/2025 - PIX: CPF - CHAVE: 975.425.989-53</v>
      </c>
      <c r="I229" t="str">
        <f t="shared" si="70"/>
        <v>04/09/2025</v>
      </c>
      <c r="J229" t="str">
        <f t="shared" si="71"/>
        <v>27/08/2025</v>
      </c>
      <c r="K229" t="str">
        <f>("04/09/2025")</f>
        <v>04/09/2025</v>
      </c>
      <c r="L229">
        <v>447.3</v>
      </c>
      <c r="M229">
        <v>447.3</v>
      </c>
      <c r="N229">
        <v>109</v>
      </c>
      <c r="O229" t="str">
        <f>"PAGAMENTO DE ENTREGADORES"</f>
        <v>PAGAMENTO DE ENTREGADORES</v>
      </c>
      <c r="P229">
        <v>447.3</v>
      </c>
      <c r="S229" t="str">
        <f>"BANCO C6 (149)"</f>
        <v>BANCO C6 (149)</v>
      </c>
      <c r="T229">
        <v>17482</v>
      </c>
      <c r="U229">
        <v>21047</v>
      </c>
      <c r="V229" t="s">
        <v>77</v>
      </c>
    </row>
    <row r="230" spans="1:22">
      <c r="A230" t="str">
        <f t="shared" si="62"/>
        <v>04/09/2025</v>
      </c>
      <c r="B230" t="str">
        <f t="shared" si="67"/>
        <v>SAÍDA</v>
      </c>
      <c r="C230" t="str">
        <f t="shared" si="68"/>
        <v>PIX</v>
      </c>
      <c r="D230" t="str">
        <f>"21047"</f>
        <v>21047</v>
      </c>
      <c r="E230" t="str">
        <f t="shared" si="69"/>
        <v>1</v>
      </c>
      <c r="F230" t="str">
        <f t="shared" si="65"/>
        <v>COM</v>
      </c>
      <c r="G230" t="str">
        <f>"ALEXANDRE DA CONCEICAO (714)"</f>
        <v>ALEXANDRE DA CONCEICAO (714)</v>
      </c>
      <c r="H230" t="s">
        <v>93</v>
      </c>
      <c r="I230" t="str">
        <f t="shared" si="70"/>
        <v>04/09/2025</v>
      </c>
      <c r="J230" t="str">
        <f t="shared" si="71"/>
        <v>27/08/2025</v>
      </c>
      <c r="K230">
        <v>45904</v>
      </c>
      <c r="N230">
        <v>109</v>
      </c>
      <c r="O230" t="s">
        <v>24</v>
      </c>
      <c r="Q230">
        <v>447.3</v>
      </c>
      <c r="R230" t="str">
        <f>"AC FARMA - CID.ALTA (10166)"</f>
        <v>AC FARMA - CID.ALTA (10166)</v>
      </c>
      <c r="S230" t="s">
        <v>77</v>
      </c>
      <c r="T230">
        <v>17482</v>
      </c>
      <c r="U230">
        <v>21047</v>
      </c>
      <c r="V230" t="s">
        <v>77</v>
      </c>
    </row>
    <row r="231" spans="1:22">
      <c r="A231" t="str">
        <f t="shared" si="62"/>
        <v>04/09/2025</v>
      </c>
      <c r="B231" t="str">
        <f t="shared" si="67"/>
        <v>SAÍDA</v>
      </c>
      <c r="C231" t="str">
        <f t="shared" si="68"/>
        <v>PIX</v>
      </c>
      <c r="D231" t="str">
        <f>"21058"</f>
        <v>21058</v>
      </c>
      <c r="E231" t="str">
        <f t="shared" si="69"/>
        <v>1</v>
      </c>
      <c r="F231" t="str">
        <f t="shared" si="65"/>
        <v>COM</v>
      </c>
      <c r="G231" t="str">
        <f>"GERALDO SEVERINO DE SANTANA (729)"</f>
        <v>GERALDO SEVERINO DE SANTANA (729)</v>
      </c>
      <c r="H231" t="str">
        <f>"Serv.Prest. 18/08/2025 a 24/08/2025 - PIX: CELULAR - CHAVE: (43) 99934-1696"</f>
        <v>Serv.Prest. 18/08/2025 a 24/08/2025 - PIX: CELULAR - CHAVE: (43) 99934-1696</v>
      </c>
      <c r="I231" t="str">
        <f t="shared" si="70"/>
        <v>04/09/2025</v>
      </c>
      <c r="J231" t="str">
        <f t="shared" si="71"/>
        <v>27/08/2025</v>
      </c>
      <c r="K231" t="str">
        <f>("04/09/2025")</f>
        <v>04/09/2025</v>
      </c>
      <c r="L231">
        <v>378</v>
      </c>
      <c r="M231">
        <v>378</v>
      </c>
      <c r="N231">
        <v>109</v>
      </c>
      <c r="O231" t="str">
        <f>"PAGAMENTO DE ENTREGADORES"</f>
        <v>PAGAMENTO DE ENTREGADORES</v>
      </c>
      <c r="P231">
        <v>378</v>
      </c>
      <c r="S231" t="str">
        <f>"BANCO C6 (149)"</f>
        <v>BANCO C6 (149)</v>
      </c>
      <c r="T231">
        <v>17483</v>
      </c>
      <c r="U231">
        <v>21058</v>
      </c>
      <c r="V231" t="s">
        <v>77</v>
      </c>
    </row>
    <row r="232" spans="1:22">
      <c r="A232" t="str">
        <f t="shared" si="62"/>
        <v>04/09/2025</v>
      </c>
      <c r="B232" t="str">
        <f t="shared" si="67"/>
        <v>SAÍDA</v>
      </c>
      <c r="C232" t="str">
        <f t="shared" si="68"/>
        <v>PIX</v>
      </c>
      <c r="D232" t="str">
        <f>"21058"</f>
        <v>21058</v>
      </c>
      <c r="E232" t="str">
        <f t="shared" si="69"/>
        <v>1</v>
      </c>
      <c r="F232" t="str">
        <f t="shared" si="65"/>
        <v>COM</v>
      </c>
      <c r="G232" t="str">
        <f>"GERALDO SEVERINO DE SANTANA (729)"</f>
        <v>GERALDO SEVERINO DE SANTANA (729)</v>
      </c>
      <c r="H232" t="s">
        <v>96</v>
      </c>
      <c r="I232" t="str">
        <f t="shared" si="70"/>
        <v>04/09/2025</v>
      </c>
      <c r="J232" t="str">
        <f t="shared" si="71"/>
        <v>27/08/2025</v>
      </c>
      <c r="K232">
        <v>45904</v>
      </c>
      <c r="N232">
        <v>109</v>
      </c>
      <c r="O232" t="s">
        <v>24</v>
      </c>
      <c r="Q232">
        <v>378</v>
      </c>
      <c r="R232" t="str">
        <f>"AC FARMA -  FLEMINFARMA (10159)"</f>
        <v>AC FARMA -  FLEMINFARMA (10159)</v>
      </c>
      <c r="S232" t="s">
        <v>77</v>
      </c>
      <c r="T232">
        <v>17483</v>
      </c>
      <c r="U232">
        <v>21058</v>
      </c>
      <c r="V232" t="s">
        <v>77</v>
      </c>
    </row>
    <row r="233" spans="1:22">
      <c r="A233" t="str">
        <f t="shared" si="62"/>
        <v>04/09/2025</v>
      </c>
      <c r="B233" t="str">
        <f>"ENTRADA"</f>
        <v>ENTRADA</v>
      </c>
      <c r="C233" t="str">
        <f t="shared" si="68"/>
        <v>PIX</v>
      </c>
      <c r="D233" t="str">
        <f>"20840"</f>
        <v>20840</v>
      </c>
      <c r="E233" t="str">
        <f t="shared" si="69"/>
        <v>1</v>
      </c>
      <c r="F233" t="str">
        <f t="shared" si="65"/>
        <v>COM</v>
      </c>
      <c r="G233" t="str">
        <f>"ALEXSSANDER VIANA FEITOSA (48)"</f>
        <v>ALEXSSANDER VIANA FEITOSA (48)</v>
      </c>
      <c r="H233" t="str">
        <f>"DESC DE BAG, UNIFORME, PLANOS Serv.Prest. 18/08/2025 a 24/08/2025 - PIX: CPF - CHAVE: 134.385.606-07"</f>
        <v>DESC DE BAG, UNIFORME, PLANOS Serv.Prest. 18/08/2025 a 24/08/2025 - PIX: CPF - CHAVE: 134.385.606-07</v>
      </c>
      <c r="I233" t="str">
        <f t="shared" si="70"/>
        <v>04/09/2025</v>
      </c>
      <c r="J233" t="str">
        <f t="shared" ref="J233:J296" si="72">("25/08/2025")</f>
        <v>25/08/2025</v>
      </c>
      <c r="K233" t="str">
        <f>("04/09/2025")</f>
        <v>04/09/2025</v>
      </c>
      <c r="N233">
        <v>108</v>
      </c>
      <c r="O233" t="str">
        <f>"RECEITAS COM REEMBOLSOS"</f>
        <v>RECEITAS COM REEMBOLSOS</v>
      </c>
      <c r="P233">
        <v>38.33</v>
      </c>
      <c r="S233" t="str">
        <f>"BANCO C6 (149)"</f>
        <v>BANCO C6 (149)</v>
      </c>
      <c r="T233">
        <v>17485</v>
      </c>
      <c r="U233">
        <v>20840</v>
      </c>
      <c r="V233" t="s">
        <v>77</v>
      </c>
    </row>
    <row r="234" spans="1:22">
      <c r="A234" t="str">
        <f t="shared" si="62"/>
        <v>04/09/2025</v>
      </c>
      <c r="B234" t="str">
        <f t="shared" ref="B234:B245" si="73">"SAÍDA"</f>
        <v>SAÍDA</v>
      </c>
      <c r="C234" t="str">
        <f t="shared" si="68"/>
        <v>PIX</v>
      </c>
      <c r="D234" t="str">
        <f>"20840"</f>
        <v>20840</v>
      </c>
      <c r="E234" t="str">
        <f t="shared" si="69"/>
        <v>1</v>
      </c>
      <c r="F234" t="str">
        <f t="shared" si="65"/>
        <v>COM</v>
      </c>
      <c r="G234" t="str">
        <f>"ALEXSSANDER VIANA FEITOSA (48)"</f>
        <v>ALEXSSANDER VIANA FEITOSA (48)</v>
      </c>
      <c r="H234" t="str">
        <f>"Serv.Prest. 18/08/2025 a 24/08/2025 - PIX: CPF - CHAVE: 134.385.606-07"</f>
        <v>Serv.Prest. 18/08/2025 a 24/08/2025 - PIX: CPF - CHAVE: 134.385.606-07</v>
      </c>
      <c r="I234" t="str">
        <f t="shared" si="70"/>
        <v>04/09/2025</v>
      </c>
      <c r="J234" t="str">
        <f t="shared" si="72"/>
        <v>25/08/2025</v>
      </c>
      <c r="K234" t="str">
        <f>("04/09/2025")</f>
        <v>04/09/2025</v>
      </c>
      <c r="L234">
        <v>930</v>
      </c>
      <c r="M234">
        <v>891.67</v>
      </c>
      <c r="N234">
        <v>109</v>
      </c>
      <c r="O234" t="str">
        <f>"PAGAMENTO DE ENTREGADORES"</f>
        <v>PAGAMENTO DE ENTREGADORES</v>
      </c>
      <c r="P234">
        <v>930</v>
      </c>
      <c r="S234" t="str">
        <f>"BANCO C6 (149)"</f>
        <v>BANCO C6 (149)</v>
      </c>
      <c r="T234">
        <v>17485</v>
      </c>
      <c r="U234">
        <v>20840</v>
      </c>
      <c r="V234" t="s">
        <v>77</v>
      </c>
    </row>
    <row r="235" spans="1:22">
      <c r="A235" t="str">
        <f t="shared" si="62"/>
        <v>04/09/2025</v>
      </c>
      <c r="B235" t="str">
        <f t="shared" si="73"/>
        <v>SAÍDA</v>
      </c>
      <c r="C235" t="str">
        <f t="shared" si="68"/>
        <v>PIX</v>
      </c>
      <c r="D235" t="str">
        <f>"20840"</f>
        <v>20840</v>
      </c>
      <c r="E235" t="str">
        <f t="shared" si="69"/>
        <v>1</v>
      </c>
      <c r="F235" t="str">
        <f t="shared" si="65"/>
        <v>COM</v>
      </c>
      <c r="G235" t="str">
        <f>"ALEXSSANDER VIANA FEITOSA (48)"</f>
        <v>ALEXSSANDER VIANA FEITOSA (48)</v>
      </c>
      <c r="H235" t="s">
        <v>97</v>
      </c>
      <c r="I235" t="str">
        <f t="shared" si="70"/>
        <v>04/09/2025</v>
      </c>
      <c r="J235" t="str">
        <f t="shared" si="72"/>
        <v>25/08/2025</v>
      </c>
      <c r="K235">
        <v>45904</v>
      </c>
      <c r="N235">
        <v>108</v>
      </c>
      <c r="O235" t="s">
        <v>54</v>
      </c>
      <c r="Q235">
        <v>891.67</v>
      </c>
      <c r="R235" t="str">
        <f>"FARMÁCIA INDIANA LJ 07 (10007)"</f>
        <v>FARMÁCIA INDIANA LJ 07 (10007)</v>
      </c>
      <c r="S235" t="s">
        <v>77</v>
      </c>
      <c r="T235">
        <v>17485</v>
      </c>
      <c r="U235">
        <v>20840</v>
      </c>
      <c r="V235" t="s">
        <v>77</v>
      </c>
    </row>
    <row r="236" spans="1:22">
      <c r="A236" t="str">
        <f t="shared" si="62"/>
        <v>04/09/2025</v>
      </c>
      <c r="B236" t="str">
        <f t="shared" si="73"/>
        <v>SAÍDA</v>
      </c>
      <c r="C236" t="str">
        <f t="shared" si="68"/>
        <v>PIX</v>
      </c>
      <c r="D236" t="str">
        <f>"20841"</f>
        <v>20841</v>
      </c>
      <c r="E236" t="str">
        <f t="shared" si="69"/>
        <v>1</v>
      </c>
      <c r="F236" t="str">
        <f t="shared" si="65"/>
        <v>COM</v>
      </c>
      <c r="G236" t="str">
        <f>"ALISSON FELIPE GODINHO (219)"</f>
        <v>ALISSON FELIPE GODINHO (219)</v>
      </c>
      <c r="H236" t="str">
        <f>"Serv.Prest. 18/08/2025 a 24/08/2025 - PIX: CELULAR - CHAVE: (33) 99877-0415"</f>
        <v>Serv.Prest. 18/08/2025 a 24/08/2025 - PIX: CELULAR - CHAVE: (33) 99877-0415</v>
      </c>
      <c r="I236" t="str">
        <f t="shared" si="70"/>
        <v>04/09/2025</v>
      </c>
      <c r="J236" t="str">
        <f t="shared" si="72"/>
        <v>25/08/2025</v>
      </c>
      <c r="K236" t="str">
        <f>("04/09/2025")</f>
        <v>04/09/2025</v>
      </c>
      <c r="L236">
        <v>1611.5</v>
      </c>
      <c r="M236">
        <v>1611.5</v>
      </c>
      <c r="N236">
        <v>109</v>
      </c>
      <c r="O236" t="str">
        <f>"PAGAMENTO DE ENTREGADORES"</f>
        <v>PAGAMENTO DE ENTREGADORES</v>
      </c>
      <c r="P236">
        <v>1611.5</v>
      </c>
      <c r="S236" t="str">
        <f>"BANCO C6 (149)"</f>
        <v>BANCO C6 (149)</v>
      </c>
      <c r="T236">
        <v>17486</v>
      </c>
      <c r="U236">
        <v>20841</v>
      </c>
      <c r="V236" t="s">
        <v>77</v>
      </c>
    </row>
    <row r="237" spans="1:22">
      <c r="A237" t="str">
        <f t="shared" si="62"/>
        <v>04/09/2025</v>
      </c>
      <c r="B237" t="str">
        <f t="shared" si="73"/>
        <v>SAÍDA</v>
      </c>
      <c r="C237" t="str">
        <f t="shared" si="68"/>
        <v>PIX</v>
      </c>
      <c r="D237" t="str">
        <f>"20841"</f>
        <v>20841</v>
      </c>
      <c r="E237" t="str">
        <f t="shared" si="69"/>
        <v>1</v>
      </c>
      <c r="F237" t="str">
        <f t="shared" si="65"/>
        <v>COM</v>
      </c>
      <c r="G237" t="str">
        <f>"ALISSON FELIPE GODINHO (219)"</f>
        <v>ALISSON FELIPE GODINHO (219)</v>
      </c>
      <c r="H237" t="s">
        <v>98</v>
      </c>
      <c r="I237" t="str">
        <f t="shared" si="70"/>
        <v>04/09/2025</v>
      </c>
      <c r="J237" t="str">
        <f t="shared" si="72"/>
        <v>25/08/2025</v>
      </c>
      <c r="K237">
        <v>45904</v>
      </c>
      <c r="N237">
        <v>109</v>
      </c>
      <c r="O237" t="s">
        <v>24</v>
      </c>
      <c r="Q237">
        <v>1611.5</v>
      </c>
      <c r="R237" t="str">
        <f>"FARMÁCIA INDIANA LJ 14 (10009)"</f>
        <v>FARMÁCIA INDIANA LJ 14 (10009)</v>
      </c>
      <c r="S237" t="s">
        <v>77</v>
      </c>
      <c r="T237">
        <v>17486</v>
      </c>
      <c r="U237">
        <v>20841</v>
      </c>
      <c r="V237" t="s">
        <v>77</v>
      </c>
    </row>
    <row r="238" spans="1:22">
      <c r="A238" t="str">
        <f t="shared" si="62"/>
        <v>04/09/2025</v>
      </c>
      <c r="B238" t="str">
        <f t="shared" si="73"/>
        <v>SAÍDA</v>
      </c>
      <c r="C238" t="str">
        <f t="shared" si="68"/>
        <v>PIX</v>
      </c>
      <c r="D238" t="str">
        <f>"20842"</f>
        <v>20842</v>
      </c>
      <c r="E238" t="str">
        <f t="shared" si="69"/>
        <v>1</v>
      </c>
      <c r="F238" t="str">
        <f t="shared" si="65"/>
        <v>COM</v>
      </c>
      <c r="G238" t="str">
        <f>"AMANDA VERÍSSIMO FERREIRA (794)"</f>
        <v>AMANDA VERÍSSIMO FERREIRA (794)</v>
      </c>
      <c r="H238" t="str">
        <f>"Serv.Prest. 18/08/2025 a 24/08/2025 - PIX: CPF - CHAVE: 099.626.666-60"</f>
        <v>Serv.Prest. 18/08/2025 a 24/08/2025 - PIX: CPF - CHAVE: 099.626.666-60</v>
      </c>
      <c r="I238" t="str">
        <f t="shared" si="70"/>
        <v>04/09/2025</v>
      </c>
      <c r="J238" t="str">
        <f t="shared" si="72"/>
        <v>25/08/2025</v>
      </c>
      <c r="K238" t="str">
        <f>("04/09/2025")</f>
        <v>04/09/2025</v>
      </c>
      <c r="L238">
        <v>750</v>
      </c>
      <c r="M238">
        <v>750</v>
      </c>
      <c r="N238">
        <v>109</v>
      </c>
      <c r="O238" t="str">
        <f>"PAGAMENTO DE ENTREGADORES"</f>
        <v>PAGAMENTO DE ENTREGADORES</v>
      </c>
      <c r="P238">
        <v>750</v>
      </c>
      <c r="S238" t="str">
        <f>"BANCO C6 (149)"</f>
        <v>BANCO C6 (149)</v>
      </c>
      <c r="T238">
        <v>17487</v>
      </c>
      <c r="U238">
        <v>20842</v>
      </c>
      <c r="V238" t="s">
        <v>77</v>
      </c>
    </row>
    <row r="239" spans="1:22">
      <c r="A239" t="str">
        <f t="shared" si="62"/>
        <v>04/09/2025</v>
      </c>
      <c r="B239" t="str">
        <f t="shared" si="73"/>
        <v>SAÍDA</v>
      </c>
      <c r="C239" t="str">
        <f t="shared" si="68"/>
        <v>PIX</v>
      </c>
      <c r="D239" t="str">
        <f>"20842"</f>
        <v>20842</v>
      </c>
      <c r="E239" t="str">
        <f t="shared" si="69"/>
        <v>1</v>
      </c>
      <c r="F239" t="str">
        <f t="shared" si="65"/>
        <v>COM</v>
      </c>
      <c r="G239" t="str">
        <f>"AMANDA VERÍSSIMO FERREIRA (794)"</f>
        <v>AMANDA VERÍSSIMO FERREIRA (794)</v>
      </c>
      <c r="H239" t="s">
        <v>99</v>
      </c>
      <c r="I239" t="str">
        <f t="shared" si="70"/>
        <v>04/09/2025</v>
      </c>
      <c r="J239" t="str">
        <f t="shared" si="72"/>
        <v>25/08/2025</v>
      </c>
      <c r="K239">
        <v>45904</v>
      </c>
      <c r="N239">
        <v>109</v>
      </c>
      <c r="O239" t="s">
        <v>24</v>
      </c>
      <c r="Q239">
        <v>59.17</v>
      </c>
      <c r="R239" t="str">
        <f>"FARMÁCIA INDIANA LJ 97 (10040)"</f>
        <v>FARMÁCIA INDIANA LJ 97 (10040)</v>
      </c>
      <c r="S239" t="s">
        <v>77</v>
      </c>
      <c r="T239">
        <v>17487</v>
      </c>
      <c r="U239">
        <v>20842</v>
      </c>
      <c r="V239" t="s">
        <v>77</v>
      </c>
    </row>
    <row r="240" spans="1:22">
      <c r="A240" t="str">
        <f t="shared" si="62"/>
        <v>04/09/2025</v>
      </c>
      <c r="B240" t="str">
        <f t="shared" si="73"/>
        <v>SAÍDA</v>
      </c>
      <c r="C240" t="str">
        <f t="shared" si="68"/>
        <v>PIX</v>
      </c>
      <c r="D240" t="str">
        <f>"20842"</f>
        <v>20842</v>
      </c>
      <c r="E240" t="str">
        <f t="shared" si="69"/>
        <v>1</v>
      </c>
      <c r="F240" t="str">
        <f t="shared" si="65"/>
        <v>COM</v>
      </c>
      <c r="G240" t="str">
        <f>"AMANDA VERÍSSIMO FERREIRA (794)"</f>
        <v>AMANDA VERÍSSIMO FERREIRA (794)</v>
      </c>
      <c r="H240" t="s">
        <v>99</v>
      </c>
      <c r="I240" t="str">
        <f t="shared" si="70"/>
        <v>04/09/2025</v>
      </c>
      <c r="J240" t="str">
        <f t="shared" si="72"/>
        <v>25/08/2025</v>
      </c>
      <c r="K240">
        <v>45904</v>
      </c>
      <c r="N240">
        <v>109</v>
      </c>
      <c r="O240" t="s">
        <v>24</v>
      </c>
      <c r="Q240">
        <v>572.4</v>
      </c>
      <c r="R240" t="str">
        <f>"FARMÁCIA INDIANA LJ 111 (10049)"</f>
        <v>FARMÁCIA INDIANA LJ 111 (10049)</v>
      </c>
      <c r="S240" t="s">
        <v>77</v>
      </c>
      <c r="T240">
        <v>17487</v>
      </c>
      <c r="U240">
        <v>20842</v>
      </c>
      <c r="V240" t="s">
        <v>77</v>
      </c>
    </row>
    <row r="241" spans="1:22">
      <c r="A241" t="str">
        <f t="shared" si="62"/>
        <v>04/09/2025</v>
      </c>
      <c r="B241" t="str">
        <f t="shared" si="73"/>
        <v>SAÍDA</v>
      </c>
      <c r="C241" t="str">
        <f t="shared" si="68"/>
        <v>PIX</v>
      </c>
      <c r="D241" t="str">
        <f>"20842"</f>
        <v>20842</v>
      </c>
      <c r="E241" t="str">
        <f t="shared" si="69"/>
        <v>1</v>
      </c>
      <c r="F241" t="str">
        <f t="shared" si="65"/>
        <v>COM</v>
      </c>
      <c r="G241" t="str">
        <f>"AMANDA VERÍSSIMO FERREIRA (794)"</f>
        <v>AMANDA VERÍSSIMO FERREIRA (794)</v>
      </c>
      <c r="H241" t="s">
        <v>99</v>
      </c>
      <c r="I241" t="str">
        <f t="shared" si="70"/>
        <v>04/09/2025</v>
      </c>
      <c r="J241" t="str">
        <f t="shared" si="72"/>
        <v>25/08/2025</v>
      </c>
      <c r="K241">
        <v>45904</v>
      </c>
      <c r="N241">
        <v>109</v>
      </c>
      <c r="O241" t="s">
        <v>24</v>
      </c>
      <c r="Q241">
        <v>118.43</v>
      </c>
      <c r="R241" t="str">
        <f>"FARMÁCIA INDIANA LJ 143 (10067)"</f>
        <v>FARMÁCIA INDIANA LJ 143 (10067)</v>
      </c>
      <c r="S241" t="s">
        <v>77</v>
      </c>
      <c r="T241">
        <v>17487</v>
      </c>
      <c r="U241">
        <v>20842</v>
      </c>
      <c r="V241" t="s">
        <v>77</v>
      </c>
    </row>
    <row r="242" spans="1:22">
      <c r="A242" t="str">
        <f t="shared" si="62"/>
        <v>04/09/2025</v>
      </c>
      <c r="B242" t="str">
        <f t="shared" si="73"/>
        <v>SAÍDA</v>
      </c>
      <c r="C242" t="str">
        <f t="shared" si="68"/>
        <v>PIX</v>
      </c>
      <c r="D242" t="str">
        <f>"20843"</f>
        <v>20843</v>
      </c>
      <c r="E242" t="str">
        <f t="shared" si="69"/>
        <v>1</v>
      </c>
      <c r="F242" t="str">
        <f t="shared" si="65"/>
        <v>COM</v>
      </c>
      <c r="G242" t="str">
        <f>"ANISSO ANIDAL DE PAULA (161)"</f>
        <v>ANISSO ANIDAL DE PAULA (161)</v>
      </c>
      <c r="H242" t="str">
        <f>"Serv.Prest. 18/08/2025 a 24/08/2025 - PIX: E-MAIL - CHAVE: anissoanidaldepaula@gmail.com"</f>
        <v>Serv.Prest. 18/08/2025 a 24/08/2025 - PIX: E-MAIL - CHAVE: anissoanidaldepaula@gmail.com</v>
      </c>
      <c r="I242" t="str">
        <f t="shared" si="70"/>
        <v>04/09/2025</v>
      </c>
      <c r="J242" t="str">
        <f t="shared" si="72"/>
        <v>25/08/2025</v>
      </c>
      <c r="K242" t="str">
        <f>("04/09/2025")</f>
        <v>04/09/2025</v>
      </c>
      <c r="L242">
        <v>834</v>
      </c>
      <c r="M242">
        <v>834</v>
      </c>
      <c r="N242">
        <v>109</v>
      </c>
      <c r="O242" t="str">
        <f>"PAGAMENTO DE ENTREGADORES"</f>
        <v>PAGAMENTO DE ENTREGADORES</v>
      </c>
      <c r="P242">
        <v>834</v>
      </c>
      <c r="S242" t="str">
        <f>"BANCO C6 (149)"</f>
        <v>BANCO C6 (149)</v>
      </c>
      <c r="T242">
        <v>17488</v>
      </c>
      <c r="U242">
        <v>20843</v>
      </c>
      <c r="V242" t="s">
        <v>77</v>
      </c>
    </row>
    <row r="243" spans="1:22">
      <c r="A243" t="str">
        <f t="shared" si="62"/>
        <v>04/09/2025</v>
      </c>
      <c r="B243" t="str">
        <f t="shared" si="73"/>
        <v>SAÍDA</v>
      </c>
      <c r="C243" t="str">
        <f t="shared" si="68"/>
        <v>PIX</v>
      </c>
      <c r="D243" t="str">
        <f>"20843"</f>
        <v>20843</v>
      </c>
      <c r="E243" t="str">
        <f t="shared" si="69"/>
        <v>1</v>
      </c>
      <c r="F243" t="str">
        <f t="shared" si="65"/>
        <v>COM</v>
      </c>
      <c r="G243" t="str">
        <f>"ANISSO ANIDAL DE PAULA (161)"</f>
        <v>ANISSO ANIDAL DE PAULA (161)</v>
      </c>
      <c r="H243" t="s">
        <v>100</v>
      </c>
      <c r="I243" t="str">
        <f t="shared" si="70"/>
        <v>04/09/2025</v>
      </c>
      <c r="J243" t="str">
        <f t="shared" si="72"/>
        <v>25/08/2025</v>
      </c>
      <c r="K243">
        <v>45904</v>
      </c>
      <c r="N243">
        <v>109</v>
      </c>
      <c r="O243" t="s">
        <v>24</v>
      </c>
      <c r="Q243">
        <v>834</v>
      </c>
      <c r="R243" t="str">
        <f>"FARMÁCIA INDIANA LJ 18 (10011)"</f>
        <v>FARMÁCIA INDIANA LJ 18 (10011)</v>
      </c>
      <c r="S243" t="s">
        <v>77</v>
      </c>
      <c r="T243">
        <v>17488</v>
      </c>
      <c r="U243">
        <v>20843</v>
      </c>
      <c r="V243" t="s">
        <v>77</v>
      </c>
    </row>
    <row r="244" spans="1:22">
      <c r="A244" t="str">
        <f t="shared" si="62"/>
        <v>04/09/2025</v>
      </c>
      <c r="B244" t="str">
        <f t="shared" si="73"/>
        <v>SAÍDA</v>
      </c>
      <c r="C244" t="str">
        <f t="shared" si="68"/>
        <v>PIX</v>
      </c>
      <c r="D244" t="str">
        <f>"20844"</f>
        <v>20844</v>
      </c>
      <c r="E244" t="str">
        <f t="shared" si="69"/>
        <v>1</v>
      </c>
      <c r="F244" t="str">
        <f t="shared" si="65"/>
        <v>COM</v>
      </c>
      <c r="G244" t="str">
        <f>"ARLINDO JOSE MARTINS (909)"</f>
        <v>ARLINDO JOSE MARTINS (909)</v>
      </c>
      <c r="H244" t="str">
        <f>"Serv.Prest. 18/08/2025 a 24/08/2025 - PIX: CPF - CHAVE: 037.192.076-09"</f>
        <v>Serv.Prest. 18/08/2025 a 24/08/2025 - PIX: CPF - CHAVE: 037.192.076-09</v>
      </c>
      <c r="I244" t="str">
        <f t="shared" si="70"/>
        <v>04/09/2025</v>
      </c>
      <c r="J244" t="str">
        <f t="shared" si="72"/>
        <v>25/08/2025</v>
      </c>
      <c r="K244" t="str">
        <f>("04/09/2025")</f>
        <v>04/09/2025</v>
      </c>
      <c r="L244">
        <v>803</v>
      </c>
      <c r="M244">
        <v>803</v>
      </c>
      <c r="N244">
        <v>109</v>
      </c>
      <c r="O244" t="str">
        <f>"PAGAMENTO DE ENTREGADORES"</f>
        <v>PAGAMENTO DE ENTREGADORES</v>
      </c>
      <c r="P244">
        <v>803</v>
      </c>
      <c r="S244" t="str">
        <f>"BANCO C6 (149)"</f>
        <v>BANCO C6 (149)</v>
      </c>
      <c r="T244">
        <v>17489</v>
      </c>
      <c r="U244">
        <v>20844</v>
      </c>
      <c r="V244" t="s">
        <v>77</v>
      </c>
    </row>
    <row r="245" spans="1:22">
      <c r="A245" t="str">
        <f t="shared" si="62"/>
        <v>04/09/2025</v>
      </c>
      <c r="B245" t="str">
        <f t="shared" si="73"/>
        <v>SAÍDA</v>
      </c>
      <c r="C245" t="str">
        <f t="shared" si="68"/>
        <v>PIX</v>
      </c>
      <c r="D245" t="str">
        <f>"20844"</f>
        <v>20844</v>
      </c>
      <c r="E245" t="str">
        <f t="shared" si="69"/>
        <v>1</v>
      </c>
      <c r="F245" t="str">
        <f t="shared" si="65"/>
        <v>COM</v>
      </c>
      <c r="G245" t="str">
        <f>"ARLINDO JOSE MARTINS (909)"</f>
        <v>ARLINDO JOSE MARTINS (909)</v>
      </c>
      <c r="H245" t="s">
        <v>101</v>
      </c>
      <c r="I245" t="str">
        <f t="shared" si="70"/>
        <v>04/09/2025</v>
      </c>
      <c r="J245" t="str">
        <f t="shared" si="72"/>
        <v>25/08/2025</v>
      </c>
      <c r="K245">
        <v>45904</v>
      </c>
      <c r="N245">
        <v>109</v>
      </c>
      <c r="O245" t="s">
        <v>24</v>
      </c>
      <c r="Q245">
        <v>803</v>
      </c>
      <c r="R245" t="str">
        <f>"FARMÁCIA INDIANA LJ 185 (10141)"</f>
        <v>FARMÁCIA INDIANA LJ 185 (10141)</v>
      </c>
      <c r="S245" t="s">
        <v>77</v>
      </c>
      <c r="T245">
        <v>17489</v>
      </c>
      <c r="U245">
        <v>20844</v>
      </c>
      <c r="V245" t="s">
        <v>77</v>
      </c>
    </row>
    <row r="246" spans="1:22">
      <c r="A246" t="str">
        <f t="shared" si="62"/>
        <v>04/09/2025</v>
      </c>
      <c r="B246" t="str">
        <f>"ENTRADA"</f>
        <v>ENTRADA</v>
      </c>
      <c r="C246" t="str">
        <f t="shared" si="68"/>
        <v>PIX</v>
      </c>
      <c r="D246" t="str">
        <f>"20845"</f>
        <v>20845</v>
      </c>
      <c r="E246" t="str">
        <f t="shared" si="69"/>
        <v>1</v>
      </c>
      <c r="F246" t="str">
        <f t="shared" si="65"/>
        <v>COM</v>
      </c>
      <c r="G246" t="str">
        <f>"BRUNO BARBOSA DE MATOS (82)"</f>
        <v>BRUNO BARBOSA DE MATOS (82)</v>
      </c>
      <c r="H246" t="str">
        <f>"DESC DE BAG, UNIFORME, PLANOS Serv.Prest. 18/08/2025 a 24/08/2025 - PIX: CPF - CHAVE: 137.446.146-62"</f>
        <v>DESC DE BAG, UNIFORME, PLANOS Serv.Prest. 18/08/2025 a 24/08/2025 - PIX: CPF - CHAVE: 137.446.146-62</v>
      </c>
      <c r="I246" t="str">
        <f t="shared" si="70"/>
        <v>04/09/2025</v>
      </c>
      <c r="J246" t="str">
        <f t="shared" si="72"/>
        <v>25/08/2025</v>
      </c>
      <c r="K246" t="str">
        <f>("04/09/2025")</f>
        <v>04/09/2025</v>
      </c>
      <c r="N246">
        <v>108</v>
      </c>
      <c r="O246" t="str">
        <f>"RECEITAS COM REEMBOLSOS"</f>
        <v>RECEITAS COM REEMBOLSOS</v>
      </c>
      <c r="P246">
        <v>20</v>
      </c>
      <c r="S246" t="str">
        <f>"BANCO C6 (149)"</f>
        <v>BANCO C6 (149)</v>
      </c>
      <c r="T246">
        <v>17490</v>
      </c>
      <c r="U246">
        <v>20845</v>
      </c>
      <c r="V246" t="s">
        <v>77</v>
      </c>
    </row>
    <row r="247" spans="1:22">
      <c r="A247" t="str">
        <f t="shared" si="62"/>
        <v>04/09/2025</v>
      </c>
      <c r="B247" t="str">
        <f t="shared" ref="B247:B254" si="74">"SAÍDA"</f>
        <v>SAÍDA</v>
      </c>
      <c r="C247" t="str">
        <f t="shared" si="68"/>
        <v>PIX</v>
      </c>
      <c r="D247" t="str">
        <f>"20845"</f>
        <v>20845</v>
      </c>
      <c r="E247" t="str">
        <f t="shared" si="69"/>
        <v>1</v>
      </c>
      <c r="F247" t="str">
        <f t="shared" si="65"/>
        <v>COM</v>
      </c>
      <c r="G247" t="str">
        <f>"BRUNO BARBOSA DE MATOS (82)"</f>
        <v>BRUNO BARBOSA DE MATOS (82)</v>
      </c>
      <c r="H247" t="str">
        <f>"Serv.Prest. 18/08/2025 a 24/08/2025 - PIX: CPF - CHAVE: 137.446.146-62"</f>
        <v>Serv.Prest. 18/08/2025 a 24/08/2025 - PIX: CPF - CHAVE: 137.446.146-62</v>
      </c>
      <c r="I247" t="str">
        <f t="shared" si="70"/>
        <v>04/09/2025</v>
      </c>
      <c r="J247" t="str">
        <f t="shared" si="72"/>
        <v>25/08/2025</v>
      </c>
      <c r="K247" t="str">
        <f>("04/09/2025")</f>
        <v>04/09/2025</v>
      </c>
      <c r="L247">
        <v>1332</v>
      </c>
      <c r="M247">
        <v>1312</v>
      </c>
      <c r="N247">
        <v>109</v>
      </c>
      <c r="O247" t="str">
        <f>"PAGAMENTO DE ENTREGADORES"</f>
        <v>PAGAMENTO DE ENTREGADORES</v>
      </c>
      <c r="P247">
        <v>1332</v>
      </c>
      <c r="S247" t="str">
        <f>"BANCO C6 (149)"</f>
        <v>BANCO C6 (149)</v>
      </c>
      <c r="T247">
        <v>17490</v>
      </c>
      <c r="U247">
        <v>20845</v>
      </c>
      <c r="V247" t="s">
        <v>77</v>
      </c>
    </row>
    <row r="248" spans="1:22">
      <c r="A248" t="str">
        <f t="shared" si="62"/>
        <v>04/09/2025</v>
      </c>
      <c r="B248" t="str">
        <f t="shared" si="74"/>
        <v>SAÍDA</v>
      </c>
      <c r="C248" t="str">
        <f t="shared" si="68"/>
        <v>PIX</v>
      </c>
      <c r="D248" t="str">
        <f>"20845"</f>
        <v>20845</v>
      </c>
      <c r="E248" t="str">
        <f t="shared" si="69"/>
        <v>1</v>
      </c>
      <c r="F248" t="str">
        <f t="shared" si="65"/>
        <v>COM</v>
      </c>
      <c r="G248" t="str">
        <f>"BRUNO BARBOSA DE MATOS (82)"</f>
        <v>BRUNO BARBOSA DE MATOS (82)</v>
      </c>
      <c r="H248" t="s">
        <v>102</v>
      </c>
      <c r="I248" t="str">
        <f t="shared" si="70"/>
        <v>04/09/2025</v>
      </c>
      <c r="J248" t="str">
        <f t="shared" si="72"/>
        <v>25/08/2025</v>
      </c>
      <c r="K248">
        <v>45904</v>
      </c>
      <c r="N248">
        <v>108</v>
      </c>
      <c r="O248" t="s">
        <v>54</v>
      </c>
      <c r="Q248">
        <v>1312</v>
      </c>
      <c r="R248" t="str">
        <f>"FARMÁCIA INDIANA LJ 152 (10069)"</f>
        <v>FARMÁCIA INDIANA LJ 152 (10069)</v>
      </c>
      <c r="S248" t="s">
        <v>77</v>
      </c>
      <c r="T248">
        <v>17490</v>
      </c>
      <c r="U248">
        <v>20845</v>
      </c>
      <c r="V248" t="s">
        <v>77</v>
      </c>
    </row>
    <row r="249" spans="1:22">
      <c r="A249" t="str">
        <f t="shared" si="62"/>
        <v>04/09/2025</v>
      </c>
      <c r="B249" t="str">
        <f t="shared" si="74"/>
        <v>SAÍDA</v>
      </c>
      <c r="C249" t="str">
        <f t="shared" si="68"/>
        <v>PIX</v>
      </c>
      <c r="D249" t="str">
        <f>"20846"</f>
        <v>20846</v>
      </c>
      <c r="E249" t="str">
        <f t="shared" si="69"/>
        <v>1</v>
      </c>
      <c r="F249" t="str">
        <f t="shared" si="65"/>
        <v>COM</v>
      </c>
      <c r="G249" t="str">
        <f>"BRUNO DOS SANTOS MACHADO (702)"</f>
        <v>BRUNO DOS SANTOS MACHADO (702)</v>
      </c>
      <c r="H249" t="str">
        <f>"Serv.Prest. 18/08/2025 a 24/08/2025 - PIX: CPF - CHAVE: 155.328.666-94"</f>
        <v>Serv.Prest. 18/08/2025 a 24/08/2025 - PIX: CPF - CHAVE: 155.328.666-94</v>
      </c>
      <c r="I249" t="str">
        <f t="shared" si="70"/>
        <v>04/09/2025</v>
      </c>
      <c r="J249" t="str">
        <f t="shared" si="72"/>
        <v>25/08/2025</v>
      </c>
      <c r="K249" t="str">
        <f>("04/09/2025")</f>
        <v>04/09/2025</v>
      </c>
      <c r="L249">
        <v>2200</v>
      </c>
      <c r="M249">
        <v>2200</v>
      </c>
      <c r="N249">
        <v>109</v>
      </c>
      <c r="O249" t="str">
        <f>"PAGAMENTO DE ENTREGADORES"</f>
        <v>PAGAMENTO DE ENTREGADORES</v>
      </c>
      <c r="P249">
        <v>2200</v>
      </c>
      <c r="S249" t="str">
        <f>"BANCO C6 (149)"</f>
        <v>BANCO C6 (149)</v>
      </c>
      <c r="T249">
        <v>17491</v>
      </c>
      <c r="U249">
        <v>20846</v>
      </c>
      <c r="V249" t="s">
        <v>77</v>
      </c>
    </row>
    <row r="250" spans="1:22">
      <c r="A250" t="str">
        <f t="shared" ref="A250:A313" si="75">("04/09/2025")</f>
        <v>04/09/2025</v>
      </c>
      <c r="B250" t="str">
        <f t="shared" si="74"/>
        <v>SAÍDA</v>
      </c>
      <c r="C250" t="str">
        <f t="shared" si="68"/>
        <v>PIX</v>
      </c>
      <c r="D250" t="str">
        <f>"20846"</f>
        <v>20846</v>
      </c>
      <c r="E250" t="str">
        <f t="shared" si="69"/>
        <v>1</v>
      </c>
      <c r="F250" t="str">
        <f t="shared" si="65"/>
        <v>COM</v>
      </c>
      <c r="G250" t="str">
        <f>"BRUNO DOS SANTOS MACHADO (702)"</f>
        <v>BRUNO DOS SANTOS MACHADO (702)</v>
      </c>
      <c r="H250" t="s">
        <v>103</v>
      </c>
      <c r="I250" t="str">
        <f t="shared" si="70"/>
        <v>04/09/2025</v>
      </c>
      <c r="J250" t="str">
        <f t="shared" si="72"/>
        <v>25/08/2025</v>
      </c>
      <c r="K250">
        <v>45904</v>
      </c>
      <c r="N250">
        <v>109</v>
      </c>
      <c r="O250" t="s">
        <v>24</v>
      </c>
      <c r="Q250">
        <v>1807.08</v>
      </c>
      <c r="R250" t="str">
        <f>"FARMÁCIA INDIANA LJ 204 (10087)"</f>
        <v>FARMÁCIA INDIANA LJ 204 (10087)</v>
      </c>
      <c r="S250" t="s">
        <v>77</v>
      </c>
      <c r="T250">
        <v>17491</v>
      </c>
      <c r="U250">
        <v>20846</v>
      </c>
      <c r="V250" t="s">
        <v>77</v>
      </c>
    </row>
    <row r="251" spans="1:22">
      <c r="A251" t="str">
        <f t="shared" si="75"/>
        <v>04/09/2025</v>
      </c>
      <c r="B251" t="str">
        <f t="shared" si="74"/>
        <v>SAÍDA</v>
      </c>
      <c r="C251" t="str">
        <f t="shared" si="68"/>
        <v>PIX</v>
      </c>
      <c r="D251" t="str">
        <f>"20846"</f>
        <v>20846</v>
      </c>
      <c r="E251" t="str">
        <f t="shared" si="69"/>
        <v>1</v>
      </c>
      <c r="F251" t="str">
        <f t="shared" si="65"/>
        <v>COM</v>
      </c>
      <c r="G251" t="str">
        <f>"BRUNO DOS SANTOS MACHADO (702)"</f>
        <v>BRUNO DOS SANTOS MACHADO (702)</v>
      </c>
      <c r="H251" t="s">
        <v>103</v>
      </c>
      <c r="I251" t="str">
        <f t="shared" si="70"/>
        <v>04/09/2025</v>
      </c>
      <c r="J251" t="str">
        <f t="shared" si="72"/>
        <v>25/08/2025</v>
      </c>
      <c r="K251">
        <v>45904</v>
      </c>
      <c r="N251">
        <v>109</v>
      </c>
      <c r="O251" t="s">
        <v>24</v>
      </c>
      <c r="Q251">
        <v>392.92</v>
      </c>
      <c r="R251" t="str">
        <f>"FARMÁCIA INDIANA LJ 266 (10186)"</f>
        <v>FARMÁCIA INDIANA LJ 266 (10186)</v>
      </c>
      <c r="S251" t="s">
        <v>77</v>
      </c>
      <c r="T251">
        <v>17491</v>
      </c>
      <c r="U251">
        <v>20846</v>
      </c>
      <c r="V251" t="s">
        <v>77</v>
      </c>
    </row>
    <row r="252" spans="1:22">
      <c r="A252" t="str">
        <f t="shared" si="75"/>
        <v>04/09/2025</v>
      </c>
      <c r="B252" t="str">
        <f t="shared" si="74"/>
        <v>SAÍDA</v>
      </c>
      <c r="C252" t="str">
        <f t="shared" si="68"/>
        <v>PIX</v>
      </c>
      <c r="D252" t="str">
        <f>"20847"</f>
        <v>20847</v>
      </c>
      <c r="E252" t="str">
        <f t="shared" si="69"/>
        <v>1</v>
      </c>
      <c r="F252" t="str">
        <f t="shared" si="65"/>
        <v>COM</v>
      </c>
      <c r="G252" t="str">
        <f>"BRUNO WAGNER DE CARVALHO OLIVEIRA (84)"</f>
        <v>BRUNO WAGNER DE CARVALHO OLIVEIRA (84)</v>
      </c>
      <c r="H252" t="str">
        <f>"Serv.Prest. 18/08/2025 a 24/08/2025 - PIX: CELULAR - CHAVE: (32) 98896-0708"</f>
        <v>Serv.Prest. 18/08/2025 a 24/08/2025 - PIX: CELULAR - CHAVE: (32) 98896-0708</v>
      </c>
      <c r="I252" t="str">
        <f t="shared" si="70"/>
        <v>04/09/2025</v>
      </c>
      <c r="J252" t="str">
        <f t="shared" si="72"/>
        <v>25/08/2025</v>
      </c>
      <c r="K252" t="str">
        <f>("04/09/2025")</f>
        <v>04/09/2025</v>
      </c>
      <c r="L252">
        <v>700</v>
      </c>
      <c r="M252">
        <v>700</v>
      </c>
      <c r="N252">
        <v>109</v>
      </c>
      <c r="O252" t="str">
        <f>"PAGAMENTO DE ENTREGADORES"</f>
        <v>PAGAMENTO DE ENTREGADORES</v>
      </c>
      <c r="P252">
        <v>700</v>
      </c>
      <c r="S252" t="str">
        <f>"BANCO C6 (149)"</f>
        <v>BANCO C6 (149)</v>
      </c>
      <c r="T252">
        <v>17492</v>
      </c>
      <c r="U252">
        <v>20847</v>
      </c>
      <c r="V252" t="s">
        <v>77</v>
      </c>
    </row>
    <row r="253" spans="1:22">
      <c r="A253" t="str">
        <f t="shared" si="75"/>
        <v>04/09/2025</v>
      </c>
      <c r="B253" t="str">
        <f t="shared" si="74"/>
        <v>SAÍDA</v>
      </c>
      <c r="C253" t="str">
        <f t="shared" si="68"/>
        <v>PIX</v>
      </c>
      <c r="D253" t="str">
        <f>"20847"</f>
        <v>20847</v>
      </c>
      <c r="E253" t="str">
        <f t="shared" si="69"/>
        <v>1</v>
      </c>
      <c r="F253" t="str">
        <f t="shared" si="65"/>
        <v>COM</v>
      </c>
      <c r="G253" t="str">
        <f>"BRUNO WAGNER DE CARVALHO OLIVEIRA (84)"</f>
        <v>BRUNO WAGNER DE CARVALHO OLIVEIRA (84)</v>
      </c>
      <c r="H253" t="s">
        <v>104</v>
      </c>
      <c r="I253" t="str">
        <f t="shared" si="70"/>
        <v>04/09/2025</v>
      </c>
      <c r="J253" t="str">
        <f t="shared" si="72"/>
        <v>25/08/2025</v>
      </c>
      <c r="K253">
        <v>45904</v>
      </c>
      <c r="N253">
        <v>109</v>
      </c>
      <c r="O253" t="s">
        <v>24</v>
      </c>
      <c r="Q253">
        <v>414.82</v>
      </c>
      <c r="R253" t="str">
        <f>"FARMÁCIA INDIANA LJ 182 (10079)"</f>
        <v>FARMÁCIA INDIANA LJ 182 (10079)</v>
      </c>
      <c r="S253" t="s">
        <v>77</v>
      </c>
      <c r="T253">
        <v>17492</v>
      </c>
      <c r="U253">
        <v>20847</v>
      </c>
      <c r="V253" t="s">
        <v>77</v>
      </c>
    </row>
    <row r="254" spans="1:22">
      <c r="A254" t="str">
        <f t="shared" si="75"/>
        <v>04/09/2025</v>
      </c>
      <c r="B254" t="str">
        <f t="shared" si="74"/>
        <v>SAÍDA</v>
      </c>
      <c r="C254" t="str">
        <f t="shared" si="68"/>
        <v>PIX</v>
      </c>
      <c r="D254" t="str">
        <f>"20847"</f>
        <v>20847</v>
      </c>
      <c r="E254" t="str">
        <f t="shared" si="69"/>
        <v>1</v>
      </c>
      <c r="F254" t="str">
        <f t="shared" si="65"/>
        <v>COM</v>
      </c>
      <c r="G254" t="str">
        <f>"BRUNO WAGNER DE CARVALHO OLIVEIRA (84)"</f>
        <v>BRUNO WAGNER DE CARVALHO OLIVEIRA (84)</v>
      </c>
      <c r="H254" t="s">
        <v>104</v>
      </c>
      <c r="I254" t="str">
        <f t="shared" si="70"/>
        <v>04/09/2025</v>
      </c>
      <c r="J254" t="str">
        <f t="shared" si="72"/>
        <v>25/08/2025</v>
      </c>
      <c r="K254">
        <v>45904</v>
      </c>
      <c r="N254">
        <v>109</v>
      </c>
      <c r="O254" t="s">
        <v>24</v>
      </c>
      <c r="Q254">
        <v>285.18</v>
      </c>
      <c r="R254" t="str">
        <f>"FARMÁCIA INDIANA LJ 186 (10081)"</f>
        <v>FARMÁCIA INDIANA LJ 186 (10081)</v>
      </c>
      <c r="S254" t="s">
        <v>77</v>
      </c>
      <c r="T254">
        <v>17492</v>
      </c>
      <c r="U254">
        <v>20847</v>
      </c>
      <c r="V254" t="s">
        <v>77</v>
      </c>
    </row>
    <row r="255" spans="1:22">
      <c r="A255" t="str">
        <f t="shared" si="75"/>
        <v>04/09/2025</v>
      </c>
      <c r="B255" t="str">
        <f>"ENTRADA"</f>
        <v>ENTRADA</v>
      </c>
      <c r="C255" t="str">
        <f t="shared" si="68"/>
        <v>PIX</v>
      </c>
      <c r="D255" t="str">
        <f>"20848"</f>
        <v>20848</v>
      </c>
      <c r="E255" t="str">
        <f t="shared" si="69"/>
        <v>1</v>
      </c>
      <c r="F255" t="str">
        <f t="shared" si="65"/>
        <v>COM</v>
      </c>
      <c r="G255" t="str">
        <f>"CARLOS ROBERTO BADARÓ MACHADO (78)"</f>
        <v>CARLOS ROBERTO BADARÓ MACHADO (78)</v>
      </c>
      <c r="H255" t="str">
        <f>"DESC DE BAG, UNIFORME, PLANOS Serv.Prest. 18/08/2025 a 24/08/2025 - PIX: CELULAR - CHAVE: (32) 99166-8238"</f>
        <v>DESC DE BAG, UNIFORME, PLANOS Serv.Prest. 18/08/2025 a 24/08/2025 - PIX: CELULAR - CHAVE: (32) 99166-8238</v>
      </c>
      <c r="I255" t="str">
        <f t="shared" si="70"/>
        <v>04/09/2025</v>
      </c>
      <c r="J255" t="str">
        <f t="shared" si="72"/>
        <v>25/08/2025</v>
      </c>
      <c r="K255" t="str">
        <f>("04/09/2025")</f>
        <v>04/09/2025</v>
      </c>
      <c r="N255">
        <v>108</v>
      </c>
      <c r="O255" t="str">
        <f>"RECEITAS COM REEMBOLSOS"</f>
        <v>RECEITAS COM REEMBOLSOS</v>
      </c>
      <c r="P255">
        <v>20</v>
      </c>
      <c r="S255" t="str">
        <f>"BANCO C6 (149)"</f>
        <v>BANCO C6 (149)</v>
      </c>
      <c r="T255">
        <v>17493</v>
      </c>
      <c r="U255">
        <v>20848</v>
      </c>
      <c r="V255" t="s">
        <v>77</v>
      </c>
    </row>
    <row r="256" spans="1:22">
      <c r="A256" t="str">
        <f t="shared" si="75"/>
        <v>04/09/2025</v>
      </c>
      <c r="B256" t="str">
        <f t="shared" ref="B256:B261" si="76">"SAÍDA"</f>
        <v>SAÍDA</v>
      </c>
      <c r="C256" t="str">
        <f t="shared" si="68"/>
        <v>PIX</v>
      </c>
      <c r="D256" t="str">
        <f>"20848"</f>
        <v>20848</v>
      </c>
      <c r="E256" t="str">
        <f t="shared" si="69"/>
        <v>1</v>
      </c>
      <c r="F256" t="str">
        <f t="shared" si="65"/>
        <v>COM</v>
      </c>
      <c r="G256" t="str">
        <f>"CARLOS ROBERTO BADARÓ MACHADO (78)"</f>
        <v>CARLOS ROBERTO BADARÓ MACHADO (78)</v>
      </c>
      <c r="H256" t="str">
        <f>"Serv.Prest. 18/08/2025 a 24/08/2025 - PIX: CELULAR - CHAVE: (32) 99166-8238"</f>
        <v>Serv.Prest. 18/08/2025 a 24/08/2025 - PIX: CELULAR - CHAVE: (32) 99166-8238</v>
      </c>
      <c r="I256" t="str">
        <f t="shared" si="70"/>
        <v>04/09/2025</v>
      </c>
      <c r="J256" t="str">
        <f t="shared" si="72"/>
        <v>25/08/2025</v>
      </c>
      <c r="K256" t="str">
        <f>("04/09/2025")</f>
        <v>04/09/2025</v>
      </c>
      <c r="L256">
        <v>1692</v>
      </c>
      <c r="M256">
        <v>1672</v>
      </c>
      <c r="N256">
        <v>109</v>
      </c>
      <c r="O256" t="str">
        <f>"PAGAMENTO DE ENTREGADORES"</f>
        <v>PAGAMENTO DE ENTREGADORES</v>
      </c>
      <c r="P256">
        <v>1692</v>
      </c>
      <c r="S256" t="str">
        <f>"BANCO C6 (149)"</f>
        <v>BANCO C6 (149)</v>
      </c>
      <c r="T256">
        <v>17493</v>
      </c>
      <c r="U256">
        <v>20848</v>
      </c>
      <c r="V256" t="s">
        <v>77</v>
      </c>
    </row>
    <row r="257" spans="1:22">
      <c r="A257" t="str">
        <f t="shared" si="75"/>
        <v>04/09/2025</v>
      </c>
      <c r="B257" t="str">
        <f t="shared" si="76"/>
        <v>SAÍDA</v>
      </c>
      <c r="C257" t="str">
        <f t="shared" si="68"/>
        <v>PIX</v>
      </c>
      <c r="D257" t="str">
        <f>"20848"</f>
        <v>20848</v>
      </c>
      <c r="E257" t="str">
        <f t="shared" si="69"/>
        <v>1</v>
      </c>
      <c r="F257" t="str">
        <f t="shared" si="65"/>
        <v>COM</v>
      </c>
      <c r="G257" t="str">
        <f>"CARLOS ROBERTO BADARÓ MACHADO (78)"</f>
        <v>CARLOS ROBERTO BADARÓ MACHADO (78)</v>
      </c>
      <c r="H257" t="s">
        <v>105</v>
      </c>
      <c r="I257" t="str">
        <f t="shared" si="70"/>
        <v>04/09/2025</v>
      </c>
      <c r="J257" t="str">
        <f t="shared" si="72"/>
        <v>25/08/2025</v>
      </c>
      <c r="K257">
        <v>45904</v>
      </c>
      <c r="N257">
        <v>108</v>
      </c>
      <c r="O257" t="s">
        <v>54</v>
      </c>
      <c r="Q257">
        <v>1672</v>
      </c>
      <c r="R257" t="str">
        <f>"FARMÁCIA INDIANA LJ 109 (10047)"</f>
        <v>FARMÁCIA INDIANA LJ 109 (10047)</v>
      </c>
      <c r="S257" t="s">
        <v>77</v>
      </c>
      <c r="T257">
        <v>17493</v>
      </c>
      <c r="U257">
        <v>20848</v>
      </c>
      <c r="V257" t="s">
        <v>77</v>
      </c>
    </row>
    <row r="258" spans="1:22">
      <c r="A258" t="str">
        <f t="shared" si="75"/>
        <v>04/09/2025</v>
      </c>
      <c r="B258" t="str">
        <f t="shared" si="76"/>
        <v>SAÍDA</v>
      </c>
      <c r="C258" t="str">
        <f t="shared" si="68"/>
        <v>PIX</v>
      </c>
      <c r="D258" t="str">
        <f>"20849"</f>
        <v>20849</v>
      </c>
      <c r="E258" t="str">
        <f t="shared" si="69"/>
        <v>1</v>
      </c>
      <c r="F258" t="str">
        <f t="shared" ref="F258:F321" si="77">"COM"</f>
        <v>COM</v>
      </c>
      <c r="G258" t="str">
        <f>"CASSIO DIAS RIBEIRO (32)"</f>
        <v>CASSIO DIAS RIBEIRO (32)</v>
      </c>
      <c r="H258" t="str">
        <f>"Serv.Prest. 18/08/2025 a 24/08/2025 - PIX: CPF - CHAVE: 091.575.986-14"</f>
        <v>Serv.Prest. 18/08/2025 a 24/08/2025 - PIX: CPF - CHAVE: 091.575.986-14</v>
      </c>
      <c r="I258" t="str">
        <f t="shared" si="70"/>
        <v>04/09/2025</v>
      </c>
      <c r="J258" t="str">
        <f t="shared" si="72"/>
        <v>25/08/2025</v>
      </c>
      <c r="K258" t="str">
        <f>("04/09/2025")</f>
        <v>04/09/2025</v>
      </c>
      <c r="L258">
        <v>588</v>
      </c>
      <c r="M258">
        <v>588</v>
      </c>
      <c r="N258">
        <v>109</v>
      </c>
      <c r="O258" t="str">
        <f>"PAGAMENTO DE ENTREGADORES"</f>
        <v>PAGAMENTO DE ENTREGADORES</v>
      </c>
      <c r="P258">
        <v>588</v>
      </c>
      <c r="S258" t="str">
        <f>"BANCO C6 (149)"</f>
        <v>BANCO C6 (149)</v>
      </c>
      <c r="T258">
        <v>17494</v>
      </c>
      <c r="U258">
        <v>20849</v>
      </c>
      <c r="V258" t="s">
        <v>77</v>
      </c>
    </row>
    <row r="259" spans="1:22">
      <c r="A259" t="str">
        <f t="shared" si="75"/>
        <v>04/09/2025</v>
      </c>
      <c r="B259" t="str">
        <f t="shared" si="76"/>
        <v>SAÍDA</v>
      </c>
      <c r="C259" t="str">
        <f t="shared" si="68"/>
        <v>PIX</v>
      </c>
      <c r="D259" t="str">
        <f>"20849"</f>
        <v>20849</v>
      </c>
      <c r="E259" t="str">
        <f t="shared" si="69"/>
        <v>1</v>
      </c>
      <c r="F259" t="str">
        <f t="shared" si="77"/>
        <v>COM</v>
      </c>
      <c r="G259" t="str">
        <f>"CASSIO DIAS RIBEIRO (32)"</f>
        <v>CASSIO DIAS RIBEIRO (32)</v>
      </c>
      <c r="H259" t="s">
        <v>106</v>
      </c>
      <c r="I259" t="str">
        <f t="shared" si="70"/>
        <v>04/09/2025</v>
      </c>
      <c r="J259" t="str">
        <f t="shared" si="72"/>
        <v>25/08/2025</v>
      </c>
      <c r="K259">
        <v>45904</v>
      </c>
      <c r="N259">
        <v>109</v>
      </c>
      <c r="O259" t="s">
        <v>24</v>
      </c>
      <c r="Q259">
        <v>588</v>
      </c>
      <c r="R259" t="str">
        <f>"FARMÁCIA INDIANA LJ 11 (10008)"</f>
        <v>FARMÁCIA INDIANA LJ 11 (10008)</v>
      </c>
      <c r="S259" t="s">
        <v>77</v>
      </c>
      <c r="T259">
        <v>17494</v>
      </c>
      <c r="U259">
        <v>20849</v>
      </c>
      <c r="V259" t="s">
        <v>77</v>
      </c>
    </row>
    <row r="260" spans="1:22">
      <c r="A260" t="str">
        <f t="shared" si="75"/>
        <v>04/09/2025</v>
      </c>
      <c r="B260" t="str">
        <f t="shared" si="76"/>
        <v>SAÍDA</v>
      </c>
      <c r="C260" t="str">
        <f t="shared" si="68"/>
        <v>PIX</v>
      </c>
      <c r="D260" t="str">
        <f>"20850"</f>
        <v>20850</v>
      </c>
      <c r="E260" t="str">
        <f t="shared" si="69"/>
        <v>1</v>
      </c>
      <c r="F260" t="str">
        <f t="shared" si="77"/>
        <v>COM</v>
      </c>
      <c r="G260" t="str">
        <f>"CELIO JOSÉ RIBEIRO (189)"</f>
        <v>CELIO JOSÉ RIBEIRO (189)</v>
      </c>
      <c r="H260" t="str">
        <f>"Serv.Prest. 18/08/2025 a 24/08/2025 - PIX: CELULAR - CHAVE: (33) 98845-4528"</f>
        <v>Serv.Prest. 18/08/2025 a 24/08/2025 - PIX: CELULAR - CHAVE: (33) 98845-4528</v>
      </c>
      <c r="I260" t="str">
        <f t="shared" si="70"/>
        <v>04/09/2025</v>
      </c>
      <c r="J260" t="str">
        <f t="shared" si="72"/>
        <v>25/08/2025</v>
      </c>
      <c r="K260" t="str">
        <f>("04/09/2025")</f>
        <v>04/09/2025</v>
      </c>
      <c r="L260">
        <v>1017.5</v>
      </c>
      <c r="M260">
        <v>1017.5</v>
      </c>
      <c r="N260">
        <v>109</v>
      </c>
      <c r="O260" t="str">
        <f>"PAGAMENTO DE ENTREGADORES"</f>
        <v>PAGAMENTO DE ENTREGADORES</v>
      </c>
      <c r="P260">
        <v>1017.5</v>
      </c>
      <c r="S260" t="str">
        <f>"BANCO C6 (149)"</f>
        <v>BANCO C6 (149)</v>
      </c>
      <c r="T260">
        <v>17495</v>
      </c>
      <c r="U260">
        <v>20850</v>
      </c>
      <c r="V260" t="s">
        <v>77</v>
      </c>
    </row>
    <row r="261" spans="1:22">
      <c r="A261" t="str">
        <f t="shared" si="75"/>
        <v>04/09/2025</v>
      </c>
      <c r="B261" t="str">
        <f t="shared" si="76"/>
        <v>SAÍDA</v>
      </c>
      <c r="C261" t="str">
        <f t="shared" si="68"/>
        <v>PIX</v>
      </c>
      <c r="D261" t="str">
        <f>"20850"</f>
        <v>20850</v>
      </c>
      <c r="E261" t="str">
        <f t="shared" si="69"/>
        <v>1</v>
      </c>
      <c r="F261" t="str">
        <f t="shared" si="77"/>
        <v>COM</v>
      </c>
      <c r="G261" t="str">
        <f>"CELIO JOSÉ RIBEIRO (189)"</f>
        <v>CELIO JOSÉ RIBEIRO (189)</v>
      </c>
      <c r="H261" t="s">
        <v>107</v>
      </c>
      <c r="I261" t="str">
        <f t="shared" si="70"/>
        <v>04/09/2025</v>
      </c>
      <c r="J261" t="str">
        <f t="shared" si="72"/>
        <v>25/08/2025</v>
      </c>
      <c r="K261">
        <v>45904</v>
      </c>
      <c r="N261">
        <v>109</v>
      </c>
      <c r="O261" t="s">
        <v>24</v>
      </c>
      <c r="Q261">
        <v>1017.5</v>
      </c>
      <c r="R261" t="str">
        <f>"FARMÁCIA INDIANA LJ 06 (10006)"</f>
        <v>FARMÁCIA INDIANA LJ 06 (10006)</v>
      </c>
      <c r="S261" t="s">
        <v>77</v>
      </c>
      <c r="T261">
        <v>17495</v>
      </c>
      <c r="U261">
        <v>20850</v>
      </c>
      <c r="V261" t="s">
        <v>77</v>
      </c>
    </row>
    <row r="262" spans="1:22">
      <c r="A262" t="str">
        <f t="shared" si="75"/>
        <v>04/09/2025</v>
      </c>
      <c r="B262" t="str">
        <f>"ENTRADA"</f>
        <v>ENTRADA</v>
      </c>
      <c r="C262" t="str">
        <f t="shared" si="68"/>
        <v>PIX</v>
      </c>
      <c r="D262" t="str">
        <f>"20851"</f>
        <v>20851</v>
      </c>
      <c r="E262" t="str">
        <f t="shared" si="69"/>
        <v>1</v>
      </c>
      <c r="F262" t="str">
        <f t="shared" si="77"/>
        <v>COM</v>
      </c>
      <c r="G262" t="str">
        <f>"CLEIDIOMAR RIBEIRO FERREIRA (34)"</f>
        <v>CLEIDIOMAR RIBEIRO FERREIRA (34)</v>
      </c>
      <c r="H262" t="str">
        <f>"DESC DE BAG, UNIFORME, PLANOS Serv.Prest. 18/08/2025 a 24/08/2025 - PIX: CELULAR - CHAVE: (31) 98511-2851"</f>
        <v>DESC DE BAG, UNIFORME, PLANOS Serv.Prest. 18/08/2025 a 24/08/2025 - PIX: CELULAR - CHAVE: (31) 98511-2851</v>
      </c>
      <c r="I262" t="str">
        <f t="shared" si="70"/>
        <v>04/09/2025</v>
      </c>
      <c r="J262" t="str">
        <f t="shared" si="72"/>
        <v>25/08/2025</v>
      </c>
      <c r="K262" t="str">
        <f>("04/09/2025")</f>
        <v>04/09/2025</v>
      </c>
      <c r="N262">
        <v>108</v>
      </c>
      <c r="O262" t="str">
        <f>"RECEITAS COM REEMBOLSOS"</f>
        <v>RECEITAS COM REEMBOLSOS</v>
      </c>
      <c r="P262">
        <v>20</v>
      </c>
      <c r="S262" t="str">
        <f>"BANCO C6 (149)"</f>
        <v>BANCO C6 (149)</v>
      </c>
      <c r="T262">
        <v>17496</v>
      </c>
      <c r="U262">
        <v>20851</v>
      </c>
      <c r="V262" t="s">
        <v>77</v>
      </c>
    </row>
    <row r="263" spans="1:22">
      <c r="A263" t="str">
        <f t="shared" si="75"/>
        <v>04/09/2025</v>
      </c>
      <c r="B263" t="str">
        <f t="shared" ref="B263:B269" si="78">"SAÍDA"</f>
        <v>SAÍDA</v>
      </c>
      <c r="C263" t="str">
        <f t="shared" si="68"/>
        <v>PIX</v>
      </c>
      <c r="D263" t="str">
        <f>"20851"</f>
        <v>20851</v>
      </c>
      <c r="E263" t="str">
        <f t="shared" si="69"/>
        <v>1</v>
      </c>
      <c r="F263" t="str">
        <f t="shared" si="77"/>
        <v>COM</v>
      </c>
      <c r="G263" t="str">
        <f>"CLEIDIOMAR RIBEIRO FERREIRA (34)"</f>
        <v>CLEIDIOMAR RIBEIRO FERREIRA (34)</v>
      </c>
      <c r="H263" t="str">
        <f>"Serv.Prest. 18/08/2025 a 24/08/2025 - PIX: CELULAR - CHAVE: (31) 98511-2851"</f>
        <v>Serv.Prest. 18/08/2025 a 24/08/2025 - PIX: CELULAR - CHAVE: (31) 98511-2851</v>
      </c>
      <c r="I263" t="str">
        <f t="shared" si="70"/>
        <v>04/09/2025</v>
      </c>
      <c r="J263" t="str">
        <f t="shared" si="72"/>
        <v>25/08/2025</v>
      </c>
      <c r="K263" t="str">
        <f>("04/09/2025")</f>
        <v>04/09/2025</v>
      </c>
      <c r="L263">
        <v>1722</v>
      </c>
      <c r="M263">
        <v>1702</v>
      </c>
      <c r="N263">
        <v>109</v>
      </c>
      <c r="O263" t="str">
        <f>"PAGAMENTO DE ENTREGADORES"</f>
        <v>PAGAMENTO DE ENTREGADORES</v>
      </c>
      <c r="P263">
        <v>1722</v>
      </c>
      <c r="S263" t="str">
        <f>"BANCO C6 (149)"</f>
        <v>BANCO C6 (149)</v>
      </c>
      <c r="T263">
        <v>17496</v>
      </c>
      <c r="U263">
        <v>20851</v>
      </c>
      <c r="V263" t="s">
        <v>77</v>
      </c>
    </row>
    <row r="264" spans="1:22">
      <c r="A264" t="str">
        <f t="shared" si="75"/>
        <v>04/09/2025</v>
      </c>
      <c r="B264" t="str">
        <f t="shared" si="78"/>
        <v>SAÍDA</v>
      </c>
      <c r="C264" t="str">
        <f t="shared" si="68"/>
        <v>PIX</v>
      </c>
      <c r="D264" t="str">
        <f>"20851"</f>
        <v>20851</v>
      </c>
      <c r="E264" t="str">
        <f t="shared" si="69"/>
        <v>1</v>
      </c>
      <c r="F264" t="str">
        <f t="shared" si="77"/>
        <v>COM</v>
      </c>
      <c r="G264" t="str">
        <f>"CLEIDIOMAR RIBEIRO FERREIRA (34)"</f>
        <v>CLEIDIOMAR RIBEIRO FERREIRA (34)</v>
      </c>
      <c r="H264" t="s">
        <v>108</v>
      </c>
      <c r="I264" t="str">
        <f t="shared" si="70"/>
        <v>04/09/2025</v>
      </c>
      <c r="J264" t="str">
        <f t="shared" si="72"/>
        <v>25/08/2025</v>
      </c>
      <c r="K264">
        <v>45904</v>
      </c>
      <c r="N264">
        <v>108</v>
      </c>
      <c r="O264" t="s">
        <v>54</v>
      </c>
      <c r="Q264">
        <v>1702</v>
      </c>
      <c r="R264" t="str">
        <f>"FARMÁCIA INDIANA LJ 11 (10008)"</f>
        <v>FARMÁCIA INDIANA LJ 11 (10008)</v>
      </c>
      <c r="S264" t="s">
        <v>77</v>
      </c>
      <c r="T264">
        <v>17496</v>
      </c>
      <c r="U264">
        <v>20851</v>
      </c>
      <c r="V264" t="s">
        <v>77</v>
      </c>
    </row>
    <row r="265" spans="1:22">
      <c r="A265" t="str">
        <f t="shared" si="75"/>
        <v>04/09/2025</v>
      </c>
      <c r="B265" t="str">
        <f t="shared" si="78"/>
        <v>SAÍDA</v>
      </c>
      <c r="C265" t="str">
        <f t="shared" si="68"/>
        <v>PIX</v>
      </c>
      <c r="D265" t="str">
        <f>"20852"</f>
        <v>20852</v>
      </c>
      <c r="E265" t="str">
        <f t="shared" si="69"/>
        <v>1</v>
      </c>
      <c r="F265" t="str">
        <f t="shared" si="77"/>
        <v>COM</v>
      </c>
      <c r="G265" t="str">
        <f>"CRISTIANO XAVIER DA COSTA (269)"</f>
        <v>CRISTIANO XAVIER DA COSTA (269)</v>
      </c>
      <c r="H265" t="str">
        <f>"Serv.Prest. 18/08/2025 a 24/08/2025 - PIX: CELULAR - CHAVE: (32) 99177-6167"</f>
        <v>Serv.Prest. 18/08/2025 a 24/08/2025 - PIX: CELULAR - CHAVE: (32) 99177-6167</v>
      </c>
      <c r="I265" t="str">
        <f t="shared" si="70"/>
        <v>04/09/2025</v>
      </c>
      <c r="J265" t="str">
        <f t="shared" si="72"/>
        <v>25/08/2025</v>
      </c>
      <c r="K265" t="str">
        <f>("04/09/2025")</f>
        <v>04/09/2025</v>
      </c>
      <c r="L265">
        <v>1740</v>
      </c>
      <c r="M265">
        <v>1740</v>
      </c>
      <c r="N265">
        <v>109</v>
      </c>
      <c r="O265" t="str">
        <f>"PAGAMENTO DE ENTREGADORES"</f>
        <v>PAGAMENTO DE ENTREGADORES</v>
      </c>
      <c r="P265">
        <v>1740</v>
      </c>
      <c r="S265" t="str">
        <f>"BANCO C6 (149)"</f>
        <v>BANCO C6 (149)</v>
      </c>
      <c r="T265">
        <v>17497</v>
      </c>
      <c r="U265">
        <v>20852</v>
      </c>
      <c r="V265" t="s">
        <v>77</v>
      </c>
    </row>
    <row r="266" spans="1:22">
      <c r="A266" t="str">
        <f t="shared" si="75"/>
        <v>04/09/2025</v>
      </c>
      <c r="B266" t="str">
        <f t="shared" si="78"/>
        <v>SAÍDA</v>
      </c>
      <c r="C266" t="str">
        <f t="shared" si="68"/>
        <v>PIX</v>
      </c>
      <c r="D266" t="str">
        <f>"20852"</f>
        <v>20852</v>
      </c>
      <c r="E266" t="str">
        <f t="shared" si="69"/>
        <v>1</v>
      </c>
      <c r="F266" t="str">
        <f t="shared" si="77"/>
        <v>COM</v>
      </c>
      <c r="G266" t="str">
        <f>"CRISTIANO XAVIER DA COSTA (269)"</f>
        <v>CRISTIANO XAVIER DA COSTA (269)</v>
      </c>
      <c r="H266" t="s">
        <v>109</v>
      </c>
      <c r="I266" t="str">
        <f t="shared" si="70"/>
        <v>04/09/2025</v>
      </c>
      <c r="J266" t="str">
        <f t="shared" si="72"/>
        <v>25/08/2025</v>
      </c>
      <c r="K266">
        <v>45904</v>
      </c>
      <c r="N266">
        <v>109</v>
      </c>
      <c r="O266" t="s">
        <v>24</v>
      </c>
      <c r="Q266">
        <v>963.61</v>
      </c>
      <c r="R266" t="str">
        <f>"FARMÁCIA INDIANA LJ 207 (10088)"</f>
        <v>FARMÁCIA INDIANA LJ 207 (10088)</v>
      </c>
      <c r="S266" t="s">
        <v>77</v>
      </c>
      <c r="T266">
        <v>17497</v>
      </c>
      <c r="U266">
        <v>20852</v>
      </c>
      <c r="V266" t="s">
        <v>77</v>
      </c>
    </row>
    <row r="267" spans="1:22">
      <c r="A267" t="str">
        <f t="shared" si="75"/>
        <v>04/09/2025</v>
      </c>
      <c r="B267" t="str">
        <f t="shared" si="78"/>
        <v>SAÍDA</v>
      </c>
      <c r="C267" t="str">
        <f t="shared" ref="C267:C330" si="79">"PIX"</f>
        <v>PIX</v>
      </c>
      <c r="D267" t="str">
        <f>"20852"</f>
        <v>20852</v>
      </c>
      <c r="E267" t="str">
        <f t="shared" si="69"/>
        <v>1</v>
      </c>
      <c r="F267" t="str">
        <f t="shared" si="77"/>
        <v>COM</v>
      </c>
      <c r="G267" t="str">
        <f>"CRISTIANO XAVIER DA COSTA (269)"</f>
        <v>CRISTIANO XAVIER DA COSTA (269)</v>
      </c>
      <c r="H267" t="s">
        <v>109</v>
      </c>
      <c r="I267" t="str">
        <f t="shared" si="70"/>
        <v>04/09/2025</v>
      </c>
      <c r="J267" t="str">
        <f t="shared" si="72"/>
        <v>25/08/2025</v>
      </c>
      <c r="K267">
        <v>45904</v>
      </c>
      <c r="N267">
        <v>109</v>
      </c>
      <c r="O267" t="s">
        <v>24</v>
      </c>
      <c r="Q267">
        <v>776.39</v>
      </c>
      <c r="R267" t="str">
        <f>"FARMÁCIA INDIANA LJ 209 (10089)"</f>
        <v>FARMÁCIA INDIANA LJ 209 (10089)</v>
      </c>
      <c r="S267" t="s">
        <v>77</v>
      </c>
      <c r="T267">
        <v>17497</v>
      </c>
      <c r="U267">
        <v>20852</v>
      </c>
      <c r="V267" t="s">
        <v>77</v>
      </c>
    </row>
    <row r="268" spans="1:22">
      <c r="A268" t="str">
        <f t="shared" si="75"/>
        <v>04/09/2025</v>
      </c>
      <c r="B268" t="str">
        <f t="shared" si="78"/>
        <v>SAÍDA</v>
      </c>
      <c r="C268" t="str">
        <f t="shared" si="79"/>
        <v>PIX</v>
      </c>
      <c r="D268" t="str">
        <f>"20853"</f>
        <v>20853</v>
      </c>
      <c r="E268" t="str">
        <f t="shared" si="69"/>
        <v>1</v>
      </c>
      <c r="F268" t="str">
        <f t="shared" si="77"/>
        <v>COM</v>
      </c>
      <c r="G268" t="str">
        <f>"DAMÁSIO JOSÉ DO NASCIMENTO NETO (147)"</f>
        <v>DAMÁSIO JOSÉ DO NASCIMENTO NETO (147)</v>
      </c>
      <c r="H268" t="str">
        <f>"Serv.Prest. 18/08/2025 a 24/08/2025 - PIX: CPF - CHAVE: 110.483.296-82"</f>
        <v>Serv.Prest. 18/08/2025 a 24/08/2025 - PIX: CPF - CHAVE: 110.483.296-82</v>
      </c>
      <c r="I268" t="str">
        <f t="shared" si="70"/>
        <v>04/09/2025</v>
      </c>
      <c r="J268" t="str">
        <f t="shared" si="72"/>
        <v>25/08/2025</v>
      </c>
      <c r="K268" t="str">
        <f>("04/09/2025")</f>
        <v>04/09/2025</v>
      </c>
      <c r="L268">
        <v>1458</v>
      </c>
      <c r="M268">
        <v>1458</v>
      </c>
      <c r="N268">
        <v>109</v>
      </c>
      <c r="O268" t="str">
        <f>"PAGAMENTO DE ENTREGADORES"</f>
        <v>PAGAMENTO DE ENTREGADORES</v>
      </c>
      <c r="P268">
        <v>1458</v>
      </c>
      <c r="S268" t="str">
        <f>"BANCO C6 (149)"</f>
        <v>BANCO C6 (149)</v>
      </c>
      <c r="T268">
        <v>17498</v>
      </c>
      <c r="U268">
        <v>20853</v>
      </c>
      <c r="V268" t="s">
        <v>77</v>
      </c>
    </row>
    <row r="269" spans="1:22">
      <c r="A269" t="str">
        <f t="shared" si="75"/>
        <v>04/09/2025</v>
      </c>
      <c r="B269" t="str">
        <f t="shared" si="78"/>
        <v>SAÍDA</v>
      </c>
      <c r="C269" t="str">
        <f t="shared" si="79"/>
        <v>PIX</v>
      </c>
      <c r="D269" t="str">
        <f>"20853"</f>
        <v>20853</v>
      </c>
      <c r="E269" t="str">
        <f t="shared" si="69"/>
        <v>1</v>
      </c>
      <c r="F269" t="str">
        <f t="shared" si="77"/>
        <v>COM</v>
      </c>
      <c r="G269" t="str">
        <f>"DAMÁSIO JOSÉ DO NASCIMENTO NETO (147)"</f>
        <v>DAMÁSIO JOSÉ DO NASCIMENTO NETO (147)</v>
      </c>
      <c r="H269" t="s">
        <v>110</v>
      </c>
      <c r="I269" t="str">
        <f t="shared" si="70"/>
        <v>04/09/2025</v>
      </c>
      <c r="J269" t="str">
        <f t="shared" si="72"/>
        <v>25/08/2025</v>
      </c>
      <c r="K269">
        <v>45904</v>
      </c>
      <c r="N269">
        <v>109</v>
      </c>
      <c r="O269" t="s">
        <v>24</v>
      </c>
      <c r="Q269">
        <v>1458</v>
      </c>
      <c r="R269" t="str">
        <f>"FARMÁCIA INDIANA LJ 142 (10066)"</f>
        <v>FARMÁCIA INDIANA LJ 142 (10066)</v>
      </c>
      <c r="S269" t="s">
        <v>77</v>
      </c>
      <c r="T269">
        <v>17498</v>
      </c>
      <c r="U269">
        <v>20853</v>
      </c>
      <c r="V269" t="s">
        <v>77</v>
      </c>
    </row>
    <row r="270" spans="1:22">
      <c r="A270" t="str">
        <f t="shared" si="75"/>
        <v>04/09/2025</v>
      </c>
      <c r="B270" t="str">
        <f>"ENTRADA"</f>
        <v>ENTRADA</v>
      </c>
      <c r="C270" t="str">
        <f t="shared" si="79"/>
        <v>PIX</v>
      </c>
      <c r="D270" t="str">
        <f>"20854"</f>
        <v>20854</v>
      </c>
      <c r="E270" t="str">
        <f t="shared" si="69"/>
        <v>1</v>
      </c>
      <c r="F270" t="str">
        <f t="shared" si="77"/>
        <v>COM</v>
      </c>
      <c r="G270" t="str">
        <f>"DANILO WASHINGTON DOS SANTOS (770)"</f>
        <v>DANILO WASHINGTON DOS SANTOS (770)</v>
      </c>
      <c r="H270" t="str">
        <f>"DESC DE BAG, UNIFORME, PLANOS Serv.Prest. 18/08/2025 a 24/08/2025 - PIX: CELULAR - CHAVE: (33) 98749-5105"</f>
        <v>DESC DE BAG, UNIFORME, PLANOS Serv.Prest. 18/08/2025 a 24/08/2025 - PIX: CELULAR - CHAVE: (33) 98749-5105</v>
      </c>
      <c r="I270" t="str">
        <f t="shared" si="70"/>
        <v>04/09/2025</v>
      </c>
      <c r="J270" t="str">
        <f t="shared" si="72"/>
        <v>25/08/2025</v>
      </c>
      <c r="K270" t="str">
        <f>("04/09/2025")</f>
        <v>04/09/2025</v>
      </c>
      <c r="N270">
        <v>108</v>
      </c>
      <c r="O270" t="str">
        <f>"RECEITAS COM REEMBOLSOS"</f>
        <v>RECEITAS COM REEMBOLSOS</v>
      </c>
      <c r="P270">
        <v>38.33</v>
      </c>
      <c r="S270" t="str">
        <f>"BANCO C6 (149)"</f>
        <v>BANCO C6 (149)</v>
      </c>
      <c r="T270">
        <v>17499</v>
      </c>
      <c r="U270">
        <v>20854</v>
      </c>
      <c r="V270" t="s">
        <v>77</v>
      </c>
    </row>
    <row r="271" spans="1:22">
      <c r="A271" t="str">
        <f t="shared" si="75"/>
        <v>04/09/2025</v>
      </c>
      <c r="B271" t="str">
        <f t="shared" ref="B271:B290" si="80">"SAÍDA"</f>
        <v>SAÍDA</v>
      </c>
      <c r="C271" t="str">
        <f t="shared" si="79"/>
        <v>PIX</v>
      </c>
      <c r="D271" t="str">
        <f>"20854"</f>
        <v>20854</v>
      </c>
      <c r="E271" t="str">
        <f t="shared" si="69"/>
        <v>1</v>
      </c>
      <c r="F271" t="str">
        <f t="shared" si="77"/>
        <v>COM</v>
      </c>
      <c r="G271" t="str">
        <f>"DANILO WASHINGTON DOS SANTOS (770)"</f>
        <v>DANILO WASHINGTON DOS SANTOS (770)</v>
      </c>
      <c r="H271" t="str">
        <f>"Serv.Prest. 18/08/2025 a 24/08/2025 - PIX: CELULAR - CHAVE: (33) 98749-5105"</f>
        <v>Serv.Prest. 18/08/2025 a 24/08/2025 - PIX: CELULAR - CHAVE: (33) 98749-5105</v>
      </c>
      <c r="I271" t="str">
        <f t="shared" si="70"/>
        <v>04/09/2025</v>
      </c>
      <c r="J271" t="str">
        <f t="shared" si="72"/>
        <v>25/08/2025</v>
      </c>
      <c r="K271" t="str">
        <f>("04/09/2025")</f>
        <v>04/09/2025</v>
      </c>
      <c r="L271">
        <v>654</v>
      </c>
      <c r="M271">
        <v>615.66999999999996</v>
      </c>
      <c r="N271">
        <v>109</v>
      </c>
      <c r="O271" t="str">
        <f>"PAGAMENTO DE ENTREGADORES"</f>
        <v>PAGAMENTO DE ENTREGADORES</v>
      </c>
      <c r="P271">
        <v>654</v>
      </c>
      <c r="S271" t="str">
        <f>"BANCO C6 (149)"</f>
        <v>BANCO C6 (149)</v>
      </c>
      <c r="T271">
        <v>17499</v>
      </c>
      <c r="U271">
        <v>20854</v>
      </c>
      <c r="V271" t="s">
        <v>77</v>
      </c>
    </row>
    <row r="272" spans="1:22">
      <c r="A272" t="str">
        <f t="shared" si="75"/>
        <v>04/09/2025</v>
      </c>
      <c r="B272" t="str">
        <f t="shared" si="80"/>
        <v>SAÍDA</v>
      </c>
      <c r="C272" t="str">
        <f t="shared" si="79"/>
        <v>PIX</v>
      </c>
      <c r="D272" t="str">
        <f>"20854"</f>
        <v>20854</v>
      </c>
      <c r="E272" t="str">
        <f t="shared" si="69"/>
        <v>1</v>
      </c>
      <c r="F272" t="str">
        <f t="shared" si="77"/>
        <v>COM</v>
      </c>
      <c r="G272" t="str">
        <f>"DANILO WASHINGTON DOS SANTOS (770)"</f>
        <v>DANILO WASHINGTON DOS SANTOS (770)</v>
      </c>
      <c r="H272" t="s">
        <v>111</v>
      </c>
      <c r="I272" t="str">
        <f t="shared" si="70"/>
        <v>04/09/2025</v>
      </c>
      <c r="J272" t="str">
        <f t="shared" si="72"/>
        <v>25/08/2025</v>
      </c>
      <c r="K272">
        <v>45904</v>
      </c>
      <c r="N272">
        <v>108</v>
      </c>
      <c r="O272" t="s">
        <v>54</v>
      </c>
      <c r="Q272">
        <v>615.66999999999996</v>
      </c>
      <c r="R272" t="str">
        <f>"FARMÁCIA INDIANA LJ 07 (10007)"</f>
        <v>FARMÁCIA INDIANA LJ 07 (10007)</v>
      </c>
      <c r="S272" t="s">
        <v>77</v>
      </c>
      <c r="T272">
        <v>17499</v>
      </c>
      <c r="U272">
        <v>20854</v>
      </c>
      <c r="V272" t="s">
        <v>77</v>
      </c>
    </row>
    <row r="273" spans="1:22">
      <c r="A273" t="str">
        <f t="shared" si="75"/>
        <v>04/09/2025</v>
      </c>
      <c r="B273" t="str">
        <f t="shared" si="80"/>
        <v>SAÍDA</v>
      </c>
      <c r="C273" t="str">
        <f t="shared" si="79"/>
        <v>PIX</v>
      </c>
      <c r="D273" t="str">
        <f>"20855"</f>
        <v>20855</v>
      </c>
      <c r="E273" t="str">
        <f t="shared" si="69"/>
        <v>1</v>
      </c>
      <c r="F273" t="str">
        <f t="shared" si="77"/>
        <v>COM</v>
      </c>
      <c r="G273" t="str">
        <f>"DANTE SOARES DA SILVA (416)"</f>
        <v>DANTE SOARES DA SILVA (416)</v>
      </c>
      <c r="H273" t="str">
        <f>"Serv.Prest. 18/08/2025 a 24/08/2025 - PIX: CELULAR - CHAVE: (33) 99802-1883"</f>
        <v>Serv.Prest. 18/08/2025 a 24/08/2025 - PIX: CELULAR - CHAVE: (33) 99802-1883</v>
      </c>
      <c r="I273" t="str">
        <f t="shared" si="70"/>
        <v>04/09/2025</v>
      </c>
      <c r="J273" t="str">
        <f t="shared" si="72"/>
        <v>25/08/2025</v>
      </c>
      <c r="K273" t="str">
        <f>("04/09/2025")</f>
        <v>04/09/2025</v>
      </c>
      <c r="L273">
        <v>813.4</v>
      </c>
      <c r="M273">
        <v>813.4</v>
      </c>
      <c r="N273">
        <v>109</v>
      </c>
      <c r="O273" t="str">
        <f>"PAGAMENTO DE ENTREGADORES"</f>
        <v>PAGAMENTO DE ENTREGADORES</v>
      </c>
      <c r="P273">
        <v>813.4</v>
      </c>
      <c r="S273" t="str">
        <f>"BANCO C6 (149)"</f>
        <v>BANCO C6 (149)</v>
      </c>
      <c r="T273">
        <v>17500</v>
      </c>
      <c r="U273">
        <v>20855</v>
      </c>
      <c r="V273" t="s">
        <v>77</v>
      </c>
    </row>
    <row r="274" spans="1:22">
      <c r="A274" t="str">
        <f t="shared" si="75"/>
        <v>04/09/2025</v>
      </c>
      <c r="B274" t="str">
        <f t="shared" si="80"/>
        <v>SAÍDA</v>
      </c>
      <c r="C274" t="str">
        <f t="shared" si="79"/>
        <v>PIX</v>
      </c>
      <c r="D274" t="str">
        <f>"20855"</f>
        <v>20855</v>
      </c>
      <c r="E274" t="str">
        <f t="shared" ref="E274:E337" si="81">"1"</f>
        <v>1</v>
      </c>
      <c r="F274" t="str">
        <f t="shared" si="77"/>
        <v>COM</v>
      </c>
      <c r="G274" t="str">
        <f>"DANTE SOARES DA SILVA (416)"</f>
        <v>DANTE SOARES DA SILVA (416)</v>
      </c>
      <c r="H274" t="s">
        <v>112</v>
      </c>
      <c r="I274" t="str">
        <f t="shared" si="70"/>
        <v>04/09/2025</v>
      </c>
      <c r="J274" t="str">
        <f t="shared" si="72"/>
        <v>25/08/2025</v>
      </c>
      <c r="K274">
        <v>45904</v>
      </c>
      <c r="N274">
        <v>109</v>
      </c>
      <c r="O274" t="s">
        <v>24</v>
      </c>
      <c r="Q274">
        <v>813.4</v>
      </c>
      <c r="R274" t="str">
        <f>"FARMÁCIA INDIANA LJ 59 (10026)"</f>
        <v>FARMÁCIA INDIANA LJ 59 (10026)</v>
      </c>
      <c r="S274" t="s">
        <v>77</v>
      </c>
      <c r="T274">
        <v>17500</v>
      </c>
      <c r="U274">
        <v>20855</v>
      </c>
      <c r="V274" t="s">
        <v>77</v>
      </c>
    </row>
    <row r="275" spans="1:22">
      <c r="A275" t="str">
        <f t="shared" si="75"/>
        <v>04/09/2025</v>
      </c>
      <c r="B275" t="str">
        <f t="shared" si="80"/>
        <v>SAÍDA</v>
      </c>
      <c r="C275" t="str">
        <f t="shared" si="79"/>
        <v>PIX</v>
      </c>
      <c r="D275" t="str">
        <f>"20856"</f>
        <v>20856</v>
      </c>
      <c r="E275" t="str">
        <f t="shared" si="81"/>
        <v>1</v>
      </c>
      <c r="F275" t="str">
        <f t="shared" si="77"/>
        <v>COM</v>
      </c>
      <c r="G275" t="str">
        <f>"DEVANILDO PONTES CASAGRANDE (179)"</f>
        <v>DEVANILDO PONTES CASAGRANDE (179)</v>
      </c>
      <c r="H275" t="str">
        <f>"Serv.Prest. 18/08/2025 a 24/08/2025 - PIX: CELULAR - CHAVE: (31) 99610-7049"</f>
        <v>Serv.Prest. 18/08/2025 a 24/08/2025 - PIX: CELULAR - CHAVE: (31) 99610-7049</v>
      </c>
      <c r="I275" t="str">
        <f t="shared" si="70"/>
        <v>04/09/2025</v>
      </c>
      <c r="J275" t="str">
        <f t="shared" si="72"/>
        <v>25/08/2025</v>
      </c>
      <c r="K275" t="str">
        <f>("04/09/2025")</f>
        <v>04/09/2025</v>
      </c>
      <c r="L275">
        <v>864</v>
      </c>
      <c r="M275">
        <v>864</v>
      </c>
      <c r="N275">
        <v>109</v>
      </c>
      <c r="O275" t="str">
        <f>"PAGAMENTO DE ENTREGADORES"</f>
        <v>PAGAMENTO DE ENTREGADORES</v>
      </c>
      <c r="P275">
        <v>864</v>
      </c>
      <c r="S275" t="str">
        <f>"BANCO C6 (149)"</f>
        <v>BANCO C6 (149)</v>
      </c>
      <c r="T275">
        <v>17501</v>
      </c>
      <c r="U275">
        <v>20856</v>
      </c>
      <c r="V275" t="s">
        <v>77</v>
      </c>
    </row>
    <row r="276" spans="1:22">
      <c r="A276" t="str">
        <f t="shared" si="75"/>
        <v>04/09/2025</v>
      </c>
      <c r="B276" t="str">
        <f t="shared" si="80"/>
        <v>SAÍDA</v>
      </c>
      <c r="C276" t="str">
        <f t="shared" si="79"/>
        <v>PIX</v>
      </c>
      <c r="D276" t="str">
        <f>"20856"</f>
        <v>20856</v>
      </c>
      <c r="E276" t="str">
        <f t="shared" si="81"/>
        <v>1</v>
      </c>
      <c r="F276" t="str">
        <f t="shared" si="77"/>
        <v>COM</v>
      </c>
      <c r="G276" t="str">
        <f>"DEVANILDO PONTES CASAGRANDE (179)"</f>
        <v>DEVANILDO PONTES CASAGRANDE (179)</v>
      </c>
      <c r="H276" t="s">
        <v>113</v>
      </c>
      <c r="I276" t="str">
        <f t="shared" si="70"/>
        <v>04/09/2025</v>
      </c>
      <c r="J276" t="str">
        <f t="shared" si="72"/>
        <v>25/08/2025</v>
      </c>
      <c r="K276">
        <v>45904</v>
      </c>
      <c r="N276">
        <v>109</v>
      </c>
      <c r="O276" t="s">
        <v>24</v>
      </c>
      <c r="Q276">
        <v>864</v>
      </c>
      <c r="R276" t="str">
        <f>"FARMÁCIA INDIANA LJ 142 (10066)"</f>
        <v>FARMÁCIA INDIANA LJ 142 (10066)</v>
      </c>
      <c r="S276" t="s">
        <v>77</v>
      </c>
      <c r="T276">
        <v>17501</v>
      </c>
      <c r="U276">
        <v>20856</v>
      </c>
      <c r="V276" t="s">
        <v>77</v>
      </c>
    </row>
    <row r="277" spans="1:22">
      <c r="A277" t="str">
        <f t="shared" si="75"/>
        <v>04/09/2025</v>
      </c>
      <c r="B277" t="str">
        <f t="shared" si="80"/>
        <v>SAÍDA</v>
      </c>
      <c r="C277" t="str">
        <f t="shared" si="79"/>
        <v>PIX</v>
      </c>
      <c r="D277" t="str">
        <f>"20857"</f>
        <v>20857</v>
      </c>
      <c r="E277" t="str">
        <f t="shared" si="81"/>
        <v>1</v>
      </c>
      <c r="F277" t="str">
        <f t="shared" si="77"/>
        <v>COM</v>
      </c>
      <c r="G277" t="str">
        <f>"DIEGO DAYSON FERNANDES VIEIRA (893)"</f>
        <v>DIEGO DAYSON FERNANDES VIEIRA (893)</v>
      </c>
      <c r="H277" t="str">
        <f>"Serv.Prest. 18/08/2025 a 24/08/2025 - PIX: E-MAIL - CHAVE: turano296801@gmail.com"</f>
        <v>Serv.Prest. 18/08/2025 a 24/08/2025 - PIX: E-MAIL - CHAVE: turano296801@gmail.com</v>
      </c>
      <c r="I277" t="str">
        <f t="shared" si="70"/>
        <v>04/09/2025</v>
      </c>
      <c r="J277" t="str">
        <f t="shared" si="72"/>
        <v>25/08/2025</v>
      </c>
      <c r="K277" t="str">
        <f>("04/09/2025")</f>
        <v>04/09/2025</v>
      </c>
      <c r="L277">
        <v>800</v>
      </c>
      <c r="M277">
        <v>800</v>
      </c>
      <c r="N277">
        <v>109</v>
      </c>
      <c r="O277" t="str">
        <f>"PAGAMENTO DE ENTREGADORES"</f>
        <v>PAGAMENTO DE ENTREGADORES</v>
      </c>
      <c r="P277">
        <v>800</v>
      </c>
      <c r="S277" t="str">
        <f>"BANCO C6 (149)"</f>
        <v>BANCO C6 (149)</v>
      </c>
      <c r="T277">
        <v>17502</v>
      </c>
      <c r="U277">
        <v>20857</v>
      </c>
      <c r="V277" t="s">
        <v>77</v>
      </c>
    </row>
    <row r="278" spans="1:22">
      <c r="A278" t="str">
        <f t="shared" si="75"/>
        <v>04/09/2025</v>
      </c>
      <c r="B278" t="str">
        <f t="shared" si="80"/>
        <v>SAÍDA</v>
      </c>
      <c r="C278" t="str">
        <f t="shared" si="79"/>
        <v>PIX</v>
      </c>
      <c r="D278" t="str">
        <f>"20857"</f>
        <v>20857</v>
      </c>
      <c r="E278" t="str">
        <f t="shared" si="81"/>
        <v>1</v>
      </c>
      <c r="F278" t="str">
        <f t="shared" si="77"/>
        <v>COM</v>
      </c>
      <c r="G278" t="str">
        <f>"DIEGO DAYSON FERNANDES VIEIRA (893)"</f>
        <v>DIEGO DAYSON FERNANDES VIEIRA (893)</v>
      </c>
      <c r="H278" t="s">
        <v>114</v>
      </c>
      <c r="I278" t="str">
        <f t="shared" ref="I278:I341" si="82">("04/09/2025")</f>
        <v>04/09/2025</v>
      </c>
      <c r="J278" t="str">
        <f t="shared" si="72"/>
        <v>25/08/2025</v>
      </c>
      <c r="K278">
        <v>45904</v>
      </c>
      <c r="N278">
        <v>109</v>
      </c>
      <c r="O278" t="s">
        <v>24</v>
      </c>
      <c r="Q278">
        <v>800</v>
      </c>
      <c r="R278" t="str">
        <f>"FARMÁCIA INDIANA LJ 205 (10150)"</f>
        <v>FARMÁCIA INDIANA LJ 205 (10150)</v>
      </c>
      <c r="S278" t="s">
        <v>77</v>
      </c>
      <c r="T278">
        <v>17502</v>
      </c>
      <c r="U278">
        <v>20857</v>
      </c>
      <c r="V278" t="s">
        <v>77</v>
      </c>
    </row>
    <row r="279" spans="1:22">
      <c r="A279" t="str">
        <f t="shared" si="75"/>
        <v>04/09/2025</v>
      </c>
      <c r="B279" t="str">
        <f t="shared" si="80"/>
        <v>SAÍDA</v>
      </c>
      <c r="C279" t="str">
        <f t="shared" si="79"/>
        <v>PIX</v>
      </c>
      <c r="D279" t="str">
        <f>"20858"</f>
        <v>20858</v>
      </c>
      <c r="E279" t="str">
        <f t="shared" si="81"/>
        <v>1</v>
      </c>
      <c r="F279" t="str">
        <f t="shared" si="77"/>
        <v>COM</v>
      </c>
      <c r="G279" t="str">
        <f>"DIEGO DIRLEY RIBEIRO (38)"</f>
        <v>DIEGO DIRLEY RIBEIRO (38)</v>
      </c>
      <c r="H279" t="str">
        <f>"Serv.Prest. 18/08/2025 a 24/08/2025 - PIX: CPF - CHAVE: 102.023.716-38"</f>
        <v>Serv.Prest. 18/08/2025 a 24/08/2025 - PIX: CPF - CHAVE: 102.023.716-38</v>
      </c>
      <c r="I279" t="str">
        <f t="shared" si="82"/>
        <v>04/09/2025</v>
      </c>
      <c r="J279" t="str">
        <f t="shared" si="72"/>
        <v>25/08/2025</v>
      </c>
      <c r="K279" t="str">
        <f>("04/09/2025")</f>
        <v>04/09/2025</v>
      </c>
      <c r="L279">
        <v>1404</v>
      </c>
      <c r="M279">
        <v>1404</v>
      </c>
      <c r="N279">
        <v>109</v>
      </c>
      <c r="O279" t="str">
        <f>"PAGAMENTO DE ENTREGADORES"</f>
        <v>PAGAMENTO DE ENTREGADORES</v>
      </c>
      <c r="P279">
        <v>1404</v>
      </c>
      <c r="S279" t="str">
        <f>"BANCO C6 (149)"</f>
        <v>BANCO C6 (149)</v>
      </c>
      <c r="T279">
        <v>17503</v>
      </c>
      <c r="U279">
        <v>20858</v>
      </c>
      <c r="V279" t="s">
        <v>77</v>
      </c>
    </row>
    <row r="280" spans="1:22">
      <c r="A280" t="str">
        <f t="shared" si="75"/>
        <v>04/09/2025</v>
      </c>
      <c r="B280" t="str">
        <f t="shared" si="80"/>
        <v>SAÍDA</v>
      </c>
      <c r="C280" t="str">
        <f t="shared" si="79"/>
        <v>PIX</v>
      </c>
      <c r="D280" t="str">
        <f>"20858"</f>
        <v>20858</v>
      </c>
      <c r="E280" t="str">
        <f t="shared" si="81"/>
        <v>1</v>
      </c>
      <c r="F280" t="str">
        <f t="shared" si="77"/>
        <v>COM</v>
      </c>
      <c r="G280" t="str">
        <f>"DIEGO DIRLEY RIBEIRO (38)"</f>
        <v>DIEGO DIRLEY RIBEIRO (38)</v>
      </c>
      <c r="H280" t="s">
        <v>115</v>
      </c>
      <c r="I280" t="str">
        <f t="shared" si="82"/>
        <v>04/09/2025</v>
      </c>
      <c r="J280" t="str">
        <f t="shared" si="72"/>
        <v>25/08/2025</v>
      </c>
      <c r="K280">
        <v>45904</v>
      </c>
      <c r="N280">
        <v>109</v>
      </c>
      <c r="O280" t="s">
        <v>24</v>
      </c>
      <c r="Q280">
        <v>1404</v>
      </c>
      <c r="R280" t="str">
        <f>"FARMÁCIA INDIANA LJ 172 (10161)"</f>
        <v>FARMÁCIA INDIANA LJ 172 (10161)</v>
      </c>
      <c r="S280" t="s">
        <v>77</v>
      </c>
      <c r="T280">
        <v>17503</v>
      </c>
      <c r="U280">
        <v>20858</v>
      </c>
      <c r="V280" t="s">
        <v>77</v>
      </c>
    </row>
    <row r="281" spans="1:22">
      <c r="A281" t="str">
        <f t="shared" si="75"/>
        <v>04/09/2025</v>
      </c>
      <c r="B281" t="str">
        <f t="shared" si="80"/>
        <v>SAÍDA</v>
      </c>
      <c r="C281" t="str">
        <f t="shared" si="79"/>
        <v>PIX</v>
      </c>
      <c r="D281" t="str">
        <f>"20859"</f>
        <v>20859</v>
      </c>
      <c r="E281" t="str">
        <f t="shared" si="81"/>
        <v>1</v>
      </c>
      <c r="F281" t="str">
        <f t="shared" si="77"/>
        <v>COM</v>
      </c>
      <c r="G281" t="str">
        <f>"DIONE OLIVEIRA SILVA (214)"</f>
        <v>DIONE OLIVEIRA SILVA (214)</v>
      </c>
      <c r="H281" t="str">
        <f>"Serv.Prest. 18/08/2025 a 24/08/2025 - PIX: CELULAR - CHAVE: (33) 98890-5095"</f>
        <v>Serv.Prest. 18/08/2025 a 24/08/2025 - PIX: CELULAR - CHAVE: (33) 98890-5095</v>
      </c>
      <c r="I281" t="str">
        <f t="shared" si="82"/>
        <v>04/09/2025</v>
      </c>
      <c r="J281" t="str">
        <f t="shared" si="72"/>
        <v>25/08/2025</v>
      </c>
      <c r="K281" t="str">
        <f>("04/09/2025")</f>
        <v>04/09/2025</v>
      </c>
      <c r="L281">
        <v>1556.5</v>
      </c>
      <c r="M281">
        <v>1556.5</v>
      </c>
      <c r="N281">
        <v>109</v>
      </c>
      <c r="O281" t="str">
        <f>"PAGAMENTO DE ENTREGADORES"</f>
        <v>PAGAMENTO DE ENTREGADORES</v>
      </c>
      <c r="P281">
        <v>1556.5</v>
      </c>
      <c r="S281" t="str">
        <f>"BANCO C6 (149)"</f>
        <v>BANCO C6 (149)</v>
      </c>
      <c r="T281">
        <v>17504</v>
      </c>
      <c r="U281">
        <v>20859</v>
      </c>
      <c r="V281" t="s">
        <v>77</v>
      </c>
    </row>
    <row r="282" spans="1:22">
      <c r="A282" t="str">
        <f t="shared" si="75"/>
        <v>04/09/2025</v>
      </c>
      <c r="B282" t="str">
        <f t="shared" si="80"/>
        <v>SAÍDA</v>
      </c>
      <c r="C282" t="str">
        <f t="shared" si="79"/>
        <v>PIX</v>
      </c>
      <c r="D282" t="str">
        <f>"20859"</f>
        <v>20859</v>
      </c>
      <c r="E282" t="str">
        <f t="shared" si="81"/>
        <v>1</v>
      </c>
      <c r="F282" t="str">
        <f t="shared" si="77"/>
        <v>COM</v>
      </c>
      <c r="G282" t="str">
        <f>"DIONE OLIVEIRA SILVA (214)"</f>
        <v>DIONE OLIVEIRA SILVA (214)</v>
      </c>
      <c r="H282" t="s">
        <v>116</v>
      </c>
      <c r="I282" t="str">
        <f t="shared" si="82"/>
        <v>04/09/2025</v>
      </c>
      <c r="J282" t="str">
        <f t="shared" si="72"/>
        <v>25/08/2025</v>
      </c>
      <c r="K282">
        <v>45904</v>
      </c>
      <c r="N282">
        <v>109</v>
      </c>
      <c r="O282" t="s">
        <v>24</v>
      </c>
      <c r="Q282">
        <v>1556.5</v>
      </c>
      <c r="R282" t="str">
        <f>"FARMÁCIA INDIANA LJ 14 (10009)"</f>
        <v>FARMÁCIA INDIANA LJ 14 (10009)</v>
      </c>
      <c r="S282" t="s">
        <v>77</v>
      </c>
      <c r="T282">
        <v>17504</v>
      </c>
      <c r="U282">
        <v>20859</v>
      </c>
      <c r="V282" t="s">
        <v>77</v>
      </c>
    </row>
    <row r="283" spans="1:22">
      <c r="A283" t="str">
        <f t="shared" si="75"/>
        <v>04/09/2025</v>
      </c>
      <c r="B283" t="str">
        <f t="shared" si="80"/>
        <v>SAÍDA</v>
      </c>
      <c r="C283" t="str">
        <f t="shared" si="79"/>
        <v>PIX</v>
      </c>
      <c r="D283" t="str">
        <f>"20860"</f>
        <v>20860</v>
      </c>
      <c r="E283" t="str">
        <f t="shared" si="81"/>
        <v>1</v>
      </c>
      <c r="F283" t="str">
        <f t="shared" si="77"/>
        <v>COM</v>
      </c>
      <c r="G283" t="str">
        <f>"EDSON JUNIOR FERREIRA DA SILVA (99)"</f>
        <v>EDSON JUNIOR FERREIRA DA SILVA (99)</v>
      </c>
      <c r="H283" t="str">
        <f>"Serv.Prest. 18/08/2025 a 24/08/2025 - PIX: CPF - CHAVE: 141.134.256-98"</f>
        <v>Serv.Prest. 18/08/2025 a 24/08/2025 - PIX: CPF - CHAVE: 141.134.256-98</v>
      </c>
      <c r="I283" t="str">
        <f t="shared" si="82"/>
        <v>04/09/2025</v>
      </c>
      <c r="J283" t="str">
        <f t="shared" si="72"/>
        <v>25/08/2025</v>
      </c>
      <c r="K283" t="str">
        <f>("04/09/2025")</f>
        <v>04/09/2025</v>
      </c>
      <c r="L283">
        <v>700.7</v>
      </c>
      <c r="M283">
        <v>700.7</v>
      </c>
      <c r="N283">
        <v>109</v>
      </c>
      <c r="O283" t="str">
        <f>"PAGAMENTO DE ENTREGADORES"</f>
        <v>PAGAMENTO DE ENTREGADORES</v>
      </c>
      <c r="P283">
        <v>700.7</v>
      </c>
      <c r="S283" t="str">
        <f>"BANCO C6 (149)"</f>
        <v>BANCO C6 (149)</v>
      </c>
      <c r="T283">
        <v>17505</v>
      </c>
      <c r="U283">
        <v>20860</v>
      </c>
      <c r="V283" t="s">
        <v>77</v>
      </c>
    </row>
    <row r="284" spans="1:22">
      <c r="A284" t="str">
        <f t="shared" si="75"/>
        <v>04/09/2025</v>
      </c>
      <c r="B284" t="str">
        <f t="shared" si="80"/>
        <v>SAÍDA</v>
      </c>
      <c r="C284" t="str">
        <f t="shared" si="79"/>
        <v>PIX</v>
      </c>
      <c r="D284" t="str">
        <f>"20860"</f>
        <v>20860</v>
      </c>
      <c r="E284" t="str">
        <f t="shared" si="81"/>
        <v>1</v>
      </c>
      <c r="F284" t="str">
        <f t="shared" si="77"/>
        <v>COM</v>
      </c>
      <c r="G284" t="str">
        <f>"EDSON JUNIOR FERREIRA DA SILVA (99)"</f>
        <v>EDSON JUNIOR FERREIRA DA SILVA (99)</v>
      </c>
      <c r="H284" t="s">
        <v>117</v>
      </c>
      <c r="I284" t="str">
        <f t="shared" si="82"/>
        <v>04/09/2025</v>
      </c>
      <c r="J284" t="str">
        <f t="shared" si="72"/>
        <v>25/08/2025</v>
      </c>
      <c r="K284">
        <v>45904</v>
      </c>
      <c r="N284">
        <v>109</v>
      </c>
      <c r="O284" t="s">
        <v>24</v>
      </c>
      <c r="Q284">
        <v>700.7</v>
      </c>
      <c r="R284" t="str">
        <f>"FARMÁCIA INDIANA LJ 100 (10042)"</f>
        <v>FARMÁCIA INDIANA LJ 100 (10042)</v>
      </c>
      <c r="S284" t="s">
        <v>77</v>
      </c>
      <c r="T284">
        <v>17505</v>
      </c>
      <c r="U284">
        <v>20860</v>
      </c>
      <c r="V284" t="s">
        <v>77</v>
      </c>
    </row>
    <row r="285" spans="1:22">
      <c r="A285" t="str">
        <f t="shared" si="75"/>
        <v>04/09/2025</v>
      </c>
      <c r="B285" t="str">
        <f t="shared" si="80"/>
        <v>SAÍDA</v>
      </c>
      <c r="C285" t="str">
        <f t="shared" si="79"/>
        <v>PIX</v>
      </c>
      <c r="D285" t="str">
        <f>"20861"</f>
        <v>20861</v>
      </c>
      <c r="E285" t="str">
        <f t="shared" si="81"/>
        <v>1</v>
      </c>
      <c r="F285" t="str">
        <f t="shared" si="77"/>
        <v>COM</v>
      </c>
      <c r="G285" t="str">
        <f>"EUDES PIMENTA (368)"</f>
        <v>EUDES PIMENTA (368)</v>
      </c>
      <c r="H285" t="str">
        <f>"Serv.Prest. 18/08/2025 a 24/08/2025 - PIX: CPF - CHAVE: 070.073.316-70"</f>
        <v>Serv.Prest. 18/08/2025 a 24/08/2025 - PIX: CPF - CHAVE: 070.073.316-70</v>
      </c>
      <c r="I285" t="str">
        <f t="shared" si="82"/>
        <v>04/09/2025</v>
      </c>
      <c r="J285" t="str">
        <f t="shared" si="72"/>
        <v>25/08/2025</v>
      </c>
      <c r="K285" t="str">
        <f>("04/09/2025")</f>
        <v>04/09/2025</v>
      </c>
      <c r="L285">
        <v>990</v>
      </c>
      <c r="M285">
        <v>990</v>
      </c>
      <c r="N285">
        <v>109</v>
      </c>
      <c r="O285" t="str">
        <f>"PAGAMENTO DE ENTREGADORES"</f>
        <v>PAGAMENTO DE ENTREGADORES</v>
      </c>
      <c r="P285">
        <v>990</v>
      </c>
      <c r="S285" t="str">
        <f>"BANCO C6 (149)"</f>
        <v>BANCO C6 (149)</v>
      </c>
      <c r="T285">
        <v>17506</v>
      </c>
      <c r="U285">
        <v>20861</v>
      </c>
      <c r="V285" t="s">
        <v>77</v>
      </c>
    </row>
    <row r="286" spans="1:22">
      <c r="A286" t="str">
        <f t="shared" si="75"/>
        <v>04/09/2025</v>
      </c>
      <c r="B286" t="str">
        <f t="shared" si="80"/>
        <v>SAÍDA</v>
      </c>
      <c r="C286" t="str">
        <f t="shared" si="79"/>
        <v>PIX</v>
      </c>
      <c r="D286" t="str">
        <f>"20861"</f>
        <v>20861</v>
      </c>
      <c r="E286" t="str">
        <f t="shared" si="81"/>
        <v>1</v>
      </c>
      <c r="F286" t="str">
        <f t="shared" si="77"/>
        <v>COM</v>
      </c>
      <c r="G286" t="str">
        <f>"EUDES PIMENTA (368)"</f>
        <v>EUDES PIMENTA (368)</v>
      </c>
      <c r="H286" t="s">
        <v>118</v>
      </c>
      <c r="I286" t="str">
        <f t="shared" si="82"/>
        <v>04/09/2025</v>
      </c>
      <c r="J286" t="str">
        <f t="shared" si="72"/>
        <v>25/08/2025</v>
      </c>
      <c r="K286">
        <v>45904</v>
      </c>
      <c r="N286">
        <v>109</v>
      </c>
      <c r="O286" t="s">
        <v>24</v>
      </c>
      <c r="Q286">
        <v>990</v>
      </c>
      <c r="R286" t="str">
        <f>"FARMÁCIA INDIANA LJ 06 (10006)"</f>
        <v>FARMÁCIA INDIANA LJ 06 (10006)</v>
      </c>
      <c r="S286" t="s">
        <v>77</v>
      </c>
      <c r="T286">
        <v>17506</v>
      </c>
      <c r="U286">
        <v>20861</v>
      </c>
      <c r="V286" t="s">
        <v>77</v>
      </c>
    </row>
    <row r="287" spans="1:22">
      <c r="A287" t="str">
        <f t="shared" si="75"/>
        <v>04/09/2025</v>
      </c>
      <c r="B287" t="str">
        <f t="shared" si="80"/>
        <v>SAÍDA</v>
      </c>
      <c r="C287" t="str">
        <f t="shared" si="79"/>
        <v>PIX</v>
      </c>
      <c r="D287" t="str">
        <f>"20862"</f>
        <v>20862</v>
      </c>
      <c r="E287" t="str">
        <f t="shared" si="81"/>
        <v>1</v>
      </c>
      <c r="F287" t="str">
        <f t="shared" si="77"/>
        <v>COM</v>
      </c>
      <c r="G287" t="str">
        <f>"FABRICIO RAMON SOARES SANTOS (645)"</f>
        <v>FABRICIO RAMON SOARES SANTOS (645)</v>
      </c>
      <c r="H287" t="str">
        <f>"Serv.Prest. 18/08/2025 a 24/08/2025 - PIX: CELULAR - CHAVE: (31) 98483-3242"</f>
        <v>Serv.Prest. 18/08/2025 a 24/08/2025 - PIX: CELULAR - CHAVE: (31) 98483-3242</v>
      </c>
      <c r="I287" t="str">
        <f t="shared" si="82"/>
        <v>04/09/2025</v>
      </c>
      <c r="J287" t="str">
        <f t="shared" si="72"/>
        <v>25/08/2025</v>
      </c>
      <c r="K287" t="str">
        <f>("04/09/2025")</f>
        <v>04/09/2025</v>
      </c>
      <c r="L287">
        <v>1140</v>
      </c>
      <c r="M287">
        <v>1140</v>
      </c>
      <c r="N287">
        <v>109</v>
      </c>
      <c r="O287" t="str">
        <f>"PAGAMENTO DE ENTREGADORES"</f>
        <v>PAGAMENTO DE ENTREGADORES</v>
      </c>
      <c r="P287">
        <v>1140</v>
      </c>
      <c r="S287" t="str">
        <f>"BANCO C6 (149)"</f>
        <v>BANCO C6 (149)</v>
      </c>
      <c r="T287">
        <v>17507</v>
      </c>
      <c r="U287">
        <v>20862</v>
      </c>
      <c r="V287" t="s">
        <v>77</v>
      </c>
    </row>
    <row r="288" spans="1:22">
      <c r="A288" t="str">
        <f t="shared" si="75"/>
        <v>04/09/2025</v>
      </c>
      <c r="B288" t="str">
        <f t="shared" si="80"/>
        <v>SAÍDA</v>
      </c>
      <c r="C288" t="str">
        <f t="shared" si="79"/>
        <v>PIX</v>
      </c>
      <c r="D288" t="str">
        <f>"20862"</f>
        <v>20862</v>
      </c>
      <c r="E288" t="str">
        <f t="shared" si="81"/>
        <v>1</v>
      </c>
      <c r="F288" t="str">
        <f t="shared" si="77"/>
        <v>COM</v>
      </c>
      <c r="G288" t="str">
        <f>"FABRICIO RAMON SOARES SANTOS (645)"</f>
        <v>FABRICIO RAMON SOARES SANTOS (645)</v>
      </c>
      <c r="H288" t="s">
        <v>119</v>
      </c>
      <c r="I288" t="str">
        <f t="shared" si="82"/>
        <v>04/09/2025</v>
      </c>
      <c r="J288" t="str">
        <f t="shared" si="72"/>
        <v>25/08/2025</v>
      </c>
      <c r="K288">
        <v>45904</v>
      </c>
      <c r="N288">
        <v>109</v>
      </c>
      <c r="O288" t="s">
        <v>24</v>
      </c>
      <c r="Q288">
        <v>1140</v>
      </c>
      <c r="R288" t="str">
        <f>"FARMÁCIA INDIANA LJ 101 (10043)"</f>
        <v>FARMÁCIA INDIANA LJ 101 (10043)</v>
      </c>
      <c r="S288" t="s">
        <v>77</v>
      </c>
      <c r="T288">
        <v>17507</v>
      </c>
      <c r="U288">
        <v>20862</v>
      </c>
      <c r="V288" t="s">
        <v>77</v>
      </c>
    </row>
    <row r="289" spans="1:22">
      <c r="A289" t="str">
        <f t="shared" si="75"/>
        <v>04/09/2025</v>
      </c>
      <c r="B289" t="str">
        <f t="shared" si="80"/>
        <v>SAÍDA</v>
      </c>
      <c r="C289" t="str">
        <f t="shared" si="79"/>
        <v>PIX</v>
      </c>
      <c r="D289" t="str">
        <f>"20863"</f>
        <v>20863</v>
      </c>
      <c r="E289" t="str">
        <f t="shared" si="81"/>
        <v>1</v>
      </c>
      <c r="F289" t="str">
        <f t="shared" si="77"/>
        <v>COM</v>
      </c>
      <c r="G289" t="str">
        <f>"GABRIEL DA SILVA REIS (824)"</f>
        <v>GABRIEL DA SILVA REIS (824)</v>
      </c>
      <c r="H289" t="str">
        <f>"Serv.Prest. 18/08/2025 a 24/08/2025 - PIX: CPF - CHAVE: 160.160.216-28"</f>
        <v>Serv.Prest. 18/08/2025 a 24/08/2025 - PIX: CPF - CHAVE: 160.160.216-28</v>
      </c>
      <c r="I289" t="str">
        <f t="shared" si="82"/>
        <v>04/09/2025</v>
      </c>
      <c r="J289" t="str">
        <f t="shared" si="72"/>
        <v>25/08/2025</v>
      </c>
      <c r="K289" t="str">
        <f>("04/09/2025")</f>
        <v>04/09/2025</v>
      </c>
      <c r="L289">
        <v>700.7</v>
      </c>
      <c r="M289">
        <v>700.7</v>
      </c>
      <c r="N289">
        <v>109</v>
      </c>
      <c r="O289" t="str">
        <f>"PAGAMENTO DE ENTREGADORES"</f>
        <v>PAGAMENTO DE ENTREGADORES</v>
      </c>
      <c r="P289">
        <v>700.7</v>
      </c>
      <c r="S289" t="str">
        <f>"BANCO C6 (149)"</f>
        <v>BANCO C6 (149)</v>
      </c>
      <c r="T289">
        <v>17508</v>
      </c>
      <c r="U289">
        <v>20863</v>
      </c>
      <c r="V289" t="s">
        <v>77</v>
      </c>
    </row>
    <row r="290" spans="1:22">
      <c r="A290" t="str">
        <f t="shared" si="75"/>
        <v>04/09/2025</v>
      </c>
      <c r="B290" t="str">
        <f t="shared" si="80"/>
        <v>SAÍDA</v>
      </c>
      <c r="C290" t="str">
        <f t="shared" si="79"/>
        <v>PIX</v>
      </c>
      <c r="D290" t="str">
        <f>"20863"</f>
        <v>20863</v>
      </c>
      <c r="E290" t="str">
        <f t="shared" si="81"/>
        <v>1</v>
      </c>
      <c r="F290" t="str">
        <f t="shared" si="77"/>
        <v>COM</v>
      </c>
      <c r="G290" t="str">
        <f>"GABRIEL DA SILVA REIS (824)"</f>
        <v>GABRIEL DA SILVA REIS (824)</v>
      </c>
      <c r="H290" t="s">
        <v>120</v>
      </c>
      <c r="I290" t="str">
        <f t="shared" si="82"/>
        <v>04/09/2025</v>
      </c>
      <c r="J290" t="str">
        <f t="shared" si="72"/>
        <v>25/08/2025</v>
      </c>
      <c r="K290">
        <v>45904</v>
      </c>
      <c r="N290">
        <v>109</v>
      </c>
      <c r="O290" t="s">
        <v>24</v>
      </c>
      <c r="Q290">
        <v>700.7</v>
      </c>
      <c r="R290" t="str">
        <f>"FARMÁCIA INDIANA LJ 100 (10042)"</f>
        <v>FARMÁCIA INDIANA LJ 100 (10042)</v>
      </c>
      <c r="S290" t="s">
        <v>77</v>
      </c>
      <c r="T290">
        <v>17508</v>
      </c>
      <c r="U290">
        <v>20863</v>
      </c>
      <c r="V290" t="s">
        <v>77</v>
      </c>
    </row>
    <row r="291" spans="1:22">
      <c r="A291" t="str">
        <f t="shared" si="75"/>
        <v>04/09/2025</v>
      </c>
      <c r="B291" t="str">
        <f>"ENTRADA"</f>
        <v>ENTRADA</v>
      </c>
      <c r="C291" t="str">
        <f t="shared" si="79"/>
        <v>PIX</v>
      </c>
      <c r="D291" t="str">
        <f>"20864"</f>
        <v>20864</v>
      </c>
      <c r="E291" t="str">
        <f t="shared" si="81"/>
        <v>1</v>
      </c>
      <c r="F291" t="str">
        <f t="shared" si="77"/>
        <v>COM</v>
      </c>
      <c r="G291" t="str">
        <f>"GABRIEL SOARES VIEIRA (18)"</f>
        <v>GABRIEL SOARES VIEIRA (18)</v>
      </c>
      <c r="H291" t="str">
        <f>"DESC DE BAG, UNIFORME, PLANOS Serv.Prest. 18/08/2025 a 24/08/2025 - PIX: CPF - CHAVE: 179.800.027-09"</f>
        <v>DESC DE BAG, UNIFORME, PLANOS Serv.Prest. 18/08/2025 a 24/08/2025 - PIX: CPF - CHAVE: 179.800.027-09</v>
      </c>
      <c r="I291" t="str">
        <f t="shared" si="82"/>
        <v>04/09/2025</v>
      </c>
      <c r="J291" t="str">
        <f t="shared" si="72"/>
        <v>25/08/2025</v>
      </c>
      <c r="K291" t="str">
        <f>("04/09/2025")</f>
        <v>04/09/2025</v>
      </c>
      <c r="N291">
        <v>108</v>
      </c>
      <c r="O291" t="str">
        <f>"RECEITAS COM REEMBOLSOS"</f>
        <v>RECEITAS COM REEMBOLSOS</v>
      </c>
      <c r="P291">
        <v>72.5</v>
      </c>
      <c r="S291" t="str">
        <f>"BANCO C6 (149)"</f>
        <v>BANCO C6 (149)</v>
      </c>
      <c r="T291">
        <v>17509</v>
      </c>
      <c r="U291">
        <v>20864</v>
      </c>
      <c r="V291" t="s">
        <v>77</v>
      </c>
    </row>
    <row r="292" spans="1:22">
      <c r="A292" t="str">
        <f t="shared" si="75"/>
        <v>04/09/2025</v>
      </c>
      <c r="B292" t="str">
        <f t="shared" ref="B292:B303" si="83">"SAÍDA"</f>
        <v>SAÍDA</v>
      </c>
      <c r="C292" t="str">
        <f t="shared" si="79"/>
        <v>PIX</v>
      </c>
      <c r="D292" t="str">
        <f>"20864"</f>
        <v>20864</v>
      </c>
      <c r="E292" t="str">
        <f t="shared" si="81"/>
        <v>1</v>
      </c>
      <c r="F292" t="str">
        <f t="shared" si="77"/>
        <v>COM</v>
      </c>
      <c r="G292" t="str">
        <f>"GABRIEL SOARES VIEIRA (18)"</f>
        <v>GABRIEL SOARES VIEIRA (18)</v>
      </c>
      <c r="H292" t="str">
        <f>"Serv.Prest. 18/08/2025 a 24/08/2025 - PIX: CPF - CHAVE: 179.800.027-09"</f>
        <v>Serv.Prest. 18/08/2025 a 24/08/2025 - PIX: CPF - CHAVE: 179.800.027-09</v>
      </c>
      <c r="I292" t="str">
        <f t="shared" si="82"/>
        <v>04/09/2025</v>
      </c>
      <c r="J292" t="str">
        <f t="shared" si="72"/>
        <v>25/08/2025</v>
      </c>
      <c r="K292" t="str">
        <f>("04/09/2025")</f>
        <v>04/09/2025</v>
      </c>
      <c r="L292">
        <v>1831.5</v>
      </c>
      <c r="M292">
        <v>1759</v>
      </c>
      <c r="N292">
        <v>109</v>
      </c>
      <c r="O292" t="str">
        <f>"PAGAMENTO DE ENTREGADORES"</f>
        <v>PAGAMENTO DE ENTREGADORES</v>
      </c>
      <c r="P292">
        <v>1831.5</v>
      </c>
      <c r="S292" t="str">
        <f>"BANCO C6 (149)"</f>
        <v>BANCO C6 (149)</v>
      </c>
      <c r="T292">
        <v>17509</v>
      </c>
      <c r="U292">
        <v>20864</v>
      </c>
      <c r="V292" t="s">
        <v>77</v>
      </c>
    </row>
    <row r="293" spans="1:22">
      <c r="A293" t="str">
        <f t="shared" si="75"/>
        <v>04/09/2025</v>
      </c>
      <c r="B293" t="str">
        <f t="shared" si="83"/>
        <v>SAÍDA</v>
      </c>
      <c r="C293" t="str">
        <f t="shared" si="79"/>
        <v>PIX</v>
      </c>
      <c r="D293" t="str">
        <f>"20864"</f>
        <v>20864</v>
      </c>
      <c r="E293" t="str">
        <f t="shared" si="81"/>
        <v>1</v>
      </c>
      <c r="F293" t="str">
        <f t="shared" si="77"/>
        <v>COM</v>
      </c>
      <c r="G293" t="str">
        <f>"GABRIEL SOARES VIEIRA (18)"</f>
        <v>GABRIEL SOARES VIEIRA (18)</v>
      </c>
      <c r="H293" t="s">
        <v>121</v>
      </c>
      <c r="I293" t="str">
        <f t="shared" si="82"/>
        <v>04/09/2025</v>
      </c>
      <c r="J293" t="str">
        <f t="shared" si="72"/>
        <v>25/08/2025</v>
      </c>
      <c r="K293">
        <v>45904</v>
      </c>
      <c r="N293">
        <v>108</v>
      </c>
      <c r="O293" t="s">
        <v>54</v>
      </c>
      <c r="Q293">
        <v>1759</v>
      </c>
      <c r="R293" t="str">
        <f>"FARMÁCIA INDIANA LJ 40 (10016)"</f>
        <v>FARMÁCIA INDIANA LJ 40 (10016)</v>
      </c>
      <c r="S293" t="s">
        <v>77</v>
      </c>
      <c r="T293">
        <v>17509</v>
      </c>
      <c r="U293">
        <v>20864</v>
      </c>
      <c r="V293" t="s">
        <v>77</v>
      </c>
    </row>
    <row r="294" spans="1:22">
      <c r="A294" t="str">
        <f t="shared" si="75"/>
        <v>04/09/2025</v>
      </c>
      <c r="B294" t="str">
        <f t="shared" si="83"/>
        <v>SAÍDA</v>
      </c>
      <c r="C294" t="str">
        <f t="shared" si="79"/>
        <v>PIX</v>
      </c>
      <c r="D294" t="str">
        <f>"20866"</f>
        <v>20866</v>
      </c>
      <c r="E294" t="str">
        <f t="shared" si="81"/>
        <v>1</v>
      </c>
      <c r="F294" t="str">
        <f t="shared" si="77"/>
        <v>COM</v>
      </c>
      <c r="G294" t="str">
        <f>"GILNEI MENDES COELHO (195)"</f>
        <v>GILNEI MENDES COELHO (195)</v>
      </c>
      <c r="H294" t="str">
        <f>"Serv.Prest. 18/08/2025 a 24/08/2025 - PIX: CPF - CHAVE: 386.313.426-53"</f>
        <v>Serv.Prest. 18/08/2025 a 24/08/2025 - PIX: CPF - CHAVE: 386.313.426-53</v>
      </c>
      <c r="I294" t="str">
        <f t="shared" si="82"/>
        <v>04/09/2025</v>
      </c>
      <c r="J294" t="str">
        <f t="shared" si="72"/>
        <v>25/08/2025</v>
      </c>
      <c r="K294" t="str">
        <f>("04/09/2025")</f>
        <v>04/09/2025</v>
      </c>
      <c r="L294">
        <v>990</v>
      </c>
      <c r="M294">
        <v>990</v>
      </c>
      <c r="N294">
        <v>109</v>
      </c>
      <c r="O294" t="str">
        <f>"PAGAMENTO DE ENTREGADORES"</f>
        <v>PAGAMENTO DE ENTREGADORES</v>
      </c>
      <c r="P294">
        <v>990</v>
      </c>
      <c r="S294" t="str">
        <f>"BANCO C6 (149)"</f>
        <v>BANCO C6 (149)</v>
      </c>
      <c r="T294">
        <v>17510</v>
      </c>
      <c r="U294">
        <v>20866</v>
      </c>
      <c r="V294" t="s">
        <v>77</v>
      </c>
    </row>
    <row r="295" spans="1:22">
      <c r="A295" t="str">
        <f t="shared" si="75"/>
        <v>04/09/2025</v>
      </c>
      <c r="B295" t="str">
        <f t="shared" si="83"/>
        <v>SAÍDA</v>
      </c>
      <c r="C295" t="str">
        <f t="shared" si="79"/>
        <v>PIX</v>
      </c>
      <c r="D295" t="str">
        <f>"20866"</f>
        <v>20866</v>
      </c>
      <c r="E295" t="str">
        <f t="shared" si="81"/>
        <v>1</v>
      </c>
      <c r="F295" t="str">
        <f t="shared" si="77"/>
        <v>COM</v>
      </c>
      <c r="G295" t="str">
        <f>"GILNEI MENDES COELHO (195)"</f>
        <v>GILNEI MENDES COELHO (195)</v>
      </c>
      <c r="H295" t="s">
        <v>122</v>
      </c>
      <c r="I295" t="str">
        <f t="shared" si="82"/>
        <v>04/09/2025</v>
      </c>
      <c r="J295" t="str">
        <f t="shared" si="72"/>
        <v>25/08/2025</v>
      </c>
      <c r="K295">
        <v>45904</v>
      </c>
      <c r="N295">
        <v>109</v>
      </c>
      <c r="O295" t="s">
        <v>24</v>
      </c>
      <c r="Q295">
        <v>990</v>
      </c>
      <c r="R295" t="str">
        <f>"FARMÁCIA INDIANA LJ 06 (10006)"</f>
        <v>FARMÁCIA INDIANA LJ 06 (10006)</v>
      </c>
      <c r="S295" t="s">
        <v>77</v>
      </c>
      <c r="T295">
        <v>17510</v>
      </c>
      <c r="U295">
        <v>20866</v>
      </c>
      <c r="V295" t="s">
        <v>77</v>
      </c>
    </row>
    <row r="296" spans="1:22">
      <c r="A296" t="str">
        <f t="shared" si="75"/>
        <v>04/09/2025</v>
      </c>
      <c r="B296" t="str">
        <f t="shared" si="83"/>
        <v>SAÍDA</v>
      </c>
      <c r="C296" t="str">
        <f t="shared" si="79"/>
        <v>PIX</v>
      </c>
      <c r="D296" t="str">
        <f>"20867"</f>
        <v>20867</v>
      </c>
      <c r="E296" t="str">
        <f t="shared" si="81"/>
        <v>1</v>
      </c>
      <c r="F296" t="str">
        <f t="shared" si="77"/>
        <v>COM</v>
      </c>
      <c r="G296" t="str">
        <f>"GUILHERME QUINTINO DA ROCHA (199)"</f>
        <v>GUILHERME QUINTINO DA ROCHA (199)</v>
      </c>
      <c r="H296" t="str">
        <f>"Serv.Prest. 18/08/2025 a 24/08/2025 - PIX: CELULAR - CHAVE: (33) 99706-4860"</f>
        <v>Serv.Prest. 18/08/2025 a 24/08/2025 - PIX: CELULAR - CHAVE: (33) 99706-4860</v>
      </c>
      <c r="I296" t="str">
        <f t="shared" si="82"/>
        <v>04/09/2025</v>
      </c>
      <c r="J296" t="str">
        <f t="shared" si="72"/>
        <v>25/08/2025</v>
      </c>
      <c r="K296" t="str">
        <f>("04/09/2025")</f>
        <v>04/09/2025</v>
      </c>
      <c r="L296">
        <v>962.5</v>
      </c>
      <c r="M296">
        <v>962.5</v>
      </c>
      <c r="N296">
        <v>109</v>
      </c>
      <c r="O296" t="str">
        <f>"PAGAMENTO DE ENTREGADORES"</f>
        <v>PAGAMENTO DE ENTREGADORES</v>
      </c>
      <c r="P296">
        <v>962.5</v>
      </c>
      <c r="S296" t="str">
        <f>"BANCO C6 (149)"</f>
        <v>BANCO C6 (149)</v>
      </c>
      <c r="T296">
        <v>17511</v>
      </c>
      <c r="U296">
        <v>20867</v>
      </c>
      <c r="V296" t="s">
        <v>77</v>
      </c>
    </row>
    <row r="297" spans="1:22">
      <c r="A297" t="str">
        <f t="shared" si="75"/>
        <v>04/09/2025</v>
      </c>
      <c r="B297" t="str">
        <f t="shared" si="83"/>
        <v>SAÍDA</v>
      </c>
      <c r="C297" t="str">
        <f t="shared" si="79"/>
        <v>PIX</v>
      </c>
      <c r="D297" t="str">
        <f>"20867"</f>
        <v>20867</v>
      </c>
      <c r="E297" t="str">
        <f t="shared" si="81"/>
        <v>1</v>
      </c>
      <c r="F297" t="str">
        <f t="shared" si="77"/>
        <v>COM</v>
      </c>
      <c r="G297" t="str">
        <f>"GUILHERME QUINTINO DA ROCHA (199)"</f>
        <v>GUILHERME QUINTINO DA ROCHA (199)</v>
      </c>
      <c r="H297" t="s">
        <v>123</v>
      </c>
      <c r="I297" t="str">
        <f t="shared" si="82"/>
        <v>04/09/2025</v>
      </c>
      <c r="J297" t="str">
        <f t="shared" ref="J297:J360" si="84">("25/08/2025")</f>
        <v>25/08/2025</v>
      </c>
      <c r="K297">
        <v>45904</v>
      </c>
      <c r="N297">
        <v>109</v>
      </c>
      <c r="O297" t="s">
        <v>24</v>
      </c>
      <c r="Q297">
        <v>962.5</v>
      </c>
      <c r="R297" t="str">
        <f>"FARMÁCIA INDIANA LJ 06 (10006)"</f>
        <v>FARMÁCIA INDIANA LJ 06 (10006)</v>
      </c>
      <c r="S297" t="s">
        <v>77</v>
      </c>
      <c r="T297">
        <v>17511</v>
      </c>
      <c r="U297">
        <v>20867</v>
      </c>
      <c r="V297" t="s">
        <v>77</v>
      </c>
    </row>
    <row r="298" spans="1:22">
      <c r="A298" t="str">
        <f t="shared" si="75"/>
        <v>04/09/2025</v>
      </c>
      <c r="B298" t="str">
        <f t="shared" si="83"/>
        <v>SAÍDA</v>
      </c>
      <c r="C298" t="str">
        <f t="shared" si="79"/>
        <v>PIX</v>
      </c>
      <c r="D298" t="str">
        <f>"20868"</f>
        <v>20868</v>
      </c>
      <c r="E298" t="str">
        <f t="shared" si="81"/>
        <v>1</v>
      </c>
      <c r="F298" t="str">
        <f t="shared" si="77"/>
        <v>COM</v>
      </c>
      <c r="G298" t="str">
        <f>"GUSTAVO ALVES DE ARAÚJO (298)"</f>
        <v>GUSTAVO ALVES DE ARAÚJO (298)</v>
      </c>
      <c r="H298" t="str">
        <f>"Serv.Prest. 18/08/2025 a 24/08/2025 - PIX: CELULAR - CHAVE: (31) 99816-8965"</f>
        <v>Serv.Prest. 18/08/2025 a 24/08/2025 - PIX: CELULAR - CHAVE: (31) 99816-8965</v>
      </c>
      <c r="I298" t="str">
        <f t="shared" si="82"/>
        <v>04/09/2025</v>
      </c>
      <c r="J298" t="str">
        <f t="shared" si="84"/>
        <v>25/08/2025</v>
      </c>
      <c r="K298" t="str">
        <f>("04/09/2025")</f>
        <v>04/09/2025</v>
      </c>
      <c r="L298">
        <v>1050</v>
      </c>
      <c r="M298">
        <v>1050</v>
      </c>
      <c r="N298">
        <v>109</v>
      </c>
      <c r="O298" t="str">
        <f>"PAGAMENTO DE ENTREGADORES"</f>
        <v>PAGAMENTO DE ENTREGADORES</v>
      </c>
      <c r="P298">
        <v>1050</v>
      </c>
      <c r="S298" t="str">
        <f>"BANCO C6 (149)"</f>
        <v>BANCO C6 (149)</v>
      </c>
      <c r="T298">
        <v>17512</v>
      </c>
      <c r="U298">
        <v>20868</v>
      </c>
      <c r="V298" t="s">
        <v>77</v>
      </c>
    </row>
    <row r="299" spans="1:22">
      <c r="A299" t="str">
        <f t="shared" si="75"/>
        <v>04/09/2025</v>
      </c>
      <c r="B299" t="str">
        <f t="shared" si="83"/>
        <v>SAÍDA</v>
      </c>
      <c r="C299" t="str">
        <f t="shared" si="79"/>
        <v>PIX</v>
      </c>
      <c r="D299" t="str">
        <f>"20868"</f>
        <v>20868</v>
      </c>
      <c r="E299" t="str">
        <f t="shared" si="81"/>
        <v>1</v>
      </c>
      <c r="F299" t="str">
        <f t="shared" si="77"/>
        <v>COM</v>
      </c>
      <c r="G299" t="str">
        <f>"GUSTAVO ALVES DE ARAÚJO (298)"</f>
        <v>GUSTAVO ALVES DE ARAÚJO (298)</v>
      </c>
      <c r="H299" t="s">
        <v>124</v>
      </c>
      <c r="I299" t="str">
        <f t="shared" si="82"/>
        <v>04/09/2025</v>
      </c>
      <c r="J299" t="str">
        <f t="shared" si="84"/>
        <v>25/08/2025</v>
      </c>
      <c r="K299">
        <v>45904</v>
      </c>
      <c r="N299">
        <v>109</v>
      </c>
      <c r="O299" t="s">
        <v>24</v>
      </c>
      <c r="Q299">
        <v>1050</v>
      </c>
      <c r="R299" t="str">
        <f>"FARMÁCIA INDIANA LJ 172 (10161)"</f>
        <v>FARMÁCIA INDIANA LJ 172 (10161)</v>
      </c>
      <c r="S299" t="s">
        <v>77</v>
      </c>
      <c r="T299">
        <v>17512</v>
      </c>
      <c r="U299">
        <v>20868</v>
      </c>
      <c r="V299" t="s">
        <v>77</v>
      </c>
    </row>
    <row r="300" spans="1:22">
      <c r="A300" t="str">
        <f t="shared" si="75"/>
        <v>04/09/2025</v>
      </c>
      <c r="B300" t="str">
        <f t="shared" si="83"/>
        <v>SAÍDA</v>
      </c>
      <c r="C300" t="str">
        <f t="shared" si="79"/>
        <v>PIX</v>
      </c>
      <c r="D300" t="str">
        <f>"20869"</f>
        <v>20869</v>
      </c>
      <c r="E300" t="str">
        <f t="shared" si="81"/>
        <v>1</v>
      </c>
      <c r="F300" t="str">
        <f t="shared" si="77"/>
        <v>COM</v>
      </c>
      <c r="G300" t="str">
        <f>"GUSTAVO HENRIQUE OLIVEIRA (661)"</f>
        <v>GUSTAVO HENRIQUE OLIVEIRA (661)</v>
      </c>
      <c r="H300" t="str">
        <f>"Serv.Prest. 18/08/2025 a 24/08/2025 - PIX: CPF - CHAVE: 113.084.266-58"</f>
        <v>Serv.Prest. 18/08/2025 a 24/08/2025 - PIX: CPF - CHAVE: 113.084.266-58</v>
      </c>
      <c r="I300" t="str">
        <f t="shared" si="82"/>
        <v>04/09/2025</v>
      </c>
      <c r="J300" t="str">
        <f t="shared" si="84"/>
        <v>25/08/2025</v>
      </c>
      <c r="K300" t="str">
        <f>("04/09/2025")</f>
        <v>04/09/2025</v>
      </c>
      <c r="L300">
        <v>816</v>
      </c>
      <c r="M300">
        <v>816</v>
      </c>
      <c r="N300">
        <v>109</v>
      </c>
      <c r="O300" t="str">
        <f>"PAGAMENTO DE ENTREGADORES"</f>
        <v>PAGAMENTO DE ENTREGADORES</v>
      </c>
      <c r="P300">
        <v>816</v>
      </c>
      <c r="S300" t="str">
        <f>"BANCO C6 (149)"</f>
        <v>BANCO C6 (149)</v>
      </c>
      <c r="T300">
        <v>17513</v>
      </c>
      <c r="U300">
        <v>20869</v>
      </c>
      <c r="V300" t="s">
        <v>77</v>
      </c>
    </row>
    <row r="301" spans="1:22">
      <c r="A301" t="str">
        <f t="shared" si="75"/>
        <v>04/09/2025</v>
      </c>
      <c r="B301" t="str">
        <f t="shared" si="83"/>
        <v>SAÍDA</v>
      </c>
      <c r="C301" t="str">
        <f t="shared" si="79"/>
        <v>PIX</v>
      </c>
      <c r="D301" t="str">
        <f>"20869"</f>
        <v>20869</v>
      </c>
      <c r="E301" t="str">
        <f t="shared" si="81"/>
        <v>1</v>
      </c>
      <c r="F301" t="str">
        <f t="shared" si="77"/>
        <v>COM</v>
      </c>
      <c r="G301" t="str">
        <f>"GUSTAVO HENRIQUE OLIVEIRA (661)"</f>
        <v>GUSTAVO HENRIQUE OLIVEIRA (661)</v>
      </c>
      <c r="H301" t="s">
        <v>125</v>
      </c>
      <c r="I301" t="str">
        <f t="shared" si="82"/>
        <v>04/09/2025</v>
      </c>
      <c r="J301" t="str">
        <f t="shared" si="84"/>
        <v>25/08/2025</v>
      </c>
      <c r="K301">
        <v>45904</v>
      </c>
      <c r="N301">
        <v>109</v>
      </c>
      <c r="O301" t="s">
        <v>24</v>
      </c>
      <c r="Q301">
        <v>816</v>
      </c>
      <c r="R301" t="str">
        <f>"FARMÁCIA INDIANA LJ 110 (10048)"</f>
        <v>FARMÁCIA INDIANA LJ 110 (10048)</v>
      </c>
      <c r="S301" t="s">
        <v>77</v>
      </c>
      <c r="T301">
        <v>17513</v>
      </c>
      <c r="U301">
        <v>20869</v>
      </c>
      <c r="V301" t="s">
        <v>77</v>
      </c>
    </row>
    <row r="302" spans="1:22">
      <c r="A302" t="str">
        <f t="shared" si="75"/>
        <v>04/09/2025</v>
      </c>
      <c r="B302" t="str">
        <f t="shared" si="83"/>
        <v>SAÍDA</v>
      </c>
      <c r="C302" t="str">
        <f t="shared" si="79"/>
        <v>PIX</v>
      </c>
      <c r="D302" t="str">
        <f>"20871"</f>
        <v>20871</v>
      </c>
      <c r="E302" t="str">
        <f t="shared" si="81"/>
        <v>1</v>
      </c>
      <c r="F302" t="str">
        <f t="shared" si="77"/>
        <v>COM</v>
      </c>
      <c r="G302" t="str">
        <f>"IVAN SOUZA SANTOS (101)"</f>
        <v>IVAN SOUZA SANTOS (101)</v>
      </c>
      <c r="H302" t="str">
        <f>"Serv.Prest. 18/08/2025 a 24/08/2025 - PIX: CPF - CHAVE: 067.393.286-92"</f>
        <v>Serv.Prest. 18/08/2025 a 24/08/2025 - PIX: CPF - CHAVE: 067.393.286-92</v>
      </c>
      <c r="I302" t="str">
        <f t="shared" si="82"/>
        <v>04/09/2025</v>
      </c>
      <c r="J302" t="str">
        <f t="shared" si="84"/>
        <v>25/08/2025</v>
      </c>
      <c r="K302" t="str">
        <f>("04/09/2025")</f>
        <v>04/09/2025</v>
      </c>
      <c r="L302">
        <v>735</v>
      </c>
      <c r="M302">
        <v>735</v>
      </c>
      <c r="N302">
        <v>109</v>
      </c>
      <c r="O302" t="str">
        <f>"PAGAMENTO DE ENTREGADORES"</f>
        <v>PAGAMENTO DE ENTREGADORES</v>
      </c>
      <c r="P302">
        <v>735</v>
      </c>
      <c r="S302" t="str">
        <f>"BANCO C6 (149)"</f>
        <v>BANCO C6 (149)</v>
      </c>
      <c r="T302">
        <v>17514</v>
      </c>
      <c r="U302">
        <v>20871</v>
      </c>
      <c r="V302" t="s">
        <v>77</v>
      </c>
    </row>
    <row r="303" spans="1:22">
      <c r="A303" t="str">
        <f t="shared" si="75"/>
        <v>04/09/2025</v>
      </c>
      <c r="B303" t="str">
        <f t="shared" si="83"/>
        <v>SAÍDA</v>
      </c>
      <c r="C303" t="str">
        <f t="shared" si="79"/>
        <v>PIX</v>
      </c>
      <c r="D303" t="str">
        <f>"20871"</f>
        <v>20871</v>
      </c>
      <c r="E303" t="str">
        <f t="shared" si="81"/>
        <v>1</v>
      </c>
      <c r="F303" t="str">
        <f t="shared" si="77"/>
        <v>COM</v>
      </c>
      <c r="G303" t="str">
        <f>"IVAN SOUZA SANTOS (101)"</f>
        <v>IVAN SOUZA SANTOS (101)</v>
      </c>
      <c r="H303" t="s">
        <v>126</v>
      </c>
      <c r="I303" t="str">
        <f t="shared" si="82"/>
        <v>04/09/2025</v>
      </c>
      <c r="J303" t="str">
        <f t="shared" si="84"/>
        <v>25/08/2025</v>
      </c>
      <c r="K303">
        <v>45904</v>
      </c>
      <c r="N303">
        <v>109</v>
      </c>
      <c r="O303" t="s">
        <v>24</v>
      </c>
      <c r="Q303">
        <v>735</v>
      </c>
      <c r="R303" t="str">
        <f>"FARMÁCIA INDIANA LJ 59 (10026)"</f>
        <v>FARMÁCIA INDIANA LJ 59 (10026)</v>
      </c>
      <c r="S303" t="s">
        <v>77</v>
      </c>
      <c r="T303">
        <v>17514</v>
      </c>
      <c r="U303">
        <v>20871</v>
      </c>
      <c r="V303" t="s">
        <v>77</v>
      </c>
    </row>
    <row r="304" spans="1:22">
      <c r="A304" t="str">
        <f t="shared" si="75"/>
        <v>04/09/2025</v>
      </c>
      <c r="B304" t="str">
        <f>"ENTRADA"</f>
        <v>ENTRADA</v>
      </c>
      <c r="C304" t="str">
        <f t="shared" si="79"/>
        <v>PIX</v>
      </c>
      <c r="D304" t="str">
        <f>"20872"</f>
        <v>20872</v>
      </c>
      <c r="E304" t="str">
        <f t="shared" si="81"/>
        <v>1</v>
      </c>
      <c r="F304" t="str">
        <f t="shared" si="77"/>
        <v>COM</v>
      </c>
      <c r="G304" t="str">
        <f>"JANDERSON SOUZA ARCANJO (28)"</f>
        <v>JANDERSON SOUZA ARCANJO (28)</v>
      </c>
      <c r="H304" t="str">
        <f>"DESC DE BAG, UNIFORME, PLANOS Serv.Prest. 18/08/2025 a 24/08/2025 - PIX: CPF - CHAVE: 121.297.376-33"</f>
        <v>DESC DE BAG, UNIFORME, PLANOS Serv.Prest. 18/08/2025 a 24/08/2025 - PIX: CPF - CHAVE: 121.297.376-33</v>
      </c>
      <c r="I304" t="str">
        <f t="shared" si="82"/>
        <v>04/09/2025</v>
      </c>
      <c r="J304" t="str">
        <f t="shared" si="84"/>
        <v>25/08/2025</v>
      </c>
      <c r="K304" t="str">
        <f>("04/09/2025")</f>
        <v>04/09/2025</v>
      </c>
      <c r="N304">
        <v>108</v>
      </c>
      <c r="O304" t="str">
        <f>"RECEITAS COM REEMBOLSOS"</f>
        <v>RECEITAS COM REEMBOLSOS</v>
      </c>
      <c r="P304">
        <v>57.5</v>
      </c>
      <c r="S304" t="str">
        <f>"BANCO C6 (149)"</f>
        <v>BANCO C6 (149)</v>
      </c>
      <c r="T304">
        <v>17515</v>
      </c>
      <c r="U304">
        <v>20872</v>
      </c>
      <c r="V304" t="s">
        <v>77</v>
      </c>
    </row>
    <row r="305" spans="1:22">
      <c r="A305" t="str">
        <f t="shared" si="75"/>
        <v>04/09/2025</v>
      </c>
      <c r="B305" t="str">
        <f>"SAÍDA"</f>
        <v>SAÍDA</v>
      </c>
      <c r="C305" t="str">
        <f t="shared" si="79"/>
        <v>PIX</v>
      </c>
      <c r="D305" t="str">
        <f>"20872"</f>
        <v>20872</v>
      </c>
      <c r="E305" t="str">
        <f t="shared" si="81"/>
        <v>1</v>
      </c>
      <c r="F305" t="str">
        <f t="shared" si="77"/>
        <v>COM</v>
      </c>
      <c r="G305" t="str">
        <f>"JANDERSON SOUZA ARCANJO (28)"</f>
        <v>JANDERSON SOUZA ARCANJO (28)</v>
      </c>
      <c r="H305" t="str">
        <f>"Serv.Prest. 18/08/2025 a 24/08/2025 - PIX: CPF - CHAVE: 121.297.376-33"</f>
        <v>Serv.Prest. 18/08/2025 a 24/08/2025 - PIX: CPF - CHAVE: 121.297.376-33</v>
      </c>
      <c r="I305" t="str">
        <f t="shared" si="82"/>
        <v>04/09/2025</v>
      </c>
      <c r="J305" t="str">
        <f t="shared" si="84"/>
        <v>25/08/2025</v>
      </c>
      <c r="K305" t="str">
        <f>("04/09/2025")</f>
        <v>04/09/2025</v>
      </c>
      <c r="L305">
        <v>2788.5</v>
      </c>
      <c r="M305">
        <v>2731</v>
      </c>
      <c r="N305">
        <v>109</v>
      </c>
      <c r="O305" t="str">
        <f>"PAGAMENTO DE ENTREGADORES"</f>
        <v>PAGAMENTO DE ENTREGADORES</v>
      </c>
      <c r="P305">
        <v>2788.5</v>
      </c>
      <c r="S305" t="str">
        <f>"BANCO C6 (149)"</f>
        <v>BANCO C6 (149)</v>
      </c>
      <c r="T305">
        <v>17515</v>
      </c>
      <c r="U305">
        <v>20872</v>
      </c>
      <c r="V305" t="s">
        <v>77</v>
      </c>
    </row>
    <row r="306" spans="1:22">
      <c r="A306" t="str">
        <f t="shared" si="75"/>
        <v>04/09/2025</v>
      </c>
      <c r="B306" t="str">
        <f>"SAÍDA"</f>
        <v>SAÍDA</v>
      </c>
      <c r="C306" t="str">
        <f t="shared" si="79"/>
        <v>PIX</v>
      </c>
      <c r="D306" t="str">
        <f>"20872"</f>
        <v>20872</v>
      </c>
      <c r="E306" t="str">
        <f t="shared" si="81"/>
        <v>1</v>
      </c>
      <c r="F306" t="str">
        <f t="shared" si="77"/>
        <v>COM</v>
      </c>
      <c r="G306" t="str">
        <f>"JANDERSON SOUZA ARCANJO (28)"</f>
        <v>JANDERSON SOUZA ARCANJO (28)</v>
      </c>
      <c r="H306" t="s">
        <v>127</v>
      </c>
      <c r="I306" t="str">
        <f t="shared" si="82"/>
        <v>04/09/2025</v>
      </c>
      <c r="J306" t="str">
        <f t="shared" si="84"/>
        <v>25/08/2025</v>
      </c>
      <c r="K306">
        <v>45904</v>
      </c>
      <c r="N306">
        <v>108</v>
      </c>
      <c r="O306" t="s">
        <v>54</v>
      </c>
      <c r="Q306">
        <v>2731</v>
      </c>
      <c r="R306" t="str">
        <f>"FARMÁCIA INDIANA LJ 40 (10016)"</f>
        <v>FARMÁCIA INDIANA LJ 40 (10016)</v>
      </c>
      <c r="S306" t="s">
        <v>77</v>
      </c>
      <c r="T306">
        <v>17515</v>
      </c>
      <c r="U306">
        <v>20872</v>
      </c>
      <c r="V306" t="s">
        <v>77</v>
      </c>
    </row>
    <row r="307" spans="1:22">
      <c r="A307" t="str">
        <f t="shared" si="75"/>
        <v>04/09/2025</v>
      </c>
      <c r="B307" t="str">
        <f>"ENTRADA"</f>
        <v>ENTRADA</v>
      </c>
      <c r="C307" t="str">
        <f t="shared" si="79"/>
        <v>PIX</v>
      </c>
      <c r="D307" t="str">
        <f>"20873"</f>
        <v>20873</v>
      </c>
      <c r="E307" t="str">
        <f t="shared" si="81"/>
        <v>1</v>
      </c>
      <c r="F307" t="str">
        <f t="shared" si="77"/>
        <v>COM</v>
      </c>
      <c r="G307" t="str">
        <f>"JEFERSON ANDRADE FERREIRA (165)"</f>
        <v>JEFERSON ANDRADE FERREIRA (165)</v>
      </c>
      <c r="H307" t="str">
        <f>"DESC DE BAG, UNIFORME, PLANOS Serv.Prest. 18/08/2025 a 24/08/2025 - PIX: CPF - CHAVE: 126.873.296-65"</f>
        <v>DESC DE BAG, UNIFORME, PLANOS Serv.Prest. 18/08/2025 a 24/08/2025 - PIX: CPF - CHAVE: 126.873.296-65</v>
      </c>
      <c r="I307" t="str">
        <f t="shared" si="82"/>
        <v>04/09/2025</v>
      </c>
      <c r="J307" t="str">
        <f t="shared" si="84"/>
        <v>25/08/2025</v>
      </c>
      <c r="K307" t="str">
        <f>("04/09/2025")</f>
        <v>04/09/2025</v>
      </c>
      <c r="N307">
        <v>108</v>
      </c>
      <c r="O307" t="str">
        <f>"RECEITAS COM REEMBOLSOS"</f>
        <v>RECEITAS COM REEMBOLSOS</v>
      </c>
      <c r="P307">
        <v>20</v>
      </c>
      <c r="S307" t="str">
        <f>"BANCO C6 (149)"</f>
        <v>BANCO C6 (149)</v>
      </c>
      <c r="T307">
        <v>17516</v>
      </c>
      <c r="U307">
        <v>20873</v>
      </c>
      <c r="V307" t="s">
        <v>77</v>
      </c>
    </row>
    <row r="308" spans="1:22">
      <c r="A308" t="str">
        <f t="shared" si="75"/>
        <v>04/09/2025</v>
      </c>
      <c r="B308" t="str">
        <f t="shared" ref="B308:B336" si="85">"SAÍDA"</f>
        <v>SAÍDA</v>
      </c>
      <c r="C308" t="str">
        <f t="shared" si="79"/>
        <v>PIX</v>
      </c>
      <c r="D308" t="str">
        <f>"20873"</f>
        <v>20873</v>
      </c>
      <c r="E308" t="str">
        <f t="shared" si="81"/>
        <v>1</v>
      </c>
      <c r="F308" t="str">
        <f t="shared" si="77"/>
        <v>COM</v>
      </c>
      <c r="G308" t="str">
        <f>"JEFERSON ANDRADE FERREIRA (165)"</f>
        <v>JEFERSON ANDRADE FERREIRA (165)</v>
      </c>
      <c r="H308" t="str">
        <f>"Serv.Prest. 18/08/2025 a 24/08/2025 - PIX: CPF - CHAVE: 126.873.296-65"</f>
        <v>Serv.Prest. 18/08/2025 a 24/08/2025 - PIX: CPF - CHAVE: 126.873.296-65</v>
      </c>
      <c r="I308" t="str">
        <f t="shared" si="82"/>
        <v>04/09/2025</v>
      </c>
      <c r="J308" t="str">
        <f t="shared" si="84"/>
        <v>25/08/2025</v>
      </c>
      <c r="K308" t="str">
        <f>("04/09/2025")</f>
        <v>04/09/2025</v>
      </c>
      <c r="L308">
        <v>1176</v>
      </c>
      <c r="M308">
        <v>1156</v>
      </c>
      <c r="N308">
        <v>109</v>
      </c>
      <c r="O308" t="str">
        <f>"PAGAMENTO DE ENTREGADORES"</f>
        <v>PAGAMENTO DE ENTREGADORES</v>
      </c>
      <c r="P308">
        <v>1176</v>
      </c>
      <c r="S308" t="str">
        <f>"BANCO C6 (149)"</f>
        <v>BANCO C6 (149)</v>
      </c>
      <c r="T308">
        <v>17516</v>
      </c>
      <c r="U308">
        <v>20873</v>
      </c>
      <c r="V308" t="s">
        <v>77</v>
      </c>
    </row>
    <row r="309" spans="1:22">
      <c r="A309" t="str">
        <f t="shared" si="75"/>
        <v>04/09/2025</v>
      </c>
      <c r="B309" t="str">
        <f t="shared" si="85"/>
        <v>SAÍDA</v>
      </c>
      <c r="C309" t="str">
        <f t="shared" si="79"/>
        <v>PIX</v>
      </c>
      <c r="D309" t="str">
        <f>"20873"</f>
        <v>20873</v>
      </c>
      <c r="E309" t="str">
        <f t="shared" si="81"/>
        <v>1</v>
      </c>
      <c r="F309" t="str">
        <f t="shared" si="77"/>
        <v>COM</v>
      </c>
      <c r="G309" t="str">
        <f>"JEFERSON ANDRADE FERREIRA (165)"</f>
        <v>JEFERSON ANDRADE FERREIRA (165)</v>
      </c>
      <c r="H309" t="s">
        <v>128</v>
      </c>
      <c r="I309" t="str">
        <f t="shared" si="82"/>
        <v>04/09/2025</v>
      </c>
      <c r="J309" t="str">
        <f t="shared" si="84"/>
        <v>25/08/2025</v>
      </c>
      <c r="K309">
        <v>45904</v>
      </c>
      <c r="N309">
        <v>108</v>
      </c>
      <c r="O309" t="s">
        <v>54</v>
      </c>
      <c r="Q309">
        <v>1156</v>
      </c>
      <c r="R309" t="str">
        <f>"FARMÁCIA INDIANA LJ 101 (10043)"</f>
        <v>FARMÁCIA INDIANA LJ 101 (10043)</v>
      </c>
      <c r="S309" t="s">
        <v>77</v>
      </c>
      <c r="T309">
        <v>17516</v>
      </c>
      <c r="U309">
        <v>20873</v>
      </c>
      <c r="V309" t="s">
        <v>77</v>
      </c>
    </row>
    <row r="310" spans="1:22">
      <c r="A310" t="str">
        <f t="shared" si="75"/>
        <v>04/09/2025</v>
      </c>
      <c r="B310" t="str">
        <f t="shared" si="85"/>
        <v>SAÍDA</v>
      </c>
      <c r="C310" t="str">
        <f t="shared" si="79"/>
        <v>PIX</v>
      </c>
      <c r="D310" t="str">
        <f>"20874"</f>
        <v>20874</v>
      </c>
      <c r="E310" t="str">
        <f t="shared" si="81"/>
        <v>1</v>
      </c>
      <c r="F310" t="str">
        <f t="shared" si="77"/>
        <v>COM</v>
      </c>
      <c r="G310" t="str">
        <f>"JEFERSON ARAÚJO SANTOS GERMANO (180)"</f>
        <v>JEFERSON ARAÚJO SANTOS GERMANO (180)</v>
      </c>
      <c r="H310" t="str">
        <f>"Serv.Prest. 18/08/2025 a 24/08/2025 - PIX: CPF - CHAVE: 023.645.626-19"</f>
        <v>Serv.Prest. 18/08/2025 a 24/08/2025 - PIX: CPF - CHAVE: 023.645.626-19</v>
      </c>
      <c r="I310" t="str">
        <f t="shared" si="82"/>
        <v>04/09/2025</v>
      </c>
      <c r="J310" t="str">
        <f t="shared" si="84"/>
        <v>25/08/2025</v>
      </c>
      <c r="K310" t="str">
        <f>("04/09/2025")</f>
        <v>04/09/2025</v>
      </c>
      <c r="L310">
        <v>1134</v>
      </c>
      <c r="M310">
        <v>1134</v>
      </c>
      <c r="N310">
        <v>109</v>
      </c>
      <c r="O310" t="str">
        <f>"PAGAMENTO DE ENTREGADORES"</f>
        <v>PAGAMENTO DE ENTREGADORES</v>
      </c>
      <c r="P310">
        <v>1134</v>
      </c>
      <c r="S310" t="str">
        <f>"BANCO C6 (149)"</f>
        <v>BANCO C6 (149)</v>
      </c>
      <c r="T310">
        <v>17517</v>
      </c>
      <c r="U310">
        <v>20874</v>
      </c>
      <c r="V310" t="s">
        <v>77</v>
      </c>
    </row>
    <row r="311" spans="1:22">
      <c r="A311" t="str">
        <f t="shared" si="75"/>
        <v>04/09/2025</v>
      </c>
      <c r="B311" t="str">
        <f t="shared" si="85"/>
        <v>SAÍDA</v>
      </c>
      <c r="C311" t="str">
        <f t="shared" si="79"/>
        <v>PIX</v>
      </c>
      <c r="D311" t="str">
        <f>"20874"</f>
        <v>20874</v>
      </c>
      <c r="E311" t="str">
        <f t="shared" si="81"/>
        <v>1</v>
      </c>
      <c r="F311" t="str">
        <f t="shared" si="77"/>
        <v>COM</v>
      </c>
      <c r="G311" t="str">
        <f>"JEFERSON ARAÚJO SANTOS GERMANO (180)"</f>
        <v>JEFERSON ARAÚJO SANTOS GERMANO (180)</v>
      </c>
      <c r="H311" t="s">
        <v>129</v>
      </c>
      <c r="I311" t="str">
        <f t="shared" si="82"/>
        <v>04/09/2025</v>
      </c>
      <c r="J311" t="str">
        <f t="shared" si="84"/>
        <v>25/08/2025</v>
      </c>
      <c r="K311">
        <v>45904</v>
      </c>
      <c r="N311">
        <v>109</v>
      </c>
      <c r="O311" t="s">
        <v>24</v>
      </c>
      <c r="Q311">
        <v>1134</v>
      </c>
      <c r="R311" t="str">
        <f>"FARMÁCIA INDIANA LJ 142 (10066)"</f>
        <v>FARMÁCIA INDIANA LJ 142 (10066)</v>
      </c>
      <c r="S311" t="s">
        <v>77</v>
      </c>
      <c r="T311">
        <v>17517</v>
      </c>
      <c r="U311">
        <v>20874</v>
      </c>
      <c r="V311" t="s">
        <v>77</v>
      </c>
    </row>
    <row r="312" spans="1:22">
      <c r="A312" t="str">
        <f t="shared" si="75"/>
        <v>04/09/2025</v>
      </c>
      <c r="B312" t="str">
        <f t="shared" si="85"/>
        <v>SAÍDA</v>
      </c>
      <c r="C312" t="str">
        <f t="shared" si="79"/>
        <v>PIX</v>
      </c>
      <c r="D312" t="str">
        <f>"20875"</f>
        <v>20875</v>
      </c>
      <c r="E312" t="str">
        <f t="shared" si="81"/>
        <v>1</v>
      </c>
      <c r="F312" t="str">
        <f t="shared" si="77"/>
        <v>COM</v>
      </c>
      <c r="G312" t="str">
        <f>"JEFERSON DE JESUS SANTOS (910)"</f>
        <v>JEFERSON DE JESUS SANTOS (910)</v>
      </c>
      <c r="H312" t="str">
        <f>"Serv.Prest. 18/08/2025 a 24/08/2025 - PIX: CELULAR - CHAVE: (33) 98836-6015"</f>
        <v>Serv.Prest. 18/08/2025 a 24/08/2025 - PIX: CELULAR - CHAVE: (33) 98836-6015</v>
      </c>
      <c r="I312" t="str">
        <f t="shared" si="82"/>
        <v>04/09/2025</v>
      </c>
      <c r="J312" t="str">
        <f t="shared" si="84"/>
        <v>25/08/2025</v>
      </c>
      <c r="K312" t="str">
        <f>("04/09/2025")</f>
        <v>04/09/2025</v>
      </c>
      <c r="L312">
        <v>606</v>
      </c>
      <c r="M312">
        <v>606</v>
      </c>
      <c r="N312">
        <v>109</v>
      </c>
      <c r="O312" t="str">
        <f>"PAGAMENTO DE ENTREGADORES"</f>
        <v>PAGAMENTO DE ENTREGADORES</v>
      </c>
      <c r="P312">
        <v>606</v>
      </c>
      <c r="S312" t="str">
        <f>"BANCO C6 (149)"</f>
        <v>BANCO C6 (149)</v>
      </c>
      <c r="T312">
        <v>17518</v>
      </c>
      <c r="U312">
        <v>20875</v>
      </c>
      <c r="V312" t="s">
        <v>77</v>
      </c>
    </row>
    <row r="313" spans="1:22">
      <c r="A313" t="str">
        <f t="shared" si="75"/>
        <v>04/09/2025</v>
      </c>
      <c r="B313" t="str">
        <f t="shared" si="85"/>
        <v>SAÍDA</v>
      </c>
      <c r="C313" t="str">
        <f t="shared" si="79"/>
        <v>PIX</v>
      </c>
      <c r="D313" t="str">
        <f>"20875"</f>
        <v>20875</v>
      </c>
      <c r="E313" t="str">
        <f t="shared" si="81"/>
        <v>1</v>
      </c>
      <c r="F313" t="str">
        <f t="shared" si="77"/>
        <v>COM</v>
      </c>
      <c r="G313" t="str">
        <f>"JEFERSON DE JESUS SANTOS (910)"</f>
        <v>JEFERSON DE JESUS SANTOS (910)</v>
      </c>
      <c r="H313" t="s">
        <v>130</v>
      </c>
      <c r="I313" t="str">
        <f t="shared" si="82"/>
        <v>04/09/2025</v>
      </c>
      <c r="J313" t="str">
        <f t="shared" si="84"/>
        <v>25/08/2025</v>
      </c>
      <c r="K313">
        <v>45904</v>
      </c>
      <c r="N313">
        <v>109</v>
      </c>
      <c r="O313" t="s">
        <v>24</v>
      </c>
      <c r="Q313">
        <v>606</v>
      </c>
      <c r="R313" t="str">
        <f>"FARMÁCIA INDIANA LJ 07 (10007)"</f>
        <v>FARMÁCIA INDIANA LJ 07 (10007)</v>
      </c>
      <c r="S313" t="s">
        <v>77</v>
      </c>
      <c r="T313">
        <v>17518</v>
      </c>
      <c r="U313">
        <v>20875</v>
      </c>
      <c r="V313" t="s">
        <v>77</v>
      </c>
    </row>
    <row r="314" spans="1:22">
      <c r="A314" t="str">
        <f t="shared" ref="A314:A377" si="86">("04/09/2025")</f>
        <v>04/09/2025</v>
      </c>
      <c r="B314" t="str">
        <f t="shared" si="85"/>
        <v>SAÍDA</v>
      </c>
      <c r="C314" t="str">
        <f t="shared" si="79"/>
        <v>PIX</v>
      </c>
      <c r="D314" t="str">
        <f>"20876"</f>
        <v>20876</v>
      </c>
      <c r="E314" t="str">
        <f t="shared" si="81"/>
        <v>1</v>
      </c>
      <c r="F314" t="str">
        <f t="shared" si="77"/>
        <v>COM</v>
      </c>
      <c r="G314" t="str">
        <f>"JHONANTAN LACERDA DE JESUS (142)"</f>
        <v>JHONANTAN LACERDA DE JESUS (142)</v>
      </c>
      <c r="H314" t="str">
        <f>"Serv.Prest. 18/08/2025 a 24/08/2025 - PIX: E-MAIL - CHAVE: jhonantanlacerda@gmail.com"</f>
        <v>Serv.Prest. 18/08/2025 a 24/08/2025 - PIX: E-MAIL - CHAVE: jhonantanlacerda@gmail.com</v>
      </c>
      <c r="I314" t="str">
        <f t="shared" si="82"/>
        <v>04/09/2025</v>
      </c>
      <c r="J314" t="str">
        <f t="shared" si="84"/>
        <v>25/08/2025</v>
      </c>
      <c r="K314" t="str">
        <f>("04/09/2025")</f>
        <v>04/09/2025</v>
      </c>
      <c r="L314">
        <v>852</v>
      </c>
      <c r="M314">
        <v>852</v>
      </c>
      <c r="N314">
        <v>109</v>
      </c>
      <c r="O314" t="str">
        <f>"PAGAMENTO DE ENTREGADORES"</f>
        <v>PAGAMENTO DE ENTREGADORES</v>
      </c>
      <c r="P314">
        <v>852</v>
      </c>
      <c r="S314" t="str">
        <f>"BANCO C6 (149)"</f>
        <v>BANCO C6 (149)</v>
      </c>
      <c r="T314">
        <v>17519</v>
      </c>
      <c r="U314">
        <v>20876</v>
      </c>
      <c r="V314" t="s">
        <v>77</v>
      </c>
    </row>
    <row r="315" spans="1:22">
      <c r="A315" t="str">
        <f t="shared" si="86"/>
        <v>04/09/2025</v>
      </c>
      <c r="B315" t="str">
        <f t="shared" si="85"/>
        <v>SAÍDA</v>
      </c>
      <c r="C315" t="str">
        <f t="shared" si="79"/>
        <v>PIX</v>
      </c>
      <c r="D315" t="str">
        <f>"20876"</f>
        <v>20876</v>
      </c>
      <c r="E315" t="str">
        <f t="shared" si="81"/>
        <v>1</v>
      </c>
      <c r="F315" t="str">
        <f t="shared" si="77"/>
        <v>COM</v>
      </c>
      <c r="G315" t="str">
        <f>"JHONANTAN LACERDA DE JESUS (142)"</f>
        <v>JHONANTAN LACERDA DE JESUS (142)</v>
      </c>
      <c r="H315" t="s">
        <v>131</v>
      </c>
      <c r="I315" t="str">
        <f t="shared" si="82"/>
        <v>04/09/2025</v>
      </c>
      <c r="J315" t="str">
        <f t="shared" si="84"/>
        <v>25/08/2025</v>
      </c>
      <c r="K315">
        <v>45904</v>
      </c>
      <c r="N315">
        <v>109</v>
      </c>
      <c r="O315" t="s">
        <v>24</v>
      </c>
      <c r="Q315">
        <v>852</v>
      </c>
      <c r="R315" t="str">
        <f>"FARMÁCIA INDIANA LJ 142 (10066)"</f>
        <v>FARMÁCIA INDIANA LJ 142 (10066)</v>
      </c>
      <c r="S315" t="s">
        <v>77</v>
      </c>
      <c r="T315">
        <v>17519</v>
      </c>
      <c r="U315">
        <v>20876</v>
      </c>
      <c r="V315" t="s">
        <v>77</v>
      </c>
    </row>
    <row r="316" spans="1:22">
      <c r="A316" t="str">
        <f t="shared" si="86"/>
        <v>04/09/2025</v>
      </c>
      <c r="B316" t="str">
        <f t="shared" si="85"/>
        <v>SAÍDA</v>
      </c>
      <c r="C316" t="str">
        <f t="shared" si="79"/>
        <v>PIX</v>
      </c>
      <c r="D316" t="str">
        <f>"20877"</f>
        <v>20877</v>
      </c>
      <c r="E316" t="str">
        <f t="shared" si="81"/>
        <v>1</v>
      </c>
      <c r="F316" t="str">
        <f t="shared" si="77"/>
        <v>COM</v>
      </c>
      <c r="G316" t="str">
        <f>"JOAO PAULO PEREIRA LIMA (821)"</f>
        <v>JOAO PAULO PEREIRA LIMA (821)</v>
      </c>
      <c r="H316" t="str">
        <f>"Serv.Prest. 18/08/2025 a 24/08/2025 - PIX: CPF - CHAVE: 049.276.546-48"</f>
        <v>Serv.Prest. 18/08/2025 a 24/08/2025 - PIX: CPF - CHAVE: 049.276.546-48</v>
      </c>
      <c r="I316" t="str">
        <f t="shared" si="82"/>
        <v>04/09/2025</v>
      </c>
      <c r="J316" t="str">
        <f t="shared" si="84"/>
        <v>25/08/2025</v>
      </c>
      <c r="K316" t="str">
        <f>("04/09/2025")</f>
        <v>04/09/2025</v>
      </c>
      <c r="L316">
        <v>990</v>
      </c>
      <c r="M316">
        <v>990</v>
      </c>
      <c r="N316">
        <v>109</v>
      </c>
      <c r="O316" t="str">
        <f>"PAGAMENTO DE ENTREGADORES"</f>
        <v>PAGAMENTO DE ENTREGADORES</v>
      </c>
      <c r="P316">
        <v>990</v>
      </c>
      <c r="S316" t="str">
        <f>"BANCO C6 (149)"</f>
        <v>BANCO C6 (149)</v>
      </c>
      <c r="T316">
        <v>17520</v>
      </c>
      <c r="U316">
        <v>20877</v>
      </c>
      <c r="V316" t="s">
        <v>77</v>
      </c>
    </row>
    <row r="317" spans="1:22">
      <c r="A317" t="str">
        <f t="shared" si="86"/>
        <v>04/09/2025</v>
      </c>
      <c r="B317" t="str">
        <f t="shared" si="85"/>
        <v>SAÍDA</v>
      </c>
      <c r="C317" t="str">
        <f t="shared" si="79"/>
        <v>PIX</v>
      </c>
      <c r="D317" t="str">
        <f>"20877"</f>
        <v>20877</v>
      </c>
      <c r="E317" t="str">
        <f t="shared" si="81"/>
        <v>1</v>
      </c>
      <c r="F317" t="str">
        <f t="shared" si="77"/>
        <v>COM</v>
      </c>
      <c r="G317" t="str">
        <f>"JOAO PAULO PEREIRA LIMA (821)"</f>
        <v>JOAO PAULO PEREIRA LIMA (821)</v>
      </c>
      <c r="H317" t="s">
        <v>132</v>
      </c>
      <c r="I317" t="str">
        <f t="shared" si="82"/>
        <v>04/09/2025</v>
      </c>
      <c r="J317" t="str">
        <f t="shared" si="84"/>
        <v>25/08/2025</v>
      </c>
      <c r="K317">
        <v>45904</v>
      </c>
      <c r="N317">
        <v>109</v>
      </c>
      <c r="O317" t="s">
        <v>24</v>
      </c>
      <c r="Q317">
        <v>990</v>
      </c>
      <c r="R317" t="str">
        <f>"FARMÁCIA INDIANA LJ 06 (10006)"</f>
        <v>FARMÁCIA INDIANA LJ 06 (10006)</v>
      </c>
      <c r="S317" t="s">
        <v>77</v>
      </c>
      <c r="T317">
        <v>17520</v>
      </c>
      <c r="U317">
        <v>20877</v>
      </c>
      <c r="V317" t="s">
        <v>77</v>
      </c>
    </row>
    <row r="318" spans="1:22">
      <c r="A318" t="str">
        <f t="shared" si="86"/>
        <v>04/09/2025</v>
      </c>
      <c r="B318" t="str">
        <f t="shared" si="85"/>
        <v>SAÍDA</v>
      </c>
      <c r="C318" t="str">
        <f t="shared" si="79"/>
        <v>PIX</v>
      </c>
      <c r="D318" t="str">
        <f>"20878"</f>
        <v>20878</v>
      </c>
      <c r="E318" t="str">
        <f t="shared" si="81"/>
        <v>1</v>
      </c>
      <c r="F318" t="str">
        <f t="shared" si="77"/>
        <v>COM</v>
      </c>
      <c r="G318" t="str">
        <f>"JOMAR GONÇALVES DIAS (16)"</f>
        <v>JOMAR GONÇALVES DIAS (16)</v>
      </c>
      <c r="H318" t="str">
        <f>"Serv.Prest. 18/08/2025 a 24/08/2025 - PIX: CPF - CHAVE: 602.838.315-53"</f>
        <v>Serv.Prest. 18/08/2025 a 24/08/2025 - PIX: CPF - CHAVE: 602.838.315-53</v>
      </c>
      <c r="I318" t="str">
        <f t="shared" si="82"/>
        <v>04/09/2025</v>
      </c>
      <c r="J318" t="str">
        <f t="shared" si="84"/>
        <v>25/08/2025</v>
      </c>
      <c r="K318" t="str">
        <f>("04/09/2025")</f>
        <v>04/09/2025</v>
      </c>
      <c r="L318">
        <v>1072.5</v>
      </c>
      <c r="M318">
        <v>1072.5</v>
      </c>
      <c r="N318">
        <v>109</v>
      </c>
      <c r="O318" t="str">
        <f>"PAGAMENTO DE ENTREGADORES"</f>
        <v>PAGAMENTO DE ENTREGADORES</v>
      </c>
      <c r="P318">
        <v>1072.5</v>
      </c>
      <c r="S318" t="str">
        <f>"BANCO C6 (149)"</f>
        <v>BANCO C6 (149)</v>
      </c>
      <c r="T318">
        <v>17521</v>
      </c>
      <c r="U318">
        <v>20878</v>
      </c>
      <c r="V318" t="s">
        <v>77</v>
      </c>
    </row>
    <row r="319" spans="1:22">
      <c r="A319" t="str">
        <f t="shared" si="86"/>
        <v>04/09/2025</v>
      </c>
      <c r="B319" t="str">
        <f t="shared" si="85"/>
        <v>SAÍDA</v>
      </c>
      <c r="C319" t="str">
        <f t="shared" si="79"/>
        <v>PIX</v>
      </c>
      <c r="D319" t="str">
        <f>"20878"</f>
        <v>20878</v>
      </c>
      <c r="E319" t="str">
        <f t="shared" si="81"/>
        <v>1</v>
      </c>
      <c r="F319" t="str">
        <f t="shared" si="77"/>
        <v>COM</v>
      </c>
      <c r="G319" t="str">
        <f>"JOMAR GONÇALVES DIAS (16)"</f>
        <v>JOMAR GONÇALVES DIAS (16)</v>
      </c>
      <c r="H319" t="s">
        <v>133</v>
      </c>
      <c r="I319" t="str">
        <f t="shared" si="82"/>
        <v>04/09/2025</v>
      </c>
      <c r="J319" t="str">
        <f t="shared" si="84"/>
        <v>25/08/2025</v>
      </c>
      <c r="K319">
        <v>45904</v>
      </c>
      <c r="N319">
        <v>109</v>
      </c>
      <c r="O319" t="s">
        <v>24</v>
      </c>
      <c r="Q319">
        <v>16.52</v>
      </c>
      <c r="R319" t="str">
        <f>"FARMÁCIA INDIANA LJ 40 (10016)"</f>
        <v>FARMÁCIA INDIANA LJ 40 (10016)</v>
      </c>
      <c r="S319" t="s">
        <v>77</v>
      </c>
      <c r="T319">
        <v>17521</v>
      </c>
      <c r="U319">
        <v>20878</v>
      </c>
      <c r="V319" t="s">
        <v>77</v>
      </c>
    </row>
    <row r="320" spans="1:22">
      <c r="A320" t="str">
        <f t="shared" si="86"/>
        <v>04/09/2025</v>
      </c>
      <c r="B320" t="str">
        <f t="shared" si="85"/>
        <v>SAÍDA</v>
      </c>
      <c r="C320" t="str">
        <f t="shared" si="79"/>
        <v>PIX</v>
      </c>
      <c r="D320" t="str">
        <f>"20878"</f>
        <v>20878</v>
      </c>
      <c r="E320" t="str">
        <f t="shared" si="81"/>
        <v>1</v>
      </c>
      <c r="F320" t="str">
        <f t="shared" si="77"/>
        <v>COM</v>
      </c>
      <c r="G320" t="str">
        <f>"JOMAR GONÇALVES DIAS (16)"</f>
        <v>JOMAR GONÇALVES DIAS (16)</v>
      </c>
      <c r="H320" t="s">
        <v>133</v>
      </c>
      <c r="I320" t="str">
        <f t="shared" si="82"/>
        <v>04/09/2025</v>
      </c>
      <c r="J320" t="str">
        <f t="shared" si="84"/>
        <v>25/08/2025</v>
      </c>
      <c r="K320">
        <v>45904</v>
      </c>
      <c r="N320">
        <v>109</v>
      </c>
      <c r="O320" t="s">
        <v>24</v>
      </c>
      <c r="Q320">
        <v>1055.98</v>
      </c>
      <c r="R320" t="str">
        <f>"FARMÁCIA INDIANA LJ 61 (10027)"</f>
        <v>FARMÁCIA INDIANA LJ 61 (10027)</v>
      </c>
      <c r="S320" t="s">
        <v>77</v>
      </c>
      <c r="T320">
        <v>17521</v>
      </c>
      <c r="U320">
        <v>20878</v>
      </c>
      <c r="V320" t="s">
        <v>77</v>
      </c>
    </row>
    <row r="321" spans="1:22">
      <c r="A321" t="str">
        <f t="shared" si="86"/>
        <v>04/09/2025</v>
      </c>
      <c r="B321" t="str">
        <f t="shared" si="85"/>
        <v>SAÍDA</v>
      </c>
      <c r="C321" t="str">
        <f t="shared" si="79"/>
        <v>PIX</v>
      </c>
      <c r="D321" t="str">
        <f>"20879"</f>
        <v>20879</v>
      </c>
      <c r="E321" t="str">
        <f t="shared" si="81"/>
        <v>1</v>
      </c>
      <c r="F321" t="str">
        <f t="shared" si="77"/>
        <v>COM</v>
      </c>
      <c r="G321" t="str">
        <f>"JOSÉ CARLOS DA COSTA (83)"</f>
        <v>JOSÉ CARLOS DA COSTA (83)</v>
      </c>
      <c r="H321" t="str">
        <f>"Serv.Prest. 18/08/2025 a 24/08/2025 - PIX: CPF - CHAVE: 043.301.196-33"</f>
        <v>Serv.Prest. 18/08/2025 a 24/08/2025 - PIX: CPF - CHAVE: 043.301.196-33</v>
      </c>
      <c r="I321" t="str">
        <f t="shared" si="82"/>
        <v>04/09/2025</v>
      </c>
      <c r="J321" t="str">
        <f t="shared" si="84"/>
        <v>25/08/2025</v>
      </c>
      <c r="K321" t="str">
        <f>("04/09/2025")</f>
        <v>04/09/2025</v>
      </c>
      <c r="L321">
        <v>540</v>
      </c>
      <c r="M321">
        <v>540</v>
      </c>
      <c r="N321">
        <v>109</v>
      </c>
      <c r="O321" t="str">
        <f>"PAGAMENTO DE ENTREGADORES"</f>
        <v>PAGAMENTO DE ENTREGADORES</v>
      </c>
      <c r="P321">
        <v>540</v>
      </c>
      <c r="S321" t="str">
        <f>"BANCO C6 (149)"</f>
        <v>BANCO C6 (149)</v>
      </c>
      <c r="T321">
        <v>17522</v>
      </c>
      <c r="U321">
        <v>20879</v>
      </c>
      <c r="V321" t="s">
        <v>77</v>
      </c>
    </row>
    <row r="322" spans="1:22">
      <c r="A322" t="str">
        <f t="shared" si="86"/>
        <v>04/09/2025</v>
      </c>
      <c r="B322" t="str">
        <f t="shared" si="85"/>
        <v>SAÍDA</v>
      </c>
      <c r="C322" t="str">
        <f t="shared" si="79"/>
        <v>PIX</v>
      </c>
      <c r="D322" t="str">
        <f>"20879"</f>
        <v>20879</v>
      </c>
      <c r="E322" t="str">
        <f t="shared" si="81"/>
        <v>1</v>
      </c>
      <c r="F322" t="str">
        <f t="shared" ref="F322:F385" si="87">"COM"</f>
        <v>COM</v>
      </c>
      <c r="G322" t="str">
        <f>"JOSÉ CARLOS DA COSTA (83)"</f>
        <v>JOSÉ CARLOS DA COSTA (83)</v>
      </c>
      <c r="H322" t="s">
        <v>134</v>
      </c>
      <c r="I322" t="str">
        <f t="shared" si="82"/>
        <v>04/09/2025</v>
      </c>
      <c r="J322" t="str">
        <f t="shared" si="84"/>
        <v>25/08/2025</v>
      </c>
      <c r="K322">
        <v>45904</v>
      </c>
      <c r="N322">
        <v>109</v>
      </c>
      <c r="O322" t="s">
        <v>24</v>
      </c>
      <c r="Q322">
        <v>540</v>
      </c>
      <c r="R322" t="str">
        <f>"FARMÁCIA INDIANA LJ 152 (10069)"</f>
        <v>FARMÁCIA INDIANA LJ 152 (10069)</v>
      </c>
      <c r="S322" t="s">
        <v>77</v>
      </c>
      <c r="T322">
        <v>17522</v>
      </c>
      <c r="U322">
        <v>20879</v>
      </c>
      <c r="V322" t="s">
        <v>77</v>
      </c>
    </row>
    <row r="323" spans="1:22">
      <c r="A323" t="str">
        <f t="shared" si="86"/>
        <v>04/09/2025</v>
      </c>
      <c r="B323" t="str">
        <f t="shared" si="85"/>
        <v>SAÍDA</v>
      </c>
      <c r="C323" t="str">
        <f t="shared" si="79"/>
        <v>PIX</v>
      </c>
      <c r="D323" t="str">
        <f>"20881"</f>
        <v>20881</v>
      </c>
      <c r="E323" t="str">
        <f t="shared" si="81"/>
        <v>1</v>
      </c>
      <c r="F323" t="str">
        <f t="shared" si="87"/>
        <v>COM</v>
      </c>
      <c r="G323" t="str">
        <f>"JUBER FERREIRA SILVA BASTOS (192)"</f>
        <v>JUBER FERREIRA SILVA BASTOS (192)</v>
      </c>
      <c r="H323" t="str">
        <f>"Serv.Prest. 18/08/2025 a 24/08/2025 - PIX: CPF - CHAVE: 012.459.366-62"</f>
        <v>Serv.Prest. 18/08/2025 a 24/08/2025 - PIX: CPF - CHAVE: 012.459.366-62</v>
      </c>
      <c r="I323" t="str">
        <f t="shared" si="82"/>
        <v>04/09/2025</v>
      </c>
      <c r="J323" t="str">
        <f t="shared" si="84"/>
        <v>25/08/2025</v>
      </c>
      <c r="K323" t="str">
        <f>("04/09/2025")</f>
        <v>04/09/2025</v>
      </c>
      <c r="L323">
        <v>990</v>
      </c>
      <c r="M323">
        <v>990</v>
      </c>
      <c r="N323">
        <v>109</v>
      </c>
      <c r="O323" t="str">
        <f>"PAGAMENTO DE ENTREGADORES"</f>
        <v>PAGAMENTO DE ENTREGADORES</v>
      </c>
      <c r="P323">
        <v>990</v>
      </c>
      <c r="S323" t="str">
        <f>"BANCO C6 (149)"</f>
        <v>BANCO C6 (149)</v>
      </c>
      <c r="T323">
        <v>17523</v>
      </c>
      <c r="U323">
        <v>20881</v>
      </c>
      <c r="V323" t="s">
        <v>77</v>
      </c>
    </row>
    <row r="324" spans="1:22">
      <c r="A324" t="str">
        <f t="shared" si="86"/>
        <v>04/09/2025</v>
      </c>
      <c r="B324" t="str">
        <f t="shared" si="85"/>
        <v>SAÍDA</v>
      </c>
      <c r="C324" t="str">
        <f t="shared" si="79"/>
        <v>PIX</v>
      </c>
      <c r="D324" t="str">
        <f>"20881"</f>
        <v>20881</v>
      </c>
      <c r="E324" t="str">
        <f t="shared" si="81"/>
        <v>1</v>
      </c>
      <c r="F324" t="str">
        <f t="shared" si="87"/>
        <v>COM</v>
      </c>
      <c r="G324" t="str">
        <f>"JUBER FERREIRA SILVA BASTOS (192)"</f>
        <v>JUBER FERREIRA SILVA BASTOS (192)</v>
      </c>
      <c r="H324" t="s">
        <v>135</v>
      </c>
      <c r="I324" t="str">
        <f t="shared" si="82"/>
        <v>04/09/2025</v>
      </c>
      <c r="J324" t="str">
        <f t="shared" si="84"/>
        <v>25/08/2025</v>
      </c>
      <c r="K324">
        <v>45904</v>
      </c>
      <c r="N324">
        <v>109</v>
      </c>
      <c r="O324" t="s">
        <v>24</v>
      </c>
      <c r="Q324">
        <v>990</v>
      </c>
      <c r="R324" t="str">
        <f>"FARMÁCIA INDIANA LJ 06 (10006)"</f>
        <v>FARMÁCIA INDIANA LJ 06 (10006)</v>
      </c>
      <c r="S324" t="s">
        <v>77</v>
      </c>
      <c r="T324">
        <v>17523</v>
      </c>
      <c r="U324">
        <v>20881</v>
      </c>
      <c r="V324" t="s">
        <v>77</v>
      </c>
    </row>
    <row r="325" spans="1:22">
      <c r="A325" t="str">
        <f t="shared" si="86"/>
        <v>04/09/2025</v>
      </c>
      <c r="B325" t="str">
        <f t="shared" si="85"/>
        <v>SAÍDA</v>
      </c>
      <c r="C325" t="str">
        <f t="shared" si="79"/>
        <v>PIX</v>
      </c>
      <c r="D325" t="str">
        <f>"20882"</f>
        <v>20882</v>
      </c>
      <c r="E325" t="str">
        <f t="shared" si="81"/>
        <v>1</v>
      </c>
      <c r="F325" t="str">
        <f t="shared" si="87"/>
        <v>COM</v>
      </c>
      <c r="G325" t="str">
        <f>"JUNIO DE ANDRADE ARRUDA (145)"</f>
        <v>JUNIO DE ANDRADE ARRUDA (145)</v>
      </c>
      <c r="H325" t="str">
        <f>"Serv.Prest. 18/08/2025 a 24/08/2025 - PIX: CPF - CHAVE: 077.488.126-75"</f>
        <v>Serv.Prest. 18/08/2025 a 24/08/2025 - PIX: CPF - CHAVE: 077.488.126-75</v>
      </c>
      <c r="I325" t="str">
        <f t="shared" si="82"/>
        <v>04/09/2025</v>
      </c>
      <c r="J325" t="str">
        <f t="shared" si="84"/>
        <v>25/08/2025</v>
      </c>
      <c r="K325" t="str">
        <f>("04/09/2025")</f>
        <v>04/09/2025</v>
      </c>
      <c r="L325">
        <v>750</v>
      </c>
      <c r="M325">
        <v>750</v>
      </c>
      <c r="N325">
        <v>109</v>
      </c>
      <c r="O325" t="str">
        <f>"PAGAMENTO DE ENTREGADORES"</f>
        <v>PAGAMENTO DE ENTREGADORES</v>
      </c>
      <c r="P325">
        <v>750</v>
      </c>
      <c r="S325" t="str">
        <f>"BANCO C6 (149)"</f>
        <v>BANCO C6 (149)</v>
      </c>
      <c r="T325">
        <v>17524</v>
      </c>
      <c r="U325">
        <v>20882</v>
      </c>
      <c r="V325" t="s">
        <v>77</v>
      </c>
    </row>
    <row r="326" spans="1:22">
      <c r="A326" t="str">
        <f t="shared" si="86"/>
        <v>04/09/2025</v>
      </c>
      <c r="B326" t="str">
        <f t="shared" si="85"/>
        <v>SAÍDA</v>
      </c>
      <c r="C326" t="str">
        <f t="shared" si="79"/>
        <v>PIX</v>
      </c>
      <c r="D326" t="str">
        <f>"20882"</f>
        <v>20882</v>
      </c>
      <c r="E326" t="str">
        <f t="shared" si="81"/>
        <v>1</v>
      </c>
      <c r="F326" t="str">
        <f t="shared" si="87"/>
        <v>COM</v>
      </c>
      <c r="G326" t="str">
        <f>"JUNIO DE ANDRADE ARRUDA (145)"</f>
        <v>JUNIO DE ANDRADE ARRUDA (145)</v>
      </c>
      <c r="H326" t="s">
        <v>136</v>
      </c>
      <c r="I326" t="str">
        <f t="shared" si="82"/>
        <v>04/09/2025</v>
      </c>
      <c r="J326" t="str">
        <f t="shared" si="84"/>
        <v>25/08/2025</v>
      </c>
      <c r="K326">
        <v>45904</v>
      </c>
      <c r="N326">
        <v>109</v>
      </c>
      <c r="O326" t="s">
        <v>24</v>
      </c>
      <c r="Q326">
        <v>750</v>
      </c>
      <c r="R326" t="str">
        <f>"FARMÁCIA INDIANA LJ 19 (10012)"</f>
        <v>FARMÁCIA INDIANA LJ 19 (10012)</v>
      </c>
      <c r="S326" t="s">
        <v>77</v>
      </c>
      <c r="T326">
        <v>17524</v>
      </c>
      <c r="U326">
        <v>20882</v>
      </c>
      <c r="V326" t="s">
        <v>77</v>
      </c>
    </row>
    <row r="327" spans="1:22">
      <c r="A327" t="str">
        <f t="shared" si="86"/>
        <v>04/09/2025</v>
      </c>
      <c r="B327" t="str">
        <f t="shared" si="85"/>
        <v>SAÍDA</v>
      </c>
      <c r="C327" t="str">
        <f t="shared" si="79"/>
        <v>PIX</v>
      </c>
      <c r="D327" t="str">
        <f>"20883"</f>
        <v>20883</v>
      </c>
      <c r="E327" t="str">
        <f t="shared" si="81"/>
        <v>1</v>
      </c>
      <c r="F327" t="str">
        <f t="shared" si="87"/>
        <v>COM</v>
      </c>
      <c r="G327" t="str">
        <f>"JUNIOR DOS SANTOS MACHADO (240)"</f>
        <v>JUNIOR DOS SANTOS MACHADO (240)</v>
      </c>
      <c r="H327" t="str">
        <f>"Serv.Prest. 18/08/2025 a 24/08/2025 - PIX: CPF - CHAVE: 074.520.456-29"</f>
        <v>Serv.Prest. 18/08/2025 a 24/08/2025 - PIX: CPF - CHAVE: 074.520.456-29</v>
      </c>
      <c r="I327" t="str">
        <f t="shared" si="82"/>
        <v>04/09/2025</v>
      </c>
      <c r="J327" t="str">
        <f t="shared" si="84"/>
        <v>25/08/2025</v>
      </c>
      <c r="K327" t="str">
        <f>("04/09/2025")</f>
        <v>04/09/2025</v>
      </c>
      <c r="L327">
        <v>605</v>
      </c>
      <c r="M327">
        <v>605</v>
      </c>
      <c r="N327">
        <v>109</v>
      </c>
      <c r="O327" t="str">
        <f>"PAGAMENTO DE ENTREGADORES"</f>
        <v>PAGAMENTO DE ENTREGADORES</v>
      </c>
      <c r="P327">
        <v>605</v>
      </c>
      <c r="S327" t="str">
        <f>"BANCO C6 (149)"</f>
        <v>BANCO C6 (149)</v>
      </c>
      <c r="T327">
        <v>17525</v>
      </c>
      <c r="U327">
        <v>20883</v>
      </c>
      <c r="V327" t="s">
        <v>77</v>
      </c>
    </row>
    <row r="328" spans="1:22">
      <c r="A328" t="str">
        <f t="shared" si="86"/>
        <v>04/09/2025</v>
      </c>
      <c r="B328" t="str">
        <f t="shared" si="85"/>
        <v>SAÍDA</v>
      </c>
      <c r="C328" t="str">
        <f t="shared" si="79"/>
        <v>PIX</v>
      </c>
      <c r="D328" t="str">
        <f>"20883"</f>
        <v>20883</v>
      </c>
      <c r="E328" t="str">
        <f t="shared" si="81"/>
        <v>1</v>
      </c>
      <c r="F328" t="str">
        <f t="shared" si="87"/>
        <v>COM</v>
      </c>
      <c r="G328" t="str">
        <f>"JUNIOR DOS SANTOS MACHADO (240)"</f>
        <v>JUNIOR DOS SANTOS MACHADO (240)</v>
      </c>
      <c r="H328" t="s">
        <v>137</v>
      </c>
      <c r="I328" t="str">
        <f t="shared" si="82"/>
        <v>04/09/2025</v>
      </c>
      <c r="J328" t="str">
        <f t="shared" si="84"/>
        <v>25/08/2025</v>
      </c>
      <c r="K328">
        <v>45904</v>
      </c>
      <c r="N328">
        <v>109</v>
      </c>
      <c r="O328" t="s">
        <v>24</v>
      </c>
      <c r="Q328">
        <v>605</v>
      </c>
      <c r="R328" t="str">
        <f>"FARMÁCIA INDIANA LJ 62 (10028)"</f>
        <v>FARMÁCIA INDIANA LJ 62 (10028)</v>
      </c>
      <c r="S328" t="s">
        <v>77</v>
      </c>
      <c r="T328">
        <v>17525</v>
      </c>
      <c r="U328">
        <v>20883</v>
      </c>
      <c r="V328" t="s">
        <v>77</v>
      </c>
    </row>
    <row r="329" spans="1:22">
      <c r="A329" t="str">
        <f t="shared" si="86"/>
        <v>04/09/2025</v>
      </c>
      <c r="B329" t="str">
        <f t="shared" si="85"/>
        <v>SAÍDA</v>
      </c>
      <c r="C329" t="str">
        <f t="shared" si="79"/>
        <v>PIX</v>
      </c>
      <c r="D329" t="str">
        <f>"20885"</f>
        <v>20885</v>
      </c>
      <c r="E329" t="str">
        <f t="shared" si="81"/>
        <v>1</v>
      </c>
      <c r="F329" t="str">
        <f t="shared" si="87"/>
        <v>COM</v>
      </c>
      <c r="G329" t="str">
        <f>"KALESSON BARROSO DIAS (216)"</f>
        <v>KALESSON BARROSO DIAS (216)</v>
      </c>
      <c r="H329" t="str">
        <f>"Serv.Prest. 18/08/2025 a 24/08/2025 - PIX: CELULAR - CHAVE: (33) 99106-9330"</f>
        <v>Serv.Prest. 18/08/2025 a 24/08/2025 - PIX: CELULAR - CHAVE: (33) 99106-9330</v>
      </c>
      <c r="I329" t="str">
        <f t="shared" si="82"/>
        <v>04/09/2025</v>
      </c>
      <c r="J329" t="str">
        <f t="shared" si="84"/>
        <v>25/08/2025</v>
      </c>
      <c r="K329" t="str">
        <f>("04/09/2025")</f>
        <v>04/09/2025</v>
      </c>
      <c r="L329">
        <v>990</v>
      </c>
      <c r="M329">
        <v>990</v>
      </c>
      <c r="N329">
        <v>109</v>
      </c>
      <c r="O329" t="str">
        <f>"PAGAMENTO DE ENTREGADORES"</f>
        <v>PAGAMENTO DE ENTREGADORES</v>
      </c>
      <c r="P329">
        <v>990</v>
      </c>
      <c r="S329" t="str">
        <f>"BANCO C6 (149)"</f>
        <v>BANCO C6 (149)</v>
      </c>
      <c r="T329">
        <v>17526</v>
      </c>
      <c r="U329">
        <v>20885</v>
      </c>
      <c r="V329" t="s">
        <v>77</v>
      </c>
    </row>
    <row r="330" spans="1:22">
      <c r="A330" t="str">
        <f t="shared" si="86"/>
        <v>04/09/2025</v>
      </c>
      <c r="B330" t="str">
        <f t="shared" si="85"/>
        <v>SAÍDA</v>
      </c>
      <c r="C330" t="str">
        <f t="shared" si="79"/>
        <v>PIX</v>
      </c>
      <c r="D330" t="str">
        <f>"20885"</f>
        <v>20885</v>
      </c>
      <c r="E330" t="str">
        <f t="shared" si="81"/>
        <v>1</v>
      </c>
      <c r="F330" t="str">
        <f t="shared" si="87"/>
        <v>COM</v>
      </c>
      <c r="G330" t="str">
        <f>"KALESSON BARROSO DIAS (216)"</f>
        <v>KALESSON BARROSO DIAS (216)</v>
      </c>
      <c r="H330" t="s">
        <v>138</v>
      </c>
      <c r="I330" t="str">
        <f t="shared" si="82"/>
        <v>04/09/2025</v>
      </c>
      <c r="J330" t="str">
        <f t="shared" si="84"/>
        <v>25/08/2025</v>
      </c>
      <c r="K330">
        <v>45904</v>
      </c>
      <c r="N330">
        <v>109</v>
      </c>
      <c r="O330" t="s">
        <v>24</v>
      </c>
      <c r="Q330">
        <v>990</v>
      </c>
      <c r="R330" t="str">
        <f>"FARMÁCIA INDIANA LJ 06 (10006)"</f>
        <v>FARMÁCIA INDIANA LJ 06 (10006)</v>
      </c>
      <c r="S330" t="s">
        <v>77</v>
      </c>
      <c r="T330">
        <v>17526</v>
      </c>
      <c r="U330">
        <v>20885</v>
      </c>
      <c r="V330" t="s">
        <v>77</v>
      </c>
    </row>
    <row r="331" spans="1:22">
      <c r="A331" t="str">
        <f t="shared" si="86"/>
        <v>04/09/2025</v>
      </c>
      <c r="B331" t="str">
        <f t="shared" si="85"/>
        <v>SAÍDA</v>
      </c>
      <c r="C331" t="str">
        <f t="shared" ref="C331:C394" si="88">"PIX"</f>
        <v>PIX</v>
      </c>
      <c r="D331" t="str">
        <f>"20886"</f>
        <v>20886</v>
      </c>
      <c r="E331" t="str">
        <f t="shared" si="81"/>
        <v>1</v>
      </c>
      <c r="F331" t="str">
        <f t="shared" si="87"/>
        <v>COM</v>
      </c>
      <c r="G331" t="str">
        <f>"KELVIN NUBIO DE SOUZA TOLEDO (735)"</f>
        <v>KELVIN NUBIO DE SOUZA TOLEDO (735)</v>
      </c>
      <c r="H331" t="str">
        <f>"Serv.Prest. 18/08/2025 a 24/08/2025 - PIX: CHAVE ALEATÓRIA - CHAVE: c489bee1-360b-4fa9-86c4-fbb0e9844cb8"</f>
        <v>Serv.Prest. 18/08/2025 a 24/08/2025 - PIX: CHAVE ALEATÓRIA - CHAVE: c489bee1-360b-4fa9-86c4-fbb0e9844cb8</v>
      </c>
      <c r="I331" t="str">
        <f t="shared" si="82"/>
        <v>04/09/2025</v>
      </c>
      <c r="J331" t="str">
        <f t="shared" si="84"/>
        <v>25/08/2025</v>
      </c>
      <c r="K331" t="str">
        <f>("04/09/2025")</f>
        <v>04/09/2025</v>
      </c>
      <c r="L331">
        <v>312</v>
      </c>
      <c r="M331">
        <v>312</v>
      </c>
      <c r="N331">
        <v>109</v>
      </c>
      <c r="O331" t="str">
        <f>"PAGAMENTO DE ENTREGADORES"</f>
        <v>PAGAMENTO DE ENTREGADORES</v>
      </c>
      <c r="P331">
        <v>312</v>
      </c>
      <c r="S331" t="str">
        <f>"BANCO C6 (149)"</f>
        <v>BANCO C6 (149)</v>
      </c>
      <c r="T331">
        <v>17527</v>
      </c>
      <c r="U331">
        <v>20886</v>
      </c>
      <c r="V331" t="s">
        <v>77</v>
      </c>
    </row>
    <row r="332" spans="1:22">
      <c r="A332" t="str">
        <f t="shared" si="86"/>
        <v>04/09/2025</v>
      </c>
      <c r="B332" t="str">
        <f t="shared" si="85"/>
        <v>SAÍDA</v>
      </c>
      <c r="C332" t="str">
        <f t="shared" si="88"/>
        <v>PIX</v>
      </c>
      <c r="D332" t="str">
        <f>"20886"</f>
        <v>20886</v>
      </c>
      <c r="E332" t="str">
        <f t="shared" si="81"/>
        <v>1</v>
      </c>
      <c r="F332" t="str">
        <f t="shared" si="87"/>
        <v>COM</v>
      </c>
      <c r="G332" t="str">
        <f>"KELVIN NUBIO DE SOUZA TOLEDO (735)"</f>
        <v>KELVIN NUBIO DE SOUZA TOLEDO (735)</v>
      </c>
      <c r="H332" t="s">
        <v>139</v>
      </c>
      <c r="I332" t="str">
        <f t="shared" si="82"/>
        <v>04/09/2025</v>
      </c>
      <c r="J332" t="str">
        <f t="shared" si="84"/>
        <v>25/08/2025</v>
      </c>
      <c r="K332">
        <v>45904</v>
      </c>
      <c r="N332">
        <v>109</v>
      </c>
      <c r="O332" t="s">
        <v>24</v>
      </c>
      <c r="Q332">
        <v>312</v>
      </c>
      <c r="R332" t="str">
        <f>"FARMÁCIA INDIANA LJ 152 (10069)"</f>
        <v>FARMÁCIA INDIANA LJ 152 (10069)</v>
      </c>
      <c r="S332" t="s">
        <v>77</v>
      </c>
      <c r="T332">
        <v>17527</v>
      </c>
      <c r="U332">
        <v>20886</v>
      </c>
      <c r="V332" t="s">
        <v>77</v>
      </c>
    </row>
    <row r="333" spans="1:22">
      <c r="A333" t="str">
        <f t="shared" si="86"/>
        <v>04/09/2025</v>
      </c>
      <c r="B333" t="str">
        <f t="shared" si="85"/>
        <v>SAÍDA</v>
      </c>
      <c r="C333" t="str">
        <f t="shared" si="88"/>
        <v>PIX</v>
      </c>
      <c r="D333" t="str">
        <f>"20888"</f>
        <v>20888</v>
      </c>
      <c r="E333" t="str">
        <f t="shared" si="81"/>
        <v>1</v>
      </c>
      <c r="F333" t="str">
        <f t="shared" si="87"/>
        <v>COM</v>
      </c>
      <c r="G333" t="str">
        <f>"LEONARDO VIANA FIGUEIREDO (913)"</f>
        <v>LEONARDO VIANA FIGUEIREDO (913)</v>
      </c>
      <c r="H333" t="str">
        <f>"Serv.Prest. 18/08/2025 a 24/08/2025 - PIX: CELULAR - CHAVE: (33) 98463-0821"</f>
        <v>Serv.Prest. 18/08/2025 a 24/08/2025 - PIX: CELULAR - CHAVE: (33) 98463-0821</v>
      </c>
      <c r="I333" t="str">
        <f t="shared" si="82"/>
        <v>04/09/2025</v>
      </c>
      <c r="J333" t="str">
        <f t="shared" si="84"/>
        <v>25/08/2025</v>
      </c>
      <c r="K333" t="str">
        <f>("04/09/2025")</f>
        <v>04/09/2025</v>
      </c>
      <c r="L333">
        <v>990</v>
      </c>
      <c r="M333">
        <v>990</v>
      </c>
      <c r="N333">
        <v>109</v>
      </c>
      <c r="O333" t="str">
        <f>"PAGAMENTO DE ENTREGADORES"</f>
        <v>PAGAMENTO DE ENTREGADORES</v>
      </c>
      <c r="P333">
        <v>990</v>
      </c>
      <c r="S333" t="str">
        <f>"BANCO C6 (149)"</f>
        <v>BANCO C6 (149)</v>
      </c>
      <c r="T333">
        <v>17528</v>
      </c>
      <c r="U333">
        <v>20888</v>
      </c>
      <c r="V333" t="s">
        <v>77</v>
      </c>
    </row>
    <row r="334" spans="1:22">
      <c r="A334" t="str">
        <f t="shared" si="86"/>
        <v>04/09/2025</v>
      </c>
      <c r="B334" t="str">
        <f t="shared" si="85"/>
        <v>SAÍDA</v>
      </c>
      <c r="C334" t="str">
        <f t="shared" si="88"/>
        <v>PIX</v>
      </c>
      <c r="D334" t="str">
        <f>"20888"</f>
        <v>20888</v>
      </c>
      <c r="E334" t="str">
        <f t="shared" si="81"/>
        <v>1</v>
      </c>
      <c r="F334" t="str">
        <f t="shared" si="87"/>
        <v>COM</v>
      </c>
      <c r="G334" t="str">
        <f>"LEONARDO VIANA FIGUEIREDO (913)"</f>
        <v>LEONARDO VIANA FIGUEIREDO (913)</v>
      </c>
      <c r="H334" t="s">
        <v>140</v>
      </c>
      <c r="I334" t="str">
        <f t="shared" si="82"/>
        <v>04/09/2025</v>
      </c>
      <c r="J334" t="str">
        <f t="shared" si="84"/>
        <v>25/08/2025</v>
      </c>
      <c r="K334">
        <v>45904</v>
      </c>
      <c r="N334">
        <v>109</v>
      </c>
      <c r="O334" t="s">
        <v>24</v>
      </c>
      <c r="Q334">
        <v>990</v>
      </c>
      <c r="R334" t="str">
        <f>"FARMÁCIA INDIANA LJ 06 (10006)"</f>
        <v>FARMÁCIA INDIANA LJ 06 (10006)</v>
      </c>
      <c r="S334" t="s">
        <v>77</v>
      </c>
      <c r="T334">
        <v>17528</v>
      </c>
      <c r="U334">
        <v>20888</v>
      </c>
      <c r="V334" t="s">
        <v>77</v>
      </c>
    </row>
    <row r="335" spans="1:22">
      <c r="A335" t="str">
        <f t="shared" si="86"/>
        <v>04/09/2025</v>
      </c>
      <c r="B335" t="str">
        <f t="shared" si="85"/>
        <v>SAÍDA</v>
      </c>
      <c r="C335" t="str">
        <f t="shared" si="88"/>
        <v>PIX</v>
      </c>
      <c r="D335" t="str">
        <f>"20889"</f>
        <v>20889</v>
      </c>
      <c r="E335" t="str">
        <f t="shared" si="81"/>
        <v>1</v>
      </c>
      <c r="F335" t="str">
        <f t="shared" si="87"/>
        <v>COM</v>
      </c>
      <c r="G335" t="str">
        <f>"LEVERCI DA SILVA COURA (138)"</f>
        <v>LEVERCI DA SILVA COURA (138)</v>
      </c>
      <c r="H335" t="str">
        <f>"Serv.Prest. 18/08/2025 a 24/08/2025 - PIX: CELULAR - CHAVE: (31) 99850-4727"</f>
        <v>Serv.Prest. 18/08/2025 a 24/08/2025 - PIX: CELULAR - CHAVE: (31) 99850-4727</v>
      </c>
      <c r="I335" t="str">
        <f t="shared" si="82"/>
        <v>04/09/2025</v>
      </c>
      <c r="J335" t="str">
        <f t="shared" si="84"/>
        <v>25/08/2025</v>
      </c>
      <c r="K335" t="str">
        <f>("04/09/2025")</f>
        <v>04/09/2025</v>
      </c>
      <c r="L335">
        <v>750</v>
      </c>
      <c r="M335">
        <v>750</v>
      </c>
      <c r="N335">
        <v>109</v>
      </c>
      <c r="O335" t="str">
        <f>"PAGAMENTO DE ENTREGADORES"</f>
        <v>PAGAMENTO DE ENTREGADORES</v>
      </c>
      <c r="P335">
        <v>750</v>
      </c>
      <c r="S335" t="str">
        <f>"BANCO C6 (149)"</f>
        <v>BANCO C6 (149)</v>
      </c>
      <c r="T335">
        <v>17529</v>
      </c>
      <c r="U335">
        <v>20889</v>
      </c>
      <c r="V335" t="s">
        <v>77</v>
      </c>
    </row>
    <row r="336" spans="1:22">
      <c r="A336" t="str">
        <f t="shared" si="86"/>
        <v>04/09/2025</v>
      </c>
      <c r="B336" t="str">
        <f t="shared" si="85"/>
        <v>SAÍDA</v>
      </c>
      <c r="C336" t="str">
        <f t="shared" si="88"/>
        <v>PIX</v>
      </c>
      <c r="D336" t="str">
        <f>"20889"</f>
        <v>20889</v>
      </c>
      <c r="E336" t="str">
        <f t="shared" si="81"/>
        <v>1</v>
      </c>
      <c r="F336" t="str">
        <f t="shared" si="87"/>
        <v>COM</v>
      </c>
      <c r="G336" t="str">
        <f>"LEVERCI DA SILVA COURA (138)"</f>
        <v>LEVERCI DA SILVA COURA (138)</v>
      </c>
      <c r="H336" t="s">
        <v>141</v>
      </c>
      <c r="I336" t="str">
        <f t="shared" si="82"/>
        <v>04/09/2025</v>
      </c>
      <c r="J336" t="str">
        <f t="shared" si="84"/>
        <v>25/08/2025</v>
      </c>
      <c r="K336">
        <v>45904</v>
      </c>
      <c r="N336">
        <v>109</v>
      </c>
      <c r="O336" t="s">
        <v>24</v>
      </c>
      <c r="Q336">
        <v>750</v>
      </c>
      <c r="R336" t="str">
        <f>"FARMÁCIA INDIANA LJ 18 (10011)"</f>
        <v>FARMÁCIA INDIANA LJ 18 (10011)</v>
      </c>
      <c r="S336" t="s">
        <v>77</v>
      </c>
      <c r="T336">
        <v>17529</v>
      </c>
      <c r="U336">
        <v>20889</v>
      </c>
      <c r="V336" t="s">
        <v>77</v>
      </c>
    </row>
    <row r="337" spans="1:22">
      <c r="A337" t="str">
        <f t="shared" si="86"/>
        <v>04/09/2025</v>
      </c>
      <c r="B337" t="str">
        <f>"ENTRADA"</f>
        <v>ENTRADA</v>
      </c>
      <c r="C337" t="str">
        <f t="shared" si="88"/>
        <v>PIX</v>
      </c>
      <c r="D337" t="str">
        <f>"20890"</f>
        <v>20890</v>
      </c>
      <c r="E337" t="str">
        <f t="shared" si="81"/>
        <v>1</v>
      </c>
      <c r="F337" t="str">
        <f t="shared" si="87"/>
        <v>COM</v>
      </c>
      <c r="G337" t="str">
        <f>"LUAN DOS SANTOS NUNES (719)"</f>
        <v>LUAN DOS SANTOS NUNES (719)</v>
      </c>
      <c r="H337" t="str">
        <f>"DESC DE BAG, UNIFORME, PLANOS Serv.Prest. 18/08/2025 a 24/08/2025 - PIX: CELULAR - CHAVE: (33) 98749-4693"</f>
        <v>DESC DE BAG, UNIFORME, PLANOS Serv.Prest. 18/08/2025 a 24/08/2025 - PIX: CELULAR - CHAVE: (33) 98749-4693</v>
      </c>
      <c r="I337" t="str">
        <f t="shared" si="82"/>
        <v>04/09/2025</v>
      </c>
      <c r="J337" t="str">
        <f t="shared" si="84"/>
        <v>25/08/2025</v>
      </c>
      <c r="K337" t="str">
        <f>("04/09/2025")</f>
        <v>04/09/2025</v>
      </c>
      <c r="N337">
        <v>108</v>
      </c>
      <c r="O337" t="str">
        <f>"RECEITAS COM REEMBOLSOS"</f>
        <v>RECEITAS COM REEMBOLSOS</v>
      </c>
      <c r="P337">
        <v>76.66</v>
      </c>
      <c r="S337" t="str">
        <f>"BANCO C6 (149)"</f>
        <v>BANCO C6 (149)</v>
      </c>
      <c r="T337">
        <v>17530</v>
      </c>
      <c r="U337">
        <v>20890</v>
      </c>
      <c r="V337" t="s">
        <v>77</v>
      </c>
    </row>
    <row r="338" spans="1:22">
      <c r="A338" t="str">
        <f t="shared" si="86"/>
        <v>04/09/2025</v>
      </c>
      <c r="B338" t="str">
        <f t="shared" ref="B338:B360" si="89">"SAÍDA"</f>
        <v>SAÍDA</v>
      </c>
      <c r="C338" t="str">
        <f t="shared" si="88"/>
        <v>PIX</v>
      </c>
      <c r="D338" t="str">
        <f>"20890"</f>
        <v>20890</v>
      </c>
      <c r="E338" t="str">
        <f t="shared" ref="E338:E401" si="90">"1"</f>
        <v>1</v>
      </c>
      <c r="F338" t="str">
        <f t="shared" si="87"/>
        <v>COM</v>
      </c>
      <c r="G338" t="str">
        <f>"LUAN DOS SANTOS NUNES (719)"</f>
        <v>LUAN DOS SANTOS NUNES (719)</v>
      </c>
      <c r="H338" t="str">
        <f>"Serv.Prest. 18/08/2025 a 24/08/2025 - PIX: CELULAR - CHAVE: (33) 98749-4693"</f>
        <v>Serv.Prest. 18/08/2025 a 24/08/2025 - PIX: CELULAR - CHAVE: (33) 98749-4693</v>
      </c>
      <c r="I338" t="str">
        <f t="shared" si="82"/>
        <v>04/09/2025</v>
      </c>
      <c r="J338" t="str">
        <f t="shared" si="84"/>
        <v>25/08/2025</v>
      </c>
      <c r="K338" t="str">
        <f>("04/09/2025")</f>
        <v>04/09/2025</v>
      </c>
      <c r="L338">
        <v>2414.5</v>
      </c>
      <c r="M338">
        <v>2337.84</v>
      </c>
      <c r="N338">
        <v>109</v>
      </c>
      <c r="O338" t="str">
        <f>"PAGAMENTO DE ENTREGADORES"</f>
        <v>PAGAMENTO DE ENTREGADORES</v>
      </c>
      <c r="P338">
        <v>2414.5</v>
      </c>
      <c r="S338" t="str">
        <f>"BANCO C6 (149)"</f>
        <v>BANCO C6 (149)</v>
      </c>
      <c r="T338">
        <v>17530</v>
      </c>
      <c r="U338">
        <v>20890</v>
      </c>
      <c r="V338" t="s">
        <v>77</v>
      </c>
    </row>
    <row r="339" spans="1:22">
      <c r="A339" t="str">
        <f t="shared" si="86"/>
        <v>04/09/2025</v>
      </c>
      <c r="B339" t="str">
        <f t="shared" si="89"/>
        <v>SAÍDA</v>
      </c>
      <c r="C339" t="str">
        <f t="shared" si="88"/>
        <v>PIX</v>
      </c>
      <c r="D339" t="str">
        <f>"20890"</f>
        <v>20890</v>
      </c>
      <c r="E339" t="str">
        <f t="shared" si="90"/>
        <v>1</v>
      </c>
      <c r="F339" t="str">
        <f t="shared" si="87"/>
        <v>COM</v>
      </c>
      <c r="G339" t="str">
        <f>"LUAN DOS SANTOS NUNES (719)"</f>
        <v>LUAN DOS SANTOS NUNES (719)</v>
      </c>
      <c r="H339" t="s">
        <v>142</v>
      </c>
      <c r="I339" t="str">
        <f t="shared" si="82"/>
        <v>04/09/2025</v>
      </c>
      <c r="J339" t="str">
        <f t="shared" si="84"/>
        <v>25/08/2025</v>
      </c>
      <c r="K339">
        <v>45904</v>
      </c>
      <c r="N339">
        <v>108</v>
      </c>
      <c r="O339" t="s">
        <v>54</v>
      </c>
      <c r="Q339">
        <v>1048.99</v>
      </c>
      <c r="R339" t="str">
        <f>"FARMÁCIA INDIANA LJ 40 (10016)"</f>
        <v>FARMÁCIA INDIANA LJ 40 (10016)</v>
      </c>
      <c r="S339" t="s">
        <v>77</v>
      </c>
      <c r="T339">
        <v>17530</v>
      </c>
      <c r="U339">
        <v>20890</v>
      </c>
      <c r="V339" t="s">
        <v>77</v>
      </c>
    </row>
    <row r="340" spans="1:22">
      <c r="A340" t="str">
        <f t="shared" si="86"/>
        <v>04/09/2025</v>
      </c>
      <c r="B340" t="str">
        <f t="shared" si="89"/>
        <v>SAÍDA</v>
      </c>
      <c r="C340" t="str">
        <f t="shared" si="88"/>
        <v>PIX</v>
      </c>
      <c r="D340" t="str">
        <f>"20890"</f>
        <v>20890</v>
      </c>
      <c r="E340" t="str">
        <f t="shared" si="90"/>
        <v>1</v>
      </c>
      <c r="F340" t="str">
        <f t="shared" si="87"/>
        <v>COM</v>
      </c>
      <c r="G340" t="str">
        <f>"LUAN DOS SANTOS NUNES (719)"</f>
        <v>LUAN DOS SANTOS NUNES (719)</v>
      </c>
      <c r="H340" t="s">
        <v>142</v>
      </c>
      <c r="I340" t="str">
        <f t="shared" si="82"/>
        <v>04/09/2025</v>
      </c>
      <c r="J340" t="str">
        <f t="shared" si="84"/>
        <v>25/08/2025</v>
      </c>
      <c r="K340">
        <v>45904</v>
      </c>
      <c r="N340">
        <v>108</v>
      </c>
      <c r="O340" t="s">
        <v>54</v>
      </c>
      <c r="Q340">
        <v>1288.8499999999999</v>
      </c>
      <c r="R340" t="str">
        <f>"FARMÁCIA INDIANA LJ 61 (10027)"</f>
        <v>FARMÁCIA INDIANA LJ 61 (10027)</v>
      </c>
      <c r="S340" t="s">
        <v>77</v>
      </c>
      <c r="T340">
        <v>17530</v>
      </c>
      <c r="U340">
        <v>20890</v>
      </c>
      <c r="V340" t="s">
        <v>77</v>
      </c>
    </row>
    <row r="341" spans="1:22">
      <c r="A341" t="str">
        <f t="shared" si="86"/>
        <v>04/09/2025</v>
      </c>
      <c r="B341" t="str">
        <f t="shared" si="89"/>
        <v>SAÍDA</v>
      </c>
      <c r="C341" t="str">
        <f t="shared" si="88"/>
        <v>PIX</v>
      </c>
      <c r="D341" t="str">
        <f>"20891"</f>
        <v>20891</v>
      </c>
      <c r="E341" t="str">
        <f t="shared" si="90"/>
        <v>1</v>
      </c>
      <c r="F341" t="str">
        <f t="shared" si="87"/>
        <v>COM</v>
      </c>
      <c r="G341" t="str">
        <f>"LUAN FERREIRA CAETANO (675)"</f>
        <v>LUAN FERREIRA CAETANO (675)</v>
      </c>
      <c r="H341" t="str">
        <f>"Serv.Prest. 18/08/2025 a 24/08/2025 - PIX: CELULAR - CHAVE: (31) 99385-4405"</f>
        <v>Serv.Prest. 18/08/2025 a 24/08/2025 - PIX: CELULAR - CHAVE: (31) 99385-4405</v>
      </c>
      <c r="I341" t="str">
        <f t="shared" si="82"/>
        <v>04/09/2025</v>
      </c>
      <c r="J341" t="str">
        <f t="shared" si="84"/>
        <v>25/08/2025</v>
      </c>
      <c r="K341" t="str">
        <f>("04/09/2025")</f>
        <v>04/09/2025</v>
      </c>
      <c r="L341">
        <v>204</v>
      </c>
      <c r="M341">
        <v>204</v>
      </c>
      <c r="N341">
        <v>109</v>
      </c>
      <c r="O341" t="str">
        <f>"PAGAMENTO DE ENTREGADORES"</f>
        <v>PAGAMENTO DE ENTREGADORES</v>
      </c>
      <c r="P341">
        <v>204</v>
      </c>
      <c r="S341" t="str">
        <f>"BANCO C6 (149)"</f>
        <v>BANCO C6 (149)</v>
      </c>
      <c r="T341">
        <v>17531</v>
      </c>
      <c r="U341">
        <v>20891</v>
      </c>
      <c r="V341" t="s">
        <v>77</v>
      </c>
    </row>
    <row r="342" spans="1:22">
      <c r="A342" t="str">
        <f t="shared" si="86"/>
        <v>04/09/2025</v>
      </c>
      <c r="B342" t="str">
        <f t="shared" si="89"/>
        <v>SAÍDA</v>
      </c>
      <c r="C342" t="str">
        <f t="shared" si="88"/>
        <v>PIX</v>
      </c>
      <c r="D342" t="str">
        <f>"20891"</f>
        <v>20891</v>
      </c>
      <c r="E342" t="str">
        <f t="shared" si="90"/>
        <v>1</v>
      </c>
      <c r="F342" t="str">
        <f t="shared" si="87"/>
        <v>COM</v>
      </c>
      <c r="G342" t="str">
        <f>"LUAN FERREIRA CAETANO (675)"</f>
        <v>LUAN FERREIRA CAETANO (675)</v>
      </c>
      <c r="H342" t="s">
        <v>143</v>
      </c>
      <c r="I342" t="str">
        <f t="shared" ref="I342:I405" si="91">("04/09/2025")</f>
        <v>04/09/2025</v>
      </c>
      <c r="J342" t="str">
        <f t="shared" si="84"/>
        <v>25/08/2025</v>
      </c>
      <c r="K342">
        <v>45904</v>
      </c>
      <c r="N342">
        <v>109</v>
      </c>
      <c r="O342" t="s">
        <v>24</v>
      </c>
      <c r="Q342">
        <v>204</v>
      </c>
      <c r="R342" t="str">
        <f>"FARMÁCIA INDIANA LJ 101 (10043)"</f>
        <v>FARMÁCIA INDIANA LJ 101 (10043)</v>
      </c>
      <c r="S342" t="s">
        <v>77</v>
      </c>
      <c r="T342">
        <v>17531</v>
      </c>
      <c r="U342">
        <v>20891</v>
      </c>
      <c r="V342" t="s">
        <v>77</v>
      </c>
    </row>
    <row r="343" spans="1:22">
      <c r="A343" t="str">
        <f t="shared" si="86"/>
        <v>04/09/2025</v>
      </c>
      <c r="B343" t="str">
        <f t="shared" si="89"/>
        <v>SAÍDA</v>
      </c>
      <c r="C343" t="str">
        <f t="shared" si="88"/>
        <v>PIX</v>
      </c>
      <c r="D343" t="str">
        <f>"20892"</f>
        <v>20892</v>
      </c>
      <c r="E343" t="str">
        <f t="shared" si="90"/>
        <v>1</v>
      </c>
      <c r="F343" t="str">
        <f t="shared" si="87"/>
        <v>COM</v>
      </c>
      <c r="G343" t="str">
        <f>"LUAN VICTOR SERQUEIRA DA SILVA (577)"</f>
        <v>LUAN VICTOR SERQUEIRA DA SILVA (577)</v>
      </c>
      <c r="H343" t="str">
        <f>"Serv.Prest. 18/08/2025 a 24/08/2025 - PIX: CPF - CHAVE: 161.508.516-56"</f>
        <v>Serv.Prest. 18/08/2025 a 24/08/2025 - PIX: CPF - CHAVE: 161.508.516-56</v>
      </c>
      <c r="I343" t="str">
        <f t="shared" si="91"/>
        <v>04/09/2025</v>
      </c>
      <c r="J343" t="str">
        <f t="shared" si="84"/>
        <v>25/08/2025</v>
      </c>
      <c r="K343" t="str">
        <f>("04/09/2025")</f>
        <v>04/09/2025</v>
      </c>
      <c r="L343">
        <v>698.5</v>
      </c>
      <c r="M343">
        <v>703.5</v>
      </c>
      <c r="N343">
        <v>109</v>
      </c>
      <c r="O343" t="str">
        <f>"PAGAMENTO DE ENTREGADORES"</f>
        <v>PAGAMENTO DE ENTREGADORES</v>
      </c>
      <c r="P343">
        <v>703.5</v>
      </c>
      <c r="S343" t="str">
        <f>"BANCO C6 (149)"</f>
        <v>BANCO C6 (149)</v>
      </c>
      <c r="T343">
        <v>17532</v>
      </c>
      <c r="U343">
        <v>20892</v>
      </c>
      <c r="V343" t="s">
        <v>77</v>
      </c>
    </row>
    <row r="344" spans="1:22">
      <c r="A344" t="str">
        <f t="shared" si="86"/>
        <v>04/09/2025</v>
      </c>
      <c r="B344" t="str">
        <f t="shared" si="89"/>
        <v>SAÍDA</v>
      </c>
      <c r="C344" t="str">
        <f t="shared" si="88"/>
        <v>PIX</v>
      </c>
      <c r="D344" t="str">
        <f>"20892"</f>
        <v>20892</v>
      </c>
      <c r="E344" t="str">
        <f t="shared" si="90"/>
        <v>1</v>
      </c>
      <c r="F344" t="str">
        <f t="shared" si="87"/>
        <v>COM</v>
      </c>
      <c r="G344" t="str">
        <f>"LUAN VICTOR SERQUEIRA DA SILVA (577)"</f>
        <v>LUAN VICTOR SERQUEIRA DA SILVA (577)</v>
      </c>
      <c r="H344" t="s">
        <v>144</v>
      </c>
      <c r="I344" t="str">
        <f t="shared" si="91"/>
        <v>04/09/2025</v>
      </c>
      <c r="J344" t="str">
        <f t="shared" si="84"/>
        <v>25/08/2025</v>
      </c>
      <c r="K344">
        <v>45904</v>
      </c>
      <c r="N344">
        <v>109</v>
      </c>
      <c r="O344" t="s">
        <v>24</v>
      </c>
      <c r="Q344">
        <v>703.5</v>
      </c>
      <c r="R344" t="str">
        <f>"FARMÁCIA INDIANA LJ 202 (10085)"</f>
        <v>FARMÁCIA INDIANA LJ 202 (10085)</v>
      </c>
      <c r="S344" t="s">
        <v>77</v>
      </c>
      <c r="T344">
        <v>17532</v>
      </c>
      <c r="U344">
        <v>20892</v>
      </c>
      <c r="V344" t="s">
        <v>77</v>
      </c>
    </row>
    <row r="345" spans="1:22">
      <c r="A345" t="str">
        <f t="shared" si="86"/>
        <v>04/09/2025</v>
      </c>
      <c r="B345" t="str">
        <f t="shared" si="89"/>
        <v>SAÍDA</v>
      </c>
      <c r="C345" t="str">
        <f t="shared" si="88"/>
        <v>PIX</v>
      </c>
      <c r="D345" t="str">
        <f>"20893"</f>
        <v>20893</v>
      </c>
      <c r="E345" t="str">
        <f t="shared" si="90"/>
        <v>1</v>
      </c>
      <c r="F345" t="str">
        <f t="shared" si="87"/>
        <v>COM</v>
      </c>
      <c r="G345" t="str">
        <f>"LUCAS FERREIRA DOS SANTOS (868)"</f>
        <v>LUCAS FERREIRA DOS SANTOS (868)</v>
      </c>
      <c r="H345" t="str">
        <f>"Serv.Prest. 18/08/2025 a 24/08/2025 - PIX: CELULAR - CHAVE: (33) 99172-0627"</f>
        <v>Serv.Prest. 18/08/2025 a 24/08/2025 - PIX: CELULAR - CHAVE: (33) 99172-0627</v>
      </c>
      <c r="I345" t="str">
        <f t="shared" si="91"/>
        <v>04/09/2025</v>
      </c>
      <c r="J345" t="str">
        <f t="shared" si="84"/>
        <v>25/08/2025</v>
      </c>
      <c r="K345" t="str">
        <f>("04/09/2025")</f>
        <v>04/09/2025</v>
      </c>
      <c r="L345">
        <v>1006.5</v>
      </c>
      <c r="M345">
        <v>1006.5</v>
      </c>
      <c r="N345">
        <v>109</v>
      </c>
      <c r="O345" t="str">
        <f>"PAGAMENTO DE ENTREGADORES"</f>
        <v>PAGAMENTO DE ENTREGADORES</v>
      </c>
      <c r="P345">
        <v>1006.5</v>
      </c>
      <c r="S345" t="str">
        <f>"BANCO C6 (149)"</f>
        <v>BANCO C6 (149)</v>
      </c>
      <c r="T345">
        <v>17533</v>
      </c>
      <c r="U345">
        <v>20893</v>
      </c>
      <c r="V345" t="s">
        <v>77</v>
      </c>
    </row>
    <row r="346" spans="1:22">
      <c r="A346" t="str">
        <f t="shared" si="86"/>
        <v>04/09/2025</v>
      </c>
      <c r="B346" t="str">
        <f t="shared" si="89"/>
        <v>SAÍDA</v>
      </c>
      <c r="C346" t="str">
        <f t="shared" si="88"/>
        <v>PIX</v>
      </c>
      <c r="D346" t="str">
        <f>"20893"</f>
        <v>20893</v>
      </c>
      <c r="E346" t="str">
        <f t="shared" si="90"/>
        <v>1</v>
      </c>
      <c r="F346" t="str">
        <f t="shared" si="87"/>
        <v>COM</v>
      </c>
      <c r="G346" t="str">
        <f>"LUCAS FERREIRA DOS SANTOS (868)"</f>
        <v>LUCAS FERREIRA DOS SANTOS (868)</v>
      </c>
      <c r="H346" t="s">
        <v>145</v>
      </c>
      <c r="I346" t="str">
        <f t="shared" si="91"/>
        <v>04/09/2025</v>
      </c>
      <c r="J346" t="str">
        <f t="shared" si="84"/>
        <v>25/08/2025</v>
      </c>
      <c r="K346">
        <v>45904</v>
      </c>
      <c r="N346">
        <v>109</v>
      </c>
      <c r="O346" t="s">
        <v>24</v>
      </c>
      <c r="Q346">
        <v>1006.5</v>
      </c>
      <c r="R346" t="str">
        <f>"FARMÁCIA INDIANA LJ 06 (10006)"</f>
        <v>FARMÁCIA INDIANA LJ 06 (10006)</v>
      </c>
      <c r="S346" t="s">
        <v>77</v>
      </c>
      <c r="T346">
        <v>17533</v>
      </c>
      <c r="U346">
        <v>20893</v>
      </c>
      <c r="V346" t="s">
        <v>77</v>
      </c>
    </row>
    <row r="347" spans="1:22">
      <c r="A347" t="str">
        <f t="shared" si="86"/>
        <v>04/09/2025</v>
      </c>
      <c r="B347" t="str">
        <f t="shared" si="89"/>
        <v>SAÍDA</v>
      </c>
      <c r="C347" t="str">
        <f t="shared" si="88"/>
        <v>PIX</v>
      </c>
      <c r="D347" t="str">
        <f>"20894"</f>
        <v>20894</v>
      </c>
      <c r="E347" t="str">
        <f t="shared" si="90"/>
        <v>1</v>
      </c>
      <c r="F347" t="str">
        <f t="shared" si="87"/>
        <v>COM</v>
      </c>
      <c r="G347" t="str">
        <f>"LUIZ ALVES MARTINS (40)"</f>
        <v>LUIZ ALVES MARTINS (40)</v>
      </c>
      <c r="H347" t="str">
        <f>"Serv.Prest. 18/08/2025 a 24/08/2025 - PIX: CELULAR - CHAVE: (33) 99981-6650"</f>
        <v>Serv.Prest. 18/08/2025 a 24/08/2025 - PIX: CELULAR - CHAVE: (33) 99981-6650</v>
      </c>
      <c r="I347" t="str">
        <f t="shared" si="91"/>
        <v>04/09/2025</v>
      </c>
      <c r="J347" t="str">
        <f t="shared" si="84"/>
        <v>25/08/2025</v>
      </c>
      <c r="K347" t="str">
        <f>("04/09/2025")</f>
        <v>04/09/2025</v>
      </c>
      <c r="L347">
        <v>1230</v>
      </c>
      <c r="M347">
        <v>1230</v>
      </c>
      <c r="N347">
        <v>109</v>
      </c>
      <c r="O347" t="str">
        <f>"PAGAMENTO DE ENTREGADORES"</f>
        <v>PAGAMENTO DE ENTREGADORES</v>
      </c>
      <c r="P347">
        <v>1230</v>
      </c>
      <c r="S347" t="str">
        <f>"BANCO C6 (149)"</f>
        <v>BANCO C6 (149)</v>
      </c>
      <c r="T347">
        <v>17534</v>
      </c>
      <c r="U347">
        <v>20894</v>
      </c>
      <c r="V347" t="s">
        <v>77</v>
      </c>
    </row>
    <row r="348" spans="1:22">
      <c r="A348" t="str">
        <f t="shared" si="86"/>
        <v>04/09/2025</v>
      </c>
      <c r="B348" t="str">
        <f t="shared" si="89"/>
        <v>SAÍDA</v>
      </c>
      <c r="C348" t="str">
        <f t="shared" si="88"/>
        <v>PIX</v>
      </c>
      <c r="D348" t="str">
        <f>"20894"</f>
        <v>20894</v>
      </c>
      <c r="E348" t="str">
        <f t="shared" si="90"/>
        <v>1</v>
      </c>
      <c r="F348" t="str">
        <f t="shared" si="87"/>
        <v>COM</v>
      </c>
      <c r="G348" t="str">
        <f>"LUIZ ALVES MARTINS (40)"</f>
        <v>LUIZ ALVES MARTINS (40)</v>
      </c>
      <c r="H348" t="s">
        <v>146</v>
      </c>
      <c r="I348" t="str">
        <f t="shared" si="91"/>
        <v>04/09/2025</v>
      </c>
      <c r="J348" t="str">
        <f t="shared" si="84"/>
        <v>25/08/2025</v>
      </c>
      <c r="K348">
        <v>45904</v>
      </c>
      <c r="N348">
        <v>109</v>
      </c>
      <c r="O348" t="s">
        <v>24</v>
      </c>
      <c r="Q348">
        <v>1230</v>
      </c>
      <c r="R348" t="str">
        <f>"FARMÁCIA INDIANA LJ 11 (10008)"</f>
        <v>FARMÁCIA INDIANA LJ 11 (10008)</v>
      </c>
      <c r="S348" t="s">
        <v>77</v>
      </c>
      <c r="T348">
        <v>17534</v>
      </c>
      <c r="U348">
        <v>20894</v>
      </c>
      <c r="V348" t="s">
        <v>77</v>
      </c>
    </row>
    <row r="349" spans="1:22">
      <c r="A349" t="str">
        <f t="shared" si="86"/>
        <v>04/09/2025</v>
      </c>
      <c r="B349" t="str">
        <f t="shared" si="89"/>
        <v>SAÍDA</v>
      </c>
      <c r="C349" t="str">
        <f t="shared" si="88"/>
        <v>PIX</v>
      </c>
      <c r="D349" t="str">
        <f>"20895"</f>
        <v>20895</v>
      </c>
      <c r="E349" t="str">
        <f t="shared" si="90"/>
        <v>1</v>
      </c>
      <c r="F349" t="str">
        <f t="shared" si="87"/>
        <v>COM</v>
      </c>
      <c r="G349" t="str">
        <f>"LUIZ EDUARDO VIANA BRITO (878)"</f>
        <v>LUIZ EDUARDO VIANA BRITO (878)</v>
      </c>
      <c r="H349" t="str">
        <f>"Serv.Prest. 18/08/2025 a 24/08/2025 - PIX: CPF - CHAVE: 101.220.976-88"</f>
        <v>Serv.Prest. 18/08/2025 a 24/08/2025 - PIX: CPF - CHAVE: 101.220.976-88</v>
      </c>
      <c r="I349" t="str">
        <f t="shared" si="91"/>
        <v>04/09/2025</v>
      </c>
      <c r="J349" t="str">
        <f t="shared" si="84"/>
        <v>25/08/2025</v>
      </c>
      <c r="K349" t="str">
        <f>("04/09/2025")</f>
        <v>04/09/2025</v>
      </c>
      <c r="L349">
        <v>1732.5</v>
      </c>
      <c r="M349">
        <v>1732.5</v>
      </c>
      <c r="N349">
        <v>109</v>
      </c>
      <c r="O349" t="str">
        <f>"PAGAMENTO DE ENTREGADORES"</f>
        <v>PAGAMENTO DE ENTREGADORES</v>
      </c>
      <c r="P349">
        <v>1732.5</v>
      </c>
      <c r="S349" t="str">
        <f>"BANCO C6 (149)"</f>
        <v>BANCO C6 (149)</v>
      </c>
      <c r="T349">
        <v>17535</v>
      </c>
      <c r="U349">
        <v>20895</v>
      </c>
      <c r="V349" t="s">
        <v>77</v>
      </c>
    </row>
    <row r="350" spans="1:22">
      <c r="A350" t="str">
        <f t="shared" si="86"/>
        <v>04/09/2025</v>
      </c>
      <c r="B350" t="str">
        <f t="shared" si="89"/>
        <v>SAÍDA</v>
      </c>
      <c r="C350" t="str">
        <f t="shared" si="88"/>
        <v>PIX</v>
      </c>
      <c r="D350" t="str">
        <f>"20895"</f>
        <v>20895</v>
      </c>
      <c r="E350" t="str">
        <f t="shared" si="90"/>
        <v>1</v>
      </c>
      <c r="F350" t="str">
        <f t="shared" si="87"/>
        <v>COM</v>
      </c>
      <c r="G350" t="str">
        <f>"LUIZ EDUARDO VIANA BRITO (878)"</f>
        <v>LUIZ EDUARDO VIANA BRITO (878)</v>
      </c>
      <c r="H350" t="s">
        <v>147</v>
      </c>
      <c r="I350" t="str">
        <f t="shared" si="91"/>
        <v>04/09/2025</v>
      </c>
      <c r="J350" t="str">
        <f t="shared" si="84"/>
        <v>25/08/2025</v>
      </c>
      <c r="K350">
        <v>45904</v>
      </c>
      <c r="N350">
        <v>109</v>
      </c>
      <c r="O350" t="s">
        <v>24</v>
      </c>
      <c r="Q350">
        <v>1732.5</v>
      </c>
      <c r="R350" t="str">
        <f>"FARMÁCIA INDIANA LJ 40 (10016)"</f>
        <v>FARMÁCIA INDIANA LJ 40 (10016)</v>
      </c>
      <c r="S350" t="s">
        <v>77</v>
      </c>
      <c r="T350">
        <v>17535</v>
      </c>
      <c r="U350">
        <v>20895</v>
      </c>
      <c r="V350" t="s">
        <v>77</v>
      </c>
    </row>
    <row r="351" spans="1:22">
      <c r="A351" t="str">
        <f t="shared" si="86"/>
        <v>04/09/2025</v>
      </c>
      <c r="B351" t="str">
        <f t="shared" si="89"/>
        <v>SAÍDA</v>
      </c>
      <c r="C351" t="str">
        <f t="shared" si="88"/>
        <v>PIX</v>
      </c>
      <c r="D351" t="str">
        <f>"20897"</f>
        <v>20897</v>
      </c>
      <c r="E351" t="str">
        <f t="shared" si="90"/>
        <v>1</v>
      </c>
      <c r="F351" t="str">
        <f t="shared" si="87"/>
        <v>COM</v>
      </c>
      <c r="G351" t="str">
        <f>"LUIZ FERNANDO CARVALHO ALVES (198)"</f>
        <v>LUIZ FERNANDO CARVALHO ALVES (198)</v>
      </c>
      <c r="H351" t="str">
        <f>"Serv.Prest. 18/08/2025 a 24/08/2025 - PIX: CPF - CHAVE: 705.097.186-39"</f>
        <v>Serv.Prest. 18/08/2025 a 24/08/2025 - PIX: CPF - CHAVE: 705.097.186-39</v>
      </c>
      <c r="I351" t="str">
        <f t="shared" si="91"/>
        <v>04/09/2025</v>
      </c>
      <c r="J351" t="str">
        <f t="shared" si="84"/>
        <v>25/08/2025</v>
      </c>
      <c r="K351" t="str">
        <f>("04/09/2025")</f>
        <v>04/09/2025</v>
      </c>
      <c r="L351">
        <v>648.12</v>
      </c>
      <c r="M351">
        <v>648.12</v>
      </c>
      <c r="N351">
        <v>109</v>
      </c>
      <c r="O351" t="str">
        <f>"PAGAMENTO DE ENTREGADORES"</f>
        <v>PAGAMENTO DE ENTREGADORES</v>
      </c>
      <c r="P351">
        <v>648.12</v>
      </c>
      <c r="S351" t="str">
        <f>"BANCO C6 (149)"</f>
        <v>BANCO C6 (149)</v>
      </c>
      <c r="T351">
        <v>17536</v>
      </c>
      <c r="U351">
        <v>20897</v>
      </c>
      <c r="V351" t="s">
        <v>77</v>
      </c>
    </row>
    <row r="352" spans="1:22">
      <c r="A352" t="str">
        <f t="shared" si="86"/>
        <v>04/09/2025</v>
      </c>
      <c r="B352" t="str">
        <f t="shared" si="89"/>
        <v>SAÍDA</v>
      </c>
      <c r="C352" t="str">
        <f t="shared" si="88"/>
        <v>PIX</v>
      </c>
      <c r="D352" t="str">
        <f>"20897"</f>
        <v>20897</v>
      </c>
      <c r="E352" t="str">
        <f t="shared" si="90"/>
        <v>1</v>
      </c>
      <c r="F352" t="str">
        <f t="shared" si="87"/>
        <v>COM</v>
      </c>
      <c r="G352" t="str">
        <f>"LUIZ FERNANDO CARVALHO ALVES (198)"</f>
        <v>LUIZ FERNANDO CARVALHO ALVES (198)</v>
      </c>
      <c r="H352" t="s">
        <v>148</v>
      </c>
      <c r="I352" t="str">
        <f t="shared" si="91"/>
        <v>04/09/2025</v>
      </c>
      <c r="J352" t="str">
        <f t="shared" si="84"/>
        <v>25/08/2025</v>
      </c>
      <c r="K352">
        <v>45904</v>
      </c>
      <c r="N352">
        <v>109</v>
      </c>
      <c r="O352" t="s">
        <v>24</v>
      </c>
      <c r="Q352">
        <v>648.12</v>
      </c>
      <c r="R352" t="str">
        <f>"FARMÁCIA INDIANA LJ 171 (10074)"</f>
        <v>FARMÁCIA INDIANA LJ 171 (10074)</v>
      </c>
      <c r="S352" t="s">
        <v>77</v>
      </c>
      <c r="T352">
        <v>17536</v>
      </c>
      <c r="U352">
        <v>20897</v>
      </c>
      <c r="V352" t="s">
        <v>77</v>
      </c>
    </row>
    <row r="353" spans="1:22">
      <c r="A353" t="str">
        <f t="shared" si="86"/>
        <v>04/09/2025</v>
      </c>
      <c r="B353" t="str">
        <f t="shared" si="89"/>
        <v>SAÍDA</v>
      </c>
      <c r="C353" t="str">
        <f t="shared" si="88"/>
        <v>PIX</v>
      </c>
      <c r="D353" t="str">
        <f>"20898"</f>
        <v>20898</v>
      </c>
      <c r="E353" t="str">
        <f t="shared" si="90"/>
        <v>1</v>
      </c>
      <c r="F353" t="str">
        <f t="shared" si="87"/>
        <v>COM</v>
      </c>
      <c r="G353" t="str">
        <f>"MAICON HENRIQUE FERREIRA DOS SANTOS (759)"</f>
        <v>MAICON HENRIQUE FERREIRA DOS SANTOS (759)</v>
      </c>
      <c r="H353" t="str">
        <f>"Serv.Prest. 18/08/2025 a 24/08/2025 - PIX: CELULAR - CHAVE: (31) 98412-5118"</f>
        <v>Serv.Prest. 18/08/2025 a 24/08/2025 - PIX: CELULAR - CHAVE: (31) 98412-5118</v>
      </c>
      <c r="I353" t="str">
        <f t="shared" si="91"/>
        <v>04/09/2025</v>
      </c>
      <c r="J353" t="str">
        <f t="shared" si="84"/>
        <v>25/08/2025</v>
      </c>
      <c r="K353" t="str">
        <f>("04/09/2025")</f>
        <v>04/09/2025</v>
      </c>
      <c r="L353">
        <v>1542</v>
      </c>
      <c r="M353">
        <v>1542</v>
      </c>
      <c r="N353">
        <v>109</v>
      </c>
      <c r="O353" t="str">
        <f>"PAGAMENTO DE ENTREGADORES"</f>
        <v>PAGAMENTO DE ENTREGADORES</v>
      </c>
      <c r="P353">
        <v>1542</v>
      </c>
      <c r="S353" t="str">
        <f>"BANCO C6 (149)"</f>
        <v>BANCO C6 (149)</v>
      </c>
      <c r="T353">
        <v>17537</v>
      </c>
      <c r="U353">
        <v>20898</v>
      </c>
      <c r="V353" t="s">
        <v>77</v>
      </c>
    </row>
    <row r="354" spans="1:22">
      <c r="A354" t="str">
        <f t="shared" si="86"/>
        <v>04/09/2025</v>
      </c>
      <c r="B354" t="str">
        <f t="shared" si="89"/>
        <v>SAÍDA</v>
      </c>
      <c r="C354" t="str">
        <f t="shared" si="88"/>
        <v>PIX</v>
      </c>
      <c r="D354" t="str">
        <f>"20898"</f>
        <v>20898</v>
      </c>
      <c r="E354" t="str">
        <f t="shared" si="90"/>
        <v>1</v>
      </c>
      <c r="F354" t="str">
        <f t="shared" si="87"/>
        <v>COM</v>
      </c>
      <c r="G354" t="str">
        <f>"MAICON HENRIQUE FERREIRA DOS SANTOS (759)"</f>
        <v>MAICON HENRIQUE FERREIRA DOS SANTOS (759)</v>
      </c>
      <c r="H354" t="s">
        <v>149</v>
      </c>
      <c r="I354" t="str">
        <f t="shared" si="91"/>
        <v>04/09/2025</v>
      </c>
      <c r="J354" t="str">
        <f t="shared" si="84"/>
        <v>25/08/2025</v>
      </c>
      <c r="K354">
        <v>45904</v>
      </c>
      <c r="N354">
        <v>109</v>
      </c>
      <c r="O354" t="s">
        <v>24</v>
      </c>
      <c r="Q354">
        <v>1542</v>
      </c>
      <c r="R354" t="str">
        <f>"FARMÁCIA INDIANA LJ 101 (10043)"</f>
        <v>FARMÁCIA INDIANA LJ 101 (10043)</v>
      </c>
      <c r="S354" t="s">
        <v>77</v>
      </c>
      <c r="T354">
        <v>17537</v>
      </c>
      <c r="U354">
        <v>20898</v>
      </c>
      <c r="V354" t="s">
        <v>77</v>
      </c>
    </row>
    <row r="355" spans="1:22">
      <c r="A355" t="str">
        <f t="shared" si="86"/>
        <v>04/09/2025</v>
      </c>
      <c r="B355" t="str">
        <f t="shared" si="89"/>
        <v>SAÍDA</v>
      </c>
      <c r="C355" t="str">
        <f t="shared" si="88"/>
        <v>PIX</v>
      </c>
      <c r="D355" t="str">
        <f>"20899"</f>
        <v>20899</v>
      </c>
      <c r="E355" t="str">
        <f t="shared" si="90"/>
        <v>1</v>
      </c>
      <c r="F355" t="str">
        <f t="shared" si="87"/>
        <v>COM</v>
      </c>
      <c r="G355" t="str">
        <f>"MARCIO CLAUDIO DE ARAUJO (204)"</f>
        <v>MARCIO CLAUDIO DE ARAUJO (204)</v>
      </c>
      <c r="H355" t="str">
        <f>"Serv.Prest. 18/08/2025 a 24/08/2025 - PIX: CELULAR - CHAVE: (33) 98427-3872"</f>
        <v>Serv.Prest. 18/08/2025 a 24/08/2025 - PIX: CELULAR - CHAVE: (33) 98427-3872</v>
      </c>
      <c r="I355" t="str">
        <f t="shared" si="91"/>
        <v>04/09/2025</v>
      </c>
      <c r="J355" t="str">
        <f t="shared" si="84"/>
        <v>25/08/2025</v>
      </c>
      <c r="K355" t="str">
        <f>("04/09/2025")</f>
        <v>04/09/2025</v>
      </c>
      <c r="L355">
        <v>990</v>
      </c>
      <c r="M355">
        <v>990</v>
      </c>
      <c r="N355">
        <v>109</v>
      </c>
      <c r="O355" t="str">
        <f>"PAGAMENTO DE ENTREGADORES"</f>
        <v>PAGAMENTO DE ENTREGADORES</v>
      </c>
      <c r="P355">
        <v>990</v>
      </c>
      <c r="S355" t="str">
        <f>"BANCO C6 (149)"</f>
        <v>BANCO C6 (149)</v>
      </c>
      <c r="T355">
        <v>17538</v>
      </c>
      <c r="U355">
        <v>20899</v>
      </c>
      <c r="V355" t="s">
        <v>77</v>
      </c>
    </row>
    <row r="356" spans="1:22">
      <c r="A356" t="str">
        <f t="shared" si="86"/>
        <v>04/09/2025</v>
      </c>
      <c r="B356" t="str">
        <f t="shared" si="89"/>
        <v>SAÍDA</v>
      </c>
      <c r="C356" t="str">
        <f t="shared" si="88"/>
        <v>PIX</v>
      </c>
      <c r="D356" t="str">
        <f>"20899"</f>
        <v>20899</v>
      </c>
      <c r="E356" t="str">
        <f t="shared" si="90"/>
        <v>1</v>
      </c>
      <c r="F356" t="str">
        <f t="shared" si="87"/>
        <v>COM</v>
      </c>
      <c r="G356" t="str">
        <f>"MARCIO CLAUDIO DE ARAUJO (204)"</f>
        <v>MARCIO CLAUDIO DE ARAUJO (204)</v>
      </c>
      <c r="H356" t="s">
        <v>150</v>
      </c>
      <c r="I356" t="str">
        <f t="shared" si="91"/>
        <v>04/09/2025</v>
      </c>
      <c r="J356" t="str">
        <f t="shared" si="84"/>
        <v>25/08/2025</v>
      </c>
      <c r="K356">
        <v>45904</v>
      </c>
      <c r="N356">
        <v>109</v>
      </c>
      <c r="O356" t="s">
        <v>24</v>
      </c>
      <c r="Q356">
        <v>990</v>
      </c>
      <c r="R356" t="str">
        <f>"FARMÁCIA INDIANA LJ 06 (10006)"</f>
        <v>FARMÁCIA INDIANA LJ 06 (10006)</v>
      </c>
      <c r="S356" t="s">
        <v>77</v>
      </c>
      <c r="T356">
        <v>17538</v>
      </c>
      <c r="U356">
        <v>20899</v>
      </c>
      <c r="V356" t="s">
        <v>77</v>
      </c>
    </row>
    <row r="357" spans="1:22">
      <c r="A357" t="str">
        <f t="shared" si="86"/>
        <v>04/09/2025</v>
      </c>
      <c r="B357" t="str">
        <f t="shared" si="89"/>
        <v>SAÍDA</v>
      </c>
      <c r="C357" t="str">
        <f t="shared" si="88"/>
        <v>PIX</v>
      </c>
      <c r="D357" t="str">
        <f>"20900"</f>
        <v>20900</v>
      </c>
      <c r="E357" t="str">
        <f t="shared" si="90"/>
        <v>1</v>
      </c>
      <c r="F357" t="str">
        <f t="shared" si="87"/>
        <v>COM</v>
      </c>
      <c r="G357" t="str">
        <f>"MARCOS DIONI RODRIGUES GASPAR (506)"</f>
        <v>MARCOS DIONI RODRIGUES GASPAR (506)</v>
      </c>
      <c r="H357" t="str">
        <f>"Serv.Prest. 18/08/2025 a 24/08/2025 - PIX: CELULAR - CHAVE: (33) 99815-2379"</f>
        <v>Serv.Prest. 18/08/2025 a 24/08/2025 - PIX: CELULAR - CHAVE: (33) 99815-2379</v>
      </c>
      <c r="I357" t="str">
        <f t="shared" si="91"/>
        <v>04/09/2025</v>
      </c>
      <c r="J357" t="str">
        <f t="shared" si="84"/>
        <v>25/08/2025</v>
      </c>
      <c r="K357" t="str">
        <f>("04/09/2025")</f>
        <v>04/09/2025</v>
      </c>
      <c r="L357">
        <v>990</v>
      </c>
      <c r="M357">
        <v>990</v>
      </c>
      <c r="N357">
        <v>109</v>
      </c>
      <c r="O357" t="str">
        <f>"PAGAMENTO DE ENTREGADORES"</f>
        <v>PAGAMENTO DE ENTREGADORES</v>
      </c>
      <c r="P357">
        <v>990</v>
      </c>
      <c r="S357" t="str">
        <f>"BANCO C6 (149)"</f>
        <v>BANCO C6 (149)</v>
      </c>
      <c r="T357">
        <v>17539</v>
      </c>
      <c r="U357">
        <v>20900</v>
      </c>
      <c r="V357" t="s">
        <v>77</v>
      </c>
    </row>
    <row r="358" spans="1:22">
      <c r="A358" t="str">
        <f t="shared" si="86"/>
        <v>04/09/2025</v>
      </c>
      <c r="B358" t="str">
        <f t="shared" si="89"/>
        <v>SAÍDA</v>
      </c>
      <c r="C358" t="str">
        <f t="shared" si="88"/>
        <v>PIX</v>
      </c>
      <c r="D358" t="str">
        <f>"20900"</f>
        <v>20900</v>
      </c>
      <c r="E358" t="str">
        <f t="shared" si="90"/>
        <v>1</v>
      </c>
      <c r="F358" t="str">
        <f t="shared" si="87"/>
        <v>COM</v>
      </c>
      <c r="G358" t="str">
        <f>"MARCOS DIONI RODRIGUES GASPAR (506)"</f>
        <v>MARCOS DIONI RODRIGUES GASPAR (506)</v>
      </c>
      <c r="H358" t="s">
        <v>151</v>
      </c>
      <c r="I358" t="str">
        <f t="shared" si="91"/>
        <v>04/09/2025</v>
      </c>
      <c r="J358" t="str">
        <f t="shared" si="84"/>
        <v>25/08/2025</v>
      </c>
      <c r="K358">
        <v>45904</v>
      </c>
      <c r="N358">
        <v>109</v>
      </c>
      <c r="O358" t="s">
        <v>24</v>
      </c>
      <c r="Q358">
        <v>990</v>
      </c>
      <c r="R358" t="str">
        <f>"FARMÁCIA INDIANA LJ 06 (10006)"</f>
        <v>FARMÁCIA INDIANA LJ 06 (10006)</v>
      </c>
      <c r="S358" t="s">
        <v>77</v>
      </c>
      <c r="T358">
        <v>17539</v>
      </c>
      <c r="U358">
        <v>20900</v>
      </c>
      <c r="V358" t="s">
        <v>77</v>
      </c>
    </row>
    <row r="359" spans="1:22">
      <c r="A359" t="str">
        <f t="shared" si="86"/>
        <v>04/09/2025</v>
      </c>
      <c r="B359" t="str">
        <f t="shared" si="89"/>
        <v>SAÍDA</v>
      </c>
      <c r="C359" t="str">
        <f t="shared" si="88"/>
        <v>PIX</v>
      </c>
      <c r="D359" t="str">
        <f>"20901"</f>
        <v>20901</v>
      </c>
      <c r="E359" t="str">
        <f t="shared" si="90"/>
        <v>1</v>
      </c>
      <c r="F359" t="str">
        <f t="shared" si="87"/>
        <v>COM</v>
      </c>
      <c r="G359" t="str">
        <f>"MARCOS RODRIGUES PENA (64)"</f>
        <v>MARCOS RODRIGUES PENA (64)</v>
      </c>
      <c r="H359" t="str">
        <f>"Serv.Prest. 18/08/2025 a 24/08/2025 - PIX: CELULAR - CHAVE: (33) 99194-2339"</f>
        <v>Serv.Prest. 18/08/2025 a 24/08/2025 - PIX: CELULAR - CHAVE: (33) 99194-2339</v>
      </c>
      <c r="I359" t="str">
        <f t="shared" si="91"/>
        <v>04/09/2025</v>
      </c>
      <c r="J359" t="str">
        <f t="shared" si="84"/>
        <v>25/08/2025</v>
      </c>
      <c r="K359" t="str">
        <f>("04/09/2025")</f>
        <v>04/09/2025</v>
      </c>
      <c r="L359">
        <v>602.5</v>
      </c>
      <c r="M359">
        <v>602.5</v>
      </c>
      <c r="N359">
        <v>109</v>
      </c>
      <c r="O359" t="str">
        <f>"PAGAMENTO DE ENTREGADORES"</f>
        <v>PAGAMENTO DE ENTREGADORES</v>
      </c>
      <c r="P359">
        <v>602.5</v>
      </c>
      <c r="S359" t="str">
        <f>"BANCO C6 (149)"</f>
        <v>BANCO C6 (149)</v>
      </c>
      <c r="T359">
        <v>17540</v>
      </c>
      <c r="U359">
        <v>20901</v>
      </c>
      <c r="V359" t="s">
        <v>77</v>
      </c>
    </row>
    <row r="360" spans="1:22">
      <c r="A360" t="str">
        <f t="shared" si="86"/>
        <v>04/09/2025</v>
      </c>
      <c r="B360" t="str">
        <f t="shared" si="89"/>
        <v>SAÍDA</v>
      </c>
      <c r="C360" t="str">
        <f t="shared" si="88"/>
        <v>PIX</v>
      </c>
      <c r="D360" t="str">
        <f>"20901"</f>
        <v>20901</v>
      </c>
      <c r="E360" t="str">
        <f t="shared" si="90"/>
        <v>1</v>
      </c>
      <c r="F360" t="str">
        <f t="shared" si="87"/>
        <v>COM</v>
      </c>
      <c r="G360" t="str">
        <f>"MARCOS RODRIGUES PENA (64)"</f>
        <v>MARCOS RODRIGUES PENA (64)</v>
      </c>
      <c r="H360" t="s">
        <v>152</v>
      </c>
      <c r="I360" t="str">
        <f t="shared" si="91"/>
        <v>04/09/2025</v>
      </c>
      <c r="J360" t="str">
        <f t="shared" si="84"/>
        <v>25/08/2025</v>
      </c>
      <c r="K360">
        <v>45904</v>
      </c>
      <c r="N360">
        <v>109</v>
      </c>
      <c r="O360" t="s">
        <v>24</v>
      </c>
      <c r="Q360">
        <v>602.5</v>
      </c>
      <c r="R360" t="str">
        <f>"FARMÁCIA INDIANA LJ 62 (10028)"</f>
        <v>FARMÁCIA INDIANA LJ 62 (10028)</v>
      </c>
      <c r="S360" t="s">
        <v>77</v>
      </c>
      <c r="T360">
        <v>17540</v>
      </c>
      <c r="U360">
        <v>20901</v>
      </c>
      <c r="V360" t="s">
        <v>77</v>
      </c>
    </row>
    <row r="361" spans="1:22">
      <c r="A361" t="str">
        <f t="shared" si="86"/>
        <v>04/09/2025</v>
      </c>
      <c r="B361" t="str">
        <f>"ENTRADA"</f>
        <v>ENTRADA</v>
      </c>
      <c r="C361" t="str">
        <f t="shared" si="88"/>
        <v>PIX</v>
      </c>
      <c r="D361" t="str">
        <f>"20902"</f>
        <v>20902</v>
      </c>
      <c r="E361" t="str">
        <f t="shared" si="90"/>
        <v>1</v>
      </c>
      <c r="F361" t="str">
        <f t="shared" si="87"/>
        <v>COM</v>
      </c>
      <c r="G361" t="str">
        <f>"MATEUS JADSON SANTANA RIBEIRO (769)"</f>
        <v>MATEUS JADSON SANTANA RIBEIRO (769)</v>
      </c>
      <c r="H361" t="str">
        <f>"DESC DE BAG, UNIFORME, PLANOS Serv.Prest. 18/08/2025 a 24/08/2025 - PIX: CPF - CHAVE: 705.849.816-43"</f>
        <v>DESC DE BAG, UNIFORME, PLANOS Serv.Prest. 18/08/2025 a 24/08/2025 - PIX: CPF - CHAVE: 705.849.816-43</v>
      </c>
      <c r="I361" t="str">
        <f t="shared" si="91"/>
        <v>04/09/2025</v>
      </c>
      <c r="J361" t="str">
        <f t="shared" ref="J361:J424" si="92">("25/08/2025")</f>
        <v>25/08/2025</v>
      </c>
      <c r="K361" t="str">
        <f>("04/09/2025")</f>
        <v>04/09/2025</v>
      </c>
      <c r="N361">
        <v>108</v>
      </c>
      <c r="O361" t="str">
        <f>"RECEITAS COM REEMBOLSOS"</f>
        <v>RECEITAS COM REEMBOLSOS</v>
      </c>
      <c r="P361">
        <v>38.33</v>
      </c>
      <c r="S361" t="str">
        <f>"BANCO C6 (149)"</f>
        <v>BANCO C6 (149)</v>
      </c>
      <c r="T361">
        <v>17541</v>
      </c>
      <c r="U361">
        <v>20902</v>
      </c>
      <c r="V361" t="s">
        <v>77</v>
      </c>
    </row>
    <row r="362" spans="1:22">
      <c r="A362" t="str">
        <f t="shared" si="86"/>
        <v>04/09/2025</v>
      </c>
      <c r="B362" t="str">
        <f>"SAÍDA"</f>
        <v>SAÍDA</v>
      </c>
      <c r="C362" t="str">
        <f t="shared" si="88"/>
        <v>PIX</v>
      </c>
      <c r="D362" t="str">
        <f>"20902"</f>
        <v>20902</v>
      </c>
      <c r="E362" t="str">
        <f t="shared" si="90"/>
        <v>1</v>
      </c>
      <c r="F362" t="str">
        <f t="shared" si="87"/>
        <v>COM</v>
      </c>
      <c r="G362" t="str">
        <f>"MATEUS JADSON SANTANA RIBEIRO (769)"</f>
        <v>MATEUS JADSON SANTANA RIBEIRO (769)</v>
      </c>
      <c r="H362" t="str">
        <f>"Serv.Prest. 18/08/2025 a 24/08/2025 - PIX: CPF - CHAVE: 705.849.816-43"</f>
        <v>Serv.Prest. 18/08/2025 a 24/08/2025 - PIX: CPF - CHAVE: 705.849.816-43</v>
      </c>
      <c r="I362" t="str">
        <f t="shared" si="91"/>
        <v>04/09/2025</v>
      </c>
      <c r="J362" t="str">
        <f t="shared" si="92"/>
        <v>25/08/2025</v>
      </c>
      <c r="K362" t="str">
        <f>("04/09/2025")</f>
        <v>04/09/2025</v>
      </c>
      <c r="L362">
        <v>240</v>
      </c>
      <c r="M362">
        <v>201.67</v>
      </c>
      <c r="N362">
        <v>109</v>
      </c>
      <c r="O362" t="str">
        <f>"PAGAMENTO DE ENTREGADORES"</f>
        <v>PAGAMENTO DE ENTREGADORES</v>
      </c>
      <c r="P362">
        <v>240</v>
      </c>
      <c r="S362" t="str">
        <f>"BANCO C6 (149)"</f>
        <v>BANCO C6 (149)</v>
      </c>
      <c r="T362">
        <v>17541</v>
      </c>
      <c r="U362">
        <v>20902</v>
      </c>
      <c r="V362" t="s">
        <v>77</v>
      </c>
    </row>
    <row r="363" spans="1:22">
      <c r="A363" t="str">
        <f t="shared" si="86"/>
        <v>04/09/2025</v>
      </c>
      <c r="B363" t="str">
        <f>"SAÍDA"</f>
        <v>SAÍDA</v>
      </c>
      <c r="C363" t="str">
        <f t="shared" si="88"/>
        <v>PIX</v>
      </c>
      <c r="D363" t="str">
        <f>"20902"</f>
        <v>20902</v>
      </c>
      <c r="E363" t="str">
        <f t="shared" si="90"/>
        <v>1</v>
      </c>
      <c r="F363" t="str">
        <f t="shared" si="87"/>
        <v>COM</v>
      </c>
      <c r="G363" t="str">
        <f>"MATEUS JADSON SANTANA RIBEIRO (769)"</f>
        <v>MATEUS JADSON SANTANA RIBEIRO (769)</v>
      </c>
      <c r="H363" t="s">
        <v>153</v>
      </c>
      <c r="I363" t="str">
        <f t="shared" si="91"/>
        <v>04/09/2025</v>
      </c>
      <c r="J363" t="str">
        <f t="shared" si="92"/>
        <v>25/08/2025</v>
      </c>
      <c r="K363">
        <v>45904</v>
      </c>
      <c r="N363">
        <v>108</v>
      </c>
      <c r="O363" t="s">
        <v>54</v>
      </c>
      <c r="Q363">
        <v>201.67</v>
      </c>
      <c r="R363" t="str">
        <f>"FARMÁCIA INDIANA LJ 07 (10007)"</f>
        <v>FARMÁCIA INDIANA LJ 07 (10007)</v>
      </c>
      <c r="S363" t="s">
        <v>77</v>
      </c>
      <c r="T363">
        <v>17541</v>
      </c>
      <c r="U363">
        <v>20902</v>
      </c>
      <c r="V363" t="s">
        <v>77</v>
      </c>
    </row>
    <row r="364" spans="1:22">
      <c r="A364" t="str">
        <f t="shared" si="86"/>
        <v>04/09/2025</v>
      </c>
      <c r="B364" t="str">
        <f>"ENTRADA"</f>
        <v>ENTRADA</v>
      </c>
      <c r="C364" t="str">
        <f t="shared" si="88"/>
        <v>PIX</v>
      </c>
      <c r="D364" t="str">
        <f>"20905"</f>
        <v>20905</v>
      </c>
      <c r="E364" t="str">
        <f t="shared" si="90"/>
        <v>1</v>
      </c>
      <c r="F364" t="str">
        <f t="shared" si="87"/>
        <v>COM</v>
      </c>
      <c r="G364" t="str">
        <f>"MATHEUS VIEIRA DA SILVA (886)"</f>
        <v>MATHEUS VIEIRA DA SILVA (886)</v>
      </c>
      <c r="H364" t="str">
        <f>"DESC DE BAG, UNIFORME, PLANOS Serv.Prest. 18/08/2025 a 24/08/2025 - PIX: E-MAIL - CHAVE: meamatheusvieira@gmail.com"</f>
        <v>DESC DE BAG, UNIFORME, PLANOS Serv.Prest. 18/08/2025 a 24/08/2025 - PIX: E-MAIL - CHAVE: meamatheusvieira@gmail.com</v>
      </c>
      <c r="I364" t="str">
        <f t="shared" si="91"/>
        <v>04/09/2025</v>
      </c>
      <c r="J364" t="str">
        <f t="shared" si="92"/>
        <v>25/08/2025</v>
      </c>
      <c r="K364" t="str">
        <f>("04/09/2025")</f>
        <v>04/09/2025</v>
      </c>
      <c r="N364">
        <v>108</v>
      </c>
      <c r="O364" t="str">
        <f>"RECEITAS COM REEMBOLSOS"</f>
        <v>RECEITAS COM REEMBOLSOS</v>
      </c>
      <c r="P364">
        <v>38.33</v>
      </c>
      <c r="S364" t="str">
        <f>"BANCO C6 (149)"</f>
        <v>BANCO C6 (149)</v>
      </c>
      <c r="T364">
        <v>17542</v>
      </c>
      <c r="U364">
        <v>20905</v>
      </c>
      <c r="V364" t="s">
        <v>77</v>
      </c>
    </row>
    <row r="365" spans="1:22">
      <c r="A365" t="str">
        <f t="shared" si="86"/>
        <v>04/09/2025</v>
      </c>
      <c r="B365" t="str">
        <f>"SAÍDA"</f>
        <v>SAÍDA</v>
      </c>
      <c r="C365" t="str">
        <f t="shared" si="88"/>
        <v>PIX</v>
      </c>
      <c r="D365" t="str">
        <f>"20905"</f>
        <v>20905</v>
      </c>
      <c r="E365" t="str">
        <f t="shared" si="90"/>
        <v>1</v>
      </c>
      <c r="F365" t="str">
        <f t="shared" si="87"/>
        <v>COM</v>
      </c>
      <c r="G365" t="str">
        <f>"MATHEUS VIEIRA DA SILVA (886)"</f>
        <v>MATHEUS VIEIRA DA SILVA (886)</v>
      </c>
      <c r="H365" t="str">
        <f>"Serv.Prest. 18/08/2025 a 24/08/2025 - PIX: E-MAIL - CHAVE: meamatheusvieira@gmail.com"</f>
        <v>Serv.Prest. 18/08/2025 a 24/08/2025 - PIX: E-MAIL - CHAVE: meamatheusvieira@gmail.com</v>
      </c>
      <c r="I365" t="str">
        <f t="shared" si="91"/>
        <v>04/09/2025</v>
      </c>
      <c r="J365" t="str">
        <f t="shared" si="92"/>
        <v>25/08/2025</v>
      </c>
      <c r="K365" t="str">
        <f>("04/09/2025")</f>
        <v>04/09/2025</v>
      </c>
      <c r="L365">
        <v>1014</v>
      </c>
      <c r="M365">
        <v>975.67</v>
      </c>
      <c r="N365">
        <v>109</v>
      </c>
      <c r="O365" t="str">
        <f>"PAGAMENTO DE ENTREGADORES"</f>
        <v>PAGAMENTO DE ENTREGADORES</v>
      </c>
      <c r="P365">
        <v>1014</v>
      </c>
      <c r="S365" t="str">
        <f>"BANCO C6 (149)"</f>
        <v>BANCO C6 (149)</v>
      </c>
      <c r="T365">
        <v>17542</v>
      </c>
      <c r="U365">
        <v>20905</v>
      </c>
      <c r="V365" t="s">
        <v>77</v>
      </c>
    </row>
    <row r="366" spans="1:22">
      <c r="A366" t="str">
        <f t="shared" si="86"/>
        <v>04/09/2025</v>
      </c>
      <c r="B366" t="str">
        <f>"SAÍDA"</f>
        <v>SAÍDA</v>
      </c>
      <c r="C366" t="str">
        <f t="shared" si="88"/>
        <v>PIX</v>
      </c>
      <c r="D366" t="str">
        <f>"20905"</f>
        <v>20905</v>
      </c>
      <c r="E366" t="str">
        <f t="shared" si="90"/>
        <v>1</v>
      </c>
      <c r="F366" t="str">
        <f t="shared" si="87"/>
        <v>COM</v>
      </c>
      <c r="G366" t="str">
        <f>"MATHEUS VIEIRA DA SILVA (886)"</f>
        <v>MATHEUS VIEIRA DA SILVA (886)</v>
      </c>
      <c r="H366" t="s">
        <v>154</v>
      </c>
      <c r="I366" t="str">
        <f t="shared" si="91"/>
        <v>04/09/2025</v>
      </c>
      <c r="J366" t="str">
        <f t="shared" si="92"/>
        <v>25/08/2025</v>
      </c>
      <c r="K366">
        <v>45904</v>
      </c>
      <c r="N366">
        <v>108</v>
      </c>
      <c r="O366" t="s">
        <v>54</v>
      </c>
      <c r="Q366">
        <v>975.67</v>
      </c>
      <c r="R366" t="str">
        <f>"FARMÁCIA INDIANA LJ 07 (10007)"</f>
        <v>FARMÁCIA INDIANA LJ 07 (10007)</v>
      </c>
      <c r="S366" t="s">
        <v>77</v>
      </c>
      <c r="T366">
        <v>17542</v>
      </c>
      <c r="U366">
        <v>20905</v>
      </c>
      <c r="V366" t="s">
        <v>77</v>
      </c>
    </row>
    <row r="367" spans="1:22">
      <c r="A367" t="str">
        <f t="shared" si="86"/>
        <v>04/09/2025</v>
      </c>
      <c r="B367" t="str">
        <f>"SAÍDA"</f>
        <v>SAÍDA</v>
      </c>
      <c r="C367" t="str">
        <f t="shared" si="88"/>
        <v>PIX</v>
      </c>
      <c r="D367" t="str">
        <f>"20906"</f>
        <v>20906</v>
      </c>
      <c r="E367" t="str">
        <f t="shared" si="90"/>
        <v>1</v>
      </c>
      <c r="F367" t="str">
        <f t="shared" si="87"/>
        <v>COM</v>
      </c>
      <c r="G367" t="str">
        <f>"MAURO AUGUSTO MACHADO DE ASSIS (767)"</f>
        <v>MAURO AUGUSTO MACHADO DE ASSIS (767)</v>
      </c>
      <c r="H367" t="str">
        <f>"Serv.Prest. 18/08/2025 a 24/08/2025 - PIX: CPF - CHAVE: 163.330.766-27"</f>
        <v>Serv.Prest. 18/08/2025 a 24/08/2025 - PIX: CPF - CHAVE: 163.330.766-27</v>
      </c>
      <c r="I367" t="str">
        <f t="shared" si="91"/>
        <v>04/09/2025</v>
      </c>
      <c r="J367" t="str">
        <f t="shared" si="92"/>
        <v>25/08/2025</v>
      </c>
      <c r="K367" t="str">
        <f>("04/09/2025")</f>
        <v>04/09/2025</v>
      </c>
      <c r="L367">
        <v>1092</v>
      </c>
      <c r="M367">
        <v>1092</v>
      </c>
      <c r="N367">
        <v>109</v>
      </c>
      <c r="O367" t="str">
        <f>"PAGAMENTO DE ENTREGADORES"</f>
        <v>PAGAMENTO DE ENTREGADORES</v>
      </c>
      <c r="P367">
        <v>1092</v>
      </c>
      <c r="S367" t="str">
        <f>"BANCO C6 (149)"</f>
        <v>BANCO C6 (149)</v>
      </c>
      <c r="T367">
        <v>17543</v>
      </c>
      <c r="U367">
        <v>20906</v>
      </c>
      <c r="V367" t="s">
        <v>77</v>
      </c>
    </row>
    <row r="368" spans="1:22">
      <c r="A368" t="str">
        <f t="shared" si="86"/>
        <v>04/09/2025</v>
      </c>
      <c r="B368" t="str">
        <f>"SAÍDA"</f>
        <v>SAÍDA</v>
      </c>
      <c r="C368" t="str">
        <f t="shared" si="88"/>
        <v>PIX</v>
      </c>
      <c r="D368" t="str">
        <f>"20906"</f>
        <v>20906</v>
      </c>
      <c r="E368" t="str">
        <f t="shared" si="90"/>
        <v>1</v>
      </c>
      <c r="F368" t="str">
        <f t="shared" si="87"/>
        <v>COM</v>
      </c>
      <c r="G368" t="str">
        <f>"MAURO AUGUSTO MACHADO DE ASSIS (767)"</f>
        <v>MAURO AUGUSTO MACHADO DE ASSIS (767)</v>
      </c>
      <c r="H368" t="s">
        <v>155</v>
      </c>
      <c r="I368" t="str">
        <f t="shared" si="91"/>
        <v>04/09/2025</v>
      </c>
      <c r="J368" t="str">
        <f t="shared" si="92"/>
        <v>25/08/2025</v>
      </c>
      <c r="K368">
        <v>45904</v>
      </c>
      <c r="N368">
        <v>109</v>
      </c>
      <c r="O368" t="s">
        <v>24</v>
      </c>
      <c r="Q368">
        <v>372.04</v>
      </c>
      <c r="R368" t="str">
        <f>"FARMÁCIA INDIANA LJ 11 (10008)"</f>
        <v>FARMÁCIA INDIANA LJ 11 (10008)</v>
      </c>
      <c r="S368" t="s">
        <v>77</v>
      </c>
      <c r="T368">
        <v>17543</v>
      </c>
      <c r="U368">
        <v>20906</v>
      </c>
      <c r="V368" t="s">
        <v>77</v>
      </c>
    </row>
    <row r="369" spans="1:22">
      <c r="A369" t="str">
        <f t="shared" si="86"/>
        <v>04/09/2025</v>
      </c>
      <c r="B369" t="str">
        <f>"SAÍDA"</f>
        <v>SAÍDA</v>
      </c>
      <c r="C369" t="str">
        <f t="shared" si="88"/>
        <v>PIX</v>
      </c>
      <c r="D369" t="str">
        <f>"20906"</f>
        <v>20906</v>
      </c>
      <c r="E369" t="str">
        <f t="shared" si="90"/>
        <v>1</v>
      </c>
      <c r="F369" t="str">
        <f t="shared" si="87"/>
        <v>COM</v>
      </c>
      <c r="G369" t="str">
        <f>"MAURO AUGUSTO MACHADO DE ASSIS (767)"</f>
        <v>MAURO AUGUSTO MACHADO DE ASSIS (767)</v>
      </c>
      <c r="H369" t="s">
        <v>155</v>
      </c>
      <c r="I369" t="str">
        <f t="shared" si="91"/>
        <v>04/09/2025</v>
      </c>
      <c r="J369" t="str">
        <f t="shared" si="92"/>
        <v>25/08/2025</v>
      </c>
      <c r="K369">
        <v>45904</v>
      </c>
      <c r="N369">
        <v>109</v>
      </c>
      <c r="O369" t="s">
        <v>24</v>
      </c>
      <c r="Q369">
        <v>719.96</v>
      </c>
      <c r="R369" t="str">
        <f>"FARMÁCIA INDIANA LJ 172 (10161)"</f>
        <v>FARMÁCIA INDIANA LJ 172 (10161)</v>
      </c>
      <c r="S369" t="s">
        <v>77</v>
      </c>
      <c r="T369">
        <v>17543</v>
      </c>
      <c r="U369">
        <v>20906</v>
      </c>
      <c r="V369" t="s">
        <v>77</v>
      </c>
    </row>
    <row r="370" spans="1:22">
      <c r="A370" t="str">
        <f t="shared" si="86"/>
        <v>04/09/2025</v>
      </c>
      <c r="B370" t="str">
        <f>"ENTRADA"</f>
        <v>ENTRADA</v>
      </c>
      <c r="C370" t="str">
        <f t="shared" si="88"/>
        <v>PIX</v>
      </c>
      <c r="D370" t="str">
        <f>"20907"</f>
        <v>20907</v>
      </c>
      <c r="E370" t="str">
        <f t="shared" si="90"/>
        <v>1</v>
      </c>
      <c r="F370" t="str">
        <f t="shared" si="87"/>
        <v>COM</v>
      </c>
      <c r="G370" t="str">
        <f>"MAXWEL BORGES PIRES (733)"</f>
        <v>MAXWEL BORGES PIRES (733)</v>
      </c>
      <c r="H370" t="str">
        <f>"DESC DE BAG, UNIFORME, PLANOS Serv.Prest. 18/08/2025 a 24/08/2025 - PIX: E-MAIL - CHAVE: maxwel.borges14@gmail.com"</f>
        <v>DESC DE BAG, UNIFORME, PLANOS Serv.Prest. 18/08/2025 a 24/08/2025 - PIX: E-MAIL - CHAVE: maxwel.borges14@gmail.com</v>
      </c>
      <c r="I370" t="str">
        <f t="shared" si="91"/>
        <v>04/09/2025</v>
      </c>
      <c r="J370" t="str">
        <f t="shared" si="92"/>
        <v>25/08/2025</v>
      </c>
      <c r="K370" t="str">
        <f>("04/09/2025")</f>
        <v>04/09/2025</v>
      </c>
      <c r="N370">
        <v>108</v>
      </c>
      <c r="O370" t="str">
        <f>"RECEITAS COM REEMBOLSOS"</f>
        <v>RECEITAS COM REEMBOLSOS</v>
      </c>
      <c r="P370">
        <v>38.33</v>
      </c>
      <c r="S370" t="str">
        <f>"BANCO C6 (149)"</f>
        <v>BANCO C6 (149)</v>
      </c>
      <c r="T370">
        <v>17544</v>
      </c>
      <c r="U370">
        <v>20907</v>
      </c>
      <c r="V370" t="s">
        <v>77</v>
      </c>
    </row>
    <row r="371" spans="1:22">
      <c r="A371" t="str">
        <f t="shared" si="86"/>
        <v>04/09/2025</v>
      </c>
      <c r="B371" t="str">
        <f>"SAÍDA"</f>
        <v>SAÍDA</v>
      </c>
      <c r="C371" t="str">
        <f t="shared" si="88"/>
        <v>PIX</v>
      </c>
      <c r="D371" t="str">
        <f>"20907"</f>
        <v>20907</v>
      </c>
      <c r="E371" t="str">
        <f t="shared" si="90"/>
        <v>1</v>
      </c>
      <c r="F371" t="str">
        <f t="shared" si="87"/>
        <v>COM</v>
      </c>
      <c r="G371" t="str">
        <f>"MAXWEL BORGES PIRES (733)"</f>
        <v>MAXWEL BORGES PIRES (733)</v>
      </c>
      <c r="H371" t="str">
        <f>"Serv.Prest. 18/08/2025 a 24/08/2025 - PIX: E-MAIL - CHAVE: maxwel.borges14@gmail.com"</f>
        <v>Serv.Prest. 18/08/2025 a 24/08/2025 - PIX: E-MAIL - CHAVE: maxwel.borges14@gmail.com</v>
      </c>
      <c r="I371" t="str">
        <f t="shared" si="91"/>
        <v>04/09/2025</v>
      </c>
      <c r="J371" t="str">
        <f t="shared" si="92"/>
        <v>25/08/2025</v>
      </c>
      <c r="K371" t="str">
        <f>("04/09/2025")</f>
        <v>04/09/2025</v>
      </c>
      <c r="L371">
        <v>348</v>
      </c>
      <c r="M371">
        <v>309.67</v>
      </c>
      <c r="N371">
        <v>109</v>
      </c>
      <c r="O371" t="str">
        <f>"PAGAMENTO DE ENTREGADORES"</f>
        <v>PAGAMENTO DE ENTREGADORES</v>
      </c>
      <c r="P371">
        <v>348</v>
      </c>
      <c r="S371" t="str">
        <f>"BANCO C6 (149)"</f>
        <v>BANCO C6 (149)</v>
      </c>
      <c r="T371">
        <v>17544</v>
      </c>
      <c r="U371">
        <v>20907</v>
      </c>
      <c r="V371" t="s">
        <v>77</v>
      </c>
    </row>
    <row r="372" spans="1:22">
      <c r="A372" t="str">
        <f t="shared" si="86"/>
        <v>04/09/2025</v>
      </c>
      <c r="B372" t="str">
        <f>"SAÍDA"</f>
        <v>SAÍDA</v>
      </c>
      <c r="C372" t="str">
        <f t="shared" si="88"/>
        <v>PIX</v>
      </c>
      <c r="D372" t="str">
        <f>"20907"</f>
        <v>20907</v>
      </c>
      <c r="E372" t="str">
        <f t="shared" si="90"/>
        <v>1</v>
      </c>
      <c r="F372" t="str">
        <f t="shared" si="87"/>
        <v>COM</v>
      </c>
      <c r="G372" t="str">
        <f>"MAXWEL BORGES PIRES (733)"</f>
        <v>MAXWEL BORGES PIRES (733)</v>
      </c>
      <c r="H372" t="s">
        <v>156</v>
      </c>
      <c r="I372" t="str">
        <f t="shared" si="91"/>
        <v>04/09/2025</v>
      </c>
      <c r="J372" t="str">
        <f t="shared" si="92"/>
        <v>25/08/2025</v>
      </c>
      <c r="K372">
        <v>45904</v>
      </c>
      <c r="N372">
        <v>108</v>
      </c>
      <c r="O372" t="s">
        <v>54</v>
      </c>
      <c r="Q372">
        <v>309.67</v>
      </c>
      <c r="R372" t="str">
        <f>"FARMÁCIA INDIANA LJ 07 (10007)"</f>
        <v>FARMÁCIA INDIANA LJ 07 (10007)</v>
      </c>
      <c r="S372" t="s">
        <v>77</v>
      </c>
      <c r="T372">
        <v>17544</v>
      </c>
      <c r="U372">
        <v>20907</v>
      </c>
      <c r="V372" t="s">
        <v>77</v>
      </c>
    </row>
    <row r="373" spans="1:22">
      <c r="A373" t="str">
        <f t="shared" si="86"/>
        <v>04/09/2025</v>
      </c>
      <c r="B373" t="str">
        <f>"SAÍDA"</f>
        <v>SAÍDA</v>
      </c>
      <c r="C373" t="str">
        <f t="shared" si="88"/>
        <v>PIX</v>
      </c>
      <c r="D373" t="str">
        <f>"20908"</f>
        <v>20908</v>
      </c>
      <c r="E373" t="str">
        <f t="shared" si="90"/>
        <v>1</v>
      </c>
      <c r="F373" t="str">
        <f t="shared" si="87"/>
        <v>COM</v>
      </c>
      <c r="G373" t="str">
        <f>"MAYCON GUILHERME DUARTE (541)"</f>
        <v>MAYCON GUILHERME DUARTE (541)</v>
      </c>
      <c r="H373" t="str">
        <f>"Serv.Prest. 18/08/2025 a 24/08/2025 - PIX: CELULAR - CHAVE: (31) 99076-6539"</f>
        <v>Serv.Prest. 18/08/2025 a 24/08/2025 - PIX: CELULAR - CHAVE: (31) 99076-6539</v>
      </c>
      <c r="I373" t="str">
        <f t="shared" si="91"/>
        <v>04/09/2025</v>
      </c>
      <c r="J373" t="str">
        <f t="shared" si="92"/>
        <v>25/08/2025</v>
      </c>
      <c r="K373" t="str">
        <f>("04/09/2025")</f>
        <v>04/09/2025</v>
      </c>
      <c r="L373">
        <v>1104</v>
      </c>
      <c r="M373">
        <v>1104</v>
      </c>
      <c r="N373">
        <v>109</v>
      </c>
      <c r="O373" t="str">
        <f>"PAGAMENTO DE ENTREGADORES"</f>
        <v>PAGAMENTO DE ENTREGADORES</v>
      </c>
      <c r="P373">
        <v>1104</v>
      </c>
      <c r="S373" t="str">
        <f>"BANCO C6 (149)"</f>
        <v>BANCO C6 (149)</v>
      </c>
      <c r="T373">
        <v>17545</v>
      </c>
      <c r="U373">
        <v>20908</v>
      </c>
      <c r="V373" t="s">
        <v>77</v>
      </c>
    </row>
    <row r="374" spans="1:22">
      <c r="A374" t="str">
        <f t="shared" si="86"/>
        <v>04/09/2025</v>
      </c>
      <c r="B374" t="str">
        <f>"SAÍDA"</f>
        <v>SAÍDA</v>
      </c>
      <c r="C374" t="str">
        <f t="shared" si="88"/>
        <v>PIX</v>
      </c>
      <c r="D374" t="str">
        <f>"20908"</f>
        <v>20908</v>
      </c>
      <c r="E374" t="str">
        <f t="shared" si="90"/>
        <v>1</v>
      </c>
      <c r="F374" t="str">
        <f t="shared" si="87"/>
        <v>COM</v>
      </c>
      <c r="G374" t="str">
        <f>"MAYCON GUILHERME DUARTE (541)"</f>
        <v>MAYCON GUILHERME DUARTE (541)</v>
      </c>
      <c r="H374" t="s">
        <v>157</v>
      </c>
      <c r="I374" t="str">
        <f t="shared" si="91"/>
        <v>04/09/2025</v>
      </c>
      <c r="J374" t="str">
        <f t="shared" si="92"/>
        <v>25/08/2025</v>
      </c>
      <c r="K374">
        <v>45904</v>
      </c>
      <c r="N374">
        <v>109</v>
      </c>
      <c r="O374" t="s">
        <v>24</v>
      </c>
      <c r="Q374">
        <v>1104</v>
      </c>
      <c r="R374" t="str">
        <f>"FARMÁCIA INDIANA LJ 220 (10092)"</f>
        <v>FARMÁCIA INDIANA LJ 220 (10092)</v>
      </c>
      <c r="S374" t="s">
        <v>77</v>
      </c>
      <c r="T374">
        <v>17545</v>
      </c>
      <c r="U374">
        <v>20908</v>
      </c>
      <c r="V374" t="s">
        <v>77</v>
      </c>
    </row>
    <row r="375" spans="1:22">
      <c r="A375" t="str">
        <f t="shared" si="86"/>
        <v>04/09/2025</v>
      </c>
      <c r="B375" t="str">
        <f>"ENTRADA"</f>
        <v>ENTRADA</v>
      </c>
      <c r="C375" t="str">
        <f t="shared" si="88"/>
        <v>PIX</v>
      </c>
      <c r="D375" t="str">
        <f>"20909"</f>
        <v>20909</v>
      </c>
      <c r="E375" t="str">
        <f t="shared" si="90"/>
        <v>1</v>
      </c>
      <c r="F375" t="str">
        <f t="shared" si="87"/>
        <v>COM</v>
      </c>
      <c r="G375" t="str">
        <f>"MIGUEL PESSOA RAMOS (68)"</f>
        <v>MIGUEL PESSOA RAMOS (68)</v>
      </c>
      <c r="H375" t="str">
        <f>"DESC DE BAG, UNIFORME, PLANOS Serv.Prest. 18/08/2025 a 24/08/2025 - PIX: CELULAR - CHAVE: (33) 99845-0493"</f>
        <v>DESC DE BAG, UNIFORME, PLANOS Serv.Prest. 18/08/2025 a 24/08/2025 - PIX: CELULAR - CHAVE: (33) 99845-0493</v>
      </c>
      <c r="I375" t="str">
        <f t="shared" si="91"/>
        <v>04/09/2025</v>
      </c>
      <c r="J375" t="str">
        <f t="shared" si="92"/>
        <v>25/08/2025</v>
      </c>
      <c r="K375" t="str">
        <f>("04/09/2025")</f>
        <v>04/09/2025</v>
      </c>
      <c r="N375">
        <v>108</v>
      </c>
      <c r="O375" t="str">
        <f>"RECEITAS COM REEMBOLSOS"</f>
        <v>RECEITAS COM REEMBOLSOS</v>
      </c>
      <c r="P375">
        <v>38.33</v>
      </c>
      <c r="S375" t="str">
        <f>"BANCO C6 (149)"</f>
        <v>BANCO C6 (149)</v>
      </c>
      <c r="T375">
        <v>17546</v>
      </c>
      <c r="U375">
        <v>20909</v>
      </c>
      <c r="V375" t="s">
        <v>77</v>
      </c>
    </row>
    <row r="376" spans="1:22">
      <c r="A376" t="str">
        <f t="shared" si="86"/>
        <v>04/09/2025</v>
      </c>
      <c r="B376" t="str">
        <f t="shared" ref="B376:B407" si="93">"SAÍDA"</f>
        <v>SAÍDA</v>
      </c>
      <c r="C376" t="str">
        <f t="shared" si="88"/>
        <v>PIX</v>
      </c>
      <c r="D376" t="str">
        <f>"20909"</f>
        <v>20909</v>
      </c>
      <c r="E376" t="str">
        <f t="shared" si="90"/>
        <v>1</v>
      </c>
      <c r="F376" t="str">
        <f t="shared" si="87"/>
        <v>COM</v>
      </c>
      <c r="G376" t="str">
        <f>"MIGUEL PESSOA RAMOS (68)"</f>
        <v>MIGUEL PESSOA RAMOS (68)</v>
      </c>
      <c r="H376" t="str">
        <f>"Serv.Prest. 18/08/2025 a 24/08/2025 - PIX: CELULAR - CHAVE: (33) 99845-0493"</f>
        <v>Serv.Prest. 18/08/2025 a 24/08/2025 - PIX: CELULAR - CHAVE: (33) 99845-0493</v>
      </c>
      <c r="I376" t="str">
        <f t="shared" si="91"/>
        <v>04/09/2025</v>
      </c>
      <c r="J376" t="str">
        <f t="shared" si="92"/>
        <v>25/08/2025</v>
      </c>
      <c r="K376" t="str">
        <f>("04/09/2025")</f>
        <v>04/09/2025</v>
      </c>
      <c r="L376">
        <v>642</v>
      </c>
      <c r="M376">
        <v>603.66999999999996</v>
      </c>
      <c r="N376">
        <v>109</v>
      </c>
      <c r="O376" t="str">
        <f>"PAGAMENTO DE ENTREGADORES"</f>
        <v>PAGAMENTO DE ENTREGADORES</v>
      </c>
      <c r="P376">
        <v>642</v>
      </c>
      <c r="S376" t="str">
        <f>"BANCO C6 (149)"</f>
        <v>BANCO C6 (149)</v>
      </c>
      <c r="T376">
        <v>17546</v>
      </c>
      <c r="U376">
        <v>20909</v>
      </c>
      <c r="V376" t="s">
        <v>77</v>
      </c>
    </row>
    <row r="377" spans="1:22">
      <c r="A377" t="str">
        <f t="shared" si="86"/>
        <v>04/09/2025</v>
      </c>
      <c r="B377" t="str">
        <f t="shared" si="93"/>
        <v>SAÍDA</v>
      </c>
      <c r="C377" t="str">
        <f t="shared" si="88"/>
        <v>PIX</v>
      </c>
      <c r="D377" t="str">
        <f>"20909"</f>
        <v>20909</v>
      </c>
      <c r="E377" t="str">
        <f t="shared" si="90"/>
        <v>1</v>
      </c>
      <c r="F377" t="str">
        <f t="shared" si="87"/>
        <v>COM</v>
      </c>
      <c r="G377" t="str">
        <f>"MIGUEL PESSOA RAMOS (68)"</f>
        <v>MIGUEL PESSOA RAMOS (68)</v>
      </c>
      <c r="H377" t="s">
        <v>158</v>
      </c>
      <c r="I377" t="str">
        <f t="shared" si="91"/>
        <v>04/09/2025</v>
      </c>
      <c r="J377" t="str">
        <f t="shared" si="92"/>
        <v>25/08/2025</v>
      </c>
      <c r="K377">
        <v>45904</v>
      </c>
      <c r="N377">
        <v>108</v>
      </c>
      <c r="O377" t="s">
        <v>54</v>
      </c>
      <c r="Q377">
        <v>603.66999999999996</v>
      </c>
      <c r="R377" t="str">
        <f>"FARMÁCIA INDIANA LJ 07 (10007)"</f>
        <v>FARMÁCIA INDIANA LJ 07 (10007)</v>
      </c>
      <c r="S377" t="s">
        <v>77</v>
      </c>
      <c r="T377">
        <v>17546</v>
      </c>
      <c r="U377">
        <v>20909</v>
      </c>
      <c r="V377" t="s">
        <v>77</v>
      </c>
    </row>
    <row r="378" spans="1:22">
      <c r="A378" t="str">
        <f t="shared" ref="A378:A441" si="94">("04/09/2025")</f>
        <v>04/09/2025</v>
      </c>
      <c r="B378" t="str">
        <f t="shared" si="93"/>
        <v>SAÍDA</v>
      </c>
      <c r="C378" t="str">
        <f t="shared" si="88"/>
        <v>PIX</v>
      </c>
      <c r="D378" t="str">
        <f>"20910"</f>
        <v>20910</v>
      </c>
      <c r="E378" t="str">
        <f t="shared" si="90"/>
        <v>1</v>
      </c>
      <c r="F378" t="str">
        <f t="shared" si="87"/>
        <v>COM</v>
      </c>
      <c r="G378" t="str">
        <f>"MURILO BARRETO AFONSO (30)"</f>
        <v>MURILO BARRETO AFONSO (30)</v>
      </c>
      <c r="H378" t="str">
        <f>"Serv.Prest. 18/08/2025 a 24/08/2025 - PIX: CPF - CHAVE: 123.020.026-60"</f>
        <v>Serv.Prest. 18/08/2025 a 24/08/2025 - PIX: CPF - CHAVE: 123.020.026-60</v>
      </c>
      <c r="I378" t="str">
        <f t="shared" si="91"/>
        <v>04/09/2025</v>
      </c>
      <c r="J378" t="str">
        <f t="shared" si="92"/>
        <v>25/08/2025</v>
      </c>
      <c r="K378" t="str">
        <f>("04/09/2025")</f>
        <v>04/09/2025</v>
      </c>
      <c r="L378">
        <v>1716</v>
      </c>
      <c r="M378">
        <v>1716</v>
      </c>
      <c r="N378">
        <v>109</v>
      </c>
      <c r="O378" t="str">
        <f>"PAGAMENTO DE ENTREGADORES"</f>
        <v>PAGAMENTO DE ENTREGADORES</v>
      </c>
      <c r="P378">
        <v>1716</v>
      </c>
      <c r="S378" t="str">
        <f>"BANCO C6 (149)"</f>
        <v>BANCO C6 (149)</v>
      </c>
      <c r="T378">
        <v>17547</v>
      </c>
      <c r="U378">
        <v>20910</v>
      </c>
      <c r="V378" t="s">
        <v>77</v>
      </c>
    </row>
    <row r="379" spans="1:22">
      <c r="A379" t="str">
        <f t="shared" si="94"/>
        <v>04/09/2025</v>
      </c>
      <c r="B379" t="str">
        <f t="shared" si="93"/>
        <v>SAÍDA</v>
      </c>
      <c r="C379" t="str">
        <f t="shared" si="88"/>
        <v>PIX</v>
      </c>
      <c r="D379" t="str">
        <f>"20910"</f>
        <v>20910</v>
      </c>
      <c r="E379" t="str">
        <f t="shared" si="90"/>
        <v>1</v>
      </c>
      <c r="F379" t="str">
        <f t="shared" si="87"/>
        <v>COM</v>
      </c>
      <c r="G379" t="str">
        <f>"MURILO BARRETO AFONSO (30)"</f>
        <v>MURILO BARRETO AFONSO (30)</v>
      </c>
      <c r="H379" t="s">
        <v>159</v>
      </c>
      <c r="I379" t="str">
        <f t="shared" si="91"/>
        <v>04/09/2025</v>
      </c>
      <c r="J379" t="str">
        <f t="shared" si="92"/>
        <v>25/08/2025</v>
      </c>
      <c r="K379">
        <v>45904</v>
      </c>
      <c r="N379">
        <v>109</v>
      </c>
      <c r="O379" t="s">
        <v>24</v>
      </c>
      <c r="Q379">
        <v>684</v>
      </c>
      <c r="R379" t="str">
        <f>"FARMÁCIA INDIANA LJ 118 (10052)"</f>
        <v>FARMÁCIA INDIANA LJ 118 (10052)</v>
      </c>
      <c r="S379" t="s">
        <v>77</v>
      </c>
      <c r="T379">
        <v>17547</v>
      </c>
      <c r="U379">
        <v>20910</v>
      </c>
      <c r="V379" t="s">
        <v>77</v>
      </c>
    </row>
    <row r="380" spans="1:22">
      <c r="A380" t="str">
        <f t="shared" si="94"/>
        <v>04/09/2025</v>
      </c>
      <c r="B380" t="str">
        <f t="shared" si="93"/>
        <v>SAÍDA</v>
      </c>
      <c r="C380" t="str">
        <f t="shared" si="88"/>
        <v>PIX</v>
      </c>
      <c r="D380" t="str">
        <f>"20910"</f>
        <v>20910</v>
      </c>
      <c r="E380" t="str">
        <f t="shared" si="90"/>
        <v>1</v>
      </c>
      <c r="F380" t="str">
        <f t="shared" si="87"/>
        <v>COM</v>
      </c>
      <c r="G380" t="str">
        <f>"MURILO BARRETO AFONSO (30)"</f>
        <v>MURILO BARRETO AFONSO (30)</v>
      </c>
      <c r="H380" t="s">
        <v>159</v>
      </c>
      <c r="I380" t="str">
        <f t="shared" si="91"/>
        <v>04/09/2025</v>
      </c>
      <c r="J380" t="str">
        <f t="shared" si="92"/>
        <v>25/08/2025</v>
      </c>
      <c r="K380">
        <v>45904</v>
      </c>
      <c r="N380">
        <v>109</v>
      </c>
      <c r="O380" t="s">
        <v>24</v>
      </c>
      <c r="Q380">
        <v>1032</v>
      </c>
      <c r="R380" t="str">
        <f>"FARMÁCIA INDIANA LJ 192 (10082)"</f>
        <v>FARMÁCIA INDIANA LJ 192 (10082)</v>
      </c>
      <c r="S380" t="s">
        <v>77</v>
      </c>
      <c r="T380">
        <v>17547</v>
      </c>
      <c r="U380">
        <v>20910</v>
      </c>
      <c r="V380" t="s">
        <v>77</v>
      </c>
    </row>
    <row r="381" spans="1:22">
      <c r="A381" t="str">
        <f t="shared" si="94"/>
        <v>04/09/2025</v>
      </c>
      <c r="B381" t="str">
        <f t="shared" si="93"/>
        <v>SAÍDA</v>
      </c>
      <c r="C381" t="str">
        <f t="shared" si="88"/>
        <v>PIX</v>
      </c>
      <c r="D381" t="str">
        <f>"20911"</f>
        <v>20911</v>
      </c>
      <c r="E381" t="str">
        <f t="shared" si="90"/>
        <v>1</v>
      </c>
      <c r="F381" t="str">
        <f t="shared" si="87"/>
        <v>COM</v>
      </c>
      <c r="G381" t="str">
        <f>"NELSON DOS SANTOS RODRIGUES (37)"</f>
        <v>NELSON DOS SANTOS RODRIGUES (37)</v>
      </c>
      <c r="H381" t="str">
        <f>"Serv.Prest. 18/08/2025 a 24/08/2025 - PIX: CPF - CHAVE: 108.680.396-59"</f>
        <v>Serv.Prest. 18/08/2025 a 24/08/2025 - PIX: CPF - CHAVE: 108.680.396-59</v>
      </c>
      <c r="I381" t="str">
        <f t="shared" si="91"/>
        <v>04/09/2025</v>
      </c>
      <c r="J381" t="str">
        <f t="shared" si="92"/>
        <v>25/08/2025</v>
      </c>
      <c r="K381" t="str">
        <f>("04/09/2025")</f>
        <v>04/09/2025</v>
      </c>
      <c r="L381">
        <v>1392</v>
      </c>
      <c r="M381">
        <v>1392</v>
      </c>
      <c r="N381">
        <v>109</v>
      </c>
      <c r="O381" t="str">
        <f>"PAGAMENTO DE ENTREGADORES"</f>
        <v>PAGAMENTO DE ENTREGADORES</v>
      </c>
      <c r="P381">
        <v>1392</v>
      </c>
      <c r="S381" t="str">
        <f>"BANCO C6 (149)"</f>
        <v>BANCO C6 (149)</v>
      </c>
      <c r="T381">
        <v>17548</v>
      </c>
      <c r="U381">
        <v>20911</v>
      </c>
      <c r="V381" t="s">
        <v>77</v>
      </c>
    </row>
    <row r="382" spans="1:22">
      <c r="A382" t="str">
        <f t="shared" si="94"/>
        <v>04/09/2025</v>
      </c>
      <c r="B382" t="str">
        <f t="shared" si="93"/>
        <v>SAÍDA</v>
      </c>
      <c r="C382" t="str">
        <f t="shared" si="88"/>
        <v>PIX</v>
      </c>
      <c r="D382" t="str">
        <f>"20911"</f>
        <v>20911</v>
      </c>
      <c r="E382" t="str">
        <f t="shared" si="90"/>
        <v>1</v>
      </c>
      <c r="F382" t="str">
        <f t="shared" si="87"/>
        <v>COM</v>
      </c>
      <c r="G382" t="str">
        <f>"NELSON DOS SANTOS RODRIGUES (37)"</f>
        <v>NELSON DOS SANTOS RODRIGUES (37)</v>
      </c>
      <c r="H382" t="s">
        <v>160</v>
      </c>
      <c r="I382" t="str">
        <f t="shared" si="91"/>
        <v>04/09/2025</v>
      </c>
      <c r="J382" t="str">
        <f t="shared" si="92"/>
        <v>25/08/2025</v>
      </c>
      <c r="K382">
        <v>45904</v>
      </c>
      <c r="N382">
        <v>109</v>
      </c>
      <c r="O382" t="s">
        <v>24</v>
      </c>
      <c r="Q382">
        <v>1392</v>
      </c>
      <c r="R382" t="str">
        <f>"FARMÁCIA INDIANA LJ 11 (10008)"</f>
        <v>FARMÁCIA INDIANA LJ 11 (10008)</v>
      </c>
      <c r="S382" t="s">
        <v>77</v>
      </c>
      <c r="T382">
        <v>17548</v>
      </c>
      <c r="U382">
        <v>20911</v>
      </c>
      <c r="V382" t="s">
        <v>77</v>
      </c>
    </row>
    <row r="383" spans="1:22">
      <c r="A383" t="str">
        <f t="shared" si="94"/>
        <v>04/09/2025</v>
      </c>
      <c r="B383" t="str">
        <f t="shared" si="93"/>
        <v>SAÍDA</v>
      </c>
      <c r="C383" t="str">
        <f t="shared" si="88"/>
        <v>PIX</v>
      </c>
      <c r="D383" t="str">
        <f>"20912"</f>
        <v>20912</v>
      </c>
      <c r="E383" t="str">
        <f t="shared" si="90"/>
        <v>1</v>
      </c>
      <c r="F383" t="str">
        <f t="shared" si="87"/>
        <v>COM</v>
      </c>
      <c r="G383" t="str">
        <f>"NILTON RODRIGUES DE SOUZA (136)"</f>
        <v>NILTON RODRIGUES DE SOUZA (136)</v>
      </c>
      <c r="H383" t="str">
        <f>"Serv.Prest. 18/08/2025 a 24/08/2025 - PIX: CPF - CHAVE: 037.974.316-78"</f>
        <v>Serv.Prest. 18/08/2025 a 24/08/2025 - PIX: CPF - CHAVE: 037.974.316-78</v>
      </c>
      <c r="I383" t="str">
        <f t="shared" si="91"/>
        <v>04/09/2025</v>
      </c>
      <c r="J383" t="str">
        <f t="shared" si="92"/>
        <v>25/08/2025</v>
      </c>
      <c r="K383" t="str">
        <f>("04/09/2025")</f>
        <v>04/09/2025</v>
      </c>
      <c r="L383">
        <v>798</v>
      </c>
      <c r="M383">
        <v>798</v>
      </c>
      <c r="N383">
        <v>109</v>
      </c>
      <c r="O383" t="str">
        <f>"PAGAMENTO DE ENTREGADORES"</f>
        <v>PAGAMENTO DE ENTREGADORES</v>
      </c>
      <c r="P383">
        <v>798</v>
      </c>
      <c r="S383" t="str">
        <f>"BANCO C6 (149)"</f>
        <v>BANCO C6 (149)</v>
      </c>
      <c r="T383">
        <v>17549</v>
      </c>
      <c r="U383">
        <v>20912</v>
      </c>
      <c r="V383" t="s">
        <v>77</v>
      </c>
    </row>
    <row r="384" spans="1:22">
      <c r="A384" t="str">
        <f t="shared" si="94"/>
        <v>04/09/2025</v>
      </c>
      <c r="B384" t="str">
        <f t="shared" si="93"/>
        <v>SAÍDA</v>
      </c>
      <c r="C384" t="str">
        <f t="shared" si="88"/>
        <v>PIX</v>
      </c>
      <c r="D384" t="str">
        <f>"20912"</f>
        <v>20912</v>
      </c>
      <c r="E384" t="str">
        <f t="shared" si="90"/>
        <v>1</v>
      </c>
      <c r="F384" t="str">
        <f t="shared" si="87"/>
        <v>COM</v>
      </c>
      <c r="G384" t="str">
        <f>"NILTON RODRIGUES DE SOUZA (136)"</f>
        <v>NILTON RODRIGUES DE SOUZA (136)</v>
      </c>
      <c r="H384" t="s">
        <v>161</v>
      </c>
      <c r="I384" t="str">
        <f t="shared" si="91"/>
        <v>04/09/2025</v>
      </c>
      <c r="J384" t="str">
        <f t="shared" si="92"/>
        <v>25/08/2025</v>
      </c>
      <c r="K384">
        <v>45904</v>
      </c>
      <c r="N384">
        <v>109</v>
      </c>
      <c r="O384" t="s">
        <v>24</v>
      </c>
      <c r="Q384">
        <v>798</v>
      </c>
      <c r="R384" t="str">
        <f>"FARMÁCIA INDIANA LJ 18 (10011)"</f>
        <v>FARMÁCIA INDIANA LJ 18 (10011)</v>
      </c>
      <c r="S384" t="s">
        <v>77</v>
      </c>
      <c r="T384">
        <v>17549</v>
      </c>
      <c r="U384">
        <v>20912</v>
      </c>
      <c r="V384" t="s">
        <v>77</v>
      </c>
    </row>
    <row r="385" spans="1:22">
      <c r="A385" t="str">
        <f t="shared" si="94"/>
        <v>04/09/2025</v>
      </c>
      <c r="B385" t="str">
        <f t="shared" si="93"/>
        <v>SAÍDA</v>
      </c>
      <c r="C385" t="str">
        <f t="shared" si="88"/>
        <v>PIX</v>
      </c>
      <c r="D385" t="str">
        <f>"20913"</f>
        <v>20913</v>
      </c>
      <c r="E385" t="str">
        <f t="shared" si="90"/>
        <v>1</v>
      </c>
      <c r="F385" t="str">
        <f t="shared" si="87"/>
        <v>COM</v>
      </c>
      <c r="G385" t="str">
        <f>"PATRICK DE SOUZA CORREA (92)"</f>
        <v>PATRICK DE SOUZA CORREA (92)</v>
      </c>
      <c r="H385" t="str">
        <f>"Serv.Prest. 18/08/2025 a 24/08/2025 - PIX: CELULAR - CHAVE: (31) 99216-8711"</f>
        <v>Serv.Prest. 18/08/2025 a 24/08/2025 - PIX: CELULAR - CHAVE: (31) 99216-8711</v>
      </c>
      <c r="I385" t="str">
        <f t="shared" si="91"/>
        <v>04/09/2025</v>
      </c>
      <c r="J385" t="str">
        <f t="shared" si="92"/>
        <v>25/08/2025</v>
      </c>
      <c r="K385" t="str">
        <f>("04/09/2025")</f>
        <v>04/09/2025</v>
      </c>
      <c r="L385">
        <v>600</v>
      </c>
      <c r="M385">
        <v>600</v>
      </c>
      <c r="N385">
        <v>109</v>
      </c>
      <c r="O385" t="str">
        <f>"PAGAMENTO DE ENTREGADORES"</f>
        <v>PAGAMENTO DE ENTREGADORES</v>
      </c>
      <c r="P385">
        <v>600</v>
      </c>
      <c r="S385" t="str">
        <f>"BANCO C6 (149)"</f>
        <v>BANCO C6 (149)</v>
      </c>
      <c r="T385">
        <v>17550</v>
      </c>
      <c r="U385">
        <v>20913</v>
      </c>
      <c r="V385" t="s">
        <v>77</v>
      </c>
    </row>
    <row r="386" spans="1:22">
      <c r="A386" t="str">
        <f t="shared" si="94"/>
        <v>04/09/2025</v>
      </c>
      <c r="B386" t="str">
        <f t="shared" si="93"/>
        <v>SAÍDA</v>
      </c>
      <c r="C386" t="str">
        <f t="shared" si="88"/>
        <v>PIX</v>
      </c>
      <c r="D386" t="str">
        <f>"20913"</f>
        <v>20913</v>
      </c>
      <c r="E386" t="str">
        <f t="shared" si="90"/>
        <v>1</v>
      </c>
      <c r="F386" t="str">
        <f t="shared" ref="F386:F449" si="95">"COM"</f>
        <v>COM</v>
      </c>
      <c r="G386" t="str">
        <f>"PATRICK DE SOUZA CORREA (92)"</f>
        <v>PATRICK DE SOUZA CORREA (92)</v>
      </c>
      <c r="H386" t="s">
        <v>162</v>
      </c>
      <c r="I386" t="str">
        <f t="shared" si="91"/>
        <v>04/09/2025</v>
      </c>
      <c r="J386" t="str">
        <f t="shared" si="92"/>
        <v>25/08/2025</v>
      </c>
      <c r="K386">
        <v>45904</v>
      </c>
      <c r="N386">
        <v>109</v>
      </c>
      <c r="O386" t="s">
        <v>24</v>
      </c>
      <c r="Q386">
        <v>473.7</v>
      </c>
      <c r="R386" t="str">
        <f>"FARMÁCIA INDIANA LJ 184 (10080)"</f>
        <v>FARMÁCIA INDIANA LJ 184 (10080)</v>
      </c>
      <c r="S386" t="s">
        <v>77</v>
      </c>
      <c r="T386">
        <v>17550</v>
      </c>
      <c r="U386">
        <v>20913</v>
      </c>
      <c r="V386" t="s">
        <v>77</v>
      </c>
    </row>
    <row r="387" spans="1:22">
      <c r="A387" t="str">
        <f t="shared" si="94"/>
        <v>04/09/2025</v>
      </c>
      <c r="B387" t="str">
        <f t="shared" si="93"/>
        <v>SAÍDA</v>
      </c>
      <c r="C387" t="str">
        <f t="shared" si="88"/>
        <v>PIX</v>
      </c>
      <c r="D387" t="str">
        <f>"20913"</f>
        <v>20913</v>
      </c>
      <c r="E387" t="str">
        <f t="shared" si="90"/>
        <v>1</v>
      </c>
      <c r="F387" t="str">
        <f t="shared" si="95"/>
        <v>COM</v>
      </c>
      <c r="G387" t="str">
        <f>"PATRICK DE SOUZA CORREA (92)"</f>
        <v>PATRICK DE SOUZA CORREA (92)</v>
      </c>
      <c r="H387" t="s">
        <v>162</v>
      </c>
      <c r="I387" t="str">
        <f t="shared" si="91"/>
        <v>04/09/2025</v>
      </c>
      <c r="J387" t="str">
        <f t="shared" si="92"/>
        <v>25/08/2025</v>
      </c>
      <c r="K387">
        <v>45904</v>
      </c>
      <c r="N387">
        <v>109</v>
      </c>
      <c r="O387" t="s">
        <v>24</v>
      </c>
      <c r="Q387">
        <v>126.3</v>
      </c>
      <c r="R387" t="str">
        <f>"FARMÁCIA INDIANA LJ 195 (10083)"</f>
        <v>FARMÁCIA INDIANA LJ 195 (10083)</v>
      </c>
      <c r="S387" t="s">
        <v>77</v>
      </c>
      <c r="T387">
        <v>17550</v>
      </c>
      <c r="U387">
        <v>20913</v>
      </c>
      <c r="V387" t="s">
        <v>77</v>
      </c>
    </row>
    <row r="388" spans="1:22">
      <c r="A388" t="str">
        <f t="shared" si="94"/>
        <v>04/09/2025</v>
      </c>
      <c r="B388" t="str">
        <f t="shared" si="93"/>
        <v>SAÍDA</v>
      </c>
      <c r="C388" t="str">
        <f t="shared" si="88"/>
        <v>PIX</v>
      </c>
      <c r="D388" t="str">
        <f>"20914"</f>
        <v>20914</v>
      </c>
      <c r="E388" t="str">
        <f t="shared" si="90"/>
        <v>1</v>
      </c>
      <c r="F388" t="str">
        <f t="shared" si="95"/>
        <v>COM</v>
      </c>
      <c r="G388" t="str">
        <f>"PAULO HENRIQUE OLIVEIRA SILVA (39)"</f>
        <v>PAULO HENRIQUE OLIVEIRA SILVA (39)</v>
      </c>
      <c r="H388" t="str">
        <f>"Serv.Prest. 18/08/2025 a 24/08/2025 - PIX: CELULAR - CHAVE: (31) 97339-3761"</f>
        <v>Serv.Prest. 18/08/2025 a 24/08/2025 - PIX: CELULAR - CHAVE: (31) 97339-3761</v>
      </c>
      <c r="I388" t="str">
        <f t="shared" si="91"/>
        <v>04/09/2025</v>
      </c>
      <c r="J388" t="str">
        <f t="shared" si="92"/>
        <v>25/08/2025</v>
      </c>
      <c r="K388" t="str">
        <f>("04/09/2025")</f>
        <v>04/09/2025</v>
      </c>
      <c r="L388">
        <v>1362</v>
      </c>
      <c r="M388">
        <v>1362</v>
      </c>
      <c r="N388">
        <v>109</v>
      </c>
      <c r="O388" t="str">
        <f>"PAGAMENTO DE ENTREGADORES"</f>
        <v>PAGAMENTO DE ENTREGADORES</v>
      </c>
      <c r="P388">
        <v>1362</v>
      </c>
      <c r="S388" t="str">
        <f>"BANCO C6 (149)"</f>
        <v>BANCO C6 (149)</v>
      </c>
      <c r="T388">
        <v>17551</v>
      </c>
      <c r="U388">
        <v>20914</v>
      </c>
      <c r="V388" t="s">
        <v>77</v>
      </c>
    </row>
    <row r="389" spans="1:22">
      <c r="A389" t="str">
        <f t="shared" si="94"/>
        <v>04/09/2025</v>
      </c>
      <c r="B389" t="str">
        <f t="shared" si="93"/>
        <v>SAÍDA</v>
      </c>
      <c r="C389" t="str">
        <f t="shared" si="88"/>
        <v>PIX</v>
      </c>
      <c r="D389" t="str">
        <f>"20914"</f>
        <v>20914</v>
      </c>
      <c r="E389" t="str">
        <f t="shared" si="90"/>
        <v>1</v>
      </c>
      <c r="F389" t="str">
        <f t="shared" si="95"/>
        <v>COM</v>
      </c>
      <c r="G389" t="str">
        <f>"PAULO HENRIQUE OLIVEIRA SILVA (39)"</f>
        <v>PAULO HENRIQUE OLIVEIRA SILVA (39)</v>
      </c>
      <c r="H389" t="s">
        <v>163</v>
      </c>
      <c r="I389" t="str">
        <f t="shared" si="91"/>
        <v>04/09/2025</v>
      </c>
      <c r="J389" t="str">
        <f t="shared" si="92"/>
        <v>25/08/2025</v>
      </c>
      <c r="K389">
        <v>45904</v>
      </c>
      <c r="N389">
        <v>109</v>
      </c>
      <c r="O389" t="s">
        <v>24</v>
      </c>
      <c r="Q389">
        <v>1362</v>
      </c>
      <c r="R389" t="str">
        <f>"FARMÁCIA INDIANA LJ 11 (10008)"</f>
        <v>FARMÁCIA INDIANA LJ 11 (10008)</v>
      </c>
      <c r="S389" t="s">
        <v>77</v>
      </c>
      <c r="T389">
        <v>17551</v>
      </c>
      <c r="U389">
        <v>20914</v>
      </c>
      <c r="V389" t="s">
        <v>77</v>
      </c>
    </row>
    <row r="390" spans="1:22">
      <c r="A390" t="str">
        <f t="shared" si="94"/>
        <v>04/09/2025</v>
      </c>
      <c r="B390" t="str">
        <f t="shared" si="93"/>
        <v>SAÍDA</v>
      </c>
      <c r="C390" t="str">
        <f t="shared" si="88"/>
        <v>PIX</v>
      </c>
      <c r="D390" t="str">
        <f>"20915"</f>
        <v>20915</v>
      </c>
      <c r="E390" t="str">
        <f t="shared" si="90"/>
        <v>1</v>
      </c>
      <c r="F390" t="str">
        <f t="shared" si="95"/>
        <v>COM</v>
      </c>
      <c r="G390" t="str">
        <f>"PAULO MARCOS FARIA DE SOUZA L (233)"</f>
        <v>PAULO MARCOS FARIA DE SOUZA L (233)</v>
      </c>
      <c r="H390" t="str">
        <f>"Serv.Prest. 18/08/2025 a 24/08/2025 - PIX: CELULAR - CHAVE: (35) 99264-4504"</f>
        <v>Serv.Prest. 18/08/2025 a 24/08/2025 - PIX: CELULAR - CHAVE: (35) 99264-4504</v>
      </c>
      <c r="I390" t="str">
        <f t="shared" si="91"/>
        <v>04/09/2025</v>
      </c>
      <c r="J390" t="str">
        <f t="shared" si="92"/>
        <v>25/08/2025</v>
      </c>
      <c r="K390" t="str">
        <f>("04/09/2025")</f>
        <v>04/09/2025</v>
      </c>
      <c r="L390">
        <v>500</v>
      </c>
      <c r="M390">
        <v>500</v>
      </c>
      <c r="N390">
        <v>109</v>
      </c>
      <c r="O390" t="str">
        <f>"PAGAMENTO DE ENTREGADORES"</f>
        <v>PAGAMENTO DE ENTREGADORES</v>
      </c>
      <c r="P390">
        <v>500</v>
      </c>
      <c r="S390" t="str">
        <f>"BANCO C6 (149)"</f>
        <v>BANCO C6 (149)</v>
      </c>
      <c r="T390">
        <v>17552</v>
      </c>
      <c r="U390">
        <v>20915</v>
      </c>
      <c r="V390" t="s">
        <v>77</v>
      </c>
    </row>
    <row r="391" spans="1:22">
      <c r="A391" t="str">
        <f t="shared" si="94"/>
        <v>04/09/2025</v>
      </c>
      <c r="B391" t="str">
        <f t="shared" si="93"/>
        <v>SAÍDA</v>
      </c>
      <c r="C391" t="str">
        <f t="shared" si="88"/>
        <v>PIX</v>
      </c>
      <c r="D391" t="str">
        <f>"20915"</f>
        <v>20915</v>
      </c>
      <c r="E391" t="str">
        <f t="shared" si="90"/>
        <v>1</v>
      </c>
      <c r="F391" t="str">
        <f t="shared" si="95"/>
        <v>COM</v>
      </c>
      <c r="G391" t="str">
        <f>"PAULO MARCOS FARIA DE SOUZA L (233)"</f>
        <v>PAULO MARCOS FARIA DE SOUZA L (233)</v>
      </c>
      <c r="H391" t="s">
        <v>164</v>
      </c>
      <c r="I391" t="str">
        <f t="shared" si="91"/>
        <v>04/09/2025</v>
      </c>
      <c r="J391" t="str">
        <f t="shared" si="92"/>
        <v>25/08/2025</v>
      </c>
      <c r="K391">
        <v>45904</v>
      </c>
      <c r="N391">
        <v>109</v>
      </c>
      <c r="O391" t="s">
        <v>24</v>
      </c>
      <c r="Q391">
        <v>500</v>
      </c>
      <c r="R391" t="str">
        <f>"FARMÁCIA INDIANA LJ 64 (10029)"</f>
        <v>FARMÁCIA INDIANA LJ 64 (10029)</v>
      </c>
      <c r="S391" t="s">
        <v>77</v>
      </c>
      <c r="T391">
        <v>17552</v>
      </c>
      <c r="U391">
        <v>20915</v>
      </c>
      <c r="V391" t="s">
        <v>77</v>
      </c>
    </row>
    <row r="392" spans="1:22">
      <c r="A392" t="str">
        <f t="shared" si="94"/>
        <v>04/09/2025</v>
      </c>
      <c r="B392" t="str">
        <f t="shared" si="93"/>
        <v>SAÍDA</v>
      </c>
      <c r="C392" t="str">
        <f t="shared" si="88"/>
        <v>PIX</v>
      </c>
      <c r="D392" t="str">
        <f>"20916"</f>
        <v>20916</v>
      </c>
      <c r="E392" t="str">
        <f t="shared" si="90"/>
        <v>1</v>
      </c>
      <c r="F392" t="str">
        <f t="shared" si="95"/>
        <v>COM</v>
      </c>
      <c r="G392" t="str">
        <f>"PEDRO HENRIQUE DA SILVA COSTA OLIVEIRA (852)"</f>
        <v>PEDRO HENRIQUE DA SILVA COSTA OLIVEIRA (852)</v>
      </c>
      <c r="H392" t="str">
        <f>"Serv.Prest. 18/08/2025 a 24/08/2025 - PIX: E-MAIL - CHAVE: sypedrinho@gmail.com"</f>
        <v>Serv.Prest. 18/08/2025 a 24/08/2025 - PIX: E-MAIL - CHAVE: sypedrinho@gmail.com</v>
      </c>
      <c r="I392" t="str">
        <f t="shared" si="91"/>
        <v>04/09/2025</v>
      </c>
      <c r="J392" t="str">
        <f t="shared" si="92"/>
        <v>25/08/2025</v>
      </c>
      <c r="K392" t="str">
        <f>("04/09/2025")</f>
        <v>04/09/2025</v>
      </c>
      <c r="L392">
        <v>306</v>
      </c>
      <c r="M392">
        <v>306</v>
      </c>
      <c r="N392">
        <v>109</v>
      </c>
      <c r="O392" t="str">
        <f>"PAGAMENTO DE ENTREGADORES"</f>
        <v>PAGAMENTO DE ENTREGADORES</v>
      </c>
      <c r="P392">
        <v>306</v>
      </c>
      <c r="S392" t="str">
        <f>"BANCO C6 (149)"</f>
        <v>BANCO C6 (149)</v>
      </c>
      <c r="T392">
        <v>17553</v>
      </c>
      <c r="U392">
        <v>20916</v>
      </c>
      <c r="V392" t="s">
        <v>77</v>
      </c>
    </row>
    <row r="393" spans="1:22">
      <c r="A393" t="str">
        <f t="shared" si="94"/>
        <v>04/09/2025</v>
      </c>
      <c r="B393" t="str">
        <f t="shared" si="93"/>
        <v>SAÍDA</v>
      </c>
      <c r="C393" t="str">
        <f t="shared" si="88"/>
        <v>PIX</v>
      </c>
      <c r="D393" t="str">
        <f>"20916"</f>
        <v>20916</v>
      </c>
      <c r="E393" t="str">
        <f t="shared" si="90"/>
        <v>1</v>
      </c>
      <c r="F393" t="str">
        <f t="shared" si="95"/>
        <v>COM</v>
      </c>
      <c r="G393" t="str">
        <f>"PEDRO HENRIQUE DA SILVA COSTA OLIVEIRA (852)"</f>
        <v>PEDRO HENRIQUE DA SILVA COSTA OLIVEIRA (852)</v>
      </c>
      <c r="H393" t="s">
        <v>165</v>
      </c>
      <c r="I393" t="str">
        <f t="shared" si="91"/>
        <v>04/09/2025</v>
      </c>
      <c r="J393" t="str">
        <f t="shared" si="92"/>
        <v>25/08/2025</v>
      </c>
      <c r="K393">
        <v>45904</v>
      </c>
      <c r="N393">
        <v>109</v>
      </c>
      <c r="O393" t="s">
        <v>24</v>
      </c>
      <c r="Q393">
        <v>306</v>
      </c>
      <c r="R393" t="str">
        <f>"FARMÁCIA INDIANA LJ 110 (10048)"</f>
        <v>FARMÁCIA INDIANA LJ 110 (10048)</v>
      </c>
      <c r="S393" t="s">
        <v>77</v>
      </c>
      <c r="T393">
        <v>17553</v>
      </c>
      <c r="U393">
        <v>20916</v>
      </c>
      <c r="V393" t="s">
        <v>77</v>
      </c>
    </row>
    <row r="394" spans="1:22">
      <c r="A394" t="str">
        <f t="shared" si="94"/>
        <v>04/09/2025</v>
      </c>
      <c r="B394" t="str">
        <f t="shared" si="93"/>
        <v>SAÍDA</v>
      </c>
      <c r="C394" t="str">
        <f t="shared" si="88"/>
        <v>PIX</v>
      </c>
      <c r="D394" t="str">
        <f>"20917"</f>
        <v>20917</v>
      </c>
      <c r="E394" t="str">
        <f t="shared" si="90"/>
        <v>1</v>
      </c>
      <c r="F394" t="str">
        <f t="shared" si="95"/>
        <v>COM</v>
      </c>
      <c r="G394" t="str">
        <f>"RAISSON VITOR MENDES DE ABREU (705)"</f>
        <v>RAISSON VITOR MENDES DE ABREU (705)</v>
      </c>
      <c r="H394" t="str">
        <f>"Serv.Prest. 18/08/2025 a 24/08/2025 - PIX: CELULAR - CHAVE: (31) 99959-5414"</f>
        <v>Serv.Prest. 18/08/2025 a 24/08/2025 - PIX: CELULAR - CHAVE: (31) 99959-5414</v>
      </c>
      <c r="I394" t="str">
        <f t="shared" si="91"/>
        <v>04/09/2025</v>
      </c>
      <c r="J394" t="str">
        <f t="shared" si="92"/>
        <v>25/08/2025</v>
      </c>
      <c r="K394" t="str">
        <f>("04/09/2025")</f>
        <v>04/09/2025</v>
      </c>
      <c r="L394">
        <v>800</v>
      </c>
      <c r="M394">
        <v>800</v>
      </c>
      <c r="N394">
        <v>109</v>
      </c>
      <c r="O394" t="str">
        <f>"PAGAMENTO DE ENTREGADORES"</f>
        <v>PAGAMENTO DE ENTREGADORES</v>
      </c>
      <c r="P394">
        <v>800</v>
      </c>
      <c r="S394" t="str">
        <f>"BANCO C6 (149)"</f>
        <v>BANCO C6 (149)</v>
      </c>
      <c r="T394">
        <v>17554</v>
      </c>
      <c r="U394">
        <v>20917</v>
      </c>
      <c r="V394" t="s">
        <v>77</v>
      </c>
    </row>
    <row r="395" spans="1:22">
      <c r="A395" t="str">
        <f t="shared" si="94"/>
        <v>04/09/2025</v>
      </c>
      <c r="B395" t="str">
        <f t="shared" si="93"/>
        <v>SAÍDA</v>
      </c>
      <c r="C395" t="str">
        <f t="shared" ref="C395:C458" si="96">"PIX"</f>
        <v>PIX</v>
      </c>
      <c r="D395" t="str">
        <f>"20917"</f>
        <v>20917</v>
      </c>
      <c r="E395" t="str">
        <f t="shared" si="90"/>
        <v>1</v>
      </c>
      <c r="F395" t="str">
        <f t="shared" si="95"/>
        <v>COM</v>
      </c>
      <c r="G395" t="str">
        <f>"RAISSON VITOR MENDES DE ABREU (705)"</f>
        <v>RAISSON VITOR MENDES DE ABREU (705)</v>
      </c>
      <c r="H395" t="s">
        <v>166</v>
      </c>
      <c r="I395" t="str">
        <f t="shared" si="91"/>
        <v>04/09/2025</v>
      </c>
      <c r="J395" t="str">
        <f t="shared" si="92"/>
        <v>25/08/2025</v>
      </c>
      <c r="K395">
        <v>45904</v>
      </c>
      <c r="N395">
        <v>109</v>
      </c>
      <c r="O395" t="s">
        <v>24</v>
      </c>
      <c r="Q395">
        <v>800</v>
      </c>
      <c r="R395" t="str">
        <f>"FARMÁCIA INDIANA LJ 178 (10077)"</f>
        <v>FARMÁCIA INDIANA LJ 178 (10077)</v>
      </c>
      <c r="S395" t="s">
        <v>77</v>
      </c>
      <c r="T395">
        <v>17554</v>
      </c>
      <c r="U395">
        <v>20917</v>
      </c>
      <c r="V395" t="s">
        <v>77</v>
      </c>
    </row>
    <row r="396" spans="1:22">
      <c r="A396" t="str">
        <f t="shared" si="94"/>
        <v>04/09/2025</v>
      </c>
      <c r="B396" t="str">
        <f t="shared" si="93"/>
        <v>SAÍDA</v>
      </c>
      <c r="C396" t="str">
        <f t="shared" si="96"/>
        <v>PIX</v>
      </c>
      <c r="D396" t="str">
        <f>"20918"</f>
        <v>20918</v>
      </c>
      <c r="E396" t="str">
        <f t="shared" si="90"/>
        <v>1</v>
      </c>
      <c r="F396" t="str">
        <f t="shared" si="95"/>
        <v>COM</v>
      </c>
      <c r="G396" t="str">
        <f>"RENATO GEORGE GONÇALVES (191)"</f>
        <v>RENATO GEORGE GONÇALVES (191)</v>
      </c>
      <c r="H396" t="str">
        <f>"Serv.Prest. 18/08/2025 a 24/08/2025 - PIX: CPF - CHAVE: 012.783.036-77"</f>
        <v>Serv.Prest. 18/08/2025 a 24/08/2025 - PIX: CPF - CHAVE: 012.783.036-77</v>
      </c>
      <c r="I396" t="str">
        <f t="shared" si="91"/>
        <v>04/09/2025</v>
      </c>
      <c r="J396" t="str">
        <f t="shared" si="92"/>
        <v>25/08/2025</v>
      </c>
      <c r="K396" t="str">
        <f>("04/09/2025")</f>
        <v>04/09/2025</v>
      </c>
      <c r="L396">
        <v>990</v>
      </c>
      <c r="M396">
        <v>990</v>
      </c>
      <c r="N396">
        <v>109</v>
      </c>
      <c r="O396" t="str">
        <f>"PAGAMENTO DE ENTREGADORES"</f>
        <v>PAGAMENTO DE ENTREGADORES</v>
      </c>
      <c r="P396">
        <v>990</v>
      </c>
      <c r="S396" t="str">
        <f>"BANCO C6 (149)"</f>
        <v>BANCO C6 (149)</v>
      </c>
      <c r="T396">
        <v>17555</v>
      </c>
      <c r="U396">
        <v>20918</v>
      </c>
      <c r="V396" t="s">
        <v>77</v>
      </c>
    </row>
    <row r="397" spans="1:22">
      <c r="A397" t="str">
        <f t="shared" si="94"/>
        <v>04/09/2025</v>
      </c>
      <c r="B397" t="str">
        <f t="shared" si="93"/>
        <v>SAÍDA</v>
      </c>
      <c r="C397" t="str">
        <f t="shared" si="96"/>
        <v>PIX</v>
      </c>
      <c r="D397" t="str">
        <f>"20918"</f>
        <v>20918</v>
      </c>
      <c r="E397" t="str">
        <f t="shared" si="90"/>
        <v>1</v>
      </c>
      <c r="F397" t="str">
        <f t="shared" si="95"/>
        <v>COM</v>
      </c>
      <c r="G397" t="str">
        <f>"RENATO GEORGE GONÇALVES (191)"</f>
        <v>RENATO GEORGE GONÇALVES (191)</v>
      </c>
      <c r="H397" t="s">
        <v>167</v>
      </c>
      <c r="I397" t="str">
        <f t="shared" si="91"/>
        <v>04/09/2025</v>
      </c>
      <c r="J397" t="str">
        <f t="shared" si="92"/>
        <v>25/08/2025</v>
      </c>
      <c r="K397">
        <v>45904</v>
      </c>
      <c r="N397">
        <v>109</v>
      </c>
      <c r="O397" t="s">
        <v>24</v>
      </c>
      <c r="Q397">
        <v>990</v>
      </c>
      <c r="R397" t="str">
        <f>"FARMÁCIA INDIANA LJ 06 (10006)"</f>
        <v>FARMÁCIA INDIANA LJ 06 (10006)</v>
      </c>
      <c r="S397" t="s">
        <v>77</v>
      </c>
      <c r="T397">
        <v>17555</v>
      </c>
      <c r="U397">
        <v>20918</v>
      </c>
      <c r="V397" t="s">
        <v>77</v>
      </c>
    </row>
    <row r="398" spans="1:22">
      <c r="A398" t="str">
        <f t="shared" si="94"/>
        <v>04/09/2025</v>
      </c>
      <c r="B398" t="str">
        <f t="shared" si="93"/>
        <v>SAÍDA</v>
      </c>
      <c r="C398" t="str">
        <f t="shared" si="96"/>
        <v>PIX</v>
      </c>
      <c r="D398" t="str">
        <f>"20919"</f>
        <v>20919</v>
      </c>
      <c r="E398" t="str">
        <f t="shared" si="90"/>
        <v>1</v>
      </c>
      <c r="F398" t="str">
        <f t="shared" si="95"/>
        <v>COM</v>
      </c>
      <c r="G398" t="str">
        <f>"RICARDO NASCIMENTO DE SOUZA (146)"</f>
        <v>RICARDO NASCIMENTO DE SOUZA (146)</v>
      </c>
      <c r="H398" t="str">
        <f>"Serv.Prest. 18/08/2025 a 24/08/2025 - PIX: CELULAR - CHAVE: (31) 98891-8440"</f>
        <v>Serv.Prest. 18/08/2025 a 24/08/2025 - PIX: CELULAR - CHAVE: (31) 98891-8440</v>
      </c>
      <c r="I398" t="str">
        <f t="shared" si="91"/>
        <v>04/09/2025</v>
      </c>
      <c r="J398" t="str">
        <f t="shared" si="92"/>
        <v>25/08/2025</v>
      </c>
      <c r="K398" t="str">
        <f>("04/09/2025")</f>
        <v>04/09/2025</v>
      </c>
      <c r="L398">
        <v>954</v>
      </c>
      <c r="M398">
        <v>954</v>
      </c>
      <c r="N398">
        <v>109</v>
      </c>
      <c r="O398" t="str">
        <f>"PAGAMENTO DE ENTREGADORES"</f>
        <v>PAGAMENTO DE ENTREGADORES</v>
      </c>
      <c r="P398">
        <v>954</v>
      </c>
      <c r="S398" t="str">
        <f>"BANCO C6 (149)"</f>
        <v>BANCO C6 (149)</v>
      </c>
      <c r="T398">
        <v>17556</v>
      </c>
      <c r="U398">
        <v>20919</v>
      </c>
      <c r="V398" t="s">
        <v>77</v>
      </c>
    </row>
    <row r="399" spans="1:22">
      <c r="A399" t="str">
        <f t="shared" si="94"/>
        <v>04/09/2025</v>
      </c>
      <c r="B399" t="str">
        <f t="shared" si="93"/>
        <v>SAÍDA</v>
      </c>
      <c r="C399" t="str">
        <f t="shared" si="96"/>
        <v>PIX</v>
      </c>
      <c r="D399" t="str">
        <f>"20919"</f>
        <v>20919</v>
      </c>
      <c r="E399" t="str">
        <f t="shared" si="90"/>
        <v>1</v>
      </c>
      <c r="F399" t="str">
        <f t="shared" si="95"/>
        <v>COM</v>
      </c>
      <c r="G399" t="str">
        <f>"RICARDO NASCIMENTO DE SOUZA (146)"</f>
        <v>RICARDO NASCIMENTO DE SOUZA (146)</v>
      </c>
      <c r="H399" t="s">
        <v>168</v>
      </c>
      <c r="I399" t="str">
        <f t="shared" si="91"/>
        <v>04/09/2025</v>
      </c>
      <c r="J399" t="str">
        <f t="shared" si="92"/>
        <v>25/08/2025</v>
      </c>
      <c r="K399">
        <v>45904</v>
      </c>
      <c r="N399">
        <v>109</v>
      </c>
      <c r="O399" t="s">
        <v>24</v>
      </c>
      <c r="Q399">
        <v>954</v>
      </c>
      <c r="R399" t="str">
        <f>"FARMÁCIA INDIANA LJ 19 (10012)"</f>
        <v>FARMÁCIA INDIANA LJ 19 (10012)</v>
      </c>
      <c r="S399" t="s">
        <v>77</v>
      </c>
      <c r="T399">
        <v>17556</v>
      </c>
      <c r="U399">
        <v>20919</v>
      </c>
      <c r="V399" t="s">
        <v>77</v>
      </c>
    </row>
    <row r="400" spans="1:22">
      <c r="A400" t="str">
        <f t="shared" si="94"/>
        <v>04/09/2025</v>
      </c>
      <c r="B400" t="str">
        <f t="shared" si="93"/>
        <v>SAÍDA</v>
      </c>
      <c r="C400" t="str">
        <f t="shared" si="96"/>
        <v>PIX</v>
      </c>
      <c r="D400" t="str">
        <f>"20920"</f>
        <v>20920</v>
      </c>
      <c r="E400" t="str">
        <f t="shared" si="90"/>
        <v>1</v>
      </c>
      <c r="F400" t="str">
        <f t="shared" si="95"/>
        <v>COM</v>
      </c>
      <c r="G400" t="str">
        <f>"ROGÉRIO LAURINDO BORGES (176)"</f>
        <v>ROGÉRIO LAURINDO BORGES (176)</v>
      </c>
      <c r="H400" t="str">
        <f>"Serv.Prest. 18/08/2025 a 24/08/2025 - PIX: E-MAIL - CHAVE: roger.l.borges04@gmail.com"</f>
        <v>Serv.Prest. 18/08/2025 a 24/08/2025 - PIX: E-MAIL - CHAVE: roger.l.borges04@gmail.com</v>
      </c>
      <c r="I400" t="str">
        <f t="shared" si="91"/>
        <v>04/09/2025</v>
      </c>
      <c r="J400" t="str">
        <f t="shared" si="92"/>
        <v>25/08/2025</v>
      </c>
      <c r="K400" t="str">
        <f>("04/09/2025")</f>
        <v>04/09/2025</v>
      </c>
      <c r="L400">
        <v>1428</v>
      </c>
      <c r="M400">
        <v>1428</v>
      </c>
      <c r="N400">
        <v>109</v>
      </c>
      <c r="O400" t="str">
        <f>"PAGAMENTO DE ENTREGADORES"</f>
        <v>PAGAMENTO DE ENTREGADORES</v>
      </c>
      <c r="P400">
        <v>1428</v>
      </c>
      <c r="S400" t="str">
        <f>"BANCO C6 (149)"</f>
        <v>BANCO C6 (149)</v>
      </c>
      <c r="T400">
        <v>17557</v>
      </c>
      <c r="U400">
        <v>20920</v>
      </c>
      <c r="V400" t="s">
        <v>77</v>
      </c>
    </row>
    <row r="401" spans="1:22">
      <c r="A401" t="str">
        <f t="shared" si="94"/>
        <v>04/09/2025</v>
      </c>
      <c r="B401" t="str">
        <f t="shared" si="93"/>
        <v>SAÍDA</v>
      </c>
      <c r="C401" t="str">
        <f t="shared" si="96"/>
        <v>PIX</v>
      </c>
      <c r="D401" t="str">
        <f>"20920"</f>
        <v>20920</v>
      </c>
      <c r="E401" t="str">
        <f t="shared" si="90"/>
        <v>1</v>
      </c>
      <c r="F401" t="str">
        <f t="shared" si="95"/>
        <v>COM</v>
      </c>
      <c r="G401" t="str">
        <f>"ROGÉRIO LAURINDO BORGES (176)"</f>
        <v>ROGÉRIO LAURINDO BORGES (176)</v>
      </c>
      <c r="H401" t="s">
        <v>169</v>
      </c>
      <c r="I401" t="str">
        <f t="shared" si="91"/>
        <v>04/09/2025</v>
      </c>
      <c r="J401" t="str">
        <f t="shared" si="92"/>
        <v>25/08/2025</v>
      </c>
      <c r="K401">
        <v>45904</v>
      </c>
      <c r="N401">
        <v>109</v>
      </c>
      <c r="O401" t="s">
        <v>24</v>
      </c>
      <c r="Q401">
        <v>1428</v>
      </c>
      <c r="R401" t="str">
        <f>"FARMÁCIA INDIANA LJ 142 (10066)"</f>
        <v>FARMÁCIA INDIANA LJ 142 (10066)</v>
      </c>
      <c r="S401" t="s">
        <v>77</v>
      </c>
      <c r="T401">
        <v>17557</v>
      </c>
      <c r="U401">
        <v>20920</v>
      </c>
      <c r="V401" t="s">
        <v>77</v>
      </c>
    </row>
    <row r="402" spans="1:22">
      <c r="A402" t="str">
        <f t="shared" si="94"/>
        <v>04/09/2025</v>
      </c>
      <c r="B402" t="str">
        <f t="shared" si="93"/>
        <v>SAÍDA</v>
      </c>
      <c r="C402" t="str">
        <f t="shared" si="96"/>
        <v>PIX</v>
      </c>
      <c r="D402" t="str">
        <f>"20921"</f>
        <v>20921</v>
      </c>
      <c r="E402" t="str">
        <f t="shared" ref="E402:E465" si="97">"1"</f>
        <v>1</v>
      </c>
      <c r="F402" t="str">
        <f t="shared" si="95"/>
        <v>COM</v>
      </c>
      <c r="G402" t="str">
        <f>"RÔMULO LEMOS DE SOUZA (59)"</f>
        <v>RÔMULO LEMOS DE SOUZA (59)</v>
      </c>
      <c r="H402" t="str">
        <f>"Serv.Prest. 18/08/2025 a 24/08/2025 - PIX: CELULAR - CHAVE: (33) 98840-0998"</f>
        <v>Serv.Prest. 18/08/2025 a 24/08/2025 - PIX: CELULAR - CHAVE: (33) 98840-0998</v>
      </c>
      <c r="I402" t="str">
        <f t="shared" si="91"/>
        <v>04/09/2025</v>
      </c>
      <c r="J402" t="str">
        <f t="shared" si="92"/>
        <v>25/08/2025</v>
      </c>
      <c r="K402" t="str">
        <f>("04/09/2025")</f>
        <v>04/09/2025</v>
      </c>
      <c r="L402">
        <v>1098</v>
      </c>
      <c r="M402">
        <v>1098</v>
      </c>
      <c r="N402">
        <v>109</v>
      </c>
      <c r="O402" t="str">
        <f>"PAGAMENTO DE ENTREGADORES"</f>
        <v>PAGAMENTO DE ENTREGADORES</v>
      </c>
      <c r="P402">
        <v>1098</v>
      </c>
      <c r="S402" t="str">
        <f>"BANCO C6 (149)"</f>
        <v>BANCO C6 (149)</v>
      </c>
      <c r="T402">
        <v>17558</v>
      </c>
      <c r="U402">
        <v>20921</v>
      </c>
      <c r="V402" t="s">
        <v>77</v>
      </c>
    </row>
    <row r="403" spans="1:22">
      <c r="A403" t="str">
        <f t="shared" si="94"/>
        <v>04/09/2025</v>
      </c>
      <c r="B403" t="str">
        <f t="shared" si="93"/>
        <v>SAÍDA</v>
      </c>
      <c r="C403" t="str">
        <f t="shared" si="96"/>
        <v>PIX</v>
      </c>
      <c r="D403" t="str">
        <f>"20921"</f>
        <v>20921</v>
      </c>
      <c r="E403" t="str">
        <f t="shared" si="97"/>
        <v>1</v>
      </c>
      <c r="F403" t="str">
        <f t="shared" si="95"/>
        <v>COM</v>
      </c>
      <c r="G403" t="str">
        <f>"RÔMULO LEMOS DE SOUZA (59)"</f>
        <v>RÔMULO LEMOS DE SOUZA (59)</v>
      </c>
      <c r="H403" t="s">
        <v>170</v>
      </c>
      <c r="I403" t="str">
        <f t="shared" si="91"/>
        <v>04/09/2025</v>
      </c>
      <c r="J403" t="str">
        <f t="shared" si="92"/>
        <v>25/08/2025</v>
      </c>
      <c r="K403">
        <v>45904</v>
      </c>
      <c r="N403">
        <v>109</v>
      </c>
      <c r="O403" t="s">
        <v>24</v>
      </c>
      <c r="Q403">
        <v>1098</v>
      </c>
      <c r="R403" t="str">
        <f>"FARMÁCIA INDIANA LJ 07 (10007)"</f>
        <v>FARMÁCIA INDIANA LJ 07 (10007)</v>
      </c>
      <c r="S403" t="s">
        <v>77</v>
      </c>
      <c r="T403">
        <v>17558</v>
      </c>
      <c r="U403">
        <v>20921</v>
      </c>
      <c r="V403" t="s">
        <v>77</v>
      </c>
    </row>
    <row r="404" spans="1:22">
      <c r="A404" t="str">
        <f t="shared" si="94"/>
        <v>04/09/2025</v>
      </c>
      <c r="B404" t="str">
        <f t="shared" si="93"/>
        <v>SAÍDA</v>
      </c>
      <c r="C404" t="str">
        <f t="shared" si="96"/>
        <v>PIX</v>
      </c>
      <c r="D404" t="str">
        <f>"20923"</f>
        <v>20923</v>
      </c>
      <c r="E404" t="str">
        <f t="shared" si="97"/>
        <v>1</v>
      </c>
      <c r="F404" t="str">
        <f t="shared" si="95"/>
        <v>COM</v>
      </c>
      <c r="G404" t="str">
        <f>"SANRIO OLIVEIRA DO CARMO (579)"</f>
        <v>SANRIO OLIVEIRA DO CARMO (579)</v>
      </c>
      <c r="H404" t="str">
        <f>"Serv.Prest. 18/08/2025 a 24/08/2025 - PIX: CPF - CHAVE: 118.731.976-75"</f>
        <v>Serv.Prest. 18/08/2025 a 24/08/2025 - PIX: CPF - CHAVE: 118.731.976-75</v>
      </c>
      <c r="I404" t="str">
        <f t="shared" si="91"/>
        <v>04/09/2025</v>
      </c>
      <c r="J404" t="str">
        <f t="shared" si="92"/>
        <v>25/08/2025</v>
      </c>
      <c r="K404" t="str">
        <f>("04/09/2025")</f>
        <v>04/09/2025</v>
      </c>
      <c r="L404">
        <v>906</v>
      </c>
      <c r="M404">
        <v>906</v>
      </c>
      <c r="N404">
        <v>109</v>
      </c>
      <c r="O404" t="str">
        <f>"PAGAMENTO DE ENTREGADORES"</f>
        <v>PAGAMENTO DE ENTREGADORES</v>
      </c>
      <c r="P404">
        <v>906</v>
      </c>
      <c r="S404" t="str">
        <f>"BANCO C6 (149)"</f>
        <v>BANCO C6 (149)</v>
      </c>
      <c r="T404">
        <v>17559</v>
      </c>
      <c r="U404">
        <v>20923</v>
      </c>
      <c r="V404" t="s">
        <v>77</v>
      </c>
    </row>
    <row r="405" spans="1:22">
      <c r="A405" t="str">
        <f t="shared" si="94"/>
        <v>04/09/2025</v>
      </c>
      <c r="B405" t="str">
        <f t="shared" si="93"/>
        <v>SAÍDA</v>
      </c>
      <c r="C405" t="str">
        <f t="shared" si="96"/>
        <v>PIX</v>
      </c>
      <c r="D405" t="str">
        <f>"20923"</f>
        <v>20923</v>
      </c>
      <c r="E405" t="str">
        <f t="shared" si="97"/>
        <v>1</v>
      </c>
      <c r="F405" t="str">
        <f t="shared" si="95"/>
        <v>COM</v>
      </c>
      <c r="G405" t="str">
        <f>"SANRIO OLIVEIRA DO CARMO (579)"</f>
        <v>SANRIO OLIVEIRA DO CARMO (579)</v>
      </c>
      <c r="H405" t="s">
        <v>171</v>
      </c>
      <c r="I405" t="str">
        <f t="shared" si="91"/>
        <v>04/09/2025</v>
      </c>
      <c r="J405" t="str">
        <f t="shared" si="92"/>
        <v>25/08/2025</v>
      </c>
      <c r="K405">
        <v>45904</v>
      </c>
      <c r="N405">
        <v>109</v>
      </c>
      <c r="O405" t="s">
        <v>24</v>
      </c>
      <c r="Q405">
        <v>906</v>
      </c>
      <c r="R405" t="str">
        <f>"FARMÁCIA INDIANA LJ 152 (10069)"</f>
        <v>FARMÁCIA INDIANA LJ 152 (10069)</v>
      </c>
      <c r="S405" t="s">
        <v>77</v>
      </c>
      <c r="T405">
        <v>17559</v>
      </c>
      <c r="U405">
        <v>20923</v>
      </c>
      <c r="V405" t="s">
        <v>77</v>
      </c>
    </row>
    <row r="406" spans="1:22">
      <c r="A406" t="str">
        <f t="shared" si="94"/>
        <v>04/09/2025</v>
      </c>
      <c r="B406" t="str">
        <f t="shared" si="93"/>
        <v>SAÍDA</v>
      </c>
      <c r="C406" t="str">
        <f t="shared" si="96"/>
        <v>PIX</v>
      </c>
      <c r="D406" t="str">
        <f>"20924"</f>
        <v>20924</v>
      </c>
      <c r="E406" t="str">
        <f t="shared" si="97"/>
        <v>1</v>
      </c>
      <c r="F406" t="str">
        <f t="shared" si="95"/>
        <v>COM</v>
      </c>
      <c r="G406" t="str">
        <f>"SEDNEY GOMES SOARES (87)"</f>
        <v>SEDNEY GOMES SOARES (87)</v>
      </c>
      <c r="H406" t="str">
        <f>"Serv.Prest. 18/08/2025 a 24/08/2025 - PIX: CPF - CHAVE: 048.151.276-46"</f>
        <v>Serv.Prest. 18/08/2025 a 24/08/2025 - PIX: CPF - CHAVE: 048.151.276-46</v>
      </c>
      <c r="I406" t="str">
        <f t="shared" ref="I406:I469" si="98">("04/09/2025")</f>
        <v>04/09/2025</v>
      </c>
      <c r="J406" t="str">
        <f t="shared" si="92"/>
        <v>25/08/2025</v>
      </c>
      <c r="K406" t="str">
        <f>("04/09/2025")</f>
        <v>04/09/2025</v>
      </c>
      <c r="L406">
        <v>750</v>
      </c>
      <c r="M406">
        <v>750</v>
      </c>
      <c r="N406">
        <v>109</v>
      </c>
      <c r="O406" t="str">
        <f>"PAGAMENTO DE ENTREGADORES"</f>
        <v>PAGAMENTO DE ENTREGADORES</v>
      </c>
      <c r="P406">
        <v>750</v>
      </c>
      <c r="S406" t="str">
        <f>"BANCO C6 (149)"</f>
        <v>BANCO C6 (149)</v>
      </c>
      <c r="T406">
        <v>17560</v>
      </c>
      <c r="U406">
        <v>20924</v>
      </c>
      <c r="V406" t="s">
        <v>77</v>
      </c>
    </row>
    <row r="407" spans="1:22">
      <c r="A407" t="str">
        <f t="shared" si="94"/>
        <v>04/09/2025</v>
      </c>
      <c r="B407" t="str">
        <f t="shared" si="93"/>
        <v>SAÍDA</v>
      </c>
      <c r="C407" t="str">
        <f t="shared" si="96"/>
        <v>PIX</v>
      </c>
      <c r="D407" t="str">
        <f>"20924"</f>
        <v>20924</v>
      </c>
      <c r="E407" t="str">
        <f t="shared" si="97"/>
        <v>1</v>
      </c>
      <c r="F407" t="str">
        <f t="shared" si="95"/>
        <v>COM</v>
      </c>
      <c r="G407" t="str">
        <f>"SEDNEY GOMES SOARES (87)"</f>
        <v>SEDNEY GOMES SOARES (87)</v>
      </c>
      <c r="H407" t="s">
        <v>172</v>
      </c>
      <c r="I407" t="str">
        <f t="shared" si="98"/>
        <v>04/09/2025</v>
      </c>
      <c r="J407" t="str">
        <f t="shared" si="92"/>
        <v>25/08/2025</v>
      </c>
      <c r="K407">
        <v>45904</v>
      </c>
      <c r="N407">
        <v>109</v>
      </c>
      <c r="O407" t="s">
        <v>24</v>
      </c>
      <c r="Q407">
        <v>310.95</v>
      </c>
      <c r="R407" t="str">
        <f>"FARMÁCIA INDIANA LJ 97 (10040)"</f>
        <v>FARMÁCIA INDIANA LJ 97 (10040)</v>
      </c>
      <c r="S407" t="s">
        <v>77</v>
      </c>
      <c r="T407">
        <v>17560</v>
      </c>
      <c r="U407">
        <v>20924</v>
      </c>
      <c r="V407" t="s">
        <v>77</v>
      </c>
    </row>
    <row r="408" spans="1:22">
      <c r="A408" t="str">
        <f t="shared" si="94"/>
        <v>04/09/2025</v>
      </c>
      <c r="B408" t="str">
        <f t="shared" ref="B408:B432" si="99">"SAÍDA"</f>
        <v>SAÍDA</v>
      </c>
      <c r="C408" t="str">
        <f t="shared" si="96"/>
        <v>PIX</v>
      </c>
      <c r="D408" t="str">
        <f>"20924"</f>
        <v>20924</v>
      </c>
      <c r="E408" t="str">
        <f t="shared" si="97"/>
        <v>1</v>
      </c>
      <c r="F408" t="str">
        <f t="shared" si="95"/>
        <v>COM</v>
      </c>
      <c r="G408" t="str">
        <f>"SEDNEY GOMES SOARES (87)"</f>
        <v>SEDNEY GOMES SOARES (87)</v>
      </c>
      <c r="H408" t="s">
        <v>172</v>
      </c>
      <c r="I408" t="str">
        <f t="shared" si="98"/>
        <v>04/09/2025</v>
      </c>
      <c r="J408" t="str">
        <f t="shared" si="92"/>
        <v>25/08/2025</v>
      </c>
      <c r="K408">
        <v>45904</v>
      </c>
      <c r="N408">
        <v>109</v>
      </c>
      <c r="O408" t="s">
        <v>24</v>
      </c>
      <c r="Q408">
        <v>402.45</v>
      </c>
      <c r="R408" t="str">
        <f>"FARMÁCIA INDIANA LJ 111 (10049)"</f>
        <v>FARMÁCIA INDIANA LJ 111 (10049)</v>
      </c>
      <c r="S408" t="s">
        <v>77</v>
      </c>
      <c r="T408">
        <v>17560</v>
      </c>
      <c r="U408">
        <v>20924</v>
      </c>
      <c r="V408" t="s">
        <v>77</v>
      </c>
    </row>
    <row r="409" spans="1:22">
      <c r="A409" t="str">
        <f t="shared" si="94"/>
        <v>04/09/2025</v>
      </c>
      <c r="B409" t="str">
        <f t="shared" si="99"/>
        <v>SAÍDA</v>
      </c>
      <c r="C409" t="str">
        <f t="shared" si="96"/>
        <v>PIX</v>
      </c>
      <c r="D409" t="str">
        <f>"20924"</f>
        <v>20924</v>
      </c>
      <c r="E409" t="str">
        <f t="shared" si="97"/>
        <v>1</v>
      </c>
      <c r="F409" t="str">
        <f t="shared" si="95"/>
        <v>COM</v>
      </c>
      <c r="G409" t="str">
        <f>"SEDNEY GOMES SOARES (87)"</f>
        <v>SEDNEY GOMES SOARES (87)</v>
      </c>
      <c r="H409" t="s">
        <v>172</v>
      </c>
      <c r="I409" t="str">
        <f t="shared" si="98"/>
        <v>04/09/2025</v>
      </c>
      <c r="J409" t="str">
        <f t="shared" si="92"/>
        <v>25/08/2025</v>
      </c>
      <c r="K409">
        <v>45904</v>
      </c>
      <c r="N409">
        <v>109</v>
      </c>
      <c r="O409" t="s">
        <v>24</v>
      </c>
      <c r="Q409">
        <v>36.6</v>
      </c>
      <c r="R409" t="str">
        <f>"FARMÁCIA INDIANA LJ 143 (10067)"</f>
        <v>FARMÁCIA INDIANA LJ 143 (10067)</v>
      </c>
      <c r="S409" t="s">
        <v>77</v>
      </c>
      <c r="T409">
        <v>17560</v>
      </c>
      <c r="U409">
        <v>20924</v>
      </c>
      <c r="V409" t="s">
        <v>77</v>
      </c>
    </row>
    <row r="410" spans="1:22">
      <c r="A410" t="str">
        <f t="shared" si="94"/>
        <v>04/09/2025</v>
      </c>
      <c r="B410" t="str">
        <f t="shared" si="99"/>
        <v>SAÍDA</v>
      </c>
      <c r="C410" t="str">
        <f t="shared" si="96"/>
        <v>PIX</v>
      </c>
      <c r="D410" t="str">
        <f>"20925"</f>
        <v>20925</v>
      </c>
      <c r="E410" t="str">
        <f t="shared" si="97"/>
        <v>1</v>
      </c>
      <c r="F410" t="str">
        <f t="shared" si="95"/>
        <v>COM</v>
      </c>
      <c r="G410" t="str">
        <f>"SILAS ALVES DE FREITAS (35)"</f>
        <v>SILAS ALVES DE FREITAS (35)</v>
      </c>
      <c r="H410" t="str">
        <f>"Serv.Prest. 18/08/2025 a 24/08/2025 - PIX: CPF - CHAVE: 097.855.786-74"</f>
        <v>Serv.Prest. 18/08/2025 a 24/08/2025 - PIX: CPF - CHAVE: 097.855.786-74</v>
      </c>
      <c r="I410" t="str">
        <f t="shared" si="98"/>
        <v>04/09/2025</v>
      </c>
      <c r="J410" t="str">
        <f t="shared" si="92"/>
        <v>25/08/2025</v>
      </c>
      <c r="K410" t="str">
        <f>("04/09/2025")</f>
        <v>04/09/2025</v>
      </c>
      <c r="L410">
        <v>1254</v>
      </c>
      <c r="M410">
        <v>1254</v>
      </c>
      <c r="N410">
        <v>109</v>
      </c>
      <c r="O410" t="str">
        <f>"PAGAMENTO DE ENTREGADORES"</f>
        <v>PAGAMENTO DE ENTREGADORES</v>
      </c>
      <c r="P410">
        <v>1254</v>
      </c>
      <c r="S410" t="str">
        <f>"BANCO C6 (149)"</f>
        <v>BANCO C6 (149)</v>
      </c>
      <c r="T410">
        <v>17561</v>
      </c>
      <c r="U410">
        <v>20925</v>
      </c>
      <c r="V410" t="s">
        <v>77</v>
      </c>
    </row>
    <row r="411" spans="1:22">
      <c r="A411" t="str">
        <f t="shared" si="94"/>
        <v>04/09/2025</v>
      </c>
      <c r="B411" t="str">
        <f t="shared" si="99"/>
        <v>SAÍDA</v>
      </c>
      <c r="C411" t="str">
        <f t="shared" si="96"/>
        <v>PIX</v>
      </c>
      <c r="D411" t="str">
        <f>"20925"</f>
        <v>20925</v>
      </c>
      <c r="E411" t="str">
        <f t="shared" si="97"/>
        <v>1</v>
      </c>
      <c r="F411" t="str">
        <f t="shared" si="95"/>
        <v>COM</v>
      </c>
      <c r="G411" t="str">
        <f>"SILAS ALVES DE FREITAS (35)"</f>
        <v>SILAS ALVES DE FREITAS (35)</v>
      </c>
      <c r="H411" t="s">
        <v>173</v>
      </c>
      <c r="I411" t="str">
        <f t="shared" si="98"/>
        <v>04/09/2025</v>
      </c>
      <c r="J411" t="str">
        <f t="shared" si="92"/>
        <v>25/08/2025</v>
      </c>
      <c r="K411">
        <v>45904</v>
      </c>
      <c r="N411">
        <v>109</v>
      </c>
      <c r="O411" t="s">
        <v>24</v>
      </c>
      <c r="Q411">
        <v>1254</v>
      </c>
      <c r="R411" t="str">
        <f>"FARMÁCIA INDIANA LJ 172 (10161)"</f>
        <v>FARMÁCIA INDIANA LJ 172 (10161)</v>
      </c>
      <c r="S411" t="s">
        <v>77</v>
      </c>
      <c r="T411">
        <v>17561</v>
      </c>
      <c r="U411">
        <v>20925</v>
      </c>
      <c r="V411" t="s">
        <v>77</v>
      </c>
    </row>
    <row r="412" spans="1:22">
      <c r="A412" t="str">
        <f t="shared" si="94"/>
        <v>04/09/2025</v>
      </c>
      <c r="B412" t="str">
        <f t="shared" si="99"/>
        <v>SAÍDA</v>
      </c>
      <c r="C412" t="str">
        <f t="shared" si="96"/>
        <v>PIX</v>
      </c>
      <c r="D412" t="str">
        <f>"20926"</f>
        <v>20926</v>
      </c>
      <c r="E412" t="str">
        <f t="shared" si="97"/>
        <v>1</v>
      </c>
      <c r="F412" t="str">
        <f t="shared" si="95"/>
        <v>COM</v>
      </c>
      <c r="G412" t="str">
        <f>"TAYSON BARBOSA SILVINO (613)"</f>
        <v>TAYSON BARBOSA SILVINO (613)</v>
      </c>
      <c r="H412" t="str">
        <f>"Serv.Prest. 18/08/2025 a 24/08/2025 - PIX: CHAVE ALEATÓRIA - CHAVE: 1550e869-c9d7-4436-be93-6858fd0cb900"</f>
        <v>Serv.Prest. 18/08/2025 a 24/08/2025 - PIX: CHAVE ALEATÓRIA - CHAVE: 1550e869-c9d7-4436-be93-6858fd0cb900</v>
      </c>
      <c r="I412" t="str">
        <f t="shared" si="98"/>
        <v>04/09/2025</v>
      </c>
      <c r="J412" t="str">
        <f t="shared" si="92"/>
        <v>25/08/2025</v>
      </c>
      <c r="K412" t="str">
        <f>("04/09/2025")</f>
        <v>04/09/2025</v>
      </c>
      <c r="L412">
        <v>1002</v>
      </c>
      <c r="M412">
        <v>1002</v>
      </c>
      <c r="N412">
        <v>109</v>
      </c>
      <c r="O412" t="str">
        <f>"PAGAMENTO DE ENTREGADORES"</f>
        <v>PAGAMENTO DE ENTREGADORES</v>
      </c>
      <c r="P412">
        <v>1002</v>
      </c>
      <c r="S412" t="str">
        <f>"BANCO C6 (149)"</f>
        <v>BANCO C6 (149)</v>
      </c>
      <c r="T412">
        <v>17562</v>
      </c>
      <c r="U412">
        <v>20926</v>
      </c>
      <c r="V412" t="s">
        <v>77</v>
      </c>
    </row>
    <row r="413" spans="1:22">
      <c r="A413" t="str">
        <f t="shared" si="94"/>
        <v>04/09/2025</v>
      </c>
      <c r="B413" t="str">
        <f t="shared" si="99"/>
        <v>SAÍDA</v>
      </c>
      <c r="C413" t="str">
        <f t="shared" si="96"/>
        <v>PIX</v>
      </c>
      <c r="D413" t="str">
        <f>"20926"</f>
        <v>20926</v>
      </c>
      <c r="E413" t="str">
        <f t="shared" si="97"/>
        <v>1</v>
      </c>
      <c r="F413" t="str">
        <f t="shared" si="95"/>
        <v>COM</v>
      </c>
      <c r="G413" t="str">
        <f>"TAYSON BARBOSA SILVINO (613)"</f>
        <v>TAYSON BARBOSA SILVINO (613)</v>
      </c>
      <c r="H413" t="s">
        <v>174</v>
      </c>
      <c r="I413" t="str">
        <f t="shared" si="98"/>
        <v>04/09/2025</v>
      </c>
      <c r="J413" t="str">
        <f t="shared" si="92"/>
        <v>25/08/2025</v>
      </c>
      <c r="K413">
        <v>45904</v>
      </c>
      <c r="N413">
        <v>109</v>
      </c>
      <c r="O413" t="s">
        <v>24</v>
      </c>
      <c r="Q413">
        <v>1002</v>
      </c>
      <c r="R413" t="str">
        <f>"FARMÁCIA INDIANA LJ 19 (10012)"</f>
        <v>FARMÁCIA INDIANA LJ 19 (10012)</v>
      </c>
      <c r="S413" t="s">
        <v>77</v>
      </c>
      <c r="T413">
        <v>17562</v>
      </c>
      <c r="U413">
        <v>20926</v>
      </c>
      <c r="V413" t="s">
        <v>77</v>
      </c>
    </row>
    <row r="414" spans="1:22">
      <c r="A414" t="str">
        <f t="shared" si="94"/>
        <v>04/09/2025</v>
      </c>
      <c r="B414" t="str">
        <f t="shared" si="99"/>
        <v>SAÍDA</v>
      </c>
      <c r="C414" t="str">
        <f t="shared" si="96"/>
        <v>PIX</v>
      </c>
      <c r="D414" t="str">
        <f>"20929"</f>
        <v>20929</v>
      </c>
      <c r="E414" t="str">
        <f t="shared" si="97"/>
        <v>1</v>
      </c>
      <c r="F414" t="str">
        <f t="shared" si="95"/>
        <v>COM</v>
      </c>
      <c r="G414" t="str">
        <f>"VINICIUS DE SOUZA ISABEL (658)"</f>
        <v>VINICIUS DE SOUZA ISABEL (658)</v>
      </c>
      <c r="H414" t="str">
        <f>"Serv.Prest. 18/08/2025 a 24/08/2025 - PIX: CPF - CHAVE: 092.566.416-23"</f>
        <v>Serv.Prest. 18/08/2025 a 24/08/2025 - PIX: CPF - CHAVE: 092.566.416-23</v>
      </c>
      <c r="I414" t="str">
        <f t="shared" si="98"/>
        <v>04/09/2025</v>
      </c>
      <c r="J414" t="str">
        <f t="shared" si="92"/>
        <v>25/08/2025</v>
      </c>
      <c r="K414" t="str">
        <f>("04/09/2025")</f>
        <v>04/09/2025</v>
      </c>
      <c r="L414">
        <v>735</v>
      </c>
      <c r="M414">
        <v>735</v>
      </c>
      <c r="N414">
        <v>109</v>
      </c>
      <c r="O414" t="str">
        <f>"PAGAMENTO DE ENTREGADORES"</f>
        <v>PAGAMENTO DE ENTREGADORES</v>
      </c>
      <c r="P414">
        <v>735</v>
      </c>
      <c r="S414" t="str">
        <f>"BANCO C6 (149)"</f>
        <v>BANCO C6 (149)</v>
      </c>
      <c r="T414">
        <v>17563</v>
      </c>
      <c r="U414">
        <v>20929</v>
      </c>
      <c r="V414" t="s">
        <v>77</v>
      </c>
    </row>
    <row r="415" spans="1:22">
      <c r="A415" t="str">
        <f t="shared" si="94"/>
        <v>04/09/2025</v>
      </c>
      <c r="B415" t="str">
        <f t="shared" si="99"/>
        <v>SAÍDA</v>
      </c>
      <c r="C415" t="str">
        <f t="shared" si="96"/>
        <v>PIX</v>
      </c>
      <c r="D415" t="str">
        <f>"20929"</f>
        <v>20929</v>
      </c>
      <c r="E415" t="str">
        <f t="shared" si="97"/>
        <v>1</v>
      </c>
      <c r="F415" t="str">
        <f t="shared" si="95"/>
        <v>COM</v>
      </c>
      <c r="G415" t="str">
        <f>"VINICIUS DE SOUZA ISABEL (658)"</f>
        <v>VINICIUS DE SOUZA ISABEL (658)</v>
      </c>
      <c r="H415" t="s">
        <v>175</v>
      </c>
      <c r="I415" t="str">
        <f t="shared" si="98"/>
        <v>04/09/2025</v>
      </c>
      <c r="J415" t="str">
        <f t="shared" si="92"/>
        <v>25/08/2025</v>
      </c>
      <c r="K415">
        <v>45904</v>
      </c>
      <c r="N415">
        <v>109</v>
      </c>
      <c r="O415" t="s">
        <v>24</v>
      </c>
      <c r="Q415">
        <v>735</v>
      </c>
      <c r="R415" t="str">
        <f>"FARMÁCIA INDIANA LJ 219 (10091)"</f>
        <v>FARMÁCIA INDIANA LJ 219 (10091)</v>
      </c>
      <c r="S415" t="s">
        <v>77</v>
      </c>
      <c r="T415">
        <v>17563</v>
      </c>
      <c r="U415">
        <v>20929</v>
      </c>
      <c r="V415" t="s">
        <v>77</v>
      </c>
    </row>
    <row r="416" spans="1:22">
      <c r="A416" t="str">
        <f t="shared" si="94"/>
        <v>04/09/2025</v>
      </c>
      <c r="B416" t="str">
        <f t="shared" si="99"/>
        <v>SAÍDA</v>
      </c>
      <c r="C416" t="str">
        <f t="shared" si="96"/>
        <v>PIX</v>
      </c>
      <c r="D416" t="str">
        <f>"20930"</f>
        <v>20930</v>
      </c>
      <c r="E416" t="str">
        <f t="shared" si="97"/>
        <v>1</v>
      </c>
      <c r="F416" t="str">
        <f t="shared" si="95"/>
        <v>COM</v>
      </c>
      <c r="G416" t="str">
        <f>"VITOR CARDOSO FAUSTINO (257)"</f>
        <v>VITOR CARDOSO FAUSTINO (257)</v>
      </c>
      <c r="H416" t="str">
        <f>"Serv.Prest. 18/08/2025 a 24/08/2025 - PIX: CPF - CHAVE: 157.874.046-02"</f>
        <v>Serv.Prest. 18/08/2025 a 24/08/2025 - PIX: CPF - CHAVE: 157.874.046-02</v>
      </c>
      <c r="I416" t="str">
        <f t="shared" si="98"/>
        <v>04/09/2025</v>
      </c>
      <c r="J416" t="str">
        <f t="shared" si="92"/>
        <v>25/08/2025</v>
      </c>
      <c r="K416" t="str">
        <f>("04/09/2025")</f>
        <v>04/09/2025</v>
      </c>
      <c r="L416">
        <v>82</v>
      </c>
      <c r="M416">
        <v>82</v>
      </c>
      <c r="N416">
        <v>109</v>
      </c>
      <c r="O416" t="str">
        <f>"PAGAMENTO DE ENTREGADORES"</f>
        <v>PAGAMENTO DE ENTREGADORES</v>
      </c>
      <c r="P416">
        <v>82</v>
      </c>
      <c r="S416" t="str">
        <f>"BANCO C6 (149)"</f>
        <v>BANCO C6 (149)</v>
      </c>
      <c r="T416">
        <v>17564</v>
      </c>
      <c r="U416">
        <v>20930</v>
      </c>
      <c r="V416" t="s">
        <v>77</v>
      </c>
    </row>
    <row r="417" spans="1:22">
      <c r="A417" t="str">
        <f t="shared" si="94"/>
        <v>04/09/2025</v>
      </c>
      <c r="B417" t="str">
        <f t="shared" si="99"/>
        <v>SAÍDA</v>
      </c>
      <c r="C417" t="str">
        <f t="shared" si="96"/>
        <v>PIX</v>
      </c>
      <c r="D417" t="str">
        <f>"20930"</f>
        <v>20930</v>
      </c>
      <c r="E417" t="str">
        <f t="shared" si="97"/>
        <v>1</v>
      </c>
      <c r="F417" t="str">
        <f t="shared" si="95"/>
        <v>COM</v>
      </c>
      <c r="G417" t="str">
        <f>"VITOR CARDOSO FAUSTINO (257)"</f>
        <v>VITOR CARDOSO FAUSTINO (257)</v>
      </c>
      <c r="H417" t="s">
        <v>62</v>
      </c>
      <c r="I417" t="str">
        <f t="shared" si="98"/>
        <v>04/09/2025</v>
      </c>
      <c r="J417" t="str">
        <f t="shared" si="92"/>
        <v>25/08/2025</v>
      </c>
      <c r="K417">
        <v>45904</v>
      </c>
      <c r="N417">
        <v>109</v>
      </c>
      <c r="O417" t="s">
        <v>24</v>
      </c>
      <c r="Q417">
        <v>82</v>
      </c>
      <c r="R417" t="str">
        <f>"FARMÁCIA INDIANA LJ 07 (10007)"</f>
        <v>FARMÁCIA INDIANA LJ 07 (10007)</v>
      </c>
      <c r="S417" t="s">
        <v>77</v>
      </c>
      <c r="T417">
        <v>17564</v>
      </c>
      <c r="U417">
        <v>20930</v>
      </c>
      <c r="V417" t="s">
        <v>77</v>
      </c>
    </row>
    <row r="418" spans="1:22">
      <c r="A418" t="str">
        <f t="shared" si="94"/>
        <v>04/09/2025</v>
      </c>
      <c r="B418" t="str">
        <f t="shared" si="99"/>
        <v>SAÍDA</v>
      </c>
      <c r="C418" t="str">
        <f t="shared" si="96"/>
        <v>PIX</v>
      </c>
      <c r="D418" t="str">
        <f>"20931"</f>
        <v>20931</v>
      </c>
      <c r="E418" t="str">
        <f t="shared" si="97"/>
        <v>1</v>
      </c>
      <c r="F418" t="str">
        <f t="shared" si="95"/>
        <v>COM</v>
      </c>
      <c r="G418" t="str">
        <f>"VITOR DE SOUZA SILVA (360)"</f>
        <v>VITOR DE SOUZA SILVA (360)</v>
      </c>
      <c r="H418" t="str">
        <f>"Serv.Prest. 18/08/2025 a 24/08/2025 - PIX: CPF - CHAVE: 130.194.566-81"</f>
        <v>Serv.Prest. 18/08/2025 a 24/08/2025 - PIX: CPF - CHAVE: 130.194.566-81</v>
      </c>
      <c r="I418" t="str">
        <f t="shared" si="98"/>
        <v>04/09/2025</v>
      </c>
      <c r="J418" t="str">
        <f t="shared" si="92"/>
        <v>25/08/2025</v>
      </c>
      <c r="K418" t="str">
        <f>("04/09/2025")</f>
        <v>04/09/2025</v>
      </c>
      <c r="L418">
        <v>700.8</v>
      </c>
      <c r="M418">
        <v>700.8</v>
      </c>
      <c r="N418">
        <v>109</v>
      </c>
      <c r="O418" t="str">
        <f>"PAGAMENTO DE ENTREGADORES"</f>
        <v>PAGAMENTO DE ENTREGADORES</v>
      </c>
      <c r="P418">
        <v>700.8</v>
      </c>
      <c r="S418" t="str">
        <f>"BANCO C6 (149)"</f>
        <v>BANCO C6 (149)</v>
      </c>
      <c r="T418">
        <v>17565</v>
      </c>
      <c r="U418">
        <v>20931</v>
      </c>
      <c r="V418" t="s">
        <v>77</v>
      </c>
    </row>
    <row r="419" spans="1:22">
      <c r="A419" t="str">
        <f t="shared" si="94"/>
        <v>04/09/2025</v>
      </c>
      <c r="B419" t="str">
        <f t="shared" si="99"/>
        <v>SAÍDA</v>
      </c>
      <c r="C419" t="str">
        <f t="shared" si="96"/>
        <v>PIX</v>
      </c>
      <c r="D419" t="str">
        <f>"20931"</f>
        <v>20931</v>
      </c>
      <c r="E419" t="str">
        <f t="shared" si="97"/>
        <v>1</v>
      </c>
      <c r="F419" t="str">
        <f t="shared" si="95"/>
        <v>COM</v>
      </c>
      <c r="G419" t="str">
        <f>"VITOR DE SOUZA SILVA (360)"</f>
        <v>VITOR DE SOUZA SILVA (360)</v>
      </c>
      <c r="H419" t="s">
        <v>176</v>
      </c>
      <c r="I419" t="str">
        <f t="shared" si="98"/>
        <v>04/09/2025</v>
      </c>
      <c r="J419" t="str">
        <f t="shared" si="92"/>
        <v>25/08/2025</v>
      </c>
      <c r="K419">
        <v>45904</v>
      </c>
      <c r="N419">
        <v>109</v>
      </c>
      <c r="O419" t="s">
        <v>24</v>
      </c>
      <c r="Q419">
        <v>700.8</v>
      </c>
      <c r="R419" t="str">
        <f>"FARMÁCIA INDIANA LJ 116 (10051)"</f>
        <v>FARMÁCIA INDIANA LJ 116 (10051)</v>
      </c>
      <c r="S419" t="s">
        <v>77</v>
      </c>
      <c r="T419">
        <v>17565</v>
      </c>
      <c r="U419">
        <v>20931</v>
      </c>
      <c r="V419" t="s">
        <v>77</v>
      </c>
    </row>
    <row r="420" spans="1:22">
      <c r="A420" t="str">
        <f t="shared" si="94"/>
        <v>04/09/2025</v>
      </c>
      <c r="B420" t="str">
        <f t="shared" si="99"/>
        <v>SAÍDA</v>
      </c>
      <c r="C420" t="str">
        <f t="shared" si="96"/>
        <v>PIX</v>
      </c>
      <c r="D420" t="str">
        <f>"20932"</f>
        <v>20932</v>
      </c>
      <c r="E420" t="str">
        <f t="shared" si="97"/>
        <v>1</v>
      </c>
      <c r="F420" t="str">
        <f t="shared" si="95"/>
        <v>COM</v>
      </c>
      <c r="G420" t="str">
        <f>"WAGNER DOS SANTOS LIMA (31)"</f>
        <v>WAGNER DOS SANTOS LIMA (31)</v>
      </c>
      <c r="H420" t="str">
        <f>"Serv.Prest. 18/08/2025 a 24/08/2025 - PIX: CELULAR - CHAVE: (33) 99118-9032"</f>
        <v>Serv.Prest. 18/08/2025 a 24/08/2025 - PIX: CELULAR - CHAVE: (33) 99118-9032</v>
      </c>
      <c r="I420" t="str">
        <f t="shared" si="98"/>
        <v>04/09/2025</v>
      </c>
      <c r="J420" t="str">
        <f t="shared" si="92"/>
        <v>25/08/2025</v>
      </c>
      <c r="K420" t="str">
        <f>("04/09/2025")</f>
        <v>04/09/2025</v>
      </c>
      <c r="L420">
        <v>1204.5</v>
      </c>
      <c r="M420">
        <v>1204.5</v>
      </c>
      <c r="N420">
        <v>109</v>
      </c>
      <c r="O420" t="str">
        <f>"PAGAMENTO DE ENTREGADORES"</f>
        <v>PAGAMENTO DE ENTREGADORES</v>
      </c>
      <c r="P420">
        <v>1204.5</v>
      </c>
      <c r="S420" t="str">
        <f>"BANCO C6 (149)"</f>
        <v>BANCO C6 (149)</v>
      </c>
      <c r="T420">
        <v>17566</v>
      </c>
      <c r="U420">
        <v>20932</v>
      </c>
      <c r="V420" t="s">
        <v>77</v>
      </c>
    </row>
    <row r="421" spans="1:22">
      <c r="A421" t="str">
        <f t="shared" si="94"/>
        <v>04/09/2025</v>
      </c>
      <c r="B421" t="str">
        <f t="shared" si="99"/>
        <v>SAÍDA</v>
      </c>
      <c r="C421" t="str">
        <f t="shared" si="96"/>
        <v>PIX</v>
      </c>
      <c r="D421" t="str">
        <f>"20932"</f>
        <v>20932</v>
      </c>
      <c r="E421" t="str">
        <f t="shared" si="97"/>
        <v>1</v>
      </c>
      <c r="F421" t="str">
        <f t="shared" si="95"/>
        <v>COM</v>
      </c>
      <c r="G421" t="str">
        <f>"WAGNER DOS SANTOS LIMA (31)"</f>
        <v>WAGNER DOS SANTOS LIMA (31)</v>
      </c>
      <c r="H421" t="s">
        <v>177</v>
      </c>
      <c r="I421" t="str">
        <f t="shared" si="98"/>
        <v>04/09/2025</v>
      </c>
      <c r="J421" t="str">
        <f t="shared" si="92"/>
        <v>25/08/2025</v>
      </c>
      <c r="K421">
        <v>45904</v>
      </c>
      <c r="N421">
        <v>109</v>
      </c>
      <c r="O421" t="s">
        <v>24</v>
      </c>
      <c r="Q421">
        <v>33</v>
      </c>
      <c r="R421" t="str">
        <f>"FARMÁCIA INDIANA LJ 40 (10016)"</f>
        <v>FARMÁCIA INDIANA LJ 40 (10016)</v>
      </c>
      <c r="S421" t="s">
        <v>77</v>
      </c>
      <c r="T421">
        <v>17566</v>
      </c>
      <c r="U421">
        <v>20932</v>
      </c>
      <c r="V421" t="s">
        <v>77</v>
      </c>
    </row>
    <row r="422" spans="1:22">
      <c r="A422" t="str">
        <f t="shared" si="94"/>
        <v>04/09/2025</v>
      </c>
      <c r="B422" t="str">
        <f t="shared" si="99"/>
        <v>SAÍDA</v>
      </c>
      <c r="C422" t="str">
        <f t="shared" si="96"/>
        <v>PIX</v>
      </c>
      <c r="D422" t="str">
        <f>"20932"</f>
        <v>20932</v>
      </c>
      <c r="E422" t="str">
        <f t="shared" si="97"/>
        <v>1</v>
      </c>
      <c r="F422" t="str">
        <f t="shared" si="95"/>
        <v>COM</v>
      </c>
      <c r="G422" t="str">
        <f>"WAGNER DOS SANTOS LIMA (31)"</f>
        <v>WAGNER DOS SANTOS LIMA (31)</v>
      </c>
      <c r="H422" t="s">
        <v>177</v>
      </c>
      <c r="I422" t="str">
        <f t="shared" si="98"/>
        <v>04/09/2025</v>
      </c>
      <c r="J422" t="str">
        <f t="shared" si="92"/>
        <v>25/08/2025</v>
      </c>
      <c r="K422">
        <v>45904</v>
      </c>
      <c r="N422">
        <v>109</v>
      </c>
      <c r="O422" t="s">
        <v>24</v>
      </c>
      <c r="Q422">
        <v>1171.5</v>
      </c>
      <c r="R422" t="str">
        <f>"FARMÁCIA INDIANA LJ 61 (10027)"</f>
        <v>FARMÁCIA INDIANA LJ 61 (10027)</v>
      </c>
      <c r="S422" t="s">
        <v>77</v>
      </c>
      <c r="T422">
        <v>17566</v>
      </c>
      <c r="U422">
        <v>20932</v>
      </c>
      <c r="V422" t="s">
        <v>77</v>
      </c>
    </row>
    <row r="423" spans="1:22">
      <c r="A423" t="str">
        <f t="shared" si="94"/>
        <v>04/09/2025</v>
      </c>
      <c r="B423" t="str">
        <f t="shared" si="99"/>
        <v>SAÍDA</v>
      </c>
      <c r="C423" t="str">
        <f t="shared" si="96"/>
        <v>PIX</v>
      </c>
      <c r="D423" t="str">
        <f>"20934"</f>
        <v>20934</v>
      </c>
      <c r="E423" t="str">
        <f t="shared" si="97"/>
        <v>1</v>
      </c>
      <c r="F423" t="str">
        <f t="shared" si="95"/>
        <v>COM</v>
      </c>
      <c r="G423" t="str">
        <f>"WARLEN JUNIO ELIAS DE OLIVEIRA (171)"</f>
        <v>WARLEN JUNIO ELIAS DE OLIVEIRA (171)</v>
      </c>
      <c r="H423" t="str">
        <f>"Serv.Prest. 18/08/2025 a 24/08/2025 - PIX: CELULAR - CHAVE: (31) 97251-6838"</f>
        <v>Serv.Prest. 18/08/2025 a 24/08/2025 - PIX: CELULAR - CHAVE: (31) 97251-6838</v>
      </c>
      <c r="I423" t="str">
        <f t="shared" si="98"/>
        <v>04/09/2025</v>
      </c>
      <c r="J423" t="str">
        <f t="shared" si="92"/>
        <v>25/08/2025</v>
      </c>
      <c r="K423" t="str">
        <f>("04/09/2025")</f>
        <v>04/09/2025</v>
      </c>
      <c r="L423">
        <v>575</v>
      </c>
      <c r="M423">
        <v>575</v>
      </c>
      <c r="N423">
        <v>109</v>
      </c>
      <c r="O423" t="str">
        <f>"PAGAMENTO DE ENTREGADORES"</f>
        <v>PAGAMENTO DE ENTREGADORES</v>
      </c>
      <c r="P423">
        <v>575</v>
      </c>
      <c r="S423" t="str">
        <f>"BANCO C6 (149)"</f>
        <v>BANCO C6 (149)</v>
      </c>
      <c r="T423">
        <v>17567</v>
      </c>
      <c r="U423">
        <v>20934</v>
      </c>
      <c r="V423" t="s">
        <v>77</v>
      </c>
    </row>
    <row r="424" spans="1:22">
      <c r="A424" t="str">
        <f t="shared" si="94"/>
        <v>04/09/2025</v>
      </c>
      <c r="B424" t="str">
        <f t="shared" si="99"/>
        <v>SAÍDA</v>
      </c>
      <c r="C424" t="str">
        <f t="shared" si="96"/>
        <v>PIX</v>
      </c>
      <c r="D424" t="str">
        <f>"20934"</f>
        <v>20934</v>
      </c>
      <c r="E424" t="str">
        <f t="shared" si="97"/>
        <v>1</v>
      </c>
      <c r="F424" t="str">
        <f t="shared" si="95"/>
        <v>COM</v>
      </c>
      <c r="G424" t="str">
        <f>"WARLEN JUNIO ELIAS DE OLIVEIRA (171)"</f>
        <v>WARLEN JUNIO ELIAS DE OLIVEIRA (171)</v>
      </c>
      <c r="H424" t="s">
        <v>178</v>
      </c>
      <c r="I424" t="str">
        <f t="shared" si="98"/>
        <v>04/09/2025</v>
      </c>
      <c r="J424" t="str">
        <f t="shared" si="92"/>
        <v>25/08/2025</v>
      </c>
      <c r="K424">
        <v>45904</v>
      </c>
      <c r="N424">
        <v>109</v>
      </c>
      <c r="O424" t="s">
        <v>24</v>
      </c>
      <c r="Q424">
        <v>575</v>
      </c>
      <c r="R424" t="str">
        <f>"FARMÁCIA INDIANA LJ 175 (10076)"</f>
        <v>FARMÁCIA INDIANA LJ 175 (10076)</v>
      </c>
      <c r="S424" t="s">
        <v>77</v>
      </c>
      <c r="T424">
        <v>17567</v>
      </c>
      <c r="U424">
        <v>20934</v>
      </c>
      <c r="V424" t="s">
        <v>77</v>
      </c>
    </row>
    <row r="425" spans="1:22">
      <c r="A425" t="str">
        <f t="shared" si="94"/>
        <v>04/09/2025</v>
      </c>
      <c r="B425" t="str">
        <f t="shared" si="99"/>
        <v>SAÍDA</v>
      </c>
      <c r="C425" t="str">
        <f t="shared" si="96"/>
        <v>PIX</v>
      </c>
      <c r="D425" t="str">
        <f>"20936"</f>
        <v>20936</v>
      </c>
      <c r="E425" t="str">
        <f t="shared" si="97"/>
        <v>1</v>
      </c>
      <c r="F425" t="str">
        <f t="shared" si="95"/>
        <v>COM</v>
      </c>
      <c r="G425" t="str">
        <f>"WELLINGTON DOS SANTOS ALVES (438)"</f>
        <v>WELLINGTON DOS SANTOS ALVES (438)</v>
      </c>
      <c r="H425" t="str">
        <f>"Serv.Prest. 18/08/2025 a 24/08/2025 - PIX: CELULAR - CHAVE: (32) 99800-1691"</f>
        <v>Serv.Prest. 18/08/2025 a 24/08/2025 - PIX: CELULAR - CHAVE: (32) 99800-1691</v>
      </c>
      <c r="I425" t="str">
        <f t="shared" si="98"/>
        <v>04/09/2025</v>
      </c>
      <c r="J425" t="str">
        <f t="shared" ref="J425:J488" si="100">("25/08/2025")</f>
        <v>25/08/2025</v>
      </c>
      <c r="K425" t="str">
        <f>("04/09/2025")</f>
        <v>04/09/2025</v>
      </c>
      <c r="L425">
        <v>700.8</v>
      </c>
      <c r="M425">
        <v>700.8</v>
      </c>
      <c r="N425">
        <v>109</v>
      </c>
      <c r="O425" t="str">
        <f>"PAGAMENTO DE ENTREGADORES"</f>
        <v>PAGAMENTO DE ENTREGADORES</v>
      </c>
      <c r="P425">
        <v>700.8</v>
      </c>
      <c r="S425" t="str">
        <f>"BANCO C6 (149)"</f>
        <v>BANCO C6 (149)</v>
      </c>
      <c r="T425">
        <v>17568</v>
      </c>
      <c r="U425">
        <v>20936</v>
      </c>
      <c r="V425" t="s">
        <v>77</v>
      </c>
    </row>
    <row r="426" spans="1:22">
      <c r="A426" t="str">
        <f t="shared" si="94"/>
        <v>04/09/2025</v>
      </c>
      <c r="B426" t="str">
        <f t="shared" si="99"/>
        <v>SAÍDA</v>
      </c>
      <c r="C426" t="str">
        <f t="shared" si="96"/>
        <v>PIX</v>
      </c>
      <c r="D426" t="str">
        <f>"20936"</f>
        <v>20936</v>
      </c>
      <c r="E426" t="str">
        <f t="shared" si="97"/>
        <v>1</v>
      </c>
      <c r="F426" t="str">
        <f t="shared" si="95"/>
        <v>COM</v>
      </c>
      <c r="G426" t="str">
        <f>"WELLINGTON DOS SANTOS ALVES (438)"</f>
        <v>WELLINGTON DOS SANTOS ALVES (438)</v>
      </c>
      <c r="H426" t="s">
        <v>179</v>
      </c>
      <c r="I426" t="str">
        <f t="shared" si="98"/>
        <v>04/09/2025</v>
      </c>
      <c r="J426" t="str">
        <f t="shared" si="100"/>
        <v>25/08/2025</v>
      </c>
      <c r="K426">
        <v>45904</v>
      </c>
      <c r="N426">
        <v>109</v>
      </c>
      <c r="O426" t="s">
        <v>24</v>
      </c>
      <c r="Q426">
        <v>156.9</v>
      </c>
      <c r="R426" t="str">
        <f>"FARMÁCIA INDIANA LJ 112 (10050)"</f>
        <v>FARMÁCIA INDIANA LJ 112 (10050)</v>
      </c>
      <c r="S426" t="s">
        <v>77</v>
      </c>
      <c r="T426">
        <v>17568</v>
      </c>
      <c r="U426">
        <v>20936</v>
      </c>
      <c r="V426" t="s">
        <v>77</v>
      </c>
    </row>
    <row r="427" spans="1:22">
      <c r="A427" t="str">
        <f t="shared" si="94"/>
        <v>04/09/2025</v>
      </c>
      <c r="B427" t="str">
        <f t="shared" si="99"/>
        <v>SAÍDA</v>
      </c>
      <c r="C427" t="str">
        <f t="shared" si="96"/>
        <v>PIX</v>
      </c>
      <c r="D427" t="str">
        <f>"20936"</f>
        <v>20936</v>
      </c>
      <c r="E427" t="str">
        <f t="shared" si="97"/>
        <v>1</v>
      </c>
      <c r="F427" t="str">
        <f t="shared" si="95"/>
        <v>COM</v>
      </c>
      <c r="G427" t="str">
        <f>"WELLINGTON DOS SANTOS ALVES (438)"</f>
        <v>WELLINGTON DOS SANTOS ALVES (438)</v>
      </c>
      <c r="H427" t="s">
        <v>179</v>
      </c>
      <c r="I427" t="str">
        <f t="shared" si="98"/>
        <v>04/09/2025</v>
      </c>
      <c r="J427" t="str">
        <f t="shared" si="100"/>
        <v>25/08/2025</v>
      </c>
      <c r="K427">
        <v>45904</v>
      </c>
      <c r="N427">
        <v>109</v>
      </c>
      <c r="O427" t="s">
        <v>24</v>
      </c>
      <c r="Q427">
        <v>31.4</v>
      </c>
      <c r="R427" t="str">
        <f>"FARMÁCIA INDIANA LJ 121 (10054)"</f>
        <v>FARMÁCIA INDIANA LJ 121 (10054)</v>
      </c>
      <c r="S427" t="s">
        <v>77</v>
      </c>
      <c r="T427">
        <v>17568</v>
      </c>
      <c r="U427">
        <v>20936</v>
      </c>
      <c r="V427" t="s">
        <v>77</v>
      </c>
    </row>
    <row r="428" spans="1:22">
      <c r="A428" t="str">
        <f t="shared" si="94"/>
        <v>04/09/2025</v>
      </c>
      <c r="B428" t="str">
        <f t="shared" si="99"/>
        <v>SAÍDA</v>
      </c>
      <c r="C428" t="str">
        <f t="shared" si="96"/>
        <v>PIX</v>
      </c>
      <c r="D428" t="str">
        <f>"20936"</f>
        <v>20936</v>
      </c>
      <c r="E428" t="str">
        <f t="shared" si="97"/>
        <v>1</v>
      </c>
      <c r="F428" t="str">
        <f t="shared" si="95"/>
        <v>COM</v>
      </c>
      <c r="G428" t="str">
        <f>"WELLINGTON DOS SANTOS ALVES (438)"</f>
        <v>WELLINGTON DOS SANTOS ALVES (438)</v>
      </c>
      <c r="H428" t="s">
        <v>179</v>
      </c>
      <c r="I428" t="str">
        <f t="shared" si="98"/>
        <v>04/09/2025</v>
      </c>
      <c r="J428" t="str">
        <f t="shared" si="100"/>
        <v>25/08/2025</v>
      </c>
      <c r="K428">
        <v>45904</v>
      </c>
      <c r="N428">
        <v>109</v>
      </c>
      <c r="O428" t="s">
        <v>24</v>
      </c>
      <c r="Q428">
        <v>512.5</v>
      </c>
      <c r="R428" t="str">
        <f>"FARMÁCIA INDIANA LJ 128 (10057)"</f>
        <v>FARMÁCIA INDIANA LJ 128 (10057)</v>
      </c>
      <c r="S428" t="s">
        <v>77</v>
      </c>
      <c r="T428">
        <v>17568</v>
      </c>
      <c r="U428">
        <v>20936</v>
      </c>
      <c r="V428" t="s">
        <v>77</v>
      </c>
    </row>
    <row r="429" spans="1:22">
      <c r="A429" t="str">
        <f t="shared" si="94"/>
        <v>04/09/2025</v>
      </c>
      <c r="B429" t="str">
        <f t="shared" si="99"/>
        <v>SAÍDA</v>
      </c>
      <c r="C429" t="str">
        <f t="shared" si="96"/>
        <v>PIX</v>
      </c>
      <c r="D429" t="str">
        <f>"20937"</f>
        <v>20937</v>
      </c>
      <c r="E429" t="str">
        <f t="shared" si="97"/>
        <v>1</v>
      </c>
      <c r="F429" t="str">
        <f t="shared" si="95"/>
        <v>COM</v>
      </c>
      <c r="G429" t="str">
        <f>"WELVES DA SILVA RAMOS (194)"</f>
        <v>WELVES DA SILVA RAMOS (194)</v>
      </c>
      <c r="H429" t="str">
        <f>"Serv.Prest. 18/08/2025 a 24/08/2025 - PIX: CPF - CHAVE: 700.454.836-80"</f>
        <v>Serv.Prest. 18/08/2025 a 24/08/2025 - PIX: CPF - CHAVE: 700.454.836-80</v>
      </c>
      <c r="I429" t="str">
        <f t="shared" si="98"/>
        <v>04/09/2025</v>
      </c>
      <c r="J429" t="str">
        <f t="shared" si="100"/>
        <v>25/08/2025</v>
      </c>
      <c r="K429" t="str">
        <f>("04/09/2025")</f>
        <v>04/09/2025</v>
      </c>
      <c r="L429">
        <v>27.5</v>
      </c>
      <c r="M429">
        <v>27.5</v>
      </c>
      <c r="N429">
        <v>109</v>
      </c>
      <c r="O429" t="str">
        <f>"PAGAMENTO DE ENTREGADORES"</f>
        <v>PAGAMENTO DE ENTREGADORES</v>
      </c>
      <c r="P429">
        <v>27.5</v>
      </c>
      <c r="S429" t="str">
        <f>"BANCO C6 (149)"</f>
        <v>BANCO C6 (149)</v>
      </c>
      <c r="T429">
        <v>17569</v>
      </c>
      <c r="U429">
        <v>20937</v>
      </c>
      <c r="V429" t="s">
        <v>77</v>
      </c>
    </row>
    <row r="430" spans="1:22">
      <c r="A430" t="str">
        <f t="shared" si="94"/>
        <v>04/09/2025</v>
      </c>
      <c r="B430" t="str">
        <f t="shared" si="99"/>
        <v>SAÍDA</v>
      </c>
      <c r="C430" t="str">
        <f t="shared" si="96"/>
        <v>PIX</v>
      </c>
      <c r="D430" t="str">
        <f>"20937"</f>
        <v>20937</v>
      </c>
      <c r="E430" t="str">
        <f t="shared" si="97"/>
        <v>1</v>
      </c>
      <c r="F430" t="str">
        <f t="shared" si="95"/>
        <v>COM</v>
      </c>
      <c r="G430" t="str">
        <f>"WELVES DA SILVA RAMOS (194)"</f>
        <v>WELVES DA SILVA RAMOS (194)</v>
      </c>
      <c r="H430" t="s">
        <v>180</v>
      </c>
      <c r="I430" t="str">
        <f t="shared" si="98"/>
        <v>04/09/2025</v>
      </c>
      <c r="J430" t="str">
        <f t="shared" si="100"/>
        <v>25/08/2025</v>
      </c>
      <c r="K430">
        <v>45904</v>
      </c>
      <c r="N430">
        <v>109</v>
      </c>
      <c r="O430" t="s">
        <v>24</v>
      </c>
      <c r="Q430">
        <v>27.5</v>
      </c>
      <c r="R430" t="str">
        <f>"FARMÁCIA INDIANA LJ 06 (10006)"</f>
        <v>FARMÁCIA INDIANA LJ 06 (10006)</v>
      </c>
      <c r="S430" t="s">
        <v>77</v>
      </c>
      <c r="T430">
        <v>17569</v>
      </c>
      <c r="U430">
        <v>20937</v>
      </c>
      <c r="V430" t="s">
        <v>77</v>
      </c>
    </row>
    <row r="431" spans="1:22">
      <c r="A431" t="str">
        <f t="shared" si="94"/>
        <v>04/09/2025</v>
      </c>
      <c r="B431" t="str">
        <f t="shared" si="99"/>
        <v>SAÍDA</v>
      </c>
      <c r="C431" t="str">
        <f t="shared" si="96"/>
        <v>PIX</v>
      </c>
      <c r="D431" t="str">
        <f>"20938"</f>
        <v>20938</v>
      </c>
      <c r="E431" t="str">
        <f t="shared" si="97"/>
        <v>1</v>
      </c>
      <c r="F431" t="str">
        <f t="shared" si="95"/>
        <v>COM</v>
      </c>
      <c r="G431" t="str">
        <f>"WEMERSON FELIPE LOPES (187)"</f>
        <v>WEMERSON FELIPE LOPES (187)</v>
      </c>
      <c r="H431" t="str">
        <f>"Serv.Prest. 18/08/2025 a 24/08/2025 - PIX: CELULAR - CHAVE: (33) 98806-5772"</f>
        <v>Serv.Prest. 18/08/2025 a 24/08/2025 - PIX: CELULAR - CHAVE: (33) 98806-5772</v>
      </c>
      <c r="I431" t="str">
        <f t="shared" si="98"/>
        <v>04/09/2025</v>
      </c>
      <c r="J431" t="str">
        <f t="shared" si="100"/>
        <v>25/08/2025</v>
      </c>
      <c r="K431" t="str">
        <f>("04/09/2025")</f>
        <v>04/09/2025</v>
      </c>
      <c r="L431">
        <v>990</v>
      </c>
      <c r="M431">
        <v>990</v>
      </c>
      <c r="N431">
        <v>109</v>
      </c>
      <c r="O431" t="str">
        <f>"PAGAMENTO DE ENTREGADORES"</f>
        <v>PAGAMENTO DE ENTREGADORES</v>
      </c>
      <c r="P431">
        <v>990</v>
      </c>
      <c r="S431" t="str">
        <f>"BANCO C6 (149)"</f>
        <v>BANCO C6 (149)</v>
      </c>
      <c r="T431">
        <v>17570</v>
      </c>
      <c r="U431">
        <v>20938</v>
      </c>
      <c r="V431" t="s">
        <v>77</v>
      </c>
    </row>
    <row r="432" spans="1:22">
      <c r="A432" t="str">
        <f t="shared" si="94"/>
        <v>04/09/2025</v>
      </c>
      <c r="B432" t="str">
        <f t="shared" si="99"/>
        <v>SAÍDA</v>
      </c>
      <c r="C432" t="str">
        <f t="shared" si="96"/>
        <v>PIX</v>
      </c>
      <c r="D432" t="str">
        <f>"20938"</f>
        <v>20938</v>
      </c>
      <c r="E432" t="str">
        <f t="shared" si="97"/>
        <v>1</v>
      </c>
      <c r="F432" t="str">
        <f t="shared" si="95"/>
        <v>COM</v>
      </c>
      <c r="G432" t="str">
        <f>"WEMERSON FELIPE LOPES (187)"</f>
        <v>WEMERSON FELIPE LOPES (187)</v>
      </c>
      <c r="H432" t="s">
        <v>181</v>
      </c>
      <c r="I432" t="str">
        <f t="shared" si="98"/>
        <v>04/09/2025</v>
      </c>
      <c r="J432" t="str">
        <f t="shared" si="100"/>
        <v>25/08/2025</v>
      </c>
      <c r="K432">
        <v>45904</v>
      </c>
      <c r="N432">
        <v>109</v>
      </c>
      <c r="O432" t="s">
        <v>24</v>
      </c>
      <c r="Q432">
        <v>990</v>
      </c>
      <c r="R432" t="str">
        <f>"FARMÁCIA INDIANA LJ 06 (10006)"</f>
        <v>FARMÁCIA INDIANA LJ 06 (10006)</v>
      </c>
      <c r="S432" t="s">
        <v>77</v>
      </c>
      <c r="T432">
        <v>17570</v>
      </c>
      <c r="U432">
        <v>20938</v>
      </c>
      <c r="V432" t="s">
        <v>77</v>
      </c>
    </row>
    <row r="433" spans="1:22">
      <c r="A433" t="str">
        <f t="shared" si="94"/>
        <v>04/09/2025</v>
      </c>
      <c r="B433" t="str">
        <f>"ENTRADA"</f>
        <v>ENTRADA</v>
      </c>
      <c r="C433" t="str">
        <f t="shared" si="96"/>
        <v>PIX</v>
      </c>
      <c r="D433" t="str">
        <f>"20939"</f>
        <v>20939</v>
      </c>
      <c r="E433" t="str">
        <f t="shared" si="97"/>
        <v>1</v>
      </c>
      <c r="F433" t="str">
        <f t="shared" si="95"/>
        <v>COM</v>
      </c>
      <c r="G433" t="str">
        <f>"WEMERSON MOREIRA PESSOA (75)"</f>
        <v>WEMERSON MOREIRA PESSOA (75)</v>
      </c>
      <c r="H433" t="str">
        <f>"DESC DE BAG, UNIFORME, PLANOS Serv.Prest. 18/08/2025 a 24/08/2025 - PIX: CELULAR - CHAVE: (33) 99996-3668"</f>
        <v>DESC DE BAG, UNIFORME, PLANOS Serv.Prest. 18/08/2025 a 24/08/2025 - PIX: CELULAR - CHAVE: (33) 99996-3668</v>
      </c>
      <c r="I433" t="str">
        <f t="shared" si="98"/>
        <v>04/09/2025</v>
      </c>
      <c r="J433" t="str">
        <f t="shared" si="100"/>
        <v>25/08/2025</v>
      </c>
      <c r="K433" t="str">
        <f>("04/09/2025")</f>
        <v>04/09/2025</v>
      </c>
      <c r="N433">
        <v>108</v>
      </c>
      <c r="O433" t="str">
        <f>"RECEITAS COM REEMBOLSOS"</f>
        <v>RECEITAS COM REEMBOLSOS</v>
      </c>
      <c r="P433">
        <v>38.33</v>
      </c>
      <c r="S433" t="str">
        <f>"BANCO C6 (149)"</f>
        <v>BANCO C6 (149)</v>
      </c>
      <c r="T433">
        <v>17571</v>
      </c>
      <c r="U433">
        <v>20939</v>
      </c>
      <c r="V433" t="s">
        <v>77</v>
      </c>
    </row>
    <row r="434" spans="1:22">
      <c r="A434" t="str">
        <f t="shared" si="94"/>
        <v>04/09/2025</v>
      </c>
      <c r="B434" t="str">
        <f t="shared" ref="B434:B445" si="101">"SAÍDA"</f>
        <v>SAÍDA</v>
      </c>
      <c r="C434" t="str">
        <f t="shared" si="96"/>
        <v>PIX</v>
      </c>
      <c r="D434" t="str">
        <f>"20939"</f>
        <v>20939</v>
      </c>
      <c r="E434" t="str">
        <f t="shared" si="97"/>
        <v>1</v>
      </c>
      <c r="F434" t="str">
        <f t="shared" si="95"/>
        <v>COM</v>
      </c>
      <c r="G434" t="str">
        <f>"WEMERSON MOREIRA PESSOA (75)"</f>
        <v>WEMERSON MOREIRA PESSOA (75)</v>
      </c>
      <c r="H434" t="str">
        <f>"Serv.Prest. 18/08/2025 a 24/08/2025 - PIX: CELULAR - CHAVE: (33) 99996-3668"</f>
        <v>Serv.Prest. 18/08/2025 a 24/08/2025 - PIX: CELULAR - CHAVE: (33) 99996-3668</v>
      </c>
      <c r="I434" t="str">
        <f t="shared" si="98"/>
        <v>04/09/2025</v>
      </c>
      <c r="J434" t="str">
        <f t="shared" si="100"/>
        <v>25/08/2025</v>
      </c>
      <c r="K434" t="str">
        <f>("04/09/2025")</f>
        <v>04/09/2025</v>
      </c>
      <c r="L434">
        <v>462</v>
      </c>
      <c r="M434">
        <v>423.67</v>
      </c>
      <c r="N434">
        <v>109</v>
      </c>
      <c r="O434" t="str">
        <f>"PAGAMENTO DE ENTREGADORES"</f>
        <v>PAGAMENTO DE ENTREGADORES</v>
      </c>
      <c r="P434">
        <v>462</v>
      </c>
      <c r="S434" t="str">
        <f>"BANCO C6 (149)"</f>
        <v>BANCO C6 (149)</v>
      </c>
      <c r="T434">
        <v>17571</v>
      </c>
      <c r="U434">
        <v>20939</v>
      </c>
      <c r="V434" t="s">
        <v>77</v>
      </c>
    </row>
    <row r="435" spans="1:22">
      <c r="A435" t="str">
        <f t="shared" si="94"/>
        <v>04/09/2025</v>
      </c>
      <c r="B435" t="str">
        <f t="shared" si="101"/>
        <v>SAÍDA</v>
      </c>
      <c r="C435" t="str">
        <f t="shared" si="96"/>
        <v>PIX</v>
      </c>
      <c r="D435" t="str">
        <f>"20939"</f>
        <v>20939</v>
      </c>
      <c r="E435" t="str">
        <f t="shared" si="97"/>
        <v>1</v>
      </c>
      <c r="F435" t="str">
        <f t="shared" si="95"/>
        <v>COM</v>
      </c>
      <c r="G435" t="str">
        <f>"WEMERSON MOREIRA PESSOA (75)"</f>
        <v>WEMERSON MOREIRA PESSOA (75)</v>
      </c>
      <c r="H435" t="s">
        <v>182</v>
      </c>
      <c r="I435" t="str">
        <f t="shared" si="98"/>
        <v>04/09/2025</v>
      </c>
      <c r="J435" t="str">
        <f t="shared" si="100"/>
        <v>25/08/2025</v>
      </c>
      <c r="K435">
        <v>45904</v>
      </c>
      <c r="N435">
        <v>108</v>
      </c>
      <c r="O435" t="s">
        <v>54</v>
      </c>
      <c r="Q435">
        <v>423.67</v>
      </c>
      <c r="R435" t="str">
        <f>"FARMÁCIA INDIANA LJ 07 (10007)"</f>
        <v>FARMÁCIA INDIANA LJ 07 (10007)</v>
      </c>
      <c r="S435" t="s">
        <v>77</v>
      </c>
      <c r="T435">
        <v>17571</v>
      </c>
      <c r="U435">
        <v>20939</v>
      </c>
      <c r="V435" t="s">
        <v>77</v>
      </c>
    </row>
    <row r="436" spans="1:22">
      <c r="A436" t="str">
        <f t="shared" si="94"/>
        <v>04/09/2025</v>
      </c>
      <c r="B436" t="str">
        <f t="shared" si="101"/>
        <v>SAÍDA</v>
      </c>
      <c r="C436" t="str">
        <f t="shared" si="96"/>
        <v>PIX</v>
      </c>
      <c r="D436" t="str">
        <f>"20940"</f>
        <v>20940</v>
      </c>
      <c r="E436" t="str">
        <f t="shared" si="97"/>
        <v>1</v>
      </c>
      <c r="F436" t="str">
        <f t="shared" si="95"/>
        <v>COM</v>
      </c>
      <c r="G436" t="str">
        <f>"WENDEL LIMA DE SOUZA (112)"</f>
        <v>WENDEL LIMA DE SOUZA (112)</v>
      </c>
      <c r="H436" t="str">
        <f>"Serv.Prest. 18/08/2025 a 24/08/2025 - PIX: CPF - CHAVE: 012.906.122-00"</f>
        <v>Serv.Prest. 18/08/2025 a 24/08/2025 - PIX: CPF - CHAVE: 012.906.122-00</v>
      </c>
      <c r="I436" t="str">
        <f t="shared" si="98"/>
        <v>04/09/2025</v>
      </c>
      <c r="J436" t="str">
        <f t="shared" si="100"/>
        <v>25/08/2025</v>
      </c>
      <c r="K436" t="str">
        <f>("04/09/2025")</f>
        <v>04/09/2025</v>
      </c>
      <c r="L436">
        <v>1356</v>
      </c>
      <c r="M436">
        <v>1356</v>
      </c>
      <c r="N436">
        <v>109</v>
      </c>
      <c r="O436" t="str">
        <f>"PAGAMENTO DE ENTREGADORES"</f>
        <v>PAGAMENTO DE ENTREGADORES</v>
      </c>
      <c r="P436">
        <v>1356</v>
      </c>
      <c r="S436" t="str">
        <f>"BANCO C6 (149)"</f>
        <v>BANCO C6 (149)</v>
      </c>
      <c r="T436">
        <v>17572</v>
      </c>
      <c r="U436">
        <v>20940</v>
      </c>
      <c r="V436" t="s">
        <v>77</v>
      </c>
    </row>
    <row r="437" spans="1:22">
      <c r="A437" t="str">
        <f t="shared" si="94"/>
        <v>04/09/2025</v>
      </c>
      <c r="B437" t="str">
        <f t="shared" si="101"/>
        <v>SAÍDA</v>
      </c>
      <c r="C437" t="str">
        <f t="shared" si="96"/>
        <v>PIX</v>
      </c>
      <c r="D437" t="str">
        <f>"20940"</f>
        <v>20940</v>
      </c>
      <c r="E437" t="str">
        <f t="shared" si="97"/>
        <v>1</v>
      </c>
      <c r="F437" t="str">
        <f t="shared" si="95"/>
        <v>COM</v>
      </c>
      <c r="G437" t="str">
        <f>"WENDEL LIMA DE SOUZA (112)"</f>
        <v>WENDEL LIMA DE SOUZA (112)</v>
      </c>
      <c r="H437" t="s">
        <v>183</v>
      </c>
      <c r="I437" t="str">
        <f t="shared" si="98"/>
        <v>04/09/2025</v>
      </c>
      <c r="J437" t="str">
        <f t="shared" si="100"/>
        <v>25/08/2025</v>
      </c>
      <c r="K437">
        <v>45904</v>
      </c>
      <c r="N437">
        <v>109</v>
      </c>
      <c r="O437" t="s">
        <v>24</v>
      </c>
      <c r="Q437">
        <v>1104.06</v>
      </c>
      <c r="R437" t="str">
        <f>"FARMÁCIA INDIANA LJ 11 (10008)"</f>
        <v>FARMÁCIA INDIANA LJ 11 (10008)</v>
      </c>
      <c r="S437" t="s">
        <v>77</v>
      </c>
      <c r="T437">
        <v>17572</v>
      </c>
      <c r="U437">
        <v>20940</v>
      </c>
      <c r="V437" t="s">
        <v>77</v>
      </c>
    </row>
    <row r="438" spans="1:22">
      <c r="A438" t="str">
        <f t="shared" si="94"/>
        <v>04/09/2025</v>
      </c>
      <c r="B438" t="str">
        <f t="shared" si="101"/>
        <v>SAÍDA</v>
      </c>
      <c r="C438" t="str">
        <f t="shared" si="96"/>
        <v>PIX</v>
      </c>
      <c r="D438" t="str">
        <f>"20940"</f>
        <v>20940</v>
      </c>
      <c r="E438" t="str">
        <f t="shared" si="97"/>
        <v>1</v>
      </c>
      <c r="F438" t="str">
        <f t="shared" si="95"/>
        <v>COM</v>
      </c>
      <c r="G438" t="str">
        <f>"WENDEL LIMA DE SOUZA (112)"</f>
        <v>WENDEL LIMA DE SOUZA (112)</v>
      </c>
      <c r="H438" t="s">
        <v>183</v>
      </c>
      <c r="I438" t="str">
        <f t="shared" si="98"/>
        <v>04/09/2025</v>
      </c>
      <c r="J438" t="str">
        <f t="shared" si="100"/>
        <v>25/08/2025</v>
      </c>
      <c r="K438">
        <v>45904</v>
      </c>
      <c r="N438">
        <v>109</v>
      </c>
      <c r="O438" t="s">
        <v>24</v>
      </c>
      <c r="Q438">
        <v>251.94</v>
      </c>
      <c r="R438" t="str">
        <f>"FARMÁCIA INDIANA LJ 172 (10161)"</f>
        <v>FARMÁCIA INDIANA LJ 172 (10161)</v>
      </c>
      <c r="S438" t="s">
        <v>77</v>
      </c>
      <c r="T438">
        <v>17572</v>
      </c>
      <c r="U438">
        <v>20940</v>
      </c>
      <c r="V438" t="s">
        <v>77</v>
      </c>
    </row>
    <row r="439" spans="1:22">
      <c r="A439" t="str">
        <f t="shared" si="94"/>
        <v>04/09/2025</v>
      </c>
      <c r="B439" t="str">
        <f t="shared" si="101"/>
        <v>SAÍDA</v>
      </c>
      <c r="C439" t="str">
        <f t="shared" si="96"/>
        <v>PIX</v>
      </c>
      <c r="D439" t="str">
        <f>"20941"</f>
        <v>20941</v>
      </c>
      <c r="E439" t="str">
        <f t="shared" si="97"/>
        <v>1</v>
      </c>
      <c r="F439" t="str">
        <f t="shared" si="95"/>
        <v>COM</v>
      </c>
      <c r="G439" t="str">
        <f>"WILIAN ROSA VIEIRA (488)"</f>
        <v>WILIAN ROSA VIEIRA (488)</v>
      </c>
      <c r="H439" t="str">
        <f>"Serv.Prest. 18/08/2025 a 24/08/2025 - PIX: E-MAIL - CHAVE: wilianvieirawrv3578@gmail.com"</f>
        <v>Serv.Prest. 18/08/2025 a 24/08/2025 - PIX: E-MAIL - CHAVE: wilianvieirawrv3578@gmail.com</v>
      </c>
      <c r="I439" t="str">
        <f t="shared" si="98"/>
        <v>04/09/2025</v>
      </c>
      <c r="J439" t="str">
        <f t="shared" si="100"/>
        <v>25/08/2025</v>
      </c>
      <c r="K439" t="str">
        <f>("04/09/2025")</f>
        <v>04/09/2025</v>
      </c>
      <c r="L439">
        <v>978</v>
      </c>
      <c r="M439">
        <v>978</v>
      </c>
      <c r="N439">
        <v>109</v>
      </c>
      <c r="O439" t="str">
        <f>"PAGAMENTO DE ENTREGADORES"</f>
        <v>PAGAMENTO DE ENTREGADORES</v>
      </c>
      <c r="P439">
        <v>978</v>
      </c>
      <c r="S439" t="str">
        <f>"BANCO C6 (149)"</f>
        <v>BANCO C6 (149)</v>
      </c>
      <c r="T439">
        <v>17573</v>
      </c>
      <c r="U439">
        <v>20941</v>
      </c>
      <c r="V439" t="s">
        <v>77</v>
      </c>
    </row>
    <row r="440" spans="1:22">
      <c r="A440" t="str">
        <f t="shared" si="94"/>
        <v>04/09/2025</v>
      </c>
      <c r="B440" t="str">
        <f t="shared" si="101"/>
        <v>SAÍDA</v>
      </c>
      <c r="C440" t="str">
        <f t="shared" si="96"/>
        <v>PIX</v>
      </c>
      <c r="D440" t="str">
        <f>"20941"</f>
        <v>20941</v>
      </c>
      <c r="E440" t="str">
        <f t="shared" si="97"/>
        <v>1</v>
      </c>
      <c r="F440" t="str">
        <f t="shared" si="95"/>
        <v>COM</v>
      </c>
      <c r="G440" t="str">
        <f>"WILIAN ROSA VIEIRA (488)"</f>
        <v>WILIAN ROSA VIEIRA (488)</v>
      </c>
      <c r="H440" t="s">
        <v>184</v>
      </c>
      <c r="I440" t="str">
        <f t="shared" si="98"/>
        <v>04/09/2025</v>
      </c>
      <c r="J440" t="str">
        <f t="shared" si="100"/>
        <v>25/08/2025</v>
      </c>
      <c r="K440">
        <v>45904</v>
      </c>
      <c r="N440">
        <v>109</v>
      </c>
      <c r="O440" t="s">
        <v>24</v>
      </c>
      <c r="Q440">
        <v>582.01</v>
      </c>
      <c r="R440" t="str">
        <f>"FARMÁCIA INDIANA LJ 103 (10044)"</f>
        <v>FARMÁCIA INDIANA LJ 103 (10044)</v>
      </c>
      <c r="S440" t="s">
        <v>77</v>
      </c>
      <c r="T440">
        <v>17573</v>
      </c>
      <c r="U440">
        <v>20941</v>
      </c>
      <c r="V440" t="s">
        <v>77</v>
      </c>
    </row>
    <row r="441" spans="1:22">
      <c r="A441" t="str">
        <f t="shared" si="94"/>
        <v>04/09/2025</v>
      </c>
      <c r="B441" t="str">
        <f t="shared" si="101"/>
        <v>SAÍDA</v>
      </c>
      <c r="C441" t="str">
        <f t="shared" si="96"/>
        <v>PIX</v>
      </c>
      <c r="D441" t="str">
        <f>"20941"</f>
        <v>20941</v>
      </c>
      <c r="E441" t="str">
        <f t="shared" si="97"/>
        <v>1</v>
      </c>
      <c r="F441" t="str">
        <f t="shared" si="95"/>
        <v>COM</v>
      </c>
      <c r="G441" t="str">
        <f>"WILIAN ROSA VIEIRA (488)"</f>
        <v>WILIAN ROSA VIEIRA (488)</v>
      </c>
      <c r="H441" t="s">
        <v>184</v>
      </c>
      <c r="I441" t="str">
        <f t="shared" si="98"/>
        <v>04/09/2025</v>
      </c>
      <c r="J441" t="str">
        <f t="shared" si="100"/>
        <v>25/08/2025</v>
      </c>
      <c r="K441">
        <v>45904</v>
      </c>
      <c r="N441">
        <v>109</v>
      </c>
      <c r="O441" t="s">
        <v>24</v>
      </c>
      <c r="Q441">
        <v>96.04</v>
      </c>
      <c r="R441" t="str">
        <f>"FARMÁCIA INDIANA LJ 140 (10064)"</f>
        <v>FARMÁCIA INDIANA LJ 140 (10064)</v>
      </c>
      <c r="S441" t="s">
        <v>77</v>
      </c>
      <c r="T441">
        <v>17573</v>
      </c>
      <c r="U441">
        <v>20941</v>
      </c>
      <c r="V441" t="s">
        <v>77</v>
      </c>
    </row>
    <row r="442" spans="1:22">
      <c r="A442" t="str">
        <f t="shared" ref="A442:A505" si="102">("04/09/2025")</f>
        <v>04/09/2025</v>
      </c>
      <c r="B442" t="str">
        <f t="shared" si="101"/>
        <v>SAÍDA</v>
      </c>
      <c r="C442" t="str">
        <f t="shared" si="96"/>
        <v>PIX</v>
      </c>
      <c r="D442" t="str">
        <f>"20941"</f>
        <v>20941</v>
      </c>
      <c r="E442" t="str">
        <f t="shared" si="97"/>
        <v>1</v>
      </c>
      <c r="F442" t="str">
        <f t="shared" si="95"/>
        <v>COM</v>
      </c>
      <c r="G442" t="str">
        <f>"WILIAN ROSA VIEIRA (488)"</f>
        <v>WILIAN ROSA VIEIRA (488)</v>
      </c>
      <c r="H442" t="s">
        <v>184</v>
      </c>
      <c r="I442" t="str">
        <f t="shared" si="98"/>
        <v>04/09/2025</v>
      </c>
      <c r="J442" t="str">
        <f t="shared" si="100"/>
        <v>25/08/2025</v>
      </c>
      <c r="K442">
        <v>45904</v>
      </c>
      <c r="N442">
        <v>109</v>
      </c>
      <c r="O442" t="s">
        <v>24</v>
      </c>
      <c r="Q442">
        <v>71.98</v>
      </c>
      <c r="R442" t="str">
        <f>"FARMÁCIA INDIANA LJ 141 (10065)"</f>
        <v>FARMÁCIA INDIANA LJ 141 (10065)</v>
      </c>
      <c r="S442" t="s">
        <v>77</v>
      </c>
      <c r="T442">
        <v>17573</v>
      </c>
      <c r="U442">
        <v>20941</v>
      </c>
      <c r="V442" t="s">
        <v>77</v>
      </c>
    </row>
    <row r="443" spans="1:22">
      <c r="A443" t="str">
        <f t="shared" si="102"/>
        <v>04/09/2025</v>
      </c>
      <c r="B443" t="str">
        <f t="shared" si="101"/>
        <v>SAÍDA</v>
      </c>
      <c r="C443" t="str">
        <f t="shared" si="96"/>
        <v>PIX</v>
      </c>
      <c r="D443" t="str">
        <f>"20941"</f>
        <v>20941</v>
      </c>
      <c r="E443" t="str">
        <f t="shared" si="97"/>
        <v>1</v>
      </c>
      <c r="F443" t="str">
        <f t="shared" si="95"/>
        <v>COM</v>
      </c>
      <c r="G443" t="str">
        <f>"WILIAN ROSA VIEIRA (488)"</f>
        <v>WILIAN ROSA VIEIRA (488)</v>
      </c>
      <c r="H443" t="s">
        <v>184</v>
      </c>
      <c r="I443" t="str">
        <f t="shared" si="98"/>
        <v>04/09/2025</v>
      </c>
      <c r="J443" t="str">
        <f t="shared" si="100"/>
        <v>25/08/2025</v>
      </c>
      <c r="K443">
        <v>45904</v>
      </c>
      <c r="N443">
        <v>109</v>
      </c>
      <c r="O443" t="s">
        <v>24</v>
      </c>
      <c r="Q443">
        <v>227.97</v>
      </c>
      <c r="R443" t="str">
        <f>"FARMÁCIA INDIANA LJ 154 (10070)"</f>
        <v>FARMÁCIA INDIANA LJ 154 (10070)</v>
      </c>
      <c r="S443" t="s">
        <v>77</v>
      </c>
      <c r="T443">
        <v>17573</v>
      </c>
      <c r="U443">
        <v>20941</v>
      </c>
      <c r="V443" t="s">
        <v>77</v>
      </c>
    </row>
    <row r="444" spans="1:22">
      <c r="A444" t="str">
        <f t="shared" si="102"/>
        <v>04/09/2025</v>
      </c>
      <c r="B444" t="str">
        <f t="shared" si="101"/>
        <v>SAÍDA</v>
      </c>
      <c r="C444" t="str">
        <f t="shared" si="96"/>
        <v>PIX</v>
      </c>
      <c r="D444" t="str">
        <f>"20942"</f>
        <v>20942</v>
      </c>
      <c r="E444" t="str">
        <f t="shared" si="97"/>
        <v>1</v>
      </c>
      <c r="F444" t="str">
        <f t="shared" si="95"/>
        <v>COM</v>
      </c>
      <c r="G444" t="str">
        <f>"YAN EVERTON RODRIGUES DE LIMA (875)"</f>
        <v>YAN EVERTON RODRIGUES DE LIMA (875)</v>
      </c>
      <c r="H444" t="str">
        <f>"Serv.Prest. 18/08/2025 a 24/08/2025 - PIX: CELULAR - CHAVE: (33) 99859-8751"</f>
        <v>Serv.Prest. 18/08/2025 a 24/08/2025 - PIX: CELULAR - CHAVE: (33) 99859-8751</v>
      </c>
      <c r="I444" t="str">
        <f t="shared" si="98"/>
        <v>04/09/2025</v>
      </c>
      <c r="J444" t="str">
        <f t="shared" si="100"/>
        <v>25/08/2025</v>
      </c>
      <c r="K444" t="str">
        <f>("04/09/2025")</f>
        <v>04/09/2025</v>
      </c>
      <c r="L444">
        <v>990</v>
      </c>
      <c r="M444">
        <v>990</v>
      </c>
      <c r="N444">
        <v>109</v>
      </c>
      <c r="O444" t="str">
        <f>"PAGAMENTO DE ENTREGADORES"</f>
        <v>PAGAMENTO DE ENTREGADORES</v>
      </c>
      <c r="P444">
        <v>990</v>
      </c>
      <c r="S444" t="str">
        <f>"BANCO C6 (149)"</f>
        <v>BANCO C6 (149)</v>
      </c>
      <c r="T444">
        <v>17574</v>
      </c>
      <c r="U444">
        <v>20942</v>
      </c>
      <c r="V444" t="s">
        <v>77</v>
      </c>
    </row>
    <row r="445" spans="1:22">
      <c r="A445" t="str">
        <f t="shared" si="102"/>
        <v>04/09/2025</v>
      </c>
      <c r="B445" t="str">
        <f t="shared" si="101"/>
        <v>SAÍDA</v>
      </c>
      <c r="C445" t="str">
        <f t="shared" si="96"/>
        <v>PIX</v>
      </c>
      <c r="D445" t="str">
        <f>"20942"</f>
        <v>20942</v>
      </c>
      <c r="E445" t="str">
        <f t="shared" si="97"/>
        <v>1</v>
      </c>
      <c r="F445" t="str">
        <f t="shared" si="95"/>
        <v>COM</v>
      </c>
      <c r="G445" t="str">
        <f>"YAN EVERTON RODRIGUES DE LIMA (875)"</f>
        <v>YAN EVERTON RODRIGUES DE LIMA (875)</v>
      </c>
      <c r="H445" t="s">
        <v>185</v>
      </c>
      <c r="I445" t="str">
        <f t="shared" si="98"/>
        <v>04/09/2025</v>
      </c>
      <c r="J445" t="str">
        <f t="shared" si="100"/>
        <v>25/08/2025</v>
      </c>
      <c r="K445">
        <v>45904</v>
      </c>
      <c r="N445">
        <v>109</v>
      </c>
      <c r="O445" t="s">
        <v>24</v>
      </c>
      <c r="Q445">
        <v>990</v>
      </c>
      <c r="R445" t="str">
        <f>"FARMÁCIA INDIANA LJ 06 (10006)"</f>
        <v>FARMÁCIA INDIANA LJ 06 (10006)</v>
      </c>
      <c r="S445" t="s">
        <v>77</v>
      </c>
      <c r="T445">
        <v>17574</v>
      </c>
      <c r="U445">
        <v>20942</v>
      </c>
      <c r="V445" t="s">
        <v>77</v>
      </c>
    </row>
    <row r="446" spans="1:22">
      <c r="A446" t="str">
        <f t="shared" si="102"/>
        <v>04/09/2025</v>
      </c>
      <c r="B446" t="str">
        <f>"ENTRADA"</f>
        <v>ENTRADA</v>
      </c>
      <c r="C446" t="str">
        <f t="shared" si="96"/>
        <v>PIX</v>
      </c>
      <c r="D446" t="str">
        <f>"20944"</f>
        <v>20944</v>
      </c>
      <c r="E446" t="str">
        <f t="shared" si="97"/>
        <v>1</v>
      </c>
      <c r="F446" t="str">
        <f t="shared" si="95"/>
        <v>COM</v>
      </c>
      <c r="G446" t="str">
        <f>"CARLOS ALBERTO DE JESUS SANTOS (110)"</f>
        <v>CARLOS ALBERTO DE JESUS SANTOS (110)</v>
      </c>
      <c r="H446" t="str">
        <f>"DESC DE BAG, UNIFORME, PLANOS Serv.Prest. 18/08/2025 a 24/08/2025 - PIX: CPF - CHAVE: 036.875.515-04"</f>
        <v>DESC DE BAG, UNIFORME, PLANOS Serv.Prest. 18/08/2025 a 24/08/2025 - PIX: CPF - CHAVE: 036.875.515-04</v>
      </c>
      <c r="I446" t="str">
        <f t="shared" si="98"/>
        <v>04/09/2025</v>
      </c>
      <c r="J446" t="str">
        <f t="shared" si="100"/>
        <v>25/08/2025</v>
      </c>
      <c r="K446" t="str">
        <f>("04/09/2025")</f>
        <v>04/09/2025</v>
      </c>
      <c r="N446">
        <v>108</v>
      </c>
      <c r="O446" t="str">
        <f>"RECEITAS COM REEMBOLSOS"</f>
        <v>RECEITAS COM REEMBOLSOS</v>
      </c>
      <c r="P446">
        <v>20</v>
      </c>
      <c r="S446" t="str">
        <f>"BANCO C6 (149)"</f>
        <v>BANCO C6 (149)</v>
      </c>
      <c r="T446">
        <v>17575</v>
      </c>
      <c r="U446">
        <v>20944</v>
      </c>
      <c r="V446" t="s">
        <v>77</v>
      </c>
    </row>
    <row r="447" spans="1:22">
      <c r="A447" t="str">
        <f t="shared" si="102"/>
        <v>04/09/2025</v>
      </c>
      <c r="B447" t="str">
        <f t="shared" ref="B447:B478" si="103">"SAÍDA"</f>
        <v>SAÍDA</v>
      </c>
      <c r="C447" t="str">
        <f t="shared" si="96"/>
        <v>PIX</v>
      </c>
      <c r="D447" t="str">
        <f>"20944"</f>
        <v>20944</v>
      </c>
      <c r="E447" t="str">
        <f t="shared" si="97"/>
        <v>1</v>
      </c>
      <c r="F447" t="str">
        <f t="shared" si="95"/>
        <v>COM</v>
      </c>
      <c r="G447" t="str">
        <f>"CARLOS ALBERTO DE JESUS SANTOS (110)"</f>
        <v>CARLOS ALBERTO DE JESUS SANTOS (110)</v>
      </c>
      <c r="H447" t="str">
        <f>"Serv.Prest. 18/08/2025 a 24/08/2025 - PIX: CPF - CHAVE: 036.875.515-04"</f>
        <v>Serv.Prest. 18/08/2025 a 24/08/2025 - PIX: CPF - CHAVE: 036.875.515-04</v>
      </c>
      <c r="I447" t="str">
        <f t="shared" si="98"/>
        <v>04/09/2025</v>
      </c>
      <c r="J447" t="str">
        <f t="shared" si="100"/>
        <v>25/08/2025</v>
      </c>
      <c r="K447" t="str">
        <f>("04/09/2025")</f>
        <v>04/09/2025</v>
      </c>
      <c r="L447">
        <v>654</v>
      </c>
      <c r="M447">
        <v>634</v>
      </c>
      <c r="N447">
        <v>109</v>
      </c>
      <c r="O447" t="str">
        <f>"PAGAMENTO DE ENTREGADORES"</f>
        <v>PAGAMENTO DE ENTREGADORES</v>
      </c>
      <c r="P447">
        <v>654</v>
      </c>
      <c r="S447" t="str">
        <f>"BANCO C6 (149)"</f>
        <v>BANCO C6 (149)</v>
      </c>
      <c r="T447">
        <v>17575</v>
      </c>
      <c r="U447">
        <v>20944</v>
      </c>
      <c r="V447" t="s">
        <v>77</v>
      </c>
    </row>
    <row r="448" spans="1:22">
      <c r="A448" t="str">
        <f t="shared" si="102"/>
        <v>04/09/2025</v>
      </c>
      <c r="B448" t="str">
        <f t="shared" si="103"/>
        <v>SAÍDA</v>
      </c>
      <c r="C448" t="str">
        <f t="shared" si="96"/>
        <v>PIX</v>
      </c>
      <c r="D448" t="str">
        <f>"20944"</f>
        <v>20944</v>
      </c>
      <c r="E448" t="str">
        <f t="shared" si="97"/>
        <v>1</v>
      </c>
      <c r="F448" t="str">
        <f t="shared" si="95"/>
        <v>COM</v>
      </c>
      <c r="G448" t="str">
        <f>"CARLOS ALBERTO DE JESUS SANTOS (110)"</f>
        <v>CARLOS ALBERTO DE JESUS SANTOS (110)</v>
      </c>
      <c r="H448" t="s">
        <v>186</v>
      </c>
      <c r="I448" t="str">
        <f t="shared" si="98"/>
        <v>04/09/2025</v>
      </c>
      <c r="J448" t="str">
        <f t="shared" si="100"/>
        <v>25/08/2025</v>
      </c>
      <c r="K448">
        <v>45904</v>
      </c>
      <c r="N448">
        <v>108</v>
      </c>
      <c r="O448" t="s">
        <v>54</v>
      </c>
      <c r="Q448">
        <v>507.2</v>
      </c>
      <c r="R448" t="str">
        <f>"FARMÁCIA INDIANA LJ 65 (10030)"</f>
        <v>FARMÁCIA INDIANA LJ 65 (10030)</v>
      </c>
      <c r="S448" t="s">
        <v>77</v>
      </c>
      <c r="T448">
        <v>17575</v>
      </c>
      <c r="U448">
        <v>20944</v>
      </c>
      <c r="V448" t="s">
        <v>77</v>
      </c>
    </row>
    <row r="449" spans="1:22">
      <c r="A449" t="str">
        <f t="shared" si="102"/>
        <v>04/09/2025</v>
      </c>
      <c r="B449" t="str">
        <f t="shared" si="103"/>
        <v>SAÍDA</v>
      </c>
      <c r="C449" t="str">
        <f t="shared" si="96"/>
        <v>PIX</v>
      </c>
      <c r="D449" t="str">
        <f>"20944"</f>
        <v>20944</v>
      </c>
      <c r="E449" t="str">
        <f t="shared" si="97"/>
        <v>1</v>
      </c>
      <c r="F449" t="str">
        <f t="shared" si="95"/>
        <v>COM</v>
      </c>
      <c r="G449" t="str">
        <f>"CARLOS ALBERTO DE JESUS SANTOS (110)"</f>
        <v>CARLOS ALBERTO DE JESUS SANTOS (110)</v>
      </c>
      <c r="H449" t="s">
        <v>186</v>
      </c>
      <c r="I449" t="str">
        <f t="shared" si="98"/>
        <v>04/09/2025</v>
      </c>
      <c r="J449" t="str">
        <f t="shared" si="100"/>
        <v>25/08/2025</v>
      </c>
      <c r="K449">
        <v>45904</v>
      </c>
      <c r="N449">
        <v>108</v>
      </c>
      <c r="O449" t="s">
        <v>54</v>
      </c>
      <c r="Q449">
        <v>126.8</v>
      </c>
      <c r="R449" t="str">
        <f>"FARMÁCIA INDIANA LJ 173 (10075)"</f>
        <v>FARMÁCIA INDIANA LJ 173 (10075)</v>
      </c>
      <c r="S449" t="s">
        <v>77</v>
      </c>
      <c r="T449">
        <v>17575</v>
      </c>
      <c r="U449">
        <v>20944</v>
      </c>
      <c r="V449" t="s">
        <v>77</v>
      </c>
    </row>
    <row r="450" spans="1:22">
      <c r="A450" t="str">
        <f t="shared" si="102"/>
        <v>04/09/2025</v>
      </c>
      <c r="B450" t="str">
        <f t="shared" si="103"/>
        <v>SAÍDA</v>
      </c>
      <c r="C450" t="str">
        <f t="shared" si="96"/>
        <v>PIX</v>
      </c>
      <c r="D450" t="str">
        <f>"20946"</f>
        <v>20946</v>
      </c>
      <c r="E450" t="str">
        <f t="shared" si="97"/>
        <v>1</v>
      </c>
      <c r="F450" t="str">
        <f t="shared" ref="F450:F513" si="104">"COM"</f>
        <v>COM</v>
      </c>
      <c r="G450" t="str">
        <f>"DIOCLECIO SANDES JOTA (135)"</f>
        <v>DIOCLECIO SANDES JOTA (135)</v>
      </c>
      <c r="H450" t="str">
        <f>"Serv.Prest. 18/08/2025 a 24/08/2025 - PIX: CELULAR - CHAVE: (73) 99966-7211"</f>
        <v>Serv.Prest. 18/08/2025 a 24/08/2025 - PIX: CELULAR - CHAVE: (73) 99966-7211</v>
      </c>
      <c r="I450" t="str">
        <f t="shared" si="98"/>
        <v>04/09/2025</v>
      </c>
      <c r="J450" t="str">
        <f t="shared" si="100"/>
        <v>25/08/2025</v>
      </c>
      <c r="K450" t="str">
        <f>("04/09/2025")</f>
        <v>04/09/2025</v>
      </c>
      <c r="L450">
        <v>864</v>
      </c>
      <c r="M450">
        <v>864</v>
      </c>
      <c r="N450">
        <v>109</v>
      </c>
      <c r="O450" t="str">
        <f>"PAGAMENTO DE ENTREGADORES"</f>
        <v>PAGAMENTO DE ENTREGADORES</v>
      </c>
      <c r="P450">
        <v>864</v>
      </c>
      <c r="S450" t="str">
        <f>"BANCO C6 (149)"</f>
        <v>BANCO C6 (149)</v>
      </c>
      <c r="T450">
        <v>17576</v>
      </c>
      <c r="U450">
        <v>20946</v>
      </c>
      <c r="V450" t="s">
        <v>77</v>
      </c>
    </row>
    <row r="451" spans="1:22">
      <c r="A451" t="str">
        <f t="shared" si="102"/>
        <v>04/09/2025</v>
      </c>
      <c r="B451" t="str">
        <f t="shared" si="103"/>
        <v>SAÍDA</v>
      </c>
      <c r="C451" t="str">
        <f t="shared" si="96"/>
        <v>PIX</v>
      </c>
      <c r="D451" t="str">
        <f>"20946"</f>
        <v>20946</v>
      </c>
      <c r="E451" t="str">
        <f t="shared" si="97"/>
        <v>1</v>
      </c>
      <c r="F451" t="str">
        <f t="shared" si="104"/>
        <v>COM</v>
      </c>
      <c r="G451" t="str">
        <f>"DIOCLECIO SANDES JOTA (135)"</f>
        <v>DIOCLECIO SANDES JOTA (135)</v>
      </c>
      <c r="H451" t="s">
        <v>187</v>
      </c>
      <c r="I451" t="str">
        <f t="shared" si="98"/>
        <v>04/09/2025</v>
      </c>
      <c r="J451" t="str">
        <f t="shared" si="100"/>
        <v>25/08/2025</v>
      </c>
      <c r="K451">
        <v>45904</v>
      </c>
      <c r="N451">
        <v>109</v>
      </c>
      <c r="O451" t="s">
        <v>24</v>
      </c>
      <c r="Q451">
        <v>864</v>
      </c>
      <c r="R451" t="str">
        <f>"FARMÁCIA INDIANA LJ 91 (10037)"</f>
        <v>FARMÁCIA INDIANA LJ 91 (10037)</v>
      </c>
      <c r="S451" t="s">
        <v>77</v>
      </c>
      <c r="T451">
        <v>17576</v>
      </c>
      <c r="U451">
        <v>20946</v>
      </c>
      <c r="V451" t="s">
        <v>77</v>
      </c>
    </row>
    <row r="452" spans="1:22">
      <c r="A452" t="str">
        <f t="shared" si="102"/>
        <v>04/09/2025</v>
      </c>
      <c r="B452" t="str">
        <f t="shared" si="103"/>
        <v>SAÍDA</v>
      </c>
      <c r="C452" t="str">
        <f t="shared" si="96"/>
        <v>PIX</v>
      </c>
      <c r="D452" t="str">
        <f>"20947"</f>
        <v>20947</v>
      </c>
      <c r="E452" t="str">
        <f t="shared" si="97"/>
        <v>1</v>
      </c>
      <c r="F452" t="str">
        <f t="shared" si="104"/>
        <v>COM</v>
      </c>
      <c r="G452" t="str">
        <f>"EDUARDO SILVA DE JESUS (143)"</f>
        <v>EDUARDO SILVA DE JESUS (143)</v>
      </c>
      <c r="H452" t="str">
        <f>"Serv.Prest. 18/08/2025 a 24/08/2025 - PIX: CPF - CHAVE: 094.947.395-23"</f>
        <v>Serv.Prest. 18/08/2025 a 24/08/2025 - PIX: CPF - CHAVE: 094.947.395-23</v>
      </c>
      <c r="I452" t="str">
        <f t="shared" si="98"/>
        <v>04/09/2025</v>
      </c>
      <c r="J452" t="str">
        <f t="shared" si="100"/>
        <v>25/08/2025</v>
      </c>
      <c r="K452" t="str">
        <f>("04/09/2025")</f>
        <v>04/09/2025</v>
      </c>
      <c r="L452">
        <v>714</v>
      </c>
      <c r="M452">
        <v>714</v>
      </c>
      <c r="N452">
        <v>109</v>
      </c>
      <c r="O452" t="str">
        <f>"PAGAMENTO DE ENTREGADORES"</f>
        <v>PAGAMENTO DE ENTREGADORES</v>
      </c>
      <c r="P452">
        <v>714</v>
      </c>
      <c r="S452" t="str">
        <f>"BANCO C6 (149)"</f>
        <v>BANCO C6 (149)</v>
      </c>
      <c r="T452">
        <v>17577</v>
      </c>
      <c r="U452">
        <v>20947</v>
      </c>
      <c r="V452" t="s">
        <v>77</v>
      </c>
    </row>
    <row r="453" spans="1:22">
      <c r="A453" t="str">
        <f t="shared" si="102"/>
        <v>04/09/2025</v>
      </c>
      <c r="B453" t="str">
        <f t="shared" si="103"/>
        <v>SAÍDA</v>
      </c>
      <c r="C453" t="str">
        <f t="shared" si="96"/>
        <v>PIX</v>
      </c>
      <c r="D453" t="str">
        <f>"20947"</f>
        <v>20947</v>
      </c>
      <c r="E453" t="str">
        <f t="shared" si="97"/>
        <v>1</v>
      </c>
      <c r="F453" t="str">
        <f t="shared" si="104"/>
        <v>COM</v>
      </c>
      <c r="G453" t="str">
        <f>"EDUARDO SILVA DE JESUS (143)"</f>
        <v>EDUARDO SILVA DE JESUS (143)</v>
      </c>
      <c r="H453" t="s">
        <v>188</v>
      </c>
      <c r="I453" t="str">
        <f t="shared" si="98"/>
        <v>04/09/2025</v>
      </c>
      <c r="J453" t="str">
        <f t="shared" si="100"/>
        <v>25/08/2025</v>
      </c>
      <c r="K453">
        <v>45904</v>
      </c>
      <c r="N453">
        <v>109</v>
      </c>
      <c r="O453" t="s">
        <v>24</v>
      </c>
      <c r="Q453">
        <v>714</v>
      </c>
      <c r="R453" t="str">
        <f>"FARMÁCIA INDIANA LJ 91 (10037)"</f>
        <v>FARMÁCIA INDIANA LJ 91 (10037)</v>
      </c>
      <c r="S453" t="s">
        <v>77</v>
      </c>
      <c r="T453">
        <v>17577</v>
      </c>
      <c r="U453">
        <v>20947</v>
      </c>
      <c r="V453" t="s">
        <v>77</v>
      </c>
    </row>
    <row r="454" spans="1:22">
      <c r="A454" t="str">
        <f t="shared" si="102"/>
        <v>04/09/2025</v>
      </c>
      <c r="B454" t="str">
        <f t="shared" si="103"/>
        <v>SAÍDA</v>
      </c>
      <c r="C454" t="str">
        <f t="shared" si="96"/>
        <v>PIX</v>
      </c>
      <c r="D454" t="str">
        <f>"20948"</f>
        <v>20948</v>
      </c>
      <c r="E454" t="str">
        <f t="shared" si="97"/>
        <v>1</v>
      </c>
      <c r="F454" t="str">
        <f t="shared" si="104"/>
        <v>COM</v>
      </c>
      <c r="G454" t="str">
        <f>"ERIC DE RAMOS GOMES (606)"</f>
        <v>ERIC DE RAMOS GOMES (606)</v>
      </c>
      <c r="H454" t="str">
        <f>"Serv.Prest. 18/08/2025 a 24/08/2025 - PIX: E-MAIL - CHAVE: ericgomes508@gmail.com"</f>
        <v>Serv.Prest. 18/08/2025 a 24/08/2025 - PIX: E-MAIL - CHAVE: ericgomes508@gmail.com</v>
      </c>
      <c r="I454" t="str">
        <f t="shared" si="98"/>
        <v>04/09/2025</v>
      </c>
      <c r="J454" t="str">
        <f t="shared" si="100"/>
        <v>25/08/2025</v>
      </c>
      <c r="K454" t="str">
        <f>("04/09/2025")</f>
        <v>04/09/2025</v>
      </c>
      <c r="L454">
        <v>678</v>
      </c>
      <c r="M454">
        <v>678</v>
      </c>
      <c r="N454">
        <v>109</v>
      </c>
      <c r="O454" t="str">
        <f>"PAGAMENTO DE ENTREGADORES"</f>
        <v>PAGAMENTO DE ENTREGADORES</v>
      </c>
      <c r="P454">
        <v>678</v>
      </c>
      <c r="S454" t="str">
        <f>"BANCO C6 (149)"</f>
        <v>BANCO C6 (149)</v>
      </c>
      <c r="T454">
        <v>17578</v>
      </c>
      <c r="U454">
        <v>20948</v>
      </c>
      <c r="V454" t="s">
        <v>77</v>
      </c>
    </row>
    <row r="455" spans="1:22">
      <c r="A455" t="str">
        <f t="shared" si="102"/>
        <v>04/09/2025</v>
      </c>
      <c r="B455" t="str">
        <f t="shared" si="103"/>
        <v>SAÍDA</v>
      </c>
      <c r="C455" t="str">
        <f t="shared" si="96"/>
        <v>PIX</v>
      </c>
      <c r="D455" t="str">
        <f>"20948"</f>
        <v>20948</v>
      </c>
      <c r="E455" t="str">
        <f t="shared" si="97"/>
        <v>1</v>
      </c>
      <c r="F455" t="str">
        <f t="shared" si="104"/>
        <v>COM</v>
      </c>
      <c r="G455" t="str">
        <f>"ERIC DE RAMOS GOMES (606)"</f>
        <v>ERIC DE RAMOS GOMES (606)</v>
      </c>
      <c r="H455" t="s">
        <v>189</v>
      </c>
      <c r="I455" t="str">
        <f t="shared" si="98"/>
        <v>04/09/2025</v>
      </c>
      <c r="J455" t="str">
        <f t="shared" si="100"/>
        <v>25/08/2025</v>
      </c>
      <c r="K455">
        <v>45904</v>
      </c>
      <c r="N455">
        <v>109</v>
      </c>
      <c r="O455" t="s">
        <v>24</v>
      </c>
      <c r="Q455">
        <v>678</v>
      </c>
      <c r="R455" t="str">
        <f>"FARMÁCIA INDIANA LJ 91 (10037)"</f>
        <v>FARMÁCIA INDIANA LJ 91 (10037)</v>
      </c>
      <c r="S455" t="s">
        <v>77</v>
      </c>
      <c r="T455">
        <v>17578</v>
      </c>
      <c r="U455">
        <v>20948</v>
      </c>
      <c r="V455" t="s">
        <v>77</v>
      </c>
    </row>
    <row r="456" spans="1:22">
      <c r="A456" t="str">
        <f t="shared" si="102"/>
        <v>04/09/2025</v>
      </c>
      <c r="B456" t="str">
        <f t="shared" si="103"/>
        <v>SAÍDA</v>
      </c>
      <c r="C456" t="str">
        <f t="shared" si="96"/>
        <v>PIX</v>
      </c>
      <c r="D456" t="str">
        <f>"20949"</f>
        <v>20949</v>
      </c>
      <c r="E456" t="str">
        <f t="shared" si="97"/>
        <v>1</v>
      </c>
      <c r="F456" t="str">
        <f t="shared" si="104"/>
        <v>COM</v>
      </c>
      <c r="G456" t="str">
        <f>"ERISVALDO FELIX ALVES (911)"</f>
        <v>ERISVALDO FELIX ALVES (911)</v>
      </c>
      <c r="H456" t="str">
        <f>"Serv.Prest. 18/08/2025 a 24/08/2025 - PIX: CPF - CHAVE: 005.022.525-10"</f>
        <v>Serv.Prest. 18/08/2025 a 24/08/2025 - PIX: CPF - CHAVE: 005.022.525-10</v>
      </c>
      <c r="I456" t="str">
        <f t="shared" si="98"/>
        <v>04/09/2025</v>
      </c>
      <c r="J456" t="str">
        <f t="shared" si="100"/>
        <v>25/08/2025</v>
      </c>
      <c r="K456" t="str">
        <f>("04/09/2025")</f>
        <v>04/09/2025</v>
      </c>
      <c r="L456">
        <v>850</v>
      </c>
      <c r="M456">
        <v>850</v>
      </c>
      <c r="N456">
        <v>109</v>
      </c>
      <c r="O456" t="str">
        <f>"PAGAMENTO DE ENTREGADORES"</f>
        <v>PAGAMENTO DE ENTREGADORES</v>
      </c>
      <c r="P456">
        <v>850</v>
      </c>
      <c r="S456" t="str">
        <f>"BANCO C6 (149)"</f>
        <v>BANCO C6 (149)</v>
      </c>
      <c r="T456">
        <v>17579</v>
      </c>
      <c r="U456">
        <v>20949</v>
      </c>
      <c r="V456" t="s">
        <v>77</v>
      </c>
    </row>
    <row r="457" spans="1:22">
      <c r="A457" t="str">
        <f t="shared" si="102"/>
        <v>04/09/2025</v>
      </c>
      <c r="B457" t="str">
        <f t="shared" si="103"/>
        <v>SAÍDA</v>
      </c>
      <c r="C457" t="str">
        <f t="shared" si="96"/>
        <v>PIX</v>
      </c>
      <c r="D457" t="str">
        <f>"20949"</f>
        <v>20949</v>
      </c>
      <c r="E457" t="str">
        <f t="shared" si="97"/>
        <v>1</v>
      </c>
      <c r="F457" t="str">
        <f t="shared" si="104"/>
        <v>COM</v>
      </c>
      <c r="G457" t="str">
        <f>"ERISVALDO FELIX ALVES (911)"</f>
        <v>ERISVALDO FELIX ALVES (911)</v>
      </c>
      <c r="H457" t="s">
        <v>190</v>
      </c>
      <c r="I457" t="str">
        <f t="shared" si="98"/>
        <v>04/09/2025</v>
      </c>
      <c r="J457" t="str">
        <f t="shared" si="100"/>
        <v>25/08/2025</v>
      </c>
      <c r="K457">
        <v>45904</v>
      </c>
      <c r="N457">
        <v>109</v>
      </c>
      <c r="O457" t="s">
        <v>24</v>
      </c>
      <c r="Q457">
        <v>850</v>
      </c>
      <c r="R457" t="str">
        <f>"FARMÁCIA INDIANA LJ 33 (10187)"</f>
        <v>FARMÁCIA INDIANA LJ 33 (10187)</v>
      </c>
      <c r="S457" t="s">
        <v>77</v>
      </c>
      <c r="T457">
        <v>17579</v>
      </c>
      <c r="U457">
        <v>20949</v>
      </c>
      <c r="V457" t="s">
        <v>77</v>
      </c>
    </row>
    <row r="458" spans="1:22">
      <c r="A458" t="str">
        <f t="shared" si="102"/>
        <v>04/09/2025</v>
      </c>
      <c r="B458" t="str">
        <f t="shared" si="103"/>
        <v>SAÍDA</v>
      </c>
      <c r="C458" t="str">
        <f t="shared" si="96"/>
        <v>PIX</v>
      </c>
      <c r="D458" t="str">
        <f>"20950"</f>
        <v>20950</v>
      </c>
      <c r="E458" t="str">
        <f t="shared" si="97"/>
        <v>1</v>
      </c>
      <c r="F458" t="str">
        <f t="shared" si="104"/>
        <v>COM</v>
      </c>
      <c r="G458" t="str">
        <f>"GABRIEL SOUZA RIBEIRO (425)"</f>
        <v>GABRIEL SOUZA RIBEIRO (425)</v>
      </c>
      <c r="H458" t="str">
        <f>"Serv.Prest. 18/08/2025 a 24/08/2025 - PIX: CPF - CHAVE: 087.398.185-51"</f>
        <v>Serv.Prest. 18/08/2025 a 24/08/2025 - PIX: CPF - CHAVE: 087.398.185-51</v>
      </c>
      <c r="I458" t="str">
        <f t="shared" si="98"/>
        <v>04/09/2025</v>
      </c>
      <c r="J458" t="str">
        <f t="shared" si="100"/>
        <v>25/08/2025</v>
      </c>
      <c r="K458" t="str">
        <f>("04/09/2025")</f>
        <v>04/09/2025</v>
      </c>
      <c r="L458">
        <v>654</v>
      </c>
      <c r="M458">
        <v>654</v>
      </c>
      <c r="N458">
        <v>109</v>
      </c>
      <c r="O458" t="str">
        <f>"PAGAMENTO DE ENTREGADORES"</f>
        <v>PAGAMENTO DE ENTREGADORES</v>
      </c>
      <c r="P458">
        <v>654</v>
      </c>
      <c r="S458" t="str">
        <f>"BANCO C6 (149)"</f>
        <v>BANCO C6 (149)</v>
      </c>
      <c r="T458">
        <v>17580</v>
      </c>
      <c r="U458">
        <v>20950</v>
      </c>
      <c r="V458" t="s">
        <v>77</v>
      </c>
    </row>
    <row r="459" spans="1:22">
      <c r="A459" t="str">
        <f t="shared" si="102"/>
        <v>04/09/2025</v>
      </c>
      <c r="B459" t="str">
        <f t="shared" si="103"/>
        <v>SAÍDA</v>
      </c>
      <c r="C459" t="str">
        <f t="shared" ref="C459:C522" si="105">"PIX"</f>
        <v>PIX</v>
      </c>
      <c r="D459" t="str">
        <f>"20950"</f>
        <v>20950</v>
      </c>
      <c r="E459" t="str">
        <f t="shared" si="97"/>
        <v>1</v>
      </c>
      <c r="F459" t="str">
        <f t="shared" si="104"/>
        <v>COM</v>
      </c>
      <c r="G459" t="str">
        <f>"GABRIEL SOUZA RIBEIRO (425)"</f>
        <v>GABRIEL SOUZA RIBEIRO (425)</v>
      </c>
      <c r="H459" t="s">
        <v>191</v>
      </c>
      <c r="I459" t="str">
        <f t="shared" si="98"/>
        <v>04/09/2025</v>
      </c>
      <c r="J459" t="str">
        <f t="shared" si="100"/>
        <v>25/08/2025</v>
      </c>
      <c r="K459">
        <v>45904</v>
      </c>
      <c r="N459">
        <v>109</v>
      </c>
      <c r="O459" t="s">
        <v>24</v>
      </c>
      <c r="Q459">
        <v>654</v>
      </c>
      <c r="R459" t="str">
        <f>"FARMÁCIA INDIANA LJ 65 (10030)"</f>
        <v>FARMÁCIA INDIANA LJ 65 (10030)</v>
      </c>
      <c r="S459" t="s">
        <v>77</v>
      </c>
      <c r="T459">
        <v>17580</v>
      </c>
      <c r="U459">
        <v>20950</v>
      </c>
      <c r="V459" t="s">
        <v>77</v>
      </c>
    </row>
    <row r="460" spans="1:22">
      <c r="A460" t="str">
        <f t="shared" si="102"/>
        <v>04/09/2025</v>
      </c>
      <c r="B460" t="str">
        <f t="shared" si="103"/>
        <v>SAÍDA</v>
      </c>
      <c r="C460" t="str">
        <f t="shared" si="105"/>
        <v>PIX</v>
      </c>
      <c r="D460" t="str">
        <f>"20951"</f>
        <v>20951</v>
      </c>
      <c r="E460" t="str">
        <f t="shared" si="97"/>
        <v>1</v>
      </c>
      <c r="F460" t="str">
        <f t="shared" si="104"/>
        <v>COM</v>
      </c>
      <c r="G460" t="str">
        <f>"GILBERTO PINHEIRO DA ROCHA (155)"</f>
        <v>GILBERTO PINHEIRO DA ROCHA (155)</v>
      </c>
      <c r="H460" t="str">
        <f>"Serv.Prest. 18/08/2025 a 24/08/2025 - PIX: CELULAR - CHAVE: (73) 99941-8352"</f>
        <v>Serv.Prest. 18/08/2025 a 24/08/2025 - PIX: CELULAR - CHAVE: (73) 99941-8352</v>
      </c>
      <c r="I460" t="str">
        <f t="shared" si="98"/>
        <v>04/09/2025</v>
      </c>
      <c r="J460" t="str">
        <f t="shared" si="100"/>
        <v>25/08/2025</v>
      </c>
      <c r="K460" t="str">
        <f>("04/09/2025")</f>
        <v>04/09/2025</v>
      </c>
      <c r="L460">
        <v>799</v>
      </c>
      <c r="M460">
        <v>799</v>
      </c>
      <c r="N460">
        <v>109</v>
      </c>
      <c r="O460" t="str">
        <f>"PAGAMENTO DE ENTREGADORES"</f>
        <v>PAGAMENTO DE ENTREGADORES</v>
      </c>
      <c r="P460">
        <v>799</v>
      </c>
      <c r="S460" t="str">
        <f>"BANCO C6 (149)"</f>
        <v>BANCO C6 (149)</v>
      </c>
      <c r="T460">
        <v>17581</v>
      </c>
      <c r="U460">
        <v>20951</v>
      </c>
      <c r="V460" t="s">
        <v>77</v>
      </c>
    </row>
    <row r="461" spans="1:22">
      <c r="A461" t="str">
        <f t="shared" si="102"/>
        <v>04/09/2025</v>
      </c>
      <c r="B461" t="str">
        <f t="shared" si="103"/>
        <v>SAÍDA</v>
      </c>
      <c r="C461" t="str">
        <f t="shared" si="105"/>
        <v>PIX</v>
      </c>
      <c r="D461" t="str">
        <f>"20951"</f>
        <v>20951</v>
      </c>
      <c r="E461" t="str">
        <f t="shared" si="97"/>
        <v>1</v>
      </c>
      <c r="F461" t="str">
        <f t="shared" si="104"/>
        <v>COM</v>
      </c>
      <c r="G461" t="str">
        <f>"GILBERTO PINHEIRO DA ROCHA (155)"</f>
        <v>GILBERTO PINHEIRO DA ROCHA (155)</v>
      </c>
      <c r="H461" t="s">
        <v>192</v>
      </c>
      <c r="I461" t="str">
        <f t="shared" si="98"/>
        <v>04/09/2025</v>
      </c>
      <c r="J461" t="str">
        <f t="shared" si="100"/>
        <v>25/08/2025</v>
      </c>
      <c r="K461">
        <v>45904</v>
      </c>
      <c r="N461">
        <v>109</v>
      </c>
      <c r="O461" t="s">
        <v>24</v>
      </c>
      <c r="Q461">
        <v>799</v>
      </c>
      <c r="R461" t="str">
        <f>"FARMÁCIA INDIANA LJ 34 (10014)"</f>
        <v>FARMÁCIA INDIANA LJ 34 (10014)</v>
      </c>
      <c r="S461" t="s">
        <v>77</v>
      </c>
      <c r="T461">
        <v>17581</v>
      </c>
      <c r="U461">
        <v>20951</v>
      </c>
      <c r="V461" t="s">
        <v>77</v>
      </c>
    </row>
    <row r="462" spans="1:22">
      <c r="A462" t="str">
        <f t="shared" si="102"/>
        <v>04/09/2025</v>
      </c>
      <c r="B462" t="str">
        <f t="shared" si="103"/>
        <v>SAÍDA</v>
      </c>
      <c r="C462" t="str">
        <f t="shared" si="105"/>
        <v>PIX</v>
      </c>
      <c r="D462" t="str">
        <f>"20953"</f>
        <v>20953</v>
      </c>
      <c r="E462" t="str">
        <f t="shared" si="97"/>
        <v>1</v>
      </c>
      <c r="F462" t="str">
        <f t="shared" si="104"/>
        <v>COM</v>
      </c>
      <c r="G462" t="str">
        <f>"GUSTAVO SILVA LIMA (771)"</f>
        <v>GUSTAVO SILVA LIMA (771)</v>
      </c>
      <c r="H462" t="str">
        <f>"Serv.Prest. 18/08/2025 a 24/08/2025 - PIX: CELULAR - CHAVE: (73) 98888-3793"</f>
        <v>Serv.Prest. 18/08/2025 a 24/08/2025 - PIX: CELULAR - CHAVE: (73) 98888-3793</v>
      </c>
      <c r="I462" t="str">
        <f t="shared" si="98"/>
        <v>04/09/2025</v>
      </c>
      <c r="J462" t="str">
        <f t="shared" si="100"/>
        <v>25/08/2025</v>
      </c>
      <c r="K462" t="str">
        <f>("04/09/2025")</f>
        <v>04/09/2025</v>
      </c>
      <c r="L462">
        <v>654</v>
      </c>
      <c r="M462">
        <v>654</v>
      </c>
      <c r="N462">
        <v>109</v>
      </c>
      <c r="O462" t="str">
        <f>"PAGAMENTO DE ENTREGADORES"</f>
        <v>PAGAMENTO DE ENTREGADORES</v>
      </c>
      <c r="P462">
        <v>654</v>
      </c>
      <c r="S462" t="str">
        <f>"BANCO C6 (149)"</f>
        <v>BANCO C6 (149)</v>
      </c>
      <c r="T462">
        <v>17582</v>
      </c>
      <c r="U462">
        <v>20953</v>
      </c>
      <c r="V462" t="s">
        <v>77</v>
      </c>
    </row>
    <row r="463" spans="1:22">
      <c r="A463" t="str">
        <f t="shared" si="102"/>
        <v>04/09/2025</v>
      </c>
      <c r="B463" t="str">
        <f t="shared" si="103"/>
        <v>SAÍDA</v>
      </c>
      <c r="C463" t="str">
        <f t="shared" si="105"/>
        <v>PIX</v>
      </c>
      <c r="D463" t="str">
        <f>"20953"</f>
        <v>20953</v>
      </c>
      <c r="E463" t="str">
        <f t="shared" si="97"/>
        <v>1</v>
      </c>
      <c r="F463" t="str">
        <f t="shared" si="104"/>
        <v>COM</v>
      </c>
      <c r="G463" t="str">
        <f>"GUSTAVO SILVA LIMA (771)"</f>
        <v>GUSTAVO SILVA LIMA (771)</v>
      </c>
      <c r="H463" t="s">
        <v>193</v>
      </c>
      <c r="I463" t="str">
        <f t="shared" si="98"/>
        <v>04/09/2025</v>
      </c>
      <c r="J463" t="str">
        <f t="shared" si="100"/>
        <v>25/08/2025</v>
      </c>
      <c r="K463">
        <v>45904</v>
      </c>
      <c r="N463">
        <v>109</v>
      </c>
      <c r="O463" t="s">
        <v>24</v>
      </c>
      <c r="Q463">
        <v>586.30999999999995</v>
      </c>
      <c r="R463" t="str">
        <f>"FARMÁCIA INDIANA LJ 65 (10030)"</f>
        <v>FARMÁCIA INDIANA LJ 65 (10030)</v>
      </c>
      <c r="S463" t="s">
        <v>77</v>
      </c>
      <c r="T463">
        <v>17582</v>
      </c>
      <c r="U463">
        <v>20953</v>
      </c>
      <c r="V463" t="s">
        <v>77</v>
      </c>
    </row>
    <row r="464" spans="1:22">
      <c r="A464" t="str">
        <f t="shared" si="102"/>
        <v>04/09/2025</v>
      </c>
      <c r="B464" t="str">
        <f t="shared" si="103"/>
        <v>SAÍDA</v>
      </c>
      <c r="C464" t="str">
        <f t="shared" si="105"/>
        <v>PIX</v>
      </c>
      <c r="D464" t="str">
        <f>"20953"</f>
        <v>20953</v>
      </c>
      <c r="E464" t="str">
        <f t="shared" si="97"/>
        <v>1</v>
      </c>
      <c r="F464" t="str">
        <f t="shared" si="104"/>
        <v>COM</v>
      </c>
      <c r="G464" t="str">
        <f>"GUSTAVO SILVA LIMA (771)"</f>
        <v>GUSTAVO SILVA LIMA (771)</v>
      </c>
      <c r="H464" t="s">
        <v>193</v>
      </c>
      <c r="I464" t="str">
        <f t="shared" si="98"/>
        <v>04/09/2025</v>
      </c>
      <c r="J464" t="str">
        <f t="shared" si="100"/>
        <v>25/08/2025</v>
      </c>
      <c r="K464">
        <v>45904</v>
      </c>
      <c r="N464">
        <v>109</v>
      </c>
      <c r="O464" t="s">
        <v>24</v>
      </c>
      <c r="Q464">
        <v>67.69</v>
      </c>
      <c r="R464" t="str">
        <f>"FARMÁCIA INDIANA LJ 173 (10075)"</f>
        <v>FARMÁCIA INDIANA LJ 173 (10075)</v>
      </c>
      <c r="S464" t="s">
        <v>77</v>
      </c>
      <c r="T464">
        <v>17582</v>
      </c>
      <c r="U464">
        <v>20953</v>
      </c>
      <c r="V464" t="s">
        <v>77</v>
      </c>
    </row>
    <row r="465" spans="1:22">
      <c r="A465" t="str">
        <f t="shared" si="102"/>
        <v>04/09/2025</v>
      </c>
      <c r="B465" t="str">
        <f t="shared" si="103"/>
        <v>SAÍDA</v>
      </c>
      <c r="C465" t="str">
        <f t="shared" si="105"/>
        <v>PIX</v>
      </c>
      <c r="D465" t="str">
        <f>"20954"</f>
        <v>20954</v>
      </c>
      <c r="E465" t="str">
        <f t="shared" si="97"/>
        <v>1</v>
      </c>
      <c r="F465" t="str">
        <f t="shared" si="104"/>
        <v>COM</v>
      </c>
      <c r="G465" t="str">
        <f>"JALDENIR MENDES DOS SANTOS (167)"</f>
        <v>JALDENIR MENDES DOS SANTOS (167)</v>
      </c>
      <c r="H465" t="str">
        <f>"Serv.Prest. 18/08/2025 a 24/08/2025 - PIX: CPF - CHAVE: 439.169.103-53"</f>
        <v>Serv.Prest. 18/08/2025 a 24/08/2025 - PIX: CPF - CHAVE: 439.169.103-53</v>
      </c>
      <c r="I465" t="str">
        <f t="shared" si="98"/>
        <v>04/09/2025</v>
      </c>
      <c r="J465" t="str">
        <f t="shared" si="100"/>
        <v>25/08/2025</v>
      </c>
      <c r="K465" t="str">
        <f>("04/09/2025")</f>
        <v>04/09/2025</v>
      </c>
      <c r="L465">
        <v>871.25</v>
      </c>
      <c r="M465">
        <v>871.25</v>
      </c>
      <c r="N465">
        <v>109</v>
      </c>
      <c r="O465" t="str">
        <f>"PAGAMENTO DE ENTREGADORES"</f>
        <v>PAGAMENTO DE ENTREGADORES</v>
      </c>
      <c r="P465">
        <v>871.25</v>
      </c>
      <c r="S465" t="str">
        <f>"BANCO C6 (149)"</f>
        <v>BANCO C6 (149)</v>
      </c>
      <c r="T465">
        <v>17583</v>
      </c>
      <c r="U465">
        <v>20954</v>
      </c>
      <c r="V465" t="s">
        <v>77</v>
      </c>
    </row>
    <row r="466" spans="1:22">
      <c r="A466" t="str">
        <f t="shared" si="102"/>
        <v>04/09/2025</v>
      </c>
      <c r="B466" t="str">
        <f t="shared" si="103"/>
        <v>SAÍDA</v>
      </c>
      <c r="C466" t="str">
        <f t="shared" si="105"/>
        <v>PIX</v>
      </c>
      <c r="D466" t="str">
        <f>"20954"</f>
        <v>20954</v>
      </c>
      <c r="E466" t="str">
        <f t="shared" ref="E466:E529" si="106">"1"</f>
        <v>1</v>
      </c>
      <c r="F466" t="str">
        <f t="shared" si="104"/>
        <v>COM</v>
      </c>
      <c r="G466" t="str">
        <f>"JALDENIR MENDES DOS SANTOS (167)"</f>
        <v>JALDENIR MENDES DOS SANTOS (167)</v>
      </c>
      <c r="H466" t="s">
        <v>194</v>
      </c>
      <c r="I466" t="str">
        <f t="shared" si="98"/>
        <v>04/09/2025</v>
      </c>
      <c r="J466" t="str">
        <f t="shared" si="100"/>
        <v>25/08/2025</v>
      </c>
      <c r="K466">
        <v>45904</v>
      </c>
      <c r="N466">
        <v>109</v>
      </c>
      <c r="O466" t="s">
        <v>24</v>
      </c>
      <c r="Q466">
        <v>871.25</v>
      </c>
      <c r="R466" t="str">
        <f>"FARMÁCIA INDIANA LJ 34 (10014)"</f>
        <v>FARMÁCIA INDIANA LJ 34 (10014)</v>
      </c>
      <c r="S466" t="s">
        <v>77</v>
      </c>
      <c r="T466">
        <v>17583</v>
      </c>
      <c r="U466">
        <v>20954</v>
      </c>
      <c r="V466" t="s">
        <v>77</v>
      </c>
    </row>
    <row r="467" spans="1:22">
      <c r="A467" t="str">
        <f t="shared" si="102"/>
        <v>04/09/2025</v>
      </c>
      <c r="B467" t="str">
        <f t="shared" si="103"/>
        <v>SAÍDA</v>
      </c>
      <c r="C467" t="str">
        <f t="shared" si="105"/>
        <v>PIX</v>
      </c>
      <c r="D467" t="str">
        <f>"20955"</f>
        <v>20955</v>
      </c>
      <c r="E467" t="str">
        <f t="shared" si="106"/>
        <v>1</v>
      </c>
      <c r="F467" t="str">
        <f t="shared" si="104"/>
        <v>COM</v>
      </c>
      <c r="G467" t="str">
        <f>"JARLES DE SOUZA PEREIRA (109)"</f>
        <v>JARLES DE SOUZA PEREIRA (109)</v>
      </c>
      <c r="H467" t="str">
        <f>"Serv.Prest. 18/08/2025 a 24/08/2025 - PIX: CELULAR - CHAVE: (73) 99115-9602"</f>
        <v>Serv.Prest. 18/08/2025 a 24/08/2025 - PIX: CELULAR - CHAVE: (73) 99115-9602</v>
      </c>
      <c r="I467" t="str">
        <f t="shared" si="98"/>
        <v>04/09/2025</v>
      </c>
      <c r="J467" t="str">
        <f t="shared" si="100"/>
        <v>25/08/2025</v>
      </c>
      <c r="K467" t="str">
        <f>("04/09/2025")</f>
        <v>04/09/2025</v>
      </c>
      <c r="L467">
        <v>658</v>
      </c>
      <c r="M467">
        <v>658</v>
      </c>
      <c r="N467">
        <v>109</v>
      </c>
      <c r="O467" t="str">
        <f>"PAGAMENTO DE ENTREGADORES"</f>
        <v>PAGAMENTO DE ENTREGADORES</v>
      </c>
      <c r="P467">
        <v>658</v>
      </c>
      <c r="S467" t="str">
        <f>"BANCO C6 (149)"</f>
        <v>BANCO C6 (149)</v>
      </c>
      <c r="T467">
        <v>17584</v>
      </c>
      <c r="U467">
        <v>20955</v>
      </c>
      <c r="V467" t="s">
        <v>77</v>
      </c>
    </row>
    <row r="468" spans="1:22">
      <c r="A468" t="str">
        <f t="shared" si="102"/>
        <v>04/09/2025</v>
      </c>
      <c r="B468" t="str">
        <f t="shared" si="103"/>
        <v>SAÍDA</v>
      </c>
      <c r="C468" t="str">
        <f t="shared" si="105"/>
        <v>PIX</v>
      </c>
      <c r="D468" t="str">
        <f>"20955"</f>
        <v>20955</v>
      </c>
      <c r="E468" t="str">
        <f t="shared" si="106"/>
        <v>1</v>
      </c>
      <c r="F468" t="str">
        <f t="shared" si="104"/>
        <v>COM</v>
      </c>
      <c r="G468" t="str">
        <f>"JARLES DE SOUZA PEREIRA (109)"</f>
        <v>JARLES DE SOUZA PEREIRA (109)</v>
      </c>
      <c r="H468" t="s">
        <v>195</v>
      </c>
      <c r="I468" t="str">
        <f t="shared" si="98"/>
        <v>04/09/2025</v>
      </c>
      <c r="J468" t="str">
        <f t="shared" si="100"/>
        <v>25/08/2025</v>
      </c>
      <c r="K468">
        <v>45904</v>
      </c>
      <c r="N468">
        <v>109</v>
      </c>
      <c r="O468" t="s">
        <v>24</v>
      </c>
      <c r="Q468">
        <v>287.14999999999998</v>
      </c>
      <c r="R468" t="str">
        <f>"FARMÁCIA INDIANA LJ 65 (10030)"</f>
        <v>FARMÁCIA INDIANA LJ 65 (10030)</v>
      </c>
      <c r="S468" t="s">
        <v>77</v>
      </c>
      <c r="T468">
        <v>17584</v>
      </c>
      <c r="U468">
        <v>20955</v>
      </c>
      <c r="V468" t="s">
        <v>77</v>
      </c>
    </row>
    <row r="469" spans="1:22">
      <c r="A469" t="str">
        <f t="shared" si="102"/>
        <v>04/09/2025</v>
      </c>
      <c r="B469" t="str">
        <f t="shared" si="103"/>
        <v>SAÍDA</v>
      </c>
      <c r="C469" t="str">
        <f t="shared" si="105"/>
        <v>PIX</v>
      </c>
      <c r="D469" t="str">
        <f>"20955"</f>
        <v>20955</v>
      </c>
      <c r="E469" t="str">
        <f t="shared" si="106"/>
        <v>1</v>
      </c>
      <c r="F469" t="str">
        <f t="shared" si="104"/>
        <v>COM</v>
      </c>
      <c r="G469" t="str">
        <f>"JARLES DE SOUZA PEREIRA (109)"</f>
        <v>JARLES DE SOUZA PEREIRA (109)</v>
      </c>
      <c r="H469" t="s">
        <v>195</v>
      </c>
      <c r="I469" t="str">
        <f t="shared" si="98"/>
        <v>04/09/2025</v>
      </c>
      <c r="J469" t="str">
        <f t="shared" si="100"/>
        <v>25/08/2025</v>
      </c>
      <c r="K469">
        <v>45904</v>
      </c>
      <c r="N469">
        <v>109</v>
      </c>
      <c r="O469" t="s">
        <v>24</v>
      </c>
      <c r="Q469">
        <v>370.85</v>
      </c>
      <c r="R469" t="str">
        <f>"FARMÁCIA INDIANA LJ 173 (10075)"</f>
        <v>FARMÁCIA INDIANA LJ 173 (10075)</v>
      </c>
      <c r="S469" t="s">
        <v>77</v>
      </c>
      <c r="T469">
        <v>17584</v>
      </c>
      <c r="U469">
        <v>20955</v>
      </c>
      <c r="V469" t="s">
        <v>77</v>
      </c>
    </row>
    <row r="470" spans="1:22">
      <c r="A470" t="str">
        <f t="shared" si="102"/>
        <v>04/09/2025</v>
      </c>
      <c r="B470" t="str">
        <f t="shared" si="103"/>
        <v>SAÍDA</v>
      </c>
      <c r="C470" t="str">
        <f t="shared" si="105"/>
        <v>PIX</v>
      </c>
      <c r="D470" t="str">
        <f>"20956"</f>
        <v>20956</v>
      </c>
      <c r="E470" t="str">
        <f t="shared" si="106"/>
        <v>1</v>
      </c>
      <c r="F470" t="str">
        <f t="shared" si="104"/>
        <v>COM</v>
      </c>
      <c r="G470" t="str">
        <f>"JIRLANIA RODRIGUES DOS SANTOS (152)"</f>
        <v>JIRLANIA RODRIGUES DOS SANTOS (152)</v>
      </c>
      <c r="H470" t="str">
        <f>"Serv.Prest. 18/08/2025 a 24/08/2025 - PIX: CPF - CHAVE: 035.018.455-02"</f>
        <v>Serv.Prest. 18/08/2025 a 24/08/2025 - PIX: CPF - CHAVE: 035.018.455-02</v>
      </c>
      <c r="I470" t="str">
        <f t="shared" ref="I470:I533" si="107">("04/09/2025")</f>
        <v>04/09/2025</v>
      </c>
      <c r="J470" t="str">
        <f t="shared" si="100"/>
        <v>25/08/2025</v>
      </c>
      <c r="K470" t="str">
        <f>("04/09/2025")</f>
        <v>04/09/2025</v>
      </c>
      <c r="L470">
        <v>981.75</v>
      </c>
      <c r="M470">
        <v>981.75</v>
      </c>
      <c r="N470">
        <v>109</v>
      </c>
      <c r="O470" t="str">
        <f>"PAGAMENTO DE ENTREGADORES"</f>
        <v>PAGAMENTO DE ENTREGADORES</v>
      </c>
      <c r="P470">
        <v>981.75</v>
      </c>
      <c r="S470" t="str">
        <f>"BANCO C6 (149)"</f>
        <v>BANCO C6 (149)</v>
      </c>
      <c r="T470">
        <v>17585</v>
      </c>
      <c r="U470">
        <v>20956</v>
      </c>
      <c r="V470" t="s">
        <v>77</v>
      </c>
    </row>
    <row r="471" spans="1:22">
      <c r="A471" t="str">
        <f t="shared" si="102"/>
        <v>04/09/2025</v>
      </c>
      <c r="B471" t="str">
        <f t="shared" si="103"/>
        <v>SAÍDA</v>
      </c>
      <c r="C471" t="str">
        <f t="shared" si="105"/>
        <v>PIX</v>
      </c>
      <c r="D471" t="str">
        <f>"20956"</f>
        <v>20956</v>
      </c>
      <c r="E471" t="str">
        <f t="shared" si="106"/>
        <v>1</v>
      </c>
      <c r="F471" t="str">
        <f t="shared" si="104"/>
        <v>COM</v>
      </c>
      <c r="G471" t="str">
        <f>"JIRLANIA RODRIGUES DOS SANTOS (152)"</f>
        <v>JIRLANIA RODRIGUES DOS SANTOS (152)</v>
      </c>
      <c r="H471" t="s">
        <v>196</v>
      </c>
      <c r="I471" t="str">
        <f t="shared" si="107"/>
        <v>04/09/2025</v>
      </c>
      <c r="J471" t="str">
        <f t="shared" si="100"/>
        <v>25/08/2025</v>
      </c>
      <c r="K471">
        <v>45904</v>
      </c>
      <c r="N471">
        <v>109</v>
      </c>
      <c r="O471" t="s">
        <v>24</v>
      </c>
      <c r="Q471">
        <v>981.75</v>
      </c>
      <c r="R471" t="str">
        <f>"FARMÁCIA INDIANA LJ 95 (10039)"</f>
        <v>FARMÁCIA INDIANA LJ 95 (10039)</v>
      </c>
      <c r="S471" t="s">
        <v>77</v>
      </c>
      <c r="T471">
        <v>17585</v>
      </c>
      <c r="U471">
        <v>20956</v>
      </c>
      <c r="V471" t="s">
        <v>77</v>
      </c>
    </row>
    <row r="472" spans="1:22">
      <c r="A472" t="str">
        <f t="shared" si="102"/>
        <v>04/09/2025</v>
      </c>
      <c r="B472" t="str">
        <f t="shared" si="103"/>
        <v>SAÍDA</v>
      </c>
      <c r="C472" t="str">
        <f t="shared" si="105"/>
        <v>PIX</v>
      </c>
      <c r="D472" t="str">
        <f>"20957"</f>
        <v>20957</v>
      </c>
      <c r="E472" t="str">
        <f t="shared" si="106"/>
        <v>1</v>
      </c>
      <c r="F472" t="str">
        <f t="shared" si="104"/>
        <v>COM</v>
      </c>
      <c r="G472" t="str">
        <f>"JOAO PEDRO BRITO DE SOUZA (876)"</f>
        <v>JOAO PEDRO BRITO DE SOUZA (876)</v>
      </c>
      <c r="H472" t="str">
        <f>"Serv.Prest. 18/08/2025 a 24/08/2025 - PIX: CPF - CHAVE: 860.305.455-07"</f>
        <v>Serv.Prest. 18/08/2025 a 24/08/2025 - PIX: CPF - CHAVE: 860.305.455-07</v>
      </c>
      <c r="I472" t="str">
        <f t="shared" si="107"/>
        <v>04/09/2025</v>
      </c>
      <c r="J472" t="str">
        <f t="shared" si="100"/>
        <v>25/08/2025</v>
      </c>
      <c r="K472" t="str">
        <f>("04/09/2025")</f>
        <v>04/09/2025</v>
      </c>
      <c r="L472">
        <v>1165</v>
      </c>
      <c r="M472">
        <v>1165</v>
      </c>
      <c r="N472">
        <v>109</v>
      </c>
      <c r="O472" t="str">
        <f>"PAGAMENTO DE ENTREGADORES"</f>
        <v>PAGAMENTO DE ENTREGADORES</v>
      </c>
      <c r="P472">
        <v>1165</v>
      </c>
      <c r="S472" t="str">
        <f>"BANCO C6 (149)"</f>
        <v>BANCO C6 (149)</v>
      </c>
      <c r="T472">
        <v>17586</v>
      </c>
      <c r="U472">
        <v>20957</v>
      </c>
      <c r="V472" t="s">
        <v>77</v>
      </c>
    </row>
    <row r="473" spans="1:22">
      <c r="A473" t="str">
        <f t="shared" si="102"/>
        <v>04/09/2025</v>
      </c>
      <c r="B473" t="str">
        <f t="shared" si="103"/>
        <v>SAÍDA</v>
      </c>
      <c r="C473" t="str">
        <f t="shared" si="105"/>
        <v>PIX</v>
      </c>
      <c r="D473" t="str">
        <f>"20957"</f>
        <v>20957</v>
      </c>
      <c r="E473" t="str">
        <f t="shared" si="106"/>
        <v>1</v>
      </c>
      <c r="F473" t="str">
        <f t="shared" si="104"/>
        <v>COM</v>
      </c>
      <c r="G473" t="str">
        <f>"JOAO PEDRO BRITO DE SOUZA (876)"</f>
        <v>JOAO PEDRO BRITO DE SOUZA (876)</v>
      </c>
      <c r="H473" t="s">
        <v>197</v>
      </c>
      <c r="I473" t="str">
        <f t="shared" si="107"/>
        <v>04/09/2025</v>
      </c>
      <c r="J473" t="str">
        <f t="shared" si="100"/>
        <v>25/08/2025</v>
      </c>
      <c r="K473">
        <v>45904</v>
      </c>
      <c r="N473">
        <v>109</v>
      </c>
      <c r="O473" t="s">
        <v>24</v>
      </c>
      <c r="Q473">
        <v>894.95</v>
      </c>
      <c r="R473" t="str">
        <f>"FARMÁCIA INDIANA LJ 48 (10018)"</f>
        <v>FARMÁCIA INDIANA LJ 48 (10018)</v>
      </c>
      <c r="S473" t="s">
        <v>77</v>
      </c>
      <c r="T473">
        <v>17586</v>
      </c>
      <c r="U473">
        <v>20957</v>
      </c>
      <c r="V473" t="s">
        <v>77</v>
      </c>
    </row>
    <row r="474" spans="1:22">
      <c r="A474" t="str">
        <f t="shared" si="102"/>
        <v>04/09/2025</v>
      </c>
      <c r="B474" t="str">
        <f t="shared" si="103"/>
        <v>SAÍDA</v>
      </c>
      <c r="C474" t="str">
        <f t="shared" si="105"/>
        <v>PIX</v>
      </c>
      <c r="D474" t="str">
        <f>"20957"</f>
        <v>20957</v>
      </c>
      <c r="E474" t="str">
        <f t="shared" si="106"/>
        <v>1</v>
      </c>
      <c r="F474" t="str">
        <f t="shared" si="104"/>
        <v>COM</v>
      </c>
      <c r="G474" t="str">
        <f>"JOAO PEDRO BRITO DE SOUZA (876)"</f>
        <v>JOAO PEDRO BRITO DE SOUZA (876)</v>
      </c>
      <c r="H474" t="s">
        <v>197</v>
      </c>
      <c r="I474" t="str">
        <f t="shared" si="107"/>
        <v>04/09/2025</v>
      </c>
      <c r="J474" t="str">
        <f t="shared" si="100"/>
        <v>25/08/2025</v>
      </c>
      <c r="K474">
        <v>45904</v>
      </c>
      <c r="N474">
        <v>109</v>
      </c>
      <c r="O474" t="s">
        <v>24</v>
      </c>
      <c r="Q474">
        <v>270.05</v>
      </c>
      <c r="R474" t="str">
        <f>"FARMÁCIA INDIANA LJ 169 (10073)"</f>
        <v>FARMÁCIA INDIANA LJ 169 (10073)</v>
      </c>
      <c r="S474" t="s">
        <v>77</v>
      </c>
      <c r="T474">
        <v>17586</v>
      </c>
      <c r="U474">
        <v>20957</v>
      </c>
      <c r="V474" t="s">
        <v>77</v>
      </c>
    </row>
    <row r="475" spans="1:22">
      <c r="A475" t="str">
        <f t="shared" si="102"/>
        <v>04/09/2025</v>
      </c>
      <c r="B475" t="str">
        <f t="shared" si="103"/>
        <v>SAÍDA</v>
      </c>
      <c r="C475" t="str">
        <f t="shared" si="105"/>
        <v>PIX</v>
      </c>
      <c r="D475" t="str">
        <f>"20958"</f>
        <v>20958</v>
      </c>
      <c r="E475" t="str">
        <f t="shared" si="106"/>
        <v>1</v>
      </c>
      <c r="F475" t="str">
        <f t="shared" si="104"/>
        <v>COM</v>
      </c>
      <c r="G475" t="str">
        <f>"JUNIO SOUZA SILVA (610)"</f>
        <v>JUNIO SOUZA SILVA (610)</v>
      </c>
      <c r="H475" t="str">
        <f>"Serv.Prest. 18/08/2025 a 24/08/2025 - PIX: CELULAR - CHAVE: (73) 98105-2187"</f>
        <v>Serv.Prest. 18/08/2025 a 24/08/2025 - PIX: CELULAR - CHAVE: (73) 98105-2187</v>
      </c>
      <c r="I475" t="str">
        <f t="shared" si="107"/>
        <v>04/09/2025</v>
      </c>
      <c r="J475" t="str">
        <f t="shared" si="100"/>
        <v>25/08/2025</v>
      </c>
      <c r="K475" t="str">
        <f>("04/09/2025")</f>
        <v>04/09/2025</v>
      </c>
      <c r="L475">
        <v>600</v>
      </c>
      <c r="M475">
        <v>600</v>
      </c>
      <c r="N475">
        <v>109</v>
      </c>
      <c r="O475" t="str">
        <f>"PAGAMENTO DE ENTREGADORES"</f>
        <v>PAGAMENTO DE ENTREGADORES</v>
      </c>
      <c r="P475">
        <v>600</v>
      </c>
      <c r="S475" t="str">
        <f>"BANCO C6 (149)"</f>
        <v>BANCO C6 (149)</v>
      </c>
      <c r="T475">
        <v>17587</v>
      </c>
      <c r="U475">
        <v>20958</v>
      </c>
      <c r="V475" t="s">
        <v>77</v>
      </c>
    </row>
    <row r="476" spans="1:22">
      <c r="A476" t="str">
        <f t="shared" si="102"/>
        <v>04/09/2025</v>
      </c>
      <c r="B476" t="str">
        <f t="shared" si="103"/>
        <v>SAÍDA</v>
      </c>
      <c r="C476" t="str">
        <f t="shared" si="105"/>
        <v>PIX</v>
      </c>
      <c r="D476" t="str">
        <f>"20958"</f>
        <v>20958</v>
      </c>
      <c r="E476" t="str">
        <f t="shared" si="106"/>
        <v>1</v>
      </c>
      <c r="F476" t="str">
        <f t="shared" si="104"/>
        <v>COM</v>
      </c>
      <c r="G476" t="str">
        <f>"JUNIO SOUZA SILVA (610)"</f>
        <v>JUNIO SOUZA SILVA (610)</v>
      </c>
      <c r="H476" t="s">
        <v>198</v>
      </c>
      <c r="I476" t="str">
        <f t="shared" si="107"/>
        <v>04/09/2025</v>
      </c>
      <c r="J476" t="str">
        <f t="shared" si="100"/>
        <v>25/08/2025</v>
      </c>
      <c r="K476">
        <v>45904</v>
      </c>
      <c r="N476">
        <v>109</v>
      </c>
      <c r="O476" t="s">
        <v>24</v>
      </c>
      <c r="Q476">
        <v>600</v>
      </c>
      <c r="R476" t="str">
        <f>"FARMÁCIA INDIANA LJ 77 (10034)"</f>
        <v>FARMÁCIA INDIANA LJ 77 (10034)</v>
      </c>
      <c r="S476" t="s">
        <v>77</v>
      </c>
      <c r="T476">
        <v>17587</v>
      </c>
      <c r="U476">
        <v>20958</v>
      </c>
      <c r="V476" t="s">
        <v>77</v>
      </c>
    </row>
    <row r="477" spans="1:22">
      <c r="A477" t="str">
        <f t="shared" si="102"/>
        <v>04/09/2025</v>
      </c>
      <c r="B477" t="str">
        <f t="shared" si="103"/>
        <v>SAÍDA</v>
      </c>
      <c r="C477" t="str">
        <f t="shared" si="105"/>
        <v>PIX</v>
      </c>
      <c r="D477" t="str">
        <f>"20959"</f>
        <v>20959</v>
      </c>
      <c r="E477" t="str">
        <f t="shared" si="106"/>
        <v>1</v>
      </c>
      <c r="F477" t="str">
        <f t="shared" si="104"/>
        <v>COM</v>
      </c>
      <c r="G477" t="str">
        <f>"LEONARDO MERCÊS CAJAZEIRAS (235)"</f>
        <v>LEONARDO MERCÊS CAJAZEIRAS (235)</v>
      </c>
      <c r="H477" t="str">
        <f>"Serv.Prest. 18/08/2025 a 24/08/2025 - PIX: CELULAR - CHAVE: (73) 99803-0715"</f>
        <v>Serv.Prest. 18/08/2025 a 24/08/2025 - PIX: CELULAR - CHAVE: (73) 99803-0715</v>
      </c>
      <c r="I477" t="str">
        <f t="shared" si="107"/>
        <v>04/09/2025</v>
      </c>
      <c r="J477" t="str">
        <f t="shared" si="100"/>
        <v>25/08/2025</v>
      </c>
      <c r="K477" t="str">
        <f>("04/09/2025")</f>
        <v>04/09/2025</v>
      </c>
      <c r="L477">
        <v>598.79999999999995</v>
      </c>
      <c r="M477">
        <v>598.79999999999995</v>
      </c>
      <c r="N477">
        <v>109</v>
      </c>
      <c r="O477" t="str">
        <f>"PAGAMENTO DE ENTREGADORES"</f>
        <v>PAGAMENTO DE ENTREGADORES</v>
      </c>
      <c r="P477">
        <v>598.79999999999995</v>
      </c>
      <c r="S477" t="str">
        <f>"BANCO C6 (149)"</f>
        <v>BANCO C6 (149)</v>
      </c>
      <c r="T477">
        <v>17588</v>
      </c>
      <c r="U477">
        <v>20959</v>
      </c>
      <c r="V477" t="s">
        <v>77</v>
      </c>
    </row>
    <row r="478" spans="1:22">
      <c r="A478" t="str">
        <f t="shared" si="102"/>
        <v>04/09/2025</v>
      </c>
      <c r="B478" t="str">
        <f t="shared" si="103"/>
        <v>SAÍDA</v>
      </c>
      <c r="C478" t="str">
        <f t="shared" si="105"/>
        <v>PIX</v>
      </c>
      <c r="D478" t="str">
        <f>"20959"</f>
        <v>20959</v>
      </c>
      <c r="E478" t="str">
        <f t="shared" si="106"/>
        <v>1</v>
      </c>
      <c r="F478" t="str">
        <f t="shared" si="104"/>
        <v>COM</v>
      </c>
      <c r="G478" t="str">
        <f>"LEONARDO MERCÊS CAJAZEIRAS (235)"</f>
        <v>LEONARDO MERCÊS CAJAZEIRAS (235)</v>
      </c>
      <c r="H478" t="s">
        <v>199</v>
      </c>
      <c r="I478" t="str">
        <f t="shared" si="107"/>
        <v>04/09/2025</v>
      </c>
      <c r="J478" t="str">
        <f t="shared" si="100"/>
        <v>25/08/2025</v>
      </c>
      <c r="K478">
        <v>45904</v>
      </c>
      <c r="N478">
        <v>109</v>
      </c>
      <c r="O478" t="s">
        <v>24</v>
      </c>
      <c r="Q478">
        <v>598.79999999999995</v>
      </c>
      <c r="R478" t="str">
        <f>"FARMÁCIA INDIANA LJ 35 (10015)"</f>
        <v>FARMÁCIA INDIANA LJ 35 (10015)</v>
      </c>
      <c r="S478" t="s">
        <v>77</v>
      </c>
      <c r="T478">
        <v>17588</v>
      </c>
      <c r="U478">
        <v>20959</v>
      </c>
      <c r="V478" t="s">
        <v>77</v>
      </c>
    </row>
    <row r="479" spans="1:22">
      <c r="A479" t="str">
        <f t="shared" si="102"/>
        <v>04/09/2025</v>
      </c>
      <c r="B479" t="str">
        <f t="shared" ref="B479:B506" si="108">"SAÍDA"</f>
        <v>SAÍDA</v>
      </c>
      <c r="C479" t="str">
        <f t="shared" si="105"/>
        <v>PIX</v>
      </c>
      <c r="D479" t="str">
        <f>"20960"</f>
        <v>20960</v>
      </c>
      <c r="E479" t="str">
        <f t="shared" si="106"/>
        <v>1</v>
      </c>
      <c r="F479" t="str">
        <f t="shared" si="104"/>
        <v>COM</v>
      </c>
      <c r="G479" t="str">
        <f>"LUCAS MOREIRA PEREIRA (153)"</f>
        <v>LUCAS MOREIRA PEREIRA (153)</v>
      </c>
      <c r="H479" t="str">
        <f>"Serv.Prest. 18/08/2025 a 24/08/2025 - PIX: CELULAR - CHAVE: (73) 99967-3239"</f>
        <v>Serv.Prest. 18/08/2025 a 24/08/2025 - PIX: CELULAR - CHAVE: (73) 99967-3239</v>
      </c>
      <c r="I479" t="str">
        <f t="shared" si="107"/>
        <v>04/09/2025</v>
      </c>
      <c r="J479" t="str">
        <f t="shared" si="100"/>
        <v>25/08/2025</v>
      </c>
      <c r="K479" t="str">
        <f>("04/09/2025")</f>
        <v>04/09/2025</v>
      </c>
      <c r="L479">
        <v>1565</v>
      </c>
      <c r="M479">
        <v>1565</v>
      </c>
      <c r="N479">
        <v>109</v>
      </c>
      <c r="O479" t="str">
        <f>"PAGAMENTO DE ENTREGADORES"</f>
        <v>PAGAMENTO DE ENTREGADORES</v>
      </c>
      <c r="P479">
        <v>1565</v>
      </c>
      <c r="S479" t="str">
        <f>"BANCO C6 (149)"</f>
        <v>BANCO C6 (149)</v>
      </c>
      <c r="T479">
        <v>17589</v>
      </c>
      <c r="U479">
        <v>20960</v>
      </c>
      <c r="V479" t="s">
        <v>77</v>
      </c>
    </row>
    <row r="480" spans="1:22">
      <c r="A480" t="str">
        <f t="shared" si="102"/>
        <v>04/09/2025</v>
      </c>
      <c r="B480" t="str">
        <f t="shared" si="108"/>
        <v>SAÍDA</v>
      </c>
      <c r="C480" t="str">
        <f t="shared" si="105"/>
        <v>PIX</v>
      </c>
      <c r="D480" t="str">
        <f>"20960"</f>
        <v>20960</v>
      </c>
      <c r="E480" t="str">
        <f t="shared" si="106"/>
        <v>1</v>
      </c>
      <c r="F480" t="str">
        <f t="shared" si="104"/>
        <v>COM</v>
      </c>
      <c r="G480" t="str">
        <f>"LUCAS MOREIRA PEREIRA (153)"</f>
        <v>LUCAS MOREIRA PEREIRA (153)</v>
      </c>
      <c r="H480" t="s">
        <v>200</v>
      </c>
      <c r="I480" t="str">
        <f t="shared" si="107"/>
        <v>04/09/2025</v>
      </c>
      <c r="J480" t="str">
        <f t="shared" si="100"/>
        <v>25/08/2025</v>
      </c>
      <c r="K480">
        <v>45904</v>
      </c>
      <c r="N480">
        <v>109</v>
      </c>
      <c r="O480" t="s">
        <v>24</v>
      </c>
      <c r="Q480">
        <v>1034.93</v>
      </c>
      <c r="R480" t="str">
        <f>"FARMÁCIA INDIANA LJ 48 (10018)"</f>
        <v>FARMÁCIA INDIANA LJ 48 (10018)</v>
      </c>
      <c r="S480" t="s">
        <v>77</v>
      </c>
      <c r="T480">
        <v>17589</v>
      </c>
      <c r="U480">
        <v>20960</v>
      </c>
      <c r="V480" t="s">
        <v>77</v>
      </c>
    </row>
    <row r="481" spans="1:22">
      <c r="A481" t="str">
        <f t="shared" si="102"/>
        <v>04/09/2025</v>
      </c>
      <c r="B481" t="str">
        <f t="shared" si="108"/>
        <v>SAÍDA</v>
      </c>
      <c r="C481" t="str">
        <f t="shared" si="105"/>
        <v>PIX</v>
      </c>
      <c r="D481" t="str">
        <f>"20960"</f>
        <v>20960</v>
      </c>
      <c r="E481" t="str">
        <f t="shared" si="106"/>
        <v>1</v>
      </c>
      <c r="F481" t="str">
        <f t="shared" si="104"/>
        <v>COM</v>
      </c>
      <c r="G481" t="str">
        <f>"LUCAS MOREIRA PEREIRA (153)"</f>
        <v>LUCAS MOREIRA PEREIRA (153)</v>
      </c>
      <c r="H481" t="s">
        <v>200</v>
      </c>
      <c r="I481" t="str">
        <f t="shared" si="107"/>
        <v>04/09/2025</v>
      </c>
      <c r="J481" t="str">
        <f t="shared" si="100"/>
        <v>25/08/2025</v>
      </c>
      <c r="K481">
        <v>45904</v>
      </c>
      <c r="N481">
        <v>109</v>
      </c>
      <c r="O481" t="s">
        <v>24</v>
      </c>
      <c r="Q481">
        <v>530.07000000000005</v>
      </c>
      <c r="R481" t="str">
        <f>"FARMÁCIA INDIANA LJ 169 (10073)"</f>
        <v>FARMÁCIA INDIANA LJ 169 (10073)</v>
      </c>
      <c r="S481" t="s">
        <v>77</v>
      </c>
      <c r="T481">
        <v>17589</v>
      </c>
      <c r="U481">
        <v>20960</v>
      </c>
      <c r="V481" t="s">
        <v>77</v>
      </c>
    </row>
    <row r="482" spans="1:22">
      <c r="A482" t="str">
        <f t="shared" si="102"/>
        <v>04/09/2025</v>
      </c>
      <c r="B482" t="str">
        <f t="shared" si="108"/>
        <v>SAÍDA</v>
      </c>
      <c r="C482" t="str">
        <f t="shared" si="105"/>
        <v>PIX</v>
      </c>
      <c r="D482" t="str">
        <f>"20961"</f>
        <v>20961</v>
      </c>
      <c r="E482" t="str">
        <f t="shared" si="106"/>
        <v>1</v>
      </c>
      <c r="F482" t="str">
        <f t="shared" si="104"/>
        <v>COM</v>
      </c>
      <c r="G482" t="str">
        <f>"MARIA ILZA PEREIRA DOS SANTOS (618)"</f>
        <v>MARIA ILZA PEREIRA DOS SANTOS (618)</v>
      </c>
      <c r="H482" t="str">
        <f>"Serv.Prest. 18/08/2025 a 24/08/2025 - PIX: CPF - CHAVE: 003.157.195-67"</f>
        <v>Serv.Prest. 18/08/2025 a 24/08/2025 - PIX: CPF - CHAVE: 003.157.195-67</v>
      </c>
      <c r="I482" t="str">
        <f t="shared" si="107"/>
        <v>04/09/2025</v>
      </c>
      <c r="J482" t="str">
        <f t="shared" si="100"/>
        <v>25/08/2025</v>
      </c>
      <c r="K482" t="str">
        <f>("04/09/2025")</f>
        <v>04/09/2025</v>
      </c>
      <c r="L482">
        <v>654</v>
      </c>
      <c r="M482">
        <v>654</v>
      </c>
      <c r="N482">
        <v>109</v>
      </c>
      <c r="O482" t="str">
        <f>"PAGAMENTO DE ENTREGADORES"</f>
        <v>PAGAMENTO DE ENTREGADORES</v>
      </c>
      <c r="P482">
        <v>654</v>
      </c>
      <c r="S482" t="str">
        <f>"BANCO C6 (149)"</f>
        <v>BANCO C6 (149)</v>
      </c>
      <c r="T482">
        <v>17590</v>
      </c>
      <c r="U482">
        <v>20961</v>
      </c>
      <c r="V482" t="s">
        <v>77</v>
      </c>
    </row>
    <row r="483" spans="1:22">
      <c r="A483" t="str">
        <f t="shared" si="102"/>
        <v>04/09/2025</v>
      </c>
      <c r="B483" t="str">
        <f t="shared" si="108"/>
        <v>SAÍDA</v>
      </c>
      <c r="C483" t="str">
        <f t="shared" si="105"/>
        <v>PIX</v>
      </c>
      <c r="D483" t="str">
        <f>"20961"</f>
        <v>20961</v>
      </c>
      <c r="E483" t="str">
        <f t="shared" si="106"/>
        <v>1</v>
      </c>
      <c r="F483" t="str">
        <f t="shared" si="104"/>
        <v>COM</v>
      </c>
      <c r="G483" t="str">
        <f>"MARIA ILZA PEREIRA DOS SANTOS (618)"</f>
        <v>MARIA ILZA PEREIRA DOS SANTOS (618)</v>
      </c>
      <c r="H483" t="s">
        <v>201</v>
      </c>
      <c r="I483" t="str">
        <f t="shared" si="107"/>
        <v>04/09/2025</v>
      </c>
      <c r="J483" t="str">
        <f t="shared" si="100"/>
        <v>25/08/2025</v>
      </c>
      <c r="K483">
        <v>45904</v>
      </c>
      <c r="N483">
        <v>109</v>
      </c>
      <c r="O483" t="s">
        <v>24</v>
      </c>
      <c r="Q483">
        <v>654</v>
      </c>
      <c r="R483" t="str">
        <f>"FARMÁCIA INDIANA LJ 65 (10030)"</f>
        <v>FARMÁCIA INDIANA LJ 65 (10030)</v>
      </c>
      <c r="S483" t="s">
        <v>77</v>
      </c>
      <c r="T483">
        <v>17590</v>
      </c>
      <c r="U483">
        <v>20961</v>
      </c>
      <c r="V483" t="s">
        <v>77</v>
      </c>
    </row>
    <row r="484" spans="1:22">
      <c r="A484" t="str">
        <f t="shared" si="102"/>
        <v>04/09/2025</v>
      </c>
      <c r="B484" t="str">
        <f t="shared" si="108"/>
        <v>SAÍDA</v>
      </c>
      <c r="C484" t="str">
        <f t="shared" si="105"/>
        <v>PIX</v>
      </c>
      <c r="D484" t="str">
        <f>"20962"</f>
        <v>20962</v>
      </c>
      <c r="E484" t="str">
        <f t="shared" si="106"/>
        <v>1</v>
      </c>
      <c r="F484" t="str">
        <f t="shared" si="104"/>
        <v>COM</v>
      </c>
      <c r="G484" t="str">
        <f>"MOABIO AZEVEDO DOS SANTOS (131)"</f>
        <v>MOABIO AZEVEDO DOS SANTOS (131)</v>
      </c>
      <c r="H484" t="str">
        <f>"Serv.Prest. 18/08/2025 a 24/08/2025 - PIX: CNPJ - CHAVE: 33.412.676/0001-41"</f>
        <v>Serv.Prest. 18/08/2025 a 24/08/2025 - PIX: CNPJ - CHAVE: 33.412.676/0001-41</v>
      </c>
      <c r="I484" t="str">
        <f t="shared" si="107"/>
        <v>04/09/2025</v>
      </c>
      <c r="J484" t="str">
        <f t="shared" si="100"/>
        <v>25/08/2025</v>
      </c>
      <c r="K484" t="str">
        <f>("04/09/2025")</f>
        <v>04/09/2025</v>
      </c>
      <c r="L484">
        <v>972</v>
      </c>
      <c r="M484">
        <v>972</v>
      </c>
      <c r="N484">
        <v>109</v>
      </c>
      <c r="O484" t="str">
        <f>"PAGAMENTO DE ENTREGADORES"</f>
        <v>PAGAMENTO DE ENTREGADORES</v>
      </c>
      <c r="P484">
        <v>972</v>
      </c>
      <c r="S484" t="str">
        <f>"BANCO C6 (149)"</f>
        <v>BANCO C6 (149)</v>
      </c>
      <c r="T484">
        <v>17591</v>
      </c>
      <c r="U484">
        <v>20962</v>
      </c>
      <c r="V484" t="s">
        <v>77</v>
      </c>
    </row>
    <row r="485" spans="1:22">
      <c r="A485" t="str">
        <f t="shared" si="102"/>
        <v>04/09/2025</v>
      </c>
      <c r="B485" t="str">
        <f t="shared" si="108"/>
        <v>SAÍDA</v>
      </c>
      <c r="C485" t="str">
        <f t="shared" si="105"/>
        <v>PIX</v>
      </c>
      <c r="D485" t="str">
        <f>"20962"</f>
        <v>20962</v>
      </c>
      <c r="E485" t="str">
        <f t="shared" si="106"/>
        <v>1</v>
      </c>
      <c r="F485" t="str">
        <f t="shared" si="104"/>
        <v>COM</v>
      </c>
      <c r="G485" t="str">
        <f>"MOABIO AZEVEDO DOS SANTOS (131)"</f>
        <v>MOABIO AZEVEDO DOS SANTOS (131)</v>
      </c>
      <c r="H485" t="s">
        <v>202</v>
      </c>
      <c r="I485" t="str">
        <f t="shared" si="107"/>
        <v>04/09/2025</v>
      </c>
      <c r="J485" t="str">
        <f t="shared" si="100"/>
        <v>25/08/2025</v>
      </c>
      <c r="K485">
        <v>45904</v>
      </c>
      <c r="N485">
        <v>109</v>
      </c>
      <c r="O485" t="s">
        <v>24</v>
      </c>
      <c r="Q485">
        <v>972</v>
      </c>
      <c r="R485" t="str">
        <f>"FARMÁCIA INDIANA LJ 91 (10037)"</f>
        <v>FARMÁCIA INDIANA LJ 91 (10037)</v>
      </c>
      <c r="S485" t="s">
        <v>77</v>
      </c>
      <c r="T485">
        <v>17591</v>
      </c>
      <c r="U485">
        <v>20962</v>
      </c>
      <c r="V485" t="s">
        <v>77</v>
      </c>
    </row>
    <row r="486" spans="1:22">
      <c r="A486" t="str">
        <f t="shared" si="102"/>
        <v>04/09/2025</v>
      </c>
      <c r="B486" t="str">
        <f t="shared" si="108"/>
        <v>SAÍDA</v>
      </c>
      <c r="C486" t="str">
        <f t="shared" si="105"/>
        <v>PIX</v>
      </c>
      <c r="D486" t="str">
        <f>"20964"</f>
        <v>20964</v>
      </c>
      <c r="E486" t="str">
        <f t="shared" si="106"/>
        <v>1</v>
      </c>
      <c r="F486" t="str">
        <f t="shared" si="104"/>
        <v>COM</v>
      </c>
      <c r="G486" t="str">
        <f>"OSVALDO DOS SANTOS (163)"</f>
        <v>OSVALDO DOS SANTOS (163)</v>
      </c>
      <c r="H486" t="str">
        <f>"Serv.Prest. 18/08/2025 a 24/08/2025 - PIX: CELULAR - CHAVE: (73) 99977-2721"</f>
        <v>Serv.Prest. 18/08/2025 a 24/08/2025 - PIX: CELULAR - CHAVE: (73) 99977-2721</v>
      </c>
      <c r="I486" t="str">
        <f t="shared" si="107"/>
        <v>04/09/2025</v>
      </c>
      <c r="J486" t="str">
        <f t="shared" si="100"/>
        <v>25/08/2025</v>
      </c>
      <c r="K486" t="str">
        <f>("04/09/2025")</f>
        <v>04/09/2025</v>
      </c>
      <c r="L486">
        <v>598.79999999999995</v>
      </c>
      <c r="M486">
        <v>598.79999999999995</v>
      </c>
      <c r="N486">
        <v>109</v>
      </c>
      <c r="O486" t="str">
        <f>"PAGAMENTO DE ENTREGADORES"</f>
        <v>PAGAMENTO DE ENTREGADORES</v>
      </c>
      <c r="P486">
        <v>598.79999999999995</v>
      </c>
      <c r="S486" t="str">
        <f>"BANCO C6 (149)"</f>
        <v>BANCO C6 (149)</v>
      </c>
      <c r="T486">
        <v>17592</v>
      </c>
      <c r="U486">
        <v>20964</v>
      </c>
      <c r="V486" t="s">
        <v>77</v>
      </c>
    </row>
    <row r="487" spans="1:22">
      <c r="A487" t="str">
        <f t="shared" si="102"/>
        <v>04/09/2025</v>
      </c>
      <c r="B487" t="str">
        <f t="shared" si="108"/>
        <v>SAÍDA</v>
      </c>
      <c r="C487" t="str">
        <f t="shared" si="105"/>
        <v>PIX</v>
      </c>
      <c r="D487" t="str">
        <f>"20964"</f>
        <v>20964</v>
      </c>
      <c r="E487" t="str">
        <f t="shared" si="106"/>
        <v>1</v>
      </c>
      <c r="F487" t="str">
        <f t="shared" si="104"/>
        <v>COM</v>
      </c>
      <c r="G487" t="str">
        <f>"OSVALDO DOS SANTOS (163)"</f>
        <v>OSVALDO DOS SANTOS (163)</v>
      </c>
      <c r="H487" t="s">
        <v>203</v>
      </c>
      <c r="I487" t="str">
        <f t="shared" si="107"/>
        <v>04/09/2025</v>
      </c>
      <c r="J487" t="str">
        <f t="shared" si="100"/>
        <v>25/08/2025</v>
      </c>
      <c r="K487">
        <v>45904</v>
      </c>
      <c r="N487">
        <v>109</v>
      </c>
      <c r="O487" t="s">
        <v>24</v>
      </c>
      <c r="Q487">
        <v>598.79999999999995</v>
      </c>
      <c r="R487" t="str">
        <f>"FARMÁCIA INDIANA LJ 35 (10015)"</f>
        <v>FARMÁCIA INDIANA LJ 35 (10015)</v>
      </c>
      <c r="S487" t="s">
        <v>77</v>
      </c>
      <c r="T487">
        <v>17592</v>
      </c>
      <c r="U487">
        <v>20964</v>
      </c>
      <c r="V487" t="s">
        <v>77</v>
      </c>
    </row>
    <row r="488" spans="1:22">
      <c r="A488" t="str">
        <f t="shared" si="102"/>
        <v>04/09/2025</v>
      </c>
      <c r="B488" t="str">
        <f t="shared" si="108"/>
        <v>SAÍDA</v>
      </c>
      <c r="C488" t="str">
        <f t="shared" si="105"/>
        <v>PIX</v>
      </c>
      <c r="D488" t="str">
        <f>"20967"</f>
        <v>20967</v>
      </c>
      <c r="E488" t="str">
        <f t="shared" si="106"/>
        <v>1</v>
      </c>
      <c r="F488" t="str">
        <f t="shared" si="104"/>
        <v>COM</v>
      </c>
      <c r="G488" t="str">
        <f>"VINICIUS SANTOS PEREIRA (633)"</f>
        <v>VINICIUS SANTOS PEREIRA (633)</v>
      </c>
      <c r="H488" t="str">
        <f>"Serv.Prest. 18/08/2025 a 24/08/2025 - PIX: CELULAR - CHAVE: (73) 99818-9718"</f>
        <v>Serv.Prest. 18/08/2025 a 24/08/2025 - PIX: CELULAR - CHAVE: (73) 99818-9718</v>
      </c>
      <c r="I488" t="str">
        <f t="shared" si="107"/>
        <v>04/09/2025</v>
      </c>
      <c r="J488" t="str">
        <f t="shared" si="100"/>
        <v>25/08/2025</v>
      </c>
      <c r="K488" t="str">
        <f>("04/09/2025")</f>
        <v>04/09/2025</v>
      </c>
      <c r="L488">
        <v>680</v>
      </c>
      <c r="M488">
        <v>680</v>
      </c>
      <c r="N488">
        <v>109</v>
      </c>
      <c r="O488" t="str">
        <f>"PAGAMENTO DE ENTREGADORES"</f>
        <v>PAGAMENTO DE ENTREGADORES</v>
      </c>
      <c r="P488">
        <v>680</v>
      </c>
      <c r="S488" t="str">
        <f>"BANCO C6 (149)"</f>
        <v>BANCO C6 (149)</v>
      </c>
      <c r="T488">
        <v>17593</v>
      </c>
      <c r="U488">
        <v>20967</v>
      </c>
      <c r="V488" t="s">
        <v>77</v>
      </c>
    </row>
    <row r="489" spans="1:22">
      <c r="A489" t="str">
        <f t="shared" si="102"/>
        <v>04/09/2025</v>
      </c>
      <c r="B489" t="str">
        <f t="shared" si="108"/>
        <v>SAÍDA</v>
      </c>
      <c r="C489" t="str">
        <f t="shared" si="105"/>
        <v>PIX</v>
      </c>
      <c r="D489" t="str">
        <f>"20967"</f>
        <v>20967</v>
      </c>
      <c r="E489" t="str">
        <f t="shared" si="106"/>
        <v>1</v>
      </c>
      <c r="F489" t="str">
        <f t="shared" si="104"/>
        <v>COM</v>
      </c>
      <c r="G489" t="str">
        <f>"VINICIUS SANTOS PEREIRA (633)"</f>
        <v>VINICIUS SANTOS PEREIRA (633)</v>
      </c>
      <c r="H489" t="s">
        <v>204</v>
      </c>
      <c r="I489" t="str">
        <f t="shared" si="107"/>
        <v>04/09/2025</v>
      </c>
      <c r="J489" t="str">
        <f t="shared" ref="J489:J509" si="109">("25/08/2025")</f>
        <v>25/08/2025</v>
      </c>
      <c r="K489">
        <v>45904</v>
      </c>
      <c r="N489">
        <v>109</v>
      </c>
      <c r="O489" t="s">
        <v>24</v>
      </c>
      <c r="Q489">
        <v>680</v>
      </c>
      <c r="R489" t="str">
        <f>"FARMÁCIA INDIANA LJ 95 (10039)"</f>
        <v>FARMÁCIA INDIANA LJ 95 (10039)</v>
      </c>
      <c r="S489" t="s">
        <v>77</v>
      </c>
      <c r="T489">
        <v>17593</v>
      </c>
      <c r="U489">
        <v>20967</v>
      </c>
      <c r="V489" t="s">
        <v>77</v>
      </c>
    </row>
    <row r="490" spans="1:22">
      <c r="A490" t="str">
        <f t="shared" si="102"/>
        <v>04/09/2025</v>
      </c>
      <c r="B490" t="str">
        <f t="shared" si="108"/>
        <v>SAÍDA</v>
      </c>
      <c r="C490" t="str">
        <f t="shared" si="105"/>
        <v>PIX</v>
      </c>
      <c r="D490" t="str">
        <f>"20968"</f>
        <v>20968</v>
      </c>
      <c r="E490" t="str">
        <f t="shared" si="106"/>
        <v>1</v>
      </c>
      <c r="F490" t="str">
        <f t="shared" si="104"/>
        <v>COM</v>
      </c>
      <c r="G490" t="str">
        <f>"WESLEI GONÇALVES SANTOS (154)"</f>
        <v>WESLEI GONÇALVES SANTOS (154)</v>
      </c>
      <c r="H490" t="str">
        <f>"Serv.Prest. 18/08/2025 a 24/08/2025 - PIX: CPF - CHAVE: 079.068.045-97"</f>
        <v>Serv.Prest. 18/08/2025 a 24/08/2025 - PIX: CPF - CHAVE: 079.068.045-97</v>
      </c>
      <c r="I490" t="str">
        <f t="shared" si="107"/>
        <v>04/09/2025</v>
      </c>
      <c r="J490" t="str">
        <f t="shared" si="109"/>
        <v>25/08/2025</v>
      </c>
      <c r="K490" t="str">
        <f>("04/09/2025")</f>
        <v>04/09/2025</v>
      </c>
      <c r="L490">
        <v>600.66</v>
      </c>
      <c r="M490">
        <v>600.66</v>
      </c>
      <c r="N490">
        <v>109</v>
      </c>
      <c r="O490" t="str">
        <f>"PAGAMENTO DE ENTREGADORES"</f>
        <v>PAGAMENTO DE ENTREGADORES</v>
      </c>
      <c r="P490">
        <v>600.66</v>
      </c>
      <c r="S490" t="str">
        <f>"BANCO C6 (149)"</f>
        <v>BANCO C6 (149)</v>
      </c>
      <c r="T490">
        <v>17594</v>
      </c>
      <c r="U490">
        <v>20968</v>
      </c>
      <c r="V490" t="s">
        <v>77</v>
      </c>
    </row>
    <row r="491" spans="1:22">
      <c r="A491" t="str">
        <f t="shared" si="102"/>
        <v>04/09/2025</v>
      </c>
      <c r="B491" t="str">
        <f t="shared" si="108"/>
        <v>SAÍDA</v>
      </c>
      <c r="C491" t="str">
        <f t="shared" si="105"/>
        <v>PIX</v>
      </c>
      <c r="D491" t="str">
        <f>"20968"</f>
        <v>20968</v>
      </c>
      <c r="E491" t="str">
        <f t="shared" si="106"/>
        <v>1</v>
      </c>
      <c r="F491" t="str">
        <f t="shared" si="104"/>
        <v>COM</v>
      </c>
      <c r="G491" t="str">
        <f>"WESLEI GONÇALVES SANTOS (154)"</f>
        <v>WESLEI GONÇALVES SANTOS (154)</v>
      </c>
      <c r="H491" t="s">
        <v>205</v>
      </c>
      <c r="I491" t="str">
        <f t="shared" si="107"/>
        <v>04/09/2025</v>
      </c>
      <c r="J491" t="str">
        <f t="shared" si="109"/>
        <v>25/08/2025</v>
      </c>
      <c r="K491">
        <v>45904</v>
      </c>
      <c r="N491">
        <v>109</v>
      </c>
      <c r="O491" t="s">
        <v>24</v>
      </c>
      <c r="Q491">
        <v>600.66</v>
      </c>
      <c r="R491" t="str">
        <f>"FARMÁCIA INDIANA LJ 34 (10014)"</f>
        <v>FARMÁCIA INDIANA LJ 34 (10014)</v>
      </c>
      <c r="S491" t="s">
        <v>77</v>
      </c>
      <c r="T491">
        <v>17594</v>
      </c>
      <c r="U491">
        <v>20968</v>
      </c>
      <c r="V491" t="s">
        <v>77</v>
      </c>
    </row>
    <row r="492" spans="1:22">
      <c r="A492" t="str">
        <f t="shared" si="102"/>
        <v>04/09/2025</v>
      </c>
      <c r="B492" t="str">
        <f t="shared" si="108"/>
        <v>SAÍDA</v>
      </c>
      <c r="C492" t="str">
        <f t="shared" si="105"/>
        <v>PIX</v>
      </c>
      <c r="D492" t="str">
        <f>"20969"</f>
        <v>20969</v>
      </c>
      <c r="E492" t="str">
        <f t="shared" si="106"/>
        <v>1</v>
      </c>
      <c r="F492" t="str">
        <f t="shared" si="104"/>
        <v>COM</v>
      </c>
      <c r="G492" t="str">
        <f>"YAN BRENDO CORREIA VIEIRA (861)"</f>
        <v>YAN BRENDO CORREIA VIEIRA (861)</v>
      </c>
      <c r="H492" t="str">
        <f>"Serv.Prest. 18/08/2025 a 24/08/2025 - PIX: CPF - CHAVE: 096.891.935-97"</f>
        <v>Serv.Prest. 18/08/2025 a 24/08/2025 - PIX: CPF - CHAVE: 096.891.935-97</v>
      </c>
      <c r="I492" t="str">
        <f t="shared" si="107"/>
        <v>04/09/2025</v>
      </c>
      <c r="J492" t="str">
        <f t="shared" si="109"/>
        <v>25/08/2025</v>
      </c>
      <c r="K492" t="str">
        <f>("04/09/2025")</f>
        <v>04/09/2025</v>
      </c>
      <c r="L492">
        <v>700</v>
      </c>
      <c r="M492">
        <v>700</v>
      </c>
      <c r="N492">
        <v>109</v>
      </c>
      <c r="O492" t="str">
        <f>"PAGAMENTO DE ENTREGADORES"</f>
        <v>PAGAMENTO DE ENTREGADORES</v>
      </c>
      <c r="P492">
        <v>700</v>
      </c>
      <c r="S492" t="str">
        <f>"BANCO C6 (149)"</f>
        <v>BANCO C6 (149)</v>
      </c>
      <c r="T492">
        <v>17595</v>
      </c>
      <c r="U492">
        <v>20969</v>
      </c>
      <c r="V492" t="s">
        <v>77</v>
      </c>
    </row>
    <row r="493" spans="1:22">
      <c r="A493" t="str">
        <f t="shared" si="102"/>
        <v>04/09/2025</v>
      </c>
      <c r="B493" t="str">
        <f t="shared" si="108"/>
        <v>SAÍDA</v>
      </c>
      <c r="C493" t="str">
        <f t="shared" si="105"/>
        <v>PIX</v>
      </c>
      <c r="D493" t="str">
        <f>"20969"</f>
        <v>20969</v>
      </c>
      <c r="E493" t="str">
        <f t="shared" si="106"/>
        <v>1</v>
      </c>
      <c r="F493" t="str">
        <f t="shared" si="104"/>
        <v>COM</v>
      </c>
      <c r="G493" t="str">
        <f>"YAN BRENDO CORREIA VIEIRA (861)"</f>
        <v>YAN BRENDO CORREIA VIEIRA (861)</v>
      </c>
      <c r="H493" t="s">
        <v>206</v>
      </c>
      <c r="I493" t="str">
        <f t="shared" si="107"/>
        <v>04/09/2025</v>
      </c>
      <c r="J493" t="str">
        <f t="shared" si="109"/>
        <v>25/08/2025</v>
      </c>
      <c r="K493">
        <v>45904</v>
      </c>
      <c r="N493">
        <v>109</v>
      </c>
      <c r="O493" t="s">
        <v>24</v>
      </c>
      <c r="Q493">
        <v>700</v>
      </c>
      <c r="R493" t="str">
        <f>"FARMÁCIA INDIANA LJ 200 (10155)"</f>
        <v>FARMÁCIA INDIANA LJ 200 (10155)</v>
      </c>
      <c r="S493" t="s">
        <v>77</v>
      </c>
      <c r="T493">
        <v>17595</v>
      </c>
      <c r="U493">
        <v>20969</v>
      </c>
      <c r="V493" t="s">
        <v>77</v>
      </c>
    </row>
    <row r="494" spans="1:22">
      <c r="A494" t="str">
        <f t="shared" si="102"/>
        <v>04/09/2025</v>
      </c>
      <c r="B494" t="str">
        <f t="shared" si="108"/>
        <v>SAÍDA</v>
      </c>
      <c r="C494" t="str">
        <f t="shared" si="105"/>
        <v>PIX</v>
      </c>
      <c r="D494" t="str">
        <f>"20971"</f>
        <v>20971</v>
      </c>
      <c r="E494" t="str">
        <f t="shared" si="106"/>
        <v>1</v>
      </c>
      <c r="F494" t="str">
        <f t="shared" si="104"/>
        <v>COM</v>
      </c>
      <c r="G494" t="str">
        <f>"ANDERSON PEREIRA DOS SANTOS (746)"</f>
        <v>ANDERSON PEREIRA DOS SANTOS (746)</v>
      </c>
      <c r="H494" t="str">
        <f>"Serv.Prest. 18/08/2025 a 24/08/2025 - PIX: CPF - CHAVE: 079.930.865-07"</f>
        <v>Serv.Prest. 18/08/2025 a 24/08/2025 - PIX: CPF - CHAVE: 079.930.865-07</v>
      </c>
      <c r="I494" t="str">
        <f t="shared" si="107"/>
        <v>04/09/2025</v>
      </c>
      <c r="J494" t="str">
        <f t="shared" si="109"/>
        <v>25/08/2025</v>
      </c>
      <c r="K494" t="str">
        <f>("04/09/2025")</f>
        <v>04/09/2025</v>
      </c>
      <c r="L494">
        <v>804</v>
      </c>
      <c r="M494">
        <v>804</v>
      </c>
      <c r="N494">
        <v>109</v>
      </c>
      <c r="O494" t="str">
        <f>"PAGAMENTO DE ENTREGADORES"</f>
        <v>PAGAMENTO DE ENTREGADORES</v>
      </c>
      <c r="P494">
        <v>804</v>
      </c>
      <c r="S494" t="str">
        <f>"BANCO C6 (149)"</f>
        <v>BANCO C6 (149)</v>
      </c>
      <c r="T494">
        <v>17596</v>
      </c>
      <c r="U494">
        <v>20971</v>
      </c>
      <c r="V494" t="s">
        <v>77</v>
      </c>
    </row>
    <row r="495" spans="1:22">
      <c r="A495" t="str">
        <f t="shared" si="102"/>
        <v>04/09/2025</v>
      </c>
      <c r="B495" t="str">
        <f t="shared" si="108"/>
        <v>SAÍDA</v>
      </c>
      <c r="C495" t="str">
        <f t="shared" si="105"/>
        <v>PIX</v>
      </c>
      <c r="D495" t="str">
        <f>"20971"</f>
        <v>20971</v>
      </c>
      <c r="E495" t="str">
        <f t="shared" si="106"/>
        <v>1</v>
      </c>
      <c r="F495" t="str">
        <f t="shared" si="104"/>
        <v>COM</v>
      </c>
      <c r="G495" t="str">
        <f>"ANDERSON PEREIRA DOS SANTOS (746)"</f>
        <v>ANDERSON PEREIRA DOS SANTOS (746)</v>
      </c>
      <c r="H495" t="s">
        <v>207</v>
      </c>
      <c r="I495" t="str">
        <f t="shared" si="107"/>
        <v>04/09/2025</v>
      </c>
      <c r="J495" t="str">
        <f t="shared" si="109"/>
        <v>25/08/2025</v>
      </c>
      <c r="K495">
        <v>45904</v>
      </c>
      <c r="N495">
        <v>109</v>
      </c>
      <c r="O495" t="s">
        <v>24</v>
      </c>
      <c r="Q495">
        <v>244.74</v>
      </c>
      <c r="R495" t="str">
        <f>"FARMÁCIA INDIANA LJ 211 (10168)"</f>
        <v>FARMÁCIA INDIANA LJ 211 (10168)</v>
      </c>
      <c r="S495" t="s">
        <v>77</v>
      </c>
      <c r="T495">
        <v>17596</v>
      </c>
      <c r="U495">
        <v>20971</v>
      </c>
      <c r="V495" t="s">
        <v>77</v>
      </c>
    </row>
    <row r="496" spans="1:22">
      <c r="A496" t="str">
        <f t="shared" si="102"/>
        <v>04/09/2025</v>
      </c>
      <c r="B496" t="str">
        <f t="shared" si="108"/>
        <v>SAÍDA</v>
      </c>
      <c r="C496" t="str">
        <f t="shared" si="105"/>
        <v>PIX</v>
      </c>
      <c r="D496" t="str">
        <f>"20971"</f>
        <v>20971</v>
      </c>
      <c r="E496" t="str">
        <f t="shared" si="106"/>
        <v>1</v>
      </c>
      <c r="F496" t="str">
        <f t="shared" si="104"/>
        <v>COM</v>
      </c>
      <c r="G496" t="str">
        <f>"ANDERSON PEREIRA DOS SANTOS (746)"</f>
        <v>ANDERSON PEREIRA DOS SANTOS (746)</v>
      </c>
      <c r="H496" t="s">
        <v>207</v>
      </c>
      <c r="I496" t="str">
        <f t="shared" si="107"/>
        <v>04/09/2025</v>
      </c>
      <c r="J496" t="str">
        <f t="shared" si="109"/>
        <v>25/08/2025</v>
      </c>
      <c r="K496">
        <v>45904</v>
      </c>
      <c r="N496">
        <v>109</v>
      </c>
      <c r="O496" t="s">
        <v>24</v>
      </c>
      <c r="Q496">
        <v>559.26</v>
      </c>
      <c r="R496" t="str">
        <f>"FARMÁCIA INDIANA LJ 236 (10169)"</f>
        <v>FARMÁCIA INDIANA LJ 236 (10169)</v>
      </c>
      <c r="S496" t="s">
        <v>77</v>
      </c>
      <c r="T496">
        <v>17596</v>
      </c>
      <c r="U496">
        <v>20971</v>
      </c>
      <c r="V496" t="s">
        <v>77</v>
      </c>
    </row>
    <row r="497" spans="1:22">
      <c r="A497" t="str">
        <f t="shared" si="102"/>
        <v>04/09/2025</v>
      </c>
      <c r="B497" t="str">
        <f t="shared" si="108"/>
        <v>SAÍDA</v>
      </c>
      <c r="C497" t="str">
        <f t="shared" si="105"/>
        <v>PIX</v>
      </c>
      <c r="D497" t="str">
        <f>"20972"</f>
        <v>20972</v>
      </c>
      <c r="E497" t="str">
        <f t="shared" si="106"/>
        <v>1</v>
      </c>
      <c r="F497" t="str">
        <f t="shared" si="104"/>
        <v>COM</v>
      </c>
      <c r="G497" t="str">
        <f>"DANILO ROCHA SILVA (162)"</f>
        <v>DANILO ROCHA SILVA (162)</v>
      </c>
      <c r="H497" t="str">
        <f>"Serv.Prest. 18/08/2025 a 24/08/2025 - PIX: CELULAR - CHAVE: (27) 99811-6850"</f>
        <v>Serv.Prest. 18/08/2025 a 24/08/2025 - PIX: CELULAR - CHAVE: (27) 99811-6850</v>
      </c>
      <c r="I497" t="str">
        <f t="shared" si="107"/>
        <v>04/09/2025</v>
      </c>
      <c r="J497" t="str">
        <f t="shared" si="109"/>
        <v>25/08/2025</v>
      </c>
      <c r="K497" t="str">
        <f>("04/09/2025")</f>
        <v>04/09/2025</v>
      </c>
      <c r="L497">
        <v>1030.5</v>
      </c>
      <c r="M497">
        <v>1030.5</v>
      </c>
      <c r="N497">
        <v>109</v>
      </c>
      <c r="O497" t="str">
        <f>"PAGAMENTO DE ENTREGADORES"</f>
        <v>PAGAMENTO DE ENTREGADORES</v>
      </c>
      <c r="P497">
        <v>1030.5</v>
      </c>
      <c r="S497" t="str">
        <f>"BANCO C6 (149)"</f>
        <v>BANCO C6 (149)</v>
      </c>
      <c r="T497">
        <v>17597</v>
      </c>
      <c r="U497">
        <v>20972</v>
      </c>
      <c r="V497" t="s">
        <v>77</v>
      </c>
    </row>
    <row r="498" spans="1:22">
      <c r="A498" t="str">
        <f t="shared" si="102"/>
        <v>04/09/2025</v>
      </c>
      <c r="B498" t="str">
        <f t="shared" si="108"/>
        <v>SAÍDA</v>
      </c>
      <c r="C498" t="str">
        <f t="shared" si="105"/>
        <v>PIX</v>
      </c>
      <c r="D498" t="str">
        <f>"20972"</f>
        <v>20972</v>
      </c>
      <c r="E498" t="str">
        <f t="shared" si="106"/>
        <v>1</v>
      </c>
      <c r="F498" t="str">
        <f t="shared" si="104"/>
        <v>COM</v>
      </c>
      <c r="G498" t="str">
        <f>"DANILO ROCHA SILVA (162)"</f>
        <v>DANILO ROCHA SILVA (162)</v>
      </c>
      <c r="H498" t="s">
        <v>208</v>
      </c>
      <c r="I498" t="str">
        <f t="shared" si="107"/>
        <v>04/09/2025</v>
      </c>
      <c r="J498" t="str">
        <f t="shared" si="109"/>
        <v>25/08/2025</v>
      </c>
      <c r="K498">
        <v>45904</v>
      </c>
      <c r="N498">
        <v>109</v>
      </c>
      <c r="O498" t="s">
        <v>24</v>
      </c>
      <c r="Q498">
        <v>1030.5</v>
      </c>
      <c r="R498" t="str">
        <f>"FARMÁCIA INDIANA LJ 181 (10078)"</f>
        <v>FARMÁCIA INDIANA LJ 181 (10078)</v>
      </c>
      <c r="S498" t="s">
        <v>77</v>
      </c>
      <c r="T498">
        <v>17597</v>
      </c>
      <c r="U498">
        <v>20972</v>
      </c>
      <c r="V498" t="s">
        <v>77</v>
      </c>
    </row>
    <row r="499" spans="1:22">
      <c r="A499" t="str">
        <f t="shared" si="102"/>
        <v>04/09/2025</v>
      </c>
      <c r="B499" t="str">
        <f t="shared" si="108"/>
        <v>SAÍDA</v>
      </c>
      <c r="C499" t="str">
        <f t="shared" si="105"/>
        <v>PIX</v>
      </c>
      <c r="D499" t="str">
        <f>"20973"</f>
        <v>20973</v>
      </c>
      <c r="E499" t="str">
        <f t="shared" si="106"/>
        <v>1</v>
      </c>
      <c r="F499" t="str">
        <f t="shared" si="104"/>
        <v>COM</v>
      </c>
      <c r="G499" t="str">
        <f>"FABIO SOUZA DE JESUS (637)"</f>
        <v>FABIO SOUZA DE JESUS (637)</v>
      </c>
      <c r="H499" t="str">
        <f>"Serv.Prest. 18/08/2025 a 24/08/2025 - PIX: CELULAR - CHAVE: (27) 99950-3450"</f>
        <v>Serv.Prest. 18/08/2025 a 24/08/2025 - PIX: CELULAR - CHAVE: (27) 99950-3450</v>
      </c>
      <c r="I499" t="str">
        <f t="shared" si="107"/>
        <v>04/09/2025</v>
      </c>
      <c r="J499" t="str">
        <f t="shared" si="109"/>
        <v>25/08/2025</v>
      </c>
      <c r="K499" t="str">
        <f>("04/09/2025")</f>
        <v>04/09/2025</v>
      </c>
      <c r="L499">
        <v>676</v>
      </c>
      <c r="M499">
        <v>676</v>
      </c>
      <c r="N499">
        <v>109</v>
      </c>
      <c r="O499" t="str">
        <f>"PAGAMENTO DE ENTREGADORES"</f>
        <v>PAGAMENTO DE ENTREGADORES</v>
      </c>
      <c r="P499">
        <v>676</v>
      </c>
      <c r="S499" t="str">
        <f>"BANCO C6 (149)"</f>
        <v>BANCO C6 (149)</v>
      </c>
      <c r="T499">
        <v>17598</v>
      </c>
      <c r="U499">
        <v>20973</v>
      </c>
      <c r="V499" t="s">
        <v>77</v>
      </c>
    </row>
    <row r="500" spans="1:22">
      <c r="A500" t="str">
        <f t="shared" si="102"/>
        <v>04/09/2025</v>
      </c>
      <c r="B500" t="str">
        <f t="shared" si="108"/>
        <v>SAÍDA</v>
      </c>
      <c r="C500" t="str">
        <f t="shared" si="105"/>
        <v>PIX</v>
      </c>
      <c r="D500" t="str">
        <f>"20973"</f>
        <v>20973</v>
      </c>
      <c r="E500" t="str">
        <f t="shared" si="106"/>
        <v>1</v>
      </c>
      <c r="F500" t="str">
        <f t="shared" si="104"/>
        <v>COM</v>
      </c>
      <c r="G500" t="str">
        <f>"FABIO SOUZA DE JESUS (637)"</f>
        <v>FABIO SOUZA DE JESUS (637)</v>
      </c>
      <c r="H500" t="s">
        <v>209</v>
      </c>
      <c r="I500" t="str">
        <f t="shared" si="107"/>
        <v>04/09/2025</v>
      </c>
      <c r="J500" t="str">
        <f t="shared" si="109"/>
        <v>25/08/2025</v>
      </c>
      <c r="K500">
        <v>45904</v>
      </c>
      <c r="N500">
        <v>109</v>
      </c>
      <c r="O500" t="s">
        <v>24</v>
      </c>
      <c r="Q500">
        <v>676</v>
      </c>
      <c r="R500" t="str">
        <f>"FARMÁCIA INDIANA LJ 243 (10142)"</f>
        <v>FARMÁCIA INDIANA LJ 243 (10142)</v>
      </c>
      <c r="S500" t="s">
        <v>77</v>
      </c>
      <c r="T500">
        <v>17598</v>
      </c>
      <c r="U500">
        <v>20973</v>
      </c>
      <c r="V500" t="s">
        <v>77</v>
      </c>
    </row>
    <row r="501" spans="1:22">
      <c r="A501" t="str">
        <f t="shared" si="102"/>
        <v>04/09/2025</v>
      </c>
      <c r="B501" t="str">
        <f t="shared" si="108"/>
        <v>SAÍDA</v>
      </c>
      <c r="C501" t="str">
        <f t="shared" si="105"/>
        <v>PIX</v>
      </c>
      <c r="D501" t="str">
        <f>"20974"</f>
        <v>20974</v>
      </c>
      <c r="E501" t="str">
        <f t="shared" si="106"/>
        <v>1</v>
      </c>
      <c r="F501" t="str">
        <f t="shared" si="104"/>
        <v>COM</v>
      </c>
      <c r="G501" t="str">
        <f>"JACQUES SEBIM SANTNA (918)"</f>
        <v>JACQUES SEBIM SANTNA (918)</v>
      </c>
      <c r="H501" t="str">
        <f>"Serv.Prest. 18/08/2025 a 24/08/2025 - PIX: CNPJ - CHAVE: 40.359.224/0001-09"</f>
        <v>Serv.Prest. 18/08/2025 a 24/08/2025 - PIX: CNPJ - CHAVE: 40.359.224/0001-09</v>
      </c>
      <c r="I501" t="str">
        <f t="shared" si="107"/>
        <v>04/09/2025</v>
      </c>
      <c r="J501" t="str">
        <f t="shared" si="109"/>
        <v>25/08/2025</v>
      </c>
      <c r="K501" t="str">
        <f>("04/09/2025")</f>
        <v>04/09/2025</v>
      </c>
      <c r="L501">
        <v>804</v>
      </c>
      <c r="M501">
        <v>804</v>
      </c>
      <c r="N501">
        <v>109</v>
      </c>
      <c r="O501" t="str">
        <f>"PAGAMENTO DE ENTREGADORES"</f>
        <v>PAGAMENTO DE ENTREGADORES</v>
      </c>
      <c r="P501">
        <v>804</v>
      </c>
      <c r="S501" t="str">
        <f>"BANCO C6 (149)"</f>
        <v>BANCO C6 (149)</v>
      </c>
      <c r="T501">
        <v>17599</v>
      </c>
      <c r="U501">
        <v>20974</v>
      </c>
      <c r="V501" t="s">
        <v>77</v>
      </c>
    </row>
    <row r="502" spans="1:22">
      <c r="A502" t="str">
        <f t="shared" si="102"/>
        <v>04/09/2025</v>
      </c>
      <c r="B502" t="str">
        <f t="shared" si="108"/>
        <v>SAÍDA</v>
      </c>
      <c r="C502" t="str">
        <f t="shared" si="105"/>
        <v>PIX</v>
      </c>
      <c r="D502" t="str">
        <f>"20974"</f>
        <v>20974</v>
      </c>
      <c r="E502" t="str">
        <f t="shared" si="106"/>
        <v>1</v>
      </c>
      <c r="F502" t="str">
        <f t="shared" si="104"/>
        <v>COM</v>
      </c>
      <c r="G502" t="str">
        <f>"JACQUES SEBIM SANTNA (918)"</f>
        <v>JACQUES SEBIM SANTNA (918)</v>
      </c>
      <c r="H502" t="s">
        <v>210</v>
      </c>
      <c r="I502" t="str">
        <f t="shared" si="107"/>
        <v>04/09/2025</v>
      </c>
      <c r="J502" t="str">
        <f t="shared" si="109"/>
        <v>25/08/2025</v>
      </c>
      <c r="K502">
        <v>45904</v>
      </c>
      <c r="N502">
        <v>109</v>
      </c>
      <c r="O502" t="s">
        <v>24</v>
      </c>
      <c r="Q502">
        <v>804</v>
      </c>
      <c r="R502" t="str">
        <f>"FARMÁCIA INDIANA LJ 188 (10176)"</f>
        <v>FARMÁCIA INDIANA LJ 188 (10176)</v>
      </c>
      <c r="S502" t="s">
        <v>77</v>
      </c>
      <c r="T502">
        <v>17599</v>
      </c>
      <c r="U502">
        <v>20974</v>
      </c>
      <c r="V502" t="s">
        <v>77</v>
      </c>
    </row>
    <row r="503" spans="1:22">
      <c r="A503" t="str">
        <f t="shared" si="102"/>
        <v>04/09/2025</v>
      </c>
      <c r="B503" t="str">
        <f t="shared" si="108"/>
        <v>SAÍDA</v>
      </c>
      <c r="C503" t="str">
        <f t="shared" si="105"/>
        <v>PIX</v>
      </c>
      <c r="D503" t="str">
        <f>"20975"</f>
        <v>20975</v>
      </c>
      <c r="E503" t="str">
        <f t="shared" si="106"/>
        <v>1</v>
      </c>
      <c r="F503" t="str">
        <f t="shared" si="104"/>
        <v>COM</v>
      </c>
      <c r="G503" t="str">
        <f>"JEAN CHARLES BATISTA FILHO (206)"</f>
        <v>JEAN CHARLES BATISTA FILHO (206)</v>
      </c>
      <c r="H503" t="str">
        <f>"Serv.Prest. 18/08/2025 a 24/08/2025 - PIX: CELULAR - CHAVE: (27) 99616-4468"</f>
        <v>Serv.Prest. 18/08/2025 a 24/08/2025 - PIX: CELULAR - CHAVE: (27) 99616-4468</v>
      </c>
      <c r="I503" t="str">
        <f t="shared" si="107"/>
        <v>04/09/2025</v>
      </c>
      <c r="J503" t="str">
        <f t="shared" si="109"/>
        <v>25/08/2025</v>
      </c>
      <c r="K503" t="str">
        <f>("04/09/2025")</f>
        <v>04/09/2025</v>
      </c>
      <c r="L503">
        <v>1920</v>
      </c>
      <c r="M503">
        <v>1920</v>
      </c>
      <c r="N503">
        <v>109</v>
      </c>
      <c r="O503" t="str">
        <f>"PAGAMENTO DE ENTREGADORES"</f>
        <v>PAGAMENTO DE ENTREGADORES</v>
      </c>
      <c r="P503">
        <v>1920</v>
      </c>
      <c r="S503" t="str">
        <f>"BANCO C6 (149)"</f>
        <v>BANCO C6 (149)</v>
      </c>
      <c r="T503">
        <v>17600</v>
      </c>
      <c r="U503">
        <v>20975</v>
      </c>
      <c r="V503" t="s">
        <v>77</v>
      </c>
    </row>
    <row r="504" spans="1:22">
      <c r="A504" t="str">
        <f t="shared" si="102"/>
        <v>04/09/2025</v>
      </c>
      <c r="B504" t="str">
        <f t="shared" si="108"/>
        <v>SAÍDA</v>
      </c>
      <c r="C504" t="str">
        <f t="shared" si="105"/>
        <v>PIX</v>
      </c>
      <c r="D504" t="str">
        <f>"20975"</f>
        <v>20975</v>
      </c>
      <c r="E504" t="str">
        <f t="shared" si="106"/>
        <v>1</v>
      </c>
      <c r="F504" t="str">
        <f t="shared" si="104"/>
        <v>COM</v>
      </c>
      <c r="G504" t="str">
        <f>"JEAN CHARLES BATISTA FILHO (206)"</f>
        <v>JEAN CHARLES BATISTA FILHO (206)</v>
      </c>
      <c r="H504" t="s">
        <v>211</v>
      </c>
      <c r="I504" t="str">
        <f t="shared" si="107"/>
        <v>04/09/2025</v>
      </c>
      <c r="J504" t="str">
        <f t="shared" si="109"/>
        <v>25/08/2025</v>
      </c>
      <c r="K504">
        <v>45904</v>
      </c>
      <c r="N504">
        <v>109</v>
      </c>
      <c r="O504" t="s">
        <v>24</v>
      </c>
      <c r="Q504">
        <v>1920</v>
      </c>
      <c r="R504" t="str">
        <f>"FARMÁCIA INDIANA LJ 163 (10072)"</f>
        <v>FARMÁCIA INDIANA LJ 163 (10072)</v>
      </c>
      <c r="S504" t="s">
        <v>77</v>
      </c>
      <c r="T504">
        <v>17600</v>
      </c>
      <c r="U504">
        <v>20975</v>
      </c>
      <c r="V504" t="s">
        <v>77</v>
      </c>
    </row>
    <row r="505" spans="1:22">
      <c r="A505" t="str">
        <f t="shared" si="102"/>
        <v>04/09/2025</v>
      </c>
      <c r="B505" t="str">
        <f t="shared" si="108"/>
        <v>SAÍDA</v>
      </c>
      <c r="C505" t="str">
        <f t="shared" si="105"/>
        <v>PIX</v>
      </c>
      <c r="D505" t="str">
        <f>"20977"</f>
        <v>20977</v>
      </c>
      <c r="E505" t="str">
        <f t="shared" si="106"/>
        <v>1</v>
      </c>
      <c r="F505" t="str">
        <f t="shared" si="104"/>
        <v>COM</v>
      </c>
      <c r="G505" t="str">
        <f>"REGINALDO PEREIRA DE ASSIS (81)"</f>
        <v>REGINALDO PEREIRA DE ASSIS (81)</v>
      </c>
      <c r="H505" t="str">
        <f>"Serv.Prest. 18/08/2025 a 24/08/2025 - PIX: CELULAR - CHAVE: (27) 99916-8443"</f>
        <v>Serv.Prest. 18/08/2025 a 24/08/2025 - PIX: CELULAR - CHAVE: (27) 99916-8443</v>
      </c>
      <c r="I505" t="str">
        <f t="shared" si="107"/>
        <v>04/09/2025</v>
      </c>
      <c r="J505" t="str">
        <f t="shared" si="109"/>
        <v>25/08/2025</v>
      </c>
      <c r="K505" t="str">
        <f>("04/09/2025")</f>
        <v>04/09/2025</v>
      </c>
      <c r="L505">
        <v>825</v>
      </c>
      <c r="M505">
        <v>825</v>
      </c>
      <c r="N505">
        <v>109</v>
      </c>
      <c r="O505" t="str">
        <f>"PAGAMENTO DE ENTREGADORES"</f>
        <v>PAGAMENTO DE ENTREGADORES</v>
      </c>
      <c r="P505">
        <v>825</v>
      </c>
      <c r="S505" t="str">
        <f>"BANCO C6 (149)"</f>
        <v>BANCO C6 (149)</v>
      </c>
      <c r="T505">
        <v>17601</v>
      </c>
      <c r="U505">
        <v>20977</v>
      </c>
      <c r="V505" t="s">
        <v>77</v>
      </c>
    </row>
    <row r="506" spans="1:22">
      <c r="A506" t="str">
        <f t="shared" ref="A506:A569" si="110">("04/09/2025")</f>
        <v>04/09/2025</v>
      </c>
      <c r="B506" t="str">
        <f t="shared" si="108"/>
        <v>SAÍDA</v>
      </c>
      <c r="C506" t="str">
        <f t="shared" si="105"/>
        <v>PIX</v>
      </c>
      <c r="D506" t="str">
        <f>"20977"</f>
        <v>20977</v>
      </c>
      <c r="E506" t="str">
        <f t="shared" si="106"/>
        <v>1</v>
      </c>
      <c r="F506" t="str">
        <f t="shared" si="104"/>
        <v>COM</v>
      </c>
      <c r="G506" t="str">
        <f>"REGINALDO PEREIRA DE ASSIS (81)"</f>
        <v>REGINALDO PEREIRA DE ASSIS (81)</v>
      </c>
      <c r="H506" t="s">
        <v>212</v>
      </c>
      <c r="I506" t="str">
        <f t="shared" si="107"/>
        <v>04/09/2025</v>
      </c>
      <c r="J506" t="str">
        <f t="shared" si="109"/>
        <v>25/08/2025</v>
      </c>
      <c r="K506">
        <v>45904</v>
      </c>
      <c r="N506">
        <v>109</v>
      </c>
      <c r="O506" t="s">
        <v>24</v>
      </c>
      <c r="Q506">
        <v>825</v>
      </c>
      <c r="R506" t="str">
        <f>"FARMÁCIA INDIANA LJ 119 (10053)"</f>
        <v>FARMÁCIA INDIANA LJ 119 (10053)</v>
      </c>
      <c r="S506" t="s">
        <v>77</v>
      </c>
      <c r="T506">
        <v>17601</v>
      </c>
      <c r="U506">
        <v>20977</v>
      </c>
      <c r="V506" t="s">
        <v>77</v>
      </c>
    </row>
    <row r="507" spans="1:22">
      <c r="A507" t="str">
        <f t="shared" si="110"/>
        <v>04/09/2025</v>
      </c>
      <c r="B507" t="str">
        <f>"ENTRADA"</f>
        <v>ENTRADA</v>
      </c>
      <c r="C507" t="str">
        <f t="shared" si="105"/>
        <v>PIX</v>
      </c>
      <c r="D507" t="str">
        <f>"20978"</f>
        <v>20978</v>
      </c>
      <c r="E507" t="str">
        <f t="shared" si="106"/>
        <v>1</v>
      </c>
      <c r="F507" t="str">
        <f t="shared" si="104"/>
        <v>COM</v>
      </c>
      <c r="G507" t="str">
        <f>"VINÍCIUS NEVES PEREIRA (776)"</f>
        <v>VINÍCIUS NEVES PEREIRA (776)</v>
      </c>
      <c r="H507" t="str">
        <f>"DESC DE BAG, UNIFORME, PLANOS Serv.Prest. 18/08/2025 a 24/08/2025 - PIX: CPF - CHAVE: 121.963.507-37"</f>
        <v>DESC DE BAG, UNIFORME, PLANOS Serv.Prest. 18/08/2025 a 24/08/2025 - PIX: CPF - CHAVE: 121.963.507-37</v>
      </c>
      <c r="I507" t="str">
        <f t="shared" si="107"/>
        <v>04/09/2025</v>
      </c>
      <c r="J507" t="str">
        <f t="shared" si="109"/>
        <v>25/08/2025</v>
      </c>
      <c r="K507" t="str">
        <f>("04/09/2025")</f>
        <v>04/09/2025</v>
      </c>
      <c r="N507">
        <v>108</v>
      </c>
      <c r="O507" t="str">
        <f>"RECEITAS COM REEMBOLSOS"</f>
        <v>RECEITAS COM REEMBOLSOS</v>
      </c>
      <c r="P507">
        <v>20</v>
      </c>
      <c r="S507" t="str">
        <f>"BANCO C6 (149)"</f>
        <v>BANCO C6 (149)</v>
      </c>
      <c r="T507">
        <v>17602</v>
      </c>
      <c r="U507">
        <v>20978</v>
      </c>
      <c r="V507" t="s">
        <v>77</v>
      </c>
    </row>
    <row r="508" spans="1:22">
      <c r="A508" t="str">
        <f t="shared" si="110"/>
        <v>04/09/2025</v>
      </c>
      <c r="B508" t="str">
        <f t="shared" ref="B508:B539" si="111">"SAÍDA"</f>
        <v>SAÍDA</v>
      </c>
      <c r="C508" t="str">
        <f t="shared" si="105"/>
        <v>PIX</v>
      </c>
      <c r="D508" t="str">
        <f>"20978"</f>
        <v>20978</v>
      </c>
      <c r="E508" t="str">
        <f t="shared" si="106"/>
        <v>1</v>
      </c>
      <c r="F508" t="str">
        <f t="shared" si="104"/>
        <v>COM</v>
      </c>
      <c r="G508" t="str">
        <f>"VINÍCIUS NEVES PEREIRA (776)"</f>
        <v>VINÍCIUS NEVES PEREIRA (776)</v>
      </c>
      <c r="H508" t="str">
        <f>"Serv.Prest. 18/08/2025 a 24/08/2025 - PIX: CPF - CHAVE: 121.963.507-37"</f>
        <v>Serv.Prest. 18/08/2025 a 24/08/2025 - PIX: CPF - CHAVE: 121.963.507-37</v>
      </c>
      <c r="I508" t="str">
        <f t="shared" si="107"/>
        <v>04/09/2025</v>
      </c>
      <c r="J508" t="str">
        <f t="shared" si="109"/>
        <v>25/08/2025</v>
      </c>
      <c r="K508" t="str">
        <f>("04/09/2025")</f>
        <v>04/09/2025</v>
      </c>
      <c r="L508">
        <v>750.75</v>
      </c>
      <c r="M508">
        <v>730.75</v>
      </c>
      <c r="N508">
        <v>109</v>
      </c>
      <c r="O508" t="str">
        <f>"PAGAMENTO DE ENTREGADORES"</f>
        <v>PAGAMENTO DE ENTREGADORES</v>
      </c>
      <c r="P508">
        <v>750.75</v>
      </c>
      <c r="S508" t="str">
        <f>"BANCO C6 (149)"</f>
        <v>BANCO C6 (149)</v>
      </c>
      <c r="T508">
        <v>17602</v>
      </c>
      <c r="U508">
        <v>20978</v>
      </c>
      <c r="V508" t="s">
        <v>77</v>
      </c>
    </row>
    <row r="509" spans="1:22">
      <c r="A509" t="str">
        <f t="shared" si="110"/>
        <v>04/09/2025</v>
      </c>
      <c r="B509" t="str">
        <f t="shared" si="111"/>
        <v>SAÍDA</v>
      </c>
      <c r="C509" t="str">
        <f t="shared" si="105"/>
        <v>PIX</v>
      </c>
      <c r="D509" t="str">
        <f>"20978"</f>
        <v>20978</v>
      </c>
      <c r="E509" t="str">
        <f t="shared" si="106"/>
        <v>1</v>
      </c>
      <c r="F509" t="str">
        <f t="shared" si="104"/>
        <v>COM</v>
      </c>
      <c r="G509" t="str">
        <f>"VINÍCIUS NEVES PEREIRA (776)"</f>
        <v>VINÍCIUS NEVES PEREIRA (776)</v>
      </c>
      <c r="H509" t="s">
        <v>213</v>
      </c>
      <c r="I509" t="str">
        <f t="shared" si="107"/>
        <v>04/09/2025</v>
      </c>
      <c r="J509" t="str">
        <f t="shared" si="109"/>
        <v>25/08/2025</v>
      </c>
      <c r="K509">
        <v>45904</v>
      </c>
      <c r="N509">
        <v>108</v>
      </c>
      <c r="O509" t="s">
        <v>54</v>
      </c>
      <c r="Q509">
        <v>730.75</v>
      </c>
      <c r="R509" t="str">
        <f>"FARMÁCIA INDIANA LJ 221 (10093)"</f>
        <v>FARMÁCIA INDIANA LJ 221 (10093)</v>
      </c>
      <c r="S509" t="s">
        <v>77</v>
      </c>
      <c r="T509">
        <v>17602</v>
      </c>
      <c r="U509">
        <v>20978</v>
      </c>
      <c r="V509" t="s">
        <v>77</v>
      </c>
    </row>
    <row r="510" spans="1:22">
      <c r="A510" t="str">
        <f t="shared" si="110"/>
        <v>04/09/2025</v>
      </c>
      <c r="B510" t="str">
        <f t="shared" si="111"/>
        <v>SAÍDA</v>
      </c>
      <c r="C510" t="str">
        <f t="shared" si="105"/>
        <v>PIX</v>
      </c>
      <c r="D510" t="str">
        <f>"21059"</f>
        <v>21059</v>
      </c>
      <c r="E510" t="str">
        <f t="shared" si="106"/>
        <v>1</v>
      </c>
      <c r="F510" t="str">
        <f t="shared" si="104"/>
        <v>COM</v>
      </c>
      <c r="G510" t="str">
        <f>"HELITON DE OLIVEIRA RAMOS BARBOSA (724)"</f>
        <v>HELITON DE OLIVEIRA RAMOS BARBOSA (724)</v>
      </c>
      <c r="H510" t="str">
        <f>"Serv.Prest. 18/08/2025 a 24/08/2025 - PIX: CPF - CHAVE: 074.604.219-10"</f>
        <v>Serv.Prest. 18/08/2025 a 24/08/2025 - PIX: CPF - CHAVE: 074.604.219-10</v>
      </c>
      <c r="I510" t="str">
        <f t="shared" si="107"/>
        <v>04/09/2025</v>
      </c>
      <c r="J510" t="str">
        <f t="shared" ref="J510:J521" si="112">("27/08/2025")</f>
        <v>27/08/2025</v>
      </c>
      <c r="K510" t="str">
        <f>("04/09/2025")</f>
        <v>04/09/2025</v>
      </c>
      <c r="L510">
        <v>207.9</v>
      </c>
      <c r="M510">
        <v>207.9</v>
      </c>
      <c r="N510">
        <v>109</v>
      </c>
      <c r="O510" t="str">
        <f>"PAGAMENTO DE ENTREGADORES"</f>
        <v>PAGAMENTO DE ENTREGADORES</v>
      </c>
      <c r="P510">
        <v>207.9</v>
      </c>
      <c r="S510" t="str">
        <f>"BANCO C6 (149)"</f>
        <v>BANCO C6 (149)</v>
      </c>
      <c r="T510">
        <v>17603</v>
      </c>
      <c r="U510">
        <v>21059</v>
      </c>
      <c r="V510" t="s">
        <v>77</v>
      </c>
    </row>
    <row r="511" spans="1:22">
      <c r="A511" t="str">
        <f t="shared" si="110"/>
        <v>04/09/2025</v>
      </c>
      <c r="B511" t="str">
        <f t="shared" si="111"/>
        <v>SAÍDA</v>
      </c>
      <c r="C511" t="str">
        <f t="shared" si="105"/>
        <v>PIX</v>
      </c>
      <c r="D511" t="str">
        <f>"21059"</f>
        <v>21059</v>
      </c>
      <c r="E511" t="str">
        <f t="shared" si="106"/>
        <v>1</v>
      </c>
      <c r="F511" t="str">
        <f t="shared" si="104"/>
        <v>COM</v>
      </c>
      <c r="G511" t="str">
        <f>"HELITON DE OLIVEIRA RAMOS BARBOSA (724)"</f>
        <v>HELITON DE OLIVEIRA RAMOS BARBOSA (724)</v>
      </c>
      <c r="H511" t="s">
        <v>95</v>
      </c>
      <c r="I511" t="str">
        <f t="shared" si="107"/>
        <v>04/09/2025</v>
      </c>
      <c r="J511" t="str">
        <f t="shared" si="112"/>
        <v>27/08/2025</v>
      </c>
      <c r="K511">
        <v>45904</v>
      </c>
      <c r="N511">
        <v>109</v>
      </c>
      <c r="O511" t="s">
        <v>24</v>
      </c>
      <c r="Q511">
        <v>207.9</v>
      </c>
      <c r="R511" t="str">
        <f>"AC FARMA -  FLEMINFARMA (10159)"</f>
        <v>AC FARMA -  FLEMINFARMA (10159)</v>
      </c>
      <c r="S511" t="s">
        <v>77</v>
      </c>
      <c r="T511">
        <v>17603</v>
      </c>
      <c r="U511">
        <v>21059</v>
      </c>
      <c r="V511" t="s">
        <v>77</v>
      </c>
    </row>
    <row r="512" spans="1:22">
      <c r="A512" t="str">
        <f t="shared" si="110"/>
        <v>04/09/2025</v>
      </c>
      <c r="B512" t="str">
        <f t="shared" si="111"/>
        <v>SAÍDA</v>
      </c>
      <c r="C512" t="str">
        <f t="shared" si="105"/>
        <v>PIX</v>
      </c>
      <c r="D512" t="str">
        <f>"21060"</f>
        <v>21060</v>
      </c>
      <c r="E512" t="str">
        <f t="shared" si="106"/>
        <v>1</v>
      </c>
      <c r="F512" t="str">
        <f t="shared" si="104"/>
        <v>COM</v>
      </c>
      <c r="G512" t="str">
        <f>"RAUL SILVA ROMAO (727)"</f>
        <v>RAUL SILVA ROMAO (727)</v>
      </c>
      <c r="H512" t="str">
        <f>"Serv.Prest. 18/08/2025 a 24/08/2025 - PIX: CPF - CHAVE: 878.196.869-87"</f>
        <v>Serv.Prest. 18/08/2025 a 24/08/2025 - PIX: CPF - CHAVE: 878.196.869-87</v>
      </c>
      <c r="I512" t="str">
        <f t="shared" si="107"/>
        <v>04/09/2025</v>
      </c>
      <c r="J512" t="str">
        <f t="shared" si="112"/>
        <v>27/08/2025</v>
      </c>
      <c r="K512" t="str">
        <f>("04/09/2025")</f>
        <v>04/09/2025</v>
      </c>
      <c r="L512">
        <v>6.3</v>
      </c>
      <c r="M512">
        <v>6.3</v>
      </c>
      <c r="N512">
        <v>109</v>
      </c>
      <c r="O512" t="str">
        <f>"PAGAMENTO DE ENTREGADORES"</f>
        <v>PAGAMENTO DE ENTREGADORES</v>
      </c>
      <c r="P512">
        <v>6.3</v>
      </c>
      <c r="S512" t="str">
        <f>"BANCO C6 (149)"</f>
        <v>BANCO C6 (149)</v>
      </c>
      <c r="T512">
        <v>17604</v>
      </c>
      <c r="U512">
        <v>21060</v>
      </c>
      <c r="V512" t="s">
        <v>77</v>
      </c>
    </row>
    <row r="513" spans="1:22">
      <c r="A513" t="str">
        <f t="shared" si="110"/>
        <v>04/09/2025</v>
      </c>
      <c r="B513" t="str">
        <f t="shared" si="111"/>
        <v>SAÍDA</v>
      </c>
      <c r="C513" t="str">
        <f t="shared" si="105"/>
        <v>PIX</v>
      </c>
      <c r="D513" t="str">
        <f>"21060"</f>
        <v>21060</v>
      </c>
      <c r="E513" t="str">
        <f t="shared" si="106"/>
        <v>1</v>
      </c>
      <c r="F513" t="str">
        <f t="shared" si="104"/>
        <v>COM</v>
      </c>
      <c r="G513" t="str">
        <f>"RAUL SILVA ROMAO (727)"</f>
        <v>RAUL SILVA ROMAO (727)</v>
      </c>
      <c r="H513" t="s">
        <v>94</v>
      </c>
      <c r="I513" t="str">
        <f t="shared" si="107"/>
        <v>04/09/2025</v>
      </c>
      <c r="J513" t="str">
        <f t="shared" si="112"/>
        <v>27/08/2025</v>
      </c>
      <c r="K513">
        <v>45904</v>
      </c>
      <c r="N513">
        <v>109</v>
      </c>
      <c r="O513" t="s">
        <v>24</v>
      </c>
      <c r="Q513">
        <v>6.3</v>
      </c>
      <c r="R513" t="str">
        <f>"AC FARMA -  FLEMINFARMA (10159)"</f>
        <v>AC FARMA -  FLEMINFARMA (10159)</v>
      </c>
      <c r="S513" t="s">
        <v>77</v>
      </c>
      <c r="T513">
        <v>17604</v>
      </c>
      <c r="U513">
        <v>21060</v>
      </c>
      <c r="V513" t="s">
        <v>77</v>
      </c>
    </row>
    <row r="514" spans="1:22">
      <c r="A514" t="str">
        <f t="shared" si="110"/>
        <v>04/09/2025</v>
      </c>
      <c r="B514" t="str">
        <f t="shared" si="111"/>
        <v>SAÍDA</v>
      </c>
      <c r="C514" t="str">
        <f t="shared" si="105"/>
        <v>PIX</v>
      </c>
      <c r="D514" t="str">
        <f>"21063"</f>
        <v>21063</v>
      </c>
      <c r="E514" t="str">
        <f t="shared" si="106"/>
        <v>1</v>
      </c>
      <c r="F514" t="str">
        <f t="shared" ref="F514:F577" si="113">"COM"</f>
        <v>COM</v>
      </c>
      <c r="G514" t="str">
        <f>"CLAUDINEI RIBEIRO VALERIO (681)"</f>
        <v>CLAUDINEI RIBEIRO VALERIO (681)</v>
      </c>
      <c r="H514" t="str">
        <f>"Serv.Prest. 18/08/2025 a 24/08/2025 - PIX: CELULAR - CHAVE: (43) 99630-7532"</f>
        <v>Serv.Prest. 18/08/2025 a 24/08/2025 - PIX: CELULAR - CHAVE: (43) 99630-7532</v>
      </c>
      <c r="I514" t="str">
        <f t="shared" si="107"/>
        <v>04/09/2025</v>
      </c>
      <c r="J514" t="str">
        <f t="shared" si="112"/>
        <v>27/08/2025</v>
      </c>
      <c r="K514" t="str">
        <f>("04/09/2025")</f>
        <v>04/09/2025</v>
      </c>
      <c r="L514">
        <v>12.6</v>
      </c>
      <c r="M514">
        <v>12.6</v>
      </c>
      <c r="N514">
        <v>109</v>
      </c>
      <c r="O514" t="str">
        <f>"PAGAMENTO DE ENTREGADORES"</f>
        <v>PAGAMENTO DE ENTREGADORES</v>
      </c>
      <c r="P514">
        <v>12.6</v>
      </c>
      <c r="S514" t="str">
        <f>"BANCO C6 (149)"</f>
        <v>BANCO C6 (149)</v>
      </c>
      <c r="T514">
        <v>17605</v>
      </c>
      <c r="U514">
        <v>21063</v>
      </c>
      <c r="V514" t="s">
        <v>77</v>
      </c>
    </row>
    <row r="515" spans="1:22">
      <c r="A515" t="str">
        <f t="shared" si="110"/>
        <v>04/09/2025</v>
      </c>
      <c r="B515" t="str">
        <f t="shared" si="111"/>
        <v>SAÍDA</v>
      </c>
      <c r="C515" t="str">
        <f t="shared" si="105"/>
        <v>PIX</v>
      </c>
      <c r="D515" t="str">
        <f>"21063"</f>
        <v>21063</v>
      </c>
      <c r="E515" t="str">
        <f t="shared" si="106"/>
        <v>1</v>
      </c>
      <c r="F515" t="str">
        <f t="shared" si="113"/>
        <v>COM</v>
      </c>
      <c r="G515" t="str">
        <f>"CLAUDINEI RIBEIRO VALERIO (681)"</f>
        <v>CLAUDINEI RIBEIRO VALERIO (681)</v>
      </c>
      <c r="H515" t="s">
        <v>92</v>
      </c>
      <c r="I515" t="str">
        <f t="shared" si="107"/>
        <v>04/09/2025</v>
      </c>
      <c r="J515" t="str">
        <f t="shared" si="112"/>
        <v>27/08/2025</v>
      </c>
      <c r="K515">
        <v>45904</v>
      </c>
      <c r="N515">
        <v>109</v>
      </c>
      <c r="O515" t="s">
        <v>24</v>
      </c>
      <c r="Q515">
        <v>12.6</v>
      </c>
      <c r="R515" t="str">
        <f>"AC FARMA - FLEMINFARMA 5 (10183)"</f>
        <v>AC FARMA - FLEMINFARMA 5 (10183)</v>
      </c>
      <c r="S515" t="s">
        <v>77</v>
      </c>
      <c r="T515">
        <v>17605</v>
      </c>
      <c r="U515">
        <v>21063</v>
      </c>
      <c r="V515" t="s">
        <v>77</v>
      </c>
    </row>
    <row r="516" spans="1:22">
      <c r="A516" t="str">
        <f t="shared" si="110"/>
        <v>04/09/2025</v>
      </c>
      <c r="B516" t="str">
        <f t="shared" si="111"/>
        <v>SAÍDA</v>
      </c>
      <c r="C516" t="str">
        <f t="shared" si="105"/>
        <v>PIX</v>
      </c>
      <c r="D516" t="str">
        <f>"21064"</f>
        <v>21064</v>
      </c>
      <c r="E516" t="str">
        <f t="shared" si="106"/>
        <v>1</v>
      </c>
      <c r="F516" t="str">
        <f t="shared" si="113"/>
        <v>COM</v>
      </c>
      <c r="G516" t="str">
        <f>"FERNANDO MARTINS DA SILVA (701)"</f>
        <v>FERNANDO MARTINS DA SILVA (701)</v>
      </c>
      <c r="H516" t="str">
        <f>"Serv.Prest. 18/08/2025 a 24/08/2025 - PIX: CPF - CHAVE: 004.682.359-06"</f>
        <v>Serv.Prest. 18/08/2025 a 24/08/2025 - PIX: CPF - CHAVE: 004.682.359-06</v>
      </c>
      <c r="I516" t="str">
        <f t="shared" si="107"/>
        <v>04/09/2025</v>
      </c>
      <c r="J516" t="str">
        <f t="shared" si="112"/>
        <v>27/08/2025</v>
      </c>
      <c r="K516" t="str">
        <f>("04/09/2025")</f>
        <v>04/09/2025</v>
      </c>
      <c r="L516">
        <v>151.19999999999999</v>
      </c>
      <c r="M516">
        <v>151.19999999999999</v>
      </c>
      <c r="N516">
        <v>109</v>
      </c>
      <c r="O516" t="str">
        <f>"PAGAMENTO DE ENTREGADORES"</f>
        <v>PAGAMENTO DE ENTREGADORES</v>
      </c>
      <c r="P516">
        <v>151.19999999999999</v>
      </c>
      <c r="S516" t="str">
        <f>"BANCO C6 (149)"</f>
        <v>BANCO C6 (149)</v>
      </c>
      <c r="T516">
        <v>17606</v>
      </c>
      <c r="U516">
        <v>21064</v>
      </c>
      <c r="V516" t="s">
        <v>77</v>
      </c>
    </row>
    <row r="517" spans="1:22">
      <c r="A517" t="str">
        <f t="shared" si="110"/>
        <v>04/09/2025</v>
      </c>
      <c r="B517" t="str">
        <f t="shared" si="111"/>
        <v>SAÍDA</v>
      </c>
      <c r="C517" t="str">
        <f t="shared" si="105"/>
        <v>PIX</v>
      </c>
      <c r="D517" t="str">
        <f>"21064"</f>
        <v>21064</v>
      </c>
      <c r="E517" t="str">
        <f t="shared" si="106"/>
        <v>1</v>
      </c>
      <c r="F517" t="str">
        <f t="shared" si="113"/>
        <v>COM</v>
      </c>
      <c r="G517" t="str">
        <f>"FERNANDO MARTINS DA SILVA (701)"</f>
        <v>FERNANDO MARTINS DA SILVA (701)</v>
      </c>
      <c r="H517" t="s">
        <v>88</v>
      </c>
      <c r="I517" t="str">
        <f t="shared" si="107"/>
        <v>04/09/2025</v>
      </c>
      <c r="J517" t="str">
        <f t="shared" si="112"/>
        <v>27/08/2025</v>
      </c>
      <c r="K517">
        <v>45904</v>
      </c>
      <c r="N517">
        <v>109</v>
      </c>
      <c r="O517" t="s">
        <v>24</v>
      </c>
      <c r="Q517">
        <v>151.19999999999999</v>
      </c>
      <c r="R517" t="str">
        <f>"AC FARMA - FLEMINFARMA 5 (10183)"</f>
        <v>AC FARMA - FLEMINFARMA 5 (10183)</v>
      </c>
      <c r="S517" t="s">
        <v>77</v>
      </c>
      <c r="T517">
        <v>17606</v>
      </c>
      <c r="U517">
        <v>21064</v>
      </c>
      <c r="V517" t="s">
        <v>77</v>
      </c>
    </row>
    <row r="518" spans="1:22">
      <c r="A518" t="str">
        <f t="shared" si="110"/>
        <v>04/09/2025</v>
      </c>
      <c r="B518" t="str">
        <f t="shared" si="111"/>
        <v>SAÍDA</v>
      </c>
      <c r="C518" t="str">
        <f t="shared" si="105"/>
        <v>PIX</v>
      </c>
      <c r="D518" t="str">
        <f>"21065"</f>
        <v>21065</v>
      </c>
      <c r="E518" t="str">
        <f t="shared" si="106"/>
        <v>1</v>
      </c>
      <c r="F518" t="str">
        <f t="shared" si="113"/>
        <v>COM</v>
      </c>
      <c r="G518" t="str">
        <f>"GERALDO SEVERINO DE SANTANA (729)"</f>
        <v>GERALDO SEVERINO DE SANTANA (729)</v>
      </c>
      <c r="H518" t="str">
        <f>"Serv.Prest. 18/08/2025 a 24/08/2025 - PIX: CELULAR - CHAVE: (43) 99934-1696"</f>
        <v>Serv.Prest. 18/08/2025 a 24/08/2025 - PIX: CELULAR - CHAVE: (43) 99934-1696</v>
      </c>
      <c r="I518" t="str">
        <f t="shared" si="107"/>
        <v>04/09/2025</v>
      </c>
      <c r="J518" t="str">
        <f t="shared" si="112"/>
        <v>27/08/2025</v>
      </c>
      <c r="K518" t="str">
        <f>("04/09/2025")</f>
        <v>04/09/2025</v>
      </c>
      <c r="L518">
        <v>113.4</v>
      </c>
      <c r="M518">
        <v>113.4</v>
      </c>
      <c r="N518">
        <v>109</v>
      </c>
      <c r="O518" t="str">
        <f>"PAGAMENTO DE ENTREGADORES"</f>
        <v>PAGAMENTO DE ENTREGADORES</v>
      </c>
      <c r="P518">
        <v>113.4</v>
      </c>
      <c r="S518" t="str">
        <f>"BANCO C6 (149)"</f>
        <v>BANCO C6 (149)</v>
      </c>
      <c r="T518">
        <v>17607</v>
      </c>
      <c r="U518">
        <v>21065</v>
      </c>
      <c r="V518" t="s">
        <v>77</v>
      </c>
    </row>
    <row r="519" spans="1:22">
      <c r="A519" t="str">
        <f t="shared" si="110"/>
        <v>04/09/2025</v>
      </c>
      <c r="B519" t="str">
        <f t="shared" si="111"/>
        <v>SAÍDA</v>
      </c>
      <c r="C519" t="str">
        <f t="shared" si="105"/>
        <v>PIX</v>
      </c>
      <c r="D519" t="str">
        <f>"21065"</f>
        <v>21065</v>
      </c>
      <c r="E519" t="str">
        <f t="shared" si="106"/>
        <v>1</v>
      </c>
      <c r="F519" t="str">
        <f t="shared" si="113"/>
        <v>COM</v>
      </c>
      <c r="G519" t="str">
        <f>"GERALDO SEVERINO DE SANTANA (729)"</f>
        <v>GERALDO SEVERINO DE SANTANA (729)</v>
      </c>
      <c r="H519" t="s">
        <v>96</v>
      </c>
      <c r="I519" t="str">
        <f t="shared" si="107"/>
        <v>04/09/2025</v>
      </c>
      <c r="J519" t="str">
        <f t="shared" si="112"/>
        <v>27/08/2025</v>
      </c>
      <c r="K519">
        <v>45904</v>
      </c>
      <c r="N519">
        <v>109</v>
      </c>
      <c r="O519" t="s">
        <v>24</v>
      </c>
      <c r="Q519">
        <v>113.4</v>
      </c>
      <c r="R519" t="str">
        <f>"AC FARMA - FLEMINFARMA 5 (10183)"</f>
        <v>AC FARMA - FLEMINFARMA 5 (10183)</v>
      </c>
      <c r="S519" t="s">
        <v>77</v>
      </c>
      <c r="T519">
        <v>17607</v>
      </c>
      <c r="U519">
        <v>21065</v>
      </c>
      <c r="V519" t="s">
        <v>77</v>
      </c>
    </row>
    <row r="520" spans="1:22">
      <c r="A520" t="str">
        <f t="shared" si="110"/>
        <v>04/09/2025</v>
      </c>
      <c r="B520" t="str">
        <f t="shared" si="111"/>
        <v>SAÍDA</v>
      </c>
      <c r="C520" t="str">
        <f t="shared" si="105"/>
        <v>PIX</v>
      </c>
      <c r="D520" t="str">
        <f>"21066"</f>
        <v>21066</v>
      </c>
      <c r="E520" t="str">
        <f t="shared" si="106"/>
        <v>1</v>
      </c>
      <c r="F520" t="str">
        <f t="shared" si="113"/>
        <v>COM</v>
      </c>
      <c r="G520" t="str">
        <f>"HELITON DE OLIVEIRA RAMOS BARBOSA (724)"</f>
        <v>HELITON DE OLIVEIRA RAMOS BARBOSA (724)</v>
      </c>
      <c r="H520" t="str">
        <f>"Serv.Prest. 18/08/2025 a 24/08/2025 - PIX: CPF - CHAVE: 074.604.219-10"</f>
        <v>Serv.Prest. 18/08/2025 a 24/08/2025 - PIX: CPF - CHAVE: 074.604.219-10</v>
      </c>
      <c r="I520" t="str">
        <f t="shared" si="107"/>
        <v>04/09/2025</v>
      </c>
      <c r="J520" t="str">
        <f t="shared" si="112"/>
        <v>27/08/2025</v>
      </c>
      <c r="K520" t="str">
        <f>("04/09/2025")</f>
        <v>04/09/2025</v>
      </c>
      <c r="L520">
        <v>144.9</v>
      </c>
      <c r="M520">
        <v>144.9</v>
      </c>
      <c r="N520">
        <v>109</v>
      </c>
      <c r="O520" t="str">
        <f>"PAGAMENTO DE ENTREGADORES"</f>
        <v>PAGAMENTO DE ENTREGADORES</v>
      </c>
      <c r="P520">
        <v>144.9</v>
      </c>
      <c r="S520" t="str">
        <f>"BANCO C6 (149)"</f>
        <v>BANCO C6 (149)</v>
      </c>
      <c r="T520">
        <v>17608</v>
      </c>
      <c r="U520">
        <v>21066</v>
      </c>
      <c r="V520" t="s">
        <v>77</v>
      </c>
    </row>
    <row r="521" spans="1:22">
      <c r="A521" t="str">
        <f t="shared" si="110"/>
        <v>04/09/2025</v>
      </c>
      <c r="B521" t="str">
        <f t="shared" si="111"/>
        <v>SAÍDA</v>
      </c>
      <c r="C521" t="str">
        <f t="shared" si="105"/>
        <v>PIX</v>
      </c>
      <c r="D521" t="str">
        <f>"21066"</f>
        <v>21066</v>
      </c>
      <c r="E521" t="str">
        <f t="shared" si="106"/>
        <v>1</v>
      </c>
      <c r="F521" t="str">
        <f t="shared" si="113"/>
        <v>COM</v>
      </c>
      <c r="G521" t="str">
        <f>"HELITON DE OLIVEIRA RAMOS BARBOSA (724)"</f>
        <v>HELITON DE OLIVEIRA RAMOS BARBOSA (724)</v>
      </c>
      <c r="H521" t="s">
        <v>95</v>
      </c>
      <c r="I521" t="str">
        <f t="shared" si="107"/>
        <v>04/09/2025</v>
      </c>
      <c r="J521" t="str">
        <f t="shared" si="112"/>
        <v>27/08/2025</v>
      </c>
      <c r="K521">
        <v>45904</v>
      </c>
      <c r="N521">
        <v>109</v>
      </c>
      <c r="O521" t="s">
        <v>24</v>
      </c>
      <c r="Q521">
        <v>144.9</v>
      </c>
      <c r="R521" t="str">
        <f>"AC FARMA - FLEMINFARMA 5 (10183)"</f>
        <v>AC FARMA - FLEMINFARMA 5 (10183)</v>
      </c>
      <c r="S521" t="s">
        <v>77</v>
      </c>
      <c r="T521">
        <v>17608</v>
      </c>
      <c r="U521">
        <v>21066</v>
      </c>
      <c r="V521" t="s">
        <v>77</v>
      </c>
    </row>
    <row r="522" spans="1:22">
      <c r="A522" t="str">
        <f t="shared" si="110"/>
        <v>04/09/2025</v>
      </c>
      <c r="B522" t="str">
        <f t="shared" si="111"/>
        <v>SAÍDA</v>
      </c>
      <c r="C522" t="str">
        <f t="shared" si="105"/>
        <v>PIX</v>
      </c>
      <c r="D522" t="str">
        <f>"21073"</f>
        <v>21073</v>
      </c>
      <c r="E522" t="str">
        <f t="shared" si="106"/>
        <v>1</v>
      </c>
      <c r="F522" t="str">
        <f t="shared" si="113"/>
        <v>COM</v>
      </c>
      <c r="G522" t="str">
        <f>"DEIVID FERNANDES COSTA (828)"</f>
        <v>DEIVID FERNANDES COSTA (828)</v>
      </c>
      <c r="H522" t="str">
        <f>"Serv.Prest. 25/08/2025 a 31/08/2025 - PIX: CELULAR - CHAVE: (62) 99550-3226"</f>
        <v>Serv.Prest. 25/08/2025 a 31/08/2025 - PIX: CELULAR - CHAVE: (62) 99550-3226</v>
      </c>
      <c r="I522" t="str">
        <f t="shared" si="107"/>
        <v>04/09/2025</v>
      </c>
      <c r="J522" t="str">
        <f t="shared" ref="J522:J553" si="114">("01/09/2025")</f>
        <v>01/09/2025</v>
      </c>
      <c r="K522" t="str">
        <f>("04/09/2025")</f>
        <v>04/09/2025</v>
      </c>
      <c r="L522">
        <v>702.1</v>
      </c>
      <c r="M522">
        <v>702.1</v>
      </c>
      <c r="N522">
        <v>109</v>
      </c>
      <c r="O522" t="str">
        <f>"PAGAMENTO DE ENTREGADORES"</f>
        <v>PAGAMENTO DE ENTREGADORES</v>
      </c>
      <c r="P522">
        <v>702.1</v>
      </c>
      <c r="S522" t="str">
        <f>"BANCO C6 (149)"</f>
        <v>BANCO C6 (149)</v>
      </c>
      <c r="T522">
        <v>17609</v>
      </c>
      <c r="U522">
        <v>21073</v>
      </c>
      <c r="V522" t="s">
        <v>77</v>
      </c>
    </row>
    <row r="523" spans="1:22">
      <c r="A523" t="str">
        <f t="shared" si="110"/>
        <v>04/09/2025</v>
      </c>
      <c r="B523" t="str">
        <f t="shared" si="111"/>
        <v>SAÍDA</v>
      </c>
      <c r="C523" t="str">
        <f t="shared" ref="C523:C586" si="115">"PIX"</f>
        <v>PIX</v>
      </c>
      <c r="D523" t="str">
        <f>"21073"</f>
        <v>21073</v>
      </c>
      <c r="E523" t="str">
        <f t="shared" si="106"/>
        <v>1</v>
      </c>
      <c r="F523" t="str">
        <f t="shared" si="113"/>
        <v>COM</v>
      </c>
      <c r="G523" t="str">
        <f>"DEIVID FERNANDES COSTA (828)"</f>
        <v>DEIVID FERNANDES COSTA (828)</v>
      </c>
      <c r="H523" t="s">
        <v>214</v>
      </c>
      <c r="I523" t="str">
        <f t="shared" si="107"/>
        <v>04/09/2025</v>
      </c>
      <c r="J523" t="str">
        <f t="shared" si="114"/>
        <v>01/09/2025</v>
      </c>
      <c r="K523">
        <v>45904</v>
      </c>
      <c r="N523">
        <v>109</v>
      </c>
      <c r="O523" t="s">
        <v>24</v>
      </c>
      <c r="Q523">
        <v>702.1</v>
      </c>
      <c r="R523" t="str">
        <f>"BRASIL FARMA (10173)"</f>
        <v>BRASIL FARMA (10173)</v>
      </c>
      <c r="S523" t="s">
        <v>77</v>
      </c>
      <c r="T523">
        <v>17609</v>
      </c>
      <c r="U523">
        <v>21073</v>
      </c>
      <c r="V523" t="s">
        <v>77</v>
      </c>
    </row>
    <row r="524" spans="1:22">
      <c r="A524" t="str">
        <f t="shared" si="110"/>
        <v>04/09/2025</v>
      </c>
      <c r="B524" t="str">
        <f t="shared" si="111"/>
        <v>SAÍDA</v>
      </c>
      <c r="C524" t="str">
        <f t="shared" si="115"/>
        <v>PIX</v>
      </c>
      <c r="D524" t="str">
        <f>"21074"</f>
        <v>21074</v>
      </c>
      <c r="E524" t="str">
        <f t="shared" si="106"/>
        <v>1</v>
      </c>
      <c r="F524" t="str">
        <f t="shared" si="113"/>
        <v>COM</v>
      </c>
      <c r="G524" t="str">
        <f>"MAYKON LOPES DE MENEZES (781)"</f>
        <v>MAYKON LOPES DE MENEZES (781)</v>
      </c>
      <c r="H524" t="str">
        <f>"Serv.Prest. 25/08/2025 a 31/08/2025 - PIX: CPF - CHAVE: 012.600.851-55"</f>
        <v>Serv.Prest. 25/08/2025 a 31/08/2025 - PIX: CPF - CHAVE: 012.600.851-55</v>
      </c>
      <c r="I524" t="str">
        <f t="shared" si="107"/>
        <v>04/09/2025</v>
      </c>
      <c r="J524" t="str">
        <f t="shared" si="114"/>
        <v>01/09/2025</v>
      </c>
      <c r="K524" t="str">
        <f>("04/09/2025")</f>
        <v>04/09/2025</v>
      </c>
      <c r="L524">
        <v>682.1</v>
      </c>
      <c r="M524">
        <v>682.1</v>
      </c>
      <c r="N524">
        <v>109</v>
      </c>
      <c r="O524" t="str">
        <f>"PAGAMENTO DE ENTREGADORES"</f>
        <v>PAGAMENTO DE ENTREGADORES</v>
      </c>
      <c r="P524">
        <v>682.1</v>
      </c>
      <c r="S524" t="str">
        <f>"BANCO C6 (149)"</f>
        <v>BANCO C6 (149)</v>
      </c>
      <c r="T524">
        <v>17610</v>
      </c>
      <c r="U524">
        <v>21074</v>
      </c>
      <c r="V524" t="s">
        <v>77</v>
      </c>
    </row>
    <row r="525" spans="1:22">
      <c r="A525" t="str">
        <f t="shared" si="110"/>
        <v>04/09/2025</v>
      </c>
      <c r="B525" t="str">
        <f t="shared" si="111"/>
        <v>SAÍDA</v>
      </c>
      <c r="C525" t="str">
        <f t="shared" si="115"/>
        <v>PIX</v>
      </c>
      <c r="D525" t="str">
        <f>"21074"</f>
        <v>21074</v>
      </c>
      <c r="E525" t="str">
        <f t="shared" si="106"/>
        <v>1</v>
      </c>
      <c r="F525" t="str">
        <f t="shared" si="113"/>
        <v>COM</v>
      </c>
      <c r="G525" t="str">
        <f>"MAYKON LOPES DE MENEZES (781)"</f>
        <v>MAYKON LOPES DE MENEZES (781)</v>
      </c>
      <c r="H525" t="s">
        <v>61</v>
      </c>
      <c r="I525" t="str">
        <f t="shared" si="107"/>
        <v>04/09/2025</v>
      </c>
      <c r="J525" t="str">
        <f t="shared" si="114"/>
        <v>01/09/2025</v>
      </c>
      <c r="K525">
        <v>45904</v>
      </c>
      <c r="N525">
        <v>109</v>
      </c>
      <c r="O525" t="s">
        <v>24</v>
      </c>
      <c r="Q525">
        <v>682.1</v>
      </c>
      <c r="R525" t="str">
        <f>"BRASIL FARMA (10173)"</f>
        <v>BRASIL FARMA (10173)</v>
      </c>
      <c r="S525" t="s">
        <v>77</v>
      </c>
      <c r="T525">
        <v>17610</v>
      </c>
      <c r="U525">
        <v>21074</v>
      </c>
      <c r="V525" t="s">
        <v>77</v>
      </c>
    </row>
    <row r="526" spans="1:22">
      <c r="A526" t="str">
        <f t="shared" si="110"/>
        <v>04/09/2025</v>
      </c>
      <c r="B526" t="str">
        <f t="shared" si="111"/>
        <v>SAÍDA</v>
      </c>
      <c r="C526" t="str">
        <f t="shared" si="115"/>
        <v>PIX</v>
      </c>
      <c r="D526" t="str">
        <f>"21077"</f>
        <v>21077</v>
      </c>
      <c r="E526" t="str">
        <f t="shared" si="106"/>
        <v>1</v>
      </c>
      <c r="F526" t="str">
        <f t="shared" si="113"/>
        <v>COM</v>
      </c>
      <c r="G526" t="str">
        <f>"EDUARDO COSTA DA SILVA (721)"</f>
        <v>EDUARDO COSTA DA SILVA (721)</v>
      </c>
      <c r="H526" t="str">
        <f>"Serv.Prest. 25/08/2025 a 31/08/2025 - PIX: CELULAR - CHAVE: (11) 95552-9905"</f>
        <v>Serv.Prest. 25/08/2025 a 31/08/2025 - PIX: CELULAR - CHAVE: (11) 95552-9905</v>
      </c>
      <c r="I526" t="str">
        <f t="shared" si="107"/>
        <v>04/09/2025</v>
      </c>
      <c r="J526" t="str">
        <f t="shared" si="114"/>
        <v>01/09/2025</v>
      </c>
      <c r="K526" t="str">
        <f>("04/09/2025")</f>
        <v>04/09/2025</v>
      </c>
      <c r="L526">
        <v>1140.3</v>
      </c>
      <c r="M526">
        <v>1140.3</v>
      </c>
      <c r="N526">
        <v>109</v>
      </c>
      <c r="O526" t="str">
        <f>"PAGAMENTO DE ENTREGADORES"</f>
        <v>PAGAMENTO DE ENTREGADORES</v>
      </c>
      <c r="P526">
        <v>1140.3</v>
      </c>
      <c r="S526" t="str">
        <f>"BANCO C6 (149)"</f>
        <v>BANCO C6 (149)</v>
      </c>
      <c r="T526">
        <v>17611</v>
      </c>
      <c r="U526">
        <v>21077</v>
      </c>
      <c r="V526" t="s">
        <v>77</v>
      </c>
    </row>
    <row r="527" spans="1:22">
      <c r="A527" t="str">
        <f t="shared" si="110"/>
        <v>04/09/2025</v>
      </c>
      <c r="B527" t="str">
        <f t="shared" si="111"/>
        <v>SAÍDA</v>
      </c>
      <c r="C527" t="str">
        <f t="shared" si="115"/>
        <v>PIX</v>
      </c>
      <c r="D527" t="str">
        <f>"21077"</f>
        <v>21077</v>
      </c>
      <c r="E527" t="str">
        <f t="shared" si="106"/>
        <v>1</v>
      </c>
      <c r="F527" t="str">
        <f t="shared" si="113"/>
        <v>COM</v>
      </c>
      <c r="G527" t="str">
        <f>"EDUARDO COSTA DA SILVA (721)"</f>
        <v>EDUARDO COSTA DA SILVA (721)</v>
      </c>
      <c r="H527" t="s">
        <v>215</v>
      </c>
      <c r="I527" t="str">
        <f t="shared" si="107"/>
        <v>04/09/2025</v>
      </c>
      <c r="J527" t="str">
        <f t="shared" si="114"/>
        <v>01/09/2025</v>
      </c>
      <c r="K527">
        <v>45904</v>
      </c>
      <c r="N527">
        <v>109</v>
      </c>
      <c r="O527" t="s">
        <v>24</v>
      </c>
      <c r="Q527">
        <v>1140.3</v>
      </c>
      <c r="R527" t="str">
        <f>"DROGARIA AGAPEAMA (10167)"</f>
        <v>DROGARIA AGAPEAMA (10167)</v>
      </c>
      <c r="S527" t="s">
        <v>77</v>
      </c>
      <c r="T527">
        <v>17611</v>
      </c>
      <c r="U527">
        <v>21077</v>
      </c>
      <c r="V527" t="s">
        <v>77</v>
      </c>
    </row>
    <row r="528" spans="1:22">
      <c r="A528" t="str">
        <f t="shared" si="110"/>
        <v>04/09/2025</v>
      </c>
      <c r="B528" t="str">
        <f t="shared" si="111"/>
        <v>SAÍDA</v>
      </c>
      <c r="C528" t="str">
        <f t="shared" si="115"/>
        <v>PIX</v>
      </c>
      <c r="D528" t="str">
        <f>"21078"</f>
        <v>21078</v>
      </c>
      <c r="E528" t="str">
        <f t="shared" si="106"/>
        <v>1</v>
      </c>
      <c r="F528" t="str">
        <f t="shared" si="113"/>
        <v>COM</v>
      </c>
      <c r="G528" t="str">
        <f>"GUILHERME DA SILVA GOMES (901)"</f>
        <v>GUILHERME DA SILVA GOMES (901)</v>
      </c>
      <c r="H528" t="str">
        <f>"Serv.Prest. 25/08/2025 a 31/08/2025 - PIX: CPF - CHAVE: 505.341.528-56"</f>
        <v>Serv.Prest. 25/08/2025 a 31/08/2025 - PIX: CPF - CHAVE: 505.341.528-56</v>
      </c>
      <c r="I528" t="str">
        <f t="shared" si="107"/>
        <v>04/09/2025</v>
      </c>
      <c r="J528" t="str">
        <f t="shared" si="114"/>
        <v>01/09/2025</v>
      </c>
      <c r="K528" t="str">
        <f>("04/09/2025")</f>
        <v>04/09/2025</v>
      </c>
      <c r="L528">
        <v>711.9</v>
      </c>
      <c r="M528">
        <v>711.9</v>
      </c>
      <c r="N528">
        <v>109</v>
      </c>
      <c r="O528" t="str">
        <f>"PAGAMENTO DE ENTREGADORES"</f>
        <v>PAGAMENTO DE ENTREGADORES</v>
      </c>
      <c r="P528">
        <v>711.9</v>
      </c>
      <c r="S528" t="str">
        <f>"BANCO C6 (149)"</f>
        <v>BANCO C6 (149)</v>
      </c>
      <c r="T528">
        <v>17612</v>
      </c>
      <c r="U528">
        <v>21078</v>
      </c>
      <c r="V528" t="s">
        <v>77</v>
      </c>
    </row>
    <row r="529" spans="1:22">
      <c r="A529" t="str">
        <f t="shared" si="110"/>
        <v>04/09/2025</v>
      </c>
      <c r="B529" t="str">
        <f t="shared" si="111"/>
        <v>SAÍDA</v>
      </c>
      <c r="C529" t="str">
        <f t="shared" si="115"/>
        <v>PIX</v>
      </c>
      <c r="D529" t="str">
        <f>"21078"</f>
        <v>21078</v>
      </c>
      <c r="E529" t="str">
        <f t="shared" si="106"/>
        <v>1</v>
      </c>
      <c r="F529" t="str">
        <f t="shared" si="113"/>
        <v>COM</v>
      </c>
      <c r="G529" t="str">
        <f>"GUILHERME DA SILVA GOMES (901)"</f>
        <v>GUILHERME DA SILVA GOMES (901)</v>
      </c>
      <c r="H529" t="s">
        <v>216</v>
      </c>
      <c r="I529" t="str">
        <f t="shared" si="107"/>
        <v>04/09/2025</v>
      </c>
      <c r="J529" t="str">
        <f t="shared" si="114"/>
        <v>01/09/2025</v>
      </c>
      <c r="K529">
        <v>45904</v>
      </c>
      <c r="N529">
        <v>109</v>
      </c>
      <c r="O529" t="s">
        <v>24</v>
      </c>
      <c r="Q529">
        <v>711.9</v>
      </c>
      <c r="R529" t="str">
        <f>"DROGARIA AGAPEAMA (10167)"</f>
        <v>DROGARIA AGAPEAMA (10167)</v>
      </c>
      <c r="S529" t="s">
        <v>77</v>
      </c>
      <c r="T529">
        <v>17612</v>
      </c>
      <c r="U529">
        <v>21078</v>
      </c>
      <c r="V529" t="s">
        <v>77</v>
      </c>
    </row>
    <row r="530" spans="1:22">
      <c r="A530" t="str">
        <f t="shared" si="110"/>
        <v>04/09/2025</v>
      </c>
      <c r="B530" t="str">
        <f t="shared" si="111"/>
        <v>SAÍDA</v>
      </c>
      <c r="C530" t="str">
        <f t="shared" si="115"/>
        <v>PIX</v>
      </c>
      <c r="D530" t="str">
        <f>"21079"</f>
        <v>21079</v>
      </c>
      <c r="E530" t="str">
        <f t="shared" ref="E530:E593" si="116">"1"</f>
        <v>1</v>
      </c>
      <c r="F530" t="str">
        <f t="shared" si="113"/>
        <v>COM</v>
      </c>
      <c r="G530" t="str">
        <f>"WESLEY RICARDO DE OLIVEIRA (722)"</f>
        <v>WESLEY RICARDO DE OLIVEIRA (722)</v>
      </c>
      <c r="H530" t="str">
        <f>"Serv.Prest. 25/08/2025 a 31/08/2025 - PIX: CPF - CHAVE: 336.516.138-44"</f>
        <v>Serv.Prest. 25/08/2025 a 31/08/2025 - PIX: CPF - CHAVE: 336.516.138-44</v>
      </c>
      <c r="I530" t="str">
        <f t="shared" si="107"/>
        <v>04/09/2025</v>
      </c>
      <c r="J530" t="str">
        <f t="shared" si="114"/>
        <v>01/09/2025</v>
      </c>
      <c r="K530" t="str">
        <f>("04/09/2025")</f>
        <v>04/09/2025</v>
      </c>
      <c r="L530">
        <v>982.8</v>
      </c>
      <c r="M530">
        <v>982.8</v>
      </c>
      <c r="N530">
        <v>109</v>
      </c>
      <c r="O530" t="str">
        <f>"PAGAMENTO DE ENTREGADORES"</f>
        <v>PAGAMENTO DE ENTREGADORES</v>
      </c>
      <c r="P530">
        <v>982.8</v>
      </c>
      <c r="S530" t="str">
        <f>"BANCO C6 (149)"</f>
        <v>BANCO C6 (149)</v>
      </c>
      <c r="T530">
        <v>17613</v>
      </c>
      <c r="U530">
        <v>21079</v>
      </c>
      <c r="V530" t="s">
        <v>77</v>
      </c>
    </row>
    <row r="531" spans="1:22">
      <c r="A531" t="str">
        <f t="shared" si="110"/>
        <v>04/09/2025</v>
      </c>
      <c r="B531" t="str">
        <f t="shared" si="111"/>
        <v>SAÍDA</v>
      </c>
      <c r="C531" t="str">
        <f t="shared" si="115"/>
        <v>PIX</v>
      </c>
      <c r="D531" t="str">
        <f>"21079"</f>
        <v>21079</v>
      </c>
      <c r="E531" t="str">
        <f t="shared" si="116"/>
        <v>1</v>
      </c>
      <c r="F531" t="str">
        <f t="shared" si="113"/>
        <v>COM</v>
      </c>
      <c r="G531" t="str">
        <f>"WESLEY RICARDO DE OLIVEIRA (722)"</f>
        <v>WESLEY RICARDO DE OLIVEIRA (722)</v>
      </c>
      <c r="H531" t="s">
        <v>217</v>
      </c>
      <c r="I531" t="str">
        <f t="shared" si="107"/>
        <v>04/09/2025</v>
      </c>
      <c r="J531" t="str">
        <f t="shared" si="114"/>
        <v>01/09/2025</v>
      </c>
      <c r="K531">
        <v>45904</v>
      </c>
      <c r="N531">
        <v>109</v>
      </c>
      <c r="O531" t="s">
        <v>24</v>
      </c>
      <c r="Q531">
        <v>982.8</v>
      </c>
      <c r="R531" t="str">
        <f>"DROGARIA AGAPEAMA (10167)"</f>
        <v>DROGARIA AGAPEAMA (10167)</v>
      </c>
      <c r="S531" t="s">
        <v>77</v>
      </c>
      <c r="T531">
        <v>17613</v>
      </c>
      <c r="U531">
        <v>21079</v>
      </c>
      <c r="V531" t="s">
        <v>77</v>
      </c>
    </row>
    <row r="532" spans="1:22">
      <c r="A532" t="str">
        <f t="shared" si="110"/>
        <v>04/09/2025</v>
      </c>
      <c r="B532" t="str">
        <f t="shared" si="111"/>
        <v>SAÍDA</v>
      </c>
      <c r="C532" t="str">
        <f t="shared" si="115"/>
        <v>PIX</v>
      </c>
      <c r="D532" t="str">
        <f>"21081"</f>
        <v>21081</v>
      </c>
      <c r="E532" t="str">
        <f t="shared" si="116"/>
        <v>1</v>
      </c>
      <c r="F532" t="str">
        <f t="shared" si="113"/>
        <v>COM</v>
      </c>
      <c r="G532" t="str">
        <f>"ALEXSANDRO HENRIQUE FERREIRA (808)"</f>
        <v>ALEXSANDRO HENRIQUE FERREIRA (808)</v>
      </c>
      <c r="H532" t="str">
        <f>"Serv.Prest. 25/08/2025 a 31/08/2025 - PIX: CPF - CHAVE: 157.591.436-03"</f>
        <v>Serv.Prest. 25/08/2025 a 31/08/2025 - PIX: CPF - CHAVE: 157.591.436-03</v>
      </c>
      <c r="I532" t="str">
        <f t="shared" si="107"/>
        <v>04/09/2025</v>
      </c>
      <c r="J532" t="str">
        <f t="shared" si="114"/>
        <v>01/09/2025</v>
      </c>
      <c r="K532" t="str">
        <f>("04/09/2025")</f>
        <v>04/09/2025</v>
      </c>
      <c r="L532">
        <v>904.05</v>
      </c>
      <c r="M532">
        <v>904.05</v>
      </c>
      <c r="N532">
        <v>109</v>
      </c>
      <c r="O532" t="str">
        <f>"PAGAMENTO DE ENTREGADORES"</f>
        <v>PAGAMENTO DE ENTREGADORES</v>
      </c>
      <c r="P532">
        <v>904.05</v>
      </c>
      <c r="S532" t="str">
        <f>"BANCO C6 (149)"</f>
        <v>BANCO C6 (149)</v>
      </c>
      <c r="T532">
        <v>17614</v>
      </c>
      <c r="U532">
        <v>21081</v>
      </c>
      <c r="V532" t="s">
        <v>77</v>
      </c>
    </row>
    <row r="533" spans="1:22">
      <c r="A533" t="str">
        <f t="shared" si="110"/>
        <v>04/09/2025</v>
      </c>
      <c r="B533" t="str">
        <f t="shared" si="111"/>
        <v>SAÍDA</v>
      </c>
      <c r="C533" t="str">
        <f t="shared" si="115"/>
        <v>PIX</v>
      </c>
      <c r="D533" t="str">
        <f>"21081"</f>
        <v>21081</v>
      </c>
      <c r="E533" t="str">
        <f t="shared" si="116"/>
        <v>1</v>
      </c>
      <c r="F533" t="str">
        <f t="shared" si="113"/>
        <v>COM</v>
      </c>
      <c r="G533" t="str">
        <f>"ALEXSANDRO HENRIQUE FERREIRA (808)"</f>
        <v>ALEXSANDRO HENRIQUE FERREIRA (808)</v>
      </c>
      <c r="H533" t="s">
        <v>218</v>
      </c>
      <c r="I533" t="str">
        <f t="shared" si="107"/>
        <v>04/09/2025</v>
      </c>
      <c r="J533" t="str">
        <f t="shared" si="114"/>
        <v>01/09/2025</v>
      </c>
      <c r="K533">
        <v>45904</v>
      </c>
      <c r="N533">
        <v>109</v>
      </c>
      <c r="O533" t="s">
        <v>24</v>
      </c>
      <c r="Q533">
        <v>904.05</v>
      </c>
      <c r="R533" t="str">
        <f>"DROGARIA ANA VISCONDE DO RIO BRANCO (10182)"</f>
        <v>DROGARIA ANA VISCONDE DO RIO BRANCO (10182)</v>
      </c>
      <c r="S533" t="s">
        <v>77</v>
      </c>
      <c r="T533">
        <v>17614</v>
      </c>
      <c r="U533">
        <v>21081</v>
      </c>
      <c r="V533" t="s">
        <v>77</v>
      </c>
    </row>
    <row r="534" spans="1:22">
      <c r="A534" t="str">
        <f t="shared" si="110"/>
        <v>04/09/2025</v>
      </c>
      <c r="B534" t="str">
        <f t="shared" si="111"/>
        <v>SAÍDA</v>
      </c>
      <c r="C534" t="str">
        <f t="shared" si="115"/>
        <v>PIX</v>
      </c>
      <c r="D534" t="str">
        <f>"21082"</f>
        <v>21082</v>
      </c>
      <c r="E534" t="str">
        <f t="shared" si="116"/>
        <v>1</v>
      </c>
      <c r="F534" t="str">
        <f t="shared" si="113"/>
        <v>COM</v>
      </c>
      <c r="G534" t="str">
        <f>"ANDERSON LUIZ SOARES (807)"</f>
        <v>ANDERSON LUIZ SOARES (807)</v>
      </c>
      <c r="H534" t="str">
        <f>"Serv.Prest. 25/08/2025 a 31/08/2025 - PIX: CELULAR - CHAVE: (32) 99920-0416"</f>
        <v>Serv.Prest. 25/08/2025 a 31/08/2025 - PIX: CELULAR - CHAVE: (32) 99920-0416</v>
      </c>
      <c r="I534" t="str">
        <f t="shared" ref="I534:I597" si="117">("04/09/2025")</f>
        <v>04/09/2025</v>
      </c>
      <c r="J534" t="str">
        <f t="shared" si="114"/>
        <v>01/09/2025</v>
      </c>
      <c r="K534" t="str">
        <f>("04/09/2025")</f>
        <v>04/09/2025</v>
      </c>
      <c r="L534">
        <v>682.45</v>
      </c>
      <c r="M534">
        <v>682.45</v>
      </c>
      <c r="N534">
        <v>109</v>
      </c>
      <c r="O534" t="str">
        <f>"PAGAMENTO DE ENTREGADORES"</f>
        <v>PAGAMENTO DE ENTREGADORES</v>
      </c>
      <c r="P534">
        <v>682.45</v>
      </c>
      <c r="S534" t="str">
        <f>"BANCO C6 (149)"</f>
        <v>BANCO C6 (149)</v>
      </c>
      <c r="T534">
        <v>17615</v>
      </c>
      <c r="U534">
        <v>21082</v>
      </c>
      <c r="V534" t="s">
        <v>77</v>
      </c>
    </row>
    <row r="535" spans="1:22">
      <c r="A535" t="str">
        <f t="shared" si="110"/>
        <v>04/09/2025</v>
      </c>
      <c r="B535" t="str">
        <f t="shared" si="111"/>
        <v>SAÍDA</v>
      </c>
      <c r="C535" t="str">
        <f t="shared" si="115"/>
        <v>PIX</v>
      </c>
      <c r="D535" t="str">
        <f>"21082"</f>
        <v>21082</v>
      </c>
      <c r="E535" t="str">
        <f t="shared" si="116"/>
        <v>1</v>
      </c>
      <c r="F535" t="str">
        <f t="shared" si="113"/>
        <v>COM</v>
      </c>
      <c r="G535" t="str">
        <f>"ANDERSON LUIZ SOARES (807)"</f>
        <v>ANDERSON LUIZ SOARES (807)</v>
      </c>
      <c r="H535" t="s">
        <v>56</v>
      </c>
      <c r="I535" t="str">
        <f t="shared" si="117"/>
        <v>04/09/2025</v>
      </c>
      <c r="J535" t="str">
        <f t="shared" si="114"/>
        <v>01/09/2025</v>
      </c>
      <c r="K535">
        <v>45904</v>
      </c>
      <c r="N535">
        <v>109</v>
      </c>
      <c r="O535" t="s">
        <v>24</v>
      </c>
      <c r="Q535">
        <v>682.45</v>
      </c>
      <c r="R535" t="str">
        <f>"DROGARIA ANA VISCONDE DO RIO BRANCO (10182)"</f>
        <v>DROGARIA ANA VISCONDE DO RIO BRANCO (10182)</v>
      </c>
      <c r="S535" t="s">
        <v>77</v>
      </c>
      <c r="T535">
        <v>17615</v>
      </c>
      <c r="U535">
        <v>21082</v>
      </c>
      <c r="V535" t="s">
        <v>77</v>
      </c>
    </row>
    <row r="536" spans="1:22">
      <c r="A536" t="str">
        <f t="shared" si="110"/>
        <v>04/09/2025</v>
      </c>
      <c r="B536" t="str">
        <f t="shared" si="111"/>
        <v>SAÍDA</v>
      </c>
      <c r="C536" t="str">
        <f t="shared" si="115"/>
        <v>PIX</v>
      </c>
      <c r="D536" t="str">
        <f>"21083"</f>
        <v>21083</v>
      </c>
      <c r="E536" t="str">
        <f t="shared" si="116"/>
        <v>1</v>
      </c>
      <c r="F536" t="str">
        <f t="shared" si="113"/>
        <v>COM</v>
      </c>
      <c r="G536" t="str">
        <f>"GABRIEL PACHECO DE QUEIROZ NARCISO (812)"</f>
        <v>GABRIEL PACHECO DE QUEIROZ NARCISO (812)</v>
      </c>
      <c r="H536" t="str">
        <f>"Serv.Prest. 25/08/2025 a 31/08/2025 - PIX: CPF - CHAVE: 140.108.466-40"</f>
        <v>Serv.Prest. 25/08/2025 a 31/08/2025 - PIX: CPF - CHAVE: 140.108.466-40</v>
      </c>
      <c r="I536" t="str">
        <f t="shared" si="117"/>
        <v>04/09/2025</v>
      </c>
      <c r="J536" t="str">
        <f t="shared" si="114"/>
        <v>01/09/2025</v>
      </c>
      <c r="K536" t="str">
        <f>("04/09/2025")</f>
        <v>04/09/2025</v>
      </c>
      <c r="L536">
        <v>702.45</v>
      </c>
      <c r="M536">
        <v>702.45</v>
      </c>
      <c r="N536">
        <v>109</v>
      </c>
      <c r="O536" t="str">
        <f>"PAGAMENTO DE ENTREGADORES"</f>
        <v>PAGAMENTO DE ENTREGADORES</v>
      </c>
      <c r="P536">
        <v>702.45</v>
      </c>
      <c r="S536" t="str">
        <f>"BANCO C6 (149)"</f>
        <v>BANCO C6 (149)</v>
      </c>
      <c r="T536">
        <v>17616</v>
      </c>
      <c r="U536">
        <v>21083</v>
      </c>
      <c r="V536" t="s">
        <v>77</v>
      </c>
    </row>
    <row r="537" spans="1:22">
      <c r="A537" t="str">
        <f t="shared" si="110"/>
        <v>04/09/2025</v>
      </c>
      <c r="B537" t="str">
        <f t="shared" si="111"/>
        <v>SAÍDA</v>
      </c>
      <c r="C537" t="str">
        <f t="shared" si="115"/>
        <v>PIX</v>
      </c>
      <c r="D537" t="str">
        <f>"21083"</f>
        <v>21083</v>
      </c>
      <c r="E537" t="str">
        <f t="shared" si="116"/>
        <v>1</v>
      </c>
      <c r="F537" t="str">
        <f t="shared" si="113"/>
        <v>COM</v>
      </c>
      <c r="G537" t="str">
        <f>"GABRIEL PACHECO DE QUEIROZ NARCISO (812)"</f>
        <v>GABRIEL PACHECO DE QUEIROZ NARCISO (812)</v>
      </c>
      <c r="H537" t="s">
        <v>219</v>
      </c>
      <c r="I537" t="str">
        <f t="shared" si="117"/>
        <v>04/09/2025</v>
      </c>
      <c r="J537" t="str">
        <f t="shared" si="114"/>
        <v>01/09/2025</v>
      </c>
      <c r="K537">
        <v>45904</v>
      </c>
      <c r="N537">
        <v>109</v>
      </c>
      <c r="O537" t="s">
        <v>24</v>
      </c>
      <c r="Q537">
        <v>702.45</v>
      </c>
      <c r="R537" t="str">
        <f>"DROGARIA ANA VISCONDE DO RIO BRANCO (10182)"</f>
        <v>DROGARIA ANA VISCONDE DO RIO BRANCO (10182)</v>
      </c>
      <c r="S537" t="s">
        <v>77</v>
      </c>
      <c r="T537">
        <v>17616</v>
      </c>
      <c r="U537">
        <v>21083</v>
      </c>
      <c r="V537" t="s">
        <v>77</v>
      </c>
    </row>
    <row r="538" spans="1:22">
      <c r="A538" t="str">
        <f t="shared" si="110"/>
        <v>04/09/2025</v>
      </c>
      <c r="B538" t="str">
        <f t="shared" si="111"/>
        <v>SAÍDA</v>
      </c>
      <c r="C538" t="str">
        <f t="shared" si="115"/>
        <v>PIX</v>
      </c>
      <c r="D538" t="str">
        <f>"21084"</f>
        <v>21084</v>
      </c>
      <c r="E538" t="str">
        <f t="shared" si="116"/>
        <v>1</v>
      </c>
      <c r="F538" t="str">
        <f t="shared" si="113"/>
        <v>COM</v>
      </c>
      <c r="G538" t="str">
        <f>"WASHINGTON VALERIO DE SOUZA (888)"</f>
        <v>WASHINGTON VALERIO DE SOUZA (888)</v>
      </c>
      <c r="H538" t="str">
        <f>"Serv.Prest. 25/08/2025 a 31/08/2025 - PIX: CPF - CHAVE: 080.965.696-51"</f>
        <v>Serv.Prest. 25/08/2025 a 31/08/2025 - PIX: CPF - CHAVE: 080.965.696-51</v>
      </c>
      <c r="I538" t="str">
        <f t="shared" si="117"/>
        <v>04/09/2025</v>
      </c>
      <c r="J538" t="str">
        <f t="shared" si="114"/>
        <v>01/09/2025</v>
      </c>
      <c r="K538" t="str">
        <f>("04/09/2025")</f>
        <v>04/09/2025</v>
      </c>
      <c r="L538">
        <v>702.45</v>
      </c>
      <c r="M538">
        <v>702.45</v>
      </c>
      <c r="N538">
        <v>109</v>
      </c>
      <c r="O538" t="str">
        <f>"PAGAMENTO DE ENTREGADORES"</f>
        <v>PAGAMENTO DE ENTREGADORES</v>
      </c>
      <c r="P538">
        <v>702.45</v>
      </c>
      <c r="S538" t="str">
        <f>"BANCO C6 (149)"</f>
        <v>BANCO C6 (149)</v>
      </c>
      <c r="T538">
        <v>17617</v>
      </c>
      <c r="U538">
        <v>21084</v>
      </c>
      <c r="V538" t="s">
        <v>77</v>
      </c>
    </row>
    <row r="539" spans="1:22">
      <c r="A539" t="str">
        <f t="shared" si="110"/>
        <v>04/09/2025</v>
      </c>
      <c r="B539" t="str">
        <f t="shared" si="111"/>
        <v>SAÍDA</v>
      </c>
      <c r="C539" t="str">
        <f t="shared" si="115"/>
        <v>PIX</v>
      </c>
      <c r="D539" t="str">
        <f>"21084"</f>
        <v>21084</v>
      </c>
      <c r="E539" t="str">
        <f t="shared" si="116"/>
        <v>1</v>
      </c>
      <c r="F539" t="str">
        <f t="shared" si="113"/>
        <v>COM</v>
      </c>
      <c r="G539" t="str">
        <f>"WASHINGTON VALERIO DE SOUZA (888)"</f>
        <v>WASHINGTON VALERIO DE SOUZA (888)</v>
      </c>
      <c r="H539" t="s">
        <v>220</v>
      </c>
      <c r="I539" t="str">
        <f t="shared" si="117"/>
        <v>04/09/2025</v>
      </c>
      <c r="J539" t="str">
        <f t="shared" si="114"/>
        <v>01/09/2025</v>
      </c>
      <c r="K539">
        <v>45904</v>
      </c>
      <c r="N539">
        <v>109</v>
      </c>
      <c r="O539" t="s">
        <v>24</v>
      </c>
      <c r="Q539">
        <v>702.45</v>
      </c>
      <c r="R539" t="str">
        <f>"DROGARIA ANA VISCONDE DO RIO BRANCO (10182)"</f>
        <v>DROGARIA ANA VISCONDE DO RIO BRANCO (10182)</v>
      </c>
      <c r="S539" t="s">
        <v>77</v>
      </c>
      <c r="T539">
        <v>17617</v>
      </c>
      <c r="U539">
        <v>21084</v>
      </c>
      <c r="V539" t="s">
        <v>77</v>
      </c>
    </row>
    <row r="540" spans="1:22">
      <c r="A540" t="str">
        <f t="shared" si="110"/>
        <v>04/09/2025</v>
      </c>
      <c r="B540" t="str">
        <f t="shared" ref="B540:B571" si="118">"SAÍDA"</f>
        <v>SAÍDA</v>
      </c>
      <c r="C540" t="str">
        <f t="shared" si="115"/>
        <v>PIX</v>
      </c>
      <c r="D540" t="str">
        <f>"21085"</f>
        <v>21085</v>
      </c>
      <c r="E540" t="str">
        <f t="shared" si="116"/>
        <v>1</v>
      </c>
      <c r="F540" t="str">
        <f t="shared" si="113"/>
        <v>COM</v>
      </c>
      <c r="G540" t="str">
        <f>"WILLIAM ANDRE SILVA COELLO (850)"</f>
        <v>WILLIAM ANDRE SILVA COELLO (850)</v>
      </c>
      <c r="H540" t="str">
        <f>"Serv.Prest. 25/08/2025 a 31/08/2025 - PIX: CPF - CHAVE: 100.710.806-19"</f>
        <v>Serv.Prest. 25/08/2025 a 31/08/2025 - PIX: CPF - CHAVE: 100.710.806-19</v>
      </c>
      <c r="I540" t="str">
        <f t="shared" si="117"/>
        <v>04/09/2025</v>
      </c>
      <c r="J540" t="str">
        <f t="shared" si="114"/>
        <v>01/09/2025</v>
      </c>
      <c r="K540" t="str">
        <f>("04/09/2025")</f>
        <v>04/09/2025</v>
      </c>
      <c r="L540">
        <v>702.45</v>
      </c>
      <c r="M540">
        <v>702.45</v>
      </c>
      <c r="N540">
        <v>109</v>
      </c>
      <c r="O540" t="str">
        <f>"PAGAMENTO DE ENTREGADORES"</f>
        <v>PAGAMENTO DE ENTREGADORES</v>
      </c>
      <c r="P540">
        <v>702.45</v>
      </c>
      <c r="S540" t="str">
        <f>"BANCO C6 (149)"</f>
        <v>BANCO C6 (149)</v>
      </c>
      <c r="T540">
        <v>17618</v>
      </c>
      <c r="U540">
        <v>21085</v>
      </c>
      <c r="V540" t="s">
        <v>77</v>
      </c>
    </row>
    <row r="541" spans="1:22">
      <c r="A541" t="str">
        <f t="shared" si="110"/>
        <v>04/09/2025</v>
      </c>
      <c r="B541" t="str">
        <f t="shared" si="118"/>
        <v>SAÍDA</v>
      </c>
      <c r="C541" t="str">
        <f t="shared" si="115"/>
        <v>PIX</v>
      </c>
      <c r="D541" t="str">
        <f>"21085"</f>
        <v>21085</v>
      </c>
      <c r="E541" t="str">
        <f t="shared" si="116"/>
        <v>1</v>
      </c>
      <c r="F541" t="str">
        <f t="shared" si="113"/>
        <v>COM</v>
      </c>
      <c r="G541" t="str">
        <f>"WILLIAM ANDRE SILVA COELLO (850)"</f>
        <v>WILLIAM ANDRE SILVA COELLO (850)</v>
      </c>
      <c r="H541" t="s">
        <v>221</v>
      </c>
      <c r="I541" t="str">
        <f t="shared" si="117"/>
        <v>04/09/2025</v>
      </c>
      <c r="J541" t="str">
        <f t="shared" si="114"/>
        <v>01/09/2025</v>
      </c>
      <c r="K541">
        <v>45904</v>
      </c>
      <c r="N541">
        <v>109</v>
      </c>
      <c r="O541" t="s">
        <v>24</v>
      </c>
      <c r="Q541">
        <v>702.45</v>
      </c>
      <c r="R541" t="str">
        <f>"DROGARIA ANA VISCONDE DO RIO BRANCO (10182)"</f>
        <v>DROGARIA ANA VISCONDE DO RIO BRANCO (10182)</v>
      </c>
      <c r="S541" t="s">
        <v>77</v>
      </c>
      <c r="T541">
        <v>17618</v>
      </c>
      <c r="U541">
        <v>21085</v>
      </c>
      <c r="V541" t="s">
        <v>77</v>
      </c>
    </row>
    <row r="542" spans="1:22">
      <c r="A542" t="str">
        <f t="shared" si="110"/>
        <v>04/09/2025</v>
      </c>
      <c r="B542" t="str">
        <f t="shared" si="118"/>
        <v>SAÍDA</v>
      </c>
      <c r="C542" t="str">
        <f t="shared" si="115"/>
        <v>PIX</v>
      </c>
      <c r="D542" t="str">
        <f>"21087"</f>
        <v>21087</v>
      </c>
      <c r="E542" t="str">
        <f t="shared" si="116"/>
        <v>1</v>
      </c>
      <c r="F542" t="str">
        <f t="shared" si="113"/>
        <v>COM</v>
      </c>
      <c r="G542" t="str">
        <f>"ISAEL SANTOS ROSA (642)"</f>
        <v>ISAEL SANTOS ROSA (642)</v>
      </c>
      <c r="H542" t="str">
        <f>"Serv.Prest. 25/08/2025 a 31/08/2025 - PIX: CELULAR - CHAVE: (31) 99376-7989"</f>
        <v>Serv.Prest. 25/08/2025 a 31/08/2025 - PIX: CELULAR - CHAVE: (31) 99376-7989</v>
      </c>
      <c r="I542" t="str">
        <f t="shared" si="117"/>
        <v>04/09/2025</v>
      </c>
      <c r="J542" t="str">
        <f t="shared" si="114"/>
        <v>01/09/2025</v>
      </c>
      <c r="K542" t="str">
        <f>("04/09/2025")</f>
        <v>04/09/2025</v>
      </c>
      <c r="L542">
        <v>1400</v>
      </c>
      <c r="M542">
        <v>1400</v>
      </c>
      <c r="N542">
        <v>109</v>
      </c>
      <c r="O542" t="str">
        <f>"PAGAMENTO DE ENTREGADORES"</f>
        <v>PAGAMENTO DE ENTREGADORES</v>
      </c>
      <c r="P542">
        <v>1400</v>
      </c>
      <c r="S542" t="str">
        <f>"BANCO C6 (149)"</f>
        <v>BANCO C6 (149)</v>
      </c>
      <c r="T542">
        <v>17619</v>
      </c>
      <c r="U542">
        <v>21087</v>
      </c>
      <c r="V542" t="s">
        <v>77</v>
      </c>
    </row>
    <row r="543" spans="1:22">
      <c r="A543" t="str">
        <f t="shared" si="110"/>
        <v>04/09/2025</v>
      </c>
      <c r="B543" t="str">
        <f t="shared" si="118"/>
        <v>SAÍDA</v>
      </c>
      <c r="C543" t="str">
        <f t="shared" si="115"/>
        <v>PIX</v>
      </c>
      <c r="D543" t="str">
        <f>"21087"</f>
        <v>21087</v>
      </c>
      <c r="E543" t="str">
        <f t="shared" si="116"/>
        <v>1</v>
      </c>
      <c r="F543" t="str">
        <f t="shared" si="113"/>
        <v>COM</v>
      </c>
      <c r="G543" t="str">
        <f>"ISAEL SANTOS ROSA (642)"</f>
        <v>ISAEL SANTOS ROSA (642)</v>
      </c>
      <c r="H543" t="s">
        <v>222</v>
      </c>
      <c r="I543" t="str">
        <f t="shared" si="117"/>
        <v>04/09/2025</v>
      </c>
      <c r="J543" t="str">
        <f t="shared" si="114"/>
        <v>01/09/2025</v>
      </c>
      <c r="K543">
        <v>45904</v>
      </c>
      <c r="N543">
        <v>109</v>
      </c>
      <c r="O543" t="s">
        <v>24</v>
      </c>
      <c r="Q543">
        <v>1400</v>
      </c>
      <c r="R543" t="str">
        <f>"DROGARIA POUPA MINAS (ULTRAMINAS) 3 (10129)"</f>
        <v>DROGARIA POUPA MINAS (ULTRAMINAS) 3 (10129)</v>
      </c>
      <c r="S543" t="s">
        <v>77</v>
      </c>
      <c r="T543">
        <v>17619</v>
      </c>
      <c r="U543">
        <v>21087</v>
      </c>
      <c r="V543" t="s">
        <v>77</v>
      </c>
    </row>
    <row r="544" spans="1:22">
      <c r="A544" t="str">
        <f t="shared" si="110"/>
        <v>04/09/2025</v>
      </c>
      <c r="B544" t="str">
        <f t="shared" si="118"/>
        <v>SAÍDA</v>
      </c>
      <c r="C544" t="str">
        <f t="shared" si="115"/>
        <v>PIX</v>
      </c>
      <c r="D544" t="str">
        <f>"21089"</f>
        <v>21089</v>
      </c>
      <c r="E544" t="str">
        <f t="shared" si="116"/>
        <v>1</v>
      </c>
      <c r="F544" t="str">
        <f t="shared" si="113"/>
        <v>COM</v>
      </c>
      <c r="G544" t="str">
        <f>"JAMERSON SOUZA LOPES (749)"</f>
        <v>JAMERSON SOUZA LOPES (749)</v>
      </c>
      <c r="H544" t="str">
        <f>"Serv.Prest. 25/08/2025 a 31/08/2025 - PIX: CPF - CHAVE: 423.098.018-36"</f>
        <v>Serv.Prest. 25/08/2025 a 31/08/2025 - PIX: CPF - CHAVE: 423.098.018-36</v>
      </c>
      <c r="I544" t="str">
        <f t="shared" si="117"/>
        <v>04/09/2025</v>
      </c>
      <c r="J544" t="str">
        <f t="shared" si="114"/>
        <v>01/09/2025</v>
      </c>
      <c r="K544" t="str">
        <f>("04/09/2025")</f>
        <v>04/09/2025</v>
      </c>
      <c r="L544">
        <v>563.42999999999995</v>
      </c>
      <c r="M544">
        <v>563.42999999999995</v>
      </c>
      <c r="N544">
        <v>109</v>
      </c>
      <c r="O544" t="str">
        <f>"PAGAMENTO DE ENTREGADORES"</f>
        <v>PAGAMENTO DE ENTREGADORES</v>
      </c>
      <c r="P544">
        <v>563.42999999999995</v>
      </c>
      <c r="S544" t="str">
        <f>"BANCO C6 (149)"</f>
        <v>BANCO C6 (149)</v>
      </c>
      <c r="T544">
        <v>17620</v>
      </c>
      <c r="U544">
        <v>21089</v>
      </c>
      <c r="V544" t="s">
        <v>77</v>
      </c>
    </row>
    <row r="545" spans="1:22">
      <c r="A545" t="str">
        <f t="shared" si="110"/>
        <v>04/09/2025</v>
      </c>
      <c r="B545" t="str">
        <f t="shared" si="118"/>
        <v>SAÍDA</v>
      </c>
      <c r="C545" t="str">
        <f t="shared" si="115"/>
        <v>PIX</v>
      </c>
      <c r="D545" t="str">
        <f>"21089"</f>
        <v>21089</v>
      </c>
      <c r="E545" t="str">
        <f t="shared" si="116"/>
        <v>1</v>
      </c>
      <c r="F545" t="str">
        <f t="shared" si="113"/>
        <v>COM</v>
      </c>
      <c r="G545" t="str">
        <f>"JAMERSON SOUZA LOPES (749)"</f>
        <v>JAMERSON SOUZA LOPES (749)</v>
      </c>
      <c r="H545" t="s">
        <v>47</v>
      </c>
      <c r="I545" t="str">
        <f t="shared" si="117"/>
        <v>04/09/2025</v>
      </c>
      <c r="J545" t="str">
        <f t="shared" si="114"/>
        <v>01/09/2025</v>
      </c>
      <c r="K545">
        <v>45904</v>
      </c>
      <c r="N545">
        <v>109</v>
      </c>
      <c r="O545" t="s">
        <v>24</v>
      </c>
      <c r="Q545">
        <v>563.42999999999995</v>
      </c>
      <c r="R545" t="str">
        <f>"DROGARIA TOTAL JUNDIAI (10177)"</f>
        <v>DROGARIA TOTAL JUNDIAI (10177)</v>
      </c>
      <c r="S545" t="s">
        <v>77</v>
      </c>
      <c r="T545">
        <v>17620</v>
      </c>
      <c r="U545">
        <v>21089</v>
      </c>
      <c r="V545" t="s">
        <v>77</v>
      </c>
    </row>
    <row r="546" spans="1:22">
      <c r="A546" t="str">
        <f t="shared" si="110"/>
        <v>04/09/2025</v>
      </c>
      <c r="B546" t="str">
        <f t="shared" si="118"/>
        <v>SAÍDA</v>
      </c>
      <c r="C546" t="str">
        <f t="shared" si="115"/>
        <v>PIX</v>
      </c>
      <c r="D546" t="str">
        <f>"21091"</f>
        <v>21091</v>
      </c>
      <c r="E546" t="str">
        <f t="shared" si="116"/>
        <v>1</v>
      </c>
      <c r="F546" t="str">
        <f t="shared" si="113"/>
        <v>COM</v>
      </c>
      <c r="G546" t="str">
        <f>"ARLINDO COSTA FELIX (754)"</f>
        <v>ARLINDO COSTA FELIX (754)</v>
      </c>
      <c r="H546" t="str">
        <f>"Serv.Prest. 25/08/2025 a 31/08/2025 - PIX: CPF - CHAVE: 103.983.366-79"</f>
        <v>Serv.Prest. 25/08/2025 a 31/08/2025 - PIX: CPF - CHAVE: 103.983.366-79</v>
      </c>
      <c r="I546" t="str">
        <f t="shared" si="117"/>
        <v>04/09/2025</v>
      </c>
      <c r="J546" t="str">
        <f t="shared" si="114"/>
        <v>01/09/2025</v>
      </c>
      <c r="K546" t="str">
        <f>("04/09/2025")</f>
        <v>04/09/2025</v>
      </c>
      <c r="L546">
        <v>1176</v>
      </c>
      <c r="M546">
        <v>1176</v>
      </c>
      <c r="N546">
        <v>109</v>
      </c>
      <c r="O546" t="str">
        <f>"PAGAMENTO DE ENTREGADORES"</f>
        <v>PAGAMENTO DE ENTREGADORES</v>
      </c>
      <c r="P546">
        <v>1176</v>
      </c>
      <c r="S546" t="str">
        <f>"BANCO C6 (149)"</f>
        <v>BANCO C6 (149)</v>
      </c>
      <c r="T546">
        <v>17621</v>
      </c>
      <c r="U546">
        <v>21091</v>
      </c>
      <c r="V546" t="s">
        <v>77</v>
      </c>
    </row>
    <row r="547" spans="1:22">
      <c r="A547" t="str">
        <f t="shared" si="110"/>
        <v>04/09/2025</v>
      </c>
      <c r="B547" t="str">
        <f t="shared" si="118"/>
        <v>SAÍDA</v>
      </c>
      <c r="C547" t="str">
        <f t="shared" si="115"/>
        <v>PIX</v>
      </c>
      <c r="D547" t="str">
        <f>"21091"</f>
        <v>21091</v>
      </c>
      <c r="E547" t="str">
        <f t="shared" si="116"/>
        <v>1</v>
      </c>
      <c r="F547" t="str">
        <f t="shared" si="113"/>
        <v>COM</v>
      </c>
      <c r="G547" t="str">
        <f>"ARLINDO COSTA FELIX (754)"</f>
        <v>ARLINDO COSTA FELIX (754)</v>
      </c>
      <c r="H547" t="s">
        <v>223</v>
      </c>
      <c r="I547" t="str">
        <f t="shared" si="117"/>
        <v>04/09/2025</v>
      </c>
      <c r="J547" t="str">
        <f t="shared" si="114"/>
        <v>01/09/2025</v>
      </c>
      <c r="K547">
        <v>45904</v>
      </c>
      <c r="N547">
        <v>109</v>
      </c>
      <c r="O547" t="s">
        <v>24</v>
      </c>
      <c r="Q547">
        <v>1176</v>
      </c>
      <c r="R547" t="str">
        <f>"ENTREFARMA (10164)"</f>
        <v>ENTREFARMA (10164)</v>
      </c>
      <c r="S547" t="s">
        <v>77</v>
      </c>
      <c r="T547">
        <v>17621</v>
      </c>
      <c r="U547">
        <v>21091</v>
      </c>
      <c r="V547" t="s">
        <v>77</v>
      </c>
    </row>
    <row r="548" spans="1:22">
      <c r="A548" t="str">
        <f t="shared" si="110"/>
        <v>04/09/2025</v>
      </c>
      <c r="B548" t="str">
        <f t="shared" si="118"/>
        <v>SAÍDA</v>
      </c>
      <c r="C548" t="str">
        <f t="shared" si="115"/>
        <v>PIX</v>
      </c>
      <c r="D548" t="str">
        <f>"21092"</f>
        <v>21092</v>
      </c>
      <c r="E548" t="str">
        <f t="shared" si="116"/>
        <v>1</v>
      </c>
      <c r="F548" t="str">
        <f t="shared" si="113"/>
        <v>COM</v>
      </c>
      <c r="G548" t="str">
        <f>"LEONICIO CORREA DA SILVA (716)"</f>
        <v>LEONICIO CORREA DA SILVA (716)</v>
      </c>
      <c r="H548" t="str">
        <f>"Serv.Prest. 25/08/2025 a 31/08/2025 - PIX: CPF - CHAVE: 138.263.636-98"</f>
        <v>Serv.Prest. 25/08/2025 a 31/08/2025 - PIX: CPF - CHAVE: 138.263.636-98</v>
      </c>
      <c r="I548" t="str">
        <f t="shared" si="117"/>
        <v>04/09/2025</v>
      </c>
      <c r="J548" t="str">
        <f t="shared" si="114"/>
        <v>01/09/2025</v>
      </c>
      <c r="K548" t="str">
        <f>("04/09/2025")</f>
        <v>04/09/2025</v>
      </c>
      <c r="L548">
        <v>1296</v>
      </c>
      <c r="M548">
        <v>1296</v>
      </c>
      <c r="N548">
        <v>109</v>
      </c>
      <c r="O548" t="str">
        <f>"PAGAMENTO DE ENTREGADORES"</f>
        <v>PAGAMENTO DE ENTREGADORES</v>
      </c>
      <c r="P548">
        <v>1296</v>
      </c>
      <c r="S548" t="str">
        <f>"BANCO C6 (149)"</f>
        <v>BANCO C6 (149)</v>
      </c>
      <c r="T548">
        <v>17622</v>
      </c>
      <c r="U548">
        <v>21092</v>
      </c>
      <c r="V548" t="s">
        <v>77</v>
      </c>
    </row>
    <row r="549" spans="1:22">
      <c r="A549" t="str">
        <f t="shared" si="110"/>
        <v>04/09/2025</v>
      </c>
      <c r="B549" t="str">
        <f t="shared" si="118"/>
        <v>SAÍDA</v>
      </c>
      <c r="C549" t="str">
        <f t="shared" si="115"/>
        <v>PIX</v>
      </c>
      <c r="D549" t="str">
        <f>"21092"</f>
        <v>21092</v>
      </c>
      <c r="E549" t="str">
        <f t="shared" si="116"/>
        <v>1</v>
      </c>
      <c r="F549" t="str">
        <f t="shared" si="113"/>
        <v>COM</v>
      </c>
      <c r="G549" t="str">
        <f>"LEONICIO CORREA DA SILVA (716)"</f>
        <v>LEONICIO CORREA DA SILVA (716)</v>
      </c>
      <c r="H549" t="s">
        <v>224</v>
      </c>
      <c r="I549" t="str">
        <f t="shared" si="117"/>
        <v>04/09/2025</v>
      </c>
      <c r="J549" t="str">
        <f t="shared" si="114"/>
        <v>01/09/2025</v>
      </c>
      <c r="K549">
        <v>45904</v>
      </c>
      <c r="N549">
        <v>109</v>
      </c>
      <c r="O549" t="s">
        <v>24</v>
      </c>
      <c r="Q549">
        <v>1296</v>
      </c>
      <c r="R549" t="str">
        <f>"ENTREFARMA (10164)"</f>
        <v>ENTREFARMA (10164)</v>
      </c>
      <c r="S549" t="s">
        <v>77</v>
      </c>
      <c r="T549">
        <v>17622</v>
      </c>
      <c r="U549">
        <v>21092</v>
      </c>
      <c r="V549" t="s">
        <v>77</v>
      </c>
    </row>
    <row r="550" spans="1:22">
      <c r="A550" t="str">
        <f t="shared" si="110"/>
        <v>04/09/2025</v>
      </c>
      <c r="B550" t="str">
        <f t="shared" si="118"/>
        <v>SAÍDA</v>
      </c>
      <c r="C550" t="str">
        <f t="shared" si="115"/>
        <v>PIX</v>
      </c>
      <c r="D550" t="str">
        <f>"21093"</f>
        <v>21093</v>
      </c>
      <c r="E550" t="str">
        <f t="shared" si="116"/>
        <v>1</v>
      </c>
      <c r="F550" t="str">
        <f t="shared" si="113"/>
        <v>COM</v>
      </c>
      <c r="G550" t="str">
        <f>"SADRAK ENOKES BORGES (725)"</f>
        <v>SADRAK ENOKES BORGES (725)</v>
      </c>
      <c r="H550" t="str">
        <f>"Serv.Prest. 25/08/2025 a 31/08/2025 - PIX: CPF - CHAVE: 128.367.756-37"</f>
        <v>Serv.Prest. 25/08/2025 a 31/08/2025 - PIX: CPF - CHAVE: 128.367.756-37</v>
      </c>
      <c r="I550" t="str">
        <f t="shared" si="117"/>
        <v>04/09/2025</v>
      </c>
      <c r="J550" t="str">
        <f t="shared" si="114"/>
        <v>01/09/2025</v>
      </c>
      <c r="K550" t="str">
        <f>("04/09/2025")</f>
        <v>04/09/2025</v>
      </c>
      <c r="L550">
        <v>1050</v>
      </c>
      <c r="M550">
        <v>1050</v>
      </c>
      <c r="N550">
        <v>109</v>
      </c>
      <c r="O550" t="str">
        <f>"PAGAMENTO DE ENTREGADORES"</f>
        <v>PAGAMENTO DE ENTREGADORES</v>
      </c>
      <c r="P550">
        <v>1050</v>
      </c>
      <c r="S550" t="str">
        <f>"BANCO C6 (149)"</f>
        <v>BANCO C6 (149)</v>
      </c>
      <c r="T550">
        <v>17623</v>
      </c>
      <c r="U550">
        <v>21093</v>
      </c>
      <c r="V550" t="s">
        <v>77</v>
      </c>
    </row>
    <row r="551" spans="1:22">
      <c r="A551" t="str">
        <f t="shared" si="110"/>
        <v>04/09/2025</v>
      </c>
      <c r="B551" t="str">
        <f t="shared" si="118"/>
        <v>SAÍDA</v>
      </c>
      <c r="C551" t="str">
        <f t="shared" si="115"/>
        <v>PIX</v>
      </c>
      <c r="D551" t="str">
        <f>"21093"</f>
        <v>21093</v>
      </c>
      <c r="E551" t="str">
        <f t="shared" si="116"/>
        <v>1</v>
      </c>
      <c r="F551" t="str">
        <f t="shared" si="113"/>
        <v>COM</v>
      </c>
      <c r="G551" t="str">
        <f>"SADRAK ENOKES BORGES (725)"</f>
        <v>SADRAK ENOKES BORGES (725)</v>
      </c>
      <c r="H551" t="s">
        <v>225</v>
      </c>
      <c r="I551" t="str">
        <f t="shared" si="117"/>
        <v>04/09/2025</v>
      </c>
      <c r="J551" t="str">
        <f t="shared" si="114"/>
        <v>01/09/2025</v>
      </c>
      <c r="K551">
        <v>45904</v>
      </c>
      <c r="N551">
        <v>109</v>
      </c>
      <c r="O551" t="s">
        <v>24</v>
      </c>
      <c r="Q551">
        <v>1050</v>
      </c>
      <c r="R551" t="str">
        <f>"ENTREFARMA (10164)"</f>
        <v>ENTREFARMA (10164)</v>
      </c>
      <c r="S551" t="s">
        <v>77</v>
      </c>
      <c r="T551">
        <v>17623</v>
      </c>
      <c r="U551">
        <v>21093</v>
      </c>
      <c r="V551" t="s">
        <v>77</v>
      </c>
    </row>
    <row r="552" spans="1:22">
      <c r="A552" t="str">
        <f t="shared" si="110"/>
        <v>04/09/2025</v>
      </c>
      <c r="B552" t="str">
        <f t="shared" si="118"/>
        <v>SAÍDA</v>
      </c>
      <c r="C552" t="str">
        <f t="shared" si="115"/>
        <v>PIX</v>
      </c>
      <c r="D552" t="str">
        <f>"21094"</f>
        <v>21094</v>
      </c>
      <c r="E552" t="str">
        <f t="shared" si="116"/>
        <v>1</v>
      </c>
      <c r="F552" t="str">
        <f t="shared" si="113"/>
        <v>COM</v>
      </c>
      <c r="G552" t="str">
        <f>"WENDERSON GOMES (708)"</f>
        <v>WENDERSON GOMES (708)</v>
      </c>
      <c r="H552" t="str">
        <f>"Serv.Prest. 25/08/2025 a 31/08/2025 - PIX: CPF - CHAVE: 147.592.156-03"</f>
        <v>Serv.Prest. 25/08/2025 a 31/08/2025 - PIX: CPF - CHAVE: 147.592.156-03</v>
      </c>
      <c r="I552" t="str">
        <f t="shared" si="117"/>
        <v>04/09/2025</v>
      </c>
      <c r="J552" t="str">
        <f t="shared" si="114"/>
        <v>01/09/2025</v>
      </c>
      <c r="K552" t="str">
        <f>("04/09/2025")</f>
        <v>04/09/2025</v>
      </c>
      <c r="L552">
        <v>2118</v>
      </c>
      <c r="M552">
        <v>2118</v>
      </c>
      <c r="N552">
        <v>109</v>
      </c>
      <c r="O552" t="str">
        <f>"PAGAMENTO DE ENTREGADORES"</f>
        <v>PAGAMENTO DE ENTREGADORES</v>
      </c>
      <c r="P552">
        <v>2118</v>
      </c>
      <c r="S552" t="str">
        <f>"BANCO C6 (149)"</f>
        <v>BANCO C6 (149)</v>
      </c>
      <c r="T552">
        <v>17624</v>
      </c>
      <c r="U552">
        <v>21094</v>
      </c>
      <c r="V552" t="s">
        <v>77</v>
      </c>
    </row>
    <row r="553" spans="1:22">
      <c r="A553" t="str">
        <f t="shared" si="110"/>
        <v>04/09/2025</v>
      </c>
      <c r="B553" t="str">
        <f t="shared" si="118"/>
        <v>SAÍDA</v>
      </c>
      <c r="C553" t="str">
        <f t="shared" si="115"/>
        <v>PIX</v>
      </c>
      <c r="D553" t="str">
        <f>"21094"</f>
        <v>21094</v>
      </c>
      <c r="E553" t="str">
        <f t="shared" si="116"/>
        <v>1</v>
      </c>
      <c r="F553" t="str">
        <f t="shared" si="113"/>
        <v>COM</v>
      </c>
      <c r="G553" t="str">
        <f>"WENDERSON GOMES (708)"</f>
        <v>WENDERSON GOMES (708)</v>
      </c>
      <c r="H553" t="s">
        <v>226</v>
      </c>
      <c r="I553" t="str">
        <f t="shared" si="117"/>
        <v>04/09/2025</v>
      </c>
      <c r="J553" t="str">
        <f t="shared" si="114"/>
        <v>01/09/2025</v>
      </c>
      <c r="K553">
        <v>45904</v>
      </c>
      <c r="N553">
        <v>109</v>
      </c>
      <c r="O553" t="s">
        <v>24</v>
      </c>
      <c r="Q553">
        <v>2118</v>
      </c>
      <c r="R553" t="str">
        <f>"ENTREFARMA (10164)"</f>
        <v>ENTREFARMA (10164)</v>
      </c>
      <c r="S553" t="s">
        <v>77</v>
      </c>
      <c r="T553">
        <v>17624</v>
      </c>
      <c r="U553">
        <v>21094</v>
      </c>
      <c r="V553" t="s">
        <v>77</v>
      </c>
    </row>
    <row r="554" spans="1:22">
      <c r="A554" t="str">
        <f t="shared" si="110"/>
        <v>04/09/2025</v>
      </c>
      <c r="B554" t="str">
        <f t="shared" si="118"/>
        <v>SAÍDA</v>
      </c>
      <c r="C554" t="str">
        <f t="shared" si="115"/>
        <v>PIX</v>
      </c>
      <c r="D554" t="str">
        <f>"21096"</f>
        <v>21096</v>
      </c>
      <c r="E554" t="str">
        <f t="shared" si="116"/>
        <v>1</v>
      </c>
      <c r="F554" t="str">
        <f t="shared" si="113"/>
        <v>COM</v>
      </c>
      <c r="G554" t="str">
        <f>"FABRICIO QUEIROZ DE OLIVEIRA (788)"</f>
        <v>FABRICIO QUEIROZ DE OLIVEIRA (788)</v>
      </c>
      <c r="H554" t="str">
        <f>"Serv.Prest. 25/08/2025 a 31/08/2025 - PIX: CPF - CHAVE: 138.798.486-10"</f>
        <v>Serv.Prest. 25/08/2025 a 31/08/2025 - PIX: CPF - CHAVE: 138.798.486-10</v>
      </c>
      <c r="I554" t="str">
        <f t="shared" si="117"/>
        <v>04/09/2025</v>
      </c>
      <c r="J554" t="str">
        <f t="shared" ref="J554:J588" si="119">("01/09/2025")</f>
        <v>01/09/2025</v>
      </c>
      <c r="K554" t="str">
        <f>("04/09/2025")</f>
        <v>04/09/2025</v>
      </c>
      <c r="L554">
        <v>700</v>
      </c>
      <c r="M554">
        <v>700</v>
      </c>
      <c r="N554">
        <v>109</v>
      </c>
      <c r="O554" t="str">
        <f>"PAGAMENTO DE ENTREGADORES"</f>
        <v>PAGAMENTO DE ENTREGADORES</v>
      </c>
      <c r="P554">
        <v>700</v>
      </c>
      <c r="S554" t="str">
        <f>"BANCO C6 (149)"</f>
        <v>BANCO C6 (149)</v>
      </c>
      <c r="T554">
        <v>17625</v>
      </c>
      <c r="U554">
        <v>21096</v>
      </c>
      <c r="V554" t="s">
        <v>77</v>
      </c>
    </row>
    <row r="555" spans="1:22">
      <c r="A555" t="str">
        <f t="shared" si="110"/>
        <v>04/09/2025</v>
      </c>
      <c r="B555" t="str">
        <f t="shared" si="118"/>
        <v>SAÍDA</v>
      </c>
      <c r="C555" t="str">
        <f t="shared" si="115"/>
        <v>PIX</v>
      </c>
      <c r="D555" t="str">
        <f>"21096"</f>
        <v>21096</v>
      </c>
      <c r="E555" t="str">
        <f t="shared" si="116"/>
        <v>1</v>
      </c>
      <c r="F555" t="str">
        <f t="shared" si="113"/>
        <v>COM</v>
      </c>
      <c r="G555" t="str">
        <f>"FABRICIO QUEIROZ DE OLIVEIRA (788)"</f>
        <v>FABRICIO QUEIROZ DE OLIVEIRA (788)</v>
      </c>
      <c r="H555" t="s">
        <v>227</v>
      </c>
      <c r="I555" t="str">
        <f t="shared" si="117"/>
        <v>04/09/2025</v>
      </c>
      <c r="J555" t="str">
        <f t="shared" si="119"/>
        <v>01/09/2025</v>
      </c>
      <c r="K555">
        <v>45904</v>
      </c>
      <c r="N555">
        <v>109</v>
      </c>
      <c r="O555" t="s">
        <v>24</v>
      </c>
      <c r="Q555">
        <v>475.16</v>
      </c>
      <c r="R555" t="str">
        <f>"FRAN FARMA LJ 2 (10131)"</f>
        <v>FRAN FARMA LJ 2 (10131)</v>
      </c>
      <c r="S555" t="s">
        <v>77</v>
      </c>
      <c r="T555">
        <v>17625</v>
      </c>
      <c r="U555">
        <v>21096</v>
      </c>
      <c r="V555" t="s">
        <v>77</v>
      </c>
    </row>
    <row r="556" spans="1:22">
      <c r="A556" t="str">
        <f t="shared" si="110"/>
        <v>04/09/2025</v>
      </c>
      <c r="B556" t="str">
        <f t="shared" si="118"/>
        <v>SAÍDA</v>
      </c>
      <c r="C556" t="str">
        <f t="shared" si="115"/>
        <v>PIX</v>
      </c>
      <c r="D556" t="str">
        <f>"21096"</f>
        <v>21096</v>
      </c>
      <c r="E556" t="str">
        <f t="shared" si="116"/>
        <v>1</v>
      </c>
      <c r="F556" t="str">
        <f t="shared" si="113"/>
        <v>COM</v>
      </c>
      <c r="G556" t="str">
        <f>"FABRICIO QUEIROZ DE OLIVEIRA (788)"</f>
        <v>FABRICIO QUEIROZ DE OLIVEIRA (788)</v>
      </c>
      <c r="H556" t="s">
        <v>227</v>
      </c>
      <c r="I556" t="str">
        <f t="shared" si="117"/>
        <v>04/09/2025</v>
      </c>
      <c r="J556" t="str">
        <f t="shared" si="119"/>
        <v>01/09/2025</v>
      </c>
      <c r="K556">
        <v>45904</v>
      </c>
      <c r="N556">
        <v>109</v>
      </c>
      <c r="O556" t="s">
        <v>24</v>
      </c>
      <c r="Q556">
        <v>224.84</v>
      </c>
      <c r="R556" t="str">
        <f>"FRAN FARMA LJ 3 (10132)"</f>
        <v>FRAN FARMA LJ 3 (10132)</v>
      </c>
      <c r="S556" t="s">
        <v>77</v>
      </c>
      <c r="T556">
        <v>17625</v>
      </c>
      <c r="U556">
        <v>21096</v>
      </c>
      <c r="V556" t="s">
        <v>77</v>
      </c>
    </row>
    <row r="557" spans="1:22">
      <c r="A557" t="str">
        <f t="shared" si="110"/>
        <v>04/09/2025</v>
      </c>
      <c r="B557" t="str">
        <f t="shared" si="118"/>
        <v>SAÍDA</v>
      </c>
      <c r="C557" t="str">
        <f t="shared" si="115"/>
        <v>PIX</v>
      </c>
      <c r="D557" t="str">
        <f>"21098"</f>
        <v>21098</v>
      </c>
      <c r="E557" t="str">
        <f t="shared" si="116"/>
        <v>1</v>
      </c>
      <c r="F557" t="str">
        <f t="shared" si="113"/>
        <v>COM</v>
      </c>
      <c r="G557" t="str">
        <f>"SAMUEL SOARES DA SILVA (867)"</f>
        <v>SAMUEL SOARES DA SILVA (867)</v>
      </c>
      <c r="H557" t="str">
        <f>"Serv.Prest. 25/08/2025 a 31/08/2025 - PIX: CPF - CHAVE: 396.124.108-28"</f>
        <v>Serv.Prest. 25/08/2025 a 31/08/2025 - PIX: CPF - CHAVE: 396.124.108-28</v>
      </c>
      <c r="I557" t="str">
        <f t="shared" si="117"/>
        <v>04/09/2025</v>
      </c>
      <c r="J557" t="str">
        <f t="shared" si="119"/>
        <v>01/09/2025</v>
      </c>
      <c r="K557" t="str">
        <f>("04/09/2025")</f>
        <v>04/09/2025</v>
      </c>
      <c r="L557">
        <v>1303.5</v>
      </c>
      <c r="M557">
        <v>1303.5</v>
      </c>
      <c r="N557">
        <v>109</v>
      </c>
      <c r="O557" t="str">
        <f>"PAGAMENTO DE ENTREGADORES"</f>
        <v>PAGAMENTO DE ENTREGADORES</v>
      </c>
      <c r="P557">
        <v>1303.5</v>
      </c>
      <c r="S557" t="str">
        <f>"BANCO C6 (149)"</f>
        <v>BANCO C6 (149)</v>
      </c>
      <c r="T557">
        <v>17626</v>
      </c>
      <c r="U557">
        <v>21098</v>
      </c>
      <c r="V557" t="s">
        <v>77</v>
      </c>
    </row>
    <row r="558" spans="1:22">
      <c r="A558" t="str">
        <f t="shared" si="110"/>
        <v>04/09/2025</v>
      </c>
      <c r="B558" t="str">
        <f t="shared" si="118"/>
        <v>SAÍDA</v>
      </c>
      <c r="C558" t="str">
        <f t="shared" si="115"/>
        <v>PIX</v>
      </c>
      <c r="D558" t="str">
        <f>"21098"</f>
        <v>21098</v>
      </c>
      <c r="E558" t="str">
        <f t="shared" si="116"/>
        <v>1</v>
      </c>
      <c r="F558" t="str">
        <f t="shared" si="113"/>
        <v>COM</v>
      </c>
      <c r="G558" t="str">
        <f>"SAMUEL SOARES DA SILVA (867)"</f>
        <v>SAMUEL SOARES DA SILVA (867)</v>
      </c>
      <c r="H558" t="s">
        <v>25</v>
      </c>
      <c r="I558" t="str">
        <f t="shared" si="117"/>
        <v>04/09/2025</v>
      </c>
      <c r="J558" t="str">
        <f t="shared" si="119"/>
        <v>01/09/2025</v>
      </c>
      <c r="K558">
        <v>45904</v>
      </c>
      <c r="N558">
        <v>109</v>
      </c>
      <c r="O558" t="s">
        <v>24</v>
      </c>
      <c r="Q558">
        <v>1303.5</v>
      </c>
      <c r="R558" t="str">
        <f>"DROGA ELIDA (10121)"</f>
        <v>DROGA ELIDA (10121)</v>
      </c>
      <c r="S558" t="s">
        <v>77</v>
      </c>
      <c r="T558">
        <v>17626</v>
      </c>
      <c r="U558">
        <v>21098</v>
      </c>
      <c r="V558" t="s">
        <v>77</v>
      </c>
    </row>
    <row r="559" spans="1:22">
      <c r="A559" t="str">
        <f t="shared" si="110"/>
        <v>04/09/2025</v>
      </c>
      <c r="B559" t="str">
        <f t="shared" si="118"/>
        <v>SAÍDA</v>
      </c>
      <c r="C559" t="str">
        <f t="shared" si="115"/>
        <v>PIX</v>
      </c>
      <c r="D559" t="str">
        <f>"21100"</f>
        <v>21100</v>
      </c>
      <c r="E559" t="str">
        <f t="shared" si="116"/>
        <v>1</v>
      </c>
      <c r="F559" t="str">
        <f t="shared" si="113"/>
        <v>COM</v>
      </c>
      <c r="G559" t="str">
        <f>"JOSÉ HENRIQUE RODRIGUES (430)"</f>
        <v>JOSÉ HENRIQUE RODRIGUES (430)</v>
      </c>
      <c r="H559" t="str">
        <f>"Serv.Prest. 25/08/2025 a 31/08/2025 - PIX: CPF - CHAVE: 100.826.516-04"</f>
        <v>Serv.Prest. 25/08/2025 a 31/08/2025 - PIX: CPF - CHAVE: 100.826.516-04</v>
      </c>
      <c r="I559" t="str">
        <f t="shared" si="117"/>
        <v>04/09/2025</v>
      </c>
      <c r="J559" t="str">
        <f t="shared" si="119"/>
        <v>01/09/2025</v>
      </c>
      <c r="K559" t="str">
        <f>("04/09/2025")</f>
        <v>04/09/2025</v>
      </c>
      <c r="L559">
        <v>900</v>
      </c>
      <c r="M559">
        <v>900</v>
      </c>
      <c r="N559">
        <v>109</v>
      </c>
      <c r="O559" t="str">
        <f>"PAGAMENTO DE ENTREGADORES"</f>
        <v>PAGAMENTO DE ENTREGADORES</v>
      </c>
      <c r="P559">
        <v>900</v>
      </c>
      <c r="S559" t="str">
        <f>"BANCO C6 (149)"</f>
        <v>BANCO C6 (149)</v>
      </c>
      <c r="T559">
        <v>17627</v>
      </c>
      <c r="U559">
        <v>21100</v>
      </c>
      <c r="V559" t="s">
        <v>77</v>
      </c>
    </row>
    <row r="560" spans="1:22">
      <c r="A560" t="str">
        <f t="shared" si="110"/>
        <v>04/09/2025</v>
      </c>
      <c r="B560" t="str">
        <f t="shared" si="118"/>
        <v>SAÍDA</v>
      </c>
      <c r="C560" t="str">
        <f t="shared" si="115"/>
        <v>PIX</v>
      </c>
      <c r="D560" t="str">
        <f>"21100"</f>
        <v>21100</v>
      </c>
      <c r="E560" t="str">
        <f t="shared" si="116"/>
        <v>1</v>
      </c>
      <c r="F560" t="str">
        <f t="shared" si="113"/>
        <v>COM</v>
      </c>
      <c r="G560" t="str">
        <f>"JOSÉ HENRIQUE RODRIGUES (430)"</f>
        <v>JOSÉ HENRIQUE RODRIGUES (430)</v>
      </c>
      <c r="H560" t="s">
        <v>228</v>
      </c>
      <c r="I560" t="str">
        <f t="shared" si="117"/>
        <v>04/09/2025</v>
      </c>
      <c r="J560" t="str">
        <f t="shared" si="119"/>
        <v>01/09/2025</v>
      </c>
      <c r="K560">
        <v>45904</v>
      </c>
      <c r="N560">
        <v>109</v>
      </c>
      <c r="O560" t="s">
        <v>24</v>
      </c>
      <c r="Q560">
        <v>900</v>
      </c>
      <c r="R560" t="str">
        <f>"PAGMENOS - LJ 608 (10135)"</f>
        <v>PAGMENOS - LJ 608 (10135)</v>
      </c>
      <c r="S560" t="s">
        <v>77</v>
      </c>
      <c r="T560">
        <v>17627</v>
      </c>
      <c r="U560">
        <v>21100</v>
      </c>
      <c r="V560" t="s">
        <v>77</v>
      </c>
    </row>
    <row r="561" spans="1:22">
      <c r="A561" t="str">
        <f t="shared" si="110"/>
        <v>04/09/2025</v>
      </c>
      <c r="B561" t="str">
        <f t="shared" si="118"/>
        <v>SAÍDA</v>
      </c>
      <c r="C561" t="str">
        <f t="shared" si="115"/>
        <v>PIX</v>
      </c>
      <c r="D561" t="str">
        <f>"21101"</f>
        <v>21101</v>
      </c>
      <c r="E561" t="str">
        <f t="shared" si="116"/>
        <v>1</v>
      </c>
      <c r="F561" t="str">
        <f t="shared" si="113"/>
        <v>COM</v>
      </c>
      <c r="G561" t="str">
        <f>"TALES SILVA MARIANO (431)"</f>
        <v>TALES SILVA MARIANO (431)</v>
      </c>
      <c r="H561" t="str">
        <f>"Serv.Prest. 25/08/2025 a 31/08/2025 - PIX: CPF - CHAVE: 126.686.406-79"</f>
        <v>Serv.Prest. 25/08/2025 a 31/08/2025 - PIX: CPF - CHAVE: 126.686.406-79</v>
      </c>
      <c r="I561" t="str">
        <f t="shared" si="117"/>
        <v>04/09/2025</v>
      </c>
      <c r="J561" t="str">
        <f t="shared" si="119"/>
        <v>01/09/2025</v>
      </c>
      <c r="K561" t="str">
        <f>("04/09/2025")</f>
        <v>04/09/2025</v>
      </c>
      <c r="L561">
        <v>900</v>
      </c>
      <c r="M561">
        <v>900</v>
      </c>
      <c r="N561">
        <v>109</v>
      </c>
      <c r="O561" t="str">
        <f>"PAGAMENTO DE ENTREGADORES"</f>
        <v>PAGAMENTO DE ENTREGADORES</v>
      </c>
      <c r="P561">
        <v>900</v>
      </c>
      <c r="S561" t="str">
        <f>"BANCO C6 (149)"</f>
        <v>BANCO C6 (149)</v>
      </c>
      <c r="T561">
        <v>17628</v>
      </c>
      <c r="U561">
        <v>21101</v>
      </c>
      <c r="V561" t="s">
        <v>77</v>
      </c>
    </row>
    <row r="562" spans="1:22">
      <c r="A562" t="str">
        <f t="shared" si="110"/>
        <v>04/09/2025</v>
      </c>
      <c r="B562" t="str">
        <f t="shared" si="118"/>
        <v>SAÍDA</v>
      </c>
      <c r="C562" t="str">
        <f t="shared" si="115"/>
        <v>PIX</v>
      </c>
      <c r="D562" t="str">
        <f>"21101"</f>
        <v>21101</v>
      </c>
      <c r="E562" t="str">
        <f t="shared" si="116"/>
        <v>1</v>
      </c>
      <c r="F562" t="str">
        <f t="shared" si="113"/>
        <v>COM</v>
      </c>
      <c r="G562" t="str">
        <f>"TALES SILVA MARIANO (431)"</f>
        <v>TALES SILVA MARIANO (431)</v>
      </c>
      <c r="H562" t="s">
        <v>229</v>
      </c>
      <c r="I562" t="str">
        <f t="shared" si="117"/>
        <v>04/09/2025</v>
      </c>
      <c r="J562" t="str">
        <f t="shared" si="119"/>
        <v>01/09/2025</v>
      </c>
      <c r="K562">
        <v>45904</v>
      </c>
      <c r="N562">
        <v>109</v>
      </c>
      <c r="O562" t="s">
        <v>24</v>
      </c>
      <c r="Q562">
        <v>900</v>
      </c>
      <c r="R562" t="str">
        <f>"PAGMENOS - LJ 608 (10135)"</f>
        <v>PAGMENOS - LJ 608 (10135)</v>
      </c>
      <c r="S562" t="s">
        <v>77</v>
      </c>
      <c r="T562">
        <v>17628</v>
      </c>
      <c r="U562">
        <v>21101</v>
      </c>
      <c r="V562" t="s">
        <v>77</v>
      </c>
    </row>
    <row r="563" spans="1:22">
      <c r="A563" t="str">
        <f t="shared" si="110"/>
        <v>04/09/2025</v>
      </c>
      <c r="B563" t="str">
        <f t="shared" si="118"/>
        <v>SAÍDA</v>
      </c>
      <c r="C563" t="str">
        <f t="shared" si="115"/>
        <v>PIX</v>
      </c>
      <c r="D563" t="str">
        <f>"21103"</f>
        <v>21103</v>
      </c>
      <c r="E563" t="str">
        <f t="shared" si="116"/>
        <v>1</v>
      </c>
      <c r="F563" t="str">
        <f t="shared" si="113"/>
        <v>COM</v>
      </c>
      <c r="G563" t="str">
        <f>"WILIANA RODRIGUES E RODRIGUES (398)"</f>
        <v>WILIANA RODRIGUES E RODRIGUES (398)</v>
      </c>
      <c r="H563" t="str">
        <f>"Serv.Prest. 25/08/2025 a 31/08/2025 - PIX: CPF - CHAVE: 016.203.336-27"</f>
        <v>Serv.Prest. 25/08/2025 a 31/08/2025 - PIX: CPF - CHAVE: 016.203.336-27</v>
      </c>
      <c r="I563" t="str">
        <f t="shared" si="117"/>
        <v>04/09/2025</v>
      </c>
      <c r="J563" t="str">
        <f t="shared" si="119"/>
        <v>01/09/2025</v>
      </c>
      <c r="K563" t="str">
        <f>("04/09/2025")</f>
        <v>04/09/2025</v>
      </c>
      <c r="L563">
        <v>1200</v>
      </c>
      <c r="M563">
        <v>1200</v>
      </c>
      <c r="N563">
        <v>109</v>
      </c>
      <c r="O563" t="str">
        <f>"PAGAMENTO DE ENTREGADORES"</f>
        <v>PAGAMENTO DE ENTREGADORES</v>
      </c>
      <c r="P563">
        <v>1200</v>
      </c>
      <c r="S563" t="str">
        <f>"BANCO C6 (149)"</f>
        <v>BANCO C6 (149)</v>
      </c>
      <c r="T563">
        <v>17629</v>
      </c>
      <c r="U563">
        <v>21103</v>
      </c>
      <c r="V563" t="s">
        <v>77</v>
      </c>
    </row>
    <row r="564" spans="1:22">
      <c r="A564" t="str">
        <f t="shared" si="110"/>
        <v>04/09/2025</v>
      </c>
      <c r="B564" t="str">
        <f t="shared" si="118"/>
        <v>SAÍDA</v>
      </c>
      <c r="C564" t="str">
        <f t="shared" si="115"/>
        <v>PIX</v>
      </c>
      <c r="D564" t="str">
        <f>"21103"</f>
        <v>21103</v>
      </c>
      <c r="E564" t="str">
        <f t="shared" si="116"/>
        <v>1</v>
      </c>
      <c r="F564" t="str">
        <f t="shared" si="113"/>
        <v>COM</v>
      </c>
      <c r="G564" t="str">
        <f>"WILIANA RODRIGUES E RODRIGUES (398)"</f>
        <v>WILIANA RODRIGUES E RODRIGUES (398)</v>
      </c>
      <c r="H564" t="s">
        <v>230</v>
      </c>
      <c r="I564" t="str">
        <f t="shared" si="117"/>
        <v>04/09/2025</v>
      </c>
      <c r="J564" t="str">
        <f t="shared" si="119"/>
        <v>01/09/2025</v>
      </c>
      <c r="K564">
        <v>45904</v>
      </c>
      <c r="N564">
        <v>109</v>
      </c>
      <c r="O564" t="s">
        <v>24</v>
      </c>
      <c r="Q564">
        <v>1200</v>
      </c>
      <c r="R564" t="str">
        <f>"PAGMENOS - LJ 657 (10136)"</f>
        <v>PAGMENOS - LJ 657 (10136)</v>
      </c>
      <c r="S564" t="s">
        <v>77</v>
      </c>
      <c r="T564">
        <v>17629</v>
      </c>
      <c r="U564">
        <v>21103</v>
      </c>
      <c r="V564" t="s">
        <v>77</v>
      </c>
    </row>
    <row r="565" spans="1:22">
      <c r="A565" t="str">
        <f t="shared" si="110"/>
        <v>04/09/2025</v>
      </c>
      <c r="B565" t="str">
        <f t="shared" si="118"/>
        <v>SAÍDA</v>
      </c>
      <c r="C565" t="str">
        <f t="shared" si="115"/>
        <v>PIX</v>
      </c>
      <c r="D565" t="str">
        <f>"21107"</f>
        <v>21107</v>
      </c>
      <c r="E565" t="str">
        <f t="shared" si="116"/>
        <v>1</v>
      </c>
      <c r="F565" t="str">
        <f t="shared" si="113"/>
        <v>COM</v>
      </c>
      <c r="G565" t="str">
        <f>"EDUARDO MARQUES DOS SANTOS (787)"</f>
        <v>EDUARDO MARQUES DOS SANTOS (787)</v>
      </c>
      <c r="H565" t="str">
        <f>"Serv.Prest. 25/08/2025 a 31/08/2025 - PIX: CELULAR - CHAVE: (11) 97402-1586"</f>
        <v>Serv.Prest. 25/08/2025 a 31/08/2025 - PIX: CELULAR - CHAVE: (11) 97402-1586</v>
      </c>
      <c r="I565" t="str">
        <f t="shared" si="117"/>
        <v>04/09/2025</v>
      </c>
      <c r="J565" t="str">
        <f t="shared" si="119"/>
        <v>01/09/2025</v>
      </c>
      <c r="K565" t="str">
        <f>("04/09/2025")</f>
        <v>04/09/2025</v>
      </c>
      <c r="L565">
        <v>231</v>
      </c>
      <c r="M565">
        <v>231</v>
      </c>
      <c r="N565">
        <v>109</v>
      </c>
      <c r="O565" t="str">
        <f>"PAGAMENTO DE ENTREGADORES"</f>
        <v>PAGAMENTO DE ENTREGADORES</v>
      </c>
      <c r="P565">
        <v>231</v>
      </c>
      <c r="S565" t="str">
        <f>"BANCO C6 (149)"</f>
        <v>BANCO C6 (149)</v>
      </c>
      <c r="T565">
        <v>17630</v>
      </c>
      <c r="U565">
        <v>21107</v>
      </c>
      <c r="V565" t="s">
        <v>77</v>
      </c>
    </row>
    <row r="566" spans="1:22">
      <c r="A566" t="str">
        <f t="shared" si="110"/>
        <v>04/09/2025</v>
      </c>
      <c r="B566" t="str">
        <f t="shared" si="118"/>
        <v>SAÍDA</v>
      </c>
      <c r="C566" t="str">
        <f t="shared" si="115"/>
        <v>PIX</v>
      </c>
      <c r="D566" t="str">
        <f>"21107"</f>
        <v>21107</v>
      </c>
      <c r="E566" t="str">
        <f t="shared" si="116"/>
        <v>1</v>
      </c>
      <c r="F566" t="str">
        <f t="shared" si="113"/>
        <v>COM</v>
      </c>
      <c r="G566" t="str">
        <f>"EDUARDO MARQUES DOS SANTOS (787)"</f>
        <v>EDUARDO MARQUES DOS SANTOS (787)</v>
      </c>
      <c r="H566" t="s">
        <v>231</v>
      </c>
      <c r="I566" t="str">
        <f t="shared" si="117"/>
        <v>04/09/2025</v>
      </c>
      <c r="J566" t="str">
        <f t="shared" si="119"/>
        <v>01/09/2025</v>
      </c>
      <c r="K566">
        <v>45904</v>
      </c>
      <c r="N566">
        <v>109</v>
      </c>
      <c r="O566" t="s">
        <v>24</v>
      </c>
      <c r="Q566">
        <v>231</v>
      </c>
      <c r="R566" t="str">
        <f>"DROGARIA MEDIC CENTER LTDA (10172)"</f>
        <v>DROGARIA MEDIC CENTER LTDA (10172)</v>
      </c>
      <c r="S566" t="s">
        <v>77</v>
      </c>
      <c r="T566">
        <v>17630</v>
      </c>
      <c r="U566">
        <v>21107</v>
      </c>
      <c r="V566" t="s">
        <v>77</v>
      </c>
    </row>
    <row r="567" spans="1:22">
      <c r="A567" t="str">
        <f t="shared" si="110"/>
        <v>04/09/2025</v>
      </c>
      <c r="B567" t="str">
        <f t="shared" si="118"/>
        <v>SAÍDA</v>
      </c>
      <c r="C567" t="str">
        <f t="shared" si="115"/>
        <v>PIX</v>
      </c>
      <c r="D567" t="str">
        <f>"21108"</f>
        <v>21108</v>
      </c>
      <c r="E567" t="str">
        <f t="shared" si="116"/>
        <v>1</v>
      </c>
      <c r="F567" t="str">
        <f t="shared" si="113"/>
        <v>COM</v>
      </c>
      <c r="G567" t="str">
        <f>"ELIO CALDEIRA RIBEIRO JUNIOR (840)"</f>
        <v>ELIO CALDEIRA RIBEIRO JUNIOR (840)</v>
      </c>
      <c r="H567" t="str">
        <f>"Serv.Prest. 25/08/2025 a 31/08/2025 - PIX: CPF - CHAVE: 463.491.858-70"</f>
        <v>Serv.Prest. 25/08/2025 a 31/08/2025 - PIX: CPF - CHAVE: 463.491.858-70</v>
      </c>
      <c r="I567" t="str">
        <f t="shared" si="117"/>
        <v>04/09/2025</v>
      </c>
      <c r="J567" t="str">
        <f t="shared" si="119"/>
        <v>01/09/2025</v>
      </c>
      <c r="K567" t="str">
        <f>("04/09/2025")</f>
        <v>04/09/2025</v>
      </c>
      <c r="L567">
        <v>208</v>
      </c>
      <c r="M567">
        <v>208</v>
      </c>
      <c r="N567">
        <v>109</v>
      </c>
      <c r="O567" t="str">
        <f>"PAGAMENTO DE ENTREGADORES"</f>
        <v>PAGAMENTO DE ENTREGADORES</v>
      </c>
      <c r="P567">
        <v>208</v>
      </c>
      <c r="S567" t="str">
        <f>"BANCO C6 (149)"</f>
        <v>BANCO C6 (149)</v>
      </c>
      <c r="T567">
        <v>17631</v>
      </c>
      <c r="U567">
        <v>21108</v>
      </c>
      <c r="V567" t="s">
        <v>77</v>
      </c>
    </row>
    <row r="568" spans="1:22">
      <c r="A568" t="str">
        <f t="shared" si="110"/>
        <v>04/09/2025</v>
      </c>
      <c r="B568" t="str">
        <f t="shared" si="118"/>
        <v>SAÍDA</v>
      </c>
      <c r="C568" t="str">
        <f t="shared" si="115"/>
        <v>PIX</v>
      </c>
      <c r="D568" t="str">
        <f>"21108"</f>
        <v>21108</v>
      </c>
      <c r="E568" t="str">
        <f t="shared" si="116"/>
        <v>1</v>
      </c>
      <c r="F568" t="str">
        <f t="shared" si="113"/>
        <v>COM</v>
      </c>
      <c r="G568" t="str">
        <f>"ELIO CALDEIRA RIBEIRO JUNIOR (840)"</f>
        <v>ELIO CALDEIRA RIBEIRO JUNIOR (840)</v>
      </c>
      <c r="H568" t="s">
        <v>60</v>
      </c>
      <c r="I568" t="str">
        <f t="shared" si="117"/>
        <v>04/09/2025</v>
      </c>
      <c r="J568" t="str">
        <f t="shared" si="119"/>
        <v>01/09/2025</v>
      </c>
      <c r="K568">
        <v>45904</v>
      </c>
      <c r="N568">
        <v>109</v>
      </c>
      <c r="O568" t="s">
        <v>24</v>
      </c>
      <c r="Q568">
        <v>208</v>
      </c>
      <c r="R568" t="str">
        <f>"DROGARIA MEDIC CENTER LTDA (10172)"</f>
        <v>DROGARIA MEDIC CENTER LTDA (10172)</v>
      </c>
      <c r="S568" t="s">
        <v>77</v>
      </c>
      <c r="T568">
        <v>17631</v>
      </c>
      <c r="U568">
        <v>21108</v>
      </c>
      <c r="V568" t="s">
        <v>77</v>
      </c>
    </row>
    <row r="569" spans="1:22">
      <c r="A569" t="str">
        <f t="shared" si="110"/>
        <v>04/09/2025</v>
      </c>
      <c r="B569" t="str">
        <f t="shared" si="118"/>
        <v>SAÍDA</v>
      </c>
      <c r="C569" t="str">
        <f t="shared" si="115"/>
        <v>PIX</v>
      </c>
      <c r="D569" t="str">
        <f>"21109"</f>
        <v>21109</v>
      </c>
      <c r="E569" t="str">
        <f t="shared" si="116"/>
        <v>1</v>
      </c>
      <c r="F569" t="str">
        <f t="shared" si="113"/>
        <v>COM</v>
      </c>
      <c r="G569" t="str">
        <f>"REGINALDO ANDRE BORTOLETTO (802)"</f>
        <v>REGINALDO ANDRE BORTOLETTO (802)</v>
      </c>
      <c r="H569" t="str">
        <f>"Serv.Prest. 25/08/2025 a 31/08/2025 - PIX: CELULAR - CHAVE: (11) 94281-7123"</f>
        <v>Serv.Prest. 25/08/2025 a 31/08/2025 - PIX: CELULAR - CHAVE: (11) 94281-7123</v>
      </c>
      <c r="I569" t="str">
        <f t="shared" si="117"/>
        <v>04/09/2025</v>
      </c>
      <c r="J569" t="str">
        <f t="shared" si="119"/>
        <v>01/09/2025</v>
      </c>
      <c r="K569" t="str">
        <f>("04/09/2025")</f>
        <v>04/09/2025</v>
      </c>
      <c r="L569">
        <v>878</v>
      </c>
      <c r="M569">
        <v>878</v>
      </c>
      <c r="N569">
        <v>109</v>
      </c>
      <c r="O569" t="str">
        <f>"PAGAMENTO DE ENTREGADORES"</f>
        <v>PAGAMENTO DE ENTREGADORES</v>
      </c>
      <c r="P569">
        <v>878</v>
      </c>
      <c r="S569" t="str">
        <f>"BANCO C6 (149)"</f>
        <v>BANCO C6 (149)</v>
      </c>
      <c r="T569">
        <v>17632</v>
      </c>
      <c r="U569">
        <v>21109</v>
      </c>
      <c r="V569" t="s">
        <v>77</v>
      </c>
    </row>
    <row r="570" spans="1:22">
      <c r="A570" t="str">
        <f t="shared" ref="A570:A633" si="120">("04/09/2025")</f>
        <v>04/09/2025</v>
      </c>
      <c r="B570" t="str">
        <f t="shared" si="118"/>
        <v>SAÍDA</v>
      </c>
      <c r="C570" t="str">
        <f t="shared" si="115"/>
        <v>PIX</v>
      </c>
      <c r="D570" t="str">
        <f>"21109"</f>
        <v>21109</v>
      </c>
      <c r="E570" t="str">
        <f t="shared" si="116"/>
        <v>1</v>
      </c>
      <c r="F570" t="str">
        <f t="shared" si="113"/>
        <v>COM</v>
      </c>
      <c r="G570" t="str">
        <f>"REGINALDO ANDRE BORTOLETTO (802)"</f>
        <v>REGINALDO ANDRE BORTOLETTO (802)</v>
      </c>
      <c r="H570" t="s">
        <v>32</v>
      </c>
      <c r="I570" t="str">
        <f t="shared" si="117"/>
        <v>04/09/2025</v>
      </c>
      <c r="J570" t="str">
        <f t="shared" si="119"/>
        <v>01/09/2025</v>
      </c>
      <c r="K570">
        <v>45904</v>
      </c>
      <c r="N570">
        <v>109</v>
      </c>
      <c r="O570" t="s">
        <v>24</v>
      </c>
      <c r="Q570">
        <v>878</v>
      </c>
      <c r="R570" t="str">
        <f>"DROGARIA MEDIC CENTER LTDA (10172)"</f>
        <v>DROGARIA MEDIC CENTER LTDA (10172)</v>
      </c>
      <c r="S570" t="s">
        <v>77</v>
      </c>
      <c r="T570">
        <v>17632</v>
      </c>
      <c r="U570">
        <v>21109</v>
      </c>
      <c r="V570" t="s">
        <v>77</v>
      </c>
    </row>
    <row r="571" spans="1:22">
      <c r="A571" t="str">
        <f t="shared" si="120"/>
        <v>04/09/2025</v>
      </c>
      <c r="B571" t="str">
        <f t="shared" si="118"/>
        <v>SAÍDA</v>
      </c>
      <c r="C571" t="str">
        <f t="shared" si="115"/>
        <v>PIX</v>
      </c>
      <c r="D571" t="str">
        <f>"21112"</f>
        <v>21112</v>
      </c>
      <c r="E571" t="str">
        <f t="shared" si="116"/>
        <v>1</v>
      </c>
      <c r="F571" t="str">
        <f t="shared" si="113"/>
        <v>COM</v>
      </c>
      <c r="G571" t="str">
        <f>"ALLAN SILVA DAMACENA (790)"</f>
        <v>ALLAN SILVA DAMACENA (790)</v>
      </c>
      <c r="H571" t="str">
        <f>"Serv.Prest. 25/08/2025 a 31/08/2025 - PIX: CELULAR - CHAVE: (19) 98944-4977"</f>
        <v>Serv.Prest. 25/08/2025 a 31/08/2025 - PIX: CELULAR - CHAVE: (19) 98944-4977</v>
      </c>
      <c r="I571" t="str">
        <f t="shared" si="117"/>
        <v>04/09/2025</v>
      </c>
      <c r="J571" t="str">
        <f t="shared" si="119"/>
        <v>01/09/2025</v>
      </c>
      <c r="K571" t="str">
        <f>("04/09/2025")</f>
        <v>04/09/2025</v>
      </c>
      <c r="L571">
        <v>1050</v>
      </c>
      <c r="M571">
        <v>1050</v>
      </c>
      <c r="N571">
        <v>109</v>
      </c>
      <c r="O571" t="str">
        <f>"PAGAMENTO DE ENTREGADORES"</f>
        <v>PAGAMENTO DE ENTREGADORES</v>
      </c>
      <c r="P571">
        <v>1050</v>
      </c>
      <c r="S571" t="str">
        <f>"BANCO C6 (149)"</f>
        <v>BANCO C6 (149)</v>
      </c>
      <c r="T571">
        <v>17633</v>
      </c>
      <c r="U571">
        <v>21112</v>
      </c>
      <c r="V571" t="s">
        <v>77</v>
      </c>
    </row>
    <row r="572" spans="1:22">
      <c r="A572" t="str">
        <f t="shared" si="120"/>
        <v>04/09/2025</v>
      </c>
      <c r="B572" t="str">
        <f t="shared" ref="B572:B603" si="121">"SAÍDA"</f>
        <v>SAÍDA</v>
      </c>
      <c r="C572" t="str">
        <f t="shared" si="115"/>
        <v>PIX</v>
      </c>
      <c r="D572" t="str">
        <f>"21112"</f>
        <v>21112</v>
      </c>
      <c r="E572" t="str">
        <f t="shared" si="116"/>
        <v>1</v>
      </c>
      <c r="F572" t="str">
        <f t="shared" si="113"/>
        <v>COM</v>
      </c>
      <c r="G572" t="str">
        <f>"ALLAN SILVA DAMACENA (790)"</f>
        <v>ALLAN SILVA DAMACENA (790)</v>
      </c>
      <c r="H572" t="s">
        <v>232</v>
      </c>
      <c r="I572" t="str">
        <f t="shared" si="117"/>
        <v>04/09/2025</v>
      </c>
      <c r="J572" t="str">
        <f t="shared" si="119"/>
        <v>01/09/2025</v>
      </c>
      <c r="K572">
        <v>45904</v>
      </c>
      <c r="N572">
        <v>109</v>
      </c>
      <c r="O572" t="s">
        <v>24</v>
      </c>
      <c r="Q572">
        <v>1050</v>
      </c>
      <c r="R572" t="str">
        <f>"DROGARIA MORENO LTDA (10171)"</f>
        <v>DROGARIA MORENO LTDA (10171)</v>
      </c>
      <c r="S572" t="s">
        <v>77</v>
      </c>
      <c r="T572">
        <v>17633</v>
      </c>
      <c r="U572">
        <v>21112</v>
      </c>
      <c r="V572" t="s">
        <v>77</v>
      </c>
    </row>
    <row r="573" spans="1:22">
      <c r="A573" t="str">
        <f t="shared" si="120"/>
        <v>04/09/2025</v>
      </c>
      <c r="B573" t="str">
        <f t="shared" si="121"/>
        <v>SAÍDA</v>
      </c>
      <c r="C573" t="str">
        <f t="shared" si="115"/>
        <v>PIX</v>
      </c>
      <c r="D573" t="str">
        <f>"21113"</f>
        <v>21113</v>
      </c>
      <c r="E573" t="str">
        <f t="shared" si="116"/>
        <v>1</v>
      </c>
      <c r="F573" t="str">
        <f t="shared" si="113"/>
        <v>COM</v>
      </c>
      <c r="G573" t="str">
        <f>"EDUARDO MARQUES DOS SANTOS (787)"</f>
        <v>EDUARDO MARQUES DOS SANTOS (787)</v>
      </c>
      <c r="H573" t="str">
        <f>"Serv.Prest. 25/08/2025 a 31/08/2025 - PIX: CELULAR - CHAVE: (11) 97402-1586"</f>
        <v>Serv.Prest. 25/08/2025 a 31/08/2025 - PIX: CELULAR - CHAVE: (11) 97402-1586</v>
      </c>
      <c r="I573" t="str">
        <f t="shared" si="117"/>
        <v>04/09/2025</v>
      </c>
      <c r="J573" t="str">
        <f t="shared" si="119"/>
        <v>01/09/2025</v>
      </c>
      <c r="K573" t="str">
        <f>("04/09/2025")</f>
        <v>04/09/2025</v>
      </c>
      <c r="L573">
        <v>826</v>
      </c>
      <c r="M573">
        <v>826</v>
      </c>
      <c r="N573">
        <v>109</v>
      </c>
      <c r="O573" t="str">
        <f>"PAGAMENTO DE ENTREGADORES"</f>
        <v>PAGAMENTO DE ENTREGADORES</v>
      </c>
      <c r="P573">
        <v>826</v>
      </c>
      <c r="S573" t="str">
        <f>"BANCO C6 (149)"</f>
        <v>BANCO C6 (149)</v>
      </c>
      <c r="T573">
        <v>17634</v>
      </c>
      <c r="U573">
        <v>21113</v>
      </c>
      <c r="V573" t="s">
        <v>77</v>
      </c>
    </row>
    <row r="574" spans="1:22">
      <c r="A574" t="str">
        <f t="shared" si="120"/>
        <v>04/09/2025</v>
      </c>
      <c r="B574" t="str">
        <f t="shared" si="121"/>
        <v>SAÍDA</v>
      </c>
      <c r="C574" t="str">
        <f t="shared" si="115"/>
        <v>PIX</v>
      </c>
      <c r="D574" t="str">
        <f>"21113"</f>
        <v>21113</v>
      </c>
      <c r="E574" t="str">
        <f t="shared" si="116"/>
        <v>1</v>
      </c>
      <c r="F574" t="str">
        <f t="shared" si="113"/>
        <v>COM</v>
      </c>
      <c r="G574" t="str">
        <f>"EDUARDO MARQUES DOS SANTOS (787)"</f>
        <v>EDUARDO MARQUES DOS SANTOS (787)</v>
      </c>
      <c r="H574" t="s">
        <v>231</v>
      </c>
      <c r="I574" t="str">
        <f t="shared" si="117"/>
        <v>04/09/2025</v>
      </c>
      <c r="J574" t="str">
        <f t="shared" si="119"/>
        <v>01/09/2025</v>
      </c>
      <c r="K574">
        <v>45904</v>
      </c>
      <c r="N574">
        <v>109</v>
      </c>
      <c r="O574" t="s">
        <v>24</v>
      </c>
      <c r="Q574">
        <v>826</v>
      </c>
      <c r="R574" t="str">
        <f>"DROGARIA MORENO LTDA (10171)"</f>
        <v>DROGARIA MORENO LTDA (10171)</v>
      </c>
      <c r="S574" t="s">
        <v>77</v>
      </c>
      <c r="T574">
        <v>17634</v>
      </c>
      <c r="U574">
        <v>21113</v>
      </c>
      <c r="V574" t="s">
        <v>77</v>
      </c>
    </row>
    <row r="575" spans="1:22">
      <c r="A575" t="str">
        <f t="shared" si="120"/>
        <v>04/09/2025</v>
      </c>
      <c r="B575" t="str">
        <f t="shared" si="121"/>
        <v>SAÍDA</v>
      </c>
      <c r="C575" t="str">
        <f t="shared" si="115"/>
        <v>PIX</v>
      </c>
      <c r="D575" t="str">
        <f>"21115"</f>
        <v>21115</v>
      </c>
      <c r="E575" t="str">
        <f t="shared" si="116"/>
        <v>1</v>
      </c>
      <c r="F575" t="str">
        <f t="shared" si="113"/>
        <v>COM</v>
      </c>
      <c r="G575" t="str">
        <f>"PAULO CESAR DE FARIA (865)"</f>
        <v>PAULO CESAR DE FARIA (865)</v>
      </c>
      <c r="H575" t="str">
        <f>"Serv.Prest. 25/08/2025 a 31/08/2025 - PIX: CELULAR - CHAVE: (11) 99992-0816"</f>
        <v>Serv.Prest. 25/08/2025 a 31/08/2025 - PIX: CELULAR - CHAVE: (11) 99992-0816</v>
      </c>
      <c r="I575" t="str">
        <f t="shared" si="117"/>
        <v>04/09/2025</v>
      </c>
      <c r="J575" t="str">
        <f t="shared" si="119"/>
        <v>01/09/2025</v>
      </c>
      <c r="K575" t="str">
        <f>("04/09/2025")</f>
        <v>04/09/2025</v>
      </c>
      <c r="L575">
        <v>931</v>
      </c>
      <c r="M575">
        <v>931</v>
      </c>
      <c r="N575">
        <v>109</v>
      </c>
      <c r="O575" t="str">
        <f>"PAGAMENTO DE ENTREGADORES"</f>
        <v>PAGAMENTO DE ENTREGADORES</v>
      </c>
      <c r="P575">
        <v>931</v>
      </c>
      <c r="S575" t="str">
        <f>"BANCO C6 (149)"</f>
        <v>BANCO C6 (149)</v>
      </c>
      <c r="T575">
        <v>17635</v>
      </c>
      <c r="U575">
        <v>21115</v>
      </c>
      <c r="V575" t="s">
        <v>77</v>
      </c>
    </row>
    <row r="576" spans="1:22">
      <c r="A576" t="str">
        <f t="shared" si="120"/>
        <v>04/09/2025</v>
      </c>
      <c r="B576" t="str">
        <f t="shared" si="121"/>
        <v>SAÍDA</v>
      </c>
      <c r="C576" t="str">
        <f t="shared" si="115"/>
        <v>PIX</v>
      </c>
      <c r="D576" t="str">
        <f>"21115"</f>
        <v>21115</v>
      </c>
      <c r="E576" t="str">
        <f t="shared" si="116"/>
        <v>1</v>
      </c>
      <c r="F576" t="str">
        <f t="shared" si="113"/>
        <v>COM</v>
      </c>
      <c r="G576" t="str">
        <f>"PAULO CESAR DE FARIA (865)"</f>
        <v>PAULO CESAR DE FARIA (865)</v>
      </c>
      <c r="H576" t="s">
        <v>233</v>
      </c>
      <c r="I576" t="str">
        <f t="shared" si="117"/>
        <v>04/09/2025</v>
      </c>
      <c r="J576" t="str">
        <f t="shared" si="119"/>
        <v>01/09/2025</v>
      </c>
      <c r="K576">
        <v>45904</v>
      </c>
      <c r="N576">
        <v>109</v>
      </c>
      <c r="O576" t="s">
        <v>24</v>
      </c>
      <c r="Q576">
        <v>931</v>
      </c>
      <c r="R576" t="str">
        <f>"DROGARIA MORENO LTDA (10171)"</f>
        <v>DROGARIA MORENO LTDA (10171)</v>
      </c>
      <c r="S576" t="s">
        <v>77</v>
      </c>
      <c r="T576">
        <v>17635</v>
      </c>
      <c r="U576">
        <v>21115</v>
      </c>
      <c r="V576" t="s">
        <v>77</v>
      </c>
    </row>
    <row r="577" spans="1:22">
      <c r="A577" t="str">
        <f t="shared" si="120"/>
        <v>04/09/2025</v>
      </c>
      <c r="B577" t="str">
        <f t="shared" si="121"/>
        <v>SAÍDA</v>
      </c>
      <c r="C577" t="str">
        <f t="shared" si="115"/>
        <v>PIX</v>
      </c>
      <c r="D577" t="str">
        <f>"21118"</f>
        <v>21118</v>
      </c>
      <c r="E577" t="str">
        <f t="shared" si="116"/>
        <v>1</v>
      </c>
      <c r="F577" t="str">
        <f t="shared" si="113"/>
        <v>COM</v>
      </c>
      <c r="G577" t="str">
        <f>"CLAUDIO DOS SANTOS (507)"</f>
        <v>CLAUDIO DOS SANTOS (507)</v>
      </c>
      <c r="H577" t="str">
        <f>"Serv.Prest. 25/08/2025 a 31/08/2025 - PIX: E-MAIL - CHAVE: claudioverdinho2009@hotmail.com"</f>
        <v>Serv.Prest. 25/08/2025 a 31/08/2025 - PIX: E-MAIL - CHAVE: claudioverdinho2009@hotmail.com</v>
      </c>
      <c r="I577" t="str">
        <f t="shared" si="117"/>
        <v>04/09/2025</v>
      </c>
      <c r="J577" t="str">
        <f t="shared" si="119"/>
        <v>01/09/2025</v>
      </c>
      <c r="K577" t="str">
        <f>("04/09/2025")</f>
        <v>04/09/2025</v>
      </c>
      <c r="L577">
        <v>142</v>
      </c>
      <c r="M577">
        <v>142</v>
      </c>
      <c r="N577">
        <v>109</v>
      </c>
      <c r="O577" t="str">
        <f>"PAGAMENTO DE ENTREGADORES"</f>
        <v>PAGAMENTO DE ENTREGADORES</v>
      </c>
      <c r="P577">
        <v>142</v>
      </c>
      <c r="S577" t="str">
        <f>"BANCO C6 (149)"</f>
        <v>BANCO C6 (149)</v>
      </c>
      <c r="T577">
        <v>17636</v>
      </c>
      <c r="U577">
        <v>21118</v>
      </c>
      <c r="V577" t="s">
        <v>77</v>
      </c>
    </row>
    <row r="578" spans="1:22">
      <c r="A578" t="str">
        <f t="shared" si="120"/>
        <v>04/09/2025</v>
      </c>
      <c r="B578" t="str">
        <f t="shared" si="121"/>
        <v>SAÍDA</v>
      </c>
      <c r="C578" t="str">
        <f t="shared" si="115"/>
        <v>PIX</v>
      </c>
      <c r="D578" t="str">
        <f>"21118"</f>
        <v>21118</v>
      </c>
      <c r="E578" t="str">
        <f t="shared" si="116"/>
        <v>1</v>
      </c>
      <c r="F578" t="str">
        <f t="shared" ref="F578:F641" si="122">"COM"</f>
        <v>COM</v>
      </c>
      <c r="G578" t="str">
        <f>"CLAUDIO DOS SANTOS (507)"</f>
        <v>CLAUDIO DOS SANTOS (507)</v>
      </c>
      <c r="H578" t="s">
        <v>234</v>
      </c>
      <c r="I578" t="str">
        <f t="shared" si="117"/>
        <v>04/09/2025</v>
      </c>
      <c r="J578" t="str">
        <f t="shared" si="119"/>
        <v>01/09/2025</v>
      </c>
      <c r="K578">
        <v>45904</v>
      </c>
      <c r="N578">
        <v>109</v>
      </c>
      <c r="O578" t="s">
        <v>24</v>
      </c>
      <c r="Q578">
        <v>142</v>
      </c>
      <c r="R578" t="str">
        <f>"JAL FARMACIA E DROGARIA LJ 2 (10138)"</f>
        <v>JAL FARMACIA E DROGARIA LJ 2 (10138)</v>
      </c>
      <c r="S578" t="s">
        <v>77</v>
      </c>
      <c r="T578">
        <v>17636</v>
      </c>
      <c r="U578">
        <v>21118</v>
      </c>
      <c r="V578" t="s">
        <v>77</v>
      </c>
    </row>
    <row r="579" spans="1:22">
      <c r="A579" t="str">
        <f t="shared" si="120"/>
        <v>04/09/2025</v>
      </c>
      <c r="B579" t="str">
        <f t="shared" si="121"/>
        <v>SAÍDA</v>
      </c>
      <c r="C579" t="str">
        <f t="shared" si="115"/>
        <v>PIX</v>
      </c>
      <c r="D579" t="str">
        <f>"21119"</f>
        <v>21119</v>
      </c>
      <c r="E579" t="str">
        <f t="shared" si="116"/>
        <v>1</v>
      </c>
      <c r="F579" t="str">
        <f t="shared" si="122"/>
        <v>COM</v>
      </c>
      <c r="G579" t="str">
        <f>"HECTOR LUIS YANEZ QUEZADA (718)"</f>
        <v>HECTOR LUIS YANEZ QUEZADA (718)</v>
      </c>
      <c r="H579" t="str">
        <f>"Serv.Prest. 25/08/2025 a 31/08/2025 - PIX: CELULAR - CHAVE: (41) 98421-2278"</f>
        <v>Serv.Prest. 25/08/2025 a 31/08/2025 - PIX: CELULAR - CHAVE: (41) 98421-2278</v>
      </c>
      <c r="I579" t="str">
        <f t="shared" si="117"/>
        <v>04/09/2025</v>
      </c>
      <c r="J579" t="str">
        <f t="shared" si="119"/>
        <v>01/09/2025</v>
      </c>
      <c r="K579" t="str">
        <f>("04/09/2025")</f>
        <v>04/09/2025</v>
      </c>
      <c r="L579">
        <v>436</v>
      </c>
      <c r="M579">
        <v>436</v>
      </c>
      <c r="N579">
        <v>109</v>
      </c>
      <c r="O579" t="str">
        <f>"PAGAMENTO DE ENTREGADORES"</f>
        <v>PAGAMENTO DE ENTREGADORES</v>
      </c>
      <c r="P579">
        <v>436</v>
      </c>
      <c r="S579" t="str">
        <f>"BANCO C6 (149)"</f>
        <v>BANCO C6 (149)</v>
      </c>
      <c r="T579">
        <v>17637</v>
      </c>
      <c r="U579">
        <v>21119</v>
      </c>
      <c r="V579" t="s">
        <v>77</v>
      </c>
    </row>
    <row r="580" spans="1:22">
      <c r="A580" t="str">
        <f t="shared" si="120"/>
        <v>04/09/2025</v>
      </c>
      <c r="B580" t="str">
        <f t="shared" si="121"/>
        <v>SAÍDA</v>
      </c>
      <c r="C580" t="str">
        <f t="shared" si="115"/>
        <v>PIX</v>
      </c>
      <c r="D580" t="str">
        <f>"21119"</f>
        <v>21119</v>
      </c>
      <c r="E580" t="str">
        <f t="shared" si="116"/>
        <v>1</v>
      </c>
      <c r="F580" t="str">
        <f t="shared" si="122"/>
        <v>COM</v>
      </c>
      <c r="G580" t="str">
        <f>"HECTOR LUIS YANEZ QUEZADA (718)"</f>
        <v>HECTOR LUIS YANEZ QUEZADA (718)</v>
      </c>
      <c r="H580" t="s">
        <v>235</v>
      </c>
      <c r="I580" t="str">
        <f t="shared" si="117"/>
        <v>04/09/2025</v>
      </c>
      <c r="J580" t="str">
        <f t="shared" si="119"/>
        <v>01/09/2025</v>
      </c>
      <c r="K580">
        <v>45904</v>
      </c>
      <c r="N580">
        <v>109</v>
      </c>
      <c r="O580" t="s">
        <v>24</v>
      </c>
      <c r="Q580">
        <v>436</v>
      </c>
      <c r="R580" t="str">
        <f>"JAL FARMACIA E DROGARIA LJ 2 (10138)"</f>
        <v>JAL FARMACIA E DROGARIA LJ 2 (10138)</v>
      </c>
      <c r="S580" t="s">
        <v>77</v>
      </c>
      <c r="T580">
        <v>17637</v>
      </c>
      <c r="U580">
        <v>21119</v>
      </c>
      <c r="V580" t="s">
        <v>77</v>
      </c>
    </row>
    <row r="581" spans="1:22">
      <c r="A581" t="str">
        <f t="shared" si="120"/>
        <v>04/09/2025</v>
      </c>
      <c r="B581" t="str">
        <f t="shared" si="121"/>
        <v>SAÍDA</v>
      </c>
      <c r="C581" t="str">
        <f t="shared" si="115"/>
        <v>PIX</v>
      </c>
      <c r="D581" t="str">
        <f>"21120"</f>
        <v>21120</v>
      </c>
      <c r="E581" t="str">
        <f t="shared" si="116"/>
        <v>1</v>
      </c>
      <c r="F581" t="str">
        <f t="shared" si="122"/>
        <v>COM</v>
      </c>
      <c r="G581" t="str">
        <f>"JESSICA BRAHOLKA (837)"</f>
        <v>JESSICA BRAHOLKA (837)</v>
      </c>
      <c r="H581" t="str">
        <f>"Serv.Prest. 25/08/2025 a 31/08/2025 - PIX: CPF - CHAVE: 124.575.099-20"</f>
        <v>Serv.Prest. 25/08/2025 a 31/08/2025 - PIX: CPF - CHAVE: 124.575.099-20</v>
      </c>
      <c r="I581" t="str">
        <f t="shared" si="117"/>
        <v>04/09/2025</v>
      </c>
      <c r="J581" t="str">
        <f t="shared" si="119"/>
        <v>01/09/2025</v>
      </c>
      <c r="K581" t="str">
        <f>("04/09/2025")</f>
        <v>04/09/2025</v>
      </c>
      <c r="L581">
        <v>730</v>
      </c>
      <c r="M581">
        <v>730</v>
      </c>
      <c r="N581">
        <v>109</v>
      </c>
      <c r="O581" t="str">
        <f>"PAGAMENTO DE ENTREGADORES"</f>
        <v>PAGAMENTO DE ENTREGADORES</v>
      </c>
      <c r="P581">
        <v>730</v>
      </c>
      <c r="S581" t="str">
        <f>"BANCO C6 (149)"</f>
        <v>BANCO C6 (149)</v>
      </c>
      <c r="T581">
        <v>17638</v>
      </c>
      <c r="U581">
        <v>21120</v>
      </c>
      <c r="V581" t="s">
        <v>77</v>
      </c>
    </row>
    <row r="582" spans="1:22">
      <c r="A582" t="str">
        <f t="shared" si="120"/>
        <v>04/09/2025</v>
      </c>
      <c r="B582" t="str">
        <f t="shared" si="121"/>
        <v>SAÍDA</v>
      </c>
      <c r="C582" t="str">
        <f t="shared" si="115"/>
        <v>PIX</v>
      </c>
      <c r="D582" t="str">
        <f>"21120"</f>
        <v>21120</v>
      </c>
      <c r="E582" t="str">
        <f t="shared" si="116"/>
        <v>1</v>
      </c>
      <c r="F582" t="str">
        <f t="shared" si="122"/>
        <v>COM</v>
      </c>
      <c r="G582" t="str">
        <f>"JESSICA BRAHOLKA (837)"</f>
        <v>JESSICA BRAHOLKA (837)</v>
      </c>
      <c r="H582" t="s">
        <v>236</v>
      </c>
      <c r="I582" t="str">
        <f t="shared" si="117"/>
        <v>04/09/2025</v>
      </c>
      <c r="J582" t="str">
        <f t="shared" si="119"/>
        <v>01/09/2025</v>
      </c>
      <c r="K582">
        <v>45904</v>
      </c>
      <c r="N582">
        <v>109</v>
      </c>
      <c r="O582" t="s">
        <v>24</v>
      </c>
      <c r="Q582">
        <v>730</v>
      </c>
      <c r="R582" t="str">
        <f>"JAL FARMACIA E DROGARIA LJ 2 (10138)"</f>
        <v>JAL FARMACIA E DROGARIA LJ 2 (10138)</v>
      </c>
      <c r="S582" t="s">
        <v>77</v>
      </c>
      <c r="T582">
        <v>17638</v>
      </c>
      <c r="U582">
        <v>21120</v>
      </c>
      <c r="V582" t="s">
        <v>77</v>
      </c>
    </row>
    <row r="583" spans="1:22">
      <c r="A583" t="str">
        <f t="shared" si="120"/>
        <v>04/09/2025</v>
      </c>
      <c r="B583" t="str">
        <f t="shared" si="121"/>
        <v>SAÍDA</v>
      </c>
      <c r="C583" t="str">
        <f t="shared" si="115"/>
        <v>PIX</v>
      </c>
      <c r="D583" t="str">
        <f>"21122"</f>
        <v>21122</v>
      </c>
      <c r="E583" t="str">
        <f t="shared" si="116"/>
        <v>1</v>
      </c>
      <c r="F583" t="str">
        <f t="shared" si="122"/>
        <v>COM</v>
      </c>
      <c r="G583" t="str">
        <f>"CLAUDIO DOS SANTOS (507)"</f>
        <v>CLAUDIO DOS SANTOS (507)</v>
      </c>
      <c r="H583" t="str">
        <f>"Serv.Prest. 25/08/2025 a 31/08/2025 - PIX: E-MAIL - CHAVE: claudioverdinho2009@hotmail.com"</f>
        <v>Serv.Prest. 25/08/2025 a 31/08/2025 - PIX: E-MAIL - CHAVE: claudioverdinho2009@hotmail.com</v>
      </c>
      <c r="I583" t="str">
        <f t="shared" si="117"/>
        <v>04/09/2025</v>
      </c>
      <c r="J583" t="str">
        <f t="shared" si="119"/>
        <v>01/09/2025</v>
      </c>
      <c r="K583" t="str">
        <f>("04/09/2025")</f>
        <v>04/09/2025</v>
      </c>
      <c r="L583">
        <v>1029</v>
      </c>
      <c r="M583">
        <v>1029</v>
      </c>
      <c r="N583">
        <v>109</v>
      </c>
      <c r="O583" t="str">
        <f>"PAGAMENTO DE ENTREGADORES"</f>
        <v>PAGAMENTO DE ENTREGADORES</v>
      </c>
      <c r="P583">
        <v>1029</v>
      </c>
      <c r="S583" t="str">
        <f>"BANCO C6 (149)"</f>
        <v>BANCO C6 (149)</v>
      </c>
      <c r="T583">
        <v>17639</v>
      </c>
      <c r="U583">
        <v>21122</v>
      </c>
      <c r="V583" t="s">
        <v>77</v>
      </c>
    </row>
    <row r="584" spans="1:22">
      <c r="A584" t="str">
        <f t="shared" si="120"/>
        <v>04/09/2025</v>
      </c>
      <c r="B584" t="str">
        <f t="shared" si="121"/>
        <v>SAÍDA</v>
      </c>
      <c r="C584" t="str">
        <f t="shared" si="115"/>
        <v>PIX</v>
      </c>
      <c r="D584" t="str">
        <f>"21122"</f>
        <v>21122</v>
      </c>
      <c r="E584" t="str">
        <f t="shared" si="116"/>
        <v>1</v>
      </c>
      <c r="F584" t="str">
        <f t="shared" si="122"/>
        <v>COM</v>
      </c>
      <c r="G584" t="str">
        <f>"CLAUDIO DOS SANTOS (507)"</f>
        <v>CLAUDIO DOS SANTOS (507)</v>
      </c>
      <c r="H584" t="s">
        <v>234</v>
      </c>
      <c r="I584" t="str">
        <f t="shared" si="117"/>
        <v>04/09/2025</v>
      </c>
      <c r="J584" t="str">
        <f t="shared" si="119"/>
        <v>01/09/2025</v>
      </c>
      <c r="K584">
        <v>45904</v>
      </c>
      <c r="N584">
        <v>109</v>
      </c>
      <c r="O584" t="s">
        <v>24</v>
      </c>
      <c r="Q584">
        <v>1029</v>
      </c>
      <c r="R584" t="str">
        <f>"JAL FARMACIA E DROGARIA LJ 1 (10137)"</f>
        <v>JAL FARMACIA E DROGARIA LJ 1 (10137)</v>
      </c>
      <c r="S584" t="s">
        <v>77</v>
      </c>
      <c r="T584">
        <v>17639</v>
      </c>
      <c r="U584">
        <v>21122</v>
      </c>
      <c r="V584" t="s">
        <v>77</v>
      </c>
    </row>
    <row r="585" spans="1:22">
      <c r="A585" t="str">
        <f t="shared" si="120"/>
        <v>04/09/2025</v>
      </c>
      <c r="B585" t="str">
        <f t="shared" si="121"/>
        <v>SAÍDA</v>
      </c>
      <c r="C585" t="str">
        <f t="shared" si="115"/>
        <v>PIX</v>
      </c>
      <c r="D585" t="str">
        <f>"21123"</f>
        <v>21123</v>
      </c>
      <c r="E585" t="str">
        <f t="shared" si="116"/>
        <v>1</v>
      </c>
      <c r="F585" t="str">
        <f t="shared" si="122"/>
        <v>COM</v>
      </c>
      <c r="G585" t="str">
        <f>"HECTOR LUIS YANEZ QUEZADA (718)"</f>
        <v>HECTOR LUIS YANEZ QUEZADA (718)</v>
      </c>
      <c r="H585" t="str">
        <f>"Serv.Prest. 25/08/2025 a 31/08/2025 - PIX: CELULAR - CHAVE: (41) 98421-2278"</f>
        <v>Serv.Prest. 25/08/2025 a 31/08/2025 - PIX: CELULAR - CHAVE: (41) 98421-2278</v>
      </c>
      <c r="I585" t="str">
        <f t="shared" si="117"/>
        <v>04/09/2025</v>
      </c>
      <c r="J585" t="str">
        <f t="shared" si="119"/>
        <v>01/09/2025</v>
      </c>
      <c r="K585" t="str">
        <f>("04/09/2025")</f>
        <v>04/09/2025</v>
      </c>
      <c r="L585">
        <v>364</v>
      </c>
      <c r="M585">
        <v>364</v>
      </c>
      <c r="N585">
        <v>109</v>
      </c>
      <c r="O585" t="str">
        <f>"PAGAMENTO DE ENTREGADORES"</f>
        <v>PAGAMENTO DE ENTREGADORES</v>
      </c>
      <c r="P585">
        <v>364</v>
      </c>
      <c r="S585" t="str">
        <f>"BANCO C6 (149)"</f>
        <v>BANCO C6 (149)</v>
      </c>
      <c r="T585">
        <v>17640</v>
      </c>
      <c r="U585">
        <v>21123</v>
      </c>
      <c r="V585" t="s">
        <v>77</v>
      </c>
    </row>
    <row r="586" spans="1:22">
      <c r="A586" t="str">
        <f t="shared" si="120"/>
        <v>04/09/2025</v>
      </c>
      <c r="B586" t="str">
        <f t="shared" si="121"/>
        <v>SAÍDA</v>
      </c>
      <c r="C586" t="str">
        <f t="shared" si="115"/>
        <v>PIX</v>
      </c>
      <c r="D586" t="str">
        <f>"21123"</f>
        <v>21123</v>
      </c>
      <c r="E586" t="str">
        <f t="shared" si="116"/>
        <v>1</v>
      </c>
      <c r="F586" t="str">
        <f t="shared" si="122"/>
        <v>COM</v>
      </c>
      <c r="G586" t="str">
        <f>"HECTOR LUIS YANEZ QUEZADA (718)"</f>
        <v>HECTOR LUIS YANEZ QUEZADA (718)</v>
      </c>
      <c r="H586" t="s">
        <v>235</v>
      </c>
      <c r="I586" t="str">
        <f t="shared" si="117"/>
        <v>04/09/2025</v>
      </c>
      <c r="J586" t="str">
        <f t="shared" si="119"/>
        <v>01/09/2025</v>
      </c>
      <c r="K586">
        <v>45904</v>
      </c>
      <c r="N586">
        <v>109</v>
      </c>
      <c r="O586" t="s">
        <v>24</v>
      </c>
      <c r="Q586">
        <v>364</v>
      </c>
      <c r="R586" t="str">
        <f>"JAL FARMACIA E DROGARIA LJ 1 (10137)"</f>
        <v>JAL FARMACIA E DROGARIA LJ 1 (10137)</v>
      </c>
      <c r="S586" t="s">
        <v>77</v>
      </c>
      <c r="T586">
        <v>17640</v>
      </c>
      <c r="U586">
        <v>21123</v>
      </c>
      <c r="V586" t="s">
        <v>77</v>
      </c>
    </row>
    <row r="587" spans="1:22">
      <c r="A587" t="str">
        <f t="shared" si="120"/>
        <v>04/09/2025</v>
      </c>
      <c r="B587" t="str">
        <f t="shared" si="121"/>
        <v>SAÍDA</v>
      </c>
      <c r="C587" t="str">
        <f t="shared" ref="C587:C650" si="123">"PIX"</f>
        <v>PIX</v>
      </c>
      <c r="D587" t="str">
        <f>"21124"</f>
        <v>21124</v>
      </c>
      <c r="E587" t="str">
        <f t="shared" si="116"/>
        <v>1</v>
      </c>
      <c r="F587" t="str">
        <f t="shared" si="122"/>
        <v>COM</v>
      </c>
      <c r="G587" t="str">
        <f>"JESSICA BRAHOLKA (837)"</f>
        <v>JESSICA BRAHOLKA (837)</v>
      </c>
      <c r="H587" t="str">
        <f>"Serv.Prest. 25/08/2025 a 31/08/2025 - PIX: CPF - CHAVE: 124.575.099-20"</f>
        <v>Serv.Prest. 25/08/2025 a 31/08/2025 - PIX: CPF - CHAVE: 124.575.099-20</v>
      </c>
      <c r="I587" t="str">
        <f t="shared" si="117"/>
        <v>04/09/2025</v>
      </c>
      <c r="J587" t="str">
        <f t="shared" si="119"/>
        <v>01/09/2025</v>
      </c>
      <c r="K587" t="str">
        <f>("04/09/2025")</f>
        <v>04/09/2025</v>
      </c>
      <c r="L587">
        <v>497</v>
      </c>
      <c r="M587">
        <v>497</v>
      </c>
      <c r="N587">
        <v>109</v>
      </c>
      <c r="O587" t="str">
        <f>"PAGAMENTO DE ENTREGADORES"</f>
        <v>PAGAMENTO DE ENTREGADORES</v>
      </c>
      <c r="P587">
        <v>497</v>
      </c>
      <c r="S587" t="str">
        <f>"BANCO C6 (149)"</f>
        <v>BANCO C6 (149)</v>
      </c>
      <c r="T587">
        <v>17641</v>
      </c>
      <c r="U587">
        <v>21124</v>
      </c>
      <c r="V587" t="s">
        <v>77</v>
      </c>
    </row>
    <row r="588" spans="1:22">
      <c r="A588" t="str">
        <f t="shared" si="120"/>
        <v>04/09/2025</v>
      </c>
      <c r="B588" t="str">
        <f t="shared" si="121"/>
        <v>SAÍDA</v>
      </c>
      <c r="C588" t="str">
        <f t="shared" si="123"/>
        <v>PIX</v>
      </c>
      <c r="D588" t="str">
        <f>"21124"</f>
        <v>21124</v>
      </c>
      <c r="E588" t="str">
        <f t="shared" si="116"/>
        <v>1</v>
      </c>
      <c r="F588" t="str">
        <f t="shared" si="122"/>
        <v>COM</v>
      </c>
      <c r="G588" t="str">
        <f>"JESSICA BRAHOLKA (837)"</f>
        <v>JESSICA BRAHOLKA (837)</v>
      </c>
      <c r="H588" t="s">
        <v>236</v>
      </c>
      <c r="I588" t="str">
        <f t="shared" si="117"/>
        <v>04/09/2025</v>
      </c>
      <c r="J588" t="str">
        <f t="shared" si="119"/>
        <v>01/09/2025</v>
      </c>
      <c r="K588">
        <v>45904</v>
      </c>
      <c r="N588">
        <v>109</v>
      </c>
      <c r="O588" t="s">
        <v>24</v>
      </c>
      <c r="Q588">
        <v>497</v>
      </c>
      <c r="R588" t="str">
        <f>"JAL FARMACIA E DROGARIA LJ 1 (10137)"</f>
        <v>JAL FARMACIA E DROGARIA LJ 1 (10137)</v>
      </c>
      <c r="S588" t="s">
        <v>77</v>
      </c>
      <c r="T588">
        <v>17641</v>
      </c>
      <c r="U588">
        <v>21124</v>
      </c>
      <c r="V588" t="s">
        <v>77</v>
      </c>
    </row>
    <row r="589" spans="1:22">
      <c r="A589" t="str">
        <f t="shared" si="120"/>
        <v>04/09/2025</v>
      </c>
      <c r="B589" t="str">
        <f t="shared" si="121"/>
        <v>SAÍDA</v>
      </c>
      <c r="C589" t="str">
        <f t="shared" si="123"/>
        <v>PIX</v>
      </c>
      <c r="D589" t="str">
        <f>"21046"</f>
        <v>21046</v>
      </c>
      <c r="E589" t="str">
        <f t="shared" si="116"/>
        <v>1</v>
      </c>
      <c r="F589" t="str">
        <f t="shared" si="122"/>
        <v>COM</v>
      </c>
      <c r="G589" t="str">
        <f>"ALAN ACOSTA (897)"</f>
        <v>ALAN ACOSTA (897)</v>
      </c>
      <c r="H589" t="str">
        <f>"Serv.Prest. 18/08/2025 a 24/08/2025 - PIX: E-MAIL - CHAVE: alanacosta1999@gmail.com"</f>
        <v>Serv.Prest. 18/08/2025 a 24/08/2025 - PIX: E-MAIL - CHAVE: alanacosta1999@gmail.com</v>
      </c>
      <c r="I589" t="str">
        <f t="shared" si="117"/>
        <v>04/09/2025</v>
      </c>
      <c r="J589" t="str">
        <f>("27/08/2025")</f>
        <v>27/08/2025</v>
      </c>
      <c r="K589" t="str">
        <f>("04/09/2025")</f>
        <v>04/09/2025</v>
      </c>
      <c r="L589">
        <v>187.5</v>
      </c>
      <c r="M589">
        <v>187.5</v>
      </c>
      <c r="N589">
        <v>109</v>
      </c>
      <c r="O589" t="str">
        <f>"PAGAMENTO DE ENTREGADORES"</f>
        <v>PAGAMENTO DE ENTREGADORES</v>
      </c>
      <c r="P589">
        <v>187.5</v>
      </c>
      <c r="S589" t="str">
        <f>"BANCO C6 (149)"</f>
        <v>BANCO C6 (149)</v>
      </c>
      <c r="T589">
        <v>17642</v>
      </c>
      <c r="U589">
        <v>21126</v>
      </c>
      <c r="V589" t="s">
        <v>77</v>
      </c>
    </row>
    <row r="590" spans="1:22">
      <c r="A590" t="str">
        <f t="shared" si="120"/>
        <v>04/09/2025</v>
      </c>
      <c r="B590" t="str">
        <f t="shared" si="121"/>
        <v>SAÍDA</v>
      </c>
      <c r="C590" t="str">
        <f t="shared" si="123"/>
        <v>PIX</v>
      </c>
      <c r="D590" t="str">
        <f>"21046"</f>
        <v>21046</v>
      </c>
      <c r="E590" t="str">
        <f t="shared" si="116"/>
        <v>1</v>
      </c>
      <c r="F590" t="str">
        <f t="shared" si="122"/>
        <v>COM</v>
      </c>
      <c r="G590" t="str">
        <f>"ALAN ACOSTA (897)"</f>
        <v>ALAN ACOSTA (897)</v>
      </c>
      <c r="H590" t="s">
        <v>23</v>
      </c>
      <c r="I590" t="str">
        <f t="shared" si="117"/>
        <v>04/09/2025</v>
      </c>
      <c r="J590" t="str">
        <f>("27/08/2025")</f>
        <v>27/08/2025</v>
      </c>
      <c r="K590">
        <v>45904</v>
      </c>
      <c r="N590">
        <v>109</v>
      </c>
      <c r="O590" t="s">
        <v>24</v>
      </c>
      <c r="Q590">
        <v>187.5</v>
      </c>
      <c r="R590" t="str">
        <f>"AC FARMA - CID.ALTA (10166)"</f>
        <v>AC FARMA - CID.ALTA (10166)</v>
      </c>
      <c r="S590" t="s">
        <v>77</v>
      </c>
      <c r="T590">
        <v>17642</v>
      </c>
      <c r="U590">
        <v>21126</v>
      </c>
      <c r="V590" t="s">
        <v>77</v>
      </c>
    </row>
    <row r="591" spans="1:22">
      <c r="A591" t="str">
        <f t="shared" si="120"/>
        <v>04/09/2025</v>
      </c>
      <c r="B591" t="str">
        <f t="shared" si="121"/>
        <v>SAÍDA</v>
      </c>
      <c r="C591" t="str">
        <f t="shared" si="123"/>
        <v>PIX</v>
      </c>
      <c r="D591" t="str">
        <f>"21128"</f>
        <v>21128</v>
      </c>
      <c r="E591" t="str">
        <f t="shared" si="116"/>
        <v>1</v>
      </c>
      <c r="F591" t="str">
        <f t="shared" si="122"/>
        <v>COM</v>
      </c>
      <c r="G591" t="str">
        <f>"JOCIMAR VAZ FERREIRA (197)"</f>
        <v>JOCIMAR VAZ FERREIRA (197)</v>
      </c>
      <c r="H591" t="str">
        <f>"Serv.Prest. 25/08/2025 a 31/08/2025 - PIX: CELULAR - CHAVE: (33) 99924-7557"</f>
        <v>Serv.Prest. 25/08/2025 a 31/08/2025 - PIX: CELULAR - CHAVE: (33) 99924-7557</v>
      </c>
      <c r="I591" t="str">
        <f t="shared" si="117"/>
        <v>04/09/2025</v>
      </c>
      <c r="J591" t="str">
        <f t="shared" ref="J591:J598" si="124">("01/09/2025")</f>
        <v>01/09/2025</v>
      </c>
      <c r="K591" t="str">
        <f>("04/09/2025")</f>
        <v>04/09/2025</v>
      </c>
      <c r="L591">
        <v>966</v>
      </c>
      <c r="M591">
        <v>966</v>
      </c>
      <c r="N591">
        <v>109</v>
      </c>
      <c r="O591" t="str">
        <f>"PAGAMENTO DE ENTREGADORES"</f>
        <v>PAGAMENTO DE ENTREGADORES</v>
      </c>
      <c r="P591">
        <v>966</v>
      </c>
      <c r="S591" t="str">
        <f>"BANCO C6 (149)"</f>
        <v>BANCO C6 (149)</v>
      </c>
      <c r="T591">
        <v>17643</v>
      </c>
      <c r="U591">
        <v>21128</v>
      </c>
      <c r="V591" t="s">
        <v>77</v>
      </c>
    </row>
    <row r="592" spans="1:22">
      <c r="A592" t="str">
        <f t="shared" si="120"/>
        <v>04/09/2025</v>
      </c>
      <c r="B592" t="str">
        <f t="shared" si="121"/>
        <v>SAÍDA</v>
      </c>
      <c r="C592" t="str">
        <f t="shared" si="123"/>
        <v>PIX</v>
      </c>
      <c r="D592" t="str">
        <f>"21128"</f>
        <v>21128</v>
      </c>
      <c r="E592" t="str">
        <f t="shared" si="116"/>
        <v>1</v>
      </c>
      <c r="F592" t="str">
        <f t="shared" si="122"/>
        <v>COM</v>
      </c>
      <c r="G592" t="str">
        <f>"JOCIMAR VAZ FERREIRA (197)"</f>
        <v>JOCIMAR VAZ FERREIRA (197)</v>
      </c>
      <c r="H592" t="s">
        <v>237</v>
      </c>
      <c r="I592" t="str">
        <f t="shared" si="117"/>
        <v>04/09/2025</v>
      </c>
      <c r="J592" t="str">
        <f t="shared" si="124"/>
        <v>01/09/2025</v>
      </c>
      <c r="K592">
        <v>45904</v>
      </c>
      <c r="N592">
        <v>109</v>
      </c>
      <c r="O592" t="s">
        <v>24</v>
      </c>
      <c r="Q592">
        <v>966</v>
      </c>
      <c r="R592" t="str">
        <f>"DROGARIA VAZ (10179)"</f>
        <v>DROGARIA VAZ (10179)</v>
      </c>
      <c r="S592" t="s">
        <v>77</v>
      </c>
      <c r="T592">
        <v>17643</v>
      </c>
      <c r="U592">
        <v>21128</v>
      </c>
      <c r="V592" t="s">
        <v>77</v>
      </c>
    </row>
    <row r="593" spans="1:22">
      <c r="A593" t="str">
        <f t="shared" si="120"/>
        <v>04/09/2025</v>
      </c>
      <c r="B593" t="str">
        <f t="shared" si="121"/>
        <v>SAÍDA</v>
      </c>
      <c r="C593" t="str">
        <f t="shared" si="123"/>
        <v>PIX</v>
      </c>
      <c r="D593" t="str">
        <f>"21130"</f>
        <v>21130</v>
      </c>
      <c r="E593" t="str">
        <f t="shared" si="116"/>
        <v>1</v>
      </c>
      <c r="F593" t="str">
        <f t="shared" si="122"/>
        <v>COM</v>
      </c>
      <c r="G593" t="str">
        <f>"ALBERTO FARIAS DOS SANTOS JUNIOR (800)"</f>
        <v>ALBERTO FARIAS DOS SANTOS JUNIOR (800)</v>
      </c>
      <c r="H593" t="str">
        <f>"Serv.Prest. 25/08/2025 a 31/08/2025 - PIX: CPF - CHAVE: 082.990.555-39"</f>
        <v>Serv.Prest. 25/08/2025 a 31/08/2025 - PIX: CPF - CHAVE: 082.990.555-39</v>
      </c>
      <c r="I593" t="str">
        <f t="shared" si="117"/>
        <v>04/09/2025</v>
      </c>
      <c r="J593" t="str">
        <f t="shared" si="124"/>
        <v>01/09/2025</v>
      </c>
      <c r="K593" t="str">
        <f>("04/09/2025")</f>
        <v>04/09/2025</v>
      </c>
      <c r="L593">
        <v>830</v>
      </c>
      <c r="M593">
        <v>830</v>
      </c>
      <c r="N593">
        <v>109</v>
      </c>
      <c r="O593" t="str">
        <f>"PAGAMENTO DE ENTREGADORES"</f>
        <v>PAGAMENTO DE ENTREGADORES</v>
      </c>
      <c r="P593">
        <v>830</v>
      </c>
      <c r="S593" t="str">
        <f>"BANCO C6 (149)"</f>
        <v>BANCO C6 (149)</v>
      </c>
      <c r="T593">
        <v>17644</v>
      </c>
      <c r="U593">
        <v>21130</v>
      </c>
      <c r="V593" t="s">
        <v>77</v>
      </c>
    </row>
    <row r="594" spans="1:22">
      <c r="A594" t="str">
        <f t="shared" si="120"/>
        <v>04/09/2025</v>
      </c>
      <c r="B594" t="str">
        <f t="shared" si="121"/>
        <v>SAÍDA</v>
      </c>
      <c r="C594" t="str">
        <f t="shared" si="123"/>
        <v>PIX</v>
      </c>
      <c r="D594" t="str">
        <f>"21130"</f>
        <v>21130</v>
      </c>
      <c r="E594" t="str">
        <f t="shared" ref="E594:E633" si="125">"1"</f>
        <v>1</v>
      </c>
      <c r="F594" t="str">
        <f t="shared" si="122"/>
        <v>COM</v>
      </c>
      <c r="G594" t="str">
        <f>"ALBERTO FARIAS DOS SANTOS JUNIOR (800)"</f>
        <v>ALBERTO FARIAS DOS SANTOS JUNIOR (800)</v>
      </c>
      <c r="H594" t="s">
        <v>238</v>
      </c>
      <c r="I594" t="str">
        <f t="shared" si="117"/>
        <v>04/09/2025</v>
      </c>
      <c r="J594" t="str">
        <f t="shared" si="124"/>
        <v>01/09/2025</v>
      </c>
      <c r="K594">
        <v>45904</v>
      </c>
      <c r="N594">
        <v>109</v>
      </c>
      <c r="O594" t="s">
        <v>24</v>
      </c>
      <c r="Q594">
        <v>830</v>
      </c>
      <c r="R594" t="str">
        <f>"DELTA LOJA 2 (10123)"</f>
        <v>DELTA LOJA 2 (10123)</v>
      </c>
      <c r="S594" t="s">
        <v>77</v>
      </c>
      <c r="T594">
        <v>17644</v>
      </c>
      <c r="U594">
        <v>21130</v>
      </c>
      <c r="V594" t="s">
        <v>77</v>
      </c>
    </row>
    <row r="595" spans="1:22">
      <c r="A595" t="str">
        <f t="shared" si="120"/>
        <v>04/09/2025</v>
      </c>
      <c r="B595" t="str">
        <f t="shared" si="121"/>
        <v>SAÍDA</v>
      </c>
      <c r="C595" t="str">
        <f t="shared" si="123"/>
        <v>PIX</v>
      </c>
      <c r="D595" t="str">
        <f>"21131"</f>
        <v>21131</v>
      </c>
      <c r="E595" t="str">
        <f t="shared" si="125"/>
        <v>1</v>
      </c>
      <c r="F595" t="str">
        <f t="shared" si="122"/>
        <v>COM</v>
      </c>
      <c r="G595" t="str">
        <f>"EDNUBIA RAMOS ALVES OLIVEIRA (899)"</f>
        <v>EDNUBIA RAMOS ALVES OLIVEIRA (899)</v>
      </c>
      <c r="H595" t="str">
        <f>"Serv.Prest. 25/08/2025 a 31/08/2025 - PIX: CELULAR - CHAVE: (71) 99214-9256"</f>
        <v>Serv.Prest. 25/08/2025 a 31/08/2025 - PIX: CELULAR - CHAVE: (71) 99214-9256</v>
      </c>
      <c r="I595" t="str">
        <f t="shared" si="117"/>
        <v>04/09/2025</v>
      </c>
      <c r="J595" t="str">
        <f t="shared" si="124"/>
        <v>01/09/2025</v>
      </c>
      <c r="K595" t="str">
        <f>("04/09/2025")</f>
        <v>04/09/2025</v>
      </c>
      <c r="L595">
        <v>880</v>
      </c>
      <c r="M595">
        <v>880</v>
      </c>
      <c r="N595">
        <v>109</v>
      </c>
      <c r="O595" t="str">
        <f>"PAGAMENTO DE ENTREGADORES"</f>
        <v>PAGAMENTO DE ENTREGADORES</v>
      </c>
      <c r="P595">
        <v>880</v>
      </c>
      <c r="S595" t="str">
        <f>"BANCO C6 (149)"</f>
        <v>BANCO C6 (149)</v>
      </c>
      <c r="T595">
        <v>17645</v>
      </c>
      <c r="U595">
        <v>21131</v>
      </c>
      <c r="V595" t="s">
        <v>77</v>
      </c>
    </row>
    <row r="596" spans="1:22">
      <c r="A596" t="str">
        <f t="shared" si="120"/>
        <v>04/09/2025</v>
      </c>
      <c r="B596" t="str">
        <f t="shared" si="121"/>
        <v>SAÍDA</v>
      </c>
      <c r="C596" t="str">
        <f t="shared" si="123"/>
        <v>PIX</v>
      </c>
      <c r="D596" t="str">
        <f>"21131"</f>
        <v>21131</v>
      </c>
      <c r="E596" t="str">
        <f t="shared" si="125"/>
        <v>1</v>
      </c>
      <c r="F596" t="str">
        <f t="shared" si="122"/>
        <v>COM</v>
      </c>
      <c r="G596" t="str">
        <f>"EDNUBIA RAMOS ALVES OLIVEIRA (899)"</f>
        <v>EDNUBIA RAMOS ALVES OLIVEIRA (899)</v>
      </c>
      <c r="H596" t="s">
        <v>239</v>
      </c>
      <c r="I596" t="str">
        <f t="shared" si="117"/>
        <v>04/09/2025</v>
      </c>
      <c r="J596" t="str">
        <f t="shared" si="124"/>
        <v>01/09/2025</v>
      </c>
      <c r="K596">
        <v>45904</v>
      </c>
      <c r="N596">
        <v>109</v>
      </c>
      <c r="O596" t="s">
        <v>24</v>
      </c>
      <c r="Q596">
        <v>880</v>
      </c>
      <c r="R596" t="str">
        <f>"DELTA LOJA 2 (10123)"</f>
        <v>DELTA LOJA 2 (10123)</v>
      </c>
      <c r="S596" t="s">
        <v>77</v>
      </c>
      <c r="T596">
        <v>17645</v>
      </c>
      <c r="U596">
        <v>21131</v>
      </c>
      <c r="V596" t="s">
        <v>77</v>
      </c>
    </row>
    <row r="597" spans="1:22">
      <c r="A597" t="str">
        <f t="shared" si="120"/>
        <v>04/09/2025</v>
      </c>
      <c r="B597" t="str">
        <f t="shared" si="121"/>
        <v>SAÍDA</v>
      </c>
      <c r="C597" t="str">
        <f t="shared" si="123"/>
        <v>PIX</v>
      </c>
      <c r="D597" t="str">
        <f>"21132"</f>
        <v>21132</v>
      </c>
      <c r="E597" t="str">
        <f t="shared" si="125"/>
        <v>1</v>
      </c>
      <c r="F597" t="str">
        <f t="shared" si="122"/>
        <v>COM</v>
      </c>
      <c r="G597" t="str">
        <f>"ELIENAI ROSA DO NASCIMENTO (343)"</f>
        <v>ELIENAI ROSA DO NASCIMENTO (343)</v>
      </c>
      <c r="H597" t="str">
        <f>"Serv.Prest. 25/08/2025 a 31/08/2025 - PIX: CPF - CHAVE: 048.672.645-20"</f>
        <v>Serv.Prest. 25/08/2025 a 31/08/2025 - PIX: CPF - CHAVE: 048.672.645-20</v>
      </c>
      <c r="I597" t="str">
        <f t="shared" si="117"/>
        <v>04/09/2025</v>
      </c>
      <c r="J597" t="str">
        <f t="shared" si="124"/>
        <v>01/09/2025</v>
      </c>
      <c r="K597" t="str">
        <f>("04/09/2025")</f>
        <v>04/09/2025</v>
      </c>
      <c r="L597">
        <v>890</v>
      </c>
      <c r="M597">
        <v>890</v>
      </c>
      <c r="N597">
        <v>109</v>
      </c>
      <c r="O597" t="str">
        <f>"PAGAMENTO DE ENTREGADORES"</f>
        <v>PAGAMENTO DE ENTREGADORES</v>
      </c>
      <c r="P597">
        <v>890</v>
      </c>
      <c r="S597" t="str">
        <f>"BANCO C6 (149)"</f>
        <v>BANCO C6 (149)</v>
      </c>
      <c r="T597">
        <v>17646</v>
      </c>
      <c r="U597">
        <v>21132</v>
      </c>
      <c r="V597" t="s">
        <v>77</v>
      </c>
    </row>
    <row r="598" spans="1:22">
      <c r="A598" t="str">
        <f t="shared" si="120"/>
        <v>04/09/2025</v>
      </c>
      <c r="B598" t="str">
        <f t="shared" si="121"/>
        <v>SAÍDA</v>
      </c>
      <c r="C598" t="str">
        <f t="shared" si="123"/>
        <v>PIX</v>
      </c>
      <c r="D598" t="str">
        <f>"21132"</f>
        <v>21132</v>
      </c>
      <c r="E598" t="str">
        <f t="shared" si="125"/>
        <v>1</v>
      </c>
      <c r="F598" t="str">
        <f t="shared" si="122"/>
        <v>COM</v>
      </c>
      <c r="G598" t="str">
        <f>"ELIENAI ROSA DO NASCIMENTO (343)"</f>
        <v>ELIENAI ROSA DO NASCIMENTO (343)</v>
      </c>
      <c r="H598" t="s">
        <v>240</v>
      </c>
      <c r="I598" t="str">
        <f t="shared" ref="I598:I639" si="126">("04/09/2025")</f>
        <v>04/09/2025</v>
      </c>
      <c r="J598" t="str">
        <f t="shared" si="124"/>
        <v>01/09/2025</v>
      </c>
      <c r="K598">
        <v>45904</v>
      </c>
      <c r="N598">
        <v>109</v>
      </c>
      <c r="O598" t="s">
        <v>24</v>
      </c>
      <c r="Q598">
        <v>890</v>
      </c>
      <c r="R598" t="str">
        <f>"DELTA LOJA 2 (10123)"</f>
        <v>DELTA LOJA 2 (10123)</v>
      </c>
      <c r="S598" t="s">
        <v>77</v>
      </c>
      <c r="T598">
        <v>17646</v>
      </c>
      <c r="U598">
        <v>21132</v>
      </c>
      <c r="V598" t="s">
        <v>77</v>
      </c>
    </row>
    <row r="599" spans="1:22">
      <c r="A599" t="str">
        <f t="shared" si="120"/>
        <v>04/09/2025</v>
      </c>
      <c r="B599" t="str">
        <f t="shared" si="121"/>
        <v>SAÍDA</v>
      </c>
      <c r="C599" t="str">
        <f t="shared" si="123"/>
        <v>PIX</v>
      </c>
      <c r="D599" t="str">
        <f>"21135"</f>
        <v>21135</v>
      </c>
      <c r="E599" t="str">
        <f t="shared" si="125"/>
        <v>1</v>
      </c>
      <c r="F599" t="str">
        <f t="shared" si="122"/>
        <v>COM</v>
      </c>
      <c r="G599" t="str">
        <f>"DANILO DE JESUS SANTOS (490)"</f>
        <v>DANILO DE JESUS SANTOS (490)</v>
      </c>
      <c r="H599" t="str">
        <f>"Serv.Prest. 25/08/2025 a 31/08/2025 - PIX: CELULAR - CHAVE: (73) 98191-0061"</f>
        <v>Serv.Prest. 25/08/2025 a 31/08/2025 - PIX: CELULAR - CHAVE: (73) 98191-0061</v>
      </c>
      <c r="I599" t="str">
        <f t="shared" si="126"/>
        <v>04/09/2025</v>
      </c>
      <c r="J599" t="str">
        <f t="shared" ref="J599:J633" si="127">("02/09/2025")</f>
        <v>02/09/2025</v>
      </c>
      <c r="K599" t="str">
        <f>("04/09/2025")</f>
        <v>04/09/2025</v>
      </c>
      <c r="L599">
        <v>702</v>
      </c>
      <c r="M599">
        <v>702</v>
      </c>
      <c r="N599">
        <v>109</v>
      </c>
      <c r="O599" t="str">
        <f>"PAGAMENTO DE ENTREGADORES"</f>
        <v>PAGAMENTO DE ENTREGADORES</v>
      </c>
      <c r="P599">
        <v>702</v>
      </c>
      <c r="S599" t="str">
        <f>"BANCO C6 (149)"</f>
        <v>BANCO C6 (149)</v>
      </c>
      <c r="T599">
        <v>17647</v>
      </c>
      <c r="U599">
        <v>21135</v>
      </c>
      <c r="V599" t="s">
        <v>77</v>
      </c>
    </row>
    <row r="600" spans="1:22">
      <c r="A600" t="str">
        <f t="shared" si="120"/>
        <v>04/09/2025</v>
      </c>
      <c r="B600" t="str">
        <f t="shared" si="121"/>
        <v>SAÍDA</v>
      </c>
      <c r="C600" t="str">
        <f t="shared" si="123"/>
        <v>PIX</v>
      </c>
      <c r="D600" t="str">
        <f>"21135"</f>
        <v>21135</v>
      </c>
      <c r="E600" t="str">
        <f t="shared" si="125"/>
        <v>1</v>
      </c>
      <c r="F600" t="str">
        <f t="shared" si="122"/>
        <v>COM</v>
      </c>
      <c r="G600" t="str">
        <f>"DANILO DE JESUS SANTOS (490)"</f>
        <v>DANILO DE JESUS SANTOS (490)</v>
      </c>
      <c r="H600" t="s">
        <v>241</v>
      </c>
      <c r="I600" t="str">
        <f t="shared" si="126"/>
        <v>04/09/2025</v>
      </c>
      <c r="J600" t="str">
        <f t="shared" si="127"/>
        <v>02/09/2025</v>
      </c>
      <c r="K600">
        <v>45904</v>
      </c>
      <c r="N600">
        <v>109</v>
      </c>
      <c r="O600" t="s">
        <v>24</v>
      </c>
      <c r="Q600">
        <v>702</v>
      </c>
      <c r="R600" t="str">
        <f>"FARMÁCIA INDIANA LJ 145 (10068)"</f>
        <v>FARMÁCIA INDIANA LJ 145 (10068)</v>
      </c>
      <c r="S600" t="s">
        <v>77</v>
      </c>
      <c r="T600">
        <v>17647</v>
      </c>
      <c r="U600">
        <v>21135</v>
      </c>
      <c r="V600" t="s">
        <v>77</v>
      </c>
    </row>
    <row r="601" spans="1:22">
      <c r="A601" t="str">
        <f t="shared" si="120"/>
        <v>04/09/2025</v>
      </c>
      <c r="B601" t="str">
        <f t="shared" si="121"/>
        <v>SAÍDA</v>
      </c>
      <c r="C601" t="str">
        <f t="shared" si="123"/>
        <v>PIX</v>
      </c>
      <c r="D601" t="str">
        <f>"21155"</f>
        <v>21155</v>
      </c>
      <c r="E601" t="str">
        <f t="shared" si="125"/>
        <v>1</v>
      </c>
      <c r="F601" t="str">
        <f t="shared" si="122"/>
        <v>COM</v>
      </c>
      <c r="G601" t="str">
        <f>"ROBSON OLIVEIRA DE JESUS (623)"</f>
        <v>ROBSON OLIVEIRA DE JESUS (623)</v>
      </c>
      <c r="H601" t="str">
        <f>"Serv.Prest. 25/08/2025 a 31/08/2025 - PIX: CPF - CHAVE: 009.265.655-24"</f>
        <v>Serv.Prest. 25/08/2025 a 31/08/2025 - PIX: CPF - CHAVE: 009.265.655-24</v>
      </c>
      <c r="I601" t="str">
        <f t="shared" si="126"/>
        <v>04/09/2025</v>
      </c>
      <c r="J601" t="str">
        <f t="shared" si="127"/>
        <v>02/09/2025</v>
      </c>
      <c r="K601" t="str">
        <f>("04/09/2025")</f>
        <v>04/09/2025</v>
      </c>
      <c r="L601">
        <v>702</v>
      </c>
      <c r="M601">
        <v>702</v>
      </c>
      <c r="N601">
        <v>109</v>
      </c>
      <c r="O601" t="str">
        <f>"PAGAMENTO DE ENTREGADORES"</f>
        <v>PAGAMENTO DE ENTREGADORES</v>
      </c>
      <c r="P601">
        <v>702</v>
      </c>
      <c r="S601" t="str">
        <f>"BANCO C6 (149)"</f>
        <v>BANCO C6 (149)</v>
      </c>
      <c r="T601">
        <v>17648</v>
      </c>
      <c r="U601">
        <v>21155</v>
      </c>
      <c r="V601" t="s">
        <v>77</v>
      </c>
    </row>
    <row r="602" spans="1:22">
      <c r="A602" t="str">
        <f t="shared" si="120"/>
        <v>04/09/2025</v>
      </c>
      <c r="B602" t="str">
        <f t="shared" si="121"/>
        <v>SAÍDA</v>
      </c>
      <c r="C602" t="str">
        <f t="shared" si="123"/>
        <v>PIX</v>
      </c>
      <c r="D602" t="str">
        <f>"21155"</f>
        <v>21155</v>
      </c>
      <c r="E602" t="str">
        <f t="shared" si="125"/>
        <v>1</v>
      </c>
      <c r="F602" t="str">
        <f t="shared" si="122"/>
        <v>COM</v>
      </c>
      <c r="G602" t="str">
        <f>"ROBSON OLIVEIRA DE JESUS (623)"</f>
        <v>ROBSON OLIVEIRA DE JESUS (623)</v>
      </c>
      <c r="H602" t="s">
        <v>242</v>
      </c>
      <c r="I602" t="str">
        <f t="shared" si="126"/>
        <v>04/09/2025</v>
      </c>
      <c r="J602" t="str">
        <f t="shared" si="127"/>
        <v>02/09/2025</v>
      </c>
      <c r="K602">
        <v>45904</v>
      </c>
      <c r="N602">
        <v>109</v>
      </c>
      <c r="O602" t="s">
        <v>24</v>
      </c>
      <c r="Q602">
        <v>702</v>
      </c>
      <c r="R602" t="str">
        <f>"FARMÁCIA INDIANA LJ 145 (10068)"</f>
        <v>FARMÁCIA INDIANA LJ 145 (10068)</v>
      </c>
      <c r="S602" t="s">
        <v>77</v>
      </c>
      <c r="T602">
        <v>17648</v>
      </c>
      <c r="U602">
        <v>21155</v>
      </c>
      <c r="V602" t="s">
        <v>77</v>
      </c>
    </row>
    <row r="603" spans="1:22">
      <c r="A603" t="str">
        <f t="shared" si="120"/>
        <v>04/09/2025</v>
      </c>
      <c r="B603" t="str">
        <f t="shared" si="121"/>
        <v>SAÍDA</v>
      </c>
      <c r="C603" t="str">
        <f t="shared" si="123"/>
        <v>PIX</v>
      </c>
      <c r="D603" t="str">
        <f>"21156"</f>
        <v>21156</v>
      </c>
      <c r="E603" t="str">
        <f t="shared" si="125"/>
        <v>1</v>
      </c>
      <c r="F603" t="str">
        <f t="shared" si="122"/>
        <v>COM</v>
      </c>
      <c r="G603" t="str">
        <f>"TALES DE JESUS OLIVEIRA (318)"</f>
        <v>TALES DE JESUS OLIVEIRA (318)</v>
      </c>
      <c r="H603" t="str">
        <f>"Serv.Prest. 25/08/2025 a 31/08/2025 - PIX: CPF - CHAVE: 378.223.888-51"</f>
        <v>Serv.Prest. 25/08/2025 a 31/08/2025 - PIX: CPF - CHAVE: 378.223.888-51</v>
      </c>
      <c r="I603" t="str">
        <f t="shared" si="126"/>
        <v>04/09/2025</v>
      </c>
      <c r="J603" t="str">
        <f t="shared" si="127"/>
        <v>02/09/2025</v>
      </c>
      <c r="K603" t="str">
        <f>("04/09/2025")</f>
        <v>04/09/2025</v>
      </c>
      <c r="L603">
        <v>702</v>
      </c>
      <c r="M603">
        <v>702</v>
      </c>
      <c r="N603">
        <v>109</v>
      </c>
      <c r="O603" t="str">
        <f>"PAGAMENTO DE ENTREGADORES"</f>
        <v>PAGAMENTO DE ENTREGADORES</v>
      </c>
      <c r="P603">
        <v>702</v>
      </c>
      <c r="S603" t="str">
        <f>"BANCO C6 (149)"</f>
        <v>BANCO C6 (149)</v>
      </c>
      <c r="T603">
        <v>17649</v>
      </c>
      <c r="U603">
        <v>21156</v>
      </c>
      <c r="V603" t="s">
        <v>77</v>
      </c>
    </row>
    <row r="604" spans="1:22">
      <c r="A604" t="str">
        <f t="shared" si="120"/>
        <v>04/09/2025</v>
      </c>
      <c r="B604" t="str">
        <f t="shared" ref="B604:B639" si="128">"SAÍDA"</f>
        <v>SAÍDA</v>
      </c>
      <c r="C604" t="str">
        <f t="shared" si="123"/>
        <v>PIX</v>
      </c>
      <c r="D604" t="str">
        <f>"21156"</f>
        <v>21156</v>
      </c>
      <c r="E604" t="str">
        <f t="shared" si="125"/>
        <v>1</v>
      </c>
      <c r="F604" t="str">
        <f t="shared" si="122"/>
        <v>COM</v>
      </c>
      <c r="G604" t="str">
        <f>"TALES DE JESUS OLIVEIRA (318)"</f>
        <v>TALES DE JESUS OLIVEIRA (318)</v>
      </c>
      <c r="H604" t="s">
        <v>243</v>
      </c>
      <c r="I604" t="str">
        <f t="shared" si="126"/>
        <v>04/09/2025</v>
      </c>
      <c r="J604" t="str">
        <f t="shared" si="127"/>
        <v>02/09/2025</v>
      </c>
      <c r="K604">
        <v>45904</v>
      </c>
      <c r="N604">
        <v>109</v>
      </c>
      <c r="O604" t="s">
        <v>24</v>
      </c>
      <c r="Q604">
        <v>702</v>
      </c>
      <c r="R604" t="str">
        <f>"FARMÁCIA INDIANA LJ 145 (10068)"</f>
        <v>FARMÁCIA INDIANA LJ 145 (10068)</v>
      </c>
      <c r="S604" t="s">
        <v>77</v>
      </c>
      <c r="T604">
        <v>17649</v>
      </c>
      <c r="U604">
        <v>21156</v>
      </c>
      <c r="V604" t="s">
        <v>77</v>
      </c>
    </row>
    <row r="605" spans="1:22">
      <c r="A605" t="str">
        <f t="shared" si="120"/>
        <v>04/09/2025</v>
      </c>
      <c r="B605" t="str">
        <f t="shared" si="128"/>
        <v>SAÍDA</v>
      </c>
      <c r="C605" t="str">
        <f t="shared" si="123"/>
        <v>PIX</v>
      </c>
      <c r="D605" t="str">
        <f>"21254"</f>
        <v>21254</v>
      </c>
      <c r="E605" t="str">
        <f t="shared" si="125"/>
        <v>1</v>
      </c>
      <c r="F605" t="str">
        <f t="shared" si="122"/>
        <v>COM</v>
      </c>
      <c r="G605" t="str">
        <f>"SAMUEL JADSON SANTANA RIBEIRO (55)"</f>
        <v>SAMUEL JADSON SANTANA RIBEIRO (55)</v>
      </c>
      <c r="H605" t="str">
        <f>"Serv.Prest. 25/08/2025 a 31/08/2025 - PIX: CPF - CHAVE: 701.955.866-62"</f>
        <v>Serv.Prest. 25/08/2025 a 31/08/2025 - PIX: CPF - CHAVE: 701.955.866-62</v>
      </c>
      <c r="I605" t="str">
        <f t="shared" si="126"/>
        <v>04/09/2025</v>
      </c>
      <c r="J605" t="str">
        <f t="shared" si="127"/>
        <v>02/09/2025</v>
      </c>
      <c r="K605" t="str">
        <f>("04/09/2025")</f>
        <v>04/09/2025</v>
      </c>
      <c r="L605">
        <v>882</v>
      </c>
      <c r="M605">
        <v>882</v>
      </c>
      <c r="N605">
        <v>109</v>
      </c>
      <c r="O605" t="str">
        <f>"PAGAMENTO DE ENTREGADORES"</f>
        <v>PAGAMENTO DE ENTREGADORES</v>
      </c>
      <c r="P605">
        <v>882</v>
      </c>
      <c r="S605" t="str">
        <f>"BANCO C6 (149)"</f>
        <v>BANCO C6 (149)</v>
      </c>
      <c r="T605">
        <v>17650</v>
      </c>
      <c r="U605">
        <v>21254</v>
      </c>
      <c r="V605" t="s">
        <v>77</v>
      </c>
    </row>
    <row r="606" spans="1:22">
      <c r="A606" t="str">
        <f t="shared" si="120"/>
        <v>04/09/2025</v>
      </c>
      <c r="B606" t="str">
        <f t="shared" si="128"/>
        <v>SAÍDA</v>
      </c>
      <c r="C606" t="str">
        <f t="shared" si="123"/>
        <v>PIX</v>
      </c>
      <c r="D606" t="str">
        <f>"21254"</f>
        <v>21254</v>
      </c>
      <c r="E606" t="str">
        <f t="shared" si="125"/>
        <v>1</v>
      </c>
      <c r="F606" t="str">
        <f t="shared" si="122"/>
        <v>COM</v>
      </c>
      <c r="G606" t="str">
        <f>"SAMUEL JADSON SANTANA RIBEIRO (55)"</f>
        <v>SAMUEL JADSON SANTANA RIBEIRO (55)</v>
      </c>
      <c r="H606" t="s">
        <v>244</v>
      </c>
      <c r="I606" t="str">
        <f t="shared" si="126"/>
        <v>04/09/2025</v>
      </c>
      <c r="J606" t="str">
        <f t="shared" si="127"/>
        <v>02/09/2025</v>
      </c>
      <c r="K606">
        <v>45904</v>
      </c>
      <c r="N606">
        <v>109</v>
      </c>
      <c r="O606" t="s">
        <v>24</v>
      </c>
      <c r="Q606">
        <v>882</v>
      </c>
      <c r="R606" t="str">
        <f>"FARMÁCIA INDIANA LJ 07 (10007)"</f>
        <v>FARMÁCIA INDIANA LJ 07 (10007)</v>
      </c>
      <c r="S606" t="s">
        <v>77</v>
      </c>
      <c r="T606">
        <v>17650</v>
      </c>
      <c r="U606">
        <v>21254</v>
      </c>
      <c r="V606" t="s">
        <v>77</v>
      </c>
    </row>
    <row r="607" spans="1:22">
      <c r="A607" t="str">
        <f t="shared" si="120"/>
        <v>04/09/2025</v>
      </c>
      <c r="B607" t="str">
        <f t="shared" si="128"/>
        <v>SAÍDA</v>
      </c>
      <c r="C607" t="str">
        <f t="shared" si="123"/>
        <v>PIX</v>
      </c>
      <c r="D607" t="str">
        <f>"21259"</f>
        <v>21259</v>
      </c>
      <c r="E607" t="str">
        <f t="shared" si="125"/>
        <v>1</v>
      </c>
      <c r="F607" t="str">
        <f t="shared" si="122"/>
        <v>COM</v>
      </c>
      <c r="G607" t="str">
        <f>"THALES VIANA DOS SANTOS (63)"</f>
        <v>THALES VIANA DOS SANTOS (63)</v>
      </c>
      <c r="H607" t="str">
        <f>"Serv.Prest. 25/08/2025 a 31/08/2025 - PIX: CELULAR - CHAVE: (33) 99880-7941"</f>
        <v>Serv.Prest. 25/08/2025 a 31/08/2025 - PIX: CELULAR - CHAVE: (33) 99880-7941</v>
      </c>
      <c r="I607" t="str">
        <f t="shared" si="126"/>
        <v>04/09/2025</v>
      </c>
      <c r="J607" t="str">
        <f t="shared" si="127"/>
        <v>02/09/2025</v>
      </c>
      <c r="K607" t="str">
        <f>("04/09/2025")</f>
        <v>04/09/2025</v>
      </c>
      <c r="L607">
        <v>696</v>
      </c>
      <c r="M607">
        <v>696</v>
      </c>
      <c r="N607">
        <v>109</v>
      </c>
      <c r="O607" t="str">
        <f>"PAGAMENTO DE ENTREGADORES"</f>
        <v>PAGAMENTO DE ENTREGADORES</v>
      </c>
      <c r="P607">
        <v>696</v>
      </c>
      <c r="S607" t="str">
        <f>"BANCO C6 (149)"</f>
        <v>BANCO C6 (149)</v>
      </c>
      <c r="T607">
        <v>17651</v>
      </c>
      <c r="U607">
        <v>21259</v>
      </c>
      <c r="V607" t="s">
        <v>77</v>
      </c>
    </row>
    <row r="608" spans="1:22">
      <c r="A608" t="str">
        <f t="shared" si="120"/>
        <v>04/09/2025</v>
      </c>
      <c r="B608" t="str">
        <f t="shared" si="128"/>
        <v>SAÍDA</v>
      </c>
      <c r="C608" t="str">
        <f t="shared" si="123"/>
        <v>PIX</v>
      </c>
      <c r="D608" t="str">
        <f>"21259"</f>
        <v>21259</v>
      </c>
      <c r="E608" t="str">
        <f t="shared" si="125"/>
        <v>1</v>
      </c>
      <c r="F608" t="str">
        <f t="shared" si="122"/>
        <v>COM</v>
      </c>
      <c r="G608" t="str">
        <f>"THALES VIANA DOS SANTOS (63)"</f>
        <v>THALES VIANA DOS SANTOS (63)</v>
      </c>
      <c r="H608" t="s">
        <v>245</v>
      </c>
      <c r="I608" t="str">
        <f t="shared" si="126"/>
        <v>04/09/2025</v>
      </c>
      <c r="J608" t="str">
        <f t="shared" si="127"/>
        <v>02/09/2025</v>
      </c>
      <c r="K608">
        <v>45904</v>
      </c>
      <c r="N608">
        <v>109</v>
      </c>
      <c r="O608" t="s">
        <v>24</v>
      </c>
      <c r="Q608">
        <v>696</v>
      </c>
      <c r="R608" t="str">
        <f>"FARMÁCIA INDIANA LJ 07 (10007)"</f>
        <v>FARMÁCIA INDIANA LJ 07 (10007)</v>
      </c>
      <c r="S608" t="s">
        <v>77</v>
      </c>
      <c r="T608">
        <v>17651</v>
      </c>
      <c r="U608">
        <v>21259</v>
      </c>
      <c r="V608" t="s">
        <v>77</v>
      </c>
    </row>
    <row r="609" spans="1:22">
      <c r="A609" t="str">
        <f t="shared" si="120"/>
        <v>04/09/2025</v>
      </c>
      <c r="B609" t="str">
        <f t="shared" si="128"/>
        <v>SAÍDA</v>
      </c>
      <c r="C609" t="str">
        <f t="shared" si="123"/>
        <v>PIX</v>
      </c>
      <c r="D609" t="str">
        <f>"21268"</f>
        <v>21268</v>
      </c>
      <c r="E609" t="str">
        <f t="shared" si="125"/>
        <v>1</v>
      </c>
      <c r="F609" t="str">
        <f t="shared" si="122"/>
        <v>COM</v>
      </c>
      <c r="G609" t="str">
        <f>"WEIGNE SENA CARDOSO (53)"</f>
        <v>WEIGNE SENA CARDOSO (53)</v>
      </c>
      <c r="H609" t="str">
        <f>"Serv.Prest. 25/08/2025 a 31/08/2025 - PIX: CPF - CHAVE: 097.245.586-81"</f>
        <v>Serv.Prest. 25/08/2025 a 31/08/2025 - PIX: CPF - CHAVE: 097.245.586-81</v>
      </c>
      <c r="I609" t="str">
        <f t="shared" si="126"/>
        <v>04/09/2025</v>
      </c>
      <c r="J609" t="str">
        <f t="shared" si="127"/>
        <v>02/09/2025</v>
      </c>
      <c r="K609" t="str">
        <f>("04/09/2025")</f>
        <v>04/09/2025</v>
      </c>
      <c r="L609">
        <v>461.67</v>
      </c>
      <c r="M609">
        <v>461.67</v>
      </c>
      <c r="N609">
        <v>109</v>
      </c>
      <c r="O609" t="str">
        <f>"PAGAMENTO DE ENTREGADORES"</f>
        <v>PAGAMENTO DE ENTREGADORES</v>
      </c>
      <c r="P609">
        <v>461.67</v>
      </c>
      <c r="S609" t="str">
        <f>"BANCO C6 (149)"</f>
        <v>BANCO C6 (149)</v>
      </c>
      <c r="T609">
        <v>17652</v>
      </c>
      <c r="U609">
        <v>21268</v>
      </c>
      <c r="V609" t="s">
        <v>77</v>
      </c>
    </row>
    <row r="610" spans="1:22">
      <c r="A610" t="str">
        <f t="shared" si="120"/>
        <v>04/09/2025</v>
      </c>
      <c r="B610" t="str">
        <f t="shared" si="128"/>
        <v>SAÍDA</v>
      </c>
      <c r="C610" t="str">
        <f t="shared" si="123"/>
        <v>PIX</v>
      </c>
      <c r="D610" t="str">
        <f>"21268"</f>
        <v>21268</v>
      </c>
      <c r="E610" t="str">
        <f t="shared" si="125"/>
        <v>1</v>
      </c>
      <c r="F610" t="str">
        <f t="shared" si="122"/>
        <v>COM</v>
      </c>
      <c r="G610" t="str">
        <f>"WEIGNE SENA CARDOSO (53)"</f>
        <v>WEIGNE SENA CARDOSO (53)</v>
      </c>
      <c r="H610" t="s">
        <v>63</v>
      </c>
      <c r="I610" t="str">
        <f t="shared" si="126"/>
        <v>04/09/2025</v>
      </c>
      <c r="J610" t="str">
        <f t="shared" si="127"/>
        <v>02/09/2025</v>
      </c>
      <c r="K610">
        <v>45904</v>
      </c>
      <c r="N610">
        <v>109</v>
      </c>
      <c r="O610" t="s">
        <v>24</v>
      </c>
      <c r="Q610">
        <v>461.67</v>
      </c>
      <c r="R610" t="str">
        <f>"FARMÁCIA INDIANA LJ 07 (10007)"</f>
        <v>FARMÁCIA INDIANA LJ 07 (10007)</v>
      </c>
      <c r="S610" t="s">
        <v>77</v>
      </c>
      <c r="T610">
        <v>17652</v>
      </c>
      <c r="U610">
        <v>21268</v>
      </c>
      <c r="V610" t="s">
        <v>77</v>
      </c>
    </row>
    <row r="611" spans="1:22">
      <c r="A611" t="str">
        <f t="shared" si="120"/>
        <v>04/09/2025</v>
      </c>
      <c r="B611" t="str">
        <f t="shared" si="128"/>
        <v>SAÍDA</v>
      </c>
      <c r="C611" t="str">
        <f t="shared" si="123"/>
        <v>PIX</v>
      </c>
      <c r="D611" t="str">
        <f>"21276"</f>
        <v>21276</v>
      </c>
      <c r="E611" t="str">
        <f t="shared" si="125"/>
        <v>1</v>
      </c>
      <c r="F611" t="str">
        <f t="shared" si="122"/>
        <v>COM</v>
      </c>
      <c r="G611" t="str">
        <f>"JONATAS GABRIEL PEREIRA SILVA (662)"</f>
        <v>JONATAS GABRIEL PEREIRA SILVA (662)</v>
      </c>
      <c r="H611" t="str">
        <f>"Serv.Prest. 25/08/2025 a 31/08/2025 - PIX: CELULAR - CHAVE: (64) 98118-5132"</f>
        <v>Serv.Prest. 25/08/2025 a 31/08/2025 - PIX: CELULAR - CHAVE: (64) 98118-5132</v>
      </c>
      <c r="I611" t="str">
        <f t="shared" si="126"/>
        <v>04/09/2025</v>
      </c>
      <c r="J611" t="str">
        <f t="shared" si="127"/>
        <v>02/09/2025</v>
      </c>
      <c r="K611" t="str">
        <f>("04/09/2025")</f>
        <v>04/09/2025</v>
      </c>
      <c r="L611">
        <v>693</v>
      </c>
      <c r="M611">
        <v>693</v>
      </c>
      <c r="N611">
        <v>109</v>
      </c>
      <c r="O611" t="str">
        <f>"PAGAMENTO DE ENTREGADORES"</f>
        <v>PAGAMENTO DE ENTREGADORES</v>
      </c>
      <c r="P611">
        <v>693</v>
      </c>
      <c r="S611" t="str">
        <f>"BANCO C6 (149)"</f>
        <v>BANCO C6 (149)</v>
      </c>
      <c r="T611">
        <v>17653</v>
      </c>
      <c r="U611">
        <v>21276</v>
      </c>
      <c r="V611" t="s">
        <v>77</v>
      </c>
    </row>
    <row r="612" spans="1:22">
      <c r="A612" t="str">
        <f t="shared" si="120"/>
        <v>04/09/2025</v>
      </c>
      <c r="B612" t="str">
        <f t="shared" si="128"/>
        <v>SAÍDA</v>
      </c>
      <c r="C612" t="str">
        <f t="shared" si="123"/>
        <v>PIX</v>
      </c>
      <c r="D612" t="str">
        <f>"21276"</f>
        <v>21276</v>
      </c>
      <c r="E612" t="str">
        <f t="shared" si="125"/>
        <v>1</v>
      </c>
      <c r="F612" t="str">
        <f t="shared" si="122"/>
        <v>COM</v>
      </c>
      <c r="G612" t="str">
        <f>"JONATAS GABRIEL PEREIRA SILVA (662)"</f>
        <v>JONATAS GABRIEL PEREIRA SILVA (662)</v>
      </c>
      <c r="H612" t="s">
        <v>246</v>
      </c>
      <c r="I612" t="str">
        <f t="shared" si="126"/>
        <v>04/09/2025</v>
      </c>
      <c r="J612" t="str">
        <f t="shared" si="127"/>
        <v>02/09/2025</v>
      </c>
      <c r="K612">
        <v>45904</v>
      </c>
      <c r="N612">
        <v>109</v>
      </c>
      <c r="O612" t="s">
        <v>24</v>
      </c>
      <c r="Q612">
        <v>693</v>
      </c>
      <c r="R612" t="str">
        <f>"FARMACIA ECONOMIZE (10103)"</f>
        <v>FARMACIA ECONOMIZE (10103)</v>
      </c>
      <c r="S612" t="s">
        <v>77</v>
      </c>
      <c r="T612">
        <v>17653</v>
      </c>
      <c r="U612">
        <v>21276</v>
      </c>
      <c r="V612" t="s">
        <v>77</v>
      </c>
    </row>
    <row r="613" spans="1:22">
      <c r="A613" t="str">
        <f t="shared" si="120"/>
        <v>04/09/2025</v>
      </c>
      <c r="B613" t="str">
        <f t="shared" si="128"/>
        <v>SAÍDA</v>
      </c>
      <c r="C613" t="str">
        <f t="shared" si="123"/>
        <v>PIX</v>
      </c>
      <c r="D613" t="str">
        <f>"21277"</f>
        <v>21277</v>
      </c>
      <c r="E613" t="str">
        <f t="shared" si="125"/>
        <v>1</v>
      </c>
      <c r="F613" t="str">
        <f t="shared" si="122"/>
        <v>COM</v>
      </c>
      <c r="G613" t="str">
        <f>"WILLIAM DA SILVA COSTA (655)"</f>
        <v>WILLIAM DA SILVA COSTA (655)</v>
      </c>
      <c r="H613" t="str">
        <f>"Serv.Prest. 25/08/2025 a 31/08/2025 - PIX: CELULAR - CHAVE: (64) 97400-9101"</f>
        <v>Serv.Prest. 25/08/2025 a 31/08/2025 - PIX: CELULAR - CHAVE: (64) 97400-9101</v>
      </c>
      <c r="I613" t="str">
        <f t="shared" si="126"/>
        <v>04/09/2025</v>
      </c>
      <c r="J613" t="str">
        <f t="shared" si="127"/>
        <v>02/09/2025</v>
      </c>
      <c r="K613" t="str">
        <f>("04/09/2025")</f>
        <v>04/09/2025</v>
      </c>
      <c r="L613">
        <v>1463</v>
      </c>
      <c r="M613">
        <v>1463</v>
      </c>
      <c r="N613">
        <v>109</v>
      </c>
      <c r="O613" t="str">
        <f>"PAGAMENTO DE ENTREGADORES"</f>
        <v>PAGAMENTO DE ENTREGADORES</v>
      </c>
      <c r="P613">
        <v>1463</v>
      </c>
      <c r="S613" t="str">
        <f>"BANCO C6 (149)"</f>
        <v>BANCO C6 (149)</v>
      </c>
      <c r="T613">
        <v>17654</v>
      </c>
      <c r="U613">
        <v>21277</v>
      </c>
      <c r="V613" t="s">
        <v>77</v>
      </c>
    </row>
    <row r="614" spans="1:22">
      <c r="A614" t="str">
        <f t="shared" si="120"/>
        <v>04/09/2025</v>
      </c>
      <c r="B614" t="str">
        <f t="shared" si="128"/>
        <v>SAÍDA</v>
      </c>
      <c r="C614" t="str">
        <f t="shared" si="123"/>
        <v>PIX</v>
      </c>
      <c r="D614" t="str">
        <f>"21277"</f>
        <v>21277</v>
      </c>
      <c r="E614" t="str">
        <f t="shared" si="125"/>
        <v>1</v>
      </c>
      <c r="F614" t="str">
        <f t="shared" si="122"/>
        <v>COM</v>
      </c>
      <c r="G614" t="str">
        <f>"WILLIAM DA SILVA COSTA (655)"</f>
        <v>WILLIAM DA SILVA COSTA (655)</v>
      </c>
      <c r="H614" t="s">
        <v>247</v>
      </c>
      <c r="I614" t="str">
        <f t="shared" si="126"/>
        <v>04/09/2025</v>
      </c>
      <c r="J614" t="str">
        <f t="shared" si="127"/>
        <v>02/09/2025</v>
      </c>
      <c r="K614">
        <v>45904</v>
      </c>
      <c r="N614">
        <v>109</v>
      </c>
      <c r="O614" t="s">
        <v>24</v>
      </c>
      <c r="Q614">
        <v>1463</v>
      </c>
      <c r="R614" t="str">
        <f>"FARMACIA ECONOMIZE (10103)"</f>
        <v>FARMACIA ECONOMIZE (10103)</v>
      </c>
      <c r="S614" t="s">
        <v>77</v>
      </c>
      <c r="T614">
        <v>17654</v>
      </c>
      <c r="U614">
        <v>21277</v>
      </c>
      <c r="V614" t="s">
        <v>77</v>
      </c>
    </row>
    <row r="615" spans="1:22">
      <c r="A615" t="str">
        <f t="shared" si="120"/>
        <v>04/09/2025</v>
      </c>
      <c r="B615" t="str">
        <f t="shared" si="128"/>
        <v>SAÍDA</v>
      </c>
      <c r="C615" t="str">
        <f t="shared" si="123"/>
        <v>PIX</v>
      </c>
      <c r="D615" t="str">
        <f>"21280"</f>
        <v>21280</v>
      </c>
      <c r="E615" t="str">
        <f t="shared" si="125"/>
        <v>1</v>
      </c>
      <c r="F615" t="str">
        <f t="shared" si="122"/>
        <v>COM</v>
      </c>
      <c r="G615" t="str">
        <f>"BRENO HENRIQUE DE SOUSA (596)"</f>
        <v>BRENO HENRIQUE DE SOUSA (596)</v>
      </c>
      <c r="H615" t="str">
        <f>"Serv.Prest. 25/08/2025 a 31/08/2025 - PIX: CELULAR - CHAVE: (37) 99146-2630"</f>
        <v>Serv.Prest. 25/08/2025 a 31/08/2025 - PIX: CELULAR - CHAVE: (37) 99146-2630</v>
      </c>
      <c r="I615" t="str">
        <f t="shared" si="126"/>
        <v>04/09/2025</v>
      </c>
      <c r="J615" t="str">
        <f t="shared" si="127"/>
        <v>02/09/2025</v>
      </c>
      <c r="K615" t="str">
        <f>("04/09/2025")</f>
        <v>04/09/2025</v>
      </c>
      <c r="L615">
        <v>1080</v>
      </c>
      <c r="M615">
        <v>1080</v>
      </c>
      <c r="N615">
        <v>109</v>
      </c>
      <c r="O615" t="str">
        <f>"PAGAMENTO DE ENTREGADORES"</f>
        <v>PAGAMENTO DE ENTREGADORES</v>
      </c>
      <c r="P615">
        <v>1080</v>
      </c>
      <c r="S615" t="str">
        <f>"BANCO C6 (149)"</f>
        <v>BANCO C6 (149)</v>
      </c>
      <c r="T615">
        <v>17655</v>
      </c>
      <c r="U615">
        <v>21280</v>
      </c>
      <c r="V615" t="s">
        <v>77</v>
      </c>
    </row>
    <row r="616" spans="1:22">
      <c r="A616" t="str">
        <f t="shared" si="120"/>
        <v>04/09/2025</v>
      </c>
      <c r="B616" t="str">
        <f t="shared" si="128"/>
        <v>SAÍDA</v>
      </c>
      <c r="C616" t="str">
        <f t="shared" si="123"/>
        <v>PIX</v>
      </c>
      <c r="D616" t="str">
        <f>"21280"</f>
        <v>21280</v>
      </c>
      <c r="E616" t="str">
        <f t="shared" si="125"/>
        <v>1</v>
      </c>
      <c r="F616" t="str">
        <f t="shared" si="122"/>
        <v>COM</v>
      </c>
      <c r="G616" t="str">
        <f>"BRENO HENRIQUE DE SOUSA (596)"</f>
        <v>BRENO HENRIQUE DE SOUSA (596)</v>
      </c>
      <c r="H616" t="s">
        <v>248</v>
      </c>
      <c r="I616" t="str">
        <f t="shared" si="126"/>
        <v>04/09/2025</v>
      </c>
      <c r="J616" t="str">
        <f t="shared" si="127"/>
        <v>02/09/2025</v>
      </c>
      <c r="K616">
        <v>45904</v>
      </c>
      <c r="N616">
        <v>109</v>
      </c>
      <c r="O616" t="s">
        <v>24</v>
      </c>
      <c r="Q616">
        <v>1080</v>
      </c>
      <c r="R616" t="str">
        <f>"DROGARIA POUPA MINAS (ULTRAMINAS) 1 (10181)"</f>
        <v>DROGARIA POUPA MINAS (ULTRAMINAS) 1 (10181)</v>
      </c>
      <c r="S616" t="s">
        <v>77</v>
      </c>
      <c r="T616">
        <v>17655</v>
      </c>
      <c r="U616">
        <v>21280</v>
      </c>
      <c r="V616" t="s">
        <v>77</v>
      </c>
    </row>
    <row r="617" spans="1:22">
      <c r="A617" t="str">
        <f t="shared" si="120"/>
        <v>04/09/2025</v>
      </c>
      <c r="B617" t="str">
        <f t="shared" si="128"/>
        <v>SAÍDA</v>
      </c>
      <c r="C617" t="str">
        <f t="shared" si="123"/>
        <v>PIX</v>
      </c>
      <c r="D617" t="str">
        <f>"21281"</f>
        <v>21281</v>
      </c>
      <c r="E617" t="str">
        <f t="shared" si="125"/>
        <v>1</v>
      </c>
      <c r="F617" t="str">
        <f t="shared" si="122"/>
        <v>COM</v>
      </c>
      <c r="G617" t="str">
        <f>"LUIZ PAULO DE OLIVEIRA (712)"</f>
        <v>LUIZ PAULO DE OLIVEIRA (712)</v>
      </c>
      <c r="H617" t="str">
        <f>"Serv.Prest. 25/08/2025 a 31/08/2025 - PIX: CPF - CHAVE: 090.332.006-19"</f>
        <v>Serv.Prest. 25/08/2025 a 31/08/2025 - PIX: CPF - CHAVE: 090.332.006-19</v>
      </c>
      <c r="I617" t="str">
        <f t="shared" si="126"/>
        <v>04/09/2025</v>
      </c>
      <c r="J617" t="str">
        <f t="shared" si="127"/>
        <v>02/09/2025</v>
      </c>
      <c r="K617" t="str">
        <f>("04/09/2025")</f>
        <v>04/09/2025</v>
      </c>
      <c r="L617">
        <v>1080</v>
      </c>
      <c r="M617">
        <v>1080</v>
      </c>
      <c r="N617">
        <v>109</v>
      </c>
      <c r="O617" t="str">
        <f>"PAGAMENTO DE ENTREGADORES"</f>
        <v>PAGAMENTO DE ENTREGADORES</v>
      </c>
      <c r="P617">
        <v>1080</v>
      </c>
      <c r="S617" t="str">
        <f>"BANCO C6 (149)"</f>
        <v>BANCO C6 (149)</v>
      </c>
      <c r="T617">
        <v>17656</v>
      </c>
      <c r="U617">
        <v>21281</v>
      </c>
      <c r="V617" t="s">
        <v>77</v>
      </c>
    </row>
    <row r="618" spans="1:22">
      <c r="A618" t="str">
        <f t="shared" si="120"/>
        <v>04/09/2025</v>
      </c>
      <c r="B618" t="str">
        <f t="shared" si="128"/>
        <v>SAÍDA</v>
      </c>
      <c r="C618" t="str">
        <f t="shared" si="123"/>
        <v>PIX</v>
      </c>
      <c r="D618" t="str">
        <f>"21281"</f>
        <v>21281</v>
      </c>
      <c r="E618" t="str">
        <f t="shared" si="125"/>
        <v>1</v>
      </c>
      <c r="F618" t="str">
        <f t="shared" si="122"/>
        <v>COM</v>
      </c>
      <c r="G618" t="str">
        <f>"LUIZ PAULO DE OLIVEIRA (712)"</f>
        <v>LUIZ PAULO DE OLIVEIRA (712)</v>
      </c>
      <c r="H618" t="s">
        <v>249</v>
      </c>
      <c r="I618" t="str">
        <f t="shared" si="126"/>
        <v>04/09/2025</v>
      </c>
      <c r="J618" t="str">
        <f t="shared" si="127"/>
        <v>02/09/2025</v>
      </c>
      <c r="K618">
        <v>45904</v>
      </c>
      <c r="N618">
        <v>109</v>
      </c>
      <c r="O618" t="s">
        <v>24</v>
      </c>
      <c r="Q618">
        <v>1080</v>
      </c>
      <c r="R618" t="str">
        <f>"DROGARIA POUPA MINAS (ULTRAMINAS) 1 (10181)"</f>
        <v>DROGARIA POUPA MINAS (ULTRAMINAS) 1 (10181)</v>
      </c>
      <c r="S618" t="s">
        <v>77</v>
      </c>
      <c r="T618">
        <v>17656</v>
      </c>
      <c r="U618">
        <v>21281</v>
      </c>
      <c r="V618" t="s">
        <v>77</v>
      </c>
    </row>
    <row r="619" spans="1:22">
      <c r="A619" t="str">
        <f t="shared" si="120"/>
        <v>04/09/2025</v>
      </c>
      <c r="B619" t="str">
        <f t="shared" si="128"/>
        <v>SAÍDA</v>
      </c>
      <c r="C619" t="str">
        <f t="shared" si="123"/>
        <v>PIX</v>
      </c>
      <c r="D619" t="str">
        <f>"21282"</f>
        <v>21282</v>
      </c>
      <c r="E619" t="str">
        <f t="shared" si="125"/>
        <v>1</v>
      </c>
      <c r="F619" t="str">
        <f t="shared" si="122"/>
        <v>COM</v>
      </c>
      <c r="G619" t="str">
        <f>"RICHARD HENRIQUE DA SILVA (244)"</f>
        <v>RICHARD HENRIQUE DA SILVA (244)</v>
      </c>
      <c r="H619" t="str">
        <f>"Serv.Prest. 25/08/2025 a 31/08/2025 - PIX: CELULAR - CHAVE: (37) 99197-6834"</f>
        <v>Serv.Prest. 25/08/2025 a 31/08/2025 - PIX: CELULAR - CHAVE: (37) 99197-6834</v>
      </c>
      <c r="I619" t="str">
        <f t="shared" si="126"/>
        <v>04/09/2025</v>
      </c>
      <c r="J619" t="str">
        <f t="shared" si="127"/>
        <v>02/09/2025</v>
      </c>
      <c r="K619" t="str">
        <f>("04/09/2025")</f>
        <v>04/09/2025</v>
      </c>
      <c r="L619">
        <v>1740</v>
      </c>
      <c r="M619">
        <v>1740</v>
      </c>
      <c r="N619">
        <v>109</v>
      </c>
      <c r="O619" t="str">
        <f>"PAGAMENTO DE ENTREGADORES"</f>
        <v>PAGAMENTO DE ENTREGADORES</v>
      </c>
      <c r="P619">
        <v>1740</v>
      </c>
      <c r="S619" t="str">
        <f>"BANCO C6 (149)"</f>
        <v>BANCO C6 (149)</v>
      </c>
      <c r="T619">
        <v>17657</v>
      </c>
      <c r="U619">
        <v>21282</v>
      </c>
      <c r="V619" t="s">
        <v>77</v>
      </c>
    </row>
    <row r="620" spans="1:22">
      <c r="A620" t="str">
        <f t="shared" si="120"/>
        <v>04/09/2025</v>
      </c>
      <c r="B620" t="str">
        <f t="shared" si="128"/>
        <v>SAÍDA</v>
      </c>
      <c r="C620" t="str">
        <f t="shared" si="123"/>
        <v>PIX</v>
      </c>
      <c r="D620" t="str">
        <f>"21282"</f>
        <v>21282</v>
      </c>
      <c r="E620" t="str">
        <f t="shared" si="125"/>
        <v>1</v>
      </c>
      <c r="F620" t="str">
        <f t="shared" si="122"/>
        <v>COM</v>
      </c>
      <c r="G620" t="str">
        <f>"RICHARD HENRIQUE DA SILVA (244)"</f>
        <v>RICHARD HENRIQUE DA SILVA (244)</v>
      </c>
      <c r="H620" t="s">
        <v>250</v>
      </c>
      <c r="I620" t="str">
        <f t="shared" si="126"/>
        <v>04/09/2025</v>
      </c>
      <c r="J620" t="str">
        <f t="shared" si="127"/>
        <v>02/09/2025</v>
      </c>
      <c r="K620">
        <v>45904</v>
      </c>
      <c r="N620">
        <v>109</v>
      </c>
      <c r="O620" t="s">
        <v>24</v>
      </c>
      <c r="Q620">
        <v>1740</v>
      </c>
      <c r="R620" t="str">
        <f>"DROGARIA POUPA MINAS (ULTRAMINAS) 1 (10181)"</f>
        <v>DROGARIA POUPA MINAS (ULTRAMINAS) 1 (10181)</v>
      </c>
      <c r="S620" t="s">
        <v>77</v>
      </c>
      <c r="T620">
        <v>17657</v>
      </c>
      <c r="U620">
        <v>21282</v>
      </c>
      <c r="V620" t="s">
        <v>77</v>
      </c>
    </row>
    <row r="621" spans="1:22">
      <c r="A621" t="str">
        <f t="shared" si="120"/>
        <v>04/09/2025</v>
      </c>
      <c r="B621" t="str">
        <f t="shared" si="128"/>
        <v>SAÍDA</v>
      </c>
      <c r="C621" t="str">
        <f t="shared" si="123"/>
        <v>PIX</v>
      </c>
      <c r="D621" t="str">
        <f>"21283"</f>
        <v>21283</v>
      </c>
      <c r="E621" t="str">
        <f t="shared" si="125"/>
        <v>1</v>
      </c>
      <c r="F621" t="str">
        <f t="shared" si="122"/>
        <v>COM</v>
      </c>
      <c r="G621" t="str">
        <f>"ROGERIO AUGUSTO FERREIRA (649)"</f>
        <v>ROGERIO AUGUSTO FERREIRA (649)</v>
      </c>
      <c r="H621" t="str">
        <f>"Serv.Prest. 25/08/2025 a 31/08/2025 - PIX: CPF - CHAVE: 950.176.406-06"</f>
        <v>Serv.Prest. 25/08/2025 a 31/08/2025 - PIX: CPF - CHAVE: 950.176.406-06</v>
      </c>
      <c r="I621" t="str">
        <f t="shared" si="126"/>
        <v>04/09/2025</v>
      </c>
      <c r="J621" t="str">
        <f t="shared" si="127"/>
        <v>02/09/2025</v>
      </c>
      <c r="K621" t="str">
        <f>("04/09/2025")</f>
        <v>04/09/2025</v>
      </c>
      <c r="L621">
        <v>630</v>
      </c>
      <c r="M621">
        <v>630</v>
      </c>
      <c r="N621">
        <v>109</v>
      </c>
      <c r="O621" t="str">
        <f>"PAGAMENTO DE ENTREGADORES"</f>
        <v>PAGAMENTO DE ENTREGADORES</v>
      </c>
      <c r="P621">
        <v>630</v>
      </c>
      <c r="S621" t="str">
        <f>"BANCO C6 (149)"</f>
        <v>BANCO C6 (149)</v>
      </c>
      <c r="T621">
        <v>17658</v>
      </c>
      <c r="U621">
        <v>21283</v>
      </c>
      <c r="V621" t="s">
        <v>77</v>
      </c>
    </row>
    <row r="622" spans="1:22">
      <c r="A622" t="str">
        <f t="shared" si="120"/>
        <v>04/09/2025</v>
      </c>
      <c r="B622" t="str">
        <f t="shared" si="128"/>
        <v>SAÍDA</v>
      </c>
      <c r="C622" t="str">
        <f t="shared" si="123"/>
        <v>PIX</v>
      </c>
      <c r="D622" t="str">
        <f>"21283"</f>
        <v>21283</v>
      </c>
      <c r="E622" t="str">
        <f t="shared" si="125"/>
        <v>1</v>
      </c>
      <c r="F622" t="str">
        <f t="shared" si="122"/>
        <v>COM</v>
      </c>
      <c r="G622" t="str">
        <f>"ROGERIO AUGUSTO FERREIRA (649)"</f>
        <v>ROGERIO AUGUSTO FERREIRA (649)</v>
      </c>
      <c r="H622" t="s">
        <v>251</v>
      </c>
      <c r="I622" t="str">
        <f t="shared" si="126"/>
        <v>04/09/2025</v>
      </c>
      <c r="J622" t="str">
        <f t="shared" si="127"/>
        <v>02/09/2025</v>
      </c>
      <c r="K622">
        <v>45904</v>
      </c>
      <c r="N622">
        <v>109</v>
      </c>
      <c r="O622" t="s">
        <v>24</v>
      </c>
      <c r="Q622">
        <v>630</v>
      </c>
      <c r="R622" t="str">
        <f>"DROGARIA POUPA MINAS (ULTRAMINAS) 1 (10181)"</f>
        <v>DROGARIA POUPA MINAS (ULTRAMINAS) 1 (10181)</v>
      </c>
      <c r="S622" t="s">
        <v>77</v>
      </c>
      <c r="T622">
        <v>17658</v>
      </c>
      <c r="U622">
        <v>21283</v>
      </c>
      <c r="V622" t="s">
        <v>77</v>
      </c>
    </row>
    <row r="623" spans="1:22">
      <c r="A623" t="str">
        <f t="shared" si="120"/>
        <v>04/09/2025</v>
      </c>
      <c r="B623" t="str">
        <f t="shared" si="128"/>
        <v>SAÍDA</v>
      </c>
      <c r="C623" t="str">
        <f t="shared" si="123"/>
        <v>PIX</v>
      </c>
      <c r="D623" t="str">
        <f>"21284"</f>
        <v>21284</v>
      </c>
      <c r="E623" t="str">
        <f t="shared" si="125"/>
        <v>1</v>
      </c>
      <c r="F623" t="str">
        <f t="shared" si="122"/>
        <v>COM</v>
      </c>
      <c r="G623" t="str">
        <f>"THALES VINÍCIUS RODRIGUES DE OLIVEIRA (704)"</f>
        <v>THALES VINÍCIUS RODRIGUES DE OLIVEIRA (704)</v>
      </c>
      <c r="H623" t="str">
        <f>"Serv.Prest. 25/08/2025 a 31/08/2025 - PIX: CELULAR - CHAVE: (37) 99138-1777"</f>
        <v>Serv.Prest. 25/08/2025 a 31/08/2025 - PIX: CELULAR - CHAVE: (37) 99138-1777</v>
      </c>
      <c r="I623" t="str">
        <f t="shared" si="126"/>
        <v>04/09/2025</v>
      </c>
      <c r="J623" t="str">
        <f t="shared" si="127"/>
        <v>02/09/2025</v>
      </c>
      <c r="K623" t="str">
        <f>("04/09/2025")</f>
        <v>04/09/2025</v>
      </c>
      <c r="L623">
        <v>990</v>
      </c>
      <c r="M623">
        <v>990</v>
      </c>
      <c r="N623">
        <v>109</v>
      </c>
      <c r="O623" t="str">
        <f>"PAGAMENTO DE ENTREGADORES"</f>
        <v>PAGAMENTO DE ENTREGADORES</v>
      </c>
      <c r="P623">
        <v>990</v>
      </c>
      <c r="S623" t="str">
        <f>"BANCO C6 (149)"</f>
        <v>BANCO C6 (149)</v>
      </c>
      <c r="T623">
        <v>17659</v>
      </c>
      <c r="U623">
        <v>21284</v>
      </c>
      <c r="V623" t="s">
        <v>77</v>
      </c>
    </row>
    <row r="624" spans="1:22">
      <c r="A624" t="str">
        <f t="shared" si="120"/>
        <v>04/09/2025</v>
      </c>
      <c r="B624" t="str">
        <f t="shared" si="128"/>
        <v>SAÍDA</v>
      </c>
      <c r="C624" t="str">
        <f t="shared" si="123"/>
        <v>PIX</v>
      </c>
      <c r="D624" t="str">
        <f>"21284"</f>
        <v>21284</v>
      </c>
      <c r="E624" t="str">
        <f t="shared" si="125"/>
        <v>1</v>
      </c>
      <c r="F624" t="str">
        <f t="shared" si="122"/>
        <v>COM</v>
      </c>
      <c r="G624" t="str">
        <f>"THALES VINÍCIUS RODRIGUES DE OLIVEIRA (704)"</f>
        <v>THALES VINÍCIUS RODRIGUES DE OLIVEIRA (704)</v>
      </c>
      <c r="H624" t="s">
        <v>252</v>
      </c>
      <c r="I624" t="str">
        <f t="shared" si="126"/>
        <v>04/09/2025</v>
      </c>
      <c r="J624" t="str">
        <f t="shared" si="127"/>
        <v>02/09/2025</v>
      </c>
      <c r="K624">
        <v>45904</v>
      </c>
      <c r="N624">
        <v>109</v>
      </c>
      <c r="O624" t="s">
        <v>24</v>
      </c>
      <c r="Q624">
        <v>990</v>
      </c>
      <c r="R624" t="str">
        <f>"DROGARIA POUPA MINAS (ULTRAMINAS) 1 (10181)"</f>
        <v>DROGARIA POUPA MINAS (ULTRAMINAS) 1 (10181)</v>
      </c>
      <c r="S624" t="s">
        <v>77</v>
      </c>
      <c r="T624">
        <v>17659</v>
      </c>
      <c r="U624">
        <v>21284</v>
      </c>
      <c r="V624" t="s">
        <v>77</v>
      </c>
    </row>
    <row r="625" spans="1:22">
      <c r="A625" t="str">
        <f t="shared" si="120"/>
        <v>04/09/2025</v>
      </c>
      <c r="B625" t="str">
        <f t="shared" si="128"/>
        <v>SAÍDA</v>
      </c>
      <c r="C625" t="str">
        <f t="shared" si="123"/>
        <v>PIX</v>
      </c>
      <c r="D625" t="str">
        <f>"21285"</f>
        <v>21285</v>
      </c>
      <c r="E625" t="str">
        <f t="shared" si="125"/>
        <v>1</v>
      </c>
      <c r="F625" t="str">
        <f t="shared" si="122"/>
        <v>COM</v>
      </c>
      <c r="G625" t="str">
        <f>"TIAGO VIEIRA (372)"</f>
        <v>TIAGO VIEIRA (372)</v>
      </c>
      <c r="H625" t="str">
        <f>"Serv.Prest. 25/08/2025 a 31/08/2025 - PIX: CELULAR - CHAVE: (37) 98841-8571"</f>
        <v>Serv.Prest. 25/08/2025 a 31/08/2025 - PIX: CELULAR - CHAVE: (37) 98841-8571</v>
      </c>
      <c r="I625" t="str">
        <f t="shared" si="126"/>
        <v>04/09/2025</v>
      </c>
      <c r="J625" t="str">
        <f t="shared" si="127"/>
        <v>02/09/2025</v>
      </c>
      <c r="K625" t="str">
        <f>("04/09/2025")</f>
        <v>04/09/2025</v>
      </c>
      <c r="L625">
        <v>546</v>
      </c>
      <c r="M625">
        <v>546</v>
      </c>
      <c r="N625">
        <v>109</v>
      </c>
      <c r="O625" t="str">
        <f>"PAGAMENTO DE ENTREGADORES"</f>
        <v>PAGAMENTO DE ENTREGADORES</v>
      </c>
      <c r="P625">
        <v>546</v>
      </c>
      <c r="S625" t="str">
        <f>"BANCO C6 (149)"</f>
        <v>BANCO C6 (149)</v>
      </c>
      <c r="T625">
        <v>17660</v>
      </c>
      <c r="U625">
        <v>21285</v>
      </c>
      <c r="V625" t="s">
        <v>77</v>
      </c>
    </row>
    <row r="626" spans="1:22">
      <c r="A626" t="str">
        <f t="shared" si="120"/>
        <v>04/09/2025</v>
      </c>
      <c r="B626" t="str">
        <f t="shared" si="128"/>
        <v>SAÍDA</v>
      </c>
      <c r="C626" t="str">
        <f t="shared" si="123"/>
        <v>PIX</v>
      </c>
      <c r="D626" t="str">
        <f>"21285"</f>
        <v>21285</v>
      </c>
      <c r="E626" t="str">
        <f t="shared" si="125"/>
        <v>1</v>
      </c>
      <c r="F626" t="str">
        <f t="shared" si="122"/>
        <v>COM</v>
      </c>
      <c r="G626" t="str">
        <f>"TIAGO VIEIRA (372)"</f>
        <v>TIAGO VIEIRA (372)</v>
      </c>
      <c r="H626" t="s">
        <v>253</v>
      </c>
      <c r="I626" t="str">
        <f t="shared" si="126"/>
        <v>04/09/2025</v>
      </c>
      <c r="J626" t="str">
        <f t="shared" si="127"/>
        <v>02/09/2025</v>
      </c>
      <c r="K626">
        <v>45904</v>
      </c>
      <c r="N626">
        <v>109</v>
      </c>
      <c r="O626" t="s">
        <v>24</v>
      </c>
      <c r="Q626">
        <v>546</v>
      </c>
      <c r="R626" t="str">
        <f>"DROGARIA POUPA MINAS (ULTRAMINAS) 1 (10181)"</f>
        <v>DROGARIA POUPA MINAS (ULTRAMINAS) 1 (10181)</v>
      </c>
      <c r="S626" t="s">
        <v>77</v>
      </c>
      <c r="T626">
        <v>17660</v>
      </c>
      <c r="U626">
        <v>21285</v>
      </c>
      <c r="V626" t="s">
        <v>77</v>
      </c>
    </row>
    <row r="627" spans="1:22">
      <c r="A627" t="str">
        <f t="shared" si="120"/>
        <v>04/09/2025</v>
      </c>
      <c r="B627" t="str">
        <f t="shared" si="128"/>
        <v>SAÍDA</v>
      </c>
      <c r="C627" t="str">
        <f t="shared" si="123"/>
        <v>PIX</v>
      </c>
      <c r="D627" t="str">
        <f>"21235"</f>
        <v>21235</v>
      </c>
      <c r="E627" t="str">
        <f t="shared" si="125"/>
        <v>1</v>
      </c>
      <c r="F627" t="str">
        <f t="shared" si="122"/>
        <v>COM</v>
      </c>
      <c r="G627" t="str">
        <f>"MARCOS RODRIGUES PENA (64)"</f>
        <v>MARCOS RODRIGUES PENA (64)</v>
      </c>
      <c r="H627" t="str">
        <f>"Serv.Prest. 25/08/2025 a 31/08/2025 - PIX: CELULAR - CHAVE: (33) 99194-2339"</f>
        <v>Serv.Prest. 25/08/2025 a 31/08/2025 - PIX: CELULAR - CHAVE: (33) 99194-2339</v>
      </c>
      <c r="I627" t="str">
        <f t="shared" si="126"/>
        <v>04/09/2025</v>
      </c>
      <c r="J627" t="str">
        <f t="shared" si="127"/>
        <v>02/09/2025</v>
      </c>
      <c r="K627" t="str">
        <f>("04/09/2025")</f>
        <v>04/09/2025</v>
      </c>
      <c r="L627">
        <v>140</v>
      </c>
      <c r="M627">
        <v>140</v>
      </c>
      <c r="N627">
        <v>109</v>
      </c>
      <c r="O627" t="str">
        <f>"PAGAMENTO DE ENTREGADORES"</f>
        <v>PAGAMENTO DE ENTREGADORES</v>
      </c>
      <c r="P627">
        <v>140</v>
      </c>
      <c r="S627" t="str">
        <f>"BANCO C6 (149)"</f>
        <v>BANCO C6 (149)</v>
      </c>
      <c r="T627">
        <v>17661</v>
      </c>
      <c r="U627">
        <v>21309</v>
      </c>
      <c r="V627" t="s">
        <v>77</v>
      </c>
    </row>
    <row r="628" spans="1:22">
      <c r="A628" t="str">
        <f t="shared" si="120"/>
        <v>04/09/2025</v>
      </c>
      <c r="B628" t="str">
        <f t="shared" si="128"/>
        <v>SAÍDA</v>
      </c>
      <c r="C628" t="str">
        <f t="shared" si="123"/>
        <v>PIX</v>
      </c>
      <c r="D628" t="str">
        <f>"21235"</f>
        <v>21235</v>
      </c>
      <c r="E628" t="str">
        <f t="shared" si="125"/>
        <v>1</v>
      </c>
      <c r="F628" t="str">
        <f t="shared" si="122"/>
        <v>COM</v>
      </c>
      <c r="G628" t="str">
        <f>"MARCOS RODRIGUES PENA (64)"</f>
        <v>MARCOS RODRIGUES PENA (64)</v>
      </c>
      <c r="H628" t="s">
        <v>254</v>
      </c>
      <c r="I628" t="str">
        <f t="shared" si="126"/>
        <v>04/09/2025</v>
      </c>
      <c r="J628" t="str">
        <f t="shared" si="127"/>
        <v>02/09/2025</v>
      </c>
      <c r="K628">
        <v>45904</v>
      </c>
      <c r="N628">
        <v>109</v>
      </c>
      <c r="O628" t="s">
        <v>24</v>
      </c>
      <c r="Q628">
        <v>140</v>
      </c>
      <c r="R628" t="str">
        <f>"FARMÁCIA INDIANA LJ 62 (10028)"</f>
        <v>FARMÁCIA INDIANA LJ 62 (10028)</v>
      </c>
      <c r="S628" t="s">
        <v>77</v>
      </c>
      <c r="T628">
        <v>17661</v>
      </c>
      <c r="U628">
        <v>21309</v>
      </c>
      <c r="V628" t="s">
        <v>77</v>
      </c>
    </row>
    <row r="629" spans="1:22">
      <c r="A629" t="str">
        <f t="shared" si="120"/>
        <v>04/09/2025</v>
      </c>
      <c r="B629" t="str">
        <f t="shared" si="128"/>
        <v>SAÍDA</v>
      </c>
      <c r="C629" t="str">
        <f t="shared" si="123"/>
        <v>PIX</v>
      </c>
      <c r="D629" t="str">
        <f>"21145"</f>
        <v>21145</v>
      </c>
      <c r="E629" t="str">
        <f t="shared" si="125"/>
        <v>1</v>
      </c>
      <c r="F629" t="str">
        <f t="shared" si="122"/>
        <v>COM</v>
      </c>
      <c r="G629" t="str">
        <f>"JARLES DE SOUZA PEREIRA (109)"</f>
        <v>JARLES DE SOUZA PEREIRA (109)</v>
      </c>
      <c r="H629" t="str">
        <f>"Serv.Prest. 25/08/2025 a 31/08/2025 - PIX: CELULAR - CHAVE: (73) 99115-9602"</f>
        <v>Serv.Prest. 25/08/2025 a 31/08/2025 - PIX: CELULAR - CHAVE: (73) 99115-9602</v>
      </c>
      <c r="I629" t="str">
        <f t="shared" si="126"/>
        <v>04/09/2025</v>
      </c>
      <c r="J629" t="str">
        <f t="shared" si="127"/>
        <v>02/09/2025</v>
      </c>
      <c r="K629" t="str">
        <f>("04/09/2025")</f>
        <v>04/09/2025</v>
      </c>
      <c r="L629">
        <v>720</v>
      </c>
      <c r="M629">
        <v>720</v>
      </c>
      <c r="N629">
        <v>109</v>
      </c>
      <c r="O629" t="str">
        <f>"PAGAMENTO DE ENTREGADORES"</f>
        <v>PAGAMENTO DE ENTREGADORES</v>
      </c>
      <c r="P629">
        <v>720</v>
      </c>
      <c r="S629" t="str">
        <f>"BANCO C6 (149)"</f>
        <v>BANCO C6 (149)</v>
      </c>
      <c r="T629">
        <v>17662</v>
      </c>
      <c r="U629">
        <v>21311</v>
      </c>
      <c r="V629" t="s">
        <v>77</v>
      </c>
    </row>
    <row r="630" spans="1:22">
      <c r="A630" t="str">
        <f t="shared" si="120"/>
        <v>04/09/2025</v>
      </c>
      <c r="B630" t="str">
        <f t="shared" si="128"/>
        <v>SAÍDA</v>
      </c>
      <c r="C630" t="str">
        <f t="shared" si="123"/>
        <v>PIX</v>
      </c>
      <c r="D630" t="str">
        <f>"21145"</f>
        <v>21145</v>
      </c>
      <c r="E630" t="str">
        <f t="shared" si="125"/>
        <v>1</v>
      </c>
      <c r="F630" t="str">
        <f t="shared" si="122"/>
        <v>COM</v>
      </c>
      <c r="G630" t="str">
        <f>"JARLES DE SOUZA PEREIRA (109)"</f>
        <v>JARLES DE SOUZA PEREIRA (109)</v>
      </c>
      <c r="H630" t="s">
        <v>255</v>
      </c>
      <c r="I630" t="str">
        <f t="shared" si="126"/>
        <v>04/09/2025</v>
      </c>
      <c r="J630" t="str">
        <f t="shared" si="127"/>
        <v>02/09/2025</v>
      </c>
      <c r="K630">
        <v>45904</v>
      </c>
      <c r="N630">
        <v>109</v>
      </c>
      <c r="O630" t="s">
        <v>24</v>
      </c>
      <c r="Q630">
        <v>548.57000000000005</v>
      </c>
      <c r="R630" t="str">
        <f>"FARMÁCIA INDIANA LJ 65 (10030)"</f>
        <v>FARMÁCIA INDIANA LJ 65 (10030)</v>
      </c>
      <c r="S630" t="s">
        <v>77</v>
      </c>
      <c r="T630">
        <v>17662</v>
      </c>
      <c r="U630">
        <v>21311</v>
      </c>
      <c r="V630" t="s">
        <v>77</v>
      </c>
    </row>
    <row r="631" spans="1:22">
      <c r="A631" t="str">
        <f t="shared" si="120"/>
        <v>04/09/2025</v>
      </c>
      <c r="B631" t="str">
        <f t="shared" si="128"/>
        <v>SAÍDA</v>
      </c>
      <c r="C631" t="str">
        <f t="shared" si="123"/>
        <v>PIX</v>
      </c>
      <c r="D631" t="str">
        <f>"21145"</f>
        <v>21145</v>
      </c>
      <c r="E631" t="str">
        <f t="shared" si="125"/>
        <v>1</v>
      </c>
      <c r="F631" t="str">
        <f t="shared" si="122"/>
        <v>COM</v>
      </c>
      <c r="G631" t="str">
        <f>"JARLES DE SOUZA PEREIRA (109)"</f>
        <v>JARLES DE SOUZA PEREIRA (109)</v>
      </c>
      <c r="H631" t="s">
        <v>255</v>
      </c>
      <c r="I631" t="str">
        <f t="shared" si="126"/>
        <v>04/09/2025</v>
      </c>
      <c r="J631" t="str">
        <f t="shared" si="127"/>
        <v>02/09/2025</v>
      </c>
      <c r="K631">
        <v>45904</v>
      </c>
      <c r="N631">
        <v>109</v>
      </c>
      <c r="O631" t="s">
        <v>24</v>
      </c>
      <c r="Q631">
        <v>171.43</v>
      </c>
      <c r="R631" t="str">
        <f>"FARMÁCIA INDIANA LJ 173 (10075)"</f>
        <v>FARMÁCIA INDIANA LJ 173 (10075)</v>
      </c>
      <c r="S631" t="s">
        <v>77</v>
      </c>
      <c r="T631">
        <v>17662</v>
      </c>
      <c r="U631">
        <v>21311</v>
      </c>
      <c r="V631" t="s">
        <v>77</v>
      </c>
    </row>
    <row r="632" spans="1:22">
      <c r="A632" t="str">
        <f t="shared" si="120"/>
        <v>04/09/2025</v>
      </c>
      <c r="B632" t="str">
        <f t="shared" si="128"/>
        <v>SAÍDA</v>
      </c>
      <c r="C632" t="str">
        <f t="shared" si="123"/>
        <v>PIX</v>
      </c>
      <c r="D632" t="str">
        <f>"21202"</f>
        <v>21202</v>
      </c>
      <c r="E632" t="str">
        <f t="shared" si="125"/>
        <v>1</v>
      </c>
      <c r="F632" t="str">
        <f t="shared" si="122"/>
        <v>COM</v>
      </c>
      <c r="G632" t="str">
        <f>"GUSTAVO HENRIQUE OLIVEIRA (661)"</f>
        <v>GUSTAVO HENRIQUE OLIVEIRA (661)</v>
      </c>
      <c r="H632" t="str">
        <f>"Serv.Prest. 25/08/2025 a 31/08/2025 - PIX: CPF - CHAVE: 113.084.266-58"</f>
        <v>Serv.Prest. 25/08/2025 a 31/08/2025 - PIX: CPF - CHAVE: 113.084.266-58</v>
      </c>
      <c r="I632" t="str">
        <f t="shared" si="126"/>
        <v>04/09/2025</v>
      </c>
      <c r="J632" t="str">
        <f t="shared" si="127"/>
        <v>02/09/2025</v>
      </c>
      <c r="K632" t="str">
        <f>("04/09/2025")</f>
        <v>04/09/2025</v>
      </c>
      <c r="L632">
        <v>120</v>
      </c>
      <c r="M632">
        <v>120</v>
      </c>
      <c r="N632">
        <v>109</v>
      </c>
      <c r="O632" t="str">
        <f>"PAGAMENTO DE ENTREGADORES"</f>
        <v>PAGAMENTO DE ENTREGADORES</v>
      </c>
      <c r="P632">
        <v>120</v>
      </c>
      <c r="S632" t="str">
        <f>"BANCO C6 (149)"</f>
        <v>BANCO C6 (149)</v>
      </c>
      <c r="T632">
        <v>17663</v>
      </c>
      <c r="U632">
        <v>21316</v>
      </c>
      <c r="V632" t="s">
        <v>77</v>
      </c>
    </row>
    <row r="633" spans="1:22">
      <c r="A633" t="str">
        <f t="shared" si="120"/>
        <v>04/09/2025</v>
      </c>
      <c r="B633" t="str">
        <f t="shared" si="128"/>
        <v>SAÍDA</v>
      </c>
      <c r="C633" t="str">
        <f t="shared" si="123"/>
        <v>PIX</v>
      </c>
      <c r="D633" t="str">
        <f>"21202"</f>
        <v>21202</v>
      </c>
      <c r="E633" t="str">
        <f t="shared" si="125"/>
        <v>1</v>
      </c>
      <c r="F633" t="str">
        <f t="shared" si="122"/>
        <v>COM</v>
      </c>
      <c r="G633" t="str">
        <f>"GUSTAVO HENRIQUE OLIVEIRA (661)"</f>
        <v>GUSTAVO HENRIQUE OLIVEIRA (661)</v>
      </c>
      <c r="H633" t="s">
        <v>256</v>
      </c>
      <c r="I633" t="str">
        <f t="shared" si="126"/>
        <v>04/09/2025</v>
      </c>
      <c r="J633" t="str">
        <f t="shared" si="127"/>
        <v>02/09/2025</v>
      </c>
      <c r="K633">
        <v>45904</v>
      </c>
      <c r="N633">
        <v>109</v>
      </c>
      <c r="O633" t="s">
        <v>24</v>
      </c>
      <c r="Q633">
        <v>120</v>
      </c>
      <c r="R633" t="str">
        <f>"FARMÁCIA INDIANA LJ 110 (10048)"</f>
        <v>FARMÁCIA INDIANA LJ 110 (10048)</v>
      </c>
      <c r="S633" t="s">
        <v>77</v>
      </c>
      <c r="T633">
        <v>17663</v>
      </c>
      <c r="U633">
        <v>21316</v>
      </c>
      <c r="V633" t="s">
        <v>77</v>
      </c>
    </row>
    <row r="634" spans="1:22">
      <c r="A634" t="str">
        <f t="shared" ref="A634:A697" si="129">("04/09/2025")</f>
        <v>04/09/2025</v>
      </c>
      <c r="B634" t="str">
        <f t="shared" si="128"/>
        <v>SAÍDA</v>
      </c>
      <c r="C634" t="str">
        <f t="shared" si="123"/>
        <v>PIX</v>
      </c>
      <c r="D634" t="str">
        <f>"20925"</f>
        <v>20925</v>
      </c>
      <c r="E634" t="str">
        <f>"2"</f>
        <v>2</v>
      </c>
      <c r="F634" t="str">
        <f t="shared" si="122"/>
        <v>COM</v>
      </c>
      <c r="G634" t="str">
        <f>"SILAS ALVES DE FREITAS (35)"</f>
        <v>SILAS ALVES DE FREITAS (35)</v>
      </c>
      <c r="H634" t="str">
        <f>"BONUS PERFORMANCE ENTREGAS - PIX: CPF - CHAVE: 097.855.786-74"</f>
        <v>BONUS PERFORMANCE ENTREGAS - PIX: CPF - CHAVE: 097.855.786-74</v>
      </c>
      <c r="I634" t="str">
        <f t="shared" si="126"/>
        <v>04/09/2025</v>
      </c>
      <c r="J634" t="str">
        <f t="shared" ref="J634:J639" si="130">("31/08/2025")</f>
        <v>31/08/2025</v>
      </c>
      <c r="K634" t="str">
        <f>("04/09/2025")</f>
        <v>04/09/2025</v>
      </c>
      <c r="L634">
        <v>200</v>
      </c>
      <c r="M634">
        <v>200</v>
      </c>
      <c r="N634">
        <v>109</v>
      </c>
      <c r="O634" t="str">
        <f>"PAGAMENTO DE ENTREGADORES"</f>
        <v>PAGAMENTO DE ENTREGADORES</v>
      </c>
      <c r="P634">
        <v>200</v>
      </c>
      <c r="S634" t="str">
        <f>"BANCO C6 (149)"</f>
        <v>BANCO C6 (149)</v>
      </c>
      <c r="T634">
        <v>17664</v>
      </c>
      <c r="U634">
        <v>21345</v>
      </c>
      <c r="V634" t="s">
        <v>77</v>
      </c>
    </row>
    <row r="635" spans="1:22">
      <c r="A635" t="str">
        <f t="shared" si="129"/>
        <v>04/09/2025</v>
      </c>
      <c r="B635" t="str">
        <f t="shared" si="128"/>
        <v>SAÍDA</v>
      </c>
      <c r="C635" t="str">
        <f t="shared" si="123"/>
        <v>PIX</v>
      </c>
      <c r="D635" t="str">
        <f>"20925"</f>
        <v>20925</v>
      </c>
      <c r="E635" t="str">
        <f>"2"</f>
        <v>2</v>
      </c>
      <c r="F635" t="str">
        <f t="shared" si="122"/>
        <v>COM</v>
      </c>
      <c r="G635" t="str">
        <f>"SILAS ALVES DE FREITAS (35)"</f>
        <v>SILAS ALVES DE FREITAS (35)</v>
      </c>
      <c r="H635" t="s">
        <v>257</v>
      </c>
      <c r="I635" t="str">
        <f t="shared" si="126"/>
        <v>04/09/2025</v>
      </c>
      <c r="J635" t="str">
        <f t="shared" si="130"/>
        <v>31/08/2025</v>
      </c>
      <c r="K635">
        <v>45904</v>
      </c>
      <c r="N635">
        <v>109</v>
      </c>
      <c r="O635" t="s">
        <v>24</v>
      </c>
      <c r="Q635">
        <v>200</v>
      </c>
      <c r="R635" t="str">
        <f>"FARMÁCIA INDIANA LJ 172 (10161)"</f>
        <v>FARMÁCIA INDIANA LJ 172 (10161)</v>
      </c>
      <c r="S635" t="s">
        <v>77</v>
      </c>
      <c r="T635">
        <v>17664</v>
      </c>
      <c r="U635">
        <v>21345</v>
      </c>
      <c r="V635" t="s">
        <v>77</v>
      </c>
    </row>
    <row r="636" spans="1:22">
      <c r="A636" t="str">
        <f t="shared" si="129"/>
        <v>04/09/2025</v>
      </c>
      <c r="B636" t="str">
        <f t="shared" si="128"/>
        <v>SAÍDA</v>
      </c>
      <c r="C636" t="str">
        <f t="shared" si="123"/>
        <v>PIX</v>
      </c>
      <c r="D636" t="str">
        <f>"20911"</f>
        <v>20911</v>
      </c>
      <c r="E636" t="str">
        <f>"2"</f>
        <v>2</v>
      </c>
      <c r="F636" t="str">
        <f t="shared" si="122"/>
        <v>COM</v>
      </c>
      <c r="G636" t="str">
        <f>"NELSON DOS SANTOS RODRIGUES (37)"</f>
        <v>NELSON DOS SANTOS RODRIGUES (37)</v>
      </c>
      <c r="H636" t="str">
        <f>"BONUS PERFORMANCE ENTREGAS - PIX: CPF - CHAVE: 108.680.396-59"</f>
        <v>BONUS PERFORMANCE ENTREGAS - PIX: CPF - CHAVE: 108.680.396-59</v>
      </c>
      <c r="I636" t="str">
        <f t="shared" si="126"/>
        <v>04/09/2025</v>
      </c>
      <c r="J636" t="str">
        <f t="shared" si="130"/>
        <v>31/08/2025</v>
      </c>
      <c r="K636" t="str">
        <f>("04/09/2025")</f>
        <v>04/09/2025</v>
      </c>
      <c r="L636">
        <v>200</v>
      </c>
      <c r="M636">
        <v>200</v>
      </c>
      <c r="N636">
        <v>109</v>
      </c>
      <c r="O636" t="str">
        <f>"PAGAMENTO DE ENTREGADORES"</f>
        <v>PAGAMENTO DE ENTREGADORES</v>
      </c>
      <c r="P636">
        <v>200</v>
      </c>
      <c r="S636" t="str">
        <f>"BANCO C6 (149)"</f>
        <v>BANCO C6 (149)</v>
      </c>
      <c r="T636">
        <v>17665</v>
      </c>
      <c r="U636">
        <v>21346</v>
      </c>
      <c r="V636" t="s">
        <v>77</v>
      </c>
    </row>
    <row r="637" spans="1:22">
      <c r="A637" t="str">
        <f t="shared" si="129"/>
        <v>04/09/2025</v>
      </c>
      <c r="B637" t="str">
        <f t="shared" si="128"/>
        <v>SAÍDA</v>
      </c>
      <c r="C637" t="str">
        <f t="shared" si="123"/>
        <v>PIX</v>
      </c>
      <c r="D637" t="str">
        <f>"20911"</f>
        <v>20911</v>
      </c>
      <c r="E637" t="str">
        <f>"2"</f>
        <v>2</v>
      </c>
      <c r="F637" t="str">
        <f t="shared" si="122"/>
        <v>COM</v>
      </c>
      <c r="G637" t="str">
        <f>"NELSON DOS SANTOS RODRIGUES (37)"</f>
        <v>NELSON DOS SANTOS RODRIGUES (37)</v>
      </c>
      <c r="H637" t="s">
        <v>258</v>
      </c>
      <c r="I637" t="str">
        <f t="shared" si="126"/>
        <v>04/09/2025</v>
      </c>
      <c r="J637" t="str">
        <f t="shared" si="130"/>
        <v>31/08/2025</v>
      </c>
      <c r="K637">
        <v>45904</v>
      </c>
      <c r="N637">
        <v>109</v>
      </c>
      <c r="O637" t="s">
        <v>24</v>
      </c>
      <c r="Q637">
        <v>200</v>
      </c>
      <c r="R637" t="str">
        <f>"FARMÁCIA INDIANA LJ 11 (10008)"</f>
        <v>FARMÁCIA INDIANA LJ 11 (10008)</v>
      </c>
      <c r="S637" t="s">
        <v>77</v>
      </c>
      <c r="T637">
        <v>17665</v>
      </c>
      <c r="U637">
        <v>21346</v>
      </c>
      <c r="V637" t="s">
        <v>77</v>
      </c>
    </row>
    <row r="638" spans="1:22">
      <c r="A638" t="str">
        <f t="shared" si="129"/>
        <v>04/09/2025</v>
      </c>
      <c r="B638" t="str">
        <f t="shared" si="128"/>
        <v>SAÍDA</v>
      </c>
      <c r="C638" t="str">
        <f t="shared" si="123"/>
        <v>PIX</v>
      </c>
      <c r="D638" t="str">
        <f>"3108255370"</f>
        <v>3108255370</v>
      </c>
      <c r="E638" t="str">
        <f>""</f>
        <v/>
      </c>
      <c r="F638" t="str">
        <f t="shared" si="122"/>
        <v>COM</v>
      </c>
      <c r="G638" t="str">
        <f>"54.235.509 ROBERT MAGDIEL DE CARVALHO (20004)"</f>
        <v>54.235.509 ROBERT MAGDIEL DE CARVALHO (20004)</v>
      </c>
      <c r="H638" t="str">
        <f>"PRESTACAO DE SERVICO MENSAL 08/2025"</f>
        <v>PRESTACAO DE SERVICO MENSAL 08/2025</v>
      </c>
      <c r="I638" t="str">
        <f t="shared" si="126"/>
        <v>04/09/2025</v>
      </c>
      <c r="J638" t="str">
        <f t="shared" si="130"/>
        <v>31/08/2025</v>
      </c>
      <c r="K638" t="str">
        <f>("04/09/2025")</f>
        <v>04/09/2025</v>
      </c>
      <c r="L638">
        <v>500</v>
      </c>
      <c r="M638">
        <v>500</v>
      </c>
      <c r="N638">
        <v>114</v>
      </c>
      <c r="O638" t="str">
        <f>"PRESTADORES DE SERVIÇOS"</f>
        <v>PRESTADORES DE SERVIÇOS</v>
      </c>
      <c r="P638">
        <v>500</v>
      </c>
      <c r="S638" t="str">
        <f>"CAIXA MOVIMENTAÇÃO OPERACIONAL (132)"</f>
        <v>CAIXA MOVIMENTAÇÃO OPERACIONAL (132)</v>
      </c>
      <c r="T638">
        <v>17666</v>
      </c>
      <c r="U638">
        <v>21365</v>
      </c>
      <c r="V638" t="s">
        <v>48</v>
      </c>
    </row>
    <row r="639" spans="1:22">
      <c r="A639" t="str">
        <f t="shared" si="129"/>
        <v>04/09/2025</v>
      </c>
      <c r="B639" t="str">
        <f t="shared" si="128"/>
        <v>SAÍDA</v>
      </c>
      <c r="C639" t="str">
        <f t="shared" si="123"/>
        <v>PIX</v>
      </c>
      <c r="D639" t="str">
        <f>"3108255370"</f>
        <v>3108255370</v>
      </c>
      <c r="E639" t="str">
        <f>""</f>
        <v/>
      </c>
      <c r="F639" t="str">
        <f t="shared" si="122"/>
        <v>COM</v>
      </c>
      <c r="G639" t="str">
        <f>"54.235.509 ROBERT MAGDIEL DE CARVALHO (20004)"</f>
        <v>54.235.509 ROBERT MAGDIEL DE CARVALHO (20004)</v>
      </c>
      <c r="H639" t="s">
        <v>259</v>
      </c>
      <c r="I639" t="str">
        <f t="shared" si="126"/>
        <v>04/09/2025</v>
      </c>
      <c r="J639" t="str">
        <f t="shared" si="130"/>
        <v>31/08/2025</v>
      </c>
      <c r="K639">
        <v>45904</v>
      </c>
      <c r="N639">
        <v>114</v>
      </c>
      <c r="O639" t="s">
        <v>260</v>
      </c>
      <c r="Q639">
        <v>500</v>
      </c>
      <c r="R639" t="str">
        <f>"54.235.509 ROBERT MAGDIEL DE CARVALHO (20004)"</f>
        <v>54.235.509 ROBERT MAGDIEL DE CARVALHO (20004)</v>
      </c>
      <c r="S639" t="s">
        <v>48</v>
      </c>
      <c r="T639">
        <v>17666</v>
      </c>
      <c r="U639">
        <v>21365</v>
      </c>
      <c r="V639" t="s">
        <v>48</v>
      </c>
    </row>
    <row r="640" spans="1:22">
      <c r="A640" t="str">
        <f t="shared" si="129"/>
        <v>04/09/2025</v>
      </c>
      <c r="B640" t="str">
        <f>"ENTRADA"</f>
        <v>ENTRADA</v>
      </c>
      <c r="C640" t="str">
        <f t="shared" si="123"/>
        <v>PIX</v>
      </c>
      <c r="D640" t="str">
        <f>"060625500"</f>
        <v>060625500</v>
      </c>
      <c r="E640" t="str">
        <f>"5"</f>
        <v>5</v>
      </c>
      <c r="F640" t="str">
        <f t="shared" si="122"/>
        <v>COM</v>
      </c>
      <c r="G640" t="str">
        <f>"54.235.509 ROBERT MAGDIEL DE CARVALHO (20004)"</f>
        <v>54.235.509 ROBERT MAGDIEL DE CARVALHO (20004)</v>
      </c>
      <c r="H640" t="str">
        <f>"REEMBOLSO ADIANTAMENTO"</f>
        <v>REEMBOLSO ADIANTAMENTO</v>
      </c>
      <c r="I640" t="str">
        <f>("06/09/2025")</f>
        <v>06/09/2025</v>
      </c>
      <c r="J640" t="str">
        <f>("01/05/2025")</f>
        <v>01/05/2025</v>
      </c>
      <c r="K640" t="str">
        <f>("04/09/2025")</f>
        <v>04/09/2025</v>
      </c>
      <c r="L640">
        <v>500</v>
      </c>
      <c r="M640">
        <v>500</v>
      </c>
      <c r="N640">
        <v>129</v>
      </c>
      <c r="O640" t="str">
        <f>"ENTRADA DE REEMBOLSO ADIANTAMENTO"</f>
        <v>ENTRADA DE REEMBOLSO ADIANTAMENTO</v>
      </c>
      <c r="P640">
        <v>500</v>
      </c>
      <c r="S640" t="str">
        <f>"ENTRADA DE REEMBOLSO ADIANTAMENTO (129)"</f>
        <v>ENTRADA DE REEMBOLSO ADIANTAMENTO (129)</v>
      </c>
      <c r="T640">
        <v>17667</v>
      </c>
      <c r="U640">
        <v>15852</v>
      </c>
      <c r="V640" t="s">
        <v>48</v>
      </c>
    </row>
    <row r="641" spans="1:22">
      <c r="A641" t="str">
        <f t="shared" si="129"/>
        <v>04/09/2025</v>
      </c>
      <c r="B641" t="str">
        <f>"ENTRADA"</f>
        <v>ENTRADA</v>
      </c>
      <c r="C641" t="str">
        <f t="shared" si="123"/>
        <v>PIX</v>
      </c>
      <c r="D641" t="str">
        <f>"060625500"</f>
        <v>060625500</v>
      </c>
      <c r="E641" t="str">
        <f>"5"</f>
        <v>5</v>
      </c>
      <c r="F641" t="str">
        <f t="shared" si="122"/>
        <v>COM</v>
      </c>
      <c r="G641" t="str">
        <f>"54.235.509 ROBERT MAGDIEL DE CARVALHO (20004)"</f>
        <v>54.235.509 ROBERT MAGDIEL DE CARVALHO (20004)</v>
      </c>
      <c r="H641" t="s">
        <v>57</v>
      </c>
      <c r="I641" t="str">
        <f>("06/09/2025")</f>
        <v>06/09/2025</v>
      </c>
      <c r="J641" t="str">
        <f>("01/05/2025")</f>
        <v>01/05/2025</v>
      </c>
      <c r="K641">
        <v>45904</v>
      </c>
      <c r="N641">
        <v>129</v>
      </c>
      <c r="O641" t="s">
        <v>58</v>
      </c>
      <c r="Q641">
        <v>500</v>
      </c>
      <c r="R641" t="str">
        <f>"54.235.509 ROBERT MAGDIEL DE CARVALHO (20004)"</f>
        <v>54.235.509 ROBERT MAGDIEL DE CARVALHO (20004)</v>
      </c>
      <c r="S641" t="s">
        <v>59</v>
      </c>
      <c r="T641">
        <v>17667</v>
      </c>
      <c r="U641">
        <v>15852</v>
      </c>
      <c r="V641" t="s">
        <v>48</v>
      </c>
    </row>
    <row r="642" spans="1:22">
      <c r="A642" t="str">
        <f t="shared" si="129"/>
        <v>04/09/2025</v>
      </c>
      <c r="B642" t="str">
        <f t="shared" ref="B642:B667" si="131">"SAÍDA"</f>
        <v>SAÍDA</v>
      </c>
      <c r="C642" t="str">
        <f t="shared" si="123"/>
        <v>PIX</v>
      </c>
      <c r="D642" t="str">
        <f>"0509"</f>
        <v>0509</v>
      </c>
      <c r="E642" t="str">
        <f>"25"</f>
        <v>25</v>
      </c>
      <c r="F642" t="str">
        <f t="shared" ref="F642:F705" si="132">"COM"</f>
        <v>COM</v>
      </c>
      <c r="G642" t="str">
        <f>"CARLOS ROBERTO BADARÓ MACHADO (78)"</f>
        <v>CARLOS ROBERTO BADARÓ MACHADO (78)</v>
      </c>
      <c r="H642" t="str">
        <f>"DESPESAS VIAGEM CASTELO E BARRA DA CONCEIÇÃO - PIX: CELULAR - CHAVE: (32) 99166-8238"</f>
        <v>DESPESAS VIAGEM CASTELO E BARRA DA CONCEIÇÃO - PIX: CELULAR - CHAVE: (32) 99166-8238</v>
      </c>
      <c r="I642" t="str">
        <f>("05/09/2025")</f>
        <v>05/09/2025</v>
      </c>
      <c r="J642" t="str">
        <f>("25/08/2025")</f>
        <v>25/08/2025</v>
      </c>
      <c r="K642" t="str">
        <f>("04/09/2025")</f>
        <v>04/09/2025</v>
      </c>
      <c r="L642">
        <v>400</v>
      </c>
      <c r="M642">
        <v>400</v>
      </c>
      <c r="N642">
        <v>119</v>
      </c>
      <c r="O642" t="str">
        <f>"DESPESAS COM VIAGENS OPERACIONAIS"</f>
        <v>DESPESAS COM VIAGENS OPERACIONAIS</v>
      </c>
      <c r="P642">
        <v>400</v>
      </c>
      <c r="S642" t="str">
        <f>"BANCO CORA (102)"</f>
        <v>BANCO CORA (102)</v>
      </c>
      <c r="T642">
        <v>17669</v>
      </c>
      <c r="U642">
        <v>21368</v>
      </c>
      <c r="V642" t="s">
        <v>22</v>
      </c>
    </row>
    <row r="643" spans="1:22">
      <c r="A643" t="str">
        <f t="shared" si="129"/>
        <v>04/09/2025</v>
      </c>
      <c r="B643" t="str">
        <f t="shared" si="131"/>
        <v>SAÍDA</v>
      </c>
      <c r="C643" t="str">
        <f t="shared" si="123"/>
        <v>PIX</v>
      </c>
      <c r="D643" t="str">
        <f>"0509"</f>
        <v>0509</v>
      </c>
      <c r="E643" t="str">
        <f>"25"</f>
        <v>25</v>
      </c>
      <c r="F643" t="str">
        <f t="shared" si="132"/>
        <v>COM</v>
      </c>
      <c r="G643" t="str">
        <f>"CARLOS ROBERTO BADARÓ MACHADO (78)"</f>
        <v>CARLOS ROBERTO BADARÓ MACHADO (78)</v>
      </c>
      <c r="H643" t="s">
        <v>261</v>
      </c>
      <c r="I643" t="str">
        <f>("05/09/2025")</f>
        <v>05/09/2025</v>
      </c>
      <c r="J643" t="str">
        <f>("25/08/2025")</f>
        <v>25/08/2025</v>
      </c>
      <c r="K643">
        <v>45904</v>
      </c>
      <c r="N643">
        <v>119</v>
      </c>
      <c r="O643" t="s">
        <v>262</v>
      </c>
      <c r="Q643">
        <v>400</v>
      </c>
      <c r="R643" t="str">
        <f>"FARMÁCIA INDIANA LJ 109 (10047)"</f>
        <v>FARMÁCIA INDIANA LJ 109 (10047)</v>
      </c>
      <c r="S643" t="s">
        <v>22</v>
      </c>
      <c r="T643">
        <v>17669</v>
      </c>
      <c r="U643">
        <v>21368</v>
      </c>
      <c r="V643" t="s">
        <v>22</v>
      </c>
    </row>
    <row r="644" spans="1:22">
      <c r="A644" t="str">
        <f t="shared" si="129"/>
        <v>04/09/2025</v>
      </c>
      <c r="B644" t="str">
        <f t="shared" si="131"/>
        <v>SAÍDA</v>
      </c>
      <c r="C644" t="str">
        <f t="shared" si="123"/>
        <v>PIX</v>
      </c>
      <c r="D644" t="str">
        <f>"21618"</f>
        <v>21618</v>
      </c>
      <c r="E644" t="str">
        <f>"1"</f>
        <v>1</v>
      </c>
      <c r="F644" t="str">
        <f t="shared" si="132"/>
        <v>COM</v>
      </c>
      <c r="G644" t="str">
        <f>"WILDES ALVES CERQUEIRA ALMEIDA (874)"</f>
        <v>WILDES ALVES CERQUEIRA ALMEIDA (874)</v>
      </c>
      <c r="H644" t="str">
        <f>"Serv.Prest. 01/09/2025 a 07/09/2025 - PIX: CELULAR - CHAVE: (73) 98155-8496"</f>
        <v>Serv.Prest. 01/09/2025 a 07/09/2025 - PIX: CELULAR - CHAVE: (73) 98155-8496</v>
      </c>
      <c r="I644" t="str">
        <f>("18/09/2025")</f>
        <v>18/09/2025</v>
      </c>
      <c r="J644" t="str">
        <f>("08/09/2025")</f>
        <v>08/09/2025</v>
      </c>
      <c r="K644" t="str">
        <f>("04/09/2025")</f>
        <v>04/09/2025</v>
      </c>
      <c r="L644">
        <v>120</v>
      </c>
      <c r="M644">
        <v>120</v>
      </c>
      <c r="N644">
        <v>109</v>
      </c>
      <c r="O644" t="str">
        <f>"PAGAMENTO DE ENTREGADORES"</f>
        <v>PAGAMENTO DE ENTREGADORES</v>
      </c>
      <c r="P644">
        <v>120</v>
      </c>
      <c r="S644" t="str">
        <f>"BANCO CORA (102)"</f>
        <v>BANCO CORA (102)</v>
      </c>
      <c r="T644">
        <v>17738</v>
      </c>
      <c r="U644">
        <v>21618</v>
      </c>
      <c r="V644" t="s">
        <v>22</v>
      </c>
    </row>
    <row r="645" spans="1:22">
      <c r="A645" t="str">
        <f t="shared" si="129"/>
        <v>04/09/2025</v>
      </c>
      <c r="B645" t="str">
        <f t="shared" si="131"/>
        <v>SAÍDA</v>
      </c>
      <c r="C645" t="str">
        <f t="shared" si="123"/>
        <v>PIX</v>
      </c>
      <c r="D645" t="str">
        <f>"21618"</f>
        <v>21618</v>
      </c>
      <c r="E645" t="str">
        <f>"1"</f>
        <v>1</v>
      </c>
      <c r="F645" t="str">
        <f t="shared" si="132"/>
        <v>COM</v>
      </c>
      <c r="G645" t="str">
        <f>"WILDES ALVES CERQUEIRA ALMEIDA (874)"</f>
        <v>WILDES ALVES CERQUEIRA ALMEIDA (874)</v>
      </c>
      <c r="H645" t="s">
        <v>65</v>
      </c>
      <c r="I645" t="str">
        <f>("18/09/2025")</f>
        <v>18/09/2025</v>
      </c>
      <c r="J645" t="str">
        <f>("08/09/2025")</f>
        <v>08/09/2025</v>
      </c>
      <c r="K645">
        <v>45904</v>
      </c>
      <c r="N645">
        <v>109</v>
      </c>
      <c r="O645" t="s">
        <v>24</v>
      </c>
      <c r="Q645">
        <v>96</v>
      </c>
      <c r="R645" t="str">
        <f>"FARMÁCIA INDIANA LJ 65 (10030)"</f>
        <v>FARMÁCIA INDIANA LJ 65 (10030)</v>
      </c>
      <c r="S645" t="s">
        <v>22</v>
      </c>
      <c r="T645">
        <v>17738</v>
      </c>
      <c r="U645">
        <v>21618</v>
      </c>
      <c r="V645" t="s">
        <v>22</v>
      </c>
    </row>
    <row r="646" spans="1:22">
      <c r="A646" t="str">
        <f t="shared" si="129"/>
        <v>04/09/2025</v>
      </c>
      <c r="B646" t="str">
        <f t="shared" si="131"/>
        <v>SAÍDA</v>
      </c>
      <c r="C646" t="str">
        <f t="shared" si="123"/>
        <v>PIX</v>
      </c>
      <c r="D646" t="str">
        <f>"21618"</f>
        <v>21618</v>
      </c>
      <c r="E646" t="str">
        <f>"1"</f>
        <v>1</v>
      </c>
      <c r="F646" t="str">
        <f t="shared" si="132"/>
        <v>COM</v>
      </c>
      <c r="G646" t="str">
        <f>"WILDES ALVES CERQUEIRA ALMEIDA (874)"</f>
        <v>WILDES ALVES CERQUEIRA ALMEIDA (874)</v>
      </c>
      <c r="H646" t="s">
        <v>65</v>
      </c>
      <c r="I646" t="str">
        <f>("18/09/2025")</f>
        <v>18/09/2025</v>
      </c>
      <c r="J646" t="str">
        <f>("08/09/2025")</f>
        <v>08/09/2025</v>
      </c>
      <c r="K646">
        <v>45904</v>
      </c>
      <c r="N646">
        <v>109</v>
      </c>
      <c r="O646" t="s">
        <v>24</v>
      </c>
      <c r="Q646">
        <v>24</v>
      </c>
      <c r="R646" t="str">
        <f>"FARMÁCIA INDIANA LJ 173 (10075)"</f>
        <v>FARMÁCIA INDIANA LJ 173 (10075)</v>
      </c>
      <c r="S646" t="s">
        <v>22</v>
      </c>
      <c r="T646">
        <v>17738</v>
      </c>
      <c r="U646">
        <v>21618</v>
      </c>
      <c r="V646" t="s">
        <v>22</v>
      </c>
    </row>
    <row r="647" spans="1:22">
      <c r="A647" t="str">
        <f t="shared" si="129"/>
        <v>04/09/2025</v>
      </c>
      <c r="B647" t="str">
        <f t="shared" si="131"/>
        <v>SAÍDA</v>
      </c>
      <c r="C647" t="str">
        <f t="shared" si="123"/>
        <v>PIX</v>
      </c>
      <c r="D647" t="str">
        <f>"21434"</f>
        <v>21434</v>
      </c>
      <c r="E647" t="str">
        <f>"1"</f>
        <v>1</v>
      </c>
      <c r="F647" t="str">
        <f t="shared" si="132"/>
        <v>COM</v>
      </c>
      <c r="G647" t="str">
        <f>"SIMAO DOS SANTOS MEIRA (896)"</f>
        <v>SIMAO DOS SANTOS MEIRA (896)</v>
      </c>
      <c r="H647" t="str">
        <f>"Serv.Prest. 01/09/2025 a 07/09/2025 - PIX: CNPJ - CHAVE: 49.607.413/0001-28"</f>
        <v>Serv.Prest. 01/09/2025 a 07/09/2025 - PIX: CNPJ - CHAVE: 49.607.413/0001-28</v>
      </c>
      <c r="I647" t="str">
        <f>("11/09/2025")</f>
        <v>11/09/2025</v>
      </c>
      <c r="J647" t="str">
        <f>("08/09/2025")</f>
        <v>08/09/2025</v>
      </c>
      <c r="K647" t="str">
        <f>("04/09/2025")</f>
        <v>04/09/2025</v>
      </c>
      <c r="L647">
        <v>150</v>
      </c>
      <c r="M647">
        <v>150</v>
      </c>
      <c r="N647">
        <v>109</v>
      </c>
      <c r="O647" t="str">
        <f>"PAGAMENTO DE ENTREGADORES"</f>
        <v>PAGAMENTO DE ENTREGADORES</v>
      </c>
      <c r="P647">
        <v>150</v>
      </c>
      <c r="S647" t="str">
        <f>"BANCO CORA (102)"</f>
        <v>BANCO CORA (102)</v>
      </c>
      <c r="T647">
        <v>17746</v>
      </c>
      <c r="U647">
        <v>21434</v>
      </c>
      <c r="V647" t="s">
        <v>22</v>
      </c>
    </row>
    <row r="648" spans="1:22">
      <c r="A648" t="str">
        <f t="shared" si="129"/>
        <v>04/09/2025</v>
      </c>
      <c r="B648" t="str">
        <f t="shared" si="131"/>
        <v>SAÍDA</v>
      </c>
      <c r="C648" t="str">
        <f t="shared" si="123"/>
        <v>PIX</v>
      </c>
      <c r="D648" t="str">
        <f>"21434"</f>
        <v>21434</v>
      </c>
      <c r="E648" t="str">
        <f>"1"</f>
        <v>1</v>
      </c>
      <c r="F648" t="str">
        <f t="shared" si="132"/>
        <v>COM</v>
      </c>
      <c r="G648" t="str">
        <f>"SIMAO DOS SANTOS MEIRA (896)"</f>
        <v>SIMAO DOS SANTOS MEIRA (896)</v>
      </c>
      <c r="H648" t="s">
        <v>263</v>
      </c>
      <c r="I648" t="str">
        <f>("11/09/2025")</f>
        <v>11/09/2025</v>
      </c>
      <c r="J648" t="str">
        <f>("08/09/2025")</f>
        <v>08/09/2025</v>
      </c>
      <c r="K648">
        <v>45904</v>
      </c>
      <c r="N648">
        <v>109</v>
      </c>
      <c r="O648" t="s">
        <v>24</v>
      </c>
      <c r="Q648">
        <v>150</v>
      </c>
      <c r="R648" t="str">
        <f>"BRASIL FARMA (10173)"</f>
        <v>BRASIL FARMA (10173)</v>
      </c>
      <c r="S648" t="s">
        <v>22</v>
      </c>
      <c r="T648">
        <v>17746</v>
      </c>
      <c r="U648">
        <v>21434</v>
      </c>
      <c r="V648" t="s">
        <v>22</v>
      </c>
    </row>
    <row r="649" spans="1:22">
      <c r="A649" t="str">
        <f t="shared" si="129"/>
        <v>04/09/2025</v>
      </c>
      <c r="B649" t="str">
        <f t="shared" si="131"/>
        <v>SAÍDA</v>
      </c>
      <c r="C649" t="str">
        <f t="shared" si="123"/>
        <v>PIX</v>
      </c>
      <c r="D649" t="str">
        <f>"310825600"</f>
        <v>310825600</v>
      </c>
      <c r="E649" t="str">
        <f>""</f>
        <v/>
      </c>
      <c r="F649" t="str">
        <f t="shared" si="132"/>
        <v>COM</v>
      </c>
      <c r="G649" t="str">
        <f>"28.804.647 KAUE EDUARDO FIGUEIREDO GAUDINO (20003)"</f>
        <v>28.804.647 KAUE EDUARDO FIGUEIREDO GAUDINO (20003)</v>
      </c>
      <c r="H649" t="str">
        <f>"PRESTACAO DE SERVICOS MES 08/2025"</f>
        <v>PRESTACAO DE SERVICOS MES 08/2025</v>
      </c>
      <c r="I649" t="str">
        <f t="shared" ref="I649:I667" si="133">("04/09/2025")</f>
        <v>04/09/2025</v>
      </c>
      <c r="J649" t="str">
        <f t="shared" ref="J649:J667" si="134">("31/08/2025")</f>
        <v>31/08/2025</v>
      </c>
      <c r="K649" t="str">
        <f>("04/09/2025")</f>
        <v>04/09/2025</v>
      </c>
      <c r="L649">
        <v>600</v>
      </c>
      <c r="M649">
        <v>600</v>
      </c>
      <c r="N649">
        <v>114</v>
      </c>
      <c r="O649" t="str">
        <f>"PRESTADORES DE SERVIÇOS"</f>
        <v>PRESTADORES DE SERVIÇOS</v>
      </c>
      <c r="P649">
        <v>600</v>
      </c>
      <c r="S649" t="str">
        <f>"BANCO CORA (102)"</f>
        <v>BANCO CORA (102)</v>
      </c>
      <c r="T649">
        <v>18523</v>
      </c>
      <c r="U649">
        <v>4079</v>
      </c>
      <c r="V649" t="s">
        <v>22</v>
      </c>
    </row>
    <row r="650" spans="1:22">
      <c r="A650" t="str">
        <f t="shared" si="129"/>
        <v>04/09/2025</v>
      </c>
      <c r="B650" t="str">
        <f t="shared" si="131"/>
        <v>SAÍDA</v>
      </c>
      <c r="C650" t="str">
        <f t="shared" si="123"/>
        <v>PIX</v>
      </c>
      <c r="D650" t="str">
        <f>"310825600"</f>
        <v>310825600</v>
      </c>
      <c r="E650" t="str">
        <f>""</f>
        <v/>
      </c>
      <c r="F650" t="str">
        <f t="shared" si="132"/>
        <v>COM</v>
      </c>
      <c r="G650" t="str">
        <f>"28.804.647 KAUE EDUARDO FIGUEIREDO GAUDINO (20003)"</f>
        <v>28.804.647 KAUE EDUARDO FIGUEIREDO GAUDINO (20003)</v>
      </c>
      <c r="H650" t="s">
        <v>264</v>
      </c>
      <c r="I650" t="str">
        <f t="shared" si="133"/>
        <v>04/09/2025</v>
      </c>
      <c r="J650" t="str">
        <f t="shared" si="134"/>
        <v>31/08/2025</v>
      </c>
      <c r="K650">
        <v>45904</v>
      </c>
      <c r="N650">
        <v>114</v>
      </c>
      <c r="O650" t="s">
        <v>260</v>
      </c>
      <c r="Q650">
        <v>600</v>
      </c>
      <c r="R650" t="str">
        <f>"28.804.647 KAUE EDUARDO FIGUEIREDO GAUDINO (20003)"</f>
        <v>28.804.647 KAUE EDUARDO FIGUEIREDO GAUDINO (20003)</v>
      </c>
      <c r="S650" t="s">
        <v>22</v>
      </c>
      <c r="T650">
        <v>18523</v>
      </c>
      <c r="U650">
        <v>4079</v>
      </c>
      <c r="V650" t="s">
        <v>22</v>
      </c>
    </row>
    <row r="651" spans="1:22">
      <c r="A651" t="str">
        <f t="shared" si="129"/>
        <v>04/09/2025</v>
      </c>
      <c r="B651" t="str">
        <f t="shared" si="131"/>
        <v>SAÍDA</v>
      </c>
      <c r="C651" t="str">
        <f t="shared" ref="C651:C667" si="135">"PIX"</f>
        <v>PIX</v>
      </c>
      <c r="D651" t="str">
        <f>"3108255370"</f>
        <v>3108255370</v>
      </c>
      <c r="E651" t="str">
        <f>""</f>
        <v/>
      </c>
      <c r="F651" t="str">
        <f t="shared" si="132"/>
        <v>COM</v>
      </c>
      <c r="G651" t="str">
        <f>"54.235.509 ROBERT MAGDIEL DE CARVALHO (20004)"</f>
        <v>54.235.509 ROBERT MAGDIEL DE CARVALHO (20004)</v>
      </c>
      <c r="H651" t="str">
        <f>"PRESTACAO DE SERVICO MENSAL 08/2025"</f>
        <v>PRESTACAO DE SERVICO MENSAL 08/2025</v>
      </c>
      <c r="I651" t="str">
        <f t="shared" si="133"/>
        <v>04/09/2025</v>
      </c>
      <c r="J651" t="str">
        <f t="shared" si="134"/>
        <v>31/08/2025</v>
      </c>
      <c r="K651" t="str">
        <f>("04/09/2025")</f>
        <v>04/09/2025</v>
      </c>
      <c r="L651">
        <v>4870</v>
      </c>
      <c r="M651">
        <v>4870</v>
      </c>
      <c r="N651">
        <v>114</v>
      </c>
      <c r="O651" t="str">
        <f>"PRESTADORES DE SERVIÇOS"</f>
        <v>PRESTADORES DE SERVIÇOS</v>
      </c>
      <c r="P651">
        <v>4870</v>
      </c>
      <c r="S651" t="str">
        <f>"BANCO CORA (102)"</f>
        <v>BANCO CORA (102)</v>
      </c>
      <c r="T651">
        <v>18524</v>
      </c>
      <c r="U651">
        <v>4091</v>
      </c>
      <c r="V651" t="s">
        <v>22</v>
      </c>
    </row>
    <row r="652" spans="1:22">
      <c r="A652" t="str">
        <f t="shared" si="129"/>
        <v>04/09/2025</v>
      </c>
      <c r="B652" t="str">
        <f t="shared" si="131"/>
        <v>SAÍDA</v>
      </c>
      <c r="C652" t="str">
        <f t="shared" si="135"/>
        <v>PIX</v>
      </c>
      <c r="D652" t="str">
        <f>"3108255370"</f>
        <v>3108255370</v>
      </c>
      <c r="E652" t="str">
        <f>""</f>
        <v/>
      </c>
      <c r="F652" t="str">
        <f t="shared" si="132"/>
        <v>COM</v>
      </c>
      <c r="G652" t="str">
        <f>"54.235.509 ROBERT MAGDIEL DE CARVALHO (20004)"</f>
        <v>54.235.509 ROBERT MAGDIEL DE CARVALHO (20004)</v>
      </c>
      <c r="H652" t="s">
        <v>259</v>
      </c>
      <c r="I652" t="str">
        <f t="shared" si="133"/>
        <v>04/09/2025</v>
      </c>
      <c r="J652" t="str">
        <f t="shared" si="134"/>
        <v>31/08/2025</v>
      </c>
      <c r="K652">
        <v>45904</v>
      </c>
      <c r="N652">
        <v>114</v>
      </c>
      <c r="O652" t="s">
        <v>260</v>
      </c>
      <c r="Q652">
        <v>4870</v>
      </c>
      <c r="R652" t="str">
        <f>"54.235.509 ROBERT MAGDIEL DE CARVALHO (20004)"</f>
        <v>54.235.509 ROBERT MAGDIEL DE CARVALHO (20004)</v>
      </c>
      <c r="S652" t="s">
        <v>22</v>
      </c>
      <c r="T652">
        <v>18524</v>
      </c>
      <c r="U652">
        <v>4091</v>
      </c>
      <c r="V652" t="s">
        <v>22</v>
      </c>
    </row>
    <row r="653" spans="1:22">
      <c r="A653" t="str">
        <f t="shared" si="129"/>
        <v>04/09/2025</v>
      </c>
      <c r="B653" t="str">
        <f t="shared" si="131"/>
        <v>SAÍDA</v>
      </c>
      <c r="C653" t="str">
        <f t="shared" si="135"/>
        <v>PIX</v>
      </c>
      <c r="D653" t="str">
        <f>"3108255230"</f>
        <v>3108255230</v>
      </c>
      <c r="E653" t="str">
        <f>""</f>
        <v/>
      </c>
      <c r="F653" t="str">
        <f t="shared" si="132"/>
        <v>COM</v>
      </c>
      <c r="G653" t="str">
        <f>"NATAN ALVES DA SILVA SA (20005)"</f>
        <v>NATAN ALVES DA SILVA SA (20005)</v>
      </c>
      <c r="H653" t="str">
        <f>"PRESTAÇÃO DE SERVIÇO MENSAL 08/2025"</f>
        <v>PRESTAÇÃO DE SERVIÇO MENSAL 08/2025</v>
      </c>
      <c r="I653" t="str">
        <f t="shared" si="133"/>
        <v>04/09/2025</v>
      </c>
      <c r="J653" t="str">
        <f t="shared" si="134"/>
        <v>31/08/2025</v>
      </c>
      <c r="K653" t="str">
        <f>("04/09/2025")</f>
        <v>04/09/2025</v>
      </c>
      <c r="L653">
        <v>5230</v>
      </c>
      <c r="M653">
        <v>5230</v>
      </c>
      <c r="N653">
        <v>114</v>
      </c>
      <c r="O653" t="str">
        <f>"PRESTADORES DE SERVIÇOS"</f>
        <v>PRESTADORES DE SERVIÇOS</v>
      </c>
      <c r="P653">
        <v>5230</v>
      </c>
      <c r="S653" t="str">
        <f>"BANCO CORA (102)"</f>
        <v>BANCO CORA (102)</v>
      </c>
      <c r="T653">
        <v>18525</v>
      </c>
      <c r="U653">
        <v>4104</v>
      </c>
      <c r="V653" t="s">
        <v>22</v>
      </c>
    </row>
    <row r="654" spans="1:22">
      <c r="A654" t="str">
        <f t="shared" si="129"/>
        <v>04/09/2025</v>
      </c>
      <c r="B654" t="str">
        <f t="shared" si="131"/>
        <v>SAÍDA</v>
      </c>
      <c r="C654" t="str">
        <f t="shared" si="135"/>
        <v>PIX</v>
      </c>
      <c r="D654" t="str">
        <f>"3108255230"</f>
        <v>3108255230</v>
      </c>
      <c r="E654" t="str">
        <f>""</f>
        <v/>
      </c>
      <c r="F654" t="str">
        <f t="shared" si="132"/>
        <v>COM</v>
      </c>
      <c r="G654" t="str">
        <f>"NATAN ALVES DA SILVA SA (20005)"</f>
        <v>NATAN ALVES DA SILVA SA (20005)</v>
      </c>
      <c r="H654" t="s">
        <v>265</v>
      </c>
      <c r="I654" t="str">
        <f t="shared" si="133"/>
        <v>04/09/2025</v>
      </c>
      <c r="J654" t="str">
        <f t="shared" si="134"/>
        <v>31/08/2025</v>
      </c>
      <c r="K654">
        <v>45904</v>
      </c>
      <c r="N654">
        <v>114</v>
      </c>
      <c r="O654" t="s">
        <v>260</v>
      </c>
      <c r="Q654">
        <v>5230</v>
      </c>
      <c r="R654" t="str">
        <f>"55.656.401 NATAN ALVES DA SILVA SA (20005)"</f>
        <v>55.656.401 NATAN ALVES DA SILVA SA (20005)</v>
      </c>
      <c r="S654" t="s">
        <v>22</v>
      </c>
      <c r="T654">
        <v>18525</v>
      </c>
      <c r="U654">
        <v>4104</v>
      </c>
      <c r="V654" t="s">
        <v>22</v>
      </c>
    </row>
    <row r="655" spans="1:22">
      <c r="A655" t="str">
        <f t="shared" si="129"/>
        <v>04/09/2025</v>
      </c>
      <c r="B655" t="str">
        <f t="shared" si="131"/>
        <v>SAÍDA</v>
      </c>
      <c r="C655" t="str">
        <f t="shared" si="135"/>
        <v>PIX</v>
      </c>
      <c r="D655" t="str">
        <f>"3108251200"</f>
        <v>3108251200</v>
      </c>
      <c r="E655" t="str">
        <f>""</f>
        <v/>
      </c>
      <c r="F655" t="str">
        <f t="shared" si="132"/>
        <v>COM</v>
      </c>
      <c r="G655" t="str">
        <f>"ADRIELLE APARECIDA PALOMINO (20029)"</f>
        <v>ADRIELLE APARECIDA PALOMINO (20029)</v>
      </c>
      <c r="H655" t="str">
        <f>"PAGAMENTO SERVIÇO MENSAL 08/2025"</f>
        <v>PAGAMENTO SERVIÇO MENSAL 08/2025</v>
      </c>
      <c r="I655" t="str">
        <f t="shared" si="133"/>
        <v>04/09/2025</v>
      </c>
      <c r="J655" t="str">
        <f t="shared" si="134"/>
        <v>31/08/2025</v>
      </c>
      <c r="K655" t="str">
        <f>("04/09/2025")</f>
        <v>04/09/2025</v>
      </c>
      <c r="L655">
        <v>1200</v>
      </c>
      <c r="M655">
        <v>1200</v>
      </c>
      <c r="N655">
        <v>103</v>
      </c>
      <c r="O655" t="str">
        <f>"PAGAMENTO DE FUNCIONÁRIOS"</f>
        <v>PAGAMENTO DE FUNCIONÁRIOS</v>
      </c>
      <c r="P655">
        <v>1200</v>
      </c>
      <c r="S655" t="str">
        <f>"BANCO CORA (102)"</f>
        <v>BANCO CORA (102)</v>
      </c>
      <c r="T655">
        <v>18526</v>
      </c>
      <c r="U655">
        <v>4116</v>
      </c>
      <c r="V655" t="s">
        <v>22</v>
      </c>
    </row>
    <row r="656" spans="1:22">
      <c r="A656" t="str">
        <f t="shared" si="129"/>
        <v>04/09/2025</v>
      </c>
      <c r="B656" t="str">
        <f t="shared" si="131"/>
        <v>SAÍDA</v>
      </c>
      <c r="C656" t="str">
        <f t="shared" si="135"/>
        <v>PIX</v>
      </c>
      <c r="D656" t="str">
        <f>"3108251200"</f>
        <v>3108251200</v>
      </c>
      <c r="E656" t="str">
        <f>""</f>
        <v/>
      </c>
      <c r="F656" t="str">
        <f t="shared" si="132"/>
        <v>COM</v>
      </c>
      <c r="G656" t="str">
        <f>"ADRIELLE APARECIDA PALOMINO (20029)"</f>
        <v>ADRIELLE APARECIDA PALOMINO (20029)</v>
      </c>
      <c r="H656" t="s">
        <v>266</v>
      </c>
      <c r="I656" t="str">
        <f t="shared" si="133"/>
        <v>04/09/2025</v>
      </c>
      <c r="J656" t="str">
        <f t="shared" si="134"/>
        <v>31/08/2025</v>
      </c>
      <c r="K656">
        <v>45904</v>
      </c>
      <c r="N656">
        <v>103</v>
      </c>
      <c r="O656" t="s">
        <v>267</v>
      </c>
      <c r="Q656">
        <v>1200</v>
      </c>
      <c r="R656" t="str">
        <f>"ADRIELLE APARECIDA PALOMINO (20029)"</f>
        <v>ADRIELLE APARECIDA PALOMINO (20029)</v>
      </c>
      <c r="S656" t="s">
        <v>22</v>
      </c>
      <c r="T656">
        <v>18526</v>
      </c>
      <c r="U656">
        <v>4116</v>
      </c>
      <c r="V656" t="s">
        <v>22</v>
      </c>
    </row>
    <row r="657" spans="1:22">
      <c r="A657" t="str">
        <f t="shared" si="129"/>
        <v>04/09/2025</v>
      </c>
      <c r="B657" t="str">
        <f t="shared" si="131"/>
        <v>SAÍDA</v>
      </c>
      <c r="C657" t="str">
        <f t="shared" si="135"/>
        <v>PIX</v>
      </c>
      <c r="D657" t="str">
        <f>"3108252700"</f>
        <v>3108252700</v>
      </c>
      <c r="E657" t="str">
        <f>""</f>
        <v/>
      </c>
      <c r="F657" t="str">
        <f t="shared" si="132"/>
        <v>COM</v>
      </c>
      <c r="G657" t="str">
        <f>"ANA JULIA REZENDE JUSTINO (20027)"</f>
        <v>ANA JULIA REZENDE JUSTINO (20027)</v>
      </c>
      <c r="H657" t="str">
        <f>"PAGAMENTO PRESTACAO DE SERVIÇOS MARKETING 08/2025"</f>
        <v>PAGAMENTO PRESTACAO DE SERVIÇOS MARKETING 08/2025</v>
      </c>
      <c r="I657" t="str">
        <f t="shared" si="133"/>
        <v>04/09/2025</v>
      </c>
      <c r="J657" t="str">
        <f t="shared" si="134"/>
        <v>31/08/2025</v>
      </c>
      <c r="K657" t="str">
        <f>("04/09/2025")</f>
        <v>04/09/2025</v>
      </c>
      <c r="L657">
        <v>2700</v>
      </c>
      <c r="M657">
        <v>2700</v>
      </c>
      <c r="N657">
        <v>103</v>
      </c>
      <c r="O657" t="str">
        <f>"PAGAMENTO DE FUNCIONÁRIOS"</f>
        <v>PAGAMENTO DE FUNCIONÁRIOS</v>
      </c>
      <c r="P657">
        <v>2700</v>
      </c>
      <c r="S657" t="str">
        <f>"BANCO CORA (102)"</f>
        <v>BANCO CORA (102)</v>
      </c>
      <c r="T657">
        <v>18527</v>
      </c>
      <c r="U657">
        <v>4140</v>
      </c>
      <c r="V657" t="s">
        <v>22</v>
      </c>
    </row>
    <row r="658" spans="1:22">
      <c r="A658" t="str">
        <f t="shared" si="129"/>
        <v>04/09/2025</v>
      </c>
      <c r="B658" t="str">
        <f t="shared" si="131"/>
        <v>SAÍDA</v>
      </c>
      <c r="C658" t="str">
        <f t="shared" si="135"/>
        <v>PIX</v>
      </c>
      <c r="D658" t="str">
        <f>"3108252700"</f>
        <v>3108252700</v>
      </c>
      <c r="E658" t="str">
        <f>""</f>
        <v/>
      </c>
      <c r="F658" t="str">
        <f t="shared" si="132"/>
        <v>COM</v>
      </c>
      <c r="G658" t="str">
        <f>"ANA JULIA REZENDE JUSTINO (20027)"</f>
        <v>ANA JULIA REZENDE JUSTINO (20027)</v>
      </c>
      <c r="H658" t="s">
        <v>268</v>
      </c>
      <c r="I658" t="str">
        <f t="shared" si="133"/>
        <v>04/09/2025</v>
      </c>
      <c r="J658" t="str">
        <f t="shared" si="134"/>
        <v>31/08/2025</v>
      </c>
      <c r="K658">
        <v>45904</v>
      </c>
      <c r="N658">
        <v>103</v>
      </c>
      <c r="O658" t="s">
        <v>267</v>
      </c>
      <c r="Q658">
        <v>2700</v>
      </c>
      <c r="R658" t="str">
        <f>"ANA JULIA REZENDE JUSTINO (20027)"</f>
        <v>ANA JULIA REZENDE JUSTINO (20027)</v>
      </c>
      <c r="S658" t="s">
        <v>22</v>
      </c>
      <c r="T658">
        <v>18527</v>
      </c>
      <c r="U658">
        <v>4140</v>
      </c>
      <c r="V658" t="s">
        <v>22</v>
      </c>
    </row>
    <row r="659" spans="1:22">
      <c r="A659" t="str">
        <f t="shared" si="129"/>
        <v>04/09/2025</v>
      </c>
      <c r="B659" t="str">
        <f t="shared" si="131"/>
        <v>SAÍDA</v>
      </c>
      <c r="C659" t="str">
        <f t="shared" si="135"/>
        <v>PIX</v>
      </c>
      <c r="D659" t="str">
        <f>"3108255500"</f>
        <v>3108255500</v>
      </c>
      <c r="E659" t="str">
        <f>"9"</f>
        <v>9</v>
      </c>
      <c r="F659" t="str">
        <f t="shared" si="132"/>
        <v>COM</v>
      </c>
      <c r="G659" t="str">
        <f>"EDSON BARROS DOS SANTOS 10882852604 (20025)"</f>
        <v>EDSON BARROS DOS SANTOS 10882852604 (20025)</v>
      </c>
      <c r="H659" t="str">
        <f>"PRESTACAO DE SERVICOS MES 08/2025"</f>
        <v>PRESTACAO DE SERVICOS MES 08/2025</v>
      </c>
      <c r="I659" t="str">
        <f t="shared" si="133"/>
        <v>04/09/2025</v>
      </c>
      <c r="J659" t="str">
        <f t="shared" si="134"/>
        <v>31/08/2025</v>
      </c>
      <c r="K659" t="str">
        <f>("04/09/2025")</f>
        <v>04/09/2025</v>
      </c>
      <c r="L659">
        <v>5500</v>
      </c>
      <c r="M659">
        <v>5500</v>
      </c>
      <c r="N659">
        <v>103</v>
      </c>
      <c r="O659" t="str">
        <f>"PAGAMENTO DE FUNCIONÁRIOS"</f>
        <v>PAGAMENTO DE FUNCIONÁRIOS</v>
      </c>
      <c r="P659">
        <v>5500</v>
      </c>
      <c r="S659" t="str">
        <f>"BANCO CORA (102)"</f>
        <v>BANCO CORA (102)</v>
      </c>
      <c r="T659">
        <v>18528</v>
      </c>
      <c r="U659">
        <v>5307</v>
      </c>
      <c r="V659" t="s">
        <v>22</v>
      </c>
    </row>
    <row r="660" spans="1:22">
      <c r="A660" t="str">
        <f t="shared" si="129"/>
        <v>04/09/2025</v>
      </c>
      <c r="B660" t="str">
        <f t="shared" si="131"/>
        <v>SAÍDA</v>
      </c>
      <c r="C660" t="str">
        <f t="shared" si="135"/>
        <v>PIX</v>
      </c>
      <c r="D660" t="str">
        <f>"3108255500"</f>
        <v>3108255500</v>
      </c>
      <c r="E660" t="str">
        <f>"9"</f>
        <v>9</v>
      </c>
      <c r="F660" t="str">
        <f t="shared" si="132"/>
        <v>COM</v>
      </c>
      <c r="G660" t="str">
        <f>"EDSON BARROS DOS SANTOS 10882852604 (20025)"</f>
        <v>EDSON BARROS DOS SANTOS 10882852604 (20025)</v>
      </c>
      <c r="H660" t="s">
        <v>264</v>
      </c>
      <c r="I660" t="str">
        <f t="shared" si="133"/>
        <v>04/09/2025</v>
      </c>
      <c r="J660" t="str">
        <f t="shared" si="134"/>
        <v>31/08/2025</v>
      </c>
      <c r="K660">
        <v>45904</v>
      </c>
      <c r="N660">
        <v>103</v>
      </c>
      <c r="O660" t="s">
        <v>267</v>
      </c>
      <c r="Q660">
        <v>5500</v>
      </c>
      <c r="R660" t="str">
        <f>"EDSON BARROS DOS SANTOS 10882852604 (20025)"</f>
        <v>EDSON BARROS DOS SANTOS 10882852604 (20025)</v>
      </c>
      <c r="S660" t="s">
        <v>22</v>
      </c>
      <c r="T660">
        <v>18528</v>
      </c>
      <c r="U660">
        <v>5307</v>
      </c>
      <c r="V660" t="s">
        <v>22</v>
      </c>
    </row>
    <row r="661" spans="1:22">
      <c r="A661" t="str">
        <f t="shared" si="129"/>
        <v>04/09/2025</v>
      </c>
      <c r="B661" t="str">
        <f t="shared" si="131"/>
        <v>SAÍDA</v>
      </c>
      <c r="C661" t="str">
        <f t="shared" si="135"/>
        <v>PIX</v>
      </c>
      <c r="D661" t="str">
        <f>"3108253500"</f>
        <v>3108253500</v>
      </c>
      <c r="E661" t="str">
        <f>""</f>
        <v/>
      </c>
      <c r="F661" t="str">
        <f t="shared" si="132"/>
        <v>COM</v>
      </c>
      <c r="G661" t="str">
        <f>"GUSTAVO CESAR DE REZENDE (20060)"</f>
        <v>GUSTAVO CESAR DE REZENDE (20060)</v>
      </c>
      <c r="H661" t="str">
        <f>"PRESTACAO DE SERVICOS 08/2025"</f>
        <v>PRESTACAO DE SERVICOS 08/2025</v>
      </c>
      <c r="I661" t="str">
        <f t="shared" si="133"/>
        <v>04/09/2025</v>
      </c>
      <c r="J661" t="str">
        <f t="shared" si="134"/>
        <v>31/08/2025</v>
      </c>
      <c r="K661" t="str">
        <f>("04/09/2025")</f>
        <v>04/09/2025</v>
      </c>
      <c r="L661">
        <v>3500</v>
      </c>
      <c r="M661">
        <v>3500</v>
      </c>
      <c r="N661">
        <v>103</v>
      </c>
      <c r="O661" t="str">
        <f>"PAGAMENTO DE FUNCIONÁRIOS"</f>
        <v>PAGAMENTO DE FUNCIONÁRIOS</v>
      </c>
      <c r="P661">
        <v>3500</v>
      </c>
      <c r="S661" t="str">
        <f>"BANCO CORA (102)"</f>
        <v>BANCO CORA (102)</v>
      </c>
      <c r="T661">
        <v>18529</v>
      </c>
      <c r="U661">
        <v>5320</v>
      </c>
      <c r="V661" t="s">
        <v>22</v>
      </c>
    </row>
    <row r="662" spans="1:22">
      <c r="A662" t="str">
        <f t="shared" si="129"/>
        <v>04/09/2025</v>
      </c>
      <c r="B662" t="str">
        <f t="shared" si="131"/>
        <v>SAÍDA</v>
      </c>
      <c r="C662" t="str">
        <f t="shared" si="135"/>
        <v>PIX</v>
      </c>
      <c r="D662" t="str">
        <f>"3108253500"</f>
        <v>3108253500</v>
      </c>
      <c r="E662" t="str">
        <f>""</f>
        <v/>
      </c>
      <c r="F662" t="str">
        <f t="shared" si="132"/>
        <v>COM</v>
      </c>
      <c r="G662" t="str">
        <f>"GUSTAVO CESAR DE REZENDE (20060)"</f>
        <v>GUSTAVO CESAR DE REZENDE (20060)</v>
      </c>
      <c r="H662" t="s">
        <v>269</v>
      </c>
      <c r="I662" t="str">
        <f t="shared" si="133"/>
        <v>04/09/2025</v>
      </c>
      <c r="J662" t="str">
        <f t="shared" si="134"/>
        <v>31/08/2025</v>
      </c>
      <c r="K662">
        <v>45904</v>
      </c>
      <c r="N662">
        <v>103</v>
      </c>
      <c r="O662" t="s">
        <v>267</v>
      </c>
      <c r="Q662">
        <v>3500</v>
      </c>
      <c r="R662" t="str">
        <f>"GUSTAVO CESAR DE REZENDE (20060)"</f>
        <v>GUSTAVO CESAR DE REZENDE (20060)</v>
      </c>
      <c r="S662" t="s">
        <v>22</v>
      </c>
      <c r="T662">
        <v>18529</v>
      </c>
      <c r="U662">
        <v>5320</v>
      </c>
      <c r="V662" t="s">
        <v>22</v>
      </c>
    </row>
    <row r="663" spans="1:22">
      <c r="A663" t="str">
        <f t="shared" si="129"/>
        <v>04/09/2025</v>
      </c>
      <c r="B663" t="str">
        <f t="shared" si="131"/>
        <v>SAÍDA</v>
      </c>
      <c r="C663" t="str">
        <f t="shared" si="135"/>
        <v>PIX</v>
      </c>
      <c r="D663" t="str">
        <f>"3108251200"</f>
        <v>3108251200</v>
      </c>
      <c r="E663" t="str">
        <f>""</f>
        <v/>
      </c>
      <c r="F663" t="str">
        <f t="shared" si="132"/>
        <v>COM</v>
      </c>
      <c r="G663" t="str">
        <f>"GIOVANA CECCON MARTINS DE SA (20091)"</f>
        <v>GIOVANA CECCON MARTINS DE SA (20091)</v>
      </c>
      <c r="H663" t="str">
        <f>"BOLSA ESTAGIO 08/2025"</f>
        <v>BOLSA ESTAGIO 08/2025</v>
      </c>
      <c r="I663" t="str">
        <f t="shared" si="133"/>
        <v>04/09/2025</v>
      </c>
      <c r="J663" t="str">
        <f t="shared" si="134"/>
        <v>31/08/2025</v>
      </c>
      <c r="K663" t="str">
        <f>("04/09/2025")</f>
        <v>04/09/2025</v>
      </c>
      <c r="L663">
        <v>1200</v>
      </c>
      <c r="M663">
        <v>1200</v>
      </c>
      <c r="N663">
        <v>103</v>
      </c>
      <c r="O663" t="str">
        <f>"PAGAMENTO DE FUNCIONÁRIOS"</f>
        <v>PAGAMENTO DE FUNCIONÁRIOS</v>
      </c>
      <c r="P663">
        <v>1200</v>
      </c>
      <c r="S663" t="str">
        <f>"BANCO CORA (102)"</f>
        <v>BANCO CORA (102)</v>
      </c>
      <c r="T663">
        <v>18530</v>
      </c>
      <c r="U663">
        <v>16169</v>
      </c>
      <c r="V663" t="s">
        <v>22</v>
      </c>
    </row>
    <row r="664" spans="1:22">
      <c r="A664" t="str">
        <f t="shared" si="129"/>
        <v>04/09/2025</v>
      </c>
      <c r="B664" t="str">
        <f t="shared" si="131"/>
        <v>SAÍDA</v>
      </c>
      <c r="C664" t="str">
        <f t="shared" si="135"/>
        <v>PIX</v>
      </c>
      <c r="D664" t="str">
        <f>"3108251200"</f>
        <v>3108251200</v>
      </c>
      <c r="E664" t="str">
        <f>""</f>
        <v/>
      </c>
      <c r="F664" t="str">
        <f t="shared" si="132"/>
        <v>COM</v>
      </c>
      <c r="G664" t="str">
        <f>"GIOVANA CECCON MARTINS DE SA (20091)"</f>
        <v>GIOVANA CECCON MARTINS DE SA (20091)</v>
      </c>
      <c r="H664" t="s">
        <v>270</v>
      </c>
      <c r="I664" t="str">
        <f t="shared" si="133"/>
        <v>04/09/2025</v>
      </c>
      <c r="J664" t="str">
        <f t="shared" si="134"/>
        <v>31/08/2025</v>
      </c>
      <c r="K664">
        <v>45904</v>
      </c>
      <c r="N664">
        <v>103</v>
      </c>
      <c r="O664" t="s">
        <v>267</v>
      </c>
      <c r="Q664">
        <v>1200</v>
      </c>
      <c r="R664" t="str">
        <f>"GIOVANA CECCON MARTINS DE SA (20091)"</f>
        <v>GIOVANA CECCON MARTINS DE SA (20091)</v>
      </c>
      <c r="S664" t="s">
        <v>22</v>
      </c>
      <c r="T664">
        <v>18530</v>
      </c>
      <c r="U664">
        <v>16169</v>
      </c>
      <c r="V664" t="s">
        <v>22</v>
      </c>
    </row>
    <row r="665" spans="1:22">
      <c r="A665" t="str">
        <f t="shared" si="129"/>
        <v>04/09/2025</v>
      </c>
      <c r="B665" t="str">
        <f t="shared" si="131"/>
        <v>SAÍDA</v>
      </c>
      <c r="C665" t="str">
        <f t="shared" si="135"/>
        <v>PIX</v>
      </c>
      <c r="D665" t="str">
        <f>"0409252300"</f>
        <v>0409252300</v>
      </c>
      <c r="E665" t="str">
        <f>""</f>
        <v/>
      </c>
      <c r="F665" t="str">
        <f t="shared" si="132"/>
        <v>COM</v>
      </c>
      <c r="G665" t="str">
        <f>"BRUNO NATO DOS SANTOS (20045)"</f>
        <v>BRUNO NATO DOS SANTOS (20045)</v>
      </c>
      <c r="H665" t="str">
        <f>"PAGAMENTO PRESTACAO SERVICOS MENSAL 08/2025"</f>
        <v>PAGAMENTO PRESTACAO SERVICOS MENSAL 08/2025</v>
      </c>
      <c r="I665" t="str">
        <f t="shared" si="133"/>
        <v>04/09/2025</v>
      </c>
      <c r="J665" t="str">
        <f t="shared" si="134"/>
        <v>31/08/2025</v>
      </c>
      <c r="K665" t="str">
        <f>("04/09/2025")</f>
        <v>04/09/2025</v>
      </c>
      <c r="N665">
        <v>103</v>
      </c>
      <c r="O665" t="str">
        <f>"PAGAMENTO DE FUNCIONÁRIOS"</f>
        <v>PAGAMENTO DE FUNCIONÁRIOS</v>
      </c>
      <c r="P665">
        <v>1877.49</v>
      </c>
      <c r="S665" t="str">
        <f>"BANCO CORA (102)"</f>
        <v>BANCO CORA (102)</v>
      </c>
      <c r="T665">
        <v>18531</v>
      </c>
      <c r="U665">
        <v>19246</v>
      </c>
      <c r="V665" t="s">
        <v>22</v>
      </c>
    </row>
    <row r="666" spans="1:22">
      <c r="A666" t="str">
        <f t="shared" si="129"/>
        <v>04/09/2025</v>
      </c>
      <c r="B666" t="str">
        <f t="shared" si="131"/>
        <v>SAÍDA</v>
      </c>
      <c r="C666" t="str">
        <f t="shared" si="135"/>
        <v>PIX</v>
      </c>
      <c r="D666" t="str">
        <f>"0409252300"</f>
        <v>0409252300</v>
      </c>
      <c r="E666" t="str">
        <f>""</f>
        <v/>
      </c>
      <c r="F666" t="str">
        <f t="shared" si="132"/>
        <v>COM</v>
      </c>
      <c r="G666" t="str">
        <f>"BRUNO NATO DOS SANTOS (20045)"</f>
        <v>BRUNO NATO DOS SANTOS (20045)</v>
      </c>
      <c r="H666" t="str">
        <f>"PAGAMENTO PRESTACAO SERVICOS MENSAL 08/2025 - BRUNO NATO DOS SANTOS"</f>
        <v>PAGAMENTO PRESTACAO SERVICOS MENSAL 08/2025 - BRUNO NATO DOS SANTOS</v>
      </c>
      <c r="I666" t="str">
        <f t="shared" si="133"/>
        <v>04/09/2025</v>
      </c>
      <c r="J666" t="str">
        <f t="shared" si="134"/>
        <v>31/08/2025</v>
      </c>
      <c r="K666" t="str">
        <f>("04/09/2025")</f>
        <v>04/09/2025</v>
      </c>
      <c r="L666">
        <v>2300</v>
      </c>
      <c r="M666">
        <v>2300</v>
      </c>
      <c r="N666">
        <v>107</v>
      </c>
      <c r="O666" t="str">
        <f>"VALE TRANSPORTE"</f>
        <v>VALE TRANSPORTE</v>
      </c>
      <c r="P666">
        <v>422.51</v>
      </c>
      <c r="S666" t="str">
        <f>"BANCO CORA (102)"</f>
        <v>BANCO CORA (102)</v>
      </c>
      <c r="T666">
        <v>18531</v>
      </c>
      <c r="U666">
        <v>19246</v>
      </c>
      <c r="V666" t="s">
        <v>22</v>
      </c>
    </row>
    <row r="667" spans="1:22">
      <c r="A667" t="str">
        <f t="shared" si="129"/>
        <v>04/09/2025</v>
      </c>
      <c r="B667" t="str">
        <f t="shared" si="131"/>
        <v>SAÍDA</v>
      </c>
      <c r="C667" t="str">
        <f t="shared" si="135"/>
        <v>PIX</v>
      </c>
      <c r="D667" t="str">
        <f>"0409252300"</f>
        <v>0409252300</v>
      </c>
      <c r="E667" t="str">
        <f>""</f>
        <v/>
      </c>
      <c r="F667" t="str">
        <f t="shared" si="132"/>
        <v>COM</v>
      </c>
      <c r="G667" t="str">
        <f>"BRUNO NATO DOS SANTOS (20045)"</f>
        <v>BRUNO NATO DOS SANTOS (20045)</v>
      </c>
      <c r="H667" t="s">
        <v>271</v>
      </c>
      <c r="I667" t="str">
        <f t="shared" si="133"/>
        <v>04/09/2025</v>
      </c>
      <c r="J667" t="str">
        <f t="shared" si="134"/>
        <v>31/08/2025</v>
      </c>
      <c r="K667">
        <v>45904</v>
      </c>
      <c r="N667">
        <v>103</v>
      </c>
      <c r="O667" t="s">
        <v>267</v>
      </c>
      <c r="Q667">
        <v>2300</v>
      </c>
      <c r="R667" t="str">
        <f>"BRUNO NATO DOS SANTOS (20045)"</f>
        <v>BRUNO NATO DOS SANTOS (20045)</v>
      </c>
      <c r="S667" t="s">
        <v>22</v>
      </c>
      <c r="T667">
        <v>18531</v>
      </c>
      <c r="U667">
        <v>19246</v>
      </c>
      <c r="V667" t="s">
        <v>22</v>
      </c>
    </row>
    <row r="668" spans="1:22">
      <c r="A668" t="str">
        <f t="shared" si="129"/>
        <v>04/09/2025</v>
      </c>
      <c r="B668" t="str">
        <f t="shared" ref="B668:B692" si="136">"ENTRADA"</f>
        <v>ENTRADA</v>
      </c>
      <c r="C668" t="str">
        <f t="shared" ref="C668:C692" si="137">"NFSE"</f>
        <v>NFSE</v>
      </c>
      <c r="D668" t="str">
        <f>"3295"</f>
        <v>3295</v>
      </c>
      <c r="E668" t="str">
        <f t="shared" ref="E668:E692" si="138">"1"</f>
        <v>1</v>
      </c>
      <c r="F668" t="str">
        <f t="shared" si="132"/>
        <v>COM</v>
      </c>
      <c r="G668" t="str">
        <f>"AC FARMA - FLEMINFARMA 5 (10183)"</f>
        <v>AC FARMA - FLEMINFARMA 5 (10183)</v>
      </c>
      <c r="H668" t="str">
        <f>"Serv.Prest. 18/08/2025 a 24/08/2025 - RPS: 1171 - NFSe: 3295"</f>
        <v>Serv.Prest. 18/08/2025 a 24/08/2025 - RPS: 1171 - NFSe: 3295</v>
      </c>
      <c r="I668" t="str">
        <f t="shared" ref="I668:I690" si="139">("03/09/2025")</f>
        <v>03/09/2025</v>
      </c>
      <c r="J668" t="str">
        <f>("27/08/2025")</f>
        <v>27/08/2025</v>
      </c>
      <c r="K668" t="str">
        <f>("04/09/2025")</f>
        <v>04/09/2025</v>
      </c>
      <c r="L668">
        <v>604.79999999999995</v>
      </c>
      <c r="M668">
        <v>604.79999999999995</v>
      </c>
      <c r="N668">
        <v>303</v>
      </c>
      <c r="O668" t="str">
        <f>"RECEITAS COM ENTREGAS"</f>
        <v>RECEITAS COM ENTREGAS</v>
      </c>
      <c r="P668">
        <v>604.79999999999995</v>
      </c>
      <c r="S668" t="str">
        <f>"RECEITAS COM ENTREGAS (303)"</f>
        <v>RECEITAS COM ENTREGAS (303)</v>
      </c>
      <c r="T668">
        <v>18563</v>
      </c>
      <c r="U668">
        <v>21061</v>
      </c>
      <c r="V668" t="s">
        <v>22</v>
      </c>
    </row>
    <row r="669" spans="1:22">
      <c r="A669" t="str">
        <f t="shared" si="129"/>
        <v>04/09/2025</v>
      </c>
      <c r="B669" t="str">
        <f t="shared" si="136"/>
        <v>ENTRADA</v>
      </c>
      <c r="C669" t="str">
        <f t="shared" si="137"/>
        <v>NFSE</v>
      </c>
      <c r="D669" t="str">
        <f>"3295"</f>
        <v>3295</v>
      </c>
      <c r="E669" t="str">
        <f t="shared" si="138"/>
        <v>1</v>
      </c>
      <c r="F669" t="str">
        <f t="shared" si="132"/>
        <v>COM</v>
      </c>
      <c r="G669" t="str">
        <f>"AC FARMA - FLEMINFARMA 5 (10183)"</f>
        <v>AC FARMA - FLEMINFARMA 5 (10183)</v>
      </c>
      <c r="H669" t="s">
        <v>272</v>
      </c>
      <c r="I669" t="str">
        <f t="shared" si="139"/>
        <v>03/09/2025</v>
      </c>
      <c r="J669" t="str">
        <f>("27/08/2025")</f>
        <v>27/08/2025</v>
      </c>
      <c r="K669">
        <v>45904</v>
      </c>
      <c r="N669">
        <v>303</v>
      </c>
      <c r="O669" t="s">
        <v>69</v>
      </c>
      <c r="Q669">
        <v>604.79999999999995</v>
      </c>
      <c r="R669" t="str">
        <f>"AC FARMA - FLEMINFARMA 5 (10183)"</f>
        <v>AC FARMA - FLEMINFARMA 5 (10183)</v>
      </c>
      <c r="S669" t="s">
        <v>70</v>
      </c>
      <c r="T669">
        <v>18563</v>
      </c>
      <c r="U669">
        <v>21061</v>
      </c>
      <c r="V669" t="s">
        <v>22</v>
      </c>
    </row>
    <row r="670" spans="1:22">
      <c r="A670" t="str">
        <f t="shared" si="129"/>
        <v>04/09/2025</v>
      </c>
      <c r="B670" t="str">
        <f t="shared" si="136"/>
        <v>ENTRADA</v>
      </c>
      <c r="C670" t="str">
        <f t="shared" si="137"/>
        <v>NFSE</v>
      </c>
      <c r="D670" t="str">
        <f>"3296"</f>
        <v>3296</v>
      </c>
      <c r="E670" t="str">
        <f t="shared" si="138"/>
        <v>1</v>
      </c>
      <c r="F670" t="str">
        <f t="shared" si="132"/>
        <v>COM</v>
      </c>
      <c r="G670" t="str">
        <f>"BRASIL FARMA (10173)"</f>
        <v>BRASIL FARMA (10173)</v>
      </c>
      <c r="H670" t="str">
        <f>"Serv.Prest. 25/08/2025 a 31/08/2025 - RPS: 1172 - NFSe: 3296"</f>
        <v>Serv.Prest. 25/08/2025 a 31/08/2025 - RPS: 1172 - NFSe: 3296</v>
      </c>
      <c r="I670" t="str">
        <f t="shared" si="139"/>
        <v>03/09/2025</v>
      </c>
      <c r="J670" t="str">
        <f t="shared" ref="J670:J683" si="140">("01/09/2025")</f>
        <v>01/09/2025</v>
      </c>
      <c r="K670" t="str">
        <f>("04/09/2025")</f>
        <v>04/09/2025</v>
      </c>
      <c r="L670">
        <v>1685.04</v>
      </c>
      <c r="M670">
        <v>1685.04</v>
      </c>
      <c r="N670">
        <v>303</v>
      </c>
      <c r="O670" t="str">
        <f>"RECEITAS COM ENTREGAS"</f>
        <v>RECEITAS COM ENTREGAS</v>
      </c>
      <c r="P670">
        <v>1685.04</v>
      </c>
      <c r="S670" t="str">
        <f>"RECEITAS COM ENTREGAS (303)"</f>
        <v>RECEITAS COM ENTREGAS (303)</v>
      </c>
      <c r="T670">
        <v>18564</v>
      </c>
      <c r="U670">
        <v>21072</v>
      </c>
      <c r="V670" t="s">
        <v>22</v>
      </c>
    </row>
    <row r="671" spans="1:22">
      <c r="A671" t="str">
        <f t="shared" si="129"/>
        <v>04/09/2025</v>
      </c>
      <c r="B671" t="str">
        <f t="shared" si="136"/>
        <v>ENTRADA</v>
      </c>
      <c r="C671" t="str">
        <f t="shared" si="137"/>
        <v>NFSE</v>
      </c>
      <c r="D671" t="str">
        <f>"3296"</f>
        <v>3296</v>
      </c>
      <c r="E671" t="str">
        <f t="shared" si="138"/>
        <v>1</v>
      </c>
      <c r="F671" t="str">
        <f t="shared" si="132"/>
        <v>COM</v>
      </c>
      <c r="G671" t="str">
        <f>"BRASIL FARMA (10173)"</f>
        <v>BRASIL FARMA (10173)</v>
      </c>
      <c r="H671" t="s">
        <v>273</v>
      </c>
      <c r="I671" t="str">
        <f t="shared" si="139"/>
        <v>03/09/2025</v>
      </c>
      <c r="J671" t="str">
        <f t="shared" si="140"/>
        <v>01/09/2025</v>
      </c>
      <c r="K671">
        <v>45904</v>
      </c>
      <c r="N671">
        <v>303</v>
      </c>
      <c r="O671" t="s">
        <v>69</v>
      </c>
      <c r="Q671">
        <v>1685.04</v>
      </c>
      <c r="R671" t="str">
        <f>"BRASIL FARMA (10173)"</f>
        <v>BRASIL FARMA (10173)</v>
      </c>
      <c r="S671" t="s">
        <v>70</v>
      </c>
      <c r="T671">
        <v>18564</v>
      </c>
      <c r="U671">
        <v>21072</v>
      </c>
      <c r="V671" t="s">
        <v>22</v>
      </c>
    </row>
    <row r="672" spans="1:22">
      <c r="A672" t="str">
        <f t="shared" si="129"/>
        <v>04/09/2025</v>
      </c>
      <c r="B672" t="str">
        <f t="shared" si="136"/>
        <v>ENTRADA</v>
      </c>
      <c r="C672" t="str">
        <f t="shared" si="137"/>
        <v>NFSE</v>
      </c>
      <c r="D672" t="str">
        <f>"3298"</f>
        <v>3298</v>
      </c>
      <c r="E672" t="str">
        <f t="shared" si="138"/>
        <v>1</v>
      </c>
      <c r="F672" t="str">
        <f t="shared" si="132"/>
        <v>COM</v>
      </c>
      <c r="G672" t="str">
        <f>"DROGARIA ANA VISCONDE DO RIO BRANCO (10182)"</f>
        <v>DROGARIA ANA VISCONDE DO RIO BRANCO (10182)</v>
      </c>
      <c r="H672" t="str">
        <f>"Serv.Prest. 25/08/2025 a 31/08/2025 - RPS: 1174 - NFSe: 3298"</f>
        <v>Serv.Prest. 25/08/2025 a 31/08/2025 - RPS: 1174 - NFSe: 3298</v>
      </c>
      <c r="I672" t="str">
        <f t="shared" si="139"/>
        <v>03/09/2025</v>
      </c>
      <c r="J672" t="str">
        <f t="shared" si="140"/>
        <v>01/09/2025</v>
      </c>
      <c r="K672" t="str">
        <f>("04/09/2025")</f>
        <v>04/09/2025</v>
      </c>
      <c r="L672">
        <v>4437.72</v>
      </c>
      <c r="M672">
        <v>4437.72</v>
      </c>
      <c r="N672">
        <v>303</v>
      </c>
      <c r="O672" t="str">
        <f>"RECEITAS COM ENTREGAS"</f>
        <v>RECEITAS COM ENTREGAS</v>
      </c>
      <c r="P672">
        <v>4437.72</v>
      </c>
      <c r="S672" t="str">
        <f>"RECEITAS COM ENTREGAS (303)"</f>
        <v>RECEITAS COM ENTREGAS (303)</v>
      </c>
      <c r="T672">
        <v>18565</v>
      </c>
      <c r="U672">
        <v>21080</v>
      </c>
      <c r="V672" t="s">
        <v>22</v>
      </c>
    </row>
    <row r="673" spans="1:22">
      <c r="A673" t="str">
        <f t="shared" si="129"/>
        <v>04/09/2025</v>
      </c>
      <c r="B673" t="str">
        <f t="shared" si="136"/>
        <v>ENTRADA</v>
      </c>
      <c r="C673" t="str">
        <f t="shared" si="137"/>
        <v>NFSE</v>
      </c>
      <c r="D673" t="str">
        <f>"3298"</f>
        <v>3298</v>
      </c>
      <c r="E673" t="str">
        <f t="shared" si="138"/>
        <v>1</v>
      </c>
      <c r="F673" t="str">
        <f t="shared" si="132"/>
        <v>COM</v>
      </c>
      <c r="G673" t="str">
        <f>"DROGARIA ANA VISCONDE DO RIO BRANCO (10182)"</f>
        <v>DROGARIA ANA VISCONDE DO RIO BRANCO (10182)</v>
      </c>
      <c r="H673" t="s">
        <v>274</v>
      </c>
      <c r="I673" t="str">
        <f t="shared" si="139"/>
        <v>03/09/2025</v>
      </c>
      <c r="J673" t="str">
        <f t="shared" si="140"/>
        <v>01/09/2025</v>
      </c>
      <c r="K673">
        <v>45904</v>
      </c>
      <c r="N673">
        <v>303</v>
      </c>
      <c r="O673" t="s">
        <v>69</v>
      </c>
      <c r="Q673">
        <v>4437.72</v>
      </c>
      <c r="R673" t="str">
        <f>"DROGARIA ANA VISCONDE DO RIO BRANCO (10182)"</f>
        <v>DROGARIA ANA VISCONDE DO RIO BRANCO (10182)</v>
      </c>
      <c r="S673" t="s">
        <v>70</v>
      </c>
      <c r="T673">
        <v>18565</v>
      </c>
      <c r="U673">
        <v>21080</v>
      </c>
      <c r="V673" t="s">
        <v>22</v>
      </c>
    </row>
    <row r="674" spans="1:22">
      <c r="A674" t="str">
        <f t="shared" si="129"/>
        <v>04/09/2025</v>
      </c>
      <c r="B674" t="str">
        <f t="shared" si="136"/>
        <v>ENTRADA</v>
      </c>
      <c r="C674" t="str">
        <f t="shared" si="137"/>
        <v>NFSE</v>
      </c>
      <c r="D674" t="str">
        <f>"3300"</f>
        <v>3300</v>
      </c>
      <c r="E674" t="str">
        <f t="shared" si="138"/>
        <v>1</v>
      </c>
      <c r="F674" t="str">
        <f t="shared" si="132"/>
        <v>COM</v>
      </c>
      <c r="G674" t="str">
        <f>"DROGARIA TOTAL JUNDIAI (10177)"</f>
        <v>DROGARIA TOTAL JUNDIAI (10177)</v>
      </c>
      <c r="H674" t="str">
        <f>"Serv.Prest. 25/08/2025 a 31/08/2025 - RPS: 1176 - NFSe: 3300"</f>
        <v>Serv.Prest. 25/08/2025 a 31/08/2025 - RPS: 1176 - NFSe: 3300</v>
      </c>
      <c r="I674" t="str">
        <f t="shared" si="139"/>
        <v>03/09/2025</v>
      </c>
      <c r="J674" t="str">
        <f t="shared" si="140"/>
        <v>01/09/2025</v>
      </c>
      <c r="K674" t="str">
        <f>("04/09/2025")</f>
        <v>04/09/2025</v>
      </c>
      <c r="L674">
        <v>902.42</v>
      </c>
      <c r="M674">
        <v>902.42</v>
      </c>
      <c r="N674">
        <v>303</v>
      </c>
      <c r="O674" t="str">
        <f>"RECEITAS COM ENTREGAS"</f>
        <v>RECEITAS COM ENTREGAS</v>
      </c>
      <c r="P674">
        <v>902.42</v>
      </c>
      <c r="S674" t="str">
        <f>"RECEITAS COM ENTREGAS (303)"</f>
        <v>RECEITAS COM ENTREGAS (303)</v>
      </c>
      <c r="T674">
        <v>18566</v>
      </c>
      <c r="U674">
        <v>21088</v>
      </c>
      <c r="V674" t="s">
        <v>22</v>
      </c>
    </row>
    <row r="675" spans="1:22">
      <c r="A675" t="str">
        <f t="shared" si="129"/>
        <v>04/09/2025</v>
      </c>
      <c r="B675" t="str">
        <f t="shared" si="136"/>
        <v>ENTRADA</v>
      </c>
      <c r="C675" t="str">
        <f t="shared" si="137"/>
        <v>NFSE</v>
      </c>
      <c r="D675" t="str">
        <f>"3300"</f>
        <v>3300</v>
      </c>
      <c r="E675" t="str">
        <f t="shared" si="138"/>
        <v>1</v>
      </c>
      <c r="F675" t="str">
        <f t="shared" si="132"/>
        <v>COM</v>
      </c>
      <c r="G675" t="str">
        <f>"DROGARIA TOTAL JUNDIAI (10177)"</f>
        <v>DROGARIA TOTAL JUNDIAI (10177)</v>
      </c>
      <c r="H675" t="s">
        <v>275</v>
      </c>
      <c r="I675" t="str">
        <f t="shared" si="139"/>
        <v>03/09/2025</v>
      </c>
      <c r="J675" t="str">
        <f t="shared" si="140"/>
        <v>01/09/2025</v>
      </c>
      <c r="K675">
        <v>45904</v>
      </c>
      <c r="N675">
        <v>303</v>
      </c>
      <c r="O675" t="s">
        <v>69</v>
      </c>
      <c r="Q675">
        <v>902.42</v>
      </c>
      <c r="R675" t="str">
        <f>"DROGARIA TOTAL JUNDIAI (10177)"</f>
        <v>DROGARIA TOTAL JUNDIAI (10177)</v>
      </c>
      <c r="S675" t="s">
        <v>70</v>
      </c>
      <c r="T675">
        <v>18566</v>
      </c>
      <c r="U675">
        <v>21088</v>
      </c>
      <c r="V675" t="s">
        <v>22</v>
      </c>
    </row>
    <row r="676" spans="1:22">
      <c r="A676" t="str">
        <f t="shared" si="129"/>
        <v>04/09/2025</v>
      </c>
      <c r="B676" t="str">
        <f t="shared" si="136"/>
        <v>ENTRADA</v>
      </c>
      <c r="C676" t="str">
        <f t="shared" si="137"/>
        <v>NFSE</v>
      </c>
      <c r="D676" t="str">
        <f>"3303"</f>
        <v>3303</v>
      </c>
      <c r="E676" t="str">
        <f t="shared" si="138"/>
        <v>1</v>
      </c>
      <c r="F676" t="str">
        <f t="shared" si="132"/>
        <v>COM</v>
      </c>
      <c r="G676" t="str">
        <f>"DROGA ELIDA (10121)"</f>
        <v>DROGA ELIDA (10121)</v>
      </c>
      <c r="H676" t="str">
        <f>"Serv.Prest. 25/08/2025 a 31/08/2025 - RPS: 1179 - NFSe: 3303"</f>
        <v>Serv.Prest. 25/08/2025 a 31/08/2025 - RPS: 1179 - NFSe: 3303</v>
      </c>
      <c r="I676" t="str">
        <f t="shared" si="139"/>
        <v>03/09/2025</v>
      </c>
      <c r="J676" t="str">
        <f t="shared" si="140"/>
        <v>01/09/2025</v>
      </c>
      <c r="K676" t="str">
        <f>("04/09/2025")</f>
        <v>04/09/2025</v>
      </c>
      <c r="L676">
        <v>1839.6</v>
      </c>
      <c r="M676">
        <v>1839.6</v>
      </c>
      <c r="N676">
        <v>303</v>
      </c>
      <c r="O676" t="str">
        <f>"RECEITAS COM ENTREGAS"</f>
        <v>RECEITAS COM ENTREGAS</v>
      </c>
      <c r="P676">
        <v>1839.6</v>
      </c>
      <c r="S676" t="str">
        <f>"RECEITAS COM ENTREGAS (303)"</f>
        <v>RECEITAS COM ENTREGAS (303)</v>
      </c>
      <c r="T676">
        <v>18567</v>
      </c>
      <c r="U676">
        <v>21097</v>
      </c>
      <c r="V676" t="s">
        <v>22</v>
      </c>
    </row>
    <row r="677" spans="1:22">
      <c r="A677" t="str">
        <f t="shared" si="129"/>
        <v>04/09/2025</v>
      </c>
      <c r="B677" t="str">
        <f t="shared" si="136"/>
        <v>ENTRADA</v>
      </c>
      <c r="C677" t="str">
        <f t="shared" si="137"/>
        <v>NFSE</v>
      </c>
      <c r="D677" t="str">
        <f>"3303"</f>
        <v>3303</v>
      </c>
      <c r="E677" t="str">
        <f t="shared" si="138"/>
        <v>1</v>
      </c>
      <c r="F677" t="str">
        <f t="shared" si="132"/>
        <v>COM</v>
      </c>
      <c r="G677" t="str">
        <f>"DROGA ELIDA (10121)"</f>
        <v>DROGA ELIDA (10121)</v>
      </c>
      <c r="H677" t="s">
        <v>276</v>
      </c>
      <c r="I677" t="str">
        <f t="shared" si="139"/>
        <v>03/09/2025</v>
      </c>
      <c r="J677" t="str">
        <f t="shared" si="140"/>
        <v>01/09/2025</v>
      </c>
      <c r="K677">
        <v>45904</v>
      </c>
      <c r="N677">
        <v>303</v>
      </c>
      <c r="O677" t="s">
        <v>69</v>
      </c>
      <c r="Q677">
        <v>1839.6</v>
      </c>
      <c r="R677" t="str">
        <f>"DROGA ELIDA (10121)"</f>
        <v>DROGA ELIDA (10121)</v>
      </c>
      <c r="S677" t="s">
        <v>70</v>
      </c>
      <c r="T677">
        <v>18567</v>
      </c>
      <c r="U677">
        <v>21097</v>
      </c>
      <c r="V677" t="s">
        <v>22</v>
      </c>
    </row>
    <row r="678" spans="1:22">
      <c r="A678" t="str">
        <f t="shared" si="129"/>
        <v>04/09/2025</v>
      </c>
      <c r="B678" t="str">
        <f t="shared" si="136"/>
        <v>ENTRADA</v>
      </c>
      <c r="C678" t="str">
        <f t="shared" si="137"/>
        <v>NFSE</v>
      </c>
      <c r="D678" t="str">
        <f>"3306"</f>
        <v>3306</v>
      </c>
      <c r="E678" t="str">
        <f t="shared" si="138"/>
        <v>1</v>
      </c>
      <c r="F678" t="str">
        <f t="shared" si="132"/>
        <v>COM</v>
      </c>
      <c r="G678" t="str">
        <f>"DROGARIA MEDIC CENTER LTDA (10172)"</f>
        <v>DROGARIA MEDIC CENTER LTDA (10172)</v>
      </c>
      <c r="H678" t="str">
        <f>"Serv.Prest. 25/08/2025 a 31/08/2025 - RPS: 1182 - NFSe: 3306"</f>
        <v>Serv.Prest. 25/08/2025 a 31/08/2025 - RPS: 1182 - NFSe: 3306</v>
      </c>
      <c r="I678" t="str">
        <f t="shared" si="139"/>
        <v>03/09/2025</v>
      </c>
      <c r="J678" t="str">
        <f t="shared" si="140"/>
        <v>01/09/2025</v>
      </c>
      <c r="K678" t="str">
        <f>("04/09/2025")</f>
        <v>04/09/2025</v>
      </c>
      <c r="L678">
        <v>2486.6999999999998</v>
      </c>
      <c r="M678">
        <v>2486.6999999999998</v>
      </c>
      <c r="N678">
        <v>303</v>
      </c>
      <c r="O678" t="str">
        <f>"RECEITAS COM ENTREGAS"</f>
        <v>RECEITAS COM ENTREGAS</v>
      </c>
      <c r="P678">
        <v>2486.6999999999998</v>
      </c>
      <c r="S678" t="str">
        <f>"RECEITAS COM ENTREGAS (303)"</f>
        <v>RECEITAS COM ENTREGAS (303)</v>
      </c>
      <c r="T678">
        <v>18568</v>
      </c>
      <c r="U678">
        <v>21105</v>
      </c>
      <c r="V678" t="s">
        <v>22</v>
      </c>
    </row>
    <row r="679" spans="1:22">
      <c r="A679" t="str">
        <f t="shared" si="129"/>
        <v>04/09/2025</v>
      </c>
      <c r="B679" t="str">
        <f t="shared" si="136"/>
        <v>ENTRADA</v>
      </c>
      <c r="C679" t="str">
        <f t="shared" si="137"/>
        <v>NFSE</v>
      </c>
      <c r="D679" t="str">
        <f>"3306"</f>
        <v>3306</v>
      </c>
      <c r="E679" t="str">
        <f t="shared" si="138"/>
        <v>1</v>
      </c>
      <c r="F679" t="str">
        <f t="shared" si="132"/>
        <v>COM</v>
      </c>
      <c r="G679" t="str">
        <f>"DROGARIA MEDIC CENTER LTDA (10172)"</f>
        <v>DROGARIA MEDIC CENTER LTDA (10172)</v>
      </c>
      <c r="H679" t="s">
        <v>277</v>
      </c>
      <c r="I679" t="str">
        <f t="shared" si="139"/>
        <v>03/09/2025</v>
      </c>
      <c r="J679" t="str">
        <f t="shared" si="140"/>
        <v>01/09/2025</v>
      </c>
      <c r="K679">
        <v>45904</v>
      </c>
      <c r="N679">
        <v>303</v>
      </c>
      <c r="O679" t="s">
        <v>69</v>
      </c>
      <c r="Q679">
        <v>2486.6999999999998</v>
      </c>
      <c r="R679" t="str">
        <f>"DROGARIA MEDIC CENTER LTDA (10172)"</f>
        <v>DROGARIA MEDIC CENTER LTDA (10172)</v>
      </c>
      <c r="S679" t="s">
        <v>70</v>
      </c>
      <c r="T679">
        <v>18568</v>
      </c>
      <c r="U679">
        <v>21105</v>
      </c>
      <c r="V679" t="s">
        <v>22</v>
      </c>
    </row>
    <row r="680" spans="1:22">
      <c r="A680" t="str">
        <f t="shared" si="129"/>
        <v>04/09/2025</v>
      </c>
      <c r="B680" t="str">
        <f t="shared" si="136"/>
        <v>ENTRADA</v>
      </c>
      <c r="C680" t="str">
        <f t="shared" si="137"/>
        <v>NFSE</v>
      </c>
      <c r="D680" t="str">
        <f>"3307"</f>
        <v>3307</v>
      </c>
      <c r="E680" t="str">
        <f t="shared" si="138"/>
        <v>1</v>
      </c>
      <c r="F680" t="str">
        <f t="shared" si="132"/>
        <v>COM</v>
      </c>
      <c r="G680" t="str">
        <f>"DROGARIA MORENO LTDA (10171)"</f>
        <v>DROGARIA MORENO LTDA (10171)</v>
      </c>
      <c r="H680" t="str">
        <f>"Serv.Prest. 25/08/2025 a 31/08/2025 - RPS: 1183 - NFSe: 3307"</f>
        <v>Serv.Prest. 25/08/2025 a 31/08/2025 - RPS: 1183 - NFSe: 3307</v>
      </c>
      <c r="I680" t="str">
        <f t="shared" si="139"/>
        <v>03/09/2025</v>
      </c>
      <c r="J680" t="str">
        <f t="shared" si="140"/>
        <v>01/09/2025</v>
      </c>
      <c r="K680" t="str">
        <f>("04/09/2025")</f>
        <v>04/09/2025</v>
      </c>
      <c r="L680">
        <v>3863.7</v>
      </c>
      <c r="M680">
        <v>3863.7</v>
      </c>
      <c r="N680">
        <v>303</v>
      </c>
      <c r="O680" t="str">
        <f>"RECEITAS COM ENTREGAS"</f>
        <v>RECEITAS COM ENTREGAS</v>
      </c>
      <c r="P680">
        <v>3863.7</v>
      </c>
      <c r="S680" t="str">
        <f>"RECEITAS COM ENTREGAS (303)"</f>
        <v>RECEITAS COM ENTREGAS (303)</v>
      </c>
      <c r="T680">
        <v>18569</v>
      </c>
      <c r="U680">
        <v>21111</v>
      </c>
      <c r="V680" t="s">
        <v>22</v>
      </c>
    </row>
    <row r="681" spans="1:22">
      <c r="A681" t="str">
        <f t="shared" si="129"/>
        <v>04/09/2025</v>
      </c>
      <c r="B681" t="str">
        <f t="shared" si="136"/>
        <v>ENTRADA</v>
      </c>
      <c r="C681" t="str">
        <f t="shared" si="137"/>
        <v>NFSE</v>
      </c>
      <c r="D681" t="str">
        <f>"3307"</f>
        <v>3307</v>
      </c>
      <c r="E681" t="str">
        <f t="shared" si="138"/>
        <v>1</v>
      </c>
      <c r="F681" t="str">
        <f t="shared" si="132"/>
        <v>COM</v>
      </c>
      <c r="G681" t="str">
        <f>"DROGARIA MORENO LTDA (10171)"</f>
        <v>DROGARIA MORENO LTDA (10171)</v>
      </c>
      <c r="H681" t="s">
        <v>278</v>
      </c>
      <c r="I681" t="str">
        <f t="shared" si="139"/>
        <v>03/09/2025</v>
      </c>
      <c r="J681" t="str">
        <f t="shared" si="140"/>
        <v>01/09/2025</v>
      </c>
      <c r="K681">
        <v>45904</v>
      </c>
      <c r="N681">
        <v>303</v>
      </c>
      <c r="O681" t="s">
        <v>69</v>
      </c>
      <c r="Q681">
        <v>3863.7</v>
      </c>
      <c r="R681" t="str">
        <f>"DROGARIA MORENO LTDA (10171)"</f>
        <v>DROGARIA MORENO LTDA (10171)</v>
      </c>
      <c r="S681" t="s">
        <v>70</v>
      </c>
      <c r="T681">
        <v>18569</v>
      </c>
      <c r="U681">
        <v>21111</v>
      </c>
      <c r="V681" t="s">
        <v>22</v>
      </c>
    </row>
    <row r="682" spans="1:22">
      <c r="A682" t="str">
        <f t="shared" si="129"/>
        <v>04/09/2025</v>
      </c>
      <c r="B682" t="str">
        <f t="shared" si="136"/>
        <v>ENTRADA</v>
      </c>
      <c r="C682" t="str">
        <f t="shared" si="137"/>
        <v>NFSE</v>
      </c>
      <c r="D682" t="str">
        <f>"3309"</f>
        <v>3309</v>
      </c>
      <c r="E682" t="str">
        <f t="shared" si="138"/>
        <v>1</v>
      </c>
      <c r="F682" t="str">
        <f t="shared" si="132"/>
        <v>COM</v>
      </c>
      <c r="G682" t="str">
        <f>"JAL FARMACIA E DROGARIA LJ 1 (10137)"</f>
        <v>JAL FARMACIA E DROGARIA LJ 1 (10137)</v>
      </c>
      <c r="H682" t="str">
        <f>"Serv.Prest. 25/08/2025 a 31/08/2025 - RPS: 1185 - NFSe: 3309"</f>
        <v>Serv.Prest. 25/08/2025 a 31/08/2025 - RPS: 1185 - NFSe: 3309</v>
      </c>
      <c r="I682" t="str">
        <f t="shared" si="139"/>
        <v>03/09/2025</v>
      </c>
      <c r="J682" t="str">
        <f t="shared" si="140"/>
        <v>01/09/2025</v>
      </c>
      <c r="K682" t="str">
        <f>("04/09/2025")</f>
        <v>04/09/2025</v>
      </c>
      <c r="L682">
        <v>2268</v>
      </c>
      <c r="M682">
        <v>2268</v>
      </c>
      <c r="N682">
        <v>303</v>
      </c>
      <c r="O682" t="str">
        <f>"RECEITAS COM ENTREGAS"</f>
        <v>RECEITAS COM ENTREGAS</v>
      </c>
      <c r="P682">
        <v>2268</v>
      </c>
      <c r="S682" t="str">
        <f>"RECEITAS COM ENTREGAS (303)"</f>
        <v>RECEITAS COM ENTREGAS (303)</v>
      </c>
      <c r="T682">
        <v>18570</v>
      </c>
      <c r="U682">
        <v>21121</v>
      </c>
      <c r="V682" t="s">
        <v>22</v>
      </c>
    </row>
    <row r="683" spans="1:22">
      <c r="A683" t="str">
        <f t="shared" si="129"/>
        <v>04/09/2025</v>
      </c>
      <c r="B683" t="str">
        <f t="shared" si="136"/>
        <v>ENTRADA</v>
      </c>
      <c r="C683" t="str">
        <f t="shared" si="137"/>
        <v>NFSE</v>
      </c>
      <c r="D683" t="str">
        <f>"3309"</f>
        <v>3309</v>
      </c>
      <c r="E683" t="str">
        <f t="shared" si="138"/>
        <v>1</v>
      </c>
      <c r="F683" t="str">
        <f t="shared" si="132"/>
        <v>COM</v>
      </c>
      <c r="G683" t="str">
        <f>"JAL FARMACIA E DROGARIA LJ 1 (10137)"</f>
        <v>JAL FARMACIA E DROGARIA LJ 1 (10137)</v>
      </c>
      <c r="H683" t="s">
        <v>279</v>
      </c>
      <c r="I683" t="str">
        <f t="shared" si="139"/>
        <v>03/09/2025</v>
      </c>
      <c r="J683" t="str">
        <f t="shared" si="140"/>
        <v>01/09/2025</v>
      </c>
      <c r="K683">
        <v>45904</v>
      </c>
      <c r="N683">
        <v>303</v>
      </c>
      <c r="O683" t="s">
        <v>69</v>
      </c>
      <c r="Q683">
        <v>2268</v>
      </c>
      <c r="R683" t="str">
        <f>"JAL FARMACIA E DROGARIA LJ 1 (10137)"</f>
        <v>JAL FARMACIA E DROGARIA LJ 1 (10137)</v>
      </c>
      <c r="S683" t="s">
        <v>70</v>
      </c>
      <c r="T683">
        <v>18570</v>
      </c>
      <c r="U683">
        <v>21121</v>
      </c>
      <c r="V683" t="s">
        <v>22</v>
      </c>
    </row>
    <row r="684" spans="1:22">
      <c r="A684" t="str">
        <f t="shared" si="129"/>
        <v>04/09/2025</v>
      </c>
      <c r="B684" t="str">
        <f t="shared" si="136"/>
        <v>ENTRADA</v>
      </c>
      <c r="C684" t="str">
        <f t="shared" si="137"/>
        <v>NFSE</v>
      </c>
      <c r="D684" t="str">
        <f>"3315"</f>
        <v>3315</v>
      </c>
      <c r="E684" t="str">
        <f t="shared" si="138"/>
        <v>1</v>
      </c>
      <c r="F684" t="str">
        <f t="shared" si="132"/>
        <v>COM</v>
      </c>
      <c r="G684" t="str">
        <f>"FARMACIA ECONOMIZE (10103)"</f>
        <v>FARMACIA ECONOMIZE (10103)</v>
      </c>
      <c r="H684" t="str">
        <f>"Serv.Prest. 25/08/2025 a 31/08/2025 - RPS: 1191 - NFSe: 3315"</f>
        <v>Serv.Prest. 25/08/2025 a 31/08/2025 - RPS: 1191 - NFSe: 3315</v>
      </c>
      <c r="I684" t="str">
        <f t="shared" si="139"/>
        <v>03/09/2025</v>
      </c>
      <c r="J684" t="str">
        <f>("02/09/2025")</f>
        <v>02/09/2025</v>
      </c>
      <c r="K684" t="str">
        <f>("04/09/2025")</f>
        <v>04/09/2025</v>
      </c>
      <c r="L684">
        <v>2439.36</v>
      </c>
      <c r="M684">
        <v>2439.36</v>
      </c>
      <c r="N684">
        <v>303</v>
      </c>
      <c r="O684" t="str">
        <f>"RECEITAS COM ENTREGAS"</f>
        <v>RECEITAS COM ENTREGAS</v>
      </c>
      <c r="P684">
        <v>2439.36</v>
      </c>
      <c r="S684" t="str">
        <f>"RECEITAS COM ENTREGAS (303)"</f>
        <v>RECEITAS COM ENTREGAS (303)</v>
      </c>
      <c r="T684">
        <v>18571</v>
      </c>
      <c r="U684">
        <v>21275</v>
      </c>
      <c r="V684" t="s">
        <v>22</v>
      </c>
    </row>
    <row r="685" spans="1:22">
      <c r="A685" t="str">
        <f t="shared" si="129"/>
        <v>04/09/2025</v>
      </c>
      <c r="B685" t="str">
        <f t="shared" si="136"/>
        <v>ENTRADA</v>
      </c>
      <c r="C685" t="str">
        <f t="shared" si="137"/>
        <v>NFSE</v>
      </c>
      <c r="D685" t="str">
        <f>"3315"</f>
        <v>3315</v>
      </c>
      <c r="E685" t="str">
        <f t="shared" si="138"/>
        <v>1</v>
      </c>
      <c r="F685" t="str">
        <f t="shared" si="132"/>
        <v>COM</v>
      </c>
      <c r="G685" t="str">
        <f>"FARMACIA ECONOMIZE (10103)"</f>
        <v>FARMACIA ECONOMIZE (10103)</v>
      </c>
      <c r="H685" t="s">
        <v>280</v>
      </c>
      <c r="I685" t="str">
        <f t="shared" si="139"/>
        <v>03/09/2025</v>
      </c>
      <c r="J685" t="str">
        <f>("02/09/2025")</f>
        <v>02/09/2025</v>
      </c>
      <c r="K685">
        <v>45904</v>
      </c>
      <c r="N685">
        <v>303</v>
      </c>
      <c r="O685" t="s">
        <v>69</v>
      </c>
      <c r="Q685">
        <v>2439.36</v>
      </c>
      <c r="R685" t="str">
        <f>"FARMACIA ECONOMIZE (10103)"</f>
        <v>FARMACIA ECONOMIZE (10103)</v>
      </c>
      <c r="S685" t="s">
        <v>70</v>
      </c>
      <c r="T685">
        <v>18571</v>
      </c>
      <c r="U685">
        <v>21275</v>
      </c>
      <c r="V685" t="s">
        <v>22</v>
      </c>
    </row>
    <row r="686" spans="1:22">
      <c r="A686" t="str">
        <f t="shared" si="129"/>
        <v>04/09/2025</v>
      </c>
      <c r="B686" t="str">
        <f t="shared" si="136"/>
        <v>ENTRADA</v>
      </c>
      <c r="C686" t="str">
        <f t="shared" si="137"/>
        <v>NFSE</v>
      </c>
      <c r="D686" t="str">
        <f>"3294"</f>
        <v>3294</v>
      </c>
      <c r="E686" t="str">
        <f t="shared" si="138"/>
        <v>1</v>
      </c>
      <c r="F686" t="str">
        <f t="shared" si="132"/>
        <v>COM</v>
      </c>
      <c r="G686" t="str">
        <f>"AC FARMA - FLEMINFARMA (10160)"</f>
        <v>AC FARMA - FLEMINFARMA (10160)</v>
      </c>
      <c r="H686" t="str">
        <f>"Serv.Prest. 18/08/2025 a 24/08/2025 - RPS: 1170 - NFSe: 3294"</f>
        <v>Serv.Prest. 18/08/2025 a 24/08/2025 - RPS: 1170 - NFSe: 3294</v>
      </c>
      <c r="I686" t="str">
        <f t="shared" si="139"/>
        <v>03/09/2025</v>
      </c>
      <c r="J686" t="str">
        <f>("27/08/2025")</f>
        <v>27/08/2025</v>
      </c>
      <c r="K686" t="str">
        <f>("04/09/2025")</f>
        <v>04/09/2025</v>
      </c>
      <c r="L686">
        <v>1406.16</v>
      </c>
      <c r="M686">
        <v>1406.16</v>
      </c>
      <c r="N686">
        <v>303</v>
      </c>
      <c r="O686" t="str">
        <f>"RECEITAS COM ENTREGAS"</f>
        <v>RECEITAS COM ENTREGAS</v>
      </c>
      <c r="P686">
        <v>1406.16</v>
      </c>
      <c r="S686" t="str">
        <f>"RECEITAS COM ENTREGAS (303)"</f>
        <v>RECEITAS COM ENTREGAS (303)</v>
      </c>
      <c r="T686">
        <v>18572</v>
      </c>
      <c r="U686">
        <v>21053</v>
      </c>
      <c r="V686" t="s">
        <v>22</v>
      </c>
    </row>
    <row r="687" spans="1:22">
      <c r="A687" t="str">
        <f t="shared" si="129"/>
        <v>04/09/2025</v>
      </c>
      <c r="B687" t="str">
        <f t="shared" si="136"/>
        <v>ENTRADA</v>
      </c>
      <c r="C687" t="str">
        <f t="shared" si="137"/>
        <v>NFSE</v>
      </c>
      <c r="D687" t="str">
        <f>"3294"</f>
        <v>3294</v>
      </c>
      <c r="E687" t="str">
        <f t="shared" si="138"/>
        <v>1</v>
      </c>
      <c r="F687" t="str">
        <f t="shared" si="132"/>
        <v>COM</v>
      </c>
      <c r="G687" t="str">
        <f>"AC FARMA - FLEMINFARMA (10160)"</f>
        <v>AC FARMA - FLEMINFARMA (10160)</v>
      </c>
      <c r="H687" t="s">
        <v>281</v>
      </c>
      <c r="I687" t="str">
        <f t="shared" si="139"/>
        <v>03/09/2025</v>
      </c>
      <c r="J687" t="str">
        <f>("27/08/2025")</f>
        <v>27/08/2025</v>
      </c>
      <c r="K687">
        <v>45904</v>
      </c>
      <c r="N687">
        <v>303</v>
      </c>
      <c r="O687" t="s">
        <v>69</v>
      </c>
      <c r="Q687">
        <v>1368.33</v>
      </c>
      <c r="R687" t="str">
        <f>"AC FARMA -  FLEMINFARMA (10159)"</f>
        <v>AC FARMA -  FLEMINFARMA (10159)</v>
      </c>
      <c r="S687" t="s">
        <v>70</v>
      </c>
      <c r="T687">
        <v>18572</v>
      </c>
      <c r="U687">
        <v>21053</v>
      </c>
      <c r="V687" t="s">
        <v>22</v>
      </c>
    </row>
    <row r="688" spans="1:22">
      <c r="A688" t="str">
        <f t="shared" si="129"/>
        <v>04/09/2025</v>
      </c>
      <c r="B688" t="str">
        <f t="shared" si="136"/>
        <v>ENTRADA</v>
      </c>
      <c r="C688" t="str">
        <f t="shared" si="137"/>
        <v>NFSE</v>
      </c>
      <c r="D688" t="str">
        <f>"3294"</f>
        <v>3294</v>
      </c>
      <c r="E688" t="str">
        <f t="shared" si="138"/>
        <v>1</v>
      </c>
      <c r="F688" t="str">
        <f t="shared" si="132"/>
        <v>COM</v>
      </c>
      <c r="G688" t="str">
        <f>"AC FARMA - FLEMINFARMA (10160)"</f>
        <v>AC FARMA - FLEMINFARMA (10160)</v>
      </c>
      <c r="H688" t="s">
        <v>281</v>
      </c>
      <c r="I688" t="str">
        <f t="shared" si="139"/>
        <v>03/09/2025</v>
      </c>
      <c r="J688" t="str">
        <f>("27/08/2025")</f>
        <v>27/08/2025</v>
      </c>
      <c r="K688">
        <v>45904</v>
      </c>
      <c r="N688">
        <v>303</v>
      </c>
      <c r="O688" t="s">
        <v>69</v>
      </c>
      <c r="Q688">
        <v>37.83</v>
      </c>
      <c r="R688" t="str">
        <f>"AC FARMA - FLEMINFARMA (10160)"</f>
        <v>AC FARMA - FLEMINFARMA (10160)</v>
      </c>
      <c r="S688" t="s">
        <v>70</v>
      </c>
      <c r="T688">
        <v>18572</v>
      </c>
      <c r="U688">
        <v>21053</v>
      </c>
      <c r="V688" t="s">
        <v>22</v>
      </c>
    </row>
    <row r="689" spans="1:22">
      <c r="A689" t="str">
        <f t="shared" si="129"/>
        <v>04/09/2025</v>
      </c>
      <c r="B689" t="str">
        <f t="shared" si="136"/>
        <v>ENTRADA</v>
      </c>
      <c r="C689" t="str">
        <f t="shared" si="137"/>
        <v>NFSE</v>
      </c>
      <c r="D689" t="str">
        <f>"3293"</f>
        <v>3293</v>
      </c>
      <c r="E689" t="str">
        <f t="shared" si="138"/>
        <v>1</v>
      </c>
      <c r="F689" t="str">
        <f t="shared" si="132"/>
        <v>COM</v>
      </c>
      <c r="G689" t="str">
        <f>"AC FARMA - CID.ALTA (10166)"</f>
        <v>AC FARMA - CID.ALTA (10166)</v>
      </c>
      <c r="H689" t="str">
        <f>"Serv.Prest. 18/08/2025 a 24/08/2025 - RPS: 1169 - NFSe: 3293"</f>
        <v>Serv.Prest. 18/08/2025 a 24/08/2025 - RPS: 1169 - NFSe: 3293</v>
      </c>
      <c r="I689" t="str">
        <f t="shared" si="139"/>
        <v>03/09/2025</v>
      </c>
      <c r="J689" t="str">
        <f>("27/08/2025")</f>
        <v>27/08/2025</v>
      </c>
      <c r="K689" t="str">
        <f>("04/09/2025")</f>
        <v>04/09/2025</v>
      </c>
      <c r="L689">
        <v>5654.88</v>
      </c>
      <c r="M689">
        <v>5654.88</v>
      </c>
      <c r="N689">
        <v>303</v>
      </c>
      <c r="O689" t="str">
        <f>"RECEITAS COM ENTREGAS"</f>
        <v>RECEITAS COM ENTREGAS</v>
      </c>
      <c r="P689">
        <v>5654.88</v>
      </c>
      <c r="S689" t="str">
        <f>"RECEITAS COM ENTREGAS (303)"</f>
        <v>RECEITAS COM ENTREGAS (303)</v>
      </c>
      <c r="T689">
        <v>18573</v>
      </c>
      <c r="U689">
        <v>21045</v>
      </c>
      <c r="V689" t="s">
        <v>22</v>
      </c>
    </row>
    <row r="690" spans="1:22">
      <c r="A690" t="str">
        <f t="shared" si="129"/>
        <v>04/09/2025</v>
      </c>
      <c r="B690" t="str">
        <f t="shared" si="136"/>
        <v>ENTRADA</v>
      </c>
      <c r="C690" t="str">
        <f t="shared" si="137"/>
        <v>NFSE</v>
      </c>
      <c r="D690" t="str">
        <f>"3293"</f>
        <v>3293</v>
      </c>
      <c r="E690" t="str">
        <f t="shared" si="138"/>
        <v>1</v>
      </c>
      <c r="F690" t="str">
        <f t="shared" si="132"/>
        <v>COM</v>
      </c>
      <c r="G690" t="str">
        <f>"AC FARMA - CID.ALTA (10166)"</f>
        <v>AC FARMA - CID.ALTA (10166)</v>
      </c>
      <c r="H690" t="s">
        <v>282</v>
      </c>
      <c r="I690" t="str">
        <f t="shared" si="139"/>
        <v>03/09/2025</v>
      </c>
      <c r="J690" t="str">
        <f>("27/08/2025")</f>
        <v>27/08/2025</v>
      </c>
      <c r="K690">
        <v>45904</v>
      </c>
      <c r="N690">
        <v>303</v>
      </c>
      <c r="O690" t="s">
        <v>69</v>
      </c>
      <c r="Q690">
        <v>5654.88</v>
      </c>
      <c r="R690" t="str">
        <f>"AC FARMA - CID.ALTA (10166)"</f>
        <v>AC FARMA - CID.ALTA (10166)</v>
      </c>
      <c r="S690" t="s">
        <v>70</v>
      </c>
      <c r="T690">
        <v>18573</v>
      </c>
      <c r="U690">
        <v>21045</v>
      </c>
      <c r="V690" t="s">
        <v>22</v>
      </c>
    </row>
    <row r="691" spans="1:22">
      <c r="A691" t="str">
        <f t="shared" si="129"/>
        <v>04/09/2025</v>
      </c>
      <c r="B691" t="str">
        <f t="shared" si="136"/>
        <v>ENTRADA</v>
      </c>
      <c r="C691" t="str">
        <f t="shared" si="137"/>
        <v>NFSE</v>
      </c>
      <c r="D691" t="str">
        <f>"3299"</f>
        <v>3299</v>
      </c>
      <c r="E691" t="str">
        <f t="shared" si="138"/>
        <v>1</v>
      </c>
      <c r="F691" t="str">
        <f t="shared" si="132"/>
        <v>COM</v>
      </c>
      <c r="G691" t="str">
        <f>"DROGARIA POUPA MINAS (ULTRAMINAS) 3 (10129)"</f>
        <v>DROGARIA POUPA MINAS (ULTRAMINAS) 3 (10129)</v>
      </c>
      <c r="H691" t="str">
        <f>"Serv.Prest. 25/08/2025 a 31/08/2025 - RPS: 1175 - NFSe: 3299"</f>
        <v>Serv.Prest. 25/08/2025 a 31/08/2025 - RPS: 1175 - NFSe: 3299</v>
      </c>
      <c r="I691" t="str">
        <f t="shared" ref="I691:I716" si="141">("04/09/2025")</f>
        <v>04/09/2025</v>
      </c>
      <c r="J691" t="str">
        <f t="shared" ref="J691:J718" si="142">("01/09/2025")</f>
        <v>01/09/2025</v>
      </c>
      <c r="K691" t="str">
        <f>("04/09/2025")</f>
        <v>04/09/2025</v>
      </c>
      <c r="L691">
        <v>1544.4</v>
      </c>
      <c r="M691">
        <v>1544.4</v>
      </c>
      <c r="N691">
        <v>303</v>
      </c>
      <c r="O691" t="str">
        <f>"RECEITAS COM ENTREGAS"</f>
        <v>RECEITAS COM ENTREGAS</v>
      </c>
      <c r="P691">
        <v>1544.4</v>
      </c>
      <c r="S691" t="str">
        <f>"RECEITAS COM ENTREGAS (303)"</f>
        <v>RECEITAS COM ENTREGAS (303)</v>
      </c>
      <c r="T691">
        <v>18575</v>
      </c>
      <c r="U691">
        <v>21086</v>
      </c>
      <c r="V691" t="s">
        <v>22</v>
      </c>
    </row>
    <row r="692" spans="1:22">
      <c r="A692" t="str">
        <f t="shared" si="129"/>
        <v>04/09/2025</v>
      </c>
      <c r="B692" t="str">
        <f t="shared" si="136"/>
        <v>ENTRADA</v>
      </c>
      <c r="C692" t="str">
        <f t="shared" si="137"/>
        <v>NFSE</v>
      </c>
      <c r="D692" t="str">
        <f>"3299"</f>
        <v>3299</v>
      </c>
      <c r="E692" t="str">
        <f t="shared" si="138"/>
        <v>1</v>
      </c>
      <c r="F692" t="str">
        <f t="shared" si="132"/>
        <v>COM</v>
      </c>
      <c r="G692" t="str">
        <f>"DROGARIA POUPA MINAS (ULTRAMINAS) 3 (10129)"</f>
        <v>DROGARIA POUPA MINAS (ULTRAMINAS) 3 (10129)</v>
      </c>
      <c r="H692" t="s">
        <v>283</v>
      </c>
      <c r="I692" t="str">
        <f t="shared" si="141"/>
        <v>04/09/2025</v>
      </c>
      <c r="J692" t="str">
        <f t="shared" si="142"/>
        <v>01/09/2025</v>
      </c>
      <c r="K692">
        <v>45904</v>
      </c>
      <c r="N692">
        <v>303</v>
      </c>
      <c r="O692" t="s">
        <v>69</v>
      </c>
      <c r="Q692">
        <v>1544.4</v>
      </c>
      <c r="R692" t="str">
        <f>"DROGARIA POUPA MINAS (ULTRAMINAS) 3 (10129)"</f>
        <v>DROGARIA POUPA MINAS (ULTRAMINAS) 3 (10129)</v>
      </c>
      <c r="S692" t="s">
        <v>70</v>
      </c>
      <c r="T692">
        <v>18575</v>
      </c>
      <c r="U692">
        <v>21086</v>
      </c>
      <c r="V692" t="s">
        <v>22</v>
      </c>
    </row>
    <row r="693" spans="1:22">
      <c r="A693" t="str">
        <f t="shared" si="129"/>
        <v>04/09/2025</v>
      </c>
      <c r="B693" t="str">
        <f t="shared" ref="B693:B716" si="143">"SAÍDA"</f>
        <v>SAÍDA</v>
      </c>
      <c r="C693" t="str">
        <f t="shared" ref="C693:C716" si="144">"CONHECIMENTO"</f>
        <v>CONHECIMENTO</v>
      </c>
      <c r="D693" t="str">
        <f t="shared" ref="D693:D716" si="145">"01092025"</f>
        <v>01092025</v>
      </c>
      <c r="E693" t="str">
        <f>"3"</f>
        <v>3</v>
      </c>
      <c r="F693" t="str">
        <f t="shared" si="132"/>
        <v>COM</v>
      </c>
      <c r="G693" t="str">
        <f t="shared" ref="G693:G716" si="146">"CORA SOCIEDADE DE CREDITO, FINANCIAMENTO E INVESTIMENTO (20035)"</f>
        <v>CORA SOCIEDADE DE CREDITO, FINANCIAMENTO E INVESTIMENTO (20035)</v>
      </c>
      <c r="H693" t="str">
        <f>"TAXA BOLETO "</f>
        <v xml:space="preserve">TAXA BOLETO </v>
      </c>
      <c r="I693" t="str">
        <f t="shared" si="141"/>
        <v>04/09/2025</v>
      </c>
      <c r="J693" t="str">
        <f t="shared" si="142"/>
        <v>01/09/2025</v>
      </c>
      <c r="K693" t="str">
        <f>("04/09/2025")</f>
        <v>04/09/2025</v>
      </c>
      <c r="L693">
        <v>1.7</v>
      </c>
      <c r="M693">
        <v>1.7</v>
      </c>
      <c r="N693">
        <v>401</v>
      </c>
      <c r="O693" t="str">
        <f>"IOF/JUROS/DESP.FINANCEIRA"</f>
        <v>IOF/JUROS/DESP.FINANCEIRA</v>
      </c>
      <c r="P693">
        <v>1.7</v>
      </c>
      <c r="S693" t="str">
        <f>"BANCO CORA (102)"</f>
        <v>BANCO CORA (102)</v>
      </c>
      <c r="T693">
        <v>21294</v>
      </c>
      <c r="U693">
        <v>25905</v>
      </c>
      <c r="V693" t="s">
        <v>22</v>
      </c>
    </row>
    <row r="694" spans="1:22">
      <c r="A694" t="str">
        <f t="shared" si="129"/>
        <v>04/09/2025</v>
      </c>
      <c r="B694" t="str">
        <f t="shared" si="143"/>
        <v>SAÍDA</v>
      </c>
      <c r="C694" t="str">
        <f t="shared" si="144"/>
        <v>CONHECIMENTO</v>
      </c>
      <c r="D694" t="str">
        <f t="shared" si="145"/>
        <v>01092025</v>
      </c>
      <c r="E694" t="str">
        <f>"3"</f>
        <v>3</v>
      </c>
      <c r="F694" t="str">
        <f t="shared" si="132"/>
        <v>COM</v>
      </c>
      <c r="G694" t="str">
        <f t="shared" si="146"/>
        <v>CORA SOCIEDADE DE CREDITO, FINANCIAMENTO E INVESTIMENTO (20035)</v>
      </c>
      <c r="H694" t="s">
        <v>75</v>
      </c>
      <c r="I694" t="str">
        <f t="shared" si="141"/>
        <v>04/09/2025</v>
      </c>
      <c r="J694" t="str">
        <f t="shared" si="142"/>
        <v>01/09/2025</v>
      </c>
      <c r="K694">
        <v>45904</v>
      </c>
      <c r="N694">
        <v>401</v>
      </c>
      <c r="O694" t="s">
        <v>76</v>
      </c>
      <c r="Q694">
        <v>1.7</v>
      </c>
      <c r="R694" t="str">
        <f>"CORA SOCIEDADE DE CREDITO, FINANCIAMENTO E INVESTIMENTO (20035)"</f>
        <v>CORA SOCIEDADE DE CREDITO, FINANCIAMENTO E INVESTIMENTO (20035)</v>
      </c>
      <c r="S694" t="s">
        <v>22</v>
      </c>
      <c r="T694">
        <v>21294</v>
      </c>
      <c r="U694">
        <v>25905</v>
      </c>
      <c r="V694" t="s">
        <v>22</v>
      </c>
    </row>
    <row r="695" spans="1:22">
      <c r="A695" t="str">
        <f t="shared" si="129"/>
        <v>04/09/2025</v>
      </c>
      <c r="B695" t="str">
        <f t="shared" si="143"/>
        <v>SAÍDA</v>
      </c>
      <c r="C695" t="str">
        <f t="shared" si="144"/>
        <v>CONHECIMENTO</v>
      </c>
      <c r="D695" t="str">
        <f t="shared" si="145"/>
        <v>01092025</v>
      </c>
      <c r="E695" t="str">
        <f>"4"</f>
        <v>4</v>
      </c>
      <c r="F695" t="str">
        <f t="shared" si="132"/>
        <v>COM</v>
      </c>
      <c r="G695" t="str">
        <f t="shared" si="146"/>
        <v>CORA SOCIEDADE DE CREDITO, FINANCIAMENTO E INVESTIMENTO (20035)</v>
      </c>
      <c r="H695" t="str">
        <f>"TAXA BOLETO "</f>
        <v xml:space="preserve">TAXA BOLETO </v>
      </c>
      <c r="I695" t="str">
        <f t="shared" si="141"/>
        <v>04/09/2025</v>
      </c>
      <c r="J695" t="str">
        <f t="shared" si="142"/>
        <v>01/09/2025</v>
      </c>
      <c r="K695" t="str">
        <f>("04/09/2025")</f>
        <v>04/09/2025</v>
      </c>
      <c r="L695">
        <v>1.7</v>
      </c>
      <c r="M695">
        <v>1.7</v>
      </c>
      <c r="N695">
        <v>401</v>
      </c>
      <c r="O695" t="str">
        <f>"IOF/JUROS/DESP.FINANCEIRA"</f>
        <v>IOF/JUROS/DESP.FINANCEIRA</v>
      </c>
      <c r="P695">
        <v>1.7</v>
      </c>
      <c r="S695" t="str">
        <f>"BANCO CORA (102)"</f>
        <v>BANCO CORA (102)</v>
      </c>
      <c r="T695">
        <v>21295</v>
      </c>
      <c r="U695">
        <v>25906</v>
      </c>
      <c r="V695" t="s">
        <v>22</v>
      </c>
    </row>
    <row r="696" spans="1:22">
      <c r="A696" t="str">
        <f t="shared" si="129"/>
        <v>04/09/2025</v>
      </c>
      <c r="B696" t="str">
        <f t="shared" si="143"/>
        <v>SAÍDA</v>
      </c>
      <c r="C696" t="str">
        <f t="shared" si="144"/>
        <v>CONHECIMENTO</v>
      </c>
      <c r="D696" t="str">
        <f t="shared" si="145"/>
        <v>01092025</v>
      </c>
      <c r="E696" t="str">
        <f>"4"</f>
        <v>4</v>
      </c>
      <c r="F696" t="str">
        <f t="shared" si="132"/>
        <v>COM</v>
      </c>
      <c r="G696" t="str">
        <f t="shared" si="146"/>
        <v>CORA SOCIEDADE DE CREDITO, FINANCIAMENTO E INVESTIMENTO (20035)</v>
      </c>
      <c r="H696" t="s">
        <v>75</v>
      </c>
      <c r="I696" t="str">
        <f t="shared" si="141"/>
        <v>04/09/2025</v>
      </c>
      <c r="J696" t="str">
        <f t="shared" si="142"/>
        <v>01/09/2025</v>
      </c>
      <c r="K696">
        <v>45904</v>
      </c>
      <c r="N696">
        <v>401</v>
      </c>
      <c r="O696" t="s">
        <v>76</v>
      </c>
      <c r="Q696">
        <v>1.7</v>
      </c>
      <c r="R696" t="str">
        <f>"CORA SOCIEDADE DE CREDITO, FINANCIAMENTO E INVESTIMENTO (20035)"</f>
        <v>CORA SOCIEDADE DE CREDITO, FINANCIAMENTO E INVESTIMENTO (20035)</v>
      </c>
      <c r="S696" t="s">
        <v>22</v>
      </c>
      <c r="T696">
        <v>21295</v>
      </c>
      <c r="U696">
        <v>25906</v>
      </c>
      <c r="V696" t="s">
        <v>22</v>
      </c>
    </row>
    <row r="697" spans="1:22">
      <c r="A697" t="str">
        <f t="shared" si="129"/>
        <v>04/09/2025</v>
      </c>
      <c r="B697" t="str">
        <f t="shared" si="143"/>
        <v>SAÍDA</v>
      </c>
      <c r="C697" t="str">
        <f t="shared" si="144"/>
        <v>CONHECIMENTO</v>
      </c>
      <c r="D697" t="str">
        <f t="shared" si="145"/>
        <v>01092025</v>
      </c>
      <c r="E697" t="str">
        <f>"5"</f>
        <v>5</v>
      </c>
      <c r="F697" t="str">
        <f t="shared" si="132"/>
        <v>COM</v>
      </c>
      <c r="G697" t="str">
        <f t="shared" si="146"/>
        <v>CORA SOCIEDADE DE CREDITO, FINANCIAMENTO E INVESTIMENTO (20035)</v>
      </c>
      <c r="H697" t="str">
        <f>"TAXA BOLETO "</f>
        <v xml:space="preserve">TAXA BOLETO </v>
      </c>
      <c r="I697" t="str">
        <f t="shared" si="141"/>
        <v>04/09/2025</v>
      </c>
      <c r="J697" t="str">
        <f t="shared" si="142"/>
        <v>01/09/2025</v>
      </c>
      <c r="K697" t="str">
        <f>("04/09/2025")</f>
        <v>04/09/2025</v>
      </c>
      <c r="L697">
        <v>1.7</v>
      </c>
      <c r="M697">
        <v>1.7</v>
      </c>
      <c r="N697">
        <v>401</v>
      </c>
      <c r="O697" t="str">
        <f>"IOF/JUROS/DESP.FINANCEIRA"</f>
        <v>IOF/JUROS/DESP.FINANCEIRA</v>
      </c>
      <c r="P697">
        <v>1.7</v>
      </c>
      <c r="S697" t="str">
        <f>"BANCO CORA (102)"</f>
        <v>BANCO CORA (102)</v>
      </c>
      <c r="T697">
        <v>21296</v>
      </c>
      <c r="U697">
        <v>25907</v>
      </c>
      <c r="V697" t="s">
        <v>22</v>
      </c>
    </row>
    <row r="698" spans="1:22">
      <c r="A698" t="str">
        <f t="shared" ref="A698:A731" si="147">("04/09/2025")</f>
        <v>04/09/2025</v>
      </c>
      <c r="B698" t="str">
        <f t="shared" si="143"/>
        <v>SAÍDA</v>
      </c>
      <c r="C698" t="str">
        <f t="shared" si="144"/>
        <v>CONHECIMENTO</v>
      </c>
      <c r="D698" t="str">
        <f t="shared" si="145"/>
        <v>01092025</v>
      </c>
      <c r="E698" t="str">
        <f>"5"</f>
        <v>5</v>
      </c>
      <c r="F698" t="str">
        <f t="shared" si="132"/>
        <v>COM</v>
      </c>
      <c r="G698" t="str">
        <f t="shared" si="146"/>
        <v>CORA SOCIEDADE DE CREDITO, FINANCIAMENTO E INVESTIMENTO (20035)</v>
      </c>
      <c r="H698" t="s">
        <v>75</v>
      </c>
      <c r="I698" t="str">
        <f t="shared" si="141"/>
        <v>04/09/2025</v>
      </c>
      <c r="J698" t="str">
        <f t="shared" si="142"/>
        <v>01/09/2025</v>
      </c>
      <c r="K698">
        <v>45904</v>
      </c>
      <c r="N698">
        <v>401</v>
      </c>
      <c r="O698" t="s">
        <v>76</v>
      </c>
      <c r="Q698">
        <v>1.7</v>
      </c>
      <c r="R698" t="str">
        <f>"CORA SOCIEDADE DE CREDITO, FINANCIAMENTO E INVESTIMENTO (20035)"</f>
        <v>CORA SOCIEDADE DE CREDITO, FINANCIAMENTO E INVESTIMENTO (20035)</v>
      </c>
      <c r="S698" t="s">
        <v>22</v>
      </c>
      <c r="T698">
        <v>21296</v>
      </c>
      <c r="U698">
        <v>25907</v>
      </c>
      <c r="V698" t="s">
        <v>22</v>
      </c>
    </row>
    <row r="699" spans="1:22">
      <c r="A699" t="str">
        <f t="shared" si="147"/>
        <v>04/09/2025</v>
      </c>
      <c r="B699" t="str">
        <f t="shared" si="143"/>
        <v>SAÍDA</v>
      </c>
      <c r="C699" t="str">
        <f t="shared" si="144"/>
        <v>CONHECIMENTO</v>
      </c>
      <c r="D699" t="str">
        <f t="shared" si="145"/>
        <v>01092025</v>
      </c>
      <c r="E699" t="str">
        <f>"6"</f>
        <v>6</v>
      </c>
      <c r="F699" t="str">
        <f t="shared" si="132"/>
        <v>COM</v>
      </c>
      <c r="G699" t="str">
        <f t="shared" si="146"/>
        <v>CORA SOCIEDADE DE CREDITO, FINANCIAMENTO E INVESTIMENTO (20035)</v>
      </c>
      <c r="H699" t="str">
        <f>"TAXA BOLETO "</f>
        <v xml:space="preserve">TAXA BOLETO </v>
      </c>
      <c r="I699" t="str">
        <f t="shared" si="141"/>
        <v>04/09/2025</v>
      </c>
      <c r="J699" t="str">
        <f t="shared" si="142"/>
        <v>01/09/2025</v>
      </c>
      <c r="K699" t="str">
        <f>("04/09/2025")</f>
        <v>04/09/2025</v>
      </c>
      <c r="L699">
        <v>1.7</v>
      </c>
      <c r="M699">
        <v>1.7</v>
      </c>
      <c r="N699">
        <v>401</v>
      </c>
      <c r="O699" t="str">
        <f>"IOF/JUROS/DESP.FINANCEIRA"</f>
        <v>IOF/JUROS/DESP.FINANCEIRA</v>
      </c>
      <c r="P699">
        <v>1.7</v>
      </c>
      <c r="S699" t="str">
        <f>"BANCO CORA (102)"</f>
        <v>BANCO CORA (102)</v>
      </c>
      <c r="T699">
        <v>21297</v>
      </c>
      <c r="U699">
        <v>25908</v>
      </c>
      <c r="V699" t="s">
        <v>22</v>
      </c>
    </row>
    <row r="700" spans="1:22">
      <c r="A700" t="str">
        <f t="shared" si="147"/>
        <v>04/09/2025</v>
      </c>
      <c r="B700" t="str">
        <f t="shared" si="143"/>
        <v>SAÍDA</v>
      </c>
      <c r="C700" t="str">
        <f t="shared" si="144"/>
        <v>CONHECIMENTO</v>
      </c>
      <c r="D700" t="str">
        <f t="shared" si="145"/>
        <v>01092025</v>
      </c>
      <c r="E700" t="str">
        <f>"6"</f>
        <v>6</v>
      </c>
      <c r="F700" t="str">
        <f t="shared" si="132"/>
        <v>COM</v>
      </c>
      <c r="G700" t="str">
        <f t="shared" si="146"/>
        <v>CORA SOCIEDADE DE CREDITO, FINANCIAMENTO E INVESTIMENTO (20035)</v>
      </c>
      <c r="H700" t="s">
        <v>75</v>
      </c>
      <c r="I700" t="str">
        <f t="shared" si="141"/>
        <v>04/09/2025</v>
      </c>
      <c r="J700" t="str">
        <f t="shared" si="142"/>
        <v>01/09/2025</v>
      </c>
      <c r="K700">
        <v>45904</v>
      </c>
      <c r="N700">
        <v>401</v>
      </c>
      <c r="O700" t="s">
        <v>76</v>
      </c>
      <c r="Q700">
        <v>1.7</v>
      </c>
      <c r="R700" t="str">
        <f>"CORA SOCIEDADE DE CREDITO, FINANCIAMENTO E INVESTIMENTO (20035)"</f>
        <v>CORA SOCIEDADE DE CREDITO, FINANCIAMENTO E INVESTIMENTO (20035)</v>
      </c>
      <c r="S700" t="s">
        <v>22</v>
      </c>
      <c r="T700">
        <v>21297</v>
      </c>
      <c r="U700">
        <v>25908</v>
      </c>
      <c r="V700" t="s">
        <v>22</v>
      </c>
    </row>
    <row r="701" spans="1:22">
      <c r="A701" t="str">
        <f t="shared" si="147"/>
        <v>04/09/2025</v>
      </c>
      <c r="B701" t="str">
        <f t="shared" si="143"/>
        <v>SAÍDA</v>
      </c>
      <c r="C701" t="str">
        <f t="shared" si="144"/>
        <v>CONHECIMENTO</v>
      </c>
      <c r="D701" t="str">
        <f t="shared" si="145"/>
        <v>01092025</v>
      </c>
      <c r="E701" t="str">
        <f>"7"</f>
        <v>7</v>
      </c>
      <c r="F701" t="str">
        <f t="shared" si="132"/>
        <v>COM</v>
      </c>
      <c r="G701" t="str">
        <f t="shared" si="146"/>
        <v>CORA SOCIEDADE DE CREDITO, FINANCIAMENTO E INVESTIMENTO (20035)</v>
      </c>
      <c r="H701" t="str">
        <f>"TAXA BOLETO "</f>
        <v xml:space="preserve">TAXA BOLETO </v>
      </c>
      <c r="I701" t="str">
        <f t="shared" si="141"/>
        <v>04/09/2025</v>
      </c>
      <c r="J701" t="str">
        <f t="shared" si="142"/>
        <v>01/09/2025</v>
      </c>
      <c r="K701" t="str">
        <f>("04/09/2025")</f>
        <v>04/09/2025</v>
      </c>
      <c r="L701">
        <v>1.7</v>
      </c>
      <c r="M701">
        <v>1.7</v>
      </c>
      <c r="N701">
        <v>401</v>
      </c>
      <c r="O701" t="str">
        <f>"IOF/JUROS/DESP.FINANCEIRA"</f>
        <v>IOF/JUROS/DESP.FINANCEIRA</v>
      </c>
      <c r="P701">
        <v>1.7</v>
      </c>
      <c r="S701" t="str">
        <f>"BANCO CORA (102)"</f>
        <v>BANCO CORA (102)</v>
      </c>
      <c r="T701">
        <v>21298</v>
      </c>
      <c r="U701">
        <v>25909</v>
      </c>
      <c r="V701" t="s">
        <v>22</v>
      </c>
    </row>
    <row r="702" spans="1:22">
      <c r="A702" t="str">
        <f t="shared" si="147"/>
        <v>04/09/2025</v>
      </c>
      <c r="B702" t="str">
        <f t="shared" si="143"/>
        <v>SAÍDA</v>
      </c>
      <c r="C702" t="str">
        <f t="shared" si="144"/>
        <v>CONHECIMENTO</v>
      </c>
      <c r="D702" t="str">
        <f t="shared" si="145"/>
        <v>01092025</v>
      </c>
      <c r="E702" t="str">
        <f>"7"</f>
        <v>7</v>
      </c>
      <c r="F702" t="str">
        <f t="shared" si="132"/>
        <v>COM</v>
      </c>
      <c r="G702" t="str">
        <f t="shared" si="146"/>
        <v>CORA SOCIEDADE DE CREDITO, FINANCIAMENTO E INVESTIMENTO (20035)</v>
      </c>
      <c r="H702" t="s">
        <v>75</v>
      </c>
      <c r="I702" t="str">
        <f t="shared" si="141"/>
        <v>04/09/2025</v>
      </c>
      <c r="J702" t="str">
        <f t="shared" si="142"/>
        <v>01/09/2025</v>
      </c>
      <c r="K702">
        <v>45904</v>
      </c>
      <c r="N702">
        <v>401</v>
      </c>
      <c r="O702" t="s">
        <v>76</v>
      </c>
      <c r="Q702">
        <v>1.7</v>
      </c>
      <c r="R702" t="str">
        <f>"CORA SOCIEDADE DE CREDITO, FINANCIAMENTO E INVESTIMENTO (20035)"</f>
        <v>CORA SOCIEDADE DE CREDITO, FINANCIAMENTO E INVESTIMENTO (20035)</v>
      </c>
      <c r="S702" t="s">
        <v>22</v>
      </c>
      <c r="T702">
        <v>21298</v>
      </c>
      <c r="U702">
        <v>25909</v>
      </c>
      <c r="V702" t="s">
        <v>22</v>
      </c>
    </row>
    <row r="703" spans="1:22">
      <c r="A703" t="str">
        <f t="shared" si="147"/>
        <v>04/09/2025</v>
      </c>
      <c r="B703" t="str">
        <f t="shared" si="143"/>
        <v>SAÍDA</v>
      </c>
      <c r="C703" t="str">
        <f t="shared" si="144"/>
        <v>CONHECIMENTO</v>
      </c>
      <c r="D703" t="str">
        <f t="shared" si="145"/>
        <v>01092025</v>
      </c>
      <c r="E703" t="str">
        <f>"8"</f>
        <v>8</v>
      </c>
      <c r="F703" t="str">
        <f t="shared" si="132"/>
        <v>COM</v>
      </c>
      <c r="G703" t="str">
        <f t="shared" si="146"/>
        <v>CORA SOCIEDADE DE CREDITO, FINANCIAMENTO E INVESTIMENTO (20035)</v>
      </c>
      <c r="H703" t="str">
        <f>"TAXA BOLETO "</f>
        <v xml:space="preserve">TAXA BOLETO </v>
      </c>
      <c r="I703" t="str">
        <f t="shared" si="141"/>
        <v>04/09/2025</v>
      </c>
      <c r="J703" t="str">
        <f t="shared" si="142"/>
        <v>01/09/2025</v>
      </c>
      <c r="K703" t="str">
        <f>("04/09/2025")</f>
        <v>04/09/2025</v>
      </c>
      <c r="L703">
        <v>1.7</v>
      </c>
      <c r="M703">
        <v>1.7</v>
      </c>
      <c r="N703">
        <v>401</v>
      </c>
      <c r="O703" t="str">
        <f>"IOF/JUROS/DESP.FINANCEIRA"</f>
        <v>IOF/JUROS/DESP.FINANCEIRA</v>
      </c>
      <c r="P703">
        <v>1.7</v>
      </c>
      <c r="S703" t="str">
        <f>"BANCO CORA (102)"</f>
        <v>BANCO CORA (102)</v>
      </c>
      <c r="T703">
        <v>21299</v>
      </c>
      <c r="U703">
        <v>25910</v>
      </c>
      <c r="V703" t="s">
        <v>22</v>
      </c>
    </row>
    <row r="704" spans="1:22">
      <c r="A704" t="str">
        <f t="shared" si="147"/>
        <v>04/09/2025</v>
      </c>
      <c r="B704" t="str">
        <f t="shared" si="143"/>
        <v>SAÍDA</v>
      </c>
      <c r="C704" t="str">
        <f t="shared" si="144"/>
        <v>CONHECIMENTO</v>
      </c>
      <c r="D704" t="str">
        <f t="shared" si="145"/>
        <v>01092025</v>
      </c>
      <c r="E704" t="str">
        <f>"8"</f>
        <v>8</v>
      </c>
      <c r="F704" t="str">
        <f t="shared" si="132"/>
        <v>COM</v>
      </c>
      <c r="G704" t="str">
        <f t="shared" si="146"/>
        <v>CORA SOCIEDADE DE CREDITO, FINANCIAMENTO E INVESTIMENTO (20035)</v>
      </c>
      <c r="H704" t="s">
        <v>75</v>
      </c>
      <c r="I704" t="str">
        <f t="shared" si="141"/>
        <v>04/09/2025</v>
      </c>
      <c r="J704" t="str">
        <f t="shared" si="142"/>
        <v>01/09/2025</v>
      </c>
      <c r="K704">
        <v>45904</v>
      </c>
      <c r="N704">
        <v>401</v>
      </c>
      <c r="O704" t="s">
        <v>76</v>
      </c>
      <c r="Q704">
        <v>1.7</v>
      </c>
      <c r="R704" t="str">
        <f>"CORA SOCIEDADE DE CREDITO, FINANCIAMENTO E INVESTIMENTO (20035)"</f>
        <v>CORA SOCIEDADE DE CREDITO, FINANCIAMENTO E INVESTIMENTO (20035)</v>
      </c>
      <c r="S704" t="s">
        <v>22</v>
      </c>
      <c r="T704">
        <v>21299</v>
      </c>
      <c r="U704">
        <v>25910</v>
      </c>
      <c r="V704" t="s">
        <v>22</v>
      </c>
    </row>
    <row r="705" spans="1:22">
      <c r="A705" t="str">
        <f t="shared" si="147"/>
        <v>04/09/2025</v>
      </c>
      <c r="B705" t="str">
        <f t="shared" si="143"/>
        <v>SAÍDA</v>
      </c>
      <c r="C705" t="str">
        <f t="shared" si="144"/>
        <v>CONHECIMENTO</v>
      </c>
      <c r="D705" t="str">
        <f t="shared" si="145"/>
        <v>01092025</v>
      </c>
      <c r="E705" t="str">
        <f>"9"</f>
        <v>9</v>
      </c>
      <c r="F705" t="str">
        <f t="shared" si="132"/>
        <v>COM</v>
      </c>
      <c r="G705" t="str">
        <f t="shared" si="146"/>
        <v>CORA SOCIEDADE DE CREDITO, FINANCIAMENTO E INVESTIMENTO (20035)</v>
      </c>
      <c r="H705" t="str">
        <f>"TAXA BOLETO "</f>
        <v xml:space="preserve">TAXA BOLETO </v>
      </c>
      <c r="I705" t="str">
        <f t="shared" si="141"/>
        <v>04/09/2025</v>
      </c>
      <c r="J705" t="str">
        <f t="shared" si="142"/>
        <v>01/09/2025</v>
      </c>
      <c r="K705" t="str">
        <f>("04/09/2025")</f>
        <v>04/09/2025</v>
      </c>
      <c r="L705">
        <v>1.7</v>
      </c>
      <c r="M705">
        <v>1.7</v>
      </c>
      <c r="N705">
        <v>401</v>
      </c>
      <c r="O705" t="str">
        <f>"IOF/JUROS/DESP.FINANCEIRA"</f>
        <v>IOF/JUROS/DESP.FINANCEIRA</v>
      </c>
      <c r="P705">
        <v>1.7</v>
      </c>
      <c r="S705" t="str">
        <f>"BANCO CORA (102)"</f>
        <v>BANCO CORA (102)</v>
      </c>
      <c r="T705">
        <v>21300</v>
      </c>
      <c r="U705">
        <v>25911</v>
      </c>
      <c r="V705" t="s">
        <v>22</v>
      </c>
    </row>
    <row r="706" spans="1:22">
      <c r="A706" t="str">
        <f t="shared" si="147"/>
        <v>04/09/2025</v>
      </c>
      <c r="B706" t="str">
        <f t="shared" si="143"/>
        <v>SAÍDA</v>
      </c>
      <c r="C706" t="str">
        <f t="shared" si="144"/>
        <v>CONHECIMENTO</v>
      </c>
      <c r="D706" t="str">
        <f t="shared" si="145"/>
        <v>01092025</v>
      </c>
      <c r="E706" t="str">
        <f>"9"</f>
        <v>9</v>
      </c>
      <c r="F706" t="str">
        <f t="shared" ref="F706:F729" si="148">"COM"</f>
        <v>COM</v>
      </c>
      <c r="G706" t="str">
        <f t="shared" si="146"/>
        <v>CORA SOCIEDADE DE CREDITO, FINANCIAMENTO E INVESTIMENTO (20035)</v>
      </c>
      <c r="H706" t="s">
        <v>75</v>
      </c>
      <c r="I706" t="str">
        <f t="shared" si="141"/>
        <v>04/09/2025</v>
      </c>
      <c r="J706" t="str">
        <f t="shared" si="142"/>
        <v>01/09/2025</v>
      </c>
      <c r="K706">
        <v>45904</v>
      </c>
      <c r="N706">
        <v>401</v>
      </c>
      <c r="O706" t="s">
        <v>76</v>
      </c>
      <c r="Q706">
        <v>1.7</v>
      </c>
      <c r="R706" t="str">
        <f>"CORA SOCIEDADE DE CREDITO, FINANCIAMENTO E INVESTIMENTO (20035)"</f>
        <v>CORA SOCIEDADE DE CREDITO, FINANCIAMENTO E INVESTIMENTO (20035)</v>
      </c>
      <c r="S706" t="s">
        <v>22</v>
      </c>
      <c r="T706">
        <v>21300</v>
      </c>
      <c r="U706">
        <v>25911</v>
      </c>
      <c r="V706" t="s">
        <v>22</v>
      </c>
    </row>
    <row r="707" spans="1:22">
      <c r="A707" t="str">
        <f t="shared" si="147"/>
        <v>04/09/2025</v>
      </c>
      <c r="B707" t="str">
        <f t="shared" si="143"/>
        <v>SAÍDA</v>
      </c>
      <c r="C707" t="str">
        <f t="shared" si="144"/>
        <v>CONHECIMENTO</v>
      </c>
      <c r="D707" t="str">
        <f t="shared" si="145"/>
        <v>01092025</v>
      </c>
      <c r="E707" t="str">
        <f>"10"</f>
        <v>10</v>
      </c>
      <c r="F707" t="str">
        <f t="shared" si="148"/>
        <v>COM</v>
      </c>
      <c r="G707" t="str">
        <f t="shared" si="146"/>
        <v>CORA SOCIEDADE DE CREDITO, FINANCIAMENTO E INVESTIMENTO (20035)</v>
      </c>
      <c r="H707" t="str">
        <f>"TAXA BOLETO "</f>
        <v xml:space="preserve">TAXA BOLETO </v>
      </c>
      <c r="I707" t="str">
        <f t="shared" si="141"/>
        <v>04/09/2025</v>
      </c>
      <c r="J707" t="str">
        <f t="shared" si="142"/>
        <v>01/09/2025</v>
      </c>
      <c r="K707" t="str">
        <f>("04/09/2025")</f>
        <v>04/09/2025</v>
      </c>
      <c r="L707">
        <v>1.7</v>
      </c>
      <c r="M707">
        <v>1.7</v>
      </c>
      <c r="N707">
        <v>401</v>
      </c>
      <c r="O707" t="str">
        <f>"IOF/JUROS/DESP.FINANCEIRA"</f>
        <v>IOF/JUROS/DESP.FINANCEIRA</v>
      </c>
      <c r="P707">
        <v>1.7</v>
      </c>
      <c r="S707" t="str">
        <f>"BANCO CORA (102)"</f>
        <v>BANCO CORA (102)</v>
      </c>
      <c r="T707">
        <v>21301</v>
      </c>
      <c r="U707">
        <v>25912</v>
      </c>
      <c r="V707" t="s">
        <v>22</v>
      </c>
    </row>
    <row r="708" spans="1:22">
      <c r="A708" t="str">
        <f t="shared" si="147"/>
        <v>04/09/2025</v>
      </c>
      <c r="B708" t="str">
        <f t="shared" si="143"/>
        <v>SAÍDA</v>
      </c>
      <c r="C708" t="str">
        <f t="shared" si="144"/>
        <v>CONHECIMENTO</v>
      </c>
      <c r="D708" t="str">
        <f t="shared" si="145"/>
        <v>01092025</v>
      </c>
      <c r="E708" t="str">
        <f>"10"</f>
        <v>10</v>
      </c>
      <c r="F708" t="str">
        <f t="shared" si="148"/>
        <v>COM</v>
      </c>
      <c r="G708" t="str">
        <f t="shared" si="146"/>
        <v>CORA SOCIEDADE DE CREDITO, FINANCIAMENTO E INVESTIMENTO (20035)</v>
      </c>
      <c r="H708" t="s">
        <v>75</v>
      </c>
      <c r="I708" t="str">
        <f t="shared" si="141"/>
        <v>04/09/2025</v>
      </c>
      <c r="J708" t="str">
        <f t="shared" si="142"/>
        <v>01/09/2025</v>
      </c>
      <c r="K708">
        <v>45904</v>
      </c>
      <c r="N708">
        <v>401</v>
      </c>
      <c r="O708" t="s">
        <v>76</v>
      </c>
      <c r="Q708">
        <v>1.7</v>
      </c>
      <c r="R708" t="str">
        <f>"CORA SOCIEDADE DE CREDITO, FINANCIAMENTO E INVESTIMENTO (20035)"</f>
        <v>CORA SOCIEDADE DE CREDITO, FINANCIAMENTO E INVESTIMENTO (20035)</v>
      </c>
      <c r="S708" t="s">
        <v>22</v>
      </c>
      <c r="T708">
        <v>21301</v>
      </c>
      <c r="U708">
        <v>25912</v>
      </c>
      <c r="V708" t="s">
        <v>22</v>
      </c>
    </row>
    <row r="709" spans="1:22">
      <c r="A709" t="str">
        <f t="shared" si="147"/>
        <v>04/09/2025</v>
      </c>
      <c r="B709" t="str">
        <f t="shared" si="143"/>
        <v>SAÍDA</v>
      </c>
      <c r="C709" t="str">
        <f t="shared" si="144"/>
        <v>CONHECIMENTO</v>
      </c>
      <c r="D709" t="str">
        <f t="shared" si="145"/>
        <v>01092025</v>
      </c>
      <c r="E709" t="str">
        <f>"11"</f>
        <v>11</v>
      </c>
      <c r="F709" t="str">
        <f t="shared" si="148"/>
        <v>COM</v>
      </c>
      <c r="G709" t="str">
        <f t="shared" si="146"/>
        <v>CORA SOCIEDADE DE CREDITO, FINANCIAMENTO E INVESTIMENTO (20035)</v>
      </c>
      <c r="H709" t="str">
        <f>"TAXA BOLETO "</f>
        <v xml:space="preserve">TAXA BOLETO </v>
      </c>
      <c r="I709" t="str">
        <f t="shared" si="141"/>
        <v>04/09/2025</v>
      </c>
      <c r="J709" t="str">
        <f t="shared" si="142"/>
        <v>01/09/2025</v>
      </c>
      <c r="K709" t="str">
        <f>("04/09/2025")</f>
        <v>04/09/2025</v>
      </c>
      <c r="L709">
        <v>1.7</v>
      </c>
      <c r="M709">
        <v>1.7</v>
      </c>
      <c r="N709">
        <v>401</v>
      </c>
      <c r="O709" t="str">
        <f>"IOF/JUROS/DESP.FINANCEIRA"</f>
        <v>IOF/JUROS/DESP.FINANCEIRA</v>
      </c>
      <c r="P709">
        <v>1.7</v>
      </c>
      <c r="S709" t="str">
        <f>"BANCO CORA (102)"</f>
        <v>BANCO CORA (102)</v>
      </c>
      <c r="T709">
        <v>21302</v>
      </c>
      <c r="U709">
        <v>25913</v>
      </c>
      <c r="V709" t="s">
        <v>22</v>
      </c>
    </row>
    <row r="710" spans="1:22">
      <c r="A710" t="str">
        <f t="shared" si="147"/>
        <v>04/09/2025</v>
      </c>
      <c r="B710" t="str">
        <f t="shared" si="143"/>
        <v>SAÍDA</v>
      </c>
      <c r="C710" t="str">
        <f t="shared" si="144"/>
        <v>CONHECIMENTO</v>
      </c>
      <c r="D710" t="str">
        <f t="shared" si="145"/>
        <v>01092025</v>
      </c>
      <c r="E710" t="str">
        <f>"11"</f>
        <v>11</v>
      </c>
      <c r="F710" t="str">
        <f t="shared" si="148"/>
        <v>COM</v>
      </c>
      <c r="G710" t="str">
        <f t="shared" si="146"/>
        <v>CORA SOCIEDADE DE CREDITO, FINANCIAMENTO E INVESTIMENTO (20035)</v>
      </c>
      <c r="H710" t="s">
        <v>75</v>
      </c>
      <c r="I710" t="str">
        <f t="shared" si="141"/>
        <v>04/09/2025</v>
      </c>
      <c r="J710" t="str">
        <f t="shared" si="142"/>
        <v>01/09/2025</v>
      </c>
      <c r="K710">
        <v>45904</v>
      </c>
      <c r="N710">
        <v>401</v>
      </c>
      <c r="O710" t="s">
        <v>76</v>
      </c>
      <c r="Q710">
        <v>1.7</v>
      </c>
      <c r="R710" t="str">
        <f>"CORA SOCIEDADE DE CREDITO, FINANCIAMENTO E INVESTIMENTO (20035)"</f>
        <v>CORA SOCIEDADE DE CREDITO, FINANCIAMENTO E INVESTIMENTO (20035)</v>
      </c>
      <c r="S710" t="s">
        <v>22</v>
      </c>
      <c r="T710">
        <v>21302</v>
      </c>
      <c r="U710">
        <v>25913</v>
      </c>
      <c r="V710" t="s">
        <v>22</v>
      </c>
    </row>
    <row r="711" spans="1:22">
      <c r="A711" t="str">
        <f t="shared" si="147"/>
        <v>04/09/2025</v>
      </c>
      <c r="B711" t="str">
        <f t="shared" si="143"/>
        <v>SAÍDA</v>
      </c>
      <c r="C711" t="str">
        <f t="shared" si="144"/>
        <v>CONHECIMENTO</v>
      </c>
      <c r="D711" t="str">
        <f t="shared" si="145"/>
        <v>01092025</v>
      </c>
      <c r="E711" t="str">
        <f>"12"</f>
        <v>12</v>
      </c>
      <c r="F711" t="str">
        <f t="shared" si="148"/>
        <v>COM</v>
      </c>
      <c r="G711" t="str">
        <f t="shared" si="146"/>
        <v>CORA SOCIEDADE DE CREDITO, FINANCIAMENTO E INVESTIMENTO (20035)</v>
      </c>
      <c r="H711" t="str">
        <f>"TAXA BOLETO "</f>
        <v xml:space="preserve">TAXA BOLETO </v>
      </c>
      <c r="I711" t="str">
        <f t="shared" si="141"/>
        <v>04/09/2025</v>
      </c>
      <c r="J711" t="str">
        <f t="shared" si="142"/>
        <v>01/09/2025</v>
      </c>
      <c r="K711" t="str">
        <f>("04/09/2025")</f>
        <v>04/09/2025</v>
      </c>
      <c r="L711">
        <v>1.7</v>
      </c>
      <c r="M711">
        <v>1.7</v>
      </c>
      <c r="N711">
        <v>401</v>
      </c>
      <c r="O711" t="str">
        <f>"IOF/JUROS/DESP.FINANCEIRA"</f>
        <v>IOF/JUROS/DESP.FINANCEIRA</v>
      </c>
      <c r="P711">
        <v>1.7</v>
      </c>
      <c r="S711" t="str">
        <f>"BANCO CORA (102)"</f>
        <v>BANCO CORA (102)</v>
      </c>
      <c r="T711">
        <v>21303</v>
      </c>
      <c r="U711">
        <v>25914</v>
      </c>
      <c r="V711" t="s">
        <v>22</v>
      </c>
    </row>
    <row r="712" spans="1:22">
      <c r="A712" t="str">
        <f t="shared" si="147"/>
        <v>04/09/2025</v>
      </c>
      <c r="B712" t="str">
        <f t="shared" si="143"/>
        <v>SAÍDA</v>
      </c>
      <c r="C712" t="str">
        <f t="shared" si="144"/>
        <v>CONHECIMENTO</v>
      </c>
      <c r="D712" t="str">
        <f t="shared" si="145"/>
        <v>01092025</v>
      </c>
      <c r="E712" t="str">
        <f>"12"</f>
        <v>12</v>
      </c>
      <c r="F712" t="str">
        <f t="shared" si="148"/>
        <v>COM</v>
      </c>
      <c r="G712" t="str">
        <f t="shared" si="146"/>
        <v>CORA SOCIEDADE DE CREDITO, FINANCIAMENTO E INVESTIMENTO (20035)</v>
      </c>
      <c r="H712" t="s">
        <v>75</v>
      </c>
      <c r="I712" t="str">
        <f t="shared" si="141"/>
        <v>04/09/2025</v>
      </c>
      <c r="J712" t="str">
        <f t="shared" si="142"/>
        <v>01/09/2025</v>
      </c>
      <c r="K712">
        <v>45904</v>
      </c>
      <c r="N712">
        <v>401</v>
      </c>
      <c r="O712" t="s">
        <v>76</v>
      </c>
      <c r="Q712">
        <v>1.7</v>
      </c>
      <c r="R712" t="str">
        <f>"CORA SOCIEDADE DE CREDITO, FINANCIAMENTO E INVESTIMENTO (20035)"</f>
        <v>CORA SOCIEDADE DE CREDITO, FINANCIAMENTO E INVESTIMENTO (20035)</v>
      </c>
      <c r="S712" t="s">
        <v>22</v>
      </c>
      <c r="T712">
        <v>21303</v>
      </c>
      <c r="U712">
        <v>25914</v>
      </c>
      <c r="V712" t="s">
        <v>22</v>
      </c>
    </row>
    <row r="713" spans="1:22">
      <c r="A713" t="str">
        <f t="shared" si="147"/>
        <v>04/09/2025</v>
      </c>
      <c r="B713" t="str">
        <f t="shared" si="143"/>
        <v>SAÍDA</v>
      </c>
      <c r="C713" t="str">
        <f t="shared" si="144"/>
        <v>CONHECIMENTO</v>
      </c>
      <c r="D713" t="str">
        <f t="shared" si="145"/>
        <v>01092025</v>
      </c>
      <c r="E713" t="str">
        <f>"13"</f>
        <v>13</v>
      </c>
      <c r="F713" t="str">
        <f t="shared" si="148"/>
        <v>COM</v>
      </c>
      <c r="G713" t="str">
        <f t="shared" si="146"/>
        <v>CORA SOCIEDADE DE CREDITO, FINANCIAMENTO E INVESTIMENTO (20035)</v>
      </c>
      <c r="H713" t="str">
        <f>"TAXA BOLETO "</f>
        <v xml:space="preserve">TAXA BOLETO </v>
      </c>
      <c r="I713" t="str">
        <f t="shared" si="141"/>
        <v>04/09/2025</v>
      </c>
      <c r="J713" t="str">
        <f t="shared" si="142"/>
        <v>01/09/2025</v>
      </c>
      <c r="K713" t="str">
        <f>("04/09/2025")</f>
        <v>04/09/2025</v>
      </c>
      <c r="L713">
        <v>1.7</v>
      </c>
      <c r="M713">
        <v>1.7</v>
      </c>
      <c r="N713">
        <v>401</v>
      </c>
      <c r="O713" t="str">
        <f>"IOF/JUROS/DESP.FINANCEIRA"</f>
        <v>IOF/JUROS/DESP.FINANCEIRA</v>
      </c>
      <c r="P713">
        <v>1.7</v>
      </c>
      <c r="S713" t="str">
        <f>"BANCO CORA (102)"</f>
        <v>BANCO CORA (102)</v>
      </c>
      <c r="T713">
        <v>21304</v>
      </c>
      <c r="U713">
        <v>25915</v>
      </c>
      <c r="V713" t="s">
        <v>22</v>
      </c>
    </row>
    <row r="714" spans="1:22">
      <c r="A714" t="str">
        <f t="shared" si="147"/>
        <v>04/09/2025</v>
      </c>
      <c r="B714" t="str">
        <f t="shared" si="143"/>
        <v>SAÍDA</v>
      </c>
      <c r="C714" t="str">
        <f t="shared" si="144"/>
        <v>CONHECIMENTO</v>
      </c>
      <c r="D714" t="str">
        <f t="shared" si="145"/>
        <v>01092025</v>
      </c>
      <c r="E714" t="str">
        <f>"13"</f>
        <v>13</v>
      </c>
      <c r="F714" t="str">
        <f t="shared" si="148"/>
        <v>COM</v>
      </c>
      <c r="G714" t="str">
        <f t="shared" si="146"/>
        <v>CORA SOCIEDADE DE CREDITO, FINANCIAMENTO E INVESTIMENTO (20035)</v>
      </c>
      <c r="H714" t="s">
        <v>75</v>
      </c>
      <c r="I714" t="str">
        <f t="shared" si="141"/>
        <v>04/09/2025</v>
      </c>
      <c r="J714" t="str">
        <f t="shared" si="142"/>
        <v>01/09/2025</v>
      </c>
      <c r="K714">
        <v>45904</v>
      </c>
      <c r="N714">
        <v>401</v>
      </c>
      <c r="O714" t="s">
        <v>76</v>
      </c>
      <c r="Q714">
        <v>1.7</v>
      </c>
      <c r="R714" t="str">
        <f>"CORA SOCIEDADE DE CREDITO, FINANCIAMENTO E INVESTIMENTO (20035)"</f>
        <v>CORA SOCIEDADE DE CREDITO, FINANCIAMENTO E INVESTIMENTO (20035)</v>
      </c>
      <c r="S714" t="s">
        <v>22</v>
      </c>
      <c r="T714">
        <v>21304</v>
      </c>
      <c r="U714">
        <v>25915</v>
      </c>
      <c r="V714" t="s">
        <v>22</v>
      </c>
    </row>
    <row r="715" spans="1:22">
      <c r="A715" t="str">
        <f t="shared" si="147"/>
        <v>04/09/2025</v>
      </c>
      <c r="B715" t="str">
        <f t="shared" si="143"/>
        <v>SAÍDA</v>
      </c>
      <c r="C715" t="str">
        <f t="shared" si="144"/>
        <v>CONHECIMENTO</v>
      </c>
      <c r="D715" t="str">
        <f t="shared" si="145"/>
        <v>01092025</v>
      </c>
      <c r="E715" t="str">
        <f>"14"</f>
        <v>14</v>
      </c>
      <c r="F715" t="str">
        <f t="shared" si="148"/>
        <v>COM</v>
      </c>
      <c r="G715" t="str">
        <f t="shared" si="146"/>
        <v>CORA SOCIEDADE DE CREDITO, FINANCIAMENTO E INVESTIMENTO (20035)</v>
      </c>
      <c r="H715" t="str">
        <f>"TAXA BOLETO "</f>
        <v xml:space="preserve">TAXA BOLETO </v>
      </c>
      <c r="I715" t="str">
        <f t="shared" si="141"/>
        <v>04/09/2025</v>
      </c>
      <c r="J715" t="str">
        <f t="shared" si="142"/>
        <v>01/09/2025</v>
      </c>
      <c r="K715" t="str">
        <f>("04/09/2025")</f>
        <v>04/09/2025</v>
      </c>
      <c r="L715">
        <v>1.7</v>
      </c>
      <c r="M715">
        <v>1.7</v>
      </c>
      <c r="N715">
        <v>401</v>
      </c>
      <c r="O715" t="str">
        <f>"IOF/JUROS/DESP.FINANCEIRA"</f>
        <v>IOF/JUROS/DESP.FINANCEIRA</v>
      </c>
      <c r="P715">
        <v>1.7</v>
      </c>
      <c r="S715" t="str">
        <f>"BANCO CORA (102)"</f>
        <v>BANCO CORA (102)</v>
      </c>
      <c r="T715">
        <v>21305</v>
      </c>
      <c r="U715">
        <v>25916</v>
      </c>
      <c r="V715" t="s">
        <v>22</v>
      </c>
    </row>
    <row r="716" spans="1:22">
      <c r="A716" t="str">
        <f t="shared" si="147"/>
        <v>04/09/2025</v>
      </c>
      <c r="B716" t="str">
        <f t="shared" si="143"/>
        <v>SAÍDA</v>
      </c>
      <c r="C716" t="str">
        <f t="shared" si="144"/>
        <v>CONHECIMENTO</v>
      </c>
      <c r="D716" t="str">
        <f t="shared" si="145"/>
        <v>01092025</v>
      </c>
      <c r="E716" t="str">
        <f>"14"</f>
        <v>14</v>
      </c>
      <c r="F716" t="str">
        <f t="shared" si="148"/>
        <v>COM</v>
      </c>
      <c r="G716" t="str">
        <f t="shared" si="146"/>
        <v>CORA SOCIEDADE DE CREDITO, FINANCIAMENTO E INVESTIMENTO (20035)</v>
      </c>
      <c r="H716" t="s">
        <v>75</v>
      </c>
      <c r="I716" t="str">
        <f t="shared" si="141"/>
        <v>04/09/2025</v>
      </c>
      <c r="J716" t="str">
        <f t="shared" si="142"/>
        <v>01/09/2025</v>
      </c>
      <c r="K716">
        <v>45904</v>
      </c>
      <c r="N716">
        <v>401</v>
      </c>
      <c r="O716" t="s">
        <v>76</v>
      </c>
      <c r="Q716">
        <v>1.7</v>
      </c>
      <c r="R716" t="str">
        <f>"CORA SOCIEDADE DE CREDITO, FINANCIAMENTO E INVESTIMENTO (20035)"</f>
        <v>CORA SOCIEDADE DE CREDITO, FINANCIAMENTO E INVESTIMENTO (20035)</v>
      </c>
      <c r="S716" t="s">
        <v>22</v>
      </c>
      <c r="T716">
        <v>21305</v>
      </c>
      <c r="U716">
        <v>25916</v>
      </c>
      <c r="V716" t="s">
        <v>22</v>
      </c>
    </row>
    <row r="717" spans="1:22">
      <c r="A717" t="str">
        <f t="shared" si="147"/>
        <v>04/09/2025</v>
      </c>
      <c r="B717" t="str">
        <f t="shared" ref="B717:B722" si="149">"ENTRADA"</f>
        <v>ENTRADA</v>
      </c>
      <c r="C717" t="str">
        <f t="shared" ref="C717:C722" si="150">"NFSE"</f>
        <v>NFSE</v>
      </c>
      <c r="D717" t="str">
        <f>"3310"</f>
        <v>3310</v>
      </c>
      <c r="E717" t="str">
        <f t="shared" ref="E717:E722" si="151">"1"</f>
        <v>1</v>
      </c>
      <c r="F717" t="str">
        <f t="shared" si="148"/>
        <v>COM</v>
      </c>
      <c r="G717" t="str">
        <f>"DROGARIA VAZ (10179)"</f>
        <v>DROGARIA VAZ (10179)</v>
      </c>
      <c r="H717" t="str">
        <f>"Serv.Prest. 25/08/2025 a 31/08/2025 - RPS: 1186 - NFSe: 3310"</f>
        <v>Serv.Prest. 25/08/2025 a 31/08/2025 - RPS: 1186 - NFSe: 3310</v>
      </c>
      <c r="I717" t="str">
        <f>("03/09/2025")</f>
        <v>03/09/2025</v>
      </c>
      <c r="J717" t="str">
        <f t="shared" si="142"/>
        <v>01/09/2025</v>
      </c>
      <c r="K717" t="str">
        <f>("04/09/2025")</f>
        <v>04/09/2025</v>
      </c>
      <c r="L717">
        <v>1167.33</v>
      </c>
      <c r="M717">
        <v>1191.05</v>
      </c>
      <c r="N717">
        <v>303</v>
      </c>
      <c r="O717" t="str">
        <f>"RECEITAS COM ENTREGAS"</f>
        <v>RECEITAS COM ENTREGAS</v>
      </c>
      <c r="P717">
        <v>1191.05</v>
      </c>
      <c r="S717" t="str">
        <f>"RECEITAS COM ENTREGAS (303)"</f>
        <v>RECEITAS COM ENTREGAS (303)</v>
      </c>
      <c r="T717">
        <v>21307</v>
      </c>
      <c r="U717">
        <v>21127</v>
      </c>
      <c r="V717" t="s">
        <v>22</v>
      </c>
    </row>
    <row r="718" spans="1:22">
      <c r="A718" t="str">
        <f t="shared" si="147"/>
        <v>04/09/2025</v>
      </c>
      <c r="B718" t="str">
        <f t="shared" si="149"/>
        <v>ENTRADA</v>
      </c>
      <c r="C718" t="str">
        <f t="shared" si="150"/>
        <v>NFSE</v>
      </c>
      <c r="D718" t="str">
        <f>"3310"</f>
        <v>3310</v>
      </c>
      <c r="E718" t="str">
        <f t="shared" si="151"/>
        <v>1</v>
      </c>
      <c r="F718" t="str">
        <f t="shared" si="148"/>
        <v>COM</v>
      </c>
      <c r="G718" t="str">
        <f>"DROGARIA VAZ (10179)"</f>
        <v>DROGARIA VAZ (10179)</v>
      </c>
      <c r="H718" t="s">
        <v>284</v>
      </c>
      <c r="I718" t="str">
        <f>("03/09/2025")</f>
        <v>03/09/2025</v>
      </c>
      <c r="J718" t="str">
        <f t="shared" si="142"/>
        <v>01/09/2025</v>
      </c>
      <c r="K718">
        <v>45904</v>
      </c>
      <c r="N718">
        <v>303</v>
      </c>
      <c r="O718" t="s">
        <v>69</v>
      </c>
      <c r="Q718">
        <v>1191.05</v>
      </c>
      <c r="R718" t="str">
        <f>"DROGARIA VAZ (10179)"</f>
        <v>DROGARIA VAZ (10179)</v>
      </c>
      <c r="S718" t="s">
        <v>70</v>
      </c>
      <c r="T718">
        <v>21307</v>
      </c>
      <c r="U718">
        <v>21127</v>
      </c>
      <c r="V718" t="s">
        <v>22</v>
      </c>
    </row>
    <row r="719" spans="1:22">
      <c r="A719" t="str">
        <f t="shared" si="147"/>
        <v>04/09/2025</v>
      </c>
      <c r="B719" t="str">
        <f t="shared" si="149"/>
        <v>ENTRADA</v>
      </c>
      <c r="C719" t="str">
        <f t="shared" si="150"/>
        <v>NFSE</v>
      </c>
      <c r="D719" t="str">
        <f>"3282"</f>
        <v>3282</v>
      </c>
      <c r="E719" t="str">
        <f t="shared" si="151"/>
        <v>1</v>
      </c>
      <c r="F719" t="str">
        <f t="shared" si="148"/>
        <v>COM</v>
      </c>
      <c r="G719" t="str">
        <f>"PAGMENOS - LJ 608 (10135)"</f>
        <v>PAGMENOS - LJ 608 (10135)</v>
      </c>
      <c r="H719" t="str">
        <f>"Serv.Prest. 18/08/2025 a 24/08/2025 - RPS: 1158 - NFSe: 3282"</f>
        <v>Serv.Prest. 18/08/2025 a 24/08/2025 - RPS: 1158 - NFSe: 3282</v>
      </c>
      <c r="I719" t="str">
        <f t="shared" ref="I719:I731" si="152">("04/09/2025")</f>
        <v>04/09/2025</v>
      </c>
      <c r="J719" t="str">
        <f>("25/08/2025")</f>
        <v>25/08/2025</v>
      </c>
      <c r="K719" t="str">
        <f>("04/09/2025")</f>
        <v>04/09/2025</v>
      </c>
      <c r="L719">
        <v>1922.28</v>
      </c>
      <c r="M719">
        <v>1922.28</v>
      </c>
      <c r="N719">
        <v>303</v>
      </c>
      <c r="O719" t="str">
        <f>"RECEITAS COM ENTREGAS"</f>
        <v>RECEITAS COM ENTREGAS</v>
      </c>
      <c r="P719">
        <v>1922.28</v>
      </c>
      <c r="S719" t="str">
        <f>"RECEITAS COM ENTREGAS (303)"</f>
        <v>RECEITAS COM ENTREGAS (303)</v>
      </c>
      <c r="T719">
        <v>21309</v>
      </c>
      <c r="U719">
        <v>20826</v>
      </c>
      <c r="V719" t="s">
        <v>22</v>
      </c>
    </row>
    <row r="720" spans="1:22">
      <c r="A720" t="str">
        <f t="shared" si="147"/>
        <v>04/09/2025</v>
      </c>
      <c r="B720" t="str">
        <f t="shared" si="149"/>
        <v>ENTRADA</v>
      </c>
      <c r="C720" t="str">
        <f t="shared" si="150"/>
        <v>NFSE</v>
      </c>
      <c r="D720" t="str">
        <f>"3282"</f>
        <v>3282</v>
      </c>
      <c r="E720" t="str">
        <f t="shared" si="151"/>
        <v>1</v>
      </c>
      <c r="F720" t="str">
        <f t="shared" si="148"/>
        <v>COM</v>
      </c>
      <c r="G720" t="str">
        <f>"PAGMENOS - LJ 608 (10135)"</f>
        <v>PAGMENOS - LJ 608 (10135)</v>
      </c>
      <c r="H720" t="s">
        <v>285</v>
      </c>
      <c r="I720" t="str">
        <f t="shared" si="152"/>
        <v>04/09/2025</v>
      </c>
      <c r="J720" t="str">
        <f>("25/08/2025")</f>
        <v>25/08/2025</v>
      </c>
      <c r="K720">
        <v>45904</v>
      </c>
      <c r="N720">
        <v>303</v>
      </c>
      <c r="O720" t="s">
        <v>69</v>
      </c>
      <c r="Q720">
        <v>1922.28</v>
      </c>
      <c r="R720" t="str">
        <f>"PAGMENOS - LJ 608 (10135)"</f>
        <v>PAGMENOS - LJ 608 (10135)</v>
      </c>
      <c r="S720" t="s">
        <v>70</v>
      </c>
      <c r="T720">
        <v>21309</v>
      </c>
      <c r="U720">
        <v>20826</v>
      </c>
      <c r="V720" t="s">
        <v>22</v>
      </c>
    </row>
    <row r="721" spans="1:22">
      <c r="A721" t="str">
        <f t="shared" si="147"/>
        <v>04/09/2025</v>
      </c>
      <c r="B721" t="str">
        <f t="shared" si="149"/>
        <v>ENTRADA</v>
      </c>
      <c r="C721" t="str">
        <f t="shared" si="150"/>
        <v>NFSE</v>
      </c>
      <c r="D721" t="str">
        <f>"3283"</f>
        <v>3283</v>
      </c>
      <c r="E721" t="str">
        <f t="shared" si="151"/>
        <v>1</v>
      </c>
      <c r="F721" t="str">
        <f t="shared" si="148"/>
        <v>COM</v>
      </c>
      <c r="G721" t="str">
        <f>"PAGMENOS - LJ 657 (10136)"</f>
        <v>PAGMENOS - LJ 657 (10136)</v>
      </c>
      <c r="H721" t="str">
        <f>"Serv.Prest. 18/08/2025 a 24/08/2025 - RPS: 1159 - NFSe: 3283"</f>
        <v>Serv.Prest. 18/08/2025 a 24/08/2025 - RPS: 1159 - NFSe: 3283</v>
      </c>
      <c r="I721" t="str">
        <f t="shared" si="152"/>
        <v>04/09/2025</v>
      </c>
      <c r="J721" t="str">
        <f>("25/08/2025")</f>
        <v>25/08/2025</v>
      </c>
      <c r="K721" t="str">
        <f>("04/09/2025")</f>
        <v>04/09/2025</v>
      </c>
      <c r="L721">
        <v>1605.89</v>
      </c>
      <c r="M721">
        <v>1589.85</v>
      </c>
      <c r="N721">
        <v>303</v>
      </c>
      <c r="O721" t="str">
        <f>"RECEITAS COM ENTREGAS"</f>
        <v>RECEITAS COM ENTREGAS</v>
      </c>
      <c r="P721">
        <v>1589.85</v>
      </c>
      <c r="S721" t="str">
        <f>"RECEITAS COM ENTREGAS (303)"</f>
        <v>RECEITAS COM ENTREGAS (303)</v>
      </c>
      <c r="T721">
        <v>21312</v>
      </c>
      <c r="U721">
        <v>20829</v>
      </c>
      <c r="V721" t="s">
        <v>22</v>
      </c>
    </row>
    <row r="722" spans="1:22">
      <c r="A722" t="str">
        <f t="shared" si="147"/>
        <v>04/09/2025</v>
      </c>
      <c r="B722" t="str">
        <f t="shared" si="149"/>
        <v>ENTRADA</v>
      </c>
      <c r="C722" t="str">
        <f t="shared" si="150"/>
        <v>NFSE</v>
      </c>
      <c r="D722" t="str">
        <f>"3283"</f>
        <v>3283</v>
      </c>
      <c r="E722" t="str">
        <f t="shared" si="151"/>
        <v>1</v>
      </c>
      <c r="F722" t="str">
        <f t="shared" si="148"/>
        <v>COM</v>
      </c>
      <c r="G722" t="str">
        <f>"PAGMENOS - LJ 657 (10136)"</f>
        <v>PAGMENOS - LJ 657 (10136)</v>
      </c>
      <c r="H722" t="s">
        <v>286</v>
      </c>
      <c r="I722" t="str">
        <f t="shared" si="152"/>
        <v>04/09/2025</v>
      </c>
      <c r="J722" t="str">
        <f>("25/08/2025")</f>
        <v>25/08/2025</v>
      </c>
      <c r="K722">
        <v>45904</v>
      </c>
      <c r="N722">
        <v>303</v>
      </c>
      <c r="O722" t="s">
        <v>69</v>
      </c>
      <c r="Q722">
        <v>1589.85</v>
      </c>
      <c r="R722" t="str">
        <f>"PAGMENOS - LJ 657 (10136)"</f>
        <v>PAGMENOS - LJ 657 (10136)</v>
      </c>
      <c r="S722" t="s">
        <v>70</v>
      </c>
      <c r="T722">
        <v>21312</v>
      </c>
      <c r="U722">
        <v>20829</v>
      </c>
      <c r="V722" t="s">
        <v>22</v>
      </c>
    </row>
    <row r="723" spans="1:22">
      <c r="A723" t="str">
        <f t="shared" si="147"/>
        <v>04/09/2025</v>
      </c>
      <c r="B723" t="str">
        <f t="shared" ref="B723:B730" si="153">"SAÍDA"</f>
        <v>SAÍDA</v>
      </c>
      <c r="C723" t="str">
        <f>"CONHECIMENTO"</f>
        <v>CONHECIMENTO</v>
      </c>
      <c r="D723" t="str">
        <f>"01092025"</f>
        <v>01092025</v>
      </c>
      <c r="E723" t="str">
        <f>"2"</f>
        <v>2</v>
      </c>
      <c r="F723" t="str">
        <f t="shared" si="148"/>
        <v>COM</v>
      </c>
      <c r="G723" t="str">
        <f>"CORA SOCIEDADE DE CREDITO, FINANCIAMENTO E INVESTIMENTO (20035)"</f>
        <v>CORA SOCIEDADE DE CREDITO, FINANCIAMENTO E INVESTIMENTO (20035)</v>
      </c>
      <c r="H723" t="str">
        <f>"TAXA BOLETO "</f>
        <v xml:space="preserve">TAXA BOLETO </v>
      </c>
      <c r="I723" t="str">
        <f t="shared" si="152"/>
        <v>04/09/2025</v>
      </c>
      <c r="J723" t="str">
        <f>("01/09/2025")</f>
        <v>01/09/2025</v>
      </c>
      <c r="K723" t="str">
        <f>("04/09/2025")</f>
        <v>04/09/2025</v>
      </c>
      <c r="L723">
        <v>0.5</v>
      </c>
      <c r="M723">
        <v>0.5</v>
      </c>
      <c r="N723">
        <v>401</v>
      </c>
      <c r="O723" t="str">
        <f>"IOF/JUROS/DESP.FINANCEIRA"</f>
        <v>IOF/JUROS/DESP.FINANCEIRA</v>
      </c>
      <c r="P723">
        <v>0.5</v>
      </c>
      <c r="S723" t="str">
        <f>"BANCO CORA (102)"</f>
        <v>BANCO CORA (102)</v>
      </c>
      <c r="T723">
        <v>21313</v>
      </c>
      <c r="U723">
        <v>25904</v>
      </c>
      <c r="V723" t="s">
        <v>22</v>
      </c>
    </row>
    <row r="724" spans="1:22">
      <c r="A724" t="str">
        <f t="shared" si="147"/>
        <v>04/09/2025</v>
      </c>
      <c r="B724" t="str">
        <f t="shared" si="153"/>
        <v>SAÍDA</v>
      </c>
      <c r="C724" t="str">
        <f>"CONHECIMENTO"</f>
        <v>CONHECIMENTO</v>
      </c>
      <c r="D724" t="str">
        <f>"01092025"</f>
        <v>01092025</v>
      </c>
      <c r="E724" t="str">
        <f>"2"</f>
        <v>2</v>
      </c>
      <c r="F724" t="str">
        <f t="shared" si="148"/>
        <v>COM</v>
      </c>
      <c r="G724" t="str">
        <f>"CORA SOCIEDADE DE CREDITO, FINANCIAMENTO E INVESTIMENTO (20035)"</f>
        <v>CORA SOCIEDADE DE CREDITO, FINANCIAMENTO E INVESTIMENTO (20035)</v>
      </c>
      <c r="H724" t="s">
        <v>75</v>
      </c>
      <c r="I724" t="str">
        <f t="shared" si="152"/>
        <v>04/09/2025</v>
      </c>
      <c r="J724" t="str">
        <f>("01/09/2025")</f>
        <v>01/09/2025</v>
      </c>
      <c r="K724">
        <v>45904</v>
      </c>
      <c r="N724">
        <v>401</v>
      </c>
      <c r="O724" t="s">
        <v>76</v>
      </c>
      <c r="Q724">
        <v>0.5</v>
      </c>
      <c r="R724" t="str">
        <f>"CORA SOCIEDADE DE CREDITO, FINANCIAMENTO E INVESTIMENTO (20035)"</f>
        <v>CORA SOCIEDADE DE CREDITO, FINANCIAMENTO E INVESTIMENTO (20035)</v>
      </c>
      <c r="S724" t="s">
        <v>22</v>
      </c>
      <c r="T724">
        <v>21313</v>
      </c>
      <c r="U724">
        <v>25904</v>
      </c>
      <c r="V724" t="s">
        <v>22</v>
      </c>
    </row>
    <row r="725" spans="1:22">
      <c r="A725" t="str">
        <f t="shared" si="147"/>
        <v>04/09/2025</v>
      </c>
      <c r="B725" t="str">
        <f t="shared" si="153"/>
        <v>SAÍDA</v>
      </c>
      <c r="C725" t="str">
        <f>"PIX"</f>
        <v>PIX</v>
      </c>
      <c r="D725" t="str">
        <f>"20839"</f>
        <v>20839</v>
      </c>
      <c r="E725" t="str">
        <f>"1"</f>
        <v>1</v>
      </c>
      <c r="F725" t="str">
        <f t="shared" si="148"/>
        <v>COM</v>
      </c>
      <c r="G725" t="str">
        <f>"ADRYAN NUNES MARTINS (857)"</f>
        <v>ADRYAN NUNES MARTINS (857)</v>
      </c>
      <c r="H725" t="str">
        <f>"Serv.Prest. 18/08/2025 a 24/08/2025 - PIX: CPF - CHAVE: 021.178.446-00"</f>
        <v>Serv.Prest. 18/08/2025 a 24/08/2025 - PIX: CPF - CHAVE: 021.178.446-00</v>
      </c>
      <c r="I725" t="str">
        <f t="shared" si="152"/>
        <v>04/09/2025</v>
      </c>
      <c r="J725" t="str">
        <f>("25/08/2025")</f>
        <v>25/08/2025</v>
      </c>
      <c r="K725" t="str">
        <f>("04/09/2025")</f>
        <v>04/09/2025</v>
      </c>
      <c r="L725">
        <v>700.8</v>
      </c>
      <c r="M725">
        <v>700.8</v>
      </c>
      <c r="N725">
        <v>109</v>
      </c>
      <c r="O725" t="str">
        <f>"PAGAMENTO DE ENTREGADORES"</f>
        <v>PAGAMENTO DE ENTREGADORES</v>
      </c>
      <c r="P725">
        <v>700.8</v>
      </c>
      <c r="S725" t="str">
        <f>"BANCO C6 (149)"</f>
        <v>BANCO C6 (149)</v>
      </c>
      <c r="T725">
        <v>23410</v>
      </c>
      <c r="U725">
        <v>20839</v>
      </c>
      <c r="V725" t="s">
        <v>77</v>
      </c>
    </row>
    <row r="726" spans="1:22">
      <c r="A726" t="str">
        <f t="shared" si="147"/>
        <v>04/09/2025</v>
      </c>
      <c r="B726" t="str">
        <f t="shared" si="153"/>
        <v>SAÍDA</v>
      </c>
      <c r="C726" t="str">
        <f>"PIX"</f>
        <v>PIX</v>
      </c>
      <c r="D726" t="str">
        <f>"20839"</f>
        <v>20839</v>
      </c>
      <c r="E726" t="str">
        <f>"1"</f>
        <v>1</v>
      </c>
      <c r="F726" t="str">
        <f t="shared" si="148"/>
        <v>COM</v>
      </c>
      <c r="G726" t="str">
        <f>"ADRYAN NUNES MARTINS (857)"</f>
        <v>ADRYAN NUNES MARTINS (857)</v>
      </c>
      <c r="H726" t="s">
        <v>287</v>
      </c>
      <c r="I726" t="str">
        <f t="shared" si="152"/>
        <v>04/09/2025</v>
      </c>
      <c r="J726" t="str">
        <f>("25/08/2025")</f>
        <v>25/08/2025</v>
      </c>
      <c r="K726">
        <v>45904</v>
      </c>
      <c r="N726">
        <v>109</v>
      </c>
      <c r="O726" t="s">
        <v>24</v>
      </c>
      <c r="Q726">
        <v>72.11</v>
      </c>
      <c r="R726" t="str">
        <f>"FARMÁCIA INDIANA LJ 112 (10050)"</f>
        <v>FARMÁCIA INDIANA LJ 112 (10050)</v>
      </c>
      <c r="S726" t="s">
        <v>77</v>
      </c>
      <c r="T726">
        <v>23410</v>
      </c>
      <c r="U726">
        <v>20839</v>
      </c>
      <c r="V726" t="s">
        <v>77</v>
      </c>
    </row>
    <row r="727" spans="1:22">
      <c r="A727" t="str">
        <f t="shared" si="147"/>
        <v>04/09/2025</v>
      </c>
      <c r="B727" t="str">
        <f t="shared" si="153"/>
        <v>SAÍDA</v>
      </c>
      <c r="C727" t="str">
        <f>"PIX"</f>
        <v>PIX</v>
      </c>
      <c r="D727" t="str">
        <f>"20839"</f>
        <v>20839</v>
      </c>
      <c r="E727" t="str">
        <f>"1"</f>
        <v>1</v>
      </c>
      <c r="F727" t="str">
        <f t="shared" si="148"/>
        <v>COM</v>
      </c>
      <c r="G727" t="str">
        <f>"ADRYAN NUNES MARTINS (857)"</f>
        <v>ADRYAN NUNES MARTINS (857)</v>
      </c>
      <c r="H727" t="s">
        <v>287</v>
      </c>
      <c r="I727" t="str">
        <f t="shared" si="152"/>
        <v>04/09/2025</v>
      </c>
      <c r="J727" t="str">
        <f>("25/08/2025")</f>
        <v>25/08/2025</v>
      </c>
      <c r="K727">
        <v>45904</v>
      </c>
      <c r="N727">
        <v>109</v>
      </c>
      <c r="O727" t="s">
        <v>24</v>
      </c>
      <c r="Q727">
        <v>72.11</v>
      </c>
      <c r="R727" t="str">
        <f>"FARMÁCIA INDIANA LJ 116 (10051)"</f>
        <v>FARMÁCIA INDIANA LJ 116 (10051)</v>
      </c>
      <c r="S727" t="s">
        <v>77</v>
      </c>
      <c r="T727">
        <v>23410</v>
      </c>
      <c r="U727">
        <v>20839</v>
      </c>
      <c r="V727" t="s">
        <v>77</v>
      </c>
    </row>
    <row r="728" spans="1:22">
      <c r="A728" t="str">
        <f t="shared" si="147"/>
        <v>04/09/2025</v>
      </c>
      <c r="B728" t="str">
        <f t="shared" si="153"/>
        <v>SAÍDA</v>
      </c>
      <c r="C728" t="str">
        <f>"PIX"</f>
        <v>PIX</v>
      </c>
      <c r="D728" t="str">
        <f>"20839"</f>
        <v>20839</v>
      </c>
      <c r="E728" t="str">
        <f>"1"</f>
        <v>1</v>
      </c>
      <c r="F728" t="str">
        <f t="shared" si="148"/>
        <v>COM</v>
      </c>
      <c r="G728" t="str">
        <f>"ADRYAN NUNES MARTINS (857)"</f>
        <v>ADRYAN NUNES MARTINS (857)</v>
      </c>
      <c r="H728" t="s">
        <v>287</v>
      </c>
      <c r="I728" t="str">
        <f t="shared" si="152"/>
        <v>04/09/2025</v>
      </c>
      <c r="J728" t="str">
        <f>("25/08/2025")</f>
        <v>25/08/2025</v>
      </c>
      <c r="K728">
        <v>45904</v>
      </c>
      <c r="N728">
        <v>109</v>
      </c>
      <c r="O728" t="s">
        <v>24</v>
      </c>
      <c r="Q728">
        <v>41.21</v>
      </c>
      <c r="R728" t="str">
        <f>"FARMÁCIA INDIANA LJ 121 (10054)"</f>
        <v>FARMÁCIA INDIANA LJ 121 (10054)</v>
      </c>
      <c r="S728" t="s">
        <v>77</v>
      </c>
      <c r="T728">
        <v>23410</v>
      </c>
      <c r="U728">
        <v>20839</v>
      </c>
      <c r="V728" t="s">
        <v>77</v>
      </c>
    </row>
    <row r="729" spans="1:22">
      <c r="A729" t="str">
        <f t="shared" si="147"/>
        <v>04/09/2025</v>
      </c>
      <c r="B729" t="str">
        <f t="shared" si="153"/>
        <v>SAÍDA</v>
      </c>
      <c r="C729" t="str">
        <f>"PIX"</f>
        <v>PIX</v>
      </c>
      <c r="D729" t="str">
        <f>"20839"</f>
        <v>20839</v>
      </c>
      <c r="E729" t="str">
        <f>"1"</f>
        <v>1</v>
      </c>
      <c r="F729" t="str">
        <f t="shared" si="148"/>
        <v>COM</v>
      </c>
      <c r="G729" t="str">
        <f>"ADRYAN NUNES MARTINS (857)"</f>
        <v>ADRYAN NUNES MARTINS (857)</v>
      </c>
      <c r="H729" t="s">
        <v>287</v>
      </c>
      <c r="I729" t="str">
        <f t="shared" si="152"/>
        <v>04/09/2025</v>
      </c>
      <c r="J729" t="str">
        <f>("25/08/2025")</f>
        <v>25/08/2025</v>
      </c>
      <c r="K729">
        <v>45904</v>
      </c>
      <c r="N729">
        <v>109</v>
      </c>
      <c r="O729" t="s">
        <v>24</v>
      </c>
      <c r="Q729">
        <v>515.37</v>
      </c>
      <c r="R729" t="str">
        <f>"FARMÁCIA INDIANA LJ 128 (10057)"</f>
        <v>FARMÁCIA INDIANA LJ 128 (10057)</v>
      </c>
      <c r="S729" t="s">
        <v>77</v>
      </c>
      <c r="T729">
        <v>23410</v>
      </c>
      <c r="U729">
        <v>20839</v>
      </c>
      <c r="V729" t="s">
        <v>77</v>
      </c>
    </row>
    <row r="730" spans="1:22">
      <c r="A730" t="str">
        <f t="shared" si="147"/>
        <v>04/09/2025</v>
      </c>
      <c r="B730" t="str">
        <f t="shared" si="153"/>
        <v>SAÍDA</v>
      </c>
      <c r="C730" t="str">
        <f>"TRANSFERENCIA"</f>
        <v>TRANSFERENCIA</v>
      </c>
      <c r="D730" t="str">
        <f>""</f>
        <v/>
      </c>
      <c r="F730" t="str">
        <f>"TRF"</f>
        <v>TRF</v>
      </c>
      <c r="G730" t="str">
        <f>""</f>
        <v/>
      </c>
      <c r="H730" t="str">
        <f>"TRANSFERENCIA ENTRE CONTAS  (102-&gt;149)"</f>
        <v>TRANSFERENCIA ENTRE CONTAS  (102-&gt;149)</v>
      </c>
      <c r="I730" t="str">
        <f t="shared" si="152"/>
        <v>04/09/2025</v>
      </c>
      <c r="J730" t="str">
        <f>("04/09/2025")</f>
        <v>04/09/2025</v>
      </c>
      <c r="K730" t="str">
        <f>("04/09/2025")</f>
        <v>04/09/2025</v>
      </c>
      <c r="N730">
        <v>102</v>
      </c>
      <c r="O730" t="str">
        <f>"BANCO CORA"</f>
        <v>BANCO CORA</v>
      </c>
      <c r="P730">
        <v>14410.18</v>
      </c>
      <c r="S730" t="str">
        <f>"BANCO CORA (102)"</f>
        <v>BANCO CORA (102)</v>
      </c>
      <c r="T730">
        <v>23411</v>
      </c>
      <c r="U730">
        <v>0</v>
      </c>
      <c r="V730" t="s">
        <v>22</v>
      </c>
    </row>
    <row r="731" spans="1:22">
      <c r="A731" t="str">
        <f t="shared" si="147"/>
        <v>04/09/2025</v>
      </c>
      <c r="B731" t="str">
        <f>"ENTRADA"</f>
        <v>ENTRADA</v>
      </c>
      <c r="C731" t="str">
        <f>"TRANSFERENCIA"</f>
        <v>TRANSFERENCIA</v>
      </c>
      <c r="D731" t="str">
        <f>""</f>
        <v/>
      </c>
      <c r="F731" t="str">
        <f>"TRF"</f>
        <v>TRF</v>
      </c>
      <c r="G731" t="str">
        <f>""</f>
        <v/>
      </c>
      <c r="H731" t="str">
        <f>"TRANSFERENCIA ENTRE CONTAS  (102-&gt;149)"</f>
        <v>TRANSFERENCIA ENTRE CONTAS  (102-&gt;149)</v>
      </c>
      <c r="I731" t="str">
        <f t="shared" si="152"/>
        <v>04/09/2025</v>
      </c>
      <c r="J731" t="str">
        <f>("04/09/2025")</f>
        <v>04/09/2025</v>
      </c>
      <c r="K731" t="str">
        <f>("04/09/2025")</f>
        <v>04/09/2025</v>
      </c>
      <c r="N731">
        <v>149</v>
      </c>
      <c r="O731" t="str">
        <f>"BANCO C6"</f>
        <v>BANCO C6</v>
      </c>
      <c r="S731" t="str">
        <f>"BANCO C6 (149)"</f>
        <v>BANCO C6 (149)</v>
      </c>
      <c r="T731">
        <v>23411</v>
      </c>
      <c r="U731">
        <v>0</v>
      </c>
      <c r="V731" t="s">
        <v>77</v>
      </c>
    </row>
    <row r="732" spans="1:22">
      <c r="A732" t="str">
        <f t="shared" ref="A732:A754" si="154">("05/09/2025")</f>
        <v>05/09/2025</v>
      </c>
      <c r="B732" t="str">
        <f t="shared" ref="B732:B744" si="155">"SAÍDA"</f>
        <v>SAÍDA</v>
      </c>
      <c r="C732" t="str">
        <f t="shared" ref="C732:C744" si="156">"PIX"</f>
        <v>PIX</v>
      </c>
      <c r="D732" t="str">
        <f>"21467"</f>
        <v>21467</v>
      </c>
      <c r="E732" t="str">
        <f>"1"</f>
        <v>1</v>
      </c>
      <c r="F732" t="str">
        <f t="shared" ref="F732:F795" si="157">"COM"</f>
        <v>COM</v>
      </c>
      <c r="G732" t="str">
        <f>"REGINALDO ANDRE BORTOLETTO (802)"</f>
        <v>REGINALDO ANDRE BORTOLETTO (802)</v>
      </c>
      <c r="H732" t="str">
        <f>"Serv.Prest. 01/09/2025 a 07/09/2025 - PIX: CELULAR - CHAVE: (11) 94281-7123"</f>
        <v>Serv.Prest. 01/09/2025 a 07/09/2025 - PIX: CELULAR - CHAVE: (11) 94281-7123</v>
      </c>
      <c r="I732" t="str">
        <f>("11/09/2025")</f>
        <v>11/09/2025</v>
      </c>
      <c r="J732" t="str">
        <f>("08/09/2025")</f>
        <v>08/09/2025</v>
      </c>
      <c r="K732" t="str">
        <f>("05/09/2025")</f>
        <v>05/09/2025</v>
      </c>
      <c r="L732">
        <v>130</v>
      </c>
      <c r="M732">
        <v>130</v>
      </c>
      <c r="N732">
        <v>109</v>
      </c>
      <c r="O732" t="str">
        <f>"PAGAMENTO DE ENTREGADORES"</f>
        <v>PAGAMENTO DE ENTREGADORES</v>
      </c>
      <c r="P732">
        <v>130</v>
      </c>
      <c r="S732" t="str">
        <f>"BANCO CORA (102)"</f>
        <v>BANCO CORA (102)</v>
      </c>
      <c r="T732">
        <v>17757</v>
      </c>
      <c r="U732">
        <v>21654</v>
      </c>
      <c r="V732" t="s">
        <v>22</v>
      </c>
    </row>
    <row r="733" spans="1:22">
      <c r="A733" t="str">
        <f t="shared" si="154"/>
        <v>05/09/2025</v>
      </c>
      <c r="B733" t="str">
        <f t="shared" si="155"/>
        <v>SAÍDA</v>
      </c>
      <c r="C733" t="str">
        <f t="shared" si="156"/>
        <v>PIX</v>
      </c>
      <c r="D733" t="str">
        <f>"21467"</f>
        <v>21467</v>
      </c>
      <c r="E733" t="str">
        <f>"1"</f>
        <v>1</v>
      </c>
      <c r="F733" t="str">
        <f t="shared" si="157"/>
        <v>COM</v>
      </c>
      <c r="G733" t="str">
        <f>"REGINALDO ANDRE BORTOLETTO (802)"</f>
        <v>REGINALDO ANDRE BORTOLETTO (802)</v>
      </c>
      <c r="H733" t="s">
        <v>66</v>
      </c>
      <c r="I733" t="str">
        <f>("11/09/2025")</f>
        <v>11/09/2025</v>
      </c>
      <c r="J733" t="str">
        <f>("08/09/2025")</f>
        <v>08/09/2025</v>
      </c>
      <c r="K733">
        <v>45905</v>
      </c>
      <c r="N733">
        <v>109</v>
      </c>
      <c r="O733" t="s">
        <v>24</v>
      </c>
      <c r="Q733">
        <v>130</v>
      </c>
      <c r="R733" t="str">
        <f>"DROGARIA MEDIC CENTER LTDA (10172)"</f>
        <v>DROGARIA MEDIC CENTER LTDA (10172)</v>
      </c>
      <c r="S733" t="s">
        <v>22</v>
      </c>
      <c r="T733">
        <v>17757</v>
      </c>
      <c r="U733">
        <v>21654</v>
      </c>
      <c r="V733" t="s">
        <v>22</v>
      </c>
    </row>
    <row r="734" spans="1:22">
      <c r="A734" t="str">
        <f t="shared" si="154"/>
        <v>05/09/2025</v>
      </c>
      <c r="B734" t="str">
        <f t="shared" si="155"/>
        <v>SAÍDA</v>
      </c>
      <c r="C734" t="str">
        <f t="shared" si="156"/>
        <v>PIX</v>
      </c>
      <c r="D734" t="str">
        <f>"05092557"</f>
        <v>05092557</v>
      </c>
      <c r="E734" t="str">
        <f>"4"</f>
        <v>4</v>
      </c>
      <c r="F734" t="str">
        <f t="shared" si="157"/>
        <v>COM</v>
      </c>
      <c r="G734" t="str">
        <f>"GIOVANA CECCON MARTINS DE SA (20091)"</f>
        <v>GIOVANA CECCON MARTINS DE SA (20091)</v>
      </c>
      <c r="H734" t="str">
        <f>"VALE TRANSPORTE - SETEMBRO/25 - 05 DIAS"</f>
        <v>VALE TRANSPORTE - SETEMBRO/25 - 05 DIAS</v>
      </c>
      <c r="I734" t="str">
        <f>("05/09/2025")</f>
        <v>05/09/2025</v>
      </c>
      <c r="J734" t="str">
        <f>("05/09/2025")</f>
        <v>05/09/2025</v>
      </c>
      <c r="K734" t="str">
        <f>("05/09/2025")</f>
        <v>05/09/2025</v>
      </c>
      <c r="L734">
        <v>57</v>
      </c>
      <c r="M734">
        <v>57</v>
      </c>
      <c r="N734">
        <v>107</v>
      </c>
      <c r="O734" t="str">
        <f>"VALE TRANSPORTE"</f>
        <v>VALE TRANSPORTE</v>
      </c>
      <c r="P734">
        <v>57</v>
      </c>
      <c r="S734" t="str">
        <f>"BANCO CORA (102)"</f>
        <v>BANCO CORA (102)</v>
      </c>
      <c r="T734">
        <v>18532</v>
      </c>
      <c r="U734">
        <v>16177</v>
      </c>
      <c r="V734" t="s">
        <v>22</v>
      </c>
    </row>
    <row r="735" spans="1:22">
      <c r="A735" t="str">
        <f t="shared" si="154"/>
        <v>05/09/2025</v>
      </c>
      <c r="B735" t="str">
        <f t="shared" si="155"/>
        <v>SAÍDA</v>
      </c>
      <c r="C735" t="str">
        <f t="shared" si="156"/>
        <v>PIX</v>
      </c>
      <c r="D735" t="str">
        <f>"05092557"</f>
        <v>05092557</v>
      </c>
      <c r="E735" t="str">
        <f>"4"</f>
        <v>4</v>
      </c>
      <c r="F735" t="str">
        <f t="shared" si="157"/>
        <v>COM</v>
      </c>
      <c r="G735" t="str">
        <f>"ADRIELLE APARECIDA PALOMINO (20029)"</f>
        <v>ADRIELLE APARECIDA PALOMINO (20029)</v>
      </c>
      <c r="H735" t="str">
        <f>"VALE TRANSPORTE - SETEMBRO/25 - 05 DIAS"</f>
        <v>VALE TRANSPORTE - SETEMBRO/25 - 05 DIAS</v>
      </c>
      <c r="I735" t="str">
        <f t="shared" ref="I735:I744" si="158">("05/09/2025")</f>
        <v>05/09/2025</v>
      </c>
      <c r="J735" t="str">
        <f>("01/09/2025")</f>
        <v>01/09/2025</v>
      </c>
      <c r="K735" t="str">
        <f>("05/09/2025")</f>
        <v>05/09/2025</v>
      </c>
      <c r="L735">
        <v>57</v>
      </c>
      <c r="M735">
        <v>57</v>
      </c>
      <c r="N735">
        <v>107</v>
      </c>
      <c r="O735" t="str">
        <f>"VALE TRANSPORTE"</f>
        <v>VALE TRANSPORTE</v>
      </c>
      <c r="P735">
        <v>57</v>
      </c>
      <c r="S735" t="str">
        <f>"BANCO CORA (102)"</f>
        <v>BANCO CORA (102)</v>
      </c>
      <c r="T735">
        <v>18533</v>
      </c>
      <c r="U735">
        <v>16202</v>
      </c>
      <c r="V735" t="s">
        <v>22</v>
      </c>
    </row>
    <row r="736" spans="1:22">
      <c r="A736" t="str">
        <f t="shared" si="154"/>
        <v>05/09/2025</v>
      </c>
      <c r="B736" t="str">
        <f t="shared" si="155"/>
        <v>SAÍDA</v>
      </c>
      <c r="C736" t="str">
        <f t="shared" si="156"/>
        <v>PIX</v>
      </c>
      <c r="D736" t="str">
        <f>"05092557"</f>
        <v>05092557</v>
      </c>
      <c r="E736" t="str">
        <f>"4"</f>
        <v>4</v>
      </c>
      <c r="F736" t="str">
        <f t="shared" si="157"/>
        <v>COM</v>
      </c>
      <c r="G736" t="str">
        <f>"ADRIELLE APARECIDA PALOMINO (20029)"</f>
        <v>ADRIELLE APARECIDA PALOMINO (20029)</v>
      </c>
      <c r="H736" t="s">
        <v>288</v>
      </c>
      <c r="I736" t="str">
        <f t="shared" si="158"/>
        <v>05/09/2025</v>
      </c>
      <c r="J736" t="str">
        <f>("01/09/2025")</f>
        <v>01/09/2025</v>
      </c>
      <c r="K736">
        <v>45905</v>
      </c>
      <c r="N736">
        <v>107</v>
      </c>
      <c r="O736" t="s">
        <v>289</v>
      </c>
      <c r="Q736">
        <v>57</v>
      </c>
      <c r="R736" t="str">
        <f>"ADRIELLE APARECIDA PALOMINO (20029)"</f>
        <v>ADRIELLE APARECIDA PALOMINO (20029)</v>
      </c>
      <c r="S736" t="s">
        <v>22</v>
      </c>
      <c r="T736">
        <v>18533</v>
      </c>
      <c r="U736">
        <v>16202</v>
      </c>
      <c r="V736" t="s">
        <v>22</v>
      </c>
    </row>
    <row r="737" spans="1:22">
      <c r="A737" t="str">
        <f t="shared" si="154"/>
        <v>05/09/2025</v>
      </c>
      <c r="B737" t="str">
        <f t="shared" si="155"/>
        <v>SAÍDA</v>
      </c>
      <c r="C737" t="str">
        <f t="shared" si="156"/>
        <v>PIX</v>
      </c>
      <c r="D737" t="str">
        <f>"0509"</f>
        <v>0509</v>
      </c>
      <c r="E737" t="str">
        <f>"25"</f>
        <v>25</v>
      </c>
      <c r="F737" t="str">
        <f t="shared" si="157"/>
        <v>COM</v>
      </c>
      <c r="G737" t="str">
        <f>"CARLOS ROBERTO BADARÓ MACHADO (78)"</f>
        <v>CARLOS ROBERTO BADARÓ MACHADO (78)</v>
      </c>
      <c r="H737" t="str">
        <f>"DESPESAS VIAGEM CASTELO E BARRA DA CONCEIÇÃO - PIX: CELULAR - CHAVE: (32) 99166-8238"</f>
        <v>DESPESAS VIAGEM CASTELO E BARRA DA CONCEIÇÃO - PIX: CELULAR - CHAVE: (32) 99166-8238</v>
      </c>
      <c r="I737" t="str">
        <f t="shared" si="158"/>
        <v>05/09/2025</v>
      </c>
      <c r="J737" t="str">
        <f>("25/08/2025")</f>
        <v>25/08/2025</v>
      </c>
      <c r="K737" t="str">
        <f>("05/09/2025")</f>
        <v>05/09/2025</v>
      </c>
      <c r="L737">
        <v>1705.5</v>
      </c>
      <c r="M737">
        <v>1705.5</v>
      </c>
      <c r="N737">
        <v>119</v>
      </c>
      <c r="O737" t="str">
        <f>"DESPESAS COM VIAGENS OPERACIONAIS"</f>
        <v>DESPESAS COM VIAGENS OPERACIONAIS</v>
      </c>
      <c r="P737">
        <v>1705.5</v>
      </c>
      <c r="S737" t="str">
        <f>"BANCO CORA (102)"</f>
        <v>BANCO CORA (102)</v>
      </c>
      <c r="T737">
        <v>18534</v>
      </c>
      <c r="U737">
        <v>21366</v>
      </c>
      <c r="V737" t="s">
        <v>22</v>
      </c>
    </row>
    <row r="738" spans="1:22">
      <c r="A738" t="str">
        <f t="shared" si="154"/>
        <v>05/09/2025</v>
      </c>
      <c r="B738" t="str">
        <f t="shared" si="155"/>
        <v>SAÍDA</v>
      </c>
      <c r="C738" t="str">
        <f t="shared" si="156"/>
        <v>PIX</v>
      </c>
      <c r="D738" t="str">
        <f>"0509"</f>
        <v>0509</v>
      </c>
      <c r="E738" t="str">
        <f>"25"</f>
        <v>25</v>
      </c>
      <c r="F738" t="str">
        <f t="shared" si="157"/>
        <v>COM</v>
      </c>
      <c r="G738" t="str">
        <f>"CARLOS ROBERTO BADARÓ MACHADO (78)"</f>
        <v>CARLOS ROBERTO BADARÓ MACHADO (78)</v>
      </c>
      <c r="H738" t="s">
        <v>261</v>
      </c>
      <c r="I738" t="str">
        <f t="shared" si="158"/>
        <v>05/09/2025</v>
      </c>
      <c r="J738" t="str">
        <f>("25/08/2025")</f>
        <v>25/08/2025</v>
      </c>
      <c r="K738">
        <v>45905</v>
      </c>
      <c r="N738">
        <v>119</v>
      </c>
      <c r="O738" t="s">
        <v>262</v>
      </c>
      <c r="Q738">
        <v>1705.5</v>
      </c>
      <c r="R738" t="str">
        <f>"FARMÁCIA INDIANA LJ 109 (10047)"</f>
        <v>FARMÁCIA INDIANA LJ 109 (10047)</v>
      </c>
      <c r="S738" t="s">
        <v>22</v>
      </c>
      <c r="T738">
        <v>18534</v>
      </c>
      <c r="U738">
        <v>21366</v>
      </c>
      <c r="V738" t="s">
        <v>22</v>
      </c>
    </row>
    <row r="739" spans="1:22">
      <c r="A739" t="str">
        <f t="shared" si="154"/>
        <v>05/09/2025</v>
      </c>
      <c r="B739" t="str">
        <f t="shared" si="155"/>
        <v>SAÍDA</v>
      </c>
      <c r="C739" t="str">
        <f t="shared" si="156"/>
        <v>PIX</v>
      </c>
      <c r="D739" t="str">
        <f>"0509"</f>
        <v>0509</v>
      </c>
      <c r="E739" t="str">
        <f>"25"</f>
        <v>25</v>
      </c>
      <c r="F739" t="str">
        <f t="shared" si="157"/>
        <v>COM</v>
      </c>
      <c r="G739" t="str">
        <f>"MG BRASIL CLUBE DE BENEFICIOS E COOPERACAO RECIPROCA (20112)"</f>
        <v>MG BRASIL CLUBE DE BENEFICIOS E COOPERACAO RECIPROCA (20112)</v>
      </c>
      <c r="H739" t="str">
        <f>"CLUBE DE BENEFICIOS MOTOBOYS - PIX CPF 03291254600"</f>
        <v>CLUBE DE BENEFICIOS MOTOBOYS - PIX CPF 03291254600</v>
      </c>
      <c r="I739" t="str">
        <f t="shared" si="158"/>
        <v>05/09/2025</v>
      </c>
      <c r="J739" t="str">
        <f>("02/09/2025")</f>
        <v>02/09/2025</v>
      </c>
      <c r="K739" t="str">
        <f>("05/09/2025")</f>
        <v>05/09/2025</v>
      </c>
      <c r="L739">
        <v>2090.92</v>
      </c>
      <c r="M739">
        <v>2090.92</v>
      </c>
      <c r="N739">
        <v>192</v>
      </c>
      <c r="O739" t="str">
        <f>"PLANOS E SEGUROS"</f>
        <v>PLANOS E SEGUROS</v>
      </c>
      <c r="P739">
        <v>2090.92</v>
      </c>
      <c r="S739" t="str">
        <f>"BANCO CORA (102)"</f>
        <v>BANCO CORA (102)</v>
      </c>
      <c r="T739">
        <v>18535</v>
      </c>
      <c r="U739">
        <v>21370</v>
      </c>
      <c r="V739" t="s">
        <v>22</v>
      </c>
    </row>
    <row r="740" spans="1:22">
      <c r="A740" t="str">
        <f t="shared" si="154"/>
        <v>05/09/2025</v>
      </c>
      <c r="B740" t="str">
        <f t="shared" si="155"/>
        <v>SAÍDA</v>
      </c>
      <c r="C740" t="str">
        <f t="shared" si="156"/>
        <v>PIX</v>
      </c>
      <c r="D740" t="str">
        <f>"0509"</f>
        <v>0509</v>
      </c>
      <c r="E740" t="str">
        <f>"25"</f>
        <v>25</v>
      </c>
      <c r="F740" t="str">
        <f t="shared" si="157"/>
        <v>COM</v>
      </c>
      <c r="G740" t="str">
        <f>"DIOGO SILVA SOARES (103)"</f>
        <v>DIOGO SILVA SOARES (103)</v>
      </c>
      <c r="H740" t="str">
        <f>"DEVOLUCAO COTA COOPERATIVA - PIX: CELULAR - CHAVE: (33) 99815-5459"</f>
        <v>DEVOLUCAO COTA COOPERATIVA - PIX: CELULAR - CHAVE: (33) 99815-5459</v>
      </c>
      <c r="I740" t="str">
        <f t="shared" si="158"/>
        <v>05/09/2025</v>
      </c>
      <c r="J740" t="str">
        <f>("22/08/2025")</f>
        <v>22/08/2025</v>
      </c>
      <c r="K740" t="str">
        <f>("05/09/2025")</f>
        <v>05/09/2025</v>
      </c>
      <c r="L740">
        <v>500</v>
      </c>
      <c r="M740">
        <v>500</v>
      </c>
      <c r="N740">
        <v>130</v>
      </c>
      <c r="O740" t="str">
        <f>"DEVOLUÇÃO COTA COOPERATIVA"</f>
        <v>DEVOLUÇÃO COTA COOPERATIVA</v>
      </c>
      <c r="P740">
        <v>500</v>
      </c>
      <c r="S740" t="str">
        <f>"BANCO CORA (102)"</f>
        <v>BANCO CORA (102)</v>
      </c>
      <c r="T740">
        <v>18536</v>
      </c>
      <c r="U740">
        <v>21383</v>
      </c>
      <c r="V740" t="s">
        <v>22</v>
      </c>
    </row>
    <row r="741" spans="1:22">
      <c r="A741" t="str">
        <f t="shared" si="154"/>
        <v>05/09/2025</v>
      </c>
      <c r="B741" t="str">
        <f t="shared" si="155"/>
        <v>SAÍDA</v>
      </c>
      <c r="C741" t="str">
        <f t="shared" si="156"/>
        <v>PIX</v>
      </c>
      <c r="D741" t="str">
        <f>"0509"</f>
        <v>0509</v>
      </c>
      <c r="E741" t="str">
        <f>"25"</f>
        <v>25</v>
      </c>
      <c r="F741" t="str">
        <f t="shared" si="157"/>
        <v>COM</v>
      </c>
      <c r="G741" t="str">
        <f>"DIOGO SILVA SOARES (103)"</f>
        <v>DIOGO SILVA SOARES (103)</v>
      </c>
      <c r="H741" t="s">
        <v>290</v>
      </c>
      <c r="I741" t="str">
        <f t="shared" si="158"/>
        <v>05/09/2025</v>
      </c>
      <c r="J741" t="str">
        <f>("22/08/2025")</f>
        <v>22/08/2025</v>
      </c>
      <c r="K741">
        <v>45905</v>
      </c>
      <c r="N741">
        <v>130</v>
      </c>
      <c r="O741" t="s">
        <v>291</v>
      </c>
      <c r="Q741">
        <v>500</v>
      </c>
      <c r="R741" t="str">
        <f>"DIOGO SILVA SOARES (103)"</f>
        <v>DIOGO SILVA SOARES (103)</v>
      </c>
      <c r="S741" t="s">
        <v>22</v>
      </c>
      <c r="T741">
        <v>18536</v>
      </c>
      <c r="U741">
        <v>21383</v>
      </c>
      <c r="V741" t="s">
        <v>22</v>
      </c>
    </row>
    <row r="742" spans="1:22">
      <c r="A742" t="str">
        <f t="shared" si="154"/>
        <v>05/09/2025</v>
      </c>
      <c r="B742" t="str">
        <f t="shared" si="155"/>
        <v>SAÍDA</v>
      </c>
      <c r="C742" t="str">
        <f t="shared" si="156"/>
        <v>PIX</v>
      </c>
      <c r="D742" t="str">
        <f>"050925500"</f>
        <v>050925500</v>
      </c>
      <c r="E742" t="str">
        <f>""</f>
        <v/>
      </c>
      <c r="F742" t="str">
        <f t="shared" si="157"/>
        <v>COM</v>
      </c>
      <c r="G742" t="str">
        <f>"ADRIELLE APARECIDA PALOMINO (20029)"</f>
        <v>ADRIELLE APARECIDA PALOMINO (20029)</v>
      </c>
      <c r="H742" t="str">
        <f>"PREMIO SOBRE VENDAS 08/2025"</f>
        <v>PREMIO SOBRE VENDAS 08/2025</v>
      </c>
      <c r="I742" t="str">
        <f t="shared" si="158"/>
        <v>05/09/2025</v>
      </c>
      <c r="J742" t="str">
        <f t="shared" ref="J742:K744" si="159">("05/09/2025")</f>
        <v>05/09/2025</v>
      </c>
      <c r="K742" t="str">
        <f t="shared" si="159"/>
        <v>05/09/2025</v>
      </c>
      <c r="L742">
        <v>500</v>
      </c>
      <c r="M742">
        <v>500</v>
      </c>
      <c r="N742">
        <v>125</v>
      </c>
      <c r="O742" t="str">
        <f>"COMISSÃO DE REPRESENTANTES"</f>
        <v>COMISSÃO DE REPRESENTANTES</v>
      </c>
      <c r="P742">
        <v>500</v>
      </c>
      <c r="S742" t="str">
        <f>"BANCO CORA (102)"</f>
        <v>BANCO CORA (102)</v>
      </c>
      <c r="T742">
        <v>18537</v>
      </c>
      <c r="U742">
        <v>21386</v>
      </c>
      <c r="V742" t="s">
        <v>22</v>
      </c>
    </row>
    <row r="743" spans="1:22">
      <c r="A743" t="str">
        <f t="shared" si="154"/>
        <v>05/09/2025</v>
      </c>
      <c r="B743" t="str">
        <f t="shared" si="155"/>
        <v>SAÍDA</v>
      </c>
      <c r="C743" t="str">
        <f t="shared" si="156"/>
        <v>PIX</v>
      </c>
      <c r="D743" t="str">
        <f>"05092557"</f>
        <v>05092557</v>
      </c>
      <c r="E743" t="str">
        <f>""</f>
        <v/>
      </c>
      <c r="F743" t="str">
        <f t="shared" si="157"/>
        <v>COM</v>
      </c>
      <c r="G743" t="str">
        <f>"BRUNO NATO DOS SANTOS (20045)"</f>
        <v>BRUNO NATO DOS SANTOS (20045)</v>
      </c>
      <c r="H743" t="str">
        <f>"VALE TRANSPORTE - SETEMBRO/25 - 05 DIAS"</f>
        <v>VALE TRANSPORTE - SETEMBRO/25 - 05 DIAS</v>
      </c>
      <c r="I743" t="str">
        <f t="shared" si="158"/>
        <v>05/09/2025</v>
      </c>
      <c r="J743" t="str">
        <f t="shared" si="159"/>
        <v>05/09/2025</v>
      </c>
      <c r="K743" t="str">
        <f t="shared" si="159"/>
        <v>05/09/2025</v>
      </c>
      <c r="L743">
        <v>57</v>
      </c>
      <c r="M743">
        <v>57</v>
      </c>
      <c r="N743">
        <v>125</v>
      </c>
      <c r="O743" t="str">
        <f>"COMISSÃO DE REPRESENTANTES"</f>
        <v>COMISSÃO DE REPRESENTANTES</v>
      </c>
      <c r="P743">
        <v>57</v>
      </c>
      <c r="S743" t="str">
        <f>"BANCO CORA (102)"</f>
        <v>BANCO CORA (102)</v>
      </c>
      <c r="T743">
        <v>18538</v>
      </c>
      <c r="U743">
        <v>21387</v>
      </c>
      <c r="V743" t="s">
        <v>22</v>
      </c>
    </row>
    <row r="744" spans="1:22">
      <c r="A744" t="str">
        <f t="shared" si="154"/>
        <v>05/09/2025</v>
      </c>
      <c r="B744" t="str">
        <f t="shared" si="155"/>
        <v>SAÍDA</v>
      </c>
      <c r="C744" t="str">
        <f t="shared" si="156"/>
        <v>PIX</v>
      </c>
      <c r="D744" t="str">
        <f>"050925500"</f>
        <v>050925500</v>
      </c>
      <c r="E744" t="str">
        <f>""</f>
        <v/>
      </c>
      <c r="F744" t="str">
        <f t="shared" si="157"/>
        <v>COM</v>
      </c>
      <c r="G744" t="str">
        <f>"ANA JULIA REZENDE JUSTINO (20027)"</f>
        <v>ANA JULIA REZENDE JUSTINO (20027)</v>
      </c>
      <c r="H744" t="str">
        <f>"PREMIO SOBRE VENDAS 08/2025"</f>
        <v>PREMIO SOBRE VENDAS 08/2025</v>
      </c>
      <c r="I744" t="str">
        <f t="shared" si="158"/>
        <v>05/09/2025</v>
      </c>
      <c r="J744" t="str">
        <f t="shared" si="159"/>
        <v>05/09/2025</v>
      </c>
      <c r="K744" t="str">
        <f t="shared" si="159"/>
        <v>05/09/2025</v>
      </c>
      <c r="L744">
        <v>500</v>
      </c>
      <c r="M744">
        <v>500</v>
      </c>
      <c r="N744">
        <v>125</v>
      </c>
      <c r="O744" t="str">
        <f>"COMISSÃO DE REPRESENTANTES"</f>
        <v>COMISSÃO DE REPRESENTANTES</v>
      </c>
      <c r="P744">
        <v>500</v>
      </c>
      <c r="S744" t="str">
        <f>"BANCO CORA (102)"</f>
        <v>BANCO CORA (102)</v>
      </c>
      <c r="T744">
        <v>18539</v>
      </c>
      <c r="U744">
        <v>21388</v>
      </c>
      <c r="V744" t="s">
        <v>22</v>
      </c>
    </row>
    <row r="745" spans="1:22">
      <c r="A745" t="str">
        <f t="shared" si="154"/>
        <v>05/09/2025</v>
      </c>
      <c r="B745" t="str">
        <f>"ENTRADA"</f>
        <v>ENTRADA</v>
      </c>
      <c r="C745" t="str">
        <f>"NFSE"</f>
        <v>NFSE</v>
      </c>
      <c r="D745" t="str">
        <f>"3316"</f>
        <v>3316</v>
      </c>
      <c r="E745" t="str">
        <f>"1"</f>
        <v>1</v>
      </c>
      <c r="F745" t="str">
        <f t="shared" si="157"/>
        <v>COM</v>
      </c>
      <c r="G745" t="str">
        <f>"DROGARIA POUPA MINAS (DOIS AMIGOS) 5 (10140)"</f>
        <v>DROGARIA POUPA MINAS (DOIS AMIGOS) 5 (10140)</v>
      </c>
      <c r="H745" t="str">
        <f>"Serv.Prest. 25/08/2025 a 31/08/2025 - RPS: 1192 - NFSe: 3316"</f>
        <v>Serv.Prest. 25/08/2025 a 31/08/2025 - RPS: 1192 - NFSe: 3316</v>
      </c>
      <c r="I745" t="str">
        <f>("04/09/2025")</f>
        <v>04/09/2025</v>
      </c>
      <c r="J745" t="str">
        <f>("02/09/2025")</f>
        <v>02/09/2025</v>
      </c>
      <c r="K745" t="str">
        <f>("05/09/2025")</f>
        <v>05/09/2025</v>
      </c>
      <c r="L745">
        <v>6885</v>
      </c>
      <c r="M745">
        <v>6885</v>
      </c>
      <c r="N745">
        <v>303</v>
      </c>
      <c r="O745" t="str">
        <f>"RECEITAS COM ENTREGAS"</f>
        <v>RECEITAS COM ENTREGAS</v>
      </c>
      <c r="P745">
        <v>6885</v>
      </c>
      <c r="S745" t="str">
        <f>"RECEITAS COM ENTREGAS (303)"</f>
        <v>RECEITAS COM ENTREGAS (303)</v>
      </c>
      <c r="T745">
        <v>18576</v>
      </c>
      <c r="U745">
        <v>21279</v>
      </c>
      <c r="V745" t="s">
        <v>22</v>
      </c>
    </row>
    <row r="746" spans="1:22">
      <c r="A746" t="str">
        <f t="shared" si="154"/>
        <v>05/09/2025</v>
      </c>
      <c r="B746" t="str">
        <f>"ENTRADA"</f>
        <v>ENTRADA</v>
      </c>
      <c r="C746" t="str">
        <f>"NFSE"</f>
        <v>NFSE</v>
      </c>
      <c r="D746" t="str">
        <f>"3316"</f>
        <v>3316</v>
      </c>
      <c r="E746" t="str">
        <f>"1"</f>
        <v>1</v>
      </c>
      <c r="F746" t="str">
        <f t="shared" si="157"/>
        <v>COM</v>
      </c>
      <c r="G746" t="str">
        <f>"DROGARIA POUPA MINAS (DOIS AMIGOS) 5 (10140)"</f>
        <v>DROGARIA POUPA MINAS (DOIS AMIGOS) 5 (10140)</v>
      </c>
      <c r="H746" t="s">
        <v>292</v>
      </c>
      <c r="I746" t="str">
        <f>("04/09/2025")</f>
        <v>04/09/2025</v>
      </c>
      <c r="J746" t="str">
        <f>("02/09/2025")</f>
        <v>02/09/2025</v>
      </c>
      <c r="K746">
        <v>45905</v>
      </c>
      <c r="N746">
        <v>303</v>
      </c>
      <c r="O746" t="s">
        <v>69</v>
      </c>
      <c r="Q746">
        <v>6885</v>
      </c>
      <c r="R746" t="str">
        <f>"DROGARIA POUPA MINAS (ULTRAMINAS) 1 (10181)"</f>
        <v>DROGARIA POUPA MINAS (ULTRAMINAS) 1 (10181)</v>
      </c>
      <c r="S746" t="s">
        <v>70</v>
      </c>
      <c r="T746">
        <v>18576</v>
      </c>
      <c r="U746">
        <v>21279</v>
      </c>
      <c r="V746" t="s">
        <v>22</v>
      </c>
    </row>
    <row r="747" spans="1:22">
      <c r="A747" t="str">
        <f t="shared" si="154"/>
        <v>05/09/2025</v>
      </c>
      <c r="B747" t="str">
        <f>"ENTRADA"</f>
        <v>ENTRADA</v>
      </c>
      <c r="C747" t="str">
        <f>"NFSE"</f>
        <v>NFSE</v>
      </c>
      <c r="D747" t="str">
        <f>"3317"</f>
        <v>3317</v>
      </c>
      <c r="E747" t="str">
        <f>"1"</f>
        <v>1</v>
      </c>
      <c r="F747" t="str">
        <f t="shared" si="157"/>
        <v>COM</v>
      </c>
      <c r="G747" t="str">
        <f>"DROGARIA POUPA MINAS (DOIS AMIGOS) 5 (10140)"</f>
        <v>DROGARIA POUPA MINAS (DOIS AMIGOS) 5 (10140)</v>
      </c>
      <c r="H747" t="str">
        <f>"Serv.Prest. 01/08/2025 a 31/08/2025 - RPS: 1193 - NFSe: 3317"</f>
        <v>Serv.Prest. 01/08/2025 a 31/08/2025 - RPS: 1193 - NFSe: 3317</v>
      </c>
      <c r="I747" t="str">
        <f>("04/09/2025")</f>
        <v>04/09/2025</v>
      </c>
      <c r="J747" t="str">
        <f>("02/09/2025")</f>
        <v>02/09/2025</v>
      </c>
      <c r="K747" t="str">
        <f>("05/09/2025")</f>
        <v>05/09/2025</v>
      </c>
      <c r="L747">
        <v>4902.12</v>
      </c>
      <c r="M747">
        <v>4902.12</v>
      </c>
      <c r="N747">
        <v>303</v>
      </c>
      <c r="O747" t="str">
        <f>"RECEITAS COM ENTREGAS"</f>
        <v>RECEITAS COM ENTREGAS</v>
      </c>
      <c r="P747">
        <v>4902.12</v>
      </c>
      <c r="S747" t="str">
        <f>"RECEITAS COM ENTREGAS (303)"</f>
        <v>RECEITAS COM ENTREGAS (303)</v>
      </c>
      <c r="T747">
        <v>18577</v>
      </c>
      <c r="U747">
        <v>21286</v>
      </c>
      <c r="V747" t="s">
        <v>22</v>
      </c>
    </row>
    <row r="748" spans="1:22">
      <c r="A748" t="str">
        <f t="shared" si="154"/>
        <v>05/09/2025</v>
      </c>
      <c r="B748" t="str">
        <f>"ENTRADA"</f>
        <v>ENTRADA</v>
      </c>
      <c r="C748" t="str">
        <f>"NFSE"</f>
        <v>NFSE</v>
      </c>
      <c r="D748" t="str">
        <f>"3317"</f>
        <v>3317</v>
      </c>
      <c r="E748" t="str">
        <f>"1"</f>
        <v>1</v>
      </c>
      <c r="F748" t="str">
        <f t="shared" si="157"/>
        <v>COM</v>
      </c>
      <c r="G748" t="str">
        <f>"DROGARIA POUPA MINAS (DOIS AMIGOS) 5 (10140)"</f>
        <v>DROGARIA POUPA MINAS (DOIS AMIGOS) 5 (10140)</v>
      </c>
      <c r="H748" t="s">
        <v>293</v>
      </c>
      <c r="I748" t="str">
        <f>("04/09/2025")</f>
        <v>04/09/2025</v>
      </c>
      <c r="J748" t="str">
        <f>("02/09/2025")</f>
        <v>02/09/2025</v>
      </c>
      <c r="K748">
        <v>45905</v>
      </c>
      <c r="N748">
        <v>303</v>
      </c>
      <c r="O748" t="s">
        <v>69</v>
      </c>
      <c r="Q748">
        <v>4902.12</v>
      </c>
      <c r="R748" t="str">
        <f>"DROGARIA POUPA MINAS (ULTRAMINAS) 1 (10181)"</f>
        <v>DROGARIA POUPA MINAS (ULTRAMINAS) 1 (10181)</v>
      </c>
      <c r="S748" t="s">
        <v>70</v>
      </c>
      <c r="T748">
        <v>18577</v>
      </c>
      <c r="U748">
        <v>21286</v>
      </c>
      <c r="V748" t="s">
        <v>22</v>
      </c>
    </row>
    <row r="749" spans="1:22">
      <c r="A749" t="str">
        <f t="shared" si="154"/>
        <v>05/09/2025</v>
      </c>
      <c r="B749" t="str">
        <f t="shared" ref="B749:B780" si="160">"SAÍDA"</f>
        <v>SAÍDA</v>
      </c>
      <c r="C749" t="str">
        <f>"BOLETO"</f>
        <v>BOLETO</v>
      </c>
      <c r="D749" t="str">
        <f>"130401124"</f>
        <v>130401124</v>
      </c>
      <c r="E749" t="str">
        <f>"14"</f>
        <v>14</v>
      </c>
      <c r="F749" t="str">
        <f t="shared" si="157"/>
        <v>COM</v>
      </c>
      <c r="G749" t="str">
        <f>"MUNICIPIO DE UBERLANDIA (20032)"</f>
        <v>MUNICIPIO DE UBERLANDIA (20032)</v>
      </c>
      <c r="H749" t="str">
        <f>"PARCELAMENTO ISS"</f>
        <v>PARCELAMENTO ISS</v>
      </c>
      <c r="I749" t="str">
        <f t="shared" ref="I749:I754" si="161">("05/09/2025")</f>
        <v>05/09/2025</v>
      </c>
      <c r="J749" t="str">
        <f>("24/07/2024")</f>
        <v>24/07/2024</v>
      </c>
      <c r="K749" t="str">
        <f>("05/09/2025")</f>
        <v>05/09/2025</v>
      </c>
      <c r="L749">
        <v>174.83</v>
      </c>
      <c r="M749">
        <v>199.25</v>
      </c>
      <c r="N749">
        <v>137</v>
      </c>
      <c r="O749" t="str">
        <f>"ISS"</f>
        <v>ISS</v>
      </c>
      <c r="P749">
        <v>199.25</v>
      </c>
      <c r="S749" t="str">
        <f>"BANCO CORA (102)"</f>
        <v>BANCO CORA (102)</v>
      </c>
      <c r="T749">
        <v>20891</v>
      </c>
      <c r="U749">
        <v>1275</v>
      </c>
      <c r="V749" t="s">
        <v>22</v>
      </c>
    </row>
    <row r="750" spans="1:22">
      <c r="A750" t="str">
        <f t="shared" si="154"/>
        <v>05/09/2025</v>
      </c>
      <c r="B750" t="str">
        <f t="shared" si="160"/>
        <v>SAÍDA</v>
      </c>
      <c r="C750" t="str">
        <f>"BOLETO"</f>
        <v>BOLETO</v>
      </c>
      <c r="D750" t="str">
        <f>"130401124"</f>
        <v>130401124</v>
      </c>
      <c r="E750" t="str">
        <f>"14"</f>
        <v>14</v>
      </c>
      <c r="F750" t="str">
        <f t="shared" si="157"/>
        <v>COM</v>
      </c>
      <c r="G750" t="str">
        <f>"MUNICIPIO DE UBERLANDIA (20032)"</f>
        <v>MUNICIPIO DE UBERLANDIA (20032)</v>
      </c>
      <c r="H750" t="s">
        <v>294</v>
      </c>
      <c r="I750" t="str">
        <f t="shared" si="161"/>
        <v>05/09/2025</v>
      </c>
      <c r="J750" t="str">
        <f>("24/07/2024")</f>
        <v>24/07/2024</v>
      </c>
      <c r="K750">
        <v>45905</v>
      </c>
      <c r="N750">
        <v>137</v>
      </c>
      <c r="O750" t="s">
        <v>295</v>
      </c>
      <c r="Q750">
        <v>199.25</v>
      </c>
      <c r="R750" t="str">
        <f>"MUNICIPIO DE UBERLANDIA (20032)"</f>
        <v>MUNICIPIO DE UBERLANDIA (20032)</v>
      </c>
      <c r="S750" t="s">
        <v>22</v>
      </c>
      <c r="T750">
        <v>20891</v>
      </c>
      <c r="U750">
        <v>1275</v>
      </c>
      <c r="V750" t="s">
        <v>22</v>
      </c>
    </row>
    <row r="751" spans="1:22">
      <c r="A751" t="str">
        <f t="shared" si="154"/>
        <v>05/09/2025</v>
      </c>
      <c r="B751" t="str">
        <f t="shared" si="160"/>
        <v>SAÍDA</v>
      </c>
      <c r="C751" t="str">
        <f>"CONHECIMENTO"</f>
        <v>CONHECIMENTO</v>
      </c>
      <c r="D751" t="str">
        <f>"01092025"</f>
        <v>01092025</v>
      </c>
      <c r="E751" t="str">
        <f>"2"</f>
        <v>2</v>
      </c>
      <c r="F751" t="str">
        <f t="shared" si="157"/>
        <v>COM</v>
      </c>
      <c r="G751" t="str">
        <f>"CORA SOCIEDADE DE CREDITO, FINANCIAMENTO E INVESTIMENTO (20035)"</f>
        <v>CORA SOCIEDADE DE CREDITO, FINANCIAMENTO E INVESTIMENTO (20035)</v>
      </c>
      <c r="H751" t="str">
        <f>"TAXA BOLETO "</f>
        <v xml:space="preserve">TAXA BOLETO </v>
      </c>
      <c r="I751" t="str">
        <f t="shared" si="161"/>
        <v>05/09/2025</v>
      </c>
      <c r="J751" t="str">
        <f>("01/09/2025")</f>
        <v>01/09/2025</v>
      </c>
      <c r="K751" t="str">
        <f>("05/09/2025")</f>
        <v>05/09/2025</v>
      </c>
      <c r="L751">
        <v>1.7</v>
      </c>
      <c r="M751">
        <v>1.7</v>
      </c>
      <c r="N751">
        <v>401</v>
      </c>
      <c r="O751" t="str">
        <f>"IOF/JUROS/DESP.FINANCEIRA"</f>
        <v>IOF/JUROS/DESP.FINANCEIRA</v>
      </c>
      <c r="P751">
        <v>1.7</v>
      </c>
      <c r="S751" t="str">
        <f>"BANCO CORA (102)"</f>
        <v>BANCO CORA (102)</v>
      </c>
      <c r="T751">
        <v>21314</v>
      </c>
      <c r="U751">
        <v>25917</v>
      </c>
      <c r="V751" t="s">
        <v>22</v>
      </c>
    </row>
    <row r="752" spans="1:22">
      <c r="A752" t="str">
        <f t="shared" si="154"/>
        <v>05/09/2025</v>
      </c>
      <c r="B752" t="str">
        <f t="shared" si="160"/>
        <v>SAÍDA</v>
      </c>
      <c r="C752" t="str">
        <f>"CONHECIMENTO"</f>
        <v>CONHECIMENTO</v>
      </c>
      <c r="D752" t="str">
        <f>"01092025"</f>
        <v>01092025</v>
      </c>
      <c r="E752" t="str">
        <f>"2"</f>
        <v>2</v>
      </c>
      <c r="F752" t="str">
        <f t="shared" si="157"/>
        <v>COM</v>
      </c>
      <c r="G752" t="str">
        <f>"CORA SOCIEDADE DE CREDITO, FINANCIAMENTO E INVESTIMENTO (20035)"</f>
        <v>CORA SOCIEDADE DE CREDITO, FINANCIAMENTO E INVESTIMENTO (20035)</v>
      </c>
      <c r="H752" t="s">
        <v>75</v>
      </c>
      <c r="I752" t="str">
        <f t="shared" si="161"/>
        <v>05/09/2025</v>
      </c>
      <c r="J752" t="str">
        <f>("01/09/2025")</f>
        <v>01/09/2025</v>
      </c>
      <c r="K752">
        <v>45905</v>
      </c>
      <c r="N752">
        <v>401</v>
      </c>
      <c r="O752" t="s">
        <v>76</v>
      </c>
      <c r="Q752">
        <v>1.7</v>
      </c>
      <c r="R752" t="str">
        <f>"CORA SOCIEDADE DE CREDITO, FINANCIAMENTO E INVESTIMENTO (20035)"</f>
        <v>CORA SOCIEDADE DE CREDITO, FINANCIAMENTO E INVESTIMENTO (20035)</v>
      </c>
      <c r="S752" t="s">
        <v>22</v>
      </c>
      <c r="T752">
        <v>21314</v>
      </c>
      <c r="U752">
        <v>25917</v>
      </c>
      <c r="V752" t="s">
        <v>22</v>
      </c>
    </row>
    <row r="753" spans="1:22">
      <c r="A753" t="str">
        <f t="shared" si="154"/>
        <v>05/09/2025</v>
      </c>
      <c r="B753" t="str">
        <f t="shared" si="160"/>
        <v>SAÍDA</v>
      </c>
      <c r="C753" t="str">
        <f>"CONHECIMENTO"</f>
        <v>CONHECIMENTO</v>
      </c>
      <c r="D753" t="str">
        <f>"01092025"</f>
        <v>01092025</v>
      </c>
      <c r="E753" t="str">
        <f>"3"</f>
        <v>3</v>
      </c>
      <c r="F753" t="str">
        <f t="shared" si="157"/>
        <v>COM</v>
      </c>
      <c r="G753" t="str">
        <f>"CORA SOCIEDADE DE CREDITO, FINANCIAMENTO E INVESTIMENTO (20035)"</f>
        <v>CORA SOCIEDADE DE CREDITO, FINANCIAMENTO E INVESTIMENTO (20035)</v>
      </c>
      <c r="H753" t="str">
        <f>"TAXA BOLETO "</f>
        <v xml:space="preserve">TAXA BOLETO </v>
      </c>
      <c r="I753" t="str">
        <f t="shared" si="161"/>
        <v>05/09/2025</v>
      </c>
      <c r="J753" t="str">
        <f>("01/09/2025")</f>
        <v>01/09/2025</v>
      </c>
      <c r="K753" t="str">
        <f>("05/09/2025")</f>
        <v>05/09/2025</v>
      </c>
      <c r="L753">
        <v>1.7</v>
      </c>
      <c r="M753">
        <v>1.7</v>
      </c>
      <c r="N753">
        <v>401</v>
      </c>
      <c r="O753" t="str">
        <f>"IOF/JUROS/DESP.FINANCEIRA"</f>
        <v>IOF/JUROS/DESP.FINANCEIRA</v>
      </c>
      <c r="P753">
        <v>1.7</v>
      </c>
      <c r="S753" t="str">
        <f>"BANCO CORA (102)"</f>
        <v>BANCO CORA (102)</v>
      </c>
      <c r="T753">
        <v>21315</v>
      </c>
      <c r="U753">
        <v>25918</v>
      </c>
      <c r="V753" t="s">
        <v>22</v>
      </c>
    </row>
    <row r="754" spans="1:22">
      <c r="A754" t="str">
        <f t="shared" si="154"/>
        <v>05/09/2025</v>
      </c>
      <c r="B754" t="str">
        <f t="shared" si="160"/>
        <v>SAÍDA</v>
      </c>
      <c r="C754" t="str">
        <f>"CONHECIMENTO"</f>
        <v>CONHECIMENTO</v>
      </c>
      <c r="D754" t="str">
        <f>"01092025"</f>
        <v>01092025</v>
      </c>
      <c r="E754" t="str">
        <f>"3"</f>
        <v>3</v>
      </c>
      <c r="F754" t="str">
        <f t="shared" si="157"/>
        <v>COM</v>
      </c>
      <c r="G754" t="str">
        <f>"CORA SOCIEDADE DE CREDITO, FINANCIAMENTO E INVESTIMENTO (20035)"</f>
        <v>CORA SOCIEDADE DE CREDITO, FINANCIAMENTO E INVESTIMENTO (20035)</v>
      </c>
      <c r="H754" t="s">
        <v>75</v>
      </c>
      <c r="I754" t="str">
        <f t="shared" si="161"/>
        <v>05/09/2025</v>
      </c>
      <c r="J754" t="str">
        <f>("01/09/2025")</f>
        <v>01/09/2025</v>
      </c>
      <c r="K754">
        <v>45905</v>
      </c>
      <c r="N754">
        <v>401</v>
      </c>
      <c r="O754" t="s">
        <v>76</v>
      </c>
      <c r="Q754">
        <v>1.7</v>
      </c>
      <c r="R754" t="str">
        <f>"CORA SOCIEDADE DE CREDITO, FINANCIAMENTO E INVESTIMENTO (20035)"</f>
        <v>CORA SOCIEDADE DE CREDITO, FINANCIAMENTO E INVESTIMENTO (20035)</v>
      </c>
      <c r="S754" t="s">
        <v>22</v>
      </c>
      <c r="T754">
        <v>21315</v>
      </c>
      <c r="U754">
        <v>25918</v>
      </c>
      <c r="V754" t="s">
        <v>22</v>
      </c>
    </row>
    <row r="755" spans="1:22">
      <c r="A755" t="str">
        <f t="shared" ref="A755:A761" si="162">("06/09/2025")</f>
        <v>06/09/2025</v>
      </c>
      <c r="B755" t="str">
        <f t="shared" si="160"/>
        <v>SAÍDA</v>
      </c>
      <c r="C755" t="str">
        <f t="shared" ref="C755:C786" si="163">"PIX"</f>
        <v>PIX</v>
      </c>
      <c r="D755" t="str">
        <f>"21618"</f>
        <v>21618</v>
      </c>
      <c r="E755" t="str">
        <f>"1"</f>
        <v>1</v>
      </c>
      <c r="F755" t="str">
        <f t="shared" si="157"/>
        <v>COM</v>
      </c>
      <c r="G755" t="str">
        <f>"WILDES ALVES CERQUEIRA ALMEIDA (874)"</f>
        <v>WILDES ALVES CERQUEIRA ALMEIDA (874)</v>
      </c>
      <c r="H755" t="str">
        <f>"Serv.Prest. 01/09/2025 a 07/09/2025 - PIX: CELULAR - CHAVE: (73) 98155-8496"</f>
        <v>Serv.Prest. 01/09/2025 a 07/09/2025 - PIX: CELULAR - CHAVE: (73) 98155-8496</v>
      </c>
      <c r="I755" t="str">
        <f>("18/09/2025")</f>
        <v>18/09/2025</v>
      </c>
      <c r="J755" t="str">
        <f>("08/09/2025")</f>
        <v>08/09/2025</v>
      </c>
      <c r="K755" t="str">
        <f>("06/09/2025")</f>
        <v>06/09/2025</v>
      </c>
      <c r="L755">
        <v>120</v>
      </c>
      <c r="M755">
        <v>120</v>
      </c>
      <c r="N755">
        <v>109</v>
      </c>
      <c r="O755" t="str">
        <f>"PAGAMENTO DE ENTREGADORES"</f>
        <v>PAGAMENTO DE ENTREGADORES</v>
      </c>
      <c r="P755">
        <v>120</v>
      </c>
      <c r="S755" t="str">
        <f>"BANCO CORA (102)"</f>
        <v>BANCO CORA (102)</v>
      </c>
      <c r="T755">
        <v>17739</v>
      </c>
      <c r="U755">
        <v>21643</v>
      </c>
      <c r="V755" t="s">
        <v>22</v>
      </c>
    </row>
    <row r="756" spans="1:22">
      <c r="A756" t="str">
        <f t="shared" si="162"/>
        <v>06/09/2025</v>
      </c>
      <c r="B756" t="str">
        <f t="shared" si="160"/>
        <v>SAÍDA</v>
      </c>
      <c r="C756" t="str">
        <f t="shared" si="163"/>
        <v>PIX</v>
      </c>
      <c r="D756" t="str">
        <f>"21618"</f>
        <v>21618</v>
      </c>
      <c r="E756" t="str">
        <f>"1"</f>
        <v>1</v>
      </c>
      <c r="F756" t="str">
        <f t="shared" si="157"/>
        <v>COM</v>
      </c>
      <c r="G756" t="str">
        <f>"WILDES ALVES CERQUEIRA ALMEIDA (874)"</f>
        <v>WILDES ALVES CERQUEIRA ALMEIDA (874)</v>
      </c>
      <c r="H756" t="s">
        <v>65</v>
      </c>
      <c r="I756" t="str">
        <f>("18/09/2025")</f>
        <v>18/09/2025</v>
      </c>
      <c r="J756" t="str">
        <f>("08/09/2025")</f>
        <v>08/09/2025</v>
      </c>
      <c r="K756">
        <v>45906</v>
      </c>
      <c r="N756">
        <v>109</v>
      </c>
      <c r="O756" t="s">
        <v>24</v>
      </c>
      <c r="Q756">
        <v>96</v>
      </c>
      <c r="R756" t="str">
        <f>"FARMÁCIA INDIANA LJ 65 (10030)"</f>
        <v>FARMÁCIA INDIANA LJ 65 (10030)</v>
      </c>
      <c r="S756" t="s">
        <v>22</v>
      </c>
      <c r="T756">
        <v>17739</v>
      </c>
      <c r="U756">
        <v>21643</v>
      </c>
      <c r="V756" t="s">
        <v>22</v>
      </c>
    </row>
    <row r="757" spans="1:22">
      <c r="A757" t="str">
        <f t="shared" si="162"/>
        <v>06/09/2025</v>
      </c>
      <c r="B757" t="str">
        <f t="shared" si="160"/>
        <v>SAÍDA</v>
      </c>
      <c r="C757" t="str">
        <f t="shared" si="163"/>
        <v>PIX</v>
      </c>
      <c r="D757" t="str">
        <f>"21618"</f>
        <v>21618</v>
      </c>
      <c r="E757" t="str">
        <f>"1"</f>
        <v>1</v>
      </c>
      <c r="F757" t="str">
        <f t="shared" si="157"/>
        <v>COM</v>
      </c>
      <c r="G757" t="str">
        <f>"WILDES ALVES CERQUEIRA ALMEIDA (874)"</f>
        <v>WILDES ALVES CERQUEIRA ALMEIDA (874)</v>
      </c>
      <c r="H757" t="s">
        <v>65</v>
      </c>
      <c r="I757" t="str">
        <f>("18/09/2025")</f>
        <v>18/09/2025</v>
      </c>
      <c r="J757" t="str">
        <f>("08/09/2025")</f>
        <v>08/09/2025</v>
      </c>
      <c r="K757">
        <v>45906</v>
      </c>
      <c r="N757">
        <v>109</v>
      </c>
      <c r="O757" t="s">
        <v>24</v>
      </c>
      <c r="Q757">
        <v>24</v>
      </c>
      <c r="R757" t="str">
        <f>"FARMÁCIA INDIANA LJ 173 (10075)"</f>
        <v>FARMÁCIA INDIANA LJ 173 (10075)</v>
      </c>
      <c r="S757" t="s">
        <v>22</v>
      </c>
      <c r="T757">
        <v>17739</v>
      </c>
      <c r="U757">
        <v>21643</v>
      </c>
      <c r="V757" t="s">
        <v>22</v>
      </c>
    </row>
    <row r="758" spans="1:22">
      <c r="A758" t="str">
        <f t="shared" si="162"/>
        <v>06/09/2025</v>
      </c>
      <c r="B758" t="str">
        <f t="shared" si="160"/>
        <v>SAÍDA</v>
      </c>
      <c r="C758" t="str">
        <f t="shared" si="163"/>
        <v>PIX</v>
      </c>
      <c r="D758" t="str">
        <f>"21536"</f>
        <v>21536</v>
      </c>
      <c r="E758" t="str">
        <f>"1"</f>
        <v>1</v>
      </c>
      <c r="F758" t="str">
        <f t="shared" si="157"/>
        <v>COM</v>
      </c>
      <c r="G758" t="str">
        <f>"JUSSARA CRISTINA FARIA (783)"</f>
        <v>JUSSARA CRISTINA FARIA (783)</v>
      </c>
      <c r="H758" t="str">
        <f>"Serv.Prest. 01/09/2025 a 07/09/2025 - PIX: CELULAR - CHAVE: (31) 99373-5678"</f>
        <v>Serv.Prest. 01/09/2025 a 07/09/2025 - PIX: CELULAR - CHAVE: (31) 99373-5678</v>
      </c>
      <c r="I758" t="str">
        <f>("18/09/2025")</f>
        <v>18/09/2025</v>
      </c>
      <c r="J758" t="str">
        <f>("08/09/2025")</f>
        <v>08/09/2025</v>
      </c>
      <c r="K758" t="str">
        <f>("06/09/2025")</f>
        <v>06/09/2025</v>
      </c>
      <c r="L758">
        <v>262.5</v>
      </c>
      <c r="M758">
        <v>150</v>
      </c>
      <c r="N758">
        <v>109</v>
      </c>
      <c r="O758" t="str">
        <f>"PAGAMENTO DE ENTREGADORES"</f>
        <v>PAGAMENTO DE ENTREGADORES</v>
      </c>
      <c r="P758">
        <v>150</v>
      </c>
      <c r="S758" t="str">
        <f>"BANCO CORA (102)"</f>
        <v>BANCO CORA (102)</v>
      </c>
      <c r="T758">
        <v>17751</v>
      </c>
      <c r="U758">
        <v>21651</v>
      </c>
      <c r="V758" t="s">
        <v>22</v>
      </c>
    </row>
    <row r="759" spans="1:22">
      <c r="A759" t="str">
        <f t="shared" si="162"/>
        <v>06/09/2025</v>
      </c>
      <c r="B759" t="str">
        <f t="shared" si="160"/>
        <v>SAÍDA</v>
      </c>
      <c r="C759" t="str">
        <f t="shared" si="163"/>
        <v>PIX</v>
      </c>
      <c r="D759" t="str">
        <f>"21536"</f>
        <v>21536</v>
      </c>
      <c r="E759" t="str">
        <f>"1"</f>
        <v>1</v>
      </c>
      <c r="F759" t="str">
        <f t="shared" si="157"/>
        <v>COM</v>
      </c>
      <c r="G759" t="str">
        <f>"JUSSARA CRISTINA FARIA (783)"</f>
        <v>JUSSARA CRISTINA FARIA (783)</v>
      </c>
      <c r="H759" t="s">
        <v>45</v>
      </c>
      <c r="I759" t="str">
        <f>("18/09/2025")</f>
        <v>18/09/2025</v>
      </c>
      <c r="J759" t="str">
        <f>("08/09/2025")</f>
        <v>08/09/2025</v>
      </c>
      <c r="K759">
        <v>45906</v>
      </c>
      <c r="N759">
        <v>109</v>
      </c>
      <c r="O759" t="s">
        <v>24</v>
      </c>
      <c r="Q759">
        <v>150</v>
      </c>
      <c r="R759" t="str">
        <f>"FARMÁCIA INDIANA LJ 110 (10048)"</f>
        <v>FARMÁCIA INDIANA LJ 110 (10048)</v>
      </c>
      <c r="S759" t="s">
        <v>22</v>
      </c>
      <c r="T759">
        <v>17751</v>
      </c>
      <c r="U759">
        <v>21651</v>
      </c>
      <c r="V759" t="s">
        <v>22</v>
      </c>
    </row>
    <row r="760" spans="1:22">
      <c r="A760" t="str">
        <f t="shared" si="162"/>
        <v>06/09/2025</v>
      </c>
      <c r="B760" t="str">
        <f t="shared" si="160"/>
        <v>SAÍDA</v>
      </c>
      <c r="C760" t="str">
        <f t="shared" si="163"/>
        <v>PIX</v>
      </c>
      <c r="D760" t="str">
        <f>"0609"</f>
        <v>0609</v>
      </c>
      <c r="E760" t="str">
        <f>"25"</f>
        <v>25</v>
      </c>
      <c r="F760" t="str">
        <f t="shared" si="157"/>
        <v>COM</v>
      </c>
      <c r="G760" t="str">
        <f>"GILSON OLIVEIRA CAMPINHO JUNIOR (132)"</f>
        <v>GILSON OLIVEIRA CAMPINHO JUNIOR (132)</v>
      </c>
      <c r="H760" t="str">
        <f>"ADIANTAMENTO"</f>
        <v>ADIANTAMENTO</v>
      </c>
      <c r="I760" t="str">
        <f>("06/09/2025")</f>
        <v>06/09/2025</v>
      </c>
      <c r="J760" t="str">
        <f>("06/09/2025")</f>
        <v>06/09/2025</v>
      </c>
      <c r="K760" t="str">
        <f>("06/09/2025")</f>
        <v>06/09/2025</v>
      </c>
      <c r="L760">
        <v>500</v>
      </c>
      <c r="M760">
        <v>500</v>
      </c>
      <c r="N760">
        <v>5000</v>
      </c>
      <c r="O760" t="str">
        <f>"SOLICITACAO DE ADIANTAMENTO"</f>
        <v>SOLICITACAO DE ADIANTAMENTO</v>
      </c>
      <c r="P760">
        <v>500</v>
      </c>
      <c r="S760" t="str">
        <f>"BANCO CORA (102)"</f>
        <v>BANCO CORA (102)</v>
      </c>
      <c r="T760">
        <v>21317</v>
      </c>
      <c r="U760">
        <v>25919</v>
      </c>
      <c r="V760" t="s">
        <v>22</v>
      </c>
    </row>
    <row r="761" spans="1:22">
      <c r="A761" t="str">
        <f t="shared" si="162"/>
        <v>06/09/2025</v>
      </c>
      <c r="B761" t="str">
        <f t="shared" si="160"/>
        <v>SAÍDA</v>
      </c>
      <c r="C761" t="str">
        <f t="shared" si="163"/>
        <v>PIX</v>
      </c>
      <c r="D761" t="str">
        <f>"0609"</f>
        <v>0609</v>
      </c>
      <c r="E761" t="str">
        <f>"25"</f>
        <v>25</v>
      </c>
      <c r="F761" t="str">
        <f t="shared" si="157"/>
        <v>COM</v>
      </c>
      <c r="G761" t="str">
        <f>"GILSON OLIVEIRA CAMPINHO JUNIOR (132)"</f>
        <v>GILSON OLIVEIRA CAMPINHO JUNIOR (132)</v>
      </c>
      <c r="H761" t="s">
        <v>85</v>
      </c>
      <c r="I761" t="str">
        <f>("06/09/2025")</f>
        <v>06/09/2025</v>
      </c>
      <c r="J761" t="str">
        <f>("06/09/2025")</f>
        <v>06/09/2025</v>
      </c>
      <c r="K761">
        <v>45906</v>
      </c>
      <c r="N761">
        <v>5000</v>
      </c>
      <c r="O761" t="s">
        <v>86</v>
      </c>
      <c r="Q761">
        <v>500</v>
      </c>
      <c r="R761" t="str">
        <f>"GILSON OLIVEIRA CAMPINHO JUNIOR (132)"</f>
        <v>GILSON OLIVEIRA CAMPINHO JUNIOR (132)</v>
      </c>
      <c r="S761" t="s">
        <v>22</v>
      </c>
      <c r="T761">
        <v>21317</v>
      </c>
      <c r="U761">
        <v>25919</v>
      </c>
      <c r="V761" t="s">
        <v>22</v>
      </c>
    </row>
    <row r="762" spans="1:22">
      <c r="A762" t="str">
        <f t="shared" ref="A762:A778" si="164">("07/09/2025")</f>
        <v>07/09/2025</v>
      </c>
      <c r="B762" t="str">
        <f t="shared" si="160"/>
        <v>SAÍDA</v>
      </c>
      <c r="C762" t="str">
        <f t="shared" si="163"/>
        <v>PIX</v>
      </c>
      <c r="D762" t="str">
        <f>"21628"</f>
        <v>21628</v>
      </c>
      <c r="E762" t="str">
        <f t="shared" ref="E762:E791" si="165">"1"</f>
        <v>1</v>
      </c>
      <c r="F762" t="str">
        <f t="shared" si="157"/>
        <v>COM</v>
      </c>
      <c r="G762" t="str">
        <f>"VANDERLEI PEREIRA CARVALHO (929)"</f>
        <v>VANDERLEI PEREIRA CARVALHO (929)</v>
      </c>
      <c r="H762" t="str">
        <f>"Serv.Prest. 01/09/2025 a 07/09/2025 - PIX: CELULAR - CHAVE: (27) 99650-9691"</f>
        <v>Serv.Prest. 01/09/2025 a 07/09/2025 - PIX: CELULAR - CHAVE: (27) 99650-9691</v>
      </c>
      <c r="I762" t="str">
        <f t="shared" ref="I762:I772" si="166">("18/09/2025")</f>
        <v>18/09/2025</v>
      </c>
      <c r="J762" t="str">
        <f>("09/09/2025")</f>
        <v>09/09/2025</v>
      </c>
      <c r="K762" t="str">
        <f>("07/09/2025")</f>
        <v>07/09/2025</v>
      </c>
      <c r="L762">
        <v>600</v>
      </c>
      <c r="M762">
        <v>600</v>
      </c>
      <c r="N762">
        <v>109</v>
      </c>
      <c r="O762" t="str">
        <f>"PAGAMENTO DE ENTREGADORES"</f>
        <v>PAGAMENTO DE ENTREGADORES</v>
      </c>
      <c r="P762">
        <v>600</v>
      </c>
      <c r="S762" t="str">
        <f>"BANCO CORA (102)"</f>
        <v>BANCO CORA (102)</v>
      </c>
      <c r="T762">
        <v>17728</v>
      </c>
      <c r="U762">
        <v>21628</v>
      </c>
      <c r="V762" t="s">
        <v>22</v>
      </c>
    </row>
    <row r="763" spans="1:22">
      <c r="A763" t="str">
        <f t="shared" si="164"/>
        <v>07/09/2025</v>
      </c>
      <c r="B763" t="str">
        <f t="shared" si="160"/>
        <v>SAÍDA</v>
      </c>
      <c r="C763" t="str">
        <f t="shared" si="163"/>
        <v>PIX</v>
      </c>
      <c r="D763" t="str">
        <f>"21628"</f>
        <v>21628</v>
      </c>
      <c r="E763" t="str">
        <f t="shared" si="165"/>
        <v>1</v>
      </c>
      <c r="F763" t="str">
        <f t="shared" si="157"/>
        <v>COM</v>
      </c>
      <c r="G763" t="str">
        <f>"VANDERLEI PEREIRA CARVALHO (929)"</f>
        <v>VANDERLEI PEREIRA CARVALHO (929)</v>
      </c>
      <c r="H763" t="s">
        <v>296</v>
      </c>
      <c r="I763" t="str">
        <f t="shared" si="166"/>
        <v>18/09/2025</v>
      </c>
      <c r="J763" t="str">
        <f>("09/09/2025")</f>
        <v>09/09/2025</v>
      </c>
      <c r="K763">
        <v>45907</v>
      </c>
      <c r="N763">
        <v>109</v>
      </c>
      <c r="O763" t="s">
        <v>24</v>
      </c>
      <c r="Q763">
        <v>600</v>
      </c>
      <c r="R763" t="str">
        <f>"FARMÁCIA INDIANA LJ 119 (10053)"</f>
        <v>FARMÁCIA INDIANA LJ 119 (10053)</v>
      </c>
      <c r="S763" t="s">
        <v>22</v>
      </c>
      <c r="T763">
        <v>17728</v>
      </c>
      <c r="U763">
        <v>21628</v>
      </c>
      <c r="V763" t="s">
        <v>22</v>
      </c>
    </row>
    <row r="764" spans="1:22">
      <c r="A764" t="str">
        <f t="shared" si="164"/>
        <v>07/09/2025</v>
      </c>
      <c r="B764" t="str">
        <f t="shared" si="160"/>
        <v>SAÍDA</v>
      </c>
      <c r="C764" t="str">
        <f t="shared" si="163"/>
        <v>PIX</v>
      </c>
      <c r="D764" t="str">
        <f>"21618"</f>
        <v>21618</v>
      </c>
      <c r="E764" t="str">
        <f t="shared" si="165"/>
        <v>1</v>
      </c>
      <c r="F764" t="str">
        <f t="shared" si="157"/>
        <v>COM</v>
      </c>
      <c r="G764" t="str">
        <f>"WILDES ALVES CERQUEIRA ALMEIDA (874)"</f>
        <v>WILDES ALVES CERQUEIRA ALMEIDA (874)</v>
      </c>
      <c r="H764" t="str">
        <f>"Serv.Prest. 01/09/2025 a 07/09/2025 - PIX: CELULAR - CHAVE: (73) 98155-8496"</f>
        <v>Serv.Prest. 01/09/2025 a 07/09/2025 - PIX: CELULAR - CHAVE: (73) 98155-8496</v>
      </c>
      <c r="I764" t="str">
        <f t="shared" si="166"/>
        <v>18/09/2025</v>
      </c>
      <c r="J764" t="str">
        <f t="shared" ref="J764:J791" si="167">("08/09/2025")</f>
        <v>08/09/2025</v>
      </c>
      <c r="K764" t="str">
        <f>("07/09/2025")</f>
        <v>07/09/2025</v>
      </c>
      <c r="L764">
        <v>120</v>
      </c>
      <c r="M764">
        <v>120</v>
      </c>
      <c r="N764">
        <v>109</v>
      </c>
      <c r="O764" t="str">
        <f>"PAGAMENTO DE ENTREGADORES"</f>
        <v>PAGAMENTO DE ENTREGADORES</v>
      </c>
      <c r="P764">
        <v>120</v>
      </c>
      <c r="S764" t="str">
        <f>"BANCO CORA (102)"</f>
        <v>BANCO CORA (102)</v>
      </c>
      <c r="T764">
        <v>17740</v>
      </c>
      <c r="U764">
        <v>21644</v>
      </c>
      <c r="V764" t="s">
        <v>22</v>
      </c>
    </row>
    <row r="765" spans="1:22">
      <c r="A765" t="str">
        <f t="shared" si="164"/>
        <v>07/09/2025</v>
      </c>
      <c r="B765" t="str">
        <f t="shared" si="160"/>
        <v>SAÍDA</v>
      </c>
      <c r="C765" t="str">
        <f t="shared" si="163"/>
        <v>PIX</v>
      </c>
      <c r="D765" t="str">
        <f>"21618"</f>
        <v>21618</v>
      </c>
      <c r="E765" t="str">
        <f t="shared" si="165"/>
        <v>1</v>
      </c>
      <c r="F765" t="str">
        <f t="shared" si="157"/>
        <v>COM</v>
      </c>
      <c r="G765" t="str">
        <f>"WILDES ALVES CERQUEIRA ALMEIDA (874)"</f>
        <v>WILDES ALVES CERQUEIRA ALMEIDA (874)</v>
      </c>
      <c r="H765" t="s">
        <v>65</v>
      </c>
      <c r="I765" t="str">
        <f t="shared" si="166"/>
        <v>18/09/2025</v>
      </c>
      <c r="J765" t="str">
        <f t="shared" si="167"/>
        <v>08/09/2025</v>
      </c>
      <c r="K765">
        <v>45907</v>
      </c>
      <c r="N765">
        <v>109</v>
      </c>
      <c r="O765" t="s">
        <v>24</v>
      </c>
      <c r="Q765">
        <v>96</v>
      </c>
      <c r="R765" t="str">
        <f>"FARMÁCIA INDIANA LJ 65 (10030)"</f>
        <v>FARMÁCIA INDIANA LJ 65 (10030)</v>
      </c>
      <c r="S765" t="s">
        <v>22</v>
      </c>
      <c r="T765">
        <v>17740</v>
      </c>
      <c r="U765">
        <v>21644</v>
      </c>
      <c r="V765" t="s">
        <v>22</v>
      </c>
    </row>
    <row r="766" spans="1:22">
      <c r="A766" t="str">
        <f t="shared" si="164"/>
        <v>07/09/2025</v>
      </c>
      <c r="B766" t="str">
        <f t="shared" si="160"/>
        <v>SAÍDA</v>
      </c>
      <c r="C766" t="str">
        <f t="shared" si="163"/>
        <v>PIX</v>
      </c>
      <c r="D766" t="str">
        <f>"21618"</f>
        <v>21618</v>
      </c>
      <c r="E766" t="str">
        <f t="shared" si="165"/>
        <v>1</v>
      </c>
      <c r="F766" t="str">
        <f t="shared" si="157"/>
        <v>COM</v>
      </c>
      <c r="G766" t="str">
        <f>"WILDES ALVES CERQUEIRA ALMEIDA (874)"</f>
        <v>WILDES ALVES CERQUEIRA ALMEIDA (874)</v>
      </c>
      <c r="H766" t="s">
        <v>65</v>
      </c>
      <c r="I766" t="str">
        <f t="shared" si="166"/>
        <v>18/09/2025</v>
      </c>
      <c r="J766" t="str">
        <f t="shared" si="167"/>
        <v>08/09/2025</v>
      </c>
      <c r="K766">
        <v>45907</v>
      </c>
      <c r="N766">
        <v>109</v>
      </c>
      <c r="O766" t="s">
        <v>24</v>
      </c>
      <c r="Q766">
        <v>24</v>
      </c>
      <c r="R766" t="str">
        <f>"FARMÁCIA INDIANA LJ 173 (10075)"</f>
        <v>FARMÁCIA INDIANA LJ 173 (10075)</v>
      </c>
      <c r="S766" t="s">
        <v>22</v>
      </c>
      <c r="T766">
        <v>17740</v>
      </c>
      <c r="U766">
        <v>21644</v>
      </c>
      <c r="V766" t="s">
        <v>22</v>
      </c>
    </row>
    <row r="767" spans="1:22">
      <c r="A767" t="str">
        <f t="shared" si="164"/>
        <v>07/09/2025</v>
      </c>
      <c r="B767" t="str">
        <f t="shared" si="160"/>
        <v>SAÍDA</v>
      </c>
      <c r="C767" t="str">
        <f t="shared" si="163"/>
        <v>PIX</v>
      </c>
      <c r="D767" t="str">
        <f>"21532"</f>
        <v>21532</v>
      </c>
      <c r="E767" t="str">
        <f t="shared" si="165"/>
        <v>1</v>
      </c>
      <c r="F767" t="str">
        <f t="shared" si="157"/>
        <v>COM</v>
      </c>
      <c r="G767" t="str">
        <f>"JOSE ERIC SILVA MACENA (854)"</f>
        <v>JOSE ERIC SILVA MACENA (854)</v>
      </c>
      <c r="H767" t="str">
        <f>"Serv.Prest. 01/09/2025 a 07/09/2025 - Phablo Heinrick Valadares Ferreira"</f>
        <v>Serv.Prest. 01/09/2025 a 07/09/2025 - Phablo Heinrick Valadares Ferreira</v>
      </c>
      <c r="I767" t="str">
        <f t="shared" si="166"/>
        <v>18/09/2025</v>
      </c>
      <c r="J767" t="str">
        <f t="shared" si="167"/>
        <v>08/09/2025</v>
      </c>
      <c r="K767" t="str">
        <f>("07/09/2025")</f>
        <v>07/09/2025</v>
      </c>
      <c r="L767">
        <v>80</v>
      </c>
      <c r="M767">
        <v>80</v>
      </c>
      <c r="N767">
        <v>134</v>
      </c>
      <c r="O767" t="str">
        <f>"DIARIA DE MOTOBOY"</f>
        <v>DIARIA DE MOTOBOY</v>
      </c>
      <c r="P767">
        <v>80</v>
      </c>
      <c r="S767" t="str">
        <f>"BANCO CORA (102)"</f>
        <v>BANCO CORA (102)</v>
      </c>
      <c r="T767">
        <v>17747</v>
      </c>
      <c r="U767">
        <v>21649</v>
      </c>
      <c r="V767" t="s">
        <v>22</v>
      </c>
    </row>
    <row r="768" spans="1:22">
      <c r="A768" t="str">
        <f t="shared" si="164"/>
        <v>07/09/2025</v>
      </c>
      <c r="B768" t="str">
        <f t="shared" si="160"/>
        <v>SAÍDA</v>
      </c>
      <c r="C768" t="str">
        <f t="shared" si="163"/>
        <v>PIX</v>
      </c>
      <c r="D768" t="str">
        <f>"21532"</f>
        <v>21532</v>
      </c>
      <c r="E768" t="str">
        <f t="shared" si="165"/>
        <v>1</v>
      </c>
      <c r="F768" t="str">
        <f t="shared" si="157"/>
        <v>COM</v>
      </c>
      <c r="G768" t="str">
        <f>"JOSE ERIC SILVA MACENA (854)"</f>
        <v>JOSE ERIC SILVA MACENA (854)</v>
      </c>
      <c r="H768" t="s">
        <v>297</v>
      </c>
      <c r="I768" t="str">
        <f t="shared" si="166"/>
        <v>18/09/2025</v>
      </c>
      <c r="J768" t="str">
        <f t="shared" si="167"/>
        <v>08/09/2025</v>
      </c>
      <c r="K768">
        <v>45907</v>
      </c>
      <c r="N768">
        <v>134</v>
      </c>
      <c r="O768" t="s">
        <v>41</v>
      </c>
      <c r="Q768">
        <v>80</v>
      </c>
      <c r="R768" t="str">
        <f>"FARMÁCIA INDIANA LJ 101 (10043)"</f>
        <v>FARMÁCIA INDIANA LJ 101 (10043)</v>
      </c>
      <c r="S768" t="s">
        <v>22</v>
      </c>
      <c r="T768">
        <v>17747</v>
      </c>
      <c r="U768">
        <v>21649</v>
      </c>
      <c r="V768" t="s">
        <v>22</v>
      </c>
    </row>
    <row r="769" spans="1:22">
      <c r="A769" t="str">
        <f t="shared" si="164"/>
        <v>07/09/2025</v>
      </c>
      <c r="B769" t="str">
        <f t="shared" si="160"/>
        <v>SAÍDA</v>
      </c>
      <c r="C769" t="str">
        <f t="shared" si="163"/>
        <v>PIX</v>
      </c>
      <c r="D769" t="str">
        <f>"21532"</f>
        <v>21532</v>
      </c>
      <c r="E769" t="str">
        <f t="shared" si="165"/>
        <v>1</v>
      </c>
      <c r="F769" t="str">
        <f t="shared" si="157"/>
        <v>COM</v>
      </c>
      <c r="G769" t="str">
        <f>"JOSE ERIC SILVA MACENA (854)"</f>
        <v>JOSE ERIC SILVA MACENA (854)</v>
      </c>
      <c r="H769" t="str">
        <f>"Serv.Prest. 01/09/2025 a 07/09/2025 - Phablo Heinrick Valadares Ferreira"</f>
        <v>Serv.Prest. 01/09/2025 a 07/09/2025 - Phablo Heinrick Valadares Ferreira</v>
      </c>
      <c r="I769" t="str">
        <f t="shared" si="166"/>
        <v>18/09/2025</v>
      </c>
      <c r="J769" t="str">
        <f t="shared" si="167"/>
        <v>08/09/2025</v>
      </c>
      <c r="K769" t="str">
        <f>("07/09/2025")</f>
        <v>07/09/2025</v>
      </c>
      <c r="L769">
        <v>40</v>
      </c>
      <c r="M769">
        <v>30</v>
      </c>
      <c r="N769">
        <v>109</v>
      </c>
      <c r="O769" t="str">
        <f>"PAGAMENTO DE ENTREGADORES"</f>
        <v>PAGAMENTO DE ENTREGADORES</v>
      </c>
      <c r="P769">
        <v>30</v>
      </c>
      <c r="S769" t="str">
        <f>"BANCO CORA (102)"</f>
        <v>BANCO CORA (102)</v>
      </c>
      <c r="T769">
        <v>17748</v>
      </c>
      <c r="U769">
        <v>21648</v>
      </c>
      <c r="V769" t="s">
        <v>22</v>
      </c>
    </row>
    <row r="770" spans="1:22">
      <c r="A770" t="str">
        <f t="shared" si="164"/>
        <v>07/09/2025</v>
      </c>
      <c r="B770" t="str">
        <f t="shared" si="160"/>
        <v>SAÍDA</v>
      </c>
      <c r="C770" t="str">
        <f t="shared" si="163"/>
        <v>PIX</v>
      </c>
      <c r="D770" t="str">
        <f>"21532"</f>
        <v>21532</v>
      </c>
      <c r="E770" t="str">
        <f t="shared" si="165"/>
        <v>1</v>
      </c>
      <c r="F770" t="str">
        <f t="shared" si="157"/>
        <v>COM</v>
      </c>
      <c r="G770" t="str">
        <f>"JOSE ERIC SILVA MACENA (854)"</f>
        <v>JOSE ERIC SILVA MACENA (854)</v>
      </c>
      <c r="H770" t="s">
        <v>297</v>
      </c>
      <c r="I770" t="str">
        <f t="shared" si="166"/>
        <v>18/09/2025</v>
      </c>
      <c r="J770" t="str">
        <f t="shared" si="167"/>
        <v>08/09/2025</v>
      </c>
      <c r="K770">
        <v>45907</v>
      </c>
      <c r="N770">
        <v>109</v>
      </c>
      <c r="O770" t="s">
        <v>24</v>
      </c>
      <c r="Q770">
        <v>30</v>
      </c>
      <c r="R770" t="str">
        <f>"FARMÁCIA INDIANA LJ 101 (10043)"</f>
        <v>FARMÁCIA INDIANA LJ 101 (10043)</v>
      </c>
      <c r="S770" t="s">
        <v>22</v>
      </c>
      <c r="T770">
        <v>17748</v>
      </c>
      <c r="U770">
        <v>21648</v>
      </c>
      <c r="V770" t="s">
        <v>22</v>
      </c>
    </row>
    <row r="771" spans="1:22">
      <c r="A771" t="str">
        <f t="shared" si="164"/>
        <v>07/09/2025</v>
      </c>
      <c r="B771" t="str">
        <f t="shared" si="160"/>
        <v>SAÍDA</v>
      </c>
      <c r="C771" t="str">
        <f t="shared" si="163"/>
        <v>PIX</v>
      </c>
      <c r="D771" t="str">
        <f>"21536"</f>
        <v>21536</v>
      </c>
      <c r="E771" t="str">
        <f t="shared" si="165"/>
        <v>1</v>
      </c>
      <c r="F771" t="str">
        <f t="shared" si="157"/>
        <v>COM</v>
      </c>
      <c r="G771" t="str">
        <f>"JUSSARA CRISTINA FARIA (783)"</f>
        <v>JUSSARA CRISTINA FARIA (783)</v>
      </c>
      <c r="H771" t="str">
        <f>"Serv.Prest. 01/09/2025 a 07/09/2025 Danilo Vieira dos Reis"</f>
        <v>Serv.Prest. 01/09/2025 a 07/09/2025 Danilo Vieira dos Reis</v>
      </c>
      <c r="I771" t="str">
        <f t="shared" si="166"/>
        <v>18/09/2025</v>
      </c>
      <c r="J771" t="str">
        <f t="shared" si="167"/>
        <v>08/09/2025</v>
      </c>
      <c r="K771" t="str">
        <f>("07/09/2025")</f>
        <v>07/09/2025</v>
      </c>
      <c r="L771">
        <v>262.5</v>
      </c>
      <c r="M771">
        <v>150</v>
      </c>
      <c r="N771">
        <v>134</v>
      </c>
      <c r="O771" t="str">
        <f>"DIARIA DE MOTOBOY"</f>
        <v>DIARIA DE MOTOBOY</v>
      </c>
      <c r="P771">
        <v>150</v>
      </c>
      <c r="S771" t="str">
        <f>"BANCO CORA (102)"</f>
        <v>BANCO CORA (102)</v>
      </c>
      <c r="T771">
        <v>17752</v>
      </c>
      <c r="U771">
        <v>21650</v>
      </c>
      <c r="V771" t="s">
        <v>22</v>
      </c>
    </row>
    <row r="772" spans="1:22">
      <c r="A772" t="str">
        <f t="shared" si="164"/>
        <v>07/09/2025</v>
      </c>
      <c r="B772" t="str">
        <f t="shared" si="160"/>
        <v>SAÍDA</v>
      </c>
      <c r="C772" t="str">
        <f t="shared" si="163"/>
        <v>PIX</v>
      </c>
      <c r="D772" t="str">
        <f>"21536"</f>
        <v>21536</v>
      </c>
      <c r="E772" t="str">
        <f t="shared" si="165"/>
        <v>1</v>
      </c>
      <c r="F772" t="str">
        <f t="shared" si="157"/>
        <v>COM</v>
      </c>
      <c r="G772" t="str">
        <f>"JUSSARA CRISTINA FARIA (783)"</f>
        <v>JUSSARA CRISTINA FARIA (783)</v>
      </c>
      <c r="H772" t="s">
        <v>298</v>
      </c>
      <c r="I772" t="str">
        <f t="shared" si="166"/>
        <v>18/09/2025</v>
      </c>
      <c r="J772" t="str">
        <f t="shared" si="167"/>
        <v>08/09/2025</v>
      </c>
      <c r="K772">
        <v>45907</v>
      </c>
      <c r="N772">
        <v>134</v>
      </c>
      <c r="O772" t="s">
        <v>41</v>
      </c>
      <c r="Q772">
        <v>150</v>
      </c>
      <c r="R772" t="str">
        <f>"FARMÁCIA INDIANA LJ 110 (10048)"</f>
        <v>FARMÁCIA INDIANA LJ 110 (10048)</v>
      </c>
      <c r="S772" t="s">
        <v>22</v>
      </c>
      <c r="T772">
        <v>17752</v>
      </c>
      <c r="U772">
        <v>21650</v>
      </c>
      <c r="V772" t="s">
        <v>22</v>
      </c>
    </row>
    <row r="773" spans="1:22">
      <c r="A773" t="str">
        <f t="shared" si="164"/>
        <v>07/09/2025</v>
      </c>
      <c r="B773" t="str">
        <f t="shared" si="160"/>
        <v>SAÍDA</v>
      </c>
      <c r="C773" t="str">
        <f t="shared" si="163"/>
        <v>PIX</v>
      </c>
      <c r="D773" t="str">
        <f>"21463"</f>
        <v>21463</v>
      </c>
      <c r="E773" t="str">
        <f t="shared" si="165"/>
        <v>1</v>
      </c>
      <c r="F773" t="str">
        <f t="shared" si="157"/>
        <v>COM</v>
      </c>
      <c r="G773" t="str">
        <f>"DIANS APARECIDO RAMOS BERALDO (795)"</f>
        <v>DIANS APARECIDO RAMOS BERALDO (795)</v>
      </c>
      <c r="H773" t="str">
        <f>"Serv.Prest. 01/09/2025 a 07/09/2025 - PIX: CELULAR - CHAVE: (11) 95530-0331"</f>
        <v>Serv.Prest. 01/09/2025 a 07/09/2025 - PIX: CELULAR - CHAVE: (11) 95530-0331</v>
      </c>
      <c r="I773" t="str">
        <f t="shared" ref="I773:I778" si="168">("11/09/2025")</f>
        <v>11/09/2025</v>
      </c>
      <c r="J773" t="str">
        <f t="shared" si="167"/>
        <v>08/09/2025</v>
      </c>
      <c r="K773" t="str">
        <f>("07/09/2025")</f>
        <v>07/09/2025</v>
      </c>
      <c r="L773">
        <v>133</v>
      </c>
      <c r="M773">
        <v>130</v>
      </c>
      <c r="N773">
        <v>109</v>
      </c>
      <c r="O773" t="str">
        <f>"PAGAMENTO DE ENTREGADORES"</f>
        <v>PAGAMENTO DE ENTREGADORES</v>
      </c>
      <c r="P773">
        <v>130</v>
      </c>
      <c r="S773" t="str">
        <f>"BANCO CORA (102)"</f>
        <v>BANCO CORA (102)</v>
      </c>
      <c r="T773">
        <v>17754</v>
      </c>
      <c r="U773">
        <v>21463</v>
      </c>
      <c r="V773" t="s">
        <v>22</v>
      </c>
    </row>
    <row r="774" spans="1:22">
      <c r="A774" t="str">
        <f t="shared" si="164"/>
        <v>07/09/2025</v>
      </c>
      <c r="B774" t="str">
        <f t="shared" si="160"/>
        <v>SAÍDA</v>
      </c>
      <c r="C774" t="str">
        <f t="shared" si="163"/>
        <v>PIX</v>
      </c>
      <c r="D774" t="str">
        <f>"21463"</f>
        <v>21463</v>
      </c>
      <c r="E774" t="str">
        <f t="shared" si="165"/>
        <v>1</v>
      </c>
      <c r="F774" t="str">
        <f t="shared" si="157"/>
        <v>COM</v>
      </c>
      <c r="G774" t="str">
        <f>"DIANS APARECIDO RAMOS BERALDO (795)"</f>
        <v>DIANS APARECIDO RAMOS BERALDO (795)</v>
      </c>
      <c r="H774" t="s">
        <v>299</v>
      </c>
      <c r="I774" t="str">
        <f t="shared" si="168"/>
        <v>11/09/2025</v>
      </c>
      <c r="J774" t="str">
        <f t="shared" si="167"/>
        <v>08/09/2025</v>
      </c>
      <c r="K774">
        <v>45907</v>
      </c>
      <c r="N774">
        <v>109</v>
      </c>
      <c r="O774" t="s">
        <v>24</v>
      </c>
      <c r="Q774">
        <v>130</v>
      </c>
      <c r="R774" t="str">
        <f>"DROGARIA TOTAL JUNDIAI (10177)"</f>
        <v>DROGARIA TOTAL JUNDIAI (10177)</v>
      </c>
      <c r="S774" t="s">
        <v>22</v>
      </c>
      <c r="T774">
        <v>17754</v>
      </c>
      <c r="U774">
        <v>21463</v>
      </c>
      <c r="V774" t="s">
        <v>22</v>
      </c>
    </row>
    <row r="775" spans="1:22">
      <c r="A775" t="str">
        <f t="shared" si="164"/>
        <v>07/09/2025</v>
      </c>
      <c r="B775" t="str">
        <f t="shared" si="160"/>
        <v>SAÍDA</v>
      </c>
      <c r="C775" t="str">
        <f t="shared" si="163"/>
        <v>PIX</v>
      </c>
      <c r="D775" t="str">
        <f>"21468"</f>
        <v>21468</v>
      </c>
      <c r="E775" t="str">
        <f t="shared" si="165"/>
        <v>1</v>
      </c>
      <c r="F775" t="str">
        <f t="shared" si="157"/>
        <v>COM</v>
      </c>
      <c r="G775" t="str">
        <f>"RENATO ALVES BATISTA (935)"</f>
        <v>RENATO ALVES BATISTA (935)</v>
      </c>
      <c r="H775" t="str">
        <f>"Serv.Prest. 01/09/2025 a 07/09/2025 - PIX: CPF - CHAVE: 900.512.622-15"</f>
        <v>Serv.Prest. 01/09/2025 a 07/09/2025 - PIX: CPF - CHAVE: 900.512.622-15</v>
      </c>
      <c r="I775" t="str">
        <f t="shared" si="168"/>
        <v>11/09/2025</v>
      </c>
      <c r="J775" t="str">
        <f t="shared" si="167"/>
        <v>08/09/2025</v>
      </c>
      <c r="K775" t="str">
        <f>("07/09/2025")</f>
        <v>07/09/2025</v>
      </c>
      <c r="L775">
        <v>150.5</v>
      </c>
      <c r="M775">
        <v>150</v>
      </c>
      <c r="N775">
        <v>109</v>
      </c>
      <c r="O775" t="str">
        <f>"PAGAMENTO DE ENTREGADORES"</f>
        <v>PAGAMENTO DE ENTREGADORES</v>
      </c>
      <c r="P775">
        <v>150</v>
      </c>
      <c r="S775" t="str">
        <f>"BANCO CORA (102)"</f>
        <v>BANCO CORA (102)</v>
      </c>
      <c r="T775">
        <v>17759</v>
      </c>
      <c r="U775">
        <v>21468</v>
      </c>
      <c r="V775" t="s">
        <v>22</v>
      </c>
    </row>
    <row r="776" spans="1:22">
      <c r="A776" t="str">
        <f t="shared" si="164"/>
        <v>07/09/2025</v>
      </c>
      <c r="B776" t="str">
        <f t="shared" si="160"/>
        <v>SAÍDA</v>
      </c>
      <c r="C776" t="str">
        <f t="shared" si="163"/>
        <v>PIX</v>
      </c>
      <c r="D776" t="str">
        <f>"21468"</f>
        <v>21468</v>
      </c>
      <c r="E776" t="str">
        <f t="shared" si="165"/>
        <v>1</v>
      </c>
      <c r="F776" t="str">
        <f t="shared" si="157"/>
        <v>COM</v>
      </c>
      <c r="G776" t="str">
        <f>"RENATO ALVES BATISTA (935)"</f>
        <v>RENATO ALVES BATISTA (935)</v>
      </c>
      <c r="H776" t="s">
        <v>300</v>
      </c>
      <c r="I776" t="str">
        <f t="shared" si="168"/>
        <v>11/09/2025</v>
      </c>
      <c r="J776" t="str">
        <f t="shared" si="167"/>
        <v>08/09/2025</v>
      </c>
      <c r="K776">
        <v>45907</v>
      </c>
      <c r="N776">
        <v>109</v>
      </c>
      <c r="O776" t="s">
        <v>24</v>
      </c>
      <c r="Q776">
        <v>150</v>
      </c>
      <c r="R776" t="str">
        <f>"DROGARIA MEDIC CENTER LTDA (10172)"</f>
        <v>DROGARIA MEDIC CENTER LTDA (10172)</v>
      </c>
      <c r="S776" t="s">
        <v>22</v>
      </c>
      <c r="T776">
        <v>17759</v>
      </c>
      <c r="U776">
        <v>21468</v>
      </c>
      <c r="V776" t="s">
        <v>22</v>
      </c>
    </row>
    <row r="777" spans="1:22">
      <c r="A777" t="str">
        <f t="shared" si="164"/>
        <v>07/09/2025</v>
      </c>
      <c r="B777" t="str">
        <f t="shared" si="160"/>
        <v>SAÍDA</v>
      </c>
      <c r="C777" t="str">
        <f t="shared" si="163"/>
        <v>PIX</v>
      </c>
      <c r="D777" t="str">
        <f>"21468"</f>
        <v>21468</v>
      </c>
      <c r="E777" t="str">
        <f t="shared" si="165"/>
        <v>1</v>
      </c>
      <c r="F777" t="str">
        <f t="shared" si="157"/>
        <v>COM</v>
      </c>
      <c r="G777" t="str">
        <f>"RENATO ALVES BATISTA (935)"</f>
        <v>RENATO ALVES BATISTA (935)</v>
      </c>
      <c r="H777" t="str">
        <f>"Serv.Prest. 01/09/2025 a 07/09/2025 Bruno Marcelo Faria Nogueira"</f>
        <v>Serv.Prest. 01/09/2025 a 07/09/2025 Bruno Marcelo Faria Nogueira</v>
      </c>
      <c r="I777" t="str">
        <f t="shared" si="168"/>
        <v>11/09/2025</v>
      </c>
      <c r="J777" t="str">
        <f t="shared" si="167"/>
        <v>08/09/2025</v>
      </c>
      <c r="K777" t="str">
        <f>("07/09/2025")</f>
        <v>07/09/2025</v>
      </c>
      <c r="L777">
        <v>150.5</v>
      </c>
      <c r="M777">
        <v>150</v>
      </c>
      <c r="N777">
        <v>134</v>
      </c>
      <c r="O777" t="str">
        <f>"DIARIA DE MOTOBOY"</f>
        <v>DIARIA DE MOTOBOY</v>
      </c>
      <c r="P777">
        <v>150</v>
      </c>
      <c r="S777" t="str">
        <f>"BANCO CORA (102)"</f>
        <v>BANCO CORA (102)</v>
      </c>
      <c r="T777">
        <v>17760</v>
      </c>
      <c r="U777">
        <v>21656</v>
      </c>
      <c r="V777" t="s">
        <v>22</v>
      </c>
    </row>
    <row r="778" spans="1:22">
      <c r="A778" t="str">
        <f t="shared" si="164"/>
        <v>07/09/2025</v>
      </c>
      <c r="B778" t="str">
        <f t="shared" si="160"/>
        <v>SAÍDA</v>
      </c>
      <c r="C778" t="str">
        <f t="shared" si="163"/>
        <v>PIX</v>
      </c>
      <c r="D778" t="str">
        <f>"21468"</f>
        <v>21468</v>
      </c>
      <c r="E778" t="str">
        <f t="shared" si="165"/>
        <v>1</v>
      </c>
      <c r="F778" t="str">
        <f t="shared" si="157"/>
        <v>COM</v>
      </c>
      <c r="G778" t="str">
        <f>"RENATO ALVES BATISTA (935)"</f>
        <v>RENATO ALVES BATISTA (935)</v>
      </c>
      <c r="H778" t="s">
        <v>301</v>
      </c>
      <c r="I778" t="str">
        <f t="shared" si="168"/>
        <v>11/09/2025</v>
      </c>
      <c r="J778" t="str">
        <f t="shared" si="167"/>
        <v>08/09/2025</v>
      </c>
      <c r="K778">
        <v>45907</v>
      </c>
      <c r="N778">
        <v>134</v>
      </c>
      <c r="O778" t="s">
        <v>41</v>
      </c>
      <c r="Q778">
        <v>150</v>
      </c>
      <c r="R778" t="str">
        <f>"DROGARIA MEDIC CENTER LTDA (10172)"</f>
        <v>DROGARIA MEDIC CENTER LTDA (10172)</v>
      </c>
      <c r="S778" t="s">
        <v>22</v>
      </c>
      <c r="T778">
        <v>17760</v>
      </c>
      <c r="U778">
        <v>21656</v>
      </c>
      <c r="V778" t="s">
        <v>22</v>
      </c>
    </row>
    <row r="779" spans="1:22">
      <c r="A779" t="str">
        <f t="shared" ref="A779:A814" si="169">("08/09/2025")</f>
        <v>08/09/2025</v>
      </c>
      <c r="B779" t="str">
        <f t="shared" si="160"/>
        <v>SAÍDA</v>
      </c>
      <c r="C779" t="str">
        <f t="shared" si="163"/>
        <v>PIX</v>
      </c>
      <c r="D779" t="str">
        <f>"21449"</f>
        <v>21449</v>
      </c>
      <c r="E779" t="str">
        <f t="shared" si="165"/>
        <v>1</v>
      </c>
      <c r="F779" t="str">
        <f t="shared" si="157"/>
        <v>COM</v>
      </c>
      <c r="G779" t="str">
        <f>"ALEXSANDRO HENRIQUE FERREIRA (808)"</f>
        <v>ALEXSANDRO HENRIQUE FERREIRA (808)</v>
      </c>
      <c r="H779" t="str">
        <f>"Serv.Prest. 01/09/2025 a 07/09/2025 - PIX: CPF - CHAVE: 157.591.436-03"</f>
        <v>Serv.Prest. 01/09/2025 a 07/09/2025 - PIX: CPF - CHAVE: 157.591.436-03</v>
      </c>
      <c r="I779" t="str">
        <f>("08/09/2025")</f>
        <v>08/09/2025</v>
      </c>
      <c r="J779" t="str">
        <f t="shared" si="167"/>
        <v>08/09/2025</v>
      </c>
      <c r="K779" t="str">
        <f>("08/09/2025")</f>
        <v>08/09/2025</v>
      </c>
      <c r="L779">
        <v>280</v>
      </c>
      <c r="M779">
        <v>280</v>
      </c>
      <c r="N779">
        <v>109</v>
      </c>
      <c r="O779" t="str">
        <f>"PAGAMENTO DE ENTREGADORES"</f>
        <v>PAGAMENTO DE ENTREGADORES</v>
      </c>
      <c r="P779">
        <v>280</v>
      </c>
      <c r="S779" t="str">
        <f>"BANCO CORA (102)"</f>
        <v>BANCO CORA (102)</v>
      </c>
      <c r="T779">
        <v>17725</v>
      </c>
      <c r="U779">
        <v>21477</v>
      </c>
      <c r="V779" t="s">
        <v>22</v>
      </c>
    </row>
    <row r="780" spans="1:22">
      <c r="A780" t="str">
        <f t="shared" si="169"/>
        <v>08/09/2025</v>
      </c>
      <c r="B780" t="str">
        <f t="shared" si="160"/>
        <v>SAÍDA</v>
      </c>
      <c r="C780" t="str">
        <f t="shared" si="163"/>
        <v>PIX</v>
      </c>
      <c r="D780" t="str">
        <f>"21449"</f>
        <v>21449</v>
      </c>
      <c r="E780" t="str">
        <f t="shared" si="165"/>
        <v>1</v>
      </c>
      <c r="F780" t="str">
        <f t="shared" si="157"/>
        <v>COM</v>
      </c>
      <c r="G780" t="str">
        <f>"ALEXSANDRO HENRIQUE FERREIRA (808)"</f>
        <v>ALEXSANDRO HENRIQUE FERREIRA (808)</v>
      </c>
      <c r="H780" t="s">
        <v>302</v>
      </c>
      <c r="I780" t="str">
        <f>("08/09/2025")</f>
        <v>08/09/2025</v>
      </c>
      <c r="J780" t="str">
        <f t="shared" si="167"/>
        <v>08/09/2025</v>
      </c>
      <c r="K780">
        <v>45908</v>
      </c>
      <c r="N780">
        <v>109</v>
      </c>
      <c r="O780" t="s">
        <v>24</v>
      </c>
      <c r="Q780">
        <v>280</v>
      </c>
      <c r="R780" t="str">
        <f>"DROGARIA ANA VISCONDE DO RIO BRANCO (10182)"</f>
        <v>DROGARIA ANA VISCONDE DO RIO BRANCO (10182)</v>
      </c>
      <c r="S780" t="s">
        <v>22</v>
      </c>
      <c r="T780">
        <v>17725</v>
      </c>
      <c r="U780">
        <v>21477</v>
      </c>
      <c r="V780" t="s">
        <v>22</v>
      </c>
    </row>
    <row r="781" spans="1:22">
      <c r="A781" t="str">
        <f t="shared" si="169"/>
        <v>08/09/2025</v>
      </c>
      <c r="B781" t="str">
        <f t="shared" ref="B781:B816" si="170">"SAÍDA"</f>
        <v>SAÍDA</v>
      </c>
      <c r="C781" t="str">
        <f t="shared" si="163"/>
        <v>PIX</v>
      </c>
      <c r="D781" t="str">
        <f>"21618"</f>
        <v>21618</v>
      </c>
      <c r="E781" t="str">
        <f t="shared" si="165"/>
        <v>1</v>
      </c>
      <c r="F781" t="str">
        <f t="shared" si="157"/>
        <v>COM</v>
      </c>
      <c r="G781" t="str">
        <f>"WILDES ALVES CERQUEIRA ALMEIDA (874)"</f>
        <v>WILDES ALVES CERQUEIRA ALMEIDA (874)</v>
      </c>
      <c r="H781" t="str">
        <f>"Serv.Prest. 01/09/2025 a 07/09/2025 - PIX: CELULAR - CHAVE: (73) 98155-8496"</f>
        <v>Serv.Prest. 01/09/2025 a 07/09/2025 - PIX: CELULAR - CHAVE: (73) 98155-8496</v>
      </c>
      <c r="I781" t="str">
        <f t="shared" ref="I781:I787" si="171">("18/09/2025")</f>
        <v>18/09/2025</v>
      </c>
      <c r="J781" t="str">
        <f t="shared" si="167"/>
        <v>08/09/2025</v>
      </c>
      <c r="K781" t="str">
        <f>("08/09/2025")</f>
        <v>08/09/2025</v>
      </c>
      <c r="L781">
        <v>120</v>
      </c>
      <c r="M781">
        <v>120</v>
      </c>
      <c r="N781">
        <v>109</v>
      </c>
      <c r="O781" t="str">
        <f>"PAGAMENTO DE ENTREGADORES"</f>
        <v>PAGAMENTO DE ENTREGADORES</v>
      </c>
      <c r="P781">
        <v>120</v>
      </c>
      <c r="S781" t="str">
        <f>"BANCO CORA (102)"</f>
        <v>BANCO CORA (102)</v>
      </c>
      <c r="T781">
        <v>17741</v>
      </c>
      <c r="U781">
        <v>21645</v>
      </c>
      <c r="V781" t="s">
        <v>22</v>
      </c>
    </row>
    <row r="782" spans="1:22">
      <c r="A782" t="str">
        <f t="shared" si="169"/>
        <v>08/09/2025</v>
      </c>
      <c r="B782" t="str">
        <f t="shared" si="170"/>
        <v>SAÍDA</v>
      </c>
      <c r="C782" t="str">
        <f t="shared" si="163"/>
        <v>PIX</v>
      </c>
      <c r="D782" t="str">
        <f>"21618"</f>
        <v>21618</v>
      </c>
      <c r="E782" t="str">
        <f t="shared" si="165"/>
        <v>1</v>
      </c>
      <c r="F782" t="str">
        <f t="shared" si="157"/>
        <v>COM</v>
      </c>
      <c r="G782" t="str">
        <f>"WILDES ALVES CERQUEIRA ALMEIDA (874)"</f>
        <v>WILDES ALVES CERQUEIRA ALMEIDA (874)</v>
      </c>
      <c r="H782" t="s">
        <v>65</v>
      </c>
      <c r="I782" t="str">
        <f t="shared" si="171"/>
        <v>18/09/2025</v>
      </c>
      <c r="J782" t="str">
        <f t="shared" si="167"/>
        <v>08/09/2025</v>
      </c>
      <c r="K782">
        <v>45908</v>
      </c>
      <c r="N782">
        <v>109</v>
      </c>
      <c r="O782" t="s">
        <v>24</v>
      </c>
      <c r="Q782">
        <v>96</v>
      </c>
      <c r="R782" t="str">
        <f>"FARMÁCIA INDIANA LJ 65 (10030)"</f>
        <v>FARMÁCIA INDIANA LJ 65 (10030)</v>
      </c>
      <c r="S782" t="s">
        <v>22</v>
      </c>
      <c r="T782">
        <v>17741</v>
      </c>
      <c r="U782">
        <v>21645</v>
      </c>
      <c r="V782" t="s">
        <v>22</v>
      </c>
    </row>
    <row r="783" spans="1:22">
      <c r="A783" t="str">
        <f t="shared" si="169"/>
        <v>08/09/2025</v>
      </c>
      <c r="B783" t="str">
        <f t="shared" si="170"/>
        <v>SAÍDA</v>
      </c>
      <c r="C783" t="str">
        <f t="shared" si="163"/>
        <v>PIX</v>
      </c>
      <c r="D783" t="str">
        <f>"21618"</f>
        <v>21618</v>
      </c>
      <c r="E783" t="str">
        <f t="shared" si="165"/>
        <v>1</v>
      </c>
      <c r="F783" t="str">
        <f t="shared" si="157"/>
        <v>COM</v>
      </c>
      <c r="G783" t="str">
        <f>"WILDES ALVES CERQUEIRA ALMEIDA (874)"</f>
        <v>WILDES ALVES CERQUEIRA ALMEIDA (874)</v>
      </c>
      <c r="H783" t="s">
        <v>65</v>
      </c>
      <c r="I783" t="str">
        <f t="shared" si="171"/>
        <v>18/09/2025</v>
      </c>
      <c r="J783" t="str">
        <f t="shared" si="167"/>
        <v>08/09/2025</v>
      </c>
      <c r="K783">
        <v>45908</v>
      </c>
      <c r="N783">
        <v>109</v>
      </c>
      <c r="O783" t="s">
        <v>24</v>
      </c>
      <c r="Q783">
        <v>24</v>
      </c>
      <c r="R783" t="str">
        <f>"FARMÁCIA INDIANA LJ 173 (10075)"</f>
        <v>FARMÁCIA INDIANA LJ 173 (10075)</v>
      </c>
      <c r="S783" t="s">
        <v>22</v>
      </c>
      <c r="T783">
        <v>17741</v>
      </c>
      <c r="U783">
        <v>21645</v>
      </c>
      <c r="V783" t="s">
        <v>22</v>
      </c>
    </row>
    <row r="784" spans="1:22">
      <c r="A784" t="str">
        <f t="shared" si="169"/>
        <v>08/09/2025</v>
      </c>
      <c r="B784" t="str">
        <f t="shared" si="170"/>
        <v>SAÍDA</v>
      </c>
      <c r="C784" t="str">
        <f t="shared" si="163"/>
        <v>PIX</v>
      </c>
      <c r="D784" t="str">
        <f>"21532"</f>
        <v>21532</v>
      </c>
      <c r="E784" t="str">
        <f t="shared" si="165"/>
        <v>1</v>
      </c>
      <c r="F784" t="str">
        <f t="shared" si="157"/>
        <v>COM</v>
      </c>
      <c r="G784" t="str">
        <f>"JOSE ERIC SILVA MACENA (854)"</f>
        <v>JOSE ERIC SILVA MACENA (854)</v>
      </c>
      <c r="H784" t="str">
        <f>"Serv.Prest. 01/09/2025 a 07/09/2025 - PIX: E-MAIL - CHAVE: ericsilva8marcena@gmail.com"</f>
        <v>Serv.Prest. 01/09/2025 a 07/09/2025 - PIX: E-MAIL - CHAVE: ericsilva8marcena@gmail.com</v>
      </c>
      <c r="I784" t="str">
        <f t="shared" si="171"/>
        <v>18/09/2025</v>
      </c>
      <c r="J784" t="str">
        <f t="shared" si="167"/>
        <v>08/09/2025</v>
      </c>
      <c r="K784" t="str">
        <f>("08/09/2025")</f>
        <v>08/09/2025</v>
      </c>
      <c r="L784">
        <v>180</v>
      </c>
      <c r="M784">
        <v>180</v>
      </c>
      <c r="N784">
        <v>109</v>
      </c>
      <c r="O784" t="str">
        <f>"PAGAMENTO DE ENTREGADORES"</f>
        <v>PAGAMENTO DE ENTREGADORES</v>
      </c>
      <c r="P784">
        <v>180</v>
      </c>
      <c r="S784" t="str">
        <f>"BANCO CORA (102)"</f>
        <v>BANCO CORA (102)</v>
      </c>
      <c r="T784">
        <v>17749</v>
      </c>
      <c r="U784">
        <v>21532</v>
      </c>
      <c r="V784" t="s">
        <v>22</v>
      </c>
    </row>
    <row r="785" spans="1:22">
      <c r="A785" t="str">
        <f t="shared" si="169"/>
        <v>08/09/2025</v>
      </c>
      <c r="B785" t="str">
        <f t="shared" si="170"/>
        <v>SAÍDA</v>
      </c>
      <c r="C785" t="str">
        <f t="shared" si="163"/>
        <v>PIX</v>
      </c>
      <c r="D785" t="str">
        <f>"21532"</f>
        <v>21532</v>
      </c>
      <c r="E785" t="str">
        <f t="shared" si="165"/>
        <v>1</v>
      </c>
      <c r="F785" t="str">
        <f t="shared" si="157"/>
        <v>COM</v>
      </c>
      <c r="G785" t="str">
        <f>"JOSE ERIC SILVA MACENA (854)"</f>
        <v>JOSE ERIC SILVA MACENA (854)</v>
      </c>
      <c r="H785" t="s">
        <v>303</v>
      </c>
      <c r="I785" t="str">
        <f t="shared" si="171"/>
        <v>18/09/2025</v>
      </c>
      <c r="J785" t="str">
        <f t="shared" si="167"/>
        <v>08/09/2025</v>
      </c>
      <c r="K785">
        <v>45908</v>
      </c>
      <c r="N785">
        <v>109</v>
      </c>
      <c r="O785" t="s">
        <v>24</v>
      </c>
      <c r="Q785">
        <v>180</v>
      </c>
      <c r="R785" t="str">
        <f>"FARMÁCIA INDIANA LJ 101 (10043)"</f>
        <v>FARMÁCIA INDIANA LJ 101 (10043)</v>
      </c>
      <c r="S785" t="s">
        <v>22</v>
      </c>
      <c r="T785">
        <v>17749</v>
      </c>
      <c r="U785">
        <v>21532</v>
      </c>
      <c r="V785" t="s">
        <v>22</v>
      </c>
    </row>
    <row r="786" spans="1:22">
      <c r="A786" t="str">
        <f t="shared" si="169"/>
        <v>08/09/2025</v>
      </c>
      <c r="B786" t="str">
        <f t="shared" si="170"/>
        <v>SAÍDA</v>
      </c>
      <c r="C786" t="str">
        <f t="shared" si="163"/>
        <v>PIX</v>
      </c>
      <c r="D786" t="str">
        <f>"21536"</f>
        <v>21536</v>
      </c>
      <c r="E786" t="str">
        <f t="shared" si="165"/>
        <v>1</v>
      </c>
      <c r="F786" t="str">
        <f t="shared" si="157"/>
        <v>COM</v>
      </c>
      <c r="G786" t="str">
        <f>"JUSSARA CRISTINA FARIA (783)"</f>
        <v>JUSSARA CRISTINA FARIA (783)</v>
      </c>
      <c r="H786" t="str">
        <f>"Serv.Prest. 01/09/2025 a 07/09/2025 Danilo Vieira dos Reis"</f>
        <v>Serv.Prest. 01/09/2025 a 07/09/2025 Danilo Vieira dos Reis</v>
      </c>
      <c r="I786" t="str">
        <f t="shared" si="171"/>
        <v>18/09/2025</v>
      </c>
      <c r="J786" t="str">
        <f t="shared" si="167"/>
        <v>08/09/2025</v>
      </c>
      <c r="K786" t="str">
        <f>("08/09/2025")</f>
        <v>08/09/2025</v>
      </c>
      <c r="L786">
        <v>262.5</v>
      </c>
      <c r="M786">
        <v>150</v>
      </c>
      <c r="N786">
        <v>134</v>
      </c>
      <c r="O786" t="str">
        <f>"DIARIA DE MOTOBOY"</f>
        <v>DIARIA DE MOTOBOY</v>
      </c>
      <c r="P786">
        <v>150</v>
      </c>
      <c r="S786" t="str">
        <f>"BANCO CORA (102)"</f>
        <v>BANCO CORA (102)</v>
      </c>
      <c r="T786">
        <v>17753</v>
      </c>
      <c r="U786">
        <v>21652</v>
      </c>
      <c r="V786" t="s">
        <v>22</v>
      </c>
    </row>
    <row r="787" spans="1:22">
      <c r="A787" t="str">
        <f t="shared" si="169"/>
        <v>08/09/2025</v>
      </c>
      <c r="B787" t="str">
        <f t="shared" si="170"/>
        <v>SAÍDA</v>
      </c>
      <c r="C787" t="str">
        <f t="shared" ref="C787:C816" si="172">"PIX"</f>
        <v>PIX</v>
      </c>
      <c r="D787" t="str">
        <f>"21536"</f>
        <v>21536</v>
      </c>
      <c r="E787" t="str">
        <f t="shared" si="165"/>
        <v>1</v>
      </c>
      <c r="F787" t="str">
        <f t="shared" si="157"/>
        <v>COM</v>
      </c>
      <c r="G787" t="str">
        <f>"JUSSARA CRISTINA FARIA (783)"</f>
        <v>JUSSARA CRISTINA FARIA (783)</v>
      </c>
      <c r="H787" t="s">
        <v>298</v>
      </c>
      <c r="I787" t="str">
        <f t="shared" si="171"/>
        <v>18/09/2025</v>
      </c>
      <c r="J787" t="str">
        <f t="shared" si="167"/>
        <v>08/09/2025</v>
      </c>
      <c r="K787">
        <v>45908</v>
      </c>
      <c r="N787">
        <v>134</v>
      </c>
      <c r="O787" t="s">
        <v>41</v>
      </c>
      <c r="Q787">
        <v>150</v>
      </c>
      <c r="R787" t="str">
        <f>"FARMÁCIA INDIANA LJ 110 (10048)"</f>
        <v>FARMÁCIA INDIANA LJ 110 (10048)</v>
      </c>
      <c r="S787" t="s">
        <v>22</v>
      </c>
      <c r="T787">
        <v>17753</v>
      </c>
      <c r="U787">
        <v>21652</v>
      </c>
      <c r="V787" t="s">
        <v>22</v>
      </c>
    </row>
    <row r="788" spans="1:22">
      <c r="A788" t="str">
        <f t="shared" si="169"/>
        <v>08/09/2025</v>
      </c>
      <c r="B788" t="str">
        <f t="shared" si="170"/>
        <v>SAÍDA</v>
      </c>
      <c r="C788" t="str">
        <f t="shared" si="172"/>
        <v>PIX</v>
      </c>
      <c r="D788" t="str">
        <f>"21467"</f>
        <v>21467</v>
      </c>
      <c r="E788" t="str">
        <f t="shared" si="165"/>
        <v>1</v>
      </c>
      <c r="F788" t="str">
        <f t="shared" si="157"/>
        <v>COM</v>
      </c>
      <c r="G788" t="str">
        <f>"REGINALDO ANDRE BORTOLETTO (802)"</f>
        <v>REGINALDO ANDRE BORTOLETTO (802)</v>
      </c>
      <c r="H788" t="str">
        <f>"Serv.Prest. 01/09/2025 a 07/09/2025 - PIX: CELULAR - CHAVE: (11) 94281-7123"</f>
        <v>Serv.Prest. 01/09/2025 a 07/09/2025 - PIX: CELULAR - CHAVE: (11) 94281-7123</v>
      </c>
      <c r="I788" t="str">
        <f>("11/09/2025")</f>
        <v>11/09/2025</v>
      </c>
      <c r="J788" t="str">
        <f t="shared" si="167"/>
        <v>08/09/2025</v>
      </c>
      <c r="K788" t="str">
        <f>("08/09/2025")</f>
        <v>08/09/2025</v>
      </c>
      <c r="L788">
        <v>130</v>
      </c>
      <c r="M788">
        <v>130</v>
      </c>
      <c r="N788">
        <v>109</v>
      </c>
      <c r="O788" t="str">
        <f>"PAGAMENTO DE ENTREGADORES"</f>
        <v>PAGAMENTO DE ENTREGADORES</v>
      </c>
      <c r="P788">
        <v>130</v>
      </c>
      <c r="S788" t="str">
        <f>"BANCO CORA (102)"</f>
        <v>BANCO CORA (102)</v>
      </c>
      <c r="T788">
        <v>17758</v>
      </c>
      <c r="U788">
        <v>21655</v>
      </c>
      <c r="V788" t="s">
        <v>22</v>
      </c>
    </row>
    <row r="789" spans="1:22">
      <c r="A789" t="str">
        <f t="shared" si="169"/>
        <v>08/09/2025</v>
      </c>
      <c r="B789" t="str">
        <f t="shared" si="170"/>
        <v>SAÍDA</v>
      </c>
      <c r="C789" t="str">
        <f t="shared" si="172"/>
        <v>PIX</v>
      </c>
      <c r="D789" t="str">
        <f>"21467"</f>
        <v>21467</v>
      </c>
      <c r="E789" t="str">
        <f t="shared" si="165"/>
        <v>1</v>
      </c>
      <c r="F789" t="str">
        <f t="shared" si="157"/>
        <v>COM</v>
      </c>
      <c r="G789" t="str">
        <f>"REGINALDO ANDRE BORTOLETTO (802)"</f>
        <v>REGINALDO ANDRE BORTOLETTO (802)</v>
      </c>
      <c r="H789" t="s">
        <v>66</v>
      </c>
      <c r="I789" t="str">
        <f>("11/09/2025")</f>
        <v>11/09/2025</v>
      </c>
      <c r="J789" t="str">
        <f t="shared" si="167"/>
        <v>08/09/2025</v>
      </c>
      <c r="K789">
        <v>45908</v>
      </c>
      <c r="N789">
        <v>109</v>
      </c>
      <c r="O789" t="s">
        <v>24</v>
      </c>
      <c r="Q789">
        <v>130</v>
      </c>
      <c r="R789" t="str">
        <f>"DROGARIA MEDIC CENTER LTDA (10172)"</f>
        <v>DROGARIA MEDIC CENTER LTDA (10172)</v>
      </c>
      <c r="S789" t="s">
        <v>22</v>
      </c>
      <c r="T789">
        <v>17758</v>
      </c>
      <c r="U789">
        <v>21655</v>
      </c>
      <c r="V789" t="s">
        <v>22</v>
      </c>
    </row>
    <row r="790" spans="1:22">
      <c r="A790" t="str">
        <f t="shared" si="169"/>
        <v>08/09/2025</v>
      </c>
      <c r="B790" t="str">
        <f t="shared" si="170"/>
        <v>SAÍDA</v>
      </c>
      <c r="C790" t="str">
        <f t="shared" si="172"/>
        <v>PIX</v>
      </c>
      <c r="D790" t="str">
        <f>"21475"</f>
        <v>21475</v>
      </c>
      <c r="E790" t="str">
        <f t="shared" si="165"/>
        <v>1</v>
      </c>
      <c r="F790" t="str">
        <f t="shared" si="157"/>
        <v>COM</v>
      </c>
      <c r="G790" t="str">
        <f>"RICHARD FERREIRA RIBEIRO (748)"</f>
        <v>RICHARD FERREIRA RIBEIRO (748)</v>
      </c>
      <c r="H790" t="str">
        <f>"Serv.Prest. 01/09/2025 a 07/09/2025 - PIX: CELULAR - CHAVE: (11) 95449-1055"</f>
        <v>Serv.Prest. 01/09/2025 a 07/09/2025 - PIX: CELULAR - CHAVE: (11) 95449-1055</v>
      </c>
      <c r="I790" t="str">
        <f>("11/09/2025")</f>
        <v>11/09/2025</v>
      </c>
      <c r="J790" t="str">
        <f t="shared" si="167"/>
        <v>08/09/2025</v>
      </c>
      <c r="K790" t="str">
        <f>("08/09/2025")</f>
        <v>08/09/2025</v>
      </c>
      <c r="L790">
        <v>133</v>
      </c>
      <c r="M790">
        <v>133</v>
      </c>
      <c r="N790">
        <v>109</v>
      </c>
      <c r="O790" t="str">
        <f>"PAGAMENTO DE ENTREGADORES"</f>
        <v>PAGAMENTO DE ENTREGADORES</v>
      </c>
      <c r="P790">
        <v>133</v>
      </c>
      <c r="S790" t="str">
        <f>"BANCO CORA (102)"</f>
        <v>BANCO CORA (102)</v>
      </c>
      <c r="T790">
        <v>17761</v>
      </c>
      <c r="U790">
        <v>21475</v>
      </c>
      <c r="V790" t="s">
        <v>22</v>
      </c>
    </row>
    <row r="791" spans="1:22">
      <c r="A791" t="str">
        <f t="shared" si="169"/>
        <v>08/09/2025</v>
      </c>
      <c r="B791" t="str">
        <f t="shared" si="170"/>
        <v>SAÍDA</v>
      </c>
      <c r="C791" t="str">
        <f t="shared" si="172"/>
        <v>PIX</v>
      </c>
      <c r="D791" t="str">
        <f>"21475"</f>
        <v>21475</v>
      </c>
      <c r="E791" t="str">
        <f t="shared" si="165"/>
        <v>1</v>
      </c>
      <c r="F791" t="str">
        <f t="shared" si="157"/>
        <v>COM</v>
      </c>
      <c r="G791" t="str">
        <f>"RICHARD FERREIRA RIBEIRO (748)"</f>
        <v>RICHARD FERREIRA RIBEIRO (748)</v>
      </c>
      <c r="H791" t="s">
        <v>304</v>
      </c>
      <c r="I791" t="str">
        <f>("11/09/2025")</f>
        <v>11/09/2025</v>
      </c>
      <c r="J791" t="str">
        <f t="shared" si="167"/>
        <v>08/09/2025</v>
      </c>
      <c r="K791">
        <v>45908</v>
      </c>
      <c r="N791">
        <v>109</v>
      </c>
      <c r="O791" t="s">
        <v>24</v>
      </c>
      <c r="Q791">
        <v>133</v>
      </c>
      <c r="R791" t="str">
        <f>"DROGARIA MORENO LTDA (10171)"</f>
        <v>DROGARIA MORENO LTDA (10171)</v>
      </c>
      <c r="S791" t="s">
        <v>22</v>
      </c>
      <c r="T791">
        <v>17761</v>
      </c>
      <c r="U791">
        <v>21475</v>
      </c>
      <c r="V791" t="s">
        <v>22</v>
      </c>
    </row>
    <row r="792" spans="1:22">
      <c r="A792" t="str">
        <f t="shared" si="169"/>
        <v>08/09/2025</v>
      </c>
      <c r="B792" t="str">
        <f t="shared" si="170"/>
        <v>SAÍDA</v>
      </c>
      <c r="C792" t="str">
        <f t="shared" si="172"/>
        <v>PIX</v>
      </c>
      <c r="D792" t="str">
        <f t="shared" ref="D792:D812" si="173">"150920"</f>
        <v>150920</v>
      </c>
      <c r="E792" t="str">
        <f t="shared" ref="E792:E812" si="174">"25"</f>
        <v>25</v>
      </c>
      <c r="F792" t="str">
        <f t="shared" si="157"/>
        <v>COM</v>
      </c>
      <c r="G792" t="str">
        <f t="shared" ref="G792:G812" si="175">"GILSON OLIVEIRA CAMPINHO JUNIOR (132)"</f>
        <v>GILSON OLIVEIRA CAMPINHO JUNIOR (132)</v>
      </c>
      <c r="H792" t="str">
        <f>"PAGAMENTO LIDERANÇA REF. MES 08/2025 - PIX: CELULAR - CHAVE: (73) 988381077"</f>
        <v>PAGAMENTO LIDERANÇA REF. MES 08/2025 - PIX: CELULAR - CHAVE: (73) 988381077</v>
      </c>
      <c r="I792" t="str">
        <f t="shared" ref="I792:I812" si="176">("15/09/2025")</f>
        <v>15/09/2025</v>
      </c>
      <c r="J792" t="str">
        <f t="shared" ref="J792:J812" si="177">("30/08/2025")</f>
        <v>30/08/2025</v>
      </c>
      <c r="K792" t="str">
        <f>("08/09/2025")</f>
        <v>08/09/2025</v>
      </c>
      <c r="L792">
        <v>2000</v>
      </c>
      <c r="M792">
        <v>2000</v>
      </c>
      <c r="N792">
        <v>120</v>
      </c>
      <c r="O792" t="str">
        <f>"PAGAMENTO COMISSAO LIDERES"</f>
        <v>PAGAMENTO COMISSAO LIDERES</v>
      </c>
      <c r="P792">
        <v>2000</v>
      </c>
      <c r="S792" t="str">
        <f>"BANCO CORA (102)"</f>
        <v>BANCO CORA (102)</v>
      </c>
      <c r="T792">
        <v>18252</v>
      </c>
      <c r="U792">
        <v>21933</v>
      </c>
      <c r="V792" t="s">
        <v>22</v>
      </c>
    </row>
    <row r="793" spans="1:22">
      <c r="A793" t="str">
        <f t="shared" si="169"/>
        <v>08/09/2025</v>
      </c>
      <c r="B793" t="str">
        <f t="shared" si="170"/>
        <v>SAÍDA</v>
      </c>
      <c r="C793" t="str">
        <f t="shared" si="172"/>
        <v>PIX</v>
      </c>
      <c r="D793" t="str">
        <f t="shared" si="173"/>
        <v>150920</v>
      </c>
      <c r="E793" t="str">
        <f t="shared" si="174"/>
        <v>25</v>
      </c>
      <c r="F793" t="str">
        <f t="shared" si="157"/>
        <v>COM</v>
      </c>
      <c r="G793" t="str">
        <f t="shared" si="175"/>
        <v>GILSON OLIVEIRA CAMPINHO JUNIOR (132)</v>
      </c>
      <c r="H793" t="s">
        <v>305</v>
      </c>
      <c r="I793" t="str">
        <f t="shared" si="176"/>
        <v>15/09/2025</v>
      </c>
      <c r="J793" t="str">
        <f t="shared" si="177"/>
        <v>30/08/2025</v>
      </c>
      <c r="K793">
        <v>45908</v>
      </c>
      <c r="N793">
        <v>120</v>
      </c>
      <c r="O793" t="s">
        <v>306</v>
      </c>
      <c r="Q793">
        <v>114</v>
      </c>
      <c r="R793" t="str">
        <f>"FARMÁCIA INDIANA LJ 34 (10014)"</f>
        <v>FARMÁCIA INDIANA LJ 34 (10014)</v>
      </c>
      <c r="S793" t="s">
        <v>22</v>
      </c>
      <c r="T793">
        <v>18252</v>
      </c>
      <c r="U793">
        <v>21933</v>
      </c>
      <c r="V793" t="s">
        <v>22</v>
      </c>
    </row>
    <row r="794" spans="1:22">
      <c r="A794" t="str">
        <f t="shared" si="169"/>
        <v>08/09/2025</v>
      </c>
      <c r="B794" t="str">
        <f t="shared" si="170"/>
        <v>SAÍDA</v>
      </c>
      <c r="C794" t="str">
        <f t="shared" si="172"/>
        <v>PIX</v>
      </c>
      <c r="D794" t="str">
        <f t="shared" si="173"/>
        <v>150920</v>
      </c>
      <c r="E794" t="str">
        <f t="shared" si="174"/>
        <v>25</v>
      </c>
      <c r="F794" t="str">
        <f t="shared" si="157"/>
        <v>COM</v>
      </c>
      <c r="G794" t="str">
        <f t="shared" si="175"/>
        <v>GILSON OLIVEIRA CAMPINHO JUNIOR (132)</v>
      </c>
      <c r="H794" t="s">
        <v>305</v>
      </c>
      <c r="I794" t="str">
        <f t="shared" si="176"/>
        <v>15/09/2025</v>
      </c>
      <c r="J794" t="str">
        <f t="shared" si="177"/>
        <v>30/08/2025</v>
      </c>
      <c r="K794">
        <v>45908</v>
      </c>
      <c r="N794">
        <v>120</v>
      </c>
      <c r="O794" t="s">
        <v>306</v>
      </c>
      <c r="Q794">
        <v>90.2</v>
      </c>
      <c r="R794" t="str">
        <f>"FARMÁCIA INDIANA LJ 35 (10015)"</f>
        <v>FARMÁCIA INDIANA LJ 35 (10015)</v>
      </c>
      <c r="S794" t="s">
        <v>22</v>
      </c>
      <c r="T794">
        <v>18252</v>
      </c>
      <c r="U794">
        <v>21933</v>
      </c>
      <c r="V794" t="s">
        <v>22</v>
      </c>
    </row>
    <row r="795" spans="1:22">
      <c r="A795" t="str">
        <f t="shared" si="169"/>
        <v>08/09/2025</v>
      </c>
      <c r="B795" t="str">
        <f t="shared" si="170"/>
        <v>SAÍDA</v>
      </c>
      <c r="C795" t="str">
        <f t="shared" si="172"/>
        <v>PIX</v>
      </c>
      <c r="D795" t="str">
        <f t="shared" si="173"/>
        <v>150920</v>
      </c>
      <c r="E795" t="str">
        <f t="shared" si="174"/>
        <v>25</v>
      </c>
      <c r="F795" t="str">
        <f t="shared" si="157"/>
        <v>COM</v>
      </c>
      <c r="G795" t="str">
        <f t="shared" si="175"/>
        <v>GILSON OLIVEIRA CAMPINHO JUNIOR (132)</v>
      </c>
      <c r="H795" t="s">
        <v>305</v>
      </c>
      <c r="I795" t="str">
        <f t="shared" si="176"/>
        <v>15/09/2025</v>
      </c>
      <c r="J795" t="str">
        <f t="shared" si="177"/>
        <v>30/08/2025</v>
      </c>
      <c r="K795">
        <v>45908</v>
      </c>
      <c r="N795">
        <v>120</v>
      </c>
      <c r="O795" t="s">
        <v>306</v>
      </c>
      <c r="Q795">
        <v>78.599999999999994</v>
      </c>
      <c r="R795" t="str">
        <f>"FARMÁCIA INDIANA LJ 48 (10018)"</f>
        <v>FARMÁCIA INDIANA LJ 48 (10018)</v>
      </c>
      <c r="S795" t="s">
        <v>22</v>
      </c>
      <c r="T795">
        <v>18252</v>
      </c>
      <c r="U795">
        <v>21933</v>
      </c>
      <c r="V795" t="s">
        <v>22</v>
      </c>
    </row>
    <row r="796" spans="1:22">
      <c r="A796" t="str">
        <f t="shared" si="169"/>
        <v>08/09/2025</v>
      </c>
      <c r="B796" t="str">
        <f t="shared" si="170"/>
        <v>SAÍDA</v>
      </c>
      <c r="C796" t="str">
        <f t="shared" si="172"/>
        <v>PIX</v>
      </c>
      <c r="D796" t="str">
        <f t="shared" si="173"/>
        <v>150920</v>
      </c>
      <c r="E796" t="str">
        <f t="shared" si="174"/>
        <v>25</v>
      </c>
      <c r="F796" t="str">
        <f t="shared" ref="F796:F859" si="178">"COM"</f>
        <v>COM</v>
      </c>
      <c r="G796" t="str">
        <f t="shared" si="175"/>
        <v>GILSON OLIVEIRA CAMPINHO JUNIOR (132)</v>
      </c>
      <c r="H796" t="s">
        <v>305</v>
      </c>
      <c r="I796" t="str">
        <f t="shared" si="176"/>
        <v>15/09/2025</v>
      </c>
      <c r="J796" t="str">
        <f t="shared" si="177"/>
        <v>30/08/2025</v>
      </c>
      <c r="K796">
        <v>45908</v>
      </c>
      <c r="N796">
        <v>120</v>
      </c>
      <c r="O796" t="s">
        <v>306</v>
      </c>
      <c r="Q796">
        <v>49</v>
      </c>
      <c r="R796" t="str">
        <f>"FARMÁCIA INDIANA LJ 77 (10034)"</f>
        <v>FARMÁCIA INDIANA LJ 77 (10034)</v>
      </c>
      <c r="S796" t="s">
        <v>22</v>
      </c>
      <c r="T796">
        <v>18252</v>
      </c>
      <c r="U796">
        <v>21933</v>
      </c>
      <c r="V796" t="s">
        <v>22</v>
      </c>
    </row>
    <row r="797" spans="1:22">
      <c r="A797" t="str">
        <f t="shared" si="169"/>
        <v>08/09/2025</v>
      </c>
      <c r="B797" t="str">
        <f t="shared" si="170"/>
        <v>SAÍDA</v>
      </c>
      <c r="C797" t="str">
        <f t="shared" si="172"/>
        <v>PIX</v>
      </c>
      <c r="D797" t="str">
        <f t="shared" si="173"/>
        <v>150920</v>
      </c>
      <c r="E797" t="str">
        <f t="shared" si="174"/>
        <v>25</v>
      </c>
      <c r="F797" t="str">
        <f t="shared" si="178"/>
        <v>COM</v>
      </c>
      <c r="G797" t="str">
        <f t="shared" si="175"/>
        <v>GILSON OLIVEIRA CAMPINHO JUNIOR (132)</v>
      </c>
      <c r="H797" t="s">
        <v>305</v>
      </c>
      <c r="I797" t="str">
        <f t="shared" si="176"/>
        <v>15/09/2025</v>
      </c>
      <c r="J797" t="str">
        <f t="shared" si="177"/>
        <v>30/08/2025</v>
      </c>
      <c r="K797">
        <v>45908</v>
      </c>
      <c r="N797">
        <v>120</v>
      </c>
      <c r="O797" t="s">
        <v>306</v>
      </c>
      <c r="Q797">
        <v>100</v>
      </c>
      <c r="R797" t="str">
        <f>"FARMÁCIA INDIANA LJ 91 (10037)"</f>
        <v>FARMÁCIA INDIANA LJ 91 (10037)</v>
      </c>
      <c r="S797" t="s">
        <v>22</v>
      </c>
      <c r="T797">
        <v>18252</v>
      </c>
      <c r="U797">
        <v>21933</v>
      </c>
      <c r="V797" t="s">
        <v>22</v>
      </c>
    </row>
    <row r="798" spans="1:22">
      <c r="A798" t="str">
        <f t="shared" si="169"/>
        <v>08/09/2025</v>
      </c>
      <c r="B798" t="str">
        <f t="shared" si="170"/>
        <v>SAÍDA</v>
      </c>
      <c r="C798" t="str">
        <f t="shared" si="172"/>
        <v>PIX</v>
      </c>
      <c r="D798" t="str">
        <f t="shared" si="173"/>
        <v>150920</v>
      </c>
      <c r="E798" t="str">
        <f t="shared" si="174"/>
        <v>25</v>
      </c>
      <c r="F798" t="str">
        <f t="shared" si="178"/>
        <v>COM</v>
      </c>
      <c r="G798" t="str">
        <f t="shared" si="175"/>
        <v>GILSON OLIVEIRA CAMPINHO JUNIOR (132)</v>
      </c>
      <c r="H798" t="s">
        <v>305</v>
      </c>
      <c r="I798" t="str">
        <f t="shared" si="176"/>
        <v>15/09/2025</v>
      </c>
      <c r="J798" t="str">
        <f t="shared" si="177"/>
        <v>30/08/2025</v>
      </c>
      <c r="K798">
        <v>45908</v>
      </c>
      <c r="N798">
        <v>120</v>
      </c>
      <c r="O798" t="s">
        <v>306</v>
      </c>
      <c r="Q798">
        <v>139</v>
      </c>
      <c r="R798" t="str">
        <f>"FARMÁCIA INDIANA LJ 95 (10039)"</f>
        <v>FARMÁCIA INDIANA LJ 95 (10039)</v>
      </c>
      <c r="S798" t="s">
        <v>22</v>
      </c>
      <c r="T798">
        <v>18252</v>
      </c>
      <c r="U798">
        <v>21933</v>
      </c>
      <c r="V798" t="s">
        <v>22</v>
      </c>
    </row>
    <row r="799" spans="1:22">
      <c r="A799" t="str">
        <f t="shared" si="169"/>
        <v>08/09/2025</v>
      </c>
      <c r="B799" t="str">
        <f t="shared" si="170"/>
        <v>SAÍDA</v>
      </c>
      <c r="C799" t="str">
        <f t="shared" si="172"/>
        <v>PIX</v>
      </c>
      <c r="D799" t="str">
        <f t="shared" si="173"/>
        <v>150920</v>
      </c>
      <c r="E799" t="str">
        <f t="shared" si="174"/>
        <v>25</v>
      </c>
      <c r="F799" t="str">
        <f t="shared" si="178"/>
        <v>COM</v>
      </c>
      <c r="G799" t="str">
        <f t="shared" si="175"/>
        <v>GILSON OLIVEIRA CAMPINHO JUNIOR (132)</v>
      </c>
      <c r="H799" t="s">
        <v>305</v>
      </c>
      <c r="I799" t="str">
        <f t="shared" si="176"/>
        <v>15/09/2025</v>
      </c>
      <c r="J799" t="str">
        <f t="shared" si="177"/>
        <v>30/08/2025</v>
      </c>
      <c r="K799">
        <v>45908</v>
      </c>
      <c r="N799">
        <v>120</v>
      </c>
      <c r="O799" t="s">
        <v>306</v>
      </c>
      <c r="Q799">
        <v>102</v>
      </c>
      <c r="R799" t="str">
        <f>"FARMÁCIA INDIANA LJ 145 (10068)"</f>
        <v>FARMÁCIA INDIANA LJ 145 (10068)</v>
      </c>
      <c r="S799" t="s">
        <v>22</v>
      </c>
      <c r="T799">
        <v>18252</v>
      </c>
      <c r="U799">
        <v>21933</v>
      </c>
      <c r="V799" t="s">
        <v>22</v>
      </c>
    </row>
    <row r="800" spans="1:22">
      <c r="A800" t="str">
        <f t="shared" si="169"/>
        <v>08/09/2025</v>
      </c>
      <c r="B800" t="str">
        <f t="shared" si="170"/>
        <v>SAÍDA</v>
      </c>
      <c r="C800" t="str">
        <f t="shared" si="172"/>
        <v>PIX</v>
      </c>
      <c r="D800" t="str">
        <f t="shared" si="173"/>
        <v>150920</v>
      </c>
      <c r="E800" t="str">
        <f t="shared" si="174"/>
        <v>25</v>
      </c>
      <c r="F800" t="str">
        <f t="shared" si="178"/>
        <v>COM</v>
      </c>
      <c r="G800" t="str">
        <f t="shared" si="175"/>
        <v>GILSON OLIVEIRA CAMPINHO JUNIOR (132)</v>
      </c>
      <c r="H800" t="s">
        <v>305</v>
      </c>
      <c r="I800" t="str">
        <f t="shared" si="176"/>
        <v>15/09/2025</v>
      </c>
      <c r="J800" t="str">
        <f t="shared" si="177"/>
        <v>30/08/2025</v>
      </c>
      <c r="K800">
        <v>45908</v>
      </c>
      <c r="N800">
        <v>120</v>
      </c>
      <c r="O800" t="s">
        <v>306</v>
      </c>
      <c r="Q800">
        <v>78.599999999999994</v>
      </c>
      <c r="R800" t="str">
        <f>"FARMÁCIA INDIANA LJ 169 (10073)"</f>
        <v>FARMÁCIA INDIANA LJ 169 (10073)</v>
      </c>
      <c r="S800" t="s">
        <v>22</v>
      </c>
      <c r="T800">
        <v>18252</v>
      </c>
      <c r="U800">
        <v>21933</v>
      </c>
      <c r="V800" t="s">
        <v>22</v>
      </c>
    </row>
    <row r="801" spans="1:22">
      <c r="A801" t="str">
        <f t="shared" si="169"/>
        <v>08/09/2025</v>
      </c>
      <c r="B801" t="str">
        <f t="shared" si="170"/>
        <v>SAÍDA</v>
      </c>
      <c r="C801" t="str">
        <f t="shared" si="172"/>
        <v>PIX</v>
      </c>
      <c r="D801" t="str">
        <f t="shared" si="173"/>
        <v>150920</v>
      </c>
      <c r="E801" t="str">
        <f t="shared" si="174"/>
        <v>25</v>
      </c>
      <c r="F801" t="str">
        <f t="shared" si="178"/>
        <v>COM</v>
      </c>
      <c r="G801" t="str">
        <f t="shared" si="175"/>
        <v>GILSON OLIVEIRA CAMPINHO JUNIOR (132)</v>
      </c>
      <c r="H801" t="s">
        <v>305</v>
      </c>
      <c r="I801" t="str">
        <f t="shared" si="176"/>
        <v>15/09/2025</v>
      </c>
      <c r="J801" t="str">
        <f t="shared" si="177"/>
        <v>30/08/2025</v>
      </c>
      <c r="K801">
        <v>45908</v>
      </c>
      <c r="N801">
        <v>120</v>
      </c>
      <c r="O801" t="s">
        <v>306</v>
      </c>
      <c r="Q801">
        <v>148</v>
      </c>
      <c r="R801" t="str">
        <f>"DELTA LOJA 2 (10123)"</f>
        <v>DELTA LOJA 2 (10123)</v>
      </c>
      <c r="S801" t="s">
        <v>22</v>
      </c>
      <c r="T801">
        <v>18252</v>
      </c>
      <c r="U801">
        <v>21933</v>
      </c>
      <c r="V801" t="s">
        <v>22</v>
      </c>
    </row>
    <row r="802" spans="1:22">
      <c r="A802" t="str">
        <f t="shared" si="169"/>
        <v>08/09/2025</v>
      </c>
      <c r="B802" t="str">
        <f t="shared" si="170"/>
        <v>SAÍDA</v>
      </c>
      <c r="C802" t="str">
        <f t="shared" si="172"/>
        <v>PIX</v>
      </c>
      <c r="D802" t="str">
        <f t="shared" si="173"/>
        <v>150920</v>
      </c>
      <c r="E802" t="str">
        <f t="shared" si="174"/>
        <v>25</v>
      </c>
      <c r="F802" t="str">
        <f t="shared" si="178"/>
        <v>COM</v>
      </c>
      <c r="G802" t="str">
        <f t="shared" si="175"/>
        <v>GILSON OLIVEIRA CAMPINHO JUNIOR (132)</v>
      </c>
      <c r="H802" t="s">
        <v>305</v>
      </c>
      <c r="I802" t="str">
        <f t="shared" si="176"/>
        <v>15/09/2025</v>
      </c>
      <c r="J802" t="str">
        <f t="shared" si="177"/>
        <v>30/08/2025</v>
      </c>
      <c r="K802">
        <v>45908</v>
      </c>
      <c r="N802">
        <v>120</v>
      </c>
      <c r="O802" t="s">
        <v>306</v>
      </c>
      <c r="Q802">
        <v>132.80000000000001</v>
      </c>
      <c r="R802" t="str">
        <f>"JAL FARMACIA E DROGARIA LJ 1 (10137)"</f>
        <v>JAL FARMACIA E DROGARIA LJ 1 (10137)</v>
      </c>
      <c r="S802" t="s">
        <v>22</v>
      </c>
      <c r="T802">
        <v>18252</v>
      </c>
      <c r="U802">
        <v>21933</v>
      </c>
      <c r="V802" t="s">
        <v>22</v>
      </c>
    </row>
    <row r="803" spans="1:22">
      <c r="A803" t="str">
        <f t="shared" si="169"/>
        <v>08/09/2025</v>
      </c>
      <c r="B803" t="str">
        <f t="shared" si="170"/>
        <v>SAÍDA</v>
      </c>
      <c r="C803" t="str">
        <f t="shared" si="172"/>
        <v>PIX</v>
      </c>
      <c r="D803" t="str">
        <f t="shared" si="173"/>
        <v>150920</v>
      </c>
      <c r="E803" t="str">
        <f t="shared" si="174"/>
        <v>25</v>
      </c>
      <c r="F803" t="str">
        <f t="shared" si="178"/>
        <v>COM</v>
      </c>
      <c r="G803" t="str">
        <f t="shared" si="175"/>
        <v>GILSON OLIVEIRA CAMPINHO JUNIOR (132)</v>
      </c>
      <c r="H803" t="s">
        <v>305</v>
      </c>
      <c r="I803" t="str">
        <f t="shared" si="176"/>
        <v>15/09/2025</v>
      </c>
      <c r="J803" t="str">
        <f t="shared" si="177"/>
        <v>30/08/2025</v>
      </c>
      <c r="K803">
        <v>45908</v>
      </c>
      <c r="N803">
        <v>120</v>
      </c>
      <c r="O803" t="s">
        <v>306</v>
      </c>
      <c r="Q803">
        <v>132.80000000000001</v>
      </c>
      <c r="R803" t="str">
        <f>"JAL FARMACIA E DROGARIA LJ 2 (10138)"</f>
        <v>JAL FARMACIA E DROGARIA LJ 2 (10138)</v>
      </c>
      <c r="S803" t="s">
        <v>22</v>
      </c>
      <c r="T803">
        <v>18252</v>
      </c>
      <c r="U803">
        <v>21933</v>
      </c>
      <c r="V803" t="s">
        <v>22</v>
      </c>
    </row>
    <row r="804" spans="1:22">
      <c r="A804" t="str">
        <f t="shared" si="169"/>
        <v>08/09/2025</v>
      </c>
      <c r="B804" t="str">
        <f t="shared" si="170"/>
        <v>SAÍDA</v>
      </c>
      <c r="C804" t="str">
        <f t="shared" si="172"/>
        <v>PIX</v>
      </c>
      <c r="D804" t="str">
        <f t="shared" si="173"/>
        <v>150920</v>
      </c>
      <c r="E804" t="str">
        <f t="shared" si="174"/>
        <v>25</v>
      </c>
      <c r="F804" t="str">
        <f t="shared" si="178"/>
        <v>COM</v>
      </c>
      <c r="G804" t="str">
        <f t="shared" si="175"/>
        <v>GILSON OLIVEIRA CAMPINHO JUNIOR (132)</v>
      </c>
      <c r="H804" t="s">
        <v>305</v>
      </c>
      <c r="I804" t="str">
        <f t="shared" si="176"/>
        <v>15/09/2025</v>
      </c>
      <c r="J804" t="str">
        <f t="shared" si="177"/>
        <v>30/08/2025</v>
      </c>
      <c r="K804">
        <v>45908</v>
      </c>
      <c r="N804">
        <v>120</v>
      </c>
      <c r="O804" t="s">
        <v>306</v>
      </c>
      <c r="Q804">
        <v>21.4</v>
      </c>
      <c r="R804" t="str">
        <f>"DROGA MONICA LJ 3 (10152)"</f>
        <v>DROGA MONICA LJ 3 (10152)</v>
      </c>
      <c r="S804" t="s">
        <v>22</v>
      </c>
      <c r="T804">
        <v>18252</v>
      </c>
      <c r="U804">
        <v>21933</v>
      </c>
      <c r="V804" t="s">
        <v>22</v>
      </c>
    </row>
    <row r="805" spans="1:22">
      <c r="A805" t="str">
        <f t="shared" si="169"/>
        <v>08/09/2025</v>
      </c>
      <c r="B805" t="str">
        <f t="shared" si="170"/>
        <v>SAÍDA</v>
      </c>
      <c r="C805" t="str">
        <f t="shared" si="172"/>
        <v>PIX</v>
      </c>
      <c r="D805" t="str">
        <f t="shared" si="173"/>
        <v>150920</v>
      </c>
      <c r="E805" t="str">
        <f t="shared" si="174"/>
        <v>25</v>
      </c>
      <c r="F805" t="str">
        <f t="shared" si="178"/>
        <v>COM</v>
      </c>
      <c r="G805" t="str">
        <f t="shared" si="175"/>
        <v>GILSON OLIVEIRA CAMPINHO JUNIOR (132)</v>
      </c>
      <c r="H805" t="s">
        <v>305</v>
      </c>
      <c r="I805" t="str">
        <f t="shared" si="176"/>
        <v>15/09/2025</v>
      </c>
      <c r="J805" t="str">
        <f t="shared" si="177"/>
        <v>30/08/2025</v>
      </c>
      <c r="K805">
        <v>45908</v>
      </c>
      <c r="N805">
        <v>120</v>
      </c>
      <c r="O805" t="s">
        <v>306</v>
      </c>
      <c r="Q805">
        <v>65.599999999999994</v>
      </c>
      <c r="R805" t="str">
        <f>"FARMÁCIA INDIANA LJ 200 (10155)"</f>
        <v>FARMÁCIA INDIANA LJ 200 (10155)</v>
      </c>
      <c r="S805" t="s">
        <v>22</v>
      </c>
      <c r="T805">
        <v>18252</v>
      </c>
      <c r="U805">
        <v>21933</v>
      </c>
      <c r="V805" t="s">
        <v>22</v>
      </c>
    </row>
    <row r="806" spans="1:22">
      <c r="A806" t="str">
        <f t="shared" si="169"/>
        <v>08/09/2025</v>
      </c>
      <c r="B806" t="str">
        <f t="shared" si="170"/>
        <v>SAÍDA</v>
      </c>
      <c r="C806" t="str">
        <f t="shared" si="172"/>
        <v>PIX</v>
      </c>
      <c r="D806" t="str">
        <f t="shared" si="173"/>
        <v>150920</v>
      </c>
      <c r="E806" t="str">
        <f t="shared" si="174"/>
        <v>25</v>
      </c>
      <c r="F806" t="str">
        <f t="shared" si="178"/>
        <v>COM</v>
      </c>
      <c r="G806" t="str">
        <f t="shared" si="175"/>
        <v>GILSON OLIVEIRA CAMPINHO JUNIOR (132)</v>
      </c>
      <c r="H806" t="s">
        <v>305</v>
      </c>
      <c r="I806" t="str">
        <f t="shared" si="176"/>
        <v>15/09/2025</v>
      </c>
      <c r="J806" t="str">
        <f t="shared" si="177"/>
        <v>30/08/2025</v>
      </c>
      <c r="K806">
        <v>45908</v>
      </c>
      <c r="N806">
        <v>120</v>
      </c>
      <c r="O806" t="s">
        <v>306</v>
      </c>
      <c r="Q806">
        <v>63.6</v>
      </c>
      <c r="R806" t="str">
        <f>"AC FARMA -  FLEMINFARMA (10159)"</f>
        <v>AC FARMA -  FLEMINFARMA (10159)</v>
      </c>
      <c r="S806" t="s">
        <v>22</v>
      </c>
      <c r="T806">
        <v>18252</v>
      </c>
      <c r="U806">
        <v>21933</v>
      </c>
      <c r="V806" t="s">
        <v>22</v>
      </c>
    </row>
    <row r="807" spans="1:22">
      <c r="A807" t="str">
        <f t="shared" si="169"/>
        <v>08/09/2025</v>
      </c>
      <c r="B807" t="str">
        <f t="shared" si="170"/>
        <v>SAÍDA</v>
      </c>
      <c r="C807" t="str">
        <f t="shared" si="172"/>
        <v>PIX</v>
      </c>
      <c r="D807" t="str">
        <f t="shared" si="173"/>
        <v>150920</v>
      </c>
      <c r="E807" t="str">
        <f t="shared" si="174"/>
        <v>25</v>
      </c>
      <c r="F807" t="str">
        <f t="shared" si="178"/>
        <v>COM</v>
      </c>
      <c r="G807" t="str">
        <f t="shared" si="175"/>
        <v>GILSON OLIVEIRA CAMPINHO JUNIOR (132)</v>
      </c>
      <c r="H807" t="s">
        <v>305</v>
      </c>
      <c r="I807" t="str">
        <f t="shared" si="176"/>
        <v>15/09/2025</v>
      </c>
      <c r="J807" t="str">
        <f t="shared" si="177"/>
        <v>30/08/2025</v>
      </c>
      <c r="K807">
        <v>45908</v>
      </c>
      <c r="N807">
        <v>120</v>
      </c>
      <c r="O807" t="s">
        <v>306</v>
      </c>
      <c r="Q807">
        <v>363.4</v>
      </c>
      <c r="R807" t="str">
        <f>"AC FARMA - CID.ALTA (10166)"</f>
        <v>AC FARMA - CID.ALTA (10166)</v>
      </c>
      <c r="S807" t="s">
        <v>22</v>
      </c>
      <c r="T807">
        <v>18252</v>
      </c>
      <c r="U807">
        <v>21933</v>
      </c>
      <c r="V807" t="s">
        <v>22</v>
      </c>
    </row>
    <row r="808" spans="1:22">
      <c r="A808" t="str">
        <f t="shared" si="169"/>
        <v>08/09/2025</v>
      </c>
      <c r="B808" t="str">
        <f t="shared" si="170"/>
        <v>SAÍDA</v>
      </c>
      <c r="C808" t="str">
        <f t="shared" si="172"/>
        <v>PIX</v>
      </c>
      <c r="D808" t="str">
        <f t="shared" si="173"/>
        <v>150920</v>
      </c>
      <c r="E808" t="str">
        <f t="shared" si="174"/>
        <v>25</v>
      </c>
      <c r="F808" t="str">
        <f t="shared" si="178"/>
        <v>COM</v>
      </c>
      <c r="G808" t="str">
        <f t="shared" si="175"/>
        <v>GILSON OLIVEIRA CAMPINHO JUNIOR (132)</v>
      </c>
      <c r="H808" t="s">
        <v>305</v>
      </c>
      <c r="I808" t="str">
        <f t="shared" si="176"/>
        <v>15/09/2025</v>
      </c>
      <c r="J808" t="str">
        <f t="shared" si="177"/>
        <v>30/08/2025</v>
      </c>
      <c r="K808">
        <v>45908</v>
      </c>
      <c r="N808">
        <v>120</v>
      </c>
      <c r="O808" t="s">
        <v>306</v>
      </c>
      <c r="Q808">
        <v>76.2</v>
      </c>
      <c r="R808" t="str">
        <f>"DROGARIA AGAPEAMA (10167)"</f>
        <v>DROGARIA AGAPEAMA (10167)</v>
      </c>
      <c r="S808" t="s">
        <v>22</v>
      </c>
      <c r="T808">
        <v>18252</v>
      </c>
      <c r="U808">
        <v>21933</v>
      </c>
      <c r="V808" t="s">
        <v>22</v>
      </c>
    </row>
    <row r="809" spans="1:22">
      <c r="A809" t="str">
        <f t="shared" si="169"/>
        <v>08/09/2025</v>
      </c>
      <c r="B809" t="str">
        <f t="shared" si="170"/>
        <v>SAÍDA</v>
      </c>
      <c r="C809" t="str">
        <f t="shared" si="172"/>
        <v>PIX</v>
      </c>
      <c r="D809" t="str">
        <f t="shared" si="173"/>
        <v>150920</v>
      </c>
      <c r="E809" t="str">
        <f t="shared" si="174"/>
        <v>25</v>
      </c>
      <c r="F809" t="str">
        <f t="shared" si="178"/>
        <v>COM</v>
      </c>
      <c r="G809" t="str">
        <f t="shared" si="175"/>
        <v>GILSON OLIVEIRA CAMPINHO JUNIOR (132)</v>
      </c>
      <c r="H809" t="s">
        <v>305</v>
      </c>
      <c r="I809" t="str">
        <f t="shared" si="176"/>
        <v>15/09/2025</v>
      </c>
      <c r="J809" t="str">
        <f t="shared" si="177"/>
        <v>30/08/2025</v>
      </c>
      <c r="K809">
        <v>45908</v>
      </c>
      <c r="N809">
        <v>120</v>
      </c>
      <c r="O809" t="s">
        <v>306</v>
      </c>
      <c r="Q809">
        <v>75.8</v>
      </c>
      <c r="R809" t="str">
        <f>"DROGARIA MORENO LTDA (10171)"</f>
        <v>DROGARIA MORENO LTDA (10171)</v>
      </c>
      <c r="S809" t="s">
        <v>22</v>
      </c>
      <c r="T809">
        <v>18252</v>
      </c>
      <c r="U809">
        <v>21933</v>
      </c>
      <c r="V809" t="s">
        <v>22</v>
      </c>
    </row>
    <row r="810" spans="1:22">
      <c r="A810" t="str">
        <f t="shared" si="169"/>
        <v>08/09/2025</v>
      </c>
      <c r="B810" t="str">
        <f t="shared" si="170"/>
        <v>SAÍDA</v>
      </c>
      <c r="C810" t="str">
        <f t="shared" si="172"/>
        <v>PIX</v>
      </c>
      <c r="D810" t="str">
        <f t="shared" si="173"/>
        <v>150920</v>
      </c>
      <c r="E810" t="str">
        <f t="shared" si="174"/>
        <v>25</v>
      </c>
      <c r="F810" t="str">
        <f t="shared" si="178"/>
        <v>COM</v>
      </c>
      <c r="G810" t="str">
        <f t="shared" si="175"/>
        <v>GILSON OLIVEIRA CAMPINHO JUNIOR (132)</v>
      </c>
      <c r="H810" t="s">
        <v>305</v>
      </c>
      <c r="I810" t="str">
        <f t="shared" si="176"/>
        <v>15/09/2025</v>
      </c>
      <c r="J810" t="str">
        <f t="shared" si="177"/>
        <v>30/08/2025</v>
      </c>
      <c r="K810">
        <v>45908</v>
      </c>
      <c r="N810">
        <v>120</v>
      </c>
      <c r="O810" t="s">
        <v>306</v>
      </c>
      <c r="Q810">
        <v>41.8</v>
      </c>
      <c r="R810" t="str">
        <f>"DROGARIA MEDIC CENTER LTDA (10172)"</f>
        <v>DROGARIA MEDIC CENTER LTDA (10172)</v>
      </c>
      <c r="S810" t="s">
        <v>22</v>
      </c>
      <c r="T810">
        <v>18252</v>
      </c>
      <c r="U810">
        <v>21933</v>
      </c>
      <c r="V810" t="s">
        <v>22</v>
      </c>
    </row>
    <row r="811" spans="1:22">
      <c r="A811" t="str">
        <f t="shared" si="169"/>
        <v>08/09/2025</v>
      </c>
      <c r="B811" t="str">
        <f t="shared" si="170"/>
        <v>SAÍDA</v>
      </c>
      <c r="C811" t="str">
        <f t="shared" si="172"/>
        <v>PIX</v>
      </c>
      <c r="D811" t="str">
        <f t="shared" si="173"/>
        <v>150920</v>
      </c>
      <c r="E811" t="str">
        <f t="shared" si="174"/>
        <v>25</v>
      </c>
      <c r="F811" t="str">
        <f t="shared" si="178"/>
        <v>COM</v>
      </c>
      <c r="G811" t="str">
        <f t="shared" si="175"/>
        <v>GILSON OLIVEIRA CAMPINHO JUNIOR (132)</v>
      </c>
      <c r="H811" t="s">
        <v>305</v>
      </c>
      <c r="I811" t="str">
        <f t="shared" si="176"/>
        <v>15/09/2025</v>
      </c>
      <c r="J811" t="str">
        <f t="shared" si="177"/>
        <v>30/08/2025</v>
      </c>
      <c r="K811">
        <v>45908</v>
      </c>
      <c r="N811">
        <v>120</v>
      </c>
      <c r="O811" t="s">
        <v>306</v>
      </c>
      <c r="Q811">
        <v>63.6</v>
      </c>
      <c r="R811" t="str">
        <f>"AC FARMA - FLEMINFARMA 5 (10183)"</f>
        <v>AC FARMA - FLEMINFARMA 5 (10183)</v>
      </c>
      <c r="S811" t="s">
        <v>22</v>
      </c>
      <c r="T811">
        <v>18252</v>
      </c>
      <c r="U811">
        <v>21933</v>
      </c>
      <c r="V811" t="s">
        <v>22</v>
      </c>
    </row>
    <row r="812" spans="1:22">
      <c r="A812" t="str">
        <f t="shared" si="169"/>
        <v>08/09/2025</v>
      </c>
      <c r="B812" t="str">
        <f t="shared" si="170"/>
        <v>SAÍDA</v>
      </c>
      <c r="C812" t="str">
        <f t="shared" si="172"/>
        <v>PIX</v>
      </c>
      <c r="D812" t="str">
        <f t="shared" si="173"/>
        <v>150920</v>
      </c>
      <c r="E812" t="str">
        <f t="shared" si="174"/>
        <v>25</v>
      </c>
      <c r="F812" t="str">
        <f t="shared" si="178"/>
        <v>COM</v>
      </c>
      <c r="G812" t="str">
        <f t="shared" si="175"/>
        <v>GILSON OLIVEIRA CAMPINHO JUNIOR (132)</v>
      </c>
      <c r="H812" t="s">
        <v>305</v>
      </c>
      <c r="I812" t="str">
        <f t="shared" si="176"/>
        <v>15/09/2025</v>
      </c>
      <c r="J812" t="str">
        <f t="shared" si="177"/>
        <v>30/08/2025</v>
      </c>
      <c r="K812">
        <v>45908</v>
      </c>
      <c r="N812">
        <v>120</v>
      </c>
      <c r="O812" t="s">
        <v>306</v>
      </c>
      <c r="Q812">
        <v>63.6</v>
      </c>
      <c r="R812" t="str">
        <f>"AC FARMA - FLEMINFARMA 6 (10184)"</f>
        <v>AC FARMA - FLEMINFARMA 6 (10184)</v>
      </c>
      <c r="S812" t="s">
        <v>22</v>
      </c>
      <c r="T812">
        <v>18252</v>
      </c>
      <c r="U812">
        <v>21933</v>
      </c>
      <c r="V812" t="s">
        <v>22</v>
      </c>
    </row>
    <row r="813" spans="1:22">
      <c r="A813" t="str">
        <f t="shared" si="169"/>
        <v>08/09/2025</v>
      </c>
      <c r="B813" t="str">
        <f t="shared" si="170"/>
        <v>SAÍDA</v>
      </c>
      <c r="C813" t="str">
        <f t="shared" si="172"/>
        <v>PIX</v>
      </c>
      <c r="D813" t="str">
        <f>"0801"</f>
        <v>0801</v>
      </c>
      <c r="E813" t="str">
        <f>"37"</f>
        <v>37</v>
      </c>
      <c r="F813" t="str">
        <f t="shared" si="178"/>
        <v>COM</v>
      </c>
      <c r="G813" t="str">
        <f>"CORA SOCIEDADE DE CREDITO, FINANCIAMENTO E INVESTIMENTO (20035)"</f>
        <v>CORA SOCIEDADE DE CREDITO, FINANCIAMENTO E INVESTIMENTO (20035)</v>
      </c>
      <c r="H813" t="str">
        <f>"TARIFA BANCARIA"</f>
        <v>TARIFA BANCARIA</v>
      </c>
      <c r="I813" t="str">
        <f>("08/09/2025")</f>
        <v>08/09/2025</v>
      </c>
      <c r="J813" t="str">
        <f>("01/01/2025")</f>
        <v>01/01/2025</v>
      </c>
      <c r="K813" t="str">
        <f>("08/09/2025")</f>
        <v>08/09/2025</v>
      </c>
      <c r="L813">
        <v>44.9</v>
      </c>
      <c r="M813">
        <v>44.9</v>
      </c>
      <c r="N813">
        <v>401</v>
      </c>
      <c r="O813" t="str">
        <f>"IOF/JUROS/DESP.FINANCEIRA"</f>
        <v>IOF/JUROS/DESP.FINANCEIRA</v>
      </c>
      <c r="P813">
        <v>44.9</v>
      </c>
      <c r="S813" t="str">
        <f>"BANCO CORA (102)"</f>
        <v>BANCO CORA (102)</v>
      </c>
      <c r="T813">
        <v>21318</v>
      </c>
      <c r="U813">
        <v>25920</v>
      </c>
      <c r="V813" t="s">
        <v>22</v>
      </c>
    </row>
    <row r="814" spans="1:22">
      <c r="A814" t="str">
        <f t="shared" si="169"/>
        <v>08/09/2025</v>
      </c>
      <c r="B814" t="str">
        <f t="shared" si="170"/>
        <v>SAÍDA</v>
      </c>
      <c r="C814" t="str">
        <f t="shared" si="172"/>
        <v>PIX</v>
      </c>
      <c r="D814" t="str">
        <f>"0801"</f>
        <v>0801</v>
      </c>
      <c r="E814" t="str">
        <f>"37"</f>
        <v>37</v>
      </c>
      <c r="F814" t="str">
        <f t="shared" si="178"/>
        <v>COM</v>
      </c>
      <c r="G814" t="str">
        <f>"CORA SOCIEDADE DE CREDITO, FINANCIAMENTO E INVESTIMENTO (20035)"</f>
        <v>CORA SOCIEDADE DE CREDITO, FINANCIAMENTO E INVESTIMENTO (20035)</v>
      </c>
      <c r="H814" t="s">
        <v>307</v>
      </c>
      <c r="I814" t="str">
        <f>("08/09/2025")</f>
        <v>08/09/2025</v>
      </c>
      <c r="J814" t="str">
        <f>("01/01/2025")</f>
        <v>01/01/2025</v>
      </c>
      <c r="K814">
        <v>45908</v>
      </c>
      <c r="N814">
        <v>401</v>
      </c>
      <c r="O814" t="s">
        <v>76</v>
      </c>
      <c r="Q814">
        <v>44.9</v>
      </c>
      <c r="R814" t="str">
        <f>"CORA SOCIEDADE DE CREDITO, FINANCIAMENTO E INVESTIMENTO (20035)"</f>
        <v>CORA SOCIEDADE DE CREDITO, FINANCIAMENTO E INVESTIMENTO (20035)</v>
      </c>
      <c r="S814" t="s">
        <v>22</v>
      </c>
      <c r="T814">
        <v>21318</v>
      </c>
      <c r="U814">
        <v>25920</v>
      </c>
      <c r="V814" t="s">
        <v>22</v>
      </c>
    </row>
    <row r="815" spans="1:22">
      <c r="A815" t="str">
        <f t="shared" ref="A815:A878" si="179">("09/09/2025")</f>
        <v>09/09/2025</v>
      </c>
      <c r="B815" t="str">
        <f t="shared" si="170"/>
        <v>SAÍDA</v>
      </c>
      <c r="C815" t="str">
        <f t="shared" si="172"/>
        <v>PIX</v>
      </c>
      <c r="D815" t="str">
        <f>"21167"</f>
        <v>21167</v>
      </c>
      <c r="E815" t="str">
        <f>"1"</f>
        <v>1</v>
      </c>
      <c r="F815" t="str">
        <f t="shared" si="178"/>
        <v>COM</v>
      </c>
      <c r="G815" t="str">
        <f>"REGINALDO PEREIRA DE ASSIS (81)"</f>
        <v>REGINALDO PEREIRA DE ASSIS (81)</v>
      </c>
      <c r="H815" t="str">
        <f>"Serv.Prest. 25/08/2025 a 31/08/2025 - PIX: CELULAR - CHAVE: (27) 99916-8443"</f>
        <v>Serv.Prest. 25/08/2025 a 31/08/2025 - PIX: CELULAR - CHAVE: (27) 99916-8443</v>
      </c>
      <c r="I815" t="str">
        <f>("11/09/2025")</f>
        <v>11/09/2025</v>
      </c>
      <c r="J815" t="str">
        <f>("02/09/2025")</f>
        <v>02/09/2025</v>
      </c>
      <c r="K815" t="str">
        <f>("09/09/2025")</f>
        <v>09/09/2025</v>
      </c>
      <c r="L815">
        <v>20</v>
      </c>
      <c r="M815">
        <v>20</v>
      </c>
      <c r="N815">
        <v>109</v>
      </c>
      <c r="O815" t="str">
        <f>"PAGAMENTO DE ENTREGADORES"</f>
        <v>PAGAMENTO DE ENTREGADORES</v>
      </c>
      <c r="P815">
        <v>20</v>
      </c>
      <c r="S815" t="str">
        <f>"CAIXA MOVIMENTAÇÃO OPERACIONAL (132)"</f>
        <v>CAIXA MOVIMENTAÇÃO OPERACIONAL (132)</v>
      </c>
      <c r="T815">
        <v>17726</v>
      </c>
      <c r="U815">
        <v>21634</v>
      </c>
      <c r="V815" t="s">
        <v>48</v>
      </c>
    </row>
    <row r="816" spans="1:22">
      <c r="A816" t="str">
        <f t="shared" si="179"/>
        <v>09/09/2025</v>
      </c>
      <c r="B816" t="str">
        <f t="shared" si="170"/>
        <v>SAÍDA</v>
      </c>
      <c r="C816" t="str">
        <f t="shared" si="172"/>
        <v>PIX</v>
      </c>
      <c r="D816" t="str">
        <f>"21167"</f>
        <v>21167</v>
      </c>
      <c r="E816" t="str">
        <f>"1"</f>
        <v>1</v>
      </c>
      <c r="F816" t="str">
        <f t="shared" si="178"/>
        <v>COM</v>
      </c>
      <c r="G816" t="str">
        <f>"REGINALDO PEREIRA DE ASSIS (81)"</f>
        <v>REGINALDO PEREIRA DE ASSIS (81)</v>
      </c>
      <c r="H816" t="s">
        <v>308</v>
      </c>
      <c r="I816" t="str">
        <f>("11/09/2025")</f>
        <v>11/09/2025</v>
      </c>
      <c r="J816" t="str">
        <f>("02/09/2025")</f>
        <v>02/09/2025</v>
      </c>
      <c r="K816">
        <v>45909</v>
      </c>
      <c r="N816">
        <v>109</v>
      </c>
      <c r="O816" t="s">
        <v>24</v>
      </c>
      <c r="Q816">
        <v>20</v>
      </c>
      <c r="R816" t="str">
        <f>"FARMÁCIA INDIANA LJ 119 (10053)"</f>
        <v>FARMÁCIA INDIANA LJ 119 (10053)</v>
      </c>
      <c r="S816" t="s">
        <v>48</v>
      </c>
      <c r="T816">
        <v>17726</v>
      </c>
      <c r="U816">
        <v>21634</v>
      </c>
      <c r="V816" t="s">
        <v>48</v>
      </c>
    </row>
    <row r="817" spans="1:22">
      <c r="A817" t="str">
        <f t="shared" si="179"/>
        <v>09/09/2025</v>
      </c>
      <c r="B817" t="str">
        <f>"ENTRADA"</f>
        <v>ENTRADA</v>
      </c>
      <c r="C817" t="str">
        <f>"DINHEIRO"</f>
        <v>DINHEIRO</v>
      </c>
      <c r="D817" t="str">
        <f>"10"</f>
        <v>10</v>
      </c>
      <c r="E817" t="str">
        <f>"33"</f>
        <v>33</v>
      </c>
      <c r="F817" t="str">
        <f t="shared" si="178"/>
        <v>COM</v>
      </c>
      <c r="G817" t="str">
        <f>"REGINALDO PEREIRA DE ASSIS (81)"</f>
        <v>REGINALDO PEREIRA DE ASSIS (81)</v>
      </c>
      <c r="H817" t="str">
        <f>"DESCONTO COTA COOPERADO"</f>
        <v>DESCONTO COTA COOPERADO</v>
      </c>
      <c r="I817" t="str">
        <f>("16/09/2025")</f>
        <v>16/09/2025</v>
      </c>
      <c r="J817" t="str">
        <f>("16/01/2025")</f>
        <v>16/01/2025</v>
      </c>
      <c r="K817" t="str">
        <f>("09/09/2025")</f>
        <v>09/09/2025</v>
      </c>
      <c r="L817">
        <v>20</v>
      </c>
      <c r="M817">
        <v>20</v>
      </c>
      <c r="N817">
        <v>106</v>
      </c>
      <c r="O817" t="str">
        <f>"ENTRADA DE CAPITAL"</f>
        <v>ENTRADA DE CAPITAL</v>
      </c>
      <c r="P817">
        <v>20</v>
      </c>
      <c r="S817" t="str">
        <f>"ENTRADA DE CAPITAL (106)"</f>
        <v>ENTRADA DE CAPITAL (106)</v>
      </c>
      <c r="T817">
        <v>17727</v>
      </c>
      <c r="U817">
        <v>7357</v>
      </c>
      <c r="V817" t="s">
        <v>48</v>
      </c>
    </row>
    <row r="818" spans="1:22">
      <c r="A818" t="str">
        <f t="shared" si="179"/>
        <v>09/09/2025</v>
      </c>
      <c r="B818" t="str">
        <f>"ENTRADA"</f>
        <v>ENTRADA</v>
      </c>
      <c r="C818" t="str">
        <f>"DINHEIRO"</f>
        <v>DINHEIRO</v>
      </c>
      <c r="D818" t="str">
        <f>"10"</f>
        <v>10</v>
      </c>
      <c r="E818" t="str">
        <f>"33"</f>
        <v>33</v>
      </c>
      <c r="F818" t="str">
        <f t="shared" si="178"/>
        <v>COM</v>
      </c>
      <c r="G818" t="str">
        <f>"REGINALDO PEREIRA DE ASSIS (81)"</f>
        <v>REGINALDO PEREIRA DE ASSIS (81)</v>
      </c>
      <c r="H818" t="s">
        <v>309</v>
      </c>
      <c r="I818" t="str">
        <f>("16/09/2025")</f>
        <v>16/09/2025</v>
      </c>
      <c r="J818" t="str">
        <f>("16/01/2025")</f>
        <v>16/01/2025</v>
      </c>
      <c r="K818">
        <v>45909</v>
      </c>
      <c r="N818">
        <v>106</v>
      </c>
      <c r="O818" t="s">
        <v>51</v>
      </c>
      <c r="Q818">
        <v>20</v>
      </c>
      <c r="R818" t="str">
        <f>"REGINALDO PEREIRA DE ASSIS (81)"</f>
        <v>REGINALDO PEREIRA DE ASSIS (81)</v>
      </c>
      <c r="S818" t="s">
        <v>52</v>
      </c>
      <c r="T818">
        <v>17727</v>
      </c>
      <c r="U818">
        <v>7357</v>
      </c>
      <c r="V818" t="s">
        <v>48</v>
      </c>
    </row>
    <row r="819" spans="1:22">
      <c r="A819" t="str">
        <f t="shared" si="179"/>
        <v>09/09/2025</v>
      </c>
      <c r="B819" t="str">
        <f>"SAÍDA"</f>
        <v>SAÍDA</v>
      </c>
      <c r="C819" t="str">
        <f>"PIX"</f>
        <v>PIX</v>
      </c>
      <c r="D819" t="str">
        <f>"21216"</f>
        <v>21216</v>
      </c>
      <c r="E819" t="str">
        <f>"1"</f>
        <v>1</v>
      </c>
      <c r="F819" t="str">
        <f t="shared" si="178"/>
        <v>COM</v>
      </c>
      <c r="G819" t="str">
        <f>"JUNIOR DOS SANTOS MACHADO (240)"</f>
        <v>JUNIOR DOS SANTOS MACHADO (240)</v>
      </c>
      <c r="H819" t="str">
        <f>"Serv.Prest. 25/08/2025 a 31/08/2025 - PIX: CPF - CHAVE: 074.520.456-29"</f>
        <v>Serv.Prest. 25/08/2025 a 31/08/2025 - PIX: CPF - CHAVE: 074.520.456-29</v>
      </c>
      <c r="I819" t="str">
        <f>("11/09/2025")</f>
        <v>11/09/2025</v>
      </c>
      <c r="J819" t="str">
        <f>("02/09/2025")</f>
        <v>02/09/2025</v>
      </c>
      <c r="K819" t="str">
        <f>("09/09/2025")</f>
        <v>09/09/2025</v>
      </c>
      <c r="L819">
        <v>20</v>
      </c>
      <c r="M819">
        <v>20</v>
      </c>
      <c r="N819">
        <v>109</v>
      </c>
      <c r="O819" t="str">
        <f>"PAGAMENTO DE ENTREGADORES"</f>
        <v>PAGAMENTO DE ENTREGADORES</v>
      </c>
      <c r="P819">
        <v>20</v>
      </c>
      <c r="S819" t="str">
        <f>"CAIXA MOVIMENTAÇÃO OPERACIONAL (132)"</f>
        <v>CAIXA MOVIMENTAÇÃO OPERACIONAL (132)</v>
      </c>
      <c r="T819">
        <v>17729</v>
      </c>
      <c r="U819">
        <v>21636</v>
      </c>
      <c r="V819" t="s">
        <v>48</v>
      </c>
    </row>
    <row r="820" spans="1:22">
      <c r="A820" t="str">
        <f t="shared" si="179"/>
        <v>09/09/2025</v>
      </c>
      <c r="B820" t="str">
        <f>"SAÍDA"</f>
        <v>SAÍDA</v>
      </c>
      <c r="C820" t="str">
        <f>"PIX"</f>
        <v>PIX</v>
      </c>
      <c r="D820" t="str">
        <f>"21216"</f>
        <v>21216</v>
      </c>
      <c r="E820" t="str">
        <f>"1"</f>
        <v>1</v>
      </c>
      <c r="F820" t="str">
        <f t="shared" si="178"/>
        <v>COM</v>
      </c>
      <c r="G820" t="str">
        <f>"JUNIOR DOS SANTOS MACHADO (240)"</f>
        <v>JUNIOR DOS SANTOS MACHADO (240)</v>
      </c>
      <c r="H820" t="s">
        <v>310</v>
      </c>
      <c r="I820" t="str">
        <f>("11/09/2025")</f>
        <v>11/09/2025</v>
      </c>
      <c r="J820" t="str">
        <f>("02/09/2025")</f>
        <v>02/09/2025</v>
      </c>
      <c r="K820">
        <v>45909</v>
      </c>
      <c r="N820">
        <v>109</v>
      </c>
      <c r="O820" t="s">
        <v>24</v>
      </c>
      <c r="Q820">
        <v>20</v>
      </c>
      <c r="R820" t="str">
        <f>"FARMÁCIA INDIANA LJ 62 (10028)"</f>
        <v>FARMÁCIA INDIANA LJ 62 (10028)</v>
      </c>
      <c r="S820" t="s">
        <v>48</v>
      </c>
      <c r="T820">
        <v>17729</v>
      </c>
      <c r="U820">
        <v>21636</v>
      </c>
      <c r="V820" t="s">
        <v>48</v>
      </c>
    </row>
    <row r="821" spans="1:22">
      <c r="A821" t="str">
        <f t="shared" si="179"/>
        <v>09/09/2025</v>
      </c>
      <c r="B821" t="str">
        <f>"ENTRADA"</f>
        <v>ENTRADA</v>
      </c>
      <c r="C821" t="str">
        <f>"DINHEIRO"</f>
        <v>DINHEIRO</v>
      </c>
      <c r="D821" t="str">
        <f>"07"</f>
        <v>07</v>
      </c>
      <c r="E821" t="str">
        <f>"33"</f>
        <v>33</v>
      </c>
      <c r="F821" t="str">
        <f t="shared" si="178"/>
        <v>COM</v>
      </c>
      <c r="G821" t="str">
        <f>"JUNIOR DOS SANTOS MACHADO (240)"</f>
        <v>JUNIOR DOS SANTOS MACHADO (240)</v>
      </c>
      <c r="H821" t="str">
        <f>"DESCONTO COTA COOPERADO"</f>
        <v>DESCONTO COTA COOPERADO</v>
      </c>
      <c r="I821" t="str">
        <f>("16/09/2025")</f>
        <v>16/09/2025</v>
      </c>
      <c r="J821" t="str">
        <f>("16/01/2025")</f>
        <v>16/01/2025</v>
      </c>
      <c r="K821" t="str">
        <f>("09/09/2025")</f>
        <v>09/09/2025</v>
      </c>
      <c r="L821">
        <v>20</v>
      </c>
      <c r="M821">
        <v>20</v>
      </c>
      <c r="N821">
        <v>106</v>
      </c>
      <c r="O821" t="str">
        <f>"ENTRADA DE CAPITAL"</f>
        <v>ENTRADA DE CAPITAL</v>
      </c>
      <c r="P821">
        <v>20</v>
      </c>
      <c r="S821" t="str">
        <f>"ENTRADA DE CAPITAL (106)"</f>
        <v>ENTRADA DE CAPITAL (106)</v>
      </c>
      <c r="T821">
        <v>17730</v>
      </c>
      <c r="U821">
        <v>6839</v>
      </c>
      <c r="V821" t="s">
        <v>48</v>
      </c>
    </row>
    <row r="822" spans="1:22">
      <c r="A822" t="str">
        <f t="shared" si="179"/>
        <v>09/09/2025</v>
      </c>
      <c r="B822" t="str">
        <f>"ENTRADA"</f>
        <v>ENTRADA</v>
      </c>
      <c r="C822" t="str">
        <f>"DINHEIRO"</f>
        <v>DINHEIRO</v>
      </c>
      <c r="D822" t="str">
        <f>"07"</f>
        <v>07</v>
      </c>
      <c r="E822" t="str">
        <f>"33"</f>
        <v>33</v>
      </c>
      <c r="F822" t="str">
        <f t="shared" si="178"/>
        <v>COM</v>
      </c>
      <c r="G822" t="str">
        <f>"JUNIOR DOS SANTOS MACHADO (240)"</f>
        <v>JUNIOR DOS SANTOS MACHADO (240)</v>
      </c>
      <c r="H822" t="s">
        <v>309</v>
      </c>
      <c r="I822" t="str">
        <f>("16/09/2025")</f>
        <v>16/09/2025</v>
      </c>
      <c r="J822" t="str">
        <f>("16/01/2025")</f>
        <v>16/01/2025</v>
      </c>
      <c r="K822">
        <v>45909</v>
      </c>
      <c r="N822">
        <v>106</v>
      </c>
      <c r="O822" t="s">
        <v>51</v>
      </c>
      <c r="Q822">
        <v>20</v>
      </c>
      <c r="R822" t="str">
        <f>"JUNIOR DOS SANTOS MACHADO (240)"</f>
        <v>JUNIOR DOS SANTOS MACHADO (240)</v>
      </c>
      <c r="S822" t="s">
        <v>52</v>
      </c>
      <c r="T822">
        <v>17730</v>
      </c>
      <c r="U822">
        <v>6839</v>
      </c>
      <c r="V822" t="s">
        <v>48</v>
      </c>
    </row>
    <row r="823" spans="1:22">
      <c r="A823" t="str">
        <f t="shared" si="179"/>
        <v>09/09/2025</v>
      </c>
      <c r="B823" t="str">
        <f>"SAÍDA"</f>
        <v>SAÍDA</v>
      </c>
      <c r="C823" t="str">
        <f>"PIX"</f>
        <v>PIX</v>
      </c>
      <c r="D823" t="str">
        <f>"21460"</f>
        <v>21460</v>
      </c>
      <c r="E823" t="str">
        <f>"1"</f>
        <v>1</v>
      </c>
      <c r="F823" t="str">
        <f t="shared" si="178"/>
        <v>COM</v>
      </c>
      <c r="G823" t="str">
        <f>"WILIANA RODRIGUES E RODRIGUES (398)"</f>
        <v>WILIANA RODRIGUES E RODRIGUES (398)</v>
      </c>
      <c r="H823" t="str">
        <f>"Serv.Prest. 01/09/2025 a 07/09/2025 - PIX: CPF - CHAVE: 016.203.336-27"</f>
        <v>Serv.Prest. 01/09/2025 a 07/09/2025 - PIX: CPF - CHAVE: 016.203.336-27</v>
      </c>
      <c r="I823" t="str">
        <f>("11/09/2025")</f>
        <v>11/09/2025</v>
      </c>
      <c r="J823" t="str">
        <f>("08/09/2025")</f>
        <v>08/09/2025</v>
      </c>
      <c r="K823" t="str">
        <f>("09/09/2025")</f>
        <v>09/09/2025</v>
      </c>
      <c r="L823">
        <v>20</v>
      </c>
      <c r="M823">
        <v>20</v>
      </c>
      <c r="N823">
        <v>109</v>
      </c>
      <c r="O823" t="str">
        <f>"PAGAMENTO DE ENTREGADORES"</f>
        <v>PAGAMENTO DE ENTREGADORES</v>
      </c>
      <c r="P823">
        <v>20</v>
      </c>
      <c r="S823" t="str">
        <f>"CAIXA MOVIMENTAÇÃO OPERACIONAL (132)"</f>
        <v>CAIXA MOVIMENTAÇÃO OPERACIONAL (132)</v>
      </c>
      <c r="T823">
        <v>17731</v>
      </c>
      <c r="U823">
        <v>21637</v>
      </c>
      <c r="V823" t="s">
        <v>48</v>
      </c>
    </row>
    <row r="824" spans="1:22">
      <c r="A824" t="str">
        <f t="shared" si="179"/>
        <v>09/09/2025</v>
      </c>
      <c r="B824" t="str">
        <f>"SAÍDA"</f>
        <v>SAÍDA</v>
      </c>
      <c r="C824" t="str">
        <f>"PIX"</f>
        <v>PIX</v>
      </c>
      <c r="D824" t="str">
        <f>"21460"</f>
        <v>21460</v>
      </c>
      <c r="E824" t="str">
        <f>"1"</f>
        <v>1</v>
      </c>
      <c r="F824" t="str">
        <f t="shared" si="178"/>
        <v>COM</v>
      </c>
      <c r="G824" t="str">
        <f>"WILIANA RODRIGUES E RODRIGUES (398)"</f>
        <v>WILIANA RODRIGUES E RODRIGUES (398)</v>
      </c>
      <c r="H824" t="s">
        <v>311</v>
      </c>
      <c r="I824" t="str">
        <f>("11/09/2025")</f>
        <v>11/09/2025</v>
      </c>
      <c r="J824" t="str">
        <f>("08/09/2025")</f>
        <v>08/09/2025</v>
      </c>
      <c r="K824">
        <v>45909</v>
      </c>
      <c r="N824">
        <v>109</v>
      </c>
      <c r="O824" t="s">
        <v>24</v>
      </c>
      <c r="Q824">
        <v>20</v>
      </c>
      <c r="R824" t="str">
        <f>"PAGMENOS - LJ 657 (10136)"</f>
        <v>PAGMENOS - LJ 657 (10136)</v>
      </c>
      <c r="S824" t="s">
        <v>48</v>
      </c>
      <c r="T824">
        <v>17731</v>
      </c>
      <c r="U824">
        <v>21637</v>
      </c>
      <c r="V824" t="s">
        <v>48</v>
      </c>
    </row>
    <row r="825" spans="1:22">
      <c r="A825" t="str">
        <f t="shared" si="179"/>
        <v>09/09/2025</v>
      </c>
      <c r="B825" t="str">
        <f>"ENTRADA"</f>
        <v>ENTRADA</v>
      </c>
      <c r="C825" t="str">
        <f>"DINHEIRO"</f>
        <v>DINHEIRO</v>
      </c>
      <c r="D825" t="str">
        <f>"05"</f>
        <v>05</v>
      </c>
      <c r="E825" t="str">
        <f>"33"</f>
        <v>33</v>
      </c>
      <c r="F825" t="str">
        <f t="shared" si="178"/>
        <v>COM</v>
      </c>
      <c r="G825" t="str">
        <f>"WILIANA RODRIGUES E RODRIGUES (398)"</f>
        <v>WILIANA RODRIGUES E RODRIGUES (398)</v>
      </c>
      <c r="H825" t="str">
        <f>"DESCONTO COTA COOPERADO"</f>
        <v>DESCONTO COTA COOPERADO</v>
      </c>
      <c r="I825" t="str">
        <f>("16/09/2025")</f>
        <v>16/09/2025</v>
      </c>
      <c r="J825" t="str">
        <f>("16/01/2025")</f>
        <v>16/01/2025</v>
      </c>
      <c r="K825" t="str">
        <f>("09/09/2025")</f>
        <v>09/09/2025</v>
      </c>
      <c r="L825">
        <v>20</v>
      </c>
      <c r="M825">
        <v>20</v>
      </c>
      <c r="N825">
        <v>106</v>
      </c>
      <c r="O825" t="str">
        <f>"ENTRADA DE CAPITAL"</f>
        <v>ENTRADA DE CAPITAL</v>
      </c>
      <c r="P825">
        <v>20</v>
      </c>
      <c r="S825" t="str">
        <f>"ENTRADA DE CAPITAL (106)"</f>
        <v>ENTRADA DE CAPITAL (106)</v>
      </c>
      <c r="T825">
        <v>17732</v>
      </c>
      <c r="U825">
        <v>7843</v>
      </c>
      <c r="V825" t="s">
        <v>48</v>
      </c>
    </row>
    <row r="826" spans="1:22">
      <c r="A826" t="str">
        <f t="shared" si="179"/>
        <v>09/09/2025</v>
      </c>
      <c r="B826" t="str">
        <f>"ENTRADA"</f>
        <v>ENTRADA</v>
      </c>
      <c r="C826" t="str">
        <f>"DINHEIRO"</f>
        <v>DINHEIRO</v>
      </c>
      <c r="D826" t="str">
        <f>"05"</f>
        <v>05</v>
      </c>
      <c r="E826" t="str">
        <f>"33"</f>
        <v>33</v>
      </c>
      <c r="F826" t="str">
        <f t="shared" si="178"/>
        <v>COM</v>
      </c>
      <c r="G826" t="str">
        <f>"WILIANA RODRIGUES E RODRIGUES (398)"</f>
        <v>WILIANA RODRIGUES E RODRIGUES (398)</v>
      </c>
      <c r="H826" t="s">
        <v>309</v>
      </c>
      <c r="I826" t="str">
        <f>("16/09/2025")</f>
        <v>16/09/2025</v>
      </c>
      <c r="J826" t="str">
        <f>("16/01/2025")</f>
        <v>16/01/2025</v>
      </c>
      <c r="K826">
        <v>45909</v>
      </c>
      <c r="N826">
        <v>106</v>
      </c>
      <c r="O826" t="s">
        <v>51</v>
      </c>
      <c r="Q826">
        <v>20</v>
      </c>
      <c r="R826" t="str">
        <f>"WILIANA RODRIGUES E RODRIGUES (398)"</f>
        <v>WILIANA RODRIGUES E RODRIGUES (398)</v>
      </c>
      <c r="S826" t="s">
        <v>52</v>
      </c>
      <c r="T826">
        <v>17732</v>
      </c>
      <c r="U826">
        <v>7843</v>
      </c>
      <c r="V826" t="s">
        <v>48</v>
      </c>
    </row>
    <row r="827" spans="1:22">
      <c r="A827" t="str">
        <f t="shared" si="179"/>
        <v>09/09/2025</v>
      </c>
      <c r="B827" t="str">
        <f>"SAÍDA"</f>
        <v>SAÍDA</v>
      </c>
      <c r="C827" t="str">
        <f>"PIX"</f>
        <v>PIX</v>
      </c>
      <c r="D827" t="str">
        <f>"21455"</f>
        <v>21455</v>
      </c>
      <c r="E827" t="str">
        <f>"1"</f>
        <v>1</v>
      </c>
      <c r="F827" t="str">
        <f t="shared" si="178"/>
        <v>COM</v>
      </c>
      <c r="G827" t="str">
        <f>"SAMUEL SOARES DA SILVA (867)"</f>
        <v>SAMUEL SOARES DA SILVA (867)</v>
      </c>
      <c r="H827" t="str">
        <f>"Serv.Prest. 01/09/2025 a 07/09/2025 - PIX: CPF - CHAVE: 396.124.108-28"</f>
        <v>Serv.Prest. 01/09/2025 a 07/09/2025 - PIX: CPF - CHAVE: 396.124.108-28</v>
      </c>
      <c r="I827" t="str">
        <f>("11/09/2025")</f>
        <v>11/09/2025</v>
      </c>
      <c r="J827" t="str">
        <f>("08/09/2025")</f>
        <v>08/09/2025</v>
      </c>
      <c r="K827" t="str">
        <f>("09/09/2025")</f>
        <v>09/09/2025</v>
      </c>
      <c r="L827">
        <v>23.5</v>
      </c>
      <c r="M827">
        <v>20</v>
      </c>
      <c r="N827">
        <v>109</v>
      </c>
      <c r="O827" t="str">
        <f>"PAGAMENTO DE ENTREGADORES"</f>
        <v>PAGAMENTO DE ENTREGADORES</v>
      </c>
      <c r="P827">
        <v>20</v>
      </c>
      <c r="S827" t="str">
        <f>"CAIXA MOVIMENTAÇÃO OPERACIONAL (132)"</f>
        <v>CAIXA MOVIMENTAÇÃO OPERACIONAL (132)</v>
      </c>
      <c r="T827">
        <v>17733</v>
      </c>
      <c r="U827">
        <v>21639</v>
      </c>
      <c r="V827" t="s">
        <v>48</v>
      </c>
    </row>
    <row r="828" spans="1:22">
      <c r="A828" t="str">
        <f t="shared" si="179"/>
        <v>09/09/2025</v>
      </c>
      <c r="B828" t="str">
        <f>"SAÍDA"</f>
        <v>SAÍDA</v>
      </c>
      <c r="C828" t="str">
        <f>"PIX"</f>
        <v>PIX</v>
      </c>
      <c r="D828" t="str">
        <f>"21455"</f>
        <v>21455</v>
      </c>
      <c r="E828" t="str">
        <f>"1"</f>
        <v>1</v>
      </c>
      <c r="F828" t="str">
        <f t="shared" si="178"/>
        <v>COM</v>
      </c>
      <c r="G828" t="str">
        <f>"SAMUEL SOARES DA SILVA (867)"</f>
        <v>SAMUEL SOARES DA SILVA (867)</v>
      </c>
      <c r="H828" t="s">
        <v>312</v>
      </c>
      <c r="I828" t="str">
        <f>("11/09/2025")</f>
        <v>11/09/2025</v>
      </c>
      <c r="J828" t="str">
        <f>("08/09/2025")</f>
        <v>08/09/2025</v>
      </c>
      <c r="K828">
        <v>45909</v>
      </c>
      <c r="N828">
        <v>109</v>
      </c>
      <c r="O828" t="s">
        <v>24</v>
      </c>
      <c r="Q828">
        <v>20</v>
      </c>
      <c r="R828" t="str">
        <f>"DROGA ELIDA (10121)"</f>
        <v>DROGA ELIDA (10121)</v>
      </c>
      <c r="S828" t="s">
        <v>48</v>
      </c>
      <c r="T828">
        <v>17733</v>
      </c>
      <c r="U828">
        <v>21639</v>
      </c>
      <c r="V828" t="s">
        <v>48</v>
      </c>
    </row>
    <row r="829" spans="1:22">
      <c r="A829" t="str">
        <f t="shared" si="179"/>
        <v>09/09/2025</v>
      </c>
      <c r="B829" t="str">
        <f>"ENTRADA"</f>
        <v>ENTRADA</v>
      </c>
      <c r="C829" t="str">
        <f>"DINHEIRO"</f>
        <v>DINHEIRO</v>
      </c>
      <c r="D829" t="str">
        <f>"867"</f>
        <v>867</v>
      </c>
      <c r="E829" t="str">
        <f>"2"</f>
        <v>2</v>
      </c>
      <c r="F829" t="str">
        <f t="shared" si="178"/>
        <v>COM</v>
      </c>
      <c r="G829" t="str">
        <f>"SAMUEL SOARES DA SILVA (867)"</f>
        <v>SAMUEL SOARES DA SILVA (867)</v>
      </c>
      <c r="H829" t="str">
        <f>"COTA COOPERATIVA"</f>
        <v>COTA COOPERATIVA</v>
      </c>
      <c r="I829" t="str">
        <f>("10/09/2025")</f>
        <v>10/09/2025</v>
      </c>
      <c r="J829" t="str">
        <f>("30/06/2025")</f>
        <v>30/06/2025</v>
      </c>
      <c r="K829" t="str">
        <f>("09/09/2025")</f>
        <v>09/09/2025</v>
      </c>
      <c r="L829">
        <v>20</v>
      </c>
      <c r="M829">
        <v>20</v>
      </c>
      <c r="N829">
        <v>106</v>
      </c>
      <c r="O829" t="str">
        <f>"ENTRADA DE CAPITAL"</f>
        <v>ENTRADA DE CAPITAL</v>
      </c>
      <c r="P829">
        <v>20</v>
      </c>
      <c r="S829" t="str">
        <f>"ENTRADA DE CAPITAL (106)"</f>
        <v>ENTRADA DE CAPITAL (106)</v>
      </c>
      <c r="T829">
        <v>17734</v>
      </c>
      <c r="U829">
        <v>19953</v>
      </c>
      <c r="V829" t="s">
        <v>48</v>
      </c>
    </row>
    <row r="830" spans="1:22">
      <c r="A830" t="str">
        <f t="shared" si="179"/>
        <v>09/09/2025</v>
      </c>
      <c r="B830" t="str">
        <f>"ENTRADA"</f>
        <v>ENTRADA</v>
      </c>
      <c r="C830" t="str">
        <f>"DINHEIRO"</f>
        <v>DINHEIRO</v>
      </c>
      <c r="D830" t="str">
        <f>"867"</f>
        <v>867</v>
      </c>
      <c r="E830" t="str">
        <f>"2"</f>
        <v>2</v>
      </c>
      <c r="F830" t="str">
        <f t="shared" si="178"/>
        <v>COM</v>
      </c>
      <c r="G830" t="str">
        <f>"SAMUEL SOARES DA SILVA (867)"</f>
        <v>SAMUEL SOARES DA SILVA (867)</v>
      </c>
      <c r="H830" t="s">
        <v>50</v>
      </c>
      <c r="I830" t="str">
        <f>("10/09/2025")</f>
        <v>10/09/2025</v>
      </c>
      <c r="J830" t="str">
        <f>("30/06/2025")</f>
        <v>30/06/2025</v>
      </c>
      <c r="K830">
        <v>45909</v>
      </c>
      <c r="N830">
        <v>106</v>
      </c>
      <c r="O830" t="s">
        <v>51</v>
      </c>
      <c r="Q830">
        <v>20</v>
      </c>
      <c r="R830" t="str">
        <f>"SAMUEL SOARES DA SILVA (867)"</f>
        <v>SAMUEL SOARES DA SILVA (867)</v>
      </c>
      <c r="S830" t="s">
        <v>52</v>
      </c>
      <c r="T830">
        <v>17734</v>
      </c>
      <c r="U830">
        <v>19953</v>
      </c>
      <c r="V830" t="s">
        <v>48</v>
      </c>
    </row>
    <row r="831" spans="1:22">
      <c r="A831" t="str">
        <f t="shared" si="179"/>
        <v>09/09/2025</v>
      </c>
      <c r="B831" t="str">
        <f>"ENTRADA"</f>
        <v>ENTRADA</v>
      </c>
      <c r="C831" t="str">
        <f>"DINHEIRO"</f>
        <v>DINHEIRO</v>
      </c>
      <c r="D831" t="str">
        <f>"861"</f>
        <v>861</v>
      </c>
      <c r="E831" t="str">
        <f>"3"</f>
        <v>3</v>
      </c>
      <c r="F831" t="str">
        <f t="shared" si="178"/>
        <v>COM</v>
      </c>
      <c r="G831" t="str">
        <f>"YAN BRENDO CORREIA VIEIRA (861)"</f>
        <v>YAN BRENDO CORREIA VIEIRA (861)</v>
      </c>
      <c r="H831" t="str">
        <f>"COTA COOPERATIVA"</f>
        <v>COTA COOPERATIVA</v>
      </c>
      <c r="I831" t="str">
        <f>("10/09/2025")</f>
        <v>10/09/2025</v>
      </c>
      <c r="J831" t="str">
        <f>("23/06/2025")</f>
        <v>23/06/2025</v>
      </c>
      <c r="K831" t="str">
        <f>("09/09/2025")</f>
        <v>09/09/2025</v>
      </c>
      <c r="L831">
        <v>20</v>
      </c>
      <c r="M831">
        <v>20</v>
      </c>
      <c r="N831">
        <v>106</v>
      </c>
      <c r="O831" t="str">
        <f>"ENTRADA DE CAPITAL"</f>
        <v>ENTRADA DE CAPITAL</v>
      </c>
      <c r="P831">
        <v>20</v>
      </c>
      <c r="S831" t="str">
        <f>"ENTRADA DE CAPITAL (106)"</f>
        <v>ENTRADA DE CAPITAL (106)</v>
      </c>
      <c r="T831">
        <v>17735</v>
      </c>
      <c r="U831">
        <v>18391</v>
      </c>
      <c r="V831" t="s">
        <v>48</v>
      </c>
    </row>
    <row r="832" spans="1:22">
      <c r="A832" t="str">
        <f t="shared" si="179"/>
        <v>09/09/2025</v>
      </c>
      <c r="B832" t="str">
        <f>"ENTRADA"</f>
        <v>ENTRADA</v>
      </c>
      <c r="C832" t="str">
        <f>"DINHEIRO"</f>
        <v>DINHEIRO</v>
      </c>
      <c r="D832" t="str">
        <f>"861"</f>
        <v>861</v>
      </c>
      <c r="E832" t="str">
        <f>"3"</f>
        <v>3</v>
      </c>
      <c r="F832" t="str">
        <f t="shared" si="178"/>
        <v>COM</v>
      </c>
      <c r="G832" t="str">
        <f>"YAN BRENDO CORREIA VIEIRA (861)"</f>
        <v>YAN BRENDO CORREIA VIEIRA (861)</v>
      </c>
      <c r="H832" t="s">
        <v>50</v>
      </c>
      <c r="I832" t="str">
        <f>("10/09/2025")</f>
        <v>10/09/2025</v>
      </c>
      <c r="J832" t="str">
        <f>("23/06/2025")</f>
        <v>23/06/2025</v>
      </c>
      <c r="K832">
        <v>45909</v>
      </c>
      <c r="N832">
        <v>106</v>
      </c>
      <c r="O832" t="s">
        <v>51</v>
      </c>
      <c r="Q832">
        <v>20</v>
      </c>
      <c r="R832" t="str">
        <f>"YAN BRENDO CORREIA VIEIRA (861)"</f>
        <v>YAN BRENDO CORREIA VIEIRA (861)</v>
      </c>
      <c r="S832" t="s">
        <v>52</v>
      </c>
      <c r="T832">
        <v>17735</v>
      </c>
      <c r="U832">
        <v>18391</v>
      </c>
      <c r="V832" t="s">
        <v>48</v>
      </c>
    </row>
    <row r="833" spans="1:22">
      <c r="A833" t="str">
        <f t="shared" si="179"/>
        <v>09/09/2025</v>
      </c>
      <c r="B833" t="str">
        <f>"SAÍDA"</f>
        <v>SAÍDA</v>
      </c>
      <c r="C833" t="str">
        <f>"PIX"</f>
        <v>PIX</v>
      </c>
      <c r="D833" t="str">
        <f>"21160"</f>
        <v>21160</v>
      </c>
      <c r="E833" t="str">
        <f>"1"</f>
        <v>1</v>
      </c>
      <c r="F833" t="str">
        <f t="shared" si="178"/>
        <v>COM</v>
      </c>
      <c r="G833" t="str">
        <f>"YAN BRENDO CORREIA VIEIRA (861)"</f>
        <v>YAN BRENDO CORREIA VIEIRA (861)</v>
      </c>
      <c r="H833" t="str">
        <f>"Serv.Prest. 25/08/2025 a 31/08/2025 - PIX: CPF - CHAVE: 096.891.935-97"</f>
        <v>Serv.Prest. 25/08/2025 a 31/08/2025 - PIX: CPF - CHAVE: 096.891.935-97</v>
      </c>
      <c r="I833" t="str">
        <f>("11/09/2025")</f>
        <v>11/09/2025</v>
      </c>
      <c r="J833" t="str">
        <f>("02/09/2025")</f>
        <v>02/09/2025</v>
      </c>
      <c r="K833" t="str">
        <f>("09/09/2025")</f>
        <v>09/09/2025</v>
      </c>
      <c r="L833">
        <v>20</v>
      </c>
      <c r="M833">
        <v>20</v>
      </c>
      <c r="N833">
        <v>109</v>
      </c>
      <c r="O833" t="str">
        <f>"PAGAMENTO DE ENTREGADORES"</f>
        <v>PAGAMENTO DE ENTREGADORES</v>
      </c>
      <c r="P833">
        <v>20</v>
      </c>
      <c r="S833" t="str">
        <f>"CAIXA MOVIMENTAÇÃO OPERACIONAL (132)"</f>
        <v>CAIXA MOVIMENTAÇÃO OPERACIONAL (132)</v>
      </c>
      <c r="T833">
        <v>17736</v>
      </c>
      <c r="U833">
        <v>21641</v>
      </c>
      <c r="V833" t="s">
        <v>48</v>
      </c>
    </row>
    <row r="834" spans="1:22">
      <c r="A834" t="str">
        <f t="shared" si="179"/>
        <v>09/09/2025</v>
      </c>
      <c r="B834" t="str">
        <f>"SAÍDA"</f>
        <v>SAÍDA</v>
      </c>
      <c r="C834" t="str">
        <f>"PIX"</f>
        <v>PIX</v>
      </c>
      <c r="D834" t="str">
        <f>"21160"</f>
        <v>21160</v>
      </c>
      <c r="E834" t="str">
        <f>"1"</f>
        <v>1</v>
      </c>
      <c r="F834" t="str">
        <f t="shared" si="178"/>
        <v>COM</v>
      </c>
      <c r="G834" t="str">
        <f>"YAN BRENDO CORREIA VIEIRA (861)"</f>
        <v>YAN BRENDO CORREIA VIEIRA (861)</v>
      </c>
      <c r="H834" t="s">
        <v>313</v>
      </c>
      <c r="I834" t="str">
        <f>("11/09/2025")</f>
        <v>11/09/2025</v>
      </c>
      <c r="J834" t="str">
        <f>("02/09/2025")</f>
        <v>02/09/2025</v>
      </c>
      <c r="K834">
        <v>45909</v>
      </c>
      <c r="N834">
        <v>109</v>
      </c>
      <c r="O834" t="s">
        <v>24</v>
      </c>
      <c r="Q834">
        <v>20</v>
      </c>
      <c r="R834" t="str">
        <f>"FARMÁCIA INDIANA LJ 200 (10155)"</f>
        <v>FARMÁCIA INDIANA LJ 200 (10155)</v>
      </c>
      <c r="S834" t="s">
        <v>48</v>
      </c>
      <c r="T834">
        <v>17736</v>
      </c>
      <c r="U834">
        <v>21641</v>
      </c>
      <c r="V834" t="s">
        <v>48</v>
      </c>
    </row>
    <row r="835" spans="1:22">
      <c r="A835" t="str">
        <f t="shared" si="179"/>
        <v>09/09/2025</v>
      </c>
      <c r="B835" t="str">
        <f>"SAÍDA"</f>
        <v>SAÍDA</v>
      </c>
      <c r="C835" t="str">
        <f>"PIX"</f>
        <v>PIX</v>
      </c>
      <c r="D835" t="str">
        <f>"21206"</f>
        <v>21206</v>
      </c>
      <c r="E835" t="str">
        <f>"1"</f>
        <v>1</v>
      </c>
      <c r="F835" t="str">
        <f t="shared" si="178"/>
        <v>COM</v>
      </c>
      <c r="G835" t="str">
        <f>"JEFERSON ANDRADE FERREIRA (165)"</f>
        <v>JEFERSON ANDRADE FERREIRA (165)</v>
      </c>
      <c r="H835" t="str">
        <f>"Serv.Prest. 25/08/2025 a 31/08/2025 - PIX: CPF - CHAVE: 126.873.296-65"</f>
        <v>Serv.Prest. 25/08/2025 a 31/08/2025 - PIX: CPF - CHAVE: 126.873.296-65</v>
      </c>
      <c r="I835" t="str">
        <f>("11/09/2025")</f>
        <v>11/09/2025</v>
      </c>
      <c r="J835" t="str">
        <f>("02/09/2025")</f>
        <v>02/09/2025</v>
      </c>
      <c r="K835" t="str">
        <f>("09/09/2025")</f>
        <v>09/09/2025</v>
      </c>
      <c r="L835">
        <v>20</v>
      </c>
      <c r="M835">
        <v>20</v>
      </c>
      <c r="N835">
        <v>109</v>
      </c>
      <c r="O835" t="str">
        <f>"PAGAMENTO DE ENTREGADORES"</f>
        <v>PAGAMENTO DE ENTREGADORES</v>
      </c>
      <c r="P835">
        <v>20</v>
      </c>
      <c r="S835" t="str">
        <f>"CAIXA MOVIMENTAÇÃO OPERACIONAL (132)"</f>
        <v>CAIXA MOVIMENTAÇÃO OPERACIONAL (132)</v>
      </c>
      <c r="T835">
        <v>17742</v>
      </c>
      <c r="U835">
        <v>21646</v>
      </c>
      <c r="V835" t="s">
        <v>48</v>
      </c>
    </row>
    <row r="836" spans="1:22">
      <c r="A836" t="str">
        <f t="shared" si="179"/>
        <v>09/09/2025</v>
      </c>
      <c r="B836" t="str">
        <f>"SAÍDA"</f>
        <v>SAÍDA</v>
      </c>
      <c r="C836" t="str">
        <f>"PIX"</f>
        <v>PIX</v>
      </c>
      <c r="D836" t="str">
        <f>"21206"</f>
        <v>21206</v>
      </c>
      <c r="E836" t="str">
        <f>"1"</f>
        <v>1</v>
      </c>
      <c r="F836" t="str">
        <f t="shared" si="178"/>
        <v>COM</v>
      </c>
      <c r="G836" t="str">
        <f>"JEFERSON ANDRADE FERREIRA (165)"</f>
        <v>JEFERSON ANDRADE FERREIRA (165)</v>
      </c>
      <c r="H836" t="s">
        <v>314</v>
      </c>
      <c r="I836" t="str">
        <f>("11/09/2025")</f>
        <v>11/09/2025</v>
      </c>
      <c r="J836" t="str">
        <f>("02/09/2025")</f>
        <v>02/09/2025</v>
      </c>
      <c r="K836">
        <v>45909</v>
      </c>
      <c r="N836">
        <v>109</v>
      </c>
      <c r="O836" t="s">
        <v>24</v>
      </c>
      <c r="Q836">
        <v>20</v>
      </c>
      <c r="R836" t="str">
        <f>"FARMÁCIA INDIANA LJ 101 (10043)"</f>
        <v>FARMÁCIA INDIANA LJ 101 (10043)</v>
      </c>
      <c r="S836" t="s">
        <v>48</v>
      </c>
      <c r="T836">
        <v>17742</v>
      </c>
      <c r="U836">
        <v>21646</v>
      </c>
      <c r="V836" t="s">
        <v>48</v>
      </c>
    </row>
    <row r="837" spans="1:22">
      <c r="A837" t="str">
        <f t="shared" si="179"/>
        <v>09/09/2025</v>
      </c>
      <c r="B837" t="str">
        <f>"ENTRADA"</f>
        <v>ENTRADA</v>
      </c>
      <c r="C837" t="str">
        <f>"DINHEIRO"</f>
        <v>DINHEIRO</v>
      </c>
      <c r="D837" t="str">
        <f>"09"</f>
        <v>09</v>
      </c>
      <c r="E837" t="str">
        <f>"33"</f>
        <v>33</v>
      </c>
      <c r="F837" t="str">
        <f t="shared" si="178"/>
        <v>COM</v>
      </c>
      <c r="G837" t="str">
        <f>"JEFERSON ANDRADE FERREIRA (165)"</f>
        <v>JEFERSON ANDRADE FERREIRA (165)</v>
      </c>
      <c r="H837" t="str">
        <f>"DESCONTO COTA COOPERADO"</f>
        <v>DESCONTO COTA COOPERADO</v>
      </c>
      <c r="I837" t="str">
        <f>("16/09/2025")</f>
        <v>16/09/2025</v>
      </c>
      <c r="J837" t="str">
        <f>("16/01/2025")</f>
        <v>16/01/2025</v>
      </c>
      <c r="K837" t="str">
        <f>("09/09/2025")</f>
        <v>09/09/2025</v>
      </c>
      <c r="L837">
        <v>20</v>
      </c>
      <c r="M837">
        <v>20</v>
      </c>
      <c r="N837">
        <v>106</v>
      </c>
      <c r="O837" t="str">
        <f>"ENTRADA DE CAPITAL"</f>
        <v>ENTRADA DE CAPITAL</v>
      </c>
      <c r="P837">
        <v>20</v>
      </c>
      <c r="S837" t="str">
        <f>"ENTRADA DE CAPITAL (106)"</f>
        <v>ENTRADA DE CAPITAL (106)</v>
      </c>
      <c r="T837">
        <v>17743</v>
      </c>
      <c r="U837">
        <v>6623</v>
      </c>
      <c r="V837" t="s">
        <v>48</v>
      </c>
    </row>
    <row r="838" spans="1:22">
      <c r="A838" t="str">
        <f t="shared" si="179"/>
        <v>09/09/2025</v>
      </c>
      <c r="B838" t="str">
        <f>"ENTRADA"</f>
        <v>ENTRADA</v>
      </c>
      <c r="C838" t="str">
        <f>"DINHEIRO"</f>
        <v>DINHEIRO</v>
      </c>
      <c r="D838" t="str">
        <f>"09"</f>
        <v>09</v>
      </c>
      <c r="E838" t="str">
        <f>"33"</f>
        <v>33</v>
      </c>
      <c r="F838" t="str">
        <f t="shared" si="178"/>
        <v>COM</v>
      </c>
      <c r="G838" t="str">
        <f>"JEFERSON ANDRADE FERREIRA (165)"</f>
        <v>JEFERSON ANDRADE FERREIRA (165)</v>
      </c>
      <c r="H838" t="s">
        <v>309</v>
      </c>
      <c r="I838" t="str">
        <f>("16/09/2025")</f>
        <v>16/09/2025</v>
      </c>
      <c r="J838" t="str">
        <f>("16/01/2025")</f>
        <v>16/01/2025</v>
      </c>
      <c r="K838">
        <v>45909</v>
      </c>
      <c r="N838">
        <v>106</v>
      </c>
      <c r="O838" t="s">
        <v>51</v>
      </c>
      <c r="Q838">
        <v>20</v>
      </c>
      <c r="R838" t="str">
        <f>"JEFERSON ANDRADE FERREIRA (165)"</f>
        <v>JEFERSON ANDRADE FERREIRA (165)</v>
      </c>
      <c r="S838" t="s">
        <v>52</v>
      </c>
      <c r="T838">
        <v>17743</v>
      </c>
      <c r="U838">
        <v>6623</v>
      </c>
      <c r="V838" t="s">
        <v>48</v>
      </c>
    </row>
    <row r="839" spans="1:22">
      <c r="A839" t="str">
        <f t="shared" si="179"/>
        <v>09/09/2025</v>
      </c>
      <c r="B839" t="str">
        <f>"ENTRADA"</f>
        <v>ENTRADA</v>
      </c>
      <c r="C839" t="str">
        <f>"DINHEIRO"</f>
        <v>DINHEIRO</v>
      </c>
      <c r="D839" t="str">
        <f>"781"</f>
        <v>781</v>
      </c>
      <c r="E839" t="str">
        <f>"5"</f>
        <v>5</v>
      </c>
      <c r="F839" t="str">
        <f t="shared" si="178"/>
        <v>COM</v>
      </c>
      <c r="G839" t="str">
        <f>"MAYKON LOPES DE MENEZES (781)"</f>
        <v>MAYKON LOPES DE MENEZES (781)</v>
      </c>
      <c r="H839" t="str">
        <f>"COTA COOPERATIVA"</f>
        <v>COTA COOPERATIVA</v>
      </c>
      <c r="I839" t="str">
        <f>("08/09/2025")</f>
        <v>08/09/2025</v>
      </c>
      <c r="J839" t="str">
        <f>("28/04/2025")</f>
        <v>28/04/2025</v>
      </c>
      <c r="K839" t="str">
        <f>("09/09/2025")</f>
        <v>09/09/2025</v>
      </c>
      <c r="L839">
        <v>20</v>
      </c>
      <c r="M839">
        <v>20</v>
      </c>
      <c r="N839">
        <v>106</v>
      </c>
      <c r="O839" t="str">
        <f>"ENTRADA DE CAPITAL"</f>
        <v>ENTRADA DE CAPITAL</v>
      </c>
      <c r="P839">
        <v>20</v>
      </c>
      <c r="S839" t="str">
        <f>"ENTRADA DE CAPITAL (106)"</f>
        <v>ENTRADA DE CAPITAL (106)</v>
      </c>
      <c r="T839">
        <v>17744</v>
      </c>
      <c r="U839">
        <v>14302</v>
      </c>
      <c r="V839" t="s">
        <v>48</v>
      </c>
    </row>
    <row r="840" spans="1:22">
      <c r="A840" t="str">
        <f t="shared" si="179"/>
        <v>09/09/2025</v>
      </c>
      <c r="B840" t="str">
        <f>"ENTRADA"</f>
        <v>ENTRADA</v>
      </c>
      <c r="C840" t="str">
        <f>"DINHEIRO"</f>
        <v>DINHEIRO</v>
      </c>
      <c r="D840" t="str">
        <f>"781"</f>
        <v>781</v>
      </c>
      <c r="E840" t="str">
        <f>"5"</f>
        <v>5</v>
      </c>
      <c r="F840" t="str">
        <f t="shared" si="178"/>
        <v>COM</v>
      </c>
      <c r="G840" t="str">
        <f>"MAYKON LOPES DE MENEZES (781)"</f>
        <v>MAYKON LOPES DE MENEZES (781)</v>
      </c>
      <c r="H840" t="s">
        <v>50</v>
      </c>
      <c r="I840" t="str">
        <f>("08/09/2025")</f>
        <v>08/09/2025</v>
      </c>
      <c r="J840" t="str">
        <f>("28/04/2025")</f>
        <v>28/04/2025</v>
      </c>
      <c r="K840">
        <v>45909</v>
      </c>
      <c r="N840">
        <v>106</v>
      </c>
      <c r="O840" t="s">
        <v>51</v>
      </c>
      <c r="Q840">
        <v>20</v>
      </c>
      <c r="R840" t="str">
        <f>"MAYKON LOPES DE MENEZES (781)"</f>
        <v>MAYKON LOPES DE MENEZES (781)</v>
      </c>
      <c r="S840" t="s">
        <v>52</v>
      </c>
      <c r="T840">
        <v>17744</v>
      </c>
      <c r="U840">
        <v>14302</v>
      </c>
      <c r="V840" t="s">
        <v>48</v>
      </c>
    </row>
    <row r="841" spans="1:22">
      <c r="A841" t="str">
        <f t="shared" si="179"/>
        <v>09/09/2025</v>
      </c>
      <c r="B841" t="str">
        <f>"SAÍDA"</f>
        <v>SAÍDA</v>
      </c>
      <c r="C841" t="str">
        <f>"PIX"</f>
        <v>PIX</v>
      </c>
      <c r="D841" t="str">
        <f>"21433"</f>
        <v>21433</v>
      </c>
      <c r="E841" t="str">
        <f>"1"</f>
        <v>1</v>
      </c>
      <c r="F841" t="str">
        <f t="shared" si="178"/>
        <v>COM</v>
      </c>
      <c r="G841" t="str">
        <f>"MAYKON LOPES DE MENEZES (781)"</f>
        <v>MAYKON LOPES DE MENEZES (781)</v>
      </c>
      <c r="H841" t="str">
        <f>"Serv.Prest. 01/09/2025 a 07/09/2025 - PIX: CPF - CHAVE: 012.600.851-55"</f>
        <v>Serv.Prest. 01/09/2025 a 07/09/2025 - PIX: CPF - CHAVE: 012.600.851-55</v>
      </c>
      <c r="I841" t="str">
        <f>("11/09/2025")</f>
        <v>11/09/2025</v>
      </c>
      <c r="J841" t="str">
        <f>("08/09/2025")</f>
        <v>08/09/2025</v>
      </c>
      <c r="K841" t="str">
        <f>("09/09/2025")</f>
        <v>09/09/2025</v>
      </c>
      <c r="L841">
        <v>20</v>
      </c>
      <c r="M841">
        <v>20</v>
      </c>
      <c r="N841">
        <v>109</v>
      </c>
      <c r="O841" t="str">
        <f>"PAGAMENTO DE ENTREGADORES"</f>
        <v>PAGAMENTO DE ENTREGADORES</v>
      </c>
      <c r="P841">
        <v>20</v>
      </c>
      <c r="S841" t="str">
        <f>"CAIXA MOVIMENTAÇÃO OPERACIONAL (132)"</f>
        <v>CAIXA MOVIMENTAÇÃO OPERACIONAL (132)</v>
      </c>
      <c r="T841">
        <v>17745</v>
      </c>
      <c r="U841">
        <v>21647</v>
      </c>
      <c r="V841" t="s">
        <v>48</v>
      </c>
    </row>
    <row r="842" spans="1:22">
      <c r="A842" t="str">
        <f t="shared" si="179"/>
        <v>09/09/2025</v>
      </c>
      <c r="B842" t="str">
        <f>"SAÍDA"</f>
        <v>SAÍDA</v>
      </c>
      <c r="C842" t="str">
        <f>"PIX"</f>
        <v>PIX</v>
      </c>
      <c r="D842" t="str">
        <f>"21433"</f>
        <v>21433</v>
      </c>
      <c r="E842" t="str">
        <f>"1"</f>
        <v>1</v>
      </c>
      <c r="F842" t="str">
        <f t="shared" si="178"/>
        <v>COM</v>
      </c>
      <c r="G842" t="str">
        <f>"MAYKON LOPES DE MENEZES (781)"</f>
        <v>MAYKON LOPES DE MENEZES (781)</v>
      </c>
      <c r="H842" t="s">
        <v>315</v>
      </c>
      <c r="I842" t="str">
        <f>("11/09/2025")</f>
        <v>11/09/2025</v>
      </c>
      <c r="J842" t="str">
        <f>("08/09/2025")</f>
        <v>08/09/2025</v>
      </c>
      <c r="K842">
        <v>45909</v>
      </c>
      <c r="N842">
        <v>109</v>
      </c>
      <c r="O842" t="s">
        <v>24</v>
      </c>
      <c r="Q842">
        <v>20</v>
      </c>
      <c r="R842" t="str">
        <f>"BRASIL FARMA (10173)"</f>
        <v>BRASIL FARMA (10173)</v>
      </c>
      <c r="S842" t="s">
        <v>48</v>
      </c>
      <c r="T842">
        <v>17745</v>
      </c>
      <c r="U842">
        <v>21647</v>
      </c>
      <c r="V842" t="s">
        <v>48</v>
      </c>
    </row>
    <row r="843" spans="1:22">
      <c r="A843" t="str">
        <f t="shared" si="179"/>
        <v>09/09/2025</v>
      </c>
      <c r="B843" t="str">
        <f>"ENTRADA"</f>
        <v>ENTRADA</v>
      </c>
      <c r="C843" t="str">
        <f>"DINHEIRO"</f>
        <v>DINHEIRO</v>
      </c>
      <c r="D843" t="str">
        <f>"824"</f>
        <v>824</v>
      </c>
      <c r="E843" t="str">
        <f>"3"</f>
        <v>3</v>
      </c>
      <c r="F843" t="str">
        <f t="shared" si="178"/>
        <v>COM</v>
      </c>
      <c r="G843" t="str">
        <f>"GABRIEL DA SILVA REIS (824)"</f>
        <v>GABRIEL DA SILVA REIS (824)</v>
      </c>
      <c r="H843" t="str">
        <f>"COTA COOPERATIVA"</f>
        <v>COTA COOPERATIVA</v>
      </c>
      <c r="I843" t="str">
        <f>("10/09/2025")</f>
        <v>10/09/2025</v>
      </c>
      <c r="J843" t="str">
        <f>("01/06/2025")</f>
        <v>01/06/2025</v>
      </c>
      <c r="K843" t="str">
        <f>("09/09/2025")</f>
        <v>09/09/2025</v>
      </c>
      <c r="L843">
        <v>20</v>
      </c>
      <c r="M843">
        <v>20</v>
      </c>
      <c r="N843">
        <v>106</v>
      </c>
      <c r="O843" t="str">
        <f>"ENTRADA DE CAPITAL"</f>
        <v>ENTRADA DE CAPITAL</v>
      </c>
      <c r="P843">
        <v>20</v>
      </c>
      <c r="S843" t="str">
        <f>"ENTRADA DE CAPITAL (106)"</f>
        <v>ENTRADA DE CAPITAL (106)</v>
      </c>
      <c r="T843">
        <v>17763</v>
      </c>
      <c r="U843">
        <v>18197</v>
      </c>
      <c r="V843" t="s">
        <v>48</v>
      </c>
    </row>
    <row r="844" spans="1:22">
      <c r="A844" t="str">
        <f t="shared" si="179"/>
        <v>09/09/2025</v>
      </c>
      <c r="B844" t="str">
        <f>"ENTRADA"</f>
        <v>ENTRADA</v>
      </c>
      <c r="C844" t="str">
        <f>"DINHEIRO"</f>
        <v>DINHEIRO</v>
      </c>
      <c r="D844" t="str">
        <f>"824"</f>
        <v>824</v>
      </c>
      <c r="E844" t="str">
        <f>"3"</f>
        <v>3</v>
      </c>
      <c r="F844" t="str">
        <f t="shared" si="178"/>
        <v>COM</v>
      </c>
      <c r="G844" t="str">
        <f>"GABRIEL DA SILVA REIS (824)"</f>
        <v>GABRIEL DA SILVA REIS (824)</v>
      </c>
      <c r="H844" t="s">
        <v>50</v>
      </c>
      <c r="I844" t="str">
        <f>("10/09/2025")</f>
        <v>10/09/2025</v>
      </c>
      <c r="J844" t="str">
        <f>("01/06/2025")</f>
        <v>01/06/2025</v>
      </c>
      <c r="K844">
        <v>45909</v>
      </c>
      <c r="N844">
        <v>106</v>
      </c>
      <c r="O844" t="s">
        <v>51</v>
      </c>
      <c r="Q844">
        <v>20</v>
      </c>
      <c r="R844" t="str">
        <f>"GABRIEL DA SILVA REIS (824)"</f>
        <v>GABRIEL DA SILVA REIS (824)</v>
      </c>
      <c r="S844" t="s">
        <v>52</v>
      </c>
      <c r="T844">
        <v>17763</v>
      </c>
      <c r="U844">
        <v>18197</v>
      </c>
      <c r="V844" t="s">
        <v>48</v>
      </c>
    </row>
    <row r="845" spans="1:22">
      <c r="A845" t="str">
        <f t="shared" si="179"/>
        <v>09/09/2025</v>
      </c>
      <c r="B845" t="str">
        <f>"SAÍDA"</f>
        <v>SAÍDA</v>
      </c>
      <c r="C845" t="str">
        <f>"PIX"</f>
        <v>PIX</v>
      </c>
      <c r="D845" t="str">
        <f>"21195"</f>
        <v>21195</v>
      </c>
      <c r="E845" t="str">
        <f>"1"</f>
        <v>1</v>
      </c>
      <c r="F845" t="str">
        <f t="shared" si="178"/>
        <v>COM</v>
      </c>
      <c r="G845" t="str">
        <f>"GABRIEL DA SILVA REIS (824)"</f>
        <v>GABRIEL DA SILVA REIS (824)</v>
      </c>
      <c r="H845" t="str">
        <f>"Serv.Prest. 25/08/2025 a 31/08/2025 - PIX: CPF - CHAVE: 160.160.216-28"</f>
        <v>Serv.Prest. 25/08/2025 a 31/08/2025 - PIX: CPF - CHAVE: 160.160.216-28</v>
      </c>
      <c r="I845" t="str">
        <f>("11/09/2025")</f>
        <v>11/09/2025</v>
      </c>
      <c r="J845" t="str">
        <f>("02/09/2025")</f>
        <v>02/09/2025</v>
      </c>
      <c r="K845" t="str">
        <f>("09/09/2025")</f>
        <v>09/09/2025</v>
      </c>
      <c r="L845">
        <v>70.7</v>
      </c>
      <c r="M845">
        <v>20</v>
      </c>
      <c r="N845">
        <v>109</v>
      </c>
      <c r="O845" t="str">
        <f>"PAGAMENTO DE ENTREGADORES"</f>
        <v>PAGAMENTO DE ENTREGADORES</v>
      </c>
      <c r="P845">
        <v>20</v>
      </c>
      <c r="S845" t="str">
        <f>"CAIXA MOVIMENTAÇÃO OPERACIONAL (132)"</f>
        <v>CAIXA MOVIMENTAÇÃO OPERACIONAL (132)</v>
      </c>
      <c r="T845">
        <v>17764</v>
      </c>
      <c r="U845">
        <v>21657</v>
      </c>
      <c r="V845" t="s">
        <v>48</v>
      </c>
    </row>
    <row r="846" spans="1:22">
      <c r="A846" t="str">
        <f t="shared" si="179"/>
        <v>09/09/2025</v>
      </c>
      <c r="B846" t="str">
        <f>"SAÍDA"</f>
        <v>SAÍDA</v>
      </c>
      <c r="C846" t="str">
        <f>"PIX"</f>
        <v>PIX</v>
      </c>
      <c r="D846" t="str">
        <f>"21195"</f>
        <v>21195</v>
      </c>
      <c r="E846" t="str">
        <f>"1"</f>
        <v>1</v>
      </c>
      <c r="F846" t="str">
        <f t="shared" si="178"/>
        <v>COM</v>
      </c>
      <c r="G846" t="str">
        <f>"GABRIEL DA SILVA REIS (824)"</f>
        <v>GABRIEL DA SILVA REIS (824)</v>
      </c>
      <c r="H846" t="s">
        <v>316</v>
      </c>
      <c r="I846" t="str">
        <f>("11/09/2025")</f>
        <v>11/09/2025</v>
      </c>
      <c r="J846" t="str">
        <f>("02/09/2025")</f>
        <v>02/09/2025</v>
      </c>
      <c r="K846">
        <v>45909</v>
      </c>
      <c r="N846">
        <v>109</v>
      </c>
      <c r="O846" t="s">
        <v>24</v>
      </c>
      <c r="Q846">
        <v>20</v>
      </c>
      <c r="R846" t="str">
        <f>"FARMÁCIA INDIANA LJ 100 (10042)"</f>
        <v>FARMÁCIA INDIANA LJ 100 (10042)</v>
      </c>
      <c r="S846" t="s">
        <v>48</v>
      </c>
      <c r="T846">
        <v>17764</v>
      </c>
      <c r="U846">
        <v>21657</v>
      </c>
      <c r="V846" t="s">
        <v>48</v>
      </c>
    </row>
    <row r="847" spans="1:22">
      <c r="A847" t="str">
        <f t="shared" si="179"/>
        <v>09/09/2025</v>
      </c>
      <c r="B847" t="str">
        <f>"ENTRADA"</f>
        <v>ENTRADA</v>
      </c>
      <c r="C847" t="str">
        <f>"DINHEIRO"</f>
        <v>DINHEIRO</v>
      </c>
      <c r="D847" t="str">
        <f>"771"</f>
        <v>771</v>
      </c>
      <c r="E847" t="str">
        <f>"5"</f>
        <v>5</v>
      </c>
      <c r="F847" t="str">
        <f t="shared" si="178"/>
        <v>COM</v>
      </c>
      <c r="G847" t="str">
        <f>"GUSTAVO SILVA LIMA (771)"</f>
        <v>GUSTAVO SILVA LIMA (771)</v>
      </c>
      <c r="H847" t="str">
        <f>"COTA COOPERATIVA"</f>
        <v>COTA COOPERATIVA</v>
      </c>
      <c r="I847" t="str">
        <f>("09/09/2025")</f>
        <v>09/09/2025</v>
      </c>
      <c r="J847" t="str">
        <f>("23/04/2025")</f>
        <v>23/04/2025</v>
      </c>
      <c r="K847" t="str">
        <f>("09/09/2025")</f>
        <v>09/09/2025</v>
      </c>
      <c r="L847">
        <v>20</v>
      </c>
      <c r="M847">
        <v>20</v>
      </c>
      <c r="N847">
        <v>106</v>
      </c>
      <c r="O847" t="str">
        <f>"ENTRADA DE CAPITAL"</f>
        <v>ENTRADA DE CAPITAL</v>
      </c>
      <c r="P847">
        <v>20</v>
      </c>
      <c r="S847" t="str">
        <f>"ENTRADA DE CAPITAL (106)"</f>
        <v>ENTRADA DE CAPITAL (106)</v>
      </c>
      <c r="T847">
        <v>17765</v>
      </c>
      <c r="U847">
        <v>14539</v>
      </c>
      <c r="V847" t="s">
        <v>48</v>
      </c>
    </row>
    <row r="848" spans="1:22">
      <c r="A848" t="str">
        <f t="shared" si="179"/>
        <v>09/09/2025</v>
      </c>
      <c r="B848" t="str">
        <f>"ENTRADA"</f>
        <v>ENTRADA</v>
      </c>
      <c r="C848" t="str">
        <f>"DINHEIRO"</f>
        <v>DINHEIRO</v>
      </c>
      <c r="D848" t="str">
        <f>"771"</f>
        <v>771</v>
      </c>
      <c r="E848" t="str">
        <f>"5"</f>
        <v>5</v>
      </c>
      <c r="F848" t="str">
        <f t="shared" si="178"/>
        <v>COM</v>
      </c>
      <c r="G848" t="str">
        <f>"GUSTAVO SILVA LIMA (771)"</f>
        <v>GUSTAVO SILVA LIMA (771)</v>
      </c>
      <c r="H848" t="s">
        <v>50</v>
      </c>
      <c r="I848" t="str">
        <f>("09/09/2025")</f>
        <v>09/09/2025</v>
      </c>
      <c r="J848" t="str">
        <f>("23/04/2025")</f>
        <v>23/04/2025</v>
      </c>
      <c r="K848">
        <v>45909</v>
      </c>
      <c r="N848">
        <v>106</v>
      </c>
      <c r="O848" t="s">
        <v>51</v>
      </c>
      <c r="Q848">
        <v>20</v>
      </c>
      <c r="R848" t="str">
        <f>"GUSTAVO SILVA LIMA (771)"</f>
        <v>GUSTAVO SILVA LIMA (771)</v>
      </c>
      <c r="S848" t="s">
        <v>52</v>
      </c>
      <c r="T848">
        <v>17765</v>
      </c>
      <c r="U848">
        <v>14539</v>
      </c>
      <c r="V848" t="s">
        <v>48</v>
      </c>
    </row>
    <row r="849" spans="1:22">
      <c r="A849" t="str">
        <f t="shared" si="179"/>
        <v>09/09/2025</v>
      </c>
      <c r="B849" t="str">
        <f>"SAÍDA"</f>
        <v>SAÍDA</v>
      </c>
      <c r="C849" t="str">
        <f>"PIX"</f>
        <v>PIX</v>
      </c>
      <c r="D849" t="str">
        <f>"21143"</f>
        <v>21143</v>
      </c>
      <c r="E849" t="str">
        <f>"1"</f>
        <v>1</v>
      </c>
      <c r="F849" t="str">
        <f t="shared" si="178"/>
        <v>COM</v>
      </c>
      <c r="G849" t="str">
        <f>"GUSTAVO SILVA LIMA (771)"</f>
        <v>GUSTAVO SILVA LIMA (771)</v>
      </c>
      <c r="H849" t="str">
        <f>"Serv.Prest. 25/08/2025 a 31/08/2025 - PIX: CELULAR - CHAVE: (73) 98888-3793"</f>
        <v>Serv.Prest. 25/08/2025 a 31/08/2025 - PIX: CELULAR - CHAVE: (73) 98888-3793</v>
      </c>
      <c r="I849" t="str">
        <f>("11/09/2025")</f>
        <v>11/09/2025</v>
      </c>
      <c r="J849" t="str">
        <f>("02/09/2025")</f>
        <v>02/09/2025</v>
      </c>
      <c r="K849" t="str">
        <f>("09/09/2025")</f>
        <v>09/09/2025</v>
      </c>
      <c r="L849">
        <v>20</v>
      </c>
      <c r="M849">
        <v>20</v>
      </c>
      <c r="N849">
        <v>109</v>
      </c>
      <c r="O849" t="str">
        <f>"PAGAMENTO DE ENTREGADORES"</f>
        <v>PAGAMENTO DE ENTREGADORES</v>
      </c>
      <c r="P849">
        <v>20</v>
      </c>
      <c r="S849" t="str">
        <f>"CAIXA MOVIMENTAÇÃO OPERACIONAL (132)"</f>
        <v>CAIXA MOVIMENTAÇÃO OPERACIONAL (132)</v>
      </c>
      <c r="T849">
        <v>17766</v>
      </c>
      <c r="U849">
        <v>21661</v>
      </c>
      <c r="V849" t="s">
        <v>48</v>
      </c>
    </row>
    <row r="850" spans="1:22">
      <c r="A850" t="str">
        <f t="shared" si="179"/>
        <v>09/09/2025</v>
      </c>
      <c r="B850" t="str">
        <f>"SAÍDA"</f>
        <v>SAÍDA</v>
      </c>
      <c r="C850" t="str">
        <f>"PIX"</f>
        <v>PIX</v>
      </c>
      <c r="D850" t="str">
        <f>"21143"</f>
        <v>21143</v>
      </c>
      <c r="E850" t="str">
        <f>"1"</f>
        <v>1</v>
      </c>
      <c r="F850" t="str">
        <f t="shared" si="178"/>
        <v>COM</v>
      </c>
      <c r="G850" t="str">
        <f>"GUSTAVO SILVA LIMA (771)"</f>
        <v>GUSTAVO SILVA LIMA (771)</v>
      </c>
      <c r="H850" t="s">
        <v>317</v>
      </c>
      <c r="I850" t="str">
        <f>("11/09/2025")</f>
        <v>11/09/2025</v>
      </c>
      <c r="J850" t="str">
        <f>("02/09/2025")</f>
        <v>02/09/2025</v>
      </c>
      <c r="K850">
        <v>45909</v>
      </c>
      <c r="N850">
        <v>109</v>
      </c>
      <c r="O850" t="s">
        <v>24</v>
      </c>
      <c r="Q850">
        <v>20</v>
      </c>
      <c r="R850" t="str">
        <f>"FARMÁCIA INDIANA LJ 65 (10030)"</f>
        <v>FARMÁCIA INDIANA LJ 65 (10030)</v>
      </c>
      <c r="S850" t="s">
        <v>48</v>
      </c>
      <c r="T850">
        <v>17766</v>
      </c>
      <c r="U850">
        <v>21661</v>
      </c>
      <c r="V850" t="s">
        <v>48</v>
      </c>
    </row>
    <row r="851" spans="1:22">
      <c r="A851" t="str">
        <f t="shared" si="179"/>
        <v>09/09/2025</v>
      </c>
      <c r="B851" t="str">
        <f>"ENTRADA"</f>
        <v>ENTRADA</v>
      </c>
      <c r="C851" t="str">
        <f>"DINHEIRO"</f>
        <v>DINHEIRO</v>
      </c>
      <c r="D851" t="str">
        <f>"318"</f>
        <v>318</v>
      </c>
      <c r="E851" t="str">
        <f>"9"</f>
        <v>9</v>
      </c>
      <c r="F851" t="str">
        <f t="shared" si="178"/>
        <v>COM</v>
      </c>
      <c r="G851" t="str">
        <f>"TALES DE JESUS OLIVEIRA (318)"</f>
        <v>TALES DE JESUS OLIVEIRA (318)</v>
      </c>
      <c r="H851" t="str">
        <f>"COTAS COOPERATIVA"</f>
        <v>COTAS COOPERATIVA</v>
      </c>
      <c r="I851" t="str">
        <f>("13/09/2025")</f>
        <v>13/09/2025</v>
      </c>
      <c r="J851" t="str">
        <f>("13/02/2025")</f>
        <v>13/02/2025</v>
      </c>
      <c r="K851" t="str">
        <f>("09/09/2025")</f>
        <v>09/09/2025</v>
      </c>
      <c r="L851">
        <v>20</v>
      </c>
      <c r="M851">
        <v>20</v>
      </c>
      <c r="N851">
        <v>106</v>
      </c>
      <c r="O851" t="str">
        <f>"ENTRADA DE CAPITAL"</f>
        <v>ENTRADA DE CAPITAL</v>
      </c>
      <c r="P851">
        <v>20</v>
      </c>
      <c r="S851" t="str">
        <f>"ENTRADA DE CAPITAL (106)"</f>
        <v>ENTRADA DE CAPITAL (106)</v>
      </c>
      <c r="T851">
        <v>17767</v>
      </c>
      <c r="U851">
        <v>9827</v>
      </c>
      <c r="V851" t="s">
        <v>48</v>
      </c>
    </row>
    <row r="852" spans="1:22">
      <c r="A852" t="str">
        <f t="shared" si="179"/>
        <v>09/09/2025</v>
      </c>
      <c r="B852" t="str">
        <f>"ENTRADA"</f>
        <v>ENTRADA</v>
      </c>
      <c r="C852" t="str">
        <f>"DINHEIRO"</f>
        <v>DINHEIRO</v>
      </c>
      <c r="D852" t="str">
        <f>"318"</f>
        <v>318</v>
      </c>
      <c r="E852" t="str">
        <f>"9"</f>
        <v>9</v>
      </c>
      <c r="F852" t="str">
        <f t="shared" si="178"/>
        <v>COM</v>
      </c>
      <c r="G852" t="str">
        <f>"TALES DE JESUS OLIVEIRA (318)"</f>
        <v>TALES DE JESUS OLIVEIRA (318)</v>
      </c>
      <c r="H852" t="s">
        <v>318</v>
      </c>
      <c r="I852" t="str">
        <f>("13/09/2025")</f>
        <v>13/09/2025</v>
      </c>
      <c r="J852" t="str">
        <f>("13/02/2025")</f>
        <v>13/02/2025</v>
      </c>
      <c r="K852">
        <v>45909</v>
      </c>
      <c r="N852">
        <v>106</v>
      </c>
      <c r="O852" t="s">
        <v>51</v>
      </c>
      <c r="Q852">
        <v>20</v>
      </c>
      <c r="R852" t="str">
        <f>"TALES DE JESUS OLIVEIRA (318)"</f>
        <v>TALES DE JESUS OLIVEIRA (318)</v>
      </c>
      <c r="S852" t="s">
        <v>52</v>
      </c>
      <c r="T852">
        <v>17767</v>
      </c>
      <c r="U852">
        <v>9827</v>
      </c>
      <c r="V852" t="s">
        <v>48</v>
      </c>
    </row>
    <row r="853" spans="1:22">
      <c r="A853" t="str">
        <f t="shared" si="179"/>
        <v>09/09/2025</v>
      </c>
      <c r="B853" t="str">
        <f>"SAÍDA"</f>
        <v>SAÍDA</v>
      </c>
      <c r="C853" t="str">
        <f>"PIX"</f>
        <v>PIX</v>
      </c>
      <c r="D853" t="str">
        <f>"21615"</f>
        <v>21615</v>
      </c>
      <c r="E853" t="str">
        <f>"1"</f>
        <v>1</v>
      </c>
      <c r="F853" t="str">
        <f t="shared" si="178"/>
        <v>COM</v>
      </c>
      <c r="G853" t="str">
        <f>"TALES DE JESUS OLIVEIRA (318)"</f>
        <v>TALES DE JESUS OLIVEIRA (318)</v>
      </c>
      <c r="H853" t="str">
        <f>"Serv.Prest. 01/09/2025 a 07/09/2025 - PIX: CPF - CHAVE: 378.223.888-51"</f>
        <v>Serv.Prest. 01/09/2025 a 07/09/2025 - PIX: CPF - CHAVE: 378.223.888-51</v>
      </c>
      <c r="I853" t="str">
        <f>("18/09/2025")</f>
        <v>18/09/2025</v>
      </c>
      <c r="J853" t="str">
        <f>("08/09/2025")</f>
        <v>08/09/2025</v>
      </c>
      <c r="K853" t="str">
        <f>("09/09/2025")</f>
        <v>09/09/2025</v>
      </c>
      <c r="L853">
        <v>20</v>
      </c>
      <c r="M853">
        <v>20</v>
      </c>
      <c r="N853">
        <v>109</v>
      </c>
      <c r="O853" t="str">
        <f>"PAGAMENTO DE ENTREGADORES"</f>
        <v>PAGAMENTO DE ENTREGADORES</v>
      </c>
      <c r="P853">
        <v>20</v>
      </c>
      <c r="S853" t="str">
        <f>"CAIXA MOVIMENTAÇÃO OPERACIONAL (132)"</f>
        <v>CAIXA MOVIMENTAÇÃO OPERACIONAL (132)</v>
      </c>
      <c r="T853">
        <v>17768</v>
      </c>
      <c r="U853">
        <v>21699</v>
      </c>
      <c r="V853" t="s">
        <v>48</v>
      </c>
    </row>
    <row r="854" spans="1:22">
      <c r="A854" t="str">
        <f t="shared" si="179"/>
        <v>09/09/2025</v>
      </c>
      <c r="B854" t="str">
        <f>"SAÍDA"</f>
        <v>SAÍDA</v>
      </c>
      <c r="C854" t="str">
        <f>"PIX"</f>
        <v>PIX</v>
      </c>
      <c r="D854" t="str">
        <f>"21615"</f>
        <v>21615</v>
      </c>
      <c r="E854" t="str">
        <f>"1"</f>
        <v>1</v>
      </c>
      <c r="F854" t="str">
        <f t="shared" si="178"/>
        <v>COM</v>
      </c>
      <c r="G854" t="str">
        <f>"TALES DE JESUS OLIVEIRA (318)"</f>
        <v>TALES DE JESUS OLIVEIRA (318)</v>
      </c>
      <c r="H854" t="s">
        <v>319</v>
      </c>
      <c r="I854" t="str">
        <f>("18/09/2025")</f>
        <v>18/09/2025</v>
      </c>
      <c r="J854" t="str">
        <f>("08/09/2025")</f>
        <v>08/09/2025</v>
      </c>
      <c r="K854">
        <v>45909</v>
      </c>
      <c r="N854">
        <v>109</v>
      </c>
      <c r="O854" t="s">
        <v>24</v>
      </c>
      <c r="Q854">
        <v>20</v>
      </c>
      <c r="R854" t="str">
        <f>"FARMÁCIA INDIANA LJ 145 (10068)"</f>
        <v>FARMÁCIA INDIANA LJ 145 (10068)</v>
      </c>
      <c r="S854" t="s">
        <v>48</v>
      </c>
      <c r="T854">
        <v>17768</v>
      </c>
      <c r="U854">
        <v>21699</v>
      </c>
      <c r="V854" t="s">
        <v>48</v>
      </c>
    </row>
    <row r="855" spans="1:22">
      <c r="A855" t="str">
        <f t="shared" si="179"/>
        <v>09/09/2025</v>
      </c>
      <c r="B855" t="str">
        <f>"ENTRADA"</f>
        <v>ENTRADA</v>
      </c>
      <c r="C855" t="str">
        <f>"DINHEIRO"</f>
        <v>DINHEIRO</v>
      </c>
      <c r="D855" t="str">
        <f>"03"</f>
        <v>03</v>
      </c>
      <c r="E855" t="str">
        <f>"33"</f>
        <v>33</v>
      </c>
      <c r="F855" t="str">
        <f t="shared" si="178"/>
        <v>COM</v>
      </c>
      <c r="G855" t="str">
        <f>"DANILO DE JESUS SANTOS (490)"</f>
        <v>DANILO DE JESUS SANTOS (490)</v>
      </c>
      <c r="H855" t="str">
        <f>"DESCONTO COTA COOPERADO"</f>
        <v>DESCONTO COTA COOPERADO</v>
      </c>
      <c r="I855" t="str">
        <f>("16/09/2025")</f>
        <v>16/09/2025</v>
      </c>
      <c r="J855" t="str">
        <f>("14/01/2025")</f>
        <v>14/01/2025</v>
      </c>
      <c r="K855" t="str">
        <f>("09/09/2025")</f>
        <v>09/09/2025</v>
      </c>
      <c r="L855">
        <v>20</v>
      </c>
      <c r="M855">
        <v>20</v>
      </c>
      <c r="N855">
        <v>106</v>
      </c>
      <c r="O855" t="str">
        <f>"ENTRADA DE CAPITAL"</f>
        <v>ENTRADA DE CAPITAL</v>
      </c>
      <c r="P855">
        <v>20</v>
      </c>
      <c r="S855" t="str">
        <f>"ENTRADA DE CAPITAL (106)"</f>
        <v>ENTRADA DE CAPITAL (106)</v>
      </c>
      <c r="T855">
        <v>17769</v>
      </c>
      <c r="U855">
        <v>5816</v>
      </c>
      <c r="V855" t="s">
        <v>48</v>
      </c>
    </row>
    <row r="856" spans="1:22">
      <c r="A856" t="str">
        <f t="shared" si="179"/>
        <v>09/09/2025</v>
      </c>
      <c r="B856" t="str">
        <f>"ENTRADA"</f>
        <v>ENTRADA</v>
      </c>
      <c r="C856" t="str">
        <f>"DINHEIRO"</f>
        <v>DINHEIRO</v>
      </c>
      <c r="D856" t="str">
        <f>"03"</f>
        <v>03</v>
      </c>
      <c r="E856" t="str">
        <f>"33"</f>
        <v>33</v>
      </c>
      <c r="F856" t="str">
        <f t="shared" si="178"/>
        <v>COM</v>
      </c>
      <c r="G856" t="str">
        <f>"DANILO DE JESUS SANTOS (490)"</f>
        <v>DANILO DE JESUS SANTOS (490)</v>
      </c>
      <c r="H856" t="s">
        <v>309</v>
      </c>
      <c r="I856" t="str">
        <f>("16/09/2025")</f>
        <v>16/09/2025</v>
      </c>
      <c r="J856" t="str">
        <f>("14/01/2025")</f>
        <v>14/01/2025</v>
      </c>
      <c r="K856">
        <v>45909</v>
      </c>
      <c r="N856">
        <v>106</v>
      </c>
      <c r="O856" t="s">
        <v>51</v>
      </c>
      <c r="Q856">
        <v>20</v>
      </c>
      <c r="R856" t="str">
        <f>"DANILO DE JESUS SANTOS (490)"</f>
        <v>DANILO DE JESUS SANTOS (490)</v>
      </c>
      <c r="S856" t="s">
        <v>52</v>
      </c>
      <c r="T856">
        <v>17769</v>
      </c>
      <c r="U856">
        <v>5816</v>
      </c>
      <c r="V856" t="s">
        <v>48</v>
      </c>
    </row>
    <row r="857" spans="1:22">
      <c r="A857" t="str">
        <f t="shared" si="179"/>
        <v>09/09/2025</v>
      </c>
      <c r="B857" t="str">
        <f>"SAÍDA"</f>
        <v>SAÍDA</v>
      </c>
      <c r="C857" t="str">
        <f>"PIX"</f>
        <v>PIX</v>
      </c>
      <c r="D857" t="str">
        <f>"21594"</f>
        <v>21594</v>
      </c>
      <c r="E857" t="str">
        <f>"1"</f>
        <v>1</v>
      </c>
      <c r="F857" t="str">
        <f t="shared" si="178"/>
        <v>COM</v>
      </c>
      <c r="G857" t="str">
        <f>"DANILO DE JESUS SANTOS (490)"</f>
        <v>DANILO DE JESUS SANTOS (490)</v>
      </c>
      <c r="H857" t="str">
        <f>"Serv.Prest. 01/09/2025 a 07/09/2025 - PIX: CELULAR - CHAVE: (73) 98191-0061"</f>
        <v>Serv.Prest. 01/09/2025 a 07/09/2025 - PIX: CELULAR - CHAVE: (73) 98191-0061</v>
      </c>
      <c r="I857" t="str">
        <f>("18/09/2025")</f>
        <v>18/09/2025</v>
      </c>
      <c r="J857" t="str">
        <f>("08/09/2025")</f>
        <v>08/09/2025</v>
      </c>
      <c r="K857" t="str">
        <f>("09/09/2025")</f>
        <v>09/09/2025</v>
      </c>
      <c r="L857">
        <v>20</v>
      </c>
      <c r="M857">
        <v>20</v>
      </c>
      <c r="N857">
        <v>109</v>
      </c>
      <c r="O857" t="str">
        <f>"PAGAMENTO DE ENTREGADORES"</f>
        <v>PAGAMENTO DE ENTREGADORES</v>
      </c>
      <c r="P857">
        <v>20</v>
      </c>
      <c r="S857" t="str">
        <f>"CAIXA MOVIMENTAÇÃO OPERACIONAL (132)"</f>
        <v>CAIXA MOVIMENTAÇÃO OPERACIONAL (132)</v>
      </c>
      <c r="T857">
        <v>17770</v>
      </c>
      <c r="U857">
        <v>21700</v>
      </c>
      <c r="V857" t="s">
        <v>48</v>
      </c>
    </row>
    <row r="858" spans="1:22">
      <c r="A858" t="str">
        <f t="shared" si="179"/>
        <v>09/09/2025</v>
      </c>
      <c r="B858" t="str">
        <f>"SAÍDA"</f>
        <v>SAÍDA</v>
      </c>
      <c r="C858" t="str">
        <f>"PIX"</f>
        <v>PIX</v>
      </c>
      <c r="D858" t="str">
        <f>"21594"</f>
        <v>21594</v>
      </c>
      <c r="E858" t="str">
        <f>"1"</f>
        <v>1</v>
      </c>
      <c r="F858" t="str">
        <f t="shared" si="178"/>
        <v>COM</v>
      </c>
      <c r="G858" t="str">
        <f>"DANILO DE JESUS SANTOS (490)"</f>
        <v>DANILO DE JESUS SANTOS (490)</v>
      </c>
      <c r="H858" t="s">
        <v>320</v>
      </c>
      <c r="I858" t="str">
        <f>("18/09/2025")</f>
        <v>18/09/2025</v>
      </c>
      <c r="J858" t="str">
        <f>("08/09/2025")</f>
        <v>08/09/2025</v>
      </c>
      <c r="K858">
        <v>45909</v>
      </c>
      <c r="N858">
        <v>109</v>
      </c>
      <c r="O858" t="s">
        <v>24</v>
      </c>
      <c r="Q858">
        <v>20</v>
      </c>
      <c r="R858" t="str">
        <f>"FARMÁCIA INDIANA LJ 145 (10068)"</f>
        <v>FARMÁCIA INDIANA LJ 145 (10068)</v>
      </c>
      <c r="S858" t="s">
        <v>48</v>
      </c>
      <c r="T858">
        <v>17770</v>
      </c>
      <c r="U858">
        <v>21700</v>
      </c>
      <c r="V858" t="s">
        <v>48</v>
      </c>
    </row>
    <row r="859" spans="1:22">
      <c r="A859" t="str">
        <f t="shared" si="179"/>
        <v>09/09/2025</v>
      </c>
      <c r="B859" t="str">
        <f>"ENTRADA"</f>
        <v>ENTRADA</v>
      </c>
      <c r="C859" t="str">
        <f>"DINHEIRO"</f>
        <v>DINHEIRO</v>
      </c>
      <c r="D859" t="str">
        <f>"623"</f>
        <v>623</v>
      </c>
      <c r="E859" t="str">
        <f>"8"</f>
        <v>8</v>
      </c>
      <c r="F859" t="str">
        <f t="shared" si="178"/>
        <v>COM</v>
      </c>
      <c r="G859" t="str">
        <f>"ROBSON OLIVEIRA DE JESUS (623)"</f>
        <v>ROBSON OLIVEIRA DE JESUS (623)</v>
      </c>
      <c r="H859" t="str">
        <f>"COTAS COOPERATIVA"</f>
        <v>COTAS COOPERATIVA</v>
      </c>
      <c r="I859" t="str">
        <f>("13/09/2025")</f>
        <v>13/09/2025</v>
      </c>
      <c r="J859" t="str">
        <f>("13/02/2025")</f>
        <v>13/02/2025</v>
      </c>
      <c r="K859" t="str">
        <f>("09/09/2025")</f>
        <v>09/09/2025</v>
      </c>
      <c r="L859">
        <v>20</v>
      </c>
      <c r="M859">
        <v>20</v>
      </c>
      <c r="N859">
        <v>106</v>
      </c>
      <c r="O859" t="str">
        <f>"ENTRADA DE CAPITAL"</f>
        <v>ENTRADA DE CAPITAL</v>
      </c>
      <c r="P859">
        <v>20</v>
      </c>
      <c r="S859" t="str">
        <f>"ENTRADA DE CAPITAL (106)"</f>
        <v>ENTRADA DE CAPITAL (106)</v>
      </c>
      <c r="T859">
        <v>17771</v>
      </c>
      <c r="U859">
        <v>9851</v>
      </c>
      <c r="V859" t="s">
        <v>48</v>
      </c>
    </row>
    <row r="860" spans="1:22">
      <c r="A860" t="str">
        <f t="shared" si="179"/>
        <v>09/09/2025</v>
      </c>
      <c r="B860" t="str">
        <f>"ENTRADA"</f>
        <v>ENTRADA</v>
      </c>
      <c r="C860" t="str">
        <f>"DINHEIRO"</f>
        <v>DINHEIRO</v>
      </c>
      <c r="D860" t="str">
        <f>"623"</f>
        <v>623</v>
      </c>
      <c r="E860" t="str">
        <f>"8"</f>
        <v>8</v>
      </c>
      <c r="F860" t="str">
        <f t="shared" ref="F860:F923" si="180">"COM"</f>
        <v>COM</v>
      </c>
      <c r="G860" t="str">
        <f>"ROBSON OLIVEIRA DE JESUS (623)"</f>
        <v>ROBSON OLIVEIRA DE JESUS (623)</v>
      </c>
      <c r="H860" t="s">
        <v>318</v>
      </c>
      <c r="I860" t="str">
        <f>("13/09/2025")</f>
        <v>13/09/2025</v>
      </c>
      <c r="J860" t="str">
        <f>("13/02/2025")</f>
        <v>13/02/2025</v>
      </c>
      <c r="K860">
        <v>45909</v>
      </c>
      <c r="N860">
        <v>106</v>
      </c>
      <c r="O860" t="s">
        <v>51</v>
      </c>
      <c r="Q860">
        <v>20</v>
      </c>
      <c r="R860" t="str">
        <f>"ROBSON OLIVEIRA DE JESUS (623)"</f>
        <v>ROBSON OLIVEIRA DE JESUS (623)</v>
      </c>
      <c r="S860" t="s">
        <v>52</v>
      </c>
      <c r="T860">
        <v>17771</v>
      </c>
      <c r="U860">
        <v>9851</v>
      </c>
      <c r="V860" t="s">
        <v>48</v>
      </c>
    </row>
    <row r="861" spans="1:22">
      <c r="A861" t="str">
        <f t="shared" si="179"/>
        <v>09/09/2025</v>
      </c>
      <c r="B861" t="str">
        <f>"SAÍDA"</f>
        <v>SAÍDA</v>
      </c>
      <c r="C861" t="str">
        <f>"PIX"</f>
        <v>PIX</v>
      </c>
      <c r="D861" t="str">
        <f>"21614"</f>
        <v>21614</v>
      </c>
      <c r="E861" t="str">
        <f>"1"</f>
        <v>1</v>
      </c>
      <c r="F861" t="str">
        <f t="shared" si="180"/>
        <v>COM</v>
      </c>
      <c r="G861" t="str">
        <f>"ROBSON OLIVEIRA DE JESUS (623)"</f>
        <v>ROBSON OLIVEIRA DE JESUS (623)</v>
      </c>
      <c r="H861" t="str">
        <f>"Serv.Prest. 01/09/2025 a 07/09/2025 - PIX: CPF - CHAVE: 009.265.655-24"</f>
        <v>Serv.Prest. 01/09/2025 a 07/09/2025 - PIX: CPF - CHAVE: 009.265.655-24</v>
      </c>
      <c r="I861" t="str">
        <f t="shared" ref="I861:I869" si="181">("18/09/2025")</f>
        <v>18/09/2025</v>
      </c>
      <c r="J861" t="str">
        <f>("08/09/2025")</f>
        <v>08/09/2025</v>
      </c>
      <c r="K861" t="str">
        <f>("09/09/2025")</f>
        <v>09/09/2025</v>
      </c>
      <c r="L861">
        <v>20</v>
      </c>
      <c r="M861">
        <v>20</v>
      </c>
      <c r="N861">
        <v>109</v>
      </c>
      <c r="O861" t="str">
        <f>"PAGAMENTO DE ENTREGADORES"</f>
        <v>PAGAMENTO DE ENTREGADORES</v>
      </c>
      <c r="P861">
        <v>20</v>
      </c>
      <c r="S861" t="str">
        <f>"CAIXA MOVIMENTAÇÃO OPERACIONAL (132)"</f>
        <v>CAIXA MOVIMENTAÇÃO OPERACIONAL (132)</v>
      </c>
      <c r="T861">
        <v>17772</v>
      </c>
      <c r="U861">
        <v>21701</v>
      </c>
      <c r="V861" t="s">
        <v>48</v>
      </c>
    </row>
    <row r="862" spans="1:22">
      <c r="A862" t="str">
        <f t="shared" si="179"/>
        <v>09/09/2025</v>
      </c>
      <c r="B862" t="str">
        <f>"SAÍDA"</f>
        <v>SAÍDA</v>
      </c>
      <c r="C862" t="str">
        <f>"PIX"</f>
        <v>PIX</v>
      </c>
      <c r="D862" t="str">
        <f>"21614"</f>
        <v>21614</v>
      </c>
      <c r="E862" t="str">
        <f>"1"</f>
        <v>1</v>
      </c>
      <c r="F862" t="str">
        <f t="shared" si="180"/>
        <v>COM</v>
      </c>
      <c r="G862" t="str">
        <f>"ROBSON OLIVEIRA DE JESUS (623)"</f>
        <v>ROBSON OLIVEIRA DE JESUS (623)</v>
      </c>
      <c r="H862" t="s">
        <v>321</v>
      </c>
      <c r="I862" t="str">
        <f t="shared" si="181"/>
        <v>18/09/2025</v>
      </c>
      <c r="J862" t="str">
        <f>("08/09/2025")</f>
        <v>08/09/2025</v>
      </c>
      <c r="K862">
        <v>45909</v>
      </c>
      <c r="N862">
        <v>109</v>
      </c>
      <c r="O862" t="s">
        <v>24</v>
      </c>
      <c r="Q862">
        <v>20</v>
      </c>
      <c r="R862" t="str">
        <f>"FARMÁCIA INDIANA LJ 145 (10068)"</f>
        <v>FARMÁCIA INDIANA LJ 145 (10068)</v>
      </c>
      <c r="S862" t="s">
        <v>48</v>
      </c>
      <c r="T862">
        <v>17772</v>
      </c>
      <c r="U862">
        <v>21701</v>
      </c>
      <c r="V862" t="s">
        <v>48</v>
      </c>
    </row>
    <row r="863" spans="1:22">
      <c r="A863" t="str">
        <f t="shared" si="179"/>
        <v>09/09/2025</v>
      </c>
      <c r="B863" t="str">
        <f>"SAÍDA"</f>
        <v>SAÍDA</v>
      </c>
      <c r="C863" t="str">
        <f>"PIX"</f>
        <v>PIX</v>
      </c>
      <c r="D863" t="str">
        <f>"21539"</f>
        <v>21539</v>
      </c>
      <c r="E863" t="str">
        <f>"1"</f>
        <v>1</v>
      </c>
      <c r="F863" t="str">
        <f t="shared" si="180"/>
        <v>COM</v>
      </c>
      <c r="G863" t="str">
        <f>"LAUAN ROCHA DE MELO (914)"</f>
        <v>LAUAN ROCHA DE MELO (914)</v>
      </c>
      <c r="H863" t="str">
        <f>"Serv.Prest. 01/09/2025 a 07/09/2025 - PIX: CELULAR - CHAVE: (32) 99913-0476"</f>
        <v>Serv.Prest. 01/09/2025 a 07/09/2025 - PIX: CELULAR - CHAVE: (32) 99913-0476</v>
      </c>
      <c r="I863" t="str">
        <f t="shared" si="181"/>
        <v>18/09/2025</v>
      </c>
      <c r="J863" t="str">
        <f>("08/09/2025")</f>
        <v>08/09/2025</v>
      </c>
      <c r="K863" t="str">
        <f>("09/09/2025")</f>
        <v>09/09/2025</v>
      </c>
      <c r="L863">
        <v>120</v>
      </c>
      <c r="M863">
        <v>120</v>
      </c>
      <c r="N863">
        <v>109</v>
      </c>
      <c r="O863" t="str">
        <f>"PAGAMENTO DE ENTREGADORES"</f>
        <v>PAGAMENTO DE ENTREGADORES</v>
      </c>
      <c r="P863">
        <v>120</v>
      </c>
      <c r="S863" t="str">
        <f>"BANCO CORA (102)"</f>
        <v>BANCO CORA (102)</v>
      </c>
      <c r="T863">
        <v>17773</v>
      </c>
      <c r="U863">
        <v>21539</v>
      </c>
      <c r="V863" t="s">
        <v>22</v>
      </c>
    </row>
    <row r="864" spans="1:22">
      <c r="A864" t="str">
        <f t="shared" si="179"/>
        <v>09/09/2025</v>
      </c>
      <c r="B864" t="str">
        <f>"SAÍDA"</f>
        <v>SAÍDA</v>
      </c>
      <c r="C864" t="str">
        <f>"PIX"</f>
        <v>PIX</v>
      </c>
      <c r="D864" t="str">
        <f>"21539"</f>
        <v>21539</v>
      </c>
      <c r="E864" t="str">
        <f>"1"</f>
        <v>1</v>
      </c>
      <c r="F864" t="str">
        <f t="shared" si="180"/>
        <v>COM</v>
      </c>
      <c r="G864" t="str">
        <f>"LAUAN ROCHA DE MELO (914)"</f>
        <v>LAUAN ROCHA DE MELO (914)</v>
      </c>
      <c r="H864" t="s">
        <v>322</v>
      </c>
      <c r="I864" t="str">
        <f t="shared" si="181"/>
        <v>18/09/2025</v>
      </c>
      <c r="J864" t="str">
        <f>("08/09/2025")</f>
        <v>08/09/2025</v>
      </c>
      <c r="K864">
        <v>45909</v>
      </c>
      <c r="N864">
        <v>109</v>
      </c>
      <c r="O864" t="s">
        <v>24</v>
      </c>
      <c r="Q864">
        <v>120</v>
      </c>
      <c r="R864" t="str">
        <f>"FARMÁCIA INDIANA LJ 109 (10047)"</f>
        <v>FARMÁCIA INDIANA LJ 109 (10047)</v>
      </c>
      <c r="S864" t="s">
        <v>22</v>
      </c>
      <c r="T864">
        <v>17773</v>
      </c>
      <c r="U864">
        <v>21539</v>
      </c>
      <c r="V864" t="s">
        <v>22</v>
      </c>
    </row>
    <row r="865" spans="1:22">
      <c r="A865" t="str">
        <f t="shared" si="179"/>
        <v>09/09/2025</v>
      </c>
      <c r="B865" t="str">
        <f>"ENTRADA"</f>
        <v>ENTRADA</v>
      </c>
      <c r="C865" t="str">
        <f>"DINHEIRO"</f>
        <v>DINHEIRO</v>
      </c>
      <c r="D865" t="str">
        <f>"1809"</f>
        <v>1809</v>
      </c>
      <c r="E865" t="str">
        <f>"25"</f>
        <v>25</v>
      </c>
      <c r="F865" t="str">
        <f t="shared" si="180"/>
        <v>COM</v>
      </c>
      <c r="G865" t="str">
        <f t="shared" ref="G865:G874" si="182">"ADRYAN NUNES MARTINS (857)"</f>
        <v>ADRYAN NUNES MARTINS (857)</v>
      </c>
      <c r="H865" t="str">
        <f>"REEMBOLSO ADIANTAMENTO"</f>
        <v>REEMBOLSO ADIANTAMENTO</v>
      </c>
      <c r="I865" t="str">
        <f t="shared" si="181"/>
        <v>18/09/2025</v>
      </c>
      <c r="J865" t="str">
        <f>("04/09/2025")</f>
        <v>04/09/2025</v>
      </c>
      <c r="K865" t="str">
        <f>("09/09/2025")</f>
        <v>09/09/2025</v>
      </c>
      <c r="L865">
        <v>350</v>
      </c>
      <c r="M865">
        <v>350</v>
      </c>
      <c r="N865">
        <v>129</v>
      </c>
      <c r="O865" t="str">
        <f>"ENTRADA DE REEMBOLSO ADIANTAMENTO"</f>
        <v>ENTRADA DE REEMBOLSO ADIANTAMENTO</v>
      </c>
      <c r="P865">
        <v>350</v>
      </c>
      <c r="S865" t="str">
        <f>"ENTRADA DE REEMBOLSO ADIANTAMENTO (129)"</f>
        <v>ENTRADA DE REEMBOLSO ADIANTAMENTO (129)</v>
      </c>
      <c r="T865">
        <v>17774</v>
      </c>
      <c r="U865">
        <v>21362</v>
      </c>
      <c r="V865" t="s">
        <v>48</v>
      </c>
    </row>
    <row r="866" spans="1:22">
      <c r="A866" t="str">
        <f t="shared" si="179"/>
        <v>09/09/2025</v>
      </c>
      <c r="B866" t="str">
        <f>"ENTRADA"</f>
        <v>ENTRADA</v>
      </c>
      <c r="C866" t="str">
        <f>"DINHEIRO"</f>
        <v>DINHEIRO</v>
      </c>
      <c r="D866" t="str">
        <f>"1809"</f>
        <v>1809</v>
      </c>
      <c r="E866" t="str">
        <f>"25"</f>
        <v>25</v>
      </c>
      <c r="F866" t="str">
        <f t="shared" si="180"/>
        <v>COM</v>
      </c>
      <c r="G866" t="str">
        <f t="shared" si="182"/>
        <v>ADRYAN NUNES MARTINS (857)</v>
      </c>
      <c r="H866" t="s">
        <v>57</v>
      </c>
      <c r="I866" t="str">
        <f t="shared" si="181"/>
        <v>18/09/2025</v>
      </c>
      <c r="J866" t="str">
        <f>("04/09/2025")</f>
        <v>04/09/2025</v>
      </c>
      <c r="K866">
        <v>45909</v>
      </c>
      <c r="N866">
        <v>129</v>
      </c>
      <c r="O866" t="s">
        <v>58</v>
      </c>
      <c r="Q866">
        <v>350</v>
      </c>
      <c r="R866" t="str">
        <f>"ADRYAN NUNES MARTINS (857)"</f>
        <v>ADRYAN NUNES MARTINS (857)</v>
      </c>
      <c r="S866" t="s">
        <v>59</v>
      </c>
      <c r="T866">
        <v>17774</v>
      </c>
      <c r="U866">
        <v>21362</v>
      </c>
      <c r="V866" t="s">
        <v>48</v>
      </c>
    </row>
    <row r="867" spans="1:22">
      <c r="A867" t="str">
        <f t="shared" si="179"/>
        <v>09/09/2025</v>
      </c>
      <c r="B867" t="str">
        <f>"SAÍDA"</f>
        <v>SAÍDA</v>
      </c>
      <c r="C867" t="str">
        <f>"PIX"</f>
        <v>PIX</v>
      </c>
      <c r="D867" t="str">
        <f>"21490"</f>
        <v>21490</v>
      </c>
      <c r="E867" t="str">
        <f>"1"</f>
        <v>1</v>
      </c>
      <c r="F867" t="str">
        <f t="shared" si="180"/>
        <v>COM</v>
      </c>
      <c r="G867" t="str">
        <f t="shared" si="182"/>
        <v>ADRYAN NUNES MARTINS (857)</v>
      </c>
      <c r="H867" t="str">
        <f>"Serv.Prest. 01/09/2025 a 07/09/2025 - PIX: CPF - CHAVE: 021.178.446-00"</f>
        <v>Serv.Prest. 01/09/2025 a 07/09/2025 - PIX: CPF - CHAVE: 021.178.446-00</v>
      </c>
      <c r="I867" t="str">
        <f t="shared" si="181"/>
        <v>18/09/2025</v>
      </c>
      <c r="J867" t="str">
        <f>("08/09/2025")</f>
        <v>08/09/2025</v>
      </c>
      <c r="K867" t="str">
        <f>("09/09/2025")</f>
        <v>09/09/2025</v>
      </c>
      <c r="L867">
        <v>350</v>
      </c>
      <c r="M867">
        <v>350</v>
      </c>
      <c r="N867">
        <v>109</v>
      </c>
      <c r="O867" t="str">
        <f>"PAGAMENTO DE ENTREGADORES"</f>
        <v>PAGAMENTO DE ENTREGADORES</v>
      </c>
      <c r="P867">
        <v>350</v>
      </c>
      <c r="S867" t="str">
        <f>"CAIXA MOVIMENTAÇÃO OPERACIONAL (132)"</f>
        <v>CAIXA MOVIMENTAÇÃO OPERACIONAL (132)</v>
      </c>
      <c r="T867">
        <v>17775</v>
      </c>
      <c r="U867">
        <v>21702</v>
      </c>
      <c r="V867" t="s">
        <v>48</v>
      </c>
    </row>
    <row r="868" spans="1:22">
      <c r="A868" t="str">
        <f t="shared" si="179"/>
        <v>09/09/2025</v>
      </c>
      <c r="B868" t="str">
        <f>"SAÍDA"</f>
        <v>SAÍDA</v>
      </c>
      <c r="C868" t="str">
        <f>"PIX"</f>
        <v>PIX</v>
      </c>
      <c r="D868" t="str">
        <f>"21490"</f>
        <v>21490</v>
      </c>
      <c r="E868" t="str">
        <f>"1"</f>
        <v>1</v>
      </c>
      <c r="F868" t="str">
        <f t="shared" si="180"/>
        <v>COM</v>
      </c>
      <c r="G868" t="str">
        <f t="shared" si="182"/>
        <v>ADRYAN NUNES MARTINS (857)</v>
      </c>
      <c r="H868" t="s">
        <v>323</v>
      </c>
      <c r="I868" t="str">
        <f t="shared" si="181"/>
        <v>18/09/2025</v>
      </c>
      <c r="J868" t="str">
        <f>("08/09/2025")</f>
        <v>08/09/2025</v>
      </c>
      <c r="K868">
        <v>45909</v>
      </c>
      <c r="N868">
        <v>109</v>
      </c>
      <c r="O868" t="s">
        <v>24</v>
      </c>
      <c r="Q868">
        <v>308.35000000000002</v>
      </c>
      <c r="R868" t="str">
        <f>"FARMÁCIA INDIANA LJ 116 (10051)"</f>
        <v>FARMÁCIA INDIANA LJ 116 (10051)</v>
      </c>
      <c r="S868" t="s">
        <v>48</v>
      </c>
      <c r="T868">
        <v>17775</v>
      </c>
      <c r="U868">
        <v>21702</v>
      </c>
      <c r="V868" t="s">
        <v>48</v>
      </c>
    </row>
    <row r="869" spans="1:22">
      <c r="A869" t="str">
        <f t="shared" si="179"/>
        <v>09/09/2025</v>
      </c>
      <c r="B869" t="str">
        <f>"SAÍDA"</f>
        <v>SAÍDA</v>
      </c>
      <c r="C869" t="str">
        <f>"PIX"</f>
        <v>PIX</v>
      </c>
      <c r="D869" t="str">
        <f>"21490"</f>
        <v>21490</v>
      </c>
      <c r="E869" t="str">
        <f>"1"</f>
        <v>1</v>
      </c>
      <c r="F869" t="str">
        <f t="shared" si="180"/>
        <v>COM</v>
      </c>
      <c r="G869" t="str">
        <f t="shared" si="182"/>
        <v>ADRYAN NUNES MARTINS (857)</v>
      </c>
      <c r="H869" t="s">
        <v>323</v>
      </c>
      <c r="I869" t="str">
        <f t="shared" si="181"/>
        <v>18/09/2025</v>
      </c>
      <c r="J869" t="str">
        <f>("08/09/2025")</f>
        <v>08/09/2025</v>
      </c>
      <c r="K869">
        <v>45909</v>
      </c>
      <c r="N869">
        <v>109</v>
      </c>
      <c r="O869" t="s">
        <v>24</v>
      </c>
      <c r="Q869">
        <v>41.65</v>
      </c>
      <c r="R869" t="str">
        <f>"FARMÁCIA INDIANA LJ 121 (10054)"</f>
        <v>FARMÁCIA INDIANA LJ 121 (10054)</v>
      </c>
      <c r="S869" t="s">
        <v>48</v>
      </c>
      <c r="T869">
        <v>17775</v>
      </c>
      <c r="U869">
        <v>21702</v>
      </c>
      <c r="V869" t="s">
        <v>48</v>
      </c>
    </row>
    <row r="870" spans="1:22">
      <c r="A870" t="str">
        <f t="shared" si="179"/>
        <v>09/09/2025</v>
      </c>
      <c r="B870" t="str">
        <f>"ENTRADA"</f>
        <v>ENTRADA</v>
      </c>
      <c r="C870" t="str">
        <f>"DINHEIRO"</f>
        <v>DINHEIRO</v>
      </c>
      <c r="D870" t="str">
        <f>"857"</f>
        <v>857</v>
      </c>
      <c r="E870" t="str">
        <f>"2"</f>
        <v>2</v>
      </c>
      <c r="F870" t="str">
        <f t="shared" si="180"/>
        <v>COM</v>
      </c>
      <c r="G870" t="str">
        <f t="shared" si="182"/>
        <v>ADRYAN NUNES MARTINS (857)</v>
      </c>
      <c r="H870" t="str">
        <f>"COTA COOPERATIVA"</f>
        <v>COTA COOPERATIVA</v>
      </c>
      <c r="I870" t="str">
        <f>("10/09/2025")</f>
        <v>10/09/2025</v>
      </c>
      <c r="J870" t="str">
        <f>("17/06/2025")</f>
        <v>17/06/2025</v>
      </c>
      <c r="K870" t="str">
        <f>("09/09/2025")</f>
        <v>09/09/2025</v>
      </c>
      <c r="L870">
        <v>20</v>
      </c>
      <c r="M870">
        <v>20</v>
      </c>
      <c r="N870">
        <v>106</v>
      </c>
      <c r="O870" t="str">
        <f>"ENTRADA DE CAPITAL"</f>
        <v>ENTRADA DE CAPITAL</v>
      </c>
      <c r="P870">
        <v>20</v>
      </c>
      <c r="S870" t="str">
        <f>"ENTRADA DE CAPITAL (106)"</f>
        <v>ENTRADA DE CAPITAL (106)</v>
      </c>
      <c r="T870">
        <v>17776</v>
      </c>
      <c r="U870">
        <v>19682</v>
      </c>
      <c r="V870" t="s">
        <v>48</v>
      </c>
    </row>
    <row r="871" spans="1:22">
      <c r="A871" t="str">
        <f t="shared" si="179"/>
        <v>09/09/2025</v>
      </c>
      <c r="B871" t="str">
        <f t="shared" ref="B871:B876" si="183">"SAÍDA"</f>
        <v>SAÍDA</v>
      </c>
      <c r="C871" t="str">
        <f t="shared" ref="C871:C876" si="184">"PIX"</f>
        <v>PIX</v>
      </c>
      <c r="D871" t="str">
        <f>"21170"</f>
        <v>21170</v>
      </c>
      <c r="E871" t="str">
        <f t="shared" ref="E871:E876" si="185">"1"</f>
        <v>1</v>
      </c>
      <c r="F871" t="str">
        <f t="shared" si="180"/>
        <v>COM</v>
      </c>
      <c r="G871" t="str">
        <f t="shared" si="182"/>
        <v>ADRYAN NUNES MARTINS (857)</v>
      </c>
      <c r="H871" t="str">
        <f>"Serv.Prest. 25/08/2025 a 31/08/2025 - PIX: CPF - CHAVE: 021.178.446-00"</f>
        <v>Serv.Prest. 25/08/2025 a 31/08/2025 - PIX: CPF - CHAVE: 021.178.446-00</v>
      </c>
      <c r="I871" t="str">
        <f t="shared" ref="I871:I876" si="186">("11/09/2025")</f>
        <v>11/09/2025</v>
      </c>
      <c r="J871" t="str">
        <f>("02/09/2025")</f>
        <v>02/09/2025</v>
      </c>
      <c r="K871" t="str">
        <f>("09/09/2025")</f>
        <v>09/09/2025</v>
      </c>
      <c r="L871">
        <v>20</v>
      </c>
      <c r="M871">
        <v>20</v>
      </c>
      <c r="N871">
        <v>109</v>
      </c>
      <c r="O871" t="str">
        <f>"PAGAMENTO DE ENTREGADORES"</f>
        <v>PAGAMENTO DE ENTREGADORES</v>
      </c>
      <c r="P871">
        <v>20</v>
      </c>
      <c r="S871" t="str">
        <f>"CAIXA MOVIMENTAÇÃO OPERACIONAL (132)"</f>
        <v>CAIXA MOVIMENTAÇÃO OPERACIONAL (132)</v>
      </c>
      <c r="T871">
        <v>17777</v>
      </c>
      <c r="U871">
        <v>21703</v>
      </c>
      <c r="V871" t="s">
        <v>48</v>
      </c>
    </row>
    <row r="872" spans="1:22">
      <c r="A872" t="str">
        <f t="shared" si="179"/>
        <v>09/09/2025</v>
      </c>
      <c r="B872" t="str">
        <f t="shared" si="183"/>
        <v>SAÍDA</v>
      </c>
      <c r="C872" t="str">
        <f t="shared" si="184"/>
        <v>PIX</v>
      </c>
      <c r="D872" t="str">
        <f>"21170"</f>
        <v>21170</v>
      </c>
      <c r="E872" t="str">
        <f t="shared" si="185"/>
        <v>1</v>
      </c>
      <c r="F872" t="str">
        <f t="shared" si="180"/>
        <v>COM</v>
      </c>
      <c r="G872" t="str">
        <f t="shared" si="182"/>
        <v>ADRYAN NUNES MARTINS (857)</v>
      </c>
      <c r="H872" t="s">
        <v>87</v>
      </c>
      <c r="I872" t="str">
        <f t="shared" si="186"/>
        <v>11/09/2025</v>
      </c>
      <c r="J872" t="str">
        <f>("02/09/2025")</f>
        <v>02/09/2025</v>
      </c>
      <c r="K872">
        <v>45909</v>
      </c>
      <c r="N872">
        <v>109</v>
      </c>
      <c r="O872" t="s">
        <v>24</v>
      </c>
      <c r="Q872">
        <v>3.05</v>
      </c>
      <c r="R872" t="str">
        <f>"FARMÁCIA INDIANA LJ 116 (10051)"</f>
        <v>FARMÁCIA INDIANA LJ 116 (10051)</v>
      </c>
      <c r="S872" t="s">
        <v>48</v>
      </c>
      <c r="T872">
        <v>17777</v>
      </c>
      <c r="U872">
        <v>21703</v>
      </c>
      <c r="V872" t="s">
        <v>48</v>
      </c>
    </row>
    <row r="873" spans="1:22">
      <c r="A873" t="str">
        <f t="shared" si="179"/>
        <v>09/09/2025</v>
      </c>
      <c r="B873" t="str">
        <f t="shared" si="183"/>
        <v>SAÍDA</v>
      </c>
      <c r="C873" t="str">
        <f t="shared" si="184"/>
        <v>PIX</v>
      </c>
      <c r="D873" t="str">
        <f>"21170"</f>
        <v>21170</v>
      </c>
      <c r="E873" t="str">
        <f t="shared" si="185"/>
        <v>1</v>
      </c>
      <c r="F873" t="str">
        <f t="shared" si="180"/>
        <v>COM</v>
      </c>
      <c r="G873" t="str">
        <f t="shared" si="182"/>
        <v>ADRYAN NUNES MARTINS (857)</v>
      </c>
      <c r="H873" t="s">
        <v>87</v>
      </c>
      <c r="I873" t="str">
        <f t="shared" si="186"/>
        <v>11/09/2025</v>
      </c>
      <c r="J873" t="str">
        <f>("02/09/2025")</f>
        <v>02/09/2025</v>
      </c>
      <c r="K873">
        <v>45909</v>
      </c>
      <c r="N873">
        <v>109</v>
      </c>
      <c r="O873" t="s">
        <v>24</v>
      </c>
      <c r="Q873">
        <v>1.36</v>
      </c>
      <c r="R873" t="str">
        <f>"FARMÁCIA INDIANA LJ 121 (10054)"</f>
        <v>FARMÁCIA INDIANA LJ 121 (10054)</v>
      </c>
      <c r="S873" t="s">
        <v>48</v>
      </c>
      <c r="T873">
        <v>17777</v>
      </c>
      <c r="U873">
        <v>21703</v>
      </c>
      <c r="V873" t="s">
        <v>48</v>
      </c>
    </row>
    <row r="874" spans="1:22">
      <c r="A874" t="str">
        <f t="shared" si="179"/>
        <v>09/09/2025</v>
      </c>
      <c r="B874" t="str">
        <f t="shared" si="183"/>
        <v>SAÍDA</v>
      </c>
      <c r="C874" t="str">
        <f t="shared" si="184"/>
        <v>PIX</v>
      </c>
      <c r="D874" t="str">
        <f>"21170"</f>
        <v>21170</v>
      </c>
      <c r="E874" t="str">
        <f t="shared" si="185"/>
        <v>1</v>
      </c>
      <c r="F874" t="str">
        <f t="shared" si="180"/>
        <v>COM</v>
      </c>
      <c r="G874" t="str">
        <f t="shared" si="182"/>
        <v>ADRYAN NUNES MARTINS (857)</v>
      </c>
      <c r="H874" t="s">
        <v>87</v>
      </c>
      <c r="I874" t="str">
        <f t="shared" si="186"/>
        <v>11/09/2025</v>
      </c>
      <c r="J874" t="str">
        <f>("02/09/2025")</f>
        <v>02/09/2025</v>
      </c>
      <c r="K874">
        <v>45909</v>
      </c>
      <c r="N874">
        <v>109</v>
      </c>
      <c r="O874" t="s">
        <v>24</v>
      </c>
      <c r="Q874">
        <v>15.59</v>
      </c>
      <c r="R874" t="str">
        <f>"FARMÁCIA INDIANA LJ 128 (10057)"</f>
        <v>FARMÁCIA INDIANA LJ 128 (10057)</v>
      </c>
      <c r="S874" t="s">
        <v>48</v>
      </c>
      <c r="T874">
        <v>17777</v>
      </c>
      <c r="U874">
        <v>21703</v>
      </c>
      <c r="V874" t="s">
        <v>48</v>
      </c>
    </row>
    <row r="875" spans="1:22">
      <c r="A875" t="str">
        <f t="shared" si="179"/>
        <v>09/09/2025</v>
      </c>
      <c r="B875" t="str">
        <f t="shared" si="183"/>
        <v>SAÍDA</v>
      </c>
      <c r="C875" t="str">
        <f t="shared" si="184"/>
        <v>PIX</v>
      </c>
      <c r="D875" t="str">
        <f>"21671"</f>
        <v>21671</v>
      </c>
      <c r="E875" t="str">
        <f t="shared" si="185"/>
        <v>1</v>
      </c>
      <c r="F875" t="str">
        <f t="shared" si="180"/>
        <v>COM</v>
      </c>
      <c r="G875" t="str">
        <f>"ALBERTO FARIAS DOS SANTOS JUNIOR (800)"</f>
        <v>ALBERTO FARIAS DOS SANTOS JUNIOR (800)</v>
      </c>
      <c r="H875" t="str">
        <f>"Serv.Prest. 01/09/2025 a 07/09/2025 - PIX: CELULAR - CHAVE: (71) 99696-7530"</f>
        <v>Serv.Prest. 01/09/2025 a 07/09/2025 - PIX: CELULAR - CHAVE: (71) 99696-7530</v>
      </c>
      <c r="I875" t="str">
        <f t="shared" si="186"/>
        <v>11/09/2025</v>
      </c>
      <c r="J875" t="str">
        <f>("09/09/2025")</f>
        <v>09/09/2025</v>
      </c>
      <c r="K875" t="str">
        <f>("09/09/2025")</f>
        <v>09/09/2025</v>
      </c>
      <c r="L875">
        <v>20</v>
      </c>
      <c r="M875">
        <v>20</v>
      </c>
      <c r="N875">
        <v>109</v>
      </c>
      <c r="O875" t="str">
        <f>"PAGAMENTO DE ENTREGADORES"</f>
        <v>PAGAMENTO DE ENTREGADORES</v>
      </c>
      <c r="P875">
        <v>20</v>
      </c>
      <c r="S875" t="str">
        <f>"CAIXA MOVIMENTAÇÃO OPERACIONAL (132)"</f>
        <v>CAIXA MOVIMENTAÇÃO OPERACIONAL (132)</v>
      </c>
      <c r="T875">
        <v>17778</v>
      </c>
      <c r="U875">
        <v>21704</v>
      </c>
      <c r="V875" t="s">
        <v>48</v>
      </c>
    </row>
    <row r="876" spans="1:22">
      <c r="A876" t="str">
        <f t="shared" si="179"/>
        <v>09/09/2025</v>
      </c>
      <c r="B876" t="str">
        <f t="shared" si="183"/>
        <v>SAÍDA</v>
      </c>
      <c r="C876" t="str">
        <f t="shared" si="184"/>
        <v>PIX</v>
      </c>
      <c r="D876" t="str">
        <f>"21671"</f>
        <v>21671</v>
      </c>
      <c r="E876" t="str">
        <f t="shared" si="185"/>
        <v>1</v>
      </c>
      <c r="F876" t="str">
        <f t="shared" si="180"/>
        <v>COM</v>
      </c>
      <c r="G876" t="str">
        <f>"ALBERTO FARIAS DOS SANTOS JUNIOR (800)"</f>
        <v>ALBERTO FARIAS DOS SANTOS JUNIOR (800)</v>
      </c>
      <c r="H876" t="s">
        <v>324</v>
      </c>
      <c r="I876" t="str">
        <f t="shared" si="186"/>
        <v>11/09/2025</v>
      </c>
      <c r="J876" t="str">
        <f>("09/09/2025")</f>
        <v>09/09/2025</v>
      </c>
      <c r="K876">
        <v>45909</v>
      </c>
      <c r="N876">
        <v>109</v>
      </c>
      <c r="O876" t="s">
        <v>24</v>
      </c>
      <c r="Q876">
        <v>20</v>
      </c>
      <c r="R876" t="str">
        <f>"DELTA LOJA 2 (10123)"</f>
        <v>DELTA LOJA 2 (10123)</v>
      </c>
      <c r="S876" t="s">
        <v>48</v>
      </c>
      <c r="T876">
        <v>17778</v>
      </c>
      <c r="U876">
        <v>21704</v>
      </c>
      <c r="V876" t="s">
        <v>48</v>
      </c>
    </row>
    <row r="877" spans="1:22">
      <c r="A877" t="str">
        <f t="shared" si="179"/>
        <v>09/09/2025</v>
      </c>
      <c r="B877" t="str">
        <f>"ENTRADA"</f>
        <v>ENTRADA</v>
      </c>
      <c r="C877" t="str">
        <f>"DINHEIRO"</f>
        <v>DINHEIRO</v>
      </c>
      <c r="D877" t="str">
        <f>"800"</f>
        <v>800</v>
      </c>
      <c r="E877" t="str">
        <f>"4"</f>
        <v>4</v>
      </c>
      <c r="F877" t="str">
        <f t="shared" si="180"/>
        <v>COM</v>
      </c>
      <c r="G877" t="str">
        <f>"ALBERTO FARIAS DOS SANTOS JUNIOR (800)"</f>
        <v>ALBERTO FARIAS DOS SANTOS JUNIOR (800)</v>
      </c>
      <c r="H877" t="str">
        <f>"COTA COOPERATIVA"</f>
        <v>COTA COOPERATIVA</v>
      </c>
      <c r="I877" t="str">
        <f>("12/09/2025")</f>
        <v>12/09/2025</v>
      </c>
      <c r="J877" t="str">
        <f>("10/05/2025")</f>
        <v>10/05/2025</v>
      </c>
      <c r="K877" t="str">
        <f>("09/09/2025")</f>
        <v>09/09/2025</v>
      </c>
      <c r="L877">
        <v>20</v>
      </c>
      <c r="M877">
        <v>20</v>
      </c>
      <c r="N877">
        <v>106</v>
      </c>
      <c r="O877" t="str">
        <f>"ENTRADA DE CAPITAL"</f>
        <v>ENTRADA DE CAPITAL</v>
      </c>
      <c r="P877">
        <v>20</v>
      </c>
      <c r="S877" t="str">
        <f>"ENTRADA DE CAPITAL (106)"</f>
        <v>ENTRADA DE CAPITAL (106)</v>
      </c>
      <c r="T877">
        <v>17779</v>
      </c>
      <c r="U877">
        <v>16403</v>
      </c>
      <c r="V877" t="s">
        <v>48</v>
      </c>
    </row>
    <row r="878" spans="1:22">
      <c r="A878" t="str">
        <f t="shared" si="179"/>
        <v>09/09/2025</v>
      </c>
      <c r="B878" t="str">
        <f>"ENTRADA"</f>
        <v>ENTRADA</v>
      </c>
      <c r="C878" t="str">
        <f>"DINHEIRO"</f>
        <v>DINHEIRO</v>
      </c>
      <c r="D878" t="str">
        <f>"800"</f>
        <v>800</v>
      </c>
      <c r="E878" t="str">
        <f>"4"</f>
        <v>4</v>
      </c>
      <c r="F878" t="str">
        <f t="shared" si="180"/>
        <v>COM</v>
      </c>
      <c r="G878" t="str">
        <f>"ALBERTO FARIAS DOS SANTOS JUNIOR (800)"</f>
        <v>ALBERTO FARIAS DOS SANTOS JUNIOR (800)</v>
      </c>
      <c r="H878" t="s">
        <v>50</v>
      </c>
      <c r="I878" t="str">
        <f>("12/09/2025")</f>
        <v>12/09/2025</v>
      </c>
      <c r="J878" t="str">
        <f>("10/05/2025")</f>
        <v>10/05/2025</v>
      </c>
      <c r="K878">
        <v>45909</v>
      </c>
      <c r="N878">
        <v>106</v>
      </c>
      <c r="O878" t="s">
        <v>51</v>
      </c>
      <c r="Q878">
        <v>20</v>
      </c>
      <c r="R878" t="str">
        <f>"ALBERTO FARIAS DOS SANTOS JUNIOR (800)"</f>
        <v>ALBERTO FARIAS DOS SANTOS JUNIOR (800)</v>
      </c>
      <c r="S878" t="s">
        <v>52</v>
      </c>
      <c r="T878">
        <v>17779</v>
      </c>
      <c r="U878">
        <v>16403</v>
      </c>
      <c r="V878" t="s">
        <v>48</v>
      </c>
    </row>
    <row r="879" spans="1:22">
      <c r="A879" t="str">
        <f t="shared" ref="A879:A942" si="187">("09/09/2025")</f>
        <v>09/09/2025</v>
      </c>
      <c r="B879" t="str">
        <f>"ENTRADA"</f>
        <v>ENTRADA</v>
      </c>
      <c r="C879" t="str">
        <f>"DINHEIRO"</f>
        <v>DINHEIRO</v>
      </c>
      <c r="D879" t="str">
        <f>"714"</f>
        <v>714</v>
      </c>
      <c r="E879" t="str">
        <f>"5"</f>
        <v>5</v>
      </c>
      <c r="F879" t="str">
        <f t="shared" si="180"/>
        <v>COM</v>
      </c>
      <c r="G879" t="str">
        <f>"ALEXANDRE DA CONCEI????O (714)"</f>
        <v>ALEXANDRE DA CONCEI????O (714)</v>
      </c>
      <c r="H879" t="str">
        <f>"COTA COOPERATIVA"</f>
        <v>COTA COOPERATIVA</v>
      </c>
      <c r="I879" t="str">
        <f>("08/09/2025")</f>
        <v>08/09/2025</v>
      </c>
      <c r="J879" t="str">
        <f>("10/04/2025")</f>
        <v>10/04/2025</v>
      </c>
      <c r="K879" t="str">
        <f>("09/09/2025")</f>
        <v>09/09/2025</v>
      </c>
      <c r="L879">
        <v>20</v>
      </c>
      <c r="M879">
        <v>20</v>
      </c>
      <c r="N879">
        <v>106</v>
      </c>
      <c r="O879" t="str">
        <f>"ENTRADA DE CAPITAL"</f>
        <v>ENTRADA DE CAPITAL</v>
      </c>
      <c r="P879">
        <v>20</v>
      </c>
      <c r="S879" t="str">
        <f>"ENTRADA DE CAPITAL (106)"</f>
        <v>ENTRADA DE CAPITAL (106)</v>
      </c>
      <c r="T879">
        <v>17780</v>
      </c>
      <c r="U879">
        <v>13662</v>
      </c>
      <c r="V879" t="s">
        <v>48</v>
      </c>
    </row>
    <row r="880" spans="1:22">
      <c r="A880" t="str">
        <f t="shared" si="187"/>
        <v>09/09/2025</v>
      </c>
      <c r="B880" t="str">
        <f>"ENTRADA"</f>
        <v>ENTRADA</v>
      </c>
      <c r="C880" t="str">
        <f>"DINHEIRO"</f>
        <v>DINHEIRO</v>
      </c>
      <c r="D880" t="str">
        <f>"714"</f>
        <v>714</v>
      </c>
      <c r="E880" t="str">
        <f>"5"</f>
        <v>5</v>
      </c>
      <c r="F880" t="str">
        <f t="shared" si="180"/>
        <v>COM</v>
      </c>
      <c r="G880" t="str">
        <f>"ALEXANDRE DA CONCEI????O (714)"</f>
        <v>ALEXANDRE DA CONCEI????O (714)</v>
      </c>
      <c r="H880" t="s">
        <v>50</v>
      </c>
      <c r="I880" t="str">
        <f>("08/09/2025")</f>
        <v>08/09/2025</v>
      </c>
      <c r="J880" t="str">
        <f>("10/04/2025")</f>
        <v>10/04/2025</v>
      </c>
      <c r="K880">
        <v>45909</v>
      </c>
      <c r="N880">
        <v>106</v>
      </c>
      <c r="O880" t="s">
        <v>51</v>
      </c>
      <c r="Q880">
        <v>20</v>
      </c>
      <c r="R880" t="str">
        <f>"ALEXANDRE DA CONCEI????O (714)"</f>
        <v>ALEXANDRE DA CONCEI????O (714)</v>
      </c>
      <c r="S880" t="s">
        <v>52</v>
      </c>
      <c r="T880">
        <v>17780</v>
      </c>
      <c r="U880">
        <v>13662</v>
      </c>
      <c r="V880" t="s">
        <v>48</v>
      </c>
    </row>
    <row r="881" spans="1:22">
      <c r="A881" t="str">
        <f t="shared" si="187"/>
        <v>09/09/2025</v>
      </c>
      <c r="B881" t="str">
        <f>"SAÍDA"</f>
        <v>SAÍDA</v>
      </c>
      <c r="C881" t="str">
        <f>"PIX"</f>
        <v>PIX</v>
      </c>
      <c r="D881" t="str">
        <f>"21291"</f>
        <v>21291</v>
      </c>
      <c r="E881" t="str">
        <f>"1"</f>
        <v>1</v>
      </c>
      <c r="F881" t="str">
        <f t="shared" si="180"/>
        <v>COM</v>
      </c>
      <c r="G881" t="str">
        <f>"ALEXANDRE DA CONCEICAO (714)"</f>
        <v>ALEXANDRE DA CONCEICAO (714)</v>
      </c>
      <c r="H881" t="str">
        <f>"Serv.Prest. 25/08/2025 a 31/08/2025 - PIX: CPF - CHAVE: 975.425.989-53"</f>
        <v>Serv.Prest. 25/08/2025 a 31/08/2025 - PIX: CPF - CHAVE: 975.425.989-53</v>
      </c>
      <c r="I881" t="str">
        <f>("11/09/2025")</f>
        <v>11/09/2025</v>
      </c>
      <c r="J881" t="str">
        <f>("02/09/2025")</f>
        <v>02/09/2025</v>
      </c>
      <c r="K881" t="str">
        <f>("09/09/2025")</f>
        <v>09/09/2025</v>
      </c>
      <c r="L881">
        <v>20</v>
      </c>
      <c r="M881">
        <v>20</v>
      </c>
      <c r="N881">
        <v>109</v>
      </c>
      <c r="O881" t="str">
        <f>"PAGAMENTO DE ENTREGADORES"</f>
        <v>PAGAMENTO DE ENTREGADORES</v>
      </c>
      <c r="P881">
        <v>20</v>
      </c>
      <c r="S881" t="str">
        <f>"CAIXA MOVIMENTAÇÃO OPERACIONAL (132)"</f>
        <v>CAIXA MOVIMENTAÇÃO OPERACIONAL (132)</v>
      </c>
      <c r="T881">
        <v>17781</v>
      </c>
      <c r="U881">
        <v>21705</v>
      </c>
      <c r="V881" t="s">
        <v>48</v>
      </c>
    </row>
    <row r="882" spans="1:22">
      <c r="A882" t="str">
        <f t="shared" si="187"/>
        <v>09/09/2025</v>
      </c>
      <c r="B882" t="str">
        <f>"SAÍDA"</f>
        <v>SAÍDA</v>
      </c>
      <c r="C882" t="str">
        <f>"PIX"</f>
        <v>PIX</v>
      </c>
      <c r="D882" t="str">
        <f>"21291"</f>
        <v>21291</v>
      </c>
      <c r="E882" t="str">
        <f>"1"</f>
        <v>1</v>
      </c>
      <c r="F882" t="str">
        <f t="shared" si="180"/>
        <v>COM</v>
      </c>
      <c r="G882" t="str">
        <f>"ALEXANDRE DA CONCEICAO (714)"</f>
        <v>ALEXANDRE DA CONCEICAO (714)</v>
      </c>
      <c r="H882" t="s">
        <v>325</v>
      </c>
      <c r="I882" t="str">
        <f>("11/09/2025")</f>
        <v>11/09/2025</v>
      </c>
      <c r="J882" t="str">
        <f>("02/09/2025")</f>
        <v>02/09/2025</v>
      </c>
      <c r="K882">
        <v>45909</v>
      </c>
      <c r="N882">
        <v>109</v>
      </c>
      <c r="O882" t="s">
        <v>24</v>
      </c>
      <c r="Q882">
        <v>20</v>
      </c>
      <c r="R882" t="str">
        <f>"AC FARMA - CID.ALTA (10166)"</f>
        <v>AC FARMA - CID.ALTA (10166)</v>
      </c>
      <c r="S882" t="s">
        <v>48</v>
      </c>
      <c r="T882">
        <v>17781</v>
      </c>
      <c r="U882">
        <v>21705</v>
      </c>
      <c r="V882" t="s">
        <v>48</v>
      </c>
    </row>
    <row r="883" spans="1:22">
      <c r="A883" t="str">
        <f t="shared" si="187"/>
        <v>09/09/2025</v>
      </c>
      <c r="B883" t="str">
        <f>"ENTRADA"</f>
        <v>ENTRADA</v>
      </c>
      <c r="C883" t="str">
        <f>"DINHEIRO"</f>
        <v>DINHEIRO</v>
      </c>
      <c r="D883" t="str">
        <f>"808"</f>
        <v>808</v>
      </c>
      <c r="E883" t="str">
        <f>"3"</f>
        <v>3</v>
      </c>
      <c r="F883" t="str">
        <f t="shared" si="180"/>
        <v>COM</v>
      </c>
      <c r="G883" t="str">
        <f>"ALEXSANDRO HENRIQUE FERREIRA (808)"</f>
        <v>ALEXSANDRO HENRIQUE FERREIRA (808)</v>
      </c>
      <c r="H883" t="str">
        <f>"COTA COOPERATIVA"</f>
        <v>COTA COOPERATIVA</v>
      </c>
      <c r="I883" t="str">
        <f>("10/09/2025")</f>
        <v>10/09/2025</v>
      </c>
      <c r="J883" t="str">
        <f>("19/05/2025")</f>
        <v>19/05/2025</v>
      </c>
      <c r="K883" t="str">
        <f>("09/09/2025")</f>
        <v>09/09/2025</v>
      </c>
      <c r="L883">
        <v>20</v>
      </c>
      <c r="M883">
        <v>20</v>
      </c>
      <c r="N883">
        <v>106</v>
      </c>
      <c r="O883" t="str">
        <f>"ENTRADA DE CAPITAL"</f>
        <v>ENTRADA DE CAPITAL</v>
      </c>
      <c r="P883">
        <v>20</v>
      </c>
      <c r="S883" t="str">
        <f>"ENTRADA DE CAPITAL (106)"</f>
        <v>ENTRADA DE CAPITAL (106)</v>
      </c>
      <c r="T883">
        <v>17782</v>
      </c>
      <c r="U883">
        <v>18084</v>
      </c>
      <c r="V883" t="s">
        <v>48</v>
      </c>
    </row>
    <row r="884" spans="1:22">
      <c r="A884" t="str">
        <f t="shared" si="187"/>
        <v>09/09/2025</v>
      </c>
      <c r="B884" t="str">
        <f>"ENTRADA"</f>
        <v>ENTRADA</v>
      </c>
      <c r="C884" t="str">
        <f>"DINHEIRO"</f>
        <v>DINHEIRO</v>
      </c>
      <c r="D884" t="str">
        <f>"808"</f>
        <v>808</v>
      </c>
      <c r="E884" t="str">
        <f>"3"</f>
        <v>3</v>
      </c>
      <c r="F884" t="str">
        <f t="shared" si="180"/>
        <v>COM</v>
      </c>
      <c r="G884" t="str">
        <f>"ALEXSANDRO HENRIQUE FERREIRA (808)"</f>
        <v>ALEXSANDRO HENRIQUE FERREIRA (808)</v>
      </c>
      <c r="H884" t="s">
        <v>50</v>
      </c>
      <c r="I884" t="str">
        <f>("10/09/2025")</f>
        <v>10/09/2025</v>
      </c>
      <c r="J884" t="str">
        <f>("19/05/2025")</f>
        <v>19/05/2025</v>
      </c>
      <c r="K884">
        <v>45909</v>
      </c>
      <c r="N884">
        <v>106</v>
      </c>
      <c r="O884" t="s">
        <v>51</v>
      </c>
      <c r="Q884">
        <v>20</v>
      </c>
      <c r="R884" t="str">
        <f>"ALEXSANDRO HENRIQUE FERREIRA (808)"</f>
        <v>ALEXSANDRO HENRIQUE FERREIRA (808)</v>
      </c>
      <c r="S884" t="s">
        <v>52</v>
      </c>
      <c r="T884">
        <v>17782</v>
      </c>
      <c r="U884">
        <v>18084</v>
      </c>
      <c r="V884" t="s">
        <v>48</v>
      </c>
    </row>
    <row r="885" spans="1:22">
      <c r="A885" t="str">
        <f t="shared" si="187"/>
        <v>09/09/2025</v>
      </c>
      <c r="B885" t="str">
        <f>"SAÍDA"</f>
        <v>SAÍDA</v>
      </c>
      <c r="C885" t="str">
        <f>"PIX"</f>
        <v>PIX</v>
      </c>
      <c r="D885" t="str">
        <f>"21449"</f>
        <v>21449</v>
      </c>
      <c r="E885" t="str">
        <f>"1"</f>
        <v>1</v>
      </c>
      <c r="F885" t="str">
        <f t="shared" si="180"/>
        <v>COM</v>
      </c>
      <c r="G885" t="str">
        <f>"ALEXSANDRO HENRIQUE FERREIRA (808)"</f>
        <v>ALEXSANDRO HENRIQUE FERREIRA (808)</v>
      </c>
      <c r="H885" t="str">
        <f>"Serv.Prest. 01/09/2025 a 07/09/2025 - PIX: CPF - CHAVE: 157.591.436-03"</f>
        <v>Serv.Prest. 01/09/2025 a 07/09/2025 - PIX: CPF - CHAVE: 157.591.436-03</v>
      </c>
      <c r="I885" t="str">
        <f t="shared" ref="I885:I890" si="188">("11/09/2025")</f>
        <v>11/09/2025</v>
      </c>
      <c r="J885" t="str">
        <f>("08/09/2025")</f>
        <v>08/09/2025</v>
      </c>
      <c r="K885" t="str">
        <f>("09/09/2025")</f>
        <v>09/09/2025</v>
      </c>
      <c r="L885">
        <v>20</v>
      </c>
      <c r="M885">
        <v>20</v>
      </c>
      <c r="N885">
        <v>109</v>
      </c>
      <c r="O885" t="str">
        <f>"PAGAMENTO DE ENTREGADORES"</f>
        <v>PAGAMENTO DE ENTREGADORES</v>
      </c>
      <c r="P885">
        <v>20</v>
      </c>
      <c r="S885" t="str">
        <f>"CAIXA MOVIMENTAÇÃO OPERACIONAL (132)"</f>
        <v>CAIXA MOVIMENTAÇÃO OPERACIONAL (132)</v>
      </c>
      <c r="T885">
        <v>17783</v>
      </c>
      <c r="U885">
        <v>21706</v>
      </c>
      <c r="V885" t="s">
        <v>48</v>
      </c>
    </row>
    <row r="886" spans="1:22">
      <c r="A886" t="str">
        <f t="shared" si="187"/>
        <v>09/09/2025</v>
      </c>
      <c r="B886" t="str">
        <f>"SAÍDA"</f>
        <v>SAÍDA</v>
      </c>
      <c r="C886" t="str">
        <f>"PIX"</f>
        <v>PIX</v>
      </c>
      <c r="D886" t="str">
        <f>"21449"</f>
        <v>21449</v>
      </c>
      <c r="E886" t="str">
        <f>"1"</f>
        <v>1</v>
      </c>
      <c r="F886" t="str">
        <f t="shared" si="180"/>
        <v>COM</v>
      </c>
      <c r="G886" t="str">
        <f>"ALEXSANDRO HENRIQUE FERREIRA (808)"</f>
        <v>ALEXSANDRO HENRIQUE FERREIRA (808)</v>
      </c>
      <c r="H886" t="s">
        <v>302</v>
      </c>
      <c r="I886" t="str">
        <f t="shared" si="188"/>
        <v>11/09/2025</v>
      </c>
      <c r="J886" t="str">
        <f>("08/09/2025")</f>
        <v>08/09/2025</v>
      </c>
      <c r="K886">
        <v>45909</v>
      </c>
      <c r="N886">
        <v>109</v>
      </c>
      <c r="O886" t="s">
        <v>24</v>
      </c>
      <c r="Q886">
        <v>20</v>
      </c>
      <c r="R886" t="str">
        <f>"DROGARIA ANA VISCONDE DO RIO BRANCO (10182)"</f>
        <v>DROGARIA ANA VISCONDE DO RIO BRANCO (10182)</v>
      </c>
      <c r="S886" t="s">
        <v>48</v>
      </c>
      <c r="T886">
        <v>17783</v>
      </c>
      <c r="U886">
        <v>21706</v>
      </c>
      <c r="V886" t="s">
        <v>48</v>
      </c>
    </row>
    <row r="887" spans="1:22">
      <c r="A887" t="str">
        <f t="shared" si="187"/>
        <v>09/09/2025</v>
      </c>
      <c r="B887" t="str">
        <f>"ENTRADA"</f>
        <v>ENTRADA</v>
      </c>
      <c r="C887" t="str">
        <f>"DINHEIRO"</f>
        <v>DINHEIRO</v>
      </c>
      <c r="D887" t="str">
        <f>"1109"</f>
        <v>1109</v>
      </c>
      <c r="E887" t="str">
        <f>"25"</f>
        <v>25</v>
      </c>
      <c r="F887" t="str">
        <f t="shared" si="180"/>
        <v>COM</v>
      </c>
      <c r="G887" t="str">
        <f>"ALEXSSANDER VIANA FEITOSA (48)"</f>
        <v>ALEXSSANDER VIANA FEITOSA (48)</v>
      </c>
      <c r="H887" t="str">
        <f>"REEMBOLSO COMPRA BAG"</f>
        <v>REEMBOLSO COMPRA BAG</v>
      </c>
      <c r="I887" t="str">
        <f t="shared" si="188"/>
        <v>11/09/2025</v>
      </c>
      <c r="J887" t="str">
        <f>("11/09/2025")</f>
        <v>11/09/2025</v>
      </c>
      <c r="K887" t="str">
        <f>("09/09/2025")</f>
        <v>09/09/2025</v>
      </c>
      <c r="L887">
        <v>38.340000000000003</v>
      </c>
      <c r="M887">
        <v>38.340000000000003</v>
      </c>
      <c r="N887">
        <v>108</v>
      </c>
      <c r="O887" t="str">
        <f>"RECEITAS COM REEMBOLSOS"</f>
        <v>RECEITAS COM REEMBOLSOS</v>
      </c>
      <c r="P887">
        <v>38.340000000000003</v>
      </c>
      <c r="S887" t="str">
        <f>"RECEITAS COM REEMBOLSOS (108)"</f>
        <v>RECEITAS COM REEMBOLSOS (108)</v>
      </c>
      <c r="T887">
        <v>17784</v>
      </c>
      <c r="U887">
        <v>21034</v>
      </c>
      <c r="V887" t="s">
        <v>48</v>
      </c>
    </row>
    <row r="888" spans="1:22">
      <c r="A888" t="str">
        <f t="shared" si="187"/>
        <v>09/09/2025</v>
      </c>
      <c r="B888" t="str">
        <f>"ENTRADA"</f>
        <v>ENTRADA</v>
      </c>
      <c r="C888" t="str">
        <f>"DINHEIRO"</f>
        <v>DINHEIRO</v>
      </c>
      <c r="D888" t="str">
        <f>"1109"</f>
        <v>1109</v>
      </c>
      <c r="E888" t="str">
        <f>"25"</f>
        <v>25</v>
      </c>
      <c r="F888" t="str">
        <f t="shared" si="180"/>
        <v>COM</v>
      </c>
      <c r="G888" t="str">
        <f>"ALEXSSANDER VIANA FEITOSA (48)"</f>
        <v>ALEXSSANDER VIANA FEITOSA (48)</v>
      </c>
      <c r="H888" t="s">
        <v>64</v>
      </c>
      <c r="I888" t="str">
        <f t="shared" si="188"/>
        <v>11/09/2025</v>
      </c>
      <c r="J888" t="str">
        <f>("11/09/2025")</f>
        <v>11/09/2025</v>
      </c>
      <c r="K888">
        <v>45909</v>
      </c>
      <c r="N888">
        <v>108</v>
      </c>
      <c r="O888" t="s">
        <v>54</v>
      </c>
      <c r="Q888">
        <v>38.340000000000003</v>
      </c>
      <c r="R888" t="str">
        <f>"ALEXSSANDER VIANA FEITOSA (48)"</f>
        <v>ALEXSSANDER VIANA FEITOSA (48)</v>
      </c>
      <c r="S888" t="s">
        <v>55</v>
      </c>
      <c r="T888">
        <v>17784</v>
      </c>
      <c r="U888">
        <v>21034</v>
      </c>
      <c r="V888" t="s">
        <v>48</v>
      </c>
    </row>
    <row r="889" spans="1:22">
      <c r="A889" t="str">
        <f t="shared" si="187"/>
        <v>09/09/2025</v>
      </c>
      <c r="B889" t="str">
        <f>"SAÍDA"</f>
        <v>SAÍDA</v>
      </c>
      <c r="C889" t="str">
        <f>"PIX"</f>
        <v>PIX</v>
      </c>
      <c r="D889" t="str">
        <f>"21171"</f>
        <v>21171</v>
      </c>
      <c r="E889" t="str">
        <f>"1"</f>
        <v>1</v>
      </c>
      <c r="F889" t="str">
        <f t="shared" si="180"/>
        <v>COM</v>
      </c>
      <c r="G889" t="str">
        <f>"ALEXSSANDER VIANA FEITOSA (48)"</f>
        <v>ALEXSSANDER VIANA FEITOSA (48)</v>
      </c>
      <c r="H889" t="str">
        <f>"Serv.Prest. 25/08/2025 a 31/08/2025 - PIX: CPF - CHAVE: 134.385.606-07"</f>
        <v>Serv.Prest. 25/08/2025 a 31/08/2025 - PIX: CPF - CHAVE: 134.385.606-07</v>
      </c>
      <c r="I889" t="str">
        <f t="shared" si="188"/>
        <v>11/09/2025</v>
      </c>
      <c r="J889" t="str">
        <f>("02/09/2025")</f>
        <v>02/09/2025</v>
      </c>
      <c r="K889" t="str">
        <f>("09/09/2025")</f>
        <v>09/09/2025</v>
      </c>
      <c r="L889">
        <v>38.340000000000003</v>
      </c>
      <c r="M889">
        <v>38.340000000000003</v>
      </c>
      <c r="N889">
        <v>109</v>
      </c>
      <c r="O889" t="str">
        <f>"PAGAMENTO DE ENTREGADORES"</f>
        <v>PAGAMENTO DE ENTREGADORES</v>
      </c>
      <c r="P889">
        <v>38.340000000000003</v>
      </c>
      <c r="S889" t="str">
        <f>"CAIXA MOVIMENTAÇÃO OPERACIONAL (132)"</f>
        <v>CAIXA MOVIMENTAÇÃO OPERACIONAL (132)</v>
      </c>
      <c r="T889">
        <v>17785</v>
      </c>
      <c r="U889">
        <v>21707</v>
      </c>
      <c r="V889" t="s">
        <v>48</v>
      </c>
    </row>
    <row r="890" spans="1:22">
      <c r="A890" t="str">
        <f t="shared" si="187"/>
        <v>09/09/2025</v>
      </c>
      <c r="B890" t="str">
        <f>"SAÍDA"</f>
        <v>SAÍDA</v>
      </c>
      <c r="C890" t="str">
        <f>"PIX"</f>
        <v>PIX</v>
      </c>
      <c r="D890" t="str">
        <f>"21171"</f>
        <v>21171</v>
      </c>
      <c r="E890" t="str">
        <f>"1"</f>
        <v>1</v>
      </c>
      <c r="F890" t="str">
        <f t="shared" si="180"/>
        <v>COM</v>
      </c>
      <c r="G890" t="str">
        <f>"ALEXSSANDER VIANA FEITOSA (48)"</f>
        <v>ALEXSSANDER VIANA FEITOSA (48)</v>
      </c>
      <c r="H890" t="s">
        <v>326</v>
      </c>
      <c r="I890" t="str">
        <f t="shared" si="188"/>
        <v>11/09/2025</v>
      </c>
      <c r="J890" t="str">
        <f>("02/09/2025")</f>
        <v>02/09/2025</v>
      </c>
      <c r="K890">
        <v>45909</v>
      </c>
      <c r="N890">
        <v>109</v>
      </c>
      <c r="O890" t="s">
        <v>24</v>
      </c>
      <c r="Q890">
        <v>38.340000000000003</v>
      </c>
      <c r="R890" t="str">
        <f>"FARMÁCIA INDIANA LJ 07 (10007)"</f>
        <v>FARMÁCIA INDIANA LJ 07 (10007)</v>
      </c>
      <c r="S890" t="s">
        <v>48</v>
      </c>
      <c r="T890">
        <v>17785</v>
      </c>
      <c r="U890">
        <v>21707</v>
      </c>
      <c r="V890" t="s">
        <v>48</v>
      </c>
    </row>
    <row r="891" spans="1:22">
      <c r="A891" t="str">
        <f t="shared" si="187"/>
        <v>09/09/2025</v>
      </c>
      <c r="B891" t="str">
        <f>"ENTRADA"</f>
        <v>ENTRADA</v>
      </c>
      <c r="C891" t="str">
        <f>"DINHEIRO"</f>
        <v>DINHEIRO</v>
      </c>
      <c r="D891" t="str">
        <f>"790"</f>
        <v>790</v>
      </c>
      <c r="E891" t="str">
        <f>"5"</f>
        <v>5</v>
      </c>
      <c r="F891" t="str">
        <f t="shared" si="180"/>
        <v>COM</v>
      </c>
      <c r="G891" t="str">
        <f>"ALLAN SILVA DAMACENA (790)"</f>
        <v>ALLAN SILVA DAMACENA (790)</v>
      </c>
      <c r="H891" t="str">
        <f>"COTA COOPERATIVA"</f>
        <v>COTA COOPERATIVA</v>
      </c>
      <c r="I891" t="str">
        <f>("08/09/2025")</f>
        <v>08/09/2025</v>
      </c>
      <c r="J891" t="str">
        <f>("01/04/2025")</f>
        <v>01/04/2025</v>
      </c>
      <c r="K891" t="str">
        <f>("09/09/2025")</f>
        <v>09/09/2025</v>
      </c>
      <c r="L891">
        <v>20</v>
      </c>
      <c r="M891">
        <v>20</v>
      </c>
      <c r="N891">
        <v>106</v>
      </c>
      <c r="O891" t="str">
        <f>"ENTRADA DE CAPITAL"</f>
        <v>ENTRADA DE CAPITAL</v>
      </c>
      <c r="P891">
        <v>20</v>
      </c>
      <c r="S891" t="str">
        <f>"ENTRADA DE CAPITAL (106)"</f>
        <v>ENTRADA DE CAPITAL (106)</v>
      </c>
      <c r="T891">
        <v>17786</v>
      </c>
      <c r="U891">
        <v>13690</v>
      </c>
      <c r="V891" t="s">
        <v>48</v>
      </c>
    </row>
    <row r="892" spans="1:22">
      <c r="A892" t="str">
        <f t="shared" si="187"/>
        <v>09/09/2025</v>
      </c>
      <c r="B892" t="str">
        <f>"ENTRADA"</f>
        <v>ENTRADA</v>
      </c>
      <c r="C892" t="str">
        <f>"DINHEIRO"</f>
        <v>DINHEIRO</v>
      </c>
      <c r="D892" t="str">
        <f>"790"</f>
        <v>790</v>
      </c>
      <c r="E892" t="str">
        <f>"5"</f>
        <v>5</v>
      </c>
      <c r="F892" t="str">
        <f t="shared" si="180"/>
        <v>COM</v>
      </c>
      <c r="G892" t="str">
        <f>"ALLAN SILVA DAMACENA (790)"</f>
        <v>ALLAN SILVA DAMACENA (790)</v>
      </c>
      <c r="H892" t="s">
        <v>50</v>
      </c>
      <c r="I892" t="str">
        <f>("08/09/2025")</f>
        <v>08/09/2025</v>
      </c>
      <c r="J892" t="str">
        <f>("01/04/2025")</f>
        <v>01/04/2025</v>
      </c>
      <c r="K892">
        <v>45909</v>
      </c>
      <c r="N892">
        <v>106</v>
      </c>
      <c r="O892" t="s">
        <v>51</v>
      </c>
      <c r="Q892">
        <v>20</v>
      </c>
      <c r="R892" t="str">
        <f>"ALLAN SILVA DAMACENA (790)"</f>
        <v>ALLAN SILVA DAMACENA (790)</v>
      </c>
      <c r="S892" t="s">
        <v>52</v>
      </c>
      <c r="T892">
        <v>17786</v>
      </c>
      <c r="U892">
        <v>13690</v>
      </c>
      <c r="V892" t="s">
        <v>48</v>
      </c>
    </row>
    <row r="893" spans="1:22">
      <c r="A893" t="str">
        <f t="shared" si="187"/>
        <v>09/09/2025</v>
      </c>
      <c r="B893" t="str">
        <f t="shared" ref="B893:B898" si="189">"SAÍDA"</f>
        <v>SAÍDA</v>
      </c>
      <c r="C893" t="str">
        <f t="shared" ref="C893:C898" si="190">"PIX"</f>
        <v>PIX</v>
      </c>
      <c r="D893" t="str">
        <f>"21470"</f>
        <v>21470</v>
      </c>
      <c r="E893" t="str">
        <f t="shared" ref="E893:E898" si="191">"1"</f>
        <v>1</v>
      </c>
      <c r="F893" t="str">
        <f t="shared" si="180"/>
        <v>COM</v>
      </c>
      <c r="G893" t="str">
        <f>"ALLAN SILVA DAMACENA (790)"</f>
        <v>ALLAN SILVA DAMACENA (790)</v>
      </c>
      <c r="H893" t="str">
        <f>"Serv.Prest. 01/09/2025 a 07/09/2025 - PIX: CELULAR - CHAVE: (19) 98944-4977"</f>
        <v>Serv.Prest. 01/09/2025 a 07/09/2025 - PIX: CELULAR - CHAVE: (19) 98944-4977</v>
      </c>
      <c r="I893" t="str">
        <f t="shared" ref="I893:I898" si="192">("11/09/2025")</f>
        <v>11/09/2025</v>
      </c>
      <c r="J893" t="str">
        <f>("08/09/2025")</f>
        <v>08/09/2025</v>
      </c>
      <c r="K893" t="str">
        <f>("09/09/2025")</f>
        <v>09/09/2025</v>
      </c>
      <c r="L893">
        <v>20</v>
      </c>
      <c r="M893">
        <v>20</v>
      </c>
      <c r="N893">
        <v>109</v>
      </c>
      <c r="O893" t="str">
        <f>"PAGAMENTO DE ENTREGADORES"</f>
        <v>PAGAMENTO DE ENTREGADORES</v>
      </c>
      <c r="P893">
        <v>20</v>
      </c>
      <c r="S893" t="str">
        <f>"CAIXA MOVIMENTAÇÃO OPERACIONAL (132)"</f>
        <v>CAIXA MOVIMENTAÇÃO OPERACIONAL (132)</v>
      </c>
      <c r="T893">
        <v>17787</v>
      </c>
      <c r="U893">
        <v>21708</v>
      </c>
      <c r="V893" t="s">
        <v>48</v>
      </c>
    </row>
    <row r="894" spans="1:22">
      <c r="A894" t="str">
        <f t="shared" si="187"/>
        <v>09/09/2025</v>
      </c>
      <c r="B894" t="str">
        <f t="shared" si="189"/>
        <v>SAÍDA</v>
      </c>
      <c r="C894" t="str">
        <f t="shared" si="190"/>
        <v>PIX</v>
      </c>
      <c r="D894" t="str">
        <f>"21470"</f>
        <v>21470</v>
      </c>
      <c r="E894" t="str">
        <f t="shared" si="191"/>
        <v>1</v>
      </c>
      <c r="F894" t="str">
        <f t="shared" si="180"/>
        <v>COM</v>
      </c>
      <c r="G894" t="str">
        <f>"ALLAN SILVA DAMACENA (790)"</f>
        <v>ALLAN SILVA DAMACENA (790)</v>
      </c>
      <c r="H894" t="s">
        <v>327</v>
      </c>
      <c r="I894" t="str">
        <f t="shared" si="192"/>
        <v>11/09/2025</v>
      </c>
      <c r="J894" t="str">
        <f>("08/09/2025")</f>
        <v>08/09/2025</v>
      </c>
      <c r="K894">
        <v>45909</v>
      </c>
      <c r="N894">
        <v>109</v>
      </c>
      <c r="O894" t="s">
        <v>24</v>
      </c>
      <c r="Q894">
        <v>20</v>
      </c>
      <c r="R894" t="str">
        <f>"DROGARIA MORENO LTDA (10171)"</f>
        <v>DROGARIA MORENO LTDA (10171)</v>
      </c>
      <c r="S894" t="s">
        <v>48</v>
      </c>
      <c r="T894">
        <v>17787</v>
      </c>
      <c r="U894">
        <v>21708</v>
      </c>
      <c r="V894" t="s">
        <v>48</v>
      </c>
    </row>
    <row r="895" spans="1:22">
      <c r="A895" t="str">
        <f t="shared" si="187"/>
        <v>09/09/2025</v>
      </c>
      <c r="B895" t="str">
        <f t="shared" si="189"/>
        <v>SAÍDA</v>
      </c>
      <c r="C895" t="str">
        <f t="shared" si="190"/>
        <v>PIX</v>
      </c>
      <c r="D895" t="str">
        <f>"21173"</f>
        <v>21173</v>
      </c>
      <c r="E895" t="str">
        <f t="shared" si="191"/>
        <v>1</v>
      </c>
      <c r="F895" t="str">
        <f t="shared" si="180"/>
        <v>COM</v>
      </c>
      <c r="G895" t="str">
        <f t="shared" ref="G895:G900" si="193">"AMANDA VERÍSSIMO FERREIRA (794)"</f>
        <v>AMANDA VERÍSSIMO FERREIRA (794)</v>
      </c>
      <c r="H895" t="str">
        <f>"Serv.Prest. 25/08/2025 a 31/08/2025 - PIX: CPF - CHAVE: 099.626.666-60"</f>
        <v>Serv.Prest. 25/08/2025 a 31/08/2025 - PIX: CPF - CHAVE: 099.626.666-60</v>
      </c>
      <c r="I895" t="str">
        <f t="shared" si="192"/>
        <v>11/09/2025</v>
      </c>
      <c r="J895" t="str">
        <f>("02/09/2025")</f>
        <v>02/09/2025</v>
      </c>
      <c r="K895" t="str">
        <f>("09/09/2025")</f>
        <v>09/09/2025</v>
      </c>
      <c r="L895">
        <v>20</v>
      </c>
      <c r="M895">
        <v>20</v>
      </c>
      <c r="N895">
        <v>109</v>
      </c>
      <c r="O895" t="str">
        <f>"PAGAMENTO DE ENTREGADORES"</f>
        <v>PAGAMENTO DE ENTREGADORES</v>
      </c>
      <c r="P895">
        <v>20</v>
      </c>
      <c r="S895" t="str">
        <f>"CAIXA MOVIMENTAÇÃO OPERACIONAL (132)"</f>
        <v>CAIXA MOVIMENTAÇÃO OPERACIONAL (132)</v>
      </c>
      <c r="T895">
        <v>17788</v>
      </c>
      <c r="U895">
        <v>21718</v>
      </c>
      <c r="V895" t="s">
        <v>48</v>
      </c>
    </row>
    <row r="896" spans="1:22">
      <c r="A896" t="str">
        <f t="shared" si="187"/>
        <v>09/09/2025</v>
      </c>
      <c r="B896" t="str">
        <f t="shared" si="189"/>
        <v>SAÍDA</v>
      </c>
      <c r="C896" t="str">
        <f t="shared" si="190"/>
        <v>PIX</v>
      </c>
      <c r="D896" t="str">
        <f>"21173"</f>
        <v>21173</v>
      </c>
      <c r="E896" t="str">
        <f t="shared" si="191"/>
        <v>1</v>
      </c>
      <c r="F896" t="str">
        <f t="shared" si="180"/>
        <v>COM</v>
      </c>
      <c r="G896" t="str">
        <f t="shared" si="193"/>
        <v>AMANDA VERÍSSIMO FERREIRA (794)</v>
      </c>
      <c r="H896" t="s">
        <v>328</v>
      </c>
      <c r="I896" t="str">
        <f t="shared" si="192"/>
        <v>11/09/2025</v>
      </c>
      <c r="J896" t="str">
        <f>("02/09/2025")</f>
        <v>02/09/2025</v>
      </c>
      <c r="K896">
        <v>45909</v>
      </c>
      <c r="N896">
        <v>109</v>
      </c>
      <c r="O896" t="s">
        <v>24</v>
      </c>
      <c r="Q896">
        <v>5.46</v>
      </c>
      <c r="R896" t="str">
        <f>"FARMÁCIA INDIANA LJ 97 (10040)"</f>
        <v>FARMÁCIA INDIANA LJ 97 (10040)</v>
      </c>
      <c r="S896" t="s">
        <v>48</v>
      </c>
      <c r="T896">
        <v>17788</v>
      </c>
      <c r="U896">
        <v>21718</v>
      </c>
      <c r="V896" t="s">
        <v>48</v>
      </c>
    </row>
    <row r="897" spans="1:22">
      <c r="A897" t="str">
        <f t="shared" si="187"/>
        <v>09/09/2025</v>
      </c>
      <c r="B897" t="str">
        <f t="shared" si="189"/>
        <v>SAÍDA</v>
      </c>
      <c r="C897" t="str">
        <f t="shared" si="190"/>
        <v>PIX</v>
      </c>
      <c r="D897" t="str">
        <f>"21173"</f>
        <v>21173</v>
      </c>
      <c r="E897" t="str">
        <f t="shared" si="191"/>
        <v>1</v>
      </c>
      <c r="F897" t="str">
        <f t="shared" si="180"/>
        <v>COM</v>
      </c>
      <c r="G897" t="str">
        <f t="shared" si="193"/>
        <v>AMANDA VERÍSSIMO FERREIRA (794)</v>
      </c>
      <c r="H897" t="s">
        <v>328</v>
      </c>
      <c r="I897" t="str">
        <f t="shared" si="192"/>
        <v>11/09/2025</v>
      </c>
      <c r="J897" t="str">
        <f>("02/09/2025")</f>
        <v>02/09/2025</v>
      </c>
      <c r="K897">
        <v>45909</v>
      </c>
      <c r="N897">
        <v>109</v>
      </c>
      <c r="O897" t="s">
        <v>24</v>
      </c>
      <c r="Q897">
        <v>6.36</v>
      </c>
      <c r="R897" t="str">
        <f>"FARMÁCIA INDIANA LJ 111 (10049)"</f>
        <v>FARMÁCIA INDIANA LJ 111 (10049)</v>
      </c>
      <c r="S897" t="s">
        <v>48</v>
      </c>
      <c r="T897">
        <v>17788</v>
      </c>
      <c r="U897">
        <v>21718</v>
      </c>
      <c r="V897" t="s">
        <v>48</v>
      </c>
    </row>
    <row r="898" spans="1:22">
      <c r="A898" t="str">
        <f t="shared" si="187"/>
        <v>09/09/2025</v>
      </c>
      <c r="B898" t="str">
        <f t="shared" si="189"/>
        <v>SAÍDA</v>
      </c>
      <c r="C898" t="str">
        <f t="shared" si="190"/>
        <v>PIX</v>
      </c>
      <c r="D898" t="str">
        <f>"21173"</f>
        <v>21173</v>
      </c>
      <c r="E898" t="str">
        <f t="shared" si="191"/>
        <v>1</v>
      </c>
      <c r="F898" t="str">
        <f t="shared" si="180"/>
        <v>COM</v>
      </c>
      <c r="G898" t="str">
        <f t="shared" si="193"/>
        <v>AMANDA VERÍSSIMO FERREIRA (794)</v>
      </c>
      <c r="H898" t="s">
        <v>328</v>
      </c>
      <c r="I898" t="str">
        <f t="shared" si="192"/>
        <v>11/09/2025</v>
      </c>
      <c r="J898" t="str">
        <f>("02/09/2025")</f>
        <v>02/09/2025</v>
      </c>
      <c r="K898">
        <v>45909</v>
      </c>
      <c r="N898">
        <v>109</v>
      </c>
      <c r="O898" t="s">
        <v>24</v>
      </c>
      <c r="Q898">
        <v>8.18</v>
      </c>
      <c r="R898" t="str">
        <f>"FARMÁCIA INDIANA LJ 143 (10067)"</f>
        <v>FARMÁCIA INDIANA LJ 143 (10067)</v>
      </c>
      <c r="S898" t="s">
        <v>48</v>
      </c>
      <c r="T898">
        <v>17788</v>
      </c>
      <c r="U898">
        <v>21718</v>
      </c>
      <c r="V898" t="s">
        <v>48</v>
      </c>
    </row>
    <row r="899" spans="1:22">
      <c r="A899" t="str">
        <f t="shared" si="187"/>
        <v>09/09/2025</v>
      </c>
      <c r="B899" t="str">
        <f>"ENTRADA"</f>
        <v>ENTRADA</v>
      </c>
      <c r="C899" t="str">
        <f>"DINHEIRO"</f>
        <v>DINHEIRO</v>
      </c>
      <c r="D899" t="str">
        <f>"794"</f>
        <v>794</v>
      </c>
      <c r="E899" t="str">
        <f>"4"</f>
        <v>4</v>
      </c>
      <c r="F899" t="str">
        <f t="shared" si="180"/>
        <v>COM</v>
      </c>
      <c r="G899" t="str">
        <f t="shared" si="193"/>
        <v>AMANDA VERÍSSIMO FERREIRA (794)</v>
      </c>
      <c r="H899" t="str">
        <f>"COTA COOPERATIVA"</f>
        <v>COTA COOPERATIVA</v>
      </c>
      <c r="I899" t="str">
        <f>("12/09/2025")</f>
        <v>12/09/2025</v>
      </c>
      <c r="J899" t="str">
        <f>("05/05/2025")</f>
        <v>05/05/2025</v>
      </c>
      <c r="K899" t="str">
        <f>("09/09/2025")</f>
        <v>09/09/2025</v>
      </c>
      <c r="L899">
        <v>20</v>
      </c>
      <c r="M899">
        <v>20</v>
      </c>
      <c r="N899">
        <v>106</v>
      </c>
      <c r="O899" t="str">
        <f>"ENTRADA DE CAPITAL"</f>
        <v>ENTRADA DE CAPITAL</v>
      </c>
      <c r="P899">
        <v>20</v>
      </c>
      <c r="S899" t="str">
        <f>"ENTRADA DE CAPITAL (106)"</f>
        <v>ENTRADA DE CAPITAL (106)</v>
      </c>
      <c r="T899">
        <v>17789</v>
      </c>
      <c r="U899">
        <v>16455</v>
      </c>
      <c r="V899" t="s">
        <v>48</v>
      </c>
    </row>
    <row r="900" spans="1:22">
      <c r="A900" t="str">
        <f t="shared" si="187"/>
        <v>09/09/2025</v>
      </c>
      <c r="B900" t="str">
        <f>"ENTRADA"</f>
        <v>ENTRADA</v>
      </c>
      <c r="C900" t="str">
        <f>"DINHEIRO"</f>
        <v>DINHEIRO</v>
      </c>
      <c r="D900" t="str">
        <f>"794"</f>
        <v>794</v>
      </c>
      <c r="E900" t="str">
        <f>"4"</f>
        <v>4</v>
      </c>
      <c r="F900" t="str">
        <f t="shared" si="180"/>
        <v>COM</v>
      </c>
      <c r="G900" t="str">
        <f t="shared" si="193"/>
        <v>AMANDA VERÍSSIMO FERREIRA (794)</v>
      </c>
      <c r="H900" t="s">
        <v>50</v>
      </c>
      <c r="I900" t="str">
        <f>("12/09/2025")</f>
        <v>12/09/2025</v>
      </c>
      <c r="J900" t="str">
        <f>("05/05/2025")</f>
        <v>05/05/2025</v>
      </c>
      <c r="K900">
        <v>45909</v>
      </c>
      <c r="N900">
        <v>106</v>
      </c>
      <c r="O900" t="s">
        <v>51</v>
      </c>
      <c r="Q900">
        <v>20</v>
      </c>
      <c r="R900" t="str">
        <f>"AMANDA VERÍSSIMO FERREIRA (794)"</f>
        <v>AMANDA VERÍSSIMO FERREIRA (794)</v>
      </c>
      <c r="S900" t="s">
        <v>52</v>
      </c>
      <c r="T900">
        <v>17789</v>
      </c>
      <c r="U900">
        <v>16455</v>
      </c>
      <c r="V900" t="s">
        <v>48</v>
      </c>
    </row>
    <row r="901" spans="1:22">
      <c r="A901" t="str">
        <f t="shared" si="187"/>
        <v>09/09/2025</v>
      </c>
      <c r="B901" t="str">
        <f>"SAÍDA"</f>
        <v>SAÍDA</v>
      </c>
      <c r="C901" t="str">
        <f>"PIX"</f>
        <v>PIX</v>
      </c>
      <c r="D901" t="str">
        <f>"21450"</f>
        <v>21450</v>
      </c>
      <c r="E901" t="str">
        <f>"1"</f>
        <v>1</v>
      </c>
      <c r="F901" t="str">
        <f t="shared" si="180"/>
        <v>COM</v>
      </c>
      <c r="G901" t="str">
        <f>"ANDERSON LUIZ SOARES (807)"</f>
        <v>ANDERSON LUIZ SOARES (807)</v>
      </c>
      <c r="H901" t="str">
        <f>"Serv.Prest. 01/09/2025 a 07/09/2025 - PIX: CELULAR - CHAVE: (32) 99920-0416"</f>
        <v>Serv.Prest. 01/09/2025 a 07/09/2025 - PIX: CELULAR - CHAVE: (32) 99920-0416</v>
      </c>
      <c r="I901" t="str">
        <f>("11/09/2025")</f>
        <v>11/09/2025</v>
      </c>
      <c r="J901" t="str">
        <f>("08/09/2025")</f>
        <v>08/09/2025</v>
      </c>
      <c r="K901" t="str">
        <f>("09/09/2025")</f>
        <v>09/09/2025</v>
      </c>
      <c r="L901">
        <v>20</v>
      </c>
      <c r="M901">
        <v>20</v>
      </c>
      <c r="N901">
        <v>109</v>
      </c>
      <c r="O901" t="str">
        <f>"PAGAMENTO DE ENTREGADORES"</f>
        <v>PAGAMENTO DE ENTREGADORES</v>
      </c>
      <c r="P901">
        <v>20</v>
      </c>
      <c r="S901" t="str">
        <f>"CAIXA MOVIMENTAÇÃO OPERACIONAL (132)"</f>
        <v>CAIXA MOVIMENTAÇÃO OPERACIONAL (132)</v>
      </c>
      <c r="T901">
        <v>17790</v>
      </c>
      <c r="U901">
        <v>21719</v>
      </c>
      <c r="V901" t="s">
        <v>48</v>
      </c>
    </row>
    <row r="902" spans="1:22">
      <c r="A902" t="str">
        <f t="shared" si="187"/>
        <v>09/09/2025</v>
      </c>
      <c r="B902" t="str">
        <f>"SAÍDA"</f>
        <v>SAÍDA</v>
      </c>
      <c r="C902" t="str">
        <f>"PIX"</f>
        <v>PIX</v>
      </c>
      <c r="D902" t="str">
        <f>"21450"</f>
        <v>21450</v>
      </c>
      <c r="E902" t="str">
        <f>"1"</f>
        <v>1</v>
      </c>
      <c r="F902" t="str">
        <f t="shared" si="180"/>
        <v>COM</v>
      </c>
      <c r="G902" t="str">
        <f>"ANDERSON LUIZ SOARES (807)"</f>
        <v>ANDERSON LUIZ SOARES (807)</v>
      </c>
      <c r="H902" t="s">
        <v>329</v>
      </c>
      <c r="I902" t="str">
        <f>("11/09/2025")</f>
        <v>11/09/2025</v>
      </c>
      <c r="J902" t="str">
        <f>("08/09/2025")</f>
        <v>08/09/2025</v>
      </c>
      <c r="K902">
        <v>45909</v>
      </c>
      <c r="N902">
        <v>109</v>
      </c>
      <c r="O902" t="s">
        <v>24</v>
      </c>
      <c r="Q902">
        <v>20</v>
      </c>
      <c r="R902" t="str">
        <f>"DROGARIA ANA VISCONDE DO RIO BRANCO (10182)"</f>
        <v>DROGARIA ANA VISCONDE DO RIO BRANCO (10182)</v>
      </c>
      <c r="S902" t="s">
        <v>48</v>
      </c>
      <c r="T902">
        <v>17790</v>
      </c>
      <c r="U902">
        <v>21719</v>
      </c>
      <c r="V902" t="s">
        <v>48</v>
      </c>
    </row>
    <row r="903" spans="1:22">
      <c r="A903" t="str">
        <f t="shared" si="187"/>
        <v>09/09/2025</v>
      </c>
      <c r="B903" t="str">
        <f>"ENTRADA"</f>
        <v>ENTRADA</v>
      </c>
      <c r="C903" t="str">
        <f>"DINHEIRO"</f>
        <v>DINHEIRO</v>
      </c>
      <c r="D903" t="str">
        <f>"807"</f>
        <v>807</v>
      </c>
      <c r="E903" t="str">
        <f>"4"</f>
        <v>4</v>
      </c>
      <c r="F903" t="str">
        <f t="shared" si="180"/>
        <v>COM</v>
      </c>
      <c r="G903" t="str">
        <f>"ANDERSON LUIZ SOARES (807)"</f>
        <v>ANDERSON LUIZ SOARES (807)</v>
      </c>
      <c r="H903" t="str">
        <f>"COTA COOPERATIVA"</f>
        <v>COTA COOPERATIVA</v>
      </c>
      <c r="I903" t="str">
        <f>("12/09/2025")</f>
        <v>12/09/2025</v>
      </c>
      <c r="J903" t="str">
        <f>("15/05/2025")</f>
        <v>15/05/2025</v>
      </c>
      <c r="K903" t="str">
        <f>("09/09/2025")</f>
        <v>09/09/2025</v>
      </c>
      <c r="L903">
        <v>20</v>
      </c>
      <c r="M903">
        <v>20</v>
      </c>
      <c r="N903">
        <v>106</v>
      </c>
      <c r="O903" t="str">
        <f>"ENTRADA DE CAPITAL"</f>
        <v>ENTRADA DE CAPITAL</v>
      </c>
      <c r="P903">
        <v>20</v>
      </c>
      <c r="S903" t="str">
        <f>"ENTRADA DE CAPITAL (106)"</f>
        <v>ENTRADA DE CAPITAL (106)</v>
      </c>
      <c r="T903">
        <v>17791</v>
      </c>
      <c r="U903">
        <v>16481</v>
      </c>
      <c r="V903" t="s">
        <v>48</v>
      </c>
    </row>
    <row r="904" spans="1:22">
      <c r="A904" t="str">
        <f t="shared" si="187"/>
        <v>09/09/2025</v>
      </c>
      <c r="B904" t="str">
        <f>"ENTRADA"</f>
        <v>ENTRADA</v>
      </c>
      <c r="C904" t="str">
        <f>"DINHEIRO"</f>
        <v>DINHEIRO</v>
      </c>
      <c r="D904" t="str">
        <f>"807"</f>
        <v>807</v>
      </c>
      <c r="E904" t="str">
        <f>"4"</f>
        <v>4</v>
      </c>
      <c r="F904" t="str">
        <f t="shared" si="180"/>
        <v>COM</v>
      </c>
      <c r="G904" t="str">
        <f>"ANDERSON LUIZ SOARES (807)"</f>
        <v>ANDERSON LUIZ SOARES (807)</v>
      </c>
      <c r="H904" t="s">
        <v>50</v>
      </c>
      <c r="I904" t="str">
        <f>("12/09/2025")</f>
        <v>12/09/2025</v>
      </c>
      <c r="J904" t="str">
        <f>("15/05/2025")</f>
        <v>15/05/2025</v>
      </c>
      <c r="K904">
        <v>45909</v>
      </c>
      <c r="N904">
        <v>106</v>
      </c>
      <c r="O904" t="s">
        <v>51</v>
      </c>
      <c r="Q904">
        <v>20</v>
      </c>
      <c r="R904" t="str">
        <f>"ANDERSON LUIZ SOARES (807)"</f>
        <v>ANDERSON LUIZ SOARES (807)</v>
      </c>
      <c r="S904" t="s">
        <v>52</v>
      </c>
      <c r="T904">
        <v>17791</v>
      </c>
      <c r="U904">
        <v>16481</v>
      </c>
      <c r="V904" t="s">
        <v>48</v>
      </c>
    </row>
    <row r="905" spans="1:22">
      <c r="A905" t="str">
        <f t="shared" si="187"/>
        <v>09/09/2025</v>
      </c>
      <c r="B905" t="str">
        <f>"ENTRADA"</f>
        <v>ENTRADA</v>
      </c>
      <c r="C905" t="str">
        <f>"DINHEIRO"</f>
        <v>DINHEIRO</v>
      </c>
      <c r="D905" t="str">
        <f>"746"</f>
        <v>746</v>
      </c>
      <c r="E905" t="str">
        <f>"5"</f>
        <v>5</v>
      </c>
      <c r="F905" t="str">
        <f t="shared" si="180"/>
        <v>COM</v>
      </c>
      <c r="G905" t="str">
        <f>"ANDERSON PEREIRA DOS SANTOS (746)"</f>
        <v>ANDERSON PEREIRA DOS SANTOS (746)</v>
      </c>
      <c r="H905" t="str">
        <f>"COTA COOPERATIVA"</f>
        <v>COTA COOPERATIVA</v>
      </c>
      <c r="I905" t="str">
        <f>("08/09/2025")</f>
        <v>08/09/2025</v>
      </c>
      <c r="J905" t="str">
        <f>("11/04/2025")</f>
        <v>11/04/2025</v>
      </c>
      <c r="K905" t="str">
        <f>("09/09/2025")</f>
        <v>09/09/2025</v>
      </c>
      <c r="L905">
        <v>20</v>
      </c>
      <c r="M905">
        <v>20</v>
      </c>
      <c r="N905">
        <v>106</v>
      </c>
      <c r="O905" t="str">
        <f>"ENTRADA DE CAPITAL"</f>
        <v>ENTRADA DE CAPITAL</v>
      </c>
      <c r="P905">
        <v>20</v>
      </c>
      <c r="S905" t="str">
        <f>"ENTRADA DE CAPITAL (106)"</f>
        <v>ENTRADA DE CAPITAL (106)</v>
      </c>
      <c r="T905">
        <v>17792</v>
      </c>
      <c r="U905">
        <v>13717</v>
      </c>
      <c r="V905" t="s">
        <v>48</v>
      </c>
    </row>
    <row r="906" spans="1:22">
      <c r="A906" t="str">
        <f t="shared" si="187"/>
        <v>09/09/2025</v>
      </c>
      <c r="B906" t="str">
        <f>"ENTRADA"</f>
        <v>ENTRADA</v>
      </c>
      <c r="C906" t="str">
        <f>"DINHEIRO"</f>
        <v>DINHEIRO</v>
      </c>
      <c r="D906" t="str">
        <f>"746"</f>
        <v>746</v>
      </c>
      <c r="E906" t="str">
        <f>"5"</f>
        <v>5</v>
      </c>
      <c r="F906" t="str">
        <f t="shared" si="180"/>
        <v>COM</v>
      </c>
      <c r="G906" t="str">
        <f>"ANDERSON PEREIRA DOS SANTOS (746)"</f>
        <v>ANDERSON PEREIRA DOS SANTOS (746)</v>
      </c>
      <c r="H906" t="s">
        <v>50</v>
      </c>
      <c r="I906" t="str">
        <f>("08/09/2025")</f>
        <v>08/09/2025</v>
      </c>
      <c r="J906" t="str">
        <f>("11/04/2025")</f>
        <v>11/04/2025</v>
      </c>
      <c r="K906">
        <v>45909</v>
      </c>
      <c r="N906">
        <v>106</v>
      </c>
      <c r="O906" t="s">
        <v>51</v>
      </c>
      <c r="Q906">
        <v>20</v>
      </c>
      <c r="R906" t="str">
        <f>"ANDERSON PEREIRA DOS SANTOS (746)"</f>
        <v>ANDERSON PEREIRA DOS SANTOS (746)</v>
      </c>
      <c r="S906" t="s">
        <v>52</v>
      </c>
      <c r="T906">
        <v>17792</v>
      </c>
      <c r="U906">
        <v>13717</v>
      </c>
      <c r="V906" t="s">
        <v>48</v>
      </c>
    </row>
    <row r="907" spans="1:22">
      <c r="A907" t="str">
        <f t="shared" si="187"/>
        <v>09/09/2025</v>
      </c>
      <c r="B907" t="str">
        <f>"SAÍDA"</f>
        <v>SAÍDA</v>
      </c>
      <c r="C907" t="str">
        <f>"PIX"</f>
        <v>PIX</v>
      </c>
      <c r="D907" t="str">
        <f>"21162"</f>
        <v>21162</v>
      </c>
      <c r="E907" t="str">
        <f>"1"</f>
        <v>1</v>
      </c>
      <c r="F907" t="str">
        <f t="shared" si="180"/>
        <v>COM</v>
      </c>
      <c r="G907" t="str">
        <f>"ANDERSON PEREIRA DOS SANTOS (746)"</f>
        <v>ANDERSON PEREIRA DOS SANTOS (746)</v>
      </c>
      <c r="H907" t="str">
        <f>"Serv.Prest. 25/08/2025 a 31/08/2025 - PIX: CPF - CHAVE: 079.930.865-07"</f>
        <v>Serv.Prest. 25/08/2025 a 31/08/2025 - PIX: CPF - CHAVE: 079.930.865-07</v>
      </c>
      <c r="I907" t="str">
        <f>("11/09/2025")</f>
        <v>11/09/2025</v>
      </c>
      <c r="J907" t="str">
        <f>("02/09/2025")</f>
        <v>02/09/2025</v>
      </c>
      <c r="K907" t="str">
        <f>("09/09/2025")</f>
        <v>09/09/2025</v>
      </c>
      <c r="L907">
        <v>20</v>
      </c>
      <c r="M907">
        <v>20</v>
      </c>
      <c r="N907">
        <v>109</v>
      </c>
      <c r="O907" t="str">
        <f>"PAGAMENTO DE ENTREGADORES"</f>
        <v>PAGAMENTO DE ENTREGADORES</v>
      </c>
      <c r="P907">
        <v>20</v>
      </c>
      <c r="S907" t="str">
        <f>"CAIXA MOVIMENTAÇÃO OPERACIONAL (132)"</f>
        <v>CAIXA MOVIMENTAÇÃO OPERACIONAL (132)</v>
      </c>
      <c r="T907">
        <v>17793</v>
      </c>
      <c r="U907">
        <v>21720</v>
      </c>
      <c r="V907" t="s">
        <v>48</v>
      </c>
    </row>
    <row r="908" spans="1:22">
      <c r="A908" t="str">
        <f t="shared" si="187"/>
        <v>09/09/2025</v>
      </c>
      <c r="B908" t="str">
        <f>"SAÍDA"</f>
        <v>SAÍDA</v>
      </c>
      <c r="C908" t="str">
        <f>"PIX"</f>
        <v>PIX</v>
      </c>
      <c r="D908" t="str">
        <f>"21162"</f>
        <v>21162</v>
      </c>
      <c r="E908" t="str">
        <f>"1"</f>
        <v>1</v>
      </c>
      <c r="F908" t="str">
        <f t="shared" si="180"/>
        <v>COM</v>
      </c>
      <c r="G908" t="str">
        <f>"ANDERSON PEREIRA DOS SANTOS (746)"</f>
        <v>ANDERSON PEREIRA DOS SANTOS (746)</v>
      </c>
      <c r="H908" t="s">
        <v>330</v>
      </c>
      <c r="I908" t="str">
        <f>("11/09/2025")</f>
        <v>11/09/2025</v>
      </c>
      <c r="J908" t="str">
        <f>("02/09/2025")</f>
        <v>02/09/2025</v>
      </c>
      <c r="K908">
        <v>45909</v>
      </c>
      <c r="N908">
        <v>109</v>
      </c>
      <c r="O908" t="s">
        <v>24</v>
      </c>
      <c r="Q908">
        <v>13</v>
      </c>
      <c r="R908" t="str">
        <f>"FARMÁCIA INDIANA LJ 211 (10168)"</f>
        <v>FARMÁCIA INDIANA LJ 211 (10168)</v>
      </c>
      <c r="S908" t="s">
        <v>48</v>
      </c>
      <c r="T908">
        <v>17793</v>
      </c>
      <c r="U908">
        <v>21720</v>
      </c>
      <c r="V908" t="s">
        <v>48</v>
      </c>
    </row>
    <row r="909" spans="1:22">
      <c r="A909" t="str">
        <f t="shared" si="187"/>
        <v>09/09/2025</v>
      </c>
      <c r="B909" t="str">
        <f>"SAÍDA"</f>
        <v>SAÍDA</v>
      </c>
      <c r="C909" t="str">
        <f>"PIX"</f>
        <v>PIX</v>
      </c>
      <c r="D909" t="str">
        <f>"21162"</f>
        <v>21162</v>
      </c>
      <c r="E909" t="str">
        <f>"1"</f>
        <v>1</v>
      </c>
      <c r="F909" t="str">
        <f t="shared" si="180"/>
        <v>COM</v>
      </c>
      <c r="G909" t="str">
        <f>"ANDERSON PEREIRA DOS SANTOS (746)"</f>
        <v>ANDERSON PEREIRA DOS SANTOS (746)</v>
      </c>
      <c r="H909" t="s">
        <v>330</v>
      </c>
      <c r="I909" t="str">
        <f>("11/09/2025")</f>
        <v>11/09/2025</v>
      </c>
      <c r="J909" t="str">
        <f>("02/09/2025")</f>
        <v>02/09/2025</v>
      </c>
      <c r="K909">
        <v>45909</v>
      </c>
      <c r="N909">
        <v>109</v>
      </c>
      <c r="O909" t="s">
        <v>24</v>
      </c>
      <c r="Q909">
        <v>7</v>
      </c>
      <c r="R909" t="str">
        <f>"FARMÁCIA INDIANA LJ 236 (10169)"</f>
        <v>FARMÁCIA INDIANA LJ 236 (10169)</v>
      </c>
      <c r="S909" t="s">
        <v>48</v>
      </c>
      <c r="T909">
        <v>17793</v>
      </c>
      <c r="U909">
        <v>21720</v>
      </c>
      <c r="V909" t="s">
        <v>48</v>
      </c>
    </row>
    <row r="910" spans="1:22">
      <c r="A910" t="str">
        <f t="shared" si="187"/>
        <v>09/09/2025</v>
      </c>
      <c r="B910" t="str">
        <f>"SAÍDA"</f>
        <v>SAÍDA</v>
      </c>
      <c r="C910" t="str">
        <f>"PIX"</f>
        <v>PIX</v>
      </c>
      <c r="D910" t="str">
        <f>"21174"</f>
        <v>21174</v>
      </c>
      <c r="E910" t="str">
        <f>"1"</f>
        <v>1</v>
      </c>
      <c r="F910" t="str">
        <f t="shared" si="180"/>
        <v>COM</v>
      </c>
      <c r="G910" t="str">
        <f>"ANISSO ANIDAL DE PAULA (161)"</f>
        <v>ANISSO ANIDAL DE PAULA (161)</v>
      </c>
      <c r="H910" t="str">
        <f>"Serv.Prest. 25/08/2025 a 31/08/2025 - PIX: E-MAIL - CHAVE: anissoanidaldepaula@gmail.com"</f>
        <v>Serv.Prest. 25/08/2025 a 31/08/2025 - PIX: E-MAIL - CHAVE: anissoanidaldepaula@gmail.com</v>
      </c>
      <c r="I910" t="str">
        <f>("11/09/2025")</f>
        <v>11/09/2025</v>
      </c>
      <c r="J910" t="str">
        <f>("02/09/2025")</f>
        <v>02/09/2025</v>
      </c>
      <c r="K910" t="str">
        <f>("09/09/2025")</f>
        <v>09/09/2025</v>
      </c>
      <c r="L910">
        <v>20</v>
      </c>
      <c r="M910">
        <v>20</v>
      </c>
      <c r="N910">
        <v>109</v>
      </c>
      <c r="O910" t="str">
        <f>"PAGAMENTO DE ENTREGADORES"</f>
        <v>PAGAMENTO DE ENTREGADORES</v>
      </c>
      <c r="P910">
        <v>20</v>
      </c>
      <c r="S910" t="str">
        <f>"CAIXA MOVIMENTAÇÃO OPERACIONAL (132)"</f>
        <v>CAIXA MOVIMENTAÇÃO OPERACIONAL (132)</v>
      </c>
      <c r="T910">
        <v>17794</v>
      </c>
      <c r="U910">
        <v>21721</v>
      </c>
      <c r="V910" t="s">
        <v>48</v>
      </c>
    </row>
    <row r="911" spans="1:22">
      <c r="A911" t="str">
        <f t="shared" si="187"/>
        <v>09/09/2025</v>
      </c>
      <c r="B911" t="str">
        <f>"SAÍDA"</f>
        <v>SAÍDA</v>
      </c>
      <c r="C911" t="str">
        <f>"PIX"</f>
        <v>PIX</v>
      </c>
      <c r="D911" t="str">
        <f>"21174"</f>
        <v>21174</v>
      </c>
      <c r="E911" t="str">
        <f>"1"</f>
        <v>1</v>
      </c>
      <c r="F911" t="str">
        <f t="shared" si="180"/>
        <v>COM</v>
      </c>
      <c r="G911" t="str">
        <f>"ANISSO ANIDAL DE PAULA (161)"</f>
        <v>ANISSO ANIDAL DE PAULA (161)</v>
      </c>
      <c r="H911" t="s">
        <v>331</v>
      </c>
      <c r="I911" t="str">
        <f>("11/09/2025")</f>
        <v>11/09/2025</v>
      </c>
      <c r="J911" t="str">
        <f>("02/09/2025")</f>
        <v>02/09/2025</v>
      </c>
      <c r="K911">
        <v>45909</v>
      </c>
      <c r="N911">
        <v>109</v>
      </c>
      <c r="O911" t="s">
        <v>24</v>
      </c>
      <c r="Q911">
        <v>20</v>
      </c>
      <c r="R911" t="str">
        <f>"FARMÁCIA INDIANA LJ 18 (10011)"</f>
        <v>FARMÁCIA INDIANA LJ 18 (10011)</v>
      </c>
      <c r="S911" t="s">
        <v>48</v>
      </c>
      <c r="T911">
        <v>17794</v>
      </c>
      <c r="U911">
        <v>21721</v>
      </c>
      <c r="V911" t="s">
        <v>48</v>
      </c>
    </row>
    <row r="912" spans="1:22">
      <c r="A912" t="str">
        <f t="shared" si="187"/>
        <v>09/09/2025</v>
      </c>
      <c r="B912" t="str">
        <f>"ENTRADA"</f>
        <v>ENTRADA</v>
      </c>
      <c r="C912" t="str">
        <f>"DINHEIRO"</f>
        <v>DINHEIRO</v>
      </c>
      <c r="D912" t="str">
        <f>"16"</f>
        <v>16</v>
      </c>
      <c r="E912" t="str">
        <f>"33"</f>
        <v>33</v>
      </c>
      <c r="F912" t="str">
        <f t="shared" si="180"/>
        <v>COM</v>
      </c>
      <c r="G912" t="str">
        <f>"ANISSO ANIDAL DE PAULA (161)"</f>
        <v>ANISSO ANIDAL DE PAULA (161)</v>
      </c>
      <c r="H912" t="str">
        <f>"DESCONTO COTA COOPERADO"</f>
        <v>DESCONTO COTA COOPERADO</v>
      </c>
      <c r="I912" t="str">
        <f>("15/09/2025")</f>
        <v>15/09/2025</v>
      </c>
      <c r="J912" t="str">
        <f>("15/01/2025")</f>
        <v>15/01/2025</v>
      </c>
      <c r="K912" t="str">
        <f>("09/09/2025")</f>
        <v>09/09/2025</v>
      </c>
      <c r="L912">
        <v>20</v>
      </c>
      <c r="M912">
        <v>20</v>
      </c>
      <c r="N912">
        <v>106</v>
      </c>
      <c r="O912" t="str">
        <f>"ENTRADA DE CAPITAL"</f>
        <v>ENTRADA DE CAPITAL</v>
      </c>
      <c r="P912">
        <v>20</v>
      </c>
      <c r="S912" t="str">
        <f>"ENTRADA DE CAPITAL (106)"</f>
        <v>ENTRADA DE CAPITAL (106)</v>
      </c>
      <c r="T912">
        <v>17795</v>
      </c>
      <c r="U912">
        <v>5880</v>
      </c>
      <c r="V912" t="s">
        <v>48</v>
      </c>
    </row>
    <row r="913" spans="1:22">
      <c r="A913" t="str">
        <f t="shared" si="187"/>
        <v>09/09/2025</v>
      </c>
      <c r="B913" t="str">
        <f>"ENTRADA"</f>
        <v>ENTRADA</v>
      </c>
      <c r="C913" t="str">
        <f>"DINHEIRO"</f>
        <v>DINHEIRO</v>
      </c>
      <c r="D913" t="str">
        <f>"16"</f>
        <v>16</v>
      </c>
      <c r="E913" t="str">
        <f>"33"</f>
        <v>33</v>
      </c>
      <c r="F913" t="str">
        <f t="shared" si="180"/>
        <v>COM</v>
      </c>
      <c r="G913" t="str">
        <f>"ANISSO ANIDAL DE PAULA (161)"</f>
        <v>ANISSO ANIDAL DE PAULA (161)</v>
      </c>
      <c r="H913" t="s">
        <v>309</v>
      </c>
      <c r="I913" t="str">
        <f>("15/09/2025")</f>
        <v>15/09/2025</v>
      </c>
      <c r="J913" t="str">
        <f>("15/01/2025")</f>
        <v>15/01/2025</v>
      </c>
      <c r="K913">
        <v>45909</v>
      </c>
      <c r="N913">
        <v>106</v>
      </c>
      <c r="O913" t="s">
        <v>51</v>
      </c>
      <c r="Q913">
        <v>20</v>
      </c>
      <c r="R913" t="str">
        <f>"ANISSO ANIDAL DE PAULA (161)"</f>
        <v>ANISSO ANIDAL DE PAULA (161)</v>
      </c>
      <c r="S913" t="s">
        <v>52</v>
      </c>
      <c r="T913">
        <v>17795</v>
      </c>
      <c r="U913">
        <v>5880</v>
      </c>
      <c r="V913" t="s">
        <v>48</v>
      </c>
    </row>
    <row r="914" spans="1:22">
      <c r="A914" t="str">
        <f t="shared" si="187"/>
        <v>09/09/2025</v>
      </c>
      <c r="B914" t="str">
        <f>"ENTRADA"</f>
        <v>ENTRADA</v>
      </c>
      <c r="C914" t="str">
        <f>"DINHEIRO"</f>
        <v>DINHEIRO</v>
      </c>
      <c r="D914" t="str">
        <f>"754"</f>
        <v>754</v>
      </c>
      <c r="E914" t="str">
        <f>"5"</f>
        <v>5</v>
      </c>
      <c r="F914" t="str">
        <f t="shared" si="180"/>
        <v>COM</v>
      </c>
      <c r="G914" t="str">
        <f>"ARLINDO COSTA FELIX (754)"</f>
        <v>ARLINDO COSTA FELIX (754)</v>
      </c>
      <c r="H914" t="str">
        <f>"COTA COOPERATIVA"</f>
        <v>COTA COOPERATIVA</v>
      </c>
      <c r="I914" t="str">
        <f>("08/09/2025")</f>
        <v>08/09/2025</v>
      </c>
      <c r="J914" t="str">
        <f>("16/04/2025")</f>
        <v>16/04/2025</v>
      </c>
      <c r="K914" t="str">
        <f>("09/09/2025")</f>
        <v>09/09/2025</v>
      </c>
      <c r="L914">
        <v>20</v>
      </c>
      <c r="M914">
        <v>20</v>
      </c>
      <c r="N914">
        <v>106</v>
      </c>
      <c r="O914" t="str">
        <f>"ENTRADA DE CAPITAL"</f>
        <v>ENTRADA DE CAPITAL</v>
      </c>
      <c r="P914">
        <v>20</v>
      </c>
      <c r="S914" t="str">
        <f>"ENTRADA DE CAPITAL (106)"</f>
        <v>ENTRADA DE CAPITAL (106)</v>
      </c>
      <c r="T914">
        <v>17796</v>
      </c>
      <c r="U914">
        <v>13748</v>
      </c>
      <c r="V914" t="s">
        <v>48</v>
      </c>
    </row>
    <row r="915" spans="1:22">
      <c r="A915" t="str">
        <f t="shared" si="187"/>
        <v>09/09/2025</v>
      </c>
      <c r="B915" t="str">
        <f>"ENTRADA"</f>
        <v>ENTRADA</v>
      </c>
      <c r="C915" t="str">
        <f>"DINHEIRO"</f>
        <v>DINHEIRO</v>
      </c>
      <c r="D915" t="str">
        <f>"754"</f>
        <v>754</v>
      </c>
      <c r="E915" t="str">
        <f>"5"</f>
        <v>5</v>
      </c>
      <c r="F915" t="str">
        <f t="shared" si="180"/>
        <v>COM</v>
      </c>
      <c r="G915" t="str">
        <f>"ARLINDO COSTA FELIX (754)"</f>
        <v>ARLINDO COSTA FELIX (754)</v>
      </c>
      <c r="H915" t="s">
        <v>50</v>
      </c>
      <c r="I915" t="str">
        <f>("08/09/2025")</f>
        <v>08/09/2025</v>
      </c>
      <c r="J915" t="str">
        <f>("16/04/2025")</f>
        <v>16/04/2025</v>
      </c>
      <c r="K915">
        <v>45909</v>
      </c>
      <c r="N915">
        <v>106</v>
      </c>
      <c r="O915" t="s">
        <v>51</v>
      </c>
      <c r="Q915">
        <v>20</v>
      </c>
      <c r="R915" t="str">
        <f>"ARLINDO COSTA FELIX (754)"</f>
        <v>ARLINDO COSTA FELIX (754)</v>
      </c>
      <c r="S915" t="s">
        <v>52</v>
      </c>
      <c r="T915">
        <v>17796</v>
      </c>
      <c r="U915">
        <v>13748</v>
      </c>
      <c r="V915" t="s">
        <v>48</v>
      </c>
    </row>
    <row r="916" spans="1:22">
      <c r="A916" t="str">
        <f t="shared" si="187"/>
        <v>09/09/2025</v>
      </c>
      <c r="B916" t="str">
        <f>"SAÍDA"</f>
        <v>SAÍDA</v>
      </c>
      <c r="C916" t="str">
        <f>"PIX"</f>
        <v>PIX</v>
      </c>
      <c r="D916" t="str">
        <f>"21438"</f>
        <v>21438</v>
      </c>
      <c r="E916" t="str">
        <f>"1"</f>
        <v>1</v>
      </c>
      <c r="F916" t="str">
        <f t="shared" si="180"/>
        <v>COM</v>
      </c>
      <c r="G916" t="str">
        <f>"ARLINDO COSTA FELIX (754)"</f>
        <v>ARLINDO COSTA FELIX (754)</v>
      </c>
      <c r="H916" t="str">
        <f>"Serv.Prest. 01/09/2025 a 07/09/2025 - PIX: CPF - CHAVE: 103.983.366-79"</f>
        <v>Serv.Prest. 01/09/2025 a 07/09/2025 - PIX: CPF - CHAVE: 103.983.366-79</v>
      </c>
      <c r="I916" t="str">
        <f>("11/09/2025")</f>
        <v>11/09/2025</v>
      </c>
      <c r="J916" t="str">
        <f>("08/09/2025")</f>
        <v>08/09/2025</v>
      </c>
      <c r="K916" t="str">
        <f>("09/09/2025")</f>
        <v>09/09/2025</v>
      </c>
      <c r="L916">
        <v>20</v>
      </c>
      <c r="M916">
        <v>20</v>
      </c>
      <c r="N916">
        <v>109</v>
      </c>
      <c r="O916" t="str">
        <f>"PAGAMENTO DE ENTREGADORES"</f>
        <v>PAGAMENTO DE ENTREGADORES</v>
      </c>
      <c r="P916">
        <v>20</v>
      </c>
      <c r="S916" t="str">
        <f>"CAIXA MOVIMENTAÇÃO OPERACIONAL (132)"</f>
        <v>CAIXA MOVIMENTAÇÃO OPERACIONAL (132)</v>
      </c>
      <c r="T916">
        <v>17797</v>
      </c>
      <c r="U916">
        <v>21722</v>
      </c>
      <c r="V916" t="s">
        <v>48</v>
      </c>
    </row>
    <row r="917" spans="1:22">
      <c r="A917" t="str">
        <f t="shared" si="187"/>
        <v>09/09/2025</v>
      </c>
      <c r="B917" t="str">
        <f>"SAÍDA"</f>
        <v>SAÍDA</v>
      </c>
      <c r="C917" t="str">
        <f>"PIX"</f>
        <v>PIX</v>
      </c>
      <c r="D917" t="str">
        <f>"21438"</f>
        <v>21438</v>
      </c>
      <c r="E917" t="str">
        <f>"1"</f>
        <v>1</v>
      </c>
      <c r="F917" t="str">
        <f t="shared" si="180"/>
        <v>COM</v>
      </c>
      <c r="G917" t="str">
        <f>"ARLINDO COSTA FELIX (754)"</f>
        <v>ARLINDO COSTA FELIX (754)</v>
      </c>
      <c r="H917" t="s">
        <v>332</v>
      </c>
      <c r="I917" t="str">
        <f>("11/09/2025")</f>
        <v>11/09/2025</v>
      </c>
      <c r="J917" t="str">
        <f>("08/09/2025")</f>
        <v>08/09/2025</v>
      </c>
      <c r="K917">
        <v>45909</v>
      </c>
      <c r="N917">
        <v>109</v>
      </c>
      <c r="O917" t="s">
        <v>24</v>
      </c>
      <c r="Q917">
        <v>20</v>
      </c>
      <c r="R917" t="str">
        <f>"ENTREFARMA (10164)"</f>
        <v>ENTREFARMA (10164)</v>
      </c>
      <c r="S917" t="s">
        <v>48</v>
      </c>
      <c r="T917">
        <v>17797</v>
      </c>
      <c r="U917">
        <v>21722</v>
      </c>
      <c r="V917" t="s">
        <v>48</v>
      </c>
    </row>
    <row r="918" spans="1:22">
      <c r="A918" t="str">
        <f t="shared" si="187"/>
        <v>09/09/2025</v>
      </c>
      <c r="B918" t="str">
        <f>"ENTRADA"</f>
        <v>ENTRADA</v>
      </c>
      <c r="C918" t="str">
        <f>"DINHEIRO"</f>
        <v>DINHEIRO</v>
      </c>
      <c r="D918" t="str">
        <f>"909"</f>
        <v>909</v>
      </c>
      <c r="E918" t="str">
        <f>"01"</f>
        <v>01</v>
      </c>
      <c r="F918" t="str">
        <f t="shared" si="180"/>
        <v>COM</v>
      </c>
      <c r="G918" t="str">
        <f>"ARLINDO JOSE MARTINS (909)"</f>
        <v>ARLINDO JOSE MARTINS (909)</v>
      </c>
      <c r="H918" t="str">
        <f>"COTA COOPERATIVA"</f>
        <v>COTA COOPERATIVA</v>
      </c>
      <c r="I918" t="str">
        <f>("10/09/2025")</f>
        <v>10/09/2025</v>
      </c>
      <c r="J918" t="str">
        <f>("12/08/2025")</f>
        <v>12/08/2025</v>
      </c>
      <c r="K918" t="str">
        <f>("09/09/2025")</f>
        <v>09/09/2025</v>
      </c>
      <c r="L918">
        <v>20</v>
      </c>
      <c r="M918">
        <v>20</v>
      </c>
      <c r="N918">
        <v>106</v>
      </c>
      <c r="O918" t="str">
        <f>"ENTRADA DE CAPITAL"</f>
        <v>ENTRADA DE CAPITAL</v>
      </c>
      <c r="P918">
        <v>20</v>
      </c>
      <c r="S918" t="str">
        <f>"ENTRADA DE CAPITAL (106)"</f>
        <v>ENTRADA DE CAPITAL (106)</v>
      </c>
      <c r="T918">
        <v>17798</v>
      </c>
      <c r="U918">
        <v>21723</v>
      </c>
      <c r="V918" t="s">
        <v>48</v>
      </c>
    </row>
    <row r="919" spans="1:22">
      <c r="A919" t="str">
        <f t="shared" si="187"/>
        <v>09/09/2025</v>
      </c>
      <c r="B919" t="str">
        <f>"ENTRADA"</f>
        <v>ENTRADA</v>
      </c>
      <c r="C919" t="str">
        <f>"DINHEIRO"</f>
        <v>DINHEIRO</v>
      </c>
      <c r="D919" t="str">
        <f>"909"</f>
        <v>909</v>
      </c>
      <c r="E919" t="str">
        <f>"01"</f>
        <v>01</v>
      </c>
      <c r="F919" t="str">
        <f t="shared" si="180"/>
        <v>COM</v>
      </c>
      <c r="G919" t="str">
        <f>"ARLINDO JOSE MARTINS (909)"</f>
        <v>ARLINDO JOSE MARTINS (909)</v>
      </c>
      <c r="H919" t="s">
        <v>50</v>
      </c>
      <c r="I919" t="str">
        <f>("10/09/2025")</f>
        <v>10/09/2025</v>
      </c>
      <c r="J919" t="str">
        <f>("12/08/2025")</f>
        <v>12/08/2025</v>
      </c>
      <c r="K919">
        <v>45909</v>
      </c>
      <c r="N919">
        <v>106</v>
      </c>
      <c r="O919" t="s">
        <v>51</v>
      </c>
      <c r="Q919">
        <v>20</v>
      </c>
      <c r="R919" t="str">
        <f>"ARLINDO JOSE MARTINS (909)"</f>
        <v>ARLINDO JOSE MARTINS (909)</v>
      </c>
      <c r="S919" t="s">
        <v>52</v>
      </c>
      <c r="T919">
        <v>17798</v>
      </c>
      <c r="U919">
        <v>21723</v>
      </c>
      <c r="V919" t="s">
        <v>48</v>
      </c>
    </row>
    <row r="920" spans="1:22">
      <c r="A920" t="str">
        <f t="shared" si="187"/>
        <v>09/09/2025</v>
      </c>
      <c r="B920" t="str">
        <f>"SAÍDA"</f>
        <v>SAÍDA</v>
      </c>
      <c r="C920" t="str">
        <f>"PIX"</f>
        <v>PIX</v>
      </c>
      <c r="D920" t="str">
        <f>"21175"</f>
        <v>21175</v>
      </c>
      <c r="E920" t="str">
        <f>"1"</f>
        <v>1</v>
      </c>
      <c r="F920" t="str">
        <f t="shared" si="180"/>
        <v>COM</v>
      </c>
      <c r="G920" t="str">
        <f>"ARLINDO JOSE MARTINS (909)"</f>
        <v>ARLINDO JOSE MARTINS (909)</v>
      </c>
      <c r="H920" t="str">
        <f>"Serv.Prest. 25/08/2025 a 31/08/2025 - PIX: CPF - CHAVE: 037.192.076-09"</f>
        <v>Serv.Prest. 25/08/2025 a 31/08/2025 - PIX: CPF - CHAVE: 037.192.076-09</v>
      </c>
      <c r="I920" t="str">
        <f>("11/09/2025")</f>
        <v>11/09/2025</v>
      </c>
      <c r="J920" t="str">
        <f>("02/09/2025")</f>
        <v>02/09/2025</v>
      </c>
      <c r="K920" t="str">
        <f>("09/09/2025")</f>
        <v>09/09/2025</v>
      </c>
      <c r="L920">
        <v>20</v>
      </c>
      <c r="M920">
        <v>20</v>
      </c>
      <c r="N920">
        <v>109</v>
      </c>
      <c r="O920" t="str">
        <f>"PAGAMENTO DE ENTREGADORES"</f>
        <v>PAGAMENTO DE ENTREGADORES</v>
      </c>
      <c r="P920">
        <v>20</v>
      </c>
      <c r="S920" t="str">
        <f>"CAIXA MOVIMENTAÇÃO OPERACIONAL (132)"</f>
        <v>CAIXA MOVIMENTAÇÃO OPERACIONAL (132)</v>
      </c>
      <c r="T920">
        <v>17799</v>
      </c>
      <c r="U920">
        <v>21748</v>
      </c>
      <c r="V920" t="s">
        <v>48</v>
      </c>
    </row>
    <row r="921" spans="1:22">
      <c r="A921" t="str">
        <f t="shared" si="187"/>
        <v>09/09/2025</v>
      </c>
      <c r="B921" t="str">
        <f>"SAÍDA"</f>
        <v>SAÍDA</v>
      </c>
      <c r="C921" t="str">
        <f>"PIX"</f>
        <v>PIX</v>
      </c>
      <c r="D921" t="str">
        <f>"21175"</f>
        <v>21175</v>
      </c>
      <c r="E921" t="str">
        <f>"1"</f>
        <v>1</v>
      </c>
      <c r="F921" t="str">
        <f t="shared" si="180"/>
        <v>COM</v>
      </c>
      <c r="G921" t="str">
        <f>"ARLINDO JOSE MARTINS (909)"</f>
        <v>ARLINDO JOSE MARTINS (909)</v>
      </c>
      <c r="H921" t="s">
        <v>333</v>
      </c>
      <c r="I921" t="str">
        <f>("11/09/2025")</f>
        <v>11/09/2025</v>
      </c>
      <c r="J921" t="str">
        <f>("02/09/2025")</f>
        <v>02/09/2025</v>
      </c>
      <c r="K921">
        <v>45909</v>
      </c>
      <c r="N921">
        <v>109</v>
      </c>
      <c r="O921" t="s">
        <v>24</v>
      </c>
      <c r="Q921">
        <v>20</v>
      </c>
      <c r="R921" t="str">
        <f>"FARMÁCIA INDIANA LJ 185 (10141)"</f>
        <v>FARMÁCIA INDIANA LJ 185 (10141)</v>
      </c>
      <c r="S921" t="s">
        <v>48</v>
      </c>
      <c r="T921">
        <v>17799</v>
      </c>
      <c r="U921">
        <v>21748</v>
      </c>
      <c r="V921" t="s">
        <v>48</v>
      </c>
    </row>
    <row r="922" spans="1:22">
      <c r="A922" t="str">
        <f t="shared" si="187"/>
        <v>09/09/2025</v>
      </c>
      <c r="B922" t="str">
        <f>"SAÍDA"</f>
        <v>SAÍDA</v>
      </c>
      <c r="C922" t="str">
        <f>"PIX"</f>
        <v>PIX</v>
      </c>
      <c r="D922" t="str">
        <f>"21663"</f>
        <v>21663</v>
      </c>
      <c r="E922" t="str">
        <f>"1"</f>
        <v>1</v>
      </c>
      <c r="F922" t="str">
        <f t="shared" si="180"/>
        <v>COM</v>
      </c>
      <c r="G922" t="str">
        <f>"BRENO HENRIQUE DE SOUSA (596)"</f>
        <v>BRENO HENRIQUE DE SOUSA (596)</v>
      </c>
      <c r="H922" t="str">
        <f>"Serv.Prest. 01/09/2025 a 07/09/2025 - PIX: CELULAR - CHAVE: (37) 99146-2630"</f>
        <v>Serv.Prest. 01/09/2025 a 07/09/2025 - PIX: CELULAR - CHAVE: (37) 99146-2630</v>
      </c>
      <c r="I922" t="str">
        <f>("11/09/2025")</f>
        <v>11/09/2025</v>
      </c>
      <c r="J922" t="str">
        <f>("09/09/2025")</f>
        <v>09/09/2025</v>
      </c>
      <c r="K922" t="str">
        <f>("09/09/2025")</f>
        <v>09/09/2025</v>
      </c>
      <c r="L922">
        <v>20</v>
      </c>
      <c r="M922">
        <v>20</v>
      </c>
      <c r="N922">
        <v>109</v>
      </c>
      <c r="O922" t="str">
        <f>"PAGAMENTO DE ENTREGADORES"</f>
        <v>PAGAMENTO DE ENTREGADORES</v>
      </c>
      <c r="P922">
        <v>20</v>
      </c>
      <c r="S922" t="str">
        <f>"CAIXA MOVIMENTAÇÃO OPERACIONAL (132)"</f>
        <v>CAIXA MOVIMENTAÇÃO OPERACIONAL (132)</v>
      </c>
      <c r="T922">
        <v>17800</v>
      </c>
      <c r="U922">
        <v>21749</v>
      </c>
      <c r="V922" t="s">
        <v>48</v>
      </c>
    </row>
    <row r="923" spans="1:22">
      <c r="A923" t="str">
        <f t="shared" si="187"/>
        <v>09/09/2025</v>
      </c>
      <c r="B923" t="str">
        <f>"SAÍDA"</f>
        <v>SAÍDA</v>
      </c>
      <c r="C923" t="str">
        <f>"PIX"</f>
        <v>PIX</v>
      </c>
      <c r="D923" t="str">
        <f>"21663"</f>
        <v>21663</v>
      </c>
      <c r="E923" t="str">
        <f>"1"</f>
        <v>1</v>
      </c>
      <c r="F923" t="str">
        <f t="shared" si="180"/>
        <v>COM</v>
      </c>
      <c r="G923" t="str">
        <f>"BRENO HENRIQUE DE SOUSA (596)"</f>
        <v>BRENO HENRIQUE DE SOUSA (596)</v>
      </c>
      <c r="H923" t="s">
        <v>334</v>
      </c>
      <c r="I923" t="str">
        <f>("11/09/2025")</f>
        <v>11/09/2025</v>
      </c>
      <c r="J923" t="str">
        <f>("09/09/2025")</f>
        <v>09/09/2025</v>
      </c>
      <c r="K923">
        <v>45909</v>
      </c>
      <c r="N923">
        <v>109</v>
      </c>
      <c r="O923" t="s">
        <v>24</v>
      </c>
      <c r="Q923">
        <v>20</v>
      </c>
      <c r="R923" t="str">
        <f>"DROGARIA POUPA MINAS (ULTRAMINAS) 1 (10181)"</f>
        <v>DROGARIA POUPA MINAS (ULTRAMINAS) 1 (10181)</v>
      </c>
      <c r="S923" t="s">
        <v>48</v>
      </c>
      <c r="T923">
        <v>17800</v>
      </c>
      <c r="U923">
        <v>21749</v>
      </c>
      <c r="V923" t="s">
        <v>48</v>
      </c>
    </row>
    <row r="924" spans="1:22">
      <c r="A924" t="str">
        <f t="shared" si="187"/>
        <v>09/09/2025</v>
      </c>
      <c r="B924" t="str">
        <f>"ENTRADA"</f>
        <v>ENTRADA</v>
      </c>
      <c r="C924" t="str">
        <f>"DINHEIRO"</f>
        <v>DINHEIRO</v>
      </c>
      <c r="D924" t="str">
        <f>"596"</f>
        <v>596</v>
      </c>
      <c r="E924" t="str">
        <f>"8"</f>
        <v>8</v>
      </c>
      <c r="F924" t="str">
        <f t="shared" ref="F924:F987" si="194">"COM"</f>
        <v>COM</v>
      </c>
      <c r="G924" t="str">
        <f>"BRENO HENRIQUE DE SOUSA (596)"</f>
        <v>BRENO HENRIQUE DE SOUSA (596)</v>
      </c>
      <c r="H924" t="str">
        <f>"COTAS COOPERATIVA"</f>
        <v>COTAS COOPERATIVA</v>
      </c>
      <c r="I924" t="str">
        <f>("13/09/2025")</f>
        <v>13/09/2025</v>
      </c>
      <c r="J924" t="str">
        <f>("12/02/2025")</f>
        <v>12/02/2025</v>
      </c>
      <c r="K924" t="str">
        <f>("09/09/2025")</f>
        <v>09/09/2025</v>
      </c>
      <c r="L924">
        <v>20</v>
      </c>
      <c r="M924">
        <v>20</v>
      </c>
      <c r="N924">
        <v>106</v>
      </c>
      <c r="O924" t="str">
        <f>"ENTRADA DE CAPITAL"</f>
        <v>ENTRADA DE CAPITAL</v>
      </c>
      <c r="P924">
        <v>20</v>
      </c>
      <c r="S924" t="str">
        <f>"ENTRADA DE CAPITAL (106)"</f>
        <v>ENTRADA DE CAPITAL (106)</v>
      </c>
      <c r="T924">
        <v>17801</v>
      </c>
      <c r="U924">
        <v>9051</v>
      </c>
      <c r="V924" t="s">
        <v>48</v>
      </c>
    </row>
    <row r="925" spans="1:22">
      <c r="A925" t="str">
        <f t="shared" si="187"/>
        <v>09/09/2025</v>
      </c>
      <c r="B925" t="str">
        <f>"ENTRADA"</f>
        <v>ENTRADA</v>
      </c>
      <c r="C925" t="str">
        <f>"DINHEIRO"</f>
        <v>DINHEIRO</v>
      </c>
      <c r="D925" t="str">
        <f>"596"</f>
        <v>596</v>
      </c>
      <c r="E925" t="str">
        <f>"8"</f>
        <v>8</v>
      </c>
      <c r="F925" t="str">
        <f t="shared" si="194"/>
        <v>COM</v>
      </c>
      <c r="G925" t="str">
        <f>"BRENO HENRIQUE DE SOUSA (596)"</f>
        <v>BRENO HENRIQUE DE SOUSA (596)</v>
      </c>
      <c r="H925" t="s">
        <v>318</v>
      </c>
      <c r="I925" t="str">
        <f>("13/09/2025")</f>
        <v>13/09/2025</v>
      </c>
      <c r="J925" t="str">
        <f>("12/02/2025")</f>
        <v>12/02/2025</v>
      </c>
      <c r="K925">
        <v>45909</v>
      </c>
      <c r="N925">
        <v>106</v>
      </c>
      <c r="O925" t="s">
        <v>51</v>
      </c>
      <c r="Q925">
        <v>20</v>
      </c>
      <c r="R925" t="str">
        <f>"BRENO HENRIQUE DE SOUSA (596)"</f>
        <v>BRENO HENRIQUE DE SOUSA (596)</v>
      </c>
      <c r="S925" t="s">
        <v>52</v>
      </c>
      <c r="T925">
        <v>17801</v>
      </c>
      <c r="U925">
        <v>9051</v>
      </c>
      <c r="V925" t="s">
        <v>48</v>
      </c>
    </row>
    <row r="926" spans="1:22">
      <c r="A926" t="str">
        <f t="shared" si="187"/>
        <v>09/09/2025</v>
      </c>
      <c r="B926" t="str">
        <f>"SAÍDA"</f>
        <v>SAÍDA</v>
      </c>
      <c r="C926" t="str">
        <f>"PIX"</f>
        <v>PIX</v>
      </c>
      <c r="D926" t="str">
        <f>"21177"</f>
        <v>21177</v>
      </c>
      <c r="E926" t="str">
        <f>"1"</f>
        <v>1</v>
      </c>
      <c r="F926" t="str">
        <f t="shared" si="194"/>
        <v>COM</v>
      </c>
      <c r="G926" t="str">
        <f t="shared" ref="G926:G937" si="195">"BRUNO DOS SANTOS MACHADO (702)"</f>
        <v>BRUNO DOS SANTOS MACHADO (702)</v>
      </c>
      <c r="H926" t="str">
        <f>"Serv.Prest. 25/08/2025 a 31/08/2025 - PIX: CPF - CHAVE: 155.328.666-94"</f>
        <v>Serv.Prest. 25/08/2025 a 31/08/2025 - PIX: CPF - CHAVE: 155.328.666-94</v>
      </c>
      <c r="I926" t="str">
        <f>("11/09/2025")</f>
        <v>11/09/2025</v>
      </c>
      <c r="J926" t="str">
        <f>("02/09/2025")</f>
        <v>02/09/2025</v>
      </c>
      <c r="K926" t="str">
        <f>("09/09/2025")</f>
        <v>09/09/2025</v>
      </c>
      <c r="L926">
        <v>120</v>
      </c>
      <c r="M926">
        <v>120</v>
      </c>
      <c r="N926">
        <v>109</v>
      </c>
      <c r="O926" t="str">
        <f>"PAGAMENTO DE ENTREGADORES"</f>
        <v>PAGAMENTO DE ENTREGADORES</v>
      </c>
      <c r="P926">
        <v>120</v>
      </c>
      <c r="S926" t="str">
        <f>"CAIXA MOVIMENTAÇÃO OPERACIONAL (132)"</f>
        <v>CAIXA MOVIMENTAÇÃO OPERACIONAL (132)</v>
      </c>
      <c r="T926">
        <v>17802</v>
      </c>
      <c r="U926">
        <v>21750</v>
      </c>
      <c r="V926" t="s">
        <v>48</v>
      </c>
    </row>
    <row r="927" spans="1:22">
      <c r="A927" t="str">
        <f t="shared" si="187"/>
        <v>09/09/2025</v>
      </c>
      <c r="B927" t="str">
        <f>"SAÍDA"</f>
        <v>SAÍDA</v>
      </c>
      <c r="C927" t="str">
        <f>"PIX"</f>
        <v>PIX</v>
      </c>
      <c r="D927" t="str">
        <f>"21177"</f>
        <v>21177</v>
      </c>
      <c r="E927" t="str">
        <f>"1"</f>
        <v>1</v>
      </c>
      <c r="F927" t="str">
        <f t="shared" si="194"/>
        <v>COM</v>
      </c>
      <c r="G927" t="str">
        <f t="shared" si="195"/>
        <v>BRUNO DOS SANTOS MACHADO (702)</v>
      </c>
      <c r="H927" t="s">
        <v>335</v>
      </c>
      <c r="I927" t="str">
        <f>("11/09/2025")</f>
        <v>11/09/2025</v>
      </c>
      <c r="J927" t="str">
        <f>("02/09/2025")</f>
        <v>02/09/2025</v>
      </c>
      <c r="K927">
        <v>45909</v>
      </c>
      <c r="N927">
        <v>109</v>
      </c>
      <c r="O927" t="s">
        <v>24</v>
      </c>
      <c r="Q927">
        <v>108</v>
      </c>
      <c r="R927" t="str">
        <f>"FARMÁCIA INDIANA LJ 204 (10087)"</f>
        <v>FARMÁCIA INDIANA LJ 204 (10087)</v>
      </c>
      <c r="S927" t="s">
        <v>48</v>
      </c>
      <c r="T927">
        <v>17802</v>
      </c>
      <c r="U927">
        <v>21750</v>
      </c>
      <c r="V927" t="s">
        <v>48</v>
      </c>
    </row>
    <row r="928" spans="1:22">
      <c r="A928" t="str">
        <f t="shared" si="187"/>
        <v>09/09/2025</v>
      </c>
      <c r="B928" t="str">
        <f>"SAÍDA"</f>
        <v>SAÍDA</v>
      </c>
      <c r="C928" t="str">
        <f>"PIX"</f>
        <v>PIX</v>
      </c>
      <c r="D928" t="str">
        <f>"21177"</f>
        <v>21177</v>
      </c>
      <c r="E928" t="str">
        <f>"1"</f>
        <v>1</v>
      </c>
      <c r="F928" t="str">
        <f t="shared" si="194"/>
        <v>COM</v>
      </c>
      <c r="G928" t="str">
        <f t="shared" si="195"/>
        <v>BRUNO DOS SANTOS MACHADO (702)</v>
      </c>
      <c r="H928" t="s">
        <v>335</v>
      </c>
      <c r="I928" t="str">
        <f>("11/09/2025")</f>
        <v>11/09/2025</v>
      </c>
      <c r="J928" t="str">
        <f>("02/09/2025")</f>
        <v>02/09/2025</v>
      </c>
      <c r="K928">
        <v>45909</v>
      </c>
      <c r="N928">
        <v>109</v>
      </c>
      <c r="O928" t="s">
        <v>24</v>
      </c>
      <c r="Q928">
        <v>12</v>
      </c>
      <c r="R928" t="str">
        <f>"FARMÁCIA INDIANA LJ 266 (10186)"</f>
        <v>FARMÁCIA INDIANA LJ 266 (10186)</v>
      </c>
      <c r="S928" t="s">
        <v>48</v>
      </c>
      <c r="T928">
        <v>17802</v>
      </c>
      <c r="U928">
        <v>21750</v>
      </c>
      <c r="V928" t="s">
        <v>48</v>
      </c>
    </row>
    <row r="929" spans="1:22">
      <c r="A929" t="str">
        <f t="shared" si="187"/>
        <v>09/09/2025</v>
      </c>
      <c r="B929" t="str">
        <f>"ENTRADA"</f>
        <v>ENTRADA</v>
      </c>
      <c r="C929" t="str">
        <f>"DINHEIRO"</f>
        <v>DINHEIRO</v>
      </c>
      <c r="D929" t="str">
        <f>"702"</f>
        <v>702</v>
      </c>
      <c r="E929" t="str">
        <f>"6"</f>
        <v>6</v>
      </c>
      <c r="F929" t="str">
        <f t="shared" si="194"/>
        <v>COM</v>
      </c>
      <c r="G929" t="str">
        <f t="shared" si="195"/>
        <v>BRUNO DOS SANTOS MACHADO (702)</v>
      </c>
      <c r="H929" t="str">
        <f>"COTA COOPERATIVA"</f>
        <v>COTA COOPERATIVA</v>
      </c>
      <c r="I929" t="str">
        <f>("10/09/2025")</f>
        <v>10/09/2025</v>
      </c>
      <c r="J929" t="str">
        <f>("17/03/2025")</f>
        <v>17/03/2025</v>
      </c>
      <c r="K929" t="str">
        <f>("09/09/2025")</f>
        <v>09/09/2025</v>
      </c>
      <c r="L929">
        <v>20</v>
      </c>
      <c r="M929">
        <v>20</v>
      </c>
      <c r="N929">
        <v>106</v>
      </c>
      <c r="O929" t="str">
        <f>"ENTRADA DE CAPITAL"</f>
        <v>ENTRADA DE CAPITAL</v>
      </c>
      <c r="P929">
        <v>20</v>
      </c>
      <c r="S929" t="str">
        <f>"ENTRADA DE CAPITAL (106)"</f>
        <v>ENTRADA DE CAPITAL (106)</v>
      </c>
      <c r="T929">
        <v>17803</v>
      </c>
      <c r="U929">
        <v>11786</v>
      </c>
      <c r="V929" t="s">
        <v>48</v>
      </c>
    </row>
    <row r="930" spans="1:22">
      <c r="A930" t="str">
        <f t="shared" si="187"/>
        <v>09/09/2025</v>
      </c>
      <c r="B930" t="str">
        <f>"ENTRADA"</f>
        <v>ENTRADA</v>
      </c>
      <c r="C930" t="str">
        <f>"DINHEIRO"</f>
        <v>DINHEIRO</v>
      </c>
      <c r="D930" t="str">
        <f>"702"</f>
        <v>702</v>
      </c>
      <c r="E930" t="str">
        <f>"6"</f>
        <v>6</v>
      </c>
      <c r="F930" t="str">
        <f t="shared" si="194"/>
        <v>COM</v>
      </c>
      <c r="G930" t="str">
        <f t="shared" si="195"/>
        <v>BRUNO DOS SANTOS MACHADO (702)</v>
      </c>
      <c r="H930" t="s">
        <v>50</v>
      </c>
      <c r="I930" t="str">
        <f>("10/09/2025")</f>
        <v>10/09/2025</v>
      </c>
      <c r="J930" t="str">
        <f>("17/03/2025")</f>
        <v>17/03/2025</v>
      </c>
      <c r="K930">
        <v>45909</v>
      </c>
      <c r="N930">
        <v>106</v>
      </c>
      <c r="O930" t="s">
        <v>51</v>
      </c>
      <c r="Q930">
        <v>20</v>
      </c>
      <c r="R930" t="str">
        <f>"BRUNO DOS SANTOS MACHADO (702)"</f>
        <v>BRUNO DOS SANTOS MACHADO (702)</v>
      </c>
      <c r="S930" t="s">
        <v>52</v>
      </c>
      <c r="T930">
        <v>17803</v>
      </c>
      <c r="U930">
        <v>11786</v>
      </c>
      <c r="V930" t="s">
        <v>48</v>
      </c>
    </row>
    <row r="931" spans="1:22">
      <c r="A931" t="str">
        <f t="shared" si="187"/>
        <v>09/09/2025</v>
      </c>
      <c r="B931" t="str">
        <f>"ENTRADA"</f>
        <v>ENTRADA</v>
      </c>
      <c r="C931" t="str">
        <f>"DINHEIRO"</f>
        <v>DINHEIRO</v>
      </c>
      <c r="D931" t="str">
        <f>"1109"</f>
        <v>1109</v>
      </c>
      <c r="E931" t="str">
        <f>"25"</f>
        <v>25</v>
      </c>
      <c r="F931" t="str">
        <f t="shared" si="194"/>
        <v>COM</v>
      </c>
      <c r="G931" t="str">
        <f t="shared" si="195"/>
        <v>BRUNO DOS SANTOS MACHADO (702)</v>
      </c>
      <c r="H931" t="str">
        <f>"REEMBOLSO ADIANTAMENTO"</f>
        <v>REEMBOLSO ADIANTAMENTO</v>
      </c>
      <c r="I931" t="str">
        <f>("11/09/2025")</f>
        <v>11/09/2025</v>
      </c>
      <c r="J931" t="str">
        <f>("04/09/2025")</f>
        <v>04/09/2025</v>
      </c>
      <c r="K931" t="str">
        <f>("09/09/2025")</f>
        <v>09/09/2025</v>
      </c>
      <c r="L931">
        <v>100</v>
      </c>
      <c r="M931">
        <v>100</v>
      </c>
      <c r="N931">
        <v>129</v>
      </c>
      <c r="O931" t="str">
        <f>"ENTRADA DE REEMBOLSO ADIANTAMENTO"</f>
        <v>ENTRADA DE REEMBOLSO ADIANTAMENTO</v>
      </c>
      <c r="P931">
        <v>100</v>
      </c>
      <c r="S931" t="str">
        <f>"ENTRADA DE REEMBOLSO ADIANTAMENTO (129)"</f>
        <v>ENTRADA DE REEMBOLSO ADIANTAMENTO (129)</v>
      </c>
      <c r="T931">
        <v>17804</v>
      </c>
      <c r="U931">
        <v>21344</v>
      </c>
      <c r="V931" t="s">
        <v>48</v>
      </c>
    </row>
    <row r="932" spans="1:22">
      <c r="A932" t="str">
        <f t="shared" si="187"/>
        <v>09/09/2025</v>
      </c>
      <c r="B932" t="str">
        <f>"ENTRADA"</f>
        <v>ENTRADA</v>
      </c>
      <c r="C932" t="str">
        <f>"DINHEIRO"</f>
        <v>DINHEIRO</v>
      </c>
      <c r="D932" t="str">
        <f>"1109"</f>
        <v>1109</v>
      </c>
      <c r="E932" t="str">
        <f>"25"</f>
        <v>25</v>
      </c>
      <c r="F932" t="str">
        <f t="shared" si="194"/>
        <v>COM</v>
      </c>
      <c r="G932" t="str">
        <f t="shared" si="195"/>
        <v>BRUNO DOS SANTOS MACHADO (702)</v>
      </c>
      <c r="H932" t="s">
        <v>57</v>
      </c>
      <c r="I932" t="str">
        <f>("11/09/2025")</f>
        <v>11/09/2025</v>
      </c>
      <c r="J932" t="str">
        <f>("04/09/2025")</f>
        <v>04/09/2025</v>
      </c>
      <c r="K932">
        <v>45909</v>
      </c>
      <c r="N932">
        <v>129</v>
      </c>
      <c r="O932" t="s">
        <v>58</v>
      </c>
      <c r="Q932">
        <v>100</v>
      </c>
      <c r="R932" t="str">
        <f>"BRUNO DOS SANTOS MACHADO (702)"</f>
        <v>BRUNO DOS SANTOS MACHADO (702)</v>
      </c>
      <c r="S932" t="s">
        <v>59</v>
      </c>
      <c r="T932">
        <v>17804</v>
      </c>
      <c r="U932">
        <v>21344</v>
      </c>
      <c r="V932" t="s">
        <v>48</v>
      </c>
    </row>
    <row r="933" spans="1:22">
      <c r="A933" t="str">
        <f t="shared" si="187"/>
        <v>09/09/2025</v>
      </c>
      <c r="B933" t="str">
        <f>"SAÍDA"</f>
        <v>SAÍDA</v>
      </c>
      <c r="C933" t="str">
        <f>"PIX"</f>
        <v>PIX</v>
      </c>
      <c r="D933" t="str">
        <f>"21498"</f>
        <v>21498</v>
      </c>
      <c r="E933" t="str">
        <f>"1"</f>
        <v>1</v>
      </c>
      <c r="F933" t="str">
        <f t="shared" si="194"/>
        <v>COM</v>
      </c>
      <c r="G933" t="str">
        <f t="shared" si="195"/>
        <v>BRUNO DOS SANTOS MACHADO (702)</v>
      </c>
      <c r="H933" t="str">
        <f>"Serv.Prest. 01/09/2025 a 07/09/2025 - PIX: CPF - CHAVE: 155.328.666-94"</f>
        <v>Serv.Prest. 01/09/2025 a 07/09/2025 - PIX: CPF - CHAVE: 155.328.666-94</v>
      </c>
      <c r="I933" t="str">
        <f>("18/09/2025")</f>
        <v>18/09/2025</v>
      </c>
      <c r="J933" t="str">
        <f>("08/09/2025")</f>
        <v>08/09/2025</v>
      </c>
      <c r="K933" t="str">
        <f>("09/09/2025")</f>
        <v>09/09/2025</v>
      </c>
      <c r="L933">
        <v>100</v>
      </c>
      <c r="M933">
        <v>100</v>
      </c>
      <c r="N933">
        <v>109</v>
      </c>
      <c r="O933" t="str">
        <f>"PAGAMENTO DE ENTREGADORES"</f>
        <v>PAGAMENTO DE ENTREGADORES</v>
      </c>
      <c r="P933">
        <v>100</v>
      </c>
      <c r="S933" t="str">
        <f>"CAIXA MOVIMENTAÇÃO OPERACIONAL (132)"</f>
        <v>CAIXA MOVIMENTAÇÃO OPERACIONAL (132)</v>
      </c>
      <c r="T933">
        <v>17805</v>
      </c>
      <c r="U933">
        <v>21751</v>
      </c>
      <c r="V933" t="s">
        <v>48</v>
      </c>
    </row>
    <row r="934" spans="1:22">
      <c r="A934" t="str">
        <f t="shared" si="187"/>
        <v>09/09/2025</v>
      </c>
      <c r="B934" t="str">
        <f>"SAÍDA"</f>
        <v>SAÍDA</v>
      </c>
      <c r="C934" t="str">
        <f>"PIX"</f>
        <v>PIX</v>
      </c>
      <c r="D934" t="str">
        <f>"21498"</f>
        <v>21498</v>
      </c>
      <c r="E934" t="str">
        <f>"1"</f>
        <v>1</v>
      </c>
      <c r="F934" t="str">
        <f t="shared" si="194"/>
        <v>COM</v>
      </c>
      <c r="G934" t="str">
        <f t="shared" si="195"/>
        <v>BRUNO DOS SANTOS MACHADO (702)</v>
      </c>
      <c r="H934" t="s">
        <v>336</v>
      </c>
      <c r="I934" t="str">
        <f>("18/09/2025")</f>
        <v>18/09/2025</v>
      </c>
      <c r="J934" t="str">
        <f>("08/09/2025")</f>
        <v>08/09/2025</v>
      </c>
      <c r="K934">
        <v>45909</v>
      </c>
      <c r="N934">
        <v>109</v>
      </c>
      <c r="O934" t="s">
        <v>24</v>
      </c>
      <c r="Q934">
        <v>60</v>
      </c>
      <c r="R934" t="str">
        <f>"FARMÁCIA INDIANA LJ 204 (10087)"</f>
        <v>FARMÁCIA INDIANA LJ 204 (10087)</v>
      </c>
      <c r="S934" t="s">
        <v>48</v>
      </c>
      <c r="T934">
        <v>17805</v>
      </c>
      <c r="U934">
        <v>21751</v>
      </c>
      <c r="V934" t="s">
        <v>48</v>
      </c>
    </row>
    <row r="935" spans="1:22">
      <c r="A935" t="str">
        <f t="shared" si="187"/>
        <v>09/09/2025</v>
      </c>
      <c r="B935" t="str">
        <f>"SAÍDA"</f>
        <v>SAÍDA</v>
      </c>
      <c r="C935" t="str">
        <f>"PIX"</f>
        <v>PIX</v>
      </c>
      <c r="D935" t="str">
        <f>"21498"</f>
        <v>21498</v>
      </c>
      <c r="E935" t="str">
        <f>"1"</f>
        <v>1</v>
      </c>
      <c r="F935" t="str">
        <f t="shared" si="194"/>
        <v>COM</v>
      </c>
      <c r="G935" t="str">
        <f t="shared" si="195"/>
        <v>BRUNO DOS SANTOS MACHADO (702)</v>
      </c>
      <c r="H935" t="s">
        <v>336</v>
      </c>
      <c r="I935" t="str">
        <f>("18/09/2025")</f>
        <v>18/09/2025</v>
      </c>
      <c r="J935" t="str">
        <f>("08/09/2025")</f>
        <v>08/09/2025</v>
      </c>
      <c r="K935">
        <v>45909</v>
      </c>
      <c r="N935">
        <v>109</v>
      </c>
      <c r="O935" t="s">
        <v>24</v>
      </c>
      <c r="Q935">
        <v>40</v>
      </c>
      <c r="R935" t="str">
        <f>"FARMÁCIA INDIANA LJ 266 (10186)"</f>
        <v>FARMÁCIA INDIANA LJ 266 (10186)</v>
      </c>
      <c r="S935" t="s">
        <v>48</v>
      </c>
      <c r="T935">
        <v>17805</v>
      </c>
      <c r="U935">
        <v>21751</v>
      </c>
      <c r="V935" t="s">
        <v>48</v>
      </c>
    </row>
    <row r="936" spans="1:22">
      <c r="A936" t="str">
        <f t="shared" si="187"/>
        <v>09/09/2025</v>
      </c>
      <c r="B936" t="str">
        <f>"ENTRADA"</f>
        <v>ENTRADA</v>
      </c>
      <c r="C936" t="str">
        <f>"DINHEIRO"</f>
        <v>DINHEIRO</v>
      </c>
      <c r="D936" t="str">
        <f>"1109"</f>
        <v>1109</v>
      </c>
      <c r="E936" t="str">
        <f>"25"</f>
        <v>25</v>
      </c>
      <c r="F936" t="str">
        <f t="shared" si="194"/>
        <v>COM</v>
      </c>
      <c r="G936" t="str">
        <f t="shared" si="195"/>
        <v>BRUNO DOS SANTOS MACHADO (702)</v>
      </c>
      <c r="H936" t="str">
        <f>"REEMBOLSO ADIANTAMENTO"</f>
        <v>REEMBOLSO ADIANTAMENTO</v>
      </c>
      <c r="I936" t="str">
        <f>("18/09/2025")</f>
        <v>18/09/2025</v>
      </c>
      <c r="J936" t="str">
        <f>("04/09/2025")</f>
        <v>04/09/2025</v>
      </c>
      <c r="K936" t="str">
        <f>("09/09/2025")</f>
        <v>09/09/2025</v>
      </c>
      <c r="L936">
        <v>100</v>
      </c>
      <c r="M936">
        <v>100</v>
      </c>
      <c r="N936">
        <v>129</v>
      </c>
      <c r="O936" t="str">
        <f>"ENTRADA DE REEMBOLSO ADIANTAMENTO"</f>
        <v>ENTRADA DE REEMBOLSO ADIANTAMENTO</v>
      </c>
      <c r="P936">
        <v>100</v>
      </c>
      <c r="S936" t="str">
        <f>"ENTRADA DE REEMBOLSO ADIANTAMENTO (129)"</f>
        <v>ENTRADA DE REEMBOLSO ADIANTAMENTO (129)</v>
      </c>
      <c r="T936">
        <v>17806</v>
      </c>
      <c r="U936">
        <v>21343</v>
      </c>
      <c r="V936" t="s">
        <v>48</v>
      </c>
    </row>
    <row r="937" spans="1:22">
      <c r="A937" t="str">
        <f t="shared" si="187"/>
        <v>09/09/2025</v>
      </c>
      <c r="B937" t="str">
        <f>"ENTRADA"</f>
        <v>ENTRADA</v>
      </c>
      <c r="C937" t="str">
        <f>"DINHEIRO"</f>
        <v>DINHEIRO</v>
      </c>
      <c r="D937" t="str">
        <f>"1109"</f>
        <v>1109</v>
      </c>
      <c r="E937" t="str">
        <f>"25"</f>
        <v>25</v>
      </c>
      <c r="F937" t="str">
        <f t="shared" si="194"/>
        <v>COM</v>
      </c>
      <c r="G937" t="str">
        <f t="shared" si="195"/>
        <v>BRUNO DOS SANTOS MACHADO (702)</v>
      </c>
      <c r="H937" t="s">
        <v>57</v>
      </c>
      <c r="I937" t="str">
        <f>("18/09/2025")</f>
        <v>18/09/2025</v>
      </c>
      <c r="J937" t="str">
        <f>("04/09/2025")</f>
        <v>04/09/2025</v>
      </c>
      <c r="K937">
        <v>45909</v>
      </c>
      <c r="N937">
        <v>129</v>
      </c>
      <c r="O937" t="s">
        <v>58</v>
      </c>
      <c r="Q937">
        <v>100</v>
      </c>
      <c r="R937" t="str">
        <f>"BRUNO DOS SANTOS MACHADO (702)"</f>
        <v>BRUNO DOS SANTOS MACHADO (702)</v>
      </c>
      <c r="S937" t="s">
        <v>59</v>
      </c>
      <c r="T937">
        <v>17806</v>
      </c>
      <c r="U937">
        <v>21343</v>
      </c>
      <c r="V937" t="s">
        <v>48</v>
      </c>
    </row>
    <row r="938" spans="1:22">
      <c r="A938" t="str">
        <f t="shared" si="187"/>
        <v>09/09/2025</v>
      </c>
      <c r="B938" t="str">
        <f>"SAÍDA"</f>
        <v>SAÍDA</v>
      </c>
      <c r="C938" t="str">
        <f>"PIX"</f>
        <v>PIX</v>
      </c>
      <c r="D938" t="str">
        <f>"21178"</f>
        <v>21178</v>
      </c>
      <c r="E938" t="str">
        <f>"1"</f>
        <v>1</v>
      </c>
      <c r="F938" t="str">
        <f t="shared" si="194"/>
        <v>COM</v>
      </c>
      <c r="G938" t="str">
        <f>"BRUNO WAGNER DE CARVALHO OLIVEIRA (84)"</f>
        <v>BRUNO WAGNER DE CARVALHO OLIVEIRA (84)</v>
      </c>
      <c r="H938" t="str">
        <f>"Serv.Prest. 25/08/2025 a 31/08/2025 - PIX: CELULAR - CHAVE: (32) 98896-0708"</f>
        <v>Serv.Prest. 25/08/2025 a 31/08/2025 - PIX: CELULAR - CHAVE: (32) 98896-0708</v>
      </c>
      <c r="I938" t="str">
        <f>("11/09/2025")</f>
        <v>11/09/2025</v>
      </c>
      <c r="J938" t="str">
        <f>("02/09/2025")</f>
        <v>02/09/2025</v>
      </c>
      <c r="K938" t="str">
        <f>("09/09/2025")</f>
        <v>09/09/2025</v>
      </c>
      <c r="L938">
        <v>20</v>
      </c>
      <c r="M938">
        <v>20</v>
      </c>
      <c r="N938">
        <v>109</v>
      </c>
      <c r="O938" t="str">
        <f>"PAGAMENTO DE ENTREGADORES"</f>
        <v>PAGAMENTO DE ENTREGADORES</v>
      </c>
      <c r="P938">
        <v>20</v>
      </c>
      <c r="S938" t="str">
        <f>"CAIXA MOVIMENTAÇÃO OPERACIONAL (132)"</f>
        <v>CAIXA MOVIMENTAÇÃO OPERACIONAL (132)</v>
      </c>
      <c r="T938">
        <v>17807</v>
      </c>
      <c r="U938">
        <v>21752</v>
      </c>
      <c r="V938" t="s">
        <v>48</v>
      </c>
    </row>
    <row r="939" spans="1:22">
      <c r="A939" t="str">
        <f t="shared" si="187"/>
        <v>09/09/2025</v>
      </c>
      <c r="B939" t="str">
        <f>"SAÍDA"</f>
        <v>SAÍDA</v>
      </c>
      <c r="C939" t="str">
        <f>"PIX"</f>
        <v>PIX</v>
      </c>
      <c r="D939" t="str">
        <f>"21178"</f>
        <v>21178</v>
      </c>
      <c r="E939" t="str">
        <f>"1"</f>
        <v>1</v>
      </c>
      <c r="F939" t="str">
        <f t="shared" si="194"/>
        <v>COM</v>
      </c>
      <c r="G939" t="str">
        <f>"BRUNO WAGNER DE CARVALHO OLIVEIRA (84)"</f>
        <v>BRUNO WAGNER DE CARVALHO OLIVEIRA (84)</v>
      </c>
      <c r="H939" t="s">
        <v>337</v>
      </c>
      <c r="I939" t="str">
        <f>("11/09/2025")</f>
        <v>11/09/2025</v>
      </c>
      <c r="J939" t="str">
        <f>("02/09/2025")</f>
        <v>02/09/2025</v>
      </c>
      <c r="K939">
        <v>45909</v>
      </c>
      <c r="N939">
        <v>109</v>
      </c>
      <c r="O939" t="s">
        <v>24</v>
      </c>
      <c r="Q939">
        <v>8.86</v>
      </c>
      <c r="R939" t="str">
        <f>"FARMÁCIA INDIANA LJ 182 (10079)"</f>
        <v>FARMÁCIA INDIANA LJ 182 (10079)</v>
      </c>
      <c r="S939" t="s">
        <v>48</v>
      </c>
      <c r="T939">
        <v>17807</v>
      </c>
      <c r="U939">
        <v>21752</v>
      </c>
      <c r="V939" t="s">
        <v>48</v>
      </c>
    </row>
    <row r="940" spans="1:22">
      <c r="A940" t="str">
        <f t="shared" si="187"/>
        <v>09/09/2025</v>
      </c>
      <c r="B940" t="str">
        <f>"SAÍDA"</f>
        <v>SAÍDA</v>
      </c>
      <c r="C940" t="str">
        <f>"PIX"</f>
        <v>PIX</v>
      </c>
      <c r="D940" t="str">
        <f>"21178"</f>
        <v>21178</v>
      </c>
      <c r="E940" t="str">
        <f>"1"</f>
        <v>1</v>
      </c>
      <c r="F940" t="str">
        <f t="shared" si="194"/>
        <v>COM</v>
      </c>
      <c r="G940" t="str">
        <f>"BRUNO WAGNER DE CARVALHO OLIVEIRA (84)"</f>
        <v>BRUNO WAGNER DE CARVALHO OLIVEIRA (84)</v>
      </c>
      <c r="H940" t="s">
        <v>337</v>
      </c>
      <c r="I940" t="str">
        <f>("11/09/2025")</f>
        <v>11/09/2025</v>
      </c>
      <c r="J940" t="str">
        <f>("02/09/2025")</f>
        <v>02/09/2025</v>
      </c>
      <c r="K940">
        <v>45909</v>
      </c>
      <c r="N940">
        <v>109</v>
      </c>
      <c r="O940" t="s">
        <v>24</v>
      </c>
      <c r="Q940">
        <v>11.14</v>
      </c>
      <c r="R940" t="str">
        <f>"FARMÁCIA INDIANA LJ 186 (10081)"</f>
        <v>FARMÁCIA INDIANA LJ 186 (10081)</v>
      </c>
      <c r="S940" t="s">
        <v>48</v>
      </c>
      <c r="T940">
        <v>17807</v>
      </c>
      <c r="U940">
        <v>21752</v>
      </c>
      <c r="V940" t="s">
        <v>48</v>
      </c>
    </row>
    <row r="941" spans="1:22">
      <c r="A941" t="str">
        <f t="shared" si="187"/>
        <v>09/09/2025</v>
      </c>
      <c r="B941" t="str">
        <f>"ENTRADA"</f>
        <v>ENTRADA</v>
      </c>
      <c r="C941" t="str">
        <f>"DINHEIRO"</f>
        <v>DINHEIRO</v>
      </c>
      <c r="D941" t="str">
        <f>"10"</f>
        <v>10</v>
      </c>
      <c r="E941" t="str">
        <f>"33"</f>
        <v>33</v>
      </c>
      <c r="F941" t="str">
        <f t="shared" si="194"/>
        <v>COM</v>
      </c>
      <c r="G941" t="str">
        <f>"BRUNO WAGNER DE CARVALHO OLIVEIRA (84)"</f>
        <v>BRUNO WAGNER DE CARVALHO OLIVEIRA (84)</v>
      </c>
      <c r="H941" t="str">
        <f>"DESCONTO COTA COOPERADO"</f>
        <v>DESCONTO COTA COOPERADO</v>
      </c>
      <c r="I941" t="str">
        <f>("16/09/2025")</f>
        <v>16/09/2025</v>
      </c>
      <c r="J941" t="str">
        <f>("15/01/2025")</f>
        <v>15/01/2025</v>
      </c>
      <c r="K941" t="str">
        <f>("09/09/2025")</f>
        <v>09/09/2025</v>
      </c>
      <c r="L941">
        <v>20</v>
      </c>
      <c r="M941">
        <v>20</v>
      </c>
      <c r="N941">
        <v>106</v>
      </c>
      <c r="O941" t="str">
        <f>"ENTRADA DE CAPITAL"</f>
        <v>ENTRADA DE CAPITAL</v>
      </c>
      <c r="P941">
        <v>20</v>
      </c>
      <c r="S941" t="str">
        <f>"ENTRADA DE CAPITAL (106)"</f>
        <v>ENTRADA DE CAPITAL (106)</v>
      </c>
      <c r="T941">
        <v>17808</v>
      </c>
      <c r="U941">
        <v>5898</v>
      </c>
      <c r="V941" t="s">
        <v>48</v>
      </c>
    </row>
    <row r="942" spans="1:22">
      <c r="A942" t="str">
        <f t="shared" si="187"/>
        <v>09/09/2025</v>
      </c>
      <c r="B942" t="str">
        <f>"ENTRADA"</f>
        <v>ENTRADA</v>
      </c>
      <c r="C942" t="str">
        <f>"DINHEIRO"</f>
        <v>DINHEIRO</v>
      </c>
      <c r="D942" t="str">
        <f>"10"</f>
        <v>10</v>
      </c>
      <c r="E942" t="str">
        <f>"33"</f>
        <v>33</v>
      </c>
      <c r="F942" t="str">
        <f t="shared" si="194"/>
        <v>COM</v>
      </c>
      <c r="G942" t="str">
        <f>"BRUNO WAGNER DE CARVALHO OLIVEIRA (84)"</f>
        <v>BRUNO WAGNER DE CARVALHO OLIVEIRA (84)</v>
      </c>
      <c r="H942" t="s">
        <v>309</v>
      </c>
      <c r="I942" t="str">
        <f>("16/09/2025")</f>
        <v>16/09/2025</v>
      </c>
      <c r="J942" t="str">
        <f>("15/01/2025")</f>
        <v>15/01/2025</v>
      </c>
      <c r="K942">
        <v>45909</v>
      </c>
      <c r="N942">
        <v>106</v>
      </c>
      <c r="O942" t="s">
        <v>51</v>
      </c>
      <c r="Q942">
        <v>20</v>
      </c>
      <c r="R942" t="str">
        <f>"BRUNO WAGNER DE CARVALHO OLIVEIRA (84)"</f>
        <v>BRUNO WAGNER DE CARVALHO OLIVEIRA (84)</v>
      </c>
      <c r="S942" t="s">
        <v>52</v>
      </c>
      <c r="T942">
        <v>17808</v>
      </c>
      <c r="U942">
        <v>5898</v>
      </c>
      <c r="V942" t="s">
        <v>48</v>
      </c>
    </row>
    <row r="943" spans="1:22">
      <c r="A943" t="str">
        <f t="shared" ref="A943:A1006" si="196">("09/09/2025")</f>
        <v>09/09/2025</v>
      </c>
      <c r="B943" t="str">
        <f>"SAÍDA"</f>
        <v>SAÍDA</v>
      </c>
      <c r="C943" t="str">
        <f>"PIX"</f>
        <v>PIX</v>
      </c>
      <c r="D943" t="str">
        <f>"21179"</f>
        <v>21179</v>
      </c>
      <c r="E943" t="str">
        <f>"1"</f>
        <v>1</v>
      </c>
      <c r="F943" t="str">
        <f t="shared" si="194"/>
        <v>COM</v>
      </c>
      <c r="G943" t="str">
        <f>"CARLOS ROBERTO BADARÓ MACHADO (78)"</f>
        <v>CARLOS ROBERTO BADARÓ MACHADO (78)</v>
      </c>
      <c r="H943" t="str">
        <f>"Serv.Prest. 25/08/2025 a 31/08/2025 - PIX: CELULAR - CHAVE: (32) 99166-8238"</f>
        <v>Serv.Prest. 25/08/2025 a 31/08/2025 - PIX: CELULAR - CHAVE: (32) 99166-8238</v>
      </c>
      <c r="I943" t="str">
        <f>("11/09/2025")</f>
        <v>11/09/2025</v>
      </c>
      <c r="J943" t="str">
        <f>("02/09/2025")</f>
        <v>02/09/2025</v>
      </c>
      <c r="K943" t="str">
        <f>("09/09/2025")</f>
        <v>09/09/2025</v>
      </c>
      <c r="L943">
        <v>20</v>
      </c>
      <c r="M943">
        <v>20</v>
      </c>
      <c r="N943">
        <v>109</v>
      </c>
      <c r="O943" t="str">
        <f>"PAGAMENTO DE ENTREGADORES"</f>
        <v>PAGAMENTO DE ENTREGADORES</v>
      </c>
      <c r="P943">
        <v>20</v>
      </c>
      <c r="S943" t="str">
        <f>"CAIXA MOVIMENTAÇÃO OPERACIONAL (132)"</f>
        <v>CAIXA MOVIMENTAÇÃO OPERACIONAL (132)</v>
      </c>
      <c r="T943">
        <v>17809</v>
      </c>
      <c r="U943">
        <v>21753</v>
      </c>
      <c r="V943" t="s">
        <v>48</v>
      </c>
    </row>
    <row r="944" spans="1:22">
      <c r="A944" t="str">
        <f t="shared" si="196"/>
        <v>09/09/2025</v>
      </c>
      <c r="B944" t="str">
        <f>"SAÍDA"</f>
        <v>SAÍDA</v>
      </c>
      <c r="C944" t="str">
        <f>"PIX"</f>
        <v>PIX</v>
      </c>
      <c r="D944" t="str">
        <f>"21179"</f>
        <v>21179</v>
      </c>
      <c r="E944" t="str">
        <f>"1"</f>
        <v>1</v>
      </c>
      <c r="F944" t="str">
        <f t="shared" si="194"/>
        <v>COM</v>
      </c>
      <c r="G944" t="str">
        <f>"CARLOS ROBERTO BADARÓ MACHADO (78)"</f>
        <v>CARLOS ROBERTO BADARÓ MACHADO (78)</v>
      </c>
      <c r="H944" t="s">
        <v>338</v>
      </c>
      <c r="I944" t="str">
        <f>("11/09/2025")</f>
        <v>11/09/2025</v>
      </c>
      <c r="J944" t="str">
        <f>("02/09/2025")</f>
        <v>02/09/2025</v>
      </c>
      <c r="K944">
        <v>45909</v>
      </c>
      <c r="N944">
        <v>109</v>
      </c>
      <c r="O944" t="s">
        <v>24</v>
      </c>
      <c r="Q944">
        <v>20</v>
      </c>
      <c r="R944" t="str">
        <f>"FARMÁCIA INDIANA LJ 109 (10047)"</f>
        <v>FARMÁCIA INDIANA LJ 109 (10047)</v>
      </c>
      <c r="S944" t="s">
        <v>48</v>
      </c>
      <c r="T944">
        <v>17809</v>
      </c>
      <c r="U944">
        <v>21753</v>
      </c>
      <c r="V944" t="s">
        <v>48</v>
      </c>
    </row>
    <row r="945" spans="1:22">
      <c r="A945" t="str">
        <f t="shared" si="196"/>
        <v>09/09/2025</v>
      </c>
      <c r="B945" t="str">
        <f>"ENTRADA"</f>
        <v>ENTRADA</v>
      </c>
      <c r="C945" t="str">
        <f>"DINHEIRO"</f>
        <v>DINHEIRO</v>
      </c>
      <c r="D945" t="str">
        <f>"16"</f>
        <v>16</v>
      </c>
      <c r="E945" t="str">
        <f>"32"</f>
        <v>32</v>
      </c>
      <c r="F945" t="str">
        <f t="shared" si="194"/>
        <v>COM</v>
      </c>
      <c r="G945" t="str">
        <f>"CARLOS ROBERTO BADARÓ MACHADO (78)"</f>
        <v>CARLOS ROBERTO BADARÓ MACHADO (78)</v>
      </c>
      <c r="H945" t="str">
        <f>"DESCONTO COTA COOPERADO"</f>
        <v>DESCONTO COTA COOPERADO</v>
      </c>
      <c r="I945" t="str">
        <f>("16/09/2025")</f>
        <v>16/09/2025</v>
      </c>
      <c r="J945" t="str">
        <f>("15/01/2025")</f>
        <v>15/01/2025</v>
      </c>
      <c r="K945" t="str">
        <f>("09/09/2025")</f>
        <v>09/09/2025</v>
      </c>
      <c r="L945">
        <v>20</v>
      </c>
      <c r="M945">
        <v>20</v>
      </c>
      <c r="N945">
        <v>106</v>
      </c>
      <c r="O945" t="str">
        <f>"ENTRADA DE CAPITAL"</f>
        <v>ENTRADA DE CAPITAL</v>
      </c>
      <c r="P945">
        <v>20</v>
      </c>
      <c r="S945" t="str">
        <f>"ENTRADA DE CAPITAL (106)"</f>
        <v>ENTRADA DE CAPITAL (106)</v>
      </c>
      <c r="T945">
        <v>17810</v>
      </c>
      <c r="U945">
        <v>5947</v>
      </c>
      <c r="V945" t="s">
        <v>48</v>
      </c>
    </row>
    <row r="946" spans="1:22">
      <c r="A946" t="str">
        <f t="shared" si="196"/>
        <v>09/09/2025</v>
      </c>
      <c r="B946" t="str">
        <f>"ENTRADA"</f>
        <v>ENTRADA</v>
      </c>
      <c r="C946" t="str">
        <f>"DINHEIRO"</f>
        <v>DINHEIRO</v>
      </c>
      <c r="D946" t="str">
        <f>"16"</f>
        <v>16</v>
      </c>
      <c r="E946" t="str">
        <f>"32"</f>
        <v>32</v>
      </c>
      <c r="F946" t="str">
        <f t="shared" si="194"/>
        <v>COM</v>
      </c>
      <c r="G946" t="str">
        <f>"CARLOS ROBERTO BADARÓ MACHADO (78)"</f>
        <v>CARLOS ROBERTO BADARÓ MACHADO (78)</v>
      </c>
      <c r="H946" t="s">
        <v>309</v>
      </c>
      <c r="I946" t="str">
        <f>("16/09/2025")</f>
        <v>16/09/2025</v>
      </c>
      <c r="J946" t="str">
        <f>("15/01/2025")</f>
        <v>15/01/2025</v>
      </c>
      <c r="K946">
        <v>45909</v>
      </c>
      <c r="N946">
        <v>106</v>
      </c>
      <c r="O946" t="s">
        <v>51</v>
      </c>
      <c r="Q946">
        <v>20</v>
      </c>
      <c r="R946" t="str">
        <f>"CARLOS ROBERTO BADARÓ MACHADO (78)"</f>
        <v>CARLOS ROBERTO BADARÓ MACHADO (78)</v>
      </c>
      <c r="S946" t="s">
        <v>52</v>
      </c>
      <c r="T946">
        <v>17810</v>
      </c>
      <c r="U946">
        <v>5947</v>
      </c>
      <c r="V946" t="s">
        <v>48</v>
      </c>
    </row>
    <row r="947" spans="1:22">
      <c r="A947" t="str">
        <f t="shared" si="196"/>
        <v>09/09/2025</v>
      </c>
      <c r="B947" t="str">
        <f>"SAÍDA"</f>
        <v>SAÍDA</v>
      </c>
      <c r="C947" t="str">
        <f>"PIX"</f>
        <v>PIX</v>
      </c>
      <c r="D947" t="str">
        <f>"21180"</f>
        <v>21180</v>
      </c>
      <c r="E947" t="str">
        <f>"1"</f>
        <v>1</v>
      </c>
      <c r="F947" t="str">
        <f t="shared" si="194"/>
        <v>COM</v>
      </c>
      <c r="G947" t="str">
        <f>"CASSIO DIAS RIBEIRO (32)"</f>
        <v>CASSIO DIAS RIBEIRO (32)</v>
      </c>
      <c r="H947" t="str">
        <f>"Serv.Prest. 25/08/2025 a 31/08/2025 - PIX: CPF - CHAVE: 091.575.986-14"</f>
        <v>Serv.Prest. 25/08/2025 a 31/08/2025 - PIX: CPF - CHAVE: 091.575.986-14</v>
      </c>
      <c r="I947" t="str">
        <f>("11/09/2025")</f>
        <v>11/09/2025</v>
      </c>
      <c r="J947" t="str">
        <f>("02/09/2025")</f>
        <v>02/09/2025</v>
      </c>
      <c r="K947" t="str">
        <f>("09/09/2025")</f>
        <v>09/09/2025</v>
      </c>
      <c r="L947">
        <v>150</v>
      </c>
      <c r="M947">
        <v>150</v>
      </c>
      <c r="N947">
        <v>109</v>
      </c>
      <c r="O947" t="str">
        <f>"PAGAMENTO DE ENTREGADORES"</f>
        <v>PAGAMENTO DE ENTREGADORES</v>
      </c>
      <c r="P947">
        <v>150</v>
      </c>
      <c r="S947" t="str">
        <f>"CAIXA MOVIMENTAÇÃO OPERACIONAL (132)"</f>
        <v>CAIXA MOVIMENTAÇÃO OPERACIONAL (132)</v>
      </c>
      <c r="T947">
        <v>17811</v>
      </c>
      <c r="U947">
        <v>21754</v>
      </c>
      <c r="V947" t="s">
        <v>48</v>
      </c>
    </row>
    <row r="948" spans="1:22">
      <c r="A948" t="str">
        <f t="shared" si="196"/>
        <v>09/09/2025</v>
      </c>
      <c r="B948" t="str">
        <f>"SAÍDA"</f>
        <v>SAÍDA</v>
      </c>
      <c r="C948" t="str">
        <f>"PIX"</f>
        <v>PIX</v>
      </c>
      <c r="D948" t="str">
        <f>"21180"</f>
        <v>21180</v>
      </c>
      <c r="E948" t="str">
        <f>"1"</f>
        <v>1</v>
      </c>
      <c r="F948" t="str">
        <f t="shared" si="194"/>
        <v>COM</v>
      </c>
      <c r="G948" t="str">
        <f>"CASSIO DIAS RIBEIRO (32)"</f>
        <v>CASSIO DIAS RIBEIRO (32)</v>
      </c>
      <c r="H948" t="s">
        <v>91</v>
      </c>
      <c r="I948" t="str">
        <f>("11/09/2025")</f>
        <v>11/09/2025</v>
      </c>
      <c r="J948" t="str">
        <f>("02/09/2025")</f>
        <v>02/09/2025</v>
      </c>
      <c r="K948">
        <v>45909</v>
      </c>
      <c r="N948">
        <v>109</v>
      </c>
      <c r="O948" t="s">
        <v>24</v>
      </c>
      <c r="Q948">
        <v>150</v>
      </c>
      <c r="R948" t="str">
        <f>"FARMÁCIA INDIANA LJ 11 (10008)"</f>
        <v>FARMÁCIA INDIANA LJ 11 (10008)</v>
      </c>
      <c r="S948" t="s">
        <v>48</v>
      </c>
      <c r="T948">
        <v>17811</v>
      </c>
      <c r="U948">
        <v>21754</v>
      </c>
      <c r="V948" t="s">
        <v>48</v>
      </c>
    </row>
    <row r="949" spans="1:22">
      <c r="A949" t="str">
        <f t="shared" si="196"/>
        <v>09/09/2025</v>
      </c>
      <c r="B949" t="str">
        <f>"ENTRADA"</f>
        <v>ENTRADA</v>
      </c>
      <c r="C949" t="str">
        <f>"DINHEIRO"</f>
        <v>DINHEIRO</v>
      </c>
      <c r="D949" t="str">
        <f>"1109"</f>
        <v>1109</v>
      </c>
      <c r="E949" t="str">
        <f>"25"</f>
        <v>25</v>
      </c>
      <c r="F949" t="str">
        <f t="shared" si="194"/>
        <v>COM</v>
      </c>
      <c r="G949" t="str">
        <f>"CASSIO DIAS RIBEIRO (32)"</f>
        <v>CASSIO DIAS RIBEIRO (32)</v>
      </c>
      <c r="H949" t="str">
        <f>"REEMBOLSO ADIANTAMENTO"</f>
        <v>REEMBOLSO ADIANTAMENTO</v>
      </c>
      <c r="I949" t="str">
        <f>("11/09/2025")</f>
        <v>11/09/2025</v>
      </c>
      <c r="J949" t="str">
        <f>("21/08/2025")</f>
        <v>21/08/2025</v>
      </c>
      <c r="K949" t="str">
        <f>("09/09/2025")</f>
        <v>09/09/2025</v>
      </c>
      <c r="L949">
        <v>150</v>
      </c>
      <c r="M949">
        <v>150</v>
      </c>
      <c r="N949">
        <v>129</v>
      </c>
      <c r="O949" t="str">
        <f>"ENTRADA DE REEMBOLSO ADIANTAMENTO"</f>
        <v>ENTRADA DE REEMBOLSO ADIANTAMENTO</v>
      </c>
      <c r="P949">
        <v>150</v>
      </c>
      <c r="S949" t="str">
        <f>"ENTRADA DE REEMBOLSO ADIANTAMENTO (129)"</f>
        <v>ENTRADA DE REEMBOLSO ADIANTAMENTO (129)</v>
      </c>
      <c r="T949">
        <v>17812</v>
      </c>
      <c r="U949">
        <v>20769</v>
      </c>
      <c r="V949" t="s">
        <v>48</v>
      </c>
    </row>
    <row r="950" spans="1:22">
      <c r="A950" t="str">
        <f t="shared" si="196"/>
        <v>09/09/2025</v>
      </c>
      <c r="B950" t="str">
        <f>"ENTRADA"</f>
        <v>ENTRADA</v>
      </c>
      <c r="C950" t="str">
        <f>"DINHEIRO"</f>
        <v>DINHEIRO</v>
      </c>
      <c r="D950" t="str">
        <f>"1109"</f>
        <v>1109</v>
      </c>
      <c r="E950" t="str">
        <f>"25"</f>
        <v>25</v>
      </c>
      <c r="F950" t="str">
        <f t="shared" si="194"/>
        <v>COM</v>
      </c>
      <c r="G950" t="str">
        <f>"CASSIO DIAS RIBEIRO (32)"</f>
        <v>CASSIO DIAS RIBEIRO (32)</v>
      </c>
      <c r="H950" t="s">
        <v>57</v>
      </c>
      <c r="I950" t="str">
        <f>("11/09/2025")</f>
        <v>11/09/2025</v>
      </c>
      <c r="J950" t="str">
        <f>("21/08/2025")</f>
        <v>21/08/2025</v>
      </c>
      <c r="K950">
        <v>45909</v>
      </c>
      <c r="N950">
        <v>129</v>
      </c>
      <c r="O950" t="s">
        <v>58</v>
      </c>
      <c r="Q950">
        <v>150</v>
      </c>
      <c r="R950" t="str">
        <f>"CASSIO DIAS RIBEIRO (32)"</f>
        <v>CASSIO DIAS RIBEIRO (32)</v>
      </c>
      <c r="S950" t="s">
        <v>59</v>
      </c>
      <c r="T950">
        <v>17812</v>
      </c>
      <c r="U950">
        <v>20769</v>
      </c>
      <c r="V950" t="s">
        <v>48</v>
      </c>
    </row>
    <row r="951" spans="1:22">
      <c r="A951" t="str">
        <f t="shared" si="196"/>
        <v>09/09/2025</v>
      </c>
      <c r="B951" t="str">
        <f>"ENTRADA"</f>
        <v>ENTRADA</v>
      </c>
      <c r="C951" t="str">
        <f>"DINHEIRO"</f>
        <v>DINHEIRO</v>
      </c>
      <c r="D951" t="str">
        <f>"681"</f>
        <v>681</v>
      </c>
      <c r="E951" t="str">
        <f>"5"</f>
        <v>5</v>
      </c>
      <c r="F951" t="str">
        <f t="shared" si="194"/>
        <v>COM</v>
      </c>
      <c r="G951" t="str">
        <f>"CLAUDINEI RIBEIRO VAL??RIO (681)"</f>
        <v>CLAUDINEI RIBEIRO VAL??RIO (681)</v>
      </c>
      <c r="H951" t="str">
        <f>"COTA COOPERATIVA"</f>
        <v>COTA COOPERATIVA</v>
      </c>
      <c r="I951" t="str">
        <f>("08/09/2025")</f>
        <v>08/09/2025</v>
      </c>
      <c r="J951" t="str">
        <f>("31/03/2025")</f>
        <v>31/03/2025</v>
      </c>
      <c r="K951" t="str">
        <f>("09/09/2025")</f>
        <v>09/09/2025</v>
      </c>
      <c r="L951">
        <v>20</v>
      </c>
      <c r="M951">
        <v>20</v>
      </c>
      <c r="N951">
        <v>106</v>
      </c>
      <c r="O951" t="str">
        <f>"ENTRADA DE CAPITAL"</f>
        <v>ENTRADA DE CAPITAL</v>
      </c>
      <c r="P951">
        <v>20</v>
      </c>
      <c r="S951" t="str">
        <f>"ENTRADA DE CAPITAL (106)"</f>
        <v>ENTRADA DE CAPITAL (106)</v>
      </c>
      <c r="T951">
        <v>17813</v>
      </c>
      <c r="U951">
        <v>13785</v>
      </c>
      <c r="V951" t="s">
        <v>48</v>
      </c>
    </row>
    <row r="952" spans="1:22">
      <c r="A952" t="str">
        <f t="shared" si="196"/>
        <v>09/09/2025</v>
      </c>
      <c r="B952" t="str">
        <f>"ENTRADA"</f>
        <v>ENTRADA</v>
      </c>
      <c r="C952" t="str">
        <f>"DINHEIRO"</f>
        <v>DINHEIRO</v>
      </c>
      <c r="D952" t="str">
        <f>"681"</f>
        <v>681</v>
      </c>
      <c r="E952" t="str">
        <f>"5"</f>
        <v>5</v>
      </c>
      <c r="F952" t="str">
        <f t="shared" si="194"/>
        <v>COM</v>
      </c>
      <c r="G952" t="str">
        <f>"CLAUDINEI RIBEIRO VAL??RIO (681)"</f>
        <v>CLAUDINEI RIBEIRO VAL??RIO (681)</v>
      </c>
      <c r="H952" t="s">
        <v>50</v>
      </c>
      <c r="I952" t="str">
        <f>("08/09/2025")</f>
        <v>08/09/2025</v>
      </c>
      <c r="J952" t="str">
        <f>("31/03/2025")</f>
        <v>31/03/2025</v>
      </c>
      <c r="K952">
        <v>45909</v>
      </c>
      <c r="N952">
        <v>106</v>
      </c>
      <c r="O952" t="s">
        <v>51</v>
      </c>
      <c r="Q952">
        <v>20</v>
      </c>
      <c r="R952" t="str">
        <f>"CLAUDINEI RIBEIRO VAL??RIO (681)"</f>
        <v>CLAUDINEI RIBEIRO VAL??RIO (681)</v>
      </c>
      <c r="S952" t="s">
        <v>52</v>
      </c>
      <c r="T952">
        <v>17813</v>
      </c>
      <c r="U952">
        <v>13785</v>
      </c>
      <c r="V952" t="s">
        <v>48</v>
      </c>
    </row>
    <row r="953" spans="1:22">
      <c r="A953" t="str">
        <f t="shared" si="196"/>
        <v>09/09/2025</v>
      </c>
      <c r="B953" t="str">
        <f>"SAÍDA"</f>
        <v>SAÍDA</v>
      </c>
      <c r="C953" t="str">
        <f>"PIX"</f>
        <v>PIX</v>
      </c>
      <c r="D953" t="str">
        <f>"21292"</f>
        <v>21292</v>
      </c>
      <c r="E953" t="str">
        <f>"1"</f>
        <v>1</v>
      </c>
      <c r="F953" t="str">
        <f t="shared" si="194"/>
        <v>COM</v>
      </c>
      <c r="G953" t="str">
        <f>"CLAUDINEI RIBEIRO VALERIO (681)"</f>
        <v>CLAUDINEI RIBEIRO VALERIO (681)</v>
      </c>
      <c r="H953" t="str">
        <f>"Serv.Prest. 25/08/2025 a 31/08/2025 - PIX: CELULAR - CHAVE: (43) 99630-7532"</f>
        <v>Serv.Prest. 25/08/2025 a 31/08/2025 - PIX: CELULAR - CHAVE: (43) 99630-7532</v>
      </c>
      <c r="I953" t="str">
        <f>("11/09/2025")</f>
        <v>11/09/2025</v>
      </c>
      <c r="J953" t="str">
        <f>("02/09/2025")</f>
        <v>02/09/2025</v>
      </c>
      <c r="K953" t="str">
        <f>("09/09/2025")</f>
        <v>09/09/2025</v>
      </c>
      <c r="L953">
        <v>20</v>
      </c>
      <c r="M953">
        <v>20</v>
      </c>
      <c r="N953">
        <v>109</v>
      </c>
      <c r="O953" t="str">
        <f>"PAGAMENTO DE ENTREGADORES"</f>
        <v>PAGAMENTO DE ENTREGADORES</v>
      </c>
      <c r="P953">
        <v>20</v>
      </c>
      <c r="S953" t="str">
        <f>"CAIXA MOVIMENTAÇÃO OPERACIONAL (132)"</f>
        <v>CAIXA MOVIMENTAÇÃO OPERACIONAL (132)</v>
      </c>
      <c r="T953">
        <v>17814</v>
      </c>
      <c r="U953">
        <v>21755</v>
      </c>
      <c r="V953" t="s">
        <v>48</v>
      </c>
    </row>
    <row r="954" spans="1:22">
      <c r="A954" t="str">
        <f t="shared" si="196"/>
        <v>09/09/2025</v>
      </c>
      <c r="B954" t="str">
        <f>"SAÍDA"</f>
        <v>SAÍDA</v>
      </c>
      <c r="C954" t="str">
        <f>"PIX"</f>
        <v>PIX</v>
      </c>
      <c r="D954" t="str">
        <f>"21292"</f>
        <v>21292</v>
      </c>
      <c r="E954" t="str">
        <f>"1"</f>
        <v>1</v>
      </c>
      <c r="F954" t="str">
        <f t="shared" si="194"/>
        <v>COM</v>
      </c>
      <c r="G954" t="str">
        <f>"CLAUDINEI RIBEIRO VALERIO (681)"</f>
        <v>CLAUDINEI RIBEIRO VALERIO (681)</v>
      </c>
      <c r="H954" t="s">
        <v>339</v>
      </c>
      <c r="I954" t="str">
        <f>("11/09/2025")</f>
        <v>11/09/2025</v>
      </c>
      <c r="J954" t="str">
        <f>("02/09/2025")</f>
        <v>02/09/2025</v>
      </c>
      <c r="K954">
        <v>45909</v>
      </c>
      <c r="N954">
        <v>109</v>
      </c>
      <c r="O954" t="s">
        <v>24</v>
      </c>
      <c r="Q954">
        <v>20</v>
      </c>
      <c r="R954" t="str">
        <f>"AC FARMA - CID.ALTA (10166)"</f>
        <v>AC FARMA - CID.ALTA (10166)</v>
      </c>
      <c r="S954" t="s">
        <v>48</v>
      </c>
      <c r="T954">
        <v>17814</v>
      </c>
      <c r="U954">
        <v>21755</v>
      </c>
      <c r="V954" t="s">
        <v>48</v>
      </c>
    </row>
    <row r="955" spans="1:22">
      <c r="A955" t="str">
        <f t="shared" si="196"/>
        <v>09/09/2025</v>
      </c>
      <c r="B955" t="str">
        <f>"SAÍDA"</f>
        <v>SAÍDA</v>
      </c>
      <c r="C955" t="str">
        <f>"PIX"</f>
        <v>PIX</v>
      </c>
      <c r="D955" t="str">
        <f>"21483"</f>
        <v>21483</v>
      </c>
      <c r="E955" t="str">
        <f>"1"</f>
        <v>1</v>
      </c>
      <c r="F955" t="str">
        <f t="shared" si="194"/>
        <v>COM</v>
      </c>
      <c r="G955" t="str">
        <f>"CLAUDIO DOS SANTOS (507)"</f>
        <v>CLAUDIO DOS SANTOS (507)</v>
      </c>
      <c r="H955" t="str">
        <f>"Serv.Prest. 01/09/2025 a 07/09/2025 - PIX: E-MAIL - CHAVE: claudioverdinho2009@hotmail.com"</f>
        <v>Serv.Prest. 01/09/2025 a 07/09/2025 - PIX: E-MAIL - CHAVE: claudioverdinho2009@hotmail.com</v>
      </c>
      <c r="I955" t="str">
        <f>("11/09/2025")</f>
        <v>11/09/2025</v>
      </c>
      <c r="J955" t="str">
        <f>("08/09/2025")</f>
        <v>08/09/2025</v>
      </c>
      <c r="K955" t="str">
        <f>("09/09/2025")</f>
        <v>09/09/2025</v>
      </c>
      <c r="L955">
        <v>20</v>
      </c>
      <c r="M955">
        <v>20</v>
      </c>
      <c r="N955">
        <v>109</v>
      </c>
      <c r="O955" t="str">
        <f>"PAGAMENTO DE ENTREGADORES"</f>
        <v>PAGAMENTO DE ENTREGADORES</v>
      </c>
      <c r="P955">
        <v>20</v>
      </c>
      <c r="S955" t="str">
        <f>"CAIXA MOVIMENTAÇÃO OPERACIONAL (132)"</f>
        <v>CAIXA MOVIMENTAÇÃO OPERACIONAL (132)</v>
      </c>
      <c r="T955">
        <v>17815</v>
      </c>
      <c r="U955">
        <v>21756</v>
      </c>
      <c r="V955" t="s">
        <v>48</v>
      </c>
    </row>
    <row r="956" spans="1:22">
      <c r="A956" t="str">
        <f t="shared" si="196"/>
        <v>09/09/2025</v>
      </c>
      <c r="B956" t="str">
        <f>"SAÍDA"</f>
        <v>SAÍDA</v>
      </c>
      <c r="C956" t="str">
        <f>"PIX"</f>
        <v>PIX</v>
      </c>
      <c r="D956" t="str">
        <f>"21483"</f>
        <v>21483</v>
      </c>
      <c r="E956" t="str">
        <f>"1"</f>
        <v>1</v>
      </c>
      <c r="F956" t="str">
        <f t="shared" si="194"/>
        <v>COM</v>
      </c>
      <c r="G956" t="str">
        <f>"CLAUDIO DOS SANTOS (507)"</f>
        <v>CLAUDIO DOS SANTOS (507)</v>
      </c>
      <c r="H956" t="s">
        <v>340</v>
      </c>
      <c r="I956" t="str">
        <f>("11/09/2025")</f>
        <v>11/09/2025</v>
      </c>
      <c r="J956" t="str">
        <f>("08/09/2025")</f>
        <v>08/09/2025</v>
      </c>
      <c r="K956">
        <v>45909</v>
      </c>
      <c r="N956">
        <v>109</v>
      </c>
      <c r="O956" t="s">
        <v>24</v>
      </c>
      <c r="Q956">
        <v>20</v>
      </c>
      <c r="R956" t="str">
        <f>"JAL FARMACIA E DROGARIA LJ 2 (10138)"</f>
        <v>JAL FARMACIA E DROGARIA LJ 2 (10138)</v>
      </c>
      <c r="S956" t="s">
        <v>48</v>
      </c>
      <c r="T956">
        <v>17815</v>
      </c>
      <c r="U956">
        <v>21756</v>
      </c>
      <c r="V956" t="s">
        <v>48</v>
      </c>
    </row>
    <row r="957" spans="1:22">
      <c r="A957" t="str">
        <f t="shared" si="196"/>
        <v>09/09/2025</v>
      </c>
      <c r="B957" t="str">
        <f>"ENTRADA"</f>
        <v>ENTRADA</v>
      </c>
      <c r="C957" t="str">
        <f>"DINHEIRO"</f>
        <v>DINHEIRO</v>
      </c>
      <c r="D957" t="str">
        <f>"3"</f>
        <v>3</v>
      </c>
      <c r="E957" t="str">
        <f>"33"</f>
        <v>33</v>
      </c>
      <c r="F957" t="str">
        <f t="shared" si="194"/>
        <v>COM</v>
      </c>
      <c r="G957" t="str">
        <f>"CLAUDIO DOS SANTOS (507)"</f>
        <v>CLAUDIO DOS SANTOS (507)</v>
      </c>
      <c r="H957" t="str">
        <f>"DESCONTO COTA COOPERADO"</f>
        <v>DESCONTO COTA COOPERADO</v>
      </c>
      <c r="I957" t="str">
        <f>("16/09/2025")</f>
        <v>16/09/2025</v>
      </c>
      <c r="J957" t="str">
        <f>("15/01/2025")</f>
        <v>15/01/2025</v>
      </c>
      <c r="K957" t="str">
        <f>("09/09/2025")</f>
        <v>09/09/2025</v>
      </c>
      <c r="L957">
        <v>20</v>
      </c>
      <c r="M957">
        <v>20</v>
      </c>
      <c r="N957">
        <v>106</v>
      </c>
      <c r="O957" t="str">
        <f>"ENTRADA DE CAPITAL"</f>
        <v>ENTRADA DE CAPITAL</v>
      </c>
      <c r="P957">
        <v>20</v>
      </c>
      <c r="S957" t="str">
        <f>"ENTRADA DE CAPITAL (106)"</f>
        <v>ENTRADA DE CAPITAL (106)</v>
      </c>
      <c r="T957">
        <v>17816</v>
      </c>
      <c r="U957">
        <v>5967</v>
      </c>
      <c r="V957" t="s">
        <v>48</v>
      </c>
    </row>
    <row r="958" spans="1:22">
      <c r="A958" t="str">
        <f t="shared" si="196"/>
        <v>09/09/2025</v>
      </c>
      <c r="B958" t="str">
        <f>"ENTRADA"</f>
        <v>ENTRADA</v>
      </c>
      <c r="C958" t="str">
        <f>"DINHEIRO"</f>
        <v>DINHEIRO</v>
      </c>
      <c r="D958" t="str">
        <f>"3"</f>
        <v>3</v>
      </c>
      <c r="E958" t="str">
        <f>"33"</f>
        <v>33</v>
      </c>
      <c r="F958" t="str">
        <f t="shared" si="194"/>
        <v>COM</v>
      </c>
      <c r="G958" t="str">
        <f>"CLAUDIO DOS SANTOS (507)"</f>
        <v>CLAUDIO DOS SANTOS (507)</v>
      </c>
      <c r="H958" t="s">
        <v>309</v>
      </c>
      <c r="I958" t="str">
        <f>("16/09/2025")</f>
        <v>16/09/2025</v>
      </c>
      <c r="J958" t="str">
        <f>("15/01/2025")</f>
        <v>15/01/2025</v>
      </c>
      <c r="K958">
        <v>45909</v>
      </c>
      <c r="N958">
        <v>106</v>
      </c>
      <c r="O958" t="s">
        <v>51</v>
      </c>
      <c r="Q958">
        <v>20</v>
      </c>
      <c r="R958" t="str">
        <f>"CLAUDIO DOS SANTOS (507)"</f>
        <v>CLAUDIO DOS SANTOS (507)</v>
      </c>
      <c r="S958" t="s">
        <v>52</v>
      </c>
      <c r="T958">
        <v>17816</v>
      </c>
      <c r="U958">
        <v>5967</v>
      </c>
      <c r="V958" t="s">
        <v>48</v>
      </c>
    </row>
    <row r="959" spans="1:22">
      <c r="A959" t="str">
        <f t="shared" si="196"/>
        <v>09/09/2025</v>
      </c>
      <c r="B959" t="str">
        <f>"SAÍDA"</f>
        <v>SAÍDA</v>
      </c>
      <c r="C959" t="str">
        <f>"PIX"</f>
        <v>PIX</v>
      </c>
      <c r="D959" t="str">
        <f>"21183"</f>
        <v>21183</v>
      </c>
      <c r="E959" t="str">
        <f>"1"</f>
        <v>1</v>
      </c>
      <c r="F959" t="str">
        <f t="shared" si="194"/>
        <v>COM</v>
      </c>
      <c r="G959" t="str">
        <f>"CRISTIANO XAVIER DA COSTA (269)"</f>
        <v>CRISTIANO XAVIER DA COSTA (269)</v>
      </c>
      <c r="H959" t="str">
        <f>"Serv.Prest. 25/08/2025 a 31/08/2025 - PIX: CELULAR - CHAVE: (32) 99177-6167"</f>
        <v>Serv.Prest. 25/08/2025 a 31/08/2025 - PIX: CELULAR - CHAVE: (32) 99177-6167</v>
      </c>
      <c r="I959" t="str">
        <f>("11/09/2025")</f>
        <v>11/09/2025</v>
      </c>
      <c r="J959" t="str">
        <f>("02/09/2025")</f>
        <v>02/09/2025</v>
      </c>
      <c r="K959" t="str">
        <f>("09/09/2025")</f>
        <v>09/09/2025</v>
      </c>
      <c r="L959">
        <v>20</v>
      </c>
      <c r="M959">
        <v>20</v>
      </c>
      <c r="N959">
        <v>109</v>
      </c>
      <c r="O959" t="str">
        <f>"PAGAMENTO DE ENTREGADORES"</f>
        <v>PAGAMENTO DE ENTREGADORES</v>
      </c>
      <c r="P959">
        <v>20</v>
      </c>
      <c r="S959" t="str">
        <f>"CAIXA MOVIMENTAÇÃO OPERACIONAL (132)"</f>
        <v>CAIXA MOVIMENTAÇÃO OPERACIONAL (132)</v>
      </c>
      <c r="T959">
        <v>17817</v>
      </c>
      <c r="U959">
        <v>21757</v>
      </c>
      <c r="V959" t="s">
        <v>48</v>
      </c>
    </row>
    <row r="960" spans="1:22">
      <c r="A960" t="str">
        <f t="shared" si="196"/>
        <v>09/09/2025</v>
      </c>
      <c r="B960" t="str">
        <f>"SAÍDA"</f>
        <v>SAÍDA</v>
      </c>
      <c r="C960" t="str">
        <f>"PIX"</f>
        <v>PIX</v>
      </c>
      <c r="D960" t="str">
        <f>"21183"</f>
        <v>21183</v>
      </c>
      <c r="E960" t="str">
        <f>"1"</f>
        <v>1</v>
      </c>
      <c r="F960" t="str">
        <f t="shared" si="194"/>
        <v>COM</v>
      </c>
      <c r="G960" t="str">
        <f>"CRISTIANO XAVIER DA COSTA (269)"</f>
        <v>CRISTIANO XAVIER DA COSTA (269)</v>
      </c>
      <c r="H960" t="s">
        <v>341</v>
      </c>
      <c r="I960" t="str">
        <f>("11/09/2025")</f>
        <v>11/09/2025</v>
      </c>
      <c r="J960" t="str">
        <f>("02/09/2025")</f>
        <v>02/09/2025</v>
      </c>
      <c r="K960">
        <v>45909</v>
      </c>
      <c r="N960">
        <v>109</v>
      </c>
      <c r="O960" t="s">
        <v>24</v>
      </c>
      <c r="Q960">
        <v>6.8</v>
      </c>
      <c r="R960" t="str">
        <f>"FARMÁCIA INDIANA LJ 207 (10088)"</f>
        <v>FARMÁCIA INDIANA LJ 207 (10088)</v>
      </c>
      <c r="S960" t="s">
        <v>48</v>
      </c>
      <c r="T960">
        <v>17817</v>
      </c>
      <c r="U960">
        <v>21757</v>
      </c>
      <c r="V960" t="s">
        <v>48</v>
      </c>
    </row>
    <row r="961" spans="1:22">
      <c r="A961" t="str">
        <f t="shared" si="196"/>
        <v>09/09/2025</v>
      </c>
      <c r="B961" t="str">
        <f>"SAÍDA"</f>
        <v>SAÍDA</v>
      </c>
      <c r="C961" t="str">
        <f>"PIX"</f>
        <v>PIX</v>
      </c>
      <c r="D961" t="str">
        <f>"21183"</f>
        <v>21183</v>
      </c>
      <c r="E961" t="str">
        <f>"1"</f>
        <v>1</v>
      </c>
      <c r="F961" t="str">
        <f t="shared" si="194"/>
        <v>COM</v>
      </c>
      <c r="G961" t="str">
        <f>"CRISTIANO XAVIER DA COSTA (269)"</f>
        <v>CRISTIANO XAVIER DA COSTA (269)</v>
      </c>
      <c r="H961" t="s">
        <v>341</v>
      </c>
      <c r="I961" t="str">
        <f>("11/09/2025")</f>
        <v>11/09/2025</v>
      </c>
      <c r="J961" t="str">
        <f>("02/09/2025")</f>
        <v>02/09/2025</v>
      </c>
      <c r="K961">
        <v>45909</v>
      </c>
      <c r="N961">
        <v>109</v>
      </c>
      <c r="O961" t="s">
        <v>24</v>
      </c>
      <c r="Q961">
        <v>13.2</v>
      </c>
      <c r="R961" t="str">
        <f>"FARMÁCIA INDIANA LJ 209 (10089)"</f>
        <v>FARMÁCIA INDIANA LJ 209 (10089)</v>
      </c>
      <c r="S961" t="s">
        <v>48</v>
      </c>
      <c r="T961">
        <v>17817</v>
      </c>
      <c r="U961">
        <v>21757</v>
      </c>
      <c r="V961" t="s">
        <v>48</v>
      </c>
    </row>
    <row r="962" spans="1:22">
      <c r="A962" t="str">
        <f t="shared" si="196"/>
        <v>09/09/2025</v>
      </c>
      <c r="B962" t="str">
        <f>"ENTRADA"</f>
        <v>ENTRADA</v>
      </c>
      <c r="C962" t="str">
        <f>"DINHEIRO"</f>
        <v>DINHEIRO</v>
      </c>
      <c r="D962" t="str">
        <f>"10"</f>
        <v>10</v>
      </c>
      <c r="E962" t="str">
        <f>"33"</f>
        <v>33</v>
      </c>
      <c r="F962" t="str">
        <f t="shared" si="194"/>
        <v>COM</v>
      </c>
      <c r="G962" t="str">
        <f>"CRISTIANO XAVIER DA COSTA (269)"</f>
        <v>CRISTIANO XAVIER DA COSTA (269)</v>
      </c>
      <c r="H962" t="str">
        <f>"DESCONTO COTA COOPERADO"</f>
        <v>DESCONTO COTA COOPERADO</v>
      </c>
      <c r="I962" t="str">
        <f>("16/09/2025")</f>
        <v>16/09/2025</v>
      </c>
      <c r="J962" t="str">
        <f>("16/01/2025")</f>
        <v>16/01/2025</v>
      </c>
      <c r="K962" t="str">
        <f>("09/09/2025")</f>
        <v>09/09/2025</v>
      </c>
      <c r="L962">
        <v>20</v>
      </c>
      <c r="M962">
        <v>20</v>
      </c>
      <c r="N962">
        <v>106</v>
      </c>
      <c r="O962" t="str">
        <f>"ENTRADA DE CAPITAL"</f>
        <v>ENTRADA DE CAPITAL</v>
      </c>
      <c r="P962">
        <v>20</v>
      </c>
      <c r="S962" t="str">
        <f>"ENTRADA DE CAPITAL (106)"</f>
        <v>ENTRADA DE CAPITAL (106)</v>
      </c>
      <c r="T962">
        <v>17818</v>
      </c>
      <c r="U962">
        <v>5998</v>
      </c>
      <c r="V962" t="s">
        <v>48</v>
      </c>
    </row>
    <row r="963" spans="1:22">
      <c r="A963" t="str">
        <f t="shared" si="196"/>
        <v>09/09/2025</v>
      </c>
      <c r="B963" t="str">
        <f>"ENTRADA"</f>
        <v>ENTRADA</v>
      </c>
      <c r="C963" t="str">
        <f>"DINHEIRO"</f>
        <v>DINHEIRO</v>
      </c>
      <c r="D963" t="str">
        <f>"10"</f>
        <v>10</v>
      </c>
      <c r="E963" t="str">
        <f>"33"</f>
        <v>33</v>
      </c>
      <c r="F963" t="str">
        <f t="shared" si="194"/>
        <v>COM</v>
      </c>
      <c r="G963" t="str">
        <f>"CRISTIANO XAVIER DA COSTA (269)"</f>
        <v>CRISTIANO XAVIER DA COSTA (269)</v>
      </c>
      <c r="H963" t="s">
        <v>309</v>
      </c>
      <c r="I963" t="str">
        <f>("16/09/2025")</f>
        <v>16/09/2025</v>
      </c>
      <c r="J963" t="str">
        <f>("16/01/2025")</f>
        <v>16/01/2025</v>
      </c>
      <c r="K963">
        <v>45909</v>
      </c>
      <c r="N963">
        <v>106</v>
      </c>
      <c r="O963" t="s">
        <v>51</v>
      </c>
      <c r="Q963">
        <v>20</v>
      </c>
      <c r="R963" t="str">
        <f>"CRISTIANO XAVIER DA COSTA (269)"</f>
        <v>CRISTIANO XAVIER DA COSTA (269)</v>
      </c>
      <c r="S963" t="s">
        <v>52</v>
      </c>
      <c r="T963">
        <v>17818</v>
      </c>
      <c r="U963">
        <v>5998</v>
      </c>
      <c r="V963" t="s">
        <v>48</v>
      </c>
    </row>
    <row r="964" spans="1:22">
      <c r="A964" t="str">
        <f t="shared" si="196"/>
        <v>09/09/2025</v>
      </c>
      <c r="B964" t="str">
        <f>"SAÍDA"</f>
        <v>SAÍDA</v>
      </c>
      <c r="C964" t="str">
        <f>"PIX"</f>
        <v>PIX</v>
      </c>
      <c r="D964" t="str">
        <f>"21163"</f>
        <v>21163</v>
      </c>
      <c r="E964" t="str">
        <f>"1"</f>
        <v>1</v>
      </c>
      <c r="F964" t="str">
        <f t="shared" si="194"/>
        <v>COM</v>
      </c>
      <c r="G964" t="str">
        <f>"DANILO ROCHA SILVA (162)"</f>
        <v>DANILO ROCHA SILVA (162)</v>
      </c>
      <c r="H964" t="str">
        <f>"Serv.Prest. 25/08/2025 a 31/08/2025 - PIX: CELULAR - CHAVE: (27) 99811-6850"</f>
        <v>Serv.Prest. 25/08/2025 a 31/08/2025 - PIX: CELULAR - CHAVE: (27) 99811-6850</v>
      </c>
      <c r="I964" t="str">
        <f>("11/09/2025")</f>
        <v>11/09/2025</v>
      </c>
      <c r="J964" t="str">
        <f>("02/09/2025")</f>
        <v>02/09/2025</v>
      </c>
      <c r="K964" t="str">
        <f>("09/09/2025")</f>
        <v>09/09/2025</v>
      </c>
      <c r="L964">
        <v>20</v>
      </c>
      <c r="M964">
        <v>20</v>
      </c>
      <c r="N964">
        <v>109</v>
      </c>
      <c r="O964" t="str">
        <f>"PAGAMENTO DE ENTREGADORES"</f>
        <v>PAGAMENTO DE ENTREGADORES</v>
      </c>
      <c r="P964">
        <v>20</v>
      </c>
      <c r="S964" t="str">
        <f>"CAIXA MOVIMENTAÇÃO OPERACIONAL (132)"</f>
        <v>CAIXA MOVIMENTAÇÃO OPERACIONAL (132)</v>
      </c>
      <c r="T964">
        <v>17819</v>
      </c>
      <c r="U964">
        <v>21758</v>
      </c>
      <c r="V964" t="s">
        <v>48</v>
      </c>
    </row>
    <row r="965" spans="1:22">
      <c r="A965" t="str">
        <f t="shared" si="196"/>
        <v>09/09/2025</v>
      </c>
      <c r="B965" t="str">
        <f>"SAÍDA"</f>
        <v>SAÍDA</v>
      </c>
      <c r="C965" t="str">
        <f>"PIX"</f>
        <v>PIX</v>
      </c>
      <c r="D965" t="str">
        <f>"21163"</f>
        <v>21163</v>
      </c>
      <c r="E965" t="str">
        <f>"1"</f>
        <v>1</v>
      </c>
      <c r="F965" t="str">
        <f t="shared" si="194"/>
        <v>COM</v>
      </c>
      <c r="G965" t="str">
        <f>"DANILO ROCHA SILVA (162)"</f>
        <v>DANILO ROCHA SILVA (162)</v>
      </c>
      <c r="H965" t="s">
        <v>342</v>
      </c>
      <c r="I965" t="str">
        <f>("11/09/2025")</f>
        <v>11/09/2025</v>
      </c>
      <c r="J965" t="str">
        <f>("02/09/2025")</f>
        <v>02/09/2025</v>
      </c>
      <c r="K965">
        <v>45909</v>
      </c>
      <c r="N965">
        <v>109</v>
      </c>
      <c r="O965" t="s">
        <v>24</v>
      </c>
      <c r="Q965">
        <v>20</v>
      </c>
      <c r="R965" t="str">
        <f>"FARMÁCIA INDIANA LJ 181 (10078)"</f>
        <v>FARMÁCIA INDIANA LJ 181 (10078)</v>
      </c>
      <c r="S965" t="s">
        <v>48</v>
      </c>
      <c r="T965">
        <v>17819</v>
      </c>
      <c r="U965">
        <v>21758</v>
      </c>
      <c r="V965" t="s">
        <v>48</v>
      </c>
    </row>
    <row r="966" spans="1:22">
      <c r="A966" t="str">
        <f t="shared" si="196"/>
        <v>09/09/2025</v>
      </c>
      <c r="B966" t="str">
        <f>"ENTRADA"</f>
        <v>ENTRADA</v>
      </c>
      <c r="C966" t="str">
        <f>"DINHEIRO"</f>
        <v>DINHEIRO</v>
      </c>
      <c r="D966" t="str">
        <f>"16"</f>
        <v>16</v>
      </c>
      <c r="E966" t="str">
        <f>"33"</f>
        <v>33</v>
      </c>
      <c r="F966" t="str">
        <f t="shared" si="194"/>
        <v>COM</v>
      </c>
      <c r="G966" t="str">
        <f>"DANILO ROCHA SILVA (162)"</f>
        <v>DANILO ROCHA SILVA (162)</v>
      </c>
      <c r="H966" t="str">
        <f>"DESCONTO COTA COOPERADO"</f>
        <v>DESCONTO COTA COOPERADO</v>
      </c>
      <c r="I966" t="str">
        <f>("16/09/2025")</f>
        <v>16/09/2025</v>
      </c>
      <c r="J966" t="str">
        <f>("16/01/2025")</f>
        <v>16/01/2025</v>
      </c>
      <c r="K966" t="str">
        <f>("09/09/2025")</f>
        <v>09/09/2025</v>
      </c>
      <c r="L966">
        <v>20</v>
      </c>
      <c r="M966">
        <v>20</v>
      </c>
      <c r="N966">
        <v>106</v>
      </c>
      <c r="O966" t="str">
        <f>"ENTRADA DE CAPITAL"</f>
        <v>ENTRADA DE CAPITAL</v>
      </c>
      <c r="P966">
        <v>20</v>
      </c>
      <c r="S966" t="str">
        <f>"ENTRADA DE CAPITAL (106)"</f>
        <v>ENTRADA DE CAPITAL (106)</v>
      </c>
      <c r="T966">
        <v>17820</v>
      </c>
      <c r="U966">
        <v>6022</v>
      </c>
      <c r="V966" t="s">
        <v>48</v>
      </c>
    </row>
    <row r="967" spans="1:22">
      <c r="A967" t="str">
        <f t="shared" si="196"/>
        <v>09/09/2025</v>
      </c>
      <c r="B967" t="str">
        <f>"ENTRADA"</f>
        <v>ENTRADA</v>
      </c>
      <c r="C967" t="str">
        <f>"DINHEIRO"</f>
        <v>DINHEIRO</v>
      </c>
      <c r="D967" t="str">
        <f>"16"</f>
        <v>16</v>
      </c>
      <c r="E967" t="str">
        <f>"33"</f>
        <v>33</v>
      </c>
      <c r="F967" t="str">
        <f t="shared" si="194"/>
        <v>COM</v>
      </c>
      <c r="G967" t="str">
        <f>"DANILO ROCHA SILVA (162)"</f>
        <v>DANILO ROCHA SILVA (162)</v>
      </c>
      <c r="H967" t="s">
        <v>309</v>
      </c>
      <c r="I967" t="str">
        <f>("16/09/2025")</f>
        <v>16/09/2025</v>
      </c>
      <c r="J967" t="str">
        <f>("16/01/2025")</f>
        <v>16/01/2025</v>
      </c>
      <c r="K967">
        <v>45909</v>
      </c>
      <c r="N967">
        <v>106</v>
      </c>
      <c r="O967" t="s">
        <v>51</v>
      </c>
      <c r="Q967">
        <v>20</v>
      </c>
      <c r="R967" t="str">
        <f>"DANILO ROCHA SILVA (162)"</f>
        <v>DANILO ROCHA SILVA (162)</v>
      </c>
      <c r="S967" t="s">
        <v>52</v>
      </c>
      <c r="T967">
        <v>17820</v>
      </c>
      <c r="U967">
        <v>6022</v>
      </c>
      <c r="V967" t="s">
        <v>48</v>
      </c>
    </row>
    <row r="968" spans="1:22">
      <c r="A968" t="str">
        <f t="shared" si="196"/>
        <v>09/09/2025</v>
      </c>
      <c r="B968" t="str">
        <f>"ENTRADA"</f>
        <v>ENTRADA</v>
      </c>
      <c r="C968" t="str">
        <f>"DINHEIRO"</f>
        <v>DINHEIRO</v>
      </c>
      <c r="D968" t="str">
        <f>"770"</f>
        <v>770</v>
      </c>
      <c r="E968" t="str">
        <f>"5"</f>
        <v>5</v>
      </c>
      <c r="F968" t="str">
        <f t="shared" si="194"/>
        <v>COM</v>
      </c>
      <c r="G968" t="str">
        <f t="shared" ref="G968:G973" si="197">"DANILO WASHINGTON DOS SANTOS (770)"</f>
        <v>DANILO WASHINGTON DOS SANTOS (770)</v>
      </c>
      <c r="H968" t="str">
        <f>"COTAS COOPERATIVA"</f>
        <v>COTAS COOPERATIVA</v>
      </c>
      <c r="I968" t="str">
        <f>("08/09/2025")</f>
        <v>08/09/2025</v>
      </c>
      <c r="J968" t="str">
        <f>("21/04/2025")</f>
        <v>21/04/2025</v>
      </c>
      <c r="K968" t="str">
        <f>("09/09/2025")</f>
        <v>09/09/2025</v>
      </c>
      <c r="L968">
        <v>20</v>
      </c>
      <c r="M968">
        <v>20</v>
      </c>
      <c r="N968">
        <v>106</v>
      </c>
      <c r="O968" t="str">
        <f>"ENTRADA DE CAPITAL"</f>
        <v>ENTRADA DE CAPITAL</v>
      </c>
      <c r="P968">
        <v>20</v>
      </c>
      <c r="S968" t="str">
        <f>"ENTRADA DE CAPITAL (106)"</f>
        <v>ENTRADA DE CAPITAL (106)</v>
      </c>
      <c r="T968">
        <v>17821</v>
      </c>
      <c r="U968">
        <v>13816</v>
      </c>
      <c r="V968" t="s">
        <v>48</v>
      </c>
    </row>
    <row r="969" spans="1:22">
      <c r="A969" t="str">
        <f t="shared" si="196"/>
        <v>09/09/2025</v>
      </c>
      <c r="B969" t="str">
        <f>"ENTRADA"</f>
        <v>ENTRADA</v>
      </c>
      <c r="C969" t="str">
        <f>"DINHEIRO"</f>
        <v>DINHEIRO</v>
      </c>
      <c r="D969" t="str">
        <f>"770"</f>
        <v>770</v>
      </c>
      <c r="E969" t="str">
        <f>"5"</f>
        <v>5</v>
      </c>
      <c r="F969" t="str">
        <f t="shared" si="194"/>
        <v>COM</v>
      </c>
      <c r="G969" t="str">
        <f t="shared" si="197"/>
        <v>DANILO WASHINGTON DOS SANTOS (770)</v>
      </c>
      <c r="H969" t="s">
        <v>318</v>
      </c>
      <c r="I969" t="str">
        <f>("08/09/2025")</f>
        <v>08/09/2025</v>
      </c>
      <c r="J969" t="str">
        <f>("21/04/2025")</f>
        <v>21/04/2025</v>
      </c>
      <c r="K969">
        <v>45909</v>
      </c>
      <c r="N969">
        <v>106</v>
      </c>
      <c r="O969" t="s">
        <v>51</v>
      </c>
      <c r="Q969">
        <v>20</v>
      </c>
      <c r="R969" t="str">
        <f>"DANILO WASHINGTON DOS SANTOS (770)"</f>
        <v>DANILO WASHINGTON DOS SANTOS (770)</v>
      </c>
      <c r="S969" t="s">
        <v>52</v>
      </c>
      <c r="T969">
        <v>17821</v>
      </c>
      <c r="U969">
        <v>13816</v>
      </c>
      <c r="V969" t="s">
        <v>48</v>
      </c>
    </row>
    <row r="970" spans="1:22">
      <c r="A970" t="str">
        <f t="shared" si="196"/>
        <v>09/09/2025</v>
      </c>
      <c r="B970" t="str">
        <f>"SAÍDA"</f>
        <v>SAÍDA</v>
      </c>
      <c r="C970" t="str">
        <f>"PIX"</f>
        <v>PIX</v>
      </c>
      <c r="D970" t="str">
        <f>"21185"</f>
        <v>21185</v>
      </c>
      <c r="E970" t="str">
        <f>"1"</f>
        <v>1</v>
      </c>
      <c r="F970" t="str">
        <f t="shared" si="194"/>
        <v>COM</v>
      </c>
      <c r="G970" t="str">
        <f t="shared" si="197"/>
        <v>DANILO WASHINGTON DOS SANTOS (770)</v>
      </c>
      <c r="H970" t="str">
        <f>"Serv.Prest. 25/08/2025 a 31/08/2025 - PIX: CELULAR - CHAVE: (33) 98749-5105"</f>
        <v>Serv.Prest. 25/08/2025 a 31/08/2025 - PIX: CELULAR - CHAVE: (33) 98749-5105</v>
      </c>
      <c r="I970" t="str">
        <f t="shared" ref="I970:I975" si="198">("11/09/2025")</f>
        <v>11/09/2025</v>
      </c>
      <c r="J970" t="str">
        <f>("02/09/2025")</f>
        <v>02/09/2025</v>
      </c>
      <c r="K970" t="str">
        <f>("09/09/2025")</f>
        <v>09/09/2025</v>
      </c>
      <c r="L970">
        <v>58.34</v>
      </c>
      <c r="M970">
        <v>58.34</v>
      </c>
      <c r="N970">
        <v>109</v>
      </c>
      <c r="O970" t="str">
        <f>"PAGAMENTO DE ENTREGADORES"</f>
        <v>PAGAMENTO DE ENTREGADORES</v>
      </c>
      <c r="P970">
        <v>58.34</v>
      </c>
      <c r="S970" t="str">
        <f>"CAIXA MOVIMENTAÇÃO OPERACIONAL (132)"</f>
        <v>CAIXA MOVIMENTAÇÃO OPERACIONAL (132)</v>
      </c>
      <c r="T970">
        <v>17822</v>
      </c>
      <c r="U970">
        <v>21759</v>
      </c>
      <c r="V970" t="s">
        <v>48</v>
      </c>
    </row>
    <row r="971" spans="1:22">
      <c r="A971" t="str">
        <f t="shared" si="196"/>
        <v>09/09/2025</v>
      </c>
      <c r="B971" t="str">
        <f>"SAÍDA"</f>
        <v>SAÍDA</v>
      </c>
      <c r="C971" t="str">
        <f>"PIX"</f>
        <v>PIX</v>
      </c>
      <c r="D971" t="str">
        <f>"21185"</f>
        <v>21185</v>
      </c>
      <c r="E971" t="str">
        <f>"1"</f>
        <v>1</v>
      </c>
      <c r="F971" t="str">
        <f t="shared" si="194"/>
        <v>COM</v>
      </c>
      <c r="G971" t="str">
        <f t="shared" si="197"/>
        <v>DANILO WASHINGTON DOS SANTOS (770)</v>
      </c>
      <c r="H971" t="s">
        <v>343</v>
      </c>
      <c r="I971" t="str">
        <f t="shared" si="198"/>
        <v>11/09/2025</v>
      </c>
      <c r="J971" t="str">
        <f>("02/09/2025")</f>
        <v>02/09/2025</v>
      </c>
      <c r="K971">
        <v>45909</v>
      </c>
      <c r="N971">
        <v>109</v>
      </c>
      <c r="O971" t="s">
        <v>24</v>
      </c>
      <c r="Q971">
        <v>58.34</v>
      </c>
      <c r="R971" t="str">
        <f>"FARMÁCIA INDIANA LJ 07 (10007)"</f>
        <v>FARMÁCIA INDIANA LJ 07 (10007)</v>
      </c>
      <c r="S971" t="s">
        <v>48</v>
      </c>
      <c r="T971">
        <v>17822</v>
      </c>
      <c r="U971">
        <v>21759</v>
      </c>
      <c r="V971" t="s">
        <v>48</v>
      </c>
    </row>
    <row r="972" spans="1:22">
      <c r="A972" t="str">
        <f t="shared" si="196"/>
        <v>09/09/2025</v>
      </c>
      <c r="B972" t="str">
        <f>"ENTRADA"</f>
        <v>ENTRADA</v>
      </c>
      <c r="C972" t="str">
        <f>"DINHEIRO"</f>
        <v>DINHEIRO</v>
      </c>
      <c r="D972" t="str">
        <f>"1109"</f>
        <v>1109</v>
      </c>
      <c r="E972" t="str">
        <f>"25"</f>
        <v>25</v>
      </c>
      <c r="F972" t="str">
        <f t="shared" si="194"/>
        <v>COM</v>
      </c>
      <c r="G972" t="str">
        <f t="shared" si="197"/>
        <v>DANILO WASHINGTON DOS SANTOS (770)</v>
      </c>
      <c r="H972" t="str">
        <f>"REEMBOLSO COMPRA BAG"</f>
        <v>REEMBOLSO COMPRA BAG</v>
      </c>
      <c r="I972" t="str">
        <f t="shared" si="198"/>
        <v>11/09/2025</v>
      </c>
      <c r="J972" t="str">
        <f>("11/09/2025")</f>
        <v>11/09/2025</v>
      </c>
      <c r="K972" t="str">
        <f>("09/09/2025")</f>
        <v>09/09/2025</v>
      </c>
      <c r="L972">
        <v>38.340000000000003</v>
      </c>
      <c r="M972">
        <v>38.340000000000003</v>
      </c>
      <c r="N972">
        <v>108</v>
      </c>
      <c r="O972" t="str">
        <f>"RECEITAS COM REEMBOLSOS"</f>
        <v>RECEITAS COM REEMBOLSOS</v>
      </c>
      <c r="P972">
        <v>38.340000000000003</v>
      </c>
      <c r="S972" t="str">
        <f>"RECEITAS COM REEMBOLSOS (108)"</f>
        <v>RECEITAS COM REEMBOLSOS (108)</v>
      </c>
      <c r="T972">
        <v>17823</v>
      </c>
      <c r="U972">
        <v>21038</v>
      </c>
      <c r="V972" t="s">
        <v>48</v>
      </c>
    </row>
    <row r="973" spans="1:22">
      <c r="A973" t="str">
        <f t="shared" si="196"/>
        <v>09/09/2025</v>
      </c>
      <c r="B973" t="str">
        <f>"ENTRADA"</f>
        <v>ENTRADA</v>
      </c>
      <c r="C973" t="str">
        <f>"DINHEIRO"</f>
        <v>DINHEIRO</v>
      </c>
      <c r="D973" t="str">
        <f>"1109"</f>
        <v>1109</v>
      </c>
      <c r="E973" t="str">
        <f>"25"</f>
        <v>25</v>
      </c>
      <c r="F973" t="str">
        <f t="shared" si="194"/>
        <v>COM</v>
      </c>
      <c r="G973" t="str">
        <f t="shared" si="197"/>
        <v>DANILO WASHINGTON DOS SANTOS (770)</v>
      </c>
      <c r="H973" t="s">
        <v>64</v>
      </c>
      <c r="I973" t="str">
        <f t="shared" si="198"/>
        <v>11/09/2025</v>
      </c>
      <c r="J973" t="str">
        <f>("11/09/2025")</f>
        <v>11/09/2025</v>
      </c>
      <c r="K973">
        <v>45909</v>
      </c>
      <c r="N973">
        <v>108</v>
      </c>
      <c r="O973" t="s">
        <v>54</v>
      </c>
      <c r="Q973">
        <v>38.340000000000003</v>
      </c>
      <c r="R973" t="str">
        <f>"DANILO WASHINGTON DOS SANTOS (770)"</f>
        <v>DANILO WASHINGTON DOS SANTOS (770)</v>
      </c>
      <c r="S973" t="s">
        <v>55</v>
      </c>
      <c r="T973">
        <v>17823</v>
      </c>
      <c r="U973">
        <v>21038</v>
      </c>
      <c r="V973" t="s">
        <v>48</v>
      </c>
    </row>
    <row r="974" spans="1:22">
      <c r="A974" t="str">
        <f t="shared" si="196"/>
        <v>09/09/2025</v>
      </c>
      <c r="B974" t="str">
        <f>"SAÍDA"</f>
        <v>SAÍDA</v>
      </c>
      <c r="C974" t="str">
        <f>"PIX"</f>
        <v>PIX</v>
      </c>
      <c r="D974" t="str">
        <f>"21186"</f>
        <v>21186</v>
      </c>
      <c r="E974" t="str">
        <f>"1"</f>
        <v>1</v>
      </c>
      <c r="F974" t="str">
        <f t="shared" si="194"/>
        <v>COM</v>
      </c>
      <c r="G974" t="str">
        <f>"DANTE SOARES DA SILVA (416)"</f>
        <v>DANTE SOARES DA SILVA (416)</v>
      </c>
      <c r="H974" t="str">
        <f>"Serv.Prest. 25/08/2025 a 31/08/2025 - PIX: CELULAR - CHAVE: (33) 99802-1883"</f>
        <v>Serv.Prest. 25/08/2025 a 31/08/2025 - PIX: CELULAR - CHAVE: (33) 99802-1883</v>
      </c>
      <c r="I974" t="str">
        <f t="shared" si="198"/>
        <v>11/09/2025</v>
      </c>
      <c r="J974" t="str">
        <f>("02/09/2025")</f>
        <v>02/09/2025</v>
      </c>
      <c r="K974" t="str">
        <f>("09/09/2025")</f>
        <v>09/09/2025</v>
      </c>
      <c r="L974">
        <v>20</v>
      </c>
      <c r="M974">
        <v>20</v>
      </c>
      <c r="N974">
        <v>109</v>
      </c>
      <c r="O974" t="str">
        <f>"PAGAMENTO DE ENTREGADORES"</f>
        <v>PAGAMENTO DE ENTREGADORES</v>
      </c>
      <c r="P974">
        <v>20</v>
      </c>
      <c r="S974" t="str">
        <f>"CAIXA MOVIMENTAÇÃO OPERACIONAL (132)"</f>
        <v>CAIXA MOVIMENTAÇÃO OPERACIONAL (132)</v>
      </c>
      <c r="T974">
        <v>17824</v>
      </c>
      <c r="U974">
        <v>21760</v>
      </c>
      <c r="V974" t="s">
        <v>48</v>
      </c>
    </row>
    <row r="975" spans="1:22">
      <c r="A975" t="str">
        <f t="shared" si="196"/>
        <v>09/09/2025</v>
      </c>
      <c r="B975" t="str">
        <f>"SAÍDA"</f>
        <v>SAÍDA</v>
      </c>
      <c r="C975" t="str">
        <f>"PIX"</f>
        <v>PIX</v>
      </c>
      <c r="D975" t="str">
        <f>"21186"</f>
        <v>21186</v>
      </c>
      <c r="E975" t="str">
        <f>"1"</f>
        <v>1</v>
      </c>
      <c r="F975" t="str">
        <f t="shared" si="194"/>
        <v>COM</v>
      </c>
      <c r="G975" t="str">
        <f>"DANTE SOARES DA SILVA (416)"</f>
        <v>DANTE SOARES DA SILVA (416)</v>
      </c>
      <c r="H975" t="s">
        <v>344</v>
      </c>
      <c r="I975" t="str">
        <f t="shared" si="198"/>
        <v>11/09/2025</v>
      </c>
      <c r="J975" t="str">
        <f>("02/09/2025")</f>
        <v>02/09/2025</v>
      </c>
      <c r="K975">
        <v>45909</v>
      </c>
      <c r="N975">
        <v>109</v>
      </c>
      <c r="O975" t="s">
        <v>24</v>
      </c>
      <c r="Q975">
        <v>20</v>
      </c>
      <c r="R975" t="str">
        <f>"FARMÁCIA INDIANA LJ 59 (10026)"</f>
        <v>FARMÁCIA INDIANA LJ 59 (10026)</v>
      </c>
      <c r="S975" t="s">
        <v>48</v>
      </c>
      <c r="T975">
        <v>17824</v>
      </c>
      <c r="U975">
        <v>21760</v>
      </c>
      <c r="V975" t="s">
        <v>48</v>
      </c>
    </row>
    <row r="976" spans="1:22">
      <c r="A976" t="str">
        <f t="shared" si="196"/>
        <v>09/09/2025</v>
      </c>
      <c r="B976" t="str">
        <f>"ENTRADA"</f>
        <v>ENTRADA</v>
      </c>
      <c r="C976" t="str">
        <f>"DINHEIRO"</f>
        <v>DINHEIRO</v>
      </c>
      <c r="D976" t="str">
        <f>"09"</f>
        <v>09</v>
      </c>
      <c r="E976" t="str">
        <f>"33"</f>
        <v>33</v>
      </c>
      <c r="F976" t="str">
        <f t="shared" si="194"/>
        <v>COM</v>
      </c>
      <c r="G976" t="str">
        <f>"DANTE SOARES DA SILVA (416)"</f>
        <v>DANTE SOARES DA SILVA (416)</v>
      </c>
      <c r="H976" t="str">
        <f>"DESCONTO COTA COOPERADO"</f>
        <v>DESCONTO COTA COOPERADO</v>
      </c>
      <c r="I976" t="str">
        <f>("16/09/2025")</f>
        <v>16/09/2025</v>
      </c>
      <c r="J976" t="str">
        <f>("16/01/2025")</f>
        <v>16/01/2025</v>
      </c>
      <c r="K976" t="str">
        <f>("09/09/2025")</f>
        <v>09/09/2025</v>
      </c>
      <c r="L976">
        <v>20</v>
      </c>
      <c r="M976">
        <v>20</v>
      </c>
      <c r="N976">
        <v>106</v>
      </c>
      <c r="O976" t="str">
        <f>"ENTRADA DE CAPITAL"</f>
        <v>ENTRADA DE CAPITAL</v>
      </c>
      <c r="P976">
        <v>20</v>
      </c>
      <c r="S976" t="str">
        <f>"ENTRADA DE CAPITAL (106)"</f>
        <v>ENTRADA DE CAPITAL (106)</v>
      </c>
      <c r="T976">
        <v>17825</v>
      </c>
      <c r="U976">
        <v>6033</v>
      </c>
      <c r="V976" t="s">
        <v>48</v>
      </c>
    </row>
    <row r="977" spans="1:22">
      <c r="A977" t="str">
        <f t="shared" si="196"/>
        <v>09/09/2025</v>
      </c>
      <c r="B977" t="str">
        <f>"ENTRADA"</f>
        <v>ENTRADA</v>
      </c>
      <c r="C977" t="str">
        <f>"DINHEIRO"</f>
        <v>DINHEIRO</v>
      </c>
      <c r="D977" t="str">
        <f>"09"</f>
        <v>09</v>
      </c>
      <c r="E977" t="str">
        <f>"33"</f>
        <v>33</v>
      </c>
      <c r="F977" t="str">
        <f t="shared" si="194"/>
        <v>COM</v>
      </c>
      <c r="G977" t="str">
        <f>"DANTE SOARES DA SILVA (416)"</f>
        <v>DANTE SOARES DA SILVA (416)</v>
      </c>
      <c r="H977" t="s">
        <v>309</v>
      </c>
      <c r="I977" t="str">
        <f>("16/09/2025")</f>
        <v>16/09/2025</v>
      </c>
      <c r="J977" t="str">
        <f>("16/01/2025")</f>
        <v>16/01/2025</v>
      </c>
      <c r="K977">
        <v>45909</v>
      </c>
      <c r="N977">
        <v>106</v>
      </c>
      <c r="O977" t="s">
        <v>51</v>
      </c>
      <c r="Q977">
        <v>20</v>
      </c>
      <c r="R977" t="str">
        <f>"DANTE SOARES DA SILVA (416)"</f>
        <v>DANTE SOARES DA SILVA (416)</v>
      </c>
      <c r="S977" t="s">
        <v>52</v>
      </c>
      <c r="T977">
        <v>17825</v>
      </c>
      <c r="U977">
        <v>6033</v>
      </c>
      <c r="V977" t="s">
        <v>48</v>
      </c>
    </row>
    <row r="978" spans="1:22">
      <c r="A978" t="str">
        <f t="shared" si="196"/>
        <v>09/09/2025</v>
      </c>
      <c r="B978" t="str">
        <f>"SAÍDA"</f>
        <v>SAÍDA</v>
      </c>
      <c r="C978" t="str">
        <f>"PIX"</f>
        <v>PIX</v>
      </c>
      <c r="D978" t="str">
        <f>"21432"</f>
        <v>21432</v>
      </c>
      <c r="E978" t="str">
        <f>"1"</f>
        <v>1</v>
      </c>
      <c r="F978" t="str">
        <f t="shared" si="194"/>
        <v>COM</v>
      </c>
      <c r="G978" t="str">
        <f>"DEIVID FERNANDES COSTA (828)"</f>
        <v>DEIVID FERNANDES COSTA (828)</v>
      </c>
      <c r="H978" t="str">
        <f>"Serv.Prest. 01/09/2025 a 07/09/2025 - PIX: CELULAR - CHAVE: (62) 99550-3226"</f>
        <v>Serv.Prest. 01/09/2025 a 07/09/2025 - PIX: CELULAR - CHAVE: (62) 99550-3226</v>
      </c>
      <c r="I978" t="str">
        <f>("11/09/2025")</f>
        <v>11/09/2025</v>
      </c>
      <c r="J978" t="str">
        <f>("08/09/2025")</f>
        <v>08/09/2025</v>
      </c>
      <c r="K978" t="str">
        <f>("09/09/2025")</f>
        <v>09/09/2025</v>
      </c>
      <c r="L978">
        <v>20</v>
      </c>
      <c r="M978">
        <v>20</v>
      </c>
      <c r="N978">
        <v>109</v>
      </c>
      <c r="O978" t="str">
        <f>"PAGAMENTO DE ENTREGADORES"</f>
        <v>PAGAMENTO DE ENTREGADORES</v>
      </c>
      <c r="P978">
        <v>20</v>
      </c>
      <c r="S978" t="str">
        <f>"CAIXA MOVIMENTAÇÃO OPERACIONAL (132)"</f>
        <v>CAIXA MOVIMENTAÇÃO OPERACIONAL (132)</v>
      </c>
      <c r="T978">
        <v>17826</v>
      </c>
      <c r="U978">
        <v>21761</v>
      </c>
      <c r="V978" t="s">
        <v>48</v>
      </c>
    </row>
    <row r="979" spans="1:22">
      <c r="A979" t="str">
        <f t="shared" si="196"/>
        <v>09/09/2025</v>
      </c>
      <c r="B979" t="str">
        <f>"SAÍDA"</f>
        <v>SAÍDA</v>
      </c>
      <c r="C979" t="str">
        <f>"PIX"</f>
        <v>PIX</v>
      </c>
      <c r="D979" t="str">
        <f>"21432"</f>
        <v>21432</v>
      </c>
      <c r="E979" t="str">
        <f>"1"</f>
        <v>1</v>
      </c>
      <c r="F979" t="str">
        <f t="shared" si="194"/>
        <v>COM</v>
      </c>
      <c r="G979" t="str">
        <f>"DEIVID FERNANDES COSTA (828)"</f>
        <v>DEIVID FERNANDES COSTA (828)</v>
      </c>
      <c r="H979" t="s">
        <v>345</v>
      </c>
      <c r="I979" t="str">
        <f>("11/09/2025")</f>
        <v>11/09/2025</v>
      </c>
      <c r="J979" t="str">
        <f>("08/09/2025")</f>
        <v>08/09/2025</v>
      </c>
      <c r="K979">
        <v>45909</v>
      </c>
      <c r="N979">
        <v>109</v>
      </c>
      <c r="O979" t="s">
        <v>24</v>
      </c>
      <c r="Q979">
        <v>20</v>
      </c>
      <c r="R979" t="str">
        <f>"BRASIL FARMA (10173)"</f>
        <v>BRASIL FARMA (10173)</v>
      </c>
      <c r="S979" t="s">
        <v>48</v>
      </c>
      <c r="T979">
        <v>17826</v>
      </c>
      <c r="U979">
        <v>21761</v>
      </c>
      <c r="V979" t="s">
        <v>48</v>
      </c>
    </row>
    <row r="980" spans="1:22">
      <c r="A980" t="str">
        <f t="shared" si="196"/>
        <v>09/09/2025</v>
      </c>
      <c r="B980" t="str">
        <f>"ENTRADA"</f>
        <v>ENTRADA</v>
      </c>
      <c r="C980" t="str">
        <f>"DINHEIRO"</f>
        <v>DINHEIRO</v>
      </c>
      <c r="D980" t="str">
        <f>"828"</f>
        <v>828</v>
      </c>
      <c r="E980" t="str">
        <f>"4"</f>
        <v>4</v>
      </c>
      <c r="F980" t="str">
        <f t="shared" si="194"/>
        <v>COM</v>
      </c>
      <c r="G980" t="str">
        <f>"DEIVID FERNANDES COSTA (828)"</f>
        <v>DEIVID FERNANDES COSTA (828)</v>
      </c>
      <c r="H980" t="str">
        <f>"COTA COOPERATIVA"</f>
        <v>COTA COOPERATIVA</v>
      </c>
      <c r="I980" t="str">
        <f>("12/09/2025")</f>
        <v>12/09/2025</v>
      </c>
      <c r="J980" t="str">
        <f>("27/05/2025")</f>
        <v>27/05/2025</v>
      </c>
      <c r="K980" t="str">
        <f>("09/09/2025")</f>
        <v>09/09/2025</v>
      </c>
      <c r="L980">
        <v>20</v>
      </c>
      <c r="M980">
        <v>20</v>
      </c>
      <c r="N980">
        <v>106</v>
      </c>
      <c r="O980" t="str">
        <f>"ENTRADA DE CAPITAL"</f>
        <v>ENTRADA DE CAPITAL</v>
      </c>
      <c r="P980">
        <v>20</v>
      </c>
      <c r="S980" t="str">
        <f>"ENTRADA DE CAPITAL (106)"</f>
        <v>ENTRADA DE CAPITAL (106)</v>
      </c>
      <c r="T980">
        <v>17827</v>
      </c>
      <c r="U980">
        <v>17034</v>
      </c>
      <c r="V980" t="s">
        <v>48</v>
      </c>
    </row>
    <row r="981" spans="1:22">
      <c r="A981" t="str">
        <f t="shared" si="196"/>
        <v>09/09/2025</v>
      </c>
      <c r="B981" t="str">
        <f>"ENTRADA"</f>
        <v>ENTRADA</v>
      </c>
      <c r="C981" t="str">
        <f>"DINHEIRO"</f>
        <v>DINHEIRO</v>
      </c>
      <c r="D981" t="str">
        <f>"828"</f>
        <v>828</v>
      </c>
      <c r="E981" t="str">
        <f>"4"</f>
        <v>4</v>
      </c>
      <c r="F981" t="str">
        <f t="shared" si="194"/>
        <v>COM</v>
      </c>
      <c r="G981" t="str">
        <f>"DEIVID FERNANDES COSTA (828)"</f>
        <v>DEIVID FERNANDES COSTA (828)</v>
      </c>
      <c r="H981" t="s">
        <v>50</v>
      </c>
      <c r="I981" t="str">
        <f>("12/09/2025")</f>
        <v>12/09/2025</v>
      </c>
      <c r="J981" t="str">
        <f>("27/05/2025")</f>
        <v>27/05/2025</v>
      </c>
      <c r="K981">
        <v>45909</v>
      </c>
      <c r="N981">
        <v>106</v>
      </c>
      <c r="O981" t="s">
        <v>51</v>
      </c>
      <c r="Q981">
        <v>20</v>
      </c>
      <c r="R981" t="str">
        <f>"DEIVID FERNANDES COSTA (828)"</f>
        <v>DEIVID FERNANDES COSTA (828)</v>
      </c>
      <c r="S981" t="s">
        <v>52</v>
      </c>
      <c r="T981">
        <v>17827</v>
      </c>
      <c r="U981">
        <v>17034</v>
      </c>
      <c r="V981" t="s">
        <v>48</v>
      </c>
    </row>
    <row r="982" spans="1:22">
      <c r="A982" t="str">
        <f t="shared" si="196"/>
        <v>09/09/2025</v>
      </c>
      <c r="B982" t="str">
        <f>"SAÍDA"</f>
        <v>SAÍDA</v>
      </c>
      <c r="C982" t="str">
        <f>"PIX"</f>
        <v>PIX</v>
      </c>
      <c r="D982" t="str">
        <f>"21187"</f>
        <v>21187</v>
      </c>
      <c r="E982" t="str">
        <f>"1"</f>
        <v>1</v>
      </c>
      <c r="F982" t="str">
        <f t="shared" si="194"/>
        <v>COM</v>
      </c>
      <c r="G982" t="str">
        <f>"DEVANILDO PONTES CASAGRANDE (179)"</f>
        <v>DEVANILDO PONTES CASAGRANDE (179)</v>
      </c>
      <c r="H982" t="str">
        <f>"Serv.Prest. 25/08/2025 a 31/08/2025 - PIX: CELULAR - CHAVE: (31) 99610-7049"</f>
        <v>Serv.Prest. 25/08/2025 a 31/08/2025 - PIX: CELULAR - CHAVE: (31) 99610-7049</v>
      </c>
      <c r="I982" t="str">
        <f>("11/09/2025")</f>
        <v>11/09/2025</v>
      </c>
      <c r="J982" t="str">
        <f>("02/09/2025")</f>
        <v>02/09/2025</v>
      </c>
      <c r="K982" t="str">
        <f>("09/09/2025")</f>
        <v>09/09/2025</v>
      </c>
      <c r="L982">
        <v>20</v>
      </c>
      <c r="M982">
        <v>20</v>
      </c>
      <c r="N982">
        <v>109</v>
      </c>
      <c r="O982" t="str">
        <f>"PAGAMENTO DE ENTREGADORES"</f>
        <v>PAGAMENTO DE ENTREGADORES</v>
      </c>
      <c r="P982">
        <v>20</v>
      </c>
      <c r="S982" t="str">
        <f>"CAIXA MOVIMENTAÇÃO OPERACIONAL (132)"</f>
        <v>CAIXA MOVIMENTAÇÃO OPERACIONAL (132)</v>
      </c>
      <c r="T982">
        <v>17828</v>
      </c>
      <c r="U982">
        <v>21762</v>
      </c>
      <c r="V982" t="s">
        <v>48</v>
      </c>
    </row>
    <row r="983" spans="1:22">
      <c r="A983" t="str">
        <f t="shared" si="196"/>
        <v>09/09/2025</v>
      </c>
      <c r="B983" t="str">
        <f>"SAÍDA"</f>
        <v>SAÍDA</v>
      </c>
      <c r="C983" t="str">
        <f>"PIX"</f>
        <v>PIX</v>
      </c>
      <c r="D983" t="str">
        <f>"21187"</f>
        <v>21187</v>
      </c>
      <c r="E983" t="str">
        <f>"1"</f>
        <v>1</v>
      </c>
      <c r="F983" t="str">
        <f t="shared" si="194"/>
        <v>COM</v>
      </c>
      <c r="G983" t="str">
        <f>"DEVANILDO PONTES CASAGRANDE (179)"</f>
        <v>DEVANILDO PONTES CASAGRANDE (179)</v>
      </c>
      <c r="H983" t="s">
        <v>346</v>
      </c>
      <c r="I983" t="str">
        <f>("11/09/2025")</f>
        <v>11/09/2025</v>
      </c>
      <c r="J983" t="str">
        <f>("02/09/2025")</f>
        <v>02/09/2025</v>
      </c>
      <c r="K983">
        <v>45909</v>
      </c>
      <c r="N983">
        <v>109</v>
      </c>
      <c r="O983" t="s">
        <v>24</v>
      </c>
      <c r="Q983">
        <v>20</v>
      </c>
      <c r="R983" t="str">
        <f>"FARMÁCIA INDIANA LJ 142 (10066)"</f>
        <v>FARMÁCIA INDIANA LJ 142 (10066)</v>
      </c>
      <c r="S983" t="s">
        <v>48</v>
      </c>
      <c r="T983">
        <v>17828</v>
      </c>
      <c r="U983">
        <v>21762</v>
      </c>
      <c r="V983" t="s">
        <v>48</v>
      </c>
    </row>
    <row r="984" spans="1:22">
      <c r="A984" t="str">
        <f t="shared" si="196"/>
        <v>09/09/2025</v>
      </c>
      <c r="B984" t="str">
        <f>"ENTRADA"</f>
        <v>ENTRADA</v>
      </c>
      <c r="C984" t="str">
        <f>"DINHEIRO"</f>
        <v>DINHEIRO</v>
      </c>
      <c r="D984" t="str">
        <f>"09"</f>
        <v>09</v>
      </c>
      <c r="E984" t="str">
        <f>"33"</f>
        <v>33</v>
      </c>
      <c r="F984" t="str">
        <f t="shared" si="194"/>
        <v>COM</v>
      </c>
      <c r="G984" t="str">
        <f>"DEVANILDO PONTES CASAGRANDE (179)"</f>
        <v>DEVANILDO PONTES CASAGRANDE (179)</v>
      </c>
      <c r="H984" t="str">
        <f>"DESCONTO COTA COOPERADO"</f>
        <v>DESCONTO COTA COOPERADO</v>
      </c>
      <c r="I984" t="str">
        <f>("16/09/2025")</f>
        <v>16/09/2025</v>
      </c>
      <c r="J984" t="str">
        <f>("16/01/2025")</f>
        <v>16/01/2025</v>
      </c>
      <c r="K984" t="str">
        <f>("09/09/2025")</f>
        <v>09/09/2025</v>
      </c>
      <c r="L984">
        <v>20</v>
      </c>
      <c r="M984">
        <v>20</v>
      </c>
      <c r="N984">
        <v>106</v>
      </c>
      <c r="O984" t="str">
        <f>"ENTRADA DE CAPITAL"</f>
        <v>ENTRADA DE CAPITAL</v>
      </c>
      <c r="P984">
        <v>20</v>
      </c>
      <c r="S984" t="str">
        <f>"ENTRADA DE CAPITAL (106)"</f>
        <v>ENTRADA DE CAPITAL (106)</v>
      </c>
      <c r="T984">
        <v>17829</v>
      </c>
      <c r="U984">
        <v>6072</v>
      </c>
      <c r="V984" t="s">
        <v>48</v>
      </c>
    </row>
    <row r="985" spans="1:22">
      <c r="A985" t="str">
        <f t="shared" si="196"/>
        <v>09/09/2025</v>
      </c>
      <c r="B985" t="str">
        <f>"ENTRADA"</f>
        <v>ENTRADA</v>
      </c>
      <c r="C985" t="str">
        <f>"DINHEIRO"</f>
        <v>DINHEIRO</v>
      </c>
      <c r="D985" t="str">
        <f>"09"</f>
        <v>09</v>
      </c>
      <c r="E985" t="str">
        <f>"33"</f>
        <v>33</v>
      </c>
      <c r="F985" t="str">
        <f t="shared" si="194"/>
        <v>COM</v>
      </c>
      <c r="G985" t="str">
        <f>"DEVANILDO PONTES CASAGRANDE (179)"</f>
        <v>DEVANILDO PONTES CASAGRANDE (179)</v>
      </c>
      <c r="H985" t="s">
        <v>309</v>
      </c>
      <c r="I985" t="str">
        <f>("16/09/2025")</f>
        <v>16/09/2025</v>
      </c>
      <c r="J985" t="str">
        <f>("16/01/2025")</f>
        <v>16/01/2025</v>
      </c>
      <c r="K985">
        <v>45909</v>
      </c>
      <c r="N985">
        <v>106</v>
      </c>
      <c r="O985" t="s">
        <v>51</v>
      </c>
      <c r="Q985">
        <v>20</v>
      </c>
      <c r="R985" t="str">
        <f>"DEVANILDO PONTES CASAGRANDE (179)"</f>
        <v>DEVANILDO PONTES CASAGRANDE (179)</v>
      </c>
      <c r="S985" t="s">
        <v>52</v>
      </c>
      <c r="T985">
        <v>17829</v>
      </c>
      <c r="U985">
        <v>6072</v>
      </c>
      <c r="V985" t="s">
        <v>48</v>
      </c>
    </row>
    <row r="986" spans="1:22">
      <c r="A986" t="str">
        <f t="shared" si="196"/>
        <v>09/09/2025</v>
      </c>
      <c r="B986" t="str">
        <f>"SAÍDA"</f>
        <v>SAÍDA</v>
      </c>
      <c r="C986" t="str">
        <f>"PIX"</f>
        <v>PIX</v>
      </c>
      <c r="D986" t="str">
        <f>"21136"</f>
        <v>21136</v>
      </c>
      <c r="E986" t="str">
        <f>"1"</f>
        <v>1</v>
      </c>
      <c r="F986" t="str">
        <f t="shared" si="194"/>
        <v>COM</v>
      </c>
      <c r="G986" t="str">
        <f>"DIOCLECIO SANDES JOTA (135)"</f>
        <v>DIOCLECIO SANDES JOTA (135)</v>
      </c>
      <c r="H986" t="str">
        <f>"Serv.Prest. 25/08/2025 a 31/08/2025 - PIX: CELULAR - CHAVE: (73) 99966-7211"</f>
        <v>Serv.Prest. 25/08/2025 a 31/08/2025 - PIX: CELULAR - CHAVE: (73) 99966-7211</v>
      </c>
      <c r="I986" t="str">
        <f>("11/09/2025")</f>
        <v>11/09/2025</v>
      </c>
      <c r="J986" t="str">
        <f>("02/09/2025")</f>
        <v>02/09/2025</v>
      </c>
      <c r="K986" t="str">
        <f>("09/09/2025")</f>
        <v>09/09/2025</v>
      </c>
      <c r="L986">
        <v>20</v>
      </c>
      <c r="M986">
        <v>20</v>
      </c>
      <c r="N986">
        <v>109</v>
      </c>
      <c r="O986" t="str">
        <f>"PAGAMENTO DE ENTREGADORES"</f>
        <v>PAGAMENTO DE ENTREGADORES</v>
      </c>
      <c r="P986">
        <v>20</v>
      </c>
      <c r="S986" t="str">
        <f>"CAIXA MOVIMENTAÇÃO OPERACIONAL (132)"</f>
        <v>CAIXA MOVIMENTAÇÃO OPERACIONAL (132)</v>
      </c>
      <c r="T986">
        <v>17830</v>
      </c>
      <c r="U986">
        <v>21763</v>
      </c>
      <c r="V986" t="s">
        <v>48</v>
      </c>
    </row>
    <row r="987" spans="1:22">
      <c r="A987" t="str">
        <f t="shared" si="196"/>
        <v>09/09/2025</v>
      </c>
      <c r="B987" t="str">
        <f>"SAÍDA"</f>
        <v>SAÍDA</v>
      </c>
      <c r="C987" t="str">
        <f>"PIX"</f>
        <v>PIX</v>
      </c>
      <c r="D987" t="str">
        <f>"21136"</f>
        <v>21136</v>
      </c>
      <c r="E987" t="str">
        <f>"1"</f>
        <v>1</v>
      </c>
      <c r="F987" t="str">
        <f t="shared" si="194"/>
        <v>COM</v>
      </c>
      <c r="G987" t="str">
        <f>"DIOCLECIO SANDES JOTA (135)"</f>
        <v>DIOCLECIO SANDES JOTA (135)</v>
      </c>
      <c r="H987" t="s">
        <v>347</v>
      </c>
      <c r="I987" t="str">
        <f>("11/09/2025")</f>
        <v>11/09/2025</v>
      </c>
      <c r="J987" t="str">
        <f>("02/09/2025")</f>
        <v>02/09/2025</v>
      </c>
      <c r="K987">
        <v>45909</v>
      </c>
      <c r="N987">
        <v>109</v>
      </c>
      <c r="O987" t="s">
        <v>24</v>
      </c>
      <c r="Q987">
        <v>20</v>
      </c>
      <c r="R987" t="str">
        <f>"FARMÁCIA INDIANA LJ 91 (10037)"</f>
        <v>FARMÁCIA INDIANA LJ 91 (10037)</v>
      </c>
      <c r="S987" t="s">
        <v>48</v>
      </c>
      <c r="T987">
        <v>17830</v>
      </c>
      <c r="U987">
        <v>21763</v>
      </c>
      <c r="V987" t="s">
        <v>48</v>
      </c>
    </row>
    <row r="988" spans="1:22">
      <c r="A988" t="str">
        <f t="shared" si="196"/>
        <v>09/09/2025</v>
      </c>
      <c r="B988" t="str">
        <f>"ENTRADA"</f>
        <v>ENTRADA</v>
      </c>
      <c r="C988" t="str">
        <f>"DINHEIRO"</f>
        <v>DINHEIRO</v>
      </c>
      <c r="D988" t="str">
        <f>"17"</f>
        <v>17</v>
      </c>
      <c r="E988" t="str">
        <f>"33"</f>
        <v>33</v>
      </c>
      <c r="F988" t="str">
        <f t="shared" ref="F988:F1051" si="199">"COM"</f>
        <v>COM</v>
      </c>
      <c r="G988" t="str">
        <f>"DIOCLECIO SANDES JOTA (135)"</f>
        <v>DIOCLECIO SANDES JOTA (135)</v>
      </c>
      <c r="H988" t="str">
        <f>"DESCONTO COTA COOPERADO"</f>
        <v>DESCONTO COTA COOPERADO</v>
      </c>
      <c r="I988" t="str">
        <f>("16/09/2025")</f>
        <v>16/09/2025</v>
      </c>
      <c r="J988" t="str">
        <f>("16/01/2025")</f>
        <v>16/01/2025</v>
      </c>
      <c r="K988" t="str">
        <f>("09/09/2025")</f>
        <v>09/09/2025</v>
      </c>
      <c r="L988">
        <v>20</v>
      </c>
      <c r="M988">
        <v>20</v>
      </c>
      <c r="N988">
        <v>106</v>
      </c>
      <c r="O988" t="str">
        <f>"ENTRADA DE CAPITAL"</f>
        <v>ENTRADA DE CAPITAL</v>
      </c>
      <c r="P988">
        <v>20</v>
      </c>
      <c r="S988" t="str">
        <f>"ENTRADA DE CAPITAL (106)"</f>
        <v>ENTRADA DE CAPITAL (106)</v>
      </c>
      <c r="T988">
        <v>17831</v>
      </c>
      <c r="U988">
        <v>6097</v>
      </c>
      <c r="V988" t="s">
        <v>48</v>
      </c>
    </row>
    <row r="989" spans="1:22">
      <c r="A989" t="str">
        <f t="shared" si="196"/>
        <v>09/09/2025</v>
      </c>
      <c r="B989" t="str">
        <f>"ENTRADA"</f>
        <v>ENTRADA</v>
      </c>
      <c r="C989" t="str">
        <f>"DINHEIRO"</f>
        <v>DINHEIRO</v>
      </c>
      <c r="D989" t="str">
        <f>"17"</f>
        <v>17</v>
      </c>
      <c r="E989" t="str">
        <f>"33"</f>
        <v>33</v>
      </c>
      <c r="F989" t="str">
        <f t="shared" si="199"/>
        <v>COM</v>
      </c>
      <c r="G989" t="str">
        <f>"DIOCLECIO SANDES JOTA (135)"</f>
        <v>DIOCLECIO SANDES JOTA (135)</v>
      </c>
      <c r="H989" t="s">
        <v>309</v>
      </c>
      <c r="I989" t="str">
        <f>("16/09/2025")</f>
        <v>16/09/2025</v>
      </c>
      <c r="J989" t="str">
        <f>("16/01/2025")</f>
        <v>16/01/2025</v>
      </c>
      <c r="K989">
        <v>45909</v>
      </c>
      <c r="N989">
        <v>106</v>
      </c>
      <c r="O989" t="s">
        <v>51</v>
      </c>
      <c r="Q989">
        <v>20</v>
      </c>
      <c r="R989" t="str">
        <f>"DIOCLECIO SANDES JOTA (135)"</f>
        <v>DIOCLECIO SANDES JOTA (135)</v>
      </c>
      <c r="S989" t="s">
        <v>52</v>
      </c>
      <c r="T989">
        <v>17831</v>
      </c>
      <c r="U989">
        <v>6097</v>
      </c>
      <c r="V989" t="s">
        <v>48</v>
      </c>
    </row>
    <row r="990" spans="1:22">
      <c r="A990" t="str">
        <f t="shared" si="196"/>
        <v>09/09/2025</v>
      </c>
      <c r="B990" t="str">
        <f>"ENTRADA"</f>
        <v>ENTRADA</v>
      </c>
      <c r="C990" t="str">
        <f>"DINHEIRO"</f>
        <v>DINHEIRO</v>
      </c>
      <c r="D990" t="str">
        <f>"899"</f>
        <v>899</v>
      </c>
      <c r="E990" t="str">
        <f>"01"</f>
        <v>01</v>
      </c>
      <c r="F990" t="str">
        <f t="shared" si="199"/>
        <v>COM</v>
      </c>
      <c r="G990" t="str">
        <f>"EDNUBIA RAMOS ALVES OLIVEIRA (899)"</f>
        <v>EDNUBIA RAMOS ALVES OLIVEIRA (899)</v>
      </c>
      <c r="H990" t="str">
        <f>"COTA COOPERATIVA"</f>
        <v>COTA COOPERATIVA</v>
      </c>
      <c r="I990" t="str">
        <f>("10/09/2025")</f>
        <v>10/09/2025</v>
      </c>
      <c r="J990" t="str">
        <f>("04/08/2025")</f>
        <v>04/08/2025</v>
      </c>
      <c r="K990" t="str">
        <f>("09/09/2025")</f>
        <v>09/09/2025</v>
      </c>
      <c r="L990">
        <v>20</v>
      </c>
      <c r="M990">
        <v>20</v>
      </c>
      <c r="N990">
        <v>106</v>
      </c>
      <c r="O990" t="str">
        <f>"ENTRADA DE CAPITAL"</f>
        <v>ENTRADA DE CAPITAL</v>
      </c>
      <c r="P990">
        <v>20</v>
      </c>
      <c r="S990" t="str">
        <f>"ENTRADA DE CAPITAL (106)"</f>
        <v>ENTRADA DE CAPITAL (106)</v>
      </c>
      <c r="T990">
        <v>17832</v>
      </c>
      <c r="U990">
        <v>21764</v>
      </c>
      <c r="V990" t="s">
        <v>48</v>
      </c>
    </row>
    <row r="991" spans="1:22">
      <c r="A991" t="str">
        <f t="shared" si="196"/>
        <v>09/09/2025</v>
      </c>
      <c r="B991" t="str">
        <f>"ENTRADA"</f>
        <v>ENTRADA</v>
      </c>
      <c r="C991" t="str">
        <f>"DINHEIRO"</f>
        <v>DINHEIRO</v>
      </c>
      <c r="D991" t="str">
        <f>"899"</f>
        <v>899</v>
      </c>
      <c r="E991" t="str">
        <f>"01"</f>
        <v>01</v>
      </c>
      <c r="F991" t="str">
        <f t="shared" si="199"/>
        <v>COM</v>
      </c>
      <c r="G991" t="str">
        <f>"EDNUBIA RAMOS ALVES OLIVEIRA (899)"</f>
        <v>EDNUBIA RAMOS ALVES OLIVEIRA (899)</v>
      </c>
      <c r="H991" t="s">
        <v>50</v>
      </c>
      <c r="I991" t="str">
        <f>("10/09/2025")</f>
        <v>10/09/2025</v>
      </c>
      <c r="J991" t="str">
        <f>("04/08/2025")</f>
        <v>04/08/2025</v>
      </c>
      <c r="K991">
        <v>45909</v>
      </c>
      <c r="N991">
        <v>106</v>
      </c>
      <c r="O991" t="s">
        <v>51</v>
      </c>
      <c r="Q991">
        <v>20</v>
      </c>
      <c r="R991" t="str">
        <f>"EDNUBIA RAMOS ALVES OLIVEIRA (899)"</f>
        <v>EDNUBIA RAMOS ALVES OLIVEIRA (899)</v>
      </c>
      <c r="S991" t="s">
        <v>52</v>
      </c>
      <c r="T991">
        <v>17832</v>
      </c>
      <c r="U991">
        <v>21764</v>
      </c>
      <c r="V991" t="s">
        <v>48</v>
      </c>
    </row>
    <row r="992" spans="1:22">
      <c r="A992" t="str">
        <f t="shared" si="196"/>
        <v>09/09/2025</v>
      </c>
      <c r="B992" t="str">
        <f>"SAÍDA"</f>
        <v>SAÍDA</v>
      </c>
      <c r="C992" t="str">
        <f>"PIX"</f>
        <v>PIX</v>
      </c>
      <c r="D992" t="str">
        <f>"21672"</f>
        <v>21672</v>
      </c>
      <c r="E992" t="str">
        <f>"1"</f>
        <v>1</v>
      </c>
      <c r="F992" t="str">
        <f t="shared" si="199"/>
        <v>COM</v>
      </c>
      <c r="G992" t="str">
        <f>"EDNUBIA RAMOS ALVES OLIVEIRA (899)"</f>
        <v>EDNUBIA RAMOS ALVES OLIVEIRA (899)</v>
      </c>
      <c r="H992" t="str">
        <f>"Serv.Prest. 01/09/2025 a 07/09/2025 - PIX: CELULAR - CHAVE: (71) 99214-9256"</f>
        <v>Serv.Prest. 01/09/2025 a 07/09/2025 - PIX: CELULAR - CHAVE: (71) 99214-9256</v>
      </c>
      <c r="I992" t="str">
        <f>("11/09/2025")</f>
        <v>11/09/2025</v>
      </c>
      <c r="J992" t="str">
        <f>("09/09/2025")</f>
        <v>09/09/2025</v>
      </c>
      <c r="K992" t="str">
        <f>("09/09/2025")</f>
        <v>09/09/2025</v>
      </c>
      <c r="L992">
        <v>20</v>
      </c>
      <c r="M992">
        <v>20</v>
      </c>
      <c r="N992">
        <v>109</v>
      </c>
      <c r="O992" t="str">
        <f>"PAGAMENTO DE ENTREGADORES"</f>
        <v>PAGAMENTO DE ENTREGADORES</v>
      </c>
      <c r="P992">
        <v>20</v>
      </c>
      <c r="S992" t="str">
        <f>"CAIXA MOVIMENTAÇÃO OPERACIONAL (132)"</f>
        <v>CAIXA MOVIMENTAÇÃO OPERACIONAL (132)</v>
      </c>
      <c r="T992">
        <v>17833</v>
      </c>
      <c r="U992">
        <v>21789</v>
      </c>
      <c r="V992" t="s">
        <v>48</v>
      </c>
    </row>
    <row r="993" spans="1:22">
      <c r="A993" t="str">
        <f t="shared" si="196"/>
        <v>09/09/2025</v>
      </c>
      <c r="B993" t="str">
        <f>"SAÍDA"</f>
        <v>SAÍDA</v>
      </c>
      <c r="C993" t="str">
        <f>"PIX"</f>
        <v>PIX</v>
      </c>
      <c r="D993" t="str">
        <f>"21672"</f>
        <v>21672</v>
      </c>
      <c r="E993" t="str">
        <f>"1"</f>
        <v>1</v>
      </c>
      <c r="F993" t="str">
        <f t="shared" si="199"/>
        <v>COM</v>
      </c>
      <c r="G993" t="str">
        <f>"EDNUBIA RAMOS ALVES OLIVEIRA (899)"</f>
        <v>EDNUBIA RAMOS ALVES OLIVEIRA (899)</v>
      </c>
      <c r="H993" t="s">
        <v>348</v>
      </c>
      <c r="I993" t="str">
        <f>("11/09/2025")</f>
        <v>11/09/2025</v>
      </c>
      <c r="J993" t="str">
        <f>("09/09/2025")</f>
        <v>09/09/2025</v>
      </c>
      <c r="K993">
        <v>45909</v>
      </c>
      <c r="N993">
        <v>109</v>
      </c>
      <c r="O993" t="s">
        <v>24</v>
      </c>
      <c r="Q993">
        <v>20</v>
      </c>
      <c r="R993" t="str">
        <f>"DELTA LOJA 2 (10123)"</f>
        <v>DELTA LOJA 2 (10123)</v>
      </c>
      <c r="S993" t="s">
        <v>48</v>
      </c>
      <c r="T993">
        <v>17833</v>
      </c>
      <c r="U993">
        <v>21789</v>
      </c>
      <c r="V993" t="s">
        <v>48</v>
      </c>
    </row>
    <row r="994" spans="1:22">
      <c r="A994" t="str">
        <f t="shared" si="196"/>
        <v>09/09/2025</v>
      </c>
      <c r="B994" t="str">
        <f>"SAÍDA"</f>
        <v>SAÍDA</v>
      </c>
      <c r="C994" t="str">
        <f>"PIX"</f>
        <v>PIX</v>
      </c>
      <c r="D994" t="str">
        <f>"21192"</f>
        <v>21192</v>
      </c>
      <c r="E994" t="str">
        <f>"1"</f>
        <v>1</v>
      </c>
      <c r="F994" t="str">
        <f t="shared" si="199"/>
        <v>COM</v>
      </c>
      <c r="G994" t="str">
        <f>"EDSON JUNIOR FERREIRA DA SILVA (99)"</f>
        <v>EDSON JUNIOR FERREIRA DA SILVA (99)</v>
      </c>
      <c r="H994" t="str">
        <f>"Serv.Prest. 25/08/2025 a 31/08/2025 - PIX: CPF - CHAVE: 141.134.256-98"</f>
        <v>Serv.Prest. 25/08/2025 a 31/08/2025 - PIX: CPF - CHAVE: 141.134.256-98</v>
      </c>
      <c r="I994" t="str">
        <f>("11/09/2025")</f>
        <v>11/09/2025</v>
      </c>
      <c r="J994" t="str">
        <f>("02/09/2025")</f>
        <v>02/09/2025</v>
      </c>
      <c r="K994" t="str">
        <f>("09/09/2025")</f>
        <v>09/09/2025</v>
      </c>
      <c r="L994">
        <v>20</v>
      </c>
      <c r="M994">
        <v>20</v>
      </c>
      <c r="N994">
        <v>109</v>
      </c>
      <c r="O994" t="str">
        <f>"PAGAMENTO DE ENTREGADORES"</f>
        <v>PAGAMENTO DE ENTREGADORES</v>
      </c>
      <c r="P994">
        <v>20</v>
      </c>
      <c r="S994" t="str">
        <f>"CAIXA MOVIMENTAÇÃO OPERACIONAL (132)"</f>
        <v>CAIXA MOVIMENTAÇÃO OPERACIONAL (132)</v>
      </c>
      <c r="T994">
        <v>17834</v>
      </c>
      <c r="U994">
        <v>21790</v>
      </c>
      <c r="V994" t="s">
        <v>48</v>
      </c>
    </row>
    <row r="995" spans="1:22">
      <c r="A995" t="str">
        <f t="shared" si="196"/>
        <v>09/09/2025</v>
      </c>
      <c r="B995" t="str">
        <f>"SAÍDA"</f>
        <v>SAÍDA</v>
      </c>
      <c r="C995" t="str">
        <f>"PIX"</f>
        <v>PIX</v>
      </c>
      <c r="D995" t="str">
        <f>"21192"</f>
        <v>21192</v>
      </c>
      <c r="E995" t="str">
        <f>"1"</f>
        <v>1</v>
      </c>
      <c r="F995" t="str">
        <f t="shared" si="199"/>
        <v>COM</v>
      </c>
      <c r="G995" t="str">
        <f>"EDSON JUNIOR FERREIRA DA SILVA (99)"</f>
        <v>EDSON JUNIOR FERREIRA DA SILVA (99)</v>
      </c>
      <c r="H995" t="s">
        <v>349</v>
      </c>
      <c r="I995" t="str">
        <f>("11/09/2025")</f>
        <v>11/09/2025</v>
      </c>
      <c r="J995" t="str">
        <f>("02/09/2025")</f>
        <v>02/09/2025</v>
      </c>
      <c r="K995">
        <v>45909</v>
      </c>
      <c r="N995">
        <v>109</v>
      </c>
      <c r="O995" t="s">
        <v>24</v>
      </c>
      <c r="Q995">
        <v>20</v>
      </c>
      <c r="R995" t="str">
        <f>"FARMÁCIA INDIANA LJ 100 (10042)"</f>
        <v>FARMÁCIA INDIANA LJ 100 (10042)</v>
      </c>
      <c r="S995" t="s">
        <v>48</v>
      </c>
      <c r="T995">
        <v>17834</v>
      </c>
      <c r="U995">
        <v>21790</v>
      </c>
      <c r="V995" t="s">
        <v>48</v>
      </c>
    </row>
    <row r="996" spans="1:22">
      <c r="A996" t="str">
        <f t="shared" si="196"/>
        <v>09/09/2025</v>
      </c>
      <c r="B996" t="str">
        <f>"ENTRADA"</f>
        <v>ENTRADA</v>
      </c>
      <c r="C996" t="str">
        <f>"DINHEIRO"</f>
        <v>DINHEIRO</v>
      </c>
      <c r="D996" t="str">
        <f>"09"</f>
        <v>09</v>
      </c>
      <c r="E996" t="str">
        <f>"33"</f>
        <v>33</v>
      </c>
      <c r="F996" t="str">
        <f t="shared" si="199"/>
        <v>COM</v>
      </c>
      <c r="G996" t="str">
        <f>"EDSON JUNIOR FERREIRA DA SILVA (99)"</f>
        <v>EDSON JUNIOR FERREIRA DA SILVA (99)</v>
      </c>
      <c r="H996" t="str">
        <f>"DESCONTO COTA COOPERADO"</f>
        <v>DESCONTO COTA COOPERADO</v>
      </c>
      <c r="I996" t="str">
        <f>("16/09/2025")</f>
        <v>16/09/2025</v>
      </c>
      <c r="J996" t="str">
        <f>("16/01/2025")</f>
        <v>16/01/2025</v>
      </c>
      <c r="K996" t="str">
        <f>("09/09/2025")</f>
        <v>09/09/2025</v>
      </c>
      <c r="L996">
        <v>20</v>
      </c>
      <c r="M996">
        <v>20</v>
      </c>
      <c r="N996">
        <v>106</v>
      </c>
      <c r="O996" t="str">
        <f>"ENTRADA DE CAPITAL"</f>
        <v>ENTRADA DE CAPITAL</v>
      </c>
      <c r="P996">
        <v>20</v>
      </c>
      <c r="S996" t="str">
        <f>"ENTRADA DE CAPITAL (106)"</f>
        <v>ENTRADA DE CAPITAL (106)</v>
      </c>
      <c r="T996">
        <v>17835</v>
      </c>
      <c r="U996">
        <v>6122</v>
      </c>
      <c r="V996" t="s">
        <v>48</v>
      </c>
    </row>
    <row r="997" spans="1:22">
      <c r="A997" t="str">
        <f t="shared" si="196"/>
        <v>09/09/2025</v>
      </c>
      <c r="B997" t="str">
        <f>"ENTRADA"</f>
        <v>ENTRADA</v>
      </c>
      <c r="C997" t="str">
        <f>"DINHEIRO"</f>
        <v>DINHEIRO</v>
      </c>
      <c r="D997" t="str">
        <f>"09"</f>
        <v>09</v>
      </c>
      <c r="E997" t="str">
        <f>"33"</f>
        <v>33</v>
      </c>
      <c r="F997" t="str">
        <f t="shared" si="199"/>
        <v>COM</v>
      </c>
      <c r="G997" t="str">
        <f>"EDSON JUNIOR FERREIRA DA SILVA (99)"</f>
        <v>EDSON JUNIOR FERREIRA DA SILVA (99)</v>
      </c>
      <c r="H997" t="s">
        <v>309</v>
      </c>
      <c r="I997" t="str">
        <f>("16/09/2025")</f>
        <v>16/09/2025</v>
      </c>
      <c r="J997" t="str">
        <f>("16/01/2025")</f>
        <v>16/01/2025</v>
      </c>
      <c r="K997">
        <v>45909</v>
      </c>
      <c r="N997">
        <v>106</v>
      </c>
      <c r="O997" t="s">
        <v>51</v>
      </c>
      <c r="Q997">
        <v>20</v>
      </c>
      <c r="R997" t="str">
        <f>"EDSON JUNIOR FERREIRA DA SILVA (99)"</f>
        <v>EDSON JUNIOR FERREIRA DA SILVA (99)</v>
      </c>
      <c r="S997" t="s">
        <v>52</v>
      </c>
      <c r="T997">
        <v>17835</v>
      </c>
      <c r="U997">
        <v>6122</v>
      </c>
      <c r="V997" t="s">
        <v>48</v>
      </c>
    </row>
    <row r="998" spans="1:22">
      <c r="A998" t="str">
        <f t="shared" si="196"/>
        <v>09/09/2025</v>
      </c>
      <c r="B998" t="str">
        <f>"ENTRADA"</f>
        <v>ENTRADA</v>
      </c>
      <c r="C998" t="str">
        <f>"DINHEIRO"</f>
        <v>DINHEIRO</v>
      </c>
      <c r="D998" t="str">
        <f>"721"</f>
        <v>721</v>
      </c>
      <c r="E998" t="str">
        <f>"3"</f>
        <v>3</v>
      </c>
      <c r="F998" t="str">
        <f t="shared" si="199"/>
        <v>COM</v>
      </c>
      <c r="G998" t="str">
        <f>"EDUARDO COSTA DA SILVA (721)"</f>
        <v>EDUARDO COSTA DA SILVA (721)</v>
      </c>
      <c r="H998" t="str">
        <f>"COTA COOPERATIVA"</f>
        <v>COTA COOPERATIVA</v>
      </c>
      <c r="I998" t="str">
        <f>("10/09/2025")</f>
        <v>10/09/2025</v>
      </c>
      <c r="J998" t="str">
        <f>("01/04/2025")</f>
        <v>01/04/2025</v>
      </c>
      <c r="K998" t="str">
        <f>("09/09/2025")</f>
        <v>09/09/2025</v>
      </c>
      <c r="L998">
        <v>20</v>
      </c>
      <c r="M998">
        <v>20</v>
      </c>
      <c r="N998">
        <v>106</v>
      </c>
      <c r="O998" t="str">
        <f>"ENTRADA DE CAPITAL"</f>
        <v>ENTRADA DE CAPITAL</v>
      </c>
      <c r="P998">
        <v>20</v>
      </c>
      <c r="S998" t="str">
        <f>"ENTRADA DE CAPITAL (106)"</f>
        <v>ENTRADA DE CAPITAL (106)</v>
      </c>
      <c r="T998">
        <v>17836</v>
      </c>
      <c r="U998">
        <v>18136</v>
      </c>
      <c r="V998" t="s">
        <v>48</v>
      </c>
    </row>
    <row r="999" spans="1:22">
      <c r="A999" t="str">
        <f t="shared" si="196"/>
        <v>09/09/2025</v>
      </c>
      <c r="B999" t="str">
        <f>"ENTRADA"</f>
        <v>ENTRADA</v>
      </c>
      <c r="C999" t="str">
        <f>"DINHEIRO"</f>
        <v>DINHEIRO</v>
      </c>
      <c r="D999" t="str">
        <f>"721"</f>
        <v>721</v>
      </c>
      <c r="E999" t="str">
        <f>"3"</f>
        <v>3</v>
      </c>
      <c r="F999" t="str">
        <f t="shared" si="199"/>
        <v>COM</v>
      </c>
      <c r="G999" t="str">
        <f>"EDUARDO COSTA DA SILVA (721)"</f>
        <v>EDUARDO COSTA DA SILVA (721)</v>
      </c>
      <c r="H999" t="s">
        <v>50</v>
      </c>
      <c r="I999" t="str">
        <f>("10/09/2025")</f>
        <v>10/09/2025</v>
      </c>
      <c r="J999" t="str">
        <f>("01/04/2025")</f>
        <v>01/04/2025</v>
      </c>
      <c r="K999">
        <v>45909</v>
      </c>
      <c r="N999">
        <v>106</v>
      </c>
      <c r="O999" t="s">
        <v>51</v>
      </c>
      <c r="Q999">
        <v>20</v>
      </c>
      <c r="R999" t="str">
        <f>"EDUARDO COSTA DA SILVA (721)"</f>
        <v>EDUARDO COSTA DA SILVA (721)</v>
      </c>
      <c r="S999" t="s">
        <v>52</v>
      </c>
      <c r="T999">
        <v>17836</v>
      </c>
      <c r="U999">
        <v>18136</v>
      </c>
      <c r="V999" t="s">
        <v>48</v>
      </c>
    </row>
    <row r="1000" spans="1:22">
      <c r="A1000" t="str">
        <f t="shared" si="196"/>
        <v>09/09/2025</v>
      </c>
      <c r="B1000" t="str">
        <f>"SAÍDA"</f>
        <v>SAÍDA</v>
      </c>
      <c r="C1000" t="str">
        <f>"PIX"</f>
        <v>PIX</v>
      </c>
      <c r="D1000" t="str">
        <f>"21445"</f>
        <v>21445</v>
      </c>
      <c r="E1000" t="str">
        <f>"1"</f>
        <v>1</v>
      </c>
      <c r="F1000" t="str">
        <f t="shared" si="199"/>
        <v>COM</v>
      </c>
      <c r="G1000" t="str">
        <f>"EDUARDO COSTA DA SILVA (721)"</f>
        <v>EDUARDO COSTA DA SILVA (721)</v>
      </c>
      <c r="H1000" t="str">
        <f>"Serv.Prest. 01/09/2025 a 07/09/2025 - PIX: CELULAR - CHAVE: (11) 95552-9905"</f>
        <v>Serv.Prest. 01/09/2025 a 07/09/2025 - PIX: CELULAR - CHAVE: (11) 95552-9905</v>
      </c>
      <c r="I1000" t="str">
        <f>("11/09/2025")</f>
        <v>11/09/2025</v>
      </c>
      <c r="J1000" t="str">
        <f>("08/09/2025")</f>
        <v>08/09/2025</v>
      </c>
      <c r="K1000" t="str">
        <f>("09/09/2025")</f>
        <v>09/09/2025</v>
      </c>
      <c r="L1000">
        <v>20</v>
      </c>
      <c r="M1000">
        <v>20</v>
      </c>
      <c r="N1000">
        <v>109</v>
      </c>
      <c r="O1000" t="str">
        <f>"PAGAMENTO DE ENTREGADORES"</f>
        <v>PAGAMENTO DE ENTREGADORES</v>
      </c>
      <c r="P1000">
        <v>20</v>
      </c>
      <c r="S1000" t="str">
        <f>"CAIXA MOVIMENTAÇÃO OPERACIONAL (132)"</f>
        <v>CAIXA MOVIMENTAÇÃO OPERACIONAL (132)</v>
      </c>
      <c r="T1000">
        <v>17837</v>
      </c>
      <c r="U1000">
        <v>21791</v>
      </c>
      <c r="V1000" t="s">
        <v>48</v>
      </c>
    </row>
    <row r="1001" spans="1:22">
      <c r="A1001" t="str">
        <f t="shared" si="196"/>
        <v>09/09/2025</v>
      </c>
      <c r="B1001" t="str">
        <f>"SAÍDA"</f>
        <v>SAÍDA</v>
      </c>
      <c r="C1001" t="str">
        <f>"PIX"</f>
        <v>PIX</v>
      </c>
      <c r="D1001" t="str">
        <f>"21445"</f>
        <v>21445</v>
      </c>
      <c r="E1001" t="str">
        <f>"1"</f>
        <v>1</v>
      </c>
      <c r="F1001" t="str">
        <f t="shared" si="199"/>
        <v>COM</v>
      </c>
      <c r="G1001" t="str">
        <f>"EDUARDO COSTA DA SILVA (721)"</f>
        <v>EDUARDO COSTA DA SILVA (721)</v>
      </c>
      <c r="H1001" t="s">
        <v>350</v>
      </c>
      <c r="I1001" t="str">
        <f>("11/09/2025")</f>
        <v>11/09/2025</v>
      </c>
      <c r="J1001" t="str">
        <f>("08/09/2025")</f>
        <v>08/09/2025</v>
      </c>
      <c r="K1001">
        <v>45909</v>
      </c>
      <c r="N1001">
        <v>109</v>
      </c>
      <c r="O1001" t="s">
        <v>24</v>
      </c>
      <c r="Q1001">
        <v>20</v>
      </c>
      <c r="R1001" t="str">
        <f>"DROGARIA AGAPEAMA (10167)"</f>
        <v>DROGARIA AGAPEAMA (10167)</v>
      </c>
      <c r="S1001" t="s">
        <v>48</v>
      </c>
      <c r="T1001">
        <v>17837</v>
      </c>
      <c r="U1001">
        <v>21791</v>
      </c>
      <c r="V1001" t="s">
        <v>48</v>
      </c>
    </row>
    <row r="1002" spans="1:22">
      <c r="A1002" t="str">
        <f t="shared" si="196"/>
        <v>09/09/2025</v>
      </c>
      <c r="B1002" t="str">
        <f>"ENTRADA"</f>
        <v>ENTRADA</v>
      </c>
      <c r="C1002" t="str">
        <f>"DINHEIRO"</f>
        <v>DINHEIRO</v>
      </c>
      <c r="D1002" t="str">
        <f>"787"</f>
        <v>787</v>
      </c>
      <c r="E1002" t="str">
        <f>"5"</f>
        <v>5</v>
      </c>
      <c r="F1002" t="str">
        <f t="shared" si="199"/>
        <v>COM</v>
      </c>
      <c r="G1002" t="str">
        <f>"EDUARDO MARQUES DOS SANTOS (787)"</f>
        <v>EDUARDO MARQUES DOS SANTOS (787)</v>
      </c>
      <c r="H1002" t="str">
        <f>"COTAS COOPERATIVA"</f>
        <v>COTAS COOPERATIVA</v>
      </c>
      <c r="I1002" t="str">
        <f>("08/09/2025")</f>
        <v>08/09/2025</v>
      </c>
      <c r="J1002" t="str">
        <f>("28/04/2025")</f>
        <v>28/04/2025</v>
      </c>
      <c r="K1002" t="str">
        <f>("09/09/2025")</f>
        <v>09/09/2025</v>
      </c>
      <c r="L1002">
        <v>20</v>
      </c>
      <c r="M1002">
        <v>20</v>
      </c>
      <c r="N1002">
        <v>106</v>
      </c>
      <c r="O1002" t="str">
        <f>"ENTRADA DE CAPITAL"</f>
        <v>ENTRADA DE CAPITAL</v>
      </c>
      <c r="P1002">
        <v>20</v>
      </c>
      <c r="S1002" t="str">
        <f>"ENTRADA DE CAPITAL (106)"</f>
        <v>ENTRADA DE CAPITAL (106)</v>
      </c>
      <c r="T1002">
        <v>17838</v>
      </c>
      <c r="U1002">
        <v>13875</v>
      </c>
      <c r="V1002" t="s">
        <v>48</v>
      </c>
    </row>
    <row r="1003" spans="1:22">
      <c r="A1003" t="str">
        <f t="shared" si="196"/>
        <v>09/09/2025</v>
      </c>
      <c r="B1003" t="str">
        <f>"ENTRADA"</f>
        <v>ENTRADA</v>
      </c>
      <c r="C1003" t="str">
        <f>"DINHEIRO"</f>
        <v>DINHEIRO</v>
      </c>
      <c r="D1003" t="str">
        <f>"787"</f>
        <v>787</v>
      </c>
      <c r="E1003" t="str">
        <f>"5"</f>
        <v>5</v>
      </c>
      <c r="F1003" t="str">
        <f t="shared" si="199"/>
        <v>COM</v>
      </c>
      <c r="G1003" t="str">
        <f>"EDUARDO MARQUES DOS SANTOS (787)"</f>
        <v>EDUARDO MARQUES DOS SANTOS (787)</v>
      </c>
      <c r="H1003" t="s">
        <v>318</v>
      </c>
      <c r="I1003" t="str">
        <f>("08/09/2025")</f>
        <v>08/09/2025</v>
      </c>
      <c r="J1003" t="str">
        <f>("28/04/2025")</f>
        <v>28/04/2025</v>
      </c>
      <c r="K1003">
        <v>45909</v>
      </c>
      <c r="N1003">
        <v>106</v>
      </c>
      <c r="O1003" t="s">
        <v>51</v>
      </c>
      <c r="Q1003">
        <v>20</v>
      </c>
      <c r="R1003" t="str">
        <f>"EDUARDO MARQUES DOS SANTOS (787)"</f>
        <v>EDUARDO MARQUES DOS SANTOS (787)</v>
      </c>
      <c r="S1003" t="s">
        <v>52</v>
      </c>
      <c r="T1003">
        <v>17838</v>
      </c>
      <c r="U1003">
        <v>13875</v>
      </c>
      <c r="V1003" t="s">
        <v>48</v>
      </c>
    </row>
    <row r="1004" spans="1:22">
      <c r="A1004" t="str">
        <f t="shared" si="196"/>
        <v>09/09/2025</v>
      </c>
      <c r="B1004" t="str">
        <f>"SAÍDA"</f>
        <v>SAÍDA</v>
      </c>
      <c r="C1004" t="str">
        <f>"PIX"</f>
        <v>PIX</v>
      </c>
      <c r="D1004" t="str">
        <f>"21471"</f>
        <v>21471</v>
      </c>
      <c r="E1004" t="str">
        <f>"1"</f>
        <v>1</v>
      </c>
      <c r="F1004" t="str">
        <f t="shared" si="199"/>
        <v>COM</v>
      </c>
      <c r="G1004" t="str">
        <f>"EDUARDO MARQUES DOS SANTOS (787)"</f>
        <v>EDUARDO MARQUES DOS SANTOS (787)</v>
      </c>
      <c r="H1004" t="str">
        <f>"Serv.Prest. 01/09/2025 a 07/09/2025 - PIX: CELULAR - CHAVE: (11) 97402-1586"</f>
        <v>Serv.Prest. 01/09/2025 a 07/09/2025 - PIX: CELULAR - CHAVE: (11) 97402-1586</v>
      </c>
      <c r="I1004" t="str">
        <f>("11/09/2025")</f>
        <v>11/09/2025</v>
      </c>
      <c r="J1004" t="str">
        <f>("08/09/2025")</f>
        <v>08/09/2025</v>
      </c>
      <c r="K1004" t="str">
        <f>("09/09/2025")</f>
        <v>09/09/2025</v>
      </c>
      <c r="L1004">
        <v>20</v>
      </c>
      <c r="M1004">
        <v>20</v>
      </c>
      <c r="N1004">
        <v>109</v>
      </c>
      <c r="O1004" t="str">
        <f>"PAGAMENTO DE ENTREGADORES"</f>
        <v>PAGAMENTO DE ENTREGADORES</v>
      </c>
      <c r="P1004">
        <v>20</v>
      </c>
      <c r="S1004" t="str">
        <f>"CAIXA MOVIMENTAÇÃO OPERACIONAL (132)"</f>
        <v>CAIXA MOVIMENTAÇÃO OPERACIONAL (132)</v>
      </c>
      <c r="T1004">
        <v>17839</v>
      </c>
      <c r="U1004">
        <v>21792</v>
      </c>
      <c r="V1004" t="s">
        <v>48</v>
      </c>
    </row>
    <row r="1005" spans="1:22">
      <c r="A1005" t="str">
        <f t="shared" si="196"/>
        <v>09/09/2025</v>
      </c>
      <c r="B1005" t="str">
        <f>"SAÍDA"</f>
        <v>SAÍDA</v>
      </c>
      <c r="C1005" t="str">
        <f>"PIX"</f>
        <v>PIX</v>
      </c>
      <c r="D1005" t="str">
        <f>"21471"</f>
        <v>21471</v>
      </c>
      <c r="E1005" t="str">
        <f>"1"</f>
        <v>1</v>
      </c>
      <c r="F1005" t="str">
        <f t="shared" si="199"/>
        <v>COM</v>
      </c>
      <c r="G1005" t="str">
        <f>"EDUARDO MARQUES DOS SANTOS (787)"</f>
        <v>EDUARDO MARQUES DOS SANTOS (787)</v>
      </c>
      <c r="H1005" t="s">
        <v>351</v>
      </c>
      <c r="I1005" t="str">
        <f>("11/09/2025")</f>
        <v>11/09/2025</v>
      </c>
      <c r="J1005" t="str">
        <f>("08/09/2025")</f>
        <v>08/09/2025</v>
      </c>
      <c r="K1005">
        <v>45909</v>
      </c>
      <c r="N1005">
        <v>109</v>
      </c>
      <c r="O1005" t="s">
        <v>24</v>
      </c>
      <c r="Q1005">
        <v>20</v>
      </c>
      <c r="R1005" t="str">
        <f>"DROGARIA MORENO LTDA (10171)"</f>
        <v>DROGARIA MORENO LTDA (10171)</v>
      </c>
      <c r="S1005" t="s">
        <v>48</v>
      </c>
      <c r="T1005">
        <v>17839</v>
      </c>
      <c r="U1005">
        <v>21792</v>
      </c>
      <c r="V1005" t="s">
        <v>48</v>
      </c>
    </row>
    <row r="1006" spans="1:22">
      <c r="A1006" t="str">
        <f t="shared" si="196"/>
        <v>09/09/2025</v>
      </c>
      <c r="B1006" t="str">
        <f>"ENTRADA"</f>
        <v>ENTRADA</v>
      </c>
      <c r="C1006" t="str">
        <f>"DINHEIRO"</f>
        <v>DINHEIRO</v>
      </c>
      <c r="D1006" t="str">
        <f>"25"</f>
        <v>25</v>
      </c>
      <c r="E1006" t="str">
        <f>"6"</f>
        <v>6</v>
      </c>
      <c r="F1006" t="str">
        <f t="shared" si="199"/>
        <v>COM</v>
      </c>
      <c r="G1006" t="str">
        <f>"EDUARDO SILVA DE JESUS (143)"</f>
        <v>EDUARDO SILVA DE JESUS (143)</v>
      </c>
      <c r="H1006" t="str">
        <f>"COTA COOPERATIVA"</f>
        <v>COTA COOPERATIVA</v>
      </c>
      <c r="I1006" t="str">
        <f>("10/09/2025")</f>
        <v>10/09/2025</v>
      </c>
      <c r="J1006" t="str">
        <f>("10/04/2025")</f>
        <v>10/04/2025</v>
      </c>
      <c r="K1006" t="str">
        <f>("09/09/2025")</f>
        <v>09/09/2025</v>
      </c>
      <c r="L1006">
        <v>20</v>
      </c>
      <c r="M1006">
        <v>20</v>
      </c>
      <c r="N1006">
        <v>106</v>
      </c>
      <c r="O1006" t="str">
        <f>"ENTRADA DE CAPITAL"</f>
        <v>ENTRADA DE CAPITAL</v>
      </c>
      <c r="P1006">
        <v>20</v>
      </c>
      <c r="S1006" t="str">
        <f>"ENTRADA DE CAPITAL (106)"</f>
        <v>ENTRADA DE CAPITAL (106)</v>
      </c>
      <c r="T1006">
        <v>17840</v>
      </c>
      <c r="U1006">
        <v>12226</v>
      </c>
      <c r="V1006" t="s">
        <v>48</v>
      </c>
    </row>
    <row r="1007" spans="1:22">
      <c r="A1007" t="str">
        <f t="shared" ref="A1007:A1070" si="200">("09/09/2025")</f>
        <v>09/09/2025</v>
      </c>
      <c r="B1007" t="str">
        <f>"ENTRADA"</f>
        <v>ENTRADA</v>
      </c>
      <c r="C1007" t="str">
        <f>"DINHEIRO"</f>
        <v>DINHEIRO</v>
      </c>
      <c r="D1007" t="str">
        <f>"25"</f>
        <v>25</v>
      </c>
      <c r="E1007" t="str">
        <f>"6"</f>
        <v>6</v>
      </c>
      <c r="F1007" t="str">
        <f t="shared" si="199"/>
        <v>COM</v>
      </c>
      <c r="G1007" t="str">
        <f>"EDUARDO SILVA DE JESUS (143)"</f>
        <v>EDUARDO SILVA DE JESUS (143)</v>
      </c>
      <c r="H1007" t="s">
        <v>50</v>
      </c>
      <c r="I1007" t="str">
        <f>("10/09/2025")</f>
        <v>10/09/2025</v>
      </c>
      <c r="J1007" t="str">
        <f>("10/04/2025")</f>
        <v>10/04/2025</v>
      </c>
      <c r="K1007">
        <v>45909</v>
      </c>
      <c r="N1007">
        <v>106</v>
      </c>
      <c r="O1007" t="s">
        <v>51</v>
      </c>
      <c r="Q1007">
        <v>20</v>
      </c>
      <c r="R1007" t="str">
        <f>"EDUARDO SILVA DE JESUS (143)"</f>
        <v>EDUARDO SILVA DE JESUS (143)</v>
      </c>
      <c r="S1007" t="s">
        <v>52</v>
      </c>
      <c r="T1007">
        <v>17840</v>
      </c>
      <c r="U1007">
        <v>12226</v>
      </c>
      <c r="V1007" t="s">
        <v>48</v>
      </c>
    </row>
    <row r="1008" spans="1:22">
      <c r="A1008" t="str">
        <f t="shared" si="200"/>
        <v>09/09/2025</v>
      </c>
      <c r="B1008" t="str">
        <f>"SAÍDA"</f>
        <v>SAÍDA</v>
      </c>
      <c r="C1008" t="str">
        <f>"PIX"</f>
        <v>PIX</v>
      </c>
      <c r="D1008" t="str">
        <f>"21137"</f>
        <v>21137</v>
      </c>
      <c r="E1008" t="str">
        <f>"1"</f>
        <v>1</v>
      </c>
      <c r="F1008" t="str">
        <f t="shared" si="199"/>
        <v>COM</v>
      </c>
      <c r="G1008" t="str">
        <f>"EDUARDO SILVA DE JESUS (143)"</f>
        <v>EDUARDO SILVA DE JESUS (143)</v>
      </c>
      <c r="H1008" t="str">
        <f>"Serv.Prest. 25/08/2025 a 31/08/2025 - PIX: CPF - CHAVE: 094.947.395-23"</f>
        <v>Serv.Prest. 25/08/2025 a 31/08/2025 - PIX: CPF - CHAVE: 094.947.395-23</v>
      </c>
      <c r="I1008" t="str">
        <f>("11/09/2025")</f>
        <v>11/09/2025</v>
      </c>
      <c r="J1008" t="str">
        <f>("02/09/2025")</f>
        <v>02/09/2025</v>
      </c>
      <c r="K1008" t="str">
        <f>("09/09/2025")</f>
        <v>09/09/2025</v>
      </c>
      <c r="L1008">
        <v>20</v>
      </c>
      <c r="M1008">
        <v>20</v>
      </c>
      <c r="N1008">
        <v>109</v>
      </c>
      <c r="O1008" t="str">
        <f>"PAGAMENTO DE ENTREGADORES"</f>
        <v>PAGAMENTO DE ENTREGADORES</v>
      </c>
      <c r="P1008">
        <v>20</v>
      </c>
      <c r="S1008" t="str">
        <f>"CAIXA MOVIMENTAÇÃO OPERACIONAL (132)"</f>
        <v>CAIXA MOVIMENTAÇÃO OPERACIONAL (132)</v>
      </c>
      <c r="T1008">
        <v>17841</v>
      </c>
      <c r="U1008">
        <v>21793</v>
      </c>
      <c r="V1008" t="s">
        <v>48</v>
      </c>
    </row>
    <row r="1009" spans="1:22">
      <c r="A1009" t="str">
        <f t="shared" si="200"/>
        <v>09/09/2025</v>
      </c>
      <c r="B1009" t="str">
        <f>"SAÍDA"</f>
        <v>SAÍDA</v>
      </c>
      <c r="C1009" t="str">
        <f>"PIX"</f>
        <v>PIX</v>
      </c>
      <c r="D1009" t="str">
        <f>"21137"</f>
        <v>21137</v>
      </c>
      <c r="E1009" t="str">
        <f>"1"</f>
        <v>1</v>
      </c>
      <c r="F1009" t="str">
        <f t="shared" si="199"/>
        <v>COM</v>
      </c>
      <c r="G1009" t="str">
        <f>"EDUARDO SILVA DE JESUS (143)"</f>
        <v>EDUARDO SILVA DE JESUS (143)</v>
      </c>
      <c r="H1009" t="s">
        <v>352</v>
      </c>
      <c r="I1009" t="str">
        <f>("11/09/2025")</f>
        <v>11/09/2025</v>
      </c>
      <c r="J1009" t="str">
        <f>("02/09/2025")</f>
        <v>02/09/2025</v>
      </c>
      <c r="K1009">
        <v>45909</v>
      </c>
      <c r="N1009">
        <v>109</v>
      </c>
      <c r="O1009" t="s">
        <v>24</v>
      </c>
      <c r="Q1009">
        <v>20</v>
      </c>
      <c r="R1009" t="str">
        <f>"FARMÁCIA INDIANA LJ 91 (10037)"</f>
        <v>FARMÁCIA INDIANA LJ 91 (10037)</v>
      </c>
      <c r="S1009" t="s">
        <v>48</v>
      </c>
      <c r="T1009">
        <v>17841</v>
      </c>
      <c r="U1009">
        <v>21793</v>
      </c>
      <c r="V1009" t="s">
        <v>48</v>
      </c>
    </row>
    <row r="1010" spans="1:22">
      <c r="A1010" t="str">
        <f t="shared" si="200"/>
        <v>09/09/2025</v>
      </c>
      <c r="B1010" t="str">
        <f>"SAÍDA"</f>
        <v>SAÍDA</v>
      </c>
      <c r="C1010" t="str">
        <f>"PIX"</f>
        <v>PIX</v>
      </c>
      <c r="D1010" t="str">
        <f>"21673"</f>
        <v>21673</v>
      </c>
      <c r="E1010" t="str">
        <f>"1"</f>
        <v>1</v>
      </c>
      <c r="F1010" t="str">
        <f t="shared" si="199"/>
        <v>COM</v>
      </c>
      <c r="G1010" t="str">
        <f>"ELIENAI ROSA DO NASCIMENTO (343)"</f>
        <v>ELIENAI ROSA DO NASCIMENTO (343)</v>
      </c>
      <c r="H1010" t="str">
        <f>"Serv.Prest. 01/09/2025 a 07/09/2025 - PIX: CPF - CHAVE: 048.672.645-20"</f>
        <v>Serv.Prest. 01/09/2025 a 07/09/2025 - PIX: CPF - CHAVE: 048.672.645-20</v>
      </c>
      <c r="I1010" t="str">
        <f>("11/09/2025")</f>
        <v>11/09/2025</v>
      </c>
      <c r="J1010" t="str">
        <f>("09/09/2025")</f>
        <v>09/09/2025</v>
      </c>
      <c r="K1010" t="str">
        <f>("09/09/2025")</f>
        <v>09/09/2025</v>
      </c>
      <c r="L1010">
        <v>20</v>
      </c>
      <c r="M1010">
        <v>20</v>
      </c>
      <c r="N1010">
        <v>109</v>
      </c>
      <c r="O1010" t="str">
        <f>"PAGAMENTO DE ENTREGADORES"</f>
        <v>PAGAMENTO DE ENTREGADORES</v>
      </c>
      <c r="P1010">
        <v>20</v>
      </c>
      <c r="S1010" t="str">
        <f>"CAIXA MOVIMENTAÇÃO OPERACIONAL (132)"</f>
        <v>CAIXA MOVIMENTAÇÃO OPERACIONAL (132)</v>
      </c>
      <c r="T1010">
        <v>17842</v>
      </c>
      <c r="U1010">
        <v>21794</v>
      </c>
      <c r="V1010" t="s">
        <v>48</v>
      </c>
    </row>
    <row r="1011" spans="1:22">
      <c r="A1011" t="str">
        <f t="shared" si="200"/>
        <v>09/09/2025</v>
      </c>
      <c r="B1011" t="str">
        <f>"SAÍDA"</f>
        <v>SAÍDA</v>
      </c>
      <c r="C1011" t="str">
        <f>"PIX"</f>
        <v>PIX</v>
      </c>
      <c r="D1011" t="str">
        <f>"21673"</f>
        <v>21673</v>
      </c>
      <c r="E1011" t="str">
        <f>"1"</f>
        <v>1</v>
      </c>
      <c r="F1011" t="str">
        <f t="shared" si="199"/>
        <v>COM</v>
      </c>
      <c r="G1011" t="str">
        <f>"ELIENAI ROSA DO NASCIMENTO (343)"</f>
        <v>ELIENAI ROSA DO NASCIMENTO (343)</v>
      </c>
      <c r="H1011" t="s">
        <v>353</v>
      </c>
      <c r="I1011" t="str">
        <f>("11/09/2025")</f>
        <v>11/09/2025</v>
      </c>
      <c r="J1011" t="str">
        <f>("09/09/2025")</f>
        <v>09/09/2025</v>
      </c>
      <c r="K1011">
        <v>45909</v>
      </c>
      <c r="N1011">
        <v>109</v>
      </c>
      <c r="O1011" t="s">
        <v>24</v>
      </c>
      <c r="Q1011">
        <v>20</v>
      </c>
      <c r="R1011" t="str">
        <f>"DELTA LOJA 2 (10123)"</f>
        <v>DELTA LOJA 2 (10123)</v>
      </c>
      <c r="S1011" t="s">
        <v>48</v>
      </c>
      <c r="T1011">
        <v>17842</v>
      </c>
      <c r="U1011">
        <v>21794</v>
      </c>
      <c r="V1011" t="s">
        <v>48</v>
      </c>
    </row>
    <row r="1012" spans="1:22">
      <c r="A1012" t="str">
        <f t="shared" si="200"/>
        <v>09/09/2025</v>
      </c>
      <c r="B1012" t="str">
        <f>"ENTRADA"</f>
        <v>ENTRADA</v>
      </c>
      <c r="C1012" t="str">
        <f>"DINHEIRO"</f>
        <v>DINHEIRO</v>
      </c>
      <c r="D1012" t="str">
        <f>"04"</f>
        <v>04</v>
      </c>
      <c r="E1012" t="str">
        <f>"33"</f>
        <v>33</v>
      </c>
      <c r="F1012" t="str">
        <f t="shared" si="199"/>
        <v>COM</v>
      </c>
      <c r="G1012" t="str">
        <f>"ELIENAI ROSA DO NASCIMENTO (343)"</f>
        <v>ELIENAI ROSA DO NASCIMENTO (343)</v>
      </c>
      <c r="H1012" t="str">
        <f>"DESCONTO COTA COOPERADO"</f>
        <v>DESCONTO COTA COOPERADO</v>
      </c>
      <c r="I1012" t="str">
        <f>("16/09/2025")</f>
        <v>16/09/2025</v>
      </c>
      <c r="J1012" t="str">
        <f>("16/01/2025")</f>
        <v>16/01/2025</v>
      </c>
      <c r="K1012" t="str">
        <f>("09/09/2025")</f>
        <v>09/09/2025</v>
      </c>
      <c r="L1012">
        <v>20</v>
      </c>
      <c r="M1012">
        <v>20</v>
      </c>
      <c r="N1012">
        <v>106</v>
      </c>
      <c r="O1012" t="str">
        <f>"ENTRADA DE CAPITAL"</f>
        <v>ENTRADA DE CAPITAL</v>
      </c>
      <c r="P1012">
        <v>20</v>
      </c>
      <c r="S1012" t="str">
        <f>"ENTRADA DE CAPITAL (106)"</f>
        <v>ENTRADA DE CAPITAL (106)</v>
      </c>
      <c r="T1012">
        <v>17843</v>
      </c>
      <c r="U1012">
        <v>6154</v>
      </c>
      <c r="V1012" t="s">
        <v>48</v>
      </c>
    </row>
    <row r="1013" spans="1:22">
      <c r="A1013" t="str">
        <f t="shared" si="200"/>
        <v>09/09/2025</v>
      </c>
      <c r="B1013" t="str">
        <f>"ENTRADA"</f>
        <v>ENTRADA</v>
      </c>
      <c r="C1013" t="str">
        <f>"DINHEIRO"</f>
        <v>DINHEIRO</v>
      </c>
      <c r="D1013" t="str">
        <f>"04"</f>
        <v>04</v>
      </c>
      <c r="E1013" t="str">
        <f>"33"</f>
        <v>33</v>
      </c>
      <c r="F1013" t="str">
        <f t="shared" si="199"/>
        <v>COM</v>
      </c>
      <c r="G1013" t="str">
        <f>"ELIENAI ROSA DO NASCIMENTO (343)"</f>
        <v>ELIENAI ROSA DO NASCIMENTO (343)</v>
      </c>
      <c r="H1013" t="s">
        <v>309</v>
      </c>
      <c r="I1013" t="str">
        <f>("16/09/2025")</f>
        <v>16/09/2025</v>
      </c>
      <c r="J1013" t="str">
        <f>("16/01/2025")</f>
        <v>16/01/2025</v>
      </c>
      <c r="K1013">
        <v>45909</v>
      </c>
      <c r="N1013">
        <v>106</v>
      </c>
      <c r="O1013" t="s">
        <v>51</v>
      </c>
      <c r="Q1013">
        <v>20</v>
      </c>
      <c r="R1013" t="str">
        <f>"ELIENAI ROSA DO NASCIMENTO (343)"</f>
        <v>ELIENAI ROSA DO NASCIMENTO (343)</v>
      </c>
      <c r="S1013" t="s">
        <v>52</v>
      </c>
      <c r="T1013">
        <v>17843</v>
      </c>
      <c r="U1013">
        <v>6154</v>
      </c>
      <c r="V1013" t="s">
        <v>48</v>
      </c>
    </row>
    <row r="1014" spans="1:22">
      <c r="A1014" t="str">
        <f t="shared" si="200"/>
        <v>09/09/2025</v>
      </c>
      <c r="B1014" t="str">
        <f>"ENTRADA"</f>
        <v>ENTRADA</v>
      </c>
      <c r="C1014" t="str">
        <f>"DINHEIRO"</f>
        <v>DINHEIRO</v>
      </c>
      <c r="D1014" t="str">
        <f>"840"</f>
        <v>840</v>
      </c>
      <c r="E1014" t="str">
        <f>"3"</f>
        <v>3</v>
      </c>
      <c r="F1014" t="str">
        <f t="shared" si="199"/>
        <v>COM</v>
      </c>
      <c r="G1014" t="str">
        <f>"ELIO CALDEIRA RIBEIRO JUNIOR (840)"</f>
        <v>ELIO CALDEIRA RIBEIRO JUNIOR (840)</v>
      </c>
      <c r="H1014" t="str">
        <f>"COTA COOPERATIVA"</f>
        <v>COTA COOPERATIVA</v>
      </c>
      <c r="I1014" t="str">
        <f>("10/09/2025")</f>
        <v>10/09/2025</v>
      </c>
      <c r="J1014" t="str">
        <f>("31/05/2025")</f>
        <v>31/05/2025</v>
      </c>
      <c r="K1014" t="str">
        <f>("09/09/2025")</f>
        <v>09/09/2025</v>
      </c>
      <c r="L1014">
        <v>20</v>
      </c>
      <c r="M1014">
        <v>20</v>
      </c>
      <c r="N1014">
        <v>106</v>
      </c>
      <c r="O1014" t="str">
        <f>"ENTRADA DE CAPITAL"</f>
        <v>ENTRADA DE CAPITAL</v>
      </c>
      <c r="P1014">
        <v>20</v>
      </c>
      <c r="S1014" t="str">
        <f>"ENTRADA DE CAPITAL (106)"</f>
        <v>ENTRADA DE CAPITAL (106)</v>
      </c>
      <c r="T1014">
        <v>17844</v>
      </c>
      <c r="U1014">
        <v>18164</v>
      </c>
      <c r="V1014" t="s">
        <v>48</v>
      </c>
    </row>
    <row r="1015" spans="1:22">
      <c r="A1015" t="str">
        <f t="shared" si="200"/>
        <v>09/09/2025</v>
      </c>
      <c r="B1015" t="str">
        <f>"ENTRADA"</f>
        <v>ENTRADA</v>
      </c>
      <c r="C1015" t="str">
        <f>"DINHEIRO"</f>
        <v>DINHEIRO</v>
      </c>
      <c r="D1015" t="str">
        <f>"840"</f>
        <v>840</v>
      </c>
      <c r="E1015" t="str">
        <f>"3"</f>
        <v>3</v>
      </c>
      <c r="F1015" t="str">
        <f t="shared" si="199"/>
        <v>COM</v>
      </c>
      <c r="G1015" t="str">
        <f>"ELIO CALDEIRA RIBEIRO JUNIOR (840)"</f>
        <v>ELIO CALDEIRA RIBEIRO JUNIOR (840)</v>
      </c>
      <c r="H1015" t="s">
        <v>50</v>
      </c>
      <c r="I1015" t="str">
        <f>("10/09/2025")</f>
        <v>10/09/2025</v>
      </c>
      <c r="J1015" t="str">
        <f>("31/05/2025")</f>
        <v>31/05/2025</v>
      </c>
      <c r="K1015">
        <v>45909</v>
      </c>
      <c r="N1015">
        <v>106</v>
      </c>
      <c r="O1015" t="s">
        <v>51</v>
      </c>
      <c r="Q1015">
        <v>20</v>
      </c>
      <c r="R1015" t="str">
        <f>"ELIO CALDEIRA RIBEIRO JUNIOR (840)"</f>
        <v>ELIO CALDEIRA RIBEIRO JUNIOR (840)</v>
      </c>
      <c r="S1015" t="s">
        <v>52</v>
      </c>
      <c r="T1015">
        <v>17844</v>
      </c>
      <c r="U1015">
        <v>18164</v>
      </c>
      <c r="V1015" t="s">
        <v>48</v>
      </c>
    </row>
    <row r="1016" spans="1:22">
      <c r="A1016" t="str">
        <f t="shared" si="200"/>
        <v>09/09/2025</v>
      </c>
      <c r="B1016" t="str">
        <f>"SAÍDA"</f>
        <v>SAÍDA</v>
      </c>
      <c r="C1016" t="str">
        <f>"PIX"</f>
        <v>PIX</v>
      </c>
      <c r="D1016" t="str">
        <f>"21466"</f>
        <v>21466</v>
      </c>
      <c r="E1016" t="str">
        <f>"1"</f>
        <v>1</v>
      </c>
      <c r="F1016" t="str">
        <f t="shared" si="199"/>
        <v>COM</v>
      </c>
      <c r="G1016" t="str">
        <f>"ELIO CALDEIRA RIBEIRO JUNIOR (840)"</f>
        <v>ELIO CALDEIRA RIBEIRO JUNIOR (840)</v>
      </c>
      <c r="H1016" t="str">
        <f>"Serv.Prest. 01/09/2025 a 07/09/2025 - PIX: CPF - CHAVE: 463.491.858-70"</f>
        <v>Serv.Prest. 01/09/2025 a 07/09/2025 - PIX: CPF - CHAVE: 463.491.858-70</v>
      </c>
      <c r="I1016" t="str">
        <f>("11/09/2025")</f>
        <v>11/09/2025</v>
      </c>
      <c r="J1016" t="str">
        <f>("08/09/2025")</f>
        <v>08/09/2025</v>
      </c>
      <c r="K1016" t="str">
        <f>("09/09/2025")</f>
        <v>09/09/2025</v>
      </c>
      <c r="L1016">
        <v>20</v>
      </c>
      <c r="M1016">
        <v>20</v>
      </c>
      <c r="N1016">
        <v>109</v>
      </c>
      <c r="O1016" t="str">
        <f>"PAGAMENTO DE ENTREGADORES"</f>
        <v>PAGAMENTO DE ENTREGADORES</v>
      </c>
      <c r="P1016">
        <v>20</v>
      </c>
      <c r="S1016" t="str">
        <f>"CAIXA MOVIMENTAÇÃO OPERACIONAL (132)"</f>
        <v>CAIXA MOVIMENTAÇÃO OPERACIONAL (132)</v>
      </c>
      <c r="T1016">
        <v>17845</v>
      </c>
      <c r="U1016">
        <v>21795</v>
      </c>
      <c r="V1016" t="s">
        <v>48</v>
      </c>
    </row>
    <row r="1017" spans="1:22">
      <c r="A1017" t="str">
        <f t="shared" si="200"/>
        <v>09/09/2025</v>
      </c>
      <c r="B1017" t="str">
        <f>"SAÍDA"</f>
        <v>SAÍDA</v>
      </c>
      <c r="C1017" t="str">
        <f>"PIX"</f>
        <v>PIX</v>
      </c>
      <c r="D1017" t="str">
        <f>"21466"</f>
        <v>21466</v>
      </c>
      <c r="E1017" t="str">
        <f>"1"</f>
        <v>1</v>
      </c>
      <c r="F1017" t="str">
        <f t="shared" si="199"/>
        <v>COM</v>
      </c>
      <c r="G1017" t="str">
        <f>"ELIO CALDEIRA RIBEIRO JUNIOR (840)"</f>
        <v>ELIO CALDEIRA RIBEIRO JUNIOR (840)</v>
      </c>
      <c r="H1017" t="s">
        <v>354</v>
      </c>
      <c r="I1017" t="str">
        <f>("11/09/2025")</f>
        <v>11/09/2025</v>
      </c>
      <c r="J1017" t="str">
        <f>("08/09/2025")</f>
        <v>08/09/2025</v>
      </c>
      <c r="K1017">
        <v>45909</v>
      </c>
      <c r="N1017">
        <v>109</v>
      </c>
      <c r="O1017" t="s">
        <v>24</v>
      </c>
      <c r="Q1017">
        <v>20</v>
      </c>
      <c r="R1017" t="str">
        <f>"DROGARIA MEDIC CENTER LTDA (10172)"</f>
        <v>DROGARIA MEDIC CENTER LTDA (10172)</v>
      </c>
      <c r="S1017" t="s">
        <v>48</v>
      </c>
      <c r="T1017">
        <v>17845</v>
      </c>
      <c r="U1017">
        <v>21795</v>
      </c>
      <c r="V1017" t="s">
        <v>48</v>
      </c>
    </row>
    <row r="1018" spans="1:22">
      <c r="A1018" t="str">
        <f t="shared" si="200"/>
        <v>09/09/2025</v>
      </c>
      <c r="B1018" t="str">
        <f>"SAÍDA"</f>
        <v>SAÍDA</v>
      </c>
      <c r="C1018" t="str">
        <f>"PIX"</f>
        <v>PIX</v>
      </c>
      <c r="D1018" t="str">
        <f>"21138"</f>
        <v>21138</v>
      </c>
      <c r="E1018" t="str">
        <f>"1"</f>
        <v>1</v>
      </c>
      <c r="F1018" t="str">
        <f t="shared" si="199"/>
        <v>COM</v>
      </c>
      <c r="G1018" t="str">
        <f>"ERIC DE RAMOS GOMES (606)"</f>
        <v>ERIC DE RAMOS GOMES (606)</v>
      </c>
      <c r="H1018" t="str">
        <f>"Serv.Prest. 25/08/2025 a 31/08/2025 - PIX: E-MAIL - CHAVE: ericgomes508@gmail.com"</f>
        <v>Serv.Prest. 25/08/2025 a 31/08/2025 - PIX: E-MAIL - CHAVE: ericgomes508@gmail.com</v>
      </c>
      <c r="I1018" t="str">
        <f>("11/09/2025")</f>
        <v>11/09/2025</v>
      </c>
      <c r="J1018" t="str">
        <f>("02/09/2025")</f>
        <v>02/09/2025</v>
      </c>
      <c r="K1018" t="str">
        <f>("09/09/2025")</f>
        <v>09/09/2025</v>
      </c>
      <c r="L1018">
        <v>20</v>
      </c>
      <c r="M1018">
        <v>20</v>
      </c>
      <c r="N1018">
        <v>109</v>
      </c>
      <c r="O1018" t="str">
        <f>"PAGAMENTO DE ENTREGADORES"</f>
        <v>PAGAMENTO DE ENTREGADORES</v>
      </c>
      <c r="P1018">
        <v>20</v>
      </c>
      <c r="S1018" t="str">
        <f>"CAIXA MOVIMENTAÇÃO OPERACIONAL (132)"</f>
        <v>CAIXA MOVIMENTAÇÃO OPERACIONAL (132)</v>
      </c>
      <c r="T1018">
        <v>17846</v>
      </c>
      <c r="U1018">
        <v>21796</v>
      </c>
      <c r="V1018" t="s">
        <v>48</v>
      </c>
    </row>
    <row r="1019" spans="1:22">
      <c r="A1019" t="str">
        <f t="shared" si="200"/>
        <v>09/09/2025</v>
      </c>
      <c r="B1019" t="str">
        <f>"SAÍDA"</f>
        <v>SAÍDA</v>
      </c>
      <c r="C1019" t="str">
        <f>"PIX"</f>
        <v>PIX</v>
      </c>
      <c r="D1019" t="str">
        <f>"21138"</f>
        <v>21138</v>
      </c>
      <c r="E1019" t="str">
        <f>"1"</f>
        <v>1</v>
      </c>
      <c r="F1019" t="str">
        <f t="shared" si="199"/>
        <v>COM</v>
      </c>
      <c r="G1019" t="str">
        <f>"ERIC DE RAMOS GOMES (606)"</f>
        <v>ERIC DE RAMOS GOMES (606)</v>
      </c>
      <c r="H1019" t="s">
        <v>355</v>
      </c>
      <c r="I1019" t="str">
        <f>("11/09/2025")</f>
        <v>11/09/2025</v>
      </c>
      <c r="J1019" t="str">
        <f>("02/09/2025")</f>
        <v>02/09/2025</v>
      </c>
      <c r="K1019">
        <v>45909</v>
      </c>
      <c r="N1019">
        <v>109</v>
      </c>
      <c r="O1019" t="s">
        <v>24</v>
      </c>
      <c r="Q1019">
        <v>20</v>
      </c>
      <c r="R1019" t="str">
        <f>"FARMÁCIA INDIANA LJ 91 (10037)"</f>
        <v>FARMÁCIA INDIANA LJ 91 (10037)</v>
      </c>
      <c r="S1019" t="s">
        <v>48</v>
      </c>
      <c r="T1019">
        <v>17846</v>
      </c>
      <c r="U1019">
        <v>21796</v>
      </c>
      <c r="V1019" t="s">
        <v>48</v>
      </c>
    </row>
    <row r="1020" spans="1:22">
      <c r="A1020" t="str">
        <f t="shared" si="200"/>
        <v>09/09/2025</v>
      </c>
      <c r="B1020" t="str">
        <f>"ENTRADA"</f>
        <v>ENTRADA</v>
      </c>
      <c r="C1020" t="str">
        <f>"DINHEIRO"</f>
        <v>DINHEIRO</v>
      </c>
      <c r="D1020" t="str">
        <f>"606"</f>
        <v>606</v>
      </c>
      <c r="E1020" t="str">
        <f>"8"</f>
        <v>8</v>
      </c>
      <c r="F1020" t="str">
        <f t="shared" si="199"/>
        <v>COM</v>
      </c>
      <c r="G1020" t="str">
        <f>"ERIC DE RAMOS GOMES (606)"</f>
        <v>ERIC DE RAMOS GOMES (606)</v>
      </c>
      <c r="H1020" t="str">
        <f>"COTAS COOPERATIVA"</f>
        <v>COTAS COOPERATIVA</v>
      </c>
      <c r="I1020" t="str">
        <f>("13/09/2025")</f>
        <v>13/09/2025</v>
      </c>
      <c r="J1020" t="str">
        <f>("12/02/2025")</f>
        <v>12/02/2025</v>
      </c>
      <c r="K1020" t="str">
        <f>("09/09/2025")</f>
        <v>09/09/2025</v>
      </c>
      <c r="L1020">
        <v>20</v>
      </c>
      <c r="M1020">
        <v>20</v>
      </c>
      <c r="N1020">
        <v>106</v>
      </c>
      <c r="O1020" t="str">
        <f>"ENTRADA DE CAPITAL"</f>
        <v>ENTRADA DE CAPITAL</v>
      </c>
      <c r="P1020">
        <v>20</v>
      </c>
      <c r="S1020" t="str">
        <f>"ENTRADA DE CAPITAL (106)"</f>
        <v>ENTRADA DE CAPITAL (106)</v>
      </c>
      <c r="T1020">
        <v>17847</v>
      </c>
      <c r="U1020">
        <v>9124</v>
      </c>
      <c r="V1020" t="s">
        <v>48</v>
      </c>
    </row>
    <row r="1021" spans="1:22">
      <c r="A1021" t="str">
        <f t="shared" si="200"/>
        <v>09/09/2025</v>
      </c>
      <c r="B1021" t="str">
        <f>"ENTRADA"</f>
        <v>ENTRADA</v>
      </c>
      <c r="C1021" t="str">
        <f>"DINHEIRO"</f>
        <v>DINHEIRO</v>
      </c>
      <c r="D1021" t="str">
        <f>"606"</f>
        <v>606</v>
      </c>
      <c r="E1021" t="str">
        <f>"8"</f>
        <v>8</v>
      </c>
      <c r="F1021" t="str">
        <f t="shared" si="199"/>
        <v>COM</v>
      </c>
      <c r="G1021" t="str">
        <f>"ERIC DE RAMOS GOMES (606)"</f>
        <v>ERIC DE RAMOS GOMES (606)</v>
      </c>
      <c r="H1021" t="s">
        <v>318</v>
      </c>
      <c r="I1021" t="str">
        <f>("13/09/2025")</f>
        <v>13/09/2025</v>
      </c>
      <c r="J1021" t="str">
        <f>("12/02/2025")</f>
        <v>12/02/2025</v>
      </c>
      <c r="K1021">
        <v>45909</v>
      </c>
      <c r="N1021">
        <v>106</v>
      </c>
      <c r="O1021" t="s">
        <v>51</v>
      </c>
      <c r="Q1021">
        <v>20</v>
      </c>
      <c r="R1021" t="str">
        <f>"ERIC DE RAMOS GOMES (606)"</f>
        <v>ERIC DE RAMOS GOMES (606)</v>
      </c>
      <c r="S1021" t="s">
        <v>52</v>
      </c>
      <c r="T1021">
        <v>17847</v>
      </c>
      <c r="U1021">
        <v>9124</v>
      </c>
      <c r="V1021" t="s">
        <v>48</v>
      </c>
    </row>
    <row r="1022" spans="1:22">
      <c r="A1022" t="str">
        <f t="shared" si="200"/>
        <v>09/09/2025</v>
      </c>
      <c r="B1022" t="str">
        <f>"SAÍDA"</f>
        <v>SAÍDA</v>
      </c>
      <c r="C1022" t="str">
        <f>"PIX"</f>
        <v>PIX</v>
      </c>
      <c r="D1022" t="str">
        <f>"21193"</f>
        <v>21193</v>
      </c>
      <c r="E1022" t="str">
        <f>"1"</f>
        <v>1</v>
      </c>
      <c r="F1022" t="str">
        <f t="shared" si="199"/>
        <v>COM</v>
      </c>
      <c r="G1022" t="str">
        <f>"EUDES PIMENTA (368)"</f>
        <v>EUDES PIMENTA (368)</v>
      </c>
      <c r="H1022" t="str">
        <f>"Serv.Prest. 25/08/2025 a 31/08/2025 - PIX: CPF - CHAVE: 070.073.316-70"</f>
        <v>Serv.Prest. 25/08/2025 a 31/08/2025 - PIX: CPF - CHAVE: 070.073.316-70</v>
      </c>
      <c r="I1022" t="str">
        <f>("11/09/2025")</f>
        <v>11/09/2025</v>
      </c>
      <c r="J1022" t="str">
        <f>("02/09/2025")</f>
        <v>02/09/2025</v>
      </c>
      <c r="K1022" t="str">
        <f>("09/09/2025")</f>
        <v>09/09/2025</v>
      </c>
      <c r="L1022">
        <v>20</v>
      </c>
      <c r="M1022">
        <v>20</v>
      </c>
      <c r="N1022">
        <v>109</v>
      </c>
      <c r="O1022" t="str">
        <f>"PAGAMENTO DE ENTREGADORES"</f>
        <v>PAGAMENTO DE ENTREGADORES</v>
      </c>
      <c r="P1022">
        <v>20</v>
      </c>
      <c r="S1022" t="str">
        <f>"CAIXA MOVIMENTAÇÃO OPERACIONAL (132)"</f>
        <v>CAIXA MOVIMENTAÇÃO OPERACIONAL (132)</v>
      </c>
      <c r="T1022">
        <v>17848</v>
      </c>
      <c r="U1022">
        <v>21797</v>
      </c>
      <c r="V1022" t="s">
        <v>48</v>
      </c>
    </row>
    <row r="1023" spans="1:22">
      <c r="A1023" t="str">
        <f t="shared" si="200"/>
        <v>09/09/2025</v>
      </c>
      <c r="B1023" t="str">
        <f>"SAÍDA"</f>
        <v>SAÍDA</v>
      </c>
      <c r="C1023" t="str">
        <f>"PIX"</f>
        <v>PIX</v>
      </c>
      <c r="D1023" t="str">
        <f>"21193"</f>
        <v>21193</v>
      </c>
      <c r="E1023" t="str">
        <f>"1"</f>
        <v>1</v>
      </c>
      <c r="F1023" t="str">
        <f t="shared" si="199"/>
        <v>COM</v>
      </c>
      <c r="G1023" t="str">
        <f>"EUDES PIMENTA (368)"</f>
        <v>EUDES PIMENTA (368)</v>
      </c>
      <c r="H1023" t="s">
        <v>356</v>
      </c>
      <c r="I1023" t="str">
        <f>("11/09/2025")</f>
        <v>11/09/2025</v>
      </c>
      <c r="J1023" t="str">
        <f>("02/09/2025")</f>
        <v>02/09/2025</v>
      </c>
      <c r="K1023">
        <v>45909</v>
      </c>
      <c r="N1023">
        <v>109</v>
      </c>
      <c r="O1023" t="s">
        <v>24</v>
      </c>
      <c r="Q1023">
        <v>20</v>
      </c>
      <c r="R1023" t="str">
        <f>"FARMÁCIA INDIANA LJ 06 (10006)"</f>
        <v>FARMÁCIA INDIANA LJ 06 (10006)</v>
      </c>
      <c r="S1023" t="s">
        <v>48</v>
      </c>
      <c r="T1023">
        <v>17848</v>
      </c>
      <c r="U1023">
        <v>21797</v>
      </c>
      <c r="V1023" t="s">
        <v>48</v>
      </c>
    </row>
    <row r="1024" spans="1:22">
      <c r="A1024" t="str">
        <f t="shared" si="200"/>
        <v>09/09/2025</v>
      </c>
      <c r="B1024" t="str">
        <f>"ENTRADA"</f>
        <v>ENTRADA</v>
      </c>
      <c r="C1024" t="str">
        <f>"DINHEIRO"</f>
        <v>DINHEIRO</v>
      </c>
      <c r="D1024" t="str">
        <f>"06"</f>
        <v>06</v>
      </c>
      <c r="E1024" t="str">
        <f>"33"</f>
        <v>33</v>
      </c>
      <c r="F1024" t="str">
        <f t="shared" si="199"/>
        <v>COM</v>
      </c>
      <c r="G1024" t="str">
        <f>"EUDES PIMENTA (368)"</f>
        <v>EUDES PIMENTA (368)</v>
      </c>
      <c r="H1024" t="str">
        <f>"DESCONTO COTA COOPERADO"</f>
        <v>DESCONTO COTA COOPERADO</v>
      </c>
      <c r="I1024" t="str">
        <f>("16/09/2025")</f>
        <v>16/09/2025</v>
      </c>
      <c r="J1024" t="str">
        <f>("16/01/2025")</f>
        <v>16/01/2025</v>
      </c>
      <c r="K1024" t="str">
        <f>("09/09/2025")</f>
        <v>09/09/2025</v>
      </c>
      <c r="L1024">
        <v>20</v>
      </c>
      <c r="M1024">
        <v>20</v>
      </c>
      <c r="N1024">
        <v>106</v>
      </c>
      <c r="O1024" t="str">
        <f>"ENTRADA DE CAPITAL"</f>
        <v>ENTRADA DE CAPITAL</v>
      </c>
      <c r="P1024">
        <v>20</v>
      </c>
      <c r="S1024" t="str">
        <f>"ENTRADA DE CAPITAL (106)"</f>
        <v>ENTRADA DE CAPITAL (106)</v>
      </c>
      <c r="T1024">
        <v>17849</v>
      </c>
      <c r="U1024">
        <v>6177</v>
      </c>
      <c r="V1024" t="s">
        <v>48</v>
      </c>
    </row>
    <row r="1025" spans="1:22">
      <c r="A1025" t="str">
        <f t="shared" si="200"/>
        <v>09/09/2025</v>
      </c>
      <c r="B1025" t="str">
        <f>"ENTRADA"</f>
        <v>ENTRADA</v>
      </c>
      <c r="C1025" t="str">
        <f>"DINHEIRO"</f>
        <v>DINHEIRO</v>
      </c>
      <c r="D1025" t="str">
        <f>"06"</f>
        <v>06</v>
      </c>
      <c r="E1025" t="str">
        <f>"33"</f>
        <v>33</v>
      </c>
      <c r="F1025" t="str">
        <f t="shared" si="199"/>
        <v>COM</v>
      </c>
      <c r="G1025" t="str">
        <f>"EUDES PIMENTA (368)"</f>
        <v>EUDES PIMENTA (368)</v>
      </c>
      <c r="H1025" t="s">
        <v>309</v>
      </c>
      <c r="I1025" t="str">
        <f>("16/09/2025")</f>
        <v>16/09/2025</v>
      </c>
      <c r="J1025" t="str">
        <f>("16/01/2025")</f>
        <v>16/01/2025</v>
      </c>
      <c r="K1025">
        <v>45909</v>
      </c>
      <c r="N1025">
        <v>106</v>
      </c>
      <c r="O1025" t="s">
        <v>51</v>
      </c>
      <c r="Q1025">
        <v>20</v>
      </c>
      <c r="R1025" t="str">
        <f>"EUDES PIMENTA (368)"</f>
        <v>EUDES PIMENTA (368)</v>
      </c>
      <c r="S1025" t="s">
        <v>52</v>
      </c>
      <c r="T1025">
        <v>17849</v>
      </c>
      <c r="U1025">
        <v>6177</v>
      </c>
      <c r="V1025" t="s">
        <v>48</v>
      </c>
    </row>
    <row r="1026" spans="1:22">
      <c r="A1026" t="str">
        <f t="shared" si="200"/>
        <v>09/09/2025</v>
      </c>
      <c r="B1026" t="str">
        <f>"SAÍDA"</f>
        <v>SAÍDA</v>
      </c>
      <c r="C1026" t="str">
        <f>"PIX"</f>
        <v>PIX</v>
      </c>
      <c r="D1026" t="str">
        <f>"21164"</f>
        <v>21164</v>
      </c>
      <c r="E1026" t="str">
        <f>"1"</f>
        <v>1</v>
      </c>
      <c r="F1026" t="str">
        <f t="shared" si="199"/>
        <v>COM</v>
      </c>
      <c r="G1026" t="str">
        <f>"FABIO SOUZA DE JESUS (637)"</f>
        <v>FABIO SOUZA DE JESUS (637)</v>
      </c>
      <c r="H1026" t="str">
        <f>"Serv.Prest. 25/08/2025 a 31/08/2025 - PIX: CELULAR - CHAVE: (27) 99950-3450"</f>
        <v>Serv.Prest. 25/08/2025 a 31/08/2025 - PIX: CELULAR - CHAVE: (27) 99950-3450</v>
      </c>
      <c r="I1026" t="str">
        <f>("11/09/2025")</f>
        <v>11/09/2025</v>
      </c>
      <c r="J1026" t="str">
        <f>("02/09/2025")</f>
        <v>02/09/2025</v>
      </c>
      <c r="K1026" t="str">
        <f>("09/09/2025")</f>
        <v>09/09/2025</v>
      </c>
      <c r="L1026">
        <v>20</v>
      </c>
      <c r="M1026">
        <v>20</v>
      </c>
      <c r="N1026">
        <v>109</v>
      </c>
      <c r="O1026" t="str">
        <f>"PAGAMENTO DE ENTREGADORES"</f>
        <v>PAGAMENTO DE ENTREGADORES</v>
      </c>
      <c r="P1026">
        <v>20</v>
      </c>
      <c r="S1026" t="str">
        <f>"CAIXA MOVIMENTAÇÃO OPERACIONAL (132)"</f>
        <v>CAIXA MOVIMENTAÇÃO OPERACIONAL (132)</v>
      </c>
      <c r="T1026">
        <v>17850</v>
      </c>
      <c r="U1026">
        <v>21798</v>
      </c>
      <c r="V1026" t="s">
        <v>48</v>
      </c>
    </row>
    <row r="1027" spans="1:22">
      <c r="A1027" t="str">
        <f t="shared" si="200"/>
        <v>09/09/2025</v>
      </c>
      <c r="B1027" t="str">
        <f>"SAÍDA"</f>
        <v>SAÍDA</v>
      </c>
      <c r="C1027" t="str">
        <f>"PIX"</f>
        <v>PIX</v>
      </c>
      <c r="D1027" t="str">
        <f>"21164"</f>
        <v>21164</v>
      </c>
      <c r="E1027" t="str">
        <f>"1"</f>
        <v>1</v>
      </c>
      <c r="F1027" t="str">
        <f t="shared" si="199"/>
        <v>COM</v>
      </c>
      <c r="G1027" t="str">
        <f>"FABIO SOUZA DE JESUS (637)"</f>
        <v>FABIO SOUZA DE JESUS (637)</v>
      </c>
      <c r="H1027" t="s">
        <v>357</v>
      </c>
      <c r="I1027" t="str">
        <f>("11/09/2025")</f>
        <v>11/09/2025</v>
      </c>
      <c r="J1027" t="str">
        <f>("02/09/2025")</f>
        <v>02/09/2025</v>
      </c>
      <c r="K1027">
        <v>45909</v>
      </c>
      <c r="N1027">
        <v>109</v>
      </c>
      <c r="O1027" t="s">
        <v>24</v>
      </c>
      <c r="Q1027">
        <v>12</v>
      </c>
      <c r="R1027" t="str">
        <f>"FARMÁCIA INDIANA LJ 243 (10142)"</f>
        <v>FARMÁCIA INDIANA LJ 243 (10142)</v>
      </c>
      <c r="S1027" t="s">
        <v>48</v>
      </c>
      <c r="T1027">
        <v>17850</v>
      </c>
      <c r="U1027">
        <v>21798</v>
      </c>
      <c r="V1027" t="s">
        <v>48</v>
      </c>
    </row>
    <row r="1028" spans="1:22">
      <c r="A1028" t="str">
        <f t="shared" si="200"/>
        <v>09/09/2025</v>
      </c>
      <c r="B1028" t="str">
        <f>"SAÍDA"</f>
        <v>SAÍDA</v>
      </c>
      <c r="C1028" t="str">
        <f>"PIX"</f>
        <v>PIX</v>
      </c>
      <c r="D1028" t="str">
        <f>"21164"</f>
        <v>21164</v>
      </c>
      <c r="E1028" t="str">
        <f>"1"</f>
        <v>1</v>
      </c>
      <c r="F1028" t="str">
        <f t="shared" si="199"/>
        <v>COM</v>
      </c>
      <c r="G1028" t="str">
        <f>"FABIO SOUZA DE JESUS (637)"</f>
        <v>FABIO SOUZA DE JESUS (637)</v>
      </c>
      <c r="H1028" t="s">
        <v>357</v>
      </c>
      <c r="I1028" t="str">
        <f>("11/09/2025")</f>
        <v>11/09/2025</v>
      </c>
      <c r="J1028" t="str">
        <f>("02/09/2025")</f>
        <v>02/09/2025</v>
      </c>
      <c r="K1028">
        <v>45909</v>
      </c>
      <c r="N1028">
        <v>109</v>
      </c>
      <c r="O1028" t="s">
        <v>24</v>
      </c>
      <c r="Q1028">
        <v>8</v>
      </c>
      <c r="R1028" t="str">
        <f>"FARMÁCIA INDIANA LJ 235 (10190)"</f>
        <v>FARMÁCIA INDIANA LJ 235 (10190)</v>
      </c>
      <c r="S1028" t="s">
        <v>48</v>
      </c>
      <c r="T1028">
        <v>17850</v>
      </c>
      <c r="U1028">
        <v>21798</v>
      </c>
      <c r="V1028" t="s">
        <v>48</v>
      </c>
    </row>
    <row r="1029" spans="1:22">
      <c r="A1029" t="str">
        <f t="shared" si="200"/>
        <v>09/09/2025</v>
      </c>
      <c r="B1029" t="str">
        <f>"ENTRADA"</f>
        <v>ENTRADA</v>
      </c>
      <c r="C1029" t="str">
        <f>"DINHEIRO"</f>
        <v>DINHEIRO</v>
      </c>
      <c r="D1029" t="str">
        <f>"637"</f>
        <v>637</v>
      </c>
      <c r="E1029" t="str">
        <f>"8"</f>
        <v>8</v>
      </c>
      <c r="F1029" t="str">
        <f t="shared" si="199"/>
        <v>COM</v>
      </c>
      <c r="G1029" t="str">
        <f>"FABIO SOUZA DE JESUS (637)"</f>
        <v>FABIO SOUZA DE JESUS (637)</v>
      </c>
      <c r="H1029" t="str">
        <f>"COTAS COOPERATIVA"</f>
        <v>COTAS COOPERATIVA</v>
      </c>
      <c r="I1029" t="str">
        <f>("13/09/2025")</f>
        <v>13/09/2025</v>
      </c>
      <c r="J1029" t="str">
        <f>("12/02/2025")</f>
        <v>12/02/2025</v>
      </c>
      <c r="K1029" t="str">
        <f>("09/09/2025")</f>
        <v>09/09/2025</v>
      </c>
      <c r="L1029">
        <v>20</v>
      </c>
      <c r="M1029">
        <v>20</v>
      </c>
      <c r="N1029">
        <v>106</v>
      </c>
      <c r="O1029" t="str">
        <f>"ENTRADA DE CAPITAL"</f>
        <v>ENTRADA DE CAPITAL</v>
      </c>
      <c r="P1029">
        <v>20</v>
      </c>
      <c r="S1029" t="str">
        <f>"ENTRADA DE CAPITAL (106)"</f>
        <v>ENTRADA DE CAPITAL (106)</v>
      </c>
      <c r="T1029">
        <v>17851</v>
      </c>
      <c r="U1029">
        <v>9172</v>
      </c>
      <c r="V1029" t="s">
        <v>48</v>
      </c>
    </row>
    <row r="1030" spans="1:22">
      <c r="A1030" t="str">
        <f t="shared" si="200"/>
        <v>09/09/2025</v>
      </c>
      <c r="B1030" t="str">
        <f>"ENTRADA"</f>
        <v>ENTRADA</v>
      </c>
      <c r="C1030" t="str">
        <f>"DINHEIRO"</f>
        <v>DINHEIRO</v>
      </c>
      <c r="D1030" t="str">
        <f>"637"</f>
        <v>637</v>
      </c>
      <c r="E1030" t="str">
        <f>"8"</f>
        <v>8</v>
      </c>
      <c r="F1030" t="str">
        <f t="shared" si="199"/>
        <v>COM</v>
      </c>
      <c r="G1030" t="str">
        <f>"FABIO SOUZA DE JESUS (637)"</f>
        <v>FABIO SOUZA DE JESUS (637)</v>
      </c>
      <c r="H1030" t="s">
        <v>318</v>
      </c>
      <c r="I1030" t="str">
        <f>("13/09/2025")</f>
        <v>13/09/2025</v>
      </c>
      <c r="J1030" t="str">
        <f>("12/02/2025")</f>
        <v>12/02/2025</v>
      </c>
      <c r="K1030">
        <v>45909</v>
      </c>
      <c r="N1030">
        <v>106</v>
      </c>
      <c r="O1030" t="s">
        <v>51</v>
      </c>
      <c r="Q1030">
        <v>20</v>
      </c>
      <c r="R1030" t="str">
        <f>"FABIO SOUZA DE JESUS (637)"</f>
        <v>FABIO SOUZA DE JESUS (637)</v>
      </c>
      <c r="S1030" t="s">
        <v>52</v>
      </c>
      <c r="T1030">
        <v>17851</v>
      </c>
      <c r="U1030">
        <v>9172</v>
      </c>
      <c r="V1030" t="s">
        <v>48</v>
      </c>
    </row>
    <row r="1031" spans="1:22">
      <c r="A1031" t="str">
        <f t="shared" si="200"/>
        <v>09/09/2025</v>
      </c>
      <c r="B1031" t="str">
        <f>"ENTRADA"</f>
        <v>ENTRADA</v>
      </c>
      <c r="C1031" t="str">
        <f>"DINHEIRO"</f>
        <v>DINHEIRO</v>
      </c>
      <c r="D1031" t="str">
        <f>"788"</f>
        <v>788</v>
      </c>
      <c r="E1031" t="str">
        <f>"5"</f>
        <v>5</v>
      </c>
      <c r="F1031" t="str">
        <f t="shared" si="199"/>
        <v>COM</v>
      </c>
      <c r="G1031" t="str">
        <f>"FABRICIO QUEIROZ DE OLIVEIRA (788)"</f>
        <v>FABRICIO QUEIROZ DE OLIVEIRA (788)</v>
      </c>
      <c r="H1031" t="str">
        <f>"COTAS COOPERATIVA"</f>
        <v>COTAS COOPERATIVA</v>
      </c>
      <c r="I1031" t="str">
        <f>("08/09/2025")</f>
        <v>08/09/2025</v>
      </c>
      <c r="J1031" t="str">
        <f>("27/04/2025")</f>
        <v>27/04/2025</v>
      </c>
      <c r="K1031" t="str">
        <f>("09/09/2025")</f>
        <v>09/09/2025</v>
      </c>
      <c r="L1031">
        <v>20</v>
      </c>
      <c r="M1031">
        <v>20</v>
      </c>
      <c r="N1031">
        <v>106</v>
      </c>
      <c r="O1031" t="str">
        <f>"ENTRADA DE CAPITAL"</f>
        <v>ENTRADA DE CAPITAL</v>
      </c>
      <c r="P1031">
        <v>20</v>
      </c>
      <c r="S1031" t="str">
        <f>"ENTRADA DE CAPITAL (106)"</f>
        <v>ENTRADA DE CAPITAL (106)</v>
      </c>
      <c r="T1031">
        <v>17852</v>
      </c>
      <c r="U1031">
        <v>13907</v>
      </c>
      <c r="V1031" t="s">
        <v>48</v>
      </c>
    </row>
    <row r="1032" spans="1:22">
      <c r="A1032" t="str">
        <f t="shared" si="200"/>
        <v>09/09/2025</v>
      </c>
      <c r="B1032" t="str">
        <f>"ENTRADA"</f>
        <v>ENTRADA</v>
      </c>
      <c r="C1032" t="str">
        <f>"DINHEIRO"</f>
        <v>DINHEIRO</v>
      </c>
      <c r="D1032" t="str">
        <f>"788"</f>
        <v>788</v>
      </c>
      <c r="E1032" t="str">
        <f>"5"</f>
        <v>5</v>
      </c>
      <c r="F1032" t="str">
        <f t="shared" si="199"/>
        <v>COM</v>
      </c>
      <c r="G1032" t="str">
        <f>"FABRICIO QUEIROZ DE OLIVEIRA (788)"</f>
        <v>FABRICIO QUEIROZ DE OLIVEIRA (788)</v>
      </c>
      <c r="H1032" t="s">
        <v>318</v>
      </c>
      <c r="I1032" t="str">
        <f>("08/09/2025")</f>
        <v>08/09/2025</v>
      </c>
      <c r="J1032" t="str">
        <f>("27/04/2025")</f>
        <v>27/04/2025</v>
      </c>
      <c r="K1032">
        <v>45909</v>
      </c>
      <c r="N1032">
        <v>106</v>
      </c>
      <c r="O1032" t="s">
        <v>51</v>
      </c>
      <c r="Q1032">
        <v>20</v>
      </c>
      <c r="R1032" t="str">
        <f>"FABRICIO QUEIROZ DE OLIVEIRA (788)"</f>
        <v>FABRICIO QUEIROZ DE OLIVEIRA (788)</v>
      </c>
      <c r="S1032" t="s">
        <v>52</v>
      </c>
      <c r="T1032">
        <v>17852</v>
      </c>
      <c r="U1032">
        <v>13907</v>
      </c>
      <c r="V1032" t="s">
        <v>48</v>
      </c>
    </row>
    <row r="1033" spans="1:22">
      <c r="A1033" t="str">
        <f t="shared" si="200"/>
        <v>09/09/2025</v>
      </c>
      <c r="B1033" t="str">
        <f>"SAÍDA"</f>
        <v>SAÍDA</v>
      </c>
      <c r="C1033" t="str">
        <f>"PIX"</f>
        <v>PIX</v>
      </c>
      <c r="D1033" t="str">
        <f>"21443"</f>
        <v>21443</v>
      </c>
      <c r="E1033" t="str">
        <f>"1"</f>
        <v>1</v>
      </c>
      <c r="F1033" t="str">
        <f t="shared" si="199"/>
        <v>COM</v>
      </c>
      <c r="G1033" t="str">
        <f>"FABRICIO QUEIROZ DE OLIVEIRA (788)"</f>
        <v>FABRICIO QUEIROZ DE OLIVEIRA (788)</v>
      </c>
      <c r="H1033" t="str">
        <f>"Serv.Prest. 01/09/2025 a 07/09/2025 - PIX: CPF - CHAVE: 138.798.486-10"</f>
        <v>Serv.Prest. 01/09/2025 a 07/09/2025 - PIX: CPF - CHAVE: 138.798.486-10</v>
      </c>
      <c r="I1033" t="str">
        <f>("11/09/2025")</f>
        <v>11/09/2025</v>
      </c>
      <c r="J1033" t="str">
        <f>("08/09/2025")</f>
        <v>08/09/2025</v>
      </c>
      <c r="K1033" t="str">
        <f>("09/09/2025")</f>
        <v>09/09/2025</v>
      </c>
      <c r="L1033">
        <v>20</v>
      </c>
      <c r="M1033">
        <v>20</v>
      </c>
      <c r="N1033">
        <v>109</v>
      </c>
      <c r="O1033" t="str">
        <f>"PAGAMENTO DE ENTREGADORES"</f>
        <v>PAGAMENTO DE ENTREGADORES</v>
      </c>
      <c r="P1033">
        <v>20</v>
      </c>
      <c r="S1033" t="str">
        <f>"CAIXA MOVIMENTAÇÃO OPERACIONAL (132)"</f>
        <v>CAIXA MOVIMENTAÇÃO OPERACIONAL (132)</v>
      </c>
      <c r="T1033">
        <v>17853</v>
      </c>
      <c r="U1033">
        <v>21799</v>
      </c>
      <c r="V1033" t="s">
        <v>48</v>
      </c>
    </row>
    <row r="1034" spans="1:22">
      <c r="A1034" t="str">
        <f t="shared" si="200"/>
        <v>09/09/2025</v>
      </c>
      <c r="B1034" t="str">
        <f>"SAÍDA"</f>
        <v>SAÍDA</v>
      </c>
      <c r="C1034" t="str">
        <f>"PIX"</f>
        <v>PIX</v>
      </c>
      <c r="D1034" t="str">
        <f>"21443"</f>
        <v>21443</v>
      </c>
      <c r="E1034" t="str">
        <f>"1"</f>
        <v>1</v>
      </c>
      <c r="F1034" t="str">
        <f t="shared" si="199"/>
        <v>COM</v>
      </c>
      <c r="G1034" t="str">
        <f>"FABRICIO QUEIROZ DE OLIVEIRA (788)"</f>
        <v>FABRICIO QUEIROZ DE OLIVEIRA (788)</v>
      </c>
      <c r="H1034" t="s">
        <v>358</v>
      </c>
      <c r="I1034" t="str">
        <f>("11/09/2025")</f>
        <v>11/09/2025</v>
      </c>
      <c r="J1034" t="str">
        <f>("08/09/2025")</f>
        <v>08/09/2025</v>
      </c>
      <c r="K1034">
        <v>45909</v>
      </c>
      <c r="N1034">
        <v>109</v>
      </c>
      <c r="O1034" t="s">
        <v>24</v>
      </c>
      <c r="Q1034">
        <v>13.11</v>
      </c>
      <c r="R1034" t="str">
        <f>"FRAN FARMA LJ 2 (10131)"</f>
        <v>FRAN FARMA LJ 2 (10131)</v>
      </c>
      <c r="S1034" t="s">
        <v>48</v>
      </c>
      <c r="T1034">
        <v>17853</v>
      </c>
      <c r="U1034">
        <v>21799</v>
      </c>
      <c r="V1034" t="s">
        <v>48</v>
      </c>
    </row>
    <row r="1035" spans="1:22">
      <c r="A1035" t="str">
        <f t="shared" si="200"/>
        <v>09/09/2025</v>
      </c>
      <c r="B1035" t="str">
        <f>"SAÍDA"</f>
        <v>SAÍDA</v>
      </c>
      <c r="C1035" t="str">
        <f>"PIX"</f>
        <v>PIX</v>
      </c>
      <c r="D1035" t="str">
        <f>"21443"</f>
        <v>21443</v>
      </c>
      <c r="E1035" t="str">
        <f>"1"</f>
        <v>1</v>
      </c>
      <c r="F1035" t="str">
        <f t="shared" si="199"/>
        <v>COM</v>
      </c>
      <c r="G1035" t="str">
        <f>"FABRICIO QUEIROZ DE OLIVEIRA (788)"</f>
        <v>FABRICIO QUEIROZ DE OLIVEIRA (788)</v>
      </c>
      <c r="H1035" t="s">
        <v>358</v>
      </c>
      <c r="I1035" t="str">
        <f>("11/09/2025")</f>
        <v>11/09/2025</v>
      </c>
      <c r="J1035" t="str">
        <f>("08/09/2025")</f>
        <v>08/09/2025</v>
      </c>
      <c r="K1035">
        <v>45909</v>
      </c>
      <c r="N1035">
        <v>109</v>
      </c>
      <c r="O1035" t="s">
        <v>24</v>
      </c>
      <c r="Q1035">
        <v>6.89</v>
      </c>
      <c r="R1035" t="str">
        <f>"FRAN FARMA LJ 3 (10132)"</f>
        <v>FRAN FARMA LJ 3 (10132)</v>
      </c>
      <c r="S1035" t="s">
        <v>48</v>
      </c>
      <c r="T1035">
        <v>17853</v>
      </c>
      <c r="U1035">
        <v>21799</v>
      </c>
      <c r="V1035" t="s">
        <v>48</v>
      </c>
    </row>
    <row r="1036" spans="1:22">
      <c r="A1036" t="str">
        <f t="shared" si="200"/>
        <v>09/09/2025</v>
      </c>
      <c r="B1036" t="str">
        <f>"SAÍDA"</f>
        <v>SAÍDA</v>
      </c>
      <c r="C1036" t="str">
        <f>"PIX"</f>
        <v>PIX</v>
      </c>
      <c r="D1036" t="str">
        <f>"21194"</f>
        <v>21194</v>
      </c>
      <c r="E1036" t="str">
        <f>"1"</f>
        <v>1</v>
      </c>
      <c r="F1036" t="str">
        <f t="shared" si="199"/>
        <v>COM</v>
      </c>
      <c r="G1036" t="str">
        <f>"FABRICIO RAMON SOARES SANTOS (645)"</f>
        <v>FABRICIO RAMON SOARES SANTOS (645)</v>
      </c>
      <c r="H1036" t="str">
        <f>"Serv.Prest. 25/08/2025 a 31/08/2025 - PIX: CELULAR - CHAVE: (31) 98483-3242"</f>
        <v>Serv.Prest. 25/08/2025 a 31/08/2025 - PIX: CELULAR - CHAVE: (31) 98483-3242</v>
      </c>
      <c r="I1036" t="str">
        <f>("11/09/2025")</f>
        <v>11/09/2025</v>
      </c>
      <c r="J1036" t="str">
        <f>("02/09/2025")</f>
        <v>02/09/2025</v>
      </c>
      <c r="K1036" t="str">
        <f>("09/09/2025")</f>
        <v>09/09/2025</v>
      </c>
      <c r="L1036">
        <v>20</v>
      </c>
      <c r="M1036">
        <v>20</v>
      </c>
      <c r="N1036">
        <v>109</v>
      </c>
      <c r="O1036" t="str">
        <f>"PAGAMENTO DE ENTREGADORES"</f>
        <v>PAGAMENTO DE ENTREGADORES</v>
      </c>
      <c r="P1036">
        <v>20</v>
      </c>
      <c r="S1036" t="str">
        <f>"CAIXA MOVIMENTAÇÃO OPERACIONAL (132)"</f>
        <v>CAIXA MOVIMENTAÇÃO OPERACIONAL (132)</v>
      </c>
      <c r="T1036">
        <v>17854</v>
      </c>
      <c r="U1036">
        <v>21800</v>
      </c>
      <c r="V1036" t="s">
        <v>48</v>
      </c>
    </row>
    <row r="1037" spans="1:22">
      <c r="A1037" t="str">
        <f t="shared" si="200"/>
        <v>09/09/2025</v>
      </c>
      <c r="B1037" t="str">
        <f>"SAÍDA"</f>
        <v>SAÍDA</v>
      </c>
      <c r="C1037" t="str">
        <f>"PIX"</f>
        <v>PIX</v>
      </c>
      <c r="D1037" t="str">
        <f>"21194"</f>
        <v>21194</v>
      </c>
      <c r="E1037" t="str">
        <f>"1"</f>
        <v>1</v>
      </c>
      <c r="F1037" t="str">
        <f t="shared" si="199"/>
        <v>COM</v>
      </c>
      <c r="G1037" t="str">
        <f>"FABRICIO RAMON SOARES SANTOS (645)"</f>
        <v>FABRICIO RAMON SOARES SANTOS (645)</v>
      </c>
      <c r="H1037" t="s">
        <v>359</v>
      </c>
      <c r="I1037" t="str">
        <f>("11/09/2025")</f>
        <v>11/09/2025</v>
      </c>
      <c r="J1037" t="str">
        <f>("02/09/2025")</f>
        <v>02/09/2025</v>
      </c>
      <c r="K1037">
        <v>45909</v>
      </c>
      <c r="N1037">
        <v>109</v>
      </c>
      <c r="O1037" t="s">
        <v>24</v>
      </c>
      <c r="Q1037">
        <v>20</v>
      </c>
      <c r="R1037" t="str">
        <f>"FARMÁCIA INDIANA LJ 101 (10043)"</f>
        <v>FARMÁCIA INDIANA LJ 101 (10043)</v>
      </c>
      <c r="S1037" t="s">
        <v>48</v>
      </c>
      <c r="T1037">
        <v>17854</v>
      </c>
      <c r="U1037">
        <v>21800</v>
      </c>
      <c r="V1037" t="s">
        <v>48</v>
      </c>
    </row>
    <row r="1038" spans="1:22">
      <c r="A1038" t="str">
        <f t="shared" si="200"/>
        <v>09/09/2025</v>
      </c>
      <c r="B1038" t="str">
        <f>"ENTRADA"</f>
        <v>ENTRADA</v>
      </c>
      <c r="C1038" t="str">
        <f>"DINHEIRO"</f>
        <v>DINHEIRO</v>
      </c>
      <c r="D1038" t="str">
        <f>"25"</f>
        <v>25</v>
      </c>
      <c r="E1038" t="str">
        <f>"7"</f>
        <v>7</v>
      </c>
      <c r="F1038" t="str">
        <f t="shared" si="199"/>
        <v>COM</v>
      </c>
      <c r="G1038" t="str">
        <f>"FABRICIO RAMON SOARES SANTOS (645)"</f>
        <v>FABRICIO RAMON SOARES SANTOS (645)</v>
      </c>
      <c r="H1038" t="str">
        <f>"DESCONTO COTA COOPERATIVA"</f>
        <v>DESCONTO COTA COOPERATIVA</v>
      </c>
      <c r="I1038" t="str">
        <f>("13/09/2025")</f>
        <v>13/09/2025</v>
      </c>
      <c r="J1038" t="str">
        <f>("13/03/2025")</f>
        <v>13/03/2025</v>
      </c>
      <c r="K1038" t="str">
        <f>("09/09/2025")</f>
        <v>09/09/2025</v>
      </c>
      <c r="L1038">
        <v>20</v>
      </c>
      <c r="M1038">
        <v>20</v>
      </c>
      <c r="N1038">
        <v>106</v>
      </c>
      <c r="O1038" t="str">
        <f>"ENTRADA DE CAPITAL"</f>
        <v>ENTRADA DE CAPITAL</v>
      </c>
      <c r="P1038">
        <v>20</v>
      </c>
      <c r="S1038" t="str">
        <f>"ENTRADA DE CAPITAL (106)"</f>
        <v>ENTRADA DE CAPITAL (106)</v>
      </c>
      <c r="T1038">
        <v>17855</v>
      </c>
      <c r="U1038">
        <v>10897</v>
      </c>
      <c r="V1038" t="s">
        <v>48</v>
      </c>
    </row>
    <row r="1039" spans="1:22">
      <c r="A1039" t="str">
        <f t="shared" si="200"/>
        <v>09/09/2025</v>
      </c>
      <c r="B1039" t="str">
        <f>"ENTRADA"</f>
        <v>ENTRADA</v>
      </c>
      <c r="C1039" t="str">
        <f>"DINHEIRO"</f>
        <v>DINHEIRO</v>
      </c>
      <c r="D1039" t="str">
        <f>"25"</f>
        <v>25</v>
      </c>
      <c r="E1039" t="str">
        <f>"7"</f>
        <v>7</v>
      </c>
      <c r="F1039" t="str">
        <f t="shared" si="199"/>
        <v>COM</v>
      </c>
      <c r="G1039" t="str">
        <f>"FABRICIO RAMON SOARES SANTOS (645)"</f>
        <v>FABRICIO RAMON SOARES SANTOS (645)</v>
      </c>
      <c r="H1039" t="s">
        <v>360</v>
      </c>
      <c r="I1039" t="str">
        <f>("13/09/2025")</f>
        <v>13/09/2025</v>
      </c>
      <c r="J1039" t="str">
        <f>("13/03/2025")</f>
        <v>13/03/2025</v>
      </c>
      <c r="K1039">
        <v>45909</v>
      </c>
      <c r="N1039">
        <v>106</v>
      </c>
      <c r="O1039" t="s">
        <v>51</v>
      </c>
      <c r="Q1039">
        <v>20</v>
      </c>
      <c r="R1039" t="str">
        <f>"FABRICIO RAMON SOARES SANTOS (645)"</f>
        <v>FABRICIO RAMON SOARES SANTOS (645)</v>
      </c>
      <c r="S1039" t="s">
        <v>52</v>
      </c>
      <c r="T1039">
        <v>17855</v>
      </c>
      <c r="U1039">
        <v>10897</v>
      </c>
      <c r="V1039" t="s">
        <v>48</v>
      </c>
    </row>
    <row r="1040" spans="1:22">
      <c r="A1040" t="str">
        <f t="shared" si="200"/>
        <v>09/09/2025</v>
      </c>
      <c r="B1040" t="str">
        <f>"ENTRADA"</f>
        <v>ENTRADA</v>
      </c>
      <c r="C1040" t="str">
        <f>"DINHEIRO"</f>
        <v>DINHEIRO</v>
      </c>
      <c r="D1040" t="str">
        <f>"701"</f>
        <v>701</v>
      </c>
      <c r="E1040" t="str">
        <f>"5"</f>
        <v>5</v>
      </c>
      <c r="F1040" t="str">
        <f t="shared" si="199"/>
        <v>COM</v>
      </c>
      <c r="G1040" t="str">
        <f>"FERNANDO MARTINS DA SILVA (701)"</f>
        <v>FERNANDO MARTINS DA SILVA (701)</v>
      </c>
      <c r="H1040" t="str">
        <f>"COTA COOPERATIVA"</f>
        <v>COTA COOPERATIVA</v>
      </c>
      <c r="I1040" t="str">
        <f>("08/09/2025")</f>
        <v>08/09/2025</v>
      </c>
      <c r="J1040" t="str">
        <f>("31/03/2025")</f>
        <v>31/03/2025</v>
      </c>
      <c r="K1040" t="str">
        <f>("09/09/2025")</f>
        <v>09/09/2025</v>
      </c>
      <c r="L1040">
        <v>20</v>
      </c>
      <c r="M1040">
        <v>20</v>
      </c>
      <c r="N1040">
        <v>106</v>
      </c>
      <c r="O1040" t="str">
        <f>"ENTRADA DE CAPITAL"</f>
        <v>ENTRADA DE CAPITAL</v>
      </c>
      <c r="P1040">
        <v>20</v>
      </c>
      <c r="S1040" t="str">
        <f>"ENTRADA DE CAPITAL (106)"</f>
        <v>ENTRADA DE CAPITAL (106)</v>
      </c>
      <c r="T1040">
        <v>17856</v>
      </c>
      <c r="U1040">
        <v>13935</v>
      </c>
      <c r="V1040" t="s">
        <v>48</v>
      </c>
    </row>
    <row r="1041" spans="1:22">
      <c r="A1041" t="str">
        <f t="shared" si="200"/>
        <v>09/09/2025</v>
      </c>
      <c r="B1041" t="str">
        <f>"ENTRADA"</f>
        <v>ENTRADA</v>
      </c>
      <c r="C1041" t="str">
        <f>"DINHEIRO"</f>
        <v>DINHEIRO</v>
      </c>
      <c r="D1041" t="str">
        <f>"701"</f>
        <v>701</v>
      </c>
      <c r="E1041" t="str">
        <f>"5"</f>
        <v>5</v>
      </c>
      <c r="F1041" t="str">
        <f t="shared" si="199"/>
        <v>COM</v>
      </c>
      <c r="G1041" t="str">
        <f>"FERNANDO MARTINS DA SILVA (701)"</f>
        <v>FERNANDO MARTINS DA SILVA (701)</v>
      </c>
      <c r="H1041" t="s">
        <v>50</v>
      </c>
      <c r="I1041" t="str">
        <f>("08/09/2025")</f>
        <v>08/09/2025</v>
      </c>
      <c r="J1041" t="str">
        <f>("31/03/2025")</f>
        <v>31/03/2025</v>
      </c>
      <c r="K1041">
        <v>45909</v>
      </c>
      <c r="N1041">
        <v>106</v>
      </c>
      <c r="O1041" t="s">
        <v>51</v>
      </c>
      <c r="Q1041">
        <v>20</v>
      </c>
      <c r="R1041" t="str">
        <f>"FERNANDO MARTINS DA SILVA (701)"</f>
        <v>FERNANDO MARTINS DA SILVA (701)</v>
      </c>
      <c r="S1041" t="s">
        <v>52</v>
      </c>
      <c r="T1041">
        <v>17856</v>
      </c>
      <c r="U1041">
        <v>13935</v>
      </c>
      <c r="V1041" t="s">
        <v>48</v>
      </c>
    </row>
    <row r="1042" spans="1:22">
      <c r="A1042" t="str">
        <f t="shared" si="200"/>
        <v>09/09/2025</v>
      </c>
      <c r="B1042" t="str">
        <f>"SAÍDA"</f>
        <v>SAÍDA</v>
      </c>
      <c r="C1042" t="str">
        <f>"PIX"</f>
        <v>PIX</v>
      </c>
      <c r="D1042" t="str">
        <f>"21293"</f>
        <v>21293</v>
      </c>
      <c r="E1042" t="str">
        <f>"1"</f>
        <v>1</v>
      </c>
      <c r="F1042" t="str">
        <f t="shared" si="199"/>
        <v>COM</v>
      </c>
      <c r="G1042" t="str">
        <f>"FERNANDO MARTINS DA SILVA (701)"</f>
        <v>FERNANDO MARTINS DA SILVA (701)</v>
      </c>
      <c r="H1042" t="str">
        <f>"Serv.Prest. 25/08/2025 a 31/08/2025 - PIX: CPF - CHAVE: 004.682.359-06"</f>
        <v>Serv.Prest. 25/08/2025 a 31/08/2025 - PIX: CPF - CHAVE: 004.682.359-06</v>
      </c>
      <c r="I1042" t="str">
        <f>("11/09/2025")</f>
        <v>11/09/2025</v>
      </c>
      <c r="J1042" t="str">
        <f>("02/09/2025")</f>
        <v>02/09/2025</v>
      </c>
      <c r="K1042" t="str">
        <f>("09/09/2025")</f>
        <v>09/09/2025</v>
      </c>
      <c r="L1042">
        <v>20</v>
      </c>
      <c r="M1042">
        <v>20</v>
      </c>
      <c r="N1042">
        <v>109</v>
      </c>
      <c r="O1042" t="str">
        <f>"PAGAMENTO DE ENTREGADORES"</f>
        <v>PAGAMENTO DE ENTREGADORES</v>
      </c>
      <c r="P1042">
        <v>20</v>
      </c>
      <c r="S1042" t="str">
        <f>"CAIXA MOVIMENTAÇÃO OPERACIONAL (132)"</f>
        <v>CAIXA MOVIMENTAÇÃO OPERACIONAL (132)</v>
      </c>
      <c r="T1042">
        <v>17857</v>
      </c>
      <c r="U1042">
        <v>21801</v>
      </c>
      <c r="V1042" t="s">
        <v>48</v>
      </c>
    </row>
    <row r="1043" spans="1:22">
      <c r="A1043" t="str">
        <f t="shared" si="200"/>
        <v>09/09/2025</v>
      </c>
      <c r="B1043" t="str">
        <f>"SAÍDA"</f>
        <v>SAÍDA</v>
      </c>
      <c r="C1043" t="str">
        <f>"PIX"</f>
        <v>PIX</v>
      </c>
      <c r="D1043" t="str">
        <f>"21293"</f>
        <v>21293</v>
      </c>
      <c r="E1043" t="str">
        <f>"1"</f>
        <v>1</v>
      </c>
      <c r="F1043" t="str">
        <f t="shared" si="199"/>
        <v>COM</v>
      </c>
      <c r="G1043" t="str">
        <f>"FERNANDO MARTINS DA SILVA (701)"</f>
        <v>FERNANDO MARTINS DA SILVA (701)</v>
      </c>
      <c r="H1043" t="s">
        <v>361</v>
      </c>
      <c r="I1043" t="str">
        <f>("11/09/2025")</f>
        <v>11/09/2025</v>
      </c>
      <c r="J1043" t="str">
        <f>("02/09/2025")</f>
        <v>02/09/2025</v>
      </c>
      <c r="K1043">
        <v>45909</v>
      </c>
      <c r="N1043">
        <v>109</v>
      </c>
      <c r="O1043" t="s">
        <v>24</v>
      </c>
      <c r="Q1043">
        <v>20</v>
      </c>
      <c r="R1043" t="str">
        <f>"AC FARMA - CID.ALTA (10166)"</f>
        <v>AC FARMA - CID.ALTA (10166)</v>
      </c>
      <c r="S1043" t="s">
        <v>48</v>
      </c>
      <c r="T1043">
        <v>17857</v>
      </c>
      <c r="U1043">
        <v>21801</v>
      </c>
      <c r="V1043" t="s">
        <v>48</v>
      </c>
    </row>
    <row r="1044" spans="1:22">
      <c r="A1044" t="str">
        <f t="shared" si="200"/>
        <v>09/09/2025</v>
      </c>
      <c r="B1044" t="str">
        <f>"SAÍDA"</f>
        <v>SAÍDA</v>
      </c>
      <c r="C1044" t="str">
        <f>"PIX"</f>
        <v>PIX</v>
      </c>
      <c r="D1044" t="str">
        <f>"21451"</f>
        <v>21451</v>
      </c>
      <c r="E1044" t="str">
        <f>"1"</f>
        <v>1</v>
      </c>
      <c r="F1044" t="str">
        <f t="shared" si="199"/>
        <v>COM</v>
      </c>
      <c r="G1044" t="str">
        <f>"GABRIEL PACHECO DE QUEIROZ NARCISO (812)"</f>
        <v>GABRIEL PACHECO DE QUEIROZ NARCISO (812)</v>
      </c>
      <c r="H1044" t="str">
        <f>"Serv.Prest. 01/09/2025 a 07/09/2025 - PIX: CPF - CHAVE: 140.108.466-40"</f>
        <v>Serv.Prest. 01/09/2025 a 07/09/2025 - PIX: CPF - CHAVE: 140.108.466-40</v>
      </c>
      <c r="I1044" t="str">
        <f>("11/09/2025")</f>
        <v>11/09/2025</v>
      </c>
      <c r="J1044" t="str">
        <f>("08/09/2025")</f>
        <v>08/09/2025</v>
      </c>
      <c r="K1044" t="str">
        <f>("09/09/2025")</f>
        <v>09/09/2025</v>
      </c>
      <c r="L1044">
        <v>20</v>
      </c>
      <c r="M1044">
        <v>20</v>
      </c>
      <c r="N1044">
        <v>109</v>
      </c>
      <c r="O1044" t="str">
        <f>"PAGAMENTO DE ENTREGADORES"</f>
        <v>PAGAMENTO DE ENTREGADORES</v>
      </c>
      <c r="P1044">
        <v>20</v>
      </c>
      <c r="S1044" t="str">
        <f>"CAIXA MOVIMENTAÇÃO OPERACIONAL (132)"</f>
        <v>CAIXA MOVIMENTAÇÃO OPERACIONAL (132)</v>
      </c>
      <c r="T1044">
        <v>17858</v>
      </c>
      <c r="U1044">
        <v>21802</v>
      </c>
      <c r="V1044" t="s">
        <v>48</v>
      </c>
    </row>
    <row r="1045" spans="1:22">
      <c r="A1045" t="str">
        <f t="shared" si="200"/>
        <v>09/09/2025</v>
      </c>
      <c r="B1045" t="str">
        <f>"SAÍDA"</f>
        <v>SAÍDA</v>
      </c>
      <c r="C1045" t="str">
        <f>"PIX"</f>
        <v>PIX</v>
      </c>
      <c r="D1045" t="str">
        <f>"21451"</f>
        <v>21451</v>
      </c>
      <c r="E1045" t="str">
        <f>"1"</f>
        <v>1</v>
      </c>
      <c r="F1045" t="str">
        <f t="shared" si="199"/>
        <v>COM</v>
      </c>
      <c r="G1045" t="str">
        <f>"GABRIEL PACHECO DE QUEIROZ NARCISO (812)"</f>
        <v>GABRIEL PACHECO DE QUEIROZ NARCISO (812)</v>
      </c>
      <c r="H1045" t="s">
        <v>362</v>
      </c>
      <c r="I1045" t="str">
        <f>("11/09/2025")</f>
        <v>11/09/2025</v>
      </c>
      <c r="J1045" t="str">
        <f>("08/09/2025")</f>
        <v>08/09/2025</v>
      </c>
      <c r="K1045">
        <v>45909</v>
      </c>
      <c r="N1045">
        <v>109</v>
      </c>
      <c r="O1045" t="s">
        <v>24</v>
      </c>
      <c r="Q1045">
        <v>20</v>
      </c>
      <c r="R1045" t="str">
        <f>"DROGARIA ANA VISCONDE DO RIO BRANCO (10182)"</f>
        <v>DROGARIA ANA VISCONDE DO RIO BRANCO (10182)</v>
      </c>
      <c r="S1045" t="s">
        <v>48</v>
      </c>
      <c r="T1045">
        <v>17858</v>
      </c>
      <c r="U1045">
        <v>21802</v>
      </c>
      <c r="V1045" t="s">
        <v>48</v>
      </c>
    </row>
    <row r="1046" spans="1:22">
      <c r="A1046" t="str">
        <f t="shared" si="200"/>
        <v>09/09/2025</v>
      </c>
      <c r="B1046" t="str">
        <f>"ENTRADA"</f>
        <v>ENTRADA</v>
      </c>
      <c r="C1046" t="str">
        <f>"DINHEIRO"</f>
        <v>DINHEIRO</v>
      </c>
      <c r="D1046" t="str">
        <f>"812"</f>
        <v>812</v>
      </c>
      <c r="E1046" t="str">
        <f>"4"</f>
        <v>4</v>
      </c>
      <c r="F1046" t="str">
        <f t="shared" si="199"/>
        <v>COM</v>
      </c>
      <c r="G1046" t="str">
        <f>"GABRIEL PACHECO DE QUEIROZ NARCISO (812)"</f>
        <v>GABRIEL PACHECO DE QUEIROZ NARCISO (812)</v>
      </c>
      <c r="H1046" t="str">
        <f>"COTA COOPERATIVA"</f>
        <v>COTA COOPERATIVA</v>
      </c>
      <c r="I1046" t="str">
        <f>("12/09/2025")</f>
        <v>12/09/2025</v>
      </c>
      <c r="J1046" t="str">
        <f>("16/05/2025")</f>
        <v>16/05/2025</v>
      </c>
      <c r="K1046" t="str">
        <f>("09/09/2025")</f>
        <v>09/09/2025</v>
      </c>
      <c r="L1046">
        <v>20</v>
      </c>
      <c r="M1046">
        <v>20</v>
      </c>
      <c r="N1046">
        <v>106</v>
      </c>
      <c r="O1046" t="str">
        <f>"ENTRADA DE CAPITAL"</f>
        <v>ENTRADA DE CAPITAL</v>
      </c>
      <c r="P1046">
        <v>20</v>
      </c>
      <c r="S1046" t="str">
        <f>"ENTRADA DE CAPITAL (106)"</f>
        <v>ENTRADA DE CAPITAL (106)</v>
      </c>
      <c r="T1046">
        <v>17859</v>
      </c>
      <c r="U1046">
        <v>16559</v>
      </c>
      <c r="V1046" t="s">
        <v>48</v>
      </c>
    </row>
    <row r="1047" spans="1:22">
      <c r="A1047" t="str">
        <f t="shared" si="200"/>
        <v>09/09/2025</v>
      </c>
      <c r="B1047" t="str">
        <f>"ENTRADA"</f>
        <v>ENTRADA</v>
      </c>
      <c r="C1047" t="str">
        <f>"DINHEIRO"</f>
        <v>DINHEIRO</v>
      </c>
      <c r="D1047" t="str">
        <f>"812"</f>
        <v>812</v>
      </c>
      <c r="E1047" t="str">
        <f>"4"</f>
        <v>4</v>
      </c>
      <c r="F1047" t="str">
        <f t="shared" si="199"/>
        <v>COM</v>
      </c>
      <c r="G1047" t="str">
        <f>"GABRIEL PACHECO DE QUEIROZ NARCISO (812)"</f>
        <v>GABRIEL PACHECO DE QUEIROZ NARCISO (812)</v>
      </c>
      <c r="H1047" t="s">
        <v>50</v>
      </c>
      <c r="I1047" t="str">
        <f>("12/09/2025")</f>
        <v>12/09/2025</v>
      </c>
      <c r="J1047" t="str">
        <f>("16/05/2025")</f>
        <v>16/05/2025</v>
      </c>
      <c r="K1047">
        <v>45909</v>
      </c>
      <c r="N1047">
        <v>106</v>
      </c>
      <c r="O1047" t="s">
        <v>51</v>
      </c>
      <c r="Q1047">
        <v>20</v>
      </c>
      <c r="R1047" t="str">
        <f>"GABRIEL PACHECO DE QUEIROZ NARCISO (812)"</f>
        <v>GABRIEL PACHECO DE QUEIROZ NARCISO (812)</v>
      </c>
      <c r="S1047" t="s">
        <v>52</v>
      </c>
      <c r="T1047">
        <v>17859</v>
      </c>
      <c r="U1047">
        <v>16559</v>
      </c>
      <c r="V1047" t="s">
        <v>48</v>
      </c>
    </row>
    <row r="1048" spans="1:22">
      <c r="A1048" t="str">
        <f t="shared" si="200"/>
        <v>09/09/2025</v>
      </c>
      <c r="B1048" t="str">
        <f>"ENTRADA"</f>
        <v>ENTRADA</v>
      </c>
      <c r="C1048" t="str">
        <f>"DINHEIRO"</f>
        <v>DINHEIRO</v>
      </c>
      <c r="D1048" t="str">
        <f>"1109"</f>
        <v>1109</v>
      </c>
      <c r="E1048" t="str">
        <f>"25"</f>
        <v>25</v>
      </c>
      <c r="F1048" t="str">
        <f t="shared" si="199"/>
        <v>COM</v>
      </c>
      <c r="G1048" t="str">
        <f t="shared" ref="G1048:G1055" si="201">"GABRIEL SOARES VIEIRA (18)"</f>
        <v>GABRIEL SOARES VIEIRA (18)</v>
      </c>
      <c r="H1048" t="str">
        <f>"REEMBOLSO COMPRA DE CAMISETA"</f>
        <v>REEMBOLSO COMPRA DE CAMISETA</v>
      </c>
      <c r="I1048" t="str">
        <f>("11/09/2025")</f>
        <v>11/09/2025</v>
      </c>
      <c r="J1048" t="str">
        <f>("11/09/2025")</f>
        <v>11/09/2025</v>
      </c>
      <c r="K1048" t="str">
        <f>("09/09/2025")</f>
        <v>09/09/2025</v>
      </c>
      <c r="L1048">
        <v>72.5</v>
      </c>
      <c r="M1048">
        <v>72.5</v>
      </c>
      <c r="N1048">
        <v>108</v>
      </c>
      <c r="O1048" t="str">
        <f>"RECEITAS COM REEMBOLSOS"</f>
        <v>RECEITAS COM REEMBOLSOS</v>
      </c>
      <c r="P1048">
        <v>72.5</v>
      </c>
      <c r="S1048" t="str">
        <f>"RECEITAS COM REEMBOLSOS (108)"</f>
        <v>RECEITAS COM REEMBOLSOS (108)</v>
      </c>
      <c r="T1048">
        <v>17860</v>
      </c>
      <c r="U1048">
        <v>21026</v>
      </c>
      <c r="V1048" t="s">
        <v>48</v>
      </c>
    </row>
    <row r="1049" spans="1:22">
      <c r="A1049" t="str">
        <f t="shared" si="200"/>
        <v>09/09/2025</v>
      </c>
      <c r="B1049" t="str">
        <f>"ENTRADA"</f>
        <v>ENTRADA</v>
      </c>
      <c r="C1049" t="str">
        <f>"DINHEIRO"</f>
        <v>DINHEIRO</v>
      </c>
      <c r="D1049" t="str">
        <f>"1109"</f>
        <v>1109</v>
      </c>
      <c r="E1049" t="str">
        <f>"25"</f>
        <v>25</v>
      </c>
      <c r="F1049" t="str">
        <f t="shared" si="199"/>
        <v>COM</v>
      </c>
      <c r="G1049" t="str">
        <f t="shared" si="201"/>
        <v>GABRIEL SOARES VIEIRA (18)</v>
      </c>
      <c r="H1049" t="s">
        <v>363</v>
      </c>
      <c r="I1049" t="str">
        <f>("11/09/2025")</f>
        <v>11/09/2025</v>
      </c>
      <c r="J1049" t="str">
        <f>("11/09/2025")</f>
        <v>11/09/2025</v>
      </c>
      <c r="K1049">
        <v>45909</v>
      </c>
      <c r="N1049">
        <v>108</v>
      </c>
      <c r="O1049" t="s">
        <v>54</v>
      </c>
      <c r="Q1049">
        <v>72.5</v>
      </c>
      <c r="R1049" t="str">
        <f>"GABRIEL SOARES VIEIRA (18)"</f>
        <v>GABRIEL SOARES VIEIRA (18)</v>
      </c>
      <c r="S1049" t="s">
        <v>55</v>
      </c>
      <c r="T1049">
        <v>17860</v>
      </c>
      <c r="U1049">
        <v>21026</v>
      </c>
      <c r="V1049" t="s">
        <v>48</v>
      </c>
    </row>
    <row r="1050" spans="1:22">
      <c r="A1050" t="str">
        <f t="shared" si="200"/>
        <v>09/09/2025</v>
      </c>
      <c r="B1050" t="str">
        <f>"SAÍDA"</f>
        <v>SAÍDA</v>
      </c>
      <c r="C1050" t="str">
        <f>"PIX"</f>
        <v>PIX</v>
      </c>
      <c r="D1050" t="str">
        <f>"21196"</f>
        <v>21196</v>
      </c>
      <c r="E1050" t="str">
        <f>"1"</f>
        <v>1</v>
      </c>
      <c r="F1050" t="str">
        <f t="shared" si="199"/>
        <v>COM</v>
      </c>
      <c r="G1050" t="str">
        <f t="shared" si="201"/>
        <v>GABRIEL SOARES VIEIRA (18)</v>
      </c>
      <c r="H1050" t="str">
        <f>"Serv.Prest. 25/08/2025 a 31/08/2025 - PIX: CPF - CHAVE: 179.800.027-09"</f>
        <v>Serv.Prest. 25/08/2025 a 31/08/2025 - PIX: CPF - CHAVE: 179.800.027-09</v>
      </c>
      <c r="I1050" t="str">
        <f>("11/09/2025")</f>
        <v>11/09/2025</v>
      </c>
      <c r="J1050" t="str">
        <f>("02/09/2025")</f>
        <v>02/09/2025</v>
      </c>
      <c r="K1050" t="str">
        <f>("09/09/2025")</f>
        <v>09/09/2025</v>
      </c>
      <c r="L1050">
        <v>72.5</v>
      </c>
      <c r="M1050">
        <v>72.5</v>
      </c>
      <c r="N1050">
        <v>109</v>
      </c>
      <c r="O1050" t="str">
        <f>"PAGAMENTO DE ENTREGADORES"</f>
        <v>PAGAMENTO DE ENTREGADORES</v>
      </c>
      <c r="P1050">
        <v>72.5</v>
      </c>
      <c r="S1050" t="str">
        <f>"CAIXA MOVIMENTAÇÃO OPERACIONAL (132)"</f>
        <v>CAIXA MOVIMENTAÇÃO OPERACIONAL (132)</v>
      </c>
      <c r="T1050">
        <v>17861</v>
      </c>
      <c r="U1050">
        <v>21803</v>
      </c>
      <c r="V1050" t="s">
        <v>48</v>
      </c>
    </row>
    <row r="1051" spans="1:22">
      <c r="A1051" t="str">
        <f t="shared" si="200"/>
        <v>09/09/2025</v>
      </c>
      <c r="B1051" t="str">
        <f>"SAÍDA"</f>
        <v>SAÍDA</v>
      </c>
      <c r="C1051" t="str">
        <f>"PIX"</f>
        <v>PIX</v>
      </c>
      <c r="D1051" t="str">
        <f>"21196"</f>
        <v>21196</v>
      </c>
      <c r="E1051" t="str">
        <f>"1"</f>
        <v>1</v>
      </c>
      <c r="F1051" t="str">
        <f t="shared" si="199"/>
        <v>COM</v>
      </c>
      <c r="G1051" t="str">
        <f t="shared" si="201"/>
        <v>GABRIEL SOARES VIEIRA (18)</v>
      </c>
      <c r="H1051" t="s">
        <v>364</v>
      </c>
      <c r="I1051" t="str">
        <f>("11/09/2025")</f>
        <v>11/09/2025</v>
      </c>
      <c r="J1051" t="str">
        <f>("02/09/2025")</f>
        <v>02/09/2025</v>
      </c>
      <c r="K1051">
        <v>45909</v>
      </c>
      <c r="N1051">
        <v>109</v>
      </c>
      <c r="O1051" t="s">
        <v>24</v>
      </c>
      <c r="Q1051">
        <v>72.5</v>
      </c>
      <c r="R1051" t="str">
        <f>"FARMÁCIA INDIANA LJ 40 (10016)"</f>
        <v>FARMÁCIA INDIANA LJ 40 (10016)</v>
      </c>
      <c r="S1051" t="s">
        <v>48</v>
      </c>
      <c r="T1051">
        <v>17861</v>
      </c>
      <c r="U1051">
        <v>21803</v>
      </c>
      <c r="V1051" t="s">
        <v>48</v>
      </c>
    </row>
    <row r="1052" spans="1:22">
      <c r="A1052" t="str">
        <f t="shared" si="200"/>
        <v>09/09/2025</v>
      </c>
      <c r="B1052" t="str">
        <f>"ENTRADA"</f>
        <v>ENTRADA</v>
      </c>
      <c r="C1052" t="str">
        <f>"DINHEIRO"</f>
        <v>DINHEIRO</v>
      </c>
      <c r="D1052" t="str">
        <f>"1809"</f>
        <v>1809</v>
      </c>
      <c r="E1052" t="str">
        <f>"25"</f>
        <v>25</v>
      </c>
      <c r="F1052" t="str">
        <f t="shared" ref="F1052:F1115" si="202">"COM"</f>
        <v>COM</v>
      </c>
      <c r="G1052" t="str">
        <f t="shared" si="201"/>
        <v>GABRIEL SOARES VIEIRA (18)</v>
      </c>
      <c r="H1052" t="str">
        <f>"REEMBOLSO COMPRA DE CAMISETA"</f>
        <v>REEMBOLSO COMPRA DE CAMISETA</v>
      </c>
      <c r="I1052" t="str">
        <f>("18/09/2025")</f>
        <v>18/09/2025</v>
      </c>
      <c r="J1052" t="str">
        <f>("11/09/2025")</f>
        <v>11/09/2025</v>
      </c>
      <c r="K1052" t="str">
        <f>("09/09/2025")</f>
        <v>09/09/2025</v>
      </c>
      <c r="L1052">
        <v>72.5</v>
      </c>
      <c r="M1052">
        <v>72.5</v>
      </c>
      <c r="N1052">
        <v>108</v>
      </c>
      <c r="O1052" t="str">
        <f>"RECEITAS COM REEMBOLSOS"</f>
        <v>RECEITAS COM REEMBOLSOS</v>
      </c>
      <c r="P1052">
        <v>72.5</v>
      </c>
      <c r="S1052" t="str">
        <f>"RECEITAS COM REEMBOLSOS (108)"</f>
        <v>RECEITAS COM REEMBOLSOS (108)</v>
      </c>
      <c r="T1052">
        <v>17862</v>
      </c>
      <c r="U1052">
        <v>21027</v>
      </c>
      <c r="V1052" t="s">
        <v>48</v>
      </c>
    </row>
    <row r="1053" spans="1:22">
      <c r="A1053" t="str">
        <f t="shared" si="200"/>
        <v>09/09/2025</v>
      </c>
      <c r="B1053" t="str">
        <f>"ENTRADA"</f>
        <v>ENTRADA</v>
      </c>
      <c r="C1053" t="str">
        <f>"DINHEIRO"</f>
        <v>DINHEIRO</v>
      </c>
      <c r="D1053" t="str">
        <f>"1809"</f>
        <v>1809</v>
      </c>
      <c r="E1053" t="str">
        <f>"25"</f>
        <v>25</v>
      </c>
      <c r="F1053" t="str">
        <f t="shared" si="202"/>
        <v>COM</v>
      </c>
      <c r="G1053" t="str">
        <f t="shared" si="201"/>
        <v>GABRIEL SOARES VIEIRA (18)</v>
      </c>
      <c r="H1053" t="s">
        <v>363</v>
      </c>
      <c r="I1053" t="str">
        <f>("18/09/2025")</f>
        <v>18/09/2025</v>
      </c>
      <c r="J1053" t="str">
        <f>("11/09/2025")</f>
        <v>11/09/2025</v>
      </c>
      <c r="K1053">
        <v>45909</v>
      </c>
      <c r="N1053">
        <v>108</v>
      </c>
      <c r="O1053" t="s">
        <v>54</v>
      </c>
      <c r="Q1053">
        <v>72.5</v>
      </c>
      <c r="R1053" t="str">
        <f>"GABRIEL SOARES VIEIRA (18)"</f>
        <v>GABRIEL SOARES VIEIRA (18)</v>
      </c>
      <c r="S1053" t="s">
        <v>55</v>
      </c>
      <c r="T1053">
        <v>17862</v>
      </c>
      <c r="U1053">
        <v>21027</v>
      </c>
      <c r="V1053" t="s">
        <v>48</v>
      </c>
    </row>
    <row r="1054" spans="1:22">
      <c r="A1054" t="str">
        <f t="shared" si="200"/>
        <v>09/09/2025</v>
      </c>
      <c r="B1054" t="str">
        <f>"SAÍDA"</f>
        <v>SAÍDA</v>
      </c>
      <c r="C1054" t="str">
        <f>"PIX"</f>
        <v>PIX</v>
      </c>
      <c r="D1054" t="str">
        <f>"21518"</f>
        <v>21518</v>
      </c>
      <c r="E1054" t="str">
        <f>"1"</f>
        <v>1</v>
      </c>
      <c r="F1054" t="str">
        <f t="shared" si="202"/>
        <v>COM</v>
      </c>
      <c r="G1054" t="str">
        <f t="shared" si="201"/>
        <v>GABRIEL SOARES VIEIRA (18)</v>
      </c>
      <c r="H1054" t="str">
        <f>"Serv.Prest. 01/09/2025 a 07/09/2025 - PIX: CPF - CHAVE: 179.800.027-09"</f>
        <v>Serv.Prest. 01/09/2025 a 07/09/2025 - PIX: CPF - CHAVE: 179.800.027-09</v>
      </c>
      <c r="I1054" t="str">
        <f>("18/09/2025")</f>
        <v>18/09/2025</v>
      </c>
      <c r="J1054" t="str">
        <f>("08/09/2025")</f>
        <v>08/09/2025</v>
      </c>
      <c r="K1054" t="str">
        <f>("09/09/2025")</f>
        <v>09/09/2025</v>
      </c>
      <c r="L1054">
        <v>72.5</v>
      </c>
      <c r="M1054">
        <v>72.5</v>
      </c>
      <c r="N1054">
        <v>109</v>
      </c>
      <c r="O1054" t="str">
        <f>"PAGAMENTO DE ENTREGADORES"</f>
        <v>PAGAMENTO DE ENTREGADORES</v>
      </c>
      <c r="P1054">
        <v>72.5</v>
      </c>
      <c r="S1054" t="str">
        <f>"CAIXA MOVIMENTAÇÃO OPERACIONAL (132)"</f>
        <v>CAIXA MOVIMENTAÇÃO OPERACIONAL (132)</v>
      </c>
      <c r="T1054">
        <v>17863</v>
      </c>
      <c r="U1054">
        <v>21804</v>
      </c>
      <c r="V1054" t="s">
        <v>48</v>
      </c>
    </row>
    <row r="1055" spans="1:22">
      <c r="A1055" t="str">
        <f t="shared" si="200"/>
        <v>09/09/2025</v>
      </c>
      <c r="B1055" t="str">
        <f>"SAÍDA"</f>
        <v>SAÍDA</v>
      </c>
      <c r="C1055" t="str">
        <f>"PIX"</f>
        <v>PIX</v>
      </c>
      <c r="D1055" t="str">
        <f>"21518"</f>
        <v>21518</v>
      </c>
      <c r="E1055" t="str">
        <f>"1"</f>
        <v>1</v>
      </c>
      <c r="F1055" t="str">
        <f t="shared" si="202"/>
        <v>COM</v>
      </c>
      <c r="G1055" t="str">
        <f t="shared" si="201"/>
        <v>GABRIEL SOARES VIEIRA (18)</v>
      </c>
      <c r="H1055" t="s">
        <v>365</v>
      </c>
      <c r="I1055" t="str">
        <f>("18/09/2025")</f>
        <v>18/09/2025</v>
      </c>
      <c r="J1055" t="str">
        <f>("08/09/2025")</f>
        <v>08/09/2025</v>
      </c>
      <c r="K1055">
        <v>45909</v>
      </c>
      <c r="N1055">
        <v>109</v>
      </c>
      <c r="O1055" t="s">
        <v>24</v>
      </c>
      <c r="Q1055">
        <v>72.5</v>
      </c>
      <c r="R1055" t="str">
        <f>"FARMÁCIA INDIANA LJ 40 (10016)"</f>
        <v>FARMÁCIA INDIANA LJ 40 (10016)</v>
      </c>
      <c r="S1055" t="s">
        <v>48</v>
      </c>
      <c r="T1055">
        <v>17863</v>
      </c>
      <c r="U1055">
        <v>21804</v>
      </c>
      <c r="V1055" t="s">
        <v>48</v>
      </c>
    </row>
    <row r="1056" spans="1:22">
      <c r="A1056" t="str">
        <f t="shared" si="200"/>
        <v>09/09/2025</v>
      </c>
      <c r="B1056" t="str">
        <f>"SAÍDA"</f>
        <v>SAÍDA</v>
      </c>
      <c r="C1056" t="str">
        <f>"PIX"</f>
        <v>PIX</v>
      </c>
      <c r="D1056" t="str">
        <f>"21140"</f>
        <v>21140</v>
      </c>
      <c r="E1056" t="str">
        <f>"1"</f>
        <v>1</v>
      </c>
      <c r="F1056" t="str">
        <f t="shared" si="202"/>
        <v>COM</v>
      </c>
      <c r="G1056" t="str">
        <f>"GABRIEL SOUZA RIBEIRO (425)"</f>
        <v>GABRIEL SOUZA RIBEIRO (425)</v>
      </c>
      <c r="H1056" t="str">
        <f>"Serv.Prest. 25/08/2025 a 31/08/2025 - PIX: CPF - CHAVE: 087.398.185-51"</f>
        <v>Serv.Prest. 25/08/2025 a 31/08/2025 - PIX: CPF - CHAVE: 087.398.185-51</v>
      </c>
      <c r="I1056" t="str">
        <f>("11/09/2025")</f>
        <v>11/09/2025</v>
      </c>
      <c r="J1056" t="str">
        <f>("02/09/2025")</f>
        <v>02/09/2025</v>
      </c>
      <c r="K1056" t="str">
        <f>("09/09/2025")</f>
        <v>09/09/2025</v>
      </c>
      <c r="L1056">
        <v>20</v>
      </c>
      <c r="M1056">
        <v>20</v>
      </c>
      <c r="N1056">
        <v>109</v>
      </c>
      <c r="O1056" t="str">
        <f>"PAGAMENTO DE ENTREGADORES"</f>
        <v>PAGAMENTO DE ENTREGADORES</v>
      </c>
      <c r="P1056">
        <v>20</v>
      </c>
      <c r="S1056" t="str">
        <f>"CAIXA MOVIMENTAÇÃO OPERACIONAL (132)"</f>
        <v>CAIXA MOVIMENTAÇÃO OPERACIONAL (132)</v>
      </c>
      <c r="T1056">
        <v>17864</v>
      </c>
      <c r="U1056">
        <v>21805</v>
      </c>
      <c r="V1056" t="s">
        <v>48</v>
      </c>
    </row>
    <row r="1057" spans="1:22">
      <c r="A1057" t="str">
        <f t="shared" si="200"/>
        <v>09/09/2025</v>
      </c>
      <c r="B1057" t="str">
        <f>"SAÍDA"</f>
        <v>SAÍDA</v>
      </c>
      <c r="C1057" t="str">
        <f>"PIX"</f>
        <v>PIX</v>
      </c>
      <c r="D1057" t="str">
        <f>"21140"</f>
        <v>21140</v>
      </c>
      <c r="E1057" t="str">
        <f>"1"</f>
        <v>1</v>
      </c>
      <c r="F1057" t="str">
        <f t="shared" si="202"/>
        <v>COM</v>
      </c>
      <c r="G1057" t="str">
        <f>"GABRIEL SOUZA RIBEIRO (425)"</f>
        <v>GABRIEL SOUZA RIBEIRO (425)</v>
      </c>
      <c r="H1057" t="s">
        <v>366</v>
      </c>
      <c r="I1057" t="str">
        <f>("11/09/2025")</f>
        <v>11/09/2025</v>
      </c>
      <c r="J1057" t="str">
        <f>("02/09/2025")</f>
        <v>02/09/2025</v>
      </c>
      <c r="K1057">
        <v>45909</v>
      </c>
      <c r="N1057">
        <v>109</v>
      </c>
      <c r="O1057" t="s">
        <v>24</v>
      </c>
      <c r="Q1057">
        <v>20</v>
      </c>
      <c r="R1057" t="str">
        <f>"FARMÁCIA INDIANA LJ 65 (10030)"</f>
        <v>FARMÁCIA INDIANA LJ 65 (10030)</v>
      </c>
      <c r="S1057" t="s">
        <v>48</v>
      </c>
      <c r="T1057">
        <v>17864</v>
      </c>
      <c r="U1057">
        <v>21805</v>
      </c>
      <c r="V1057" t="s">
        <v>48</v>
      </c>
    </row>
    <row r="1058" spans="1:22">
      <c r="A1058" t="str">
        <f t="shared" si="200"/>
        <v>09/09/2025</v>
      </c>
      <c r="B1058" t="str">
        <f>"ENTRADA"</f>
        <v>ENTRADA</v>
      </c>
      <c r="C1058" t="str">
        <f>"DINHEIRO"</f>
        <v>DINHEIRO</v>
      </c>
      <c r="D1058" t="str">
        <f>"05"</f>
        <v>05</v>
      </c>
      <c r="E1058" t="str">
        <f>"33"</f>
        <v>33</v>
      </c>
      <c r="F1058" t="str">
        <f t="shared" si="202"/>
        <v>COM</v>
      </c>
      <c r="G1058" t="str">
        <f>"GABRIEL SOUZA RIBEIRO (425)"</f>
        <v>GABRIEL SOUZA RIBEIRO (425)</v>
      </c>
      <c r="H1058" t="str">
        <f>"DESCONTO COTA COOPERADO"</f>
        <v>DESCONTO COTA COOPERADO</v>
      </c>
      <c r="I1058" t="str">
        <f>("16/09/2025")</f>
        <v>16/09/2025</v>
      </c>
      <c r="J1058" t="str">
        <f>("16/01/2025")</f>
        <v>16/01/2025</v>
      </c>
      <c r="K1058" t="str">
        <f>("09/09/2025")</f>
        <v>09/09/2025</v>
      </c>
      <c r="L1058">
        <v>20</v>
      </c>
      <c r="M1058">
        <v>20</v>
      </c>
      <c r="N1058">
        <v>106</v>
      </c>
      <c r="O1058" t="str">
        <f>"ENTRADA DE CAPITAL"</f>
        <v>ENTRADA DE CAPITAL</v>
      </c>
      <c r="P1058">
        <v>20</v>
      </c>
      <c r="S1058" t="str">
        <f>"ENTRADA DE CAPITAL (106)"</f>
        <v>ENTRADA DE CAPITAL (106)</v>
      </c>
      <c r="T1058">
        <v>17865</v>
      </c>
      <c r="U1058">
        <v>6305</v>
      </c>
      <c r="V1058" t="s">
        <v>48</v>
      </c>
    </row>
    <row r="1059" spans="1:22">
      <c r="A1059" t="str">
        <f t="shared" si="200"/>
        <v>09/09/2025</v>
      </c>
      <c r="B1059" t="str">
        <f>"ENTRADA"</f>
        <v>ENTRADA</v>
      </c>
      <c r="C1059" t="str">
        <f>"DINHEIRO"</f>
        <v>DINHEIRO</v>
      </c>
      <c r="D1059" t="str">
        <f>"05"</f>
        <v>05</v>
      </c>
      <c r="E1059" t="str">
        <f>"33"</f>
        <v>33</v>
      </c>
      <c r="F1059" t="str">
        <f t="shared" si="202"/>
        <v>COM</v>
      </c>
      <c r="G1059" t="str">
        <f>"GABRIEL SOUZA RIBEIRO (425)"</f>
        <v>GABRIEL SOUZA RIBEIRO (425)</v>
      </c>
      <c r="H1059" t="s">
        <v>309</v>
      </c>
      <c r="I1059" t="str">
        <f>("16/09/2025")</f>
        <v>16/09/2025</v>
      </c>
      <c r="J1059" t="str">
        <f>("16/01/2025")</f>
        <v>16/01/2025</v>
      </c>
      <c r="K1059">
        <v>45909</v>
      </c>
      <c r="N1059">
        <v>106</v>
      </c>
      <c r="O1059" t="s">
        <v>51</v>
      </c>
      <c r="Q1059">
        <v>20</v>
      </c>
      <c r="R1059" t="str">
        <f>"GABRIEL SOUZA RIBEIRO (425)"</f>
        <v>GABRIEL SOUZA RIBEIRO (425)</v>
      </c>
      <c r="S1059" t="s">
        <v>52</v>
      </c>
      <c r="T1059">
        <v>17865</v>
      </c>
      <c r="U1059">
        <v>6305</v>
      </c>
      <c r="V1059" t="s">
        <v>48</v>
      </c>
    </row>
    <row r="1060" spans="1:22">
      <c r="A1060" t="str">
        <f t="shared" si="200"/>
        <v>09/09/2025</v>
      </c>
      <c r="B1060" t="str">
        <f t="shared" ref="B1060:B1079" si="203">"SAÍDA"</f>
        <v>SAÍDA</v>
      </c>
      <c r="C1060" t="str">
        <f t="shared" ref="C1060:C1079" si="204">"PIX"</f>
        <v>PIX</v>
      </c>
      <c r="D1060" t="str">
        <f>"22054"</f>
        <v>22054</v>
      </c>
      <c r="E1060" t="str">
        <f>"1"</f>
        <v>1</v>
      </c>
      <c r="F1060" t="str">
        <f t="shared" si="202"/>
        <v>COM</v>
      </c>
      <c r="G1060" t="str">
        <f>"WILDES ALVES CERQUEIRA ALMEIDA (874)"</f>
        <v>WILDES ALVES CERQUEIRA ALMEIDA (874)</v>
      </c>
      <c r="H1060" t="str">
        <f>"Serv.Prest. 08/09/2025 a 14/09/2025 - PIX: CELULAR - CHAVE: (73) 98155-8496"</f>
        <v>Serv.Prest. 08/09/2025 a 14/09/2025 - PIX: CELULAR - CHAVE: (73) 98155-8496</v>
      </c>
      <c r="I1060" t="str">
        <f>("25/09/2025")</f>
        <v>25/09/2025</v>
      </c>
      <c r="J1060" t="str">
        <f>("15/09/2025")</f>
        <v>15/09/2025</v>
      </c>
      <c r="K1060" t="str">
        <f>("09/09/2025")</f>
        <v>09/09/2025</v>
      </c>
      <c r="L1060">
        <v>120</v>
      </c>
      <c r="M1060">
        <v>120</v>
      </c>
      <c r="N1060">
        <v>109</v>
      </c>
      <c r="O1060" t="str">
        <f>"PAGAMENTO DE ENTREGADORES"</f>
        <v>PAGAMENTO DE ENTREGADORES</v>
      </c>
      <c r="P1060">
        <v>120</v>
      </c>
      <c r="S1060" t="str">
        <f>"BANCO CORA (102)"</f>
        <v>BANCO CORA (102)</v>
      </c>
      <c r="T1060">
        <v>18262</v>
      </c>
      <c r="U1060">
        <v>22054</v>
      </c>
      <c r="V1060" t="s">
        <v>22</v>
      </c>
    </row>
    <row r="1061" spans="1:22">
      <c r="A1061" t="str">
        <f t="shared" si="200"/>
        <v>09/09/2025</v>
      </c>
      <c r="B1061" t="str">
        <f t="shared" si="203"/>
        <v>SAÍDA</v>
      </c>
      <c r="C1061" t="str">
        <f t="shared" si="204"/>
        <v>PIX</v>
      </c>
      <c r="D1061" t="str">
        <f>"22054"</f>
        <v>22054</v>
      </c>
      <c r="E1061" t="str">
        <f>"1"</f>
        <v>1</v>
      </c>
      <c r="F1061" t="str">
        <f t="shared" si="202"/>
        <v>COM</v>
      </c>
      <c r="G1061" t="str">
        <f>"WILDES ALVES CERQUEIRA ALMEIDA (874)"</f>
        <v>WILDES ALVES CERQUEIRA ALMEIDA (874)</v>
      </c>
      <c r="H1061" t="s">
        <v>367</v>
      </c>
      <c r="I1061" t="str">
        <f>("25/09/2025")</f>
        <v>25/09/2025</v>
      </c>
      <c r="J1061" t="str">
        <f>("15/09/2025")</f>
        <v>15/09/2025</v>
      </c>
      <c r="K1061">
        <v>45909</v>
      </c>
      <c r="N1061">
        <v>109</v>
      </c>
      <c r="O1061" t="s">
        <v>24</v>
      </c>
      <c r="Q1061">
        <v>120</v>
      </c>
      <c r="R1061" t="str">
        <f>"FARMÁCIA INDIANA LJ 65 (10030)"</f>
        <v>FARMÁCIA INDIANA LJ 65 (10030)</v>
      </c>
      <c r="S1061" t="s">
        <v>22</v>
      </c>
      <c r="T1061">
        <v>18262</v>
      </c>
      <c r="U1061">
        <v>22054</v>
      </c>
      <c r="V1061" t="s">
        <v>22</v>
      </c>
    </row>
    <row r="1062" spans="1:22">
      <c r="A1062" t="str">
        <f t="shared" si="200"/>
        <v>09/09/2025</v>
      </c>
      <c r="B1062" t="str">
        <f t="shared" si="203"/>
        <v>SAÍDA</v>
      </c>
      <c r="C1062" t="str">
        <f t="shared" si="204"/>
        <v>PIX</v>
      </c>
      <c r="D1062" t="str">
        <f>"010525139"</f>
        <v>010525139</v>
      </c>
      <c r="E1062" t="str">
        <f>"5"</f>
        <v>5</v>
      </c>
      <c r="F1062" t="str">
        <f t="shared" si="202"/>
        <v>COM</v>
      </c>
      <c r="G1062" t="str">
        <f>"GUSTAVO CESAR DE REZENDE (20060)"</f>
        <v>GUSTAVO CESAR DE REZENDE (20060)</v>
      </c>
      <c r="H1062" t="str">
        <f>"REEMBOLSO MENSALIDADE PACOTE ADOBE"</f>
        <v>REEMBOLSO MENSALIDADE PACOTE ADOBE</v>
      </c>
      <c r="I1062" t="str">
        <f>("08/09/2025")</f>
        <v>08/09/2025</v>
      </c>
      <c r="J1062" t="str">
        <f>("01/05/2025")</f>
        <v>01/05/2025</v>
      </c>
      <c r="K1062" t="str">
        <f>("09/09/2025")</f>
        <v>09/09/2025</v>
      </c>
      <c r="L1062">
        <v>139</v>
      </c>
      <c r="M1062">
        <v>139</v>
      </c>
      <c r="N1062">
        <v>104</v>
      </c>
      <c r="O1062" t="str">
        <f>"SOFTWARE / LICENÇAS"</f>
        <v>SOFTWARE / LICENÇAS</v>
      </c>
      <c r="P1062">
        <v>139</v>
      </c>
      <c r="S1062" t="str">
        <f>"BANCO CORA (102)"</f>
        <v>BANCO CORA (102)</v>
      </c>
      <c r="T1062">
        <v>18541</v>
      </c>
      <c r="U1062">
        <v>16743</v>
      </c>
      <c r="V1062" t="s">
        <v>22</v>
      </c>
    </row>
    <row r="1063" spans="1:22">
      <c r="A1063" t="str">
        <f t="shared" si="200"/>
        <v>09/09/2025</v>
      </c>
      <c r="B1063" t="str">
        <f t="shared" si="203"/>
        <v>SAÍDA</v>
      </c>
      <c r="C1063" t="str">
        <f t="shared" si="204"/>
        <v>PIX</v>
      </c>
      <c r="D1063" t="str">
        <f>"010525139"</f>
        <v>010525139</v>
      </c>
      <c r="E1063" t="str">
        <f>"5"</f>
        <v>5</v>
      </c>
      <c r="F1063" t="str">
        <f t="shared" si="202"/>
        <v>COM</v>
      </c>
      <c r="G1063" t="str">
        <f>"GUSTAVO CESAR DE REZENDE (20060)"</f>
        <v>GUSTAVO CESAR DE REZENDE (20060)</v>
      </c>
      <c r="H1063" t="s">
        <v>368</v>
      </c>
      <c r="I1063" t="str">
        <f>("08/09/2025")</f>
        <v>08/09/2025</v>
      </c>
      <c r="J1063" t="str">
        <f>("01/05/2025")</f>
        <v>01/05/2025</v>
      </c>
      <c r="K1063">
        <v>45909</v>
      </c>
      <c r="N1063">
        <v>104</v>
      </c>
      <c r="O1063" t="s">
        <v>34</v>
      </c>
      <c r="Q1063">
        <v>139</v>
      </c>
      <c r="R1063" t="str">
        <f>"GUSTAVO CESAR DE REZENDE (20060)"</f>
        <v>GUSTAVO CESAR DE REZENDE (20060)</v>
      </c>
      <c r="S1063" t="s">
        <v>22</v>
      </c>
      <c r="T1063">
        <v>18541</v>
      </c>
      <c r="U1063">
        <v>16743</v>
      </c>
      <c r="V1063" t="s">
        <v>22</v>
      </c>
    </row>
    <row r="1064" spans="1:22">
      <c r="A1064" t="str">
        <f t="shared" si="200"/>
        <v>09/09/2025</v>
      </c>
      <c r="B1064" t="str">
        <f t="shared" si="203"/>
        <v>SAÍDA</v>
      </c>
      <c r="C1064" t="str">
        <f t="shared" si="204"/>
        <v>PIX</v>
      </c>
      <c r="D1064" t="str">
        <f>"21461"</f>
        <v>21461</v>
      </c>
      <c r="E1064" t="str">
        <f t="shared" ref="E1064:E1079" si="205">"1"</f>
        <v>1</v>
      </c>
      <c r="F1064" t="str">
        <f t="shared" si="202"/>
        <v>COM</v>
      </c>
      <c r="G1064" t="str">
        <f>"WILLIAM FERREIRA DE OLIVEIRA (900)"</f>
        <v>WILLIAM FERREIRA DE OLIVEIRA (900)</v>
      </c>
      <c r="H1064" t="str">
        <f>"Serv.Prest. 01/09/2025 a 07/09/2025 - PIX: CPF - CHAVE: 106.393.056-10"</f>
        <v>Serv.Prest. 01/09/2025 a 07/09/2025 - PIX: CPF - CHAVE: 106.393.056-10</v>
      </c>
      <c r="I1064" t="str">
        <f t="shared" ref="I1064:I1077" si="206">("09/09/2025")</f>
        <v>09/09/2025</v>
      </c>
      <c r="J1064" t="str">
        <f t="shared" ref="J1064:J1075" si="207">("08/09/2025")</f>
        <v>08/09/2025</v>
      </c>
      <c r="K1064" t="str">
        <f>("09/09/2025")</f>
        <v>09/09/2025</v>
      </c>
      <c r="L1064">
        <v>144</v>
      </c>
      <c r="M1064">
        <v>140</v>
      </c>
      <c r="N1064">
        <v>109</v>
      </c>
      <c r="O1064" t="str">
        <f>"PAGAMENTO DE ENTREGADORES"</f>
        <v>PAGAMENTO DE ENTREGADORES</v>
      </c>
      <c r="P1064">
        <v>140</v>
      </c>
      <c r="S1064" t="str">
        <f>"BANCO CORA (102)"</f>
        <v>BANCO CORA (102)</v>
      </c>
      <c r="T1064">
        <v>18548</v>
      </c>
      <c r="U1064">
        <v>21461</v>
      </c>
      <c r="V1064" t="s">
        <v>22</v>
      </c>
    </row>
    <row r="1065" spans="1:22">
      <c r="A1065" t="str">
        <f t="shared" si="200"/>
        <v>09/09/2025</v>
      </c>
      <c r="B1065" t="str">
        <f t="shared" si="203"/>
        <v>SAÍDA</v>
      </c>
      <c r="C1065" t="str">
        <f t="shared" si="204"/>
        <v>PIX</v>
      </c>
      <c r="D1065" t="str">
        <f>"21461"</f>
        <v>21461</v>
      </c>
      <c r="E1065" t="str">
        <f t="shared" si="205"/>
        <v>1</v>
      </c>
      <c r="F1065" t="str">
        <f t="shared" si="202"/>
        <v>COM</v>
      </c>
      <c r="G1065" t="str">
        <f>"WILLIAM FERREIRA DE OLIVEIRA (900)"</f>
        <v>WILLIAM FERREIRA DE OLIVEIRA (900)</v>
      </c>
      <c r="H1065" t="s">
        <v>369</v>
      </c>
      <c r="I1065" t="str">
        <f t="shared" si="206"/>
        <v>09/09/2025</v>
      </c>
      <c r="J1065" t="str">
        <f t="shared" si="207"/>
        <v>08/09/2025</v>
      </c>
      <c r="K1065">
        <v>45909</v>
      </c>
      <c r="N1065">
        <v>109</v>
      </c>
      <c r="O1065" t="s">
        <v>24</v>
      </c>
      <c r="Q1065">
        <v>140</v>
      </c>
      <c r="R1065" t="str">
        <f>"PAGMENOS - LJ 657 (10136)"</f>
        <v>PAGMENOS - LJ 657 (10136)</v>
      </c>
      <c r="S1065" t="s">
        <v>22</v>
      </c>
      <c r="T1065">
        <v>18548</v>
      </c>
      <c r="U1065">
        <v>21461</v>
      </c>
      <c r="V1065" t="s">
        <v>22</v>
      </c>
    </row>
    <row r="1066" spans="1:22">
      <c r="A1066" t="str">
        <f t="shared" si="200"/>
        <v>09/09/2025</v>
      </c>
      <c r="B1066" t="str">
        <f t="shared" si="203"/>
        <v>SAÍDA</v>
      </c>
      <c r="C1066" t="str">
        <f t="shared" si="204"/>
        <v>PIX</v>
      </c>
      <c r="D1066" t="str">
        <f>"678"</f>
        <v>678</v>
      </c>
      <c r="E1066" t="str">
        <f t="shared" si="205"/>
        <v>1</v>
      </c>
      <c r="F1066" t="str">
        <f t="shared" si="202"/>
        <v>COM</v>
      </c>
      <c r="G1066" t="str">
        <f>"ARTHUR DANTAS PACHECO (928)"</f>
        <v>ARTHUR DANTAS PACHECO (928)</v>
      </c>
      <c r="H1066" t="str">
        <f>"Serv.Prest. 01/09/2025 a 07/09/2025 - PIX: CELULAR - CHAVE: (33) 99110-6940"</f>
        <v>Serv.Prest. 01/09/2025 a 07/09/2025 - PIX: CELULAR - CHAVE: (33) 99110-6940</v>
      </c>
      <c r="I1066" t="str">
        <f t="shared" si="206"/>
        <v>09/09/2025</v>
      </c>
      <c r="J1066" t="str">
        <f t="shared" si="207"/>
        <v>08/09/2025</v>
      </c>
      <c r="K1066" t="str">
        <f>("09/09/2025")</f>
        <v>09/09/2025</v>
      </c>
      <c r="L1066">
        <v>858</v>
      </c>
      <c r="M1066">
        <v>858</v>
      </c>
      <c r="N1066">
        <v>134</v>
      </c>
      <c r="O1066" t="str">
        <f>"DIARIA DE MOTOBOY"</f>
        <v>DIARIA DE MOTOBOY</v>
      </c>
      <c r="P1066">
        <v>858</v>
      </c>
      <c r="S1066" t="str">
        <f>"BANCO CORA (102)"</f>
        <v>BANCO CORA (102)</v>
      </c>
      <c r="T1066">
        <v>18549</v>
      </c>
      <c r="U1066">
        <v>21496</v>
      </c>
      <c r="V1066" t="s">
        <v>22</v>
      </c>
    </row>
    <row r="1067" spans="1:22">
      <c r="A1067" t="str">
        <f t="shared" si="200"/>
        <v>09/09/2025</v>
      </c>
      <c r="B1067" t="str">
        <f t="shared" si="203"/>
        <v>SAÍDA</v>
      </c>
      <c r="C1067" t="str">
        <f t="shared" si="204"/>
        <v>PIX</v>
      </c>
      <c r="D1067" t="str">
        <f>"678"</f>
        <v>678</v>
      </c>
      <c r="E1067" t="str">
        <f t="shared" si="205"/>
        <v>1</v>
      </c>
      <c r="F1067" t="str">
        <f t="shared" si="202"/>
        <v>COM</v>
      </c>
      <c r="G1067" t="str">
        <f>"ARTHUR DANTAS PACHECO (928)"</f>
        <v>ARTHUR DANTAS PACHECO (928)</v>
      </c>
      <c r="H1067" t="s">
        <v>370</v>
      </c>
      <c r="I1067" t="str">
        <f t="shared" si="206"/>
        <v>09/09/2025</v>
      </c>
      <c r="J1067" t="str">
        <f t="shared" si="207"/>
        <v>08/09/2025</v>
      </c>
      <c r="K1067">
        <v>45909</v>
      </c>
      <c r="N1067">
        <v>134</v>
      </c>
      <c r="O1067" t="s">
        <v>41</v>
      </c>
      <c r="Q1067">
        <v>858</v>
      </c>
      <c r="R1067" t="str">
        <f>"FARMÁCIA INDIANA LJ 40 (10016)"</f>
        <v>FARMÁCIA INDIANA LJ 40 (10016)</v>
      </c>
      <c r="S1067" t="s">
        <v>22</v>
      </c>
      <c r="T1067">
        <v>18549</v>
      </c>
      <c r="U1067">
        <v>21496</v>
      </c>
      <c r="V1067" t="s">
        <v>22</v>
      </c>
    </row>
    <row r="1068" spans="1:22">
      <c r="A1068" t="str">
        <f t="shared" si="200"/>
        <v>09/09/2025</v>
      </c>
      <c r="B1068" t="str">
        <f t="shared" si="203"/>
        <v>SAÍDA</v>
      </c>
      <c r="C1068" t="str">
        <f t="shared" si="204"/>
        <v>PIX</v>
      </c>
      <c r="D1068" t="str">
        <f>"21515"</f>
        <v>21515</v>
      </c>
      <c r="E1068" t="str">
        <f t="shared" si="205"/>
        <v>1</v>
      </c>
      <c r="F1068" t="str">
        <f t="shared" si="202"/>
        <v>COM</v>
      </c>
      <c r="G1068" t="str">
        <f>"EZEQUIEL MATHEUS SOUSA MAXIMIANO ROSA (931)"</f>
        <v>EZEQUIEL MATHEUS SOUSA MAXIMIANO ROSA (931)</v>
      </c>
      <c r="H1068" t="str">
        <f>"Serv.Prest. 01/09/2025 a 07/09/2025 - PIX: CPF - CHAVE: 141.994.266-20"</f>
        <v>Serv.Prest. 01/09/2025 a 07/09/2025 - PIX: CPF - CHAVE: 141.994.266-20</v>
      </c>
      <c r="I1068" t="str">
        <f t="shared" si="206"/>
        <v>09/09/2025</v>
      </c>
      <c r="J1068" t="str">
        <f t="shared" si="207"/>
        <v>08/09/2025</v>
      </c>
      <c r="K1068" t="str">
        <f>("09/09/2025")</f>
        <v>09/09/2025</v>
      </c>
      <c r="L1068">
        <v>168</v>
      </c>
      <c r="M1068">
        <v>170</v>
      </c>
      <c r="N1068">
        <v>134</v>
      </c>
      <c r="O1068" t="str">
        <f>"DIARIA DE MOTOBOY"</f>
        <v>DIARIA DE MOTOBOY</v>
      </c>
      <c r="P1068">
        <v>170</v>
      </c>
      <c r="S1068" t="str">
        <f>"BANCO CORA (102)"</f>
        <v>BANCO CORA (102)</v>
      </c>
      <c r="T1068">
        <v>18550</v>
      </c>
      <c r="U1068">
        <v>21515</v>
      </c>
      <c r="V1068" t="s">
        <v>22</v>
      </c>
    </row>
    <row r="1069" spans="1:22">
      <c r="A1069" t="str">
        <f t="shared" si="200"/>
        <v>09/09/2025</v>
      </c>
      <c r="B1069" t="str">
        <f t="shared" si="203"/>
        <v>SAÍDA</v>
      </c>
      <c r="C1069" t="str">
        <f t="shared" si="204"/>
        <v>PIX</v>
      </c>
      <c r="D1069" t="str">
        <f>"21515"</f>
        <v>21515</v>
      </c>
      <c r="E1069" t="str">
        <f t="shared" si="205"/>
        <v>1</v>
      </c>
      <c r="F1069" t="str">
        <f t="shared" si="202"/>
        <v>COM</v>
      </c>
      <c r="G1069" t="str">
        <f>"EZEQUIEL MATHEUS SOUSA MAXIMIANO ROSA (931)"</f>
        <v>EZEQUIEL MATHEUS SOUSA MAXIMIANO ROSA (931)</v>
      </c>
      <c r="H1069" t="s">
        <v>371</v>
      </c>
      <c r="I1069" t="str">
        <f t="shared" si="206"/>
        <v>09/09/2025</v>
      </c>
      <c r="J1069" t="str">
        <f t="shared" si="207"/>
        <v>08/09/2025</v>
      </c>
      <c r="K1069">
        <v>45909</v>
      </c>
      <c r="N1069">
        <v>134</v>
      </c>
      <c r="O1069" t="s">
        <v>41</v>
      </c>
      <c r="Q1069">
        <v>170</v>
      </c>
      <c r="R1069" t="str">
        <f>"FARMÁCIA INDIANA LJ 192 (10082)"</f>
        <v>FARMÁCIA INDIANA LJ 192 (10082)</v>
      </c>
      <c r="S1069" t="s">
        <v>22</v>
      </c>
      <c r="T1069">
        <v>18550</v>
      </c>
      <c r="U1069">
        <v>21515</v>
      </c>
      <c r="V1069" t="s">
        <v>22</v>
      </c>
    </row>
    <row r="1070" spans="1:22">
      <c r="A1070" t="str">
        <f t="shared" si="200"/>
        <v>09/09/2025</v>
      </c>
      <c r="B1070" t="str">
        <f t="shared" si="203"/>
        <v>SAÍDA</v>
      </c>
      <c r="C1070" t="str">
        <f t="shared" si="204"/>
        <v>PIX</v>
      </c>
      <c r="D1070" t="str">
        <f>"21590"</f>
        <v>21590</v>
      </c>
      <c r="E1070" t="str">
        <f t="shared" si="205"/>
        <v>1</v>
      </c>
      <c r="F1070" t="str">
        <f t="shared" si="202"/>
        <v>COM</v>
      </c>
      <c r="G1070" t="str">
        <f>"WILIANA RODRIGUES E RODRIGUES (398)"</f>
        <v>WILIANA RODRIGUES E RODRIGUES (398)</v>
      </c>
      <c r="H1070" t="str">
        <f>"Serv.Prest. 01/09/2025 a 07/09/2025 - PIX: CPF - CHAVE: 016.203.336-27"</f>
        <v>Serv.Prest. 01/09/2025 a 07/09/2025 - PIX: CPF - CHAVE: 016.203.336-27</v>
      </c>
      <c r="I1070" t="str">
        <f t="shared" si="206"/>
        <v>09/09/2025</v>
      </c>
      <c r="J1070" t="str">
        <f t="shared" si="207"/>
        <v>08/09/2025</v>
      </c>
      <c r="K1070" t="str">
        <f>("09/09/2025")</f>
        <v>09/09/2025</v>
      </c>
      <c r="L1070">
        <v>102</v>
      </c>
      <c r="M1070">
        <v>100</v>
      </c>
      <c r="N1070">
        <v>109</v>
      </c>
      <c r="O1070" t="str">
        <f>"PAGAMENTO DE ENTREGADORES"</f>
        <v>PAGAMENTO DE ENTREGADORES</v>
      </c>
      <c r="P1070">
        <v>100</v>
      </c>
      <c r="S1070" t="str">
        <f>"BANCO CORA (102)"</f>
        <v>BANCO CORA (102)</v>
      </c>
      <c r="T1070">
        <v>18551</v>
      </c>
      <c r="U1070">
        <v>21590</v>
      </c>
      <c r="V1070" t="s">
        <v>22</v>
      </c>
    </row>
    <row r="1071" spans="1:22">
      <c r="A1071" t="str">
        <f t="shared" ref="A1071:A1077" si="208">("09/09/2025")</f>
        <v>09/09/2025</v>
      </c>
      <c r="B1071" t="str">
        <f t="shared" si="203"/>
        <v>SAÍDA</v>
      </c>
      <c r="C1071" t="str">
        <f t="shared" si="204"/>
        <v>PIX</v>
      </c>
      <c r="D1071" t="str">
        <f>"21590"</f>
        <v>21590</v>
      </c>
      <c r="E1071" t="str">
        <f t="shared" si="205"/>
        <v>1</v>
      </c>
      <c r="F1071" t="str">
        <f t="shared" si="202"/>
        <v>COM</v>
      </c>
      <c r="G1071" t="str">
        <f>"WILIANA RODRIGUES E RODRIGUES (398)"</f>
        <v>WILIANA RODRIGUES E RODRIGUES (398)</v>
      </c>
      <c r="H1071" t="s">
        <v>311</v>
      </c>
      <c r="I1071" t="str">
        <f t="shared" si="206"/>
        <v>09/09/2025</v>
      </c>
      <c r="J1071" t="str">
        <f t="shared" si="207"/>
        <v>08/09/2025</v>
      </c>
      <c r="K1071">
        <v>45909</v>
      </c>
      <c r="N1071">
        <v>109</v>
      </c>
      <c r="O1071" t="s">
        <v>24</v>
      </c>
      <c r="Q1071">
        <v>100</v>
      </c>
      <c r="R1071" t="str">
        <f>"FARMÁCIA INDIANA LJ 118 (10052)"</f>
        <v>FARMÁCIA INDIANA LJ 118 (10052)</v>
      </c>
      <c r="S1071" t="s">
        <v>22</v>
      </c>
      <c r="T1071">
        <v>18551</v>
      </c>
      <c r="U1071">
        <v>21590</v>
      </c>
      <c r="V1071" t="s">
        <v>22</v>
      </c>
    </row>
    <row r="1072" spans="1:22">
      <c r="A1072" t="str">
        <f t="shared" si="208"/>
        <v>09/09/2025</v>
      </c>
      <c r="B1072" t="str">
        <f t="shared" si="203"/>
        <v>SAÍDA</v>
      </c>
      <c r="C1072" t="str">
        <f t="shared" si="204"/>
        <v>PIX</v>
      </c>
      <c r="D1072" t="str">
        <f>"21455"</f>
        <v>21455</v>
      </c>
      <c r="E1072" t="str">
        <f t="shared" si="205"/>
        <v>1</v>
      </c>
      <c r="F1072" t="str">
        <f t="shared" si="202"/>
        <v>COM</v>
      </c>
      <c r="G1072" t="str">
        <f>"SAMUEL SOARES DA SILVA (867)"</f>
        <v>SAMUEL SOARES DA SILVA (867)</v>
      </c>
      <c r="H1072" t="str">
        <f>"Serv.Prest. 01/09/2025 a 07/09/2025 - PIX: CPF - CHAVE: 396.124.108-28"</f>
        <v>Serv.Prest. 01/09/2025 a 07/09/2025 - PIX: CPF - CHAVE: 396.124.108-28</v>
      </c>
      <c r="I1072" t="str">
        <f t="shared" si="206"/>
        <v>09/09/2025</v>
      </c>
      <c r="J1072" t="str">
        <f t="shared" si="207"/>
        <v>08/09/2025</v>
      </c>
      <c r="K1072" t="str">
        <f>("09/09/2025")</f>
        <v>09/09/2025</v>
      </c>
      <c r="L1072">
        <v>140</v>
      </c>
      <c r="M1072">
        <v>140</v>
      </c>
      <c r="N1072">
        <v>109</v>
      </c>
      <c r="O1072" t="str">
        <f>"PAGAMENTO DE ENTREGADORES"</f>
        <v>PAGAMENTO DE ENTREGADORES</v>
      </c>
      <c r="P1072">
        <v>140</v>
      </c>
      <c r="S1072" t="str">
        <f>"BANCO CORA (102)"</f>
        <v>BANCO CORA (102)</v>
      </c>
      <c r="T1072">
        <v>18552</v>
      </c>
      <c r="U1072">
        <v>21638</v>
      </c>
      <c r="V1072" t="s">
        <v>22</v>
      </c>
    </row>
    <row r="1073" spans="1:22">
      <c r="A1073" t="str">
        <f t="shared" si="208"/>
        <v>09/09/2025</v>
      </c>
      <c r="B1073" t="str">
        <f t="shared" si="203"/>
        <v>SAÍDA</v>
      </c>
      <c r="C1073" t="str">
        <f t="shared" si="204"/>
        <v>PIX</v>
      </c>
      <c r="D1073" t="str">
        <f>"21455"</f>
        <v>21455</v>
      </c>
      <c r="E1073" t="str">
        <f t="shared" si="205"/>
        <v>1</v>
      </c>
      <c r="F1073" t="str">
        <f t="shared" si="202"/>
        <v>COM</v>
      </c>
      <c r="G1073" t="str">
        <f>"SAMUEL SOARES DA SILVA (867)"</f>
        <v>SAMUEL SOARES DA SILVA (867)</v>
      </c>
      <c r="H1073" t="s">
        <v>312</v>
      </c>
      <c r="I1073" t="str">
        <f t="shared" si="206"/>
        <v>09/09/2025</v>
      </c>
      <c r="J1073" t="str">
        <f t="shared" si="207"/>
        <v>08/09/2025</v>
      </c>
      <c r="K1073">
        <v>45909</v>
      </c>
      <c r="N1073">
        <v>109</v>
      </c>
      <c r="O1073" t="s">
        <v>24</v>
      </c>
      <c r="Q1073">
        <v>140</v>
      </c>
      <c r="R1073" t="str">
        <f>"DROGA ELIDA (10121)"</f>
        <v>DROGA ELIDA (10121)</v>
      </c>
      <c r="S1073" t="s">
        <v>22</v>
      </c>
      <c r="T1073">
        <v>18552</v>
      </c>
      <c r="U1073">
        <v>21638</v>
      </c>
      <c r="V1073" t="s">
        <v>22</v>
      </c>
    </row>
    <row r="1074" spans="1:22">
      <c r="A1074" t="str">
        <f t="shared" si="208"/>
        <v>09/09/2025</v>
      </c>
      <c r="B1074" t="str">
        <f t="shared" si="203"/>
        <v>SAÍDA</v>
      </c>
      <c r="C1074" t="str">
        <f t="shared" si="204"/>
        <v>PIX</v>
      </c>
      <c r="D1074" t="str">
        <f>"21619"</f>
        <v>21619</v>
      </c>
      <c r="E1074" t="str">
        <f t="shared" si="205"/>
        <v>1</v>
      </c>
      <c r="F1074" t="str">
        <f t="shared" si="202"/>
        <v>COM</v>
      </c>
      <c r="G1074" t="str">
        <f>"YAN BRENDO CORREIA VIEIRA (861)"</f>
        <v>YAN BRENDO CORREIA VIEIRA (861)</v>
      </c>
      <c r="H1074" t="str">
        <f>"Serv.Prest. 01/09/2025 a 07/09/2025 - PIX: CPF - CHAVE: 096.891.935-97"</f>
        <v>Serv.Prest. 01/09/2025 a 07/09/2025 - PIX: CPF - CHAVE: 096.891.935-97</v>
      </c>
      <c r="I1074" t="str">
        <f t="shared" si="206"/>
        <v>09/09/2025</v>
      </c>
      <c r="J1074" t="str">
        <f t="shared" si="207"/>
        <v>08/09/2025</v>
      </c>
      <c r="K1074" t="str">
        <f>("09/09/2025")</f>
        <v>09/09/2025</v>
      </c>
      <c r="L1074">
        <v>150</v>
      </c>
      <c r="M1074">
        <v>150</v>
      </c>
      <c r="N1074">
        <v>109</v>
      </c>
      <c r="O1074" t="str">
        <f>"PAGAMENTO DE ENTREGADORES"</f>
        <v>PAGAMENTO DE ENTREGADORES</v>
      </c>
      <c r="P1074">
        <v>150</v>
      </c>
      <c r="S1074" t="str">
        <f>"BANCO CORA (102)"</f>
        <v>BANCO CORA (102)</v>
      </c>
      <c r="T1074">
        <v>18553</v>
      </c>
      <c r="U1074">
        <v>21640</v>
      </c>
      <c r="V1074" t="s">
        <v>22</v>
      </c>
    </row>
    <row r="1075" spans="1:22">
      <c r="A1075" t="str">
        <f t="shared" si="208"/>
        <v>09/09/2025</v>
      </c>
      <c r="B1075" t="str">
        <f t="shared" si="203"/>
        <v>SAÍDA</v>
      </c>
      <c r="C1075" t="str">
        <f t="shared" si="204"/>
        <v>PIX</v>
      </c>
      <c r="D1075" t="str">
        <f>"21619"</f>
        <v>21619</v>
      </c>
      <c r="E1075" t="str">
        <f t="shared" si="205"/>
        <v>1</v>
      </c>
      <c r="F1075" t="str">
        <f t="shared" si="202"/>
        <v>COM</v>
      </c>
      <c r="G1075" t="str">
        <f>"YAN BRENDO CORREIA VIEIRA (861)"</f>
        <v>YAN BRENDO CORREIA VIEIRA (861)</v>
      </c>
      <c r="H1075" t="s">
        <v>372</v>
      </c>
      <c r="I1075" t="str">
        <f t="shared" si="206"/>
        <v>09/09/2025</v>
      </c>
      <c r="J1075" t="str">
        <f t="shared" si="207"/>
        <v>08/09/2025</v>
      </c>
      <c r="K1075">
        <v>45909</v>
      </c>
      <c r="N1075">
        <v>109</v>
      </c>
      <c r="O1075" t="s">
        <v>24</v>
      </c>
      <c r="Q1075">
        <v>150</v>
      </c>
      <c r="R1075" t="str">
        <f>"FARMÁCIA INDIANA LJ 200 (10155)"</f>
        <v>FARMÁCIA INDIANA LJ 200 (10155)</v>
      </c>
      <c r="S1075" t="s">
        <v>22</v>
      </c>
      <c r="T1075">
        <v>18553</v>
      </c>
      <c r="U1075">
        <v>21640</v>
      </c>
      <c r="V1075" t="s">
        <v>22</v>
      </c>
    </row>
    <row r="1076" spans="1:22">
      <c r="A1076" t="str">
        <f t="shared" si="208"/>
        <v>09/09/2025</v>
      </c>
      <c r="B1076" t="str">
        <f t="shared" si="203"/>
        <v>SAÍDA</v>
      </c>
      <c r="C1076" t="str">
        <f t="shared" si="204"/>
        <v>PIX</v>
      </c>
      <c r="D1076" t="str">
        <f>"21663"</f>
        <v>21663</v>
      </c>
      <c r="E1076" t="str">
        <f t="shared" si="205"/>
        <v>1</v>
      </c>
      <c r="F1076" t="str">
        <f t="shared" si="202"/>
        <v>COM</v>
      </c>
      <c r="G1076" t="str">
        <f>"BRENO HENRIQUE DE SOUSA (596)"</f>
        <v>BRENO HENRIQUE DE SOUSA (596)</v>
      </c>
      <c r="H1076" t="str">
        <f>"Serv.Prest. 01/09/2025 a 07/09/2025 - PIX: CELULAR - CHAVE: (37) 99146-2630"</f>
        <v>Serv.Prest. 01/09/2025 a 07/09/2025 - PIX: CELULAR - CHAVE: (37) 99146-2630</v>
      </c>
      <c r="I1076" t="str">
        <f t="shared" si="206"/>
        <v>09/09/2025</v>
      </c>
      <c r="J1076" t="str">
        <f>("09/09/2025")</f>
        <v>09/09/2025</v>
      </c>
      <c r="K1076" t="str">
        <f>("09/09/2025")</f>
        <v>09/09/2025</v>
      </c>
      <c r="L1076">
        <v>300</v>
      </c>
      <c r="M1076">
        <v>300</v>
      </c>
      <c r="N1076">
        <v>109</v>
      </c>
      <c r="O1076" t="str">
        <f>"PAGAMENTO DE ENTREGADORES"</f>
        <v>PAGAMENTO DE ENTREGADORES</v>
      </c>
      <c r="P1076">
        <v>300</v>
      </c>
      <c r="S1076" t="str">
        <f>"BANCO CORA (102)"</f>
        <v>BANCO CORA (102)</v>
      </c>
      <c r="T1076">
        <v>18554</v>
      </c>
      <c r="U1076">
        <v>21669</v>
      </c>
      <c r="V1076" t="s">
        <v>22</v>
      </c>
    </row>
    <row r="1077" spans="1:22">
      <c r="A1077" t="str">
        <f t="shared" si="208"/>
        <v>09/09/2025</v>
      </c>
      <c r="B1077" t="str">
        <f t="shared" si="203"/>
        <v>SAÍDA</v>
      </c>
      <c r="C1077" t="str">
        <f t="shared" si="204"/>
        <v>PIX</v>
      </c>
      <c r="D1077" t="str">
        <f>"21663"</f>
        <v>21663</v>
      </c>
      <c r="E1077" t="str">
        <f t="shared" si="205"/>
        <v>1</v>
      </c>
      <c r="F1077" t="str">
        <f t="shared" si="202"/>
        <v>COM</v>
      </c>
      <c r="G1077" t="str">
        <f>"BRENO HENRIQUE DE SOUSA (596)"</f>
        <v>BRENO HENRIQUE DE SOUSA (596)</v>
      </c>
      <c r="H1077" t="s">
        <v>334</v>
      </c>
      <c r="I1077" t="str">
        <f t="shared" si="206"/>
        <v>09/09/2025</v>
      </c>
      <c r="J1077" t="str">
        <f>("09/09/2025")</f>
        <v>09/09/2025</v>
      </c>
      <c r="K1077">
        <v>45909</v>
      </c>
      <c r="N1077">
        <v>109</v>
      </c>
      <c r="O1077" t="s">
        <v>24</v>
      </c>
      <c r="Q1077">
        <v>300</v>
      </c>
      <c r="R1077" t="str">
        <f>"DROGARIA POUPA MINAS (ULTRAMINAS) 1 (10181)"</f>
        <v>DROGARIA POUPA MINAS (ULTRAMINAS) 1 (10181)</v>
      </c>
      <c r="S1077" t="s">
        <v>22</v>
      </c>
      <c r="T1077">
        <v>18554</v>
      </c>
      <c r="U1077">
        <v>21669</v>
      </c>
      <c r="V1077" t="s">
        <v>22</v>
      </c>
    </row>
    <row r="1078" spans="1:22">
      <c r="A1078" t="str">
        <f t="shared" ref="A1078:A1141" si="209">("10/09/2025")</f>
        <v>10/09/2025</v>
      </c>
      <c r="B1078" t="str">
        <f t="shared" si="203"/>
        <v>SAÍDA</v>
      </c>
      <c r="C1078" t="str">
        <f t="shared" si="204"/>
        <v>PIX</v>
      </c>
      <c r="D1078" t="str">
        <f>"21294"</f>
        <v>21294</v>
      </c>
      <c r="E1078" t="str">
        <f t="shared" si="205"/>
        <v>1</v>
      </c>
      <c r="F1078" t="str">
        <f t="shared" si="202"/>
        <v>COM</v>
      </c>
      <c r="G1078" t="str">
        <f>"GERALDO SEVERINO DE SANTANA (729)"</f>
        <v>GERALDO SEVERINO DE SANTANA (729)</v>
      </c>
      <c r="H1078" t="str">
        <f>"Serv.Prest. 25/08/2025 a 31/08/2025 - PIX: CELULAR - CHAVE: (43) 99934-1696"</f>
        <v>Serv.Prest. 25/08/2025 a 31/08/2025 - PIX: CELULAR - CHAVE: (43) 99934-1696</v>
      </c>
      <c r="I1078" t="str">
        <f>("11/09/2025")</f>
        <v>11/09/2025</v>
      </c>
      <c r="J1078" t="str">
        <f>("02/09/2025")</f>
        <v>02/09/2025</v>
      </c>
      <c r="K1078" t="str">
        <f>("10/09/2025")</f>
        <v>10/09/2025</v>
      </c>
      <c r="L1078">
        <v>20</v>
      </c>
      <c r="M1078">
        <v>20</v>
      </c>
      <c r="N1078">
        <v>109</v>
      </c>
      <c r="O1078" t="str">
        <f>"PAGAMENTO DE ENTREGADORES"</f>
        <v>PAGAMENTO DE ENTREGADORES</v>
      </c>
      <c r="P1078">
        <v>20</v>
      </c>
      <c r="S1078" t="str">
        <f>"CAIXA MOVIMENTAÇÃO OPERACIONAL (132)"</f>
        <v>CAIXA MOVIMENTAÇÃO OPERACIONAL (132)</v>
      </c>
      <c r="T1078">
        <v>17866</v>
      </c>
      <c r="U1078">
        <v>21806</v>
      </c>
      <c r="V1078" t="s">
        <v>48</v>
      </c>
    </row>
    <row r="1079" spans="1:22">
      <c r="A1079" t="str">
        <f t="shared" si="209"/>
        <v>10/09/2025</v>
      </c>
      <c r="B1079" t="str">
        <f t="shared" si="203"/>
        <v>SAÍDA</v>
      </c>
      <c r="C1079" t="str">
        <f t="shared" si="204"/>
        <v>PIX</v>
      </c>
      <c r="D1079" t="str">
        <f>"21294"</f>
        <v>21294</v>
      </c>
      <c r="E1079" t="str">
        <f t="shared" si="205"/>
        <v>1</v>
      </c>
      <c r="F1079" t="str">
        <f t="shared" si="202"/>
        <v>COM</v>
      </c>
      <c r="G1079" t="str">
        <f>"GERALDO SEVERINO DE SANTANA (729)"</f>
        <v>GERALDO SEVERINO DE SANTANA (729)</v>
      </c>
      <c r="H1079" t="s">
        <v>373</v>
      </c>
      <c r="I1079" t="str">
        <f>("11/09/2025")</f>
        <v>11/09/2025</v>
      </c>
      <c r="J1079" t="str">
        <f>("02/09/2025")</f>
        <v>02/09/2025</v>
      </c>
      <c r="K1079">
        <v>45910</v>
      </c>
      <c r="N1079">
        <v>109</v>
      </c>
      <c r="O1079" t="s">
        <v>24</v>
      </c>
      <c r="Q1079">
        <v>20</v>
      </c>
      <c r="R1079" t="str">
        <f>"AC FARMA - CID.ALTA (10166)"</f>
        <v>AC FARMA - CID.ALTA (10166)</v>
      </c>
      <c r="S1079" t="s">
        <v>48</v>
      </c>
      <c r="T1079">
        <v>17866</v>
      </c>
      <c r="U1079">
        <v>21806</v>
      </c>
      <c r="V1079" t="s">
        <v>48</v>
      </c>
    </row>
    <row r="1080" spans="1:22">
      <c r="A1080" t="str">
        <f t="shared" si="209"/>
        <v>10/09/2025</v>
      </c>
      <c r="B1080" t="str">
        <f>"ENTRADA"</f>
        <v>ENTRADA</v>
      </c>
      <c r="C1080" t="str">
        <f>"DINHEIRO"</f>
        <v>DINHEIRO</v>
      </c>
      <c r="D1080" t="str">
        <f>"729"</f>
        <v>729</v>
      </c>
      <c r="E1080" t="str">
        <f>"5"</f>
        <v>5</v>
      </c>
      <c r="F1080" t="str">
        <f t="shared" si="202"/>
        <v>COM</v>
      </c>
      <c r="G1080" t="str">
        <f>"GERALDO SEVERINO DE SANTANA (729)"</f>
        <v>GERALDO SEVERINO DE SANTANA (729)</v>
      </c>
      <c r="H1080" t="str">
        <f>"COTA COOPERATIVA"</f>
        <v>COTA COOPERATIVA</v>
      </c>
      <c r="I1080" t="str">
        <f>("08/09/2025")</f>
        <v>08/09/2025</v>
      </c>
      <c r="J1080" t="str">
        <f>("07/04/2025")</f>
        <v>07/04/2025</v>
      </c>
      <c r="K1080" t="str">
        <f>("10/09/2025")</f>
        <v>10/09/2025</v>
      </c>
      <c r="L1080">
        <v>20</v>
      </c>
      <c r="M1080">
        <v>20</v>
      </c>
      <c r="N1080">
        <v>106</v>
      </c>
      <c r="O1080" t="str">
        <f>"ENTRADA DE CAPITAL"</f>
        <v>ENTRADA DE CAPITAL</v>
      </c>
      <c r="P1080">
        <v>20</v>
      </c>
      <c r="S1080" t="str">
        <f>"ENTRADA DE CAPITAL (106)"</f>
        <v>ENTRADA DE CAPITAL (106)</v>
      </c>
      <c r="T1080">
        <v>17867</v>
      </c>
      <c r="U1080">
        <v>13965</v>
      </c>
      <c r="V1080" t="s">
        <v>48</v>
      </c>
    </row>
    <row r="1081" spans="1:22">
      <c r="A1081" t="str">
        <f t="shared" si="209"/>
        <v>10/09/2025</v>
      </c>
      <c r="B1081" t="str">
        <f>"ENTRADA"</f>
        <v>ENTRADA</v>
      </c>
      <c r="C1081" t="str">
        <f>"DINHEIRO"</f>
        <v>DINHEIRO</v>
      </c>
      <c r="D1081" t="str">
        <f>"729"</f>
        <v>729</v>
      </c>
      <c r="E1081" t="str">
        <f>"5"</f>
        <v>5</v>
      </c>
      <c r="F1081" t="str">
        <f t="shared" si="202"/>
        <v>COM</v>
      </c>
      <c r="G1081" t="str">
        <f>"GERALDO SEVERINO DE SANTANA (729)"</f>
        <v>GERALDO SEVERINO DE SANTANA (729)</v>
      </c>
      <c r="H1081" t="s">
        <v>50</v>
      </c>
      <c r="I1081" t="str">
        <f>("08/09/2025")</f>
        <v>08/09/2025</v>
      </c>
      <c r="J1081" t="str">
        <f>("07/04/2025")</f>
        <v>07/04/2025</v>
      </c>
      <c r="K1081">
        <v>45910</v>
      </c>
      <c r="N1081">
        <v>106</v>
      </c>
      <c r="O1081" t="s">
        <v>51</v>
      </c>
      <c r="Q1081">
        <v>20</v>
      </c>
      <c r="R1081" t="str">
        <f>"GERALDO SEVERINO DE SANTANA (729)"</f>
        <v>GERALDO SEVERINO DE SANTANA (729)</v>
      </c>
      <c r="S1081" t="s">
        <v>52</v>
      </c>
      <c r="T1081">
        <v>17867</v>
      </c>
      <c r="U1081">
        <v>13965</v>
      </c>
      <c r="V1081" t="s">
        <v>48</v>
      </c>
    </row>
    <row r="1082" spans="1:22">
      <c r="A1082" t="str">
        <f t="shared" si="209"/>
        <v>10/09/2025</v>
      </c>
      <c r="B1082" t="str">
        <f>"SAÍDA"</f>
        <v>SAÍDA</v>
      </c>
      <c r="C1082" t="str">
        <f>"PIX"</f>
        <v>PIX</v>
      </c>
      <c r="D1082" t="str">
        <f>"21141"</f>
        <v>21141</v>
      </c>
      <c r="E1082" t="str">
        <f>"1"</f>
        <v>1</v>
      </c>
      <c r="F1082" t="str">
        <f t="shared" si="202"/>
        <v>COM</v>
      </c>
      <c r="G1082" t="str">
        <f>"GILBERTO PINHEIRO DA ROCHA (155)"</f>
        <v>GILBERTO PINHEIRO DA ROCHA (155)</v>
      </c>
      <c r="H1082" t="str">
        <f>"Serv.Prest. 25/08/2025 a 31/08/2025 - PIX: CELULAR - CHAVE: (73) 99941-8352"</f>
        <v>Serv.Prest. 25/08/2025 a 31/08/2025 - PIX: CELULAR - CHAVE: (73) 99941-8352</v>
      </c>
      <c r="I1082" t="str">
        <f>("11/09/2025")</f>
        <v>11/09/2025</v>
      </c>
      <c r="J1082" t="str">
        <f>("02/09/2025")</f>
        <v>02/09/2025</v>
      </c>
      <c r="K1082" t="str">
        <f>("10/09/2025")</f>
        <v>10/09/2025</v>
      </c>
      <c r="L1082">
        <v>20</v>
      </c>
      <c r="M1082">
        <v>20</v>
      </c>
      <c r="N1082">
        <v>109</v>
      </c>
      <c r="O1082" t="str">
        <f>"PAGAMENTO DE ENTREGADORES"</f>
        <v>PAGAMENTO DE ENTREGADORES</v>
      </c>
      <c r="P1082">
        <v>20</v>
      </c>
      <c r="S1082" t="str">
        <f>"CAIXA MOVIMENTAÇÃO OPERACIONAL (132)"</f>
        <v>CAIXA MOVIMENTAÇÃO OPERACIONAL (132)</v>
      </c>
      <c r="T1082">
        <v>17868</v>
      </c>
      <c r="U1082">
        <v>21807</v>
      </c>
      <c r="V1082" t="s">
        <v>48</v>
      </c>
    </row>
    <row r="1083" spans="1:22">
      <c r="A1083" t="str">
        <f t="shared" si="209"/>
        <v>10/09/2025</v>
      </c>
      <c r="B1083" t="str">
        <f>"SAÍDA"</f>
        <v>SAÍDA</v>
      </c>
      <c r="C1083" t="str">
        <f>"PIX"</f>
        <v>PIX</v>
      </c>
      <c r="D1083" t="str">
        <f>"21141"</f>
        <v>21141</v>
      </c>
      <c r="E1083" t="str">
        <f>"1"</f>
        <v>1</v>
      </c>
      <c r="F1083" t="str">
        <f t="shared" si="202"/>
        <v>COM</v>
      </c>
      <c r="G1083" t="str">
        <f>"GILBERTO PINHEIRO DA ROCHA (155)"</f>
        <v>GILBERTO PINHEIRO DA ROCHA (155)</v>
      </c>
      <c r="H1083" t="s">
        <v>374</v>
      </c>
      <c r="I1083" t="str">
        <f>("11/09/2025")</f>
        <v>11/09/2025</v>
      </c>
      <c r="J1083" t="str">
        <f>("02/09/2025")</f>
        <v>02/09/2025</v>
      </c>
      <c r="K1083">
        <v>45910</v>
      </c>
      <c r="N1083">
        <v>109</v>
      </c>
      <c r="O1083" t="s">
        <v>24</v>
      </c>
      <c r="Q1083">
        <v>20</v>
      </c>
      <c r="R1083" t="str">
        <f>"FARMÁCIA INDIANA LJ 34 (10014)"</f>
        <v>FARMÁCIA INDIANA LJ 34 (10014)</v>
      </c>
      <c r="S1083" t="s">
        <v>48</v>
      </c>
      <c r="T1083">
        <v>17868</v>
      </c>
      <c r="U1083">
        <v>21807</v>
      </c>
      <c r="V1083" t="s">
        <v>48</v>
      </c>
    </row>
    <row r="1084" spans="1:22">
      <c r="A1084" t="str">
        <f t="shared" si="209"/>
        <v>10/09/2025</v>
      </c>
      <c r="B1084" t="str">
        <f>"ENTRADA"</f>
        <v>ENTRADA</v>
      </c>
      <c r="C1084" t="str">
        <f>"DINHEIRO"</f>
        <v>DINHEIRO</v>
      </c>
      <c r="D1084" t="str">
        <f>"15"</f>
        <v>15</v>
      </c>
      <c r="E1084" t="str">
        <f>"33"</f>
        <v>33</v>
      </c>
      <c r="F1084" t="str">
        <f t="shared" si="202"/>
        <v>COM</v>
      </c>
      <c r="G1084" t="str">
        <f>"GILBERTO PINHEIRO DA ROCHA (155)"</f>
        <v>GILBERTO PINHEIRO DA ROCHA (155)</v>
      </c>
      <c r="H1084" t="str">
        <f>"DESCONTO COTA COOPERADO"</f>
        <v>DESCONTO COTA COOPERADO</v>
      </c>
      <c r="I1084" t="str">
        <f>("16/09/2025")</f>
        <v>16/09/2025</v>
      </c>
      <c r="J1084" t="str">
        <f>("16/01/2025")</f>
        <v>16/01/2025</v>
      </c>
      <c r="K1084" t="str">
        <f>("10/09/2025")</f>
        <v>10/09/2025</v>
      </c>
      <c r="L1084">
        <v>20</v>
      </c>
      <c r="M1084">
        <v>20</v>
      </c>
      <c r="N1084">
        <v>106</v>
      </c>
      <c r="O1084" t="str">
        <f>"ENTRADA DE CAPITAL"</f>
        <v>ENTRADA DE CAPITAL</v>
      </c>
      <c r="P1084">
        <v>20</v>
      </c>
      <c r="S1084" t="str">
        <f>"ENTRADA DE CAPITAL (106)"</f>
        <v>ENTRADA DE CAPITAL (106)</v>
      </c>
      <c r="T1084">
        <v>17869</v>
      </c>
      <c r="U1084">
        <v>6377</v>
      </c>
      <c r="V1084" t="s">
        <v>48</v>
      </c>
    </row>
    <row r="1085" spans="1:22">
      <c r="A1085" t="str">
        <f t="shared" si="209"/>
        <v>10/09/2025</v>
      </c>
      <c r="B1085" t="str">
        <f>"ENTRADA"</f>
        <v>ENTRADA</v>
      </c>
      <c r="C1085" t="str">
        <f>"DINHEIRO"</f>
        <v>DINHEIRO</v>
      </c>
      <c r="D1085" t="str">
        <f>"15"</f>
        <v>15</v>
      </c>
      <c r="E1085" t="str">
        <f>"33"</f>
        <v>33</v>
      </c>
      <c r="F1085" t="str">
        <f t="shared" si="202"/>
        <v>COM</v>
      </c>
      <c r="G1085" t="str">
        <f>"GILBERTO PINHEIRO DA ROCHA (155)"</f>
        <v>GILBERTO PINHEIRO DA ROCHA (155)</v>
      </c>
      <c r="H1085" t="s">
        <v>309</v>
      </c>
      <c r="I1085" t="str">
        <f>("16/09/2025")</f>
        <v>16/09/2025</v>
      </c>
      <c r="J1085" t="str">
        <f>("16/01/2025")</f>
        <v>16/01/2025</v>
      </c>
      <c r="K1085">
        <v>45910</v>
      </c>
      <c r="N1085">
        <v>106</v>
      </c>
      <c r="O1085" t="s">
        <v>51</v>
      </c>
      <c r="Q1085">
        <v>20</v>
      </c>
      <c r="R1085" t="str">
        <f>"GILBERTO PINHEIRO DA ROCHA (155)"</f>
        <v>GILBERTO PINHEIRO DA ROCHA (155)</v>
      </c>
      <c r="S1085" t="s">
        <v>52</v>
      </c>
      <c r="T1085">
        <v>17869</v>
      </c>
      <c r="U1085">
        <v>6377</v>
      </c>
      <c r="V1085" t="s">
        <v>48</v>
      </c>
    </row>
    <row r="1086" spans="1:22">
      <c r="A1086" t="str">
        <f t="shared" si="209"/>
        <v>10/09/2025</v>
      </c>
      <c r="B1086" t="str">
        <f>"SAÍDA"</f>
        <v>SAÍDA</v>
      </c>
      <c r="C1086" t="str">
        <f>"PIX"</f>
        <v>PIX</v>
      </c>
      <c r="D1086" t="str">
        <f>"21199"</f>
        <v>21199</v>
      </c>
      <c r="E1086" t="str">
        <f>"1"</f>
        <v>1</v>
      </c>
      <c r="F1086" t="str">
        <f t="shared" si="202"/>
        <v>COM</v>
      </c>
      <c r="G1086" t="str">
        <f>"GUILHERME QUINTINO DA ROCHA (199)"</f>
        <v>GUILHERME QUINTINO DA ROCHA (199)</v>
      </c>
      <c r="H1086" t="str">
        <f>"Serv.Prest. 25/08/2025 a 31/08/2025 - PIX: CELULAR - CHAVE: (33) 99706-4860"</f>
        <v>Serv.Prest. 25/08/2025 a 31/08/2025 - PIX: CELULAR - CHAVE: (33) 99706-4860</v>
      </c>
      <c r="I1086" t="str">
        <f>("11/09/2025")</f>
        <v>11/09/2025</v>
      </c>
      <c r="J1086" t="str">
        <f>("02/09/2025")</f>
        <v>02/09/2025</v>
      </c>
      <c r="K1086" t="str">
        <f>("10/09/2025")</f>
        <v>10/09/2025</v>
      </c>
      <c r="L1086">
        <v>20</v>
      </c>
      <c r="M1086">
        <v>20</v>
      </c>
      <c r="N1086">
        <v>109</v>
      </c>
      <c r="O1086" t="str">
        <f>"PAGAMENTO DE ENTREGADORES"</f>
        <v>PAGAMENTO DE ENTREGADORES</v>
      </c>
      <c r="P1086">
        <v>20</v>
      </c>
      <c r="S1086" t="str">
        <f>"CAIXA MOVIMENTAÇÃO OPERACIONAL (132)"</f>
        <v>CAIXA MOVIMENTAÇÃO OPERACIONAL (132)</v>
      </c>
      <c r="T1086">
        <v>17870</v>
      </c>
      <c r="U1086">
        <v>21808</v>
      </c>
      <c r="V1086" t="s">
        <v>48</v>
      </c>
    </row>
    <row r="1087" spans="1:22">
      <c r="A1087" t="str">
        <f t="shared" si="209"/>
        <v>10/09/2025</v>
      </c>
      <c r="B1087" t="str">
        <f>"SAÍDA"</f>
        <v>SAÍDA</v>
      </c>
      <c r="C1087" t="str">
        <f>"PIX"</f>
        <v>PIX</v>
      </c>
      <c r="D1087" t="str">
        <f>"21199"</f>
        <v>21199</v>
      </c>
      <c r="E1087" t="str">
        <f>"1"</f>
        <v>1</v>
      </c>
      <c r="F1087" t="str">
        <f t="shared" si="202"/>
        <v>COM</v>
      </c>
      <c r="G1087" t="str">
        <f>"GUILHERME QUINTINO DA ROCHA (199)"</f>
        <v>GUILHERME QUINTINO DA ROCHA (199)</v>
      </c>
      <c r="H1087" t="s">
        <v>375</v>
      </c>
      <c r="I1087" t="str">
        <f>("11/09/2025")</f>
        <v>11/09/2025</v>
      </c>
      <c r="J1087" t="str">
        <f>("02/09/2025")</f>
        <v>02/09/2025</v>
      </c>
      <c r="K1087">
        <v>45910</v>
      </c>
      <c r="N1087">
        <v>109</v>
      </c>
      <c r="O1087" t="s">
        <v>24</v>
      </c>
      <c r="Q1087">
        <v>20</v>
      </c>
      <c r="R1087" t="str">
        <f>"FARMÁCIA INDIANA LJ 06 (10006)"</f>
        <v>FARMÁCIA INDIANA LJ 06 (10006)</v>
      </c>
      <c r="S1087" t="s">
        <v>48</v>
      </c>
      <c r="T1087">
        <v>17870</v>
      </c>
      <c r="U1087">
        <v>21808</v>
      </c>
      <c r="V1087" t="s">
        <v>48</v>
      </c>
    </row>
    <row r="1088" spans="1:22">
      <c r="A1088" t="str">
        <f t="shared" si="209"/>
        <v>10/09/2025</v>
      </c>
      <c r="B1088" t="str">
        <f>"ENTRADA"</f>
        <v>ENTRADA</v>
      </c>
      <c r="C1088" t="str">
        <f>"DINHEIRO"</f>
        <v>DINHEIRO</v>
      </c>
      <c r="D1088" t="str">
        <f>"10"</f>
        <v>10</v>
      </c>
      <c r="E1088" t="str">
        <f>"33"</f>
        <v>33</v>
      </c>
      <c r="F1088" t="str">
        <f t="shared" si="202"/>
        <v>COM</v>
      </c>
      <c r="G1088" t="str">
        <f>"GUILHERME QUINTINO DA ROCHA (199)"</f>
        <v>GUILHERME QUINTINO DA ROCHA (199)</v>
      </c>
      <c r="H1088" t="str">
        <f>"DESCONTO COTA COOPERADO"</f>
        <v>DESCONTO COTA COOPERADO</v>
      </c>
      <c r="I1088" t="str">
        <f>("16/09/2025")</f>
        <v>16/09/2025</v>
      </c>
      <c r="J1088" t="str">
        <f>("16/01/2025")</f>
        <v>16/01/2025</v>
      </c>
      <c r="K1088" t="str">
        <f>("10/09/2025")</f>
        <v>10/09/2025</v>
      </c>
      <c r="L1088">
        <v>20</v>
      </c>
      <c r="M1088">
        <v>20</v>
      </c>
      <c r="N1088">
        <v>106</v>
      </c>
      <c r="O1088" t="str">
        <f>"ENTRADA DE CAPITAL"</f>
        <v>ENTRADA DE CAPITAL</v>
      </c>
      <c r="P1088">
        <v>20</v>
      </c>
      <c r="S1088" t="str">
        <f>"ENTRADA DE CAPITAL (106)"</f>
        <v>ENTRADA DE CAPITAL (106)</v>
      </c>
      <c r="T1088">
        <v>17871</v>
      </c>
      <c r="U1088">
        <v>6411</v>
      </c>
      <c r="V1088" t="s">
        <v>48</v>
      </c>
    </row>
    <row r="1089" spans="1:22">
      <c r="A1089" t="str">
        <f t="shared" si="209"/>
        <v>10/09/2025</v>
      </c>
      <c r="B1089" t="str">
        <f>"ENTRADA"</f>
        <v>ENTRADA</v>
      </c>
      <c r="C1089" t="str">
        <f>"DINHEIRO"</f>
        <v>DINHEIRO</v>
      </c>
      <c r="D1089" t="str">
        <f>"10"</f>
        <v>10</v>
      </c>
      <c r="E1089" t="str">
        <f>"33"</f>
        <v>33</v>
      </c>
      <c r="F1089" t="str">
        <f t="shared" si="202"/>
        <v>COM</v>
      </c>
      <c r="G1089" t="str">
        <f>"GUILHERME QUINTINO DA ROCHA (199)"</f>
        <v>GUILHERME QUINTINO DA ROCHA (199)</v>
      </c>
      <c r="H1089" t="s">
        <v>309</v>
      </c>
      <c r="I1089" t="str">
        <f>("16/09/2025")</f>
        <v>16/09/2025</v>
      </c>
      <c r="J1089" t="str">
        <f>("16/01/2025")</f>
        <v>16/01/2025</v>
      </c>
      <c r="K1089">
        <v>45910</v>
      </c>
      <c r="N1089">
        <v>106</v>
      </c>
      <c r="O1089" t="s">
        <v>51</v>
      </c>
      <c r="Q1089">
        <v>20</v>
      </c>
      <c r="R1089" t="str">
        <f>"GUILHERME QUINTINO DA ROCHA (199)"</f>
        <v>GUILHERME QUINTINO DA ROCHA (199)</v>
      </c>
      <c r="S1089" t="s">
        <v>52</v>
      </c>
      <c r="T1089">
        <v>17871</v>
      </c>
      <c r="U1089">
        <v>6411</v>
      </c>
      <c r="V1089" t="s">
        <v>48</v>
      </c>
    </row>
    <row r="1090" spans="1:22">
      <c r="A1090" t="str">
        <f t="shared" si="209"/>
        <v>10/09/2025</v>
      </c>
      <c r="B1090" t="str">
        <f>"SAÍDA"</f>
        <v>SAÍDA</v>
      </c>
      <c r="C1090" t="str">
        <f>"PIX"</f>
        <v>PIX</v>
      </c>
      <c r="D1090" t="str">
        <f>"21200"</f>
        <v>21200</v>
      </c>
      <c r="E1090" t="str">
        <f>"1"</f>
        <v>1</v>
      </c>
      <c r="F1090" t="str">
        <f t="shared" si="202"/>
        <v>COM</v>
      </c>
      <c r="G1090" t="str">
        <f>"GUSTAVO ALVES DE ARAÚJO (298)"</f>
        <v>GUSTAVO ALVES DE ARAÚJO (298)</v>
      </c>
      <c r="H1090" t="str">
        <f>"Serv.Prest. 25/08/2025 a 31/08/2025 - PIX: CELULAR - CHAVE: (31) 99816-8965"</f>
        <v>Serv.Prest. 25/08/2025 a 31/08/2025 - PIX: CELULAR - CHAVE: (31) 99816-8965</v>
      </c>
      <c r="I1090" t="str">
        <f>("11/09/2025")</f>
        <v>11/09/2025</v>
      </c>
      <c r="J1090" t="str">
        <f>("02/09/2025")</f>
        <v>02/09/2025</v>
      </c>
      <c r="K1090" t="str">
        <f>("10/09/2025")</f>
        <v>10/09/2025</v>
      </c>
      <c r="L1090">
        <v>20</v>
      </c>
      <c r="M1090">
        <v>20</v>
      </c>
      <c r="N1090">
        <v>109</v>
      </c>
      <c r="O1090" t="str">
        <f>"PAGAMENTO DE ENTREGADORES"</f>
        <v>PAGAMENTO DE ENTREGADORES</v>
      </c>
      <c r="P1090">
        <v>20</v>
      </c>
      <c r="S1090" t="str">
        <f>"CAIXA MOVIMENTAÇÃO OPERACIONAL (132)"</f>
        <v>CAIXA MOVIMENTAÇÃO OPERACIONAL (132)</v>
      </c>
      <c r="T1090">
        <v>17872</v>
      </c>
      <c r="U1090">
        <v>21809</v>
      </c>
      <c r="V1090" t="s">
        <v>48</v>
      </c>
    </row>
    <row r="1091" spans="1:22">
      <c r="A1091" t="str">
        <f t="shared" si="209"/>
        <v>10/09/2025</v>
      </c>
      <c r="B1091" t="str">
        <f>"SAÍDA"</f>
        <v>SAÍDA</v>
      </c>
      <c r="C1091" t="str">
        <f>"PIX"</f>
        <v>PIX</v>
      </c>
      <c r="D1091" t="str">
        <f>"21200"</f>
        <v>21200</v>
      </c>
      <c r="E1091" t="str">
        <f>"1"</f>
        <v>1</v>
      </c>
      <c r="F1091" t="str">
        <f t="shared" si="202"/>
        <v>COM</v>
      </c>
      <c r="G1091" t="str">
        <f>"GUSTAVO ALVES DE ARAÚJO (298)"</f>
        <v>GUSTAVO ALVES DE ARAÚJO (298)</v>
      </c>
      <c r="H1091" t="s">
        <v>376</v>
      </c>
      <c r="I1091" t="str">
        <f>("11/09/2025")</f>
        <v>11/09/2025</v>
      </c>
      <c r="J1091" t="str">
        <f>("02/09/2025")</f>
        <v>02/09/2025</v>
      </c>
      <c r="K1091">
        <v>45910</v>
      </c>
      <c r="N1091">
        <v>109</v>
      </c>
      <c r="O1091" t="s">
        <v>24</v>
      </c>
      <c r="Q1091">
        <v>20</v>
      </c>
      <c r="R1091" t="str">
        <f>"FARMÁCIA INDIANA LJ 172 (10161)"</f>
        <v>FARMÁCIA INDIANA LJ 172 (10161)</v>
      </c>
      <c r="S1091" t="s">
        <v>48</v>
      </c>
      <c r="T1091">
        <v>17872</v>
      </c>
      <c r="U1091">
        <v>21809</v>
      </c>
      <c r="V1091" t="s">
        <v>48</v>
      </c>
    </row>
    <row r="1092" spans="1:22">
      <c r="A1092" t="str">
        <f t="shared" si="209"/>
        <v>10/09/2025</v>
      </c>
      <c r="B1092" t="str">
        <f>"ENTRADA"</f>
        <v>ENTRADA</v>
      </c>
      <c r="C1092" t="str">
        <f>"DINHEIRO"</f>
        <v>DINHEIRO</v>
      </c>
      <c r="D1092" t="str">
        <f>"06"</f>
        <v>06</v>
      </c>
      <c r="E1092" t="str">
        <f>"33"</f>
        <v>33</v>
      </c>
      <c r="F1092" t="str">
        <f t="shared" si="202"/>
        <v>COM</v>
      </c>
      <c r="G1092" t="str">
        <f>"GUSTAVO ALVES DE ARAÚJO (298)"</f>
        <v>GUSTAVO ALVES DE ARAÚJO (298)</v>
      </c>
      <c r="H1092" t="str">
        <f>"DESCONTO COTA COOPERADO"</f>
        <v>DESCONTO COTA COOPERADO</v>
      </c>
      <c r="I1092" t="str">
        <f>("16/09/2025")</f>
        <v>16/09/2025</v>
      </c>
      <c r="J1092" t="str">
        <f>("16/01/2025")</f>
        <v>16/01/2025</v>
      </c>
      <c r="K1092" t="str">
        <f>("10/09/2025")</f>
        <v>10/09/2025</v>
      </c>
      <c r="L1092">
        <v>20</v>
      </c>
      <c r="M1092">
        <v>20</v>
      </c>
      <c r="N1092">
        <v>106</v>
      </c>
      <c r="O1092" t="str">
        <f>"ENTRADA DE CAPITAL"</f>
        <v>ENTRADA DE CAPITAL</v>
      </c>
      <c r="P1092">
        <v>20</v>
      </c>
      <c r="S1092" t="str">
        <f>"ENTRADA DE CAPITAL (106)"</f>
        <v>ENTRADA DE CAPITAL (106)</v>
      </c>
      <c r="T1092">
        <v>17873</v>
      </c>
      <c r="U1092">
        <v>6453</v>
      </c>
      <c r="V1092" t="s">
        <v>48</v>
      </c>
    </row>
    <row r="1093" spans="1:22">
      <c r="A1093" t="str">
        <f t="shared" si="209"/>
        <v>10/09/2025</v>
      </c>
      <c r="B1093" t="str">
        <f>"ENTRADA"</f>
        <v>ENTRADA</v>
      </c>
      <c r="C1093" t="str">
        <f>"DINHEIRO"</f>
        <v>DINHEIRO</v>
      </c>
      <c r="D1093" t="str">
        <f>"06"</f>
        <v>06</v>
      </c>
      <c r="E1093" t="str">
        <f>"33"</f>
        <v>33</v>
      </c>
      <c r="F1093" t="str">
        <f t="shared" si="202"/>
        <v>COM</v>
      </c>
      <c r="G1093" t="str">
        <f>"GUSTAVO ALVES DE ARAÚJO (298)"</f>
        <v>GUSTAVO ALVES DE ARAÚJO (298)</v>
      </c>
      <c r="H1093" t="s">
        <v>309</v>
      </c>
      <c r="I1093" t="str">
        <f>("16/09/2025")</f>
        <v>16/09/2025</v>
      </c>
      <c r="J1093" t="str">
        <f>("16/01/2025")</f>
        <v>16/01/2025</v>
      </c>
      <c r="K1093">
        <v>45910</v>
      </c>
      <c r="N1093">
        <v>106</v>
      </c>
      <c r="O1093" t="s">
        <v>51</v>
      </c>
      <c r="Q1093">
        <v>20</v>
      </c>
      <c r="R1093" t="str">
        <f>"GUSTAVO ALVES DE ARAÚJO (298)"</f>
        <v>GUSTAVO ALVES DE ARAÚJO (298)</v>
      </c>
      <c r="S1093" t="s">
        <v>52</v>
      </c>
      <c r="T1093">
        <v>17873</v>
      </c>
      <c r="U1093">
        <v>6453</v>
      </c>
      <c r="V1093" t="s">
        <v>48</v>
      </c>
    </row>
    <row r="1094" spans="1:22">
      <c r="A1094" t="str">
        <f t="shared" si="209"/>
        <v>10/09/2025</v>
      </c>
      <c r="B1094" t="str">
        <f>"SAÍDA"</f>
        <v>SAÍDA</v>
      </c>
      <c r="C1094" t="str">
        <f>"PIX"</f>
        <v>PIX</v>
      </c>
      <c r="D1094" t="str">
        <f>"21202"</f>
        <v>21202</v>
      </c>
      <c r="E1094" t="str">
        <f>"1"</f>
        <v>1</v>
      </c>
      <c r="F1094" t="str">
        <f t="shared" si="202"/>
        <v>COM</v>
      </c>
      <c r="G1094" t="str">
        <f>"GUSTAVO HENRIQUE OLIVEIRA (661)"</f>
        <v>GUSTAVO HENRIQUE OLIVEIRA (661)</v>
      </c>
      <c r="H1094" t="str">
        <f>"Serv.Prest. 25/08/2025 a 31/08/2025 - PIX: CPF - CHAVE: 113.084.266-58"</f>
        <v>Serv.Prest. 25/08/2025 a 31/08/2025 - PIX: CPF - CHAVE: 113.084.266-58</v>
      </c>
      <c r="I1094" t="str">
        <f>("11/09/2025")</f>
        <v>11/09/2025</v>
      </c>
      <c r="J1094" t="str">
        <f>("02/09/2025")</f>
        <v>02/09/2025</v>
      </c>
      <c r="K1094" t="str">
        <f>("10/09/2025")</f>
        <v>10/09/2025</v>
      </c>
      <c r="L1094">
        <v>20</v>
      </c>
      <c r="M1094">
        <v>20</v>
      </c>
      <c r="N1094">
        <v>109</v>
      </c>
      <c r="O1094" t="str">
        <f>"PAGAMENTO DE ENTREGADORES"</f>
        <v>PAGAMENTO DE ENTREGADORES</v>
      </c>
      <c r="P1094">
        <v>20</v>
      </c>
      <c r="S1094" t="str">
        <f>"CAIXA MOVIMENTAÇÃO OPERACIONAL (132)"</f>
        <v>CAIXA MOVIMENTAÇÃO OPERACIONAL (132)</v>
      </c>
      <c r="T1094">
        <v>17874</v>
      </c>
      <c r="U1094">
        <v>21810</v>
      </c>
      <c r="V1094" t="s">
        <v>48</v>
      </c>
    </row>
    <row r="1095" spans="1:22">
      <c r="A1095" t="str">
        <f t="shared" si="209"/>
        <v>10/09/2025</v>
      </c>
      <c r="B1095" t="str">
        <f>"SAÍDA"</f>
        <v>SAÍDA</v>
      </c>
      <c r="C1095" t="str">
        <f>"PIX"</f>
        <v>PIX</v>
      </c>
      <c r="D1095" t="str">
        <f>"21202"</f>
        <v>21202</v>
      </c>
      <c r="E1095" t="str">
        <f>"1"</f>
        <v>1</v>
      </c>
      <c r="F1095" t="str">
        <f t="shared" si="202"/>
        <v>COM</v>
      </c>
      <c r="G1095" t="str">
        <f>"GUSTAVO HENRIQUE OLIVEIRA (661)"</f>
        <v>GUSTAVO HENRIQUE OLIVEIRA (661)</v>
      </c>
      <c r="H1095" t="s">
        <v>256</v>
      </c>
      <c r="I1095" t="str">
        <f>("11/09/2025")</f>
        <v>11/09/2025</v>
      </c>
      <c r="J1095" t="str">
        <f>("02/09/2025")</f>
        <v>02/09/2025</v>
      </c>
      <c r="K1095">
        <v>45910</v>
      </c>
      <c r="N1095">
        <v>109</v>
      </c>
      <c r="O1095" t="s">
        <v>24</v>
      </c>
      <c r="Q1095">
        <v>20</v>
      </c>
      <c r="R1095" t="str">
        <f>"FARMÁCIA INDIANA LJ 110 (10048)"</f>
        <v>FARMÁCIA INDIANA LJ 110 (10048)</v>
      </c>
      <c r="S1095" t="s">
        <v>48</v>
      </c>
      <c r="T1095">
        <v>17874</v>
      </c>
      <c r="U1095">
        <v>21810</v>
      </c>
      <c r="V1095" t="s">
        <v>48</v>
      </c>
    </row>
    <row r="1096" spans="1:22">
      <c r="A1096" t="str">
        <f t="shared" si="209"/>
        <v>10/09/2025</v>
      </c>
      <c r="B1096" t="str">
        <f>"ENTRADA"</f>
        <v>ENTRADA</v>
      </c>
      <c r="C1096" t="str">
        <f>"DINHEIRO"</f>
        <v>DINHEIRO</v>
      </c>
      <c r="D1096" t="str">
        <f>"25"</f>
        <v>25</v>
      </c>
      <c r="E1096" t="str">
        <f>"7"</f>
        <v>7</v>
      </c>
      <c r="F1096" t="str">
        <f t="shared" si="202"/>
        <v>COM</v>
      </c>
      <c r="G1096" t="str">
        <f>"GUSTAVO HENRIQUE OLIVEIRA (661)"</f>
        <v>GUSTAVO HENRIQUE OLIVEIRA (661)</v>
      </c>
      <c r="H1096" t="str">
        <f>"DESCONTO COTA COOPERADO"</f>
        <v>DESCONTO COTA COOPERADO</v>
      </c>
      <c r="I1096" t="str">
        <f>("13/09/2025")</f>
        <v>13/09/2025</v>
      </c>
      <c r="J1096" t="str">
        <f>("13/03/2025")</f>
        <v>13/03/2025</v>
      </c>
      <c r="K1096" t="str">
        <f>("10/09/2025")</f>
        <v>10/09/2025</v>
      </c>
      <c r="L1096">
        <v>20</v>
      </c>
      <c r="M1096">
        <v>20</v>
      </c>
      <c r="N1096">
        <v>106</v>
      </c>
      <c r="O1096" t="str">
        <f>"ENTRADA DE CAPITAL"</f>
        <v>ENTRADA DE CAPITAL</v>
      </c>
      <c r="P1096">
        <v>20</v>
      </c>
      <c r="S1096" t="str">
        <f>"ENTRADA DE CAPITAL (106)"</f>
        <v>ENTRADA DE CAPITAL (106)</v>
      </c>
      <c r="T1096">
        <v>17875</v>
      </c>
      <c r="U1096">
        <v>10936</v>
      </c>
      <c r="V1096" t="s">
        <v>48</v>
      </c>
    </row>
    <row r="1097" spans="1:22">
      <c r="A1097" t="str">
        <f t="shared" si="209"/>
        <v>10/09/2025</v>
      </c>
      <c r="B1097" t="str">
        <f>"ENTRADA"</f>
        <v>ENTRADA</v>
      </c>
      <c r="C1097" t="str">
        <f>"DINHEIRO"</f>
        <v>DINHEIRO</v>
      </c>
      <c r="D1097" t="str">
        <f>"25"</f>
        <v>25</v>
      </c>
      <c r="E1097" t="str">
        <f>"7"</f>
        <v>7</v>
      </c>
      <c r="F1097" t="str">
        <f t="shared" si="202"/>
        <v>COM</v>
      </c>
      <c r="G1097" t="str">
        <f>"GUSTAVO HENRIQUE OLIVEIRA (661)"</f>
        <v>GUSTAVO HENRIQUE OLIVEIRA (661)</v>
      </c>
      <c r="H1097" t="s">
        <v>309</v>
      </c>
      <c r="I1097" t="str">
        <f>("13/09/2025")</f>
        <v>13/09/2025</v>
      </c>
      <c r="J1097" t="str">
        <f>("13/03/2025")</f>
        <v>13/03/2025</v>
      </c>
      <c r="K1097">
        <v>45910</v>
      </c>
      <c r="N1097">
        <v>106</v>
      </c>
      <c r="O1097" t="s">
        <v>51</v>
      </c>
      <c r="Q1097">
        <v>20</v>
      </c>
      <c r="R1097" t="str">
        <f>"GUSTAVO HENRIQUE OLIVEIRA (661)"</f>
        <v>GUSTAVO HENRIQUE OLIVEIRA (661)</v>
      </c>
      <c r="S1097" t="s">
        <v>52</v>
      </c>
      <c r="T1097">
        <v>17875</v>
      </c>
      <c r="U1097">
        <v>10936</v>
      </c>
      <c r="V1097" t="s">
        <v>48</v>
      </c>
    </row>
    <row r="1098" spans="1:22">
      <c r="A1098" t="str">
        <f t="shared" si="209"/>
        <v>10/09/2025</v>
      </c>
      <c r="B1098" t="str">
        <f>"ENTRADA"</f>
        <v>ENTRADA</v>
      </c>
      <c r="C1098" t="str">
        <f>"DINHEIRO"</f>
        <v>DINHEIRO</v>
      </c>
      <c r="D1098" t="str">
        <f>"718"</f>
        <v>718</v>
      </c>
      <c r="E1098" t="str">
        <f>"6"</f>
        <v>6</v>
      </c>
      <c r="F1098" t="str">
        <f t="shared" si="202"/>
        <v>COM</v>
      </c>
      <c r="G1098" t="str">
        <f>"HECTOR LUIS YANEZ QUEZADA (718)"</f>
        <v>HECTOR LUIS YANEZ QUEZADA (718)</v>
      </c>
      <c r="H1098" t="str">
        <f>"COTAS COOPERATIVA"</f>
        <v>COTAS COOPERATIVA</v>
      </c>
      <c r="I1098" t="str">
        <f>("10/09/2025")</f>
        <v>10/09/2025</v>
      </c>
      <c r="J1098" t="str">
        <f>("24/03/2025")</f>
        <v>24/03/2025</v>
      </c>
      <c r="K1098" t="str">
        <f>("10/09/2025")</f>
        <v>10/09/2025</v>
      </c>
      <c r="L1098">
        <v>20</v>
      </c>
      <c r="M1098">
        <v>20</v>
      </c>
      <c r="N1098">
        <v>106</v>
      </c>
      <c r="O1098" t="str">
        <f>"ENTRADA DE CAPITAL"</f>
        <v>ENTRADA DE CAPITAL</v>
      </c>
      <c r="P1098">
        <v>20</v>
      </c>
      <c r="S1098" t="str">
        <f>"ENTRADA DE CAPITAL (106)"</f>
        <v>ENTRADA DE CAPITAL (106)</v>
      </c>
      <c r="T1098">
        <v>17876</v>
      </c>
      <c r="U1098">
        <v>11811</v>
      </c>
      <c r="V1098" t="s">
        <v>48</v>
      </c>
    </row>
    <row r="1099" spans="1:22">
      <c r="A1099" t="str">
        <f t="shared" si="209"/>
        <v>10/09/2025</v>
      </c>
      <c r="B1099" t="str">
        <f>"ENTRADA"</f>
        <v>ENTRADA</v>
      </c>
      <c r="C1099" t="str">
        <f>"DINHEIRO"</f>
        <v>DINHEIRO</v>
      </c>
      <c r="D1099" t="str">
        <f>"718"</f>
        <v>718</v>
      </c>
      <c r="E1099" t="str">
        <f>"6"</f>
        <v>6</v>
      </c>
      <c r="F1099" t="str">
        <f t="shared" si="202"/>
        <v>COM</v>
      </c>
      <c r="G1099" t="str">
        <f>"HECTOR LUIS YANEZ QUEZADA (718)"</f>
        <v>HECTOR LUIS YANEZ QUEZADA (718)</v>
      </c>
      <c r="H1099" t="s">
        <v>318</v>
      </c>
      <c r="I1099" t="str">
        <f>("10/09/2025")</f>
        <v>10/09/2025</v>
      </c>
      <c r="J1099" t="str">
        <f>("24/03/2025")</f>
        <v>24/03/2025</v>
      </c>
      <c r="K1099">
        <v>45910</v>
      </c>
      <c r="N1099">
        <v>106</v>
      </c>
      <c r="O1099" t="s">
        <v>51</v>
      </c>
      <c r="Q1099">
        <v>20</v>
      </c>
      <c r="R1099" t="str">
        <f>"HECTOR LUIS YANEZ QUEZADA (718)"</f>
        <v>HECTOR LUIS YANEZ QUEZADA (718)</v>
      </c>
      <c r="S1099" t="s">
        <v>52</v>
      </c>
      <c r="T1099">
        <v>17876</v>
      </c>
      <c r="U1099">
        <v>11811</v>
      </c>
      <c r="V1099" t="s">
        <v>48</v>
      </c>
    </row>
    <row r="1100" spans="1:22">
      <c r="A1100" t="str">
        <f t="shared" si="209"/>
        <v>10/09/2025</v>
      </c>
      <c r="B1100" t="str">
        <f>"SAÍDA"</f>
        <v>SAÍDA</v>
      </c>
      <c r="C1100" t="str">
        <f>"PIX"</f>
        <v>PIX</v>
      </c>
      <c r="D1100" t="str">
        <f>"21480"</f>
        <v>21480</v>
      </c>
      <c r="E1100" t="str">
        <f>"1"</f>
        <v>1</v>
      </c>
      <c r="F1100" t="str">
        <f t="shared" si="202"/>
        <v>COM</v>
      </c>
      <c r="G1100" t="str">
        <f>"HECTOR LUIS YANEZ QUEZADA (718)"</f>
        <v>HECTOR LUIS YANEZ QUEZADA (718)</v>
      </c>
      <c r="H1100" t="str">
        <f>"Serv.Prest. 01/09/2025 a 07/09/2025 - PIX: CELULAR - CHAVE: (41) 98421-2278"</f>
        <v>Serv.Prest. 01/09/2025 a 07/09/2025 - PIX: CELULAR - CHAVE: (41) 98421-2278</v>
      </c>
      <c r="I1100" t="str">
        <f>("11/09/2025")</f>
        <v>11/09/2025</v>
      </c>
      <c r="J1100" t="str">
        <f>("08/09/2025")</f>
        <v>08/09/2025</v>
      </c>
      <c r="K1100" t="str">
        <f>("10/09/2025")</f>
        <v>10/09/2025</v>
      </c>
      <c r="L1100">
        <v>20</v>
      </c>
      <c r="M1100">
        <v>20</v>
      </c>
      <c r="N1100">
        <v>109</v>
      </c>
      <c r="O1100" t="str">
        <f>"PAGAMENTO DE ENTREGADORES"</f>
        <v>PAGAMENTO DE ENTREGADORES</v>
      </c>
      <c r="P1100">
        <v>20</v>
      </c>
      <c r="S1100" t="str">
        <f>"CAIXA MOVIMENTAÇÃO OPERACIONAL (132)"</f>
        <v>CAIXA MOVIMENTAÇÃO OPERACIONAL (132)</v>
      </c>
      <c r="T1100">
        <v>17877</v>
      </c>
      <c r="U1100">
        <v>21811</v>
      </c>
      <c r="V1100" t="s">
        <v>48</v>
      </c>
    </row>
    <row r="1101" spans="1:22">
      <c r="A1101" t="str">
        <f t="shared" si="209"/>
        <v>10/09/2025</v>
      </c>
      <c r="B1101" t="str">
        <f>"SAÍDA"</f>
        <v>SAÍDA</v>
      </c>
      <c r="C1101" t="str">
        <f>"PIX"</f>
        <v>PIX</v>
      </c>
      <c r="D1101" t="str">
        <f>"21480"</f>
        <v>21480</v>
      </c>
      <c r="E1101" t="str">
        <f>"1"</f>
        <v>1</v>
      </c>
      <c r="F1101" t="str">
        <f t="shared" si="202"/>
        <v>COM</v>
      </c>
      <c r="G1101" t="str">
        <f>"HECTOR LUIS YANEZ QUEZADA (718)"</f>
        <v>HECTOR LUIS YANEZ QUEZADA (718)</v>
      </c>
      <c r="H1101" t="s">
        <v>377</v>
      </c>
      <c r="I1101" t="str">
        <f>("11/09/2025")</f>
        <v>11/09/2025</v>
      </c>
      <c r="J1101" t="str">
        <f>("08/09/2025")</f>
        <v>08/09/2025</v>
      </c>
      <c r="K1101">
        <v>45910</v>
      </c>
      <c r="N1101">
        <v>109</v>
      </c>
      <c r="O1101" t="s">
        <v>24</v>
      </c>
      <c r="Q1101">
        <v>20</v>
      </c>
      <c r="R1101" t="str">
        <f>"JAL FARMACIA E DROGARIA LJ 1 (10137)"</f>
        <v>JAL FARMACIA E DROGARIA LJ 1 (10137)</v>
      </c>
      <c r="S1101" t="s">
        <v>48</v>
      </c>
      <c r="T1101">
        <v>17877</v>
      </c>
      <c r="U1101">
        <v>21811</v>
      </c>
      <c r="V1101" t="s">
        <v>48</v>
      </c>
    </row>
    <row r="1102" spans="1:22">
      <c r="A1102" t="str">
        <f t="shared" si="209"/>
        <v>10/09/2025</v>
      </c>
      <c r="B1102" t="str">
        <f>"ENTRADA"</f>
        <v>ENTRADA</v>
      </c>
      <c r="C1102" t="str">
        <f>"DINHEIRO"</f>
        <v>DINHEIRO</v>
      </c>
      <c r="D1102" t="str">
        <f>"724"</f>
        <v>724</v>
      </c>
      <c r="E1102" t="str">
        <f>"5"</f>
        <v>5</v>
      </c>
      <c r="F1102" t="str">
        <f t="shared" si="202"/>
        <v>COM</v>
      </c>
      <c r="G1102" t="str">
        <f>"HELITON DE OLIVEIRA RAMOS BARBOSA (724)"</f>
        <v>HELITON DE OLIVEIRA RAMOS BARBOSA (724)</v>
      </c>
      <c r="H1102" t="str">
        <f>"COTA COOPERATIVA"</f>
        <v>COTA COOPERATIVA</v>
      </c>
      <c r="I1102" t="str">
        <f>("08/09/2025")</f>
        <v>08/09/2025</v>
      </c>
      <c r="J1102" t="str">
        <f>("01/04/2025")</f>
        <v>01/04/2025</v>
      </c>
      <c r="K1102" t="str">
        <f>("10/09/2025")</f>
        <v>10/09/2025</v>
      </c>
      <c r="L1102">
        <v>20</v>
      </c>
      <c r="M1102">
        <v>20</v>
      </c>
      <c r="N1102">
        <v>106</v>
      </c>
      <c r="O1102" t="str">
        <f>"ENTRADA DE CAPITAL"</f>
        <v>ENTRADA DE CAPITAL</v>
      </c>
      <c r="P1102">
        <v>20</v>
      </c>
      <c r="S1102" t="str">
        <f>"ENTRADA DE CAPITAL (106)"</f>
        <v>ENTRADA DE CAPITAL (106)</v>
      </c>
      <c r="T1102">
        <v>17878</v>
      </c>
      <c r="U1102">
        <v>13998</v>
      </c>
      <c r="V1102" t="s">
        <v>48</v>
      </c>
    </row>
    <row r="1103" spans="1:22">
      <c r="A1103" t="str">
        <f t="shared" si="209"/>
        <v>10/09/2025</v>
      </c>
      <c r="B1103" t="str">
        <f>"ENTRADA"</f>
        <v>ENTRADA</v>
      </c>
      <c r="C1103" t="str">
        <f>"DINHEIRO"</f>
        <v>DINHEIRO</v>
      </c>
      <c r="D1103" t="str">
        <f>"724"</f>
        <v>724</v>
      </c>
      <c r="E1103" t="str">
        <f>"5"</f>
        <v>5</v>
      </c>
      <c r="F1103" t="str">
        <f t="shared" si="202"/>
        <v>COM</v>
      </c>
      <c r="G1103" t="str">
        <f>"HELITON DE OLIVEIRA RAMOS BARBOSA (724)"</f>
        <v>HELITON DE OLIVEIRA RAMOS BARBOSA (724)</v>
      </c>
      <c r="H1103" t="s">
        <v>50</v>
      </c>
      <c r="I1103" t="str">
        <f>("08/09/2025")</f>
        <v>08/09/2025</v>
      </c>
      <c r="J1103" t="str">
        <f>("01/04/2025")</f>
        <v>01/04/2025</v>
      </c>
      <c r="K1103">
        <v>45910</v>
      </c>
      <c r="N1103">
        <v>106</v>
      </c>
      <c r="O1103" t="s">
        <v>51</v>
      </c>
      <c r="Q1103">
        <v>20</v>
      </c>
      <c r="R1103" t="str">
        <f>"HELITON DE OLIVEIRA RAMOS BARBOSA (724)"</f>
        <v>HELITON DE OLIVEIRA RAMOS BARBOSA (724)</v>
      </c>
      <c r="S1103" t="s">
        <v>52</v>
      </c>
      <c r="T1103">
        <v>17878</v>
      </c>
      <c r="U1103">
        <v>13998</v>
      </c>
      <c r="V1103" t="s">
        <v>48</v>
      </c>
    </row>
    <row r="1104" spans="1:22">
      <c r="A1104" t="str">
        <f t="shared" si="209"/>
        <v>10/09/2025</v>
      </c>
      <c r="B1104" t="str">
        <f>"SAÍDA"</f>
        <v>SAÍDA</v>
      </c>
      <c r="C1104" t="str">
        <f>"PIX"</f>
        <v>PIX</v>
      </c>
      <c r="D1104" t="str">
        <f>"21308"</f>
        <v>21308</v>
      </c>
      <c r="E1104" t="str">
        <f>"1"</f>
        <v>1</v>
      </c>
      <c r="F1104" t="str">
        <f t="shared" si="202"/>
        <v>COM</v>
      </c>
      <c r="G1104" t="str">
        <f>"HELITON DE OLIVEIRA RAMOS BARBOSA (724)"</f>
        <v>HELITON DE OLIVEIRA RAMOS BARBOSA (724)</v>
      </c>
      <c r="H1104" t="str">
        <f>"Serv.Prest. 25/08/2025 a 31/08/2025 - PIX: CPF - CHAVE: 074.604.219-10"</f>
        <v>Serv.Prest. 25/08/2025 a 31/08/2025 - PIX: CPF - CHAVE: 074.604.219-10</v>
      </c>
      <c r="I1104" t="str">
        <f>("11/09/2025")</f>
        <v>11/09/2025</v>
      </c>
      <c r="J1104" t="str">
        <f>("02/09/2025")</f>
        <v>02/09/2025</v>
      </c>
      <c r="K1104" t="str">
        <f>("10/09/2025")</f>
        <v>10/09/2025</v>
      </c>
      <c r="L1104">
        <v>20</v>
      </c>
      <c r="M1104">
        <v>20</v>
      </c>
      <c r="N1104">
        <v>109</v>
      </c>
      <c r="O1104" t="str">
        <f>"PAGAMENTO DE ENTREGADORES"</f>
        <v>PAGAMENTO DE ENTREGADORES</v>
      </c>
      <c r="P1104">
        <v>20</v>
      </c>
      <c r="S1104" t="str">
        <f>"CAIXA MOVIMENTAÇÃO OPERACIONAL (132)"</f>
        <v>CAIXA MOVIMENTAÇÃO OPERACIONAL (132)</v>
      </c>
      <c r="T1104">
        <v>17879</v>
      </c>
      <c r="U1104">
        <v>21812</v>
      </c>
      <c r="V1104" t="s">
        <v>48</v>
      </c>
    </row>
    <row r="1105" spans="1:22">
      <c r="A1105" t="str">
        <f t="shared" si="209"/>
        <v>10/09/2025</v>
      </c>
      <c r="B1105" t="str">
        <f>"SAÍDA"</f>
        <v>SAÍDA</v>
      </c>
      <c r="C1105" t="str">
        <f>"PIX"</f>
        <v>PIX</v>
      </c>
      <c r="D1105" t="str">
        <f>"21308"</f>
        <v>21308</v>
      </c>
      <c r="E1105" t="str">
        <f>"1"</f>
        <v>1</v>
      </c>
      <c r="F1105" t="str">
        <f t="shared" si="202"/>
        <v>COM</v>
      </c>
      <c r="G1105" t="str">
        <f>"HELITON DE OLIVEIRA RAMOS BARBOSA (724)"</f>
        <v>HELITON DE OLIVEIRA RAMOS BARBOSA (724)</v>
      </c>
      <c r="H1105" t="s">
        <v>378</v>
      </c>
      <c r="I1105" t="str">
        <f>("11/09/2025")</f>
        <v>11/09/2025</v>
      </c>
      <c r="J1105" t="str">
        <f>("02/09/2025")</f>
        <v>02/09/2025</v>
      </c>
      <c r="K1105">
        <v>45910</v>
      </c>
      <c r="N1105">
        <v>109</v>
      </c>
      <c r="O1105" t="s">
        <v>24</v>
      </c>
      <c r="Q1105">
        <v>20</v>
      </c>
      <c r="R1105" t="str">
        <f>"AC FARMA - FLEMINFARMA 5 (10183)"</f>
        <v>AC FARMA - FLEMINFARMA 5 (10183)</v>
      </c>
      <c r="S1105" t="s">
        <v>48</v>
      </c>
      <c r="T1105">
        <v>17879</v>
      </c>
      <c r="U1105">
        <v>21812</v>
      </c>
      <c r="V1105" t="s">
        <v>48</v>
      </c>
    </row>
    <row r="1106" spans="1:22">
      <c r="A1106" t="str">
        <f t="shared" si="209"/>
        <v>10/09/2025</v>
      </c>
      <c r="B1106" t="str">
        <f>"SAÍDA"</f>
        <v>SAÍDA</v>
      </c>
      <c r="C1106" t="str">
        <f>"PIX"</f>
        <v>PIX</v>
      </c>
      <c r="D1106" t="str">
        <f>"21436"</f>
        <v>21436</v>
      </c>
      <c r="E1106" t="str">
        <f>"1"</f>
        <v>1</v>
      </c>
      <c r="F1106" t="str">
        <f t="shared" si="202"/>
        <v>COM</v>
      </c>
      <c r="G1106" t="str">
        <f>"ISAEL SANTOS ROSA (642)"</f>
        <v>ISAEL SANTOS ROSA (642)</v>
      </c>
      <c r="H1106" t="str">
        <f>"Serv.Prest. 01/09/2025 a 07/09/2025 - PIX: CELULAR - CHAVE: (31) 99376-7989"</f>
        <v>Serv.Prest. 01/09/2025 a 07/09/2025 - PIX: CELULAR - CHAVE: (31) 99376-7989</v>
      </c>
      <c r="I1106" t="str">
        <f>("11/09/2025")</f>
        <v>11/09/2025</v>
      </c>
      <c r="J1106" t="str">
        <f>("08/09/2025")</f>
        <v>08/09/2025</v>
      </c>
      <c r="K1106" t="str">
        <f>("10/09/2025")</f>
        <v>10/09/2025</v>
      </c>
      <c r="L1106">
        <v>20</v>
      </c>
      <c r="M1106">
        <v>20</v>
      </c>
      <c r="N1106">
        <v>109</v>
      </c>
      <c r="O1106" t="str">
        <f>"PAGAMENTO DE ENTREGADORES"</f>
        <v>PAGAMENTO DE ENTREGADORES</v>
      </c>
      <c r="P1106">
        <v>20</v>
      </c>
      <c r="S1106" t="str">
        <f>"CAIXA MOVIMENTAÇÃO OPERACIONAL (132)"</f>
        <v>CAIXA MOVIMENTAÇÃO OPERACIONAL (132)</v>
      </c>
      <c r="T1106">
        <v>17880</v>
      </c>
      <c r="U1106">
        <v>21813</v>
      </c>
      <c r="V1106" t="s">
        <v>48</v>
      </c>
    </row>
    <row r="1107" spans="1:22">
      <c r="A1107" t="str">
        <f t="shared" si="209"/>
        <v>10/09/2025</v>
      </c>
      <c r="B1107" t="str">
        <f>"SAÍDA"</f>
        <v>SAÍDA</v>
      </c>
      <c r="C1107" t="str">
        <f>"PIX"</f>
        <v>PIX</v>
      </c>
      <c r="D1107" t="str">
        <f>"21436"</f>
        <v>21436</v>
      </c>
      <c r="E1107" t="str">
        <f>"1"</f>
        <v>1</v>
      </c>
      <c r="F1107" t="str">
        <f t="shared" si="202"/>
        <v>COM</v>
      </c>
      <c r="G1107" t="str">
        <f>"ISAEL SANTOS ROSA (642)"</f>
        <v>ISAEL SANTOS ROSA (642)</v>
      </c>
      <c r="H1107" t="s">
        <v>379</v>
      </c>
      <c r="I1107" t="str">
        <f>("11/09/2025")</f>
        <v>11/09/2025</v>
      </c>
      <c r="J1107" t="str">
        <f>("08/09/2025")</f>
        <v>08/09/2025</v>
      </c>
      <c r="K1107">
        <v>45910</v>
      </c>
      <c r="N1107">
        <v>109</v>
      </c>
      <c r="O1107" t="s">
        <v>24</v>
      </c>
      <c r="Q1107">
        <v>20</v>
      </c>
      <c r="R1107" t="str">
        <f>"DROGARIA POUPA MINAS (ULTRAMINAS) 3 (10129)"</f>
        <v>DROGARIA POUPA MINAS (ULTRAMINAS) 3 (10129)</v>
      </c>
      <c r="S1107" t="s">
        <v>48</v>
      </c>
      <c r="T1107">
        <v>17880</v>
      </c>
      <c r="U1107">
        <v>21813</v>
      </c>
      <c r="V1107" t="s">
        <v>48</v>
      </c>
    </row>
    <row r="1108" spans="1:22">
      <c r="A1108" t="str">
        <f t="shared" si="209"/>
        <v>10/09/2025</v>
      </c>
      <c r="B1108" t="str">
        <f>"ENTRADA"</f>
        <v>ENTRADA</v>
      </c>
      <c r="C1108" t="str">
        <f>"DINHEIRO"</f>
        <v>DINHEIRO</v>
      </c>
      <c r="D1108" t="str">
        <f>"642"</f>
        <v>642</v>
      </c>
      <c r="E1108" t="str">
        <f>"8"</f>
        <v>8</v>
      </c>
      <c r="F1108" t="str">
        <f t="shared" si="202"/>
        <v>COM</v>
      </c>
      <c r="G1108" t="str">
        <f>"ISAEL SANTOS ROSA (642)"</f>
        <v>ISAEL SANTOS ROSA (642)</v>
      </c>
      <c r="H1108" t="str">
        <f>"COTAS COOPERATIVA"</f>
        <v>COTAS COOPERATIVA</v>
      </c>
      <c r="I1108" t="str">
        <f>("13/09/2025")</f>
        <v>13/09/2025</v>
      </c>
      <c r="J1108" t="str">
        <f>("12/02/2025")</f>
        <v>12/02/2025</v>
      </c>
      <c r="K1108" t="str">
        <f>("10/09/2025")</f>
        <v>10/09/2025</v>
      </c>
      <c r="L1108">
        <v>20</v>
      </c>
      <c r="M1108">
        <v>20</v>
      </c>
      <c r="N1108">
        <v>106</v>
      </c>
      <c r="O1108" t="str">
        <f>"ENTRADA DE CAPITAL"</f>
        <v>ENTRADA DE CAPITAL</v>
      </c>
      <c r="P1108">
        <v>20</v>
      </c>
      <c r="S1108" t="str">
        <f>"ENTRADA DE CAPITAL (106)"</f>
        <v>ENTRADA DE CAPITAL (106)</v>
      </c>
      <c r="T1108">
        <v>17881</v>
      </c>
      <c r="U1108">
        <v>9283</v>
      </c>
      <c r="V1108" t="s">
        <v>48</v>
      </c>
    </row>
    <row r="1109" spans="1:22">
      <c r="A1109" t="str">
        <f t="shared" si="209"/>
        <v>10/09/2025</v>
      </c>
      <c r="B1109" t="str">
        <f>"ENTRADA"</f>
        <v>ENTRADA</v>
      </c>
      <c r="C1109" t="str">
        <f>"DINHEIRO"</f>
        <v>DINHEIRO</v>
      </c>
      <c r="D1109" t="str">
        <f>"642"</f>
        <v>642</v>
      </c>
      <c r="E1109" t="str">
        <f>"8"</f>
        <v>8</v>
      </c>
      <c r="F1109" t="str">
        <f t="shared" si="202"/>
        <v>COM</v>
      </c>
      <c r="G1109" t="str">
        <f>"ISAEL SANTOS ROSA (642)"</f>
        <v>ISAEL SANTOS ROSA (642)</v>
      </c>
      <c r="H1109" t="s">
        <v>318</v>
      </c>
      <c r="I1109" t="str">
        <f>("13/09/2025")</f>
        <v>13/09/2025</v>
      </c>
      <c r="J1109" t="str">
        <f>("12/02/2025")</f>
        <v>12/02/2025</v>
      </c>
      <c r="K1109">
        <v>45910</v>
      </c>
      <c r="N1109">
        <v>106</v>
      </c>
      <c r="O1109" t="s">
        <v>51</v>
      </c>
      <c r="Q1109">
        <v>20</v>
      </c>
      <c r="R1109" t="str">
        <f>"ISAEL SANTOS ROSA (642)"</f>
        <v>ISAEL SANTOS ROSA (642)</v>
      </c>
      <c r="S1109" t="s">
        <v>52</v>
      </c>
      <c r="T1109">
        <v>17881</v>
      </c>
      <c r="U1109">
        <v>9283</v>
      </c>
      <c r="V1109" t="s">
        <v>48</v>
      </c>
    </row>
    <row r="1110" spans="1:22">
      <c r="A1110" t="str">
        <f t="shared" si="209"/>
        <v>10/09/2025</v>
      </c>
      <c r="B1110" t="str">
        <f>"SAÍDA"</f>
        <v>SAÍDA</v>
      </c>
      <c r="C1110" t="str">
        <f>"PIX"</f>
        <v>PIX</v>
      </c>
      <c r="D1110" t="str">
        <f>"21204"</f>
        <v>21204</v>
      </c>
      <c r="E1110" t="str">
        <f>"1"</f>
        <v>1</v>
      </c>
      <c r="F1110" t="str">
        <f t="shared" si="202"/>
        <v>COM</v>
      </c>
      <c r="G1110" t="str">
        <f>"IVAN SOUZA SANTOS (101)"</f>
        <v>IVAN SOUZA SANTOS (101)</v>
      </c>
      <c r="H1110" t="str">
        <f>"Serv.Prest. 25/08/2025 a 31/08/2025 - PIX: CPF - CHAVE: 067.393.286-92"</f>
        <v>Serv.Prest. 25/08/2025 a 31/08/2025 - PIX: CPF - CHAVE: 067.393.286-92</v>
      </c>
      <c r="I1110" t="str">
        <f>("11/09/2025")</f>
        <v>11/09/2025</v>
      </c>
      <c r="J1110" t="str">
        <f>("02/09/2025")</f>
        <v>02/09/2025</v>
      </c>
      <c r="K1110" t="str">
        <f>("10/09/2025")</f>
        <v>10/09/2025</v>
      </c>
      <c r="L1110">
        <v>20</v>
      </c>
      <c r="M1110">
        <v>20</v>
      </c>
      <c r="N1110">
        <v>109</v>
      </c>
      <c r="O1110" t="str">
        <f>"PAGAMENTO DE ENTREGADORES"</f>
        <v>PAGAMENTO DE ENTREGADORES</v>
      </c>
      <c r="P1110">
        <v>20</v>
      </c>
      <c r="S1110" t="str">
        <f>"CAIXA MOVIMENTAÇÃO OPERACIONAL (132)"</f>
        <v>CAIXA MOVIMENTAÇÃO OPERACIONAL (132)</v>
      </c>
      <c r="T1110">
        <v>17882</v>
      </c>
      <c r="U1110">
        <v>21814</v>
      </c>
      <c r="V1110" t="s">
        <v>48</v>
      </c>
    </row>
    <row r="1111" spans="1:22">
      <c r="A1111" t="str">
        <f t="shared" si="209"/>
        <v>10/09/2025</v>
      </c>
      <c r="B1111" t="str">
        <f>"SAÍDA"</f>
        <v>SAÍDA</v>
      </c>
      <c r="C1111" t="str">
        <f>"PIX"</f>
        <v>PIX</v>
      </c>
      <c r="D1111" t="str">
        <f>"21204"</f>
        <v>21204</v>
      </c>
      <c r="E1111" t="str">
        <f>"1"</f>
        <v>1</v>
      </c>
      <c r="F1111" t="str">
        <f t="shared" si="202"/>
        <v>COM</v>
      </c>
      <c r="G1111" t="str">
        <f>"IVAN SOUZA SANTOS (101)"</f>
        <v>IVAN SOUZA SANTOS (101)</v>
      </c>
      <c r="H1111" t="s">
        <v>380</v>
      </c>
      <c r="I1111" t="str">
        <f>("11/09/2025")</f>
        <v>11/09/2025</v>
      </c>
      <c r="J1111" t="str">
        <f>("02/09/2025")</f>
        <v>02/09/2025</v>
      </c>
      <c r="K1111">
        <v>45910</v>
      </c>
      <c r="N1111">
        <v>109</v>
      </c>
      <c r="O1111" t="s">
        <v>24</v>
      </c>
      <c r="Q1111">
        <v>20</v>
      </c>
      <c r="R1111" t="str">
        <f>"FARMÁCIA INDIANA LJ 59 (10026)"</f>
        <v>FARMÁCIA INDIANA LJ 59 (10026)</v>
      </c>
      <c r="S1111" t="s">
        <v>48</v>
      </c>
      <c r="T1111">
        <v>17882</v>
      </c>
      <c r="U1111">
        <v>21814</v>
      </c>
      <c r="V1111" t="s">
        <v>48</v>
      </c>
    </row>
    <row r="1112" spans="1:22">
      <c r="A1112" t="str">
        <f t="shared" si="209"/>
        <v>10/09/2025</v>
      </c>
      <c r="B1112" t="str">
        <f>"ENTRADA"</f>
        <v>ENTRADA</v>
      </c>
      <c r="C1112" t="str">
        <f>"DINHEIRO"</f>
        <v>DINHEIRO</v>
      </c>
      <c r="D1112" t="str">
        <f>"09"</f>
        <v>09</v>
      </c>
      <c r="E1112" t="str">
        <f>"33"</f>
        <v>33</v>
      </c>
      <c r="F1112" t="str">
        <f t="shared" si="202"/>
        <v>COM</v>
      </c>
      <c r="G1112" t="str">
        <f>"IVAN SOUZA SANTOS (101)"</f>
        <v>IVAN SOUZA SANTOS (101)</v>
      </c>
      <c r="H1112" t="str">
        <f>"DESCONTO COTA COOPERADO"</f>
        <v>DESCONTO COTA COOPERADO</v>
      </c>
      <c r="I1112" t="str">
        <f>("16/09/2025")</f>
        <v>16/09/2025</v>
      </c>
      <c r="J1112" t="str">
        <f>("16/01/2025")</f>
        <v>16/01/2025</v>
      </c>
      <c r="K1112" t="str">
        <f>("10/09/2025")</f>
        <v>10/09/2025</v>
      </c>
      <c r="L1112">
        <v>20</v>
      </c>
      <c r="M1112">
        <v>20</v>
      </c>
      <c r="N1112">
        <v>106</v>
      </c>
      <c r="O1112" t="str">
        <f>"ENTRADA DE CAPITAL"</f>
        <v>ENTRADA DE CAPITAL</v>
      </c>
      <c r="P1112">
        <v>20</v>
      </c>
      <c r="S1112" t="str">
        <f>"ENTRADA DE CAPITAL (106)"</f>
        <v>ENTRADA DE CAPITAL (106)</v>
      </c>
      <c r="T1112">
        <v>17883</v>
      </c>
      <c r="U1112">
        <v>6523</v>
      </c>
      <c r="V1112" t="s">
        <v>48</v>
      </c>
    </row>
    <row r="1113" spans="1:22">
      <c r="A1113" t="str">
        <f t="shared" si="209"/>
        <v>10/09/2025</v>
      </c>
      <c r="B1113" t="str">
        <f>"ENTRADA"</f>
        <v>ENTRADA</v>
      </c>
      <c r="C1113" t="str">
        <f>"DINHEIRO"</f>
        <v>DINHEIRO</v>
      </c>
      <c r="D1113" t="str">
        <f>"09"</f>
        <v>09</v>
      </c>
      <c r="E1113" t="str">
        <f>"33"</f>
        <v>33</v>
      </c>
      <c r="F1113" t="str">
        <f t="shared" si="202"/>
        <v>COM</v>
      </c>
      <c r="G1113" t="str">
        <f>"IVAN SOUZA SANTOS (101)"</f>
        <v>IVAN SOUZA SANTOS (101)</v>
      </c>
      <c r="H1113" t="s">
        <v>309</v>
      </c>
      <c r="I1113" t="str">
        <f>("16/09/2025")</f>
        <v>16/09/2025</v>
      </c>
      <c r="J1113" t="str">
        <f>("16/01/2025")</f>
        <v>16/01/2025</v>
      </c>
      <c r="K1113">
        <v>45910</v>
      </c>
      <c r="N1113">
        <v>106</v>
      </c>
      <c r="O1113" t="s">
        <v>51</v>
      </c>
      <c r="Q1113">
        <v>20</v>
      </c>
      <c r="R1113" t="str">
        <f>"IVAN SOUZA SANTOS (101)"</f>
        <v>IVAN SOUZA SANTOS (101)</v>
      </c>
      <c r="S1113" t="s">
        <v>52</v>
      </c>
      <c r="T1113">
        <v>17883</v>
      </c>
      <c r="U1113">
        <v>6523</v>
      </c>
      <c r="V1113" t="s">
        <v>48</v>
      </c>
    </row>
    <row r="1114" spans="1:22">
      <c r="A1114" t="str">
        <f t="shared" si="209"/>
        <v>10/09/2025</v>
      </c>
      <c r="B1114" t="str">
        <f>"SAÍDA"</f>
        <v>SAÍDA</v>
      </c>
      <c r="C1114" t="str">
        <f>"PIX"</f>
        <v>PIX</v>
      </c>
      <c r="D1114" t="str">
        <f>"21144"</f>
        <v>21144</v>
      </c>
      <c r="E1114" t="str">
        <f>"1"</f>
        <v>1</v>
      </c>
      <c r="F1114" t="str">
        <f t="shared" si="202"/>
        <v>COM</v>
      </c>
      <c r="G1114" t="str">
        <f>"JALDENIR MENDES DOS SANTOS (167)"</f>
        <v>JALDENIR MENDES DOS SANTOS (167)</v>
      </c>
      <c r="H1114" t="str">
        <f>"Serv.Prest. 25/08/2025 a 31/08/2025 - PIX: CPF - CHAVE: 439.169.103-53"</f>
        <v>Serv.Prest. 25/08/2025 a 31/08/2025 - PIX: CPF - CHAVE: 439.169.103-53</v>
      </c>
      <c r="I1114" t="str">
        <f>("11/09/2025")</f>
        <v>11/09/2025</v>
      </c>
      <c r="J1114" t="str">
        <f>("02/09/2025")</f>
        <v>02/09/2025</v>
      </c>
      <c r="K1114" t="str">
        <f>("10/09/2025")</f>
        <v>10/09/2025</v>
      </c>
      <c r="L1114">
        <v>20</v>
      </c>
      <c r="M1114">
        <v>20</v>
      </c>
      <c r="N1114">
        <v>109</v>
      </c>
      <c r="O1114" t="str">
        <f>"PAGAMENTO DE ENTREGADORES"</f>
        <v>PAGAMENTO DE ENTREGADORES</v>
      </c>
      <c r="P1114">
        <v>20</v>
      </c>
      <c r="S1114" t="str">
        <f>"CAIXA MOVIMENTAÇÃO OPERACIONAL (132)"</f>
        <v>CAIXA MOVIMENTAÇÃO OPERACIONAL (132)</v>
      </c>
      <c r="T1114">
        <v>17884</v>
      </c>
      <c r="U1114">
        <v>21815</v>
      </c>
      <c r="V1114" t="s">
        <v>48</v>
      </c>
    </row>
    <row r="1115" spans="1:22">
      <c r="A1115" t="str">
        <f t="shared" si="209"/>
        <v>10/09/2025</v>
      </c>
      <c r="B1115" t="str">
        <f>"SAÍDA"</f>
        <v>SAÍDA</v>
      </c>
      <c r="C1115" t="str">
        <f>"PIX"</f>
        <v>PIX</v>
      </c>
      <c r="D1115" t="str">
        <f>"21144"</f>
        <v>21144</v>
      </c>
      <c r="E1115" t="str">
        <f>"1"</f>
        <v>1</v>
      </c>
      <c r="F1115" t="str">
        <f t="shared" si="202"/>
        <v>COM</v>
      </c>
      <c r="G1115" t="str">
        <f>"JALDENIR MENDES DOS SANTOS (167)"</f>
        <v>JALDENIR MENDES DOS SANTOS (167)</v>
      </c>
      <c r="H1115" t="s">
        <v>381</v>
      </c>
      <c r="I1115" t="str">
        <f>("11/09/2025")</f>
        <v>11/09/2025</v>
      </c>
      <c r="J1115" t="str">
        <f>("02/09/2025")</f>
        <v>02/09/2025</v>
      </c>
      <c r="K1115">
        <v>45910</v>
      </c>
      <c r="N1115">
        <v>109</v>
      </c>
      <c r="O1115" t="s">
        <v>24</v>
      </c>
      <c r="Q1115">
        <v>20</v>
      </c>
      <c r="R1115" t="str">
        <f>"FARMÁCIA INDIANA LJ 34 (10014)"</f>
        <v>FARMÁCIA INDIANA LJ 34 (10014)</v>
      </c>
      <c r="S1115" t="s">
        <v>48</v>
      </c>
      <c r="T1115">
        <v>17884</v>
      </c>
      <c r="U1115">
        <v>21815</v>
      </c>
      <c r="V1115" t="s">
        <v>48</v>
      </c>
    </row>
    <row r="1116" spans="1:22">
      <c r="A1116" t="str">
        <f t="shared" si="209"/>
        <v>10/09/2025</v>
      </c>
      <c r="B1116" t="str">
        <f>"ENTRADA"</f>
        <v>ENTRADA</v>
      </c>
      <c r="C1116" t="str">
        <f>"DINHEIRO"</f>
        <v>DINHEIRO</v>
      </c>
      <c r="D1116" t="str">
        <f>"11"</f>
        <v>11</v>
      </c>
      <c r="E1116" t="str">
        <f>"33"</f>
        <v>33</v>
      </c>
      <c r="F1116" t="str">
        <f t="shared" ref="F1116:F1179" si="210">"COM"</f>
        <v>COM</v>
      </c>
      <c r="G1116" t="str">
        <f>"JALDENIR MENDES DOS SANTOS (167)"</f>
        <v>JALDENIR MENDES DOS SANTOS (167)</v>
      </c>
      <c r="H1116" t="str">
        <f>"DESCONTO COTA COOPERADO"</f>
        <v>DESCONTO COTA COOPERADO</v>
      </c>
      <c r="I1116" t="str">
        <f>("16/09/2025")</f>
        <v>16/09/2025</v>
      </c>
      <c r="J1116" t="str">
        <f>("16/01/2025")</f>
        <v>16/01/2025</v>
      </c>
      <c r="K1116" t="str">
        <f>("10/09/2025")</f>
        <v>10/09/2025</v>
      </c>
      <c r="L1116">
        <v>20</v>
      </c>
      <c r="M1116">
        <v>20</v>
      </c>
      <c r="N1116">
        <v>106</v>
      </c>
      <c r="O1116" t="str">
        <f>"ENTRADA DE CAPITAL"</f>
        <v>ENTRADA DE CAPITAL</v>
      </c>
      <c r="P1116">
        <v>20</v>
      </c>
      <c r="S1116" t="str">
        <f>"ENTRADA DE CAPITAL (106)"</f>
        <v>ENTRADA DE CAPITAL (106)</v>
      </c>
      <c r="T1116">
        <v>17885</v>
      </c>
      <c r="U1116">
        <v>6541</v>
      </c>
      <c r="V1116" t="s">
        <v>48</v>
      </c>
    </row>
    <row r="1117" spans="1:22">
      <c r="A1117" t="str">
        <f t="shared" si="209"/>
        <v>10/09/2025</v>
      </c>
      <c r="B1117" t="str">
        <f>"ENTRADA"</f>
        <v>ENTRADA</v>
      </c>
      <c r="C1117" t="str">
        <f>"DINHEIRO"</f>
        <v>DINHEIRO</v>
      </c>
      <c r="D1117" t="str">
        <f>"11"</f>
        <v>11</v>
      </c>
      <c r="E1117" t="str">
        <f>"33"</f>
        <v>33</v>
      </c>
      <c r="F1117" t="str">
        <f t="shared" si="210"/>
        <v>COM</v>
      </c>
      <c r="G1117" t="str">
        <f>"JALDENIR MENDES DOS SANTOS (167)"</f>
        <v>JALDENIR MENDES DOS SANTOS (167)</v>
      </c>
      <c r="H1117" t="s">
        <v>309</v>
      </c>
      <c r="I1117" t="str">
        <f>("16/09/2025")</f>
        <v>16/09/2025</v>
      </c>
      <c r="J1117" t="str">
        <f>("16/01/2025")</f>
        <v>16/01/2025</v>
      </c>
      <c r="K1117">
        <v>45910</v>
      </c>
      <c r="N1117">
        <v>106</v>
      </c>
      <c r="O1117" t="s">
        <v>51</v>
      </c>
      <c r="Q1117">
        <v>20</v>
      </c>
      <c r="R1117" t="str">
        <f>"JALDENIR MENDES DOS SANTOS (167)"</f>
        <v>JALDENIR MENDES DOS SANTOS (167)</v>
      </c>
      <c r="S1117" t="s">
        <v>52</v>
      </c>
      <c r="T1117">
        <v>17885</v>
      </c>
      <c r="U1117">
        <v>6541</v>
      </c>
      <c r="V1117" t="s">
        <v>48</v>
      </c>
    </row>
    <row r="1118" spans="1:22">
      <c r="A1118" t="str">
        <f t="shared" si="209"/>
        <v>10/09/2025</v>
      </c>
      <c r="B1118" t="str">
        <f>"ENTRADA"</f>
        <v>ENTRADA</v>
      </c>
      <c r="C1118" t="str">
        <f>"DINHEIRO"</f>
        <v>DINHEIRO</v>
      </c>
      <c r="D1118" t="str">
        <f>"749"</f>
        <v>749</v>
      </c>
      <c r="E1118" t="str">
        <f>"5"</f>
        <v>5</v>
      </c>
      <c r="F1118" t="str">
        <f t="shared" si="210"/>
        <v>COM</v>
      </c>
      <c r="G1118" t="str">
        <f t="shared" ref="G1118:G1123" si="211">"JAMERSON SOUZA LOPES (749)"</f>
        <v>JAMERSON SOUZA LOPES (749)</v>
      </c>
      <c r="H1118" t="str">
        <f>"COTA COOPERATIVA"</f>
        <v>COTA COOPERATIVA</v>
      </c>
      <c r="I1118" t="str">
        <f>("08/09/2025")</f>
        <v>08/09/2025</v>
      </c>
      <c r="J1118" t="str">
        <f>("16/04/2025")</f>
        <v>16/04/2025</v>
      </c>
      <c r="K1118" t="str">
        <f>("10/09/2025")</f>
        <v>10/09/2025</v>
      </c>
      <c r="L1118">
        <v>20</v>
      </c>
      <c r="M1118">
        <v>20</v>
      </c>
      <c r="N1118">
        <v>106</v>
      </c>
      <c r="O1118" t="str">
        <f>"ENTRADA DE CAPITAL"</f>
        <v>ENTRADA DE CAPITAL</v>
      </c>
      <c r="P1118">
        <v>20</v>
      </c>
      <c r="S1118" t="str">
        <f>"ENTRADA DE CAPITAL (106)"</f>
        <v>ENTRADA DE CAPITAL (106)</v>
      </c>
      <c r="T1118">
        <v>17886</v>
      </c>
      <c r="U1118">
        <v>14059</v>
      </c>
      <c r="V1118" t="s">
        <v>48</v>
      </c>
    </row>
    <row r="1119" spans="1:22">
      <c r="A1119" t="str">
        <f t="shared" si="209"/>
        <v>10/09/2025</v>
      </c>
      <c r="B1119" t="str">
        <f>"ENTRADA"</f>
        <v>ENTRADA</v>
      </c>
      <c r="C1119" t="str">
        <f>"DINHEIRO"</f>
        <v>DINHEIRO</v>
      </c>
      <c r="D1119" t="str">
        <f>"749"</f>
        <v>749</v>
      </c>
      <c r="E1119" t="str">
        <f>"5"</f>
        <v>5</v>
      </c>
      <c r="F1119" t="str">
        <f t="shared" si="210"/>
        <v>COM</v>
      </c>
      <c r="G1119" t="str">
        <f t="shared" si="211"/>
        <v>JAMERSON SOUZA LOPES (749)</v>
      </c>
      <c r="H1119" t="s">
        <v>50</v>
      </c>
      <c r="I1119" t="str">
        <f>("08/09/2025")</f>
        <v>08/09/2025</v>
      </c>
      <c r="J1119" t="str">
        <f>("16/04/2025")</f>
        <v>16/04/2025</v>
      </c>
      <c r="K1119">
        <v>45910</v>
      </c>
      <c r="N1119">
        <v>106</v>
      </c>
      <c r="O1119" t="s">
        <v>51</v>
      </c>
      <c r="Q1119">
        <v>20</v>
      </c>
      <c r="R1119" t="str">
        <f>"JAMERSON SOUZA LOPES (749)"</f>
        <v>JAMERSON SOUZA LOPES (749)</v>
      </c>
      <c r="S1119" t="s">
        <v>52</v>
      </c>
      <c r="T1119">
        <v>17886</v>
      </c>
      <c r="U1119">
        <v>14059</v>
      </c>
      <c r="V1119" t="s">
        <v>48</v>
      </c>
    </row>
    <row r="1120" spans="1:22">
      <c r="A1120" t="str">
        <f t="shared" si="209"/>
        <v>10/09/2025</v>
      </c>
      <c r="B1120" t="str">
        <f>"SAÍDA"</f>
        <v>SAÍDA</v>
      </c>
      <c r="C1120" t="str">
        <f>"PIX"</f>
        <v>PIX</v>
      </c>
      <c r="D1120" t="str">
        <f>"21464"</f>
        <v>21464</v>
      </c>
      <c r="E1120" t="str">
        <f>"1"</f>
        <v>1</v>
      </c>
      <c r="F1120" t="str">
        <f t="shared" si="210"/>
        <v>COM</v>
      </c>
      <c r="G1120" t="str">
        <f t="shared" si="211"/>
        <v>JAMERSON SOUZA LOPES (749)</v>
      </c>
      <c r="H1120" t="str">
        <f>"Serv.Prest. 01/09/2025 a 07/09/2025 - PIX: CPF - CHAVE: 423.098.018-36"</f>
        <v>Serv.Prest. 01/09/2025 a 07/09/2025 - PIX: CPF - CHAVE: 423.098.018-36</v>
      </c>
      <c r="I1120" t="str">
        <f t="shared" ref="I1120:I1127" si="212">("11/09/2025")</f>
        <v>11/09/2025</v>
      </c>
      <c r="J1120" t="str">
        <f>("08/09/2025")</f>
        <v>08/09/2025</v>
      </c>
      <c r="K1120" t="str">
        <f>("10/09/2025")</f>
        <v>10/09/2025</v>
      </c>
      <c r="L1120">
        <v>136.65</v>
      </c>
      <c r="M1120">
        <v>136.65</v>
      </c>
      <c r="N1120">
        <v>109</v>
      </c>
      <c r="O1120" t="str">
        <f>"PAGAMENTO DE ENTREGADORES"</f>
        <v>PAGAMENTO DE ENTREGADORES</v>
      </c>
      <c r="P1120">
        <v>136.65</v>
      </c>
      <c r="S1120" t="str">
        <f>"CAIXA MOVIMENTAÇÃO OPERACIONAL (132)"</f>
        <v>CAIXA MOVIMENTAÇÃO OPERACIONAL (132)</v>
      </c>
      <c r="T1120">
        <v>17887</v>
      </c>
      <c r="U1120">
        <v>21816</v>
      </c>
      <c r="V1120" t="s">
        <v>48</v>
      </c>
    </row>
    <row r="1121" spans="1:22">
      <c r="A1121" t="str">
        <f t="shared" si="209"/>
        <v>10/09/2025</v>
      </c>
      <c r="B1121" t="str">
        <f>"SAÍDA"</f>
        <v>SAÍDA</v>
      </c>
      <c r="C1121" t="str">
        <f>"PIX"</f>
        <v>PIX</v>
      </c>
      <c r="D1121" t="str">
        <f>"21464"</f>
        <v>21464</v>
      </c>
      <c r="E1121" t="str">
        <f>"1"</f>
        <v>1</v>
      </c>
      <c r="F1121" t="str">
        <f t="shared" si="210"/>
        <v>COM</v>
      </c>
      <c r="G1121" t="str">
        <f t="shared" si="211"/>
        <v>JAMERSON SOUZA LOPES (749)</v>
      </c>
      <c r="H1121" t="s">
        <v>382</v>
      </c>
      <c r="I1121" t="str">
        <f t="shared" si="212"/>
        <v>11/09/2025</v>
      </c>
      <c r="J1121" t="str">
        <f>("08/09/2025")</f>
        <v>08/09/2025</v>
      </c>
      <c r="K1121">
        <v>45910</v>
      </c>
      <c r="N1121">
        <v>109</v>
      </c>
      <c r="O1121" t="s">
        <v>24</v>
      </c>
      <c r="Q1121">
        <v>136.65</v>
      </c>
      <c r="R1121" t="str">
        <f>"DROGARIA TOTAL JUNDIAI (10177)"</f>
        <v>DROGARIA TOTAL JUNDIAI (10177)</v>
      </c>
      <c r="S1121" t="s">
        <v>48</v>
      </c>
      <c r="T1121">
        <v>17887</v>
      </c>
      <c r="U1121">
        <v>21816</v>
      </c>
      <c r="V1121" t="s">
        <v>48</v>
      </c>
    </row>
    <row r="1122" spans="1:22">
      <c r="A1122" t="str">
        <f t="shared" si="209"/>
        <v>10/09/2025</v>
      </c>
      <c r="B1122" t="str">
        <f>"ENTRADA"</f>
        <v>ENTRADA</v>
      </c>
      <c r="C1122" t="str">
        <f>"DINHEIRO"</f>
        <v>DINHEIRO</v>
      </c>
      <c r="D1122" t="str">
        <f>"1109"</f>
        <v>1109</v>
      </c>
      <c r="E1122" t="str">
        <f>"25"</f>
        <v>25</v>
      </c>
      <c r="F1122" t="str">
        <f t="shared" si="210"/>
        <v>COM</v>
      </c>
      <c r="G1122" t="str">
        <f t="shared" si="211"/>
        <v>JAMERSON SOUZA LOPES (749)</v>
      </c>
      <c r="H1122" t="str">
        <f>"REEMBOLSO ADIANTAMENTO"</f>
        <v>REEMBOLSO ADIANTAMENTO</v>
      </c>
      <c r="I1122" t="str">
        <f t="shared" si="212"/>
        <v>11/09/2025</v>
      </c>
      <c r="J1122" t="str">
        <f>("29/07/2025")</f>
        <v>29/07/2025</v>
      </c>
      <c r="K1122" t="str">
        <f>("10/09/2025")</f>
        <v>10/09/2025</v>
      </c>
      <c r="L1122">
        <v>116.65</v>
      </c>
      <c r="M1122">
        <v>116.65</v>
      </c>
      <c r="N1122">
        <v>129</v>
      </c>
      <c r="O1122" t="str">
        <f>"ENTRADA DE REEMBOLSO ADIANTAMENTO"</f>
        <v>ENTRADA DE REEMBOLSO ADIANTAMENTO</v>
      </c>
      <c r="P1122">
        <v>116.65</v>
      </c>
      <c r="S1122" t="str">
        <f>"ENTRADA DE REEMBOLSO ADIANTAMENTO (129)"</f>
        <v>ENTRADA DE REEMBOLSO ADIANTAMENTO (129)</v>
      </c>
      <c r="T1122">
        <v>17888</v>
      </c>
      <c r="U1122">
        <v>19339</v>
      </c>
      <c r="V1122" t="s">
        <v>48</v>
      </c>
    </row>
    <row r="1123" spans="1:22">
      <c r="A1123" t="str">
        <f t="shared" si="209"/>
        <v>10/09/2025</v>
      </c>
      <c r="B1123" t="str">
        <f>"ENTRADA"</f>
        <v>ENTRADA</v>
      </c>
      <c r="C1123" t="str">
        <f>"DINHEIRO"</f>
        <v>DINHEIRO</v>
      </c>
      <c r="D1123" t="str">
        <f>"1109"</f>
        <v>1109</v>
      </c>
      <c r="E1123" t="str">
        <f>"25"</f>
        <v>25</v>
      </c>
      <c r="F1123" t="str">
        <f t="shared" si="210"/>
        <v>COM</v>
      </c>
      <c r="G1123" t="str">
        <f t="shared" si="211"/>
        <v>JAMERSON SOUZA LOPES (749)</v>
      </c>
      <c r="H1123" t="s">
        <v>57</v>
      </c>
      <c r="I1123" t="str">
        <f t="shared" si="212"/>
        <v>11/09/2025</v>
      </c>
      <c r="J1123" t="str">
        <f>("29/07/2025")</f>
        <v>29/07/2025</v>
      </c>
      <c r="K1123">
        <v>45910</v>
      </c>
      <c r="N1123">
        <v>129</v>
      </c>
      <c r="O1123" t="s">
        <v>58</v>
      </c>
      <c r="Q1123">
        <v>116.65</v>
      </c>
      <c r="R1123" t="str">
        <f>"JAMERSON SOUZA LOPES (749)"</f>
        <v>JAMERSON SOUZA LOPES (749)</v>
      </c>
      <c r="S1123" t="s">
        <v>59</v>
      </c>
      <c r="T1123">
        <v>17888</v>
      </c>
      <c r="U1123">
        <v>19339</v>
      </c>
      <c r="V1123" t="s">
        <v>48</v>
      </c>
    </row>
    <row r="1124" spans="1:22">
      <c r="A1124" t="str">
        <f t="shared" si="209"/>
        <v>10/09/2025</v>
      </c>
      <c r="B1124" t="str">
        <f>"ENTRADA"</f>
        <v>ENTRADA</v>
      </c>
      <c r="C1124" t="str">
        <f>"DINHEIRO"</f>
        <v>DINHEIRO</v>
      </c>
      <c r="D1124" t="str">
        <f>"1109"</f>
        <v>1109</v>
      </c>
      <c r="E1124" t="str">
        <f>"25"</f>
        <v>25</v>
      </c>
      <c r="F1124" t="str">
        <f t="shared" si="210"/>
        <v>COM</v>
      </c>
      <c r="G1124" t="str">
        <f t="shared" ref="G1124:G1129" si="213">"JANDERSON SOUZA ARCANJO (28)"</f>
        <v>JANDERSON SOUZA ARCANJO (28)</v>
      </c>
      <c r="H1124" t="str">
        <f>"REEMBOLSO COMPRA CAMISETA"</f>
        <v>REEMBOLSO COMPRA CAMISETA</v>
      </c>
      <c r="I1124" t="str">
        <f t="shared" si="212"/>
        <v>11/09/2025</v>
      </c>
      <c r="J1124" t="str">
        <f>("11/09/2025")</f>
        <v>11/09/2025</v>
      </c>
      <c r="K1124" t="str">
        <f>("10/09/2025")</f>
        <v>10/09/2025</v>
      </c>
      <c r="L1124">
        <v>57.5</v>
      </c>
      <c r="M1124">
        <v>57.5</v>
      </c>
      <c r="N1124">
        <v>108</v>
      </c>
      <c r="O1124" t="str">
        <f>"RECEITAS COM REEMBOLSOS"</f>
        <v>RECEITAS COM REEMBOLSOS</v>
      </c>
      <c r="P1124">
        <v>57.5</v>
      </c>
      <c r="S1124" t="str">
        <f>"RECEITAS COM REEMBOLSOS (108)"</f>
        <v>RECEITAS COM REEMBOLSOS (108)</v>
      </c>
      <c r="T1124">
        <v>17889</v>
      </c>
      <c r="U1124">
        <v>21028</v>
      </c>
      <c r="V1124" t="s">
        <v>48</v>
      </c>
    </row>
    <row r="1125" spans="1:22">
      <c r="A1125" t="str">
        <f t="shared" si="209"/>
        <v>10/09/2025</v>
      </c>
      <c r="B1125" t="str">
        <f>"ENTRADA"</f>
        <v>ENTRADA</v>
      </c>
      <c r="C1125" t="str">
        <f>"DINHEIRO"</f>
        <v>DINHEIRO</v>
      </c>
      <c r="D1125" t="str">
        <f>"1109"</f>
        <v>1109</v>
      </c>
      <c r="E1125" t="str">
        <f>"25"</f>
        <v>25</v>
      </c>
      <c r="F1125" t="str">
        <f t="shared" si="210"/>
        <v>COM</v>
      </c>
      <c r="G1125" t="str">
        <f t="shared" si="213"/>
        <v>JANDERSON SOUZA ARCANJO (28)</v>
      </c>
      <c r="H1125" t="s">
        <v>53</v>
      </c>
      <c r="I1125" t="str">
        <f t="shared" si="212"/>
        <v>11/09/2025</v>
      </c>
      <c r="J1125" t="str">
        <f>("11/09/2025")</f>
        <v>11/09/2025</v>
      </c>
      <c r="K1125">
        <v>45910</v>
      </c>
      <c r="N1125">
        <v>108</v>
      </c>
      <c r="O1125" t="s">
        <v>54</v>
      </c>
      <c r="Q1125">
        <v>57.5</v>
      </c>
      <c r="R1125" t="str">
        <f>"JANDERSON SOUZA ARCANJO (28)"</f>
        <v>JANDERSON SOUZA ARCANJO (28)</v>
      </c>
      <c r="S1125" t="s">
        <v>55</v>
      </c>
      <c r="T1125">
        <v>17889</v>
      </c>
      <c r="U1125">
        <v>21028</v>
      </c>
      <c r="V1125" t="s">
        <v>48</v>
      </c>
    </row>
    <row r="1126" spans="1:22">
      <c r="A1126" t="str">
        <f t="shared" si="209"/>
        <v>10/09/2025</v>
      </c>
      <c r="B1126" t="str">
        <f>"SAÍDA"</f>
        <v>SAÍDA</v>
      </c>
      <c r="C1126" t="str">
        <f>"PIX"</f>
        <v>PIX</v>
      </c>
      <c r="D1126" t="str">
        <f>"21205"</f>
        <v>21205</v>
      </c>
      <c r="E1126" t="str">
        <f>"1"</f>
        <v>1</v>
      </c>
      <c r="F1126" t="str">
        <f t="shared" si="210"/>
        <v>COM</v>
      </c>
      <c r="G1126" t="str">
        <f t="shared" si="213"/>
        <v>JANDERSON SOUZA ARCANJO (28)</v>
      </c>
      <c r="H1126" t="str">
        <f>"Serv.Prest. 25/08/2025 a 31/08/2025 - PIX: CPF - CHAVE: 121.297.376-33"</f>
        <v>Serv.Prest. 25/08/2025 a 31/08/2025 - PIX: CPF - CHAVE: 121.297.376-33</v>
      </c>
      <c r="I1126" t="str">
        <f t="shared" si="212"/>
        <v>11/09/2025</v>
      </c>
      <c r="J1126" t="str">
        <f>("02/09/2025")</f>
        <v>02/09/2025</v>
      </c>
      <c r="K1126" t="str">
        <f>("10/09/2025")</f>
        <v>10/09/2025</v>
      </c>
      <c r="L1126">
        <v>77.5</v>
      </c>
      <c r="M1126">
        <v>77.5</v>
      </c>
      <c r="N1126">
        <v>109</v>
      </c>
      <c r="O1126" t="str">
        <f>"PAGAMENTO DE ENTREGADORES"</f>
        <v>PAGAMENTO DE ENTREGADORES</v>
      </c>
      <c r="P1126">
        <v>77.5</v>
      </c>
      <c r="S1126" t="str">
        <f>"CAIXA MOVIMENTAÇÃO OPERACIONAL (132)"</f>
        <v>CAIXA MOVIMENTAÇÃO OPERACIONAL (132)</v>
      </c>
      <c r="T1126">
        <v>17890</v>
      </c>
      <c r="U1126">
        <v>21817</v>
      </c>
      <c r="V1126" t="s">
        <v>48</v>
      </c>
    </row>
    <row r="1127" spans="1:22">
      <c r="A1127" t="str">
        <f t="shared" si="209"/>
        <v>10/09/2025</v>
      </c>
      <c r="B1127" t="str">
        <f>"SAÍDA"</f>
        <v>SAÍDA</v>
      </c>
      <c r="C1127" t="str">
        <f>"PIX"</f>
        <v>PIX</v>
      </c>
      <c r="D1127" t="str">
        <f>"21205"</f>
        <v>21205</v>
      </c>
      <c r="E1127" t="str">
        <f>"1"</f>
        <v>1</v>
      </c>
      <c r="F1127" t="str">
        <f t="shared" si="210"/>
        <v>COM</v>
      </c>
      <c r="G1127" t="str">
        <f t="shared" si="213"/>
        <v>JANDERSON SOUZA ARCANJO (28)</v>
      </c>
      <c r="H1127" t="s">
        <v>383</v>
      </c>
      <c r="I1127" t="str">
        <f t="shared" si="212"/>
        <v>11/09/2025</v>
      </c>
      <c r="J1127" t="str">
        <f>("02/09/2025")</f>
        <v>02/09/2025</v>
      </c>
      <c r="K1127">
        <v>45910</v>
      </c>
      <c r="N1127">
        <v>109</v>
      </c>
      <c r="O1127" t="s">
        <v>24</v>
      </c>
      <c r="Q1127">
        <v>77.5</v>
      </c>
      <c r="R1127" t="str">
        <f>"FARMÁCIA INDIANA LJ 40 (10016)"</f>
        <v>FARMÁCIA INDIANA LJ 40 (10016)</v>
      </c>
      <c r="S1127" t="s">
        <v>48</v>
      </c>
      <c r="T1127">
        <v>17890</v>
      </c>
      <c r="U1127">
        <v>21817</v>
      </c>
      <c r="V1127" t="s">
        <v>48</v>
      </c>
    </row>
    <row r="1128" spans="1:22">
      <c r="A1128" t="str">
        <f t="shared" si="209"/>
        <v>10/09/2025</v>
      </c>
      <c r="B1128" t="str">
        <f>"ENTRADA"</f>
        <v>ENTRADA</v>
      </c>
      <c r="C1128" t="str">
        <f>"DINHEIRO"</f>
        <v>DINHEIRO</v>
      </c>
      <c r="D1128" t="str">
        <f>"13"</f>
        <v>13</v>
      </c>
      <c r="E1128" t="str">
        <f>"33"</f>
        <v>33</v>
      </c>
      <c r="F1128" t="str">
        <f t="shared" si="210"/>
        <v>COM</v>
      </c>
      <c r="G1128" t="str">
        <f t="shared" si="213"/>
        <v>JANDERSON SOUZA ARCANJO (28)</v>
      </c>
      <c r="H1128" t="str">
        <f>"DESCONTO COTA COOPERADO"</f>
        <v>DESCONTO COTA COOPERADO</v>
      </c>
      <c r="I1128" t="str">
        <f>("16/09/2025")</f>
        <v>16/09/2025</v>
      </c>
      <c r="J1128" t="str">
        <f>("16/01/2025")</f>
        <v>16/01/2025</v>
      </c>
      <c r="K1128" t="str">
        <f>("10/09/2025")</f>
        <v>10/09/2025</v>
      </c>
      <c r="L1128">
        <v>20</v>
      </c>
      <c r="M1128">
        <v>20</v>
      </c>
      <c r="N1128">
        <v>106</v>
      </c>
      <c r="O1128" t="str">
        <f>"ENTRADA DE CAPITAL"</f>
        <v>ENTRADA DE CAPITAL</v>
      </c>
      <c r="P1128">
        <v>20</v>
      </c>
      <c r="S1128" t="str">
        <f>"ENTRADA DE CAPITAL (106)"</f>
        <v>ENTRADA DE CAPITAL (106)</v>
      </c>
      <c r="T1128">
        <v>17891</v>
      </c>
      <c r="U1128">
        <v>6557</v>
      </c>
      <c r="V1128" t="s">
        <v>48</v>
      </c>
    </row>
    <row r="1129" spans="1:22">
      <c r="A1129" t="str">
        <f t="shared" si="209"/>
        <v>10/09/2025</v>
      </c>
      <c r="B1129" t="str">
        <f>"ENTRADA"</f>
        <v>ENTRADA</v>
      </c>
      <c r="C1129" t="str">
        <f>"DINHEIRO"</f>
        <v>DINHEIRO</v>
      </c>
      <c r="D1129" t="str">
        <f>"13"</f>
        <v>13</v>
      </c>
      <c r="E1129" t="str">
        <f>"33"</f>
        <v>33</v>
      </c>
      <c r="F1129" t="str">
        <f t="shared" si="210"/>
        <v>COM</v>
      </c>
      <c r="G1129" t="str">
        <f t="shared" si="213"/>
        <v>JANDERSON SOUZA ARCANJO (28)</v>
      </c>
      <c r="H1129" t="s">
        <v>309</v>
      </c>
      <c r="I1129" t="str">
        <f>("16/09/2025")</f>
        <v>16/09/2025</v>
      </c>
      <c r="J1129" t="str">
        <f>("16/01/2025")</f>
        <v>16/01/2025</v>
      </c>
      <c r="K1129">
        <v>45910</v>
      </c>
      <c r="N1129">
        <v>106</v>
      </c>
      <c r="O1129" t="s">
        <v>51</v>
      </c>
      <c r="Q1129">
        <v>20</v>
      </c>
      <c r="R1129" t="str">
        <f>"JANDERSON SOUZA ARCANJO (28)"</f>
        <v>JANDERSON SOUZA ARCANJO (28)</v>
      </c>
      <c r="S1129" t="s">
        <v>52</v>
      </c>
      <c r="T1129">
        <v>17891</v>
      </c>
      <c r="U1129">
        <v>6557</v>
      </c>
      <c r="V1129" t="s">
        <v>48</v>
      </c>
    </row>
    <row r="1130" spans="1:22">
      <c r="A1130" t="str">
        <f t="shared" si="209"/>
        <v>10/09/2025</v>
      </c>
      <c r="B1130" t="str">
        <f>"SAÍDA"</f>
        <v>SAÍDA</v>
      </c>
      <c r="C1130" t="str">
        <f>"PIX"</f>
        <v>PIX</v>
      </c>
      <c r="D1130" t="str">
        <f>"21145"</f>
        <v>21145</v>
      </c>
      <c r="E1130" t="str">
        <f>"1"</f>
        <v>1</v>
      </c>
      <c r="F1130" t="str">
        <f t="shared" si="210"/>
        <v>COM</v>
      </c>
      <c r="G1130" t="str">
        <f>"JARLES DE SOUZA PEREIRA (109)"</f>
        <v>JARLES DE SOUZA PEREIRA (109)</v>
      </c>
      <c r="H1130" t="str">
        <f>"Serv.Prest. 25/08/2025 a 31/08/2025 - PIX: CELULAR - CHAVE: (73) 99115-9602"</f>
        <v>Serv.Prest. 25/08/2025 a 31/08/2025 - PIX: CELULAR - CHAVE: (73) 99115-9602</v>
      </c>
      <c r="I1130" t="str">
        <f>("11/09/2025")</f>
        <v>11/09/2025</v>
      </c>
      <c r="J1130" t="str">
        <f>("02/09/2025")</f>
        <v>02/09/2025</v>
      </c>
      <c r="K1130" t="str">
        <f>("10/09/2025")</f>
        <v>10/09/2025</v>
      </c>
      <c r="L1130">
        <v>20</v>
      </c>
      <c r="M1130">
        <v>20</v>
      </c>
      <c r="N1130">
        <v>109</v>
      </c>
      <c r="O1130" t="str">
        <f>"PAGAMENTO DE ENTREGADORES"</f>
        <v>PAGAMENTO DE ENTREGADORES</v>
      </c>
      <c r="P1130">
        <v>20</v>
      </c>
      <c r="S1130" t="str">
        <f>"CAIXA MOVIMENTAÇÃO OPERACIONAL (132)"</f>
        <v>CAIXA MOVIMENTAÇÃO OPERACIONAL (132)</v>
      </c>
      <c r="T1130">
        <v>17892</v>
      </c>
      <c r="U1130">
        <v>21818</v>
      </c>
      <c r="V1130" t="s">
        <v>48</v>
      </c>
    </row>
    <row r="1131" spans="1:22">
      <c r="A1131" t="str">
        <f t="shared" si="209"/>
        <v>10/09/2025</v>
      </c>
      <c r="B1131" t="str">
        <f>"SAÍDA"</f>
        <v>SAÍDA</v>
      </c>
      <c r="C1131" t="str">
        <f>"PIX"</f>
        <v>PIX</v>
      </c>
      <c r="D1131" t="str">
        <f>"21145"</f>
        <v>21145</v>
      </c>
      <c r="E1131" t="str">
        <f>"1"</f>
        <v>1</v>
      </c>
      <c r="F1131" t="str">
        <f t="shared" si="210"/>
        <v>COM</v>
      </c>
      <c r="G1131" t="str">
        <f>"JARLES DE SOUZA PEREIRA (109)"</f>
        <v>JARLES DE SOUZA PEREIRA (109)</v>
      </c>
      <c r="H1131" t="s">
        <v>255</v>
      </c>
      <c r="I1131" t="str">
        <f>("11/09/2025")</f>
        <v>11/09/2025</v>
      </c>
      <c r="J1131" t="str">
        <f>("02/09/2025")</f>
        <v>02/09/2025</v>
      </c>
      <c r="K1131">
        <v>45910</v>
      </c>
      <c r="N1131">
        <v>109</v>
      </c>
      <c r="O1131" t="s">
        <v>24</v>
      </c>
      <c r="Q1131">
        <v>15.24</v>
      </c>
      <c r="R1131" t="str">
        <f>"FARMÁCIA INDIANA LJ 65 (10030)"</f>
        <v>FARMÁCIA INDIANA LJ 65 (10030)</v>
      </c>
      <c r="S1131" t="s">
        <v>48</v>
      </c>
      <c r="T1131">
        <v>17892</v>
      </c>
      <c r="U1131">
        <v>21818</v>
      </c>
      <c r="V1131" t="s">
        <v>48</v>
      </c>
    </row>
    <row r="1132" spans="1:22">
      <c r="A1132" t="str">
        <f t="shared" si="209"/>
        <v>10/09/2025</v>
      </c>
      <c r="B1132" t="str">
        <f>"SAÍDA"</f>
        <v>SAÍDA</v>
      </c>
      <c r="C1132" t="str">
        <f>"PIX"</f>
        <v>PIX</v>
      </c>
      <c r="D1132" t="str">
        <f>"21145"</f>
        <v>21145</v>
      </c>
      <c r="E1132" t="str">
        <f>"1"</f>
        <v>1</v>
      </c>
      <c r="F1132" t="str">
        <f t="shared" si="210"/>
        <v>COM</v>
      </c>
      <c r="G1132" t="str">
        <f>"JARLES DE SOUZA PEREIRA (109)"</f>
        <v>JARLES DE SOUZA PEREIRA (109)</v>
      </c>
      <c r="H1132" t="s">
        <v>255</v>
      </c>
      <c r="I1132" t="str">
        <f>("11/09/2025")</f>
        <v>11/09/2025</v>
      </c>
      <c r="J1132" t="str">
        <f>("02/09/2025")</f>
        <v>02/09/2025</v>
      </c>
      <c r="K1132">
        <v>45910</v>
      </c>
      <c r="N1132">
        <v>109</v>
      </c>
      <c r="O1132" t="s">
        <v>24</v>
      </c>
      <c r="Q1132">
        <v>4.76</v>
      </c>
      <c r="R1132" t="str">
        <f>"FARMÁCIA INDIANA LJ 173 (10075)"</f>
        <v>FARMÁCIA INDIANA LJ 173 (10075)</v>
      </c>
      <c r="S1132" t="s">
        <v>48</v>
      </c>
      <c r="T1132">
        <v>17892</v>
      </c>
      <c r="U1132">
        <v>21818</v>
      </c>
      <c r="V1132" t="s">
        <v>48</v>
      </c>
    </row>
    <row r="1133" spans="1:22">
      <c r="A1133" t="str">
        <f t="shared" si="209"/>
        <v>10/09/2025</v>
      </c>
      <c r="B1133" t="str">
        <f>"ENTRADA"</f>
        <v>ENTRADA</v>
      </c>
      <c r="C1133" t="str">
        <f>"DINHEIRO"</f>
        <v>DINHEIRO</v>
      </c>
      <c r="D1133" t="str">
        <f>"16"</f>
        <v>16</v>
      </c>
      <c r="E1133" t="str">
        <f>"33"</f>
        <v>33</v>
      </c>
      <c r="F1133" t="str">
        <f t="shared" si="210"/>
        <v>COM</v>
      </c>
      <c r="G1133" t="str">
        <f>"JARLES DE SOUZA PEREIRA (109)"</f>
        <v>JARLES DE SOUZA PEREIRA (109)</v>
      </c>
      <c r="H1133" t="str">
        <f>"DESCONTO COTA COOPERADO"</f>
        <v>DESCONTO COTA COOPERADO</v>
      </c>
      <c r="I1133" t="str">
        <f>("16/09/2025")</f>
        <v>16/09/2025</v>
      </c>
      <c r="J1133" t="str">
        <f>("16/01/2025")</f>
        <v>16/01/2025</v>
      </c>
      <c r="K1133" t="str">
        <f>("10/09/2025")</f>
        <v>10/09/2025</v>
      </c>
      <c r="L1133">
        <v>20</v>
      </c>
      <c r="M1133">
        <v>20</v>
      </c>
      <c r="N1133">
        <v>106</v>
      </c>
      <c r="O1133" t="str">
        <f>"ENTRADA DE CAPITAL"</f>
        <v>ENTRADA DE CAPITAL</v>
      </c>
      <c r="P1133">
        <v>20</v>
      </c>
      <c r="S1133" t="str">
        <f>"ENTRADA DE CAPITAL (106)"</f>
        <v>ENTRADA DE CAPITAL (106)</v>
      </c>
      <c r="T1133">
        <v>17893</v>
      </c>
      <c r="U1133">
        <v>6570</v>
      </c>
      <c r="V1133" t="s">
        <v>48</v>
      </c>
    </row>
    <row r="1134" spans="1:22">
      <c r="A1134" t="str">
        <f t="shared" si="209"/>
        <v>10/09/2025</v>
      </c>
      <c r="B1134" t="str">
        <f>"ENTRADA"</f>
        <v>ENTRADA</v>
      </c>
      <c r="C1134" t="str">
        <f>"DINHEIRO"</f>
        <v>DINHEIRO</v>
      </c>
      <c r="D1134" t="str">
        <f>"16"</f>
        <v>16</v>
      </c>
      <c r="E1134" t="str">
        <f>"33"</f>
        <v>33</v>
      </c>
      <c r="F1134" t="str">
        <f t="shared" si="210"/>
        <v>COM</v>
      </c>
      <c r="G1134" t="str">
        <f>"JARLES DE SOUZA PEREIRA (109)"</f>
        <v>JARLES DE SOUZA PEREIRA (109)</v>
      </c>
      <c r="H1134" t="s">
        <v>309</v>
      </c>
      <c r="I1134" t="str">
        <f>("16/09/2025")</f>
        <v>16/09/2025</v>
      </c>
      <c r="J1134" t="str">
        <f>("16/01/2025")</f>
        <v>16/01/2025</v>
      </c>
      <c r="K1134">
        <v>45910</v>
      </c>
      <c r="N1134">
        <v>106</v>
      </c>
      <c r="O1134" t="s">
        <v>51</v>
      </c>
      <c r="Q1134">
        <v>20</v>
      </c>
      <c r="R1134" t="str">
        <f>"JARLES DE SOUZA PEREIRA (109)"</f>
        <v>JARLES DE SOUZA PEREIRA (109)</v>
      </c>
      <c r="S1134" t="s">
        <v>52</v>
      </c>
      <c r="T1134">
        <v>17893</v>
      </c>
      <c r="U1134">
        <v>6570</v>
      </c>
      <c r="V1134" t="s">
        <v>48</v>
      </c>
    </row>
    <row r="1135" spans="1:22">
      <c r="A1135" t="str">
        <f t="shared" si="209"/>
        <v>10/09/2025</v>
      </c>
      <c r="B1135" t="str">
        <f>"SAÍDA"</f>
        <v>SAÍDA</v>
      </c>
      <c r="C1135" t="str">
        <f>"PIX"</f>
        <v>PIX</v>
      </c>
      <c r="D1135" t="str">
        <f>"21166"</f>
        <v>21166</v>
      </c>
      <c r="E1135" t="str">
        <f>"1"</f>
        <v>1</v>
      </c>
      <c r="F1135" t="str">
        <f t="shared" si="210"/>
        <v>COM</v>
      </c>
      <c r="G1135" t="str">
        <f>"JEAN CHARLES BATISTA FILHO (206)"</f>
        <v>JEAN CHARLES BATISTA FILHO (206)</v>
      </c>
      <c r="H1135" t="str">
        <f>"Serv.Prest. 25/08/2025 a 31/08/2025 - PIX: CELULAR - CHAVE: (27) 99616-4468"</f>
        <v>Serv.Prest. 25/08/2025 a 31/08/2025 - PIX: CELULAR - CHAVE: (27) 99616-4468</v>
      </c>
      <c r="I1135" t="str">
        <f>("11/09/2025")</f>
        <v>11/09/2025</v>
      </c>
      <c r="J1135" t="str">
        <f>("02/09/2025")</f>
        <v>02/09/2025</v>
      </c>
      <c r="K1135" t="str">
        <f>("10/09/2025")</f>
        <v>10/09/2025</v>
      </c>
      <c r="L1135">
        <v>20</v>
      </c>
      <c r="M1135">
        <v>20</v>
      </c>
      <c r="N1135">
        <v>109</v>
      </c>
      <c r="O1135" t="str">
        <f>"PAGAMENTO DE ENTREGADORES"</f>
        <v>PAGAMENTO DE ENTREGADORES</v>
      </c>
      <c r="P1135">
        <v>20</v>
      </c>
      <c r="S1135" t="str">
        <f>"CAIXA MOVIMENTAÇÃO OPERACIONAL (132)"</f>
        <v>CAIXA MOVIMENTAÇÃO OPERACIONAL (132)</v>
      </c>
      <c r="T1135">
        <v>17894</v>
      </c>
      <c r="U1135">
        <v>21819</v>
      </c>
      <c r="V1135" t="s">
        <v>48</v>
      </c>
    </row>
    <row r="1136" spans="1:22">
      <c r="A1136" t="str">
        <f t="shared" si="209"/>
        <v>10/09/2025</v>
      </c>
      <c r="B1136" t="str">
        <f>"SAÍDA"</f>
        <v>SAÍDA</v>
      </c>
      <c r="C1136" t="str">
        <f>"PIX"</f>
        <v>PIX</v>
      </c>
      <c r="D1136" t="str">
        <f>"21166"</f>
        <v>21166</v>
      </c>
      <c r="E1136" t="str">
        <f>"1"</f>
        <v>1</v>
      </c>
      <c r="F1136" t="str">
        <f t="shared" si="210"/>
        <v>COM</v>
      </c>
      <c r="G1136" t="str">
        <f>"JEAN CHARLES BATISTA FILHO (206)"</f>
        <v>JEAN CHARLES BATISTA FILHO (206)</v>
      </c>
      <c r="H1136" t="s">
        <v>384</v>
      </c>
      <c r="I1136" t="str">
        <f>("11/09/2025")</f>
        <v>11/09/2025</v>
      </c>
      <c r="J1136" t="str">
        <f>("02/09/2025")</f>
        <v>02/09/2025</v>
      </c>
      <c r="K1136">
        <v>45910</v>
      </c>
      <c r="N1136">
        <v>109</v>
      </c>
      <c r="O1136" t="s">
        <v>24</v>
      </c>
      <c r="Q1136">
        <v>20</v>
      </c>
      <c r="R1136" t="str">
        <f>"FARMÁCIA INDIANA LJ 163 (10072)"</f>
        <v>FARMÁCIA INDIANA LJ 163 (10072)</v>
      </c>
      <c r="S1136" t="s">
        <v>48</v>
      </c>
      <c r="T1136">
        <v>17894</v>
      </c>
      <c r="U1136">
        <v>21819</v>
      </c>
      <c r="V1136" t="s">
        <v>48</v>
      </c>
    </row>
    <row r="1137" spans="1:22">
      <c r="A1137" t="str">
        <f t="shared" si="209"/>
        <v>10/09/2025</v>
      </c>
      <c r="B1137" t="str">
        <f>"ENTRADA"</f>
        <v>ENTRADA</v>
      </c>
      <c r="C1137" t="str">
        <f>"DINHEIRO"</f>
        <v>DINHEIRO</v>
      </c>
      <c r="D1137" t="str">
        <f>"10"</f>
        <v>10</v>
      </c>
      <c r="E1137" t="str">
        <f>"33"</f>
        <v>33</v>
      </c>
      <c r="F1137" t="str">
        <f t="shared" si="210"/>
        <v>COM</v>
      </c>
      <c r="G1137" t="str">
        <f>"JEAN CHARLES BATISTA FILHO (206)"</f>
        <v>JEAN CHARLES BATISTA FILHO (206)</v>
      </c>
      <c r="H1137" t="str">
        <f>"DESCONTO COTA COOPERADO"</f>
        <v>DESCONTO COTA COOPERADO</v>
      </c>
      <c r="I1137" t="str">
        <f>("16/09/2025")</f>
        <v>16/09/2025</v>
      </c>
      <c r="J1137" t="str">
        <f>("16/01/2025")</f>
        <v>16/01/2025</v>
      </c>
      <c r="K1137" t="str">
        <f>("10/09/2025")</f>
        <v>10/09/2025</v>
      </c>
      <c r="L1137">
        <v>20</v>
      </c>
      <c r="M1137">
        <v>20</v>
      </c>
      <c r="N1137">
        <v>106</v>
      </c>
      <c r="O1137" t="str">
        <f>"ENTRADA DE CAPITAL"</f>
        <v>ENTRADA DE CAPITAL</v>
      </c>
      <c r="P1137">
        <v>20</v>
      </c>
      <c r="S1137" t="str">
        <f>"ENTRADA DE CAPITAL (106)"</f>
        <v>ENTRADA DE CAPITAL (106)</v>
      </c>
      <c r="T1137">
        <v>17895</v>
      </c>
      <c r="U1137">
        <v>6606</v>
      </c>
      <c r="V1137" t="s">
        <v>48</v>
      </c>
    </row>
    <row r="1138" spans="1:22">
      <c r="A1138" t="str">
        <f t="shared" si="209"/>
        <v>10/09/2025</v>
      </c>
      <c r="B1138" t="str">
        <f>"ENTRADA"</f>
        <v>ENTRADA</v>
      </c>
      <c r="C1138" t="str">
        <f>"DINHEIRO"</f>
        <v>DINHEIRO</v>
      </c>
      <c r="D1138" t="str">
        <f>"10"</f>
        <v>10</v>
      </c>
      <c r="E1138" t="str">
        <f>"33"</f>
        <v>33</v>
      </c>
      <c r="F1138" t="str">
        <f t="shared" si="210"/>
        <v>COM</v>
      </c>
      <c r="G1138" t="str">
        <f>"JEAN CHARLES BATISTA FILHO (206)"</f>
        <v>JEAN CHARLES BATISTA FILHO (206)</v>
      </c>
      <c r="H1138" t="s">
        <v>309</v>
      </c>
      <c r="I1138" t="str">
        <f>("16/09/2025")</f>
        <v>16/09/2025</v>
      </c>
      <c r="J1138" t="str">
        <f>("16/01/2025")</f>
        <v>16/01/2025</v>
      </c>
      <c r="K1138">
        <v>45910</v>
      </c>
      <c r="N1138">
        <v>106</v>
      </c>
      <c r="O1138" t="s">
        <v>51</v>
      </c>
      <c r="Q1138">
        <v>20</v>
      </c>
      <c r="R1138" t="str">
        <f>"JEAN CHARLES BATISTA FILHO (206)"</f>
        <v>JEAN CHARLES BATISTA FILHO (206)</v>
      </c>
      <c r="S1138" t="s">
        <v>52</v>
      </c>
      <c r="T1138">
        <v>17895</v>
      </c>
      <c r="U1138">
        <v>6606</v>
      </c>
      <c r="V1138" t="s">
        <v>48</v>
      </c>
    </row>
    <row r="1139" spans="1:22">
      <c r="A1139" t="str">
        <f t="shared" si="209"/>
        <v>10/09/2025</v>
      </c>
      <c r="B1139" t="str">
        <f>"SAÍDA"</f>
        <v>SAÍDA</v>
      </c>
      <c r="C1139" t="str">
        <f>"PIX"</f>
        <v>PIX</v>
      </c>
      <c r="D1139" t="str">
        <f>"21207"</f>
        <v>21207</v>
      </c>
      <c r="E1139" t="str">
        <f>"1"</f>
        <v>1</v>
      </c>
      <c r="F1139" t="str">
        <f t="shared" si="210"/>
        <v>COM</v>
      </c>
      <c r="G1139" t="str">
        <f>"JEFERSON ARAÚJO SANTOS GERMANO (180)"</f>
        <v>JEFERSON ARAÚJO SANTOS GERMANO (180)</v>
      </c>
      <c r="H1139" t="str">
        <f>"Serv.Prest. 25/08/2025 a 31/08/2025 - PIX: CPF - CHAVE: 023.645.626-19"</f>
        <v>Serv.Prest. 25/08/2025 a 31/08/2025 - PIX: CPF - CHAVE: 023.645.626-19</v>
      </c>
      <c r="I1139" t="str">
        <f>("11/09/2025")</f>
        <v>11/09/2025</v>
      </c>
      <c r="J1139" t="str">
        <f>("02/09/2025")</f>
        <v>02/09/2025</v>
      </c>
      <c r="K1139" t="str">
        <f>("10/09/2025")</f>
        <v>10/09/2025</v>
      </c>
      <c r="L1139">
        <v>20</v>
      </c>
      <c r="M1139">
        <v>20</v>
      </c>
      <c r="N1139">
        <v>109</v>
      </c>
      <c r="O1139" t="str">
        <f>"PAGAMENTO DE ENTREGADORES"</f>
        <v>PAGAMENTO DE ENTREGADORES</v>
      </c>
      <c r="P1139">
        <v>20</v>
      </c>
      <c r="S1139" t="str">
        <f>"CAIXA MOVIMENTAÇÃO OPERACIONAL (132)"</f>
        <v>CAIXA MOVIMENTAÇÃO OPERACIONAL (132)</v>
      </c>
      <c r="T1139">
        <v>17896</v>
      </c>
      <c r="U1139">
        <v>21820</v>
      </c>
      <c r="V1139" t="s">
        <v>48</v>
      </c>
    </row>
    <row r="1140" spans="1:22">
      <c r="A1140" t="str">
        <f t="shared" si="209"/>
        <v>10/09/2025</v>
      </c>
      <c r="B1140" t="str">
        <f>"SAÍDA"</f>
        <v>SAÍDA</v>
      </c>
      <c r="C1140" t="str">
        <f>"PIX"</f>
        <v>PIX</v>
      </c>
      <c r="D1140" t="str">
        <f>"21207"</f>
        <v>21207</v>
      </c>
      <c r="E1140" t="str">
        <f>"1"</f>
        <v>1</v>
      </c>
      <c r="F1140" t="str">
        <f t="shared" si="210"/>
        <v>COM</v>
      </c>
      <c r="G1140" t="str">
        <f>"JEFERSON ARAÚJO SANTOS GERMANO (180)"</f>
        <v>JEFERSON ARAÚJO SANTOS GERMANO (180)</v>
      </c>
      <c r="H1140" t="s">
        <v>385</v>
      </c>
      <c r="I1140" t="str">
        <f>("11/09/2025")</f>
        <v>11/09/2025</v>
      </c>
      <c r="J1140" t="str">
        <f>("02/09/2025")</f>
        <v>02/09/2025</v>
      </c>
      <c r="K1140">
        <v>45910</v>
      </c>
      <c r="N1140">
        <v>109</v>
      </c>
      <c r="O1140" t="s">
        <v>24</v>
      </c>
      <c r="Q1140">
        <v>20</v>
      </c>
      <c r="R1140" t="str">
        <f>"FARMÁCIA INDIANA LJ 142 (10066)"</f>
        <v>FARMÁCIA INDIANA LJ 142 (10066)</v>
      </c>
      <c r="S1140" t="s">
        <v>48</v>
      </c>
      <c r="T1140">
        <v>17896</v>
      </c>
      <c r="U1140">
        <v>21820</v>
      </c>
      <c r="V1140" t="s">
        <v>48</v>
      </c>
    </row>
    <row r="1141" spans="1:22">
      <c r="A1141" t="str">
        <f t="shared" si="209"/>
        <v>10/09/2025</v>
      </c>
      <c r="B1141" t="str">
        <f>"ENTRADA"</f>
        <v>ENTRADA</v>
      </c>
      <c r="C1141" t="str">
        <f>"DINHEIRO"</f>
        <v>DINHEIRO</v>
      </c>
      <c r="D1141" t="str">
        <f>"09"</f>
        <v>09</v>
      </c>
      <c r="E1141" t="str">
        <f>"33"</f>
        <v>33</v>
      </c>
      <c r="F1141" t="str">
        <f t="shared" si="210"/>
        <v>COM</v>
      </c>
      <c r="G1141" t="str">
        <f>"JEFERSON ARAÚJO SANTOS GERMANO (180)"</f>
        <v>JEFERSON ARAÚJO SANTOS GERMANO (180)</v>
      </c>
      <c r="H1141" t="str">
        <f>"DESCONTO COTA COOPERADO"</f>
        <v>DESCONTO COTA COOPERADO</v>
      </c>
      <c r="I1141" t="str">
        <f>("16/09/2025")</f>
        <v>16/09/2025</v>
      </c>
      <c r="J1141" t="str">
        <f>("16/01/2025")</f>
        <v>16/01/2025</v>
      </c>
      <c r="K1141" t="str">
        <f>("10/09/2025")</f>
        <v>10/09/2025</v>
      </c>
      <c r="L1141">
        <v>20</v>
      </c>
      <c r="M1141">
        <v>20</v>
      </c>
      <c r="N1141">
        <v>106</v>
      </c>
      <c r="O1141" t="str">
        <f>"ENTRADA DE CAPITAL"</f>
        <v>ENTRADA DE CAPITAL</v>
      </c>
      <c r="P1141">
        <v>20</v>
      </c>
      <c r="S1141" t="str">
        <f>"ENTRADA DE CAPITAL (106)"</f>
        <v>ENTRADA DE CAPITAL (106)</v>
      </c>
      <c r="T1141">
        <v>17897</v>
      </c>
      <c r="U1141">
        <v>6641</v>
      </c>
      <c r="V1141" t="s">
        <v>48</v>
      </c>
    </row>
    <row r="1142" spans="1:22">
      <c r="A1142" t="str">
        <f t="shared" ref="A1142:A1205" si="214">("10/09/2025")</f>
        <v>10/09/2025</v>
      </c>
      <c r="B1142" t="str">
        <f>"ENTRADA"</f>
        <v>ENTRADA</v>
      </c>
      <c r="C1142" t="str">
        <f>"DINHEIRO"</f>
        <v>DINHEIRO</v>
      </c>
      <c r="D1142" t="str">
        <f>"09"</f>
        <v>09</v>
      </c>
      <c r="E1142" t="str">
        <f>"33"</f>
        <v>33</v>
      </c>
      <c r="F1142" t="str">
        <f t="shared" si="210"/>
        <v>COM</v>
      </c>
      <c r="G1142" t="str">
        <f>"JEFERSON ARAÚJO SANTOS GERMANO (180)"</f>
        <v>JEFERSON ARAÚJO SANTOS GERMANO (180)</v>
      </c>
      <c r="H1142" t="s">
        <v>309</v>
      </c>
      <c r="I1142" t="str">
        <f>("16/09/2025")</f>
        <v>16/09/2025</v>
      </c>
      <c r="J1142" t="str">
        <f>("16/01/2025")</f>
        <v>16/01/2025</v>
      </c>
      <c r="K1142">
        <v>45910</v>
      </c>
      <c r="N1142">
        <v>106</v>
      </c>
      <c r="O1142" t="s">
        <v>51</v>
      </c>
      <c r="Q1142">
        <v>20</v>
      </c>
      <c r="R1142" t="str">
        <f>"JEFERSON ARAÚJO SANTOS GERMANO (180)"</f>
        <v>JEFERSON ARAÚJO SANTOS GERMANO (180)</v>
      </c>
      <c r="S1142" t="s">
        <v>52</v>
      </c>
      <c r="T1142">
        <v>17897</v>
      </c>
      <c r="U1142">
        <v>6641</v>
      </c>
      <c r="V1142" t="s">
        <v>48</v>
      </c>
    </row>
    <row r="1143" spans="1:22">
      <c r="A1143" t="str">
        <f t="shared" si="214"/>
        <v>10/09/2025</v>
      </c>
      <c r="B1143" t="str">
        <f>"ENTRADA"</f>
        <v>ENTRADA</v>
      </c>
      <c r="C1143" t="str">
        <f>"DINHEIRO"</f>
        <v>DINHEIRO</v>
      </c>
      <c r="D1143" t="str">
        <f>"837"</f>
        <v>837</v>
      </c>
      <c r="E1143" t="str">
        <f>"2"</f>
        <v>2</v>
      </c>
      <c r="F1143" t="str">
        <f t="shared" si="210"/>
        <v>COM</v>
      </c>
      <c r="G1143" t="str">
        <f>"JESSICA BRAHOLKA (837)"</f>
        <v>JESSICA BRAHOLKA (837)</v>
      </c>
      <c r="H1143" t="str">
        <f>"COTA COOPERATIVA"</f>
        <v>COTA COOPERATIVA</v>
      </c>
      <c r="I1143" t="str">
        <f>("10/09/2025")</f>
        <v>10/09/2025</v>
      </c>
      <c r="J1143" t="str">
        <f>("31/05/2025")</f>
        <v>31/05/2025</v>
      </c>
      <c r="K1143" t="str">
        <f>("10/09/2025")</f>
        <v>10/09/2025</v>
      </c>
      <c r="L1143">
        <v>20</v>
      </c>
      <c r="M1143">
        <v>20</v>
      </c>
      <c r="N1143">
        <v>106</v>
      </c>
      <c r="O1143" t="str">
        <f>"ENTRADA DE CAPITAL"</f>
        <v>ENTRADA DE CAPITAL</v>
      </c>
      <c r="P1143">
        <v>20</v>
      </c>
      <c r="S1143" t="str">
        <f>"ENTRADA DE CAPITAL (106)"</f>
        <v>ENTRADA DE CAPITAL (106)</v>
      </c>
      <c r="T1143">
        <v>17898</v>
      </c>
      <c r="U1143">
        <v>19739</v>
      </c>
      <c r="V1143" t="s">
        <v>48</v>
      </c>
    </row>
    <row r="1144" spans="1:22">
      <c r="A1144" t="str">
        <f t="shared" si="214"/>
        <v>10/09/2025</v>
      </c>
      <c r="B1144" t="str">
        <f>"ENTRADA"</f>
        <v>ENTRADA</v>
      </c>
      <c r="C1144" t="str">
        <f>"DINHEIRO"</f>
        <v>DINHEIRO</v>
      </c>
      <c r="D1144" t="str">
        <f>"837"</f>
        <v>837</v>
      </c>
      <c r="E1144" t="str">
        <f>"2"</f>
        <v>2</v>
      </c>
      <c r="F1144" t="str">
        <f t="shared" si="210"/>
        <v>COM</v>
      </c>
      <c r="G1144" t="str">
        <f>"JESSICA BRAHOLKA (837)"</f>
        <v>JESSICA BRAHOLKA (837)</v>
      </c>
      <c r="H1144" t="s">
        <v>50</v>
      </c>
      <c r="I1144" t="str">
        <f>("10/09/2025")</f>
        <v>10/09/2025</v>
      </c>
      <c r="J1144" t="str">
        <f>("31/05/2025")</f>
        <v>31/05/2025</v>
      </c>
      <c r="K1144">
        <v>45910</v>
      </c>
      <c r="N1144">
        <v>106</v>
      </c>
      <c r="O1144" t="s">
        <v>51</v>
      </c>
      <c r="Q1144">
        <v>20</v>
      </c>
      <c r="R1144" t="str">
        <f>"JESSICA BRAHOLKA (837)"</f>
        <v>JESSICA BRAHOLKA (837)</v>
      </c>
      <c r="S1144" t="s">
        <v>52</v>
      </c>
      <c r="T1144">
        <v>17898</v>
      </c>
      <c r="U1144">
        <v>19739</v>
      </c>
      <c r="V1144" t="s">
        <v>48</v>
      </c>
    </row>
    <row r="1145" spans="1:22">
      <c r="A1145" t="str">
        <f t="shared" si="214"/>
        <v>10/09/2025</v>
      </c>
      <c r="B1145" t="str">
        <f>"SAÍDA"</f>
        <v>SAÍDA</v>
      </c>
      <c r="C1145" t="str">
        <f>"PIX"</f>
        <v>PIX</v>
      </c>
      <c r="D1145" t="str">
        <f>"21481"</f>
        <v>21481</v>
      </c>
      <c r="E1145" t="str">
        <f>"1"</f>
        <v>1</v>
      </c>
      <c r="F1145" t="str">
        <f t="shared" si="210"/>
        <v>COM</v>
      </c>
      <c r="G1145" t="str">
        <f>"JESSICA BRAHOLKA (837)"</f>
        <v>JESSICA BRAHOLKA (837)</v>
      </c>
      <c r="H1145" t="str">
        <f>"Serv.Prest. 01/09/2025 a 07/09/2025 - PIX: CPF - CHAVE: 124.575.099-20"</f>
        <v>Serv.Prest. 01/09/2025 a 07/09/2025 - PIX: CPF - CHAVE: 124.575.099-20</v>
      </c>
      <c r="I1145" t="str">
        <f>("11/09/2025")</f>
        <v>11/09/2025</v>
      </c>
      <c r="J1145" t="str">
        <f>("08/09/2025")</f>
        <v>08/09/2025</v>
      </c>
      <c r="K1145" t="str">
        <f>("10/09/2025")</f>
        <v>10/09/2025</v>
      </c>
      <c r="L1145">
        <v>20</v>
      </c>
      <c r="M1145">
        <v>20</v>
      </c>
      <c r="N1145">
        <v>109</v>
      </c>
      <c r="O1145" t="str">
        <f>"PAGAMENTO DE ENTREGADORES"</f>
        <v>PAGAMENTO DE ENTREGADORES</v>
      </c>
      <c r="P1145">
        <v>20</v>
      </c>
      <c r="S1145" t="str">
        <f>"CAIXA MOVIMENTAÇÃO OPERACIONAL (132)"</f>
        <v>CAIXA MOVIMENTAÇÃO OPERACIONAL (132)</v>
      </c>
      <c r="T1145">
        <v>17899</v>
      </c>
      <c r="U1145">
        <v>21821</v>
      </c>
      <c r="V1145" t="s">
        <v>48</v>
      </c>
    </row>
    <row r="1146" spans="1:22">
      <c r="A1146" t="str">
        <f t="shared" si="214"/>
        <v>10/09/2025</v>
      </c>
      <c r="B1146" t="str">
        <f>"SAÍDA"</f>
        <v>SAÍDA</v>
      </c>
      <c r="C1146" t="str">
        <f>"PIX"</f>
        <v>PIX</v>
      </c>
      <c r="D1146" t="str">
        <f>"21481"</f>
        <v>21481</v>
      </c>
      <c r="E1146" t="str">
        <f>"1"</f>
        <v>1</v>
      </c>
      <c r="F1146" t="str">
        <f t="shared" si="210"/>
        <v>COM</v>
      </c>
      <c r="G1146" t="str">
        <f>"JESSICA BRAHOLKA (837)"</f>
        <v>JESSICA BRAHOLKA (837)</v>
      </c>
      <c r="H1146" t="s">
        <v>386</v>
      </c>
      <c r="I1146" t="str">
        <f>("11/09/2025")</f>
        <v>11/09/2025</v>
      </c>
      <c r="J1146" t="str">
        <f>("08/09/2025")</f>
        <v>08/09/2025</v>
      </c>
      <c r="K1146">
        <v>45910</v>
      </c>
      <c r="N1146">
        <v>109</v>
      </c>
      <c r="O1146" t="s">
        <v>24</v>
      </c>
      <c r="Q1146">
        <v>20</v>
      </c>
      <c r="R1146" t="str">
        <f>"JAL FARMACIA E DROGARIA LJ 1 (10137)"</f>
        <v>JAL FARMACIA E DROGARIA LJ 1 (10137)</v>
      </c>
      <c r="S1146" t="s">
        <v>48</v>
      </c>
      <c r="T1146">
        <v>17899</v>
      </c>
      <c r="U1146">
        <v>21821</v>
      </c>
      <c r="V1146" t="s">
        <v>48</v>
      </c>
    </row>
    <row r="1147" spans="1:22">
      <c r="A1147" t="str">
        <f t="shared" si="214"/>
        <v>10/09/2025</v>
      </c>
      <c r="B1147" t="str">
        <f>"SAÍDA"</f>
        <v>SAÍDA</v>
      </c>
      <c r="C1147" t="str">
        <f>"PIX"</f>
        <v>PIX</v>
      </c>
      <c r="D1147" t="str">
        <f>"21209"</f>
        <v>21209</v>
      </c>
      <c r="E1147" t="str">
        <f>"1"</f>
        <v>1</v>
      </c>
      <c r="F1147" t="str">
        <f t="shared" si="210"/>
        <v>COM</v>
      </c>
      <c r="G1147" t="str">
        <f>"JHONANTAN LACERDA DE JESUS (142)"</f>
        <v>JHONANTAN LACERDA DE JESUS (142)</v>
      </c>
      <c r="H1147" t="str">
        <f>"Serv.Prest. 25/08/2025 a 31/08/2025 - PIX: E-MAIL - CHAVE: jhonantanlacerda@gmail.com"</f>
        <v>Serv.Prest. 25/08/2025 a 31/08/2025 - PIX: E-MAIL - CHAVE: jhonantanlacerda@gmail.com</v>
      </c>
      <c r="I1147" t="str">
        <f>("11/09/2025")</f>
        <v>11/09/2025</v>
      </c>
      <c r="J1147" t="str">
        <f>("02/09/2025")</f>
        <v>02/09/2025</v>
      </c>
      <c r="K1147" t="str">
        <f>("10/09/2025")</f>
        <v>10/09/2025</v>
      </c>
      <c r="L1147">
        <v>20</v>
      </c>
      <c r="M1147">
        <v>20</v>
      </c>
      <c r="N1147">
        <v>109</v>
      </c>
      <c r="O1147" t="str">
        <f>"PAGAMENTO DE ENTREGADORES"</f>
        <v>PAGAMENTO DE ENTREGADORES</v>
      </c>
      <c r="P1147">
        <v>20</v>
      </c>
      <c r="S1147" t="str">
        <f>"CAIXA MOVIMENTAÇÃO OPERACIONAL (132)"</f>
        <v>CAIXA MOVIMENTAÇÃO OPERACIONAL (132)</v>
      </c>
      <c r="T1147">
        <v>17900</v>
      </c>
      <c r="U1147">
        <v>21822</v>
      </c>
      <c r="V1147" t="s">
        <v>48</v>
      </c>
    </row>
    <row r="1148" spans="1:22">
      <c r="A1148" t="str">
        <f t="shared" si="214"/>
        <v>10/09/2025</v>
      </c>
      <c r="B1148" t="str">
        <f>"SAÍDA"</f>
        <v>SAÍDA</v>
      </c>
      <c r="C1148" t="str">
        <f>"PIX"</f>
        <v>PIX</v>
      </c>
      <c r="D1148" t="str">
        <f>"21209"</f>
        <v>21209</v>
      </c>
      <c r="E1148" t="str">
        <f>"1"</f>
        <v>1</v>
      </c>
      <c r="F1148" t="str">
        <f t="shared" si="210"/>
        <v>COM</v>
      </c>
      <c r="G1148" t="str">
        <f>"JHONANTAN LACERDA DE JESUS (142)"</f>
        <v>JHONANTAN LACERDA DE JESUS (142)</v>
      </c>
      <c r="H1148" t="s">
        <v>387</v>
      </c>
      <c r="I1148" t="str">
        <f>("11/09/2025")</f>
        <v>11/09/2025</v>
      </c>
      <c r="J1148" t="str">
        <f>("02/09/2025")</f>
        <v>02/09/2025</v>
      </c>
      <c r="K1148">
        <v>45910</v>
      </c>
      <c r="N1148">
        <v>109</v>
      </c>
      <c r="O1148" t="s">
        <v>24</v>
      </c>
      <c r="Q1148">
        <v>20</v>
      </c>
      <c r="R1148" t="str">
        <f>"FARMÁCIA INDIANA LJ 142 (10066)"</f>
        <v>FARMÁCIA INDIANA LJ 142 (10066)</v>
      </c>
      <c r="S1148" t="s">
        <v>48</v>
      </c>
      <c r="T1148">
        <v>17900</v>
      </c>
      <c r="U1148">
        <v>21822</v>
      </c>
      <c r="V1148" t="s">
        <v>48</v>
      </c>
    </row>
    <row r="1149" spans="1:22">
      <c r="A1149" t="str">
        <f t="shared" si="214"/>
        <v>10/09/2025</v>
      </c>
      <c r="B1149" t="str">
        <f>"ENTRADA"</f>
        <v>ENTRADA</v>
      </c>
      <c r="C1149" t="str">
        <f>"DINHEIRO"</f>
        <v>DINHEIRO</v>
      </c>
      <c r="D1149" t="str">
        <f>"15"</f>
        <v>15</v>
      </c>
      <c r="E1149" t="str">
        <f>"33"</f>
        <v>33</v>
      </c>
      <c r="F1149" t="str">
        <f t="shared" si="210"/>
        <v>COM</v>
      </c>
      <c r="G1149" t="str">
        <f>"JHONANTAN LACERDA DE JESUS (142)"</f>
        <v>JHONANTAN LACERDA DE JESUS (142)</v>
      </c>
      <c r="H1149" t="str">
        <f>"DESCONTO COTA COOPERADO"</f>
        <v>DESCONTO COTA COOPERADO</v>
      </c>
      <c r="I1149" t="str">
        <f>("16/09/2025")</f>
        <v>16/09/2025</v>
      </c>
      <c r="J1149" t="str">
        <f>("16/01/2025")</f>
        <v>16/01/2025</v>
      </c>
      <c r="K1149" t="str">
        <f>("10/09/2025")</f>
        <v>10/09/2025</v>
      </c>
      <c r="L1149">
        <v>20</v>
      </c>
      <c r="M1149">
        <v>20</v>
      </c>
      <c r="N1149">
        <v>106</v>
      </c>
      <c r="O1149" t="str">
        <f>"ENTRADA DE CAPITAL"</f>
        <v>ENTRADA DE CAPITAL</v>
      </c>
      <c r="P1149">
        <v>20</v>
      </c>
      <c r="S1149" t="str">
        <f>"ENTRADA DE CAPITAL (106)"</f>
        <v>ENTRADA DE CAPITAL (106)</v>
      </c>
      <c r="T1149">
        <v>17901</v>
      </c>
      <c r="U1149">
        <v>6695</v>
      </c>
      <c r="V1149" t="s">
        <v>48</v>
      </c>
    </row>
    <row r="1150" spans="1:22">
      <c r="A1150" t="str">
        <f t="shared" si="214"/>
        <v>10/09/2025</v>
      </c>
      <c r="B1150" t="str">
        <f>"ENTRADA"</f>
        <v>ENTRADA</v>
      </c>
      <c r="C1150" t="str">
        <f>"DINHEIRO"</f>
        <v>DINHEIRO</v>
      </c>
      <c r="D1150" t="str">
        <f>"15"</f>
        <v>15</v>
      </c>
      <c r="E1150" t="str">
        <f>"33"</f>
        <v>33</v>
      </c>
      <c r="F1150" t="str">
        <f t="shared" si="210"/>
        <v>COM</v>
      </c>
      <c r="G1150" t="str">
        <f>"JHONANTAN LACERDA DE JESUS (142)"</f>
        <v>JHONANTAN LACERDA DE JESUS (142)</v>
      </c>
      <c r="H1150" t="s">
        <v>309</v>
      </c>
      <c r="I1150" t="str">
        <f>("16/09/2025")</f>
        <v>16/09/2025</v>
      </c>
      <c r="J1150" t="str">
        <f>("16/01/2025")</f>
        <v>16/01/2025</v>
      </c>
      <c r="K1150">
        <v>45910</v>
      </c>
      <c r="N1150">
        <v>106</v>
      </c>
      <c r="O1150" t="s">
        <v>51</v>
      </c>
      <c r="Q1150">
        <v>20</v>
      </c>
      <c r="R1150" t="str">
        <f>"JHONANTAN LACERDA DE JESUS (142)"</f>
        <v>JHONANTAN LACERDA DE JESUS (142)</v>
      </c>
      <c r="S1150" t="s">
        <v>52</v>
      </c>
      <c r="T1150">
        <v>17901</v>
      </c>
      <c r="U1150">
        <v>6695</v>
      </c>
      <c r="V1150" t="s">
        <v>48</v>
      </c>
    </row>
    <row r="1151" spans="1:22">
      <c r="A1151" t="str">
        <f t="shared" si="214"/>
        <v>10/09/2025</v>
      </c>
      <c r="B1151" t="str">
        <f>"SAÍDA"</f>
        <v>SAÍDA</v>
      </c>
      <c r="C1151" t="str">
        <f>"PIX"</f>
        <v>PIX</v>
      </c>
      <c r="D1151" t="str">
        <f>"21146"</f>
        <v>21146</v>
      </c>
      <c r="E1151" t="str">
        <f>"1"</f>
        <v>1</v>
      </c>
      <c r="F1151" t="str">
        <f t="shared" si="210"/>
        <v>COM</v>
      </c>
      <c r="G1151" t="str">
        <f>"JIRLANIA RODRIGUES DOS SANTOS (152)"</f>
        <v>JIRLANIA RODRIGUES DOS SANTOS (152)</v>
      </c>
      <c r="H1151" t="str">
        <f>"Serv.Prest. 25/08/2025 a 31/08/2025 - PIX: CPF - CHAVE: 035.018.455-02"</f>
        <v>Serv.Prest. 25/08/2025 a 31/08/2025 - PIX: CPF - CHAVE: 035.018.455-02</v>
      </c>
      <c r="I1151" t="str">
        <f>("11/09/2025")</f>
        <v>11/09/2025</v>
      </c>
      <c r="J1151" t="str">
        <f>("02/09/2025")</f>
        <v>02/09/2025</v>
      </c>
      <c r="K1151" t="str">
        <f>("10/09/2025")</f>
        <v>10/09/2025</v>
      </c>
      <c r="L1151">
        <v>20</v>
      </c>
      <c r="M1151">
        <v>20</v>
      </c>
      <c r="N1151">
        <v>109</v>
      </c>
      <c r="O1151" t="str">
        <f>"PAGAMENTO DE ENTREGADORES"</f>
        <v>PAGAMENTO DE ENTREGADORES</v>
      </c>
      <c r="P1151">
        <v>20</v>
      </c>
      <c r="S1151" t="str">
        <f>"CAIXA MOVIMENTAÇÃO OPERACIONAL (132)"</f>
        <v>CAIXA MOVIMENTAÇÃO OPERACIONAL (132)</v>
      </c>
      <c r="T1151">
        <v>17902</v>
      </c>
      <c r="U1151">
        <v>21823</v>
      </c>
      <c r="V1151" t="s">
        <v>48</v>
      </c>
    </row>
    <row r="1152" spans="1:22">
      <c r="A1152" t="str">
        <f t="shared" si="214"/>
        <v>10/09/2025</v>
      </c>
      <c r="B1152" t="str">
        <f>"SAÍDA"</f>
        <v>SAÍDA</v>
      </c>
      <c r="C1152" t="str">
        <f>"PIX"</f>
        <v>PIX</v>
      </c>
      <c r="D1152" t="str">
        <f>"21146"</f>
        <v>21146</v>
      </c>
      <c r="E1152" t="str">
        <f>"1"</f>
        <v>1</v>
      </c>
      <c r="F1152" t="str">
        <f t="shared" si="210"/>
        <v>COM</v>
      </c>
      <c r="G1152" t="str">
        <f>"JIRLANIA RODRIGUES DOS SANTOS (152)"</f>
        <v>JIRLANIA RODRIGUES DOS SANTOS (152)</v>
      </c>
      <c r="H1152" t="s">
        <v>388</v>
      </c>
      <c r="I1152" t="str">
        <f>("11/09/2025")</f>
        <v>11/09/2025</v>
      </c>
      <c r="J1152" t="str">
        <f>("02/09/2025")</f>
        <v>02/09/2025</v>
      </c>
      <c r="K1152">
        <v>45910</v>
      </c>
      <c r="N1152">
        <v>109</v>
      </c>
      <c r="O1152" t="s">
        <v>24</v>
      </c>
      <c r="Q1152">
        <v>20</v>
      </c>
      <c r="R1152" t="str">
        <f>"FARMÁCIA INDIANA LJ 95 (10039)"</f>
        <v>FARMÁCIA INDIANA LJ 95 (10039)</v>
      </c>
      <c r="S1152" t="s">
        <v>48</v>
      </c>
      <c r="T1152">
        <v>17902</v>
      </c>
      <c r="U1152">
        <v>21823</v>
      </c>
      <c r="V1152" t="s">
        <v>48</v>
      </c>
    </row>
    <row r="1153" spans="1:22">
      <c r="A1153" t="str">
        <f t="shared" si="214"/>
        <v>10/09/2025</v>
      </c>
      <c r="B1153" t="str">
        <f>"ENTRADA"</f>
        <v>ENTRADA</v>
      </c>
      <c r="C1153" t="str">
        <f>"DINHEIRO"</f>
        <v>DINHEIRO</v>
      </c>
      <c r="D1153" t="str">
        <f>"16"</f>
        <v>16</v>
      </c>
      <c r="E1153" t="str">
        <f>"33"</f>
        <v>33</v>
      </c>
      <c r="F1153" t="str">
        <f t="shared" si="210"/>
        <v>COM</v>
      </c>
      <c r="G1153" t="str">
        <f>"JIRLANIA RODRIGUES DOS SANTOS (152)"</f>
        <v>JIRLANIA RODRIGUES DOS SANTOS (152)</v>
      </c>
      <c r="H1153" t="str">
        <f>"DESCONTO COTA COOPERADO"</f>
        <v>DESCONTO COTA COOPERADO</v>
      </c>
      <c r="I1153" t="str">
        <f>("16/09/2025")</f>
        <v>16/09/2025</v>
      </c>
      <c r="J1153" t="str">
        <f>("16/01/2025")</f>
        <v>16/01/2025</v>
      </c>
      <c r="K1153" t="str">
        <f>("10/09/2025")</f>
        <v>10/09/2025</v>
      </c>
      <c r="L1153">
        <v>20</v>
      </c>
      <c r="M1153">
        <v>20</v>
      </c>
      <c r="N1153">
        <v>106</v>
      </c>
      <c r="O1153" t="str">
        <f>"ENTRADA DE CAPITAL"</f>
        <v>ENTRADA DE CAPITAL</v>
      </c>
      <c r="P1153">
        <v>20</v>
      </c>
      <c r="S1153" t="str">
        <f>"ENTRADA DE CAPITAL (106)"</f>
        <v>ENTRADA DE CAPITAL (106)</v>
      </c>
      <c r="T1153">
        <v>17903</v>
      </c>
      <c r="U1153">
        <v>6707</v>
      </c>
      <c r="V1153" t="s">
        <v>48</v>
      </c>
    </row>
    <row r="1154" spans="1:22">
      <c r="A1154" t="str">
        <f t="shared" si="214"/>
        <v>10/09/2025</v>
      </c>
      <c r="B1154" t="str">
        <f>"ENTRADA"</f>
        <v>ENTRADA</v>
      </c>
      <c r="C1154" t="str">
        <f>"DINHEIRO"</f>
        <v>DINHEIRO</v>
      </c>
      <c r="D1154" t="str">
        <f>"16"</f>
        <v>16</v>
      </c>
      <c r="E1154" t="str">
        <f>"33"</f>
        <v>33</v>
      </c>
      <c r="F1154" t="str">
        <f t="shared" si="210"/>
        <v>COM</v>
      </c>
      <c r="G1154" t="str">
        <f>"JIRLANIA RODRIGUES DOS SANTOS (152)"</f>
        <v>JIRLANIA RODRIGUES DOS SANTOS (152)</v>
      </c>
      <c r="H1154" t="s">
        <v>309</v>
      </c>
      <c r="I1154" t="str">
        <f>("16/09/2025")</f>
        <v>16/09/2025</v>
      </c>
      <c r="J1154" t="str">
        <f>("16/01/2025")</f>
        <v>16/01/2025</v>
      </c>
      <c r="K1154">
        <v>45910</v>
      </c>
      <c r="N1154">
        <v>106</v>
      </c>
      <c r="O1154" t="s">
        <v>51</v>
      </c>
      <c r="Q1154">
        <v>20</v>
      </c>
      <c r="R1154" t="str">
        <f>"JIRLANIA RODRIGUES DOS SANTOS (152)"</f>
        <v>JIRLANIA RODRIGUES DOS SANTOS (152)</v>
      </c>
      <c r="S1154" t="s">
        <v>52</v>
      </c>
      <c r="T1154">
        <v>17903</v>
      </c>
      <c r="U1154">
        <v>6707</v>
      </c>
      <c r="V1154" t="s">
        <v>48</v>
      </c>
    </row>
    <row r="1155" spans="1:22">
      <c r="A1155" t="str">
        <f t="shared" si="214"/>
        <v>10/09/2025</v>
      </c>
      <c r="B1155" t="str">
        <f>"SAÍDA"</f>
        <v>SAÍDA</v>
      </c>
      <c r="C1155" t="str">
        <f>"PIX"</f>
        <v>PIX</v>
      </c>
      <c r="D1155" t="str">
        <f>"21210"</f>
        <v>21210</v>
      </c>
      <c r="E1155" t="str">
        <f>"1"</f>
        <v>1</v>
      </c>
      <c r="F1155" t="str">
        <f t="shared" si="210"/>
        <v>COM</v>
      </c>
      <c r="G1155" t="str">
        <f>"JOAO PAULO PEREIRA LIMA (821)"</f>
        <v>JOAO PAULO PEREIRA LIMA (821)</v>
      </c>
      <c r="H1155" t="str">
        <f>"Serv.Prest. 25/08/2025 a 31/08/2025 - PIX: CPF - CHAVE: 049.276.546-48"</f>
        <v>Serv.Prest. 25/08/2025 a 31/08/2025 - PIX: CPF - CHAVE: 049.276.546-48</v>
      </c>
      <c r="I1155" t="str">
        <f>("11/09/2025")</f>
        <v>11/09/2025</v>
      </c>
      <c r="J1155" t="str">
        <f>("02/09/2025")</f>
        <v>02/09/2025</v>
      </c>
      <c r="K1155" t="str">
        <f>("10/09/2025")</f>
        <v>10/09/2025</v>
      </c>
      <c r="L1155">
        <v>20</v>
      </c>
      <c r="M1155">
        <v>20</v>
      </c>
      <c r="N1155">
        <v>109</v>
      </c>
      <c r="O1155" t="str">
        <f>"PAGAMENTO DE ENTREGADORES"</f>
        <v>PAGAMENTO DE ENTREGADORES</v>
      </c>
      <c r="P1155">
        <v>20</v>
      </c>
      <c r="S1155" t="str">
        <f>"CAIXA MOVIMENTAÇÃO OPERACIONAL (132)"</f>
        <v>CAIXA MOVIMENTAÇÃO OPERACIONAL (132)</v>
      </c>
      <c r="T1155">
        <v>17904</v>
      </c>
      <c r="U1155">
        <v>21824</v>
      </c>
      <c r="V1155" t="s">
        <v>48</v>
      </c>
    </row>
    <row r="1156" spans="1:22">
      <c r="A1156" t="str">
        <f t="shared" si="214"/>
        <v>10/09/2025</v>
      </c>
      <c r="B1156" t="str">
        <f>"SAÍDA"</f>
        <v>SAÍDA</v>
      </c>
      <c r="C1156" t="str">
        <f>"PIX"</f>
        <v>PIX</v>
      </c>
      <c r="D1156" t="str">
        <f>"21210"</f>
        <v>21210</v>
      </c>
      <c r="E1156" t="str">
        <f>"1"</f>
        <v>1</v>
      </c>
      <c r="F1156" t="str">
        <f t="shared" si="210"/>
        <v>COM</v>
      </c>
      <c r="G1156" t="str">
        <f>"JOAO PAULO PEREIRA LIMA (821)"</f>
        <v>JOAO PAULO PEREIRA LIMA (821)</v>
      </c>
      <c r="H1156" t="s">
        <v>389</v>
      </c>
      <c r="I1156" t="str">
        <f>("11/09/2025")</f>
        <v>11/09/2025</v>
      </c>
      <c r="J1156" t="str">
        <f>("02/09/2025")</f>
        <v>02/09/2025</v>
      </c>
      <c r="K1156">
        <v>45910</v>
      </c>
      <c r="N1156">
        <v>109</v>
      </c>
      <c r="O1156" t="s">
        <v>24</v>
      </c>
      <c r="Q1156">
        <v>20</v>
      </c>
      <c r="R1156" t="str">
        <f>"FARMÁCIA INDIANA LJ 06 (10006)"</f>
        <v>FARMÁCIA INDIANA LJ 06 (10006)</v>
      </c>
      <c r="S1156" t="s">
        <v>48</v>
      </c>
      <c r="T1156">
        <v>17904</v>
      </c>
      <c r="U1156">
        <v>21824</v>
      </c>
      <c r="V1156" t="s">
        <v>48</v>
      </c>
    </row>
    <row r="1157" spans="1:22">
      <c r="A1157" t="str">
        <f t="shared" si="214"/>
        <v>10/09/2025</v>
      </c>
      <c r="B1157" t="str">
        <f>"ENTRADA"</f>
        <v>ENTRADA</v>
      </c>
      <c r="C1157" t="str">
        <f>"DINHEIRO"</f>
        <v>DINHEIRO</v>
      </c>
      <c r="D1157" t="str">
        <f>"821"</f>
        <v>821</v>
      </c>
      <c r="E1157" t="str">
        <f>"4"</f>
        <v>4</v>
      </c>
      <c r="F1157" t="str">
        <f t="shared" si="210"/>
        <v>COM</v>
      </c>
      <c r="G1157" t="str">
        <f>"JOAO PAULO PEREIRA LIMA (821)"</f>
        <v>JOAO PAULO PEREIRA LIMA (821)</v>
      </c>
      <c r="H1157" t="str">
        <f>"COTA COOPERATIVA"</f>
        <v>COTA COOPERATIVA</v>
      </c>
      <c r="I1157" t="str">
        <f>("12/09/2025")</f>
        <v>12/09/2025</v>
      </c>
      <c r="J1157" t="str">
        <f>("21/05/2025")</f>
        <v>21/05/2025</v>
      </c>
      <c r="K1157" t="str">
        <f>("10/09/2025")</f>
        <v>10/09/2025</v>
      </c>
      <c r="L1157">
        <v>20</v>
      </c>
      <c r="M1157">
        <v>20</v>
      </c>
      <c r="N1157">
        <v>106</v>
      </c>
      <c r="O1157" t="str">
        <f>"ENTRADA DE CAPITAL"</f>
        <v>ENTRADA DE CAPITAL</v>
      </c>
      <c r="P1157">
        <v>20</v>
      </c>
      <c r="S1157" t="str">
        <f>"ENTRADA DE CAPITAL (106)"</f>
        <v>ENTRADA DE CAPITAL (106)</v>
      </c>
      <c r="T1157">
        <v>17905</v>
      </c>
      <c r="U1157">
        <v>16585</v>
      </c>
      <c r="V1157" t="s">
        <v>48</v>
      </c>
    </row>
    <row r="1158" spans="1:22">
      <c r="A1158" t="str">
        <f t="shared" si="214"/>
        <v>10/09/2025</v>
      </c>
      <c r="B1158" t="str">
        <f>"ENTRADA"</f>
        <v>ENTRADA</v>
      </c>
      <c r="C1158" t="str">
        <f>"DINHEIRO"</f>
        <v>DINHEIRO</v>
      </c>
      <c r="D1158" t="str">
        <f>"876"</f>
        <v>876</v>
      </c>
      <c r="E1158" t="str">
        <f>"2"</f>
        <v>2</v>
      </c>
      <c r="F1158" t="str">
        <f t="shared" si="210"/>
        <v>COM</v>
      </c>
      <c r="G1158" t="str">
        <f>"JOAO PEDRO BRITO DE SOUZA (876)"</f>
        <v>JOAO PEDRO BRITO DE SOUZA (876)</v>
      </c>
      <c r="H1158" t="str">
        <f>"COTA COOPERATIVA"</f>
        <v>COTA COOPERATIVA</v>
      </c>
      <c r="I1158" t="str">
        <f>("10/09/2025")</f>
        <v>10/09/2025</v>
      </c>
      <c r="J1158" t="str">
        <f>("11/07/2025")</f>
        <v>11/07/2025</v>
      </c>
      <c r="K1158" t="str">
        <f>("10/09/2025")</f>
        <v>10/09/2025</v>
      </c>
      <c r="L1158">
        <v>20</v>
      </c>
      <c r="M1158">
        <v>20</v>
      </c>
      <c r="N1158">
        <v>106</v>
      </c>
      <c r="O1158" t="str">
        <f>"ENTRADA DE CAPITAL"</f>
        <v>ENTRADA DE CAPITAL</v>
      </c>
      <c r="P1158">
        <v>20</v>
      </c>
      <c r="S1158" t="str">
        <f>"ENTRADA DE CAPITAL (106)"</f>
        <v>ENTRADA DE CAPITAL (106)</v>
      </c>
      <c r="T1158">
        <v>17906</v>
      </c>
      <c r="U1158">
        <v>19766</v>
      </c>
      <c r="V1158" t="s">
        <v>48</v>
      </c>
    </row>
    <row r="1159" spans="1:22">
      <c r="A1159" t="str">
        <f t="shared" si="214"/>
        <v>10/09/2025</v>
      </c>
      <c r="B1159" t="str">
        <f>"ENTRADA"</f>
        <v>ENTRADA</v>
      </c>
      <c r="C1159" t="str">
        <f>"DINHEIRO"</f>
        <v>DINHEIRO</v>
      </c>
      <c r="D1159" t="str">
        <f>"876"</f>
        <v>876</v>
      </c>
      <c r="E1159" t="str">
        <f>"2"</f>
        <v>2</v>
      </c>
      <c r="F1159" t="str">
        <f t="shared" si="210"/>
        <v>COM</v>
      </c>
      <c r="G1159" t="str">
        <f>"JOAO PEDRO BRITO DE SOUZA (876)"</f>
        <v>JOAO PEDRO BRITO DE SOUZA (876)</v>
      </c>
      <c r="H1159" t="s">
        <v>50</v>
      </c>
      <c r="I1159" t="str">
        <f>("10/09/2025")</f>
        <v>10/09/2025</v>
      </c>
      <c r="J1159" t="str">
        <f>("11/07/2025")</f>
        <v>11/07/2025</v>
      </c>
      <c r="K1159">
        <v>45910</v>
      </c>
      <c r="N1159">
        <v>106</v>
      </c>
      <c r="O1159" t="s">
        <v>51</v>
      </c>
      <c r="Q1159">
        <v>20</v>
      </c>
      <c r="R1159" t="str">
        <f>"JOAO PEDRO BRITO DE SOUZA (876)"</f>
        <v>JOAO PEDRO BRITO DE SOUZA (876)</v>
      </c>
      <c r="S1159" t="s">
        <v>52</v>
      </c>
      <c r="T1159">
        <v>17906</v>
      </c>
      <c r="U1159">
        <v>19766</v>
      </c>
      <c r="V1159" t="s">
        <v>48</v>
      </c>
    </row>
    <row r="1160" spans="1:22">
      <c r="A1160" t="str">
        <f t="shared" si="214"/>
        <v>10/09/2025</v>
      </c>
      <c r="B1160" t="str">
        <f>"SAÍDA"</f>
        <v>SAÍDA</v>
      </c>
      <c r="C1160" t="str">
        <f>"PIX"</f>
        <v>PIX</v>
      </c>
      <c r="D1160" t="str">
        <f>"21147"</f>
        <v>21147</v>
      </c>
      <c r="E1160" t="str">
        <f>"1"</f>
        <v>1</v>
      </c>
      <c r="F1160" t="str">
        <f t="shared" si="210"/>
        <v>COM</v>
      </c>
      <c r="G1160" t="str">
        <f>"JOAO PEDRO BRITO DE SOUZA (876)"</f>
        <v>JOAO PEDRO BRITO DE SOUZA (876)</v>
      </c>
      <c r="H1160" t="str">
        <f>"Serv.Prest. 25/08/2025 a 31/08/2025 - PIX: CPF - CHAVE: 860.305.455-07"</f>
        <v>Serv.Prest. 25/08/2025 a 31/08/2025 - PIX: CPF - CHAVE: 860.305.455-07</v>
      </c>
      <c r="I1160" t="str">
        <f>("11/09/2025")</f>
        <v>11/09/2025</v>
      </c>
      <c r="J1160" t="str">
        <f>("02/09/2025")</f>
        <v>02/09/2025</v>
      </c>
      <c r="K1160" t="str">
        <f>("10/09/2025")</f>
        <v>10/09/2025</v>
      </c>
      <c r="L1160">
        <v>20</v>
      </c>
      <c r="M1160">
        <v>20</v>
      </c>
      <c r="N1160">
        <v>109</v>
      </c>
      <c r="O1160" t="str">
        <f>"PAGAMENTO DE ENTREGADORES"</f>
        <v>PAGAMENTO DE ENTREGADORES</v>
      </c>
      <c r="P1160">
        <v>20</v>
      </c>
      <c r="S1160" t="str">
        <f>"CAIXA MOVIMENTAÇÃO OPERACIONAL (132)"</f>
        <v>CAIXA MOVIMENTAÇÃO OPERACIONAL (132)</v>
      </c>
      <c r="T1160">
        <v>17907</v>
      </c>
      <c r="U1160">
        <v>21825</v>
      </c>
      <c r="V1160" t="s">
        <v>48</v>
      </c>
    </row>
    <row r="1161" spans="1:22">
      <c r="A1161" t="str">
        <f t="shared" si="214"/>
        <v>10/09/2025</v>
      </c>
      <c r="B1161" t="str">
        <f>"SAÍDA"</f>
        <v>SAÍDA</v>
      </c>
      <c r="C1161" t="str">
        <f>"PIX"</f>
        <v>PIX</v>
      </c>
      <c r="D1161" t="str">
        <f>"21147"</f>
        <v>21147</v>
      </c>
      <c r="E1161" t="str">
        <f>"1"</f>
        <v>1</v>
      </c>
      <c r="F1161" t="str">
        <f t="shared" si="210"/>
        <v>COM</v>
      </c>
      <c r="G1161" t="str">
        <f>"JOAO PEDRO BRITO DE SOUZA (876)"</f>
        <v>JOAO PEDRO BRITO DE SOUZA (876)</v>
      </c>
      <c r="H1161" t="s">
        <v>390</v>
      </c>
      <c r="I1161" t="str">
        <f>("11/09/2025")</f>
        <v>11/09/2025</v>
      </c>
      <c r="J1161" t="str">
        <f>("02/09/2025")</f>
        <v>02/09/2025</v>
      </c>
      <c r="K1161">
        <v>45910</v>
      </c>
      <c r="N1161">
        <v>109</v>
      </c>
      <c r="O1161" t="s">
        <v>24</v>
      </c>
      <c r="Q1161">
        <v>14.34</v>
      </c>
      <c r="R1161" t="str">
        <f>"FARMÁCIA INDIANA LJ 48 (10018)"</f>
        <v>FARMÁCIA INDIANA LJ 48 (10018)</v>
      </c>
      <c r="S1161" t="s">
        <v>48</v>
      </c>
      <c r="T1161">
        <v>17907</v>
      </c>
      <c r="U1161">
        <v>21825</v>
      </c>
      <c r="V1161" t="s">
        <v>48</v>
      </c>
    </row>
    <row r="1162" spans="1:22">
      <c r="A1162" t="str">
        <f t="shared" si="214"/>
        <v>10/09/2025</v>
      </c>
      <c r="B1162" t="str">
        <f>"SAÍDA"</f>
        <v>SAÍDA</v>
      </c>
      <c r="C1162" t="str">
        <f>"PIX"</f>
        <v>PIX</v>
      </c>
      <c r="D1162" t="str">
        <f>"21147"</f>
        <v>21147</v>
      </c>
      <c r="E1162" t="str">
        <f>"1"</f>
        <v>1</v>
      </c>
      <c r="F1162" t="str">
        <f t="shared" si="210"/>
        <v>COM</v>
      </c>
      <c r="G1162" t="str">
        <f>"JOAO PEDRO BRITO DE SOUZA (876)"</f>
        <v>JOAO PEDRO BRITO DE SOUZA (876)</v>
      </c>
      <c r="H1162" t="s">
        <v>390</v>
      </c>
      <c r="I1162" t="str">
        <f>("11/09/2025")</f>
        <v>11/09/2025</v>
      </c>
      <c r="J1162" t="str">
        <f>("02/09/2025")</f>
        <v>02/09/2025</v>
      </c>
      <c r="K1162">
        <v>45910</v>
      </c>
      <c r="N1162">
        <v>109</v>
      </c>
      <c r="O1162" t="s">
        <v>24</v>
      </c>
      <c r="Q1162">
        <v>5.66</v>
      </c>
      <c r="R1162" t="str">
        <f>"FARMÁCIA INDIANA LJ 169 (10073)"</f>
        <v>FARMÁCIA INDIANA LJ 169 (10073)</v>
      </c>
      <c r="S1162" t="s">
        <v>48</v>
      </c>
      <c r="T1162">
        <v>17907</v>
      </c>
      <c r="U1162">
        <v>21825</v>
      </c>
      <c r="V1162" t="s">
        <v>48</v>
      </c>
    </row>
    <row r="1163" spans="1:22">
      <c r="A1163" t="str">
        <f t="shared" si="214"/>
        <v>10/09/2025</v>
      </c>
      <c r="B1163" t="str">
        <f>"SAÍDA"</f>
        <v>SAÍDA</v>
      </c>
      <c r="C1163" t="str">
        <f>"PIX"</f>
        <v>PIX</v>
      </c>
      <c r="D1163" t="str">
        <f>"21631"</f>
        <v>21631</v>
      </c>
      <c r="E1163" t="str">
        <f>"1"</f>
        <v>1</v>
      </c>
      <c r="F1163" t="str">
        <f t="shared" si="210"/>
        <v>COM</v>
      </c>
      <c r="G1163" t="str">
        <f>"JOCIMAR VAZ FERREIRA (197)"</f>
        <v>JOCIMAR VAZ FERREIRA (197)</v>
      </c>
      <c r="H1163" t="str">
        <f>"Serv.Prest. 01/09/2025 a 07/09/2025 - PIX: CELULAR - CHAVE: (33) 99924-7557"</f>
        <v>Serv.Prest. 01/09/2025 a 07/09/2025 - PIX: CELULAR - CHAVE: (33) 99924-7557</v>
      </c>
      <c r="I1163" t="str">
        <f>("11/09/2025")</f>
        <v>11/09/2025</v>
      </c>
      <c r="J1163" t="str">
        <f>("09/09/2025")</f>
        <v>09/09/2025</v>
      </c>
      <c r="K1163" t="str">
        <f>("10/09/2025")</f>
        <v>10/09/2025</v>
      </c>
      <c r="L1163">
        <v>20</v>
      </c>
      <c r="M1163">
        <v>20</v>
      </c>
      <c r="N1163">
        <v>109</v>
      </c>
      <c r="O1163" t="str">
        <f>"PAGAMENTO DE ENTREGADORES"</f>
        <v>PAGAMENTO DE ENTREGADORES</v>
      </c>
      <c r="P1163">
        <v>20</v>
      </c>
      <c r="S1163" t="str">
        <f>"CAIXA MOVIMENTAÇÃO OPERACIONAL (132)"</f>
        <v>CAIXA MOVIMENTAÇÃO OPERACIONAL (132)</v>
      </c>
      <c r="T1163">
        <v>17908</v>
      </c>
      <c r="U1163">
        <v>21826</v>
      </c>
      <c r="V1163" t="s">
        <v>48</v>
      </c>
    </row>
    <row r="1164" spans="1:22">
      <c r="A1164" t="str">
        <f t="shared" si="214"/>
        <v>10/09/2025</v>
      </c>
      <c r="B1164" t="str">
        <f>"SAÍDA"</f>
        <v>SAÍDA</v>
      </c>
      <c r="C1164" t="str">
        <f>"PIX"</f>
        <v>PIX</v>
      </c>
      <c r="D1164" t="str">
        <f>"21631"</f>
        <v>21631</v>
      </c>
      <c r="E1164" t="str">
        <f>"1"</f>
        <v>1</v>
      </c>
      <c r="F1164" t="str">
        <f t="shared" si="210"/>
        <v>COM</v>
      </c>
      <c r="G1164" t="str">
        <f>"JOCIMAR VAZ FERREIRA (197)"</f>
        <v>JOCIMAR VAZ FERREIRA (197)</v>
      </c>
      <c r="H1164" t="s">
        <v>391</v>
      </c>
      <c r="I1164" t="str">
        <f>("11/09/2025")</f>
        <v>11/09/2025</v>
      </c>
      <c r="J1164" t="str">
        <f>("09/09/2025")</f>
        <v>09/09/2025</v>
      </c>
      <c r="K1164">
        <v>45910</v>
      </c>
      <c r="N1164">
        <v>109</v>
      </c>
      <c r="O1164" t="s">
        <v>24</v>
      </c>
      <c r="Q1164">
        <v>20</v>
      </c>
      <c r="R1164" t="str">
        <f>"DROGARIA VAZ (10179)"</f>
        <v>DROGARIA VAZ (10179)</v>
      </c>
      <c r="S1164" t="s">
        <v>48</v>
      </c>
      <c r="T1164">
        <v>17908</v>
      </c>
      <c r="U1164">
        <v>21826</v>
      </c>
      <c r="V1164" t="s">
        <v>48</v>
      </c>
    </row>
    <row r="1165" spans="1:22">
      <c r="A1165" t="str">
        <f t="shared" si="214"/>
        <v>10/09/2025</v>
      </c>
      <c r="B1165" t="str">
        <f>"ENTRADA"</f>
        <v>ENTRADA</v>
      </c>
      <c r="C1165" t="str">
        <f>"DINHEIRO"</f>
        <v>DINHEIRO</v>
      </c>
      <c r="D1165" t="str">
        <f>"15"</f>
        <v>15</v>
      </c>
      <c r="E1165" t="str">
        <f>"33"</f>
        <v>33</v>
      </c>
      <c r="F1165" t="str">
        <f t="shared" si="210"/>
        <v>COM</v>
      </c>
      <c r="G1165" t="str">
        <f>"JOCIMAR VAZ FERREIRA (197)"</f>
        <v>JOCIMAR VAZ FERREIRA (197)</v>
      </c>
      <c r="H1165" t="str">
        <f>"DESCONTO COTA COOPERADO"</f>
        <v>DESCONTO COTA COOPERADO</v>
      </c>
      <c r="I1165" t="str">
        <f>("16/09/2025")</f>
        <v>16/09/2025</v>
      </c>
      <c r="J1165" t="str">
        <f>("16/01/2025")</f>
        <v>16/01/2025</v>
      </c>
      <c r="K1165" t="str">
        <f>("10/09/2025")</f>
        <v>10/09/2025</v>
      </c>
      <c r="L1165">
        <v>20</v>
      </c>
      <c r="M1165">
        <v>20</v>
      </c>
      <c r="N1165">
        <v>106</v>
      </c>
      <c r="O1165" t="str">
        <f>"ENTRADA DE CAPITAL"</f>
        <v>ENTRADA DE CAPITAL</v>
      </c>
      <c r="P1165">
        <v>20</v>
      </c>
      <c r="S1165" t="str">
        <f>"ENTRADA DE CAPITAL (106)"</f>
        <v>ENTRADA DE CAPITAL (106)</v>
      </c>
      <c r="T1165">
        <v>17909</v>
      </c>
      <c r="U1165">
        <v>6744</v>
      </c>
      <c r="V1165" t="s">
        <v>48</v>
      </c>
    </row>
    <row r="1166" spans="1:22">
      <c r="A1166" t="str">
        <f t="shared" si="214"/>
        <v>10/09/2025</v>
      </c>
      <c r="B1166" t="str">
        <f>"ENTRADA"</f>
        <v>ENTRADA</v>
      </c>
      <c r="C1166" t="str">
        <f>"DINHEIRO"</f>
        <v>DINHEIRO</v>
      </c>
      <c r="D1166" t="str">
        <f>"15"</f>
        <v>15</v>
      </c>
      <c r="E1166" t="str">
        <f>"33"</f>
        <v>33</v>
      </c>
      <c r="F1166" t="str">
        <f t="shared" si="210"/>
        <v>COM</v>
      </c>
      <c r="G1166" t="str">
        <f>"JOCIMAR VAZ FERREIRA (197)"</f>
        <v>JOCIMAR VAZ FERREIRA (197)</v>
      </c>
      <c r="H1166" t="s">
        <v>309</v>
      </c>
      <c r="I1166" t="str">
        <f>("16/09/2025")</f>
        <v>16/09/2025</v>
      </c>
      <c r="J1166" t="str">
        <f>("16/01/2025")</f>
        <v>16/01/2025</v>
      </c>
      <c r="K1166">
        <v>45910</v>
      </c>
      <c r="N1166">
        <v>106</v>
      </c>
      <c r="O1166" t="s">
        <v>51</v>
      </c>
      <c r="Q1166">
        <v>20</v>
      </c>
      <c r="R1166" t="str">
        <f>"JOCIMAR VAZ FERREIRA (197)"</f>
        <v>JOCIMAR VAZ FERREIRA (197)</v>
      </c>
      <c r="S1166" t="s">
        <v>52</v>
      </c>
      <c r="T1166">
        <v>17909</v>
      </c>
      <c r="U1166">
        <v>6744</v>
      </c>
      <c r="V1166" t="s">
        <v>48</v>
      </c>
    </row>
    <row r="1167" spans="1:22">
      <c r="A1167" t="str">
        <f t="shared" si="214"/>
        <v>10/09/2025</v>
      </c>
      <c r="B1167" t="str">
        <f>"ENTRADA"</f>
        <v>ENTRADA</v>
      </c>
      <c r="C1167" t="str">
        <f>"DINHEIRO"</f>
        <v>DINHEIRO</v>
      </c>
      <c r="D1167" t="str">
        <f>"662"</f>
        <v>662</v>
      </c>
      <c r="E1167" t="str">
        <f>"2"</f>
        <v>2</v>
      </c>
      <c r="F1167" t="str">
        <f t="shared" si="210"/>
        <v>COM</v>
      </c>
      <c r="G1167" t="str">
        <f>"J??NATAS GABRIEL PEREIRA SILVA (662)"</f>
        <v>J??NATAS GABRIEL PEREIRA SILVA (662)</v>
      </c>
      <c r="H1167" t="str">
        <f>"COTA COOPERATIVA"</f>
        <v>COTA COOPERATIVA</v>
      </c>
      <c r="I1167" t="str">
        <f>("10/09/2025")</f>
        <v>10/09/2025</v>
      </c>
      <c r="J1167" t="str">
        <f>("04/02/2025")</f>
        <v>04/02/2025</v>
      </c>
      <c r="K1167" t="str">
        <f>("10/09/2025")</f>
        <v>10/09/2025</v>
      </c>
      <c r="L1167">
        <v>20</v>
      </c>
      <c r="M1167">
        <v>20</v>
      </c>
      <c r="N1167">
        <v>106</v>
      </c>
      <c r="O1167" t="str">
        <f>"ENTRADA DE CAPITAL"</f>
        <v>ENTRADA DE CAPITAL</v>
      </c>
      <c r="P1167">
        <v>20</v>
      </c>
      <c r="S1167" t="str">
        <f>"ENTRADA DE CAPITAL (106)"</f>
        <v>ENTRADA DE CAPITAL (106)</v>
      </c>
      <c r="T1167">
        <v>17910</v>
      </c>
      <c r="U1167">
        <v>20076</v>
      </c>
      <c r="V1167" t="s">
        <v>48</v>
      </c>
    </row>
    <row r="1168" spans="1:22">
      <c r="A1168" t="str">
        <f t="shared" si="214"/>
        <v>10/09/2025</v>
      </c>
      <c r="B1168" t="str">
        <f>"SAÍDA"</f>
        <v>SAÍDA</v>
      </c>
      <c r="C1168" t="str">
        <f>"PIX"</f>
        <v>PIX</v>
      </c>
      <c r="D1168" t="str">
        <f>"21695"</f>
        <v>21695</v>
      </c>
      <c r="E1168" t="str">
        <f>"1"</f>
        <v>1</v>
      </c>
      <c r="F1168" t="str">
        <f t="shared" si="210"/>
        <v>COM</v>
      </c>
      <c r="G1168" t="str">
        <f>"JONATAS GABRIEL PEREIRA SILVA (662)"</f>
        <v>JONATAS GABRIEL PEREIRA SILVA (662)</v>
      </c>
      <c r="H1168" t="str">
        <f>"Serv.Prest. 01/09/2025 a 07/09/2025 - PIX: CELULAR - CHAVE: (64) 98118-5132"</f>
        <v>Serv.Prest. 01/09/2025 a 07/09/2025 - PIX: CELULAR - CHAVE: (64) 98118-5132</v>
      </c>
      <c r="I1168" t="str">
        <f>("11/09/2025")</f>
        <v>11/09/2025</v>
      </c>
      <c r="J1168" t="str">
        <f>("09/09/2025")</f>
        <v>09/09/2025</v>
      </c>
      <c r="K1168" t="str">
        <f>("10/09/2025")</f>
        <v>10/09/2025</v>
      </c>
      <c r="L1168">
        <v>20</v>
      </c>
      <c r="M1168">
        <v>20</v>
      </c>
      <c r="N1168">
        <v>109</v>
      </c>
      <c r="O1168" t="str">
        <f>"PAGAMENTO DE ENTREGADORES"</f>
        <v>PAGAMENTO DE ENTREGADORES</v>
      </c>
      <c r="P1168">
        <v>20</v>
      </c>
      <c r="S1168" t="str">
        <f>"CAIXA MOVIMENTAÇÃO OPERACIONAL (132)"</f>
        <v>CAIXA MOVIMENTAÇÃO OPERACIONAL (132)</v>
      </c>
      <c r="T1168">
        <v>17911</v>
      </c>
      <c r="U1168">
        <v>21827</v>
      </c>
      <c r="V1168" t="s">
        <v>48</v>
      </c>
    </row>
    <row r="1169" spans="1:22">
      <c r="A1169" t="str">
        <f t="shared" si="214"/>
        <v>10/09/2025</v>
      </c>
      <c r="B1169" t="str">
        <f>"SAÍDA"</f>
        <v>SAÍDA</v>
      </c>
      <c r="C1169" t="str">
        <f>"PIX"</f>
        <v>PIX</v>
      </c>
      <c r="D1169" t="str">
        <f>"21695"</f>
        <v>21695</v>
      </c>
      <c r="E1169" t="str">
        <f>"1"</f>
        <v>1</v>
      </c>
      <c r="F1169" t="str">
        <f t="shared" si="210"/>
        <v>COM</v>
      </c>
      <c r="G1169" t="str">
        <f>"JONATAS GABRIEL PEREIRA SILVA (662)"</f>
        <v>JONATAS GABRIEL PEREIRA SILVA (662)</v>
      </c>
      <c r="H1169" t="s">
        <v>392</v>
      </c>
      <c r="I1169" t="str">
        <f>("11/09/2025")</f>
        <v>11/09/2025</v>
      </c>
      <c r="J1169" t="str">
        <f>("09/09/2025")</f>
        <v>09/09/2025</v>
      </c>
      <c r="K1169">
        <v>45910</v>
      </c>
      <c r="N1169">
        <v>109</v>
      </c>
      <c r="O1169" t="s">
        <v>24</v>
      </c>
      <c r="Q1169">
        <v>20</v>
      </c>
      <c r="R1169" t="str">
        <f>"FARMACIA ECONOMIZE (10103)"</f>
        <v>FARMACIA ECONOMIZE (10103)</v>
      </c>
      <c r="S1169" t="s">
        <v>48</v>
      </c>
      <c r="T1169">
        <v>17911</v>
      </c>
      <c r="U1169">
        <v>21827</v>
      </c>
      <c r="V1169" t="s">
        <v>48</v>
      </c>
    </row>
    <row r="1170" spans="1:22">
      <c r="A1170" t="str">
        <f t="shared" si="214"/>
        <v>10/09/2025</v>
      </c>
      <c r="B1170" t="str">
        <f>"SAÍDA"</f>
        <v>SAÍDA</v>
      </c>
      <c r="C1170" t="str">
        <f>"PIX"</f>
        <v>PIX</v>
      </c>
      <c r="D1170" t="str">
        <f>"21457"</f>
        <v>21457</v>
      </c>
      <c r="E1170" t="str">
        <f>"1"</f>
        <v>1</v>
      </c>
      <c r="F1170" t="str">
        <f t="shared" si="210"/>
        <v>COM</v>
      </c>
      <c r="G1170" t="str">
        <f>"JOSÉ HENRIQUE RODRIGUES (430)"</f>
        <v>JOSÉ HENRIQUE RODRIGUES (430)</v>
      </c>
      <c r="H1170" t="str">
        <f>"Serv.Prest. 01/09/2025 a 07/09/2025 - PIX: CPF - CHAVE: 100.826.516-04"</f>
        <v>Serv.Prest. 01/09/2025 a 07/09/2025 - PIX: CPF - CHAVE: 100.826.516-04</v>
      </c>
      <c r="I1170" t="str">
        <f>("11/09/2025")</f>
        <v>11/09/2025</v>
      </c>
      <c r="J1170" t="str">
        <f>("08/09/2025")</f>
        <v>08/09/2025</v>
      </c>
      <c r="K1170" t="str">
        <f>("10/09/2025")</f>
        <v>10/09/2025</v>
      </c>
      <c r="L1170">
        <v>20</v>
      </c>
      <c r="M1170">
        <v>20</v>
      </c>
      <c r="N1170">
        <v>109</v>
      </c>
      <c r="O1170" t="str">
        <f>"PAGAMENTO DE ENTREGADORES"</f>
        <v>PAGAMENTO DE ENTREGADORES</v>
      </c>
      <c r="P1170">
        <v>20</v>
      </c>
      <c r="S1170" t="str">
        <f>"CAIXA MOVIMENTAÇÃO OPERACIONAL (132)"</f>
        <v>CAIXA MOVIMENTAÇÃO OPERACIONAL (132)</v>
      </c>
      <c r="T1170">
        <v>17912</v>
      </c>
      <c r="U1170">
        <v>21828</v>
      </c>
      <c r="V1170" t="s">
        <v>48</v>
      </c>
    </row>
    <row r="1171" spans="1:22">
      <c r="A1171" t="str">
        <f t="shared" si="214"/>
        <v>10/09/2025</v>
      </c>
      <c r="B1171" t="str">
        <f>"SAÍDA"</f>
        <v>SAÍDA</v>
      </c>
      <c r="C1171" t="str">
        <f>"PIX"</f>
        <v>PIX</v>
      </c>
      <c r="D1171" t="str">
        <f>"21457"</f>
        <v>21457</v>
      </c>
      <c r="E1171" t="str">
        <f>"1"</f>
        <v>1</v>
      </c>
      <c r="F1171" t="str">
        <f t="shared" si="210"/>
        <v>COM</v>
      </c>
      <c r="G1171" t="str">
        <f>"JOSÉ HENRIQUE RODRIGUES (430)"</f>
        <v>JOSÉ HENRIQUE RODRIGUES (430)</v>
      </c>
      <c r="H1171" t="s">
        <v>393</v>
      </c>
      <c r="I1171" t="str">
        <f>("11/09/2025")</f>
        <v>11/09/2025</v>
      </c>
      <c r="J1171" t="str">
        <f>("08/09/2025")</f>
        <v>08/09/2025</v>
      </c>
      <c r="K1171">
        <v>45910</v>
      </c>
      <c r="N1171">
        <v>109</v>
      </c>
      <c r="O1171" t="s">
        <v>24</v>
      </c>
      <c r="Q1171">
        <v>20</v>
      </c>
      <c r="R1171" t="str">
        <f>"PAGMENOS - LJ 608 (10135)"</f>
        <v>PAGMENOS - LJ 608 (10135)</v>
      </c>
      <c r="S1171" t="s">
        <v>48</v>
      </c>
      <c r="T1171">
        <v>17912</v>
      </c>
      <c r="U1171">
        <v>21828</v>
      </c>
      <c r="V1171" t="s">
        <v>48</v>
      </c>
    </row>
    <row r="1172" spans="1:22">
      <c r="A1172" t="str">
        <f t="shared" si="214"/>
        <v>10/09/2025</v>
      </c>
      <c r="B1172" t="str">
        <f>"ENTRADA"</f>
        <v>ENTRADA</v>
      </c>
      <c r="C1172" t="str">
        <f>"DINHEIRO"</f>
        <v>DINHEIRO</v>
      </c>
      <c r="D1172" t="str">
        <f>"5"</f>
        <v>5</v>
      </c>
      <c r="E1172" t="str">
        <f>"33"</f>
        <v>33</v>
      </c>
      <c r="F1172" t="str">
        <f t="shared" si="210"/>
        <v>COM</v>
      </c>
      <c r="G1172" t="str">
        <f>"JOSÉ HENRIQUE RODRIGUES (430)"</f>
        <v>JOSÉ HENRIQUE RODRIGUES (430)</v>
      </c>
      <c r="H1172" t="str">
        <f>"DESCONTO COTA COOPERADO"</f>
        <v>DESCONTO COTA COOPERADO</v>
      </c>
      <c r="I1172" t="str">
        <f>("16/09/2025")</f>
        <v>16/09/2025</v>
      </c>
      <c r="J1172" t="str">
        <f>("16/01/2025")</f>
        <v>16/01/2025</v>
      </c>
      <c r="K1172" t="str">
        <f>("10/09/2025")</f>
        <v>10/09/2025</v>
      </c>
      <c r="L1172">
        <v>20</v>
      </c>
      <c r="M1172">
        <v>20</v>
      </c>
      <c r="N1172">
        <v>106</v>
      </c>
      <c r="O1172" t="str">
        <f>"ENTRADA DE CAPITAL"</f>
        <v>ENTRADA DE CAPITAL</v>
      </c>
      <c r="P1172">
        <v>20</v>
      </c>
      <c r="S1172" t="str">
        <f>"ENTRADA DE CAPITAL (106)"</f>
        <v>ENTRADA DE CAPITAL (106)</v>
      </c>
      <c r="T1172">
        <v>17913</v>
      </c>
      <c r="U1172">
        <v>6777</v>
      </c>
      <c r="V1172" t="s">
        <v>48</v>
      </c>
    </row>
    <row r="1173" spans="1:22">
      <c r="A1173" t="str">
        <f t="shared" si="214"/>
        <v>10/09/2025</v>
      </c>
      <c r="B1173" t="str">
        <f>"ENTRADA"</f>
        <v>ENTRADA</v>
      </c>
      <c r="C1173" t="str">
        <f>"DINHEIRO"</f>
        <v>DINHEIRO</v>
      </c>
      <c r="D1173" t="str">
        <f>"5"</f>
        <v>5</v>
      </c>
      <c r="E1173" t="str">
        <f>"33"</f>
        <v>33</v>
      </c>
      <c r="F1173" t="str">
        <f t="shared" si="210"/>
        <v>COM</v>
      </c>
      <c r="G1173" t="str">
        <f>"JOSÉ HENRIQUE RODRIGUES (430)"</f>
        <v>JOSÉ HENRIQUE RODRIGUES (430)</v>
      </c>
      <c r="H1173" t="s">
        <v>309</v>
      </c>
      <c r="I1173" t="str">
        <f>("16/09/2025")</f>
        <v>16/09/2025</v>
      </c>
      <c r="J1173" t="str">
        <f>("16/01/2025")</f>
        <v>16/01/2025</v>
      </c>
      <c r="K1173">
        <v>45910</v>
      </c>
      <c r="N1173">
        <v>106</v>
      </c>
      <c r="O1173" t="s">
        <v>51</v>
      </c>
      <c r="Q1173">
        <v>20</v>
      </c>
      <c r="R1173" t="str">
        <f>"JOSÉ HENRIQUE RODRIGUES (430)"</f>
        <v>JOSÉ HENRIQUE RODRIGUES (430)</v>
      </c>
      <c r="S1173" t="s">
        <v>52</v>
      </c>
      <c r="T1173">
        <v>17913</v>
      </c>
      <c r="U1173">
        <v>6777</v>
      </c>
      <c r="V1173" t="s">
        <v>48</v>
      </c>
    </row>
    <row r="1174" spans="1:22">
      <c r="A1174" t="str">
        <f t="shared" si="214"/>
        <v>10/09/2025</v>
      </c>
      <c r="B1174" t="str">
        <f>"SAÍDA"</f>
        <v>SAÍDA</v>
      </c>
      <c r="C1174" t="str">
        <f>"PIX"</f>
        <v>PIX</v>
      </c>
      <c r="D1174" t="str">
        <f>"21215"</f>
        <v>21215</v>
      </c>
      <c r="E1174" t="str">
        <f>"1"</f>
        <v>1</v>
      </c>
      <c r="F1174" t="str">
        <f t="shared" si="210"/>
        <v>COM</v>
      </c>
      <c r="G1174" t="str">
        <f>"JUNIO DE ANDRADE ARRUDA (145)"</f>
        <v>JUNIO DE ANDRADE ARRUDA (145)</v>
      </c>
      <c r="H1174" t="str">
        <f>"Serv.Prest. 25/08/2025 a 31/08/2025 - PIX: CPF - CHAVE: 077.488.126-75"</f>
        <v>Serv.Prest. 25/08/2025 a 31/08/2025 - PIX: CPF - CHAVE: 077.488.126-75</v>
      </c>
      <c r="I1174" t="str">
        <f>("11/09/2025")</f>
        <v>11/09/2025</v>
      </c>
      <c r="J1174" t="str">
        <f>("02/09/2025")</f>
        <v>02/09/2025</v>
      </c>
      <c r="K1174" t="str">
        <f>("10/09/2025")</f>
        <v>10/09/2025</v>
      </c>
      <c r="L1174">
        <v>20</v>
      </c>
      <c r="M1174">
        <v>20</v>
      </c>
      <c r="N1174">
        <v>109</v>
      </c>
      <c r="O1174" t="str">
        <f>"PAGAMENTO DE ENTREGADORES"</f>
        <v>PAGAMENTO DE ENTREGADORES</v>
      </c>
      <c r="P1174">
        <v>20</v>
      </c>
      <c r="S1174" t="str">
        <f>"CAIXA MOVIMENTAÇÃO OPERACIONAL (132)"</f>
        <v>CAIXA MOVIMENTAÇÃO OPERACIONAL (132)</v>
      </c>
      <c r="T1174">
        <v>17914</v>
      </c>
      <c r="U1174">
        <v>21829</v>
      </c>
      <c r="V1174" t="s">
        <v>48</v>
      </c>
    </row>
    <row r="1175" spans="1:22">
      <c r="A1175" t="str">
        <f t="shared" si="214"/>
        <v>10/09/2025</v>
      </c>
      <c r="B1175" t="str">
        <f>"SAÍDA"</f>
        <v>SAÍDA</v>
      </c>
      <c r="C1175" t="str">
        <f>"PIX"</f>
        <v>PIX</v>
      </c>
      <c r="D1175" t="str">
        <f>"21215"</f>
        <v>21215</v>
      </c>
      <c r="E1175" t="str">
        <f>"1"</f>
        <v>1</v>
      </c>
      <c r="F1175" t="str">
        <f t="shared" si="210"/>
        <v>COM</v>
      </c>
      <c r="G1175" t="str">
        <f>"JUNIO DE ANDRADE ARRUDA (145)"</f>
        <v>JUNIO DE ANDRADE ARRUDA (145)</v>
      </c>
      <c r="H1175" t="s">
        <v>394</v>
      </c>
      <c r="I1175" t="str">
        <f>("11/09/2025")</f>
        <v>11/09/2025</v>
      </c>
      <c r="J1175" t="str">
        <f>("02/09/2025")</f>
        <v>02/09/2025</v>
      </c>
      <c r="K1175">
        <v>45910</v>
      </c>
      <c r="N1175">
        <v>109</v>
      </c>
      <c r="O1175" t="s">
        <v>24</v>
      </c>
      <c r="Q1175">
        <v>20</v>
      </c>
      <c r="R1175" t="str">
        <f>"FARMÁCIA INDIANA LJ 19 (10012)"</f>
        <v>FARMÁCIA INDIANA LJ 19 (10012)</v>
      </c>
      <c r="S1175" t="s">
        <v>48</v>
      </c>
      <c r="T1175">
        <v>17914</v>
      </c>
      <c r="U1175">
        <v>21829</v>
      </c>
      <c r="V1175" t="s">
        <v>48</v>
      </c>
    </row>
    <row r="1176" spans="1:22">
      <c r="A1176" t="str">
        <f t="shared" si="214"/>
        <v>10/09/2025</v>
      </c>
      <c r="B1176" t="str">
        <f>"ENTRADA"</f>
        <v>ENTRADA</v>
      </c>
      <c r="C1176" t="str">
        <f>"DINHEIRO"</f>
        <v>DINHEIRO</v>
      </c>
      <c r="D1176" t="str">
        <f>"17"</f>
        <v>17</v>
      </c>
      <c r="E1176" t="str">
        <f>"33"</f>
        <v>33</v>
      </c>
      <c r="F1176" t="str">
        <f t="shared" si="210"/>
        <v>COM</v>
      </c>
      <c r="G1176" t="str">
        <f>"JUNIO DE ANDRADE ARRUDA (145)"</f>
        <v>JUNIO DE ANDRADE ARRUDA (145)</v>
      </c>
      <c r="H1176" t="str">
        <f>"DESCONTO COTA COOPERADO"</f>
        <v>DESCONTO COTA COOPERADO</v>
      </c>
      <c r="I1176" t="str">
        <f>("16/09/2025")</f>
        <v>16/09/2025</v>
      </c>
      <c r="J1176" t="str">
        <f>("16/01/2025")</f>
        <v>16/01/2025</v>
      </c>
      <c r="K1176" t="str">
        <f>("10/09/2025")</f>
        <v>10/09/2025</v>
      </c>
      <c r="L1176">
        <v>20</v>
      </c>
      <c r="M1176">
        <v>20</v>
      </c>
      <c r="N1176">
        <v>106</v>
      </c>
      <c r="O1176" t="str">
        <f>"ENTRADA DE CAPITAL"</f>
        <v>ENTRADA DE CAPITAL</v>
      </c>
      <c r="P1176">
        <v>20</v>
      </c>
      <c r="S1176" t="str">
        <f>"ENTRADA DE CAPITAL (106)"</f>
        <v>ENTRADA DE CAPITAL (106)</v>
      </c>
      <c r="T1176">
        <v>17915</v>
      </c>
      <c r="U1176">
        <v>6806</v>
      </c>
      <c r="V1176" t="s">
        <v>48</v>
      </c>
    </row>
    <row r="1177" spans="1:22">
      <c r="A1177" t="str">
        <f t="shared" si="214"/>
        <v>10/09/2025</v>
      </c>
      <c r="B1177" t="str">
        <f>"ENTRADA"</f>
        <v>ENTRADA</v>
      </c>
      <c r="C1177" t="str">
        <f>"DINHEIRO"</f>
        <v>DINHEIRO</v>
      </c>
      <c r="D1177" t="str">
        <f>"17"</f>
        <v>17</v>
      </c>
      <c r="E1177" t="str">
        <f>"33"</f>
        <v>33</v>
      </c>
      <c r="F1177" t="str">
        <f t="shared" si="210"/>
        <v>COM</v>
      </c>
      <c r="G1177" t="str">
        <f>"JUNIO DE ANDRADE ARRUDA (145)"</f>
        <v>JUNIO DE ANDRADE ARRUDA (145)</v>
      </c>
      <c r="H1177" t="s">
        <v>309</v>
      </c>
      <c r="I1177" t="str">
        <f>("16/09/2025")</f>
        <v>16/09/2025</v>
      </c>
      <c r="J1177" t="str">
        <f>("16/01/2025")</f>
        <v>16/01/2025</v>
      </c>
      <c r="K1177">
        <v>45910</v>
      </c>
      <c r="N1177">
        <v>106</v>
      </c>
      <c r="O1177" t="s">
        <v>51</v>
      </c>
      <c r="Q1177">
        <v>20</v>
      </c>
      <c r="R1177" t="str">
        <f>"JUNIO DE ANDRADE ARRUDA (145)"</f>
        <v>JUNIO DE ANDRADE ARRUDA (145)</v>
      </c>
      <c r="S1177" t="s">
        <v>52</v>
      </c>
      <c r="T1177">
        <v>17915</v>
      </c>
      <c r="U1177">
        <v>6806</v>
      </c>
      <c r="V1177" t="s">
        <v>48</v>
      </c>
    </row>
    <row r="1178" spans="1:22">
      <c r="A1178" t="str">
        <f t="shared" si="214"/>
        <v>10/09/2025</v>
      </c>
      <c r="B1178" t="str">
        <f>"SAÍDA"</f>
        <v>SAÍDA</v>
      </c>
      <c r="C1178" t="str">
        <f>"PIX"</f>
        <v>PIX</v>
      </c>
      <c r="D1178" t="str">
        <f>"21148"</f>
        <v>21148</v>
      </c>
      <c r="E1178" t="str">
        <f>"1"</f>
        <v>1</v>
      </c>
      <c r="F1178" t="str">
        <f t="shared" si="210"/>
        <v>COM</v>
      </c>
      <c r="G1178" t="str">
        <f>"JUNIO SOUZA SILVA (610)"</f>
        <v>JUNIO SOUZA SILVA (610)</v>
      </c>
      <c r="H1178" t="str">
        <f>"Serv.Prest. 25/08/2025 a 31/08/2025 - PIX: CELULAR - CHAVE: (73) 98105-2187"</f>
        <v>Serv.Prest. 25/08/2025 a 31/08/2025 - PIX: CELULAR - CHAVE: (73) 98105-2187</v>
      </c>
      <c r="I1178" t="str">
        <f>("11/09/2025")</f>
        <v>11/09/2025</v>
      </c>
      <c r="J1178" t="str">
        <f>("02/09/2025")</f>
        <v>02/09/2025</v>
      </c>
      <c r="K1178" t="str">
        <f>("10/09/2025")</f>
        <v>10/09/2025</v>
      </c>
      <c r="L1178">
        <v>20</v>
      </c>
      <c r="M1178">
        <v>20</v>
      </c>
      <c r="N1178">
        <v>109</v>
      </c>
      <c r="O1178" t="str">
        <f>"PAGAMENTO DE ENTREGADORES"</f>
        <v>PAGAMENTO DE ENTREGADORES</v>
      </c>
      <c r="P1178">
        <v>20</v>
      </c>
      <c r="S1178" t="str">
        <f>"CAIXA MOVIMENTAÇÃO OPERACIONAL (132)"</f>
        <v>CAIXA MOVIMENTAÇÃO OPERACIONAL (132)</v>
      </c>
      <c r="T1178">
        <v>17916</v>
      </c>
      <c r="U1178">
        <v>21830</v>
      </c>
      <c r="V1178" t="s">
        <v>48</v>
      </c>
    </row>
    <row r="1179" spans="1:22">
      <c r="A1179" t="str">
        <f t="shared" si="214"/>
        <v>10/09/2025</v>
      </c>
      <c r="B1179" t="str">
        <f>"SAÍDA"</f>
        <v>SAÍDA</v>
      </c>
      <c r="C1179" t="str">
        <f>"PIX"</f>
        <v>PIX</v>
      </c>
      <c r="D1179" t="str">
        <f>"21148"</f>
        <v>21148</v>
      </c>
      <c r="E1179" t="str">
        <f>"1"</f>
        <v>1</v>
      </c>
      <c r="F1179" t="str">
        <f t="shared" si="210"/>
        <v>COM</v>
      </c>
      <c r="G1179" t="str">
        <f>"JUNIO SOUZA SILVA (610)"</f>
        <v>JUNIO SOUZA SILVA (610)</v>
      </c>
      <c r="H1179" t="s">
        <v>395</v>
      </c>
      <c r="I1179" t="str">
        <f>("11/09/2025")</f>
        <v>11/09/2025</v>
      </c>
      <c r="J1179" t="str">
        <f>("02/09/2025")</f>
        <v>02/09/2025</v>
      </c>
      <c r="K1179">
        <v>45910</v>
      </c>
      <c r="N1179">
        <v>109</v>
      </c>
      <c r="O1179" t="s">
        <v>24</v>
      </c>
      <c r="Q1179">
        <v>20</v>
      </c>
      <c r="R1179" t="str">
        <f>"FARMÁCIA INDIANA LJ 77 (10034)"</f>
        <v>FARMÁCIA INDIANA LJ 77 (10034)</v>
      </c>
      <c r="S1179" t="s">
        <v>48</v>
      </c>
      <c r="T1179">
        <v>17916</v>
      </c>
      <c r="U1179">
        <v>21830</v>
      </c>
      <c r="V1179" t="s">
        <v>48</v>
      </c>
    </row>
    <row r="1180" spans="1:22">
      <c r="A1180" t="str">
        <f t="shared" si="214"/>
        <v>10/09/2025</v>
      </c>
      <c r="B1180" t="str">
        <f>"ENTRADA"</f>
        <v>ENTRADA</v>
      </c>
      <c r="C1180" t="str">
        <f>"DINHEIRO"</f>
        <v>DINHEIRO</v>
      </c>
      <c r="D1180" t="str">
        <f>"610"</f>
        <v>610</v>
      </c>
      <c r="E1180" t="str">
        <f>"8"</f>
        <v>8</v>
      </c>
      <c r="F1180" t="str">
        <f t="shared" ref="F1180:F1243" si="215">"COM"</f>
        <v>COM</v>
      </c>
      <c r="G1180" t="str">
        <f>"JUNIO SOUZA SILVA (610)"</f>
        <v>JUNIO SOUZA SILVA (610)</v>
      </c>
      <c r="H1180" t="str">
        <f>"COTAS COOPERATIVA"</f>
        <v>COTAS COOPERATIVA</v>
      </c>
      <c r="I1180" t="str">
        <f>("13/09/2025")</f>
        <v>13/09/2025</v>
      </c>
      <c r="J1180" t="str">
        <f>("12/02/2025")</f>
        <v>12/02/2025</v>
      </c>
      <c r="K1180" t="str">
        <f>("10/09/2025")</f>
        <v>10/09/2025</v>
      </c>
      <c r="L1180">
        <v>20</v>
      </c>
      <c r="M1180">
        <v>20</v>
      </c>
      <c r="N1180">
        <v>106</v>
      </c>
      <c r="O1180" t="str">
        <f>"ENTRADA DE CAPITAL"</f>
        <v>ENTRADA DE CAPITAL</v>
      </c>
      <c r="P1180">
        <v>20</v>
      </c>
      <c r="S1180" t="str">
        <f>"ENTRADA DE CAPITAL (106)"</f>
        <v>ENTRADA DE CAPITAL (106)</v>
      </c>
      <c r="T1180">
        <v>17917</v>
      </c>
      <c r="U1180">
        <v>9353</v>
      </c>
      <c r="V1180" t="s">
        <v>48</v>
      </c>
    </row>
    <row r="1181" spans="1:22">
      <c r="A1181" t="str">
        <f t="shared" si="214"/>
        <v>10/09/2025</v>
      </c>
      <c r="B1181" t="str">
        <f>"ENTRADA"</f>
        <v>ENTRADA</v>
      </c>
      <c r="C1181" t="str">
        <f>"DINHEIRO"</f>
        <v>DINHEIRO</v>
      </c>
      <c r="D1181" t="str">
        <f>"610"</f>
        <v>610</v>
      </c>
      <c r="E1181" t="str">
        <f>"8"</f>
        <v>8</v>
      </c>
      <c r="F1181" t="str">
        <f t="shared" si="215"/>
        <v>COM</v>
      </c>
      <c r="G1181" t="str">
        <f>"JUNIO SOUZA SILVA (610)"</f>
        <v>JUNIO SOUZA SILVA (610)</v>
      </c>
      <c r="H1181" t="s">
        <v>318</v>
      </c>
      <c r="I1181" t="str">
        <f>("13/09/2025")</f>
        <v>13/09/2025</v>
      </c>
      <c r="J1181" t="str">
        <f>("12/02/2025")</f>
        <v>12/02/2025</v>
      </c>
      <c r="K1181">
        <v>45910</v>
      </c>
      <c r="N1181">
        <v>106</v>
      </c>
      <c r="O1181" t="s">
        <v>51</v>
      </c>
      <c r="Q1181">
        <v>20</v>
      </c>
      <c r="R1181" t="str">
        <f>"JUNIO SOUZA SILVA (610)"</f>
        <v>JUNIO SOUZA SILVA (610)</v>
      </c>
      <c r="S1181" t="s">
        <v>52</v>
      </c>
      <c r="T1181">
        <v>17917</v>
      </c>
      <c r="U1181">
        <v>9353</v>
      </c>
      <c r="V1181" t="s">
        <v>48</v>
      </c>
    </row>
    <row r="1182" spans="1:22">
      <c r="A1182" t="str">
        <f t="shared" si="214"/>
        <v>10/09/2025</v>
      </c>
      <c r="B1182" t="str">
        <f>"ENTRADA"</f>
        <v>ENTRADA</v>
      </c>
      <c r="C1182" t="str">
        <f>"DINHEIRO"</f>
        <v>DINHEIRO</v>
      </c>
      <c r="D1182" t="str">
        <f>"735"</f>
        <v>735</v>
      </c>
      <c r="E1182" t="str">
        <f>"5"</f>
        <v>5</v>
      </c>
      <c r="F1182" t="str">
        <f t="shared" si="215"/>
        <v>COM</v>
      </c>
      <c r="G1182" t="str">
        <f>"KELVIN NUBIO DE SOUZA TOLEDO (735)"</f>
        <v>KELVIN NUBIO DE SOUZA TOLEDO (735)</v>
      </c>
      <c r="H1182" t="str">
        <f>"COTA COOPERATIVA"</f>
        <v>COTA COOPERATIVA</v>
      </c>
      <c r="I1182" t="str">
        <f>("08/09/2025")</f>
        <v>08/09/2025</v>
      </c>
      <c r="J1182" t="str">
        <f>("01/04/2025")</f>
        <v>01/04/2025</v>
      </c>
      <c r="K1182" t="str">
        <f>("10/09/2025")</f>
        <v>10/09/2025</v>
      </c>
      <c r="L1182">
        <v>20</v>
      </c>
      <c r="M1182">
        <v>20</v>
      </c>
      <c r="N1182">
        <v>106</v>
      </c>
      <c r="O1182" t="str">
        <f>"ENTRADA DE CAPITAL"</f>
        <v>ENTRADA DE CAPITAL</v>
      </c>
      <c r="P1182">
        <v>20</v>
      </c>
      <c r="S1182" t="str">
        <f>"ENTRADA DE CAPITAL (106)"</f>
        <v>ENTRADA DE CAPITAL (106)</v>
      </c>
      <c r="T1182">
        <v>17918</v>
      </c>
      <c r="U1182">
        <v>14129</v>
      </c>
      <c r="V1182" t="s">
        <v>48</v>
      </c>
    </row>
    <row r="1183" spans="1:22">
      <c r="A1183" t="str">
        <f t="shared" si="214"/>
        <v>10/09/2025</v>
      </c>
      <c r="B1183" t="str">
        <f>"ENTRADA"</f>
        <v>ENTRADA</v>
      </c>
      <c r="C1183" t="str">
        <f>"DINHEIRO"</f>
        <v>DINHEIRO</v>
      </c>
      <c r="D1183" t="str">
        <f>"735"</f>
        <v>735</v>
      </c>
      <c r="E1183" t="str">
        <f>"5"</f>
        <v>5</v>
      </c>
      <c r="F1183" t="str">
        <f t="shared" si="215"/>
        <v>COM</v>
      </c>
      <c r="G1183" t="str">
        <f>"KELVIN NUBIO DE SOUZA TOLEDO (735)"</f>
        <v>KELVIN NUBIO DE SOUZA TOLEDO (735)</v>
      </c>
      <c r="H1183" t="s">
        <v>50</v>
      </c>
      <c r="I1183" t="str">
        <f>("08/09/2025")</f>
        <v>08/09/2025</v>
      </c>
      <c r="J1183" t="str">
        <f>("01/04/2025")</f>
        <v>01/04/2025</v>
      </c>
      <c r="K1183">
        <v>45910</v>
      </c>
      <c r="N1183">
        <v>106</v>
      </c>
      <c r="O1183" t="s">
        <v>51</v>
      </c>
      <c r="Q1183">
        <v>20</v>
      </c>
      <c r="R1183" t="str">
        <f>"KELVIN NUBIO DE SOUZA TOLEDO (735)"</f>
        <v>KELVIN NUBIO DE SOUZA TOLEDO (735)</v>
      </c>
      <c r="S1183" t="s">
        <v>52</v>
      </c>
      <c r="T1183">
        <v>17918</v>
      </c>
      <c r="U1183">
        <v>14129</v>
      </c>
      <c r="V1183" t="s">
        <v>48</v>
      </c>
    </row>
    <row r="1184" spans="1:22">
      <c r="A1184" t="str">
        <f t="shared" si="214"/>
        <v>10/09/2025</v>
      </c>
      <c r="B1184" t="str">
        <f>"SAÍDA"</f>
        <v>SAÍDA</v>
      </c>
      <c r="C1184" t="str">
        <f>"PIX"</f>
        <v>PIX</v>
      </c>
      <c r="D1184" t="str">
        <f>"21538"</f>
        <v>21538</v>
      </c>
      <c r="E1184" t="str">
        <f>"1"</f>
        <v>1</v>
      </c>
      <c r="F1184" t="str">
        <f t="shared" si="215"/>
        <v>COM</v>
      </c>
      <c r="G1184" t="str">
        <f>"KELVIN NUBIO DE SOUZA TOLEDO (735)"</f>
        <v>KELVIN NUBIO DE SOUZA TOLEDO (735)</v>
      </c>
      <c r="H1184" t="str">
        <f>"Serv.Prest. 01/09/2025 a 07/09/2025 - PIX: CHAVE ALEATÓRIA - CHAVE: c489bee1-360b-4fa9-86c4-fbb0e9844cb8"</f>
        <v>Serv.Prest. 01/09/2025 a 07/09/2025 - PIX: CHAVE ALEATÓRIA - CHAVE: c489bee1-360b-4fa9-86c4-fbb0e9844cb8</v>
      </c>
      <c r="I1184" t="str">
        <f>("18/09/2025")</f>
        <v>18/09/2025</v>
      </c>
      <c r="J1184" t="str">
        <f>("08/09/2025")</f>
        <v>08/09/2025</v>
      </c>
      <c r="K1184" t="str">
        <f>("10/09/2025")</f>
        <v>10/09/2025</v>
      </c>
      <c r="L1184">
        <v>20</v>
      </c>
      <c r="M1184">
        <v>20</v>
      </c>
      <c r="N1184">
        <v>109</v>
      </c>
      <c r="O1184" t="str">
        <f>"PAGAMENTO DE ENTREGADORES"</f>
        <v>PAGAMENTO DE ENTREGADORES</v>
      </c>
      <c r="P1184">
        <v>20</v>
      </c>
      <c r="S1184" t="str">
        <f>"CAIXA MOVIMENTAÇÃO OPERACIONAL (132)"</f>
        <v>CAIXA MOVIMENTAÇÃO OPERACIONAL (132)</v>
      </c>
      <c r="T1184">
        <v>17919</v>
      </c>
      <c r="U1184">
        <v>21831</v>
      </c>
      <c r="V1184" t="s">
        <v>48</v>
      </c>
    </row>
    <row r="1185" spans="1:22">
      <c r="A1185" t="str">
        <f t="shared" si="214"/>
        <v>10/09/2025</v>
      </c>
      <c r="B1185" t="str">
        <f>"SAÍDA"</f>
        <v>SAÍDA</v>
      </c>
      <c r="C1185" t="str">
        <f>"PIX"</f>
        <v>PIX</v>
      </c>
      <c r="D1185" t="str">
        <f>"21538"</f>
        <v>21538</v>
      </c>
      <c r="E1185" t="str">
        <f>"1"</f>
        <v>1</v>
      </c>
      <c r="F1185" t="str">
        <f t="shared" si="215"/>
        <v>COM</v>
      </c>
      <c r="G1185" t="str">
        <f>"KELVIN NUBIO DE SOUZA TOLEDO (735)"</f>
        <v>KELVIN NUBIO DE SOUZA TOLEDO (735)</v>
      </c>
      <c r="H1185" t="s">
        <v>396</v>
      </c>
      <c r="I1185" t="str">
        <f>("18/09/2025")</f>
        <v>18/09/2025</v>
      </c>
      <c r="J1185" t="str">
        <f>("08/09/2025")</f>
        <v>08/09/2025</v>
      </c>
      <c r="K1185">
        <v>45910</v>
      </c>
      <c r="N1185">
        <v>109</v>
      </c>
      <c r="O1185" t="s">
        <v>24</v>
      </c>
      <c r="Q1185">
        <v>20</v>
      </c>
      <c r="R1185" t="str">
        <f>"FARMÁCIA INDIANA LJ 152 (10069)"</f>
        <v>FARMÁCIA INDIANA LJ 152 (10069)</v>
      </c>
      <c r="S1185" t="s">
        <v>48</v>
      </c>
      <c r="T1185">
        <v>17919</v>
      </c>
      <c r="U1185">
        <v>21831</v>
      </c>
      <c r="V1185" t="s">
        <v>48</v>
      </c>
    </row>
    <row r="1186" spans="1:22">
      <c r="A1186" t="str">
        <f t="shared" si="214"/>
        <v>10/09/2025</v>
      </c>
      <c r="B1186" t="str">
        <f>"ENTRADA"</f>
        <v>ENTRADA</v>
      </c>
      <c r="C1186" t="str">
        <f>"DINHEIRO"</f>
        <v>DINHEIRO</v>
      </c>
      <c r="D1186" t="str">
        <f>"2608"</f>
        <v>2608</v>
      </c>
      <c r="E1186" t="str">
        <f>"25"</f>
        <v>25</v>
      </c>
      <c r="F1186" t="str">
        <f t="shared" si="215"/>
        <v>COM</v>
      </c>
      <c r="G1186" t="str">
        <f>"LEONARDO DOS REIS GOMES (23)"</f>
        <v>LEONARDO DOS REIS GOMES (23)</v>
      </c>
      <c r="H1186" t="str">
        <f>"REEMBOLSO COMPRA BAG"</f>
        <v>REEMBOLSO COMPRA BAG</v>
      </c>
      <c r="I1186" t="str">
        <f>("25/08/2025")</f>
        <v>25/08/2025</v>
      </c>
      <c r="J1186" t="str">
        <f>("25/08/2025")</f>
        <v>25/08/2025</v>
      </c>
      <c r="K1186" t="str">
        <f>("10/09/2025")</f>
        <v>10/09/2025</v>
      </c>
      <c r="L1186">
        <v>88</v>
      </c>
      <c r="M1186">
        <v>88</v>
      </c>
      <c r="N1186">
        <v>108</v>
      </c>
      <c r="O1186" t="str">
        <f>"RECEITAS COM REEMBOLSOS"</f>
        <v>RECEITAS COM REEMBOLSOS</v>
      </c>
      <c r="P1186">
        <v>88</v>
      </c>
      <c r="S1186" t="str">
        <f>"RECEITAS COM REEMBOLSOS (108)"</f>
        <v>RECEITAS COM REEMBOLSOS (108)</v>
      </c>
      <c r="T1186">
        <v>17920</v>
      </c>
      <c r="U1186">
        <v>21832</v>
      </c>
      <c r="V1186" t="s">
        <v>48</v>
      </c>
    </row>
    <row r="1187" spans="1:22">
      <c r="A1187" t="str">
        <f t="shared" si="214"/>
        <v>10/09/2025</v>
      </c>
      <c r="B1187" t="str">
        <f>"ENTRADA"</f>
        <v>ENTRADA</v>
      </c>
      <c r="C1187" t="str">
        <f>"DINHEIRO"</f>
        <v>DINHEIRO</v>
      </c>
      <c r="D1187" t="str">
        <f>"2608"</f>
        <v>2608</v>
      </c>
      <c r="E1187" t="str">
        <f>"25"</f>
        <v>25</v>
      </c>
      <c r="F1187" t="str">
        <f t="shared" si="215"/>
        <v>COM</v>
      </c>
      <c r="G1187" t="str">
        <f>"LEONARDO DOS REIS GOMES (23)"</f>
        <v>LEONARDO DOS REIS GOMES (23)</v>
      </c>
      <c r="H1187" t="s">
        <v>64</v>
      </c>
      <c r="I1187" t="str">
        <f>("25/08/2025")</f>
        <v>25/08/2025</v>
      </c>
      <c r="J1187" t="str">
        <f>("25/08/2025")</f>
        <v>25/08/2025</v>
      </c>
      <c r="K1187">
        <v>45910</v>
      </c>
      <c r="N1187">
        <v>108</v>
      </c>
      <c r="O1187" t="s">
        <v>54</v>
      </c>
      <c r="Q1187">
        <v>88</v>
      </c>
      <c r="R1187" t="str">
        <f>"LEONARDO DOS REIS GOMES (23)"</f>
        <v>LEONARDO DOS REIS GOMES (23)</v>
      </c>
      <c r="S1187" t="s">
        <v>55</v>
      </c>
      <c r="T1187">
        <v>17920</v>
      </c>
      <c r="U1187">
        <v>21832</v>
      </c>
      <c r="V1187" t="s">
        <v>48</v>
      </c>
    </row>
    <row r="1188" spans="1:22">
      <c r="A1188" t="str">
        <f t="shared" si="214"/>
        <v>10/09/2025</v>
      </c>
      <c r="B1188" t="str">
        <f>"SAÍDA"</f>
        <v>SAÍDA</v>
      </c>
      <c r="C1188" t="str">
        <f>"PIX"</f>
        <v>PIX</v>
      </c>
      <c r="D1188" t="str">
        <f>"21221"</f>
        <v>21221</v>
      </c>
      <c r="E1188" t="str">
        <f>"1"</f>
        <v>1</v>
      </c>
      <c r="F1188" t="str">
        <f t="shared" si="215"/>
        <v>COM</v>
      </c>
      <c r="G1188" t="str">
        <f>"LEONARDO DOS REIS GOMES (23)"</f>
        <v>LEONARDO DOS REIS GOMES (23)</v>
      </c>
      <c r="H1188" t="str">
        <f>"Serv.Prest. 25/08/2025 a 31/08/2025 - PIX: CELULAR - CHAVE: (33) 99860-1035"</f>
        <v>Serv.Prest. 25/08/2025 a 31/08/2025 - PIX: CELULAR - CHAVE: (33) 99860-1035</v>
      </c>
      <c r="I1188" t="str">
        <f>("11/09/2025")</f>
        <v>11/09/2025</v>
      </c>
      <c r="J1188" t="str">
        <f>("02/09/2025")</f>
        <v>02/09/2025</v>
      </c>
      <c r="K1188" t="str">
        <f>("10/09/2025")</f>
        <v>10/09/2025</v>
      </c>
      <c r="L1188">
        <v>88</v>
      </c>
      <c r="M1188">
        <v>88</v>
      </c>
      <c r="N1188">
        <v>109</v>
      </c>
      <c r="O1188" t="str">
        <f>"PAGAMENTO DE ENTREGADORES"</f>
        <v>PAGAMENTO DE ENTREGADORES</v>
      </c>
      <c r="P1188">
        <v>88</v>
      </c>
      <c r="S1188" t="str">
        <f>"CAIXA MOVIMENTAÇÃO OPERACIONAL (132)"</f>
        <v>CAIXA MOVIMENTAÇÃO OPERACIONAL (132)</v>
      </c>
      <c r="T1188">
        <v>17921</v>
      </c>
      <c r="U1188">
        <v>21221</v>
      </c>
      <c r="V1188" t="s">
        <v>48</v>
      </c>
    </row>
    <row r="1189" spans="1:22">
      <c r="A1189" t="str">
        <f t="shared" si="214"/>
        <v>10/09/2025</v>
      </c>
      <c r="B1189" t="str">
        <f>"SAÍDA"</f>
        <v>SAÍDA</v>
      </c>
      <c r="C1189" t="str">
        <f>"PIX"</f>
        <v>PIX</v>
      </c>
      <c r="D1189" t="str">
        <f>"21221"</f>
        <v>21221</v>
      </c>
      <c r="E1189" t="str">
        <f>"1"</f>
        <v>1</v>
      </c>
      <c r="F1189" t="str">
        <f t="shared" si="215"/>
        <v>COM</v>
      </c>
      <c r="G1189" t="str">
        <f>"LEONARDO DOS REIS GOMES (23)"</f>
        <v>LEONARDO DOS REIS GOMES (23)</v>
      </c>
      <c r="H1189" t="s">
        <v>397</v>
      </c>
      <c r="I1189" t="str">
        <f>("11/09/2025")</f>
        <v>11/09/2025</v>
      </c>
      <c r="J1189" t="str">
        <f>("02/09/2025")</f>
        <v>02/09/2025</v>
      </c>
      <c r="K1189">
        <v>45910</v>
      </c>
      <c r="N1189">
        <v>109</v>
      </c>
      <c r="O1189" t="s">
        <v>24</v>
      </c>
      <c r="Q1189">
        <v>77</v>
      </c>
      <c r="R1189" t="str">
        <f>"FARMÁCIA INDIANA LJ 40 (10016)"</f>
        <v>FARMÁCIA INDIANA LJ 40 (10016)</v>
      </c>
      <c r="S1189" t="s">
        <v>48</v>
      </c>
      <c r="T1189">
        <v>17921</v>
      </c>
      <c r="U1189">
        <v>21221</v>
      </c>
      <c r="V1189" t="s">
        <v>48</v>
      </c>
    </row>
    <row r="1190" spans="1:22">
      <c r="A1190" t="str">
        <f t="shared" si="214"/>
        <v>10/09/2025</v>
      </c>
      <c r="B1190" t="str">
        <f>"SAÍDA"</f>
        <v>SAÍDA</v>
      </c>
      <c r="C1190" t="str">
        <f>"PIX"</f>
        <v>PIX</v>
      </c>
      <c r="D1190" t="str">
        <f>"21221"</f>
        <v>21221</v>
      </c>
      <c r="E1190" t="str">
        <f>"1"</f>
        <v>1</v>
      </c>
      <c r="F1190" t="str">
        <f t="shared" si="215"/>
        <v>COM</v>
      </c>
      <c r="G1190" t="str">
        <f>"LEONARDO DOS REIS GOMES (23)"</f>
        <v>LEONARDO DOS REIS GOMES (23)</v>
      </c>
      <c r="H1190" t="s">
        <v>397</v>
      </c>
      <c r="I1190" t="str">
        <f>("11/09/2025")</f>
        <v>11/09/2025</v>
      </c>
      <c r="J1190" t="str">
        <f>("02/09/2025")</f>
        <v>02/09/2025</v>
      </c>
      <c r="K1190">
        <v>45910</v>
      </c>
      <c r="N1190">
        <v>109</v>
      </c>
      <c r="O1190" t="s">
        <v>24</v>
      </c>
      <c r="Q1190">
        <v>11</v>
      </c>
      <c r="R1190" t="str">
        <f>"FARMÁCIA INDIANA LJ 61 (10027)"</f>
        <v>FARMÁCIA INDIANA LJ 61 (10027)</v>
      </c>
      <c r="S1190" t="s">
        <v>48</v>
      </c>
      <c r="T1190">
        <v>17921</v>
      </c>
      <c r="U1190">
        <v>21221</v>
      </c>
      <c r="V1190" t="s">
        <v>48</v>
      </c>
    </row>
    <row r="1191" spans="1:22">
      <c r="A1191" t="str">
        <f t="shared" si="214"/>
        <v>10/09/2025</v>
      </c>
      <c r="B1191" t="str">
        <f>"SAÍDA"</f>
        <v>SAÍDA</v>
      </c>
      <c r="C1191" t="str">
        <f>"PIX"</f>
        <v>PIX</v>
      </c>
      <c r="D1191" t="str">
        <f>"21149"</f>
        <v>21149</v>
      </c>
      <c r="E1191" t="str">
        <f>"1"</f>
        <v>1</v>
      </c>
      <c r="F1191" t="str">
        <f t="shared" si="215"/>
        <v>COM</v>
      </c>
      <c r="G1191" t="str">
        <f>"LEONARDO MERCÊS CAJAZEIRAS (235)"</f>
        <v>LEONARDO MERCÊS CAJAZEIRAS (235)</v>
      </c>
      <c r="H1191" t="str">
        <f>"Serv.Prest. 25/08/2025 a 31/08/2025 - PIX: CELULAR - CHAVE: (73) 99803-0715"</f>
        <v>Serv.Prest. 25/08/2025 a 31/08/2025 - PIX: CELULAR - CHAVE: (73) 99803-0715</v>
      </c>
      <c r="I1191" t="str">
        <f>("11/09/2025")</f>
        <v>11/09/2025</v>
      </c>
      <c r="J1191" t="str">
        <f>("02/09/2025")</f>
        <v>02/09/2025</v>
      </c>
      <c r="K1191" t="str">
        <f>("10/09/2025")</f>
        <v>10/09/2025</v>
      </c>
      <c r="L1191">
        <v>20</v>
      </c>
      <c r="M1191">
        <v>20</v>
      </c>
      <c r="N1191">
        <v>109</v>
      </c>
      <c r="O1191" t="str">
        <f>"PAGAMENTO DE ENTREGADORES"</f>
        <v>PAGAMENTO DE ENTREGADORES</v>
      </c>
      <c r="P1191">
        <v>20</v>
      </c>
      <c r="S1191" t="str">
        <f>"CAIXA MOVIMENTAÇÃO OPERACIONAL (132)"</f>
        <v>CAIXA MOVIMENTAÇÃO OPERACIONAL (132)</v>
      </c>
      <c r="T1191">
        <v>17922</v>
      </c>
      <c r="U1191">
        <v>21833</v>
      </c>
      <c r="V1191" t="s">
        <v>48</v>
      </c>
    </row>
    <row r="1192" spans="1:22">
      <c r="A1192" t="str">
        <f t="shared" si="214"/>
        <v>10/09/2025</v>
      </c>
      <c r="B1192" t="str">
        <f>"SAÍDA"</f>
        <v>SAÍDA</v>
      </c>
      <c r="C1192" t="str">
        <f>"PIX"</f>
        <v>PIX</v>
      </c>
      <c r="D1192" t="str">
        <f>"21149"</f>
        <v>21149</v>
      </c>
      <c r="E1192" t="str">
        <f>"1"</f>
        <v>1</v>
      </c>
      <c r="F1192" t="str">
        <f t="shared" si="215"/>
        <v>COM</v>
      </c>
      <c r="G1192" t="str">
        <f>"LEONARDO MERCÊS CAJAZEIRAS (235)"</f>
        <v>LEONARDO MERCÊS CAJAZEIRAS (235)</v>
      </c>
      <c r="H1192" t="s">
        <v>398</v>
      </c>
      <c r="I1192" t="str">
        <f>("11/09/2025")</f>
        <v>11/09/2025</v>
      </c>
      <c r="J1192" t="str">
        <f>("02/09/2025")</f>
        <v>02/09/2025</v>
      </c>
      <c r="K1192">
        <v>45910</v>
      </c>
      <c r="N1192">
        <v>109</v>
      </c>
      <c r="O1192" t="s">
        <v>24</v>
      </c>
      <c r="Q1192">
        <v>20</v>
      </c>
      <c r="R1192" t="str">
        <f>"FARMÁCIA INDIANA LJ 35 (10015)"</f>
        <v>FARMÁCIA INDIANA LJ 35 (10015)</v>
      </c>
      <c r="S1192" t="s">
        <v>48</v>
      </c>
      <c r="T1192">
        <v>17922</v>
      </c>
      <c r="U1192">
        <v>21833</v>
      </c>
      <c r="V1192" t="s">
        <v>48</v>
      </c>
    </row>
    <row r="1193" spans="1:22">
      <c r="A1193" t="str">
        <f t="shared" si="214"/>
        <v>10/09/2025</v>
      </c>
      <c r="B1193" t="str">
        <f>"ENTRADA"</f>
        <v>ENTRADA</v>
      </c>
      <c r="C1193" t="str">
        <f>"DINHEIRO"</f>
        <v>DINHEIRO</v>
      </c>
      <c r="D1193" t="str">
        <f>"08"</f>
        <v>08</v>
      </c>
      <c r="E1193" t="str">
        <f>"33"</f>
        <v>33</v>
      </c>
      <c r="F1193" t="str">
        <f t="shared" si="215"/>
        <v>COM</v>
      </c>
      <c r="G1193" t="str">
        <f>"LEONARDO MERCÊS CAJAZEIRAS (235)"</f>
        <v>LEONARDO MERCÊS CAJAZEIRAS (235)</v>
      </c>
      <c r="H1193" t="str">
        <f>"DESCONTO COTA COOPERADO"</f>
        <v>DESCONTO COTA COOPERADO</v>
      </c>
      <c r="I1193" t="str">
        <f>("16/09/2025")</f>
        <v>16/09/2025</v>
      </c>
      <c r="J1193" t="str">
        <f>("16/01/2025")</f>
        <v>16/01/2025</v>
      </c>
      <c r="K1193" t="str">
        <f>("10/09/2025")</f>
        <v>10/09/2025</v>
      </c>
      <c r="L1193">
        <v>20</v>
      </c>
      <c r="M1193">
        <v>20</v>
      </c>
      <c r="N1193">
        <v>106</v>
      </c>
      <c r="O1193" t="str">
        <f>"ENTRADA DE CAPITAL"</f>
        <v>ENTRADA DE CAPITAL</v>
      </c>
      <c r="P1193">
        <v>20</v>
      </c>
      <c r="S1193" t="str">
        <f>"ENTRADA DE CAPITAL (106)"</f>
        <v>ENTRADA DE CAPITAL (106)</v>
      </c>
      <c r="T1193">
        <v>17923</v>
      </c>
      <c r="U1193">
        <v>6937</v>
      </c>
      <c r="V1193" t="s">
        <v>48</v>
      </c>
    </row>
    <row r="1194" spans="1:22">
      <c r="A1194" t="str">
        <f t="shared" si="214"/>
        <v>10/09/2025</v>
      </c>
      <c r="B1194" t="str">
        <f>"ENTRADA"</f>
        <v>ENTRADA</v>
      </c>
      <c r="C1194" t="str">
        <f>"DINHEIRO"</f>
        <v>DINHEIRO</v>
      </c>
      <c r="D1194" t="str">
        <f>"08"</f>
        <v>08</v>
      </c>
      <c r="E1194" t="str">
        <f>"33"</f>
        <v>33</v>
      </c>
      <c r="F1194" t="str">
        <f t="shared" si="215"/>
        <v>COM</v>
      </c>
      <c r="G1194" t="str">
        <f>"LEONARDO MERCÊS CAJAZEIRAS (235)"</f>
        <v>LEONARDO MERCÊS CAJAZEIRAS (235)</v>
      </c>
      <c r="H1194" t="s">
        <v>309</v>
      </c>
      <c r="I1194" t="str">
        <f>("16/09/2025")</f>
        <v>16/09/2025</v>
      </c>
      <c r="J1194" t="str">
        <f>("16/01/2025")</f>
        <v>16/01/2025</v>
      </c>
      <c r="K1194">
        <v>45910</v>
      </c>
      <c r="N1194">
        <v>106</v>
      </c>
      <c r="O1194" t="s">
        <v>51</v>
      </c>
      <c r="Q1194">
        <v>20</v>
      </c>
      <c r="R1194" t="str">
        <f>"LEONARDO MERCÊS CAJAZEIRAS (235)"</f>
        <v>LEONARDO MERCÊS CAJAZEIRAS (235)</v>
      </c>
      <c r="S1194" t="s">
        <v>52</v>
      </c>
      <c r="T1194">
        <v>17923</v>
      </c>
      <c r="U1194">
        <v>6937</v>
      </c>
      <c r="V1194" t="s">
        <v>48</v>
      </c>
    </row>
    <row r="1195" spans="1:22">
      <c r="A1195" t="str">
        <f t="shared" si="214"/>
        <v>10/09/2025</v>
      </c>
      <c r="B1195" t="str">
        <f>"ENTRADA"</f>
        <v>ENTRADA</v>
      </c>
      <c r="C1195" t="str">
        <f>"DINHEIRO"</f>
        <v>DINHEIRO</v>
      </c>
      <c r="D1195" t="str">
        <f>"716"</f>
        <v>716</v>
      </c>
      <c r="E1195" t="str">
        <f>"5"</f>
        <v>5</v>
      </c>
      <c r="F1195" t="str">
        <f t="shared" si="215"/>
        <v>COM</v>
      </c>
      <c r="G1195" t="str">
        <f>"LEONICIO CORR??A DA SILVA (716)"</f>
        <v>LEONICIO CORR??A DA SILVA (716)</v>
      </c>
      <c r="H1195" t="str">
        <f>"COTA COOPERATIVA"</f>
        <v>COTA COOPERATIVA</v>
      </c>
      <c r="I1195" t="str">
        <f>("08/09/2025")</f>
        <v>08/09/2025</v>
      </c>
      <c r="J1195" t="str">
        <f>("06/04/2025")</f>
        <v>06/04/2025</v>
      </c>
      <c r="K1195" t="str">
        <f>("10/09/2025")</f>
        <v>10/09/2025</v>
      </c>
      <c r="L1195">
        <v>20</v>
      </c>
      <c r="M1195">
        <v>20</v>
      </c>
      <c r="N1195">
        <v>106</v>
      </c>
      <c r="O1195" t="str">
        <f>"ENTRADA DE CAPITAL"</f>
        <v>ENTRADA DE CAPITAL</v>
      </c>
      <c r="P1195">
        <v>20</v>
      </c>
      <c r="S1195" t="str">
        <f>"ENTRADA DE CAPITAL (106)"</f>
        <v>ENTRADA DE CAPITAL (106)</v>
      </c>
      <c r="T1195">
        <v>17924</v>
      </c>
      <c r="U1195">
        <v>14158</v>
      </c>
      <c r="V1195" t="s">
        <v>48</v>
      </c>
    </row>
    <row r="1196" spans="1:22">
      <c r="A1196" t="str">
        <f t="shared" si="214"/>
        <v>10/09/2025</v>
      </c>
      <c r="B1196" t="str">
        <f>"ENTRADA"</f>
        <v>ENTRADA</v>
      </c>
      <c r="C1196" t="str">
        <f>"DINHEIRO"</f>
        <v>DINHEIRO</v>
      </c>
      <c r="D1196" t="str">
        <f>"716"</f>
        <v>716</v>
      </c>
      <c r="E1196" t="str">
        <f>"5"</f>
        <v>5</v>
      </c>
      <c r="F1196" t="str">
        <f t="shared" si="215"/>
        <v>COM</v>
      </c>
      <c r="G1196" t="str">
        <f>"LEONICIO CORR??A DA SILVA (716)"</f>
        <v>LEONICIO CORR??A DA SILVA (716)</v>
      </c>
      <c r="H1196" t="s">
        <v>50</v>
      </c>
      <c r="I1196" t="str">
        <f>("08/09/2025")</f>
        <v>08/09/2025</v>
      </c>
      <c r="J1196" t="str">
        <f>("06/04/2025")</f>
        <v>06/04/2025</v>
      </c>
      <c r="K1196">
        <v>45910</v>
      </c>
      <c r="N1196">
        <v>106</v>
      </c>
      <c r="O1196" t="s">
        <v>51</v>
      </c>
      <c r="Q1196">
        <v>20</v>
      </c>
      <c r="R1196" t="str">
        <f>"LEONICIO CORR??A DA SILVA (716)"</f>
        <v>LEONICIO CORR??A DA SILVA (716)</v>
      </c>
      <c r="S1196" t="s">
        <v>52</v>
      </c>
      <c r="T1196">
        <v>17924</v>
      </c>
      <c r="U1196">
        <v>14158</v>
      </c>
      <c r="V1196" t="s">
        <v>48</v>
      </c>
    </row>
    <row r="1197" spans="1:22">
      <c r="A1197" t="str">
        <f t="shared" si="214"/>
        <v>10/09/2025</v>
      </c>
      <c r="B1197" t="str">
        <f>"SAÍDA"</f>
        <v>SAÍDA</v>
      </c>
      <c r="C1197" t="str">
        <f>"PIX"</f>
        <v>PIX</v>
      </c>
      <c r="D1197" t="str">
        <f>"21439"</f>
        <v>21439</v>
      </c>
      <c r="E1197" t="str">
        <f>"1"</f>
        <v>1</v>
      </c>
      <c r="F1197" t="str">
        <f t="shared" si="215"/>
        <v>COM</v>
      </c>
      <c r="G1197" t="str">
        <f>"LEONICIO CORREA DA SILVA (716)"</f>
        <v>LEONICIO CORREA DA SILVA (716)</v>
      </c>
      <c r="H1197" t="str">
        <f>"Serv.Prest. 01/09/2025 a 07/09/2025 - PIX: CPF - CHAVE: 138.263.636-98"</f>
        <v>Serv.Prest. 01/09/2025 a 07/09/2025 - PIX: CPF - CHAVE: 138.263.636-98</v>
      </c>
      <c r="I1197" t="str">
        <f t="shared" ref="I1197:I1203" si="216">("11/09/2025")</f>
        <v>11/09/2025</v>
      </c>
      <c r="J1197" t="str">
        <f>("08/09/2025")</f>
        <v>08/09/2025</v>
      </c>
      <c r="K1197" t="str">
        <f>("10/09/2025")</f>
        <v>10/09/2025</v>
      </c>
      <c r="L1197">
        <v>20</v>
      </c>
      <c r="M1197">
        <v>20</v>
      </c>
      <c r="N1197">
        <v>109</v>
      </c>
      <c r="O1197" t="str">
        <f>"PAGAMENTO DE ENTREGADORES"</f>
        <v>PAGAMENTO DE ENTREGADORES</v>
      </c>
      <c r="P1197">
        <v>20</v>
      </c>
      <c r="S1197" t="str">
        <f>"CAIXA MOVIMENTAÇÃO OPERACIONAL (132)"</f>
        <v>CAIXA MOVIMENTAÇÃO OPERACIONAL (132)</v>
      </c>
      <c r="T1197">
        <v>17925</v>
      </c>
      <c r="U1197">
        <v>21834</v>
      </c>
      <c r="V1197" t="s">
        <v>48</v>
      </c>
    </row>
    <row r="1198" spans="1:22">
      <c r="A1198" t="str">
        <f t="shared" si="214"/>
        <v>10/09/2025</v>
      </c>
      <c r="B1198" t="str">
        <f>"SAÍDA"</f>
        <v>SAÍDA</v>
      </c>
      <c r="C1198" t="str">
        <f>"PIX"</f>
        <v>PIX</v>
      </c>
      <c r="D1198" t="str">
        <f>"21439"</f>
        <v>21439</v>
      </c>
      <c r="E1198" t="str">
        <f>"1"</f>
        <v>1</v>
      </c>
      <c r="F1198" t="str">
        <f t="shared" si="215"/>
        <v>COM</v>
      </c>
      <c r="G1198" t="str">
        <f>"LEONICIO CORREA DA SILVA (716)"</f>
        <v>LEONICIO CORREA DA SILVA (716)</v>
      </c>
      <c r="H1198" t="s">
        <v>399</v>
      </c>
      <c r="I1198" t="str">
        <f t="shared" si="216"/>
        <v>11/09/2025</v>
      </c>
      <c r="J1198" t="str">
        <f>("08/09/2025")</f>
        <v>08/09/2025</v>
      </c>
      <c r="K1198">
        <v>45910</v>
      </c>
      <c r="N1198">
        <v>109</v>
      </c>
      <c r="O1198" t="s">
        <v>24</v>
      </c>
      <c r="Q1198">
        <v>20</v>
      </c>
      <c r="R1198" t="str">
        <f>"ENTREFARMA (10164)"</f>
        <v>ENTREFARMA (10164)</v>
      </c>
      <c r="S1198" t="s">
        <v>48</v>
      </c>
      <c r="T1198">
        <v>17925</v>
      </c>
      <c r="U1198">
        <v>21834</v>
      </c>
      <c r="V1198" t="s">
        <v>48</v>
      </c>
    </row>
    <row r="1199" spans="1:22">
      <c r="A1199" t="str">
        <f t="shared" si="214"/>
        <v>10/09/2025</v>
      </c>
      <c r="B1199" t="str">
        <f>"ENTRADA"</f>
        <v>ENTRADA</v>
      </c>
      <c r="C1199" t="str">
        <f>"DINHEIRO"</f>
        <v>DINHEIRO</v>
      </c>
      <c r="D1199" t="str">
        <f>"1109"</f>
        <v>1109</v>
      </c>
      <c r="E1199" t="str">
        <f>"25"</f>
        <v>25</v>
      </c>
      <c r="F1199" t="str">
        <f t="shared" si="215"/>
        <v>COM</v>
      </c>
      <c r="G1199" t="str">
        <f t="shared" ref="G1199:G1205" si="217">"LUAN DOS SANTOS NUNES (719)"</f>
        <v>LUAN DOS SANTOS NUNES (719)</v>
      </c>
      <c r="H1199" t="str">
        <f>"REEMBOLSO COMPRA BAG"</f>
        <v>REEMBOLSO COMPRA BAG</v>
      </c>
      <c r="I1199" t="str">
        <f t="shared" si="216"/>
        <v>11/09/2025</v>
      </c>
      <c r="J1199" t="str">
        <f>("11/09/2025")</f>
        <v>11/09/2025</v>
      </c>
      <c r="K1199" t="str">
        <f>("10/09/2025")</f>
        <v>10/09/2025</v>
      </c>
      <c r="L1199">
        <v>76.680000000000007</v>
      </c>
      <c r="M1199">
        <v>76.680000000000007</v>
      </c>
      <c r="N1199">
        <v>108</v>
      </c>
      <c r="O1199" t="str">
        <f>"RECEITAS COM REEMBOLSOS"</f>
        <v>RECEITAS COM REEMBOLSOS</v>
      </c>
      <c r="P1199">
        <v>76.680000000000007</v>
      </c>
      <c r="S1199" t="str">
        <f>"RECEITAS COM REEMBOLSOS (108)"</f>
        <v>RECEITAS COM REEMBOLSOS (108)</v>
      </c>
      <c r="T1199">
        <v>17926</v>
      </c>
      <c r="U1199">
        <v>21031</v>
      </c>
      <c r="V1199" t="s">
        <v>48</v>
      </c>
    </row>
    <row r="1200" spans="1:22">
      <c r="A1200" t="str">
        <f t="shared" si="214"/>
        <v>10/09/2025</v>
      </c>
      <c r="B1200" t="str">
        <f>"ENTRADA"</f>
        <v>ENTRADA</v>
      </c>
      <c r="C1200" t="str">
        <f>"DINHEIRO"</f>
        <v>DINHEIRO</v>
      </c>
      <c r="D1200" t="str">
        <f>"1109"</f>
        <v>1109</v>
      </c>
      <c r="E1200" t="str">
        <f>"25"</f>
        <v>25</v>
      </c>
      <c r="F1200" t="str">
        <f t="shared" si="215"/>
        <v>COM</v>
      </c>
      <c r="G1200" t="str">
        <f t="shared" si="217"/>
        <v>LUAN DOS SANTOS NUNES (719)</v>
      </c>
      <c r="H1200" t="s">
        <v>64</v>
      </c>
      <c r="I1200" t="str">
        <f t="shared" si="216"/>
        <v>11/09/2025</v>
      </c>
      <c r="J1200" t="str">
        <f>("11/09/2025")</f>
        <v>11/09/2025</v>
      </c>
      <c r="K1200">
        <v>45910</v>
      </c>
      <c r="N1200">
        <v>108</v>
      </c>
      <c r="O1200" t="s">
        <v>54</v>
      </c>
      <c r="Q1200">
        <v>76.680000000000007</v>
      </c>
      <c r="R1200" t="str">
        <f>"LUAN DOS SANTOS NUNES (719)"</f>
        <v>LUAN DOS SANTOS NUNES (719)</v>
      </c>
      <c r="S1200" t="s">
        <v>55</v>
      </c>
      <c r="T1200">
        <v>17926</v>
      </c>
      <c r="U1200">
        <v>21031</v>
      </c>
      <c r="V1200" t="s">
        <v>48</v>
      </c>
    </row>
    <row r="1201" spans="1:22">
      <c r="A1201" t="str">
        <f t="shared" si="214"/>
        <v>10/09/2025</v>
      </c>
      <c r="B1201" t="str">
        <f>"SAÍDA"</f>
        <v>SAÍDA</v>
      </c>
      <c r="C1201" t="str">
        <f>"PIX"</f>
        <v>PIX</v>
      </c>
      <c r="D1201" t="str">
        <f>"21224"</f>
        <v>21224</v>
      </c>
      <c r="E1201" t="str">
        <f>"1"</f>
        <v>1</v>
      </c>
      <c r="F1201" t="str">
        <f t="shared" si="215"/>
        <v>COM</v>
      </c>
      <c r="G1201" t="str">
        <f t="shared" si="217"/>
        <v>LUAN DOS SANTOS NUNES (719)</v>
      </c>
      <c r="H1201" t="str">
        <f>"Serv.Prest. 25/08/2025 a 31/08/2025 - PIX: CELULAR - CHAVE: (33) 98749-4693"</f>
        <v>Serv.Prest. 25/08/2025 a 31/08/2025 - PIX: CELULAR - CHAVE: (33) 98749-4693</v>
      </c>
      <c r="I1201" t="str">
        <f t="shared" si="216"/>
        <v>11/09/2025</v>
      </c>
      <c r="J1201" t="str">
        <f>("02/09/2025")</f>
        <v>02/09/2025</v>
      </c>
      <c r="K1201" t="str">
        <f>("10/09/2025")</f>
        <v>10/09/2025</v>
      </c>
      <c r="L1201">
        <v>96.68</v>
      </c>
      <c r="M1201">
        <v>96.68</v>
      </c>
      <c r="N1201">
        <v>109</v>
      </c>
      <c r="O1201" t="str">
        <f>"PAGAMENTO DE ENTREGADORES"</f>
        <v>PAGAMENTO DE ENTREGADORES</v>
      </c>
      <c r="P1201">
        <v>96.68</v>
      </c>
      <c r="S1201" t="str">
        <f>"CAIXA MOVIMENTAÇÃO OPERACIONAL (132)"</f>
        <v>CAIXA MOVIMENTAÇÃO OPERACIONAL (132)</v>
      </c>
      <c r="T1201">
        <v>17927</v>
      </c>
      <c r="U1201">
        <v>21835</v>
      </c>
      <c r="V1201" t="s">
        <v>48</v>
      </c>
    </row>
    <row r="1202" spans="1:22">
      <c r="A1202" t="str">
        <f t="shared" si="214"/>
        <v>10/09/2025</v>
      </c>
      <c r="B1202" t="str">
        <f>"SAÍDA"</f>
        <v>SAÍDA</v>
      </c>
      <c r="C1202" t="str">
        <f>"PIX"</f>
        <v>PIX</v>
      </c>
      <c r="D1202" t="str">
        <f>"21224"</f>
        <v>21224</v>
      </c>
      <c r="E1202" t="str">
        <f>"1"</f>
        <v>1</v>
      </c>
      <c r="F1202" t="str">
        <f t="shared" si="215"/>
        <v>COM</v>
      </c>
      <c r="G1202" t="str">
        <f t="shared" si="217"/>
        <v>LUAN DOS SANTOS NUNES (719)</v>
      </c>
      <c r="H1202" t="s">
        <v>400</v>
      </c>
      <c r="I1202" t="str">
        <f t="shared" si="216"/>
        <v>11/09/2025</v>
      </c>
      <c r="J1202" t="str">
        <f>("02/09/2025")</f>
        <v>02/09/2025</v>
      </c>
      <c r="K1202">
        <v>45910</v>
      </c>
      <c r="N1202">
        <v>109</v>
      </c>
      <c r="O1202" t="s">
        <v>24</v>
      </c>
      <c r="Q1202">
        <v>19.28</v>
      </c>
      <c r="R1202" t="str">
        <f>"FARMÁCIA INDIANA LJ 40 (10016)"</f>
        <v>FARMÁCIA INDIANA LJ 40 (10016)</v>
      </c>
      <c r="S1202" t="s">
        <v>48</v>
      </c>
      <c r="T1202">
        <v>17927</v>
      </c>
      <c r="U1202">
        <v>21835</v>
      </c>
      <c r="V1202" t="s">
        <v>48</v>
      </c>
    </row>
    <row r="1203" spans="1:22">
      <c r="A1203" t="str">
        <f t="shared" si="214"/>
        <v>10/09/2025</v>
      </c>
      <c r="B1203" t="str">
        <f>"SAÍDA"</f>
        <v>SAÍDA</v>
      </c>
      <c r="C1203" t="str">
        <f>"PIX"</f>
        <v>PIX</v>
      </c>
      <c r="D1203" t="str">
        <f>"21224"</f>
        <v>21224</v>
      </c>
      <c r="E1203" t="str">
        <f>"1"</f>
        <v>1</v>
      </c>
      <c r="F1203" t="str">
        <f t="shared" si="215"/>
        <v>COM</v>
      </c>
      <c r="G1203" t="str">
        <f t="shared" si="217"/>
        <v>LUAN DOS SANTOS NUNES (719)</v>
      </c>
      <c r="H1203" t="s">
        <v>400</v>
      </c>
      <c r="I1203" t="str">
        <f t="shared" si="216"/>
        <v>11/09/2025</v>
      </c>
      <c r="J1203" t="str">
        <f>("02/09/2025")</f>
        <v>02/09/2025</v>
      </c>
      <c r="K1203">
        <v>45910</v>
      </c>
      <c r="N1203">
        <v>109</v>
      </c>
      <c r="O1203" t="s">
        <v>24</v>
      </c>
      <c r="Q1203">
        <v>77.400000000000006</v>
      </c>
      <c r="R1203" t="str">
        <f>"FARMÁCIA INDIANA LJ 61 (10027)"</f>
        <v>FARMÁCIA INDIANA LJ 61 (10027)</v>
      </c>
      <c r="S1203" t="s">
        <v>48</v>
      </c>
      <c r="T1203">
        <v>17927</v>
      </c>
      <c r="U1203">
        <v>21835</v>
      </c>
      <c r="V1203" t="s">
        <v>48</v>
      </c>
    </row>
    <row r="1204" spans="1:22">
      <c r="A1204" t="str">
        <f t="shared" si="214"/>
        <v>10/09/2025</v>
      </c>
      <c r="B1204" t="str">
        <f>"ENTRADA"</f>
        <v>ENTRADA</v>
      </c>
      <c r="C1204" t="str">
        <f>"DINHEIRO"</f>
        <v>DINHEIRO</v>
      </c>
      <c r="D1204" t="str">
        <f>"719"</f>
        <v>719</v>
      </c>
      <c r="E1204" t="str">
        <f>"5"</f>
        <v>5</v>
      </c>
      <c r="F1204" t="str">
        <f t="shared" si="215"/>
        <v>COM</v>
      </c>
      <c r="G1204" t="str">
        <f t="shared" si="217"/>
        <v>LUAN DOS SANTOS NUNES (719)</v>
      </c>
      <c r="H1204" t="str">
        <f>"COTA COOPERATIVA"</f>
        <v>COTA COOPERATIVA</v>
      </c>
      <c r="I1204" t="str">
        <f>("15/09/2025")</f>
        <v>15/09/2025</v>
      </c>
      <c r="J1204" t="str">
        <f>("07/04/2025")</f>
        <v>07/04/2025</v>
      </c>
      <c r="K1204" t="str">
        <f>("10/09/2025")</f>
        <v>10/09/2025</v>
      </c>
      <c r="L1204">
        <v>20</v>
      </c>
      <c r="M1204">
        <v>20</v>
      </c>
      <c r="N1204">
        <v>106</v>
      </c>
      <c r="O1204" t="str">
        <f>"ENTRADA DE CAPITAL"</f>
        <v>ENTRADA DE CAPITAL</v>
      </c>
      <c r="P1204">
        <v>20</v>
      </c>
      <c r="S1204" t="str">
        <f>"ENTRADA DE CAPITAL (106)"</f>
        <v>ENTRADA DE CAPITAL (106)</v>
      </c>
      <c r="T1204">
        <v>17928</v>
      </c>
      <c r="U1204">
        <v>13044</v>
      </c>
      <c r="V1204" t="s">
        <v>48</v>
      </c>
    </row>
    <row r="1205" spans="1:22">
      <c r="A1205" t="str">
        <f t="shared" si="214"/>
        <v>10/09/2025</v>
      </c>
      <c r="B1205" t="str">
        <f>"ENTRADA"</f>
        <v>ENTRADA</v>
      </c>
      <c r="C1205" t="str">
        <f>"DINHEIRO"</f>
        <v>DINHEIRO</v>
      </c>
      <c r="D1205" t="str">
        <f>"719"</f>
        <v>719</v>
      </c>
      <c r="E1205" t="str">
        <f>"5"</f>
        <v>5</v>
      </c>
      <c r="F1205" t="str">
        <f t="shared" si="215"/>
        <v>COM</v>
      </c>
      <c r="G1205" t="str">
        <f t="shared" si="217"/>
        <v>LUAN DOS SANTOS NUNES (719)</v>
      </c>
      <c r="H1205" t="s">
        <v>50</v>
      </c>
      <c r="I1205" t="str">
        <f>("15/09/2025")</f>
        <v>15/09/2025</v>
      </c>
      <c r="J1205" t="str">
        <f>("07/04/2025")</f>
        <v>07/04/2025</v>
      </c>
      <c r="K1205">
        <v>45910</v>
      </c>
      <c r="N1205">
        <v>106</v>
      </c>
      <c r="O1205" t="s">
        <v>51</v>
      </c>
      <c r="Q1205">
        <v>20</v>
      </c>
      <c r="R1205" t="str">
        <f>"LUAN DOS SANTOS NUNES (719)"</f>
        <v>LUAN DOS SANTOS NUNES (719)</v>
      </c>
      <c r="S1205" t="s">
        <v>52</v>
      </c>
      <c r="T1205">
        <v>17928</v>
      </c>
      <c r="U1205">
        <v>13044</v>
      </c>
      <c r="V1205" t="s">
        <v>48</v>
      </c>
    </row>
    <row r="1206" spans="1:22">
      <c r="A1206" t="str">
        <f t="shared" ref="A1206:A1269" si="218">("10/09/2025")</f>
        <v>10/09/2025</v>
      </c>
      <c r="B1206" t="str">
        <f>"SAÍDA"</f>
        <v>SAÍDA</v>
      </c>
      <c r="C1206" t="str">
        <f>"PIX"</f>
        <v>PIX</v>
      </c>
      <c r="D1206" t="str">
        <f>"21226"</f>
        <v>21226</v>
      </c>
      <c r="E1206" t="str">
        <f>"1"</f>
        <v>1</v>
      </c>
      <c r="F1206" t="str">
        <f t="shared" si="215"/>
        <v>COM</v>
      </c>
      <c r="G1206" t="str">
        <f>"LUAN VICTOR SERQUEIRA DA SILVA (577)"</f>
        <v>LUAN VICTOR SERQUEIRA DA SILVA (577)</v>
      </c>
      <c r="H1206" t="str">
        <f>"Serv.Prest. 25/08/2025 a 31/08/2025 - PIX: CPF - CHAVE: 161.508.516-56"</f>
        <v>Serv.Prest. 25/08/2025 a 31/08/2025 - PIX: CPF - CHAVE: 161.508.516-56</v>
      </c>
      <c r="I1206" t="str">
        <f>("11/09/2025")</f>
        <v>11/09/2025</v>
      </c>
      <c r="J1206" t="str">
        <f>("02/09/2025")</f>
        <v>02/09/2025</v>
      </c>
      <c r="K1206" t="str">
        <f>("10/09/2025")</f>
        <v>10/09/2025</v>
      </c>
      <c r="L1206">
        <v>18.5</v>
      </c>
      <c r="M1206">
        <v>20</v>
      </c>
      <c r="N1206">
        <v>109</v>
      </c>
      <c r="O1206" t="str">
        <f>"PAGAMENTO DE ENTREGADORES"</f>
        <v>PAGAMENTO DE ENTREGADORES</v>
      </c>
      <c r="P1206">
        <v>20</v>
      </c>
      <c r="S1206" t="str">
        <f>"CAIXA MOVIMENTAÇÃO OPERACIONAL (132)"</f>
        <v>CAIXA MOVIMENTAÇÃO OPERACIONAL (132)</v>
      </c>
      <c r="T1206">
        <v>17930</v>
      </c>
      <c r="U1206">
        <v>21836</v>
      </c>
      <c r="V1206" t="s">
        <v>48</v>
      </c>
    </row>
    <row r="1207" spans="1:22">
      <c r="A1207" t="str">
        <f t="shared" si="218"/>
        <v>10/09/2025</v>
      </c>
      <c r="B1207" t="str">
        <f>"SAÍDA"</f>
        <v>SAÍDA</v>
      </c>
      <c r="C1207" t="str">
        <f>"PIX"</f>
        <v>PIX</v>
      </c>
      <c r="D1207" t="str">
        <f>"21226"</f>
        <v>21226</v>
      </c>
      <c r="E1207" t="str">
        <f>"1"</f>
        <v>1</v>
      </c>
      <c r="F1207" t="str">
        <f t="shared" si="215"/>
        <v>COM</v>
      </c>
      <c r="G1207" t="str">
        <f>"LUAN VICTOR SERQUEIRA DA SILVA (577)"</f>
        <v>LUAN VICTOR SERQUEIRA DA SILVA (577)</v>
      </c>
      <c r="H1207" t="s">
        <v>401</v>
      </c>
      <c r="I1207" t="str">
        <f>("11/09/2025")</f>
        <v>11/09/2025</v>
      </c>
      <c r="J1207" t="str">
        <f>("02/09/2025")</f>
        <v>02/09/2025</v>
      </c>
      <c r="K1207">
        <v>45910</v>
      </c>
      <c r="N1207">
        <v>109</v>
      </c>
      <c r="O1207" t="s">
        <v>24</v>
      </c>
      <c r="Q1207">
        <v>20</v>
      </c>
      <c r="R1207" t="str">
        <f>"FARMÁCIA INDIANA LJ 202 (10085)"</f>
        <v>FARMÁCIA INDIANA LJ 202 (10085)</v>
      </c>
      <c r="S1207" t="s">
        <v>48</v>
      </c>
      <c r="T1207">
        <v>17930</v>
      </c>
      <c r="U1207">
        <v>21836</v>
      </c>
      <c r="V1207" t="s">
        <v>48</v>
      </c>
    </row>
    <row r="1208" spans="1:22">
      <c r="A1208" t="str">
        <f t="shared" si="218"/>
        <v>10/09/2025</v>
      </c>
      <c r="B1208" t="str">
        <f>"ENTRADA"</f>
        <v>ENTRADA</v>
      </c>
      <c r="C1208" t="str">
        <f>"DINHEIRO"</f>
        <v>DINHEIRO</v>
      </c>
      <c r="D1208" t="str">
        <f>"577"</f>
        <v>577</v>
      </c>
      <c r="E1208" t="str">
        <f>"8"</f>
        <v>8</v>
      </c>
      <c r="F1208" t="str">
        <f t="shared" si="215"/>
        <v>COM</v>
      </c>
      <c r="G1208" t="str">
        <f>"LUAN VICTOR SERQUEIRA DA SILVA (577)"</f>
        <v>LUAN VICTOR SERQUEIRA DA SILVA (577)</v>
      </c>
      <c r="H1208" t="str">
        <f>"COTAS COOPERATIVA"</f>
        <v>COTAS COOPERATIVA</v>
      </c>
      <c r="I1208" t="str">
        <f>("13/09/2025")</f>
        <v>13/09/2025</v>
      </c>
      <c r="J1208" t="str">
        <f>("13/02/2025")</f>
        <v>13/02/2025</v>
      </c>
      <c r="K1208" t="str">
        <f>("10/09/2025")</f>
        <v>10/09/2025</v>
      </c>
      <c r="L1208">
        <v>20</v>
      </c>
      <c r="M1208">
        <v>20</v>
      </c>
      <c r="N1208">
        <v>106</v>
      </c>
      <c r="O1208" t="str">
        <f>"ENTRADA DE CAPITAL"</f>
        <v>ENTRADA DE CAPITAL</v>
      </c>
      <c r="P1208">
        <v>20</v>
      </c>
      <c r="S1208" t="str">
        <f>"ENTRADA DE CAPITAL (106)"</f>
        <v>ENTRADA DE CAPITAL (106)</v>
      </c>
      <c r="T1208">
        <v>17931</v>
      </c>
      <c r="U1208">
        <v>9463</v>
      </c>
      <c r="V1208" t="s">
        <v>48</v>
      </c>
    </row>
    <row r="1209" spans="1:22">
      <c r="A1209" t="str">
        <f t="shared" si="218"/>
        <v>10/09/2025</v>
      </c>
      <c r="B1209" t="str">
        <f>"ENTRADA"</f>
        <v>ENTRADA</v>
      </c>
      <c r="C1209" t="str">
        <f>"DINHEIRO"</f>
        <v>DINHEIRO</v>
      </c>
      <c r="D1209" t="str">
        <f>"577"</f>
        <v>577</v>
      </c>
      <c r="E1209" t="str">
        <f>"8"</f>
        <v>8</v>
      </c>
      <c r="F1209" t="str">
        <f t="shared" si="215"/>
        <v>COM</v>
      </c>
      <c r="G1209" t="str">
        <f>"LUAN VICTOR SERQUEIRA DA SILVA (577)"</f>
        <v>LUAN VICTOR SERQUEIRA DA SILVA (577)</v>
      </c>
      <c r="H1209" t="s">
        <v>318</v>
      </c>
      <c r="I1209" t="str">
        <f>("13/09/2025")</f>
        <v>13/09/2025</v>
      </c>
      <c r="J1209" t="str">
        <f>("13/02/2025")</f>
        <v>13/02/2025</v>
      </c>
      <c r="K1209">
        <v>45910</v>
      </c>
      <c r="N1209">
        <v>106</v>
      </c>
      <c r="O1209" t="s">
        <v>51</v>
      </c>
      <c r="Q1209">
        <v>20</v>
      </c>
      <c r="R1209" t="str">
        <f>"LUAN VICTOR SERQUEIRA DA SILVA (577)"</f>
        <v>LUAN VICTOR SERQUEIRA DA SILVA (577)</v>
      </c>
      <c r="S1209" t="s">
        <v>52</v>
      </c>
      <c r="T1209">
        <v>17931</v>
      </c>
      <c r="U1209">
        <v>9463</v>
      </c>
      <c r="V1209" t="s">
        <v>48</v>
      </c>
    </row>
    <row r="1210" spans="1:22">
      <c r="A1210" t="str">
        <f t="shared" si="218"/>
        <v>10/09/2025</v>
      </c>
      <c r="B1210" t="str">
        <f>"ENTRADA"</f>
        <v>ENTRADA</v>
      </c>
      <c r="C1210" t="str">
        <f>"DINHEIRO"</f>
        <v>DINHEIRO</v>
      </c>
      <c r="D1210" t="str">
        <f>"868"</f>
        <v>868</v>
      </c>
      <c r="E1210" t="str">
        <f>"2"</f>
        <v>2</v>
      </c>
      <c r="F1210" t="str">
        <f t="shared" si="215"/>
        <v>COM</v>
      </c>
      <c r="G1210" t="str">
        <f>"LUCAS FERREIRA DOS SANTOS (868)"</f>
        <v>LUCAS FERREIRA DOS SANTOS (868)</v>
      </c>
      <c r="H1210" t="str">
        <f>"COTA COOPERATIVA"</f>
        <v>COTA COOPERATIVA</v>
      </c>
      <c r="I1210" t="str">
        <f>("10/09/2025")</f>
        <v>10/09/2025</v>
      </c>
      <c r="J1210" t="str">
        <f>("01/07/2025")</f>
        <v>01/07/2025</v>
      </c>
      <c r="K1210" t="str">
        <f>("10/09/2025")</f>
        <v>10/09/2025</v>
      </c>
      <c r="L1210">
        <v>20</v>
      </c>
      <c r="M1210">
        <v>20</v>
      </c>
      <c r="N1210">
        <v>106</v>
      </c>
      <c r="O1210" t="str">
        <f>"ENTRADA DE CAPITAL"</f>
        <v>ENTRADA DE CAPITAL</v>
      </c>
      <c r="P1210">
        <v>20</v>
      </c>
      <c r="S1210" t="str">
        <f>"ENTRADA DE CAPITAL (106)"</f>
        <v>ENTRADA DE CAPITAL (106)</v>
      </c>
      <c r="T1210">
        <v>17932</v>
      </c>
      <c r="U1210">
        <v>19799</v>
      </c>
      <c r="V1210" t="s">
        <v>48</v>
      </c>
    </row>
    <row r="1211" spans="1:22">
      <c r="A1211" t="str">
        <f t="shared" si="218"/>
        <v>10/09/2025</v>
      </c>
      <c r="B1211" t="str">
        <f>"ENTRADA"</f>
        <v>ENTRADA</v>
      </c>
      <c r="C1211" t="str">
        <f>"DINHEIRO"</f>
        <v>DINHEIRO</v>
      </c>
      <c r="D1211" t="str">
        <f>"868"</f>
        <v>868</v>
      </c>
      <c r="E1211" t="str">
        <f>"2"</f>
        <v>2</v>
      </c>
      <c r="F1211" t="str">
        <f t="shared" si="215"/>
        <v>COM</v>
      </c>
      <c r="G1211" t="str">
        <f>"LUCAS FERREIRA DOS SANTOS (868)"</f>
        <v>LUCAS FERREIRA DOS SANTOS (868)</v>
      </c>
      <c r="H1211" t="s">
        <v>50</v>
      </c>
      <c r="I1211" t="str">
        <f>("10/09/2025")</f>
        <v>10/09/2025</v>
      </c>
      <c r="J1211" t="str">
        <f>("01/07/2025")</f>
        <v>01/07/2025</v>
      </c>
      <c r="K1211">
        <v>45910</v>
      </c>
      <c r="N1211">
        <v>106</v>
      </c>
      <c r="O1211" t="s">
        <v>51</v>
      </c>
      <c r="Q1211">
        <v>20</v>
      </c>
      <c r="R1211" t="str">
        <f>"LUCAS FERREIRA DOS SANTOS (868)"</f>
        <v>LUCAS FERREIRA DOS SANTOS (868)</v>
      </c>
      <c r="S1211" t="s">
        <v>52</v>
      </c>
      <c r="T1211">
        <v>17932</v>
      </c>
      <c r="U1211">
        <v>19799</v>
      </c>
      <c r="V1211" t="s">
        <v>48</v>
      </c>
    </row>
    <row r="1212" spans="1:22">
      <c r="A1212" t="str">
        <f t="shared" si="218"/>
        <v>10/09/2025</v>
      </c>
      <c r="B1212" t="str">
        <f>"SAÍDA"</f>
        <v>SAÍDA</v>
      </c>
      <c r="C1212" t="str">
        <f>"PIX"</f>
        <v>PIX</v>
      </c>
      <c r="D1212" t="str">
        <f>"21227"</f>
        <v>21227</v>
      </c>
      <c r="E1212" t="str">
        <f>"1"</f>
        <v>1</v>
      </c>
      <c r="F1212" t="str">
        <f t="shared" si="215"/>
        <v>COM</v>
      </c>
      <c r="G1212" t="str">
        <f>"LUCAS FERREIRA DOS SANTOS (868)"</f>
        <v>LUCAS FERREIRA DOS SANTOS (868)</v>
      </c>
      <c r="H1212" t="str">
        <f>"Serv.Prest. 25/08/2025 a 31/08/2025 - PIX: CELULAR - CHAVE: (33) 99172-0627"</f>
        <v>Serv.Prest. 25/08/2025 a 31/08/2025 - PIX: CELULAR - CHAVE: (33) 99172-0627</v>
      </c>
      <c r="I1212" t="str">
        <f>("11/09/2025")</f>
        <v>11/09/2025</v>
      </c>
      <c r="J1212" t="str">
        <f>("02/09/2025")</f>
        <v>02/09/2025</v>
      </c>
      <c r="K1212" t="str">
        <f>("10/09/2025")</f>
        <v>10/09/2025</v>
      </c>
      <c r="L1212">
        <v>20</v>
      </c>
      <c r="M1212">
        <v>20</v>
      </c>
      <c r="N1212">
        <v>109</v>
      </c>
      <c r="O1212" t="str">
        <f>"PAGAMENTO DE ENTREGADORES"</f>
        <v>PAGAMENTO DE ENTREGADORES</v>
      </c>
      <c r="P1212">
        <v>20</v>
      </c>
      <c r="S1212" t="str">
        <f>"CAIXA MOVIMENTAÇÃO OPERACIONAL (132)"</f>
        <v>CAIXA MOVIMENTAÇÃO OPERACIONAL (132)</v>
      </c>
      <c r="T1212">
        <v>17933</v>
      </c>
      <c r="U1212">
        <v>21837</v>
      </c>
      <c r="V1212" t="s">
        <v>48</v>
      </c>
    </row>
    <row r="1213" spans="1:22">
      <c r="A1213" t="str">
        <f t="shared" si="218"/>
        <v>10/09/2025</v>
      </c>
      <c r="B1213" t="str">
        <f>"SAÍDA"</f>
        <v>SAÍDA</v>
      </c>
      <c r="C1213" t="str">
        <f>"PIX"</f>
        <v>PIX</v>
      </c>
      <c r="D1213" t="str">
        <f>"21227"</f>
        <v>21227</v>
      </c>
      <c r="E1213" t="str">
        <f>"1"</f>
        <v>1</v>
      </c>
      <c r="F1213" t="str">
        <f t="shared" si="215"/>
        <v>COM</v>
      </c>
      <c r="G1213" t="str">
        <f>"LUCAS FERREIRA DOS SANTOS (868)"</f>
        <v>LUCAS FERREIRA DOS SANTOS (868)</v>
      </c>
      <c r="H1213" t="s">
        <v>402</v>
      </c>
      <c r="I1213" t="str">
        <f>("11/09/2025")</f>
        <v>11/09/2025</v>
      </c>
      <c r="J1213" t="str">
        <f>("02/09/2025")</f>
        <v>02/09/2025</v>
      </c>
      <c r="K1213">
        <v>45910</v>
      </c>
      <c r="N1213">
        <v>109</v>
      </c>
      <c r="O1213" t="s">
        <v>24</v>
      </c>
      <c r="Q1213">
        <v>20</v>
      </c>
      <c r="R1213" t="str">
        <f>"FARMÁCIA INDIANA LJ 06 (10006)"</f>
        <v>FARMÁCIA INDIANA LJ 06 (10006)</v>
      </c>
      <c r="S1213" t="s">
        <v>48</v>
      </c>
      <c r="T1213">
        <v>17933</v>
      </c>
      <c r="U1213">
        <v>21837</v>
      </c>
      <c r="V1213" t="s">
        <v>48</v>
      </c>
    </row>
    <row r="1214" spans="1:22">
      <c r="A1214" t="str">
        <f t="shared" si="218"/>
        <v>10/09/2025</v>
      </c>
      <c r="B1214" t="str">
        <f>"SAÍDA"</f>
        <v>SAÍDA</v>
      </c>
      <c r="C1214" t="str">
        <f>"PIX"</f>
        <v>PIX</v>
      </c>
      <c r="D1214" t="str">
        <f>"21150"</f>
        <v>21150</v>
      </c>
      <c r="E1214" t="str">
        <f>"1"</f>
        <v>1</v>
      </c>
      <c r="F1214" t="str">
        <f t="shared" si="215"/>
        <v>COM</v>
      </c>
      <c r="G1214" t="str">
        <f>"LUCAS MOREIRA PEREIRA (153)"</f>
        <v>LUCAS MOREIRA PEREIRA (153)</v>
      </c>
      <c r="H1214" t="str">
        <f>"Serv.Prest. 25/08/2025 a 31/08/2025 - PIX: CELULAR - CHAVE: (73) 99967-3239"</f>
        <v>Serv.Prest. 25/08/2025 a 31/08/2025 - PIX: CELULAR - CHAVE: (73) 99967-3239</v>
      </c>
      <c r="I1214" t="str">
        <f>("11/09/2025")</f>
        <v>11/09/2025</v>
      </c>
      <c r="J1214" t="str">
        <f>("02/09/2025")</f>
        <v>02/09/2025</v>
      </c>
      <c r="K1214" t="str">
        <f>("10/09/2025")</f>
        <v>10/09/2025</v>
      </c>
      <c r="L1214">
        <v>20</v>
      </c>
      <c r="M1214">
        <v>20</v>
      </c>
      <c r="N1214">
        <v>109</v>
      </c>
      <c r="O1214" t="str">
        <f>"PAGAMENTO DE ENTREGADORES"</f>
        <v>PAGAMENTO DE ENTREGADORES</v>
      </c>
      <c r="P1214">
        <v>20</v>
      </c>
      <c r="S1214" t="str">
        <f>"CAIXA MOVIMENTAÇÃO OPERACIONAL (132)"</f>
        <v>CAIXA MOVIMENTAÇÃO OPERACIONAL (132)</v>
      </c>
      <c r="T1214">
        <v>17934</v>
      </c>
      <c r="U1214">
        <v>21838</v>
      </c>
      <c r="V1214" t="s">
        <v>48</v>
      </c>
    </row>
    <row r="1215" spans="1:22">
      <c r="A1215" t="str">
        <f t="shared" si="218"/>
        <v>10/09/2025</v>
      </c>
      <c r="B1215" t="str">
        <f>"SAÍDA"</f>
        <v>SAÍDA</v>
      </c>
      <c r="C1215" t="str">
        <f>"PIX"</f>
        <v>PIX</v>
      </c>
      <c r="D1215" t="str">
        <f>"21150"</f>
        <v>21150</v>
      </c>
      <c r="E1215" t="str">
        <f>"1"</f>
        <v>1</v>
      </c>
      <c r="F1215" t="str">
        <f t="shared" si="215"/>
        <v>COM</v>
      </c>
      <c r="G1215" t="str">
        <f>"LUCAS MOREIRA PEREIRA (153)"</f>
        <v>LUCAS MOREIRA PEREIRA (153)</v>
      </c>
      <c r="H1215" t="s">
        <v>403</v>
      </c>
      <c r="I1215" t="str">
        <f>("11/09/2025")</f>
        <v>11/09/2025</v>
      </c>
      <c r="J1215" t="str">
        <f>("02/09/2025")</f>
        <v>02/09/2025</v>
      </c>
      <c r="K1215">
        <v>45910</v>
      </c>
      <c r="N1215">
        <v>109</v>
      </c>
      <c r="O1215" t="s">
        <v>24</v>
      </c>
      <c r="Q1215">
        <v>17.29</v>
      </c>
      <c r="R1215" t="str">
        <f>"FARMÁCIA INDIANA LJ 48 (10018)"</f>
        <v>FARMÁCIA INDIANA LJ 48 (10018)</v>
      </c>
      <c r="S1215" t="s">
        <v>48</v>
      </c>
      <c r="T1215">
        <v>17934</v>
      </c>
      <c r="U1215">
        <v>21838</v>
      </c>
      <c r="V1215" t="s">
        <v>48</v>
      </c>
    </row>
    <row r="1216" spans="1:22">
      <c r="A1216" t="str">
        <f t="shared" si="218"/>
        <v>10/09/2025</v>
      </c>
      <c r="B1216" t="str">
        <f>"SAÍDA"</f>
        <v>SAÍDA</v>
      </c>
      <c r="C1216" t="str">
        <f>"PIX"</f>
        <v>PIX</v>
      </c>
      <c r="D1216" t="str">
        <f>"21150"</f>
        <v>21150</v>
      </c>
      <c r="E1216" t="str">
        <f>"1"</f>
        <v>1</v>
      </c>
      <c r="F1216" t="str">
        <f t="shared" si="215"/>
        <v>COM</v>
      </c>
      <c r="G1216" t="str">
        <f>"LUCAS MOREIRA PEREIRA (153)"</f>
        <v>LUCAS MOREIRA PEREIRA (153)</v>
      </c>
      <c r="H1216" t="s">
        <v>403</v>
      </c>
      <c r="I1216" t="str">
        <f>("11/09/2025")</f>
        <v>11/09/2025</v>
      </c>
      <c r="J1216" t="str">
        <f>("02/09/2025")</f>
        <v>02/09/2025</v>
      </c>
      <c r="K1216">
        <v>45910</v>
      </c>
      <c r="N1216">
        <v>109</v>
      </c>
      <c r="O1216" t="s">
        <v>24</v>
      </c>
      <c r="Q1216">
        <v>2.71</v>
      </c>
      <c r="R1216" t="str">
        <f>"FARMÁCIA INDIANA LJ 169 (10073)"</f>
        <v>FARMÁCIA INDIANA LJ 169 (10073)</v>
      </c>
      <c r="S1216" t="s">
        <v>48</v>
      </c>
      <c r="T1216">
        <v>17934</v>
      </c>
      <c r="U1216">
        <v>21838</v>
      </c>
      <c r="V1216" t="s">
        <v>48</v>
      </c>
    </row>
    <row r="1217" spans="1:22">
      <c r="A1217" t="str">
        <f t="shared" si="218"/>
        <v>10/09/2025</v>
      </c>
      <c r="B1217" t="str">
        <f>"ENTRADA"</f>
        <v>ENTRADA</v>
      </c>
      <c r="C1217" t="str">
        <f>"DINHEIRO"</f>
        <v>DINHEIRO</v>
      </c>
      <c r="D1217" t="str">
        <f>"13"</f>
        <v>13</v>
      </c>
      <c r="E1217" t="str">
        <f>"33"</f>
        <v>33</v>
      </c>
      <c r="F1217" t="str">
        <f t="shared" si="215"/>
        <v>COM</v>
      </c>
      <c r="G1217" t="str">
        <f>"LUCAS MOREIRA PEREIRA (153)"</f>
        <v>LUCAS MOREIRA PEREIRA (153)</v>
      </c>
      <c r="H1217" t="str">
        <f>"DESCONTO COTA COOPERADO"</f>
        <v>DESCONTO COTA COOPERADO</v>
      </c>
      <c r="I1217" t="str">
        <f>("16/09/2025")</f>
        <v>16/09/2025</v>
      </c>
      <c r="J1217" t="str">
        <f>("16/01/2025")</f>
        <v>16/01/2025</v>
      </c>
      <c r="K1217" t="str">
        <f>("10/09/2025")</f>
        <v>10/09/2025</v>
      </c>
      <c r="L1217">
        <v>20</v>
      </c>
      <c r="M1217">
        <v>20</v>
      </c>
      <c r="N1217">
        <v>106</v>
      </c>
      <c r="O1217" t="str">
        <f>"ENTRADA DE CAPITAL"</f>
        <v>ENTRADA DE CAPITAL</v>
      </c>
      <c r="P1217">
        <v>20</v>
      </c>
      <c r="S1217" t="str">
        <f>"ENTRADA DE CAPITAL (106)"</f>
        <v>ENTRADA DE CAPITAL (106)</v>
      </c>
      <c r="T1217">
        <v>17935</v>
      </c>
      <c r="U1217">
        <v>6963</v>
      </c>
      <c r="V1217" t="s">
        <v>48</v>
      </c>
    </row>
    <row r="1218" spans="1:22">
      <c r="A1218" t="str">
        <f t="shared" si="218"/>
        <v>10/09/2025</v>
      </c>
      <c r="B1218" t="str">
        <f>"ENTRADA"</f>
        <v>ENTRADA</v>
      </c>
      <c r="C1218" t="str">
        <f>"DINHEIRO"</f>
        <v>DINHEIRO</v>
      </c>
      <c r="D1218" t="str">
        <f>"13"</f>
        <v>13</v>
      </c>
      <c r="E1218" t="str">
        <f>"33"</f>
        <v>33</v>
      </c>
      <c r="F1218" t="str">
        <f t="shared" si="215"/>
        <v>COM</v>
      </c>
      <c r="G1218" t="str">
        <f>"LUCAS MOREIRA PEREIRA (153)"</f>
        <v>LUCAS MOREIRA PEREIRA (153)</v>
      </c>
      <c r="H1218" t="s">
        <v>309</v>
      </c>
      <c r="I1218" t="str">
        <f>("16/09/2025")</f>
        <v>16/09/2025</v>
      </c>
      <c r="J1218" t="str">
        <f>("16/01/2025")</f>
        <v>16/01/2025</v>
      </c>
      <c r="K1218">
        <v>45910</v>
      </c>
      <c r="N1218">
        <v>106</v>
      </c>
      <c r="O1218" t="s">
        <v>51</v>
      </c>
      <c r="Q1218">
        <v>20</v>
      </c>
      <c r="R1218" t="str">
        <f>"LUCAS MOREIRA PEREIRA (153)"</f>
        <v>LUCAS MOREIRA PEREIRA (153)</v>
      </c>
      <c r="S1218" t="s">
        <v>52</v>
      </c>
      <c r="T1218">
        <v>17935</v>
      </c>
      <c r="U1218">
        <v>6963</v>
      </c>
      <c r="V1218" t="s">
        <v>48</v>
      </c>
    </row>
    <row r="1219" spans="1:22">
      <c r="A1219" t="str">
        <f t="shared" si="218"/>
        <v>10/09/2025</v>
      </c>
      <c r="B1219" t="str">
        <f>"ENTRADA"</f>
        <v>ENTRADA</v>
      </c>
      <c r="C1219" t="str">
        <f>"DINHEIRO"</f>
        <v>DINHEIRO</v>
      </c>
      <c r="D1219" t="str">
        <f>"878"</f>
        <v>878</v>
      </c>
      <c r="E1219" t="str">
        <f>"2"</f>
        <v>2</v>
      </c>
      <c r="F1219" t="str">
        <f t="shared" si="215"/>
        <v>COM</v>
      </c>
      <c r="G1219" t="str">
        <f>"LUIZ EDUARDO VIANA BRITO (878)"</f>
        <v>LUIZ EDUARDO VIANA BRITO (878)</v>
      </c>
      <c r="H1219" t="str">
        <f>"COTA COOPERATIVA"</f>
        <v>COTA COOPERATIVA</v>
      </c>
      <c r="I1219" t="str">
        <f>("10/09/2025")</f>
        <v>10/09/2025</v>
      </c>
      <c r="J1219" t="str">
        <f>("14/07/2025")</f>
        <v>14/07/2025</v>
      </c>
      <c r="K1219" t="str">
        <f>("10/09/2025")</f>
        <v>10/09/2025</v>
      </c>
      <c r="L1219">
        <v>20</v>
      </c>
      <c r="M1219">
        <v>20</v>
      </c>
      <c r="N1219">
        <v>106</v>
      </c>
      <c r="O1219" t="str">
        <f>"ENTRADA DE CAPITAL"</f>
        <v>ENTRADA DE CAPITAL</v>
      </c>
      <c r="P1219">
        <v>20</v>
      </c>
      <c r="S1219" t="str">
        <f>"ENTRADA DE CAPITAL (106)"</f>
        <v>ENTRADA DE CAPITAL (106)</v>
      </c>
      <c r="T1219">
        <v>17936</v>
      </c>
      <c r="U1219">
        <v>19827</v>
      </c>
      <c r="V1219" t="s">
        <v>48</v>
      </c>
    </row>
    <row r="1220" spans="1:22">
      <c r="A1220" t="str">
        <f t="shared" si="218"/>
        <v>10/09/2025</v>
      </c>
      <c r="B1220" t="str">
        <f>"ENTRADA"</f>
        <v>ENTRADA</v>
      </c>
      <c r="C1220" t="str">
        <f>"DINHEIRO"</f>
        <v>DINHEIRO</v>
      </c>
      <c r="D1220" t="str">
        <f>"878"</f>
        <v>878</v>
      </c>
      <c r="E1220" t="str">
        <f>"2"</f>
        <v>2</v>
      </c>
      <c r="F1220" t="str">
        <f t="shared" si="215"/>
        <v>COM</v>
      </c>
      <c r="G1220" t="str">
        <f>"LUIZ EDUARDO VIANA BRITO (878)"</f>
        <v>LUIZ EDUARDO VIANA BRITO (878)</v>
      </c>
      <c r="H1220" t="s">
        <v>50</v>
      </c>
      <c r="I1220" t="str">
        <f>("10/09/2025")</f>
        <v>10/09/2025</v>
      </c>
      <c r="J1220" t="str">
        <f>("14/07/2025")</f>
        <v>14/07/2025</v>
      </c>
      <c r="K1220">
        <v>45910</v>
      </c>
      <c r="N1220">
        <v>106</v>
      </c>
      <c r="O1220" t="s">
        <v>51</v>
      </c>
      <c r="Q1220">
        <v>20</v>
      </c>
      <c r="R1220" t="str">
        <f>"LUIZ EDUARDO VIANA BRITO (878)"</f>
        <v>LUIZ EDUARDO VIANA BRITO (878)</v>
      </c>
      <c r="S1220" t="s">
        <v>52</v>
      </c>
      <c r="T1220">
        <v>17936</v>
      </c>
      <c r="U1220">
        <v>19827</v>
      </c>
      <c r="V1220" t="s">
        <v>48</v>
      </c>
    </row>
    <row r="1221" spans="1:22">
      <c r="A1221" t="str">
        <f t="shared" si="218"/>
        <v>10/09/2025</v>
      </c>
      <c r="B1221" t="str">
        <f>"SAÍDA"</f>
        <v>SAÍDA</v>
      </c>
      <c r="C1221" t="str">
        <f>"PIX"</f>
        <v>PIX</v>
      </c>
      <c r="D1221" t="str">
        <f>"21229"</f>
        <v>21229</v>
      </c>
      <c r="E1221" t="str">
        <f>"1"</f>
        <v>1</v>
      </c>
      <c r="F1221" t="str">
        <f t="shared" si="215"/>
        <v>COM</v>
      </c>
      <c r="G1221" t="str">
        <f>"LUIZ EDUARDO VIANA BRITO (878)"</f>
        <v>LUIZ EDUARDO VIANA BRITO (878)</v>
      </c>
      <c r="H1221" t="str">
        <f>"Serv.Prest. 25/08/2025 a 31/08/2025 - PIX: CPF - CHAVE: 101.220.976-88"</f>
        <v>Serv.Prest. 25/08/2025 a 31/08/2025 - PIX: CPF - CHAVE: 101.220.976-88</v>
      </c>
      <c r="I1221" t="str">
        <f>("11/09/2025")</f>
        <v>11/09/2025</v>
      </c>
      <c r="J1221" t="str">
        <f>("02/09/2025")</f>
        <v>02/09/2025</v>
      </c>
      <c r="K1221" t="str">
        <f>("10/09/2025")</f>
        <v>10/09/2025</v>
      </c>
      <c r="L1221">
        <v>20</v>
      </c>
      <c r="M1221">
        <v>20</v>
      </c>
      <c r="N1221">
        <v>109</v>
      </c>
      <c r="O1221" t="str">
        <f>"PAGAMENTO DE ENTREGADORES"</f>
        <v>PAGAMENTO DE ENTREGADORES</v>
      </c>
      <c r="P1221">
        <v>20</v>
      </c>
      <c r="S1221" t="str">
        <f>"CAIXA MOVIMENTAÇÃO OPERACIONAL (132)"</f>
        <v>CAIXA MOVIMENTAÇÃO OPERACIONAL (132)</v>
      </c>
      <c r="T1221">
        <v>17937</v>
      </c>
      <c r="U1221">
        <v>21839</v>
      </c>
      <c r="V1221" t="s">
        <v>48</v>
      </c>
    </row>
    <row r="1222" spans="1:22">
      <c r="A1222" t="str">
        <f t="shared" si="218"/>
        <v>10/09/2025</v>
      </c>
      <c r="B1222" t="str">
        <f>"SAÍDA"</f>
        <v>SAÍDA</v>
      </c>
      <c r="C1222" t="str">
        <f>"PIX"</f>
        <v>PIX</v>
      </c>
      <c r="D1222" t="str">
        <f>"21229"</f>
        <v>21229</v>
      </c>
      <c r="E1222" t="str">
        <f>"1"</f>
        <v>1</v>
      </c>
      <c r="F1222" t="str">
        <f t="shared" si="215"/>
        <v>COM</v>
      </c>
      <c r="G1222" t="str">
        <f>"LUIZ EDUARDO VIANA BRITO (878)"</f>
        <v>LUIZ EDUARDO VIANA BRITO (878)</v>
      </c>
      <c r="H1222" t="s">
        <v>404</v>
      </c>
      <c r="I1222" t="str">
        <f>("11/09/2025")</f>
        <v>11/09/2025</v>
      </c>
      <c r="J1222" t="str">
        <f>("02/09/2025")</f>
        <v>02/09/2025</v>
      </c>
      <c r="K1222">
        <v>45910</v>
      </c>
      <c r="N1222">
        <v>109</v>
      </c>
      <c r="O1222" t="s">
        <v>24</v>
      </c>
      <c r="Q1222">
        <v>20</v>
      </c>
      <c r="R1222" t="str">
        <f>"FARMÁCIA INDIANA LJ 40 (10016)"</f>
        <v>FARMÁCIA INDIANA LJ 40 (10016)</v>
      </c>
      <c r="S1222" t="s">
        <v>48</v>
      </c>
      <c r="T1222">
        <v>17937</v>
      </c>
      <c r="U1222">
        <v>21839</v>
      </c>
      <c r="V1222" t="s">
        <v>48</v>
      </c>
    </row>
    <row r="1223" spans="1:22">
      <c r="A1223" t="str">
        <f t="shared" si="218"/>
        <v>10/09/2025</v>
      </c>
      <c r="B1223" t="str">
        <f>"SAÍDA"</f>
        <v>SAÍDA</v>
      </c>
      <c r="C1223" t="str">
        <f>"PIX"</f>
        <v>PIX</v>
      </c>
      <c r="D1223" t="str">
        <f>"21230"</f>
        <v>21230</v>
      </c>
      <c r="E1223" t="str">
        <f>"1"</f>
        <v>1</v>
      </c>
      <c r="F1223" t="str">
        <f t="shared" si="215"/>
        <v>COM</v>
      </c>
      <c r="G1223" t="str">
        <f>"LUIZ EMANUEL PINHEIRO (870)"</f>
        <v>LUIZ EMANUEL PINHEIRO (870)</v>
      </c>
      <c r="H1223" t="str">
        <f>"Serv.Prest. 25/08/2025 a 31/08/2025 - PIX: CPF - CHAVE: 129.269.326-69"</f>
        <v>Serv.Prest. 25/08/2025 a 31/08/2025 - PIX: CPF - CHAVE: 129.269.326-69</v>
      </c>
      <c r="I1223" t="str">
        <f>("11/09/2025")</f>
        <v>11/09/2025</v>
      </c>
      <c r="J1223" t="str">
        <f>("02/09/2025")</f>
        <v>02/09/2025</v>
      </c>
      <c r="K1223" t="str">
        <f>("10/09/2025")</f>
        <v>10/09/2025</v>
      </c>
      <c r="L1223">
        <v>20</v>
      </c>
      <c r="M1223">
        <v>20</v>
      </c>
      <c r="N1223">
        <v>109</v>
      </c>
      <c r="O1223" t="str">
        <f>"PAGAMENTO DE ENTREGADORES"</f>
        <v>PAGAMENTO DE ENTREGADORES</v>
      </c>
      <c r="P1223">
        <v>20</v>
      </c>
      <c r="S1223" t="str">
        <f>"CAIXA MOVIMENTAÇÃO OPERACIONAL (132)"</f>
        <v>CAIXA MOVIMENTAÇÃO OPERACIONAL (132)</v>
      </c>
      <c r="T1223">
        <v>17938</v>
      </c>
      <c r="U1223">
        <v>21840</v>
      </c>
      <c r="V1223" t="s">
        <v>48</v>
      </c>
    </row>
    <row r="1224" spans="1:22">
      <c r="A1224" t="str">
        <f t="shared" si="218"/>
        <v>10/09/2025</v>
      </c>
      <c r="B1224" t="str">
        <f>"SAÍDA"</f>
        <v>SAÍDA</v>
      </c>
      <c r="C1224" t="str">
        <f>"PIX"</f>
        <v>PIX</v>
      </c>
      <c r="D1224" t="str">
        <f>"21230"</f>
        <v>21230</v>
      </c>
      <c r="E1224" t="str">
        <f>"1"</f>
        <v>1</v>
      </c>
      <c r="F1224" t="str">
        <f t="shared" si="215"/>
        <v>COM</v>
      </c>
      <c r="G1224" t="str">
        <f>"LUIZ EMANUEL PINHEIRO (870)"</f>
        <v>LUIZ EMANUEL PINHEIRO (870)</v>
      </c>
      <c r="H1224" t="s">
        <v>405</v>
      </c>
      <c r="I1224" t="str">
        <f>("11/09/2025")</f>
        <v>11/09/2025</v>
      </c>
      <c r="J1224" t="str">
        <f>("02/09/2025")</f>
        <v>02/09/2025</v>
      </c>
      <c r="K1224">
        <v>45910</v>
      </c>
      <c r="N1224">
        <v>109</v>
      </c>
      <c r="O1224" t="s">
        <v>24</v>
      </c>
      <c r="Q1224">
        <v>20</v>
      </c>
      <c r="R1224" t="str">
        <f>"FARMÁCIA INDIANA LJ 121 (10054)"</f>
        <v>FARMÁCIA INDIANA LJ 121 (10054)</v>
      </c>
      <c r="S1224" t="s">
        <v>48</v>
      </c>
      <c r="T1224">
        <v>17938</v>
      </c>
      <c r="U1224">
        <v>21840</v>
      </c>
      <c r="V1224" t="s">
        <v>48</v>
      </c>
    </row>
    <row r="1225" spans="1:22">
      <c r="A1225" t="str">
        <f t="shared" si="218"/>
        <v>10/09/2025</v>
      </c>
      <c r="B1225" t="str">
        <f>"ENTRADA"</f>
        <v>ENTRADA</v>
      </c>
      <c r="C1225" t="str">
        <f>"DINHEIRO"</f>
        <v>DINHEIRO</v>
      </c>
      <c r="D1225" t="str">
        <f>"870"</f>
        <v>870</v>
      </c>
      <c r="E1225" t="str">
        <f>"2"</f>
        <v>2</v>
      </c>
      <c r="F1225" t="str">
        <f t="shared" si="215"/>
        <v>COM</v>
      </c>
      <c r="G1225" t="str">
        <f>"LUIZ EMANUEL PINHEIRO (870)"</f>
        <v>LUIZ EMANUEL PINHEIRO (870)</v>
      </c>
      <c r="H1225" t="str">
        <f>"COTA COOPERATIVA"</f>
        <v>COTA COOPERATIVA</v>
      </c>
      <c r="I1225" t="str">
        <f>("10/09/2025")</f>
        <v>10/09/2025</v>
      </c>
      <c r="J1225" t="str">
        <f>("04/07/2025")</f>
        <v>04/07/2025</v>
      </c>
      <c r="K1225" t="str">
        <f>("10/09/2025")</f>
        <v>10/09/2025</v>
      </c>
      <c r="L1225">
        <v>20</v>
      </c>
      <c r="M1225">
        <v>20</v>
      </c>
      <c r="N1225">
        <v>106</v>
      </c>
      <c r="O1225" t="str">
        <f>"ENTRADA DE CAPITAL"</f>
        <v>ENTRADA DE CAPITAL</v>
      </c>
      <c r="P1225">
        <v>20</v>
      </c>
      <c r="S1225" t="str">
        <f>"ENTRADA DE CAPITAL (106)"</f>
        <v>ENTRADA DE CAPITAL (106)</v>
      </c>
      <c r="T1225">
        <v>17939</v>
      </c>
      <c r="U1225">
        <v>19854</v>
      </c>
      <c r="V1225" t="s">
        <v>48</v>
      </c>
    </row>
    <row r="1226" spans="1:22">
      <c r="A1226" t="str">
        <f t="shared" si="218"/>
        <v>10/09/2025</v>
      </c>
      <c r="B1226" t="str">
        <f>"ENTRADA"</f>
        <v>ENTRADA</v>
      </c>
      <c r="C1226" t="str">
        <f>"DINHEIRO"</f>
        <v>DINHEIRO</v>
      </c>
      <c r="D1226" t="str">
        <f>"870"</f>
        <v>870</v>
      </c>
      <c r="E1226" t="str">
        <f>"2"</f>
        <v>2</v>
      </c>
      <c r="F1226" t="str">
        <f t="shared" si="215"/>
        <v>COM</v>
      </c>
      <c r="G1226" t="str">
        <f>"LUIZ EMANUEL PINHEIRO (870)"</f>
        <v>LUIZ EMANUEL PINHEIRO (870)</v>
      </c>
      <c r="H1226" t="s">
        <v>50</v>
      </c>
      <c r="I1226" t="str">
        <f>("10/09/2025")</f>
        <v>10/09/2025</v>
      </c>
      <c r="J1226" t="str">
        <f>("04/07/2025")</f>
        <v>04/07/2025</v>
      </c>
      <c r="K1226">
        <v>45910</v>
      </c>
      <c r="N1226">
        <v>106</v>
      </c>
      <c r="O1226" t="s">
        <v>51</v>
      </c>
      <c r="Q1226">
        <v>20</v>
      </c>
      <c r="R1226" t="str">
        <f>"LUIZ EMANUEL PINHEIRO (870)"</f>
        <v>LUIZ EMANUEL PINHEIRO (870)</v>
      </c>
      <c r="S1226" t="s">
        <v>52</v>
      </c>
      <c r="T1226">
        <v>17939</v>
      </c>
      <c r="U1226">
        <v>19854</v>
      </c>
      <c r="V1226" t="s">
        <v>48</v>
      </c>
    </row>
    <row r="1227" spans="1:22">
      <c r="A1227" t="str">
        <f t="shared" si="218"/>
        <v>10/09/2025</v>
      </c>
      <c r="B1227" t="str">
        <f>"SAÍDA"</f>
        <v>SAÍDA</v>
      </c>
      <c r="C1227" t="str">
        <f>"PIX"</f>
        <v>PIX</v>
      </c>
      <c r="D1227" t="str">
        <f>"21231"</f>
        <v>21231</v>
      </c>
      <c r="E1227" t="str">
        <f>"1"</f>
        <v>1</v>
      </c>
      <c r="F1227" t="str">
        <f t="shared" si="215"/>
        <v>COM</v>
      </c>
      <c r="G1227" t="str">
        <f>"LUIZ FERNANDO CARVALHO ALVES (198)"</f>
        <v>LUIZ FERNANDO CARVALHO ALVES (198)</v>
      </c>
      <c r="H1227" t="str">
        <f>"Serv.Prest. 25/08/2025 a 31/08/2025 - PIX: CPF - CHAVE: 705.097.186-39"</f>
        <v>Serv.Prest. 25/08/2025 a 31/08/2025 - PIX: CPF - CHAVE: 705.097.186-39</v>
      </c>
      <c r="I1227" t="str">
        <f>("11/09/2025")</f>
        <v>11/09/2025</v>
      </c>
      <c r="J1227" t="str">
        <f>("02/09/2025")</f>
        <v>02/09/2025</v>
      </c>
      <c r="K1227" t="str">
        <f>("10/09/2025")</f>
        <v>10/09/2025</v>
      </c>
      <c r="L1227">
        <v>21.23</v>
      </c>
      <c r="M1227">
        <v>20</v>
      </c>
      <c r="N1227">
        <v>109</v>
      </c>
      <c r="O1227" t="str">
        <f>"PAGAMENTO DE ENTREGADORES"</f>
        <v>PAGAMENTO DE ENTREGADORES</v>
      </c>
      <c r="P1227">
        <v>20</v>
      </c>
      <c r="S1227" t="str">
        <f>"CAIXA MOVIMENTAÇÃO OPERACIONAL (132)"</f>
        <v>CAIXA MOVIMENTAÇÃO OPERACIONAL (132)</v>
      </c>
      <c r="T1227">
        <v>17940</v>
      </c>
      <c r="U1227">
        <v>21841</v>
      </c>
      <c r="V1227" t="s">
        <v>48</v>
      </c>
    </row>
    <row r="1228" spans="1:22">
      <c r="A1228" t="str">
        <f t="shared" si="218"/>
        <v>10/09/2025</v>
      </c>
      <c r="B1228" t="str">
        <f>"SAÍDA"</f>
        <v>SAÍDA</v>
      </c>
      <c r="C1228" t="str">
        <f>"PIX"</f>
        <v>PIX</v>
      </c>
      <c r="D1228" t="str">
        <f>"21231"</f>
        <v>21231</v>
      </c>
      <c r="E1228" t="str">
        <f>"1"</f>
        <v>1</v>
      </c>
      <c r="F1228" t="str">
        <f t="shared" si="215"/>
        <v>COM</v>
      </c>
      <c r="G1228" t="str">
        <f>"LUIZ FERNANDO CARVALHO ALVES (198)"</f>
        <v>LUIZ FERNANDO CARVALHO ALVES (198)</v>
      </c>
      <c r="H1228" t="s">
        <v>406</v>
      </c>
      <c r="I1228" t="str">
        <f>("11/09/2025")</f>
        <v>11/09/2025</v>
      </c>
      <c r="J1228" t="str">
        <f>("02/09/2025")</f>
        <v>02/09/2025</v>
      </c>
      <c r="K1228">
        <v>45910</v>
      </c>
      <c r="N1228">
        <v>109</v>
      </c>
      <c r="O1228" t="s">
        <v>24</v>
      </c>
      <c r="Q1228">
        <v>20</v>
      </c>
      <c r="R1228" t="str">
        <f>"FARMÁCIA INDIANA LJ 171 (10074)"</f>
        <v>FARMÁCIA INDIANA LJ 171 (10074)</v>
      </c>
      <c r="S1228" t="s">
        <v>48</v>
      </c>
      <c r="T1228">
        <v>17940</v>
      </c>
      <c r="U1228">
        <v>21841</v>
      </c>
      <c r="V1228" t="s">
        <v>48</v>
      </c>
    </row>
    <row r="1229" spans="1:22">
      <c r="A1229" t="str">
        <f t="shared" si="218"/>
        <v>10/09/2025</v>
      </c>
      <c r="B1229" t="str">
        <f>"ENTRADA"</f>
        <v>ENTRADA</v>
      </c>
      <c r="C1229" t="str">
        <f>"DINHEIRO"</f>
        <v>DINHEIRO</v>
      </c>
      <c r="D1229" t="str">
        <f>"10"</f>
        <v>10</v>
      </c>
      <c r="E1229" t="str">
        <f>"33"</f>
        <v>33</v>
      </c>
      <c r="F1229" t="str">
        <f t="shared" si="215"/>
        <v>COM</v>
      </c>
      <c r="G1229" t="str">
        <f>"LUIZ FERNANDO CARVALHO ALVES (198)"</f>
        <v>LUIZ FERNANDO CARVALHO ALVES (198)</v>
      </c>
      <c r="H1229" t="str">
        <f>"DESCONTO COTA COOPERADO"</f>
        <v>DESCONTO COTA COOPERADO</v>
      </c>
      <c r="I1229" t="str">
        <f>("16/09/2025")</f>
        <v>16/09/2025</v>
      </c>
      <c r="J1229" t="str">
        <f>("16/01/2025")</f>
        <v>16/01/2025</v>
      </c>
      <c r="K1229" t="str">
        <f>("10/09/2025")</f>
        <v>10/09/2025</v>
      </c>
      <c r="L1229">
        <v>20</v>
      </c>
      <c r="M1229">
        <v>20</v>
      </c>
      <c r="N1229">
        <v>106</v>
      </c>
      <c r="O1229" t="str">
        <f>"ENTRADA DE CAPITAL"</f>
        <v>ENTRADA DE CAPITAL</v>
      </c>
      <c r="P1229">
        <v>20</v>
      </c>
      <c r="S1229" t="str">
        <f>"ENTRADA DE CAPITAL (106)"</f>
        <v>ENTRADA DE CAPITAL (106)</v>
      </c>
      <c r="T1229">
        <v>17941</v>
      </c>
      <c r="U1229">
        <v>6984</v>
      </c>
      <c r="V1229" t="s">
        <v>48</v>
      </c>
    </row>
    <row r="1230" spans="1:22">
      <c r="A1230" t="str">
        <f t="shared" si="218"/>
        <v>10/09/2025</v>
      </c>
      <c r="B1230" t="str">
        <f>"ENTRADA"</f>
        <v>ENTRADA</v>
      </c>
      <c r="C1230" t="str">
        <f>"DINHEIRO"</f>
        <v>DINHEIRO</v>
      </c>
      <c r="D1230" t="str">
        <f>"10"</f>
        <v>10</v>
      </c>
      <c r="E1230" t="str">
        <f>"33"</f>
        <v>33</v>
      </c>
      <c r="F1230" t="str">
        <f t="shared" si="215"/>
        <v>COM</v>
      </c>
      <c r="G1230" t="str">
        <f>"LUIZ FERNANDO CARVALHO ALVES (198)"</f>
        <v>LUIZ FERNANDO CARVALHO ALVES (198)</v>
      </c>
      <c r="H1230" t="s">
        <v>309</v>
      </c>
      <c r="I1230" t="str">
        <f>("16/09/2025")</f>
        <v>16/09/2025</v>
      </c>
      <c r="J1230" t="str">
        <f>("16/01/2025")</f>
        <v>16/01/2025</v>
      </c>
      <c r="K1230">
        <v>45910</v>
      </c>
      <c r="N1230">
        <v>106</v>
      </c>
      <c r="O1230" t="s">
        <v>51</v>
      </c>
      <c r="Q1230">
        <v>20</v>
      </c>
      <c r="R1230" t="str">
        <f>"LUIZ FERNANDO CARVALHO ALVES (198)"</f>
        <v>LUIZ FERNANDO CARVALHO ALVES (198)</v>
      </c>
      <c r="S1230" t="s">
        <v>52</v>
      </c>
      <c r="T1230">
        <v>17941</v>
      </c>
      <c r="U1230">
        <v>6984</v>
      </c>
      <c r="V1230" t="s">
        <v>48</v>
      </c>
    </row>
    <row r="1231" spans="1:22">
      <c r="A1231" t="str">
        <f t="shared" si="218"/>
        <v>10/09/2025</v>
      </c>
      <c r="B1231" t="str">
        <f>"ENTRADA"</f>
        <v>ENTRADA</v>
      </c>
      <c r="C1231" t="str">
        <f>"DINHEIRO"</f>
        <v>DINHEIRO</v>
      </c>
      <c r="D1231" t="str">
        <f>"712"</f>
        <v>712</v>
      </c>
      <c r="E1231" t="str">
        <f>"6"</f>
        <v>6</v>
      </c>
      <c r="F1231" t="str">
        <f t="shared" si="215"/>
        <v>COM</v>
      </c>
      <c r="G1231" t="str">
        <f>"LUIZ PAULO DE OLIVEIRA (712)"</f>
        <v>LUIZ PAULO DE OLIVEIRA (712)</v>
      </c>
      <c r="H1231" t="str">
        <f>"COTAS COOPERATIVA"</f>
        <v>COTAS COOPERATIVA</v>
      </c>
      <c r="I1231" t="str">
        <f>("10/09/2025")</f>
        <v>10/09/2025</v>
      </c>
      <c r="J1231" t="str">
        <f>("24/03/2025")</f>
        <v>24/03/2025</v>
      </c>
      <c r="K1231" t="str">
        <f>("10/09/2025")</f>
        <v>10/09/2025</v>
      </c>
      <c r="L1231">
        <v>20</v>
      </c>
      <c r="M1231">
        <v>20</v>
      </c>
      <c r="N1231">
        <v>106</v>
      </c>
      <c r="O1231" t="str">
        <f>"ENTRADA DE CAPITAL"</f>
        <v>ENTRADA DE CAPITAL</v>
      </c>
      <c r="P1231">
        <v>20</v>
      </c>
      <c r="S1231" t="str">
        <f>"ENTRADA DE CAPITAL (106)"</f>
        <v>ENTRADA DE CAPITAL (106)</v>
      </c>
      <c r="T1231">
        <v>17942</v>
      </c>
      <c r="U1231">
        <v>11861</v>
      </c>
      <c r="V1231" t="s">
        <v>48</v>
      </c>
    </row>
    <row r="1232" spans="1:22">
      <c r="A1232" t="str">
        <f t="shared" si="218"/>
        <v>10/09/2025</v>
      </c>
      <c r="B1232" t="str">
        <f>"ENTRADA"</f>
        <v>ENTRADA</v>
      </c>
      <c r="C1232" t="str">
        <f>"DINHEIRO"</f>
        <v>DINHEIRO</v>
      </c>
      <c r="D1232" t="str">
        <f>"712"</f>
        <v>712</v>
      </c>
      <c r="E1232" t="str">
        <f>"6"</f>
        <v>6</v>
      </c>
      <c r="F1232" t="str">
        <f t="shared" si="215"/>
        <v>COM</v>
      </c>
      <c r="G1232" t="str">
        <f>"LUIZ PAULO DE OLIVEIRA (712)"</f>
        <v>LUIZ PAULO DE OLIVEIRA (712)</v>
      </c>
      <c r="H1232" t="s">
        <v>318</v>
      </c>
      <c r="I1232" t="str">
        <f>("10/09/2025")</f>
        <v>10/09/2025</v>
      </c>
      <c r="J1232" t="str">
        <f>("24/03/2025")</f>
        <v>24/03/2025</v>
      </c>
      <c r="K1232">
        <v>45910</v>
      </c>
      <c r="N1232">
        <v>106</v>
      </c>
      <c r="O1232" t="s">
        <v>51</v>
      </c>
      <c r="Q1232">
        <v>20</v>
      </c>
      <c r="R1232" t="str">
        <f>"LUIZ PAULO DE OLIVEIRA (712)"</f>
        <v>LUIZ PAULO DE OLIVEIRA (712)</v>
      </c>
      <c r="S1232" t="s">
        <v>52</v>
      </c>
      <c r="T1232">
        <v>17942</v>
      </c>
      <c r="U1232">
        <v>11861</v>
      </c>
      <c r="V1232" t="s">
        <v>48</v>
      </c>
    </row>
    <row r="1233" spans="1:22">
      <c r="A1233" t="str">
        <f t="shared" si="218"/>
        <v>10/09/2025</v>
      </c>
      <c r="B1233" t="str">
        <f>"SAÍDA"</f>
        <v>SAÍDA</v>
      </c>
      <c r="C1233" t="str">
        <f>"PIX"</f>
        <v>PIX</v>
      </c>
      <c r="D1233" t="str">
        <f>"21664"</f>
        <v>21664</v>
      </c>
      <c r="E1233" t="str">
        <f>"1"</f>
        <v>1</v>
      </c>
      <c r="F1233" t="str">
        <f t="shared" si="215"/>
        <v>COM</v>
      </c>
      <c r="G1233" t="str">
        <f>"LUIZ PAULO DE OLIVEIRA (712)"</f>
        <v>LUIZ PAULO DE OLIVEIRA (712)</v>
      </c>
      <c r="H1233" t="str">
        <f>"Serv.Prest. 01/09/2025 a 07/09/2025 - PIX: CPF - CHAVE: 090.332.006-19"</f>
        <v>Serv.Prest. 01/09/2025 a 07/09/2025 - PIX: CPF - CHAVE: 090.332.006-19</v>
      </c>
      <c r="I1233" t="str">
        <f>("11/09/2025")</f>
        <v>11/09/2025</v>
      </c>
      <c r="J1233" t="str">
        <f>("09/09/2025")</f>
        <v>09/09/2025</v>
      </c>
      <c r="K1233" t="str">
        <f>("10/09/2025")</f>
        <v>10/09/2025</v>
      </c>
      <c r="L1233">
        <v>20</v>
      </c>
      <c r="M1233">
        <v>20</v>
      </c>
      <c r="N1233">
        <v>109</v>
      </c>
      <c r="O1233" t="str">
        <f>"PAGAMENTO DE ENTREGADORES"</f>
        <v>PAGAMENTO DE ENTREGADORES</v>
      </c>
      <c r="P1233">
        <v>20</v>
      </c>
      <c r="S1233" t="str">
        <f>"CAIXA MOVIMENTAÇÃO OPERACIONAL (132)"</f>
        <v>CAIXA MOVIMENTAÇÃO OPERACIONAL (132)</v>
      </c>
      <c r="T1233">
        <v>17943</v>
      </c>
      <c r="U1233">
        <v>21842</v>
      </c>
      <c r="V1233" t="s">
        <v>48</v>
      </c>
    </row>
    <row r="1234" spans="1:22">
      <c r="A1234" t="str">
        <f t="shared" si="218"/>
        <v>10/09/2025</v>
      </c>
      <c r="B1234" t="str">
        <f>"SAÍDA"</f>
        <v>SAÍDA</v>
      </c>
      <c r="C1234" t="str">
        <f>"PIX"</f>
        <v>PIX</v>
      </c>
      <c r="D1234" t="str">
        <f>"21664"</f>
        <v>21664</v>
      </c>
      <c r="E1234" t="str">
        <f>"1"</f>
        <v>1</v>
      </c>
      <c r="F1234" t="str">
        <f t="shared" si="215"/>
        <v>COM</v>
      </c>
      <c r="G1234" t="str">
        <f>"LUIZ PAULO DE OLIVEIRA (712)"</f>
        <v>LUIZ PAULO DE OLIVEIRA (712)</v>
      </c>
      <c r="H1234" t="s">
        <v>407</v>
      </c>
      <c r="I1234" t="str">
        <f>("11/09/2025")</f>
        <v>11/09/2025</v>
      </c>
      <c r="J1234" t="str">
        <f>("09/09/2025")</f>
        <v>09/09/2025</v>
      </c>
      <c r="K1234">
        <v>45910</v>
      </c>
      <c r="N1234">
        <v>109</v>
      </c>
      <c r="O1234" t="s">
        <v>24</v>
      </c>
      <c r="Q1234">
        <v>20</v>
      </c>
      <c r="R1234" t="str">
        <f>"DROGARIA POUPA MINAS (ULTRAMINAS) 1 (10181)"</f>
        <v>DROGARIA POUPA MINAS (ULTRAMINAS) 1 (10181)</v>
      </c>
      <c r="S1234" t="s">
        <v>48</v>
      </c>
      <c r="T1234">
        <v>17943</v>
      </c>
      <c r="U1234">
        <v>21842</v>
      </c>
      <c r="V1234" t="s">
        <v>48</v>
      </c>
    </row>
    <row r="1235" spans="1:22">
      <c r="A1235" t="str">
        <f t="shared" si="218"/>
        <v>10/09/2025</v>
      </c>
      <c r="B1235" t="str">
        <f>"ENTRADA"</f>
        <v>ENTRADA</v>
      </c>
      <c r="C1235" t="str">
        <f>"DINHEIRO"</f>
        <v>DINHEIRO</v>
      </c>
      <c r="D1235" t="str">
        <f>"759"</f>
        <v>759</v>
      </c>
      <c r="E1235" t="str">
        <f>"5"</f>
        <v>5</v>
      </c>
      <c r="F1235" t="str">
        <f t="shared" si="215"/>
        <v>COM</v>
      </c>
      <c r="G1235" t="str">
        <f>"MAICON HENRIQUE FERREIRA DOS SANTOS (759)"</f>
        <v>MAICON HENRIQUE FERREIRA DOS SANTOS (759)</v>
      </c>
      <c r="H1235" t="str">
        <f>"COTA COOPERATIVA"</f>
        <v>COTA COOPERATIVA</v>
      </c>
      <c r="I1235" t="str">
        <f>("08/09/2025")</f>
        <v>08/09/2025</v>
      </c>
      <c r="J1235" t="str">
        <f>("01/04/2025")</f>
        <v>01/04/2025</v>
      </c>
      <c r="K1235" t="str">
        <f>("10/09/2025")</f>
        <v>10/09/2025</v>
      </c>
      <c r="L1235">
        <v>20</v>
      </c>
      <c r="M1235">
        <v>20</v>
      </c>
      <c r="N1235">
        <v>106</v>
      </c>
      <c r="O1235" t="str">
        <f>"ENTRADA DE CAPITAL"</f>
        <v>ENTRADA DE CAPITAL</v>
      </c>
      <c r="P1235">
        <v>20</v>
      </c>
      <c r="S1235" t="str">
        <f>"ENTRADA DE CAPITAL (106)"</f>
        <v>ENTRADA DE CAPITAL (106)</v>
      </c>
      <c r="T1235">
        <v>17944</v>
      </c>
      <c r="U1235">
        <v>14190</v>
      </c>
      <c r="V1235" t="s">
        <v>48</v>
      </c>
    </row>
    <row r="1236" spans="1:22">
      <c r="A1236" t="str">
        <f t="shared" si="218"/>
        <v>10/09/2025</v>
      </c>
      <c r="B1236" t="str">
        <f>"ENTRADA"</f>
        <v>ENTRADA</v>
      </c>
      <c r="C1236" t="str">
        <f>"DINHEIRO"</f>
        <v>DINHEIRO</v>
      </c>
      <c r="D1236" t="str">
        <f>"759"</f>
        <v>759</v>
      </c>
      <c r="E1236" t="str">
        <f>"5"</f>
        <v>5</v>
      </c>
      <c r="F1236" t="str">
        <f t="shared" si="215"/>
        <v>COM</v>
      </c>
      <c r="G1236" t="str">
        <f>"MAICON HENRIQUE FERREIRA DOS SANTOS (759)"</f>
        <v>MAICON HENRIQUE FERREIRA DOS SANTOS (759)</v>
      </c>
      <c r="H1236" t="s">
        <v>50</v>
      </c>
      <c r="I1236" t="str">
        <f>("08/09/2025")</f>
        <v>08/09/2025</v>
      </c>
      <c r="J1236" t="str">
        <f>("01/04/2025")</f>
        <v>01/04/2025</v>
      </c>
      <c r="K1236">
        <v>45910</v>
      </c>
      <c r="N1236">
        <v>106</v>
      </c>
      <c r="O1236" t="s">
        <v>51</v>
      </c>
      <c r="Q1236">
        <v>20</v>
      </c>
      <c r="R1236" t="str">
        <f>"MAICON HENRIQUE FERREIRA DOS SANTOS (759)"</f>
        <v>MAICON HENRIQUE FERREIRA DOS SANTOS (759)</v>
      </c>
      <c r="S1236" t="s">
        <v>52</v>
      </c>
      <c r="T1236">
        <v>17944</v>
      </c>
      <c r="U1236">
        <v>14190</v>
      </c>
      <c r="V1236" t="s">
        <v>48</v>
      </c>
    </row>
    <row r="1237" spans="1:22">
      <c r="A1237" t="str">
        <f t="shared" si="218"/>
        <v>10/09/2025</v>
      </c>
      <c r="B1237" t="str">
        <f>"SAÍDA"</f>
        <v>SAÍDA</v>
      </c>
      <c r="C1237" t="str">
        <f>"PIX"</f>
        <v>PIX</v>
      </c>
      <c r="D1237" t="str">
        <f>"21232"</f>
        <v>21232</v>
      </c>
      <c r="E1237" t="str">
        <f>"1"</f>
        <v>1</v>
      </c>
      <c r="F1237" t="str">
        <f t="shared" si="215"/>
        <v>COM</v>
      </c>
      <c r="G1237" t="str">
        <f>"MAICON HENRIQUE FERREIRA DOS SANTOS (759)"</f>
        <v>MAICON HENRIQUE FERREIRA DOS SANTOS (759)</v>
      </c>
      <c r="H1237" t="str">
        <f>"Serv.Prest. 25/08/2025 a 31/08/2025 - PIX: CELULAR - CHAVE: (31) 98412-5118"</f>
        <v>Serv.Prest. 25/08/2025 a 31/08/2025 - PIX: CELULAR - CHAVE: (31) 98412-5118</v>
      </c>
      <c r="I1237" t="str">
        <f>("11/09/2025")</f>
        <v>11/09/2025</v>
      </c>
      <c r="J1237" t="str">
        <f>("02/09/2025")</f>
        <v>02/09/2025</v>
      </c>
      <c r="K1237" t="str">
        <f>("10/09/2025")</f>
        <v>10/09/2025</v>
      </c>
      <c r="L1237">
        <v>20</v>
      </c>
      <c r="M1237">
        <v>20</v>
      </c>
      <c r="N1237">
        <v>109</v>
      </c>
      <c r="O1237" t="str">
        <f>"PAGAMENTO DE ENTREGADORES"</f>
        <v>PAGAMENTO DE ENTREGADORES</v>
      </c>
      <c r="P1237">
        <v>20</v>
      </c>
      <c r="S1237" t="str">
        <f>"CAIXA MOVIMENTAÇÃO OPERACIONAL (132)"</f>
        <v>CAIXA MOVIMENTAÇÃO OPERACIONAL (132)</v>
      </c>
      <c r="T1237">
        <v>17945</v>
      </c>
      <c r="U1237">
        <v>21843</v>
      </c>
      <c r="V1237" t="s">
        <v>48</v>
      </c>
    </row>
    <row r="1238" spans="1:22">
      <c r="A1238" t="str">
        <f t="shared" si="218"/>
        <v>10/09/2025</v>
      </c>
      <c r="B1238" t="str">
        <f>"SAÍDA"</f>
        <v>SAÍDA</v>
      </c>
      <c r="C1238" t="str">
        <f>"PIX"</f>
        <v>PIX</v>
      </c>
      <c r="D1238" t="str">
        <f>"21232"</f>
        <v>21232</v>
      </c>
      <c r="E1238" t="str">
        <f>"1"</f>
        <v>1</v>
      </c>
      <c r="F1238" t="str">
        <f t="shared" si="215"/>
        <v>COM</v>
      </c>
      <c r="G1238" t="str">
        <f>"MAICON HENRIQUE FERREIRA DOS SANTOS (759)"</f>
        <v>MAICON HENRIQUE FERREIRA DOS SANTOS (759)</v>
      </c>
      <c r="H1238" t="s">
        <v>408</v>
      </c>
      <c r="I1238" t="str">
        <f>("11/09/2025")</f>
        <v>11/09/2025</v>
      </c>
      <c r="J1238" t="str">
        <f>("02/09/2025")</f>
        <v>02/09/2025</v>
      </c>
      <c r="K1238">
        <v>45910</v>
      </c>
      <c r="N1238">
        <v>109</v>
      </c>
      <c r="O1238" t="s">
        <v>24</v>
      </c>
      <c r="Q1238">
        <v>20</v>
      </c>
      <c r="R1238" t="str">
        <f>"FARMÁCIA INDIANA LJ 101 (10043)"</f>
        <v>FARMÁCIA INDIANA LJ 101 (10043)</v>
      </c>
      <c r="S1238" t="s">
        <v>48</v>
      </c>
      <c r="T1238">
        <v>17945</v>
      </c>
      <c r="U1238">
        <v>21843</v>
      </c>
      <c r="V1238" t="s">
        <v>48</v>
      </c>
    </row>
    <row r="1239" spans="1:22">
      <c r="A1239" t="str">
        <f t="shared" si="218"/>
        <v>10/09/2025</v>
      </c>
      <c r="B1239" t="str">
        <f>"SAÍDA"</f>
        <v>SAÍDA</v>
      </c>
      <c r="C1239" t="str">
        <f>"PIX"</f>
        <v>PIX</v>
      </c>
      <c r="D1239" t="str">
        <f>"21233"</f>
        <v>21233</v>
      </c>
      <c r="E1239" t="str">
        <f>"1"</f>
        <v>1</v>
      </c>
      <c r="F1239" t="str">
        <f t="shared" si="215"/>
        <v>COM</v>
      </c>
      <c r="G1239" t="str">
        <f>"MARCIO CLAUDIO DE ARAUJO (204)"</f>
        <v>MARCIO CLAUDIO DE ARAUJO (204)</v>
      </c>
      <c r="H1239" t="str">
        <f>"Serv.Prest. 25/08/2025 a 31/08/2025 - PIX: CELULAR - CHAVE: (33) 98427-3872"</f>
        <v>Serv.Prest. 25/08/2025 a 31/08/2025 - PIX: CELULAR - CHAVE: (33) 98427-3872</v>
      </c>
      <c r="I1239" t="str">
        <f>("11/09/2025")</f>
        <v>11/09/2025</v>
      </c>
      <c r="J1239" t="str">
        <f>("02/09/2025")</f>
        <v>02/09/2025</v>
      </c>
      <c r="K1239" t="str">
        <f>("10/09/2025")</f>
        <v>10/09/2025</v>
      </c>
      <c r="L1239">
        <v>20</v>
      </c>
      <c r="M1239">
        <v>20</v>
      </c>
      <c r="N1239">
        <v>109</v>
      </c>
      <c r="O1239" t="str">
        <f>"PAGAMENTO DE ENTREGADORES"</f>
        <v>PAGAMENTO DE ENTREGADORES</v>
      </c>
      <c r="P1239">
        <v>20</v>
      </c>
      <c r="S1239" t="str">
        <f>"CAIXA MOVIMENTAÇÃO OPERACIONAL (132)"</f>
        <v>CAIXA MOVIMENTAÇÃO OPERACIONAL (132)</v>
      </c>
      <c r="T1239">
        <v>17946</v>
      </c>
      <c r="U1239">
        <v>21844</v>
      </c>
      <c r="V1239" t="s">
        <v>48</v>
      </c>
    </row>
    <row r="1240" spans="1:22">
      <c r="A1240" t="str">
        <f t="shared" si="218"/>
        <v>10/09/2025</v>
      </c>
      <c r="B1240" t="str">
        <f>"SAÍDA"</f>
        <v>SAÍDA</v>
      </c>
      <c r="C1240" t="str">
        <f>"PIX"</f>
        <v>PIX</v>
      </c>
      <c r="D1240" t="str">
        <f>"21233"</f>
        <v>21233</v>
      </c>
      <c r="E1240" t="str">
        <f>"1"</f>
        <v>1</v>
      </c>
      <c r="F1240" t="str">
        <f t="shared" si="215"/>
        <v>COM</v>
      </c>
      <c r="G1240" t="str">
        <f>"MARCIO CLAUDIO DE ARAUJO (204)"</f>
        <v>MARCIO CLAUDIO DE ARAUJO (204)</v>
      </c>
      <c r="H1240" t="s">
        <v>409</v>
      </c>
      <c r="I1240" t="str">
        <f>("11/09/2025")</f>
        <v>11/09/2025</v>
      </c>
      <c r="J1240" t="str">
        <f>("02/09/2025")</f>
        <v>02/09/2025</v>
      </c>
      <c r="K1240">
        <v>45910</v>
      </c>
      <c r="N1240">
        <v>109</v>
      </c>
      <c r="O1240" t="s">
        <v>24</v>
      </c>
      <c r="Q1240">
        <v>20</v>
      </c>
      <c r="R1240" t="str">
        <f>"FARMÁCIA INDIANA LJ 06 (10006)"</f>
        <v>FARMÁCIA INDIANA LJ 06 (10006)</v>
      </c>
      <c r="S1240" t="s">
        <v>48</v>
      </c>
      <c r="T1240">
        <v>17946</v>
      </c>
      <c r="U1240">
        <v>21844</v>
      </c>
      <c r="V1240" t="s">
        <v>48</v>
      </c>
    </row>
    <row r="1241" spans="1:22">
      <c r="A1241" t="str">
        <f t="shared" si="218"/>
        <v>10/09/2025</v>
      </c>
      <c r="B1241" t="str">
        <f>"ENTRADA"</f>
        <v>ENTRADA</v>
      </c>
      <c r="C1241" t="str">
        <f>"DINHEIRO"</f>
        <v>DINHEIRO</v>
      </c>
      <c r="D1241" t="str">
        <f>"17"</f>
        <v>17</v>
      </c>
      <c r="E1241" t="str">
        <f>"33"</f>
        <v>33</v>
      </c>
      <c r="F1241" t="str">
        <f t="shared" si="215"/>
        <v>COM</v>
      </c>
      <c r="G1241" t="str">
        <f>"MARCIO CLAUDIO DE ARAUJO (204)"</f>
        <v>MARCIO CLAUDIO DE ARAUJO (204)</v>
      </c>
      <c r="H1241" t="str">
        <f>"DESCONTO COTA COOPERADO"</f>
        <v>DESCONTO COTA COOPERADO</v>
      </c>
      <c r="I1241" t="str">
        <f>("16/09/2025")</f>
        <v>16/09/2025</v>
      </c>
      <c r="J1241" t="str">
        <f>("16/01/2025")</f>
        <v>16/01/2025</v>
      </c>
      <c r="K1241" t="str">
        <f>("10/09/2025")</f>
        <v>10/09/2025</v>
      </c>
      <c r="L1241">
        <v>20</v>
      </c>
      <c r="M1241">
        <v>20</v>
      </c>
      <c r="N1241">
        <v>106</v>
      </c>
      <c r="O1241" t="str">
        <f>"ENTRADA DE CAPITAL"</f>
        <v>ENTRADA DE CAPITAL</v>
      </c>
      <c r="P1241">
        <v>20</v>
      </c>
      <c r="S1241" t="str">
        <f>"ENTRADA DE CAPITAL (106)"</f>
        <v>ENTRADA DE CAPITAL (106)</v>
      </c>
      <c r="T1241">
        <v>17947</v>
      </c>
      <c r="U1241">
        <v>7068</v>
      </c>
      <c r="V1241" t="s">
        <v>48</v>
      </c>
    </row>
    <row r="1242" spans="1:22">
      <c r="A1242" t="str">
        <f t="shared" si="218"/>
        <v>10/09/2025</v>
      </c>
      <c r="B1242" t="str">
        <f>"ENTRADA"</f>
        <v>ENTRADA</v>
      </c>
      <c r="C1242" t="str">
        <f>"DINHEIRO"</f>
        <v>DINHEIRO</v>
      </c>
      <c r="D1242" t="str">
        <f>"17"</f>
        <v>17</v>
      </c>
      <c r="E1242" t="str">
        <f>"33"</f>
        <v>33</v>
      </c>
      <c r="F1242" t="str">
        <f t="shared" si="215"/>
        <v>COM</v>
      </c>
      <c r="G1242" t="str">
        <f>"MARCIO CLAUDIO DE ARAUJO (204)"</f>
        <v>MARCIO CLAUDIO DE ARAUJO (204)</v>
      </c>
      <c r="H1242" t="s">
        <v>309</v>
      </c>
      <c r="I1242" t="str">
        <f>("16/09/2025")</f>
        <v>16/09/2025</v>
      </c>
      <c r="J1242" t="str">
        <f>("16/01/2025")</f>
        <v>16/01/2025</v>
      </c>
      <c r="K1242">
        <v>45910</v>
      </c>
      <c r="N1242">
        <v>106</v>
      </c>
      <c r="O1242" t="s">
        <v>51</v>
      </c>
      <c r="Q1242">
        <v>20</v>
      </c>
      <c r="R1242" t="str">
        <f>"MARCIO CLAUDIO DE ARAUJO (204)"</f>
        <v>MARCIO CLAUDIO DE ARAUJO (204)</v>
      </c>
      <c r="S1242" t="s">
        <v>52</v>
      </c>
      <c r="T1242">
        <v>17947</v>
      </c>
      <c r="U1242">
        <v>7068</v>
      </c>
      <c r="V1242" t="s">
        <v>48</v>
      </c>
    </row>
    <row r="1243" spans="1:22">
      <c r="A1243" t="str">
        <f t="shared" si="218"/>
        <v>10/09/2025</v>
      </c>
      <c r="B1243" t="str">
        <f>"SAÍDA"</f>
        <v>SAÍDA</v>
      </c>
      <c r="C1243" t="str">
        <f>"PIX"</f>
        <v>PIX</v>
      </c>
      <c r="D1243" t="str">
        <f>"21234"</f>
        <v>21234</v>
      </c>
      <c r="E1243" t="str">
        <f>"1"</f>
        <v>1</v>
      </c>
      <c r="F1243" t="str">
        <f t="shared" si="215"/>
        <v>COM</v>
      </c>
      <c r="G1243" t="str">
        <f>"MARCOS DIONI RODRIGUES GASPAR (506)"</f>
        <v>MARCOS DIONI RODRIGUES GASPAR (506)</v>
      </c>
      <c r="H1243" t="str">
        <f>"Serv.Prest. 25/08/2025 a 31/08/2025 - PIX: CELULAR - CHAVE: (33) 99815-2379"</f>
        <v>Serv.Prest. 25/08/2025 a 31/08/2025 - PIX: CELULAR - CHAVE: (33) 99815-2379</v>
      </c>
      <c r="I1243" t="str">
        <f>("11/09/2025")</f>
        <v>11/09/2025</v>
      </c>
      <c r="J1243" t="str">
        <f>("02/09/2025")</f>
        <v>02/09/2025</v>
      </c>
      <c r="K1243" t="str">
        <f>("10/09/2025")</f>
        <v>10/09/2025</v>
      </c>
      <c r="L1243">
        <v>20</v>
      </c>
      <c r="M1243">
        <v>20</v>
      </c>
      <c r="N1243">
        <v>109</v>
      </c>
      <c r="O1243" t="str">
        <f>"PAGAMENTO DE ENTREGADORES"</f>
        <v>PAGAMENTO DE ENTREGADORES</v>
      </c>
      <c r="P1243">
        <v>20</v>
      </c>
      <c r="S1243" t="str">
        <f>"CAIXA MOVIMENTAÇÃO OPERACIONAL (132)"</f>
        <v>CAIXA MOVIMENTAÇÃO OPERACIONAL (132)</v>
      </c>
      <c r="T1243">
        <v>17948</v>
      </c>
      <c r="U1243">
        <v>21845</v>
      </c>
      <c r="V1243" t="s">
        <v>48</v>
      </c>
    </row>
    <row r="1244" spans="1:22">
      <c r="A1244" t="str">
        <f t="shared" si="218"/>
        <v>10/09/2025</v>
      </c>
      <c r="B1244" t="str">
        <f>"SAÍDA"</f>
        <v>SAÍDA</v>
      </c>
      <c r="C1244" t="str">
        <f>"PIX"</f>
        <v>PIX</v>
      </c>
      <c r="D1244" t="str">
        <f>"21234"</f>
        <v>21234</v>
      </c>
      <c r="E1244" t="str">
        <f>"1"</f>
        <v>1</v>
      </c>
      <c r="F1244" t="str">
        <f t="shared" ref="F1244:F1307" si="219">"COM"</f>
        <v>COM</v>
      </c>
      <c r="G1244" t="str">
        <f>"MARCOS DIONI RODRIGUES GASPAR (506)"</f>
        <v>MARCOS DIONI RODRIGUES GASPAR (506)</v>
      </c>
      <c r="H1244" t="s">
        <v>410</v>
      </c>
      <c r="I1244" t="str">
        <f>("11/09/2025")</f>
        <v>11/09/2025</v>
      </c>
      <c r="J1244" t="str">
        <f>("02/09/2025")</f>
        <v>02/09/2025</v>
      </c>
      <c r="K1244">
        <v>45910</v>
      </c>
      <c r="N1244">
        <v>109</v>
      </c>
      <c r="O1244" t="s">
        <v>24</v>
      </c>
      <c r="Q1244">
        <v>20</v>
      </c>
      <c r="R1244" t="str">
        <f>"FARMÁCIA INDIANA LJ 06 (10006)"</f>
        <v>FARMÁCIA INDIANA LJ 06 (10006)</v>
      </c>
      <c r="S1244" t="s">
        <v>48</v>
      </c>
      <c r="T1244">
        <v>17948</v>
      </c>
      <c r="U1244">
        <v>21845</v>
      </c>
      <c r="V1244" t="s">
        <v>48</v>
      </c>
    </row>
    <row r="1245" spans="1:22">
      <c r="A1245" t="str">
        <f t="shared" si="218"/>
        <v>10/09/2025</v>
      </c>
      <c r="B1245" t="str">
        <f>"ENTRADA"</f>
        <v>ENTRADA</v>
      </c>
      <c r="C1245" t="str">
        <f>"DINHEIRO"</f>
        <v>DINHEIRO</v>
      </c>
      <c r="D1245" t="str">
        <f>"03"</f>
        <v>03</v>
      </c>
      <c r="E1245" t="str">
        <f>"33"</f>
        <v>33</v>
      </c>
      <c r="F1245" t="str">
        <f t="shared" si="219"/>
        <v>COM</v>
      </c>
      <c r="G1245" t="str">
        <f>"MARCOS DIONI RODRIGUES GASPAR (506)"</f>
        <v>MARCOS DIONI RODRIGUES GASPAR (506)</v>
      </c>
      <c r="H1245" t="str">
        <f>"DESCONTO COTA COOPERADO"</f>
        <v>DESCONTO COTA COOPERADO</v>
      </c>
      <c r="I1245" t="str">
        <f>("16/09/2025")</f>
        <v>16/09/2025</v>
      </c>
      <c r="J1245" t="str">
        <f>("16/01/2025")</f>
        <v>16/01/2025</v>
      </c>
      <c r="K1245" t="str">
        <f>("10/09/2025")</f>
        <v>10/09/2025</v>
      </c>
      <c r="L1245">
        <v>20</v>
      </c>
      <c r="M1245">
        <v>20</v>
      </c>
      <c r="N1245">
        <v>106</v>
      </c>
      <c r="O1245" t="str">
        <f>"ENTRADA DE CAPITAL"</f>
        <v>ENTRADA DE CAPITAL</v>
      </c>
      <c r="P1245">
        <v>20</v>
      </c>
      <c r="S1245" t="str">
        <f>"ENTRADA DE CAPITAL (106)"</f>
        <v>ENTRADA DE CAPITAL (106)</v>
      </c>
      <c r="T1245">
        <v>17949</v>
      </c>
      <c r="U1245">
        <v>7078</v>
      </c>
      <c r="V1245" t="s">
        <v>48</v>
      </c>
    </row>
    <row r="1246" spans="1:22">
      <c r="A1246" t="str">
        <f t="shared" si="218"/>
        <v>10/09/2025</v>
      </c>
      <c r="B1246" t="str">
        <f>"ENTRADA"</f>
        <v>ENTRADA</v>
      </c>
      <c r="C1246" t="str">
        <f>"DINHEIRO"</f>
        <v>DINHEIRO</v>
      </c>
      <c r="D1246" t="str">
        <f>"03"</f>
        <v>03</v>
      </c>
      <c r="E1246" t="str">
        <f>"33"</f>
        <v>33</v>
      </c>
      <c r="F1246" t="str">
        <f t="shared" si="219"/>
        <v>COM</v>
      </c>
      <c r="G1246" t="str">
        <f>"MARCOS DIONI RODRIGUES GASPAR (506)"</f>
        <v>MARCOS DIONI RODRIGUES GASPAR (506)</v>
      </c>
      <c r="H1246" t="s">
        <v>309</v>
      </c>
      <c r="I1246" t="str">
        <f>("16/09/2025")</f>
        <v>16/09/2025</v>
      </c>
      <c r="J1246" t="str">
        <f>("16/01/2025")</f>
        <v>16/01/2025</v>
      </c>
      <c r="K1246">
        <v>45910</v>
      </c>
      <c r="N1246">
        <v>106</v>
      </c>
      <c r="O1246" t="s">
        <v>51</v>
      </c>
      <c r="Q1246">
        <v>20</v>
      </c>
      <c r="R1246" t="str">
        <f>"MARCOS DIONI RODRIGUES GASPAR (506)"</f>
        <v>MARCOS DIONI RODRIGUES GASPAR (506)</v>
      </c>
      <c r="S1246" t="s">
        <v>52</v>
      </c>
      <c r="T1246">
        <v>17949</v>
      </c>
      <c r="U1246">
        <v>7078</v>
      </c>
      <c r="V1246" t="s">
        <v>48</v>
      </c>
    </row>
    <row r="1247" spans="1:22">
      <c r="A1247" t="str">
        <f t="shared" si="218"/>
        <v>10/09/2025</v>
      </c>
      <c r="B1247" t="str">
        <f>"SAÍDA"</f>
        <v>SAÍDA</v>
      </c>
      <c r="C1247" t="str">
        <f>"PIX"</f>
        <v>PIX</v>
      </c>
      <c r="D1247" t="str">
        <f>"21235"</f>
        <v>21235</v>
      </c>
      <c r="E1247" t="str">
        <f>"1"</f>
        <v>1</v>
      </c>
      <c r="F1247" t="str">
        <f t="shared" si="219"/>
        <v>COM</v>
      </c>
      <c r="G1247" t="str">
        <f>"MARCOS RODRIGUES PENA (64)"</f>
        <v>MARCOS RODRIGUES PENA (64)</v>
      </c>
      <c r="H1247" t="str">
        <f>"Serv.Prest. 25/08/2025 a 31/08/2025 - PIX: CELULAR - CHAVE: (33) 99194-2339"</f>
        <v>Serv.Prest. 25/08/2025 a 31/08/2025 - PIX: CELULAR - CHAVE: (33) 99194-2339</v>
      </c>
      <c r="I1247" t="str">
        <f>("11/09/2025")</f>
        <v>11/09/2025</v>
      </c>
      <c r="J1247" t="str">
        <f>("02/09/2025")</f>
        <v>02/09/2025</v>
      </c>
      <c r="K1247" t="str">
        <f>("10/09/2025")</f>
        <v>10/09/2025</v>
      </c>
      <c r="L1247">
        <v>20</v>
      </c>
      <c r="M1247">
        <v>20</v>
      </c>
      <c r="N1247">
        <v>109</v>
      </c>
      <c r="O1247" t="str">
        <f>"PAGAMENTO DE ENTREGADORES"</f>
        <v>PAGAMENTO DE ENTREGADORES</v>
      </c>
      <c r="P1247">
        <v>20</v>
      </c>
      <c r="S1247" t="str">
        <f>"CAIXA MOVIMENTAÇÃO OPERACIONAL (132)"</f>
        <v>CAIXA MOVIMENTAÇÃO OPERACIONAL (132)</v>
      </c>
      <c r="T1247">
        <v>17950</v>
      </c>
      <c r="U1247">
        <v>21846</v>
      </c>
      <c r="V1247" t="s">
        <v>48</v>
      </c>
    </row>
    <row r="1248" spans="1:22">
      <c r="A1248" t="str">
        <f t="shared" si="218"/>
        <v>10/09/2025</v>
      </c>
      <c r="B1248" t="str">
        <f>"SAÍDA"</f>
        <v>SAÍDA</v>
      </c>
      <c r="C1248" t="str">
        <f>"PIX"</f>
        <v>PIX</v>
      </c>
      <c r="D1248" t="str">
        <f>"21235"</f>
        <v>21235</v>
      </c>
      <c r="E1248" t="str">
        <f>"1"</f>
        <v>1</v>
      </c>
      <c r="F1248" t="str">
        <f t="shared" si="219"/>
        <v>COM</v>
      </c>
      <c r="G1248" t="str">
        <f>"MARCOS RODRIGUES PENA (64)"</f>
        <v>MARCOS RODRIGUES PENA (64)</v>
      </c>
      <c r="H1248" t="s">
        <v>254</v>
      </c>
      <c r="I1248" t="str">
        <f>("11/09/2025")</f>
        <v>11/09/2025</v>
      </c>
      <c r="J1248" t="str">
        <f>("02/09/2025")</f>
        <v>02/09/2025</v>
      </c>
      <c r="K1248">
        <v>45910</v>
      </c>
      <c r="N1248">
        <v>109</v>
      </c>
      <c r="O1248" t="s">
        <v>24</v>
      </c>
      <c r="Q1248">
        <v>20</v>
      </c>
      <c r="R1248" t="str">
        <f>"FARMÁCIA INDIANA LJ 62 (10028)"</f>
        <v>FARMÁCIA INDIANA LJ 62 (10028)</v>
      </c>
      <c r="S1248" t="s">
        <v>48</v>
      </c>
      <c r="T1248">
        <v>17950</v>
      </c>
      <c r="U1248">
        <v>21846</v>
      </c>
      <c r="V1248" t="s">
        <v>48</v>
      </c>
    </row>
    <row r="1249" spans="1:22">
      <c r="A1249" t="str">
        <f t="shared" si="218"/>
        <v>10/09/2025</v>
      </c>
      <c r="B1249" t="str">
        <f>"ENTRADA"</f>
        <v>ENTRADA</v>
      </c>
      <c r="C1249" t="str">
        <f>"DINHEIRO"</f>
        <v>DINHEIRO</v>
      </c>
      <c r="D1249" t="str">
        <f>"12"</f>
        <v>12</v>
      </c>
      <c r="E1249" t="str">
        <f>"33"</f>
        <v>33</v>
      </c>
      <c r="F1249" t="str">
        <f t="shared" si="219"/>
        <v>COM</v>
      </c>
      <c r="G1249" t="str">
        <f>"MARCOS RODRIGUES PENA (64)"</f>
        <v>MARCOS RODRIGUES PENA (64)</v>
      </c>
      <c r="H1249" t="str">
        <f>"DESCONTO COTA COOPERADO"</f>
        <v>DESCONTO COTA COOPERADO</v>
      </c>
      <c r="I1249" t="str">
        <f>("16/09/2025")</f>
        <v>16/09/2025</v>
      </c>
      <c r="J1249" t="str">
        <f>("16/01/2025")</f>
        <v>16/01/2025</v>
      </c>
      <c r="K1249" t="str">
        <f>("10/09/2025")</f>
        <v>10/09/2025</v>
      </c>
      <c r="L1249">
        <v>20</v>
      </c>
      <c r="M1249">
        <v>20</v>
      </c>
      <c r="N1249">
        <v>106</v>
      </c>
      <c r="O1249" t="str">
        <f>"ENTRADA DE CAPITAL"</f>
        <v>ENTRADA DE CAPITAL</v>
      </c>
      <c r="P1249">
        <v>20</v>
      </c>
      <c r="S1249" t="str">
        <f>"ENTRADA DE CAPITAL (106)"</f>
        <v>ENTRADA DE CAPITAL (106)</v>
      </c>
      <c r="T1249">
        <v>17951</v>
      </c>
      <c r="U1249">
        <v>7102</v>
      </c>
      <c r="V1249" t="s">
        <v>48</v>
      </c>
    </row>
    <row r="1250" spans="1:22">
      <c r="A1250" t="str">
        <f t="shared" si="218"/>
        <v>10/09/2025</v>
      </c>
      <c r="B1250" t="str">
        <f>"ENTRADA"</f>
        <v>ENTRADA</v>
      </c>
      <c r="C1250" t="str">
        <f>"DINHEIRO"</f>
        <v>DINHEIRO</v>
      </c>
      <c r="D1250" t="str">
        <f>"12"</f>
        <v>12</v>
      </c>
      <c r="E1250" t="str">
        <f>"33"</f>
        <v>33</v>
      </c>
      <c r="F1250" t="str">
        <f t="shared" si="219"/>
        <v>COM</v>
      </c>
      <c r="G1250" t="str">
        <f>"MARCOS RODRIGUES PENA (64)"</f>
        <v>MARCOS RODRIGUES PENA (64)</v>
      </c>
      <c r="H1250" t="s">
        <v>309</v>
      </c>
      <c r="I1250" t="str">
        <f>("16/09/2025")</f>
        <v>16/09/2025</v>
      </c>
      <c r="J1250" t="str">
        <f>("16/01/2025")</f>
        <v>16/01/2025</v>
      </c>
      <c r="K1250">
        <v>45910</v>
      </c>
      <c r="N1250">
        <v>106</v>
      </c>
      <c r="O1250" t="s">
        <v>51</v>
      </c>
      <c r="Q1250">
        <v>20</v>
      </c>
      <c r="R1250" t="str">
        <f>"MARCOS RODRIGUES PENA (64)"</f>
        <v>MARCOS RODRIGUES PENA (64)</v>
      </c>
      <c r="S1250" t="s">
        <v>52</v>
      </c>
      <c r="T1250">
        <v>17951</v>
      </c>
      <c r="U1250">
        <v>7102</v>
      </c>
      <c r="V1250" t="s">
        <v>48</v>
      </c>
    </row>
    <row r="1251" spans="1:22">
      <c r="A1251" t="str">
        <f t="shared" si="218"/>
        <v>10/09/2025</v>
      </c>
      <c r="B1251" t="str">
        <f>"SAÍDA"</f>
        <v>SAÍDA</v>
      </c>
      <c r="C1251" t="str">
        <f>"PIX"</f>
        <v>PIX</v>
      </c>
      <c r="D1251" t="str">
        <f>"21151"</f>
        <v>21151</v>
      </c>
      <c r="E1251" t="str">
        <f>"1"</f>
        <v>1</v>
      </c>
      <c r="F1251" t="str">
        <f t="shared" si="219"/>
        <v>COM</v>
      </c>
      <c r="G1251" t="str">
        <f>"MARIA ILZA PEREIRA DOS SANTOS (618)"</f>
        <v>MARIA ILZA PEREIRA DOS SANTOS (618)</v>
      </c>
      <c r="H1251" t="str">
        <f>"Serv.Prest. 25/08/2025 a 31/08/2025 - PIX: CPF - CHAVE: 003.157.195-67"</f>
        <v>Serv.Prest. 25/08/2025 a 31/08/2025 - PIX: CPF - CHAVE: 003.157.195-67</v>
      </c>
      <c r="I1251" t="str">
        <f>("11/09/2025")</f>
        <v>11/09/2025</v>
      </c>
      <c r="J1251" t="str">
        <f>("02/09/2025")</f>
        <v>02/09/2025</v>
      </c>
      <c r="K1251" t="str">
        <f>("10/09/2025")</f>
        <v>10/09/2025</v>
      </c>
      <c r="L1251">
        <v>20</v>
      </c>
      <c r="M1251">
        <v>20</v>
      </c>
      <c r="N1251">
        <v>109</v>
      </c>
      <c r="O1251" t="str">
        <f>"PAGAMENTO DE ENTREGADORES"</f>
        <v>PAGAMENTO DE ENTREGADORES</v>
      </c>
      <c r="P1251">
        <v>20</v>
      </c>
      <c r="S1251" t="str">
        <f>"CAIXA MOVIMENTAÇÃO OPERACIONAL (132)"</f>
        <v>CAIXA MOVIMENTAÇÃO OPERACIONAL (132)</v>
      </c>
      <c r="T1251">
        <v>17952</v>
      </c>
      <c r="U1251">
        <v>21847</v>
      </c>
      <c r="V1251" t="s">
        <v>48</v>
      </c>
    </row>
    <row r="1252" spans="1:22">
      <c r="A1252" t="str">
        <f t="shared" si="218"/>
        <v>10/09/2025</v>
      </c>
      <c r="B1252" t="str">
        <f>"SAÍDA"</f>
        <v>SAÍDA</v>
      </c>
      <c r="C1252" t="str">
        <f>"PIX"</f>
        <v>PIX</v>
      </c>
      <c r="D1252" t="str">
        <f>"21151"</f>
        <v>21151</v>
      </c>
      <c r="E1252" t="str">
        <f>"1"</f>
        <v>1</v>
      </c>
      <c r="F1252" t="str">
        <f t="shared" si="219"/>
        <v>COM</v>
      </c>
      <c r="G1252" t="str">
        <f>"MARIA ILZA PEREIRA DOS SANTOS (618)"</f>
        <v>MARIA ILZA PEREIRA DOS SANTOS (618)</v>
      </c>
      <c r="H1252" t="s">
        <v>411</v>
      </c>
      <c r="I1252" t="str">
        <f>("11/09/2025")</f>
        <v>11/09/2025</v>
      </c>
      <c r="J1252" t="str">
        <f>("02/09/2025")</f>
        <v>02/09/2025</v>
      </c>
      <c r="K1252">
        <v>45910</v>
      </c>
      <c r="N1252">
        <v>109</v>
      </c>
      <c r="O1252" t="s">
        <v>24</v>
      </c>
      <c r="Q1252">
        <v>20</v>
      </c>
      <c r="R1252" t="str">
        <f>"FARMÁCIA INDIANA LJ 65 (10030)"</f>
        <v>FARMÁCIA INDIANA LJ 65 (10030)</v>
      </c>
      <c r="S1252" t="s">
        <v>48</v>
      </c>
      <c r="T1252">
        <v>17952</v>
      </c>
      <c r="U1252">
        <v>21847</v>
      </c>
      <c r="V1252" t="s">
        <v>48</v>
      </c>
    </row>
    <row r="1253" spans="1:22">
      <c r="A1253" t="str">
        <f t="shared" si="218"/>
        <v>10/09/2025</v>
      </c>
      <c r="B1253" t="str">
        <f>"ENTRADA"</f>
        <v>ENTRADA</v>
      </c>
      <c r="C1253" t="str">
        <f>"DINHEIRO"</f>
        <v>DINHEIRO</v>
      </c>
      <c r="D1253" t="str">
        <f>"618"</f>
        <v>618</v>
      </c>
      <c r="E1253" t="str">
        <f>"8"</f>
        <v>8</v>
      </c>
      <c r="F1253" t="str">
        <f t="shared" si="219"/>
        <v>COM</v>
      </c>
      <c r="G1253" t="str">
        <f>"MARIA ILZA PEREIRA DOS SANTOS (618)"</f>
        <v>MARIA ILZA PEREIRA DOS SANTOS (618)</v>
      </c>
      <c r="H1253" t="str">
        <f>"COTAS COOPERATIVA"</f>
        <v>COTAS COOPERATIVA</v>
      </c>
      <c r="I1253" t="str">
        <f>("13/09/2025")</f>
        <v>13/09/2025</v>
      </c>
      <c r="J1253" t="str">
        <f>("13/02/2025")</f>
        <v>13/02/2025</v>
      </c>
      <c r="K1253" t="str">
        <f>("10/09/2025")</f>
        <v>10/09/2025</v>
      </c>
      <c r="L1253">
        <v>20</v>
      </c>
      <c r="M1253">
        <v>20</v>
      </c>
      <c r="N1253">
        <v>106</v>
      </c>
      <c r="O1253" t="str">
        <f>"ENTRADA DE CAPITAL"</f>
        <v>ENTRADA DE CAPITAL</v>
      </c>
      <c r="P1253">
        <v>20</v>
      </c>
      <c r="S1253" t="str">
        <f>"ENTRADA DE CAPITAL (106)"</f>
        <v>ENTRADA DE CAPITAL (106)</v>
      </c>
      <c r="T1253">
        <v>17953</v>
      </c>
      <c r="U1253">
        <v>9524</v>
      </c>
      <c r="V1253" t="s">
        <v>48</v>
      </c>
    </row>
    <row r="1254" spans="1:22">
      <c r="A1254" t="str">
        <f t="shared" si="218"/>
        <v>10/09/2025</v>
      </c>
      <c r="B1254" t="str">
        <f>"ENTRADA"</f>
        <v>ENTRADA</v>
      </c>
      <c r="C1254" t="str">
        <f>"DINHEIRO"</f>
        <v>DINHEIRO</v>
      </c>
      <c r="D1254" t="str">
        <f>"618"</f>
        <v>618</v>
      </c>
      <c r="E1254" t="str">
        <f>"8"</f>
        <v>8</v>
      </c>
      <c r="F1254" t="str">
        <f t="shared" si="219"/>
        <v>COM</v>
      </c>
      <c r="G1254" t="str">
        <f>"MARIA ILZA PEREIRA DOS SANTOS (618)"</f>
        <v>MARIA ILZA PEREIRA DOS SANTOS (618)</v>
      </c>
      <c r="H1254" t="s">
        <v>318</v>
      </c>
      <c r="I1254" t="str">
        <f>("13/09/2025")</f>
        <v>13/09/2025</v>
      </c>
      <c r="J1254" t="str">
        <f>("13/02/2025")</f>
        <v>13/02/2025</v>
      </c>
      <c r="K1254">
        <v>45910</v>
      </c>
      <c r="N1254">
        <v>106</v>
      </c>
      <c r="O1254" t="s">
        <v>51</v>
      </c>
      <c r="Q1254">
        <v>20</v>
      </c>
      <c r="R1254" t="str">
        <f>"MARIA ILZA PEREIRA DOS SANTOS (618)"</f>
        <v>MARIA ILZA PEREIRA DOS SANTOS (618)</v>
      </c>
      <c r="S1254" t="s">
        <v>52</v>
      </c>
      <c r="T1254">
        <v>17953</v>
      </c>
      <c r="U1254">
        <v>9524</v>
      </c>
      <c r="V1254" t="s">
        <v>48</v>
      </c>
    </row>
    <row r="1255" spans="1:22">
      <c r="A1255" t="str">
        <f t="shared" si="218"/>
        <v>10/09/2025</v>
      </c>
      <c r="B1255" t="str">
        <f>"ENTRADA"</f>
        <v>ENTRADA</v>
      </c>
      <c r="C1255" t="str">
        <f>"DINHEIRO"</f>
        <v>DINHEIRO</v>
      </c>
      <c r="D1255" t="str">
        <f>"769"</f>
        <v>769</v>
      </c>
      <c r="E1255" t="str">
        <f>"5"</f>
        <v>5</v>
      </c>
      <c r="F1255" t="str">
        <f t="shared" si="219"/>
        <v>COM</v>
      </c>
      <c r="G1255" t="str">
        <f t="shared" ref="G1255:G1262" si="220">"MATEUS JADSON SANTANA RIBEIRO (769)"</f>
        <v>MATEUS JADSON SANTANA RIBEIRO (769)</v>
      </c>
      <c r="H1255" t="str">
        <f>"COTA COOPERATIVA"</f>
        <v>COTA COOPERATIVA</v>
      </c>
      <c r="I1255" t="str">
        <f>("08/09/2025")</f>
        <v>08/09/2025</v>
      </c>
      <c r="J1255" t="str">
        <f>("01/04/2025")</f>
        <v>01/04/2025</v>
      </c>
      <c r="K1255" t="str">
        <f>("10/09/2025")</f>
        <v>10/09/2025</v>
      </c>
      <c r="L1255">
        <v>20</v>
      </c>
      <c r="M1255">
        <v>20</v>
      </c>
      <c r="N1255">
        <v>106</v>
      </c>
      <c r="O1255" t="str">
        <f>"ENTRADA DE CAPITAL"</f>
        <v>ENTRADA DE CAPITAL</v>
      </c>
      <c r="P1255">
        <v>20</v>
      </c>
      <c r="S1255" t="str">
        <f>"ENTRADA DE CAPITAL (106)"</f>
        <v>ENTRADA DE CAPITAL (106)</v>
      </c>
      <c r="T1255">
        <v>17954</v>
      </c>
      <c r="U1255">
        <v>14221</v>
      </c>
      <c r="V1255" t="s">
        <v>48</v>
      </c>
    </row>
    <row r="1256" spans="1:22">
      <c r="A1256" t="str">
        <f t="shared" si="218"/>
        <v>10/09/2025</v>
      </c>
      <c r="B1256" t="str">
        <f>"ENTRADA"</f>
        <v>ENTRADA</v>
      </c>
      <c r="C1256" t="str">
        <f>"DINHEIRO"</f>
        <v>DINHEIRO</v>
      </c>
      <c r="D1256" t="str">
        <f>"769"</f>
        <v>769</v>
      </c>
      <c r="E1256" t="str">
        <f>"5"</f>
        <v>5</v>
      </c>
      <c r="F1256" t="str">
        <f t="shared" si="219"/>
        <v>COM</v>
      </c>
      <c r="G1256" t="str">
        <f t="shared" si="220"/>
        <v>MATEUS JADSON SANTANA RIBEIRO (769)</v>
      </c>
      <c r="H1256" t="s">
        <v>50</v>
      </c>
      <c r="I1256" t="str">
        <f>("08/09/2025")</f>
        <v>08/09/2025</v>
      </c>
      <c r="J1256" t="str">
        <f>("01/04/2025")</f>
        <v>01/04/2025</v>
      </c>
      <c r="K1256">
        <v>45910</v>
      </c>
      <c r="N1256">
        <v>106</v>
      </c>
      <c r="O1256" t="s">
        <v>51</v>
      </c>
      <c r="Q1256">
        <v>20</v>
      </c>
      <c r="R1256" t="str">
        <f>"MATEUS JADSON SANTANA RIBEIRO (769)"</f>
        <v>MATEUS JADSON SANTANA RIBEIRO (769)</v>
      </c>
      <c r="S1256" t="s">
        <v>52</v>
      </c>
      <c r="T1256">
        <v>17954</v>
      </c>
      <c r="U1256">
        <v>14221</v>
      </c>
      <c r="V1256" t="s">
        <v>48</v>
      </c>
    </row>
    <row r="1257" spans="1:22">
      <c r="A1257" t="str">
        <f t="shared" si="218"/>
        <v>10/09/2025</v>
      </c>
      <c r="B1257" t="str">
        <f>"SAÍDA"</f>
        <v>SAÍDA</v>
      </c>
      <c r="C1257" t="str">
        <f>"PIX"</f>
        <v>PIX</v>
      </c>
      <c r="D1257" t="str">
        <f>"21236"</f>
        <v>21236</v>
      </c>
      <c r="E1257" t="str">
        <f>"1"</f>
        <v>1</v>
      </c>
      <c r="F1257" t="str">
        <f t="shared" si="219"/>
        <v>COM</v>
      </c>
      <c r="G1257" t="str">
        <f t="shared" si="220"/>
        <v>MATEUS JADSON SANTANA RIBEIRO (769)</v>
      </c>
      <c r="H1257" t="str">
        <f>"Serv.Prest. 25/08/2025 a 31/08/2025 - PIX: CPF - CHAVE: 705.849.816-43"</f>
        <v>Serv.Prest. 25/08/2025 a 31/08/2025 - PIX: CPF - CHAVE: 705.849.816-43</v>
      </c>
      <c r="I1257" t="str">
        <f>("11/09/2025")</f>
        <v>11/09/2025</v>
      </c>
      <c r="J1257" t="str">
        <f>("02/09/2025")</f>
        <v>02/09/2025</v>
      </c>
      <c r="K1257" t="str">
        <f>("10/09/2025")</f>
        <v>10/09/2025</v>
      </c>
      <c r="L1257">
        <v>12</v>
      </c>
      <c r="M1257">
        <v>12</v>
      </c>
      <c r="N1257">
        <v>109</v>
      </c>
      <c r="O1257" t="str">
        <f>"PAGAMENTO DE ENTREGADORES"</f>
        <v>PAGAMENTO DE ENTREGADORES</v>
      </c>
      <c r="P1257">
        <v>12</v>
      </c>
      <c r="S1257" t="str">
        <f>"CAIXA MOVIMENTAÇÃO OPERACIONAL (132)"</f>
        <v>CAIXA MOVIMENTAÇÃO OPERACIONAL (132)</v>
      </c>
      <c r="T1257">
        <v>17955</v>
      </c>
      <c r="U1257">
        <v>21236</v>
      </c>
      <c r="V1257" t="s">
        <v>48</v>
      </c>
    </row>
    <row r="1258" spans="1:22">
      <c r="A1258" t="str">
        <f t="shared" si="218"/>
        <v>10/09/2025</v>
      </c>
      <c r="B1258" t="str">
        <f>"SAÍDA"</f>
        <v>SAÍDA</v>
      </c>
      <c r="C1258" t="str">
        <f>"PIX"</f>
        <v>PIX</v>
      </c>
      <c r="D1258" t="str">
        <f>"21236"</f>
        <v>21236</v>
      </c>
      <c r="E1258" t="str">
        <f>"1"</f>
        <v>1</v>
      </c>
      <c r="F1258" t="str">
        <f t="shared" si="219"/>
        <v>COM</v>
      </c>
      <c r="G1258" t="str">
        <f t="shared" si="220"/>
        <v>MATEUS JADSON SANTANA RIBEIRO (769)</v>
      </c>
      <c r="H1258" t="s">
        <v>412</v>
      </c>
      <c r="I1258" t="str">
        <f>("11/09/2025")</f>
        <v>11/09/2025</v>
      </c>
      <c r="J1258" t="str">
        <f>("02/09/2025")</f>
        <v>02/09/2025</v>
      </c>
      <c r="K1258">
        <v>45910</v>
      </c>
      <c r="N1258">
        <v>109</v>
      </c>
      <c r="O1258" t="s">
        <v>24</v>
      </c>
      <c r="Q1258">
        <v>12</v>
      </c>
      <c r="R1258" t="str">
        <f>"FARMÁCIA INDIANA LJ 07 (10007)"</f>
        <v>FARMÁCIA INDIANA LJ 07 (10007)</v>
      </c>
      <c r="S1258" t="s">
        <v>48</v>
      </c>
      <c r="T1258">
        <v>17955</v>
      </c>
      <c r="U1258">
        <v>21236</v>
      </c>
      <c r="V1258" t="s">
        <v>48</v>
      </c>
    </row>
    <row r="1259" spans="1:22">
      <c r="A1259" t="str">
        <f t="shared" si="218"/>
        <v>10/09/2025</v>
      </c>
      <c r="B1259" t="str">
        <f>"ENTRADA"</f>
        <v>ENTRADA</v>
      </c>
      <c r="C1259" t="str">
        <f>"DINHEIRO"</f>
        <v>DINHEIRO</v>
      </c>
      <c r="D1259" t="str">
        <f>"1109"</f>
        <v>1109</v>
      </c>
      <c r="E1259" t="str">
        <f>"25"</f>
        <v>25</v>
      </c>
      <c r="F1259" t="str">
        <f t="shared" si="219"/>
        <v>COM</v>
      </c>
      <c r="G1259" t="str">
        <f t="shared" si="220"/>
        <v>MATEUS JADSON SANTANA RIBEIRO (769)</v>
      </c>
      <c r="H1259" t="str">
        <f>"REEMBOLSO COMPRA BAG"</f>
        <v>REEMBOLSO COMPRA BAG</v>
      </c>
      <c r="I1259" t="str">
        <f>("11/09/2025")</f>
        <v>11/09/2025</v>
      </c>
      <c r="J1259" t="str">
        <f>("11/09/2025")</f>
        <v>11/09/2025</v>
      </c>
      <c r="K1259" t="str">
        <f>("10/09/2025")</f>
        <v>10/09/2025</v>
      </c>
      <c r="L1259">
        <v>38.340000000000003</v>
      </c>
      <c r="M1259">
        <v>38.340000000000003</v>
      </c>
      <c r="N1259">
        <v>108</v>
      </c>
      <c r="O1259" t="str">
        <f>"RECEITAS COM REEMBOLSOS"</f>
        <v>RECEITAS COM REEMBOLSOS</v>
      </c>
      <c r="P1259">
        <v>38.340000000000003</v>
      </c>
      <c r="S1259" t="str">
        <f>"RECEITAS COM REEMBOLSOS (108)"</f>
        <v>RECEITAS COM REEMBOLSOS (108)</v>
      </c>
      <c r="T1259">
        <v>17956</v>
      </c>
      <c r="U1259">
        <v>21039</v>
      </c>
      <c r="V1259" t="s">
        <v>48</v>
      </c>
    </row>
    <row r="1260" spans="1:22">
      <c r="A1260" t="str">
        <f t="shared" si="218"/>
        <v>10/09/2025</v>
      </c>
      <c r="B1260" t="str">
        <f>"ENTRADA"</f>
        <v>ENTRADA</v>
      </c>
      <c r="C1260" t="str">
        <f>"DINHEIRO"</f>
        <v>DINHEIRO</v>
      </c>
      <c r="D1260" t="str">
        <f>"1109"</f>
        <v>1109</v>
      </c>
      <c r="E1260" t="str">
        <f>"25"</f>
        <v>25</v>
      </c>
      <c r="F1260" t="str">
        <f t="shared" si="219"/>
        <v>COM</v>
      </c>
      <c r="G1260" t="str">
        <f t="shared" si="220"/>
        <v>MATEUS JADSON SANTANA RIBEIRO (769)</v>
      </c>
      <c r="H1260" t="s">
        <v>64</v>
      </c>
      <c r="I1260" t="str">
        <f>("11/09/2025")</f>
        <v>11/09/2025</v>
      </c>
      <c r="J1260" t="str">
        <f>("11/09/2025")</f>
        <v>11/09/2025</v>
      </c>
      <c r="K1260">
        <v>45910</v>
      </c>
      <c r="N1260">
        <v>108</v>
      </c>
      <c r="O1260" t="s">
        <v>54</v>
      </c>
      <c r="Q1260">
        <v>38.340000000000003</v>
      </c>
      <c r="R1260" t="str">
        <f>"MATEUS JADSON SANTANA RIBEIRO (769)"</f>
        <v>MATEUS JADSON SANTANA RIBEIRO (769)</v>
      </c>
      <c r="S1260" t="s">
        <v>55</v>
      </c>
      <c r="T1260">
        <v>17956</v>
      </c>
      <c r="U1260">
        <v>21039</v>
      </c>
      <c r="V1260" t="s">
        <v>48</v>
      </c>
    </row>
    <row r="1261" spans="1:22">
      <c r="A1261" t="str">
        <f t="shared" si="218"/>
        <v>10/09/2025</v>
      </c>
      <c r="B1261" t="str">
        <f>"SAÍDA"</f>
        <v>SAÍDA</v>
      </c>
      <c r="C1261" t="str">
        <f>"PIX"</f>
        <v>PIX</v>
      </c>
      <c r="D1261" t="str">
        <f>"21553"</f>
        <v>21553</v>
      </c>
      <c r="E1261" t="str">
        <f>"1"</f>
        <v>1</v>
      </c>
      <c r="F1261" t="str">
        <f t="shared" si="219"/>
        <v>COM</v>
      </c>
      <c r="G1261" t="str">
        <f t="shared" si="220"/>
        <v>MATEUS JADSON SANTANA RIBEIRO (769)</v>
      </c>
      <c r="H1261" t="str">
        <f>"Serv.Prest. 01/09/2025 a 07/09/2025 - PIX: CPF - CHAVE: 705.849.816-43"</f>
        <v>Serv.Prest. 01/09/2025 a 07/09/2025 - PIX: CPF - CHAVE: 705.849.816-43</v>
      </c>
      <c r="I1261" t="str">
        <f>("18/09/2025")</f>
        <v>18/09/2025</v>
      </c>
      <c r="J1261" t="str">
        <f>("08/09/2025")</f>
        <v>08/09/2025</v>
      </c>
      <c r="K1261" t="str">
        <f>("10/09/2025")</f>
        <v>10/09/2025</v>
      </c>
      <c r="L1261">
        <v>46.34</v>
      </c>
      <c r="M1261">
        <v>46.34</v>
      </c>
      <c r="N1261">
        <v>109</v>
      </c>
      <c r="O1261" t="str">
        <f>"PAGAMENTO DE ENTREGADORES"</f>
        <v>PAGAMENTO DE ENTREGADORES</v>
      </c>
      <c r="P1261">
        <v>46.34</v>
      </c>
      <c r="S1261" t="str">
        <f>"CAIXA MOVIMENTAÇÃO OPERACIONAL (132)"</f>
        <v>CAIXA MOVIMENTAÇÃO OPERACIONAL (132)</v>
      </c>
      <c r="T1261">
        <v>17957</v>
      </c>
      <c r="U1261">
        <v>21848</v>
      </c>
      <c r="V1261" t="s">
        <v>48</v>
      </c>
    </row>
    <row r="1262" spans="1:22">
      <c r="A1262" t="str">
        <f t="shared" si="218"/>
        <v>10/09/2025</v>
      </c>
      <c r="B1262" t="str">
        <f>"SAÍDA"</f>
        <v>SAÍDA</v>
      </c>
      <c r="C1262" t="str">
        <f>"PIX"</f>
        <v>PIX</v>
      </c>
      <c r="D1262" t="str">
        <f>"21553"</f>
        <v>21553</v>
      </c>
      <c r="E1262" t="str">
        <f>"1"</f>
        <v>1</v>
      </c>
      <c r="F1262" t="str">
        <f t="shared" si="219"/>
        <v>COM</v>
      </c>
      <c r="G1262" t="str">
        <f t="shared" si="220"/>
        <v>MATEUS JADSON SANTANA RIBEIRO (769)</v>
      </c>
      <c r="H1262" t="s">
        <v>413</v>
      </c>
      <c r="I1262" t="str">
        <f>("18/09/2025")</f>
        <v>18/09/2025</v>
      </c>
      <c r="J1262" t="str">
        <f>("08/09/2025")</f>
        <v>08/09/2025</v>
      </c>
      <c r="K1262">
        <v>45910</v>
      </c>
      <c r="N1262">
        <v>109</v>
      </c>
      <c r="O1262" t="s">
        <v>24</v>
      </c>
      <c r="Q1262">
        <v>46.34</v>
      </c>
      <c r="R1262" t="str">
        <f>"FARMÁCIA INDIANA LJ 07 (10007)"</f>
        <v>FARMÁCIA INDIANA LJ 07 (10007)</v>
      </c>
      <c r="S1262" t="s">
        <v>48</v>
      </c>
      <c r="T1262">
        <v>17957</v>
      </c>
      <c r="U1262">
        <v>21848</v>
      </c>
      <c r="V1262" t="s">
        <v>48</v>
      </c>
    </row>
    <row r="1263" spans="1:22">
      <c r="A1263" t="str">
        <f t="shared" si="218"/>
        <v>10/09/2025</v>
      </c>
      <c r="B1263" t="str">
        <f>"ENTRADA"</f>
        <v>ENTRADA</v>
      </c>
      <c r="C1263" t="str">
        <f>"DINHEIRO"</f>
        <v>DINHEIRO</v>
      </c>
      <c r="D1263" t="str">
        <f>"886"</f>
        <v>886</v>
      </c>
      <c r="E1263" t="str">
        <f>"2"</f>
        <v>2</v>
      </c>
      <c r="F1263" t="str">
        <f t="shared" si="219"/>
        <v>COM</v>
      </c>
      <c r="G1263" t="str">
        <f t="shared" ref="G1263:G1268" si="221">"MATHEUS VIEIRA DA SILVA (886)"</f>
        <v>MATHEUS VIEIRA DA SILVA (886)</v>
      </c>
      <c r="H1263" t="str">
        <f>"COTA COOPERATIVA"</f>
        <v>COTA COOPERATIVA</v>
      </c>
      <c r="I1263" t="str">
        <f>("10/09/2025")</f>
        <v>10/09/2025</v>
      </c>
      <c r="J1263" t="str">
        <f>("19/07/2025")</f>
        <v>19/07/2025</v>
      </c>
      <c r="K1263" t="str">
        <f>("10/09/2025")</f>
        <v>10/09/2025</v>
      </c>
      <c r="L1263">
        <v>20</v>
      </c>
      <c r="M1263">
        <v>20</v>
      </c>
      <c r="N1263">
        <v>106</v>
      </c>
      <c r="O1263" t="str">
        <f>"ENTRADA DE CAPITAL"</f>
        <v>ENTRADA DE CAPITAL</v>
      </c>
      <c r="P1263">
        <v>20</v>
      </c>
      <c r="S1263" t="str">
        <f>"ENTRADA DE CAPITAL (106)"</f>
        <v>ENTRADA DE CAPITAL (106)</v>
      </c>
      <c r="T1263">
        <v>17958</v>
      </c>
      <c r="U1263">
        <v>19915</v>
      </c>
      <c r="V1263" t="s">
        <v>48</v>
      </c>
    </row>
    <row r="1264" spans="1:22">
      <c r="A1264" t="str">
        <f t="shared" si="218"/>
        <v>10/09/2025</v>
      </c>
      <c r="B1264" t="str">
        <f>"ENTRADA"</f>
        <v>ENTRADA</v>
      </c>
      <c r="C1264" t="str">
        <f>"DINHEIRO"</f>
        <v>DINHEIRO</v>
      </c>
      <c r="D1264" t="str">
        <f>"886"</f>
        <v>886</v>
      </c>
      <c r="E1264" t="str">
        <f>"2"</f>
        <v>2</v>
      </c>
      <c r="F1264" t="str">
        <f t="shared" si="219"/>
        <v>COM</v>
      </c>
      <c r="G1264" t="str">
        <f t="shared" si="221"/>
        <v>MATHEUS VIEIRA DA SILVA (886)</v>
      </c>
      <c r="H1264" t="s">
        <v>50</v>
      </c>
      <c r="I1264" t="str">
        <f>("10/09/2025")</f>
        <v>10/09/2025</v>
      </c>
      <c r="J1264" t="str">
        <f>("19/07/2025")</f>
        <v>19/07/2025</v>
      </c>
      <c r="K1264">
        <v>45910</v>
      </c>
      <c r="N1264">
        <v>106</v>
      </c>
      <c r="O1264" t="s">
        <v>51</v>
      </c>
      <c r="Q1264">
        <v>20</v>
      </c>
      <c r="R1264" t="str">
        <f>"MATHEUS VIEIRA DA SILVA (886)"</f>
        <v>MATHEUS VIEIRA DA SILVA (886)</v>
      </c>
      <c r="S1264" t="s">
        <v>52</v>
      </c>
      <c r="T1264">
        <v>17958</v>
      </c>
      <c r="U1264">
        <v>19915</v>
      </c>
      <c r="V1264" t="s">
        <v>48</v>
      </c>
    </row>
    <row r="1265" spans="1:22">
      <c r="A1265" t="str">
        <f t="shared" si="218"/>
        <v>10/09/2025</v>
      </c>
      <c r="B1265" t="str">
        <f>"ENTRADA"</f>
        <v>ENTRADA</v>
      </c>
      <c r="C1265" t="str">
        <f>"DINHEIRO"</f>
        <v>DINHEIRO</v>
      </c>
      <c r="D1265" t="str">
        <f>"1109"</f>
        <v>1109</v>
      </c>
      <c r="E1265" t="str">
        <f>"25"</f>
        <v>25</v>
      </c>
      <c r="F1265" t="str">
        <f t="shared" si="219"/>
        <v>COM</v>
      </c>
      <c r="G1265" t="str">
        <f t="shared" si="221"/>
        <v>MATHEUS VIEIRA DA SILVA (886)</v>
      </c>
      <c r="H1265" t="str">
        <f>"REEMBOLSO COMPRA BAG"</f>
        <v>REEMBOLSO COMPRA BAG</v>
      </c>
      <c r="I1265" t="str">
        <f>("11/09/2025")</f>
        <v>11/09/2025</v>
      </c>
      <c r="J1265" t="str">
        <f>("11/09/2025")</f>
        <v>11/09/2025</v>
      </c>
      <c r="K1265" t="str">
        <f>("10/09/2025")</f>
        <v>10/09/2025</v>
      </c>
      <c r="L1265">
        <v>38.340000000000003</v>
      </c>
      <c r="M1265">
        <v>38.340000000000003</v>
      </c>
      <c r="N1265">
        <v>108</v>
      </c>
      <c r="O1265" t="str">
        <f>"RECEITAS COM REEMBOLSOS"</f>
        <v>RECEITAS COM REEMBOLSOS</v>
      </c>
      <c r="P1265">
        <v>38.340000000000003</v>
      </c>
      <c r="S1265" t="str">
        <f>"RECEITAS COM REEMBOLSOS (108)"</f>
        <v>RECEITAS COM REEMBOLSOS (108)</v>
      </c>
      <c r="T1265">
        <v>17959</v>
      </c>
      <c r="U1265">
        <v>21037</v>
      </c>
      <c r="V1265" t="s">
        <v>48</v>
      </c>
    </row>
    <row r="1266" spans="1:22">
      <c r="A1266" t="str">
        <f t="shared" si="218"/>
        <v>10/09/2025</v>
      </c>
      <c r="B1266" t="str">
        <f>"ENTRADA"</f>
        <v>ENTRADA</v>
      </c>
      <c r="C1266" t="str">
        <f>"DINHEIRO"</f>
        <v>DINHEIRO</v>
      </c>
      <c r="D1266" t="str">
        <f>"1109"</f>
        <v>1109</v>
      </c>
      <c r="E1266" t="str">
        <f>"25"</f>
        <v>25</v>
      </c>
      <c r="F1266" t="str">
        <f t="shared" si="219"/>
        <v>COM</v>
      </c>
      <c r="G1266" t="str">
        <f t="shared" si="221"/>
        <v>MATHEUS VIEIRA DA SILVA (886)</v>
      </c>
      <c r="H1266" t="s">
        <v>64</v>
      </c>
      <c r="I1266" t="str">
        <f>("11/09/2025")</f>
        <v>11/09/2025</v>
      </c>
      <c r="J1266" t="str">
        <f>("11/09/2025")</f>
        <v>11/09/2025</v>
      </c>
      <c r="K1266">
        <v>45910</v>
      </c>
      <c r="N1266">
        <v>108</v>
      </c>
      <c r="O1266" t="s">
        <v>54</v>
      </c>
      <c r="Q1266">
        <v>38.340000000000003</v>
      </c>
      <c r="R1266" t="str">
        <f>"MATHEUS VIEIRA DA SILVA (886)"</f>
        <v>MATHEUS VIEIRA DA SILVA (886)</v>
      </c>
      <c r="S1266" t="s">
        <v>55</v>
      </c>
      <c r="T1266">
        <v>17959</v>
      </c>
      <c r="U1266">
        <v>21037</v>
      </c>
      <c r="V1266" t="s">
        <v>48</v>
      </c>
    </row>
    <row r="1267" spans="1:22">
      <c r="A1267" t="str">
        <f t="shared" si="218"/>
        <v>10/09/2025</v>
      </c>
      <c r="B1267" t="str">
        <f>"SAÍDA"</f>
        <v>SAÍDA</v>
      </c>
      <c r="C1267" t="str">
        <f>"PIX"</f>
        <v>PIX</v>
      </c>
      <c r="D1267" t="str">
        <f>"21238"</f>
        <v>21238</v>
      </c>
      <c r="E1267" t="str">
        <f>"1"</f>
        <v>1</v>
      </c>
      <c r="F1267" t="str">
        <f t="shared" si="219"/>
        <v>COM</v>
      </c>
      <c r="G1267" t="str">
        <f t="shared" si="221"/>
        <v>MATHEUS VIEIRA DA SILVA (886)</v>
      </c>
      <c r="H1267" t="str">
        <f>"Serv.Prest. 25/08/2025 a 31/08/2025 - PIX: E-MAIL - CHAVE: meamatheusvieira@gmail.com"</f>
        <v>Serv.Prest. 25/08/2025 a 31/08/2025 - PIX: E-MAIL - CHAVE: meamatheusvieira@gmail.com</v>
      </c>
      <c r="I1267" t="str">
        <f>("11/09/2025")</f>
        <v>11/09/2025</v>
      </c>
      <c r="J1267" t="str">
        <f>("02/09/2025")</f>
        <v>02/09/2025</v>
      </c>
      <c r="K1267" t="str">
        <f>("10/09/2025")</f>
        <v>10/09/2025</v>
      </c>
      <c r="L1267">
        <v>58.34</v>
      </c>
      <c r="M1267">
        <v>58.34</v>
      </c>
      <c r="N1267">
        <v>109</v>
      </c>
      <c r="O1267" t="str">
        <f>"PAGAMENTO DE ENTREGADORES"</f>
        <v>PAGAMENTO DE ENTREGADORES</v>
      </c>
      <c r="P1267">
        <v>58.34</v>
      </c>
      <c r="S1267" t="str">
        <f>"CAIXA MOVIMENTAÇÃO OPERACIONAL (132)"</f>
        <v>CAIXA MOVIMENTAÇÃO OPERACIONAL (132)</v>
      </c>
      <c r="T1267">
        <v>17960</v>
      </c>
      <c r="U1267">
        <v>21849</v>
      </c>
      <c r="V1267" t="s">
        <v>48</v>
      </c>
    </row>
    <row r="1268" spans="1:22">
      <c r="A1268" t="str">
        <f t="shared" si="218"/>
        <v>10/09/2025</v>
      </c>
      <c r="B1268" t="str">
        <f>"SAÍDA"</f>
        <v>SAÍDA</v>
      </c>
      <c r="C1268" t="str">
        <f>"PIX"</f>
        <v>PIX</v>
      </c>
      <c r="D1268" t="str">
        <f>"21238"</f>
        <v>21238</v>
      </c>
      <c r="E1268" t="str">
        <f>"1"</f>
        <v>1</v>
      </c>
      <c r="F1268" t="str">
        <f t="shared" si="219"/>
        <v>COM</v>
      </c>
      <c r="G1268" t="str">
        <f t="shared" si="221"/>
        <v>MATHEUS VIEIRA DA SILVA (886)</v>
      </c>
      <c r="H1268" t="s">
        <v>414</v>
      </c>
      <c r="I1268" t="str">
        <f>("11/09/2025")</f>
        <v>11/09/2025</v>
      </c>
      <c r="J1268" t="str">
        <f>("02/09/2025")</f>
        <v>02/09/2025</v>
      </c>
      <c r="K1268">
        <v>45910</v>
      </c>
      <c r="N1268">
        <v>109</v>
      </c>
      <c r="O1268" t="s">
        <v>24</v>
      </c>
      <c r="Q1268">
        <v>58.34</v>
      </c>
      <c r="R1268" t="str">
        <f>"FARMÁCIA INDIANA LJ 07 (10007)"</f>
        <v>FARMÁCIA INDIANA LJ 07 (10007)</v>
      </c>
      <c r="S1268" t="s">
        <v>48</v>
      </c>
      <c r="T1268">
        <v>17960</v>
      </c>
      <c r="U1268">
        <v>21849</v>
      </c>
      <c r="V1268" t="s">
        <v>48</v>
      </c>
    </row>
    <row r="1269" spans="1:22">
      <c r="A1269" t="str">
        <f t="shared" si="218"/>
        <v>10/09/2025</v>
      </c>
      <c r="B1269" t="str">
        <f>"ENTRADA"</f>
        <v>ENTRADA</v>
      </c>
      <c r="C1269" t="str">
        <f>"DINHEIRO"</f>
        <v>DINHEIRO</v>
      </c>
      <c r="D1269" t="str">
        <f>"767"</f>
        <v>767</v>
      </c>
      <c r="E1269" t="str">
        <f>"5"</f>
        <v>5</v>
      </c>
      <c r="F1269" t="str">
        <f t="shared" si="219"/>
        <v>COM</v>
      </c>
      <c r="G1269" t="str">
        <f>"MAURO AUGUSTO MACHADO DE ASSIS (767)"</f>
        <v>MAURO AUGUSTO MACHADO DE ASSIS (767)</v>
      </c>
      <c r="H1269" t="str">
        <f>"COTA COOPERATIVA"</f>
        <v>COTA COOPERATIVA</v>
      </c>
      <c r="I1269" t="str">
        <f>("08/09/2025")</f>
        <v>08/09/2025</v>
      </c>
      <c r="J1269" t="str">
        <f>("15/04/2025")</f>
        <v>15/04/2025</v>
      </c>
      <c r="K1269" t="str">
        <f>("10/09/2025")</f>
        <v>10/09/2025</v>
      </c>
      <c r="L1269">
        <v>20</v>
      </c>
      <c r="M1269">
        <v>20</v>
      </c>
      <c r="N1269">
        <v>106</v>
      </c>
      <c r="O1269" t="str">
        <f>"ENTRADA DE CAPITAL"</f>
        <v>ENTRADA DE CAPITAL</v>
      </c>
      <c r="P1269">
        <v>20</v>
      </c>
      <c r="S1269" t="str">
        <f>"ENTRADA DE CAPITAL (106)"</f>
        <v>ENTRADA DE CAPITAL (106)</v>
      </c>
      <c r="T1269">
        <v>17961</v>
      </c>
      <c r="U1269">
        <v>14249</v>
      </c>
      <c r="V1269" t="s">
        <v>48</v>
      </c>
    </row>
    <row r="1270" spans="1:22">
      <c r="A1270" t="str">
        <f t="shared" ref="A1270:A1333" si="222">("10/09/2025")</f>
        <v>10/09/2025</v>
      </c>
      <c r="B1270" t="str">
        <f>"ENTRADA"</f>
        <v>ENTRADA</v>
      </c>
      <c r="C1270" t="str">
        <f>"DINHEIRO"</f>
        <v>DINHEIRO</v>
      </c>
      <c r="D1270" t="str">
        <f>"767"</f>
        <v>767</v>
      </c>
      <c r="E1270" t="str">
        <f>"5"</f>
        <v>5</v>
      </c>
      <c r="F1270" t="str">
        <f t="shared" si="219"/>
        <v>COM</v>
      </c>
      <c r="G1270" t="str">
        <f>"MAURO AUGUSTO MACHADO DE ASSIS (767)"</f>
        <v>MAURO AUGUSTO MACHADO DE ASSIS (767)</v>
      </c>
      <c r="H1270" t="s">
        <v>50</v>
      </c>
      <c r="I1270" t="str">
        <f>("08/09/2025")</f>
        <v>08/09/2025</v>
      </c>
      <c r="J1270" t="str">
        <f>("15/04/2025")</f>
        <v>15/04/2025</v>
      </c>
      <c r="K1270">
        <v>45910</v>
      </c>
      <c r="N1270">
        <v>106</v>
      </c>
      <c r="O1270" t="s">
        <v>51</v>
      </c>
      <c r="Q1270">
        <v>20</v>
      </c>
      <c r="R1270" t="str">
        <f>"MAURO AUGUSTO MACHADO DE ASSIS (767)"</f>
        <v>MAURO AUGUSTO MACHADO DE ASSIS (767)</v>
      </c>
      <c r="S1270" t="s">
        <v>52</v>
      </c>
      <c r="T1270">
        <v>17961</v>
      </c>
      <c r="U1270">
        <v>14249</v>
      </c>
      <c r="V1270" t="s">
        <v>48</v>
      </c>
    </row>
    <row r="1271" spans="1:22">
      <c r="A1271" t="str">
        <f t="shared" si="222"/>
        <v>10/09/2025</v>
      </c>
      <c r="B1271" t="str">
        <f>"SAÍDA"</f>
        <v>SAÍDA</v>
      </c>
      <c r="C1271" t="str">
        <f>"PIX"</f>
        <v>PIX</v>
      </c>
      <c r="D1271" t="str">
        <f>"21239"</f>
        <v>21239</v>
      </c>
      <c r="E1271" t="str">
        <f>"1"</f>
        <v>1</v>
      </c>
      <c r="F1271" t="str">
        <f t="shared" si="219"/>
        <v>COM</v>
      </c>
      <c r="G1271" t="str">
        <f>"MAURO AUGUSTO MACHADO DE ASSIS (767)"</f>
        <v>MAURO AUGUSTO MACHADO DE ASSIS (767)</v>
      </c>
      <c r="H1271" t="str">
        <f>"Serv.Prest. 25/08/2025 a 31/08/2025 - PIX: CPF - CHAVE: 163.330.766-27"</f>
        <v>Serv.Prest. 25/08/2025 a 31/08/2025 - PIX: CPF - CHAVE: 163.330.766-27</v>
      </c>
      <c r="I1271" t="str">
        <f>("11/09/2025")</f>
        <v>11/09/2025</v>
      </c>
      <c r="J1271" t="str">
        <f>("02/09/2025")</f>
        <v>02/09/2025</v>
      </c>
      <c r="K1271" t="str">
        <f>("10/09/2025")</f>
        <v>10/09/2025</v>
      </c>
      <c r="L1271">
        <v>20</v>
      </c>
      <c r="M1271">
        <v>20</v>
      </c>
      <c r="N1271">
        <v>109</v>
      </c>
      <c r="O1271" t="str">
        <f>"PAGAMENTO DE ENTREGADORES"</f>
        <v>PAGAMENTO DE ENTREGADORES</v>
      </c>
      <c r="P1271">
        <v>20</v>
      </c>
      <c r="S1271" t="str">
        <f>"CAIXA MOVIMENTAÇÃO OPERACIONAL (132)"</f>
        <v>CAIXA MOVIMENTAÇÃO OPERACIONAL (132)</v>
      </c>
      <c r="T1271">
        <v>17962</v>
      </c>
      <c r="U1271">
        <v>21850</v>
      </c>
      <c r="V1271" t="s">
        <v>48</v>
      </c>
    </row>
    <row r="1272" spans="1:22">
      <c r="A1272" t="str">
        <f t="shared" si="222"/>
        <v>10/09/2025</v>
      </c>
      <c r="B1272" t="str">
        <f>"SAÍDA"</f>
        <v>SAÍDA</v>
      </c>
      <c r="C1272" t="str">
        <f>"PIX"</f>
        <v>PIX</v>
      </c>
      <c r="D1272" t="str">
        <f>"21239"</f>
        <v>21239</v>
      </c>
      <c r="E1272" t="str">
        <f>"1"</f>
        <v>1</v>
      </c>
      <c r="F1272" t="str">
        <f t="shared" si="219"/>
        <v>COM</v>
      </c>
      <c r="G1272" t="str">
        <f>"MAURO AUGUSTO MACHADO DE ASSIS (767)"</f>
        <v>MAURO AUGUSTO MACHADO DE ASSIS (767)</v>
      </c>
      <c r="H1272" t="s">
        <v>415</v>
      </c>
      <c r="I1272" t="str">
        <f>("11/09/2025")</f>
        <v>11/09/2025</v>
      </c>
      <c r="J1272" t="str">
        <f>("02/09/2025")</f>
        <v>02/09/2025</v>
      </c>
      <c r="K1272">
        <v>45910</v>
      </c>
      <c r="N1272">
        <v>109</v>
      </c>
      <c r="O1272" t="s">
        <v>24</v>
      </c>
      <c r="Q1272">
        <v>7.04</v>
      </c>
      <c r="R1272" t="str">
        <f>"FARMÁCIA INDIANA LJ 11 (10008)"</f>
        <v>FARMÁCIA INDIANA LJ 11 (10008)</v>
      </c>
      <c r="S1272" t="s">
        <v>48</v>
      </c>
      <c r="T1272">
        <v>17962</v>
      </c>
      <c r="U1272">
        <v>21850</v>
      </c>
      <c r="V1272" t="s">
        <v>48</v>
      </c>
    </row>
    <row r="1273" spans="1:22">
      <c r="A1273" t="str">
        <f t="shared" si="222"/>
        <v>10/09/2025</v>
      </c>
      <c r="B1273" t="str">
        <f>"SAÍDA"</f>
        <v>SAÍDA</v>
      </c>
      <c r="C1273" t="str">
        <f>"PIX"</f>
        <v>PIX</v>
      </c>
      <c r="D1273" t="str">
        <f>"21239"</f>
        <v>21239</v>
      </c>
      <c r="E1273" t="str">
        <f>"1"</f>
        <v>1</v>
      </c>
      <c r="F1273" t="str">
        <f t="shared" si="219"/>
        <v>COM</v>
      </c>
      <c r="G1273" t="str">
        <f>"MAURO AUGUSTO MACHADO DE ASSIS (767)"</f>
        <v>MAURO AUGUSTO MACHADO DE ASSIS (767)</v>
      </c>
      <c r="H1273" t="s">
        <v>415</v>
      </c>
      <c r="I1273" t="str">
        <f>("11/09/2025")</f>
        <v>11/09/2025</v>
      </c>
      <c r="J1273" t="str">
        <f>("02/09/2025")</f>
        <v>02/09/2025</v>
      </c>
      <c r="K1273">
        <v>45910</v>
      </c>
      <c r="N1273">
        <v>109</v>
      </c>
      <c r="O1273" t="s">
        <v>24</v>
      </c>
      <c r="Q1273">
        <v>12.96</v>
      </c>
      <c r="R1273" t="str">
        <f>"FARMÁCIA INDIANA LJ 172 (10161)"</f>
        <v>FARMÁCIA INDIANA LJ 172 (10161)</v>
      </c>
      <c r="S1273" t="s">
        <v>48</v>
      </c>
      <c r="T1273">
        <v>17962</v>
      </c>
      <c r="U1273">
        <v>21850</v>
      </c>
      <c r="V1273" t="s">
        <v>48</v>
      </c>
    </row>
    <row r="1274" spans="1:22">
      <c r="A1274" t="str">
        <f t="shared" si="222"/>
        <v>10/09/2025</v>
      </c>
      <c r="B1274" t="str">
        <f>"ENTRADA"</f>
        <v>ENTRADA</v>
      </c>
      <c r="C1274" t="str">
        <f>"DINHEIRO"</f>
        <v>DINHEIRO</v>
      </c>
      <c r="D1274" t="str">
        <f>"733"</f>
        <v>733</v>
      </c>
      <c r="E1274" t="str">
        <f>"5"</f>
        <v>5</v>
      </c>
      <c r="F1274" t="str">
        <f t="shared" si="219"/>
        <v>COM</v>
      </c>
      <c r="G1274" t="str">
        <f t="shared" ref="G1274:G1279" si="223">"MAXWEL BORGES PIRES (733)"</f>
        <v>MAXWEL BORGES PIRES (733)</v>
      </c>
      <c r="H1274" t="str">
        <f>"COTA COOPERATIVA"</f>
        <v>COTA COOPERATIVA</v>
      </c>
      <c r="I1274" t="str">
        <f>("08/09/2025")</f>
        <v>08/09/2025</v>
      </c>
      <c r="J1274" t="str">
        <f>("31/03/2025")</f>
        <v>31/03/2025</v>
      </c>
      <c r="K1274" t="str">
        <f>("10/09/2025")</f>
        <v>10/09/2025</v>
      </c>
      <c r="L1274">
        <v>20</v>
      </c>
      <c r="M1274">
        <v>20</v>
      </c>
      <c r="N1274">
        <v>106</v>
      </c>
      <c r="O1274" t="str">
        <f>"ENTRADA DE CAPITAL"</f>
        <v>ENTRADA DE CAPITAL</v>
      </c>
      <c r="P1274">
        <v>20</v>
      </c>
      <c r="S1274" t="str">
        <f>"ENTRADA DE CAPITAL (106)"</f>
        <v>ENTRADA DE CAPITAL (106)</v>
      </c>
      <c r="T1274">
        <v>17963</v>
      </c>
      <c r="U1274">
        <v>14275</v>
      </c>
      <c r="V1274" t="s">
        <v>48</v>
      </c>
    </row>
    <row r="1275" spans="1:22">
      <c r="A1275" t="str">
        <f t="shared" si="222"/>
        <v>10/09/2025</v>
      </c>
      <c r="B1275" t="str">
        <f>"ENTRADA"</f>
        <v>ENTRADA</v>
      </c>
      <c r="C1275" t="str">
        <f>"DINHEIRO"</f>
        <v>DINHEIRO</v>
      </c>
      <c r="D1275" t="str">
        <f>"733"</f>
        <v>733</v>
      </c>
      <c r="E1275" t="str">
        <f>"5"</f>
        <v>5</v>
      </c>
      <c r="F1275" t="str">
        <f t="shared" si="219"/>
        <v>COM</v>
      </c>
      <c r="G1275" t="str">
        <f t="shared" si="223"/>
        <v>MAXWEL BORGES PIRES (733)</v>
      </c>
      <c r="H1275" t="s">
        <v>50</v>
      </c>
      <c r="I1275" t="str">
        <f>("08/09/2025")</f>
        <v>08/09/2025</v>
      </c>
      <c r="J1275" t="str">
        <f>("31/03/2025")</f>
        <v>31/03/2025</v>
      </c>
      <c r="K1275">
        <v>45910</v>
      </c>
      <c r="N1275">
        <v>106</v>
      </c>
      <c r="O1275" t="s">
        <v>51</v>
      </c>
      <c r="Q1275">
        <v>20</v>
      </c>
      <c r="R1275" t="str">
        <f>"MAXWEL BORGES PIRES (733)"</f>
        <v>MAXWEL BORGES PIRES (733)</v>
      </c>
      <c r="S1275" t="s">
        <v>52</v>
      </c>
      <c r="T1275">
        <v>17963</v>
      </c>
      <c r="U1275">
        <v>14275</v>
      </c>
      <c r="V1275" t="s">
        <v>48</v>
      </c>
    </row>
    <row r="1276" spans="1:22">
      <c r="A1276" t="str">
        <f t="shared" si="222"/>
        <v>10/09/2025</v>
      </c>
      <c r="B1276" t="str">
        <f>"SAÍDA"</f>
        <v>SAÍDA</v>
      </c>
      <c r="C1276" t="str">
        <f>"PIX"</f>
        <v>PIX</v>
      </c>
      <c r="D1276" t="str">
        <f>"21240"</f>
        <v>21240</v>
      </c>
      <c r="E1276" t="str">
        <f>"1"</f>
        <v>1</v>
      </c>
      <c r="F1276" t="str">
        <f t="shared" si="219"/>
        <v>COM</v>
      </c>
      <c r="G1276" t="str">
        <f t="shared" si="223"/>
        <v>MAXWEL BORGES PIRES (733)</v>
      </c>
      <c r="H1276" t="str">
        <f>"Serv.Prest. 25/08/2025 a 31/08/2025 - PIX: E-MAIL - CHAVE: maxwel.borges14@gmail.com"</f>
        <v>Serv.Prest. 25/08/2025 a 31/08/2025 - PIX: E-MAIL - CHAVE: maxwel.borges14@gmail.com</v>
      </c>
      <c r="I1276" t="str">
        <f t="shared" ref="I1276:I1281" si="224">("11/09/2025")</f>
        <v>11/09/2025</v>
      </c>
      <c r="J1276" t="str">
        <f>("02/09/2025")</f>
        <v>02/09/2025</v>
      </c>
      <c r="K1276" t="str">
        <f>("10/09/2025")</f>
        <v>10/09/2025</v>
      </c>
      <c r="L1276">
        <v>58.34</v>
      </c>
      <c r="M1276">
        <v>58.34</v>
      </c>
      <c r="N1276">
        <v>109</v>
      </c>
      <c r="O1276" t="str">
        <f>"PAGAMENTO DE ENTREGADORES"</f>
        <v>PAGAMENTO DE ENTREGADORES</v>
      </c>
      <c r="P1276">
        <v>58.34</v>
      </c>
      <c r="S1276" t="str">
        <f>"CAIXA MOVIMENTAÇÃO OPERACIONAL (132)"</f>
        <v>CAIXA MOVIMENTAÇÃO OPERACIONAL (132)</v>
      </c>
      <c r="T1276">
        <v>17964</v>
      </c>
      <c r="U1276">
        <v>21851</v>
      </c>
      <c r="V1276" t="s">
        <v>48</v>
      </c>
    </row>
    <row r="1277" spans="1:22">
      <c r="A1277" t="str">
        <f t="shared" si="222"/>
        <v>10/09/2025</v>
      </c>
      <c r="B1277" t="str">
        <f>"SAÍDA"</f>
        <v>SAÍDA</v>
      </c>
      <c r="C1277" t="str">
        <f>"PIX"</f>
        <v>PIX</v>
      </c>
      <c r="D1277" t="str">
        <f>"21240"</f>
        <v>21240</v>
      </c>
      <c r="E1277" t="str">
        <f>"1"</f>
        <v>1</v>
      </c>
      <c r="F1277" t="str">
        <f t="shared" si="219"/>
        <v>COM</v>
      </c>
      <c r="G1277" t="str">
        <f t="shared" si="223"/>
        <v>MAXWEL BORGES PIRES (733)</v>
      </c>
      <c r="H1277" t="s">
        <v>416</v>
      </c>
      <c r="I1277" t="str">
        <f t="shared" si="224"/>
        <v>11/09/2025</v>
      </c>
      <c r="J1277" t="str">
        <f>("02/09/2025")</f>
        <v>02/09/2025</v>
      </c>
      <c r="K1277">
        <v>45910</v>
      </c>
      <c r="N1277">
        <v>109</v>
      </c>
      <c r="O1277" t="s">
        <v>24</v>
      </c>
      <c r="Q1277">
        <v>58.34</v>
      </c>
      <c r="R1277" t="str">
        <f>"FARMÁCIA INDIANA LJ 07 (10007)"</f>
        <v>FARMÁCIA INDIANA LJ 07 (10007)</v>
      </c>
      <c r="S1277" t="s">
        <v>48</v>
      </c>
      <c r="T1277">
        <v>17964</v>
      </c>
      <c r="U1277">
        <v>21851</v>
      </c>
      <c r="V1277" t="s">
        <v>48</v>
      </c>
    </row>
    <row r="1278" spans="1:22">
      <c r="A1278" t="str">
        <f t="shared" si="222"/>
        <v>10/09/2025</v>
      </c>
      <c r="B1278" t="str">
        <f>"ENTRADA"</f>
        <v>ENTRADA</v>
      </c>
      <c r="C1278" t="str">
        <f>"DINHEIRO"</f>
        <v>DINHEIRO</v>
      </c>
      <c r="D1278" t="str">
        <f>"1109"</f>
        <v>1109</v>
      </c>
      <c r="E1278" t="str">
        <f>"25"</f>
        <v>25</v>
      </c>
      <c r="F1278" t="str">
        <f t="shared" si="219"/>
        <v>COM</v>
      </c>
      <c r="G1278" t="str">
        <f t="shared" si="223"/>
        <v>MAXWEL BORGES PIRES (733)</v>
      </c>
      <c r="H1278" t="str">
        <f>"REEMBOLSO COMPRA BAG"</f>
        <v>REEMBOLSO COMPRA BAG</v>
      </c>
      <c r="I1278" t="str">
        <f t="shared" si="224"/>
        <v>11/09/2025</v>
      </c>
      <c r="J1278" t="str">
        <f>("11/09/2025")</f>
        <v>11/09/2025</v>
      </c>
      <c r="K1278" t="str">
        <f>("10/09/2025")</f>
        <v>10/09/2025</v>
      </c>
      <c r="L1278">
        <v>38.340000000000003</v>
      </c>
      <c r="M1278">
        <v>38.340000000000003</v>
      </c>
      <c r="N1278">
        <v>108</v>
      </c>
      <c r="O1278" t="str">
        <f>"RECEITAS COM REEMBOLSOS"</f>
        <v>RECEITAS COM REEMBOLSOS</v>
      </c>
      <c r="P1278">
        <v>38.340000000000003</v>
      </c>
      <c r="S1278" t="str">
        <f>"RECEITAS COM REEMBOLSOS (108)"</f>
        <v>RECEITAS COM REEMBOLSOS (108)</v>
      </c>
      <c r="T1278">
        <v>17965</v>
      </c>
      <c r="U1278">
        <v>21040</v>
      </c>
      <c r="V1278" t="s">
        <v>48</v>
      </c>
    </row>
    <row r="1279" spans="1:22">
      <c r="A1279" t="str">
        <f t="shared" si="222"/>
        <v>10/09/2025</v>
      </c>
      <c r="B1279" t="str">
        <f>"ENTRADA"</f>
        <v>ENTRADA</v>
      </c>
      <c r="C1279" t="str">
        <f>"DINHEIRO"</f>
        <v>DINHEIRO</v>
      </c>
      <c r="D1279" t="str">
        <f>"1109"</f>
        <v>1109</v>
      </c>
      <c r="E1279" t="str">
        <f>"25"</f>
        <v>25</v>
      </c>
      <c r="F1279" t="str">
        <f t="shared" si="219"/>
        <v>COM</v>
      </c>
      <c r="G1279" t="str">
        <f t="shared" si="223"/>
        <v>MAXWEL BORGES PIRES (733)</v>
      </c>
      <c r="H1279" t="s">
        <v>64</v>
      </c>
      <c r="I1279" t="str">
        <f t="shared" si="224"/>
        <v>11/09/2025</v>
      </c>
      <c r="J1279" t="str">
        <f>("11/09/2025")</f>
        <v>11/09/2025</v>
      </c>
      <c r="K1279">
        <v>45910</v>
      </c>
      <c r="N1279">
        <v>108</v>
      </c>
      <c r="O1279" t="s">
        <v>54</v>
      </c>
      <c r="Q1279">
        <v>38.340000000000003</v>
      </c>
      <c r="R1279" t="str">
        <f>"MAXWEL BORGES PIRES (733)"</f>
        <v>MAXWEL BORGES PIRES (733)</v>
      </c>
      <c r="S1279" t="s">
        <v>55</v>
      </c>
      <c r="T1279">
        <v>17965</v>
      </c>
      <c r="U1279">
        <v>21040</v>
      </c>
      <c r="V1279" t="s">
        <v>48</v>
      </c>
    </row>
    <row r="1280" spans="1:22">
      <c r="A1280" t="str">
        <f t="shared" si="222"/>
        <v>10/09/2025</v>
      </c>
      <c r="B1280" t="str">
        <f>"SAÍDA"</f>
        <v>SAÍDA</v>
      </c>
      <c r="C1280" t="str">
        <f>"PIX"</f>
        <v>PIX</v>
      </c>
      <c r="D1280" t="str">
        <f>"21241"</f>
        <v>21241</v>
      </c>
      <c r="E1280" t="str">
        <f>"1"</f>
        <v>1</v>
      </c>
      <c r="F1280" t="str">
        <f t="shared" si="219"/>
        <v>COM</v>
      </c>
      <c r="G1280" t="str">
        <f>"MAYCON GUILHERME DUARTE (541)"</f>
        <v>MAYCON GUILHERME DUARTE (541)</v>
      </c>
      <c r="H1280" t="str">
        <f>"Serv.Prest. 25/08/2025 a 31/08/2025 - PIX: CELULAR - CHAVE: (31) 99076-6539"</f>
        <v>Serv.Prest. 25/08/2025 a 31/08/2025 - PIX: CELULAR - CHAVE: (31) 99076-6539</v>
      </c>
      <c r="I1280" t="str">
        <f t="shared" si="224"/>
        <v>11/09/2025</v>
      </c>
      <c r="J1280" t="str">
        <f>("02/09/2025")</f>
        <v>02/09/2025</v>
      </c>
      <c r="K1280" t="str">
        <f>("10/09/2025")</f>
        <v>10/09/2025</v>
      </c>
      <c r="L1280">
        <v>20</v>
      </c>
      <c r="M1280">
        <v>20</v>
      </c>
      <c r="N1280">
        <v>109</v>
      </c>
      <c r="O1280" t="str">
        <f>"PAGAMENTO DE ENTREGADORES"</f>
        <v>PAGAMENTO DE ENTREGADORES</v>
      </c>
      <c r="P1280">
        <v>20</v>
      </c>
      <c r="S1280" t="str">
        <f>"CAIXA MOVIMENTAÇÃO OPERACIONAL (132)"</f>
        <v>CAIXA MOVIMENTAÇÃO OPERACIONAL (132)</v>
      </c>
      <c r="T1280">
        <v>17966</v>
      </c>
      <c r="U1280">
        <v>21852</v>
      </c>
      <c r="V1280" t="s">
        <v>48</v>
      </c>
    </row>
    <row r="1281" spans="1:22">
      <c r="A1281" t="str">
        <f t="shared" si="222"/>
        <v>10/09/2025</v>
      </c>
      <c r="B1281" t="str">
        <f>"SAÍDA"</f>
        <v>SAÍDA</v>
      </c>
      <c r="C1281" t="str">
        <f>"PIX"</f>
        <v>PIX</v>
      </c>
      <c r="D1281" t="str">
        <f>"21241"</f>
        <v>21241</v>
      </c>
      <c r="E1281" t="str">
        <f>"1"</f>
        <v>1</v>
      </c>
      <c r="F1281" t="str">
        <f t="shared" si="219"/>
        <v>COM</v>
      </c>
      <c r="G1281" t="str">
        <f>"MAYCON GUILHERME DUARTE (541)"</f>
        <v>MAYCON GUILHERME DUARTE (541)</v>
      </c>
      <c r="H1281" t="s">
        <v>417</v>
      </c>
      <c r="I1281" t="str">
        <f t="shared" si="224"/>
        <v>11/09/2025</v>
      </c>
      <c r="J1281" t="str">
        <f>("02/09/2025")</f>
        <v>02/09/2025</v>
      </c>
      <c r="K1281">
        <v>45910</v>
      </c>
      <c r="N1281">
        <v>109</v>
      </c>
      <c r="O1281" t="s">
        <v>24</v>
      </c>
      <c r="Q1281">
        <v>20</v>
      </c>
      <c r="R1281" t="str">
        <f>"FARMÁCIA INDIANA LJ 220 (10092)"</f>
        <v>FARMÁCIA INDIANA LJ 220 (10092)</v>
      </c>
      <c r="S1281" t="s">
        <v>48</v>
      </c>
      <c r="T1281">
        <v>17966</v>
      </c>
      <c r="U1281">
        <v>21852</v>
      </c>
      <c r="V1281" t="s">
        <v>48</v>
      </c>
    </row>
    <row r="1282" spans="1:22">
      <c r="A1282" t="str">
        <f t="shared" si="222"/>
        <v>10/09/2025</v>
      </c>
      <c r="B1282" t="str">
        <f>"ENTRADA"</f>
        <v>ENTRADA</v>
      </c>
      <c r="C1282" t="str">
        <f>"DINHEIRO"</f>
        <v>DINHEIRO</v>
      </c>
      <c r="D1282" t="str">
        <f>"02"</f>
        <v>02</v>
      </c>
      <c r="E1282" t="str">
        <f>"33"</f>
        <v>33</v>
      </c>
      <c r="F1282" t="str">
        <f t="shared" si="219"/>
        <v>COM</v>
      </c>
      <c r="G1282" t="str">
        <f>"MAYCON GUILHERME DUARTE (541)"</f>
        <v>MAYCON GUILHERME DUARTE (541)</v>
      </c>
      <c r="H1282" t="str">
        <f>"DESCONTO COTA COOPERADO"</f>
        <v>DESCONTO COTA COOPERADO</v>
      </c>
      <c r="I1282" t="str">
        <f>("16/09/2025")</f>
        <v>16/09/2025</v>
      </c>
      <c r="J1282" t="str">
        <f>("16/01/2025")</f>
        <v>16/01/2025</v>
      </c>
      <c r="K1282" t="str">
        <f>("10/09/2025")</f>
        <v>10/09/2025</v>
      </c>
      <c r="L1282">
        <v>20</v>
      </c>
      <c r="M1282">
        <v>20</v>
      </c>
      <c r="N1282">
        <v>106</v>
      </c>
      <c r="O1282" t="str">
        <f>"ENTRADA DE CAPITAL"</f>
        <v>ENTRADA DE CAPITAL</v>
      </c>
      <c r="P1282">
        <v>20</v>
      </c>
      <c r="S1282" t="str">
        <f>"ENTRADA DE CAPITAL (106)"</f>
        <v>ENTRADA DE CAPITAL (106)</v>
      </c>
      <c r="T1282">
        <v>17967</v>
      </c>
      <c r="U1282">
        <v>7167</v>
      </c>
      <c r="V1282" t="s">
        <v>48</v>
      </c>
    </row>
    <row r="1283" spans="1:22">
      <c r="A1283" t="str">
        <f t="shared" si="222"/>
        <v>10/09/2025</v>
      </c>
      <c r="B1283" t="str">
        <f>"ENTRADA"</f>
        <v>ENTRADA</v>
      </c>
      <c r="C1283" t="str">
        <f>"DINHEIRO"</f>
        <v>DINHEIRO</v>
      </c>
      <c r="D1283" t="str">
        <f>"02"</f>
        <v>02</v>
      </c>
      <c r="E1283" t="str">
        <f>"33"</f>
        <v>33</v>
      </c>
      <c r="F1283" t="str">
        <f t="shared" si="219"/>
        <v>COM</v>
      </c>
      <c r="G1283" t="str">
        <f>"MAYCON GUILHERME DUARTE (541)"</f>
        <v>MAYCON GUILHERME DUARTE (541)</v>
      </c>
      <c r="H1283" t="s">
        <v>309</v>
      </c>
      <c r="I1283" t="str">
        <f>("16/09/2025")</f>
        <v>16/09/2025</v>
      </c>
      <c r="J1283" t="str">
        <f>("16/01/2025")</f>
        <v>16/01/2025</v>
      </c>
      <c r="K1283">
        <v>45910</v>
      </c>
      <c r="N1283">
        <v>106</v>
      </c>
      <c r="O1283" t="s">
        <v>51</v>
      </c>
      <c r="Q1283">
        <v>20</v>
      </c>
      <c r="R1283" t="str">
        <f>"MAYCON GUILHERME DUARTE (541)"</f>
        <v>MAYCON GUILHERME DUARTE (541)</v>
      </c>
      <c r="S1283" t="s">
        <v>52</v>
      </c>
      <c r="T1283">
        <v>17967</v>
      </c>
      <c r="U1283">
        <v>7167</v>
      </c>
      <c r="V1283" t="s">
        <v>48</v>
      </c>
    </row>
    <row r="1284" spans="1:22">
      <c r="A1284" t="str">
        <f t="shared" si="222"/>
        <v>10/09/2025</v>
      </c>
      <c r="B1284" t="str">
        <f>"ENTRADA"</f>
        <v>ENTRADA</v>
      </c>
      <c r="C1284" t="str">
        <f>"DINHEIRO"</f>
        <v>DINHEIRO</v>
      </c>
      <c r="D1284" t="str">
        <f>"1109"</f>
        <v>1109</v>
      </c>
      <c r="E1284" t="str">
        <f>"25"</f>
        <v>25</v>
      </c>
      <c r="F1284" t="str">
        <f t="shared" si="219"/>
        <v>COM</v>
      </c>
      <c r="G1284" t="str">
        <f>"MIGUEL PESSOA RAMOS (68)"</f>
        <v>MIGUEL PESSOA RAMOS (68)</v>
      </c>
      <c r="H1284" t="str">
        <f>"REEMBOLSO COMPRA BAG"</f>
        <v>REEMBOLSO COMPRA BAG</v>
      </c>
      <c r="I1284" t="str">
        <f>("11/09/2025")</f>
        <v>11/09/2025</v>
      </c>
      <c r="J1284" t="str">
        <f>("11/09/2025")</f>
        <v>11/09/2025</v>
      </c>
      <c r="K1284" t="str">
        <f>("10/09/2025")</f>
        <v>10/09/2025</v>
      </c>
      <c r="L1284">
        <v>38.340000000000003</v>
      </c>
      <c r="M1284">
        <v>38.340000000000003</v>
      </c>
      <c r="N1284">
        <v>108</v>
      </c>
      <c r="O1284" t="str">
        <f>"RECEITAS COM REEMBOLSOS"</f>
        <v>RECEITAS COM REEMBOLSOS</v>
      </c>
      <c r="P1284">
        <v>38.340000000000003</v>
      </c>
      <c r="S1284" t="str">
        <f>"RECEITAS COM REEMBOLSOS (108)"</f>
        <v>RECEITAS COM REEMBOLSOS (108)</v>
      </c>
      <c r="T1284">
        <v>17968</v>
      </c>
      <c r="U1284">
        <v>21042</v>
      </c>
      <c r="V1284" t="s">
        <v>48</v>
      </c>
    </row>
    <row r="1285" spans="1:22">
      <c r="A1285" t="str">
        <f t="shared" si="222"/>
        <v>10/09/2025</v>
      </c>
      <c r="B1285" t="str">
        <f>"ENTRADA"</f>
        <v>ENTRADA</v>
      </c>
      <c r="C1285" t="str">
        <f>"DINHEIRO"</f>
        <v>DINHEIRO</v>
      </c>
      <c r="D1285" t="str">
        <f>"1109"</f>
        <v>1109</v>
      </c>
      <c r="E1285" t="str">
        <f>"25"</f>
        <v>25</v>
      </c>
      <c r="F1285" t="str">
        <f t="shared" si="219"/>
        <v>COM</v>
      </c>
      <c r="G1285" t="str">
        <f>"MIGUEL PESSOA RAMOS (68)"</f>
        <v>MIGUEL PESSOA RAMOS (68)</v>
      </c>
      <c r="H1285" t="s">
        <v>64</v>
      </c>
      <c r="I1285" t="str">
        <f>("11/09/2025")</f>
        <v>11/09/2025</v>
      </c>
      <c r="J1285" t="str">
        <f>("11/09/2025")</f>
        <v>11/09/2025</v>
      </c>
      <c r="K1285">
        <v>45910</v>
      </c>
      <c r="N1285">
        <v>108</v>
      </c>
      <c r="O1285" t="s">
        <v>54</v>
      </c>
      <c r="Q1285">
        <v>38.340000000000003</v>
      </c>
      <c r="R1285" t="str">
        <f>"MIGUEL PESSOA RAMOS (68)"</f>
        <v>MIGUEL PESSOA RAMOS (68)</v>
      </c>
      <c r="S1285" t="s">
        <v>55</v>
      </c>
      <c r="T1285">
        <v>17968</v>
      </c>
      <c r="U1285">
        <v>21042</v>
      </c>
      <c r="V1285" t="s">
        <v>48</v>
      </c>
    </row>
    <row r="1286" spans="1:22">
      <c r="A1286" t="str">
        <f t="shared" si="222"/>
        <v>10/09/2025</v>
      </c>
      <c r="B1286" t="str">
        <f>"SAÍDA"</f>
        <v>SAÍDA</v>
      </c>
      <c r="C1286" t="str">
        <f>"PIX"</f>
        <v>PIX</v>
      </c>
      <c r="D1286" t="str">
        <f>"21242"</f>
        <v>21242</v>
      </c>
      <c r="E1286" t="str">
        <f>"1"</f>
        <v>1</v>
      </c>
      <c r="F1286" t="str">
        <f t="shared" si="219"/>
        <v>COM</v>
      </c>
      <c r="G1286" t="str">
        <f>"MIGUEL PESSOA RAMOS (68)"</f>
        <v>MIGUEL PESSOA RAMOS (68)</v>
      </c>
      <c r="H1286" t="str">
        <f>"Serv.Prest. 25/08/2025 a 31/08/2025 - PIX: CELULAR - CHAVE: (33) 99845-0493"</f>
        <v>Serv.Prest. 25/08/2025 a 31/08/2025 - PIX: CELULAR - CHAVE: (33) 99845-0493</v>
      </c>
      <c r="I1286" t="str">
        <f>("11/09/2025")</f>
        <v>11/09/2025</v>
      </c>
      <c r="J1286" t="str">
        <f>("02/09/2025")</f>
        <v>02/09/2025</v>
      </c>
      <c r="K1286" t="str">
        <f>("10/09/2025")</f>
        <v>10/09/2025</v>
      </c>
      <c r="L1286">
        <v>38.340000000000003</v>
      </c>
      <c r="M1286">
        <v>38.340000000000003</v>
      </c>
      <c r="N1286">
        <v>109</v>
      </c>
      <c r="O1286" t="str">
        <f>"PAGAMENTO DE ENTREGADORES"</f>
        <v>PAGAMENTO DE ENTREGADORES</v>
      </c>
      <c r="P1286">
        <v>38.340000000000003</v>
      </c>
      <c r="S1286" t="str">
        <f>"CAIXA MOVIMENTAÇÃO OPERACIONAL (132)"</f>
        <v>CAIXA MOVIMENTAÇÃO OPERACIONAL (132)</v>
      </c>
      <c r="T1286">
        <v>17969</v>
      </c>
      <c r="U1286">
        <v>21858</v>
      </c>
      <c r="V1286" t="s">
        <v>48</v>
      </c>
    </row>
    <row r="1287" spans="1:22">
      <c r="A1287" t="str">
        <f t="shared" si="222"/>
        <v>10/09/2025</v>
      </c>
      <c r="B1287" t="str">
        <f>"SAÍDA"</f>
        <v>SAÍDA</v>
      </c>
      <c r="C1287" t="str">
        <f>"PIX"</f>
        <v>PIX</v>
      </c>
      <c r="D1287" t="str">
        <f>"21242"</f>
        <v>21242</v>
      </c>
      <c r="E1287" t="str">
        <f>"1"</f>
        <v>1</v>
      </c>
      <c r="F1287" t="str">
        <f t="shared" si="219"/>
        <v>COM</v>
      </c>
      <c r="G1287" t="str">
        <f>"MIGUEL PESSOA RAMOS (68)"</f>
        <v>MIGUEL PESSOA RAMOS (68)</v>
      </c>
      <c r="H1287" t="s">
        <v>418</v>
      </c>
      <c r="I1287" t="str">
        <f>("11/09/2025")</f>
        <v>11/09/2025</v>
      </c>
      <c r="J1287" t="str">
        <f>("02/09/2025")</f>
        <v>02/09/2025</v>
      </c>
      <c r="K1287">
        <v>45910</v>
      </c>
      <c r="N1287">
        <v>109</v>
      </c>
      <c r="O1287" t="s">
        <v>24</v>
      </c>
      <c r="Q1287">
        <v>38.340000000000003</v>
      </c>
      <c r="R1287" t="str">
        <f>"FARMÁCIA INDIANA LJ 07 (10007)"</f>
        <v>FARMÁCIA INDIANA LJ 07 (10007)</v>
      </c>
      <c r="S1287" t="s">
        <v>48</v>
      </c>
      <c r="T1287">
        <v>17969</v>
      </c>
      <c r="U1287">
        <v>21858</v>
      </c>
      <c r="V1287" t="s">
        <v>48</v>
      </c>
    </row>
    <row r="1288" spans="1:22">
      <c r="A1288" t="str">
        <f t="shared" si="222"/>
        <v>10/09/2025</v>
      </c>
      <c r="B1288" t="str">
        <f>"SAÍDA"</f>
        <v>SAÍDA</v>
      </c>
      <c r="C1288" t="str">
        <f>"PIX"</f>
        <v>PIX</v>
      </c>
      <c r="D1288" t="str">
        <f>"21243"</f>
        <v>21243</v>
      </c>
      <c r="E1288" t="str">
        <f>"1"</f>
        <v>1</v>
      </c>
      <c r="F1288" t="str">
        <f t="shared" si="219"/>
        <v>COM</v>
      </c>
      <c r="G1288" t="str">
        <f>"MURILO BARRETO AFONSO (30)"</f>
        <v>MURILO BARRETO AFONSO (30)</v>
      </c>
      <c r="H1288" t="str">
        <f>"Serv.Prest. 25/08/2025 a 31/08/2025 - PIX: CPF - CHAVE: 123.020.026-60"</f>
        <v>Serv.Prest. 25/08/2025 a 31/08/2025 - PIX: CPF - CHAVE: 123.020.026-60</v>
      </c>
      <c r="I1288" t="str">
        <f>("11/09/2025")</f>
        <v>11/09/2025</v>
      </c>
      <c r="J1288" t="str">
        <f>("02/09/2025")</f>
        <v>02/09/2025</v>
      </c>
      <c r="K1288" t="str">
        <f>("10/09/2025")</f>
        <v>10/09/2025</v>
      </c>
      <c r="L1288">
        <v>20</v>
      </c>
      <c r="M1288">
        <v>20</v>
      </c>
      <c r="N1288">
        <v>109</v>
      </c>
      <c r="O1288" t="str">
        <f>"PAGAMENTO DE ENTREGADORES"</f>
        <v>PAGAMENTO DE ENTREGADORES</v>
      </c>
      <c r="P1288">
        <v>20</v>
      </c>
      <c r="S1288" t="str">
        <f>"CAIXA MOVIMENTAÇÃO OPERACIONAL (132)"</f>
        <v>CAIXA MOVIMENTAÇÃO OPERACIONAL (132)</v>
      </c>
      <c r="T1288">
        <v>17970</v>
      </c>
      <c r="U1288">
        <v>21859</v>
      </c>
      <c r="V1288" t="s">
        <v>48</v>
      </c>
    </row>
    <row r="1289" spans="1:22">
      <c r="A1289" t="str">
        <f t="shared" si="222"/>
        <v>10/09/2025</v>
      </c>
      <c r="B1289" t="str">
        <f>"SAÍDA"</f>
        <v>SAÍDA</v>
      </c>
      <c r="C1289" t="str">
        <f>"PIX"</f>
        <v>PIX</v>
      </c>
      <c r="D1289" t="str">
        <f>"21243"</f>
        <v>21243</v>
      </c>
      <c r="E1289" t="str">
        <f>"1"</f>
        <v>1</v>
      </c>
      <c r="F1289" t="str">
        <f t="shared" si="219"/>
        <v>COM</v>
      </c>
      <c r="G1289" t="str">
        <f>"MURILO BARRETO AFONSO (30)"</f>
        <v>MURILO BARRETO AFONSO (30)</v>
      </c>
      <c r="H1289" t="s">
        <v>419</v>
      </c>
      <c r="I1289" t="str">
        <f>("11/09/2025")</f>
        <v>11/09/2025</v>
      </c>
      <c r="J1289" t="str">
        <f>("02/09/2025")</f>
        <v>02/09/2025</v>
      </c>
      <c r="K1289">
        <v>45910</v>
      </c>
      <c r="N1289">
        <v>109</v>
      </c>
      <c r="O1289" t="s">
        <v>24</v>
      </c>
      <c r="Q1289">
        <v>10.37</v>
      </c>
      <c r="R1289" t="str">
        <f>"FARMÁCIA INDIANA LJ 118 (10052)"</f>
        <v>FARMÁCIA INDIANA LJ 118 (10052)</v>
      </c>
      <c r="S1289" t="s">
        <v>48</v>
      </c>
      <c r="T1289">
        <v>17970</v>
      </c>
      <c r="U1289">
        <v>21859</v>
      </c>
      <c r="V1289" t="s">
        <v>48</v>
      </c>
    </row>
    <row r="1290" spans="1:22">
      <c r="A1290" t="str">
        <f t="shared" si="222"/>
        <v>10/09/2025</v>
      </c>
      <c r="B1290" t="str">
        <f>"SAÍDA"</f>
        <v>SAÍDA</v>
      </c>
      <c r="C1290" t="str">
        <f>"PIX"</f>
        <v>PIX</v>
      </c>
      <c r="D1290" t="str">
        <f>"21243"</f>
        <v>21243</v>
      </c>
      <c r="E1290" t="str">
        <f>"1"</f>
        <v>1</v>
      </c>
      <c r="F1290" t="str">
        <f t="shared" si="219"/>
        <v>COM</v>
      </c>
      <c r="G1290" t="str">
        <f>"MURILO BARRETO AFONSO (30)"</f>
        <v>MURILO BARRETO AFONSO (30)</v>
      </c>
      <c r="H1290" t="s">
        <v>419</v>
      </c>
      <c r="I1290" t="str">
        <f>("11/09/2025")</f>
        <v>11/09/2025</v>
      </c>
      <c r="J1290" t="str">
        <f>("02/09/2025")</f>
        <v>02/09/2025</v>
      </c>
      <c r="K1290">
        <v>45910</v>
      </c>
      <c r="N1290">
        <v>109</v>
      </c>
      <c r="O1290" t="s">
        <v>24</v>
      </c>
      <c r="Q1290">
        <v>9.6300000000000008</v>
      </c>
      <c r="R1290" t="str">
        <f>"FARMÁCIA INDIANA LJ 192 (10082)"</f>
        <v>FARMÁCIA INDIANA LJ 192 (10082)</v>
      </c>
      <c r="S1290" t="s">
        <v>48</v>
      </c>
      <c r="T1290">
        <v>17970</v>
      </c>
      <c r="U1290">
        <v>21859</v>
      </c>
      <c r="V1290" t="s">
        <v>48</v>
      </c>
    </row>
    <row r="1291" spans="1:22">
      <c r="A1291" t="str">
        <f t="shared" si="222"/>
        <v>10/09/2025</v>
      </c>
      <c r="B1291" t="str">
        <f>"ENTRADA"</f>
        <v>ENTRADA</v>
      </c>
      <c r="C1291" t="str">
        <f>"DINHEIRO"</f>
        <v>DINHEIRO</v>
      </c>
      <c r="D1291" t="str">
        <f>"11"</f>
        <v>11</v>
      </c>
      <c r="E1291" t="str">
        <f>"33"</f>
        <v>33</v>
      </c>
      <c r="F1291" t="str">
        <f t="shared" si="219"/>
        <v>COM</v>
      </c>
      <c r="G1291" t="str">
        <f>"MURILO BARRETO AFONSO (30)"</f>
        <v>MURILO BARRETO AFONSO (30)</v>
      </c>
      <c r="H1291" t="str">
        <f>"DESCONTO COTA COOPERADO"</f>
        <v>DESCONTO COTA COOPERADO</v>
      </c>
      <c r="I1291" t="str">
        <f>("16/09/2025")</f>
        <v>16/09/2025</v>
      </c>
      <c r="J1291" t="str">
        <f>("16/01/2025")</f>
        <v>16/01/2025</v>
      </c>
      <c r="K1291" t="str">
        <f>("10/09/2025")</f>
        <v>10/09/2025</v>
      </c>
      <c r="L1291">
        <v>20</v>
      </c>
      <c r="M1291">
        <v>20</v>
      </c>
      <c r="N1291">
        <v>106</v>
      </c>
      <c r="O1291" t="str">
        <f>"ENTRADA DE CAPITAL"</f>
        <v>ENTRADA DE CAPITAL</v>
      </c>
      <c r="P1291">
        <v>20</v>
      </c>
      <c r="S1291" t="str">
        <f>"ENTRADA DE CAPITAL (106)"</f>
        <v>ENTRADA DE CAPITAL (106)</v>
      </c>
      <c r="T1291">
        <v>17971</v>
      </c>
      <c r="U1291">
        <v>7206</v>
      </c>
      <c r="V1291" t="s">
        <v>48</v>
      </c>
    </row>
    <row r="1292" spans="1:22">
      <c r="A1292" t="str">
        <f t="shared" si="222"/>
        <v>10/09/2025</v>
      </c>
      <c r="B1292" t="str">
        <f>"ENTRADA"</f>
        <v>ENTRADA</v>
      </c>
      <c r="C1292" t="str">
        <f>"DINHEIRO"</f>
        <v>DINHEIRO</v>
      </c>
      <c r="D1292" t="str">
        <f>"11"</f>
        <v>11</v>
      </c>
      <c r="E1292" t="str">
        <f>"33"</f>
        <v>33</v>
      </c>
      <c r="F1292" t="str">
        <f t="shared" si="219"/>
        <v>COM</v>
      </c>
      <c r="G1292" t="str">
        <f>"MURILO BARRETO AFONSO (30)"</f>
        <v>MURILO BARRETO AFONSO (30)</v>
      </c>
      <c r="H1292" t="s">
        <v>309</v>
      </c>
      <c r="I1292" t="str">
        <f>("16/09/2025")</f>
        <v>16/09/2025</v>
      </c>
      <c r="J1292" t="str">
        <f>("16/01/2025")</f>
        <v>16/01/2025</v>
      </c>
      <c r="K1292">
        <v>45910</v>
      </c>
      <c r="N1292">
        <v>106</v>
      </c>
      <c r="O1292" t="s">
        <v>51</v>
      </c>
      <c r="Q1292">
        <v>20</v>
      </c>
      <c r="R1292" t="str">
        <f>"MURILO BARRETO AFONSO (30)"</f>
        <v>MURILO BARRETO AFONSO (30)</v>
      </c>
      <c r="S1292" t="s">
        <v>52</v>
      </c>
      <c r="T1292">
        <v>17971</v>
      </c>
      <c r="U1292">
        <v>7206</v>
      </c>
      <c r="V1292" t="s">
        <v>48</v>
      </c>
    </row>
    <row r="1293" spans="1:22">
      <c r="A1293" t="str">
        <f t="shared" si="222"/>
        <v>10/09/2025</v>
      </c>
      <c r="B1293" t="str">
        <f>"SAÍDA"</f>
        <v>SAÍDA</v>
      </c>
      <c r="C1293" t="str">
        <f>"PIX"</f>
        <v>PIX</v>
      </c>
      <c r="D1293" t="str">
        <f>"21245"</f>
        <v>21245</v>
      </c>
      <c r="E1293" t="str">
        <f>"1"</f>
        <v>1</v>
      </c>
      <c r="F1293" t="str">
        <f t="shared" si="219"/>
        <v>COM</v>
      </c>
      <c r="G1293" t="str">
        <f>"NILTON RODRIGUES DE SOUZA (136)"</f>
        <v>NILTON RODRIGUES DE SOUZA (136)</v>
      </c>
      <c r="H1293" t="str">
        <f>"Serv.Prest. 25/08/2025 a 31/08/2025 - PIX: CPF - CHAVE: 037.974.316-78"</f>
        <v>Serv.Prest. 25/08/2025 a 31/08/2025 - PIX: CPF - CHAVE: 037.974.316-78</v>
      </c>
      <c r="I1293" t="str">
        <f>("11/09/2025")</f>
        <v>11/09/2025</v>
      </c>
      <c r="J1293" t="str">
        <f>("02/09/2025")</f>
        <v>02/09/2025</v>
      </c>
      <c r="K1293" t="str">
        <f>("10/09/2025")</f>
        <v>10/09/2025</v>
      </c>
      <c r="L1293">
        <v>20</v>
      </c>
      <c r="M1293">
        <v>20</v>
      </c>
      <c r="N1293">
        <v>109</v>
      </c>
      <c r="O1293" t="str">
        <f>"PAGAMENTO DE ENTREGADORES"</f>
        <v>PAGAMENTO DE ENTREGADORES</v>
      </c>
      <c r="P1293">
        <v>20</v>
      </c>
      <c r="S1293" t="str">
        <f>"CAIXA MOVIMENTAÇÃO OPERACIONAL (132)"</f>
        <v>CAIXA MOVIMENTAÇÃO OPERACIONAL (132)</v>
      </c>
      <c r="T1293">
        <v>17972</v>
      </c>
      <c r="U1293">
        <v>21860</v>
      </c>
      <c r="V1293" t="s">
        <v>48</v>
      </c>
    </row>
    <row r="1294" spans="1:22">
      <c r="A1294" t="str">
        <f t="shared" si="222"/>
        <v>10/09/2025</v>
      </c>
      <c r="B1294" t="str">
        <f>"SAÍDA"</f>
        <v>SAÍDA</v>
      </c>
      <c r="C1294" t="str">
        <f>"PIX"</f>
        <v>PIX</v>
      </c>
      <c r="D1294" t="str">
        <f>"21245"</f>
        <v>21245</v>
      </c>
      <c r="E1294" t="str">
        <f>"1"</f>
        <v>1</v>
      </c>
      <c r="F1294" t="str">
        <f t="shared" si="219"/>
        <v>COM</v>
      </c>
      <c r="G1294" t="str">
        <f>"NILTON RODRIGUES DE SOUZA (136)"</f>
        <v>NILTON RODRIGUES DE SOUZA (136)</v>
      </c>
      <c r="H1294" t="s">
        <v>420</v>
      </c>
      <c r="I1294" t="str">
        <f>("11/09/2025")</f>
        <v>11/09/2025</v>
      </c>
      <c r="J1294" t="str">
        <f>("02/09/2025")</f>
        <v>02/09/2025</v>
      </c>
      <c r="K1294">
        <v>45910</v>
      </c>
      <c r="N1294">
        <v>109</v>
      </c>
      <c r="O1294" t="s">
        <v>24</v>
      </c>
      <c r="Q1294">
        <v>20</v>
      </c>
      <c r="R1294" t="str">
        <f>"FARMÁCIA INDIANA LJ 18 (10011)"</f>
        <v>FARMÁCIA INDIANA LJ 18 (10011)</v>
      </c>
      <c r="S1294" t="s">
        <v>48</v>
      </c>
      <c r="T1294">
        <v>17972</v>
      </c>
      <c r="U1294">
        <v>21860</v>
      </c>
      <c r="V1294" t="s">
        <v>48</v>
      </c>
    </row>
    <row r="1295" spans="1:22">
      <c r="A1295" t="str">
        <f t="shared" si="222"/>
        <v>10/09/2025</v>
      </c>
      <c r="B1295" t="str">
        <f>"ENTRADA"</f>
        <v>ENTRADA</v>
      </c>
      <c r="C1295" t="str">
        <f>"DINHEIRO"</f>
        <v>DINHEIRO</v>
      </c>
      <c r="D1295" t="str">
        <f>"16"</f>
        <v>16</v>
      </c>
      <c r="E1295" t="str">
        <f>"33"</f>
        <v>33</v>
      </c>
      <c r="F1295" t="str">
        <f t="shared" si="219"/>
        <v>COM</v>
      </c>
      <c r="G1295" t="str">
        <f>"NILTON RODRIGUES DE SOUZA (136)"</f>
        <v>NILTON RODRIGUES DE SOUZA (136)</v>
      </c>
      <c r="H1295" t="str">
        <f>"DESCONTO COTA COOPERADO"</f>
        <v>DESCONTO COTA COOPERADO</v>
      </c>
      <c r="I1295" t="str">
        <f>("16/09/2025")</f>
        <v>16/09/2025</v>
      </c>
      <c r="J1295" t="str">
        <f>("16/01/2025")</f>
        <v>16/01/2025</v>
      </c>
      <c r="K1295" t="str">
        <f>("10/09/2025")</f>
        <v>10/09/2025</v>
      </c>
      <c r="L1295">
        <v>20</v>
      </c>
      <c r="M1295">
        <v>20</v>
      </c>
      <c r="N1295">
        <v>106</v>
      </c>
      <c r="O1295" t="str">
        <f>"ENTRADA DE CAPITAL"</f>
        <v>ENTRADA DE CAPITAL</v>
      </c>
      <c r="P1295">
        <v>20</v>
      </c>
      <c r="S1295" t="str">
        <f>"ENTRADA DE CAPITAL (106)"</f>
        <v>ENTRADA DE CAPITAL (106)</v>
      </c>
      <c r="T1295">
        <v>17973</v>
      </c>
      <c r="U1295">
        <v>7229</v>
      </c>
      <c r="V1295" t="s">
        <v>48</v>
      </c>
    </row>
    <row r="1296" spans="1:22">
      <c r="A1296" t="str">
        <f t="shared" si="222"/>
        <v>10/09/2025</v>
      </c>
      <c r="B1296" t="str">
        <f>"ENTRADA"</f>
        <v>ENTRADA</v>
      </c>
      <c r="C1296" t="str">
        <f>"DINHEIRO"</f>
        <v>DINHEIRO</v>
      </c>
      <c r="D1296" t="str">
        <f>"16"</f>
        <v>16</v>
      </c>
      <c r="E1296" t="str">
        <f>"33"</f>
        <v>33</v>
      </c>
      <c r="F1296" t="str">
        <f t="shared" si="219"/>
        <v>COM</v>
      </c>
      <c r="G1296" t="str">
        <f>"NILTON RODRIGUES DE SOUZA (136)"</f>
        <v>NILTON RODRIGUES DE SOUZA (136)</v>
      </c>
      <c r="H1296" t="s">
        <v>309</v>
      </c>
      <c r="I1296" t="str">
        <f>("16/09/2025")</f>
        <v>16/09/2025</v>
      </c>
      <c r="J1296" t="str">
        <f>("16/01/2025")</f>
        <v>16/01/2025</v>
      </c>
      <c r="K1296">
        <v>45910</v>
      </c>
      <c r="N1296">
        <v>106</v>
      </c>
      <c r="O1296" t="s">
        <v>51</v>
      </c>
      <c r="Q1296">
        <v>20</v>
      </c>
      <c r="R1296" t="str">
        <f>"NILTON RODRIGUES DE SOUZA (136)"</f>
        <v>NILTON RODRIGUES DE SOUZA (136)</v>
      </c>
      <c r="S1296" t="s">
        <v>52</v>
      </c>
      <c r="T1296">
        <v>17973</v>
      </c>
      <c r="U1296">
        <v>7229</v>
      </c>
      <c r="V1296" t="s">
        <v>48</v>
      </c>
    </row>
    <row r="1297" spans="1:22">
      <c r="A1297" t="str">
        <f t="shared" si="222"/>
        <v>10/09/2025</v>
      </c>
      <c r="B1297" t="str">
        <f>"SAÍDA"</f>
        <v>SAÍDA</v>
      </c>
      <c r="C1297" t="str">
        <f>"PIX"</f>
        <v>PIX</v>
      </c>
      <c r="D1297" t="str">
        <f>"21154"</f>
        <v>21154</v>
      </c>
      <c r="E1297" t="str">
        <f>"1"</f>
        <v>1</v>
      </c>
      <c r="F1297" t="str">
        <f t="shared" si="219"/>
        <v>COM</v>
      </c>
      <c r="G1297" t="str">
        <f>"OSVALDO DOS SANTOS (163)"</f>
        <v>OSVALDO DOS SANTOS (163)</v>
      </c>
      <c r="H1297" t="str">
        <f>"Serv.Prest. 25/08/2025 a 31/08/2025 - PIX: CELULAR - CHAVE: (73) 99977-2721"</f>
        <v>Serv.Prest. 25/08/2025 a 31/08/2025 - PIX: CELULAR - CHAVE: (73) 99977-2721</v>
      </c>
      <c r="I1297" t="str">
        <f>("11/09/2025")</f>
        <v>11/09/2025</v>
      </c>
      <c r="J1297" t="str">
        <f>("02/09/2025")</f>
        <v>02/09/2025</v>
      </c>
      <c r="K1297" t="str">
        <f>("10/09/2025")</f>
        <v>10/09/2025</v>
      </c>
      <c r="L1297">
        <v>20</v>
      </c>
      <c r="M1297">
        <v>20</v>
      </c>
      <c r="N1297">
        <v>109</v>
      </c>
      <c r="O1297" t="str">
        <f>"PAGAMENTO DE ENTREGADORES"</f>
        <v>PAGAMENTO DE ENTREGADORES</v>
      </c>
      <c r="P1297">
        <v>20</v>
      </c>
      <c r="S1297" t="str">
        <f>"CAIXA MOVIMENTAÇÃO OPERACIONAL (132)"</f>
        <v>CAIXA MOVIMENTAÇÃO OPERACIONAL (132)</v>
      </c>
      <c r="T1297">
        <v>17974</v>
      </c>
      <c r="U1297">
        <v>21861</v>
      </c>
      <c r="V1297" t="s">
        <v>48</v>
      </c>
    </row>
    <row r="1298" spans="1:22">
      <c r="A1298" t="str">
        <f t="shared" si="222"/>
        <v>10/09/2025</v>
      </c>
      <c r="B1298" t="str">
        <f>"SAÍDA"</f>
        <v>SAÍDA</v>
      </c>
      <c r="C1298" t="str">
        <f>"PIX"</f>
        <v>PIX</v>
      </c>
      <c r="D1298" t="str">
        <f>"21154"</f>
        <v>21154</v>
      </c>
      <c r="E1298" t="str">
        <f>"1"</f>
        <v>1</v>
      </c>
      <c r="F1298" t="str">
        <f t="shared" si="219"/>
        <v>COM</v>
      </c>
      <c r="G1298" t="str">
        <f>"OSVALDO DOS SANTOS (163)"</f>
        <v>OSVALDO DOS SANTOS (163)</v>
      </c>
      <c r="H1298" t="s">
        <v>421</v>
      </c>
      <c r="I1298" t="str">
        <f>("11/09/2025")</f>
        <v>11/09/2025</v>
      </c>
      <c r="J1298" t="str">
        <f>("02/09/2025")</f>
        <v>02/09/2025</v>
      </c>
      <c r="K1298">
        <v>45910</v>
      </c>
      <c r="N1298">
        <v>109</v>
      </c>
      <c r="O1298" t="s">
        <v>24</v>
      </c>
      <c r="Q1298">
        <v>20</v>
      </c>
      <c r="R1298" t="str">
        <f>"FARMÁCIA INDIANA LJ 35 (10015)"</f>
        <v>FARMÁCIA INDIANA LJ 35 (10015)</v>
      </c>
      <c r="S1298" t="s">
        <v>48</v>
      </c>
      <c r="T1298">
        <v>17974</v>
      </c>
      <c r="U1298">
        <v>21861</v>
      </c>
      <c r="V1298" t="s">
        <v>48</v>
      </c>
    </row>
    <row r="1299" spans="1:22">
      <c r="A1299" t="str">
        <f t="shared" si="222"/>
        <v>10/09/2025</v>
      </c>
      <c r="B1299" t="str">
        <f>"ENTRADA"</f>
        <v>ENTRADA</v>
      </c>
      <c r="C1299" t="str">
        <f>"DINHEIRO"</f>
        <v>DINHEIRO</v>
      </c>
      <c r="D1299" t="str">
        <f>"09"</f>
        <v>09</v>
      </c>
      <c r="E1299" t="str">
        <f>"33"</f>
        <v>33</v>
      </c>
      <c r="F1299" t="str">
        <f t="shared" si="219"/>
        <v>COM</v>
      </c>
      <c r="G1299" t="str">
        <f>"OSVALDO DOS SANTOS (163)"</f>
        <v>OSVALDO DOS SANTOS (163)</v>
      </c>
      <c r="H1299" t="str">
        <f>"DESCONTO COTA COOPERADO"</f>
        <v>DESCONTO COTA COOPERADO</v>
      </c>
      <c r="I1299" t="str">
        <f>("16/09/2025")</f>
        <v>16/09/2025</v>
      </c>
      <c r="J1299" t="str">
        <f>("16/01/2025")</f>
        <v>16/01/2025</v>
      </c>
      <c r="K1299" t="str">
        <f>("10/09/2025")</f>
        <v>10/09/2025</v>
      </c>
      <c r="L1299">
        <v>20</v>
      </c>
      <c r="M1299">
        <v>20</v>
      </c>
      <c r="N1299">
        <v>106</v>
      </c>
      <c r="O1299" t="str">
        <f>"ENTRADA DE CAPITAL"</f>
        <v>ENTRADA DE CAPITAL</v>
      </c>
      <c r="P1299">
        <v>20</v>
      </c>
      <c r="S1299" t="str">
        <f>"ENTRADA DE CAPITAL (106)"</f>
        <v>ENTRADA DE CAPITAL (106)</v>
      </c>
      <c r="T1299">
        <v>17975</v>
      </c>
      <c r="U1299">
        <v>7240</v>
      </c>
      <c r="V1299" t="s">
        <v>48</v>
      </c>
    </row>
    <row r="1300" spans="1:22">
      <c r="A1300" t="str">
        <f t="shared" si="222"/>
        <v>10/09/2025</v>
      </c>
      <c r="B1300" t="str">
        <f>"ENTRADA"</f>
        <v>ENTRADA</v>
      </c>
      <c r="C1300" t="str">
        <f>"DINHEIRO"</f>
        <v>DINHEIRO</v>
      </c>
      <c r="D1300" t="str">
        <f>"09"</f>
        <v>09</v>
      </c>
      <c r="E1300" t="str">
        <f>"33"</f>
        <v>33</v>
      </c>
      <c r="F1300" t="str">
        <f t="shared" si="219"/>
        <v>COM</v>
      </c>
      <c r="G1300" t="str">
        <f>"OSVALDO DOS SANTOS (163)"</f>
        <v>OSVALDO DOS SANTOS (163)</v>
      </c>
      <c r="H1300" t="s">
        <v>309</v>
      </c>
      <c r="I1300" t="str">
        <f>("16/09/2025")</f>
        <v>16/09/2025</v>
      </c>
      <c r="J1300" t="str">
        <f>("16/01/2025")</f>
        <v>16/01/2025</v>
      </c>
      <c r="K1300">
        <v>45910</v>
      </c>
      <c r="N1300">
        <v>106</v>
      </c>
      <c r="O1300" t="s">
        <v>51</v>
      </c>
      <c r="Q1300">
        <v>20</v>
      </c>
      <c r="R1300" t="str">
        <f>"OSVALDO DOS SANTOS (163)"</f>
        <v>OSVALDO DOS SANTOS (163)</v>
      </c>
      <c r="S1300" t="s">
        <v>52</v>
      </c>
      <c r="T1300">
        <v>17975</v>
      </c>
      <c r="U1300">
        <v>7240</v>
      </c>
      <c r="V1300" t="s">
        <v>48</v>
      </c>
    </row>
    <row r="1301" spans="1:22">
      <c r="A1301" t="str">
        <f t="shared" si="222"/>
        <v>10/09/2025</v>
      </c>
      <c r="B1301" t="str">
        <f>"SAÍDA"</f>
        <v>SAÍDA</v>
      </c>
      <c r="C1301" t="str">
        <f>"PIX"</f>
        <v>PIX</v>
      </c>
      <c r="D1301" t="str">
        <f>"21246"</f>
        <v>21246</v>
      </c>
      <c r="E1301" t="str">
        <f>"1"</f>
        <v>1</v>
      </c>
      <c r="F1301" t="str">
        <f t="shared" si="219"/>
        <v>COM</v>
      </c>
      <c r="G1301" t="str">
        <f>"PATRICK DE SOUZA CORREA (92)"</f>
        <v>PATRICK DE SOUZA CORREA (92)</v>
      </c>
      <c r="H1301" t="str">
        <f>"Serv.Prest. 25/08/2025 a 31/08/2025 - PIX: CELULAR - CHAVE: (31) 99216-8711"</f>
        <v>Serv.Prest. 25/08/2025 a 31/08/2025 - PIX: CELULAR - CHAVE: (31) 99216-8711</v>
      </c>
      <c r="I1301" t="str">
        <f>("11/09/2025")</f>
        <v>11/09/2025</v>
      </c>
      <c r="J1301" t="str">
        <f>("02/09/2025")</f>
        <v>02/09/2025</v>
      </c>
      <c r="K1301" t="str">
        <f>("10/09/2025")</f>
        <v>10/09/2025</v>
      </c>
      <c r="L1301">
        <v>20</v>
      </c>
      <c r="M1301">
        <v>20</v>
      </c>
      <c r="N1301">
        <v>109</v>
      </c>
      <c r="O1301" t="str">
        <f>"PAGAMENTO DE ENTREGADORES"</f>
        <v>PAGAMENTO DE ENTREGADORES</v>
      </c>
      <c r="P1301">
        <v>20</v>
      </c>
      <c r="S1301" t="str">
        <f>"CAIXA MOVIMENTAÇÃO OPERACIONAL (132)"</f>
        <v>CAIXA MOVIMENTAÇÃO OPERACIONAL (132)</v>
      </c>
      <c r="T1301">
        <v>17976</v>
      </c>
      <c r="U1301">
        <v>21862</v>
      </c>
      <c r="V1301" t="s">
        <v>48</v>
      </c>
    </row>
    <row r="1302" spans="1:22">
      <c r="A1302" t="str">
        <f t="shared" si="222"/>
        <v>10/09/2025</v>
      </c>
      <c r="B1302" t="str">
        <f>"SAÍDA"</f>
        <v>SAÍDA</v>
      </c>
      <c r="C1302" t="str">
        <f>"PIX"</f>
        <v>PIX</v>
      </c>
      <c r="D1302" t="str">
        <f>"21246"</f>
        <v>21246</v>
      </c>
      <c r="E1302" t="str">
        <f>"1"</f>
        <v>1</v>
      </c>
      <c r="F1302" t="str">
        <f t="shared" si="219"/>
        <v>COM</v>
      </c>
      <c r="G1302" t="str">
        <f>"PATRICK DE SOUZA CORREA (92)"</f>
        <v>PATRICK DE SOUZA CORREA (92)</v>
      </c>
      <c r="H1302" t="s">
        <v>422</v>
      </c>
      <c r="I1302" t="str">
        <f>("11/09/2025")</f>
        <v>11/09/2025</v>
      </c>
      <c r="J1302" t="str">
        <f>("02/09/2025")</f>
        <v>02/09/2025</v>
      </c>
      <c r="K1302">
        <v>45910</v>
      </c>
      <c r="N1302">
        <v>109</v>
      </c>
      <c r="O1302" t="s">
        <v>24</v>
      </c>
      <c r="Q1302">
        <v>2.2200000000000002</v>
      </c>
      <c r="R1302" t="str">
        <f>"FARMÁCIA INDIANA LJ 184 (10080)"</f>
        <v>FARMÁCIA INDIANA LJ 184 (10080)</v>
      </c>
      <c r="S1302" t="s">
        <v>48</v>
      </c>
      <c r="T1302">
        <v>17976</v>
      </c>
      <c r="U1302">
        <v>21862</v>
      </c>
      <c r="V1302" t="s">
        <v>48</v>
      </c>
    </row>
    <row r="1303" spans="1:22">
      <c r="A1303" t="str">
        <f t="shared" si="222"/>
        <v>10/09/2025</v>
      </c>
      <c r="B1303" t="str">
        <f>"SAÍDA"</f>
        <v>SAÍDA</v>
      </c>
      <c r="C1303" t="str">
        <f>"PIX"</f>
        <v>PIX</v>
      </c>
      <c r="D1303" t="str">
        <f>"21246"</f>
        <v>21246</v>
      </c>
      <c r="E1303" t="str">
        <f>"1"</f>
        <v>1</v>
      </c>
      <c r="F1303" t="str">
        <f t="shared" si="219"/>
        <v>COM</v>
      </c>
      <c r="G1303" t="str">
        <f>"PATRICK DE SOUZA CORREA (92)"</f>
        <v>PATRICK DE SOUZA CORREA (92)</v>
      </c>
      <c r="H1303" t="s">
        <v>422</v>
      </c>
      <c r="I1303" t="str">
        <f>("11/09/2025")</f>
        <v>11/09/2025</v>
      </c>
      <c r="J1303" t="str">
        <f>("02/09/2025")</f>
        <v>02/09/2025</v>
      </c>
      <c r="K1303">
        <v>45910</v>
      </c>
      <c r="N1303">
        <v>109</v>
      </c>
      <c r="O1303" t="s">
        <v>24</v>
      </c>
      <c r="Q1303">
        <v>17.78</v>
      </c>
      <c r="R1303" t="str">
        <f>"FARMÁCIA INDIANA LJ 195 (10083)"</f>
        <v>FARMÁCIA INDIANA LJ 195 (10083)</v>
      </c>
      <c r="S1303" t="s">
        <v>48</v>
      </c>
      <c r="T1303">
        <v>17976</v>
      </c>
      <c r="U1303">
        <v>21862</v>
      </c>
      <c r="V1303" t="s">
        <v>48</v>
      </c>
    </row>
    <row r="1304" spans="1:22">
      <c r="A1304" t="str">
        <f t="shared" si="222"/>
        <v>10/09/2025</v>
      </c>
      <c r="B1304" t="str">
        <f>"ENTRADA"</f>
        <v>ENTRADA</v>
      </c>
      <c r="C1304" t="str">
        <f>"DINHEIRO"</f>
        <v>DINHEIRO</v>
      </c>
      <c r="D1304" t="str">
        <f>"14"</f>
        <v>14</v>
      </c>
      <c r="E1304" t="str">
        <f>"33"</f>
        <v>33</v>
      </c>
      <c r="F1304" t="str">
        <f t="shared" si="219"/>
        <v>COM</v>
      </c>
      <c r="G1304" t="str">
        <f>"PATRICK DE SOUZA CORREA (92)"</f>
        <v>PATRICK DE SOUZA CORREA (92)</v>
      </c>
      <c r="H1304" t="str">
        <f>"DESCONTO COTA COOPERADO"</f>
        <v>DESCONTO COTA COOPERADO</v>
      </c>
      <c r="I1304" t="str">
        <f>("16/09/2025")</f>
        <v>16/09/2025</v>
      </c>
      <c r="J1304" t="str">
        <f>("16/01/2025")</f>
        <v>16/01/2025</v>
      </c>
      <c r="K1304" t="str">
        <f>("10/09/2025")</f>
        <v>10/09/2025</v>
      </c>
      <c r="L1304">
        <v>20</v>
      </c>
      <c r="M1304">
        <v>20</v>
      </c>
      <c r="N1304">
        <v>106</v>
      </c>
      <c r="O1304" t="str">
        <f>"ENTRADA DE CAPITAL"</f>
        <v>ENTRADA DE CAPITAL</v>
      </c>
      <c r="P1304">
        <v>20</v>
      </c>
      <c r="S1304" t="str">
        <f>"ENTRADA DE CAPITAL (106)"</f>
        <v>ENTRADA DE CAPITAL (106)</v>
      </c>
      <c r="T1304">
        <v>17977</v>
      </c>
      <c r="U1304">
        <v>7258</v>
      </c>
      <c r="V1304" t="s">
        <v>48</v>
      </c>
    </row>
    <row r="1305" spans="1:22">
      <c r="A1305" t="str">
        <f t="shared" si="222"/>
        <v>10/09/2025</v>
      </c>
      <c r="B1305" t="str">
        <f>"ENTRADA"</f>
        <v>ENTRADA</v>
      </c>
      <c r="C1305" t="str">
        <f>"DINHEIRO"</f>
        <v>DINHEIRO</v>
      </c>
      <c r="D1305" t="str">
        <f>"14"</f>
        <v>14</v>
      </c>
      <c r="E1305" t="str">
        <f>"33"</f>
        <v>33</v>
      </c>
      <c r="F1305" t="str">
        <f t="shared" si="219"/>
        <v>COM</v>
      </c>
      <c r="G1305" t="str">
        <f>"PATRICK DE SOUZA CORREA (92)"</f>
        <v>PATRICK DE SOUZA CORREA (92)</v>
      </c>
      <c r="H1305" t="s">
        <v>309</v>
      </c>
      <c r="I1305" t="str">
        <f>("16/09/2025")</f>
        <v>16/09/2025</v>
      </c>
      <c r="J1305" t="str">
        <f>("16/01/2025")</f>
        <v>16/01/2025</v>
      </c>
      <c r="K1305">
        <v>45910</v>
      </c>
      <c r="N1305">
        <v>106</v>
      </c>
      <c r="O1305" t="s">
        <v>51</v>
      </c>
      <c r="Q1305">
        <v>20</v>
      </c>
      <c r="R1305" t="str">
        <f>"PATRICK DE SOUZA CORREA (92)"</f>
        <v>PATRICK DE SOUZA CORREA (92)</v>
      </c>
      <c r="S1305" t="s">
        <v>52</v>
      </c>
      <c r="T1305">
        <v>17977</v>
      </c>
      <c r="U1305">
        <v>7258</v>
      </c>
      <c r="V1305" t="s">
        <v>48</v>
      </c>
    </row>
    <row r="1306" spans="1:22">
      <c r="A1306" t="str">
        <f t="shared" si="222"/>
        <v>10/09/2025</v>
      </c>
      <c r="B1306" t="str">
        <f>"ENTRADA"</f>
        <v>ENTRADA</v>
      </c>
      <c r="C1306" t="str">
        <f>"DINHEIRO"</f>
        <v>DINHEIRO</v>
      </c>
      <c r="D1306" t="str">
        <f>"865"</f>
        <v>865</v>
      </c>
      <c r="E1306" t="str">
        <f>"3"</f>
        <v>3</v>
      </c>
      <c r="F1306" t="str">
        <f t="shared" si="219"/>
        <v>COM</v>
      </c>
      <c r="G1306" t="str">
        <f>"PAULO CESAR DE FARIA (865)"</f>
        <v>PAULO CESAR DE FARIA (865)</v>
      </c>
      <c r="H1306" t="str">
        <f>"COTA COOPERATIVA"</f>
        <v>COTA COOPERATIVA</v>
      </c>
      <c r="I1306" t="str">
        <f>("10/09/2025")</f>
        <v>10/09/2025</v>
      </c>
      <c r="J1306" t="str">
        <f>("30/06/2025")</f>
        <v>30/06/2025</v>
      </c>
      <c r="K1306" t="str">
        <f>("10/09/2025")</f>
        <v>10/09/2025</v>
      </c>
      <c r="L1306">
        <v>20</v>
      </c>
      <c r="M1306">
        <v>20</v>
      </c>
      <c r="N1306">
        <v>106</v>
      </c>
      <c r="O1306" t="str">
        <f>"ENTRADA DE CAPITAL"</f>
        <v>ENTRADA DE CAPITAL</v>
      </c>
      <c r="P1306">
        <v>20</v>
      </c>
      <c r="S1306" t="str">
        <f>"ENTRADA DE CAPITAL (106)"</f>
        <v>ENTRADA DE CAPITAL (106)</v>
      </c>
      <c r="T1306">
        <v>17978</v>
      </c>
      <c r="U1306">
        <v>18277</v>
      </c>
      <c r="V1306" t="s">
        <v>48</v>
      </c>
    </row>
    <row r="1307" spans="1:22">
      <c r="A1307" t="str">
        <f t="shared" si="222"/>
        <v>10/09/2025</v>
      </c>
      <c r="B1307" t="str">
        <f>"ENTRADA"</f>
        <v>ENTRADA</v>
      </c>
      <c r="C1307" t="str">
        <f>"DINHEIRO"</f>
        <v>DINHEIRO</v>
      </c>
      <c r="D1307" t="str">
        <f>"865"</f>
        <v>865</v>
      </c>
      <c r="E1307" t="str">
        <f>"3"</f>
        <v>3</v>
      </c>
      <c r="F1307" t="str">
        <f t="shared" si="219"/>
        <v>COM</v>
      </c>
      <c r="G1307" t="str">
        <f>"PAULO CESAR DE FARIA (865)"</f>
        <v>PAULO CESAR DE FARIA (865)</v>
      </c>
      <c r="H1307" t="s">
        <v>50</v>
      </c>
      <c r="I1307" t="str">
        <f>("10/09/2025")</f>
        <v>10/09/2025</v>
      </c>
      <c r="J1307" t="str">
        <f>("30/06/2025")</f>
        <v>30/06/2025</v>
      </c>
      <c r="K1307">
        <v>45910</v>
      </c>
      <c r="N1307">
        <v>106</v>
      </c>
      <c r="O1307" t="s">
        <v>51</v>
      </c>
      <c r="Q1307">
        <v>20</v>
      </c>
      <c r="R1307" t="str">
        <f>"PAULO CESAR DE FARIA (865)"</f>
        <v>PAULO CESAR DE FARIA (865)</v>
      </c>
      <c r="S1307" t="s">
        <v>52</v>
      </c>
      <c r="T1307">
        <v>17978</v>
      </c>
      <c r="U1307">
        <v>18277</v>
      </c>
      <c r="V1307" t="s">
        <v>48</v>
      </c>
    </row>
    <row r="1308" spans="1:22">
      <c r="A1308" t="str">
        <f t="shared" si="222"/>
        <v>10/09/2025</v>
      </c>
      <c r="B1308" t="str">
        <f>"SAÍDA"</f>
        <v>SAÍDA</v>
      </c>
      <c r="C1308" t="str">
        <f>"PIX"</f>
        <v>PIX</v>
      </c>
      <c r="D1308" t="str">
        <f>"21474"</f>
        <v>21474</v>
      </c>
      <c r="E1308" t="str">
        <f>"1"</f>
        <v>1</v>
      </c>
      <c r="F1308" t="str">
        <f t="shared" ref="F1308:F1371" si="225">"COM"</f>
        <v>COM</v>
      </c>
      <c r="G1308" t="str">
        <f>"PAULO CESAR DE FARIA (865)"</f>
        <v>PAULO CESAR DE FARIA (865)</v>
      </c>
      <c r="H1308" t="str">
        <f>"Serv.Prest. 01/09/2025 a 07/09/2025 - PIX: CELULAR - CHAVE: (11) 99992-0816"</f>
        <v>Serv.Prest. 01/09/2025 a 07/09/2025 - PIX: CELULAR - CHAVE: (11) 99992-0816</v>
      </c>
      <c r="I1308" t="str">
        <f>("11/09/2025")</f>
        <v>11/09/2025</v>
      </c>
      <c r="J1308" t="str">
        <f>("08/09/2025")</f>
        <v>08/09/2025</v>
      </c>
      <c r="K1308" t="str">
        <f>("10/09/2025")</f>
        <v>10/09/2025</v>
      </c>
      <c r="L1308">
        <v>20</v>
      </c>
      <c r="M1308">
        <v>20</v>
      </c>
      <c r="N1308">
        <v>109</v>
      </c>
      <c r="O1308" t="str">
        <f>"PAGAMENTO DE ENTREGADORES"</f>
        <v>PAGAMENTO DE ENTREGADORES</v>
      </c>
      <c r="P1308">
        <v>20</v>
      </c>
      <c r="S1308" t="str">
        <f>"CAIXA MOVIMENTAÇÃO OPERACIONAL (132)"</f>
        <v>CAIXA MOVIMENTAÇÃO OPERACIONAL (132)</v>
      </c>
      <c r="T1308">
        <v>17979</v>
      </c>
      <c r="U1308">
        <v>21863</v>
      </c>
      <c r="V1308" t="s">
        <v>48</v>
      </c>
    </row>
    <row r="1309" spans="1:22">
      <c r="A1309" t="str">
        <f t="shared" si="222"/>
        <v>10/09/2025</v>
      </c>
      <c r="B1309" t="str">
        <f>"SAÍDA"</f>
        <v>SAÍDA</v>
      </c>
      <c r="C1309" t="str">
        <f>"PIX"</f>
        <v>PIX</v>
      </c>
      <c r="D1309" t="str">
        <f>"21474"</f>
        <v>21474</v>
      </c>
      <c r="E1309" t="str">
        <f>"1"</f>
        <v>1</v>
      </c>
      <c r="F1309" t="str">
        <f t="shared" si="225"/>
        <v>COM</v>
      </c>
      <c r="G1309" t="str">
        <f>"PAULO CESAR DE FARIA (865)"</f>
        <v>PAULO CESAR DE FARIA (865)</v>
      </c>
      <c r="H1309" t="s">
        <v>423</v>
      </c>
      <c r="I1309" t="str">
        <f>("11/09/2025")</f>
        <v>11/09/2025</v>
      </c>
      <c r="J1309" t="str">
        <f>("08/09/2025")</f>
        <v>08/09/2025</v>
      </c>
      <c r="K1309">
        <v>45910</v>
      </c>
      <c r="N1309">
        <v>109</v>
      </c>
      <c r="O1309" t="s">
        <v>24</v>
      </c>
      <c r="Q1309">
        <v>20</v>
      </c>
      <c r="R1309" t="str">
        <f>"DROGARIA MORENO LTDA (10171)"</f>
        <v>DROGARIA MORENO LTDA (10171)</v>
      </c>
      <c r="S1309" t="s">
        <v>48</v>
      </c>
      <c r="T1309">
        <v>17979</v>
      </c>
      <c r="U1309">
        <v>21863</v>
      </c>
      <c r="V1309" t="s">
        <v>48</v>
      </c>
    </row>
    <row r="1310" spans="1:22">
      <c r="A1310" t="str">
        <f t="shared" si="222"/>
        <v>10/09/2025</v>
      </c>
      <c r="B1310" t="str">
        <f>"SAÍDA"</f>
        <v>SAÍDA</v>
      </c>
      <c r="C1310" t="str">
        <f>"PIX"</f>
        <v>PIX</v>
      </c>
      <c r="D1310" t="str">
        <f>"21248"</f>
        <v>21248</v>
      </c>
      <c r="E1310" t="str">
        <f>"1"</f>
        <v>1</v>
      </c>
      <c r="F1310" t="str">
        <f t="shared" si="225"/>
        <v>COM</v>
      </c>
      <c r="G1310" t="str">
        <f>"PAULO MARCOS FARIA DE SOUZA L (233)"</f>
        <v>PAULO MARCOS FARIA DE SOUZA L (233)</v>
      </c>
      <c r="H1310" t="str">
        <f>"Serv.Prest. 25/08/2025 a 31/08/2025 - PIX: CELULAR - CHAVE: (35) 99264-4504"</f>
        <v>Serv.Prest. 25/08/2025 a 31/08/2025 - PIX: CELULAR - CHAVE: (35) 99264-4504</v>
      </c>
      <c r="I1310" t="str">
        <f>("11/09/2025")</f>
        <v>11/09/2025</v>
      </c>
      <c r="J1310" t="str">
        <f>("02/09/2025")</f>
        <v>02/09/2025</v>
      </c>
      <c r="K1310" t="str">
        <f>("10/09/2025")</f>
        <v>10/09/2025</v>
      </c>
      <c r="L1310">
        <v>20</v>
      </c>
      <c r="M1310">
        <v>20</v>
      </c>
      <c r="N1310">
        <v>109</v>
      </c>
      <c r="O1310" t="str">
        <f>"PAGAMENTO DE ENTREGADORES"</f>
        <v>PAGAMENTO DE ENTREGADORES</v>
      </c>
      <c r="P1310">
        <v>20</v>
      </c>
      <c r="S1310" t="str">
        <f>"CAIXA MOVIMENTAÇÃO OPERACIONAL (132)"</f>
        <v>CAIXA MOVIMENTAÇÃO OPERACIONAL (132)</v>
      </c>
      <c r="T1310">
        <v>17980</v>
      </c>
      <c r="U1310">
        <v>21864</v>
      </c>
      <c r="V1310" t="s">
        <v>48</v>
      </c>
    </row>
    <row r="1311" spans="1:22">
      <c r="A1311" t="str">
        <f t="shared" si="222"/>
        <v>10/09/2025</v>
      </c>
      <c r="B1311" t="str">
        <f>"SAÍDA"</f>
        <v>SAÍDA</v>
      </c>
      <c r="C1311" t="str">
        <f>"PIX"</f>
        <v>PIX</v>
      </c>
      <c r="D1311" t="str">
        <f>"21248"</f>
        <v>21248</v>
      </c>
      <c r="E1311" t="str">
        <f>"1"</f>
        <v>1</v>
      </c>
      <c r="F1311" t="str">
        <f t="shared" si="225"/>
        <v>COM</v>
      </c>
      <c r="G1311" t="str">
        <f>"PAULO MARCOS FARIA DE SOUZA L (233)"</f>
        <v>PAULO MARCOS FARIA DE SOUZA L (233)</v>
      </c>
      <c r="H1311" t="s">
        <v>424</v>
      </c>
      <c r="I1311" t="str">
        <f>("11/09/2025")</f>
        <v>11/09/2025</v>
      </c>
      <c r="J1311" t="str">
        <f>("02/09/2025")</f>
        <v>02/09/2025</v>
      </c>
      <c r="K1311">
        <v>45910</v>
      </c>
      <c r="N1311">
        <v>109</v>
      </c>
      <c r="O1311" t="s">
        <v>24</v>
      </c>
      <c r="Q1311">
        <v>20</v>
      </c>
      <c r="R1311" t="str">
        <f>"FARMÁCIA INDIANA LJ 64 (10029)"</f>
        <v>FARMÁCIA INDIANA LJ 64 (10029)</v>
      </c>
      <c r="S1311" t="s">
        <v>48</v>
      </c>
      <c r="T1311">
        <v>17980</v>
      </c>
      <c r="U1311">
        <v>21864</v>
      </c>
      <c r="V1311" t="s">
        <v>48</v>
      </c>
    </row>
    <row r="1312" spans="1:22">
      <c r="A1312" t="str">
        <f t="shared" si="222"/>
        <v>10/09/2025</v>
      </c>
      <c r="B1312" t="str">
        <f>"ENTRADA"</f>
        <v>ENTRADA</v>
      </c>
      <c r="C1312" t="str">
        <f>"DINHEIRO"</f>
        <v>DINHEIRO</v>
      </c>
      <c r="D1312" t="str">
        <f>"08"</f>
        <v>08</v>
      </c>
      <c r="E1312" t="str">
        <f>"33"</f>
        <v>33</v>
      </c>
      <c r="F1312" t="str">
        <f t="shared" si="225"/>
        <v>COM</v>
      </c>
      <c r="G1312" t="str">
        <f>"PAULO MARCOS FARIA DE SOUZA L (233)"</f>
        <v>PAULO MARCOS FARIA DE SOUZA L (233)</v>
      </c>
      <c r="H1312" t="str">
        <f>"DESCONTO COTA COOPERADO"</f>
        <v>DESCONTO COTA COOPERADO</v>
      </c>
      <c r="I1312" t="str">
        <f>("16/09/2025")</f>
        <v>16/09/2025</v>
      </c>
      <c r="J1312" t="str">
        <f>("16/01/2025")</f>
        <v>16/01/2025</v>
      </c>
      <c r="K1312" t="str">
        <f>("10/09/2025")</f>
        <v>10/09/2025</v>
      </c>
      <c r="L1312">
        <v>20</v>
      </c>
      <c r="M1312">
        <v>20</v>
      </c>
      <c r="N1312">
        <v>106</v>
      </c>
      <c r="O1312" t="str">
        <f>"ENTRADA DE CAPITAL"</f>
        <v>ENTRADA DE CAPITAL</v>
      </c>
      <c r="P1312">
        <v>20</v>
      </c>
      <c r="S1312" t="str">
        <f>"ENTRADA DE CAPITAL (106)"</f>
        <v>ENTRADA DE CAPITAL (106)</v>
      </c>
      <c r="T1312">
        <v>17981</v>
      </c>
      <c r="U1312">
        <v>7290</v>
      </c>
      <c r="V1312" t="s">
        <v>48</v>
      </c>
    </row>
    <row r="1313" spans="1:22">
      <c r="A1313" t="str">
        <f t="shared" si="222"/>
        <v>10/09/2025</v>
      </c>
      <c r="B1313" t="str">
        <f>"ENTRADA"</f>
        <v>ENTRADA</v>
      </c>
      <c r="C1313" t="str">
        <f>"DINHEIRO"</f>
        <v>DINHEIRO</v>
      </c>
      <c r="D1313" t="str">
        <f>"08"</f>
        <v>08</v>
      </c>
      <c r="E1313" t="str">
        <f>"33"</f>
        <v>33</v>
      </c>
      <c r="F1313" t="str">
        <f t="shared" si="225"/>
        <v>COM</v>
      </c>
      <c r="G1313" t="str">
        <f>"PAULO MARCOS FARIA DE SOUZA L (233)"</f>
        <v>PAULO MARCOS FARIA DE SOUZA L (233)</v>
      </c>
      <c r="H1313" t="s">
        <v>309</v>
      </c>
      <c r="I1313" t="str">
        <f>("16/09/2025")</f>
        <v>16/09/2025</v>
      </c>
      <c r="J1313" t="str">
        <f>("16/01/2025")</f>
        <v>16/01/2025</v>
      </c>
      <c r="K1313">
        <v>45910</v>
      </c>
      <c r="N1313">
        <v>106</v>
      </c>
      <c r="O1313" t="s">
        <v>51</v>
      </c>
      <c r="Q1313">
        <v>20</v>
      </c>
      <c r="R1313" t="str">
        <f>"PAULO MARCOS FARIA DE SOUZA L (233)"</f>
        <v>PAULO MARCOS FARIA DE SOUZA L (233)</v>
      </c>
      <c r="S1313" t="s">
        <v>52</v>
      </c>
      <c r="T1313">
        <v>17981</v>
      </c>
      <c r="U1313">
        <v>7290</v>
      </c>
      <c r="V1313" t="s">
        <v>48</v>
      </c>
    </row>
    <row r="1314" spans="1:22">
      <c r="A1314" t="str">
        <f t="shared" si="222"/>
        <v>10/09/2025</v>
      </c>
      <c r="B1314" t="str">
        <f>"ENTRADA"</f>
        <v>ENTRADA</v>
      </c>
      <c r="C1314" t="str">
        <f>"DINHEIRO"</f>
        <v>DINHEIRO</v>
      </c>
      <c r="D1314" t="str">
        <f>"705"</f>
        <v>705</v>
      </c>
      <c r="E1314" t="str">
        <f>"6"</f>
        <v>6</v>
      </c>
      <c r="F1314" t="str">
        <f t="shared" si="225"/>
        <v>COM</v>
      </c>
      <c r="G1314" t="str">
        <f>"RAISSON VITOR MENDES DE ABREU (705)"</f>
        <v>RAISSON VITOR MENDES DE ABREU (705)</v>
      </c>
      <c r="H1314" t="str">
        <f>"COTAS COOPERATIVA"</f>
        <v>COTAS COOPERATIVA</v>
      </c>
      <c r="I1314" t="str">
        <f>("10/09/2025")</f>
        <v>10/09/2025</v>
      </c>
      <c r="J1314" t="str">
        <f>("17/03/2025")</f>
        <v>17/03/2025</v>
      </c>
      <c r="K1314" t="str">
        <f>("10/09/2025")</f>
        <v>10/09/2025</v>
      </c>
      <c r="L1314">
        <v>20</v>
      </c>
      <c r="M1314">
        <v>20</v>
      </c>
      <c r="N1314">
        <v>106</v>
      </c>
      <c r="O1314" t="str">
        <f>"ENTRADA DE CAPITAL"</f>
        <v>ENTRADA DE CAPITAL</v>
      </c>
      <c r="P1314">
        <v>20</v>
      </c>
      <c r="S1314" t="str">
        <f>"ENTRADA DE CAPITAL (106)"</f>
        <v>ENTRADA DE CAPITAL (106)</v>
      </c>
      <c r="T1314">
        <v>17982</v>
      </c>
      <c r="U1314">
        <v>11886</v>
      </c>
      <c r="V1314" t="s">
        <v>48</v>
      </c>
    </row>
    <row r="1315" spans="1:22">
      <c r="A1315" t="str">
        <f t="shared" si="222"/>
        <v>10/09/2025</v>
      </c>
      <c r="B1315" t="str">
        <f>"ENTRADA"</f>
        <v>ENTRADA</v>
      </c>
      <c r="C1315" t="str">
        <f>"DINHEIRO"</f>
        <v>DINHEIRO</v>
      </c>
      <c r="D1315" t="str">
        <f>"705"</f>
        <v>705</v>
      </c>
      <c r="E1315" t="str">
        <f>"6"</f>
        <v>6</v>
      </c>
      <c r="F1315" t="str">
        <f t="shared" si="225"/>
        <v>COM</v>
      </c>
      <c r="G1315" t="str">
        <f>"RAISSON VITOR MENDES DE ABREU (705)"</f>
        <v>RAISSON VITOR MENDES DE ABREU (705)</v>
      </c>
      <c r="H1315" t="s">
        <v>318</v>
      </c>
      <c r="I1315" t="str">
        <f>("10/09/2025")</f>
        <v>10/09/2025</v>
      </c>
      <c r="J1315" t="str">
        <f>("17/03/2025")</f>
        <v>17/03/2025</v>
      </c>
      <c r="K1315">
        <v>45910</v>
      </c>
      <c r="N1315">
        <v>106</v>
      </c>
      <c r="O1315" t="s">
        <v>51</v>
      </c>
      <c r="Q1315">
        <v>20</v>
      </c>
      <c r="R1315" t="str">
        <f>"RAISSON VITOR MENDES DE ABREU (705)"</f>
        <v>RAISSON VITOR MENDES DE ABREU (705)</v>
      </c>
      <c r="S1315" t="s">
        <v>52</v>
      </c>
      <c r="T1315">
        <v>17982</v>
      </c>
      <c r="U1315">
        <v>11886</v>
      </c>
      <c r="V1315" t="s">
        <v>48</v>
      </c>
    </row>
    <row r="1316" spans="1:22">
      <c r="A1316" t="str">
        <f t="shared" si="222"/>
        <v>10/09/2025</v>
      </c>
      <c r="B1316" t="str">
        <f>"SAÍDA"</f>
        <v>SAÍDA</v>
      </c>
      <c r="C1316" t="str">
        <f>"PIX"</f>
        <v>PIX</v>
      </c>
      <c r="D1316" t="str">
        <f>"21249"</f>
        <v>21249</v>
      </c>
      <c r="E1316" t="str">
        <f>"1"</f>
        <v>1</v>
      </c>
      <c r="F1316" t="str">
        <f t="shared" si="225"/>
        <v>COM</v>
      </c>
      <c r="G1316" t="str">
        <f>"RAISSON VITOR MENDES DE ABREU (705)"</f>
        <v>RAISSON VITOR MENDES DE ABREU (705)</v>
      </c>
      <c r="H1316" t="str">
        <f>"Serv.Prest. 25/08/2025 a 31/08/2025 - PIX: CELULAR - CHAVE: (31) 99959-5414"</f>
        <v>Serv.Prest. 25/08/2025 a 31/08/2025 - PIX: CELULAR - CHAVE: (31) 99959-5414</v>
      </c>
      <c r="I1316" t="str">
        <f>("11/09/2025")</f>
        <v>11/09/2025</v>
      </c>
      <c r="J1316" t="str">
        <f>("02/09/2025")</f>
        <v>02/09/2025</v>
      </c>
      <c r="K1316" t="str">
        <f>("10/09/2025")</f>
        <v>10/09/2025</v>
      </c>
      <c r="L1316">
        <v>20</v>
      </c>
      <c r="M1316">
        <v>20</v>
      </c>
      <c r="N1316">
        <v>109</v>
      </c>
      <c r="O1316" t="str">
        <f>"PAGAMENTO DE ENTREGADORES"</f>
        <v>PAGAMENTO DE ENTREGADORES</v>
      </c>
      <c r="P1316">
        <v>20</v>
      </c>
      <c r="S1316" t="str">
        <f>"CAIXA MOVIMENTAÇÃO OPERACIONAL (132)"</f>
        <v>CAIXA MOVIMENTAÇÃO OPERACIONAL (132)</v>
      </c>
      <c r="T1316">
        <v>17983</v>
      </c>
      <c r="U1316">
        <v>21865</v>
      </c>
      <c r="V1316" t="s">
        <v>48</v>
      </c>
    </row>
    <row r="1317" spans="1:22">
      <c r="A1317" t="str">
        <f t="shared" si="222"/>
        <v>10/09/2025</v>
      </c>
      <c r="B1317" t="str">
        <f>"SAÍDA"</f>
        <v>SAÍDA</v>
      </c>
      <c r="C1317" t="str">
        <f>"PIX"</f>
        <v>PIX</v>
      </c>
      <c r="D1317" t="str">
        <f>"21249"</f>
        <v>21249</v>
      </c>
      <c r="E1317" t="str">
        <f>"1"</f>
        <v>1</v>
      </c>
      <c r="F1317" t="str">
        <f t="shared" si="225"/>
        <v>COM</v>
      </c>
      <c r="G1317" t="str">
        <f>"RAISSON VITOR MENDES DE ABREU (705)"</f>
        <v>RAISSON VITOR MENDES DE ABREU (705)</v>
      </c>
      <c r="H1317" t="s">
        <v>425</v>
      </c>
      <c r="I1317" t="str">
        <f>("11/09/2025")</f>
        <v>11/09/2025</v>
      </c>
      <c r="J1317" t="str">
        <f>("02/09/2025")</f>
        <v>02/09/2025</v>
      </c>
      <c r="K1317">
        <v>45910</v>
      </c>
      <c r="N1317">
        <v>109</v>
      </c>
      <c r="O1317" t="s">
        <v>24</v>
      </c>
      <c r="Q1317">
        <v>20</v>
      </c>
      <c r="R1317" t="str">
        <f>"FARMÁCIA INDIANA LJ 178 (10077)"</f>
        <v>FARMÁCIA INDIANA LJ 178 (10077)</v>
      </c>
      <c r="S1317" t="s">
        <v>48</v>
      </c>
      <c r="T1317">
        <v>17983</v>
      </c>
      <c r="U1317">
        <v>21865</v>
      </c>
      <c r="V1317" t="s">
        <v>48</v>
      </c>
    </row>
    <row r="1318" spans="1:22">
      <c r="A1318" t="str">
        <f t="shared" si="222"/>
        <v>10/09/2025</v>
      </c>
      <c r="B1318" t="str">
        <f>"ENTRADA"</f>
        <v>ENTRADA</v>
      </c>
      <c r="C1318" t="str">
        <f>"DINHEIRO"</f>
        <v>DINHEIRO</v>
      </c>
      <c r="D1318" t="str">
        <f>"727"</f>
        <v>727</v>
      </c>
      <c r="E1318" t="str">
        <f>"5"</f>
        <v>5</v>
      </c>
      <c r="F1318" t="str">
        <f t="shared" si="225"/>
        <v>COM</v>
      </c>
      <c r="G1318" t="str">
        <f>"RAUL SILVA ROMAO (727)"</f>
        <v>RAUL SILVA ROMAO (727)</v>
      </c>
      <c r="H1318" t="str">
        <f>"COTA COOPERATIVA"</f>
        <v>COTA COOPERATIVA</v>
      </c>
      <c r="I1318" t="str">
        <f>("08/09/2025")</f>
        <v>08/09/2025</v>
      </c>
      <c r="J1318" t="str">
        <f>("07/04/2025")</f>
        <v>07/04/2025</v>
      </c>
      <c r="K1318" t="str">
        <f>("10/09/2025")</f>
        <v>10/09/2025</v>
      </c>
      <c r="L1318">
        <v>20</v>
      </c>
      <c r="M1318">
        <v>20</v>
      </c>
      <c r="N1318">
        <v>106</v>
      </c>
      <c r="O1318" t="str">
        <f>"ENTRADA DE CAPITAL"</f>
        <v>ENTRADA DE CAPITAL</v>
      </c>
      <c r="P1318">
        <v>20</v>
      </c>
      <c r="S1318" t="str">
        <f>"ENTRADA DE CAPITAL (106)"</f>
        <v>ENTRADA DE CAPITAL (106)</v>
      </c>
      <c r="T1318">
        <v>17984</v>
      </c>
      <c r="U1318">
        <v>14390</v>
      </c>
      <c r="V1318" t="s">
        <v>48</v>
      </c>
    </row>
    <row r="1319" spans="1:22">
      <c r="A1319" t="str">
        <f t="shared" si="222"/>
        <v>10/09/2025</v>
      </c>
      <c r="B1319" t="str">
        <f>"ENTRADA"</f>
        <v>ENTRADA</v>
      </c>
      <c r="C1319" t="str">
        <f>"DINHEIRO"</f>
        <v>DINHEIRO</v>
      </c>
      <c r="D1319" t="str">
        <f>"727"</f>
        <v>727</v>
      </c>
      <c r="E1319" t="str">
        <f>"5"</f>
        <v>5</v>
      </c>
      <c r="F1319" t="str">
        <f t="shared" si="225"/>
        <v>COM</v>
      </c>
      <c r="G1319" t="str">
        <f>"RAUL SILVA ROMAO (727)"</f>
        <v>RAUL SILVA ROMAO (727)</v>
      </c>
      <c r="H1319" t="s">
        <v>50</v>
      </c>
      <c r="I1319" t="str">
        <f>("08/09/2025")</f>
        <v>08/09/2025</v>
      </c>
      <c r="J1319" t="str">
        <f>("07/04/2025")</f>
        <v>07/04/2025</v>
      </c>
      <c r="K1319">
        <v>45910</v>
      </c>
      <c r="N1319">
        <v>106</v>
      </c>
      <c r="O1319" t="s">
        <v>51</v>
      </c>
      <c r="Q1319">
        <v>20</v>
      </c>
      <c r="R1319" t="str">
        <f>"RAUL SILVA ROMAO (727)"</f>
        <v>RAUL SILVA ROMAO (727)</v>
      </c>
      <c r="S1319" t="s">
        <v>52</v>
      </c>
      <c r="T1319">
        <v>17984</v>
      </c>
      <c r="U1319">
        <v>14390</v>
      </c>
      <c r="V1319" t="s">
        <v>48</v>
      </c>
    </row>
    <row r="1320" spans="1:22">
      <c r="A1320" t="str">
        <f t="shared" si="222"/>
        <v>10/09/2025</v>
      </c>
      <c r="B1320" t="str">
        <f>"SAÍDA"</f>
        <v>SAÍDA</v>
      </c>
      <c r="C1320" t="str">
        <f>"PIX"</f>
        <v>PIX</v>
      </c>
      <c r="D1320" t="str">
        <f>"21296"</f>
        <v>21296</v>
      </c>
      <c r="E1320" t="str">
        <f>"1"</f>
        <v>1</v>
      </c>
      <c r="F1320" t="str">
        <f t="shared" si="225"/>
        <v>COM</v>
      </c>
      <c r="G1320" t="str">
        <f>"RAUL SILVA ROMAO (727)"</f>
        <v>RAUL SILVA ROMAO (727)</v>
      </c>
      <c r="H1320" t="str">
        <f>"Serv.Prest. 25/08/2025 a 31/08/2025 - PIX: CPF - CHAVE: 878.196.869-87"</f>
        <v>Serv.Prest. 25/08/2025 a 31/08/2025 - PIX: CPF - CHAVE: 878.196.869-87</v>
      </c>
      <c r="I1320" t="str">
        <f>("11/09/2025")</f>
        <v>11/09/2025</v>
      </c>
      <c r="J1320" t="str">
        <f>("02/09/2025")</f>
        <v>02/09/2025</v>
      </c>
      <c r="K1320" t="str">
        <f>("10/09/2025")</f>
        <v>10/09/2025</v>
      </c>
      <c r="L1320">
        <v>20</v>
      </c>
      <c r="M1320">
        <v>20</v>
      </c>
      <c r="N1320">
        <v>109</v>
      </c>
      <c r="O1320" t="str">
        <f>"PAGAMENTO DE ENTREGADORES"</f>
        <v>PAGAMENTO DE ENTREGADORES</v>
      </c>
      <c r="P1320">
        <v>20</v>
      </c>
      <c r="S1320" t="str">
        <f>"CAIXA MOVIMENTAÇÃO OPERACIONAL (132)"</f>
        <v>CAIXA MOVIMENTAÇÃO OPERACIONAL (132)</v>
      </c>
      <c r="T1320">
        <v>17985</v>
      </c>
      <c r="U1320">
        <v>21866</v>
      </c>
      <c r="V1320" t="s">
        <v>48</v>
      </c>
    </row>
    <row r="1321" spans="1:22">
      <c r="A1321" t="str">
        <f t="shared" si="222"/>
        <v>10/09/2025</v>
      </c>
      <c r="B1321" t="str">
        <f>"SAÍDA"</f>
        <v>SAÍDA</v>
      </c>
      <c r="C1321" t="str">
        <f>"PIX"</f>
        <v>PIX</v>
      </c>
      <c r="D1321" t="str">
        <f>"21296"</f>
        <v>21296</v>
      </c>
      <c r="E1321" t="str">
        <f>"1"</f>
        <v>1</v>
      </c>
      <c r="F1321" t="str">
        <f t="shared" si="225"/>
        <v>COM</v>
      </c>
      <c r="G1321" t="str">
        <f>"RAUL SILVA ROMAO (727)"</f>
        <v>RAUL SILVA ROMAO (727)</v>
      </c>
      <c r="H1321" t="s">
        <v>426</v>
      </c>
      <c r="I1321" t="str">
        <f>("11/09/2025")</f>
        <v>11/09/2025</v>
      </c>
      <c r="J1321" t="str">
        <f>("02/09/2025")</f>
        <v>02/09/2025</v>
      </c>
      <c r="K1321">
        <v>45910</v>
      </c>
      <c r="N1321">
        <v>109</v>
      </c>
      <c r="O1321" t="s">
        <v>24</v>
      </c>
      <c r="Q1321">
        <v>20</v>
      </c>
      <c r="R1321" t="str">
        <f>"AC FARMA - CID.ALTA (10166)"</f>
        <v>AC FARMA - CID.ALTA (10166)</v>
      </c>
      <c r="S1321" t="s">
        <v>48</v>
      </c>
      <c r="T1321">
        <v>17985</v>
      </c>
      <c r="U1321">
        <v>21866</v>
      </c>
      <c r="V1321" t="s">
        <v>48</v>
      </c>
    </row>
    <row r="1322" spans="1:22">
      <c r="A1322" t="str">
        <f t="shared" si="222"/>
        <v>10/09/2025</v>
      </c>
      <c r="B1322" t="str">
        <f>"SAÍDA"</f>
        <v>SAÍDA</v>
      </c>
      <c r="C1322" t="str">
        <f>"PIX"</f>
        <v>PIX</v>
      </c>
      <c r="D1322" t="str">
        <f>"21251"</f>
        <v>21251</v>
      </c>
      <c r="E1322" t="str">
        <f>"1"</f>
        <v>1</v>
      </c>
      <c r="F1322" t="str">
        <f t="shared" si="225"/>
        <v>COM</v>
      </c>
      <c r="G1322" t="str">
        <f>"RICARDO NASCIMENTO DE SOUZA (146)"</f>
        <v>RICARDO NASCIMENTO DE SOUZA (146)</v>
      </c>
      <c r="H1322" t="str">
        <f>"Serv.Prest. 25/08/2025 a 31/08/2025 - PIX: CELULAR - CHAVE: (31) 98891-8440"</f>
        <v>Serv.Prest. 25/08/2025 a 31/08/2025 - PIX: CELULAR - CHAVE: (31) 98891-8440</v>
      </c>
      <c r="I1322" t="str">
        <f>("11/09/2025")</f>
        <v>11/09/2025</v>
      </c>
      <c r="J1322" t="str">
        <f>("02/09/2025")</f>
        <v>02/09/2025</v>
      </c>
      <c r="K1322" t="str">
        <f>("10/09/2025")</f>
        <v>10/09/2025</v>
      </c>
      <c r="L1322">
        <v>20</v>
      </c>
      <c r="M1322">
        <v>20</v>
      </c>
      <c r="N1322">
        <v>109</v>
      </c>
      <c r="O1322" t="str">
        <f>"PAGAMENTO DE ENTREGADORES"</f>
        <v>PAGAMENTO DE ENTREGADORES</v>
      </c>
      <c r="P1322">
        <v>20</v>
      </c>
      <c r="S1322" t="str">
        <f>"CAIXA MOVIMENTAÇÃO OPERACIONAL (132)"</f>
        <v>CAIXA MOVIMENTAÇÃO OPERACIONAL (132)</v>
      </c>
      <c r="T1322">
        <v>17986</v>
      </c>
      <c r="U1322">
        <v>21867</v>
      </c>
      <c r="V1322" t="s">
        <v>48</v>
      </c>
    </row>
    <row r="1323" spans="1:22">
      <c r="A1323" t="str">
        <f t="shared" si="222"/>
        <v>10/09/2025</v>
      </c>
      <c r="B1323" t="str">
        <f>"SAÍDA"</f>
        <v>SAÍDA</v>
      </c>
      <c r="C1323" t="str">
        <f>"PIX"</f>
        <v>PIX</v>
      </c>
      <c r="D1323" t="str">
        <f>"21251"</f>
        <v>21251</v>
      </c>
      <c r="E1323" t="str">
        <f>"1"</f>
        <v>1</v>
      </c>
      <c r="F1323" t="str">
        <f t="shared" si="225"/>
        <v>COM</v>
      </c>
      <c r="G1323" t="str">
        <f>"RICARDO NASCIMENTO DE SOUZA (146)"</f>
        <v>RICARDO NASCIMENTO DE SOUZA (146)</v>
      </c>
      <c r="H1323" t="s">
        <v>427</v>
      </c>
      <c r="I1323" t="str">
        <f>("11/09/2025")</f>
        <v>11/09/2025</v>
      </c>
      <c r="J1323" t="str">
        <f>("02/09/2025")</f>
        <v>02/09/2025</v>
      </c>
      <c r="K1323">
        <v>45910</v>
      </c>
      <c r="N1323">
        <v>109</v>
      </c>
      <c r="O1323" t="s">
        <v>24</v>
      </c>
      <c r="Q1323">
        <v>20</v>
      </c>
      <c r="R1323" t="str">
        <f>"FARMÁCIA INDIANA LJ 19 (10012)"</f>
        <v>FARMÁCIA INDIANA LJ 19 (10012)</v>
      </c>
      <c r="S1323" t="s">
        <v>48</v>
      </c>
      <c r="T1323">
        <v>17986</v>
      </c>
      <c r="U1323">
        <v>21867</v>
      </c>
      <c r="V1323" t="s">
        <v>48</v>
      </c>
    </row>
    <row r="1324" spans="1:22">
      <c r="A1324" t="str">
        <f t="shared" si="222"/>
        <v>10/09/2025</v>
      </c>
      <c r="B1324" t="str">
        <f>"ENTRADA"</f>
        <v>ENTRADA</v>
      </c>
      <c r="C1324" t="str">
        <f>"DINHEIRO"</f>
        <v>DINHEIRO</v>
      </c>
      <c r="D1324" t="str">
        <f>"14"</f>
        <v>14</v>
      </c>
      <c r="E1324" t="str">
        <f>"33"</f>
        <v>33</v>
      </c>
      <c r="F1324" t="str">
        <f t="shared" si="225"/>
        <v>COM</v>
      </c>
      <c r="G1324" t="str">
        <f>"RICARDO NASCIMENTO DE SOUZA (146)"</f>
        <v>RICARDO NASCIMENTO DE SOUZA (146)</v>
      </c>
      <c r="H1324" t="str">
        <f>"DESCONTO COTA COOPERADO"</f>
        <v>DESCONTO COTA COOPERADO</v>
      </c>
      <c r="I1324" t="str">
        <f>("16/09/2025")</f>
        <v>16/09/2025</v>
      </c>
      <c r="J1324" t="str">
        <f>("16/01/2025")</f>
        <v>16/01/2025</v>
      </c>
      <c r="K1324" t="str">
        <f>("10/09/2025")</f>
        <v>10/09/2025</v>
      </c>
      <c r="L1324">
        <v>20</v>
      </c>
      <c r="M1324">
        <v>20</v>
      </c>
      <c r="N1324">
        <v>106</v>
      </c>
      <c r="O1324" t="str">
        <f>"ENTRADA DE CAPITAL"</f>
        <v>ENTRADA DE CAPITAL</v>
      </c>
      <c r="P1324">
        <v>20</v>
      </c>
      <c r="S1324" t="str">
        <f>"ENTRADA DE CAPITAL (106)"</f>
        <v>ENTRADA DE CAPITAL (106)</v>
      </c>
      <c r="T1324">
        <v>17987</v>
      </c>
      <c r="U1324">
        <v>7381</v>
      </c>
      <c r="V1324" t="s">
        <v>48</v>
      </c>
    </row>
    <row r="1325" spans="1:22">
      <c r="A1325" t="str">
        <f t="shared" si="222"/>
        <v>10/09/2025</v>
      </c>
      <c r="B1325" t="str">
        <f>"ENTRADA"</f>
        <v>ENTRADA</v>
      </c>
      <c r="C1325" t="str">
        <f>"DINHEIRO"</f>
        <v>DINHEIRO</v>
      </c>
      <c r="D1325" t="str">
        <f>"14"</f>
        <v>14</v>
      </c>
      <c r="E1325" t="str">
        <f>"33"</f>
        <v>33</v>
      </c>
      <c r="F1325" t="str">
        <f t="shared" si="225"/>
        <v>COM</v>
      </c>
      <c r="G1325" t="str">
        <f>"RICARDO NASCIMENTO DE SOUZA (146)"</f>
        <v>RICARDO NASCIMENTO DE SOUZA (146)</v>
      </c>
      <c r="H1325" t="s">
        <v>309</v>
      </c>
      <c r="I1325" t="str">
        <f>("16/09/2025")</f>
        <v>16/09/2025</v>
      </c>
      <c r="J1325" t="str">
        <f>("16/01/2025")</f>
        <v>16/01/2025</v>
      </c>
      <c r="K1325">
        <v>45910</v>
      </c>
      <c r="N1325">
        <v>106</v>
      </c>
      <c r="O1325" t="s">
        <v>51</v>
      </c>
      <c r="Q1325">
        <v>20</v>
      </c>
      <c r="R1325" t="str">
        <f>"RICARDO NASCIMENTO DE SOUZA (146)"</f>
        <v>RICARDO NASCIMENTO DE SOUZA (146)</v>
      </c>
      <c r="S1325" t="s">
        <v>52</v>
      </c>
      <c r="T1325">
        <v>17987</v>
      </c>
      <c r="U1325">
        <v>7381</v>
      </c>
      <c r="V1325" t="s">
        <v>48</v>
      </c>
    </row>
    <row r="1326" spans="1:22">
      <c r="A1326" t="str">
        <f t="shared" si="222"/>
        <v>10/09/2025</v>
      </c>
      <c r="B1326" t="str">
        <f>"SAÍDA"</f>
        <v>SAÍDA</v>
      </c>
      <c r="C1326" t="str">
        <f>"PIX"</f>
        <v>PIX</v>
      </c>
      <c r="D1326" t="str">
        <f>"21665"</f>
        <v>21665</v>
      </c>
      <c r="E1326" t="str">
        <f>"1"</f>
        <v>1</v>
      </c>
      <c r="F1326" t="str">
        <f t="shared" si="225"/>
        <v>COM</v>
      </c>
      <c r="G1326" t="str">
        <f>"RICHARD HENRIQUE DA SILVA (244)"</f>
        <v>RICHARD HENRIQUE DA SILVA (244)</v>
      </c>
      <c r="H1326" t="str">
        <f>"Serv.Prest. 01/09/2025 a 07/09/2025 - PIX: CELULAR - CHAVE: (37) 99197-6834"</f>
        <v>Serv.Prest. 01/09/2025 a 07/09/2025 - PIX: CELULAR - CHAVE: (37) 99197-6834</v>
      </c>
      <c r="I1326" t="str">
        <f>("11/09/2025")</f>
        <v>11/09/2025</v>
      </c>
      <c r="J1326" t="str">
        <f>("09/09/2025")</f>
        <v>09/09/2025</v>
      </c>
      <c r="K1326" t="str">
        <f>("10/09/2025")</f>
        <v>10/09/2025</v>
      </c>
      <c r="L1326">
        <v>20</v>
      </c>
      <c r="M1326">
        <v>20</v>
      </c>
      <c r="N1326">
        <v>109</v>
      </c>
      <c r="O1326" t="str">
        <f>"PAGAMENTO DE ENTREGADORES"</f>
        <v>PAGAMENTO DE ENTREGADORES</v>
      </c>
      <c r="P1326">
        <v>20</v>
      </c>
      <c r="S1326" t="str">
        <f>"CAIXA MOVIMENTAÇÃO OPERACIONAL (132)"</f>
        <v>CAIXA MOVIMENTAÇÃO OPERACIONAL (132)</v>
      </c>
      <c r="T1326">
        <v>17988</v>
      </c>
      <c r="U1326">
        <v>21868</v>
      </c>
      <c r="V1326" t="s">
        <v>48</v>
      </c>
    </row>
    <row r="1327" spans="1:22">
      <c r="A1327" t="str">
        <f t="shared" si="222"/>
        <v>10/09/2025</v>
      </c>
      <c r="B1327" t="str">
        <f>"SAÍDA"</f>
        <v>SAÍDA</v>
      </c>
      <c r="C1327" t="str">
        <f>"PIX"</f>
        <v>PIX</v>
      </c>
      <c r="D1327" t="str">
        <f>"21665"</f>
        <v>21665</v>
      </c>
      <c r="E1327" t="str">
        <f>"1"</f>
        <v>1</v>
      </c>
      <c r="F1327" t="str">
        <f t="shared" si="225"/>
        <v>COM</v>
      </c>
      <c r="G1327" t="str">
        <f>"RICHARD HENRIQUE DA SILVA (244)"</f>
        <v>RICHARD HENRIQUE DA SILVA (244)</v>
      </c>
      <c r="H1327" t="s">
        <v>428</v>
      </c>
      <c r="I1327" t="str">
        <f>("11/09/2025")</f>
        <v>11/09/2025</v>
      </c>
      <c r="J1327" t="str">
        <f>("09/09/2025")</f>
        <v>09/09/2025</v>
      </c>
      <c r="K1327">
        <v>45910</v>
      </c>
      <c r="N1327">
        <v>109</v>
      </c>
      <c r="O1327" t="s">
        <v>24</v>
      </c>
      <c r="Q1327">
        <v>20</v>
      </c>
      <c r="R1327" t="str">
        <f>"DROGARIA POUPA MINAS (ULTRAMINAS) 1 (10181)"</f>
        <v>DROGARIA POUPA MINAS (ULTRAMINAS) 1 (10181)</v>
      </c>
      <c r="S1327" t="s">
        <v>48</v>
      </c>
      <c r="T1327">
        <v>17988</v>
      </c>
      <c r="U1327">
        <v>21868</v>
      </c>
      <c r="V1327" t="s">
        <v>48</v>
      </c>
    </row>
    <row r="1328" spans="1:22">
      <c r="A1328" t="str">
        <f t="shared" si="222"/>
        <v>10/09/2025</v>
      </c>
      <c r="B1328" t="str">
        <f>"ENTRADA"</f>
        <v>ENTRADA</v>
      </c>
      <c r="C1328" t="str">
        <f>"DINHEIRO"</f>
        <v>DINHEIRO</v>
      </c>
      <c r="D1328" t="str">
        <f>"07"</f>
        <v>07</v>
      </c>
      <c r="E1328" t="str">
        <f>"33"</f>
        <v>33</v>
      </c>
      <c r="F1328" t="str">
        <f t="shared" si="225"/>
        <v>COM</v>
      </c>
      <c r="G1328" t="str">
        <f>"RICHARD HENRIQUE DA SILVA (244)"</f>
        <v>RICHARD HENRIQUE DA SILVA (244)</v>
      </c>
      <c r="H1328" t="str">
        <f>"DESCONTO COTA COOPERADO"</f>
        <v>DESCONTO COTA COOPERADO</v>
      </c>
      <c r="I1328" t="str">
        <f>("16/09/2025")</f>
        <v>16/09/2025</v>
      </c>
      <c r="J1328" t="str">
        <f>("16/01/2025")</f>
        <v>16/01/2025</v>
      </c>
      <c r="K1328" t="str">
        <f>("10/09/2025")</f>
        <v>10/09/2025</v>
      </c>
      <c r="L1328">
        <v>20</v>
      </c>
      <c r="M1328">
        <v>20</v>
      </c>
      <c r="N1328">
        <v>106</v>
      </c>
      <c r="O1328" t="str">
        <f>"ENTRADA DE CAPITAL"</f>
        <v>ENTRADA DE CAPITAL</v>
      </c>
      <c r="P1328">
        <v>20</v>
      </c>
      <c r="S1328" t="str">
        <f>"ENTRADA DE CAPITAL (106)"</f>
        <v>ENTRADA DE CAPITAL (106)</v>
      </c>
      <c r="T1328">
        <v>17989</v>
      </c>
      <c r="U1328">
        <v>7394</v>
      </c>
      <c r="V1328" t="s">
        <v>48</v>
      </c>
    </row>
    <row r="1329" spans="1:22">
      <c r="A1329" t="str">
        <f t="shared" si="222"/>
        <v>10/09/2025</v>
      </c>
      <c r="B1329" t="str">
        <f>"ENTRADA"</f>
        <v>ENTRADA</v>
      </c>
      <c r="C1329" t="str">
        <f>"DINHEIRO"</f>
        <v>DINHEIRO</v>
      </c>
      <c r="D1329" t="str">
        <f>"07"</f>
        <v>07</v>
      </c>
      <c r="E1329" t="str">
        <f>"33"</f>
        <v>33</v>
      </c>
      <c r="F1329" t="str">
        <f t="shared" si="225"/>
        <v>COM</v>
      </c>
      <c r="G1329" t="str">
        <f>"RICHARD HENRIQUE DA SILVA (244)"</f>
        <v>RICHARD HENRIQUE DA SILVA (244)</v>
      </c>
      <c r="H1329" t="s">
        <v>309</v>
      </c>
      <c r="I1329" t="str">
        <f>("16/09/2025")</f>
        <v>16/09/2025</v>
      </c>
      <c r="J1329" t="str">
        <f>("16/01/2025")</f>
        <v>16/01/2025</v>
      </c>
      <c r="K1329">
        <v>45910</v>
      </c>
      <c r="N1329">
        <v>106</v>
      </c>
      <c r="O1329" t="s">
        <v>51</v>
      </c>
      <c r="Q1329">
        <v>20</v>
      </c>
      <c r="R1329" t="str">
        <f>"RICHARD HENRIQUE DA SILVA (244)"</f>
        <v>RICHARD HENRIQUE DA SILVA (244)</v>
      </c>
      <c r="S1329" t="s">
        <v>52</v>
      </c>
      <c r="T1329">
        <v>17989</v>
      </c>
      <c r="U1329">
        <v>7394</v>
      </c>
      <c r="V1329" t="s">
        <v>48</v>
      </c>
    </row>
    <row r="1330" spans="1:22">
      <c r="A1330" t="str">
        <f t="shared" si="222"/>
        <v>10/09/2025</v>
      </c>
      <c r="B1330" t="str">
        <f>"SAÍDA"</f>
        <v>SAÍDA</v>
      </c>
      <c r="C1330" t="str">
        <f>"PIX"</f>
        <v>PIX</v>
      </c>
      <c r="D1330" t="str">
        <f>"21666"</f>
        <v>21666</v>
      </c>
      <c r="E1330" t="str">
        <f>"1"</f>
        <v>1</v>
      </c>
      <c r="F1330" t="str">
        <f t="shared" si="225"/>
        <v>COM</v>
      </c>
      <c r="G1330" t="str">
        <f>"ROGERIO AUGUSTO FERREIRA (649)"</f>
        <v>ROGERIO AUGUSTO FERREIRA (649)</v>
      </c>
      <c r="H1330" t="str">
        <f>"Serv.Prest. 01/09/2025 a 07/09/2025 - PIX: CPF - CHAVE: 950.176.406-06"</f>
        <v>Serv.Prest. 01/09/2025 a 07/09/2025 - PIX: CPF - CHAVE: 950.176.406-06</v>
      </c>
      <c r="I1330" t="str">
        <f>("11/09/2025")</f>
        <v>11/09/2025</v>
      </c>
      <c r="J1330" t="str">
        <f>("09/09/2025")</f>
        <v>09/09/2025</v>
      </c>
      <c r="K1330" t="str">
        <f>("10/09/2025")</f>
        <v>10/09/2025</v>
      </c>
      <c r="L1330">
        <v>20</v>
      </c>
      <c r="M1330">
        <v>20</v>
      </c>
      <c r="N1330">
        <v>109</v>
      </c>
      <c r="O1330" t="str">
        <f>"PAGAMENTO DE ENTREGADORES"</f>
        <v>PAGAMENTO DE ENTREGADORES</v>
      </c>
      <c r="P1330">
        <v>20</v>
      </c>
      <c r="S1330" t="str">
        <f>"CAIXA MOVIMENTAÇÃO OPERACIONAL (132)"</f>
        <v>CAIXA MOVIMENTAÇÃO OPERACIONAL (132)</v>
      </c>
      <c r="T1330">
        <v>17990</v>
      </c>
      <c r="U1330">
        <v>21869</v>
      </c>
      <c r="V1330" t="s">
        <v>48</v>
      </c>
    </row>
    <row r="1331" spans="1:22">
      <c r="A1331" t="str">
        <f t="shared" si="222"/>
        <v>10/09/2025</v>
      </c>
      <c r="B1331" t="str">
        <f>"SAÍDA"</f>
        <v>SAÍDA</v>
      </c>
      <c r="C1331" t="str">
        <f>"PIX"</f>
        <v>PIX</v>
      </c>
      <c r="D1331" t="str">
        <f>"21666"</f>
        <v>21666</v>
      </c>
      <c r="E1331" t="str">
        <f>"1"</f>
        <v>1</v>
      </c>
      <c r="F1331" t="str">
        <f t="shared" si="225"/>
        <v>COM</v>
      </c>
      <c r="G1331" t="str">
        <f>"ROGERIO AUGUSTO FERREIRA (649)"</f>
        <v>ROGERIO AUGUSTO FERREIRA (649)</v>
      </c>
      <c r="H1331" t="s">
        <v>429</v>
      </c>
      <c r="I1331" t="str">
        <f>("11/09/2025")</f>
        <v>11/09/2025</v>
      </c>
      <c r="J1331" t="str">
        <f>("09/09/2025")</f>
        <v>09/09/2025</v>
      </c>
      <c r="K1331">
        <v>45910</v>
      </c>
      <c r="N1331">
        <v>109</v>
      </c>
      <c r="O1331" t="s">
        <v>24</v>
      </c>
      <c r="Q1331">
        <v>20</v>
      </c>
      <c r="R1331" t="str">
        <f>"DROGARIA POUPA MINAS (ULTRAMINAS) 1 (10181)"</f>
        <v>DROGARIA POUPA MINAS (ULTRAMINAS) 1 (10181)</v>
      </c>
      <c r="S1331" t="s">
        <v>48</v>
      </c>
      <c r="T1331">
        <v>17990</v>
      </c>
      <c r="U1331">
        <v>21869</v>
      </c>
      <c r="V1331" t="s">
        <v>48</v>
      </c>
    </row>
    <row r="1332" spans="1:22">
      <c r="A1332" t="str">
        <f t="shared" si="222"/>
        <v>10/09/2025</v>
      </c>
      <c r="B1332" t="str">
        <f>"ENTRADA"</f>
        <v>ENTRADA</v>
      </c>
      <c r="C1332" t="str">
        <f>"DINHEIRO"</f>
        <v>DINHEIRO</v>
      </c>
      <c r="D1332" t="str">
        <f>"649"</f>
        <v>649</v>
      </c>
      <c r="E1332" t="str">
        <f>"8"</f>
        <v>8</v>
      </c>
      <c r="F1332" t="str">
        <f t="shared" si="225"/>
        <v>COM</v>
      </c>
      <c r="G1332" t="str">
        <f>"ROGERIO AUGUSTO FERREIRA (649)"</f>
        <v>ROGERIO AUGUSTO FERREIRA (649)</v>
      </c>
      <c r="H1332" t="str">
        <f>"COTAS COOPERATIVA"</f>
        <v>COTAS COOPERATIVA</v>
      </c>
      <c r="I1332" t="str">
        <f>("13/09/2025")</f>
        <v>13/09/2025</v>
      </c>
      <c r="J1332" t="str">
        <f>("13/02/2025")</f>
        <v>13/02/2025</v>
      </c>
      <c r="K1332" t="str">
        <f>("10/09/2025")</f>
        <v>10/09/2025</v>
      </c>
      <c r="L1332">
        <v>20</v>
      </c>
      <c r="M1332">
        <v>20</v>
      </c>
      <c r="N1332">
        <v>106</v>
      </c>
      <c r="O1332" t="str">
        <f>"ENTRADA DE CAPITAL"</f>
        <v>ENTRADA DE CAPITAL</v>
      </c>
      <c r="P1332">
        <v>20</v>
      </c>
      <c r="S1332" t="str">
        <f>"ENTRADA DE CAPITAL (106)"</f>
        <v>ENTRADA DE CAPITAL (106)</v>
      </c>
      <c r="T1332">
        <v>17991</v>
      </c>
      <c r="U1332">
        <v>9593</v>
      </c>
      <c r="V1332" t="s">
        <v>48</v>
      </c>
    </row>
    <row r="1333" spans="1:22">
      <c r="A1333" t="str">
        <f t="shared" si="222"/>
        <v>10/09/2025</v>
      </c>
      <c r="B1333" t="str">
        <f>"ENTRADA"</f>
        <v>ENTRADA</v>
      </c>
      <c r="C1333" t="str">
        <f>"DINHEIRO"</f>
        <v>DINHEIRO</v>
      </c>
      <c r="D1333" t="str">
        <f>"649"</f>
        <v>649</v>
      </c>
      <c r="E1333" t="str">
        <f>"8"</f>
        <v>8</v>
      </c>
      <c r="F1333" t="str">
        <f t="shared" si="225"/>
        <v>COM</v>
      </c>
      <c r="G1333" t="str">
        <f>"ROGERIO AUGUSTO FERREIRA (649)"</f>
        <v>ROGERIO AUGUSTO FERREIRA (649)</v>
      </c>
      <c r="H1333" t="s">
        <v>318</v>
      </c>
      <c r="I1333" t="str">
        <f>("13/09/2025")</f>
        <v>13/09/2025</v>
      </c>
      <c r="J1333" t="str">
        <f>("13/02/2025")</f>
        <v>13/02/2025</v>
      </c>
      <c r="K1333">
        <v>45910</v>
      </c>
      <c r="N1333">
        <v>106</v>
      </c>
      <c r="O1333" t="s">
        <v>51</v>
      </c>
      <c r="Q1333">
        <v>20</v>
      </c>
      <c r="R1333" t="str">
        <f>"ROGERIO AUGUSTO FERREIRA (649)"</f>
        <v>ROGERIO AUGUSTO FERREIRA (649)</v>
      </c>
      <c r="S1333" t="s">
        <v>52</v>
      </c>
      <c r="T1333">
        <v>17991</v>
      </c>
      <c r="U1333">
        <v>9593</v>
      </c>
      <c r="V1333" t="s">
        <v>48</v>
      </c>
    </row>
    <row r="1334" spans="1:22">
      <c r="A1334" t="str">
        <f t="shared" ref="A1334:A1397" si="226">("10/09/2025")</f>
        <v>10/09/2025</v>
      </c>
      <c r="B1334" t="str">
        <f>"ENTRADA"</f>
        <v>ENTRADA</v>
      </c>
      <c r="C1334" t="str">
        <f>"DINHEIRO"</f>
        <v>DINHEIRO</v>
      </c>
      <c r="D1334" t="str">
        <f>"725"</f>
        <v>725</v>
      </c>
      <c r="E1334" t="str">
        <f>"5"</f>
        <v>5</v>
      </c>
      <c r="F1334" t="str">
        <f t="shared" si="225"/>
        <v>COM</v>
      </c>
      <c r="G1334" t="str">
        <f>"SADRAK ENOK BORGES (725)"</f>
        <v>SADRAK ENOK BORGES (725)</v>
      </c>
      <c r="H1334" t="str">
        <f>"COTA COOPERATIVA"</f>
        <v>COTA COOPERATIVA</v>
      </c>
      <c r="I1334" t="str">
        <f>("08/09/2025")</f>
        <v>08/09/2025</v>
      </c>
      <c r="J1334" t="str">
        <f>("04/04/2025")</f>
        <v>04/04/2025</v>
      </c>
      <c r="K1334" t="str">
        <f>("10/09/2025")</f>
        <v>10/09/2025</v>
      </c>
      <c r="L1334">
        <v>20</v>
      </c>
      <c r="M1334">
        <v>20</v>
      </c>
      <c r="N1334">
        <v>106</v>
      </c>
      <c r="O1334" t="str">
        <f>"ENTRADA DE CAPITAL"</f>
        <v>ENTRADA DE CAPITAL</v>
      </c>
      <c r="P1334">
        <v>20</v>
      </c>
      <c r="S1334" t="str">
        <f>"ENTRADA DE CAPITAL (106)"</f>
        <v>ENTRADA DE CAPITAL (106)</v>
      </c>
      <c r="T1334">
        <v>17992</v>
      </c>
      <c r="U1334">
        <v>14423</v>
      </c>
      <c r="V1334" t="s">
        <v>48</v>
      </c>
    </row>
    <row r="1335" spans="1:22">
      <c r="A1335" t="str">
        <f t="shared" si="226"/>
        <v>10/09/2025</v>
      </c>
      <c r="B1335" t="str">
        <f>"ENTRADA"</f>
        <v>ENTRADA</v>
      </c>
      <c r="C1335" t="str">
        <f>"DINHEIRO"</f>
        <v>DINHEIRO</v>
      </c>
      <c r="D1335" t="str">
        <f>"725"</f>
        <v>725</v>
      </c>
      <c r="E1335" t="str">
        <f>"5"</f>
        <v>5</v>
      </c>
      <c r="F1335" t="str">
        <f t="shared" si="225"/>
        <v>COM</v>
      </c>
      <c r="G1335" t="str">
        <f>"SADRAK ENOK BORGES (725)"</f>
        <v>SADRAK ENOK BORGES (725)</v>
      </c>
      <c r="H1335" t="s">
        <v>50</v>
      </c>
      <c r="I1335" t="str">
        <f>("08/09/2025")</f>
        <v>08/09/2025</v>
      </c>
      <c r="J1335" t="str">
        <f>("04/04/2025")</f>
        <v>04/04/2025</v>
      </c>
      <c r="K1335">
        <v>45910</v>
      </c>
      <c r="N1335">
        <v>106</v>
      </c>
      <c r="O1335" t="s">
        <v>51</v>
      </c>
      <c r="Q1335">
        <v>20</v>
      </c>
      <c r="R1335" t="str">
        <f>"SADRAK ENOK BORGES (725)"</f>
        <v>SADRAK ENOK BORGES (725)</v>
      </c>
      <c r="S1335" t="s">
        <v>52</v>
      </c>
      <c r="T1335">
        <v>17992</v>
      </c>
      <c r="U1335">
        <v>14423</v>
      </c>
      <c r="V1335" t="s">
        <v>48</v>
      </c>
    </row>
    <row r="1336" spans="1:22">
      <c r="A1336" t="str">
        <f t="shared" si="226"/>
        <v>10/09/2025</v>
      </c>
      <c r="B1336" t="str">
        <f>"SAÍDA"</f>
        <v>SAÍDA</v>
      </c>
      <c r="C1336" t="str">
        <f>"PIX"</f>
        <v>PIX</v>
      </c>
      <c r="D1336" t="str">
        <f>"21440"</f>
        <v>21440</v>
      </c>
      <c r="E1336" t="str">
        <f>"1"</f>
        <v>1</v>
      </c>
      <c r="F1336" t="str">
        <f t="shared" si="225"/>
        <v>COM</v>
      </c>
      <c r="G1336" t="str">
        <f>"SADRAK ENOKES BORGES (725)"</f>
        <v>SADRAK ENOKES BORGES (725)</v>
      </c>
      <c r="H1336" t="str">
        <f>"Serv.Prest. 01/09/2025 a 07/09/2025 - PIX: CPF - CHAVE: 128.367.756-37"</f>
        <v>Serv.Prest. 01/09/2025 a 07/09/2025 - PIX: CPF - CHAVE: 128.367.756-37</v>
      </c>
      <c r="I1336" t="str">
        <f>("11/09/2025")</f>
        <v>11/09/2025</v>
      </c>
      <c r="J1336" t="str">
        <f>("08/09/2025")</f>
        <v>08/09/2025</v>
      </c>
      <c r="K1336" t="str">
        <f>("10/09/2025")</f>
        <v>10/09/2025</v>
      </c>
      <c r="L1336">
        <v>20</v>
      </c>
      <c r="M1336">
        <v>20</v>
      </c>
      <c r="N1336">
        <v>109</v>
      </c>
      <c r="O1336" t="str">
        <f>"PAGAMENTO DE ENTREGADORES"</f>
        <v>PAGAMENTO DE ENTREGADORES</v>
      </c>
      <c r="P1336">
        <v>20</v>
      </c>
      <c r="S1336" t="str">
        <f>"CAIXA MOVIMENTAÇÃO OPERACIONAL (132)"</f>
        <v>CAIXA MOVIMENTAÇÃO OPERACIONAL (132)</v>
      </c>
      <c r="T1336">
        <v>17993</v>
      </c>
      <c r="U1336">
        <v>21870</v>
      </c>
      <c r="V1336" t="s">
        <v>48</v>
      </c>
    </row>
    <row r="1337" spans="1:22">
      <c r="A1337" t="str">
        <f t="shared" si="226"/>
        <v>10/09/2025</v>
      </c>
      <c r="B1337" t="str">
        <f>"SAÍDA"</f>
        <v>SAÍDA</v>
      </c>
      <c r="C1337" t="str">
        <f>"PIX"</f>
        <v>PIX</v>
      </c>
      <c r="D1337" t="str">
        <f>"21440"</f>
        <v>21440</v>
      </c>
      <c r="E1337" t="str">
        <f>"1"</f>
        <v>1</v>
      </c>
      <c r="F1337" t="str">
        <f t="shared" si="225"/>
        <v>COM</v>
      </c>
      <c r="G1337" t="str">
        <f>"SADRAK ENOKES BORGES (725)"</f>
        <v>SADRAK ENOKES BORGES (725)</v>
      </c>
      <c r="H1337" t="s">
        <v>430</v>
      </c>
      <c r="I1337" t="str">
        <f>("11/09/2025")</f>
        <v>11/09/2025</v>
      </c>
      <c r="J1337" t="str">
        <f>("08/09/2025")</f>
        <v>08/09/2025</v>
      </c>
      <c r="K1337">
        <v>45910</v>
      </c>
      <c r="N1337">
        <v>109</v>
      </c>
      <c r="O1337" t="s">
        <v>24</v>
      </c>
      <c r="Q1337">
        <v>20</v>
      </c>
      <c r="R1337" t="str">
        <f>"ENTREFARMA (10164)"</f>
        <v>ENTREFARMA (10164)</v>
      </c>
      <c r="S1337" t="s">
        <v>48</v>
      </c>
      <c r="T1337">
        <v>17993</v>
      </c>
      <c r="U1337">
        <v>21870</v>
      </c>
      <c r="V1337" t="s">
        <v>48</v>
      </c>
    </row>
    <row r="1338" spans="1:22">
      <c r="A1338" t="str">
        <f t="shared" si="226"/>
        <v>10/09/2025</v>
      </c>
      <c r="B1338" t="str">
        <f>"SAÍDA"</f>
        <v>SAÍDA</v>
      </c>
      <c r="C1338" t="str">
        <f>"PIX"</f>
        <v>PIX</v>
      </c>
      <c r="D1338" t="str">
        <f>"21255"</f>
        <v>21255</v>
      </c>
      <c r="E1338" t="str">
        <f>"1"</f>
        <v>1</v>
      </c>
      <c r="F1338" t="str">
        <f t="shared" si="225"/>
        <v>COM</v>
      </c>
      <c r="G1338" t="str">
        <f>"SANRIO OLIVEIRA DO CARMO (579)"</f>
        <v>SANRIO OLIVEIRA DO CARMO (579)</v>
      </c>
      <c r="H1338" t="str">
        <f>"Serv.Prest. 25/08/2025 a 31/08/2025 - PIX: CPF - CHAVE: 118.731.976-75"</f>
        <v>Serv.Prest. 25/08/2025 a 31/08/2025 - PIX: CPF - CHAVE: 118.731.976-75</v>
      </c>
      <c r="I1338" t="str">
        <f>("11/09/2025")</f>
        <v>11/09/2025</v>
      </c>
      <c r="J1338" t="str">
        <f>("02/09/2025")</f>
        <v>02/09/2025</v>
      </c>
      <c r="K1338" t="str">
        <f>("10/09/2025")</f>
        <v>10/09/2025</v>
      </c>
      <c r="L1338">
        <v>20</v>
      </c>
      <c r="M1338">
        <v>20</v>
      </c>
      <c r="N1338">
        <v>109</v>
      </c>
      <c r="O1338" t="str">
        <f>"PAGAMENTO DE ENTREGADORES"</f>
        <v>PAGAMENTO DE ENTREGADORES</v>
      </c>
      <c r="P1338">
        <v>20</v>
      </c>
      <c r="S1338" t="str">
        <f>"CAIXA MOVIMENTAÇÃO OPERACIONAL (132)"</f>
        <v>CAIXA MOVIMENTAÇÃO OPERACIONAL (132)</v>
      </c>
      <c r="T1338">
        <v>17994</v>
      </c>
      <c r="U1338">
        <v>21871</v>
      </c>
      <c r="V1338" t="s">
        <v>48</v>
      </c>
    </row>
    <row r="1339" spans="1:22">
      <c r="A1339" t="str">
        <f t="shared" si="226"/>
        <v>10/09/2025</v>
      </c>
      <c r="B1339" t="str">
        <f>"SAÍDA"</f>
        <v>SAÍDA</v>
      </c>
      <c r="C1339" t="str">
        <f>"PIX"</f>
        <v>PIX</v>
      </c>
      <c r="D1339" t="str">
        <f>"21255"</f>
        <v>21255</v>
      </c>
      <c r="E1339" t="str">
        <f>"1"</f>
        <v>1</v>
      </c>
      <c r="F1339" t="str">
        <f t="shared" si="225"/>
        <v>COM</v>
      </c>
      <c r="G1339" t="str">
        <f>"SANRIO OLIVEIRA DO CARMO (579)"</f>
        <v>SANRIO OLIVEIRA DO CARMO (579)</v>
      </c>
      <c r="H1339" t="s">
        <v>431</v>
      </c>
      <c r="I1339" t="str">
        <f>("11/09/2025")</f>
        <v>11/09/2025</v>
      </c>
      <c r="J1339" t="str">
        <f>("02/09/2025")</f>
        <v>02/09/2025</v>
      </c>
      <c r="K1339">
        <v>45910</v>
      </c>
      <c r="N1339">
        <v>109</v>
      </c>
      <c r="O1339" t="s">
        <v>24</v>
      </c>
      <c r="Q1339">
        <v>20</v>
      </c>
      <c r="R1339" t="str">
        <f>"FARMÁCIA INDIANA LJ 152 (10069)"</f>
        <v>FARMÁCIA INDIANA LJ 152 (10069)</v>
      </c>
      <c r="S1339" t="s">
        <v>48</v>
      </c>
      <c r="T1339">
        <v>17994</v>
      </c>
      <c r="U1339">
        <v>21871</v>
      </c>
      <c r="V1339" t="s">
        <v>48</v>
      </c>
    </row>
    <row r="1340" spans="1:22">
      <c r="A1340" t="str">
        <f t="shared" si="226"/>
        <v>10/09/2025</v>
      </c>
      <c r="B1340" t="str">
        <f>"ENTRADA"</f>
        <v>ENTRADA</v>
      </c>
      <c r="C1340" t="str">
        <f>"DINHEIRO"</f>
        <v>DINHEIRO</v>
      </c>
      <c r="D1340" t="str">
        <f>"02"</f>
        <v>02</v>
      </c>
      <c r="E1340" t="str">
        <f>"33"</f>
        <v>33</v>
      </c>
      <c r="F1340" t="str">
        <f t="shared" si="225"/>
        <v>COM</v>
      </c>
      <c r="G1340" t="str">
        <f>"SANRIO OLIVEIRA DO CARMO (579)"</f>
        <v>SANRIO OLIVEIRA DO CARMO (579)</v>
      </c>
      <c r="H1340" t="str">
        <f>"DESCONTO COTA COOPERADO"</f>
        <v>DESCONTO COTA COOPERADO</v>
      </c>
      <c r="I1340" t="str">
        <f>("16/09/2025")</f>
        <v>16/09/2025</v>
      </c>
      <c r="J1340" t="str">
        <f>("16/01/2025")</f>
        <v>16/01/2025</v>
      </c>
      <c r="K1340" t="str">
        <f>("10/09/2025")</f>
        <v>10/09/2025</v>
      </c>
      <c r="L1340">
        <v>20</v>
      </c>
      <c r="M1340">
        <v>20</v>
      </c>
      <c r="N1340">
        <v>106</v>
      </c>
      <c r="O1340" t="str">
        <f>"ENTRADA DE CAPITAL"</f>
        <v>ENTRADA DE CAPITAL</v>
      </c>
      <c r="P1340">
        <v>20</v>
      </c>
      <c r="S1340" t="str">
        <f>"ENTRADA DE CAPITAL (106)"</f>
        <v>ENTRADA DE CAPITAL (106)</v>
      </c>
      <c r="T1340">
        <v>17995</v>
      </c>
      <c r="U1340">
        <v>7529</v>
      </c>
      <c r="V1340" t="s">
        <v>48</v>
      </c>
    </row>
    <row r="1341" spans="1:22">
      <c r="A1341" t="str">
        <f t="shared" si="226"/>
        <v>10/09/2025</v>
      </c>
      <c r="B1341" t="str">
        <f>"ENTRADA"</f>
        <v>ENTRADA</v>
      </c>
      <c r="C1341" t="str">
        <f>"DINHEIRO"</f>
        <v>DINHEIRO</v>
      </c>
      <c r="D1341" t="str">
        <f>"02"</f>
        <v>02</v>
      </c>
      <c r="E1341" t="str">
        <f>"33"</f>
        <v>33</v>
      </c>
      <c r="F1341" t="str">
        <f t="shared" si="225"/>
        <v>COM</v>
      </c>
      <c r="G1341" t="str">
        <f>"SANRIO OLIVEIRA DO CARMO (579)"</f>
        <v>SANRIO OLIVEIRA DO CARMO (579)</v>
      </c>
      <c r="H1341" t="s">
        <v>309</v>
      </c>
      <c r="I1341" t="str">
        <f>("16/09/2025")</f>
        <v>16/09/2025</v>
      </c>
      <c r="J1341" t="str">
        <f>("16/01/2025")</f>
        <v>16/01/2025</v>
      </c>
      <c r="K1341">
        <v>45910</v>
      </c>
      <c r="N1341">
        <v>106</v>
      </c>
      <c r="O1341" t="s">
        <v>51</v>
      </c>
      <c r="Q1341">
        <v>20</v>
      </c>
      <c r="R1341" t="str">
        <f>"SANRIO OLIVEIRA DO CARMO (579)"</f>
        <v>SANRIO OLIVEIRA DO CARMO (579)</v>
      </c>
      <c r="S1341" t="s">
        <v>52</v>
      </c>
      <c r="T1341">
        <v>17995</v>
      </c>
      <c r="U1341">
        <v>7529</v>
      </c>
      <c r="V1341" t="s">
        <v>48</v>
      </c>
    </row>
    <row r="1342" spans="1:22">
      <c r="A1342" t="str">
        <f t="shared" si="226"/>
        <v>10/09/2025</v>
      </c>
      <c r="B1342" t="str">
        <f>"SAÍDA"</f>
        <v>SAÍDA</v>
      </c>
      <c r="C1342" t="str">
        <f>"PIX"</f>
        <v>PIX</v>
      </c>
      <c r="D1342" t="str">
        <f>"21256"</f>
        <v>21256</v>
      </c>
      <c r="E1342" t="str">
        <f>"1"</f>
        <v>1</v>
      </c>
      <c r="F1342" t="str">
        <f t="shared" si="225"/>
        <v>COM</v>
      </c>
      <c r="G1342" t="str">
        <f t="shared" ref="G1342:G1347" si="227">"SEDNEY GOMES SOARES (87)"</f>
        <v>SEDNEY GOMES SOARES (87)</v>
      </c>
      <c r="H1342" t="str">
        <f>"Serv.Prest. 25/08/2025 a 31/08/2025 - PIX: CPF - CHAVE: 048.151.276-46"</f>
        <v>Serv.Prest. 25/08/2025 a 31/08/2025 - PIX: CPF - CHAVE: 048.151.276-46</v>
      </c>
      <c r="I1342" t="str">
        <f>("11/09/2025")</f>
        <v>11/09/2025</v>
      </c>
      <c r="J1342" t="str">
        <f>("02/09/2025")</f>
        <v>02/09/2025</v>
      </c>
      <c r="K1342" t="str">
        <f>("10/09/2025")</f>
        <v>10/09/2025</v>
      </c>
      <c r="L1342">
        <v>20</v>
      </c>
      <c r="M1342">
        <v>20</v>
      </c>
      <c r="N1342">
        <v>109</v>
      </c>
      <c r="O1342" t="str">
        <f>"PAGAMENTO DE ENTREGADORES"</f>
        <v>PAGAMENTO DE ENTREGADORES</v>
      </c>
      <c r="P1342">
        <v>20</v>
      </c>
      <c r="S1342" t="str">
        <f>"CAIXA MOVIMENTAÇÃO OPERACIONAL (132)"</f>
        <v>CAIXA MOVIMENTAÇÃO OPERACIONAL (132)</v>
      </c>
      <c r="T1342">
        <v>17996</v>
      </c>
      <c r="U1342">
        <v>21872</v>
      </c>
      <c r="V1342" t="s">
        <v>48</v>
      </c>
    </row>
    <row r="1343" spans="1:22">
      <c r="A1343" t="str">
        <f t="shared" si="226"/>
        <v>10/09/2025</v>
      </c>
      <c r="B1343" t="str">
        <f>"SAÍDA"</f>
        <v>SAÍDA</v>
      </c>
      <c r="C1343" t="str">
        <f>"PIX"</f>
        <v>PIX</v>
      </c>
      <c r="D1343" t="str">
        <f>"21256"</f>
        <v>21256</v>
      </c>
      <c r="E1343" t="str">
        <f>"1"</f>
        <v>1</v>
      </c>
      <c r="F1343" t="str">
        <f t="shared" si="225"/>
        <v>COM</v>
      </c>
      <c r="G1343" t="str">
        <f t="shared" si="227"/>
        <v>SEDNEY GOMES SOARES (87)</v>
      </c>
      <c r="H1343" t="s">
        <v>432</v>
      </c>
      <c r="I1343" t="str">
        <f>("11/09/2025")</f>
        <v>11/09/2025</v>
      </c>
      <c r="J1343" t="str">
        <f>("02/09/2025")</f>
        <v>02/09/2025</v>
      </c>
      <c r="K1343">
        <v>45910</v>
      </c>
      <c r="N1343">
        <v>109</v>
      </c>
      <c r="O1343" t="s">
        <v>24</v>
      </c>
      <c r="Q1343">
        <v>6.67</v>
      </c>
      <c r="R1343" t="str">
        <f>"FARMÁCIA INDIANA LJ 97 (10040)"</f>
        <v>FARMÁCIA INDIANA LJ 97 (10040)</v>
      </c>
      <c r="S1343" t="s">
        <v>48</v>
      </c>
      <c r="T1343">
        <v>17996</v>
      </c>
      <c r="U1343">
        <v>21872</v>
      </c>
      <c r="V1343" t="s">
        <v>48</v>
      </c>
    </row>
    <row r="1344" spans="1:22">
      <c r="A1344" t="str">
        <f t="shared" si="226"/>
        <v>10/09/2025</v>
      </c>
      <c r="B1344" t="str">
        <f>"SAÍDA"</f>
        <v>SAÍDA</v>
      </c>
      <c r="C1344" t="str">
        <f>"PIX"</f>
        <v>PIX</v>
      </c>
      <c r="D1344" t="str">
        <f>"21256"</f>
        <v>21256</v>
      </c>
      <c r="E1344" t="str">
        <f>"1"</f>
        <v>1</v>
      </c>
      <c r="F1344" t="str">
        <f t="shared" si="225"/>
        <v>COM</v>
      </c>
      <c r="G1344" t="str">
        <f t="shared" si="227"/>
        <v>SEDNEY GOMES SOARES (87)</v>
      </c>
      <c r="H1344" t="s">
        <v>432</v>
      </c>
      <c r="I1344" t="str">
        <f>("11/09/2025")</f>
        <v>11/09/2025</v>
      </c>
      <c r="J1344" t="str">
        <f>("02/09/2025")</f>
        <v>02/09/2025</v>
      </c>
      <c r="K1344">
        <v>45910</v>
      </c>
      <c r="N1344">
        <v>109</v>
      </c>
      <c r="O1344" t="s">
        <v>24</v>
      </c>
      <c r="Q1344">
        <v>10</v>
      </c>
      <c r="R1344" t="str">
        <f>"FARMÁCIA INDIANA LJ 111 (10049)"</f>
        <v>FARMÁCIA INDIANA LJ 111 (10049)</v>
      </c>
      <c r="S1344" t="s">
        <v>48</v>
      </c>
      <c r="T1344">
        <v>17996</v>
      </c>
      <c r="U1344">
        <v>21872</v>
      </c>
      <c r="V1344" t="s">
        <v>48</v>
      </c>
    </row>
    <row r="1345" spans="1:22">
      <c r="A1345" t="str">
        <f t="shared" si="226"/>
        <v>10/09/2025</v>
      </c>
      <c r="B1345" t="str">
        <f>"SAÍDA"</f>
        <v>SAÍDA</v>
      </c>
      <c r="C1345" t="str">
        <f>"PIX"</f>
        <v>PIX</v>
      </c>
      <c r="D1345" t="str">
        <f>"21256"</f>
        <v>21256</v>
      </c>
      <c r="E1345" t="str">
        <f>"1"</f>
        <v>1</v>
      </c>
      <c r="F1345" t="str">
        <f t="shared" si="225"/>
        <v>COM</v>
      </c>
      <c r="G1345" t="str">
        <f t="shared" si="227"/>
        <v>SEDNEY GOMES SOARES (87)</v>
      </c>
      <c r="H1345" t="s">
        <v>432</v>
      </c>
      <c r="I1345" t="str">
        <f>("11/09/2025")</f>
        <v>11/09/2025</v>
      </c>
      <c r="J1345" t="str">
        <f>("02/09/2025")</f>
        <v>02/09/2025</v>
      </c>
      <c r="K1345">
        <v>45910</v>
      </c>
      <c r="N1345">
        <v>109</v>
      </c>
      <c r="O1345" t="s">
        <v>24</v>
      </c>
      <c r="Q1345">
        <v>3.33</v>
      </c>
      <c r="R1345" t="str">
        <f>"FARMÁCIA INDIANA LJ 143 (10067)"</f>
        <v>FARMÁCIA INDIANA LJ 143 (10067)</v>
      </c>
      <c r="S1345" t="s">
        <v>48</v>
      </c>
      <c r="T1345">
        <v>17996</v>
      </c>
      <c r="U1345">
        <v>21872</v>
      </c>
      <c r="V1345" t="s">
        <v>48</v>
      </c>
    </row>
    <row r="1346" spans="1:22">
      <c r="A1346" t="str">
        <f t="shared" si="226"/>
        <v>10/09/2025</v>
      </c>
      <c r="B1346" t="str">
        <f>"ENTRADA"</f>
        <v>ENTRADA</v>
      </c>
      <c r="C1346" t="str">
        <f>"DINHEIRO"</f>
        <v>DINHEIRO</v>
      </c>
      <c r="D1346" t="str">
        <f>"15"</f>
        <v>15</v>
      </c>
      <c r="E1346" t="str">
        <f>"33"</f>
        <v>33</v>
      </c>
      <c r="F1346" t="str">
        <f t="shared" si="225"/>
        <v>COM</v>
      </c>
      <c r="G1346" t="str">
        <f t="shared" si="227"/>
        <v>SEDNEY GOMES SOARES (87)</v>
      </c>
      <c r="H1346" t="str">
        <f>"DESCONTO COTA COOPERADO"</f>
        <v>DESCONTO COTA COOPERADO</v>
      </c>
      <c r="I1346" t="str">
        <f>("16/09/2025")</f>
        <v>16/09/2025</v>
      </c>
      <c r="J1346" t="str">
        <f>("16/01/2025")</f>
        <v>16/01/2025</v>
      </c>
      <c r="K1346" t="str">
        <f>("10/09/2025")</f>
        <v>10/09/2025</v>
      </c>
      <c r="L1346">
        <v>20</v>
      </c>
      <c r="M1346">
        <v>20</v>
      </c>
      <c r="N1346">
        <v>106</v>
      </c>
      <c r="O1346" t="str">
        <f>"ENTRADA DE CAPITAL"</f>
        <v>ENTRADA DE CAPITAL</v>
      </c>
      <c r="P1346">
        <v>20</v>
      </c>
      <c r="S1346" t="str">
        <f>"ENTRADA DE CAPITAL (106)"</f>
        <v>ENTRADA DE CAPITAL (106)</v>
      </c>
      <c r="T1346">
        <v>17997</v>
      </c>
      <c r="U1346">
        <v>7554</v>
      </c>
      <c r="V1346" t="s">
        <v>48</v>
      </c>
    </row>
    <row r="1347" spans="1:22">
      <c r="A1347" t="str">
        <f t="shared" si="226"/>
        <v>10/09/2025</v>
      </c>
      <c r="B1347" t="str">
        <f>"ENTRADA"</f>
        <v>ENTRADA</v>
      </c>
      <c r="C1347" t="str">
        <f>"DINHEIRO"</f>
        <v>DINHEIRO</v>
      </c>
      <c r="D1347" t="str">
        <f>"15"</f>
        <v>15</v>
      </c>
      <c r="E1347" t="str">
        <f>"33"</f>
        <v>33</v>
      </c>
      <c r="F1347" t="str">
        <f t="shared" si="225"/>
        <v>COM</v>
      </c>
      <c r="G1347" t="str">
        <f t="shared" si="227"/>
        <v>SEDNEY GOMES SOARES (87)</v>
      </c>
      <c r="H1347" t="s">
        <v>309</v>
      </c>
      <c r="I1347" t="str">
        <f>("16/09/2025")</f>
        <v>16/09/2025</v>
      </c>
      <c r="J1347" t="str">
        <f>("16/01/2025")</f>
        <v>16/01/2025</v>
      </c>
      <c r="K1347">
        <v>45910</v>
      </c>
      <c r="N1347">
        <v>106</v>
      </c>
      <c r="O1347" t="s">
        <v>51</v>
      </c>
      <c r="Q1347">
        <v>20</v>
      </c>
      <c r="R1347" t="str">
        <f>"SEDNEY GOMES SOARES (87)"</f>
        <v>SEDNEY GOMES SOARES (87)</v>
      </c>
      <c r="S1347" t="s">
        <v>52</v>
      </c>
      <c r="T1347">
        <v>17997</v>
      </c>
      <c r="U1347">
        <v>7554</v>
      </c>
      <c r="V1347" t="s">
        <v>48</v>
      </c>
    </row>
    <row r="1348" spans="1:22">
      <c r="A1348" t="str">
        <f t="shared" si="226"/>
        <v>10/09/2025</v>
      </c>
      <c r="B1348" t="str">
        <f>"SAÍDA"</f>
        <v>SAÍDA</v>
      </c>
      <c r="C1348" t="str">
        <f>"PIX"</f>
        <v>PIX</v>
      </c>
      <c r="D1348" t="str">
        <f>"21458"</f>
        <v>21458</v>
      </c>
      <c r="E1348" t="str">
        <f>"1"</f>
        <v>1</v>
      </c>
      <c r="F1348" t="str">
        <f t="shared" si="225"/>
        <v>COM</v>
      </c>
      <c r="G1348" t="str">
        <f>"TALES SILVA MARIANO (431)"</f>
        <v>TALES SILVA MARIANO (431)</v>
      </c>
      <c r="H1348" t="str">
        <f>"Serv.Prest. 01/09/2025 a 07/09/2025 - PIX: CPF - CHAVE: 126.686.406-79"</f>
        <v>Serv.Prest. 01/09/2025 a 07/09/2025 - PIX: CPF - CHAVE: 126.686.406-79</v>
      </c>
      <c r="I1348" t="str">
        <f>("11/09/2025")</f>
        <v>11/09/2025</v>
      </c>
      <c r="J1348" t="str">
        <f>("08/09/2025")</f>
        <v>08/09/2025</v>
      </c>
      <c r="K1348" t="str">
        <f>("10/09/2025")</f>
        <v>10/09/2025</v>
      </c>
      <c r="L1348">
        <v>20</v>
      </c>
      <c r="M1348">
        <v>20</v>
      </c>
      <c r="N1348">
        <v>109</v>
      </c>
      <c r="O1348" t="str">
        <f>"PAGAMENTO DE ENTREGADORES"</f>
        <v>PAGAMENTO DE ENTREGADORES</v>
      </c>
      <c r="P1348">
        <v>20</v>
      </c>
      <c r="S1348" t="str">
        <f>"CAIXA MOVIMENTAÇÃO OPERACIONAL (132)"</f>
        <v>CAIXA MOVIMENTAÇÃO OPERACIONAL (132)</v>
      </c>
      <c r="T1348">
        <v>17998</v>
      </c>
      <c r="U1348">
        <v>21873</v>
      </c>
      <c r="V1348" t="s">
        <v>48</v>
      </c>
    </row>
    <row r="1349" spans="1:22">
      <c r="A1349" t="str">
        <f t="shared" si="226"/>
        <v>10/09/2025</v>
      </c>
      <c r="B1349" t="str">
        <f>"SAÍDA"</f>
        <v>SAÍDA</v>
      </c>
      <c r="C1349" t="str">
        <f>"PIX"</f>
        <v>PIX</v>
      </c>
      <c r="D1349" t="str">
        <f>"21458"</f>
        <v>21458</v>
      </c>
      <c r="E1349" t="str">
        <f>"1"</f>
        <v>1</v>
      </c>
      <c r="F1349" t="str">
        <f t="shared" si="225"/>
        <v>COM</v>
      </c>
      <c r="G1349" t="str">
        <f>"TALES SILVA MARIANO (431)"</f>
        <v>TALES SILVA MARIANO (431)</v>
      </c>
      <c r="H1349" t="s">
        <v>433</v>
      </c>
      <c r="I1349" t="str">
        <f>("11/09/2025")</f>
        <v>11/09/2025</v>
      </c>
      <c r="J1349" t="str">
        <f>("08/09/2025")</f>
        <v>08/09/2025</v>
      </c>
      <c r="K1349">
        <v>45910</v>
      </c>
      <c r="N1349">
        <v>109</v>
      </c>
      <c r="O1349" t="s">
        <v>24</v>
      </c>
      <c r="Q1349">
        <v>20</v>
      </c>
      <c r="R1349" t="str">
        <f>"PAGMENOS - LJ 608 (10135)"</f>
        <v>PAGMENOS - LJ 608 (10135)</v>
      </c>
      <c r="S1349" t="s">
        <v>48</v>
      </c>
      <c r="T1349">
        <v>17998</v>
      </c>
      <c r="U1349">
        <v>21873</v>
      </c>
      <c r="V1349" t="s">
        <v>48</v>
      </c>
    </row>
    <row r="1350" spans="1:22">
      <c r="A1350" t="str">
        <f t="shared" si="226"/>
        <v>10/09/2025</v>
      </c>
      <c r="B1350" t="str">
        <f>"ENTRADA"</f>
        <v>ENTRADA</v>
      </c>
      <c r="C1350" t="str">
        <f>"DINHEIRO"</f>
        <v>DINHEIRO</v>
      </c>
      <c r="D1350" t="str">
        <f>"05"</f>
        <v>05</v>
      </c>
      <c r="E1350" t="str">
        <f>"33"</f>
        <v>33</v>
      </c>
      <c r="F1350" t="str">
        <f t="shared" si="225"/>
        <v>COM</v>
      </c>
      <c r="G1350" t="str">
        <f>"TALES SILVA MARIANO (431)"</f>
        <v>TALES SILVA MARIANO (431)</v>
      </c>
      <c r="H1350" t="str">
        <f>"DESCONTO COTA COOPERADO"</f>
        <v>DESCONTO COTA COOPERADO</v>
      </c>
      <c r="I1350" t="str">
        <f>("16/09/2025")</f>
        <v>16/09/2025</v>
      </c>
      <c r="J1350" t="str">
        <f>("16/01/2025")</f>
        <v>16/01/2025</v>
      </c>
      <c r="K1350" t="str">
        <f>("10/09/2025")</f>
        <v>10/09/2025</v>
      </c>
      <c r="L1350">
        <v>20</v>
      </c>
      <c r="M1350">
        <v>20</v>
      </c>
      <c r="N1350">
        <v>106</v>
      </c>
      <c r="O1350" t="str">
        <f>"ENTRADA DE CAPITAL"</f>
        <v>ENTRADA DE CAPITAL</v>
      </c>
      <c r="P1350">
        <v>20</v>
      </c>
      <c r="S1350" t="str">
        <f>"ENTRADA DE CAPITAL (106)"</f>
        <v>ENTRADA DE CAPITAL (106)</v>
      </c>
      <c r="T1350">
        <v>17999</v>
      </c>
      <c r="U1350">
        <v>7573</v>
      </c>
      <c r="V1350" t="s">
        <v>48</v>
      </c>
    </row>
    <row r="1351" spans="1:22">
      <c r="A1351" t="str">
        <f t="shared" si="226"/>
        <v>10/09/2025</v>
      </c>
      <c r="B1351" t="str">
        <f>"ENTRADA"</f>
        <v>ENTRADA</v>
      </c>
      <c r="C1351" t="str">
        <f>"DINHEIRO"</f>
        <v>DINHEIRO</v>
      </c>
      <c r="D1351" t="str">
        <f>"05"</f>
        <v>05</v>
      </c>
      <c r="E1351" t="str">
        <f>"33"</f>
        <v>33</v>
      </c>
      <c r="F1351" t="str">
        <f t="shared" si="225"/>
        <v>COM</v>
      </c>
      <c r="G1351" t="str">
        <f>"TALES SILVA MARIANO (431)"</f>
        <v>TALES SILVA MARIANO (431)</v>
      </c>
      <c r="H1351" t="s">
        <v>309</v>
      </c>
      <c r="I1351" t="str">
        <f>("16/09/2025")</f>
        <v>16/09/2025</v>
      </c>
      <c r="J1351" t="str">
        <f>("16/01/2025")</f>
        <v>16/01/2025</v>
      </c>
      <c r="K1351">
        <v>45910</v>
      </c>
      <c r="N1351">
        <v>106</v>
      </c>
      <c r="O1351" t="s">
        <v>51</v>
      </c>
      <c r="Q1351">
        <v>20</v>
      </c>
      <c r="R1351" t="str">
        <f>"TALES SILVA MARIANO (431)"</f>
        <v>TALES SILVA MARIANO (431)</v>
      </c>
      <c r="S1351" t="s">
        <v>52</v>
      </c>
      <c r="T1351">
        <v>17999</v>
      </c>
      <c r="U1351">
        <v>7573</v>
      </c>
      <c r="V1351" t="s">
        <v>48</v>
      </c>
    </row>
    <row r="1352" spans="1:22">
      <c r="A1352" t="str">
        <f t="shared" si="226"/>
        <v>10/09/2025</v>
      </c>
      <c r="B1352" t="str">
        <f>"ENTRADA"</f>
        <v>ENTRADA</v>
      </c>
      <c r="C1352" t="str">
        <f>"DINHEIRO"</f>
        <v>DINHEIRO</v>
      </c>
      <c r="D1352" t="str">
        <f>"25"</f>
        <v>25</v>
      </c>
      <c r="E1352" t="str">
        <f>"6"</f>
        <v>6</v>
      </c>
      <c r="F1352" t="str">
        <f t="shared" si="225"/>
        <v>COM</v>
      </c>
      <c r="G1352" t="str">
        <f>"TAYSON BARBOSA SILVINO (613)"</f>
        <v>TAYSON BARBOSA SILVINO (613)</v>
      </c>
      <c r="H1352" t="str">
        <f>"COTA COOPERADO"</f>
        <v>COTA COOPERADO</v>
      </c>
      <c r="I1352" t="str">
        <f>("10/09/2025")</f>
        <v>10/09/2025</v>
      </c>
      <c r="J1352" t="str">
        <f>("10/04/2025")</f>
        <v>10/04/2025</v>
      </c>
      <c r="K1352" t="str">
        <f>("10/09/2025")</f>
        <v>10/09/2025</v>
      </c>
      <c r="L1352">
        <v>20</v>
      </c>
      <c r="M1352">
        <v>20</v>
      </c>
      <c r="N1352">
        <v>106</v>
      </c>
      <c r="O1352" t="str">
        <f>"ENTRADA DE CAPITAL"</f>
        <v>ENTRADA DE CAPITAL</v>
      </c>
      <c r="P1352">
        <v>20</v>
      </c>
      <c r="S1352" t="str">
        <f>"ENTRADA DE CAPITAL (106)"</f>
        <v>ENTRADA DE CAPITAL (106)</v>
      </c>
      <c r="T1352">
        <v>18000</v>
      </c>
      <c r="U1352">
        <v>12372</v>
      </c>
      <c r="V1352" t="s">
        <v>48</v>
      </c>
    </row>
    <row r="1353" spans="1:22">
      <c r="A1353" t="str">
        <f t="shared" si="226"/>
        <v>10/09/2025</v>
      </c>
      <c r="B1353" t="str">
        <f>"ENTRADA"</f>
        <v>ENTRADA</v>
      </c>
      <c r="C1353" t="str">
        <f>"DINHEIRO"</f>
        <v>DINHEIRO</v>
      </c>
      <c r="D1353" t="str">
        <f>"25"</f>
        <v>25</v>
      </c>
      <c r="E1353" t="str">
        <f>"6"</f>
        <v>6</v>
      </c>
      <c r="F1353" t="str">
        <f t="shared" si="225"/>
        <v>COM</v>
      </c>
      <c r="G1353" t="str">
        <f>"TAYSON BARBOSA SILVINO (613)"</f>
        <v>TAYSON BARBOSA SILVINO (613)</v>
      </c>
      <c r="H1353" t="s">
        <v>434</v>
      </c>
      <c r="I1353" t="str">
        <f>("10/09/2025")</f>
        <v>10/09/2025</v>
      </c>
      <c r="J1353" t="str">
        <f>("10/04/2025")</f>
        <v>10/04/2025</v>
      </c>
      <c r="K1353">
        <v>45910</v>
      </c>
      <c r="N1353">
        <v>106</v>
      </c>
      <c r="O1353" t="s">
        <v>51</v>
      </c>
      <c r="Q1353">
        <v>20</v>
      </c>
      <c r="R1353" t="str">
        <f>"TAYSON BARBOSA SILVINO (613)"</f>
        <v>TAYSON BARBOSA SILVINO (613)</v>
      </c>
      <c r="S1353" t="s">
        <v>52</v>
      </c>
      <c r="T1353">
        <v>18000</v>
      </c>
      <c r="U1353">
        <v>12372</v>
      </c>
      <c r="V1353" t="s">
        <v>48</v>
      </c>
    </row>
    <row r="1354" spans="1:22">
      <c r="A1354" t="str">
        <f t="shared" si="226"/>
        <v>10/09/2025</v>
      </c>
      <c r="B1354" t="str">
        <f>"SAÍDA"</f>
        <v>SAÍDA</v>
      </c>
      <c r="C1354" t="str">
        <f>"PIX"</f>
        <v>PIX</v>
      </c>
      <c r="D1354" t="str">
        <f>"21258"</f>
        <v>21258</v>
      </c>
      <c r="E1354" t="str">
        <f>"1"</f>
        <v>1</v>
      </c>
      <c r="F1354" t="str">
        <f t="shared" si="225"/>
        <v>COM</v>
      </c>
      <c r="G1354" t="str">
        <f>"TAYSON BARBOSA SILVINO (613)"</f>
        <v>TAYSON BARBOSA SILVINO (613)</v>
      </c>
      <c r="H1354" t="str">
        <f>"Serv.Prest. 25/08/2025 a 31/08/2025 - PIX: CHAVE ALEATÓRIA - CHAVE: 1550e869-c9d7-4436-be93-6858fd0cb900"</f>
        <v>Serv.Prest. 25/08/2025 a 31/08/2025 - PIX: CHAVE ALEATÓRIA - CHAVE: 1550e869-c9d7-4436-be93-6858fd0cb900</v>
      </c>
      <c r="I1354" t="str">
        <f>("11/09/2025")</f>
        <v>11/09/2025</v>
      </c>
      <c r="J1354" t="str">
        <f>("02/09/2025")</f>
        <v>02/09/2025</v>
      </c>
      <c r="K1354" t="str">
        <f>("10/09/2025")</f>
        <v>10/09/2025</v>
      </c>
      <c r="L1354">
        <v>20</v>
      </c>
      <c r="M1354">
        <v>20</v>
      </c>
      <c r="N1354">
        <v>109</v>
      </c>
      <c r="O1354" t="str">
        <f>"PAGAMENTO DE ENTREGADORES"</f>
        <v>PAGAMENTO DE ENTREGADORES</v>
      </c>
      <c r="P1354">
        <v>20</v>
      </c>
      <c r="S1354" t="str">
        <f>"CAIXA MOVIMENTAÇÃO OPERACIONAL (132)"</f>
        <v>CAIXA MOVIMENTAÇÃO OPERACIONAL (132)</v>
      </c>
      <c r="T1354">
        <v>18001</v>
      </c>
      <c r="U1354">
        <v>21874</v>
      </c>
      <c r="V1354" t="s">
        <v>48</v>
      </c>
    </row>
    <row r="1355" spans="1:22">
      <c r="A1355" t="str">
        <f t="shared" si="226"/>
        <v>10/09/2025</v>
      </c>
      <c r="B1355" t="str">
        <f>"SAÍDA"</f>
        <v>SAÍDA</v>
      </c>
      <c r="C1355" t="str">
        <f>"PIX"</f>
        <v>PIX</v>
      </c>
      <c r="D1355" t="str">
        <f>"21258"</f>
        <v>21258</v>
      </c>
      <c r="E1355" t="str">
        <f>"1"</f>
        <v>1</v>
      </c>
      <c r="F1355" t="str">
        <f t="shared" si="225"/>
        <v>COM</v>
      </c>
      <c r="G1355" t="str">
        <f>"TAYSON BARBOSA SILVINO (613)"</f>
        <v>TAYSON BARBOSA SILVINO (613)</v>
      </c>
      <c r="H1355" t="s">
        <v>435</v>
      </c>
      <c r="I1355" t="str">
        <f>("11/09/2025")</f>
        <v>11/09/2025</v>
      </c>
      <c r="J1355" t="str">
        <f>("02/09/2025")</f>
        <v>02/09/2025</v>
      </c>
      <c r="K1355">
        <v>45910</v>
      </c>
      <c r="N1355">
        <v>109</v>
      </c>
      <c r="O1355" t="s">
        <v>24</v>
      </c>
      <c r="Q1355">
        <v>20</v>
      </c>
      <c r="R1355" t="str">
        <f>"FARMÁCIA INDIANA LJ 19 (10012)"</f>
        <v>FARMÁCIA INDIANA LJ 19 (10012)</v>
      </c>
      <c r="S1355" t="s">
        <v>48</v>
      </c>
      <c r="T1355">
        <v>18001</v>
      </c>
      <c r="U1355">
        <v>21874</v>
      </c>
      <c r="V1355" t="s">
        <v>48</v>
      </c>
    </row>
    <row r="1356" spans="1:22">
      <c r="A1356" t="str">
        <f t="shared" si="226"/>
        <v>10/09/2025</v>
      </c>
      <c r="B1356" t="str">
        <f>"ENTRADA"</f>
        <v>ENTRADA</v>
      </c>
      <c r="C1356" t="str">
        <f>"DINHEIRO"</f>
        <v>DINHEIRO</v>
      </c>
      <c r="D1356" t="str">
        <f>"704"</f>
        <v>704</v>
      </c>
      <c r="E1356" t="str">
        <f>"6"</f>
        <v>6</v>
      </c>
      <c r="F1356" t="str">
        <f t="shared" si="225"/>
        <v>COM</v>
      </c>
      <c r="G1356" t="str">
        <f>"THALES VINÍCIUS RODRIGUES DE OLIVEIRA (704)"</f>
        <v>THALES VINÍCIUS RODRIGUES DE OLIVEIRA (704)</v>
      </c>
      <c r="H1356" t="str">
        <f>"COTAS COOPERATIVA"</f>
        <v>COTAS COOPERATIVA</v>
      </c>
      <c r="I1356" t="str">
        <f>("10/09/2025")</f>
        <v>10/09/2025</v>
      </c>
      <c r="J1356" t="str">
        <f>("17/03/2025")</f>
        <v>17/03/2025</v>
      </c>
      <c r="K1356" t="str">
        <f>("10/09/2025")</f>
        <v>10/09/2025</v>
      </c>
      <c r="L1356">
        <v>20</v>
      </c>
      <c r="M1356">
        <v>20</v>
      </c>
      <c r="N1356">
        <v>106</v>
      </c>
      <c r="O1356" t="str">
        <f>"ENTRADA DE CAPITAL"</f>
        <v>ENTRADA DE CAPITAL</v>
      </c>
      <c r="P1356">
        <v>20</v>
      </c>
      <c r="S1356" t="str">
        <f>"ENTRADA DE CAPITAL (106)"</f>
        <v>ENTRADA DE CAPITAL (106)</v>
      </c>
      <c r="T1356">
        <v>18002</v>
      </c>
      <c r="U1356">
        <v>11911</v>
      </c>
      <c r="V1356" t="s">
        <v>48</v>
      </c>
    </row>
    <row r="1357" spans="1:22">
      <c r="A1357" t="str">
        <f t="shared" si="226"/>
        <v>10/09/2025</v>
      </c>
      <c r="B1357" t="str">
        <f>"ENTRADA"</f>
        <v>ENTRADA</v>
      </c>
      <c r="C1357" t="str">
        <f>"DINHEIRO"</f>
        <v>DINHEIRO</v>
      </c>
      <c r="D1357" t="str">
        <f>"704"</f>
        <v>704</v>
      </c>
      <c r="E1357" t="str">
        <f>"6"</f>
        <v>6</v>
      </c>
      <c r="F1357" t="str">
        <f t="shared" si="225"/>
        <v>COM</v>
      </c>
      <c r="G1357" t="str">
        <f>"THALES VINÍCIUS RODRIGUES DE OLIVEIRA (704)"</f>
        <v>THALES VINÍCIUS RODRIGUES DE OLIVEIRA (704)</v>
      </c>
      <c r="H1357" t="s">
        <v>318</v>
      </c>
      <c r="I1357" t="str">
        <f>("10/09/2025")</f>
        <v>10/09/2025</v>
      </c>
      <c r="J1357" t="str">
        <f>("17/03/2025")</f>
        <v>17/03/2025</v>
      </c>
      <c r="K1357">
        <v>45910</v>
      </c>
      <c r="N1357">
        <v>106</v>
      </c>
      <c r="O1357" t="s">
        <v>51</v>
      </c>
      <c r="Q1357">
        <v>20</v>
      </c>
      <c r="R1357" t="str">
        <f>"THALES VINÍCIUS RODRIGUES DE OLIVEIRA (704)"</f>
        <v>THALES VINÍCIUS RODRIGUES DE OLIVEIRA (704)</v>
      </c>
      <c r="S1357" t="s">
        <v>52</v>
      </c>
      <c r="T1357">
        <v>18002</v>
      </c>
      <c r="U1357">
        <v>11911</v>
      </c>
      <c r="V1357" t="s">
        <v>48</v>
      </c>
    </row>
    <row r="1358" spans="1:22">
      <c r="A1358" t="str">
        <f t="shared" si="226"/>
        <v>10/09/2025</v>
      </c>
      <c r="B1358" t="str">
        <f>"SAÍDA"</f>
        <v>SAÍDA</v>
      </c>
      <c r="C1358" t="str">
        <f>"PIX"</f>
        <v>PIX</v>
      </c>
      <c r="D1358" t="str">
        <f>"21667"</f>
        <v>21667</v>
      </c>
      <c r="E1358" t="str">
        <f>"1"</f>
        <v>1</v>
      </c>
      <c r="F1358" t="str">
        <f t="shared" si="225"/>
        <v>COM</v>
      </c>
      <c r="G1358" t="str">
        <f>"THALES VINÍCIUS RODRIGUES DE OLIVEIRA (704)"</f>
        <v>THALES VINÍCIUS RODRIGUES DE OLIVEIRA (704)</v>
      </c>
      <c r="H1358" t="str">
        <f>"Serv.Prest. 01/09/2025 a 07/09/2025 - PIX: CELULAR - CHAVE: (37) 99138-1777"</f>
        <v>Serv.Prest. 01/09/2025 a 07/09/2025 - PIX: CELULAR - CHAVE: (37) 99138-1777</v>
      </c>
      <c r="I1358" t="str">
        <f>("11/09/2025")</f>
        <v>11/09/2025</v>
      </c>
      <c r="J1358" t="str">
        <f>("09/09/2025")</f>
        <v>09/09/2025</v>
      </c>
      <c r="K1358" t="str">
        <f>("10/09/2025")</f>
        <v>10/09/2025</v>
      </c>
      <c r="L1358">
        <v>20</v>
      </c>
      <c r="M1358">
        <v>20</v>
      </c>
      <c r="N1358">
        <v>109</v>
      </c>
      <c r="O1358" t="str">
        <f>"PAGAMENTO DE ENTREGADORES"</f>
        <v>PAGAMENTO DE ENTREGADORES</v>
      </c>
      <c r="P1358">
        <v>20</v>
      </c>
      <c r="S1358" t="str">
        <f>"CAIXA MOVIMENTAÇÃO OPERACIONAL (132)"</f>
        <v>CAIXA MOVIMENTAÇÃO OPERACIONAL (132)</v>
      </c>
      <c r="T1358">
        <v>18003</v>
      </c>
      <c r="U1358">
        <v>21875</v>
      </c>
      <c r="V1358" t="s">
        <v>48</v>
      </c>
    </row>
    <row r="1359" spans="1:22">
      <c r="A1359" t="str">
        <f t="shared" si="226"/>
        <v>10/09/2025</v>
      </c>
      <c r="B1359" t="str">
        <f>"SAÍDA"</f>
        <v>SAÍDA</v>
      </c>
      <c r="C1359" t="str">
        <f>"PIX"</f>
        <v>PIX</v>
      </c>
      <c r="D1359" t="str">
        <f>"21667"</f>
        <v>21667</v>
      </c>
      <c r="E1359" t="str">
        <f>"1"</f>
        <v>1</v>
      </c>
      <c r="F1359" t="str">
        <f t="shared" si="225"/>
        <v>COM</v>
      </c>
      <c r="G1359" t="str">
        <f>"THALES VINÍCIUS RODRIGUES DE OLIVEIRA (704)"</f>
        <v>THALES VINÍCIUS RODRIGUES DE OLIVEIRA (704)</v>
      </c>
      <c r="H1359" t="s">
        <v>436</v>
      </c>
      <c r="I1359" t="str">
        <f>("11/09/2025")</f>
        <v>11/09/2025</v>
      </c>
      <c r="J1359" t="str">
        <f>("09/09/2025")</f>
        <v>09/09/2025</v>
      </c>
      <c r="K1359">
        <v>45910</v>
      </c>
      <c r="N1359">
        <v>109</v>
      </c>
      <c r="O1359" t="s">
        <v>24</v>
      </c>
      <c r="Q1359">
        <v>20</v>
      </c>
      <c r="R1359" t="str">
        <f>"DROGARIA POUPA MINAS (ULTRAMINAS) 1 (10181)"</f>
        <v>DROGARIA POUPA MINAS (ULTRAMINAS) 1 (10181)</v>
      </c>
      <c r="S1359" t="s">
        <v>48</v>
      </c>
      <c r="T1359">
        <v>18003</v>
      </c>
      <c r="U1359">
        <v>21875</v>
      </c>
      <c r="V1359" t="s">
        <v>48</v>
      </c>
    </row>
    <row r="1360" spans="1:22">
      <c r="A1360" t="str">
        <f t="shared" si="226"/>
        <v>10/09/2025</v>
      </c>
      <c r="B1360" t="str">
        <f>"SAÍDA"</f>
        <v>SAÍDA</v>
      </c>
      <c r="C1360" t="str">
        <f>"PIX"</f>
        <v>PIX</v>
      </c>
      <c r="D1360" t="str">
        <f>"21668"</f>
        <v>21668</v>
      </c>
      <c r="E1360" t="str">
        <f>"1"</f>
        <v>1</v>
      </c>
      <c r="F1360" t="str">
        <f t="shared" si="225"/>
        <v>COM</v>
      </c>
      <c r="G1360" t="str">
        <f>"TIAGO VIEIRA (372)"</f>
        <v>TIAGO VIEIRA (372)</v>
      </c>
      <c r="H1360" t="str">
        <f>"Serv.Prest. 01/09/2025 a 07/09/2025 - PIX: CELULAR - CHAVE: (37) 98841-8571"</f>
        <v>Serv.Prest. 01/09/2025 a 07/09/2025 - PIX: CELULAR - CHAVE: (37) 98841-8571</v>
      </c>
      <c r="I1360" t="str">
        <f>("11/09/2025")</f>
        <v>11/09/2025</v>
      </c>
      <c r="J1360" t="str">
        <f>("09/09/2025")</f>
        <v>09/09/2025</v>
      </c>
      <c r="K1360" t="str">
        <f>("10/09/2025")</f>
        <v>10/09/2025</v>
      </c>
      <c r="L1360">
        <v>20</v>
      </c>
      <c r="M1360">
        <v>20</v>
      </c>
      <c r="N1360">
        <v>109</v>
      </c>
      <c r="O1360" t="str">
        <f>"PAGAMENTO DE ENTREGADORES"</f>
        <v>PAGAMENTO DE ENTREGADORES</v>
      </c>
      <c r="P1360">
        <v>20</v>
      </c>
      <c r="S1360" t="str">
        <f>"CAIXA MOVIMENTAÇÃO OPERACIONAL (132)"</f>
        <v>CAIXA MOVIMENTAÇÃO OPERACIONAL (132)</v>
      </c>
      <c r="T1360">
        <v>18004</v>
      </c>
      <c r="U1360">
        <v>21876</v>
      </c>
      <c r="V1360" t="s">
        <v>48</v>
      </c>
    </row>
    <row r="1361" spans="1:22">
      <c r="A1361" t="str">
        <f t="shared" si="226"/>
        <v>10/09/2025</v>
      </c>
      <c r="B1361" t="str">
        <f>"SAÍDA"</f>
        <v>SAÍDA</v>
      </c>
      <c r="C1361" t="str">
        <f>"PIX"</f>
        <v>PIX</v>
      </c>
      <c r="D1361" t="str">
        <f>"21668"</f>
        <v>21668</v>
      </c>
      <c r="E1361" t="str">
        <f>"1"</f>
        <v>1</v>
      </c>
      <c r="F1361" t="str">
        <f t="shared" si="225"/>
        <v>COM</v>
      </c>
      <c r="G1361" t="str">
        <f>"TIAGO VIEIRA (372)"</f>
        <v>TIAGO VIEIRA (372)</v>
      </c>
      <c r="H1361" t="s">
        <v>437</v>
      </c>
      <c r="I1361" t="str">
        <f>("11/09/2025")</f>
        <v>11/09/2025</v>
      </c>
      <c r="J1361" t="str">
        <f>("09/09/2025")</f>
        <v>09/09/2025</v>
      </c>
      <c r="K1361">
        <v>45910</v>
      </c>
      <c r="N1361">
        <v>109</v>
      </c>
      <c r="O1361" t="s">
        <v>24</v>
      </c>
      <c r="Q1361">
        <v>20</v>
      </c>
      <c r="R1361" t="str">
        <f>"DROGARIA POUPA MINAS (ULTRAMINAS) 1 (10181)"</f>
        <v>DROGARIA POUPA MINAS (ULTRAMINAS) 1 (10181)</v>
      </c>
      <c r="S1361" t="s">
        <v>48</v>
      </c>
      <c r="T1361">
        <v>18004</v>
      </c>
      <c r="U1361">
        <v>21876</v>
      </c>
      <c r="V1361" t="s">
        <v>48</v>
      </c>
    </row>
    <row r="1362" spans="1:22">
      <c r="A1362" t="str">
        <f t="shared" si="226"/>
        <v>10/09/2025</v>
      </c>
      <c r="B1362" t="str">
        <f>"ENTRADA"</f>
        <v>ENTRADA</v>
      </c>
      <c r="C1362" t="str">
        <f>"DINHEIRO"</f>
        <v>DINHEIRO</v>
      </c>
      <c r="D1362" t="str">
        <f>"05"</f>
        <v>05</v>
      </c>
      <c r="E1362" t="str">
        <f>"33"</f>
        <v>33</v>
      </c>
      <c r="F1362" t="str">
        <f t="shared" si="225"/>
        <v>COM</v>
      </c>
      <c r="G1362" t="str">
        <f>"TIAGO VIEIRA (372)"</f>
        <v>TIAGO VIEIRA (372)</v>
      </c>
      <c r="H1362" t="str">
        <f>"DESCONTO COTA COOPERADO"</f>
        <v>DESCONTO COTA COOPERADO</v>
      </c>
      <c r="I1362" t="str">
        <f>("16/09/2025")</f>
        <v>16/09/2025</v>
      </c>
      <c r="J1362" t="str">
        <f>("16/01/2025")</f>
        <v>16/01/2025</v>
      </c>
      <c r="K1362" t="str">
        <f>("10/09/2025")</f>
        <v>10/09/2025</v>
      </c>
      <c r="L1362">
        <v>20</v>
      </c>
      <c r="M1362">
        <v>20</v>
      </c>
      <c r="N1362">
        <v>106</v>
      </c>
      <c r="O1362" t="str">
        <f>"ENTRADA DE CAPITAL"</f>
        <v>ENTRADA DE CAPITAL</v>
      </c>
      <c r="P1362">
        <v>20</v>
      </c>
      <c r="S1362" t="str">
        <f>"ENTRADA DE CAPITAL (106)"</f>
        <v>ENTRADA DE CAPITAL (106)</v>
      </c>
      <c r="T1362">
        <v>18005</v>
      </c>
      <c r="U1362">
        <v>7602</v>
      </c>
      <c r="V1362" t="s">
        <v>48</v>
      </c>
    </row>
    <row r="1363" spans="1:22">
      <c r="A1363" t="str">
        <f t="shared" si="226"/>
        <v>10/09/2025</v>
      </c>
      <c r="B1363" t="str">
        <f>"ENTRADA"</f>
        <v>ENTRADA</v>
      </c>
      <c r="C1363" t="str">
        <f>"DINHEIRO"</f>
        <v>DINHEIRO</v>
      </c>
      <c r="D1363" t="str">
        <f>"05"</f>
        <v>05</v>
      </c>
      <c r="E1363" t="str">
        <f>"33"</f>
        <v>33</v>
      </c>
      <c r="F1363" t="str">
        <f t="shared" si="225"/>
        <v>COM</v>
      </c>
      <c r="G1363" t="str">
        <f>"TIAGO VIEIRA (372)"</f>
        <v>TIAGO VIEIRA (372)</v>
      </c>
      <c r="H1363" t="s">
        <v>309</v>
      </c>
      <c r="I1363" t="str">
        <f>("16/09/2025")</f>
        <v>16/09/2025</v>
      </c>
      <c r="J1363" t="str">
        <f>("16/01/2025")</f>
        <v>16/01/2025</v>
      </c>
      <c r="K1363">
        <v>45910</v>
      </c>
      <c r="N1363">
        <v>106</v>
      </c>
      <c r="O1363" t="s">
        <v>51</v>
      </c>
      <c r="Q1363">
        <v>20</v>
      </c>
      <c r="R1363" t="str">
        <f>"TIAGO VIEIRA (372)"</f>
        <v>TIAGO VIEIRA (372)</v>
      </c>
      <c r="S1363" t="s">
        <v>52</v>
      </c>
      <c r="T1363">
        <v>18005</v>
      </c>
      <c r="U1363">
        <v>7602</v>
      </c>
      <c r="V1363" t="s">
        <v>48</v>
      </c>
    </row>
    <row r="1364" spans="1:22">
      <c r="A1364" t="str">
        <f t="shared" si="226"/>
        <v>10/09/2025</v>
      </c>
      <c r="B1364" t="str">
        <f>"ENTRADA"</f>
        <v>ENTRADA</v>
      </c>
      <c r="C1364" t="str">
        <f>"DINHEIRO"</f>
        <v>DINHEIRO</v>
      </c>
      <c r="D1364" t="str">
        <f>"25"</f>
        <v>25</v>
      </c>
      <c r="E1364" t="str">
        <f>"7"</f>
        <v>7</v>
      </c>
      <c r="F1364" t="str">
        <f t="shared" si="225"/>
        <v>COM</v>
      </c>
      <c r="G1364" t="str">
        <f>"VINICIUS DE SOUZA ISABEL (658)"</f>
        <v>VINICIUS DE SOUZA ISABEL (658)</v>
      </c>
      <c r="H1364" t="str">
        <f>"COTA COOPERADO"</f>
        <v>COTA COOPERADO</v>
      </c>
      <c r="I1364" t="str">
        <f>("10/09/2025")</f>
        <v>10/09/2025</v>
      </c>
      <c r="J1364" t="str">
        <f>("10/04/2025")</f>
        <v>10/04/2025</v>
      </c>
      <c r="K1364" t="str">
        <f>("10/09/2025")</f>
        <v>10/09/2025</v>
      </c>
      <c r="L1364">
        <v>20</v>
      </c>
      <c r="M1364">
        <v>20</v>
      </c>
      <c r="N1364">
        <v>106</v>
      </c>
      <c r="O1364" t="str">
        <f>"ENTRADA DE CAPITAL"</f>
        <v>ENTRADA DE CAPITAL</v>
      </c>
      <c r="P1364">
        <v>20</v>
      </c>
      <c r="S1364" t="str">
        <f>"ENTRADA DE CAPITAL (106)"</f>
        <v>ENTRADA DE CAPITAL (106)</v>
      </c>
      <c r="T1364">
        <v>18006</v>
      </c>
      <c r="U1364">
        <v>12403</v>
      </c>
      <c r="V1364" t="s">
        <v>48</v>
      </c>
    </row>
    <row r="1365" spans="1:22">
      <c r="A1365" t="str">
        <f t="shared" si="226"/>
        <v>10/09/2025</v>
      </c>
      <c r="B1365" t="str">
        <f>"ENTRADA"</f>
        <v>ENTRADA</v>
      </c>
      <c r="C1365" t="str">
        <f>"DINHEIRO"</f>
        <v>DINHEIRO</v>
      </c>
      <c r="D1365" t="str">
        <f>"25"</f>
        <v>25</v>
      </c>
      <c r="E1365" t="str">
        <f>"7"</f>
        <v>7</v>
      </c>
      <c r="F1365" t="str">
        <f t="shared" si="225"/>
        <v>COM</v>
      </c>
      <c r="G1365" t="str">
        <f>"VINICIUS DE SOUZA ISABEL (658)"</f>
        <v>VINICIUS DE SOUZA ISABEL (658)</v>
      </c>
      <c r="H1365" t="s">
        <v>434</v>
      </c>
      <c r="I1365" t="str">
        <f>("10/09/2025")</f>
        <v>10/09/2025</v>
      </c>
      <c r="J1365" t="str">
        <f>("10/04/2025")</f>
        <v>10/04/2025</v>
      </c>
      <c r="K1365">
        <v>45910</v>
      </c>
      <c r="N1365">
        <v>106</v>
      </c>
      <c r="O1365" t="s">
        <v>51</v>
      </c>
      <c r="Q1365">
        <v>20</v>
      </c>
      <c r="R1365" t="str">
        <f>"VINICIUS DE SOUZA ISABEL (658)"</f>
        <v>VINICIUS DE SOUZA ISABEL (658)</v>
      </c>
      <c r="S1365" t="s">
        <v>52</v>
      </c>
      <c r="T1365">
        <v>18006</v>
      </c>
      <c r="U1365">
        <v>12403</v>
      </c>
      <c r="V1365" t="s">
        <v>48</v>
      </c>
    </row>
    <row r="1366" spans="1:22">
      <c r="A1366" t="str">
        <f t="shared" si="226"/>
        <v>10/09/2025</v>
      </c>
      <c r="B1366" t="str">
        <f>"SAÍDA"</f>
        <v>SAÍDA</v>
      </c>
      <c r="C1366" t="str">
        <f>"PIX"</f>
        <v>PIX</v>
      </c>
      <c r="D1366" t="str">
        <f>"21262"</f>
        <v>21262</v>
      </c>
      <c r="E1366" t="str">
        <f>"1"</f>
        <v>1</v>
      </c>
      <c r="F1366" t="str">
        <f t="shared" si="225"/>
        <v>COM</v>
      </c>
      <c r="G1366" t="str">
        <f>"VINICIUS DE SOUZA ISABEL (658)"</f>
        <v>VINICIUS DE SOUZA ISABEL (658)</v>
      </c>
      <c r="H1366" t="str">
        <f>"Serv.Prest. 25/08/2025 a 31/08/2025 - PIX: CPF - CHAVE: 092.566.416-23"</f>
        <v>Serv.Prest. 25/08/2025 a 31/08/2025 - PIX: CPF - CHAVE: 092.566.416-23</v>
      </c>
      <c r="I1366" t="str">
        <f>("11/09/2025")</f>
        <v>11/09/2025</v>
      </c>
      <c r="J1366" t="str">
        <f>("02/09/2025")</f>
        <v>02/09/2025</v>
      </c>
      <c r="K1366" t="str">
        <f>("10/09/2025")</f>
        <v>10/09/2025</v>
      </c>
      <c r="L1366">
        <v>20</v>
      </c>
      <c r="M1366">
        <v>20</v>
      </c>
      <c r="N1366">
        <v>109</v>
      </c>
      <c r="O1366" t="str">
        <f>"PAGAMENTO DE ENTREGADORES"</f>
        <v>PAGAMENTO DE ENTREGADORES</v>
      </c>
      <c r="P1366">
        <v>20</v>
      </c>
      <c r="S1366" t="str">
        <f>"CAIXA MOVIMENTAÇÃO OPERACIONAL (132)"</f>
        <v>CAIXA MOVIMENTAÇÃO OPERACIONAL (132)</v>
      </c>
      <c r="T1366">
        <v>18007</v>
      </c>
      <c r="U1366">
        <v>21877</v>
      </c>
      <c r="V1366" t="s">
        <v>48</v>
      </c>
    </row>
    <row r="1367" spans="1:22">
      <c r="A1367" t="str">
        <f t="shared" si="226"/>
        <v>10/09/2025</v>
      </c>
      <c r="B1367" t="str">
        <f>"SAÍDA"</f>
        <v>SAÍDA</v>
      </c>
      <c r="C1367" t="str">
        <f>"PIX"</f>
        <v>PIX</v>
      </c>
      <c r="D1367" t="str">
        <f>"21262"</f>
        <v>21262</v>
      </c>
      <c r="E1367" t="str">
        <f>"1"</f>
        <v>1</v>
      </c>
      <c r="F1367" t="str">
        <f t="shared" si="225"/>
        <v>COM</v>
      </c>
      <c r="G1367" t="str">
        <f>"VINICIUS DE SOUZA ISABEL (658)"</f>
        <v>VINICIUS DE SOUZA ISABEL (658)</v>
      </c>
      <c r="H1367" t="s">
        <v>438</v>
      </c>
      <c r="I1367" t="str">
        <f>("11/09/2025")</f>
        <v>11/09/2025</v>
      </c>
      <c r="J1367" t="str">
        <f>("02/09/2025")</f>
        <v>02/09/2025</v>
      </c>
      <c r="K1367">
        <v>45910</v>
      </c>
      <c r="N1367">
        <v>109</v>
      </c>
      <c r="O1367" t="s">
        <v>24</v>
      </c>
      <c r="Q1367">
        <v>20</v>
      </c>
      <c r="R1367" t="str">
        <f>"FARMÁCIA INDIANA LJ 219 (10091)"</f>
        <v>FARMÁCIA INDIANA LJ 219 (10091)</v>
      </c>
      <c r="S1367" t="s">
        <v>48</v>
      </c>
      <c r="T1367">
        <v>18007</v>
      </c>
      <c r="U1367">
        <v>21877</v>
      </c>
      <c r="V1367" t="s">
        <v>48</v>
      </c>
    </row>
    <row r="1368" spans="1:22">
      <c r="A1368" t="str">
        <f t="shared" si="226"/>
        <v>10/09/2025</v>
      </c>
      <c r="B1368" t="str">
        <f>"SAÍDA"</f>
        <v>SAÍDA</v>
      </c>
      <c r="C1368" t="str">
        <f>"PIX"</f>
        <v>PIX</v>
      </c>
      <c r="D1368" t="str">
        <f>"21168"</f>
        <v>21168</v>
      </c>
      <c r="E1368" t="str">
        <f>"1"</f>
        <v>1</v>
      </c>
      <c r="F1368" t="str">
        <f t="shared" si="225"/>
        <v>COM</v>
      </c>
      <c r="G1368" t="str">
        <f>"VINÍCIUS NEVES PEREIRA (776)"</f>
        <v>VINÍCIUS NEVES PEREIRA (776)</v>
      </c>
      <c r="H1368" t="str">
        <f>"Serv.Prest. 25/08/2025 a 31/08/2025 - PIX: CPF - CHAVE: 121.963.507-37"</f>
        <v>Serv.Prest. 25/08/2025 a 31/08/2025 - PIX: CPF - CHAVE: 121.963.507-37</v>
      </c>
      <c r="I1368" t="str">
        <f>("11/09/2025")</f>
        <v>11/09/2025</v>
      </c>
      <c r="J1368" t="str">
        <f>("02/09/2025")</f>
        <v>02/09/2025</v>
      </c>
      <c r="K1368" t="str">
        <f>("10/09/2025")</f>
        <v>10/09/2025</v>
      </c>
      <c r="L1368">
        <v>20</v>
      </c>
      <c r="M1368">
        <v>20</v>
      </c>
      <c r="N1368">
        <v>109</v>
      </c>
      <c r="O1368" t="str">
        <f>"PAGAMENTO DE ENTREGADORES"</f>
        <v>PAGAMENTO DE ENTREGADORES</v>
      </c>
      <c r="P1368">
        <v>20</v>
      </c>
      <c r="S1368" t="str">
        <f>"CAIXA MOVIMENTAÇÃO OPERACIONAL (132)"</f>
        <v>CAIXA MOVIMENTAÇÃO OPERACIONAL (132)</v>
      </c>
      <c r="T1368">
        <v>18008</v>
      </c>
      <c r="U1368">
        <v>21878</v>
      </c>
      <c r="V1368" t="s">
        <v>48</v>
      </c>
    </row>
    <row r="1369" spans="1:22">
      <c r="A1369" t="str">
        <f t="shared" si="226"/>
        <v>10/09/2025</v>
      </c>
      <c r="B1369" t="str">
        <f>"SAÍDA"</f>
        <v>SAÍDA</v>
      </c>
      <c r="C1369" t="str">
        <f>"PIX"</f>
        <v>PIX</v>
      </c>
      <c r="D1369" t="str">
        <f>"21168"</f>
        <v>21168</v>
      </c>
      <c r="E1369" t="str">
        <f>"1"</f>
        <v>1</v>
      </c>
      <c r="F1369" t="str">
        <f t="shared" si="225"/>
        <v>COM</v>
      </c>
      <c r="G1369" t="str">
        <f>"VINÍCIUS NEVES PEREIRA (776)"</f>
        <v>VINÍCIUS NEVES PEREIRA (776)</v>
      </c>
      <c r="H1369" t="s">
        <v>439</v>
      </c>
      <c r="I1369" t="str">
        <f>("11/09/2025")</f>
        <v>11/09/2025</v>
      </c>
      <c r="J1369" t="str">
        <f>("02/09/2025")</f>
        <v>02/09/2025</v>
      </c>
      <c r="K1369">
        <v>45910</v>
      </c>
      <c r="N1369">
        <v>109</v>
      </c>
      <c r="O1369" t="s">
        <v>24</v>
      </c>
      <c r="Q1369">
        <v>20</v>
      </c>
      <c r="R1369" t="str">
        <f>"FARMÁCIA INDIANA LJ 221 (10093)"</f>
        <v>FARMÁCIA INDIANA LJ 221 (10093)</v>
      </c>
      <c r="S1369" t="s">
        <v>48</v>
      </c>
      <c r="T1369">
        <v>18008</v>
      </c>
      <c r="U1369">
        <v>21878</v>
      </c>
      <c r="V1369" t="s">
        <v>48</v>
      </c>
    </row>
    <row r="1370" spans="1:22">
      <c r="A1370" t="str">
        <f t="shared" si="226"/>
        <v>10/09/2025</v>
      </c>
      <c r="B1370" t="str">
        <f>"ENTRADA"</f>
        <v>ENTRADA</v>
      </c>
      <c r="C1370" t="str">
        <f>"DINHEIRO"</f>
        <v>DINHEIRO</v>
      </c>
      <c r="D1370" t="str">
        <f>"776"</f>
        <v>776</v>
      </c>
      <c r="E1370" t="str">
        <f>"4"</f>
        <v>4</v>
      </c>
      <c r="F1370" t="str">
        <f t="shared" si="225"/>
        <v>COM</v>
      </c>
      <c r="G1370" t="str">
        <f>"VINÍCIUS NEVES PEREIRA (776)"</f>
        <v>VINÍCIUS NEVES PEREIRA (776)</v>
      </c>
      <c r="H1370" t="str">
        <f>"COTA COOPERATIVA"</f>
        <v>COTA COOPERATIVA</v>
      </c>
      <c r="I1370" t="str">
        <f>("12/09/2025")</f>
        <v>12/09/2025</v>
      </c>
      <c r="J1370" t="str">
        <f>("23/04/2025")</f>
        <v>23/04/2025</v>
      </c>
      <c r="K1370" t="str">
        <f>("10/09/2025")</f>
        <v>10/09/2025</v>
      </c>
      <c r="L1370">
        <v>20</v>
      </c>
      <c r="M1370">
        <v>20</v>
      </c>
      <c r="N1370">
        <v>106</v>
      </c>
      <c r="O1370" t="str">
        <f>"ENTRADA DE CAPITAL"</f>
        <v>ENTRADA DE CAPITAL</v>
      </c>
      <c r="P1370">
        <v>20</v>
      </c>
      <c r="S1370" t="str">
        <f>"ENTRADA DE CAPITAL (106)"</f>
        <v>ENTRADA DE CAPITAL (106)</v>
      </c>
      <c r="T1370">
        <v>18009</v>
      </c>
      <c r="U1370">
        <v>16663</v>
      </c>
      <c r="V1370" t="s">
        <v>48</v>
      </c>
    </row>
    <row r="1371" spans="1:22">
      <c r="A1371" t="str">
        <f t="shared" si="226"/>
        <v>10/09/2025</v>
      </c>
      <c r="B1371" t="str">
        <f>"ENTRADA"</f>
        <v>ENTRADA</v>
      </c>
      <c r="C1371" t="str">
        <f>"DINHEIRO"</f>
        <v>DINHEIRO</v>
      </c>
      <c r="D1371" t="str">
        <f>"776"</f>
        <v>776</v>
      </c>
      <c r="E1371" t="str">
        <f>"4"</f>
        <v>4</v>
      </c>
      <c r="F1371" t="str">
        <f t="shared" si="225"/>
        <v>COM</v>
      </c>
      <c r="G1371" t="str">
        <f>"VINÍCIUS NEVES PEREIRA (776)"</f>
        <v>VINÍCIUS NEVES PEREIRA (776)</v>
      </c>
      <c r="H1371" t="s">
        <v>50</v>
      </c>
      <c r="I1371" t="str">
        <f>("12/09/2025")</f>
        <v>12/09/2025</v>
      </c>
      <c r="J1371" t="str">
        <f>("23/04/2025")</f>
        <v>23/04/2025</v>
      </c>
      <c r="K1371">
        <v>45910</v>
      </c>
      <c r="N1371">
        <v>106</v>
      </c>
      <c r="O1371" t="s">
        <v>51</v>
      </c>
      <c r="Q1371">
        <v>20</v>
      </c>
      <c r="R1371" t="str">
        <f>"VINÍCIUS NEVES PEREIRA (776)"</f>
        <v>VINÍCIUS NEVES PEREIRA (776)</v>
      </c>
      <c r="S1371" t="s">
        <v>52</v>
      </c>
      <c r="T1371">
        <v>18009</v>
      </c>
      <c r="U1371">
        <v>16663</v>
      </c>
      <c r="V1371" t="s">
        <v>48</v>
      </c>
    </row>
    <row r="1372" spans="1:22">
      <c r="A1372" t="str">
        <f t="shared" si="226"/>
        <v>10/09/2025</v>
      </c>
      <c r="B1372" t="str">
        <f>"SAÍDA"</f>
        <v>SAÍDA</v>
      </c>
      <c r="C1372" t="str">
        <f>"PIX"</f>
        <v>PIX</v>
      </c>
      <c r="D1372" t="str">
        <f>"21157"</f>
        <v>21157</v>
      </c>
      <c r="E1372" t="str">
        <f>"1"</f>
        <v>1</v>
      </c>
      <c r="F1372" t="str">
        <f t="shared" ref="F1372:F1435" si="228">"COM"</f>
        <v>COM</v>
      </c>
      <c r="G1372" t="str">
        <f>"VINICIUS SANTOS PEREIRA (633)"</f>
        <v>VINICIUS SANTOS PEREIRA (633)</v>
      </c>
      <c r="H1372" t="str">
        <f>"Serv.Prest. 25/08/2025 a 31/08/2025 - PIX: CELULAR - CHAVE: (73) 99818-9718"</f>
        <v>Serv.Prest. 25/08/2025 a 31/08/2025 - PIX: CELULAR - CHAVE: (73) 99818-9718</v>
      </c>
      <c r="I1372" t="str">
        <f>("11/09/2025")</f>
        <v>11/09/2025</v>
      </c>
      <c r="J1372" t="str">
        <f>("02/09/2025")</f>
        <v>02/09/2025</v>
      </c>
      <c r="K1372" t="str">
        <f>("10/09/2025")</f>
        <v>10/09/2025</v>
      </c>
      <c r="L1372">
        <v>20</v>
      </c>
      <c r="M1372">
        <v>20</v>
      </c>
      <c r="N1372">
        <v>109</v>
      </c>
      <c r="O1372" t="str">
        <f>"PAGAMENTO DE ENTREGADORES"</f>
        <v>PAGAMENTO DE ENTREGADORES</v>
      </c>
      <c r="P1372">
        <v>20</v>
      </c>
      <c r="S1372" t="str">
        <f>"CAIXA MOVIMENTAÇÃO OPERACIONAL (132)"</f>
        <v>CAIXA MOVIMENTAÇÃO OPERACIONAL (132)</v>
      </c>
      <c r="T1372">
        <v>18010</v>
      </c>
      <c r="U1372">
        <v>21879</v>
      </c>
      <c r="V1372" t="s">
        <v>48</v>
      </c>
    </row>
    <row r="1373" spans="1:22">
      <c r="A1373" t="str">
        <f t="shared" si="226"/>
        <v>10/09/2025</v>
      </c>
      <c r="B1373" t="str">
        <f>"SAÍDA"</f>
        <v>SAÍDA</v>
      </c>
      <c r="C1373" t="str">
        <f>"PIX"</f>
        <v>PIX</v>
      </c>
      <c r="D1373" t="str">
        <f>"21157"</f>
        <v>21157</v>
      </c>
      <c r="E1373" t="str">
        <f>"1"</f>
        <v>1</v>
      </c>
      <c r="F1373" t="str">
        <f t="shared" si="228"/>
        <v>COM</v>
      </c>
      <c r="G1373" t="str">
        <f>"VINICIUS SANTOS PEREIRA (633)"</f>
        <v>VINICIUS SANTOS PEREIRA (633)</v>
      </c>
      <c r="H1373" t="s">
        <v>440</v>
      </c>
      <c r="I1373" t="str">
        <f>("11/09/2025")</f>
        <v>11/09/2025</v>
      </c>
      <c r="J1373" t="str">
        <f>("02/09/2025")</f>
        <v>02/09/2025</v>
      </c>
      <c r="K1373">
        <v>45910</v>
      </c>
      <c r="N1373">
        <v>109</v>
      </c>
      <c r="O1373" t="s">
        <v>24</v>
      </c>
      <c r="Q1373">
        <v>20</v>
      </c>
      <c r="R1373" t="str">
        <f>"FARMÁCIA INDIANA LJ 95 (10039)"</f>
        <v>FARMÁCIA INDIANA LJ 95 (10039)</v>
      </c>
      <c r="S1373" t="s">
        <v>48</v>
      </c>
      <c r="T1373">
        <v>18010</v>
      </c>
      <c r="U1373">
        <v>21879</v>
      </c>
      <c r="V1373" t="s">
        <v>48</v>
      </c>
    </row>
    <row r="1374" spans="1:22">
      <c r="A1374" t="str">
        <f t="shared" si="226"/>
        <v>10/09/2025</v>
      </c>
      <c r="B1374" t="str">
        <f>"ENTRADA"</f>
        <v>ENTRADA</v>
      </c>
      <c r="C1374" t="str">
        <f>"DINHEIRO"</f>
        <v>DINHEIRO</v>
      </c>
      <c r="D1374" t="str">
        <f>"633"</f>
        <v>633</v>
      </c>
      <c r="E1374" t="str">
        <f>"8"</f>
        <v>8</v>
      </c>
      <c r="F1374" t="str">
        <f t="shared" si="228"/>
        <v>COM</v>
      </c>
      <c r="G1374" t="str">
        <f>"VINICIUS SANTOS PEREIRA (633)"</f>
        <v>VINICIUS SANTOS PEREIRA (633)</v>
      </c>
      <c r="H1374" t="str">
        <f>"COTAS COOPERATIVA"</f>
        <v>COTAS COOPERATIVA</v>
      </c>
      <c r="I1374" t="str">
        <f>("13/09/2025")</f>
        <v>13/09/2025</v>
      </c>
      <c r="J1374" t="str">
        <f>("13/02/2025")</f>
        <v>13/02/2025</v>
      </c>
      <c r="K1374" t="str">
        <f>("10/09/2025")</f>
        <v>10/09/2025</v>
      </c>
      <c r="L1374">
        <v>20</v>
      </c>
      <c r="M1374">
        <v>20</v>
      </c>
      <c r="N1374">
        <v>106</v>
      </c>
      <c r="O1374" t="str">
        <f>"ENTRADA DE CAPITAL"</f>
        <v>ENTRADA DE CAPITAL</v>
      </c>
      <c r="P1374">
        <v>20</v>
      </c>
      <c r="S1374" t="str">
        <f>"ENTRADA DE CAPITAL (106)"</f>
        <v>ENTRADA DE CAPITAL (106)</v>
      </c>
      <c r="T1374">
        <v>18011</v>
      </c>
      <c r="U1374">
        <v>9686</v>
      </c>
      <c r="V1374" t="s">
        <v>48</v>
      </c>
    </row>
    <row r="1375" spans="1:22">
      <c r="A1375" t="str">
        <f t="shared" si="226"/>
        <v>10/09/2025</v>
      </c>
      <c r="B1375" t="str">
        <f>"ENTRADA"</f>
        <v>ENTRADA</v>
      </c>
      <c r="C1375" t="str">
        <f>"DINHEIRO"</f>
        <v>DINHEIRO</v>
      </c>
      <c r="D1375" t="str">
        <f>"633"</f>
        <v>633</v>
      </c>
      <c r="E1375" t="str">
        <f>"8"</f>
        <v>8</v>
      </c>
      <c r="F1375" t="str">
        <f t="shared" si="228"/>
        <v>COM</v>
      </c>
      <c r="G1375" t="str">
        <f>"VINICIUS SANTOS PEREIRA (633)"</f>
        <v>VINICIUS SANTOS PEREIRA (633)</v>
      </c>
      <c r="H1375" t="s">
        <v>318</v>
      </c>
      <c r="I1375" t="str">
        <f>("13/09/2025")</f>
        <v>13/09/2025</v>
      </c>
      <c r="J1375" t="str">
        <f>("13/02/2025")</f>
        <v>13/02/2025</v>
      </c>
      <c r="K1375">
        <v>45910</v>
      </c>
      <c r="N1375">
        <v>106</v>
      </c>
      <c r="O1375" t="s">
        <v>51</v>
      </c>
      <c r="Q1375">
        <v>20</v>
      </c>
      <c r="R1375" t="str">
        <f>"VINICIUS SANTOS PEREIRA (633)"</f>
        <v>VINICIUS SANTOS PEREIRA (633)</v>
      </c>
      <c r="S1375" t="s">
        <v>52</v>
      </c>
      <c r="T1375">
        <v>18011</v>
      </c>
      <c r="U1375">
        <v>9686</v>
      </c>
      <c r="V1375" t="s">
        <v>48</v>
      </c>
    </row>
    <row r="1376" spans="1:22">
      <c r="A1376" t="str">
        <f t="shared" si="226"/>
        <v>10/09/2025</v>
      </c>
      <c r="B1376" t="str">
        <f>"ENTRADA"</f>
        <v>ENTRADA</v>
      </c>
      <c r="C1376" t="str">
        <f>"DINHEIRO"</f>
        <v>DINHEIRO</v>
      </c>
      <c r="D1376" t="str">
        <f>"1109"</f>
        <v>1109</v>
      </c>
      <c r="E1376" t="str">
        <f>"25"</f>
        <v>25</v>
      </c>
      <c r="F1376" t="str">
        <f t="shared" si="228"/>
        <v>COM</v>
      </c>
      <c r="G1376" t="str">
        <f t="shared" ref="G1376:G1385" si="229">"VITOR CARDOSO FAUSTINO (257)"</f>
        <v>VITOR CARDOSO FAUSTINO (257)</v>
      </c>
      <c r="H1376" t="str">
        <f>"REEMBOLSO ADIANTAMENTO"</f>
        <v>REEMBOLSO ADIANTAMENTO</v>
      </c>
      <c r="I1376" t="str">
        <f>("11/09/2025")</f>
        <v>11/09/2025</v>
      </c>
      <c r="J1376" t="str">
        <f>("22/08/2025")</f>
        <v>22/08/2025</v>
      </c>
      <c r="K1376" t="str">
        <f>("10/09/2025")</f>
        <v>10/09/2025</v>
      </c>
      <c r="L1376">
        <v>250</v>
      </c>
      <c r="M1376">
        <v>250</v>
      </c>
      <c r="N1376">
        <v>129</v>
      </c>
      <c r="O1376" t="str">
        <f>"ENTRADA DE REEMBOLSO ADIANTAMENTO"</f>
        <v>ENTRADA DE REEMBOLSO ADIANTAMENTO</v>
      </c>
      <c r="P1376">
        <v>250</v>
      </c>
      <c r="S1376" t="str">
        <f>"ENTRADA DE REEMBOLSO ADIANTAMENTO (129)"</f>
        <v>ENTRADA DE REEMBOLSO ADIANTAMENTO (129)</v>
      </c>
      <c r="T1376">
        <v>18012</v>
      </c>
      <c r="U1376">
        <v>20780</v>
      </c>
      <c r="V1376" t="s">
        <v>48</v>
      </c>
    </row>
    <row r="1377" spans="1:22">
      <c r="A1377" t="str">
        <f t="shared" si="226"/>
        <v>10/09/2025</v>
      </c>
      <c r="B1377" t="str">
        <f>"ENTRADA"</f>
        <v>ENTRADA</v>
      </c>
      <c r="C1377" t="str">
        <f>"DINHEIRO"</f>
        <v>DINHEIRO</v>
      </c>
      <c r="D1377" t="str">
        <f>"1109"</f>
        <v>1109</v>
      </c>
      <c r="E1377" t="str">
        <f>"25"</f>
        <v>25</v>
      </c>
      <c r="F1377" t="str">
        <f t="shared" si="228"/>
        <v>COM</v>
      </c>
      <c r="G1377" t="str">
        <f t="shared" si="229"/>
        <v>VITOR CARDOSO FAUSTINO (257)</v>
      </c>
      <c r="H1377" t="s">
        <v>57</v>
      </c>
      <c r="I1377" t="str">
        <f>("11/09/2025")</f>
        <v>11/09/2025</v>
      </c>
      <c r="J1377" t="str">
        <f>("22/08/2025")</f>
        <v>22/08/2025</v>
      </c>
      <c r="K1377">
        <v>45910</v>
      </c>
      <c r="N1377">
        <v>129</v>
      </c>
      <c r="O1377" t="s">
        <v>58</v>
      </c>
      <c r="Q1377">
        <v>250</v>
      </c>
      <c r="R1377" t="str">
        <f>"VITOR CARDOSO FAUSTINO (257)"</f>
        <v>VITOR CARDOSO FAUSTINO (257)</v>
      </c>
      <c r="S1377" t="s">
        <v>59</v>
      </c>
      <c r="T1377">
        <v>18012</v>
      </c>
      <c r="U1377">
        <v>20780</v>
      </c>
      <c r="V1377" t="s">
        <v>48</v>
      </c>
    </row>
    <row r="1378" spans="1:22">
      <c r="A1378" t="str">
        <f t="shared" si="226"/>
        <v>10/09/2025</v>
      </c>
      <c r="B1378" t="str">
        <f>"SAÍDA"</f>
        <v>SAÍDA</v>
      </c>
      <c r="C1378" t="str">
        <f>"PIX"</f>
        <v>PIX</v>
      </c>
      <c r="D1378" t="str">
        <f>"21263"</f>
        <v>21263</v>
      </c>
      <c r="E1378" t="str">
        <f>"1"</f>
        <v>1</v>
      </c>
      <c r="F1378" t="str">
        <f t="shared" si="228"/>
        <v>COM</v>
      </c>
      <c r="G1378" t="str">
        <f t="shared" si="229"/>
        <v>VITOR CARDOSO FAUSTINO (257)</v>
      </c>
      <c r="H1378" t="str">
        <f>"Serv.Prest. 25/08/2025 a 31/08/2025 - PIX: CPF - CHAVE: 157.874.046-02"</f>
        <v>Serv.Prest. 25/08/2025 a 31/08/2025 - PIX: CPF - CHAVE: 157.874.046-02</v>
      </c>
      <c r="I1378" t="str">
        <f>("11/09/2025")</f>
        <v>11/09/2025</v>
      </c>
      <c r="J1378" t="str">
        <f>("02/09/2025")</f>
        <v>02/09/2025</v>
      </c>
      <c r="K1378" t="str">
        <f>("10/09/2025")</f>
        <v>10/09/2025</v>
      </c>
      <c r="L1378">
        <v>270</v>
      </c>
      <c r="M1378">
        <v>270</v>
      </c>
      <c r="N1378">
        <v>109</v>
      </c>
      <c r="O1378" t="str">
        <f>"PAGAMENTO DE ENTREGADORES"</f>
        <v>PAGAMENTO DE ENTREGADORES</v>
      </c>
      <c r="P1378">
        <v>270</v>
      </c>
      <c r="S1378" t="str">
        <f>"CAIXA MOVIMENTAÇÃO OPERACIONAL (132)"</f>
        <v>CAIXA MOVIMENTAÇÃO OPERACIONAL (132)</v>
      </c>
      <c r="T1378">
        <v>18013</v>
      </c>
      <c r="U1378">
        <v>21880</v>
      </c>
      <c r="V1378" t="s">
        <v>48</v>
      </c>
    </row>
    <row r="1379" spans="1:22">
      <c r="A1379" t="str">
        <f t="shared" si="226"/>
        <v>10/09/2025</v>
      </c>
      <c r="B1379" t="str">
        <f>"SAÍDA"</f>
        <v>SAÍDA</v>
      </c>
      <c r="C1379" t="str">
        <f>"PIX"</f>
        <v>PIX</v>
      </c>
      <c r="D1379" t="str">
        <f>"21263"</f>
        <v>21263</v>
      </c>
      <c r="E1379" t="str">
        <f>"1"</f>
        <v>1</v>
      </c>
      <c r="F1379" t="str">
        <f t="shared" si="228"/>
        <v>COM</v>
      </c>
      <c r="G1379" t="str">
        <f t="shared" si="229"/>
        <v>VITOR CARDOSO FAUSTINO (257)</v>
      </c>
      <c r="H1379" t="s">
        <v>441</v>
      </c>
      <c r="I1379" t="str">
        <f>("11/09/2025")</f>
        <v>11/09/2025</v>
      </c>
      <c r="J1379" t="str">
        <f>("02/09/2025")</f>
        <v>02/09/2025</v>
      </c>
      <c r="K1379">
        <v>45910</v>
      </c>
      <c r="N1379">
        <v>109</v>
      </c>
      <c r="O1379" t="s">
        <v>24</v>
      </c>
      <c r="Q1379">
        <v>270</v>
      </c>
      <c r="R1379" t="str">
        <f>"FARMÁCIA INDIANA LJ 07 (10007)"</f>
        <v>FARMÁCIA INDIANA LJ 07 (10007)</v>
      </c>
      <c r="S1379" t="s">
        <v>48</v>
      </c>
      <c r="T1379">
        <v>18013</v>
      </c>
      <c r="U1379">
        <v>21880</v>
      </c>
      <c r="V1379" t="s">
        <v>48</v>
      </c>
    </row>
    <row r="1380" spans="1:22">
      <c r="A1380" t="str">
        <f t="shared" si="226"/>
        <v>10/09/2025</v>
      </c>
      <c r="B1380" t="str">
        <f>"ENTRADA"</f>
        <v>ENTRADA</v>
      </c>
      <c r="C1380" t="str">
        <f>"DINHEIRO"</f>
        <v>DINHEIRO</v>
      </c>
      <c r="D1380" t="str">
        <f>"257"</f>
        <v>257</v>
      </c>
      <c r="E1380" t="str">
        <f>"22"</f>
        <v>22</v>
      </c>
      <c r="F1380" t="str">
        <f t="shared" si="228"/>
        <v>COM</v>
      </c>
      <c r="G1380" t="str">
        <f t="shared" si="229"/>
        <v>VITOR CARDOSO FAUSTINO (257)</v>
      </c>
      <c r="H1380" t="str">
        <f>"COTAS COOPERATIVA"</f>
        <v>COTAS COOPERATIVA</v>
      </c>
      <c r="I1380" t="str">
        <f>("13/09/2025")</f>
        <v>13/09/2025</v>
      </c>
      <c r="J1380" t="str">
        <f>("13/02/2025")</f>
        <v>13/02/2025</v>
      </c>
      <c r="K1380" t="str">
        <f>("10/09/2025")</f>
        <v>10/09/2025</v>
      </c>
      <c r="L1380">
        <v>20</v>
      </c>
      <c r="M1380">
        <v>20</v>
      </c>
      <c r="N1380">
        <v>106</v>
      </c>
      <c r="O1380" t="str">
        <f>"ENTRADA DE CAPITAL"</f>
        <v>ENTRADA DE CAPITAL</v>
      </c>
      <c r="P1380">
        <v>20</v>
      </c>
      <c r="S1380" t="str">
        <f>"ENTRADA DE CAPITAL (106)"</f>
        <v>ENTRADA DE CAPITAL (106)</v>
      </c>
      <c r="T1380">
        <v>18014</v>
      </c>
      <c r="U1380">
        <v>9712</v>
      </c>
      <c r="V1380" t="s">
        <v>48</v>
      </c>
    </row>
    <row r="1381" spans="1:22">
      <c r="A1381" t="str">
        <f t="shared" si="226"/>
        <v>10/09/2025</v>
      </c>
      <c r="B1381" t="str">
        <f>"ENTRADA"</f>
        <v>ENTRADA</v>
      </c>
      <c r="C1381" t="str">
        <f>"DINHEIRO"</f>
        <v>DINHEIRO</v>
      </c>
      <c r="D1381" t="str">
        <f>"257"</f>
        <v>257</v>
      </c>
      <c r="E1381" t="str">
        <f>"22"</f>
        <v>22</v>
      </c>
      <c r="F1381" t="str">
        <f t="shared" si="228"/>
        <v>COM</v>
      </c>
      <c r="G1381" t="str">
        <f t="shared" si="229"/>
        <v>VITOR CARDOSO FAUSTINO (257)</v>
      </c>
      <c r="H1381" t="s">
        <v>318</v>
      </c>
      <c r="I1381" t="str">
        <f>("13/09/2025")</f>
        <v>13/09/2025</v>
      </c>
      <c r="J1381" t="str">
        <f>("13/02/2025")</f>
        <v>13/02/2025</v>
      </c>
      <c r="K1381">
        <v>45910</v>
      </c>
      <c r="N1381">
        <v>106</v>
      </c>
      <c r="O1381" t="s">
        <v>51</v>
      </c>
      <c r="Q1381">
        <v>20</v>
      </c>
      <c r="R1381" t="str">
        <f>"VITOR CARDOSO FAUSTINO (257)"</f>
        <v>VITOR CARDOSO FAUSTINO (257)</v>
      </c>
      <c r="S1381" t="s">
        <v>52</v>
      </c>
      <c r="T1381">
        <v>18014</v>
      </c>
      <c r="U1381">
        <v>9712</v>
      </c>
      <c r="V1381" t="s">
        <v>48</v>
      </c>
    </row>
    <row r="1382" spans="1:22">
      <c r="A1382" t="str">
        <f t="shared" si="226"/>
        <v>10/09/2025</v>
      </c>
      <c r="B1382" t="str">
        <f>"ENTRADA"</f>
        <v>ENTRADA</v>
      </c>
      <c r="C1382" t="str">
        <f>"DINHEIRO"</f>
        <v>DINHEIRO</v>
      </c>
      <c r="D1382" t="str">
        <f>"1809"</f>
        <v>1809</v>
      </c>
      <c r="E1382" t="str">
        <f>"25"</f>
        <v>25</v>
      </c>
      <c r="F1382" t="str">
        <f t="shared" si="228"/>
        <v>COM</v>
      </c>
      <c r="G1382" t="str">
        <f t="shared" si="229"/>
        <v>VITOR CARDOSO FAUSTINO (257)</v>
      </c>
      <c r="H1382" t="str">
        <f>"REEMBOLSO ADIANTAMENTO"</f>
        <v>REEMBOLSO ADIANTAMENTO</v>
      </c>
      <c r="I1382" t="str">
        <f>("18/09/2025")</f>
        <v>18/09/2025</v>
      </c>
      <c r="J1382" t="str">
        <f>("22/08/2025")</f>
        <v>22/08/2025</v>
      </c>
      <c r="K1382" t="str">
        <f>("10/09/2025")</f>
        <v>10/09/2025</v>
      </c>
      <c r="L1382">
        <v>250</v>
      </c>
      <c r="M1382">
        <v>250</v>
      </c>
      <c r="N1382">
        <v>129</v>
      </c>
      <c r="O1382" t="str">
        <f>"ENTRADA DE REEMBOLSO ADIANTAMENTO"</f>
        <v>ENTRADA DE REEMBOLSO ADIANTAMENTO</v>
      </c>
      <c r="P1382">
        <v>250</v>
      </c>
      <c r="S1382" t="str">
        <f>"ENTRADA DE REEMBOLSO ADIANTAMENTO (129)"</f>
        <v>ENTRADA DE REEMBOLSO ADIANTAMENTO (129)</v>
      </c>
      <c r="T1382">
        <v>18015</v>
      </c>
      <c r="U1382">
        <v>20781</v>
      </c>
      <c r="V1382" t="s">
        <v>48</v>
      </c>
    </row>
    <row r="1383" spans="1:22">
      <c r="A1383" t="str">
        <f t="shared" si="226"/>
        <v>10/09/2025</v>
      </c>
      <c r="B1383" t="str">
        <f>"ENTRADA"</f>
        <v>ENTRADA</v>
      </c>
      <c r="C1383" t="str">
        <f>"DINHEIRO"</f>
        <v>DINHEIRO</v>
      </c>
      <c r="D1383" t="str">
        <f>"1809"</f>
        <v>1809</v>
      </c>
      <c r="E1383" t="str">
        <f>"25"</f>
        <v>25</v>
      </c>
      <c r="F1383" t="str">
        <f t="shared" si="228"/>
        <v>COM</v>
      </c>
      <c r="G1383" t="str">
        <f t="shared" si="229"/>
        <v>VITOR CARDOSO FAUSTINO (257)</v>
      </c>
      <c r="H1383" t="s">
        <v>57</v>
      </c>
      <c r="I1383" t="str">
        <f>("18/09/2025")</f>
        <v>18/09/2025</v>
      </c>
      <c r="J1383" t="str">
        <f>("22/08/2025")</f>
        <v>22/08/2025</v>
      </c>
      <c r="K1383">
        <v>45910</v>
      </c>
      <c r="N1383">
        <v>129</v>
      </c>
      <c r="O1383" t="s">
        <v>58</v>
      </c>
      <c r="Q1383">
        <v>250</v>
      </c>
      <c r="R1383" t="str">
        <f>"VITOR CARDOSO FAUSTINO (257)"</f>
        <v>VITOR CARDOSO FAUSTINO (257)</v>
      </c>
      <c r="S1383" t="s">
        <v>59</v>
      </c>
      <c r="T1383">
        <v>18015</v>
      </c>
      <c r="U1383">
        <v>20781</v>
      </c>
      <c r="V1383" t="s">
        <v>48</v>
      </c>
    </row>
    <row r="1384" spans="1:22">
      <c r="A1384" t="str">
        <f t="shared" si="226"/>
        <v>10/09/2025</v>
      </c>
      <c r="B1384" t="str">
        <f>"SAÍDA"</f>
        <v>SAÍDA</v>
      </c>
      <c r="C1384" t="str">
        <f>"PIX"</f>
        <v>PIX</v>
      </c>
      <c r="D1384" t="str">
        <f>"21579"</f>
        <v>21579</v>
      </c>
      <c r="E1384" t="str">
        <f>"1"</f>
        <v>1</v>
      </c>
      <c r="F1384" t="str">
        <f t="shared" si="228"/>
        <v>COM</v>
      </c>
      <c r="G1384" t="str">
        <f t="shared" si="229"/>
        <v>VITOR CARDOSO FAUSTINO (257)</v>
      </c>
      <c r="H1384" t="str">
        <f>"Serv.Prest. 01/09/2025 a 07/09/2025 - PIX: CPF - CHAVE: 157.874.046-02"</f>
        <v>Serv.Prest. 01/09/2025 a 07/09/2025 - PIX: CPF - CHAVE: 157.874.046-02</v>
      </c>
      <c r="I1384" t="str">
        <f>("18/09/2025")</f>
        <v>18/09/2025</v>
      </c>
      <c r="J1384" t="str">
        <f>("08/09/2025")</f>
        <v>08/09/2025</v>
      </c>
      <c r="K1384" t="str">
        <f>("10/09/2025")</f>
        <v>10/09/2025</v>
      </c>
      <c r="L1384">
        <v>250</v>
      </c>
      <c r="M1384">
        <v>250</v>
      </c>
      <c r="N1384">
        <v>109</v>
      </c>
      <c r="O1384" t="str">
        <f>"PAGAMENTO DE ENTREGADORES"</f>
        <v>PAGAMENTO DE ENTREGADORES</v>
      </c>
      <c r="P1384">
        <v>250</v>
      </c>
      <c r="S1384" t="str">
        <f>"CAIXA MOVIMENTAÇÃO OPERACIONAL (132)"</f>
        <v>CAIXA MOVIMENTAÇÃO OPERACIONAL (132)</v>
      </c>
      <c r="T1384">
        <v>18016</v>
      </c>
      <c r="U1384">
        <v>21881</v>
      </c>
      <c r="V1384" t="s">
        <v>48</v>
      </c>
    </row>
    <row r="1385" spans="1:22">
      <c r="A1385" t="str">
        <f t="shared" si="226"/>
        <v>10/09/2025</v>
      </c>
      <c r="B1385" t="str">
        <f>"SAÍDA"</f>
        <v>SAÍDA</v>
      </c>
      <c r="C1385" t="str">
        <f>"PIX"</f>
        <v>PIX</v>
      </c>
      <c r="D1385" t="str">
        <f>"21579"</f>
        <v>21579</v>
      </c>
      <c r="E1385" t="str">
        <f>"1"</f>
        <v>1</v>
      </c>
      <c r="F1385" t="str">
        <f t="shared" si="228"/>
        <v>COM</v>
      </c>
      <c r="G1385" t="str">
        <f t="shared" si="229"/>
        <v>VITOR CARDOSO FAUSTINO (257)</v>
      </c>
      <c r="H1385" t="s">
        <v>442</v>
      </c>
      <c r="I1385" t="str">
        <f>("18/09/2025")</f>
        <v>18/09/2025</v>
      </c>
      <c r="J1385" t="str">
        <f>("08/09/2025")</f>
        <v>08/09/2025</v>
      </c>
      <c r="K1385">
        <v>45910</v>
      </c>
      <c r="N1385">
        <v>109</v>
      </c>
      <c r="O1385" t="s">
        <v>24</v>
      </c>
      <c r="Q1385">
        <v>250</v>
      </c>
      <c r="R1385" t="str">
        <f>"FARMÁCIA INDIANA LJ 07 (10007)"</f>
        <v>FARMÁCIA INDIANA LJ 07 (10007)</v>
      </c>
      <c r="S1385" t="s">
        <v>48</v>
      </c>
      <c r="T1385">
        <v>18016</v>
      </c>
      <c r="U1385">
        <v>21881</v>
      </c>
      <c r="V1385" t="s">
        <v>48</v>
      </c>
    </row>
    <row r="1386" spans="1:22">
      <c r="A1386" t="str">
        <f t="shared" si="226"/>
        <v>10/09/2025</v>
      </c>
      <c r="B1386" t="str">
        <f>"SAÍDA"</f>
        <v>SAÍDA</v>
      </c>
      <c r="C1386" t="str">
        <f>"PIX"</f>
        <v>PIX</v>
      </c>
      <c r="D1386" t="str">
        <f>"21264"</f>
        <v>21264</v>
      </c>
      <c r="E1386" t="str">
        <f>"1"</f>
        <v>1</v>
      </c>
      <c r="F1386" t="str">
        <f t="shared" si="228"/>
        <v>COM</v>
      </c>
      <c r="G1386" t="str">
        <f>"VITOR DE SOUZA SILVA (360)"</f>
        <v>VITOR DE SOUZA SILVA (360)</v>
      </c>
      <c r="H1386" t="str">
        <f>"Serv.Prest. 25/08/2025 a 31/08/2025 - PIX: CPF - CHAVE: 130.194.566-81"</f>
        <v>Serv.Prest. 25/08/2025 a 31/08/2025 - PIX: CPF - CHAVE: 130.194.566-81</v>
      </c>
      <c r="I1386" t="str">
        <f>("11/09/2025")</f>
        <v>11/09/2025</v>
      </c>
      <c r="J1386" t="str">
        <f>("02/09/2025")</f>
        <v>02/09/2025</v>
      </c>
      <c r="K1386" t="str">
        <f>("10/09/2025")</f>
        <v>10/09/2025</v>
      </c>
      <c r="L1386">
        <v>20</v>
      </c>
      <c r="M1386">
        <v>20</v>
      </c>
      <c r="N1386">
        <v>109</v>
      </c>
      <c r="O1386" t="str">
        <f>"PAGAMENTO DE ENTREGADORES"</f>
        <v>PAGAMENTO DE ENTREGADORES</v>
      </c>
      <c r="P1386">
        <v>20</v>
      </c>
      <c r="S1386" t="str">
        <f>"CAIXA MOVIMENTAÇÃO OPERACIONAL (132)"</f>
        <v>CAIXA MOVIMENTAÇÃO OPERACIONAL (132)</v>
      </c>
      <c r="T1386">
        <v>18017</v>
      </c>
      <c r="U1386">
        <v>21882</v>
      </c>
      <c r="V1386" t="s">
        <v>48</v>
      </c>
    </row>
    <row r="1387" spans="1:22">
      <c r="A1387" t="str">
        <f t="shared" si="226"/>
        <v>10/09/2025</v>
      </c>
      <c r="B1387" t="str">
        <f>"SAÍDA"</f>
        <v>SAÍDA</v>
      </c>
      <c r="C1387" t="str">
        <f>"PIX"</f>
        <v>PIX</v>
      </c>
      <c r="D1387" t="str">
        <f>"21264"</f>
        <v>21264</v>
      </c>
      <c r="E1387" t="str">
        <f>"1"</f>
        <v>1</v>
      </c>
      <c r="F1387" t="str">
        <f t="shared" si="228"/>
        <v>COM</v>
      </c>
      <c r="G1387" t="str">
        <f>"VITOR DE SOUZA SILVA (360)"</f>
        <v>VITOR DE SOUZA SILVA (360)</v>
      </c>
      <c r="H1387" t="s">
        <v>443</v>
      </c>
      <c r="I1387" t="str">
        <f>("11/09/2025")</f>
        <v>11/09/2025</v>
      </c>
      <c r="J1387" t="str">
        <f>("02/09/2025")</f>
        <v>02/09/2025</v>
      </c>
      <c r="K1387">
        <v>45910</v>
      </c>
      <c r="N1387">
        <v>109</v>
      </c>
      <c r="O1387" t="s">
        <v>24</v>
      </c>
      <c r="Q1387">
        <v>20</v>
      </c>
      <c r="R1387" t="str">
        <f>"FARMÁCIA INDIANA LJ 121 (10054)"</f>
        <v>FARMÁCIA INDIANA LJ 121 (10054)</v>
      </c>
      <c r="S1387" t="s">
        <v>48</v>
      </c>
      <c r="T1387">
        <v>18017</v>
      </c>
      <c r="U1387">
        <v>21882</v>
      </c>
      <c r="V1387" t="s">
        <v>48</v>
      </c>
    </row>
    <row r="1388" spans="1:22">
      <c r="A1388" t="str">
        <f t="shared" si="226"/>
        <v>10/09/2025</v>
      </c>
      <c r="B1388" t="str">
        <f>"ENTRADA"</f>
        <v>ENTRADA</v>
      </c>
      <c r="C1388" t="str">
        <f>"DINHEIRO"</f>
        <v>DINHEIRO</v>
      </c>
      <c r="D1388" t="str">
        <f>"06"</f>
        <v>06</v>
      </c>
      <c r="E1388" t="str">
        <f>"33"</f>
        <v>33</v>
      </c>
      <c r="F1388" t="str">
        <f t="shared" si="228"/>
        <v>COM</v>
      </c>
      <c r="G1388" t="str">
        <f>"VITOR DE SOUZA SILVA (360)"</f>
        <v>VITOR DE SOUZA SILVA (360)</v>
      </c>
      <c r="H1388" t="str">
        <f>"DESCONTO COTA COOPERADO"</f>
        <v>DESCONTO COTA COOPERADO</v>
      </c>
      <c r="I1388" t="str">
        <f>("16/09/2025")</f>
        <v>16/09/2025</v>
      </c>
      <c r="J1388" t="str">
        <f>("16/01/2025")</f>
        <v>16/01/2025</v>
      </c>
      <c r="K1388" t="str">
        <f>("10/09/2025")</f>
        <v>10/09/2025</v>
      </c>
      <c r="L1388">
        <v>20</v>
      </c>
      <c r="M1388">
        <v>20</v>
      </c>
      <c r="N1388">
        <v>106</v>
      </c>
      <c r="O1388" t="str">
        <f>"ENTRADA DE CAPITAL"</f>
        <v>ENTRADA DE CAPITAL</v>
      </c>
      <c r="P1388">
        <v>20</v>
      </c>
      <c r="S1388" t="str">
        <f>"ENTRADA DE CAPITAL (106)"</f>
        <v>ENTRADA DE CAPITAL (106)</v>
      </c>
      <c r="T1388">
        <v>18018</v>
      </c>
      <c r="U1388">
        <v>7651</v>
      </c>
      <c r="V1388" t="s">
        <v>48</v>
      </c>
    </row>
    <row r="1389" spans="1:22">
      <c r="A1389" t="str">
        <f t="shared" si="226"/>
        <v>10/09/2025</v>
      </c>
      <c r="B1389" t="str">
        <f>"ENTRADA"</f>
        <v>ENTRADA</v>
      </c>
      <c r="C1389" t="str">
        <f>"DINHEIRO"</f>
        <v>DINHEIRO</v>
      </c>
      <c r="D1389" t="str">
        <f>"06"</f>
        <v>06</v>
      </c>
      <c r="E1389" t="str">
        <f>"33"</f>
        <v>33</v>
      </c>
      <c r="F1389" t="str">
        <f t="shared" si="228"/>
        <v>COM</v>
      </c>
      <c r="G1389" t="str">
        <f>"VITOR DE SOUZA SILVA (360)"</f>
        <v>VITOR DE SOUZA SILVA (360)</v>
      </c>
      <c r="H1389" t="s">
        <v>309</v>
      </c>
      <c r="I1389" t="str">
        <f>("16/09/2025")</f>
        <v>16/09/2025</v>
      </c>
      <c r="J1389" t="str">
        <f>("16/01/2025")</f>
        <v>16/01/2025</v>
      </c>
      <c r="K1389">
        <v>45910</v>
      </c>
      <c r="N1389">
        <v>106</v>
      </c>
      <c r="O1389" t="s">
        <v>51</v>
      </c>
      <c r="Q1389">
        <v>20</v>
      </c>
      <c r="R1389" t="str">
        <f>"VITOR DE SOUZA SILVA (360)"</f>
        <v>VITOR DE SOUZA SILVA (360)</v>
      </c>
      <c r="S1389" t="s">
        <v>52</v>
      </c>
      <c r="T1389">
        <v>18018</v>
      </c>
      <c r="U1389">
        <v>7651</v>
      </c>
      <c r="V1389" t="s">
        <v>48</v>
      </c>
    </row>
    <row r="1390" spans="1:22">
      <c r="A1390" t="str">
        <f t="shared" si="226"/>
        <v>10/09/2025</v>
      </c>
      <c r="B1390" t="str">
        <f>"SAÍDA"</f>
        <v>SAÍDA</v>
      </c>
      <c r="C1390" t="str">
        <f>"PIX"</f>
        <v>PIX</v>
      </c>
      <c r="D1390" t="str">
        <f>"21266"</f>
        <v>21266</v>
      </c>
      <c r="E1390" t="str">
        <f>"1"</f>
        <v>1</v>
      </c>
      <c r="F1390" t="str">
        <f t="shared" si="228"/>
        <v>COM</v>
      </c>
      <c r="G1390" t="str">
        <f>"WANDERSON JÚNIOR SOARES (628)"</f>
        <v>WANDERSON JÚNIOR SOARES (628)</v>
      </c>
      <c r="H1390" t="str">
        <f>"Serv.Prest. 25/08/2025 a 31/08/2025 - PIX: CPF - CHAVE: 170.180.266-01"</f>
        <v>Serv.Prest. 25/08/2025 a 31/08/2025 - PIX: CPF - CHAVE: 170.180.266-01</v>
      </c>
      <c r="I1390" t="str">
        <f>("11/09/2025")</f>
        <v>11/09/2025</v>
      </c>
      <c r="J1390" t="str">
        <f>("02/09/2025")</f>
        <v>02/09/2025</v>
      </c>
      <c r="K1390" t="str">
        <f>("10/09/2025")</f>
        <v>10/09/2025</v>
      </c>
      <c r="L1390">
        <v>20</v>
      </c>
      <c r="M1390">
        <v>20</v>
      </c>
      <c r="N1390">
        <v>109</v>
      </c>
      <c r="O1390" t="str">
        <f>"PAGAMENTO DE ENTREGADORES"</f>
        <v>PAGAMENTO DE ENTREGADORES</v>
      </c>
      <c r="P1390">
        <v>20</v>
      </c>
      <c r="S1390" t="str">
        <f>"CAIXA MOVIMENTAÇÃO OPERACIONAL (132)"</f>
        <v>CAIXA MOVIMENTAÇÃO OPERACIONAL (132)</v>
      </c>
      <c r="T1390">
        <v>18019</v>
      </c>
      <c r="U1390">
        <v>21883</v>
      </c>
      <c r="V1390" t="s">
        <v>48</v>
      </c>
    </row>
    <row r="1391" spans="1:22">
      <c r="A1391" t="str">
        <f t="shared" si="226"/>
        <v>10/09/2025</v>
      </c>
      <c r="B1391" t="str">
        <f>"SAÍDA"</f>
        <v>SAÍDA</v>
      </c>
      <c r="C1391" t="str">
        <f>"PIX"</f>
        <v>PIX</v>
      </c>
      <c r="D1391" t="str">
        <f>"21266"</f>
        <v>21266</v>
      </c>
      <c r="E1391" t="str">
        <f>"1"</f>
        <v>1</v>
      </c>
      <c r="F1391" t="str">
        <f t="shared" si="228"/>
        <v>COM</v>
      </c>
      <c r="G1391" t="str">
        <f>"WANDERSON JÚNIOR SOARES (628)"</f>
        <v>WANDERSON JÚNIOR SOARES (628)</v>
      </c>
      <c r="H1391" t="s">
        <v>28</v>
      </c>
      <c r="I1391" t="str">
        <f>("11/09/2025")</f>
        <v>11/09/2025</v>
      </c>
      <c r="J1391" t="str">
        <f>("02/09/2025")</f>
        <v>02/09/2025</v>
      </c>
      <c r="K1391">
        <v>45910</v>
      </c>
      <c r="N1391">
        <v>109</v>
      </c>
      <c r="O1391" t="s">
        <v>24</v>
      </c>
      <c r="Q1391">
        <v>20</v>
      </c>
      <c r="R1391" t="str">
        <f>"FARMÁCIA INDIANA LJ 110 (10048)"</f>
        <v>FARMÁCIA INDIANA LJ 110 (10048)</v>
      </c>
      <c r="S1391" t="s">
        <v>48</v>
      </c>
      <c r="T1391">
        <v>18019</v>
      </c>
      <c r="U1391">
        <v>21883</v>
      </c>
      <c r="V1391" t="s">
        <v>48</v>
      </c>
    </row>
    <row r="1392" spans="1:22">
      <c r="A1392" t="str">
        <f t="shared" si="226"/>
        <v>10/09/2025</v>
      </c>
      <c r="B1392" t="str">
        <f>"ENTRADA"</f>
        <v>ENTRADA</v>
      </c>
      <c r="C1392" t="str">
        <f>"DINHEIRO"</f>
        <v>DINHEIRO</v>
      </c>
      <c r="D1392" t="str">
        <f>"628"</f>
        <v>628</v>
      </c>
      <c r="E1392" t="str">
        <f>"8"</f>
        <v>8</v>
      </c>
      <c r="F1392" t="str">
        <f t="shared" si="228"/>
        <v>COM</v>
      </c>
      <c r="G1392" t="str">
        <f>"WANDERSON JÚNIOR SOARES (628)"</f>
        <v>WANDERSON JÚNIOR SOARES (628)</v>
      </c>
      <c r="H1392" t="str">
        <f>"COTAS COOPERATIVA"</f>
        <v>COTAS COOPERATIVA</v>
      </c>
      <c r="I1392" t="str">
        <f>("13/09/2025")</f>
        <v>13/09/2025</v>
      </c>
      <c r="J1392" t="str">
        <f>("13/02/2025")</f>
        <v>13/02/2025</v>
      </c>
      <c r="K1392" t="str">
        <f>("10/09/2025")</f>
        <v>10/09/2025</v>
      </c>
      <c r="L1392">
        <v>20</v>
      </c>
      <c r="M1392">
        <v>20</v>
      </c>
      <c r="N1392">
        <v>106</v>
      </c>
      <c r="O1392" t="str">
        <f>"ENTRADA DE CAPITAL"</f>
        <v>ENTRADA DE CAPITAL</v>
      </c>
      <c r="P1392">
        <v>20</v>
      </c>
      <c r="S1392" t="str">
        <f>"ENTRADA DE CAPITAL (106)"</f>
        <v>ENTRADA DE CAPITAL (106)</v>
      </c>
      <c r="T1392">
        <v>18020</v>
      </c>
      <c r="U1392">
        <v>9757</v>
      </c>
      <c r="V1392" t="s">
        <v>48</v>
      </c>
    </row>
    <row r="1393" spans="1:22">
      <c r="A1393" t="str">
        <f t="shared" si="226"/>
        <v>10/09/2025</v>
      </c>
      <c r="B1393" t="str">
        <f>"ENTRADA"</f>
        <v>ENTRADA</v>
      </c>
      <c r="C1393" t="str">
        <f>"DINHEIRO"</f>
        <v>DINHEIRO</v>
      </c>
      <c r="D1393" t="str">
        <f>"628"</f>
        <v>628</v>
      </c>
      <c r="E1393" t="str">
        <f>"8"</f>
        <v>8</v>
      </c>
      <c r="F1393" t="str">
        <f t="shared" si="228"/>
        <v>COM</v>
      </c>
      <c r="G1393" t="str">
        <f>"WANDERSON JÚNIOR SOARES (628)"</f>
        <v>WANDERSON JÚNIOR SOARES (628)</v>
      </c>
      <c r="H1393" t="s">
        <v>318</v>
      </c>
      <c r="I1393" t="str">
        <f>("13/09/2025")</f>
        <v>13/09/2025</v>
      </c>
      <c r="J1393" t="str">
        <f>("13/02/2025")</f>
        <v>13/02/2025</v>
      </c>
      <c r="K1393">
        <v>45910</v>
      </c>
      <c r="N1393">
        <v>106</v>
      </c>
      <c r="O1393" t="s">
        <v>51</v>
      </c>
      <c r="Q1393">
        <v>20</v>
      </c>
      <c r="R1393" t="str">
        <f>"WANDERSON JÚNIOR SOARES (628)"</f>
        <v>WANDERSON JÚNIOR SOARES (628)</v>
      </c>
      <c r="S1393" t="s">
        <v>52</v>
      </c>
      <c r="T1393">
        <v>18020</v>
      </c>
      <c r="U1393">
        <v>9757</v>
      </c>
      <c r="V1393" t="s">
        <v>48</v>
      </c>
    </row>
    <row r="1394" spans="1:22">
      <c r="A1394" t="str">
        <f t="shared" si="226"/>
        <v>10/09/2025</v>
      </c>
      <c r="B1394" t="str">
        <f>"SAÍDA"</f>
        <v>SAÍDA</v>
      </c>
      <c r="C1394" t="str">
        <f>"PIX"</f>
        <v>PIX</v>
      </c>
      <c r="D1394" t="str">
        <f>"21267"</f>
        <v>21267</v>
      </c>
      <c r="E1394" t="str">
        <f>"1"</f>
        <v>1</v>
      </c>
      <c r="F1394" t="str">
        <f t="shared" si="228"/>
        <v>COM</v>
      </c>
      <c r="G1394" t="str">
        <f>"WARLEN JUNIO ELIAS DE OLIVEIRA (171)"</f>
        <v>WARLEN JUNIO ELIAS DE OLIVEIRA (171)</v>
      </c>
      <c r="H1394" t="str">
        <f>"Serv.Prest. 25/08/2025 a 31/08/2025 - PIX: CELULAR - CHAVE: (31) 97251-6838"</f>
        <v>Serv.Prest. 25/08/2025 a 31/08/2025 - PIX: CELULAR - CHAVE: (31) 97251-6838</v>
      </c>
      <c r="I1394" t="str">
        <f>("11/09/2025")</f>
        <v>11/09/2025</v>
      </c>
      <c r="J1394" t="str">
        <f>("02/09/2025")</f>
        <v>02/09/2025</v>
      </c>
      <c r="K1394" t="str">
        <f>("10/09/2025")</f>
        <v>10/09/2025</v>
      </c>
      <c r="L1394">
        <v>20</v>
      </c>
      <c r="M1394">
        <v>20</v>
      </c>
      <c r="N1394">
        <v>109</v>
      </c>
      <c r="O1394" t="str">
        <f>"PAGAMENTO DE ENTREGADORES"</f>
        <v>PAGAMENTO DE ENTREGADORES</v>
      </c>
      <c r="P1394">
        <v>20</v>
      </c>
      <c r="S1394" t="str">
        <f>"CAIXA MOVIMENTAÇÃO OPERACIONAL (132)"</f>
        <v>CAIXA MOVIMENTAÇÃO OPERACIONAL (132)</v>
      </c>
      <c r="T1394">
        <v>18021</v>
      </c>
      <c r="U1394">
        <v>21884</v>
      </c>
      <c r="V1394" t="s">
        <v>48</v>
      </c>
    </row>
    <row r="1395" spans="1:22">
      <c r="A1395" t="str">
        <f t="shared" si="226"/>
        <v>10/09/2025</v>
      </c>
      <c r="B1395" t="str">
        <f>"SAÍDA"</f>
        <v>SAÍDA</v>
      </c>
      <c r="C1395" t="str">
        <f>"PIX"</f>
        <v>PIX</v>
      </c>
      <c r="D1395" t="str">
        <f>"21267"</f>
        <v>21267</v>
      </c>
      <c r="E1395" t="str">
        <f>"1"</f>
        <v>1</v>
      </c>
      <c r="F1395" t="str">
        <f t="shared" si="228"/>
        <v>COM</v>
      </c>
      <c r="G1395" t="str">
        <f>"WARLEN JUNIO ELIAS DE OLIVEIRA (171)"</f>
        <v>WARLEN JUNIO ELIAS DE OLIVEIRA (171)</v>
      </c>
      <c r="H1395" t="s">
        <v>444</v>
      </c>
      <c r="I1395" t="str">
        <f>("11/09/2025")</f>
        <v>11/09/2025</v>
      </c>
      <c r="J1395" t="str">
        <f>("02/09/2025")</f>
        <v>02/09/2025</v>
      </c>
      <c r="K1395">
        <v>45910</v>
      </c>
      <c r="N1395">
        <v>109</v>
      </c>
      <c r="O1395" t="s">
        <v>24</v>
      </c>
      <c r="Q1395">
        <v>20</v>
      </c>
      <c r="R1395" t="str">
        <f>"FARMÁCIA INDIANA LJ 175 (10076)"</f>
        <v>FARMÁCIA INDIANA LJ 175 (10076)</v>
      </c>
      <c r="S1395" t="s">
        <v>48</v>
      </c>
      <c r="T1395">
        <v>18021</v>
      </c>
      <c r="U1395">
        <v>21884</v>
      </c>
      <c r="V1395" t="s">
        <v>48</v>
      </c>
    </row>
    <row r="1396" spans="1:22">
      <c r="A1396" t="str">
        <f t="shared" si="226"/>
        <v>10/09/2025</v>
      </c>
      <c r="B1396" t="str">
        <f>"ENTRADA"</f>
        <v>ENTRADA</v>
      </c>
      <c r="C1396" t="str">
        <f>"DINHEIRO"</f>
        <v>DINHEIRO</v>
      </c>
      <c r="D1396" t="str">
        <f>"11"</f>
        <v>11</v>
      </c>
      <c r="E1396" t="str">
        <f>"33"</f>
        <v>33</v>
      </c>
      <c r="F1396" t="str">
        <f t="shared" si="228"/>
        <v>COM</v>
      </c>
      <c r="G1396" t="str">
        <f>"WARLEN JUNIO ELIAS DE OLIVEIRA (171)"</f>
        <v>WARLEN JUNIO ELIAS DE OLIVEIRA (171)</v>
      </c>
      <c r="H1396" t="str">
        <f>"DESCONTO COTA COOPERADO"</f>
        <v>DESCONTO COTA COOPERADO</v>
      </c>
      <c r="I1396" t="str">
        <f>("16/09/2025")</f>
        <v>16/09/2025</v>
      </c>
      <c r="J1396" t="str">
        <f>("16/01/2025")</f>
        <v>16/01/2025</v>
      </c>
      <c r="K1396" t="str">
        <f>("10/09/2025")</f>
        <v>10/09/2025</v>
      </c>
      <c r="L1396">
        <v>20</v>
      </c>
      <c r="M1396">
        <v>20</v>
      </c>
      <c r="N1396">
        <v>106</v>
      </c>
      <c r="O1396" t="str">
        <f>"ENTRADA DE CAPITAL"</f>
        <v>ENTRADA DE CAPITAL</v>
      </c>
      <c r="P1396">
        <v>20</v>
      </c>
      <c r="S1396" t="str">
        <f>"ENTRADA DE CAPITAL (106)"</f>
        <v>ENTRADA DE CAPITAL (106)</v>
      </c>
      <c r="T1396">
        <v>18022</v>
      </c>
      <c r="U1396">
        <v>7693</v>
      </c>
      <c r="V1396" t="s">
        <v>48</v>
      </c>
    </row>
    <row r="1397" spans="1:22">
      <c r="A1397" t="str">
        <f t="shared" si="226"/>
        <v>10/09/2025</v>
      </c>
      <c r="B1397" t="str">
        <f>"ENTRADA"</f>
        <v>ENTRADA</v>
      </c>
      <c r="C1397" t="str">
        <f>"DINHEIRO"</f>
        <v>DINHEIRO</v>
      </c>
      <c r="D1397" t="str">
        <f>"11"</f>
        <v>11</v>
      </c>
      <c r="E1397" t="str">
        <f>"33"</f>
        <v>33</v>
      </c>
      <c r="F1397" t="str">
        <f t="shared" si="228"/>
        <v>COM</v>
      </c>
      <c r="G1397" t="str">
        <f>"WARLEN JUNIO ELIAS DE OLIVEIRA (171)"</f>
        <v>WARLEN JUNIO ELIAS DE OLIVEIRA (171)</v>
      </c>
      <c r="H1397" t="s">
        <v>309</v>
      </c>
      <c r="I1397" t="str">
        <f>("16/09/2025")</f>
        <v>16/09/2025</v>
      </c>
      <c r="J1397" t="str">
        <f>("16/01/2025")</f>
        <v>16/01/2025</v>
      </c>
      <c r="K1397">
        <v>45910</v>
      </c>
      <c r="N1397">
        <v>106</v>
      </c>
      <c r="O1397" t="s">
        <v>51</v>
      </c>
      <c r="Q1397">
        <v>20</v>
      </c>
      <c r="R1397" t="str">
        <f>"WARLEN JUNIO ELIAS DE OLIVEIRA (171)"</f>
        <v>WARLEN JUNIO ELIAS DE OLIVEIRA (171)</v>
      </c>
      <c r="S1397" t="s">
        <v>52</v>
      </c>
      <c r="T1397">
        <v>18022</v>
      </c>
      <c r="U1397">
        <v>7693</v>
      </c>
      <c r="V1397" t="s">
        <v>48</v>
      </c>
    </row>
    <row r="1398" spans="1:22">
      <c r="A1398" t="str">
        <f t="shared" ref="A1398:A1461" si="230">("10/09/2025")</f>
        <v>10/09/2025</v>
      </c>
      <c r="B1398" t="str">
        <f>"ENTRADA"</f>
        <v>ENTRADA</v>
      </c>
      <c r="C1398" t="str">
        <f>"DINHEIRO"</f>
        <v>DINHEIRO</v>
      </c>
      <c r="D1398" t="str">
        <f>"888"</f>
        <v>888</v>
      </c>
      <c r="E1398" t="str">
        <f>"2"</f>
        <v>2</v>
      </c>
      <c r="F1398" t="str">
        <f t="shared" si="228"/>
        <v>COM</v>
      </c>
      <c r="G1398" t="str">
        <f>"WASHINGTON VALERIO DE SOUZA (888)"</f>
        <v>WASHINGTON VALERIO DE SOUZA (888)</v>
      </c>
      <c r="H1398" t="str">
        <f>"COTA COOPERATIVA"</f>
        <v>COTA COOPERATIVA</v>
      </c>
      <c r="I1398" t="str">
        <f>("10/09/2025")</f>
        <v>10/09/2025</v>
      </c>
      <c r="J1398" t="str">
        <f>("20/07/2025")</f>
        <v>20/07/2025</v>
      </c>
      <c r="K1398" t="str">
        <f>("10/09/2025")</f>
        <v>10/09/2025</v>
      </c>
      <c r="L1398">
        <v>20</v>
      </c>
      <c r="M1398">
        <v>20</v>
      </c>
      <c r="N1398">
        <v>106</v>
      </c>
      <c r="O1398" t="str">
        <f>"ENTRADA DE CAPITAL"</f>
        <v>ENTRADA DE CAPITAL</v>
      </c>
      <c r="P1398">
        <v>20</v>
      </c>
      <c r="S1398" t="str">
        <f>"ENTRADA DE CAPITAL (106)"</f>
        <v>ENTRADA DE CAPITAL (106)</v>
      </c>
      <c r="T1398">
        <v>18023</v>
      </c>
      <c r="U1398">
        <v>19985</v>
      </c>
      <c r="V1398" t="s">
        <v>48</v>
      </c>
    </row>
    <row r="1399" spans="1:22">
      <c r="A1399" t="str">
        <f t="shared" si="230"/>
        <v>10/09/2025</v>
      </c>
      <c r="B1399" t="str">
        <f t="shared" ref="B1399:B1405" si="231">"SAÍDA"</f>
        <v>SAÍDA</v>
      </c>
      <c r="C1399" t="str">
        <f t="shared" ref="C1399:C1405" si="232">"PIX"</f>
        <v>PIX</v>
      </c>
      <c r="D1399" t="str">
        <f>"21452"</f>
        <v>21452</v>
      </c>
      <c r="E1399" t="str">
        <f t="shared" ref="E1399:E1405" si="233">"1"</f>
        <v>1</v>
      </c>
      <c r="F1399" t="str">
        <f t="shared" si="228"/>
        <v>COM</v>
      </c>
      <c r="G1399" t="str">
        <f>"WASHINGTON VALERIO DE SOUZA (888)"</f>
        <v>WASHINGTON VALERIO DE SOUZA (888)</v>
      </c>
      <c r="H1399" t="str">
        <f>"Serv.Prest. 01/09/2025 a 07/09/2025 - PIX: CPF - CHAVE: 080.965.696-51"</f>
        <v>Serv.Prest. 01/09/2025 a 07/09/2025 - PIX: CPF - CHAVE: 080.965.696-51</v>
      </c>
      <c r="I1399" t="str">
        <f t="shared" ref="I1399:I1405" si="234">("11/09/2025")</f>
        <v>11/09/2025</v>
      </c>
      <c r="J1399" t="str">
        <f>("08/09/2025")</f>
        <v>08/09/2025</v>
      </c>
      <c r="K1399" t="str">
        <f>("10/09/2025")</f>
        <v>10/09/2025</v>
      </c>
      <c r="L1399">
        <v>20</v>
      </c>
      <c r="M1399">
        <v>20</v>
      </c>
      <c r="N1399">
        <v>109</v>
      </c>
      <c r="O1399" t="str">
        <f>"PAGAMENTO DE ENTREGADORES"</f>
        <v>PAGAMENTO DE ENTREGADORES</v>
      </c>
      <c r="P1399">
        <v>20</v>
      </c>
      <c r="S1399" t="str">
        <f>"CAIXA MOVIMENTAÇÃO OPERACIONAL (132)"</f>
        <v>CAIXA MOVIMENTAÇÃO OPERACIONAL (132)</v>
      </c>
      <c r="T1399">
        <v>18024</v>
      </c>
      <c r="U1399">
        <v>21885</v>
      </c>
      <c r="V1399" t="s">
        <v>48</v>
      </c>
    </row>
    <row r="1400" spans="1:22">
      <c r="A1400" t="str">
        <f t="shared" si="230"/>
        <v>10/09/2025</v>
      </c>
      <c r="B1400" t="str">
        <f t="shared" si="231"/>
        <v>SAÍDA</v>
      </c>
      <c r="C1400" t="str">
        <f t="shared" si="232"/>
        <v>PIX</v>
      </c>
      <c r="D1400" t="str">
        <f>"21452"</f>
        <v>21452</v>
      </c>
      <c r="E1400" t="str">
        <f t="shared" si="233"/>
        <v>1</v>
      </c>
      <c r="F1400" t="str">
        <f t="shared" si="228"/>
        <v>COM</v>
      </c>
      <c r="G1400" t="str">
        <f>"WASHINGTON VALERIO DE SOUZA (888)"</f>
        <v>WASHINGTON VALERIO DE SOUZA (888)</v>
      </c>
      <c r="H1400" t="s">
        <v>445</v>
      </c>
      <c r="I1400" t="str">
        <f t="shared" si="234"/>
        <v>11/09/2025</v>
      </c>
      <c r="J1400" t="str">
        <f>("08/09/2025")</f>
        <v>08/09/2025</v>
      </c>
      <c r="K1400">
        <v>45910</v>
      </c>
      <c r="N1400">
        <v>109</v>
      </c>
      <c r="O1400" t="s">
        <v>24</v>
      </c>
      <c r="Q1400">
        <v>20</v>
      </c>
      <c r="R1400" t="str">
        <f>"DROGARIA ANA VISCONDE DO RIO BRANCO (10182)"</f>
        <v>DROGARIA ANA VISCONDE DO RIO BRANCO (10182)</v>
      </c>
      <c r="S1400" t="s">
        <v>48</v>
      </c>
      <c r="T1400">
        <v>18024</v>
      </c>
      <c r="U1400">
        <v>21885</v>
      </c>
      <c r="V1400" t="s">
        <v>48</v>
      </c>
    </row>
    <row r="1401" spans="1:22">
      <c r="A1401" t="str">
        <f t="shared" si="230"/>
        <v>10/09/2025</v>
      </c>
      <c r="B1401" t="str">
        <f t="shared" si="231"/>
        <v>SAÍDA</v>
      </c>
      <c r="C1401" t="str">
        <f t="shared" si="232"/>
        <v>PIX</v>
      </c>
      <c r="D1401" t="str">
        <f>"21269"</f>
        <v>21269</v>
      </c>
      <c r="E1401" t="str">
        <f t="shared" si="233"/>
        <v>1</v>
      </c>
      <c r="F1401" t="str">
        <f t="shared" si="228"/>
        <v>COM</v>
      </c>
      <c r="G1401" t="str">
        <f t="shared" ref="G1401:G1407" si="235">"WELLINGTON DOS SANTOS ALVES (438)"</f>
        <v>WELLINGTON DOS SANTOS ALVES (438)</v>
      </c>
      <c r="H1401" t="str">
        <f>"Serv.Prest. 25/08/2025 a 31/08/2025 - PIX: CELULAR - CHAVE: (32) 99800-1691"</f>
        <v>Serv.Prest. 25/08/2025 a 31/08/2025 - PIX: CELULAR - CHAVE: (32) 99800-1691</v>
      </c>
      <c r="I1401" t="str">
        <f t="shared" si="234"/>
        <v>11/09/2025</v>
      </c>
      <c r="J1401" t="str">
        <f>("02/09/2025")</f>
        <v>02/09/2025</v>
      </c>
      <c r="K1401" t="str">
        <f>("10/09/2025")</f>
        <v>10/09/2025</v>
      </c>
      <c r="L1401">
        <v>20</v>
      </c>
      <c r="M1401">
        <v>20</v>
      </c>
      <c r="N1401">
        <v>109</v>
      </c>
      <c r="O1401" t="str">
        <f>"PAGAMENTO DE ENTREGADORES"</f>
        <v>PAGAMENTO DE ENTREGADORES</v>
      </c>
      <c r="P1401">
        <v>20</v>
      </c>
      <c r="S1401" t="str">
        <f>"CAIXA MOVIMENTAÇÃO OPERACIONAL (132)"</f>
        <v>CAIXA MOVIMENTAÇÃO OPERACIONAL (132)</v>
      </c>
      <c r="T1401">
        <v>18025</v>
      </c>
      <c r="U1401">
        <v>21886</v>
      </c>
      <c r="V1401" t="s">
        <v>48</v>
      </c>
    </row>
    <row r="1402" spans="1:22">
      <c r="A1402" t="str">
        <f t="shared" si="230"/>
        <v>10/09/2025</v>
      </c>
      <c r="B1402" t="str">
        <f t="shared" si="231"/>
        <v>SAÍDA</v>
      </c>
      <c r="C1402" t="str">
        <f t="shared" si="232"/>
        <v>PIX</v>
      </c>
      <c r="D1402" t="str">
        <f>"21269"</f>
        <v>21269</v>
      </c>
      <c r="E1402" t="str">
        <f t="shared" si="233"/>
        <v>1</v>
      </c>
      <c r="F1402" t="str">
        <f t="shared" si="228"/>
        <v>COM</v>
      </c>
      <c r="G1402" t="str">
        <f t="shared" si="235"/>
        <v>WELLINGTON DOS SANTOS ALVES (438)</v>
      </c>
      <c r="H1402" t="s">
        <v>446</v>
      </c>
      <c r="I1402" t="str">
        <f t="shared" si="234"/>
        <v>11/09/2025</v>
      </c>
      <c r="J1402" t="str">
        <f>("02/09/2025")</f>
        <v>02/09/2025</v>
      </c>
      <c r="K1402">
        <v>45910</v>
      </c>
      <c r="N1402">
        <v>109</v>
      </c>
      <c r="O1402" t="s">
        <v>24</v>
      </c>
      <c r="Q1402">
        <v>16.37</v>
      </c>
      <c r="R1402" t="str">
        <f>"FARMÁCIA INDIANA LJ 112 (10050)"</f>
        <v>FARMÁCIA INDIANA LJ 112 (10050)</v>
      </c>
      <c r="S1402" t="s">
        <v>48</v>
      </c>
      <c r="T1402">
        <v>18025</v>
      </c>
      <c r="U1402">
        <v>21886</v>
      </c>
      <c r="V1402" t="s">
        <v>48</v>
      </c>
    </row>
    <row r="1403" spans="1:22">
      <c r="A1403" t="str">
        <f t="shared" si="230"/>
        <v>10/09/2025</v>
      </c>
      <c r="B1403" t="str">
        <f t="shared" si="231"/>
        <v>SAÍDA</v>
      </c>
      <c r="C1403" t="str">
        <f t="shared" si="232"/>
        <v>PIX</v>
      </c>
      <c r="D1403" t="str">
        <f>"21269"</f>
        <v>21269</v>
      </c>
      <c r="E1403" t="str">
        <f t="shared" si="233"/>
        <v>1</v>
      </c>
      <c r="F1403" t="str">
        <f t="shared" si="228"/>
        <v>COM</v>
      </c>
      <c r="G1403" t="str">
        <f t="shared" si="235"/>
        <v>WELLINGTON DOS SANTOS ALVES (438)</v>
      </c>
      <c r="H1403" t="s">
        <v>446</v>
      </c>
      <c r="I1403" t="str">
        <f t="shared" si="234"/>
        <v>11/09/2025</v>
      </c>
      <c r="J1403" t="str">
        <f>("02/09/2025")</f>
        <v>02/09/2025</v>
      </c>
      <c r="K1403">
        <v>45910</v>
      </c>
      <c r="N1403">
        <v>109</v>
      </c>
      <c r="O1403" t="s">
        <v>24</v>
      </c>
      <c r="Q1403">
        <v>0.45</v>
      </c>
      <c r="R1403" t="str">
        <f>"FARMÁCIA INDIANA LJ 116 (10051)"</f>
        <v>FARMÁCIA INDIANA LJ 116 (10051)</v>
      </c>
      <c r="S1403" t="s">
        <v>48</v>
      </c>
      <c r="T1403">
        <v>18025</v>
      </c>
      <c r="U1403">
        <v>21886</v>
      </c>
      <c r="V1403" t="s">
        <v>48</v>
      </c>
    </row>
    <row r="1404" spans="1:22">
      <c r="A1404" t="str">
        <f t="shared" si="230"/>
        <v>10/09/2025</v>
      </c>
      <c r="B1404" t="str">
        <f t="shared" si="231"/>
        <v>SAÍDA</v>
      </c>
      <c r="C1404" t="str">
        <f t="shared" si="232"/>
        <v>PIX</v>
      </c>
      <c r="D1404" t="str">
        <f>"21269"</f>
        <v>21269</v>
      </c>
      <c r="E1404" t="str">
        <f t="shared" si="233"/>
        <v>1</v>
      </c>
      <c r="F1404" t="str">
        <f t="shared" si="228"/>
        <v>COM</v>
      </c>
      <c r="G1404" t="str">
        <f t="shared" si="235"/>
        <v>WELLINGTON DOS SANTOS ALVES (438)</v>
      </c>
      <c r="H1404" t="s">
        <v>446</v>
      </c>
      <c r="I1404" t="str">
        <f t="shared" si="234"/>
        <v>11/09/2025</v>
      </c>
      <c r="J1404" t="str">
        <f>("02/09/2025")</f>
        <v>02/09/2025</v>
      </c>
      <c r="K1404">
        <v>45910</v>
      </c>
      <c r="N1404">
        <v>109</v>
      </c>
      <c r="O1404" t="s">
        <v>24</v>
      </c>
      <c r="Q1404">
        <v>0.45</v>
      </c>
      <c r="R1404" t="str">
        <f>"FARMÁCIA INDIANA LJ 121 (10054)"</f>
        <v>FARMÁCIA INDIANA LJ 121 (10054)</v>
      </c>
      <c r="S1404" t="s">
        <v>48</v>
      </c>
      <c r="T1404">
        <v>18025</v>
      </c>
      <c r="U1404">
        <v>21886</v>
      </c>
      <c r="V1404" t="s">
        <v>48</v>
      </c>
    </row>
    <row r="1405" spans="1:22">
      <c r="A1405" t="str">
        <f t="shared" si="230"/>
        <v>10/09/2025</v>
      </c>
      <c r="B1405" t="str">
        <f t="shared" si="231"/>
        <v>SAÍDA</v>
      </c>
      <c r="C1405" t="str">
        <f t="shared" si="232"/>
        <v>PIX</v>
      </c>
      <c r="D1405" t="str">
        <f>"21269"</f>
        <v>21269</v>
      </c>
      <c r="E1405" t="str">
        <f t="shared" si="233"/>
        <v>1</v>
      </c>
      <c r="F1405" t="str">
        <f t="shared" si="228"/>
        <v>COM</v>
      </c>
      <c r="G1405" t="str">
        <f t="shared" si="235"/>
        <v>WELLINGTON DOS SANTOS ALVES (438)</v>
      </c>
      <c r="H1405" t="s">
        <v>446</v>
      </c>
      <c r="I1405" t="str">
        <f t="shared" si="234"/>
        <v>11/09/2025</v>
      </c>
      <c r="J1405" t="str">
        <f>("02/09/2025")</f>
        <v>02/09/2025</v>
      </c>
      <c r="K1405">
        <v>45910</v>
      </c>
      <c r="N1405">
        <v>109</v>
      </c>
      <c r="O1405" t="s">
        <v>24</v>
      </c>
      <c r="Q1405">
        <v>2.73</v>
      </c>
      <c r="R1405" t="str">
        <f>"FARMÁCIA INDIANA LJ 128 (10057)"</f>
        <v>FARMÁCIA INDIANA LJ 128 (10057)</v>
      </c>
      <c r="S1405" t="s">
        <v>48</v>
      </c>
      <c r="T1405">
        <v>18025</v>
      </c>
      <c r="U1405">
        <v>21886</v>
      </c>
      <c r="V1405" t="s">
        <v>48</v>
      </c>
    </row>
    <row r="1406" spans="1:22">
      <c r="A1406" t="str">
        <f t="shared" si="230"/>
        <v>10/09/2025</v>
      </c>
      <c r="B1406" t="str">
        <f>"ENTRADA"</f>
        <v>ENTRADA</v>
      </c>
      <c r="C1406" t="str">
        <f>"DINHEIRO"</f>
        <v>DINHEIRO</v>
      </c>
      <c r="D1406" t="str">
        <f>"04"</f>
        <v>04</v>
      </c>
      <c r="E1406" t="str">
        <f>"33"</f>
        <v>33</v>
      </c>
      <c r="F1406" t="str">
        <f t="shared" si="228"/>
        <v>COM</v>
      </c>
      <c r="G1406" t="str">
        <f t="shared" si="235"/>
        <v>WELLINGTON DOS SANTOS ALVES (438)</v>
      </c>
      <c r="H1406" t="str">
        <f>"DESCONTO COTA COOPERADO"</f>
        <v>DESCONTO COTA COOPERADO</v>
      </c>
      <c r="I1406" t="str">
        <f>("16/09/2025")</f>
        <v>16/09/2025</v>
      </c>
      <c r="J1406" t="str">
        <f>("16/01/2025")</f>
        <v>16/01/2025</v>
      </c>
      <c r="K1406" t="str">
        <f>("10/09/2025")</f>
        <v>10/09/2025</v>
      </c>
      <c r="L1406">
        <v>20</v>
      </c>
      <c r="M1406">
        <v>20</v>
      </c>
      <c r="N1406">
        <v>106</v>
      </c>
      <c r="O1406" t="str">
        <f>"ENTRADA DE CAPITAL"</f>
        <v>ENTRADA DE CAPITAL</v>
      </c>
      <c r="P1406">
        <v>20</v>
      </c>
      <c r="S1406" t="str">
        <f>"ENTRADA DE CAPITAL (106)"</f>
        <v>ENTRADA DE CAPITAL (106)</v>
      </c>
      <c r="T1406">
        <v>18026</v>
      </c>
      <c r="U1406">
        <v>7741</v>
      </c>
      <c r="V1406" t="s">
        <v>48</v>
      </c>
    </row>
    <row r="1407" spans="1:22">
      <c r="A1407" t="str">
        <f t="shared" si="230"/>
        <v>10/09/2025</v>
      </c>
      <c r="B1407" t="str">
        <f>"ENTRADA"</f>
        <v>ENTRADA</v>
      </c>
      <c r="C1407" t="str">
        <f>"DINHEIRO"</f>
        <v>DINHEIRO</v>
      </c>
      <c r="D1407" t="str">
        <f>"04"</f>
        <v>04</v>
      </c>
      <c r="E1407" t="str">
        <f>"33"</f>
        <v>33</v>
      </c>
      <c r="F1407" t="str">
        <f t="shared" si="228"/>
        <v>COM</v>
      </c>
      <c r="G1407" t="str">
        <f t="shared" si="235"/>
        <v>WELLINGTON DOS SANTOS ALVES (438)</v>
      </c>
      <c r="H1407" t="s">
        <v>309</v>
      </c>
      <c r="I1407" t="str">
        <f>("16/09/2025")</f>
        <v>16/09/2025</v>
      </c>
      <c r="J1407" t="str">
        <f>("16/01/2025")</f>
        <v>16/01/2025</v>
      </c>
      <c r="K1407">
        <v>45910</v>
      </c>
      <c r="N1407">
        <v>106</v>
      </c>
      <c r="O1407" t="s">
        <v>51</v>
      </c>
      <c r="Q1407">
        <v>20</v>
      </c>
      <c r="R1407" t="str">
        <f>"WELLINGTON DOS SANTOS ALVES (438)"</f>
        <v>WELLINGTON DOS SANTOS ALVES (438)</v>
      </c>
      <c r="S1407" t="s">
        <v>52</v>
      </c>
      <c r="T1407">
        <v>18026</v>
      </c>
      <c r="U1407">
        <v>7741</v>
      </c>
      <c r="V1407" t="s">
        <v>48</v>
      </c>
    </row>
    <row r="1408" spans="1:22">
      <c r="A1408" t="str">
        <f t="shared" si="230"/>
        <v>10/09/2025</v>
      </c>
      <c r="B1408" t="str">
        <f>"SAÍDA"</f>
        <v>SAÍDA</v>
      </c>
      <c r="C1408" t="str">
        <f>"PIX"</f>
        <v>PIX</v>
      </c>
      <c r="D1408" t="str">
        <f>"21270"</f>
        <v>21270</v>
      </c>
      <c r="E1408" t="str">
        <f>"1"</f>
        <v>1</v>
      </c>
      <c r="F1408" t="str">
        <f t="shared" si="228"/>
        <v>COM</v>
      </c>
      <c r="G1408" t="str">
        <f>"WEMERSON FELIPE LOPES (187)"</f>
        <v>WEMERSON FELIPE LOPES (187)</v>
      </c>
      <c r="H1408" t="str">
        <f>"Serv.Prest. 25/08/2025 a 31/08/2025 - PIX: CELULAR - CHAVE: (33) 98806-5772"</f>
        <v>Serv.Prest. 25/08/2025 a 31/08/2025 - PIX: CELULAR - CHAVE: (33) 98806-5772</v>
      </c>
      <c r="I1408" t="str">
        <f>("11/09/2025")</f>
        <v>11/09/2025</v>
      </c>
      <c r="J1408" t="str">
        <f>("02/09/2025")</f>
        <v>02/09/2025</v>
      </c>
      <c r="K1408" t="str">
        <f>("10/09/2025")</f>
        <v>10/09/2025</v>
      </c>
      <c r="L1408">
        <v>20</v>
      </c>
      <c r="M1408">
        <v>20</v>
      </c>
      <c r="N1408">
        <v>109</v>
      </c>
      <c r="O1408" t="str">
        <f>"PAGAMENTO DE ENTREGADORES"</f>
        <v>PAGAMENTO DE ENTREGADORES</v>
      </c>
      <c r="P1408">
        <v>20</v>
      </c>
      <c r="S1408" t="str">
        <f>"CAIXA MOVIMENTAÇÃO OPERACIONAL (132)"</f>
        <v>CAIXA MOVIMENTAÇÃO OPERACIONAL (132)</v>
      </c>
      <c r="T1408">
        <v>18027</v>
      </c>
      <c r="U1408">
        <v>21887</v>
      </c>
      <c r="V1408" t="s">
        <v>48</v>
      </c>
    </row>
    <row r="1409" spans="1:22">
      <c r="A1409" t="str">
        <f t="shared" si="230"/>
        <v>10/09/2025</v>
      </c>
      <c r="B1409" t="str">
        <f>"SAÍDA"</f>
        <v>SAÍDA</v>
      </c>
      <c r="C1409" t="str">
        <f>"PIX"</f>
        <v>PIX</v>
      </c>
      <c r="D1409" t="str">
        <f>"21270"</f>
        <v>21270</v>
      </c>
      <c r="E1409" t="str">
        <f>"1"</f>
        <v>1</v>
      </c>
      <c r="F1409" t="str">
        <f t="shared" si="228"/>
        <v>COM</v>
      </c>
      <c r="G1409" t="str">
        <f>"WEMERSON FELIPE LOPES (187)"</f>
        <v>WEMERSON FELIPE LOPES (187)</v>
      </c>
      <c r="H1409" t="s">
        <v>447</v>
      </c>
      <c r="I1409" t="str">
        <f>("11/09/2025")</f>
        <v>11/09/2025</v>
      </c>
      <c r="J1409" t="str">
        <f>("02/09/2025")</f>
        <v>02/09/2025</v>
      </c>
      <c r="K1409">
        <v>45910</v>
      </c>
      <c r="N1409">
        <v>109</v>
      </c>
      <c r="O1409" t="s">
        <v>24</v>
      </c>
      <c r="Q1409">
        <v>20</v>
      </c>
      <c r="R1409" t="str">
        <f>"FARMÁCIA INDIANA LJ 06 (10006)"</f>
        <v>FARMÁCIA INDIANA LJ 06 (10006)</v>
      </c>
      <c r="S1409" t="s">
        <v>48</v>
      </c>
      <c r="T1409">
        <v>18027</v>
      </c>
      <c r="U1409">
        <v>21887</v>
      </c>
      <c r="V1409" t="s">
        <v>48</v>
      </c>
    </row>
    <row r="1410" spans="1:22">
      <c r="A1410" t="str">
        <f t="shared" si="230"/>
        <v>10/09/2025</v>
      </c>
      <c r="B1410" t="str">
        <f>"ENTRADA"</f>
        <v>ENTRADA</v>
      </c>
      <c r="C1410" t="str">
        <f>"DINHEIRO"</f>
        <v>DINHEIRO</v>
      </c>
      <c r="D1410" t="str">
        <f>"11"</f>
        <v>11</v>
      </c>
      <c r="E1410" t="str">
        <f>"33"</f>
        <v>33</v>
      </c>
      <c r="F1410" t="str">
        <f t="shared" si="228"/>
        <v>COM</v>
      </c>
      <c r="G1410" t="str">
        <f>"WEMERSON FELIPE LOPES (187)"</f>
        <v>WEMERSON FELIPE LOPES (187)</v>
      </c>
      <c r="H1410" t="str">
        <f>"DESCONTO COTA COOPERADO"</f>
        <v>DESCONTO COTA COOPERADO</v>
      </c>
      <c r="I1410" t="str">
        <f>("16/09/2025")</f>
        <v>16/09/2025</v>
      </c>
      <c r="J1410" t="str">
        <f>("16/01/2025")</f>
        <v>16/01/2025</v>
      </c>
      <c r="K1410" t="str">
        <f>("10/09/2025")</f>
        <v>10/09/2025</v>
      </c>
      <c r="L1410">
        <v>20</v>
      </c>
      <c r="M1410">
        <v>20</v>
      </c>
      <c r="N1410">
        <v>106</v>
      </c>
      <c r="O1410" t="str">
        <f>"ENTRADA DE CAPITAL"</f>
        <v>ENTRADA DE CAPITAL</v>
      </c>
      <c r="P1410">
        <v>20</v>
      </c>
      <c r="S1410" t="str">
        <f>"ENTRADA DE CAPITAL (106)"</f>
        <v>ENTRADA DE CAPITAL (106)</v>
      </c>
      <c r="T1410">
        <v>18028</v>
      </c>
      <c r="U1410">
        <v>7766</v>
      </c>
      <c r="V1410" t="s">
        <v>48</v>
      </c>
    </row>
    <row r="1411" spans="1:22">
      <c r="A1411" t="str">
        <f t="shared" si="230"/>
        <v>10/09/2025</v>
      </c>
      <c r="B1411" t="str">
        <f>"ENTRADA"</f>
        <v>ENTRADA</v>
      </c>
      <c r="C1411" t="str">
        <f>"DINHEIRO"</f>
        <v>DINHEIRO</v>
      </c>
      <c r="D1411" t="str">
        <f>"11"</f>
        <v>11</v>
      </c>
      <c r="E1411" t="str">
        <f>"33"</f>
        <v>33</v>
      </c>
      <c r="F1411" t="str">
        <f t="shared" si="228"/>
        <v>COM</v>
      </c>
      <c r="G1411" t="str">
        <f>"WEMERSON FELIPE LOPES (187)"</f>
        <v>WEMERSON FELIPE LOPES (187)</v>
      </c>
      <c r="H1411" t="s">
        <v>309</v>
      </c>
      <c r="I1411" t="str">
        <f>("16/09/2025")</f>
        <v>16/09/2025</v>
      </c>
      <c r="J1411" t="str">
        <f>("16/01/2025")</f>
        <v>16/01/2025</v>
      </c>
      <c r="K1411">
        <v>45910</v>
      </c>
      <c r="N1411">
        <v>106</v>
      </c>
      <c r="O1411" t="s">
        <v>51</v>
      </c>
      <c r="Q1411">
        <v>20</v>
      </c>
      <c r="R1411" t="str">
        <f>"WEMERSON FELIPE LOPES (187)"</f>
        <v>WEMERSON FELIPE LOPES (187)</v>
      </c>
      <c r="S1411" t="s">
        <v>52</v>
      </c>
      <c r="T1411">
        <v>18028</v>
      </c>
      <c r="U1411">
        <v>7766</v>
      </c>
      <c r="V1411" t="s">
        <v>48</v>
      </c>
    </row>
    <row r="1412" spans="1:22">
      <c r="A1412" t="str">
        <f t="shared" si="230"/>
        <v>10/09/2025</v>
      </c>
      <c r="B1412" t="str">
        <f>"ENTRADA"</f>
        <v>ENTRADA</v>
      </c>
      <c r="C1412" t="str">
        <f>"DINHEIRO"</f>
        <v>DINHEIRO</v>
      </c>
      <c r="D1412" t="str">
        <f>"1109"</f>
        <v>1109</v>
      </c>
      <c r="E1412" t="str">
        <f>"25"</f>
        <v>25</v>
      </c>
      <c r="F1412" t="str">
        <f t="shared" si="228"/>
        <v>COM</v>
      </c>
      <c r="G1412" t="str">
        <f>"WEMERSON MOREIRA PESSOA (75)"</f>
        <v>WEMERSON MOREIRA PESSOA (75)</v>
      </c>
      <c r="H1412" t="str">
        <f>"REEMBOLSO COMPRA BAG"</f>
        <v>REEMBOLSO COMPRA BAG</v>
      </c>
      <c r="I1412" t="str">
        <f>("11/09/2025")</f>
        <v>11/09/2025</v>
      </c>
      <c r="J1412" t="str">
        <f>("11/09/2025")</f>
        <v>11/09/2025</v>
      </c>
      <c r="K1412" t="str">
        <f>("10/09/2025")</f>
        <v>10/09/2025</v>
      </c>
      <c r="L1412">
        <v>38.340000000000003</v>
      </c>
      <c r="M1412">
        <v>38.340000000000003</v>
      </c>
      <c r="N1412">
        <v>108</v>
      </c>
      <c r="O1412" t="str">
        <f>"RECEITAS COM REEMBOLSOS"</f>
        <v>RECEITAS COM REEMBOLSOS</v>
      </c>
      <c r="P1412">
        <v>38.340000000000003</v>
      </c>
      <c r="S1412" t="str">
        <f>"RECEITAS COM REEMBOLSOS (108)"</f>
        <v>RECEITAS COM REEMBOLSOS (108)</v>
      </c>
      <c r="T1412">
        <v>18029</v>
      </c>
      <c r="U1412">
        <v>21041</v>
      </c>
      <c r="V1412" t="s">
        <v>48</v>
      </c>
    </row>
    <row r="1413" spans="1:22">
      <c r="A1413" t="str">
        <f t="shared" si="230"/>
        <v>10/09/2025</v>
      </c>
      <c r="B1413" t="str">
        <f>"ENTRADA"</f>
        <v>ENTRADA</v>
      </c>
      <c r="C1413" t="str">
        <f>"DINHEIRO"</f>
        <v>DINHEIRO</v>
      </c>
      <c r="D1413" t="str">
        <f>"1109"</f>
        <v>1109</v>
      </c>
      <c r="E1413" t="str">
        <f>"25"</f>
        <v>25</v>
      </c>
      <c r="F1413" t="str">
        <f t="shared" si="228"/>
        <v>COM</v>
      </c>
      <c r="G1413" t="str">
        <f>"WEMERSON MOREIRA PESSOA (75)"</f>
        <v>WEMERSON MOREIRA PESSOA (75)</v>
      </c>
      <c r="H1413" t="s">
        <v>64</v>
      </c>
      <c r="I1413" t="str">
        <f>("11/09/2025")</f>
        <v>11/09/2025</v>
      </c>
      <c r="J1413" t="str">
        <f>("11/09/2025")</f>
        <v>11/09/2025</v>
      </c>
      <c r="K1413">
        <v>45910</v>
      </c>
      <c r="N1413">
        <v>108</v>
      </c>
      <c r="O1413" t="s">
        <v>54</v>
      </c>
      <c r="Q1413">
        <v>38.340000000000003</v>
      </c>
      <c r="R1413" t="str">
        <f>"WEMERSON MOREIRA PESSOA (75)"</f>
        <v>WEMERSON MOREIRA PESSOA (75)</v>
      </c>
      <c r="S1413" t="s">
        <v>55</v>
      </c>
      <c r="T1413">
        <v>18029</v>
      </c>
      <c r="U1413">
        <v>21041</v>
      </c>
      <c r="V1413" t="s">
        <v>48</v>
      </c>
    </row>
    <row r="1414" spans="1:22">
      <c r="A1414" t="str">
        <f t="shared" si="230"/>
        <v>10/09/2025</v>
      </c>
      <c r="B1414" t="str">
        <f>"SAÍDA"</f>
        <v>SAÍDA</v>
      </c>
      <c r="C1414" t="str">
        <f>"PIX"</f>
        <v>PIX</v>
      </c>
      <c r="D1414" t="str">
        <f>"21271"</f>
        <v>21271</v>
      </c>
      <c r="E1414" t="str">
        <f>"1"</f>
        <v>1</v>
      </c>
      <c r="F1414" t="str">
        <f t="shared" si="228"/>
        <v>COM</v>
      </c>
      <c r="G1414" t="str">
        <f>"WEMERSON MOREIRA PESSOA (75)"</f>
        <v>WEMERSON MOREIRA PESSOA (75)</v>
      </c>
      <c r="H1414" t="str">
        <f>"Serv.Prest. 25/08/2025 a 31/08/2025 - PIX: CELULAR - CHAVE: (33) 99996-3668"</f>
        <v>Serv.Prest. 25/08/2025 a 31/08/2025 - PIX: CELULAR - CHAVE: (33) 99996-3668</v>
      </c>
      <c r="I1414" t="str">
        <f>("11/09/2025")</f>
        <v>11/09/2025</v>
      </c>
      <c r="J1414" t="str">
        <f>("02/09/2025")</f>
        <v>02/09/2025</v>
      </c>
      <c r="K1414" t="str">
        <f>("10/09/2025")</f>
        <v>10/09/2025</v>
      </c>
      <c r="L1414">
        <v>38.340000000000003</v>
      </c>
      <c r="M1414">
        <v>38.340000000000003</v>
      </c>
      <c r="N1414">
        <v>109</v>
      </c>
      <c r="O1414" t="str">
        <f>"PAGAMENTO DE ENTREGADORES"</f>
        <v>PAGAMENTO DE ENTREGADORES</v>
      </c>
      <c r="P1414">
        <v>38.340000000000003</v>
      </c>
      <c r="S1414" t="str">
        <f>"CAIXA MOVIMENTAÇÃO OPERACIONAL (132)"</f>
        <v>CAIXA MOVIMENTAÇÃO OPERACIONAL (132)</v>
      </c>
      <c r="T1414">
        <v>18030</v>
      </c>
      <c r="U1414">
        <v>21888</v>
      </c>
      <c r="V1414" t="s">
        <v>48</v>
      </c>
    </row>
    <row r="1415" spans="1:22">
      <c r="A1415" t="str">
        <f t="shared" si="230"/>
        <v>10/09/2025</v>
      </c>
      <c r="B1415" t="str">
        <f>"SAÍDA"</f>
        <v>SAÍDA</v>
      </c>
      <c r="C1415" t="str">
        <f>"PIX"</f>
        <v>PIX</v>
      </c>
      <c r="D1415" t="str">
        <f>"21271"</f>
        <v>21271</v>
      </c>
      <c r="E1415" t="str">
        <f>"1"</f>
        <v>1</v>
      </c>
      <c r="F1415" t="str">
        <f t="shared" si="228"/>
        <v>COM</v>
      </c>
      <c r="G1415" t="str">
        <f>"WEMERSON MOREIRA PESSOA (75)"</f>
        <v>WEMERSON MOREIRA PESSOA (75)</v>
      </c>
      <c r="H1415" t="s">
        <v>448</v>
      </c>
      <c r="I1415" t="str">
        <f>("11/09/2025")</f>
        <v>11/09/2025</v>
      </c>
      <c r="J1415" t="str">
        <f>("02/09/2025")</f>
        <v>02/09/2025</v>
      </c>
      <c r="K1415">
        <v>45910</v>
      </c>
      <c r="N1415">
        <v>109</v>
      </c>
      <c r="O1415" t="s">
        <v>24</v>
      </c>
      <c r="Q1415">
        <v>38.340000000000003</v>
      </c>
      <c r="R1415" t="str">
        <f>"FARMÁCIA INDIANA LJ 07 (10007)"</f>
        <v>FARMÁCIA INDIANA LJ 07 (10007)</v>
      </c>
      <c r="S1415" t="s">
        <v>48</v>
      </c>
      <c r="T1415">
        <v>18030</v>
      </c>
      <c r="U1415">
        <v>21888</v>
      </c>
      <c r="V1415" t="s">
        <v>48</v>
      </c>
    </row>
    <row r="1416" spans="1:22">
      <c r="A1416" t="str">
        <f t="shared" si="230"/>
        <v>10/09/2025</v>
      </c>
      <c r="B1416" t="str">
        <f>"SAÍDA"</f>
        <v>SAÍDA</v>
      </c>
      <c r="C1416" t="str">
        <f>"PIX"</f>
        <v>PIX</v>
      </c>
      <c r="D1416" t="str">
        <f>"21272"</f>
        <v>21272</v>
      </c>
      <c r="E1416" t="str">
        <f>"1"</f>
        <v>1</v>
      </c>
      <c r="F1416" t="str">
        <f t="shared" si="228"/>
        <v>COM</v>
      </c>
      <c r="G1416" t="str">
        <f>"WENDEL LIMA DE SOUZA (112)"</f>
        <v>WENDEL LIMA DE SOUZA (112)</v>
      </c>
      <c r="H1416" t="str">
        <f>"Serv.Prest. 25/08/2025 a 31/08/2025 - PIX: CPF - CHAVE: 012.906.122-00"</f>
        <v>Serv.Prest. 25/08/2025 a 31/08/2025 - PIX: CPF - CHAVE: 012.906.122-00</v>
      </c>
      <c r="I1416" t="str">
        <f>("11/09/2025")</f>
        <v>11/09/2025</v>
      </c>
      <c r="J1416" t="str">
        <f>("02/09/2025")</f>
        <v>02/09/2025</v>
      </c>
      <c r="K1416" t="str">
        <f>("10/09/2025")</f>
        <v>10/09/2025</v>
      </c>
      <c r="L1416">
        <v>20</v>
      </c>
      <c r="M1416">
        <v>20</v>
      </c>
      <c r="N1416">
        <v>109</v>
      </c>
      <c r="O1416" t="str">
        <f>"PAGAMENTO DE ENTREGADORES"</f>
        <v>PAGAMENTO DE ENTREGADORES</v>
      </c>
      <c r="P1416">
        <v>20</v>
      </c>
      <c r="S1416" t="str">
        <f>"CAIXA MOVIMENTAÇÃO OPERACIONAL (132)"</f>
        <v>CAIXA MOVIMENTAÇÃO OPERACIONAL (132)</v>
      </c>
      <c r="T1416">
        <v>18031</v>
      </c>
      <c r="U1416">
        <v>21889</v>
      </c>
      <c r="V1416" t="s">
        <v>48</v>
      </c>
    </row>
    <row r="1417" spans="1:22">
      <c r="A1417" t="str">
        <f t="shared" si="230"/>
        <v>10/09/2025</v>
      </c>
      <c r="B1417" t="str">
        <f>"SAÍDA"</f>
        <v>SAÍDA</v>
      </c>
      <c r="C1417" t="str">
        <f>"PIX"</f>
        <v>PIX</v>
      </c>
      <c r="D1417" t="str">
        <f>"21272"</f>
        <v>21272</v>
      </c>
      <c r="E1417" t="str">
        <f>"1"</f>
        <v>1</v>
      </c>
      <c r="F1417" t="str">
        <f t="shared" si="228"/>
        <v>COM</v>
      </c>
      <c r="G1417" t="str">
        <f>"WENDEL LIMA DE SOUZA (112)"</f>
        <v>WENDEL LIMA DE SOUZA (112)</v>
      </c>
      <c r="H1417" t="s">
        <v>449</v>
      </c>
      <c r="I1417" t="str">
        <f>("11/09/2025")</f>
        <v>11/09/2025</v>
      </c>
      <c r="J1417" t="str">
        <f>("02/09/2025")</f>
        <v>02/09/2025</v>
      </c>
      <c r="K1417">
        <v>45910</v>
      </c>
      <c r="N1417">
        <v>109</v>
      </c>
      <c r="O1417" t="s">
        <v>24</v>
      </c>
      <c r="Q1417">
        <v>20</v>
      </c>
      <c r="R1417" t="str">
        <f>"FARMÁCIA INDIANA LJ 11 (10008)"</f>
        <v>FARMÁCIA INDIANA LJ 11 (10008)</v>
      </c>
      <c r="S1417" t="s">
        <v>48</v>
      </c>
      <c r="T1417">
        <v>18031</v>
      </c>
      <c r="U1417">
        <v>21889</v>
      </c>
      <c r="V1417" t="s">
        <v>48</v>
      </c>
    </row>
    <row r="1418" spans="1:22">
      <c r="A1418" t="str">
        <f t="shared" si="230"/>
        <v>10/09/2025</v>
      </c>
      <c r="B1418" t="str">
        <f>"ENTRADA"</f>
        <v>ENTRADA</v>
      </c>
      <c r="C1418" t="str">
        <f>"DINHEIRO"</f>
        <v>DINHEIRO</v>
      </c>
      <c r="D1418" t="str">
        <f>"10"</f>
        <v>10</v>
      </c>
      <c r="E1418" t="str">
        <f>"32"</f>
        <v>32</v>
      </c>
      <c r="F1418" t="str">
        <f t="shared" si="228"/>
        <v>COM</v>
      </c>
      <c r="G1418" t="str">
        <f>"WENDEL LIMA DE SOUZA (112)"</f>
        <v>WENDEL LIMA DE SOUZA (112)</v>
      </c>
      <c r="H1418" t="str">
        <f>"DESCONTO COTA COOPERADO"</f>
        <v>DESCONTO COTA COOPERADO</v>
      </c>
      <c r="I1418" t="str">
        <f>("16/09/2025")</f>
        <v>16/09/2025</v>
      </c>
      <c r="J1418" t="str">
        <f>("16/01/2025")</f>
        <v>16/01/2025</v>
      </c>
      <c r="K1418" t="str">
        <f>("10/09/2025")</f>
        <v>10/09/2025</v>
      </c>
      <c r="L1418">
        <v>20</v>
      </c>
      <c r="M1418">
        <v>20</v>
      </c>
      <c r="N1418">
        <v>106</v>
      </c>
      <c r="O1418" t="str">
        <f>"ENTRADA DE CAPITAL"</f>
        <v>ENTRADA DE CAPITAL</v>
      </c>
      <c r="P1418">
        <v>20</v>
      </c>
      <c r="S1418" t="str">
        <f>"ENTRADA DE CAPITAL (106)"</f>
        <v>ENTRADA DE CAPITAL (106)</v>
      </c>
      <c r="T1418">
        <v>18032</v>
      </c>
      <c r="U1418">
        <v>7789</v>
      </c>
      <c r="V1418" t="s">
        <v>48</v>
      </c>
    </row>
    <row r="1419" spans="1:22">
      <c r="A1419" t="str">
        <f t="shared" si="230"/>
        <v>10/09/2025</v>
      </c>
      <c r="B1419" t="str">
        <f>"ENTRADA"</f>
        <v>ENTRADA</v>
      </c>
      <c r="C1419" t="str">
        <f>"DINHEIRO"</f>
        <v>DINHEIRO</v>
      </c>
      <c r="D1419" t="str">
        <f>"10"</f>
        <v>10</v>
      </c>
      <c r="E1419" t="str">
        <f>"32"</f>
        <v>32</v>
      </c>
      <c r="F1419" t="str">
        <f t="shared" si="228"/>
        <v>COM</v>
      </c>
      <c r="G1419" t="str">
        <f>"WENDEL LIMA DE SOUZA (112)"</f>
        <v>WENDEL LIMA DE SOUZA (112)</v>
      </c>
      <c r="H1419" t="s">
        <v>309</v>
      </c>
      <c r="I1419" t="str">
        <f>("16/09/2025")</f>
        <v>16/09/2025</v>
      </c>
      <c r="J1419" t="str">
        <f>("16/01/2025")</f>
        <v>16/01/2025</v>
      </c>
      <c r="K1419">
        <v>45910</v>
      </c>
      <c r="N1419">
        <v>106</v>
      </c>
      <c r="O1419" t="s">
        <v>51</v>
      </c>
      <c r="Q1419">
        <v>20</v>
      </c>
      <c r="R1419" t="str">
        <f>"WENDEL LIMA DE SOUZA (112)"</f>
        <v>WENDEL LIMA DE SOUZA (112)</v>
      </c>
      <c r="S1419" t="s">
        <v>52</v>
      </c>
      <c r="T1419">
        <v>18032</v>
      </c>
      <c r="U1419">
        <v>7789</v>
      </c>
      <c r="V1419" t="s">
        <v>48</v>
      </c>
    </row>
    <row r="1420" spans="1:22">
      <c r="A1420" t="str">
        <f t="shared" si="230"/>
        <v>10/09/2025</v>
      </c>
      <c r="B1420" t="str">
        <f>"ENTRADA"</f>
        <v>ENTRADA</v>
      </c>
      <c r="C1420" t="str">
        <f>"DINHEIRO"</f>
        <v>DINHEIRO</v>
      </c>
      <c r="D1420" t="str">
        <f>"708"</f>
        <v>708</v>
      </c>
      <c r="E1420" t="str">
        <f>"5"</f>
        <v>5</v>
      </c>
      <c r="F1420" t="str">
        <f t="shared" si="228"/>
        <v>COM</v>
      </c>
      <c r="G1420" t="str">
        <f>"WENDERSON (708)"</f>
        <v>WENDERSON (708)</v>
      </c>
      <c r="H1420" t="str">
        <f>"COTA COOPERATIVA"</f>
        <v>COTA COOPERATIVA</v>
      </c>
      <c r="I1420" t="str">
        <f>("08/09/2025")</f>
        <v>08/09/2025</v>
      </c>
      <c r="J1420" t="str">
        <f>("06/04/2025")</f>
        <v>06/04/2025</v>
      </c>
      <c r="K1420" t="str">
        <f>("10/09/2025")</f>
        <v>10/09/2025</v>
      </c>
      <c r="L1420">
        <v>20</v>
      </c>
      <c r="M1420">
        <v>20</v>
      </c>
      <c r="N1420">
        <v>106</v>
      </c>
      <c r="O1420" t="str">
        <f>"ENTRADA DE CAPITAL"</f>
        <v>ENTRADA DE CAPITAL</v>
      </c>
      <c r="P1420">
        <v>20</v>
      </c>
      <c r="S1420" t="str">
        <f>"ENTRADA DE CAPITAL (106)"</f>
        <v>ENTRADA DE CAPITAL (106)</v>
      </c>
      <c r="T1420">
        <v>18033</v>
      </c>
      <c r="U1420">
        <v>14495</v>
      </c>
      <c r="V1420" t="s">
        <v>48</v>
      </c>
    </row>
    <row r="1421" spans="1:22">
      <c r="A1421" t="str">
        <f t="shared" si="230"/>
        <v>10/09/2025</v>
      </c>
      <c r="B1421" t="str">
        <f>"ENTRADA"</f>
        <v>ENTRADA</v>
      </c>
      <c r="C1421" t="str">
        <f>"DINHEIRO"</f>
        <v>DINHEIRO</v>
      </c>
      <c r="D1421" t="str">
        <f>"708"</f>
        <v>708</v>
      </c>
      <c r="E1421" t="str">
        <f>"5"</f>
        <v>5</v>
      </c>
      <c r="F1421" t="str">
        <f t="shared" si="228"/>
        <v>COM</v>
      </c>
      <c r="G1421" t="str">
        <f>"WENDERSON (708)"</f>
        <v>WENDERSON (708)</v>
      </c>
      <c r="H1421" t="s">
        <v>50</v>
      </c>
      <c r="I1421" t="str">
        <f>("08/09/2025")</f>
        <v>08/09/2025</v>
      </c>
      <c r="J1421" t="str">
        <f>("06/04/2025")</f>
        <v>06/04/2025</v>
      </c>
      <c r="K1421">
        <v>45910</v>
      </c>
      <c r="N1421">
        <v>106</v>
      </c>
      <c r="O1421" t="s">
        <v>51</v>
      </c>
      <c r="Q1421">
        <v>20</v>
      </c>
      <c r="R1421" t="str">
        <f>"WENDERSON (708)"</f>
        <v>WENDERSON (708)</v>
      </c>
      <c r="S1421" t="s">
        <v>52</v>
      </c>
      <c r="T1421">
        <v>18033</v>
      </c>
      <c r="U1421">
        <v>14495</v>
      </c>
      <c r="V1421" t="s">
        <v>48</v>
      </c>
    </row>
    <row r="1422" spans="1:22">
      <c r="A1422" t="str">
        <f t="shared" si="230"/>
        <v>10/09/2025</v>
      </c>
      <c r="B1422" t="str">
        <f>"SAÍDA"</f>
        <v>SAÍDA</v>
      </c>
      <c r="C1422" t="str">
        <f>"PIX"</f>
        <v>PIX</v>
      </c>
      <c r="D1422" t="str">
        <f>"21441"</f>
        <v>21441</v>
      </c>
      <c r="E1422" t="str">
        <f>"1"</f>
        <v>1</v>
      </c>
      <c r="F1422" t="str">
        <f t="shared" si="228"/>
        <v>COM</v>
      </c>
      <c r="G1422" t="str">
        <f>"WENDERSON GOMES (708)"</f>
        <v>WENDERSON GOMES (708)</v>
      </c>
      <c r="H1422" t="str">
        <f>"Serv.Prest. 01/09/2025 a 07/09/2025 - PIX: CPF - CHAVE: 147.592.156-03"</f>
        <v>Serv.Prest. 01/09/2025 a 07/09/2025 - PIX: CPF - CHAVE: 147.592.156-03</v>
      </c>
      <c r="I1422" t="str">
        <f>("11/09/2025")</f>
        <v>11/09/2025</v>
      </c>
      <c r="J1422" t="str">
        <f>("08/09/2025")</f>
        <v>08/09/2025</v>
      </c>
      <c r="K1422" t="str">
        <f>("10/09/2025")</f>
        <v>10/09/2025</v>
      </c>
      <c r="L1422">
        <v>20</v>
      </c>
      <c r="M1422">
        <v>20</v>
      </c>
      <c r="N1422">
        <v>109</v>
      </c>
      <c r="O1422" t="str">
        <f>"PAGAMENTO DE ENTREGADORES"</f>
        <v>PAGAMENTO DE ENTREGADORES</v>
      </c>
      <c r="P1422">
        <v>20</v>
      </c>
      <c r="S1422" t="str">
        <f>"CAIXA MOVIMENTAÇÃO OPERACIONAL (132)"</f>
        <v>CAIXA MOVIMENTAÇÃO OPERACIONAL (132)</v>
      </c>
      <c r="T1422">
        <v>18034</v>
      </c>
      <c r="U1422">
        <v>21890</v>
      </c>
      <c r="V1422" t="s">
        <v>48</v>
      </c>
    </row>
    <row r="1423" spans="1:22">
      <c r="A1423" t="str">
        <f t="shared" si="230"/>
        <v>10/09/2025</v>
      </c>
      <c r="B1423" t="str">
        <f>"SAÍDA"</f>
        <v>SAÍDA</v>
      </c>
      <c r="C1423" t="str">
        <f>"PIX"</f>
        <v>PIX</v>
      </c>
      <c r="D1423" t="str">
        <f>"21441"</f>
        <v>21441</v>
      </c>
      <c r="E1423" t="str">
        <f>"1"</f>
        <v>1</v>
      </c>
      <c r="F1423" t="str">
        <f t="shared" si="228"/>
        <v>COM</v>
      </c>
      <c r="G1423" t="str">
        <f>"WENDERSON GOMES (708)"</f>
        <v>WENDERSON GOMES (708)</v>
      </c>
      <c r="H1423" t="s">
        <v>450</v>
      </c>
      <c r="I1423" t="str">
        <f>("11/09/2025")</f>
        <v>11/09/2025</v>
      </c>
      <c r="J1423" t="str">
        <f>("08/09/2025")</f>
        <v>08/09/2025</v>
      </c>
      <c r="K1423">
        <v>45910</v>
      </c>
      <c r="N1423">
        <v>109</v>
      </c>
      <c r="O1423" t="s">
        <v>24</v>
      </c>
      <c r="Q1423">
        <v>20</v>
      </c>
      <c r="R1423" t="str">
        <f>"ENTREFARMA (10164)"</f>
        <v>ENTREFARMA (10164)</v>
      </c>
      <c r="S1423" t="s">
        <v>48</v>
      </c>
      <c r="T1423">
        <v>18034</v>
      </c>
      <c r="U1423">
        <v>21890</v>
      </c>
      <c r="V1423" t="s">
        <v>48</v>
      </c>
    </row>
    <row r="1424" spans="1:22">
      <c r="A1424" t="str">
        <f t="shared" si="230"/>
        <v>10/09/2025</v>
      </c>
      <c r="B1424" t="str">
        <f>"SAÍDA"</f>
        <v>SAÍDA</v>
      </c>
      <c r="C1424" t="str">
        <f>"PIX"</f>
        <v>PIX</v>
      </c>
      <c r="D1424" t="str">
        <f>"21158"</f>
        <v>21158</v>
      </c>
      <c r="E1424" t="str">
        <f>"1"</f>
        <v>1</v>
      </c>
      <c r="F1424" t="str">
        <f t="shared" si="228"/>
        <v>COM</v>
      </c>
      <c r="G1424" t="str">
        <f>"WESLEI GONÇALVES SANTOS (154)"</f>
        <v>WESLEI GONÇALVES SANTOS (154)</v>
      </c>
      <c r="H1424" t="str">
        <f>"Serv.Prest. 25/08/2025 a 31/08/2025 - PIX: CPF - CHAVE: 079.068.045-97"</f>
        <v>Serv.Prest. 25/08/2025 a 31/08/2025 - PIX: CPF - CHAVE: 079.068.045-97</v>
      </c>
      <c r="I1424" t="str">
        <f>("11/09/2025")</f>
        <v>11/09/2025</v>
      </c>
      <c r="J1424" t="str">
        <f>("02/09/2025")</f>
        <v>02/09/2025</v>
      </c>
      <c r="K1424" t="str">
        <f>("10/09/2025")</f>
        <v>10/09/2025</v>
      </c>
      <c r="L1424">
        <v>20</v>
      </c>
      <c r="M1424">
        <v>20</v>
      </c>
      <c r="N1424">
        <v>109</v>
      </c>
      <c r="O1424" t="str">
        <f>"PAGAMENTO DE ENTREGADORES"</f>
        <v>PAGAMENTO DE ENTREGADORES</v>
      </c>
      <c r="P1424">
        <v>20</v>
      </c>
      <c r="S1424" t="str">
        <f>"CAIXA MOVIMENTAÇÃO OPERACIONAL (132)"</f>
        <v>CAIXA MOVIMENTAÇÃO OPERACIONAL (132)</v>
      </c>
      <c r="T1424">
        <v>18035</v>
      </c>
      <c r="U1424">
        <v>21891</v>
      </c>
      <c r="V1424" t="s">
        <v>48</v>
      </c>
    </row>
    <row r="1425" spans="1:22">
      <c r="A1425" t="str">
        <f t="shared" si="230"/>
        <v>10/09/2025</v>
      </c>
      <c r="B1425" t="str">
        <f>"SAÍDA"</f>
        <v>SAÍDA</v>
      </c>
      <c r="C1425" t="str">
        <f>"PIX"</f>
        <v>PIX</v>
      </c>
      <c r="D1425" t="str">
        <f>"21158"</f>
        <v>21158</v>
      </c>
      <c r="E1425" t="str">
        <f>"1"</f>
        <v>1</v>
      </c>
      <c r="F1425" t="str">
        <f t="shared" si="228"/>
        <v>COM</v>
      </c>
      <c r="G1425" t="str">
        <f>"WESLEI GONÇALVES SANTOS (154)"</f>
        <v>WESLEI GONÇALVES SANTOS (154)</v>
      </c>
      <c r="H1425" t="s">
        <v>451</v>
      </c>
      <c r="I1425" t="str">
        <f>("11/09/2025")</f>
        <v>11/09/2025</v>
      </c>
      <c r="J1425" t="str">
        <f>("02/09/2025")</f>
        <v>02/09/2025</v>
      </c>
      <c r="K1425">
        <v>45910</v>
      </c>
      <c r="N1425">
        <v>109</v>
      </c>
      <c r="O1425" t="s">
        <v>24</v>
      </c>
      <c r="Q1425">
        <v>20</v>
      </c>
      <c r="R1425" t="str">
        <f>"FARMÁCIA INDIANA LJ 34 (10014)"</f>
        <v>FARMÁCIA INDIANA LJ 34 (10014)</v>
      </c>
      <c r="S1425" t="s">
        <v>48</v>
      </c>
      <c r="T1425">
        <v>18035</v>
      </c>
      <c r="U1425">
        <v>21891</v>
      </c>
      <c r="V1425" t="s">
        <v>48</v>
      </c>
    </row>
    <row r="1426" spans="1:22">
      <c r="A1426" t="str">
        <f t="shared" si="230"/>
        <v>10/09/2025</v>
      </c>
      <c r="B1426" t="str">
        <f>"ENTRADA"</f>
        <v>ENTRADA</v>
      </c>
      <c r="C1426" t="str">
        <f>"DINHEIRO"</f>
        <v>DINHEIRO</v>
      </c>
      <c r="D1426" t="str">
        <f>"15"</f>
        <v>15</v>
      </c>
      <c r="E1426" t="str">
        <f>"33"</f>
        <v>33</v>
      </c>
      <c r="F1426" t="str">
        <f t="shared" si="228"/>
        <v>COM</v>
      </c>
      <c r="G1426" t="str">
        <f>"WESLEI GONÇALVES SANTOS (154)"</f>
        <v>WESLEI GONÇALVES SANTOS (154)</v>
      </c>
      <c r="H1426" t="str">
        <f>"DESCONTO COTA COOPERADO"</f>
        <v>DESCONTO COTA COOPERADO</v>
      </c>
      <c r="I1426" t="str">
        <f>("16/09/2025")</f>
        <v>16/09/2025</v>
      </c>
      <c r="J1426" t="str">
        <f>("16/01/2025")</f>
        <v>16/01/2025</v>
      </c>
      <c r="K1426" t="str">
        <f>("10/09/2025")</f>
        <v>10/09/2025</v>
      </c>
      <c r="L1426">
        <v>20</v>
      </c>
      <c r="M1426">
        <v>20</v>
      </c>
      <c r="N1426">
        <v>106</v>
      </c>
      <c r="O1426" t="str">
        <f>"ENTRADA DE CAPITAL"</f>
        <v>ENTRADA DE CAPITAL</v>
      </c>
      <c r="P1426">
        <v>20</v>
      </c>
      <c r="S1426" t="str">
        <f>"ENTRADA DE CAPITAL (106)"</f>
        <v>ENTRADA DE CAPITAL (106)</v>
      </c>
      <c r="T1426">
        <v>18036</v>
      </c>
      <c r="U1426">
        <v>7807</v>
      </c>
      <c r="V1426" t="s">
        <v>48</v>
      </c>
    </row>
    <row r="1427" spans="1:22">
      <c r="A1427" t="str">
        <f t="shared" si="230"/>
        <v>10/09/2025</v>
      </c>
      <c r="B1427" t="str">
        <f>"ENTRADA"</f>
        <v>ENTRADA</v>
      </c>
      <c r="C1427" t="str">
        <f>"DINHEIRO"</f>
        <v>DINHEIRO</v>
      </c>
      <c r="D1427" t="str">
        <f>"15"</f>
        <v>15</v>
      </c>
      <c r="E1427" t="str">
        <f>"33"</f>
        <v>33</v>
      </c>
      <c r="F1427" t="str">
        <f t="shared" si="228"/>
        <v>COM</v>
      </c>
      <c r="G1427" t="str">
        <f>"WESLEI GONÇALVES SANTOS (154)"</f>
        <v>WESLEI GONÇALVES SANTOS (154)</v>
      </c>
      <c r="H1427" t="s">
        <v>309</v>
      </c>
      <c r="I1427" t="str">
        <f>("16/09/2025")</f>
        <v>16/09/2025</v>
      </c>
      <c r="J1427" t="str">
        <f>("16/01/2025")</f>
        <v>16/01/2025</v>
      </c>
      <c r="K1427">
        <v>45910</v>
      </c>
      <c r="N1427">
        <v>106</v>
      </c>
      <c r="O1427" t="s">
        <v>51</v>
      </c>
      <c r="Q1427">
        <v>20</v>
      </c>
      <c r="R1427" t="str">
        <f>"WESLEI GONÇALVES SANTOS (154)"</f>
        <v>WESLEI GONÇALVES SANTOS (154)</v>
      </c>
      <c r="S1427" t="s">
        <v>52</v>
      </c>
      <c r="T1427">
        <v>18036</v>
      </c>
      <c r="U1427">
        <v>7807</v>
      </c>
      <c r="V1427" t="s">
        <v>48</v>
      </c>
    </row>
    <row r="1428" spans="1:22">
      <c r="A1428" t="str">
        <f t="shared" si="230"/>
        <v>10/09/2025</v>
      </c>
      <c r="B1428" t="str">
        <f>"SAÍDA"</f>
        <v>SAÍDA</v>
      </c>
      <c r="C1428" t="str">
        <f>"PIX"</f>
        <v>PIX</v>
      </c>
      <c r="D1428" t="str">
        <f>"21447"</f>
        <v>21447</v>
      </c>
      <c r="E1428" t="str">
        <f>"1"</f>
        <v>1</v>
      </c>
      <c r="F1428" t="str">
        <f t="shared" si="228"/>
        <v>COM</v>
      </c>
      <c r="G1428" t="str">
        <f>"WESLEY RICARDO DE OLIVEIRA (722)"</f>
        <v>WESLEY RICARDO DE OLIVEIRA (722)</v>
      </c>
      <c r="H1428" t="str">
        <f>"Serv.Prest. 01/09/2025 a 07/09/2025 - PIX: CPF - CHAVE: 336.516.138-44"</f>
        <v>Serv.Prest. 01/09/2025 a 07/09/2025 - PIX: CPF - CHAVE: 336.516.138-44</v>
      </c>
      <c r="I1428" t="str">
        <f>("11/09/2025")</f>
        <v>11/09/2025</v>
      </c>
      <c r="J1428" t="str">
        <f>("08/09/2025")</f>
        <v>08/09/2025</v>
      </c>
      <c r="K1428" t="str">
        <f>("10/09/2025")</f>
        <v>10/09/2025</v>
      </c>
      <c r="L1428">
        <v>20</v>
      </c>
      <c r="M1428">
        <v>20</v>
      </c>
      <c r="N1428">
        <v>109</v>
      </c>
      <c r="O1428" t="str">
        <f>"PAGAMENTO DE ENTREGADORES"</f>
        <v>PAGAMENTO DE ENTREGADORES</v>
      </c>
      <c r="P1428">
        <v>20</v>
      </c>
      <c r="S1428" t="str">
        <f>"CAIXA MOVIMENTAÇÃO OPERACIONAL (132)"</f>
        <v>CAIXA MOVIMENTAÇÃO OPERACIONAL (132)</v>
      </c>
      <c r="T1428">
        <v>18037</v>
      </c>
      <c r="U1428">
        <v>21892</v>
      </c>
      <c r="V1428" t="s">
        <v>48</v>
      </c>
    </row>
    <row r="1429" spans="1:22">
      <c r="A1429" t="str">
        <f t="shared" si="230"/>
        <v>10/09/2025</v>
      </c>
      <c r="B1429" t="str">
        <f>"SAÍDA"</f>
        <v>SAÍDA</v>
      </c>
      <c r="C1429" t="str">
        <f>"PIX"</f>
        <v>PIX</v>
      </c>
      <c r="D1429" t="str">
        <f>"21447"</f>
        <v>21447</v>
      </c>
      <c r="E1429" t="str">
        <f>"1"</f>
        <v>1</v>
      </c>
      <c r="F1429" t="str">
        <f t="shared" si="228"/>
        <v>COM</v>
      </c>
      <c r="G1429" t="str">
        <f>"WESLEY RICARDO DE OLIVEIRA (722)"</f>
        <v>WESLEY RICARDO DE OLIVEIRA (722)</v>
      </c>
      <c r="H1429" t="s">
        <v>452</v>
      </c>
      <c r="I1429" t="str">
        <f>("11/09/2025")</f>
        <v>11/09/2025</v>
      </c>
      <c r="J1429" t="str">
        <f>("08/09/2025")</f>
        <v>08/09/2025</v>
      </c>
      <c r="K1429">
        <v>45910</v>
      </c>
      <c r="N1429">
        <v>109</v>
      </c>
      <c r="O1429" t="s">
        <v>24</v>
      </c>
      <c r="Q1429">
        <v>20</v>
      </c>
      <c r="R1429" t="str">
        <f>"DROGARIA AGAPEAMA (10167)"</f>
        <v>DROGARIA AGAPEAMA (10167)</v>
      </c>
      <c r="S1429" t="s">
        <v>48</v>
      </c>
      <c r="T1429">
        <v>18037</v>
      </c>
      <c r="U1429">
        <v>21892</v>
      </c>
      <c r="V1429" t="s">
        <v>48</v>
      </c>
    </row>
    <row r="1430" spans="1:22">
      <c r="A1430" t="str">
        <f t="shared" si="230"/>
        <v>10/09/2025</v>
      </c>
      <c r="B1430" t="str">
        <f>"ENTRADA"</f>
        <v>ENTRADA</v>
      </c>
      <c r="C1430" t="str">
        <f>"DINHEIRO"</f>
        <v>DINHEIRO</v>
      </c>
      <c r="D1430" t="str">
        <f>"722"</f>
        <v>722</v>
      </c>
      <c r="E1430" t="str">
        <f>"4"</f>
        <v>4</v>
      </c>
      <c r="F1430" t="str">
        <f t="shared" si="228"/>
        <v>COM</v>
      </c>
      <c r="G1430" t="str">
        <f>"WESLEY RICARDO DE OLIVEIRA (722)"</f>
        <v>WESLEY RICARDO DE OLIVEIRA (722)</v>
      </c>
      <c r="H1430" t="str">
        <f>"COTA COOPERATIVA"</f>
        <v>COTA COOPERATIVA</v>
      </c>
      <c r="I1430" t="str">
        <f>("12/09/2025")</f>
        <v>12/09/2025</v>
      </c>
      <c r="J1430" t="str">
        <f>("01/04/2025")</f>
        <v>01/04/2025</v>
      </c>
      <c r="K1430" t="str">
        <f>("10/09/2025")</f>
        <v>10/09/2025</v>
      </c>
      <c r="L1430">
        <v>20</v>
      </c>
      <c r="M1430">
        <v>20</v>
      </c>
      <c r="N1430">
        <v>106</v>
      </c>
      <c r="O1430" t="str">
        <f>"ENTRADA DE CAPITAL"</f>
        <v>ENTRADA DE CAPITAL</v>
      </c>
      <c r="P1430">
        <v>20</v>
      </c>
      <c r="S1430" t="str">
        <f>"ENTRADA DE CAPITAL (106)"</f>
        <v>ENTRADA DE CAPITAL (106)</v>
      </c>
      <c r="T1430">
        <v>18038</v>
      </c>
      <c r="U1430">
        <v>16689</v>
      </c>
      <c r="V1430" t="s">
        <v>48</v>
      </c>
    </row>
    <row r="1431" spans="1:22">
      <c r="A1431" t="str">
        <f t="shared" si="230"/>
        <v>10/09/2025</v>
      </c>
      <c r="B1431" t="str">
        <f>"ENTRADA"</f>
        <v>ENTRADA</v>
      </c>
      <c r="C1431" t="str">
        <f>"DINHEIRO"</f>
        <v>DINHEIRO</v>
      </c>
      <c r="D1431" t="str">
        <f>"722"</f>
        <v>722</v>
      </c>
      <c r="E1431" t="str">
        <f>"4"</f>
        <v>4</v>
      </c>
      <c r="F1431" t="str">
        <f t="shared" si="228"/>
        <v>COM</v>
      </c>
      <c r="G1431" t="str">
        <f>"WESLEY RICARDO DE OLIVEIRA (722)"</f>
        <v>WESLEY RICARDO DE OLIVEIRA (722)</v>
      </c>
      <c r="H1431" t="s">
        <v>50</v>
      </c>
      <c r="I1431" t="str">
        <f>("12/09/2025")</f>
        <v>12/09/2025</v>
      </c>
      <c r="J1431" t="str">
        <f>("01/04/2025")</f>
        <v>01/04/2025</v>
      </c>
      <c r="K1431">
        <v>45910</v>
      </c>
      <c r="N1431">
        <v>106</v>
      </c>
      <c r="O1431" t="s">
        <v>51</v>
      </c>
      <c r="Q1431">
        <v>20</v>
      </c>
      <c r="R1431" t="str">
        <f>"WESLEY RICARDO DE OLIVEIRA (722)"</f>
        <v>WESLEY RICARDO DE OLIVEIRA (722)</v>
      </c>
      <c r="S1431" t="s">
        <v>52</v>
      </c>
      <c r="T1431">
        <v>18038</v>
      </c>
      <c r="U1431">
        <v>16689</v>
      </c>
      <c r="V1431" t="s">
        <v>48</v>
      </c>
    </row>
    <row r="1432" spans="1:22">
      <c r="A1432" t="str">
        <f t="shared" si="230"/>
        <v>10/09/2025</v>
      </c>
      <c r="B1432" t="str">
        <f>"SAÍDA"</f>
        <v>SAÍDA</v>
      </c>
      <c r="C1432" t="str">
        <f>"PIX"</f>
        <v>PIX</v>
      </c>
      <c r="D1432" t="str">
        <f>"21273"</f>
        <v>21273</v>
      </c>
      <c r="E1432" t="str">
        <f>"1"</f>
        <v>1</v>
      </c>
      <c r="F1432" t="str">
        <f t="shared" si="228"/>
        <v>COM</v>
      </c>
      <c r="G1432" t="str">
        <f t="shared" ref="G1432:G1438" si="236">"WILIAN ROSA VIEIRA (488)"</f>
        <v>WILIAN ROSA VIEIRA (488)</v>
      </c>
      <c r="H1432" t="str">
        <f>"Serv.Prest. 25/08/2025 a 31/08/2025 - PIX: E-MAIL - CHAVE: wilianvieirawrv3578@gmail.com"</f>
        <v>Serv.Prest. 25/08/2025 a 31/08/2025 - PIX: E-MAIL - CHAVE: wilianvieirawrv3578@gmail.com</v>
      </c>
      <c r="I1432" t="str">
        <f>("11/09/2025")</f>
        <v>11/09/2025</v>
      </c>
      <c r="J1432" t="str">
        <f>("02/09/2025")</f>
        <v>02/09/2025</v>
      </c>
      <c r="K1432" t="str">
        <f>("10/09/2025")</f>
        <v>10/09/2025</v>
      </c>
      <c r="L1432">
        <v>20</v>
      </c>
      <c r="M1432">
        <v>20</v>
      </c>
      <c r="N1432">
        <v>109</v>
      </c>
      <c r="O1432" t="str">
        <f>"PAGAMENTO DE ENTREGADORES"</f>
        <v>PAGAMENTO DE ENTREGADORES</v>
      </c>
      <c r="P1432">
        <v>20</v>
      </c>
      <c r="S1432" t="str">
        <f>"CAIXA MOVIMENTAÇÃO OPERACIONAL (132)"</f>
        <v>CAIXA MOVIMENTAÇÃO OPERACIONAL (132)</v>
      </c>
      <c r="T1432">
        <v>18039</v>
      </c>
      <c r="U1432">
        <v>21893</v>
      </c>
      <c r="V1432" t="s">
        <v>48</v>
      </c>
    </row>
    <row r="1433" spans="1:22">
      <c r="A1433" t="str">
        <f t="shared" si="230"/>
        <v>10/09/2025</v>
      </c>
      <c r="B1433" t="str">
        <f>"SAÍDA"</f>
        <v>SAÍDA</v>
      </c>
      <c r="C1433" t="str">
        <f>"PIX"</f>
        <v>PIX</v>
      </c>
      <c r="D1433" t="str">
        <f>"21273"</f>
        <v>21273</v>
      </c>
      <c r="E1433" t="str">
        <f>"1"</f>
        <v>1</v>
      </c>
      <c r="F1433" t="str">
        <f t="shared" si="228"/>
        <v>COM</v>
      </c>
      <c r="G1433" t="str">
        <f t="shared" si="236"/>
        <v>WILIAN ROSA VIEIRA (488)</v>
      </c>
      <c r="H1433" t="s">
        <v>453</v>
      </c>
      <c r="I1433" t="str">
        <f>("11/09/2025")</f>
        <v>11/09/2025</v>
      </c>
      <c r="J1433" t="str">
        <f>("02/09/2025")</f>
        <v>02/09/2025</v>
      </c>
      <c r="K1433">
        <v>45910</v>
      </c>
      <c r="N1433">
        <v>109</v>
      </c>
      <c r="O1433" t="s">
        <v>24</v>
      </c>
      <c r="Q1433">
        <v>11.2</v>
      </c>
      <c r="R1433" t="str">
        <f>"FARMÁCIA INDIANA LJ 103 (10044)"</f>
        <v>FARMÁCIA INDIANA LJ 103 (10044)</v>
      </c>
      <c r="S1433" t="s">
        <v>48</v>
      </c>
      <c r="T1433">
        <v>18039</v>
      </c>
      <c r="U1433">
        <v>21893</v>
      </c>
      <c r="V1433" t="s">
        <v>48</v>
      </c>
    </row>
    <row r="1434" spans="1:22">
      <c r="A1434" t="str">
        <f t="shared" si="230"/>
        <v>10/09/2025</v>
      </c>
      <c r="B1434" t="str">
        <f>"SAÍDA"</f>
        <v>SAÍDA</v>
      </c>
      <c r="C1434" t="str">
        <f>"PIX"</f>
        <v>PIX</v>
      </c>
      <c r="D1434" t="str">
        <f>"21273"</f>
        <v>21273</v>
      </c>
      <c r="E1434" t="str">
        <f>"1"</f>
        <v>1</v>
      </c>
      <c r="F1434" t="str">
        <f t="shared" si="228"/>
        <v>COM</v>
      </c>
      <c r="G1434" t="str">
        <f t="shared" si="236"/>
        <v>WILIAN ROSA VIEIRA (488)</v>
      </c>
      <c r="H1434" t="s">
        <v>453</v>
      </c>
      <c r="I1434" t="str">
        <f>("11/09/2025")</f>
        <v>11/09/2025</v>
      </c>
      <c r="J1434" t="str">
        <f>("02/09/2025")</f>
        <v>02/09/2025</v>
      </c>
      <c r="K1434">
        <v>45910</v>
      </c>
      <c r="N1434">
        <v>109</v>
      </c>
      <c r="O1434" t="s">
        <v>24</v>
      </c>
      <c r="Q1434">
        <v>1.37</v>
      </c>
      <c r="R1434" t="str">
        <f>"FARMÁCIA INDIANA LJ 140 (10064)"</f>
        <v>FARMÁCIA INDIANA LJ 140 (10064)</v>
      </c>
      <c r="S1434" t="s">
        <v>48</v>
      </c>
      <c r="T1434">
        <v>18039</v>
      </c>
      <c r="U1434">
        <v>21893</v>
      </c>
      <c r="V1434" t="s">
        <v>48</v>
      </c>
    </row>
    <row r="1435" spans="1:22">
      <c r="A1435" t="str">
        <f t="shared" si="230"/>
        <v>10/09/2025</v>
      </c>
      <c r="B1435" t="str">
        <f>"SAÍDA"</f>
        <v>SAÍDA</v>
      </c>
      <c r="C1435" t="str">
        <f>"PIX"</f>
        <v>PIX</v>
      </c>
      <c r="D1435" t="str">
        <f>"21273"</f>
        <v>21273</v>
      </c>
      <c r="E1435" t="str">
        <f>"1"</f>
        <v>1</v>
      </c>
      <c r="F1435" t="str">
        <f t="shared" si="228"/>
        <v>COM</v>
      </c>
      <c r="G1435" t="str">
        <f t="shared" si="236"/>
        <v>WILIAN ROSA VIEIRA (488)</v>
      </c>
      <c r="H1435" t="s">
        <v>453</v>
      </c>
      <c r="I1435" t="str">
        <f>("11/09/2025")</f>
        <v>11/09/2025</v>
      </c>
      <c r="J1435" t="str">
        <f>("02/09/2025")</f>
        <v>02/09/2025</v>
      </c>
      <c r="K1435">
        <v>45910</v>
      </c>
      <c r="N1435">
        <v>109</v>
      </c>
      <c r="O1435" t="s">
        <v>24</v>
      </c>
      <c r="Q1435">
        <v>2.4</v>
      </c>
      <c r="R1435" t="str">
        <f>"FARMÁCIA INDIANA LJ 141 (10065)"</f>
        <v>FARMÁCIA INDIANA LJ 141 (10065)</v>
      </c>
      <c r="S1435" t="s">
        <v>48</v>
      </c>
      <c r="T1435">
        <v>18039</v>
      </c>
      <c r="U1435">
        <v>21893</v>
      </c>
      <c r="V1435" t="s">
        <v>48</v>
      </c>
    </row>
    <row r="1436" spans="1:22">
      <c r="A1436" t="str">
        <f t="shared" si="230"/>
        <v>10/09/2025</v>
      </c>
      <c r="B1436" t="str">
        <f>"SAÍDA"</f>
        <v>SAÍDA</v>
      </c>
      <c r="C1436" t="str">
        <f>"PIX"</f>
        <v>PIX</v>
      </c>
      <c r="D1436" t="str">
        <f>"21273"</f>
        <v>21273</v>
      </c>
      <c r="E1436" t="str">
        <f>"1"</f>
        <v>1</v>
      </c>
      <c r="F1436" t="str">
        <f t="shared" ref="F1436:F1499" si="237">"COM"</f>
        <v>COM</v>
      </c>
      <c r="G1436" t="str">
        <f t="shared" si="236"/>
        <v>WILIAN ROSA VIEIRA (488)</v>
      </c>
      <c r="H1436" t="s">
        <v>453</v>
      </c>
      <c r="I1436" t="str">
        <f>("11/09/2025")</f>
        <v>11/09/2025</v>
      </c>
      <c r="J1436" t="str">
        <f>("02/09/2025")</f>
        <v>02/09/2025</v>
      </c>
      <c r="K1436">
        <v>45910</v>
      </c>
      <c r="N1436">
        <v>109</v>
      </c>
      <c r="O1436" t="s">
        <v>24</v>
      </c>
      <c r="Q1436">
        <v>5.03</v>
      </c>
      <c r="R1436" t="str">
        <f>"FARMÁCIA INDIANA LJ 154 (10070)"</f>
        <v>FARMÁCIA INDIANA LJ 154 (10070)</v>
      </c>
      <c r="S1436" t="s">
        <v>48</v>
      </c>
      <c r="T1436">
        <v>18039</v>
      </c>
      <c r="U1436">
        <v>21893</v>
      </c>
      <c r="V1436" t="s">
        <v>48</v>
      </c>
    </row>
    <row r="1437" spans="1:22">
      <c r="A1437" t="str">
        <f t="shared" si="230"/>
        <v>10/09/2025</v>
      </c>
      <c r="B1437" t="str">
        <f>"ENTRADA"</f>
        <v>ENTRADA</v>
      </c>
      <c r="C1437" t="str">
        <f>"DINHEIRO"</f>
        <v>DINHEIRO</v>
      </c>
      <c r="D1437" t="str">
        <f>"03"</f>
        <v>03</v>
      </c>
      <c r="E1437" t="str">
        <f>"33"</f>
        <v>33</v>
      </c>
      <c r="F1437" t="str">
        <f t="shared" si="237"/>
        <v>COM</v>
      </c>
      <c r="G1437" t="str">
        <f t="shared" si="236"/>
        <v>WILIAN ROSA VIEIRA (488)</v>
      </c>
      <c r="H1437" t="str">
        <f>"DESCONTO COTA COOPERADO"</f>
        <v>DESCONTO COTA COOPERADO</v>
      </c>
      <c r="I1437" t="str">
        <f>("16/09/2025")</f>
        <v>16/09/2025</v>
      </c>
      <c r="J1437" t="str">
        <f>("16/01/2025")</f>
        <v>16/01/2025</v>
      </c>
      <c r="K1437" t="str">
        <f>("10/09/2025")</f>
        <v>10/09/2025</v>
      </c>
      <c r="L1437">
        <v>20</v>
      </c>
      <c r="M1437">
        <v>20</v>
      </c>
      <c r="N1437">
        <v>106</v>
      </c>
      <c r="O1437" t="str">
        <f>"ENTRADA DE CAPITAL"</f>
        <v>ENTRADA DE CAPITAL</v>
      </c>
      <c r="P1437">
        <v>20</v>
      </c>
      <c r="S1437" t="str">
        <f>"ENTRADA DE CAPITAL (106)"</f>
        <v>ENTRADA DE CAPITAL (106)</v>
      </c>
      <c r="T1437">
        <v>18040</v>
      </c>
      <c r="U1437">
        <v>7819</v>
      </c>
      <c r="V1437" t="s">
        <v>48</v>
      </c>
    </row>
    <row r="1438" spans="1:22">
      <c r="A1438" t="str">
        <f t="shared" si="230"/>
        <v>10/09/2025</v>
      </c>
      <c r="B1438" t="str">
        <f>"ENTRADA"</f>
        <v>ENTRADA</v>
      </c>
      <c r="C1438" t="str">
        <f>"DINHEIRO"</f>
        <v>DINHEIRO</v>
      </c>
      <c r="D1438" t="str">
        <f>"03"</f>
        <v>03</v>
      </c>
      <c r="E1438" t="str">
        <f>"33"</f>
        <v>33</v>
      </c>
      <c r="F1438" t="str">
        <f t="shared" si="237"/>
        <v>COM</v>
      </c>
      <c r="G1438" t="str">
        <f t="shared" si="236"/>
        <v>WILIAN ROSA VIEIRA (488)</v>
      </c>
      <c r="H1438" t="s">
        <v>309</v>
      </c>
      <c r="I1438" t="str">
        <f>("16/09/2025")</f>
        <v>16/09/2025</v>
      </c>
      <c r="J1438" t="str">
        <f>("16/01/2025")</f>
        <v>16/01/2025</v>
      </c>
      <c r="K1438">
        <v>45910</v>
      </c>
      <c r="N1438">
        <v>106</v>
      </c>
      <c r="O1438" t="s">
        <v>51</v>
      </c>
      <c r="Q1438">
        <v>20</v>
      </c>
      <c r="R1438" t="str">
        <f>"WILIAN ROSA VIEIRA (488)"</f>
        <v>WILIAN ROSA VIEIRA (488)</v>
      </c>
      <c r="S1438" t="s">
        <v>52</v>
      </c>
      <c r="T1438">
        <v>18040</v>
      </c>
      <c r="U1438">
        <v>7819</v>
      </c>
      <c r="V1438" t="s">
        <v>48</v>
      </c>
    </row>
    <row r="1439" spans="1:22">
      <c r="A1439" t="str">
        <f t="shared" si="230"/>
        <v>10/09/2025</v>
      </c>
      <c r="B1439" t="str">
        <f>"SAÍDA"</f>
        <v>SAÍDA</v>
      </c>
      <c r="C1439" t="str">
        <f>"PIX"</f>
        <v>PIX</v>
      </c>
      <c r="D1439" t="str">
        <f>"21697"</f>
        <v>21697</v>
      </c>
      <c r="E1439" t="str">
        <f>"1"</f>
        <v>1</v>
      </c>
      <c r="F1439" t="str">
        <f t="shared" si="237"/>
        <v>COM</v>
      </c>
      <c r="G1439" t="str">
        <f>"WILLIAM DA SILVA COSTA (655)"</f>
        <v>WILLIAM DA SILVA COSTA (655)</v>
      </c>
      <c r="H1439" t="str">
        <f>"Serv.Prest. 01/09/2025 a 07/09/2025 - PIX: CELULAR - CHAVE: (64) 97400-9101"</f>
        <v>Serv.Prest. 01/09/2025 a 07/09/2025 - PIX: CELULAR - CHAVE: (64) 97400-9101</v>
      </c>
      <c r="I1439" t="str">
        <f>("11/09/2025")</f>
        <v>11/09/2025</v>
      </c>
      <c r="J1439" t="str">
        <f>("09/09/2025")</f>
        <v>09/09/2025</v>
      </c>
      <c r="K1439" t="str">
        <f>("10/09/2025")</f>
        <v>10/09/2025</v>
      </c>
      <c r="L1439">
        <v>20</v>
      </c>
      <c r="M1439">
        <v>20</v>
      </c>
      <c r="N1439">
        <v>109</v>
      </c>
      <c r="O1439" t="str">
        <f>"PAGAMENTO DE ENTREGADORES"</f>
        <v>PAGAMENTO DE ENTREGADORES</v>
      </c>
      <c r="P1439">
        <v>20</v>
      </c>
      <c r="S1439" t="str">
        <f>"CAIXA MOVIMENTAÇÃO OPERACIONAL (132)"</f>
        <v>CAIXA MOVIMENTAÇÃO OPERACIONAL (132)</v>
      </c>
      <c r="T1439">
        <v>18041</v>
      </c>
      <c r="U1439">
        <v>21895</v>
      </c>
      <c r="V1439" t="s">
        <v>48</v>
      </c>
    </row>
    <row r="1440" spans="1:22">
      <c r="A1440" t="str">
        <f t="shared" si="230"/>
        <v>10/09/2025</v>
      </c>
      <c r="B1440" t="str">
        <f>"SAÍDA"</f>
        <v>SAÍDA</v>
      </c>
      <c r="C1440" t="str">
        <f>"PIX"</f>
        <v>PIX</v>
      </c>
      <c r="D1440" t="str">
        <f>"21697"</f>
        <v>21697</v>
      </c>
      <c r="E1440" t="str">
        <f>"1"</f>
        <v>1</v>
      </c>
      <c r="F1440" t="str">
        <f t="shared" si="237"/>
        <v>COM</v>
      </c>
      <c r="G1440" t="str">
        <f>"WILLIAM DA SILVA COSTA (655)"</f>
        <v>WILLIAM DA SILVA COSTA (655)</v>
      </c>
      <c r="H1440" t="s">
        <v>454</v>
      </c>
      <c r="I1440" t="str">
        <f>("11/09/2025")</f>
        <v>11/09/2025</v>
      </c>
      <c r="J1440" t="str">
        <f>("09/09/2025")</f>
        <v>09/09/2025</v>
      </c>
      <c r="K1440">
        <v>45910</v>
      </c>
      <c r="N1440">
        <v>109</v>
      </c>
      <c r="O1440" t="s">
        <v>24</v>
      </c>
      <c r="Q1440">
        <v>20</v>
      </c>
      <c r="R1440" t="str">
        <f>"FARMACIA ECONOMIZE (10103)"</f>
        <v>FARMACIA ECONOMIZE (10103)</v>
      </c>
      <c r="S1440" t="s">
        <v>48</v>
      </c>
      <c r="T1440">
        <v>18041</v>
      </c>
      <c r="U1440">
        <v>21895</v>
      </c>
      <c r="V1440" t="s">
        <v>48</v>
      </c>
    </row>
    <row r="1441" spans="1:22">
      <c r="A1441" t="str">
        <f t="shared" si="230"/>
        <v>10/09/2025</v>
      </c>
      <c r="B1441" t="str">
        <f>"ENTRADA"</f>
        <v>ENTRADA</v>
      </c>
      <c r="C1441" t="str">
        <f>"DINHEIRO"</f>
        <v>DINHEIRO</v>
      </c>
      <c r="D1441" t="str">
        <f>"655"</f>
        <v>655</v>
      </c>
      <c r="E1441" t="str">
        <f>"8"</f>
        <v>8</v>
      </c>
      <c r="F1441" t="str">
        <f t="shared" si="237"/>
        <v>COM</v>
      </c>
      <c r="G1441" t="str">
        <f>"WILLIAM DA SILVA COSTA (655)"</f>
        <v>WILLIAM DA SILVA COSTA (655)</v>
      </c>
      <c r="H1441" t="str">
        <f>"COTAS COOPERATIVA"</f>
        <v>COTAS COOPERATIVA</v>
      </c>
      <c r="I1441" t="str">
        <f>("13/09/2025")</f>
        <v>13/09/2025</v>
      </c>
      <c r="J1441" t="str">
        <f>("13/02/2025")</f>
        <v>13/02/2025</v>
      </c>
      <c r="K1441" t="str">
        <f>("10/09/2025")</f>
        <v>10/09/2025</v>
      </c>
      <c r="L1441">
        <v>20</v>
      </c>
      <c r="M1441">
        <v>20</v>
      </c>
      <c r="N1441">
        <v>106</v>
      </c>
      <c r="O1441" t="str">
        <f>"ENTRADA DE CAPITAL"</f>
        <v>ENTRADA DE CAPITAL</v>
      </c>
      <c r="P1441">
        <v>20</v>
      </c>
      <c r="S1441" t="str">
        <f>"ENTRADA DE CAPITAL (106)"</f>
        <v>ENTRADA DE CAPITAL (106)</v>
      </c>
      <c r="T1441">
        <v>18042</v>
      </c>
      <c r="U1441">
        <v>9799</v>
      </c>
      <c r="V1441" t="s">
        <v>48</v>
      </c>
    </row>
    <row r="1442" spans="1:22">
      <c r="A1442" t="str">
        <f t="shared" si="230"/>
        <v>10/09/2025</v>
      </c>
      <c r="B1442" t="str">
        <f>"ENTRADA"</f>
        <v>ENTRADA</v>
      </c>
      <c r="C1442" t="str">
        <f>"DINHEIRO"</f>
        <v>DINHEIRO</v>
      </c>
      <c r="D1442" t="str">
        <f>"655"</f>
        <v>655</v>
      </c>
      <c r="E1442" t="str">
        <f>"8"</f>
        <v>8</v>
      </c>
      <c r="F1442" t="str">
        <f t="shared" si="237"/>
        <v>COM</v>
      </c>
      <c r="G1442" t="str">
        <f>"WILLIAM DA SILVA COSTA (655)"</f>
        <v>WILLIAM DA SILVA COSTA (655)</v>
      </c>
      <c r="H1442" t="s">
        <v>318</v>
      </c>
      <c r="I1442" t="str">
        <f>("13/09/2025")</f>
        <v>13/09/2025</v>
      </c>
      <c r="J1442" t="str">
        <f>("13/02/2025")</f>
        <v>13/02/2025</v>
      </c>
      <c r="K1442">
        <v>45910</v>
      </c>
      <c r="N1442">
        <v>106</v>
      </c>
      <c r="O1442" t="s">
        <v>51</v>
      </c>
      <c r="Q1442">
        <v>20</v>
      </c>
      <c r="R1442" t="str">
        <f>"WILLIAM DA SILVA COSTA (655)"</f>
        <v>WILLIAM DA SILVA COSTA (655)</v>
      </c>
      <c r="S1442" t="s">
        <v>52</v>
      </c>
      <c r="T1442">
        <v>18042</v>
      </c>
      <c r="U1442">
        <v>9799</v>
      </c>
      <c r="V1442" t="s">
        <v>48</v>
      </c>
    </row>
    <row r="1443" spans="1:22">
      <c r="A1443" t="str">
        <f t="shared" si="230"/>
        <v>10/09/2025</v>
      </c>
      <c r="B1443" t="str">
        <f>"ENTRADA"</f>
        <v>ENTRADA</v>
      </c>
      <c r="C1443" t="str">
        <f>"DINHEIRO"</f>
        <v>DINHEIRO</v>
      </c>
      <c r="D1443" t="str">
        <f>"875"</f>
        <v>875</v>
      </c>
      <c r="E1443" t="str">
        <f>"2"</f>
        <v>2</v>
      </c>
      <c r="F1443" t="str">
        <f t="shared" si="237"/>
        <v>COM</v>
      </c>
      <c r="G1443" t="str">
        <f>"YAN EVERTON RODRIGUES DE LIMA (875)"</f>
        <v>YAN EVERTON RODRIGUES DE LIMA (875)</v>
      </c>
      <c r="H1443" t="str">
        <f>"COTA COOPERATIVA"</f>
        <v>COTA COOPERATIVA</v>
      </c>
      <c r="I1443" t="str">
        <f>("10/09/2025")</f>
        <v>10/09/2025</v>
      </c>
      <c r="J1443" t="str">
        <f>("10/07/2025")</f>
        <v>10/07/2025</v>
      </c>
      <c r="K1443" t="str">
        <f>("10/09/2025")</f>
        <v>10/09/2025</v>
      </c>
      <c r="L1443">
        <v>20</v>
      </c>
      <c r="M1443">
        <v>20</v>
      </c>
      <c r="N1443">
        <v>106</v>
      </c>
      <c r="O1443" t="str">
        <f>"ENTRADA DE CAPITAL"</f>
        <v>ENTRADA DE CAPITAL</v>
      </c>
      <c r="P1443">
        <v>20</v>
      </c>
      <c r="S1443" t="str">
        <f>"ENTRADA DE CAPITAL (106)"</f>
        <v>ENTRADA DE CAPITAL (106)</v>
      </c>
      <c r="T1443">
        <v>18043</v>
      </c>
      <c r="U1443">
        <v>20017</v>
      </c>
      <c r="V1443" t="s">
        <v>48</v>
      </c>
    </row>
    <row r="1444" spans="1:22">
      <c r="A1444" t="str">
        <f t="shared" si="230"/>
        <v>10/09/2025</v>
      </c>
      <c r="B1444" t="str">
        <f>"ENTRADA"</f>
        <v>ENTRADA</v>
      </c>
      <c r="C1444" t="str">
        <f>"DINHEIRO"</f>
        <v>DINHEIRO</v>
      </c>
      <c r="D1444" t="str">
        <f>"875"</f>
        <v>875</v>
      </c>
      <c r="E1444" t="str">
        <f>"2"</f>
        <v>2</v>
      </c>
      <c r="F1444" t="str">
        <f t="shared" si="237"/>
        <v>COM</v>
      </c>
      <c r="G1444" t="str">
        <f>"YAN EVERTON RODRIGUES DE LIMA (875)"</f>
        <v>YAN EVERTON RODRIGUES DE LIMA (875)</v>
      </c>
      <c r="H1444" t="s">
        <v>50</v>
      </c>
      <c r="I1444" t="str">
        <f>("10/09/2025")</f>
        <v>10/09/2025</v>
      </c>
      <c r="J1444" t="str">
        <f>("10/07/2025")</f>
        <v>10/07/2025</v>
      </c>
      <c r="K1444">
        <v>45910</v>
      </c>
      <c r="N1444">
        <v>106</v>
      </c>
      <c r="O1444" t="s">
        <v>51</v>
      </c>
      <c r="Q1444">
        <v>20</v>
      </c>
      <c r="R1444" t="str">
        <f>"YAN EVERTON RODRIGUES DE LIMA (875)"</f>
        <v>YAN EVERTON RODRIGUES DE LIMA (875)</v>
      </c>
      <c r="S1444" t="s">
        <v>52</v>
      </c>
      <c r="T1444">
        <v>18043</v>
      </c>
      <c r="U1444">
        <v>20017</v>
      </c>
      <c r="V1444" t="s">
        <v>48</v>
      </c>
    </row>
    <row r="1445" spans="1:22">
      <c r="A1445" t="str">
        <f t="shared" si="230"/>
        <v>10/09/2025</v>
      </c>
      <c r="B1445" t="str">
        <f>"SAÍDA"</f>
        <v>SAÍDA</v>
      </c>
      <c r="C1445" t="str">
        <f>"PIX"</f>
        <v>PIX</v>
      </c>
      <c r="D1445" t="str">
        <f>"21274"</f>
        <v>21274</v>
      </c>
      <c r="E1445" t="str">
        <f>"1"</f>
        <v>1</v>
      </c>
      <c r="F1445" t="str">
        <f t="shared" si="237"/>
        <v>COM</v>
      </c>
      <c r="G1445" t="str">
        <f>"YAN EVERTON RODRIGUES DE LIMA (875)"</f>
        <v>YAN EVERTON RODRIGUES DE LIMA (875)</v>
      </c>
      <c r="H1445" t="str">
        <f>"Serv.Prest. 25/08/2025 a 31/08/2025 - PIX: CELULAR - CHAVE: (33) 99859-8751"</f>
        <v>Serv.Prest. 25/08/2025 a 31/08/2025 - PIX: CELULAR - CHAVE: (33) 99859-8751</v>
      </c>
      <c r="I1445" t="str">
        <f>("11/09/2025")</f>
        <v>11/09/2025</v>
      </c>
      <c r="J1445" t="str">
        <f>("02/09/2025")</f>
        <v>02/09/2025</v>
      </c>
      <c r="K1445" t="str">
        <f>("10/09/2025")</f>
        <v>10/09/2025</v>
      </c>
      <c r="L1445">
        <v>20</v>
      </c>
      <c r="M1445">
        <v>20</v>
      </c>
      <c r="N1445">
        <v>109</v>
      </c>
      <c r="O1445" t="str">
        <f>"PAGAMENTO DE ENTREGADORES"</f>
        <v>PAGAMENTO DE ENTREGADORES</v>
      </c>
      <c r="P1445">
        <v>20</v>
      </c>
      <c r="S1445" t="str">
        <f>"CAIXA MOVIMENTAÇÃO OPERACIONAL (132)"</f>
        <v>CAIXA MOVIMENTAÇÃO OPERACIONAL (132)</v>
      </c>
      <c r="T1445">
        <v>18044</v>
      </c>
      <c r="U1445">
        <v>21896</v>
      </c>
      <c r="V1445" t="s">
        <v>48</v>
      </c>
    </row>
    <row r="1446" spans="1:22">
      <c r="A1446" t="str">
        <f t="shared" si="230"/>
        <v>10/09/2025</v>
      </c>
      <c r="B1446" t="str">
        <f>"SAÍDA"</f>
        <v>SAÍDA</v>
      </c>
      <c r="C1446" t="str">
        <f>"PIX"</f>
        <v>PIX</v>
      </c>
      <c r="D1446" t="str">
        <f>"21274"</f>
        <v>21274</v>
      </c>
      <c r="E1446" t="str">
        <f>"1"</f>
        <v>1</v>
      </c>
      <c r="F1446" t="str">
        <f t="shared" si="237"/>
        <v>COM</v>
      </c>
      <c r="G1446" t="str">
        <f>"YAN EVERTON RODRIGUES DE LIMA (875)"</f>
        <v>YAN EVERTON RODRIGUES DE LIMA (875)</v>
      </c>
      <c r="H1446" t="s">
        <v>455</v>
      </c>
      <c r="I1446" t="str">
        <f>("11/09/2025")</f>
        <v>11/09/2025</v>
      </c>
      <c r="J1446" t="str">
        <f>("02/09/2025")</f>
        <v>02/09/2025</v>
      </c>
      <c r="K1446">
        <v>45910</v>
      </c>
      <c r="N1446">
        <v>109</v>
      </c>
      <c r="O1446" t="s">
        <v>24</v>
      </c>
      <c r="Q1446">
        <v>20</v>
      </c>
      <c r="R1446" t="str">
        <f>"FARMÁCIA INDIANA LJ 06 (10006)"</f>
        <v>FARMÁCIA INDIANA LJ 06 (10006)</v>
      </c>
      <c r="S1446" t="s">
        <v>48</v>
      </c>
      <c r="T1446">
        <v>18044</v>
      </c>
      <c r="U1446">
        <v>21896</v>
      </c>
      <c r="V1446" t="s">
        <v>48</v>
      </c>
    </row>
    <row r="1447" spans="1:22">
      <c r="A1447" t="str">
        <f t="shared" si="230"/>
        <v>10/09/2025</v>
      </c>
      <c r="B1447" t="str">
        <f>"ENTRADA"</f>
        <v>ENTRADA</v>
      </c>
      <c r="C1447" t="str">
        <f>"DINHEIRO"</f>
        <v>DINHEIRO</v>
      </c>
      <c r="D1447" t="str">
        <f>"1109"</f>
        <v>1109</v>
      </c>
      <c r="E1447" t="str">
        <f>"25"</f>
        <v>25</v>
      </c>
      <c r="F1447" t="str">
        <f t="shared" si="237"/>
        <v>COM</v>
      </c>
      <c r="G1447" t="str">
        <f>"WEIGNE SENA CARDOSO (53)"</f>
        <v>WEIGNE SENA CARDOSO (53)</v>
      </c>
      <c r="H1447" t="str">
        <f>"REEMBOLSO COMPRA BAG"</f>
        <v>REEMBOLSO COMPRA BAG</v>
      </c>
      <c r="I1447" t="str">
        <f>("11/09/2025")</f>
        <v>11/09/2025</v>
      </c>
      <c r="J1447" t="str">
        <f>("04/09/2025")</f>
        <v>04/09/2025</v>
      </c>
      <c r="K1447" t="str">
        <f>("10/09/2025")</f>
        <v>10/09/2025</v>
      </c>
      <c r="L1447">
        <v>38.340000000000003</v>
      </c>
      <c r="M1447">
        <v>38.340000000000003</v>
      </c>
      <c r="N1447">
        <v>108</v>
      </c>
      <c r="O1447" t="str">
        <f>"RECEITAS COM REEMBOLSOS"</f>
        <v>RECEITAS COM REEMBOLSOS</v>
      </c>
      <c r="P1447">
        <v>38.340000000000003</v>
      </c>
      <c r="S1447" t="str">
        <f>"RECEITAS COM REEMBOLSOS (108)"</f>
        <v>RECEITAS COM REEMBOLSOS (108)</v>
      </c>
      <c r="T1447">
        <v>18045</v>
      </c>
      <c r="U1447">
        <v>21043</v>
      </c>
      <c r="V1447" t="s">
        <v>48</v>
      </c>
    </row>
    <row r="1448" spans="1:22">
      <c r="A1448" t="str">
        <f t="shared" si="230"/>
        <v>10/09/2025</v>
      </c>
      <c r="B1448" t="str">
        <f>"ENTRADA"</f>
        <v>ENTRADA</v>
      </c>
      <c r="C1448" t="str">
        <f>"DINHEIRO"</f>
        <v>DINHEIRO</v>
      </c>
      <c r="D1448" t="str">
        <f>"1109"</f>
        <v>1109</v>
      </c>
      <c r="E1448" t="str">
        <f>"25"</f>
        <v>25</v>
      </c>
      <c r="F1448" t="str">
        <f t="shared" si="237"/>
        <v>COM</v>
      </c>
      <c r="G1448" t="str">
        <f>"WEIGNE SENA CARDOSO (53)"</f>
        <v>WEIGNE SENA CARDOSO (53)</v>
      </c>
      <c r="H1448" t="s">
        <v>64</v>
      </c>
      <c r="I1448" t="str">
        <f>("11/09/2025")</f>
        <v>11/09/2025</v>
      </c>
      <c r="J1448" t="str">
        <f>("04/09/2025")</f>
        <v>04/09/2025</v>
      </c>
      <c r="K1448">
        <v>45910</v>
      </c>
      <c r="N1448">
        <v>108</v>
      </c>
      <c r="O1448" t="s">
        <v>54</v>
      </c>
      <c r="Q1448">
        <v>38.340000000000003</v>
      </c>
      <c r="R1448" t="str">
        <f>"WEIGNE SENA CARDOSO (53)"</f>
        <v>WEIGNE SENA CARDOSO (53)</v>
      </c>
      <c r="S1448" t="s">
        <v>55</v>
      </c>
      <c r="T1448">
        <v>18045</v>
      </c>
      <c r="U1448">
        <v>21043</v>
      </c>
      <c r="V1448" t="s">
        <v>48</v>
      </c>
    </row>
    <row r="1449" spans="1:22">
      <c r="A1449" t="str">
        <f t="shared" si="230"/>
        <v>10/09/2025</v>
      </c>
      <c r="B1449" t="str">
        <f>"SAÍDA"</f>
        <v>SAÍDA</v>
      </c>
      <c r="C1449" t="str">
        <f>"PIX"</f>
        <v>PIX</v>
      </c>
      <c r="D1449" t="str">
        <f>"21584"</f>
        <v>21584</v>
      </c>
      <c r="E1449" t="str">
        <f>"1"</f>
        <v>1</v>
      </c>
      <c r="F1449" t="str">
        <f t="shared" si="237"/>
        <v>COM</v>
      </c>
      <c r="G1449" t="str">
        <f>"WEIGNE SENA CARDOSO (53)"</f>
        <v>WEIGNE SENA CARDOSO (53)</v>
      </c>
      <c r="H1449" t="str">
        <f>"Serv.Prest. 01/09/2025 a 07/09/2025 - PIX: CPF - CHAVE: 097.245.586-81"</f>
        <v>Serv.Prest. 01/09/2025 a 07/09/2025 - PIX: CPF - CHAVE: 097.245.586-81</v>
      </c>
      <c r="I1449" t="str">
        <f>("18/09/2025")</f>
        <v>18/09/2025</v>
      </c>
      <c r="J1449" t="str">
        <f>("08/09/2025")</f>
        <v>08/09/2025</v>
      </c>
      <c r="K1449" t="str">
        <f>("10/09/2025")</f>
        <v>10/09/2025</v>
      </c>
      <c r="L1449">
        <v>38.340000000000003</v>
      </c>
      <c r="M1449">
        <v>38.340000000000003</v>
      </c>
      <c r="N1449">
        <v>109</v>
      </c>
      <c r="O1449" t="str">
        <f>"PAGAMENTO DE ENTREGADORES"</f>
        <v>PAGAMENTO DE ENTREGADORES</v>
      </c>
      <c r="P1449">
        <v>38.340000000000003</v>
      </c>
      <c r="S1449" t="str">
        <f>"CAIXA MOVIMENTAÇÃO OPERACIONAL (132)"</f>
        <v>CAIXA MOVIMENTAÇÃO OPERACIONAL (132)</v>
      </c>
      <c r="T1449">
        <v>18046</v>
      </c>
      <c r="U1449">
        <v>21897</v>
      </c>
      <c r="V1449" t="s">
        <v>48</v>
      </c>
    </row>
    <row r="1450" spans="1:22">
      <c r="A1450" t="str">
        <f t="shared" si="230"/>
        <v>10/09/2025</v>
      </c>
      <c r="B1450" t="str">
        <f>"SAÍDA"</f>
        <v>SAÍDA</v>
      </c>
      <c r="C1450" t="str">
        <f>"PIX"</f>
        <v>PIX</v>
      </c>
      <c r="D1450" t="str">
        <f>"21584"</f>
        <v>21584</v>
      </c>
      <c r="E1450" t="str">
        <f>"1"</f>
        <v>1</v>
      </c>
      <c r="F1450" t="str">
        <f t="shared" si="237"/>
        <v>COM</v>
      </c>
      <c r="G1450" t="str">
        <f>"WEIGNE SENA CARDOSO (53)"</f>
        <v>WEIGNE SENA CARDOSO (53)</v>
      </c>
      <c r="H1450" t="s">
        <v>456</v>
      </c>
      <c r="I1450" t="str">
        <f>("18/09/2025")</f>
        <v>18/09/2025</v>
      </c>
      <c r="J1450" t="str">
        <f>("08/09/2025")</f>
        <v>08/09/2025</v>
      </c>
      <c r="K1450">
        <v>45910</v>
      </c>
      <c r="N1450">
        <v>109</v>
      </c>
      <c r="O1450" t="s">
        <v>24</v>
      </c>
      <c r="Q1450">
        <v>38.340000000000003</v>
      </c>
      <c r="R1450" t="str">
        <f>"FARMÁCIA INDIANA LJ 07 (10007)"</f>
        <v>FARMÁCIA INDIANA LJ 07 (10007)</v>
      </c>
      <c r="S1450" t="s">
        <v>48</v>
      </c>
      <c r="T1450">
        <v>18046</v>
      </c>
      <c r="U1450">
        <v>21897</v>
      </c>
      <c r="V1450" t="s">
        <v>48</v>
      </c>
    </row>
    <row r="1451" spans="1:22">
      <c r="A1451" t="str">
        <f t="shared" si="230"/>
        <v>10/09/2025</v>
      </c>
      <c r="B1451" t="str">
        <f>"ENTRADA"</f>
        <v>ENTRADA</v>
      </c>
      <c r="C1451" t="str">
        <f>"DINHEIRO"</f>
        <v>DINHEIRO</v>
      </c>
      <c r="D1451" t="str">
        <f>"1109"</f>
        <v>1109</v>
      </c>
      <c r="E1451" t="str">
        <f>"25"</f>
        <v>25</v>
      </c>
      <c r="F1451" t="str">
        <f t="shared" si="237"/>
        <v>COM</v>
      </c>
      <c r="G1451" t="str">
        <f>"THALES VIANA DOS SANTOS (63)"</f>
        <v>THALES VIANA DOS SANTOS (63)</v>
      </c>
      <c r="H1451" t="str">
        <f>"REEMBOLSO ADIANTAMENTO"</f>
        <v>REEMBOLSO ADIANTAMENTO</v>
      </c>
      <c r="I1451" t="str">
        <f>("11/09/2025")</f>
        <v>11/09/2025</v>
      </c>
      <c r="J1451" t="str">
        <f>("31/07/2025")</f>
        <v>31/07/2025</v>
      </c>
      <c r="K1451" t="str">
        <f>("10/09/2025")</f>
        <v>10/09/2025</v>
      </c>
      <c r="L1451">
        <v>250</v>
      </c>
      <c r="M1451">
        <v>250</v>
      </c>
      <c r="N1451">
        <v>129</v>
      </c>
      <c r="O1451" t="str">
        <f>"ENTRADA DE REEMBOLSO ADIANTAMENTO"</f>
        <v>ENTRADA DE REEMBOLSO ADIANTAMENTO</v>
      </c>
      <c r="P1451">
        <v>250</v>
      </c>
      <c r="S1451" t="str">
        <f>"ENTRADA DE REEMBOLSO ADIANTAMENTO (129)"</f>
        <v>ENTRADA DE REEMBOLSO ADIANTAMENTO (129)</v>
      </c>
      <c r="T1451">
        <v>18047</v>
      </c>
      <c r="U1451">
        <v>19384</v>
      </c>
      <c r="V1451" t="s">
        <v>48</v>
      </c>
    </row>
    <row r="1452" spans="1:22">
      <c r="A1452" t="str">
        <f t="shared" si="230"/>
        <v>10/09/2025</v>
      </c>
      <c r="B1452" t="str">
        <f>"ENTRADA"</f>
        <v>ENTRADA</v>
      </c>
      <c r="C1452" t="str">
        <f>"DINHEIRO"</f>
        <v>DINHEIRO</v>
      </c>
      <c r="D1452" t="str">
        <f>"1109"</f>
        <v>1109</v>
      </c>
      <c r="E1452" t="str">
        <f>"25"</f>
        <v>25</v>
      </c>
      <c r="F1452" t="str">
        <f t="shared" si="237"/>
        <v>COM</v>
      </c>
      <c r="G1452" t="str">
        <f>"THALES VIANA DOS SANTOS (63)"</f>
        <v>THALES VIANA DOS SANTOS (63)</v>
      </c>
      <c r="H1452" t="s">
        <v>57</v>
      </c>
      <c r="I1452" t="str">
        <f>("11/09/2025")</f>
        <v>11/09/2025</v>
      </c>
      <c r="J1452" t="str">
        <f>("31/07/2025")</f>
        <v>31/07/2025</v>
      </c>
      <c r="K1452">
        <v>45910</v>
      </c>
      <c r="N1452">
        <v>129</v>
      </c>
      <c r="O1452" t="s">
        <v>58</v>
      </c>
      <c r="Q1452">
        <v>250</v>
      </c>
      <c r="R1452" t="str">
        <f>"THALES VIANA DOS SANTOS (63)"</f>
        <v>THALES VIANA DOS SANTOS (63)</v>
      </c>
      <c r="S1452" t="s">
        <v>59</v>
      </c>
      <c r="T1452">
        <v>18047</v>
      </c>
      <c r="U1452">
        <v>19384</v>
      </c>
      <c r="V1452" t="s">
        <v>48</v>
      </c>
    </row>
    <row r="1453" spans="1:22">
      <c r="A1453" t="str">
        <f t="shared" si="230"/>
        <v>10/09/2025</v>
      </c>
      <c r="B1453" t="str">
        <f t="shared" ref="B1453:B1467" si="238">"SAÍDA"</f>
        <v>SAÍDA</v>
      </c>
      <c r="C1453" t="str">
        <f t="shared" ref="C1453:C1458" si="239">"PIX"</f>
        <v>PIX</v>
      </c>
      <c r="D1453" t="str">
        <f>"21577"</f>
        <v>21577</v>
      </c>
      <c r="E1453" t="str">
        <f t="shared" ref="E1453:E1458" si="240">"1"</f>
        <v>1</v>
      </c>
      <c r="F1453" t="str">
        <f t="shared" si="237"/>
        <v>COM</v>
      </c>
      <c r="G1453" t="str">
        <f>"THALES VIANA DOS SANTOS (63)"</f>
        <v>THALES VIANA DOS SANTOS (63)</v>
      </c>
      <c r="H1453" t="str">
        <f>"Serv.Prest. 01/09/2025 a 07/09/2025 - PIX: CELULAR - CHAVE: (33) 99880-7941"</f>
        <v>Serv.Prest. 01/09/2025 a 07/09/2025 - PIX: CELULAR - CHAVE: (33) 99880-7941</v>
      </c>
      <c r="I1453" t="str">
        <f>("18/09/2025")</f>
        <v>18/09/2025</v>
      </c>
      <c r="J1453" t="str">
        <f>("08/09/2025")</f>
        <v>08/09/2025</v>
      </c>
      <c r="K1453" t="str">
        <f>("10/09/2025")</f>
        <v>10/09/2025</v>
      </c>
      <c r="L1453">
        <v>250</v>
      </c>
      <c r="M1453">
        <v>250</v>
      </c>
      <c r="N1453">
        <v>109</v>
      </c>
      <c r="O1453" t="str">
        <f>"PAGAMENTO DE ENTREGADORES"</f>
        <v>PAGAMENTO DE ENTREGADORES</v>
      </c>
      <c r="P1453">
        <v>250</v>
      </c>
      <c r="S1453" t="str">
        <f>"CAIXA MOVIMENTAÇÃO OPERACIONAL (132)"</f>
        <v>CAIXA MOVIMENTAÇÃO OPERACIONAL (132)</v>
      </c>
      <c r="T1453">
        <v>18048</v>
      </c>
      <c r="U1453">
        <v>21898</v>
      </c>
      <c r="V1453" t="s">
        <v>48</v>
      </c>
    </row>
    <row r="1454" spans="1:22">
      <c r="A1454" t="str">
        <f t="shared" si="230"/>
        <v>10/09/2025</v>
      </c>
      <c r="B1454" t="str">
        <f t="shared" si="238"/>
        <v>SAÍDA</v>
      </c>
      <c r="C1454" t="str">
        <f t="shared" si="239"/>
        <v>PIX</v>
      </c>
      <c r="D1454" t="str">
        <f>"21577"</f>
        <v>21577</v>
      </c>
      <c r="E1454" t="str">
        <f t="shared" si="240"/>
        <v>1</v>
      </c>
      <c r="F1454" t="str">
        <f t="shared" si="237"/>
        <v>COM</v>
      </c>
      <c r="G1454" t="str">
        <f>"THALES VIANA DOS SANTOS (63)"</f>
        <v>THALES VIANA DOS SANTOS (63)</v>
      </c>
      <c r="H1454" t="s">
        <v>457</v>
      </c>
      <c r="I1454" t="str">
        <f>("18/09/2025")</f>
        <v>18/09/2025</v>
      </c>
      <c r="J1454" t="str">
        <f>("08/09/2025")</f>
        <v>08/09/2025</v>
      </c>
      <c r="K1454">
        <v>45910</v>
      </c>
      <c r="N1454">
        <v>109</v>
      </c>
      <c r="O1454" t="s">
        <v>24</v>
      </c>
      <c r="Q1454">
        <v>250</v>
      </c>
      <c r="R1454" t="str">
        <f>"FARMÁCIA INDIANA LJ 07 (10007)"</f>
        <v>FARMÁCIA INDIANA LJ 07 (10007)</v>
      </c>
      <c r="S1454" t="s">
        <v>48</v>
      </c>
      <c r="T1454">
        <v>18048</v>
      </c>
      <c r="U1454">
        <v>21898</v>
      </c>
      <c r="V1454" t="s">
        <v>48</v>
      </c>
    </row>
    <row r="1455" spans="1:22">
      <c r="A1455" t="str">
        <f t="shared" si="230"/>
        <v>10/09/2025</v>
      </c>
      <c r="B1455" t="str">
        <f t="shared" si="238"/>
        <v>SAÍDA</v>
      </c>
      <c r="C1455" t="str">
        <f t="shared" si="239"/>
        <v>PIX</v>
      </c>
      <c r="D1455" t="str">
        <f>"22054"</f>
        <v>22054</v>
      </c>
      <c r="E1455" t="str">
        <f t="shared" si="240"/>
        <v>1</v>
      </c>
      <c r="F1455" t="str">
        <f t="shared" si="237"/>
        <v>COM</v>
      </c>
      <c r="G1455" t="str">
        <f>"WILDES ALVES CERQUEIRA ALMEIDA (874)"</f>
        <v>WILDES ALVES CERQUEIRA ALMEIDA (874)</v>
      </c>
      <c r="H1455" t="str">
        <f>"Serv.Prest. 08/09/2025 a 14/09/2025 - PIX: CELULAR - CHAVE: (73) 98155-8496"</f>
        <v>Serv.Prest. 08/09/2025 a 14/09/2025 - PIX: CELULAR - CHAVE: (73) 98155-8496</v>
      </c>
      <c r="I1455" t="str">
        <f>("25/09/2025")</f>
        <v>25/09/2025</v>
      </c>
      <c r="J1455" t="str">
        <f>("15/09/2025")</f>
        <v>15/09/2025</v>
      </c>
      <c r="K1455" t="str">
        <f>("10/09/2025")</f>
        <v>10/09/2025</v>
      </c>
      <c r="L1455">
        <v>120</v>
      </c>
      <c r="M1455">
        <v>120</v>
      </c>
      <c r="N1455">
        <v>109</v>
      </c>
      <c r="O1455" t="str">
        <f>"PAGAMENTO DE ENTREGADORES"</f>
        <v>PAGAMENTO DE ENTREGADORES</v>
      </c>
      <c r="P1455">
        <v>120</v>
      </c>
      <c r="S1455" t="str">
        <f>"BANCO CORA (102)"</f>
        <v>BANCO CORA (102)</v>
      </c>
      <c r="T1455">
        <v>18263</v>
      </c>
      <c r="U1455">
        <v>22200</v>
      </c>
      <c r="V1455" t="s">
        <v>22</v>
      </c>
    </row>
    <row r="1456" spans="1:22">
      <c r="A1456" t="str">
        <f t="shared" si="230"/>
        <v>10/09/2025</v>
      </c>
      <c r="B1456" t="str">
        <f t="shared" si="238"/>
        <v>SAÍDA</v>
      </c>
      <c r="C1456" t="str">
        <f t="shared" si="239"/>
        <v>PIX</v>
      </c>
      <c r="D1456" t="str">
        <f>"22054"</f>
        <v>22054</v>
      </c>
      <c r="E1456" t="str">
        <f t="shared" si="240"/>
        <v>1</v>
      </c>
      <c r="F1456" t="str">
        <f t="shared" si="237"/>
        <v>COM</v>
      </c>
      <c r="G1456" t="str">
        <f>"WILDES ALVES CERQUEIRA ALMEIDA (874)"</f>
        <v>WILDES ALVES CERQUEIRA ALMEIDA (874)</v>
      </c>
      <c r="H1456" t="s">
        <v>367</v>
      </c>
      <c r="I1456" t="str">
        <f>("25/09/2025")</f>
        <v>25/09/2025</v>
      </c>
      <c r="J1456" t="str">
        <f>("15/09/2025")</f>
        <v>15/09/2025</v>
      </c>
      <c r="K1456">
        <v>45910</v>
      </c>
      <c r="N1456">
        <v>109</v>
      </c>
      <c r="O1456" t="s">
        <v>24</v>
      </c>
      <c r="Q1456">
        <v>120</v>
      </c>
      <c r="R1456" t="str">
        <f>"FARMÁCIA INDIANA LJ 65 (10030)"</f>
        <v>FARMÁCIA INDIANA LJ 65 (10030)</v>
      </c>
      <c r="S1456" t="s">
        <v>22</v>
      </c>
      <c r="T1456">
        <v>18263</v>
      </c>
      <c r="U1456">
        <v>22200</v>
      </c>
      <c r="V1456" t="s">
        <v>22</v>
      </c>
    </row>
    <row r="1457" spans="1:22">
      <c r="A1457" t="str">
        <f t="shared" si="230"/>
        <v>10/09/2025</v>
      </c>
      <c r="B1457" t="str">
        <f t="shared" si="238"/>
        <v>SAÍDA</v>
      </c>
      <c r="C1457" t="str">
        <f t="shared" si="239"/>
        <v>PIX</v>
      </c>
      <c r="D1457" t="str">
        <f>"22022"</f>
        <v>22022</v>
      </c>
      <c r="E1457" t="str">
        <f t="shared" si="240"/>
        <v>1</v>
      </c>
      <c r="F1457" t="str">
        <f t="shared" si="237"/>
        <v>COM</v>
      </c>
      <c r="G1457" t="str">
        <f>"REGINALDO ANDRE BORTOLETTO (802)"</f>
        <v>REGINALDO ANDRE BORTOLETTO (802)</v>
      </c>
      <c r="H1457" t="str">
        <f>"Serv.Prest. 08/09/2025 a 14/09/2025 - PIX: CELULAR - CHAVE: (11) 94281-7123"</f>
        <v>Serv.Prest. 08/09/2025 a 14/09/2025 - PIX: CELULAR - CHAVE: (11) 94281-7123</v>
      </c>
      <c r="I1457" t="str">
        <f>("18/09/2025")</f>
        <v>18/09/2025</v>
      </c>
      <c r="J1457" t="str">
        <f>("15/09/2025")</f>
        <v>15/09/2025</v>
      </c>
      <c r="K1457" t="str">
        <f>("10/09/2025")</f>
        <v>10/09/2025</v>
      </c>
      <c r="L1457">
        <v>364</v>
      </c>
      <c r="M1457">
        <v>364</v>
      </c>
      <c r="N1457">
        <v>109</v>
      </c>
      <c r="O1457" t="str">
        <f>"PAGAMENTO DE ENTREGADORES"</f>
        <v>PAGAMENTO DE ENTREGADORES</v>
      </c>
      <c r="P1457">
        <v>364</v>
      </c>
      <c r="S1457" t="str">
        <f>"BANCO CORA (102)"</f>
        <v>BANCO CORA (102)</v>
      </c>
      <c r="T1457">
        <v>18276</v>
      </c>
      <c r="U1457">
        <v>22207</v>
      </c>
      <c r="V1457" t="s">
        <v>22</v>
      </c>
    </row>
    <row r="1458" spans="1:22">
      <c r="A1458" t="str">
        <f t="shared" si="230"/>
        <v>10/09/2025</v>
      </c>
      <c r="B1458" t="str">
        <f t="shared" si="238"/>
        <v>SAÍDA</v>
      </c>
      <c r="C1458" t="str">
        <f t="shared" si="239"/>
        <v>PIX</v>
      </c>
      <c r="D1458" t="str">
        <f>"22022"</f>
        <v>22022</v>
      </c>
      <c r="E1458" t="str">
        <f t="shared" si="240"/>
        <v>1</v>
      </c>
      <c r="F1458" t="str">
        <f t="shared" si="237"/>
        <v>COM</v>
      </c>
      <c r="G1458" t="str">
        <f>"REGINALDO ANDRE BORTOLETTO (802)"</f>
        <v>REGINALDO ANDRE BORTOLETTO (802)</v>
      </c>
      <c r="H1458" t="s">
        <v>458</v>
      </c>
      <c r="I1458" t="str">
        <f>("18/09/2025")</f>
        <v>18/09/2025</v>
      </c>
      <c r="J1458" t="str">
        <f>("15/09/2025")</f>
        <v>15/09/2025</v>
      </c>
      <c r="K1458">
        <v>45910</v>
      </c>
      <c r="N1458">
        <v>109</v>
      </c>
      <c r="O1458" t="s">
        <v>24</v>
      </c>
      <c r="Q1458">
        <v>364</v>
      </c>
      <c r="R1458" t="str">
        <f>"DROGARIA MEDIC CENTER LTDA (10172)"</f>
        <v>DROGARIA MEDIC CENTER LTDA (10172)</v>
      </c>
      <c r="S1458" t="s">
        <v>22</v>
      </c>
      <c r="T1458">
        <v>18276</v>
      </c>
      <c r="U1458">
        <v>22207</v>
      </c>
      <c r="V1458" t="s">
        <v>22</v>
      </c>
    </row>
    <row r="1459" spans="1:22">
      <c r="A1459" t="str">
        <f t="shared" si="230"/>
        <v>10/09/2025</v>
      </c>
      <c r="B1459" t="str">
        <f t="shared" si="238"/>
        <v>SAÍDA</v>
      </c>
      <c r="C1459" t="str">
        <f>"BOLETO"</f>
        <v>BOLETO</v>
      </c>
      <c r="D1459" t="str">
        <f>"47047882537"</f>
        <v>47047882537</v>
      </c>
      <c r="E1459" t="str">
        <f>"23"</f>
        <v>23</v>
      </c>
      <c r="F1459" t="str">
        <f t="shared" si="237"/>
        <v>COM</v>
      </c>
      <c r="G1459" t="str">
        <f>"MUNICIPIO DE UBERLANDIA (20032)"</f>
        <v>MUNICIPIO DE UBERLANDIA (20032)</v>
      </c>
      <c r="H1459" t="str">
        <f>"PARCELAMENTO ISS 2023 9040 023 01935667/23 09/25"</f>
        <v>PARCELAMENTO ISS 2023 9040 023 01935667/23 09/25</v>
      </c>
      <c r="I1459" t="str">
        <f t="shared" ref="I1459:I1504" si="241">("10/09/2025")</f>
        <v>10/09/2025</v>
      </c>
      <c r="J1459" t="str">
        <f>("01/07/2024")</f>
        <v>01/07/2024</v>
      </c>
      <c r="K1459" t="str">
        <f>("10/09/2025")</f>
        <v>10/09/2025</v>
      </c>
      <c r="L1459">
        <v>235.57</v>
      </c>
      <c r="M1459">
        <v>287.14</v>
      </c>
      <c r="N1459">
        <v>137</v>
      </c>
      <c r="O1459" t="str">
        <f>"ISS"</f>
        <v>ISS</v>
      </c>
      <c r="P1459">
        <v>287.14</v>
      </c>
      <c r="S1459" t="str">
        <f>"BANCO CORA (102)"</f>
        <v>BANCO CORA (102)</v>
      </c>
      <c r="T1459">
        <v>18542</v>
      </c>
      <c r="U1459">
        <v>1104</v>
      </c>
      <c r="V1459" t="s">
        <v>22</v>
      </c>
    </row>
    <row r="1460" spans="1:22">
      <c r="A1460" t="str">
        <f t="shared" si="230"/>
        <v>10/09/2025</v>
      </c>
      <c r="B1460" t="str">
        <f t="shared" si="238"/>
        <v>SAÍDA</v>
      </c>
      <c r="C1460" t="str">
        <f>"BOLETO"</f>
        <v>BOLETO</v>
      </c>
      <c r="D1460" t="str">
        <f>"47047882537"</f>
        <v>47047882537</v>
      </c>
      <c r="E1460" t="str">
        <f>"23"</f>
        <v>23</v>
      </c>
      <c r="F1460" t="str">
        <f t="shared" si="237"/>
        <v>COM</v>
      </c>
      <c r="G1460" t="str">
        <f>"MUNICIPIO DE UBERLANDIA (20032)"</f>
        <v>MUNICIPIO DE UBERLANDIA (20032)</v>
      </c>
      <c r="H1460" t="s">
        <v>459</v>
      </c>
      <c r="I1460" t="str">
        <f t="shared" si="241"/>
        <v>10/09/2025</v>
      </c>
      <c r="J1460" t="str">
        <f>("01/07/2024")</f>
        <v>01/07/2024</v>
      </c>
      <c r="K1460">
        <v>45910</v>
      </c>
      <c r="N1460">
        <v>137</v>
      </c>
      <c r="O1460" t="s">
        <v>295</v>
      </c>
      <c r="Q1460">
        <v>287.14</v>
      </c>
      <c r="R1460" t="str">
        <f>"MUNICIPIO DE UBERLANDIA (20032)"</f>
        <v>MUNICIPIO DE UBERLANDIA (20032)</v>
      </c>
      <c r="S1460" t="s">
        <v>22</v>
      </c>
      <c r="T1460">
        <v>18542</v>
      </c>
      <c r="U1460">
        <v>1104</v>
      </c>
      <c r="V1460" t="s">
        <v>22</v>
      </c>
    </row>
    <row r="1461" spans="1:22">
      <c r="A1461" t="str">
        <f t="shared" si="230"/>
        <v>10/09/2025</v>
      </c>
      <c r="B1461" t="str">
        <f t="shared" si="238"/>
        <v>SAÍDA</v>
      </c>
      <c r="C1461" t="str">
        <f>"BOLETO"</f>
        <v>BOLETO</v>
      </c>
      <c r="D1461" t="str">
        <f>"47048612525"</f>
        <v>47048612525</v>
      </c>
      <c r="E1461" t="str">
        <f>"17"</f>
        <v>17</v>
      </c>
      <c r="F1461" t="str">
        <f t="shared" si="237"/>
        <v>COM</v>
      </c>
      <c r="G1461" t="str">
        <f>"MUNICIPIO DE UBERLANDIA (20032)"</f>
        <v>MUNICIPIO DE UBERLANDIA (20032)</v>
      </c>
      <c r="H1461" t="str">
        <f>"PARCELAMENTO ISS 2024 9040 017 00879702/24 09/25"</f>
        <v>PARCELAMENTO ISS 2024 9040 017 00879702/24 09/25</v>
      </c>
      <c r="I1461" t="str">
        <f t="shared" si="241"/>
        <v>10/09/2025</v>
      </c>
      <c r="J1461" t="str">
        <f>("24/04/2024")</f>
        <v>24/04/2024</v>
      </c>
      <c r="K1461" t="str">
        <f>("10/09/2025")</f>
        <v>10/09/2025</v>
      </c>
      <c r="L1461">
        <v>247.84</v>
      </c>
      <c r="M1461">
        <v>288.68</v>
      </c>
      <c r="N1461">
        <v>137</v>
      </c>
      <c r="O1461" t="str">
        <f>"ISS"</f>
        <v>ISS</v>
      </c>
      <c r="P1461">
        <v>288.68</v>
      </c>
      <c r="S1461" t="str">
        <f>"BANCO CORA (102)"</f>
        <v>BANCO CORA (102)</v>
      </c>
      <c r="T1461">
        <v>18543</v>
      </c>
      <c r="U1461">
        <v>1217</v>
      </c>
      <c r="V1461" t="s">
        <v>22</v>
      </c>
    </row>
    <row r="1462" spans="1:22">
      <c r="A1462" t="str">
        <f t="shared" ref="A1462:A1525" si="242">("10/09/2025")</f>
        <v>10/09/2025</v>
      </c>
      <c r="B1462" t="str">
        <f t="shared" si="238"/>
        <v>SAÍDA</v>
      </c>
      <c r="C1462" t="str">
        <f>"BOLETO"</f>
        <v>BOLETO</v>
      </c>
      <c r="D1462" t="str">
        <f>"47048612525"</f>
        <v>47048612525</v>
      </c>
      <c r="E1462" t="str">
        <f>"17"</f>
        <v>17</v>
      </c>
      <c r="F1462" t="str">
        <f t="shared" si="237"/>
        <v>COM</v>
      </c>
      <c r="G1462" t="str">
        <f>"MUNICIPIO DE UBERLANDIA (20032)"</f>
        <v>MUNICIPIO DE UBERLANDIA (20032)</v>
      </c>
      <c r="H1462" t="s">
        <v>460</v>
      </c>
      <c r="I1462" t="str">
        <f t="shared" si="241"/>
        <v>10/09/2025</v>
      </c>
      <c r="J1462" t="str">
        <f>("24/04/2024")</f>
        <v>24/04/2024</v>
      </c>
      <c r="K1462">
        <v>45910</v>
      </c>
      <c r="N1462">
        <v>137</v>
      </c>
      <c r="O1462" t="s">
        <v>295</v>
      </c>
      <c r="Q1462">
        <v>288.68</v>
      </c>
      <c r="R1462" t="str">
        <f>"MUNICIPIO DE UBERLANDIA (20032)"</f>
        <v>MUNICIPIO DE UBERLANDIA (20032)</v>
      </c>
      <c r="S1462" t="s">
        <v>22</v>
      </c>
      <c r="T1462">
        <v>18543</v>
      </c>
      <c r="U1462">
        <v>1217</v>
      </c>
      <c r="V1462" t="s">
        <v>22</v>
      </c>
    </row>
    <row r="1463" spans="1:22">
      <c r="A1463" t="str">
        <f t="shared" si="242"/>
        <v>10/09/2025</v>
      </c>
      <c r="B1463" t="str">
        <f t="shared" si="238"/>
        <v>SAÍDA</v>
      </c>
      <c r="C1463" t="str">
        <f>"PIX"</f>
        <v>PIX</v>
      </c>
      <c r="D1463" t="str">
        <f>"1001"</f>
        <v>1001</v>
      </c>
      <c r="E1463" t="str">
        <f>"33"</f>
        <v>33</v>
      </c>
      <c r="F1463" t="str">
        <f t="shared" si="237"/>
        <v>COM</v>
      </c>
      <c r="G1463" t="str">
        <f>"OFFICIO COWORKING (20007)"</f>
        <v>OFFICIO COWORKING (20007)</v>
      </c>
      <c r="H1463" t="str">
        <f>"ALUGUEL SALA COWORKING - pixcolina1@gmail.com"</f>
        <v>ALUGUEL SALA COWORKING - pixcolina1@gmail.com</v>
      </c>
      <c r="I1463" t="str">
        <f t="shared" si="241"/>
        <v>10/09/2025</v>
      </c>
      <c r="J1463" t="str">
        <f>("01/01/2025")</f>
        <v>01/01/2025</v>
      </c>
      <c r="K1463" t="str">
        <f>("10/09/2025")</f>
        <v>10/09/2025</v>
      </c>
      <c r="L1463">
        <v>1150</v>
      </c>
      <c r="M1463">
        <v>1150</v>
      </c>
      <c r="N1463">
        <v>105</v>
      </c>
      <c r="O1463" t="str">
        <f>"ALUGUEL"</f>
        <v>ALUGUEL</v>
      </c>
      <c r="P1463">
        <v>1150</v>
      </c>
      <c r="S1463" t="str">
        <f>"BANCO CORA (102)"</f>
        <v>BANCO CORA (102)</v>
      </c>
      <c r="T1463">
        <v>18544</v>
      </c>
      <c r="U1463">
        <v>8652</v>
      </c>
      <c r="V1463" t="s">
        <v>22</v>
      </c>
    </row>
    <row r="1464" spans="1:22">
      <c r="A1464" t="str">
        <f t="shared" si="242"/>
        <v>10/09/2025</v>
      </c>
      <c r="B1464" t="str">
        <f t="shared" si="238"/>
        <v>SAÍDA</v>
      </c>
      <c r="C1464" t="str">
        <f>"PIX"</f>
        <v>PIX</v>
      </c>
      <c r="D1464" t="str">
        <f>"1001"</f>
        <v>1001</v>
      </c>
      <c r="E1464" t="str">
        <f>"33"</f>
        <v>33</v>
      </c>
      <c r="F1464" t="str">
        <f t="shared" si="237"/>
        <v>COM</v>
      </c>
      <c r="G1464" t="str">
        <f>"OFFICIO COWORKING (20007)"</f>
        <v>OFFICIO COWORKING (20007)</v>
      </c>
      <c r="H1464" t="s">
        <v>461</v>
      </c>
      <c r="I1464" t="str">
        <f t="shared" si="241"/>
        <v>10/09/2025</v>
      </c>
      <c r="J1464" t="str">
        <f>("01/01/2025")</f>
        <v>01/01/2025</v>
      </c>
      <c r="K1464">
        <v>45910</v>
      </c>
      <c r="N1464">
        <v>105</v>
      </c>
      <c r="O1464" t="s">
        <v>462</v>
      </c>
      <c r="Q1464">
        <v>1150</v>
      </c>
      <c r="R1464" t="str">
        <f>"OFFICIO COWORKING (20007)"</f>
        <v>OFFICIO COWORKING (20007)</v>
      </c>
      <c r="S1464" t="s">
        <v>22</v>
      </c>
      <c r="T1464">
        <v>18544</v>
      </c>
      <c r="U1464">
        <v>8652</v>
      </c>
      <c r="V1464" t="s">
        <v>22</v>
      </c>
    </row>
    <row r="1465" spans="1:22">
      <c r="A1465" t="str">
        <f t="shared" si="242"/>
        <v>10/09/2025</v>
      </c>
      <c r="B1465" t="str">
        <f t="shared" si="238"/>
        <v>SAÍDA</v>
      </c>
      <c r="C1465" t="str">
        <f>"BOLETO"</f>
        <v>BOLETO</v>
      </c>
      <c r="D1465" t="str">
        <f>"47048692537"</f>
        <v>47048692537</v>
      </c>
      <c r="E1465" t="str">
        <f>"4"</f>
        <v>4</v>
      </c>
      <c r="F1465" t="str">
        <f t="shared" si="237"/>
        <v>COM</v>
      </c>
      <c r="G1465" t="str">
        <f>"MUNICIPIO DE UBERLANDIA (20032)"</f>
        <v>MUNICIPIO DE UBERLANDIA (20032)</v>
      </c>
      <c r="H1465" t="str">
        <f>"PARCELAMENTO REFIM ISS 2025 9074 004 01202278/25 09.25"</f>
        <v>PARCELAMENTO REFIM ISS 2025 9074 004 01202278/25 09.25</v>
      </c>
      <c r="I1465" t="str">
        <f t="shared" si="241"/>
        <v>10/09/2025</v>
      </c>
      <c r="J1465" t="str">
        <f>("09/05/2025")</f>
        <v>09/05/2025</v>
      </c>
      <c r="K1465" t="str">
        <f>("10/09/2025")</f>
        <v>10/09/2025</v>
      </c>
      <c r="L1465">
        <v>5711.87</v>
      </c>
      <c r="M1465">
        <v>5711.87</v>
      </c>
      <c r="N1465">
        <v>137</v>
      </c>
      <c r="O1465" t="str">
        <f>"ISS"</f>
        <v>ISS</v>
      </c>
      <c r="P1465">
        <v>5711.87</v>
      </c>
      <c r="S1465" t="str">
        <f>"BANCO CORA (102)"</f>
        <v>BANCO CORA (102)</v>
      </c>
      <c r="T1465">
        <v>18545</v>
      </c>
      <c r="U1465">
        <v>15908</v>
      </c>
      <c r="V1465" t="s">
        <v>22</v>
      </c>
    </row>
    <row r="1466" spans="1:22">
      <c r="A1466" t="str">
        <f t="shared" si="242"/>
        <v>10/09/2025</v>
      </c>
      <c r="B1466" t="str">
        <f t="shared" si="238"/>
        <v>SAÍDA</v>
      </c>
      <c r="C1466" t="str">
        <f>"BOLETO"</f>
        <v>BOLETO</v>
      </c>
      <c r="D1466" t="str">
        <f>"0027177298975"</f>
        <v>0027177298975</v>
      </c>
      <c r="E1466" t="str">
        <f>""</f>
        <v/>
      </c>
      <c r="F1466" t="str">
        <f t="shared" si="237"/>
        <v>COM</v>
      </c>
      <c r="G1466" t="str">
        <f>"SECRETARIA DE ESTADO DE FAZENDA DE MINAS GERAIS (20012)"</f>
        <v>SECRETARIA DE ESTADO DE FAZENDA DE MINAS GERAIS (20012)</v>
      </c>
      <c r="H1466" t="str">
        <f>"ICMS DIFAL REF. MES 08/2025"</f>
        <v>ICMS DIFAL REF. MES 08/2025</v>
      </c>
      <c r="I1466" t="str">
        <f t="shared" si="241"/>
        <v>10/09/2025</v>
      </c>
      <c r="J1466" t="str">
        <f>("09/09/2025")</f>
        <v>09/09/2025</v>
      </c>
      <c r="K1466" t="str">
        <f>("10/09/2025")</f>
        <v>10/09/2025</v>
      </c>
      <c r="L1466">
        <v>137.19999999999999</v>
      </c>
      <c r="M1466">
        <v>137.61000000000001</v>
      </c>
      <c r="N1466">
        <v>145</v>
      </c>
      <c r="O1466" t="str">
        <f>"ICMS"</f>
        <v>ICMS</v>
      </c>
      <c r="P1466">
        <v>137.61000000000001</v>
      </c>
      <c r="S1466" t="str">
        <f>"BANCO CORA (102)"</f>
        <v>BANCO CORA (102)</v>
      </c>
      <c r="T1466">
        <v>18546</v>
      </c>
      <c r="U1466">
        <v>21698</v>
      </c>
      <c r="V1466" t="s">
        <v>22</v>
      </c>
    </row>
    <row r="1467" spans="1:22">
      <c r="A1467" t="str">
        <f t="shared" si="242"/>
        <v>10/09/2025</v>
      </c>
      <c r="B1467" t="str">
        <f t="shared" si="238"/>
        <v>SAÍDA</v>
      </c>
      <c r="C1467" t="str">
        <f>"BOLETO"</f>
        <v>BOLETO</v>
      </c>
      <c r="D1467" t="str">
        <f>"0027177298975"</f>
        <v>0027177298975</v>
      </c>
      <c r="E1467" t="str">
        <f>""</f>
        <v/>
      </c>
      <c r="F1467" t="str">
        <f t="shared" si="237"/>
        <v>COM</v>
      </c>
      <c r="G1467" t="str">
        <f>"SECRETARIA DE ESTADO DE FAZENDA DE MINAS GERAIS (20012)"</f>
        <v>SECRETARIA DE ESTADO DE FAZENDA DE MINAS GERAIS (20012)</v>
      </c>
      <c r="H1467" t="s">
        <v>463</v>
      </c>
      <c r="I1467" t="str">
        <f t="shared" si="241"/>
        <v>10/09/2025</v>
      </c>
      <c r="J1467" t="str">
        <f>("09/09/2025")</f>
        <v>09/09/2025</v>
      </c>
      <c r="K1467">
        <v>45910</v>
      </c>
      <c r="N1467">
        <v>145</v>
      </c>
      <c r="O1467" t="s">
        <v>464</v>
      </c>
      <c r="Q1467">
        <v>137.61000000000001</v>
      </c>
      <c r="R1467" t="str">
        <f>"SECRETARIA DE ESTADO DE FAZENDA DE MINAS GERAIS (20012)"</f>
        <v>SECRETARIA DE ESTADO DE FAZENDA DE MINAS GERAIS (20012)</v>
      </c>
      <c r="S1467" t="s">
        <v>22</v>
      </c>
      <c r="T1467">
        <v>18546</v>
      </c>
      <c r="U1467">
        <v>21698</v>
      </c>
      <c r="V1467" t="s">
        <v>22</v>
      </c>
    </row>
    <row r="1468" spans="1:22">
      <c r="A1468" t="str">
        <f t="shared" si="242"/>
        <v>10/09/2025</v>
      </c>
      <c r="B1468" t="str">
        <f t="shared" ref="B1468:B1486" si="243">"ENTRADA"</f>
        <v>ENTRADA</v>
      </c>
      <c r="C1468" t="str">
        <f t="shared" ref="C1468:C1486" si="244">"NFSE"</f>
        <v>NFSE</v>
      </c>
      <c r="D1468" t="str">
        <f>"3323"</f>
        <v>3323</v>
      </c>
      <c r="E1468" t="str">
        <f t="shared" ref="E1468:E1486" si="245">"1"</f>
        <v>1</v>
      </c>
      <c r="F1468" t="str">
        <f t="shared" si="237"/>
        <v>COM</v>
      </c>
      <c r="G1468" t="str">
        <f>"ENTREFARMA (10164)"</f>
        <v>ENTREFARMA (10164)</v>
      </c>
      <c r="H1468" t="str">
        <f>"Serv.Prest. 01/09/2025 a 07/09/2025 - RPS: 1199 - NFSe: 3323"</f>
        <v>Serv.Prest. 01/09/2025 a 07/09/2025 - RPS: 1199 - NFSe: 3323</v>
      </c>
      <c r="I1468" t="str">
        <f t="shared" si="241"/>
        <v>10/09/2025</v>
      </c>
      <c r="J1468" t="str">
        <f t="shared" ref="J1468:J1484" si="246">("08/09/2025")</f>
        <v>08/09/2025</v>
      </c>
      <c r="K1468" t="str">
        <f>("10/09/2025")</f>
        <v>10/09/2025</v>
      </c>
      <c r="L1468">
        <v>7618.38</v>
      </c>
      <c r="M1468">
        <v>7618.38</v>
      </c>
      <c r="N1468">
        <v>303</v>
      </c>
      <c r="O1468" t="str">
        <f>"RECEITAS COM ENTREGAS"</f>
        <v>RECEITAS COM ENTREGAS</v>
      </c>
      <c r="P1468">
        <v>7618.38</v>
      </c>
      <c r="S1468" t="str">
        <f>"RECEITAS COM ENTREGAS (303)"</f>
        <v>RECEITAS COM ENTREGAS (303)</v>
      </c>
      <c r="T1468">
        <v>18578</v>
      </c>
      <c r="U1468">
        <v>21437</v>
      </c>
      <c r="V1468" t="s">
        <v>22</v>
      </c>
    </row>
    <row r="1469" spans="1:22">
      <c r="A1469" t="str">
        <f t="shared" si="242"/>
        <v>10/09/2025</v>
      </c>
      <c r="B1469" t="str">
        <f t="shared" si="243"/>
        <v>ENTRADA</v>
      </c>
      <c r="C1469" t="str">
        <f t="shared" si="244"/>
        <v>NFSE</v>
      </c>
      <c r="D1469" t="str">
        <f>"3323"</f>
        <v>3323</v>
      </c>
      <c r="E1469" t="str">
        <f t="shared" si="245"/>
        <v>1</v>
      </c>
      <c r="F1469" t="str">
        <f t="shared" si="237"/>
        <v>COM</v>
      </c>
      <c r="G1469" t="str">
        <f>"ENTREFARMA (10164)"</f>
        <v>ENTREFARMA (10164)</v>
      </c>
      <c r="H1469" t="s">
        <v>465</v>
      </c>
      <c r="I1469" t="str">
        <f t="shared" si="241"/>
        <v>10/09/2025</v>
      </c>
      <c r="J1469" t="str">
        <f t="shared" si="246"/>
        <v>08/09/2025</v>
      </c>
      <c r="K1469">
        <v>45910</v>
      </c>
      <c r="N1469">
        <v>303</v>
      </c>
      <c r="O1469" t="s">
        <v>69</v>
      </c>
      <c r="Q1469">
        <v>7618.38</v>
      </c>
      <c r="R1469" t="str">
        <f>"ENTREFARMA (10164)"</f>
        <v>ENTREFARMA (10164)</v>
      </c>
      <c r="S1469" t="s">
        <v>70</v>
      </c>
      <c r="T1469">
        <v>18578</v>
      </c>
      <c r="U1469">
        <v>21437</v>
      </c>
      <c r="V1469" t="s">
        <v>22</v>
      </c>
    </row>
    <row r="1470" spans="1:22">
      <c r="A1470" t="str">
        <f t="shared" si="242"/>
        <v>10/09/2025</v>
      </c>
      <c r="B1470" t="str">
        <f t="shared" si="243"/>
        <v>ENTRADA</v>
      </c>
      <c r="C1470" t="str">
        <f t="shared" si="244"/>
        <v>NFSE</v>
      </c>
      <c r="D1470" t="str">
        <f>"3324"</f>
        <v>3324</v>
      </c>
      <c r="E1470" t="str">
        <f t="shared" si="245"/>
        <v>1</v>
      </c>
      <c r="F1470" t="str">
        <f t="shared" si="237"/>
        <v>COM</v>
      </c>
      <c r="G1470" t="str">
        <f>"FRAN FARMA (10124)"</f>
        <v>FRAN FARMA (10124)</v>
      </c>
      <c r="H1470" t="str">
        <f>"Serv.Prest. 01/09/2025 a 07/09/2025 - RPS: 1200 - NFSe: 3324"</f>
        <v>Serv.Prest. 01/09/2025 a 07/09/2025 - RPS: 1200 - NFSe: 3324</v>
      </c>
      <c r="I1470" t="str">
        <f t="shared" si="241"/>
        <v>10/09/2025</v>
      </c>
      <c r="J1470" t="str">
        <f t="shared" si="246"/>
        <v>08/09/2025</v>
      </c>
      <c r="K1470" t="str">
        <f>("10/09/2025")</f>
        <v>10/09/2025</v>
      </c>
      <c r="L1470">
        <v>840</v>
      </c>
      <c r="M1470">
        <v>840</v>
      </c>
      <c r="N1470">
        <v>303</v>
      </c>
      <c r="O1470" t="str">
        <f>"RECEITAS COM ENTREGAS"</f>
        <v>RECEITAS COM ENTREGAS</v>
      </c>
      <c r="P1470">
        <v>840</v>
      </c>
      <c r="S1470" t="str">
        <f>"RECEITAS COM ENTREGAS (303)"</f>
        <v>RECEITAS COM ENTREGAS (303)</v>
      </c>
      <c r="T1470">
        <v>18579</v>
      </c>
      <c r="U1470">
        <v>21442</v>
      </c>
      <c r="V1470" t="s">
        <v>22</v>
      </c>
    </row>
    <row r="1471" spans="1:22">
      <c r="A1471" t="str">
        <f t="shared" si="242"/>
        <v>10/09/2025</v>
      </c>
      <c r="B1471" t="str">
        <f t="shared" si="243"/>
        <v>ENTRADA</v>
      </c>
      <c r="C1471" t="str">
        <f t="shared" si="244"/>
        <v>NFSE</v>
      </c>
      <c r="D1471" t="str">
        <f>"3324"</f>
        <v>3324</v>
      </c>
      <c r="E1471" t="str">
        <f t="shared" si="245"/>
        <v>1</v>
      </c>
      <c r="F1471" t="str">
        <f t="shared" si="237"/>
        <v>COM</v>
      </c>
      <c r="G1471" t="str">
        <f>"FRAN FARMA (10124)"</f>
        <v>FRAN FARMA (10124)</v>
      </c>
      <c r="H1471" t="s">
        <v>466</v>
      </c>
      <c r="I1471" t="str">
        <f t="shared" si="241"/>
        <v>10/09/2025</v>
      </c>
      <c r="J1471" t="str">
        <f t="shared" si="246"/>
        <v>08/09/2025</v>
      </c>
      <c r="K1471">
        <v>45910</v>
      </c>
      <c r="N1471">
        <v>303</v>
      </c>
      <c r="O1471" t="s">
        <v>69</v>
      </c>
      <c r="Q1471">
        <v>504</v>
      </c>
      <c r="R1471" t="str">
        <f>"FRAN FARMA LJ 2 (10131)"</f>
        <v>FRAN FARMA LJ 2 (10131)</v>
      </c>
      <c r="S1471" t="s">
        <v>70</v>
      </c>
      <c r="T1471">
        <v>18579</v>
      </c>
      <c r="U1471">
        <v>21442</v>
      </c>
      <c r="V1471" t="s">
        <v>22</v>
      </c>
    </row>
    <row r="1472" spans="1:22">
      <c r="A1472" t="str">
        <f t="shared" si="242"/>
        <v>10/09/2025</v>
      </c>
      <c r="B1472" t="str">
        <f t="shared" si="243"/>
        <v>ENTRADA</v>
      </c>
      <c r="C1472" t="str">
        <f t="shared" si="244"/>
        <v>NFSE</v>
      </c>
      <c r="D1472" t="str">
        <f>"3324"</f>
        <v>3324</v>
      </c>
      <c r="E1472" t="str">
        <f t="shared" si="245"/>
        <v>1</v>
      </c>
      <c r="F1472" t="str">
        <f t="shared" si="237"/>
        <v>COM</v>
      </c>
      <c r="G1472" t="str">
        <f>"FRAN FARMA (10124)"</f>
        <v>FRAN FARMA (10124)</v>
      </c>
      <c r="H1472" t="s">
        <v>466</v>
      </c>
      <c r="I1472" t="str">
        <f t="shared" si="241"/>
        <v>10/09/2025</v>
      </c>
      <c r="J1472" t="str">
        <f t="shared" si="246"/>
        <v>08/09/2025</v>
      </c>
      <c r="K1472">
        <v>45910</v>
      </c>
      <c r="N1472">
        <v>303</v>
      </c>
      <c r="O1472" t="s">
        <v>69</v>
      </c>
      <c r="Q1472">
        <v>336</v>
      </c>
      <c r="R1472" t="str">
        <f>"FRAN FARMA LJ 3 (10132)"</f>
        <v>FRAN FARMA LJ 3 (10132)</v>
      </c>
      <c r="S1472" t="s">
        <v>70</v>
      </c>
      <c r="T1472">
        <v>18579</v>
      </c>
      <c r="U1472">
        <v>21442</v>
      </c>
      <c r="V1472" t="s">
        <v>22</v>
      </c>
    </row>
    <row r="1473" spans="1:22">
      <c r="A1473" t="str">
        <f t="shared" si="242"/>
        <v>10/09/2025</v>
      </c>
      <c r="B1473" t="str">
        <f t="shared" si="243"/>
        <v>ENTRADA</v>
      </c>
      <c r="C1473" t="str">
        <f t="shared" si="244"/>
        <v>NFSE</v>
      </c>
      <c r="D1473" t="str">
        <f>"3325"</f>
        <v>3325</v>
      </c>
      <c r="E1473" t="str">
        <f t="shared" si="245"/>
        <v>1</v>
      </c>
      <c r="F1473" t="str">
        <f t="shared" si="237"/>
        <v>COM</v>
      </c>
      <c r="G1473" t="str">
        <f>"DROGARIA AGAPEAMA (10167)"</f>
        <v>DROGARIA AGAPEAMA (10167)</v>
      </c>
      <c r="H1473" t="str">
        <f>"Serv.Prest. 01/09/2025 a 07/09/2025 - RPS: 1201 - NFSe: 3325"</f>
        <v>Serv.Prest. 01/09/2025 a 07/09/2025 - RPS: 1201 - NFSe: 3325</v>
      </c>
      <c r="I1473" t="str">
        <f t="shared" si="241"/>
        <v>10/09/2025</v>
      </c>
      <c r="J1473" t="str">
        <f t="shared" si="246"/>
        <v>08/09/2025</v>
      </c>
      <c r="K1473" t="str">
        <f>("10/09/2025")</f>
        <v>10/09/2025</v>
      </c>
      <c r="L1473">
        <v>3873.6</v>
      </c>
      <c r="M1473">
        <v>3873.6</v>
      </c>
      <c r="N1473">
        <v>303</v>
      </c>
      <c r="O1473" t="str">
        <f>"RECEITAS COM ENTREGAS"</f>
        <v>RECEITAS COM ENTREGAS</v>
      </c>
      <c r="P1473">
        <v>3873.6</v>
      </c>
      <c r="S1473" t="str">
        <f>"RECEITAS COM ENTREGAS (303)"</f>
        <v>RECEITAS COM ENTREGAS (303)</v>
      </c>
      <c r="T1473">
        <v>18580</v>
      </c>
      <c r="U1473">
        <v>21444</v>
      </c>
      <c r="V1473" t="s">
        <v>22</v>
      </c>
    </row>
    <row r="1474" spans="1:22">
      <c r="A1474" t="str">
        <f t="shared" si="242"/>
        <v>10/09/2025</v>
      </c>
      <c r="B1474" t="str">
        <f t="shared" si="243"/>
        <v>ENTRADA</v>
      </c>
      <c r="C1474" t="str">
        <f t="shared" si="244"/>
        <v>NFSE</v>
      </c>
      <c r="D1474" t="str">
        <f>"3325"</f>
        <v>3325</v>
      </c>
      <c r="E1474" t="str">
        <f t="shared" si="245"/>
        <v>1</v>
      </c>
      <c r="F1474" t="str">
        <f t="shared" si="237"/>
        <v>COM</v>
      </c>
      <c r="G1474" t="str">
        <f>"DROGARIA AGAPEAMA (10167)"</f>
        <v>DROGARIA AGAPEAMA (10167)</v>
      </c>
      <c r="H1474" t="s">
        <v>467</v>
      </c>
      <c r="I1474" t="str">
        <f t="shared" si="241"/>
        <v>10/09/2025</v>
      </c>
      <c r="J1474" t="str">
        <f t="shared" si="246"/>
        <v>08/09/2025</v>
      </c>
      <c r="K1474">
        <v>45910</v>
      </c>
      <c r="N1474">
        <v>303</v>
      </c>
      <c r="O1474" t="s">
        <v>69</v>
      </c>
      <c r="Q1474">
        <v>3873.6</v>
      </c>
      <c r="R1474" t="str">
        <f>"DROGARIA AGAPEAMA (10167)"</f>
        <v>DROGARIA AGAPEAMA (10167)</v>
      </c>
      <c r="S1474" t="s">
        <v>70</v>
      </c>
      <c r="T1474">
        <v>18580</v>
      </c>
      <c r="U1474">
        <v>21444</v>
      </c>
      <c r="V1474" t="s">
        <v>22</v>
      </c>
    </row>
    <row r="1475" spans="1:22">
      <c r="A1475" t="str">
        <f t="shared" si="242"/>
        <v>10/09/2025</v>
      </c>
      <c r="B1475" t="str">
        <f t="shared" si="243"/>
        <v>ENTRADA</v>
      </c>
      <c r="C1475" t="str">
        <f t="shared" si="244"/>
        <v>NFSE</v>
      </c>
      <c r="D1475" t="str">
        <f>"3327"</f>
        <v>3327</v>
      </c>
      <c r="E1475" t="str">
        <f t="shared" si="245"/>
        <v>1</v>
      </c>
      <c r="F1475" t="str">
        <f t="shared" si="237"/>
        <v>COM</v>
      </c>
      <c r="G1475" t="str">
        <f>"DROGA ELIDA (10121)"</f>
        <v>DROGA ELIDA (10121)</v>
      </c>
      <c r="H1475" t="str">
        <f>"Serv.Prest. 01/09/2025 a 07/09/2025 - RPS: 1203 - NFSe: 3327"</f>
        <v>Serv.Prest. 01/09/2025 a 07/09/2025 - RPS: 1203 - NFSe: 3327</v>
      </c>
      <c r="I1475" t="str">
        <f t="shared" si="241"/>
        <v>10/09/2025</v>
      </c>
      <c r="J1475" t="str">
        <f t="shared" si="246"/>
        <v>08/09/2025</v>
      </c>
      <c r="K1475" t="str">
        <f>("10/09/2025")</f>
        <v>10/09/2025</v>
      </c>
      <c r="L1475">
        <v>1839.6</v>
      </c>
      <c r="M1475">
        <v>1839.6</v>
      </c>
      <c r="N1475">
        <v>303</v>
      </c>
      <c r="O1475" t="str">
        <f>"RECEITAS COM ENTREGAS"</f>
        <v>RECEITAS COM ENTREGAS</v>
      </c>
      <c r="P1475">
        <v>1839.6</v>
      </c>
      <c r="S1475" t="str">
        <f>"RECEITAS COM ENTREGAS (303)"</f>
        <v>RECEITAS COM ENTREGAS (303)</v>
      </c>
      <c r="T1475">
        <v>18581</v>
      </c>
      <c r="U1475">
        <v>21454</v>
      </c>
      <c r="V1475" t="s">
        <v>22</v>
      </c>
    </row>
    <row r="1476" spans="1:22">
      <c r="A1476" t="str">
        <f t="shared" si="242"/>
        <v>10/09/2025</v>
      </c>
      <c r="B1476" t="str">
        <f t="shared" si="243"/>
        <v>ENTRADA</v>
      </c>
      <c r="C1476" t="str">
        <f t="shared" si="244"/>
        <v>NFSE</v>
      </c>
      <c r="D1476" t="str">
        <f>"3327"</f>
        <v>3327</v>
      </c>
      <c r="E1476" t="str">
        <f t="shared" si="245"/>
        <v>1</v>
      </c>
      <c r="F1476" t="str">
        <f t="shared" si="237"/>
        <v>COM</v>
      </c>
      <c r="G1476" t="str">
        <f>"DROGA ELIDA (10121)"</f>
        <v>DROGA ELIDA (10121)</v>
      </c>
      <c r="H1476" t="s">
        <v>468</v>
      </c>
      <c r="I1476" t="str">
        <f t="shared" si="241"/>
        <v>10/09/2025</v>
      </c>
      <c r="J1476" t="str">
        <f t="shared" si="246"/>
        <v>08/09/2025</v>
      </c>
      <c r="K1476">
        <v>45910</v>
      </c>
      <c r="N1476">
        <v>303</v>
      </c>
      <c r="O1476" t="s">
        <v>69</v>
      </c>
      <c r="Q1476">
        <v>1839.6</v>
      </c>
      <c r="R1476" t="str">
        <f>"DROGA ELIDA (10121)"</f>
        <v>DROGA ELIDA (10121)</v>
      </c>
      <c r="S1476" t="s">
        <v>70</v>
      </c>
      <c r="T1476">
        <v>18581</v>
      </c>
      <c r="U1476">
        <v>21454</v>
      </c>
      <c r="V1476" t="s">
        <v>22</v>
      </c>
    </row>
    <row r="1477" spans="1:22">
      <c r="A1477" t="str">
        <f t="shared" si="242"/>
        <v>10/09/2025</v>
      </c>
      <c r="B1477" t="str">
        <f t="shared" si="243"/>
        <v>ENTRADA</v>
      </c>
      <c r="C1477" t="str">
        <f t="shared" si="244"/>
        <v>NFSE</v>
      </c>
      <c r="D1477" t="str">
        <f>"3330"</f>
        <v>3330</v>
      </c>
      <c r="E1477" t="str">
        <f t="shared" si="245"/>
        <v>1</v>
      </c>
      <c r="F1477" t="str">
        <f t="shared" si="237"/>
        <v>COM</v>
      </c>
      <c r="G1477" t="str">
        <f>"DROGARIA TOTAL JUNDIAI (10177)"</f>
        <v>DROGARIA TOTAL JUNDIAI (10177)</v>
      </c>
      <c r="H1477" t="str">
        <f>"Serv.Prest. 01/09/2025 a 07/09/2025 - RPS: 1206 - NFSe: 3330"</f>
        <v>Serv.Prest. 01/09/2025 a 07/09/2025 - RPS: 1206 - NFSe: 3330</v>
      </c>
      <c r="I1477" t="str">
        <f t="shared" si="241"/>
        <v>10/09/2025</v>
      </c>
      <c r="J1477" t="str">
        <f t="shared" si="246"/>
        <v>08/09/2025</v>
      </c>
      <c r="K1477" t="str">
        <f>("10/09/2025")</f>
        <v>10/09/2025</v>
      </c>
      <c r="L1477">
        <v>902.42</v>
      </c>
      <c r="M1477">
        <v>902.42</v>
      </c>
      <c r="N1477">
        <v>303</v>
      </c>
      <c r="O1477" t="str">
        <f>"RECEITAS COM ENTREGAS"</f>
        <v>RECEITAS COM ENTREGAS</v>
      </c>
      <c r="P1477">
        <v>902.42</v>
      </c>
      <c r="S1477" t="str">
        <f>"RECEITAS COM ENTREGAS (303)"</f>
        <v>RECEITAS COM ENTREGAS (303)</v>
      </c>
      <c r="T1477">
        <v>18582</v>
      </c>
      <c r="U1477">
        <v>21462</v>
      </c>
      <c r="V1477" t="s">
        <v>22</v>
      </c>
    </row>
    <row r="1478" spans="1:22">
      <c r="A1478" t="str">
        <f t="shared" si="242"/>
        <v>10/09/2025</v>
      </c>
      <c r="B1478" t="str">
        <f t="shared" si="243"/>
        <v>ENTRADA</v>
      </c>
      <c r="C1478" t="str">
        <f t="shared" si="244"/>
        <v>NFSE</v>
      </c>
      <c r="D1478" t="str">
        <f>"3330"</f>
        <v>3330</v>
      </c>
      <c r="E1478" t="str">
        <f t="shared" si="245"/>
        <v>1</v>
      </c>
      <c r="F1478" t="str">
        <f t="shared" si="237"/>
        <v>COM</v>
      </c>
      <c r="G1478" t="str">
        <f>"DROGARIA TOTAL JUNDIAI (10177)"</f>
        <v>DROGARIA TOTAL JUNDIAI (10177)</v>
      </c>
      <c r="H1478" t="s">
        <v>469</v>
      </c>
      <c r="I1478" t="str">
        <f t="shared" si="241"/>
        <v>10/09/2025</v>
      </c>
      <c r="J1478" t="str">
        <f t="shared" si="246"/>
        <v>08/09/2025</v>
      </c>
      <c r="K1478">
        <v>45910</v>
      </c>
      <c r="N1478">
        <v>303</v>
      </c>
      <c r="O1478" t="s">
        <v>69</v>
      </c>
      <c r="Q1478">
        <v>902.42</v>
      </c>
      <c r="R1478" t="str">
        <f>"DROGARIA TOTAL JUNDIAI (10177)"</f>
        <v>DROGARIA TOTAL JUNDIAI (10177)</v>
      </c>
      <c r="S1478" t="s">
        <v>70</v>
      </c>
      <c r="T1478">
        <v>18582</v>
      </c>
      <c r="U1478">
        <v>21462</v>
      </c>
      <c r="V1478" t="s">
        <v>22</v>
      </c>
    </row>
    <row r="1479" spans="1:22">
      <c r="A1479" t="str">
        <f t="shared" si="242"/>
        <v>10/09/2025</v>
      </c>
      <c r="B1479" t="str">
        <f t="shared" si="243"/>
        <v>ENTRADA</v>
      </c>
      <c r="C1479" t="str">
        <f t="shared" si="244"/>
        <v>NFSE</v>
      </c>
      <c r="D1479" t="str">
        <f>"3331"</f>
        <v>3331</v>
      </c>
      <c r="E1479" t="str">
        <f t="shared" si="245"/>
        <v>1</v>
      </c>
      <c r="F1479" t="str">
        <f t="shared" si="237"/>
        <v>COM</v>
      </c>
      <c r="G1479" t="str">
        <f>"DROGARIA MEDIC CENTER LTDA (10172)"</f>
        <v>DROGARIA MEDIC CENTER LTDA (10172)</v>
      </c>
      <c r="H1479" t="str">
        <f>"Serv.Prest. 01/09/2025 a 07/09/2025 - RPS: 1207 - NFSe: 3331"</f>
        <v>Serv.Prest. 01/09/2025 a 07/09/2025 - RPS: 1207 - NFSe: 3331</v>
      </c>
      <c r="I1479" t="str">
        <f t="shared" si="241"/>
        <v>10/09/2025</v>
      </c>
      <c r="J1479" t="str">
        <f t="shared" si="246"/>
        <v>08/09/2025</v>
      </c>
      <c r="K1479" t="str">
        <f>("10/09/2025")</f>
        <v>10/09/2025</v>
      </c>
      <c r="L1479">
        <v>1401.3</v>
      </c>
      <c r="M1479">
        <v>1401.3</v>
      </c>
      <c r="N1479">
        <v>303</v>
      </c>
      <c r="O1479" t="str">
        <f>"RECEITAS COM ENTREGAS"</f>
        <v>RECEITAS COM ENTREGAS</v>
      </c>
      <c r="P1479">
        <v>1401.3</v>
      </c>
      <c r="S1479" t="str">
        <f>"RECEITAS COM ENTREGAS (303)"</f>
        <v>RECEITAS COM ENTREGAS (303)</v>
      </c>
      <c r="T1479">
        <v>18583</v>
      </c>
      <c r="U1479">
        <v>21465</v>
      </c>
      <c r="V1479" t="s">
        <v>22</v>
      </c>
    </row>
    <row r="1480" spans="1:22">
      <c r="A1480" t="str">
        <f t="shared" si="242"/>
        <v>10/09/2025</v>
      </c>
      <c r="B1480" t="str">
        <f t="shared" si="243"/>
        <v>ENTRADA</v>
      </c>
      <c r="C1480" t="str">
        <f t="shared" si="244"/>
        <v>NFSE</v>
      </c>
      <c r="D1480" t="str">
        <f>"3331"</f>
        <v>3331</v>
      </c>
      <c r="E1480" t="str">
        <f t="shared" si="245"/>
        <v>1</v>
      </c>
      <c r="F1480" t="str">
        <f t="shared" si="237"/>
        <v>COM</v>
      </c>
      <c r="G1480" t="str">
        <f>"DROGARIA MEDIC CENTER LTDA (10172)"</f>
        <v>DROGARIA MEDIC CENTER LTDA (10172)</v>
      </c>
      <c r="H1480" t="s">
        <v>470</v>
      </c>
      <c r="I1480" t="str">
        <f t="shared" si="241"/>
        <v>10/09/2025</v>
      </c>
      <c r="J1480" t="str">
        <f t="shared" si="246"/>
        <v>08/09/2025</v>
      </c>
      <c r="K1480">
        <v>45910</v>
      </c>
      <c r="N1480">
        <v>303</v>
      </c>
      <c r="O1480" t="s">
        <v>69</v>
      </c>
      <c r="Q1480">
        <v>1401.3</v>
      </c>
      <c r="R1480" t="str">
        <f>"DROGARIA MEDIC CENTER LTDA (10172)"</f>
        <v>DROGARIA MEDIC CENTER LTDA (10172)</v>
      </c>
      <c r="S1480" t="s">
        <v>70</v>
      </c>
      <c r="T1480">
        <v>18583</v>
      </c>
      <c r="U1480">
        <v>21465</v>
      </c>
      <c r="V1480" t="s">
        <v>22</v>
      </c>
    </row>
    <row r="1481" spans="1:22">
      <c r="A1481" t="str">
        <f t="shared" si="242"/>
        <v>10/09/2025</v>
      </c>
      <c r="B1481" t="str">
        <f t="shared" si="243"/>
        <v>ENTRADA</v>
      </c>
      <c r="C1481" t="str">
        <f t="shared" si="244"/>
        <v>NFSE</v>
      </c>
      <c r="D1481" t="str">
        <f>"3332"</f>
        <v>3332</v>
      </c>
      <c r="E1481" t="str">
        <f t="shared" si="245"/>
        <v>1</v>
      </c>
      <c r="F1481" t="str">
        <f t="shared" si="237"/>
        <v>COM</v>
      </c>
      <c r="G1481" t="str">
        <f>"DROGARIA MORENO LTDA (10171)"</f>
        <v>DROGARIA MORENO LTDA (10171)</v>
      </c>
      <c r="H1481" t="str">
        <f>"Serv.Prest. 01/09/2025 a 07/09/2025 - RPS: 1208 - NFSe: 3332"</f>
        <v>Serv.Prest. 01/09/2025 a 07/09/2025 - RPS: 1208 - NFSe: 3332</v>
      </c>
      <c r="I1481" t="str">
        <f t="shared" si="241"/>
        <v>10/09/2025</v>
      </c>
      <c r="J1481" t="str">
        <f t="shared" si="246"/>
        <v>08/09/2025</v>
      </c>
      <c r="K1481" t="str">
        <f>("10/09/2025")</f>
        <v>10/09/2025</v>
      </c>
      <c r="L1481">
        <v>3742.2</v>
      </c>
      <c r="M1481">
        <v>3742.2</v>
      </c>
      <c r="N1481">
        <v>303</v>
      </c>
      <c r="O1481" t="str">
        <f>"RECEITAS COM ENTREGAS"</f>
        <v>RECEITAS COM ENTREGAS</v>
      </c>
      <c r="P1481">
        <v>3742.2</v>
      </c>
      <c r="S1481" t="str">
        <f>"RECEITAS COM ENTREGAS (303)"</f>
        <v>RECEITAS COM ENTREGAS (303)</v>
      </c>
      <c r="T1481">
        <v>18584</v>
      </c>
      <c r="U1481">
        <v>21469</v>
      </c>
      <c r="V1481" t="s">
        <v>22</v>
      </c>
    </row>
    <row r="1482" spans="1:22">
      <c r="A1482" t="str">
        <f t="shared" si="242"/>
        <v>10/09/2025</v>
      </c>
      <c r="B1482" t="str">
        <f t="shared" si="243"/>
        <v>ENTRADA</v>
      </c>
      <c r="C1482" t="str">
        <f t="shared" si="244"/>
        <v>NFSE</v>
      </c>
      <c r="D1482" t="str">
        <f>"3332"</f>
        <v>3332</v>
      </c>
      <c r="E1482" t="str">
        <f t="shared" si="245"/>
        <v>1</v>
      </c>
      <c r="F1482" t="str">
        <f t="shared" si="237"/>
        <v>COM</v>
      </c>
      <c r="G1482" t="str">
        <f>"DROGARIA MORENO LTDA (10171)"</f>
        <v>DROGARIA MORENO LTDA (10171)</v>
      </c>
      <c r="H1482" t="s">
        <v>471</v>
      </c>
      <c r="I1482" t="str">
        <f t="shared" si="241"/>
        <v>10/09/2025</v>
      </c>
      <c r="J1482" t="str">
        <f t="shared" si="246"/>
        <v>08/09/2025</v>
      </c>
      <c r="K1482">
        <v>45910</v>
      </c>
      <c r="N1482">
        <v>303</v>
      </c>
      <c r="O1482" t="s">
        <v>69</v>
      </c>
      <c r="Q1482">
        <v>3742.2</v>
      </c>
      <c r="R1482" t="str">
        <f>"DROGARIA MORENO LTDA (10171)"</f>
        <v>DROGARIA MORENO LTDA (10171)</v>
      </c>
      <c r="S1482" t="s">
        <v>70</v>
      </c>
      <c r="T1482">
        <v>18584</v>
      </c>
      <c r="U1482">
        <v>21469</v>
      </c>
      <c r="V1482" t="s">
        <v>22</v>
      </c>
    </row>
    <row r="1483" spans="1:22">
      <c r="A1483" t="str">
        <f t="shared" si="242"/>
        <v>10/09/2025</v>
      </c>
      <c r="B1483" t="str">
        <f t="shared" si="243"/>
        <v>ENTRADA</v>
      </c>
      <c r="C1483" t="str">
        <f t="shared" si="244"/>
        <v>NFSE</v>
      </c>
      <c r="D1483" t="str">
        <f>"3334"</f>
        <v>3334</v>
      </c>
      <c r="E1483" t="str">
        <f t="shared" si="245"/>
        <v>1</v>
      </c>
      <c r="F1483" t="str">
        <f t="shared" si="237"/>
        <v>COM</v>
      </c>
      <c r="G1483" t="str">
        <f>"JAL FARMACIA E DROGARIA LJ 2 (10138)"</f>
        <v>JAL FARMACIA E DROGARIA LJ 2 (10138)</v>
      </c>
      <c r="H1483" t="str">
        <f>"Serv.Prest. 01/09/2025 a 07/09/2025 - RPS: 1210 - NFSe: 3334"</f>
        <v>Serv.Prest. 01/09/2025 a 07/09/2025 - RPS: 1210 - NFSe: 3334</v>
      </c>
      <c r="I1483" t="str">
        <f t="shared" si="241"/>
        <v>10/09/2025</v>
      </c>
      <c r="J1483" t="str">
        <f t="shared" si="246"/>
        <v>08/09/2025</v>
      </c>
      <c r="K1483" t="str">
        <f>("10/09/2025")</f>
        <v>10/09/2025</v>
      </c>
      <c r="L1483">
        <v>1612.8</v>
      </c>
      <c r="M1483">
        <v>1612.8</v>
      </c>
      <c r="N1483">
        <v>303</v>
      </c>
      <c r="O1483" t="str">
        <f>"RECEITAS COM ENTREGAS"</f>
        <v>RECEITAS COM ENTREGAS</v>
      </c>
      <c r="P1483">
        <v>1612.8</v>
      </c>
      <c r="S1483" t="str">
        <f>"RECEITAS COM ENTREGAS (303)"</f>
        <v>RECEITAS COM ENTREGAS (303)</v>
      </c>
      <c r="T1483">
        <v>18585</v>
      </c>
      <c r="U1483">
        <v>21482</v>
      </c>
      <c r="V1483" t="s">
        <v>22</v>
      </c>
    </row>
    <row r="1484" spans="1:22">
      <c r="A1484" t="str">
        <f t="shared" si="242"/>
        <v>10/09/2025</v>
      </c>
      <c r="B1484" t="str">
        <f t="shared" si="243"/>
        <v>ENTRADA</v>
      </c>
      <c r="C1484" t="str">
        <f t="shared" si="244"/>
        <v>NFSE</v>
      </c>
      <c r="D1484" t="str">
        <f>"3334"</f>
        <v>3334</v>
      </c>
      <c r="E1484" t="str">
        <f t="shared" si="245"/>
        <v>1</v>
      </c>
      <c r="F1484" t="str">
        <f t="shared" si="237"/>
        <v>COM</v>
      </c>
      <c r="G1484" t="str">
        <f>"JAL FARMACIA E DROGARIA LJ 2 (10138)"</f>
        <v>JAL FARMACIA E DROGARIA LJ 2 (10138)</v>
      </c>
      <c r="H1484" t="s">
        <v>472</v>
      </c>
      <c r="I1484" t="str">
        <f t="shared" si="241"/>
        <v>10/09/2025</v>
      </c>
      <c r="J1484" t="str">
        <f t="shared" si="246"/>
        <v>08/09/2025</v>
      </c>
      <c r="K1484">
        <v>45910</v>
      </c>
      <c r="N1484">
        <v>303</v>
      </c>
      <c r="O1484" t="s">
        <v>69</v>
      </c>
      <c r="Q1484">
        <v>1612.8</v>
      </c>
      <c r="R1484" t="str">
        <f>"JAL FARMACIA E DROGARIA LJ 2 (10138)"</f>
        <v>JAL FARMACIA E DROGARIA LJ 2 (10138)</v>
      </c>
      <c r="S1484" t="s">
        <v>70</v>
      </c>
      <c r="T1484">
        <v>18585</v>
      </c>
      <c r="U1484">
        <v>21482</v>
      </c>
      <c r="V1484" t="s">
        <v>22</v>
      </c>
    </row>
    <row r="1485" spans="1:22">
      <c r="A1485" t="str">
        <f t="shared" si="242"/>
        <v>10/09/2025</v>
      </c>
      <c r="B1485" t="str">
        <f t="shared" si="243"/>
        <v>ENTRADA</v>
      </c>
      <c r="C1485" t="str">
        <f t="shared" si="244"/>
        <v>NFSE</v>
      </c>
      <c r="D1485" t="str">
        <f>"3342"</f>
        <v>3342</v>
      </c>
      <c r="E1485" t="str">
        <f t="shared" si="245"/>
        <v>1</v>
      </c>
      <c r="F1485" t="str">
        <f t="shared" si="237"/>
        <v>COM</v>
      </c>
      <c r="G1485" t="str">
        <f>"DELTA LOJA 2 (10123)"</f>
        <v>DELTA LOJA 2 (10123)</v>
      </c>
      <c r="H1485" t="str">
        <f>"Serv.Prest. 01/09/2025 a 07/09/2025 - RPS: 1218 - NFSe: 3342"</f>
        <v>Serv.Prest. 01/09/2025 a 07/09/2025 - RPS: 1218 - NFSe: 3342</v>
      </c>
      <c r="I1485" t="str">
        <f t="shared" si="241"/>
        <v>10/09/2025</v>
      </c>
      <c r="J1485" t="str">
        <f>("09/09/2025")</f>
        <v>09/09/2025</v>
      </c>
      <c r="K1485" t="str">
        <f>("10/09/2025")</f>
        <v>10/09/2025</v>
      </c>
      <c r="L1485">
        <v>2887.08</v>
      </c>
      <c r="M1485">
        <v>2887.08</v>
      </c>
      <c r="N1485">
        <v>303</v>
      </c>
      <c r="O1485" t="str">
        <f>"RECEITAS COM ENTREGAS"</f>
        <v>RECEITAS COM ENTREGAS</v>
      </c>
      <c r="P1485">
        <v>2887.08</v>
      </c>
      <c r="S1485" t="str">
        <f>"RECEITAS COM ENTREGAS (303)"</f>
        <v>RECEITAS COM ENTREGAS (303)</v>
      </c>
      <c r="T1485">
        <v>18586</v>
      </c>
      <c r="U1485">
        <v>21670</v>
      </c>
      <c r="V1485" t="s">
        <v>22</v>
      </c>
    </row>
    <row r="1486" spans="1:22">
      <c r="A1486" t="str">
        <f t="shared" si="242"/>
        <v>10/09/2025</v>
      </c>
      <c r="B1486" t="str">
        <f t="shared" si="243"/>
        <v>ENTRADA</v>
      </c>
      <c r="C1486" t="str">
        <f t="shared" si="244"/>
        <v>NFSE</v>
      </c>
      <c r="D1486" t="str">
        <f>"3342"</f>
        <v>3342</v>
      </c>
      <c r="E1486" t="str">
        <f t="shared" si="245"/>
        <v>1</v>
      </c>
      <c r="F1486" t="str">
        <f t="shared" si="237"/>
        <v>COM</v>
      </c>
      <c r="G1486" t="str">
        <f>"DELTA LOJA 2 (10123)"</f>
        <v>DELTA LOJA 2 (10123)</v>
      </c>
      <c r="H1486" t="s">
        <v>473</v>
      </c>
      <c r="I1486" t="str">
        <f t="shared" si="241"/>
        <v>10/09/2025</v>
      </c>
      <c r="J1486" t="str">
        <f>("09/09/2025")</f>
        <v>09/09/2025</v>
      </c>
      <c r="K1486">
        <v>45910</v>
      </c>
      <c r="N1486">
        <v>303</v>
      </c>
      <c r="O1486" t="s">
        <v>69</v>
      </c>
      <c r="Q1486">
        <v>2887.08</v>
      </c>
      <c r="R1486" t="str">
        <f>"DELTA LOJA 2 (10123)"</f>
        <v>DELTA LOJA 2 (10123)</v>
      </c>
      <c r="S1486" t="s">
        <v>70</v>
      </c>
      <c r="T1486">
        <v>18586</v>
      </c>
      <c r="U1486">
        <v>21670</v>
      </c>
      <c r="V1486" t="s">
        <v>22</v>
      </c>
    </row>
    <row r="1487" spans="1:22">
      <c r="A1487" t="str">
        <f t="shared" si="242"/>
        <v>10/09/2025</v>
      </c>
      <c r="B1487" t="str">
        <f t="shared" ref="B1487:B1504" si="247">"SAÍDA"</f>
        <v>SAÍDA</v>
      </c>
      <c r="C1487" t="str">
        <f t="shared" ref="C1487:C1504" si="248">"CONHECIMENTO"</f>
        <v>CONHECIMENTO</v>
      </c>
      <c r="D1487" t="str">
        <f t="shared" ref="D1487:D1504" si="249">"01092025"</f>
        <v>01092025</v>
      </c>
      <c r="E1487" t="str">
        <f>"2"</f>
        <v>2</v>
      </c>
      <c r="F1487" t="str">
        <f t="shared" si="237"/>
        <v>COM</v>
      </c>
      <c r="G1487" t="str">
        <f t="shared" ref="G1487:G1504" si="250">"CORA SOCIEDADE DE CREDITO, FINANCIAMENTO E INVESTIMENTO (20035)"</f>
        <v>CORA SOCIEDADE DE CREDITO, FINANCIAMENTO E INVESTIMENTO (20035)</v>
      </c>
      <c r="H1487" t="str">
        <f>"TAXA BOLETO "</f>
        <v xml:space="preserve">TAXA BOLETO </v>
      </c>
      <c r="I1487" t="str">
        <f t="shared" si="241"/>
        <v>10/09/2025</v>
      </c>
      <c r="J1487" t="str">
        <f t="shared" ref="J1487:J1506" si="251">("01/09/2025")</f>
        <v>01/09/2025</v>
      </c>
      <c r="K1487" t="str">
        <f>("10/09/2025")</f>
        <v>10/09/2025</v>
      </c>
      <c r="L1487">
        <v>1.7</v>
      </c>
      <c r="M1487">
        <v>1.7</v>
      </c>
      <c r="N1487">
        <v>401</v>
      </c>
      <c r="O1487" t="str">
        <f>"IOF/JUROS/DESP.FINANCEIRA"</f>
        <v>IOF/JUROS/DESP.FINANCEIRA</v>
      </c>
      <c r="P1487">
        <v>1.7</v>
      </c>
      <c r="S1487" t="str">
        <f>"BANCO CORA (102)"</f>
        <v>BANCO CORA (102)</v>
      </c>
      <c r="T1487">
        <v>21320</v>
      </c>
      <c r="U1487">
        <v>25922</v>
      </c>
      <c r="V1487" t="s">
        <v>22</v>
      </c>
    </row>
    <row r="1488" spans="1:22">
      <c r="A1488" t="str">
        <f t="shared" si="242"/>
        <v>10/09/2025</v>
      </c>
      <c r="B1488" t="str">
        <f t="shared" si="247"/>
        <v>SAÍDA</v>
      </c>
      <c r="C1488" t="str">
        <f t="shared" si="248"/>
        <v>CONHECIMENTO</v>
      </c>
      <c r="D1488" t="str">
        <f t="shared" si="249"/>
        <v>01092025</v>
      </c>
      <c r="E1488" t="str">
        <f>"2"</f>
        <v>2</v>
      </c>
      <c r="F1488" t="str">
        <f t="shared" si="237"/>
        <v>COM</v>
      </c>
      <c r="G1488" t="str">
        <f t="shared" si="250"/>
        <v>CORA SOCIEDADE DE CREDITO, FINANCIAMENTO E INVESTIMENTO (20035)</v>
      </c>
      <c r="H1488" t="s">
        <v>75</v>
      </c>
      <c r="I1488" t="str">
        <f t="shared" si="241"/>
        <v>10/09/2025</v>
      </c>
      <c r="J1488" t="str">
        <f t="shared" si="251"/>
        <v>01/09/2025</v>
      </c>
      <c r="K1488">
        <v>45910</v>
      </c>
      <c r="N1488">
        <v>401</v>
      </c>
      <c r="O1488" t="s">
        <v>76</v>
      </c>
      <c r="Q1488">
        <v>1.7</v>
      </c>
      <c r="R1488" t="str">
        <f>"CORA SOCIEDADE DE CREDITO, FINANCIAMENTO E INVESTIMENTO (20035)"</f>
        <v>CORA SOCIEDADE DE CREDITO, FINANCIAMENTO E INVESTIMENTO (20035)</v>
      </c>
      <c r="S1488" t="s">
        <v>22</v>
      </c>
      <c r="T1488">
        <v>21320</v>
      </c>
      <c r="U1488">
        <v>25922</v>
      </c>
      <c r="V1488" t="s">
        <v>22</v>
      </c>
    </row>
    <row r="1489" spans="1:22">
      <c r="A1489" t="str">
        <f t="shared" si="242"/>
        <v>10/09/2025</v>
      </c>
      <c r="B1489" t="str">
        <f t="shared" si="247"/>
        <v>SAÍDA</v>
      </c>
      <c r="C1489" t="str">
        <f t="shared" si="248"/>
        <v>CONHECIMENTO</v>
      </c>
      <c r="D1489" t="str">
        <f t="shared" si="249"/>
        <v>01092025</v>
      </c>
      <c r="E1489" t="str">
        <f>"3"</f>
        <v>3</v>
      </c>
      <c r="F1489" t="str">
        <f t="shared" si="237"/>
        <v>COM</v>
      </c>
      <c r="G1489" t="str">
        <f t="shared" si="250"/>
        <v>CORA SOCIEDADE DE CREDITO, FINANCIAMENTO E INVESTIMENTO (20035)</v>
      </c>
      <c r="H1489" t="str">
        <f>"TAXA BOLETO "</f>
        <v xml:space="preserve">TAXA BOLETO </v>
      </c>
      <c r="I1489" t="str">
        <f t="shared" si="241"/>
        <v>10/09/2025</v>
      </c>
      <c r="J1489" t="str">
        <f t="shared" si="251"/>
        <v>01/09/2025</v>
      </c>
      <c r="K1489" t="str">
        <f>("10/09/2025")</f>
        <v>10/09/2025</v>
      </c>
      <c r="L1489">
        <v>1.7</v>
      </c>
      <c r="M1489">
        <v>1.7</v>
      </c>
      <c r="N1489">
        <v>401</v>
      </c>
      <c r="O1489" t="str">
        <f>"IOF/JUROS/DESP.FINANCEIRA"</f>
        <v>IOF/JUROS/DESP.FINANCEIRA</v>
      </c>
      <c r="P1489">
        <v>1.7</v>
      </c>
      <c r="S1489" t="str">
        <f>"BANCO CORA (102)"</f>
        <v>BANCO CORA (102)</v>
      </c>
      <c r="T1489">
        <v>21321</v>
      </c>
      <c r="U1489">
        <v>25923</v>
      </c>
      <c r="V1489" t="s">
        <v>22</v>
      </c>
    </row>
    <row r="1490" spans="1:22">
      <c r="A1490" t="str">
        <f t="shared" si="242"/>
        <v>10/09/2025</v>
      </c>
      <c r="B1490" t="str">
        <f t="shared" si="247"/>
        <v>SAÍDA</v>
      </c>
      <c r="C1490" t="str">
        <f t="shared" si="248"/>
        <v>CONHECIMENTO</v>
      </c>
      <c r="D1490" t="str">
        <f t="shared" si="249"/>
        <v>01092025</v>
      </c>
      <c r="E1490" t="str">
        <f>"3"</f>
        <v>3</v>
      </c>
      <c r="F1490" t="str">
        <f t="shared" si="237"/>
        <v>COM</v>
      </c>
      <c r="G1490" t="str">
        <f t="shared" si="250"/>
        <v>CORA SOCIEDADE DE CREDITO, FINANCIAMENTO E INVESTIMENTO (20035)</v>
      </c>
      <c r="H1490" t="s">
        <v>75</v>
      </c>
      <c r="I1490" t="str">
        <f t="shared" si="241"/>
        <v>10/09/2025</v>
      </c>
      <c r="J1490" t="str">
        <f t="shared" si="251"/>
        <v>01/09/2025</v>
      </c>
      <c r="K1490">
        <v>45910</v>
      </c>
      <c r="N1490">
        <v>401</v>
      </c>
      <c r="O1490" t="s">
        <v>76</v>
      </c>
      <c r="Q1490">
        <v>1.7</v>
      </c>
      <c r="R1490" t="str">
        <f>"CORA SOCIEDADE DE CREDITO, FINANCIAMENTO E INVESTIMENTO (20035)"</f>
        <v>CORA SOCIEDADE DE CREDITO, FINANCIAMENTO E INVESTIMENTO (20035)</v>
      </c>
      <c r="S1490" t="s">
        <v>22</v>
      </c>
      <c r="T1490">
        <v>21321</v>
      </c>
      <c r="U1490">
        <v>25923</v>
      </c>
      <c r="V1490" t="s">
        <v>22</v>
      </c>
    </row>
    <row r="1491" spans="1:22">
      <c r="A1491" t="str">
        <f t="shared" si="242"/>
        <v>10/09/2025</v>
      </c>
      <c r="B1491" t="str">
        <f t="shared" si="247"/>
        <v>SAÍDA</v>
      </c>
      <c r="C1491" t="str">
        <f t="shared" si="248"/>
        <v>CONHECIMENTO</v>
      </c>
      <c r="D1491" t="str">
        <f t="shared" si="249"/>
        <v>01092025</v>
      </c>
      <c r="E1491" t="str">
        <f>"4"</f>
        <v>4</v>
      </c>
      <c r="F1491" t="str">
        <f t="shared" si="237"/>
        <v>COM</v>
      </c>
      <c r="G1491" t="str">
        <f t="shared" si="250"/>
        <v>CORA SOCIEDADE DE CREDITO, FINANCIAMENTO E INVESTIMENTO (20035)</v>
      </c>
      <c r="H1491" t="str">
        <f>"TAXA BOLETO "</f>
        <v xml:space="preserve">TAXA BOLETO </v>
      </c>
      <c r="I1491" t="str">
        <f t="shared" si="241"/>
        <v>10/09/2025</v>
      </c>
      <c r="J1491" t="str">
        <f t="shared" si="251"/>
        <v>01/09/2025</v>
      </c>
      <c r="K1491" t="str">
        <f>("10/09/2025")</f>
        <v>10/09/2025</v>
      </c>
      <c r="L1491">
        <v>1.7</v>
      </c>
      <c r="M1491">
        <v>1.7</v>
      </c>
      <c r="N1491">
        <v>401</v>
      </c>
      <c r="O1491" t="str">
        <f>"IOF/JUROS/DESP.FINANCEIRA"</f>
        <v>IOF/JUROS/DESP.FINANCEIRA</v>
      </c>
      <c r="P1491">
        <v>1.7</v>
      </c>
      <c r="S1491" t="str">
        <f>"BANCO CORA (102)"</f>
        <v>BANCO CORA (102)</v>
      </c>
      <c r="T1491">
        <v>21322</v>
      </c>
      <c r="U1491">
        <v>25924</v>
      </c>
      <c r="V1491" t="s">
        <v>22</v>
      </c>
    </row>
    <row r="1492" spans="1:22">
      <c r="A1492" t="str">
        <f t="shared" si="242"/>
        <v>10/09/2025</v>
      </c>
      <c r="B1492" t="str">
        <f t="shared" si="247"/>
        <v>SAÍDA</v>
      </c>
      <c r="C1492" t="str">
        <f t="shared" si="248"/>
        <v>CONHECIMENTO</v>
      </c>
      <c r="D1492" t="str">
        <f t="shared" si="249"/>
        <v>01092025</v>
      </c>
      <c r="E1492" t="str">
        <f>"4"</f>
        <v>4</v>
      </c>
      <c r="F1492" t="str">
        <f t="shared" si="237"/>
        <v>COM</v>
      </c>
      <c r="G1492" t="str">
        <f t="shared" si="250"/>
        <v>CORA SOCIEDADE DE CREDITO, FINANCIAMENTO E INVESTIMENTO (20035)</v>
      </c>
      <c r="H1492" t="s">
        <v>75</v>
      </c>
      <c r="I1492" t="str">
        <f t="shared" si="241"/>
        <v>10/09/2025</v>
      </c>
      <c r="J1492" t="str">
        <f t="shared" si="251"/>
        <v>01/09/2025</v>
      </c>
      <c r="K1492">
        <v>45910</v>
      </c>
      <c r="N1492">
        <v>401</v>
      </c>
      <c r="O1492" t="s">
        <v>76</v>
      </c>
      <c r="Q1492">
        <v>1.7</v>
      </c>
      <c r="R1492" t="str">
        <f>"CORA SOCIEDADE DE CREDITO, FINANCIAMENTO E INVESTIMENTO (20035)"</f>
        <v>CORA SOCIEDADE DE CREDITO, FINANCIAMENTO E INVESTIMENTO (20035)</v>
      </c>
      <c r="S1492" t="s">
        <v>22</v>
      </c>
      <c r="T1492">
        <v>21322</v>
      </c>
      <c r="U1492">
        <v>25924</v>
      </c>
      <c r="V1492" t="s">
        <v>22</v>
      </c>
    </row>
    <row r="1493" spans="1:22">
      <c r="A1493" t="str">
        <f t="shared" si="242"/>
        <v>10/09/2025</v>
      </c>
      <c r="B1493" t="str">
        <f t="shared" si="247"/>
        <v>SAÍDA</v>
      </c>
      <c r="C1493" t="str">
        <f t="shared" si="248"/>
        <v>CONHECIMENTO</v>
      </c>
      <c r="D1493" t="str">
        <f t="shared" si="249"/>
        <v>01092025</v>
      </c>
      <c r="E1493" t="str">
        <f>"5"</f>
        <v>5</v>
      </c>
      <c r="F1493" t="str">
        <f t="shared" si="237"/>
        <v>COM</v>
      </c>
      <c r="G1493" t="str">
        <f t="shared" si="250"/>
        <v>CORA SOCIEDADE DE CREDITO, FINANCIAMENTO E INVESTIMENTO (20035)</v>
      </c>
      <c r="H1493" t="str">
        <f>"TAXA BOLETO "</f>
        <v xml:space="preserve">TAXA BOLETO </v>
      </c>
      <c r="I1493" t="str">
        <f t="shared" si="241"/>
        <v>10/09/2025</v>
      </c>
      <c r="J1493" t="str">
        <f t="shared" si="251"/>
        <v>01/09/2025</v>
      </c>
      <c r="K1493" t="str">
        <f>("10/09/2025")</f>
        <v>10/09/2025</v>
      </c>
      <c r="L1493">
        <v>1.7</v>
      </c>
      <c r="M1493">
        <v>1.7</v>
      </c>
      <c r="N1493">
        <v>401</v>
      </c>
      <c r="O1493" t="str">
        <f>"IOF/JUROS/DESP.FINANCEIRA"</f>
        <v>IOF/JUROS/DESP.FINANCEIRA</v>
      </c>
      <c r="P1493">
        <v>1.7</v>
      </c>
      <c r="S1493" t="str">
        <f>"BANCO CORA (102)"</f>
        <v>BANCO CORA (102)</v>
      </c>
      <c r="T1493">
        <v>21323</v>
      </c>
      <c r="U1493">
        <v>25925</v>
      </c>
      <c r="V1493" t="s">
        <v>22</v>
      </c>
    </row>
    <row r="1494" spans="1:22">
      <c r="A1494" t="str">
        <f t="shared" si="242"/>
        <v>10/09/2025</v>
      </c>
      <c r="B1494" t="str">
        <f t="shared" si="247"/>
        <v>SAÍDA</v>
      </c>
      <c r="C1494" t="str">
        <f t="shared" si="248"/>
        <v>CONHECIMENTO</v>
      </c>
      <c r="D1494" t="str">
        <f t="shared" si="249"/>
        <v>01092025</v>
      </c>
      <c r="E1494" t="str">
        <f>"5"</f>
        <v>5</v>
      </c>
      <c r="F1494" t="str">
        <f t="shared" si="237"/>
        <v>COM</v>
      </c>
      <c r="G1494" t="str">
        <f t="shared" si="250"/>
        <v>CORA SOCIEDADE DE CREDITO, FINANCIAMENTO E INVESTIMENTO (20035)</v>
      </c>
      <c r="H1494" t="s">
        <v>75</v>
      </c>
      <c r="I1494" t="str">
        <f t="shared" si="241"/>
        <v>10/09/2025</v>
      </c>
      <c r="J1494" t="str">
        <f t="shared" si="251"/>
        <v>01/09/2025</v>
      </c>
      <c r="K1494">
        <v>45910</v>
      </c>
      <c r="N1494">
        <v>401</v>
      </c>
      <c r="O1494" t="s">
        <v>76</v>
      </c>
      <c r="Q1494">
        <v>1.7</v>
      </c>
      <c r="R1494" t="str">
        <f>"CORA SOCIEDADE DE CREDITO, FINANCIAMENTO E INVESTIMENTO (20035)"</f>
        <v>CORA SOCIEDADE DE CREDITO, FINANCIAMENTO E INVESTIMENTO (20035)</v>
      </c>
      <c r="S1494" t="s">
        <v>22</v>
      </c>
      <c r="T1494">
        <v>21323</v>
      </c>
      <c r="U1494">
        <v>25925</v>
      </c>
      <c r="V1494" t="s">
        <v>22</v>
      </c>
    </row>
    <row r="1495" spans="1:22">
      <c r="A1495" t="str">
        <f t="shared" si="242"/>
        <v>10/09/2025</v>
      </c>
      <c r="B1495" t="str">
        <f t="shared" si="247"/>
        <v>SAÍDA</v>
      </c>
      <c r="C1495" t="str">
        <f t="shared" si="248"/>
        <v>CONHECIMENTO</v>
      </c>
      <c r="D1495" t="str">
        <f t="shared" si="249"/>
        <v>01092025</v>
      </c>
      <c r="E1495" t="str">
        <f>"6"</f>
        <v>6</v>
      </c>
      <c r="F1495" t="str">
        <f t="shared" si="237"/>
        <v>COM</v>
      </c>
      <c r="G1495" t="str">
        <f t="shared" si="250"/>
        <v>CORA SOCIEDADE DE CREDITO, FINANCIAMENTO E INVESTIMENTO (20035)</v>
      </c>
      <c r="H1495" t="str">
        <f>"TAXA BOLETO "</f>
        <v xml:space="preserve">TAXA BOLETO </v>
      </c>
      <c r="I1495" t="str">
        <f t="shared" si="241"/>
        <v>10/09/2025</v>
      </c>
      <c r="J1495" t="str">
        <f t="shared" si="251"/>
        <v>01/09/2025</v>
      </c>
      <c r="K1495" t="str">
        <f>("10/09/2025")</f>
        <v>10/09/2025</v>
      </c>
      <c r="L1495">
        <v>1.7</v>
      </c>
      <c r="M1495">
        <v>1.7</v>
      </c>
      <c r="N1495">
        <v>401</v>
      </c>
      <c r="O1495" t="str">
        <f>"IOF/JUROS/DESP.FINANCEIRA"</f>
        <v>IOF/JUROS/DESP.FINANCEIRA</v>
      </c>
      <c r="P1495">
        <v>1.7</v>
      </c>
      <c r="S1495" t="str">
        <f>"BANCO CORA (102)"</f>
        <v>BANCO CORA (102)</v>
      </c>
      <c r="T1495">
        <v>21324</v>
      </c>
      <c r="U1495">
        <v>25926</v>
      </c>
      <c r="V1495" t="s">
        <v>22</v>
      </c>
    </row>
    <row r="1496" spans="1:22">
      <c r="A1496" t="str">
        <f t="shared" si="242"/>
        <v>10/09/2025</v>
      </c>
      <c r="B1496" t="str">
        <f t="shared" si="247"/>
        <v>SAÍDA</v>
      </c>
      <c r="C1496" t="str">
        <f t="shared" si="248"/>
        <v>CONHECIMENTO</v>
      </c>
      <c r="D1496" t="str">
        <f t="shared" si="249"/>
        <v>01092025</v>
      </c>
      <c r="E1496" t="str">
        <f>"6"</f>
        <v>6</v>
      </c>
      <c r="F1496" t="str">
        <f t="shared" si="237"/>
        <v>COM</v>
      </c>
      <c r="G1496" t="str">
        <f t="shared" si="250"/>
        <v>CORA SOCIEDADE DE CREDITO, FINANCIAMENTO E INVESTIMENTO (20035)</v>
      </c>
      <c r="H1496" t="s">
        <v>75</v>
      </c>
      <c r="I1496" t="str">
        <f t="shared" si="241"/>
        <v>10/09/2025</v>
      </c>
      <c r="J1496" t="str">
        <f t="shared" si="251"/>
        <v>01/09/2025</v>
      </c>
      <c r="K1496">
        <v>45910</v>
      </c>
      <c r="N1496">
        <v>401</v>
      </c>
      <c r="O1496" t="s">
        <v>76</v>
      </c>
      <c r="Q1496">
        <v>1.7</v>
      </c>
      <c r="R1496" t="str">
        <f>"CORA SOCIEDADE DE CREDITO, FINANCIAMENTO E INVESTIMENTO (20035)"</f>
        <v>CORA SOCIEDADE DE CREDITO, FINANCIAMENTO E INVESTIMENTO (20035)</v>
      </c>
      <c r="S1496" t="s">
        <v>22</v>
      </c>
      <c r="T1496">
        <v>21324</v>
      </c>
      <c r="U1496">
        <v>25926</v>
      </c>
      <c r="V1496" t="s">
        <v>22</v>
      </c>
    </row>
    <row r="1497" spans="1:22">
      <c r="A1497" t="str">
        <f t="shared" si="242"/>
        <v>10/09/2025</v>
      </c>
      <c r="B1497" t="str">
        <f t="shared" si="247"/>
        <v>SAÍDA</v>
      </c>
      <c r="C1497" t="str">
        <f t="shared" si="248"/>
        <v>CONHECIMENTO</v>
      </c>
      <c r="D1497" t="str">
        <f t="shared" si="249"/>
        <v>01092025</v>
      </c>
      <c r="E1497" t="str">
        <f>"7"</f>
        <v>7</v>
      </c>
      <c r="F1497" t="str">
        <f t="shared" si="237"/>
        <v>COM</v>
      </c>
      <c r="G1497" t="str">
        <f t="shared" si="250"/>
        <v>CORA SOCIEDADE DE CREDITO, FINANCIAMENTO E INVESTIMENTO (20035)</v>
      </c>
      <c r="H1497" t="str">
        <f>"TAXA BOLETO "</f>
        <v xml:space="preserve">TAXA BOLETO </v>
      </c>
      <c r="I1497" t="str">
        <f t="shared" si="241"/>
        <v>10/09/2025</v>
      </c>
      <c r="J1497" t="str">
        <f t="shared" si="251"/>
        <v>01/09/2025</v>
      </c>
      <c r="K1497" t="str">
        <f>("10/09/2025")</f>
        <v>10/09/2025</v>
      </c>
      <c r="L1497">
        <v>1.7</v>
      </c>
      <c r="M1497">
        <v>1.7</v>
      </c>
      <c r="N1497">
        <v>401</v>
      </c>
      <c r="O1497" t="str">
        <f>"IOF/JUROS/DESP.FINANCEIRA"</f>
        <v>IOF/JUROS/DESP.FINANCEIRA</v>
      </c>
      <c r="P1497">
        <v>1.7</v>
      </c>
      <c r="S1497" t="str">
        <f>"BANCO CORA (102)"</f>
        <v>BANCO CORA (102)</v>
      </c>
      <c r="T1497">
        <v>21325</v>
      </c>
      <c r="U1497">
        <v>25927</v>
      </c>
      <c r="V1497" t="s">
        <v>22</v>
      </c>
    </row>
    <row r="1498" spans="1:22">
      <c r="A1498" t="str">
        <f t="shared" si="242"/>
        <v>10/09/2025</v>
      </c>
      <c r="B1498" t="str">
        <f t="shared" si="247"/>
        <v>SAÍDA</v>
      </c>
      <c r="C1498" t="str">
        <f t="shared" si="248"/>
        <v>CONHECIMENTO</v>
      </c>
      <c r="D1498" t="str">
        <f t="shared" si="249"/>
        <v>01092025</v>
      </c>
      <c r="E1498" t="str">
        <f>"7"</f>
        <v>7</v>
      </c>
      <c r="F1498" t="str">
        <f t="shared" si="237"/>
        <v>COM</v>
      </c>
      <c r="G1498" t="str">
        <f t="shared" si="250"/>
        <v>CORA SOCIEDADE DE CREDITO, FINANCIAMENTO E INVESTIMENTO (20035)</v>
      </c>
      <c r="H1498" t="s">
        <v>75</v>
      </c>
      <c r="I1498" t="str">
        <f t="shared" si="241"/>
        <v>10/09/2025</v>
      </c>
      <c r="J1498" t="str">
        <f t="shared" si="251"/>
        <v>01/09/2025</v>
      </c>
      <c r="K1498">
        <v>45910</v>
      </c>
      <c r="N1498">
        <v>401</v>
      </c>
      <c r="O1498" t="s">
        <v>76</v>
      </c>
      <c r="Q1498">
        <v>1.7</v>
      </c>
      <c r="R1498" t="str">
        <f>"CORA SOCIEDADE DE CREDITO, FINANCIAMENTO E INVESTIMENTO (20035)"</f>
        <v>CORA SOCIEDADE DE CREDITO, FINANCIAMENTO E INVESTIMENTO (20035)</v>
      </c>
      <c r="S1498" t="s">
        <v>22</v>
      </c>
      <c r="T1498">
        <v>21325</v>
      </c>
      <c r="U1498">
        <v>25927</v>
      </c>
      <c r="V1498" t="s">
        <v>22</v>
      </c>
    </row>
    <row r="1499" spans="1:22">
      <c r="A1499" t="str">
        <f t="shared" si="242"/>
        <v>10/09/2025</v>
      </c>
      <c r="B1499" t="str">
        <f t="shared" si="247"/>
        <v>SAÍDA</v>
      </c>
      <c r="C1499" t="str">
        <f t="shared" si="248"/>
        <v>CONHECIMENTO</v>
      </c>
      <c r="D1499" t="str">
        <f t="shared" si="249"/>
        <v>01092025</v>
      </c>
      <c r="E1499" t="str">
        <f>"8"</f>
        <v>8</v>
      </c>
      <c r="F1499" t="str">
        <f t="shared" si="237"/>
        <v>COM</v>
      </c>
      <c r="G1499" t="str">
        <f t="shared" si="250"/>
        <v>CORA SOCIEDADE DE CREDITO, FINANCIAMENTO E INVESTIMENTO (20035)</v>
      </c>
      <c r="H1499" t="str">
        <f>"TAXA BOLETO "</f>
        <v xml:space="preserve">TAXA BOLETO </v>
      </c>
      <c r="I1499" t="str">
        <f t="shared" si="241"/>
        <v>10/09/2025</v>
      </c>
      <c r="J1499" t="str">
        <f t="shared" si="251"/>
        <v>01/09/2025</v>
      </c>
      <c r="K1499" t="str">
        <f>("10/09/2025")</f>
        <v>10/09/2025</v>
      </c>
      <c r="L1499">
        <v>1.7</v>
      </c>
      <c r="M1499">
        <v>1.7</v>
      </c>
      <c r="N1499">
        <v>401</v>
      </c>
      <c r="O1499" t="str">
        <f>"IOF/JUROS/DESP.FINANCEIRA"</f>
        <v>IOF/JUROS/DESP.FINANCEIRA</v>
      </c>
      <c r="P1499">
        <v>1.7</v>
      </c>
      <c r="S1499" t="str">
        <f>"BANCO CORA (102)"</f>
        <v>BANCO CORA (102)</v>
      </c>
      <c r="T1499">
        <v>21326</v>
      </c>
      <c r="U1499">
        <v>25928</v>
      </c>
      <c r="V1499" t="s">
        <v>22</v>
      </c>
    </row>
    <row r="1500" spans="1:22">
      <c r="A1500" t="str">
        <f t="shared" si="242"/>
        <v>10/09/2025</v>
      </c>
      <c r="B1500" t="str">
        <f t="shared" si="247"/>
        <v>SAÍDA</v>
      </c>
      <c r="C1500" t="str">
        <f t="shared" si="248"/>
        <v>CONHECIMENTO</v>
      </c>
      <c r="D1500" t="str">
        <f t="shared" si="249"/>
        <v>01092025</v>
      </c>
      <c r="E1500" t="str">
        <f>"8"</f>
        <v>8</v>
      </c>
      <c r="F1500" t="str">
        <f t="shared" ref="F1500:F1563" si="252">"COM"</f>
        <v>COM</v>
      </c>
      <c r="G1500" t="str">
        <f t="shared" si="250"/>
        <v>CORA SOCIEDADE DE CREDITO, FINANCIAMENTO E INVESTIMENTO (20035)</v>
      </c>
      <c r="H1500" t="s">
        <v>75</v>
      </c>
      <c r="I1500" t="str">
        <f t="shared" si="241"/>
        <v>10/09/2025</v>
      </c>
      <c r="J1500" t="str">
        <f t="shared" si="251"/>
        <v>01/09/2025</v>
      </c>
      <c r="K1500">
        <v>45910</v>
      </c>
      <c r="N1500">
        <v>401</v>
      </c>
      <c r="O1500" t="s">
        <v>76</v>
      </c>
      <c r="Q1500">
        <v>1.7</v>
      </c>
      <c r="R1500" t="str">
        <f>"CORA SOCIEDADE DE CREDITO, FINANCIAMENTO E INVESTIMENTO (20035)"</f>
        <v>CORA SOCIEDADE DE CREDITO, FINANCIAMENTO E INVESTIMENTO (20035)</v>
      </c>
      <c r="S1500" t="s">
        <v>22</v>
      </c>
      <c r="T1500">
        <v>21326</v>
      </c>
      <c r="U1500">
        <v>25928</v>
      </c>
      <c r="V1500" t="s">
        <v>22</v>
      </c>
    </row>
    <row r="1501" spans="1:22">
      <c r="A1501" t="str">
        <f t="shared" si="242"/>
        <v>10/09/2025</v>
      </c>
      <c r="B1501" t="str">
        <f t="shared" si="247"/>
        <v>SAÍDA</v>
      </c>
      <c r="C1501" t="str">
        <f t="shared" si="248"/>
        <v>CONHECIMENTO</v>
      </c>
      <c r="D1501" t="str">
        <f t="shared" si="249"/>
        <v>01092025</v>
      </c>
      <c r="E1501" t="str">
        <f>"9"</f>
        <v>9</v>
      </c>
      <c r="F1501" t="str">
        <f t="shared" si="252"/>
        <v>COM</v>
      </c>
      <c r="G1501" t="str">
        <f t="shared" si="250"/>
        <v>CORA SOCIEDADE DE CREDITO, FINANCIAMENTO E INVESTIMENTO (20035)</v>
      </c>
      <c r="H1501" t="str">
        <f>"TAXA BOLETO "</f>
        <v xml:space="preserve">TAXA BOLETO </v>
      </c>
      <c r="I1501" t="str">
        <f t="shared" si="241"/>
        <v>10/09/2025</v>
      </c>
      <c r="J1501" t="str">
        <f t="shared" si="251"/>
        <v>01/09/2025</v>
      </c>
      <c r="K1501" t="str">
        <f>("10/09/2025")</f>
        <v>10/09/2025</v>
      </c>
      <c r="L1501">
        <v>1.7</v>
      </c>
      <c r="M1501">
        <v>1.7</v>
      </c>
      <c r="N1501">
        <v>401</v>
      </c>
      <c r="O1501" t="str">
        <f>"IOF/JUROS/DESP.FINANCEIRA"</f>
        <v>IOF/JUROS/DESP.FINANCEIRA</v>
      </c>
      <c r="P1501">
        <v>1.7</v>
      </c>
      <c r="S1501" t="str">
        <f>"BANCO CORA (102)"</f>
        <v>BANCO CORA (102)</v>
      </c>
      <c r="T1501">
        <v>21327</v>
      </c>
      <c r="U1501">
        <v>25929</v>
      </c>
      <c r="V1501" t="s">
        <v>22</v>
      </c>
    </row>
    <row r="1502" spans="1:22">
      <c r="A1502" t="str">
        <f t="shared" si="242"/>
        <v>10/09/2025</v>
      </c>
      <c r="B1502" t="str">
        <f t="shared" si="247"/>
        <v>SAÍDA</v>
      </c>
      <c r="C1502" t="str">
        <f t="shared" si="248"/>
        <v>CONHECIMENTO</v>
      </c>
      <c r="D1502" t="str">
        <f t="shared" si="249"/>
        <v>01092025</v>
      </c>
      <c r="E1502" t="str">
        <f>"9"</f>
        <v>9</v>
      </c>
      <c r="F1502" t="str">
        <f t="shared" si="252"/>
        <v>COM</v>
      </c>
      <c r="G1502" t="str">
        <f t="shared" si="250"/>
        <v>CORA SOCIEDADE DE CREDITO, FINANCIAMENTO E INVESTIMENTO (20035)</v>
      </c>
      <c r="H1502" t="s">
        <v>75</v>
      </c>
      <c r="I1502" t="str">
        <f t="shared" si="241"/>
        <v>10/09/2025</v>
      </c>
      <c r="J1502" t="str">
        <f t="shared" si="251"/>
        <v>01/09/2025</v>
      </c>
      <c r="K1502">
        <v>45910</v>
      </c>
      <c r="N1502">
        <v>401</v>
      </c>
      <c r="O1502" t="s">
        <v>76</v>
      </c>
      <c r="Q1502">
        <v>1.7</v>
      </c>
      <c r="R1502" t="str">
        <f>"CORA SOCIEDADE DE CREDITO, FINANCIAMENTO E INVESTIMENTO (20035)"</f>
        <v>CORA SOCIEDADE DE CREDITO, FINANCIAMENTO E INVESTIMENTO (20035)</v>
      </c>
      <c r="S1502" t="s">
        <v>22</v>
      </c>
      <c r="T1502">
        <v>21327</v>
      </c>
      <c r="U1502">
        <v>25929</v>
      </c>
      <c r="V1502" t="s">
        <v>22</v>
      </c>
    </row>
    <row r="1503" spans="1:22">
      <c r="A1503" t="str">
        <f t="shared" si="242"/>
        <v>10/09/2025</v>
      </c>
      <c r="B1503" t="str">
        <f t="shared" si="247"/>
        <v>SAÍDA</v>
      </c>
      <c r="C1503" t="str">
        <f t="shared" si="248"/>
        <v>CONHECIMENTO</v>
      </c>
      <c r="D1503" t="str">
        <f t="shared" si="249"/>
        <v>01092025</v>
      </c>
      <c r="E1503" t="str">
        <f>"10"</f>
        <v>10</v>
      </c>
      <c r="F1503" t="str">
        <f t="shared" si="252"/>
        <v>COM</v>
      </c>
      <c r="G1503" t="str">
        <f t="shared" si="250"/>
        <v>CORA SOCIEDADE DE CREDITO, FINANCIAMENTO E INVESTIMENTO (20035)</v>
      </c>
      <c r="H1503" t="str">
        <f>"TAXA BOLETO "</f>
        <v xml:space="preserve">TAXA BOLETO </v>
      </c>
      <c r="I1503" t="str">
        <f t="shared" si="241"/>
        <v>10/09/2025</v>
      </c>
      <c r="J1503" t="str">
        <f t="shared" si="251"/>
        <v>01/09/2025</v>
      </c>
      <c r="K1503" t="str">
        <f>("10/09/2025")</f>
        <v>10/09/2025</v>
      </c>
      <c r="L1503">
        <v>1.7</v>
      </c>
      <c r="M1503">
        <v>1.7</v>
      </c>
      <c r="N1503">
        <v>401</v>
      </c>
      <c r="O1503" t="str">
        <f>"IOF/JUROS/DESP.FINANCEIRA"</f>
        <v>IOF/JUROS/DESP.FINANCEIRA</v>
      </c>
      <c r="P1503">
        <v>1.7</v>
      </c>
      <c r="S1503" t="str">
        <f>"BANCO CORA (102)"</f>
        <v>BANCO CORA (102)</v>
      </c>
      <c r="T1503">
        <v>21328</v>
      </c>
      <c r="U1503">
        <v>25930</v>
      </c>
      <c r="V1503" t="s">
        <v>22</v>
      </c>
    </row>
    <row r="1504" spans="1:22">
      <c r="A1504" t="str">
        <f t="shared" si="242"/>
        <v>10/09/2025</v>
      </c>
      <c r="B1504" t="str">
        <f t="shared" si="247"/>
        <v>SAÍDA</v>
      </c>
      <c r="C1504" t="str">
        <f t="shared" si="248"/>
        <v>CONHECIMENTO</v>
      </c>
      <c r="D1504" t="str">
        <f t="shared" si="249"/>
        <v>01092025</v>
      </c>
      <c r="E1504" t="str">
        <f>"10"</f>
        <v>10</v>
      </c>
      <c r="F1504" t="str">
        <f t="shared" si="252"/>
        <v>COM</v>
      </c>
      <c r="G1504" t="str">
        <f t="shared" si="250"/>
        <v>CORA SOCIEDADE DE CREDITO, FINANCIAMENTO E INVESTIMENTO (20035)</v>
      </c>
      <c r="H1504" t="s">
        <v>75</v>
      </c>
      <c r="I1504" t="str">
        <f t="shared" si="241"/>
        <v>10/09/2025</v>
      </c>
      <c r="J1504" t="str">
        <f t="shared" si="251"/>
        <v>01/09/2025</v>
      </c>
      <c r="K1504">
        <v>45910</v>
      </c>
      <c r="N1504">
        <v>401</v>
      </c>
      <c r="O1504" t="s">
        <v>76</v>
      </c>
      <c r="Q1504">
        <v>1.7</v>
      </c>
      <c r="R1504" t="str">
        <f>"CORA SOCIEDADE DE CREDITO, FINANCIAMENTO E INVESTIMENTO (20035)"</f>
        <v>CORA SOCIEDADE DE CREDITO, FINANCIAMENTO E INVESTIMENTO (20035)</v>
      </c>
      <c r="S1504" t="s">
        <v>22</v>
      </c>
      <c r="T1504">
        <v>21328</v>
      </c>
      <c r="U1504">
        <v>25930</v>
      </c>
      <c r="V1504" t="s">
        <v>22</v>
      </c>
    </row>
    <row r="1505" spans="1:22">
      <c r="A1505" t="str">
        <f t="shared" si="242"/>
        <v>10/09/2025</v>
      </c>
      <c r="B1505" t="str">
        <f t="shared" ref="B1505:B1536" si="253">"ENTRADA"</f>
        <v>ENTRADA</v>
      </c>
      <c r="C1505" t="str">
        <f t="shared" ref="C1505:C1536" si="254">"NFSE"</f>
        <v>NFSE</v>
      </c>
      <c r="D1505" t="str">
        <f>"3305"</f>
        <v>3305</v>
      </c>
      <c r="E1505" t="str">
        <f t="shared" ref="E1505:E1536" si="255">"1"</f>
        <v>1</v>
      </c>
      <c r="F1505" t="str">
        <f t="shared" si="252"/>
        <v>COM</v>
      </c>
      <c r="G1505" t="str">
        <f>"PAGMENOS - LJ 657 (10136)"</f>
        <v>PAGMENOS - LJ 657 (10136)</v>
      </c>
      <c r="H1505" t="str">
        <f>"Serv.Prest. 25/08/2025 a 31/08/2025 - RPS: 1181 - NFSe: 3305"</f>
        <v>Serv.Prest. 25/08/2025 a 31/08/2025 - RPS: 1181 - NFSe: 3305</v>
      </c>
      <c r="I1505" t="str">
        <f>("11/09/2025")</f>
        <v>11/09/2025</v>
      </c>
      <c r="J1505" t="str">
        <f t="shared" si="251"/>
        <v>01/09/2025</v>
      </c>
      <c r="K1505" t="str">
        <f>("10/09/2025")</f>
        <v>10/09/2025</v>
      </c>
      <c r="L1505">
        <v>1605.89</v>
      </c>
      <c r="M1505">
        <v>1605.89</v>
      </c>
      <c r="N1505">
        <v>303</v>
      </c>
      <c r="O1505" t="str">
        <f>"RECEITAS COM ENTREGAS"</f>
        <v>RECEITAS COM ENTREGAS</v>
      </c>
      <c r="P1505">
        <v>1605.89</v>
      </c>
      <c r="S1505" t="str">
        <f>"RECEITAS COM ENTREGAS (303)"</f>
        <v>RECEITAS COM ENTREGAS (303)</v>
      </c>
      <c r="T1505">
        <v>21329</v>
      </c>
      <c r="U1505">
        <v>21102</v>
      </c>
      <c r="V1505" t="s">
        <v>22</v>
      </c>
    </row>
    <row r="1506" spans="1:22">
      <c r="A1506" t="str">
        <f t="shared" si="242"/>
        <v>10/09/2025</v>
      </c>
      <c r="B1506" t="str">
        <f t="shared" si="253"/>
        <v>ENTRADA</v>
      </c>
      <c r="C1506" t="str">
        <f t="shared" si="254"/>
        <v>NFSE</v>
      </c>
      <c r="D1506" t="str">
        <f>"3305"</f>
        <v>3305</v>
      </c>
      <c r="E1506" t="str">
        <f t="shared" si="255"/>
        <v>1</v>
      </c>
      <c r="F1506" t="str">
        <f t="shared" si="252"/>
        <v>COM</v>
      </c>
      <c r="G1506" t="str">
        <f>"PAGMENOS - LJ 657 (10136)"</f>
        <v>PAGMENOS - LJ 657 (10136)</v>
      </c>
      <c r="H1506" t="s">
        <v>474</v>
      </c>
      <c r="I1506" t="str">
        <f>("11/09/2025")</f>
        <v>11/09/2025</v>
      </c>
      <c r="J1506" t="str">
        <f t="shared" si="251"/>
        <v>01/09/2025</v>
      </c>
      <c r="K1506">
        <v>45910</v>
      </c>
      <c r="N1506">
        <v>303</v>
      </c>
      <c r="O1506" t="s">
        <v>69</v>
      </c>
      <c r="Q1506">
        <v>1605.89</v>
      </c>
      <c r="R1506" t="str">
        <f>"PAGMENOS - LJ 657 (10136)"</f>
        <v>PAGMENOS - LJ 657 (10136)</v>
      </c>
      <c r="S1506" t="s">
        <v>70</v>
      </c>
      <c r="T1506">
        <v>21329</v>
      </c>
      <c r="U1506">
        <v>21102</v>
      </c>
      <c r="V1506" t="s">
        <v>22</v>
      </c>
    </row>
    <row r="1507" spans="1:22">
      <c r="A1507" t="str">
        <f t="shared" si="242"/>
        <v>10/09/2025</v>
      </c>
      <c r="B1507" t="str">
        <f t="shared" si="253"/>
        <v>ENTRADA</v>
      </c>
      <c r="C1507" t="str">
        <f t="shared" si="254"/>
        <v>NFSE</v>
      </c>
      <c r="D1507" t="str">
        <f t="shared" ref="D1507:D1554" si="256">"3314"</f>
        <v>3314</v>
      </c>
      <c r="E1507" t="str">
        <f t="shared" si="255"/>
        <v>1</v>
      </c>
      <c r="F1507" t="str">
        <f t="shared" si="252"/>
        <v>COM</v>
      </c>
      <c r="G1507" t="str">
        <f t="shared" ref="G1507:G1554" si="257">"FARMÁCIA INDIANA LJ 1 (10126)"</f>
        <v>FARMÁCIA INDIANA LJ 1 (10126)</v>
      </c>
      <c r="H1507" t="str">
        <f>"Serv.Prest. 25/08/2025 a 31/08/2025 - RPS: 1190 - NFSe: 3314"</f>
        <v>Serv.Prest. 25/08/2025 a 31/08/2025 - RPS: 1190 - NFSe: 3314</v>
      </c>
      <c r="I1507" t="str">
        <f t="shared" ref="I1507:I1538" si="258">("10/09/2025")</f>
        <v>10/09/2025</v>
      </c>
      <c r="J1507" t="str">
        <f t="shared" ref="J1507:J1538" si="259">("02/09/2025")</f>
        <v>02/09/2025</v>
      </c>
      <c r="K1507" t="str">
        <f>("10/09/2025")</f>
        <v>10/09/2025</v>
      </c>
      <c r="L1507">
        <v>112675.44</v>
      </c>
      <c r="M1507">
        <v>112675.44</v>
      </c>
      <c r="N1507">
        <v>303</v>
      </c>
      <c r="O1507" t="str">
        <f>"RECEITAS COM ENTREGAS"</f>
        <v>RECEITAS COM ENTREGAS</v>
      </c>
      <c r="P1507">
        <v>112675.44</v>
      </c>
      <c r="S1507" t="str">
        <f>"RECEITAS COM ENTREGAS (303)"</f>
        <v>RECEITAS COM ENTREGAS (303)</v>
      </c>
      <c r="T1507">
        <v>21835</v>
      </c>
      <c r="U1507">
        <v>21169</v>
      </c>
      <c r="V1507" t="s">
        <v>77</v>
      </c>
    </row>
    <row r="1508" spans="1:22">
      <c r="A1508" t="str">
        <f t="shared" si="242"/>
        <v>10/09/2025</v>
      </c>
      <c r="B1508" t="str">
        <f t="shared" si="253"/>
        <v>ENTRADA</v>
      </c>
      <c r="C1508" t="str">
        <f t="shared" si="254"/>
        <v>NFSE</v>
      </c>
      <c r="D1508" t="str">
        <f t="shared" si="256"/>
        <v>3314</v>
      </c>
      <c r="E1508" t="str">
        <f t="shared" si="255"/>
        <v>1</v>
      </c>
      <c r="F1508" t="str">
        <f t="shared" si="252"/>
        <v>COM</v>
      </c>
      <c r="G1508" t="str">
        <f t="shared" si="257"/>
        <v>FARMÁCIA INDIANA LJ 1 (10126)</v>
      </c>
      <c r="H1508" t="s">
        <v>475</v>
      </c>
      <c r="I1508" t="str">
        <f t="shared" si="258"/>
        <v>10/09/2025</v>
      </c>
      <c r="J1508" t="str">
        <f t="shared" si="259"/>
        <v>02/09/2025</v>
      </c>
      <c r="K1508">
        <v>45910</v>
      </c>
      <c r="N1508">
        <v>303</v>
      </c>
      <c r="O1508" t="s">
        <v>69</v>
      </c>
      <c r="Q1508">
        <v>15729.47</v>
      </c>
      <c r="R1508" t="str">
        <f>"FARMÁCIA INDIANA LJ 06 (10006)"</f>
        <v>FARMÁCIA INDIANA LJ 06 (10006)</v>
      </c>
      <c r="S1508" t="s">
        <v>70</v>
      </c>
      <c r="T1508">
        <v>21835</v>
      </c>
      <c r="U1508">
        <v>21169</v>
      </c>
      <c r="V1508" t="s">
        <v>77</v>
      </c>
    </row>
    <row r="1509" spans="1:22">
      <c r="A1509" t="str">
        <f t="shared" si="242"/>
        <v>10/09/2025</v>
      </c>
      <c r="B1509" t="str">
        <f t="shared" si="253"/>
        <v>ENTRADA</v>
      </c>
      <c r="C1509" t="str">
        <f t="shared" si="254"/>
        <v>NFSE</v>
      </c>
      <c r="D1509" t="str">
        <f t="shared" si="256"/>
        <v>3314</v>
      </c>
      <c r="E1509" t="str">
        <f t="shared" si="255"/>
        <v>1</v>
      </c>
      <c r="F1509" t="str">
        <f t="shared" si="252"/>
        <v>COM</v>
      </c>
      <c r="G1509" t="str">
        <f t="shared" si="257"/>
        <v>FARMÁCIA INDIANA LJ 1 (10126)</v>
      </c>
      <c r="H1509" t="s">
        <v>475</v>
      </c>
      <c r="I1509" t="str">
        <f t="shared" si="258"/>
        <v>10/09/2025</v>
      </c>
      <c r="J1509" t="str">
        <f t="shared" si="259"/>
        <v>02/09/2025</v>
      </c>
      <c r="K1509">
        <v>45910</v>
      </c>
      <c r="N1509">
        <v>303</v>
      </c>
      <c r="O1509" t="s">
        <v>69</v>
      </c>
      <c r="Q1509">
        <v>11481.63</v>
      </c>
      <c r="R1509" t="str">
        <f>"FARMÁCIA INDIANA LJ 07 (10007)"</f>
        <v>FARMÁCIA INDIANA LJ 07 (10007)</v>
      </c>
      <c r="S1509" t="s">
        <v>70</v>
      </c>
      <c r="T1509">
        <v>21835</v>
      </c>
      <c r="U1509">
        <v>21169</v>
      </c>
      <c r="V1509" t="s">
        <v>77</v>
      </c>
    </row>
    <row r="1510" spans="1:22">
      <c r="A1510" t="str">
        <f t="shared" si="242"/>
        <v>10/09/2025</v>
      </c>
      <c r="B1510" t="str">
        <f t="shared" si="253"/>
        <v>ENTRADA</v>
      </c>
      <c r="C1510" t="str">
        <f t="shared" si="254"/>
        <v>NFSE</v>
      </c>
      <c r="D1510" t="str">
        <f t="shared" si="256"/>
        <v>3314</v>
      </c>
      <c r="E1510" t="str">
        <f t="shared" si="255"/>
        <v>1</v>
      </c>
      <c r="F1510" t="str">
        <f t="shared" si="252"/>
        <v>COM</v>
      </c>
      <c r="G1510" t="str">
        <f t="shared" si="257"/>
        <v>FARMÁCIA INDIANA LJ 1 (10126)</v>
      </c>
      <c r="H1510" t="s">
        <v>475</v>
      </c>
      <c r="I1510" t="str">
        <f t="shared" si="258"/>
        <v>10/09/2025</v>
      </c>
      <c r="J1510" t="str">
        <f t="shared" si="259"/>
        <v>02/09/2025</v>
      </c>
      <c r="K1510">
        <v>45910</v>
      </c>
      <c r="N1510">
        <v>303</v>
      </c>
      <c r="O1510" t="s">
        <v>69</v>
      </c>
      <c r="Q1510">
        <v>9554.8799999999992</v>
      </c>
      <c r="R1510" t="str">
        <f>"FARMÁCIA INDIANA LJ 11 (10008)"</f>
        <v>FARMÁCIA INDIANA LJ 11 (10008)</v>
      </c>
      <c r="S1510" t="s">
        <v>70</v>
      </c>
      <c r="T1510">
        <v>21835</v>
      </c>
      <c r="U1510">
        <v>21169</v>
      </c>
      <c r="V1510" t="s">
        <v>77</v>
      </c>
    </row>
    <row r="1511" spans="1:22">
      <c r="A1511" t="str">
        <f t="shared" si="242"/>
        <v>10/09/2025</v>
      </c>
      <c r="B1511" t="str">
        <f t="shared" si="253"/>
        <v>ENTRADA</v>
      </c>
      <c r="C1511" t="str">
        <f t="shared" si="254"/>
        <v>NFSE</v>
      </c>
      <c r="D1511" t="str">
        <f t="shared" si="256"/>
        <v>3314</v>
      </c>
      <c r="E1511" t="str">
        <f t="shared" si="255"/>
        <v>1</v>
      </c>
      <c r="F1511" t="str">
        <f t="shared" si="252"/>
        <v>COM</v>
      </c>
      <c r="G1511" t="str">
        <f t="shared" si="257"/>
        <v>FARMÁCIA INDIANA LJ 1 (10126)</v>
      </c>
      <c r="H1511" t="s">
        <v>475</v>
      </c>
      <c r="I1511" t="str">
        <f t="shared" si="258"/>
        <v>10/09/2025</v>
      </c>
      <c r="J1511" t="str">
        <f t="shared" si="259"/>
        <v>02/09/2025</v>
      </c>
      <c r="K1511">
        <v>45910</v>
      </c>
      <c r="N1511">
        <v>303</v>
      </c>
      <c r="O1511" t="s">
        <v>69</v>
      </c>
      <c r="Q1511">
        <v>3526.74</v>
      </c>
      <c r="R1511" t="str">
        <f>"FARMÁCIA INDIANA LJ 14 (10009)"</f>
        <v>FARMÁCIA INDIANA LJ 14 (10009)</v>
      </c>
      <c r="S1511" t="s">
        <v>70</v>
      </c>
      <c r="T1511">
        <v>21835</v>
      </c>
      <c r="U1511">
        <v>21169</v>
      </c>
      <c r="V1511" t="s">
        <v>77</v>
      </c>
    </row>
    <row r="1512" spans="1:22">
      <c r="A1512" t="str">
        <f t="shared" si="242"/>
        <v>10/09/2025</v>
      </c>
      <c r="B1512" t="str">
        <f t="shared" si="253"/>
        <v>ENTRADA</v>
      </c>
      <c r="C1512" t="str">
        <f t="shared" si="254"/>
        <v>NFSE</v>
      </c>
      <c r="D1512" t="str">
        <f t="shared" si="256"/>
        <v>3314</v>
      </c>
      <c r="E1512" t="str">
        <f t="shared" si="255"/>
        <v>1</v>
      </c>
      <c r="F1512" t="str">
        <f t="shared" si="252"/>
        <v>COM</v>
      </c>
      <c r="G1512" t="str">
        <f t="shared" si="257"/>
        <v>FARMÁCIA INDIANA LJ 1 (10126)</v>
      </c>
      <c r="H1512" t="s">
        <v>475</v>
      </c>
      <c r="I1512" t="str">
        <f t="shared" si="258"/>
        <v>10/09/2025</v>
      </c>
      <c r="J1512" t="str">
        <f t="shared" si="259"/>
        <v>02/09/2025</v>
      </c>
      <c r="K1512">
        <v>45910</v>
      </c>
      <c r="N1512">
        <v>303</v>
      </c>
      <c r="O1512" t="s">
        <v>69</v>
      </c>
      <c r="Q1512">
        <v>2997.17</v>
      </c>
      <c r="R1512" t="str">
        <f>"FARMÁCIA INDIANA LJ 18 (10011)"</f>
        <v>FARMÁCIA INDIANA LJ 18 (10011)</v>
      </c>
      <c r="S1512" t="s">
        <v>70</v>
      </c>
      <c r="T1512">
        <v>21835</v>
      </c>
      <c r="U1512">
        <v>21169</v>
      </c>
      <c r="V1512" t="s">
        <v>77</v>
      </c>
    </row>
    <row r="1513" spans="1:22">
      <c r="A1513" t="str">
        <f t="shared" si="242"/>
        <v>10/09/2025</v>
      </c>
      <c r="B1513" t="str">
        <f t="shared" si="253"/>
        <v>ENTRADA</v>
      </c>
      <c r="C1513" t="str">
        <f t="shared" si="254"/>
        <v>NFSE</v>
      </c>
      <c r="D1513" t="str">
        <f t="shared" si="256"/>
        <v>3314</v>
      </c>
      <c r="E1513" t="str">
        <f t="shared" si="255"/>
        <v>1</v>
      </c>
      <c r="F1513" t="str">
        <f t="shared" si="252"/>
        <v>COM</v>
      </c>
      <c r="G1513" t="str">
        <f t="shared" si="257"/>
        <v>FARMÁCIA INDIANA LJ 1 (10126)</v>
      </c>
      <c r="H1513" t="s">
        <v>475</v>
      </c>
      <c r="I1513" t="str">
        <f t="shared" si="258"/>
        <v>10/09/2025</v>
      </c>
      <c r="J1513" t="str">
        <f t="shared" si="259"/>
        <v>02/09/2025</v>
      </c>
      <c r="K1513">
        <v>45910</v>
      </c>
      <c r="N1513">
        <v>303</v>
      </c>
      <c r="O1513" t="s">
        <v>69</v>
      </c>
      <c r="Q1513">
        <v>3019.7</v>
      </c>
      <c r="R1513" t="str">
        <f>"FARMÁCIA INDIANA LJ 19 (10012)"</f>
        <v>FARMÁCIA INDIANA LJ 19 (10012)</v>
      </c>
      <c r="S1513" t="s">
        <v>70</v>
      </c>
      <c r="T1513">
        <v>21835</v>
      </c>
      <c r="U1513">
        <v>21169</v>
      </c>
      <c r="V1513" t="s">
        <v>77</v>
      </c>
    </row>
    <row r="1514" spans="1:22">
      <c r="A1514" t="str">
        <f t="shared" si="242"/>
        <v>10/09/2025</v>
      </c>
      <c r="B1514" t="str">
        <f t="shared" si="253"/>
        <v>ENTRADA</v>
      </c>
      <c r="C1514" t="str">
        <f t="shared" si="254"/>
        <v>NFSE</v>
      </c>
      <c r="D1514" t="str">
        <f t="shared" si="256"/>
        <v>3314</v>
      </c>
      <c r="E1514" t="str">
        <f t="shared" si="255"/>
        <v>1</v>
      </c>
      <c r="F1514" t="str">
        <f t="shared" si="252"/>
        <v>COM</v>
      </c>
      <c r="G1514" t="str">
        <f t="shared" si="257"/>
        <v>FARMÁCIA INDIANA LJ 1 (10126)</v>
      </c>
      <c r="H1514" t="s">
        <v>475</v>
      </c>
      <c r="I1514" t="str">
        <f t="shared" si="258"/>
        <v>10/09/2025</v>
      </c>
      <c r="J1514" t="str">
        <f t="shared" si="259"/>
        <v>02/09/2025</v>
      </c>
      <c r="K1514">
        <v>45910</v>
      </c>
      <c r="N1514">
        <v>303</v>
      </c>
      <c r="O1514" t="s">
        <v>69</v>
      </c>
      <c r="Q1514">
        <v>8180.24</v>
      </c>
      <c r="R1514" t="str">
        <f>"FARMÁCIA INDIANA LJ 40 (10016)"</f>
        <v>FARMÁCIA INDIANA LJ 40 (10016)</v>
      </c>
      <c r="S1514" t="s">
        <v>70</v>
      </c>
      <c r="T1514">
        <v>21835</v>
      </c>
      <c r="U1514">
        <v>21169</v>
      </c>
      <c r="V1514" t="s">
        <v>77</v>
      </c>
    </row>
    <row r="1515" spans="1:22">
      <c r="A1515" t="str">
        <f t="shared" si="242"/>
        <v>10/09/2025</v>
      </c>
      <c r="B1515" t="str">
        <f t="shared" si="253"/>
        <v>ENTRADA</v>
      </c>
      <c r="C1515" t="str">
        <f t="shared" si="254"/>
        <v>NFSE</v>
      </c>
      <c r="D1515" t="str">
        <f t="shared" si="256"/>
        <v>3314</v>
      </c>
      <c r="E1515" t="str">
        <f t="shared" si="255"/>
        <v>1</v>
      </c>
      <c r="F1515" t="str">
        <f t="shared" si="252"/>
        <v>COM</v>
      </c>
      <c r="G1515" t="str">
        <f t="shared" si="257"/>
        <v>FARMÁCIA INDIANA LJ 1 (10126)</v>
      </c>
      <c r="H1515" t="s">
        <v>475</v>
      </c>
      <c r="I1515" t="str">
        <f t="shared" si="258"/>
        <v>10/09/2025</v>
      </c>
      <c r="J1515" t="str">
        <f t="shared" si="259"/>
        <v>02/09/2025</v>
      </c>
      <c r="K1515">
        <v>45910</v>
      </c>
      <c r="N1515">
        <v>303</v>
      </c>
      <c r="O1515" t="s">
        <v>69</v>
      </c>
      <c r="Q1515">
        <v>1656.33</v>
      </c>
      <c r="R1515" t="str">
        <f>"FARMÁCIA INDIANA LJ 59 (10026)"</f>
        <v>FARMÁCIA INDIANA LJ 59 (10026)</v>
      </c>
      <c r="S1515" t="s">
        <v>70</v>
      </c>
      <c r="T1515">
        <v>21835</v>
      </c>
      <c r="U1515">
        <v>21169</v>
      </c>
      <c r="V1515" t="s">
        <v>77</v>
      </c>
    </row>
    <row r="1516" spans="1:22">
      <c r="A1516" t="str">
        <f t="shared" si="242"/>
        <v>10/09/2025</v>
      </c>
      <c r="B1516" t="str">
        <f t="shared" si="253"/>
        <v>ENTRADA</v>
      </c>
      <c r="C1516" t="str">
        <f t="shared" si="254"/>
        <v>NFSE</v>
      </c>
      <c r="D1516" t="str">
        <f t="shared" si="256"/>
        <v>3314</v>
      </c>
      <c r="E1516" t="str">
        <f t="shared" si="255"/>
        <v>1</v>
      </c>
      <c r="F1516" t="str">
        <f t="shared" si="252"/>
        <v>COM</v>
      </c>
      <c r="G1516" t="str">
        <f t="shared" si="257"/>
        <v>FARMÁCIA INDIANA LJ 1 (10126)</v>
      </c>
      <c r="H1516" t="s">
        <v>475</v>
      </c>
      <c r="I1516" t="str">
        <f t="shared" si="258"/>
        <v>10/09/2025</v>
      </c>
      <c r="J1516" t="str">
        <f t="shared" si="259"/>
        <v>02/09/2025</v>
      </c>
      <c r="K1516">
        <v>45910</v>
      </c>
      <c r="N1516">
        <v>303</v>
      </c>
      <c r="O1516" t="s">
        <v>69</v>
      </c>
      <c r="Q1516">
        <v>4371.8100000000004</v>
      </c>
      <c r="R1516" t="str">
        <f>"FARMÁCIA INDIANA LJ 61 (10027)"</f>
        <v>FARMÁCIA INDIANA LJ 61 (10027)</v>
      </c>
      <c r="S1516" t="s">
        <v>70</v>
      </c>
      <c r="T1516">
        <v>21835</v>
      </c>
      <c r="U1516">
        <v>21169</v>
      </c>
      <c r="V1516" t="s">
        <v>77</v>
      </c>
    </row>
    <row r="1517" spans="1:22">
      <c r="A1517" t="str">
        <f t="shared" si="242"/>
        <v>10/09/2025</v>
      </c>
      <c r="B1517" t="str">
        <f t="shared" si="253"/>
        <v>ENTRADA</v>
      </c>
      <c r="C1517" t="str">
        <f t="shared" si="254"/>
        <v>NFSE</v>
      </c>
      <c r="D1517" t="str">
        <f t="shared" si="256"/>
        <v>3314</v>
      </c>
      <c r="E1517" t="str">
        <f t="shared" si="255"/>
        <v>1</v>
      </c>
      <c r="F1517" t="str">
        <f t="shared" si="252"/>
        <v>COM</v>
      </c>
      <c r="G1517" t="str">
        <f t="shared" si="257"/>
        <v>FARMÁCIA INDIANA LJ 1 (10126)</v>
      </c>
      <c r="H1517" t="s">
        <v>475</v>
      </c>
      <c r="I1517" t="str">
        <f t="shared" si="258"/>
        <v>10/09/2025</v>
      </c>
      <c r="J1517" t="str">
        <f t="shared" si="259"/>
        <v>02/09/2025</v>
      </c>
      <c r="K1517">
        <v>45910</v>
      </c>
      <c r="N1517">
        <v>303</v>
      </c>
      <c r="O1517" t="s">
        <v>69</v>
      </c>
      <c r="Q1517">
        <v>1599.99</v>
      </c>
      <c r="R1517" t="str">
        <f>"FARMÁCIA INDIANA LJ 62 (10028)"</f>
        <v>FARMÁCIA INDIANA LJ 62 (10028)</v>
      </c>
      <c r="S1517" t="s">
        <v>70</v>
      </c>
      <c r="T1517">
        <v>21835</v>
      </c>
      <c r="U1517">
        <v>21169</v>
      </c>
      <c r="V1517" t="s">
        <v>77</v>
      </c>
    </row>
    <row r="1518" spans="1:22">
      <c r="A1518" t="str">
        <f t="shared" si="242"/>
        <v>10/09/2025</v>
      </c>
      <c r="B1518" t="str">
        <f t="shared" si="253"/>
        <v>ENTRADA</v>
      </c>
      <c r="C1518" t="str">
        <f t="shared" si="254"/>
        <v>NFSE</v>
      </c>
      <c r="D1518" t="str">
        <f t="shared" si="256"/>
        <v>3314</v>
      </c>
      <c r="E1518" t="str">
        <f t="shared" si="255"/>
        <v>1</v>
      </c>
      <c r="F1518" t="str">
        <f t="shared" si="252"/>
        <v>COM</v>
      </c>
      <c r="G1518" t="str">
        <f t="shared" si="257"/>
        <v>FARMÁCIA INDIANA LJ 1 (10126)</v>
      </c>
      <c r="H1518" t="s">
        <v>475</v>
      </c>
      <c r="I1518" t="str">
        <f t="shared" si="258"/>
        <v>10/09/2025</v>
      </c>
      <c r="J1518" t="str">
        <f t="shared" si="259"/>
        <v>02/09/2025</v>
      </c>
      <c r="K1518">
        <v>45910</v>
      </c>
      <c r="N1518">
        <v>303</v>
      </c>
      <c r="O1518" t="s">
        <v>69</v>
      </c>
      <c r="Q1518">
        <v>597.17999999999995</v>
      </c>
      <c r="R1518" t="str">
        <f>"FARMÁCIA INDIANA LJ 64 (10029)"</f>
        <v>FARMÁCIA INDIANA LJ 64 (10029)</v>
      </c>
      <c r="S1518" t="s">
        <v>70</v>
      </c>
      <c r="T1518">
        <v>21835</v>
      </c>
      <c r="U1518">
        <v>21169</v>
      </c>
      <c r="V1518" t="s">
        <v>77</v>
      </c>
    </row>
    <row r="1519" spans="1:22">
      <c r="A1519" t="str">
        <f t="shared" si="242"/>
        <v>10/09/2025</v>
      </c>
      <c r="B1519" t="str">
        <f t="shared" si="253"/>
        <v>ENTRADA</v>
      </c>
      <c r="C1519" t="str">
        <f t="shared" si="254"/>
        <v>NFSE</v>
      </c>
      <c r="D1519" t="str">
        <f t="shared" si="256"/>
        <v>3314</v>
      </c>
      <c r="E1519" t="str">
        <f t="shared" si="255"/>
        <v>1</v>
      </c>
      <c r="F1519" t="str">
        <f t="shared" si="252"/>
        <v>COM</v>
      </c>
      <c r="G1519" t="str">
        <f t="shared" si="257"/>
        <v>FARMÁCIA INDIANA LJ 1 (10126)</v>
      </c>
      <c r="H1519" t="s">
        <v>475</v>
      </c>
      <c r="I1519" t="str">
        <f t="shared" si="258"/>
        <v>10/09/2025</v>
      </c>
      <c r="J1519" t="str">
        <f t="shared" si="259"/>
        <v>02/09/2025</v>
      </c>
      <c r="K1519">
        <v>45910</v>
      </c>
      <c r="N1519">
        <v>303</v>
      </c>
      <c r="O1519" t="s">
        <v>69</v>
      </c>
      <c r="Q1519">
        <v>597.17999999999995</v>
      </c>
      <c r="R1519" t="str">
        <f>"FARMÁCIA INDIANA LJ 97 (10040)"</f>
        <v>FARMÁCIA INDIANA LJ 97 (10040)</v>
      </c>
      <c r="S1519" t="s">
        <v>70</v>
      </c>
      <c r="T1519">
        <v>21835</v>
      </c>
      <c r="U1519">
        <v>21169</v>
      </c>
      <c r="V1519" t="s">
        <v>77</v>
      </c>
    </row>
    <row r="1520" spans="1:22">
      <c r="A1520" t="str">
        <f t="shared" si="242"/>
        <v>10/09/2025</v>
      </c>
      <c r="B1520" t="str">
        <f t="shared" si="253"/>
        <v>ENTRADA</v>
      </c>
      <c r="C1520" t="str">
        <f t="shared" si="254"/>
        <v>NFSE</v>
      </c>
      <c r="D1520" t="str">
        <f t="shared" si="256"/>
        <v>3314</v>
      </c>
      <c r="E1520" t="str">
        <f t="shared" si="255"/>
        <v>1</v>
      </c>
      <c r="F1520" t="str">
        <f t="shared" si="252"/>
        <v>COM</v>
      </c>
      <c r="G1520" t="str">
        <f t="shared" si="257"/>
        <v>FARMÁCIA INDIANA LJ 1 (10126)</v>
      </c>
      <c r="H1520" t="s">
        <v>475</v>
      </c>
      <c r="I1520" t="str">
        <f t="shared" si="258"/>
        <v>10/09/2025</v>
      </c>
      <c r="J1520" t="str">
        <f t="shared" si="259"/>
        <v>02/09/2025</v>
      </c>
      <c r="K1520">
        <v>45910</v>
      </c>
      <c r="N1520">
        <v>303</v>
      </c>
      <c r="O1520" t="s">
        <v>69</v>
      </c>
      <c r="Q1520">
        <v>1678.86</v>
      </c>
      <c r="R1520" t="str">
        <f>"FARMÁCIA INDIANA LJ 100 (10042)"</f>
        <v>FARMÁCIA INDIANA LJ 100 (10042)</v>
      </c>
      <c r="S1520" t="s">
        <v>70</v>
      </c>
      <c r="T1520">
        <v>21835</v>
      </c>
      <c r="U1520">
        <v>21169</v>
      </c>
      <c r="V1520" t="s">
        <v>77</v>
      </c>
    </row>
    <row r="1521" spans="1:22">
      <c r="A1521" t="str">
        <f t="shared" si="242"/>
        <v>10/09/2025</v>
      </c>
      <c r="B1521" t="str">
        <f t="shared" si="253"/>
        <v>ENTRADA</v>
      </c>
      <c r="C1521" t="str">
        <f t="shared" si="254"/>
        <v>NFSE</v>
      </c>
      <c r="D1521" t="str">
        <f t="shared" si="256"/>
        <v>3314</v>
      </c>
      <c r="E1521" t="str">
        <f t="shared" si="255"/>
        <v>1</v>
      </c>
      <c r="F1521" t="str">
        <f t="shared" si="252"/>
        <v>COM</v>
      </c>
      <c r="G1521" t="str">
        <f t="shared" si="257"/>
        <v>FARMÁCIA INDIANA LJ 1 (10126)</v>
      </c>
      <c r="H1521" t="s">
        <v>475</v>
      </c>
      <c r="I1521" t="str">
        <f t="shared" si="258"/>
        <v>10/09/2025</v>
      </c>
      <c r="J1521" t="str">
        <f t="shared" si="259"/>
        <v>02/09/2025</v>
      </c>
      <c r="K1521">
        <v>45910</v>
      </c>
      <c r="N1521">
        <v>303</v>
      </c>
      <c r="O1521" t="s">
        <v>69</v>
      </c>
      <c r="Q1521">
        <v>5453.49</v>
      </c>
      <c r="R1521" t="str">
        <f>"FARMÁCIA INDIANA LJ 101 (10043)"</f>
        <v>FARMÁCIA INDIANA LJ 101 (10043)</v>
      </c>
      <c r="S1521" t="s">
        <v>70</v>
      </c>
      <c r="T1521">
        <v>21835</v>
      </c>
      <c r="U1521">
        <v>21169</v>
      </c>
      <c r="V1521" t="s">
        <v>77</v>
      </c>
    </row>
    <row r="1522" spans="1:22">
      <c r="A1522" t="str">
        <f t="shared" si="242"/>
        <v>10/09/2025</v>
      </c>
      <c r="B1522" t="str">
        <f t="shared" si="253"/>
        <v>ENTRADA</v>
      </c>
      <c r="C1522" t="str">
        <f t="shared" si="254"/>
        <v>NFSE</v>
      </c>
      <c r="D1522" t="str">
        <f t="shared" si="256"/>
        <v>3314</v>
      </c>
      <c r="E1522" t="str">
        <f t="shared" si="255"/>
        <v>1</v>
      </c>
      <c r="F1522" t="str">
        <f t="shared" si="252"/>
        <v>COM</v>
      </c>
      <c r="G1522" t="str">
        <f t="shared" si="257"/>
        <v>FARMÁCIA INDIANA LJ 1 (10126)</v>
      </c>
      <c r="H1522" t="s">
        <v>475</v>
      </c>
      <c r="I1522" t="str">
        <f t="shared" si="258"/>
        <v>10/09/2025</v>
      </c>
      <c r="J1522" t="str">
        <f t="shared" si="259"/>
        <v>02/09/2025</v>
      </c>
      <c r="K1522">
        <v>45910</v>
      </c>
      <c r="N1522">
        <v>303</v>
      </c>
      <c r="O1522" t="s">
        <v>69</v>
      </c>
      <c r="Q1522">
        <v>709.86</v>
      </c>
      <c r="R1522" t="str">
        <f>"FARMÁCIA INDIANA LJ 103 (10044)"</f>
        <v>FARMÁCIA INDIANA LJ 103 (10044)</v>
      </c>
      <c r="S1522" t="s">
        <v>70</v>
      </c>
      <c r="T1522">
        <v>21835</v>
      </c>
      <c r="U1522">
        <v>21169</v>
      </c>
      <c r="V1522" t="s">
        <v>77</v>
      </c>
    </row>
    <row r="1523" spans="1:22">
      <c r="A1523" t="str">
        <f t="shared" si="242"/>
        <v>10/09/2025</v>
      </c>
      <c r="B1523" t="str">
        <f t="shared" si="253"/>
        <v>ENTRADA</v>
      </c>
      <c r="C1523" t="str">
        <f t="shared" si="254"/>
        <v>NFSE</v>
      </c>
      <c r="D1523" t="str">
        <f t="shared" si="256"/>
        <v>3314</v>
      </c>
      <c r="E1523" t="str">
        <f t="shared" si="255"/>
        <v>1</v>
      </c>
      <c r="F1523" t="str">
        <f t="shared" si="252"/>
        <v>COM</v>
      </c>
      <c r="G1523" t="str">
        <f t="shared" si="257"/>
        <v>FARMÁCIA INDIANA LJ 1 (10126)</v>
      </c>
      <c r="H1523" t="s">
        <v>475</v>
      </c>
      <c r="I1523" t="str">
        <f t="shared" si="258"/>
        <v>10/09/2025</v>
      </c>
      <c r="J1523" t="str">
        <f t="shared" si="259"/>
        <v>02/09/2025</v>
      </c>
      <c r="K1523">
        <v>45910</v>
      </c>
      <c r="N1523">
        <v>303</v>
      </c>
      <c r="O1523" t="s">
        <v>69</v>
      </c>
      <c r="Q1523">
        <v>1847.88</v>
      </c>
      <c r="R1523" t="str">
        <f>"FARMÁCIA INDIANA LJ 109 (10047)"</f>
        <v>FARMÁCIA INDIANA LJ 109 (10047)</v>
      </c>
      <c r="S1523" t="s">
        <v>70</v>
      </c>
      <c r="T1523">
        <v>21835</v>
      </c>
      <c r="U1523">
        <v>21169</v>
      </c>
      <c r="V1523" t="s">
        <v>77</v>
      </c>
    </row>
    <row r="1524" spans="1:22">
      <c r="A1524" t="str">
        <f t="shared" si="242"/>
        <v>10/09/2025</v>
      </c>
      <c r="B1524" t="str">
        <f t="shared" si="253"/>
        <v>ENTRADA</v>
      </c>
      <c r="C1524" t="str">
        <f t="shared" si="254"/>
        <v>NFSE</v>
      </c>
      <c r="D1524" t="str">
        <f t="shared" si="256"/>
        <v>3314</v>
      </c>
      <c r="E1524" t="str">
        <f t="shared" si="255"/>
        <v>1</v>
      </c>
      <c r="F1524" t="str">
        <f t="shared" si="252"/>
        <v>COM</v>
      </c>
      <c r="G1524" t="str">
        <f t="shared" si="257"/>
        <v>FARMÁCIA INDIANA LJ 1 (10126)</v>
      </c>
      <c r="H1524" t="s">
        <v>475</v>
      </c>
      <c r="I1524" t="str">
        <f t="shared" si="258"/>
        <v>10/09/2025</v>
      </c>
      <c r="J1524" t="str">
        <f t="shared" si="259"/>
        <v>02/09/2025</v>
      </c>
      <c r="K1524">
        <v>45910</v>
      </c>
      <c r="N1524">
        <v>303</v>
      </c>
      <c r="O1524" t="s">
        <v>69</v>
      </c>
      <c r="Q1524">
        <v>3549.28</v>
      </c>
      <c r="R1524" t="str">
        <f>"FARMÁCIA INDIANA LJ 110 (10048)"</f>
        <v>FARMÁCIA INDIANA LJ 110 (10048)</v>
      </c>
      <c r="S1524" t="s">
        <v>70</v>
      </c>
      <c r="T1524">
        <v>21835</v>
      </c>
      <c r="U1524">
        <v>21169</v>
      </c>
      <c r="V1524" t="s">
        <v>77</v>
      </c>
    </row>
    <row r="1525" spans="1:22">
      <c r="A1525" t="str">
        <f t="shared" si="242"/>
        <v>10/09/2025</v>
      </c>
      <c r="B1525" t="str">
        <f t="shared" si="253"/>
        <v>ENTRADA</v>
      </c>
      <c r="C1525" t="str">
        <f t="shared" si="254"/>
        <v>NFSE</v>
      </c>
      <c r="D1525" t="str">
        <f t="shared" si="256"/>
        <v>3314</v>
      </c>
      <c r="E1525" t="str">
        <f t="shared" si="255"/>
        <v>1</v>
      </c>
      <c r="F1525" t="str">
        <f t="shared" si="252"/>
        <v>COM</v>
      </c>
      <c r="G1525" t="str">
        <f t="shared" si="257"/>
        <v>FARMÁCIA INDIANA LJ 1 (10126)</v>
      </c>
      <c r="H1525" t="s">
        <v>475</v>
      </c>
      <c r="I1525" t="str">
        <f t="shared" si="258"/>
        <v>10/09/2025</v>
      </c>
      <c r="J1525" t="str">
        <f t="shared" si="259"/>
        <v>02/09/2025</v>
      </c>
      <c r="K1525">
        <v>45910</v>
      </c>
      <c r="N1525">
        <v>303</v>
      </c>
      <c r="O1525" t="s">
        <v>69</v>
      </c>
      <c r="Q1525">
        <v>574.64</v>
      </c>
      <c r="R1525" t="str">
        <f>"FARMÁCIA INDIANA LJ 111 (10049)"</f>
        <v>FARMÁCIA INDIANA LJ 111 (10049)</v>
      </c>
      <c r="S1525" t="s">
        <v>70</v>
      </c>
      <c r="T1525">
        <v>21835</v>
      </c>
      <c r="U1525">
        <v>21169</v>
      </c>
      <c r="V1525" t="s">
        <v>77</v>
      </c>
    </row>
    <row r="1526" spans="1:22">
      <c r="A1526" t="str">
        <f t="shared" ref="A1526:A1589" si="260">("10/09/2025")</f>
        <v>10/09/2025</v>
      </c>
      <c r="B1526" t="str">
        <f t="shared" si="253"/>
        <v>ENTRADA</v>
      </c>
      <c r="C1526" t="str">
        <f t="shared" si="254"/>
        <v>NFSE</v>
      </c>
      <c r="D1526" t="str">
        <f t="shared" si="256"/>
        <v>3314</v>
      </c>
      <c r="E1526" t="str">
        <f t="shared" si="255"/>
        <v>1</v>
      </c>
      <c r="F1526" t="str">
        <f t="shared" si="252"/>
        <v>COM</v>
      </c>
      <c r="G1526" t="str">
        <f t="shared" si="257"/>
        <v>FARMÁCIA INDIANA LJ 1 (10126)</v>
      </c>
      <c r="H1526" t="s">
        <v>475</v>
      </c>
      <c r="I1526" t="str">
        <f t="shared" si="258"/>
        <v>10/09/2025</v>
      </c>
      <c r="J1526" t="str">
        <f t="shared" si="259"/>
        <v>02/09/2025</v>
      </c>
      <c r="K1526">
        <v>45910</v>
      </c>
      <c r="N1526">
        <v>303</v>
      </c>
      <c r="O1526" t="s">
        <v>69</v>
      </c>
      <c r="Q1526">
        <v>845.07</v>
      </c>
      <c r="R1526" t="str">
        <f>"FARMÁCIA INDIANA LJ 112 (10050)"</f>
        <v>FARMÁCIA INDIANA LJ 112 (10050)</v>
      </c>
      <c r="S1526" t="s">
        <v>70</v>
      </c>
      <c r="T1526">
        <v>21835</v>
      </c>
      <c r="U1526">
        <v>21169</v>
      </c>
      <c r="V1526" t="s">
        <v>77</v>
      </c>
    </row>
    <row r="1527" spans="1:22">
      <c r="A1527" t="str">
        <f t="shared" si="260"/>
        <v>10/09/2025</v>
      </c>
      <c r="B1527" t="str">
        <f t="shared" si="253"/>
        <v>ENTRADA</v>
      </c>
      <c r="C1527" t="str">
        <f t="shared" si="254"/>
        <v>NFSE</v>
      </c>
      <c r="D1527" t="str">
        <f t="shared" si="256"/>
        <v>3314</v>
      </c>
      <c r="E1527" t="str">
        <f t="shared" si="255"/>
        <v>1</v>
      </c>
      <c r="F1527" t="str">
        <f t="shared" si="252"/>
        <v>COM</v>
      </c>
      <c r="G1527" t="str">
        <f t="shared" si="257"/>
        <v>FARMÁCIA INDIANA LJ 1 (10126)</v>
      </c>
      <c r="H1527" t="s">
        <v>475</v>
      </c>
      <c r="I1527" t="str">
        <f t="shared" si="258"/>
        <v>10/09/2025</v>
      </c>
      <c r="J1527" t="str">
        <f t="shared" si="259"/>
        <v>02/09/2025</v>
      </c>
      <c r="K1527">
        <v>45910</v>
      </c>
      <c r="N1527">
        <v>303</v>
      </c>
      <c r="O1527" t="s">
        <v>69</v>
      </c>
      <c r="Q1527">
        <v>845.07</v>
      </c>
      <c r="R1527" t="str">
        <f>"FARMÁCIA INDIANA LJ 116 (10051)"</f>
        <v>FARMÁCIA INDIANA LJ 116 (10051)</v>
      </c>
      <c r="S1527" t="s">
        <v>70</v>
      </c>
      <c r="T1527">
        <v>21835</v>
      </c>
      <c r="U1527">
        <v>21169</v>
      </c>
      <c r="V1527" t="s">
        <v>77</v>
      </c>
    </row>
    <row r="1528" spans="1:22">
      <c r="A1528" t="str">
        <f t="shared" si="260"/>
        <v>10/09/2025</v>
      </c>
      <c r="B1528" t="str">
        <f t="shared" si="253"/>
        <v>ENTRADA</v>
      </c>
      <c r="C1528" t="str">
        <f t="shared" si="254"/>
        <v>NFSE</v>
      </c>
      <c r="D1528" t="str">
        <f t="shared" si="256"/>
        <v>3314</v>
      </c>
      <c r="E1528" t="str">
        <f t="shared" si="255"/>
        <v>1</v>
      </c>
      <c r="F1528" t="str">
        <f t="shared" si="252"/>
        <v>COM</v>
      </c>
      <c r="G1528" t="str">
        <f t="shared" si="257"/>
        <v>FARMÁCIA INDIANA LJ 1 (10126)</v>
      </c>
      <c r="H1528" t="s">
        <v>475</v>
      </c>
      <c r="I1528" t="str">
        <f t="shared" si="258"/>
        <v>10/09/2025</v>
      </c>
      <c r="J1528" t="str">
        <f t="shared" si="259"/>
        <v>02/09/2025</v>
      </c>
      <c r="K1528">
        <v>45910</v>
      </c>
      <c r="N1528">
        <v>303</v>
      </c>
      <c r="O1528" t="s">
        <v>69</v>
      </c>
      <c r="Q1528">
        <v>1047.8800000000001</v>
      </c>
      <c r="R1528" t="str">
        <f>"FARMÁCIA INDIANA LJ 118 (10052)"</f>
        <v>FARMÁCIA INDIANA LJ 118 (10052)</v>
      </c>
      <c r="S1528" t="s">
        <v>70</v>
      </c>
      <c r="T1528">
        <v>21835</v>
      </c>
      <c r="U1528">
        <v>21169</v>
      </c>
      <c r="V1528" t="s">
        <v>77</v>
      </c>
    </row>
    <row r="1529" spans="1:22">
      <c r="A1529" t="str">
        <f t="shared" si="260"/>
        <v>10/09/2025</v>
      </c>
      <c r="B1529" t="str">
        <f t="shared" si="253"/>
        <v>ENTRADA</v>
      </c>
      <c r="C1529" t="str">
        <f t="shared" si="254"/>
        <v>NFSE</v>
      </c>
      <c r="D1529" t="str">
        <f t="shared" si="256"/>
        <v>3314</v>
      </c>
      <c r="E1529" t="str">
        <f t="shared" si="255"/>
        <v>1</v>
      </c>
      <c r="F1529" t="str">
        <f t="shared" si="252"/>
        <v>COM</v>
      </c>
      <c r="G1529" t="str">
        <f t="shared" si="257"/>
        <v>FARMÁCIA INDIANA LJ 1 (10126)</v>
      </c>
      <c r="H1529" t="s">
        <v>475</v>
      </c>
      <c r="I1529" t="str">
        <f t="shared" si="258"/>
        <v>10/09/2025</v>
      </c>
      <c r="J1529" t="str">
        <f t="shared" si="259"/>
        <v>02/09/2025</v>
      </c>
      <c r="K1529">
        <v>45910</v>
      </c>
      <c r="N1529">
        <v>303</v>
      </c>
      <c r="O1529" t="s">
        <v>69</v>
      </c>
      <c r="Q1529">
        <v>845.07</v>
      </c>
      <c r="R1529" t="str">
        <f>"FARMÁCIA INDIANA LJ 121 (10054)"</f>
        <v>FARMÁCIA INDIANA LJ 121 (10054)</v>
      </c>
      <c r="S1529" t="s">
        <v>70</v>
      </c>
      <c r="T1529">
        <v>21835</v>
      </c>
      <c r="U1529">
        <v>21169</v>
      </c>
      <c r="V1529" t="s">
        <v>77</v>
      </c>
    </row>
    <row r="1530" spans="1:22">
      <c r="A1530" t="str">
        <f t="shared" si="260"/>
        <v>10/09/2025</v>
      </c>
      <c r="B1530" t="str">
        <f t="shared" si="253"/>
        <v>ENTRADA</v>
      </c>
      <c r="C1530" t="str">
        <f t="shared" si="254"/>
        <v>NFSE</v>
      </c>
      <c r="D1530" t="str">
        <f t="shared" si="256"/>
        <v>3314</v>
      </c>
      <c r="E1530" t="str">
        <f t="shared" si="255"/>
        <v>1</v>
      </c>
      <c r="F1530" t="str">
        <f t="shared" si="252"/>
        <v>COM</v>
      </c>
      <c r="G1530" t="str">
        <f t="shared" si="257"/>
        <v>FARMÁCIA INDIANA LJ 1 (10126)</v>
      </c>
      <c r="H1530" t="s">
        <v>475</v>
      </c>
      <c r="I1530" t="str">
        <f t="shared" si="258"/>
        <v>10/09/2025</v>
      </c>
      <c r="J1530" t="str">
        <f t="shared" si="259"/>
        <v>02/09/2025</v>
      </c>
      <c r="K1530">
        <v>45910</v>
      </c>
      <c r="N1530">
        <v>303</v>
      </c>
      <c r="O1530" t="s">
        <v>69</v>
      </c>
      <c r="Q1530">
        <v>845.07</v>
      </c>
      <c r="R1530" t="str">
        <f>"FARMÁCIA INDIANA LJ 128 (10057)"</f>
        <v>FARMÁCIA INDIANA LJ 128 (10057)</v>
      </c>
      <c r="S1530" t="s">
        <v>70</v>
      </c>
      <c r="T1530">
        <v>21835</v>
      </c>
      <c r="U1530">
        <v>21169</v>
      </c>
      <c r="V1530" t="s">
        <v>77</v>
      </c>
    </row>
    <row r="1531" spans="1:22">
      <c r="A1531" t="str">
        <f t="shared" si="260"/>
        <v>10/09/2025</v>
      </c>
      <c r="B1531" t="str">
        <f t="shared" si="253"/>
        <v>ENTRADA</v>
      </c>
      <c r="C1531" t="str">
        <f t="shared" si="254"/>
        <v>NFSE</v>
      </c>
      <c r="D1531" t="str">
        <f t="shared" si="256"/>
        <v>3314</v>
      </c>
      <c r="E1531" t="str">
        <f t="shared" si="255"/>
        <v>1</v>
      </c>
      <c r="F1531" t="str">
        <f t="shared" si="252"/>
        <v>COM</v>
      </c>
      <c r="G1531" t="str">
        <f t="shared" si="257"/>
        <v>FARMÁCIA INDIANA LJ 1 (10126)</v>
      </c>
      <c r="H1531" t="s">
        <v>475</v>
      </c>
      <c r="I1531" t="str">
        <f t="shared" si="258"/>
        <v>10/09/2025</v>
      </c>
      <c r="J1531" t="str">
        <f t="shared" si="259"/>
        <v>02/09/2025</v>
      </c>
      <c r="K1531">
        <v>45910</v>
      </c>
      <c r="N1531">
        <v>303</v>
      </c>
      <c r="O1531" t="s">
        <v>69</v>
      </c>
      <c r="Q1531">
        <v>146.47999999999999</v>
      </c>
      <c r="R1531" t="str">
        <f>"FARMÁCIA INDIANA LJ 140 (10064)"</f>
        <v>FARMÁCIA INDIANA LJ 140 (10064)</v>
      </c>
      <c r="S1531" t="s">
        <v>70</v>
      </c>
      <c r="T1531">
        <v>21835</v>
      </c>
      <c r="U1531">
        <v>21169</v>
      </c>
      <c r="V1531" t="s">
        <v>77</v>
      </c>
    </row>
    <row r="1532" spans="1:22">
      <c r="A1532" t="str">
        <f t="shared" si="260"/>
        <v>10/09/2025</v>
      </c>
      <c r="B1532" t="str">
        <f t="shared" si="253"/>
        <v>ENTRADA</v>
      </c>
      <c r="C1532" t="str">
        <f t="shared" si="254"/>
        <v>NFSE</v>
      </c>
      <c r="D1532" t="str">
        <f t="shared" si="256"/>
        <v>3314</v>
      </c>
      <c r="E1532" t="str">
        <f t="shared" si="255"/>
        <v>1</v>
      </c>
      <c r="F1532" t="str">
        <f t="shared" si="252"/>
        <v>COM</v>
      </c>
      <c r="G1532" t="str">
        <f t="shared" si="257"/>
        <v>FARMÁCIA INDIANA LJ 1 (10126)</v>
      </c>
      <c r="H1532" t="s">
        <v>475</v>
      </c>
      <c r="I1532" t="str">
        <f t="shared" si="258"/>
        <v>10/09/2025</v>
      </c>
      <c r="J1532" t="str">
        <f t="shared" si="259"/>
        <v>02/09/2025</v>
      </c>
      <c r="K1532">
        <v>45910</v>
      </c>
      <c r="N1532">
        <v>303</v>
      </c>
      <c r="O1532" t="s">
        <v>69</v>
      </c>
      <c r="Q1532">
        <v>146.47999999999999</v>
      </c>
      <c r="R1532" t="str">
        <f>"FARMÁCIA INDIANA LJ 141 (10065)"</f>
        <v>FARMÁCIA INDIANA LJ 141 (10065)</v>
      </c>
      <c r="S1532" t="s">
        <v>70</v>
      </c>
      <c r="T1532">
        <v>21835</v>
      </c>
      <c r="U1532">
        <v>21169</v>
      </c>
      <c r="V1532" t="s">
        <v>77</v>
      </c>
    </row>
    <row r="1533" spans="1:22">
      <c r="A1533" t="str">
        <f t="shared" si="260"/>
        <v>10/09/2025</v>
      </c>
      <c r="B1533" t="str">
        <f t="shared" si="253"/>
        <v>ENTRADA</v>
      </c>
      <c r="C1533" t="str">
        <f t="shared" si="254"/>
        <v>NFSE</v>
      </c>
      <c r="D1533" t="str">
        <f t="shared" si="256"/>
        <v>3314</v>
      </c>
      <c r="E1533" t="str">
        <f t="shared" si="255"/>
        <v>1</v>
      </c>
      <c r="F1533" t="str">
        <f t="shared" si="252"/>
        <v>COM</v>
      </c>
      <c r="G1533" t="str">
        <f t="shared" si="257"/>
        <v>FARMÁCIA INDIANA LJ 1 (10126)</v>
      </c>
      <c r="H1533" t="s">
        <v>475</v>
      </c>
      <c r="I1533" t="str">
        <f t="shared" si="258"/>
        <v>10/09/2025</v>
      </c>
      <c r="J1533" t="str">
        <f t="shared" si="259"/>
        <v>02/09/2025</v>
      </c>
      <c r="K1533">
        <v>45910</v>
      </c>
      <c r="N1533">
        <v>303</v>
      </c>
      <c r="O1533" t="s">
        <v>69</v>
      </c>
      <c r="Q1533">
        <v>6828.13</v>
      </c>
      <c r="R1533" t="str">
        <f>"FARMÁCIA INDIANA LJ 142 (10066)"</f>
        <v>FARMÁCIA INDIANA LJ 142 (10066)</v>
      </c>
      <c r="S1533" t="s">
        <v>70</v>
      </c>
      <c r="T1533">
        <v>21835</v>
      </c>
      <c r="U1533">
        <v>21169</v>
      </c>
      <c r="V1533" t="s">
        <v>77</v>
      </c>
    </row>
    <row r="1534" spans="1:22">
      <c r="A1534" t="str">
        <f t="shared" si="260"/>
        <v>10/09/2025</v>
      </c>
      <c r="B1534" t="str">
        <f t="shared" si="253"/>
        <v>ENTRADA</v>
      </c>
      <c r="C1534" t="str">
        <f t="shared" si="254"/>
        <v>NFSE</v>
      </c>
      <c r="D1534" t="str">
        <f t="shared" si="256"/>
        <v>3314</v>
      </c>
      <c r="E1534" t="str">
        <f t="shared" si="255"/>
        <v>1</v>
      </c>
      <c r="F1534" t="str">
        <f t="shared" si="252"/>
        <v>COM</v>
      </c>
      <c r="G1534" t="str">
        <f t="shared" si="257"/>
        <v>FARMÁCIA INDIANA LJ 1 (10126)</v>
      </c>
      <c r="H1534" t="s">
        <v>475</v>
      </c>
      <c r="I1534" t="str">
        <f t="shared" si="258"/>
        <v>10/09/2025</v>
      </c>
      <c r="J1534" t="str">
        <f t="shared" si="259"/>
        <v>02/09/2025</v>
      </c>
      <c r="K1534">
        <v>45910</v>
      </c>
      <c r="N1534">
        <v>303</v>
      </c>
      <c r="O1534" t="s">
        <v>69</v>
      </c>
      <c r="Q1534">
        <v>597.17999999999995</v>
      </c>
      <c r="R1534" t="str">
        <f>"FARMÁCIA INDIANA LJ 143 (10067)"</f>
        <v>FARMÁCIA INDIANA LJ 143 (10067)</v>
      </c>
      <c r="S1534" t="s">
        <v>70</v>
      </c>
      <c r="T1534">
        <v>21835</v>
      </c>
      <c r="U1534">
        <v>21169</v>
      </c>
      <c r="V1534" t="s">
        <v>77</v>
      </c>
    </row>
    <row r="1535" spans="1:22">
      <c r="A1535" t="str">
        <f t="shared" si="260"/>
        <v>10/09/2025</v>
      </c>
      <c r="B1535" t="str">
        <f t="shared" si="253"/>
        <v>ENTRADA</v>
      </c>
      <c r="C1535" t="str">
        <f t="shared" si="254"/>
        <v>NFSE</v>
      </c>
      <c r="D1535" t="str">
        <f t="shared" si="256"/>
        <v>3314</v>
      </c>
      <c r="E1535" t="str">
        <f t="shared" si="255"/>
        <v>1</v>
      </c>
      <c r="F1535" t="str">
        <f t="shared" si="252"/>
        <v>COM</v>
      </c>
      <c r="G1535" t="str">
        <f t="shared" si="257"/>
        <v>FARMÁCIA INDIANA LJ 1 (10126)</v>
      </c>
      <c r="H1535" t="s">
        <v>475</v>
      </c>
      <c r="I1535" t="str">
        <f t="shared" si="258"/>
        <v>10/09/2025</v>
      </c>
      <c r="J1535" t="str">
        <f t="shared" si="259"/>
        <v>02/09/2025</v>
      </c>
      <c r="K1535">
        <v>45910</v>
      </c>
      <c r="N1535">
        <v>303</v>
      </c>
      <c r="O1535" t="s">
        <v>69</v>
      </c>
      <c r="Q1535">
        <v>3380.26</v>
      </c>
      <c r="R1535" t="str">
        <f>"FARMÁCIA INDIANA LJ 152 (10069)"</f>
        <v>FARMÁCIA INDIANA LJ 152 (10069)</v>
      </c>
      <c r="S1535" t="s">
        <v>70</v>
      </c>
      <c r="T1535">
        <v>21835</v>
      </c>
      <c r="U1535">
        <v>21169</v>
      </c>
      <c r="V1535" t="s">
        <v>77</v>
      </c>
    </row>
    <row r="1536" spans="1:22">
      <c r="A1536" t="str">
        <f t="shared" si="260"/>
        <v>10/09/2025</v>
      </c>
      <c r="B1536" t="str">
        <f t="shared" si="253"/>
        <v>ENTRADA</v>
      </c>
      <c r="C1536" t="str">
        <f t="shared" si="254"/>
        <v>NFSE</v>
      </c>
      <c r="D1536" t="str">
        <f t="shared" si="256"/>
        <v>3314</v>
      </c>
      <c r="E1536" t="str">
        <f t="shared" si="255"/>
        <v>1</v>
      </c>
      <c r="F1536" t="str">
        <f t="shared" si="252"/>
        <v>COM</v>
      </c>
      <c r="G1536" t="str">
        <f t="shared" si="257"/>
        <v>FARMÁCIA INDIANA LJ 1 (10126)</v>
      </c>
      <c r="H1536" t="s">
        <v>475</v>
      </c>
      <c r="I1536" t="str">
        <f t="shared" si="258"/>
        <v>10/09/2025</v>
      </c>
      <c r="J1536" t="str">
        <f t="shared" si="259"/>
        <v>02/09/2025</v>
      </c>
      <c r="K1536">
        <v>45910</v>
      </c>
      <c r="N1536">
        <v>303</v>
      </c>
      <c r="O1536" t="s">
        <v>69</v>
      </c>
      <c r="Q1536">
        <v>315.49</v>
      </c>
      <c r="R1536" t="str">
        <f>"FARMÁCIA INDIANA LJ 154 (10070)"</f>
        <v>FARMÁCIA INDIANA LJ 154 (10070)</v>
      </c>
      <c r="S1536" t="s">
        <v>70</v>
      </c>
      <c r="T1536">
        <v>21835</v>
      </c>
      <c r="U1536">
        <v>21169</v>
      </c>
      <c r="V1536" t="s">
        <v>77</v>
      </c>
    </row>
    <row r="1537" spans="1:22">
      <c r="A1537" t="str">
        <f t="shared" si="260"/>
        <v>10/09/2025</v>
      </c>
      <c r="B1537" t="str">
        <f t="shared" ref="B1537:B1568" si="261">"ENTRADA"</f>
        <v>ENTRADA</v>
      </c>
      <c r="C1537" t="str">
        <f t="shared" ref="C1537:C1568" si="262">"NFSE"</f>
        <v>NFSE</v>
      </c>
      <c r="D1537" t="str">
        <f t="shared" si="256"/>
        <v>3314</v>
      </c>
      <c r="E1537" t="str">
        <f t="shared" ref="E1537:E1568" si="263">"1"</f>
        <v>1</v>
      </c>
      <c r="F1537" t="str">
        <f t="shared" si="252"/>
        <v>COM</v>
      </c>
      <c r="G1537" t="str">
        <f t="shared" si="257"/>
        <v>FARMÁCIA INDIANA LJ 1 (10126)</v>
      </c>
      <c r="H1537" t="s">
        <v>475</v>
      </c>
      <c r="I1537" t="str">
        <f t="shared" si="258"/>
        <v>10/09/2025</v>
      </c>
      <c r="J1537" t="str">
        <f t="shared" si="259"/>
        <v>02/09/2025</v>
      </c>
      <c r="K1537">
        <v>45910</v>
      </c>
      <c r="N1537">
        <v>303</v>
      </c>
      <c r="O1537" t="s">
        <v>69</v>
      </c>
      <c r="Q1537">
        <v>1802.81</v>
      </c>
      <c r="R1537" t="str">
        <f>"FARMÁCIA INDIANA LJ 171 (10074)"</f>
        <v>FARMÁCIA INDIANA LJ 171 (10074)</v>
      </c>
      <c r="S1537" t="s">
        <v>70</v>
      </c>
      <c r="T1537">
        <v>21835</v>
      </c>
      <c r="U1537">
        <v>21169</v>
      </c>
      <c r="V1537" t="s">
        <v>77</v>
      </c>
    </row>
    <row r="1538" spans="1:22">
      <c r="A1538" t="str">
        <f t="shared" si="260"/>
        <v>10/09/2025</v>
      </c>
      <c r="B1538" t="str">
        <f t="shared" si="261"/>
        <v>ENTRADA</v>
      </c>
      <c r="C1538" t="str">
        <f t="shared" si="262"/>
        <v>NFSE</v>
      </c>
      <c r="D1538" t="str">
        <f t="shared" si="256"/>
        <v>3314</v>
      </c>
      <c r="E1538" t="str">
        <f t="shared" si="263"/>
        <v>1</v>
      </c>
      <c r="F1538" t="str">
        <f t="shared" si="252"/>
        <v>COM</v>
      </c>
      <c r="G1538" t="str">
        <f t="shared" si="257"/>
        <v>FARMÁCIA INDIANA LJ 1 (10126)</v>
      </c>
      <c r="H1538" t="s">
        <v>475</v>
      </c>
      <c r="I1538" t="str">
        <f t="shared" si="258"/>
        <v>10/09/2025</v>
      </c>
      <c r="J1538" t="str">
        <f t="shared" si="259"/>
        <v>02/09/2025</v>
      </c>
      <c r="K1538">
        <v>45910</v>
      </c>
      <c r="N1538">
        <v>303</v>
      </c>
      <c r="O1538" t="s">
        <v>69</v>
      </c>
      <c r="Q1538">
        <v>687.32</v>
      </c>
      <c r="R1538" t="str">
        <f>"FARMÁCIA INDIANA LJ 175 (10076)"</f>
        <v>FARMÁCIA INDIANA LJ 175 (10076)</v>
      </c>
      <c r="S1538" t="s">
        <v>70</v>
      </c>
      <c r="T1538">
        <v>21835</v>
      </c>
      <c r="U1538">
        <v>21169</v>
      </c>
      <c r="V1538" t="s">
        <v>77</v>
      </c>
    </row>
    <row r="1539" spans="1:22">
      <c r="A1539" t="str">
        <f t="shared" si="260"/>
        <v>10/09/2025</v>
      </c>
      <c r="B1539" t="str">
        <f t="shared" si="261"/>
        <v>ENTRADA</v>
      </c>
      <c r="C1539" t="str">
        <f t="shared" si="262"/>
        <v>NFSE</v>
      </c>
      <c r="D1539" t="str">
        <f t="shared" si="256"/>
        <v>3314</v>
      </c>
      <c r="E1539" t="str">
        <f t="shared" si="263"/>
        <v>1</v>
      </c>
      <c r="F1539" t="str">
        <f t="shared" si="252"/>
        <v>COM</v>
      </c>
      <c r="G1539" t="str">
        <f t="shared" si="257"/>
        <v>FARMÁCIA INDIANA LJ 1 (10126)</v>
      </c>
      <c r="H1539" t="s">
        <v>475</v>
      </c>
      <c r="I1539" t="str">
        <f t="shared" ref="I1539:I1570" si="264">("10/09/2025")</f>
        <v>10/09/2025</v>
      </c>
      <c r="J1539" t="str">
        <f t="shared" ref="J1539:J1570" si="265">("02/09/2025")</f>
        <v>02/09/2025</v>
      </c>
      <c r="K1539">
        <v>45910</v>
      </c>
      <c r="N1539">
        <v>303</v>
      </c>
      <c r="O1539" t="s">
        <v>69</v>
      </c>
      <c r="Q1539">
        <v>991.54</v>
      </c>
      <c r="R1539" t="str">
        <f>"FARMÁCIA INDIANA LJ 178 (10077)"</f>
        <v>FARMÁCIA INDIANA LJ 178 (10077)</v>
      </c>
      <c r="S1539" t="s">
        <v>70</v>
      </c>
      <c r="T1539">
        <v>21835</v>
      </c>
      <c r="U1539">
        <v>21169</v>
      </c>
      <c r="V1539" t="s">
        <v>77</v>
      </c>
    </row>
    <row r="1540" spans="1:22">
      <c r="A1540" t="str">
        <f t="shared" si="260"/>
        <v>10/09/2025</v>
      </c>
      <c r="B1540" t="str">
        <f t="shared" si="261"/>
        <v>ENTRADA</v>
      </c>
      <c r="C1540" t="str">
        <f t="shared" si="262"/>
        <v>NFSE</v>
      </c>
      <c r="D1540" t="str">
        <f t="shared" si="256"/>
        <v>3314</v>
      </c>
      <c r="E1540" t="str">
        <f t="shared" si="263"/>
        <v>1</v>
      </c>
      <c r="F1540" t="str">
        <f t="shared" si="252"/>
        <v>COM</v>
      </c>
      <c r="G1540" t="str">
        <f t="shared" si="257"/>
        <v>FARMÁCIA INDIANA LJ 1 (10126)</v>
      </c>
      <c r="H1540" t="s">
        <v>475</v>
      </c>
      <c r="I1540" t="str">
        <f t="shared" si="264"/>
        <v>10/09/2025</v>
      </c>
      <c r="J1540" t="str">
        <f t="shared" si="265"/>
        <v>02/09/2025</v>
      </c>
      <c r="K1540">
        <v>45910</v>
      </c>
      <c r="N1540">
        <v>303</v>
      </c>
      <c r="O1540" t="s">
        <v>69</v>
      </c>
      <c r="Q1540">
        <v>416.9</v>
      </c>
      <c r="R1540" t="str">
        <f>"FARMÁCIA INDIANA LJ 182 (10079)"</f>
        <v>FARMÁCIA INDIANA LJ 182 (10079)</v>
      </c>
      <c r="S1540" t="s">
        <v>70</v>
      </c>
      <c r="T1540">
        <v>21835</v>
      </c>
      <c r="U1540">
        <v>21169</v>
      </c>
      <c r="V1540" t="s">
        <v>77</v>
      </c>
    </row>
    <row r="1541" spans="1:22">
      <c r="A1541" t="str">
        <f t="shared" si="260"/>
        <v>10/09/2025</v>
      </c>
      <c r="B1541" t="str">
        <f t="shared" si="261"/>
        <v>ENTRADA</v>
      </c>
      <c r="C1541" t="str">
        <f t="shared" si="262"/>
        <v>NFSE</v>
      </c>
      <c r="D1541" t="str">
        <f t="shared" si="256"/>
        <v>3314</v>
      </c>
      <c r="E1541" t="str">
        <f t="shared" si="263"/>
        <v>1</v>
      </c>
      <c r="F1541" t="str">
        <f t="shared" si="252"/>
        <v>COM</v>
      </c>
      <c r="G1541" t="str">
        <f t="shared" si="257"/>
        <v>FARMÁCIA INDIANA LJ 1 (10126)</v>
      </c>
      <c r="H1541" t="s">
        <v>475</v>
      </c>
      <c r="I1541" t="str">
        <f t="shared" si="264"/>
        <v>10/09/2025</v>
      </c>
      <c r="J1541" t="str">
        <f t="shared" si="265"/>
        <v>02/09/2025</v>
      </c>
      <c r="K1541">
        <v>45910</v>
      </c>
      <c r="N1541">
        <v>303</v>
      </c>
      <c r="O1541" t="s">
        <v>69</v>
      </c>
      <c r="Q1541">
        <v>360.56</v>
      </c>
      <c r="R1541" t="str">
        <f>"FARMÁCIA INDIANA LJ 184 (10080)"</f>
        <v>FARMÁCIA INDIANA LJ 184 (10080)</v>
      </c>
      <c r="S1541" t="s">
        <v>70</v>
      </c>
      <c r="T1541">
        <v>21835</v>
      </c>
      <c r="U1541">
        <v>21169</v>
      </c>
      <c r="V1541" t="s">
        <v>77</v>
      </c>
    </row>
    <row r="1542" spans="1:22">
      <c r="A1542" t="str">
        <f t="shared" si="260"/>
        <v>10/09/2025</v>
      </c>
      <c r="B1542" t="str">
        <f t="shared" si="261"/>
        <v>ENTRADA</v>
      </c>
      <c r="C1542" t="str">
        <f t="shared" si="262"/>
        <v>NFSE</v>
      </c>
      <c r="D1542" t="str">
        <f t="shared" si="256"/>
        <v>3314</v>
      </c>
      <c r="E1542" t="str">
        <f t="shared" si="263"/>
        <v>1</v>
      </c>
      <c r="F1542" t="str">
        <f t="shared" si="252"/>
        <v>COM</v>
      </c>
      <c r="G1542" t="str">
        <f t="shared" si="257"/>
        <v>FARMÁCIA INDIANA LJ 1 (10126)</v>
      </c>
      <c r="H1542" t="s">
        <v>475</v>
      </c>
      <c r="I1542" t="str">
        <f t="shared" si="264"/>
        <v>10/09/2025</v>
      </c>
      <c r="J1542" t="str">
        <f t="shared" si="265"/>
        <v>02/09/2025</v>
      </c>
      <c r="K1542">
        <v>45910</v>
      </c>
      <c r="N1542">
        <v>303</v>
      </c>
      <c r="O1542" t="s">
        <v>69</v>
      </c>
      <c r="Q1542">
        <v>416.9</v>
      </c>
      <c r="R1542" t="str">
        <f>"FARMÁCIA INDIANA LJ 186 (10081)"</f>
        <v>FARMÁCIA INDIANA LJ 186 (10081)</v>
      </c>
      <c r="S1542" t="s">
        <v>70</v>
      </c>
      <c r="T1542">
        <v>21835</v>
      </c>
      <c r="U1542">
        <v>21169</v>
      </c>
      <c r="V1542" t="s">
        <v>77</v>
      </c>
    </row>
    <row r="1543" spans="1:22">
      <c r="A1543" t="str">
        <f t="shared" si="260"/>
        <v>10/09/2025</v>
      </c>
      <c r="B1543" t="str">
        <f t="shared" si="261"/>
        <v>ENTRADA</v>
      </c>
      <c r="C1543" t="str">
        <f t="shared" si="262"/>
        <v>NFSE</v>
      </c>
      <c r="D1543" t="str">
        <f t="shared" si="256"/>
        <v>3314</v>
      </c>
      <c r="E1543" t="str">
        <f t="shared" si="263"/>
        <v>1</v>
      </c>
      <c r="F1543" t="str">
        <f t="shared" si="252"/>
        <v>COM</v>
      </c>
      <c r="G1543" t="str">
        <f t="shared" si="257"/>
        <v>FARMÁCIA INDIANA LJ 1 (10126)</v>
      </c>
      <c r="H1543" t="s">
        <v>475</v>
      </c>
      <c r="I1543" t="str">
        <f t="shared" si="264"/>
        <v>10/09/2025</v>
      </c>
      <c r="J1543" t="str">
        <f t="shared" si="265"/>
        <v>02/09/2025</v>
      </c>
      <c r="K1543">
        <v>45910</v>
      </c>
      <c r="N1543">
        <v>303</v>
      </c>
      <c r="O1543" t="s">
        <v>69</v>
      </c>
      <c r="Q1543">
        <v>608.45000000000005</v>
      </c>
      <c r="R1543" t="str">
        <f>"FARMÁCIA INDIANA LJ 192 (10082)"</f>
        <v>FARMÁCIA INDIANA LJ 192 (10082)</v>
      </c>
      <c r="S1543" t="s">
        <v>70</v>
      </c>
      <c r="T1543">
        <v>21835</v>
      </c>
      <c r="U1543">
        <v>21169</v>
      </c>
      <c r="V1543" t="s">
        <v>77</v>
      </c>
    </row>
    <row r="1544" spans="1:22">
      <c r="A1544" t="str">
        <f t="shared" si="260"/>
        <v>10/09/2025</v>
      </c>
      <c r="B1544" t="str">
        <f t="shared" si="261"/>
        <v>ENTRADA</v>
      </c>
      <c r="C1544" t="str">
        <f t="shared" si="262"/>
        <v>NFSE</v>
      </c>
      <c r="D1544" t="str">
        <f t="shared" si="256"/>
        <v>3314</v>
      </c>
      <c r="E1544" t="str">
        <f t="shared" si="263"/>
        <v>1</v>
      </c>
      <c r="F1544" t="str">
        <f t="shared" si="252"/>
        <v>COM</v>
      </c>
      <c r="G1544" t="str">
        <f t="shared" si="257"/>
        <v>FARMÁCIA INDIANA LJ 1 (10126)</v>
      </c>
      <c r="H1544" t="s">
        <v>475</v>
      </c>
      <c r="I1544" t="str">
        <f t="shared" si="264"/>
        <v>10/09/2025</v>
      </c>
      <c r="J1544" t="str">
        <f t="shared" si="265"/>
        <v>02/09/2025</v>
      </c>
      <c r="K1544">
        <v>45910</v>
      </c>
      <c r="N1544">
        <v>303</v>
      </c>
      <c r="O1544" t="s">
        <v>69</v>
      </c>
      <c r="Q1544">
        <v>360.56</v>
      </c>
      <c r="R1544" t="str">
        <f>"FARMÁCIA INDIANA LJ 195 (10083)"</f>
        <v>FARMÁCIA INDIANA LJ 195 (10083)</v>
      </c>
      <c r="S1544" t="s">
        <v>70</v>
      </c>
      <c r="T1544">
        <v>21835</v>
      </c>
      <c r="U1544">
        <v>21169</v>
      </c>
      <c r="V1544" t="s">
        <v>77</v>
      </c>
    </row>
    <row r="1545" spans="1:22">
      <c r="A1545" t="str">
        <f t="shared" si="260"/>
        <v>10/09/2025</v>
      </c>
      <c r="B1545" t="str">
        <f t="shared" si="261"/>
        <v>ENTRADA</v>
      </c>
      <c r="C1545" t="str">
        <f t="shared" si="262"/>
        <v>NFSE</v>
      </c>
      <c r="D1545" t="str">
        <f t="shared" si="256"/>
        <v>3314</v>
      </c>
      <c r="E1545" t="str">
        <f t="shared" si="263"/>
        <v>1</v>
      </c>
      <c r="F1545" t="str">
        <f t="shared" si="252"/>
        <v>COM</v>
      </c>
      <c r="G1545" t="str">
        <f t="shared" si="257"/>
        <v>FARMÁCIA INDIANA LJ 1 (10126)</v>
      </c>
      <c r="H1545" t="s">
        <v>475</v>
      </c>
      <c r="I1545" t="str">
        <f t="shared" si="264"/>
        <v>10/09/2025</v>
      </c>
      <c r="J1545" t="str">
        <f t="shared" si="265"/>
        <v>02/09/2025</v>
      </c>
      <c r="K1545">
        <v>45910</v>
      </c>
      <c r="N1545">
        <v>303</v>
      </c>
      <c r="O1545" t="s">
        <v>69</v>
      </c>
      <c r="Q1545">
        <v>833.8</v>
      </c>
      <c r="R1545" t="str">
        <f>"FARMÁCIA INDIANA LJ 202 (10085)"</f>
        <v>FARMÁCIA INDIANA LJ 202 (10085)</v>
      </c>
      <c r="S1545" t="s">
        <v>70</v>
      </c>
      <c r="T1545">
        <v>21835</v>
      </c>
      <c r="U1545">
        <v>21169</v>
      </c>
      <c r="V1545" t="s">
        <v>77</v>
      </c>
    </row>
    <row r="1546" spans="1:22">
      <c r="A1546" t="str">
        <f t="shared" si="260"/>
        <v>10/09/2025</v>
      </c>
      <c r="B1546" t="str">
        <f t="shared" si="261"/>
        <v>ENTRADA</v>
      </c>
      <c r="C1546" t="str">
        <f t="shared" si="262"/>
        <v>NFSE</v>
      </c>
      <c r="D1546" t="str">
        <f t="shared" si="256"/>
        <v>3314</v>
      </c>
      <c r="E1546" t="str">
        <f t="shared" si="263"/>
        <v>1</v>
      </c>
      <c r="F1546" t="str">
        <f t="shared" si="252"/>
        <v>COM</v>
      </c>
      <c r="G1546" t="str">
        <f t="shared" si="257"/>
        <v>FARMÁCIA INDIANA LJ 1 (10126)</v>
      </c>
      <c r="H1546" t="s">
        <v>475</v>
      </c>
      <c r="I1546" t="str">
        <f t="shared" si="264"/>
        <v>10/09/2025</v>
      </c>
      <c r="J1546" t="str">
        <f t="shared" si="265"/>
        <v>02/09/2025</v>
      </c>
      <c r="K1546">
        <v>45910</v>
      </c>
      <c r="N1546">
        <v>303</v>
      </c>
      <c r="O1546" t="s">
        <v>69</v>
      </c>
      <c r="Q1546">
        <v>721.12</v>
      </c>
      <c r="R1546" t="str">
        <f>"FARMÁCIA INDIANA LJ 204 (10087)"</f>
        <v>FARMÁCIA INDIANA LJ 204 (10087)</v>
      </c>
      <c r="S1546" t="s">
        <v>70</v>
      </c>
      <c r="T1546">
        <v>21835</v>
      </c>
      <c r="U1546">
        <v>21169</v>
      </c>
      <c r="V1546" t="s">
        <v>77</v>
      </c>
    </row>
    <row r="1547" spans="1:22">
      <c r="A1547" t="str">
        <f t="shared" si="260"/>
        <v>10/09/2025</v>
      </c>
      <c r="B1547" t="str">
        <f t="shared" si="261"/>
        <v>ENTRADA</v>
      </c>
      <c r="C1547" t="str">
        <f t="shared" si="262"/>
        <v>NFSE</v>
      </c>
      <c r="D1547" t="str">
        <f t="shared" si="256"/>
        <v>3314</v>
      </c>
      <c r="E1547" t="str">
        <f t="shared" si="263"/>
        <v>1</v>
      </c>
      <c r="F1547" t="str">
        <f t="shared" si="252"/>
        <v>COM</v>
      </c>
      <c r="G1547" t="str">
        <f t="shared" si="257"/>
        <v>FARMÁCIA INDIANA LJ 1 (10126)</v>
      </c>
      <c r="H1547" t="s">
        <v>475</v>
      </c>
      <c r="I1547" t="str">
        <f t="shared" si="264"/>
        <v>10/09/2025</v>
      </c>
      <c r="J1547" t="str">
        <f t="shared" si="265"/>
        <v>02/09/2025</v>
      </c>
      <c r="K1547">
        <v>45910</v>
      </c>
      <c r="N1547">
        <v>303</v>
      </c>
      <c r="O1547" t="s">
        <v>69</v>
      </c>
      <c r="Q1547">
        <v>957.74</v>
      </c>
      <c r="R1547" t="str">
        <f>"FARMÁCIA INDIANA LJ 207 (10088)"</f>
        <v>FARMÁCIA INDIANA LJ 207 (10088)</v>
      </c>
      <c r="S1547" t="s">
        <v>70</v>
      </c>
      <c r="T1547">
        <v>21835</v>
      </c>
      <c r="U1547">
        <v>21169</v>
      </c>
      <c r="V1547" t="s">
        <v>77</v>
      </c>
    </row>
    <row r="1548" spans="1:22">
      <c r="A1548" t="str">
        <f t="shared" si="260"/>
        <v>10/09/2025</v>
      </c>
      <c r="B1548" t="str">
        <f t="shared" si="261"/>
        <v>ENTRADA</v>
      </c>
      <c r="C1548" t="str">
        <f t="shared" si="262"/>
        <v>NFSE</v>
      </c>
      <c r="D1548" t="str">
        <f t="shared" si="256"/>
        <v>3314</v>
      </c>
      <c r="E1548" t="str">
        <f t="shared" si="263"/>
        <v>1</v>
      </c>
      <c r="F1548" t="str">
        <f t="shared" si="252"/>
        <v>COM</v>
      </c>
      <c r="G1548" t="str">
        <f t="shared" si="257"/>
        <v>FARMÁCIA INDIANA LJ 1 (10126)</v>
      </c>
      <c r="H1548" t="s">
        <v>475</v>
      </c>
      <c r="I1548" t="str">
        <f t="shared" si="264"/>
        <v>10/09/2025</v>
      </c>
      <c r="J1548" t="str">
        <f t="shared" si="265"/>
        <v>02/09/2025</v>
      </c>
      <c r="K1548">
        <v>45910</v>
      </c>
      <c r="N1548">
        <v>303</v>
      </c>
      <c r="O1548" t="s">
        <v>69</v>
      </c>
      <c r="Q1548">
        <v>1126.75</v>
      </c>
      <c r="R1548" t="str">
        <f>"FARMÁCIA INDIANA LJ 209 (10089)"</f>
        <v>FARMÁCIA INDIANA LJ 209 (10089)</v>
      </c>
      <c r="S1548" t="s">
        <v>70</v>
      </c>
      <c r="T1548">
        <v>21835</v>
      </c>
      <c r="U1548">
        <v>21169</v>
      </c>
      <c r="V1548" t="s">
        <v>77</v>
      </c>
    </row>
    <row r="1549" spans="1:22">
      <c r="A1549" t="str">
        <f t="shared" si="260"/>
        <v>10/09/2025</v>
      </c>
      <c r="B1549" t="str">
        <f t="shared" si="261"/>
        <v>ENTRADA</v>
      </c>
      <c r="C1549" t="str">
        <f t="shared" si="262"/>
        <v>NFSE</v>
      </c>
      <c r="D1549" t="str">
        <f t="shared" si="256"/>
        <v>3314</v>
      </c>
      <c r="E1549" t="str">
        <f t="shared" si="263"/>
        <v>1</v>
      </c>
      <c r="F1549" t="str">
        <f t="shared" si="252"/>
        <v>COM</v>
      </c>
      <c r="G1549" t="str">
        <f t="shared" si="257"/>
        <v>FARMÁCIA INDIANA LJ 1 (10126)</v>
      </c>
      <c r="H1549" t="s">
        <v>475</v>
      </c>
      <c r="I1549" t="str">
        <f t="shared" si="264"/>
        <v>10/09/2025</v>
      </c>
      <c r="J1549" t="str">
        <f t="shared" si="265"/>
        <v>02/09/2025</v>
      </c>
      <c r="K1549">
        <v>45910</v>
      </c>
      <c r="N1549">
        <v>303</v>
      </c>
      <c r="O1549" t="s">
        <v>69</v>
      </c>
      <c r="Q1549">
        <v>912.67</v>
      </c>
      <c r="R1549" t="str">
        <f>"FARMÁCIA INDIANA LJ 219 (10091)"</f>
        <v>FARMÁCIA INDIANA LJ 219 (10091)</v>
      </c>
      <c r="S1549" t="s">
        <v>70</v>
      </c>
      <c r="T1549">
        <v>21835</v>
      </c>
      <c r="U1549">
        <v>21169</v>
      </c>
      <c r="V1549" t="s">
        <v>77</v>
      </c>
    </row>
    <row r="1550" spans="1:22">
      <c r="A1550" t="str">
        <f t="shared" si="260"/>
        <v>10/09/2025</v>
      </c>
      <c r="B1550" t="str">
        <f t="shared" si="261"/>
        <v>ENTRADA</v>
      </c>
      <c r="C1550" t="str">
        <f t="shared" si="262"/>
        <v>NFSE</v>
      </c>
      <c r="D1550" t="str">
        <f t="shared" si="256"/>
        <v>3314</v>
      </c>
      <c r="E1550" t="str">
        <f t="shared" si="263"/>
        <v>1</v>
      </c>
      <c r="F1550" t="str">
        <f t="shared" si="252"/>
        <v>COM</v>
      </c>
      <c r="G1550" t="str">
        <f t="shared" si="257"/>
        <v>FARMÁCIA INDIANA LJ 1 (10126)</v>
      </c>
      <c r="H1550" t="s">
        <v>475</v>
      </c>
      <c r="I1550" t="str">
        <f t="shared" si="264"/>
        <v>10/09/2025</v>
      </c>
      <c r="J1550" t="str">
        <f t="shared" si="265"/>
        <v>02/09/2025</v>
      </c>
      <c r="K1550">
        <v>45910</v>
      </c>
      <c r="N1550">
        <v>303</v>
      </c>
      <c r="O1550" t="s">
        <v>69</v>
      </c>
      <c r="Q1550">
        <v>1329.57</v>
      </c>
      <c r="R1550" t="str">
        <f>"FARMÁCIA INDIANA LJ 220 (10092)"</f>
        <v>FARMÁCIA INDIANA LJ 220 (10092)</v>
      </c>
      <c r="S1550" t="s">
        <v>70</v>
      </c>
      <c r="T1550">
        <v>21835</v>
      </c>
      <c r="U1550">
        <v>21169</v>
      </c>
      <c r="V1550" t="s">
        <v>77</v>
      </c>
    </row>
    <row r="1551" spans="1:22">
      <c r="A1551" t="str">
        <f t="shared" si="260"/>
        <v>10/09/2025</v>
      </c>
      <c r="B1551" t="str">
        <f t="shared" si="261"/>
        <v>ENTRADA</v>
      </c>
      <c r="C1551" t="str">
        <f t="shared" si="262"/>
        <v>NFSE</v>
      </c>
      <c r="D1551" t="str">
        <f t="shared" si="256"/>
        <v>3314</v>
      </c>
      <c r="E1551" t="str">
        <f t="shared" si="263"/>
        <v>1</v>
      </c>
      <c r="F1551" t="str">
        <f t="shared" si="252"/>
        <v>COM</v>
      </c>
      <c r="G1551" t="str">
        <f t="shared" si="257"/>
        <v>FARMÁCIA INDIANA LJ 1 (10126)</v>
      </c>
      <c r="H1551" t="s">
        <v>475</v>
      </c>
      <c r="I1551" t="str">
        <f t="shared" si="264"/>
        <v>10/09/2025</v>
      </c>
      <c r="J1551" t="str">
        <f t="shared" si="265"/>
        <v>02/09/2025</v>
      </c>
      <c r="K1551">
        <v>45910</v>
      </c>
      <c r="N1551">
        <v>303</v>
      </c>
      <c r="O1551" t="s">
        <v>69</v>
      </c>
      <c r="Q1551">
        <v>957.74</v>
      </c>
      <c r="R1551" t="str">
        <f>"FARMÁCIA INDIANA LJ 185 (10141)"</f>
        <v>FARMÁCIA INDIANA LJ 185 (10141)</v>
      </c>
      <c r="S1551" t="s">
        <v>70</v>
      </c>
      <c r="T1551">
        <v>21835</v>
      </c>
      <c r="U1551">
        <v>21169</v>
      </c>
      <c r="V1551" t="s">
        <v>77</v>
      </c>
    </row>
    <row r="1552" spans="1:22">
      <c r="A1552" t="str">
        <f t="shared" si="260"/>
        <v>10/09/2025</v>
      </c>
      <c r="B1552" t="str">
        <f t="shared" si="261"/>
        <v>ENTRADA</v>
      </c>
      <c r="C1552" t="str">
        <f t="shared" si="262"/>
        <v>NFSE</v>
      </c>
      <c r="D1552" t="str">
        <f t="shared" si="256"/>
        <v>3314</v>
      </c>
      <c r="E1552" t="str">
        <f t="shared" si="263"/>
        <v>1</v>
      </c>
      <c r="F1552" t="str">
        <f t="shared" si="252"/>
        <v>COM</v>
      </c>
      <c r="G1552" t="str">
        <f t="shared" si="257"/>
        <v>FARMÁCIA INDIANA LJ 1 (10126)</v>
      </c>
      <c r="H1552" t="s">
        <v>475</v>
      </c>
      <c r="I1552" t="str">
        <f t="shared" si="264"/>
        <v>10/09/2025</v>
      </c>
      <c r="J1552" t="str">
        <f t="shared" si="265"/>
        <v>02/09/2025</v>
      </c>
      <c r="K1552">
        <v>45910</v>
      </c>
      <c r="N1552">
        <v>303</v>
      </c>
      <c r="O1552" t="s">
        <v>69</v>
      </c>
      <c r="Q1552">
        <v>957.74</v>
      </c>
      <c r="R1552" t="str">
        <f>"FARMÁCIA INDIANA LJ 205 (10150)"</f>
        <v>FARMÁCIA INDIANA LJ 205 (10150)</v>
      </c>
      <c r="S1552" t="s">
        <v>70</v>
      </c>
      <c r="T1552">
        <v>21835</v>
      </c>
      <c r="U1552">
        <v>21169</v>
      </c>
      <c r="V1552" t="s">
        <v>77</v>
      </c>
    </row>
    <row r="1553" spans="1:22">
      <c r="A1553" t="str">
        <f t="shared" si="260"/>
        <v>10/09/2025</v>
      </c>
      <c r="B1553" t="str">
        <f t="shared" si="261"/>
        <v>ENTRADA</v>
      </c>
      <c r="C1553" t="str">
        <f t="shared" si="262"/>
        <v>NFSE</v>
      </c>
      <c r="D1553" t="str">
        <f t="shared" si="256"/>
        <v>3314</v>
      </c>
      <c r="E1553" t="str">
        <f t="shared" si="263"/>
        <v>1</v>
      </c>
      <c r="F1553" t="str">
        <f t="shared" si="252"/>
        <v>COM</v>
      </c>
      <c r="G1553" t="str">
        <f t="shared" si="257"/>
        <v>FARMÁCIA INDIANA LJ 1 (10126)</v>
      </c>
      <c r="H1553" t="s">
        <v>475</v>
      </c>
      <c r="I1553" t="str">
        <f t="shared" si="264"/>
        <v>10/09/2025</v>
      </c>
      <c r="J1553" t="str">
        <f t="shared" si="265"/>
        <v>02/09/2025</v>
      </c>
      <c r="K1553">
        <v>45910</v>
      </c>
      <c r="N1553">
        <v>303</v>
      </c>
      <c r="O1553" t="s">
        <v>69</v>
      </c>
      <c r="Q1553">
        <v>5554.9</v>
      </c>
      <c r="R1553" t="str">
        <f>"FARMÁCIA INDIANA LJ 172 (10161)"</f>
        <v>FARMÁCIA INDIANA LJ 172 (10161)</v>
      </c>
      <c r="S1553" t="s">
        <v>70</v>
      </c>
      <c r="T1553">
        <v>21835</v>
      </c>
      <c r="U1553">
        <v>21169</v>
      </c>
      <c r="V1553" t="s">
        <v>77</v>
      </c>
    </row>
    <row r="1554" spans="1:22">
      <c r="A1554" t="str">
        <f t="shared" si="260"/>
        <v>10/09/2025</v>
      </c>
      <c r="B1554" t="str">
        <f t="shared" si="261"/>
        <v>ENTRADA</v>
      </c>
      <c r="C1554" t="str">
        <f t="shared" si="262"/>
        <v>NFSE</v>
      </c>
      <c r="D1554" t="str">
        <f t="shared" si="256"/>
        <v>3314</v>
      </c>
      <c r="E1554" t="str">
        <f t="shared" si="263"/>
        <v>1</v>
      </c>
      <c r="F1554" t="str">
        <f t="shared" si="252"/>
        <v>COM</v>
      </c>
      <c r="G1554" t="str">
        <f t="shared" si="257"/>
        <v>FARMÁCIA INDIANA LJ 1 (10126)</v>
      </c>
      <c r="H1554" t="s">
        <v>475</v>
      </c>
      <c r="I1554" t="str">
        <f t="shared" si="264"/>
        <v>10/09/2025</v>
      </c>
      <c r="J1554" t="str">
        <f t="shared" si="265"/>
        <v>02/09/2025</v>
      </c>
      <c r="K1554">
        <v>45910</v>
      </c>
      <c r="N1554">
        <v>303</v>
      </c>
      <c r="O1554" t="s">
        <v>69</v>
      </c>
      <c r="Q1554">
        <v>709.86</v>
      </c>
      <c r="R1554" t="str">
        <f>"FARMÁCIA INDIANA LJ 266 (10186)"</f>
        <v>FARMÁCIA INDIANA LJ 266 (10186)</v>
      </c>
      <c r="S1554" t="s">
        <v>70</v>
      </c>
      <c r="T1554">
        <v>21835</v>
      </c>
      <c r="U1554">
        <v>21169</v>
      </c>
      <c r="V1554" t="s">
        <v>77</v>
      </c>
    </row>
    <row r="1555" spans="1:22">
      <c r="A1555" t="str">
        <f t="shared" si="260"/>
        <v>10/09/2025</v>
      </c>
      <c r="B1555" t="str">
        <f t="shared" si="261"/>
        <v>ENTRADA</v>
      </c>
      <c r="C1555" t="str">
        <f t="shared" si="262"/>
        <v>NFSE</v>
      </c>
      <c r="D1555" t="str">
        <f t="shared" ref="D1555:D1567" si="266">"3312"</f>
        <v>3312</v>
      </c>
      <c r="E1555" t="str">
        <f t="shared" si="263"/>
        <v>1</v>
      </c>
      <c r="F1555" t="str">
        <f t="shared" si="252"/>
        <v>COM</v>
      </c>
      <c r="G1555" t="str">
        <f t="shared" ref="G1555:G1567" si="267">"FARMÁCIA INDIANA LJ 30 (10127)"</f>
        <v>FARMÁCIA INDIANA LJ 30 (10127)</v>
      </c>
      <c r="H1555" t="str">
        <f>"Serv.Prest. 25/08/2025 a 31/08/2025 - RPS: 1188 - NFSe: 3312"</f>
        <v>Serv.Prest. 25/08/2025 a 31/08/2025 - RPS: 1188 - NFSe: 3312</v>
      </c>
      <c r="I1555" t="str">
        <f t="shared" si="264"/>
        <v>10/09/2025</v>
      </c>
      <c r="J1555" t="str">
        <f t="shared" si="265"/>
        <v>02/09/2025</v>
      </c>
      <c r="K1555" t="str">
        <f>("10/09/2025")</f>
        <v>10/09/2025</v>
      </c>
      <c r="L1555">
        <v>23935.86</v>
      </c>
      <c r="M1555">
        <v>23935.86</v>
      </c>
      <c r="N1555">
        <v>303</v>
      </c>
      <c r="O1555" t="str">
        <f>"RECEITAS COM ENTREGAS"</f>
        <v>RECEITAS COM ENTREGAS</v>
      </c>
      <c r="P1555">
        <v>23935.86</v>
      </c>
      <c r="S1555" t="str">
        <f>"RECEITAS COM ENTREGAS (303)"</f>
        <v>RECEITAS COM ENTREGAS (303)</v>
      </c>
      <c r="T1555">
        <v>21844</v>
      </c>
      <c r="U1555">
        <v>21133</v>
      </c>
      <c r="V1555" t="s">
        <v>77</v>
      </c>
    </row>
    <row r="1556" spans="1:22">
      <c r="A1556" t="str">
        <f t="shared" si="260"/>
        <v>10/09/2025</v>
      </c>
      <c r="B1556" t="str">
        <f t="shared" si="261"/>
        <v>ENTRADA</v>
      </c>
      <c r="C1556" t="str">
        <f t="shared" si="262"/>
        <v>NFSE</v>
      </c>
      <c r="D1556" t="str">
        <f t="shared" si="266"/>
        <v>3312</v>
      </c>
      <c r="E1556" t="str">
        <f t="shared" si="263"/>
        <v>1</v>
      </c>
      <c r="F1556" t="str">
        <f t="shared" si="252"/>
        <v>COM</v>
      </c>
      <c r="G1556" t="str">
        <f t="shared" si="267"/>
        <v>FARMÁCIA INDIANA LJ 30 (10127)</v>
      </c>
      <c r="H1556" t="s">
        <v>476</v>
      </c>
      <c r="I1556" t="str">
        <f t="shared" si="264"/>
        <v>10/09/2025</v>
      </c>
      <c r="J1556" t="str">
        <f t="shared" si="265"/>
        <v>02/09/2025</v>
      </c>
      <c r="K1556">
        <v>45910</v>
      </c>
      <c r="N1556">
        <v>303</v>
      </c>
      <c r="O1556" t="s">
        <v>69</v>
      </c>
      <c r="Q1556">
        <v>2587.4499999999998</v>
      </c>
      <c r="R1556" t="str">
        <f>"FARMÁCIA INDIANA LJ 34 (10014)"</f>
        <v>FARMÁCIA INDIANA LJ 34 (10014)</v>
      </c>
      <c r="S1556" t="s">
        <v>70</v>
      </c>
      <c r="T1556">
        <v>21844</v>
      </c>
      <c r="U1556">
        <v>21133</v>
      </c>
      <c r="V1556" t="s">
        <v>77</v>
      </c>
    </row>
    <row r="1557" spans="1:22">
      <c r="A1557" t="str">
        <f t="shared" si="260"/>
        <v>10/09/2025</v>
      </c>
      <c r="B1557" t="str">
        <f t="shared" si="261"/>
        <v>ENTRADA</v>
      </c>
      <c r="C1557" t="str">
        <f t="shared" si="262"/>
        <v>NFSE</v>
      </c>
      <c r="D1557" t="str">
        <f t="shared" si="266"/>
        <v>3312</v>
      </c>
      <c r="E1557" t="str">
        <f t="shared" si="263"/>
        <v>1</v>
      </c>
      <c r="F1557" t="str">
        <f t="shared" si="252"/>
        <v>COM</v>
      </c>
      <c r="G1557" t="str">
        <f t="shared" si="267"/>
        <v>FARMÁCIA INDIANA LJ 30 (10127)</v>
      </c>
      <c r="H1557" t="s">
        <v>476</v>
      </c>
      <c r="I1557" t="str">
        <f t="shared" si="264"/>
        <v>10/09/2025</v>
      </c>
      <c r="J1557" t="str">
        <f t="shared" si="265"/>
        <v>02/09/2025</v>
      </c>
      <c r="K1557">
        <v>45910</v>
      </c>
      <c r="N1557">
        <v>303</v>
      </c>
      <c r="O1557" t="s">
        <v>69</v>
      </c>
      <c r="Q1557">
        <v>1414.61</v>
      </c>
      <c r="R1557" t="str">
        <f>"FARMÁCIA INDIANA LJ 35 (10015)"</f>
        <v>FARMÁCIA INDIANA LJ 35 (10015)</v>
      </c>
      <c r="S1557" t="s">
        <v>70</v>
      </c>
      <c r="T1557">
        <v>21844</v>
      </c>
      <c r="U1557">
        <v>21133</v>
      </c>
      <c r="V1557" t="s">
        <v>77</v>
      </c>
    </row>
    <row r="1558" spans="1:22">
      <c r="A1558" t="str">
        <f t="shared" si="260"/>
        <v>10/09/2025</v>
      </c>
      <c r="B1558" t="str">
        <f t="shared" si="261"/>
        <v>ENTRADA</v>
      </c>
      <c r="C1558" t="str">
        <f t="shared" si="262"/>
        <v>NFSE</v>
      </c>
      <c r="D1558" t="str">
        <f t="shared" si="266"/>
        <v>3312</v>
      </c>
      <c r="E1558" t="str">
        <f t="shared" si="263"/>
        <v>1</v>
      </c>
      <c r="F1558" t="str">
        <f t="shared" si="252"/>
        <v>COM</v>
      </c>
      <c r="G1558" t="str">
        <f t="shared" si="267"/>
        <v>FARMÁCIA INDIANA LJ 30 (10127)</v>
      </c>
      <c r="H1558" t="s">
        <v>476</v>
      </c>
      <c r="I1558" t="str">
        <f t="shared" si="264"/>
        <v>10/09/2025</v>
      </c>
      <c r="J1558" t="str">
        <f t="shared" si="265"/>
        <v>02/09/2025</v>
      </c>
      <c r="K1558">
        <v>45910</v>
      </c>
      <c r="N1558">
        <v>303</v>
      </c>
      <c r="O1558" t="s">
        <v>69</v>
      </c>
      <c r="Q1558">
        <v>2817.25</v>
      </c>
      <c r="R1558" t="str">
        <f>"FARMÁCIA INDIANA LJ 48 (10018)"</f>
        <v>FARMÁCIA INDIANA LJ 48 (10018)</v>
      </c>
      <c r="S1558" t="s">
        <v>70</v>
      </c>
      <c r="T1558">
        <v>21844</v>
      </c>
      <c r="U1558">
        <v>21133</v>
      </c>
      <c r="V1558" t="s">
        <v>77</v>
      </c>
    </row>
    <row r="1559" spans="1:22">
      <c r="A1559" t="str">
        <f t="shared" si="260"/>
        <v>10/09/2025</v>
      </c>
      <c r="B1559" t="str">
        <f t="shared" si="261"/>
        <v>ENTRADA</v>
      </c>
      <c r="C1559" t="str">
        <f t="shared" si="262"/>
        <v>NFSE</v>
      </c>
      <c r="D1559" t="str">
        <f t="shared" si="266"/>
        <v>3312</v>
      </c>
      <c r="E1559" t="str">
        <f t="shared" si="263"/>
        <v>1</v>
      </c>
      <c r="F1559" t="str">
        <f t="shared" si="252"/>
        <v>COM</v>
      </c>
      <c r="G1559" t="str">
        <f t="shared" si="267"/>
        <v>FARMÁCIA INDIANA LJ 30 (10127)</v>
      </c>
      <c r="H1559" t="s">
        <v>476</v>
      </c>
      <c r="I1559" t="str">
        <f t="shared" si="264"/>
        <v>10/09/2025</v>
      </c>
      <c r="J1559" t="str">
        <f t="shared" si="265"/>
        <v>02/09/2025</v>
      </c>
      <c r="K1559">
        <v>45910</v>
      </c>
      <c r="N1559">
        <v>303</v>
      </c>
      <c r="O1559" t="s">
        <v>69</v>
      </c>
      <c r="Q1559">
        <v>3068.58</v>
      </c>
      <c r="R1559" t="str">
        <f>"FARMÁCIA INDIANA LJ 65 (10030)"</f>
        <v>FARMÁCIA INDIANA LJ 65 (10030)</v>
      </c>
      <c r="S1559" t="s">
        <v>70</v>
      </c>
      <c r="T1559">
        <v>21844</v>
      </c>
      <c r="U1559">
        <v>21133</v>
      </c>
      <c r="V1559" t="s">
        <v>77</v>
      </c>
    </row>
    <row r="1560" spans="1:22">
      <c r="A1560" t="str">
        <f t="shared" si="260"/>
        <v>10/09/2025</v>
      </c>
      <c r="B1560" t="str">
        <f t="shared" si="261"/>
        <v>ENTRADA</v>
      </c>
      <c r="C1560" t="str">
        <f t="shared" si="262"/>
        <v>NFSE</v>
      </c>
      <c r="D1560" t="str">
        <f t="shared" si="266"/>
        <v>3312</v>
      </c>
      <c r="E1560" t="str">
        <f t="shared" si="263"/>
        <v>1</v>
      </c>
      <c r="F1560" t="str">
        <f t="shared" si="252"/>
        <v>COM</v>
      </c>
      <c r="G1560" t="str">
        <f t="shared" si="267"/>
        <v>FARMÁCIA INDIANA LJ 30 (10127)</v>
      </c>
      <c r="H1560" t="s">
        <v>476</v>
      </c>
      <c r="I1560" t="str">
        <f t="shared" si="264"/>
        <v>10/09/2025</v>
      </c>
      <c r="J1560" t="str">
        <f t="shared" si="265"/>
        <v>02/09/2025</v>
      </c>
      <c r="K1560">
        <v>45910</v>
      </c>
      <c r="N1560">
        <v>303</v>
      </c>
      <c r="O1560" t="s">
        <v>69</v>
      </c>
      <c r="Q1560">
        <v>720.47</v>
      </c>
      <c r="R1560" t="str">
        <f>"FARMÁCIA INDIANA LJ 77 (10034)"</f>
        <v>FARMÁCIA INDIANA LJ 77 (10034)</v>
      </c>
      <c r="S1560" t="s">
        <v>70</v>
      </c>
      <c r="T1560">
        <v>21844</v>
      </c>
      <c r="U1560">
        <v>21133</v>
      </c>
      <c r="V1560" t="s">
        <v>77</v>
      </c>
    </row>
    <row r="1561" spans="1:22">
      <c r="A1561" t="str">
        <f t="shared" si="260"/>
        <v>10/09/2025</v>
      </c>
      <c r="B1561" t="str">
        <f t="shared" si="261"/>
        <v>ENTRADA</v>
      </c>
      <c r="C1561" t="str">
        <f t="shared" si="262"/>
        <v>NFSE</v>
      </c>
      <c r="D1561" t="str">
        <f t="shared" si="266"/>
        <v>3312</v>
      </c>
      <c r="E1561" t="str">
        <f t="shared" si="263"/>
        <v>1</v>
      </c>
      <c r="F1561" t="str">
        <f t="shared" si="252"/>
        <v>COM</v>
      </c>
      <c r="G1561" t="str">
        <f t="shared" si="267"/>
        <v>FARMÁCIA INDIANA LJ 30 (10127)</v>
      </c>
      <c r="H1561" t="s">
        <v>476</v>
      </c>
      <c r="I1561" t="str">
        <f t="shared" si="264"/>
        <v>10/09/2025</v>
      </c>
      <c r="J1561" t="str">
        <f t="shared" si="265"/>
        <v>02/09/2025</v>
      </c>
      <c r="K1561">
        <v>45910</v>
      </c>
      <c r="N1561">
        <v>303</v>
      </c>
      <c r="O1561" t="s">
        <v>69</v>
      </c>
      <c r="Q1561">
        <v>4722.55</v>
      </c>
      <c r="R1561" t="str">
        <f>"FARMÁCIA INDIANA LJ 91 (10037)"</f>
        <v>FARMÁCIA INDIANA LJ 91 (10037)</v>
      </c>
      <c r="S1561" t="s">
        <v>70</v>
      </c>
      <c r="T1561">
        <v>21844</v>
      </c>
      <c r="U1561">
        <v>21133</v>
      </c>
      <c r="V1561" t="s">
        <v>77</v>
      </c>
    </row>
    <row r="1562" spans="1:22">
      <c r="A1562" t="str">
        <f t="shared" si="260"/>
        <v>10/09/2025</v>
      </c>
      <c r="B1562" t="str">
        <f t="shared" si="261"/>
        <v>ENTRADA</v>
      </c>
      <c r="C1562" t="str">
        <f t="shared" si="262"/>
        <v>NFSE</v>
      </c>
      <c r="D1562" t="str">
        <f t="shared" si="266"/>
        <v>3312</v>
      </c>
      <c r="E1562" t="str">
        <f t="shared" si="263"/>
        <v>1</v>
      </c>
      <c r="F1562" t="str">
        <f t="shared" si="252"/>
        <v>COM</v>
      </c>
      <c r="G1562" t="str">
        <f t="shared" si="267"/>
        <v>FARMÁCIA INDIANA LJ 30 (10127)</v>
      </c>
      <c r="H1562" t="s">
        <v>476</v>
      </c>
      <c r="I1562" t="str">
        <f t="shared" si="264"/>
        <v>10/09/2025</v>
      </c>
      <c r="J1562" t="str">
        <f t="shared" si="265"/>
        <v>02/09/2025</v>
      </c>
      <c r="K1562">
        <v>45910</v>
      </c>
      <c r="N1562">
        <v>303</v>
      </c>
      <c r="O1562" t="s">
        <v>69</v>
      </c>
      <c r="Q1562">
        <v>1668.33</v>
      </c>
      <c r="R1562" t="str">
        <f>"FARMÁCIA INDIANA LJ 95 (10039)"</f>
        <v>FARMÁCIA INDIANA LJ 95 (10039)</v>
      </c>
      <c r="S1562" t="s">
        <v>70</v>
      </c>
      <c r="T1562">
        <v>21844</v>
      </c>
      <c r="U1562">
        <v>21133</v>
      </c>
      <c r="V1562" t="s">
        <v>77</v>
      </c>
    </row>
    <row r="1563" spans="1:22">
      <c r="A1563" t="str">
        <f t="shared" si="260"/>
        <v>10/09/2025</v>
      </c>
      <c r="B1563" t="str">
        <f t="shared" si="261"/>
        <v>ENTRADA</v>
      </c>
      <c r="C1563" t="str">
        <f t="shared" si="262"/>
        <v>NFSE</v>
      </c>
      <c r="D1563" t="str">
        <f t="shared" si="266"/>
        <v>3312</v>
      </c>
      <c r="E1563" t="str">
        <f t="shared" si="263"/>
        <v>1</v>
      </c>
      <c r="F1563" t="str">
        <f t="shared" si="252"/>
        <v>COM</v>
      </c>
      <c r="G1563" t="str">
        <f t="shared" si="267"/>
        <v>FARMÁCIA INDIANA LJ 30 (10127)</v>
      </c>
      <c r="H1563" t="s">
        <v>476</v>
      </c>
      <c r="I1563" t="str">
        <f t="shared" si="264"/>
        <v>10/09/2025</v>
      </c>
      <c r="J1563" t="str">
        <f t="shared" si="265"/>
        <v>02/09/2025</v>
      </c>
      <c r="K1563">
        <v>45910</v>
      </c>
      <c r="N1563">
        <v>303</v>
      </c>
      <c r="O1563" t="s">
        <v>69</v>
      </c>
      <c r="Q1563">
        <v>2527.63</v>
      </c>
      <c r="R1563" t="str">
        <f>"FARMÁCIA INDIANA LJ 145 (10068)"</f>
        <v>FARMÁCIA INDIANA LJ 145 (10068)</v>
      </c>
      <c r="S1563" t="s">
        <v>70</v>
      </c>
      <c r="T1563">
        <v>21844</v>
      </c>
      <c r="U1563">
        <v>21133</v>
      </c>
      <c r="V1563" t="s">
        <v>77</v>
      </c>
    </row>
    <row r="1564" spans="1:22">
      <c r="A1564" t="str">
        <f t="shared" si="260"/>
        <v>10/09/2025</v>
      </c>
      <c r="B1564" t="str">
        <f t="shared" si="261"/>
        <v>ENTRADA</v>
      </c>
      <c r="C1564" t="str">
        <f t="shared" si="262"/>
        <v>NFSE</v>
      </c>
      <c r="D1564" t="str">
        <f t="shared" si="266"/>
        <v>3312</v>
      </c>
      <c r="E1564" t="str">
        <f t="shared" si="263"/>
        <v>1</v>
      </c>
      <c r="F1564" t="str">
        <f t="shared" ref="F1564:F1627" si="268">"COM"</f>
        <v>COM</v>
      </c>
      <c r="G1564" t="str">
        <f t="shared" si="267"/>
        <v>FARMÁCIA INDIANA LJ 30 (10127)</v>
      </c>
      <c r="H1564" t="s">
        <v>476</v>
      </c>
      <c r="I1564" t="str">
        <f t="shared" si="264"/>
        <v>10/09/2025</v>
      </c>
      <c r="J1564" t="str">
        <f t="shared" si="265"/>
        <v>02/09/2025</v>
      </c>
      <c r="K1564">
        <v>45910</v>
      </c>
      <c r="N1564">
        <v>303</v>
      </c>
      <c r="O1564" t="s">
        <v>69</v>
      </c>
      <c r="Q1564">
        <v>691.75</v>
      </c>
      <c r="R1564" t="str">
        <f>"FARMÁCIA INDIANA LJ 169 (10073)"</f>
        <v>FARMÁCIA INDIANA LJ 169 (10073)</v>
      </c>
      <c r="S1564" t="s">
        <v>70</v>
      </c>
      <c r="T1564">
        <v>21844</v>
      </c>
      <c r="U1564">
        <v>21133</v>
      </c>
      <c r="V1564" t="s">
        <v>77</v>
      </c>
    </row>
    <row r="1565" spans="1:22">
      <c r="A1565" t="str">
        <f t="shared" si="260"/>
        <v>10/09/2025</v>
      </c>
      <c r="B1565" t="str">
        <f t="shared" si="261"/>
        <v>ENTRADA</v>
      </c>
      <c r="C1565" t="str">
        <f t="shared" si="262"/>
        <v>NFSE</v>
      </c>
      <c r="D1565" t="str">
        <f t="shared" si="266"/>
        <v>3312</v>
      </c>
      <c r="E1565" t="str">
        <f t="shared" si="263"/>
        <v>1</v>
      </c>
      <c r="F1565" t="str">
        <f t="shared" si="268"/>
        <v>COM</v>
      </c>
      <c r="G1565" t="str">
        <f t="shared" si="267"/>
        <v>FARMÁCIA INDIANA LJ 30 (10127)</v>
      </c>
      <c r="H1565" t="s">
        <v>476</v>
      </c>
      <c r="I1565" t="str">
        <f t="shared" si="264"/>
        <v>10/09/2025</v>
      </c>
      <c r="J1565" t="str">
        <f t="shared" si="265"/>
        <v>02/09/2025</v>
      </c>
      <c r="K1565">
        <v>45910</v>
      </c>
      <c r="N1565">
        <v>303</v>
      </c>
      <c r="O1565" t="s">
        <v>69</v>
      </c>
      <c r="Q1565">
        <v>1534.29</v>
      </c>
      <c r="R1565" t="str">
        <f>"FARMÁCIA INDIANA LJ 173 (10075)"</f>
        <v>FARMÁCIA INDIANA LJ 173 (10075)</v>
      </c>
      <c r="S1565" t="s">
        <v>70</v>
      </c>
      <c r="T1565">
        <v>21844</v>
      </c>
      <c r="U1565">
        <v>21133</v>
      </c>
      <c r="V1565" t="s">
        <v>77</v>
      </c>
    </row>
    <row r="1566" spans="1:22">
      <c r="A1566" t="str">
        <f t="shared" si="260"/>
        <v>10/09/2025</v>
      </c>
      <c r="B1566" t="str">
        <f t="shared" si="261"/>
        <v>ENTRADA</v>
      </c>
      <c r="C1566" t="str">
        <f t="shared" si="262"/>
        <v>NFSE</v>
      </c>
      <c r="D1566" t="str">
        <f t="shared" si="266"/>
        <v>3312</v>
      </c>
      <c r="E1566" t="str">
        <f t="shared" si="263"/>
        <v>1</v>
      </c>
      <c r="F1566" t="str">
        <f t="shared" si="268"/>
        <v>COM</v>
      </c>
      <c r="G1566" t="str">
        <f t="shared" si="267"/>
        <v>FARMÁCIA INDIANA LJ 30 (10127)</v>
      </c>
      <c r="H1566" t="s">
        <v>476</v>
      </c>
      <c r="I1566" t="str">
        <f t="shared" si="264"/>
        <v>10/09/2025</v>
      </c>
      <c r="J1566" t="str">
        <f t="shared" si="265"/>
        <v>02/09/2025</v>
      </c>
      <c r="K1566">
        <v>45910</v>
      </c>
      <c r="N1566">
        <v>303</v>
      </c>
      <c r="O1566" t="s">
        <v>69</v>
      </c>
      <c r="Q1566">
        <v>1141.74</v>
      </c>
      <c r="R1566" t="str">
        <f>"FARMÁCIA INDIANA LJ 200 (10155)"</f>
        <v>FARMÁCIA INDIANA LJ 200 (10155)</v>
      </c>
      <c r="S1566" t="s">
        <v>70</v>
      </c>
      <c r="T1566">
        <v>21844</v>
      </c>
      <c r="U1566">
        <v>21133</v>
      </c>
      <c r="V1566" t="s">
        <v>77</v>
      </c>
    </row>
    <row r="1567" spans="1:22">
      <c r="A1567" t="str">
        <f t="shared" si="260"/>
        <v>10/09/2025</v>
      </c>
      <c r="B1567" t="str">
        <f t="shared" si="261"/>
        <v>ENTRADA</v>
      </c>
      <c r="C1567" t="str">
        <f t="shared" si="262"/>
        <v>NFSE</v>
      </c>
      <c r="D1567" t="str">
        <f t="shared" si="266"/>
        <v>3312</v>
      </c>
      <c r="E1567" t="str">
        <f t="shared" si="263"/>
        <v>1</v>
      </c>
      <c r="F1567" t="str">
        <f t="shared" si="268"/>
        <v>COM</v>
      </c>
      <c r="G1567" t="str">
        <f t="shared" si="267"/>
        <v>FARMÁCIA INDIANA LJ 30 (10127)</v>
      </c>
      <c r="H1567" t="s">
        <v>476</v>
      </c>
      <c r="I1567" t="str">
        <f t="shared" si="264"/>
        <v>10/09/2025</v>
      </c>
      <c r="J1567" t="str">
        <f t="shared" si="265"/>
        <v>02/09/2025</v>
      </c>
      <c r="K1567">
        <v>45910</v>
      </c>
      <c r="N1567">
        <v>303</v>
      </c>
      <c r="O1567" t="s">
        <v>69</v>
      </c>
      <c r="Q1567">
        <v>1041.21</v>
      </c>
      <c r="R1567" t="str">
        <f>"FARMÁCIA INDIANA LJ 33 (10187)"</f>
        <v>FARMÁCIA INDIANA LJ 33 (10187)</v>
      </c>
      <c r="S1567" t="s">
        <v>70</v>
      </c>
      <c r="T1567">
        <v>21844</v>
      </c>
      <c r="U1567">
        <v>21133</v>
      </c>
      <c r="V1567" t="s">
        <v>77</v>
      </c>
    </row>
    <row r="1568" spans="1:22">
      <c r="A1568" t="str">
        <f t="shared" si="260"/>
        <v>10/09/2025</v>
      </c>
      <c r="B1568" t="str">
        <f t="shared" si="261"/>
        <v>ENTRADA</v>
      </c>
      <c r="C1568" t="str">
        <f t="shared" si="262"/>
        <v>NFSE</v>
      </c>
      <c r="D1568" t="str">
        <f t="shared" ref="D1568:D1577" si="269">"3313"</f>
        <v>3313</v>
      </c>
      <c r="E1568" t="str">
        <f t="shared" si="263"/>
        <v>1</v>
      </c>
      <c r="F1568" t="str">
        <f t="shared" si="268"/>
        <v>COM</v>
      </c>
      <c r="G1568" t="str">
        <f t="shared" ref="G1568:G1577" si="270">"FARMÁCIA INDIANA LJ 85 (10128)"</f>
        <v>FARMÁCIA INDIANA LJ 85 (10128)</v>
      </c>
      <c r="H1568" t="str">
        <f>"Serv.Prest. 25/08/2025 a 31/08/2025 - RPS: 1189 - NFSe: 3313"</f>
        <v>Serv.Prest. 25/08/2025 a 31/08/2025 - RPS: 1189 - NFSe: 3313</v>
      </c>
      <c r="I1568" t="str">
        <f t="shared" si="264"/>
        <v>10/09/2025</v>
      </c>
      <c r="J1568" t="str">
        <f t="shared" si="265"/>
        <v>02/09/2025</v>
      </c>
      <c r="K1568" t="str">
        <f>("10/09/2025")</f>
        <v>10/09/2025</v>
      </c>
      <c r="L1568">
        <v>9123.81</v>
      </c>
      <c r="M1568">
        <v>9123.81</v>
      </c>
      <c r="N1568">
        <v>303</v>
      </c>
      <c r="O1568" t="str">
        <f>"RECEITAS COM ENTREGAS"</f>
        <v>RECEITAS COM ENTREGAS</v>
      </c>
      <c r="P1568">
        <v>9123.81</v>
      </c>
      <c r="S1568" t="str">
        <f>"RECEITAS COM ENTREGAS (303)"</f>
        <v>RECEITAS COM ENTREGAS (303)</v>
      </c>
      <c r="T1568">
        <v>21845</v>
      </c>
      <c r="U1568">
        <v>21161</v>
      </c>
      <c r="V1568" t="s">
        <v>77</v>
      </c>
    </row>
    <row r="1569" spans="1:22">
      <c r="A1569" t="str">
        <f t="shared" si="260"/>
        <v>10/09/2025</v>
      </c>
      <c r="B1569" t="str">
        <f t="shared" ref="B1569:B1577" si="271">"ENTRADA"</f>
        <v>ENTRADA</v>
      </c>
      <c r="C1569" t="str">
        <f t="shared" ref="C1569:C1577" si="272">"NFSE"</f>
        <v>NFSE</v>
      </c>
      <c r="D1569" t="str">
        <f t="shared" si="269"/>
        <v>3313</v>
      </c>
      <c r="E1569" t="str">
        <f t="shared" ref="E1569:E1577" si="273">"1"</f>
        <v>1</v>
      </c>
      <c r="F1569" t="str">
        <f t="shared" si="268"/>
        <v>COM</v>
      </c>
      <c r="G1569" t="str">
        <f t="shared" si="270"/>
        <v>FARMÁCIA INDIANA LJ 85 (10128)</v>
      </c>
      <c r="H1569" t="s">
        <v>477</v>
      </c>
      <c r="I1569" t="str">
        <f t="shared" si="264"/>
        <v>10/09/2025</v>
      </c>
      <c r="J1569" t="str">
        <f t="shared" si="265"/>
        <v>02/09/2025</v>
      </c>
      <c r="K1569">
        <v>45910</v>
      </c>
      <c r="N1569">
        <v>303</v>
      </c>
      <c r="O1569" t="s">
        <v>69</v>
      </c>
      <c r="Q1569">
        <v>906.9</v>
      </c>
      <c r="R1569" t="str">
        <f>"FARMÁCIA INDIANA LJ 119 (10053)"</f>
        <v>FARMÁCIA INDIANA LJ 119 (10053)</v>
      </c>
      <c r="S1569" t="s">
        <v>70</v>
      </c>
      <c r="T1569">
        <v>21845</v>
      </c>
      <c r="U1569">
        <v>21161</v>
      </c>
      <c r="V1569" t="s">
        <v>77</v>
      </c>
    </row>
    <row r="1570" spans="1:22">
      <c r="A1570" t="str">
        <f t="shared" si="260"/>
        <v>10/09/2025</v>
      </c>
      <c r="B1570" t="str">
        <f t="shared" si="271"/>
        <v>ENTRADA</v>
      </c>
      <c r="C1570" t="str">
        <f t="shared" si="272"/>
        <v>NFSE</v>
      </c>
      <c r="D1570" t="str">
        <f t="shared" si="269"/>
        <v>3313</v>
      </c>
      <c r="E1570" t="str">
        <f t="shared" si="273"/>
        <v>1</v>
      </c>
      <c r="F1570" t="str">
        <f t="shared" si="268"/>
        <v>COM</v>
      </c>
      <c r="G1570" t="str">
        <f t="shared" si="270"/>
        <v>FARMÁCIA INDIANA LJ 85 (10128)</v>
      </c>
      <c r="H1570" t="s">
        <v>477</v>
      </c>
      <c r="I1570" t="str">
        <f t="shared" si="264"/>
        <v>10/09/2025</v>
      </c>
      <c r="J1570" t="str">
        <f t="shared" si="265"/>
        <v>02/09/2025</v>
      </c>
      <c r="K1570">
        <v>45910</v>
      </c>
      <c r="N1570">
        <v>303</v>
      </c>
      <c r="O1570" t="s">
        <v>69</v>
      </c>
      <c r="Q1570">
        <v>3023.63</v>
      </c>
      <c r="R1570" t="str">
        <f>"FARMÁCIA INDIANA LJ 163 (10072)"</f>
        <v>FARMÁCIA INDIANA LJ 163 (10072)</v>
      </c>
      <c r="S1570" t="s">
        <v>70</v>
      </c>
      <c r="T1570">
        <v>21845</v>
      </c>
      <c r="U1570">
        <v>21161</v>
      </c>
      <c r="V1570" t="s">
        <v>77</v>
      </c>
    </row>
    <row r="1571" spans="1:22">
      <c r="A1571" t="str">
        <f t="shared" si="260"/>
        <v>10/09/2025</v>
      </c>
      <c r="B1571" t="str">
        <f t="shared" si="271"/>
        <v>ENTRADA</v>
      </c>
      <c r="C1571" t="str">
        <f t="shared" si="272"/>
        <v>NFSE</v>
      </c>
      <c r="D1571" t="str">
        <f t="shared" si="269"/>
        <v>3313</v>
      </c>
      <c r="E1571" t="str">
        <f t="shared" si="273"/>
        <v>1</v>
      </c>
      <c r="F1571" t="str">
        <f t="shared" si="268"/>
        <v>COM</v>
      </c>
      <c r="G1571" t="str">
        <f t="shared" si="270"/>
        <v>FARMÁCIA INDIANA LJ 85 (10128)</v>
      </c>
      <c r="H1571" t="s">
        <v>477</v>
      </c>
      <c r="I1571" t="str">
        <f t="shared" ref="I1571:I1602" si="274">("10/09/2025")</f>
        <v>10/09/2025</v>
      </c>
      <c r="J1571" t="str">
        <f t="shared" ref="J1571:J1577" si="275">("02/09/2025")</f>
        <v>02/09/2025</v>
      </c>
      <c r="K1571">
        <v>45910</v>
      </c>
      <c r="N1571">
        <v>303</v>
      </c>
      <c r="O1571" t="s">
        <v>69</v>
      </c>
      <c r="Q1571">
        <v>1229.8900000000001</v>
      </c>
      <c r="R1571" t="str">
        <f>"FARMÁCIA INDIANA LJ 181 (10078)"</f>
        <v>FARMÁCIA INDIANA LJ 181 (10078)</v>
      </c>
      <c r="S1571" t="s">
        <v>70</v>
      </c>
      <c r="T1571">
        <v>21845</v>
      </c>
      <c r="U1571">
        <v>21161</v>
      </c>
      <c r="V1571" t="s">
        <v>77</v>
      </c>
    </row>
    <row r="1572" spans="1:22">
      <c r="A1572" t="str">
        <f t="shared" si="260"/>
        <v>10/09/2025</v>
      </c>
      <c r="B1572" t="str">
        <f t="shared" si="271"/>
        <v>ENTRADA</v>
      </c>
      <c r="C1572" t="str">
        <f t="shared" si="272"/>
        <v>NFSE</v>
      </c>
      <c r="D1572" t="str">
        <f t="shared" si="269"/>
        <v>3313</v>
      </c>
      <c r="E1572" t="str">
        <f t="shared" si="273"/>
        <v>1</v>
      </c>
      <c r="F1572" t="str">
        <f t="shared" si="268"/>
        <v>COM</v>
      </c>
      <c r="G1572" t="str">
        <f t="shared" si="270"/>
        <v>FARMÁCIA INDIANA LJ 85 (10128)</v>
      </c>
      <c r="H1572" t="s">
        <v>477</v>
      </c>
      <c r="I1572" t="str">
        <f t="shared" si="274"/>
        <v>10/09/2025</v>
      </c>
      <c r="J1572" t="str">
        <f t="shared" si="275"/>
        <v>02/09/2025</v>
      </c>
      <c r="K1572">
        <v>45910</v>
      </c>
      <c r="N1572">
        <v>303</v>
      </c>
      <c r="O1572" t="s">
        <v>69</v>
      </c>
      <c r="Q1572">
        <v>905.08</v>
      </c>
      <c r="R1572" t="str">
        <f>"FARMÁCIA INDIANA LJ 221 (10093)"</f>
        <v>FARMÁCIA INDIANA LJ 221 (10093)</v>
      </c>
      <c r="S1572" t="s">
        <v>70</v>
      </c>
      <c r="T1572">
        <v>21845</v>
      </c>
      <c r="U1572">
        <v>21161</v>
      </c>
      <c r="V1572" t="s">
        <v>77</v>
      </c>
    </row>
    <row r="1573" spans="1:22">
      <c r="A1573" t="str">
        <f t="shared" si="260"/>
        <v>10/09/2025</v>
      </c>
      <c r="B1573" t="str">
        <f t="shared" si="271"/>
        <v>ENTRADA</v>
      </c>
      <c r="C1573" t="str">
        <f t="shared" si="272"/>
        <v>NFSE</v>
      </c>
      <c r="D1573" t="str">
        <f t="shared" si="269"/>
        <v>3313</v>
      </c>
      <c r="E1573" t="str">
        <f t="shared" si="273"/>
        <v>1</v>
      </c>
      <c r="F1573" t="str">
        <f t="shared" si="268"/>
        <v>COM</v>
      </c>
      <c r="G1573" t="str">
        <f t="shared" si="270"/>
        <v>FARMÁCIA INDIANA LJ 85 (10128)</v>
      </c>
      <c r="H1573" t="s">
        <v>477</v>
      </c>
      <c r="I1573" t="str">
        <f t="shared" si="274"/>
        <v>10/09/2025</v>
      </c>
      <c r="J1573" t="str">
        <f t="shared" si="275"/>
        <v>02/09/2025</v>
      </c>
      <c r="K1573">
        <v>45910</v>
      </c>
      <c r="N1573">
        <v>303</v>
      </c>
      <c r="O1573" t="s">
        <v>69</v>
      </c>
      <c r="Q1573">
        <v>976.25</v>
      </c>
      <c r="R1573" t="str">
        <f>"FARMÁCIA INDIANA LJ 243 (10142)"</f>
        <v>FARMÁCIA INDIANA LJ 243 (10142)</v>
      </c>
      <c r="S1573" t="s">
        <v>70</v>
      </c>
      <c r="T1573">
        <v>21845</v>
      </c>
      <c r="U1573">
        <v>21161</v>
      </c>
      <c r="V1573" t="s">
        <v>77</v>
      </c>
    </row>
    <row r="1574" spans="1:22">
      <c r="A1574" t="str">
        <f t="shared" si="260"/>
        <v>10/09/2025</v>
      </c>
      <c r="B1574" t="str">
        <f t="shared" si="271"/>
        <v>ENTRADA</v>
      </c>
      <c r="C1574" t="str">
        <f t="shared" si="272"/>
        <v>NFSE</v>
      </c>
      <c r="D1574" t="str">
        <f t="shared" si="269"/>
        <v>3313</v>
      </c>
      <c r="E1574" t="str">
        <f t="shared" si="273"/>
        <v>1</v>
      </c>
      <c r="F1574" t="str">
        <f t="shared" si="268"/>
        <v>COM</v>
      </c>
      <c r="G1574" t="str">
        <f t="shared" si="270"/>
        <v>FARMÁCIA INDIANA LJ 85 (10128)</v>
      </c>
      <c r="H1574" t="s">
        <v>477</v>
      </c>
      <c r="I1574" t="str">
        <f t="shared" si="274"/>
        <v>10/09/2025</v>
      </c>
      <c r="J1574" t="str">
        <f t="shared" si="275"/>
        <v>02/09/2025</v>
      </c>
      <c r="K1574">
        <v>45910</v>
      </c>
      <c r="N1574">
        <v>303</v>
      </c>
      <c r="O1574" t="s">
        <v>69</v>
      </c>
      <c r="Q1574">
        <v>482.65</v>
      </c>
      <c r="R1574" t="str">
        <f>"FARMÁCIA INDIANA LJ 211 (10168)"</f>
        <v>FARMÁCIA INDIANA LJ 211 (10168)</v>
      </c>
      <c r="S1574" t="s">
        <v>70</v>
      </c>
      <c r="T1574">
        <v>21845</v>
      </c>
      <c r="U1574">
        <v>21161</v>
      </c>
      <c r="V1574" t="s">
        <v>77</v>
      </c>
    </row>
    <row r="1575" spans="1:22">
      <c r="A1575" t="str">
        <f t="shared" si="260"/>
        <v>10/09/2025</v>
      </c>
      <c r="B1575" t="str">
        <f t="shared" si="271"/>
        <v>ENTRADA</v>
      </c>
      <c r="C1575" t="str">
        <f t="shared" si="272"/>
        <v>NFSE</v>
      </c>
      <c r="D1575" t="str">
        <f t="shared" si="269"/>
        <v>3313</v>
      </c>
      <c r="E1575" t="str">
        <f t="shared" si="273"/>
        <v>1</v>
      </c>
      <c r="F1575" t="str">
        <f t="shared" si="268"/>
        <v>COM</v>
      </c>
      <c r="G1575" t="str">
        <f t="shared" si="270"/>
        <v>FARMÁCIA INDIANA LJ 85 (10128)</v>
      </c>
      <c r="H1575" t="s">
        <v>477</v>
      </c>
      <c r="I1575" t="str">
        <f t="shared" si="274"/>
        <v>10/09/2025</v>
      </c>
      <c r="J1575" t="str">
        <f t="shared" si="275"/>
        <v>02/09/2025</v>
      </c>
      <c r="K1575">
        <v>45910</v>
      </c>
      <c r="N1575">
        <v>303</v>
      </c>
      <c r="O1575" t="s">
        <v>69</v>
      </c>
      <c r="Q1575">
        <v>482.65</v>
      </c>
      <c r="R1575" t="str">
        <f>"FARMÁCIA INDIANA LJ 236 (10169)"</f>
        <v>FARMÁCIA INDIANA LJ 236 (10169)</v>
      </c>
      <c r="S1575" t="s">
        <v>70</v>
      </c>
      <c r="T1575">
        <v>21845</v>
      </c>
      <c r="U1575">
        <v>21161</v>
      </c>
      <c r="V1575" t="s">
        <v>77</v>
      </c>
    </row>
    <row r="1576" spans="1:22">
      <c r="A1576" t="str">
        <f t="shared" si="260"/>
        <v>10/09/2025</v>
      </c>
      <c r="B1576" t="str">
        <f t="shared" si="271"/>
        <v>ENTRADA</v>
      </c>
      <c r="C1576" t="str">
        <f t="shared" si="272"/>
        <v>NFSE</v>
      </c>
      <c r="D1576" t="str">
        <f t="shared" si="269"/>
        <v>3313</v>
      </c>
      <c r="E1576" t="str">
        <f t="shared" si="273"/>
        <v>1</v>
      </c>
      <c r="F1576" t="str">
        <f t="shared" si="268"/>
        <v>COM</v>
      </c>
      <c r="G1576" t="str">
        <f t="shared" si="270"/>
        <v>FARMÁCIA INDIANA LJ 85 (10128)</v>
      </c>
      <c r="H1576" t="s">
        <v>477</v>
      </c>
      <c r="I1576" t="str">
        <f t="shared" si="274"/>
        <v>10/09/2025</v>
      </c>
      <c r="J1576" t="str">
        <f t="shared" si="275"/>
        <v>02/09/2025</v>
      </c>
      <c r="K1576">
        <v>45910</v>
      </c>
      <c r="N1576">
        <v>303</v>
      </c>
      <c r="O1576" t="s">
        <v>69</v>
      </c>
      <c r="Q1576">
        <v>964.39</v>
      </c>
      <c r="R1576" t="str">
        <f>"FARMÁCIA INDIANA LJ 188 (10176)"</f>
        <v>FARMÁCIA INDIANA LJ 188 (10176)</v>
      </c>
      <c r="S1576" t="s">
        <v>70</v>
      </c>
      <c r="T1576">
        <v>21845</v>
      </c>
      <c r="U1576">
        <v>21161</v>
      </c>
      <c r="V1576" t="s">
        <v>77</v>
      </c>
    </row>
    <row r="1577" spans="1:22">
      <c r="A1577" t="str">
        <f t="shared" si="260"/>
        <v>10/09/2025</v>
      </c>
      <c r="B1577" t="str">
        <f t="shared" si="271"/>
        <v>ENTRADA</v>
      </c>
      <c r="C1577" t="str">
        <f t="shared" si="272"/>
        <v>NFSE</v>
      </c>
      <c r="D1577" t="str">
        <f t="shared" si="269"/>
        <v>3313</v>
      </c>
      <c r="E1577" t="str">
        <f t="shared" si="273"/>
        <v>1</v>
      </c>
      <c r="F1577" t="str">
        <f t="shared" si="268"/>
        <v>COM</v>
      </c>
      <c r="G1577" t="str">
        <f t="shared" si="270"/>
        <v>FARMÁCIA INDIANA LJ 85 (10128)</v>
      </c>
      <c r="H1577" t="s">
        <v>477</v>
      </c>
      <c r="I1577" t="str">
        <f t="shared" si="274"/>
        <v>10/09/2025</v>
      </c>
      <c r="J1577" t="str">
        <f t="shared" si="275"/>
        <v>02/09/2025</v>
      </c>
      <c r="K1577">
        <v>45910</v>
      </c>
      <c r="N1577">
        <v>303</v>
      </c>
      <c r="O1577" t="s">
        <v>69</v>
      </c>
      <c r="Q1577">
        <v>152.37</v>
      </c>
      <c r="R1577" t="str">
        <f>"FARMÁCIA INDIANA LJ 235 (10190)"</f>
        <v>FARMÁCIA INDIANA LJ 235 (10190)</v>
      </c>
      <c r="S1577" t="s">
        <v>70</v>
      </c>
      <c r="T1577">
        <v>21845</v>
      </c>
      <c r="U1577">
        <v>21161</v>
      </c>
      <c r="V1577" t="s">
        <v>77</v>
      </c>
    </row>
    <row r="1578" spans="1:22">
      <c r="A1578" t="str">
        <f t="shared" si="260"/>
        <v>10/09/2025</v>
      </c>
      <c r="B1578" t="str">
        <f t="shared" ref="B1578:B1611" si="276">"SAÍDA"</f>
        <v>SAÍDA</v>
      </c>
      <c r="C1578" t="str">
        <f t="shared" ref="C1578:C1611" si="277">"BOLETO"</f>
        <v>BOLETO</v>
      </c>
      <c r="D1578" t="str">
        <f>"071625253149855"</f>
        <v>071625253149855</v>
      </c>
      <c r="E1578" t="str">
        <f>"80"</f>
        <v>80</v>
      </c>
      <c r="F1578" t="str">
        <f t="shared" si="268"/>
        <v>COM</v>
      </c>
      <c r="G1578" t="str">
        <f t="shared" ref="G1578:G1611" si="278">"MINISTERIO DA FAZENDA (20009)"</f>
        <v>MINISTERIO DA FAZENDA (20009)</v>
      </c>
      <c r="H1578" t="str">
        <f>"PAGAMENTO INSS COMPLEMENTO PRESTADOR FABIANO 10/2024"</f>
        <v>PAGAMENTO INSS COMPLEMENTO PRESTADOR FABIANO 10/2024</v>
      </c>
      <c r="I1578" t="str">
        <f t="shared" si="274"/>
        <v>10/09/2025</v>
      </c>
      <c r="J1578" t="str">
        <f>("01/08/2025")</f>
        <v>01/08/2025</v>
      </c>
      <c r="K1578" t="str">
        <f>("10/09/2025")</f>
        <v>10/09/2025</v>
      </c>
      <c r="L1578">
        <v>183.96</v>
      </c>
      <c r="M1578">
        <v>183.96</v>
      </c>
      <c r="N1578">
        <v>112</v>
      </c>
      <c r="O1578" t="str">
        <f>"INSS"</f>
        <v>INSS</v>
      </c>
      <c r="P1578">
        <v>183.96</v>
      </c>
      <c r="S1578" t="str">
        <f>"BANCO C6 (149)"</f>
        <v>BANCO C6 (149)</v>
      </c>
      <c r="T1578">
        <v>22193</v>
      </c>
      <c r="U1578">
        <v>21899</v>
      </c>
      <c r="V1578" t="s">
        <v>77</v>
      </c>
    </row>
    <row r="1579" spans="1:22">
      <c r="A1579" t="str">
        <f t="shared" si="260"/>
        <v>10/09/2025</v>
      </c>
      <c r="B1579" t="str">
        <f t="shared" si="276"/>
        <v>SAÍDA</v>
      </c>
      <c r="C1579" t="str">
        <f t="shared" si="277"/>
        <v>BOLETO</v>
      </c>
      <c r="D1579" t="str">
        <f>"071625253149855"</f>
        <v>071625253149855</v>
      </c>
      <c r="E1579" t="str">
        <f>"80"</f>
        <v>80</v>
      </c>
      <c r="F1579" t="str">
        <f t="shared" si="268"/>
        <v>COM</v>
      </c>
      <c r="G1579" t="str">
        <f t="shared" si="278"/>
        <v>MINISTERIO DA FAZENDA (20009)</v>
      </c>
      <c r="H1579" t="s">
        <v>478</v>
      </c>
      <c r="I1579" t="str">
        <f t="shared" si="274"/>
        <v>10/09/2025</v>
      </c>
      <c r="J1579" t="str">
        <f>("01/08/2025")</f>
        <v>01/08/2025</v>
      </c>
      <c r="K1579">
        <v>45910</v>
      </c>
      <c r="N1579">
        <v>112</v>
      </c>
      <c r="O1579" t="s">
        <v>479</v>
      </c>
      <c r="Q1579">
        <v>183.96</v>
      </c>
      <c r="R1579" t="str">
        <f>"MINISTERIO DA FAZENDA (20009)"</f>
        <v>MINISTERIO DA FAZENDA (20009)</v>
      </c>
      <c r="S1579" t="s">
        <v>77</v>
      </c>
      <c r="T1579">
        <v>22193</v>
      </c>
      <c r="U1579">
        <v>21899</v>
      </c>
      <c r="V1579" t="s">
        <v>77</v>
      </c>
    </row>
    <row r="1580" spans="1:22">
      <c r="A1580" t="str">
        <f t="shared" si="260"/>
        <v>10/09/2025</v>
      </c>
      <c r="B1580" t="str">
        <f t="shared" si="276"/>
        <v>SAÍDA</v>
      </c>
      <c r="C1580" t="str">
        <f t="shared" si="277"/>
        <v>BOLETO</v>
      </c>
      <c r="D1580" t="str">
        <f>"071625252079994"</f>
        <v>071625252079994</v>
      </c>
      <c r="E1580" t="str">
        <f>"63"</f>
        <v>63</v>
      </c>
      <c r="F1580" t="str">
        <f t="shared" si="268"/>
        <v>COM</v>
      </c>
      <c r="G1580" t="str">
        <f t="shared" si="278"/>
        <v>MINISTERIO DA FAZENDA (20009)</v>
      </c>
      <c r="H1580" t="str">
        <f>"PAGAMENTO INSS COMPLEMENTO PRESTADOR FABIANO 06/2024"</f>
        <v>PAGAMENTO INSS COMPLEMENTO PRESTADOR FABIANO 06/2024</v>
      </c>
      <c r="I1580" t="str">
        <f t="shared" si="274"/>
        <v>10/09/2025</v>
      </c>
      <c r="J1580" t="str">
        <f>("01/08/2025")</f>
        <v>01/08/2025</v>
      </c>
      <c r="K1580" t="str">
        <f>("10/09/2025")</f>
        <v>10/09/2025</v>
      </c>
      <c r="L1580">
        <v>135.59</v>
      </c>
      <c r="M1580">
        <v>135.59</v>
      </c>
      <c r="N1580">
        <v>112</v>
      </c>
      <c r="O1580" t="str">
        <f>"INSS"</f>
        <v>INSS</v>
      </c>
      <c r="P1580">
        <v>135.59</v>
      </c>
      <c r="S1580" t="str">
        <f>"BANCO C6 (149)"</f>
        <v>BANCO C6 (149)</v>
      </c>
      <c r="T1580">
        <v>22204</v>
      </c>
      <c r="U1580">
        <v>21900</v>
      </c>
      <c r="V1580" t="s">
        <v>77</v>
      </c>
    </row>
    <row r="1581" spans="1:22">
      <c r="A1581" t="str">
        <f t="shared" si="260"/>
        <v>10/09/2025</v>
      </c>
      <c r="B1581" t="str">
        <f t="shared" si="276"/>
        <v>SAÍDA</v>
      </c>
      <c r="C1581" t="str">
        <f t="shared" si="277"/>
        <v>BOLETO</v>
      </c>
      <c r="D1581" t="str">
        <f>"071625252079994"</f>
        <v>071625252079994</v>
      </c>
      <c r="E1581" t="str">
        <f>"63"</f>
        <v>63</v>
      </c>
      <c r="F1581" t="str">
        <f t="shared" si="268"/>
        <v>COM</v>
      </c>
      <c r="G1581" t="str">
        <f t="shared" si="278"/>
        <v>MINISTERIO DA FAZENDA (20009)</v>
      </c>
      <c r="H1581" t="s">
        <v>480</v>
      </c>
      <c r="I1581" t="str">
        <f t="shared" si="274"/>
        <v>10/09/2025</v>
      </c>
      <c r="J1581" t="str">
        <f>("01/08/2025")</f>
        <v>01/08/2025</v>
      </c>
      <c r="K1581">
        <v>45910</v>
      </c>
      <c r="N1581">
        <v>112</v>
      </c>
      <c r="O1581" t="s">
        <v>479</v>
      </c>
      <c r="Q1581">
        <v>135.59</v>
      </c>
      <c r="R1581" t="str">
        <f>"MINISTERIO DA FAZENDA (20009)"</f>
        <v>MINISTERIO DA FAZENDA (20009)</v>
      </c>
      <c r="S1581" t="s">
        <v>77</v>
      </c>
      <c r="T1581">
        <v>22204</v>
      </c>
      <c r="U1581">
        <v>21900</v>
      </c>
      <c r="V1581" t="s">
        <v>77</v>
      </c>
    </row>
    <row r="1582" spans="1:22">
      <c r="A1582" t="str">
        <f t="shared" si="260"/>
        <v>10/09/2025</v>
      </c>
      <c r="B1582" t="str">
        <f t="shared" si="276"/>
        <v>SAÍDA</v>
      </c>
      <c r="C1582" t="str">
        <f t="shared" si="277"/>
        <v>BOLETO</v>
      </c>
      <c r="D1582" t="str">
        <f>"071625253153194"</f>
        <v>071625253153194</v>
      </c>
      <c r="E1582" t="str">
        <f>"19"</f>
        <v>19</v>
      </c>
      <c r="F1582" t="str">
        <f t="shared" si="268"/>
        <v>COM</v>
      </c>
      <c r="G1582" t="str">
        <f t="shared" si="278"/>
        <v>MINISTERIO DA FAZENDA (20009)</v>
      </c>
      <c r="H1582" t="str">
        <f>"PAGAMENTO INSS COMPLEMENTO PRESTADOR FABIANO 10, 11, 12/2023"</f>
        <v>PAGAMENTO INSS COMPLEMENTO PRESTADOR FABIANO 10, 11, 12/2023</v>
      </c>
      <c r="I1582" t="str">
        <f t="shared" si="274"/>
        <v>10/09/2025</v>
      </c>
      <c r="J1582" t="str">
        <f>("10/09/2025")</f>
        <v>10/09/2025</v>
      </c>
      <c r="K1582" t="str">
        <f>("10/09/2025")</f>
        <v>10/09/2025</v>
      </c>
      <c r="L1582">
        <v>633.76</v>
      </c>
      <c r="M1582">
        <v>633.76</v>
      </c>
      <c r="N1582">
        <v>112</v>
      </c>
      <c r="O1582" t="str">
        <f>"INSS"</f>
        <v>INSS</v>
      </c>
      <c r="P1582">
        <v>633.76</v>
      </c>
      <c r="S1582" t="str">
        <f>"BANCO C6 (149)"</f>
        <v>BANCO C6 (149)</v>
      </c>
      <c r="T1582">
        <v>23412</v>
      </c>
      <c r="U1582">
        <v>21069</v>
      </c>
      <c r="V1582" t="s">
        <v>77</v>
      </c>
    </row>
    <row r="1583" spans="1:22">
      <c r="A1583" t="str">
        <f t="shared" si="260"/>
        <v>10/09/2025</v>
      </c>
      <c r="B1583" t="str">
        <f t="shared" si="276"/>
        <v>SAÍDA</v>
      </c>
      <c r="C1583" t="str">
        <f t="shared" si="277"/>
        <v>BOLETO</v>
      </c>
      <c r="D1583" t="str">
        <f>"071625253153194"</f>
        <v>071625253153194</v>
      </c>
      <c r="E1583" t="str">
        <f>"19"</f>
        <v>19</v>
      </c>
      <c r="F1583" t="str">
        <f t="shared" si="268"/>
        <v>COM</v>
      </c>
      <c r="G1583" t="str">
        <f t="shared" si="278"/>
        <v>MINISTERIO DA FAZENDA (20009)</v>
      </c>
      <c r="H1583" t="s">
        <v>481</v>
      </c>
      <c r="I1583" t="str">
        <f t="shared" si="274"/>
        <v>10/09/2025</v>
      </c>
      <c r="J1583" t="str">
        <f>("10/09/2025")</f>
        <v>10/09/2025</v>
      </c>
      <c r="K1583">
        <v>45910</v>
      </c>
      <c r="N1583">
        <v>112</v>
      </c>
      <c r="O1583" t="s">
        <v>479</v>
      </c>
      <c r="Q1583">
        <v>633.76</v>
      </c>
      <c r="R1583" t="str">
        <f>"MINISTERIO DA FAZENDA (20009)"</f>
        <v>MINISTERIO DA FAZENDA (20009)</v>
      </c>
      <c r="S1583" t="s">
        <v>77</v>
      </c>
      <c r="T1583">
        <v>23412</v>
      </c>
      <c r="U1583">
        <v>21069</v>
      </c>
      <c r="V1583" t="s">
        <v>77</v>
      </c>
    </row>
    <row r="1584" spans="1:22">
      <c r="A1584" t="str">
        <f t="shared" si="260"/>
        <v>10/09/2025</v>
      </c>
      <c r="B1584" t="str">
        <f t="shared" si="276"/>
        <v>SAÍDA</v>
      </c>
      <c r="C1584" t="str">
        <f t="shared" si="277"/>
        <v>BOLETO</v>
      </c>
      <c r="D1584" t="str">
        <f>"071625252075723"</f>
        <v>071625252075723</v>
      </c>
      <c r="E1584" t="str">
        <f>"70"</f>
        <v>70</v>
      </c>
      <c r="F1584" t="str">
        <f t="shared" si="268"/>
        <v>COM</v>
      </c>
      <c r="G1584" t="str">
        <f t="shared" si="278"/>
        <v>MINISTERIO DA FAZENDA (20009)</v>
      </c>
      <c r="H1584" t="str">
        <f>"PAGAMENTO INSS COMPLEMENTO PRESTADOR FABIANO 09/2023"</f>
        <v>PAGAMENTO INSS COMPLEMENTO PRESTADOR FABIANO 09/2023</v>
      </c>
      <c r="I1584" t="str">
        <f t="shared" si="274"/>
        <v>10/09/2025</v>
      </c>
      <c r="J1584" t="str">
        <f t="shared" ref="J1584:J1611" si="279">("01/08/2025")</f>
        <v>01/08/2025</v>
      </c>
      <c r="K1584" t="str">
        <f>("10/09/2025")</f>
        <v>10/09/2025</v>
      </c>
      <c r="L1584">
        <v>216.31</v>
      </c>
      <c r="M1584">
        <v>216.31</v>
      </c>
      <c r="N1584">
        <v>112</v>
      </c>
      <c r="O1584" t="str">
        <f>"INSS"</f>
        <v>INSS</v>
      </c>
      <c r="P1584">
        <v>216.31</v>
      </c>
      <c r="S1584" t="str">
        <f>"BANCO C6 (149)"</f>
        <v>BANCO C6 (149)</v>
      </c>
      <c r="T1584">
        <v>23413</v>
      </c>
      <c r="U1584">
        <v>21901</v>
      </c>
      <c r="V1584" t="s">
        <v>77</v>
      </c>
    </row>
    <row r="1585" spans="1:22">
      <c r="A1585" t="str">
        <f t="shared" si="260"/>
        <v>10/09/2025</v>
      </c>
      <c r="B1585" t="str">
        <f t="shared" si="276"/>
        <v>SAÍDA</v>
      </c>
      <c r="C1585" t="str">
        <f t="shared" si="277"/>
        <v>BOLETO</v>
      </c>
      <c r="D1585" t="str">
        <f>"071625252075723"</f>
        <v>071625252075723</v>
      </c>
      <c r="E1585" t="str">
        <f>"70"</f>
        <v>70</v>
      </c>
      <c r="F1585" t="str">
        <f t="shared" si="268"/>
        <v>COM</v>
      </c>
      <c r="G1585" t="str">
        <f t="shared" si="278"/>
        <v>MINISTERIO DA FAZENDA (20009)</v>
      </c>
      <c r="H1585" t="s">
        <v>482</v>
      </c>
      <c r="I1585" t="str">
        <f t="shared" si="274"/>
        <v>10/09/2025</v>
      </c>
      <c r="J1585" t="str">
        <f t="shared" si="279"/>
        <v>01/08/2025</v>
      </c>
      <c r="K1585">
        <v>45910</v>
      </c>
      <c r="N1585">
        <v>112</v>
      </c>
      <c r="O1585" t="s">
        <v>479</v>
      </c>
      <c r="Q1585">
        <v>216.31</v>
      </c>
      <c r="R1585" t="str">
        <f>"MINISTERIO DA FAZENDA (20009)"</f>
        <v>MINISTERIO DA FAZENDA (20009)</v>
      </c>
      <c r="S1585" t="s">
        <v>77</v>
      </c>
      <c r="T1585">
        <v>23413</v>
      </c>
      <c r="U1585">
        <v>21901</v>
      </c>
      <c r="V1585" t="s">
        <v>77</v>
      </c>
    </row>
    <row r="1586" spans="1:22">
      <c r="A1586" t="str">
        <f t="shared" si="260"/>
        <v>10/09/2025</v>
      </c>
      <c r="B1586" t="str">
        <f t="shared" si="276"/>
        <v>SAÍDA</v>
      </c>
      <c r="C1586" t="str">
        <f t="shared" si="277"/>
        <v>BOLETO</v>
      </c>
      <c r="D1586" t="str">
        <f>"071625253220055"</f>
        <v>071625253220055</v>
      </c>
      <c r="E1586" t="str">
        <f>"72"</f>
        <v>72</v>
      </c>
      <c r="F1586" t="str">
        <f t="shared" si="268"/>
        <v>COM</v>
      </c>
      <c r="G1586" t="str">
        <f t="shared" si="278"/>
        <v>MINISTERIO DA FAZENDA (20009)</v>
      </c>
      <c r="H1586" t="str">
        <f>"PAGAMENTO INSS COMPLEMENTO PRESTADOR FABIANO 07/2024"</f>
        <v>PAGAMENTO INSS COMPLEMENTO PRESTADOR FABIANO 07/2024</v>
      </c>
      <c r="I1586" t="str">
        <f t="shared" si="274"/>
        <v>10/09/2025</v>
      </c>
      <c r="J1586" t="str">
        <f t="shared" si="279"/>
        <v>01/08/2025</v>
      </c>
      <c r="K1586" t="str">
        <f>("10/09/2025")</f>
        <v>10/09/2025</v>
      </c>
      <c r="L1586">
        <v>143.72</v>
      </c>
      <c r="M1586">
        <v>143.72</v>
      </c>
      <c r="N1586">
        <v>112</v>
      </c>
      <c r="O1586" t="str">
        <f>"INSS"</f>
        <v>INSS</v>
      </c>
      <c r="P1586">
        <v>143.72</v>
      </c>
      <c r="S1586" t="str">
        <f>"BANCO C6 (149)"</f>
        <v>BANCO C6 (149)</v>
      </c>
      <c r="T1586">
        <v>23414</v>
      </c>
      <c r="U1586">
        <v>21902</v>
      </c>
      <c r="V1586" t="s">
        <v>77</v>
      </c>
    </row>
    <row r="1587" spans="1:22">
      <c r="A1587" t="str">
        <f t="shared" si="260"/>
        <v>10/09/2025</v>
      </c>
      <c r="B1587" t="str">
        <f t="shared" si="276"/>
        <v>SAÍDA</v>
      </c>
      <c r="C1587" t="str">
        <f t="shared" si="277"/>
        <v>BOLETO</v>
      </c>
      <c r="D1587" t="str">
        <f>"071625253220055"</f>
        <v>071625253220055</v>
      </c>
      <c r="E1587" t="str">
        <f>"72"</f>
        <v>72</v>
      </c>
      <c r="F1587" t="str">
        <f t="shared" si="268"/>
        <v>COM</v>
      </c>
      <c r="G1587" t="str">
        <f t="shared" si="278"/>
        <v>MINISTERIO DA FAZENDA (20009)</v>
      </c>
      <c r="H1587" t="s">
        <v>483</v>
      </c>
      <c r="I1587" t="str">
        <f t="shared" si="274"/>
        <v>10/09/2025</v>
      </c>
      <c r="J1587" t="str">
        <f t="shared" si="279"/>
        <v>01/08/2025</v>
      </c>
      <c r="K1587">
        <v>45910</v>
      </c>
      <c r="N1587">
        <v>112</v>
      </c>
      <c r="O1587" t="s">
        <v>479</v>
      </c>
      <c r="Q1587">
        <v>143.72</v>
      </c>
      <c r="R1587" t="str">
        <f>"MINISTERIO DA FAZENDA (20009)"</f>
        <v>MINISTERIO DA FAZENDA (20009)</v>
      </c>
      <c r="S1587" t="s">
        <v>77</v>
      </c>
      <c r="T1587">
        <v>23414</v>
      </c>
      <c r="U1587">
        <v>21902</v>
      </c>
      <c r="V1587" t="s">
        <v>77</v>
      </c>
    </row>
    <row r="1588" spans="1:22">
      <c r="A1588" t="str">
        <f t="shared" si="260"/>
        <v>10/09/2025</v>
      </c>
      <c r="B1588" t="str">
        <f t="shared" si="276"/>
        <v>SAÍDA</v>
      </c>
      <c r="C1588" t="str">
        <f t="shared" si="277"/>
        <v>BOLETO</v>
      </c>
      <c r="D1588" t="str">
        <f>"071625253149112"</f>
        <v>071625253149112</v>
      </c>
      <c r="E1588" t="str">
        <f>"76"</f>
        <v>76</v>
      </c>
      <c r="F1588" t="str">
        <f t="shared" si="268"/>
        <v>COM</v>
      </c>
      <c r="G1588" t="str">
        <f t="shared" si="278"/>
        <v>MINISTERIO DA FAZENDA (20009)</v>
      </c>
      <c r="H1588" t="str">
        <f>"PAGAMENTO INSS COMPLEMENTO PRESTADOR FABIANO 09/2024"</f>
        <v>PAGAMENTO INSS COMPLEMENTO PRESTADOR FABIANO 09/2024</v>
      </c>
      <c r="I1588" t="str">
        <f t="shared" si="274"/>
        <v>10/09/2025</v>
      </c>
      <c r="J1588" t="str">
        <f t="shared" si="279"/>
        <v>01/08/2025</v>
      </c>
      <c r="K1588" t="str">
        <f>("10/09/2025")</f>
        <v>10/09/2025</v>
      </c>
      <c r="L1588">
        <v>197.82</v>
      </c>
      <c r="M1588">
        <v>197.82</v>
      </c>
      <c r="N1588">
        <v>112</v>
      </c>
      <c r="O1588" t="str">
        <f>"INSS"</f>
        <v>INSS</v>
      </c>
      <c r="P1588">
        <v>197.82</v>
      </c>
      <c r="S1588" t="str">
        <f>"BANCO C6 (149)"</f>
        <v>BANCO C6 (149)</v>
      </c>
      <c r="T1588">
        <v>23415</v>
      </c>
      <c r="U1588">
        <v>21903</v>
      </c>
      <c r="V1588" t="s">
        <v>77</v>
      </c>
    </row>
    <row r="1589" spans="1:22">
      <c r="A1589" t="str">
        <f t="shared" si="260"/>
        <v>10/09/2025</v>
      </c>
      <c r="B1589" t="str">
        <f t="shared" si="276"/>
        <v>SAÍDA</v>
      </c>
      <c r="C1589" t="str">
        <f t="shared" si="277"/>
        <v>BOLETO</v>
      </c>
      <c r="D1589" t="str">
        <f>"071625253149112"</f>
        <v>071625253149112</v>
      </c>
      <c r="E1589" t="str">
        <f>"76"</f>
        <v>76</v>
      </c>
      <c r="F1589" t="str">
        <f t="shared" si="268"/>
        <v>COM</v>
      </c>
      <c r="G1589" t="str">
        <f t="shared" si="278"/>
        <v>MINISTERIO DA FAZENDA (20009)</v>
      </c>
      <c r="H1589" t="s">
        <v>484</v>
      </c>
      <c r="I1589" t="str">
        <f t="shared" si="274"/>
        <v>10/09/2025</v>
      </c>
      <c r="J1589" t="str">
        <f t="shared" si="279"/>
        <v>01/08/2025</v>
      </c>
      <c r="K1589">
        <v>45910</v>
      </c>
      <c r="N1589">
        <v>112</v>
      </c>
      <c r="O1589" t="s">
        <v>479</v>
      </c>
      <c r="Q1589">
        <v>197.82</v>
      </c>
      <c r="R1589" t="str">
        <f>"MINISTERIO DA FAZENDA (20009)"</f>
        <v>MINISTERIO DA FAZENDA (20009)</v>
      </c>
      <c r="S1589" t="s">
        <v>77</v>
      </c>
      <c r="T1589">
        <v>23415</v>
      </c>
      <c r="U1589">
        <v>21903</v>
      </c>
      <c r="V1589" t="s">
        <v>77</v>
      </c>
    </row>
    <row r="1590" spans="1:22">
      <c r="A1590" t="str">
        <f t="shared" ref="A1590:A1611" si="280">("10/09/2025")</f>
        <v>10/09/2025</v>
      </c>
      <c r="B1590" t="str">
        <f t="shared" si="276"/>
        <v>SAÍDA</v>
      </c>
      <c r="C1590" t="str">
        <f t="shared" si="277"/>
        <v>BOLETO</v>
      </c>
      <c r="D1590" t="str">
        <f>"071625252074704"</f>
        <v>071625252074704</v>
      </c>
      <c r="E1590" t="str">
        <f>"20"</f>
        <v>20</v>
      </c>
      <c r="F1590" t="str">
        <f t="shared" si="268"/>
        <v>COM</v>
      </c>
      <c r="G1590" t="str">
        <f t="shared" si="278"/>
        <v>MINISTERIO DA FAZENDA (20009)</v>
      </c>
      <c r="H1590" t="str">
        <f>"PAGAMENTO INSS COMPLEMENTO PRESTADOR FABIANO 07/2023"</f>
        <v>PAGAMENTO INSS COMPLEMENTO PRESTADOR FABIANO 07/2023</v>
      </c>
      <c r="I1590" t="str">
        <f t="shared" si="274"/>
        <v>10/09/2025</v>
      </c>
      <c r="J1590" t="str">
        <f t="shared" si="279"/>
        <v>01/08/2025</v>
      </c>
      <c r="K1590" t="str">
        <f>("10/09/2025")</f>
        <v>10/09/2025</v>
      </c>
      <c r="L1590">
        <v>154.83000000000001</v>
      </c>
      <c r="M1590">
        <v>154.83000000000001</v>
      </c>
      <c r="N1590">
        <v>112</v>
      </c>
      <c r="O1590" t="str">
        <f>"INSS"</f>
        <v>INSS</v>
      </c>
      <c r="P1590">
        <v>154.83000000000001</v>
      </c>
      <c r="S1590" t="str">
        <f>"BANCO C6 (149)"</f>
        <v>BANCO C6 (149)</v>
      </c>
      <c r="T1590">
        <v>23416</v>
      </c>
      <c r="U1590">
        <v>21904</v>
      </c>
      <c r="V1590" t="s">
        <v>77</v>
      </c>
    </row>
    <row r="1591" spans="1:22">
      <c r="A1591" t="str">
        <f t="shared" si="280"/>
        <v>10/09/2025</v>
      </c>
      <c r="B1591" t="str">
        <f t="shared" si="276"/>
        <v>SAÍDA</v>
      </c>
      <c r="C1591" t="str">
        <f t="shared" si="277"/>
        <v>BOLETO</v>
      </c>
      <c r="D1591" t="str">
        <f>"071625252074704"</f>
        <v>071625252074704</v>
      </c>
      <c r="E1591" t="str">
        <f>"20"</f>
        <v>20</v>
      </c>
      <c r="F1591" t="str">
        <f t="shared" si="268"/>
        <v>COM</v>
      </c>
      <c r="G1591" t="str">
        <f t="shared" si="278"/>
        <v>MINISTERIO DA FAZENDA (20009)</v>
      </c>
      <c r="H1591" t="s">
        <v>485</v>
      </c>
      <c r="I1591" t="str">
        <f t="shared" si="274"/>
        <v>10/09/2025</v>
      </c>
      <c r="J1591" t="str">
        <f t="shared" si="279"/>
        <v>01/08/2025</v>
      </c>
      <c r="K1591">
        <v>45910</v>
      </c>
      <c r="N1591">
        <v>112</v>
      </c>
      <c r="O1591" t="s">
        <v>479</v>
      </c>
      <c r="Q1591">
        <v>154.83000000000001</v>
      </c>
      <c r="R1591" t="str">
        <f>"MINISTERIO DA FAZENDA (20009)"</f>
        <v>MINISTERIO DA FAZENDA (20009)</v>
      </c>
      <c r="S1591" t="s">
        <v>77</v>
      </c>
      <c r="T1591">
        <v>23416</v>
      </c>
      <c r="U1591">
        <v>21904</v>
      </c>
      <c r="V1591" t="s">
        <v>77</v>
      </c>
    </row>
    <row r="1592" spans="1:22">
      <c r="A1592" t="str">
        <f t="shared" si="280"/>
        <v>10/09/2025</v>
      </c>
      <c r="B1592" t="str">
        <f t="shared" si="276"/>
        <v>SAÍDA</v>
      </c>
      <c r="C1592" t="str">
        <f t="shared" si="277"/>
        <v>BOLETO</v>
      </c>
      <c r="D1592" t="str">
        <f>"071625252079292"</f>
        <v>071625252079292</v>
      </c>
      <c r="E1592" t="str">
        <f>"01"</f>
        <v>01</v>
      </c>
      <c r="F1592" t="str">
        <f t="shared" si="268"/>
        <v>COM</v>
      </c>
      <c r="G1592" t="str">
        <f t="shared" si="278"/>
        <v>MINISTERIO DA FAZENDA (20009)</v>
      </c>
      <c r="H1592" t="str">
        <f>"PAGAMENTO INSS COMPLEMENTO PRESTADOR FABIANO 05/2024"</f>
        <v>PAGAMENTO INSS COMPLEMENTO PRESTADOR FABIANO 05/2024</v>
      </c>
      <c r="I1592" t="str">
        <f t="shared" si="274"/>
        <v>10/09/2025</v>
      </c>
      <c r="J1592" t="str">
        <f t="shared" si="279"/>
        <v>01/08/2025</v>
      </c>
      <c r="K1592" t="str">
        <f>("10/09/2025")</f>
        <v>10/09/2025</v>
      </c>
      <c r="L1592">
        <v>134.74</v>
      </c>
      <c r="M1592">
        <v>134.74</v>
      </c>
      <c r="N1592">
        <v>112</v>
      </c>
      <c r="O1592" t="str">
        <f>"INSS"</f>
        <v>INSS</v>
      </c>
      <c r="P1592">
        <v>134.74</v>
      </c>
      <c r="S1592" t="str">
        <f>"BANCO C6 (149)"</f>
        <v>BANCO C6 (149)</v>
      </c>
      <c r="T1592">
        <v>23417</v>
      </c>
      <c r="U1592">
        <v>21905</v>
      </c>
      <c r="V1592" t="s">
        <v>77</v>
      </c>
    </row>
    <row r="1593" spans="1:22">
      <c r="A1593" t="str">
        <f t="shared" si="280"/>
        <v>10/09/2025</v>
      </c>
      <c r="B1593" t="str">
        <f t="shared" si="276"/>
        <v>SAÍDA</v>
      </c>
      <c r="C1593" t="str">
        <f t="shared" si="277"/>
        <v>BOLETO</v>
      </c>
      <c r="D1593" t="str">
        <f>"071625252079292"</f>
        <v>071625252079292</v>
      </c>
      <c r="E1593" t="str">
        <f>"01"</f>
        <v>01</v>
      </c>
      <c r="F1593" t="str">
        <f t="shared" si="268"/>
        <v>COM</v>
      </c>
      <c r="G1593" t="str">
        <f t="shared" si="278"/>
        <v>MINISTERIO DA FAZENDA (20009)</v>
      </c>
      <c r="H1593" t="s">
        <v>486</v>
      </c>
      <c r="I1593" t="str">
        <f t="shared" si="274"/>
        <v>10/09/2025</v>
      </c>
      <c r="J1593" t="str">
        <f t="shared" si="279"/>
        <v>01/08/2025</v>
      </c>
      <c r="K1593">
        <v>45910</v>
      </c>
      <c r="N1593">
        <v>112</v>
      </c>
      <c r="O1593" t="s">
        <v>479</v>
      </c>
      <c r="Q1593">
        <v>134.74</v>
      </c>
      <c r="R1593" t="str">
        <f>"MINISTERIO DA FAZENDA (20009)"</f>
        <v>MINISTERIO DA FAZENDA (20009)</v>
      </c>
      <c r="S1593" t="s">
        <v>77</v>
      </c>
      <c r="T1593">
        <v>23417</v>
      </c>
      <c r="U1593">
        <v>21905</v>
      </c>
      <c r="V1593" t="s">
        <v>77</v>
      </c>
    </row>
    <row r="1594" spans="1:22">
      <c r="A1594" t="str">
        <f t="shared" si="280"/>
        <v>10/09/2025</v>
      </c>
      <c r="B1594" t="str">
        <f t="shared" si="276"/>
        <v>SAÍDA</v>
      </c>
      <c r="C1594" t="str">
        <f t="shared" si="277"/>
        <v>BOLETO</v>
      </c>
      <c r="D1594" t="str">
        <f>"071625252078541"</f>
        <v>071625252078541</v>
      </c>
      <c r="E1594" t="str">
        <f>"98"</f>
        <v>98</v>
      </c>
      <c r="F1594" t="str">
        <f t="shared" si="268"/>
        <v>COM</v>
      </c>
      <c r="G1594" t="str">
        <f t="shared" si="278"/>
        <v>MINISTERIO DA FAZENDA (20009)</v>
      </c>
      <c r="H1594" t="str">
        <f>"PAGAMENTO INSS COMPLEMENTO PRESTADOR FABIANO 02/2024"</f>
        <v>PAGAMENTO INSS COMPLEMENTO PRESTADOR FABIANO 02/2024</v>
      </c>
      <c r="I1594" t="str">
        <f t="shared" si="274"/>
        <v>10/09/2025</v>
      </c>
      <c r="J1594" t="str">
        <f t="shared" si="279"/>
        <v>01/08/2025</v>
      </c>
      <c r="K1594" t="str">
        <f>("10/09/2025")</f>
        <v>10/09/2025</v>
      </c>
      <c r="L1594">
        <v>262.85000000000002</v>
      </c>
      <c r="M1594">
        <v>262.85000000000002</v>
      </c>
      <c r="N1594">
        <v>112</v>
      </c>
      <c r="O1594" t="str">
        <f>"INSS"</f>
        <v>INSS</v>
      </c>
      <c r="P1594">
        <v>262.85000000000002</v>
      </c>
      <c r="S1594" t="str">
        <f>"BANCO C6 (149)"</f>
        <v>BANCO C6 (149)</v>
      </c>
      <c r="T1594">
        <v>23418</v>
      </c>
      <c r="U1594">
        <v>21906</v>
      </c>
      <c r="V1594" t="s">
        <v>77</v>
      </c>
    </row>
    <row r="1595" spans="1:22">
      <c r="A1595" t="str">
        <f t="shared" si="280"/>
        <v>10/09/2025</v>
      </c>
      <c r="B1595" t="str">
        <f t="shared" si="276"/>
        <v>SAÍDA</v>
      </c>
      <c r="C1595" t="str">
        <f t="shared" si="277"/>
        <v>BOLETO</v>
      </c>
      <c r="D1595" t="str">
        <f>"071625252078541"</f>
        <v>071625252078541</v>
      </c>
      <c r="E1595" t="str">
        <f>"98"</f>
        <v>98</v>
      </c>
      <c r="F1595" t="str">
        <f t="shared" si="268"/>
        <v>COM</v>
      </c>
      <c r="G1595" t="str">
        <f t="shared" si="278"/>
        <v>MINISTERIO DA FAZENDA (20009)</v>
      </c>
      <c r="H1595" t="s">
        <v>487</v>
      </c>
      <c r="I1595" t="str">
        <f t="shared" si="274"/>
        <v>10/09/2025</v>
      </c>
      <c r="J1595" t="str">
        <f t="shared" si="279"/>
        <v>01/08/2025</v>
      </c>
      <c r="K1595">
        <v>45910</v>
      </c>
      <c r="N1595">
        <v>112</v>
      </c>
      <c r="O1595" t="s">
        <v>479</v>
      </c>
      <c r="Q1595">
        <v>262.85000000000002</v>
      </c>
      <c r="R1595" t="str">
        <f>"MINISTERIO DA FAZENDA (20009)"</f>
        <v>MINISTERIO DA FAZENDA (20009)</v>
      </c>
      <c r="S1595" t="s">
        <v>77</v>
      </c>
      <c r="T1595">
        <v>23418</v>
      </c>
      <c r="U1595">
        <v>21906</v>
      </c>
      <c r="V1595" t="s">
        <v>77</v>
      </c>
    </row>
    <row r="1596" spans="1:22">
      <c r="A1596" t="str">
        <f t="shared" si="280"/>
        <v>10/09/2025</v>
      </c>
      <c r="B1596" t="str">
        <f t="shared" si="276"/>
        <v>SAÍDA</v>
      </c>
      <c r="C1596" t="str">
        <f t="shared" si="277"/>
        <v>BOLETO</v>
      </c>
      <c r="D1596" t="str">
        <f>"071625252079098"</f>
        <v>071625252079098</v>
      </c>
      <c r="E1596" t="str">
        <f>"39"</f>
        <v>39</v>
      </c>
      <c r="F1596" t="str">
        <f t="shared" si="268"/>
        <v>COM</v>
      </c>
      <c r="G1596" t="str">
        <f t="shared" si="278"/>
        <v>MINISTERIO DA FAZENDA (20009)</v>
      </c>
      <c r="H1596" t="str">
        <f>"PAGAMENTO INSS COMPLEMENTO PRESTADOR FABIANO 04/2024"</f>
        <v>PAGAMENTO INSS COMPLEMENTO PRESTADOR FABIANO 04/2024</v>
      </c>
      <c r="I1596" t="str">
        <f t="shared" si="274"/>
        <v>10/09/2025</v>
      </c>
      <c r="J1596" t="str">
        <f t="shared" si="279"/>
        <v>01/08/2025</v>
      </c>
      <c r="K1596" t="str">
        <f>("10/09/2025")</f>
        <v>10/09/2025</v>
      </c>
      <c r="L1596">
        <v>203.45</v>
      </c>
      <c r="M1596">
        <v>203.45</v>
      </c>
      <c r="N1596">
        <v>112</v>
      </c>
      <c r="O1596" t="str">
        <f>"INSS"</f>
        <v>INSS</v>
      </c>
      <c r="P1596">
        <v>203.45</v>
      </c>
      <c r="S1596" t="str">
        <f>"BANCO C6 (149)"</f>
        <v>BANCO C6 (149)</v>
      </c>
      <c r="T1596">
        <v>23419</v>
      </c>
      <c r="U1596">
        <v>21907</v>
      </c>
      <c r="V1596" t="s">
        <v>77</v>
      </c>
    </row>
    <row r="1597" spans="1:22">
      <c r="A1597" t="str">
        <f t="shared" si="280"/>
        <v>10/09/2025</v>
      </c>
      <c r="B1597" t="str">
        <f t="shared" si="276"/>
        <v>SAÍDA</v>
      </c>
      <c r="C1597" t="str">
        <f t="shared" si="277"/>
        <v>BOLETO</v>
      </c>
      <c r="D1597" t="str">
        <f>"071625252079098"</f>
        <v>071625252079098</v>
      </c>
      <c r="E1597" t="str">
        <f>"39"</f>
        <v>39</v>
      </c>
      <c r="F1597" t="str">
        <f t="shared" si="268"/>
        <v>COM</v>
      </c>
      <c r="G1597" t="str">
        <f t="shared" si="278"/>
        <v>MINISTERIO DA FAZENDA (20009)</v>
      </c>
      <c r="H1597" t="s">
        <v>488</v>
      </c>
      <c r="I1597" t="str">
        <f t="shared" si="274"/>
        <v>10/09/2025</v>
      </c>
      <c r="J1597" t="str">
        <f t="shared" si="279"/>
        <v>01/08/2025</v>
      </c>
      <c r="K1597">
        <v>45910</v>
      </c>
      <c r="N1597">
        <v>112</v>
      </c>
      <c r="O1597" t="s">
        <v>479</v>
      </c>
      <c r="Q1597">
        <v>203.45</v>
      </c>
      <c r="R1597" t="str">
        <f>"MINISTERIO DA FAZENDA (20009)"</f>
        <v>MINISTERIO DA FAZENDA (20009)</v>
      </c>
      <c r="S1597" t="s">
        <v>77</v>
      </c>
      <c r="T1597">
        <v>23419</v>
      </c>
      <c r="U1597">
        <v>21907</v>
      </c>
      <c r="V1597" t="s">
        <v>77</v>
      </c>
    </row>
    <row r="1598" spans="1:22">
      <c r="A1598" t="str">
        <f t="shared" si="280"/>
        <v>10/09/2025</v>
      </c>
      <c r="B1598" t="str">
        <f t="shared" si="276"/>
        <v>SAÍDA</v>
      </c>
      <c r="C1598" t="str">
        <f t="shared" si="277"/>
        <v>BOLETO</v>
      </c>
      <c r="D1598" t="str">
        <f>"071625253148635"</f>
        <v>071625253148635</v>
      </c>
      <c r="E1598" t="str">
        <f>"65"</f>
        <v>65</v>
      </c>
      <c r="F1598" t="str">
        <f t="shared" si="268"/>
        <v>COM</v>
      </c>
      <c r="G1598" t="str">
        <f t="shared" si="278"/>
        <v>MINISTERIO DA FAZENDA (20009)</v>
      </c>
      <c r="H1598" t="str">
        <f>"PAGAMENTO INSS COMPLEMENTO PRESTADOR FABIANO 08/2024"</f>
        <v>PAGAMENTO INSS COMPLEMENTO PRESTADOR FABIANO 08/2024</v>
      </c>
      <c r="I1598" t="str">
        <f t="shared" si="274"/>
        <v>10/09/2025</v>
      </c>
      <c r="J1598" t="str">
        <f t="shared" si="279"/>
        <v>01/08/2025</v>
      </c>
      <c r="K1598" t="str">
        <f>("10/09/2025")</f>
        <v>10/09/2025</v>
      </c>
      <c r="L1598">
        <v>238.8</v>
      </c>
      <c r="M1598">
        <v>238.8</v>
      </c>
      <c r="N1598">
        <v>112</v>
      </c>
      <c r="O1598" t="str">
        <f>"INSS"</f>
        <v>INSS</v>
      </c>
      <c r="P1598">
        <v>238.8</v>
      </c>
      <c r="S1598" t="str">
        <f>"BANCO C6 (149)"</f>
        <v>BANCO C6 (149)</v>
      </c>
      <c r="T1598">
        <v>23420</v>
      </c>
      <c r="U1598">
        <v>21908</v>
      </c>
      <c r="V1598" t="s">
        <v>77</v>
      </c>
    </row>
    <row r="1599" spans="1:22">
      <c r="A1599" t="str">
        <f t="shared" si="280"/>
        <v>10/09/2025</v>
      </c>
      <c r="B1599" t="str">
        <f t="shared" si="276"/>
        <v>SAÍDA</v>
      </c>
      <c r="C1599" t="str">
        <f t="shared" si="277"/>
        <v>BOLETO</v>
      </c>
      <c r="D1599" t="str">
        <f>"071625253148635"</f>
        <v>071625253148635</v>
      </c>
      <c r="E1599" t="str">
        <f>"65"</f>
        <v>65</v>
      </c>
      <c r="F1599" t="str">
        <f t="shared" si="268"/>
        <v>COM</v>
      </c>
      <c r="G1599" t="str">
        <f t="shared" si="278"/>
        <v>MINISTERIO DA FAZENDA (20009)</v>
      </c>
      <c r="H1599" t="s">
        <v>489</v>
      </c>
      <c r="I1599" t="str">
        <f t="shared" si="274"/>
        <v>10/09/2025</v>
      </c>
      <c r="J1599" t="str">
        <f t="shared" si="279"/>
        <v>01/08/2025</v>
      </c>
      <c r="K1599">
        <v>45910</v>
      </c>
      <c r="N1599">
        <v>112</v>
      </c>
      <c r="O1599" t="s">
        <v>479</v>
      </c>
      <c r="Q1599">
        <v>238.8</v>
      </c>
      <c r="R1599" t="str">
        <f>"MINISTERIO DA FAZENDA (20009)"</f>
        <v>MINISTERIO DA FAZENDA (20009)</v>
      </c>
      <c r="S1599" t="s">
        <v>77</v>
      </c>
      <c r="T1599">
        <v>23420</v>
      </c>
      <c r="U1599">
        <v>21908</v>
      </c>
      <c r="V1599" t="s">
        <v>77</v>
      </c>
    </row>
    <row r="1600" spans="1:22">
      <c r="A1600" t="str">
        <f t="shared" si="280"/>
        <v>10/09/2025</v>
      </c>
      <c r="B1600" t="str">
        <f t="shared" si="276"/>
        <v>SAÍDA</v>
      </c>
      <c r="C1600" t="str">
        <f t="shared" si="277"/>
        <v>BOLETO</v>
      </c>
      <c r="D1600" t="str">
        <f>"071625253152255"</f>
        <v>071625253152255</v>
      </c>
      <c r="E1600" t="str">
        <f>"03"</f>
        <v>03</v>
      </c>
      <c r="F1600" t="str">
        <f t="shared" si="268"/>
        <v>COM</v>
      </c>
      <c r="G1600" t="str">
        <f t="shared" si="278"/>
        <v>MINISTERIO DA FAZENDA (20009)</v>
      </c>
      <c r="H1600" t="str">
        <f>"PAGAMENTO INSS COMPLEMENTO PRESTADOR FABIANO 12/2024"</f>
        <v>PAGAMENTO INSS COMPLEMENTO PRESTADOR FABIANO 12/2024</v>
      </c>
      <c r="I1600" t="str">
        <f t="shared" si="274"/>
        <v>10/09/2025</v>
      </c>
      <c r="J1600" t="str">
        <f t="shared" si="279"/>
        <v>01/08/2025</v>
      </c>
      <c r="K1600" t="str">
        <f>("10/09/2025")</f>
        <v>10/09/2025</v>
      </c>
      <c r="L1600">
        <v>226.74</v>
      </c>
      <c r="M1600">
        <v>226.74</v>
      </c>
      <c r="N1600">
        <v>112</v>
      </c>
      <c r="O1600" t="str">
        <f>"INSS"</f>
        <v>INSS</v>
      </c>
      <c r="P1600">
        <v>226.74</v>
      </c>
      <c r="S1600" t="str">
        <f>"BANCO C6 (149)"</f>
        <v>BANCO C6 (149)</v>
      </c>
      <c r="T1600">
        <v>23421</v>
      </c>
      <c r="U1600">
        <v>21909</v>
      </c>
      <c r="V1600" t="s">
        <v>77</v>
      </c>
    </row>
    <row r="1601" spans="1:22">
      <c r="A1601" t="str">
        <f t="shared" si="280"/>
        <v>10/09/2025</v>
      </c>
      <c r="B1601" t="str">
        <f t="shared" si="276"/>
        <v>SAÍDA</v>
      </c>
      <c r="C1601" t="str">
        <f t="shared" si="277"/>
        <v>BOLETO</v>
      </c>
      <c r="D1601" t="str">
        <f>"071625253152255"</f>
        <v>071625253152255</v>
      </c>
      <c r="E1601" t="str">
        <f>"03"</f>
        <v>03</v>
      </c>
      <c r="F1601" t="str">
        <f t="shared" si="268"/>
        <v>COM</v>
      </c>
      <c r="G1601" t="str">
        <f t="shared" si="278"/>
        <v>MINISTERIO DA FAZENDA (20009)</v>
      </c>
      <c r="H1601" t="s">
        <v>490</v>
      </c>
      <c r="I1601" t="str">
        <f t="shared" si="274"/>
        <v>10/09/2025</v>
      </c>
      <c r="J1601" t="str">
        <f t="shared" si="279"/>
        <v>01/08/2025</v>
      </c>
      <c r="K1601">
        <v>45910</v>
      </c>
      <c r="N1601">
        <v>112</v>
      </c>
      <c r="O1601" t="s">
        <v>479</v>
      </c>
      <c r="Q1601">
        <v>226.74</v>
      </c>
      <c r="R1601" t="str">
        <f>"MINISTERIO DA FAZENDA (20009)"</f>
        <v>MINISTERIO DA FAZENDA (20009)</v>
      </c>
      <c r="S1601" t="s">
        <v>77</v>
      </c>
      <c r="T1601">
        <v>23421</v>
      </c>
      <c r="U1601">
        <v>21909</v>
      </c>
      <c r="V1601" t="s">
        <v>77</v>
      </c>
    </row>
    <row r="1602" spans="1:22">
      <c r="A1602" t="str">
        <f t="shared" si="280"/>
        <v>10/09/2025</v>
      </c>
      <c r="B1602" t="str">
        <f t="shared" si="276"/>
        <v>SAÍDA</v>
      </c>
      <c r="C1602" t="str">
        <f t="shared" si="277"/>
        <v>BOLETO</v>
      </c>
      <c r="D1602" t="str">
        <f>"071625252075177"</f>
        <v>071625252075177</v>
      </c>
      <c r="E1602" t="str">
        <f>"87"</f>
        <v>87</v>
      </c>
      <c r="F1602" t="str">
        <f t="shared" si="268"/>
        <v>COM</v>
      </c>
      <c r="G1602" t="str">
        <f t="shared" si="278"/>
        <v>MINISTERIO DA FAZENDA (20009)</v>
      </c>
      <c r="H1602" t="str">
        <f>"PAGAMENTO INSS COMPLEMENTO PRESTADOR FABIANO 08/2023"</f>
        <v>PAGAMENTO INSS COMPLEMENTO PRESTADOR FABIANO 08/2023</v>
      </c>
      <c r="I1602" t="str">
        <f t="shared" si="274"/>
        <v>10/09/2025</v>
      </c>
      <c r="J1602" t="str">
        <f t="shared" si="279"/>
        <v>01/08/2025</v>
      </c>
      <c r="K1602" t="str">
        <f>("10/09/2025")</f>
        <v>10/09/2025</v>
      </c>
      <c r="L1602">
        <v>179.73</v>
      </c>
      <c r="M1602">
        <v>179.73</v>
      </c>
      <c r="N1602">
        <v>112</v>
      </c>
      <c r="O1602" t="str">
        <f>"INSS"</f>
        <v>INSS</v>
      </c>
      <c r="P1602">
        <v>179.73</v>
      </c>
      <c r="S1602" t="str">
        <f>"BANCO C6 (149)"</f>
        <v>BANCO C6 (149)</v>
      </c>
      <c r="T1602">
        <v>23422</v>
      </c>
      <c r="U1602">
        <v>21910</v>
      </c>
      <c r="V1602" t="s">
        <v>77</v>
      </c>
    </row>
    <row r="1603" spans="1:22">
      <c r="A1603" t="str">
        <f t="shared" si="280"/>
        <v>10/09/2025</v>
      </c>
      <c r="B1603" t="str">
        <f t="shared" si="276"/>
        <v>SAÍDA</v>
      </c>
      <c r="C1603" t="str">
        <f t="shared" si="277"/>
        <v>BOLETO</v>
      </c>
      <c r="D1603" t="str">
        <f>"071625252075177"</f>
        <v>071625252075177</v>
      </c>
      <c r="E1603" t="str">
        <f>"87"</f>
        <v>87</v>
      </c>
      <c r="F1603" t="str">
        <f t="shared" si="268"/>
        <v>COM</v>
      </c>
      <c r="G1603" t="str">
        <f t="shared" si="278"/>
        <v>MINISTERIO DA FAZENDA (20009)</v>
      </c>
      <c r="H1603" t="s">
        <v>491</v>
      </c>
      <c r="I1603" t="str">
        <f t="shared" ref="I1603:I1611" si="281">("10/09/2025")</f>
        <v>10/09/2025</v>
      </c>
      <c r="J1603" t="str">
        <f t="shared" si="279"/>
        <v>01/08/2025</v>
      </c>
      <c r="K1603">
        <v>45910</v>
      </c>
      <c r="N1603">
        <v>112</v>
      </c>
      <c r="O1603" t="s">
        <v>479</v>
      </c>
      <c r="Q1603">
        <v>179.73</v>
      </c>
      <c r="R1603" t="str">
        <f>"MINISTERIO DA FAZENDA (20009)"</f>
        <v>MINISTERIO DA FAZENDA (20009)</v>
      </c>
      <c r="S1603" t="s">
        <v>77</v>
      </c>
      <c r="T1603">
        <v>23422</v>
      </c>
      <c r="U1603">
        <v>21910</v>
      </c>
      <c r="V1603" t="s">
        <v>77</v>
      </c>
    </row>
    <row r="1604" spans="1:22">
      <c r="A1604" t="str">
        <f t="shared" si="280"/>
        <v>10/09/2025</v>
      </c>
      <c r="B1604" t="str">
        <f t="shared" si="276"/>
        <v>SAÍDA</v>
      </c>
      <c r="C1604" t="str">
        <f t="shared" si="277"/>
        <v>BOLETO</v>
      </c>
      <c r="D1604" t="str">
        <f>"071625252078899"</f>
        <v>071625252078899</v>
      </c>
      <c r="E1604" t="str">
        <f>"35"</f>
        <v>35</v>
      </c>
      <c r="F1604" t="str">
        <f t="shared" si="268"/>
        <v>COM</v>
      </c>
      <c r="G1604" t="str">
        <f t="shared" si="278"/>
        <v>MINISTERIO DA FAZENDA (20009)</v>
      </c>
      <c r="H1604" t="str">
        <f>"PAGAMENTO INSS COMPLEMENTO PRESTADOR FABIANO 03/2024"</f>
        <v>PAGAMENTO INSS COMPLEMENTO PRESTADOR FABIANO 03/2024</v>
      </c>
      <c r="I1604" t="str">
        <f t="shared" si="281"/>
        <v>10/09/2025</v>
      </c>
      <c r="J1604" t="str">
        <f t="shared" si="279"/>
        <v>01/08/2025</v>
      </c>
      <c r="K1604" t="str">
        <f>("10/09/2025")</f>
        <v>10/09/2025</v>
      </c>
      <c r="L1604">
        <v>210.5</v>
      </c>
      <c r="M1604">
        <v>210.5</v>
      </c>
      <c r="N1604">
        <v>112</v>
      </c>
      <c r="O1604" t="str">
        <f>"INSS"</f>
        <v>INSS</v>
      </c>
      <c r="P1604">
        <v>210.5</v>
      </c>
      <c r="S1604" t="str">
        <f>"BANCO C6 (149)"</f>
        <v>BANCO C6 (149)</v>
      </c>
      <c r="T1604">
        <v>23423</v>
      </c>
      <c r="U1604">
        <v>21911</v>
      </c>
      <c r="V1604" t="s">
        <v>77</v>
      </c>
    </row>
    <row r="1605" spans="1:22">
      <c r="A1605" t="str">
        <f t="shared" si="280"/>
        <v>10/09/2025</v>
      </c>
      <c r="B1605" t="str">
        <f t="shared" si="276"/>
        <v>SAÍDA</v>
      </c>
      <c r="C1605" t="str">
        <f t="shared" si="277"/>
        <v>BOLETO</v>
      </c>
      <c r="D1605" t="str">
        <f>"071625252078899"</f>
        <v>071625252078899</v>
      </c>
      <c r="E1605" t="str">
        <f>"35"</f>
        <v>35</v>
      </c>
      <c r="F1605" t="str">
        <f t="shared" si="268"/>
        <v>COM</v>
      </c>
      <c r="G1605" t="str">
        <f t="shared" si="278"/>
        <v>MINISTERIO DA FAZENDA (20009)</v>
      </c>
      <c r="H1605" t="s">
        <v>492</v>
      </c>
      <c r="I1605" t="str">
        <f t="shared" si="281"/>
        <v>10/09/2025</v>
      </c>
      <c r="J1605" t="str">
        <f t="shared" si="279"/>
        <v>01/08/2025</v>
      </c>
      <c r="K1605">
        <v>45910</v>
      </c>
      <c r="N1605">
        <v>112</v>
      </c>
      <c r="O1605" t="s">
        <v>479</v>
      </c>
      <c r="Q1605">
        <v>210.5</v>
      </c>
      <c r="R1605" t="str">
        <f>"MINISTERIO DA FAZENDA (20009)"</f>
        <v>MINISTERIO DA FAZENDA (20009)</v>
      </c>
      <c r="S1605" t="s">
        <v>77</v>
      </c>
      <c r="T1605">
        <v>23423</v>
      </c>
      <c r="U1605">
        <v>21911</v>
      </c>
      <c r="V1605" t="s">
        <v>77</v>
      </c>
    </row>
    <row r="1606" spans="1:22">
      <c r="A1606" t="str">
        <f t="shared" si="280"/>
        <v>10/09/2025</v>
      </c>
      <c r="B1606" t="str">
        <f t="shared" si="276"/>
        <v>SAÍDA</v>
      </c>
      <c r="C1606" t="str">
        <f t="shared" si="277"/>
        <v>BOLETO</v>
      </c>
      <c r="D1606" t="str">
        <f>"071625252991894"</f>
        <v>071625252991894</v>
      </c>
      <c r="E1606" t="str">
        <f>"20"</f>
        <v>20</v>
      </c>
      <c r="F1606" t="str">
        <f t="shared" si="268"/>
        <v>COM</v>
      </c>
      <c r="G1606" t="str">
        <f t="shared" si="278"/>
        <v>MINISTERIO DA FAZENDA (20009)</v>
      </c>
      <c r="H1606" t="str">
        <f>"PAGAMENTO INSS COMPLEMENTO PRESTADOR FABIANO 06/2023"</f>
        <v>PAGAMENTO INSS COMPLEMENTO PRESTADOR FABIANO 06/2023</v>
      </c>
      <c r="I1606" t="str">
        <f t="shared" si="281"/>
        <v>10/09/2025</v>
      </c>
      <c r="J1606" t="str">
        <f t="shared" si="279"/>
        <v>01/08/2025</v>
      </c>
      <c r="K1606" t="str">
        <f>("10/09/2025")</f>
        <v>10/09/2025</v>
      </c>
      <c r="L1606">
        <v>168.01</v>
      </c>
      <c r="M1606">
        <v>168.01</v>
      </c>
      <c r="N1606">
        <v>112</v>
      </c>
      <c r="O1606" t="str">
        <f>"INSS"</f>
        <v>INSS</v>
      </c>
      <c r="P1606">
        <v>168.01</v>
      </c>
      <c r="S1606" t="str">
        <f>"BANCO C6 (149)"</f>
        <v>BANCO C6 (149)</v>
      </c>
      <c r="T1606">
        <v>23424</v>
      </c>
      <c r="U1606">
        <v>21912</v>
      </c>
      <c r="V1606" t="s">
        <v>77</v>
      </c>
    </row>
    <row r="1607" spans="1:22">
      <c r="A1607" t="str">
        <f t="shared" si="280"/>
        <v>10/09/2025</v>
      </c>
      <c r="B1607" t="str">
        <f t="shared" si="276"/>
        <v>SAÍDA</v>
      </c>
      <c r="C1607" t="str">
        <f t="shared" si="277"/>
        <v>BOLETO</v>
      </c>
      <c r="D1607" t="str">
        <f>"071625252991894"</f>
        <v>071625252991894</v>
      </c>
      <c r="E1607" t="str">
        <f>"20"</f>
        <v>20</v>
      </c>
      <c r="F1607" t="str">
        <f t="shared" si="268"/>
        <v>COM</v>
      </c>
      <c r="G1607" t="str">
        <f t="shared" si="278"/>
        <v>MINISTERIO DA FAZENDA (20009)</v>
      </c>
      <c r="H1607" t="s">
        <v>493</v>
      </c>
      <c r="I1607" t="str">
        <f t="shared" si="281"/>
        <v>10/09/2025</v>
      </c>
      <c r="J1607" t="str">
        <f t="shared" si="279"/>
        <v>01/08/2025</v>
      </c>
      <c r="K1607">
        <v>45910</v>
      </c>
      <c r="N1607">
        <v>112</v>
      </c>
      <c r="O1607" t="s">
        <v>479</v>
      </c>
      <c r="Q1607">
        <v>168.01</v>
      </c>
      <c r="R1607" t="str">
        <f>"MINISTERIO DA FAZENDA (20009)"</f>
        <v>MINISTERIO DA FAZENDA (20009)</v>
      </c>
      <c r="S1607" t="s">
        <v>77</v>
      </c>
      <c r="T1607">
        <v>23424</v>
      </c>
      <c r="U1607">
        <v>21912</v>
      </c>
      <c r="V1607" t="s">
        <v>77</v>
      </c>
    </row>
    <row r="1608" spans="1:22">
      <c r="A1608" t="str">
        <f t="shared" si="280"/>
        <v>10/09/2025</v>
      </c>
      <c r="B1608" t="str">
        <f t="shared" si="276"/>
        <v>SAÍDA</v>
      </c>
      <c r="C1608" t="str">
        <f t="shared" si="277"/>
        <v>BOLETO</v>
      </c>
      <c r="D1608" t="str">
        <f>"071625252078315"</f>
        <v>071625252078315</v>
      </c>
      <c r="E1608" t="str">
        <f>"97"</f>
        <v>97</v>
      </c>
      <c r="F1608" t="str">
        <f t="shared" si="268"/>
        <v>COM</v>
      </c>
      <c r="G1608" t="str">
        <f t="shared" si="278"/>
        <v>MINISTERIO DA FAZENDA (20009)</v>
      </c>
      <c r="H1608" t="str">
        <f>"PAGAMENTO INSS COMPLEMENTO PRESTADOR FABIANO 01/2024"</f>
        <v>PAGAMENTO INSS COMPLEMENTO PRESTADOR FABIANO 01/2024</v>
      </c>
      <c r="I1608" t="str">
        <f t="shared" si="281"/>
        <v>10/09/2025</v>
      </c>
      <c r="J1608" t="str">
        <f t="shared" si="279"/>
        <v>01/08/2025</v>
      </c>
      <c r="K1608" t="str">
        <f>("10/09/2025")</f>
        <v>10/09/2025</v>
      </c>
      <c r="L1608">
        <v>241.73</v>
      </c>
      <c r="M1608">
        <v>241.73</v>
      </c>
      <c r="N1608">
        <v>112</v>
      </c>
      <c r="O1608" t="str">
        <f>"INSS"</f>
        <v>INSS</v>
      </c>
      <c r="P1608">
        <v>241.73</v>
      </c>
      <c r="S1608" t="str">
        <f>"BANCO C6 (149)"</f>
        <v>BANCO C6 (149)</v>
      </c>
      <c r="T1608">
        <v>23425</v>
      </c>
      <c r="U1608">
        <v>21913</v>
      </c>
      <c r="V1608" t="s">
        <v>77</v>
      </c>
    </row>
    <row r="1609" spans="1:22">
      <c r="A1609" t="str">
        <f t="shared" si="280"/>
        <v>10/09/2025</v>
      </c>
      <c r="B1609" t="str">
        <f t="shared" si="276"/>
        <v>SAÍDA</v>
      </c>
      <c r="C1609" t="str">
        <f t="shared" si="277"/>
        <v>BOLETO</v>
      </c>
      <c r="D1609" t="str">
        <f>"071625252078315"</f>
        <v>071625252078315</v>
      </c>
      <c r="E1609" t="str">
        <f>"97"</f>
        <v>97</v>
      </c>
      <c r="F1609" t="str">
        <f t="shared" si="268"/>
        <v>COM</v>
      </c>
      <c r="G1609" t="str">
        <f t="shared" si="278"/>
        <v>MINISTERIO DA FAZENDA (20009)</v>
      </c>
      <c r="H1609" t="s">
        <v>494</v>
      </c>
      <c r="I1609" t="str">
        <f t="shared" si="281"/>
        <v>10/09/2025</v>
      </c>
      <c r="J1609" t="str">
        <f t="shared" si="279"/>
        <v>01/08/2025</v>
      </c>
      <c r="K1609">
        <v>45910</v>
      </c>
      <c r="N1609">
        <v>112</v>
      </c>
      <c r="O1609" t="s">
        <v>479</v>
      </c>
      <c r="Q1609">
        <v>241.73</v>
      </c>
      <c r="R1609" t="str">
        <f>"MINISTERIO DA FAZENDA (20009)"</f>
        <v>MINISTERIO DA FAZENDA (20009)</v>
      </c>
      <c r="S1609" t="s">
        <v>77</v>
      </c>
      <c r="T1609">
        <v>23425</v>
      </c>
      <c r="U1609">
        <v>21913</v>
      </c>
      <c r="V1609" t="s">
        <v>77</v>
      </c>
    </row>
    <row r="1610" spans="1:22">
      <c r="A1610" t="str">
        <f t="shared" si="280"/>
        <v>10/09/2025</v>
      </c>
      <c r="B1610" t="str">
        <f t="shared" si="276"/>
        <v>SAÍDA</v>
      </c>
      <c r="C1610" t="str">
        <f t="shared" si="277"/>
        <v>BOLETO</v>
      </c>
      <c r="D1610" t="str">
        <f>"071625253150439"</f>
        <v>071625253150439</v>
      </c>
      <c r="E1610" t="str">
        <f>"95"</f>
        <v>95</v>
      </c>
      <c r="F1610" t="str">
        <f t="shared" si="268"/>
        <v>COM</v>
      </c>
      <c r="G1610" t="str">
        <f t="shared" si="278"/>
        <v>MINISTERIO DA FAZENDA (20009)</v>
      </c>
      <c r="H1610" t="str">
        <f>"PAGAMENTO INSS COMPLEMENTO PRESTADOR FABIANO 11/2024"</f>
        <v>PAGAMENTO INSS COMPLEMENTO PRESTADOR FABIANO 11/2024</v>
      </c>
      <c r="I1610" t="str">
        <f t="shared" si="281"/>
        <v>10/09/2025</v>
      </c>
      <c r="J1610" t="str">
        <f t="shared" si="279"/>
        <v>01/08/2025</v>
      </c>
      <c r="K1610" t="str">
        <f>("10/09/2025")</f>
        <v>10/09/2025</v>
      </c>
      <c r="L1610">
        <v>206.86</v>
      </c>
      <c r="M1610">
        <v>206.86</v>
      </c>
      <c r="N1610">
        <v>112</v>
      </c>
      <c r="O1610" t="str">
        <f>"INSS"</f>
        <v>INSS</v>
      </c>
      <c r="P1610">
        <v>206.86</v>
      </c>
      <c r="S1610" t="str">
        <f>"BANCO C6 (149)"</f>
        <v>BANCO C6 (149)</v>
      </c>
      <c r="T1610">
        <v>23426</v>
      </c>
      <c r="U1610">
        <v>21914</v>
      </c>
      <c r="V1610" t="s">
        <v>77</v>
      </c>
    </row>
    <row r="1611" spans="1:22">
      <c r="A1611" t="str">
        <f t="shared" si="280"/>
        <v>10/09/2025</v>
      </c>
      <c r="B1611" t="str">
        <f t="shared" si="276"/>
        <v>SAÍDA</v>
      </c>
      <c r="C1611" t="str">
        <f t="shared" si="277"/>
        <v>BOLETO</v>
      </c>
      <c r="D1611" t="str">
        <f>"071625253150439"</f>
        <v>071625253150439</v>
      </c>
      <c r="E1611" t="str">
        <f>"95"</f>
        <v>95</v>
      </c>
      <c r="F1611" t="str">
        <f t="shared" si="268"/>
        <v>COM</v>
      </c>
      <c r="G1611" t="str">
        <f t="shared" si="278"/>
        <v>MINISTERIO DA FAZENDA (20009)</v>
      </c>
      <c r="H1611" t="s">
        <v>495</v>
      </c>
      <c r="I1611" t="str">
        <f t="shared" si="281"/>
        <v>10/09/2025</v>
      </c>
      <c r="J1611" t="str">
        <f t="shared" si="279"/>
        <v>01/08/2025</v>
      </c>
      <c r="K1611">
        <v>45910</v>
      </c>
      <c r="N1611">
        <v>112</v>
      </c>
      <c r="O1611" t="s">
        <v>479</v>
      </c>
      <c r="Q1611">
        <v>206.86</v>
      </c>
      <c r="R1611" t="str">
        <f>"MINISTERIO DA FAZENDA (20009)"</f>
        <v>MINISTERIO DA FAZENDA (20009)</v>
      </c>
      <c r="S1611" t="s">
        <v>77</v>
      </c>
      <c r="T1611">
        <v>23426</v>
      </c>
      <c r="U1611">
        <v>21914</v>
      </c>
      <c r="V1611" t="s">
        <v>77</v>
      </c>
    </row>
    <row r="1612" spans="1:22">
      <c r="A1612" t="str">
        <f t="shared" ref="A1612:A1675" si="282">("11/09/2025")</f>
        <v>11/09/2025</v>
      </c>
      <c r="B1612" t="str">
        <f>"ENTRADA"</f>
        <v>ENTRADA</v>
      </c>
      <c r="C1612" t="str">
        <f>"DINHEIRO"</f>
        <v>DINHEIRO</v>
      </c>
      <c r="D1612" t="str">
        <f>"765"</f>
        <v>765</v>
      </c>
      <c r="E1612" t="str">
        <f>"4"</f>
        <v>4</v>
      </c>
      <c r="F1612" t="str">
        <f t="shared" si="268"/>
        <v>COM</v>
      </c>
      <c r="G1612" t="str">
        <f t="shared" ref="G1612:G1617" si="283">"NATANAEL AZEVEDO DOS SANTOS (765)"</f>
        <v>NATANAEL AZEVEDO DOS SANTOS (765)</v>
      </c>
      <c r="H1612" t="str">
        <f>"COTA COOPERATIVA"</f>
        <v>COTA COOPERATIVA</v>
      </c>
      <c r="I1612" t="str">
        <f>("12/09/2025")</f>
        <v>12/09/2025</v>
      </c>
      <c r="J1612" t="str">
        <f>("19/04/2025")</f>
        <v>19/04/2025</v>
      </c>
      <c r="K1612" t="str">
        <f>("11/09/2025")</f>
        <v>11/09/2025</v>
      </c>
      <c r="L1612">
        <v>20</v>
      </c>
      <c r="M1612">
        <v>20</v>
      </c>
      <c r="N1612">
        <v>106</v>
      </c>
      <c r="O1612" t="str">
        <f>"ENTRADA DE CAPITAL"</f>
        <v>ENTRADA DE CAPITAL</v>
      </c>
      <c r="P1612">
        <v>20</v>
      </c>
      <c r="S1612" t="str">
        <f>"ENTRADA DE CAPITAL (106)"</f>
        <v>ENTRADA DE CAPITAL (106)</v>
      </c>
      <c r="T1612">
        <v>18049</v>
      </c>
      <c r="U1612">
        <v>17086</v>
      </c>
      <c r="V1612" t="s">
        <v>48</v>
      </c>
    </row>
    <row r="1613" spans="1:22">
      <c r="A1613" t="str">
        <f t="shared" si="282"/>
        <v>11/09/2025</v>
      </c>
      <c r="B1613" t="str">
        <f>"ENTRADA"</f>
        <v>ENTRADA</v>
      </c>
      <c r="C1613" t="str">
        <f>"DINHEIRO"</f>
        <v>DINHEIRO</v>
      </c>
      <c r="D1613" t="str">
        <f>"765"</f>
        <v>765</v>
      </c>
      <c r="E1613" t="str">
        <f>"4"</f>
        <v>4</v>
      </c>
      <c r="F1613" t="str">
        <f t="shared" si="268"/>
        <v>COM</v>
      </c>
      <c r="G1613" t="str">
        <f t="shared" si="283"/>
        <v>NATANAEL AZEVEDO DOS SANTOS (765)</v>
      </c>
      <c r="H1613" t="s">
        <v>50</v>
      </c>
      <c r="I1613" t="str">
        <f>("12/09/2025")</f>
        <v>12/09/2025</v>
      </c>
      <c r="J1613" t="str">
        <f>("19/04/2025")</f>
        <v>19/04/2025</v>
      </c>
      <c r="K1613">
        <v>45911</v>
      </c>
      <c r="N1613">
        <v>106</v>
      </c>
      <c r="O1613" t="s">
        <v>51</v>
      </c>
      <c r="Q1613">
        <v>20</v>
      </c>
      <c r="R1613" t="str">
        <f>"NATANAEL AZEVEDO DOS SANTOS (765)"</f>
        <v>NATANAEL AZEVEDO DOS SANTOS (765)</v>
      </c>
      <c r="S1613" t="s">
        <v>52</v>
      </c>
      <c r="T1613">
        <v>18049</v>
      </c>
      <c r="U1613">
        <v>17086</v>
      </c>
      <c r="V1613" t="s">
        <v>48</v>
      </c>
    </row>
    <row r="1614" spans="1:22">
      <c r="A1614" t="str">
        <f t="shared" si="282"/>
        <v>11/09/2025</v>
      </c>
      <c r="B1614" t="str">
        <f t="shared" ref="B1614:B1677" si="284">"SAÍDA"</f>
        <v>SAÍDA</v>
      </c>
      <c r="C1614" t="str">
        <f t="shared" ref="C1614:C1677" si="285">"PIX"</f>
        <v>PIX</v>
      </c>
      <c r="D1614" t="str">
        <f>"21612"</f>
        <v>21612</v>
      </c>
      <c r="E1614" t="str">
        <f>"1"</f>
        <v>1</v>
      </c>
      <c r="F1614" t="str">
        <f t="shared" si="268"/>
        <v>COM</v>
      </c>
      <c r="G1614" t="str">
        <f t="shared" si="283"/>
        <v>NATANAEL AZEVEDO DOS SANTOS (765)</v>
      </c>
      <c r="H1614" t="str">
        <f>"Serv.Prest. 01/09/2025 a 07/09/2025 - PIX: CPF - CHAVE: 007.842.745-25"</f>
        <v>Serv.Prest. 01/09/2025 a 07/09/2025 - PIX: CPF - CHAVE: 007.842.745-25</v>
      </c>
      <c r="I1614" t="str">
        <f>("18/09/2025")</f>
        <v>18/09/2025</v>
      </c>
      <c r="J1614" t="str">
        <f>("08/09/2025")</f>
        <v>08/09/2025</v>
      </c>
      <c r="K1614" t="str">
        <f>("11/09/2025")</f>
        <v>11/09/2025</v>
      </c>
      <c r="L1614">
        <v>20</v>
      </c>
      <c r="M1614">
        <v>20</v>
      </c>
      <c r="N1614">
        <v>109</v>
      </c>
      <c r="O1614" t="str">
        <f>"PAGAMENTO DE ENTREGADORES"</f>
        <v>PAGAMENTO DE ENTREGADORES</v>
      </c>
      <c r="P1614">
        <v>20</v>
      </c>
      <c r="S1614" t="str">
        <f>"CAIXA MOVIMENTAÇÃO OPERACIONAL (132)"</f>
        <v>CAIXA MOVIMENTAÇÃO OPERACIONAL (132)</v>
      </c>
      <c r="T1614">
        <v>18050</v>
      </c>
      <c r="U1614">
        <v>21918</v>
      </c>
      <c r="V1614" t="s">
        <v>48</v>
      </c>
    </row>
    <row r="1615" spans="1:22">
      <c r="A1615" t="str">
        <f t="shared" si="282"/>
        <v>11/09/2025</v>
      </c>
      <c r="B1615" t="str">
        <f t="shared" si="284"/>
        <v>SAÍDA</v>
      </c>
      <c r="C1615" t="str">
        <f t="shared" si="285"/>
        <v>PIX</v>
      </c>
      <c r="D1615" t="str">
        <f>"21612"</f>
        <v>21612</v>
      </c>
      <c r="E1615" t="str">
        <f>"1"</f>
        <v>1</v>
      </c>
      <c r="F1615" t="str">
        <f t="shared" si="268"/>
        <v>COM</v>
      </c>
      <c r="G1615" t="str">
        <f t="shared" si="283"/>
        <v>NATANAEL AZEVEDO DOS SANTOS (765)</v>
      </c>
      <c r="H1615" t="s">
        <v>496</v>
      </c>
      <c r="I1615" t="str">
        <f>("18/09/2025")</f>
        <v>18/09/2025</v>
      </c>
      <c r="J1615" t="str">
        <f>("08/09/2025")</f>
        <v>08/09/2025</v>
      </c>
      <c r="K1615">
        <v>45911</v>
      </c>
      <c r="N1615">
        <v>109</v>
      </c>
      <c r="O1615" t="s">
        <v>24</v>
      </c>
      <c r="Q1615">
        <v>20</v>
      </c>
      <c r="R1615" t="str">
        <f>"FARMÁCIA INDIANA LJ 91 (10037)"</f>
        <v>FARMÁCIA INDIANA LJ 91 (10037)</v>
      </c>
      <c r="S1615" t="s">
        <v>48</v>
      </c>
      <c r="T1615">
        <v>18050</v>
      </c>
      <c r="U1615">
        <v>21918</v>
      </c>
      <c r="V1615" t="s">
        <v>48</v>
      </c>
    </row>
    <row r="1616" spans="1:22">
      <c r="A1616" t="str">
        <f t="shared" si="282"/>
        <v>11/09/2025</v>
      </c>
      <c r="B1616" t="str">
        <f t="shared" si="284"/>
        <v>SAÍDA</v>
      </c>
      <c r="C1616" t="str">
        <f t="shared" si="285"/>
        <v>PIX</v>
      </c>
      <c r="D1616" t="str">
        <f>"21612"</f>
        <v>21612</v>
      </c>
      <c r="E1616" t="str">
        <f>"1"</f>
        <v>1</v>
      </c>
      <c r="F1616" t="str">
        <f t="shared" si="268"/>
        <v>COM</v>
      </c>
      <c r="G1616" t="str">
        <f t="shared" si="283"/>
        <v>NATANAEL AZEVEDO DOS SANTOS (765)</v>
      </c>
      <c r="H1616" t="str">
        <f>"Serv.Prest. 01/09/2025 a 07/09/2025 - PIX: CPF - CHAVE: 007.842.745-25"</f>
        <v>Serv.Prest. 01/09/2025 a 07/09/2025 - PIX: CPF - CHAVE: 007.842.745-25</v>
      </c>
      <c r="I1616" t="str">
        <f>("18/09/2025")</f>
        <v>18/09/2025</v>
      </c>
      <c r="J1616" t="str">
        <f>("08/09/2025")</f>
        <v>08/09/2025</v>
      </c>
      <c r="K1616" t="str">
        <f>("11/09/2025")</f>
        <v>11/09/2025</v>
      </c>
      <c r="L1616">
        <v>442</v>
      </c>
      <c r="M1616">
        <v>442</v>
      </c>
      <c r="N1616">
        <v>109</v>
      </c>
      <c r="O1616" t="str">
        <f>"PAGAMENTO DE ENTREGADORES"</f>
        <v>PAGAMENTO DE ENTREGADORES</v>
      </c>
      <c r="P1616">
        <v>442</v>
      </c>
      <c r="S1616" t="str">
        <f>"BANCO CORA (102)"</f>
        <v>BANCO CORA (102)</v>
      </c>
      <c r="T1616">
        <v>18051</v>
      </c>
      <c r="U1616">
        <v>21612</v>
      </c>
      <c r="V1616" t="s">
        <v>22</v>
      </c>
    </row>
    <row r="1617" spans="1:22">
      <c r="A1617" t="str">
        <f t="shared" si="282"/>
        <v>11/09/2025</v>
      </c>
      <c r="B1617" t="str">
        <f t="shared" si="284"/>
        <v>SAÍDA</v>
      </c>
      <c r="C1617" t="str">
        <f t="shared" si="285"/>
        <v>PIX</v>
      </c>
      <c r="D1617" t="str">
        <f>"21612"</f>
        <v>21612</v>
      </c>
      <c r="E1617" t="str">
        <f>"1"</f>
        <v>1</v>
      </c>
      <c r="F1617" t="str">
        <f t="shared" si="268"/>
        <v>COM</v>
      </c>
      <c r="G1617" t="str">
        <f t="shared" si="283"/>
        <v>NATANAEL AZEVEDO DOS SANTOS (765)</v>
      </c>
      <c r="H1617" t="s">
        <v>496</v>
      </c>
      <c r="I1617" t="str">
        <f>("18/09/2025")</f>
        <v>18/09/2025</v>
      </c>
      <c r="J1617" t="str">
        <f>("08/09/2025")</f>
        <v>08/09/2025</v>
      </c>
      <c r="K1617">
        <v>45911</v>
      </c>
      <c r="N1617">
        <v>109</v>
      </c>
      <c r="O1617" t="s">
        <v>24</v>
      </c>
      <c r="Q1617">
        <v>442</v>
      </c>
      <c r="R1617" t="str">
        <f>"FARMÁCIA INDIANA LJ 91 (10037)"</f>
        <v>FARMÁCIA INDIANA LJ 91 (10037)</v>
      </c>
      <c r="S1617" t="s">
        <v>22</v>
      </c>
      <c r="T1617">
        <v>18051</v>
      </c>
      <c r="U1617">
        <v>21612</v>
      </c>
      <c r="V1617" t="s">
        <v>22</v>
      </c>
    </row>
    <row r="1618" spans="1:22">
      <c r="A1618" t="str">
        <f t="shared" si="282"/>
        <v>11/09/2025</v>
      </c>
      <c r="B1618" t="str">
        <f t="shared" si="284"/>
        <v>SAÍDA</v>
      </c>
      <c r="C1618" t="str">
        <f t="shared" si="285"/>
        <v>PIX</v>
      </c>
      <c r="D1618" t="str">
        <f>"1109"</f>
        <v>1109</v>
      </c>
      <c r="E1618" t="str">
        <f>"25"</f>
        <v>25</v>
      </c>
      <c r="F1618" t="str">
        <f t="shared" si="268"/>
        <v>COM</v>
      </c>
      <c r="G1618" t="str">
        <f>"MOABIO AZEVEDO DOS SANTOS (131)"</f>
        <v>MOABIO AZEVEDO DOS SANTOS (131)</v>
      </c>
      <c r="H1618" t="str">
        <f>"ADIANTAMENTO ENTREGAS NAO LANÇADAS - PIX: CNPJ - CHAVE: 33.412.676/0001-41"</f>
        <v>ADIANTAMENTO ENTREGAS NAO LANÇADAS - PIX: CNPJ - CHAVE: 33.412.676/0001-41</v>
      </c>
      <c r="I1618" t="str">
        <f>("11/09/2025")</f>
        <v>11/09/2025</v>
      </c>
      <c r="J1618" t="str">
        <f>("02/09/2025")</f>
        <v>02/09/2025</v>
      </c>
      <c r="K1618" t="str">
        <f>("11/09/2025")</f>
        <v>11/09/2025</v>
      </c>
      <c r="L1618">
        <v>276</v>
      </c>
      <c r="M1618">
        <v>276</v>
      </c>
      <c r="N1618">
        <v>5000</v>
      </c>
      <c r="O1618" t="str">
        <f>"SOLICITACAO DE ADIANTAMENTO"</f>
        <v>SOLICITACAO DE ADIANTAMENTO</v>
      </c>
      <c r="P1618">
        <v>276</v>
      </c>
      <c r="S1618" t="str">
        <f>"BANCO CORA (102)"</f>
        <v>BANCO CORA (102)</v>
      </c>
      <c r="T1618">
        <v>18052</v>
      </c>
      <c r="U1618">
        <v>21919</v>
      </c>
      <c r="V1618" t="s">
        <v>22</v>
      </c>
    </row>
    <row r="1619" spans="1:22">
      <c r="A1619" t="str">
        <f t="shared" si="282"/>
        <v>11/09/2025</v>
      </c>
      <c r="B1619" t="str">
        <f t="shared" si="284"/>
        <v>SAÍDA</v>
      </c>
      <c r="C1619" t="str">
        <f t="shared" si="285"/>
        <v>PIX</v>
      </c>
      <c r="D1619" t="str">
        <f>"1109"</f>
        <v>1109</v>
      </c>
      <c r="E1619" t="str">
        <f>"25"</f>
        <v>25</v>
      </c>
      <c r="F1619" t="str">
        <f t="shared" si="268"/>
        <v>COM</v>
      </c>
      <c r="G1619" t="str">
        <f>"MOABIO AZEVEDO DOS SANTOS (131)"</f>
        <v>MOABIO AZEVEDO DOS SANTOS (131)</v>
      </c>
      <c r="H1619" t="s">
        <v>497</v>
      </c>
      <c r="I1619" t="str">
        <f>("11/09/2025")</f>
        <v>11/09/2025</v>
      </c>
      <c r="J1619" t="str">
        <f>("02/09/2025")</f>
        <v>02/09/2025</v>
      </c>
      <c r="K1619">
        <v>45911</v>
      </c>
      <c r="N1619">
        <v>5000</v>
      </c>
      <c r="O1619" t="s">
        <v>86</v>
      </c>
      <c r="Q1619">
        <v>276</v>
      </c>
      <c r="R1619" t="str">
        <f>"MOABIO AZEVEDO DOS SANTOS (131)"</f>
        <v>MOABIO AZEVEDO DOS SANTOS (131)</v>
      </c>
      <c r="S1619" t="s">
        <v>22</v>
      </c>
      <c r="T1619">
        <v>18052</v>
      </c>
      <c r="U1619">
        <v>21919</v>
      </c>
      <c r="V1619" t="s">
        <v>22</v>
      </c>
    </row>
    <row r="1620" spans="1:22">
      <c r="A1620" t="str">
        <f t="shared" si="282"/>
        <v>11/09/2025</v>
      </c>
      <c r="B1620" t="str">
        <f t="shared" si="284"/>
        <v>SAÍDA</v>
      </c>
      <c r="C1620" t="str">
        <f t="shared" si="285"/>
        <v>PIX</v>
      </c>
      <c r="D1620" t="str">
        <f>"21501"</f>
        <v>21501</v>
      </c>
      <c r="E1620" t="str">
        <f t="shared" ref="E1620:E1683" si="286">"1"</f>
        <v>1</v>
      </c>
      <c r="F1620" t="str">
        <f t="shared" si="268"/>
        <v>COM</v>
      </c>
      <c r="G1620" t="str">
        <f>"CASSIO DIAS RIBEIRO (32)"</f>
        <v>CASSIO DIAS RIBEIRO (32)</v>
      </c>
      <c r="H1620" t="str">
        <f>"Serv.Prest. 01/09/2025 a 07/09/2025 - PIX: CPF - CHAVE: 091.575.986-14"</f>
        <v>Serv.Prest. 01/09/2025 a 07/09/2025 - PIX: CPF - CHAVE: 091.575.986-14</v>
      </c>
      <c r="I1620" t="str">
        <f>("18/09/2025")</f>
        <v>18/09/2025</v>
      </c>
      <c r="J1620" t="str">
        <f>("08/09/2025")</f>
        <v>08/09/2025</v>
      </c>
      <c r="K1620" t="str">
        <f>("11/09/2025")</f>
        <v>11/09/2025</v>
      </c>
      <c r="L1620">
        <v>150</v>
      </c>
      <c r="M1620">
        <v>150</v>
      </c>
      <c r="N1620">
        <v>109</v>
      </c>
      <c r="O1620" t="str">
        <f>"PAGAMENTO DE ENTREGADORES"</f>
        <v>PAGAMENTO DE ENTREGADORES</v>
      </c>
      <c r="P1620">
        <v>150</v>
      </c>
      <c r="S1620" t="str">
        <f>"BANCO CORA (102)"</f>
        <v>BANCO CORA (102)</v>
      </c>
      <c r="T1620">
        <v>18053</v>
      </c>
      <c r="U1620">
        <v>21921</v>
      </c>
      <c r="V1620" t="s">
        <v>22</v>
      </c>
    </row>
    <row r="1621" spans="1:22">
      <c r="A1621" t="str">
        <f t="shared" si="282"/>
        <v>11/09/2025</v>
      </c>
      <c r="B1621" t="str">
        <f t="shared" si="284"/>
        <v>SAÍDA</v>
      </c>
      <c r="C1621" t="str">
        <f t="shared" si="285"/>
        <v>PIX</v>
      </c>
      <c r="D1621" t="str">
        <f>"21501"</f>
        <v>21501</v>
      </c>
      <c r="E1621" t="str">
        <f t="shared" si="286"/>
        <v>1</v>
      </c>
      <c r="F1621" t="str">
        <f t="shared" si="268"/>
        <v>COM</v>
      </c>
      <c r="G1621" t="str">
        <f>"CASSIO DIAS RIBEIRO (32)"</f>
        <v>CASSIO DIAS RIBEIRO (32)</v>
      </c>
      <c r="H1621" t="s">
        <v>498</v>
      </c>
      <c r="I1621" t="str">
        <f>("18/09/2025")</f>
        <v>18/09/2025</v>
      </c>
      <c r="J1621" t="str">
        <f>("08/09/2025")</f>
        <v>08/09/2025</v>
      </c>
      <c r="K1621">
        <v>45911</v>
      </c>
      <c r="N1621">
        <v>109</v>
      </c>
      <c r="O1621" t="s">
        <v>24</v>
      </c>
      <c r="Q1621">
        <v>145.26</v>
      </c>
      <c r="R1621" t="str">
        <f>"FARMÁCIA INDIANA LJ 11 (10008)"</f>
        <v>FARMÁCIA INDIANA LJ 11 (10008)</v>
      </c>
      <c r="S1621" t="s">
        <v>22</v>
      </c>
      <c r="T1621">
        <v>18053</v>
      </c>
      <c r="U1621">
        <v>21921</v>
      </c>
      <c r="V1621" t="s">
        <v>22</v>
      </c>
    </row>
    <row r="1622" spans="1:22">
      <c r="A1622" t="str">
        <f t="shared" si="282"/>
        <v>11/09/2025</v>
      </c>
      <c r="B1622" t="str">
        <f t="shared" si="284"/>
        <v>SAÍDA</v>
      </c>
      <c r="C1622" t="str">
        <f t="shared" si="285"/>
        <v>PIX</v>
      </c>
      <c r="D1622" t="str">
        <f>"21501"</f>
        <v>21501</v>
      </c>
      <c r="E1622" t="str">
        <f t="shared" si="286"/>
        <v>1</v>
      </c>
      <c r="F1622" t="str">
        <f t="shared" si="268"/>
        <v>COM</v>
      </c>
      <c r="G1622" t="str">
        <f>"CASSIO DIAS RIBEIRO (32)"</f>
        <v>CASSIO DIAS RIBEIRO (32)</v>
      </c>
      <c r="H1622" t="s">
        <v>498</v>
      </c>
      <c r="I1622" t="str">
        <f>("18/09/2025")</f>
        <v>18/09/2025</v>
      </c>
      <c r="J1622" t="str">
        <f>("08/09/2025")</f>
        <v>08/09/2025</v>
      </c>
      <c r="K1622">
        <v>45911</v>
      </c>
      <c r="N1622">
        <v>109</v>
      </c>
      <c r="O1622" t="s">
        <v>24</v>
      </c>
      <c r="Q1622">
        <v>4.74</v>
      </c>
      <c r="R1622" t="str">
        <f>"FARMÁCIA INDIANA LJ 172 (10161)"</f>
        <v>FARMÁCIA INDIANA LJ 172 (10161)</v>
      </c>
      <c r="S1622" t="s">
        <v>22</v>
      </c>
      <c r="T1622">
        <v>18053</v>
      </c>
      <c r="U1622">
        <v>21921</v>
      </c>
      <c r="V1622" t="s">
        <v>22</v>
      </c>
    </row>
    <row r="1623" spans="1:22">
      <c r="A1623" t="str">
        <f t="shared" si="282"/>
        <v>11/09/2025</v>
      </c>
      <c r="B1623" t="str">
        <f t="shared" si="284"/>
        <v>SAÍDA</v>
      </c>
      <c r="C1623" t="str">
        <f t="shared" si="285"/>
        <v>PIX</v>
      </c>
      <c r="D1623" t="str">
        <f>"21134"</f>
        <v>21134</v>
      </c>
      <c r="E1623" t="str">
        <f t="shared" si="286"/>
        <v>1</v>
      </c>
      <c r="F1623" t="str">
        <f t="shared" si="268"/>
        <v>COM</v>
      </c>
      <c r="G1623" t="str">
        <f>"CARLOS ALBERTO DE JESUS SANTOS (110)"</f>
        <v>CARLOS ALBERTO DE JESUS SANTOS (110)</v>
      </c>
      <c r="H1623" t="str">
        <f>"Serv.Prest. 25/08/2025 a 31/08/2025 - PIX: CPF - CHAVE: 036.875.515-04"</f>
        <v>Serv.Prest. 25/08/2025 a 31/08/2025 - PIX: CPF - CHAVE: 036.875.515-04</v>
      </c>
      <c r="I1623" t="str">
        <f t="shared" ref="I1623:I1686" si="287">("11/09/2025")</f>
        <v>11/09/2025</v>
      </c>
      <c r="J1623" t="str">
        <f t="shared" ref="J1623:J1686" si="288">("02/09/2025")</f>
        <v>02/09/2025</v>
      </c>
      <c r="K1623" t="str">
        <f>("11/09/2025")</f>
        <v>11/09/2025</v>
      </c>
      <c r="L1623">
        <v>654</v>
      </c>
      <c r="M1623">
        <v>654</v>
      </c>
      <c r="N1623">
        <v>109</v>
      </c>
      <c r="O1623" t="str">
        <f>"PAGAMENTO DE ENTREGADORES"</f>
        <v>PAGAMENTO DE ENTREGADORES</v>
      </c>
      <c r="P1623">
        <v>654</v>
      </c>
      <c r="S1623" t="str">
        <f>"BANCO C6 (149)"</f>
        <v>BANCO C6 (149)</v>
      </c>
      <c r="T1623">
        <v>18054</v>
      </c>
      <c r="U1623">
        <v>21134</v>
      </c>
      <c r="V1623" t="s">
        <v>77</v>
      </c>
    </row>
    <row r="1624" spans="1:22">
      <c r="A1624" t="str">
        <f t="shared" si="282"/>
        <v>11/09/2025</v>
      </c>
      <c r="B1624" t="str">
        <f t="shared" si="284"/>
        <v>SAÍDA</v>
      </c>
      <c r="C1624" t="str">
        <f t="shared" si="285"/>
        <v>PIX</v>
      </c>
      <c r="D1624" t="str">
        <f>"21134"</f>
        <v>21134</v>
      </c>
      <c r="E1624" t="str">
        <f t="shared" si="286"/>
        <v>1</v>
      </c>
      <c r="F1624" t="str">
        <f t="shared" si="268"/>
        <v>COM</v>
      </c>
      <c r="G1624" t="str">
        <f>"CARLOS ALBERTO DE JESUS SANTOS (110)"</f>
        <v>CARLOS ALBERTO DE JESUS SANTOS (110)</v>
      </c>
      <c r="H1624" t="s">
        <v>499</v>
      </c>
      <c r="I1624" t="str">
        <f t="shared" si="287"/>
        <v>11/09/2025</v>
      </c>
      <c r="J1624" t="str">
        <f t="shared" si="288"/>
        <v>02/09/2025</v>
      </c>
      <c r="K1624">
        <v>45911</v>
      </c>
      <c r="N1624">
        <v>109</v>
      </c>
      <c r="O1624" t="s">
        <v>24</v>
      </c>
      <c r="Q1624">
        <v>436.02</v>
      </c>
      <c r="R1624" t="str">
        <f>"FARMÁCIA INDIANA LJ 65 (10030)"</f>
        <v>FARMÁCIA INDIANA LJ 65 (10030)</v>
      </c>
      <c r="S1624" t="s">
        <v>77</v>
      </c>
      <c r="T1624">
        <v>18054</v>
      </c>
      <c r="U1624">
        <v>21134</v>
      </c>
      <c r="V1624" t="s">
        <v>77</v>
      </c>
    </row>
    <row r="1625" spans="1:22">
      <c r="A1625" t="str">
        <f t="shared" si="282"/>
        <v>11/09/2025</v>
      </c>
      <c r="B1625" t="str">
        <f t="shared" si="284"/>
        <v>SAÍDA</v>
      </c>
      <c r="C1625" t="str">
        <f t="shared" si="285"/>
        <v>PIX</v>
      </c>
      <c r="D1625" t="str">
        <f>"21134"</f>
        <v>21134</v>
      </c>
      <c r="E1625" t="str">
        <f t="shared" si="286"/>
        <v>1</v>
      </c>
      <c r="F1625" t="str">
        <f t="shared" si="268"/>
        <v>COM</v>
      </c>
      <c r="G1625" t="str">
        <f>"CARLOS ALBERTO DE JESUS SANTOS (110)"</f>
        <v>CARLOS ALBERTO DE JESUS SANTOS (110)</v>
      </c>
      <c r="H1625" t="s">
        <v>499</v>
      </c>
      <c r="I1625" t="str">
        <f t="shared" si="287"/>
        <v>11/09/2025</v>
      </c>
      <c r="J1625" t="str">
        <f t="shared" si="288"/>
        <v>02/09/2025</v>
      </c>
      <c r="K1625">
        <v>45911</v>
      </c>
      <c r="N1625">
        <v>109</v>
      </c>
      <c r="O1625" t="s">
        <v>24</v>
      </c>
      <c r="Q1625">
        <v>217.98</v>
      </c>
      <c r="R1625" t="str">
        <f>"FARMÁCIA INDIANA LJ 173 (10075)"</f>
        <v>FARMÁCIA INDIANA LJ 173 (10075)</v>
      </c>
      <c r="S1625" t="s">
        <v>77</v>
      </c>
      <c r="T1625">
        <v>18054</v>
      </c>
      <c r="U1625">
        <v>21134</v>
      </c>
      <c r="V1625" t="s">
        <v>77</v>
      </c>
    </row>
    <row r="1626" spans="1:22">
      <c r="A1626" t="str">
        <f t="shared" si="282"/>
        <v>11/09/2025</v>
      </c>
      <c r="B1626" t="str">
        <f t="shared" si="284"/>
        <v>SAÍDA</v>
      </c>
      <c r="C1626" t="str">
        <f t="shared" si="285"/>
        <v>PIX</v>
      </c>
      <c r="D1626" t="str">
        <f>"21136"</f>
        <v>21136</v>
      </c>
      <c r="E1626" t="str">
        <f t="shared" si="286"/>
        <v>1</v>
      </c>
      <c r="F1626" t="str">
        <f t="shared" si="268"/>
        <v>COM</v>
      </c>
      <c r="G1626" t="str">
        <f>"DIOCLECIO SANDES JOTA (135)"</f>
        <v>DIOCLECIO SANDES JOTA (135)</v>
      </c>
      <c r="H1626" t="str">
        <f>"Serv.Prest. 25/08/2025 a 31/08/2025 - PIX: CELULAR - CHAVE: (73) 99966-7211"</f>
        <v>Serv.Prest. 25/08/2025 a 31/08/2025 - PIX: CELULAR - CHAVE: (73) 99966-7211</v>
      </c>
      <c r="I1626" t="str">
        <f t="shared" si="287"/>
        <v>11/09/2025</v>
      </c>
      <c r="J1626" t="str">
        <f t="shared" si="288"/>
        <v>02/09/2025</v>
      </c>
      <c r="K1626" t="str">
        <f>("11/09/2025")</f>
        <v>11/09/2025</v>
      </c>
      <c r="L1626">
        <v>718</v>
      </c>
      <c r="M1626">
        <v>718</v>
      </c>
      <c r="N1626">
        <v>109</v>
      </c>
      <c r="O1626" t="str">
        <f>"PAGAMENTO DE ENTREGADORES"</f>
        <v>PAGAMENTO DE ENTREGADORES</v>
      </c>
      <c r="P1626">
        <v>718</v>
      </c>
      <c r="S1626" t="str">
        <f>"BANCO C6 (149)"</f>
        <v>BANCO C6 (149)</v>
      </c>
      <c r="T1626">
        <v>18055</v>
      </c>
      <c r="U1626">
        <v>21136</v>
      </c>
      <c r="V1626" t="s">
        <v>77</v>
      </c>
    </row>
    <row r="1627" spans="1:22">
      <c r="A1627" t="str">
        <f t="shared" si="282"/>
        <v>11/09/2025</v>
      </c>
      <c r="B1627" t="str">
        <f t="shared" si="284"/>
        <v>SAÍDA</v>
      </c>
      <c r="C1627" t="str">
        <f t="shared" si="285"/>
        <v>PIX</v>
      </c>
      <c r="D1627" t="str">
        <f>"21136"</f>
        <v>21136</v>
      </c>
      <c r="E1627" t="str">
        <f t="shared" si="286"/>
        <v>1</v>
      </c>
      <c r="F1627" t="str">
        <f t="shared" si="268"/>
        <v>COM</v>
      </c>
      <c r="G1627" t="str">
        <f>"DIOCLECIO SANDES JOTA (135)"</f>
        <v>DIOCLECIO SANDES JOTA (135)</v>
      </c>
      <c r="H1627" t="s">
        <v>347</v>
      </c>
      <c r="I1627" t="str">
        <f t="shared" si="287"/>
        <v>11/09/2025</v>
      </c>
      <c r="J1627" t="str">
        <f t="shared" si="288"/>
        <v>02/09/2025</v>
      </c>
      <c r="K1627">
        <v>45911</v>
      </c>
      <c r="N1627">
        <v>109</v>
      </c>
      <c r="O1627" t="s">
        <v>24</v>
      </c>
      <c r="Q1627">
        <v>718</v>
      </c>
      <c r="R1627" t="str">
        <f>"FARMÁCIA INDIANA LJ 91 (10037)"</f>
        <v>FARMÁCIA INDIANA LJ 91 (10037)</v>
      </c>
      <c r="S1627" t="s">
        <v>77</v>
      </c>
      <c r="T1627">
        <v>18055</v>
      </c>
      <c r="U1627">
        <v>21136</v>
      </c>
      <c r="V1627" t="s">
        <v>77</v>
      </c>
    </row>
    <row r="1628" spans="1:22">
      <c r="A1628" t="str">
        <f t="shared" si="282"/>
        <v>11/09/2025</v>
      </c>
      <c r="B1628" t="str">
        <f t="shared" si="284"/>
        <v>SAÍDA</v>
      </c>
      <c r="C1628" t="str">
        <f t="shared" si="285"/>
        <v>PIX</v>
      </c>
      <c r="D1628" t="str">
        <f>"21137"</f>
        <v>21137</v>
      </c>
      <c r="E1628" t="str">
        <f t="shared" si="286"/>
        <v>1</v>
      </c>
      <c r="F1628" t="str">
        <f t="shared" ref="F1628:F1691" si="289">"COM"</f>
        <v>COM</v>
      </c>
      <c r="G1628" t="str">
        <f>"EDUARDO SILVA DE JESUS (143)"</f>
        <v>EDUARDO SILVA DE JESUS (143)</v>
      </c>
      <c r="H1628" t="str">
        <f>"Serv.Prest. 25/08/2025 a 31/08/2025 - PIX: CPF - CHAVE: 094.947.395-23"</f>
        <v>Serv.Prest. 25/08/2025 a 31/08/2025 - PIX: CPF - CHAVE: 094.947.395-23</v>
      </c>
      <c r="I1628" t="str">
        <f t="shared" si="287"/>
        <v>11/09/2025</v>
      </c>
      <c r="J1628" t="str">
        <f t="shared" si="288"/>
        <v>02/09/2025</v>
      </c>
      <c r="K1628" t="str">
        <f>("11/09/2025")</f>
        <v>11/09/2025</v>
      </c>
      <c r="L1628">
        <v>598</v>
      </c>
      <c r="M1628">
        <v>598</v>
      </c>
      <c r="N1628">
        <v>109</v>
      </c>
      <c r="O1628" t="str">
        <f>"PAGAMENTO DE ENTREGADORES"</f>
        <v>PAGAMENTO DE ENTREGADORES</v>
      </c>
      <c r="P1628">
        <v>598</v>
      </c>
      <c r="S1628" t="str">
        <f>"BANCO C6 (149)"</f>
        <v>BANCO C6 (149)</v>
      </c>
      <c r="T1628">
        <v>18056</v>
      </c>
      <c r="U1628">
        <v>21137</v>
      </c>
      <c r="V1628" t="s">
        <v>77</v>
      </c>
    </row>
    <row r="1629" spans="1:22">
      <c r="A1629" t="str">
        <f t="shared" si="282"/>
        <v>11/09/2025</v>
      </c>
      <c r="B1629" t="str">
        <f t="shared" si="284"/>
        <v>SAÍDA</v>
      </c>
      <c r="C1629" t="str">
        <f t="shared" si="285"/>
        <v>PIX</v>
      </c>
      <c r="D1629" t="str">
        <f>"21137"</f>
        <v>21137</v>
      </c>
      <c r="E1629" t="str">
        <f t="shared" si="286"/>
        <v>1</v>
      </c>
      <c r="F1629" t="str">
        <f t="shared" si="289"/>
        <v>COM</v>
      </c>
      <c r="G1629" t="str">
        <f>"EDUARDO SILVA DE JESUS (143)"</f>
        <v>EDUARDO SILVA DE JESUS (143)</v>
      </c>
      <c r="H1629" t="s">
        <v>352</v>
      </c>
      <c r="I1629" t="str">
        <f t="shared" si="287"/>
        <v>11/09/2025</v>
      </c>
      <c r="J1629" t="str">
        <f t="shared" si="288"/>
        <v>02/09/2025</v>
      </c>
      <c r="K1629">
        <v>45911</v>
      </c>
      <c r="N1629">
        <v>109</v>
      </c>
      <c r="O1629" t="s">
        <v>24</v>
      </c>
      <c r="Q1629">
        <v>598</v>
      </c>
      <c r="R1629" t="str">
        <f>"FARMÁCIA INDIANA LJ 91 (10037)"</f>
        <v>FARMÁCIA INDIANA LJ 91 (10037)</v>
      </c>
      <c r="S1629" t="s">
        <v>77</v>
      </c>
      <c r="T1629">
        <v>18056</v>
      </c>
      <c r="U1629">
        <v>21137</v>
      </c>
      <c r="V1629" t="s">
        <v>77</v>
      </c>
    </row>
    <row r="1630" spans="1:22">
      <c r="A1630" t="str">
        <f t="shared" si="282"/>
        <v>11/09/2025</v>
      </c>
      <c r="B1630" t="str">
        <f t="shared" si="284"/>
        <v>SAÍDA</v>
      </c>
      <c r="C1630" t="str">
        <f t="shared" si="285"/>
        <v>PIX</v>
      </c>
      <c r="D1630" t="str">
        <f>"21138"</f>
        <v>21138</v>
      </c>
      <c r="E1630" t="str">
        <f t="shared" si="286"/>
        <v>1</v>
      </c>
      <c r="F1630" t="str">
        <f t="shared" si="289"/>
        <v>COM</v>
      </c>
      <c r="G1630" t="str">
        <f>"ERIC DE RAMOS GOMES (606)"</f>
        <v>ERIC DE RAMOS GOMES (606)</v>
      </c>
      <c r="H1630" t="str">
        <f>"Serv.Prest. 25/08/2025 a 31/08/2025 - PIX: E-MAIL - CHAVE: ericgomes508@gmail.com"</f>
        <v>Serv.Prest. 25/08/2025 a 31/08/2025 - PIX: E-MAIL - CHAVE: ericgomes508@gmail.com</v>
      </c>
      <c r="I1630" t="str">
        <f t="shared" si="287"/>
        <v>11/09/2025</v>
      </c>
      <c r="J1630" t="str">
        <f t="shared" si="288"/>
        <v>02/09/2025</v>
      </c>
      <c r="K1630" t="str">
        <f>("11/09/2025")</f>
        <v>11/09/2025</v>
      </c>
      <c r="L1630">
        <v>676</v>
      </c>
      <c r="M1630">
        <v>676</v>
      </c>
      <c r="N1630">
        <v>109</v>
      </c>
      <c r="O1630" t="str">
        <f>"PAGAMENTO DE ENTREGADORES"</f>
        <v>PAGAMENTO DE ENTREGADORES</v>
      </c>
      <c r="P1630">
        <v>676</v>
      </c>
      <c r="S1630" t="str">
        <f>"BANCO C6 (149)"</f>
        <v>BANCO C6 (149)</v>
      </c>
      <c r="T1630">
        <v>18057</v>
      </c>
      <c r="U1630">
        <v>21138</v>
      </c>
      <c r="V1630" t="s">
        <v>77</v>
      </c>
    </row>
    <row r="1631" spans="1:22">
      <c r="A1631" t="str">
        <f t="shared" si="282"/>
        <v>11/09/2025</v>
      </c>
      <c r="B1631" t="str">
        <f t="shared" si="284"/>
        <v>SAÍDA</v>
      </c>
      <c r="C1631" t="str">
        <f t="shared" si="285"/>
        <v>PIX</v>
      </c>
      <c r="D1631" t="str">
        <f>"21138"</f>
        <v>21138</v>
      </c>
      <c r="E1631" t="str">
        <f t="shared" si="286"/>
        <v>1</v>
      </c>
      <c r="F1631" t="str">
        <f t="shared" si="289"/>
        <v>COM</v>
      </c>
      <c r="G1631" t="str">
        <f>"ERIC DE RAMOS GOMES (606)"</f>
        <v>ERIC DE RAMOS GOMES (606)</v>
      </c>
      <c r="H1631" t="s">
        <v>355</v>
      </c>
      <c r="I1631" t="str">
        <f t="shared" si="287"/>
        <v>11/09/2025</v>
      </c>
      <c r="J1631" t="str">
        <f t="shared" si="288"/>
        <v>02/09/2025</v>
      </c>
      <c r="K1631">
        <v>45911</v>
      </c>
      <c r="N1631">
        <v>109</v>
      </c>
      <c r="O1631" t="s">
        <v>24</v>
      </c>
      <c r="Q1631">
        <v>676</v>
      </c>
      <c r="R1631" t="str">
        <f>"FARMÁCIA INDIANA LJ 91 (10037)"</f>
        <v>FARMÁCIA INDIANA LJ 91 (10037)</v>
      </c>
      <c r="S1631" t="s">
        <v>77</v>
      </c>
      <c r="T1631">
        <v>18057</v>
      </c>
      <c r="U1631">
        <v>21138</v>
      </c>
      <c r="V1631" t="s">
        <v>77</v>
      </c>
    </row>
    <row r="1632" spans="1:22">
      <c r="A1632" t="str">
        <f t="shared" si="282"/>
        <v>11/09/2025</v>
      </c>
      <c r="B1632" t="str">
        <f t="shared" si="284"/>
        <v>SAÍDA</v>
      </c>
      <c r="C1632" t="str">
        <f t="shared" si="285"/>
        <v>PIX</v>
      </c>
      <c r="D1632" t="str">
        <f>"21139"</f>
        <v>21139</v>
      </c>
      <c r="E1632" t="str">
        <f t="shared" si="286"/>
        <v>1</v>
      </c>
      <c r="F1632" t="str">
        <f t="shared" si="289"/>
        <v>COM</v>
      </c>
      <c r="G1632" t="str">
        <f>"ERISVALDO FELIX ALVES (911)"</f>
        <v>ERISVALDO FELIX ALVES (911)</v>
      </c>
      <c r="H1632" t="str">
        <f>"Serv.Prest. 25/08/2025 a 31/08/2025 - PIX: CPF - CHAVE: 005.022.525-10"</f>
        <v>Serv.Prest. 25/08/2025 a 31/08/2025 - PIX: CPF - CHAVE: 005.022.525-10</v>
      </c>
      <c r="I1632" t="str">
        <f t="shared" si="287"/>
        <v>11/09/2025</v>
      </c>
      <c r="J1632" t="str">
        <f t="shared" si="288"/>
        <v>02/09/2025</v>
      </c>
      <c r="K1632" t="str">
        <f>("11/09/2025")</f>
        <v>11/09/2025</v>
      </c>
      <c r="L1632">
        <v>870</v>
      </c>
      <c r="M1632">
        <v>870</v>
      </c>
      <c r="N1632">
        <v>109</v>
      </c>
      <c r="O1632" t="str">
        <f>"PAGAMENTO DE ENTREGADORES"</f>
        <v>PAGAMENTO DE ENTREGADORES</v>
      </c>
      <c r="P1632">
        <v>870</v>
      </c>
      <c r="S1632" t="str">
        <f>"BANCO C6 (149)"</f>
        <v>BANCO C6 (149)</v>
      </c>
      <c r="T1632">
        <v>18058</v>
      </c>
      <c r="U1632">
        <v>21139</v>
      </c>
      <c r="V1632" t="s">
        <v>77</v>
      </c>
    </row>
    <row r="1633" spans="1:22">
      <c r="A1633" t="str">
        <f t="shared" si="282"/>
        <v>11/09/2025</v>
      </c>
      <c r="B1633" t="str">
        <f t="shared" si="284"/>
        <v>SAÍDA</v>
      </c>
      <c r="C1633" t="str">
        <f t="shared" si="285"/>
        <v>PIX</v>
      </c>
      <c r="D1633" t="str">
        <f>"21139"</f>
        <v>21139</v>
      </c>
      <c r="E1633" t="str">
        <f t="shared" si="286"/>
        <v>1</v>
      </c>
      <c r="F1633" t="str">
        <f t="shared" si="289"/>
        <v>COM</v>
      </c>
      <c r="G1633" t="str">
        <f>"ERISVALDO FELIX ALVES (911)"</f>
        <v>ERISVALDO FELIX ALVES (911)</v>
      </c>
      <c r="H1633" t="s">
        <v>500</v>
      </c>
      <c r="I1633" t="str">
        <f t="shared" si="287"/>
        <v>11/09/2025</v>
      </c>
      <c r="J1633" t="str">
        <f t="shared" si="288"/>
        <v>02/09/2025</v>
      </c>
      <c r="K1633">
        <v>45911</v>
      </c>
      <c r="N1633">
        <v>109</v>
      </c>
      <c r="O1633" t="s">
        <v>24</v>
      </c>
      <c r="Q1633">
        <v>870</v>
      </c>
      <c r="R1633" t="str">
        <f>"FARMÁCIA INDIANA LJ 33 (10187)"</f>
        <v>FARMÁCIA INDIANA LJ 33 (10187)</v>
      </c>
      <c r="S1633" t="s">
        <v>77</v>
      </c>
      <c r="T1633">
        <v>18058</v>
      </c>
      <c r="U1633">
        <v>21139</v>
      </c>
      <c r="V1633" t="s">
        <v>77</v>
      </c>
    </row>
    <row r="1634" spans="1:22">
      <c r="A1634" t="str">
        <f t="shared" si="282"/>
        <v>11/09/2025</v>
      </c>
      <c r="B1634" t="str">
        <f t="shared" si="284"/>
        <v>SAÍDA</v>
      </c>
      <c r="C1634" t="str">
        <f t="shared" si="285"/>
        <v>PIX</v>
      </c>
      <c r="D1634" t="str">
        <f>"21140"</f>
        <v>21140</v>
      </c>
      <c r="E1634" t="str">
        <f t="shared" si="286"/>
        <v>1</v>
      </c>
      <c r="F1634" t="str">
        <f t="shared" si="289"/>
        <v>COM</v>
      </c>
      <c r="G1634" t="str">
        <f>"GABRIEL SOUZA RIBEIRO (425)"</f>
        <v>GABRIEL SOUZA RIBEIRO (425)</v>
      </c>
      <c r="H1634" t="str">
        <f>"Serv.Prest. 25/08/2025 a 31/08/2025 - PIX: CPF - CHAVE: 087.398.185-51"</f>
        <v>Serv.Prest. 25/08/2025 a 31/08/2025 - PIX: CPF - CHAVE: 087.398.185-51</v>
      </c>
      <c r="I1634" t="str">
        <f t="shared" si="287"/>
        <v>11/09/2025</v>
      </c>
      <c r="J1634" t="str">
        <f t="shared" si="288"/>
        <v>02/09/2025</v>
      </c>
      <c r="K1634" t="str">
        <f>("11/09/2025")</f>
        <v>11/09/2025</v>
      </c>
      <c r="L1634">
        <v>454</v>
      </c>
      <c r="M1634">
        <v>454</v>
      </c>
      <c r="N1634">
        <v>109</v>
      </c>
      <c r="O1634" t="str">
        <f>"PAGAMENTO DE ENTREGADORES"</f>
        <v>PAGAMENTO DE ENTREGADORES</v>
      </c>
      <c r="P1634">
        <v>454</v>
      </c>
      <c r="S1634" t="str">
        <f>"BANCO C6 (149)"</f>
        <v>BANCO C6 (149)</v>
      </c>
      <c r="T1634">
        <v>18059</v>
      </c>
      <c r="U1634">
        <v>21140</v>
      </c>
      <c r="V1634" t="s">
        <v>77</v>
      </c>
    </row>
    <row r="1635" spans="1:22">
      <c r="A1635" t="str">
        <f t="shared" si="282"/>
        <v>11/09/2025</v>
      </c>
      <c r="B1635" t="str">
        <f t="shared" si="284"/>
        <v>SAÍDA</v>
      </c>
      <c r="C1635" t="str">
        <f t="shared" si="285"/>
        <v>PIX</v>
      </c>
      <c r="D1635" t="str">
        <f>"21140"</f>
        <v>21140</v>
      </c>
      <c r="E1635" t="str">
        <f t="shared" si="286"/>
        <v>1</v>
      </c>
      <c r="F1635" t="str">
        <f t="shared" si="289"/>
        <v>COM</v>
      </c>
      <c r="G1635" t="str">
        <f>"GABRIEL SOUZA RIBEIRO (425)"</f>
        <v>GABRIEL SOUZA RIBEIRO (425)</v>
      </c>
      <c r="H1635" t="s">
        <v>366</v>
      </c>
      <c r="I1635" t="str">
        <f t="shared" si="287"/>
        <v>11/09/2025</v>
      </c>
      <c r="J1635" t="str">
        <f t="shared" si="288"/>
        <v>02/09/2025</v>
      </c>
      <c r="K1635">
        <v>45911</v>
      </c>
      <c r="N1635">
        <v>109</v>
      </c>
      <c r="O1635" t="s">
        <v>24</v>
      </c>
      <c r="Q1635">
        <v>454</v>
      </c>
      <c r="R1635" t="str">
        <f>"FARMÁCIA INDIANA LJ 65 (10030)"</f>
        <v>FARMÁCIA INDIANA LJ 65 (10030)</v>
      </c>
      <c r="S1635" t="s">
        <v>77</v>
      </c>
      <c r="T1635">
        <v>18059</v>
      </c>
      <c r="U1635">
        <v>21140</v>
      </c>
      <c r="V1635" t="s">
        <v>77</v>
      </c>
    </row>
    <row r="1636" spans="1:22">
      <c r="A1636" t="str">
        <f t="shared" si="282"/>
        <v>11/09/2025</v>
      </c>
      <c r="B1636" t="str">
        <f t="shared" si="284"/>
        <v>SAÍDA</v>
      </c>
      <c r="C1636" t="str">
        <f t="shared" si="285"/>
        <v>PIX</v>
      </c>
      <c r="D1636" t="str">
        <f>"21141"</f>
        <v>21141</v>
      </c>
      <c r="E1636" t="str">
        <f t="shared" si="286"/>
        <v>1</v>
      </c>
      <c r="F1636" t="str">
        <f t="shared" si="289"/>
        <v>COM</v>
      </c>
      <c r="G1636" t="str">
        <f>"GILBERTO PINHEIRO DA ROCHA (155)"</f>
        <v>GILBERTO PINHEIRO DA ROCHA (155)</v>
      </c>
      <c r="H1636" t="str">
        <f>"Serv.Prest. 25/08/2025 a 31/08/2025 - PIX: CELULAR - CHAVE: (73) 99941-8352"</f>
        <v>Serv.Prest. 25/08/2025 a 31/08/2025 - PIX: CELULAR - CHAVE: (73) 99941-8352</v>
      </c>
      <c r="I1636" t="str">
        <f t="shared" si="287"/>
        <v>11/09/2025</v>
      </c>
      <c r="J1636" t="str">
        <f t="shared" si="288"/>
        <v>02/09/2025</v>
      </c>
      <c r="K1636" t="str">
        <f>("11/09/2025")</f>
        <v>11/09/2025</v>
      </c>
      <c r="L1636">
        <v>643</v>
      </c>
      <c r="M1636">
        <v>643</v>
      </c>
      <c r="N1636">
        <v>109</v>
      </c>
      <c r="O1636" t="str">
        <f>"PAGAMENTO DE ENTREGADORES"</f>
        <v>PAGAMENTO DE ENTREGADORES</v>
      </c>
      <c r="P1636">
        <v>643</v>
      </c>
      <c r="S1636" t="str">
        <f>"BANCO C6 (149)"</f>
        <v>BANCO C6 (149)</v>
      </c>
      <c r="T1636">
        <v>18060</v>
      </c>
      <c r="U1636">
        <v>21141</v>
      </c>
      <c r="V1636" t="s">
        <v>77</v>
      </c>
    </row>
    <row r="1637" spans="1:22">
      <c r="A1637" t="str">
        <f t="shared" si="282"/>
        <v>11/09/2025</v>
      </c>
      <c r="B1637" t="str">
        <f t="shared" si="284"/>
        <v>SAÍDA</v>
      </c>
      <c r="C1637" t="str">
        <f t="shared" si="285"/>
        <v>PIX</v>
      </c>
      <c r="D1637" t="str">
        <f>"21141"</f>
        <v>21141</v>
      </c>
      <c r="E1637" t="str">
        <f t="shared" si="286"/>
        <v>1</v>
      </c>
      <c r="F1637" t="str">
        <f t="shared" si="289"/>
        <v>COM</v>
      </c>
      <c r="G1637" t="str">
        <f>"GILBERTO PINHEIRO DA ROCHA (155)"</f>
        <v>GILBERTO PINHEIRO DA ROCHA (155)</v>
      </c>
      <c r="H1637" t="s">
        <v>374</v>
      </c>
      <c r="I1637" t="str">
        <f t="shared" si="287"/>
        <v>11/09/2025</v>
      </c>
      <c r="J1637" t="str">
        <f t="shared" si="288"/>
        <v>02/09/2025</v>
      </c>
      <c r="K1637">
        <v>45911</v>
      </c>
      <c r="N1637">
        <v>109</v>
      </c>
      <c r="O1637" t="s">
        <v>24</v>
      </c>
      <c r="Q1637">
        <v>643</v>
      </c>
      <c r="R1637" t="str">
        <f>"FARMÁCIA INDIANA LJ 34 (10014)"</f>
        <v>FARMÁCIA INDIANA LJ 34 (10014)</v>
      </c>
      <c r="S1637" t="s">
        <v>77</v>
      </c>
      <c r="T1637">
        <v>18060</v>
      </c>
      <c r="U1637">
        <v>21141</v>
      </c>
      <c r="V1637" t="s">
        <v>77</v>
      </c>
    </row>
    <row r="1638" spans="1:22">
      <c r="A1638" t="str">
        <f t="shared" si="282"/>
        <v>11/09/2025</v>
      </c>
      <c r="B1638" t="str">
        <f t="shared" si="284"/>
        <v>SAÍDA</v>
      </c>
      <c r="C1638" t="str">
        <f t="shared" si="285"/>
        <v>PIX</v>
      </c>
      <c r="D1638" t="str">
        <f>"21143"</f>
        <v>21143</v>
      </c>
      <c r="E1638" t="str">
        <f t="shared" si="286"/>
        <v>1</v>
      </c>
      <c r="F1638" t="str">
        <f t="shared" si="289"/>
        <v>COM</v>
      </c>
      <c r="G1638" t="str">
        <f>"GUSTAVO SILVA LIMA (771)"</f>
        <v>GUSTAVO SILVA LIMA (771)</v>
      </c>
      <c r="H1638" t="str">
        <f>"Serv.Prest. 25/08/2025 a 31/08/2025 - PIX: CELULAR - CHAVE: (73) 98888-3793"</f>
        <v>Serv.Prest. 25/08/2025 a 31/08/2025 - PIX: CELULAR - CHAVE: (73) 98888-3793</v>
      </c>
      <c r="I1638" t="str">
        <f t="shared" si="287"/>
        <v>11/09/2025</v>
      </c>
      <c r="J1638" t="str">
        <f t="shared" si="288"/>
        <v>02/09/2025</v>
      </c>
      <c r="K1638" t="str">
        <f>("11/09/2025")</f>
        <v>11/09/2025</v>
      </c>
      <c r="L1638">
        <v>634</v>
      </c>
      <c r="M1638">
        <v>634</v>
      </c>
      <c r="N1638">
        <v>109</v>
      </c>
      <c r="O1638" t="str">
        <f>"PAGAMENTO DE ENTREGADORES"</f>
        <v>PAGAMENTO DE ENTREGADORES</v>
      </c>
      <c r="P1638">
        <v>634</v>
      </c>
      <c r="S1638" t="str">
        <f>"BANCO C6 (149)"</f>
        <v>BANCO C6 (149)</v>
      </c>
      <c r="T1638">
        <v>18061</v>
      </c>
      <c r="U1638">
        <v>21143</v>
      </c>
      <c r="V1638" t="s">
        <v>77</v>
      </c>
    </row>
    <row r="1639" spans="1:22">
      <c r="A1639" t="str">
        <f t="shared" si="282"/>
        <v>11/09/2025</v>
      </c>
      <c r="B1639" t="str">
        <f t="shared" si="284"/>
        <v>SAÍDA</v>
      </c>
      <c r="C1639" t="str">
        <f t="shared" si="285"/>
        <v>PIX</v>
      </c>
      <c r="D1639" t="str">
        <f>"21143"</f>
        <v>21143</v>
      </c>
      <c r="E1639" t="str">
        <f t="shared" si="286"/>
        <v>1</v>
      </c>
      <c r="F1639" t="str">
        <f t="shared" si="289"/>
        <v>COM</v>
      </c>
      <c r="G1639" t="str">
        <f>"GUSTAVO SILVA LIMA (771)"</f>
        <v>GUSTAVO SILVA LIMA (771)</v>
      </c>
      <c r="H1639" t="s">
        <v>317</v>
      </c>
      <c r="I1639" t="str">
        <f t="shared" si="287"/>
        <v>11/09/2025</v>
      </c>
      <c r="J1639" t="str">
        <f t="shared" si="288"/>
        <v>02/09/2025</v>
      </c>
      <c r="K1639">
        <v>45911</v>
      </c>
      <c r="N1639">
        <v>109</v>
      </c>
      <c r="O1639" t="s">
        <v>24</v>
      </c>
      <c r="Q1639">
        <v>634</v>
      </c>
      <c r="R1639" t="str">
        <f>"FARMÁCIA INDIANA LJ 65 (10030)"</f>
        <v>FARMÁCIA INDIANA LJ 65 (10030)</v>
      </c>
      <c r="S1639" t="s">
        <v>77</v>
      </c>
      <c r="T1639">
        <v>18061</v>
      </c>
      <c r="U1639">
        <v>21143</v>
      </c>
      <c r="V1639" t="s">
        <v>77</v>
      </c>
    </row>
    <row r="1640" spans="1:22">
      <c r="A1640" t="str">
        <f t="shared" si="282"/>
        <v>11/09/2025</v>
      </c>
      <c r="B1640" t="str">
        <f t="shared" si="284"/>
        <v>SAÍDA</v>
      </c>
      <c r="C1640" t="str">
        <f t="shared" si="285"/>
        <v>PIX</v>
      </c>
      <c r="D1640" t="str">
        <f>"21144"</f>
        <v>21144</v>
      </c>
      <c r="E1640" t="str">
        <f t="shared" si="286"/>
        <v>1</v>
      </c>
      <c r="F1640" t="str">
        <f t="shared" si="289"/>
        <v>COM</v>
      </c>
      <c r="G1640" t="str">
        <f>"JALDENIR MENDES DOS SANTOS (167)"</f>
        <v>JALDENIR MENDES DOS SANTOS (167)</v>
      </c>
      <c r="H1640" t="str">
        <f>"Serv.Prest. 25/08/2025 a 31/08/2025 - PIX: CPF - CHAVE: 439.169.103-53"</f>
        <v>Serv.Prest. 25/08/2025 a 31/08/2025 - PIX: CPF - CHAVE: 439.169.103-53</v>
      </c>
      <c r="I1640" t="str">
        <f t="shared" si="287"/>
        <v>11/09/2025</v>
      </c>
      <c r="J1640" t="str">
        <f t="shared" si="288"/>
        <v>02/09/2025</v>
      </c>
      <c r="K1640" t="str">
        <f>("11/09/2025")</f>
        <v>11/09/2025</v>
      </c>
      <c r="L1640">
        <v>881</v>
      </c>
      <c r="M1640">
        <v>881</v>
      </c>
      <c r="N1640">
        <v>109</v>
      </c>
      <c r="O1640" t="str">
        <f>"PAGAMENTO DE ENTREGADORES"</f>
        <v>PAGAMENTO DE ENTREGADORES</v>
      </c>
      <c r="P1640">
        <v>881</v>
      </c>
      <c r="S1640" t="str">
        <f>"BANCO C6 (149)"</f>
        <v>BANCO C6 (149)</v>
      </c>
      <c r="T1640">
        <v>18062</v>
      </c>
      <c r="U1640">
        <v>21144</v>
      </c>
      <c r="V1640" t="s">
        <v>77</v>
      </c>
    </row>
    <row r="1641" spans="1:22">
      <c r="A1641" t="str">
        <f t="shared" si="282"/>
        <v>11/09/2025</v>
      </c>
      <c r="B1641" t="str">
        <f t="shared" si="284"/>
        <v>SAÍDA</v>
      </c>
      <c r="C1641" t="str">
        <f t="shared" si="285"/>
        <v>PIX</v>
      </c>
      <c r="D1641" t="str">
        <f>"21144"</f>
        <v>21144</v>
      </c>
      <c r="E1641" t="str">
        <f t="shared" si="286"/>
        <v>1</v>
      </c>
      <c r="F1641" t="str">
        <f t="shared" si="289"/>
        <v>COM</v>
      </c>
      <c r="G1641" t="str">
        <f>"JALDENIR MENDES DOS SANTOS (167)"</f>
        <v>JALDENIR MENDES DOS SANTOS (167)</v>
      </c>
      <c r="H1641" t="s">
        <v>381</v>
      </c>
      <c r="I1641" t="str">
        <f t="shared" si="287"/>
        <v>11/09/2025</v>
      </c>
      <c r="J1641" t="str">
        <f t="shared" si="288"/>
        <v>02/09/2025</v>
      </c>
      <c r="K1641">
        <v>45911</v>
      </c>
      <c r="N1641">
        <v>109</v>
      </c>
      <c r="O1641" t="s">
        <v>24</v>
      </c>
      <c r="Q1641">
        <v>881</v>
      </c>
      <c r="R1641" t="str">
        <f>"FARMÁCIA INDIANA LJ 34 (10014)"</f>
        <v>FARMÁCIA INDIANA LJ 34 (10014)</v>
      </c>
      <c r="S1641" t="s">
        <v>77</v>
      </c>
      <c r="T1641">
        <v>18062</v>
      </c>
      <c r="U1641">
        <v>21144</v>
      </c>
      <c r="V1641" t="s">
        <v>77</v>
      </c>
    </row>
    <row r="1642" spans="1:22">
      <c r="A1642" t="str">
        <f t="shared" si="282"/>
        <v>11/09/2025</v>
      </c>
      <c r="B1642" t="str">
        <f t="shared" si="284"/>
        <v>SAÍDA</v>
      </c>
      <c r="C1642" t="str">
        <f t="shared" si="285"/>
        <v>PIX</v>
      </c>
      <c r="D1642" t="str">
        <f>"21145"</f>
        <v>21145</v>
      </c>
      <c r="E1642" t="str">
        <f t="shared" si="286"/>
        <v>1</v>
      </c>
      <c r="F1642" t="str">
        <f t="shared" si="289"/>
        <v>COM</v>
      </c>
      <c r="G1642" t="str">
        <f>"JARLES DE SOUZA PEREIRA (109)"</f>
        <v>JARLES DE SOUZA PEREIRA (109)</v>
      </c>
      <c r="H1642" t="str">
        <f>"Serv.Prest. 25/08/2025 a 31/08/2025 - PIX: CELULAR - CHAVE: (73) 99115-9602"</f>
        <v>Serv.Prest. 25/08/2025 a 31/08/2025 - PIX: CELULAR - CHAVE: (73) 99115-9602</v>
      </c>
      <c r="I1642" t="str">
        <f t="shared" si="287"/>
        <v>11/09/2025</v>
      </c>
      <c r="J1642" t="str">
        <f t="shared" si="288"/>
        <v>02/09/2025</v>
      </c>
      <c r="K1642" t="str">
        <f>("11/09/2025")</f>
        <v>11/09/2025</v>
      </c>
      <c r="L1642">
        <v>634</v>
      </c>
      <c r="M1642">
        <v>634</v>
      </c>
      <c r="N1642">
        <v>109</v>
      </c>
      <c r="O1642" t="str">
        <f>"PAGAMENTO DE ENTREGADORES"</f>
        <v>PAGAMENTO DE ENTREGADORES</v>
      </c>
      <c r="P1642">
        <v>634</v>
      </c>
      <c r="S1642" t="str">
        <f>"BANCO C6 (149)"</f>
        <v>BANCO C6 (149)</v>
      </c>
      <c r="T1642">
        <v>18063</v>
      </c>
      <c r="U1642">
        <v>21145</v>
      </c>
      <c r="V1642" t="s">
        <v>77</v>
      </c>
    </row>
    <row r="1643" spans="1:22">
      <c r="A1643" t="str">
        <f t="shared" si="282"/>
        <v>11/09/2025</v>
      </c>
      <c r="B1643" t="str">
        <f t="shared" si="284"/>
        <v>SAÍDA</v>
      </c>
      <c r="C1643" t="str">
        <f t="shared" si="285"/>
        <v>PIX</v>
      </c>
      <c r="D1643" t="str">
        <f>"21145"</f>
        <v>21145</v>
      </c>
      <c r="E1643" t="str">
        <f t="shared" si="286"/>
        <v>1</v>
      </c>
      <c r="F1643" t="str">
        <f t="shared" si="289"/>
        <v>COM</v>
      </c>
      <c r="G1643" t="str">
        <f>"JARLES DE SOUZA PEREIRA (109)"</f>
        <v>JARLES DE SOUZA PEREIRA (109)</v>
      </c>
      <c r="H1643" t="s">
        <v>255</v>
      </c>
      <c r="I1643" t="str">
        <f t="shared" si="287"/>
        <v>11/09/2025</v>
      </c>
      <c r="J1643" t="str">
        <f t="shared" si="288"/>
        <v>02/09/2025</v>
      </c>
      <c r="K1643">
        <v>45911</v>
      </c>
      <c r="N1643">
        <v>109</v>
      </c>
      <c r="O1643" t="s">
        <v>24</v>
      </c>
      <c r="Q1643">
        <v>483.04</v>
      </c>
      <c r="R1643" t="str">
        <f>"FARMÁCIA INDIANA LJ 65 (10030)"</f>
        <v>FARMÁCIA INDIANA LJ 65 (10030)</v>
      </c>
      <c r="S1643" t="s">
        <v>77</v>
      </c>
      <c r="T1643">
        <v>18063</v>
      </c>
      <c r="U1643">
        <v>21145</v>
      </c>
      <c r="V1643" t="s">
        <v>77</v>
      </c>
    </row>
    <row r="1644" spans="1:22">
      <c r="A1644" t="str">
        <f t="shared" si="282"/>
        <v>11/09/2025</v>
      </c>
      <c r="B1644" t="str">
        <f t="shared" si="284"/>
        <v>SAÍDA</v>
      </c>
      <c r="C1644" t="str">
        <f t="shared" si="285"/>
        <v>PIX</v>
      </c>
      <c r="D1644" t="str">
        <f>"21145"</f>
        <v>21145</v>
      </c>
      <c r="E1644" t="str">
        <f t="shared" si="286"/>
        <v>1</v>
      </c>
      <c r="F1644" t="str">
        <f t="shared" si="289"/>
        <v>COM</v>
      </c>
      <c r="G1644" t="str">
        <f>"JARLES DE SOUZA PEREIRA (109)"</f>
        <v>JARLES DE SOUZA PEREIRA (109)</v>
      </c>
      <c r="H1644" t="s">
        <v>255</v>
      </c>
      <c r="I1644" t="str">
        <f t="shared" si="287"/>
        <v>11/09/2025</v>
      </c>
      <c r="J1644" t="str">
        <f t="shared" si="288"/>
        <v>02/09/2025</v>
      </c>
      <c r="K1644">
        <v>45911</v>
      </c>
      <c r="N1644">
        <v>109</v>
      </c>
      <c r="O1644" t="s">
        <v>24</v>
      </c>
      <c r="Q1644">
        <v>150.96</v>
      </c>
      <c r="R1644" t="str">
        <f>"FARMÁCIA INDIANA LJ 173 (10075)"</f>
        <v>FARMÁCIA INDIANA LJ 173 (10075)</v>
      </c>
      <c r="S1644" t="s">
        <v>77</v>
      </c>
      <c r="T1644">
        <v>18063</v>
      </c>
      <c r="U1644">
        <v>21145</v>
      </c>
      <c r="V1644" t="s">
        <v>77</v>
      </c>
    </row>
    <row r="1645" spans="1:22">
      <c r="A1645" t="str">
        <f t="shared" si="282"/>
        <v>11/09/2025</v>
      </c>
      <c r="B1645" t="str">
        <f t="shared" si="284"/>
        <v>SAÍDA</v>
      </c>
      <c r="C1645" t="str">
        <f t="shared" si="285"/>
        <v>PIX</v>
      </c>
      <c r="D1645" t="str">
        <f>"21146"</f>
        <v>21146</v>
      </c>
      <c r="E1645" t="str">
        <f t="shared" si="286"/>
        <v>1</v>
      </c>
      <c r="F1645" t="str">
        <f t="shared" si="289"/>
        <v>COM</v>
      </c>
      <c r="G1645" t="str">
        <f>"JIRLANIA RODRIGUES DOS SANTOS (152)"</f>
        <v>JIRLANIA RODRIGUES DOS SANTOS (152)</v>
      </c>
      <c r="H1645" t="str">
        <f>"Serv.Prest. 25/08/2025 a 31/08/2025 - PIX: CPF - CHAVE: 035.018.455-02"</f>
        <v>Serv.Prest. 25/08/2025 a 31/08/2025 - PIX: CPF - CHAVE: 035.018.455-02</v>
      </c>
      <c r="I1645" t="str">
        <f t="shared" si="287"/>
        <v>11/09/2025</v>
      </c>
      <c r="J1645" t="str">
        <f t="shared" si="288"/>
        <v>02/09/2025</v>
      </c>
      <c r="K1645" t="str">
        <f>("11/09/2025")</f>
        <v>11/09/2025</v>
      </c>
      <c r="L1645">
        <v>745</v>
      </c>
      <c r="M1645">
        <v>745</v>
      </c>
      <c r="N1645">
        <v>109</v>
      </c>
      <c r="O1645" t="str">
        <f>"PAGAMENTO DE ENTREGADORES"</f>
        <v>PAGAMENTO DE ENTREGADORES</v>
      </c>
      <c r="P1645">
        <v>745</v>
      </c>
      <c r="S1645" t="str">
        <f>"BANCO C6 (149)"</f>
        <v>BANCO C6 (149)</v>
      </c>
      <c r="T1645">
        <v>18064</v>
      </c>
      <c r="U1645">
        <v>21146</v>
      </c>
      <c r="V1645" t="s">
        <v>77</v>
      </c>
    </row>
    <row r="1646" spans="1:22">
      <c r="A1646" t="str">
        <f t="shared" si="282"/>
        <v>11/09/2025</v>
      </c>
      <c r="B1646" t="str">
        <f t="shared" si="284"/>
        <v>SAÍDA</v>
      </c>
      <c r="C1646" t="str">
        <f t="shared" si="285"/>
        <v>PIX</v>
      </c>
      <c r="D1646" t="str">
        <f>"21146"</f>
        <v>21146</v>
      </c>
      <c r="E1646" t="str">
        <f t="shared" si="286"/>
        <v>1</v>
      </c>
      <c r="F1646" t="str">
        <f t="shared" si="289"/>
        <v>COM</v>
      </c>
      <c r="G1646" t="str">
        <f>"JIRLANIA RODRIGUES DOS SANTOS (152)"</f>
        <v>JIRLANIA RODRIGUES DOS SANTOS (152)</v>
      </c>
      <c r="H1646" t="s">
        <v>388</v>
      </c>
      <c r="I1646" t="str">
        <f t="shared" si="287"/>
        <v>11/09/2025</v>
      </c>
      <c r="J1646" t="str">
        <f t="shared" si="288"/>
        <v>02/09/2025</v>
      </c>
      <c r="K1646">
        <v>45911</v>
      </c>
      <c r="N1646">
        <v>109</v>
      </c>
      <c r="O1646" t="s">
        <v>24</v>
      </c>
      <c r="Q1646">
        <v>745</v>
      </c>
      <c r="R1646" t="str">
        <f>"FARMÁCIA INDIANA LJ 95 (10039)"</f>
        <v>FARMÁCIA INDIANA LJ 95 (10039)</v>
      </c>
      <c r="S1646" t="s">
        <v>77</v>
      </c>
      <c r="T1646">
        <v>18064</v>
      </c>
      <c r="U1646">
        <v>21146</v>
      </c>
      <c r="V1646" t="s">
        <v>77</v>
      </c>
    </row>
    <row r="1647" spans="1:22">
      <c r="A1647" t="str">
        <f t="shared" si="282"/>
        <v>11/09/2025</v>
      </c>
      <c r="B1647" t="str">
        <f t="shared" si="284"/>
        <v>SAÍDA</v>
      </c>
      <c r="C1647" t="str">
        <f t="shared" si="285"/>
        <v>PIX</v>
      </c>
      <c r="D1647" t="str">
        <f>"21147"</f>
        <v>21147</v>
      </c>
      <c r="E1647" t="str">
        <f t="shared" si="286"/>
        <v>1</v>
      </c>
      <c r="F1647" t="str">
        <f t="shared" si="289"/>
        <v>COM</v>
      </c>
      <c r="G1647" t="str">
        <f>"JOAO PEDRO BRITO DE SOUZA (876)"</f>
        <v>JOAO PEDRO BRITO DE SOUZA (876)</v>
      </c>
      <c r="H1647" t="str">
        <f>"Serv.Prest. 25/08/2025 a 31/08/2025 - PIX: CPF - CHAVE: 860.305.455-07"</f>
        <v>Serv.Prest. 25/08/2025 a 31/08/2025 - PIX: CPF - CHAVE: 860.305.455-07</v>
      </c>
      <c r="I1647" t="str">
        <f t="shared" si="287"/>
        <v>11/09/2025</v>
      </c>
      <c r="J1647" t="str">
        <f t="shared" si="288"/>
        <v>02/09/2025</v>
      </c>
      <c r="K1647" t="str">
        <f>("11/09/2025")</f>
        <v>11/09/2025</v>
      </c>
      <c r="L1647">
        <v>1200</v>
      </c>
      <c r="M1647">
        <v>1200</v>
      </c>
      <c r="N1647">
        <v>109</v>
      </c>
      <c r="O1647" t="str">
        <f>"PAGAMENTO DE ENTREGADORES"</f>
        <v>PAGAMENTO DE ENTREGADORES</v>
      </c>
      <c r="P1647">
        <v>1200</v>
      </c>
      <c r="S1647" t="str">
        <f>"BANCO C6 (149)"</f>
        <v>BANCO C6 (149)</v>
      </c>
      <c r="T1647">
        <v>18065</v>
      </c>
      <c r="U1647">
        <v>21147</v>
      </c>
      <c r="V1647" t="s">
        <v>77</v>
      </c>
    </row>
    <row r="1648" spans="1:22">
      <c r="A1648" t="str">
        <f t="shared" si="282"/>
        <v>11/09/2025</v>
      </c>
      <c r="B1648" t="str">
        <f t="shared" si="284"/>
        <v>SAÍDA</v>
      </c>
      <c r="C1648" t="str">
        <f t="shared" si="285"/>
        <v>PIX</v>
      </c>
      <c r="D1648" t="str">
        <f>"21147"</f>
        <v>21147</v>
      </c>
      <c r="E1648" t="str">
        <f t="shared" si="286"/>
        <v>1</v>
      </c>
      <c r="F1648" t="str">
        <f t="shared" si="289"/>
        <v>COM</v>
      </c>
      <c r="G1648" t="str">
        <f>"JOAO PEDRO BRITO DE SOUZA (876)"</f>
        <v>JOAO PEDRO BRITO DE SOUZA (876)</v>
      </c>
      <c r="H1648" t="s">
        <v>390</v>
      </c>
      <c r="I1648" t="str">
        <f t="shared" si="287"/>
        <v>11/09/2025</v>
      </c>
      <c r="J1648" t="str">
        <f t="shared" si="288"/>
        <v>02/09/2025</v>
      </c>
      <c r="K1648">
        <v>45911</v>
      </c>
      <c r="N1648">
        <v>109</v>
      </c>
      <c r="O1648" t="s">
        <v>24</v>
      </c>
      <c r="Q1648">
        <v>860.64</v>
      </c>
      <c r="R1648" t="str">
        <f>"FARMÁCIA INDIANA LJ 48 (10018)"</f>
        <v>FARMÁCIA INDIANA LJ 48 (10018)</v>
      </c>
      <c r="S1648" t="s">
        <v>77</v>
      </c>
      <c r="T1648">
        <v>18065</v>
      </c>
      <c r="U1648">
        <v>21147</v>
      </c>
      <c r="V1648" t="s">
        <v>77</v>
      </c>
    </row>
    <row r="1649" spans="1:22">
      <c r="A1649" t="str">
        <f t="shared" si="282"/>
        <v>11/09/2025</v>
      </c>
      <c r="B1649" t="str">
        <f t="shared" si="284"/>
        <v>SAÍDA</v>
      </c>
      <c r="C1649" t="str">
        <f t="shared" si="285"/>
        <v>PIX</v>
      </c>
      <c r="D1649" t="str">
        <f>"21147"</f>
        <v>21147</v>
      </c>
      <c r="E1649" t="str">
        <f t="shared" si="286"/>
        <v>1</v>
      </c>
      <c r="F1649" t="str">
        <f t="shared" si="289"/>
        <v>COM</v>
      </c>
      <c r="G1649" t="str">
        <f>"JOAO PEDRO BRITO DE SOUZA (876)"</f>
        <v>JOAO PEDRO BRITO DE SOUZA (876)</v>
      </c>
      <c r="H1649" t="s">
        <v>390</v>
      </c>
      <c r="I1649" t="str">
        <f t="shared" si="287"/>
        <v>11/09/2025</v>
      </c>
      <c r="J1649" t="str">
        <f t="shared" si="288"/>
        <v>02/09/2025</v>
      </c>
      <c r="K1649">
        <v>45911</v>
      </c>
      <c r="N1649">
        <v>109</v>
      </c>
      <c r="O1649" t="s">
        <v>24</v>
      </c>
      <c r="Q1649">
        <v>339.36</v>
      </c>
      <c r="R1649" t="str">
        <f>"FARMÁCIA INDIANA LJ 169 (10073)"</f>
        <v>FARMÁCIA INDIANA LJ 169 (10073)</v>
      </c>
      <c r="S1649" t="s">
        <v>77</v>
      </c>
      <c r="T1649">
        <v>18065</v>
      </c>
      <c r="U1649">
        <v>21147</v>
      </c>
      <c r="V1649" t="s">
        <v>77</v>
      </c>
    </row>
    <row r="1650" spans="1:22">
      <c r="A1650" t="str">
        <f t="shared" si="282"/>
        <v>11/09/2025</v>
      </c>
      <c r="B1650" t="str">
        <f t="shared" si="284"/>
        <v>SAÍDA</v>
      </c>
      <c r="C1650" t="str">
        <f t="shared" si="285"/>
        <v>PIX</v>
      </c>
      <c r="D1650" t="str">
        <f>"21148"</f>
        <v>21148</v>
      </c>
      <c r="E1650" t="str">
        <f t="shared" si="286"/>
        <v>1</v>
      </c>
      <c r="F1650" t="str">
        <f t="shared" si="289"/>
        <v>COM</v>
      </c>
      <c r="G1650" t="str">
        <f>"JUNIO SOUZA SILVA (610)"</f>
        <v>JUNIO SOUZA SILVA (610)</v>
      </c>
      <c r="H1650" t="str">
        <f>"Serv.Prest. 25/08/2025 a 31/08/2025 - PIX: CELULAR - CHAVE: (73) 98105-2187"</f>
        <v>Serv.Prest. 25/08/2025 a 31/08/2025 - PIX: CELULAR - CHAVE: (73) 98105-2187</v>
      </c>
      <c r="I1650" t="str">
        <f t="shared" si="287"/>
        <v>11/09/2025</v>
      </c>
      <c r="J1650" t="str">
        <f t="shared" si="288"/>
        <v>02/09/2025</v>
      </c>
      <c r="K1650" t="str">
        <f>("11/09/2025")</f>
        <v>11/09/2025</v>
      </c>
      <c r="L1650">
        <v>580</v>
      </c>
      <c r="M1650">
        <v>580</v>
      </c>
      <c r="N1650">
        <v>109</v>
      </c>
      <c r="O1650" t="str">
        <f>"PAGAMENTO DE ENTREGADORES"</f>
        <v>PAGAMENTO DE ENTREGADORES</v>
      </c>
      <c r="P1650">
        <v>580</v>
      </c>
      <c r="S1650" t="str">
        <f>"BANCO C6 (149)"</f>
        <v>BANCO C6 (149)</v>
      </c>
      <c r="T1650">
        <v>18066</v>
      </c>
      <c r="U1650">
        <v>21148</v>
      </c>
      <c r="V1650" t="s">
        <v>77</v>
      </c>
    </row>
    <row r="1651" spans="1:22">
      <c r="A1651" t="str">
        <f t="shared" si="282"/>
        <v>11/09/2025</v>
      </c>
      <c r="B1651" t="str">
        <f t="shared" si="284"/>
        <v>SAÍDA</v>
      </c>
      <c r="C1651" t="str">
        <f t="shared" si="285"/>
        <v>PIX</v>
      </c>
      <c r="D1651" t="str">
        <f>"21148"</f>
        <v>21148</v>
      </c>
      <c r="E1651" t="str">
        <f t="shared" si="286"/>
        <v>1</v>
      </c>
      <c r="F1651" t="str">
        <f t="shared" si="289"/>
        <v>COM</v>
      </c>
      <c r="G1651" t="str">
        <f>"JUNIO SOUZA SILVA (610)"</f>
        <v>JUNIO SOUZA SILVA (610)</v>
      </c>
      <c r="H1651" t="s">
        <v>395</v>
      </c>
      <c r="I1651" t="str">
        <f t="shared" si="287"/>
        <v>11/09/2025</v>
      </c>
      <c r="J1651" t="str">
        <f t="shared" si="288"/>
        <v>02/09/2025</v>
      </c>
      <c r="K1651">
        <v>45911</v>
      </c>
      <c r="N1651">
        <v>109</v>
      </c>
      <c r="O1651" t="s">
        <v>24</v>
      </c>
      <c r="Q1651">
        <v>580</v>
      </c>
      <c r="R1651" t="str">
        <f>"FARMÁCIA INDIANA LJ 77 (10034)"</f>
        <v>FARMÁCIA INDIANA LJ 77 (10034)</v>
      </c>
      <c r="S1651" t="s">
        <v>77</v>
      </c>
      <c r="T1651">
        <v>18066</v>
      </c>
      <c r="U1651">
        <v>21148</v>
      </c>
      <c r="V1651" t="s">
        <v>77</v>
      </c>
    </row>
    <row r="1652" spans="1:22">
      <c r="A1652" t="str">
        <f t="shared" si="282"/>
        <v>11/09/2025</v>
      </c>
      <c r="B1652" t="str">
        <f t="shared" si="284"/>
        <v>SAÍDA</v>
      </c>
      <c r="C1652" t="str">
        <f t="shared" si="285"/>
        <v>PIX</v>
      </c>
      <c r="D1652" t="str">
        <f>"21149"</f>
        <v>21149</v>
      </c>
      <c r="E1652" t="str">
        <f t="shared" si="286"/>
        <v>1</v>
      </c>
      <c r="F1652" t="str">
        <f t="shared" si="289"/>
        <v>COM</v>
      </c>
      <c r="G1652" t="str">
        <f>"LEONARDO MERCÊS CAJAZEIRAS (235)"</f>
        <v>LEONARDO MERCÊS CAJAZEIRAS (235)</v>
      </c>
      <c r="H1652" t="str">
        <f>"Serv.Prest. 25/08/2025 a 31/08/2025 - PIX: CELULAR - CHAVE: (73) 99803-0715"</f>
        <v>Serv.Prest. 25/08/2025 a 31/08/2025 - PIX: CELULAR - CHAVE: (73) 99803-0715</v>
      </c>
      <c r="I1652" t="str">
        <f t="shared" si="287"/>
        <v>11/09/2025</v>
      </c>
      <c r="J1652" t="str">
        <f t="shared" si="288"/>
        <v>02/09/2025</v>
      </c>
      <c r="K1652" t="str">
        <f>("11/09/2025")</f>
        <v>11/09/2025</v>
      </c>
      <c r="L1652">
        <v>578.79999999999995</v>
      </c>
      <c r="M1652">
        <v>578.79999999999995</v>
      </c>
      <c r="N1652">
        <v>109</v>
      </c>
      <c r="O1652" t="str">
        <f>"PAGAMENTO DE ENTREGADORES"</f>
        <v>PAGAMENTO DE ENTREGADORES</v>
      </c>
      <c r="P1652">
        <v>578.79999999999995</v>
      </c>
      <c r="S1652" t="str">
        <f>"BANCO C6 (149)"</f>
        <v>BANCO C6 (149)</v>
      </c>
      <c r="T1652">
        <v>18067</v>
      </c>
      <c r="U1652">
        <v>21149</v>
      </c>
      <c r="V1652" t="s">
        <v>77</v>
      </c>
    </row>
    <row r="1653" spans="1:22">
      <c r="A1653" t="str">
        <f t="shared" si="282"/>
        <v>11/09/2025</v>
      </c>
      <c r="B1653" t="str">
        <f t="shared" si="284"/>
        <v>SAÍDA</v>
      </c>
      <c r="C1653" t="str">
        <f t="shared" si="285"/>
        <v>PIX</v>
      </c>
      <c r="D1653" t="str">
        <f>"21149"</f>
        <v>21149</v>
      </c>
      <c r="E1653" t="str">
        <f t="shared" si="286"/>
        <v>1</v>
      </c>
      <c r="F1653" t="str">
        <f t="shared" si="289"/>
        <v>COM</v>
      </c>
      <c r="G1653" t="str">
        <f>"LEONARDO MERCÊS CAJAZEIRAS (235)"</f>
        <v>LEONARDO MERCÊS CAJAZEIRAS (235)</v>
      </c>
      <c r="H1653" t="s">
        <v>398</v>
      </c>
      <c r="I1653" t="str">
        <f t="shared" si="287"/>
        <v>11/09/2025</v>
      </c>
      <c r="J1653" t="str">
        <f t="shared" si="288"/>
        <v>02/09/2025</v>
      </c>
      <c r="K1653">
        <v>45911</v>
      </c>
      <c r="N1653">
        <v>109</v>
      </c>
      <c r="O1653" t="s">
        <v>24</v>
      </c>
      <c r="Q1653">
        <v>578.79999999999995</v>
      </c>
      <c r="R1653" t="str">
        <f>"FARMÁCIA INDIANA LJ 35 (10015)"</f>
        <v>FARMÁCIA INDIANA LJ 35 (10015)</v>
      </c>
      <c r="S1653" t="s">
        <v>77</v>
      </c>
      <c r="T1653">
        <v>18067</v>
      </c>
      <c r="U1653">
        <v>21149</v>
      </c>
      <c r="V1653" t="s">
        <v>77</v>
      </c>
    </row>
    <row r="1654" spans="1:22">
      <c r="A1654" t="str">
        <f t="shared" si="282"/>
        <v>11/09/2025</v>
      </c>
      <c r="B1654" t="str">
        <f t="shared" si="284"/>
        <v>SAÍDA</v>
      </c>
      <c r="C1654" t="str">
        <f t="shared" si="285"/>
        <v>PIX</v>
      </c>
      <c r="D1654" t="str">
        <f>"21150"</f>
        <v>21150</v>
      </c>
      <c r="E1654" t="str">
        <f t="shared" si="286"/>
        <v>1</v>
      </c>
      <c r="F1654" t="str">
        <f t="shared" si="289"/>
        <v>COM</v>
      </c>
      <c r="G1654" t="str">
        <f>"LUCAS MOREIRA PEREIRA (153)"</f>
        <v>LUCAS MOREIRA PEREIRA (153)</v>
      </c>
      <c r="H1654" t="str">
        <f>"Serv.Prest. 25/08/2025 a 31/08/2025 - PIX: CELULAR - CHAVE: (73) 99967-3239"</f>
        <v>Serv.Prest. 25/08/2025 a 31/08/2025 - PIX: CELULAR - CHAVE: (73) 99967-3239</v>
      </c>
      <c r="I1654" t="str">
        <f t="shared" si="287"/>
        <v>11/09/2025</v>
      </c>
      <c r="J1654" t="str">
        <f t="shared" si="288"/>
        <v>02/09/2025</v>
      </c>
      <c r="K1654" t="str">
        <f>("11/09/2025")</f>
        <v>11/09/2025</v>
      </c>
      <c r="L1654">
        <v>1680</v>
      </c>
      <c r="M1654">
        <v>1680</v>
      </c>
      <c r="N1654">
        <v>109</v>
      </c>
      <c r="O1654" t="str">
        <f>"PAGAMENTO DE ENTREGADORES"</f>
        <v>PAGAMENTO DE ENTREGADORES</v>
      </c>
      <c r="P1654">
        <v>1680</v>
      </c>
      <c r="S1654" t="str">
        <f>"BANCO C6 (149)"</f>
        <v>BANCO C6 (149)</v>
      </c>
      <c r="T1654">
        <v>18068</v>
      </c>
      <c r="U1654">
        <v>21150</v>
      </c>
      <c r="V1654" t="s">
        <v>77</v>
      </c>
    </row>
    <row r="1655" spans="1:22">
      <c r="A1655" t="str">
        <f t="shared" si="282"/>
        <v>11/09/2025</v>
      </c>
      <c r="B1655" t="str">
        <f t="shared" si="284"/>
        <v>SAÍDA</v>
      </c>
      <c r="C1655" t="str">
        <f t="shared" si="285"/>
        <v>PIX</v>
      </c>
      <c r="D1655" t="str">
        <f>"21150"</f>
        <v>21150</v>
      </c>
      <c r="E1655" t="str">
        <f t="shared" si="286"/>
        <v>1</v>
      </c>
      <c r="F1655" t="str">
        <f t="shared" si="289"/>
        <v>COM</v>
      </c>
      <c r="G1655" t="str">
        <f>"LUCAS MOREIRA PEREIRA (153)"</f>
        <v>LUCAS MOREIRA PEREIRA (153)</v>
      </c>
      <c r="H1655" t="s">
        <v>403</v>
      </c>
      <c r="I1655" t="str">
        <f t="shared" si="287"/>
        <v>11/09/2025</v>
      </c>
      <c r="J1655" t="str">
        <f t="shared" si="288"/>
        <v>02/09/2025</v>
      </c>
      <c r="K1655">
        <v>45911</v>
      </c>
      <c r="N1655">
        <v>109</v>
      </c>
      <c r="O1655" t="s">
        <v>24</v>
      </c>
      <c r="Q1655">
        <v>1452.7</v>
      </c>
      <c r="R1655" t="str">
        <f>"FARMÁCIA INDIANA LJ 48 (10018)"</f>
        <v>FARMÁCIA INDIANA LJ 48 (10018)</v>
      </c>
      <c r="S1655" t="s">
        <v>77</v>
      </c>
      <c r="T1655">
        <v>18068</v>
      </c>
      <c r="U1655">
        <v>21150</v>
      </c>
      <c r="V1655" t="s">
        <v>77</v>
      </c>
    </row>
    <row r="1656" spans="1:22">
      <c r="A1656" t="str">
        <f t="shared" si="282"/>
        <v>11/09/2025</v>
      </c>
      <c r="B1656" t="str">
        <f t="shared" si="284"/>
        <v>SAÍDA</v>
      </c>
      <c r="C1656" t="str">
        <f t="shared" si="285"/>
        <v>PIX</v>
      </c>
      <c r="D1656" t="str">
        <f>"21150"</f>
        <v>21150</v>
      </c>
      <c r="E1656" t="str">
        <f t="shared" si="286"/>
        <v>1</v>
      </c>
      <c r="F1656" t="str">
        <f t="shared" si="289"/>
        <v>COM</v>
      </c>
      <c r="G1656" t="str">
        <f>"LUCAS MOREIRA PEREIRA (153)"</f>
        <v>LUCAS MOREIRA PEREIRA (153)</v>
      </c>
      <c r="H1656" t="s">
        <v>403</v>
      </c>
      <c r="I1656" t="str">
        <f t="shared" si="287"/>
        <v>11/09/2025</v>
      </c>
      <c r="J1656" t="str">
        <f t="shared" si="288"/>
        <v>02/09/2025</v>
      </c>
      <c r="K1656">
        <v>45911</v>
      </c>
      <c r="N1656">
        <v>109</v>
      </c>
      <c r="O1656" t="s">
        <v>24</v>
      </c>
      <c r="Q1656">
        <v>227.3</v>
      </c>
      <c r="R1656" t="str">
        <f>"FARMÁCIA INDIANA LJ 169 (10073)"</f>
        <v>FARMÁCIA INDIANA LJ 169 (10073)</v>
      </c>
      <c r="S1656" t="s">
        <v>77</v>
      </c>
      <c r="T1656">
        <v>18068</v>
      </c>
      <c r="U1656">
        <v>21150</v>
      </c>
      <c r="V1656" t="s">
        <v>77</v>
      </c>
    </row>
    <row r="1657" spans="1:22">
      <c r="A1657" t="str">
        <f t="shared" si="282"/>
        <v>11/09/2025</v>
      </c>
      <c r="B1657" t="str">
        <f t="shared" si="284"/>
        <v>SAÍDA</v>
      </c>
      <c r="C1657" t="str">
        <f t="shared" si="285"/>
        <v>PIX</v>
      </c>
      <c r="D1657" t="str">
        <f>"21151"</f>
        <v>21151</v>
      </c>
      <c r="E1657" t="str">
        <f t="shared" si="286"/>
        <v>1</v>
      </c>
      <c r="F1657" t="str">
        <f t="shared" si="289"/>
        <v>COM</v>
      </c>
      <c r="G1657" t="str">
        <f>"MARIA ILZA PEREIRA DOS SANTOS (618)"</f>
        <v>MARIA ILZA PEREIRA DOS SANTOS (618)</v>
      </c>
      <c r="H1657" t="str">
        <f>"Serv.Prest. 25/08/2025 a 31/08/2025 - PIX: CPF - CHAVE: 003.157.195-67"</f>
        <v>Serv.Prest. 25/08/2025 a 31/08/2025 - PIX: CPF - CHAVE: 003.157.195-67</v>
      </c>
      <c r="I1657" t="str">
        <f t="shared" si="287"/>
        <v>11/09/2025</v>
      </c>
      <c r="J1657" t="str">
        <f t="shared" si="288"/>
        <v>02/09/2025</v>
      </c>
      <c r="K1657" t="str">
        <f>("11/09/2025")</f>
        <v>11/09/2025</v>
      </c>
      <c r="L1657">
        <v>634</v>
      </c>
      <c r="M1657">
        <v>634</v>
      </c>
      <c r="N1657">
        <v>109</v>
      </c>
      <c r="O1657" t="str">
        <f>"PAGAMENTO DE ENTREGADORES"</f>
        <v>PAGAMENTO DE ENTREGADORES</v>
      </c>
      <c r="P1657">
        <v>634</v>
      </c>
      <c r="S1657" t="str">
        <f>"BANCO C6 (149)"</f>
        <v>BANCO C6 (149)</v>
      </c>
      <c r="T1657">
        <v>18069</v>
      </c>
      <c r="U1657">
        <v>21151</v>
      </c>
      <c r="V1657" t="s">
        <v>77</v>
      </c>
    </row>
    <row r="1658" spans="1:22">
      <c r="A1658" t="str">
        <f t="shared" si="282"/>
        <v>11/09/2025</v>
      </c>
      <c r="B1658" t="str">
        <f t="shared" si="284"/>
        <v>SAÍDA</v>
      </c>
      <c r="C1658" t="str">
        <f t="shared" si="285"/>
        <v>PIX</v>
      </c>
      <c r="D1658" t="str">
        <f>"21151"</f>
        <v>21151</v>
      </c>
      <c r="E1658" t="str">
        <f t="shared" si="286"/>
        <v>1</v>
      </c>
      <c r="F1658" t="str">
        <f t="shared" si="289"/>
        <v>COM</v>
      </c>
      <c r="G1658" t="str">
        <f>"MARIA ILZA PEREIRA DOS SANTOS (618)"</f>
        <v>MARIA ILZA PEREIRA DOS SANTOS (618)</v>
      </c>
      <c r="H1658" t="s">
        <v>411</v>
      </c>
      <c r="I1658" t="str">
        <f t="shared" si="287"/>
        <v>11/09/2025</v>
      </c>
      <c r="J1658" t="str">
        <f t="shared" si="288"/>
        <v>02/09/2025</v>
      </c>
      <c r="K1658">
        <v>45911</v>
      </c>
      <c r="N1658">
        <v>109</v>
      </c>
      <c r="O1658" t="s">
        <v>24</v>
      </c>
      <c r="Q1658">
        <v>634</v>
      </c>
      <c r="R1658" t="str">
        <f>"FARMÁCIA INDIANA LJ 65 (10030)"</f>
        <v>FARMÁCIA INDIANA LJ 65 (10030)</v>
      </c>
      <c r="S1658" t="s">
        <v>77</v>
      </c>
      <c r="T1658">
        <v>18069</v>
      </c>
      <c r="U1658">
        <v>21151</v>
      </c>
      <c r="V1658" t="s">
        <v>77</v>
      </c>
    </row>
    <row r="1659" spans="1:22">
      <c r="A1659" t="str">
        <f t="shared" si="282"/>
        <v>11/09/2025</v>
      </c>
      <c r="B1659" t="str">
        <f t="shared" si="284"/>
        <v>SAÍDA</v>
      </c>
      <c r="C1659" t="str">
        <f t="shared" si="285"/>
        <v>PIX</v>
      </c>
      <c r="D1659" t="str">
        <f>"21152"</f>
        <v>21152</v>
      </c>
      <c r="E1659" t="str">
        <f t="shared" si="286"/>
        <v>1</v>
      </c>
      <c r="F1659" t="str">
        <f t="shared" si="289"/>
        <v>COM</v>
      </c>
      <c r="G1659" t="str">
        <f>"MOABIO AZEVEDO DOS SANTOS (131)"</f>
        <v>MOABIO AZEVEDO DOS SANTOS (131)</v>
      </c>
      <c r="H1659" t="str">
        <f>"Serv.Prest. 25/08/2025 a 31/08/2025 - PIX: CNPJ - CHAVE: 33.412.676/0001-41"</f>
        <v>Serv.Prest. 25/08/2025 a 31/08/2025 - PIX: CNPJ - CHAVE: 33.412.676/0001-41</v>
      </c>
      <c r="I1659" t="str">
        <f t="shared" si="287"/>
        <v>11/09/2025</v>
      </c>
      <c r="J1659" t="str">
        <f t="shared" si="288"/>
        <v>02/09/2025</v>
      </c>
      <c r="K1659" t="str">
        <f>("11/09/2025")</f>
        <v>11/09/2025</v>
      </c>
      <c r="L1659">
        <v>564</v>
      </c>
      <c r="M1659">
        <v>564</v>
      </c>
      <c r="N1659">
        <v>109</v>
      </c>
      <c r="O1659" t="str">
        <f>"PAGAMENTO DE ENTREGADORES"</f>
        <v>PAGAMENTO DE ENTREGADORES</v>
      </c>
      <c r="P1659">
        <v>564</v>
      </c>
      <c r="S1659" t="str">
        <f>"BANCO C6 (149)"</f>
        <v>BANCO C6 (149)</v>
      </c>
      <c r="T1659">
        <v>18070</v>
      </c>
      <c r="U1659">
        <v>21152</v>
      </c>
      <c r="V1659" t="s">
        <v>77</v>
      </c>
    </row>
    <row r="1660" spans="1:22">
      <c r="A1660" t="str">
        <f t="shared" si="282"/>
        <v>11/09/2025</v>
      </c>
      <c r="B1660" t="str">
        <f t="shared" si="284"/>
        <v>SAÍDA</v>
      </c>
      <c r="C1660" t="str">
        <f t="shared" si="285"/>
        <v>PIX</v>
      </c>
      <c r="D1660" t="str">
        <f>"21152"</f>
        <v>21152</v>
      </c>
      <c r="E1660" t="str">
        <f t="shared" si="286"/>
        <v>1</v>
      </c>
      <c r="F1660" t="str">
        <f t="shared" si="289"/>
        <v>COM</v>
      </c>
      <c r="G1660" t="str">
        <f>"MOABIO AZEVEDO DOS SANTOS (131)"</f>
        <v>MOABIO AZEVEDO DOS SANTOS (131)</v>
      </c>
      <c r="H1660" t="s">
        <v>501</v>
      </c>
      <c r="I1660" t="str">
        <f t="shared" si="287"/>
        <v>11/09/2025</v>
      </c>
      <c r="J1660" t="str">
        <f t="shared" si="288"/>
        <v>02/09/2025</v>
      </c>
      <c r="K1660">
        <v>45911</v>
      </c>
      <c r="N1660">
        <v>109</v>
      </c>
      <c r="O1660" t="s">
        <v>24</v>
      </c>
      <c r="Q1660">
        <v>564</v>
      </c>
      <c r="R1660" t="str">
        <f>"FARMÁCIA INDIANA LJ 91 (10037)"</f>
        <v>FARMÁCIA INDIANA LJ 91 (10037)</v>
      </c>
      <c r="S1660" t="s">
        <v>77</v>
      </c>
      <c r="T1660">
        <v>18070</v>
      </c>
      <c r="U1660">
        <v>21152</v>
      </c>
      <c r="V1660" t="s">
        <v>77</v>
      </c>
    </row>
    <row r="1661" spans="1:22">
      <c r="A1661" t="str">
        <f t="shared" si="282"/>
        <v>11/09/2025</v>
      </c>
      <c r="B1661" t="str">
        <f t="shared" si="284"/>
        <v>SAÍDA</v>
      </c>
      <c r="C1661" t="str">
        <f t="shared" si="285"/>
        <v>PIX</v>
      </c>
      <c r="D1661" t="str">
        <f>"21154"</f>
        <v>21154</v>
      </c>
      <c r="E1661" t="str">
        <f t="shared" si="286"/>
        <v>1</v>
      </c>
      <c r="F1661" t="str">
        <f t="shared" si="289"/>
        <v>COM</v>
      </c>
      <c r="G1661" t="str">
        <f>"OSVALDO DOS SANTOS (163)"</f>
        <v>OSVALDO DOS SANTOS (163)</v>
      </c>
      <c r="H1661" t="str">
        <f>"Serv.Prest. 25/08/2025 a 31/08/2025 - PIX: CELULAR - CHAVE: (73) 99977-2721"</f>
        <v>Serv.Prest. 25/08/2025 a 31/08/2025 - PIX: CELULAR - CHAVE: (73) 99977-2721</v>
      </c>
      <c r="I1661" t="str">
        <f t="shared" si="287"/>
        <v>11/09/2025</v>
      </c>
      <c r="J1661" t="str">
        <f t="shared" si="288"/>
        <v>02/09/2025</v>
      </c>
      <c r="K1661" t="str">
        <f>("11/09/2025")</f>
        <v>11/09/2025</v>
      </c>
      <c r="L1661">
        <v>578.79999999999995</v>
      </c>
      <c r="M1661">
        <v>578.79999999999995</v>
      </c>
      <c r="N1661">
        <v>109</v>
      </c>
      <c r="O1661" t="str">
        <f>"PAGAMENTO DE ENTREGADORES"</f>
        <v>PAGAMENTO DE ENTREGADORES</v>
      </c>
      <c r="P1661">
        <v>578.79999999999995</v>
      </c>
      <c r="S1661" t="str">
        <f>"BANCO C6 (149)"</f>
        <v>BANCO C6 (149)</v>
      </c>
      <c r="T1661">
        <v>18071</v>
      </c>
      <c r="U1661">
        <v>21154</v>
      </c>
      <c r="V1661" t="s">
        <v>77</v>
      </c>
    </row>
    <row r="1662" spans="1:22">
      <c r="A1662" t="str">
        <f t="shared" si="282"/>
        <v>11/09/2025</v>
      </c>
      <c r="B1662" t="str">
        <f t="shared" si="284"/>
        <v>SAÍDA</v>
      </c>
      <c r="C1662" t="str">
        <f t="shared" si="285"/>
        <v>PIX</v>
      </c>
      <c r="D1662" t="str">
        <f>"21154"</f>
        <v>21154</v>
      </c>
      <c r="E1662" t="str">
        <f t="shared" si="286"/>
        <v>1</v>
      </c>
      <c r="F1662" t="str">
        <f t="shared" si="289"/>
        <v>COM</v>
      </c>
      <c r="G1662" t="str">
        <f>"OSVALDO DOS SANTOS (163)"</f>
        <v>OSVALDO DOS SANTOS (163)</v>
      </c>
      <c r="H1662" t="s">
        <v>421</v>
      </c>
      <c r="I1662" t="str">
        <f t="shared" si="287"/>
        <v>11/09/2025</v>
      </c>
      <c r="J1662" t="str">
        <f t="shared" si="288"/>
        <v>02/09/2025</v>
      </c>
      <c r="K1662">
        <v>45911</v>
      </c>
      <c r="N1662">
        <v>109</v>
      </c>
      <c r="O1662" t="s">
        <v>24</v>
      </c>
      <c r="Q1662">
        <v>578.79999999999995</v>
      </c>
      <c r="R1662" t="str">
        <f>"FARMÁCIA INDIANA LJ 35 (10015)"</f>
        <v>FARMÁCIA INDIANA LJ 35 (10015)</v>
      </c>
      <c r="S1662" t="s">
        <v>77</v>
      </c>
      <c r="T1662">
        <v>18071</v>
      </c>
      <c r="U1662">
        <v>21154</v>
      </c>
      <c r="V1662" t="s">
        <v>77</v>
      </c>
    </row>
    <row r="1663" spans="1:22">
      <c r="A1663" t="str">
        <f t="shared" si="282"/>
        <v>11/09/2025</v>
      </c>
      <c r="B1663" t="str">
        <f t="shared" si="284"/>
        <v>SAÍDA</v>
      </c>
      <c r="C1663" t="str">
        <f t="shared" si="285"/>
        <v>PIX</v>
      </c>
      <c r="D1663" t="str">
        <f>"21157"</f>
        <v>21157</v>
      </c>
      <c r="E1663" t="str">
        <f t="shared" si="286"/>
        <v>1</v>
      </c>
      <c r="F1663" t="str">
        <f t="shared" si="289"/>
        <v>COM</v>
      </c>
      <c r="G1663" t="str">
        <f>"VINICIUS SANTOS PEREIRA (633)"</f>
        <v>VINICIUS SANTOS PEREIRA (633)</v>
      </c>
      <c r="H1663" t="str">
        <f>"Serv.Prest. 25/08/2025 a 31/08/2025 - PIX: CELULAR - CHAVE: (73) 99818-9718"</f>
        <v>Serv.Prest. 25/08/2025 a 31/08/2025 - PIX: CELULAR - CHAVE: (73) 99818-9718</v>
      </c>
      <c r="I1663" t="str">
        <f t="shared" si="287"/>
        <v>11/09/2025</v>
      </c>
      <c r="J1663" t="str">
        <f t="shared" si="288"/>
        <v>02/09/2025</v>
      </c>
      <c r="K1663" t="str">
        <f>("11/09/2025")</f>
        <v>11/09/2025</v>
      </c>
      <c r="L1663">
        <v>621.75</v>
      </c>
      <c r="M1663">
        <v>621.75</v>
      </c>
      <c r="N1663">
        <v>109</v>
      </c>
      <c r="O1663" t="str">
        <f>"PAGAMENTO DE ENTREGADORES"</f>
        <v>PAGAMENTO DE ENTREGADORES</v>
      </c>
      <c r="P1663">
        <v>621.75</v>
      </c>
      <c r="S1663" t="str">
        <f>"BANCO C6 (149)"</f>
        <v>BANCO C6 (149)</v>
      </c>
      <c r="T1663">
        <v>18072</v>
      </c>
      <c r="U1663">
        <v>21157</v>
      </c>
      <c r="V1663" t="s">
        <v>77</v>
      </c>
    </row>
    <row r="1664" spans="1:22">
      <c r="A1664" t="str">
        <f t="shared" si="282"/>
        <v>11/09/2025</v>
      </c>
      <c r="B1664" t="str">
        <f t="shared" si="284"/>
        <v>SAÍDA</v>
      </c>
      <c r="C1664" t="str">
        <f t="shared" si="285"/>
        <v>PIX</v>
      </c>
      <c r="D1664" t="str">
        <f>"21157"</f>
        <v>21157</v>
      </c>
      <c r="E1664" t="str">
        <f t="shared" si="286"/>
        <v>1</v>
      </c>
      <c r="F1664" t="str">
        <f t="shared" si="289"/>
        <v>COM</v>
      </c>
      <c r="G1664" t="str">
        <f>"VINICIUS SANTOS PEREIRA (633)"</f>
        <v>VINICIUS SANTOS PEREIRA (633)</v>
      </c>
      <c r="H1664" t="s">
        <v>440</v>
      </c>
      <c r="I1664" t="str">
        <f t="shared" si="287"/>
        <v>11/09/2025</v>
      </c>
      <c r="J1664" t="str">
        <f t="shared" si="288"/>
        <v>02/09/2025</v>
      </c>
      <c r="K1664">
        <v>45911</v>
      </c>
      <c r="N1664">
        <v>109</v>
      </c>
      <c r="O1664" t="s">
        <v>24</v>
      </c>
      <c r="Q1664">
        <v>621.75</v>
      </c>
      <c r="R1664" t="str">
        <f>"FARMÁCIA INDIANA LJ 95 (10039)"</f>
        <v>FARMÁCIA INDIANA LJ 95 (10039)</v>
      </c>
      <c r="S1664" t="s">
        <v>77</v>
      </c>
      <c r="T1664">
        <v>18072</v>
      </c>
      <c r="U1664">
        <v>21157</v>
      </c>
      <c r="V1664" t="s">
        <v>77</v>
      </c>
    </row>
    <row r="1665" spans="1:22">
      <c r="A1665" t="str">
        <f t="shared" si="282"/>
        <v>11/09/2025</v>
      </c>
      <c r="B1665" t="str">
        <f t="shared" si="284"/>
        <v>SAÍDA</v>
      </c>
      <c r="C1665" t="str">
        <f t="shared" si="285"/>
        <v>PIX</v>
      </c>
      <c r="D1665" t="str">
        <f>"21158"</f>
        <v>21158</v>
      </c>
      <c r="E1665" t="str">
        <f t="shared" si="286"/>
        <v>1</v>
      </c>
      <c r="F1665" t="str">
        <f t="shared" si="289"/>
        <v>COM</v>
      </c>
      <c r="G1665" t="str">
        <f>"WESLEI GONÇALVES SANTOS (154)"</f>
        <v>WESLEI GONÇALVES SANTOS (154)</v>
      </c>
      <c r="H1665" t="str">
        <f>"Serv.Prest. 25/08/2025 a 31/08/2025 - PIX: CPF - CHAVE: 079.068.045-97"</f>
        <v>Serv.Prest. 25/08/2025 a 31/08/2025 - PIX: CPF - CHAVE: 079.068.045-97</v>
      </c>
      <c r="I1665" t="str">
        <f t="shared" si="287"/>
        <v>11/09/2025</v>
      </c>
      <c r="J1665" t="str">
        <f t="shared" si="288"/>
        <v>02/09/2025</v>
      </c>
      <c r="K1665" t="str">
        <f>("11/09/2025")</f>
        <v>11/09/2025</v>
      </c>
      <c r="L1665">
        <v>580.66</v>
      </c>
      <c r="M1665">
        <v>580.66</v>
      </c>
      <c r="N1665">
        <v>109</v>
      </c>
      <c r="O1665" t="str">
        <f>"PAGAMENTO DE ENTREGADORES"</f>
        <v>PAGAMENTO DE ENTREGADORES</v>
      </c>
      <c r="P1665">
        <v>580.66</v>
      </c>
      <c r="S1665" t="str">
        <f>"BANCO C6 (149)"</f>
        <v>BANCO C6 (149)</v>
      </c>
      <c r="T1665">
        <v>18073</v>
      </c>
      <c r="U1665">
        <v>21158</v>
      </c>
      <c r="V1665" t="s">
        <v>77</v>
      </c>
    </row>
    <row r="1666" spans="1:22">
      <c r="A1666" t="str">
        <f t="shared" si="282"/>
        <v>11/09/2025</v>
      </c>
      <c r="B1666" t="str">
        <f t="shared" si="284"/>
        <v>SAÍDA</v>
      </c>
      <c r="C1666" t="str">
        <f t="shared" si="285"/>
        <v>PIX</v>
      </c>
      <c r="D1666" t="str">
        <f>"21158"</f>
        <v>21158</v>
      </c>
      <c r="E1666" t="str">
        <f t="shared" si="286"/>
        <v>1</v>
      </c>
      <c r="F1666" t="str">
        <f t="shared" si="289"/>
        <v>COM</v>
      </c>
      <c r="G1666" t="str">
        <f>"WESLEI GONÇALVES SANTOS (154)"</f>
        <v>WESLEI GONÇALVES SANTOS (154)</v>
      </c>
      <c r="H1666" t="s">
        <v>451</v>
      </c>
      <c r="I1666" t="str">
        <f t="shared" si="287"/>
        <v>11/09/2025</v>
      </c>
      <c r="J1666" t="str">
        <f t="shared" si="288"/>
        <v>02/09/2025</v>
      </c>
      <c r="K1666">
        <v>45911</v>
      </c>
      <c r="N1666">
        <v>109</v>
      </c>
      <c r="O1666" t="s">
        <v>24</v>
      </c>
      <c r="Q1666">
        <v>580.66</v>
      </c>
      <c r="R1666" t="str">
        <f>"FARMÁCIA INDIANA LJ 34 (10014)"</f>
        <v>FARMÁCIA INDIANA LJ 34 (10014)</v>
      </c>
      <c r="S1666" t="s">
        <v>77</v>
      </c>
      <c r="T1666">
        <v>18073</v>
      </c>
      <c r="U1666">
        <v>21158</v>
      </c>
      <c r="V1666" t="s">
        <v>77</v>
      </c>
    </row>
    <row r="1667" spans="1:22">
      <c r="A1667" t="str">
        <f t="shared" si="282"/>
        <v>11/09/2025</v>
      </c>
      <c r="B1667" t="str">
        <f t="shared" si="284"/>
        <v>SAÍDA</v>
      </c>
      <c r="C1667" t="str">
        <f t="shared" si="285"/>
        <v>PIX</v>
      </c>
      <c r="D1667" t="str">
        <f>"21160"</f>
        <v>21160</v>
      </c>
      <c r="E1667" t="str">
        <f t="shared" si="286"/>
        <v>1</v>
      </c>
      <c r="F1667" t="str">
        <f t="shared" si="289"/>
        <v>COM</v>
      </c>
      <c r="G1667" t="str">
        <f>"YAN BRENDO CORREIA VIEIRA (861)"</f>
        <v>YAN BRENDO CORREIA VIEIRA (861)</v>
      </c>
      <c r="H1667" t="str">
        <f>"Serv.Prest. 25/08/2025 a 31/08/2025 - PIX: CPF - CHAVE: 096.891.935-97"</f>
        <v>Serv.Prest. 25/08/2025 a 31/08/2025 - PIX: CPF - CHAVE: 096.891.935-97</v>
      </c>
      <c r="I1667" t="str">
        <f t="shared" si="287"/>
        <v>11/09/2025</v>
      </c>
      <c r="J1667" t="str">
        <f t="shared" si="288"/>
        <v>02/09/2025</v>
      </c>
      <c r="K1667" t="str">
        <f>("11/09/2025")</f>
        <v>11/09/2025</v>
      </c>
      <c r="L1667">
        <v>780</v>
      </c>
      <c r="M1667">
        <v>780</v>
      </c>
      <c r="N1667">
        <v>109</v>
      </c>
      <c r="O1667" t="str">
        <f>"PAGAMENTO DE ENTREGADORES"</f>
        <v>PAGAMENTO DE ENTREGADORES</v>
      </c>
      <c r="P1667">
        <v>780</v>
      </c>
      <c r="S1667" t="str">
        <f>"BANCO C6 (149)"</f>
        <v>BANCO C6 (149)</v>
      </c>
      <c r="T1667">
        <v>18074</v>
      </c>
      <c r="U1667">
        <v>21160</v>
      </c>
      <c r="V1667" t="s">
        <v>77</v>
      </c>
    </row>
    <row r="1668" spans="1:22">
      <c r="A1668" t="str">
        <f t="shared" si="282"/>
        <v>11/09/2025</v>
      </c>
      <c r="B1668" t="str">
        <f t="shared" si="284"/>
        <v>SAÍDA</v>
      </c>
      <c r="C1668" t="str">
        <f t="shared" si="285"/>
        <v>PIX</v>
      </c>
      <c r="D1668" t="str">
        <f>"21160"</f>
        <v>21160</v>
      </c>
      <c r="E1668" t="str">
        <f t="shared" si="286"/>
        <v>1</v>
      </c>
      <c r="F1668" t="str">
        <f t="shared" si="289"/>
        <v>COM</v>
      </c>
      <c r="G1668" t="str">
        <f>"YAN BRENDO CORREIA VIEIRA (861)"</f>
        <v>YAN BRENDO CORREIA VIEIRA (861)</v>
      </c>
      <c r="H1668" t="s">
        <v>313</v>
      </c>
      <c r="I1668" t="str">
        <f t="shared" si="287"/>
        <v>11/09/2025</v>
      </c>
      <c r="J1668" t="str">
        <f t="shared" si="288"/>
        <v>02/09/2025</v>
      </c>
      <c r="K1668">
        <v>45911</v>
      </c>
      <c r="N1668">
        <v>109</v>
      </c>
      <c r="O1668" t="s">
        <v>24</v>
      </c>
      <c r="Q1668">
        <v>780</v>
      </c>
      <c r="R1668" t="str">
        <f>"FARMÁCIA INDIANA LJ 200 (10155)"</f>
        <v>FARMÁCIA INDIANA LJ 200 (10155)</v>
      </c>
      <c r="S1668" t="s">
        <v>77</v>
      </c>
      <c r="T1668">
        <v>18074</v>
      </c>
      <c r="U1668">
        <v>21160</v>
      </c>
      <c r="V1668" t="s">
        <v>77</v>
      </c>
    </row>
    <row r="1669" spans="1:22">
      <c r="A1669" t="str">
        <f t="shared" si="282"/>
        <v>11/09/2025</v>
      </c>
      <c r="B1669" t="str">
        <f t="shared" si="284"/>
        <v>SAÍDA</v>
      </c>
      <c r="C1669" t="str">
        <f t="shared" si="285"/>
        <v>PIX</v>
      </c>
      <c r="D1669" t="str">
        <f>"21162"</f>
        <v>21162</v>
      </c>
      <c r="E1669" t="str">
        <f t="shared" si="286"/>
        <v>1</v>
      </c>
      <c r="F1669" t="str">
        <f t="shared" si="289"/>
        <v>COM</v>
      </c>
      <c r="G1669" t="str">
        <f>"ANDERSON PEREIRA DOS SANTOS (746)"</f>
        <v>ANDERSON PEREIRA DOS SANTOS (746)</v>
      </c>
      <c r="H1669" t="str">
        <f>"Serv.Prest. 25/08/2025 a 31/08/2025 - PIX: CPF - CHAVE: 079.930.865-07"</f>
        <v>Serv.Prest. 25/08/2025 a 31/08/2025 - PIX: CPF - CHAVE: 079.930.865-07</v>
      </c>
      <c r="I1669" t="str">
        <f t="shared" si="287"/>
        <v>11/09/2025</v>
      </c>
      <c r="J1669" t="str">
        <f t="shared" si="288"/>
        <v>02/09/2025</v>
      </c>
      <c r="K1669" t="str">
        <f>("11/09/2025")</f>
        <v>11/09/2025</v>
      </c>
      <c r="L1669">
        <v>784</v>
      </c>
      <c r="M1669">
        <v>784</v>
      </c>
      <c r="N1669">
        <v>109</v>
      </c>
      <c r="O1669" t="str">
        <f>"PAGAMENTO DE ENTREGADORES"</f>
        <v>PAGAMENTO DE ENTREGADORES</v>
      </c>
      <c r="P1669">
        <v>784</v>
      </c>
      <c r="S1669" t="str">
        <f>"BANCO C6 (149)"</f>
        <v>BANCO C6 (149)</v>
      </c>
      <c r="T1669">
        <v>18075</v>
      </c>
      <c r="U1669">
        <v>21162</v>
      </c>
      <c r="V1669" t="s">
        <v>77</v>
      </c>
    </row>
    <row r="1670" spans="1:22">
      <c r="A1670" t="str">
        <f t="shared" si="282"/>
        <v>11/09/2025</v>
      </c>
      <c r="B1670" t="str">
        <f t="shared" si="284"/>
        <v>SAÍDA</v>
      </c>
      <c r="C1670" t="str">
        <f t="shared" si="285"/>
        <v>PIX</v>
      </c>
      <c r="D1670" t="str">
        <f>"21162"</f>
        <v>21162</v>
      </c>
      <c r="E1670" t="str">
        <f t="shared" si="286"/>
        <v>1</v>
      </c>
      <c r="F1670" t="str">
        <f t="shared" si="289"/>
        <v>COM</v>
      </c>
      <c r="G1670" t="str">
        <f>"ANDERSON PEREIRA DOS SANTOS (746)"</f>
        <v>ANDERSON PEREIRA DOS SANTOS (746)</v>
      </c>
      <c r="H1670" t="s">
        <v>330</v>
      </c>
      <c r="I1670" t="str">
        <f t="shared" si="287"/>
        <v>11/09/2025</v>
      </c>
      <c r="J1670" t="str">
        <f t="shared" si="288"/>
        <v>02/09/2025</v>
      </c>
      <c r="K1670">
        <v>45911</v>
      </c>
      <c r="N1670">
        <v>109</v>
      </c>
      <c r="O1670" t="s">
        <v>24</v>
      </c>
      <c r="Q1670">
        <v>509.6</v>
      </c>
      <c r="R1670" t="str">
        <f>"FARMÁCIA INDIANA LJ 211 (10168)"</f>
        <v>FARMÁCIA INDIANA LJ 211 (10168)</v>
      </c>
      <c r="S1670" t="s">
        <v>77</v>
      </c>
      <c r="T1670">
        <v>18075</v>
      </c>
      <c r="U1670">
        <v>21162</v>
      </c>
      <c r="V1670" t="s">
        <v>77</v>
      </c>
    </row>
    <row r="1671" spans="1:22">
      <c r="A1671" t="str">
        <f t="shared" si="282"/>
        <v>11/09/2025</v>
      </c>
      <c r="B1671" t="str">
        <f t="shared" si="284"/>
        <v>SAÍDA</v>
      </c>
      <c r="C1671" t="str">
        <f t="shared" si="285"/>
        <v>PIX</v>
      </c>
      <c r="D1671" t="str">
        <f>"21162"</f>
        <v>21162</v>
      </c>
      <c r="E1671" t="str">
        <f t="shared" si="286"/>
        <v>1</v>
      </c>
      <c r="F1671" t="str">
        <f t="shared" si="289"/>
        <v>COM</v>
      </c>
      <c r="G1671" t="str">
        <f>"ANDERSON PEREIRA DOS SANTOS (746)"</f>
        <v>ANDERSON PEREIRA DOS SANTOS (746)</v>
      </c>
      <c r="H1671" t="s">
        <v>330</v>
      </c>
      <c r="I1671" t="str">
        <f t="shared" si="287"/>
        <v>11/09/2025</v>
      </c>
      <c r="J1671" t="str">
        <f t="shared" si="288"/>
        <v>02/09/2025</v>
      </c>
      <c r="K1671">
        <v>45911</v>
      </c>
      <c r="N1671">
        <v>109</v>
      </c>
      <c r="O1671" t="s">
        <v>24</v>
      </c>
      <c r="Q1671">
        <v>274.39999999999998</v>
      </c>
      <c r="R1671" t="str">
        <f>"FARMÁCIA INDIANA LJ 236 (10169)"</f>
        <v>FARMÁCIA INDIANA LJ 236 (10169)</v>
      </c>
      <c r="S1671" t="s">
        <v>77</v>
      </c>
      <c r="T1671">
        <v>18075</v>
      </c>
      <c r="U1671">
        <v>21162</v>
      </c>
      <c r="V1671" t="s">
        <v>77</v>
      </c>
    </row>
    <row r="1672" spans="1:22">
      <c r="A1672" t="str">
        <f t="shared" si="282"/>
        <v>11/09/2025</v>
      </c>
      <c r="B1672" t="str">
        <f t="shared" si="284"/>
        <v>SAÍDA</v>
      </c>
      <c r="C1672" t="str">
        <f t="shared" si="285"/>
        <v>PIX</v>
      </c>
      <c r="D1672" t="str">
        <f>"21163"</f>
        <v>21163</v>
      </c>
      <c r="E1672" t="str">
        <f t="shared" si="286"/>
        <v>1</v>
      </c>
      <c r="F1672" t="str">
        <f t="shared" si="289"/>
        <v>COM</v>
      </c>
      <c r="G1672" t="str">
        <f>"DANILO ROCHA SILVA (162)"</f>
        <v>DANILO ROCHA SILVA (162)</v>
      </c>
      <c r="H1672" t="str">
        <f>"Serv.Prest. 25/08/2025 a 31/08/2025 - PIX: CELULAR - CHAVE: (27) 99811-6850"</f>
        <v>Serv.Prest. 25/08/2025 a 31/08/2025 - PIX: CELULAR - CHAVE: (27) 99811-6850</v>
      </c>
      <c r="I1672" t="str">
        <f t="shared" si="287"/>
        <v>11/09/2025</v>
      </c>
      <c r="J1672" t="str">
        <f t="shared" si="288"/>
        <v>02/09/2025</v>
      </c>
      <c r="K1672" t="str">
        <f>("11/09/2025")</f>
        <v>11/09/2025</v>
      </c>
      <c r="L1672">
        <v>1028.5</v>
      </c>
      <c r="M1672">
        <v>1028.5</v>
      </c>
      <c r="N1672">
        <v>109</v>
      </c>
      <c r="O1672" t="str">
        <f>"PAGAMENTO DE ENTREGADORES"</f>
        <v>PAGAMENTO DE ENTREGADORES</v>
      </c>
      <c r="P1672">
        <v>1028.5</v>
      </c>
      <c r="S1672" t="str">
        <f>"BANCO C6 (149)"</f>
        <v>BANCO C6 (149)</v>
      </c>
      <c r="T1672">
        <v>18076</v>
      </c>
      <c r="U1672">
        <v>21163</v>
      </c>
      <c r="V1672" t="s">
        <v>77</v>
      </c>
    </row>
    <row r="1673" spans="1:22">
      <c r="A1673" t="str">
        <f t="shared" si="282"/>
        <v>11/09/2025</v>
      </c>
      <c r="B1673" t="str">
        <f t="shared" si="284"/>
        <v>SAÍDA</v>
      </c>
      <c r="C1673" t="str">
        <f t="shared" si="285"/>
        <v>PIX</v>
      </c>
      <c r="D1673" t="str">
        <f>"21163"</f>
        <v>21163</v>
      </c>
      <c r="E1673" t="str">
        <f t="shared" si="286"/>
        <v>1</v>
      </c>
      <c r="F1673" t="str">
        <f t="shared" si="289"/>
        <v>COM</v>
      </c>
      <c r="G1673" t="str">
        <f>"DANILO ROCHA SILVA (162)"</f>
        <v>DANILO ROCHA SILVA (162)</v>
      </c>
      <c r="H1673" t="s">
        <v>342</v>
      </c>
      <c r="I1673" t="str">
        <f t="shared" si="287"/>
        <v>11/09/2025</v>
      </c>
      <c r="J1673" t="str">
        <f t="shared" si="288"/>
        <v>02/09/2025</v>
      </c>
      <c r="K1673">
        <v>45911</v>
      </c>
      <c r="N1673">
        <v>109</v>
      </c>
      <c r="O1673" t="s">
        <v>24</v>
      </c>
      <c r="Q1673">
        <v>1028.5</v>
      </c>
      <c r="R1673" t="str">
        <f>"FARMÁCIA INDIANA LJ 181 (10078)"</f>
        <v>FARMÁCIA INDIANA LJ 181 (10078)</v>
      </c>
      <c r="S1673" t="s">
        <v>77</v>
      </c>
      <c r="T1673">
        <v>18076</v>
      </c>
      <c r="U1673">
        <v>21163</v>
      </c>
      <c r="V1673" t="s">
        <v>77</v>
      </c>
    </row>
    <row r="1674" spans="1:22">
      <c r="A1674" t="str">
        <f t="shared" si="282"/>
        <v>11/09/2025</v>
      </c>
      <c r="B1674" t="str">
        <f t="shared" si="284"/>
        <v>SAÍDA</v>
      </c>
      <c r="C1674" t="str">
        <f t="shared" si="285"/>
        <v>PIX</v>
      </c>
      <c r="D1674" t="str">
        <f>"21164"</f>
        <v>21164</v>
      </c>
      <c r="E1674" t="str">
        <f t="shared" si="286"/>
        <v>1</v>
      </c>
      <c r="F1674" t="str">
        <f t="shared" si="289"/>
        <v>COM</v>
      </c>
      <c r="G1674" t="str">
        <f>"FABIO SOUZA DE JESUS (637)"</f>
        <v>FABIO SOUZA DE JESUS (637)</v>
      </c>
      <c r="H1674" t="str">
        <f>"Serv.Prest. 25/08/2025 a 31/08/2025 - PIX: CELULAR - CHAVE: (27) 99950-3450"</f>
        <v>Serv.Prest. 25/08/2025 a 31/08/2025 - PIX: CELULAR - CHAVE: (27) 99950-3450</v>
      </c>
      <c r="I1674" t="str">
        <f t="shared" si="287"/>
        <v>11/09/2025</v>
      </c>
      <c r="J1674" t="str">
        <f t="shared" si="288"/>
        <v>02/09/2025</v>
      </c>
      <c r="K1674" t="str">
        <f>("11/09/2025")</f>
        <v>11/09/2025</v>
      </c>
      <c r="L1674">
        <v>920.5</v>
      </c>
      <c r="M1674">
        <v>920.5</v>
      </c>
      <c r="N1674">
        <v>109</v>
      </c>
      <c r="O1674" t="str">
        <f>"PAGAMENTO DE ENTREGADORES"</f>
        <v>PAGAMENTO DE ENTREGADORES</v>
      </c>
      <c r="P1674">
        <v>920.5</v>
      </c>
      <c r="S1674" t="str">
        <f>"BANCO C6 (149)"</f>
        <v>BANCO C6 (149)</v>
      </c>
      <c r="T1674">
        <v>18077</v>
      </c>
      <c r="U1674">
        <v>21164</v>
      </c>
      <c r="V1674" t="s">
        <v>77</v>
      </c>
    </row>
    <row r="1675" spans="1:22">
      <c r="A1675" t="str">
        <f t="shared" si="282"/>
        <v>11/09/2025</v>
      </c>
      <c r="B1675" t="str">
        <f t="shared" si="284"/>
        <v>SAÍDA</v>
      </c>
      <c r="C1675" t="str">
        <f t="shared" si="285"/>
        <v>PIX</v>
      </c>
      <c r="D1675" t="str">
        <f>"21164"</f>
        <v>21164</v>
      </c>
      <c r="E1675" t="str">
        <f t="shared" si="286"/>
        <v>1</v>
      </c>
      <c r="F1675" t="str">
        <f t="shared" si="289"/>
        <v>COM</v>
      </c>
      <c r="G1675" t="str">
        <f>"FABIO SOUZA DE JESUS (637)"</f>
        <v>FABIO SOUZA DE JESUS (637)</v>
      </c>
      <c r="H1675" t="s">
        <v>357</v>
      </c>
      <c r="I1675" t="str">
        <f t="shared" si="287"/>
        <v>11/09/2025</v>
      </c>
      <c r="J1675" t="str">
        <f t="shared" si="288"/>
        <v>02/09/2025</v>
      </c>
      <c r="K1675">
        <v>45911</v>
      </c>
      <c r="N1675">
        <v>109</v>
      </c>
      <c r="O1675" t="s">
        <v>24</v>
      </c>
      <c r="Q1675">
        <v>552.29999999999995</v>
      </c>
      <c r="R1675" t="str">
        <f>"FARMÁCIA INDIANA LJ 243 (10142)"</f>
        <v>FARMÁCIA INDIANA LJ 243 (10142)</v>
      </c>
      <c r="S1675" t="s">
        <v>77</v>
      </c>
      <c r="T1675">
        <v>18077</v>
      </c>
      <c r="U1675">
        <v>21164</v>
      </c>
      <c r="V1675" t="s">
        <v>77</v>
      </c>
    </row>
    <row r="1676" spans="1:22">
      <c r="A1676" t="str">
        <f t="shared" ref="A1676:A1739" si="290">("11/09/2025")</f>
        <v>11/09/2025</v>
      </c>
      <c r="B1676" t="str">
        <f t="shared" si="284"/>
        <v>SAÍDA</v>
      </c>
      <c r="C1676" t="str">
        <f t="shared" si="285"/>
        <v>PIX</v>
      </c>
      <c r="D1676" t="str">
        <f>"21164"</f>
        <v>21164</v>
      </c>
      <c r="E1676" t="str">
        <f t="shared" si="286"/>
        <v>1</v>
      </c>
      <c r="F1676" t="str">
        <f t="shared" si="289"/>
        <v>COM</v>
      </c>
      <c r="G1676" t="str">
        <f>"FABIO SOUZA DE JESUS (637)"</f>
        <v>FABIO SOUZA DE JESUS (637)</v>
      </c>
      <c r="H1676" t="s">
        <v>357</v>
      </c>
      <c r="I1676" t="str">
        <f t="shared" si="287"/>
        <v>11/09/2025</v>
      </c>
      <c r="J1676" t="str">
        <f t="shared" si="288"/>
        <v>02/09/2025</v>
      </c>
      <c r="K1676">
        <v>45911</v>
      </c>
      <c r="N1676">
        <v>109</v>
      </c>
      <c r="O1676" t="s">
        <v>24</v>
      </c>
      <c r="Q1676">
        <v>368.2</v>
      </c>
      <c r="R1676" t="str">
        <f>"FARMÁCIA INDIANA LJ 235 (10190)"</f>
        <v>FARMÁCIA INDIANA LJ 235 (10190)</v>
      </c>
      <c r="S1676" t="s">
        <v>77</v>
      </c>
      <c r="T1676">
        <v>18077</v>
      </c>
      <c r="U1676">
        <v>21164</v>
      </c>
      <c r="V1676" t="s">
        <v>77</v>
      </c>
    </row>
    <row r="1677" spans="1:22">
      <c r="A1677" t="str">
        <f t="shared" si="290"/>
        <v>11/09/2025</v>
      </c>
      <c r="B1677" t="str">
        <f t="shared" si="284"/>
        <v>SAÍDA</v>
      </c>
      <c r="C1677" t="str">
        <f t="shared" si="285"/>
        <v>PIX</v>
      </c>
      <c r="D1677" t="str">
        <f>"21165"</f>
        <v>21165</v>
      </c>
      <c r="E1677" t="str">
        <f t="shared" si="286"/>
        <v>1</v>
      </c>
      <c r="F1677" t="str">
        <f t="shared" si="289"/>
        <v>COM</v>
      </c>
      <c r="G1677" t="str">
        <f>"JACQUES SEBIM SANTNA (918)"</f>
        <v>JACQUES SEBIM SANTNA (918)</v>
      </c>
      <c r="H1677" t="str">
        <f>"Serv.Prest. 25/08/2025 a 31/08/2025 - PIX: CNPJ - CHAVE: 40.359.224/0001-09"</f>
        <v>Serv.Prest. 25/08/2025 a 31/08/2025 - PIX: CNPJ - CHAVE: 40.359.224/0001-09</v>
      </c>
      <c r="I1677" t="str">
        <f t="shared" si="287"/>
        <v>11/09/2025</v>
      </c>
      <c r="J1677" t="str">
        <f t="shared" si="288"/>
        <v>02/09/2025</v>
      </c>
      <c r="K1677" t="str">
        <f>("11/09/2025")</f>
        <v>11/09/2025</v>
      </c>
      <c r="L1677">
        <v>804</v>
      </c>
      <c r="M1677">
        <v>804</v>
      </c>
      <c r="N1677">
        <v>109</v>
      </c>
      <c r="O1677" t="str">
        <f>"PAGAMENTO DE ENTREGADORES"</f>
        <v>PAGAMENTO DE ENTREGADORES</v>
      </c>
      <c r="P1677">
        <v>804</v>
      </c>
      <c r="S1677" t="str">
        <f>"BANCO C6 (149)"</f>
        <v>BANCO C6 (149)</v>
      </c>
      <c r="T1677">
        <v>18078</v>
      </c>
      <c r="U1677">
        <v>21165</v>
      </c>
      <c r="V1677" t="s">
        <v>77</v>
      </c>
    </row>
    <row r="1678" spans="1:22">
      <c r="A1678" t="str">
        <f t="shared" si="290"/>
        <v>11/09/2025</v>
      </c>
      <c r="B1678" t="str">
        <f t="shared" ref="B1678:B1741" si="291">"SAÍDA"</f>
        <v>SAÍDA</v>
      </c>
      <c r="C1678" t="str">
        <f t="shared" ref="C1678:C1741" si="292">"PIX"</f>
        <v>PIX</v>
      </c>
      <c r="D1678" t="str">
        <f>"21165"</f>
        <v>21165</v>
      </c>
      <c r="E1678" t="str">
        <f t="shared" si="286"/>
        <v>1</v>
      </c>
      <c r="F1678" t="str">
        <f t="shared" si="289"/>
        <v>COM</v>
      </c>
      <c r="G1678" t="str">
        <f>"JACQUES SEBIM SANTNA (918)"</f>
        <v>JACQUES SEBIM SANTNA (918)</v>
      </c>
      <c r="H1678" t="s">
        <v>502</v>
      </c>
      <c r="I1678" t="str">
        <f t="shared" si="287"/>
        <v>11/09/2025</v>
      </c>
      <c r="J1678" t="str">
        <f t="shared" si="288"/>
        <v>02/09/2025</v>
      </c>
      <c r="K1678">
        <v>45911</v>
      </c>
      <c r="N1678">
        <v>109</v>
      </c>
      <c r="O1678" t="s">
        <v>24</v>
      </c>
      <c r="Q1678">
        <v>804</v>
      </c>
      <c r="R1678" t="str">
        <f>"FARMÁCIA INDIANA LJ 188 (10176)"</f>
        <v>FARMÁCIA INDIANA LJ 188 (10176)</v>
      </c>
      <c r="S1678" t="s">
        <v>77</v>
      </c>
      <c r="T1678">
        <v>18078</v>
      </c>
      <c r="U1678">
        <v>21165</v>
      </c>
      <c r="V1678" t="s">
        <v>77</v>
      </c>
    </row>
    <row r="1679" spans="1:22">
      <c r="A1679" t="str">
        <f t="shared" si="290"/>
        <v>11/09/2025</v>
      </c>
      <c r="B1679" t="str">
        <f t="shared" si="291"/>
        <v>SAÍDA</v>
      </c>
      <c r="C1679" t="str">
        <f t="shared" si="292"/>
        <v>PIX</v>
      </c>
      <c r="D1679" t="str">
        <f>"21166"</f>
        <v>21166</v>
      </c>
      <c r="E1679" t="str">
        <f t="shared" si="286"/>
        <v>1</v>
      </c>
      <c r="F1679" t="str">
        <f t="shared" si="289"/>
        <v>COM</v>
      </c>
      <c r="G1679" t="str">
        <f>"JEAN CHARLES BATISTA FILHO (206)"</f>
        <v>JEAN CHARLES BATISTA FILHO (206)</v>
      </c>
      <c r="H1679" t="str">
        <f>"Serv.Prest. 25/08/2025 a 31/08/2025 - PIX: CELULAR - CHAVE: (27) 99616-4468"</f>
        <v>Serv.Prest. 25/08/2025 a 31/08/2025 - PIX: CELULAR - CHAVE: (27) 99616-4468</v>
      </c>
      <c r="I1679" t="str">
        <f t="shared" si="287"/>
        <v>11/09/2025</v>
      </c>
      <c r="J1679" t="str">
        <f t="shared" si="288"/>
        <v>02/09/2025</v>
      </c>
      <c r="K1679" t="str">
        <f>("11/09/2025")</f>
        <v>11/09/2025</v>
      </c>
      <c r="L1679">
        <v>2500</v>
      </c>
      <c r="M1679">
        <v>2500</v>
      </c>
      <c r="N1679">
        <v>109</v>
      </c>
      <c r="O1679" t="str">
        <f>"PAGAMENTO DE ENTREGADORES"</f>
        <v>PAGAMENTO DE ENTREGADORES</v>
      </c>
      <c r="P1679">
        <v>2500</v>
      </c>
      <c r="S1679" t="str">
        <f>"BANCO C6 (149)"</f>
        <v>BANCO C6 (149)</v>
      </c>
      <c r="T1679">
        <v>18079</v>
      </c>
      <c r="U1679">
        <v>21166</v>
      </c>
      <c r="V1679" t="s">
        <v>77</v>
      </c>
    </row>
    <row r="1680" spans="1:22">
      <c r="A1680" t="str">
        <f t="shared" si="290"/>
        <v>11/09/2025</v>
      </c>
      <c r="B1680" t="str">
        <f t="shared" si="291"/>
        <v>SAÍDA</v>
      </c>
      <c r="C1680" t="str">
        <f t="shared" si="292"/>
        <v>PIX</v>
      </c>
      <c r="D1680" t="str">
        <f>"21166"</f>
        <v>21166</v>
      </c>
      <c r="E1680" t="str">
        <f t="shared" si="286"/>
        <v>1</v>
      </c>
      <c r="F1680" t="str">
        <f t="shared" si="289"/>
        <v>COM</v>
      </c>
      <c r="G1680" t="str">
        <f>"JEAN CHARLES BATISTA FILHO (206)"</f>
        <v>JEAN CHARLES BATISTA FILHO (206)</v>
      </c>
      <c r="H1680" t="s">
        <v>384</v>
      </c>
      <c r="I1680" t="str">
        <f t="shared" si="287"/>
        <v>11/09/2025</v>
      </c>
      <c r="J1680" t="str">
        <f t="shared" si="288"/>
        <v>02/09/2025</v>
      </c>
      <c r="K1680">
        <v>45911</v>
      </c>
      <c r="N1680">
        <v>109</v>
      </c>
      <c r="O1680" t="s">
        <v>24</v>
      </c>
      <c r="Q1680">
        <v>2500</v>
      </c>
      <c r="R1680" t="str">
        <f>"FARMÁCIA INDIANA LJ 163 (10072)"</f>
        <v>FARMÁCIA INDIANA LJ 163 (10072)</v>
      </c>
      <c r="S1680" t="s">
        <v>77</v>
      </c>
      <c r="T1680">
        <v>18079</v>
      </c>
      <c r="U1680">
        <v>21166</v>
      </c>
      <c r="V1680" t="s">
        <v>77</v>
      </c>
    </row>
    <row r="1681" spans="1:22">
      <c r="A1681" t="str">
        <f t="shared" si="290"/>
        <v>11/09/2025</v>
      </c>
      <c r="B1681" t="str">
        <f t="shared" si="291"/>
        <v>SAÍDA</v>
      </c>
      <c r="C1681" t="str">
        <f t="shared" si="292"/>
        <v>PIX</v>
      </c>
      <c r="D1681" t="str">
        <f>"21167"</f>
        <v>21167</v>
      </c>
      <c r="E1681" t="str">
        <f t="shared" si="286"/>
        <v>1</v>
      </c>
      <c r="F1681" t="str">
        <f t="shared" si="289"/>
        <v>COM</v>
      </c>
      <c r="G1681" t="str">
        <f>"REGINALDO PEREIRA DE ASSIS (81)"</f>
        <v>REGINALDO PEREIRA DE ASSIS (81)</v>
      </c>
      <c r="H1681" t="str">
        <f>"Serv.Prest. 25/08/2025 a 31/08/2025 - PIX: CELULAR - CHAVE: (27) 99916-8443"</f>
        <v>Serv.Prest. 25/08/2025 a 31/08/2025 - PIX: CELULAR - CHAVE: (27) 99916-8443</v>
      </c>
      <c r="I1681" t="str">
        <f t="shared" si="287"/>
        <v>11/09/2025</v>
      </c>
      <c r="J1681" t="str">
        <f t="shared" si="288"/>
        <v>02/09/2025</v>
      </c>
      <c r="K1681" t="str">
        <f>("11/09/2025")</f>
        <v>11/09/2025</v>
      </c>
      <c r="L1681">
        <v>805</v>
      </c>
      <c r="M1681">
        <v>805</v>
      </c>
      <c r="N1681">
        <v>109</v>
      </c>
      <c r="O1681" t="str">
        <f>"PAGAMENTO DE ENTREGADORES"</f>
        <v>PAGAMENTO DE ENTREGADORES</v>
      </c>
      <c r="P1681">
        <v>805</v>
      </c>
      <c r="S1681" t="str">
        <f>"BANCO C6 (149)"</f>
        <v>BANCO C6 (149)</v>
      </c>
      <c r="T1681">
        <v>18080</v>
      </c>
      <c r="U1681">
        <v>21167</v>
      </c>
      <c r="V1681" t="s">
        <v>77</v>
      </c>
    </row>
    <row r="1682" spans="1:22">
      <c r="A1682" t="str">
        <f t="shared" si="290"/>
        <v>11/09/2025</v>
      </c>
      <c r="B1682" t="str">
        <f t="shared" si="291"/>
        <v>SAÍDA</v>
      </c>
      <c r="C1682" t="str">
        <f t="shared" si="292"/>
        <v>PIX</v>
      </c>
      <c r="D1682" t="str">
        <f>"21167"</f>
        <v>21167</v>
      </c>
      <c r="E1682" t="str">
        <f t="shared" si="286"/>
        <v>1</v>
      </c>
      <c r="F1682" t="str">
        <f t="shared" si="289"/>
        <v>COM</v>
      </c>
      <c r="G1682" t="str">
        <f>"REGINALDO PEREIRA DE ASSIS (81)"</f>
        <v>REGINALDO PEREIRA DE ASSIS (81)</v>
      </c>
      <c r="H1682" t="s">
        <v>308</v>
      </c>
      <c r="I1682" t="str">
        <f t="shared" si="287"/>
        <v>11/09/2025</v>
      </c>
      <c r="J1682" t="str">
        <f t="shared" si="288"/>
        <v>02/09/2025</v>
      </c>
      <c r="K1682">
        <v>45911</v>
      </c>
      <c r="N1682">
        <v>109</v>
      </c>
      <c r="O1682" t="s">
        <v>24</v>
      </c>
      <c r="Q1682">
        <v>805</v>
      </c>
      <c r="R1682" t="str">
        <f>"FARMÁCIA INDIANA LJ 119 (10053)"</f>
        <v>FARMÁCIA INDIANA LJ 119 (10053)</v>
      </c>
      <c r="S1682" t="s">
        <v>77</v>
      </c>
      <c r="T1682">
        <v>18080</v>
      </c>
      <c r="U1682">
        <v>21167</v>
      </c>
      <c r="V1682" t="s">
        <v>77</v>
      </c>
    </row>
    <row r="1683" spans="1:22">
      <c r="A1683" t="str">
        <f t="shared" si="290"/>
        <v>11/09/2025</v>
      </c>
      <c r="B1683" t="str">
        <f t="shared" si="291"/>
        <v>SAÍDA</v>
      </c>
      <c r="C1683" t="str">
        <f t="shared" si="292"/>
        <v>PIX</v>
      </c>
      <c r="D1683" t="str">
        <f>"21168"</f>
        <v>21168</v>
      </c>
      <c r="E1683" t="str">
        <f t="shared" si="286"/>
        <v>1</v>
      </c>
      <c r="F1683" t="str">
        <f t="shared" si="289"/>
        <v>COM</v>
      </c>
      <c r="G1683" t="str">
        <f>"VINÍCIUS NEVES PEREIRA (776)"</f>
        <v>VINÍCIUS NEVES PEREIRA (776)</v>
      </c>
      <c r="H1683" t="str">
        <f>"Serv.Prest. 25/08/2025 a 31/08/2025 - PIX: CPF - CHAVE: 121.963.507-37"</f>
        <v>Serv.Prest. 25/08/2025 a 31/08/2025 - PIX: CPF - CHAVE: 121.963.507-37</v>
      </c>
      <c r="I1683" t="str">
        <f t="shared" si="287"/>
        <v>11/09/2025</v>
      </c>
      <c r="J1683" t="str">
        <f t="shared" si="288"/>
        <v>02/09/2025</v>
      </c>
      <c r="K1683" t="str">
        <f>("11/09/2025")</f>
        <v>11/09/2025</v>
      </c>
      <c r="L1683">
        <v>730.75</v>
      </c>
      <c r="M1683">
        <v>730.75</v>
      </c>
      <c r="N1683">
        <v>109</v>
      </c>
      <c r="O1683" t="str">
        <f>"PAGAMENTO DE ENTREGADORES"</f>
        <v>PAGAMENTO DE ENTREGADORES</v>
      </c>
      <c r="P1683">
        <v>730.75</v>
      </c>
      <c r="S1683" t="str">
        <f>"BANCO C6 (149)"</f>
        <v>BANCO C6 (149)</v>
      </c>
      <c r="T1683">
        <v>18081</v>
      </c>
      <c r="U1683">
        <v>21168</v>
      </c>
      <c r="V1683" t="s">
        <v>77</v>
      </c>
    </row>
    <row r="1684" spans="1:22">
      <c r="A1684" t="str">
        <f t="shared" si="290"/>
        <v>11/09/2025</v>
      </c>
      <c r="B1684" t="str">
        <f t="shared" si="291"/>
        <v>SAÍDA</v>
      </c>
      <c r="C1684" t="str">
        <f t="shared" si="292"/>
        <v>PIX</v>
      </c>
      <c r="D1684" t="str">
        <f>"21168"</f>
        <v>21168</v>
      </c>
      <c r="E1684" t="str">
        <f t="shared" ref="E1684:E1747" si="293">"1"</f>
        <v>1</v>
      </c>
      <c r="F1684" t="str">
        <f t="shared" si="289"/>
        <v>COM</v>
      </c>
      <c r="G1684" t="str">
        <f>"VINÍCIUS NEVES PEREIRA (776)"</f>
        <v>VINÍCIUS NEVES PEREIRA (776)</v>
      </c>
      <c r="H1684" t="s">
        <v>439</v>
      </c>
      <c r="I1684" t="str">
        <f t="shared" si="287"/>
        <v>11/09/2025</v>
      </c>
      <c r="J1684" t="str">
        <f t="shared" si="288"/>
        <v>02/09/2025</v>
      </c>
      <c r="K1684">
        <v>45911</v>
      </c>
      <c r="N1684">
        <v>109</v>
      </c>
      <c r="O1684" t="s">
        <v>24</v>
      </c>
      <c r="Q1684">
        <v>730.75</v>
      </c>
      <c r="R1684" t="str">
        <f>"FARMÁCIA INDIANA LJ 221 (10093)"</f>
        <v>FARMÁCIA INDIANA LJ 221 (10093)</v>
      </c>
      <c r="S1684" t="s">
        <v>77</v>
      </c>
      <c r="T1684">
        <v>18081</v>
      </c>
      <c r="U1684">
        <v>21168</v>
      </c>
      <c r="V1684" t="s">
        <v>77</v>
      </c>
    </row>
    <row r="1685" spans="1:22">
      <c r="A1685" t="str">
        <f t="shared" si="290"/>
        <v>11/09/2025</v>
      </c>
      <c r="B1685" t="str">
        <f t="shared" si="291"/>
        <v>SAÍDA</v>
      </c>
      <c r="C1685" t="str">
        <f t="shared" si="292"/>
        <v>PIX</v>
      </c>
      <c r="D1685" t="str">
        <f>"21170"</f>
        <v>21170</v>
      </c>
      <c r="E1685" t="str">
        <f t="shared" si="293"/>
        <v>1</v>
      </c>
      <c r="F1685" t="str">
        <f t="shared" si="289"/>
        <v>COM</v>
      </c>
      <c r="G1685" t="str">
        <f>"ADRYAN NUNES MARTINS (857)"</f>
        <v>ADRYAN NUNES MARTINS (857)</v>
      </c>
      <c r="H1685" t="str">
        <f>"Serv.Prest. 25/08/2025 a 31/08/2025 - PIX: CPF - CHAVE: 021.178.446-00"</f>
        <v>Serv.Prest. 25/08/2025 a 31/08/2025 - PIX: CPF - CHAVE: 021.178.446-00</v>
      </c>
      <c r="I1685" t="str">
        <f t="shared" si="287"/>
        <v>11/09/2025</v>
      </c>
      <c r="J1685" t="str">
        <f t="shared" si="288"/>
        <v>02/09/2025</v>
      </c>
      <c r="K1685" t="str">
        <f>("11/09/2025")</f>
        <v>11/09/2025</v>
      </c>
      <c r="L1685">
        <v>330.8</v>
      </c>
      <c r="M1685">
        <v>330.8</v>
      </c>
      <c r="N1685">
        <v>109</v>
      </c>
      <c r="O1685" t="str">
        <f>"PAGAMENTO DE ENTREGADORES"</f>
        <v>PAGAMENTO DE ENTREGADORES</v>
      </c>
      <c r="P1685">
        <v>330.8</v>
      </c>
      <c r="S1685" t="str">
        <f>"BANCO C6 (149)"</f>
        <v>BANCO C6 (149)</v>
      </c>
      <c r="T1685">
        <v>18082</v>
      </c>
      <c r="U1685">
        <v>21170</v>
      </c>
      <c r="V1685" t="s">
        <v>77</v>
      </c>
    </row>
    <row r="1686" spans="1:22">
      <c r="A1686" t="str">
        <f t="shared" si="290"/>
        <v>11/09/2025</v>
      </c>
      <c r="B1686" t="str">
        <f t="shared" si="291"/>
        <v>SAÍDA</v>
      </c>
      <c r="C1686" t="str">
        <f t="shared" si="292"/>
        <v>PIX</v>
      </c>
      <c r="D1686" t="str">
        <f>"21170"</f>
        <v>21170</v>
      </c>
      <c r="E1686" t="str">
        <f t="shared" si="293"/>
        <v>1</v>
      </c>
      <c r="F1686" t="str">
        <f t="shared" si="289"/>
        <v>COM</v>
      </c>
      <c r="G1686" t="str">
        <f>"ADRYAN NUNES MARTINS (857)"</f>
        <v>ADRYAN NUNES MARTINS (857)</v>
      </c>
      <c r="H1686" t="s">
        <v>87</v>
      </c>
      <c r="I1686" t="str">
        <f t="shared" si="287"/>
        <v>11/09/2025</v>
      </c>
      <c r="J1686" t="str">
        <f t="shared" si="288"/>
        <v>02/09/2025</v>
      </c>
      <c r="K1686">
        <v>45911</v>
      </c>
      <c r="N1686">
        <v>109</v>
      </c>
      <c r="O1686" t="s">
        <v>24</v>
      </c>
      <c r="Q1686">
        <v>50.45</v>
      </c>
      <c r="R1686" t="str">
        <f>"FARMÁCIA INDIANA LJ 116 (10051)"</f>
        <v>FARMÁCIA INDIANA LJ 116 (10051)</v>
      </c>
      <c r="S1686" t="s">
        <v>77</v>
      </c>
      <c r="T1686">
        <v>18082</v>
      </c>
      <c r="U1686">
        <v>21170</v>
      </c>
      <c r="V1686" t="s">
        <v>77</v>
      </c>
    </row>
    <row r="1687" spans="1:22">
      <c r="A1687" t="str">
        <f t="shared" si="290"/>
        <v>11/09/2025</v>
      </c>
      <c r="B1687" t="str">
        <f t="shared" si="291"/>
        <v>SAÍDA</v>
      </c>
      <c r="C1687" t="str">
        <f t="shared" si="292"/>
        <v>PIX</v>
      </c>
      <c r="D1687" t="str">
        <f>"21170"</f>
        <v>21170</v>
      </c>
      <c r="E1687" t="str">
        <f t="shared" si="293"/>
        <v>1</v>
      </c>
      <c r="F1687" t="str">
        <f t="shared" si="289"/>
        <v>COM</v>
      </c>
      <c r="G1687" t="str">
        <f>"ADRYAN NUNES MARTINS (857)"</f>
        <v>ADRYAN NUNES MARTINS (857)</v>
      </c>
      <c r="H1687" t="s">
        <v>87</v>
      </c>
      <c r="I1687" t="str">
        <f t="shared" ref="I1687:I1750" si="294">("11/09/2025")</f>
        <v>11/09/2025</v>
      </c>
      <c r="J1687" t="str">
        <f t="shared" ref="J1687:J1750" si="295">("02/09/2025")</f>
        <v>02/09/2025</v>
      </c>
      <c r="K1687">
        <v>45911</v>
      </c>
      <c r="N1687">
        <v>109</v>
      </c>
      <c r="O1687" t="s">
        <v>24</v>
      </c>
      <c r="Q1687">
        <v>22.43</v>
      </c>
      <c r="R1687" t="str">
        <f>"FARMÁCIA INDIANA LJ 121 (10054)"</f>
        <v>FARMÁCIA INDIANA LJ 121 (10054)</v>
      </c>
      <c r="S1687" t="s">
        <v>77</v>
      </c>
      <c r="T1687">
        <v>18082</v>
      </c>
      <c r="U1687">
        <v>21170</v>
      </c>
      <c r="V1687" t="s">
        <v>77</v>
      </c>
    </row>
    <row r="1688" spans="1:22">
      <c r="A1688" t="str">
        <f t="shared" si="290"/>
        <v>11/09/2025</v>
      </c>
      <c r="B1688" t="str">
        <f t="shared" si="291"/>
        <v>SAÍDA</v>
      </c>
      <c r="C1688" t="str">
        <f t="shared" si="292"/>
        <v>PIX</v>
      </c>
      <c r="D1688" t="str">
        <f>"21170"</f>
        <v>21170</v>
      </c>
      <c r="E1688" t="str">
        <f t="shared" si="293"/>
        <v>1</v>
      </c>
      <c r="F1688" t="str">
        <f t="shared" si="289"/>
        <v>COM</v>
      </c>
      <c r="G1688" t="str">
        <f>"ADRYAN NUNES MARTINS (857)"</f>
        <v>ADRYAN NUNES MARTINS (857)</v>
      </c>
      <c r="H1688" t="s">
        <v>87</v>
      </c>
      <c r="I1688" t="str">
        <f t="shared" si="294"/>
        <v>11/09/2025</v>
      </c>
      <c r="J1688" t="str">
        <f t="shared" si="295"/>
        <v>02/09/2025</v>
      </c>
      <c r="K1688">
        <v>45911</v>
      </c>
      <c r="N1688">
        <v>109</v>
      </c>
      <c r="O1688" t="s">
        <v>24</v>
      </c>
      <c r="Q1688">
        <v>257.92</v>
      </c>
      <c r="R1688" t="str">
        <f>"FARMÁCIA INDIANA LJ 128 (10057)"</f>
        <v>FARMÁCIA INDIANA LJ 128 (10057)</v>
      </c>
      <c r="S1688" t="s">
        <v>77</v>
      </c>
      <c r="T1688">
        <v>18082</v>
      </c>
      <c r="U1688">
        <v>21170</v>
      </c>
      <c r="V1688" t="s">
        <v>77</v>
      </c>
    </row>
    <row r="1689" spans="1:22">
      <c r="A1689" t="str">
        <f t="shared" si="290"/>
        <v>11/09/2025</v>
      </c>
      <c r="B1689" t="str">
        <f t="shared" si="291"/>
        <v>SAÍDA</v>
      </c>
      <c r="C1689" t="str">
        <f t="shared" si="292"/>
        <v>PIX</v>
      </c>
      <c r="D1689" t="str">
        <f>"21171"</f>
        <v>21171</v>
      </c>
      <c r="E1689" t="str">
        <f t="shared" si="293"/>
        <v>1</v>
      </c>
      <c r="F1689" t="str">
        <f t="shared" si="289"/>
        <v>COM</v>
      </c>
      <c r="G1689" t="str">
        <f>"ALEXSSANDER VIANA FEITOSA (48)"</f>
        <v>ALEXSSANDER VIANA FEITOSA (48)</v>
      </c>
      <c r="H1689" t="str">
        <f>"Serv.Prest. 25/08/2025 a 31/08/2025 - PIX: CPF - CHAVE: 134.385.606-07"</f>
        <v>Serv.Prest. 25/08/2025 a 31/08/2025 - PIX: CPF - CHAVE: 134.385.606-07</v>
      </c>
      <c r="I1689" t="str">
        <f t="shared" si="294"/>
        <v>11/09/2025</v>
      </c>
      <c r="J1689" t="str">
        <f t="shared" si="295"/>
        <v>02/09/2025</v>
      </c>
      <c r="K1689" t="str">
        <f>("11/09/2025")</f>
        <v>11/09/2025</v>
      </c>
      <c r="L1689">
        <v>387.66</v>
      </c>
      <c r="M1689">
        <v>387.66</v>
      </c>
      <c r="N1689">
        <v>109</v>
      </c>
      <c r="O1689" t="str">
        <f>"PAGAMENTO DE ENTREGADORES"</f>
        <v>PAGAMENTO DE ENTREGADORES</v>
      </c>
      <c r="P1689">
        <v>387.66</v>
      </c>
      <c r="S1689" t="str">
        <f>"BANCO C6 (149)"</f>
        <v>BANCO C6 (149)</v>
      </c>
      <c r="T1689">
        <v>18083</v>
      </c>
      <c r="U1689">
        <v>21171</v>
      </c>
      <c r="V1689" t="s">
        <v>77</v>
      </c>
    </row>
    <row r="1690" spans="1:22">
      <c r="A1690" t="str">
        <f t="shared" si="290"/>
        <v>11/09/2025</v>
      </c>
      <c r="B1690" t="str">
        <f t="shared" si="291"/>
        <v>SAÍDA</v>
      </c>
      <c r="C1690" t="str">
        <f t="shared" si="292"/>
        <v>PIX</v>
      </c>
      <c r="D1690" t="str">
        <f>"21171"</f>
        <v>21171</v>
      </c>
      <c r="E1690" t="str">
        <f t="shared" si="293"/>
        <v>1</v>
      </c>
      <c r="F1690" t="str">
        <f t="shared" si="289"/>
        <v>COM</v>
      </c>
      <c r="G1690" t="str">
        <f>"ALEXSSANDER VIANA FEITOSA (48)"</f>
        <v>ALEXSSANDER VIANA FEITOSA (48)</v>
      </c>
      <c r="H1690" t="s">
        <v>326</v>
      </c>
      <c r="I1690" t="str">
        <f t="shared" si="294"/>
        <v>11/09/2025</v>
      </c>
      <c r="J1690" t="str">
        <f t="shared" si="295"/>
        <v>02/09/2025</v>
      </c>
      <c r="K1690">
        <v>45911</v>
      </c>
      <c r="N1690">
        <v>109</v>
      </c>
      <c r="O1690" t="s">
        <v>24</v>
      </c>
      <c r="Q1690">
        <v>387.66</v>
      </c>
      <c r="R1690" t="str">
        <f>"FARMÁCIA INDIANA LJ 07 (10007)"</f>
        <v>FARMÁCIA INDIANA LJ 07 (10007)</v>
      </c>
      <c r="S1690" t="s">
        <v>77</v>
      </c>
      <c r="T1690">
        <v>18083</v>
      </c>
      <c r="U1690">
        <v>21171</v>
      </c>
      <c r="V1690" t="s">
        <v>77</v>
      </c>
    </row>
    <row r="1691" spans="1:22">
      <c r="A1691" t="str">
        <f t="shared" si="290"/>
        <v>11/09/2025</v>
      </c>
      <c r="B1691" t="str">
        <f t="shared" si="291"/>
        <v>SAÍDA</v>
      </c>
      <c r="C1691" t="str">
        <f t="shared" si="292"/>
        <v>PIX</v>
      </c>
      <c r="D1691" t="str">
        <f>"21172"</f>
        <v>21172</v>
      </c>
      <c r="E1691" t="str">
        <f t="shared" si="293"/>
        <v>1</v>
      </c>
      <c r="F1691" t="str">
        <f t="shared" si="289"/>
        <v>COM</v>
      </c>
      <c r="G1691" t="str">
        <f>"ALISSON FELIPE GODINHO (219)"</f>
        <v>ALISSON FELIPE GODINHO (219)</v>
      </c>
      <c r="H1691" t="str">
        <f>"Serv.Prest. 25/08/2025 a 31/08/2025 - PIX: CELULAR - CHAVE: (33) 99877-0415"</f>
        <v>Serv.Prest. 25/08/2025 a 31/08/2025 - PIX: CELULAR - CHAVE: (33) 99877-0415</v>
      </c>
      <c r="I1691" t="str">
        <f t="shared" si="294"/>
        <v>11/09/2025</v>
      </c>
      <c r="J1691" t="str">
        <f t="shared" si="295"/>
        <v>02/09/2025</v>
      </c>
      <c r="K1691" t="str">
        <f>("11/09/2025")</f>
        <v>11/09/2025</v>
      </c>
      <c r="L1691">
        <v>1578.5</v>
      </c>
      <c r="M1691">
        <v>1578.5</v>
      </c>
      <c r="N1691">
        <v>109</v>
      </c>
      <c r="O1691" t="str">
        <f>"PAGAMENTO DE ENTREGADORES"</f>
        <v>PAGAMENTO DE ENTREGADORES</v>
      </c>
      <c r="P1691">
        <v>1578.5</v>
      </c>
      <c r="S1691" t="str">
        <f>"BANCO C6 (149)"</f>
        <v>BANCO C6 (149)</v>
      </c>
      <c r="T1691">
        <v>18084</v>
      </c>
      <c r="U1691">
        <v>21172</v>
      </c>
      <c r="V1691" t="s">
        <v>77</v>
      </c>
    </row>
    <row r="1692" spans="1:22">
      <c r="A1692" t="str">
        <f t="shared" si="290"/>
        <v>11/09/2025</v>
      </c>
      <c r="B1692" t="str">
        <f t="shared" si="291"/>
        <v>SAÍDA</v>
      </c>
      <c r="C1692" t="str">
        <f t="shared" si="292"/>
        <v>PIX</v>
      </c>
      <c r="D1692" t="str">
        <f>"21172"</f>
        <v>21172</v>
      </c>
      <c r="E1692" t="str">
        <f t="shared" si="293"/>
        <v>1</v>
      </c>
      <c r="F1692" t="str">
        <f t="shared" ref="F1692:F1755" si="296">"COM"</f>
        <v>COM</v>
      </c>
      <c r="G1692" t="str">
        <f>"ALISSON FELIPE GODINHO (219)"</f>
        <v>ALISSON FELIPE GODINHO (219)</v>
      </c>
      <c r="H1692" t="s">
        <v>503</v>
      </c>
      <c r="I1692" t="str">
        <f t="shared" si="294"/>
        <v>11/09/2025</v>
      </c>
      <c r="J1692" t="str">
        <f t="shared" si="295"/>
        <v>02/09/2025</v>
      </c>
      <c r="K1692">
        <v>45911</v>
      </c>
      <c r="N1692">
        <v>109</v>
      </c>
      <c r="O1692" t="s">
        <v>24</v>
      </c>
      <c r="Q1692">
        <v>1578.5</v>
      </c>
      <c r="R1692" t="str">
        <f>"FARMÁCIA INDIANA LJ 14 (10009)"</f>
        <v>FARMÁCIA INDIANA LJ 14 (10009)</v>
      </c>
      <c r="S1692" t="s">
        <v>77</v>
      </c>
      <c r="T1692">
        <v>18084</v>
      </c>
      <c r="U1692">
        <v>21172</v>
      </c>
      <c r="V1692" t="s">
        <v>77</v>
      </c>
    </row>
    <row r="1693" spans="1:22">
      <c r="A1693" t="str">
        <f t="shared" si="290"/>
        <v>11/09/2025</v>
      </c>
      <c r="B1693" t="str">
        <f t="shared" si="291"/>
        <v>SAÍDA</v>
      </c>
      <c r="C1693" t="str">
        <f t="shared" si="292"/>
        <v>PIX</v>
      </c>
      <c r="D1693" t="str">
        <f>"21173"</f>
        <v>21173</v>
      </c>
      <c r="E1693" t="str">
        <f t="shared" si="293"/>
        <v>1</v>
      </c>
      <c r="F1693" t="str">
        <f t="shared" si="296"/>
        <v>COM</v>
      </c>
      <c r="G1693" t="str">
        <f>"AMANDA VERÍSSIMO FERREIRA (794)"</f>
        <v>AMANDA VERÍSSIMO FERREIRA (794)</v>
      </c>
      <c r="H1693" t="str">
        <f>"Serv.Prest. 25/08/2025 a 31/08/2025 - PIX: CPF - CHAVE: 099.626.666-60"</f>
        <v>Serv.Prest. 25/08/2025 a 31/08/2025 - PIX: CPF - CHAVE: 099.626.666-60</v>
      </c>
      <c r="I1693" t="str">
        <f t="shared" si="294"/>
        <v>11/09/2025</v>
      </c>
      <c r="J1693" t="str">
        <f t="shared" si="295"/>
        <v>02/09/2025</v>
      </c>
      <c r="K1693" t="str">
        <f>("11/09/2025")</f>
        <v>11/09/2025</v>
      </c>
      <c r="L1693">
        <v>730</v>
      </c>
      <c r="M1693">
        <v>730</v>
      </c>
      <c r="N1693">
        <v>109</v>
      </c>
      <c r="O1693" t="str">
        <f>"PAGAMENTO DE ENTREGADORES"</f>
        <v>PAGAMENTO DE ENTREGADORES</v>
      </c>
      <c r="P1693">
        <v>730</v>
      </c>
      <c r="S1693" t="str">
        <f>"BANCO C6 (149)"</f>
        <v>BANCO C6 (149)</v>
      </c>
      <c r="T1693">
        <v>18085</v>
      </c>
      <c r="U1693">
        <v>21173</v>
      </c>
      <c r="V1693" t="s">
        <v>77</v>
      </c>
    </row>
    <row r="1694" spans="1:22">
      <c r="A1694" t="str">
        <f t="shared" si="290"/>
        <v>11/09/2025</v>
      </c>
      <c r="B1694" t="str">
        <f t="shared" si="291"/>
        <v>SAÍDA</v>
      </c>
      <c r="C1694" t="str">
        <f t="shared" si="292"/>
        <v>PIX</v>
      </c>
      <c r="D1694" t="str">
        <f>"21173"</f>
        <v>21173</v>
      </c>
      <c r="E1694" t="str">
        <f t="shared" si="293"/>
        <v>1</v>
      </c>
      <c r="F1694" t="str">
        <f t="shared" si="296"/>
        <v>COM</v>
      </c>
      <c r="G1694" t="str">
        <f>"AMANDA VERÍSSIMO FERREIRA (794)"</f>
        <v>AMANDA VERÍSSIMO FERREIRA (794)</v>
      </c>
      <c r="H1694" t="s">
        <v>328</v>
      </c>
      <c r="I1694" t="str">
        <f t="shared" si="294"/>
        <v>11/09/2025</v>
      </c>
      <c r="J1694" t="str">
        <f t="shared" si="295"/>
        <v>02/09/2025</v>
      </c>
      <c r="K1694">
        <v>45911</v>
      </c>
      <c r="N1694">
        <v>109</v>
      </c>
      <c r="O1694" t="s">
        <v>24</v>
      </c>
      <c r="Q1694">
        <v>199.07</v>
      </c>
      <c r="R1694" t="str">
        <f>"FARMÁCIA INDIANA LJ 97 (10040)"</f>
        <v>FARMÁCIA INDIANA LJ 97 (10040)</v>
      </c>
      <c r="S1694" t="s">
        <v>77</v>
      </c>
      <c r="T1694">
        <v>18085</v>
      </c>
      <c r="U1694">
        <v>21173</v>
      </c>
      <c r="V1694" t="s">
        <v>77</v>
      </c>
    </row>
    <row r="1695" spans="1:22">
      <c r="A1695" t="str">
        <f t="shared" si="290"/>
        <v>11/09/2025</v>
      </c>
      <c r="B1695" t="str">
        <f t="shared" si="291"/>
        <v>SAÍDA</v>
      </c>
      <c r="C1695" t="str">
        <f t="shared" si="292"/>
        <v>PIX</v>
      </c>
      <c r="D1695" t="str">
        <f>"21173"</f>
        <v>21173</v>
      </c>
      <c r="E1695" t="str">
        <f t="shared" si="293"/>
        <v>1</v>
      </c>
      <c r="F1695" t="str">
        <f t="shared" si="296"/>
        <v>COM</v>
      </c>
      <c r="G1695" t="str">
        <f>"AMANDA VERÍSSIMO FERREIRA (794)"</f>
        <v>AMANDA VERÍSSIMO FERREIRA (794)</v>
      </c>
      <c r="H1695" t="s">
        <v>328</v>
      </c>
      <c r="I1695" t="str">
        <f t="shared" si="294"/>
        <v>11/09/2025</v>
      </c>
      <c r="J1695" t="str">
        <f t="shared" si="295"/>
        <v>02/09/2025</v>
      </c>
      <c r="K1695">
        <v>45911</v>
      </c>
      <c r="N1695">
        <v>109</v>
      </c>
      <c r="O1695" t="s">
        <v>24</v>
      </c>
      <c r="Q1695">
        <v>232.29</v>
      </c>
      <c r="R1695" t="str">
        <f>"FARMÁCIA INDIANA LJ 111 (10049)"</f>
        <v>FARMÁCIA INDIANA LJ 111 (10049)</v>
      </c>
      <c r="S1695" t="s">
        <v>77</v>
      </c>
      <c r="T1695">
        <v>18085</v>
      </c>
      <c r="U1695">
        <v>21173</v>
      </c>
      <c r="V1695" t="s">
        <v>77</v>
      </c>
    </row>
    <row r="1696" spans="1:22">
      <c r="A1696" t="str">
        <f t="shared" si="290"/>
        <v>11/09/2025</v>
      </c>
      <c r="B1696" t="str">
        <f t="shared" si="291"/>
        <v>SAÍDA</v>
      </c>
      <c r="C1696" t="str">
        <f t="shared" si="292"/>
        <v>PIX</v>
      </c>
      <c r="D1696" t="str">
        <f>"21173"</f>
        <v>21173</v>
      </c>
      <c r="E1696" t="str">
        <f t="shared" si="293"/>
        <v>1</v>
      </c>
      <c r="F1696" t="str">
        <f t="shared" si="296"/>
        <v>COM</v>
      </c>
      <c r="G1696" t="str">
        <f>"AMANDA VERÍSSIMO FERREIRA (794)"</f>
        <v>AMANDA VERÍSSIMO FERREIRA (794)</v>
      </c>
      <c r="H1696" t="s">
        <v>328</v>
      </c>
      <c r="I1696" t="str">
        <f t="shared" si="294"/>
        <v>11/09/2025</v>
      </c>
      <c r="J1696" t="str">
        <f t="shared" si="295"/>
        <v>02/09/2025</v>
      </c>
      <c r="K1696">
        <v>45911</v>
      </c>
      <c r="N1696">
        <v>109</v>
      </c>
      <c r="O1696" t="s">
        <v>24</v>
      </c>
      <c r="Q1696">
        <v>298.64</v>
      </c>
      <c r="R1696" t="str">
        <f>"FARMÁCIA INDIANA LJ 143 (10067)"</f>
        <v>FARMÁCIA INDIANA LJ 143 (10067)</v>
      </c>
      <c r="S1696" t="s">
        <v>77</v>
      </c>
      <c r="T1696">
        <v>18085</v>
      </c>
      <c r="U1696">
        <v>21173</v>
      </c>
      <c r="V1696" t="s">
        <v>77</v>
      </c>
    </row>
    <row r="1697" spans="1:22">
      <c r="A1697" t="str">
        <f t="shared" si="290"/>
        <v>11/09/2025</v>
      </c>
      <c r="B1697" t="str">
        <f t="shared" si="291"/>
        <v>SAÍDA</v>
      </c>
      <c r="C1697" t="str">
        <f t="shared" si="292"/>
        <v>PIX</v>
      </c>
      <c r="D1697" t="str">
        <f>"21174"</f>
        <v>21174</v>
      </c>
      <c r="E1697" t="str">
        <f t="shared" si="293"/>
        <v>1</v>
      </c>
      <c r="F1697" t="str">
        <f t="shared" si="296"/>
        <v>COM</v>
      </c>
      <c r="G1697" t="str">
        <f>"ANISSO ANIDAL DE PAULA (161)"</f>
        <v>ANISSO ANIDAL DE PAULA (161)</v>
      </c>
      <c r="H1697" t="str">
        <f>"Serv.Prest. 25/08/2025 a 31/08/2025 - PIX: E-MAIL - CHAVE: anissoanidaldepaula@gmail.com"</f>
        <v>Serv.Prest. 25/08/2025 a 31/08/2025 - PIX: E-MAIL - CHAVE: anissoanidaldepaula@gmail.com</v>
      </c>
      <c r="I1697" t="str">
        <f t="shared" si="294"/>
        <v>11/09/2025</v>
      </c>
      <c r="J1697" t="str">
        <f t="shared" si="295"/>
        <v>02/09/2025</v>
      </c>
      <c r="K1697" t="str">
        <f>("11/09/2025")</f>
        <v>11/09/2025</v>
      </c>
      <c r="L1697">
        <v>802</v>
      </c>
      <c r="M1697">
        <v>802</v>
      </c>
      <c r="N1697">
        <v>109</v>
      </c>
      <c r="O1697" t="str">
        <f>"PAGAMENTO DE ENTREGADORES"</f>
        <v>PAGAMENTO DE ENTREGADORES</v>
      </c>
      <c r="P1697">
        <v>802</v>
      </c>
      <c r="S1697" t="str">
        <f>"BANCO C6 (149)"</f>
        <v>BANCO C6 (149)</v>
      </c>
      <c r="T1697">
        <v>18086</v>
      </c>
      <c r="U1697">
        <v>21174</v>
      </c>
      <c r="V1697" t="s">
        <v>77</v>
      </c>
    </row>
    <row r="1698" spans="1:22">
      <c r="A1698" t="str">
        <f t="shared" si="290"/>
        <v>11/09/2025</v>
      </c>
      <c r="B1698" t="str">
        <f t="shared" si="291"/>
        <v>SAÍDA</v>
      </c>
      <c r="C1698" t="str">
        <f t="shared" si="292"/>
        <v>PIX</v>
      </c>
      <c r="D1698" t="str">
        <f>"21174"</f>
        <v>21174</v>
      </c>
      <c r="E1698" t="str">
        <f t="shared" si="293"/>
        <v>1</v>
      </c>
      <c r="F1698" t="str">
        <f t="shared" si="296"/>
        <v>COM</v>
      </c>
      <c r="G1698" t="str">
        <f>"ANISSO ANIDAL DE PAULA (161)"</f>
        <v>ANISSO ANIDAL DE PAULA (161)</v>
      </c>
      <c r="H1698" t="s">
        <v>331</v>
      </c>
      <c r="I1698" t="str">
        <f t="shared" si="294"/>
        <v>11/09/2025</v>
      </c>
      <c r="J1698" t="str">
        <f t="shared" si="295"/>
        <v>02/09/2025</v>
      </c>
      <c r="K1698">
        <v>45911</v>
      </c>
      <c r="N1698">
        <v>109</v>
      </c>
      <c r="O1698" t="s">
        <v>24</v>
      </c>
      <c r="Q1698">
        <v>802</v>
      </c>
      <c r="R1698" t="str">
        <f>"FARMÁCIA INDIANA LJ 18 (10011)"</f>
        <v>FARMÁCIA INDIANA LJ 18 (10011)</v>
      </c>
      <c r="S1698" t="s">
        <v>77</v>
      </c>
      <c r="T1698">
        <v>18086</v>
      </c>
      <c r="U1698">
        <v>21174</v>
      </c>
      <c r="V1698" t="s">
        <v>77</v>
      </c>
    </row>
    <row r="1699" spans="1:22">
      <c r="A1699" t="str">
        <f t="shared" si="290"/>
        <v>11/09/2025</v>
      </c>
      <c r="B1699" t="str">
        <f t="shared" si="291"/>
        <v>SAÍDA</v>
      </c>
      <c r="C1699" t="str">
        <f t="shared" si="292"/>
        <v>PIX</v>
      </c>
      <c r="D1699" t="str">
        <f>"21175"</f>
        <v>21175</v>
      </c>
      <c r="E1699" t="str">
        <f t="shared" si="293"/>
        <v>1</v>
      </c>
      <c r="F1699" t="str">
        <f t="shared" si="296"/>
        <v>COM</v>
      </c>
      <c r="G1699" t="str">
        <f>"ARLINDO JOSE MARTINS (909)"</f>
        <v>ARLINDO JOSE MARTINS (909)</v>
      </c>
      <c r="H1699" t="str">
        <f>"Serv.Prest. 25/08/2025 a 31/08/2025 - PIX: CPF - CHAVE: 037.192.076-09"</f>
        <v>Serv.Prest. 25/08/2025 a 31/08/2025 - PIX: CPF - CHAVE: 037.192.076-09</v>
      </c>
      <c r="I1699" t="str">
        <f t="shared" si="294"/>
        <v>11/09/2025</v>
      </c>
      <c r="J1699" t="str">
        <f t="shared" si="295"/>
        <v>02/09/2025</v>
      </c>
      <c r="K1699" t="str">
        <f>("11/09/2025")</f>
        <v>11/09/2025</v>
      </c>
      <c r="L1699">
        <v>783</v>
      </c>
      <c r="M1699">
        <v>783</v>
      </c>
      <c r="N1699">
        <v>109</v>
      </c>
      <c r="O1699" t="str">
        <f>"PAGAMENTO DE ENTREGADORES"</f>
        <v>PAGAMENTO DE ENTREGADORES</v>
      </c>
      <c r="P1699">
        <v>783</v>
      </c>
      <c r="S1699" t="str">
        <f>"BANCO C6 (149)"</f>
        <v>BANCO C6 (149)</v>
      </c>
      <c r="T1699">
        <v>18087</v>
      </c>
      <c r="U1699">
        <v>21175</v>
      </c>
      <c r="V1699" t="s">
        <v>77</v>
      </c>
    </row>
    <row r="1700" spans="1:22">
      <c r="A1700" t="str">
        <f t="shared" si="290"/>
        <v>11/09/2025</v>
      </c>
      <c r="B1700" t="str">
        <f t="shared" si="291"/>
        <v>SAÍDA</v>
      </c>
      <c r="C1700" t="str">
        <f t="shared" si="292"/>
        <v>PIX</v>
      </c>
      <c r="D1700" t="str">
        <f>"21175"</f>
        <v>21175</v>
      </c>
      <c r="E1700" t="str">
        <f t="shared" si="293"/>
        <v>1</v>
      </c>
      <c r="F1700" t="str">
        <f t="shared" si="296"/>
        <v>COM</v>
      </c>
      <c r="G1700" t="str">
        <f>"ARLINDO JOSE MARTINS (909)"</f>
        <v>ARLINDO JOSE MARTINS (909)</v>
      </c>
      <c r="H1700" t="s">
        <v>333</v>
      </c>
      <c r="I1700" t="str">
        <f t="shared" si="294"/>
        <v>11/09/2025</v>
      </c>
      <c r="J1700" t="str">
        <f t="shared" si="295"/>
        <v>02/09/2025</v>
      </c>
      <c r="K1700">
        <v>45911</v>
      </c>
      <c r="N1700">
        <v>109</v>
      </c>
      <c r="O1700" t="s">
        <v>24</v>
      </c>
      <c r="Q1700">
        <v>783</v>
      </c>
      <c r="R1700" t="str">
        <f>"FARMÁCIA INDIANA LJ 185 (10141)"</f>
        <v>FARMÁCIA INDIANA LJ 185 (10141)</v>
      </c>
      <c r="S1700" t="s">
        <v>77</v>
      </c>
      <c r="T1700">
        <v>18087</v>
      </c>
      <c r="U1700">
        <v>21175</v>
      </c>
      <c r="V1700" t="s">
        <v>77</v>
      </c>
    </row>
    <row r="1701" spans="1:22">
      <c r="A1701" t="str">
        <f t="shared" si="290"/>
        <v>11/09/2025</v>
      </c>
      <c r="B1701" t="str">
        <f t="shared" si="291"/>
        <v>SAÍDA</v>
      </c>
      <c r="C1701" t="str">
        <f t="shared" si="292"/>
        <v>PIX</v>
      </c>
      <c r="D1701" t="str">
        <f>"21176"</f>
        <v>21176</v>
      </c>
      <c r="E1701" t="str">
        <f t="shared" si="293"/>
        <v>1</v>
      </c>
      <c r="F1701" t="str">
        <f t="shared" si="296"/>
        <v>COM</v>
      </c>
      <c r="G1701" t="str">
        <f>"BRUNO BARBOSA DE MATOS (82)"</f>
        <v>BRUNO BARBOSA DE MATOS (82)</v>
      </c>
      <c r="H1701" t="str">
        <f>"Serv.Prest. 25/08/2025 a 31/08/2025 - PIX: CPF - CHAVE: 137.446.146-62"</f>
        <v>Serv.Prest. 25/08/2025 a 31/08/2025 - PIX: CPF - CHAVE: 137.446.146-62</v>
      </c>
      <c r="I1701" t="str">
        <f t="shared" si="294"/>
        <v>11/09/2025</v>
      </c>
      <c r="J1701" t="str">
        <f t="shared" si="295"/>
        <v>02/09/2025</v>
      </c>
      <c r="K1701" t="str">
        <f>("11/09/2025")</f>
        <v>11/09/2025</v>
      </c>
      <c r="L1701">
        <v>1236</v>
      </c>
      <c r="M1701">
        <v>1236</v>
      </c>
      <c r="N1701">
        <v>109</v>
      </c>
      <c r="O1701" t="str">
        <f>"PAGAMENTO DE ENTREGADORES"</f>
        <v>PAGAMENTO DE ENTREGADORES</v>
      </c>
      <c r="P1701">
        <v>1236</v>
      </c>
      <c r="S1701" t="str">
        <f>"BANCO C6 (149)"</f>
        <v>BANCO C6 (149)</v>
      </c>
      <c r="T1701">
        <v>18088</v>
      </c>
      <c r="U1701">
        <v>21176</v>
      </c>
      <c r="V1701" t="s">
        <v>77</v>
      </c>
    </row>
    <row r="1702" spans="1:22">
      <c r="A1702" t="str">
        <f t="shared" si="290"/>
        <v>11/09/2025</v>
      </c>
      <c r="B1702" t="str">
        <f t="shared" si="291"/>
        <v>SAÍDA</v>
      </c>
      <c r="C1702" t="str">
        <f t="shared" si="292"/>
        <v>PIX</v>
      </c>
      <c r="D1702" t="str">
        <f>"21176"</f>
        <v>21176</v>
      </c>
      <c r="E1702" t="str">
        <f t="shared" si="293"/>
        <v>1</v>
      </c>
      <c r="F1702" t="str">
        <f t="shared" si="296"/>
        <v>COM</v>
      </c>
      <c r="G1702" t="str">
        <f>"BRUNO BARBOSA DE MATOS (82)"</f>
        <v>BRUNO BARBOSA DE MATOS (82)</v>
      </c>
      <c r="H1702" t="s">
        <v>504</v>
      </c>
      <c r="I1702" t="str">
        <f t="shared" si="294"/>
        <v>11/09/2025</v>
      </c>
      <c r="J1702" t="str">
        <f t="shared" si="295"/>
        <v>02/09/2025</v>
      </c>
      <c r="K1702">
        <v>45911</v>
      </c>
      <c r="N1702">
        <v>109</v>
      </c>
      <c r="O1702" t="s">
        <v>24</v>
      </c>
      <c r="Q1702">
        <v>1236</v>
      </c>
      <c r="R1702" t="str">
        <f>"FARMÁCIA INDIANA LJ 152 (10069)"</f>
        <v>FARMÁCIA INDIANA LJ 152 (10069)</v>
      </c>
      <c r="S1702" t="s">
        <v>77</v>
      </c>
      <c r="T1702">
        <v>18088</v>
      </c>
      <c r="U1702">
        <v>21176</v>
      </c>
      <c r="V1702" t="s">
        <v>77</v>
      </c>
    </row>
    <row r="1703" spans="1:22">
      <c r="A1703" t="str">
        <f t="shared" si="290"/>
        <v>11/09/2025</v>
      </c>
      <c r="B1703" t="str">
        <f t="shared" si="291"/>
        <v>SAÍDA</v>
      </c>
      <c r="C1703" t="str">
        <f t="shared" si="292"/>
        <v>PIX</v>
      </c>
      <c r="D1703" t="str">
        <f>"21177"</f>
        <v>21177</v>
      </c>
      <c r="E1703" t="str">
        <f t="shared" si="293"/>
        <v>1</v>
      </c>
      <c r="F1703" t="str">
        <f t="shared" si="296"/>
        <v>COM</v>
      </c>
      <c r="G1703" t="str">
        <f>"BRUNO DOS SANTOS MACHADO (702)"</f>
        <v>BRUNO DOS SANTOS MACHADO (702)</v>
      </c>
      <c r="H1703" t="str">
        <f>"Serv.Prest. 25/08/2025 a 31/08/2025 - PIX: CPF - CHAVE: 155.328.666-94"</f>
        <v>Serv.Prest. 25/08/2025 a 31/08/2025 - PIX: CPF - CHAVE: 155.328.666-94</v>
      </c>
      <c r="I1703" t="str">
        <f t="shared" si="294"/>
        <v>11/09/2025</v>
      </c>
      <c r="J1703" t="str">
        <f t="shared" si="295"/>
        <v>02/09/2025</v>
      </c>
      <c r="K1703" t="str">
        <f>("11/09/2025")</f>
        <v>11/09/2025</v>
      </c>
      <c r="L1703">
        <v>1080</v>
      </c>
      <c r="M1703">
        <v>1080</v>
      </c>
      <c r="N1703">
        <v>109</v>
      </c>
      <c r="O1703" t="str">
        <f>"PAGAMENTO DE ENTREGADORES"</f>
        <v>PAGAMENTO DE ENTREGADORES</v>
      </c>
      <c r="P1703">
        <v>1080</v>
      </c>
      <c r="S1703" t="str">
        <f>"BANCO C6 (149)"</f>
        <v>BANCO C6 (149)</v>
      </c>
      <c r="T1703">
        <v>18089</v>
      </c>
      <c r="U1703">
        <v>21177</v>
      </c>
      <c r="V1703" t="s">
        <v>77</v>
      </c>
    </row>
    <row r="1704" spans="1:22">
      <c r="A1704" t="str">
        <f t="shared" si="290"/>
        <v>11/09/2025</v>
      </c>
      <c r="B1704" t="str">
        <f t="shared" si="291"/>
        <v>SAÍDA</v>
      </c>
      <c r="C1704" t="str">
        <f t="shared" si="292"/>
        <v>PIX</v>
      </c>
      <c r="D1704" t="str">
        <f>"21177"</f>
        <v>21177</v>
      </c>
      <c r="E1704" t="str">
        <f t="shared" si="293"/>
        <v>1</v>
      </c>
      <c r="F1704" t="str">
        <f t="shared" si="296"/>
        <v>COM</v>
      </c>
      <c r="G1704" t="str">
        <f>"BRUNO DOS SANTOS MACHADO (702)"</f>
        <v>BRUNO DOS SANTOS MACHADO (702)</v>
      </c>
      <c r="H1704" t="s">
        <v>335</v>
      </c>
      <c r="I1704" t="str">
        <f t="shared" si="294"/>
        <v>11/09/2025</v>
      </c>
      <c r="J1704" t="str">
        <f t="shared" si="295"/>
        <v>02/09/2025</v>
      </c>
      <c r="K1704">
        <v>45911</v>
      </c>
      <c r="N1704">
        <v>109</v>
      </c>
      <c r="O1704" t="s">
        <v>24</v>
      </c>
      <c r="Q1704">
        <v>972</v>
      </c>
      <c r="R1704" t="str">
        <f>"FARMÁCIA INDIANA LJ 204 (10087)"</f>
        <v>FARMÁCIA INDIANA LJ 204 (10087)</v>
      </c>
      <c r="S1704" t="s">
        <v>77</v>
      </c>
      <c r="T1704">
        <v>18089</v>
      </c>
      <c r="U1704">
        <v>21177</v>
      </c>
      <c r="V1704" t="s">
        <v>77</v>
      </c>
    </row>
    <row r="1705" spans="1:22">
      <c r="A1705" t="str">
        <f t="shared" si="290"/>
        <v>11/09/2025</v>
      </c>
      <c r="B1705" t="str">
        <f t="shared" si="291"/>
        <v>SAÍDA</v>
      </c>
      <c r="C1705" t="str">
        <f t="shared" si="292"/>
        <v>PIX</v>
      </c>
      <c r="D1705" t="str">
        <f>"21177"</f>
        <v>21177</v>
      </c>
      <c r="E1705" t="str">
        <f t="shared" si="293"/>
        <v>1</v>
      </c>
      <c r="F1705" t="str">
        <f t="shared" si="296"/>
        <v>COM</v>
      </c>
      <c r="G1705" t="str">
        <f>"BRUNO DOS SANTOS MACHADO (702)"</f>
        <v>BRUNO DOS SANTOS MACHADO (702)</v>
      </c>
      <c r="H1705" t="s">
        <v>335</v>
      </c>
      <c r="I1705" t="str">
        <f t="shared" si="294"/>
        <v>11/09/2025</v>
      </c>
      <c r="J1705" t="str">
        <f t="shared" si="295"/>
        <v>02/09/2025</v>
      </c>
      <c r="K1705">
        <v>45911</v>
      </c>
      <c r="N1705">
        <v>109</v>
      </c>
      <c r="O1705" t="s">
        <v>24</v>
      </c>
      <c r="Q1705">
        <v>108</v>
      </c>
      <c r="R1705" t="str">
        <f>"FARMÁCIA INDIANA LJ 266 (10186)"</f>
        <v>FARMÁCIA INDIANA LJ 266 (10186)</v>
      </c>
      <c r="S1705" t="s">
        <v>77</v>
      </c>
      <c r="T1705">
        <v>18089</v>
      </c>
      <c r="U1705">
        <v>21177</v>
      </c>
      <c r="V1705" t="s">
        <v>77</v>
      </c>
    </row>
    <row r="1706" spans="1:22">
      <c r="A1706" t="str">
        <f t="shared" si="290"/>
        <v>11/09/2025</v>
      </c>
      <c r="B1706" t="str">
        <f t="shared" si="291"/>
        <v>SAÍDA</v>
      </c>
      <c r="C1706" t="str">
        <f t="shared" si="292"/>
        <v>PIX</v>
      </c>
      <c r="D1706" t="str">
        <f>"21178"</f>
        <v>21178</v>
      </c>
      <c r="E1706" t="str">
        <f t="shared" si="293"/>
        <v>1</v>
      </c>
      <c r="F1706" t="str">
        <f t="shared" si="296"/>
        <v>COM</v>
      </c>
      <c r="G1706" t="str">
        <f>"BRUNO WAGNER DE CARVALHO OLIVEIRA (84)"</f>
        <v>BRUNO WAGNER DE CARVALHO OLIVEIRA (84)</v>
      </c>
      <c r="H1706" t="str">
        <f>"Serv.Prest. 25/08/2025 a 31/08/2025 - PIX: CELULAR - CHAVE: (32) 98896-0708"</f>
        <v>Serv.Prest. 25/08/2025 a 31/08/2025 - PIX: CELULAR - CHAVE: (32) 98896-0708</v>
      </c>
      <c r="I1706" t="str">
        <f t="shared" si="294"/>
        <v>11/09/2025</v>
      </c>
      <c r="J1706" t="str">
        <f t="shared" si="295"/>
        <v>02/09/2025</v>
      </c>
      <c r="K1706" t="str">
        <f>("11/09/2025")</f>
        <v>11/09/2025</v>
      </c>
      <c r="L1706">
        <v>680</v>
      </c>
      <c r="M1706">
        <v>680</v>
      </c>
      <c r="N1706">
        <v>109</v>
      </c>
      <c r="O1706" t="str">
        <f>"PAGAMENTO DE ENTREGADORES"</f>
        <v>PAGAMENTO DE ENTREGADORES</v>
      </c>
      <c r="P1706">
        <v>680</v>
      </c>
      <c r="S1706" t="str">
        <f>"BANCO C6 (149)"</f>
        <v>BANCO C6 (149)</v>
      </c>
      <c r="T1706">
        <v>18090</v>
      </c>
      <c r="U1706">
        <v>21178</v>
      </c>
      <c r="V1706" t="s">
        <v>77</v>
      </c>
    </row>
    <row r="1707" spans="1:22">
      <c r="A1707" t="str">
        <f t="shared" si="290"/>
        <v>11/09/2025</v>
      </c>
      <c r="B1707" t="str">
        <f t="shared" si="291"/>
        <v>SAÍDA</v>
      </c>
      <c r="C1707" t="str">
        <f t="shared" si="292"/>
        <v>PIX</v>
      </c>
      <c r="D1707" t="str">
        <f>"21178"</f>
        <v>21178</v>
      </c>
      <c r="E1707" t="str">
        <f t="shared" si="293"/>
        <v>1</v>
      </c>
      <c r="F1707" t="str">
        <f t="shared" si="296"/>
        <v>COM</v>
      </c>
      <c r="G1707" t="str">
        <f>"BRUNO WAGNER DE CARVALHO OLIVEIRA (84)"</f>
        <v>BRUNO WAGNER DE CARVALHO OLIVEIRA (84)</v>
      </c>
      <c r="H1707" t="s">
        <v>337</v>
      </c>
      <c r="I1707" t="str">
        <f t="shared" si="294"/>
        <v>11/09/2025</v>
      </c>
      <c r="J1707" t="str">
        <f t="shared" si="295"/>
        <v>02/09/2025</v>
      </c>
      <c r="K1707">
        <v>45911</v>
      </c>
      <c r="N1707">
        <v>109</v>
      </c>
      <c r="O1707" t="s">
        <v>24</v>
      </c>
      <c r="Q1707">
        <v>301.17</v>
      </c>
      <c r="R1707" t="str">
        <f>"FARMÁCIA INDIANA LJ 182 (10079)"</f>
        <v>FARMÁCIA INDIANA LJ 182 (10079)</v>
      </c>
      <c r="S1707" t="s">
        <v>77</v>
      </c>
      <c r="T1707">
        <v>18090</v>
      </c>
      <c r="U1707">
        <v>21178</v>
      </c>
      <c r="V1707" t="s">
        <v>77</v>
      </c>
    </row>
    <row r="1708" spans="1:22">
      <c r="A1708" t="str">
        <f t="shared" si="290"/>
        <v>11/09/2025</v>
      </c>
      <c r="B1708" t="str">
        <f t="shared" si="291"/>
        <v>SAÍDA</v>
      </c>
      <c r="C1708" t="str">
        <f t="shared" si="292"/>
        <v>PIX</v>
      </c>
      <c r="D1708" t="str">
        <f>"21178"</f>
        <v>21178</v>
      </c>
      <c r="E1708" t="str">
        <f t="shared" si="293"/>
        <v>1</v>
      </c>
      <c r="F1708" t="str">
        <f t="shared" si="296"/>
        <v>COM</v>
      </c>
      <c r="G1708" t="str">
        <f>"BRUNO WAGNER DE CARVALHO OLIVEIRA (84)"</f>
        <v>BRUNO WAGNER DE CARVALHO OLIVEIRA (84)</v>
      </c>
      <c r="H1708" t="s">
        <v>337</v>
      </c>
      <c r="I1708" t="str">
        <f t="shared" si="294"/>
        <v>11/09/2025</v>
      </c>
      <c r="J1708" t="str">
        <f t="shared" si="295"/>
        <v>02/09/2025</v>
      </c>
      <c r="K1708">
        <v>45911</v>
      </c>
      <c r="N1708">
        <v>109</v>
      </c>
      <c r="O1708" t="s">
        <v>24</v>
      </c>
      <c r="Q1708">
        <v>378.83</v>
      </c>
      <c r="R1708" t="str">
        <f>"FARMÁCIA INDIANA LJ 186 (10081)"</f>
        <v>FARMÁCIA INDIANA LJ 186 (10081)</v>
      </c>
      <c r="S1708" t="s">
        <v>77</v>
      </c>
      <c r="T1708">
        <v>18090</v>
      </c>
      <c r="U1708">
        <v>21178</v>
      </c>
      <c r="V1708" t="s">
        <v>77</v>
      </c>
    </row>
    <row r="1709" spans="1:22">
      <c r="A1709" t="str">
        <f t="shared" si="290"/>
        <v>11/09/2025</v>
      </c>
      <c r="B1709" t="str">
        <f t="shared" si="291"/>
        <v>SAÍDA</v>
      </c>
      <c r="C1709" t="str">
        <f t="shared" si="292"/>
        <v>PIX</v>
      </c>
      <c r="D1709" t="str">
        <f>"21179"</f>
        <v>21179</v>
      </c>
      <c r="E1709" t="str">
        <f t="shared" si="293"/>
        <v>1</v>
      </c>
      <c r="F1709" t="str">
        <f t="shared" si="296"/>
        <v>COM</v>
      </c>
      <c r="G1709" t="str">
        <f>"CARLOS ROBERTO BADARÓ MACHADO (78)"</f>
        <v>CARLOS ROBERTO BADARÓ MACHADO (78)</v>
      </c>
      <c r="H1709" t="str">
        <f>"Serv.Prest. 25/08/2025 a 31/08/2025 - PIX: CELULAR - CHAVE: (32) 99166-8238"</f>
        <v>Serv.Prest. 25/08/2025 a 31/08/2025 - PIX: CELULAR - CHAVE: (32) 99166-8238</v>
      </c>
      <c r="I1709" t="str">
        <f t="shared" si="294"/>
        <v>11/09/2025</v>
      </c>
      <c r="J1709" t="str">
        <f t="shared" si="295"/>
        <v>02/09/2025</v>
      </c>
      <c r="K1709" t="str">
        <f>("11/09/2025")</f>
        <v>11/09/2025</v>
      </c>
      <c r="L1709">
        <v>1426</v>
      </c>
      <c r="M1709">
        <v>1426</v>
      </c>
      <c r="N1709">
        <v>109</v>
      </c>
      <c r="O1709" t="str">
        <f>"PAGAMENTO DE ENTREGADORES"</f>
        <v>PAGAMENTO DE ENTREGADORES</v>
      </c>
      <c r="P1709">
        <v>1426</v>
      </c>
      <c r="S1709" t="str">
        <f>"BANCO C6 (149)"</f>
        <v>BANCO C6 (149)</v>
      </c>
      <c r="T1709">
        <v>18091</v>
      </c>
      <c r="U1709">
        <v>21179</v>
      </c>
      <c r="V1709" t="s">
        <v>77</v>
      </c>
    </row>
    <row r="1710" spans="1:22">
      <c r="A1710" t="str">
        <f t="shared" si="290"/>
        <v>11/09/2025</v>
      </c>
      <c r="B1710" t="str">
        <f t="shared" si="291"/>
        <v>SAÍDA</v>
      </c>
      <c r="C1710" t="str">
        <f t="shared" si="292"/>
        <v>PIX</v>
      </c>
      <c r="D1710" t="str">
        <f>"21179"</f>
        <v>21179</v>
      </c>
      <c r="E1710" t="str">
        <f t="shared" si="293"/>
        <v>1</v>
      </c>
      <c r="F1710" t="str">
        <f t="shared" si="296"/>
        <v>COM</v>
      </c>
      <c r="G1710" t="str">
        <f>"CARLOS ROBERTO BADARÓ MACHADO (78)"</f>
        <v>CARLOS ROBERTO BADARÓ MACHADO (78)</v>
      </c>
      <c r="H1710" t="s">
        <v>338</v>
      </c>
      <c r="I1710" t="str">
        <f t="shared" si="294"/>
        <v>11/09/2025</v>
      </c>
      <c r="J1710" t="str">
        <f t="shared" si="295"/>
        <v>02/09/2025</v>
      </c>
      <c r="K1710">
        <v>45911</v>
      </c>
      <c r="N1710">
        <v>109</v>
      </c>
      <c r="O1710" t="s">
        <v>24</v>
      </c>
      <c r="Q1710">
        <v>1426</v>
      </c>
      <c r="R1710" t="str">
        <f>"FARMÁCIA INDIANA LJ 109 (10047)"</f>
        <v>FARMÁCIA INDIANA LJ 109 (10047)</v>
      </c>
      <c r="S1710" t="s">
        <v>77</v>
      </c>
      <c r="T1710">
        <v>18091</v>
      </c>
      <c r="U1710">
        <v>21179</v>
      </c>
      <c r="V1710" t="s">
        <v>77</v>
      </c>
    </row>
    <row r="1711" spans="1:22">
      <c r="A1711" t="str">
        <f t="shared" si="290"/>
        <v>11/09/2025</v>
      </c>
      <c r="B1711" t="str">
        <f t="shared" si="291"/>
        <v>SAÍDA</v>
      </c>
      <c r="C1711" t="str">
        <f t="shared" si="292"/>
        <v>PIX</v>
      </c>
      <c r="D1711" t="str">
        <f>"21180"</f>
        <v>21180</v>
      </c>
      <c r="E1711" t="str">
        <f t="shared" si="293"/>
        <v>1</v>
      </c>
      <c r="F1711" t="str">
        <f t="shared" si="296"/>
        <v>COM</v>
      </c>
      <c r="G1711" t="str">
        <f>"CASSIO DIAS RIBEIRO (32)"</f>
        <v>CASSIO DIAS RIBEIRO (32)</v>
      </c>
      <c r="H1711" t="str">
        <f>"Serv.Prest. 25/08/2025 a 31/08/2025 - PIX: CPF - CHAVE: 091.575.986-14"</f>
        <v>Serv.Prest. 25/08/2025 a 31/08/2025 - PIX: CPF - CHAVE: 091.575.986-14</v>
      </c>
      <c r="I1711" t="str">
        <f t="shared" si="294"/>
        <v>11/09/2025</v>
      </c>
      <c r="J1711" t="str">
        <f t="shared" si="295"/>
        <v>02/09/2025</v>
      </c>
      <c r="K1711" t="str">
        <f>("11/09/2025")</f>
        <v>11/09/2025</v>
      </c>
      <c r="L1711">
        <v>900</v>
      </c>
      <c r="M1711">
        <v>900</v>
      </c>
      <c r="N1711">
        <v>109</v>
      </c>
      <c r="O1711" t="str">
        <f>"PAGAMENTO DE ENTREGADORES"</f>
        <v>PAGAMENTO DE ENTREGADORES</v>
      </c>
      <c r="P1711">
        <v>900</v>
      </c>
      <c r="S1711" t="str">
        <f>"BANCO C6 (149)"</f>
        <v>BANCO C6 (149)</v>
      </c>
      <c r="T1711">
        <v>18092</v>
      </c>
      <c r="U1711">
        <v>21180</v>
      </c>
      <c r="V1711" t="s">
        <v>77</v>
      </c>
    </row>
    <row r="1712" spans="1:22">
      <c r="A1712" t="str">
        <f t="shared" si="290"/>
        <v>11/09/2025</v>
      </c>
      <c r="B1712" t="str">
        <f t="shared" si="291"/>
        <v>SAÍDA</v>
      </c>
      <c r="C1712" t="str">
        <f t="shared" si="292"/>
        <v>PIX</v>
      </c>
      <c r="D1712" t="str">
        <f>"21180"</f>
        <v>21180</v>
      </c>
      <c r="E1712" t="str">
        <f t="shared" si="293"/>
        <v>1</v>
      </c>
      <c r="F1712" t="str">
        <f t="shared" si="296"/>
        <v>COM</v>
      </c>
      <c r="G1712" t="str">
        <f>"CASSIO DIAS RIBEIRO (32)"</f>
        <v>CASSIO DIAS RIBEIRO (32)</v>
      </c>
      <c r="H1712" t="s">
        <v>91</v>
      </c>
      <c r="I1712" t="str">
        <f t="shared" si="294"/>
        <v>11/09/2025</v>
      </c>
      <c r="J1712" t="str">
        <f t="shared" si="295"/>
        <v>02/09/2025</v>
      </c>
      <c r="K1712">
        <v>45911</v>
      </c>
      <c r="N1712">
        <v>109</v>
      </c>
      <c r="O1712" t="s">
        <v>24</v>
      </c>
      <c r="Q1712">
        <v>900</v>
      </c>
      <c r="R1712" t="str">
        <f>"FARMÁCIA INDIANA LJ 11 (10008)"</f>
        <v>FARMÁCIA INDIANA LJ 11 (10008)</v>
      </c>
      <c r="S1712" t="s">
        <v>77</v>
      </c>
      <c r="T1712">
        <v>18092</v>
      </c>
      <c r="U1712">
        <v>21180</v>
      </c>
      <c r="V1712" t="s">
        <v>77</v>
      </c>
    </row>
    <row r="1713" spans="1:22">
      <c r="A1713" t="str">
        <f t="shared" si="290"/>
        <v>11/09/2025</v>
      </c>
      <c r="B1713" t="str">
        <f t="shared" si="291"/>
        <v>SAÍDA</v>
      </c>
      <c r="C1713" t="str">
        <f t="shared" si="292"/>
        <v>PIX</v>
      </c>
      <c r="D1713" t="str">
        <f>"21181"</f>
        <v>21181</v>
      </c>
      <c r="E1713" t="str">
        <f t="shared" si="293"/>
        <v>1</v>
      </c>
      <c r="F1713" t="str">
        <f t="shared" si="296"/>
        <v>COM</v>
      </c>
      <c r="G1713" t="str">
        <f>"CELIO JOSÉ RIBEIRO (189)"</f>
        <v>CELIO JOSÉ RIBEIRO (189)</v>
      </c>
      <c r="H1713" t="str">
        <f>"Serv.Prest. 25/08/2025 a 31/08/2025 - PIX: CELULAR - CHAVE: (33) 98845-4528"</f>
        <v>Serv.Prest. 25/08/2025 a 31/08/2025 - PIX: CELULAR - CHAVE: (33) 98845-4528</v>
      </c>
      <c r="I1713" t="str">
        <f t="shared" si="294"/>
        <v>11/09/2025</v>
      </c>
      <c r="J1713" t="str">
        <f t="shared" si="295"/>
        <v>02/09/2025</v>
      </c>
      <c r="K1713" t="str">
        <f>("11/09/2025")</f>
        <v>11/09/2025</v>
      </c>
      <c r="L1713">
        <v>990</v>
      </c>
      <c r="M1713">
        <v>990</v>
      </c>
      <c r="N1713">
        <v>109</v>
      </c>
      <c r="O1713" t="str">
        <f>"PAGAMENTO DE ENTREGADORES"</f>
        <v>PAGAMENTO DE ENTREGADORES</v>
      </c>
      <c r="P1713">
        <v>990</v>
      </c>
      <c r="S1713" t="str">
        <f>"BANCO C6 (149)"</f>
        <v>BANCO C6 (149)</v>
      </c>
      <c r="T1713">
        <v>18093</v>
      </c>
      <c r="U1713">
        <v>21181</v>
      </c>
      <c r="V1713" t="s">
        <v>77</v>
      </c>
    </row>
    <row r="1714" spans="1:22">
      <c r="A1714" t="str">
        <f t="shared" si="290"/>
        <v>11/09/2025</v>
      </c>
      <c r="B1714" t="str">
        <f t="shared" si="291"/>
        <v>SAÍDA</v>
      </c>
      <c r="C1714" t="str">
        <f t="shared" si="292"/>
        <v>PIX</v>
      </c>
      <c r="D1714" t="str">
        <f>"21181"</f>
        <v>21181</v>
      </c>
      <c r="E1714" t="str">
        <f t="shared" si="293"/>
        <v>1</v>
      </c>
      <c r="F1714" t="str">
        <f t="shared" si="296"/>
        <v>COM</v>
      </c>
      <c r="G1714" t="str">
        <f>"CELIO JOSÉ RIBEIRO (189)"</f>
        <v>CELIO JOSÉ RIBEIRO (189)</v>
      </c>
      <c r="H1714" t="s">
        <v>505</v>
      </c>
      <c r="I1714" t="str">
        <f t="shared" si="294"/>
        <v>11/09/2025</v>
      </c>
      <c r="J1714" t="str">
        <f t="shared" si="295"/>
        <v>02/09/2025</v>
      </c>
      <c r="K1714">
        <v>45911</v>
      </c>
      <c r="N1714">
        <v>109</v>
      </c>
      <c r="O1714" t="s">
        <v>24</v>
      </c>
      <c r="Q1714">
        <v>990</v>
      </c>
      <c r="R1714" t="str">
        <f>"FARMÁCIA INDIANA LJ 06 (10006)"</f>
        <v>FARMÁCIA INDIANA LJ 06 (10006)</v>
      </c>
      <c r="S1714" t="s">
        <v>77</v>
      </c>
      <c r="T1714">
        <v>18093</v>
      </c>
      <c r="U1714">
        <v>21181</v>
      </c>
      <c r="V1714" t="s">
        <v>77</v>
      </c>
    </row>
    <row r="1715" spans="1:22">
      <c r="A1715" t="str">
        <f t="shared" si="290"/>
        <v>11/09/2025</v>
      </c>
      <c r="B1715" t="str">
        <f t="shared" si="291"/>
        <v>SAÍDA</v>
      </c>
      <c r="C1715" t="str">
        <f t="shared" si="292"/>
        <v>PIX</v>
      </c>
      <c r="D1715" t="str">
        <f>"21182"</f>
        <v>21182</v>
      </c>
      <c r="E1715" t="str">
        <f t="shared" si="293"/>
        <v>1</v>
      </c>
      <c r="F1715" t="str">
        <f t="shared" si="296"/>
        <v>COM</v>
      </c>
      <c r="G1715" t="str">
        <f>"CLEIDIOMAR RIBEIRO FERREIRA (34)"</f>
        <v>CLEIDIOMAR RIBEIRO FERREIRA (34)</v>
      </c>
      <c r="H1715" t="str">
        <f>"Serv.Prest. 25/08/2025 a 31/08/2025 - PIX: CELULAR - CHAVE: (31) 98511-2851"</f>
        <v>Serv.Prest. 25/08/2025 a 31/08/2025 - PIX: CELULAR - CHAVE: (31) 98511-2851</v>
      </c>
      <c r="I1715" t="str">
        <f t="shared" si="294"/>
        <v>11/09/2025</v>
      </c>
      <c r="J1715" t="str">
        <f t="shared" si="295"/>
        <v>02/09/2025</v>
      </c>
      <c r="K1715" t="str">
        <f>("11/09/2025")</f>
        <v>11/09/2025</v>
      </c>
      <c r="L1715">
        <v>1404</v>
      </c>
      <c r="M1715">
        <v>1404</v>
      </c>
      <c r="N1715">
        <v>109</v>
      </c>
      <c r="O1715" t="str">
        <f>"PAGAMENTO DE ENTREGADORES"</f>
        <v>PAGAMENTO DE ENTREGADORES</v>
      </c>
      <c r="P1715">
        <v>1404</v>
      </c>
      <c r="S1715" t="str">
        <f>"BANCO C6 (149)"</f>
        <v>BANCO C6 (149)</v>
      </c>
      <c r="T1715">
        <v>18094</v>
      </c>
      <c r="U1715">
        <v>21182</v>
      </c>
      <c r="V1715" t="s">
        <v>77</v>
      </c>
    </row>
    <row r="1716" spans="1:22">
      <c r="A1716" t="str">
        <f t="shared" si="290"/>
        <v>11/09/2025</v>
      </c>
      <c r="B1716" t="str">
        <f t="shared" si="291"/>
        <v>SAÍDA</v>
      </c>
      <c r="C1716" t="str">
        <f t="shared" si="292"/>
        <v>PIX</v>
      </c>
      <c r="D1716" t="str">
        <f>"21182"</f>
        <v>21182</v>
      </c>
      <c r="E1716" t="str">
        <f t="shared" si="293"/>
        <v>1</v>
      </c>
      <c r="F1716" t="str">
        <f t="shared" si="296"/>
        <v>COM</v>
      </c>
      <c r="G1716" t="str">
        <f>"CLEIDIOMAR RIBEIRO FERREIRA (34)"</f>
        <v>CLEIDIOMAR RIBEIRO FERREIRA (34)</v>
      </c>
      <c r="H1716" t="s">
        <v>506</v>
      </c>
      <c r="I1716" t="str">
        <f t="shared" si="294"/>
        <v>11/09/2025</v>
      </c>
      <c r="J1716" t="str">
        <f t="shared" si="295"/>
        <v>02/09/2025</v>
      </c>
      <c r="K1716">
        <v>45911</v>
      </c>
      <c r="N1716">
        <v>109</v>
      </c>
      <c r="O1716" t="s">
        <v>24</v>
      </c>
      <c r="Q1716">
        <v>1404</v>
      </c>
      <c r="R1716" t="str">
        <f>"FARMÁCIA INDIANA LJ 11 (10008)"</f>
        <v>FARMÁCIA INDIANA LJ 11 (10008)</v>
      </c>
      <c r="S1716" t="s">
        <v>77</v>
      </c>
      <c r="T1716">
        <v>18094</v>
      </c>
      <c r="U1716">
        <v>21182</v>
      </c>
      <c r="V1716" t="s">
        <v>77</v>
      </c>
    </row>
    <row r="1717" spans="1:22">
      <c r="A1717" t="str">
        <f t="shared" si="290"/>
        <v>11/09/2025</v>
      </c>
      <c r="B1717" t="str">
        <f t="shared" si="291"/>
        <v>SAÍDA</v>
      </c>
      <c r="C1717" t="str">
        <f t="shared" si="292"/>
        <v>PIX</v>
      </c>
      <c r="D1717" t="str">
        <f>"21183"</f>
        <v>21183</v>
      </c>
      <c r="E1717" t="str">
        <f t="shared" si="293"/>
        <v>1</v>
      </c>
      <c r="F1717" t="str">
        <f t="shared" si="296"/>
        <v>COM</v>
      </c>
      <c r="G1717" t="str">
        <f>"CRISTIANO XAVIER DA COSTA (269)"</f>
        <v>CRISTIANO XAVIER DA COSTA (269)</v>
      </c>
      <c r="H1717" t="str">
        <f>"Serv.Prest. 25/08/2025 a 31/08/2025 - PIX: CELULAR - CHAVE: (32) 99177-6167"</f>
        <v>Serv.Prest. 25/08/2025 a 31/08/2025 - PIX: CELULAR - CHAVE: (32) 99177-6167</v>
      </c>
      <c r="I1717" t="str">
        <f t="shared" si="294"/>
        <v>11/09/2025</v>
      </c>
      <c r="J1717" t="str">
        <f t="shared" si="295"/>
        <v>02/09/2025</v>
      </c>
      <c r="K1717" t="str">
        <f>("11/09/2025")</f>
        <v>11/09/2025</v>
      </c>
      <c r="L1717">
        <v>1720</v>
      </c>
      <c r="M1717">
        <v>1720</v>
      </c>
      <c r="N1717">
        <v>109</v>
      </c>
      <c r="O1717" t="str">
        <f>"PAGAMENTO DE ENTREGADORES"</f>
        <v>PAGAMENTO DE ENTREGADORES</v>
      </c>
      <c r="P1717">
        <v>1720</v>
      </c>
      <c r="S1717" t="str">
        <f>"BANCO C6 (149)"</f>
        <v>BANCO C6 (149)</v>
      </c>
      <c r="T1717">
        <v>18095</v>
      </c>
      <c r="U1717">
        <v>21183</v>
      </c>
      <c r="V1717" t="s">
        <v>77</v>
      </c>
    </row>
    <row r="1718" spans="1:22">
      <c r="A1718" t="str">
        <f t="shared" si="290"/>
        <v>11/09/2025</v>
      </c>
      <c r="B1718" t="str">
        <f t="shared" si="291"/>
        <v>SAÍDA</v>
      </c>
      <c r="C1718" t="str">
        <f t="shared" si="292"/>
        <v>PIX</v>
      </c>
      <c r="D1718" t="str">
        <f>"21183"</f>
        <v>21183</v>
      </c>
      <c r="E1718" t="str">
        <f t="shared" si="293"/>
        <v>1</v>
      </c>
      <c r="F1718" t="str">
        <f t="shared" si="296"/>
        <v>COM</v>
      </c>
      <c r="G1718" t="str">
        <f>"CRISTIANO XAVIER DA COSTA (269)"</f>
        <v>CRISTIANO XAVIER DA COSTA (269)</v>
      </c>
      <c r="H1718" t="s">
        <v>341</v>
      </c>
      <c r="I1718" t="str">
        <f t="shared" si="294"/>
        <v>11/09/2025</v>
      </c>
      <c r="J1718" t="str">
        <f t="shared" si="295"/>
        <v>02/09/2025</v>
      </c>
      <c r="K1718">
        <v>45911</v>
      </c>
      <c r="N1718">
        <v>109</v>
      </c>
      <c r="O1718" t="s">
        <v>24</v>
      </c>
      <c r="Q1718">
        <v>585.14</v>
      </c>
      <c r="R1718" t="str">
        <f>"FARMÁCIA INDIANA LJ 207 (10088)"</f>
        <v>FARMÁCIA INDIANA LJ 207 (10088)</v>
      </c>
      <c r="S1718" t="s">
        <v>77</v>
      </c>
      <c r="T1718">
        <v>18095</v>
      </c>
      <c r="U1718">
        <v>21183</v>
      </c>
      <c r="V1718" t="s">
        <v>77</v>
      </c>
    </row>
    <row r="1719" spans="1:22">
      <c r="A1719" t="str">
        <f t="shared" si="290"/>
        <v>11/09/2025</v>
      </c>
      <c r="B1719" t="str">
        <f t="shared" si="291"/>
        <v>SAÍDA</v>
      </c>
      <c r="C1719" t="str">
        <f t="shared" si="292"/>
        <v>PIX</v>
      </c>
      <c r="D1719" t="str">
        <f>"21183"</f>
        <v>21183</v>
      </c>
      <c r="E1719" t="str">
        <f t="shared" si="293"/>
        <v>1</v>
      </c>
      <c r="F1719" t="str">
        <f t="shared" si="296"/>
        <v>COM</v>
      </c>
      <c r="G1719" t="str">
        <f>"CRISTIANO XAVIER DA COSTA (269)"</f>
        <v>CRISTIANO XAVIER DA COSTA (269)</v>
      </c>
      <c r="H1719" t="s">
        <v>341</v>
      </c>
      <c r="I1719" t="str">
        <f t="shared" si="294"/>
        <v>11/09/2025</v>
      </c>
      <c r="J1719" t="str">
        <f t="shared" si="295"/>
        <v>02/09/2025</v>
      </c>
      <c r="K1719">
        <v>45911</v>
      </c>
      <c r="N1719">
        <v>109</v>
      </c>
      <c r="O1719" t="s">
        <v>24</v>
      </c>
      <c r="Q1719">
        <v>1134.8599999999999</v>
      </c>
      <c r="R1719" t="str">
        <f>"FARMÁCIA INDIANA LJ 209 (10089)"</f>
        <v>FARMÁCIA INDIANA LJ 209 (10089)</v>
      </c>
      <c r="S1719" t="s">
        <v>77</v>
      </c>
      <c r="T1719">
        <v>18095</v>
      </c>
      <c r="U1719">
        <v>21183</v>
      </c>
      <c r="V1719" t="s">
        <v>77</v>
      </c>
    </row>
    <row r="1720" spans="1:22">
      <c r="A1720" t="str">
        <f t="shared" si="290"/>
        <v>11/09/2025</v>
      </c>
      <c r="B1720" t="str">
        <f t="shared" si="291"/>
        <v>SAÍDA</v>
      </c>
      <c r="C1720" t="str">
        <f t="shared" si="292"/>
        <v>PIX</v>
      </c>
      <c r="D1720" t="str">
        <f>"21184"</f>
        <v>21184</v>
      </c>
      <c r="E1720" t="str">
        <f t="shared" si="293"/>
        <v>1</v>
      </c>
      <c r="F1720" t="str">
        <f t="shared" si="296"/>
        <v>COM</v>
      </c>
      <c r="G1720" t="str">
        <f>"DAMÁSIO JOSÉ DO NASCIMENTO NETO (147)"</f>
        <v>DAMÁSIO JOSÉ DO NASCIMENTO NETO (147)</v>
      </c>
      <c r="H1720" t="str">
        <f>"Serv.Prest. 25/08/2025 a 31/08/2025 - PIX: CPF - CHAVE: 110.483.296-82"</f>
        <v>Serv.Prest. 25/08/2025 a 31/08/2025 - PIX: CPF - CHAVE: 110.483.296-82</v>
      </c>
      <c r="I1720" t="str">
        <f t="shared" si="294"/>
        <v>11/09/2025</v>
      </c>
      <c r="J1720" t="str">
        <f t="shared" si="295"/>
        <v>02/09/2025</v>
      </c>
      <c r="K1720" t="str">
        <f>("11/09/2025")</f>
        <v>11/09/2025</v>
      </c>
      <c r="L1720">
        <v>1542</v>
      </c>
      <c r="M1720">
        <v>1542</v>
      </c>
      <c r="N1720">
        <v>109</v>
      </c>
      <c r="O1720" t="str">
        <f>"PAGAMENTO DE ENTREGADORES"</f>
        <v>PAGAMENTO DE ENTREGADORES</v>
      </c>
      <c r="P1720">
        <v>1542</v>
      </c>
      <c r="S1720" t="str">
        <f>"BANCO C6 (149)"</f>
        <v>BANCO C6 (149)</v>
      </c>
      <c r="T1720">
        <v>18096</v>
      </c>
      <c r="U1720">
        <v>21184</v>
      </c>
      <c r="V1720" t="s">
        <v>77</v>
      </c>
    </row>
    <row r="1721" spans="1:22">
      <c r="A1721" t="str">
        <f t="shared" si="290"/>
        <v>11/09/2025</v>
      </c>
      <c r="B1721" t="str">
        <f t="shared" si="291"/>
        <v>SAÍDA</v>
      </c>
      <c r="C1721" t="str">
        <f t="shared" si="292"/>
        <v>PIX</v>
      </c>
      <c r="D1721" t="str">
        <f>"21184"</f>
        <v>21184</v>
      </c>
      <c r="E1721" t="str">
        <f t="shared" si="293"/>
        <v>1</v>
      </c>
      <c r="F1721" t="str">
        <f t="shared" si="296"/>
        <v>COM</v>
      </c>
      <c r="G1721" t="str">
        <f>"DAMÁSIO JOSÉ DO NASCIMENTO NETO (147)"</f>
        <v>DAMÁSIO JOSÉ DO NASCIMENTO NETO (147)</v>
      </c>
      <c r="H1721" t="s">
        <v>507</v>
      </c>
      <c r="I1721" t="str">
        <f t="shared" si="294"/>
        <v>11/09/2025</v>
      </c>
      <c r="J1721" t="str">
        <f t="shared" si="295"/>
        <v>02/09/2025</v>
      </c>
      <c r="K1721">
        <v>45911</v>
      </c>
      <c r="N1721">
        <v>109</v>
      </c>
      <c r="O1721" t="s">
        <v>24</v>
      </c>
      <c r="Q1721">
        <v>1542</v>
      </c>
      <c r="R1721" t="str">
        <f>"FARMÁCIA INDIANA LJ 142 (10066)"</f>
        <v>FARMÁCIA INDIANA LJ 142 (10066)</v>
      </c>
      <c r="S1721" t="s">
        <v>77</v>
      </c>
      <c r="T1721">
        <v>18096</v>
      </c>
      <c r="U1721">
        <v>21184</v>
      </c>
      <c r="V1721" t="s">
        <v>77</v>
      </c>
    </row>
    <row r="1722" spans="1:22">
      <c r="A1722" t="str">
        <f t="shared" si="290"/>
        <v>11/09/2025</v>
      </c>
      <c r="B1722" t="str">
        <f t="shared" si="291"/>
        <v>SAÍDA</v>
      </c>
      <c r="C1722" t="str">
        <f t="shared" si="292"/>
        <v>PIX</v>
      </c>
      <c r="D1722" t="str">
        <f>"21185"</f>
        <v>21185</v>
      </c>
      <c r="E1722" t="str">
        <f t="shared" si="293"/>
        <v>1</v>
      </c>
      <c r="F1722" t="str">
        <f t="shared" si="296"/>
        <v>COM</v>
      </c>
      <c r="G1722" t="str">
        <f>"DANILO WASHINGTON DOS SANTOS (770)"</f>
        <v>DANILO WASHINGTON DOS SANTOS (770)</v>
      </c>
      <c r="H1722" t="str">
        <f>"Serv.Prest. 25/08/2025 a 31/08/2025 - PIX: CELULAR - CHAVE: (33) 98749-5105"</f>
        <v>Serv.Prest. 25/08/2025 a 31/08/2025 - PIX: CELULAR - CHAVE: (33) 98749-5105</v>
      </c>
      <c r="I1722" t="str">
        <f t="shared" si="294"/>
        <v>11/09/2025</v>
      </c>
      <c r="J1722" t="str">
        <f t="shared" si="295"/>
        <v>02/09/2025</v>
      </c>
      <c r="K1722" t="str">
        <f>("11/09/2025")</f>
        <v>11/09/2025</v>
      </c>
      <c r="L1722">
        <v>889.66</v>
      </c>
      <c r="M1722">
        <v>889.66</v>
      </c>
      <c r="N1722">
        <v>109</v>
      </c>
      <c r="O1722" t="str">
        <f>"PAGAMENTO DE ENTREGADORES"</f>
        <v>PAGAMENTO DE ENTREGADORES</v>
      </c>
      <c r="P1722">
        <v>889.66</v>
      </c>
      <c r="S1722" t="str">
        <f>"BANCO C6 (149)"</f>
        <v>BANCO C6 (149)</v>
      </c>
      <c r="T1722">
        <v>18097</v>
      </c>
      <c r="U1722">
        <v>21185</v>
      </c>
      <c r="V1722" t="s">
        <v>77</v>
      </c>
    </row>
    <row r="1723" spans="1:22">
      <c r="A1723" t="str">
        <f t="shared" si="290"/>
        <v>11/09/2025</v>
      </c>
      <c r="B1723" t="str">
        <f t="shared" si="291"/>
        <v>SAÍDA</v>
      </c>
      <c r="C1723" t="str">
        <f t="shared" si="292"/>
        <v>PIX</v>
      </c>
      <c r="D1723" t="str">
        <f>"21185"</f>
        <v>21185</v>
      </c>
      <c r="E1723" t="str">
        <f t="shared" si="293"/>
        <v>1</v>
      </c>
      <c r="F1723" t="str">
        <f t="shared" si="296"/>
        <v>COM</v>
      </c>
      <c r="G1723" t="str">
        <f>"DANILO WASHINGTON DOS SANTOS (770)"</f>
        <v>DANILO WASHINGTON DOS SANTOS (770)</v>
      </c>
      <c r="H1723" t="s">
        <v>343</v>
      </c>
      <c r="I1723" t="str">
        <f t="shared" si="294"/>
        <v>11/09/2025</v>
      </c>
      <c r="J1723" t="str">
        <f t="shared" si="295"/>
        <v>02/09/2025</v>
      </c>
      <c r="K1723">
        <v>45911</v>
      </c>
      <c r="N1723">
        <v>109</v>
      </c>
      <c r="O1723" t="s">
        <v>24</v>
      </c>
      <c r="Q1723">
        <v>889.66</v>
      </c>
      <c r="R1723" t="str">
        <f>"FARMÁCIA INDIANA LJ 07 (10007)"</f>
        <v>FARMÁCIA INDIANA LJ 07 (10007)</v>
      </c>
      <c r="S1723" t="s">
        <v>77</v>
      </c>
      <c r="T1723">
        <v>18097</v>
      </c>
      <c r="U1723">
        <v>21185</v>
      </c>
      <c r="V1723" t="s">
        <v>77</v>
      </c>
    </row>
    <row r="1724" spans="1:22">
      <c r="A1724" t="str">
        <f t="shared" si="290"/>
        <v>11/09/2025</v>
      </c>
      <c r="B1724" t="str">
        <f t="shared" si="291"/>
        <v>SAÍDA</v>
      </c>
      <c r="C1724" t="str">
        <f t="shared" si="292"/>
        <v>PIX</v>
      </c>
      <c r="D1724" t="str">
        <f>"21186"</f>
        <v>21186</v>
      </c>
      <c r="E1724" t="str">
        <f t="shared" si="293"/>
        <v>1</v>
      </c>
      <c r="F1724" t="str">
        <f t="shared" si="296"/>
        <v>COM</v>
      </c>
      <c r="G1724" t="str">
        <f>"DANTE SOARES DA SILVA (416)"</f>
        <v>DANTE SOARES DA SILVA (416)</v>
      </c>
      <c r="H1724" t="str">
        <f>"Serv.Prest. 25/08/2025 a 31/08/2025 - PIX: CELULAR - CHAVE: (33) 99802-1883"</f>
        <v>Serv.Prest. 25/08/2025 a 31/08/2025 - PIX: CELULAR - CHAVE: (33) 99802-1883</v>
      </c>
      <c r="I1724" t="str">
        <f t="shared" si="294"/>
        <v>11/09/2025</v>
      </c>
      <c r="J1724" t="str">
        <f t="shared" si="295"/>
        <v>02/09/2025</v>
      </c>
      <c r="K1724" t="str">
        <f>("11/09/2025")</f>
        <v>11/09/2025</v>
      </c>
      <c r="L1724">
        <v>602.29999999999995</v>
      </c>
      <c r="M1724">
        <v>602.29999999999995</v>
      </c>
      <c r="N1724">
        <v>109</v>
      </c>
      <c r="O1724" t="str">
        <f>"PAGAMENTO DE ENTREGADORES"</f>
        <v>PAGAMENTO DE ENTREGADORES</v>
      </c>
      <c r="P1724">
        <v>602.29999999999995</v>
      </c>
      <c r="S1724" t="str">
        <f>"BANCO C6 (149)"</f>
        <v>BANCO C6 (149)</v>
      </c>
      <c r="T1724">
        <v>18098</v>
      </c>
      <c r="U1724">
        <v>21186</v>
      </c>
      <c r="V1724" t="s">
        <v>77</v>
      </c>
    </row>
    <row r="1725" spans="1:22">
      <c r="A1725" t="str">
        <f t="shared" si="290"/>
        <v>11/09/2025</v>
      </c>
      <c r="B1725" t="str">
        <f t="shared" si="291"/>
        <v>SAÍDA</v>
      </c>
      <c r="C1725" t="str">
        <f t="shared" si="292"/>
        <v>PIX</v>
      </c>
      <c r="D1725" t="str">
        <f>"21186"</f>
        <v>21186</v>
      </c>
      <c r="E1725" t="str">
        <f t="shared" si="293"/>
        <v>1</v>
      </c>
      <c r="F1725" t="str">
        <f t="shared" si="296"/>
        <v>COM</v>
      </c>
      <c r="G1725" t="str">
        <f>"DANTE SOARES DA SILVA (416)"</f>
        <v>DANTE SOARES DA SILVA (416)</v>
      </c>
      <c r="H1725" t="s">
        <v>344</v>
      </c>
      <c r="I1725" t="str">
        <f t="shared" si="294"/>
        <v>11/09/2025</v>
      </c>
      <c r="J1725" t="str">
        <f t="shared" si="295"/>
        <v>02/09/2025</v>
      </c>
      <c r="K1725">
        <v>45911</v>
      </c>
      <c r="N1725">
        <v>109</v>
      </c>
      <c r="O1725" t="s">
        <v>24</v>
      </c>
      <c r="Q1725">
        <v>602.29999999999995</v>
      </c>
      <c r="R1725" t="str">
        <f>"FARMÁCIA INDIANA LJ 59 (10026)"</f>
        <v>FARMÁCIA INDIANA LJ 59 (10026)</v>
      </c>
      <c r="S1725" t="s">
        <v>77</v>
      </c>
      <c r="T1725">
        <v>18098</v>
      </c>
      <c r="U1725">
        <v>21186</v>
      </c>
      <c r="V1725" t="s">
        <v>77</v>
      </c>
    </row>
    <row r="1726" spans="1:22">
      <c r="A1726" t="str">
        <f t="shared" si="290"/>
        <v>11/09/2025</v>
      </c>
      <c r="B1726" t="str">
        <f t="shared" si="291"/>
        <v>SAÍDA</v>
      </c>
      <c r="C1726" t="str">
        <f t="shared" si="292"/>
        <v>PIX</v>
      </c>
      <c r="D1726" t="str">
        <f>"21187"</f>
        <v>21187</v>
      </c>
      <c r="E1726" t="str">
        <f t="shared" si="293"/>
        <v>1</v>
      </c>
      <c r="F1726" t="str">
        <f t="shared" si="296"/>
        <v>COM</v>
      </c>
      <c r="G1726" t="str">
        <f>"DEVANILDO PONTES CASAGRANDE (179)"</f>
        <v>DEVANILDO PONTES CASAGRANDE (179)</v>
      </c>
      <c r="H1726" t="str">
        <f>"Serv.Prest. 25/08/2025 a 31/08/2025 - PIX: CELULAR - CHAVE: (31) 99610-7049"</f>
        <v>Serv.Prest. 25/08/2025 a 31/08/2025 - PIX: CELULAR - CHAVE: (31) 99610-7049</v>
      </c>
      <c r="I1726" t="str">
        <f t="shared" si="294"/>
        <v>11/09/2025</v>
      </c>
      <c r="J1726" t="str">
        <f t="shared" si="295"/>
        <v>02/09/2025</v>
      </c>
      <c r="K1726" t="str">
        <f>("11/09/2025")</f>
        <v>11/09/2025</v>
      </c>
      <c r="L1726">
        <v>838</v>
      </c>
      <c r="M1726">
        <v>838</v>
      </c>
      <c r="N1726">
        <v>109</v>
      </c>
      <c r="O1726" t="str">
        <f>"PAGAMENTO DE ENTREGADORES"</f>
        <v>PAGAMENTO DE ENTREGADORES</v>
      </c>
      <c r="P1726">
        <v>838</v>
      </c>
      <c r="S1726" t="str">
        <f>"BANCO C6 (149)"</f>
        <v>BANCO C6 (149)</v>
      </c>
      <c r="T1726">
        <v>18099</v>
      </c>
      <c r="U1726">
        <v>21187</v>
      </c>
      <c r="V1726" t="s">
        <v>77</v>
      </c>
    </row>
    <row r="1727" spans="1:22">
      <c r="A1727" t="str">
        <f t="shared" si="290"/>
        <v>11/09/2025</v>
      </c>
      <c r="B1727" t="str">
        <f t="shared" si="291"/>
        <v>SAÍDA</v>
      </c>
      <c r="C1727" t="str">
        <f t="shared" si="292"/>
        <v>PIX</v>
      </c>
      <c r="D1727" t="str">
        <f>"21187"</f>
        <v>21187</v>
      </c>
      <c r="E1727" t="str">
        <f t="shared" si="293"/>
        <v>1</v>
      </c>
      <c r="F1727" t="str">
        <f t="shared" si="296"/>
        <v>COM</v>
      </c>
      <c r="G1727" t="str">
        <f>"DEVANILDO PONTES CASAGRANDE (179)"</f>
        <v>DEVANILDO PONTES CASAGRANDE (179)</v>
      </c>
      <c r="H1727" t="s">
        <v>346</v>
      </c>
      <c r="I1727" t="str">
        <f t="shared" si="294"/>
        <v>11/09/2025</v>
      </c>
      <c r="J1727" t="str">
        <f t="shared" si="295"/>
        <v>02/09/2025</v>
      </c>
      <c r="K1727">
        <v>45911</v>
      </c>
      <c r="N1727">
        <v>109</v>
      </c>
      <c r="O1727" t="s">
        <v>24</v>
      </c>
      <c r="Q1727">
        <v>838</v>
      </c>
      <c r="R1727" t="str">
        <f>"FARMÁCIA INDIANA LJ 142 (10066)"</f>
        <v>FARMÁCIA INDIANA LJ 142 (10066)</v>
      </c>
      <c r="S1727" t="s">
        <v>77</v>
      </c>
      <c r="T1727">
        <v>18099</v>
      </c>
      <c r="U1727">
        <v>21187</v>
      </c>
      <c r="V1727" t="s">
        <v>77</v>
      </c>
    </row>
    <row r="1728" spans="1:22">
      <c r="A1728" t="str">
        <f t="shared" si="290"/>
        <v>11/09/2025</v>
      </c>
      <c r="B1728" t="str">
        <f t="shared" si="291"/>
        <v>SAÍDA</v>
      </c>
      <c r="C1728" t="str">
        <f t="shared" si="292"/>
        <v>PIX</v>
      </c>
      <c r="D1728" t="str">
        <f>"21188"</f>
        <v>21188</v>
      </c>
      <c r="E1728" t="str">
        <f t="shared" si="293"/>
        <v>1</v>
      </c>
      <c r="F1728" t="str">
        <f t="shared" si="296"/>
        <v>COM</v>
      </c>
      <c r="G1728" t="str">
        <f>"DIEGO DAYSON FERNANDES VIEIRA (893)"</f>
        <v>DIEGO DAYSON FERNANDES VIEIRA (893)</v>
      </c>
      <c r="H1728" t="str">
        <f>"Serv.Prest. 25/08/2025 a 31/08/2025 - PIX: E-MAIL - CHAVE: turano296801@gmail.com"</f>
        <v>Serv.Prest. 25/08/2025 a 31/08/2025 - PIX: E-MAIL - CHAVE: turano296801@gmail.com</v>
      </c>
      <c r="I1728" t="str">
        <f t="shared" si="294"/>
        <v>11/09/2025</v>
      </c>
      <c r="J1728" t="str">
        <f t="shared" si="295"/>
        <v>02/09/2025</v>
      </c>
      <c r="K1728" t="str">
        <f>("11/09/2025")</f>
        <v>11/09/2025</v>
      </c>
      <c r="L1728">
        <v>800</v>
      </c>
      <c r="M1728">
        <v>800</v>
      </c>
      <c r="N1728">
        <v>109</v>
      </c>
      <c r="O1728" t="str">
        <f>"PAGAMENTO DE ENTREGADORES"</f>
        <v>PAGAMENTO DE ENTREGADORES</v>
      </c>
      <c r="P1728">
        <v>800</v>
      </c>
      <c r="S1728" t="str">
        <f>"BANCO C6 (149)"</f>
        <v>BANCO C6 (149)</v>
      </c>
      <c r="T1728">
        <v>18100</v>
      </c>
      <c r="U1728">
        <v>21188</v>
      </c>
      <c r="V1728" t="s">
        <v>77</v>
      </c>
    </row>
    <row r="1729" spans="1:22">
      <c r="A1729" t="str">
        <f t="shared" si="290"/>
        <v>11/09/2025</v>
      </c>
      <c r="B1729" t="str">
        <f t="shared" si="291"/>
        <v>SAÍDA</v>
      </c>
      <c r="C1729" t="str">
        <f t="shared" si="292"/>
        <v>PIX</v>
      </c>
      <c r="D1729" t="str">
        <f>"21188"</f>
        <v>21188</v>
      </c>
      <c r="E1729" t="str">
        <f t="shared" si="293"/>
        <v>1</v>
      </c>
      <c r="F1729" t="str">
        <f t="shared" si="296"/>
        <v>COM</v>
      </c>
      <c r="G1729" t="str">
        <f>"DIEGO DAYSON FERNANDES VIEIRA (893)"</f>
        <v>DIEGO DAYSON FERNANDES VIEIRA (893)</v>
      </c>
      <c r="H1729" t="s">
        <v>508</v>
      </c>
      <c r="I1729" t="str">
        <f t="shared" si="294"/>
        <v>11/09/2025</v>
      </c>
      <c r="J1729" t="str">
        <f t="shared" si="295"/>
        <v>02/09/2025</v>
      </c>
      <c r="K1729">
        <v>45911</v>
      </c>
      <c r="N1729">
        <v>109</v>
      </c>
      <c r="O1729" t="s">
        <v>24</v>
      </c>
      <c r="Q1729">
        <v>800</v>
      </c>
      <c r="R1729" t="str">
        <f>"FARMÁCIA INDIANA LJ 205 (10150)"</f>
        <v>FARMÁCIA INDIANA LJ 205 (10150)</v>
      </c>
      <c r="S1729" t="s">
        <v>77</v>
      </c>
      <c r="T1729">
        <v>18100</v>
      </c>
      <c r="U1729">
        <v>21188</v>
      </c>
      <c r="V1729" t="s">
        <v>77</v>
      </c>
    </row>
    <row r="1730" spans="1:22">
      <c r="A1730" t="str">
        <f t="shared" si="290"/>
        <v>11/09/2025</v>
      </c>
      <c r="B1730" t="str">
        <f t="shared" si="291"/>
        <v>SAÍDA</v>
      </c>
      <c r="C1730" t="str">
        <f t="shared" si="292"/>
        <v>PIX</v>
      </c>
      <c r="D1730" t="str">
        <f>"21189"</f>
        <v>21189</v>
      </c>
      <c r="E1730" t="str">
        <f t="shared" si="293"/>
        <v>1</v>
      </c>
      <c r="F1730" t="str">
        <f t="shared" si="296"/>
        <v>COM</v>
      </c>
      <c r="G1730" t="str">
        <f>"DIEGO DIRLEY RIBEIRO (38)"</f>
        <v>DIEGO DIRLEY RIBEIRO (38)</v>
      </c>
      <c r="H1730" t="str">
        <f>"Serv.Prest. 25/08/2025 a 31/08/2025 - PIX: CPF - CHAVE: 102.023.716-38"</f>
        <v>Serv.Prest. 25/08/2025 a 31/08/2025 - PIX: CPF - CHAVE: 102.023.716-38</v>
      </c>
      <c r="I1730" t="str">
        <f t="shared" si="294"/>
        <v>11/09/2025</v>
      </c>
      <c r="J1730" t="str">
        <f t="shared" si="295"/>
        <v>02/09/2025</v>
      </c>
      <c r="K1730" t="str">
        <f>("11/09/2025")</f>
        <v>11/09/2025</v>
      </c>
      <c r="L1730">
        <v>1704</v>
      </c>
      <c r="M1730">
        <v>1704</v>
      </c>
      <c r="N1730">
        <v>109</v>
      </c>
      <c r="O1730" t="str">
        <f>"PAGAMENTO DE ENTREGADORES"</f>
        <v>PAGAMENTO DE ENTREGADORES</v>
      </c>
      <c r="P1730">
        <v>1704</v>
      </c>
      <c r="S1730" t="str">
        <f>"BANCO C6 (149)"</f>
        <v>BANCO C6 (149)</v>
      </c>
      <c r="T1730">
        <v>18101</v>
      </c>
      <c r="U1730">
        <v>21189</v>
      </c>
      <c r="V1730" t="s">
        <v>77</v>
      </c>
    </row>
    <row r="1731" spans="1:22">
      <c r="A1731" t="str">
        <f t="shared" si="290"/>
        <v>11/09/2025</v>
      </c>
      <c r="B1731" t="str">
        <f t="shared" si="291"/>
        <v>SAÍDA</v>
      </c>
      <c r="C1731" t="str">
        <f t="shared" si="292"/>
        <v>PIX</v>
      </c>
      <c r="D1731" t="str">
        <f>"21189"</f>
        <v>21189</v>
      </c>
      <c r="E1731" t="str">
        <f t="shared" si="293"/>
        <v>1</v>
      </c>
      <c r="F1731" t="str">
        <f t="shared" si="296"/>
        <v>COM</v>
      </c>
      <c r="G1731" t="str">
        <f>"DIEGO DIRLEY RIBEIRO (38)"</f>
        <v>DIEGO DIRLEY RIBEIRO (38)</v>
      </c>
      <c r="H1731" t="s">
        <v>509</v>
      </c>
      <c r="I1731" t="str">
        <f t="shared" si="294"/>
        <v>11/09/2025</v>
      </c>
      <c r="J1731" t="str">
        <f t="shared" si="295"/>
        <v>02/09/2025</v>
      </c>
      <c r="K1731">
        <v>45911</v>
      </c>
      <c r="N1731">
        <v>109</v>
      </c>
      <c r="O1731" t="s">
        <v>24</v>
      </c>
      <c r="Q1731">
        <v>1704</v>
      </c>
      <c r="R1731" t="str">
        <f>"FARMÁCIA INDIANA LJ 172 (10161)"</f>
        <v>FARMÁCIA INDIANA LJ 172 (10161)</v>
      </c>
      <c r="S1731" t="s">
        <v>77</v>
      </c>
      <c r="T1731">
        <v>18101</v>
      </c>
      <c r="U1731">
        <v>21189</v>
      </c>
      <c r="V1731" t="s">
        <v>77</v>
      </c>
    </row>
    <row r="1732" spans="1:22">
      <c r="A1732" t="str">
        <f t="shared" si="290"/>
        <v>11/09/2025</v>
      </c>
      <c r="B1732" t="str">
        <f t="shared" si="291"/>
        <v>SAÍDA</v>
      </c>
      <c r="C1732" t="str">
        <f t="shared" si="292"/>
        <v>PIX</v>
      </c>
      <c r="D1732" t="str">
        <f>"21190"</f>
        <v>21190</v>
      </c>
      <c r="E1732" t="str">
        <f t="shared" si="293"/>
        <v>1</v>
      </c>
      <c r="F1732" t="str">
        <f t="shared" si="296"/>
        <v>COM</v>
      </c>
      <c r="G1732" t="str">
        <f>"DIONE OLIVEIRA SILVA (214)"</f>
        <v>DIONE OLIVEIRA SILVA (214)</v>
      </c>
      <c r="H1732" t="str">
        <f>"Serv.Prest. 25/08/2025 a 31/08/2025 - PIX: CELULAR - CHAVE: (33) 98890-5095"</f>
        <v>Serv.Prest. 25/08/2025 a 31/08/2025 - PIX: CELULAR - CHAVE: (33) 98890-5095</v>
      </c>
      <c r="I1732" t="str">
        <f t="shared" si="294"/>
        <v>11/09/2025</v>
      </c>
      <c r="J1732" t="str">
        <f t="shared" si="295"/>
        <v>02/09/2025</v>
      </c>
      <c r="K1732" t="str">
        <f>("11/09/2025")</f>
        <v>11/09/2025</v>
      </c>
      <c r="L1732">
        <v>1413.5</v>
      </c>
      <c r="M1732">
        <v>1413.5</v>
      </c>
      <c r="N1732">
        <v>109</v>
      </c>
      <c r="O1732" t="str">
        <f>"PAGAMENTO DE ENTREGADORES"</f>
        <v>PAGAMENTO DE ENTREGADORES</v>
      </c>
      <c r="P1732">
        <v>1413.5</v>
      </c>
      <c r="S1732" t="str">
        <f>"BANCO C6 (149)"</f>
        <v>BANCO C6 (149)</v>
      </c>
      <c r="T1732">
        <v>18102</v>
      </c>
      <c r="U1732">
        <v>21190</v>
      </c>
      <c r="V1732" t="s">
        <v>77</v>
      </c>
    </row>
    <row r="1733" spans="1:22">
      <c r="A1733" t="str">
        <f t="shared" si="290"/>
        <v>11/09/2025</v>
      </c>
      <c r="B1733" t="str">
        <f t="shared" si="291"/>
        <v>SAÍDA</v>
      </c>
      <c r="C1733" t="str">
        <f t="shared" si="292"/>
        <v>PIX</v>
      </c>
      <c r="D1733" t="str">
        <f>"21190"</f>
        <v>21190</v>
      </c>
      <c r="E1733" t="str">
        <f t="shared" si="293"/>
        <v>1</v>
      </c>
      <c r="F1733" t="str">
        <f t="shared" si="296"/>
        <v>COM</v>
      </c>
      <c r="G1733" t="str">
        <f>"DIONE OLIVEIRA SILVA (214)"</f>
        <v>DIONE OLIVEIRA SILVA (214)</v>
      </c>
      <c r="H1733" t="s">
        <v>510</v>
      </c>
      <c r="I1733" t="str">
        <f t="shared" si="294"/>
        <v>11/09/2025</v>
      </c>
      <c r="J1733" t="str">
        <f t="shared" si="295"/>
        <v>02/09/2025</v>
      </c>
      <c r="K1733">
        <v>45911</v>
      </c>
      <c r="N1733">
        <v>109</v>
      </c>
      <c r="O1733" t="s">
        <v>24</v>
      </c>
      <c r="Q1733">
        <v>1413.5</v>
      </c>
      <c r="R1733" t="str">
        <f>"FARMÁCIA INDIANA LJ 14 (10009)"</f>
        <v>FARMÁCIA INDIANA LJ 14 (10009)</v>
      </c>
      <c r="S1733" t="s">
        <v>77</v>
      </c>
      <c r="T1733">
        <v>18102</v>
      </c>
      <c r="U1733">
        <v>21190</v>
      </c>
      <c r="V1733" t="s">
        <v>77</v>
      </c>
    </row>
    <row r="1734" spans="1:22">
      <c r="A1734" t="str">
        <f t="shared" si="290"/>
        <v>11/09/2025</v>
      </c>
      <c r="B1734" t="str">
        <f t="shared" si="291"/>
        <v>SAÍDA</v>
      </c>
      <c r="C1734" t="str">
        <f t="shared" si="292"/>
        <v>PIX</v>
      </c>
      <c r="D1734" t="str">
        <f>"21192"</f>
        <v>21192</v>
      </c>
      <c r="E1734" t="str">
        <f t="shared" si="293"/>
        <v>1</v>
      </c>
      <c r="F1734" t="str">
        <f t="shared" si="296"/>
        <v>COM</v>
      </c>
      <c r="G1734" t="str">
        <f>"EDSON JUNIOR FERREIRA DA SILVA (99)"</f>
        <v>EDSON JUNIOR FERREIRA DA SILVA (99)</v>
      </c>
      <c r="H1734" t="str">
        <f>"Serv.Prest. 25/08/2025 a 31/08/2025 - PIX: CPF - CHAVE: 141.134.256-98"</f>
        <v>Serv.Prest. 25/08/2025 a 31/08/2025 - PIX: CPF - CHAVE: 141.134.256-98</v>
      </c>
      <c r="I1734" t="str">
        <f t="shared" si="294"/>
        <v>11/09/2025</v>
      </c>
      <c r="J1734" t="str">
        <f t="shared" si="295"/>
        <v>02/09/2025</v>
      </c>
      <c r="K1734" t="str">
        <f>("11/09/2025")</f>
        <v>11/09/2025</v>
      </c>
      <c r="L1734">
        <v>680.7</v>
      </c>
      <c r="M1734">
        <v>680.7</v>
      </c>
      <c r="N1734">
        <v>109</v>
      </c>
      <c r="O1734" t="str">
        <f>"PAGAMENTO DE ENTREGADORES"</f>
        <v>PAGAMENTO DE ENTREGADORES</v>
      </c>
      <c r="P1734">
        <v>680.7</v>
      </c>
      <c r="S1734" t="str">
        <f>"BANCO C6 (149)"</f>
        <v>BANCO C6 (149)</v>
      </c>
      <c r="T1734">
        <v>18103</v>
      </c>
      <c r="U1734">
        <v>21192</v>
      </c>
      <c r="V1734" t="s">
        <v>77</v>
      </c>
    </row>
    <row r="1735" spans="1:22">
      <c r="A1735" t="str">
        <f t="shared" si="290"/>
        <v>11/09/2025</v>
      </c>
      <c r="B1735" t="str">
        <f t="shared" si="291"/>
        <v>SAÍDA</v>
      </c>
      <c r="C1735" t="str">
        <f t="shared" si="292"/>
        <v>PIX</v>
      </c>
      <c r="D1735" t="str">
        <f>"21192"</f>
        <v>21192</v>
      </c>
      <c r="E1735" t="str">
        <f t="shared" si="293"/>
        <v>1</v>
      </c>
      <c r="F1735" t="str">
        <f t="shared" si="296"/>
        <v>COM</v>
      </c>
      <c r="G1735" t="str">
        <f>"EDSON JUNIOR FERREIRA DA SILVA (99)"</f>
        <v>EDSON JUNIOR FERREIRA DA SILVA (99)</v>
      </c>
      <c r="H1735" t="s">
        <v>349</v>
      </c>
      <c r="I1735" t="str">
        <f t="shared" si="294"/>
        <v>11/09/2025</v>
      </c>
      <c r="J1735" t="str">
        <f t="shared" si="295"/>
        <v>02/09/2025</v>
      </c>
      <c r="K1735">
        <v>45911</v>
      </c>
      <c r="N1735">
        <v>109</v>
      </c>
      <c r="O1735" t="s">
        <v>24</v>
      </c>
      <c r="Q1735">
        <v>680.7</v>
      </c>
      <c r="R1735" t="str">
        <f>"FARMÁCIA INDIANA LJ 100 (10042)"</f>
        <v>FARMÁCIA INDIANA LJ 100 (10042)</v>
      </c>
      <c r="S1735" t="s">
        <v>77</v>
      </c>
      <c r="T1735">
        <v>18103</v>
      </c>
      <c r="U1735">
        <v>21192</v>
      </c>
      <c r="V1735" t="s">
        <v>77</v>
      </c>
    </row>
    <row r="1736" spans="1:22">
      <c r="A1736" t="str">
        <f t="shared" si="290"/>
        <v>11/09/2025</v>
      </c>
      <c r="B1736" t="str">
        <f t="shared" si="291"/>
        <v>SAÍDA</v>
      </c>
      <c r="C1736" t="str">
        <f t="shared" si="292"/>
        <v>PIX</v>
      </c>
      <c r="D1736" t="str">
        <f>"21193"</f>
        <v>21193</v>
      </c>
      <c r="E1736" t="str">
        <f t="shared" si="293"/>
        <v>1</v>
      </c>
      <c r="F1736" t="str">
        <f t="shared" si="296"/>
        <v>COM</v>
      </c>
      <c r="G1736" t="str">
        <f>"EUDES PIMENTA (368)"</f>
        <v>EUDES PIMENTA (368)</v>
      </c>
      <c r="H1736" t="str">
        <f>"Serv.Prest. 25/08/2025 a 31/08/2025 - PIX: CPF - CHAVE: 070.073.316-70"</f>
        <v>Serv.Prest. 25/08/2025 a 31/08/2025 - PIX: CPF - CHAVE: 070.073.316-70</v>
      </c>
      <c r="I1736" t="str">
        <f t="shared" si="294"/>
        <v>11/09/2025</v>
      </c>
      <c r="J1736" t="str">
        <f t="shared" si="295"/>
        <v>02/09/2025</v>
      </c>
      <c r="K1736" t="str">
        <f>("11/09/2025")</f>
        <v>11/09/2025</v>
      </c>
      <c r="L1736">
        <v>970</v>
      </c>
      <c r="M1736">
        <v>970</v>
      </c>
      <c r="N1736">
        <v>109</v>
      </c>
      <c r="O1736" t="str">
        <f>"PAGAMENTO DE ENTREGADORES"</f>
        <v>PAGAMENTO DE ENTREGADORES</v>
      </c>
      <c r="P1736">
        <v>970</v>
      </c>
      <c r="S1736" t="str">
        <f>"BANCO C6 (149)"</f>
        <v>BANCO C6 (149)</v>
      </c>
      <c r="T1736">
        <v>18104</v>
      </c>
      <c r="U1736">
        <v>21193</v>
      </c>
      <c r="V1736" t="s">
        <v>77</v>
      </c>
    </row>
    <row r="1737" spans="1:22">
      <c r="A1737" t="str">
        <f t="shared" si="290"/>
        <v>11/09/2025</v>
      </c>
      <c r="B1737" t="str">
        <f t="shared" si="291"/>
        <v>SAÍDA</v>
      </c>
      <c r="C1737" t="str">
        <f t="shared" si="292"/>
        <v>PIX</v>
      </c>
      <c r="D1737" t="str">
        <f>"21193"</f>
        <v>21193</v>
      </c>
      <c r="E1737" t="str">
        <f t="shared" si="293"/>
        <v>1</v>
      </c>
      <c r="F1737" t="str">
        <f t="shared" si="296"/>
        <v>COM</v>
      </c>
      <c r="G1737" t="str">
        <f>"EUDES PIMENTA (368)"</f>
        <v>EUDES PIMENTA (368)</v>
      </c>
      <c r="H1737" t="s">
        <v>356</v>
      </c>
      <c r="I1737" t="str">
        <f t="shared" si="294"/>
        <v>11/09/2025</v>
      </c>
      <c r="J1737" t="str">
        <f t="shared" si="295"/>
        <v>02/09/2025</v>
      </c>
      <c r="K1737">
        <v>45911</v>
      </c>
      <c r="N1737">
        <v>109</v>
      </c>
      <c r="O1737" t="s">
        <v>24</v>
      </c>
      <c r="Q1737">
        <v>970</v>
      </c>
      <c r="R1737" t="str">
        <f>"FARMÁCIA INDIANA LJ 06 (10006)"</f>
        <v>FARMÁCIA INDIANA LJ 06 (10006)</v>
      </c>
      <c r="S1737" t="s">
        <v>77</v>
      </c>
      <c r="T1737">
        <v>18104</v>
      </c>
      <c r="U1737">
        <v>21193</v>
      </c>
      <c r="V1737" t="s">
        <v>77</v>
      </c>
    </row>
    <row r="1738" spans="1:22">
      <c r="A1738" t="str">
        <f t="shared" si="290"/>
        <v>11/09/2025</v>
      </c>
      <c r="B1738" t="str">
        <f t="shared" si="291"/>
        <v>SAÍDA</v>
      </c>
      <c r="C1738" t="str">
        <f t="shared" si="292"/>
        <v>PIX</v>
      </c>
      <c r="D1738" t="str">
        <f>"21194"</f>
        <v>21194</v>
      </c>
      <c r="E1738" t="str">
        <f t="shared" si="293"/>
        <v>1</v>
      </c>
      <c r="F1738" t="str">
        <f t="shared" si="296"/>
        <v>COM</v>
      </c>
      <c r="G1738" t="str">
        <f>"FABRICIO RAMON SOARES SANTOS (645)"</f>
        <v>FABRICIO RAMON SOARES SANTOS (645)</v>
      </c>
      <c r="H1738" t="str">
        <f>"Serv.Prest. 25/08/2025 a 31/08/2025 - PIX: CELULAR - CHAVE: (31) 98483-3242"</f>
        <v>Serv.Prest. 25/08/2025 a 31/08/2025 - PIX: CELULAR - CHAVE: (31) 98483-3242</v>
      </c>
      <c r="I1738" t="str">
        <f t="shared" si="294"/>
        <v>11/09/2025</v>
      </c>
      <c r="J1738" t="str">
        <f t="shared" si="295"/>
        <v>02/09/2025</v>
      </c>
      <c r="K1738" t="str">
        <f>("11/09/2025")</f>
        <v>11/09/2025</v>
      </c>
      <c r="L1738">
        <v>1366</v>
      </c>
      <c r="M1738">
        <v>1366</v>
      </c>
      <c r="N1738">
        <v>109</v>
      </c>
      <c r="O1738" t="str">
        <f>"PAGAMENTO DE ENTREGADORES"</f>
        <v>PAGAMENTO DE ENTREGADORES</v>
      </c>
      <c r="P1738">
        <v>1366</v>
      </c>
      <c r="S1738" t="str">
        <f>"BANCO C6 (149)"</f>
        <v>BANCO C6 (149)</v>
      </c>
      <c r="T1738">
        <v>18105</v>
      </c>
      <c r="U1738">
        <v>21194</v>
      </c>
      <c r="V1738" t="s">
        <v>77</v>
      </c>
    </row>
    <row r="1739" spans="1:22">
      <c r="A1739" t="str">
        <f t="shared" si="290"/>
        <v>11/09/2025</v>
      </c>
      <c r="B1739" t="str">
        <f t="shared" si="291"/>
        <v>SAÍDA</v>
      </c>
      <c r="C1739" t="str">
        <f t="shared" si="292"/>
        <v>PIX</v>
      </c>
      <c r="D1739" t="str">
        <f>"21194"</f>
        <v>21194</v>
      </c>
      <c r="E1739" t="str">
        <f t="shared" si="293"/>
        <v>1</v>
      </c>
      <c r="F1739" t="str">
        <f t="shared" si="296"/>
        <v>COM</v>
      </c>
      <c r="G1739" t="str">
        <f>"FABRICIO RAMON SOARES SANTOS (645)"</f>
        <v>FABRICIO RAMON SOARES SANTOS (645)</v>
      </c>
      <c r="H1739" t="s">
        <v>359</v>
      </c>
      <c r="I1739" t="str">
        <f t="shared" si="294"/>
        <v>11/09/2025</v>
      </c>
      <c r="J1739" t="str">
        <f t="shared" si="295"/>
        <v>02/09/2025</v>
      </c>
      <c r="K1739">
        <v>45911</v>
      </c>
      <c r="N1739">
        <v>109</v>
      </c>
      <c r="O1739" t="s">
        <v>24</v>
      </c>
      <c r="Q1739">
        <v>1366</v>
      </c>
      <c r="R1739" t="str">
        <f>"FARMÁCIA INDIANA LJ 101 (10043)"</f>
        <v>FARMÁCIA INDIANA LJ 101 (10043)</v>
      </c>
      <c r="S1739" t="s">
        <v>77</v>
      </c>
      <c r="T1739">
        <v>18105</v>
      </c>
      <c r="U1739">
        <v>21194</v>
      </c>
      <c r="V1739" t="s">
        <v>77</v>
      </c>
    </row>
    <row r="1740" spans="1:22">
      <c r="A1740" t="str">
        <f t="shared" ref="A1740:A1803" si="297">("11/09/2025")</f>
        <v>11/09/2025</v>
      </c>
      <c r="B1740" t="str">
        <f t="shared" si="291"/>
        <v>SAÍDA</v>
      </c>
      <c r="C1740" t="str">
        <f t="shared" si="292"/>
        <v>PIX</v>
      </c>
      <c r="D1740" t="str">
        <f>"21195"</f>
        <v>21195</v>
      </c>
      <c r="E1740" t="str">
        <f t="shared" si="293"/>
        <v>1</v>
      </c>
      <c r="F1740" t="str">
        <f t="shared" si="296"/>
        <v>COM</v>
      </c>
      <c r="G1740" t="str">
        <f>"GABRIEL DA SILVA REIS (824)"</f>
        <v>GABRIEL DA SILVA REIS (824)</v>
      </c>
      <c r="H1740" t="str">
        <f>"Serv.Prest. 25/08/2025 a 31/08/2025 - PIX: CPF - CHAVE: 160.160.216-28"</f>
        <v>Serv.Prest. 25/08/2025 a 31/08/2025 - PIX: CPF - CHAVE: 160.160.216-28</v>
      </c>
      <c r="I1740" t="str">
        <f t="shared" si="294"/>
        <v>11/09/2025</v>
      </c>
      <c r="J1740" t="str">
        <f t="shared" si="295"/>
        <v>02/09/2025</v>
      </c>
      <c r="K1740" t="str">
        <f>("11/09/2025")</f>
        <v>11/09/2025</v>
      </c>
      <c r="L1740">
        <v>630</v>
      </c>
      <c r="M1740">
        <v>630</v>
      </c>
      <c r="N1740">
        <v>109</v>
      </c>
      <c r="O1740" t="str">
        <f>"PAGAMENTO DE ENTREGADORES"</f>
        <v>PAGAMENTO DE ENTREGADORES</v>
      </c>
      <c r="P1740">
        <v>630</v>
      </c>
      <c r="S1740" t="str">
        <f>"BANCO C6 (149)"</f>
        <v>BANCO C6 (149)</v>
      </c>
      <c r="T1740">
        <v>18106</v>
      </c>
      <c r="U1740">
        <v>21195</v>
      </c>
      <c r="V1740" t="s">
        <v>77</v>
      </c>
    </row>
    <row r="1741" spans="1:22">
      <c r="A1741" t="str">
        <f t="shared" si="297"/>
        <v>11/09/2025</v>
      </c>
      <c r="B1741" t="str">
        <f t="shared" si="291"/>
        <v>SAÍDA</v>
      </c>
      <c r="C1741" t="str">
        <f t="shared" si="292"/>
        <v>PIX</v>
      </c>
      <c r="D1741" t="str">
        <f>"21195"</f>
        <v>21195</v>
      </c>
      <c r="E1741" t="str">
        <f t="shared" si="293"/>
        <v>1</v>
      </c>
      <c r="F1741" t="str">
        <f t="shared" si="296"/>
        <v>COM</v>
      </c>
      <c r="G1741" t="str">
        <f>"GABRIEL DA SILVA REIS (824)"</f>
        <v>GABRIEL DA SILVA REIS (824)</v>
      </c>
      <c r="H1741" t="s">
        <v>316</v>
      </c>
      <c r="I1741" t="str">
        <f t="shared" si="294"/>
        <v>11/09/2025</v>
      </c>
      <c r="J1741" t="str">
        <f t="shared" si="295"/>
        <v>02/09/2025</v>
      </c>
      <c r="K1741">
        <v>45911</v>
      </c>
      <c r="N1741">
        <v>109</v>
      </c>
      <c r="O1741" t="s">
        <v>24</v>
      </c>
      <c r="Q1741">
        <v>630</v>
      </c>
      <c r="R1741" t="str">
        <f>"FARMÁCIA INDIANA LJ 100 (10042)"</f>
        <v>FARMÁCIA INDIANA LJ 100 (10042)</v>
      </c>
      <c r="S1741" t="s">
        <v>77</v>
      </c>
      <c r="T1741">
        <v>18106</v>
      </c>
      <c r="U1741">
        <v>21195</v>
      </c>
      <c r="V1741" t="s">
        <v>77</v>
      </c>
    </row>
    <row r="1742" spans="1:22">
      <c r="A1742" t="str">
        <f t="shared" si="297"/>
        <v>11/09/2025</v>
      </c>
      <c r="B1742" t="str">
        <f t="shared" ref="B1742:B1805" si="298">"SAÍDA"</f>
        <v>SAÍDA</v>
      </c>
      <c r="C1742" t="str">
        <f t="shared" ref="C1742:C1805" si="299">"PIX"</f>
        <v>PIX</v>
      </c>
      <c r="D1742" t="str">
        <f>"21196"</f>
        <v>21196</v>
      </c>
      <c r="E1742" t="str">
        <f t="shared" si="293"/>
        <v>1</v>
      </c>
      <c r="F1742" t="str">
        <f t="shared" si="296"/>
        <v>COM</v>
      </c>
      <c r="G1742" t="str">
        <f>"GABRIEL SOARES VIEIRA (18)"</f>
        <v>GABRIEL SOARES VIEIRA (18)</v>
      </c>
      <c r="H1742" t="str">
        <f>"Serv.Prest. 25/08/2025 a 31/08/2025 - PIX: CPF - CHAVE: 179.800.027-09"</f>
        <v>Serv.Prest. 25/08/2025 a 31/08/2025 - PIX: CPF - CHAVE: 179.800.027-09</v>
      </c>
      <c r="I1742" t="str">
        <f t="shared" si="294"/>
        <v>11/09/2025</v>
      </c>
      <c r="J1742" t="str">
        <f t="shared" si="295"/>
        <v>02/09/2025</v>
      </c>
      <c r="K1742" t="str">
        <f>("11/09/2025")</f>
        <v>11/09/2025</v>
      </c>
      <c r="L1742">
        <v>2364</v>
      </c>
      <c r="M1742">
        <v>2364</v>
      </c>
      <c r="N1742">
        <v>109</v>
      </c>
      <c r="O1742" t="str">
        <f>"PAGAMENTO DE ENTREGADORES"</f>
        <v>PAGAMENTO DE ENTREGADORES</v>
      </c>
      <c r="P1742">
        <v>2364</v>
      </c>
      <c r="S1742" t="str">
        <f>"BANCO C6 (149)"</f>
        <v>BANCO C6 (149)</v>
      </c>
      <c r="T1742">
        <v>18107</v>
      </c>
      <c r="U1742">
        <v>21196</v>
      </c>
      <c r="V1742" t="s">
        <v>77</v>
      </c>
    </row>
    <row r="1743" spans="1:22">
      <c r="A1743" t="str">
        <f t="shared" si="297"/>
        <v>11/09/2025</v>
      </c>
      <c r="B1743" t="str">
        <f t="shared" si="298"/>
        <v>SAÍDA</v>
      </c>
      <c r="C1743" t="str">
        <f t="shared" si="299"/>
        <v>PIX</v>
      </c>
      <c r="D1743" t="str">
        <f>"21196"</f>
        <v>21196</v>
      </c>
      <c r="E1743" t="str">
        <f t="shared" si="293"/>
        <v>1</v>
      </c>
      <c r="F1743" t="str">
        <f t="shared" si="296"/>
        <v>COM</v>
      </c>
      <c r="G1743" t="str">
        <f>"GABRIEL SOARES VIEIRA (18)"</f>
        <v>GABRIEL SOARES VIEIRA (18)</v>
      </c>
      <c r="H1743" t="s">
        <v>364</v>
      </c>
      <c r="I1743" t="str">
        <f t="shared" si="294"/>
        <v>11/09/2025</v>
      </c>
      <c r="J1743" t="str">
        <f t="shared" si="295"/>
        <v>02/09/2025</v>
      </c>
      <c r="K1743">
        <v>45911</v>
      </c>
      <c r="N1743">
        <v>109</v>
      </c>
      <c r="O1743" t="s">
        <v>24</v>
      </c>
      <c r="Q1743">
        <v>2364</v>
      </c>
      <c r="R1743" t="str">
        <f>"FARMÁCIA INDIANA LJ 40 (10016)"</f>
        <v>FARMÁCIA INDIANA LJ 40 (10016)</v>
      </c>
      <c r="S1743" t="s">
        <v>77</v>
      </c>
      <c r="T1743">
        <v>18107</v>
      </c>
      <c r="U1743">
        <v>21196</v>
      </c>
      <c r="V1743" t="s">
        <v>77</v>
      </c>
    </row>
    <row r="1744" spans="1:22">
      <c r="A1744" t="str">
        <f t="shared" si="297"/>
        <v>11/09/2025</v>
      </c>
      <c r="B1744" t="str">
        <f t="shared" si="298"/>
        <v>SAÍDA</v>
      </c>
      <c r="C1744" t="str">
        <f t="shared" si="299"/>
        <v>PIX</v>
      </c>
      <c r="D1744" t="str">
        <f>"21198"</f>
        <v>21198</v>
      </c>
      <c r="E1744" t="str">
        <f t="shared" si="293"/>
        <v>1</v>
      </c>
      <c r="F1744" t="str">
        <f t="shared" si="296"/>
        <v>COM</v>
      </c>
      <c r="G1744" t="str">
        <f>"GILNEI MENDES COELHO (195)"</f>
        <v>GILNEI MENDES COELHO (195)</v>
      </c>
      <c r="H1744" t="str">
        <f>"Serv.Prest. 25/08/2025 a 31/08/2025 - PIX: CPF - CHAVE: 386.313.426-53"</f>
        <v>Serv.Prest. 25/08/2025 a 31/08/2025 - PIX: CPF - CHAVE: 386.313.426-53</v>
      </c>
      <c r="I1744" t="str">
        <f t="shared" si="294"/>
        <v>11/09/2025</v>
      </c>
      <c r="J1744" t="str">
        <f t="shared" si="295"/>
        <v>02/09/2025</v>
      </c>
      <c r="K1744" t="str">
        <f>("11/09/2025")</f>
        <v>11/09/2025</v>
      </c>
      <c r="L1744">
        <v>990</v>
      </c>
      <c r="M1744">
        <v>990</v>
      </c>
      <c r="N1744">
        <v>109</v>
      </c>
      <c r="O1744" t="str">
        <f>"PAGAMENTO DE ENTREGADORES"</f>
        <v>PAGAMENTO DE ENTREGADORES</v>
      </c>
      <c r="P1744">
        <v>990</v>
      </c>
      <c r="S1744" t="str">
        <f>"BANCO C6 (149)"</f>
        <v>BANCO C6 (149)</v>
      </c>
      <c r="T1744">
        <v>18108</v>
      </c>
      <c r="U1744">
        <v>21198</v>
      </c>
      <c r="V1744" t="s">
        <v>77</v>
      </c>
    </row>
    <row r="1745" spans="1:22">
      <c r="A1745" t="str">
        <f t="shared" si="297"/>
        <v>11/09/2025</v>
      </c>
      <c r="B1745" t="str">
        <f t="shared" si="298"/>
        <v>SAÍDA</v>
      </c>
      <c r="C1745" t="str">
        <f t="shared" si="299"/>
        <v>PIX</v>
      </c>
      <c r="D1745" t="str">
        <f>"21198"</f>
        <v>21198</v>
      </c>
      <c r="E1745" t="str">
        <f t="shared" si="293"/>
        <v>1</v>
      </c>
      <c r="F1745" t="str">
        <f t="shared" si="296"/>
        <v>COM</v>
      </c>
      <c r="G1745" t="str">
        <f>"GILNEI MENDES COELHO (195)"</f>
        <v>GILNEI MENDES COELHO (195)</v>
      </c>
      <c r="H1745" t="s">
        <v>511</v>
      </c>
      <c r="I1745" t="str">
        <f t="shared" si="294"/>
        <v>11/09/2025</v>
      </c>
      <c r="J1745" t="str">
        <f t="shared" si="295"/>
        <v>02/09/2025</v>
      </c>
      <c r="K1745">
        <v>45911</v>
      </c>
      <c r="N1745">
        <v>109</v>
      </c>
      <c r="O1745" t="s">
        <v>24</v>
      </c>
      <c r="Q1745">
        <v>990</v>
      </c>
      <c r="R1745" t="str">
        <f>"FARMÁCIA INDIANA LJ 06 (10006)"</f>
        <v>FARMÁCIA INDIANA LJ 06 (10006)</v>
      </c>
      <c r="S1745" t="s">
        <v>77</v>
      </c>
      <c r="T1745">
        <v>18108</v>
      </c>
      <c r="U1745">
        <v>21198</v>
      </c>
      <c r="V1745" t="s">
        <v>77</v>
      </c>
    </row>
    <row r="1746" spans="1:22">
      <c r="A1746" t="str">
        <f t="shared" si="297"/>
        <v>11/09/2025</v>
      </c>
      <c r="B1746" t="str">
        <f t="shared" si="298"/>
        <v>SAÍDA</v>
      </c>
      <c r="C1746" t="str">
        <f t="shared" si="299"/>
        <v>PIX</v>
      </c>
      <c r="D1746" t="str">
        <f>"21199"</f>
        <v>21199</v>
      </c>
      <c r="E1746" t="str">
        <f t="shared" si="293"/>
        <v>1</v>
      </c>
      <c r="F1746" t="str">
        <f t="shared" si="296"/>
        <v>COM</v>
      </c>
      <c r="G1746" t="str">
        <f>"GUILHERME QUINTINO DA ROCHA (199)"</f>
        <v>GUILHERME QUINTINO DA ROCHA (199)</v>
      </c>
      <c r="H1746" t="str">
        <f>"Serv.Prest. 25/08/2025 a 31/08/2025 - PIX: CELULAR - CHAVE: (33) 99706-4860"</f>
        <v>Serv.Prest. 25/08/2025 a 31/08/2025 - PIX: CELULAR - CHAVE: (33) 99706-4860</v>
      </c>
      <c r="I1746" t="str">
        <f t="shared" si="294"/>
        <v>11/09/2025</v>
      </c>
      <c r="J1746" t="str">
        <f t="shared" si="295"/>
        <v>02/09/2025</v>
      </c>
      <c r="K1746" t="str">
        <f>("11/09/2025")</f>
        <v>11/09/2025</v>
      </c>
      <c r="L1746">
        <v>948</v>
      </c>
      <c r="M1746">
        <v>948</v>
      </c>
      <c r="N1746">
        <v>109</v>
      </c>
      <c r="O1746" t="str">
        <f>"PAGAMENTO DE ENTREGADORES"</f>
        <v>PAGAMENTO DE ENTREGADORES</v>
      </c>
      <c r="P1746">
        <v>948</v>
      </c>
      <c r="S1746" t="str">
        <f>"BANCO C6 (149)"</f>
        <v>BANCO C6 (149)</v>
      </c>
      <c r="T1746">
        <v>18109</v>
      </c>
      <c r="U1746">
        <v>21199</v>
      </c>
      <c r="V1746" t="s">
        <v>77</v>
      </c>
    </row>
    <row r="1747" spans="1:22">
      <c r="A1747" t="str">
        <f t="shared" si="297"/>
        <v>11/09/2025</v>
      </c>
      <c r="B1747" t="str">
        <f t="shared" si="298"/>
        <v>SAÍDA</v>
      </c>
      <c r="C1747" t="str">
        <f t="shared" si="299"/>
        <v>PIX</v>
      </c>
      <c r="D1747" t="str">
        <f>"21199"</f>
        <v>21199</v>
      </c>
      <c r="E1747" t="str">
        <f t="shared" si="293"/>
        <v>1</v>
      </c>
      <c r="F1747" t="str">
        <f t="shared" si="296"/>
        <v>COM</v>
      </c>
      <c r="G1747" t="str">
        <f>"GUILHERME QUINTINO DA ROCHA (199)"</f>
        <v>GUILHERME QUINTINO DA ROCHA (199)</v>
      </c>
      <c r="H1747" t="s">
        <v>375</v>
      </c>
      <c r="I1747" t="str">
        <f t="shared" si="294"/>
        <v>11/09/2025</v>
      </c>
      <c r="J1747" t="str">
        <f t="shared" si="295"/>
        <v>02/09/2025</v>
      </c>
      <c r="K1747">
        <v>45911</v>
      </c>
      <c r="N1747">
        <v>109</v>
      </c>
      <c r="O1747" t="s">
        <v>24</v>
      </c>
      <c r="Q1747">
        <v>948</v>
      </c>
      <c r="R1747" t="str">
        <f>"FARMÁCIA INDIANA LJ 06 (10006)"</f>
        <v>FARMÁCIA INDIANA LJ 06 (10006)</v>
      </c>
      <c r="S1747" t="s">
        <v>77</v>
      </c>
      <c r="T1747">
        <v>18109</v>
      </c>
      <c r="U1747">
        <v>21199</v>
      </c>
      <c r="V1747" t="s">
        <v>77</v>
      </c>
    </row>
    <row r="1748" spans="1:22">
      <c r="A1748" t="str">
        <f t="shared" si="297"/>
        <v>11/09/2025</v>
      </c>
      <c r="B1748" t="str">
        <f t="shared" si="298"/>
        <v>SAÍDA</v>
      </c>
      <c r="C1748" t="str">
        <f t="shared" si="299"/>
        <v>PIX</v>
      </c>
      <c r="D1748" t="str">
        <f>"21200"</f>
        <v>21200</v>
      </c>
      <c r="E1748" t="str">
        <f t="shared" ref="E1748:E1811" si="300">"1"</f>
        <v>1</v>
      </c>
      <c r="F1748" t="str">
        <f t="shared" si="296"/>
        <v>COM</v>
      </c>
      <c r="G1748" t="str">
        <f>"GUSTAVO ALVES DE ARAÚJO (298)"</f>
        <v>GUSTAVO ALVES DE ARAÚJO (298)</v>
      </c>
      <c r="H1748" t="str">
        <f>"Serv.Prest. 25/08/2025 a 31/08/2025 - PIX: CELULAR - CHAVE: (31) 99816-8965"</f>
        <v>Serv.Prest. 25/08/2025 a 31/08/2025 - PIX: CELULAR - CHAVE: (31) 99816-8965</v>
      </c>
      <c r="I1748" t="str">
        <f t="shared" si="294"/>
        <v>11/09/2025</v>
      </c>
      <c r="J1748" t="str">
        <f t="shared" si="295"/>
        <v>02/09/2025</v>
      </c>
      <c r="K1748" t="str">
        <f>("11/09/2025")</f>
        <v>11/09/2025</v>
      </c>
      <c r="L1748">
        <v>946</v>
      </c>
      <c r="M1748">
        <v>946</v>
      </c>
      <c r="N1748">
        <v>109</v>
      </c>
      <c r="O1748" t="str">
        <f>"PAGAMENTO DE ENTREGADORES"</f>
        <v>PAGAMENTO DE ENTREGADORES</v>
      </c>
      <c r="P1748">
        <v>946</v>
      </c>
      <c r="S1748" t="str">
        <f>"BANCO C6 (149)"</f>
        <v>BANCO C6 (149)</v>
      </c>
      <c r="T1748">
        <v>18110</v>
      </c>
      <c r="U1748">
        <v>21200</v>
      </c>
      <c r="V1748" t="s">
        <v>77</v>
      </c>
    </row>
    <row r="1749" spans="1:22">
      <c r="A1749" t="str">
        <f t="shared" si="297"/>
        <v>11/09/2025</v>
      </c>
      <c r="B1749" t="str">
        <f t="shared" si="298"/>
        <v>SAÍDA</v>
      </c>
      <c r="C1749" t="str">
        <f t="shared" si="299"/>
        <v>PIX</v>
      </c>
      <c r="D1749" t="str">
        <f>"21200"</f>
        <v>21200</v>
      </c>
      <c r="E1749" t="str">
        <f t="shared" si="300"/>
        <v>1</v>
      </c>
      <c r="F1749" t="str">
        <f t="shared" si="296"/>
        <v>COM</v>
      </c>
      <c r="G1749" t="str">
        <f>"GUSTAVO ALVES DE ARAÚJO (298)"</f>
        <v>GUSTAVO ALVES DE ARAÚJO (298)</v>
      </c>
      <c r="H1749" t="s">
        <v>376</v>
      </c>
      <c r="I1749" t="str">
        <f t="shared" si="294"/>
        <v>11/09/2025</v>
      </c>
      <c r="J1749" t="str">
        <f t="shared" si="295"/>
        <v>02/09/2025</v>
      </c>
      <c r="K1749">
        <v>45911</v>
      </c>
      <c r="N1749">
        <v>109</v>
      </c>
      <c r="O1749" t="s">
        <v>24</v>
      </c>
      <c r="Q1749">
        <v>946</v>
      </c>
      <c r="R1749" t="str">
        <f>"FARMÁCIA INDIANA LJ 172 (10161)"</f>
        <v>FARMÁCIA INDIANA LJ 172 (10161)</v>
      </c>
      <c r="S1749" t="s">
        <v>77</v>
      </c>
      <c r="T1749">
        <v>18110</v>
      </c>
      <c r="U1749">
        <v>21200</v>
      </c>
      <c r="V1749" t="s">
        <v>77</v>
      </c>
    </row>
    <row r="1750" spans="1:22">
      <c r="A1750" t="str">
        <f t="shared" si="297"/>
        <v>11/09/2025</v>
      </c>
      <c r="B1750" t="str">
        <f t="shared" si="298"/>
        <v>SAÍDA</v>
      </c>
      <c r="C1750" t="str">
        <f t="shared" si="299"/>
        <v>PIX</v>
      </c>
      <c r="D1750" t="str">
        <f>"21202"</f>
        <v>21202</v>
      </c>
      <c r="E1750" t="str">
        <f t="shared" si="300"/>
        <v>1</v>
      </c>
      <c r="F1750" t="str">
        <f t="shared" si="296"/>
        <v>COM</v>
      </c>
      <c r="G1750" t="str">
        <f>"GUSTAVO HENRIQUE OLIVEIRA (661)"</f>
        <v>GUSTAVO HENRIQUE OLIVEIRA (661)</v>
      </c>
      <c r="H1750" t="str">
        <f>"Serv.Prest. 25/08/2025 a 31/08/2025 - PIX: CPF - CHAVE: 113.084.266-58"</f>
        <v>Serv.Prest. 25/08/2025 a 31/08/2025 - PIX: CPF - CHAVE: 113.084.266-58</v>
      </c>
      <c r="I1750" t="str">
        <f t="shared" si="294"/>
        <v>11/09/2025</v>
      </c>
      <c r="J1750" t="str">
        <f t="shared" si="295"/>
        <v>02/09/2025</v>
      </c>
      <c r="K1750" t="str">
        <f>("11/09/2025")</f>
        <v>11/09/2025</v>
      </c>
      <c r="L1750">
        <v>820</v>
      </c>
      <c r="M1750">
        <v>820</v>
      </c>
      <c r="N1750">
        <v>109</v>
      </c>
      <c r="O1750" t="str">
        <f>"PAGAMENTO DE ENTREGADORES"</f>
        <v>PAGAMENTO DE ENTREGADORES</v>
      </c>
      <c r="P1750">
        <v>820</v>
      </c>
      <c r="S1750" t="str">
        <f>"BANCO C6 (149)"</f>
        <v>BANCO C6 (149)</v>
      </c>
      <c r="T1750">
        <v>18111</v>
      </c>
      <c r="U1750">
        <v>21202</v>
      </c>
      <c r="V1750" t="s">
        <v>77</v>
      </c>
    </row>
    <row r="1751" spans="1:22">
      <c r="A1751" t="str">
        <f t="shared" si="297"/>
        <v>11/09/2025</v>
      </c>
      <c r="B1751" t="str">
        <f t="shared" si="298"/>
        <v>SAÍDA</v>
      </c>
      <c r="C1751" t="str">
        <f t="shared" si="299"/>
        <v>PIX</v>
      </c>
      <c r="D1751" t="str">
        <f>"21202"</f>
        <v>21202</v>
      </c>
      <c r="E1751" t="str">
        <f t="shared" si="300"/>
        <v>1</v>
      </c>
      <c r="F1751" t="str">
        <f t="shared" si="296"/>
        <v>COM</v>
      </c>
      <c r="G1751" t="str">
        <f>"GUSTAVO HENRIQUE OLIVEIRA (661)"</f>
        <v>GUSTAVO HENRIQUE OLIVEIRA (661)</v>
      </c>
      <c r="H1751" t="s">
        <v>256</v>
      </c>
      <c r="I1751" t="str">
        <f t="shared" ref="I1751:I1814" si="301">("11/09/2025")</f>
        <v>11/09/2025</v>
      </c>
      <c r="J1751" t="str">
        <f t="shared" ref="J1751:J1814" si="302">("02/09/2025")</f>
        <v>02/09/2025</v>
      </c>
      <c r="K1751">
        <v>45911</v>
      </c>
      <c r="N1751">
        <v>109</v>
      </c>
      <c r="O1751" t="s">
        <v>24</v>
      </c>
      <c r="Q1751">
        <v>820</v>
      </c>
      <c r="R1751" t="str">
        <f>"FARMÁCIA INDIANA LJ 110 (10048)"</f>
        <v>FARMÁCIA INDIANA LJ 110 (10048)</v>
      </c>
      <c r="S1751" t="s">
        <v>77</v>
      </c>
      <c r="T1751">
        <v>18111</v>
      </c>
      <c r="U1751">
        <v>21202</v>
      </c>
      <c r="V1751" t="s">
        <v>77</v>
      </c>
    </row>
    <row r="1752" spans="1:22">
      <c r="A1752" t="str">
        <f t="shared" si="297"/>
        <v>11/09/2025</v>
      </c>
      <c r="B1752" t="str">
        <f t="shared" si="298"/>
        <v>SAÍDA</v>
      </c>
      <c r="C1752" t="str">
        <f t="shared" si="299"/>
        <v>PIX</v>
      </c>
      <c r="D1752" t="str">
        <f>"21204"</f>
        <v>21204</v>
      </c>
      <c r="E1752" t="str">
        <f t="shared" si="300"/>
        <v>1</v>
      </c>
      <c r="F1752" t="str">
        <f t="shared" si="296"/>
        <v>COM</v>
      </c>
      <c r="G1752" t="str">
        <f>"IVAN SOUZA SANTOS (101)"</f>
        <v>IVAN SOUZA SANTOS (101)</v>
      </c>
      <c r="H1752" t="str">
        <f>"Serv.Prest. 25/08/2025 a 31/08/2025 - PIX: CPF - CHAVE: 067.393.286-92"</f>
        <v>Serv.Prest. 25/08/2025 a 31/08/2025 - PIX: CPF - CHAVE: 067.393.286-92</v>
      </c>
      <c r="I1752" t="str">
        <f t="shared" si="301"/>
        <v>11/09/2025</v>
      </c>
      <c r="J1752" t="str">
        <f t="shared" si="302"/>
        <v>02/09/2025</v>
      </c>
      <c r="K1752" t="str">
        <f>("11/09/2025")</f>
        <v>11/09/2025</v>
      </c>
      <c r="L1752">
        <v>739.5</v>
      </c>
      <c r="M1752">
        <v>739.5</v>
      </c>
      <c r="N1752">
        <v>109</v>
      </c>
      <c r="O1752" t="str">
        <f>"PAGAMENTO DE ENTREGADORES"</f>
        <v>PAGAMENTO DE ENTREGADORES</v>
      </c>
      <c r="P1752">
        <v>739.5</v>
      </c>
      <c r="S1752" t="str">
        <f>"BANCO C6 (149)"</f>
        <v>BANCO C6 (149)</v>
      </c>
      <c r="T1752">
        <v>18112</v>
      </c>
      <c r="U1752">
        <v>21204</v>
      </c>
      <c r="V1752" t="s">
        <v>77</v>
      </c>
    </row>
    <row r="1753" spans="1:22">
      <c r="A1753" t="str">
        <f t="shared" si="297"/>
        <v>11/09/2025</v>
      </c>
      <c r="B1753" t="str">
        <f t="shared" si="298"/>
        <v>SAÍDA</v>
      </c>
      <c r="C1753" t="str">
        <f t="shared" si="299"/>
        <v>PIX</v>
      </c>
      <c r="D1753" t="str">
        <f>"21204"</f>
        <v>21204</v>
      </c>
      <c r="E1753" t="str">
        <f t="shared" si="300"/>
        <v>1</v>
      </c>
      <c r="F1753" t="str">
        <f t="shared" si="296"/>
        <v>COM</v>
      </c>
      <c r="G1753" t="str">
        <f>"IVAN SOUZA SANTOS (101)"</f>
        <v>IVAN SOUZA SANTOS (101)</v>
      </c>
      <c r="H1753" t="s">
        <v>380</v>
      </c>
      <c r="I1753" t="str">
        <f t="shared" si="301"/>
        <v>11/09/2025</v>
      </c>
      <c r="J1753" t="str">
        <f t="shared" si="302"/>
        <v>02/09/2025</v>
      </c>
      <c r="K1753">
        <v>45911</v>
      </c>
      <c r="N1753">
        <v>109</v>
      </c>
      <c r="O1753" t="s">
        <v>24</v>
      </c>
      <c r="Q1753">
        <v>739.5</v>
      </c>
      <c r="R1753" t="str">
        <f>"FARMÁCIA INDIANA LJ 59 (10026)"</f>
        <v>FARMÁCIA INDIANA LJ 59 (10026)</v>
      </c>
      <c r="S1753" t="s">
        <v>77</v>
      </c>
      <c r="T1753">
        <v>18112</v>
      </c>
      <c r="U1753">
        <v>21204</v>
      </c>
      <c r="V1753" t="s">
        <v>77</v>
      </c>
    </row>
    <row r="1754" spans="1:22">
      <c r="A1754" t="str">
        <f t="shared" si="297"/>
        <v>11/09/2025</v>
      </c>
      <c r="B1754" t="str">
        <f t="shared" si="298"/>
        <v>SAÍDA</v>
      </c>
      <c r="C1754" t="str">
        <f t="shared" si="299"/>
        <v>PIX</v>
      </c>
      <c r="D1754" t="str">
        <f>"21205"</f>
        <v>21205</v>
      </c>
      <c r="E1754" t="str">
        <f t="shared" si="300"/>
        <v>1</v>
      </c>
      <c r="F1754" t="str">
        <f t="shared" si="296"/>
        <v>COM</v>
      </c>
      <c r="G1754" t="str">
        <f>"JANDERSON SOUZA ARCANJO (28)"</f>
        <v>JANDERSON SOUZA ARCANJO (28)</v>
      </c>
      <c r="H1754" t="str">
        <f>"Serv.Prest. 25/08/2025 a 31/08/2025 - PIX: CPF - CHAVE: 121.297.376-33"</f>
        <v>Serv.Prest. 25/08/2025 a 31/08/2025 - PIX: CPF - CHAVE: 121.297.376-33</v>
      </c>
      <c r="I1754" t="str">
        <f t="shared" si="301"/>
        <v>11/09/2025</v>
      </c>
      <c r="J1754" t="str">
        <f t="shared" si="302"/>
        <v>02/09/2025</v>
      </c>
      <c r="K1754" t="str">
        <f>("11/09/2025")</f>
        <v>11/09/2025</v>
      </c>
      <c r="L1754">
        <v>1352.5</v>
      </c>
      <c r="M1754">
        <v>1352.5</v>
      </c>
      <c r="N1754">
        <v>109</v>
      </c>
      <c r="O1754" t="str">
        <f>"PAGAMENTO DE ENTREGADORES"</f>
        <v>PAGAMENTO DE ENTREGADORES</v>
      </c>
      <c r="P1754">
        <v>1352.5</v>
      </c>
      <c r="S1754" t="str">
        <f>"BANCO C6 (149)"</f>
        <v>BANCO C6 (149)</v>
      </c>
      <c r="T1754">
        <v>18113</v>
      </c>
      <c r="U1754">
        <v>21205</v>
      </c>
      <c r="V1754" t="s">
        <v>77</v>
      </c>
    </row>
    <row r="1755" spans="1:22">
      <c r="A1755" t="str">
        <f t="shared" si="297"/>
        <v>11/09/2025</v>
      </c>
      <c r="B1755" t="str">
        <f t="shared" si="298"/>
        <v>SAÍDA</v>
      </c>
      <c r="C1755" t="str">
        <f t="shared" si="299"/>
        <v>PIX</v>
      </c>
      <c r="D1755" t="str">
        <f>"21205"</f>
        <v>21205</v>
      </c>
      <c r="E1755" t="str">
        <f t="shared" si="300"/>
        <v>1</v>
      </c>
      <c r="F1755" t="str">
        <f t="shared" si="296"/>
        <v>COM</v>
      </c>
      <c r="G1755" t="str">
        <f>"JANDERSON SOUZA ARCANJO (28)"</f>
        <v>JANDERSON SOUZA ARCANJO (28)</v>
      </c>
      <c r="H1755" t="s">
        <v>383</v>
      </c>
      <c r="I1755" t="str">
        <f t="shared" si="301"/>
        <v>11/09/2025</v>
      </c>
      <c r="J1755" t="str">
        <f t="shared" si="302"/>
        <v>02/09/2025</v>
      </c>
      <c r="K1755">
        <v>45911</v>
      </c>
      <c r="N1755">
        <v>109</v>
      </c>
      <c r="O1755" t="s">
        <v>24</v>
      </c>
      <c r="Q1755">
        <v>1352.5</v>
      </c>
      <c r="R1755" t="str">
        <f>"FARMÁCIA INDIANA LJ 40 (10016)"</f>
        <v>FARMÁCIA INDIANA LJ 40 (10016)</v>
      </c>
      <c r="S1755" t="s">
        <v>77</v>
      </c>
      <c r="T1755">
        <v>18113</v>
      </c>
      <c r="U1755">
        <v>21205</v>
      </c>
      <c r="V1755" t="s">
        <v>77</v>
      </c>
    </row>
    <row r="1756" spans="1:22">
      <c r="A1756" t="str">
        <f t="shared" si="297"/>
        <v>11/09/2025</v>
      </c>
      <c r="B1756" t="str">
        <f t="shared" si="298"/>
        <v>SAÍDA</v>
      </c>
      <c r="C1756" t="str">
        <f t="shared" si="299"/>
        <v>PIX</v>
      </c>
      <c r="D1756" t="str">
        <f>"21206"</f>
        <v>21206</v>
      </c>
      <c r="E1756" t="str">
        <f t="shared" si="300"/>
        <v>1</v>
      </c>
      <c r="F1756" t="str">
        <f t="shared" ref="F1756:F1819" si="303">"COM"</f>
        <v>COM</v>
      </c>
      <c r="G1756" t="str">
        <f>"JEFERSON ANDRADE FERREIRA (165)"</f>
        <v>JEFERSON ANDRADE FERREIRA (165)</v>
      </c>
      <c r="H1756" t="str">
        <f>"Serv.Prest. 25/08/2025 a 31/08/2025 - PIX: CPF - CHAVE: 126.873.296-65"</f>
        <v>Serv.Prest. 25/08/2025 a 31/08/2025 - PIX: CPF - CHAVE: 126.873.296-65</v>
      </c>
      <c r="I1756" t="str">
        <f t="shared" si="301"/>
        <v>11/09/2025</v>
      </c>
      <c r="J1756" t="str">
        <f t="shared" si="302"/>
        <v>02/09/2025</v>
      </c>
      <c r="K1756" t="str">
        <f>("11/09/2025")</f>
        <v>11/09/2025</v>
      </c>
      <c r="L1756">
        <v>1240</v>
      </c>
      <c r="M1756">
        <v>1240</v>
      </c>
      <c r="N1756">
        <v>109</v>
      </c>
      <c r="O1756" t="str">
        <f>"PAGAMENTO DE ENTREGADORES"</f>
        <v>PAGAMENTO DE ENTREGADORES</v>
      </c>
      <c r="P1756">
        <v>1240</v>
      </c>
      <c r="S1756" t="str">
        <f>"BANCO C6 (149)"</f>
        <v>BANCO C6 (149)</v>
      </c>
      <c r="T1756">
        <v>18114</v>
      </c>
      <c r="U1756">
        <v>21206</v>
      </c>
      <c r="V1756" t="s">
        <v>77</v>
      </c>
    </row>
    <row r="1757" spans="1:22">
      <c r="A1757" t="str">
        <f t="shared" si="297"/>
        <v>11/09/2025</v>
      </c>
      <c r="B1757" t="str">
        <f t="shared" si="298"/>
        <v>SAÍDA</v>
      </c>
      <c r="C1757" t="str">
        <f t="shared" si="299"/>
        <v>PIX</v>
      </c>
      <c r="D1757" t="str">
        <f>"21206"</f>
        <v>21206</v>
      </c>
      <c r="E1757" t="str">
        <f t="shared" si="300"/>
        <v>1</v>
      </c>
      <c r="F1757" t="str">
        <f t="shared" si="303"/>
        <v>COM</v>
      </c>
      <c r="G1757" t="str">
        <f>"JEFERSON ANDRADE FERREIRA (165)"</f>
        <v>JEFERSON ANDRADE FERREIRA (165)</v>
      </c>
      <c r="H1757" t="s">
        <v>314</v>
      </c>
      <c r="I1757" t="str">
        <f t="shared" si="301"/>
        <v>11/09/2025</v>
      </c>
      <c r="J1757" t="str">
        <f t="shared" si="302"/>
        <v>02/09/2025</v>
      </c>
      <c r="K1757">
        <v>45911</v>
      </c>
      <c r="N1757">
        <v>109</v>
      </c>
      <c r="O1757" t="s">
        <v>24</v>
      </c>
      <c r="Q1757">
        <v>1240</v>
      </c>
      <c r="R1757" t="str">
        <f>"FARMÁCIA INDIANA LJ 101 (10043)"</f>
        <v>FARMÁCIA INDIANA LJ 101 (10043)</v>
      </c>
      <c r="S1757" t="s">
        <v>77</v>
      </c>
      <c r="T1757">
        <v>18114</v>
      </c>
      <c r="U1757">
        <v>21206</v>
      </c>
      <c r="V1757" t="s">
        <v>77</v>
      </c>
    </row>
    <row r="1758" spans="1:22">
      <c r="A1758" t="str">
        <f t="shared" si="297"/>
        <v>11/09/2025</v>
      </c>
      <c r="B1758" t="str">
        <f t="shared" si="298"/>
        <v>SAÍDA</v>
      </c>
      <c r="C1758" t="str">
        <f t="shared" si="299"/>
        <v>PIX</v>
      </c>
      <c r="D1758" t="str">
        <f>"21207"</f>
        <v>21207</v>
      </c>
      <c r="E1758" t="str">
        <f t="shared" si="300"/>
        <v>1</v>
      </c>
      <c r="F1758" t="str">
        <f t="shared" si="303"/>
        <v>COM</v>
      </c>
      <c r="G1758" t="str">
        <f>"JEFERSON ARAÚJO SANTOS GERMANO (180)"</f>
        <v>JEFERSON ARAÚJO SANTOS GERMANO (180)</v>
      </c>
      <c r="H1758" t="str">
        <f>"Serv.Prest. 25/08/2025 a 31/08/2025 - PIX: CPF - CHAVE: 023.645.626-19"</f>
        <v>Serv.Prest. 25/08/2025 a 31/08/2025 - PIX: CPF - CHAVE: 023.645.626-19</v>
      </c>
      <c r="I1758" t="str">
        <f t="shared" si="301"/>
        <v>11/09/2025</v>
      </c>
      <c r="J1758" t="str">
        <f t="shared" si="302"/>
        <v>02/09/2025</v>
      </c>
      <c r="K1758" t="str">
        <f>("11/09/2025")</f>
        <v>11/09/2025</v>
      </c>
      <c r="L1758">
        <v>1102</v>
      </c>
      <c r="M1758">
        <v>1102</v>
      </c>
      <c r="N1758">
        <v>109</v>
      </c>
      <c r="O1758" t="str">
        <f>"PAGAMENTO DE ENTREGADORES"</f>
        <v>PAGAMENTO DE ENTREGADORES</v>
      </c>
      <c r="P1758">
        <v>1102</v>
      </c>
      <c r="S1758" t="str">
        <f>"BANCO C6 (149)"</f>
        <v>BANCO C6 (149)</v>
      </c>
      <c r="T1758">
        <v>18115</v>
      </c>
      <c r="U1758">
        <v>21207</v>
      </c>
      <c r="V1758" t="s">
        <v>77</v>
      </c>
    </row>
    <row r="1759" spans="1:22">
      <c r="A1759" t="str">
        <f t="shared" si="297"/>
        <v>11/09/2025</v>
      </c>
      <c r="B1759" t="str">
        <f t="shared" si="298"/>
        <v>SAÍDA</v>
      </c>
      <c r="C1759" t="str">
        <f t="shared" si="299"/>
        <v>PIX</v>
      </c>
      <c r="D1759" t="str">
        <f>"21207"</f>
        <v>21207</v>
      </c>
      <c r="E1759" t="str">
        <f t="shared" si="300"/>
        <v>1</v>
      </c>
      <c r="F1759" t="str">
        <f t="shared" si="303"/>
        <v>COM</v>
      </c>
      <c r="G1759" t="str">
        <f>"JEFERSON ARAÚJO SANTOS GERMANO (180)"</f>
        <v>JEFERSON ARAÚJO SANTOS GERMANO (180)</v>
      </c>
      <c r="H1759" t="s">
        <v>385</v>
      </c>
      <c r="I1759" t="str">
        <f t="shared" si="301"/>
        <v>11/09/2025</v>
      </c>
      <c r="J1759" t="str">
        <f t="shared" si="302"/>
        <v>02/09/2025</v>
      </c>
      <c r="K1759">
        <v>45911</v>
      </c>
      <c r="N1759">
        <v>109</v>
      </c>
      <c r="O1759" t="s">
        <v>24</v>
      </c>
      <c r="Q1759">
        <v>1102</v>
      </c>
      <c r="R1759" t="str">
        <f>"FARMÁCIA INDIANA LJ 142 (10066)"</f>
        <v>FARMÁCIA INDIANA LJ 142 (10066)</v>
      </c>
      <c r="S1759" t="s">
        <v>77</v>
      </c>
      <c r="T1759">
        <v>18115</v>
      </c>
      <c r="U1759">
        <v>21207</v>
      </c>
      <c r="V1759" t="s">
        <v>77</v>
      </c>
    </row>
    <row r="1760" spans="1:22">
      <c r="A1760" t="str">
        <f t="shared" si="297"/>
        <v>11/09/2025</v>
      </c>
      <c r="B1760" t="str">
        <f t="shared" si="298"/>
        <v>SAÍDA</v>
      </c>
      <c r="C1760" t="str">
        <f t="shared" si="299"/>
        <v>PIX</v>
      </c>
      <c r="D1760" t="str">
        <f>"21208"</f>
        <v>21208</v>
      </c>
      <c r="E1760" t="str">
        <f t="shared" si="300"/>
        <v>1</v>
      </c>
      <c r="F1760" t="str">
        <f t="shared" si="303"/>
        <v>COM</v>
      </c>
      <c r="G1760" t="str">
        <f>"JEFERSON DE JESUS SANTOS (910)"</f>
        <v>JEFERSON DE JESUS SANTOS (910)</v>
      </c>
      <c r="H1760" t="str">
        <f>"Serv.Prest. 25/08/2025 a 31/08/2025 - PIX: CELULAR - CHAVE: (33) 98836-6015"</f>
        <v>Serv.Prest. 25/08/2025 a 31/08/2025 - PIX: CELULAR - CHAVE: (33) 98836-6015</v>
      </c>
      <c r="I1760" t="str">
        <f t="shared" si="301"/>
        <v>11/09/2025</v>
      </c>
      <c r="J1760" t="str">
        <f t="shared" si="302"/>
        <v>02/09/2025</v>
      </c>
      <c r="K1760" t="str">
        <f>("11/09/2025")</f>
        <v>11/09/2025</v>
      </c>
      <c r="L1760">
        <v>702</v>
      </c>
      <c r="M1760">
        <v>702</v>
      </c>
      <c r="N1760">
        <v>109</v>
      </c>
      <c r="O1760" t="str">
        <f>"PAGAMENTO DE ENTREGADORES"</f>
        <v>PAGAMENTO DE ENTREGADORES</v>
      </c>
      <c r="P1760">
        <v>702</v>
      </c>
      <c r="S1760" t="str">
        <f>"BANCO C6 (149)"</f>
        <v>BANCO C6 (149)</v>
      </c>
      <c r="T1760">
        <v>18116</v>
      </c>
      <c r="U1760">
        <v>21208</v>
      </c>
      <c r="V1760" t="s">
        <v>77</v>
      </c>
    </row>
    <row r="1761" spans="1:22">
      <c r="A1761" t="str">
        <f t="shared" si="297"/>
        <v>11/09/2025</v>
      </c>
      <c r="B1761" t="str">
        <f t="shared" si="298"/>
        <v>SAÍDA</v>
      </c>
      <c r="C1761" t="str">
        <f t="shared" si="299"/>
        <v>PIX</v>
      </c>
      <c r="D1761" t="str">
        <f>"21208"</f>
        <v>21208</v>
      </c>
      <c r="E1761" t="str">
        <f t="shared" si="300"/>
        <v>1</v>
      </c>
      <c r="F1761" t="str">
        <f t="shared" si="303"/>
        <v>COM</v>
      </c>
      <c r="G1761" t="str">
        <f>"JEFERSON DE JESUS SANTOS (910)"</f>
        <v>JEFERSON DE JESUS SANTOS (910)</v>
      </c>
      <c r="H1761" t="s">
        <v>512</v>
      </c>
      <c r="I1761" t="str">
        <f t="shared" si="301"/>
        <v>11/09/2025</v>
      </c>
      <c r="J1761" t="str">
        <f t="shared" si="302"/>
        <v>02/09/2025</v>
      </c>
      <c r="K1761">
        <v>45911</v>
      </c>
      <c r="N1761">
        <v>109</v>
      </c>
      <c r="O1761" t="s">
        <v>24</v>
      </c>
      <c r="Q1761">
        <v>702</v>
      </c>
      <c r="R1761" t="str">
        <f>"FARMÁCIA INDIANA LJ 07 (10007)"</f>
        <v>FARMÁCIA INDIANA LJ 07 (10007)</v>
      </c>
      <c r="S1761" t="s">
        <v>77</v>
      </c>
      <c r="T1761">
        <v>18116</v>
      </c>
      <c r="U1761">
        <v>21208</v>
      </c>
      <c r="V1761" t="s">
        <v>77</v>
      </c>
    </row>
    <row r="1762" spans="1:22">
      <c r="A1762" t="str">
        <f t="shared" si="297"/>
        <v>11/09/2025</v>
      </c>
      <c r="B1762" t="str">
        <f t="shared" si="298"/>
        <v>SAÍDA</v>
      </c>
      <c r="C1762" t="str">
        <f t="shared" si="299"/>
        <v>PIX</v>
      </c>
      <c r="D1762" t="str">
        <f>"21209"</f>
        <v>21209</v>
      </c>
      <c r="E1762" t="str">
        <f t="shared" si="300"/>
        <v>1</v>
      </c>
      <c r="F1762" t="str">
        <f t="shared" si="303"/>
        <v>COM</v>
      </c>
      <c r="G1762" t="str">
        <f>"JHONANTAN LACERDA DE JESUS (142)"</f>
        <v>JHONANTAN LACERDA DE JESUS (142)</v>
      </c>
      <c r="H1762" t="str">
        <f>"Serv.Prest. 25/08/2025 a 31/08/2025 - PIX: E-MAIL - CHAVE: jhonantanlacerda@gmail.com"</f>
        <v>Serv.Prest. 25/08/2025 a 31/08/2025 - PIX: E-MAIL - CHAVE: jhonantanlacerda@gmail.com</v>
      </c>
      <c r="I1762" t="str">
        <f t="shared" si="301"/>
        <v>11/09/2025</v>
      </c>
      <c r="J1762" t="str">
        <f t="shared" si="302"/>
        <v>02/09/2025</v>
      </c>
      <c r="K1762" t="str">
        <f>("11/09/2025")</f>
        <v>11/09/2025</v>
      </c>
      <c r="L1762">
        <v>982</v>
      </c>
      <c r="M1762">
        <v>982</v>
      </c>
      <c r="N1762">
        <v>109</v>
      </c>
      <c r="O1762" t="str">
        <f>"PAGAMENTO DE ENTREGADORES"</f>
        <v>PAGAMENTO DE ENTREGADORES</v>
      </c>
      <c r="P1762">
        <v>982</v>
      </c>
      <c r="S1762" t="str">
        <f>"BANCO C6 (149)"</f>
        <v>BANCO C6 (149)</v>
      </c>
      <c r="T1762">
        <v>18117</v>
      </c>
      <c r="U1762">
        <v>21209</v>
      </c>
      <c r="V1762" t="s">
        <v>77</v>
      </c>
    </row>
    <row r="1763" spans="1:22">
      <c r="A1763" t="str">
        <f t="shared" si="297"/>
        <v>11/09/2025</v>
      </c>
      <c r="B1763" t="str">
        <f t="shared" si="298"/>
        <v>SAÍDA</v>
      </c>
      <c r="C1763" t="str">
        <f t="shared" si="299"/>
        <v>PIX</v>
      </c>
      <c r="D1763" t="str">
        <f>"21209"</f>
        <v>21209</v>
      </c>
      <c r="E1763" t="str">
        <f t="shared" si="300"/>
        <v>1</v>
      </c>
      <c r="F1763" t="str">
        <f t="shared" si="303"/>
        <v>COM</v>
      </c>
      <c r="G1763" t="str">
        <f>"JHONANTAN LACERDA DE JESUS (142)"</f>
        <v>JHONANTAN LACERDA DE JESUS (142)</v>
      </c>
      <c r="H1763" t="s">
        <v>387</v>
      </c>
      <c r="I1763" t="str">
        <f t="shared" si="301"/>
        <v>11/09/2025</v>
      </c>
      <c r="J1763" t="str">
        <f t="shared" si="302"/>
        <v>02/09/2025</v>
      </c>
      <c r="K1763">
        <v>45911</v>
      </c>
      <c r="N1763">
        <v>109</v>
      </c>
      <c r="O1763" t="s">
        <v>24</v>
      </c>
      <c r="Q1763">
        <v>982</v>
      </c>
      <c r="R1763" t="str">
        <f>"FARMÁCIA INDIANA LJ 142 (10066)"</f>
        <v>FARMÁCIA INDIANA LJ 142 (10066)</v>
      </c>
      <c r="S1763" t="s">
        <v>77</v>
      </c>
      <c r="T1763">
        <v>18117</v>
      </c>
      <c r="U1763">
        <v>21209</v>
      </c>
      <c r="V1763" t="s">
        <v>77</v>
      </c>
    </row>
    <row r="1764" spans="1:22">
      <c r="A1764" t="str">
        <f t="shared" si="297"/>
        <v>11/09/2025</v>
      </c>
      <c r="B1764" t="str">
        <f t="shared" si="298"/>
        <v>SAÍDA</v>
      </c>
      <c r="C1764" t="str">
        <f t="shared" si="299"/>
        <v>PIX</v>
      </c>
      <c r="D1764" t="str">
        <f>"21210"</f>
        <v>21210</v>
      </c>
      <c r="E1764" t="str">
        <f t="shared" si="300"/>
        <v>1</v>
      </c>
      <c r="F1764" t="str">
        <f t="shared" si="303"/>
        <v>COM</v>
      </c>
      <c r="G1764" t="str">
        <f>"JOAO PAULO PEREIRA LIMA (821)"</f>
        <v>JOAO PAULO PEREIRA LIMA (821)</v>
      </c>
      <c r="H1764" t="str">
        <f>"Serv.Prest. 25/08/2025 a 31/08/2025 - PIX: CPF - CHAVE: 049.276.546-48"</f>
        <v>Serv.Prest. 25/08/2025 a 31/08/2025 - PIX: CPF - CHAVE: 049.276.546-48</v>
      </c>
      <c r="I1764" t="str">
        <f t="shared" si="301"/>
        <v>11/09/2025</v>
      </c>
      <c r="J1764" t="str">
        <f t="shared" si="302"/>
        <v>02/09/2025</v>
      </c>
      <c r="K1764" t="str">
        <f>("11/09/2025")</f>
        <v>11/09/2025</v>
      </c>
      <c r="L1764">
        <v>310</v>
      </c>
      <c r="M1764">
        <v>310</v>
      </c>
      <c r="N1764">
        <v>109</v>
      </c>
      <c r="O1764" t="str">
        <f>"PAGAMENTO DE ENTREGADORES"</f>
        <v>PAGAMENTO DE ENTREGADORES</v>
      </c>
      <c r="P1764">
        <v>310</v>
      </c>
      <c r="S1764" t="str">
        <f>"BANCO C6 (149)"</f>
        <v>BANCO C6 (149)</v>
      </c>
      <c r="T1764">
        <v>18118</v>
      </c>
      <c r="U1764">
        <v>21210</v>
      </c>
      <c r="V1764" t="s">
        <v>77</v>
      </c>
    </row>
    <row r="1765" spans="1:22">
      <c r="A1765" t="str">
        <f t="shared" si="297"/>
        <v>11/09/2025</v>
      </c>
      <c r="B1765" t="str">
        <f t="shared" si="298"/>
        <v>SAÍDA</v>
      </c>
      <c r="C1765" t="str">
        <f t="shared" si="299"/>
        <v>PIX</v>
      </c>
      <c r="D1765" t="str">
        <f>"21210"</f>
        <v>21210</v>
      </c>
      <c r="E1765" t="str">
        <f t="shared" si="300"/>
        <v>1</v>
      </c>
      <c r="F1765" t="str">
        <f t="shared" si="303"/>
        <v>COM</v>
      </c>
      <c r="G1765" t="str">
        <f>"JOAO PAULO PEREIRA LIMA (821)"</f>
        <v>JOAO PAULO PEREIRA LIMA (821)</v>
      </c>
      <c r="H1765" t="s">
        <v>389</v>
      </c>
      <c r="I1765" t="str">
        <f t="shared" si="301"/>
        <v>11/09/2025</v>
      </c>
      <c r="J1765" t="str">
        <f t="shared" si="302"/>
        <v>02/09/2025</v>
      </c>
      <c r="K1765">
        <v>45911</v>
      </c>
      <c r="N1765">
        <v>109</v>
      </c>
      <c r="O1765" t="s">
        <v>24</v>
      </c>
      <c r="Q1765">
        <v>310</v>
      </c>
      <c r="R1765" t="str">
        <f>"FARMÁCIA INDIANA LJ 06 (10006)"</f>
        <v>FARMÁCIA INDIANA LJ 06 (10006)</v>
      </c>
      <c r="S1765" t="s">
        <v>77</v>
      </c>
      <c r="T1765">
        <v>18118</v>
      </c>
      <c r="U1765">
        <v>21210</v>
      </c>
      <c r="V1765" t="s">
        <v>77</v>
      </c>
    </row>
    <row r="1766" spans="1:22">
      <c r="A1766" t="str">
        <f t="shared" si="297"/>
        <v>11/09/2025</v>
      </c>
      <c r="B1766" t="str">
        <f t="shared" si="298"/>
        <v>SAÍDA</v>
      </c>
      <c r="C1766" t="str">
        <f t="shared" si="299"/>
        <v>PIX</v>
      </c>
      <c r="D1766" t="str">
        <f>"21211"</f>
        <v>21211</v>
      </c>
      <c r="E1766" t="str">
        <f t="shared" si="300"/>
        <v>1</v>
      </c>
      <c r="F1766" t="str">
        <f t="shared" si="303"/>
        <v>COM</v>
      </c>
      <c r="G1766" t="str">
        <f>"JOMAR GONÇALVES DIAS (16)"</f>
        <v>JOMAR GONÇALVES DIAS (16)</v>
      </c>
      <c r="H1766" t="str">
        <f>"Serv.Prest. 25/08/2025 a 31/08/2025 - PIX: CPF - CHAVE: 602.838.315-53"</f>
        <v>Serv.Prest. 25/08/2025 a 31/08/2025 - PIX: CPF - CHAVE: 602.838.315-53</v>
      </c>
      <c r="I1766" t="str">
        <f t="shared" si="301"/>
        <v>11/09/2025</v>
      </c>
      <c r="J1766" t="str">
        <f t="shared" si="302"/>
        <v>02/09/2025</v>
      </c>
      <c r="K1766" t="str">
        <f>("11/09/2025")</f>
        <v>11/09/2025</v>
      </c>
      <c r="L1766">
        <v>1111</v>
      </c>
      <c r="M1766">
        <v>1111</v>
      </c>
      <c r="N1766">
        <v>109</v>
      </c>
      <c r="O1766" t="str">
        <f>"PAGAMENTO DE ENTREGADORES"</f>
        <v>PAGAMENTO DE ENTREGADORES</v>
      </c>
      <c r="P1766">
        <v>1111</v>
      </c>
      <c r="S1766" t="str">
        <f>"BANCO C6 (149)"</f>
        <v>BANCO C6 (149)</v>
      </c>
      <c r="T1766">
        <v>18119</v>
      </c>
      <c r="U1766">
        <v>21211</v>
      </c>
      <c r="V1766" t="s">
        <v>77</v>
      </c>
    </row>
    <row r="1767" spans="1:22">
      <c r="A1767" t="str">
        <f t="shared" si="297"/>
        <v>11/09/2025</v>
      </c>
      <c r="B1767" t="str">
        <f t="shared" si="298"/>
        <v>SAÍDA</v>
      </c>
      <c r="C1767" t="str">
        <f t="shared" si="299"/>
        <v>PIX</v>
      </c>
      <c r="D1767" t="str">
        <f>"21211"</f>
        <v>21211</v>
      </c>
      <c r="E1767" t="str">
        <f t="shared" si="300"/>
        <v>1</v>
      </c>
      <c r="F1767" t="str">
        <f t="shared" si="303"/>
        <v>COM</v>
      </c>
      <c r="G1767" t="str">
        <f>"JOMAR GONÇALVES DIAS (16)"</f>
        <v>JOMAR GONÇALVES DIAS (16)</v>
      </c>
      <c r="H1767" t="s">
        <v>513</v>
      </c>
      <c r="I1767" t="str">
        <f t="shared" si="301"/>
        <v>11/09/2025</v>
      </c>
      <c r="J1767" t="str">
        <f t="shared" si="302"/>
        <v>02/09/2025</v>
      </c>
      <c r="K1767">
        <v>45911</v>
      </c>
      <c r="N1767">
        <v>109</v>
      </c>
      <c r="O1767" t="s">
        <v>24</v>
      </c>
      <c r="Q1767">
        <v>1111</v>
      </c>
      <c r="R1767" t="str">
        <f>"FARMÁCIA INDIANA LJ 61 (10027)"</f>
        <v>FARMÁCIA INDIANA LJ 61 (10027)</v>
      </c>
      <c r="S1767" t="s">
        <v>77</v>
      </c>
      <c r="T1767">
        <v>18119</v>
      </c>
      <c r="U1767">
        <v>21211</v>
      </c>
      <c r="V1767" t="s">
        <v>77</v>
      </c>
    </row>
    <row r="1768" spans="1:22">
      <c r="A1768" t="str">
        <f t="shared" si="297"/>
        <v>11/09/2025</v>
      </c>
      <c r="B1768" t="str">
        <f t="shared" si="298"/>
        <v>SAÍDA</v>
      </c>
      <c r="C1768" t="str">
        <f t="shared" si="299"/>
        <v>PIX</v>
      </c>
      <c r="D1768" t="str">
        <f>"21212"</f>
        <v>21212</v>
      </c>
      <c r="E1768" t="str">
        <f t="shared" si="300"/>
        <v>1</v>
      </c>
      <c r="F1768" t="str">
        <f t="shared" si="303"/>
        <v>COM</v>
      </c>
      <c r="G1768" t="str">
        <f>"JOSÉ CARLOS DA COSTA (83)"</f>
        <v>JOSÉ CARLOS DA COSTA (83)</v>
      </c>
      <c r="H1768" t="str">
        <f>"Serv.Prest. 25/08/2025 a 31/08/2025 - PIX: CPF - CHAVE: 043.301.196-33"</f>
        <v>Serv.Prest. 25/08/2025 a 31/08/2025 - PIX: CPF - CHAVE: 043.301.196-33</v>
      </c>
      <c r="I1768" t="str">
        <f t="shared" si="301"/>
        <v>11/09/2025</v>
      </c>
      <c r="J1768" t="str">
        <f t="shared" si="302"/>
        <v>02/09/2025</v>
      </c>
      <c r="K1768" t="str">
        <f>("11/09/2025")</f>
        <v>11/09/2025</v>
      </c>
      <c r="L1768">
        <v>588</v>
      </c>
      <c r="M1768">
        <v>588</v>
      </c>
      <c r="N1768">
        <v>109</v>
      </c>
      <c r="O1768" t="str">
        <f>"PAGAMENTO DE ENTREGADORES"</f>
        <v>PAGAMENTO DE ENTREGADORES</v>
      </c>
      <c r="P1768">
        <v>588</v>
      </c>
      <c r="S1768" t="str">
        <f>"BANCO C6 (149)"</f>
        <v>BANCO C6 (149)</v>
      </c>
      <c r="T1768">
        <v>18120</v>
      </c>
      <c r="U1768">
        <v>21212</v>
      </c>
      <c r="V1768" t="s">
        <v>77</v>
      </c>
    </row>
    <row r="1769" spans="1:22">
      <c r="A1769" t="str">
        <f t="shared" si="297"/>
        <v>11/09/2025</v>
      </c>
      <c r="B1769" t="str">
        <f t="shared" si="298"/>
        <v>SAÍDA</v>
      </c>
      <c r="C1769" t="str">
        <f t="shared" si="299"/>
        <v>PIX</v>
      </c>
      <c r="D1769" t="str">
        <f>"21212"</f>
        <v>21212</v>
      </c>
      <c r="E1769" t="str">
        <f t="shared" si="300"/>
        <v>1</v>
      </c>
      <c r="F1769" t="str">
        <f t="shared" si="303"/>
        <v>COM</v>
      </c>
      <c r="G1769" t="str">
        <f>"JOSÉ CARLOS DA COSTA (83)"</f>
        <v>JOSÉ CARLOS DA COSTA (83)</v>
      </c>
      <c r="H1769" t="s">
        <v>514</v>
      </c>
      <c r="I1769" t="str">
        <f t="shared" si="301"/>
        <v>11/09/2025</v>
      </c>
      <c r="J1769" t="str">
        <f t="shared" si="302"/>
        <v>02/09/2025</v>
      </c>
      <c r="K1769">
        <v>45911</v>
      </c>
      <c r="N1769">
        <v>109</v>
      </c>
      <c r="O1769" t="s">
        <v>24</v>
      </c>
      <c r="Q1769">
        <v>588</v>
      </c>
      <c r="R1769" t="str">
        <f>"FARMÁCIA INDIANA LJ 152 (10069)"</f>
        <v>FARMÁCIA INDIANA LJ 152 (10069)</v>
      </c>
      <c r="S1769" t="s">
        <v>77</v>
      </c>
      <c r="T1769">
        <v>18120</v>
      </c>
      <c r="U1769">
        <v>21212</v>
      </c>
      <c r="V1769" t="s">
        <v>77</v>
      </c>
    </row>
    <row r="1770" spans="1:22">
      <c r="A1770" t="str">
        <f t="shared" si="297"/>
        <v>11/09/2025</v>
      </c>
      <c r="B1770" t="str">
        <f t="shared" si="298"/>
        <v>SAÍDA</v>
      </c>
      <c r="C1770" t="str">
        <f t="shared" si="299"/>
        <v>PIX</v>
      </c>
      <c r="D1770" t="str">
        <f>"21214"</f>
        <v>21214</v>
      </c>
      <c r="E1770" t="str">
        <f t="shared" si="300"/>
        <v>1</v>
      </c>
      <c r="F1770" t="str">
        <f t="shared" si="303"/>
        <v>COM</v>
      </c>
      <c r="G1770" t="str">
        <f>"JUBER FERREIRA SILVA BASTOS (192)"</f>
        <v>JUBER FERREIRA SILVA BASTOS (192)</v>
      </c>
      <c r="H1770" t="str">
        <f>"Serv.Prest. 25/08/2025 a 31/08/2025 - PIX: CPF - CHAVE: 012.459.366-62"</f>
        <v>Serv.Prest. 25/08/2025 a 31/08/2025 - PIX: CPF - CHAVE: 012.459.366-62</v>
      </c>
      <c r="I1770" t="str">
        <f t="shared" si="301"/>
        <v>11/09/2025</v>
      </c>
      <c r="J1770" t="str">
        <f t="shared" si="302"/>
        <v>02/09/2025</v>
      </c>
      <c r="K1770" t="str">
        <f>("11/09/2025")</f>
        <v>11/09/2025</v>
      </c>
      <c r="L1770">
        <v>990</v>
      </c>
      <c r="M1770">
        <v>990</v>
      </c>
      <c r="N1770">
        <v>109</v>
      </c>
      <c r="O1770" t="str">
        <f>"PAGAMENTO DE ENTREGADORES"</f>
        <v>PAGAMENTO DE ENTREGADORES</v>
      </c>
      <c r="P1770">
        <v>990</v>
      </c>
      <c r="S1770" t="str">
        <f>"BANCO C6 (149)"</f>
        <v>BANCO C6 (149)</v>
      </c>
      <c r="T1770">
        <v>18121</v>
      </c>
      <c r="U1770">
        <v>21214</v>
      </c>
      <c r="V1770" t="s">
        <v>77</v>
      </c>
    </row>
    <row r="1771" spans="1:22">
      <c r="A1771" t="str">
        <f t="shared" si="297"/>
        <v>11/09/2025</v>
      </c>
      <c r="B1771" t="str">
        <f t="shared" si="298"/>
        <v>SAÍDA</v>
      </c>
      <c r="C1771" t="str">
        <f t="shared" si="299"/>
        <v>PIX</v>
      </c>
      <c r="D1771" t="str">
        <f>"21214"</f>
        <v>21214</v>
      </c>
      <c r="E1771" t="str">
        <f t="shared" si="300"/>
        <v>1</v>
      </c>
      <c r="F1771" t="str">
        <f t="shared" si="303"/>
        <v>COM</v>
      </c>
      <c r="G1771" t="str">
        <f>"JUBER FERREIRA SILVA BASTOS (192)"</f>
        <v>JUBER FERREIRA SILVA BASTOS (192)</v>
      </c>
      <c r="H1771" t="s">
        <v>515</v>
      </c>
      <c r="I1771" t="str">
        <f t="shared" si="301"/>
        <v>11/09/2025</v>
      </c>
      <c r="J1771" t="str">
        <f t="shared" si="302"/>
        <v>02/09/2025</v>
      </c>
      <c r="K1771">
        <v>45911</v>
      </c>
      <c r="N1771">
        <v>109</v>
      </c>
      <c r="O1771" t="s">
        <v>24</v>
      </c>
      <c r="Q1771">
        <v>990</v>
      </c>
      <c r="R1771" t="str">
        <f>"FARMÁCIA INDIANA LJ 06 (10006)"</f>
        <v>FARMÁCIA INDIANA LJ 06 (10006)</v>
      </c>
      <c r="S1771" t="s">
        <v>77</v>
      </c>
      <c r="T1771">
        <v>18121</v>
      </c>
      <c r="U1771">
        <v>21214</v>
      </c>
      <c r="V1771" t="s">
        <v>77</v>
      </c>
    </row>
    <row r="1772" spans="1:22">
      <c r="A1772" t="str">
        <f t="shared" si="297"/>
        <v>11/09/2025</v>
      </c>
      <c r="B1772" t="str">
        <f t="shared" si="298"/>
        <v>SAÍDA</v>
      </c>
      <c r="C1772" t="str">
        <f t="shared" si="299"/>
        <v>PIX</v>
      </c>
      <c r="D1772" t="str">
        <f>"21215"</f>
        <v>21215</v>
      </c>
      <c r="E1772" t="str">
        <f t="shared" si="300"/>
        <v>1</v>
      </c>
      <c r="F1772" t="str">
        <f t="shared" si="303"/>
        <v>COM</v>
      </c>
      <c r="G1772" t="str">
        <f>"JUNIO DE ANDRADE ARRUDA (145)"</f>
        <v>JUNIO DE ANDRADE ARRUDA (145)</v>
      </c>
      <c r="H1772" t="str">
        <f>"Serv.Prest. 25/08/2025 a 31/08/2025 - PIX: CPF - CHAVE: 077.488.126-75"</f>
        <v>Serv.Prest. 25/08/2025 a 31/08/2025 - PIX: CPF - CHAVE: 077.488.126-75</v>
      </c>
      <c r="I1772" t="str">
        <f t="shared" si="301"/>
        <v>11/09/2025</v>
      </c>
      <c r="J1772" t="str">
        <f t="shared" si="302"/>
        <v>02/09/2025</v>
      </c>
      <c r="K1772" t="str">
        <f>("11/09/2025")</f>
        <v>11/09/2025</v>
      </c>
      <c r="L1772">
        <v>784</v>
      </c>
      <c r="M1772">
        <v>784</v>
      </c>
      <c r="N1772">
        <v>109</v>
      </c>
      <c r="O1772" t="str">
        <f>"PAGAMENTO DE ENTREGADORES"</f>
        <v>PAGAMENTO DE ENTREGADORES</v>
      </c>
      <c r="P1772">
        <v>784</v>
      </c>
      <c r="S1772" t="str">
        <f>"BANCO C6 (149)"</f>
        <v>BANCO C6 (149)</v>
      </c>
      <c r="T1772">
        <v>18122</v>
      </c>
      <c r="U1772">
        <v>21215</v>
      </c>
      <c r="V1772" t="s">
        <v>77</v>
      </c>
    </row>
    <row r="1773" spans="1:22">
      <c r="A1773" t="str">
        <f t="shared" si="297"/>
        <v>11/09/2025</v>
      </c>
      <c r="B1773" t="str">
        <f t="shared" si="298"/>
        <v>SAÍDA</v>
      </c>
      <c r="C1773" t="str">
        <f t="shared" si="299"/>
        <v>PIX</v>
      </c>
      <c r="D1773" t="str">
        <f>"21215"</f>
        <v>21215</v>
      </c>
      <c r="E1773" t="str">
        <f t="shared" si="300"/>
        <v>1</v>
      </c>
      <c r="F1773" t="str">
        <f t="shared" si="303"/>
        <v>COM</v>
      </c>
      <c r="G1773" t="str">
        <f>"JUNIO DE ANDRADE ARRUDA (145)"</f>
        <v>JUNIO DE ANDRADE ARRUDA (145)</v>
      </c>
      <c r="H1773" t="s">
        <v>394</v>
      </c>
      <c r="I1773" t="str">
        <f t="shared" si="301"/>
        <v>11/09/2025</v>
      </c>
      <c r="J1773" t="str">
        <f t="shared" si="302"/>
        <v>02/09/2025</v>
      </c>
      <c r="K1773">
        <v>45911</v>
      </c>
      <c r="N1773">
        <v>109</v>
      </c>
      <c r="O1773" t="s">
        <v>24</v>
      </c>
      <c r="Q1773">
        <v>784</v>
      </c>
      <c r="R1773" t="str">
        <f>"FARMÁCIA INDIANA LJ 19 (10012)"</f>
        <v>FARMÁCIA INDIANA LJ 19 (10012)</v>
      </c>
      <c r="S1773" t="s">
        <v>77</v>
      </c>
      <c r="T1773">
        <v>18122</v>
      </c>
      <c r="U1773">
        <v>21215</v>
      </c>
      <c r="V1773" t="s">
        <v>77</v>
      </c>
    </row>
    <row r="1774" spans="1:22">
      <c r="A1774" t="str">
        <f t="shared" si="297"/>
        <v>11/09/2025</v>
      </c>
      <c r="B1774" t="str">
        <f t="shared" si="298"/>
        <v>SAÍDA</v>
      </c>
      <c r="C1774" t="str">
        <f t="shared" si="299"/>
        <v>PIX</v>
      </c>
      <c r="D1774" t="str">
        <f>"21216"</f>
        <v>21216</v>
      </c>
      <c r="E1774" t="str">
        <f t="shared" si="300"/>
        <v>1</v>
      </c>
      <c r="F1774" t="str">
        <f t="shared" si="303"/>
        <v>COM</v>
      </c>
      <c r="G1774" t="str">
        <f>"JUNIOR DOS SANTOS MACHADO (240)"</f>
        <v>JUNIOR DOS SANTOS MACHADO (240)</v>
      </c>
      <c r="H1774" t="str">
        <f>"Serv.Prest. 25/08/2025 a 31/08/2025 - PIX: CPF - CHAVE: 074.520.456-29"</f>
        <v>Serv.Prest. 25/08/2025 a 31/08/2025 - PIX: CPF - CHAVE: 074.520.456-29</v>
      </c>
      <c r="I1774" t="str">
        <f t="shared" si="301"/>
        <v>11/09/2025</v>
      </c>
      <c r="J1774" t="str">
        <f t="shared" si="302"/>
        <v>02/09/2025</v>
      </c>
      <c r="K1774" t="str">
        <f>("11/09/2025")</f>
        <v>11/09/2025</v>
      </c>
      <c r="L1774">
        <v>585</v>
      </c>
      <c r="M1774">
        <v>585</v>
      </c>
      <c r="N1774">
        <v>109</v>
      </c>
      <c r="O1774" t="str">
        <f>"PAGAMENTO DE ENTREGADORES"</f>
        <v>PAGAMENTO DE ENTREGADORES</v>
      </c>
      <c r="P1774">
        <v>585</v>
      </c>
      <c r="S1774" t="str">
        <f>"BANCO C6 (149)"</f>
        <v>BANCO C6 (149)</v>
      </c>
      <c r="T1774">
        <v>18123</v>
      </c>
      <c r="U1774">
        <v>21216</v>
      </c>
      <c r="V1774" t="s">
        <v>77</v>
      </c>
    </row>
    <row r="1775" spans="1:22">
      <c r="A1775" t="str">
        <f t="shared" si="297"/>
        <v>11/09/2025</v>
      </c>
      <c r="B1775" t="str">
        <f t="shared" si="298"/>
        <v>SAÍDA</v>
      </c>
      <c r="C1775" t="str">
        <f t="shared" si="299"/>
        <v>PIX</v>
      </c>
      <c r="D1775" t="str">
        <f>"21216"</f>
        <v>21216</v>
      </c>
      <c r="E1775" t="str">
        <f t="shared" si="300"/>
        <v>1</v>
      </c>
      <c r="F1775" t="str">
        <f t="shared" si="303"/>
        <v>COM</v>
      </c>
      <c r="G1775" t="str">
        <f>"JUNIOR DOS SANTOS MACHADO (240)"</f>
        <v>JUNIOR DOS SANTOS MACHADO (240)</v>
      </c>
      <c r="H1775" t="s">
        <v>310</v>
      </c>
      <c r="I1775" t="str">
        <f t="shared" si="301"/>
        <v>11/09/2025</v>
      </c>
      <c r="J1775" t="str">
        <f t="shared" si="302"/>
        <v>02/09/2025</v>
      </c>
      <c r="K1775">
        <v>45911</v>
      </c>
      <c r="N1775">
        <v>109</v>
      </c>
      <c r="O1775" t="s">
        <v>24</v>
      </c>
      <c r="Q1775">
        <v>585</v>
      </c>
      <c r="R1775" t="str">
        <f>"FARMÁCIA INDIANA LJ 62 (10028)"</f>
        <v>FARMÁCIA INDIANA LJ 62 (10028)</v>
      </c>
      <c r="S1775" t="s">
        <v>77</v>
      </c>
      <c r="T1775">
        <v>18123</v>
      </c>
      <c r="U1775">
        <v>21216</v>
      </c>
      <c r="V1775" t="s">
        <v>77</v>
      </c>
    </row>
    <row r="1776" spans="1:22">
      <c r="A1776" t="str">
        <f t="shared" si="297"/>
        <v>11/09/2025</v>
      </c>
      <c r="B1776" t="str">
        <f t="shared" si="298"/>
        <v>SAÍDA</v>
      </c>
      <c r="C1776" t="str">
        <f t="shared" si="299"/>
        <v>PIX</v>
      </c>
      <c r="D1776" t="str">
        <f>"21218"</f>
        <v>21218</v>
      </c>
      <c r="E1776" t="str">
        <f t="shared" si="300"/>
        <v>1</v>
      </c>
      <c r="F1776" t="str">
        <f t="shared" si="303"/>
        <v>COM</v>
      </c>
      <c r="G1776" t="str">
        <f>"KALESSON BARROSO DIAS (216)"</f>
        <v>KALESSON BARROSO DIAS (216)</v>
      </c>
      <c r="H1776" t="str">
        <f>"Serv.Prest. 25/08/2025 a 31/08/2025 - PIX: CELULAR - CHAVE: (33) 99106-9330"</f>
        <v>Serv.Prest. 25/08/2025 a 31/08/2025 - PIX: CELULAR - CHAVE: (33) 99106-9330</v>
      </c>
      <c r="I1776" t="str">
        <f t="shared" si="301"/>
        <v>11/09/2025</v>
      </c>
      <c r="J1776" t="str">
        <f t="shared" si="302"/>
        <v>02/09/2025</v>
      </c>
      <c r="K1776" t="str">
        <f>("11/09/2025")</f>
        <v>11/09/2025</v>
      </c>
      <c r="L1776">
        <v>990</v>
      </c>
      <c r="M1776">
        <v>990</v>
      </c>
      <c r="N1776">
        <v>109</v>
      </c>
      <c r="O1776" t="str">
        <f>"PAGAMENTO DE ENTREGADORES"</f>
        <v>PAGAMENTO DE ENTREGADORES</v>
      </c>
      <c r="P1776">
        <v>990</v>
      </c>
      <c r="S1776" t="str">
        <f>"BANCO C6 (149)"</f>
        <v>BANCO C6 (149)</v>
      </c>
      <c r="T1776">
        <v>18124</v>
      </c>
      <c r="U1776">
        <v>21218</v>
      </c>
      <c r="V1776" t="s">
        <v>77</v>
      </c>
    </row>
    <row r="1777" spans="1:22">
      <c r="A1777" t="str">
        <f t="shared" si="297"/>
        <v>11/09/2025</v>
      </c>
      <c r="B1777" t="str">
        <f t="shared" si="298"/>
        <v>SAÍDA</v>
      </c>
      <c r="C1777" t="str">
        <f t="shared" si="299"/>
        <v>PIX</v>
      </c>
      <c r="D1777" t="str">
        <f>"21218"</f>
        <v>21218</v>
      </c>
      <c r="E1777" t="str">
        <f t="shared" si="300"/>
        <v>1</v>
      </c>
      <c r="F1777" t="str">
        <f t="shared" si="303"/>
        <v>COM</v>
      </c>
      <c r="G1777" t="str">
        <f>"KALESSON BARROSO DIAS (216)"</f>
        <v>KALESSON BARROSO DIAS (216)</v>
      </c>
      <c r="H1777" t="s">
        <v>516</v>
      </c>
      <c r="I1777" t="str">
        <f t="shared" si="301"/>
        <v>11/09/2025</v>
      </c>
      <c r="J1777" t="str">
        <f t="shared" si="302"/>
        <v>02/09/2025</v>
      </c>
      <c r="K1777">
        <v>45911</v>
      </c>
      <c r="N1777">
        <v>109</v>
      </c>
      <c r="O1777" t="s">
        <v>24</v>
      </c>
      <c r="Q1777">
        <v>990</v>
      </c>
      <c r="R1777" t="str">
        <f>"FARMÁCIA INDIANA LJ 06 (10006)"</f>
        <v>FARMÁCIA INDIANA LJ 06 (10006)</v>
      </c>
      <c r="S1777" t="s">
        <v>77</v>
      </c>
      <c r="T1777">
        <v>18124</v>
      </c>
      <c r="U1777">
        <v>21218</v>
      </c>
      <c r="V1777" t="s">
        <v>77</v>
      </c>
    </row>
    <row r="1778" spans="1:22">
      <c r="A1778" t="str">
        <f t="shared" si="297"/>
        <v>11/09/2025</v>
      </c>
      <c r="B1778" t="str">
        <f t="shared" si="298"/>
        <v>SAÍDA</v>
      </c>
      <c r="C1778" t="str">
        <f t="shared" si="299"/>
        <v>PIX</v>
      </c>
      <c r="D1778" t="str">
        <f>"21219"</f>
        <v>21219</v>
      </c>
      <c r="E1778" t="str">
        <f t="shared" si="300"/>
        <v>1</v>
      </c>
      <c r="F1778" t="str">
        <f t="shared" si="303"/>
        <v>COM</v>
      </c>
      <c r="G1778" t="str">
        <f>"KELVIN NUBIO DE SOUZA TOLEDO (735)"</f>
        <v>KELVIN NUBIO DE SOUZA TOLEDO (735)</v>
      </c>
      <c r="H1778" t="str">
        <f>"Serv.Prest. 25/08/2025 a 31/08/2025 - PIX: CHAVE ALEATÓRIA - CHAVE: c489bee1-360b-4fa9-86c4-fbb0e9844cb8"</f>
        <v>Serv.Prest. 25/08/2025 a 31/08/2025 - PIX: CHAVE ALEATÓRIA - CHAVE: c489bee1-360b-4fa9-86c4-fbb0e9844cb8</v>
      </c>
      <c r="I1778" t="str">
        <f t="shared" si="301"/>
        <v>11/09/2025</v>
      </c>
      <c r="J1778" t="str">
        <f t="shared" si="302"/>
        <v>02/09/2025</v>
      </c>
      <c r="K1778" t="str">
        <f>("11/09/2025")</f>
        <v>11/09/2025</v>
      </c>
      <c r="L1778">
        <v>72</v>
      </c>
      <c r="M1778">
        <v>72</v>
      </c>
      <c r="N1778">
        <v>109</v>
      </c>
      <c r="O1778" t="str">
        <f>"PAGAMENTO DE ENTREGADORES"</f>
        <v>PAGAMENTO DE ENTREGADORES</v>
      </c>
      <c r="P1778">
        <v>72</v>
      </c>
      <c r="S1778" t="str">
        <f>"BANCO C6 (149)"</f>
        <v>BANCO C6 (149)</v>
      </c>
      <c r="T1778">
        <v>18125</v>
      </c>
      <c r="U1778">
        <v>21219</v>
      </c>
      <c r="V1778" t="s">
        <v>77</v>
      </c>
    </row>
    <row r="1779" spans="1:22">
      <c r="A1779" t="str">
        <f t="shared" si="297"/>
        <v>11/09/2025</v>
      </c>
      <c r="B1779" t="str">
        <f t="shared" si="298"/>
        <v>SAÍDA</v>
      </c>
      <c r="C1779" t="str">
        <f t="shared" si="299"/>
        <v>PIX</v>
      </c>
      <c r="D1779" t="str">
        <f>"21219"</f>
        <v>21219</v>
      </c>
      <c r="E1779" t="str">
        <f t="shared" si="300"/>
        <v>1</v>
      </c>
      <c r="F1779" t="str">
        <f t="shared" si="303"/>
        <v>COM</v>
      </c>
      <c r="G1779" t="str">
        <f>"KELVIN NUBIO DE SOUZA TOLEDO (735)"</f>
        <v>KELVIN NUBIO DE SOUZA TOLEDO (735)</v>
      </c>
      <c r="H1779" t="s">
        <v>517</v>
      </c>
      <c r="I1779" t="str">
        <f t="shared" si="301"/>
        <v>11/09/2025</v>
      </c>
      <c r="J1779" t="str">
        <f t="shared" si="302"/>
        <v>02/09/2025</v>
      </c>
      <c r="K1779">
        <v>45911</v>
      </c>
      <c r="N1779">
        <v>109</v>
      </c>
      <c r="O1779" t="s">
        <v>24</v>
      </c>
      <c r="Q1779">
        <v>72</v>
      </c>
      <c r="R1779" t="str">
        <f>"FARMÁCIA INDIANA LJ 152 (10069)"</f>
        <v>FARMÁCIA INDIANA LJ 152 (10069)</v>
      </c>
      <c r="S1779" t="s">
        <v>77</v>
      </c>
      <c r="T1779">
        <v>18125</v>
      </c>
      <c r="U1779">
        <v>21219</v>
      </c>
      <c r="V1779" t="s">
        <v>77</v>
      </c>
    </row>
    <row r="1780" spans="1:22">
      <c r="A1780" t="str">
        <f t="shared" si="297"/>
        <v>11/09/2025</v>
      </c>
      <c r="B1780" t="str">
        <f t="shared" si="298"/>
        <v>SAÍDA</v>
      </c>
      <c r="C1780" t="str">
        <f t="shared" si="299"/>
        <v>PIX</v>
      </c>
      <c r="D1780" t="str">
        <f>"21222"</f>
        <v>21222</v>
      </c>
      <c r="E1780" t="str">
        <f t="shared" si="300"/>
        <v>1</v>
      </c>
      <c r="F1780" t="str">
        <f t="shared" si="303"/>
        <v>COM</v>
      </c>
      <c r="G1780" t="str">
        <f>"LEONARDO VIANA FIGUEIREDO (913)"</f>
        <v>LEONARDO VIANA FIGUEIREDO (913)</v>
      </c>
      <c r="H1780" t="str">
        <f>"Serv.Prest. 25/08/2025 a 31/08/2025 - PIX: CELULAR - CHAVE: (33) 98463-0821"</f>
        <v>Serv.Prest. 25/08/2025 a 31/08/2025 - PIX: CELULAR - CHAVE: (33) 98463-0821</v>
      </c>
      <c r="I1780" t="str">
        <f t="shared" si="301"/>
        <v>11/09/2025</v>
      </c>
      <c r="J1780" t="str">
        <f t="shared" si="302"/>
        <v>02/09/2025</v>
      </c>
      <c r="K1780" t="str">
        <f>("11/09/2025")</f>
        <v>11/09/2025</v>
      </c>
      <c r="L1780">
        <v>990</v>
      </c>
      <c r="M1780">
        <v>990</v>
      </c>
      <c r="N1780">
        <v>109</v>
      </c>
      <c r="O1780" t="str">
        <f>"PAGAMENTO DE ENTREGADORES"</f>
        <v>PAGAMENTO DE ENTREGADORES</v>
      </c>
      <c r="P1780">
        <v>990</v>
      </c>
      <c r="S1780" t="str">
        <f>"BANCO C6 (149)"</f>
        <v>BANCO C6 (149)</v>
      </c>
      <c r="T1780">
        <v>18126</v>
      </c>
      <c r="U1780">
        <v>21222</v>
      </c>
      <c r="V1780" t="s">
        <v>77</v>
      </c>
    </row>
    <row r="1781" spans="1:22">
      <c r="A1781" t="str">
        <f t="shared" si="297"/>
        <v>11/09/2025</v>
      </c>
      <c r="B1781" t="str">
        <f t="shared" si="298"/>
        <v>SAÍDA</v>
      </c>
      <c r="C1781" t="str">
        <f t="shared" si="299"/>
        <v>PIX</v>
      </c>
      <c r="D1781" t="str">
        <f>"21222"</f>
        <v>21222</v>
      </c>
      <c r="E1781" t="str">
        <f t="shared" si="300"/>
        <v>1</v>
      </c>
      <c r="F1781" t="str">
        <f t="shared" si="303"/>
        <v>COM</v>
      </c>
      <c r="G1781" t="str">
        <f>"LEONARDO VIANA FIGUEIREDO (913)"</f>
        <v>LEONARDO VIANA FIGUEIREDO (913)</v>
      </c>
      <c r="H1781" t="s">
        <v>518</v>
      </c>
      <c r="I1781" t="str">
        <f t="shared" si="301"/>
        <v>11/09/2025</v>
      </c>
      <c r="J1781" t="str">
        <f t="shared" si="302"/>
        <v>02/09/2025</v>
      </c>
      <c r="K1781">
        <v>45911</v>
      </c>
      <c r="N1781">
        <v>109</v>
      </c>
      <c r="O1781" t="s">
        <v>24</v>
      </c>
      <c r="Q1781">
        <v>990</v>
      </c>
      <c r="R1781" t="str">
        <f>"FARMÁCIA INDIANA LJ 06 (10006)"</f>
        <v>FARMÁCIA INDIANA LJ 06 (10006)</v>
      </c>
      <c r="S1781" t="s">
        <v>77</v>
      </c>
      <c r="T1781">
        <v>18126</v>
      </c>
      <c r="U1781">
        <v>21222</v>
      </c>
      <c r="V1781" t="s">
        <v>77</v>
      </c>
    </row>
    <row r="1782" spans="1:22">
      <c r="A1782" t="str">
        <f t="shared" si="297"/>
        <v>11/09/2025</v>
      </c>
      <c r="B1782" t="str">
        <f t="shared" si="298"/>
        <v>SAÍDA</v>
      </c>
      <c r="C1782" t="str">
        <f t="shared" si="299"/>
        <v>PIX</v>
      </c>
      <c r="D1782" t="str">
        <f>"21223"</f>
        <v>21223</v>
      </c>
      <c r="E1782" t="str">
        <f t="shared" si="300"/>
        <v>1</v>
      </c>
      <c r="F1782" t="str">
        <f t="shared" si="303"/>
        <v>COM</v>
      </c>
      <c r="G1782" t="str">
        <f>"LEVERCI DA SILVA COURA (138)"</f>
        <v>LEVERCI DA SILVA COURA (138)</v>
      </c>
      <c r="H1782" t="str">
        <f>"Serv.Prest. 25/08/2025 a 31/08/2025 - PIX: CELULAR - CHAVE: (31) 99850-4727"</f>
        <v>Serv.Prest. 25/08/2025 a 31/08/2025 - PIX: CELULAR - CHAVE: (31) 99850-4727</v>
      </c>
      <c r="I1782" t="str">
        <f t="shared" si="301"/>
        <v>11/09/2025</v>
      </c>
      <c r="J1782" t="str">
        <f t="shared" si="302"/>
        <v>02/09/2025</v>
      </c>
      <c r="K1782" t="str">
        <f>("11/09/2025")</f>
        <v>11/09/2025</v>
      </c>
      <c r="L1782">
        <v>786</v>
      </c>
      <c r="M1782">
        <v>786</v>
      </c>
      <c r="N1782">
        <v>109</v>
      </c>
      <c r="O1782" t="str">
        <f>"PAGAMENTO DE ENTREGADORES"</f>
        <v>PAGAMENTO DE ENTREGADORES</v>
      </c>
      <c r="P1782">
        <v>786</v>
      </c>
      <c r="S1782" t="str">
        <f>"BANCO C6 (149)"</f>
        <v>BANCO C6 (149)</v>
      </c>
      <c r="T1782">
        <v>18127</v>
      </c>
      <c r="U1782">
        <v>21223</v>
      </c>
      <c r="V1782" t="s">
        <v>77</v>
      </c>
    </row>
    <row r="1783" spans="1:22">
      <c r="A1783" t="str">
        <f t="shared" si="297"/>
        <v>11/09/2025</v>
      </c>
      <c r="B1783" t="str">
        <f t="shared" si="298"/>
        <v>SAÍDA</v>
      </c>
      <c r="C1783" t="str">
        <f t="shared" si="299"/>
        <v>PIX</v>
      </c>
      <c r="D1783" t="str">
        <f>"21223"</f>
        <v>21223</v>
      </c>
      <c r="E1783" t="str">
        <f t="shared" si="300"/>
        <v>1</v>
      </c>
      <c r="F1783" t="str">
        <f t="shared" si="303"/>
        <v>COM</v>
      </c>
      <c r="G1783" t="str">
        <f>"LEVERCI DA SILVA COURA (138)"</f>
        <v>LEVERCI DA SILVA COURA (138)</v>
      </c>
      <c r="H1783" t="s">
        <v>519</v>
      </c>
      <c r="I1783" t="str">
        <f t="shared" si="301"/>
        <v>11/09/2025</v>
      </c>
      <c r="J1783" t="str">
        <f t="shared" si="302"/>
        <v>02/09/2025</v>
      </c>
      <c r="K1783">
        <v>45911</v>
      </c>
      <c r="N1783">
        <v>109</v>
      </c>
      <c r="O1783" t="s">
        <v>24</v>
      </c>
      <c r="Q1783">
        <v>786</v>
      </c>
      <c r="R1783" t="str">
        <f>"FARMÁCIA INDIANA LJ 18 (10011)"</f>
        <v>FARMÁCIA INDIANA LJ 18 (10011)</v>
      </c>
      <c r="S1783" t="s">
        <v>77</v>
      </c>
      <c r="T1783">
        <v>18127</v>
      </c>
      <c r="U1783">
        <v>21223</v>
      </c>
      <c r="V1783" t="s">
        <v>77</v>
      </c>
    </row>
    <row r="1784" spans="1:22">
      <c r="A1784" t="str">
        <f t="shared" si="297"/>
        <v>11/09/2025</v>
      </c>
      <c r="B1784" t="str">
        <f t="shared" si="298"/>
        <v>SAÍDA</v>
      </c>
      <c r="C1784" t="str">
        <f t="shared" si="299"/>
        <v>PIX</v>
      </c>
      <c r="D1784" t="str">
        <f>"21224"</f>
        <v>21224</v>
      </c>
      <c r="E1784" t="str">
        <f t="shared" si="300"/>
        <v>1</v>
      </c>
      <c r="F1784" t="str">
        <f t="shared" si="303"/>
        <v>COM</v>
      </c>
      <c r="G1784" t="str">
        <f>"LUAN DOS SANTOS NUNES (719)"</f>
        <v>LUAN DOS SANTOS NUNES (719)</v>
      </c>
      <c r="H1784" t="str">
        <f>"Serv.Prest. 25/08/2025 a 31/08/2025 - PIX: CELULAR - CHAVE: (33) 98749-4693"</f>
        <v>Serv.Prest. 25/08/2025 a 31/08/2025 - PIX: CELULAR - CHAVE: (33) 98749-4693</v>
      </c>
      <c r="I1784" t="str">
        <f t="shared" si="301"/>
        <v>11/09/2025</v>
      </c>
      <c r="J1784" t="str">
        <f t="shared" si="302"/>
        <v>02/09/2025</v>
      </c>
      <c r="K1784" t="str">
        <f>("11/09/2025")</f>
        <v>11/09/2025</v>
      </c>
      <c r="L1784">
        <v>1751.32</v>
      </c>
      <c r="M1784">
        <v>1751.32</v>
      </c>
      <c r="N1784">
        <v>109</v>
      </c>
      <c r="O1784" t="str">
        <f>"PAGAMENTO DE ENTREGADORES"</f>
        <v>PAGAMENTO DE ENTREGADORES</v>
      </c>
      <c r="P1784">
        <v>1751.32</v>
      </c>
      <c r="S1784" t="str">
        <f>"BANCO C6 (149)"</f>
        <v>BANCO C6 (149)</v>
      </c>
      <c r="T1784">
        <v>18128</v>
      </c>
      <c r="U1784">
        <v>21224</v>
      </c>
      <c r="V1784" t="s">
        <v>77</v>
      </c>
    </row>
    <row r="1785" spans="1:22">
      <c r="A1785" t="str">
        <f t="shared" si="297"/>
        <v>11/09/2025</v>
      </c>
      <c r="B1785" t="str">
        <f t="shared" si="298"/>
        <v>SAÍDA</v>
      </c>
      <c r="C1785" t="str">
        <f t="shared" si="299"/>
        <v>PIX</v>
      </c>
      <c r="D1785" t="str">
        <f>"21224"</f>
        <v>21224</v>
      </c>
      <c r="E1785" t="str">
        <f t="shared" si="300"/>
        <v>1</v>
      </c>
      <c r="F1785" t="str">
        <f t="shared" si="303"/>
        <v>COM</v>
      </c>
      <c r="G1785" t="str">
        <f>"LUAN DOS SANTOS NUNES (719)"</f>
        <v>LUAN DOS SANTOS NUNES (719)</v>
      </c>
      <c r="H1785" t="s">
        <v>400</v>
      </c>
      <c r="I1785" t="str">
        <f t="shared" si="301"/>
        <v>11/09/2025</v>
      </c>
      <c r="J1785" t="str">
        <f t="shared" si="302"/>
        <v>02/09/2025</v>
      </c>
      <c r="K1785">
        <v>45911</v>
      </c>
      <c r="N1785">
        <v>109</v>
      </c>
      <c r="O1785" t="s">
        <v>24</v>
      </c>
      <c r="Q1785">
        <v>349.21</v>
      </c>
      <c r="R1785" t="str">
        <f>"FARMÁCIA INDIANA LJ 40 (10016)"</f>
        <v>FARMÁCIA INDIANA LJ 40 (10016)</v>
      </c>
      <c r="S1785" t="s">
        <v>77</v>
      </c>
      <c r="T1785">
        <v>18128</v>
      </c>
      <c r="U1785">
        <v>21224</v>
      </c>
      <c r="V1785" t="s">
        <v>77</v>
      </c>
    </row>
    <row r="1786" spans="1:22">
      <c r="A1786" t="str">
        <f t="shared" si="297"/>
        <v>11/09/2025</v>
      </c>
      <c r="B1786" t="str">
        <f t="shared" si="298"/>
        <v>SAÍDA</v>
      </c>
      <c r="C1786" t="str">
        <f t="shared" si="299"/>
        <v>PIX</v>
      </c>
      <c r="D1786" t="str">
        <f>"21224"</f>
        <v>21224</v>
      </c>
      <c r="E1786" t="str">
        <f t="shared" si="300"/>
        <v>1</v>
      </c>
      <c r="F1786" t="str">
        <f t="shared" si="303"/>
        <v>COM</v>
      </c>
      <c r="G1786" t="str">
        <f>"LUAN DOS SANTOS NUNES (719)"</f>
        <v>LUAN DOS SANTOS NUNES (719)</v>
      </c>
      <c r="H1786" t="s">
        <v>400</v>
      </c>
      <c r="I1786" t="str">
        <f t="shared" si="301"/>
        <v>11/09/2025</v>
      </c>
      <c r="J1786" t="str">
        <f t="shared" si="302"/>
        <v>02/09/2025</v>
      </c>
      <c r="K1786">
        <v>45911</v>
      </c>
      <c r="N1786">
        <v>109</v>
      </c>
      <c r="O1786" t="s">
        <v>24</v>
      </c>
      <c r="Q1786">
        <v>1402.11</v>
      </c>
      <c r="R1786" t="str">
        <f>"FARMÁCIA INDIANA LJ 61 (10027)"</f>
        <v>FARMÁCIA INDIANA LJ 61 (10027)</v>
      </c>
      <c r="S1786" t="s">
        <v>77</v>
      </c>
      <c r="T1786">
        <v>18128</v>
      </c>
      <c r="U1786">
        <v>21224</v>
      </c>
      <c r="V1786" t="s">
        <v>77</v>
      </c>
    </row>
    <row r="1787" spans="1:22">
      <c r="A1787" t="str">
        <f t="shared" si="297"/>
        <v>11/09/2025</v>
      </c>
      <c r="B1787" t="str">
        <f t="shared" si="298"/>
        <v>SAÍDA</v>
      </c>
      <c r="C1787" t="str">
        <f t="shared" si="299"/>
        <v>PIX</v>
      </c>
      <c r="D1787" t="str">
        <f>"21225"</f>
        <v>21225</v>
      </c>
      <c r="E1787" t="str">
        <f t="shared" si="300"/>
        <v>1</v>
      </c>
      <c r="F1787" t="str">
        <f t="shared" si="303"/>
        <v>COM</v>
      </c>
      <c r="G1787" t="str">
        <f>"LUAN FERREIRA CAETANO (675)"</f>
        <v>LUAN FERREIRA CAETANO (675)</v>
      </c>
      <c r="H1787" t="str">
        <f>"Serv.Prest. 25/08/2025 a 31/08/2025 - PIX: CELULAR - CHAVE: (31) 99385-4405"</f>
        <v>Serv.Prest. 25/08/2025 a 31/08/2025 - PIX: CELULAR - CHAVE: (31) 99385-4405</v>
      </c>
      <c r="I1787" t="str">
        <f t="shared" si="301"/>
        <v>11/09/2025</v>
      </c>
      <c r="J1787" t="str">
        <f t="shared" si="302"/>
        <v>02/09/2025</v>
      </c>
      <c r="K1787" t="str">
        <f>("11/09/2025")</f>
        <v>11/09/2025</v>
      </c>
      <c r="L1787">
        <v>180</v>
      </c>
      <c r="M1787">
        <v>180</v>
      </c>
      <c r="N1787">
        <v>109</v>
      </c>
      <c r="O1787" t="str">
        <f>"PAGAMENTO DE ENTREGADORES"</f>
        <v>PAGAMENTO DE ENTREGADORES</v>
      </c>
      <c r="P1787">
        <v>180</v>
      </c>
      <c r="S1787" t="str">
        <f>"BANCO C6 (149)"</f>
        <v>BANCO C6 (149)</v>
      </c>
      <c r="T1787">
        <v>18129</v>
      </c>
      <c r="U1787">
        <v>21225</v>
      </c>
      <c r="V1787" t="s">
        <v>77</v>
      </c>
    </row>
    <row r="1788" spans="1:22">
      <c r="A1788" t="str">
        <f t="shared" si="297"/>
        <v>11/09/2025</v>
      </c>
      <c r="B1788" t="str">
        <f t="shared" si="298"/>
        <v>SAÍDA</v>
      </c>
      <c r="C1788" t="str">
        <f t="shared" si="299"/>
        <v>PIX</v>
      </c>
      <c r="D1788" t="str">
        <f>"21225"</f>
        <v>21225</v>
      </c>
      <c r="E1788" t="str">
        <f t="shared" si="300"/>
        <v>1</v>
      </c>
      <c r="F1788" t="str">
        <f t="shared" si="303"/>
        <v>COM</v>
      </c>
      <c r="G1788" t="str">
        <f>"LUAN FERREIRA CAETANO (675)"</f>
        <v>LUAN FERREIRA CAETANO (675)</v>
      </c>
      <c r="H1788" t="s">
        <v>520</v>
      </c>
      <c r="I1788" t="str">
        <f t="shared" si="301"/>
        <v>11/09/2025</v>
      </c>
      <c r="J1788" t="str">
        <f t="shared" si="302"/>
        <v>02/09/2025</v>
      </c>
      <c r="K1788">
        <v>45911</v>
      </c>
      <c r="N1788">
        <v>109</v>
      </c>
      <c r="O1788" t="s">
        <v>24</v>
      </c>
      <c r="Q1788">
        <v>180</v>
      </c>
      <c r="R1788" t="str">
        <f>"FARMÁCIA INDIANA LJ 101 (10043)"</f>
        <v>FARMÁCIA INDIANA LJ 101 (10043)</v>
      </c>
      <c r="S1788" t="s">
        <v>77</v>
      </c>
      <c r="T1788">
        <v>18129</v>
      </c>
      <c r="U1788">
        <v>21225</v>
      </c>
      <c r="V1788" t="s">
        <v>77</v>
      </c>
    </row>
    <row r="1789" spans="1:22">
      <c r="A1789" t="str">
        <f t="shared" si="297"/>
        <v>11/09/2025</v>
      </c>
      <c r="B1789" t="str">
        <f t="shared" si="298"/>
        <v>SAÍDA</v>
      </c>
      <c r="C1789" t="str">
        <f t="shared" si="299"/>
        <v>PIX</v>
      </c>
      <c r="D1789" t="str">
        <f>"21226"</f>
        <v>21226</v>
      </c>
      <c r="E1789" t="str">
        <f t="shared" si="300"/>
        <v>1</v>
      </c>
      <c r="F1789" t="str">
        <f t="shared" si="303"/>
        <v>COM</v>
      </c>
      <c r="G1789" t="str">
        <f>"LUAN VICTOR SERQUEIRA DA SILVA (577)"</f>
        <v>LUAN VICTOR SERQUEIRA DA SILVA (577)</v>
      </c>
      <c r="H1789" t="str">
        <f>"Serv.Prest. 25/08/2025 a 31/08/2025 - PIX: CPF - CHAVE: 161.508.516-56"</f>
        <v>Serv.Prest. 25/08/2025 a 31/08/2025 - PIX: CPF - CHAVE: 161.508.516-56</v>
      </c>
      <c r="I1789" t="str">
        <f t="shared" si="301"/>
        <v>11/09/2025</v>
      </c>
      <c r="J1789" t="str">
        <f t="shared" si="302"/>
        <v>02/09/2025</v>
      </c>
      <c r="K1789" t="str">
        <f>("11/09/2025")</f>
        <v>11/09/2025</v>
      </c>
      <c r="L1789">
        <v>680</v>
      </c>
      <c r="M1789">
        <v>680</v>
      </c>
      <c r="N1789">
        <v>109</v>
      </c>
      <c r="O1789" t="str">
        <f>"PAGAMENTO DE ENTREGADORES"</f>
        <v>PAGAMENTO DE ENTREGADORES</v>
      </c>
      <c r="P1789">
        <v>680</v>
      </c>
      <c r="S1789" t="str">
        <f>"BANCO C6 (149)"</f>
        <v>BANCO C6 (149)</v>
      </c>
      <c r="T1789">
        <v>18130</v>
      </c>
      <c r="U1789">
        <v>21226</v>
      </c>
      <c r="V1789" t="s">
        <v>77</v>
      </c>
    </row>
    <row r="1790" spans="1:22">
      <c r="A1790" t="str">
        <f t="shared" si="297"/>
        <v>11/09/2025</v>
      </c>
      <c r="B1790" t="str">
        <f t="shared" si="298"/>
        <v>SAÍDA</v>
      </c>
      <c r="C1790" t="str">
        <f t="shared" si="299"/>
        <v>PIX</v>
      </c>
      <c r="D1790" t="str">
        <f>"21226"</f>
        <v>21226</v>
      </c>
      <c r="E1790" t="str">
        <f t="shared" si="300"/>
        <v>1</v>
      </c>
      <c r="F1790" t="str">
        <f t="shared" si="303"/>
        <v>COM</v>
      </c>
      <c r="G1790" t="str">
        <f>"LUAN VICTOR SERQUEIRA DA SILVA (577)"</f>
        <v>LUAN VICTOR SERQUEIRA DA SILVA (577)</v>
      </c>
      <c r="H1790" t="s">
        <v>401</v>
      </c>
      <c r="I1790" t="str">
        <f t="shared" si="301"/>
        <v>11/09/2025</v>
      </c>
      <c r="J1790" t="str">
        <f t="shared" si="302"/>
        <v>02/09/2025</v>
      </c>
      <c r="K1790">
        <v>45911</v>
      </c>
      <c r="N1790">
        <v>109</v>
      </c>
      <c r="O1790" t="s">
        <v>24</v>
      </c>
      <c r="Q1790">
        <v>680</v>
      </c>
      <c r="R1790" t="str">
        <f>"FARMÁCIA INDIANA LJ 202 (10085)"</f>
        <v>FARMÁCIA INDIANA LJ 202 (10085)</v>
      </c>
      <c r="S1790" t="s">
        <v>77</v>
      </c>
      <c r="T1790">
        <v>18130</v>
      </c>
      <c r="U1790">
        <v>21226</v>
      </c>
      <c r="V1790" t="s">
        <v>77</v>
      </c>
    </row>
    <row r="1791" spans="1:22">
      <c r="A1791" t="str">
        <f t="shared" si="297"/>
        <v>11/09/2025</v>
      </c>
      <c r="B1791" t="str">
        <f t="shared" si="298"/>
        <v>SAÍDA</v>
      </c>
      <c r="C1791" t="str">
        <f t="shared" si="299"/>
        <v>PIX</v>
      </c>
      <c r="D1791" t="str">
        <f>"21227"</f>
        <v>21227</v>
      </c>
      <c r="E1791" t="str">
        <f t="shared" si="300"/>
        <v>1</v>
      </c>
      <c r="F1791" t="str">
        <f t="shared" si="303"/>
        <v>COM</v>
      </c>
      <c r="G1791" t="str">
        <f>"LUCAS FERREIRA DOS SANTOS (868)"</f>
        <v>LUCAS FERREIRA DOS SANTOS (868)</v>
      </c>
      <c r="H1791" t="str">
        <f>"Serv.Prest. 25/08/2025 a 31/08/2025 - PIX: CELULAR - CHAVE: (33) 99172-0627"</f>
        <v>Serv.Prest. 25/08/2025 a 31/08/2025 - PIX: CELULAR - CHAVE: (33) 99172-0627</v>
      </c>
      <c r="I1791" t="str">
        <f t="shared" si="301"/>
        <v>11/09/2025</v>
      </c>
      <c r="J1791" t="str">
        <f t="shared" si="302"/>
        <v>02/09/2025</v>
      </c>
      <c r="K1791" t="str">
        <f>("11/09/2025")</f>
        <v>11/09/2025</v>
      </c>
      <c r="L1791">
        <v>953.5</v>
      </c>
      <c r="M1791">
        <v>953.5</v>
      </c>
      <c r="N1791">
        <v>109</v>
      </c>
      <c r="O1791" t="str">
        <f>"PAGAMENTO DE ENTREGADORES"</f>
        <v>PAGAMENTO DE ENTREGADORES</v>
      </c>
      <c r="P1791">
        <v>953.5</v>
      </c>
      <c r="S1791" t="str">
        <f>"BANCO C6 (149)"</f>
        <v>BANCO C6 (149)</v>
      </c>
      <c r="T1791">
        <v>18131</v>
      </c>
      <c r="U1791">
        <v>21227</v>
      </c>
      <c r="V1791" t="s">
        <v>77</v>
      </c>
    </row>
    <row r="1792" spans="1:22">
      <c r="A1792" t="str">
        <f t="shared" si="297"/>
        <v>11/09/2025</v>
      </c>
      <c r="B1792" t="str">
        <f t="shared" si="298"/>
        <v>SAÍDA</v>
      </c>
      <c r="C1792" t="str">
        <f t="shared" si="299"/>
        <v>PIX</v>
      </c>
      <c r="D1792" t="str">
        <f>"21227"</f>
        <v>21227</v>
      </c>
      <c r="E1792" t="str">
        <f t="shared" si="300"/>
        <v>1</v>
      </c>
      <c r="F1792" t="str">
        <f t="shared" si="303"/>
        <v>COM</v>
      </c>
      <c r="G1792" t="str">
        <f>"LUCAS FERREIRA DOS SANTOS (868)"</f>
        <v>LUCAS FERREIRA DOS SANTOS (868)</v>
      </c>
      <c r="H1792" t="s">
        <v>402</v>
      </c>
      <c r="I1792" t="str">
        <f t="shared" si="301"/>
        <v>11/09/2025</v>
      </c>
      <c r="J1792" t="str">
        <f t="shared" si="302"/>
        <v>02/09/2025</v>
      </c>
      <c r="K1792">
        <v>45911</v>
      </c>
      <c r="N1792">
        <v>109</v>
      </c>
      <c r="O1792" t="s">
        <v>24</v>
      </c>
      <c r="Q1792">
        <v>953.5</v>
      </c>
      <c r="R1792" t="str">
        <f>"FARMÁCIA INDIANA LJ 06 (10006)"</f>
        <v>FARMÁCIA INDIANA LJ 06 (10006)</v>
      </c>
      <c r="S1792" t="s">
        <v>77</v>
      </c>
      <c r="T1792">
        <v>18131</v>
      </c>
      <c r="U1792">
        <v>21227</v>
      </c>
      <c r="V1792" t="s">
        <v>77</v>
      </c>
    </row>
    <row r="1793" spans="1:22">
      <c r="A1793" t="str">
        <f t="shared" si="297"/>
        <v>11/09/2025</v>
      </c>
      <c r="B1793" t="str">
        <f t="shared" si="298"/>
        <v>SAÍDA</v>
      </c>
      <c r="C1793" t="str">
        <f t="shared" si="299"/>
        <v>PIX</v>
      </c>
      <c r="D1793" t="str">
        <f>"21228"</f>
        <v>21228</v>
      </c>
      <c r="E1793" t="str">
        <f t="shared" si="300"/>
        <v>1</v>
      </c>
      <c r="F1793" t="str">
        <f t="shared" si="303"/>
        <v>COM</v>
      </c>
      <c r="G1793" t="str">
        <f>"LUIZ ALVES MARTINS (40)"</f>
        <v>LUIZ ALVES MARTINS (40)</v>
      </c>
      <c r="H1793" t="str">
        <f>"Serv.Prest. 25/08/2025 a 31/08/2025 - PIX: CELULAR - CHAVE: (33) 99981-6650"</f>
        <v>Serv.Prest. 25/08/2025 a 31/08/2025 - PIX: CELULAR - CHAVE: (33) 99981-6650</v>
      </c>
      <c r="I1793" t="str">
        <f t="shared" si="301"/>
        <v>11/09/2025</v>
      </c>
      <c r="J1793" t="str">
        <f t="shared" si="302"/>
        <v>02/09/2025</v>
      </c>
      <c r="K1793" t="str">
        <f>("11/09/2025")</f>
        <v>11/09/2025</v>
      </c>
      <c r="L1793">
        <v>1176</v>
      </c>
      <c r="M1793">
        <v>1176</v>
      </c>
      <c r="N1793">
        <v>109</v>
      </c>
      <c r="O1793" t="str">
        <f>"PAGAMENTO DE ENTREGADORES"</f>
        <v>PAGAMENTO DE ENTREGADORES</v>
      </c>
      <c r="P1793">
        <v>1176</v>
      </c>
      <c r="S1793" t="str">
        <f>"BANCO C6 (149)"</f>
        <v>BANCO C6 (149)</v>
      </c>
      <c r="T1793">
        <v>18132</v>
      </c>
      <c r="U1793">
        <v>21228</v>
      </c>
      <c r="V1793" t="s">
        <v>77</v>
      </c>
    </row>
    <row r="1794" spans="1:22">
      <c r="A1794" t="str">
        <f t="shared" si="297"/>
        <v>11/09/2025</v>
      </c>
      <c r="B1794" t="str">
        <f t="shared" si="298"/>
        <v>SAÍDA</v>
      </c>
      <c r="C1794" t="str">
        <f t="shared" si="299"/>
        <v>PIX</v>
      </c>
      <c r="D1794" t="str">
        <f>"21228"</f>
        <v>21228</v>
      </c>
      <c r="E1794" t="str">
        <f t="shared" si="300"/>
        <v>1</v>
      </c>
      <c r="F1794" t="str">
        <f t="shared" si="303"/>
        <v>COM</v>
      </c>
      <c r="G1794" t="str">
        <f>"LUIZ ALVES MARTINS (40)"</f>
        <v>LUIZ ALVES MARTINS (40)</v>
      </c>
      <c r="H1794" t="s">
        <v>521</v>
      </c>
      <c r="I1794" t="str">
        <f t="shared" si="301"/>
        <v>11/09/2025</v>
      </c>
      <c r="J1794" t="str">
        <f t="shared" si="302"/>
        <v>02/09/2025</v>
      </c>
      <c r="K1794">
        <v>45911</v>
      </c>
      <c r="N1794">
        <v>109</v>
      </c>
      <c r="O1794" t="s">
        <v>24</v>
      </c>
      <c r="Q1794">
        <v>1176</v>
      </c>
      <c r="R1794" t="str">
        <f>"FARMÁCIA INDIANA LJ 11 (10008)"</f>
        <v>FARMÁCIA INDIANA LJ 11 (10008)</v>
      </c>
      <c r="S1794" t="s">
        <v>77</v>
      </c>
      <c r="T1794">
        <v>18132</v>
      </c>
      <c r="U1794">
        <v>21228</v>
      </c>
      <c r="V1794" t="s">
        <v>77</v>
      </c>
    </row>
    <row r="1795" spans="1:22">
      <c r="A1795" t="str">
        <f t="shared" si="297"/>
        <v>11/09/2025</v>
      </c>
      <c r="B1795" t="str">
        <f t="shared" si="298"/>
        <v>SAÍDA</v>
      </c>
      <c r="C1795" t="str">
        <f t="shared" si="299"/>
        <v>PIX</v>
      </c>
      <c r="D1795" t="str">
        <f>"21229"</f>
        <v>21229</v>
      </c>
      <c r="E1795" t="str">
        <f t="shared" si="300"/>
        <v>1</v>
      </c>
      <c r="F1795" t="str">
        <f t="shared" si="303"/>
        <v>COM</v>
      </c>
      <c r="G1795" t="str">
        <f>"LUIZ EDUARDO VIANA BRITO (878)"</f>
        <v>LUIZ EDUARDO VIANA BRITO (878)</v>
      </c>
      <c r="H1795" t="str">
        <f>"Serv.Prest. 25/08/2025 a 31/08/2025 - PIX: CPF - CHAVE: 101.220.976-88"</f>
        <v>Serv.Prest. 25/08/2025 a 31/08/2025 - PIX: CPF - CHAVE: 101.220.976-88</v>
      </c>
      <c r="I1795" t="str">
        <f t="shared" si="301"/>
        <v>11/09/2025</v>
      </c>
      <c r="J1795" t="str">
        <f t="shared" si="302"/>
        <v>02/09/2025</v>
      </c>
      <c r="K1795" t="str">
        <f>("11/09/2025")</f>
        <v>11/09/2025</v>
      </c>
      <c r="L1795">
        <v>2444</v>
      </c>
      <c r="M1795">
        <v>2444</v>
      </c>
      <c r="N1795">
        <v>109</v>
      </c>
      <c r="O1795" t="str">
        <f>"PAGAMENTO DE ENTREGADORES"</f>
        <v>PAGAMENTO DE ENTREGADORES</v>
      </c>
      <c r="P1795">
        <v>2444</v>
      </c>
      <c r="S1795" t="str">
        <f>"BANCO C6 (149)"</f>
        <v>BANCO C6 (149)</v>
      </c>
      <c r="T1795">
        <v>18133</v>
      </c>
      <c r="U1795">
        <v>21229</v>
      </c>
      <c r="V1795" t="s">
        <v>77</v>
      </c>
    </row>
    <row r="1796" spans="1:22">
      <c r="A1796" t="str">
        <f t="shared" si="297"/>
        <v>11/09/2025</v>
      </c>
      <c r="B1796" t="str">
        <f t="shared" si="298"/>
        <v>SAÍDA</v>
      </c>
      <c r="C1796" t="str">
        <f t="shared" si="299"/>
        <v>PIX</v>
      </c>
      <c r="D1796" t="str">
        <f>"21229"</f>
        <v>21229</v>
      </c>
      <c r="E1796" t="str">
        <f t="shared" si="300"/>
        <v>1</v>
      </c>
      <c r="F1796" t="str">
        <f t="shared" si="303"/>
        <v>COM</v>
      </c>
      <c r="G1796" t="str">
        <f>"LUIZ EDUARDO VIANA BRITO (878)"</f>
        <v>LUIZ EDUARDO VIANA BRITO (878)</v>
      </c>
      <c r="H1796" t="s">
        <v>404</v>
      </c>
      <c r="I1796" t="str">
        <f t="shared" si="301"/>
        <v>11/09/2025</v>
      </c>
      <c r="J1796" t="str">
        <f t="shared" si="302"/>
        <v>02/09/2025</v>
      </c>
      <c r="K1796">
        <v>45911</v>
      </c>
      <c r="N1796">
        <v>109</v>
      </c>
      <c r="O1796" t="s">
        <v>24</v>
      </c>
      <c r="Q1796">
        <v>2444</v>
      </c>
      <c r="R1796" t="str">
        <f>"FARMÁCIA INDIANA LJ 40 (10016)"</f>
        <v>FARMÁCIA INDIANA LJ 40 (10016)</v>
      </c>
      <c r="S1796" t="s">
        <v>77</v>
      </c>
      <c r="T1796">
        <v>18133</v>
      </c>
      <c r="U1796">
        <v>21229</v>
      </c>
      <c r="V1796" t="s">
        <v>77</v>
      </c>
    </row>
    <row r="1797" spans="1:22">
      <c r="A1797" t="str">
        <f t="shared" si="297"/>
        <v>11/09/2025</v>
      </c>
      <c r="B1797" t="str">
        <f t="shared" si="298"/>
        <v>SAÍDA</v>
      </c>
      <c r="C1797" t="str">
        <f t="shared" si="299"/>
        <v>PIX</v>
      </c>
      <c r="D1797" t="str">
        <f>"21230"</f>
        <v>21230</v>
      </c>
      <c r="E1797" t="str">
        <f t="shared" si="300"/>
        <v>1</v>
      </c>
      <c r="F1797" t="str">
        <f t="shared" si="303"/>
        <v>COM</v>
      </c>
      <c r="G1797" t="str">
        <f>"LUIZ EMANUEL PINHEIRO (870)"</f>
        <v>LUIZ EMANUEL PINHEIRO (870)</v>
      </c>
      <c r="H1797" t="str">
        <f>"Serv.Prest. 25/08/2025 a 31/08/2025 - PIX: CPF - CHAVE: 129.269.326-69"</f>
        <v>Serv.Prest. 25/08/2025 a 31/08/2025 - PIX: CPF - CHAVE: 129.269.326-69</v>
      </c>
      <c r="I1797" t="str">
        <f t="shared" si="301"/>
        <v>11/09/2025</v>
      </c>
      <c r="J1797" t="str">
        <f t="shared" si="302"/>
        <v>02/09/2025</v>
      </c>
      <c r="K1797" t="str">
        <f>("11/09/2025")</f>
        <v>11/09/2025</v>
      </c>
      <c r="L1797">
        <v>680.8</v>
      </c>
      <c r="M1797">
        <v>680.8</v>
      </c>
      <c r="N1797">
        <v>109</v>
      </c>
      <c r="O1797" t="str">
        <f>"PAGAMENTO DE ENTREGADORES"</f>
        <v>PAGAMENTO DE ENTREGADORES</v>
      </c>
      <c r="P1797">
        <v>680.8</v>
      </c>
      <c r="S1797" t="str">
        <f>"BANCO C6 (149)"</f>
        <v>BANCO C6 (149)</v>
      </c>
      <c r="T1797">
        <v>18134</v>
      </c>
      <c r="U1797">
        <v>21230</v>
      </c>
      <c r="V1797" t="s">
        <v>77</v>
      </c>
    </row>
    <row r="1798" spans="1:22">
      <c r="A1798" t="str">
        <f t="shared" si="297"/>
        <v>11/09/2025</v>
      </c>
      <c r="B1798" t="str">
        <f t="shared" si="298"/>
        <v>SAÍDA</v>
      </c>
      <c r="C1798" t="str">
        <f t="shared" si="299"/>
        <v>PIX</v>
      </c>
      <c r="D1798" t="str">
        <f>"21230"</f>
        <v>21230</v>
      </c>
      <c r="E1798" t="str">
        <f t="shared" si="300"/>
        <v>1</v>
      </c>
      <c r="F1798" t="str">
        <f t="shared" si="303"/>
        <v>COM</v>
      </c>
      <c r="G1798" t="str">
        <f>"LUIZ EMANUEL PINHEIRO (870)"</f>
        <v>LUIZ EMANUEL PINHEIRO (870)</v>
      </c>
      <c r="H1798" t="s">
        <v>405</v>
      </c>
      <c r="I1798" t="str">
        <f t="shared" si="301"/>
        <v>11/09/2025</v>
      </c>
      <c r="J1798" t="str">
        <f t="shared" si="302"/>
        <v>02/09/2025</v>
      </c>
      <c r="K1798">
        <v>45911</v>
      </c>
      <c r="N1798">
        <v>109</v>
      </c>
      <c r="O1798" t="s">
        <v>24</v>
      </c>
      <c r="Q1798">
        <v>680.8</v>
      </c>
      <c r="R1798" t="str">
        <f>"FARMÁCIA INDIANA LJ 121 (10054)"</f>
        <v>FARMÁCIA INDIANA LJ 121 (10054)</v>
      </c>
      <c r="S1798" t="s">
        <v>77</v>
      </c>
      <c r="T1798">
        <v>18134</v>
      </c>
      <c r="U1798">
        <v>21230</v>
      </c>
      <c r="V1798" t="s">
        <v>77</v>
      </c>
    </row>
    <row r="1799" spans="1:22">
      <c r="A1799" t="str">
        <f t="shared" si="297"/>
        <v>11/09/2025</v>
      </c>
      <c r="B1799" t="str">
        <f t="shared" si="298"/>
        <v>SAÍDA</v>
      </c>
      <c r="C1799" t="str">
        <f t="shared" si="299"/>
        <v>PIX</v>
      </c>
      <c r="D1799" t="str">
        <f>"21231"</f>
        <v>21231</v>
      </c>
      <c r="E1799" t="str">
        <f t="shared" si="300"/>
        <v>1</v>
      </c>
      <c r="F1799" t="str">
        <f t="shared" si="303"/>
        <v>COM</v>
      </c>
      <c r="G1799" t="str">
        <f>"LUIZ FERNANDO CARVALHO ALVES (198)"</f>
        <v>LUIZ FERNANDO CARVALHO ALVES (198)</v>
      </c>
      <c r="H1799" t="str">
        <f>"Serv.Prest. 25/08/2025 a 31/08/2025 - PIX: CPF - CHAVE: 705.097.186-39"</f>
        <v>Serv.Prest. 25/08/2025 a 31/08/2025 - PIX: CPF - CHAVE: 705.097.186-39</v>
      </c>
      <c r="I1799" t="str">
        <f t="shared" si="301"/>
        <v>11/09/2025</v>
      </c>
      <c r="J1799" t="str">
        <f t="shared" si="302"/>
        <v>02/09/2025</v>
      </c>
      <c r="K1799" t="str">
        <f>("11/09/2025")</f>
        <v>11/09/2025</v>
      </c>
      <c r="L1799">
        <v>730</v>
      </c>
      <c r="M1799">
        <v>730</v>
      </c>
      <c r="N1799">
        <v>109</v>
      </c>
      <c r="O1799" t="str">
        <f>"PAGAMENTO DE ENTREGADORES"</f>
        <v>PAGAMENTO DE ENTREGADORES</v>
      </c>
      <c r="P1799">
        <v>730</v>
      </c>
      <c r="S1799" t="str">
        <f>"BANCO C6 (149)"</f>
        <v>BANCO C6 (149)</v>
      </c>
      <c r="T1799">
        <v>18135</v>
      </c>
      <c r="U1799">
        <v>21231</v>
      </c>
      <c r="V1799" t="s">
        <v>77</v>
      </c>
    </row>
    <row r="1800" spans="1:22">
      <c r="A1800" t="str">
        <f t="shared" si="297"/>
        <v>11/09/2025</v>
      </c>
      <c r="B1800" t="str">
        <f t="shared" si="298"/>
        <v>SAÍDA</v>
      </c>
      <c r="C1800" t="str">
        <f t="shared" si="299"/>
        <v>PIX</v>
      </c>
      <c r="D1800" t="str">
        <f>"21231"</f>
        <v>21231</v>
      </c>
      <c r="E1800" t="str">
        <f t="shared" si="300"/>
        <v>1</v>
      </c>
      <c r="F1800" t="str">
        <f t="shared" si="303"/>
        <v>COM</v>
      </c>
      <c r="G1800" t="str">
        <f>"LUIZ FERNANDO CARVALHO ALVES (198)"</f>
        <v>LUIZ FERNANDO CARVALHO ALVES (198)</v>
      </c>
      <c r="H1800" t="s">
        <v>406</v>
      </c>
      <c r="I1800" t="str">
        <f t="shared" si="301"/>
        <v>11/09/2025</v>
      </c>
      <c r="J1800" t="str">
        <f t="shared" si="302"/>
        <v>02/09/2025</v>
      </c>
      <c r="K1800">
        <v>45911</v>
      </c>
      <c r="N1800">
        <v>109</v>
      </c>
      <c r="O1800" t="s">
        <v>24</v>
      </c>
      <c r="Q1800">
        <v>730</v>
      </c>
      <c r="R1800" t="str">
        <f>"FARMÁCIA INDIANA LJ 171 (10074)"</f>
        <v>FARMÁCIA INDIANA LJ 171 (10074)</v>
      </c>
      <c r="S1800" t="s">
        <v>77</v>
      </c>
      <c r="T1800">
        <v>18135</v>
      </c>
      <c r="U1800">
        <v>21231</v>
      </c>
      <c r="V1800" t="s">
        <v>77</v>
      </c>
    </row>
    <row r="1801" spans="1:22">
      <c r="A1801" t="str">
        <f t="shared" si="297"/>
        <v>11/09/2025</v>
      </c>
      <c r="B1801" t="str">
        <f t="shared" si="298"/>
        <v>SAÍDA</v>
      </c>
      <c r="C1801" t="str">
        <f t="shared" si="299"/>
        <v>PIX</v>
      </c>
      <c r="D1801" t="str">
        <f>"21232"</f>
        <v>21232</v>
      </c>
      <c r="E1801" t="str">
        <f t="shared" si="300"/>
        <v>1</v>
      </c>
      <c r="F1801" t="str">
        <f t="shared" si="303"/>
        <v>COM</v>
      </c>
      <c r="G1801" t="str">
        <f>"MAICON HENRIQUE FERREIRA DOS SANTOS (759)"</f>
        <v>MAICON HENRIQUE FERREIRA DOS SANTOS (759)</v>
      </c>
      <c r="H1801" t="str">
        <f>"Serv.Prest. 25/08/2025 a 31/08/2025 - PIX: CELULAR - CHAVE: (31) 98412-5118"</f>
        <v>Serv.Prest. 25/08/2025 a 31/08/2025 - PIX: CELULAR - CHAVE: (31) 98412-5118</v>
      </c>
      <c r="I1801" t="str">
        <f t="shared" si="301"/>
        <v>11/09/2025</v>
      </c>
      <c r="J1801" t="str">
        <f t="shared" si="302"/>
        <v>02/09/2025</v>
      </c>
      <c r="K1801" t="str">
        <f>("11/09/2025")</f>
        <v>11/09/2025</v>
      </c>
      <c r="L1801">
        <v>1606</v>
      </c>
      <c r="M1801">
        <v>1606</v>
      </c>
      <c r="N1801">
        <v>109</v>
      </c>
      <c r="O1801" t="str">
        <f>"PAGAMENTO DE ENTREGADORES"</f>
        <v>PAGAMENTO DE ENTREGADORES</v>
      </c>
      <c r="P1801">
        <v>1606</v>
      </c>
      <c r="S1801" t="str">
        <f>"BANCO C6 (149)"</f>
        <v>BANCO C6 (149)</v>
      </c>
      <c r="T1801">
        <v>18136</v>
      </c>
      <c r="U1801">
        <v>21232</v>
      </c>
      <c r="V1801" t="s">
        <v>77</v>
      </c>
    </row>
    <row r="1802" spans="1:22">
      <c r="A1802" t="str">
        <f t="shared" si="297"/>
        <v>11/09/2025</v>
      </c>
      <c r="B1802" t="str">
        <f t="shared" si="298"/>
        <v>SAÍDA</v>
      </c>
      <c r="C1802" t="str">
        <f t="shared" si="299"/>
        <v>PIX</v>
      </c>
      <c r="D1802" t="str">
        <f>"21232"</f>
        <v>21232</v>
      </c>
      <c r="E1802" t="str">
        <f t="shared" si="300"/>
        <v>1</v>
      </c>
      <c r="F1802" t="str">
        <f t="shared" si="303"/>
        <v>COM</v>
      </c>
      <c r="G1802" t="str">
        <f>"MAICON HENRIQUE FERREIRA DOS SANTOS (759)"</f>
        <v>MAICON HENRIQUE FERREIRA DOS SANTOS (759)</v>
      </c>
      <c r="H1802" t="s">
        <v>408</v>
      </c>
      <c r="I1802" t="str">
        <f t="shared" si="301"/>
        <v>11/09/2025</v>
      </c>
      <c r="J1802" t="str">
        <f t="shared" si="302"/>
        <v>02/09/2025</v>
      </c>
      <c r="K1802">
        <v>45911</v>
      </c>
      <c r="N1802">
        <v>109</v>
      </c>
      <c r="O1802" t="s">
        <v>24</v>
      </c>
      <c r="Q1802">
        <v>1606</v>
      </c>
      <c r="R1802" t="str">
        <f>"FARMÁCIA INDIANA LJ 101 (10043)"</f>
        <v>FARMÁCIA INDIANA LJ 101 (10043)</v>
      </c>
      <c r="S1802" t="s">
        <v>77</v>
      </c>
      <c r="T1802">
        <v>18136</v>
      </c>
      <c r="U1802">
        <v>21232</v>
      </c>
      <c r="V1802" t="s">
        <v>77</v>
      </c>
    </row>
    <row r="1803" spans="1:22">
      <c r="A1803" t="str">
        <f t="shared" si="297"/>
        <v>11/09/2025</v>
      </c>
      <c r="B1803" t="str">
        <f t="shared" si="298"/>
        <v>SAÍDA</v>
      </c>
      <c r="C1803" t="str">
        <f t="shared" si="299"/>
        <v>PIX</v>
      </c>
      <c r="D1803" t="str">
        <f>"21233"</f>
        <v>21233</v>
      </c>
      <c r="E1803" t="str">
        <f t="shared" si="300"/>
        <v>1</v>
      </c>
      <c r="F1803" t="str">
        <f t="shared" si="303"/>
        <v>COM</v>
      </c>
      <c r="G1803" t="str">
        <f>"MARCIO CLAUDIO DE ARAUJO (204)"</f>
        <v>MARCIO CLAUDIO DE ARAUJO (204)</v>
      </c>
      <c r="H1803" t="str">
        <f>"Serv.Prest. 25/08/2025 a 31/08/2025 - PIX: CELULAR - CHAVE: (33) 98427-3872"</f>
        <v>Serv.Prest. 25/08/2025 a 31/08/2025 - PIX: CELULAR - CHAVE: (33) 98427-3872</v>
      </c>
      <c r="I1803" t="str">
        <f t="shared" si="301"/>
        <v>11/09/2025</v>
      </c>
      <c r="J1803" t="str">
        <f t="shared" si="302"/>
        <v>02/09/2025</v>
      </c>
      <c r="K1803" t="str">
        <f>("11/09/2025")</f>
        <v>11/09/2025</v>
      </c>
      <c r="L1803">
        <v>997.5</v>
      </c>
      <c r="M1803">
        <v>997.5</v>
      </c>
      <c r="N1803">
        <v>109</v>
      </c>
      <c r="O1803" t="str">
        <f>"PAGAMENTO DE ENTREGADORES"</f>
        <v>PAGAMENTO DE ENTREGADORES</v>
      </c>
      <c r="P1803">
        <v>997.5</v>
      </c>
      <c r="S1803" t="str">
        <f>"BANCO C6 (149)"</f>
        <v>BANCO C6 (149)</v>
      </c>
      <c r="T1803">
        <v>18137</v>
      </c>
      <c r="U1803">
        <v>21233</v>
      </c>
      <c r="V1803" t="s">
        <v>77</v>
      </c>
    </row>
    <row r="1804" spans="1:22">
      <c r="A1804" t="str">
        <f t="shared" ref="A1804:A1867" si="304">("11/09/2025")</f>
        <v>11/09/2025</v>
      </c>
      <c r="B1804" t="str">
        <f t="shared" si="298"/>
        <v>SAÍDA</v>
      </c>
      <c r="C1804" t="str">
        <f t="shared" si="299"/>
        <v>PIX</v>
      </c>
      <c r="D1804" t="str">
        <f>"21233"</f>
        <v>21233</v>
      </c>
      <c r="E1804" t="str">
        <f t="shared" si="300"/>
        <v>1</v>
      </c>
      <c r="F1804" t="str">
        <f t="shared" si="303"/>
        <v>COM</v>
      </c>
      <c r="G1804" t="str">
        <f>"MARCIO CLAUDIO DE ARAUJO (204)"</f>
        <v>MARCIO CLAUDIO DE ARAUJO (204)</v>
      </c>
      <c r="H1804" t="s">
        <v>409</v>
      </c>
      <c r="I1804" t="str">
        <f t="shared" si="301"/>
        <v>11/09/2025</v>
      </c>
      <c r="J1804" t="str">
        <f t="shared" si="302"/>
        <v>02/09/2025</v>
      </c>
      <c r="K1804">
        <v>45911</v>
      </c>
      <c r="N1804">
        <v>109</v>
      </c>
      <c r="O1804" t="s">
        <v>24</v>
      </c>
      <c r="Q1804">
        <v>997.5</v>
      </c>
      <c r="R1804" t="str">
        <f>"FARMÁCIA INDIANA LJ 06 (10006)"</f>
        <v>FARMÁCIA INDIANA LJ 06 (10006)</v>
      </c>
      <c r="S1804" t="s">
        <v>77</v>
      </c>
      <c r="T1804">
        <v>18137</v>
      </c>
      <c r="U1804">
        <v>21233</v>
      </c>
      <c r="V1804" t="s">
        <v>77</v>
      </c>
    </row>
    <row r="1805" spans="1:22">
      <c r="A1805" t="str">
        <f t="shared" si="304"/>
        <v>11/09/2025</v>
      </c>
      <c r="B1805" t="str">
        <f t="shared" si="298"/>
        <v>SAÍDA</v>
      </c>
      <c r="C1805" t="str">
        <f t="shared" si="299"/>
        <v>PIX</v>
      </c>
      <c r="D1805" t="str">
        <f>"21234"</f>
        <v>21234</v>
      </c>
      <c r="E1805" t="str">
        <f t="shared" si="300"/>
        <v>1</v>
      </c>
      <c r="F1805" t="str">
        <f t="shared" si="303"/>
        <v>COM</v>
      </c>
      <c r="G1805" t="str">
        <f>"MARCOS DIONI RODRIGUES GASPAR (506)"</f>
        <v>MARCOS DIONI RODRIGUES GASPAR (506)</v>
      </c>
      <c r="H1805" t="str">
        <f>"Serv.Prest. 25/08/2025 a 31/08/2025 - PIX: CELULAR - CHAVE: (33) 99815-2379"</f>
        <v>Serv.Prest. 25/08/2025 a 31/08/2025 - PIX: CELULAR - CHAVE: (33) 99815-2379</v>
      </c>
      <c r="I1805" t="str">
        <f t="shared" si="301"/>
        <v>11/09/2025</v>
      </c>
      <c r="J1805" t="str">
        <f t="shared" si="302"/>
        <v>02/09/2025</v>
      </c>
      <c r="K1805" t="str">
        <f>("11/09/2025")</f>
        <v>11/09/2025</v>
      </c>
      <c r="L1805">
        <v>970</v>
      </c>
      <c r="M1805">
        <v>970</v>
      </c>
      <c r="N1805">
        <v>109</v>
      </c>
      <c r="O1805" t="str">
        <f>"PAGAMENTO DE ENTREGADORES"</f>
        <v>PAGAMENTO DE ENTREGADORES</v>
      </c>
      <c r="P1805">
        <v>970</v>
      </c>
      <c r="S1805" t="str">
        <f>"BANCO C6 (149)"</f>
        <v>BANCO C6 (149)</v>
      </c>
      <c r="T1805">
        <v>18138</v>
      </c>
      <c r="U1805">
        <v>21234</v>
      </c>
      <c r="V1805" t="s">
        <v>77</v>
      </c>
    </row>
    <row r="1806" spans="1:22">
      <c r="A1806" t="str">
        <f t="shared" si="304"/>
        <v>11/09/2025</v>
      </c>
      <c r="B1806" t="str">
        <f t="shared" ref="B1806:B1869" si="305">"SAÍDA"</f>
        <v>SAÍDA</v>
      </c>
      <c r="C1806" t="str">
        <f t="shared" ref="C1806:C1869" si="306">"PIX"</f>
        <v>PIX</v>
      </c>
      <c r="D1806" t="str">
        <f>"21234"</f>
        <v>21234</v>
      </c>
      <c r="E1806" t="str">
        <f t="shared" si="300"/>
        <v>1</v>
      </c>
      <c r="F1806" t="str">
        <f t="shared" si="303"/>
        <v>COM</v>
      </c>
      <c r="G1806" t="str">
        <f>"MARCOS DIONI RODRIGUES GASPAR (506)"</f>
        <v>MARCOS DIONI RODRIGUES GASPAR (506)</v>
      </c>
      <c r="H1806" t="s">
        <v>410</v>
      </c>
      <c r="I1806" t="str">
        <f t="shared" si="301"/>
        <v>11/09/2025</v>
      </c>
      <c r="J1806" t="str">
        <f t="shared" si="302"/>
        <v>02/09/2025</v>
      </c>
      <c r="K1806">
        <v>45911</v>
      </c>
      <c r="N1806">
        <v>109</v>
      </c>
      <c r="O1806" t="s">
        <v>24</v>
      </c>
      <c r="Q1806">
        <v>970</v>
      </c>
      <c r="R1806" t="str">
        <f>"FARMÁCIA INDIANA LJ 06 (10006)"</f>
        <v>FARMÁCIA INDIANA LJ 06 (10006)</v>
      </c>
      <c r="S1806" t="s">
        <v>77</v>
      </c>
      <c r="T1806">
        <v>18138</v>
      </c>
      <c r="U1806">
        <v>21234</v>
      </c>
      <c r="V1806" t="s">
        <v>77</v>
      </c>
    </row>
    <row r="1807" spans="1:22">
      <c r="A1807" t="str">
        <f t="shared" si="304"/>
        <v>11/09/2025</v>
      </c>
      <c r="B1807" t="str">
        <f t="shared" si="305"/>
        <v>SAÍDA</v>
      </c>
      <c r="C1807" t="str">
        <f t="shared" si="306"/>
        <v>PIX</v>
      </c>
      <c r="D1807" t="str">
        <f>"21235"</f>
        <v>21235</v>
      </c>
      <c r="E1807" t="str">
        <f t="shared" si="300"/>
        <v>1</v>
      </c>
      <c r="F1807" t="str">
        <f t="shared" si="303"/>
        <v>COM</v>
      </c>
      <c r="G1807" t="str">
        <f>"MARCOS RODRIGUES PENA (64)"</f>
        <v>MARCOS RODRIGUES PENA (64)</v>
      </c>
      <c r="H1807" t="str">
        <f>"Serv.Prest. 25/08/2025 a 31/08/2025 - PIX: CELULAR - CHAVE: (33) 99194-2339"</f>
        <v>Serv.Prest. 25/08/2025 a 31/08/2025 - PIX: CELULAR - CHAVE: (33) 99194-2339</v>
      </c>
      <c r="I1807" t="str">
        <f t="shared" si="301"/>
        <v>11/09/2025</v>
      </c>
      <c r="J1807" t="str">
        <f t="shared" si="302"/>
        <v>02/09/2025</v>
      </c>
      <c r="K1807" t="str">
        <f>("11/09/2025")</f>
        <v>11/09/2025</v>
      </c>
      <c r="L1807">
        <v>582.5</v>
      </c>
      <c r="M1807">
        <v>582.5</v>
      </c>
      <c r="N1807">
        <v>109</v>
      </c>
      <c r="O1807" t="str">
        <f>"PAGAMENTO DE ENTREGADORES"</f>
        <v>PAGAMENTO DE ENTREGADORES</v>
      </c>
      <c r="P1807">
        <v>582.5</v>
      </c>
      <c r="S1807" t="str">
        <f>"BANCO C6 (149)"</f>
        <v>BANCO C6 (149)</v>
      </c>
      <c r="T1807">
        <v>18139</v>
      </c>
      <c r="U1807">
        <v>21235</v>
      </c>
      <c r="V1807" t="s">
        <v>77</v>
      </c>
    </row>
    <row r="1808" spans="1:22">
      <c r="A1808" t="str">
        <f t="shared" si="304"/>
        <v>11/09/2025</v>
      </c>
      <c r="B1808" t="str">
        <f t="shared" si="305"/>
        <v>SAÍDA</v>
      </c>
      <c r="C1808" t="str">
        <f t="shared" si="306"/>
        <v>PIX</v>
      </c>
      <c r="D1808" t="str">
        <f>"21235"</f>
        <v>21235</v>
      </c>
      <c r="E1808" t="str">
        <f t="shared" si="300"/>
        <v>1</v>
      </c>
      <c r="F1808" t="str">
        <f t="shared" si="303"/>
        <v>COM</v>
      </c>
      <c r="G1808" t="str">
        <f>"MARCOS RODRIGUES PENA (64)"</f>
        <v>MARCOS RODRIGUES PENA (64)</v>
      </c>
      <c r="H1808" t="s">
        <v>254</v>
      </c>
      <c r="I1808" t="str">
        <f t="shared" si="301"/>
        <v>11/09/2025</v>
      </c>
      <c r="J1808" t="str">
        <f t="shared" si="302"/>
        <v>02/09/2025</v>
      </c>
      <c r="K1808">
        <v>45911</v>
      </c>
      <c r="N1808">
        <v>109</v>
      </c>
      <c r="O1808" t="s">
        <v>24</v>
      </c>
      <c r="Q1808">
        <v>582.5</v>
      </c>
      <c r="R1808" t="str">
        <f>"FARMÁCIA INDIANA LJ 62 (10028)"</f>
        <v>FARMÁCIA INDIANA LJ 62 (10028)</v>
      </c>
      <c r="S1808" t="s">
        <v>77</v>
      </c>
      <c r="T1808">
        <v>18139</v>
      </c>
      <c r="U1808">
        <v>21235</v>
      </c>
      <c r="V1808" t="s">
        <v>77</v>
      </c>
    </row>
    <row r="1809" spans="1:22">
      <c r="A1809" t="str">
        <f t="shared" si="304"/>
        <v>11/09/2025</v>
      </c>
      <c r="B1809" t="str">
        <f t="shared" si="305"/>
        <v>SAÍDA</v>
      </c>
      <c r="C1809" t="str">
        <f t="shared" si="306"/>
        <v>PIX</v>
      </c>
      <c r="D1809" t="str">
        <f>"21238"</f>
        <v>21238</v>
      </c>
      <c r="E1809" t="str">
        <f t="shared" si="300"/>
        <v>1</v>
      </c>
      <c r="F1809" t="str">
        <f t="shared" si="303"/>
        <v>COM</v>
      </c>
      <c r="G1809" t="str">
        <f>"MATHEUS VIEIRA DA SILVA (886)"</f>
        <v>MATHEUS VIEIRA DA SILVA (886)</v>
      </c>
      <c r="H1809" t="str">
        <f>"Serv.Prest. 25/08/2025 a 31/08/2025 - PIX: E-MAIL - CHAVE: meamatheusvieira@gmail.com"</f>
        <v>Serv.Prest. 25/08/2025 a 31/08/2025 - PIX: E-MAIL - CHAVE: meamatheusvieira@gmail.com</v>
      </c>
      <c r="I1809" t="str">
        <f t="shared" si="301"/>
        <v>11/09/2025</v>
      </c>
      <c r="J1809" t="str">
        <f t="shared" si="302"/>
        <v>02/09/2025</v>
      </c>
      <c r="K1809" t="str">
        <f>("11/09/2025")</f>
        <v>11/09/2025</v>
      </c>
      <c r="L1809">
        <v>277.66000000000003</v>
      </c>
      <c r="M1809">
        <v>277.66000000000003</v>
      </c>
      <c r="N1809">
        <v>109</v>
      </c>
      <c r="O1809" t="str">
        <f>"PAGAMENTO DE ENTREGADORES"</f>
        <v>PAGAMENTO DE ENTREGADORES</v>
      </c>
      <c r="P1809">
        <v>277.66000000000003</v>
      </c>
      <c r="S1809" t="str">
        <f>"BANCO C6 (149)"</f>
        <v>BANCO C6 (149)</v>
      </c>
      <c r="T1809">
        <v>18140</v>
      </c>
      <c r="U1809">
        <v>21238</v>
      </c>
      <c r="V1809" t="s">
        <v>77</v>
      </c>
    </row>
    <row r="1810" spans="1:22">
      <c r="A1810" t="str">
        <f t="shared" si="304"/>
        <v>11/09/2025</v>
      </c>
      <c r="B1810" t="str">
        <f t="shared" si="305"/>
        <v>SAÍDA</v>
      </c>
      <c r="C1810" t="str">
        <f t="shared" si="306"/>
        <v>PIX</v>
      </c>
      <c r="D1810" t="str">
        <f>"21238"</f>
        <v>21238</v>
      </c>
      <c r="E1810" t="str">
        <f t="shared" si="300"/>
        <v>1</v>
      </c>
      <c r="F1810" t="str">
        <f t="shared" si="303"/>
        <v>COM</v>
      </c>
      <c r="G1810" t="str">
        <f>"MATHEUS VIEIRA DA SILVA (886)"</f>
        <v>MATHEUS VIEIRA DA SILVA (886)</v>
      </c>
      <c r="H1810" t="s">
        <v>414</v>
      </c>
      <c r="I1810" t="str">
        <f t="shared" si="301"/>
        <v>11/09/2025</v>
      </c>
      <c r="J1810" t="str">
        <f t="shared" si="302"/>
        <v>02/09/2025</v>
      </c>
      <c r="K1810">
        <v>45911</v>
      </c>
      <c r="N1810">
        <v>109</v>
      </c>
      <c r="O1810" t="s">
        <v>24</v>
      </c>
      <c r="Q1810">
        <v>277.66000000000003</v>
      </c>
      <c r="R1810" t="str">
        <f>"FARMÁCIA INDIANA LJ 07 (10007)"</f>
        <v>FARMÁCIA INDIANA LJ 07 (10007)</v>
      </c>
      <c r="S1810" t="s">
        <v>77</v>
      </c>
      <c r="T1810">
        <v>18140</v>
      </c>
      <c r="U1810">
        <v>21238</v>
      </c>
      <c r="V1810" t="s">
        <v>77</v>
      </c>
    </row>
    <row r="1811" spans="1:22">
      <c r="A1811" t="str">
        <f t="shared" si="304"/>
        <v>11/09/2025</v>
      </c>
      <c r="B1811" t="str">
        <f t="shared" si="305"/>
        <v>SAÍDA</v>
      </c>
      <c r="C1811" t="str">
        <f t="shared" si="306"/>
        <v>PIX</v>
      </c>
      <c r="D1811" t="str">
        <f>"21239"</f>
        <v>21239</v>
      </c>
      <c r="E1811" t="str">
        <f t="shared" si="300"/>
        <v>1</v>
      </c>
      <c r="F1811" t="str">
        <f t="shared" si="303"/>
        <v>COM</v>
      </c>
      <c r="G1811" t="str">
        <f>"MAURO AUGUSTO MACHADO DE ASSIS (767)"</f>
        <v>MAURO AUGUSTO MACHADO DE ASSIS (767)</v>
      </c>
      <c r="H1811" t="str">
        <f>"Serv.Prest. 25/08/2025 a 31/08/2025 - PIX: CPF - CHAVE: 163.330.766-27"</f>
        <v>Serv.Prest. 25/08/2025 a 31/08/2025 - PIX: CPF - CHAVE: 163.330.766-27</v>
      </c>
      <c r="I1811" t="str">
        <f t="shared" si="301"/>
        <v>11/09/2025</v>
      </c>
      <c r="J1811" t="str">
        <f t="shared" si="302"/>
        <v>02/09/2025</v>
      </c>
      <c r="K1811" t="str">
        <f>("11/09/2025")</f>
        <v>11/09/2025</v>
      </c>
      <c r="L1811">
        <v>1480</v>
      </c>
      <c r="M1811">
        <v>1480</v>
      </c>
      <c r="N1811">
        <v>109</v>
      </c>
      <c r="O1811" t="str">
        <f>"PAGAMENTO DE ENTREGADORES"</f>
        <v>PAGAMENTO DE ENTREGADORES</v>
      </c>
      <c r="P1811">
        <v>1480</v>
      </c>
      <c r="S1811" t="str">
        <f>"BANCO C6 (149)"</f>
        <v>BANCO C6 (149)</v>
      </c>
      <c r="T1811">
        <v>18141</v>
      </c>
      <c r="U1811">
        <v>21239</v>
      </c>
      <c r="V1811" t="s">
        <v>77</v>
      </c>
    </row>
    <row r="1812" spans="1:22">
      <c r="A1812" t="str">
        <f t="shared" si="304"/>
        <v>11/09/2025</v>
      </c>
      <c r="B1812" t="str">
        <f t="shared" si="305"/>
        <v>SAÍDA</v>
      </c>
      <c r="C1812" t="str">
        <f t="shared" si="306"/>
        <v>PIX</v>
      </c>
      <c r="D1812" t="str">
        <f>"21239"</f>
        <v>21239</v>
      </c>
      <c r="E1812" t="str">
        <f t="shared" ref="E1812:E1875" si="307">"1"</f>
        <v>1</v>
      </c>
      <c r="F1812" t="str">
        <f t="shared" si="303"/>
        <v>COM</v>
      </c>
      <c r="G1812" t="str">
        <f>"MAURO AUGUSTO MACHADO DE ASSIS (767)"</f>
        <v>MAURO AUGUSTO MACHADO DE ASSIS (767)</v>
      </c>
      <c r="H1812" t="s">
        <v>415</v>
      </c>
      <c r="I1812" t="str">
        <f t="shared" si="301"/>
        <v>11/09/2025</v>
      </c>
      <c r="J1812" t="str">
        <f t="shared" si="302"/>
        <v>02/09/2025</v>
      </c>
      <c r="K1812">
        <v>45911</v>
      </c>
      <c r="N1812">
        <v>109</v>
      </c>
      <c r="O1812" t="s">
        <v>24</v>
      </c>
      <c r="Q1812">
        <v>520.96</v>
      </c>
      <c r="R1812" t="str">
        <f>"FARMÁCIA INDIANA LJ 11 (10008)"</f>
        <v>FARMÁCIA INDIANA LJ 11 (10008)</v>
      </c>
      <c r="S1812" t="s">
        <v>77</v>
      </c>
      <c r="T1812">
        <v>18141</v>
      </c>
      <c r="U1812">
        <v>21239</v>
      </c>
      <c r="V1812" t="s">
        <v>77</v>
      </c>
    </row>
    <row r="1813" spans="1:22">
      <c r="A1813" t="str">
        <f t="shared" si="304"/>
        <v>11/09/2025</v>
      </c>
      <c r="B1813" t="str">
        <f t="shared" si="305"/>
        <v>SAÍDA</v>
      </c>
      <c r="C1813" t="str">
        <f t="shared" si="306"/>
        <v>PIX</v>
      </c>
      <c r="D1813" t="str">
        <f>"21239"</f>
        <v>21239</v>
      </c>
      <c r="E1813" t="str">
        <f t="shared" si="307"/>
        <v>1</v>
      </c>
      <c r="F1813" t="str">
        <f t="shared" si="303"/>
        <v>COM</v>
      </c>
      <c r="G1813" t="str">
        <f>"MAURO AUGUSTO MACHADO DE ASSIS (767)"</f>
        <v>MAURO AUGUSTO MACHADO DE ASSIS (767)</v>
      </c>
      <c r="H1813" t="s">
        <v>415</v>
      </c>
      <c r="I1813" t="str">
        <f t="shared" si="301"/>
        <v>11/09/2025</v>
      </c>
      <c r="J1813" t="str">
        <f t="shared" si="302"/>
        <v>02/09/2025</v>
      </c>
      <c r="K1813">
        <v>45911</v>
      </c>
      <c r="N1813">
        <v>109</v>
      </c>
      <c r="O1813" t="s">
        <v>24</v>
      </c>
      <c r="Q1813">
        <v>959.04</v>
      </c>
      <c r="R1813" t="str">
        <f>"FARMÁCIA INDIANA LJ 172 (10161)"</f>
        <v>FARMÁCIA INDIANA LJ 172 (10161)</v>
      </c>
      <c r="S1813" t="s">
        <v>77</v>
      </c>
      <c r="T1813">
        <v>18141</v>
      </c>
      <c r="U1813">
        <v>21239</v>
      </c>
      <c r="V1813" t="s">
        <v>77</v>
      </c>
    </row>
    <row r="1814" spans="1:22">
      <c r="A1814" t="str">
        <f t="shared" si="304"/>
        <v>11/09/2025</v>
      </c>
      <c r="B1814" t="str">
        <f t="shared" si="305"/>
        <v>SAÍDA</v>
      </c>
      <c r="C1814" t="str">
        <f t="shared" si="306"/>
        <v>PIX</v>
      </c>
      <c r="D1814" t="str">
        <f>"21240"</f>
        <v>21240</v>
      </c>
      <c r="E1814" t="str">
        <f t="shared" si="307"/>
        <v>1</v>
      </c>
      <c r="F1814" t="str">
        <f t="shared" si="303"/>
        <v>COM</v>
      </c>
      <c r="G1814" t="str">
        <f>"MAXWEL BORGES PIRES (733)"</f>
        <v>MAXWEL BORGES PIRES (733)</v>
      </c>
      <c r="H1814" t="str">
        <f>"Serv.Prest. 25/08/2025 a 31/08/2025 - PIX: E-MAIL - CHAVE: maxwel.borges14@gmail.com"</f>
        <v>Serv.Prest. 25/08/2025 a 31/08/2025 - PIX: E-MAIL - CHAVE: maxwel.borges14@gmail.com</v>
      </c>
      <c r="I1814" t="str">
        <f t="shared" si="301"/>
        <v>11/09/2025</v>
      </c>
      <c r="J1814" t="str">
        <f t="shared" si="302"/>
        <v>02/09/2025</v>
      </c>
      <c r="K1814" t="str">
        <f>("11/09/2025")</f>
        <v>11/09/2025</v>
      </c>
      <c r="L1814">
        <v>91.66</v>
      </c>
      <c r="M1814">
        <v>91.66</v>
      </c>
      <c r="N1814">
        <v>109</v>
      </c>
      <c r="O1814" t="str">
        <f>"PAGAMENTO DE ENTREGADORES"</f>
        <v>PAGAMENTO DE ENTREGADORES</v>
      </c>
      <c r="P1814">
        <v>91.66</v>
      </c>
      <c r="S1814" t="str">
        <f>"BANCO C6 (149)"</f>
        <v>BANCO C6 (149)</v>
      </c>
      <c r="T1814">
        <v>18142</v>
      </c>
      <c r="U1814">
        <v>21240</v>
      </c>
      <c r="V1814" t="s">
        <v>77</v>
      </c>
    </row>
    <row r="1815" spans="1:22">
      <c r="A1815" t="str">
        <f t="shared" si="304"/>
        <v>11/09/2025</v>
      </c>
      <c r="B1815" t="str">
        <f t="shared" si="305"/>
        <v>SAÍDA</v>
      </c>
      <c r="C1815" t="str">
        <f t="shared" si="306"/>
        <v>PIX</v>
      </c>
      <c r="D1815" t="str">
        <f>"21240"</f>
        <v>21240</v>
      </c>
      <c r="E1815" t="str">
        <f t="shared" si="307"/>
        <v>1</v>
      </c>
      <c r="F1815" t="str">
        <f t="shared" si="303"/>
        <v>COM</v>
      </c>
      <c r="G1815" t="str">
        <f>"MAXWEL BORGES PIRES (733)"</f>
        <v>MAXWEL BORGES PIRES (733)</v>
      </c>
      <c r="H1815" t="s">
        <v>416</v>
      </c>
      <c r="I1815" t="str">
        <f t="shared" ref="I1815:I1878" si="308">("11/09/2025")</f>
        <v>11/09/2025</v>
      </c>
      <c r="J1815" t="str">
        <f t="shared" ref="J1815:J1878" si="309">("02/09/2025")</f>
        <v>02/09/2025</v>
      </c>
      <c r="K1815">
        <v>45911</v>
      </c>
      <c r="N1815">
        <v>109</v>
      </c>
      <c r="O1815" t="s">
        <v>24</v>
      </c>
      <c r="Q1815">
        <v>91.66</v>
      </c>
      <c r="R1815" t="str">
        <f>"FARMÁCIA INDIANA LJ 07 (10007)"</f>
        <v>FARMÁCIA INDIANA LJ 07 (10007)</v>
      </c>
      <c r="S1815" t="s">
        <v>77</v>
      </c>
      <c r="T1815">
        <v>18142</v>
      </c>
      <c r="U1815">
        <v>21240</v>
      </c>
      <c r="V1815" t="s">
        <v>77</v>
      </c>
    </row>
    <row r="1816" spans="1:22">
      <c r="A1816" t="str">
        <f t="shared" si="304"/>
        <v>11/09/2025</v>
      </c>
      <c r="B1816" t="str">
        <f t="shared" si="305"/>
        <v>SAÍDA</v>
      </c>
      <c r="C1816" t="str">
        <f t="shared" si="306"/>
        <v>PIX</v>
      </c>
      <c r="D1816" t="str">
        <f>"21241"</f>
        <v>21241</v>
      </c>
      <c r="E1816" t="str">
        <f t="shared" si="307"/>
        <v>1</v>
      </c>
      <c r="F1816" t="str">
        <f t="shared" si="303"/>
        <v>COM</v>
      </c>
      <c r="G1816" t="str">
        <f>"MAYCON GUILHERME DUARTE (541)"</f>
        <v>MAYCON GUILHERME DUARTE (541)</v>
      </c>
      <c r="H1816" t="str">
        <f>"Serv.Prest. 25/08/2025 a 31/08/2025 - PIX: CELULAR - CHAVE: (31) 99076-6539"</f>
        <v>Serv.Prest. 25/08/2025 a 31/08/2025 - PIX: CELULAR - CHAVE: (31) 99076-6539</v>
      </c>
      <c r="I1816" t="str">
        <f t="shared" si="308"/>
        <v>11/09/2025</v>
      </c>
      <c r="J1816" t="str">
        <f t="shared" si="309"/>
        <v>02/09/2025</v>
      </c>
      <c r="K1816" t="str">
        <f>("11/09/2025")</f>
        <v>11/09/2025</v>
      </c>
      <c r="L1816">
        <v>1108</v>
      </c>
      <c r="M1816">
        <v>1108</v>
      </c>
      <c r="N1816">
        <v>109</v>
      </c>
      <c r="O1816" t="str">
        <f>"PAGAMENTO DE ENTREGADORES"</f>
        <v>PAGAMENTO DE ENTREGADORES</v>
      </c>
      <c r="P1816">
        <v>1108</v>
      </c>
      <c r="S1816" t="str">
        <f>"BANCO C6 (149)"</f>
        <v>BANCO C6 (149)</v>
      </c>
      <c r="T1816">
        <v>18143</v>
      </c>
      <c r="U1816">
        <v>21241</v>
      </c>
      <c r="V1816" t="s">
        <v>77</v>
      </c>
    </row>
    <row r="1817" spans="1:22">
      <c r="A1817" t="str">
        <f t="shared" si="304"/>
        <v>11/09/2025</v>
      </c>
      <c r="B1817" t="str">
        <f t="shared" si="305"/>
        <v>SAÍDA</v>
      </c>
      <c r="C1817" t="str">
        <f t="shared" si="306"/>
        <v>PIX</v>
      </c>
      <c r="D1817" t="str">
        <f>"21241"</f>
        <v>21241</v>
      </c>
      <c r="E1817" t="str">
        <f t="shared" si="307"/>
        <v>1</v>
      </c>
      <c r="F1817" t="str">
        <f t="shared" si="303"/>
        <v>COM</v>
      </c>
      <c r="G1817" t="str">
        <f>"MAYCON GUILHERME DUARTE (541)"</f>
        <v>MAYCON GUILHERME DUARTE (541)</v>
      </c>
      <c r="H1817" t="s">
        <v>417</v>
      </c>
      <c r="I1817" t="str">
        <f t="shared" si="308"/>
        <v>11/09/2025</v>
      </c>
      <c r="J1817" t="str">
        <f t="shared" si="309"/>
        <v>02/09/2025</v>
      </c>
      <c r="K1817">
        <v>45911</v>
      </c>
      <c r="N1817">
        <v>109</v>
      </c>
      <c r="O1817" t="s">
        <v>24</v>
      </c>
      <c r="Q1817">
        <v>1108</v>
      </c>
      <c r="R1817" t="str">
        <f>"FARMÁCIA INDIANA LJ 220 (10092)"</f>
        <v>FARMÁCIA INDIANA LJ 220 (10092)</v>
      </c>
      <c r="S1817" t="s">
        <v>77</v>
      </c>
      <c r="T1817">
        <v>18143</v>
      </c>
      <c r="U1817">
        <v>21241</v>
      </c>
      <c r="V1817" t="s">
        <v>77</v>
      </c>
    </row>
    <row r="1818" spans="1:22">
      <c r="A1818" t="str">
        <f t="shared" si="304"/>
        <v>11/09/2025</v>
      </c>
      <c r="B1818" t="str">
        <f t="shared" si="305"/>
        <v>SAÍDA</v>
      </c>
      <c r="C1818" t="str">
        <f t="shared" si="306"/>
        <v>PIX</v>
      </c>
      <c r="D1818" t="str">
        <f>"21242"</f>
        <v>21242</v>
      </c>
      <c r="E1818" t="str">
        <f t="shared" si="307"/>
        <v>1</v>
      </c>
      <c r="F1818" t="str">
        <f t="shared" si="303"/>
        <v>COM</v>
      </c>
      <c r="G1818" t="str">
        <f>"MIGUEL PESSOA RAMOS (68)"</f>
        <v>MIGUEL PESSOA RAMOS (68)</v>
      </c>
      <c r="H1818" t="str">
        <f>"Serv.Prest. 25/08/2025 a 31/08/2025 - PIX: CELULAR - CHAVE: (33) 99845-0493"</f>
        <v>Serv.Prest. 25/08/2025 a 31/08/2025 - PIX: CELULAR - CHAVE: (33) 99845-0493</v>
      </c>
      <c r="I1818" t="str">
        <f t="shared" si="308"/>
        <v>11/09/2025</v>
      </c>
      <c r="J1818" t="str">
        <f t="shared" si="309"/>
        <v>02/09/2025</v>
      </c>
      <c r="K1818" t="str">
        <f>("11/09/2025")</f>
        <v>11/09/2025</v>
      </c>
      <c r="L1818">
        <v>885.66</v>
      </c>
      <c r="M1818">
        <v>885.66</v>
      </c>
      <c r="N1818">
        <v>109</v>
      </c>
      <c r="O1818" t="str">
        <f>"PAGAMENTO DE ENTREGADORES"</f>
        <v>PAGAMENTO DE ENTREGADORES</v>
      </c>
      <c r="P1818">
        <v>885.66</v>
      </c>
      <c r="S1818" t="str">
        <f>"BANCO C6 (149)"</f>
        <v>BANCO C6 (149)</v>
      </c>
      <c r="T1818">
        <v>18144</v>
      </c>
      <c r="U1818">
        <v>21242</v>
      </c>
      <c r="V1818" t="s">
        <v>77</v>
      </c>
    </row>
    <row r="1819" spans="1:22">
      <c r="A1819" t="str">
        <f t="shared" si="304"/>
        <v>11/09/2025</v>
      </c>
      <c r="B1819" t="str">
        <f t="shared" si="305"/>
        <v>SAÍDA</v>
      </c>
      <c r="C1819" t="str">
        <f t="shared" si="306"/>
        <v>PIX</v>
      </c>
      <c r="D1819" t="str">
        <f>"21242"</f>
        <v>21242</v>
      </c>
      <c r="E1819" t="str">
        <f t="shared" si="307"/>
        <v>1</v>
      </c>
      <c r="F1819" t="str">
        <f t="shared" si="303"/>
        <v>COM</v>
      </c>
      <c r="G1819" t="str">
        <f>"MIGUEL PESSOA RAMOS (68)"</f>
        <v>MIGUEL PESSOA RAMOS (68)</v>
      </c>
      <c r="H1819" t="s">
        <v>418</v>
      </c>
      <c r="I1819" t="str">
        <f t="shared" si="308"/>
        <v>11/09/2025</v>
      </c>
      <c r="J1819" t="str">
        <f t="shared" si="309"/>
        <v>02/09/2025</v>
      </c>
      <c r="K1819">
        <v>45911</v>
      </c>
      <c r="N1819">
        <v>109</v>
      </c>
      <c r="O1819" t="s">
        <v>24</v>
      </c>
      <c r="Q1819">
        <v>885.66</v>
      </c>
      <c r="R1819" t="str">
        <f>"FARMÁCIA INDIANA LJ 07 (10007)"</f>
        <v>FARMÁCIA INDIANA LJ 07 (10007)</v>
      </c>
      <c r="S1819" t="s">
        <v>77</v>
      </c>
      <c r="T1819">
        <v>18144</v>
      </c>
      <c r="U1819">
        <v>21242</v>
      </c>
      <c r="V1819" t="s">
        <v>77</v>
      </c>
    </row>
    <row r="1820" spans="1:22">
      <c r="A1820" t="str">
        <f t="shared" si="304"/>
        <v>11/09/2025</v>
      </c>
      <c r="B1820" t="str">
        <f t="shared" si="305"/>
        <v>SAÍDA</v>
      </c>
      <c r="C1820" t="str">
        <f t="shared" si="306"/>
        <v>PIX</v>
      </c>
      <c r="D1820" t="str">
        <f>"21243"</f>
        <v>21243</v>
      </c>
      <c r="E1820" t="str">
        <f t="shared" si="307"/>
        <v>1</v>
      </c>
      <c r="F1820" t="str">
        <f t="shared" ref="F1820:F1883" si="310">"COM"</f>
        <v>COM</v>
      </c>
      <c r="G1820" t="str">
        <f>"MURILO BARRETO AFONSO (30)"</f>
        <v>MURILO BARRETO AFONSO (30)</v>
      </c>
      <c r="H1820" t="str">
        <f>"Serv.Prest. 25/08/2025 a 31/08/2025 - PIX: CPF - CHAVE: 123.020.026-60"</f>
        <v>Serv.Prest. 25/08/2025 a 31/08/2025 - PIX: CPF - CHAVE: 123.020.026-60</v>
      </c>
      <c r="I1820" t="str">
        <f t="shared" si="308"/>
        <v>11/09/2025</v>
      </c>
      <c r="J1820" t="str">
        <f t="shared" si="309"/>
        <v>02/09/2025</v>
      </c>
      <c r="K1820" t="str">
        <f>("11/09/2025")</f>
        <v>11/09/2025</v>
      </c>
      <c r="L1820">
        <v>1180</v>
      </c>
      <c r="M1820">
        <v>1180</v>
      </c>
      <c r="N1820">
        <v>109</v>
      </c>
      <c r="O1820" t="str">
        <f>"PAGAMENTO DE ENTREGADORES"</f>
        <v>PAGAMENTO DE ENTREGADORES</v>
      </c>
      <c r="P1820">
        <v>1180</v>
      </c>
      <c r="S1820" t="str">
        <f>"BANCO C6 (149)"</f>
        <v>BANCO C6 (149)</v>
      </c>
      <c r="T1820">
        <v>18145</v>
      </c>
      <c r="U1820">
        <v>21243</v>
      </c>
      <c r="V1820" t="s">
        <v>77</v>
      </c>
    </row>
    <row r="1821" spans="1:22">
      <c r="A1821" t="str">
        <f t="shared" si="304"/>
        <v>11/09/2025</v>
      </c>
      <c r="B1821" t="str">
        <f t="shared" si="305"/>
        <v>SAÍDA</v>
      </c>
      <c r="C1821" t="str">
        <f t="shared" si="306"/>
        <v>PIX</v>
      </c>
      <c r="D1821" t="str">
        <f>"21243"</f>
        <v>21243</v>
      </c>
      <c r="E1821" t="str">
        <f t="shared" si="307"/>
        <v>1</v>
      </c>
      <c r="F1821" t="str">
        <f t="shared" si="310"/>
        <v>COM</v>
      </c>
      <c r="G1821" t="str">
        <f>"MURILO BARRETO AFONSO (30)"</f>
        <v>MURILO BARRETO AFONSO (30)</v>
      </c>
      <c r="H1821" t="s">
        <v>419</v>
      </c>
      <c r="I1821" t="str">
        <f t="shared" si="308"/>
        <v>11/09/2025</v>
      </c>
      <c r="J1821" t="str">
        <f t="shared" si="309"/>
        <v>02/09/2025</v>
      </c>
      <c r="K1821">
        <v>45911</v>
      </c>
      <c r="N1821">
        <v>109</v>
      </c>
      <c r="O1821" t="s">
        <v>24</v>
      </c>
      <c r="Q1821">
        <v>611.83000000000004</v>
      </c>
      <c r="R1821" t="str">
        <f>"FARMÁCIA INDIANA LJ 118 (10052)"</f>
        <v>FARMÁCIA INDIANA LJ 118 (10052)</v>
      </c>
      <c r="S1821" t="s">
        <v>77</v>
      </c>
      <c r="T1821">
        <v>18145</v>
      </c>
      <c r="U1821">
        <v>21243</v>
      </c>
      <c r="V1821" t="s">
        <v>77</v>
      </c>
    </row>
    <row r="1822" spans="1:22">
      <c r="A1822" t="str">
        <f t="shared" si="304"/>
        <v>11/09/2025</v>
      </c>
      <c r="B1822" t="str">
        <f t="shared" si="305"/>
        <v>SAÍDA</v>
      </c>
      <c r="C1822" t="str">
        <f t="shared" si="306"/>
        <v>PIX</v>
      </c>
      <c r="D1822" t="str">
        <f>"21243"</f>
        <v>21243</v>
      </c>
      <c r="E1822" t="str">
        <f t="shared" si="307"/>
        <v>1</v>
      </c>
      <c r="F1822" t="str">
        <f t="shared" si="310"/>
        <v>COM</v>
      </c>
      <c r="G1822" t="str">
        <f>"MURILO BARRETO AFONSO (30)"</f>
        <v>MURILO BARRETO AFONSO (30)</v>
      </c>
      <c r="H1822" t="s">
        <v>419</v>
      </c>
      <c r="I1822" t="str">
        <f t="shared" si="308"/>
        <v>11/09/2025</v>
      </c>
      <c r="J1822" t="str">
        <f t="shared" si="309"/>
        <v>02/09/2025</v>
      </c>
      <c r="K1822">
        <v>45911</v>
      </c>
      <c r="N1822">
        <v>109</v>
      </c>
      <c r="O1822" t="s">
        <v>24</v>
      </c>
      <c r="Q1822">
        <v>568.16999999999996</v>
      </c>
      <c r="R1822" t="str">
        <f>"FARMÁCIA INDIANA LJ 192 (10082)"</f>
        <v>FARMÁCIA INDIANA LJ 192 (10082)</v>
      </c>
      <c r="S1822" t="s">
        <v>77</v>
      </c>
      <c r="T1822">
        <v>18145</v>
      </c>
      <c r="U1822">
        <v>21243</v>
      </c>
      <c r="V1822" t="s">
        <v>77</v>
      </c>
    </row>
    <row r="1823" spans="1:22">
      <c r="A1823" t="str">
        <f t="shared" si="304"/>
        <v>11/09/2025</v>
      </c>
      <c r="B1823" t="str">
        <f t="shared" si="305"/>
        <v>SAÍDA</v>
      </c>
      <c r="C1823" t="str">
        <f t="shared" si="306"/>
        <v>PIX</v>
      </c>
      <c r="D1823" t="str">
        <f>"21244"</f>
        <v>21244</v>
      </c>
      <c r="E1823" t="str">
        <f t="shared" si="307"/>
        <v>1</v>
      </c>
      <c r="F1823" t="str">
        <f t="shared" si="310"/>
        <v>COM</v>
      </c>
      <c r="G1823" t="str">
        <f>"NELSON DOS SANTOS RODRIGUES (37)"</f>
        <v>NELSON DOS SANTOS RODRIGUES (37)</v>
      </c>
      <c r="H1823" t="str">
        <f>"Serv.Prest. 25/08/2025 a 31/08/2025 - PIX: CPF - CHAVE: 108.680.396-59"</f>
        <v>Serv.Prest. 25/08/2025 a 31/08/2025 - PIX: CPF - CHAVE: 108.680.396-59</v>
      </c>
      <c r="I1823" t="str">
        <f t="shared" si="308"/>
        <v>11/09/2025</v>
      </c>
      <c r="J1823" t="str">
        <f t="shared" si="309"/>
        <v>02/09/2025</v>
      </c>
      <c r="K1823" t="str">
        <f>("11/09/2025")</f>
        <v>11/09/2025</v>
      </c>
      <c r="L1823">
        <v>1536</v>
      </c>
      <c r="M1823">
        <v>1536</v>
      </c>
      <c r="N1823">
        <v>109</v>
      </c>
      <c r="O1823" t="str">
        <f>"PAGAMENTO DE ENTREGADORES"</f>
        <v>PAGAMENTO DE ENTREGADORES</v>
      </c>
      <c r="P1823">
        <v>1536</v>
      </c>
      <c r="S1823" t="str">
        <f>"BANCO C6 (149)"</f>
        <v>BANCO C6 (149)</v>
      </c>
      <c r="T1823">
        <v>18146</v>
      </c>
      <c r="U1823">
        <v>21244</v>
      </c>
      <c r="V1823" t="s">
        <v>77</v>
      </c>
    </row>
    <row r="1824" spans="1:22">
      <c r="A1824" t="str">
        <f t="shared" si="304"/>
        <v>11/09/2025</v>
      </c>
      <c r="B1824" t="str">
        <f t="shared" si="305"/>
        <v>SAÍDA</v>
      </c>
      <c r="C1824" t="str">
        <f t="shared" si="306"/>
        <v>PIX</v>
      </c>
      <c r="D1824" t="str">
        <f>"21244"</f>
        <v>21244</v>
      </c>
      <c r="E1824" t="str">
        <f t="shared" si="307"/>
        <v>1</v>
      </c>
      <c r="F1824" t="str">
        <f t="shared" si="310"/>
        <v>COM</v>
      </c>
      <c r="G1824" t="str">
        <f>"NELSON DOS SANTOS RODRIGUES (37)"</f>
        <v>NELSON DOS SANTOS RODRIGUES (37)</v>
      </c>
      <c r="H1824" t="s">
        <v>522</v>
      </c>
      <c r="I1824" t="str">
        <f t="shared" si="308"/>
        <v>11/09/2025</v>
      </c>
      <c r="J1824" t="str">
        <f t="shared" si="309"/>
        <v>02/09/2025</v>
      </c>
      <c r="K1824">
        <v>45911</v>
      </c>
      <c r="N1824">
        <v>109</v>
      </c>
      <c r="O1824" t="s">
        <v>24</v>
      </c>
      <c r="Q1824">
        <v>1536</v>
      </c>
      <c r="R1824" t="str">
        <f>"FARMÁCIA INDIANA LJ 11 (10008)"</f>
        <v>FARMÁCIA INDIANA LJ 11 (10008)</v>
      </c>
      <c r="S1824" t="s">
        <v>77</v>
      </c>
      <c r="T1824">
        <v>18146</v>
      </c>
      <c r="U1824">
        <v>21244</v>
      </c>
      <c r="V1824" t="s">
        <v>77</v>
      </c>
    </row>
    <row r="1825" spans="1:22">
      <c r="A1825" t="str">
        <f t="shared" si="304"/>
        <v>11/09/2025</v>
      </c>
      <c r="B1825" t="str">
        <f t="shared" si="305"/>
        <v>SAÍDA</v>
      </c>
      <c r="C1825" t="str">
        <f t="shared" si="306"/>
        <v>PIX</v>
      </c>
      <c r="D1825" t="str">
        <f>"21245"</f>
        <v>21245</v>
      </c>
      <c r="E1825" t="str">
        <f t="shared" si="307"/>
        <v>1</v>
      </c>
      <c r="F1825" t="str">
        <f t="shared" si="310"/>
        <v>COM</v>
      </c>
      <c r="G1825" t="str">
        <f>"NILTON RODRIGUES DE SOUZA (136)"</f>
        <v>NILTON RODRIGUES DE SOUZA (136)</v>
      </c>
      <c r="H1825" t="str">
        <f>"Serv.Prest. 25/08/2025 a 31/08/2025 - PIX: CPF - CHAVE: 037.974.316-78"</f>
        <v>Serv.Prest. 25/08/2025 a 31/08/2025 - PIX: CPF - CHAVE: 037.974.316-78</v>
      </c>
      <c r="I1825" t="str">
        <f t="shared" si="308"/>
        <v>11/09/2025</v>
      </c>
      <c r="J1825" t="str">
        <f t="shared" si="309"/>
        <v>02/09/2025</v>
      </c>
      <c r="K1825" t="str">
        <f>("11/09/2025")</f>
        <v>11/09/2025</v>
      </c>
      <c r="L1825">
        <v>916</v>
      </c>
      <c r="M1825">
        <v>916</v>
      </c>
      <c r="N1825">
        <v>109</v>
      </c>
      <c r="O1825" t="str">
        <f>"PAGAMENTO DE ENTREGADORES"</f>
        <v>PAGAMENTO DE ENTREGADORES</v>
      </c>
      <c r="P1825">
        <v>916</v>
      </c>
      <c r="S1825" t="str">
        <f>"BANCO C6 (149)"</f>
        <v>BANCO C6 (149)</v>
      </c>
      <c r="T1825">
        <v>18147</v>
      </c>
      <c r="U1825">
        <v>21245</v>
      </c>
      <c r="V1825" t="s">
        <v>77</v>
      </c>
    </row>
    <row r="1826" spans="1:22">
      <c r="A1826" t="str">
        <f t="shared" si="304"/>
        <v>11/09/2025</v>
      </c>
      <c r="B1826" t="str">
        <f t="shared" si="305"/>
        <v>SAÍDA</v>
      </c>
      <c r="C1826" t="str">
        <f t="shared" si="306"/>
        <v>PIX</v>
      </c>
      <c r="D1826" t="str">
        <f>"21245"</f>
        <v>21245</v>
      </c>
      <c r="E1826" t="str">
        <f t="shared" si="307"/>
        <v>1</v>
      </c>
      <c r="F1826" t="str">
        <f t="shared" si="310"/>
        <v>COM</v>
      </c>
      <c r="G1826" t="str">
        <f>"NILTON RODRIGUES DE SOUZA (136)"</f>
        <v>NILTON RODRIGUES DE SOUZA (136)</v>
      </c>
      <c r="H1826" t="s">
        <v>420</v>
      </c>
      <c r="I1826" t="str">
        <f t="shared" si="308"/>
        <v>11/09/2025</v>
      </c>
      <c r="J1826" t="str">
        <f t="shared" si="309"/>
        <v>02/09/2025</v>
      </c>
      <c r="K1826">
        <v>45911</v>
      </c>
      <c r="N1826">
        <v>109</v>
      </c>
      <c r="O1826" t="s">
        <v>24</v>
      </c>
      <c r="Q1826">
        <v>916</v>
      </c>
      <c r="R1826" t="str">
        <f>"FARMÁCIA INDIANA LJ 18 (10011)"</f>
        <v>FARMÁCIA INDIANA LJ 18 (10011)</v>
      </c>
      <c r="S1826" t="s">
        <v>77</v>
      </c>
      <c r="T1826">
        <v>18147</v>
      </c>
      <c r="U1826">
        <v>21245</v>
      </c>
      <c r="V1826" t="s">
        <v>77</v>
      </c>
    </row>
    <row r="1827" spans="1:22">
      <c r="A1827" t="str">
        <f t="shared" si="304"/>
        <v>11/09/2025</v>
      </c>
      <c r="B1827" t="str">
        <f t="shared" si="305"/>
        <v>SAÍDA</v>
      </c>
      <c r="C1827" t="str">
        <f t="shared" si="306"/>
        <v>PIX</v>
      </c>
      <c r="D1827" t="str">
        <f>"21246"</f>
        <v>21246</v>
      </c>
      <c r="E1827" t="str">
        <f t="shared" si="307"/>
        <v>1</v>
      </c>
      <c r="F1827" t="str">
        <f t="shared" si="310"/>
        <v>COM</v>
      </c>
      <c r="G1827" t="str">
        <f>"PATRICK DE SOUZA CORREA (92)"</f>
        <v>PATRICK DE SOUZA CORREA (92)</v>
      </c>
      <c r="H1827" t="str">
        <f>"Serv.Prest. 25/08/2025 a 31/08/2025 - PIX: CELULAR - CHAVE: (31) 99216-8711"</f>
        <v>Serv.Prest. 25/08/2025 a 31/08/2025 - PIX: CELULAR - CHAVE: (31) 99216-8711</v>
      </c>
      <c r="I1827" t="str">
        <f t="shared" si="308"/>
        <v>11/09/2025</v>
      </c>
      <c r="J1827" t="str">
        <f t="shared" si="309"/>
        <v>02/09/2025</v>
      </c>
      <c r="K1827" t="str">
        <f>("11/09/2025")</f>
        <v>11/09/2025</v>
      </c>
      <c r="L1827">
        <v>580</v>
      </c>
      <c r="M1827">
        <v>580</v>
      </c>
      <c r="N1827">
        <v>109</v>
      </c>
      <c r="O1827" t="str">
        <f>"PAGAMENTO DE ENTREGADORES"</f>
        <v>PAGAMENTO DE ENTREGADORES</v>
      </c>
      <c r="P1827">
        <v>580</v>
      </c>
      <c r="S1827" t="str">
        <f>"BANCO C6 (149)"</f>
        <v>BANCO C6 (149)</v>
      </c>
      <c r="T1827">
        <v>18148</v>
      </c>
      <c r="U1827">
        <v>21246</v>
      </c>
      <c r="V1827" t="s">
        <v>77</v>
      </c>
    </row>
    <row r="1828" spans="1:22">
      <c r="A1828" t="str">
        <f t="shared" si="304"/>
        <v>11/09/2025</v>
      </c>
      <c r="B1828" t="str">
        <f t="shared" si="305"/>
        <v>SAÍDA</v>
      </c>
      <c r="C1828" t="str">
        <f t="shared" si="306"/>
        <v>PIX</v>
      </c>
      <c r="D1828" t="str">
        <f>"21246"</f>
        <v>21246</v>
      </c>
      <c r="E1828" t="str">
        <f t="shared" si="307"/>
        <v>1</v>
      </c>
      <c r="F1828" t="str">
        <f t="shared" si="310"/>
        <v>COM</v>
      </c>
      <c r="G1828" t="str">
        <f>"PATRICK DE SOUZA CORREA (92)"</f>
        <v>PATRICK DE SOUZA CORREA (92)</v>
      </c>
      <c r="H1828" t="s">
        <v>422</v>
      </c>
      <c r="I1828" t="str">
        <f t="shared" si="308"/>
        <v>11/09/2025</v>
      </c>
      <c r="J1828" t="str">
        <f t="shared" si="309"/>
        <v>02/09/2025</v>
      </c>
      <c r="K1828">
        <v>45911</v>
      </c>
      <c r="N1828">
        <v>109</v>
      </c>
      <c r="O1828" t="s">
        <v>24</v>
      </c>
      <c r="Q1828">
        <v>64.44</v>
      </c>
      <c r="R1828" t="str">
        <f>"FARMÁCIA INDIANA LJ 184 (10080)"</f>
        <v>FARMÁCIA INDIANA LJ 184 (10080)</v>
      </c>
      <c r="S1828" t="s">
        <v>77</v>
      </c>
      <c r="T1828">
        <v>18148</v>
      </c>
      <c r="U1828">
        <v>21246</v>
      </c>
      <c r="V1828" t="s">
        <v>77</v>
      </c>
    </row>
    <row r="1829" spans="1:22">
      <c r="A1829" t="str">
        <f t="shared" si="304"/>
        <v>11/09/2025</v>
      </c>
      <c r="B1829" t="str">
        <f t="shared" si="305"/>
        <v>SAÍDA</v>
      </c>
      <c r="C1829" t="str">
        <f t="shared" si="306"/>
        <v>PIX</v>
      </c>
      <c r="D1829" t="str">
        <f>"21246"</f>
        <v>21246</v>
      </c>
      <c r="E1829" t="str">
        <f t="shared" si="307"/>
        <v>1</v>
      </c>
      <c r="F1829" t="str">
        <f t="shared" si="310"/>
        <v>COM</v>
      </c>
      <c r="G1829" t="str">
        <f>"PATRICK DE SOUZA CORREA (92)"</f>
        <v>PATRICK DE SOUZA CORREA (92)</v>
      </c>
      <c r="H1829" t="s">
        <v>422</v>
      </c>
      <c r="I1829" t="str">
        <f t="shared" si="308"/>
        <v>11/09/2025</v>
      </c>
      <c r="J1829" t="str">
        <f t="shared" si="309"/>
        <v>02/09/2025</v>
      </c>
      <c r="K1829">
        <v>45911</v>
      </c>
      <c r="N1829">
        <v>109</v>
      </c>
      <c r="O1829" t="s">
        <v>24</v>
      </c>
      <c r="Q1829">
        <v>515.55999999999995</v>
      </c>
      <c r="R1829" t="str">
        <f>"FARMÁCIA INDIANA LJ 195 (10083)"</f>
        <v>FARMÁCIA INDIANA LJ 195 (10083)</v>
      </c>
      <c r="S1829" t="s">
        <v>77</v>
      </c>
      <c r="T1829">
        <v>18148</v>
      </c>
      <c r="U1829">
        <v>21246</v>
      </c>
      <c r="V1829" t="s">
        <v>77</v>
      </c>
    </row>
    <row r="1830" spans="1:22">
      <c r="A1830" t="str">
        <f t="shared" si="304"/>
        <v>11/09/2025</v>
      </c>
      <c r="B1830" t="str">
        <f t="shared" si="305"/>
        <v>SAÍDA</v>
      </c>
      <c r="C1830" t="str">
        <f t="shared" si="306"/>
        <v>PIX</v>
      </c>
      <c r="D1830" t="str">
        <f>"21247"</f>
        <v>21247</v>
      </c>
      <c r="E1830" t="str">
        <f t="shared" si="307"/>
        <v>1</v>
      </c>
      <c r="F1830" t="str">
        <f t="shared" si="310"/>
        <v>COM</v>
      </c>
      <c r="G1830" t="str">
        <f>"PAULO HENRIQUE OLIVEIRA SILVA (39)"</f>
        <v>PAULO HENRIQUE OLIVEIRA SILVA (39)</v>
      </c>
      <c r="H1830" t="str">
        <f>"Serv.Prest. 25/08/2025 a 31/08/2025 - PIX: CELULAR - CHAVE: (31) 97339-3761"</f>
        <v>Serv.Prest. 25/08/2025 a 31/08/2025 - PIX: CELULAR - CHAVE: (31) 97339-3761</v>
      </c>
      <c r="I1830" t="str">
        <f t="shared" si="308"/>
        <v>11/09/2025</v>
      </c>
      <c r="J1830" t="str">
        <f t="shared" si="309"/>
        <v>02/09/2025</v>
      </c>
      <c r="K1830" t="str">
        <f>("11/09/2025")</f>
        <v>11/09/2025</v>
      </c>
      <c r="L1830">
        <v>1242</v>
      </c>
      <c r="M1830">
        <v>1242</v>
      </c>
      <c r="N1830">
        <v>109</v>
      </c>
      <c r="O1830" t="str">
        <f>"PAGAMENTO DE ENTREGADORES"</f>
        <v>PAGAMENTO DE ENTREGADORES</v>
      </c>
      <c r="P1830">
        <v>1242</v>
      </c>
      <c r="S1830" t="str">
        <f>"BANCO C6 (149)"</f>
        <v>BANCO C6 (149)</v>
      </c>
      <c r="T1830">
        <v>18149</v>
      </c>
      <c r="U1830">
        <v>21247</v>
      </c>
      <c r="V1830" t="s">
        <v>77</v>
      </c>
    </row>
    <row r="1831" spans="1:22">
      <c r="A1831" t="str">
        <f t="shared" si="304"/>
        <v>11/09/2025</v>
      </c>
      <c r="B1831" t="str">
        <f t="shared" si="305"/>
        <v>SAÍDA</v>
      </c>
      <c r="C1831" t="str">
        <f t="shared" si="306"/>
        <v>PIX</v>
      </c>
      <c r="D1831" t="str">
        <f>"21247"</f>
        <v>21247</v>
      </c>
      <c r="E1831" t="str">
        <f t="shared" si="307"/>
        <v>1</v>
      </c>
      <c r="F1831" t="str">
        <f t="shared" si="310"/>
        <v>COM</v>
      </c>
      <c r="G1831" t="str">
        <f>"PAULO HENRIQUE OLIVEIRA SILVA (39)"</f>
        <v>PAULO HENRIQUE OLIVEIRA SILVA (39)</v>
      </c>
      <c r="H1831" t="s">
        <v>523</v>
      </c>
      <c r="I1831" t="str">
        <f t="shared" si="308"/>
        <v>11/09/2025</v>
      </c>
      <c r="J1831" t="str">
        <f t="shared" si="309"/>
        <v>02/09/2025</v>
      </c>
      <c r="K1831">
        <v>45911</v>
      </c>
      <c r="N1831">
        <v>109</v>
      </c>
      <c r="O1831" t="s">
        <v>24</v>
      </c>
      <c r="Q1831">
        <v>1242</v>
      </c>
      <c r="R1831" t="str">
        <f>"FARMÁCIA INDIANA LJ 11 (10008)"</f>
        <v>FARMÁCIA INDIANA LJ 11 (10008)</v>
      </c>
      <c r="S1831" t="s">
        <v>77</v>
      </c>
      <c r="T1831">
        <v>18149</v>
      </c>
      <c r="U1831">
        <v>21247</v>
      </c>
      <c r="V1831" t="s">
        <v>77</v>
      </c>
    </row>
    <row r="1832" spans="1:22">
      <c r="A1832" t="str">
        <f t="shared" si="304"/>
        <v>11/09/2025</v>
      </c>
      <c r="B1832" t="str">
        <f t="shared" si="305"/>
        <v>SAÍDA</v>
      </c>
      <c r="C1832" t="str">
        <f t="shared" si="306"/>
        <v>PIX</v>
      </c>
      <c r="D1832" t="str">
        <f>"21248"</f>
        <v>21248</v>
      </c>
      <c r="E1832" t="str">
        <f t="shared" si="307"/>
        <v>1</v>
      </c>
      <c r="F1832" t="str">
        <f t="shared" si="310"/>
        <v>COM</v>
      </c>
      <c r="G1832" t="str">
        <f>"PAULO MARCOS FARIA DE SOUZA L (233)"</f>
        <v>PAULO MARCOS FARIA DE SOUZA L (233)</v>
      </c>
      <c r="H1832" t="str">
        <f>"Serv.Prest. 25/08/2025 a 31/08/2025 - PIX: CELULAR - CHAVE: (35) 99264-4504"</f>
        <v>Serv.Prest. 25/08/2025 a 31/08/2025 - PIX: CELULAR - CHAVE: (35) 99264-4504</v>
      </c>
      <c r="I1832" t="str">
        <f t="shared" si="308"/>
        <v>11/09/2025</v>
      </c>
      <c r="J1832" t="str">
        <f t="shared" si="309"/>
        <v>02/09/2025</v>
      </c>
      <c r="K1832" t="str">
        <f>("11/09/2025")</f>
        <v>11/09/2025</v>
      </c>
      <c r="L1832">
        <v>480</v>
      </c>
      <c r="M1832">
        <v>480</v>
      </c>
      <c r="N1832">
        <v>109</v>
      </c>
      <c r="O1832" t="str">
        <f>"PAGAMENTO DE ENTREGADORES"</f>
        <v>PAGAMENTO DE ENTREGADORES</v>
      </c>
      <c r="P1832">
        <v>480</v>
      </c>
      <c r="S1832" t="str">
        <f>"BANCO C6 (149)"</f>
        <v>BANCO C6 (149)</v>
      </c>
      <c r="T1832">
        <v>18150</v>
      </c>
      <c r="U1832">
        <v>21248</v>
      </c>
      <c r="V1832" t="s">
        <v>77</v>
      </c>
    </row>
    <row r="1833" spans="1:22">
      <c r="A1833" t="str">
        <f t="shared" si="304"/>
        <v>11/09/2025</v>
      </c>
      <c r="B1833" t="str">
        <f t="shared" si="305"/>
        <v>SAÍDA</v>
      </c>
      <c r="C1833" t="str">
        <f t="shared" si="306"/>
        <v>PIX</v>
      </c>
      <c r="D1833" t="str">
        <f>"21248"</f>
        <v>21248</v>
      </c>
      <c r="E1833" t="str">
        <f t="shared" si="307"/>
        <v>1</v>
      </c>
      <c r="F1833" t="str">
        <f t="shared" si="310"/>
        <v>COM</v>
      </c>
      <c r="G1833" t="str">
        <f>"PAULO MARCOS FARIA DE SOUZA L (233)"</f>
        <v>PAULO MARCOS FARIA DE SOUZA L (233)</v>
      </c>
      <c r="H1833" t="s">
        <v>424</v>
      </c>
      <c r="I1833" t="str">
        <f t="shared" si="308"/>
        <v>11/09/2025</v>
      </c>
      <c r="J1833" t="str">
        <f t="shared" si="309"/>
        <v>02/09/2025</v>
      </c>
      <c r="K1833">
        <v>45911</v>
      </c>
      <c r="N1833">
        <v>109</v>
      </c>
      <c r="O1833" t="s">
        <v>24</v>
      </c>
      <c r="Q1833">
        <v>480</v>
      </c>
      <c r="R1833" t="str">
        <f>"FARMÁCIA INDIANA LJ 64 (10029)"</f>
        <v>FARMÁCIA INDIANA LJ 64 (10029)</v>
      </c>
      <c r="S1833" t="s">
        <v>77</v>
      </c>
      <c r="T1833">
        <v>18150</v>
      </c>
      <c r="U1833">
        <v>21248</v>
      </c>
      <c r="V1833" t="s">
        <v>77</v>
      </c>
    </row>
    <row r="1834" spans="1:22">
      <c r="A1834" t="str">
        <f t="shared" si="304"/>
        <v>11/09/2025</v>
      </c>
      <c r="B1834" t="str">
        <f t="shared" si="305"/>
        <v>SAÍDA</v>
      </c>
      <c r="C1834" t="str">
        <f t="shared" si="306"/>
        <v>PIX</v>
      </c>
      <c r="D1834" t="str">
        <f>"21249"</f>
        <v>21249</v>
      </c>
      <c r="E1834" t="str">
        <f t="shared" si="307"/>
        <v>1</v>
      </c>
      <c r="F1834" t="str">
        <f t="shared" si="310"/>
        <v>COM</v>
      </c>
      <c r="G1834" t="str">
        <f>"RAISSON VITOR MENDES DE ABREU (705)"</f>
        <v>RAISSON VITOR MENDES DE ABREU (705)</v>
      </c>
      <c r="H1834" t="str">
        <f>"Serv.Prest. 25/08/2025 a 31/08/2025 - PIX: CELULAR - CHAVE: (31) 99959-5414"</f>
        <v>Serv.Prest. 25/08/2025 a 31/08/2025 - PIX: CELULAR - CHAVE: (31) 99959-5414</v>
      </c>
      <c r="I1834" t="str">
        <f t="shared" si="308"/>
        <v>11/09/2025</v>
      </c>
      <c r="J1834" t="str">
        <f t="shared" si="309"/>
        <v>02/09/2025</v>
      </c>
      <c r="K1834" t="str">
        <f>("11/09/2025")</f>
        <v>11/09/2025</v>
      </c>
      <c r="L1834">
        <v>780</v>
      </c>
      <c r="M1834">
        <v>780</v>
      </c>
      <c r="N1834">
        <v>109</v>
      </c>
      <c r="O1834" t="str">
        <f>"PAGAMENTO DE ENTREGADORES"</f>
        <v>PAGAMENTO DE ENTREGADORES</v>
      </c>
      <c r="P1834">
        <v>780</v>
      </c>
      <c r="S1834" t="str">
        <f>"BANCO C6 (149)"</f>
        <v>BANCO C6 (149)</v>
      </c>
      <c r="T1834">
        <v>18151</v>
      </c>
      <c r="U1834">
        <v>21249</v>
      </c>
      <c r="V1834" t="s">
        <v>77</v>
      </c>
    </row>
    <row r="1835" spans="1:22">
      <c r="A1835" t="str">
        <f t="shared" si="304"/>
        <v>11/09/2025</v>
      </c>
      <c r="B1835" t="str">
        <f t="shared" si="305"/>
        <v>SAÍDA</v>
      </c>
      <c r="C1835" t="str">
        <f t="shared" si="306"/>
        <v>PIX</v>
      </c>
      <c r="D1835" t="str">
        <f>"21249"</f>
        <v>21249</v>
      </c>
      <c r="E1835" t="str">
        <f t="shared" si="307"/>
        <v>1</v>
      </c>
      <c r="F1835" t="str">
        <f t="shared" si="310"/>
        <v>COM</v>
      </c>
      <c r="G1835" t="str">
        <f>"RAISSON VITOR MENDES DE ABREU (705)"</f>
        <v>RAISSON VITOR MENDES DE ABREU (705)</v>
      </c>
      <c r="H1835" t="s">
        <v>425</v>
      </c>
      <c r="I1835" t="str">
        <f t="shared" si="308"/>
        <v>11/09/2025</v>
      </c>
      <c r="J1835" t="str">
        <f t="shared" si="309"/>
        <v>02/09/2025</v>
      </c>
      <c r="K1835">
        <v>45911</v>
      </c>
      <c r="N1835">
        <v>109</v>
      </c>
      <c r="O1835" t="s">
        <v>24</v>
      </c>
      <c r="Q1835">
        <v>780</v>
      </c>
      <c r="R1835" t="str">
        <f>"FARMÁCIA INDIANA LJ 178 (10077)"</f>
        <v>FARMÁCIA INDIANA LJ 178 (10077)</v>
      </c>
      <c r="S1835" t="s">
        <v>77</v>
      </c>
      <c r="T1835">
        <v>18151</v>
      </c>
      <c r="U1835">
        <v>21249</v>
      </c>
      <c r="V1835" t="s">
        <v>77</v>
      </c>
    </row>
    <row r="1836" spans="1:22">
      <c r="A1836" t="str">
        <f t="shared" si="304"/>
        <v>11/09/2025</v>
      </c>
      <c r="B1836" t="str">
        <f t="shared" si="305"/>
        <v>SAÍDA</v>
      </c>
      <c r="C1836" t="str">
        <f t="shared" si="306"/>
        <v>PIX</v>
      </c>
      <c r="D1836" t="str">
        <f>"21250"</f>
        <v>21250</v>
      </c>
      <c r="E1836" t="str">
        <f t="shared" si="307"/>
        <v>1</v>
      </c>
      <c r="F1836" t="str">
        <f t="shared" si="310"/>
        <v>COM</v>
      </c>
      <c r="G1836" t="str">
        <f>"RENATO GEORGE GONÇALVES (191)"</f>
        <v>RENATO GEORGE GONÇALVES (191)</v>
      </c>
      <c r="H1836" t="str">
        <f>"Serv.Prest. 25/08/2025 a 31/08/2025 - PIX: CPF - CHAVE: 012.783.036-77"</f>
        <v>Serv.Prest. 25/08/2025 a 31/08/2025 - PIX: CPF - CHAVE: 012.783.036-77</v>
      </c>
      <c r="I1836" t="str">
        <f t="shared" si="308"/>
        <v>11/09/2025</v>
      </c>
      <c r="J1836" t="str">
        <f t="shared" si="309"/>
        <v>02/09/2025</v>
      </c>
      <c r="K1836" t="str">
        <f>("11/09/2025")</f>
        <v>11/09/2025</v>
      </c>
      <c r="L1836">
        <v>1155</v>
      </c>
      <c r="M1836">
        <v>1155</v>
      </c>
      <c r="N1836">
        <v>109</v>
      </c>
      <c r="O1836" t="str">
        <f>"PAGAMENTO DE ENTREGADORES"</f>
        <v>PAGAMENTO DE ENTREGADORES</v>
      </c>
      <c r="P1836">
        <v>1155</v>
      </c>
      <c r="S1836" t="str">
        <f>"BANCO C6 (149)"</f>
        <v>BANCO C6 (149)</v>
      </c>
      <c r="T1836">
        <v>18152</v>
      </c>
      <c r="U1836">
        <v>21250</v>
      </c>
      <c r="V1836" t="s">
        <v>77</v>
      </c>
    </row>
    <row r="1837" spans="1:22">
      <c r="A1837" t="str">
        <f t="shared" si="304"/>
        <v>11/09/2025</v>
      </c>
      <c r="B1837" t="str">
        <f t="shared" si="305"/>
        <v>SAÍDA</v>
      </c>
      <c r="C1837" t="str">
        <f t="shared" si="306"/>
        <v>PIX</v>
      </c>
      <c r="D1837" t="str">
        <f>"21250"</f>
        <v>21250</v>
      </c>
      <c r="E1837" t="str">
        <f t="shared" si="307"/>
        <v>1</v>
      </c>
      <c r="F1837" t="str">
        <f t="shared" si="310"/>
        <v>COM</v>
      </c>
      <c r="G1837" t="str">
        <f>"RENATO GEORGE GONÇALVES (191)"</f>
        <v>RENATO GEORGE GONÇALVES (191)</v>
      </c>
      <c r="H1837" t="s">
        <v>524</v>
      </c>
      <c r="I1837" t="str">
        <f t="shared" si="308"/>
        <v>11/09/2025</v>
      </c>
      <c r="J1837" t="str">
        <f t="shared" si="309"/>
        <v>02/09/2025</v>
      </c>
      <c r="K1837">
        <v>45911</v>
      </c>
      <c r="N1837">
        <v>109</v>
      </c>
      <c r="O1837" t="s">
        <v>24</v>
      </c>
      <c r="Q1837">
        <v>1155</v>
      </c>
      <c r="R1837" t="str">
        <f>"FARMÁCIA INDIANA LJ 06 (10006)"</f>
        <v>FARMÁCIA INDIANA LJ 06 (10006)</v>
      </c>
      <c r="S1837" t="s">
        <v>77</v>
      </c>
      <c r="T1837">
        <v>18152</v>
      </c>
      <c r="U1837">
        <v>21250</v>
      </c>
      <c r="V1837" t="s">
        <v>77</v>
      </c>
    </row>
    <row r="1838" spans="1:22">
      <c r="A1838" t="str">
        <f t="shared" si="304"/>
        <v>11/09/2025</v>
      </c>
      <c r="B1838" t="str">
        <f t="shared" si="305"/>
        <v>SAÍDA</v>
      </c>
      <c r="C1838" t="str">
        <f t="shared" si="306"/>
        <v>PIX</v>
      </c>
      <c r="D1838" t="str">
        <f>"21251"</f>
        <v>21251</v>
      </c>
      <c r="E1838" t="str">
        <f t="shared" si="307"/>
        <v>1</v>
      </c>
      <c r="F1838" t="str">
        <f t="shared" si="310"/>
        <v>COM</v>
      </c>
      <c r="G1838" t="str">
        <f>"RICARDO NASCIMENTO DE SOUZA (146)"</f>
        <v>RICARDO NASCIMENTO DE SOUZA (146)</v>
      </c>
      <c r="H1838" t="str">
        <f>"Serv.Prest. 25/08/2025 a 31/08/2025 - PIX: CELULAR - CHAVE: (31) 98891-8440"</f>
        <v>Serv.Prest. 25/08/2025 a 31/08/2025 - PIX: CELULAR - CHAVE: (31) 98891-8440</v>
      </c>
      <c r="I1838" t="str">
        <f t="shared" si="308"/>
        <v>11/09/2025</v>
      </c>
      <c r="J1838" t="str">
        <f t="shared" si="309"/>
        <v>02/09/2025</v>
      </c>
      <c r="K1838" t="str">
        <f>("11/09/2025")</f>
        <v>11/09/2025</v>
      </c>
      <c r="L1838">
        <v>856</v>
      </c>
      <c r="M1838">
        <v>856</v>
      </c>
      <c r="N1838">
        <v>109</v>
      </c>
      <c r="O1838" t="str">
        <f>"PAGAMENTO DE ENTREGADORES"</f>
        <v>PAGAMENTO DE ENTREGADORES</v>
      </c>
      <c r="P1838">
        <v>856</v>
      </c>
      <c r="S1838" t="str">
        <f>"BANCO C6 (149)"</f>
        <v>BANCO C6 (149)</v>
      </c>
      <c r="T1838">
        <v>18153</v>
      </c>
      <c r="U1838">
        <v>21251</v>
      </c>
      <c r="V1838" t="s">
        <v>77</v>
      </c>
    </row>
    <row r="1839" spans="1:22">
      <c r="A1839" t="str">
        <f t="shared" si="304"/>
        <v>11/09/2025</v>
      </c>
      <c r="B1839" t="str">
        <f t="shared" si="305"/>
        <v>SAÍDA</v>
      </c>
      <c r="C1839" t="str">
        <f t="shared" si="306"/>
        <v>PIX</v>
      </c>
      <c r="D1839" t="str">
        <f>"21251"</f>
        <v>21251</v>
      </c>
      <c r="E1839" t="str">
        <f t="shared" si="307"/>
        <v>1</v>
      </c>
      <c r="F1839" t="str">
        <f t="shared" si="310"/>
        <v>COM</v>
      </c>
      <c r="G1839" t="str">
        <f>"RICARDO NASCIMENTO DE SOUZA (146)"</f>
        <v>RICARDO NASCIMENTO DE SOUZA (146)</v>
      </c>
      <c r="H1839" t="s">
        <v>427</v>
      </c>
      <c r="I1839" t="str">
        <f t="shared" si="308"/>
        <v>11/09/2025</v>
      </c>
      <c r="J1839" t="str">
        <f t="shared" si="309"/>
        <v>02/09/2025</v>
      </c>
      <c r="K1839">
        <v>45911</v>
      </c>
      <c r="N1839">
        <v>109</v>
      </c>
      <c r="O1839" t="s">
        <v>24</v>
      </c>
      <c r="Q1839">
        <v>856</v>
      </c>
      <c r="R1839" t="str">
        <f>"FARMÁCIA INDIANA LJ 19 (10012)"</f>
        <v>FARMÁCIA INDIANA LJ 19 (10012)</v>
      </c>
      <c r="S1839" t="s">
        <v>77</v>
      </c>
      <c r="T1839">
        <v>18153</v>
      </c>
      <c r="U1839">
        <v>21251</v>
      </c>
      <c r="V1839" t="s">
        <v>77</v>
      </c>
    </row>
    <row r="1840" spans="1:22">
      <c r="A1840" t="str">
        <f t="shared" si="304"/>
        <v>11/09/2025</v>
      </c>
      <c r="B1840" t="str">
        <f t="shared" si="305"/>
        <v>SAÍDA</v>
      </c>
      <c r="C1840" t="str">
        <f t="shared" si="306"/>
        <v>PIX</v>
      </c>
      <c r="D1840" t="str">
        <f>"21252"</f>
        <v>21252</v>
      </c>
      <c r="E1840" t="str">
        <f t="shared" si="307"/>
        <v>1</v>
      </c>
      <c r="F1840" t="str">
        <f t="shared" si="310"/>
        <v>COM</v>
      </c>
      <c r="G1840" t="str">
        <f>"ROGÉRIO LAURINDO BORGES (176)"</f>
        <v>ROGÉRIO LAURINDO BORGES (176)</v>
      </c>
      <c r="H1840" t="str">
        <f>"Serv.Prest. 25/08/2025 a 31/08/2025 - PIX: E-MAIL - CHAVE: roger.l.borges04@gmail.com"</f>
        <v>Serv.Prest. 25/08/2025 a 31/08/2025 - PIX: E-MAIL - CHAVE: roger.l.borges04@gmail.com</v>
      </c>
      <c r="I1840" t="str">
        <f t="shared" si="308"/>
        <v>11/09/2025</v>
      </c>
      <c r="J1840" t="str">
        <f t="shared" si="309"/>
        <v>02/09/2025</v>
      </c>
      <c r="K1840" t="str">
        <f>("11/09/2025")</f>
        <v>11/09/2025</v>
      </c>
      <c r="L1840">
        <v>1272</v>
      </c>
      <c r="M1840">
        <v>1272</v>
      </c>
      <c r="N1840">
        <v>109</v>
      </c>
      <c r="O1840" t="str">
        <f>"PAGAMENTO DE ENTREGADORES"</f>
        <v>PAGAMENTO DE ENTREGADORES</v>
      </c>
      <c r="P1840">
        <v>1272</v>
      </c>
      <c r="S1840" t="str">
        <f>"BANCO C6 (149)"</f>
        <v>BANCO C6 (149)</v>
      </c>
      <c r="T1840">
        <v>18154</v>
      </c>
      <c r="U1840">
        <v>21252</v>
      </c>
      <c r="V1840" t="s">
        <v>77</v>
      </c>
    </row>
    <row r="1841" spans="1:22">
      <c r="A1841" t="str">
        <f t="shared" si="304"/>
        <v>11/09/2025</v>
      </c>
      <c r="B1841" t="str">
        <f t="shared" si="305"/>
        <v>SAÍDA</v>
      </c>
      <c r="C1841" t="str">
        <f t="shared" si="306"/>
        <v>PIX</v>
      </c>
      <c r="D1841" t="str">
        <f>"21252"</f>
        <v>21252</v>
      </c>
      <c r="E1841" t="str">
        <f t="shared" si="307"/>
        <v>1</v>
      </c>
      <c r="F1841" t="str">
        <f t="shared" si="310"/>
        <v>COM</v>
      </c>
      <c r="G1841" t="str">
        <f>"ROGÉRIO LAURINDO BORGES (176)"</f>
        <v>ROGÉRIO LAURINDO BORGES (176)</v>
      </c>
      <c r="H1841" t="s">
        <v>525</v>
      </c>
      <c r="I1841" t="str">
        <f t="shared" si="308"/>
        <v>11/09/2025</v>
      </c>
      <c r="J1841" t="str">
        <f t="shared" si="309"/>
        <v>02/09/2025</v>
      </c>
      <c r="K1841">
        <v>45911</v>
      </c>
      <c r="N1841">
        <v>109</v>
      </c>
      <c r="O1841" t="s">
        <v>24</v>
      </c>
      <c r="Q1841">
        <v>1272</v>
      </c>
      <c r="R1841" t="str">
        <f>"FARMÁCIA INDIANA LJ 142 (10066)"</f>
        <v>FARMÁCIA INDIANA LJ 142 (10066)</v>
      </c>
      <c r="S1841" t="s">
        <v>77</v>
      </c>
      <c r="T1841">
        <v>18154</v>
      </c>
      <c r="U1841">
        <v>21252</v>
      </c>
      <c r="V1841" t="s">
        <v>77</v>
      </c>
    </row>
    <row r="1842" spans="1:22">
      <c r="A1842" t="str">
        <f t="shared" si="304"/>
        <v>11/09/2025</v>
      </c>
      <c r="B1842" t="str">
        <f t="shared" si="305"/>
        <v>SAÍDA</v>
      </c>
      <c r="C1842" t="str">
        <f t="shared" si="306"/>
        <v>PIX</v>
      </c>
      <c r="D1842" t="str">
        <f>"21253"</f>
        <v>21253</v>
      </c>
      <c r="E1842" t="str">
        <f t="shared" si="307"/>
        <v>1</v>
      </c>
      <c r="F1842" t="str">
        <f t="shared" si="310"/>
        <v>COM</v>
      </c>
      <c r="G1842" t="str">
        <f>"RÔMULO LEMOS DE SOUZA (59)"</f>
        <v>RÔMULO LEMOS DE SOUZA (59)</v>
      </c>
      <c r="H1842" t="str">
        <f>"Serv.Prest. 25/08/2025 a 31/08/2025 - PIX: CELULAR - CHAVE: (33) 98840-0998"</f>
        <v>Serv.Prest. 25/08/2025 a 31/08/2025 - PIX: CELULAR - CHAVE: (33) 98840-0998</v>
      </c>
      <c r="I1842" t="str">
        <f t="shared" si="308"/>
        <v>11/09/2025</v>
      </c>
      <c r="J1842" t="str">
        <f t="shared" si="309"/>
        <v>02/09/2025</v>
      </c>
      <c r="K1842" t="str">
        <f>("11/09/2025")</f>
        <v>11/09/2025</v>
      </c>
      <c r="L1842">
        <v>996</v>
      </c>
      <c r="M1842">
        <v>996</v>
      </c>
      <c r="N1842">
        <v>109</v>
      </c>
      <c r="O1842" t="str">
        <f>"PAGAMENTO DE ENTREGADORES"</f>
        <v>PAGAMENTO DE ENTREGADORES</v>
      </c>
      <c r="P1842">
        <v>996</v>
      </c>
      <c r="S1842" t="str">
        <f>"BANCO C6 (149)"</f>
        <v>BANCO C6 (149)</v>
      </c>
      <c r="T1842">
        <v>18155</v>
      </c>
      <c r="U1842">
        <v>21253</v>
      </c>
      <c r="V1842" t="s">
        <v>77</v>
      </c>
    </row>
    <row r="1843" spans="1:22">
      <c r="A1843" t="str">
        <f t="shared" si="304"/>
        <v>11/09/2025</v>
      </c>
      <c r="B1843" t="str">
        <f t="shared" si="305"/>
        <v>SAÍDA</v>
      </c>
      <c r="C1843" t="str">
        <f t="shared" si="306"/>
        <v>PIX</v>
      </c>
      <c r="D1843" t="str">
        <f>"21253"</f>
        <v>21253</v>
      </c>
      <c r="E1843" t="str">
        <f t="shared" si="307"/>
        <v>1</v>
      </c>
      <c r="F1843" t="str">
        <f t="shared" si="310"/>
        <v>COM</v>
      </c>
      <c r="G1843" t="str">
        <f>"RÔMULO LEMOS DE SOUZA (59)"</f>
        <v>RÔMULO LEMOS DE SOUZA (59)</v>
      </c>
      <c r="H1843" t="s">
        <v>526</v>
      </c>
      <c r="I1843" t="str">
        <f t="shared" si="308"/>
        <v>11/09/2025</v>
      </c>
      <c r="J1843" t="str">
        <f t="shared" si="309"/>
        <v>02/09/2025</v>
      </c>
      <c r="K1843">
        <v>45911</v>
      </c>
      <c r="N1843">
        <v>109</v>
      </c>
      <c r="O1843" t="s">
        <v>24</v>
      </c>
      <c r="Q1843">
        <v>996</v>
      </c>
      <c r="R1843" t="str">
        <f>"FARMÁCIA INDIANA LJ 07 (10007)"</f>
        <v>FARMÁCIA INDIANA LJ 07 (10007)</v>
      </c>
      <c r="S1843" t="s">
        <v>77</v>
      </c>
      <c r="T1843">
        <v>18155</v>
      </c>
      <c r="U1843">
        <v>21253</v>
      </c>
      <c r="V1843" t="s">
        <v>77</v>
      </c>
    </row>
    <row r="1844" spans="1:22">
      <c r="A1844" t="str">
        <f t="shared" si="304"/>
        <v>11/09/2025</v>
      </c>
      <c r="B1844" t="str">
        <f t="shared" si="305"/>
        <v>SAÍDA</v>
      </c>
      <c r="C1844" t="str">
        <f t="shared" si="306"/>
        <v>PIX</v>
      </c>
      <c r="D1844" t="str">
        <f>"21255"</f>
        <v>21255</v>
      </c>
      <c r="E1844" t="str">
        <f t="shared" si="307"/>
        <v>1</v>
      </c>
      <c r="F1844" t="str">
        <f t="shared" si="310"/>
        <v>COM</v>
      </c>
      <c r="G1844" t="str">
        <f>"SANRIO OLIVEIRA DO CARMO (579)"</f>
        <v>SANRIO OLIVEIRA DO CARMO (579)</v>
      </c>
      <c r="H1844" t="str">
        <f>"Serv.Prest. 25/08/2025 a 31/08/2025 - PIX: CPF - CHAVE: 118.731.976-75"</f>
        <v>Serv.Prest. 25/08/2025 a 31/08/2025 - PIX: CPF - CHAVE: 118.731.976-75</v>
      </c>
      <c r="I1844" t="str">
        <f t="shared" si="308"/>
        <v>11/09/2025</v>
      </c>
      <c r="J1844" t="str">
        <f t="shared" si="309"/>
        <v>02/09/2025</v>
      </c>
      <c r="K1844" t="str">
        <f>("11/09/2025")</f>
        <v>11/09/2025</v>
      </c>
      <c r="L1844">
        <v>898</v>
      </c>
      <c r="M1844">
        <v>898</v>
      </c>
      <c r="N1844">
        <v>109</v>
      </c>
      <c r="O1844" t="str">
        <f>"PAGAMENTO DE ENTREGADORES"</f>
        <v>PAGAMENTO DE ENTREGADORES</v>
      </c>
      <c r="P1844">
        <v>898</v>
      </c>
      <c r="S1844" t="str">
        <f>"BANCO C6 (149)"</f>
        <v>BANCO C6 (149)</v>
      </c>
      <c r="T1844">
        <v>18156</v>
      </c>
      <c r="U1844">
        <v>21255</v>
      </c>
      <c r="V1844" t="s">
        <v>77</v>
      </c>
    </row>
    <row r="1845" spans="1:22">
      <c r="A1845" t="str">
        <f t="shared" si="304"/>
        <v>11/09/2025</v>
      </c>
      <c r="B1845" t="str">
        <f t="shared" si="305"/>
        <v>SAÍDA</v>
      </c>
      <c r="C1845" t="str">
        <f t="shared" si="306"/>
        <v>PIX</v>
      </c>
      <c r="D1845" t="str">
        <f>"21255"</f>
        <v>21255</v>
      </c>
      <c r="E1845" t="str">
        <f t="shared" si="307"/>
        <v>1</v>
      </c>
      <c r="F1845" t="str">
        <f t="shared" si="310"/>
        <v>COM</v>
      </c>
      <c r="G1845" t="str">
        <f>"SANRIO OLIVEIRA DO CARMO (579)"</f>
        <v>SANRIO OLIVEIRA DO CARMO (579)</v>
      </c>
      <c r="H1845" t="s">
        <v>431</v>
      </c>
      <c r="I1845" t="str">
        <f t="shared" si="308"/>
        <v>11/09/2025</v>
      </c>
      <c r="J1845" t="str">
        <f t="shared" si="309"/>
        <v>02/09/2025</v>
      </c>
      <c r="K1845">
        <v>45911</v>
      </c>
      <c r="N1845">
        <v>109</v>
      </c>
      <c r="O1845" t="s">
        <v>24</v>
      </c>
      <c r="Q1845">
        <v>898</v>
      </c>
      <c r="R1845" t="str">
        <f>"FARMÁCIA INDIANA LJ 152 (10069)"</f>
        <v>FARMÁCIA INDIANA LJ 152 (10069)</v>
      </c>
      <c r="S1845" t="s">
        <v>77</v>
      </c>
      <c r="T1845">
        <v>18156</v>
      </c>
      <c r="U1845">
        <v>21255</v>
      </c>
      <c r="V1845" t="s">
        <v>77</v>
      </c>
    </row>
    <row r="1846" spans="1:22">
      <c r="A1846" t="str">
        <f t="shared" si="304"/>
        <v>11/09/2025</v>
      </c>
      <c r="B1846" t="str">
        <f t="shared" si="305"/>
        <v>SAÍDA</v>
      </c>
      <c r="C1846" t="str">
        <f t="shared" si="306"/>
        <v>PIX</v>
      </c>
      <c r="D1846" t="str">
        <f>"21256"</f>
        <v>21256</v>
      </c>
      <c r="E1846" t="str">
        <f t="shared" si="307"/>
        <v>1</v>
      </c>
      <c r="F1846" t="str">
        <f t="shared" si="310"/>
        <v>COM</v>
      </c>
      <c r="G1846" t="str">
        <f>"SEDNEY GOMES SOARES (87)"</f>
        <v>SEDNEY GOMES SOARES (87)</v>
      </c>
      <c r="H1846" t="str">
        <f>"Serv.Prest. 25/08/2025 a 31/08/2025 - PIX: CPF - CHAVE: 048.151.276-46"</f>
        <v>Serv.Prest. 25/08/2025 a 31/08/2025 - PIX: CPF - CHAVE: 048.151.276-46</v>
      </c>
      <c r="I1846" t="str">
        <f t="shared" si="308"/>
        <v>11/09/2025</v>
      </c>
      <c r="J1846" t="str">
        <f t="shared" si="309"/>
        <v>02/09/2025</v>
      </c>
      <c r="K1846" t="str">
        <f>("11/09/2025")</f>
        <v>11/09/2025</v>
      </c>
      <c r="L1846">
        <v>730</v>
      </c>
      <c r="M1846">
        <v>730</v>
      </c>
      <c r="N1846">
        <v>109</v>
      </c>
      <c r="O1846" t="str">
        <f>"PAGAMENTO DE ENTREGADORES"</f>
        <v>PAGAMENTO DE ENTREGADORES</v>
      </c>
      <c r="P1846">
        <v>730</v>
      </c>
      <c r="S1846" t="str">
        <f>"BANCO C6 (149)"</f>
        <v>BANCO C6 (149)</v>
      </c>
      <c r="T1846">
        <v>18157</v>
      </c>
      <c r="U1846">
        <v>21256</v>
      </c>
      <c r="V1846" t="s">
        <v>77</v>
      </c>
    </row>
    <row r="1847" spans="1:22">
      <c r="A1847" t="str">
        <f t="shared" si="304"/>
        <v>11/09/2025</v>
      </c>
      <c r="B1847" t="str">
        <f t="shared" si="305"/>
        <v>SAÍDA</v>
      </c>
      <c r="C1847" t="str">
        <f t="shared" si="306"/>
        <v>PIX</v>
      </c>
      <c r="D1847" t="str">
        <f>"21256"</f>
        <v>21256</v>
      </c>
      <c r="E1847" t="str">
        <f t="shared" si="307"/>
        <v>1</v>
      </c>
      <c r="F1847" t="str">
        <f t="shared" si="310"/>
        <v>COM</v>
      </c>
      <c r="G1847" t="str">
        <f>"SEDNEY GOMES SOARES (87)"</f>
        <v>SEDNEY GOMES SOARES (87)</v>
      </c>
      <c r="H1847" t="s">
        <v>432</v>
      </c>
      <c r="I1847" t="str">
        <f t="shared" si="308"/>
        <v>11/09/2025</v>
      </c>
      <c r="J1847" t="str">
        <f t="shared" si="309"/>
        <v>02/09/2025</v>
      </c>
      <c r="K1847">
        <v>45911</v>
      </c>
      <c r="N1847">
        <v>109</v>
      </c>
      <c r="O1847" t="s">
        <v>24</v>
      </c>
      <c r="Q1847">
        <v>243.31</v>
      </c>
      <c r="R1847" t="str">
        <f>"FARMÁCIA INDIANA LJ 97 (10040)"</f>
        <v>FARMÁCIA INDIANA LJ 97 (10040)</v>
      </c>
      <c r="S1847" t="s">
        <v>77</v>
      </c>
      <c r="T1847">
        <v>18157</v>
      </c>
      <c r="U1847">
        <v>21256</v>
      </c>
      <c r="V1847" t="s">
        <v>77</v>
      </c>
    </row>
    <row r="1848" spans="1:22">
      <c r="A1848" t="str">
        <f t="shared" si="304"/>
        <v>11/09/2025</v>
      </c>
      <c r="B1848" t="str">
        <f t="shared" si="305"/>
        <v>SAÍDA</v>
      </c>
      <c r="C1848" t="str">
        <f t="shared" si="306"/>
        <v>PIX</v>
      </c>
      <c r="D1848" t="str">
        <f>"21256"</f>
        <v>21256</v>
      </c>
      <c r="E1848" t="str">
        <f t="shared" si="307"/>
        <v>1</v>
      </c>
      <c r="F1848" t="str">
        <f t="shared" si="310"/>
        <v>COM</v>
      </c>
      <c r="G1848" t="str">
        <f>"SEDNEY GOMES SOARES (87)"</f>
        <v>SEDNEY GOMES SOARES (87)</v>
      </c>
      <c r="H1848" t="s">
        <v>432</v>
      </c>
      <c r="I1848" t="str">
        <f t="shared" si="308"/>
        <v>11/09/2025</v>
      </c>
      <c r="J1848" t="str">
        <f t="shared" si="309"/>
        <v>02/09/2025</v>
      </c>
      <c r="K1848">
        <v>45911</v>
      </c>
      <c r="N1848">
        <v>109</v>
      </c>
      <c r="O1848" t="s">
        <v>24</v>
      </c>
      <c r="Q1848">
        <v>365</v>
      </c>
      <c r="R1848" t="str">
        <f>"FARMÁCIA INDIANA LJ 111 (10049)"</f>
        <v>FARMÁCIA INDIANA LJ 111 (10049)</v>
      </c>
      <c r="S1848" t="s">
        <v>77</v>
      </c>
      <c r="T1848">
        <v>18157</v>
      </c>
      <c r="U1848">
        <v>21256</v>
      </c>
      <c r="V1848" t="s">
        <v>77</v>
      </c>
    </row>
    <row r="1849" spans="1:22">
      <c r="A1849" t="str">
        <f t="shared" si="304"/>
        <v>11/09/2025</v>
      </c>
      <c r="B1849" t="str">
        <f t="shared" si="305"/>
        <v>SAÍDA</v>
      </c>
      <c r="C1849" t="str">
        <f t="shared" si="306"/>
        <v>PIX</v>
      </c>
      <c r="D1849" t="str">
        <f>"21256"</f>
        <v>21256</v>
      </c>
      <c r="E1849" t="str">
        <f t="shared" si="307"/>
        <v>1</v>
      </c>
      <c r="F1849" t="str">
        <f t="shared" si="310"/>
        <v>COM</v>
      </c>
      <c r="G1849" t="str">
        <f>"SEDNEY GOMES SOARES (87)"</f>
        <v>SEDNEY GOMES SOARES (87)</v>
      </c>
      <c r="H1849" t="s">
        <v>432</v>
      </c>
      <c r="I1849" t="str">
        <f t="shared" si="308"/>
        <v>11/09/2025</v>
      </c>
      <c r="J1849" t="str">
        <f t="shared" si="309"/>
        <v>02/09/2025</v>
      </c>
      <c r="K1849">
        <v>45911</v>
      </c>
      <c r="N1849">
        <v>109</v>
      </c>
      <c r="O1849" t="s">
        <v>24</v>
      </c>
      <c r="Q1849">
        <v>121.69</v>
      </c>
      <c r="R1849" t="str">
        <f>"FARMÁCIA INDIANA LJ 143 (10067)"</f>
        <v>FARMÁCIA INDIANA LJ 143 (10067)</v>
      </c>
      <c r="S1849" t="s">
        <v>77</v>
      </c>
      <c r="T1849">
        <v>18157</v>
      </c>
      <c r="U1849">
        <v>21256</v>
      </c>
      <c r="V1849" t="s">
        <v>77</v>
      </c>
    </row>
    <row r="1850" spans="1:22">
      <c r="A1850" t="str">
        <f t="shared" si="304"/>
        <v>11/09/2025</v>
      </c>
      <c r="B1850" t="str">
        <f t="shared" si="305"/>
        <v>SAÍDA</v>
      </c>
      <c r="C1850" t="str">
        <f t="shared" si="306"/>
        <v>PIX</v>
      </c>
      <c r="D1850" t="str">
        <f>"21257"</f>
        <v>21257</v>
      </c>
      <c r="E1850" t="str">
        <f t="shared" si="307"/>
        <v>1</v>
      </c>
      <c r="F1850" t="str">
        <f t="shared" si="310"/>
        <v>COM</v>
      </c>
      <c r="G1850" t="str">
        <f>"SILAS ALVES DE FREITAS (35)"</f>
        <v>SILAS ALVES DE FREITAS (35)</v>
      </c>
      <c r="H1850" t="str">
        <f>"Serv.Prest. 25/08/2025 a 31/08/2025 - PIX: CPF - CHAVE: 097.855.786-74"</f>
        <v>Serv.Prest. 25/08/2025 a 31/08/2025 - PIX: CPF - CHAVE: 097.855.786-74</v>
      </c>
      <c r="I1850" t="str">
        <f t="shared" si="308"/>
        <v>11/09/2025</v>
      </c>
      <c r="J1850" t="str">
        <f t="shared" si="309"/>
        <v>02/09/2025</v>
      </c>
      <c r="K1850" t="str">
        <f>("11/09/2025")</f>
        <v>11/09/2025</v>
      </c>
      <c r="L1850">
        <v>1074</v>
      </c>
      <c r="M1850">
        <v>1074</v>
      </c>
      <c r="N1850">
        <v>109</v>
      </c>
      <c r="O1850" t="str">
        <f>"PAGAMENTO DE ENTREGADORES"</f>
        <v>PAGAMENTO DE ENTREGADORES</v>
      </c>
      <c r="P1850">
        <v>1074</v>
      </c>
      <c r="S1850" t="str">
        <f>"BANCO C6 (149)"</f>
        <v>BANCO C6 (149)</v>
      </c>
      <c r="T1850">
        <v>18158</v>
      </c>
      <c r="U1850">
        <v>21257</v>
      </c>
      <c r="V1850" t="s">
        <v>77</v>
      </c>
    </row>
    <row r="1851" spans="1:22">
      <c r="A1851" t="str">
        <f t="shared" si="304"/>
        <v>11/09/2025</v>
      </c>
      <c r="B1851" t="str">
        <f t="shared" si="305"/>
        <v>SAÍDA</v>
      </c>
      <c r="C1851" t="str">
        <f t="shared" si="306"/>
        <v>PIX</v>
      </c>
      <c r="D1851" t="str">
        <f>"21257"</f>
        <v>21257</v>
      </c>
      <c r="E1851" t="str">
        <f t="shared" si="307"/>
        <v>1</v>
      </c>
      <c r="F1851" t="str">
        <f t="shared" si="310"/>
        <v>COM</v>
      </c>
      <c r="G1851" t="str">
        <f>"SILAS ALVES DE FREITAS (35)"</f>
        <v>SILAS ALVES DE FREITAS (35)</v>
      </c>
      <c r="H1851" t="s">
        <v>527</v>
      </c>
      <c r="I1851" t="str">
        <f t="shared" si="308"/>
        <v>11/09/2025</v>
      </c>
      <c r="J1851" t="str">
        <f t="shared" si="309"/>
        <v>02/09/2025</v>
      </c>
      <c r="K1851">
        <v>45911</v>
      </c>
      <c r="N1851">
        <v>109</v>
      </c>
      <c r="O1851" t="s">
        <v>24</v>
      </c>
      <c r="Q1851">
        <v>1074</v>
      </c>
      <c r="R1851" t="str">
        <f>"FARMÁCIA INDIANA LJ 172 (10161)"</f>
        <v>FARMÁCIA INDIANA LJ 172 (10161)</v>
      </c>
      <c r="S1851" t="s">
        <v>77</v>
      </c>
      <c r="T1851">
        <v>18158</v>
      </c>
      <c r="U1851">
        <v>21257</v>
      </c>
      <c r="V1851" t="s">
        <v>77</v>
      </c>
    </row>
    <row r="1852" spans="1:22">
      <c r="A1852" t="str">
        <f t="shared" si="304"/>
        <v>11/09/2025</v>
      </c>
      <c r="B1852" t="str">
        <f t="shared" si="305"/>
        <v>SAÍDA</v>
      </c>
      <c r="C1852" t="str">
        <f t="shared" si="306"/>
        <v>PIX</v>
      </c>
      <c r="D1852" t="str">
        <f>"21258"</f>
        <v>21258</v>
      </c>
      <c r="E1852" t="str">
        <f t="shared" si="307"/>
        <v>1</v>
      </c>
      <c r="F1852" t="str">
        <f t="shared" si="310"/>
        <v>COM</v>
      </c>
      <c r="G1852" t="str">
        <f>"TAYSON BARBOSA SILVINO (613)"</f>
        <v>TAYSON BARBOSA SILVINO (613)</v>
      </c>
      <c r="H1852" t="str">
        <f>"Serv.Prest. 25/08/2025 a 31/08/2025 - PIX: CHAVE ALEATÓRIA - CHAVE: 1550e869-c9d7-4436-be93-6858fd0cb900"</f>
        <v>Serv.Prest. 25/08/2025 a 31/08/2025 - PIX: CHAVE ALEATÓRIA - CHAVE: 1550e869-c9d7-4436-be93-6858fd0cb900</v>
      </c>
      <c r="I1852" t="str">
        <f t="shared" si="308"/>
        <v>11/09/2025</v>
      </c>
      <c r="J1852" t="str">
        <f t="shared" si="309"/>
        <v>02/09/2025</v>
      </c>
      <c r="K1852" t="str">
        <f>("11/09/2025")</f>
        <v>11/09/2025</v>
      </c>
      <c r="L1852">
        <v>868</v>
      </c>
      <c r="M1852">
        <v>868</v>
      </c>
      <c r="N1852">
        <v>109</v>
      </c>
      <c r="O1852" t="str">
        <f>"PAGAMENTO DE ENTREGADORES"</f>
        <v>PAGAMENTO DE ENTREGADORES</v>
      </c>
      <c r="P1852">
        <v>868</v>
      </c>
      <c r="S1852" t="str">
        <f>"BANCO C6 (149)"</f>
        <v>BANCO C6 (149)</v>
      </c>
      <c r="T1852">
        <v>18159</v>
      </c>
      <c r="U1852">
        <v>21258</v>
      </c>
      <c r="V1852" t="s">
        <v>77</v>
      </c>
    </row>
    <row r="1853" spans="1:22">
      <c r="A1853" t="str">
        <f t="shared" si="304"/>
        <v>11/09/2025</v>
      </c>
      <c r="B1853" t="str">
        <f t="shared" si="305"/>
        <v>SAÍDA</v>
      </c>
      <c r="C1853" t="str">
        <f t="shared" si="306"/>
        <v>PIX</v>
      </c>
      <c r="D1853" t="str">
        <f>"21258"</f>
        <v>21258</v>
      </c>
      <c r="E1853" t="str">
        <f t="shared" si="307"/>
        <v>1</v>
      </c>
      <c r="F1853" t="str">
        <f t="shared" si="310"/>
        <v>COM</v>
      </c>
      <c r="G1853" t="str">
        <f>"TAYSON BARBOSA SILVINO (613)"</f>
        <v>TAYSON BARBOSA SILVINO (613)</v>
      </c>
      <c r="H1853" t="s">
        <v>435</v>
      </c>
      <c r="I1853" t="str">
        <f t="shared" si="308"/>
        <v>11/09/2025</v>
      </c>
      <c r="J1853" t="str">
        <f t="shared" si="309"/>
        <v>02/09/2025</v>
      </c>
      <c r="K1853">
        <v>45911</v>
      </c>
      <c r="N1853">
        <v>109</v>
      </c>
      <c r="O1853" t="s">
        <v>24</v>
      </c>
      <c r="Q1853">
        <v>868</v>
      </c>
      <c r="R1853" t="str">
        <f>"FARMÁCIA INDIANA LJ 19 (10012)"</f>
        <v>FARMÁCIA INDIANA LJ 19 (10012)</v>
      </c>
      <c r="S1853" t="s">
        <v>77</v>
      </c>
      <c r="T1853">
        <v>18159</v>
      </c>
      <c r="U1853">
        <v>21258</v>
      </c>
      <c r="V1853" t="s">
        <v>77</v>
      </c>
    </row>
    <row r="1854" spans="1:22">
      <c r="A1854" t="str">
        <f t="shared" si="304"/>
        <v>11/09/2025</v>
      </c>
      <c r="B1854" t="str">
        <f t="shared" si="305"/>
        <v>SAÍDA</v>
      </c>
      <c r="C1854" t="str">
        <f t="shared" si="306"/>
        <v>PIX</v>
      </c>
      <c r="D1854" t="str">
        <f>"21260"</f>
        <v>21260</v>
      </c>
      <c r="E1854" t="str">
        <f t="shared" si="307"/>
        <v>1</v>
      </c>
      <c r="F1854" t="str">
        <f t="shared" si="310"/>
        <v>COM</v>
      </c>
      <c r="G1854" t="str">
        <f>"TÚLIO VIANA MARQUES (22)"</f>
        <v>TÚLIO VIANA MARQUES (22)</v>
      </c>
      <c r="H1854" t="str">
        <f>"Serv.Prest. 25/08/2025 a 31/08/2025 - PIX: CPF - CHAVE: 131.280.206-55"</f>
        <v>Serv.Prest. 25/08/2025 a 31/08/2025 - PIX: CPF - CHAVE: 131.280.206-55</v>
      </c>
      <c r="I1854" t="str">
        <f t="shared" si="308"/>
        <v>11/09/2025</v>
      </c>
      <c r="J1854" t="str">
        <f t="shared" si="309"/>
        <v>02/09/2025</v>
      </c>
      <c r="K1854" t="str">
        <f>("11/09/2025")</f>
        <v>11/09/2025</v>
      </c>
      <c r="L1854">
        <v>16.5</v>
      </c>
      <c r="M1854">
        <v>16.5</v>
      </c>
      <c r="N1854">
        <v>109</v>
      </c>
      <c r="O1854" t="str">
        <f>"PAGAMENTO DE ENTREGADORES"</f>
        <v>PAGAMENTO DE ENTREGADORES</v>
      </c>
      <c r="P1854">
        <v>16.5</v>
      </c>
      <c r="S1854" t="str">
        <f>"BANCO C6 (149)"</f>
        <v>BANCO C6 (149)</v>
      </c>
      <c r="T1854">
        <v>18160</v>
      </c>
      <c r="U1854">
        <v>21260</v>
      </c>
      <c r="V1854" t="s">
        <v>77</v>
      </c>
    </row>
    <row r="1855" spans="1:22">
      <c r="A1855" t="str">
        <f t="shared" si="304"/>
        <v>11/09/2025</v>
      </c>
      <c r="B1855" t="str">
        <f t="shared" si="305"/>
        <v>SAÍDA</v>
      </c>
      <c r="C1855" t="str">
        <f t="shared" si="306"/>
        <v>PIX</v>
      </c>
      <c r="D1855" t="str">
        <f>"21260"</f>
        <v>21260</v>
      </c>
      <c r="E1855" t="str">
        <f t="shared" si="307"/>
        <v>1</v>
      </c>
      <c r="F1855" t="str">
        <f t="shared" si="310"/>
        <v>COM</v>
      </c>
      <c r="G1855" t="str">
        <f>"TÚLIO VIANA MARQUES (22)"</f>
        <v>TÚLIO VIANA MARQUES (22)</v>
      </c>
      <c r="H1855" t="s">
        <v>528</v>
      </c>
      <c r="I1855" t="str">
        <f t="shared" si="308"/>
        <v>11/09/2025</v>
      </c>
      <c r="J1855" t="str">
        <f t="shared" si="309"/>
        <v>02/09/2025</v>
      </c>
      <c r="K1855">
        <v>45911</v>
      </c>
      <c r="N1855">
        <v>109</v>
      </c>
      <c r="O1855" t="s">
        <v>24</v>
      </c>
      <c r="Q1855">
        <v>16.5</v>
      </c>
      <c r="R1855" t="str">
        <f>"FARMÁCIA INDIANA LJ 61 (10027)"</f>
        <v>FARMÁCIA INDIANA LJ 61 (10027)</v>
      </c>
      <c r="S1855" t="s">
        <v>77</v>
      </c>
      <c r="T1855">
        <v>18160</v>
      </c>
      <c r="U1855">
        <v>21260</v>
      </c>
      <c r="V1855" t="s">
        <v>77</v>
      </c>
    </row>
    <row r="1856" spans="1:22">
      <c r="A1856" t="str">
        <f t="shared" si="304"/>
        <v>11/09/2025</v>
      </c>
      <c r="B1856" t="str">
        <f t="shared" si="305"/>
        <v>SAÍDA</v>
      </c>
      <c r="C1856" t="str">
        <f t="shared" si="306"/>
        <v>PIX</v>
      </c>
      <c r="D1856" t="str">
        <f>"21262"</f>
        <v>21262</v>
      </c>
      <c r="E1856" t="str">
        <f t="shared" si="307"/>
        <v>1</v>
      </c>
      <c r="F1856" t="str">
        <f t="shared" si="310"/>
        <v>COM</v>
      </c>
      <c r="G1856" t="str">
        <f>"VINICIUS DE SOUZA ISABEL (658)"</f>
        <v>VINICIUS DE SOUZA ISABEL (658)</v>
      </c>
      <c r="H1856" t="str">
        <f>"Serv.Prest. 25/08/2025 a 31/08/2025 - PIX: CPF - CHAVE: 092.566.416-23"</f>
        <v>Serv.Prest. 25/08/2025 a 31/08/2025 - PIX: CPF - CHAVE: 092.566.416-23</v>
      </c>
      <c r="I1856" t="str">
        <f t="shared" si="308"/>
        <v>11/09/2025</v>
      </c>
      <c r="J1856" t="str">
        <f t="shared" si="309"/>
        <v>02/09/2025</v>
      </c>
      <c r="K1856" t="str">
        <f>("11/09/2025")</f>
        <v>11/09/2025</v>
      </c>
      <c r="L1856">
        <v>736</v>
      </c>
      <c r="M1856">
        <v>736</v>
      </c>
      <c r="N1856">
        <v>109</v>
      </c>
      <c r="O1856" t="str">
        <f>"PAGAMENTO DE ENTREGADORES"</f>
        <v>PAGAMENTO DE ENTREGADORES</v>
      </c>
      <c r="P1856">
        <v>736</v>
      </c>
      <c r="S1856" t="str">
        <f>"BANCO C6 (149)"</f>
        <v>BANCO C6 (149)</v>
      </c>
      <c r="T1856">
        <v>18161</v>
      </c>
      <c r="U1856">
        <v>21262</v>
      </c>
      <c r="V1856" t="s">
        <v>77</v>
      </c>
    </row>
    <row r="1857" spans="1:22">
      <c r="A1857" t="str">
        <f t="shared" si="304"/>
        <v>11/09/2025</v>
      </c>
      <c r="B1857" t="str">
        <f t="shared" si="305"/>
        <v>SAÍDA</v>
      </c>
      <c r="C1857" t="str">
        <f t="shared" si="306"/>
        <v>PIX</v>
      </c>
      <c r="D1857" t="str">
        <f>"21262"</f>
        <v>21262</v>
      </c>
      <c r="E1857" t="str">
        <f t="shared" si="307"/>
        <v>1</v>
      </c>
      <c r="F1857" t="str">
        <f t="shared" si="310"/>
        <v>COM</v>
      </c>
      <c r="G1857" t="str">
        <f>"VINICIUS DE SOUZA ISABEL (658)"</f>
        <v>VINICIUS DE SOUZA ISABEL (658)</v>
      </c>
      <c r="H1857" t="s">
        <v>438</v>
      </c>
      <c r="I1857" t="str">
        <f t="shared" si="308"/>
        <v>11/09/2025</v>
      </c>
      <c r="J1857" t="str">
        <f t="shared" si="309"/>
        <v>02/09/2025</v>
      </c>
      <c r="K1857">
        <v>45911</v>
      </c>
      <c r="N1857">
        <v>109</v>
      </c>
      <c r="O1857" t="s">
        <v>24</v>
      </c>
      <c r="Q1857">
        <v>736</v>
      </c>
      <c r="R1857" t="str">
        <f>"FARMÁCIA INDIANA LJ 219 (10091)"</f>
        <v>FARMÁCIA INDIANA LJ 219 (10091)</v>
      </c>
      <c r="S1857" t="s">
        <v>77</v>
      </c>
      <c r="T1857">
        <v>18161</v>
      </c>
      <c r="U1857">
        <v>21262</v>
      </c>
      <c r="V1857" t="s">
        <v>77</v>
      </c>
    </row>
    <row r="1858" spans="1:22">
      <c r="A1858" t="str">
        <f t="shared" si="304"/>
        <v>11/09/2025</v>
      </c>
      <c r="B1858" t="str">
        <f t="shared" si="305"/>
        <v>SAÍDA</v>
      </c>
      <c r="C1858" t="str">
        <f t="shared" si="306"/>
        <v>PIX</v>
      </c>
      <c r="D1858" t="str">
        <f>"21263"</f>
        <v>21263</v>
      </c>
      <c r="E1858" t="str">
        <f t="shared" si="307"/>
        <v>1</v>
      </c>
      <c r="F1858" t="str">
        <f t="shared" si="310"/>
        <v>COM</v>
      </c>
      <c r="G1858" t="str">
        <f>"VITOR CARDOSO FAUSTINO (257)"</f>
        <v>VITOR CARDOSO FAUSTINO (257)</v>
      </c>
      <c r="H1858" t="str">
        <f>"Serv.Prest. 25/08/2025 a 31/08/2025 - PIX: CPF - CHAVE: 157.874.046-02"</f>
        <v>Serv.Prest. 25/08/2025 a 31/08/2025 - PIX: CPF - CHAVE: 157.874.046-02</v>
      </c>
      <c r="I1858" t="str">
        <f t="shared" si="308"/>
        <v>11/09/2025</v>
      </c>
      <c r="J1858" t="str">
        <f t="shared" si="309"/>
        <v>02/09/2025</v>
      </c>
      <c r="K1858" t="str">
        <f>("11/09/2025")</f>
        <v>11/09/2025</v>
      </c>
      <c r="L1858">
        <v>108</v>
      </c>
      <c r="M1858">
        <v>108</v>
      </c>
      <c r="N1858">
        <v>109</v>
      </c>
      <c r="O1858" t="str">
        <f>"PAGAMENTO DE ENTREGADORES"</f>
        <v>PAGAMENTO DE ENTREGADORES</v>
      </c>
      <c r="P1858">
        <v>108</v>
      </c>
      <c r="S1858" t="str">
        <f>"BANCO C6 (149)"</f>
        <v>BANCO C6 (149)</v>
      </c>
      <c r="T1858">
        <v>18162</v>
      </c>
      <c r="U1858">
        <v>21263</v>
      </c>
      <c r="V1858" t="s">
        <v>77</v>
      </c>
    </row>
    <row r="1859" spans="1:22">
      <c r="A1859" t="str">
        <f t="shared" si="304"/>
        <v>11/09/2025</v>
      </c>
      <c r="B1859" t="str">
        <f t="shared" si="305"/>
        <v>SAÍDA</v>
      </c>
      <c r="C1859" t="str">
        <f t="shared" si="306"/>
        <v>PIX</v>
      </c>
      <c r="D1859" t="str">
        <f>"21263"</f>
        <v>21263</v>
      </c>
      <c r="E1859" t="str">
        <f t="shared" si="307"/>
        <v>1</v>
      </c>
      <c r="F1859" t="str">
        <f t="shared" si="310"/>
        <v>COM</v>
      </c>
      <c r="G1859" t="str">
        <f>"VITOR CARDOSO FAUSTINO (257)"</f>
        <v>VITOR CARDOSO FAUSTINO (257)</v>
      </c>
      <c r="H1859" t="s">
        <v>441</v>
      </c>
      <c r="I1859" t="str">
        <f t="shared" si="308"/>
        <v>11/09/2025</v>
      </c>
      <c r="J1859" t="str">
        <f t="shared" si="309"/>
        <v>02/09/2025</v>
      </c>
      <c r="K1859">
        <v>45911</v>
      </c>
      <c r="N1859">
        <v>109</v>
      </c>
      <c r="O1859" t="s">
        <v>24</v>
      </c>
      <c r="Q1859">
        <v>108</v>
      </c>
      <c r="R1859" t="str">
        <f>"FARMÁCIA INDIANA LJ 07 (10007)"</f>
        <v>FARMÁCIA INDIANA LJ 07 (10007)</v>
      </c>
      <c r="S1859" t="s">
        <v>77</v>
      </c>
      <c r="T1859">
        <v>18162</v>
      </c>
      <c r="U1859">
        <v>21263</v>
      </c>
      <c r="V1859" t="s">
        <v>77</v>
      </c>
    </row>
    <row r="1860" spans="1:22">
      <c r="A1860" t="str">
        <f t="shared" si="304"/>
        <v>11/09/2025</v>
      </c>
      <c r="B1860" t="str">
        <f t="shared" si="305"/>
        <v>SAÍDA</v>
      </c>
      <c r="C1860" t="str">
        <f t="shared" si="306"/>
        <v>PIX</v>
      </c>
      <c r="D1860" t="str">
        <f>"21264"</f>
        <v>21264</v>
      </c>
      <c r="E1860" t="str">
        <f t="shared" si="307"/>
        <v>1</v>
      </c>
      <c r="F1860" t="str">
        <f t="shared" si="310"/>
        <v>COM</v>
      </c>
      <c r="G1860" t="str">
        <f>"VITOR DE SOUZA SILVA (360)"</f>
        <v>VITOR DE SOUZA SILVA (360)</v>
      </c>
      <c r="H1860" t="str">
        <f>"Serv.Prest. 25/08/2025 a 31/08/2025 - PIX: CPF - CHAVE: 130.194.566-81"</f>
        <v>Serv.Prest. 25/08/2025 a 31/08/2025 - PIX: CPF - CHAVE: 130.194.566-81</v>
      </c>
      <c r="I1860" t="str">
        <f t="shared" si="308"/>
        <v>11/09/2025</v>
      </c>
      <c r="J1860" t="str">
        <f t="shared" si="309"/>
        <v>02/09/2025</v>
      </c>
      <c r="K1860" t="str">
        <f>("11/09/2025")</f>
        <v>11/09/2025</v>
      </c>
      <c r="L1860">
        <v>680.8</v>
      </c>
      <c r="M1860">
        <v>680.8</v>
      </c>
      <c r="N1860">
        <v>109</v>
      </c>
      <c r="O1860" t="str">
        <f>"PAGAMENTO DE ENTREGADORES"</f>
        <v>PAGAMENTO DE ENTREGADORES</v>
      </c>
      <c r="P1860">
        <v>680.8</v>
      </c>
      <c r="S1860" t="str">
        <f>"BANCO C6 (149)"</f>
        <v>BANCO C6 (149)</v>
      </c>
      <c r="T1860">
        <v>18163</v>
      </c>
      <c r="U1860">
        <v>21264</v>
      </c>
      <c r="V1860" t="s">
        <v>77</v>
      </c>
    </row>
    <row r="1861" spans="1:22">
      <c r="A1861" t="str">
        <f t="shared" si="304"/>
        <v>11/09/2025</v>
      </c>
      <c r="B1861" t="str">
        <f t="shared" si="305"/>
        <v>SAÍDA</v>
      </c>
      <c r="C1861" t="str">
        <f t="shared" si="306"/>
        <v>PIX</v>
      </c>
      <c r="D1861" t="str">
        <f>"21264"</f>
        <v>21264</v>
      </c>
      <c r="E1861" t="str">
        <f t="shared" si="307"/>
        <v>1</v>
      </c>
      <c r="F1861" t="str">
        <f t="shared" si="310"/>
        <v>COM</v>
      </c>
      <c r="G1861" t="str">
        <f>"VITOR DE SOUZA SILVA (360)"</f>
        <v>VITOR DE SOUZA SILVA (360)</v>
      </c>
      <c r="H1861" t="s">
        <v>443</v>
      </c>
      <c r="I1861" t="str">
        <f t="shared" si="308"/>
        <v>11/09/2025</v>
      </c>
      <c r="J1861" t="str">
        <f t="shared" si="309"/>
        <v>02/09/2025</v>
      </c>
      <c r="K1861">
        <v>45911</v>
      </c>
      <c r="N1861">
        <v>109</v>
      </c>
      <c r="O1861" t="s">
        <v>24</v>
      </c>
      <c r="Q1861">
        <v>680.8</v>
      </c>
      <c r="R1861" t="str">
        <f>"FARMÁCIA INDIANA LJ 121 (10054)"</f>
        <v>FARMÁCIA INDIANA LJ 121 (10054)</v>
      </c>
      <c r="S1861" t="s">
        <v>77</v>
      </c>
      <c r="T1861">
        <v>18163</v>
      </c>
      <c r="U1861">
        <v>21264</v>
      </c>
      <c r="V1861" t="s">
        <v>77</v>
      </c>
    </row>
    <row r="1862" spans="1:22">
      <c r="A1862" t="str">
        <f t="shared" si="304"/>
        <v>11/09/2025</v>
      </c>
      <c r="B1862" t="str">
        <f t="shared" si="305"/>
        <v>SAÍDA</v>
      </c>
      <c r="C1862" t="str">
        <f t="shared" si="306"/>
        <v>PIX</v>
      </c>
      <c r="D1862" t="str">
        <f>"21265"</f>
        <v>21265</v>
      </c>
      <c r="E1862" t="str">
        <f t="shared" si="307"/>
        <v>1</v>
      </c>
      <c r="F1862" t="str">
        <f t="shared" si="310"/>
        <v>COM</v>
      </c>
      <c r="G1862" t="str">
        <f>"WAGNER DOS SANTOS LIMA (31)"</f>
        <v>WAGNER DOS SANTOS LIMA (31)</v>
      </c>
      <c r="H1862" t="str">
        <f>"Serv.Prest. 25/08/2025 a 31/08/2025 - PIX: CELULAR - CHAVE: (33) 99118-9032"</f>
        <v>Serv.Prest. 25/08/2025 a 31/08/2025 - PIX: CELULAR - CHAVE: (33) 99118-9032</v>
      </c>
      <c r="I1862" t="str">
        <f t="shared" si="308"/>
        <v>11/09/2025</v>
      </c>
      <c r="J1862" t="str">
        <f t="shared" si="309"/>
        <v>02/09/2025</v>
      </c>
      <c r="K1862" t="str">
        <f>("11/09/2025")</f>
        <v>11/09/2025</v>
      </c>
      <c r="L1862">
        <v>1045</v>
      </c>
      <c r="M1862">
        <v>1045</v>
      </c>
      <c r="N1862">
        <v>109</v>
      </c>
      <c r="O1862" t="str">
        <f>"PAGAMENTO DE ENTREGADORES"</f>
        <v>PAGAMENTO DE ENTREGADORES</v>
      </c>
      <c r="P1862">
        <v>1045</v>
      </c>
      <c r="S1862" t="str">
        <f>"BANCO C6 (149)"</f>
        <v>BANCO C6 (149)</v>
      </c>
      <c r="T1862">
        <v>18164</v>
      </c>
      <c r="U1862">
        <v>21265</v>
      </c>
      <c r="V1862" t="s">
        <v>77</v>
      </c>
    </row>
    <row r="1863" spans="1:22">
      <c r="A1863" t="str">
        <f t="shared" si="304"/>
        <v>11/09/2025</v>
      </c>
      <c r="B1863" t="str">
        <f t="shared" si="305"/>
        <v>SAÍDA</v>
      </c>
      <c r="C1863" t="str">
        <f t="shared" si="306"/>
        <v>PIX</v>
      </c>
      <c r="D1863" t="str">
        <f>"21265"</f>
        <v>21265</v>
      </c>
      <c r="E1863" t="str">
        <f t="shared" si="307"/>
        <v>1</v>
      </c>
      <c r="F1863" t="str">
        <f t="shared" si="310"/>
        <v>COM</v>
      </c>
      <c r="G1863" t="str">
        <f>"WAGNER DOS SANTOS LIMA (31)"</f>
        <v>WAGNER DOS SANTOS LIMA (31)</v>
      </c>
      <c r="H1863" t="s">
        <v>529</v>
      </c>
      <c r="I1863" t="str">
        <f t="shared" si="308"/>
        <v>11/09/2025</v>
      </c>
      <c r="J1863" t="str">
        <f t="shared" si="309"/>
        <v>02/09/2025</v>
      </c>
      <c r="K1863">
        <v>45911</v>
      </c>
      <c r="N1863">
        <v>109</v>
      </c>
      <c r="O1863" t="s">
        <v>24</v>
      </c>
      <c r="Q1863">
        <v>27.48</v>
      </c>
      <c r="R1863" t="str">
        <f>"FARMÁCIA INDIANA LJ 40 (10016)"</f>
        <v>FARMÁCIA INDIANA LJ 40 (10016)</v>
      </c>
      <c r="S1863" t="s">
        <v>77</v>
      </c>
      <c r="T1863">
        <v>18164</v>
      </c>
      <c r="U1863">
        <v>21265</v>
      </c>
      <c r="V1863" t="s">
        <v>77</v>
      </c>
    </row>
    <row r="1864" spans="1:22">
      <c r="A1864" t="str">
        <f t="shared" si="304"/>
        <v>11/09/2025</v>
      </c>
      <c r="B1864" t="str">
        <f t="shared" si="305"/>
        <v>SAÍDA</v>
      </c>
      <c r="C1864" t="str">
        <f t="shared" si="306"/>
        <v>PIX</v>
      </c>
      <c r="D1864" t="str">
        <f>"21265"</f>
        <v>21265</v>
      </c>
      <c r="E1864" t="str">
        <f t="shared" si="307"/>
        <v>1</v>
      </c>
      <c r="F1864" t="str">
        <f t="shared" si="310"/>
        <v>COM</v>
      </c>
      <c r="G1864" t="str">
        <f>"WAGNER DOS SANTOS LIMA (31)"</f>
        <v>WAGNER DOS SANTOS LIMA (31)</v>
      </c>
      <c r="H1864" t="s">
        <v>529</v>
      </c>
      <c r="I1864" t="str">
        <f t="shared" si="308"/>
        <v>11/09/2025</v>
      </c>
      <c r="J1864" t="str">
        <f t="shared" si="309"/>
        <v>02/09/2025</v>
      </c>
      <c r="K1864">
        <v>45911</v>
      </c>
      <c r="N1864">
        <v>109</v>
      </c>
      <c r="O1864" t="s">
        <v>24</v>
      </c>
      <c r="Q1864">
        <v>1017.52</v>
      </c>
      <c r="R1864" t="str">
        <f>"FARMÁCIA INDIANA LJ 61 (10027)"</f>
        <v>FARMÁCIA INDIANA LJ 61 (10027)</v>
      </c>
      <c r="S1864" t="s">
        <v>77</v>
      </c>
      <c r="T1864">
        <v>18164</v>
      </c>
      <c r="U1864">
        <v>21265</v>
      </c>
      <c r="V1864" t="s">
        <v>77</v>
      </c>
    </row>
    <row r="1865" spans="1:22">
      <c r="A1865" t="str">
        <f t="shared" si="304"/>
        <v>11/09/2025</v>
      </c>
      <c r="B1865" t="str">
        <f t="shared" si="305"/>
        <v>SAÍDA</v>
      </c>
      <c r="C1865" t="str">
        <f t="shared" si="306"/>
        <v>PIX</v>
      </c>
      <c r="D1865" t="str">
        <f>"21266"</f>
        <v>21266</v>
      </c>
      <c r="E1865" t="str">
        <f t="shared" si="307"/>
        <v>1</v>
      </c>
      <c r="F1865" t="str">
        <f t="shared" si="310"/>
        <v>COM</v>
      </c>
      <c r="G1865" t="str">
        <f>"WANDERSON JÚNIOR SOARES (628)"</f>
        <v>WANDERSON JÚNIOR SOARES (628)</v>
      </c>
      <c r="H1865" t="str">
        <f>"Serv.Prest. 25/08/2025 a 31/08/2025 - PIX: CPF - CHAVE: 170.180.266-01"</f>
        <v>Serv.Prest. 25/08/2025 a 31/08/2025 - PIX: CPF - CHAVE: 170.180.266-01</v>
      </c>
      <c r="I1865" t="str">
        <f t="shared" si="308"/>
        <v>11/09/2025</v>
      </c>
      <c r="J1865" t="str">
        <f t="shared" si="309"/>
        <v>02/09/2025</v>
      </c>
      <c r="K1865" t="str">
        <f>("11/09/2025")</f>
        <v>11/09/2025</v>
      </c>
      <c r="L1865">
        <v>682</v>
      </c>
      <c r="M1865">
        <v>682</v>
      </c>
      <c r="N1865">
        <v>109</v>
      </c>
      <c r="O1865" t="str">
        <f>"PAGAMENTO DE ENTREGADORES"</f>
        <v>PAGAMENTO DE ENTREGADORES</v>
      </c>
      <c r="P1865">
        <v>682</v>
      </c>
      <c r="S1865" t="str">
        <f>"BANCO C6 (149)"</f>
        <v>BANCO C6 (149)</v>
      </c>
      <c r="T1865">
        <v>18165</v>
      </c>
      <c r="U1865">
        <v>21266</v>
      </c>
      <c r="V1865" t="s">
        <v>77</v>
      </c>
    </row>
    <row r="1866" spans="1:22">
      <c r="A1866" t="str">
        <f t="shared" si="304"/>
        <v>11/09/2025</v>
      </c>
      <c r="B1866" t="str">
        <f t="shared" si="305"/>
        <v>SAÍDA</v>
      </c>
      <c r="C1866" t="str">
        <f t="shared" si="306"/>
        <v>PIX</v>
      </c>
      <c r="D1866" t="str">
        <f>"21266"</f>
        <v>21266</v>
      </c>
      <c r="E1866" t="str">
        <f t="shared" si="307"/>
        <v>1</v>
      </c>
      <c r="F1866" t="str">
        <f t="shared" si="310"/>
        <v>COM</v>
      </c>
      <c r="G1866" t="str">
        <f>"WANDERSON JÚNIOR SOARES (628)"</f>
        <v>WANDERSON JÚNIOR SOARES (628)</v>
      </c>
      <c r="H1866" t="s">
        <v>28</v>
      </c>
      <c r="I1866" t="str">
        <f t="shared" si="308"/>
        <v>11/09/2025</v>
      </c>
      <c r="J1866" t="str">
        <f t="shared" si="309"/>
        <v>02/09/2025</v>
      </c>
      <c r="K1866">
        <v>45911</v>
      </c>
      <c r="N1866">
        <v>109</v>
      </c>
      <c r="O1866" t="s">
        <v>24</v>
      </c>
      <c r="Q1866">
        <v>682</v>
      </c>
      <c r="R1866" t="str">
        <f>"FARMÁCIA INDIANA LJ 110 (10048)"</f>
        <v>FARMÁCIA INDIANA LJ 110 (10048)</v>
      </c>
      <c r="S1866" t="s">
        <v>77</v>
      </c>
      <c r="T1866">
        <v>18165</v>
      </c>
      <c r="U1866">
        <v>21266</v>
      </c>
      <c r="V1866" t="s">
        <v>77</v>
      </c>
    </row>
    <row r="1867" spans="1:22">
      <c r="A1867" t="str">
        <f t="shared" si="304"/>
        <v>11/09/2025</v>
      </c>
      <c r="B1867" t="str">
        <f t="shared" si="305"/>
        <v>SAÍDA</v>
      </c>
      <c r="C1867" t="str">
        <f t="shared" si="306"/>
        <v>PIX</v>
      </c>
      <c r="D1867" t="str">
        <f>"21267"</f>
        <v>21267</v>
      </c>
      <c r="E1867" t="str">
        <f t="shared" si="307"/>
        <v>1</v>
      </c>
      <c r="F1867" t="str">
        <f t="shared" si="310"/>
        <v>COM</v>
      </c>
      <c r="G1867" t="str">
        <f>"WARLEN JUNIO ELIAS DE OLIVEIRA (171)"</f>
        <v>WARLEN JUNIO ELIAS DE OLIVEIRA (171)</v>
      </c>
      <c r="H1867" t="str">
        <f>"Serv.Prest. 25/08/2025 a 31/08/2025 - PIX: CELULAR - CHAVE: (31) 97251-6838"</f>
        <v>Serv.Prest. 25/08/2025 a 31/08/2025 - PIX: CELULAR - CHAVE: (31) 97251-6838</v>
      </c>
      <c r="I1867" t="str">
        <f t="shared" si="308"/>
        <v>11/09/2025</v>
      </c>
      <c r="J1867" t="str">
        <f t="shared" si="309"/>
        <v>02/09/2025</v>
      </c>
      <c r="K1867" t="str">
        <f>("11/09/2025")</f>
        <v>11/09/2025</v>
      </c>
      <c r="L1867">
        <v>555</v>
      </c>
      <c r="M1867">
        <v>555</v>
      </c>
      <c r="N1867">
        <v>109</v>
      </c>
      <c r="O1867" t="str">
        <f>"PAGAMENTO DE ENTREGADORES"</f>
        <v>PAGAMENTO DE ENTREGADORES</v>
      </c>
      <c r="P1867">
        <v>555</v>
      </c>
      <c r="S1867" t="str">
        <f>"BANCO C6 (149)"</f>
        <v>BANCO C6 (149)</v>
      </c>
      <c r="T1867">
        <v>18166</v>
      </c>
      <c r="U1867">
        <v>21267</v>
      </c>
      <c r="V1867" t="s">
        <v>77</v>
      </c>
    </row>
    <row r="1868" spans="1:22">
      <c r="A1868" t="str">
        <f t="shared" ref="A1868:A1931" si="311">("11/09/2025")</f>
        <v>11/09/2025</v>
      </c>
      <c r="B1868" t="str">
        <f t="shared" si="305"/>
        <v>SAÍDA</v>
      </c>
      <c r="C1868" t="str">
        <f t="shared" si="306"/>
        <v>PIX</v>
      </c>
      <c r="D1868" t="str">
        <f>"21267"</f>
        <v>21267</v>
      </c>
      <c r="E1868" t="str">
        <f t="shared" si="307"/>
        <v>1</v>
      </c>
      <c r="F1868" t="str">
        <f t="shared" si="310"/>
        <v>COM</v>
      </c>
      <c r="G1868" t="str">
        <f>"WARLEN JUNIO ELIAS DE OLIVEIRA (171)"</f>
        <v>WARLEN JUNIO ELIAS DE OLIVEIRA (171)</v>
      </c>
      <c r="H1868" t="s">
        <v>444</v>
      </c>
      <c r="I1868" t="str">
        <f t="shared" si="308"/>
        <v>11/09/2025</v>
      </c>
      <c r="J1868" t="str">
        <f t="shared" si="309"/>
        <v>02/09/2025</v>
      </c>
      <c r="K1868">
        <v>45911</v>
      </c>
      <c r="N1868">
        <v>109</v>
      </c>
      <c r="O1868" t="s">
        <v>24</v>
      </c>
      <c r="Q1868">
        <v>555</v>
      </c>
      <c r="R1868" t="str">
        <f>"FARMÁCIA INDIANA LJ 175 (10076)"</f>
        <v>FARMÁCIA INDIANA LJ 175 (10076)</v>
      </c>
      <c r="S1868" t="s">
        <v>77</v>
      </c>
      <c r="T1868">
        <v>18166</v>
      </c>
      <c r="U1868">
        <v>21267</v>
      </c>
      <c r="V1868" t="s">
        <v>77</v>
      </c>
    </row>
    <row r="1869" spans="1:22">
      <c r="A1869" t="str">
        <f t="shared" si="311"/>
        <v>11/09/2025</v>
      </c>
      <c r="B1869" t="str">
        <f t="shared" si="305"/>
        <v>SAÍDA</v>
      </c>
      <c r="C1869" t="str">
        <f t="shared" si="306"/>
        <v>PIX</v>
      </c>
      <c r="D1869" t="str">
        <f>"21269"</f>
        <v>21269</v>
      </c>
      <c r="E1869" t="str">
        <f t="shared" si="307"/>
        <v>1</v>
      </c>
      <c r="F1869" t="str">
        <f t="shared" si="310"/>
        <v>COM</v>
      </c>
      <c r="G1869" t="str">
        <f>"WELLINGTON DOS SANTOS ALVES (438)"</f>
        <v>WELLINGTON DOS SANTOS ALVES (438)</v>
      </c>
      <c r="H1869" t="str">
        <f>"Serv.Prest. 25/08/2025 a 31/08/2025 - PIX: CELULAR - CHAVE: (32) 99800-1691"</f>
        <v>Serv.Prest. 25/08/2025 a 31/08/2025 - PIX: CELULAR - CHAVE: (32) 99800-1691</v>
      </c>
      <c r="I1869" t="str">
        <f t="shared" si="308"/>
        <v>11/09/2025</v>
      </c>
      <c r="J1869" t="str">
        <f t="shared" si="309"/>
        <v>02/09/2025</v>
      </c>
      <c r="K1869" t="str">
        <f>("11/09/2025")</f>
        <v>11/09/2025</v>
      </c>
      <c r="L1869">
        <v>680.8</v>
      </c>
      <c r="M1869">
        <v>680.8</v>
      </c>
      <c r="N1869">
        <v>109</v>
      </c>
      <c r="O1869" t="str">
        <f>"PAGAMENTO DE ENTREGADORES"</f>
        <v>PAGAMENTO DE ENTREGADORES</v>
      </c>
      <c r="P1869">
        <v>680.8</v>
      </c>
      <c r="S1869" t="str">
        <f>"BANCO C6 (149)"</f>
        <v>BANCO C6 (149)</v>
      </c>
      <c r="T1869">
        <v>18167</v>
      </c>
      <c r="U1869">
        <v>21269</v>
      </c>
      <c r="V1869" t="s">
        <v>77</v>
      </c>
    </row>
    <row r="1870" spans="1:22">
      <c r="A1870" t="str">
        <f t="shared" si="311"/>
        <v>11/09/2025</v>
      </c>
      <c r="B1870" t="str">
        <f t="shared" ref="B1870:B1933" si="312">"SAÍDA"</f>
        <v>SAÍDA</v>
      </c>
      <c r="C1870" t="str">
        <f t="shared" ref="C1870:C1933" si="313">"PIX"</f>
        <v>PIX</v>
      </c>
      <c r="D1870" t="str">
        <f>"21269"</f>
        <v>21269</v>
      </c>
      <c r="E1870" t="str">
        <f t="shared" si="307"/>
        <v>1</v>
      </c>
      <c r="F1870" t="str">
        <f t="shared" si="310"/>
        <v>COM</v>
      </c>
      <c r="G1870" t="str">
        <f>"WELLINGTON DOS SANTOS ALVES (438)"</f>
        <v>WELLINGTON DOS SANTOS ALVES (438)</v>
      </c>
      <c r="H1870" t="s">
        <v>446</v>
      </c>
      <c r="I1870" t="str">
        <f t="shared" si="308"/>
        <v>11/09/2025</v>
      </c>
      <c r="J1870" t="str">
        <f t="shared" si="309"/>
        <v>02/09/2025</v>
      </c>
      <c r="K1870">
        <v>45911</v>
      </c>
      <c r="N1870">
        <v>109</v>
      </c>
      <c r="O1870" t="s">
        <v>24</v>
      </c>
      <c r="Q1870">
        <v>557.04</v>
      </c>
      <c r="R1870" t="str">
        <f>"FARMÁCIA INDIANA LJ 112 (10050)"</f>
        <v>FARMÁCIA INDIANA LJ 112 (10050)</v>
      </c>
      <c r="S1870" t="s">
        <v>77</v>
      </c>
      <c r="T1870">
        <v>18167</v>
      </c>
      <c r="U1870">
        <v>21269</v>
      </c>
      <c r="V1870" t="s">
        <v>77</v>
      </c>
    </row>
    <row r="1871" spans="1:22">
      <c r="A1871" t="str">
        <f t="shared" si="311"/>
        <v>11/09/2025</v>
      </c>
      <c r="B1871" t="str">
        <f t="shared" si="312"/>
        <v>SAÍDA</v>
      </c>
      <c r="C1871" t="str">
        <f t="shared" si="313"/>
        <v>PIX</v>
      </c>
      <c r="D1871" t="str">
        <f>"21269"</f>
        <v>21269</v>
      </c>
      <c r="E1871" t="str">
        <f t="shared" si="307"/>
        <v>1</v>
      </c>
      <c r="F1871" t="str">
        <f t="shared" si="310"/>
        <v>COM</v>
      </c>
      <c r="G1871" t="str">
        <f>"WELLINGTON DOS SANTOS ALVES (438)"</f>
        <v>WELLINGTON DOS SANTOS ALVES (438)</v>
      </c>
      <c r="H1871" t="s">
        <v>446</v>
      </c>
      <c r="I1871" t="str">
        <f t="shared" si="308"/>
        <v>11/09/2025</v>
      </c>
      <c r="J1871" t="str">
        <f t="shared" si="309"/>
        <v>02/09/2025</v>
      </c>
      <c r="K1871">
        <v>45911</v>
      </c>
      <c r="N1871">
        <v>109</v>
      </c>
      <c r="O1871" t="s">
        <v>24</v>
      </c>
      <c r="Q1871">
        <v>15.45</v>
      </c>
      <c r="R1871" t="str">
        <f>"FARMÁCIA INDIANA LJ 116 (10051)"</f>
        <v>FARMÁCIA INDIANA LJ 116 (10051)</v>
      </c>
      <c r="S1871" t="s">
        <v>77</v>
      </c>
      <c r="T1871">
        <v>18167</v>
      </c>
      <c r="U1871">
        <v>21269</v>
      </c>
      <c r="V1871" t="s">
        <v>77</v>
      </c>
    </row>
    <row r="1872" spans="1:22">
      <c r="A1872" t="str">
        <f t="shared" si="311"/>
        <v>11/09/2025</v>
      </c>
      <c r="B1872" t="str">
        <f t="shared" si="312"/>
        <v>SAÍDA</v>
      </c>
      <c r="C1872" t="str">
        <f t="shared" si="313"/>
        <v>PIX</v>
      </c>
      <c r="D1872" t="str">
        <f>"21269"</f>
        <v>21269</v>
      </c>
      <c r="E1872" t="str">
        <f t="shared" si="307"/>
        <v>1</v>
      </c>
      <c r="F1872" t="str">
        <f t="shared" si="310"/>
        <v>COM</v>
      </c>
      <c r="G1872" t="str">
        <f>"WELLINGTON DOS SANTOS ALVES (438)"</f>
        <v>WELLINGTON DOS SANTOS ALVES (438)</v>
      </c>
      <c r="H1872" t="s">
        <v>446</v>
      </c>
      <c r="I1872" t="str">
        <f t="shared" si="308"/>
        <v>11/09/2025</v>
      </c>
      <c r="J1872" t="str">
        <f t="shared" si="309"/>
        <v>02/09/2025</v>
      </c>
      <c r="K1872">
        <v>45911</v>
      </c>
      <c r="N1872">
        <v>109</v>
      </c>
      <c r="O1872" t="s">
        <v>24</v>
      </c>
      <c r="Q1872">
        <v>15.45</v>
      </c>
      <c r="R1872" t="str">
        <f>"FARMÁCIA INDIANA LJ 121 (10054)"</f>
        <v>FARMÁCIA INDIANA LJ 121 (10054)</v>
      </c>
      <c r="S1872" t="s">
        <v>77</v>
      </c>
      <c r="T1872">
        <v>18167</v>
      </c>
      <c r="U1872">
        <v>21269</v>
      </c>
      <c r="V1872" t="s">
        <v>77</v>
      </c>
    </row>
    <row r="1873" spans="1:22">
      <c r="A1873" t="str">
        <f t="shared" si="311"/>
        <v>11/09/2025</v>
      </c>
      <c r="B1873" t="str">
        <f t="shared" si="312"/>
        <v>SAÍDA</v>
      </c>
      <c r="C1873" t="str">
        <f t="shared" si="313"/>
        <v>PIX</v>
      </c>
      <c r="D1873" t="str">
        <f>"21269"</f>
        <v>21269</v>
      </c>
      <c r="E1873" t="str">
        <f t="shared" si="307"/>
        <v>1</v>
      </c>
      <c r="F1873" t="str">
        <f t="shared" si="310"/>
        <v>COM</v>
      </c>
      <c r="G1873" t="str">
        <f>"WELLINGTON DOS SANTOS ALVES (438)"</f>
        <v>WELLINGTON DOS SANTOS ALVES (438)</v>
      </c>
      <c r="H1873" t="s">
        <v>446</v>
      </c>
      <c r="I1873" t="str">
        <f t="shared" si="308"/>
        <v>11/09/2025</v>
      </c>
      <c r="J1873" t="str">
        <f t="shared" si="309"/>
        <v>02/09/2025</v>
      </c>
      <c r="K1873">
        <v>45911</v>
      </c>
      <c r="N1873">
        <v>109</v>
      </c>
      <c r="O1873" t="s">
        <v>24</v>
      </c>
      <c r="Q1873">
        <v>92.86</v>
      </c>
      <c r="R1873" t="str">
        <f>"FARMÁCIA INDIANA LJ 128 (10057)"</f>
        <v>FARMÁCIA INDIANA LJ 128 (10057)</v>
      </c>
      <c r="S1873" t="s">
        <v>77</v>
      </c>
      <c r="T1873">
        <v>18167</v>
      </c>
      <c r="U1873">
        <v>21269</v>
      </c>
      <c r="V1873" t="s">
        <v>77</v>
      </c>
    </row>
    <row r="1874" spans="1:22">
      <c r="A1874" t="str">
        <f t="shared" si="311"/>
        <v>11/09/2025</v>
      </c>
      <c r="B1874" t="str">
        <f t="shared" si="312"/>
        <v>SAÍDA</v>
      </c>
      <c r="C1874" t="str">
        <f t="shared" si="313"/>
        <v>PIX</v>
      </c>
      <c r="D1874" t="str">
        <f>"21270"</f>
        <v>21270</v>
      </c>
      <c r="E1874" t="str">
        <f t="shared" si="307"/>
        <v>1</v>
      </c>
      <c r="F1874" t="str">
        <f t="shared" si="310"/>
        <v>COM</v>
      </c>
      <c r="G1874" t="str">
        <f>"WEMERSON FELIPE LOPES (187)"</f>
        <v>WEMERSON FELIPE LOPES (187)</v>
      </c>
      <c r="H1874" t="str">
        <f>"Serv.Prest. 25/08/2025 a 31/08/2025 - PIX: CELULAR - CHAVE: (33) 98806-5772"</f>
        <v>Serv.Prest. 25/08/2025 a 31/08/2025 - PIX: CELULAR - CHAVE: (33) 98806-5772</v>
      </c>
      <c r="I1874" t="str">
        <f t="shared" si="308"/>
        <v>11/09/2025</v>
      </c>
      <c r="J1874" t="str">
        <f t="shared" si="309"/>
        <v>02/09/2025</v>
      </c>
      <c r="K1874" t="str">
        <f>("11/09/2025")</f>
        <v>11/09/2025</v>
      </c>
      <c r="L1874">
        <v>970</v>
      </c>
      <c r="M1874">
        <v>970</v>
      </c>
      <c r="N1874">
        <v>109</v>
      </c>
      <c r="O1874" t="str">
        <f>"PAGAMENTO DE ENTREGADORES"</f>
        <v>PAGAMENTO DE ENTREGADORES</v>
      </c>
      <c r="P1874">
        <v>970</v>
      </c>
      <c r="S1874" t="str">
        <f>"BANCO C6 (149)"</f>
        <v>BANCO C6 (149)</v>
      </c>
      <c r="T1874">
        <v>18168</v>
      </c>
      <c r="U1874">
        <v>21270</v>
      </c>
      <c r="V1874" t="s">
        <v>77</v>
      </c>
    </row>
    <row r="1875" spans="1:22">
      <c r="A1875" t="str">
        <f t="shared" si="311"/>
        <v>11/09/2025</v>
      </c>
      <c r="B1875" t="str">
        <f t="shared" si="312"/>
        <v>SAÍDA</v>
      </c>
      <c r="C1875" t="str">
        <f t="shared" si="313"/>
        <v>PIX</v>
      </c>
      <c r="D1875" t="str">
        <f>"21270"</f>
        <v>21270</v>
      </c>
      <c r="E1875" t="str">
        <f t="shared" si="307"/>
        <v>1</v>
      </c>
      <c r="F1875" t="str">
        <f t="shared" si="310"/>
        <v>COM</v>
      </c>
      <c r="G1875" t="str">
        <f>"WEMERSON FELIPE LOPES (187)"</f>
        <v>WEMERSON FELIPE LOPES (187)</v>
      </c>
      <c r="H1875" t="s">
        <v>447</v>
      </c>
      <c r="I1875" t="str">
        <f t="shared" si="308"/>
        <v>11/09/2025</v>
      </c>
      <c r="J1875" t="str">
        <f t="shared" si="309"/>
        <v>02/09/2025</v>
      </c>
      <c r="K1875">
        <v>45911</v>
      </c>
      <c r="N1875">
        <v>109</v>
      </c>
      <c r="O1875" t="s">
        <v>24</v>
      </c>
      <c r="Q1875">
        <v>970</v>
      </c>
      <c r="R1875" t="str">
        <f>"FARMÁCIA INDIANA LJ 06 (10006)"</f>
        <v>FARMÁCIA INDIANA LJ 06 (10006)</v>
      </c>
      <c r="S1875" t="s">
        <v>77</v>
      </c>
      <c r="T1875">
        <v>18168</v>
      </c>
      <c r="U1875">
        <v>21270</v>
      </c>
      <c r="V1875" t="s">
        <v>77</v>
      </c>
    </row>
    <row r="1876" spans="1:22">
      <c r="A1876" t="str">
        <f t="shared" si="311"/>
        <v>11/09/2025</v>
      </c>
      <c r="B1876" t="str">
        <f t="shared" si="312"/>
        <v>SAÍDA</v>
      </c>
      <c r="C1876" t="str">
        <f t="shared" si="313"/>
        <v>PIX</v>
      </c>
      <c r="D1876" t="str">
        <f>"21271"</f>
        <v>21271</v>
      </c>
      <c r="E1876" t="str">
        <f t="shared" ref="E1876:E1939" si="314">"1"</f>
        <v>1</v>
      </c>
      <c r="F1876" t="str">
        <f t="shared" si="310"/>
        <v>COM</v>
      </c>
      <c r="G1876" t="str">
        <f>"WEMERSON MOREIRA PESSOA (75)"</f>
        <v>WEMERSON MOREIRA PESSOA (75)</v>
      </c>
      <c r="H1876" t="str">
        <f>"Serv.Prest. 25/08/2025 a 31/08/2025 - PIX: CELULAR - CHAVE: (33) 99996-3668"</f>
        <v>Serv.Prest. 25/08/2025 a 31/08/2025 - PIX: CELULAR - CHAVE: (33) 99996-3668</v>
      </c>
      <c r="I1876" t="str">
        <f t="shared" si="308"/>
        <v>11/09/2025</v>
      </c>
      <c r="J1876" t="str">
        <f t="shared" si="309"/>
        <v>02/09/2025</v>
      </c>
      <c r="K1876" t="str">
        <f>("11/09/2025")</f>
        <v>11/09/2025</v>
      </c>
      <c r="L1876">
        <v>663.66</v>
      </c>
      <c r="M1876">
        <v>663.66</v>
      </c>
      <c r="N1876">
        <v>109</v>
      </c>
      <c r="O1876" t="str">
        <f>"PAGAMENTO DE ENTREGADORES"</f>
        <v>PAGAMENTO DE ENTREGADORES</v>
      </c>
      <c r="P1876">
        <v>663.66</v>
      </c>
      <c r="S1876" t="str">
        <f>"BANCO C6 (149)"</f>
        <v>BANCO C6 (149)</v>
      </c>
      <c r="T1876">
        <v>18169</v>
      </c>
      <c r="U1876">
        <v>21271</v>
      </c>
      <c r="V1876" t="s">
        <v>77</v>
      </c>
    </row>
    <row r="1877" spans="1:22">
      <c r="A1877" t="str">
        <f t="shared" si="311"/>
        <v>11/09/2025</v>
      </c>
      <c r="B1877" t="str">
        <f t="shared" si="312"/>
        <v>SAÍDA</v>
      </c>
      <c r="C1877" t="str">
        <f t="shared" si="313"/>
        <v>PIX</v>
      </c>
      <c r="D1877" t="str">
        <f>"21271"</f>
        <v>21271</v>
      </c>
      <c r="E1877" t="str">
        <f t="shared" si="314"/>
        <v>1</v>
      </c>
      <c r="F1877" t="str">
        <f t="shared" si="310"/>
        <v>COM</v>
      </c>
      <c r="G1877" t="str">
        <f>"WEMERSON MOREIRA PESSOA (75)"</f>
        <v>WEMERSON MOREIRA PESSOA (75)</v>
      </c>
      <c r="H1877" t="s">
        <v>448</v>
      </c>
      <c r="I1877" t="str">
        <f t="shared" si="308"/>
        <v>11/09/2025</v>
      </c>
      <c r="J1877" t="str">
        <f t="shared" si="309"/>
        <v>02/09/2025</v>
      </c>
      <c r="K1877">
        <v>45911</v>
      </c>
      <c r="N1877">
        <v>109</v>
      </c>
      <c r="O1877" t="s">
        <v>24</v>
      </c>
      <c r="Q1877">
        <v>663.66</v>
      </c>
      <c r="R1877" t="str">
        <f>"FARMÁCIA INDIANA LJ 07 (10007)"</f>
        <v>FARMÁCIA INDIANA LJ 07 (10007)</v>
      </c>
      <c r="S1877" t="s">
        <v>77</v>
      </c>
      <c r="T1877">
        <v>18169</v>
      </c>
      <c r="U1877">
        <v>21271</v>
      </c>
      <c r="V1877" t="s">
        <v>77</v>
      </c>
    </row>
    <row r="1878" spans="1:22">
      <c r="A1878" t="str">
        <f t="shared" si="311"/>
        <v>11/09/2025</v>
      </c>
      <c r="B1878" t="str">
        <f t="shared" si="312"/>
        <v>SAÍDA</v>
      </c>
      <c r="C1878" t="str">
        <f t="shared" si="313"/>
        <v>PIX</v>
      </c>
      <c r="D1878" t="str">
        <f>"21272"</f>
        <v>21272</v>
      </c>
      <c r="E1878" t="str">
        <f t="shared" si="314"/>
        <v>1</v>
      </c>
      <c r="F1878" t="str">
        <f t="shared" si="310"/>
        <v>COM</v>
      </c>
      <c r="G1878" t="str">
        <f>"WENDEL LIMA DE SOUZA (112)"</f>
        <v>WENDEL LIMA DE SOUZA (112)</v>
      </c>
      <c r="H1878" t="str">
        <f>"Serv.Prest. 25/08/2025 a 31/08/2025 - PIX: CPF - CHAVE: 012.906.122-00"</f>
        <v>Serv.Prest. 25/08/2025 a 31/08/2025 - PIX: CPF - CHAVE: 012.906.122-00</v>
      </c>
      <c r="I1878" t="str">
        <f t="shared" si="308"/>
        <v>11/09/2025</v>
      </c>
      <c r="J1878" t="str">
        <f t="shared" si="309"/>
        <v>02/09/2025</v>
      </c>
      <c r="K1878" t="str">
        <f>("11/09/2025")</f>
        <v>11/09/2025</v>
      </c>
      <c r="L1878">
        <v>1006</v>
      </c>
      <c r="M1878">
        <v>1006</v>
      </c>
      <c r="N1878">
        <v>109</v>
      </c>
      <c r="O1878" t="str">
        <f>"PAGAMENTO DE ENTREGADORES"</f>
        <v>PAGAMENTO DE ENTREGADORES</v>
      </c>
      <c r="P1878">
        <v>1006</v>
      </c>
      <c r="S1878" t="str">
        <f>"BANCO C6 (149)"</f>
        <v>BANCO C6 (149)</v>
      </c>
      <c r="T1878">
        <v>18170</v>
      </c>
      <c r="U1878">
        <v>21272</v>
      </c>
      <c r="V1878" t="s">
        <v>77</v>
      </c>
    </row>
    <row r="1879" spans="1:22">
      <c r="A1879" t="str">
        <f t="shared" si="311"/>
        <v>11/09/2025</v>
      </c>
      <c r="B1879" t="str">
        <f t="shared" si="312"/>
        <v>SAÍDA</v>
      </c>
      <c r="C1879" t="str">
        <f t="shared" si="313"/>
        <v>PIX</v>
      </c>
      <c r="D1879" t="str">
        <f>"21272"</f>
        <v>21272</v>
      </c>
      <c r="E1879" t="str">
        <f t="shared" si="314"/>
        <v>1</v>
      </c>
      <c r="F1879" t="str">
        <f t="shared" si="310"/>
        <v>COM</v>
      </c>
      <c r="G1879" t="str">
        <f>"WENDEL LIMA DE SOUZA (112)"</f>
        <v>WENDEL LIMA DE SOUZA (112)</v>
      </c>
      <c r="H1879" t="s">
        <v>449</v>
      </c>
      <c r="I1879" t="str">
        <f t="shared" ref="I1879:I1942" si="315">("11/09/2025")</f>
        <v>11/09/2025</v>
      </c>
      <c r="J1879" t="str">
        <f t="shared" ref="J1879:J1925" si="316">("02/09/2025")</f>
        <v>02/09/2025</v>
      </c>
      <c r="K1879">
        <v>45911</v>
      </c>
      <c r="N1879">
        <v>109</v>
      </c>
      <c r="O1879" t="s">
        <v>24</v>
      </c>
      <c r="Q1879">
        <v>1006</v>
      </c>
      <c r="R1879" t="str">
        <f>"FARMÁCIA INDIANA LJ 11 (10008)"</f>
        <v>FARMÁCIA INDIANA LJ 11 (10008)</v>
      </c>
      <c r="S1879" t="s">
        <v>77</v>
      </c>
      <c r="T1879">
        <v>18170</v>
      </c>
      <c r="U1879">
        <v>21272</v>
      </c>
      <c r="V1879" t="s">
        <v>77</v>
      </c>
    </row>
    <row r="1880" spans="1:22">
      <c r="A1880" t="str">
        <f t="shared" si="311"/>
        <v>11/09/2025</v>
      </c>
      <c r="B1880" t="str">
        <f t="shared" si="312"/>
        <v>SAÍDA</v>
      </c>
      <c r="C1880" t="str">
        <f t="shared" si="313"/>
        <v>PIX</v>
      </c>
      <c r="D1880" t="str">
        <f>"21273"</f>
        <v>21273</v>
      </c>
      <c r="E1880" t="str">
        <f t="shared" si="314"/>
        <v>1</v>
      </c>
      <c r="F1880" t="str">
        <f t="shared" si="310"/>
        <v>COM</v>
      </c>
      <c r="G1880" t="str">
        <f>"WILIAN ROSA VIEIRA (488)"</f>
        <v>WILIAN ROSA VIEIRA (488)</v>
      </c>
      <c r="H1880" t="str">
        <f>"Serv.Prest. 25/08/2025 a 31/08/2025 - PIX: E-MAIL - CHAVE: wilianvieirawrv3578@gmail.com"</f>
        <v>Serv.Prest. 25/08/2025 a 31/08/2025 - PIX: E-MAIL - CHAVE: wilianvieirawrv3578@gmail.com</v>
      </c>
      <c r="I1880" t="str">
        <f t="shared" si="315"/>
        <v>11/09/2025</v>
      </c>
      <c r="J1880" t="str">
        <f t="shared" si="316"/>
        <v>02/09/2025</v>
      </c>
      <c r="K1880" t="str">
        <f>("11/09/2025")</f>
        <v>11/09/2025</v>
      </c>
      <c r="L1880">
        <v>1030</v>
      </c>
      <c r="M1880">
        <v>1030</v>
      </c>
      <c r="N1880">
        <v>109</v>
      </c>
      <c r="O1880" t="str">
        <f>"PAGAMENTO DE ENTREGADORES"</f>
        <v>PAGAMENTO DE ENTREGADORES</v>
      </c>
      <c r="P1880">
        <v>1030</v>
      </c>
      <c r="S1880" t="str">
        <f>"BANCO C6 (149)"</f>
        <v>BANCO C6 (149)</v>
      </c>
      <c r="T1880">
        <v>18171</v>
      </c>
      <c r="U1880">
        <v>21273</v>
      </c>
      <c r="V1880" t="s">
        <v>77</v>
      </c>
    </row>
    <row r="1881" spans="1:22">
      <c r="A1881" t="str">
        <f t="shared" si="311"/>
        <v>11/09/2025</v>
      </c>
      <c r="B1881" t="str">
        <f t="shared" si="312"/>
        <v>SAÍDA</v>
      </c>
      <c r="C1881" t="str">
        <f t="shared" si="313"/>
        <v>PIX</v>
      </c>
      <c r="D1881" t="str">
        <f>"21273"</f>
        <v>21273</v>
      </c>
      <c r="E1881" t="str">
        <f t="shared" si="314"/>
        <v>1</v>
      </c>
      <c r="F1881" t="str">
        <f t="shared" si="310"/>
        <v>COM</v>
      </c>
      <c r="G1881" t="str">
        <f>"WILIAN ROSA VIEIRA (488)"</f>
        <v>WILIAN ROSA VIEIRA (488)</v>
      </c>
      <c r="H1881" t="s">
        <v>453</v>
      </c>
      <c r="I1881" t="str">
        <f t="shared" si="315"/>
        <v>11/09/2025</v>
      </c>
      <c r="J1881" t="str">
        <f t="shared" si="316"/>
        <v>02/09/2025</v>
      </c>
      <c r="K1881">
        <v>45911</v>
      </c>
      <c r="N1881">
        <v>109</v>
      </c>
      <c r="O1881" t="s">
        <v>24</v>
      </c>
      <c r="Q1881">
        <v>576.79999999999995</v>
      </c>
      <c r="R1881" t="str">
        <f>"FARMÁCIA INDIANA LJ 103 (10044)"</f>
        <v>FARMÁCIA INDIANA LJ 103 (10044)</v>
      </c>
      <c r="S1881" t="s">
        <v>77</v>
      </c>
      <c r="T1881">
        <v>18171</v>
      </c>
      <c r="U1881">
        <v>21273</v>
      </c>
      <c r="V1881" t="s">
        <v>77</v>
      </c>
    </row>
    <row r="1882" spans="1:22">
      <c r="A1882" t="str">
        <f t="shared" si="311"/>
        <v>11/09/2025</v>
      </c>
      <c r="B1882" t="str">
        <f t="shared" si="312"/>
        <v>SAÍDA</v>
      </c>
      <c r="C1882" t="str">
        <f t="shared" si="313"/>
        <v>PIX</v>
      </c>
      <c r="D1882" t="str">
        <f>"21273"</f>
        <v>21273</v>
      </c>
      <c r="E1882" t="str">
        <f t="shared" si="314"/>
        <v>1</v>
      </c>
      <c r="F1882" t="str">
        <f t="shared" si="310"/>
        <v>COM</v>
      </c>
      <c r="G1882" t="str">
        <f>"WILIAN ROSA VIEIRA (488)"</f>
        <v>WILIAN ROSA VIEIRA (488)</v>
      </c>
      <c r="H1882" t="s">
        <v>453</v>
      </c>
      <c r="I1882" t="str">
        <f t="shared" si="315"/>
        <v>11/09/2025</v>
      </c>
      <c r="J1882" t="str">
        <f t="shared" si="316"/>
        <v>02/09/2025</v>
      </c>
      <c r="K1882">
        <v>45911</v>
      </c>
      <c r="N1882">
        <v>109</v>
      </c>
      <c r="O1882" t="s">
        <v>24</v>
      </c>
      <c r="Q1882">
        <v>70.66</v>
      </c>
      <c r="R1882" t="str">
        <f>"FARMÁCIA INDIANA LJ 140 (10064)"</f>
        <v>FARMÁCIA INDIANA LJ 140 (10064)</v>
      </c>
      <c r="S1882" t="s">
        <v>77</v>
      </c>
      <c r="T1882">
        <v>18171</v>
      </c>
      <c r="U1882">
        <v>21273</v>
      </c>
      <c r="V1882" t="s">
        <v>77</v>
      </c>
    </row>
    <row r="1883" spans="1:22">
      <c r="A1883" t="str">
        <f t="shared" si="311"/>
        <v>11/09/2025</v>
      </c>
      <c r="B1883" t="str">
        <f t="shared" si="312"/>
        <v>SAÍDA</v>
      </c>
      <c r="C1883" t="str">
        <f t="shared" si="313"/>
        <v>PIX</v>
      </c>
      <c r="D1883" t="str">
        <f>"21273"</f>
        <v>21273</v>
      </c>
      <c r="E1883" t="str">
        <f t="shared" si="314"/>
        <v>1</v>
      </c>
      <c r="F1883" t="str">
        <f t="shared" si="310"/>
        <v>COM</v>
      </c>
      <c r="G1883" t="str">
        <f>"WILIAN ROSA VIEIRA (488)"</f>
        <v>WILIAN ROSA VIEIRA (488)</v>
      </c>
      <c r="H1883" t="s">
        <v>453</v>
      </c>
      <c r="I1883" t="str">
        <f t="shared" si="315"/>
        <v>11/09/2025</v>
      </c>
      <c r="J1883" t="str">
        <f t="shared" si="316"/>
        <v>02/09/2025</v>
      </c>
      <c r="K1883">
        <v>45911</v>
      </c>
      <c r="N1883">
        <v>109</v>
      </c>
      <c r="O1883" t="s">
        <v>24</v>
      </c>
      <c r="Q1883">
        <v>123.6</v>
      </c>
      <c r="R1883" t="str">
        <f>"FARMÁCIA INDIANA LJ 141 (10065)"</f>
        <v>FARMÁCIA INDIANA LJ 141 (10065)</v>
      </c>
      <c r="S1883" t="s">
        <v>77</v>
      </c>
      <c r="T1883">
        <v>18171</v>
      </c>
      <c r="U1883">
        <v>21273</v>
      </c>
      <c r="V1883" t="s">
        <v>77</v>
      </c>
    </row>
    <row r="1884" spans="1:22">
      <c r="A1884" t="str">
        <f t="shared" si="311"/>
        <v>11/09/2025</v>
      </c>
      <c r="B1884" t="str">
        <f t="shared" si="312"/>
        <v>SAÍDA</v>
      </c>
      <c r="C1884" t="str">
        <f t="shared" si="313"/>
        <v>PIX</v>
      </c>
      <c r="D1884" t="str">
        <f>"21273"</f>
        <v>21273</v>
      </c>
      <c r="E1884" t="str">
        <f t="shared" si="314"/>
        <v>1</v>
      </c>
      <c r="F1884" t="str">
        <f t="shared" ref="F1884:F1947" si="317">"COM"</f>
        <v>COM</v>
      </c>
      <c r="G1884" t="str">
        <f>"WILIAN ROSA VIEIRA (488)"</f>
        <v>WILIAN ROSA VIEIRA (488)</v>
      </c>
      <c r="H1884" t="s">
        <v>453</v>
      </c>
      <c r="I1884" t="str">
        <f t="shared" si="315"/>
        <v>11/09/2025</v>
      </c>
      <c r="J1884" t="str">
        <f t="shared" si="316"/>
        <v>02/09/2025</v>
      </c>
      <c r="K1884">
        <v>45911</v>
      </c>
      <c r="N1884">
        <v>109</v>
      </c>
      <c r="O1884" t="s">
        <v>24</v>
      </c>
      <c r="Q1884">
        <v>258.94</v>
      </c>
      <c r="R1884" t="str">
        <f>"FARMÁCIA INDIANA LJ 154 (10070)"</f>
        <v>FARMÁCIA INDIANA LJ 154 (10070)</v>
      </c>
      <c r="S1884" t="s">
        <v>77</v>
      </c>
      <c r="T1884">
        <v>18171</v>
      </c>
      <c r="U1884">
        <v>21273</v>
      </c>
      <c r="V1884" t="s">
        <v>77</v>
      </c>
    </row>
    <row r="1885" spans="1:22">
      <c r="A1885" t="str">
        <f t="shared" si="311"/>
        <v>11/09/2025</v>
      </c>
      <c r="B1885" t="str">
        <f t="shared" si="312"/>
        <v>SAÍDA</v>
      </c>
      <c r="C1885" t="str">
        <f t="shared" si="313"/>
        <v>PIX</v>
      </c>
      <c r="D1885" t="str">
        <f>"21274"</f>
        <v>21274</v>
      </c>
      <c r="E1885" t="str">
        <f t="shared" si="314"/>
        <v>1</v>
      </c>
      <c r="F1885" t="str">
        <f t="shared" si="317"/>
        <v>COM</v>
      </c>
      <c r="G1885" t="str">
        <f>"YAN EVERTON RODRIGUES DE LIMA (875)"</f>
        <v>YAN EVERTON RODRIGUES DE LIMA (875)</v>
      </c>
      <c r="H1885" t="str">
        <f>"Serv.Prest. 25/08/2025 a 31/08/2025 - PIX: CELULAR - CHAVE: (33) 99859-8751"</f>
        <v>Serv.Prest. 25/08/2025 a 31/08/2025 - PIX: CELULAR - CHAVE: (33) 99859-8751</v>
      </c>
      <c r="I1885" t="str">
        <f t="shared" si="315"/>
        <v>11/09/2025</v>
      </c>
      <c r="J1885" t="str">
        <f t="shared" si="316"/>
        <v>02/09/2025</v>
      </c>
      <c r="K1885" t="str">
        <f>("11/09/2025")</f>
        <v>11/09/2025</v>
      </c>
      <c r="L1885">
        <v>970</v>
      </c>
      <c r="M1885">
        <v>970</v>
      </c>
      <c r="N1885">
        <v>109</v>
      </c>
      <c r="O1885" t="str">
        <f>"PAGAMENTO DE ENTREGADORES"</f>
        <v>PAGAMENTO DE ENTREGADORES</v>
      </c>
      <c r="P1885">
        <v>970</v>
      </c>
      <c r="S1885" t="str">
        <f>"BANCO C6 (149)"</f>
        <v>BANCO C6 (149)</v>
      </c>
      <c r="T1885">
        <v>18172</v>
      </c>
      <c r="U1885">
        <v>21274</v>
      </c>
      <c r="V1885" t="s">
        <v>77</v>
      </c>
    </row>
    <row r="1886" spans="1:22">
      <c r="A1886" t="str">
        <f t="shared" si="311"/>
        <v>11/09/2025</v>
      </c>
      <c r="B1886" t="str">
        <f t="shared" si="312"/>
        <v>SAÍDA</v>
      </c>
      <c r="C1886" t="str">
        <f t="shared" si="313"/>
        <v>PIX</v>
      </c>
      <c r="D1886" t="str">
        <f>"21274"</f>
        <v>21274</v>
      </c>
      <c r="E1886" t="str">
        <f t="shared" si="314"/>
        <v>1</v>
      </c>
      <c r="F1886" t="str">
        <f t="shared" si="317"/>
        <v>COM</v>
      </c>
      <c r="G1886" t="str">
        <f>"YAN EVERTON RODRIGUES DE LIMA (875)"</f>
        <v>YAN EVERTON RODRIGUES DE LIMA (875)</v>
      </c>
      <c r="H1886" t="s">
        <v>455</v>
      </c>
      <c r="I1886" t="str">
        <f t="shared" si="315"/>
        <v>11/09/2025</v>
      </c>
      <c r="J1886" t="str">
        <f t="shared" si="316"/>
        <v>02/09/2025</v>
      </c>
      <c r="K1886">
        <v>45911</v>
      </c>
      <c r="N1886">
        <v>109</v>
      </c>
      <c r="O1886" t="s">
        <v>24</v>
      </c>
      <c r="Q1886">
        <v>970</v>
      </c>
      <c r="R1886" t="str">
        <f>"FARMÁCIA INDIANA LJ 06 (10006)"</f>
        <v>FARMÁCIA INDIANA LJ 06 (10006)</v>
      </c>
      <c r="S1886" t="s">
        <v>77</v>
      </c>
      <c r="T1886">
        <v>18172</v>
      </c>
      <c r="U1886">
        <v>21274</v>
      </c>
      <c r="V1886" t="s">
        <v>77</v>
      </c>
    </row>
    <row r="1887" spans="1:22">
      <c r="A1887" t="str">
        <f t="shared" si="311"/>
        <v>11/09/2025</v>
      </c>
      <c r="B1887" t="str">
        <f t="shared" si="312"/>
        <v>SAÍDA</v>
      </c>
      <c r="C1887" t="str">
        <f t="shared" si="313"/>
        <v>PIX</v>
      </c>
      <c r="D1887" t="str">
        <f>"21290"</f>
        <v>21290</v>
      </c>
      <c r="E1887" t="str">
        <f t="shared" si="314"/>
        <v>1</v>
      </c>
      <c r="F1887" t="str">
        <f t="shared" si="317"/>
        <v>COM</v>
      </c>
      <c r="G1887" t="str">
        <f>"ALAN ACOSTA (897)"</f>
        <v>ALAN ACOSTA (897)</v>
      </c>
      <c r="H1887" t="str">
        <f>"Serv.Prest. 25/08/2025 a 31/08/2025 - PIX: E-MAIL - CHAVE: alanacosta1999@gmail.com"</f>
        <v>Serv.Prest. 25/08/2025 a 31/08/2025 - PIX: E-MAIL - CHAVE: alanacosta1999@gmail.com</v>
      </c>
      <c r="I1887" t="str">
        <f t="shared" si="315"/>
        <v>11/09/2025</v>
      </c>
      <c r="J1887" t="str">
        <f t="shared" si="316"/>
        <v>02/09/2025</v>
      </c>
      <c r="K1887" t="str">
        <f>("11/09/2025")</f>
        <v>11/09/2025</v>
      </c>
      <c r="L1887">
        <v>403.2</v>
      </c>
      <c r="M1887">
        <v>403.2</v>
      </c>
      <c r="N1887">
        <v>109</v>
      </c>
      <c r="O1887" t="str">
        <f>"PAGAMENTO DE ENTREGADORES"</f>
        <v>PAGAMENTO DE ENTREGADORES</v>
      </c>
      <c r="P1887">
        <v>403.2</v>
      </c>
      <c r="S1887" t="str">
        <f>"BANCO C6 (149)"</f>
        <v>BANCO C6 (149)</v>
      </c>
      <c r="T1887">
        <v>18173</v>
      </c>
      <c r="U1887">
        <v>21290</v>
      </c>
      <c r="V1887" t="s">
        <v>77</v>
      </c>
    </row>
    <row r="1888" spans="1:22">
      <c r="A1888" t="str">
        <f t="shared" si="311"/>
        <v>11/09/2025</v>
      </c>
      <c r="B1888" t="str">
        <f t="shared" si="312"/>
        <v>SAÍDA</v>
      </c>
      <c r="C1888" t="str">
        <f t="shared" si="313"/>
        <v>PIX</v>
      </c>
      <c r="D1888" t="str">
        <f>"21290"</f>
        <v>21290</v>
      </c>
      <c r="E1888" t="str">
        <f t="shared" si="314"/>
        <v>1</v>
      </c>
      <c r="F1888" t="str">
        <f t="shared" si="317"/>
        <v>COM</v>
      </c>
      <c r="G1888" t="str">
        <f>"ALAN ACOSTA (897)"</f>
        <v>ALAN ACOSTA (897)</v>
      </c>
      <c r="H1888" t="s">
        <v>530</v>
      </c>
      <c r="I1888" t="str">
        <f t="shared" si="315"/>
        <v>11/09/2025</v>
      </c>
      <c r="J1888" t="str">
        <f t="shared" si="316"/>
        <v>02/09/2025</v>
      </c>
      <c r="K1888">
        <v>45911</v>
      </c>
      <c r="N1888">
        <v>109</v>
      </c>
      <c r="O1888" t="s">
        <v>24</v>
      </c>
      <c r="Q1888">
        <v>403.2</v>
      </c>
      <c r="R1888" t="str">
        <f>"AC FARMA - CID.ALTA (10166)"</f>
        <v>AC FARMA - CID.ALTA (10166)</v>
      </c>
      <c r="S1888" t="s">
        <v>77</v>
      </c>
      <c r="T1888">
        <v>18173</v>
      </c>
      <c r="U1888">
        <v>21290</v>
      </c>
      <c r="V1888" t="s">
        <v>77</v>
      </c>
    </row>
    <row r="1889" spans="1:22">
      <c r="A1889" t="str">
        <f t="shared" si="311"/>
        <v>11/09/2025</v>
      </c>
      <c r="B1889" t="str">
        <f t="shared" si="312"/>
        <v>SAÍDA</v>
      </c>
      <c r="C1889" t="str">
        <f t="shared" si="313"/>
        <v>PIX</v>
      </c>
      <c r="D1889" t="str">
        <f>"21291"</f>
        <v>21291</v>
      </c>
      <c r="E1889" t="str">
        <f t="shared" si="314"/>
        <v>1</v>
      </c>
      <c r="F1889" t="str">
        <f t="shared" si="317"/>
        <v>COM</v>
      </c>
      <c r="G1889" t="str">
        <f>"ALEXANDRE DA CONCEICAO (714)"</f>
        <v>ALEXANDRE DA CONCEICAO (714)</v>
      </c>
      <c r="H1889" t="str">
        <f>"Serv.Prest. 25/08/2025 a 31/08/2025 - PIX: CPF - CHAVE: 975.425.989-53"</f>
        <v>Serv.Prest. 25/08/2025 a 31/08/2025 - PIX: CPF - CHAVE: 975.425.989-53</v>
      </c>
      <c r="I1889" t="str">
        <f t="shared" si="315"/>
        <v>11/09/2025</v>
      </c>
      <c r="J1889" t="str">
        <f t="shared" si="316"/>
        <v>02/09/2025</v>
      </c>
      <c r="K1889" t="str">
        <f>("11/09/2025")</f>
        <v>11/09/2025</v>
      </c>
      <c r="L1889">
        <v>515.5</v>
      </c>
      <c r="M1889">
        <v>515.5</v>
      </c>
      <c r="N1889">
        <v>109</v>
      </c>
      <c r="O1889" t="str">
        <f>"PAGAMENTO DE ENTREGADORES"</f>
        <v>PAGAMENTO DE ENTREGADORES</v>
      </c>
      <c r="P1889">
        <v>515.5</v>
      </c>
      <c r="S1889" t="str">
        <f>"BANCO C6 (149)"</f>
        <v>BANCO C6 (149)</v>
      </c>
      <c r="T1889">
        <v>18174</v>
      </c>
      <c r="U1889">
        <v>21291</v>
      </c>
      <c r="V1889" t="s">
        <v>77</v>
      </c>
    </row>
    <row r="1890" spans="1:22">
      <c r="A1890" t="str">
        <f t="shared" si="311"/>
        <v>11/09/2025</v>
      </c>
      <c r="B1890" t="str">
        <f t="shared" si="312"/>
        <v>SAÍDA</v>
      </c>
      <c r="C1890" t="str">
        <f t="shared" si="313"/>
        <v>PIX</v>
      </c>
      <c r="D1890" t="str">
        <f>"21291"</f>
        <v>21291</v>
      </c>
      <c r="E1890" t="str">
        <f t="shared" si="314"/>
        <v>1</v>
      </c>
      <c r="F1890" t="str">
        <f t="shared" si="317"/>
        <v>COM</v>
      </c>
      <c r="G1890" t="str">
        <f>"ALEXANDRE DA CONCEICAO (714)"</f>
        <v>ALEXANDRE DA CONCEICAO (714)</v>
      </c>
      <c r="H1890" t="s">
        <v>325</v>
      </c>
      <c r="I1890" t="str">
        <f t="shared" si="315"/>
        <v>11/09/2025</v>
      </c>
      <c r="J1890" t="str">
        <f t="shared" si="316"/>
        <v>02/09/2025</v>
      </c>
      <c r="K1890">
        <v>45911</v>
      </c>
      <c r="N1890">
        <v>109</v>
      </c>
      <c r="O1890" t="s">
        <v>24</v>
      </c>
      <c r="Q1890">
        <v>515.5</v>
      </c>
      <c r="R1890" t="str">
        <f>"AC FARMA - CID.ALTA (10166)"</f>
        <v>AC FARMA - CID.ALTA (10166)</v>
      </c>
      <c r="S1890" t="s">
        <v>77</v>
      </c>
      <c r="T1890">
        <v>18174</v>
      </c>
      <c r="U1890">
        <v>21291</v>
      </c>
      <c r="V1890" t="s">
        <v>77</v>
      </c>
    </row>
    <row r="1891" spans="1:22">
      <c r="A1891" t="str">
        <f t="shared" si="311"/>
        <v>11/09/2025</v>
      </c>
      <c r="B1891" t="str">
        <f t="shared" si="312"/>
        <v>SAÍDA</v>
      </c>
      <c r="C1891" t="str">
        <f t="shared" si="313"/>
        <v>PIX</v>
      </c>
      <c r="D1891" t="str">
        <f>"21292"</f>
        <v>21292</v>
      </c>
      <c r="E1891" t="str">
        <f t="shared" si="314"/>
        <v>1</v>
      </c>
      <c r="F1891" t="str">
        <f t="shared" si="317"/>
        <v>COM</v>
      </c>
      <c r="G1891" t="str">
        <f>"CLAUDINEI RIBEIRO VALERIO (681)"</f>
        <v>CLAUDINEI RIBEIRO VALERIO (681)</v>
      </c>
      <c r="H1891" t="str">
        <f>"Serv.Prest. 25/08/2025 a 31/08/2025 - PIX: CELULAR - CHAVE: (43) 99630-7532"</f>
        <v>Serv.Prest. 25/08/2025 a 31/08/2025 - PIX: CELULAR - CHAVE: (43) 99630-7532</v>
      </c>
      <c r="I1891" t="str">
        <f t="shared" si="315"/>
        <v>11/09/2025</v>
      </c>
      <c r="J1891" t="str">
        <f t="shared" si="316"/>
        <v>02/09/2025</v>
      </c>
      <c r="K1891" t="str">
        <f>("11/09/2025")</f>
        <v>11/09/2025</v>
      </c>
      <c r="L1891">
        <v>786.4</v>
      </c>
      <c r="M1891">
        <v>786.4</v>
      </c>
      <c r="N1891">
        <v>109</v>
      </c>
      <c r="O1891" t="str">
        <f>"PAGAMENTO DE ENTREGADORES"</f>
        <v>PAGAMENTO DE ENTREGADORES</v>
      </c>
      <c r="P1891">
        <v>786.4</v>
      </c>
      <c r="S1891" t="str">
        <f>"BANCO C6 (149)"</f>
        <v>BANCO C6 (149)</v>
      </c>
      <c r="T1891">
        <v>18175</v>
      </c>
      <c r="U1891">
        <v>21292</v>
      </c>
      <c r="V1891" t="s">
        <v>77</v>
      </c>
    </row>
    <row r="1892" spans="1:22">
      <c r="A1892" t="str">
        <f t="shared" si="311"/>
        <v>11/09/2025</v>
      </c>
      <c r="B1892" t="str">
        <f t="shared" si="312"/>
        <v>SAÍDA</v>
      </c>
      <c r="C1892" t="str">
        <f t="shared" si="313"/>
        <v>PIX</v>
      </c>
      <c r="D1892" t="str">
        <f>"21292"</f>
        <v>21292</v>
      </c>
      <c r="E1892" t="str">
        <f t="shared" si="314"/>
        <v>1</v>
      </c>
      <c r="F1892" t="str">
        <f t="shared" si="317"/>
        <v>COM</v>
      </c>
      <c r="G1892" t="str">
        <f>"CLAUDINEI RIBEIRO VALERIO (681)"</f>
        <v>CLAUDINEI RIBEIRO VALERIO (681)</v>
      </c>
      <c r="H1892" t="s">
        <v>339</v>
      </c>
      <c r="I1892" t="str">
        <f t="shared" si="315"/>
        <v>11/09/2025</v>
      </c>
      <c r="J1892" t="str">
        <f t="shared" si="316"/>
        <v>02/09/2025</v>
      </c>
      <c r="K1892">
        <v>45911</v>
      </c>
      <c r="N1892">
        <v>109</v>
      </c>
      <c r="O1892" t="s">
        <v>24</v>
      </c>
      <c r="Q1892">
        <v>786.4</v>
      </c>
      <c r="R1892" t="str">
        <f>"AC FARMA - CID.ALTA (10166)"</f>
        <v>AC FARMA - CID.ALTA (10166)</v>
      </c>
      <c r="S1892" t="s">
        <v>77</v>
      </c>
      <c r="T1892">
        <v>18175</v>
      </c>
      <c r="U1892">
        <v>21292</v>
      </c>
      <c r="V1892" t="s">
        <v>77</v>
      </c>
    </row>
    <row r="1893" spans="1:22">
      <c r="A1893" t="str">
        <f t="shared" si="311"/>
        <v>11/09/2025</v>
      </c>
      <c r="B1893" t="str">
        <f t="shared" si="312"/>
        <v>SAÍDA</v>
      </c>
      <c r="C1893" t="str">
        <f t="shared" si="313"/>
        <v>PIX</v>
      </c>
      <c r="D1893" t="str">
        <f>"21293"</f>
        <v>21293</v>
      </c>
      <c r="E1893" t="str">
        <f t="shared" si="314"/>
        <v>1</v>
      </c>
      <c r="F1893" t="str">
        <f t="shared" si="317"/>
        <v>COM</v>
      </c>
      <c r="G1893" t="str">
        <f>"FERNANDO MARTINS DA SILVA (701)"</f>
        <v>FERNANDO MARTINS DA SILVA (701)</v>
      </c>
      <c r="H1893" t="str">
        <f>"Serv.Prest. 25/08/2025 a 31/08/2025 - PIX: CPF - CHAVE: 004.682.359-06"</f>
        <v>Serv.Prest. 25/08/2025 a 31/08/2025 - PIX: CPF - CHAVE: 004.682.359-06</v>
      </c>
      <c r="I1893" t="str">
        <f t="shared" si="315"/>
        <v>11/09/2025</v>
      </c>
      <c r="J1893" t="str">
        <f t="shared" si="316"/>
        <v>02/09/2025</v>
      </c>
      <c r="K1893" t="str">
        <f>("11/09/2025")</f>
        <v>11/09/2025</v>
      </c>
      <c r="L1893">
        <v>988</v>
      </c>
      <c r="M1893">
        <v>988</v>
      </c>
      <c r="N1893">
        <v>109</v>
      </c>
      <c r="O1893" t="str">
        <f>"PAGAMENTO DE ENTREGADORES"</f>
        <v>PAGAMENTO DE ENTREGADORES</v>
      </c>
      <c r="P1893">
        <v>988</v>
      </c>
      <c r="S1893" t="str">
        <f>"BANCO C6 (149)"</f>
        <v>BANCO C6 (149)</v>
      </c>
      <c r="T1893">
        <v>18176</v>
      </c>
      <c r="U1893">
        <v>21293</v>
      </c>
      <c r="V1893" t="s">
        <v>77</v>
      </c>
    </row>
    <row r="1894" spans="1:22">
      <c r="A1894" t="str">
        <f t="shared" si="311"/>
        <v>11/09/2025</v>
      </c>
      <c r="B1894" t="str">
        <f t="shared" si="312"/>
        <v>SAÍDA</v>
      </c>
      <c r="C1894" t="str">
        <f t="shared" si="313"/>
        <v>PIX</v>
      </c>
      <c r="D1894" t="str">
        <f>"21293"</f>
        <v>21293</v>
      </c>
      <c r="E1894" t="str">
        <f t="shared" si="314"/>
        <v>1</v>
      </c>
      <c r="F1894" t="str">
        <f t="shared" si="317"/>
        <v>COM</v>
      </c>
      <c r="G1894" t="str">
        <f>"FERNANDO MARTINS DA SILVA (701)"</f>
        <v>FERNANDO MARTINS DA SILVA (701)</v>
      </c>
      <c r="H1894" t="s">
        <v>361</v>
      </c>
      <c r="I1894" t="str">
        <f t="shared" si="315"/>
        <v>11/09/2025</v>
      </c>
      <c r="J1894" t="str">
        <f t="shared" si="316"/>
        <v>02/09/2025</v>
      </c>
      <c r="K1894">
        <v>45911</v>
      </c>
      <c r="N1894">
        <v>109</v>
      </c>
      <c r="O1894" t="s">
        <v>24</v>
      </c>
      <c r="Q1894">
        <v>988</v>
      </c>
      <c r="R1894" t="str">
        <f>"AC FARMA - CID.ALTA (10166)"</f>
        <v>AC FARMA - CID.ALTA (10166)</v>
      </c>
      <c r="S1894" t="s">
        <v>77</v>
      </c>
      <c r="T1894">
        <v>18176</v>
      </c>
      <c r="U1894">
        <v>21293</v>
      </c>
      <c r="V1894" t="s">
        <v>77</v>
      </c>
    </row>
    <row r="1895" spans="1:22">
      <c r="A1895" t="str">
        <f t="shared" si="311"/>
        <v>11/09/2025</v>
      </c>
      <c r="B1895" t="str">
        <f t="shared" si="312"/>
        <v>SAÍDA</v>
      </c>
      <c r="C1895" t="str">
        <f t="shared" si="313"/>
        <v>PIX</v>
      </c>
      <c r="D1895" t="str">
        <f>"21294"</f>
        <v>21294</v>
      </c>
      <c r="E1895" t="str">
        <f t="shared" si="314"/>
        <v>1</v>
      </c>
      <c r="F1895" t="str">
        <f t="shared" si="317"/>
        <v>COM</v>
      </c>
      <c r="G1895" t="str">
        <f>"GERALDO SEVERINO DE SANTANA (729)"</f>
        <v>GERALDO SEVERINO DE SANTANA (729)</v>
      </c>
      <c r="H1895" t="str">
        <f>"Serv.Prest. 25/08/2025 a 31/08/2025 - PIX: CELULAR - CHAVE: (43) 99934-1696"</f>
        <v>Serv.Prest. 25/08/2025 a 31/08/2025 - PIX: CELULAR - CHAVE: (43) 99934-1696</v>
      </c>
      <c r="I1895" t="str">
        <f t="shared" si="315"/>
        <v>11/09/2025</v>
      </c>
      <c r="J1895" t="str">
        <f t="shared" si="316"/>
        <v>02/09/2025</v>
      </c>
      <c r="K1895" t="str">
        <f>("11/09/2025")</f>
        <v>11/09/2025</v>
      </c>
      <c r="L1895">
        <v>534.4</v>
      </c>
      <c r="M1895">
        <v>534.4</v>
      </c>
      <c r="N1895">
        <v>109</v>
      </c>
      <c r="O1895" t="str">
        <f>"PAGAMENTO DE ENTREGADORES"</f>
        <v>PAGAMENTO DE ENTREGADORES</v>
      </c>
      <c r="P1895">
        <v>534.4</v>
      </c>
      <c r="S1895" t="str">
        <f>"BANCO C6 (149)"</f>
        <v>BANCO C6 (149)</v>
      </c>
      <c r="T1895">
        <v>18177</v>
      </c>
      <c r="U1895">
        <v>21294</v>
      </c>
      <c r="V1895" t="s">
        <v>77</v>
      </c>
    </row>
    <row r="1896" spans="1:22">
      <c r="A1896" t="str">
        <f t="shared" si="311"/>
        <v>11/09/2025</v>
      </c>
      <c r="B1896" t="str">
        <f t="shared" si="312"/>
        <v>SAÍDA</v>
      </c>
      <c r="C1896" t="str">
        <f t="shared" si="313"/>
        <v>PIX</v>
      </c>
      <c r="D1896" t="str">
        <f>"21294"</f>
        <v>21294</v>
      </c>
      <c r="E1896" t="str">
        <f t="shared" si="314"/>
        <v>1</v>
      </c>
      <c r="F1896" t="str">
        <f t="shared" si="317"/>
        <v>COM</v>
      </c>
      <c r="G1896" t="str">
        <f>"GERALDO SEVERINO DE SANTANA (729)"</f>
        <v>GERALDO SEVERINO DE SANTANA (729)</v>
      </c>
      <c r="H1896" t="s">
        <v>373</v>
      </c>
      <c r="I1896" t="str">
        <f t="shared" si="315"/>
        <v>11/09/2025</v>
      </c>
      <c r="J1896" t="str">
        <f t="shared" si="316"/>
        <v>02/09/2025</v>
      </c>
      <c r="K1896">
        <v>45911</v>
      </c>
      <c r="N1896">
        <v>109</v>
      </c>
      <c r="O1896" t="s">
        <v>24</v>
      </c>
      <c r="Q1896">
        <v>534.4</v>
      </c>
      <c r="R1896" t="str">
        <f>"AC FARMA - CID.ALTA (10166)"</f>
        <v>AC FARMA - CID.ALTA (10166)</v>
      </c>
      <c r="S1896" t="s">
        <v>77</v>
      </c>
      <c r="T1896">
        <v>18177</v>
      </c>
      <c r="U1896">
        <v>21294</v>
      </c>
      <c r="V1896" t="s">
        <v>77</v>
      </c>
    </row>
    <row r="1897" spans="1:22">
      <c r="A1897" t="str">
        <f t="shared" si="311"/>
        <v>11/09/2025</v>
      </c>
      <c r="B1897" t="str">
        <f t="shared" si="312"/>
        <v>SAÍDA</v>
      </c>
      <c r="C1897" t="str">
        <f t="shared" si="313"/>
        <v>PIX</v>
      </c>
      <c r="D1897" t="str">
        <f>"21295"</f>
        <v>21295</v>
      </c>
      <c r="E1897" t="str">
        <f t="shared" si="314"/>
        <v>1</v>
      </c>
      <c r="F1897" t="str">
        <f t="shared" si="317"/>
        <v>COM</v>
      </c>
      <c r="G1897" t="str">
        <f>"HELITON DE OLIVEIRA RAMOS BARBOSA (724)"</f>
        <v>HELITON DE OLIVEIRA RAMOS BARBOSA (724)</v>
      </c>
      <c r="H1897" t="str">
        <f>"Serv.Prest. 25/08/2025 a 31/08/2025 - PIX: CPF - CHAVE: 074.604.219-10"</f>
        <v>Serv.Prest. 25/08/2025 a 31/08/2025 - PIX: CPF - CHAVE: 074.604.219-10</v>
      </c>
      <c r="I1897" t="str">
        <f t="shared" si="315"/>
        <v>11/09/2025</v>
      </c>
      <c r="J1897" t="str">
        <f t="shared" si="316"/>
        <v>02/09/2025</v>
      </c>
      <c r="K1897" t="str">
        <f>("11/09/2025")</f>
        <v>11/09/2025</v>
      </c>
      <c r="L1897">
        <v>837.9</v>
      </c>
      <c r="M1897">
        <v>837.9</v>
      </c>
      <c r="N1897">
        <v>109</v>
      </c>
      <c r="O1897" t="str">
        <f>"PAGAMENTO DE ENTREGADORES"</f>
        <v>PAGAMENTO DE ENTREGADORES</v>
      </c>
      <c r="P1897">
        <v>837.9</v>
      </c>
      <c r="S1897" t="str">
        <f>"BANCO C6 (149)"</f>
        <v>BANCO C6 (149)</v>
      </c>
      <c r="T1897">
        <v>18178</v>
      </c>
      <c r="U1897">
        <v>21295</v>
      </c>
      <c r="V1897" t="s">
        <v>77</v>
      </c>
    </row>
    <row r="1898" spans="1:22">
      <c r="A1898" t="str">
        <f t="shared" si="311"/>
        <v>11/09/2025</v>
      </c>
      <c r="B1898" t="str">
        <f t="shared" si="312"/>
        <v>SAÍDA</v>
      </c>
      <c r="C1898" t="str">
        <f t="shared" si="313"/>
        <v>PIX</v>
      </c>
      <c r="D1898" t="str">
        <f>"21295"</f>
        <v>21295</v>
      </c>
      <c r="E1898" t="str">
        <f t="shared" si="314"/>
        <v>1</v>
      </c>
      <c r="F1898" t="str">
        <f t="shared" si="317"/>
        <v>COM</v>
      </c>
      <c r="G1898" t="str">
        <f>"HELITON DE OLIVEIRA RAMOS BARBOSA (724)"</f>
        <v>HELITON DE OLIVEIRA RAMOS BARBOSA (724)</v>
      </c>
      <c r="H1898" t="s">
        <v>378</v>
      </c>
      <c r="I1898" t="str">
        <f t="shared" si="315"/>
        <v>11/09/2025</v>
      </c>
      <c r="J1898" t="str">
        <f t="shared" si="316"/>
        <v>02/09/2025</v>
      </c>
      <c r="K1898">
        <v>45911</v>
      </c>
      <c r="N1898">
        <v>109</v>
      </c>
      <c r="O1898" t="s">
        <v>24</v>
      </c>
      <c r="Q1898">
        <v>837.9</v>
      </c>
      <c r="R1898" t="str">
        <f>"AC FARMA - CID.ALTA (10166)"</f>
        <v>AC FARMA - CID.ALTA (10166)</v>
      </c>
      <c r="S1898" t="s">
        <v>77</v>
      </c>
      <c r="T1898">
        <v>18178</v>
      </c>
      <c r="U1898">
        <v>21295</v>
      </c>
      <c r="V1898" t="s">
        <v>77</v>
      </c>
    </row>
    <row r="1899" spans="1:22">
      <c r="A1899" t="str">
        <f t="shared" si="311"/>
        <v>11/09/2025</v>
      </c>
      <c r="B1899" t="str">
        <f t="shared" si="312"/>
        <v>SAÍDA</v>
      </c>
      <c r="C1899" t="str">
        <f t="shared" si="313"/>
        <v>PIX</v>
      </c>
      <c r="D1899" t="str">
        <f>"21296"</f>
        <v>21296</v>
      </c>
      <c r="E1899" t="str">
        <f t="shared" si="314"/>
        <v>1</v>
      </c>
      <c r="F1899" t="str">
        <f t="shared" si="317"/>
        <v>COM</v>
      </c>
      <c r="G1899" t="str">
        <f>"RAUL SILVA ROMAO (727)"</f>
        <v>RAUL SILVA ROMAO (727)</v>
      </c>
      <c r="H1899" t="str">
        <f>"Serv.Prest. 25/08/2025 a 31/08/2025 - PIX: CPF - CHAVE: 878.196.869-87"</f>
        <v>Serv.Prest. 25/08/2025 a 31/08/2025 - PIX: CPF - CHAVE: 878.196.869-87</v>
      </c>
      <c r="I1899" t="str">
        <f t="shared" si="315"/>
        <v>11/09/2025</v>
      </c>
      <c r="J1899" t="str">
        <f t="shared" si="316"/>
        <v>02/09/2025</v>
      </c>
      <c r="K1899" t="str">
        <f>("11/09/2025")</f>
        <v>11/09/2025</v>
      </c>
      <c r="L1899">
        <v>421</v>
      </c>
      <c r="M1899">
        <v>421</v>
      </c>
      <c r="N1899">
        <v>109</v>
      </c>
      <c r="O1899" t="str">
        <f>"PAGAMENTO DE ENTREGADORES"</f>
        <v>PAGAMENTO DE ENTREGADORES</v>
      </c>
      <c r="P1899">
        <v>421</v>
      </c>
      <c r="S1899" t="str">
        <f>"BANCO C6 (149)"</f>
        <v>BANCO C6 (149)</v>
      </c>
      <c r="T1899">
        <v>18179</v>
      </c>
      <c r="U1899">
        <v>21296</v>
      </c>
      <c r="V1899" t="s">
        <v>77</v>
      </c>
    </row>
    <row r="1900" spans="1:22">
      <c r="A1900" t="str">
        <f t="shared" si="311"/>
        <v>11/09/2025</v>
      </c>
      <c r="B1900" t="str">
        <f t="shared" si="312"/>
        <v>SAÍDA</v>
      </c>
      <c r="C1900" t="str">
        <f t="shared" si="313"/>
        <v>PIX</v>
      </c>
      <c r="D1900" t="str">
        <f>"21296"</f>
        <v>21296</v>
      </c>
      <c r="E1900" t="str">
        <f t="shared" si="314"/>
        <v>1</v>
      </c>
      <c r="F1900" t="str">
        <f t="shared" si="317"/>
        <v>COM</v>
      </c>
      <c r="G1900" t="str">
        <f>"RAUL SILVA ROMAO (727)"</f>
        <v>RAUL SILVA ROMAO (727)</v>
      </c>
      <c r="H1900" t="s">
        <v>426</v>
      </c>
      <c r="I1900" t="str">
        <f t="shared" si="315"/>
        <v>11/09/2025</v>
      </c>
      <c r="J1900" t="str">
        <f t="shared" si="316"/>
        <v>02/09/2025</v>
      </c>
      <c r="K1900">
        <v>45911</v>
      </c>
      <c r="N1900">
        <v>109</v>
      </c>
      <c r="O1900" t="s">
        <v>24</v>
      </c>
      <c r="Q1900">
        <v>421</v>
      </c>
      <c r="R1900" t="str">
        <f>"AC FARMA - CID.ALTA (10166)"</f>
        <v>AC FARMA - CID.ALTA (10166)</v>
      </c>
      <c r="S1900" t="s">
        <v>77</v>
      </c>
      <c r="T1900">
        <v>18179</v>
      </c>
      <c r="U1900">
        <v>21296</v>
      </c>
      <c r="V1900" t="s">
        <v>77</v>
      </c>
    </row>
    <row r="1901" spans="1:22">
      <c r="A1901" t="str">
        <f t="shared" si="311"/>
        <v>11/09/2025</v>
      </c>
      <c r="B1901" t="str">
        <f t="shared" si="312"/>
        <v>SAÍDA</v>
      </c>
      <c r="C1901" t="str">
        <f t="shared" si="313"/>
        <v>PIX</v>
      </c>
      <c r="D1901" t="str">
        <f>"21298"</f>
        <v>21298</v>
      </c>
      <c r="E1901" t="str">
        <f t="shared" si="314"/>
        <v>1</v>
      </c>
      <c r="F1901" t="str">
        <f t="shared" si="317"/>
        <v>COM</v>
      </c>
      <c r="G1901" t="str">
        <f>"ALAN ACOSTA (897)"</f>
        <v>ALAN ACOSTA (897)</v>
      </c>
      <c r="H1901" t="str">
        <f>"Serv.Prest. 25/08/2025 a 31/08/2025 - PIX: E-MAIL - CHAVE: alanacosta1999@gmail.com"</f>
        <v>Serv.Prest. 25/08/2025 a 31/08/2025 - PIX: E-MAIL - CHAVE: alanacosta1999@gmail.com</v>
      </c>
      <c r="I1901" t="str">
        <f t="shared" si="315"/>
        <v>11/09/2025</v>
      </c>
      <c r="J1901" t="str">
        <f t="shared" si="316"/>
        <v>02/09/2025</v>
      </c>
      <c r="K1901" t="str">
        <f>("11/09/2025")</f>
        <v>11/09/2025</v>
      </c>
      <c r="L1901">
        <v>239.4</v>
      </c>
      <c r="M1901">
        <v>239.4</v>
      </c>
      <c r="N1901">
        <v>109</v>
      </c>
      <c r="O1901" t="str">
        <f>"PAGAMENTO DE ENTREGADORES"</f>
        <v>PAGAMENTO DE ENTREGADORES</v>
      </c>
      <c r="P1901">
        <v>239.4</v>
      </c>
      <c r="S1901" t="str">
        <f>"BANCO C6 (149)"</f>
        <v>BANCO C6 (149)</v>
      </c>
      <c r="T1901">
        <v>18180</v>
      </c>
      <c r="U1901">
        <v>21298</v>
      </c>
      <c r="V1901" t="s">
        <v>77</v>
      </c>
    </row>
    <row r="1902" spans="1:22">
      <c r="A1902" t="str">
        <f t="shared" si="311"/>
        <v>11/09/2025</v>
      </c>
      <c r="B1902" t="str">
        <f t="shared" si="312"/>
        <v>SAÍDA</v>
      </c>
      <c r="C1902" t="str">
        <f t="shared" si="313"/>
        <v>PIX</v>
      </c>
      <c r="D1902" t="str">
        <f>"21298"</f>
        <v>21298</v>
      </c>
      <c r="E1902" t="str">
        <f t="shared" si="314"/>
        <v>1</v>
      </c>
      <c r="F1902" t="str">
        <f t="shared" si="317"/>
        <v>COM</v>
      </c>
      <c r="G1902" t="str">
        <f>"ALAN ACOSTA (897)"</f>
        <v>ALAN ACOSTA (897)</v>
      </c>
      <c r="H1902" t="s">
        <v>530</v>
      </c>
      <c r="I1902" t="str">
        <f t="shared" si="315"/>
        <v>11/09/2025</v>
      </c>
      <c r="J1902" t="str">
        <f t="shared" si="316"/>
        <v>02/09/2025</v>
      </c>
      <c r="K1902">
        <v>45911</v>
      </c>
      <c r="N1902">
        <v>109</v>
      </c>
      <c r="O1902" t="s">
        <v>24</v>
      </c>
      <c r="Q1902">
        <v>233.1</v>
      </c>
      <c r="R1902" t="str">
        <f>"AC FARMA -  FLEMINFARMA (10159)"</f>
        <v>AC FARMA -  FLEMINFARMA (10159)</v>
      </c>
      <c r="S1902" t="s">
        <v>77</v>
      </c>
      <c r="T1902">
        <v>18180</v>
      </c>
      <c r="U1902">
        <v>21298</v>
      </c>
      <c r="V1902" t="s">
        <v>77</v>
      </c>
    </row>
    <row r="1903" spans="1:22">
      <c r="A1903" t="str">
        <f t="shared" si="311"/>
        <v>11/09/2025</v>
      </c>
      <c r="B1903" t="str">
        <f t="shared" si="312"/>
        <v>SAÍDA</v>
      </c>
      <c r="C1903" t="str">
        <f t="shared" si="313"/>
        <v>PIX</v>
      </c>
      <c r="D1903" t="str">
        <f>"21298"</f>
        <v>21298</v>
      </c>
      <c r="E1903" t="str">
        <f t="shared" si="314"/>
        <v>1</v>
      </c>
      <c r="F1903" t="str">
        <f t="shared" si="317"/>
        <v>COM</v>
      </c>
      <c r="G1903" t="str">
        <f>"ALAN ACOSTA (897)"</f>
        <v>ALAN ACOSTA (897)</v>
      </c>
      <c r="H1903" t="s">
        <v>530</v>
      </c>
      <c r="I1903" t="str">
        <f t="shared" si="315"/>
        <v>11/09/2025</v>
      </c>
      <c r="J1903" t="str">
        <f t="shared" si="316"/>
        <v>02/09/2025</v>
      </c>
      <c r="K1903">
        <v>45911</v>
      </c>
      <c r="N1903">
        <v>109</v>
      </c>
      <c r="O1903" t="s">
        <v>24</v>
      </c>
      <c r="Q1903">
        <v>6.3</v>
      </c>
      <c r="R1903" t="str">
        <f>"AC FARMA - FLEMINFARMA (10160)"</f>
        <v>AC FARMA - FLEMINFARMA (10160)</v>
      </c>
      <c r="S1903" t="s">
        <v>77</v>
      </c>
      <c r="T1903">
        <v>18180</v>
      </c>
      <c r="U1903">
        <v>21298</v>
      </c>
      <c r="V1903" t="s">
        <v>77</v>
      </c>
    </row>
    <row r="1904" spans="1:22">
      <c r="A1904" t="str">
        <f t="shared" si="311"/>
        <v>11/09/2025</v>
      </c>
      <c r="B1904" t="str">
        <f t="shared" si="312"/>
        <v>SAÍDA</v>
      </c>
      <c r="C1904" t="str">
        <f t="shared" si="313"/>
        <v>PIX</v>
      </c>
      <c r="D1904" t="str">
        <f>"21299"</f>
        <v>21299</v>
      </c>
      <c r="E1904" t="str">
        <f t="shared" si="314"/>
        <v>1</v>
      </c>
      <c r="F1904" t="str">
        <f t="shared" si="317"/>
        <v>COM</v>
      </c>
      <c r="G1904" t="str">
        <f>"ALEXANDRE DA CONCEICAO (714)"</f>
        <v>ALEXANDRE DA CONCEICAO (714)</v>
      </c>
      <c r="H1904" t="str">
        <f>"Serv.Prest. 25/08/2025 a 31/08/2025 - PIX: CPF - CHAVE: 975.425.989-53"</f>
        <v>Serv.Prest. 25/08/2025 a 31/08/2025 - PIX: CPF - CHAVE: 975.425.989-53</v>
      </c>
      <c r="I1904" t="str">
        <f t="shared" si="315"/>
        <v>11/09/2025</v>
      </c>
      <c r="J1904" t="str">
        <f t="shared" si="316"/>
        <v>02/09/2025</v>
      </c>
      <c r="K1904" t="str">
        <f>("11/09/2025")</f>
        <v>11/09/2025</v>
      </c>
      <c r="L1904">
        <v>37.799999999999997</v>
      </c>
      <c r="M1904">
        <v>37.799999999999997</v>
      </c>
      <c r="N1904">
        <v>109</v>
      </c>
      <c r="O1904" t="str">
        <f>"PAGAMENTO DE ENTREGADORES"</f>
        <v>PAGAMENTO DE ENTREGADORES</v>
      </c>
      <c r="P1904">
        <v>37.799999999999997</v>
      </c>
      <c r="S1904" t="str">
        <f>"BANCO C6 (149)"</f>
        <v>BANCO C6 (149)</v>
      </c>
      <c r="T1904">
        <v>18181</v>
      </c>
      <c r="U1904">
        <v>21299</v>
      </c>
      <c r="V1904" t="s">
        <v>77</v>
      </c>
    </row>
    <row r="1905" spans="1:22">
      <c r="A1905" t="str">
        <f t="shared" si="311"/>
        <v>11/09/2025</v>
      </c>
      <c r="B1905" t="str">
        <f t="shared" si="312"/>
        <v>SAÍDA</v>
      </c>
      <c r="C1905" t="str">
        <f t="shared" si="313"/>
        <v>PIX</v>
      </c>
      <c r="D1905" t="str">
        <f>"21299"</f>
        <v>21299</v>
      </c>
      <c r="E1905" t="str">
        <f t="shared" si="314"/>
        <v>1</v>
      </c>
      <c r="F1905" t="str">
        <f t="shared" si="317"/>
        <v>COM</v>
      </c>
      <c r="G1905" t="str">
        <f>"ALEXANDRE DA CONCEICAO (714)"</f>
        <v>ALEXANDRE DA CONCEICAO (714)</v>
      </c>
      <c r="H1905" t="s">
        <v>325</v>
      </c>
      <c r="I1905" t="str">
        <f t="shared" si="315"/>
        <v>11/09/2025</v>
      </c>
      <c r="J1905" t="str">
        <f t="shared" si="316"/>
        <v>02/09/2025</v>
      </c>
      <c r="K1905">
        <v>45911</v>
      </c>
      <c r="N1905">
        <v>109</v>
      </c>
      <c r="O1905" t="s">
        <v>24</v>
      </c>
      <c r="Q1905">
        <v>37.799999999999997</v>
      </c>
      <c r="R1905" t="str">
        <f>"AC FARMA -  FLEMINFARMA (10159)"</f>
        <v>AC FARMA -  FLEMINFARMA (10159)</v>
      </c>
      <c r="S1905" t="s">
        <v>77</v>
      </c>
      <c r="T1905">
        <v>18181</v>
      </c>
      <c r="U1905">
        <v>21299</v>
      </c>
      <c r="V1905" t="s">
        <v>77</v>
      </c>
    </row>
    <row r="1906" spans="1:22">
      <c r="A1906" t="str">
        <f t="shared" si="311"/>
        <v>11/09/2025</v>
      </c>
      <c r="B1906" t="str">
        <f t="shared" si="312"/>
        <v>SAÍDA</v>
      </c>
      <c r="C1906" t="str">
        <f t="shared" si="313"/>
        <v>PIX</v>
      </c>
      <c r="D1906" t="str">
        <f>"21300"</f>
        <v>21300</v>
      </c>
      <c r="E1906" t="str">
        <f t="shared" si="314"/>
        <v>1</v>
      </c>
      <c r="F1906" t="str">
        <f t="shared" si="317"/>
        <v>COM</v>
      </c>
      <c r="G1906" t="str">
        <f>"CLAUDINEI RIBEIRO VALERIO (681)"</f>
        <v>CLAUDINEI RIBEIRO VALERIO (681)</v>
      </c>
      <c r="H1906" t="str">
        <f>"Serv.Prest. 25/08/2025 a 31/08/2025 - PIX: CELULAR - CHAVE: (43) 99630-7532"</f>
        <v>Serv.Prest. 25/08/2025 a 31/08/2025 - PIX: CELULAR - CHAVE: (43) 99630-7532</v>
      </c>
      <c r="I1906" t="str">
        <f t="shared" si="315"/>
        <v>11/09/2025</v>
      </c>
      <c r="J1906" t="str">
        <f t="shared" si="316"/>
        <v>02/09/2025</v>
      </c>
      <c r="K1906" t="str">
        <f>("11/09/2025")</f>
        <v>11/09/2025</v>
      </c>
      <c r="L1906">
        <v>44.1</v>
      </c>
      <c r="M1906">
        <v>44.1</v>
      </c>
      <c r="N1906">
        <v>109</v>
      </c>
      <c r="O1906" t="str">
        <f>"PAGAMENTO DE ENTREGADORES"</f>
        <v>PAGAMENTO DE ENTREGADORES</v>
      </c>
      <c r="P1906">
        <v>44.1</v>
      </c>
      <c r="S1906" t="str">
        <f>"BANCO C6 (149)"</f>
        <v>BANCO C6 (149)</v>
      </c>
      <c r="T1906">
        <v>18182</v>
      </c>
      <c r="U1906">
        <v>21300</v>
      </c>
      <c r="V1906" t="s">
        <v>77</v>
      </c>
    </row>
    <row r="1907" spans="1:22">
      <c r="A1907" t="str">
        <f t="shared" si="311"/>
        <v>11/09/2025</v>
      </c>
      <c r="B1907" t="str">
        <f t="shared" si="312"/>
        <v>SAÍDA</v>
      </c>
      <c r="C1907" t="str">
        <f t="shared" si="313"/>
        <v>PIX</v>
      </c>
      <c r="D1907" t="str">
        <f>"21300"</f>
        <v>21300</v>
      </c>
      <c r="E1907" t="str">
        <f t="shared" si="314"/>
        <v>1</v>
      </c>
      <c r="F1907" t="str">
        <f t="shared" si="317"/>
        <v>COM</v>
      </c>
      <c r="G1907" t="str">
        <f>"CLAUDINEI RIBEIRO VALERIO (681)"</f>
        <v>CLAUDINEI RIBEIRO VALERIO (681)</v>
      </c>
      <c r="H1907" t="s">
        <v>339</v>
      </c>
      <c r="I1907" t="str">
        <f t="shared" si="315"/>
        <v>11/09/2025</v>
      </c>
      <c r="J1907" t="str">
        <f t="shared" si="316"/>
        <v>02/09/2025</v>
      </c>
      <c r="K1907">
        <v>45911</v>
      </c>
      <c r="N1907">
        <v>109</v>
      </c>
      <c r="O1907" t="s">
        <v>24</v>
      </c>
      <c r="Q1907">
        <v>44.1</v>
      </c>
      <c r="R1907" t="str">
        <f>"AC FARMA -  FLEMINFARMA (10159)"</f>
        <v>AC FARMA -  FLEMINFARMA (10159)</v>
      </c>
      <c r="S1907" t="s">
        <v>77</v>
      </c>
      <c r="T1907">
        <v>18182</v>
      </c>
      <c r="U1907">
        <v>21300</v>
      </c>
      <c r="V1907" t="s">
        <v>77</v>
      </c>
    </row>
    <row r="1908" spans="1:22">
      <c r="A1908" t="str">
        <f t="shared" si="311"/>
        <v>11/09/2025</v>
      </c>
      <c r="B1908" t="str">
        <f t="shared" si="312"/>
        <v>SAÍDA</v>
      </c>
      <c r="C1908" t="str">
        <f t="shared" si="313"/>
        <v>PIX</v>
      </c>
      <c r="D1908" t="str">
        <f>"21301"</f>
        <v>21301</v>
      </c>
      <c r="E1908" t="str">
        <f t="shared" si="314"/>
        <v>1</v>
      </c>
      <c r="F1908" t="str">
        <f t="shared" si="317"/>
        <v>COM</v>
      </c>
      <c r="G1908" t="str">
        <f>"FERNANDO MARTINS DA SILVA (701)"</f>
        <v>FERNANDO MARTINS DA SILVA (701)</v>
      </c>
      <c r="H1908" t="str">
        <f>"Serv.Prest. 25/08/2025 a 31/08/2025 - PIX: CPF - CHAVE: 004.682.359-06"</f>
        <v>Serv.Prest. 25/08/2025 a 31/08/2025 - PIX: CPF - CHAVE: 004.682.359-06</v>
      </c>
      <c r="I1908" t="str">
        <f t="shared" si="315"/>
        <v>11/09/2025</v>
      </c>
      <c r="J1908" t="str">
        <f t="shared" si="316"/>
        <v>02/09/2025</v>
      </c>
      <c r="K1908" t="str">
        <f>("11/09/2025")</f>
        <v>11/09/2025</v>
      </c>
      <c r="L1908">
        <v>283.5</v>
      </c>
      <c r="M1908">
        <v>283.5</v>
      </c>
      <c r="N1908">
        <v>109</v>
      </c>
      <c r="O1908" t="str">
        <f>"PAGAMENTO DE ENTREGADORES"</f>
        <v>PAGAMENTO DE ENTREGADORES</v>
      </c>
      <c r="P1908">
        <v>283.5</v>
      </c>
      <c r="S1908" t="str">
        <f>"BANCO C6 (149)"</f>
        <v>BANCO C6 (149)</v>
      </c>
      <c r="T1908">
        <v>18183</v>
      </c>
      <c r="U1908">
        <v>21301</v>
      </c>
      <c r="V1908" t="s">
        <v>77</v>
      </c>
    </row>
    <row r="1909" spans="1:22">
      <c r="A1909" t="str">
        <f t="shared" si="311"/>
        <v>11/09/2025</v>
      </c>
      <c r="B1909" t="str">
        <f t="shared" si="312"/>
        <v>SAÍDA</v>
      </c>
      <c r="C1909" t="str">
        <f t="shared" si="313"/>
        <v>PIX</v>
      </c>
      <c r="D1909" t="str">
        <f>"21301"</f>
        <v>21301</v>
      </c>
      <c r="E1909" t="str">
        <f t="shared" si="314"/>
        <v>1</v>
      </c>
      <c r="F1909" t="str">
        <f t="shared" si="317"/>
        <v>COM</v>
      </c>
      <c r="G1909" t="str">
        <f>"FERNANDO MARTINS DA SILVA (701)"</f>
        <v>FERNANDO MARTINS DA SILVA (701)</v>
      </c>
      <c r="H1909" t="s">
        <v>361</v>
      </c>
      <c r="I1909" t="str">
        <f t="shared" si="315"/>
        <v>11/09/2025</v>
      </c>
      <c r="J1909" t="str">
        <f t="shared" si="316"/>
        <v>02/09/2025</v>
      </c>
      <c r="K1909">
        <v>45911</v>
      </c>
      <c r="N1909">
        <v>109</v>
      </c>
      <c r="O1909" t="s">
        <v>24</v>
      </c>
      <c r="Q1909">
        <v>270.91000000000003</v>
      </c>
      <c r="R1909" t="str">
        <f>"AC FARMA -  FLEMINFARMA (10159)"</f>
        <v>AC FARMA -  FLEMINFARMA (10159)</v>
      </c>
      <c r="S1909" t="s">
        <v>77</v>
      </c>
      <c r="T1909">
        <v>18183</v>
      </c>
      <c r="U1909">
        <v>21301</v>
      </c>
      <c r="V1909" t="s">
        <v>77</v>
      </c>
    </row>
    <row r="1910" spans="1:22">
      <c r="A1910" t="str">
        <f t="shared" si="311"/>
        <v>11/09/2025</v>
      </c>
      <c r="B1910" t="str">
        <f t="shared" si="312"/>
        <v>SAÍDA</v>
      </c>
      <c r="C1910" t="str">
        <f t="shared" si="313"/>
        <v>PIX</v>
      </c>
      <c r="D1910" t="str">
        <f>"21301"</f>
        <v>21301</v>
      </c>
      <c r="E1910" t="str">
        <f t="shared" si="314"/>
        <v>1</v>
      </c>
      <c r="F1910" t="str">
        <f t="shared" si="317"/>
        <v>COM</v>
      </c>
      <c r="G1910" t="str">
        <f>"FERNANDO MARTINS DA SILVA (701)"</f>
        <v>FERNANDO MARTINS DA SILVA (701)</v>
      </c>
      <c r="H1910" t="s">
        <v>361</v>
      </c>
      <c r="I1910" t="str">
        <f t="shared" si="315"/>
        <v>11/09/2025</v>
      </c>
      <c r="J1910" t="str">
        <f t="shared" si="316"/>
        <v>02/09/2025</v>
      </c>
      <c r="K1910">
        <v>45911</v>
      </c>
      <c r="N1910">
        <v>109</v>
      </c>
      <c r="O1910" t="s">
        <v>24</v>
      </c>
      <c r="Q1910">
        <v>12.59</v>
      </c>
      <c r="R1910" t="str">
        <f>"AC FARMA - FLEMINFARMA (10160)"</f>
        <v>AC FARMA - FLEMINFARMA (10160)</v>
      </c>
      <c r="S1910" t="s">
        <v>77</v>
      </c>
      <c r="T1910">
        <v>18183</v>
      </c>
      <c r="U1910">
        <v>21301</v>
      </c>
      <c r="V1910" t="s">
        <v>77</v>
      </c>
    </row>
    <row r="1911" spans="1:22">
      <c r="A1911" t="str">
        <f t="shared" si="311"/>
        <v>11/09/2025</v>
      </c>
      <c r="B1911" t="str">
        <f t="shared" si="312"/>
        <v>SAÍDA</v>
      </c>
      <c r="C1911" t="str">
        <f t="shared" si="313"/>
        <v>PIX</v>
      </c>
      <c r="D1911" t="str">
        <f>"21302"</f>
        <v>21302</v>
      </c>
      <c r="E1911" t="str">
        <f t="shared" si="314"/>
        <v>1</v>
      </c>
      <c r="F1911" t="str">
        <f t="shared" si="317"/>
        <v>COM</v>
      </c>
      <c r="G1911" t="str">
        <f>"GERALDO SEVERINO DE SANTANA (729)"</f>
        <v>GERALDO SEVERINO DE SANTANA (729)</v>
      </c>
      <c r="H1911" t="str">
        <f>"Serv.Prest. 25/08/2025 a 31/08/2025 - PIX: CELULAR - CHAVE: (43) 99934-1696"</f>
        <v>Serv.Prest. 25/08/2025 a 31/08/2025 - PIX: CELULAR - CHAVE: (43) 99934-1696</v>
      </c>
      <c r="I1911" t="str">
        <f t="shared" si="315"/>
        <v>11/09/2025</v>
      </c>
      <c r="J1911" t="str">
        <f t="shared" si="316"/>
        <v>02/09/2025</v>
      </c>
      <c r="K1911" t="str">
        <f>("11/09/2025")</f>
        <v>11/09/2025</v>
      </c>
      <c r="L1911">
        <v>352.8</v>
      </c>
      <c r="M1911">
        <v>352.8</v>
      </c>
      <c r="N1911">
        <v>109</v>
      </c>
      <c r="O1911" t="str">
        <f>"PAGAMENTO DE ENTREGADORES"</f>
        <v>PAGAMENTO DE ENTREGADORES</v>
      </c>
      <c r="P1911">
        <v>352.8</v>
      </c>
      <c r="S1911" t="str">
        <f>"BANCO C6 (149)"</f>
        <v>BANCO C6 (149)</v>
      </c>
      <c r="T1911">
        <v>18184</v>
      </c>
      <c r="U1911">
        <v>21302</v>
      </c>
      <c r="V1911" t="s">
        <v>77</v>
      </c>
    </row>
    <row r="1912" spans="1:22">
      <c r="A1912" t="str">
        <f t="shared" si="311"/>
        <v>11/09/2025</v>
      </c>
      <c r="B1912" t="str">
        <f t="shared" si="312"/>
        <v>SAÍDA</v>
      </c>
      <c r="C1912" t="str">
        <f t="shared" si="313"/>
        <v>PIX</v>
      </c>
      <c r="D1912" t="str">
        <f>"21302"</f>
        <v>21302</v>
      </c>
      <c r="E1912" t="str">
        <f t="shared" si="314"/>
        <v>1</v>
      </c>
      <c r="F1912" t="str">
        <f t="shared" si="317"/>
        <v>COM</v>
      </c>
      <c r="G1912" t="str">
        <f>"GERALDO SEVERINO DE SANTANA (729)"</f>
        <v>GERALDO SEVERINO DE SANTANA (729)</v>
      </c>
      <c r="H1912" t="s">
        <v>373</v>
      </c>
      <c r="I1912" t="str">
        <f t="shared" si="315"/>
        <v>11/09/2025</v>
      </c>
      <c r="J1912" t="str">
        <f t="shared" si="316"/>
        <v>02/09/2025</v>
      </c>
      <c r="K1912">
        <v>45911</v>
      </c>
      <c r="N1912">
        <v>109</v>
      </c>
      <c r="O1912" t="s">
        <v>24</v>
      </c>
      <c r="Q1912">
        <v>340.21</v>
      </c>
      <c r="R1912" t="str">
        <f>"AC FARMA -  FLEMINFARMA (10159)"</f>
        <v>AC FARMA -  FLEMINFARMA (10159)</v>
      </c>
      <c r="S1912" t="s">
        <v>77</v>
      </c>
      <c r="T1912">
        <v>18184</v>
      </c>
      <c r="U1912">
        <v>21302</v>
      </c>
      <c r="V1912" t="s">
        <v>77</v>
      </c>
    </row>
    <row r="1913" spans="1:22">
      <c r="A1913" t="str">
        <f t="shared" si="311"/>
        <v>11/09/2025</v>
      </c>
      <c r="B1913" t="str">
        <f t="shared" si="312"/>
        <v>SAÍDA</v>
      </c>
      <c r="C1913" t="str">
        <f t="shared" si="313"/>
        <v>PIX</v>
      </c>
      <c r="D1913" t="str">
        <f>"21302"</f>
        <v>21302</v>
      </c>
      <c r="E1913" t="str">
        <f t="shared" si="314"/>
        <v>1</v>
      </c>
      <c r="F1913" t="str">
        <f t="shared" si="317"/>
        <v>COM</v>
      </c>
      <c r="G1913" t="str">
        <f>"GERALDO SEVERINO DE SANTANA (729)"</f>
        <v>GERALDO SEVERINO DE SANTANA (729)</v>
      </c>
      <c r="H1913" t="s">
        <v>373</v>
      </c>
      <c r="I1913" t="str">
        <f t="shared" si="315"/>
        <v>11/09/2025</v>
      </c>
      <c r="J1913" t="str">
        <f t="shared" si="316"/>
        <v>02/09/2025</v>
      </c>
      <c r="K1913">
        <v>45911</v>
      </c>
      <c r="N1913">
        <v>109</v>
      </c>
      <c r="O1913" t="s">
        <v>24</v>
      </c>
      <c r="Q1913">
        <v>12.59</v>
      </c>
      <c r="R1913" t="str">
        <f>"AC FARMA - FLEMINFARMA (10160)"</f>
        <v>AC FARMA - FLEMINFARMA (10160)</v>
      </c>
      <c r="S1913" t="s">
        <v>77</v>
      </c>
      <c r="T1913">
        <v>18184</v>
      </c>
      <c r="U1913">
        <v>21302</v>
      </c>
      <c r="V1913" t="s">
        <v>77</v>
      </c>
    </row>
    <row r="1914" spans="1:22">
      <c r="A1914" t="str">
        <f t="shared" si="311"/>
        <v>11/09/2025</v>
      </c>
      <c r="B1914" t="str">
        <f t="shared" si="312"/>
        <v>SAÍDA</v>
      </c>
      <c r="C1914" t="str">
        <f t="shared" si="313"/>
        <v>PIX</v>
      </c>
      <c r="D1914" t="str">
        <f>"21303"</f>
        <v>21303</v>
      </c>
      <c r="E1914" t="str">
        <f t="shared" si="314"/>
        <v>1</v>
      </c>
      <c r="F1914" t="str">
        <f t="shared" si="317"/>
        <v>COM</v>
      </c>
      <c r="G1914" t="str">
        <f>"HELITON DE OLIVEIRA RAMOS BARBOSA (724)"</f>
        <v>HELITON DE OLIVEIRA RAMOS BARBOSA (724)</v>
      </c>
      <c r="H1914" t="str">
        <f>"Serv.Prest. 25/08/2025 a 31/08/2025 - PIX: CPF - CHAVE: 074.604.219-10"</f>
        <v>Serv.Prest. 25/08/2025 a 31/08/2025 - PIX: CPF - CHAVE: 074.604.219-10</v>
      </c>
      <c r="I1914" t="str">
        <f t="shared" si="315"/>
        <v>11/09/2025</v>
      </c>
      <c r="J1914" t="str">
        <f t="shared" si="316"/>
        <v>02/09/2025</v>
      </c>
      <c r="K1914" t="str">
        <f>("11/09/2025")</f>
        <v>11/09/2025</v>
      </c>
      <c r="L1914">
        <v>302.39999999999998</v>
      </c>
      <c r="M1914">
        <v>302.39999999999998</v>
      </c>
      <c r="N1914">
        <v>109</v>
      </c>
      <c r="O1914" t="str">
        <f>"PAGAMENTO DE ENTREGADORES"</f>
        <v>PAGAMENTO DE ENTREGADORES</v>
      </c>
      <c r="P1914">
        <v>302.39999999999998</v>
      </c>
      <c r="S1914" t="str">
        <f>"BANCO C6 (149)"</f>
        <v>BANCO C6 (149)</v>
      </c>
      <c r="T1914">
        <v>18185</v>
      </c>
      <c r="U1914">
        <v>21303</v>
      </c>
      <c r="V1914" t="s">
        <v>77</v>
      </c>
    </row>
    <row r="1915" spans="1:22">
      <c r="A1915" t="str">
        <f t="shared" si="311"/>
        <v>11/09/2025</v>
      </c>
      <c r="B1915" t="str">
        <f t="shared" si="312"/>
        <v>SAÍDA</v>
      </c>
      <c r="C1915" t="str">
        <f t="shared" si="313"/>
        <v>PIX</v>
      </c>
      <c r="D1915" t="str">
        <f>"21303"</f>
        <v>21303</v>
      </c>
      <c r="E1915" t="str">
        <f t="shared" si="314"/>
        <v>1</v>
      </c>
      <c r="F1915" t="str">
        <f t="shared" si="317"/>
        <v>COM</v>
      </c>
      <c r="G1915" t="str">
        <f>"HELITON DE OLIVEIRA RAMOS BARBOSA (724)"</f>
        <v>HELITON DE OLIVEIRA RAMOS BARBOSA (724)</v>
      </c>
      <c r="H1915" t="s">
        <v>378</v>
      </c>
      <c r="I1915" t="str">
        <f t="shared" si="315"/>
        <v>11/09/2025</v>
      </c>
      <c r="J1915" t="str">
        <f t="shared" si="316"/>
        <v>02/09/2025</v>
      </c>
      <c r="K1915">
        <v>45911</v>
      </c>
      <c r="N1915">
        <v>109</v>
      </c>
      <c r="O1915" t="s">
        <v>24</v>
      </c>
      <c r="Q1915">
        <v>296.11</v>
      </c>
      <c r="R1915" t="str">
        <f>"AC FARMA -  FLEMINFARMA (10159)"</f>
        <v>AC FARMA -  FLEMINFARMA (10159)</v>
      </c>
      <c r="S1915" t="s">
        <v>77</v>
      </c>
      <c r="T1915">
        <v>18185</v>
      </c>
      <c r="U1915">
        <v>21303</v>
      </c>
      <c r="V1915" t="s">
        <v>77</v>
      </c>
    </row>
    <row r="1916" spans="1:22">
      <c r="A1916" t="str">
        <f t="shared" si="311"/>
        <v>11/09/2025</v>
      </c>
      <c r="B1916" t="str">
        <f t="shared" si="312"/>
        <v>SAÍDA</v>
      </c>
      <c r="C1916" t="str">
        <f t="shared" si="313"/>
        <v>PIX</v>
      </c>
      <c r="D1916" t="str">
        <f>"21303"</f>
        <v>21303</v>
      </c>
      <c r="E1916" t="str">
        <f t="shared" si="314"/>
        <v>1</v>
      </c>
      <c r="F1916" t="str">
        <f t="shared" si="317"/>
        <v>COM</v>
      </c>
      <c r="G1916" t="str">
        <f>"HELITON DE OLIVEIRA RAMOS BARBOSA (724)"</f>
        <v>HELITON DE OLIVEIRA RAMOS BARBOSA (724)</v>
      </c>
      <c r="H1916" t="s">
        <v>378</v>
      </c>
      <c r="I1916" t="str">
        <f t="shared" si="315"/>
        <v>11/09/2025</v>
      </c>
      <c r="J1916" t="str">
        <f t="shared" si="316"/>
        <v>02/09/2025</v>
      </c>
      <c r="K1916">
        <v>45911</v>
      </c>
      <c r="N1916">
        <v>109</v>
      </c>
      <c r="O1916" t="s">
        <v>24</v>
      </c>
      <c r="Q1916">
        <v>6.29</v>
      </c>
      <c r="R1916" t="str">
        <f>"AC FARMA - FLEMINFARMA (10160)"</f>
        <v>AC FARMA - FLEMINFARMA (10160)</v>
      </c>
      <c r="S1916" t="s">
        <v>77</v>
      </c>
      <c r="T1916">
        <v>18185</v>
      </c>
      <c r="U1916">
        <v>21303</v>
      </c>
      <c r="V1916" t="s">
        <v>77</v>
      </c>
    </row>
    <row r="1917" spans="1:22">
      <c r="A1917" t="str">
        <f t="shared" si="311"/>
        <v>11/09/2025</v>
      </c>
      <c r="B1917" t="str">
        <f t="shared" si="312"/>
        <v>SAÍDA</v>
      </c>
      <c r="C1917" t="str">
        <f t="shared" si="313"/>
        <v>PIX</v>
      </c>
      <c r="D1917" t="str">
        <f>"21305"</f>
        <v>21305</v>
      </c>
      <c r="E1917" t="str">
        <f t="shared" si="314"/>
        <v>1</v>
      </c>
      <c r="F1917" t="str">
        <f t="shared" si="317"/>
        <v>COM</v>
      </c>
      <c r="G1917" t="str">
        <f>"ALAN ACOSTA (897)"</f>
        <v>ALAN ACOSTA (897)</v>
      </c>
      <c r="H1917" t="str">
        <f>"Serv.Prest. 25/08/2025 a 31/08/2025 - PIX: E-MAIL - CHAVE: alanacosta1999@gmail.com"</f>
        <v>Serv.Prest. 25/08/2025 a 31/08/2025 - PIX: E-MAIL - CHAVE: alanacosta1999@gmail.com</v>
      </c>
      <c r="I1917" t="str">
        <f t="shared" si="315"/>
        <v>11/09/2025</v>
      </c>
      <c r="J1917" t="str">
        <f t="shared" si="316"/>
        <v>02/09/2025</v>
      </c>
      <c r="K1917" t="str">
        <f>("11/09/2025")</f>
        <v>11/09/2025</v>
      </c>
      <c r="L1917">
        <v>88.2</v>
      </c>
      <c r="M1917">
        <v>88.2</v>
      </c>
      <c r="N1917">
        <v>109</v>
      </c>
      <c r="O1917" t="str">
        <f>"PAGAMENTO DE ENTREGADORES"</f>
        <v>PAGAMENTO DE ENTREGADORES</v>
      </c>
      <c r="P1917">
        <v>88.2</v>
      </c>
      <c r="S1917" t="str">
        <f>"BANCO C6 (149)"</f>
        <v>BANCO C6 (149)</v>
      </c>
      <c r="T1917">
        <v>18186</v>
      </c>
      <c r="U1917">
        <v>21305</v>
      </c>
      <c r="V1917" t="s">
        <v>77</v>
      </c>
    </row>
    <row r="1918" spans="1:22">
      <c r="A1918" t="str">
        <f t="shared" si="311"/>
        <v>11/09/2025</v>
      </c>
      <c r="B1918" t="str">
        <f t="shared" si="312"/>
        <v>SAÍDA</v>
      </c>
      <c r="C1918" t="str">
        <f t="shared" si="313"/>
        <v>PIX</v>
      </c>
      <c r="D1918" t="str">
        <f>"21305"</f>
        <v>21305</v>
      </c>
      <c r="E1918" t="str">
        <f t="shared" si="314"/>
        <v>1</v>
      </c>
      <c r="F1918" t="str">
        <f t="shared" si="317"/>
        <v>COM</v>
      </c>
      <c r="G1918" t="str">
        <f>"ALAN ACOSTA (897)"</f>
        <v>ALAN ACOSTA (897)</v>
      </c>
      <c r="H1918" t="s">
        <v>530</v>
      </c>
      <c r="I1918" t="str">
        <f t="shared" si="315"/>
        <v>11/09/2025</v>
      </c>
      <c r="J1918" t="str">
        <f t="shared" si="316"/>
        <v>02/09/2025</v>
      </c>
      <c r="K1918">
        <v>45911</v>
      </c>
      <c r="N1918">
        <v>109</v>
      </c>
      <c r="O1918" t="s">
        <v>24</v>
      </c>
      <c r="Q1918">
        <v>88.2</v>
      </c>
      <c r="R1918" t="str">
        <f>"AC FARMA - FLEMINFARMA 5 (10183)"</f>
        <v>AC FARMA - FLEMINFARMA 5 (10183)</v>
      </c>
      <c r="S1918" t="s">
        <v>77</v>
      </c>
      <c r="T1918">
        <v>18186</v>
      </c>
      <c r="U1918">
        <v>21305</v>
      </c>
      <c r="V1918" t="s">
        <v>77</v>
      </c>
    </row>
    <row r="1919" spans="1:22">
      <c r="A1919" t="str">
        <f t="shared" si="311"/>
        <v>11/09/2025</v>
      </c>
      <c r="B1919" t="str">
        <f t="shared" si="312"/>
        <v>SAÍDA</v>
      </c>
      <c r="C1919" t="str">
        <f t="shared" si="313"/>
        <v>PIX</v>
      </c>
      <c r="D1919" t="str">
        <f>"21306"</f>
        <v>21306</v>
      </c>
      <c r="E1919" t="str">
        <f t="shared" si="314"/>
        <v>1</v>
      </c>
      <c r="F1919" t="str">
        <f t="shared" si="317"/>
        <v>COM</v>
      </c>
      <c r="G1919" t="str">
        <f>"FERNANDO MARTINS DA SILVA (701)"</f>
        <v>FERNANDO MARTINS DA SILVA (701)</v>
      </c>
      <c r="H1919" t="str">
        <f>"Serv.Prest. 25/08/2025 a 31/08/2025 - PIX: CPF - CHAVE: 004.682.359-06"</f>
        <v>Serv.Prest. 25/08/2025 a 31/08/2025 - PIX: CPF - CHAVE: 004.682.359-06</v>
      </c>
      <c r="I1919" t="str">
        <f t="shared" si="315"/>
        <v>11/09/2025</v>
      </c>
      <c r="J1919" t="str">
        <f t="shared" si="316"/>
        <v>02/09/2025</v>
      </c>
      <c r="K1919" t="str">
        <f>("11/09/2025")</f>
        <v>11/09/2025</v>
      </c>
      <c r="L1919">
        <v>126</v>
      </c>
      <c r="M1919">
        <v>126</v>
      </c>
      <c r="N1919">
        <v>109</v>
      </c>
      <c r="O1919" t="str">
        <f>"PAGAMENTO DE ENTREGADORES"</f>
        <v>PAGAMENTO DE ENTREGADORES</v>
      </c>
      <c r="P1919">
        <v>126</v>
      </c>
      <c r="S1919" t="str">
        <f>"BANCO C6 (149)"</f>
        <v>BANCO C6 (149)</v>
      </c>
      <c r="T1919">
        <v>18187</v>
      </c>
      <c r="U1919">
        <v>21306</v>
      </c>
      <c r="V1919" t="s">
        <v>77</v>
      </c>
    </row>
    <row r="1920" spans="1:22">
      <c r="A1920" t="str">
        <f t="shared" si="311"/>
        <v>11/09/2025</v>
      </c>
      <c r="B1920" t="str">
        <f t="shared" si="312"/>
        <v>SAÍDA</v>
      </c>
      <c r="C1920" t="str">
        <f t="shared" si="313"/>
        <v>PIX</v>
      </c>
      <c r="D1920" t="str">
        <f>"21306"</f>
        <v>21306</v>
      </c>
      <c r="E1920" t="str">
        <f t="shared" si="314"/>
        <v>1</v>
      </c>
      <c r="F1920" t="str">
        <f t="shared" si="317"/>
        <v>COM</v>
      </c>
      <c r="G1920" t="str">
        <f>"FERNANDO MARTINS DA SILVA (701)"</f>
        <v>FERNANDO MARTINS DA SILVA (701)</v>
      </c>
      <c r="H1920" t="s">
        <v>361</v>
      </c>
      <c r="I1920" t="str">
        <f t="shared" si="315"/>
        <v>11/09/2025</v>
      </c>
      <c r="J1920" t="str">
        <f t="shared" si="316"/>
        <v>02/09/2025</v>
      </c>
      <c r="K1920">
        <v>45911</v>
      </c>
      <c r="N1920">
        <v>109</v>
      </c>
      <c r="O1920" t="s">
        <v>24</v>
      </c>
      <c r="Q1920">
        <v>119.7</v>
      </c>
      <c r="R1920" t="str">
        <f>"AC FARMA - FLEMINFARMA 5 (10183)"</f>
        <v>AC FARMA - FLEMINFARMA 5 (10183)</v>
      </c>
      <c r="S1920" t="s">
        <v>77</v>
      </c>
      <c r="T1920">
        <v>18187</v>
      </c>
      <c r="U1920">
        <v>21306</v>
      </c>
      <c r="V1920" t="s">
        <v>77</v>
      </c>
    </row>
    <row r="1921" spans="1:22">
      <c r="A1921" t="str">
        <f t="shared" si="311"/>
        <v>11/09/2025</v>
      </c>
      <c r="B1921" t="str">
        <f t="shared" si="312"/>
        <v>SAÍDA</v>
      </c>
      <c r="C1921" t="str">
        <f t="shared" si="313"/>
        <v>PIX</v>
      </c>
      <c r="D1921" t="str">
        <f>"21306"</f>
        <v>21306</v>
      </c>
      <c r="E1921" t="str">
        <f t="shared" si="314"/>
        <v>1</v>
      </c>
      <c r="F1921" t="str">
        <f t="shared" si="317"/>
        <v>COM</v>
      </c>
      <c r="G1921" t="str">
        <f>"FERNANDO MARTINS DA SILVA (701)"</f>
        <v>FERNANDO MARTINS DA SILVA (701)</v>
      </c>
      <c r="H1921" t="s">
        <v>361</v>
      </c>
      <c r="I1921" t="str">
        <f t="shared" si="315"/>
        <v>11/09/2025</v>
      </c>
      <c r="J1921" t="str">
        <f t="shared" si="316"/>
        <v>02/09/2025</v>
      </c>
      <c r="K1921">
        <v>45911</v>
      </c>
      <c r="N1921">
        <v>109</v>
      </c>
      <c r="O1921" t="s">
        <v>24</v>
      </c>
      <c r="Q1921">
        <v>6.3</v>
      </c>
      <c r="R1921" t="str">
        <f>"AC FARMA - FLEMINFARMA 6 (10184)"</f>
        <v>AC FARMA - FLEMINFARMA 6 (10184)</v>
      </c>
      <c r="S1921" t="s">
        <v>77</v>
      </c>
      <c r="T1921">
        <v>18187</v>
      </c>
      <c r="U1921">
        <v>21306</v>
      </c>
      <c r="V1921" t="s">
        <v>77</v>
      </c>
    </row>
    <row r="1922" spans="1:22">
      <c r="A1922" t="str">
        <f t="shared" si="311"/>
        <v>11/09/2025</v>
      </c>
      <c r="B1922" t="str">
        <f t="shared" si="312"/>
        <v>SAÍDA</v>
      </c>
      <c r="C1922" t="str">
        <f t="shared" si="313"/>
        <v>PIX</v>
      </c>
      <c r="D1922" t="str">
        <f>"21307"</f>
        <v>21307</v>
      </c>
      <c r="E1922" t="str">
        <f t="shared" si="314"/>
        <v>1</v>
      </c>
      <c r="F1922" t="str">
        <f t="shared" si="317"/>
        <v>COM</v>
      </c>
      <c r="G1922" t="str">
        <f>"GERALDO SEVERINO DE SANTANA (729)"</f>
        <v>GERALDO SEVERINO DE SANTANA (729)</v>
      </c>
      <c r="H1922" t="str">
        <f>"Serv.Prest. 25/08/2025 a 31/08/2025 - PIX: CELULAR - CHAVE: (43) 99934-1696"</f>
        <v>Serv.Prest. 25/08/2025 a 31/08/2025 - PIX: CELULAR - CHAVE: (43) 99934-1696</v>
      </c>
      <c r="I1922" t="str">
        <f t="shared" si="315"/>
        <v>11/09/2025</v>
      </c>
      <c r="J1922" t="str">
        <f t="shared" si="316"/>
        <v>02/09/2025</v>
      </c>
      <c r="K1922" t="str">
        <f>("11/09/2025")</f>
        <v>11/09/2025</v>
      </c>
      <c r="L1922">
        <v>119.7</v>
      </c>
      <c r="M1922">
        <v>119.7</v>
      </c>
      <c r="N1922">
        <v>109</v>
      </c>
      <c r="O1922" t="str">
        <f>"PAGAMENTO DE ENTREGADORES"</f>
        <v>PAGAMENTO DE ENTREGADORES</v>
      </c>
      <c r="P1922">
        <v>119.7</v>
      </c>
      <c r="S1922" t="str">
        <f>"BANCO C6 (149)"</f>
        <v>BANCO C6 (149)</v>
      </c>
      <c r="T1922">
        <v>18188</v>
      </c>
      <c r="U1922">
        <v>21307</v>
      </c>
      <c r="V1922" t="s">
        <v>77</v>
      </c>
    </row>
    <row r="1923" spans="1:22">
      <c r="A1923" t="str">
        <f t="shared" si="311"/>
        <v>11/09/2025</v>
      </c>
      <c r="B1923" t="str">
        <f t="shared" si="312"/>
        <v>SAÍDA</v>
      </c>
      <c r="C1923" t="str">
        <f t="shared" si="313"/>
        <v>PIX</v>
      </c>
      <c r="D1923" t="str">
        <f>"21307"</f>
        <v>21307</v>
      </c>
      <c r="E1923" t="str">
        <f t="shared" si="314"/>
        <v>1</v>
      </c>
      <c r="F1923" t="str">
        <f t="shared" si="317"/>
        <v>COM</v>
      </c>
      <c r="G1923" t="str">
        <f>"GERALDO SEVERINO DE SANTANA (729)"</f>
        <v>GERALDO SEVERINO DE SANTANA (729)</v>
      </c>
      <c r="H1923" t="s">
        <v>373</v>
      </c>
      <c r="I1923" t="str">
        <f t="shared" si="315"/>
        <v>11/09/2025</v>
      </c>
      <c r="J1923" t="str">
        <f t="shared" si="316"/>
        <v>02/09/2025</v>
      </c>
      <c r="K1923">
        <v>45911</v>
      </c>
      <c r="N1923">
        <v>109</v>
      </c>
      <c r="O1923" t="s">
        <v>24</v>
      </c>
      <c r="Q1923">
        <v>119.7</v>
      </c>
      <c r="R1923" t="str">
        <f>"AC FARMA - FLEMINFARMA 5 (10183)"</f>
        <v>AC FARMA - FLEMINFARMA 5 (10183)</v>
      </c>
      <c r="S1923" t="s">
        <v>77</v>
      </c>
      <c r="T1923">
        <v>18188</v>
      </c>
      <c r="U1923">
        <v>21307</v>
      </c>
      <c r="V1923" t="s">
        <v>77</v>
      </c>
    </row>
    <row r="1924" spans="1:22">
      <c r="A1924" t="str">
        <f t="shared" si="311"/>
        <v>11/09/2025</v>
      </c>
      <c r="B1924" t="str">
        <f t="shared" si="312"/>
        <v>SAÍDA</v>
      </c>
      <c r="C1924" t="str">
        <f t="shared" si="313"/>
        <v>PIX</v>
      </c>
      <c r="D1924" t="str">
        <f>"21308"</f>
        <v>21308</v>
      </c>
      <c r="E1924" t="str">
        <f t="shared" si="314"/>
        <v>1</v>
      </c>
      <c r="F1924" t="str">
        <f t="shared" si="317"/>
        <v>COM</v>
      </c>
      <c r="G1924" t="str">
        <f>"HELITON DE OLIVEIRA RAMOS BARBOSA (724)"</f>
        <v>HELITON DE OLIVEIRA RAMOS BARBOSA (724)</v>
      </c>
      <c r="H1924" t="str">
        <f>"Serv.Prest. 25/08/2025 a 31/08/2025 - PIX: CPF - CHAVE: 074.604.219-10"</f>
        <v>Serv.Prest. 25/08/2025 a 31/08/2025 - PIX: CPF - CHAVE: 074.604.219-10</v>
      </c>
      <c r="I1924" t="str">
        <f t="shared" si="315"/>
        <v>11/09/2025</v>
      </c>
      <c r="J1924" t="str">
        <f t="shared" si="316"/>
        <v>02/09/2025</v>
      </c>
      <c r="K1924" t="str">
        <f>("11/09/2025")</f>
        <v>11/09/2025</v>
      </c>
      <c r="L1924">
        <v>143.80000000000001</v>
      </c>
      <c r="M1924">
        <v>143.80000000000001</v>
      </c>
      <c r="N1924">
        <v>109</v>
      </c>
      <c r="O1924" t="str">
        <f>"PAGAMENTO DE ENTREGADORES"</f>
        <v>PAGAMENTO DE ENTREGADORES</v>
      </c>
      <c r="P1924">
        <v>143.80000000000001</v>
      </c>
      <c r="S1924" t="str">
        <f>"BANCO C6 (149)"</f>
        <v>BANCO C6 (149)</v>
      </c>
      <c r="T1924">
        <v>18189</v>
      </c>
      <c r="U1924">
        <v>21308</v>
      </c>
      <c r="V1924" t="s">
        <v>77</v>
      </c>
    </row>
    <row r="1925" spans="1:22">
      <c r="A1925" t="str">
        <f t="shared" si="311"/>
        <v>11/09/2025</v>
      </c>
      <c r="B1925" t="str">
        <f t="shared" si="312"/>
        <v>SAÍDA</v>
      </c>
      <c r="C1925" t="str">
        <f t="shared" si="313"/>
        <v>PIX</v>
      </c>
      <c r="D1925" t="str">
        <f>"21308"</f>
        <v>21308</v>
      </c>
      <c r="E1925" t="str">
        <f t="shared" si="314"/>
        <v>1</v>
      </c>
      <c r="F1925" t="str">
        <f t="shared" si="317"/>
        <v>COM</v>
      </c>
      <c r="G1925" t="str">
        <f>"HELITON DE OLIVEIRA RAMOS BARBOSA (724)"</f>
        <v>HELITON DE OLIVEIRA RAMOS BARBOSA (724)</v>
      </c>
      <c r="H1925" t="s">
        <v>378</v>
      </c>
      <c r="I1925" t="str">
        <f t="shared" si="315"/>
        <v>11/09/2025</v>
      </c>
      <c r="J1925" t="str">
        <f t="shared" si="316"/>
        <v>02/09/2025</v>
      </c>
      <c r="K1925">
        <v>45911</v>
      </c>
      <c r="N1925">
        <v>109</v>
      </c>
      <c r="O1925" t="s">
        <v>24</v>
      </c>
      <c r="Q1925">
        <v>143.80000000000001</v>
      </c>
      <c r="R1925" t="str">
        <f>"AC FARMA - FLEMINFARMA 5 (10183)"</f>
        <v>AC FARMA - FLEMINFARMA 5 (10183)</v>
      </c>
      <c r="S1925" t="s">
        <v>77</v>
      </c>
      <c r="T1925">
        <v>18189</v>
      </c>
      <c r="U1925">
        <v>21308</v>
      </c>
      <c r="V1925" t="s">
        <v>77</v>
      </c>
    </row>
    <row r="1926" spans="1:22">
      <c r="A1926" t="str">
        <f t="shared" si="311"/>
        <v>11/09/2025</v>
      </c>
      <c r="B1926" t="str">
        <f t="shared" si="312"/>
        <v>SAÍDA</v>
      </c>
      <c r="C1926" t="str">
        <f t="shared" si="313"/>
        <v>PIX</v>
      </c>
      <c r="D1926" t="str">
        <f>"21432"</f>
        <v>21432</v>
      </c>
      <c r="E1926" t="str">
        <f t="shared" si="314"/>
        <v>1</v>
      </c>
      <c r="F1926" t="str">
        <f t="shared" si="317"/>
        <v>COM</v>
      </c>
      <c r="G1926" t="str">
        <f>"DEIVID FERNANDES COSTA (828)"</f>
        <v>DEIVID FERNANDES COSTA (828)</v>
      </c>
      <c r="H1926" t="str">
        <f>"Serv.Prest. 01/09/2025 a 07/09/2025 - PIX: CELULAR - CHAVE: (62) 99550-3226"</f>
        <v>Serv.Prest. 01/09/2025 a 07/09/2025 - PIX: CELULAR - CHAVE: (62) 99550-3226</v>
      </c>
      <c r="I1926" t="str">
        <f t="shared" si="315"/>
        <v>11/09/2025</v>
      </c>
      <c r="J1926" t="str">
        <f t="shared" ref="J1926:J1957" si="318">("08/09/2025")</f>
        <v>08/09/2025</v>
      </c>
      <c r="K1926" t="str">
        <f>("11/09/2025")</f>
        <v>11/09/2025</v>
      </c>
      <c r="L1926">
        <v>682.1</v>
      </c>
      <c r="M1926">
        <v>682.1</v>
      </c>
      <c r="N1926">
        <v>109</v>
      </c>
      <c r="O1926" t="str">
        <f>"PAGAMENTO DE ENTREGADORES"</f>
        <v>PAGAMENTO DE ENTREGADORES</v>
      </c>
      <c r="P1926">
        <v>682.1</v>
      </c>
      <c r="S1926" t="str">
        <f>"BANCO C6 (149)"</f>
        <v>BANCO C6 (149)</v>
      </c>
      <c r="T1926">
        <v>18190</v>
      </c>
      <c r="U1926">
        <v>21432</v>
      </c>
      <c r="V1926" t="s">
        <v>77</v>
      </c>
    </row>
    <row r="1927" spans="1:22">
      <c r="A1927" t="str">
        <f t="shared" si="311"/>
        <v>11/09/2025</v>
      </c>
      <c r="B1927" t="str">
        <f t="shared" si="312"/>
        <v>SAÍDA</v>
      </c>
      <c r="C1927" t="str">
        <f t="shared" si="313"/>
        <v>PIX</v>
      </c>
      <c r="D1927" t="str">
        <f>"21432"</f>
        <v>21432</v>
      </c>
      <c r="E1927" t="str">
        <f t="shared" si="314"/>
        <v>1</v>
      </c>
      <c r="F1927" t="str">
        <f t="shared" si="317"/>
        <v>COM</v>
      </c>
      <c r="G1927" t="str">
        <f>"DEIVID FERNANDES COSTA (828)"</f>
        <v>DEIVID FERNANDES COSTA (828)</v>
      </c>
      <c r="H1927" t="s">
        <v>345</v>
      </c>
      <c r="I1927" t="str">
        <f t="shared" si="315"/>
        <v>11/09/2025</v>
      </c>
      <c r="J1927" t="str">
        <f t="shared" si="318"/>
        <v>08/09/2025</v>
      </c>
      <c r="K1927">
        <v>45911</v>
      </c>
      <c r="N1927">
        <v>109</v>
      </c>
      <c r="O1927" t="s">
        <v>24</v>
      </c>
      <c r="Q1927">
        <v>682.1</v>
      </c>
      <c r="R1927" t="str">
        <f>"BRASIL FARMA (10173)"</f>
        <v>BRASIL FARMA (10173)</v>
      </c>
      <c r="S1927" t="s">
        <v>77</v>
      </c>
      <c r="T1927">
        <v>18190</v>
      </c>
      <c r="U1927">
        <v>21432</v>
      </c>
      <c r="V1927" t="s">
        <v>77</v>
      </c>
    </row>
    <row r="1928" spans="1:22">
      <c r="A1928" t="str">
        <f t="shared" si="311"/>
        <v>11/09/2025</v>
      </c>
      <c r="B1928" t="str">
        <f t="shared" si="312"/>
        <v>SAÍDA</v>
      </c>
      <c r="C1928" t="str">
        <f t="shared" si="313"/>
        <v>PIX</v>
      </c>
      <c r="D1928" t="str">
        <f>"21433"</f>
        <v>21433</v>
      </c>
      <c r="E1928" t="str">
        <f t="shared" si="314"/>
        <v>1</v>
      </c>
      <c r="F1928" t="str">
        <f t="shared" si="317"/>
        <v>COM</v>
      </c>
      <c r="G1928" t="str">
        <f>"MAYKON LOPES DE MENEZES (781)"</f>
        <v>MAYKON LOPES DE MENEZES (781)</v>
      </c>
      <c r="H1928" t="str">
        <f>"Serv.Prest. 01/09/2025 a 07/09/2025 - PIX: CPF - CHAVE: 012.600.851-55"</f>
        <v>Serv.Prest. 01/09/2025 a 07/09/2025 - PIX: CPF - CHAVE: 012.600.851-55</v>
      </c>
      <c r="I1928" t="str">
        <f t="shared" si="315"/>
        <v>11/09/2025</v>
      </c>
      <c r="J1928" t="str">
        <f t="shared" si="318"/>
        <v>08/09/2025</v>
      </c>
      <c r="K1928" t="str">
        <f>("11/09/2025")</f>
        <v>11/09/2025</v>
      </c>
      <c r="L1928">
        <v>682.1</v>
      </c>
      <c r="M1928">
        <v>682.1</v>
      </c>
      <c r="N1928">
        <v>109</v>
      </c>
      <c r="O1928" t="str">
        <f>"PAGAMENTO DE ENTREGADORES"</f>
        <v>PAGAMENTO DE ENTREGADORES</v>
      </c>
      <c r="P1928">
        <v>682.1</v>
      </c>
      <c r="S1928" t="str">
        <f>"BANCO C6 (149)"</f>
        <v>BANCO C6 (149)</v>
      </c>
      <c r="T1928">
        <v>18191</v>
      </c>
      <c r="U1928">
        <v>21433</v>
      </c>
      <c r="V1928" t="s">
        <v>77</v>
      </c>
    </row>
    <row r="1929" spans="1:22">
      <c r="A1929" t="str">
        <f t="shared" si="311"/>
        <v>11/09/2025</v>
      </c>
      <c r="B1929" t="str">
        <f t="shared" si="312"/>
        <v>SAÍDA</v>
      </c>
      <c r="C1929" t="str">
        <f t="shared" si="313"/>
        <v>PIX</v>
      </c>
      <c r="D1929" t="str">
        <f>"21433"</f>
        <v>21433</v>
      </c>
      <c r="E1929" t="str">
        <f t="shared" si="314"/>
        <v>1</v>
      </c>
      <c r="F1929" t="str">
        <f t="shared" si="317"/>
        <v>COM</v>
      </c>
      <c r="G1929" t="str">
        <f>"MAYKON LOPES DE MENEZES (781)"</f>
        <v>MAYKON LOPES DE MENEZES (781)</v>
      </c>
      <c r="H1929" t="s">
        <v>315</v>
      </c>
      <c r="I1929" t="str">
        <f t="shared" si="315"/>
        <v>11/09/2025</v>
      </c>
      <c r="J1929" t="str">
        <f t="shared" si="318"/>
        <v>08/09/2025</v>
      </c>
      <c r="K1929">
        <v>45911</v>
      </c>
      <c r="N1929">
        <v>109</v>
      </c>
      <c r="O1929" t="s">
        <v>24</v>
      </c>
      <c r="Q1929">
        <v>682.1</v>
      </c>
      <c r="R1929" t="str">
        <f>"BRASIL FARMA (10173)"</f>
        <v>BRASIL FARMA (10173)</v>
      </c>
      <c r="S1929" t="s">
        <v>77</v>
      </c>
      <c r="T1929">
        <v>18191</v>
      </c>
      <c r="U1929">
        <v>21433</v>
      </c>
      <c r="V1929" t="s">
        <v>77</v>
      </c>
    </row>
    <row r="1930" spans="1:22">
      <c r="A1930" t="str">
        <f t="shared" si="311"/>
        <v>11/09/2025</v>
      </c>
      <c r="B1930" t="str">
        <f t="shared" si="312"/>
        <v>SAÍDA</v>
      </c>
      <c r="C1930" t="str">
        <f t="shared" si="313"/>
        <v>PIX</v>
      </c>
      <c r="D1930" t="str">
        <f>"21436"</f>
        <v>21436</v>
      </c>
      <c r="E1930" t="str">
        <f t="shared" si="314"/>
        <v>1</v>
      </c>
      <c r="F1930" t="str">
        <f t="shared" si="317"/>
        <v>COM</v>
      </c>
      <c r="G1930" t="str">
        <f>"ISAEL SANTOS ROSA (642)"</f>
        <v>ISAEL SANTOS ROSA (642)</v>
      </c>
      <c r="H1930" t="str">
        <f>"Serv.Prest. 01/09/2025 a 07/09/2025 - PIX: CELULAR - CHAVE: (31) 99376-7989"</f>
        <v>Serv.Prest. 01/09/2025 a 07/09/2025 - PIX: CELULAR - CHAVE: (31) 99376-7989</v>
      </c>
      <c r="I1930" t="str">
        <f t="shared" si="315"/>
        <v>11/09/2025</v>
      </c>
      <c r="J1930" t="str">
        <f t="shared" si="318"/>
        <v>08/09/2025</v>
      </c>
      <c r="K1930" t="str">
        <f>("11/09/2025")</f>
        <v>11/09/2025</v>
      </c>
      <c r="L1930">
        <v>1380</v>
      </c>
      <c r="M1930">
        <v>1380</v>
      </c>
      <c r="N1930">
        <v>109</v>
      </c>
      <c r="O1930" t="str">
        <f>"PAGAMENTO DE ENTREGADORES"</f>
        <v>PAGAMENTO DE ENTREGADORES</v>
      </c>
      <c r="P1930">
        <v>1380</v>
      </c>
      <c r="S1930" t="str">
        <f>"BANCO C6 (149)"</f>
        <v>BANCO C6 (149)</v>
      </c>
      <c r="T1930">
        <v>18192</v>
      </c>
      <c r="U1930">
        <v>21436</v>
      </c>
      <c r="V1930" t="s">
        <v>77</v>
      </c>
    </row>
    <row r="1931" spans="1:22">
      <c r="A1931" t="str">
        <f t="shared" si="311"/>
        <v>11/09/2025</v>
      </c>
      <c r="B1931" t="str">
        <f t="shared" si="312"/>
        <v>SAÍDA</v>
      </c>
      <c r="C1931" t="str">
        <f t="shared" si="313"/>
        <v>PIX</v>
      </c>
      <c r="D1931" t="str">
        <f>"21436"</f>
        <v>21436</v>
      </c>
      <c r="E1931" t="str">
        <f t="shared" si="314"/>
        <v>1</v>
      </c>
      <c r="F1931" t="str">
        <f t="shared" si="317"/>
        <v>COM</v>
      </c>
      <c r="G1931" t="str">
        <f>"ISAEL SANTOS ROSA (642)"</f>
        <v>ISAEL SANTOS ROSA (642)</v>
      </c>
      <c r="H1931" t="s">
        <v>379</v>
      </c>
      <c r="I1931" t="str">
        <f t="shared" si="315"/>
        <v>11/09/2025</v>
      </c>
      <c r="J1931" t="str">
        <f t="shared" si="318"/>
        <v>08/09/2025</v>
      </c>
      <c r="K1931">
        <v>45911</v>
      </c>
      <c r="N1931">
        <v>109</v>
      </c>
      <c r="O1931" t="s">
        <v>24</v>
      </c>
      <c r="Q1931">
        <v>1380</v>
      </c>
      <c r="R1931" t="str">
        <f>"DROGARIA POUPA MINAS (ULTRAMINAS) 3 (10129)"</f>
        <v>DROGARIA POUPA MINAS (ULTRAMINAS) 3 (10129)</v>
      </c>
      <c r="S1931" t="s">
        <v>77</v>
      </c>
      <c r="T1931">
        <v>18192</v>
      </c>
      <c r="U1931">
        <v>21436</v>
      </c>
      <c r="V1931" t="s">
        <v>77</v>
      </c>
    </row>
    <row r="1932" spans="1:22">
      <c r="A1932" t="str">
        <f t="shared" ref="A1932:A1995" si="319">("11/09/2025")</f>
        <v>11/09/2025</v>
      </c>
      <c r="B1932" t="str">
        <f t="shared" si="312"/>
        <v>SAÍDA</v>
      </c>
      <c r="C1932" t="str">
        <f t="shared" si="313"/>
        <v>PIX</v>
      </c>
      <c r="D1932" t="str">
        <f>"21438"</f>
        <v>21438</v>
      </c>
      <c r="E1932" t="str">
        <f t="shared" si="314"/>
        <v>1</v>
      </c>
      <c r="F1932" t="str">
        <f t="shared" si="317"/>
        <v>COM</v>
      </c>
      <c r="G1932" t="str">
        <f>"ARLINDO COSTA FELIX (754)"</f>
        <v>ARLINDO COSTA FELIX (754)</v>
      </c>
      <c r="H1932" t="str">
        <f>"Serv.Prest. 01/09/2025 a 07/09/2025 - PIX: CPF - CHAVE: 103.983.366-79"</f>
        <v>Serv.Prest. 01/09/2025 a 07/09/2025 - PIX: CPF - CHAVE: 103.983.366-79</v>
      </c>
      <c r="I1932" t="str">
        <f t="shared" si="315"/>
        <v>11/09/2025</v>
      </c>
      <c r="J1932" t="str">
        <f t="shared" si="318"/>
        <v>08/09/2025</v>
      </c>
      <c r="K1932" t="str">
        <f>("11/09/2025")</f>
        <v>11/09/2025</v>
      </c>
      <c r="L1932">
        <v>1318</v>
      </c>
      <c r="M1932">
        <v>1318</v>
      </c>
      <c r="N1932">
        <v>109</v>
      </c>
      <c r="O1932" t="str">
        <f>"PAGAMENTO DE ENTREGADORES"</f>
        <v>PAGAMENTO DE ENTREGADORES</v>
      </c>
      <c r="P1932">
        <v>1318</v>
      </c>
      <c r="S1932" t="str">
        <f>"BANCO C6 (149)"</f>
        <v>BANCO C6 (149)</v>
      </c>
      <c r="T1932">
        <v>18193</v>
      </c>
      <c r="U1932">
        <v>21438</v>
      </c>
      <c r="V1932" t="s">
        <v>77</v>
      </c>
    </row>
    <row r="1933" spans="1:22">
      <c r="A1933" t="str">
        <f t="shared" si="319"/>
        <v>11/09/2025</v>
      </c>
      <c r="B1933" t="str">
        <f t="shared" si="312"/>
        <v>SAÍDA</v>
      </c>
      <c r="C1933" t="str">
        <f t="shared" si="313"/>
        <v>PIX</v>
      </c>
      <c r="D1933" t="str">
        <f>"21438"</f>
        <v>21438</v>
      </c>
      <c r="E1933" t="str">
        <f t="shared" si="314"/>
        <v>1</v>
      </c>
      <c r="F1933" t="str">
        <f t="shared" si="317"/>
        <v>COM</v>
      </c>
      <c r="G1933" t="str">
        <f>"ARLINDO COSTA FELIX (754)"</f>
        <v>ARLINDO COSTA FELIX (754)</v>
      </c>
      <c r="H1933" t="s">
        <v>332</v>
      </c>
      <c r="I1933" t="str">
        <f t="shared" si="315"/>
        <v>11/09/2025</v>
      </c>
      <c r="J1933" t="str">
        <f t="shared" si="318"/>
        <v>08/09/2025</v>
      </c>
      <c r="K1933">
        <v>45911</v>
      </c>
      <c r="N1933">
        <v>109</v>
      </c>
      <c r="O1933" t="s">
        <v>24</v>
      </c>
      <c r="Q1933">
        <v>1318</v>
      </c>
      <c r="R1933" t="str">
        <f>"ENTREFARMA (10164)"</f>
        <v>ENTREFARMA (10164)</v>
      </c>
      <c r="S1933" t="s">
        <v>77</v>
      </c>
      <c r="T1933">
        <v>18193</v>
      </c>
      <c r="U1933">
        <v>21438</v>
      </c>
      <c r="V1933" t="s">
        <v>77</v>
      </c>
    </row>
    <row r="1934" spans="1:22">
      <c r="A1934" t="str">
        <f t="shared" si="319"/>
        <v>11/09/2025</v>
      </c>
      <c r="B1934" t="str">
        <f t="shared" ref="B1934:B1997" si="320">"SAÍDA"</f>
        <v>SAÍDA</v>
      </c>
      <c r="C1934" t="str">
        <f t="shared" ref="C1934:C1997" si="321">"PIX"</f>
        <v>PIX</v>
      </c>
      <c r="D1934" t="str">
        <f>"21439"</f>
        <v>21439</v>
      </c>
      <c r="E1934" t="str">
        <f t="shared" si="314"/>
        <v>1</v>
      </c>
      <c r="F1934" t="str">
        <f t="shared" si="317"/>
        <v>COM</v>
      </c>
      <c r="G1934" t="str">
        <f>"LEONICIO CORREA DA SILVA (716)"</f>
        <v>LEONICIO CORREA DA SILVA (716)</v>
      </c>
      <c r="H1934" t="str">
        <f>"Serv.Prest. 01/09/2025 a 07/09/2025 - PIX: CPF - CHAVE: 138.263.636-98"</f>
        <v>Serv.Prest. 01/09/2025 a 07/09/2025 - PIX: CPF - CHAVE: 138.263.636-98</v>
      </c>
      <c r="I1934" t="str">
        <f t="shared" si="315"/>
        <v>11/09/2025</v>
      </c>
      <c r="J1934" t="str">
        <f t="shared" si="318"/>
        <v>08/09/2025</v>
      </c>
      <c r="K1934" t="str">
        <f>("11/09/2025")</f>
        <v>11/09/2025</v>
      </c>
      <c r="L1934">
        <v>1492</v>
      </c>
      <c r="M1934">
        <v>1492</v>
      </c>
      <c r="N1934">
        <v>109</v>
      </c>
      <c r="O1934" t="str">
        <f>"PAGAMENTO DE ENTREGADORES"</f>
        <v>PAGAMENTO DE ENTREGADORES</v>
      </c>
      <c r="P1934">
        <v>1492</v>
      </c>
      <c r="S1934" t="str">
        <f>"BANCO C6 (149)"</f>
        <v>BANCO C6 (149)</v>
      </c>
      <c r="T1934">
        <v>18194</v>
      </c>
      <c r="U1934">
        <v>21439</v>
      </c>
      <c r="V1934" t="s">
        <v>77</v>
      </c>
    </row>
    <row r="1935" spans="1:22">
      <c r="A1935" t="str">
        <f t="shared" si="319"/>
        <v>11/09/2025</v>
      </c>
      <c r="B1935" t="str">
        <f t="shared" si="320"/>
        <v>SAÍDA</v>
      </c>
      <c r="C1935" t="str">
        <f t="shared" si="321"/>
        <v>PIX</v>
      </c>
      <c r="D1935" t="str">
        <f>"21439"</f>
        <v>21439</v>
      </c>
      <c r="E1935" t="str">
        <f t="shared" si="314"/>
        <v>1</v>
      </c>
      <c r="F1935" t="str">
        <f t="shared" si="317"/>
        <v>COM</v>
      </c>
      <c r="G1935" t="str">
        <f>"LEONICIO CORREA DA SILVA (716)"</f>
        <v>LEONICIO CORREA DA SILVA (716)</v>
      </c>
      <c r="H1935" t="s">
        <v>399</v>
      </c>
      <c r="I1935" t="str">
        <f t="shared" si="315"/>
        <v>11/09/2025</v>
      </c>
      <c r="J1935" t="str">
        <f t="shared" si="318"/>
        <v>08/09/2025</v>
      </c>
      <c r="K1935">
        <v>45911</v>
      </c>
      <c r="N1935">
        <v>109</v>
      </c>
      <c r="O1935" t="s">
        <v>24</v>
      </c>
      <c r="Q1935">
        <v>1492</v>
      </c>
      <c r="R1935" t="str">
        <f>"ENTREFARMA (10164)"</f>
        <v>ENTREFARMA (10164)</v>
      </c>
      <c r="S1935" t="s">
        <v>77</v>
      </c>
      <c r="T1935">
        <v>18194</v>
      </c>
      <c r="U1935">
        <v>21439</v>
      </c>
      <c r="V1935" t="s">
        <v>77</v>
      </c>
    </row>
    <row r="1936" spans="1:22">
      <c r="A1936" t="str">
        <f t="shared" si="319"/>
        <v>11/09/2025</v>
      </c>
      <c r="B1936" t="str">
        <f t="shared" si="320"/>
        <v>SAÍDA</v>
      </c>
      <c r="C1936" t="str">
        <f t="shared" si="321"/>
        <v>PIX</v>
      </c>
      <c r="D1936" t="str">
        <f>"21440"</f>
        <v>21440</v>
      </c>
      <c r="E1936" t="str">
        <f t="shared" si="314"/>
        <v>1</v>
      </c>
      <c r="F1936" t="str">
        <f t="shared" si="317"/>
        <v>COM</v>
      </c>
      <c r="G1936" t="str">
        <f>"SADRAK ENOKES BORGES (725)"</f>
        <v>SADRAK ENOKES BORGES (725)</v>
      </c>
      <c r="H1936" t="str">
        <f>"Serv.Prest. 01/09/2025 a 07/09/2025 - PIX: CPF - CHAVE: 128.367.756-37"</f>
        <v>Serv.Prest. 01/09/2025 a 07/09/2025 - PIX: CPF - CHAVE: 128.367.756-37</v>
      </c>
      <c r="I1936" t="str">
        <f t="shared" si="315"/>
        <v>11/09/2025</v>
      </c>
      <c r="J1936" t="str">
        <f t="shared" si="318"/>
        <v>08/09/2025</v>
      </c>
      <c r="K1936" t="str">
        <f>("11/09/2025")</f>
        <v>11/09/2025</v>
      </c>
      <c r="L1936">
        <v>1324</v>
      </c>
      <c r="M1936">
        <v>1324</v>
      </c>
      <c r="N1936">
        <v>109</v>
      </c>
      <c r="O1936" t="str">
        <f>"PAGAMENTO DE ENTREGADORES"</f>
        <v>PAGAMENTO DE ENTREGADORES</v>
      </c>
      <c r="P1936">
        <v>1324</v>
      </c>
      <c r="S1936" t="str">
        <f>"BANCO C6 (149)"</f>
        <v>BANCO C6 (149)</v>
      </c>
      <c r="T1936">
        <v>18195</v>
      </c>
      <c r="U1936">
        <v>21440</v>
      </c>
      <c r="V1936" t="s">
        <v>77</v>
      </c>
    </row>
    <row r="1937" spans="1:22">
      <c r="A1937" t="str">
        <f t="shared" si="319"/>
        <v>11/09/2025</v>
      </c>
      <c r="B1937" t="str">
        <f t="shared" si="320"/>
        <v>SAÍDA</v>
      </c>
      <c r="C1937" t="str">
        <f t="shared" si="321"/>
        <v>PIX</v>
      </c>
      <c r="D1937" t="str">
        <f>"21440"</f>
        <v>21440</v>
      </c>
      <c r="E1937" t="str">
        <f t="shared" si="314"/>
        <v>1</v>
      </c>
      <c r="F1937" t="str">
        <f t="shared" si="317"/>
        <v>COM</v>
      </c>
      <c r="G1937" t="str">
        <f>"SADRAK ENOKES BORGES (725)"</f>
        <v>SADRAK ENOKES BORGES (725)</v>
      </c>
      <c r="H1937" t="s">
        <v>430</v>
      </c>
      <c r="I1937" t="str">
        <f t="shared" si="315"/>
        <v>11/09/2025</v>
      </c>
      <c r="J1937" t="str">
        <f t="shared" si="318"/>
        <v>08/09/2025</v>
      </c>
      <c r="K1937">
        <v>45911</v>
      </c>
      <c r="N1937">
        <v>109</v>
      </c>
      <c r="O1937" t="s">
        <v>24</v>
      </c>
      <c r="Q1937">
        <v>1324</v>
      </c>
      <c r="R1937" t="str">
        <f>"ENTREFARMA (10164)"</f>
        <v>ENTREFARMA (10164)</v>
      </c>
      <c r="S1937" t="s">
        <v>77</v>
      </c>
      <c r="T1937">
        <v>18195</v>
      </c>
      <c r="U1937">
        <v>21440</v>
      </c>
      <c r="V1937" t="s">
        <v>77</v>
      </c>
    </row>
    <row r="1938" spans="1:22">
      <c r="A1938" t="str">
        <f t="shared" si="319"/>
        <v>11/09/2025</v>
      </c>
      <c r="B1938" t="str">
        <f t="shared" si="320"/>
        <v>SAÍDA</v>
      </c>
      <c r="C1938" t="str">
        <f t="shared" si="321"/>
        <v>PIX</v>
      </c>
      <c r="D1938" t="str">
        <f>"21441"</f>
        <v>21441</v>
      </c>
      <c r="E1938" t="str">
        <f t="shared" si="314"/>
        <v>1</v>
      </c>
      <c r="F1938" t="str">
        <f t="shared" si="317"/>
        <v>COM</v>
      </c>
      <c r="G1938" t="str">
        <f>"WENDERSON GOMES (708)"</f>
        <v>WENDERSON GOMES (708)</v>
      </c>
      <c r="H1938" t="str">
        <f>"Serv.Prest. 01/09/2025 a 07/09/2025 - PIX: CPF - CHAVE: 147.592.156-03"</f>
        <v>Serv.Prest. 01/09/2025 a 07/09/2025 - PIX: CPF - CHAVE: 147.592.156-03</v>
      </c>
      <c r="I1938" t="str">
        <f t="shared" si="315"/>
        <v>11/09/2025</v>
      </c>
      <c r="J1938" t="str">
        <f t="shared" si="318"/>
        <v>08/09/2025</v>
      </c>
      <c r="K1938" t="str">
        <f>("11/09/2025")</f>
        <v>11/09/2025</v>
      </c>
      <c r="L1938">
        <v>2188</v>
      </c>
      <c r="M1938">
        <v>2188</v>
      </c>
      <c r="N1938">
        <v>109</v>
      </c>
      <c r="O1938" t="str">
        <f>"PAGAMENTO DE ENTREGADORES"</f>
        <v>PAGAMENTO DE ENTREGADORES</v>
      </c>
      <c r="P1938">
        <v>2188</v>
      </c>
      <c r="S1938" t="str">
        <f>"BANCO C6 (149)"</f>
        <v>BANCO C6 (149)</v>
      </c>
      <c r="T1938">
        <v>18196</v>
      </c>
      <c r="U1938">
        <v>21441</v>
      </c>
      <c r="V1938" t="s">
        <v>77</v>
      </c>
    </row>
    <row r="1939" spans="1:22">
      <c r="A1939" t="str">
        <f t="shared" si="319"/>
        <v>11/09/2025</v>
      </c>
      <c r="B1939" t="str">
        <f t="shared" si="320"/>
        <v>SAÍDA</v>
      </c>
      <c r="C1939" t="str">
        <f t="shared" si="321"/>
        <v>PIX</v>
      </c>
      <c r="D1939" t="str">
        <f>"21441"</f>
        <v>21441</v>
      </c>
      <c r="E1939" t="str">
        <f t="shared" si="314"/>
        <v>1</v>
      </c>
      <c r="F1939" t="str">
        <f t="shared" si="317"/>
        <v>COM</v>
      </c>
      <c r="G1939" t="str">
        <f>"WENDERSON GOMES (708)"</f>
        <v>WENDERSON GOMES (708)</v>
      </c>
      <c r="H1939" t="s">
        <v>450</v>
      </c>
      <c r="I1939" t="str">
        <f t="shared" si="315"/>
        <v>11/09/2025</v>
      </c>
      <c r="J1939" t="str">
        <f t="shared" si="318"/>
        <v>08/09/2025</v>
      </c>
      <c r="K1939">
        <v>45911</v>
      </c>
      <c r="N1939">
        <v>109</v>
      </c>
      <c r="O1939" t="s">
        <v>24</v>
      </c>
      <c r="Q1939">
        <v>2188</v>
      </c>
      <c r="R1939" t="str">
        <f>"ENTREFARMA (10164)"</f>
        <v>ENTREFARMA (10164)</v>
      </c>
      <c r="S1939" t="s">
        <v>77</v>
      </c>
      <c r="T1939">
        <v>18196</v>
      </c>
      <c r="U1939">
        <v>21441</v>
      </c>
      <c r="V1939" t="s">
        <v>77</v>
      </c>
    </row>
    <row r="1940" spans="1:22">
      <c r="A1940" t="str">
        <f t="shared" si="319"/>
        <v>11/09/2025</v>
      </c>
      <c r="B1940" t="str">
        <f t="shared" si="320"/>
        <v>SAÍDA</v>
      </c>
      <c r="C1940" t="str">
        <f t="shared" si="321"/>
        <v>PIX</v>
      </c>
      <c r="D1940" t="str">
        <f>"21443"</f>
        <v>21443</v>
      </c>
      <c r="E1940" t="str">
        <f t="shared" ref="E1940:E2003" si="322">"1"</f>
        <v>1</v>
      </c>
      <c r="F1940" t="str">
        <f t="shared" si="317"/>
        <v>COM</v>
      </c>
      <c r="G1940" t="str">
        <f>"FABRICIO QUEIROZ DE OLIVEIRA (788)"</f>
        <v>FABRICIO QUEIROZ DE OLIVEIRA (788)</v>
      </c>
      <c r="H1940" t="str">
        <f>"Serv.Prest. 01/09/2025 a 07/09/2025 - PIX: CPF - CHAVE: 138.798.486-10"</f>
        <v>Serv.Prest. 01/09/2025 a 07/09/2025 - PIX: CPF - CHAVE: 138.798.486-10</v>
      </c>
      <c r="I1940" t="str">
        <f t="shared" si="315"/>
        <v>11/09/2025</v>
      </c>
      <c r="J1940" t="str">
        <f t="shared" si="318"/>
        <v>08/09/2025</v>
      </c>
      <c r="K1940" t="str">
        <f>("11/09/2025")</f>
        <v>11/09/2025</v>
      </c>
      <c r="L1940">
        <v>680</v>
      </c>
      <c r="M1940">
        <v>680</v>
      </c>
      <c r="N1940">
        <v>109</v>
      </c>
      <c r="O1940" t="str">
        <f>"PAGAMENTO DE ENTREGADORES"</f>
        <v>PAGAMENTO DE ENTREGADORES</v>
      </c>
      <c r="P1940">
        <v>680</v>
      </c>
      <c r="S1940" t="str">
        <f>"BANCO C6 (149)"</f>
        <v>BANCO C6 (149)</v>
      </c>
      <c r="T1940">
        <v>18197</v>
      </c>
      <c r="U1940">
        <v>21443</v>
      </c>
      <c r="V1940" t="s">
        <v>77</v>
      </c>
    </row>
    <row r="1941" spans="1:22">
      <c r="A1941" t="str">
        <f t="shared" si="319"/>
        <v>11/09/2025</v>
      </c>
      <c r="B1941" t="str">
        <f t="shared" si="320"/>
        <v>SAÍDA</v>
      </c>
      <c r="C1941" t="str">
        <f t="shared" si="321"/>
        <v>PIX</v>
      </c>
      <c r="D1941" t="str">
        <f>"21443"</f>
        <v>21443</v>
      </c>
      <c r="E1941" t="str">
        <f t="shared" si="322"/>
        <v>1</v>
      </c>
      <c r="F1941" t="str">
        <f t="shared" si="317"/>
        <v>COM</v>
      </c>
      <c r="G1941" t="str">
        <f>"FABRICIO QUEIROZ DE OLIVEIRA (788)"</f>
        <v>FABRICIO QUEIROZ DE OLIVEIRA (788)</v>
      </c>
      <c r="H1941" t="s">
        <v>358</v>
      </c>
      <c r="I1941" t="str">
        <f t="shared" si="315"/>
        <v>11/09/2025</v>
      </c>
      <c r="J1941" t="str">
        <f t="shared" si="318"/>
        <v>08/09/2025</v>
      </c>
      <c r="K1941">
        <v>45911</v>
      </c>
      <c r="N1941">
        <v>109</v>
      </c>
      <c r="O1941" t="s">
        <v>24</v>
      </c>
      <c r="Q1941">
        <v>445.88</v>
      </c>
      <c r="R1941" t="str">
        <f>"FRAN FARMA LJ 2 (10131)"</f>
        <v>FRAN FARMA LJ 2 (10131)</v>
      </c>
      <c r="S1941" t="s">
        <v>77</v>
      </c>
      <c r="T1941">
        <v>18197</v>
      </c>
      <c r="U1941">
        <v>21443</v>
      </c>
      <c r="V1941" t="s">
        <v>77</v>
      </c>
    </row>
    <row r="1942" spans="1:22">
      <c r="A1942" t="str">
        <f t="shared" si="319"/>
        <v>11/09/2025</v>
      </c>
      <c r="B1942" t="str">
        <f t="shared" si="320"/>
        <v>SAÍDA</v>
      </c>
      <c r="C1942" t="str">
        <f t="shared" si="321"/>
        <v>PIX</v>
      </c>
      <c r="D1942" t="str">
        <f>"21443"</f>
        <v>21443</v>
      </c>
      <c r="E1942" t="str">
        <f t="shared" si="322"/>
        <v>1</v>
      </c>
      <c r="F1942" t="str">
        <f t="shared" si="317"/>
        <v>COM</v>
      </c>
      <c r="G1942" t="str">
        <f>"FABRICIO QUEIROZ DE OLIVEIRA (788)"</f>
        <v>FABRICIO QUEIROZ DE OLIVEIRA (788)</v>
      </c>
      <c r="H1942" t="s">
        <v>358</v>
      </c>
      <c r="I1942" t="str">
        <f t="shared" si="315"/>
        <v>11/09/2025</v>
      </c>
      <c r="J1942" t="str">
        <f t="shared" si="318"/>
        <v>08/09/2025</v>
      </c>
      <c r="K1942">
        <v>45911</v>
      </c>
      <c r="N1942">
        <v>109</v>
      </c>
      <c r="O1942" t="s">
        <v>24</v>
      </c>
      <c r="Q1942">
        <v>234.12</v>
      </c>
      <c r="R1942" t="str">
        <f>"FRAN FARMA LJ 3 (10132)"</f>
        <v>FRAN FARMA LJ 3 (10132)</v>
      </c>
      <c r="S1942" t="s">
        <v>77</v>
      </c>
      <c r="T1942">
        <v>18197</v>
      </c>
      <c r="U1942">
        <v>21443</v>
      </c>
      <c r="V1942" t="s">
        <v>77</v>
      </c>
    </row>
    <row r="1943" spans="1:22">
      <c r="A1943" t="str">
        <f t="shared" si="319"/>
        <v>11/09/2025</v>
      </c>
      <c r="B1943" t="str">
        <f t="shared" si="320"/>
        <v>SAÍDA</v>
      </c>
      <c r="C1943" t="str">
        <f t="shared" si="321"/>
        <v>PIX</v>
      </c>
      <c r="D1943" t="str">
        <f>"21445"</f>
        <v>21445</v>
      </c>
      <c r="E1943" t="str">
        <f t="shared" si="322"/>
        <v>1</v>
      </c>
      <c r="F1943" t="str">
        <f t="shared" si="317"/>
        <v>COM</v>
      </c>
      <c r="G1943" t="str">
        <f>"EDUARDO COSTA DA SILVA (721)"</f>
        <v>EDUARDO COSTA DA SILVA (721)</v>
      </c>
      <c r="H1943" t="str">
        <f>"Serv.Prest. 01/09/2025 a 07/09/2025 - PIX: CELULAR - CHAVE: (11) 95552-9905"</f>
        <v>Serv.Prest. 01/09/2025 a 07/09/2025 - PIX: CELULAR - CHAVE: (11) 95552-9905</v>
      </c>
      <c r="I1943" t="str">
        <f t="shared" ref="I1943:I2006" si="323">("11/09/2025")</f>
        <v>11/09/2025</v>
      </c>
      <c r="J1943" t="str">
        <f t="shared" si="318"/>
        <v>08/09/2025</v>
      </c>
      <c r="K1943" t="str">
        <f>("11/09/2025")</f>
        <v>11/09/2025</v>
      </c>
      <c r="L1943">
        <v>1013.2</v>
      </c>
      <c r="M1943">
        <v>1013.2</v>
      </c>
      <c r="N1943">
        <v>109</v>
      </c>
      <c r="O1943" t="str">
        <f>"PAGAMENTO DE ENTREGADORES"</f>
        <v>PAGAMENTO DE ENTREGADORES</v>
      </c>
      <c r="P1943">
        <v>1013.2</v>
      </c>
      <c r="S1943" t="str">
        <f>"BANCO C6 (149)"</f>
        <v>BANCO C6 (149)</v>
      </c>
      <c r="T1943">
        <v>18198</v>
      </c>
      <c r="U1943">
        <v>21445</v>
      </c>
      <c r="V1943" t="s">
        <v>77</v>
      </c>
    </row>
    <row r="1944" spans="1:22">
      <c r="A1944" t="str">
        <f t="shared" si="319"/>
        <v>11/09/2025</v>
      </c>
      <c r="B1944" t="str">
        <f t="shared" si="320"/>
        <v>SAÍDA</v>
      </c>
      <c r="C1944" t="str">
        <f t="shared" si="321"/>
        <v>PIX</v>
      </c>
      <c r="D1944" t="str">
        <f>"21445"</f>
        <v>21445</v>
      </c>
      <c r="E1944" t="str">
        <f t="shared" si="322"/>
        <v>1</v>
      </c>
      <c r="F1944" t="str">
        <f t="shared" si="317"/>
        <v>COM</v>
      </c>
      <c r="G1944" t="str">
        <f>"EDUARDO COSTA DA SILVA (721)"</f>
        <v>EDUARDO COSTA DA SILVA (721)</v>
      </c>
      <c r="H1944" t="s">
        <v>350</v>
      </c>
      <c r="I1944" t="str">
        <f t="shared" si="323"/>
        <v>11/09/2025</v>
      </c>
      <c r="J1944" t="str">
        <f t="shared" si="318"/>
        <v>08/09/2025</v>
      </c>
      <c r="K1944">
        <v>45911</v>
      </c>
      <c r="N1944">
        <v>109</v>
      </c>
      <c r="O1944" t="s">
        <v>24</v>
      </c>
      <c r="Q1944">
        <v>1013.2</v>
      </c>
      <c r="R1944" t="str">
        <f>"DROGARIA AGAPEAMA (10167)"</f>
        <v>DROGARIA AGAPEAMA (10167)</v>
      </c>
      <c r="S1944" t="s">
        <v>77</v>
      </c>
      <c r="T1944">
        <v>18198</v>
      </c>
      <c r="U1944">
        <v>21445</v>
      </c>
      <c r="V1944" t="s">
        <v>77</v>
      </c>
    </row>
    <row r="1945" spans="1:22">
      <c r="A1945" t="str">
        <f t="shared" si="319"/>
        <v>11/09/2025</v>
      </c>
      <c r="B1945" t="str">
        <f t="shared" si="320"/>
        <v>SAÍDA</v>
      </c>
      <c r="C1945" t="str">
        <f t="shared" si="321"/>
        <v>PIX</v>
      </c>
      <c r="D1945" t="str">
        <f>"21446"</f>
        <v>21446</v>
      </c>
      <c r="E1945" t="str">
        <f t="shared" si="322"/>
        <v>1</v>
      </c>
      <c r="F1945" t="str">
        <f t="shared" si="317"/>
        <v>COM</v>
      </c>
      <c r="G1945" t="str">
        <f>"GUILHERME DA SILVA GOMES (901)"</f>
        <v>GUILHERME DA SILVA GOMES (901)</v>
      </c>
      <c r="H1945" t="str">
        <f>"Serv.Prest. 01/09/2025 a 07/09/2025 - PIX: CPF - CHAVE: 505.341.528-56"</f>
        <v>Serv.Prest. 01/09/2025 a 07/09/2025 - PIX: CPF - CHAVE: 505.341.528-56</v>
      </c>
      <c r="I1945" t="str">
        <f t="shared" si="323"/>
        <v>11/09/2025</v>
      </c>
      <c r="J1945" t="str">
        <f t="shared" si="318"/>
        <v>08/09/2025</v>
      </c>
      <c r="K1945" t="str">
        <f>("11/09/2025")</f>
        <v>11/09/2025</v>
      </c>
      <c r="L1945">
        <v>1259.2</v>
      </c>
      <c r="M1945">
        <v>1259.2</v>
      </c>
      <c r="N1945">
        <v>109</v>
      </c>
      <c r="O1945" t="str">
        <f>"PAGAMENTO DE ENTREGADORES"</f>
        <v>PAGAMENTO DE ENTREGADORES</v>
      </c>
      <c r="P1945">
        <v>1259.2</v>
      </c>
      <c r="S1945" t="str">
        <f>"BANCO C6 (149)"</f>
        <v>BANCO C6 (149)</v>
      </c>
      <c r="T1945">
        <v>18199</v>
      </c>
      <c r="U1945">
        <v>21446</v>
      </c>
      <c r="V1945" t="s">
        <v>77</v>
      </c>
    </row>
    <row r="1946" spans="1:22">
      <c r="A1946" t="str">
        <f t="shared" si="319"/>
        <v>11/09/2025</v>
      </c>
      <c r="B1946" t="str">
        <f t="shared" si="320"/>
        <v>SAÍDA</v>
      </c>
      <c r="C1946" t="str">
        <f t="shared" si="321"/>
        <v>PIX</v>
      </c>
      <c r="D1946" t="str">
        <f>"21446"</f>
        <v>21446</v>
      </c>
      <c r="E1946" t="str">
        <f t="shared" si="322"/>
        <v>1</v>
      </c>
      <c r="F1946" t="str">
        <f t="shared" si="317"/>
        <v>COM</v>
      </c>
      <c r="G1946" t="str">
        <f>"GUILHERME DA SILVA GOMES (901)"</f>
        <v>GUILHERME DA SILVA GOMES (901)</v>
      </c>
      <c r="H1946" t="s">
        <v>531</v>
      </c>
      <c r="I1946" t="str">
        <f t="shared" si="323"/>
        <v>11/09/2025</v>
      </c>
      <c r="J1946" t="str">
        <f t="shared" si="318"/>
        <v>08/09/2025</v>
      </c>
      <c r="K1946">
        <v>45911</v>
      </c>
      <c r="N1946">
        <v>109</v>
      </c>
      <c r="O1946" t="s">
        <v>24</v>
      </c>
      <c r="Q1946">
        <v>1259.2</v>
      </c>
      <c r="R1946" t="str">
        <f>"DROGARIA AGAPEAMA (10167)"</f>
        <v>DROGARIA AGAPEAMA (10167)</v>
      </c>
      <c r="S1946" t="s">
        <v>77</v>
      </c>
      <c r="T1946">
        <v>18199</v>
      </c>
      <c r="U1946">
        <v>21446</v>
      </c>
      <c r="V1946" t="s">
        <v>77</v>
      </c>
    </row>
    <row r="1947" spans="1:22">
      <c r="A1947" t="str">
        <f t="shared" si="319"/>
        <v>11/09/2025</v>
      </c>
      <c r="B1947" t="str">
        <f t="shared" si="320"/>
        <v>SAÍDA</v>
      </c>
      <c r="C1947" t="str">
        <f t="shared" si="321"/>
        <v>PIX</v>
      </c>
      <c r="D1947" t="str">
        <f>"21447"</f>
        <v>21447</v>
      </c>
      <c r="E1947" t="str">
        <f t="shared" si="322"/>
        <v>1</v>
      </c>
      <c r="F1947" t="str">
        <f t="shared" si="317"/>
        <v>COM</v>
      </c>
      <c r="G1947" t="str">
        <f>"WESLEY RICARDO DE OLIVEIRA (722)"</f>
        <v>WESLEY RICARDO DE OLIVEIRA (722)</v>
      </c>
      <c r="H1947" t="str">
        <f>"Serv.Prest. 01/09/2025 a 07/09/2025 - PIX: CPF - CHAVE: 336.516.138-44"</f>
        <v>Serv.Prest. 01/09/2025 a 07/09/2025 - PIX: CPF - CHAVE: 336.516.138-44</v>
      </c>
      <c r="I1947" t="str">
        <f t="shared" si="323"/>
        <v>11/09/2025</v>
      </c>
      <c r="J1947" t="str">
        <f t="shared" si="318"/>
        <v>08/09/2025</v>
      </c>
      <c r="K1947" t="str">
        <f>("11/09/2025")</f>
        <v>11/09/2025</v>
      </c>
      <c r="L1947">
        <v>1082.5</v>
      </c>
      <c r="M1947">
        <v>1082.5</v>
      </c>
      <c r="N1947">
        <v>109</v>
      </c>
      <c r="O1947" t="str">
        <f>"PAGAMENTO DE ENTREGADORES"</f>
        <v>PAGAMENTO DE ENTREGADORES</v>
      </c>
      <c r="P1947">
        <v>1082.5</v>
      </c>
      <c r="S1947" t="str">
        <f>"BANCO C6 (149)"</f>
        <v>BANCO C6 (149)</v>
      </c>
      <c r="T1947">
        <v>18200</v>
      </c>
      <c r="U1947">
        <v>21447</v>
      </c>
      <c r="V1947" t="s">
        <v>77</v>
      </c>
    </row>
    <row r="1948" spans="1:22">
      <c r="A1948" t="str">
        <f t="shared" si="319"/>
        <v>11/09/2025</v>
      </c>
      <c r="B1948" t="str">
        <f t="shared" si="320"/>
        <v>SAÍDA</v>
      </c>
      <c r="C1948" t="str">
        <f t="shared" si="321"/>
        <v>PIX</v>
      </c>
      <c r="D1948" t="str">
        <f>"21447"</f>
        <v>21447</v>
      </c>
      <c r="E1948" t="str">
        <f t="shared" si="322"/>
        <v>1</v>
      </c>
      <c r="F1948" t="str">
        <f t="shared" ref="F1948:F2011" si="324">"COM"</f>
        <v>COM</v>
      </c>
      <c r="G1948" t="str">
        <f>"WESLEY RICARDO DE OLIVEIRA (722)"</f>
        <v>WESLEY RICARDO DE OLIVEIRA (722)</v>
      </c>
      <c r="H1948" t="s">
        <v>452</v>
      </c>
      <c r="I1948" t="str">
        <f t="shared" si="323"/>
        <v>11/09/2025</v>
      </c>
      <c r="J1948" t="str">
        <f t="shared" si="318"/>
        <v>08/09/2025</v>
      </c>
      <c r="K1948">
        <v>45911</v>
      </c>
      <c r="N1948">
        <v>109</v>
      </c>
      <c r="O1948" t="s">
        <v>24</v>
      </c>
      <c r="Q1948">
        <v>1082.5</v>
      </c>
      <c r="R1948" t="str">
        <f>"DROGARIA AGAPEAMA (10167)"</f>
        <v>DROGARIA AGAPEAMA (10167)</v>
      </c>
      <c r="S1948" t="s">
        <v>77</v>
      </c>
      <c r="T1948">
        <v>18200</v>
      </c>
      <c r="U1948">
        <v>21447</v>
      </c>
      <c r="V1948" t="s">
        <v>77</v>
      </c>
    </row>
    <row r="1949" spans="1:22">
      <c r="A1949" t="str">
        <f t="shared" si="319"/>
        <v>11/09/2025</v>
      </c>
      <c r="B1949" t="str">
        <f t="shared" si="320"/>
        <v>SAÍDA</v>
      </c>
      <c r="C1949" t="str">
        <f t="shared" si="321"/>
        <v>PIX</v>
      </c>
      <c r="D1949" t="str">
        <f>"21449"</f>
        <v>21449</v>
      </c>
      <c r="E1949" t="str">
        <f t="shared" si="322"/>
        <v>1</v>
      </c>
      <c r="F1949" t="str">
        <f t="shared" si="324"/>
        <v>COM</v>
      </c>
      <c r="G1949" t="str">
        <f>"ALEXSANDRO HENRIQUE FERREIRA (808)"</f>
        <v>ALEXSANDRO HENRIQUE FERREIRA (808)</v>
      </c>
      <c r="H1949" t="str">
        <f>"Serv.Prest. 01/09/2025 a 07/09/2025 - PIX: CPF - CHAVE: 157.591.436-03"</f>
        <v>Serv.Prest. 01/09/2025 a 07/09/2025 - PIX: CPF - CHAVE: 157.591.436-03</v>
      </c>
      <c r="I1949" t="str">
        <f t="shared" si="323"/>
        <v>11/09/2025</v>
      </c>
      <c r="J1949" t="str">
        <f t="shared" si="318"/>
        <v>08/09/2025</v>
      </c>
      <c r="K1949" t="str">
        <f>("11/09/2025")</f>
        <v>11/09/2025</v>
      </c>
      <c r="L1949">
        <v>604.04999999999995</v>
      </c>
      <c r="M1949">
        <v>604.04999999999995</v>
      </c>
      <c r="N1949">
        <v>109</v>
      </c>
      <c r="O1949" t="str">
        <f>"PAGAMENTO DE ENTREGADORES"</f>
        <v>PAGAMENTO DE ENTREGADORES</v>
      </c>
      <c r="P1949">
        <v>604.04999999999995</v>
      </c>
      <c r="S1949" t="str">
        <f>"BANCO C6 (149)"</f>
        <v>BANCO C6 (149)</v>
      </c>
      <c r="T1949">
        <v>18201</v>
      </c>
      <c r="U1949">
        <v>21449</v>
      </c>
      <c r="V1949" t="s">
        <v>77</v>
      </c>
    </row>
    <row r="1950" spans="1:22">
      <c r="A1950" t="str">
        <f t="shared" si="319"/>
        <v>11/09/2025</v>
      </c>
      <c r="B1950" t="str">
        <f t="shared" si="320"/>
        <v>SAÍDA</v>
      </c>
      <c r="C1950" t="str">
        <f t="shared" si="321"/>
        <v>PIX</v>
      </c>
      <c r="D1950" t="str">
        <f>"21449"</f>
        <v>21449</v>
      </c>
      <c r="E1950" t="str">
        <f t="shared" si="322"/>
        <v>1</v>
      </c>
      <c r="F1950" t="str">
        <f t="shared" si="324"/>
        <v>COM</v>
      </c>
      <c r="G1950" t="str">
        <f>"ALEXSANDRO HENRIQUE FERREIRA (808)"</f>
        <v>ALEXSANDRO HENRIQUE FERREIRA (808)</v>
      </c>
      <c r="H1950" t="s">
        <v>302</v>
      </c>
      <c r="I1950" t="str">
        <f t="shared" si="323"/>
        <v>11/09/2025</v>
      </c>
      <c r="J1950" t="str">
        <f t="shared" si="318"/>
        <v>08/09/2025</v>
      </c>
      <c r="K1950">
        <v>45911</v>
      </c>
      <c r="N1950">
        <v>109</v>
      </c>
      <c r="O1950" t="s">
        <v>24</v>
      </c>
      <c r="Q1950">
        <v>604.04999999999995</v>
      </c>
      <c r="R1950" t="str">
        <f>"DROGARIA ANA VISCONDE DO RIO BRANCO (10182)"</f>
        <v>DROGARIA ANA VISCONDE DO RIO BRANCO (10182)</v>
      </c>
      <c r="S1950" t="s">
        <v>77</v>
      </c>
      <c r="T1950">
        <v>18201</v>
      </c>
      <c r="U1950">
        <v>21449</v>
      </c>
      <c r="V1950" t="s">
        <v>77</v>
      </c>
    </row>
    <row r="1951" spans="1:22">
      <c r="A1951" t="str">
        <f t="shared" si="319"/>
        <v>11/09/2025</v>
      </c>
      <c r="B1951" t="str">
        <f t="shared" si="320"/>
        <v>SAÍDA</v>
      </c>
      <c r="C1951" t="str">
        <f t="shared" si="321"/>
        <v>PIX</v>
      </c>
      <c r="D1951" t="str">
        <f>"21450"</f>
        <v>21450</v>
      </c>
      <c r="E1951" t="str">
        <f t="shared" si="322"/>
        <v>1</v>
      </c>
      <c r="F1951" t="str">
        <f t="shared" si="324"/>
        <v>COM</v>
      </c>
      <c r="G1951" t="str">
        <f>"ANDERSON LUIZ SOARES (807)"</f>
        <v>ANDERSON LUIZ SOARES (807)</v>
      </c>
      <c r="H1951" t="str">
        <f>"Serv.Prest. 01/09/2025 a 07/09/2025 - PIX: CELULAR - CHAVE: (32) 99920-0416"</f>
        <v>Serv.Prest. 01/09/2025 a 07/09/2025 - PIX: CELULAR - CHAVE: (32) 99920-0416</v>
      </c>
      <c r="I1951" t="str">
        <f t="shared" si="323"/>
        <v>11/09/2025</v>
      </c>
      <c r="J1951" t="str">
        <f t="shared" si="318"/>
        <v>08/09/2025</v>
      </c>
      <c r="K1951" t="str">
        <f>("11/09/2025")</f>
        <v>11/09/2025</v>
      </c>
      <c r="L1951">
        <v>682.45</v>
      </c>
      <c r="M1951">
        <v>682.45</v>
      </c>
      <c r="N1951">
        <v>109</v>
      </c>
      <c r="O1951" t="str">
        <f>"PAGAMENTO DE ENTREGADORES"</f>
        <v>PAGAMENTO DE ENTREGADORES</v>
      </c>
      <c r="P1951">
        <v>682.45</v>
      </c>
      <c r="S1951" t="str">
        <f>"BANCO C6 (149)"</f>
        <v>BANCO C6 (149)</v>
      </c>
      <c r="T1951">
        <v>18202</v>
      </c>
      <c r="U1951">
        <v>21450</v>
      </c>
      <c r="V1951" t="s">
        <v>77</v>
      </c>
    </row>
    <row r="1952" spans="1:22">
      <c r="A1952" t="str">
        <f t="shared" si="319"/>
        <v>11/09/2025</v>
      </c>
      <c r="B1952" t="str">
        <f t="shared" si="320"/>
        <v>SAÍDA</v>
      </c>
      <c r="C1952" t="str">
        <f t="shared" si="321"/>
        <v>PIX</v>
      </c>
      <c r="D1952" t="str">
        <f>"21450"</f>
        <v>21450</v>
      </c>
      <c r="E1952" t="str">
        <f t="shared" si="322"/>
        <v>1</v>
      </c>
      <c r="F1952" t="str">
        <f t="shared" si="324"/>
        <v>COM</v>
      </c>
      <c r="G1952" t="str">
        <f>"ANDERSON LUIZ SOARES (807)"</f>
        <v>ANDERSON LUIZ SOARES (807)</v>
      </c>
      <c r="H1952" t="s">
        <v>329</v>
      </c>
      <c r="I1952" t="str">
        <f t="shared" si="323"/>
        <v>11/09/2025</v>
      </c>
      <c r="J1952" t="str">
        <f t="shared" si="318"/>
        <v>08/09/2025</v>
      </c>
      <c r="K1952">
        <v>45911</v>
      </c>
      <c r="N1952">
        <v>109</v>
      </c>
      <c r="O1952" t="s">
        <v>24</v>
      </c>
      <c r="Q1952">
        <v>682.45</v>
      </c>
      <c r="R1952" t="str">
        <f>"DROGARIA ANA VISCONDE DO RIO BRANCO (10182)"</f>
        <v>DROGARIA ANA VISCONDE DO RIO BRANCO (10182)</v>
      </c>
      <c r="S1952" t="s">
        <v>77</v>
      </c>
      <c r="T1952">
        <v>18202</v>
      </c>
      <c r="U1952">
        <v>21450</v>
      </c>
      <c r="V1952" t="s">
        <v>77</v>
      </c>
    </row>
    <row r="1953" spans="1:22">
      <c r="A1953" t="str">
        <f t="shared" si="319"/>
        <v>11/09/2025</v>
      </c>
      <c r="B1953" t="str">
        <f t="shared" si="320"/>
        <v>SAÍDA</v>
      </c>
      <c r="C1953" t="str">
        <f t="shared" si="321"/>
        <v>PIX</v>
      </c>
      <c r="D1953" t="str">
        <f>"21451"</f>
        <v>21451</v>
      </c>
      <c r="E1953" t="str">
        <f t="shared" si="322"/>
        <v>1</v>
      </c>
      <c r="F1953" t="str">
        <f t="shared" si="324"/>
        <v>COM</v>
      </c>
      <c r="G1953" t="str">
        <f>"GABRIEL PACHECO DE QUEIROZ NARCISO (812)"</f>
        <v>GABRIEL PACHECO DE QUEIROZ NARCISO (812)</v>
      </c>
      <c r="H1953" t="str">
        <f>"Serv.Prest. 01/09/2025 a 07/09/2025 - PIX: CPF - CHAVE: 140.108.466-40"</f>
        <v>Serv.Prest. 01/09/2025 a 07/09/2025 - PIX: CPF - CHAVE: 140.108.466-40</v>
      </c>
      <c r="I1953" t="str">
        <f t="shared" si="323"/>
        <v>11/09/2025</v>
      </c>
      <c r="J1953" t="str">
        <f t="shared" si="318"/>
        <v>08/09/2025</v>
      </c>
      <c r="K1953" t="str">
        <f>("11/09/2025")</f>
        <v>11/09/2025</v>
      </c>
      <c r="L1953">
        <v>682.45</v>
      </c>
      <c r="M1953">
        <v>682.45</v>
      </c>
      <c r="N1953">
        <v>109</v>
      </c>
      <c r="O1953" t="str">
        <f>"PAGAMENTO DE ENTREGADORES"</f>
        <v>PAGAMENTO DE ENTREGADORES</v>
      </c>
      <c r="P1953">
        <v>682.45</v>
      </c>
      <c r="S1953" t="str">
        <f>"BANCO C6 (149)"</f>
        <v>BANCO C6 (149)</v>
      </c>
      <c r="T1953">
        <v>18203</v>
      </c>
      <c r="U1953">
        <v>21451</v>
      </c>
      <c r="V1953" t="s">
        <v>77</v>
      </c>
    </row>
    <row r="1954" spans="1:22">
      <c r="A1954" t="str">
        <f t="shared" si="319"/>
        <v>11/09/2025</v>
      </c>
      <c r="B1954" t="str">
        <f t="shared" si="320"/>
        <v>SAÍDA</v>
      </c>
      <c r="C1954" t="str">
        <f t="shared" si="321"/>
        <v>PIX</v>
      </c>
      <c r="D1954" t="str">
        <f>"21451"</f>
        <v>21451</v>
      </c>
      <c r="E1954" t="str">
        <f t="shared" si="322"/>
        <v>1</v>
      </c>
      <c r="F1954" t="str">
        <f t="shared" si="324"/>
        <v>COM</v>
      </c>
      <c r="G1954" t="str">
        <f>"GABRIEL PACHECO DE QUEIROZ NARCISO (812)"</f>
        <v>GABRIEL PACHECO DE QUEIROZ NARCISO (812)</v>
      </c>
      <c r="H1954" t="s">
        <v>362</v>
      </c>
      <c r="I1954" t="str">
        <f t="shared" si="323"/>
        <v>11/09/2025</v>
      </c>
      <c r="J1954" t="str">
        <f t="shared" si="318"/>
        <v>08/09/2025</v>
      </c>
      <c r="K1954">
        <v>45911</v>
      </c>
      <c r="N1954">
        <v>109</v>
      </c>
      <c r="O1954" t="s">
        <v>24</v>
      </c>
      <c r="Q1954">
        <v>682.45</v>
      </c>
      <c r="R1954" t="str">
        <f>"DROGARIA ANA VISCONDE DO RIO BRANCO (10182)"</f>
        <v>DROGARIA ANA VISCONDE DO RIO BRANCO (10182)</v>
      </c>
      <c r="S1954" t="s">
        <v>77</v>
      </c>
      <c r="T1954">
        <v>18203</v>
      </c>
      <c r="U1954">
        <v>21451</v>
      </c>
      <c r="V1954" t="s">
        <v>77</v>
      </c>
    </row>
    <row r="1955" spans="1:22">
      <c r="A1955" t="str">
        <f t="shared" si="319"/>
        <v>11/09/2025</v>
      </c>
      <c r="B1955" t="str">
        <f t="shared" si="320"/>
        <v>SAÍDA</v>
      </c>
      <c r="C1955" t="str">
        <f t="shared" si="321"/>
        <v>PIX</v>
      </c>
      <c r="D1955" t="str">
        <f>"21452"</f>
        <v>21452</v>
      </c>
      <c r="E1955" t="str">
        <f t="shared" si="322"/>
        <v>1</v>
      </c>
      <c r="F1955" t="str">
        <f t="shared" si="324"/>
        <v>COM</v>
      </c>
      <c r="G1955" t="str">
        <f>"WASHINGTON VALERIO DE SOUZA (888)"</f>
        <v>WASHINGTON VALERIO DE SOUZA (888)</v>
      </c>
      <c r="H1955" t="str">
        <f>"Serv.Prest. 01/09/2025 a 07/09/2025 - PIX: CPF - CHAVE: 080.965.696-51"</f>
        <v>Serv.Prest. 01/09/2025 a 07/09/2025 - PIX: CPF - CHAVE: 080.965.696-51</v>
      </c>
      <c r="I1955" t="str">
        <f t="shared" si="323"/>
        <v>11/09/2025</v>
      </c>
      <c r="J1955" t="str">
        <f t="shared" si="318"/>
        <v>08/09/2025</v>
      </c>
      <c r="K1955" t="str">
        <f>("11/09/2025")</f>
        <v>11/09/2025</v>
      </c>
      <c r="L1955">
        <v>682.45</v>
      </c>
      <c r="M1955">
        <v>682.45</v>
      </c>
      <c r="N1955">
        <v>109</v>
      </c>
      <c r="O1955" t="str">
        <f>"PAGAMENTO DE ENTREGADORES"</f>
        <v>PAGAMENTO DE ENTREGADORES</v>
      </c>
      <c r="P1955">
        <v>682.45</v>
      </c>
      <c r="S1955" t="str">
        <f>"BANCO C6 (149)"</f>
        <v>BANCO C6 (149)</v>
      </c>
      <c r="T1955">
        <v>18204</v>
      </c>
      <c r="U1955">
        <v>21452</v>
      </c>
      <c r="V1955" t="s">
        <v>77</v>
      </c>
    </row>
    <row r="1956" spans="1:22">
      <c r="A1956" t="str">
        <f t="shared" si="319"/>
        <v>11/09/2025</v>
      </c>
      <c r="B1956" t="str">
        <f t="shared" si="320"/>
        <v>SAÍDA</v>
      </c>
      <c r="C1956" t="str">
        <f t="shared" si="321"/>
        <v>PIX</v>
      </c>
      <c r="D1956" t="str">
        <f>"21452"</f>
        <v>21452</v>
      </c>
      <c r="E1956" t="str">
        <f t="shared" si="322"/>
        <v>1</v>
      </c>
      <c r="F1956" t="str">
        <f t="shared" si="324"/>
        <v>COM</v>
      </c>
      <c r="G1956" t="str">
        <f>"WASHINGTON VALERIO DE SOUZA (888)"</f>
        <v>WASHINGTON VALERIO DE SOUZA (888)</v>
      </c>
      <c r="H1956" t="s">
        <v>445</v>
      </c>
      <c r="I1956" t="str">
        <f t="shared" si="323"/>
        <v>11/09/2025</v>
      </c>
      <c r="J1956" t="str">
        <f t="shared" si="318"/>
        <v>08/09/2025</v>
      </c>
      <c r="K1956">
        <v>45911</v>
      </c>
      <c r="N1956">
        <v>109</v>
      </c>
      <c r="O1956" t="s">
        <v>24</v>
      </c>
      <c r="Q1956">
        <v>682.45</v>
      </c>
      <c r="R1956" t="str">
        <f>"DROGARIA ANA VISCONDE DO RIO BRANCO (10182)"</f>
        <v>DROGARIA ANA VISCONDE DO RIO BRANCO (10182)</v>
      </c>
      <c r="S1956" t="s">
        <v>77</v>
      </c>
      <c r="T1956">
        <v>18204</v>
      </c>
      <c r="U1956">
        <v>21452</v>
      </c>
      <c r="V1956" t="s">
        <v>77</v>
      </c>
    </row>
    <row r="1957" spans="1:22">
      <c r="A1957" t="str">
        <f t="shared" si="319"/>
        <v>11/09/2025</v>
      </c>
      <c r="B1957" t="str">
        <f t="shared" si="320"/>
        <v>SAÍDA</v>
      </c>
      <c r="C1957" t="str">
        <f t="shared" si="321"/>
        <v>PIX</v>
      </c>
      <c r="D1957" t="str">
        <f>"21453"</f>
        <v>21453</v>
      </c>
      <c r="E1957" t="str">
        <f t="shared" si="322"/>
        <v>1</v>
      </c>
      <c r="F1957" t="str">
        <f t="shared" si="324"/>
        <v>COM</v>
      </c>
      <c r="G1957" t="str">
        <f>"WILLIAM ANDRE SILVA COELLO (850)"</f>
        <v>WILLIAM ANDRE SILVA COELLO (850)</v>
      </c>
      <c r="H1957" t="str">
        <f>"Serv.Prest. 01/09/2025 a 07/09/2025 - PIX: CPF - CHAVE: 100.710.806-19"</f>
        <v>Serv.Prest. 01/09/2025 a 07/09/2025 - PIX: CPF - CHAVE: 100.710.806-19</v>
      </c>
      <c r="I1957" t="str">
        <f t="shared" si="323"/>
        <v>11/09/2025</v>
      </c>
      <c r="J1957" t="str">
        <f t="shared" si="318"/>
        <v>08/09/2025</v>
      </c>
      <c r="K1957" t="str">
        <f>("11/09/2025")</f>
        <v>11/09/2025</v>
      </c>
      <c r="L1957">
        <v>702.45</v>
      </c>
      <c r="M1957">
        <v>702.45</v>
      </c>
      <c r="N1957">
        <v>109</v>
      </c>
      <c r="O1957" t="str">
        <f>"PAGAMENTO DE ENTREGADORES"</f>
        <v>PAGAMENTO DE ENTREGADORES</v>
      </c>
      <c r="P1957">
        <v>702.45</v>
      </c>
      <c r="S1957" t="str">
        <f>"BANCO C6 (149)"</f>
        <v>BANCO C6 (149)</v>
      </c>
      <c r="T1957">
        <v>18205</v>
      </c>
      <c r="U1957">
        <v>21453</v>
      </c>
      <c r="V1957" t="s">
        <v>77</v>
      </c>
    </row>
    <row r="1958" spans="1:22">
      <c r="A1958" t="str">
        <f t="shared" si="319"/>
        <v>11/09/2025</v>
      </c>
      <c r="B1958" t="str">
        <f t="shared" si="320"/>
        <v>SAÍDA</v>
      </c>
      <c r="C1958" t="str">
        <f t="shared" si="321"/>
        <v>PIX</v>
      </c>
      <c r="D1958" t="str">
        <f>"21453"</f>
        <v>21453</v>
      </c>
      <c r="E1958" t="str">
        <f t="shared" si="322"/>
        <v>1</v>
      </c>
      <c r="F1958" t="str">
        <f t="shared" si="324"/>
        <v>COM</v>
      </c>
      <c r="G1958" t="str">
        <f>"WILLIAM ANDRE SILVA COELLO (850)"</f>
        <v>WILLIAM ANDRE SILVA COELLO (850)</v>
      </c>
      <c r="H1958" t="s">
        <v>532</v>
      </c>
      <c r="I1958" t="str">
        <f t="shared" si="323"/>
        <v>11/09/2025</v>
      </c>
      <c r="J1958" t="str">
        <f t="shared" ref="J1958:J1989" si="325">("08/09/2025")</f>
        <v>08/09/2025</v>
      </c>
      <c r="K1958">
        <v>45911</v>
      </c>
      <c r="N1958">
        <v>109</v>
      </c>
      <c r="O1958" t="s">
        <v>24</v>
      </c>
      <c r="Q1958">
        <v>702.45</v>
      </c>
      <c r="R1958" t="str">
        <f>"DROGARIA ANA VISCONDE DO RIO BRANCO (10182)"</f>
        <v>DROGARIA ANA VISCONDE DO RIO BRANCO (10182)</v>
      </c>
      <c r="S1958" t="s">
        <v>77</v>
      </c>
      <c r="T1958">
        <v>18205</v>
      </c>
      <c r="U1958">
        <v>21453</v>
      </c>
      <c r="V1958" t="s">
        <v>77</v>
      </c>
    </row>
    <row r="1959" spans="1:22">
      <c r="A1959" t="str">
        <f t="shared" si="319"/>
        <v>11/09/2025</v>
      </c>
      <c r="B1959" t="str">
        <f t="shared" si="320"/>
        <v>SAÍDA</v>
      </c>
      <c r="C1959" t="str">
        <f t="shared" si="321"/>
        <v>PIX</v>
      </c>
      <c r="D1959" t="str">
        <f>"21455"</f>
        <v>21455</v>
      </c>
      <c r="E1959" t="str">
        <f t="shared" si="322"/>
        <v>1</v>
      </c>
      <c r="F1959" t="str">
        <f t="shared" si="324"/>
        <v>COM</v>
      </c>
      <c r="G1959" t="str">
        <f>"SAMUEL SOARES DA SILVA (867)"</f>
        <v>SAMUEL SOARES DA SILVA (867)</v>
      </c>
      <c r="H1959" t="str">
        <f>"Serv.Prest. 01/09/2025 a 07/09/2025 - PIX: CPF - CHAVE: 396.124.108-28"</f>
        <v>Serv.Prest. 01/09/2025 a 07/09/2025 - PIX: CPF - CHAVE: 396.124.108-28</v>
      </c>
      <c r="I1959" t="str">
        <f t="shared" si="323"/>
        <v>11/09/2025</v>
      </c>
      <c r="J1959" t="str">
        <f t="shared" si="325"/>
        <v>08/09/2025</v>
      </c>
      <c r="K1959" t="str">
        <f>("11/09/2025")</f>
        <v>11/09/2025</v>
      </c>
      <c r="L1959">
        <v>1380</v>
      </c>
      <c r="M1959">
        <v>1380</v>
      </c>
      <c r="N1959">
        <v>109</v>
      </c>
      <c r="O1959" t="str">
        <f>"PAGAMENTO DE ENTREGADORES"</f>
        <v>PAGAMENTO DE ENTREGADORES</v>
      </c>
      <c r="P1959">
        <v>1380</v>
      </c>
      <c r="S1959" t="str">
        <f>"BANCO C6 (149)"</f>
        <v>BANCO C6 (149)</v>
      </c>
      <c r="T1959">
        <v>18206</v>
      </c>
      <c r="U1959">
        <v>21455</v>
      </c>
      <c r="V1959" t="s">
        <v>77</v>
      </c>
    </row>
    <row r="1960" spans="1:22">
      <c r="A1960" t="str">
        <f t="shared" si="319"/>
        <v>11/09/2025</v>
      </c>
      <c r="B1960" t="str">
        <f t="shared" si="320"/>
        <v>SAÍDA</v>
      </c>
      <c r="C1960" t="str">
        <f t="shared" si="321"/>
        <v>PIX</v>
      </c>
      <c r="D1960" t="str">
        <f>"21455"</f>
        <v>21455</v>
      </c>
      <c r="E1960" t="str">
        <f t="shared" si="322"/>
        <v>1</v>
      </c>
      <c r="F1960" t="str">
        <f t="shared" si="324"/>
        <v>COM</v>
      </c>
      <c r="G1960" t="str">
        <f>"SAMUEL SOARES DA SILVA (867)"</f>
        <v>SAMUEL SOARES DA SILVA (867)</v>
      </c>
      <c r="H1960" t="s">
        <v>312</v>
      </c>
      <c r="I1960" t="str">
        <f t="shared" si="323"/>
        <v>11/09/2025</v>
      </c>
      <c r="J1960" t="str">
        <f t="shared" si="325"/>
        <v>08/09/2025</v>
      </c>
      <c r="K1960">
        <v>45911</v>
      </c>
      <c r="N1960">
        <v>109</v>
      </c>
      <c r="O1960" t="s">
        <v>24</v>
      </c>
      <c r="Q1960">
        <v>1380</v>
      </c>
      <c r="R1960" t="str">
        <f>"DROGA ELIDA (10121)"</f>
        <v>DROGA ELIDA (10121)</v>
      </c>
      <c r="S1960" t="s">
        <v>77</v>
      </c>
      <c r="T1960">
        <v>18206</v>
      </c>
      <c r="U1960">
        <v>21455</v>
      </c>
      <c r="V1960" t="s">
        <v>77</v>
      </c>
    </row>
    <row r="1961" spans="1:22">
      <c r="A1961" t="str">
        <f t="shared" si="319"/>
        <v>11/09/2025</v>
      </c>
      <c r="B1961" t="str">
        <f t="shared" si="320"/>
        <v>SAÍDA</v>
      </c>
      <c r="C1961" t="str">
        <f t="shared" si="321"/>
        <v>PIX</v>
      </c>
      <c r="D1961" t="str">
        <f>"21457"</f>
        <v>21457</v>
      </c>
      <c r="E1961" t="str">
        <f t="shared" si="322"/>
        <v>1</v>
      </c>
      <c r="F1961" t="str">
        <f t="shared" si="324"/>
        <v>COM</v>
      </c>
      <c r="G1961" t="str">
        <f>"JOSÉ HENRIQUE RODRIGUES (430)"</f>
        <v>JOSÉ HENRIQUE RODRIGUES (430)</v>
      </c>
      <c r="H1961" t="str">
        <f>"Serv.Prest. 01/09/2025 a 07/09/2025 - PIX: CPF - CHAVE: 100.826.516-04"</f>
        <v>Serv.Prest. 01/09/2025 a 07/09/2025 - PIX: CPF - CHAVE: 100.826.516-04</v>
      </c>
      <c r="I1961" t="str">
        <f t="shared" si="323"/>
        <v>11/09/2025</v>
      </c>
      <c r="J1961" t="str">
        <f t="shared" si="325"/>
        <v>08/09/2025</v>
      </c>
      <c r="K1961" t="str">
        <f>("11/09/2025")</f>
        <v>11/09/2025</v>
      </c>
      <c r="L1961">
        <v>880</v>
      </c>
      <c r="M1961">
        <v>880</v>
      </c>
      <c r="N1961">
        <v>109</v>
      </c>
      <c r="O1961" t="str">
        <f>"PAGAMENTO DE ENTREGADORES"</f>
        <v>PAGAMENTO DE ENTREGADORES</v>
      </c>
      <c r="P1961">
        <v>880</v>
      </c>
      <c r="S1961" t="str">
        <f>"BANCO C6 (149)"</f>
        <v>BANCO C6 (149)</v>
      </c>
      <c r="T1961">
        <v>18207</v>
      </c>
      <c r="U1961">
        <v>21457</v>
      </c>
      <c r="V1961" t="s">
        <v>77</v>
      </c>
    </row>
    <row r="1962" spans="1:22">
      <c r="A1962" t="str">
        <f t="shared" si="319"/>
        <v>11/09/2025</v>
      </c>
      <c r="B1962" t="str">
        <f t="shared" si="320"/>
        <v>SAÍDA</v>
      </c>
      <c r="C1962" t="str">
        <f t="shared" si="321"/>
        <v>PIX</v>
      </c>
      <c r="D1962" t="str">
        <f>"21457"</f>
        <v>21457</v>
      </c>
      <c r="E1962" t="str">
        <f t="shared" si="322"/>
        <v>1</v>
      </c>
      <c r="F1962" t="str">
        <f t="shared" si="324"/>
        <v>COM</v>
      </c>
      <c r="G1962" t="str">
        <f>"JOSÉ HENRIQUE RODRIGUES (430)"</f>
        <v>JOSÉ HENRIQUE RODRIGUES (430)</v>
      </c>
      <c r="H1962" t="s">
        <v>393</v>
      </c>
      <c r="I1962" t="str">
        <f t="shared" si="323"/>
        <v>11/09/2025</v>
      </c>
      <c r="J1962" t="str">
        <f t="shared" si="325"/>
        <v>08/09/2025</v>
      </c>
      <c r="K1962">
        <v>45911</v>
      </c>
      <c r="N1962">
        <v>109</v>
      </c>
      <c r="O1962" t="s">
        <v>24</v>
      </c>
      <c r="Q1962">
        <v>880</v>
      </c>
      <c r="R1962" t="str">
        <f>"PAGMENOS - LJ 608 (10135)"</f>
        <v>PAGMENOS - LJ 608 (10135)</v>
      </c>
      <c r="S1962" t="s">
        <v>77</v>
      </c>
      <c r="T1962">
        <v>18207</v>
      </c>
      <c r="U1962">
        <v>21457</v>
      </c>
      <c r="V1962" t="s">
        <v>77</v>
      </c>
    </row>
    <row r="1963" spans="1:22">
      <c r="A1963" t="str">
        <f t="shared" si="319"/>
        <v>11/09/2025</v>
      </c>
      <c r="B1963" t="str">
        <f t="shared" si="320"/>
        <v>SAÍDA</v>
      </c>
      <c r="C1963" t="str">
        <f t="shared" si="321"/>
        <v>PIX</v>
      </c>
      <c r="D1963" t="str">
        <f>"21458"</f>
        <v>21458</v>
      </c>
      <c r="E1963" t="str">
        <f t="shared" si="322"/>
        <v>1</v>
      </c>
      <c r="F1963" t="str">
        <f t="shared" si="324"/>
        <v>COM</v>
      </c>
      <c r="G1963" t="str">
        <f>"TALES SILVA MARIANO (431)"</f>
        <v>TALES SILVA MARIANO (431)</v>
      </c>
      <c r="H1963" t="str">
        <f>"Serv.Prest. 01/09/2025 a 07/09/2025 - PIX: CPF - CHAVE: 126.686.406-79"</f>
        <v>Serv.Prest. 01/09/2025 a 07/09/2025 - PIX: CPF - CHAVE: 126.686.406-79</v>
      </c>
      <c r="I1963" t="str">
        <f t="shared" si="323"/>
        <v>11/09/2025</v>
      </c>
      <c r="J1963" t="str">
        <f t="shared" si="325"/>
        <v>08/09/2025</v>
      </c>
      <c r="K1963" t="str">
        <f>("11/09/2025")</f>
        <v>11/09/2025</v>
      </c>
      <c r="L1963">
        <v>880</v>
      </c>
      <c r="M1963">
        <v>880</v>
      </c>
      <c r="N1963">
        <v>109</v>
      </c>
      <c r="O1963" t="str">
        <f>"PAGAMENTO DE ENTREGADORES"</f>
        <v>PAGAMENTO DE ENTREGADORES</v>
      </c>
      <c r="P1963">
        <v>880</v>
      </c>
      <c r="S1963" t="str">
        <f>"BANCO C6 (149)"</f>
        <v>BANCO C6 (149)</v>
      </c>
      <c r="T1963">
        <v>18208</v>
      </c>
      <c r="U1963">
        <v>21458</v>
      </c>
      <c r="V1963" t="s">
        <v>77</v>
      </c>
    </row>
    <row r="1964" spans="1:22">
      <c r="A1964" t="str">
        <f t="shared" si="319"/>
        <v>11/09/2025</v>
      </c>
      <c r="B1964" t="str">
        <f t="shared" si="320"/>
        <v>SAÍDA</v>
      </c>
      <c r="C1964" t="str">
        <f t="shared" si="321"/>
        <v>PIX</v>
      </c>
      <c r="D1964" t="str">
        <f>"21458"</f>
        <v>21458</v>
      </c>
      <c r="E1964" t="str">
        <f t="shared" si="322"/>
        <v>1</v>
      </c>
      <c r="F1964" t="str">
        <f t="shared" si="324"/>
        <v>COM</v>
      </c>
      <c r="G1964" t="str">
        <f>"TALES SILVA MARIANO (431)"</f>
        <v>TALES SILVA MARIANO (431)</v>
      </c>
      <c r="H1964" t="s">
        <v>433</v>
      </c>
      <c r="I1964" t="str">
        <f t="shared" si="323"/>
        <v>11/09/2025</v>
      </c>
      <c r="J1964" t="str">
        <f t="shared" si="325"/>
        <v>08/09/2025</v>
      </c>
      <c r="K1964">
        <v>45911</v>
      </c>
      <c r="N1964">
        <v>109</v>
      </c>
      <c r="O1964" t="s">
        <v>24</v>
      </c>
      <c r="Q1964">
        <v>880</v>
      </c>
      <c r="R1964" t="str">
        <f>"PAGMENOS - LJ 608 (10135)"</f>
        <v>PAGMENOS - LJ 608 (10135)</v>
      </c>
      <c r="S1964" t="s">
        <v>77</v>
      </c>
      <c r="T1964">
        <v>18208</v>
      </c>
      <c r="U1964">
        <v>21458</v>
      </c>
      <c r="V1964" t="s">
        <v>77</v>
      </c>
    </row>
    <row r="1965" spans="1:22">
      <c r="A1965" t="str">
        <f t="shared" si="319"/>
        <v>11/09/2025</v>
      </c>
      <c r="B1965" t="str">
        <f t="shared" si="320"/>
        <v>SAÍDA</v>
      </c>
      <c r="C1965" t="str">
        <f t="shared" si="321"/>
        <v>PIX</v>
      </c>
      <c r="D1965" t="str">
        <f>"21460"</f>
        <v>21460</v>
      </c>
      <c r="E1965" t="str">
        <f t="shared" si="322"/>
        <v>1</v>
      </c>
      <c r="F1965" t="str">
        <f t="shared" si="324"/>
        <v>COM</v>
      </c>
      <c r="G1965" t="str">
        <f>"WILIANA RODRIGUES E RODRIGUES (398)"</f>
        <v>WILIANA RODRIGUES E RODRIGUES (398)</v>
      </c>
      <c r="H1965" t="str">
        <f>"Serv.Prest. 01/09/2025 a 07/09/2025 - PIX: CPF - CHAVE: 016.203.336-27"</f>
        <v>Serv.Prest. 01/09/2025 a 07/09/2025 - PIX: CPF - CHAVE: 016.203.336-27</v>
      </c>
      <c r="I1965" t="str">
        <f t="shared" si="323"/>
        <v>11/09/2025</v>
      </c>
      <c r="J1965" t="str">
        <f t="shared" si="325"/>
        <v>08/09/2025</v>
      </c>
      <c r="K1965" t="str">
        <f>("11/09/2025")</f>
        <v>11/09/2025</v>
      </c>
      <c r="L1965">
        <v>1180</v>
      </c>
      <c r="M1965">
        <v>1180</v>
      </c>
      <c r="N1965">
        <v>109</v>
      </c>
      <c r="O1965" t="str">
        <f>"PAGAMENTO DE ENTREGADORES"</f>
        <v>PAGAMENTO DE ENTREGADORES</v>
      </c>
      <c r="P1965">
        <v>1180</v>
      </c>
      <c r="S1965" t="str">
        <f>"BANCO C6 (149)"</f>
        <v>BANCO C6 (149)</v>
      </c>
      <c r="T1965">
        <v>18209</v>
      </c>
      <c r="U1965">
        <v>21460</v>
      </c>
      <c r="V1965" t="s">
        <v>77</v>
      </c>
    </row>
    <row r="1966" spans="1:22">
      <c r="A1966" t="str">
        <f t="shared" si="319"/>
        <v>11/09/2025</v>
      </c>
      <c r="B1966" t="str">
        <f t="shared" si="320"/>
        <v>SAÍDA</v>
      </c>
      <c r="C1966" t="str">
        <f t="shared" si="321"/>
        <v>PIX</v>
      </c>
      <c r="D1966" t="str">
        <f>"21460"</f>
        <v>21460</v>
      </c>
      <c r="E1966" t="str">
        <f t="shared" si="322"/>
        <v>1</v>
      </c>
      <c r="F1966" t="str">
        <f t="shared" si="324"/>
        <v>COM</v>
      </c>
      <c r="G1966" t="str">
        <f>"WILIANA RODRIGUES E RODRIGUES (398)"</f>
        <v>WILIANA RODRIGUES E RODRIGUES (398)</v>
      </c>
      <c r="H1966" t="s">
        <v>311</v>
      </c>
      <c r="I1966" t="str">
        <f t="shared" si="323"/>
        <v>11/09/2025</v>
      </c>
      <c r="J1966" t="str">
        <f t="shared" si="325"/>
        <v>08/09/2025</v>
      </c>
      <c r="K1966">
        <v>45911</v>
      </c>
      <c r="N1966">
        <v>109</v>
      </c>
      <c r="O1966" t="s">
        <v>24</v>
      </c>
      <c r="Q1966">
        <v>1180</v>
      </c>
      <c r="R1966" t="str">
        <f>"PAGMENOS - LJ 657 (10136)"</f>
        <v>PAGMENOS - LJ 657 (10136)</v>
      </c>
      <c r="S1966" t="s">
        <v>77</v>
      </c>
      <c r="T1966">
        <v>18209</v>
      </c>
      <c r="U1966">
        <v>21460</v>
      </c>
      <c r="V1966" t="s">
        <v>77</v>
      </c>
    </row>
    <row r="1967" spans="1:22">
      <c r="A1967" t="str">
        <f t="shared" si="319"/>
        <v>11/09/2025</v>
      </c>
      <c r="B1967" t="str">
        <f t="shared" si="320"/>
        <v>SAÍDA</v>
      </c>
      <c r="C1967" t="str">
        <f t="shared" si="321"/>
        <v>PIX</v>
      </c>
      <c r="D1967" t="str">
        <f>"21464"</f>
        <v>21464</v>
      </c>
      <c r="E1967" t="str">
        <f t="shared" si="322"/>
        <v>1</v>
      </c>
      <c r="F1967" t="str">
        <f t="shared" si="324"/>
        <v>COM</v>
      </c>
      <c r="G1967" t="str">
        <f>"JAMERSON SOUZA LOPES (749)"</f>
        <v>JAMERSON SOUZA LOPES (749)</v>
      </c>
      <c r="H1967" t="str">
        <f>"Serv.Prest. 01/09/2025 a 07/09/2025 - PIX: CPF - CHAVE: 423.098.018-36"</f>
        <v>Serv.Prest. 01/09/2025 a 07/09/2025 - PIX: CPF - CHAVE: 423.098.018-36</v>
      </c>
      <c r="I1967" t="str">
        <f t="shared" si="323"/>
        <v>11/09/2025</v>
      </c>
      <c r="J1967" t="str">
        <f t="shared" si="325"/>
        <v>08/09/2025</v>
      </c>
      <c r="K1967" t="str">
        <f>("11/09/2025")</f>
        <v>11/09/2025</v>
      </c>
      <c r="L1967">
        <v>663.45</v>
      </c>
      <c r="M1967">
        <v>663.45</v>
      </c>
      <c r="N1967">
        <v>109</v>
      </c>
      <c r="O1967" t="str">
        <f>"PAGAMENTO DE ENTREGADORES"</f>
        <v>PAGAMENTO DE ENTREGADORES</v>
      </c>
      <c r="P1967">
        <v>663.45</v>
      </c>
      <c r="S1967" t="str">
        <f>"BANCO C6 (149)"</f>
        <v>BANCO C6 (149)</v>
      </c>
      <c r="T1967">
        <v>18210</v>
      </c>
      <c r="U1967">
        <v>21464</v>
      </c>
      <c r="V1967" t="s">
        <v>77</v>
      </c>
    </row>
    <row r="1968" spans="1:22">
      <c r="A1968" t="str">
        <f t="shared" si="319"/>
        <v>11/09/2025</v>
      </c>
      <c r="B1968" t="str">
        <f t="shared" si="320"/>
        <v>SAÍDA</v>
      </c>
      <c r="C1968" t="str">
        <f t="shared" si="321"/>
        <v>PIX</v>
      </c>
      <c r="D1968" t="str">
        <f>"21464"</f>
        <v>21464</v>
      </c>
      <c r="E1968" t="str">
        <f t="shared" si="322"/>
        <v>1</v>
      </c>
      <c r="F1968" t="str">
        <f t="shared" si="324"/>
        <v>COM</v>
      </c>
      <c r="G1968" t="str">
        <f>"JAMERSON SOUZA LOPES (749)"</f>
        <v>JAMERSON SOUZA LOPES (749)</v>
      </c>
      <c r="H1968" t="s">
        <v>382</v>
      </c>
      <c r="I1968" t="str">
        <f t="shared" si="323"/>
        <v>11/09/2025</v>
      </c>
      <c r="J1968" t="str">
        <f t="shared" si="325"/>
        <v>08/09/2025</v>
      </c>
      <c r="K1968">
        <v>45911</v>
      </c>
      <c r="N1968">
        <v>109</v>
      </c>
      <c r="O1968" t="s">
        <v>24</v>
      </c>
      <c r="Q1968">
        <v>663.45</v>
      </c>
      <c r="R1968" t="str">
        <f>"DROGARIA TOTAL JUNDIAI (10177)"</f>
        <v>DROGARIA TOTAL JUNDIAI (10177)</v>
      </c>
      <c r="S1968" t="s">
        <v>77</v>
      </c>
      <c r="T1968">
        <v>18210</v>
      </c>
      <c r="U1968">
        <v>21464</v>
      </c>
      <c r="V1968" t="s">
        <v>77</v>
      </c>
    </row>
    <row r="1969" spans="1:22">
      <c r="A1969" t="str">
        <f t="shared" si="319"/>
        <v>11/09/2025</v>
      </c>
      <c r="B1969" t="str">
        <f t="shared" si="320"/>
        <v>SAÍDA</v>
      </c>
      <c r="C1969" t="str">
        <f t="shared" si="321"/>
        <v>PIX</v>
      </c>
      <c r="D1969" t="str">
        <f>"21466"</f>
        <v>21466</v>
      </c>
      <c r="E1969" t="str">
        <f t="shared" si="322"/>
        <v>1</v>
      </c>
      <c r="F1969" t="str">
        <f t="shared" si="324"/>
        <v>COM</v>
      </c>
      <c r="G1969" t="str">
        <f>"ELIO CALDEIRA RIBEIRO JUNIOR (840)"</f>
        <v>ELIO CALDEIRA RIBEIRO JUNIOR (840)</v>
      </c>
      <c r="H1969" t="str">
        <f>"Serv.Prest. 01/09/2025 a 07/09/2025 - PIX: CPF - CHAVE: 463.491.858-70"</f>
        <v>Serv.Prest. 01/09/2025 a 07/09/2025 - PIX: CPF - CHAVE: 463.491.858-70</v>
      </c>
      <c r="I1969" t="str">
        <f t="shared" si="323"/>
        <v>11/09/2025</v>
      </c>
      <c r="J1969" t="str">
        <f t="shared" si="325"/>
        <v>08/09/2025</v>
      </c>
      <c r="K1969" t="str">
        <f>("11/09/2025")</f>
        <v>11/09/2025</v>
      </c>
      <c r="L1969">
        <v>344</v>
      </c>
      <c r="M1969">
        <v>344</v>
      </c>
      <c r="N1969">
        <v>109</v>
      </c>
      <c r="O1969" t="str">
        <f>"PAGAMENTO DE ENTREGADORES"</f>
        <v>PAGAMENTO DE ENTREGADORES</v>
      </c>
      <c r="P1969">
        <v>344</v>
      </c>
      <c r="S1969" t="str">
        <f>"BANCO C6 (149)"</f>
        <v>BANCO C6 (149)</v>
      </c>
      <c r="T1969">
        <v>18211</v>
      </c>
      <c r="U1969">
        <v>21466</v>
      </c>
      <c r="V1969" t="s">
        <v>77</v>
      </c>
    </row>
    <row r="1970" spans="1:22">
      <c r="A1970" t="str">
        <f t="shared" si="319"/>
        <v>11/09/2025</v>
      </c>
      <c r="B1970" t="str">
        <f t="shared" si="320"/>
        <v>SAÍDA</v>
      </c>
      <c r="C1970" t="str">
        <f t="shared" si="321"/>
        <v>PIX</v>
      </c>
      <c r="D1970" t="str">
        <f>"21466"</f>
        <v>21466</v>
      </c>
      <c r="E1970" t="str">
        <f t="shared" si="322"/>
        <v>1</v>
      </c>
      <c r="F1970" t="str">
        <f t="shared" si="324"/>
        <v>COM</v>
      </c>
      <c r="G1970" t="str">
        <f>"ELIO CALDEIRA RIBEIRO JUNIOR (840)"</f>
        <v>ELIO CALDEIRA RIBEIRO JUNIOR (840)</v>
      </c>
      <c r="H1970" t="s">
        <v>354</v>
      </c>
      <c r="I1970" t="str">
        <f t="shared" si="323"/>
        <v>11/09/2025</v>
      </c>
      <c r="J1970" t="str">
        <f t="shared" si="325"/>
        <v>08/09/2025</v>
      </c>
      <c r="K1970">
        <v>45911</v>
      </c>
      <c r="N1970">
        <v>109</v>
      </c>
      <c r="O1970" t="s">
        <v>24</v>
      </c>
      <c r="Q1970">
        <v>344</v>
      </c>
      <c r="R1970" t="str">
        <f>"DROGARIA MEDIC CENTER LTDA (10172)"</f>
        <v>DROGARIA MEDIC CENTER LTDA (10172)</v>
      </c>
      <c r="S1970" t="s">
        <v>77</v>
      </c>
      <c r="T1970">
        <v>18211</v>
      </c>
      <c r="U1970">
        <v>21466</v>
      </c>
      <c r="V1970" t="s">
        <v>77</v>
      </c>
    </row>
    <row r="1971" spans="1:22">
      <c r="A1971" t="str">
        <f t="shared" si="319"/>
        <v>11/09/2025</v>
      </c>
      <c r="B1971" t="str">
        <f t="shared" si="320"/>
        <v>SAÍDA</v>
      </c>
      <c r="C1971" t="str">
        <f t="shared" si="321"/>
        <v>PIX</v>
      </c>
      <c r="D1971" t="str">
        <f>"21467"</f>
        <v>21467</v>
      </c>
      <c r="E1971" t="str">
        <f t="shared" si="322"/>
        <v>1</v>
      </c>
      <c r="F1971" t="str">
        <f t="shared" si="324"/>
        <v>COM</v>
      </c>
      <c r="G1971" t="str">
        <f>"REGINALDO ANDRE BORTOLETTO (802)"</f>
        <v>REGINALDO ANDRE BORTOLETTO (802)</v>
      </c>
      <c r="H1971" t="str">
        <f>"Serv.Prest. 01/09/2025 a 07/09/2025 - PIX: CELULAR - CHAVE: (11) 94281-7123"</f>
        <v>Serv.Prest. 01/09/2025 a 07/09/2025 - PIX: CELULAR - CHAVE: (11) 94281-7123</v>
      </c>
      <c r="I1971" t="str">
        <f t="shared" si="323"/>
        <v>11/09/2025</v>
      </c>
      <c r="J1971" t="str">
        <f t="shared" si="325"/>
        <v>08/09/2025</v>
      </c>
      <c r="K1971" t="str">
        <f>("11/09/2025")</f>
        <v>11/09/2025</v>
      </c>
      <c r="L1971">
        <v>541</v>
      </c>
      <c r="M1971">
        <v>541</v>
      </c>
      <c r="N1971">
        <v>109</v>
      </c>
      <c r="O1971" t="str">
        <f>"PAGAMENTO DE ENTREGADORES"</f>
        <v>PAGAMENTO DE ENTREGADORES</v>
      </c>
      <c r="P1971">
        <v>541</v>
      </c>
      <c r="S1971" t="str">
        <f>"BANCO C6 (149)"</f>
        <v>BANCO C6 (149)</v>
      </c>
      <c r="T1971">
        <v>18212</v>
      </c>
      <c r="U1971">
        <v>21467</v>
      </c>
      <c r="V1971" t="s">
        <v>77</v>
      </c>
    </row>
    <row r="1972" spans="1:22">
      <c r="A1972" t="str">
        <f t="shared" si="319"/>
        <v>11/09/2025</v>
      </c>
      <c r="B1972" t="str">
        <f t="shared" si="320"/>
        <v>SAÍDA</v>
      </c>
      <c r="C1972" t="str">
        <f t="shared" si="321"/>
        <v>PIX</v>
      </c>
      <c r="D1972" t="str">
        <f>"21467"</f>
        <v>21467</v>
      </c>
      <c r="E1972" t="str">
        <f t="shared" si="322"/>
        <v>1</v>
      </c>
      <c r="F1972" t="str">
        <f t="shared" si="324"/>
        <v>COM</v>
      </c>
      <c r="G1972" t="str">
        <f>"REGINALDO ANDRE BORTOLETTO (802)"</f>
        <v>REGINALDO ANDRE BORTOLETTO (802)</v>
      </c>
      <c r="H1972" t="s">
        <v>66</v>
      </c>
      <c r="I1972" t="str">
        <f t="shared" si="323"/>
        <v>11/09/2025</v>
      </c>
      <c r="J1972" t="str">
        <f t="shared" si="325"/>
        <v>08/09/2025</v>
      </c>
      <c r="K1972">
        <v>45911</v>
      </c>
      <c r="N1972">
        <v>109</v>
      </c>
      <c r="O1972" t="s">
        <v>24</v>
      </c>
      <c r="Q1972">
        <v>541</v>
      </c>
      <c r="R1972" t="str">
        <f>"DROGARIA MEDIC CENTER LTDA (10172)"</f>
        <v>DROGARIA MEDIC CENTER LTDA (10172)</v>
      </c>
      <c r="S1972" t="s">
        <v>77</v>
      </c>
      <c r="T1972">
        <v>18212</v>
      </c>
      <c r="U1972">
        <v>21467</v>
      </c>
      <c r="V1972" t="s">
        <v>77</v>
      </c>
    </row>
    <row r="1973" spans="1:22">
      <c r="A1973" t="str">
        <f t="shared" si="319"/>
        <v>11/09/2025</v>
      </c>
      <c r="B1973" t="str">
        <f t="shared" si="320"/>
        <v>SAÍDA</v>
      </c>
      <c r="C1973" t="str">
        <f t="shared" si="321"/>
        <v>PIX</v>
      </c>
      <c r="D1973" t="str">
        <f>"21470"</f>
        <v>21470</v>
      </c>
      <c r="E1973" t="str">
        <f t="shared" si="322"/>
        <v>1</v>
      </c>
      <c r="F1973" t="str">
        <f t="shared" si="324"/>
        <v>COM</v>
      </c>
      <c r="G1973" t="str">
        <f>"ALLAN SILVA DAMACENA (790)"</f>
        <v>ALLAN SILVA DAMACENA (790)</v>
      </c>
      <c r="H1973" t="str">
        <f>"Serv.Prest. 01/09/2025 a 07/09/2025 - PIX: CELULAR - CHAVE: (19) 98944-4977"</f>
        <v>Serv.Prest. 01/09/2025 a 07/09/2025 - PIX: CELULAR - CHAVE: (19) 98944-4977</v>
      </c>
      <c r="I1973" t="str">
        <f t="shared" si="323"/>
        <v>11/09/2025</v>
      </c>
      <c r="J1973" t="str">
        <f t="shared" si="325"/>
        <v>08/09/2025</v>
      </c>
      <c r="K1973" t="str">
        <f>("11/09/2025")</f>
        <v>11/09/2025</v>
      </c>
      <c r="L1973">
        <v>890</v>
      </c>
      <c r="M1973">
        <v>890</v>
      </c>
      <c r="N1973">
        <v>109</v>
      </c>
      <c r="O1973" t="str">
        <f>"PAGAMENTO DE ENTREGADORES"</f>
        <v>PAGAMENTO DE ENTREGADORES</v>
      </c>
      <c r="P1973">
        <v>890</v>
      </c>
      <c r="S1973" t="str">
        <f>"BANCO C6 (149)"</f>
        <v>BANCO C6 (149)</v>
      </c>
      <c r="T1973">
        <v>18213</v>
      </c>
      <c r="U1973">
        <v>21470</v>
      </c>
      <c r="V1973" t="s">
        <v>77</v>
      </c>
    </row>
    <row r="1974" spans="1:22">
      <c r="A1974" t="str">
        <f t="shared" si="319"/>
        <v>11/09/2025</v>
      </c>
      <c r="B1974" t="str">
        <f t="shared" si="320"/>
        <v>SAÍDA</v>
      </c>
      <c r="C1974" t="str">
        <f t="shared" si="321"/>
        <v>PIX</v>
      </c>
      <c r="D1974" t="str">
        <f>"21470"</f>
        <v>21470</v>
      </c>
      <c r="E1974" t="str">
        <f t="shared" si="322"/>
        <v>1</v>
      </c>
      <c r="F1974" t="str">
        <f t="shared" si="324"/>
        <v>COM</v>
      </c>
      <c r="G1974" t="str">
        <f>"ALLAN SILVA DAMACENA (790)"</f>
        <v>ALLAN SILVA DAMACENA (790)</v>
      </c>
      <c r="H1974" t="s">
        <v>327</v>
      </c>
      <c r="I1974" t="str">
        <f t="shared" si="323"/>
        <v>11/09/2025</v>
      </c>
      <c r="J1974" t="str">
        <f t="shared" si="325"/>
        <v>08/09/2025</v>
      </c>
      <c r="K1974">
        <v>45911</v>
      </c>
      <c r="N1974">
        <v>109</v>
      </c>
      <c r="O1974" t="s">
        <v>24</v>
      </c>
      <c r="Q1974">
        <v>890</v>
      </c>
      <c r="R1974" t="str">
        <f>"DROGARIA MORENO LTDA (10171)"</f>
        <v>DROGARIA MORENO LTDA (10171)</v>
      </c>
      <c r="S1974" t="s">
        <v>77</v>
      </c>
      <c r="T1974">
        <v>18213</v>
      </c>
      <c r="U1974">
        <v>21470</v>
      </c>
      <c r="V1974" t="s">
        <v>77</v>
      </c>
    </row>
    <row r="1975" spans="1:22">
      <c r="A1975" t="str">
        <f t="shared" si="319"/>
        <v>11/09/2025</v>
      </c>
      <c r="B1975" t="str">
        <f t="shared" si="320"/>
        <v>SAÍDA</v>
      </c>
      <c r="C1975" t="str">
        <f t="shared" si="321"/>
        <v>PIX</v>
      </c>
      <c r="D1975" t="str">
        <f>"21471"</f>
        <v>21471</v>
      </c>
      <c r="E1975" t="str">
        <f t="shared" si="322"/>
        <v>1</v>
      </c>
      <c r="F1975" t="str">
        <f t="shared" si="324"/>
        <v>COM</v>
      </c>
      <c r="G1975" t="str">
        <f>"EDUARDO MARQUES DOS SANTOS (787)"</f>
        <v>EDUARDO MARQUES DOS SANTOS (787)</v>
      </c>
      <c r="H1975" t="str">
        <f>"Serv.Prest. 01/09/2025 a 07/09/2025 - PIX: CELULAR - CHAVE: (11) 97402-1586"</f>
        <v>Serv.Prest. 01/09/2025 a 07/09/2025 - PIX: CELULAR - CHAVE: (11) 97402-1586</v>
      </c>
      <c r="I1975" t="str">
        <f t="shared" si="323"/>
        <v>11/09/2025</v>
      </c>
      <c r="J1975" t="str">
        <f t="shared" si="325"/>
        <v>08/09/2025</v>
      </c>
      <c r="K1975" t="str">
        <f>("11/09/2025")</f>
        <v>11/09/2025</v>
      </c>
      <c r="L1975">
        <v>792</v>
      </c>
      <c r="M1975">
        <v>792</v>
      </c>
      <c r="N1975">
        <v>109</v>
      </c>
      <c r="O1975" t="str">
        <f>"PAGAMENTO DE ENTREGADORES"</f>
        <v>PAGAMENTO DE ENTREGADORES</v>
      </c>
      <c r="P1975">
        <v>792</v>
      </c>
      <c r="S1975" t="str">
        <f>"BANCO C6 (149)"</f>
        <v>BANCO C6 (149)</v>
      </c>
      <c r="T1975">
        <v>18214</v>
      </c>
      <c r="U1975">
        <v>21471</v>
      </c>
      <c r="V1975" t="s">
        <v>77</v>
      </c>
    </row>
    <row r="1976" spans="1:22">
      <c r="A1976" t="str">
        <f t="shared" si="319"/>
        <v>11/09/2025</v>
      </c>
      <c r="B1976" t="str">
        <f t="shared" si="320"/>
        <v>SAÍDA</v>
      </c>
      <c r="C1976" t="str">
        <f t="shared" si="321"/>
        <v>PIX</v>
      </c>
      <c r="D1976" t="str">
        <f>"21471"</f>
        <v>21471</v>
      </c>
      <c r="E1976" t="str">
        <f t="shared" si="322"/>
        <v>1</v>
      </c>
      <c r="F1976" t="str">
        <f t="shared" si="324"/>
        <v>COM</v>
      </c>
      <c r="G1976" t="str">
        <f>"EDUARDO MARQUES DOS SANTOS (787)"</f>
        <v>EDUARDO MARQUES DOS SANTOS (787)</v>
      </c>
      <c r="H1976" t="s">
        <v>351</v>
      </c>
      <c r="I1976" t="str">
        <f t="shared" si="323"/>
        <v>11/09/2025</v>
      </c>
      <c r="J1976" t="str">
        <f t="shared" si="325"/>
        <v>08/09/2025</v>
      </c>
      <c r="K1976">
        <v>45911</v>
      </c>
      <c r="N1976">
        <v>109</v>
      </c>
      <c r="O1976" t="s">
        <v>24</v>
      </c>
      <c r="Q1976">
        <v>792</v>
      </c>
      <c r="R1976" t="str">
        <f>"DROGARIA MORENO LTDA (10171)"</f>
        <v>DROGARIA MORENO LTDA (10171)</v>
      </c>
      <c r="S1976" t="s">
        <v>77</v>
      </c>
      <c r="T1976">
        <v>18214</v>
      </c>
      <c r="U1976">
        <v>21471</v>
      </c>
      <c r="V1976" t="s">
        <v>77</v>
      </c>
    </row>
    <row r="1977" spans="1:22">
      <c r="A1977" t="str">
        <f t="shared" si="319"/>
        <v>11/09/2025</v>
      </c>
      <c r="B1977" t="str">
        <f t="shared" si="320"/>
        <v>SAÍDA</v>
      </c>
      <c r="C1977" t="str">
        <f t="shared" si="321"/>
        <v>PIX</v>
      </c>
      <c r="D1977" t="str">
        <f>"21472"</f>
        <v>21472</v>
      </c>
      <c r="E1977" t="str">
        <f t="shared" si="322"/>
        <v>1</v>
      </c>
      <c r="F1977" t="str">
        <f t="shared" si="324"/>
        <v>COM</v>
      </c>
      <c r="G1977" t="str">
        <f>"ELIO CALDEIRA RIBEIRO JUNIOR (840)"</f>
        <v>ELIO CALDEIRA RIBEIRO JUNIOR (840)</v>
      </c>
      <c r="H1977" t="str">
        <f>"Serv.Prest. 01/09/2025 a 07/09/2025 - PIX: CPF - CHAVE: 463.491.858-70"</f>
        <v>Serv.Prest. 01/09/2025 a 07/09/2025 - PIX: CPF - CHAVE: 463.491.858-70</v>
      </c>
      <c r="I1977" t="str">
        <f t="shared" si="323"/>
        <v>11/09/2025</v>
      </c>
      <c r="J1977" t="str">
        <f t="shared" si="325"/>
        <v>08/09/2025</v>
      </c>
      <c r="K1977" t="str">
        <f>("11/09/2025")</f>
        <v>11/09/2025</v>
      </c>
      <c r="L1977">
        <v>140</v>
      </c>
      <c r="M1977">
        <v>140</v>
      </c>
      <c r="N1977">
        <v>109</v>
      </c>
      <c r="O1977" t="str">
        <f>"PAGAMENTO DE ENTREGADORES"</f>
        <v>PAGAMENTO DE ENTREGADORES</v>
      </c>
      <c r="P1977">
        <v>140</v>
      </c>
      <c r="S1977" t="str">
        <f>"BANCO C6 (149)"</f>
        <v>BANCO C6 (149)</v>
      </c>
      <c r="T1977">
        <v>18215</v>
      </c>
      <c r="U1977">
        <v>21472</v>
      </c>
      <c r="V1977" t="s">
        <v>77</v>
      </c>
    </row>
    <row r="1978" spans="1:22">
      <c r="A1978" t="str">
        <f t="shared" si="319"/>
        <v>11/09/2025</v>
      </c>
      <c r="B1978" t="str">
        <f t="shared" si="320"/>
        <v>SAÍDA</v>
      </c>
      <c r="C1978" t="str">
        <f t="shared" si="321"/>
        <v>PIX</v>
      </c>
      <c r="D1978" t="str">
        <f>"21472"</f>
        <v>21472</v>
      </c>
      <c r="E1978" t="str">
        <f t="shared" si="322"/>
        <v>1</v>
      </c>
      <c r="F1978" t="str">
        <f t="shared" si="324"/>
        <v>COM</v>
      </c>
      <c r="G1978" t="str">
        <f>"ELIO CALDEIRA RIBEIRO JUNIOR (840)"</f>
        <v>ELIO CALDEIRA RIBEIRO JUNIOR (840)</v>
      </c>
      <c r="H1978" t="s">
        <v>354</v>
      </c>
      <c r="I1978" t="str">
        <f t="shared" si="323"/>
        <v>11/09/2025</v>
      </c>
      <c r="J1978" t="str">
        <f t="shared" si="325"/>
        <v>08/09/2025</v>
      </c>
      <c r="K1978">
        <v>45911</v>
      </c>
      <c r="N1978">
        <v>109</v>
      </c>
      <c r="O1978" t="s">
        <v>24</v>
      </c>
      <c r="Q1978">
        <v>140</v>
      </c>
      <c r="R1978" t="str">
        <f>"DROGARIA MORENO LTDA (10171)"</f>
        <v>DROGARIA MORENO LTDA (10171)</v>
      </c>
      <c r="S1978" t="s">
        <v>77</v>
      </c>
      <c r="T1978">
        <v>18215</v>
      </c>
      <c r="U1978">
        <v>21472</v>
      </c>
      <c r="V1978" t="s">
        <v>77</v>
      </c>
    </row>
    <row r="1979" spans="1:22">
      <c r="A1979" t="str">
        <f t="shared" si="319"/>
        <v>11/09/2025</v>
      </c>
      <c r="B1979" t="str">
        <f t="shared" si="320"/>
        <v>SAÍDA</v>
      </c>
      <c r="C1979" t="str">
        <f t="shared" si="321"/>
        <v>PIX</v>
      </c>
      <c r="D1979" t="str">
        <f>"21474"</f>
        <v>21474</v>
      </c>
      <c r="E1979" t="str">
        <f t="shared" si="322"/>
        <v>1</v>
      </c>
      <c r="F1979" t="str">
        <f t="shared" si="324"/>
        <v>COM</v>
      </c>
      <c r="G1979" t="str">
        <f>"PAULO CESAR DE FARIA (865)"</f>
        <v>PAULO CESAR DE FARIA (865)</v>
      </c>
      <c r="H1979" t="str">
        <f>"Serv.Prest. 01/09/2025 a 07/09/2025 - PIX: CELULAR - CHAVE: (11) 99992-0816"</f>
        <v>Serv.Prest. 01/09/2025 a 07/09/2025 - PIX: CELULAR - CHAVE: (11) 99992-0816</v>
      </c>
      <c r="I1979" t="str">
        <f t="shared" si="323"/>
        <v>11/09/2025</v>
      </c>
      <c r="J1979" t="str">
        <f t="shared" si="325"/>
        <v>08/09/2025</v>
      </c>
      <c r="K1979" t="str">
        <f>("11/09/2025")</f>
        <v>11/09/2025</v>
      </c>
      <c r="L1979">
        <v>911</v>
      </c>
      <c r="M1979">
        <v>911</v>
      </c>
      <c r="N1979">
        <v>109</v>
      </c>
      <c r="O1979" t="str">
        <f>"PAGAMENTO DE ENTREGADORES"</f>
        <v>PAGAMENTO DE ENTREGADORES</v>
      </c>
      <c r="P1979">
        <v>911</v>
      </c>
      <c r="S1979" t="str">
        <f>"BANCO C6 (149)"</f>
        <v>BANCO C6 (149)</v>
      </c>
      <c r="T1979">
        <v>18216</v>
      </c>
      <c r="U1979">
        <v>21474</v>
      </c>
      <c r="V1979" t="s">
        <v>77</v>
      </c>
    </row>
    <row r="1980" spans="1:22">
      <c r="A1980" t="str">
        <f t="shared" si="319"/>
        <v>11/09/2025</v>
      </c>
      <c r="B1980" t="str">
        <f t="shared" si="320"/>
        <v>SAÍDA</v>
      </c>
      <c r="C1980" t="str">
        <f t="shared" si="321"/>
        <v>PIX</v>
      </c>
      <c r="D1980" t="str">
        <f>"21474"</f>
        <v>21474</v>
      </c>
      <c r="E1980" t="str">
        <f t="shared" si="322"/>
        <v>1</v>
      </c>
      <c r="F1980" t="str">
        <f t="shared" si="324"/>
        <v>COM</v>
      </c>
      <c r="G1980" t="str">
        <f>"PAULO CESAR DE FARIA (865)"</f>
        <v>PAULO CESAR DE FARIA (865)</v>
      </c>
      <c r="H1980" t="s">
        <v>423</v>
      </c>
      <c r="I1980" t="str">
        <f t="shared" si="323"/>
        <v>11/09/2025</v>
      </c>
      <c r="J1980" t="str">
        <f t="shared" si="325"/>
        <v>08/09/2025</v>
      </c>
      <c r="K1980">
        <v>45911</v>
      </c>
      <c r="N1980">
        <v>109</v>
      </c>
      <c r="O1980" t="s">
        <v>24</v>
      </c>
      <c r="Q1980">
        <v>911</v>
      </c>
      <c r="R1980" t="str">
        <f>"DROGARIA MORENO LTDA (10171)"</f>
        <v>DROGARIA MORENO LTDA (10171)</v>
      </c>
      <c r="S1980" t="s">
        <v>77</v>
      </c>
      <c r="T1980">
        <v>18216</v>
      </c>
      <c r="U1980">
        <v>21474</v>
      </c>
      <c r="V1980" t="s">
        <v>77</v>
      </c>
    </row>
    <row r="1981" spans="1:22">
      <c r="A1981" t="str">
        <f t="shared" si="319"/>
        <v>11/09/2025</v>
      </c>
      <c r="B1981" t="str">
        <f t="shared" si="320"/>
        <v>SAÍDA</v>
      </c>
      <c r="C1981" t="str">
        <f t="shared" si="321"/>
        <v>PIX</v>
      </c>
      <c r="D1981" t="str">
        <f>"21479"</f>
        <v>21479</v>
      </c>
      <c r="E1981" t="str">
        <f t="shared" si="322"/>
        <v>1</v>
      </c>
      <c r="F1981" t="str">
        <f t="shared" si="324"/>
        <v>COM</v>
      </c>
      <c r="G1981" t="str">
        <f>"CLAUDIO DOS SANTOS (507)"</f>
        <v>CLAUDIO DOS SANTOS (507)</v>
      </c>
      <c r="H1981" t="str">
        <f>"Serv.Prest. 01/09/2025 a 07/09/2025 - PIX: E-MAIL - CHAVE: claudioverdinho2009@hotmail.com"</f>
        <v>Serv.Prest. 01/09/2025 a 07/09/2025 - PIX: E-MAIL - CHAVE: claudioverdinho2009@hotmail.com</v>
      </c>
      <c r="I1981" t="str">
        <f t="shared" si="323"/>
        <v>11/09/2025</v>
      </c>
      <c r="J1981" t="str">
        <f t="shared" si="325"/>
        <v>08/09/2025</v>
      </c>
      <c r="K1981" t="str">
        <f>("11/09/2025")</f>
        <v>11/09/2025</v>
      </c>
      <c r="L1981">
        <v>1372</v>
      </c>
      <c r="M1981">
        <v>1372</v>
      </c>
      <c r="N1981">
        <v>109</v>
      </c>
      <c r="O1981" t="str">
        <f>"PAGAMENTO DE ENTREGADORES"</f>
        <v>PAGAMENTO DE ENTREGADORES</v>
      </c>
      <c r="P1981">
        <v>1372</v>
      </c>
      <c r="S1981" t="str">
        <f>"BANCO C6 (149)"</f>
        <v>BANCO C6 (149)</v>
      </c>
      <c r="T1981">
        <v>18217</v>
      </c>
      <c r="U1981">
        <v>21479</v>
      </c>
      <c r="V1981" t="s">
        <v>77</v>
      </c>
    </row>
    <row r="1982" spans="1:22">
      <c r="A1982" t="str">
        <f t="shared" si="319"/>
        <v>11/09/2025</v>
      </c>
      <c r="B1982" t="str">
        <f t="shared" si="320"/>
        <v>SAÍDA</v>
      </c>
      <c r="C1982" t="str">
        <f t="shared" si="321"/>
        <v>PIX</v>
      </c>
      <c r="D1982" t="str">
        <f>"21479"</f>
        <v>21479</v>
      </c>
      <c r="E1982" t="str">
        <f t="shared" si="322"/>
        <v>1</v>
      </c>
      <c r="F1982" t="str">
        <f t="shared" si="324"/>
        <v>COM</v>
      </c>
      <c r="G1982" t="str">
        <f>"CLAUDIO DOS SANTOS (507)"</f>
        <v>CLAUDIO DOS SANTOS (507)</v>
      </c>
      <c r="H1982" t="s">
        <v>340</v>
      </c>
      <c r="I1982" t="str">
        <f t="shared" si="323"/>
        <v>11/09/2025</v>
      </c>
      <c r="J1982" t="str">
        <f t="shared" si="325"/>
        <v>08/09/2025</v>
      </c>
      <c r="K1982">
        <v>45911</v>
      </c>
      <c r="N1982">
        <v>109</v>
      </c>
      <c r="O1982" t="s">
        <v>24</v>
      </c>
      <c r="Q1982">
        <v>1372</v>
      </c>
      <c r="R1982" t="str">
        <f>"JAL FARMACIA E DROGARIA LJ 1 (10137)"</f>
        <v>JAL FARMACIA E DROGARIA LJ 1 (10137)</v>
      </c>
      <c r="S1982" t="s">
        <v>77</v>
      </c>
      <c r="T1982">
        <v>18217</v>
      </c>
      <c r="U1982">
        <v>21479</v>
      </c>
      <c r="V1982" t="s">
        <v>77</v>
      </c>
    </row>
    <row r="1983" spans="1:22">
      <c r="A1983" t="str">
        <f t="shared" si="319"/>
        <v>11/09/2025</v>
      </c>
      <c r="B1983" t="str">
        <f t="shared" si="320"/>
        <v>SAÍDA</v>
      </c>
      <c r="C1983" t="str">
        <f t="shared" si="321"/>
        <v>PIX</v>
      </c>
      <c r="D1983" t="str">
        <f>"21480"</f>
        <v>21480</v>
      </c>
      <c r="E1983" t="str">
        <f t="shared" si="322"/>
        <v>1</v>
      </c>
      <c r="F1983" t="str">
        <f t="shared" si="324"/>
        <v>COM</v>
      </c>
      <c r="G1983" t="str">
        <f>"HECTOR LUIS YANEZ QUEZADA (718)"</f>
        <v>HECTOR LUIS YANEZ QUEZADA (718)</v>
      </c>
      <c r="H1983" t="str">
        <f>"Serv.Prest. 01/09/2025 a 07/09/2025 - PIX: CELULAR - CHAVE: (41) 98421-2278"</f>
        <v>Serv.Prest. 01/09/2025 a 07/09/2025 - PIX: CELULAR - CHAVE: (41) 98421-2278</v>
      </c>
      <c r="I1983" t="str">
        <f t="shared" si="323"/>
        <v>11/09/2025</v>
      </c>
      <c r="J1983" t="str">
        <f t="shared" si="325"/>
        <v>08/09/2025</v>
      </c>
      <c r="K1983" t="str">
        <f>("11/09/2025")</f>
        <v>11/09/2025</v>
      </c>
      <c r="L1983">
        <v>260</v>
      </c>
      <c r="M1983">
        <v>260</v>
      </c>
      <c r="N1983">
        <v>109</v>
      </c>
      <c r="O1983" t="str">
        <f>"PAGAMENTO DE ENTREGADORES"</f>
        <v>PAGAMENTO DE ENTREGADORES</v>
      </c>
      <c r="P1983">
        <v>260</v>
      </c>
      <c r="S1983" t="str">
        <f>"BANCO C6 (149)"</f>
        <v>BANCO C6 (149)</v>
      </c>
      <c r="T1983">
        <v>18218</v>
      </c>
      <c r="U1983">
        <v>21480</v>
      </c>
      <c r="V1983" t="s">
        <v>77</v>
      </c>
    </row>
    <row r="1984" spans="1:22">
      <c r="A1984" t="str">
        <f t="shared" si="319"/>
        <v>11/09/2025</v>
      </c>
      <c r="B1984" t="str">
        <f t="shared" si="320"/>
        <v>SAÍDA</v>
      </c>
      <c r="C1984" t="str">
        <f t="shared" si="321"/>
        <v>PIX</v>
      </c>
      <c r="D1984" t="str">
        <f>"21480"</f>
        <v>21480</v>
      </c>
      <c r="E1984" t="str">
        <f t="shared" si="322"/>
        <v>1</v>
      </c>
      <c r="F1984" t="str">
        <f t="shared" si="324"/>
        <v>COM</v>
      </c>
      <c r="G1984" t="str">
        <f>"HECTOR LUIS YANEZ QUEZADA (718)"</f>
        <v>HECTOR LUIS YANEZ QUEZADA (718)</v>
      </c>
      <c r="H1984" t="s">
        <v>377</v>
      </c>
      <c r="I1984" t="str">
        <f t="shared" si="323"/>
        <v>11/09/2025</v>
      </c>
      <c r="J1984" t="str">
        <f t="shared" si="325"/>
        <v>08/09/2025</v>
      </c>
      <c r="K1984">
        <v>45911</v>
      </c>
      <c r="N1984">
        <v>109</v>
      </c>
      <c r="O1984" t="s">
        <v>24</v>
      </c>
      <c r="Q1984">
        <v>260</v>
      </c>
      <c r="R1984" t="str">
        <f>"JAL FARMACIA E DROGARIA LJ 1 (10137)"</f>
        <v>JAL FARMACIA E DROGARIA LJ 1 (10137)</v>
      </c>
      <c r="S1984" t="s">
        <v>77</v>
      </c>
      <c r="T1984">
        <v>18218</v>
      </c>
      <c r="U1984">
        <v>21480</v>
      </c>
      <c r="V1984" t="s">
        <v>77</v>
      </c>
    </row>
    <row r="1985" spans="1:22">
      <c r="A1985" t="str">
        <f t="shared" si="319"/>
        <v>11/09/2025</v>
      </c>
      <c r="B1985" t="str">
        <f t="shared" si="320"/>
        <v>SAÍDA</v>
      </c>
      <c r="C1985" t="str">
        <f t="shared" si="321"/>
        <v>PIX</v>
      </c>
      <c r="D1985" t="str">
        <f>"21481"</f>
        <v>21481</v>
      </c>
      <c r="E1985" t="str">
        <f t="shared" si="322"/>
        <v>1</v>
      </c>
      <c r="F1985" t="str">
        <f t="shared" si="324"/>
        <v>COM</v>
      </c>
      <c r="G1985" t="str">
        <f>"JESSICA BRAHOLKA (837)"</f>
        <v>JESSICA BRAHOLKA (837)</v>
      </c>
      <c r="H1985" t="str">
        <f>"Serv.Prest. 01/09/2025 a 07/09/2025 - PIX: CPF - CHAVE: 124.575.099-20"</f>
        <v>Serv.Prest. 01/09/2025 a 07/09/2025 - PIX: CPF - CHAVE: 124.575.099-20</v>
      </c>
      <c r="I1985" t="str">
        <f t="shared" si="323"/>
        <v>11/09/2025</v>
      </c>
      <c r="J1985" t="str">
        <f t="shared" si="325"/>
        <v>08/09/2025</v>
      </c>
      <c r="K1985" t="str">
        <f>("11/09/2025")</f>
        <v>11/09/2025</v>
      </c>
      <c r="L1985">
        <v>654</v>
      </c>
      <c r="M1985">
        <v>654</v>
      </c>
      <c r="N1985">
        <v>109</v>
      </c>
      <c r="O1985" t="str">
        <f>"PAGAMENTO DE ENTREGADORES"</f>
        <v>PAGAMENTO DE ENTREGADORES</v>
      </c>
      <c r="P1985">
        <v>654</v>
      </c>
      <c r="S1985" t="str">
        <f>"BANCO C6 (149)"</f>
        <v>BANCO C6 (149)</v>
      </c>
      <c r="T1985">
        <v>18219</v>
      </c>
      <c r="U1985">
        <v>21481</v>
      </c>
      <c r="V1985" t="s">
        <v>77</v>
      </c>
    </row>
    <row r="1986" spans="1:22">
      <c r="A1986" t="str">
        <f t="shared" si="319"/>
        <v>11/09/2025</v>
      </c>
      <c r="B1986" t="str">
        <f t="shared" si="320"/>
        <v>SAÍDA</v>
      </c>
      <c r="C1986" t="str">
        <f t="shared" si="321"/>
        <v>PIX</v>
      </c>
      <c r="D1986" t="str">
        <f>"21481"</f>
        <v>21481</v>
      </c>
      <c r="E1986" t="str">
        <f t="shared" si="322"/>
        <v>1</v>
      </c>
      <c r="F1986" t="str">
        <f t="shared" si="324"/>
        <v>COM</v>
      </c>
      <c r="G1986" t="str">
        <f>"JESSICA BRAHOLKA (837)"</f>
        <v>JESSICA BRAHOLKA (837)</v>
      </c>
      <c r="H1986" t="s">
        <v>386</v>
      </c>
      <c r="I1986" t="str">
        <f t="shared" si="323"/>
        <v>11/09/2025</v>
      </c>
      <c r="J1986" t="str">
        <f t="shared" si="325"/>
        <v>08/09/2025</v>
      </c>
      <c r="K1986">
        <v>45911</v>
      </c>
      <c r="N1986">
        <v>109</v>
      </c>
      <c r="O1986" t="s">
        <v>24</v>
      </c>
      <c r="Q1986">
        <v>654</v>
      </c>
      <c r="R1986" t="str">
        <f>"JAL FARMACIA E DROGARIA LJ 1 (10137)"</f>
        <v>JAL FARMACIA E DROGARIA LJ 1 (10137)</v>
      </c>
      <c r="S1986" t="s">
        <v>77</v>
      </c>
      <c r="T1986">
        <v>18219</v>
      </c>
      <c r="U1986">
        <v>21481</v>
      </c>
      <c r="V1986" t="s">
        <v>77</v>
      </c>
    </row>
    <row r="1987" spans="1:22">
      <c r="A1987" t="str">
        <f t="shared" si="319"/>
        <v>11/09/2025</v>
      </c>
      <c r="B1987" t="str">
        <f t="shared" si="320"/>
        <v>SAÍDA</v>
      </c>
      <c r="C1987" t="str">
        <f t="shared" si="321"/>
        <v>PIX</v>
      </c>
      <c r="D1987" t="str">
        <f>"21483"</f>
        <v>21483</v>
      </c>
      <c r="E1987" t="str">
        <f t="shared" si="322"/>
        <v>1</v>
      </c>
      <c r="F1987" t="str">
        <f t="shared" si="324"/>
        <v>COM</v>
      </c>
      <c r="G1987" t="str">
        <f>"CLAUDIO DOS SANTOS (507)"</f>
        <v>CLAUDIO DOS SANTOS (507)</v>
      </c>
      <c r="H1987" t="str">
        <f>"Serv.Prest. 01/09/2025 a 07/09/2025 - PIX: E-MAIL - CHAVE: claudioverdinho2009@hotmail.com"</f>
        <v>Serv.Prest. 01/09/2025 a 07/09/2025 - PIX: E-MAIL - CHAVE: claudioverdinho2009@hotmail.com</v>
      </c>
      <c r="I1987" t="str">
        <f t="shared" si="323"/>
        <v>11/09/2025</v>
      </c>
      <c r="J1987" t="str">
        <f t="shared" si="325"/>
        <v>08/09/2025</v>
      </c>
      <c r="K1987" t="str">
        <f>("11/09/2025")</f>
        <v>11/09/2025</v>
      </c>
      <c r="L1987">
        <v>108</v>
      </c>
      <c r="M1987">
        <v>108</v>
      </c>
      <c r="N1987">
        <v>109</v>
      </c>
      <c r="O1987" t="str">
        <f>"PAGAMENTO DE ENTREGADORES"</f>
        <v>PAGAMENTO DE ENTREGADORES</v>
      </c>
      <c r="P1987">
        <v>108</v>
      </c>
      <c r="S1987" t="str">
        <f>"BANCO C6 (149)"</f>
        <v>BANCO C6 (149)</v>
      </c>
      <c r="T1987">
        <v>18220</v>
      </c>
      <c r="U1987">
        <v>21483</v>
      </c>
      <c r="V1987" t="s">
        <v>77</v>
      </c>
    </row>
    <row r="1988" spans="1:22">
      <c r="A1988" t="str">
        <f t="shared" si="319"/>
        <v>11/09/2025</v>
      </c>
      <c r="B1988" t="str">
        <f t="shared" si="320"/>
        <v>SAÍDA</v>
      </c>
      <c r="C1988" t="str">
        <f t="shared" si="321"/>
        <v>PIX</v>
      </c>
      <c r="D1988" t="str">
        <f>"21483"</f>
        <v>21483</v>
      </c>
      <c r="E1988" t="str">
        <f t="shared" si="322"/>
        <v>1</v>
      </c>
      <c r="F1988" t="str">
        <f t="shared" si="324"/>
        <v>COM</v>
      </c>
      <c r="G1988" t="str">
        <f>"CLAUDIO DOS SANTOS (507)"</f>
        <v>CLAUDIO DOS SANTOS (507)</v>
      </c>
      <c r="H1988" t="s">
        <v>340</v>
      </c>
      <c r="I1988" t="str">
        <f t="shared" si="323"/>
        <v>11/09/2025</v>
      </c>
      <c r="J1988" t="str">
        <f t="shared" si="325"/>
        <v>08/09/2025</v>
      </c>
      <c r="K1988">
        <v>45911</v>
      </c>
      <c r="N1988">
        <v>109</v>
      </c>
      <c r="O1988" t="s">
        <v>24</v>
      </c>
      <c r="Q1988">
        <v>108</v>
      </c>
      <c r="R1988" t="str">
        <f>"JAL FARMACIA E DROGARIA LJ 2 (10138)"</f>
        <v>JAL FARMACIA E DROGARIA LJ 2 (10138)</v>
      </c>
      <c r="S1988" t="s">
        <v>77</v>
      </c>
      <c r="T1988">
        <v>18220</v>
      </c>
      <c r="U1988">
        <v>21483</v>
      </c>
      <c r="V1988" t="s">
        <v>77</v>
      </c>
    </row>
    <row r="1989" spans="1:22">
      <c r="A1989" t="str">
        <f t="shared" si="319"/>
        <v>11/09/2025</v>
      </c>
      <c r="B1989" t="str">
        <f t="shared" si="320"/>
        <v>SAÍDA</v>
      </c>
      <c r="C1989" t="str">
        <f t="shared" si="321"/>
        <v>PIX</v>
      </c>
      <c r="D1989" t="str">
        <f>"21484"</f>
        <v>21484</v>
      </c>
      <c r="E1989" t="str">
        <f t="shared" si="322"/>
        <v>1</v>
      </c>
      <c r="F1989" t="str">
        <f t="shared" si="324"/>
        <v>COM</v>
      </c>
      <c r="G1989" t="str">
        <f>"HECTOR LUIS YANEZ QUEZADA (718)"</f>
        <v>HECTOR LUIS YANEZ QUEZADA (718)</v>
      </c>
      <c r="H1989" t="str">
        <f>"Serv.Prest. 01/09/2025 a 07/09/2025 - PIX: CELULAR - CHAVE: (41) 98421-2278"</f>
        <v>Serv.Prest. 01/09/2025 a 07/09/2025 - PIX: CELULAR - CHAVE: (41) 98421-2278</v>
      </c>
      <c r="I1989" t="str">
        <f t="shared" si="323"/>
        <v>11/09/2025</v>
      </c>
      <c r="J1989" t="str">
        <f t="shared" si="325"/>
        <v>08/09/2025</v>
      </c>
      <c r="K1989" t="str">
        <f>("11/09/2025")</f>
        <v>11/09/2025</v>
      </c>
      <c r="L1989">
        <v>520</v>
      </c>
      <c r="M1989">
        <v>520</v>
      </c>
      <c r="N1989">
        <v>109</v>
      </c>
      <c r="O1989" t="str">
        <f>"PAGAMENTO DE ENTREGADORES"</f>
        <v>PAGAMENTO DE ENTREGADORES</v>
      </c>
      <c r="P1989">
        <v>520</v>
      </c>
      <c r="S1989" t="str">
        <f>"BANCO C6 (149)"</f>
        <v>BANCO C6 (149)</v>
      </c>
      <c r="T1989">
        <v>18221</v>
      </c>
      <c r="U1989">
        <v>21484</v>
      </c>
      <c r="V1989" t="s">
        <v>77</v>
      </c>
    </row>
    <row r="1990" spans="1:22">
      <c r="A1990" t="str">
        <f t="shared" si="319"/>
        <v>11/09/2025</v>
      </c>
      <c r="B1990" t="str">
        <f t="shared" si="320"/>
        <v>SAÍDA</v>
      </c>
      <c r="C1990" t="str">
        <f t="shared" si="321"/>
        <v>PIX</v>
      </c>
      <c r="D1990" t="str">
        <f>"21484"</f>
        <v>21484</v>
      </c>
      <c r="E1990" t="str">
        <f t="shared" si="322"/>
        <v>1</v>
      </c>
      <c r="F1990" t="str">
        <f t="shared" si="324"/>
        <v>COM</v>
      </c>
      <c r="G1990" t="str">
        <f>"HECTOR LUIS YANEZ QUEZADA (718)"</f>
        <v>HECTOR LUIS YANEZ QUEZADA (718)</v>
      </c>
      <c r="H1990" t="s">
        <v>377</v>
      </c>
      <c r="I1990" t="str">
        <f t="shared" si="323"/>
        <v>11/09/2025</v>
      </c>
      <c r="J1990" t="str">
        <f t="shared" ref="J1990:J2012" si="326">("08/09/2025")</f>
        <v>08/09/2025</v>
      </c>
      <c r="K1990">
        <v>45911</v>
      </c>
      <c r="N1990">
        <v>109</v>
      </c>
      <c r="O1990" t="s">
        <v>24</v>
      </c>
      <c r="Q1990">
        <v>520</v>
      </c>
      <c r="R1990" t="str">
        <f>"JAL FARMACIA E DROGARIA LJ 2 (10138)"</f>
        <v>JAL FARMACIA E DROGARIA LJ 2 (10138)</v>
      </c>
      <c r="S1990" t="s">
        <v>77</v>
      </c>
      <c r="T1990">
        <v>18221</v>
      </c>
      <c r="U1990">
        <v>21484</v>
      </c>
      <c r="V1990" t="s">
        <v>77</v>
      </c>
    </row>
    <row r="1991" spans="1:22">
      <c r="A1991" t="str">
        <f t="shared" si="319"/>
        <v>11/09/2025</v>
      </c>
      <c r="B1991" t="str">
        <f t="shared" si="320"/>
        <v>SAÍDA</v>
      </c>
      <c r="C1991" t="str">
        <f t="shared" si="321"/>
        <v>PIX</v>
      </c>
      <c r="D1991" t="str">
        <f>"21485"</f>
        <v>21485</v>
      </c>
      <c r="E1991" t="str">
        <f t="shared" si="322"/>
        <v>1</v>
      </c>
      <c r="F1991" t="str">
        <f t="shared" si="324"/>
        <v>COM</v>
      </c>
      <c r="G1991" t="str">
        <f>"JESSICA BRAHOLKA (837)"</f>
        <v>JESSICA BRAHOLKA (837)</v>
      </c>
      <c r="H1991" t="str">
        <f>"Serv.Prest. 01/09/2025 a 07/09/2025 - PIX: CPF - CHAVE: 124.575.099-20"</f>
        <v>Serv.Prest. 01/09/2025 a 07/09/2025 - PIX: CPF - CHAVE: 124.575.099-20</v>
      </c>
      <c r="I1991" t="str">
        <f t="shared" si="323"/>
        <v>11/09/2025</v>
      </c>
      <c r="J1991" t="str">
        <f t="shared" si="326"/>
        <v>08/09/2025</v>
      </c>
      <c r="K1991" t="str">
        <f>("11/09/2025")</f>
        <v>11/09/2025</v>
      </c>
      <c r="L1991">
        <v>700</v>
      </c>
      <c r="M1991">
        <v>700</v>
      </c>
      <c r="N1991">
        <v>109</v>
      </c>
      <c r="O1991" t="str">
        <f>"PAGAMENTO DE ENTREGADORES"</f>
        <v>PAGAMENTO DE ENTREGADORES</v>
      </c>
      <c r="P1991">
        <v>700</v>
      </c>
      <c r="S1991" t="str">
        <f>"BANCO C6 (149)"</f>
        <v>BANCO C6 (149)</v>
      </c>
      <c r="T1991">
        <v>18222</v>
      </c>
      <c r="U1991">
        <v>21485</v>
      </c>
      <c r="V1991" t="s">
        <v>77</v>
      </c>
    </row>
    <row r="1992" spans="1:22">
      <c r="A1992" t="str">
        <f t="shared" si="319"/>
        <v>11/09/2025</v>
      </c>
      <c r="B1992" t="str">
        <f t="shared" si="320"/>
        <v>SAÍDA</v>
      </c>
      <c r="C1992" t="str">
        <f t="shared" si="321"/>
        <v>PIX</v>
      </c>
      <c r="D1992" t="str">
        <f>"21485"</f>
        <v>21485</v>
      </c>
      <c r="E1992" t="str">
        <f t="shared" si="322"/>
        <v>1</v>
      </c>
      <c r="F1992" t="str">
        <f t="shared" si="324"/>
        <v>COM</v>
      </c>
      <c r="G1992" t="str">
        <f>"JESSICA BRAHOLKA (837)"</f>
        <v>JESSICA BRAHOLKA (837)</v>
      </c>
      <c r="H1992" t="s">
        <v>386</v>
      </c>
      <c r="I1992" t="str">
        <f t="shared" si="323"/>
        <v>11/09/2025</v>
      </c>
      <c r="J1992" t="str">
        <f t="shared" si="326"/>
        <v>08/09/2025</v>
      </c>
      <c r="K1992">
        <v>45911</v>
      </c>
      <c r="N1992">
        <v>109</v>
      </c>
      <c r="O1992" t="s">
        <v>24</v>
      </c>
      <c r="Q1992">
        <v>700</v>
      </c>
      <c r="R1992" t="str">
        <f>"JAL FARMACIA E DROGARIA LJ 2 (10138)"</f>
        <v>JAL FARMACIA E DROGARIA LJ 2 (10138)</v>
      </c>
      <c r="S1992" t="s">
        <v>77</v>
      </c>
      <c r="T1992">
        <v>18222</v>
      </c>
      <c r="U1992">
        <v>21485</v>
      </c>
      <c r="V1992" t="s">
        <v>77</v>
      </c>
    </row>
    <row r="1993" spans="1:22">
      <c r="A1993" t="str">
        <f t="shared" si="319"/>
        <v>11/09/2025</v>
      </c>
      <c r="B1993" t="str">
        <f t="shared" si="320"/>
        <v>SAÍDA</v>
      </c>
      <c r="C1993" t="str">
        <f t="shared" si="321"/>
        <v>PIX</v>
      </c>
      <c r="D1993" t="str">
        <f>"21487"</f>
        <v>21487</v>
      </c>
      <c r="E1993" t="str">
        <f t="shared" si="322"/>
        <v>1</v>
      </c>
      <c r="F1993" t="str">
        <f t="shared" si="324"/>
        <v>COM</v>
      </c>
      <c r="G1993" t="str">
        <f>"JOAO MARCOS FERREIRA (925)"</f>
        <v>JOAO MARCOS FERREIRA (925)</v>
      </c>
      <c r="H1993" t="str">
        <f>"Serv.Prest. 01/09/2025 a 07/09/2025 - PIX: CELULAR - CHAVE: (28) 99908-0831"</f>
        <v>Serv.Prest. 01/09/2025 a 07/09/2025 - PIX: CELULAR - CHAVE: (28) 99908-0831</v>
      </c>
      <c r="I1993" t="str">
        <f t="shared" si="323"/>
        <v>11/09/2025</v>
      </c>
      <c r="J1993" t="str">
        <f t="shared" si="326"/>
        <v>08/09/2025</v>
      </c>
      <c r="K1993" t="str">
        <f>("11/09/2025")</f>
        <v>11/09/2025</v>
      </c>
      <c r="L1993">
        <v>700</v>
      </c>
      <c r="M1993">
        <v>700</v>
      </c>
      <c r="N1993">
        <v>109</v>
      </c>
      <c r="O1993" t="str">
        <f>"PAGAMENTO DE ENTREGADORES"</f>
        <v>PAGAMENTO DE ENTREGADORES</v>
      </c>
      <c r="P1993">
        <v>700</v>
      </c>
      <c r="S1993" t="str">
        <f>"BANCO C6 (149)"</f>
        <v>BANCO C6 (149)</v>
      </c>
      <c r="T1993">
        <v>18223</v>
      </c>
      <c r="U1993">
        <v>21487</v>
      </c>
      <c r="V1993" t="s">
        <v>77</v>
      </c>
    </row>
    <row r="1994" spans="1:22">
      <c r="A1994" t="str">
        <f t="shared" si="319"/>
        <v>11/09/2025</v>
      </c>
      <c r="B1994" t="str">
        <f t="shared" si="320"/>
        <v>SAÍDA</v>
      </c>
      <c r="C1994" t="str">
        <f t="shared" si="321"/>
        <v>PIX</v>
      </c>
      <c r="D1994" t="str">
        <f>"21487"</f>
        <v>21487</v>
      </c>
      <c r="E1994" t="str">
        <f t="shared" si="322"/>
        <v>1</v>
      </c>
      <c r="F1994" t="str">
        <f t="shared" si="324"/>
        <v>COM</v>
      </c>
      <c r="G1994" t="str">
        <f>"JOAO MARCOS FERREIRA (925)"</f>
        <v>JOAO MARCOS FERREIRA (925)</v>
      </c>
      <c r="H1994" t="s">
        <v>533</v>
      </c>
      <c r="I1994" t="str">
        <f t="shared" si="323"/>
        <v>11/09/2025</v>
      </c>
      <c r="J1994" t="str">
        <f t="shared" si="326"/>
        <v>08/09/2025</v>
      </c>
      <c r="K1994">
        <v>45911</v>
      </c>
      <c r="N1994">
        <v>109</v>
      </c>
      <c r="O1994" t="s">
        <v>24</v>
      </c>
      <c r="Q1994">
        <v>700</v>
      </c>
      <c r="R1994" t="str">
        <f>"LBL FARMACIA LTDA (10189)"</f>
        <v>LBL FARMACIA LTDA (10189)</v>
      </c>
      <c r="S1994" t="s">
        <v>77</v>
      </c>
      <c r="T1994">
        <v>18223</v>
      </c>
      <c r="U1994">
        <v>21487</v>
      </c>
      <c r="V1994" t="s">
        <v>77</v>
      </c>
    </row>
    <row r="1995" spans="1:22">
      <c r="A1995" t="str">
        <f t="shared" si="319"/>
        <v>11/09/2025</v>
      </c>
      <c r="B1995" t="str">
        <f t="shared" si="320"/>
        <v>SAÍDA</v>
      </c>
      <c r="C1995" t="str">
        <f t="shared" si="321"/>
        <v>PIX</v>
      </c>
      <c r="D1995" t="str">
        <f>"21488"</f>
        <v>21488</v>
      </c>
      <c r="E1995" t="str">
        <f t="shared" si="322"/>
        <v>1</v>
      </c>
      <c r="F1995" t="str">
        <f t="shared" si="324"/>
        <v>COM</v>
      </c>
      <c r="G1995" t="str">
        <f>"YAN FILIPUTI CORA (926)"</f>
        <v>YAN FILIPUTI CORA (926)</v>
      </c>
      <c r="H1995" t="str">
        <f>"Serv.Prest. 01/09/2025 a 07/09/2025 - PIX: CELULAR - CHAVE: (28) 98816-4170"</f>
        <v>Serv.Prest. 01/09/2025 a 07/09/2025 - PIX: CELULAR - CHAVE: (28) 98816-4170</v>
      </c>
      <c r="I1995" t="str">
        <f t="shared" si="323"/>
        <v>11/09/2025</v>
      </c>
      <c r="J1995" t="str">
        <f t="shared" si="326"/>
        <v>08/09/2025</v>
      </c>
      <c r="K1995" t="str">
        <f>("11/09/2025")</f>
        <v>11/09/2025</v>
      </c>
      <c r="L1995">
        <v>600</v>
      </c>
      <c r="M1995">
        <v>600</v>
      </c>
      <c r="N1995">
        <v>109</v>
      </c>
      <c r="O1995" t="str">
        <f>"PAGAMENTO DE ENTREGADORES"</f>
        <v>PAGAMENTO DE ENTREGADORES</v>
      </c>
      <c r="P1995">
        <v>600</v>
      </c>
      <c r="S1995" t="str">
        <f>"BANCO C6 (149)"</f>
        <v>BANCO C6 (149)</v>
      </c>
      <c r="T1995">
        <v>18224</v>
      </c>
      <c r="U1995">
        <v>21488</v>
      </c>
      <c r="V1995" t="s">
        <v>77</v>
      </c>
    </row>
    <row r="1996" spans="1:22">
      <c r="A1996" t="str">
        <f t="shared" ref="A1996:A2059" si="327">("11/09/2025")</f>
        <v>11/09/2025</v>
      </c>
      <c r="B1996" t="str">
        <f t="shared" si="320"/>
        <v>SAÍDA</v>
      </c>
      <c r="C1996" t="str">
        <f t="shared" si="321"/>
        <v>PIX</v>
      </c>
      <c r="D1996" t="str">
        <f>"21488"</f>
        <v>21488</v>
      </c>
      <c r="E1996" t="str">
        <f t="shared" si="322"/>
        <v>1</v>
      </c>
      <c r="F1996" t="str">
        <f t="shared" si="324"/>
        <v>COM</v>
      </c>
      <c r="G1996" t="str">
        <f>"YAN FILIPUTI CORA (926)"</f>
        <v>YAN FILIPUTI CORA (926)</v>
      </c>
      <c r="H1996" t="s">
        <v>534</v>
      </c>
      <c r="I1996" t="str">
        <f t="shared" si="323"/>
        <v>11/09/2025</v>
      </c>
      <c r="J1996" t="str">
        <f t="shared" si="326"/>
        <v>08/09/2025</v>
      </c>
      <c r="K1996">
        <v>45911</v>
      </c>
      <c r="N1996">
        <v>109</v>
      </c>
      <c r="O1996" t="s">
        <v>24</v>
      </c>
      <c r="Q1996">
        <v>600</v>
      </c>
      <c r="R1996" t="str">
        <f>"LBL FARMACIA LTDA (10189)"</f>
        <v>LBL FARMACIA LTDA (10189)</v>
      </c>
      <c r="S1996" t="s">
        <v>77</v>
      </c>
      <c r="T1996">
        <v>18224</v>
      </c>
      <c r="U1996">
        <v>21488</v>
      </c>
      <c r="V1996" t="s">
        <v>77</v>
      </c>
    </row>
    <row r="1997" spans="1:22">
      <c r="A1997" t="str">
        <f t="shared" si="327"/>
        <v>11/09/2025</v>
      </c>
      <c r="B1997" t="str">
        <f t="shared" si="320"/>
        <v>SAÍDA</v>
      </c>
      <c r="C1997" t="str">
        <f t="shared" si="321"/>
        <v>PIX</v>
      </c>
      <c r="D1997" t="str">
        <f>"21519"</f>
        <v>21519</v>
      </c>
      <c r="E1997" t="str">
        <f t="shared" si="322"/>
        <v>1</v>
      </c>
      <c r="F1997" t="str">
        <f t="shared" si="324"/>
        <v>COM</v>
      </c>
      <c r="G1997" t="str">
        <f>"GILDASIO DOMINGOS DOS SANTOS (54)"</f>
        <v>GILDASIO DOMINGOS DOS SANTOS (54)</v>
      </c>
      <c r="H1997" t="str">
        <f>"Serv.Prest. 01/09/2025 a 07/09/2025 - PIX: CELULAR - CHAVE: (33) 98857-0494"</f>
        <v>Serv.Prest. 01/09/2025 a 07/09/2025 - PIX: CELULAR - CHAVE: (33) 98857-0494</v>
      </c>
      <c r="I1997" t="str">
        <f t="shared" si="323"/>
        <v>11/09/2025</v>
      </c>
      <c r="J1997" t="str">
        <f t="shared" si="326"/>
        <v>08/09/2025</v>
      </c>
      <c r="K1997" t="str">
        <f>("11/09/2025")</f>
        <v>11/09/2025</v>
      </c>
      <c r="L1997">
        <v>960</v>
      </c>
      <c r="M1997">
        <v>960</v>
      </c>
      <c r="N1997">
        <v>109</v>
      </c>
      <c r="O1997" t="str">
        <f>"PAGAMENTO DE ENTREGADORES"</f>
        <v>PAGAMENTO DE ENTREGADORES</v>
      </c>
      <c r="P1997">
        <v>960</v>
      </c>
      <c r="S1997" t="str">
        <f>"BANCO C6 (149)"</f>
        <v>BANCO C6 (149)</v>
      </c>
      <c r="T1997">
        <v>18225</v>
      </c>
      <c r="U1997">
        <v>21519</v>
      </c>
      <c r="V1997" t="s">
        <v>77</v>
      </c>
    </row>
    <row r="1998" spans="1:22">
      <c r="A1998" t="str">
        <f t="shared" si="327"/>
        <v>11/09/2025</v>
      </c>
      <c r="B1998" t="str">
        <f t="shared" ref="B1998:B2054" si="328">"SAÍDA"</f>
        <v>SAÍDA</v>
      </c>
      <c r="C1998" t="str">
        <f t="shared" ref="C1998:C2053" si="329">"PIX"</f>
        <v>PIX</v>
      </c>
      <c r="D1998" t="str">
        <f>"21519"</f>
        <v>21519</v>
      </c>
      <c r="E1998" t="str">
        <f t="shared" si="322"/>
        <v>1</v>
      </c>
      <c r="F1998" t="str">
        <f t="shared" si="324"/>
        <v>COM</v>
      </c>
      <c r="G1998" t="str">
        <f>"GILDASIO DOMINGOS DOS SANTOS (54)"</f>
        <v>GILDASIO DOMINGOS DOS SANTOS (54)</v>
      </c>
      <c r="H1998" t="s">
        <v>535</v>
      </c>
      <c r="I1998" t="str">
        <f t="shared" si="323"/>
        <v>11/09/2025</v>
      </c>
      <c r="J1998" t="str">
        <f t="shared" si="326"/>
        <v>08/09/2025</v>
      </c>
      <c r="K1998">
        <v>45911</v>
      </c>
      <c r="N1998">
        <v>109</v>
      </c>
      <c r="O1998" t="s">
        <v>24</v>
      </c>
      <c r="Q1998">
        <v>960</v>
      </c>
      <c r="R1998" t="str">
        <f>"FARMÁCIA INDIANA LJ 07 (10007)"</f>
        <v>FARMÁCIA INDIANA LJ 07 (10007)</v>
      </c>
      <c r="S1998" t="s">
        <v>77</v>
      </c>
      <c r="T1998">
        <v>18225</v>
      </c>
      <c r="U1998">
        <v>21519</v>
      </c>
      <c r="V1998" t="s">
        <v>77</v>
      </c>
    </row>
    <row r="1999" spans="1:22">
      <c r="A1999" t="str">
        <f t="shared" si="327"/>
        <v>11/09/2025</v>
      </c>
      <c r="B1999" t="str">
        <f t="shared" si="328"/>
        <v>SAÍDA</v>
      </c>
      <c r="C1999" t="str">
        <f t="shared" si="329"/>
        <v>PIX</v>
      </c>
      <c r="D1999" t="str">
        <f>"21572"</f>
        <v>21572</v>
      </c>
      <c r="E1999" t="str">
        <f t="shared" si="322"/>
        <v>1</v>
      </c>
      <c r="F1999" t="str">
        <f t="shared" si="324"/>
        <v>COM</v>
      </c>
      <c r="G1999" t="str">
        <f>"SAMUEL JADSON SANTANA RIBEIRO (55)"</f>
        <v>SAMUEL JADSON SANTANA RIBEIRO (55)</v>
      </c>
      <c r="H1999" t="str">
        <f>"Serv.Prest. 01/09/2025 a 07/09/2025 - PIX: CPF - CHAVE: 701.955.866-62"</f>
        <v>Serv.Prest. 01/09/2025 a 07/09/2025 - PIX: CPF - CHAVE: 701.955.866-62</v>
      </c>
      <c r="I1999" t="str">
        <f t="shared" si="323"/>
        <v>11/09/2025</v>
      </c>
      <c r="J1999" t="str">
        <f t="shared" si="326"/>
        <v>08/09/2025</v>
      </c>
      <c r="K1999" t="str">
        <f>("11/09/2025")</f>
        <v>11/09/2025</v>
      </c>
      <c r="L1999">
        <v>684</v>
      </c>
      <c r="M1999">
        <v>684</v>
      </c>
      <c r="N1999">
        <v>109</v>
      </c>
      <c r="O1999" t="str">
        <f>"PAGAMENTO DE ENTREGADORES"</f>
        <v>PAGAMENTO DE ENTREGADORES</v>
      </c>
      <c r="P1999">
        <v>684</v>
      </c>
      <c r="S1999" t="str">
        <f>"BANCO C6 (149)"</f>
        <v>BANCO C6 (149)</v>
      </c>
      <c r="T1999">
        <v>18226</v>
      </c>
      <c r="U1999">
        <v>21572</v>
      </c>
      <c r="V1999" t="s">
        <v>77</v>
      </c>
    </row>
    <row r="2000" spans="1:22">
      <c r="A2000" t="str">
        <f t="shared" si="327"/>
        <v>11/09/2025</v>
      </c>
      <c r="B2000" t="str">
        <f t="shared" si="328"/>
        <v>SAÍDA</v>
      </c>
      <c r="C2000" t="str">
        <f t="shared" si="329"/>
        <v>PIX</v>
      </c>
      <c r="D2000" t="str">
        <f>"21572"</f>
        <v>21572</v>
      </c>
      <c r="E2000" t="str">
        <f t="shared" si="322"/>
        <v>1</v>
      </c>
      <c r="F2000" t="str">
        <f t="shared" si="324"/>
        <v>COM</v>
      </c>
      <c r="G2000" t="str">
        <f>"SAMUEL JADSON SANTANA RIBEIRO (55)"</f>
        <v>SAMUEL JADSON SANTANA RIBEIRO (55)</v>
      </c>
      <c r="H2000" t="s">
        <v>536</v>
      </c>
      <c r="I2000" t="str">
        <f t="shared" si="323"/>
        <v>11/09/2025</v>
      </c>
      <c r="J2000" t="str">
        <f t="shared" si="326"/>
        <v>08/09/2025</v>
      </c>
      <c r="K2000">
        <v>45911</v>
      </c>
      <c r="N2000">
        <v>109</v>
      </c>
      <c r="O2000" t="s">
        <v>24</v>
      </c>
      <c r="Q2000">
        <v>684</v>
      </c>
      <c r="R2000" t="str">
        <f>"FARMÁCIA INDIANA LJ 07 (10007)"</f>
        <v>FARMÁCIA INDIANA LJ 07 (10007)</v>
      </c>
      <c r="S2000" t="s">
        <v>77</v>
      </c>
      <c r="T2000">
        <v>18226</v>
      </c>
      <c r="U2000">
        <v>21572</v>
      </c>
      <c r="V2000" t="s">
        <v>77</v>
      </c>
    </row>
    <row r="2001" spans="1:22">
      <c r="A2001" t="str">
        <f t="shared" si="327"/>
        <v>11/09/2025</v>
      </c>
      <c r="B2001" t="str">
        <f t="shared" si="328"/>
        <v>SAÍDA</v>
      </c>
      <c r="C2001" t="str">
        <f t="shared" si="329"/>
        <v>PIX</v>
      </c>
      <c r="D2001" t="str">
        <f>"21577"</f>
        <v>21577</v>
      </c>
      <c r="E2001" t="str">
        <f t="shared" si="322"/>
        <v>1</v>
      </c>
      <c r="F2001" t="str">
        <f t="shared" si="324"/>
        <v>COM</v>
      </c>
      <c r="G2001" t="str">
        <f>"THALES VIANA DOS SANTOS (63)"</f>
        <v>THALES VIANA DOS SANTOS (63)</v>
      </c>
      <c r="H2001" t="str">
        <f>"Serv.Prest. 01/09/2025 a 07/09/2025 - PIX: CELULAR - CHAVE: (33) 99880-7941"</f>
        <v>Serv.Prest. 01/09/2025 a 07/09/2025 - PIX: CELULAR - CHAVE: (33) 99880-7941</v>
      </c>
      <c r="I2001" t="str">
        <f t="shared" si="323"/>
        <v>11/09/2025</v>
      </c>
      <c r="J2001" t="str">
        <f t="shared" si="326"/>
        <v>08/09/2025</v>
      </c>
      <c r="K2001" t="str">
        <f>("11/09/2025")</f>
        <v>11/09/2025</v>
      </c>
      <c r="L2001">
        <v>734</v>
      </c>
      <c r="M2001">
        <v>734</v>
      </c>
      <c r="N2001">
        <v>109</v>
      </c>
      <c r="O2001" t="str">
        <f>"PAGAMENTO DE ENTREGADORES"</f>
        <v>PAGAMENTO DE ENTREGADORES</v>
      </c>
      <c r="P2001">
        <v>734</v>
      </c>
      <c r="S2001" t="str">
        <f>"BANCO C6 (149)"</f>
        <v>BANCO C6 (149)</v>
      </c>
      <c r="T2001">
        <v>18227</v>
      </c>
      <c r="U2001">
        <v>21577</v>
      </c>
      <c r="V2001" t="s">
        <v>77</v>
      </c>
    </row>
    <row r="2002" spans="1:22">
      <c r="A2002" t="str">
        <f t="shared" si="327"/>
        <v>11/09/2025</v>
      </c>
      <c r="B2002" t="str">
        <f t="shared" si="328"/>
        <v>SAÍDA</v>
      </c>
      <c r="C2002" t="str">
        <f t="shared" si="329"/>
        <v>PIX</v>
      </c>
      <c r="D2002" t="str">
        <f>"21577"</f>
        <v>21577</v>
      </c>
      <c r="E2002" t="str">
        <f t="shared" si="322"/>
        <v>1</v>
      </c>
      <c r="F2002" t="str">
        <f t="shared" si="324"/>
        <v>COM</v>
      </c>
      <c r="G2002" t="str">
        <f>"THALES VIANA DOS SANTOS (63)"</f>
        <v>THALES VIANA DOS SANTOS (63)</v>
      </c>
      <c r="H2002" t="s">
        <v>457</v>
      </c>
      <c r="I2002" t="str">
        <f t="shared" si="323"/>
        <v>11/09/2025</v>
      </c>
      <c r="J2002" t="str">
        <f t="shared" si="326"/>
        <v>08/09/2025</v>
      </c>
      <c r="K2002">
        <v>45911</v>
      </c>
      <c r="N2002">
        <v>109</v>
      </c>
      <c r="O2002" t="s">
        <v>24</v>
      </c>
      <c r="Q2002">
        <v>734</v>
      </c>
      <c r="R2002" t="str">
        <f>"FARMÁCIA INDIANA LJ 07 (10007)"</f>
        <v>FARMÁCIA INDIANA LJ 07 (10007)</v>
      </c>
      <c r="S2002" t="s">
        <v>77</v>
      </c>
      <c r="T2002">
        <v>18227</v>
      </c>
      <c r="U2002">
        <v>21577</v>
      </c>
      <c r="V2002" t="s">
        <v>77</v>
      </c>
    </row>
    <row r="2003" spans="1:22">
      <c r="A2003" t="str">
        <f t="shared" si="327"/>
        <v>11/09/2025</v>
      </c>
      <c r="B2003" t="str">
        <f t="shared" si="328"/>
        <v>SAÍDA</v>
      </c>
      <c r="C2003" t="str">
        <f t="shared" si="329"/>
        <v>PIX</v>
      </c>
      <c r="D2003" t="str">
        <f>"21584"</f>
        <v>21584</v>
      </c>
      <c r="E2003" t="str">
        <f t="shared" si="322"/>
        <v>1</v>
      </c>
      <c r="F2003" t="str">
        <f t="shared" si="324"/>
        <v>COM</v>
      </c>
      <c r="G2003" t="str">
        <f>"WEIGNE SENA CARDOSO (53)"</f>
        <v>WEIGNE SENA CARDOSO (53)</v>
      </c>
      <c r="H2003" t="str">
        <f>"Serv.Prest. 01/09/2025 a 07/09/2025 - PIX: CPF - CHAVE: 097.245.586-81"</f>
        <v>Serv.Prest. 01/09/2025 a 07/09/2025 - PIX: CPF - CHAVE: 097.245.586-81</v>
      </c>
      <c r="I2003" t="str">
        <f t="shared" si="323"/>
        <v>11/09/2025</v>
      </c>
      <c r="J2003" t="str">
        <f t="shared" si="326"/>
        <v>08/09/2025</v>
      </c>
      <c r="K2003" t="str">
        <f>("11/09/2025")</f>
        <v>11/09/2025</v>
      </c>
      <c r="L2003">
        <v>771.66</v>
      </c>
      <c r="M2003">
        <v>771.66</v>
      </c>
      <c r="N2003">
        <v>109</v>
      </c>
      <c r="O2003" t="str">
        <f>"PAGAMENTO DE ENTREGADORES"</f>
        <v>PAGAMENTO DE ENTREGADORES</v>
      </c>
      <c r="P2003">
        <v>771.66</v>
      </c>
      <c r="S2003" t="str">
        <f>"BANCO C6 (149)"</f>
        <v>BANCO C6 (149)</v>
      </c>
      <c r="T2003">
        <v>18228</v>
      </c>
      <c r="U2003">
        <v>21584</v>
      </c>
      <c r="V2003" t="s">
        <v>77</v>
      </c>
    </row>
    <row r="2004" spans="1:22">
      <c r="A2004" t="str">
        <f t="shared" si="327"/>
        <v>11/09/2025</v>
      </c>
      <c r="B2004" t="str">
        <f t="shared" si="328"/>
        <v>SAÍDA</v>
      </c>
      <c r="C2004" t="str">
        <f t="shared" si="329"/>
        <v>PIX</v>
      </c>
      <c r="D2004" t="str">
        <f>"21584"</f>
        <v>21584</v>
      </c>
      <c r="E2004" t="str">
        <f t="shared" ref="E2004:E2040" si="330">"1"</f>
        <v>1</v>
      </c>
      <c r="F2004" t="str">
        <f t="shared" si="324"/>
        <v>COM</v>
      </c>
      <c r="G2004" t="str">
        <f>"WEIGNE SENA CARDOSO (53)"</f>
        <v>WEIGNE SENA CARDOSO (53)</v>
      </c>
      <c r="H2004" t="s">
        <v>456</v>
      </c>
      <c r="I2004" t="str">
        <f t="shared" si="323"/>
        <v>11/09/2025</v>
      </c>
      <c r="J2004" t="str">
        <f t="shared" si="326"/>
        <v>08/09/2025</v>
      </c>
      <c r="K2004">
        <v>45911</v>
      </c>
      <c r="N2004">
        <v>109</v>
      </c>
      <c r="O2004" t="s">
        <v>24</v>
      </c>
      <c r="Q2004">
        <v>771.66</v>
      </c>
      <c r="R2004" t="str">
        <f>"FARMÁCIA INDIANA LJ 07 (10007)"</f>
        <v>FARMÁCIA INDIANA LJ 07 (10007)</v>
      </c>
      <c r="S2004" t="s">
        <v>77</v>
      </c>
      <c r="T2004">
        <v>18228</v>
      </c>
      <c r="U2004">
        <v>21584</v>
      </c>
      <c r="V2004" t="s">
        <v>77</v>
      </c>
    </row>
    <row r="2005" spans="1:22">
      <c r="A2005" t="str">
        <f t="shared" si="327"/>
        <v>11/09/2025</v>
      </c>
      <c r="B2005" t="str">
        <f t="shared" si="328"/>
        <v>SAÍDA</v>
      </c>
      <c r="C2005" t="str">
        <f t="shared" si="329"/>
        <v>PIX</v>
      </c>
      <c r="D2005" t="str">
        <f>"21594"</f>
        <v>21594</v>
      </c>
      <c r="E2005" t="str">
        <f t="shared" si="330"/>
        <v>1</v>
      </c>
      <c r="F2005" t="str">
        <f t="shared" si="324"/>
        <v>COM</v>
      </c>
      <c r="G2005" t="str">
        <f>"DANILO DE JESUS SANTOS (490)"</f>
        <v>DANILO DE JESUS SANTOS (490)</v>
      </c>
      <c r="H2005" t="str">
        <f>"Serv.Prest. 01/09/2025 a 07/09/2025 - PIX: CELULAR - CHAVE: (73) 98191-0061"</f>
        <v>Serv.Prest. 01/09/2025 a 07/09/2025 - PIX: CELULAR - CHAVE: (73) 98191-0061</v>
      </c>
      <c r="I2005" t="str">
        <f t="shared" si="323"/>
        <v>11/09/2025</v>
      </c>
      <c r="J2005" t="str">
        <f t="shared" si="326"/>
        <v>08/09/2025</v>
      </c>
      <c r="K2005" t="str">
        <f>("11/09/2025")</f>
        <v>11/09/2025</v>
      </c>
      <c r="L2005">
        <v>682</v>
      </c>
      <c r="M2005">
        <v>682</v>
      </c>
      <c r="N2005">
        <v>109</v>
      </c>
      <c r="O2005" t="str">
        <f>"PAGAMENTO DE ENTREGADORES"</f>
        <v>PAGAMENTO DE ENTREGADORES</v>
      </c>
      <c r="P2005">
        <v>682</v>
      </c>
      <c r="S2005" t="str">
        <f>"BANCO C6 (149)"</f>
        <v>BANCO C6 (149)</v>
      </c>
      <c r="T2005">
        <v>18229</v>
      </c>
      <c r="U2005">
        <v>21594</v>
      </c>
      <c r="V2005" t="s">
        <v>77</v>
      </c>
    </row>
    <row r="2006" spans="1:22">
      <c r="A2006" t="str">
        <f t="shared" si="327"/>
        <v>11/09/2025</v>
      </c>
      <c r="B2006" t="str">
        <f t="shared" si="328"/>
        <v>SAÍDA</v>
      </c>
      <c r="C2006" t="str">
        <f t="shared" si="329"/>
        <v>PIX</v>
      </c>
      <c r="D2006" t="str">
        <f>"21594"</f>
        <v>21594</v>
      </c>
      <c r="E2006" t="str">
        <f t="shared" si="330"/>
        <v>1</v>
      </c>
      <c r="F2006" t="str">
        <f t="shared" si="324"/>
        <v>COM</v>
      </c>
      <c r="G2006" t="str">
        <f>"DANILO DE JESUS SANTOS (490)"</f>
        <v>DANILO DE JESUS SANTOS (490)</v>
      </c>
      <c r="H2006" t="s">
        <v>320</v>
      </c>
      <c r="I2006" t="str">
        <f t="shared" si="323"/>
        <v>11/09/2025</v>
      </c>
      <c r="J2006" t="str">
        <f t="shared" si="326"/>
        <v>08/09/2025</v>
      </c>
      <c r="K2006">
        <v>45911</v>
      </c>
      <c r="N2006">
        <v>109</v>
      </c>
      <c r="O2006" t="s">
        <v>24</v>
      </c>
      <c r="Q2006">
        <v>682</v>
      </c>
      <c r="R2006" t="str">
        <f>"FARMÁCIA INDIANA LJ 145 (10068)"</f>
        <v>FARMÁCIA INDIANA LJ 145 (10068)</v>
      </c>
      <c r="S2006" t="s">
        <v>77</v>
      </c>
      <c r="T2006">
        <v>18229</v>
      </c>
      <c r="U2006">
        <v>21594</v>
      </c>
      <c r="V2006" t="s">
        <v>77</v>
      </c>
    </row>
    <row r="2007" spans="1:22">
      <c r="A2007" t="str">
        <f t="shared" si="327"/>
        <v>11/09/2025</v>
      </c>
      <c r="B2007" t="str">
        <f t="shared" si="328"/>
        <v>SAÍDA</v>
      </c>
      <c r="C2007" t="str">
        <f t="shared" si="329"/>
        <v>PIX</v>
      </c>
      <c r="D2007" t="str">
        <f>"21600"</f>
        <v>21600</v>
      </c>
      <c r="E2007" t="str">
        <f t="shared" si="330"/>
        <v>1</v>
      </c>
      <c r="F2007" t="str">
        <f t="shared" si="324"/>
        <v>COM</v>
      </c>
      <c r="G2007" t="str">
        <f>"GILSON OLIVEIRA CAMPINHO JUNIOR (132)"</f>
        <v>GILSON OLIVEIRA CAMPINHO JUNIOR (132)</v>
      </c>
      <c r="H2007" t="str">
        <f>"Serv.Prest. 01/09/2025 a 07/09/2025 - PIX: CELULAR - CHAVE: (73) 988381077"</f>
        <v>Serv.Prest. 01/09/2025 a 07/09/2025 - PIX: CELULAR - CHAVE: (73) 988381077</v>
      </c>
      <c r="I2007" t="str">
        <f t="shared" ref="I2007:I2049" si="331">("11/09/2025")</f>
        <v>11/09/2025</v>
      </c>
      <c r="J2007" t="str">
        <f t="shared" si="326"/>
        <v>08/09/2025</v>
      </c>
      <c r="K2007" t="str">
        <f>("11/09/2025")</f>
        <v>11/09/2025</v>
      </c>
      <c r="L2007">
        <v>594</v>
      </c>
      <c r="M2007">
        <v>594</v>
      </c>
      <c r="N2007">
        <v>109</v>
      </c>
      <c r="O2007" t="str">
        <f>"PAGAMENTO DE ENTREGADORES"</f>
        <v>PAGAMENTO DE ENTREGADORES</v>
      </c>
      <c r="P2007">
        <v>594</v>
      </c>
      <c r="S2007" t="str">
        <f>"BANCO C6 (149)"</f>
        <v>BANCO C6 (149)</v>
      </c>
      <c r="T2007">
        <v>18230</v>
      </c>
      <c r="U2007">
        <v>21600</v>
      </c>
      <c r="V2007" t="s">
        <v>77</v>
      </c>
    </row>
    <row r="2008" spans="1:22">
      <c r="A2008" t="str">
        <f t="shared" si="327"/>
        <v>11/09/2025</v>
      </c>
      <c r="B2008" t="str">
        <f t="shared" si="328"/>
        <v>SAÍDA</v>
      </c>
      <c r="C2008" t="str">
        <f t="shared" si="329"/>
        <v>PIX</v>
      </c>
      <c r="D2008" t="str">
        <f>"21600"</f>
        <v>21600</v>
      </c>
      <c r="E2008" t="str">
        <f t="shared" si="330"/>
        <v>1</v>
      </c>
      <c r="F2008" t="str">
        <f t="shared" si="324"/>
        <v>COM</v>
      </c>
      <c r="G2008" t="str">
        <f>"GILSON OLIVEIRA CAMPINHO JUNIOR (132)"</f>
        <v>GILSON OLIVEIRA CAMPINHO JUNIOR (132)</v>
      </c>
      <c r="H2008" t="s">
        <v>537</v>
      </c>
      <c r="I2008" t="str">
        <f t="shared" si="331"/>
        <v>11/09/2025</v>
      </c>
      <c r="J2008" t="str">
        <f t="shared" si="326"/>
        <v>08/09/2025</v>
      </c>
      <c r="K2008">
        <v>45911</v>
      </c>
      <c r="N2008">
        <v>109</v>
      </c>
      <c r="O2008" t="s">
        <v>24</v>
      </c>
      <c r="Q2008">
        <v>594</v>
      </c>
      <c r="R2008" t="str">
        <f>"FARMÁCIA INDIANA LJ 91 (10037)"</f>
        <v>FARMÁCIA INDIANA LJ 91 (10037)</v>
      </c>
      <c r="S2008" t="s">
        <v>77</v>
      </c>
      <c r="T2008">
        <v>18230</v>
      </c>
      <c r="U2008">
        <v>21600</v>
      </c>
      <c r="V2008" t="s">
        <v>77</v>
      </c>
    </row>
    <row r="2009" spans="1:22">
      <c r="A2009" t="str">
        <f t="shared" si="327"/>
        <v>11/09/2025</v>
      </c>
      <c r="B2009" t="str">
        <f t="shared" si="328"/>
        <v>SAÍDA</v>
      </c>
      <c r="C2009" t="str">
        <f t="shared" si="329"/>
        <v>PIX</v>
      </c>
      <c r="D2009" t="str">
        <f>"21614"</f>
        <v>21614</v>
      </c>
      <c r="E2009" t="str">
        <f t="shared" si="330"/>
        <v>1</v>
      </c>
      <c r="F2009" t="str">
        <f t="shared" si="324"/>
        <v>COM</v>
      </c>
      <c r="G2009" t="str">
        <f>"ROBSON OLIVEIRA DE JESUS (623)"</f>
        <v>ROBSON OLIVEIRA DE JESUS (623)</v>
      </c>
      <c r="H2009" t="str">
        <f>"Serv.Prest. 01/09/2025 a 07/09/2025 - PIX: CPF - CHAVE: 009.265.655-24"</f>
        <v>Serv.Prest. 01/09/2025 a 07/09/2025 - PIX: CPF - CHAVE: 009.265.655-24</v>
      </c>
      <c r="I2009" t="str">
        <f t="shared" si="331"/>
        <v>11/09/2025</v>
      </c>
      <c r="J2009" t="str">
        <f t="shared" si="326"/>
        <v>08/09/2025</v>
      </c>
      <c r="K2009" t="str">
        <f>("11/09/2025")</f>
        <v>11/09/2025</v>
      </c>
      <c r="L2009">
        <v>682</v>
      </c>
      <c r="M2009">
        <v>682</v>
      </c>
      <c r="N2009">
        <v>109</v>
      </c>
      <c r="O2009" t="str">
        <f>"PAGAMENTO DE ENTREGADORES"</f>
        <v>PAGAMENTO DE ENTREGADORES</v>
      </c>
      <c r="P2009">
        <v>682</v>
      </c>
      <c r="S2009" t="str">
        <f>"BANCO C6 (149)"</f>
        <v>BANCO C6 (149)</v>
      </c>
      <c r="T2009">
        <v>18231</v>
      </c>
      <c r="U2009">
        <v>21614</v>
      </c>
      <c r="V2009" t="s">
        <v>77</v>
      </c>
    </row>
    <row r="2010" spans="1:22">
      <c r="A2010" t="str">
        <f t="shared" si="327"/>
        <v>11/09/2025</v>
      </c>
      <c r="B2010" t="str">
        <f t="shared" si="328"/>
        <v>SAÍDA</v>
      </c>
      <c r="C2010" t="str">
        <f t="shared" si="329"/>
        <v>PIX</v>
      </c>
      <c r="D2010" t="str">
        <f>"21614"</f>
        <v>21614</v>
      </c>
      <c r="E2010" t="str">
        <f t="shared" si="330"/>
        <v>1</v>
      </c>
      <c r="F2010" t="str">
        <f t="shared" si="324"/>
        <v>COM</v>
      </c>
      <c r="G2010" t="str">
        <f>"ROBSON OLIVEIRA DE JESUS (623)"</f>
        <v>ROBSON OLIVEIRA DE JESUS (623)</v>
      </c>
      <c r="H2010" t="s">
        <v>321</v>
      </c>
      <c r="I2010" t="str">
        <f t="shared" si="331"/>
        <v>11/09/2025</v>
      </c>
      <c r="J2010" t="str">
        <f t="shared" si="326"/>
        <v>08/09/2025</v>
      </c>
      <c r="K2010">
        <v>45911</v>
      </c>
      <c r="N2010">
        <v>109</v>
      </c>
      <c r="O2010" t="s">
        <v>24</v>
      </c>
      <c r="Q2010">
        <v>682</v>
      </c>
      <c r="R2010" t="str">
        <f>"FARMÁCIA INDIANA LJ 145 (10068)"</f>
        <v>FARMÁCIA INDIANA LJ 145 (10068)</v>
      </c>
      <c r="S2010" t="s">
        <v>77</v>
      </c>
      <c r="T2010">
        <v>18231</v>
      </c>
      <c r="U2010">
        <v>21614</v>
      </c>
      <c r="V2010" t="s">
        <v>77</v>
      </c>
    </row>
    <row r="2011" spans="1:22">
      <c r="A2011" t="str">
        <f t="shared" si="327"/>
        <v>11/09/2025</v>
      </c>
      <c r="B2011" t="str">
        <f t="shared" si="328"/>
        <v>SAÍDA</v>
      </c>
      <c r="C2011" t="str">
        <f t="shared" si="329"/>
        <v>PIX</v>
      </c>
      <c r="D2011" t="str">
        <f>"21615"</f>
        <v>21615</v>
      </c>
      <c r="E2011" t="str">
        <f t="shared" si="330"/>
        <v>1</v>
      </c>
      <c r="F2011" t="str">
        <f t="shared" si="324"/>
        <v>COM</v>
      </c>
      <c r="G2011" t="str">
        <f>"TALES DE JESUS OLIVEIRA (318)"</f>
        <v>TALES DE JESUS OLIVEIRA (318)</v>
      </c>
      <c r="H2011" t="str">
        <f>"Serv.Prest. 01/09/2025 a 07/09/2025 - PIX: CPF - CHAVE: 378.223.888-51"</f>
        <v>Serv.Prest. 01/09/2025 a 07/09/2025 - PIX: CPF - CHAVE: 378.223.888-51</v>
      </c>
      <c r="I2011" t="str">
        <f t="shared" si="331"/>
        <v>11/09/2025</v>
      </c>
      <c r="J2011" t="str">
        <f t="shared" si="326"/>
        <v>08/09/2025</v>
      </c>
      <c r="K2011" t="str">
        <f>("11/09/2025")</f>
        <v>11/09/2025</v>
      </c>
      <c r="L2011">
        <v>682</v>
      </c>
      <c r="M2011">
        <v>682</v>
      </c>
      <c r="N2011">
        <v>109</v>
      </c>
      <c r="O2011" t="str">
        <f>"PAGAMENTO DE ENTREGADORES"</f>
        <v>PAGAMENTO DE ENTREGADORES</v>
      </c>
      <c r="P2011">
        <v>682</v>
      </c>
      <c r="S2011" t="str">
        <f>"BANCO C6 (149)"</f>
        <v>BANCO C6 (149)</v>
      </c>
      <c r="T2011">
        <v>18232</v>
      </c>
      <c r="U2011">
        <v>21615</v>
      </c>
      <c r="V2011" t="s">
        <v>77</v>
      </c>
    </row>
    <row r="2012" spans="1:22">
      <c r="A2012" t="str">
        <f t="shared" si="327"/>
        <v>11/09/2025</v>
      </c>
      <c r="B2012" t="str">
        <f t="shared" si="328"/>
        <v>SAÍDA</v>
      </c>
      <c r="C2012" t="str">
        <f t="shared" si="329"/>
        <v>PIX</v>
      </c>
      <c r="D2012" t="str">
        <f>"21615"</f>
        <v>21615</v>
      </c>
      <c r="E2012" t="str">
        <f t="shared" si="330"/>
        <v>1</v>
      </c>
      <c r="F2012" t="str">
        <f t="shared" ref="F2012:F2053" si="332">"COM"</f>
        <v>COM</v>
      </c>
      <c r="G2012" t="str">
        <f>"TALES DE JESUS OLIVEIRA (318)"</f>
        <v>TALES DE JESUS OLIVEIRA (318)</v>
      </c>
      <c r="H2012" t="s">
        <v>319</v>
      </c>
      <c r="I2012" t="str">
        <f t="shared" si="331"/>
        <v>11/09/2025</v>
      </c>
      <c r="J2012" t="str">
        <f t="shared" si="326"/>
        <v>08/09/2025</v>
      </c>
      <c r="K2012">
        <v>45911</v>
      </c>
      <c r="N2012">
        <v>109</v>
      </c>
      <c r="O2012" t="s">
        <v>24</v>
      </c>
      <c r="Q2012">
        <v>682</v>
      </c>
      <c r="R2012" t="str">
        <f>"FARMÁCIA INDIANA LJ 145 (10068)"</f>
        <v>FARMÁCIA INDIANA LJ 145 (10068)</v>
      </c>
      <c r="S2012" t="s">
        <v>77</v>
      </c>
      <c r="T2012">
        <v>18232</v>
      </c>
      <c r="U2012">
        <v>21615</v>
      </c>
      <c r="V2012" t="s">
        <v>77</v>
      </c>
    </row>
    <row r="2013" spans="1:22">
      <c r="A2013" t="str">
        <f t="shared" si="327"/>
        <v>11/09/2025</v>
      </c>
      <c r="B2013" t="str">
        <f t="shared" si="328"/>
        <v>SAÍDA</v>
      </c>
      <c r="C2013" t="str">
        <f t="shared" si="329"/>
        <v>PIX</v>
      </c>
      <c r="D2013" t="str">
        <f>"21631"</f>
        <v>21631</v>
      </c>
      <c r="E2013" t="str">
        <f t="shared" si="330"/>
        <v>1</v>
      </c>
      <c r="F2013" t="str">
        <f t="shared" si="332"/>
        <v>COM</v>
      </c>
      <c r="G2013" t="str">
        <f>"JOCIMAR VAZ FERREIRA (197)"</f>
        <v>JOCIMAR VAZ FERREIRA (197)</v>
      </c>
      <c r="H2013" t="str">
        <f>"Serv.Prest. 01/09/2025 a 07/09/2025 - PIX: CELULAR - CHAVE: (33) 99924-7557"</f>
        <v>Serv.Prest. 01/09/2025 a 07/09/2025 - PIX: CELULAR - CHAVE: (33) 99924-7557</v>
      </c>
      <c r="I2013" t="str">
        <f t="shared" si="331"/>
        <v>11/09/2025</v>
      </c>
      <c r="J2013" t="str">
        <f>("09/09/2025")</f>
        <v>09/09/2025</v>
      </c>
      <c r="K2013" t="str">
        <f>("11/09/2025")</f>
        <v>11/09/2025</v>
      </c>
      <c r="L2013">
        <v>820</v>
      </c>
      <c r="M2013">
        <v>820</v>
      </c>
      <c r="N2013">
        <v>109</v>
      </c>
      <c r="O2013" t="str">
        <f>"PAGAMENTO DE ENTREGADORES"</f>
        <v>PAGAMENTO DE ENTREGADORES</v>
      </c>
      <c r="P2013">
        <v>820</v>
      </c>
      <c r="S2013" t="str">
        <f>"BANCO C6 (149)"</f>
        <v>BANCO C6 (149)</v>
      </c>
      <c r="T2013">
        <v>18233</v>
      </c>
      <c r="U2013">
        <v>21631</v>
      </c>
      <c r="V2013" t="s">
        <v>77</v>
      </c>
    </row>
    <row r="2014" spans="1:22">
      <c r="A2014" t="str">
        <f t="shared" si="327"/>
        <v>11/09/2025</v>
      </c>
      <c r="B2014" t="str">
        <f t="shared" si="328"/>
        <v>SAÍDA</v>
      </c>
      <c r="C2014" t="str">
        <f t="shared" si="329"/>
        <v>PIX</v>
      </c>
      <c r="D2014" t="str">
        <f>"21631"</f>
        <v>21631</v>
      </c>
      <c r="E2014" t="str">
        <f t="shared" si="330"/>
        <v>1</v>
      </c>
      <c r="F2014" t="str">
        <f t="shared" si="332"/>
        <v>COM</v>
      </c>
      <c r="G2014" t="str">
        <f>"JOCIMAR VAZ FERREIRA (197)"</f>
        <v>JOCIMAR VAZ FERREIRA (197)</v>
      </c>
      <c r="H2014" t="s">
        <v>391</v>
      </c>
      <c r="I2014" t="str">
        <f t="shared" si="331"/>
        <v>11/09/2025</v>
      </c>
      <c r="J2014" t="str">
        <f>("09/09/2025")</f>
        <v>09/09/2025</v>
      </c>
      <c r="K2014">
        <v>45911</v>
      </c>
      <c r="N2014">
        <v>109</v>
      </c>
      <c r="O2014" t="s">
        <v>24</v>
      </c>
      <c r="Q2014">
        <v>820</v>
      </c>
      <c r="R2014" t="str">
        <f>"DROGARIA VAZ (10179)"</f>
        <v>DROGARIA VAZ (10179)</v>
      </c>
      <c r="S2014" t="s">
        <v>77</v>
      </c>
      <c r="T2014">
        <v>18233</v>
      </c>
      <c r="U2014">
        <v>21631</v>
      </c>
      <c r="V2014" t="s">
        <v>77</v>
      </c>
    </row>
    <row r="2015" spans="1:22">
      <c r="A2015" t="str">
        <f t="shared" si="327"/>
        <v>11/09/2025</v>
      </c>
      <c r="B2015" t="str">
        <f t="shared" si="328"/>
        <v>SAÍDA</v>
      </c>
      <c r="C2015" t="str">
        <f t="shared" si="329"/>
        <v>PIX</v>
      </c>
      <c r="D2015" t="str">
        <f>"21535"</f>
        <v>21535</v>
      </c>
      <c r="E2015" t="str">
        <f t="shared" si="330"/>
        <v>1</v>
      </c>
      <c r="F2015" t="str">
        <f t="shared" si="332"/>
        <v>COM</v>
      </c>
      <c r="G2015" t="str">
        <f>"JUNIOR DOS SANTOS MACHADO (240)"</f>
        <v>JUNIOR DOS SANTOS MACHADO (240)</v>
      </c>
      <c r="H2015" t="str">
        <f>"Serv.Prest. 01/09/2025 a 07/09/2025 - PIX: CPF - CHAVE: 074.520.456-29"</f>
        <v>Serv.Prest. 01/09/2025 a 07/09/2025 - PIX: CPF - CHAVE: 074.520.456-29</v>
      </c>
      <c r="I2015" t="str">
        <f t="shared" si="331"/>
        <v>11/09/2025</v>
      </c>
      <c r="J2015" t="str">
        <f>("08/09/2025")</f>
        <v>08/09/2025</v>
      </c>
      <c r="K2015" t="str">
        <f>("11/09/2025")</f>
        <v>11/09/2025</v>
      </c>
      <c r="L2015">
        <v>140</v>
      </c>
      <c r="M2015">
        <v>140</v>
      </c>
      <c r="N2015">
        <v>109</v>
      </c>
      <c r="O2015" t="str">
        <f>"PAGAMENTO DE ENTREGADORES"</f>
        <v>PAGAMENTO DE ENTREGADORES</v>
      </c>
      <c r="P2015">
        <v>140</v>
      </c>
      <c r="S2015" t="str">
        <f>"BANCO C6 (149)"</f>
        <v>BANCO C6 (149)</v>
      </c>
      <c r="T2015">
        <v>18234</v>
      </c>
      <c r="U2015">
        <v>21635</v>
      </c>
      <c r="V2015" t="s">
        <v>77</v>
      </c>
    </row>
    <row r="2016" spans="1:22">
      <c r="A2016" t="str">
        <f t="shared" si="327"/>
        <v>11/09/2025</v>
      </c>
      <c r="B2016" t="str">
        <f t="shared" si="328"/>
        <v>SAÍDA</v>
      </c>
      <c r="C2016" t="str">
        <f t="shared" si="329"/>
        <v>PIX</v>
      </c>
      <c r="D2016" t="str">
        <f>"21535"</f>
        <v>21535</v>
      </c>
      <c r="E2016" t="str">
        <f t="shared" si="330"/>
        <v>1</v>
      </c>
      <c r="F2016" t="str">
        <f t="shared" si="332"/>
        <v>COM</v>
      </c>
      <c r="G2016" t="str">
        <f>"JUNIOR DOS SANTOS MACHADO (240)"</f>
        <v>JUNIOR DOS SANTOS MACHADO (240)</v>
      </c>
      <c r="H2016" t="s">
        <v>538</v>
      </c>
      <c r="I2016" t="str">
        <f t="shared" si="331"/>
        <v>11/09/2025</v>
      </c>
      <c r="J2016" t="str">
        <f>("08/09/2025")</f>
        <v>08/09/2025</v>
      </c>
      <c r="K2016">
        <v>45911</v>
      </c>
      <c r="N2016">
        <v>109</v>
      </c>
      <c r="O2016" t="s">
        <v>24</v>
      </c>
      <c r="Q2016">
        <v>140</v>
      </c>
      <c r="R2016" t="str">
        <f>"FARMÁCIA INDIANA LJ 62 (10028)"</f>
        <v>FARMÁCIA INDIANA LJ 62 (10028)</v>
      </c>
      <c r="S2016" t="s">
        <v>77</v>
      </c>
      <c r="T2016">
        <v>18234</v>
      </c>
      <c r="U2016">
        <v>21635</v>
      </c>
      <c r="V2016" t="s">
        <v>77</v>
      </c>
    </row>
    <row r="2017" spans="1:22">
      <c r="A2017" t="str">
        <f t="shared" si="327"/>
        <v>11/09/2025</v>
      </c>
      <c r="B2017" t="str">
        <f t="shared" si="328"/>
        <v>SAÍDA</v>
      </c>
      <c r="C2017" t="str">
        <f t="shared" si="329"/>
        <v>PIX</v>
      </c>
      <c r="D2017" t="str">
        <f>"21663"</f>
        <v>21663</v>
      </c>
      <c r="E2017" t="str">
        <f t="shared" si="330"/>
        <v>1</v>
      </c>
      <c r="F2017" t="str">
        <f t="shared" si="332"/>
        <v>COM</v>
      </c>
      <c r="G2017" t="str">
        <f>"BRENO HENRIQUE DE SOUSA (596)"</f>
        <v>BRENO HENRIQUE DE SOUSA (596)</v>
      </c>
      <c r="H2017" t="str">
        <f>"Serv.Prest. 01/09/2025 a 07/09/2025 - PIX: CELULAR - CHAVE: (37) 99146-2630"</f>
        <v>Serv.Prest. 01/09/2025 a 07/09/2025 - PIX: CELULAR - CHAVE: (37) 99146-2630</v>
      </c>
      <c r="I2017" t="str">
        <f t="shared" si="331"/>
        <v>11/09/2025</v>
      </c>
      <c r="J2017" t="str">
        <f t="shared" ref="J2017:J2042" si="333">("09/09/2025")</f>
        <v>09/09/2025</v>
      </c>
      <c r="K2017" t="str">
        <f>("11/09/2025")</f>
        <v>11/09/2025</v>
      </c>
      <c r="L2017">
        <v>1180</v>
      </c>
      <c r="M2017">
        <v>1180</v>
      </c>
      <c r="N2017">
        <v>109</v>
      </c>
      <c r="O2017" t="str">
        <f>"PAGAMENTO DE ENTREGADORES"</f>
        <v>PAGAMENTO DE ENTREGADORES</v>
      </c>
      <c r="P2017">
        <v>1180</v>
      </c>
      <c r="S2017" t="str">
        <f>"BANCO C6 (149)"</f>
        <v>BANCO C6 (149)</v>
      </c>
      <c r="T2017">
        <v>18235</v>
      </c>
      <c r="U2017">
        <v>21663</v>
      </c>
      <c r="V2017" t="s">
        <v>77</v>
      </c>
    </row>
    <row r="2018" spans="1:22">
      <c r="A2018" t="str">
        <f t="shared" si="327"/>
        <v>11/09/2025</v>
      </c>
      <c r="B2018" t="str">
        <f t="shared" si="328"/>
        <v>SAÍDA</v>
      </c>
      <c r="C2018" t="str">
        <f t="shared" si="329"/>
        <v>PIX</v>
      </c>
      <c r="D2018" t="str">
        <f>"21663"</f>
        <v>21663</v>
      </c>
      <c r="E2018" t="str">
        <f t="shared" si="330"/>
        <v>1</v>
      </c>
      <c r="F2018" t="str">
        <f t="shared" si="332"/>
        <v>COM</v>
      </c>
      <c r="G2018" t="str">
        <f>"BRENO HENRIQUE DE SOUSA (596)"</f>
        <v>BRENO HENRIQUE DE SOUSA (596)</v>
      </c>
      <c r="H2018" t="s">
        <v>334</v>
      </c>
      <c r="I2018" t="str">
        <f t="shared" si="331"/>
        <v>11/09/2025</v>
      </c>
      <c r="J2018" t="str">
        <f t="shared" si="333"/>
        <v>09/09/2025</v>
      </c>
      <c r="K2018">
        <v>45911</v>
      </c>
      <c r="N2018">
        <v>109</v>
      </c>
      <c r="O2018" t="s">
        <v>24</v>
      </c>
      <c r="Q2018">
        <v>1180</v>
      </c>
      <c r="R2018" t="str">
        <f>"DROGARIA POUPA MINAS (ULTRAMINAS) 1 (10181)"</f>
        <v>DROGARIA POUPA MINAS (ULTRAMINAS) 1 (10181)</v>
      </c>
      <c r="S2018" t="s">
        <v>77</v>
      </c>
      <c r="T2018">
        <v>18235</v>
      </c>
      <c r="U2018">
        <v>21663</v>
      </c>
      <c r="V2018" t="s">
        <v>77</v>
      </c>
    </row>
    <row r="2019" spans="1:22">
      <c r="A2019" t="str">
        <f t="shared" si="327"/>
        <v>11/09/2025</v>
      </c>
      <c r="B2019" t="str">
        <f t="shared" si="328"/>
        <v>SAÍDA</v>
      </c>
      <c r="C2019" t="str">
        <f t="shared" si="329"/>
        <v>PIX</v>
      </c>
      <c r="D2019" t="str">
        <f>"21664"</f>
        <v>21664</v>
      </c>
      <c r="E2019" t="str">
        <f t="shared" si="330"/>
        <v>1</v>
      </c>
      <c r="F2019" t="str">
        <f t="shared" si="332"/>
        <v>COM</v>
      </c>
      <c r="G2019" t="str">
        <f>"LUIZ PAULO DE OLIVEIRA (712)"</f>
        <v>LUIZ PAULO DE OLIVEIRA (712)</v>
      </c>
      <c r="H2019" t="str">
        <f>"Serv.Prest. 01/09/2025 a 07/09/2025 - PIX: CPF - CHAVE: 090.332.006-19"</f>
        <v>Serv.Prest. 01/09/2025 a 07/09/2025 - PIX: CPF - CHAVE: 090.332.006-19</v>
      </c>
      <c r="I2019" t="str">
        <f t="shared" si="331"/>
        <v>11/09/2025</v>
      </c>
      <c r="J2019" t="str">
        <f t="shared" si="333"/>
        <v>09/09/2025</v>
      </c>
      <c r="K2019" t="str">
        <f>("11/09/2025")</f>
        <v>11/09/2025</v>
      </c>
      <c r="L2019">
        <v>1060</v>
      </c>
      <c r="M2019">
        <v>1060</v>
      </c>
      <c r="N2019">
        <v>109</v>
      </c>
      <c r="O2019" t="str">
        <f>"PAGAMENTO DE ENTREGADORES"</f>
        <v>PAGAMENTO DE ENTREGADORES</v>
      </c>
      <c r="P2019">
        <v>1060</v>
      </c>
      <c r="S2019" t="str">
        <f>"BANCO C6 (149)"</f>
        <v>BANCO C6 (149)</v>
      </c>
      <c r="T2019">
        <v>18236</v>
      </c>
      <c r="U2019">
        <v>21664</v>
      </c>
      <c r="V2019" t="s">
        <v>77</v>
      </c>
    </row>
    <row r="2020" spans="1:22">
      <c r="A2020" t="str">
        <f t="shared" si="327"/>
        <v>11/09/2025</v>
      </c>
      <c r="B2020" t="str">
        <f t="shared" si="328"/>
        <v>SAÍDA</v>
      </c>
      <c r="C2020" t="str">
        <f t="shared" si="329"/>
        <v>PIX</v>
      </c>
      <c r="D2020" t="str">
        <f>"21664"</f>
        <v>21664</v>
      </c>
      <c r="E2020" t="str">
        <f t="shared" si="330"/>
        <v>1</v>
      </c>
      <c r="F2020" t="str">
        <f t="shared" si="332"/>
        <v>COM</v>
      </c>
      <c r="G2020" t="str">
        <f>"LUIZ PAULO DE OLIVEIRA (712)"</f>
        <v>LUIZ PAULO DE OLIVEIRA (712)</v>
      </c>
      <c r="H2020" t="s">
        <v>407</v>
      </c>
      <c r="I2020" t="str">
        <f t="shared" si="331"/>
        <v>11/09/2025</v>
      </c>
      <c r="J2020" t="str">
        <f t="shared" si="333"/>
        <v>09/09/2025</v>
      </c>
      <c r="K2020">
        <v>45911</v>
      </c>
      <c r="N2020">
        <v>109</v>
      </c>
      <c r="O2020" t="s">
        <v>24</v>
      </c>
      <c r="Q2020">
        <v>1060</v>
      </c>
      <c r="R2020" t="str">
        <f>"DROGARIA POUPA MINAS (ULTRAMINAS) 1 (10181)"</f>
        <v>DROGARIA POUPA MINAS (ULTRAMINAS) 1 (10181)</v>
      </c>
      <c r="S2020" t="s">
        <v>77</v>
      </c>
      <c r="T2020">
        <v>18236</v>
      </c>
      <c r="U2020">
        <v>21664</v>
      </c>
      <c r="V2020" t="s">
        <v>77</v>
      </c>
    </row>
    <row r="2021" spans="1:22">
      <c r="A2021" t="str">
        <f t="shared" si="327"/>
        <v>11/09/2025</v>
      </c>
      <c r="B2021" t="str">
        <f t="shared" si="328"/>
        <v>SAÍDA</v>
      </c>
      <c r="C2021" t="str">
        <f t="shared" si="329"/>
        <v>PIX</v>
      </c>
      <c r="D2021" t="str">
        <f>"21665"</f>
        <v>21665</v>
      </c>
      <c r="E2021" t="str">
        <f t="shared" si="330"/>
        <v>1</v>
      </c>
      <c r="F2021" t="str">
        <f t="shared" si="332"/>
        <v>COM</v>
      </c>
      <c r="G2021" t="str">
        <f>"RICHARD HENRIQUE DA SILVA (244)"</f>
        <v>RICHARD HENRIQUE DA SILVA (244)</v>
      </c>
      <c r="H2021" t="str">
        <f>"Serv.Prest. 01/09/2025 a 07/09/2025 - PIX: CELULAR - CHAVE: (37) 99197-6834"</f>
        <v>Serv.Prest. 01/09/2025 a 07/09/2025 - PIX: CELULAR - CHAVE: (37) 99197-6834</v>
      </c>
      <c r="I2021" t="str">
        <f t="shared" si="331"/>
        <v>11/09/2025</v>
      </c>
      <c r="J2021" t="str">
        <f t="shared" si="333"/>
        <v>09/09/2025</v>
      </c>
      <c r="K2021" t="str">
        <f>("11/09/2025")</f>
        <v>11/09/2025</v>
      </c>
      <c r="L2021">
        <v>1420</v>
      </c>
      <c r="M2021">
        <v>1420</v>
      </c>
      <c r="N2021">
        <v>109</v>
      </c>
      <c r="O2021" t="str">
        <f>"PAGAMENTO DE ENTREGADORES"</f>
        <v>PAGAMENTO DE ENTREGADORES</v>
      </c>
      <c r="P2021">
        <v>1420</v>
      </c>
      <c r="S2021" t="str">
        <f>"BANCO C6 (149)"</f>
        <v>BANCO C6 (149)</v>
      </c>
      <c r="T2021">
        <v>18237</v>
      </c>
      <c r="U2021">
        <v>21665</v>
      </c>
      <c r="V2021" t="s">
        <v>77</v>
      </c>
    </row>
    <row r="2022" spans="1:22">
      <c r="A2022" t="str">
        <f t="shared" si="327"/>
        <v>11/09/2025</v>
      </c>
      <c r="B2022" t="str">
        <f t="shared" si="328"/>
        <v>SAÍDA</v>
      </c>
      <c r="C2022" t="str">
        <f t="shared" si="329"/>
        <v>PIX</v>
      </c>
      <c r="D2022" t="str">
        <f>"21665"</f>
        <v>21665</v>
      </c>
      <c r="E2022" t="str">
        <f t="shared" si="330"/>
        <v>1</v>
      </c>
      <c r="F2022" t="str">
        <f t="shared" si="332"/>
        <v>COM</v>
      </c>
      <c r="G2022" t="str">
        <f>"RICHARD HENRIQUE DA SILVA (244)"</f>
        <v>RICHARD HENRIQUE DA SILVA (244)</v>
      </c>
      <c r="H2022" t="s">
        <v>428</v>
      </c>
      <c r="I2022" t="str">
        <f t="shared" si="331"/>
        <v>11/09/2025</v>
      </c>
      <c r="J2022" t="str">
        <f t="shared" si="333"/>
        <v>09/09/2025</v>
      </c>
      <c r="K2022">
        <v>45911</v>
      </c>
      <c r="N2022">
        <v>109</v>
      </c>
      <c r="O2022" t="s">
        <v>24</v>
      </c>
      <c r="Q2022">
        <v>1420</v>
      </c>
      <c r="R2022" t="str">
        <f>"DROGARIA POUPA MINAS (ULTRAMINAS) 1 (10181)"</f>
        <v>DROGARIA POUPA MINAS (ULTRAMINAS) 1 (10181)</v>
      </c>
      <c r="S2022" t="s">
        <v>77</v>
      </c>
      <c r="T2022">
        <v>18237</v>
      </c>
      <c r="U2022">
        <v>21665</v>
      </c>
      <c r="V2022" t="s">
        <v>77</v>
      </c>
    </row>
    <row r="2023" spans="1:22">
      <c r="A2023" t="str">
        <f t="shared" si="327"/>
        <v>11/09/2025</v>
      </c>
      <c r="B2023" t="str">
        <f t="shared" si="328"/>
        <v>SAÍDA</v>
      </c>
      <c r="C2023" t="str">
        <f t="shared" si="329"/>
        <v>PIX</v>
      </c>
      <c r="D2023" t="str">
        <f>"21666"</f>
        <v>21666</v>
      </c>
      <c r="E2023" t="str">
        <f t="shared" si="330"/>
        <v>1</v>
      </c>
      <c r="F2023" t="str">
        <f t="shared" si="332"/>
        <v>COM</v>
      </c>
      <c r="G2023" t="str">
        <f>"ROGERIO AUGUSTO FERREIRA (649)"</f>
        <v>ROGERIO AUGUSTO FERREIRA (649)</v>
      </c>
      <c r="H2023" t="str">
        <f>"Serv.Prest. 01/09/2025 a 07/09/2025 - PIX: CPF - CHAVE: 950.176.406-06"</f>
        <v>Serv.Prest. 01/09/2025 a 07/09/2025 - PIX: CPF - CHAVE: 950.176.406-06</v>
      </c>
      <c r="I2023" t="str">
        <f t="shared" si="331"/>
        <v>11/09/2025</v>
      </c>
      <c r="J2023" t="str">
        <f t="shared" si="333"/>
        <v>09/09/2025</v>
      </c>
      <c r="K2023" t="str">
        <f>("11/09/2025")</f>
        <v>11/09/2025</v>
      </c>
      <c r="L2023">
        <v>430</v>
      </c>
      <c r="M2023">
        <v>430</v>
      </c>
      <c r="N2023">
        <v>109</v>
      </c>
      <c r="O2023" t="str">
        <f>"PAGAMENTO DE ENTREGADORES"</f>
        <v>PAGAMENTO DE ENTREGADORES</v>
      </c>
      <c r="P2023">
        <v>430</v>
      </c>
      <c r="S2023" t="str">
        <f>"BANCO C6 (149)"</f>
        <v>BANCO C6 (149)</v>
      </c>
      <c r="T2023">
        <v>18238</v>
      </c>
      <c r="U2023">
        <v>21666</v>
      </c>
      <c r="V2023" t="s">
        <v>77</v>
      </c>
    </row>
    <row r="2024" spans="1:22">
      <c r="A2024" t="str">
        <f t="shared" si="327"/>
        <v>11/09/2025</v>
      </c>
      <c r="B2024" t="str">
        <f t="shared" si="328"/>
        <v>SAÍDA</v>
      </c>
      <c r="C2024" t="str">
        <f t="shared" si="329"/>
        <v>PIX</v>
      </c>
      <c r="D2024" t="str">
        <f>"21666"</f>
        <v>21666</v>
      </c>
      <c r="E2024" t="str">
        <f t="shared" si="330"/>
        <v>1</v>
      </c>
      <c r="F2024" t="str">
        <f t="shared" si="332"/>
        <v>COM</v>
      </c>
      <c r="G2024" t="str">
        <f>"ROGERIO AUGUSTO FERREIRA (649)"</f>
        <v>ROGERIO AUGUSTO FERREIRA (649)</v>
      </c>
      <c r="H2024" t="s">
        <v>429</v>
      </c>
      <c r="I2024" t="str">
        <f t="shared" si="331"/>
        <v>11/09/2025</v>
      </c>
      <c r="J2024" t="str">
        <f t="shared" si="333"/>
        <v>09/09/2025</v>
      </c>
      <c r="K2024">
        <v>45911</v>
      </c>
      <c r="N2024">
        <v>109</v>
      </c>
      <c r="O2024" t="s">
        <v>24</v>
      </c>
      <c r="Q2024">
        <v>430</v>
      </c>
      <c r="R2024" t="str">
        <f>"DROGARIA POUPA MINAS (ULTRAMINAS) 1 (10181)"</f>
        <v>DROGARIA POUPA MINAS (ULTRAMINAS) 1 (10181)</v>
      </c>
      <c r="S2024" t="s">
        <v>77</v>
      </c>
      <c r="T2024">
        <v>18238</v>
      </c>
      <c r="U2024">
        <v>21666</v>
      </c>
      <c r="V2024" t="s">
        <v>77</v>
      </c>
    </row>
    <row r="2025" spans="1:22">
      <c r="A2025" t="str">
        <f t="shared" si="327"/>
        <v>11/09/2025</v>
      </c>
      <c r="B2025" t="str">
        <f t="shared" si="328"/>
        <v>SAÍDA</v>
      </c>
      <c r="C2025" t="str">
        <f t="shared" si="329"/>
        <v>PIX</v>
      </c>
      <c r="D2025" t="str">
        <f>"21667"</f>
        <v>21667</v>
      </c>
      <c r="E2025" t="str">
        <f t="shared" si="330"/>
        <v>1</v>
      </c>
      <c r="F2025" t="str">
        <f t="shared" si="332"/>
        <v>COM</v>
      </c>
      <c r="G2025" t="str">
        <f>"THALES VINÍCIUS RODRIGUES DE OLIVEIRA (704)"</f>
        <v>THALES VINÍCIUS RODRIGUES DE OLIVEIRA (704)</v>
      </c>
      <c r="H2025" t="str">
        <f>"Serv.Prest. 01/09/2025 a 07/09/2025 - PIX: CELULAR - CHAVE: (37) 99138-1777"</f>
        <v>Serv.Prest. 01/09/2025 a 07/09/2025 - PIX: CELULAR - CHAVE: (37) 99138-1777</v>
      </c>
      <c r="I2025" t="str">
        <f t="shared" si="331"/>
        <v>11/09/2025</v>
      </c>
      <c r="J2025" t="str">
        <f t="shared" si="333"/>
        <v>09/09/2025</v>
      </c>
      <c r="K2025" t="str">
        <f>("11/09/2025")</f>
        <v>11/09/2025</v>
      </c>
      <c r="L2025">
        <v>1060</v>
      </c>
      <c r="M2025">
        <v>1060</v>
      </c>
      <c r="N2025">
        <v>109</v>
      </c>
      <c r="O2025" t="str">
        <f>"PAGAMENTO DE ENTREGADORES"</f>
        <v>PAGAMENTO DE ENTREGADORES</v>
      </c>
      <c r="P2025">
        <v>1060</v>
      </c>
      <c r="S2025" t="str">
        <f>"BANCO C6 (149)"</f>
        <v>BANCO C6 (149)</v>
      </c>
      <c r="T2025">
        <v>18239</v>
      </c>
      <c r="U2025">
        <v>21667</v>
      </c>
      <c r="V2025" t="s">
        <v>77</v>
      </c>
    </row>
    <row r="2026" spans="1:22">
      <c r="A2026" t="str">
        <f t="shared" si="327"/>
        <v>11/09/2025</v>
      </c>
      <c r="B2026" t="str">
        <f t="shared" si="328"/>
        <v>SAÍDA</v>
      </c>
      <c r="C2026" t="str">
        <f t="shared" si="329"/>
        <v>PIX</v>
      </c>
      <c r="D2026" t="str">
        <f>"21667"</f>
        <v>21667</v>
      </c>
      <c r="E2026" t="str">
        <f t="shared" si="330"/>
        <v>1</v>
      </c>
      <c r="F2026" t="str">
        <f t="shared" si="332"/>
        <v>COM</v>
      </c>
      <c r="G2026" t="str">
        <f>"THALES VINÍCIUS RODRIGUES DE OLIVEIRA (704)"</f>
        <v>THALES VINÍCIUS RODRIGUES DE OLIVEIRA (704)</v>
      </c>
      <c r="H2026" t="s">
        <v>436</v>
      </c>
      <c r="I2026" t="str">
        <f t="shared" si="331"/>
        <v>11/09/2025</v>
      </c>
      <c r="J2026" t="str">
        <f t="shared" si="333"/>
        <v>09/09/2025</v>
      </c>
      <c r="K2026">
        <v>45911</v>
      </c>
      <c r="N2026">
        <v>109</v>
      </c>
      <c r="O2026" t="s">
        <v>24</v>
      </c>
      <c r="Q2026">
        <v>1060</v>
      </c>
      <c r="R2026" t="str">
        <f>"DROGARIA POUPA MINAS (ULTRAMINAS) 1 (10181)"</f>
        <v>DROGARIA POUPA MINAS (ULTRAMINAS) 1 (10181)</v>
      </c>
      <c r="S2026" t="s">
        <v>77</v>
      </c>
      <c r="T2026">
        <v>18239</v>
      </c>
      <c r="U2026">
        <v>21667</v>
      </c>
      <c r="V2026" t="s">
        <v>77</v>
      </c>
    </row>
    <row r="2027" spans="1:22">
      <c r="A2027" t="str">
        <f t="shared" si="327"/>
        <v>11/09/2025</v>
      </c>
      <c r="B2027" t="str">
        <f t="shared" si="328"/>
        <v>SAÍDA</v>
      </c>
      <c r="C2027" t="str">
        <f t="shared" si="329"/>
        <v>PIX</v>
      </c>
      <c r="D2027" t="str">
        <f>"21668"</f>
        <v>21668</v>
      </c>
      <c r="E2027" t="str">
        <f t="shared" si="330"/>
        <v>1</v>
      </c>
      <c r="F2027" t="str">
        <f t="shared" si="332"/>
        <v>COM</v>
      </c>
      <c r="G2027" t="str">
        <f>"TIAGO VIEIRA (372)"</f>
        <v>TIAGO VIEIRA (372)</v>
      </c>
      <c r="H2027" t="str">
        <f>"Serv.Prest. 01/09/2025 a 07/09/2025 - PIX: CELULAR - CHAVE: (37) 98841-8571"</f>
        <v>Serv.Prest. 01/09/2025 a 07/09/2025 - PIX: CELULAR - CHAVE: (37) 98841-8571</v>
      </c>
      <c r="I2027" t="str">
        <f t="shared" si="331"/>
        <v>11/09/2025</v>
      </c>
      <c r="J2027" t="str">
        <f t="shared" si="333"/>
        <v>09/09/2025</v>
      </c>
      <c r="K2027" t="str">
        <f>("11/09/2025")</f>
        <v>11/09/2025</v>
      </c>
      <c r="L2027">
        <v>520</v>
      </c>
      <c r="M2027">
        <v>520</v>
      </c>
      <c r="N2027">
        <v>109</v>
      </c>
      <c r="O2027" t="str">
        <f>"PAGAMENTO DE ENTREGADORES"</f>
        <v>PAGAMENTO DE ENTREGADORES</v>
      </c>
      <c r="P2027">
        <v>520</v>
      </c>
      <c r="S2027" t="str">
        <f>"BANCO C6 (149)"</f>
        <v>BANCO C6 (149)</v>
      </c>
      <c r="T2027">
        <v>18240</v>
      </c>
      <c r="U2027">
        <v>21668</v>
      </c>
      <c r="V2027" t="s">
        <v>77</v>
      </c>
    </row>
    <row r="2028" spans="1:22">
      <c r="A2028" t="str">
        <f t="shared" si="327"/>
        <v>11/09/2025</v>
      </c>
      <c r="B2028" t="str">
        <f t="shared" si="328"/>
        <v>SAÍDA</v>
      </c>
      <c r="C2028" t="str">
        <f t="shared" si="329"/>
        <v>PIX</v>
      </c>
      <c r="D2028" t="str">
        <f>"21668"</f>
        <v>21668</v>
      </c>
      <c r="E2028" t="str">
        <f t="shared" si="330"/>
        <v>1</v>
      </c>
      <c r="F2028" t="str">
        <f t="shared" si="332"/>
        <v>COM</v>
      </c>
      <c r="G2028" t="str">
        <f>"TIAGO VIEIRA (372)"</f>
        <v>TIAGO VIEIRA (372)</v>
      </c>
      <c r="H2028" t="s">
        <v>437</v>
      </c>
      <c r="I2028" t="str">
        <f t="shared" si="331"/>
        <v>11/09/2025</v>
      </c>
      <c r="J2028" t="str">
        <f t="shared" si="333"/>
        <v>09/09/2025</v>
      </c>
      <c r="K2028">
        <v>45911</v>
      </c>
      <c r="N2028">
        <v>109</v>
      </c>
      <c r="O2028" t="s">
        <v>24</v>
      </c>
      <c r="Q2028">
        <v>520</v>
      </c>
      <c r="R2028" t="str">
        <f>"DROGARIA POUPA MINAS (ULTRAMINAS) 1 (10181)"</f>
        <v>DROGARIA POUPA MINAS (ULTRAMINAS) 1 (10181)</v>
      </c>
      <c r="S2028" t="s">
        <v>77</v>
      </c>
      <c r="T2028">
        <v>18240</v>
      </c>
      <c r="U2028">
        <v>21668</v>
      </c>
      <c r="V2028" t="s">
        <v>77</v>
      </c>
    </row>
    <row r="2029" spans="1:22">
      <c r="A2029" t="str">
        <f t="shared" si="327"/>
        <v>11/09/2025</v>
      </c>
      <c r="B2029" t="str">
        <f t="shared" si="328"/>
        <v>SAÍDA</v>
      </c>
      <c r="C2029" t="str">
        <f t="shared" si="329"/>
        <v>PIX</v>
      </c>
      <c r="D2029" t="str">
        <f>"21671"</f>
        <v>21671</v>
      </c>
      <c r="E2029" t="str">
        <f t="shared" si="330"/>
        <v>1</v>
      </c>
      <c r="F2029" t="str">
        <f t="shared" si="332"/>
        <v>COM</v>
      </c>
      <c r="G2029" t="str">
        <f>"ALBERTO FARIAS DOS SANTOS JUNIOR (800)"</f>
        <v>ALBERTO FARIAS DOS SANTOS JUNIOR (800)</v>
      </c>
      <c r="H2029" t="str">
        <f>"Serv.Prest. 01/09/2025 a 07/09/2025 - PIX: CELULAR - CHAVE: (71) 99696-7530"</f>
        <v>Serv.Prest. 01/09/2025 a 07/09/2025 - PIX: CELULAR - CHAVE: (71) 99696-7530</v>
      </c>
      <c r="I2029" t="str">
        <f t="shared" si="331"/>
        <v>11/09/2025</v>
      </c>
      <c r="J2029" t="str">
        <f t="shared" si="333"/>
        <v>09/09/2025</v>
      </c>
      <c r="K2029" t="str">
        <f>("11/09/2025")</f>
        <v>11/09/2025</v>
      </c>
      <c r="L2029">
        <v>740</v>
      </c>
      <c r="M2029">
        <v>740</v>
      </c>
      <c r="N2029">
        <v>109</v>
      </c>
      <c r="O2029" t="str">
        <f>"PAGAMENTO DE ENTREGADORES"</f>
        <v>PAGAMENTO DE ENTREGADORES</v>
      </c>
      <c r="P2029">
        <v>740</v>
      </c>
      <c r="S2029" t="str">
        <f>"BANCO C6 (149)"</f>
        <v>BANCO C6 (149)</v>
      </c>
      <c r="T2029">
        <v>18241</v>
      </c>
      <c r="U2029">
        <v>21671</v>
      </c>
      <c r="V2029" t="s">
        <v>77</v>
      </c>
    </row>
    <row r="2030" spans="1:22">
      <c r="A2030" t="str">
        <f t="shared" si="327"/>
        <v>11/09/2025</v>
      </c>
      <c r="B2030" t="str">
        <f t="shared" si="328"/>
        <v>SAÍDA</v>
      </c>
      <c r="C2030" t="str">
        <f t="shared" si="329"/>
        <v>PIX</v>
      </c>
      <c r="D2030" t="str">
        <f>"21671"</f>
        <v>21671</v>
      </c>
      <c r="E2030" t="str">
        <f t="shared" si="330"/>
        <v>1</v>
      </c>
      <c r="F2030" t="str">
        <f t="shared" si="332"/>
        <v>COM</v>
      </c>
      <c r="G2030" t="str">
        <f>"ALBERTO FARIAS DOS SANTOS JUNIOR (800)"</f>
        <v>ALBERTO FARIAS DOS SANTOS JUNIOR (800)</v>
      </c>
      <c r="H2030" t="s">
        <v>324</v>
      </c>
      <c r="I2030" t="str">
        <f t="shared" si="331"/>
        <v>11/09/2025</v>
      </c>
      <c r="J2030" t="str">
        <f t="shared" si="333"/>
        <v>09/09/2025</v>
      </c>
      <c r="K2030">
        <v>45911</v>
      </c>
      <c r="N2030">
        <v>109</v>
      </c>
      <c r="O2030" t="s">
        <v>24</v>
      </c>
      <c r="Q2030">
        <v>740</v>
      </c>
      <c r="R2030" t="str">
        <f>"DELTA LOJA 2 (10123)"</f>
        <v>DELTA LOJA 2 (10123)</v>
      </c>
      <c r="S2030" t="s">
        <v>77</v>
      </c>
      <c r="T2030">
        <v>18241</v>
      </c>
      <c r="U2030">
        <v>21671</v>
      </c>
      <c r="V2030" t="s">
        <v>77</v>
      </c>
    </row>
    <row r="2031" spans="1:22">
      <c r="A2031" t="str">
        <f t="shared" si="327"/>
        <v>11/09/2025</v>
      </c>
      <c r="B2031" t="str">
        <f t="shared" si="328"/>
        <v>SAÍDA</v>
      </c>
      <c r="C2031" t="str">
        <f t="shared" si="329"/>
        <v>PIX</v>
      </c>
      <c r="D2031" t="str">
        <f>"21672"</f>
        <v>21672</v>
      </c>
      <c r="E2031" t="str">
        <f t="shared" si="330"/>
        <v>1</v>
      </c>
      <c r="F2031" t="str">
        <f t="shared" si="332"/>
        <v>COM</v>
      </c>
      <c r="G2031" t="str">
        <f>"EDNUBIA RAMOS ALVES OLIVEIRA (899)"</f>
        <v>EDNUBIA RAMOS ALVES OLIVEIRA (899)</v>
      </c>
      <c r="H2031" t="str">
        <f>"Serv.Prest. 01/09/2025 a 07/09/2025 - PIX: CELULAR - CHAVE: (71) 99214-9256"</f>
        <v>Serv.Prest. 01/09/2025 a 07/09/2025 - PIX: CELULAR - CHAVE: (71) 99214-9256</v>
      </c>
      <c r="I2031" t="str">
        <f t="shared" si="331"/>
        <v>11/09/2025</v>
      </c>
      <c r="J2031" t="str">
        <f t="shared" si="333"/>
        <v>09/09/2025</v>
      </c>
      <c r="K2031" t="str">
        <f>("11/09/2025")</f>
        <v>11/09/2025</v>
      </c>
      <c r="L2031">
        <v>760</v>
      </c>
      <c r="M2031">
        <v>760</v>
      </c>
      <c r="N2031">
        <v>109</v>
      </c>
      <c r="O2031" t="str">
        <f>"PAGAMENTO DE ENTREGADORES"</f>
        <v>PAGAMENTO DE ENTREGADORES</v>
      </c>
      <c r="P2031">
        <v>760</v>
      </c>
      <c r="S2031" t="str">
        <f>"BANCO C6 (149)"</f>
        <v>BANCO C6 (149)</v>
      </c>
      <c r="T2031">
        <v>18242</v>
      </c>
      <c r="U2031">
        <v>21672</v>
      </c>
      <c r="V2031" t="s">
        <v>77</v>
      </c>
    </row>
    <row r="2032" spans="1:22">
      <c r="A2032" t="str">
        <f t="shared" si="327"/>
        <v>11/09/2025</v>
      </c>
      <c r="B2032" t="str">
        <f t="shared" si="328"/>
        <v>SAÍDA</v>
      </c>
      <c r="C2032" t="str">
        <f t="shared" si="329"/>
        <v>PIX</v>
      </c>
      <c r="D2032" t="str">
        <f>"21672"</f>
        <v>21672</v>
      </c>
      <c r="E2032" t="str">
        <f t="shared" si="330"/>
        <v>1</v>
      </c>
      <c r="F2032" t="str">
        <f t="shared" si="332"/>
        <v>COM</v>
      </c>
      <c r="G2032" t="str">
        <f>"EDNUBIA RAMOS ALVES OLIVEIRA (899)"</f>
        <v>EDNUBIA RAMOS ALVES OLIVEIRA (899)</v>
      </c>
      <c r="H2032" t="s">
        <v>348</v>
      </c>
      <c r="I2032" t="str">
        <f t="shared" si="331"/>
        <v>11/09/2025</v>
      </c>
      <c r="J2032" t="str">
        <f t="shared" si="333"/>
        <v>09/09/2025</v>
      </c>
      <c r="K2032">
        <v>45911</v>
      </c>
      <c r="N2032">
        <v>109</v>
      </c>
      <c r="O2032" t="s">
        <v>24</v>
      </c>
      <c r="Q2032">
        <v>760</v>
      </c>
      <c r="R2032" t="str">
        <f>"DELTA LOJA 2 (10123)"</f>
        <v>DELTA LOJA 2 (10123)</v>
      </c>
      <c r="S2032" t="s">
        <v>77</v>
      </c>
      <c r="T2032">
        <v>18242</v>
      </c>
      <c r="U2032">
        <v>21672</v>
      </c>
      <c r="V2032" t="s">
        <v>77</v>
      </c>
    </row>
    <row r="2033" spans="1:22">
      <c r="A2033" t="str">
        <f t="shared" si="327"/>
        <v>11/09/2025</v>
      </c>
      <c r="B2033" t="str">
        <f t="shared" si="328"/>
        <v>SAÍDA</v>
      </c>
      <c r="C2033" t="str">
        <f t="shared" si="329"/>
        <v>PIX</v>
      </c>
      <c r="D2033" t="str">
        <f>"21673"</f>
        <v>21673</v>
      </c>
      <c r="E2033" t="str">
        <f t="shared" si="330"/>
        <v>1</v>
      </c>
      <c r="F2033" t="str">
        <f t="shared" si="332"/>
        <v>COM</v>
      </c>
      <c r="G2033" t="str">
        <f>"ELIENAI ROSA DO NASCIMENTO (343)"</f>
        <v>ELIENAI ROSA DO NASCIMENTO (343)</v>
      </c>
      <c r="H2033" t="str">
        <f>"Serv.Prest. 01/09/2025 a 07/09/2025 - PIX: CPF - CHAVE: 048.672.645-20"</f>
        <v>Serv.Prest. 01/09/2025 a 07/09/2025 - PIX: CPF - CHAVE: 048.672.645-20</v>
      </c>
      <c r="I2033" t="str">
        <f t="shared" si="331"/>
        <v>11/09/2025</v>
      </c>
      <c r="J2033" t="str">
        <f t="shared" si="333"/>
        <v>09/09/2025</v>
      </c>
      <c r="K2033" t="str">
        <f>("11/09/2025")</f>
        <v>11/09/2025</v>
      </c>
      <c r="L2033">
        <v>850</v>
      </c>
      <c r="M2033">
        <v>850</v>
      </c>
      <c r="N2033">
        <v>109</v>
      </c>
      <c r="O2033" t="str">
        <f>"PAGAMENTO DE ENTREGADORES"</f>
        <v>PAGAMENTO DE ENTREGADORES</v>
      </c>
      <c r="P2033">
        <v>850</v>
      </c>
      <c r="S2033" t="str">
        <f>"BANCO C6 (149)"</f>
        <v>BANCO C6 (149)</v>
      </c>
      <c r="T2033">
        <v>18243</v>
      </c>
      <c r="U2033">
        <v>21673</v>
      </c>
      <c r="V2033" t="s">
        <v>77</v>
      </c>
    </row>
    <row r="2034" spans="1:22">
      <c r="A2034" t="str">
        <f t="shared" si="327"/>
        <v>11/09/2025</v>
      </c>
      <c r="B2034" t="str">
        <f t="shared" si="328"/>
        <v>SAÍDA</v>
      </c>
      <c r="C2034" t="str">
        <f t="shared" si="329"/>
        <v>PIX</v>
      </c>
      <c r="D2034" t="str">
        <f>"21673"</f>
        <v>21673</v>
      </c>
      <c r="E2034" t="str">
        <f t="shared" si="330"/>
        <v>1</v>
      </c>
      <c r="F2034" t="str">
        <f t="shared" si="332"/>
        <v>COM</v>
      </c>
      <c r="G2034" t="str">
        <f>"ELIENAI ROSA DO NASCIMENTO (343)"</f>
        <v>ELIENAI ROSA DO NASCIMENTO (343)</v>
      </c>
      <c r="H2034" t="s">
        <v>353</v>
      </c>
      <c r="I2034" t="str">
        <f t="shared" si="331"/>
        <v>11/09/2025</v>
      </c>
      <c r="J2034" t="str">
        <f t="shared" si="333"/>
        <v>09/09/2025</v>
      </c>
      <c r="K2034">
        <v>45911</v>
      </c>
      <c r="N2034">
        <v>109</v>
      </c>
      <c r="O2034" t="s">
        <v>24</v>
      </c>
      <c r="Q2034">
        <v>850</v>
      </c>
      <c r="R2034" t="str">
        <f>"DELTA LOJA 2 (10123)"</f>
        <v>DELTA LOJA 2 (10123)</v>
      </c>
      <c r="S2034" t="s">
        <v>77</v>
      </c>
      <c r="T2034">
        <v>18243</v>
      </c>
      <c r="U2034">
        <v>21673</v>
      </c>
      <c r="V2034" t="s">
        <v>77</v>
      </c>
    </row>
    <row r="2035" spans="1:22">
      <c r="A2035" t="str">
        <f t="shared" si="327"/>
        <v>11/09/2025</v>
      </c>
      <c r="B2035" t="str">
        <f t="shared" si="328"/>
        <v>SAÍDA</v>
      </c>
      <c r="C2035" t="str">
        <f t="shared" si="329"/>
        <v>PIX</v>
      </c>
      <c r="D2035" t="str">
        <f>"21695"</f>
        <v>21695</v>
      </c>
      <c r="E2035" t="str">
        <f t="shared" si="330"/>
        <v>1</v>
      </c>
      <c r="F2035" t="str">
        <f t="shared" si="332"/>
        <v>COM</v>
      </c>
      <c r="G2035" t="str">
        <f>"JONATAS GABRIEL PEREIRA SILVA (662)"</f>
        <v>JONATAS GABRIEL PEREIRA SILVA (662)</v>
      </c>
      <c r="H2035" t="str">
        <f>"Serv.Prest. 01/09/2025 a 07/09/2025 - PIX: CELULAR - CHAVE: (64) 98118-5132"</f>
        <v>Serv.Prest. 01/09/2025 a 07/09/2025 - PIX: CELULAR - CHAVE: (64) 98118-5132</v>
      </c>
      <c r="I2035" t="str">
        <f t="shared" si="331"/>
        <v>11/09/2025</v>
      </c>
      <c r="J2035" t="str">
        <f t="shared" si="333"/>
        <v>09/09/2025</v>
      </c>
      <c r="K2035" t="str">
        <f>("11/09/2025")</f>
        <v>11/09/2025</v>
      </c>
      <c r="L2035">
        <v>512</v>
      </c>
      <c r="M2035">
        <v>512</v>
      </c>
      <c r="N2035">
        <v>109</v>
      </c>
      <c r="O2035" t="str">
        <f>"PAGAMENTO DE ENTREGADORES"</f>
        <v>PAGAMENTO DE ENTREGADORES</v>
      </c>
      <c r="P2035">
        <v>512</v>
      </c>
      <c r="S2035" t="str">
        <f>"BANCO C6 (149)"</f>
        <v>BANCO C6 (149)</v>
      </c>
      <c r="T2035">
        <v>18244</v>
      </c>
      <c r="U2035">
        <v>21695</v>
      </c>
      <c r="V2035" t="s">
        <v>77</v>
      </c>
    </row>
    <row r="2036" spans="1:22">
      <c r="A2036" t="str">
        <f t="shared" si="327"/>
        <v>11/09/2025</v>
      </c>
      <c r="B2036" t="str">
        <f t="shared" si="328"/>
        <v>SAÍDA</v>
      </c>
      <c r="C2036" t="str">
        <f t="shared" si="329"/>
        <v>PIX</v>
      </c>
      <c r="D2036" t="str">
        <f>"21695"</f>
        <v>21695</v>
      </c>
      <c r="E2036" t="str">
        <f t="shared" si="330"/>
        <v>1</v>
      </c>
      <c r="F2036" t="str">
        <f t="shared" si="332"/>
        <v>COM</v>
      </c>
      <c r="G2036" t="str">
        <f>"JONATAS GABRIEL PEREIRA SILVA (662)"</f>
        <v>JONATAS GABRIEL PEREIRA SILVA (662)</v>
      </c>
      <c r="H2036" t="s">
        <v>392</v>
      </c>
      <c r="I2036" t="str">
        <f t="shared" si="331"/>
        <v>11/09/2025</v>
      </c>
      <c r="J2036" t="str">
        <f t="shared" si="333"/>
        <v>09/09/2025</v>
      </c>
      <c r="K2036">
        <v>45911</v>
      </c>
      <c r="N2036">
        <v>109</v>
      </c>
      <c r="O2036" t="s">
        <v>24</v>
      </c>
      <c r="Q2036">
        <v>512</v>
      </c>
      <c r="R2036" t="str">
        <f>"FARMACIA ECONOMIZE (10103)"</f>
        <v>FARMACIA ECONOMIZE (10103)</v>
      </c>
      <c r="S2036" t="s">
        <v>77</v>
      </c>
      <c r="T2036">
        <v>18244</v>
      </c>
      <c r="U2036">
        <v>21695</v>
      </c>
      <c r="V2036" t="s">
        <v>77</v>
      </c>
    </row>
    <row r="2037" spans="1:22">
      <c r="A2037" t="str">
        <f t="shared" si="327"/>
        <v>11/09/2025</v>
      </c>
      <c r="B2037" t="str">
        <f t="shared" si="328"/>
        <v>SAÍDA</v>
      </c>
      <c r="C2037" t="str">
        <f t="shared" si="329"/>
        <v>PIX</v>
      </c>
      <c r="D2037" t="str">
        <f>"21696"</f>
        <v>21696</v>
      </c>
      <c r="E2037" t="str">
        <f t="shared" si="330"/>
        <v>1</v>
      </c>
      <c r="F2037" t="str">
        <f t="shared" si="332"/>
        <v>COM</v>
      </c>
      <c r="G2037" t="str">
        <f>"LUIZ FERNANDO OLIVEIRA DE JESUS (932)"</f>
        <v>LUIZ FERNANDO OLIVEIRA DE JESUS (932)</v>
      </c>
      <c r="H2037" t="str">
        <f>"Serv.Prest. 01/09/2025 a 07/09/2025 - PIX: CPF - CHAVE: 707.468.161-03"</f>
        <v>Serv.Prest. 01/09/2025 a 07/09/2025 - PIX: CPF - CHAVE: 707.468.161-03</v>
      </c>
      <c r="I2037" t="str">
        <f t="shared" si="331"/>
        <v>11/09/2025</v>
      </c>
      <c r="J2037" t="str">
        <f t="shared" si="333"/>
        <v>09/09/2025</v>
      </c>
      <c r="K2037" t="str">
        <f>("11/09/2025")</f>
        <v>11/09/2025</v>
      </c>
      <c r="L2037">
        <v>105</v>
      </c>
      <c r="M2037">
        <v>105</v>
      </c>
      <c r="N2037">
        <v>109</v>
      </c>
      <c r="O2037" t="str">
        <f>"PAGAMENTO DE ENTREGADORES"</f>
        <v>PAGAMENTO DE ENTREGADORES</v>
      </c>
      <c r="P2037">
        <v>105</v>
      </c>
      <c r="S2037" t="str">
        <f>"BANCO C6 (149)"</f>
        <v>BANCO C6 (149)</v>
      </c>
      <c r="T2037">
        <v>18245</v>
      </c>
      <c r="U2037">
        <v>21696</v>
      </c>
      <c r="V2037" t="s">
        <v>77</v>
      </c>
    </row>
    <row r="2038" spans="1:22">
      <c r="A2038" t="str">
        <f t="shared" si="327"/>
        <v>11/09/2025</v>
      </c>
      <c r="B2038" t="str">
        <f t="shared" si="328"/>
        <v>SAÍDA</v>
      </c>
      <c r="C2038" t="str">
        <f t="shared" si="329"/>
        <v>PIX</v>
      </c>
      <c r="D2038" t="str">
        <f>"21696"</f>
        <v>21696</v>
      </c>
      <c r="E2038" t="str">
        <f t="shared" si="330"/>
        <v>1</v>
      </c>
      <c r="F2038" t="str">
        <f t="shared" si="332"/>
        <v>COM</v>
      </c>
      <c r="G2038" t="str">
        <f>"LUIZ FERNANDO OLIVEIRA DE JESUS (932)"</f>
        <v>LUIZ FERNANDO OLIVEIRA DE JESUS (932)</v>
      </c>
      <c r="H2038" t="s">
        <v>539</v>
      </c>
      <c r="I2038" t="str">
        <f t="shared" si="331"/>
        <v>11/09/2025</v>
      </c>
      <c r="J2038" t="str">
        <f t="shared" si="333"/>
        <v>09/09/2025</v>
      </c>
      <c r="K2038">
        <v>45911</v>
      </c>
      <c r="N2038">
        <v>109</v>
      </c>
      <c r="O2038" t="s">
        <v>24</v>
      </c>
      <c r="Q2038">
        <v>105</v>
      </c>
      <c r="R2038" t="str">
        <f>"FARMACIA ECONOMIZE (10103)"</f>
        <v>FARMACIA ECONOMIZE (10103)</v>
      </c>
      <c r="S2038" t="s">
        <v>77</v>
      </c>
      <c r="T2038">
        <v>18245</v>
      </c>
      <c r="U2038">
        <v>21696</v>
      </c>
      <c r="V2038" t="s">
        <v>77</v>
      </c>
    </row>
    <row r="2039" spans="1:22">
      <c r="A2039" t="str">
        <f t="shared" si="327"/>
        <v>11/09/2025</v>
      </c>
      <c r="B2039" t="str">
        <f t="shared" si="328"/>
        <v>SAÍDA</v>
      </c>
      <c r="C2039" t="str">
        <f t="shared" si="329"/>
        <v>PIX</v>
      </c>
      <c r="D2039" t="str">
        <f>"21697"</f>
        <v>21697</v>
      </c>
      <c r="E2039" t="str">
        <f t="shared" si="330"/>
        <v>1</v>
      </c>
      <c r="F2039" t="str">
        <f t="shared" si="332"/>
        <v>COM</v>
      </c>
      <c r="G2039" t="str">
        <f>"WILLIAM DA SILVA COSTA (655)"</f>
        <v>WILLIAM DA SILVA COSTA (655)</v>
      </c>
      <c r="H2039" t="str">
        <f>"Serv.Prest. 01/09/2025 a 07/09/2025 - PIX: CELULAR - CHAVE: (64) 97400-9101"</f>
        <v>Serv.Prest. 01/09/2025 a 07/09/2025 - PIX: CELULAR - CHAVE: (64) 97400-9101</v>
      </c>
      <c r="I2039" t="str">
        <f t="shared" si="331"/>
        <v>11/09/2025</v>
      </c>
      <c r="J2039" t="str">
        <f t="shared" si="333"/>
        <v>09/09/2025</v>
      </c>
      <c r="K2039" t="str">
        <f>("11/09/2025")</f>
        <v>11/09/2025</v>
      </c>
      <c r="L2039">
        <v>1534</v>
      </c>
      <c r="M2039">
        <v>1534</v>
      </c>
      <c r="N2039">
        <v>109</v>
      </c>
      <c r="O2039" t="str">
        <f>"PAGAMENTO DE ENTREGADORES"</f>
        <v>PAGAMENTO DE ENTREGADORES</v>
      </c>
      <c r="P2039">
        <v>1534</v>
      </c>
      <c r="S2039" t="str">
        <f>"BANCO C6 (149)"</f>
        <v>BANCO C6 (149)</v>
      </c>
      <c r="T2039">
        <v>18246</v>
      </c>
      <c r="U2039">
        <v>21697</v>
      </c>
      <c r="V2039" t="s">
        <v>77</v>
      </c>
    </row>
    <row r="2040" spans="1:22">
      <c r="A2040" t="str">
        <f t="shared" si="327"/>
        <v>11/09/2025</v>
      </c>
      <c r="B2040" t="str">
        <f t="shared" si="328"/>
        <v>SAÍDA</v>
      </c>
      <c r="C2040" t="str">
        <f t="shared" si="329"/>
        <v>PIX</v>
      </c>
      <c r="D2040" t="str">
        <f>"21697"</f>
        <v>21697</v>
      </c>
      <c r="E2040" t="str">
        <f t="shared" si="330"/>
        <v>1</v>
      </c>
      <c r="F2040" t="str">
        <f t="shared" si="332"/>
        <v>COM</v>
      </c>
      <c r="G2040" t="str">
        <f>"WILLIAM DA SILVA COSTA (655)"</f>
        <v>WILLIAM DA SILVA COSTA (655)</v>
      </c>
      <c r="H2040" t="s">
        <v>454</v>
      </c>
      <c r="I2040" t="str">
        <f t="shared" si="331"/>
        <v>11/09/2025</v>
      </c>
      <c r="J2040" t="str">
        <f t="shared" si="333"/>
        <v>09/09/2025</v>
      </c>
      <c r="K2040">
        <v>45911</v>
      </c>
      <c r="N2040">
        <v>109</v>
      </c>
      <c r="O2040" t="s">
        <v>24</v>
      </c>
      <c r="Q2040">
        <v>1534</v>
      </c>
      <c r="R2040" t="str">
        <f>"FARMACIA ECONOMIZE (10103)"</f>
        <v>FARMACIA ECONOMIZE (10103)</v>
      </c>
      <c r="S2040" t="s">
        <v>77</v>
      </c>
      <c r="T2040">
        <v>18246</v>
      </c>
      <c r="U2040">
        <v>21697</v>
      </c>
      <c r="V2040" t="s">
        <v>77</v>
      </c>
    </row>
    <row r="2041" spans="1:22">
      <c r="A2041" t="str">
        <f t="shared" si="327"/>
        <v>11/09/2025</v>
      </c>
      <c r="B2041" t="str">
        <f t="shared" si="328"/>
        <v>SAÍDA</v>
      </c>
      <c r="C2041" t="str">
        <f t="shared" si="329"/>
        <v>PIX</v>
      </c>
      <c r="D2041" t="str">
        <f t="shared" ref="D2041:D2049" si="334">"1109"</f>
        <v>1109</v>
      </c>
      <c r="E2041" t="str">
        <f t="shared" ref="E2041:E2049" si="335">"25"</f>
        <v>25</v>
      </c>
      <c r="F2041" t="str">
        <f t="shared" si="332"/>
        <v>COM</v>
      </c>
      <c r="G2041" t="str">
        <f>"ALLAN SILVA DAMACENA (790)"</f>
        <v>ALLAN SILVA DAMACENA (790)</v>
      </c>
      <c r="H2041" t="str">
        <f>"ADIANTAMENTO - PIX: CELULAR - CHAVE: (19) 98944-4977"</f>
        <v>ADIANTAMENTO - PIX: CELULAR - CHAVE: (19) 98944-4977</v>
      </c>
      <c r="I2041" t="str">
        <f t="shared" si="331"/>
        <v>11/09/2025</v>
      </c>
      <c r="J2041" t="str">
        <f t="shared" si="333"/>
        <v>09/09/2025</v>
      </c>
      <c r="K2041" t="str">
        <f>("11/09/2025")</f>
        <v>11/09/2025</v>
      </c>
      <c r="L2041">
        <v>800</v>
      </c>
      <c r="M2041">
        <v>800</v>
      </c>
      <c r="N2041">
        <v>5000</v>
      </c>
      <c r="O2041" t="str">
        <f>"SOLICITACAO DE ADIANTAMENTO"</f>
        <v>SOLICITACAO DE ADIANTAMENTO</v>
      </c>
      <c r="P2041">
        <v>800</v>
      </c>
      <c r="S2041" t="str">
        <f>"BANCO C6 (149)"</f>
        <v>BANCO C6 (149)</v>
      </c>
      <c r="T2041">
        <v>18247</v>
      </c>
      <c r="U2041">
        <v>21709</v>
      </c>
      <c r="V2041" t="s">
        <v>77</v>
      </c>
    </row>
    <row r="2042" spans="1:22">
      <c r="A2042" t="str">
        <f t="shared" si="327"/>
        <v>11/09/2025</v>
      </c>
      <c r="B2042" t="str">
        <f t="shared" si="328"/>
        <v>SAÍDA</v>
      </c>
      <c r="C2042" t="str">
        <f t="shared" si="329"/>
        <v>PIX</v>
      </c>
      <c r="D2042" t="str">
        <f t="shared" si="334"/>
        <v>1109</v>
      </c>
      <c r="E2042" t="str">
        <f t="shared" si="335"/>
        <v>25</v>
      </c>
      <c r="F2042" t="str">
        <f t="shared" si="332"/>
        <v>COM</v>
      </c>
      <c r="G2042" t="str">
        <f>"ALLAN SILVA DAMACENA (790)"</f>
        <v>ALLAN SILVA DAMACENA (790)</v>
      </c>
      <c r="H2042" t="s">
        <v>540</v>
      </c>
      <c r="I2042" t="str">
        <f t="shared" si="331"/>
        <v>11/09/2025</v>
      </c>
      <c r="J2042" t="str">
        <f t="shared" si="333"/>
        <v>09/09/2025</v>
      </c>
      <c r="K2042">
        <v>45911</v>
      </c>
      <c r="N2042">
        <v>5000</v>
      </c>
      <c r="O2042" t="s">
        <v>86</v>
      </c>
      <c r="Q2042">
        <v>800</v>
      </c>
      <c r="R2042" t="str">
        <f>"ALLAN SILVA DAMACENA (790)"</f>
        <v>ALLAN SILVA DAMACENA (790)</v>
      </c>
      <c r="S2042" t="s">
        <v>77</v>
      </c>
      <c r="T2042">
        <v>18247</v>
      </c>
      <c r="U2042">
        <v>21709</v>
      </c>
      <c r="V2042" t="s">
        <v>77</v>
      </c>
    </row>
    <row r="2043" spans="1:22">
      <c r="A2043" t="str">
        <f t="shared" si="327"/>
        <v>11/09/2025</v>
      </c>
      <c r="B2043" t="str">
        <f t="shared" si="328"/>
        <v>SAÍDA</v>
      </c>
      <c r="C2043" t="str">
        <f t="shared" si="329"/>
        <v>PIX</v>
      </c>
      <c r="D2043" t="str">
        <f t="shared" si="334"/>
        <v>1109</v>
      </c>
      <c r="E2043" t="str">
        <f t="shared" si="335"/>
        <v>25</v>
      </c>
      <c r="F2043" t="str">
        <f t="shared" si="332"/>
        <v>COM</v>
      </c>
      <c r="G2043" t="str">
        <f>"MAYKON LOPES DE MENEZES (781)"</f>
        <v>MAYKON LOPES DE MENEZES (781)</v>
      </c>
      <c r="H2043" t="str">
        <f>"ADIANTAMENTO - PIX: CPF - CHAVE: 012.600.851-55"</f>
        <v>ADIANTAMENTO - PIX: CPF - CHAVE: 012.600.851-55</v>
      </c>
      <c r="I2043" t="str">
        <f t="shared" si="331"/>
        <v>11/09/2025</v>
      </c>
      <c r="J2043" t="str">
        <f>("08/09/2025")</f>
        <v>08/09/2025</v>
      </c>
      <c r="K2043" t="str">
        <f>("11/09/2025")</f>
        <v>11/09/2025</v>
      </c>
      <c r="L2043">
        <v>700</v>
      </c>
      <c r="M2043">
        <v>700</v>
      </c>
      <c r="N2043">
        <v>5000</v>
      </c>
      <c r="O2043" t="str">
        <f>"SOLICITACAO DE ADIANTAMENTO"</f>
        <v>SOLICITACAO DE ADIANTAMENTO</v>
      </c>
      <c r="P2043">
        <v>700</v>
      </c>
      <c r="S2043" t="str">
        <f>"BANCO C6 (149)"</f>
        <v>BANCO C6 (149)</v>
      </c>
      <c r="T2043">
        <v>18248</v>
      </c>
      <c r="U2043">
        <v>21853</v>
      </c>
      <c r="V2043" t="s">
        <v>77</v>
      </c>
    </row>
    <row r="2044" spans="1:22">
      <c r="A2044" t="str">
        <f t="shared" si="327"/>
        <v>11/09/2025</v>
      </c>
      <c r="B2044" t="str">
        <f t="shared" si="328"/>
        <v>SAÍDA</v>
      </c>
      <c r="C2044" t="str">
        <f t="shared" si="329"/>
        <v>PIX</v>
      </c>
      <c r="D2044" t="str">
        <f t="shared" si="334"/>
        <v>1109</v>
      </c>
      <c r="E2044" t="str">
        <f t="shared" si="335"/>
        <v>25</v>
      </c>
      <c r="F2044" t="str">
        <f t="shared" si="332"/>
        <v>COM</v>
      </c>
      <c r="G2044" t="str">
        <f>"MAYKON LOPES DE MENEZES (781)"</f>
        <v>MAYKON LOPES DE MENEZES (781)</v>
      </c>
      <c r="H2044" t="s">
        <v>541</v>
      </c>
      <c r="I2044" t="str">
        <f t="shared" si="331"/>
        <v>11/09/2025</v>
      </c>
      <c r="J2044" t="str">
        <f>("08/09/2025")</f>
        <v>08/09/2025</v>
      </c>
      <c r="K2044">
        <v>45911</v>
      </c>
      <c r="N2044">
        <v>5000</v>
      </c>
      <c r="O2044" t="s">
        <v>86</v>
      </c>
      <c r="Q2044">
        <v>700</v>
      </c>
      <c r="R2044" t="str">
        <f>"MAYKON LOPES DE MENEZES (781)"</f>
        <v>MAYKON LOPES DE MENEZES (781)</v>
      </c>
      <c r="S2044" t="s">
        <v>77</v>
      </c>
      <c r="T2044">
        <v>18248</v>
      </c>
      <c r="U2044">
        <v>21853</v>
      </c>
      <c r="V2044" t="s">
        <v>77</v>
      </c>
    </row>
    <row r="2045" spans="1:22">
      <c r="A2045" t="str">
        <f t="shared" si="327"/>
        <v>11/09/2025</v>
      </c>
      <c r="B2045" t="str">
        <f t="shared" si="328"/>
        <v>SAÍDA</v>
      </c>
      <c r="C2045" t="str">
        <f t="shared" si="329"/>
        <v>PIX</v>
      </c>
      <c r="D2045" t="str">
        <f t="shared" si="334"/>
        <v>1109</v>
      </c>
      <c r="E2045" t="str">
        <f t="shared" si="335"/>
        <v>25</v>
      </c>
      <c r="F2045" t="str">
        <f t="shared" si="332"/>
        <v>COM</v>
      </c>
      <c r="G2045" t="str">
        <f>"WELLINGTON DOS SANTOS ALVES (438)"</f>
        <v>WELLINGTON DOS SANTOS ALVES (438)</v>
      </c>
      <c r="H2045" t="str">
        <f>"ADIANTAMENTO - PIX: CELULAR - CHAVE: (32) 99800-1691"</f>
        <v>ADIANTAMENTO - PIX: CELULAR - CHAVE: (32) 99800-1691</v>
      </c>
      <c r="I2045" t="str">
        <f t="shared" si="331"/>
        <v>11/09/2025</v>
      </c>
      <c r="J2045" t="str">
        <f>("02/09/2025")</f>
        <v>02/09/2025</v>
      </c>
      <c r="K2045" t="str">
        <f>("11/09/2025")</f>
        <v>11/09/2025</v>
      </c>
      <c r="L2045">
        <v>400</v>
      </c>
      <c r="M2045">
        <v>400</v>
      </c>
      <c r="N2045">
        <v>5000</v>
      </c>
      <c r="O2045" t="str">
        <f>"SOLICITACAO DE ADIANTAMENTO"</f>
        <v>SOLICITACAO DE ADIANTAMENTO</v>
      </c>
      <c r="P2045">
        <v>400</v>
      </c>
      <c r="S2045" t="str">
        <f>"BANCO C6 (149)"</f>
        <v>BANCO C6 (149)</v>
      </c>
      <c r="T2045">
        <v>18249</v>
      </c>
      <c r="U2045">
        <v>21915</v>
      </c>
      <c r="V2045" t="s">
        <v>77</v>
      </c>
    </row>
    <row r="2046" spans="1:22">
      <c r="A2046" t="str">
        <f t="shared" si="327"/>
        <v>11/09/2025</v>
      </c>
      <c r="B2046" t="str">
        <f t="shared" si="328"/>
        <v>SAÍDA</v>
      </c>
      <c r="C2046" t="str">
        <f t="shared" si="329"/>
        <v>PIX</v>
      </c>
      <c r="D2046" t="str">
        <f t="shared" si="334"/>
        <v>1109</v>
      </c>
      <c r="E2046" t="str">
        <f t="shared" si="335"/>
        <v>25</v>
      </c>
      <c r="F2046" t="str">
        <f t="shared" si="332"/>
        <v>COM</v>
      </c>
      <c r="G2046" t="str">
        <f>"WELLINGTON DOS SANTOS ALVES (438)"</f>
        <v>WELLINGTON DOS SANTOS ALVES (438)</v>
      </c>
      <c r="H2046" t="s">
        <v>542</v>
      </c>
      <c r="I2046" t="str">
        <f t="shared" si="331"/>
        <v>11/09/2025</v>
      </c>
      <c r="J2046" t="str">
        <f>("02/09/2025")</f>
        <v>02/09/2025</v>
      </c>
      <c r="K2046">
        <v>45911</v>
      </c>
      <c r="N2046">
        <v>5000</v>
      </c>
      <c r="O2046" t="s">
        <v>86</v>
      </c>
      <c r="Q2046">
        <v>327.27999999999997</v>
      </c>
      <c r="R2046" t="str">
        <f>"FARMÁCIA INDIANA LJ 112 (10050)"</f>
        <v>FARMÁCIA INDIANA LJ 112 (10050)</v>
      </c>
      <c r="S2046" t="s">
        <v>77</v>
      </c>
      <c r="T2046">
        <v>18249</v>
      </c>
      <c r="U2046">
        <v>21915</v>
      </c>
      <c r="V2046" t="s">
        <v>77</v>
      </c>
    </row>
    <row r="2047" spans="1:22">
      <c r="A2047" t="str">
        <f t="shared" si="327"/>
        <v>11/09/2025</v>
      </c>
      <c r="B2047" t="str">
        <f t="shared" si="328"/>
        <v>SAÍDA</v>
      </c>
      <c r="C2047" t="str">
        <f t="shared" si="329"/>
        <v>PIX</v>
      </c>
      <c r="D2047" t="str">
        <f t="shared" si="334"/>
        <v>1109</v>
      </c>
      <c r="E2047" t="str">
        <f t="shared" si="335"/>
        <v>25</v>
      </c>
      <c r="F2047" t="str">
        <f t="shared" si="332"/>
        <v>COM</v>
      </c>
      <c r="G2047" t="str">
        <f>"WELLINGTON DOS SANTOS ALVES (438)"</f>
        <v>WELLINGTON DOS SANTOS ALVES (438)</v>
      </c>
      <c r="H2047" t="s">
        <v>542</v>
      </c>
      <c r="I2047" t="str">
        <f t="shared" si="331"/>
        <v>11/09/2025</v>
      </c>
      <c r="J2047" t="str">
        <f>("02/09/2025")</f>
        <v>02/09/2025</v>
      </c>
      <c r="K2047">
        <v>45911</v>
      </c>
      <c r="N2047">
        <v>5000</v>
      </c>
      <c r="O2047" t="s">
        <v>86</v>
      </c>
      <c r="Q2047">
        <v>9.08</v>
      </c>
      <c r="R2047" t="str">
        <f>"FARMÁCIA INDIANA LJ 116 (10051)"</f>
        <v>FARMÁCIA INDIANA LJ 116 (10051)</v>
      </c>
      <c r="S2047" t="s">
        <v>77</v>
      </c>
      <c r="T2047">
        <v>18249</v>
      </c>
      <c r="U2047">
        <v>21915</v>
      </c>
      <c r="V2047" t="s">
        <v>77</v>
      </c>
    </row>
    <row r="2048" spans="1:22">
      <c r="A2048" t="str">
        <f t="shared" si="327"/>
        <v>11/09/2025</v>
      </c>
      <c r="B2048" t="str">
        <f t="shared" si="328"/>
        <v>SAÍDA</v>
      </c>
      <c r="C2048" t="str">
        <f t="shared" si="329"/>
        <v>PIX</v>
      </c>
      <c r="D2048" t="str">
        <f t="shared" si="334"/>
        <v>1109</v>
      </c>
      <c r="E2048" t="str">
        <f t="shared" si="335"/>
        <v>25</v>
      </c>
      <c r="F2048" t="str">
        <f t="shared" si="332"/>
        <v>COM</v>
      </c>
      <c r="G2048" t="str">
        <f>"WELLINGTON DOS SANTOS ALVES (438)"</f>
        <v>WELLINGTON DOS SANTOS ALVES (438)</v>
      </c>
      <c r="H2048" t="s">
        <v>542</v>
      </c>
      <c r="I2048" t="str">
        <f t="shared" si="331"/>
        <v>11/09/2025</v>
      </c>
      <c r="J2048" t="str">
        <f>("02/09/2025")</f>
        <v>02/09/2025</v>
      </c>
      <c r="K2048">
        <v>45911</v>
      </c>
      <c r="N2048">
        <v>5000</v>
      </c>
      <c r="O2048" t="s">
        <v>86</v>
      </c>
      <c r="Q2048">
        <v>9.08</v>
      </c>
      <c r="R2048" t="str">
        <f>"FARMÁCIA INDIANA LJ 121 (10054)"</f>
        <v>FARMÁCIA INDIANA LJ 121 (10054)</v>
      </c>
      <c r="S2048" t="s">
        <v>77</v>
      </c>
      <c r="T2048">
        <v>18249</v>
      </c>
      <c r="U2048">
        <v>21915</v>
      </c>
      <c r="V2048" t="s">
        <v>77</v>
      </c>
    </row>
    <row r="2049" spans="1:22">
      <c r="A2049" t="str">
        <f t="shared" si="327"/>
        <v>11/09/2025</v>
      </c>
      <c r="B2049" t="str">
        <f t="shared" si="328"/>
        <v>SAÍDA</v>
      </c>
      <c r="C2049" t="str">
        <f t="shared" si="329"/>
        <v>PIX</v>
      </c>
      <c r="D2049" t="str">
        <f t="shared" si="334"/>
        <v>1109</v>
      </c>
      <c r="E2049" t="str">
        <f t="shared" si="335"/>
        <v>25</v>
      </c>
      <c r="F2049" t="str">
        <f t="shared" si="332"/>
        <v>COM</v>
      </c>
      <c r="G2049" t="str">
        <f>"WELLINGTON DOS SANTOS ALVES (438)"</f>
        <v>WELLINGTON DOS SANTOS ALVES (438)</v>
      </c>
      <c r="H2049" t="s">
        <v>542</v>
      </c>
      <c r="I2049" t="str">
        <f t="shared" si="331"/>
        <v>11/09/2025</v>
      </c>
      <c r="J2049" t="str">
        <f>("02/09/2025")</f>
        <v>02/09/2025</v>
      </c>
      <c r="K2049">
        <v>45911</v>
      </c>
      <c r="N2049">
        <v>5000</v>
      </c>
      <c r="O2049" t="s">
        <v>86</v>
      </c>
      <c r="Q2049">
        <v>54.56</v>
      </c>
      <c r="R2049" t="str">
        <f>"FARMÁCIA INDIANA LJ 128 (10057)"</f>
        <v>FARMÁCIA INDIANA LJ 128 (10057)</v>
      </c>
      <c r="S2049" t="s">
        <v>77</v>
      </c>
      <c r="T2049">
        <v>18249</v>
      </c>
      <c r="U2049">
        <v>21915</v>
      </c>
      <c r="V2049" t="s">
        <v>77</v>
      </c>
    </row>
    <row r="2050" spans="1:22">
      <c r="A2050" t="str">
        <f t="shared" si="327"/>
        <v>11/09/2025</v>
      </c>
      <c r="B2050" t="str">
        <f t="shared" si="328"/>
        <v>SAÍDA</v>
      </c>
      <c r="C2050" t="str">
        <f t="shared" si="329"/>
        <v>PIX</v>
      </c>
      <c r="D2050" t="str">
        <f>"22054"</f>
        <v>22054</v>
      </c>
      <c r="E2050" t="str">
        <f>"1"</f>
        <v>1</v>
      </c>
      <c r="F2050" t="str">
        <f t="shared" si="332"/>
        <v>COM</v>
      </c>
      <c r="G2050" t="str">
        <f>"WILDES ALVES CERQUEIRA ALMEIDA (874)"</f>
        <v>WILDES ALVES CERQUEIRA ALMEIDA (874)</v>
      </c>
      <c r="H2050" t="str">
        <f>"Serv.Prest. 08/09/2025 a 14/09/2025 - PIX: CELULAR - CHAVE: (73) 98155-8496"</f>
        <v>Serv.Prest. 08/09/2025 a 14/09/2025 - PIX: CELULAR - CHAVE: (73) 98155-8496</v>
      </c>
      <c r="I2050" t="str">
        <f>("25/09/2025")</f>
        <v>25/09/2025</v>
      </c>
      <c r="J2050" t="str">
        <f>("15/09/2025")</f>
        <v>15/09/2025</v>
      </c>
      <c r="K2050" t="str">
        <f>("11/09/2025")</f>
        <v>11/09/2025</v>
      </c>
      <c r="L2050">
        <v>120</v>
      </c>
      <c r="M2050">
        <v>120</v>
      </c>
      <c r="N2050">
        <v>109</v>
      </c>
      <c r="O2050" t="str">
        <f>"PAGAMENTO DE ENTREGADORES"</f>
        <v>PAGAMENTO DE ENTREGADORES</v>
      </c>
      <c r="P2050">
        <v>120</v>
      </c>
      <c r="S2050" t="str">
        <f>"BANCO CORA (102)"</f>
        <v>BANCO CORA (102)</v>
      </c>
      <c r="T2050">
        <v>18264</v>
      </c>
      <c r="U2050">
        <v>22201</v>
      </c>
      <c r="V2050" t="s">
        <v>22</v>
      </c>
    </row>
    <row r="2051" spans="1:22">
      <c r="A2051" t="str">
        <f t="shared" si="327"/>
        <v>11/09/2025</v>
      </c>
      <c r="B2051" t="str">
        <f t="shared" si="328"/>
        <v>SAÍDA</v>
      </c>
      <c r="C2051" t="str">
        <f t="shared" si="329"/>
        <v>PIX</v>
      </c>
      <c r="D2051" t="str">
        <f>"22054"</f>
        <v>22054</v>
      </c>
      <c r="E2051" t="str">
        <f>"1"</f>
        <v>1</v>
      </c>
      <c r="F2051" t="str">
        <f t="shared" si="332"/>
        <v>COM</v>
      </c>
      <c r="G2051" t="str">
        <f>"WILDES ALVES CERQUEIRA ALMEIDA (874)"</f>
        <v>WILDES ALVES CERQUEIRA ALMEIDA (874)</v>
      </c>
      <c r="H2051" t="s">
        <v>367</v>
      </c>
      <c r="I2051" t="str">
        <f>("25/09/2025")</f>
        <v>25/09/2025</v>
      </c>
      <c r="J2051" t="str">
        <f>("15/09/2025")</f>
        <v>15/09/2025</v>
      </c>
      <c r="K2051">
        <v>45911</v>
      </c>
      <c r="N2051">
        <v>109</v>
      </c>
      <c r="O2051" t="s">
        <v>24</v>
      </c>
      <c r="Q2051">
        <v>120</v>
      </c>
      <c r="R2051" t="str">
        <f>"FARMÁCIA INDIANA LJ 65 (10030)"</f>
        <v>FARMÁCIA INDIANA LJ 65 (10030)</v>
      </c>
      <c r="S2051" t="s">
        <v>22</v>
      </c>
      <c r="T2051">
        <v>18264</v>
      </c>
      <c r="U2051">
        <v>22201</v>
      </c>
      <c r="V2051" t="s">
        <v>22</v>
      </c>
    </row>
    <row r="2052" spans="1:22">
      <c r="A2052" t="str">
        <f t="shared" si="327"/>
        <v>11/09/2025</v>
      </c>
      <c r="B2052" t="str">
        <f t="shared" si="328"/>
        <v>SAÍDA</v>
      </c>
      <c r="C2052" t="str">
        <f t="shared" si="329"/>
        <v>PIX</v>
      </c>
      <c r="D2052" t="str">
        <f>"1109258000"</f>
        <v>1109258000</v>
      </c>
      <c r="E2052" t="str">
        <f>""</f>
        <v/>
      </c>
      <c r="F2052" t="str">
        <f t="shared" si="332"/>
        <v>COM</v>
      </c>
      <c r="G2052" t="str">
        <f>"54.235.509 ROBERT MAGDIEL DE CARVALHO (20004)"</f>
        <v>54.235.509 ROBERT MAGDIEL DE CARVALHO (20004)</v>
      </c>
      <c r="H2052" t="str">
        <f>"DESENVOLVIMENTO FERRAMENTA DE IA - ANALISE DE PERFIL"</f>
        <v>DESENVOLVIMENTO FERRAMENTA DE IA - ANALISE DE PERFIL</v>
      </c>
      <c r="I2052" t="str">
        <f>("11/09/2025")</f>
        <v>11/09/2025</v>
      </c>
      <c r="J2052" t="str">
        <f>("11/09/2025")</f>
        <v>11/09/2025</v>
      </c>
      <c r="K2052" t="str">
        <f>("11/09/2025")</f>
        <v>11/09/2025</v>
      </c>
      <c r="L2052">
        <v>2750</v>
      </c>
      <c r="M2052">
        <v>2750</v>
      </c>
      <c r="N2052">
        <v>104</v>
      </c>
      <c r="O2052" t="str">
        <f>"SOFTWARE / LICENÇAS"</f>
        <v>SOFTWARE / LICENÇAS</v>
      </c>
      <c r="P2052">
        <v>2750</v>
      </c>
      <c r="S2052" t="str">
        <f>"BANCO CORA (102)"</f>
        <v>BANCO CORA (102)</v>
      </c>
      <c r="T2052">
        <v>18547</v>
      </c>
      <c r="U2052">
        <v>21922</v>
      </c>
      <c r="V2052" t="s">
        <v>22</v>
      </c>
    </row>
    <row r="2053" spans="1:22">
      <c r="A2053" t="str">
        <f t="shared" si="327"/>
        <v>11/09/2025</v>
      </c>
      <c r="B2053" t="str">
        <f t="shared" si="328"/>
        <v>SAÍDA</v>
      </c>
      <c r="C2053" t="str">
        <f t="shared" si="329"/>
        <v>PIX</v>
      </c>
      <c r="D2053" t="str">
        <f>"1109258000"</f>
        <v>1109258000</v>
      </c>
      <c r="E2053" t="str">
        <f>""</f>
        <v/>
      </c>
      <c r="F2053" t="str">
        <f t="shared" si="332"/>
        <v>COM</v>
      </c>
      <c r="G2053" t="str">
        <f>"54.235.509 ROBERT MAGDIEL DE CARVALHO (20004)"</f>
        <v>54.235.509 ROBERT MAGDIEL DE CARVALHO (20004)</v>
      </c>
      <c r="H2053" t="s">
        <v>543</v>
      </c>
      <c r="I2053" t="str">
        <f t="shared" ref="I2053:J2059" si="336">("11/09/2025")</f>
        <v>11/09/2025</v>
      </c>
      <c r="J2053" t="str">
        <f t="shared" si="336"/>
        <v>11/09/2025</v>
      </c>
      <c r="K2053">
        <v>45911</v>
      </c>
      <c r="N2053">
        <v>104</v>
      </c>
      <c r="O2053" t="s">
        <v>34</v>
      </c>
      <c r="Q2053">
        <v>2750</v>
      </c>
      <c r="R2053" t="str">
        <f>"54.235.509 ROBERT MAGDIEL DE CARVALHO (20004)"</f>
        <v>54.235.509 ROBERT MAGDIEL DE CARVALHO (20004)</v>
      </c>
      <c r="S2053" t="s">
        <v>22</v>
      </c>
      <c r="T2053">
        <v>18547</v>
      </c>
      <c r="U2053">
        <v>21922</v>
      </c>
      <c r="V2053" t="s">
        <v>22</v>
      </c>
    </row>
    <row r="2054" spans="1:22">
      <c r="A2054" t="str">
        <f t="shared" si="327"/>
        <v>11/09/2025</v>
      </c>
      <c r="B2054" t="str">
        <f t="shared" si="328"/>
        <v>SAÍDA</v>
      </c>
      <c r="C2054" t="str">
        <f t="shared" ref="C2054:C2059" si="337">"TRANSFERENCIA"</f>
        <v>TRANSFERENCIA</v>
      </c>
      <c r="D2054" t="str">
        <f>""</f>
        <v/>
      </c>
      <c r="F2054" t="str">
        <f t="shared" ref="F2054:F2059" si="338">"TRF"</f>
        <v>TRF</v>
      </c>
      <c r="G2054" t="str">
        <f>""</f>
        <v/>
      </c>
      <c r="H2054" t="str">
        <f>"TRANSFERENCIA ENTRE CONTAS (102-&gt;149)"</f>
        <v>TRANSFERENCIA ENTRE CONTAS (102-&gt;149)</v>
      </c>
      <c r="I2054" t="str">
        <f t="shared" si="336"/>
        <v>11/09/2025</v>
      </c>
      <c r="J2054" t="str">
        <f t="shared" si="336"/>
        <v>11/09/2025</v>
      </c>
      <c r="K2054" t="str">
        <f t="shared" ref="K2054:K2060" si="339">("11/09/2025")</f>
        <v>11/09/2025</v>
      </c>
      <c r="N2054">
        <v>102</v>
      </c>
      <c r="O2054" t="str">
        <f>"BANCO CORA"</f>
        <v>BANCO CORA</v>
      </c>
      <c r="P2054">
        <v>6074.69</v>
      </c>
      <c r="S2054" t="str">
        <f>"BANCO CORA (102)"</f>
        <v>BANCO CORA (102)</v>
      </c>
      <c r="T2054">
        <v>18556</v>
      </c>
      <c r="U2054">
        <v>0</v>
      </c>
      <c r="V2054" t="s">
        <v>22</v>
      </c>
    </row>
    <row r="2055" spans="1:22">
      <c r="A2055" t="str">
        <f t="shared" si="327"/>
        <v>11/09/2025</v>
      </c>
      <c r="B2055" t="str">
        <f>"ENTRADA"</f>
        <v>ENTRADA</v>
      </c>
      <c r="C2055" t="str">
        <f t="shared" si="337"/>
        <v>TRANSFERENCIA</v>
      </c>
      <c r="D2055" t="str">
        <f>""</f>
        <v/>
      </c>
      <c r="F2055" t="str">
        <f t="shared" si="338"/>
        <v>TRF</v>
      </c>
      <c r="G2055" t="str">
        <f>""</f>
        <v/>
      </c>
      <c r="H2055" t="str">
        <f>"TRANSFERENCIA ENTRE CONTAS (102-&gt;149)"</f>
        <v>TRANSFERENCIA ENTRE CONTAS (102-&gt;149)</v>
      </c>
      <c r="I2055" t="str">
        <f t="shared" si="336"/>
        <v>11/09/2025</v>
      </c>
      <c r="J2055" t="str">
        <f t="shared" si="336"/>
        <v>11/09/2025</v>
      </c>
      <c r="K2055" t="str">
        <f t="shared" si="339"/>
        <v>11/09/2025</v>
      </c>
      <c r="N2055">
        <v>149</v>
      </c>
      <c r="O2055" t="str">
        <f>"BANCO C6"</f>
        <v>BANCO C6</v>
      </c>
      <c r="S2055" t="str">
        <f>"BANCO C6 (149)"</f>
        <v>BANCO C6 (149)</v>
      </c>
      <c r="T2055">
        <v>18556</v>
      </c>
      <c r="U2055">
        <v>0</v>
      </c>
      <c r="V2055" t="s">
        <v>77</v>
      </c>
    </row>
    <row r="2056" spans="1:22">
      <c r="A2056" t="str">
        <f t="shared" si="327"/>
        <v>11/09/2025</v>
      </c>
      <c r="B2056" t="str">
        <f>"SAÍDA"</f>
        <v>SAÍDA</v>
      </c>
      <c r="C2056" t="str">
        <f t="shared" si="337"/>
        <v>TRANSFERENCIA</v>
      </c>
      <c r="D2056" t="str">
        <f>""</f>
        <v/>
      </c>
      <c r="F2056" t="str">
        <f t="shared" si="338"/>
        <v>TRF</v>
      </c>
      <c r="G2056" t="str">
        <f>""</f>
        <v/>
      </c>
      <c r="H2056" t="str">
        <f>"TRANSFERENCIA ENTRE CONTAS (102-&gt;149)"</f>
        <v>TRANSFERENCIA ENTRE CONTAS (102-&gt;149)</v>
      </c>
      <c r="I2056" t="str">
        <f t="shared" si="336"/>
        <v>11/09/2025</v>
      </c>
      <c r="J2056" t="str">
        <f t="shared" si="336"/>
        <v>11/09/2025</v>
      </c>
      <c r="K2056" t="str">
        <f t="shared" si="339"/>
        <v>11/09/2025</v>
      </c>
      <c r="N2056">
        <v>102</v>
      </c>
      <c r="O2056" t="str">
        <f>"BANCO CORA"</f>
        <v>BANCO CORA</v>
      </c>
      <c r="P2056">
        <v>15000</v>
      </c>
      <c r="S2056" t="str">
        <f>"BANCO CORA (102)"</f>
        <v>BANCO CORA (102)</v>
      </c>
      <c r="T2056">
        <v>18557</v>
      </c>
      <c r="U2056">
        <v>0</v>
      </c>
      <c r="V2056" t="s">
        <v>22</v>
      </c>
    </row>
    <row r="2057" spans="1:22">
      <c r="A2057" t="str">
        <f t="shared" si="327"/>
        <v>11/09/2025</v>
      </c>
      <c r="B2057" t="str">
        <f>"ENTRADA"</f>
        <v>ENTRADA</v>
      </c>
      <c r="C2057" t="str">
        <f t="shared" si="337"/>
        <v>TRANSFERENCIA</v>
      </c>
      <c r="D2057" t="str">
        <f>""</f>
        <v/>
      </c>
      <c r="F2057" t="str">
        <f t="shared" si="338"/>
        <v>TRF</v>
      </c>
      <c r="G2057" t="str">
        <f>""</f>
        <v/>
      </c>
      <c r="H2057" t="str">
        <f>"TRANSFERENCIA ENTRE CONTAS (102-&gt;149)"</f>
        <v>TRANSFERENCIA ENTRE CONTAS (102-&gt;149)</v>
      </c>
      <c r="I2057" t="str">
        <f t="shared" si="336"/>
        <v>11/09/2025</v>
      </c>
      <c r="J2057" t="str">
        <f t="shared" si="336"/>
        <v>11/09/2025</v>
      </c>
      <c r="K2057" t="str">
        <f t="shared" si="339"/>
        <v>11/09/2025</v>
      </c>
      <c r="N2057">
        <v>149</v>
      </c>
      <c r="O2057" t="str">
        <f>"BANCO C6"</f>
        <v>BANCO C6</v>
      </c>
      <c r="S2057" t="str">
        <f>"BANCO C6 (149)"</f>
        <v>BANCO C6 (149)</v>
      </c>
      <c r="T2057">
        <v>18557</v>
      </c>
      <c r="U2057">
        <v>0</v>
      </c>
      <c r="V2057" t="s">
        <v>77</v>
      </c>
    </row>
    <row r="2058" spans="1:22">
      <c r="A2058" t="str">
        <f t="shared" si="327"/>
        <v>11/09/2025</v>
      </c>
      <c r="B2058" t="str">
        <f>"SAÍDA"</f>
        <v>SAÍDA</v>
      </c>
      <c r="C2058" t="str">
        <f t="shared" si="337"/>
        <v>TRANSFERENCIA</v>
      </c>
      <c r="D2058" t="str">
        <f>""</f>
        <v/>
      </c>
      <c r="F2058" t="str">
        <f t="shared" si="338"/>
        <v>TRF</v>
      </c>
      <c r="G2058" t="str">
        <f>""</f>
        <v/>
      </c>
      <c r="H2058" t="str">
        <f>"RESERVA LIMITE CARTAO CREDITO COOPMOB (102-&gt;138)"</f>
        <v>RESERVA LIMITE CARTAO CREDITO COOPMOB (102-&gt;138)</v>
      </c>
      <c r="I2058" t="str">
        <f t="shared" si="336"/>
        <v>11/09/2025</v>
      </c>
      <c r="J2058" t="str">
        <f t="shared" si="336"/>
        <v>11/09/2025</v>
      </c>
      <c r="K2058" t="str">
        <f t="shared" si="339"/>
        <v>11/09/2025</v>
      </c>
      <c r="N2058">
        <v>102</v>
      </c>
      <c r="O2058" t="str">
        <f>"BANCO CORA"</f>
        <v>BANCO CORA</v>
      </c>
      <c r="P2058">
        <v>4895.7700000000004</v>
      </c>
      <c r="S2058" t="str">
        <f>"BANCO CORA (102)"</f>
        <v>BANCO CORA (102)</v>
      </c>
      <c r="T2058">
        <v>18558</v>
      </c>
      <c r="U2058">
        <v>0</v>
      </c>
      <c r="V2058" t="s">
        <v>22</v>
      </c>
    </row>
    <row r="2059" spans="1:22">
      <c r="A2059" t="str">
        <f t="shared" si="327"/>
        <v>11/09/2025</v>
      </c>
      <c r="B2059" t="str">
        <f t="shared" ref="B2059:B2079" si="340">"ENTRADA"</f>
        <v>ENTRADA</v>
      </c>
      <c r="C2059" t="str">
        <f t="shared" si="337"/>
        <v>TRANSFERENCIA</v>
      </c>
      <c r="D2059" t="str">
        <f>""</f>
        <v/>
      </c>
      <c r="F2059" t="str">
        <f t="shared" si="338"/>
        <v>TRF</v>
      </c>
      <c r="G2059" t="str">
        <f>""</f>
        <v/>
      </c>
      <c r="H2059" t="str">
        <f>"RESERVA LIMITE CARTAO CREDITO COOPMOB (102-&gt;138)"</f>
        <v>RESERVA LIMITE CARTAO CREDITO COOPMOB (102-&gt;138)</v>
      </c>
      <c r="I2059" t="str">
        <f t="shared" si="336"/>
        <v>11/09/2025</v>
      </c>
      <c r="J2059" t="str">
        <f t="shared" si="336"/>
        <v>11/09/2025</v>
      </c>
      <c r="K2059" t="str">
        <f t="shared" si="339"/>
        <v>11/09/2025</v>
      </c>
      <c r="N2059">
        <v>138</v>
      </c>
      <c r="O2059" t="str">
        <f>"CARTÃO CREDITO COOPMOB"</f>
        <v>CARTÃO CREDITO COOPMOB</v>
      </c>
      <c r="S2059" t="str">
        <f>"CARTÃO CREDITO COOPMOB (138)"</f>
        <v>CARTÃO CREDITO COOPMOB (138)</v>
      </c>
      <c r="T2059">
        <v>18558</v>
      </c>
      <c r="U2059">
        <v>0</v>
      </c>
      <c r="V2059" t="s">
        <v>544</v>
      </c>
    </row>
    <row r="2060" spans="1:22">
      <c r="A2060" t="str">
        <f t="shared" ref="A2060:A2102" si="341">("11/09/2025")</f>
        <v>11/09/2025</v>
      </c>
      <c r="B2060" t="str">
        <f t="shared" si="340"/>
        <v>ENTRADA</v>
      </c>
      <c r="C2060" t="str">
        <f t="shared" ref="C2060:C2079" si="342">"NFSE"</f>
        <v>NFSE</v>
      </c>
      <c r="D2060" t="str">
        <f>"3326"</f>
        <v>3326</v>
      </c>
      <c r="E2060" t="str">
        <f t="shared" ref="E2060:E2079" si="343">"1"</f>
        <v>1</v>
      </c>
      <c r="F2060" t="str">
        <f t="shared" ref="F2060:F2101" si="344">"COM"</f>
        <v>COM</v>
      </c>
      <c r="G2060" t="str">
        <f>"DROGARIA ANA VISCONDE DO RIO BRANCO (10182)"</f>
        <v>DROGARIA ANA VISCONDE DO RIO BRANCO (10182)</v>
      </c>
      <c r="H2060" t="str">
        <f>"Serv.Prest. 01/09/2025 a 07/09/2025 - RPS: 1202 - NFSe: 3326"</f>
        <v>Serv.Prest. 01/09/2025 a 07/09/2025 - RPS: 1202 - NFSe: 3326</v>
      </c>
      <c r="I2060" t="str">
        <f t="shared" ref="I2060:I2077" si="345">("10/09/2025")</f>
        <v>10/09/2025</v>
      </c>
      <c r="J2060" t="str">
        <f>("08/09/2025")</f>
        <v>08/09/2025</v>
      </c>
      <c r="K2060" t="str">
        <f t="shared" si="339"/>
        <v>11/09/2025</v>
      </c>
      <c r="L2060">
        <v>4437.72</v>
      </c>
      <c r="M2060">
        <v>4437.72</v>
      </c>
      <c r="N2060">
        <v>303</v>
      </c>
      <c r="O2060" t="str">
        <f>"RECEITAS COM ENTREGAS"</f>
        <v>RECEITAS COM ENTREGAS</v>
      </c>
      <c r="P2060">
        <v>4437.72</v>
      </c>
      <c r="S2060" t="str">
        <f>"RECEITAS COM ENTREGAS (303)"</f>
        <v>RECEITAS COM ENTREGAS (303)</v>
      </c>
      <c r="T2060">
        <v>18587</v>
      </c>
      <c r="U2060">
        <v>21448</v>
      </c>
      <c r="V2060" t="s">
        <v>22</v>
      </c>
    </row>
    <row r="2061" spans="1:22">
      <c r="A2061" t="str">
        <f t="shared" si="341"/>
        <v>11/09/2025</v>
      </c>
      <c r="B2061" t="str">
        <f t="shared" si="340"/>
        <v>ENTRADA</v>
      </c>
      <c r="C2061" t="str">
        <f t="shared" si="342"/>
        <v>NFSE</v>
      </c>
      <c r="D2061" t="str">
        <f>"3326"</f>
        <v>3326</v>
      </c>
      <c r="E2061" t="str">
        <f t="shared" si="343"/>
        <v>1</v>
      </c>
      <c r="F2061" t="str">
        <f t="shared" si="344"/>
        <v>COM</v>
      </c>
      <c r="G2061" t="str">
        <f>"DROGARIA ANA VISCONDE DO RIO BRANCO (10182)"</f>
        <v>DROGARIA ANA VISCONDE DO RIO BRANCO (10182)</v>
      </c>
      <c r="H2061" t="s">
        <v>545</v>
      </c>
      <c r="I2061" t="str">
        <f t="shared" si="345"/>
        <v>10/09/2025</v>
      </c>
      <c r="J2061" t="str">
        <f>("08/09/2025")</f>
        <v>08/09/2025</v>
      </c>
      <c r="K2061">
        <v>45911</v>
      </c>
      <c r="N2061">
        <v>303</v>
      </c>
      <c r="O2061" t="s">
        <v>69</v>
      </c>
      <c r="Q2061">
        <v>4437.72</v>
      </c>
      <c r="R2061" t="str">
        <f>"DROGARIA ANA VISCONDE DO RIO BRANCO (10182)"</f>
        <v>DROGARIA ANA VISCONDE DO RIO BRANCO (10182)</v>
      </c>
      <c r="S2061" t="s">
        <v>70</v>
      </c>
      <c r="T2061">
        <v>18587</v>
      </c>
      <c r="U2061">
        <v>21448</v>
      </c>
      <c r="V2061" t="s">
        <v>22</v>
      </c>
    </row>
    <row r="2062" spans="1:22">
      <c r="A2062" t="str">
        <f t="shared" si="341"/>
        <v>11/09/2025</v>
      </c>
      <c r="B2062" t="str">
        <f t="shared" si="340"/>
        <v>ENTRADA</v>
      </c>
      <c r="C2062" t="str">
        <f t="shared" si="342"/>
        <v>NFSE</v>
      </c>
      <c r="D2062" t="str">
        <f>"3318"</f>
        <v>3318</v>
      </c>
      <c r="E2062" t="str">
        <f t="shared" si="343"/>
        <v>1</v>
      </c>
      <c r="F2062" t="str">
        <f t="shared" si="344"/>
        <v>COM</v>
      </c>
      <c r="G2062" t="str">
        <f>"AC FARMA - CID.ALTA (10166)"</f>
        <v>AC FARMA - CID.ALTA (10166)</v>
      </c>
      <c r="H2062" t="str">
        <f>"Serv.Prest. 25/08/2025 a 31/08/2025 - RPS: 1194 - NFSe: 3318"</f>
        <v>Serv.Prest. 25/08/2025 a 31/08/2025 - RPS: 1194 - NFSe: 3318</v>
      </c>
      <c r="I2062" t="str">
        <f t="shared" si="345"/>
        <v>10/09/2025</v>
      </c>
      <c r="J2062" t="str">
        <f t="shared" ref="J2062:J2069" si="346">("02/09/2025")</f>
        <v>02/09/2025</v>
      </c>
      <c r="K2062" t="str">
        <f>("11/09/2025")</f>
        <v>11/09/2025</v>
      </c>
      <c r="L2062">
        <v>5503.68</v>
      </c>
      <c r="M2062">
        <v>5503.68</v>
      </c>
      <c r="N2062">
        <v>303</v>
      </c>
      <c r="O2062" t="str">
        <f>"RECEITAS COM ENTREGAS"</f>
        <v>RECEITAS COM ENTREGAS</v>
      </c>
      <c r="P2062">
        <v>5503.68</v>
      </c>
      <c r="S2062" t="str">
        <f>"RECEITAS COM ENTREGAS (303)"</f>
        <v>RECEITAS COM ENTREGAS (303)</v>
      </c>
      <c r="T2062">
        <v>18588</v>
      </c>
      <c r="U2062">
        <v>21289</v>
      </c>
      <c r="V2062" t="s">
        <v>22</v>
      </c>
    </row>
    <row r="2063" spans="1:22">
      <c r="A2063" t="str">
        <f t="shared" si="341"/>
        <v>11/09/2025</v>
      </c>
      <c r="B2063" t="str">
        <f t="shared" si="340"/>
        <v>ENTRADA</v>
      </c>
      <c r="C2063" t="str">
        <f t="shared" si="342"/>
        <v>NFSE</v>
      </c>
      <c r="D2063" t="str">
        <f>"3318"</f>
        <v>3318</v>
      </c>
      <c r="E2063" t="str">
        <f t="shared" si="343"/>
        <v>1</v>
      </c>
      <c r="F2063" t="str">
        <f t="shared" si="344"/>
        <v>COM</v>
      </c>
      <c r="G2063" t="str">
        <f>"AC FARMA - CID.ALTA (10166)"</f>
        <v>AC FARMA - CID.ALTA (10166)</v>
      </c>
      <c r="H2063" t="s">
        <v>546</v>
      </c>
      <c r="I2063" t="str">
        <f t="shared" si="345"/>
        <v>10/09/2025</v>
      </c>
      <c r="J2063" t="str">
        <f t="shared" si="346"/>
        <v>02/09/2025</v>
      </c>
      <c r="K2063">
        <v>45911</v>
      </c>
      <c r="N2063">
        <v>303</v>
      </c>
      <c r="O2063" t="s">
        <v>69</v>
      </c>
      <c r="Q2063">
        <v>5503.68</v>
      </c>
      <c r="R2063" t="str">
        <f>"AC FARMA - CID.ALTA (10166)"</f>
        <v>AC FARMA - CID.ALTA (10166)</v>
      </c>
      <c r="S2063" t="s">
        <v>70</v>
      </c>
      <c r="T2063">
        <v>18588</v>
      </c>
      <c r="U2063">
        <v>21289</v>
      </c>
      <c r="V2063" t="s">
        <v>22</v>
      </c>
    </row>
    <row r="2064" spans="1:22">
      <c r="A2064" t="str">
        <f t="shared" si="341"/>
        <v>11/09/2025</v>
      </c>
      <c r="B2064" t="str">
        <f t="shared" si="340"/>
        <v>ENTRADA</v>
      </c>
      <c r="C2064" t="str">
        <f t="shared" si="342"/>
        <v>NFSE</v>
      </c>
      <c r="D2064" t="str">
        <f>"3319"</f>
        <v>3319</v>
      </c>
      <c r="E2064" t="str">
        <f t="shared" si="343"/>
        <v>1</v>
      </c>
      <c r="F2064" t="str">
        <f t="shared" si="344"/>
        <v>COM</v>
      </c>
      <c r="G2064" t="str">
        <f>"AC FARMA - FLEMINFARMA (10160)"</f>
        <v>AC FARMA - FLEMINFARMA (10160)</v>
      </c>
      <c r="H2064" t="str">
        <f>"Serv.Prest. 25/08/2025 a 31/08/2025 - RPS: 1195 - NFSe: 3319"</f>
        <v>Serv.Prest. 25/08/2025 a 31/08/2025 - RPS: 1195 - NFSe: 3319</v>
      </c>
      <c r="I2064" t="str">
        <f t="shared" si="345"/>
        <v>10/09/2025</v>
      </c>
      <c r="J2064" t="str">
        <f t="shared" si="346"/>
        <v>02/09/2025</v>
      </c>
      <c r="K2064" t="str">
        <f>("11/09/2025")</f>
        <v>11/09/2025</v>
      </c>
      <c r="L2064">
        <v>1512</v>
      </c>
      <c r="M2064">
        <v>1512</v>
      </c>
      <c r="N2064">
        <v>303</v>
      </c>
      <c r="O2064" t="str">
        <f>"RECEITAS COM ENTREGAS"</f>
        <v>RECEITAS COM ENTREGAS</v>
      </c>
      <c r="P2064">
        <v>1512</v>
      </c>
      <c r="S2064" t="str">
        <f>"RECEITAS COM ENTREGAS (303)"</f>
        <v>RECEITAS COM ENTREGAS (303)</v>
      </c>
      <c r="T2064">
        <v>18589</v>
      </c>
      <c r="U2064">
        <v>21297</v>
      </c>
      <c r="V2064" t="s">
        <v>22</v>
      </c>
    </row>
    <row r="2065" spans="1:22">
      <c r="A2065" t="str">
        <f t="shared" si="341"/>
        <v>11/09/2025</v>
      </c>
      <c r="B2065" t="str">
        <f t="shared" si="340"/>
        <v>ENTRADA</v>
      </c>
      <c r="C2065" t="str">
        <f t="shared" si="342"/>
        <v>NFSE</v>
      </c>
      <c r="D2065" t="str">
        <f>"3319"</f>
        <v>3319</v>
      </c>
      <c r="E2065" t="str">
        <f t="shared" si="343"/>
        <v>1</v>
      </c>
      <c r="F2065" t="str">
        <f t="shared" si="344"/>
        <v>COM</v>
      </c>
      <c r="G2065" t="str">
        <f>"AC FARMA - FLEMINFARMA (10160)"</f>
        <v>AC FARMA - FLEMINFARMA (10160)</v>
      </c>
      <c r="H2065" t="s">
        <v>547</v>
      </c>
      <c r="I2065" t="str">
        <f t="shared" si="345"/>
        <v>10/09/2025</v>
      </c>
      <c r="J2065" t="str">
        <f t="shared" si="346"/>
        <v>02/09/2025</v>
      </c>
      <c r="K2065">
        <v>45911</v>
      </c>
      <c r="N2065">
        <v>303</v>
      </c>
      <c r="O2065" t="s">
        <v>69</v>
      </c>
      <c r="Q2065">
        <v>1466.64</v>
      </c>
      <c r="R2065" t="str">
        <f>"AC FARMA -  FLEMINFARMA (10159)"</f>
        <v>AC FARMA -  FLEMINFARMA (10159)</v>
      </c>
      <c r="S2065" t="s">
        <v>70</v>
      </c>
      <c r="T2065">
        <v>18589</v>
      </c>
      <c r="U2065">
        <v>21297</v>
      </c>
      <c r="V2065" t="s">
        <v>22</v>
      </c>
    </row>
    <row r="2066" spans="1:22">
      <c r="A2066" t="str">
        <f t="shared" si="341"/>
        <v>11/09/2025</v>
      </c>
      <c r="B2066" t="str">
        <f t="shared" si="340"/>
        <v>ENTRADA</v>
      </c>
      <c r="C2066" t="str">
        <f t="shared" si="342"/>
        <v>NFSE</v>
      </c>
      <c r="D2066" t="str">
        <f>"3319"</f>
        <v>3319</v>
      </c>
      <c r="E2066" t="str">
        <f t="shared" si="343"/>
        <v>1</v>
      </c>
      <c r="F2066" t="str">
        <f t="shared" si="344"/>
        <v>COM</v>
      </c>
      <c r="G2066" t="str">
        <f>"AC FARMA - FLEMINFARMA (10160)"</f>
        <v>AC FARMA - FLEMINFARMA (10160)</v>
      </c>
      <c r="H2066" t="s">
        <v>547</v>
      </c>
      <c r="I2066" t="str">
        <f t="shared" si="345"/>
        <v>10/09/2025</v>
      </c>
      <c r="J2066" t="str">
        <f t="shared" si="346"/>
        <v>02/09/2025</v>
      </c>
      <c r="K2066">
        <v>45911</v>
      </c>
      <c r="N2066">
        <v>303</v>
      </c>
      <c r="O2066" t="s">
        <v>69</v>
      </c>
      <c r="Q2066">
        <v>45.36</v>
      </c>
      <c r="R2066" t="str">
        <f>"AC FARMA - FLEMINFARMA (10160)"</f>
        <v>AC FARMA - FLEMINFARMA (10160)</v>
      </c>
      <c r="S2066" t="s">
        <v>70</v>
      </c>
      <c r="T2066">
        <v>18589</v>
      </c>
      <c r="U2066">
        <v>21297</v>
      </c>
      <c r="V2066" t="s">
        <v>22</v>
      </c>
    </row>
    <row r="2067" spans="1:22">
      <c r="A2067" t="str">
        <f t="shared" si="341"/>
        <v>11/09/2025</v>
      </c>
      <c r="B2067" t="str">
        <f t="shared" si="340"/>
        <v>ENTRADA</v>
      </c>
      <c r="C2067" t="str">
        <f t="shared" si="342"/>
        <v>NFSE</v>
      </c>
      <c r="D2067" t="str">
        <f>"3320"</f>
        <v>3320</v>
      </c>
      <c r="E2067" t="str">
        <f t="shared" si="343"/>
        <v>1</v>
      </c>
      <c r="F2067" t="str">
        <f t="shared" si="344"/>
        <v>COM</v>
      </c>
      <c r="G2067" t="str">
        <f>"AC FARMA - FLEMINFARMA 5 (10183)"</f>
        <v>AC FARMA - FLEMINFARMA 5 (10183)</v>
      </c>
      <c r="H2067" t="str">
        <f>"Serv.Prest. 25/08/2025 a 31/08/2025 - RPS: 1196 - NFSe: 3320"</f>
        <v>Serv.Prest. 25/08/2025 a 31/08/2025 - RPS: 1196 - NFSe: 3320</v>
      </c>
      <c r="I2067" t="str">
        <f t="shared" si="345"/>
        <v>10/09/2025</v>
      </c>
      <c r="J2067" t="str">
        <f t="shared" si="346"/>
        <v>02/09/2025</v>
      </c>
      <c r="K2067" t="str">
        <f>("11/09/2025")</f>
        <v>11/09/2025</v>
      </c>
      <c r="L2067">
        <v>597.24</v>
      </c>
      <c r="M2067">
        <v>597.24</v>
      </c>
      <c r="N2067">
        <v>303</v>
      </c>
      <c r="O2067" t="str">
        <f>"RECEITAS COM ENTREGAS"</f>
        <v>RECEITAS COM ENTREGAS</v>
      </c>
      <c r="P2067">
        <v>597.24</v>
      </c>
      <c r="S2067" t="str">
        <f>"RECEITAS COM ENTREGAS (303)"</f>
        <v>RECEITAS COM ENTREGAS (303)</v>
      </c>
      <c r="T2067">
        <v>18590</v>
      </c>
      <c r="U2067">
        <v>21304</v>
      </c>
      <c r="V2067" t="s">
        <v>22</v>
      </c>
    </row>
    <row r="2068" spans="1:22">
      <c r="A2068" t="str">
        <f t="shared" si="341"/>
        <v>11/09/2025</v>
      </c>
      <c r="B2068" t="str">
        <f t="shared" si="340"/>
        <v>ENTRADA</v>
      </c>
      <c r="C2068" t="str">
        <f t="shared" si="342"/>
        <v>NFSE</v>
      </c>
      <c r="D2068" t="str">
        <f>"3320"</f>
        <v>3320</v>
      </c>
      <c r="E2068" t="str">
        <f t="shared" si="343"/>
        <v>1</v>
      </c>
      <c r="F2068" t="str">
        <f t="shared" si="344"/>
        <v>COM</v>
      </c>
      <c r="G2068" t="str">
        <f>"AC FARMA - FLEMINFARMA 5 (10183)"</f>
        <v>AC FARMA - FLEMINFARMA 5 (10183)</v>
      </c>
      <c r="H2068" t="s">
        <v>548</v>
      </c>
      <c r="I2068" t="str">
        <f t="shared" si="345"/>
        <v>10/09/2025</v>
      </c>
      <c r="J2068" t="str">
        <f t="shared" si="346"/>
        <v>02/09/2025</v>
      </c>
      <c r="K2068">
        <v>45911</v>
      </c>
      <c r="N2068">
        <v>303</v>
      </c>
      <c r="O2068" t="s">
        <v>69</v>
      </c>
      <c r="Q2068">
        <v>589.66</v>
      </c>
      <c r="R2068" t="str">
        <f>"AC FARMA - FLEMINFARMA 5 (10183)"</f>
        <v>AC FARMA - FLEMINFARMA 5 (10183)</v>
      </c>
      <c r="S2068" t="s">
        <v>70</v>
      </c>
      <c r="T2068">
        <v>18590</v>
      </c>
      <c r="U2068">
        <v>21304</v>
      </c>
      <c r="V2068" t="s">
        <v>22</v>
      </c>
    </row>
    <row r="2069" spans="1:22">
      <c r="A2069" t="str">
        <f t="shared" si="341"/>
        <v>11/09/2025</v>
      </c>
      <c r="B2069" t="str">
        <f t="shared" si="340"/>
        <v>ENTRADA</v>
      </c>
      <c r="C2069" t="str">
        <f t="shared" si="342"/>
        <v>NFSE</v>
      </c>
      <c r="D2069" t="str">
        <f>"3320"</f>
        <v>3320</v>
      </c>
      <c r="E2069" t="str">
        <f t="shared" si="343"/>
        <v>1</v>
      </c>
      <c r="F2069" t="str">
        <f t="shared" si="344"/>
        <v>COM</v>
      </c>
      <c r="G2069" t="str">
        <f>"AC FARMA - FLEMINFARMA 5 (10183)"</f>
        <v>AC FARMA - FLEMINFARMA 5 (10183)</v>
      </c>
      <c r="H2069" t="s">
        <v>548</v>
      </c>
      <c r="I2069" t="str">
        <f t="shared" si="345"/>
        <v>10/09/2025</v>
      </c>
      <c r="J2069" t="str">
        <f t="shared" si="346"/>
        <v>02/09/2025</v>
      </c>
      <c r="K2069">
        <v>45911</v>
      </c>
      <c r="N2069">
        <v>303</v>
      </c>
      <c r="O2069" t="s">
        <v>69</v>
      </c>
      <c r="Q2069">
        <v>7.58</v>
      </c>
      <c r="R2069" t="str">
        <f>"AC FARMA - FLEMINFARMA 6 (10184)"</f>
        <v>AC FARMA - FLEMINFARMA 6 (10184)</v>
      </c>
      <c r="S2069" t="s">
        <v>70</v>
      </c>
      <c r="T2069">
        <v>18590</v>
      </c>
      <c r="U2069">
        <v>21304</v>
      </c>
      <c r="V2069" t="s">
        <v>22</v>
      </c>
    </row>
    <row r="2070" spans="1:22">
      <c r="A2070" t="str">
        <f t="shared" si="341"/>
        <v>11/09/2025</v>
      </c>
      <c r="B2070" t="str">
        <f t="shared" si="340"/>
        <v>ENTRADA</v>
      </c>
      <c r="C2070" t="str">
        <f t="shared" si="342"/>
        <v>NFSE</v>
      </c>
      <c r="D2070" t="str">
        <f>"3321"</f>
        <v>3321</v>
      </c>
      <c r="E2070" t="str">
        <f t="shared" si="343"/>
        <v>1</v>
      </c>
      <c r="F2070" t="str">
        <f t="shared" si="344"/>
        <v>COM</v>
      </c>
      <c r="G2070" t="str">
        <f>"BRASIL FARMA (10173)"</f>
        <v>BRASIL FARMA (10173)</v>
      </c>
      <c r="H2070" t="str">
        <f>"Serv.Prest. 01/09/2025 a 07/09/2025 - RPS: 1197 - NFSe: 3321"</f>
        <v>Serv.Prest. 01/09/2025 a 07/09/2025 - RPS: 1197 - NFSe: 3321</v>
      </c>
      <c r="I2070" t="str">
        <f t="shared" si="345"/>
        <v>10/09/2025</v>
      </c>
      <c r="J2070" t="str">
        <f t="shared" ref="J2070:J2075" si="347">("08/09/2025")</f>
        <v>08/09/2025</v>
      </c>
      <c r="K2070" t="str">
        <f>("11/09/2025")</f>
        <v>11/09/2025</v>
      </c>
      <c r="L2070">
        <v>1685.04</v>
      </c>
      <c r="M2070">
        <v>1685.04</v>
      </c>
      <c r="N2070">
        <v>303</v>
      </c>
      <c r="O2070" t="str">
        <f>"RECEITAS COM ENTREGAS"</f>
        <v>RECEITAS COM ENTREGAS</v>
      </c>
      <c r="P2070">
        <v>1685.04</v>
      </c>
      <c r="S2070" t="str">
        <f>"RECEITAS COM ENTREGAS (303)"</f>
        <v>RECEITAS COM ENTREGAS (303)</v>
      </c>
      <c r="T2070">
        <v>18591</v>
      </c>
      <c r="U2070">
        <v>21431</v>
      </c>
      <c r="V2070" t="s">
        <v>22</v>
      </c>
    </row>
    <row r="2071" spans="1:22">
      <c r="A2071" t="str">
        <f t="shared" si="341"/>
        <v>11/09/2025</v>
      </c>
      <c r="B2071" t="str">
        <f t="shared" si="340"/>
        <v>ENTRADA</v>
      </c>
      <c r="C2071" t="str">
        <f t="shared" si="342"/>
        <v>NFSE</v>
      </c>
      <c r="D2071" t="str">
        <f>"3321"</f>
        <v>3321</v>
      </c>
      <c r="E2071" t="str">
        <f t="shared" si="343"/>
        <v>1</v>
      </c>
      <c r="F2071" t="str">
        <f t="shared" si="344"/>
        <v>COM</v>
      </c>
      <c r="G2071" t="str">
        <f>"BRASIL FARMA (10173)"</f>
        <v>BRASIL FARMA (10173)</v>
      </c>
      <c r="H2071" t="s">
        <v>549</v>
      </c>
      <c r="I2071" t="str">
        <f t="shared" si="345"/>
        <v>10/09/2025</v>
      </c>
      <c r="J2071" t="str">
        <f t="shared" si="347"/>
        <v>08/09/2025</v>
      </c>
      <c r="K2071">
        <v>45911</v>
      </c>
      <c r="N2071">
        <v>303</v>
      </c>
      <c r="O2071" t="s">
        <v>69</v>
      </c>
      <c r="Q2071">
        <v>1685.04</v>
      </c>
      <c r="R2071" t="str">
        <f>"BRASIL FARMA (10173)"</f>
        <v>BRASIL FARMA (10173)</v>
      </c>
      <c r="S2071" t="s">
        <v>70</v>
      </c>
      <c r="T2071">
        <v>18591</v>
      </c>
      <c r="U2071">
        <v>21431</v>
      </c>
      <c r="V2071" t="s">
        <v>22</v>
      </c>
    </row>
    <row r="2072" spans="1:22">
      <c r="A2072" t="str">
        <f t="shared" si="341"/>
        <v>11/09/2025</v>
      </c>
      <c r="B2072" t="str">
        <f t="shared" si="340"/>
        <v>ENTRADA</v>
      </c>
      <c r="C2072" t="str">
        <f t="shared" si="342"/>
        <v>NFSE</v>
      </c>
      <c r="D2072" t="str">
        <f>"3333"</f>
        <v>3333</v>
      </c>
      <c r="E2072" t="str">
        <f t="shared" si="343"/>
        <v>1</v>
      </c>
      <c r="F2072" t="str">
        <f t="shared" si="344"/>
        <v>COM</v>
      </c>
      <c r="G2072" t="str">
        <f>"JAL FARMACIA E DROGARIA LJ 1 (10137)"</f>
        <v>JAL FARMACIA E DROGARIA LJ 1 (10137)</v>
      </c>
      <c r="H2072" t="str">
        <f>"Serv.Prest. 01/09/2025 a 07/09/2025 - RPS: 1209 - NFSe: 3333"</f>
        <v>Serv.Prest. 01/09/2025 a 07/09/2025 - RPS: 1209 - NFSe: 3333</v>
      </c>
      <c r="I2072" t="str">
        <f t="shared" si="345"/>
        <v>10/09/2025</v>
      </c>
      <c r="J2072" t="str">
        <f t="shared" si="347"/>
        <v>08/09/2025</v>
      </c>
      <c r="K2072" t="str">
        <f>("11/09/2025")</f>
        <v>11/09/2025</v>
      </c>
      <c r="L2072">
        <v>2788.8</v>
      </c>
      <c r="M2072">
        <v>2788.8</v>
      </c>
      <c r="N2072">
        <v>303</v>
      </c>
      <c r="O2072" t="str">
        <f>"RECEITAS COM ENTREGAS"</f>
        <v>RECEITAS COM ENTREGAS</v>
      </c>
      <c r="P2072">
        <v>2788.8</v>
      </c>
      <c r="S2072" t="str">
        <f>"RECEITAS COM ENTREGAS (303)"</f>
        <v>RECEITAS COM ENTREGAS (303)</v>
      </c>
      <c r="T2072">
        <v>18592</v>
      </c>
      <c r="U2072">
        <v>21478</v>
      </c>
      <c r="V2072" t="s">
        <v>22</v>
      </c>
    </row>
    <row r="2073" spans="1:22">
      <c r="A2073" t="str">
        <f t="shared" si="341"/>
        <v>11/09/2025</v>
      </c>
      <c r="B2073" t="str">
        <f t="shared" si="340"/>
        <v>ENTRADA</v>
      </c>
      <c r="C2073" t="str">
        <f t="shared" si="342"/>
        <v>NFSE</v>
      </c>
      <c r="D2073" t="str">
        <f>"3333"</f>
        <v>3333</v>
      </c>
      <c r="E2073" t="str">
        <f t="shared" si="343"/>
        <v>1</v>
      </c>
      <c r="F2073" t="str">
        <f t="shared" si="344"/>
        <v>COM</v>
      </c>
      <c r="G2073" t="str">
        <f>"JAL FARMACIA E DROGARIA LJ 1 (10137)"</f>
        <v>JAL FARMACIA E DROGARIA LJ 1 (10137)</v>
      </c>
      <c r="H2073" t="s">
        <v>550</v>
      </c>
      <c r="I2073" t="str">
        <f t="shared" si="345"/>
        <v>10/09/2025</v>
      </c>
      <c r="J2073" t="str">
        <f t="shared" si="347"/>
        <v>08/09/2025</v>
      </c>
      <c r="K2073">
        <v>45911</v>
      </c>
      <c r="N2073">
        <v>303</v>
      </c>
      <c r="O2073" t="s">
        <v>69</v>
      </c>
      <c r="Q2073">
        <v>2788.8</v>
      </c>
      <c r="R2073" t="str">
        <f>"JAL FARMACIA E DROGARIA LJ 1 (10137)"</f>
        <v>JAL FARMACIA E DROGARIA LJ 1 (10137)</v>
      </c>
      <c r="S2073" t="s">
        <v>70</v>
      </c>
      <c r="T2073">
        <v>18592</v>
      </c>
      <c r="U2073">
        <v>21478</v>
      </c>
      <c r="V2073" t="s">
        <v>22</v>
      </c>
    </row>
    <row r="2074" spans="1:22">
      <c r="A2074" t="str">
        <f t="shared" si="341"/>
        <v>11/09/2025</v>
      </c>
      <c r="B2074" t="str">
        <f t="shared" si="340"/>
        <v>ENTRADA</v>
      </c>
      <c r="C2074" t="str">
        <f t="shared" si="342"/>
        <v>NFSE</v>
      </c>
      <c r="D2074" t="str">
        <f>"3335"</f>
        <v>3335</v>
      </c>
      <c r="E2074" t="str">
        <f t="shared" si="343"/>
        <v>1</v>
      </c>
      <c r="F2074" t="str">
        <f t="shared" si="344"/>
        <v>COM</v>
      </c>
      <c r="G2074" t="str">
        <f>"LBL FARMACIA LTDA (10189)"</f>
        <v>LBL FARMACIA LTDA (10189)</v>
      </c>
      <c r="H2074" t="str">
        <f>"Serv.Prest. 01/09/2025 a 07/09/2025 - RPS: 1211 - NFSe: 3335"</f>
        <v>Serv.Prest. 01/09/2025 a 07/09/2025 - RPS: 1211 - NFSe: 3335</v>
      </c>
      <c r="I2074" t="str">
        <f t="shared" si="345"/>
        <v>10/09/2025</v>
      </c>
      <c r="J2074" t="str">
        <f t="shared" si="347"/>
        <v>08/09/2025</v>
      </c>
      <c r="K2074" t="str">
        <f>("11/09/2025")</f>
        <v>11/09/2025</v>
      </c>
      <c r="L2074">
        <v>1582.7</v>
      </c>
      <c r="M2074">
        <v>1582.7</v>
      </c>
      <c r="N2074">
        <v>303</v>
      </c>
      <c r="O2074" t="str">
        <f>"RECEITAS COM ENTREGAS"</f>
        <v>RECEITAS COM ENTREGAS</v>
      </c>
      <c r="P2074">
        <v>1582.7</v>
      </c>
      <c r="S2074" t="str">
        <f>"RECEITAS COM ENTREGAS (303)"</f>
        <v>RECEITAS COM ENTREGAS (303)</v>
      </c>
      <c r="T2074">
        <v>18593</v>
      </c>
      <c r="U2074">
        <v>21486</v>
      </c>
      <c r="V2074" t="s">
        <v>22</v>
      </c>
    </row>
    <row r="2075" spans="1:22">
      <c r="A2075" t="str">
        <f t="shared" si="341"/>
        <v>11/09/2025</v>
      </c>
      <c r="B2075" t="str">
        <f t="shared" si="340"/>
        <v>ENTRADA</v>
      </c>
      <c r="C2075" t="str">
        <f t="shared" si="342"/>
        <v>NFSE</v>
      </c>
      <c r="D2075" t="str">
        <f>"3335"</f>
        <v>3335</v>
      </c>
      <c r="E2075" t="str">
        <f t="shared" si="343"/>
        <v>1</v>
      </c>
      <c r="F2075" t="str">
        <f t="shared" si="344"/>
        <v>COM</v>
      </c>
      <c r="G2075" t="str">
        <f>"LBL FARMACIA LTDA (10189)"</f>
        <v>LBL FARMACIA LTDA (10189)</v>
      </c>
      <c r="H2075" t="s">
        <v>551</v>
      </c>
      <c r="I2075" t="str">
        <f t="shared" si="345"/>
        <v>10/09/2025</v>
      </c>
      <c r="J2075" t="str">
        <f t="shared" si="347"/>
        <v>08/09/2025</v>
      </c>
      <c r="K2075">
        <v>45911</v>
      </c>
      <c r="N2075">
        <v>303</v>
      </c>
      <c r="O2075" t="s">
        <v>69</v>
      </c>
      <c r="Q2075">
        <v>1582.7</v>
      </c>
      <c r="R2075" t="str">
        <f>"LBL FARMACIA LTDA (10189)"</f>
        <v>LBL FARMACIA LTDA (10189)</v>
      </c>
      <c r="S2075" t="s">
        <v>70</v>
      </c>
      <c r="T2075">
        <v>18593</v>
      </c>
      <c r="U2075">
        <v>21486</v>
      </c>
      <c r="V2075" t="s">
        <v>22</v>
      </c>
    </row>
    <row r="2076" spans="1:22">
      <c r="A2076" t="str">
        <f t="shared" si="341"/>
        <v>11/09/2025</v>
      </c>
      <c r="B2076" t="str">
        <f t="shared" si="340"/>
        <v>ENTRADA</v>
      </c>
      <c r="C2076" t="str">
        <f t="shared" si="342"/>
        <v>NFSE</v>
      </c>
      <c r="D2076" t="str">
        <f>"3346"</f>
        <v>3346</v>
      </c>
      <c r="E2076" t="str">
        <f t="shared" si="343"/>
        <v>1</v>
      </c>
      <c r="F2076" t="str">
        <f t="shared" si="344"/>
        <v>COM</v>
      </c>
      <c r="G2076" t="str">
        <f>"FARMACIA ECONOMIZE (10103)"</f>
        <v>FARMACIA ECONOMIZE (10103)</v>
      </c>
      <c r="H2076" t="str">
        <f>"Serv.Prest. 01/09/2025 a 07/09/2025 - RPS: 1222 - NFSe: 3346"</f>
        <v>Serv.Prest. 01/09/2025 a 07/09/2025 - RPS: 1222 - NFSe: 3346</v>
      </c>
      <c r="I2076" t="str">
        <f t="shared" si="345"/>
        <v>10/09/2025</v>
      </c>
      <c r="J2076" t="str">
        <f>("09/09/2025")</f>
        <v>09/09/2025</v>
      </c>
      <c r="K2076" t="str">
        <f>("11/09/2025")</f>
        <v>11/09/2025</v>
      </c>
      <c r="L2076">
        <v>2478.96</v>
      </c>
      <c r="M2076">
        <v>2478.96</v>
      </c>
      <c r="N2076">
        <v>303</v>
      </c>
      <c r="O2076" t="str">
        <f>"RECEITAS COM ENTREGAS"</f>
        <v>RECEITAS COM ENTREGAS</v>
      </c>
      <c r="P2076">
        <v>2478.96</v>
      </c>
      <c r="S2076" t="str">
        <f>"RECEITAS COM ENTREGAS (303)"</f>
        <v>RECEITAS COM ENTREGAS (303)</v>
      </c>
      <c r="T2076">
        <v>18594</v>
      </c>
      <c r="U2076">
        <v>21694</v>
      </c>
      <c r="V2076" t="s">
        <v>22</v>
      </c>
    </row>
    <row r="2077" spans="1:22">
      <c r="A2077" t="str">
        <f t="shared" si="341"/>
        <v>11/09/2025</v>
      </c>
      <c r="B2077" t="str">
        <f t="shared" si="340"/>
        <v>ENTRADA</v>
      </c>
      <c r="C2077" t="str">
        <f t="shared" si="342"/>
        <v>NFSE</v>
      </c>
      <c r="D2077" t="str">
        <f>"3346"</f>
        <v>3346</v>
      </c>
      <c r="E2077" t="str">
        <f t="shared" si="343"/>
        <v>1</v>
      </c>
      <c r="F2077" t="str">
        <f t="shared" si="344"/>
        <v>COM</v>
      </c>
      <c r="G2077" t="str">
        <f>"FARMACIA ECONOMIZE (10103)"</f>
        <v>FARMACIA ECONOMIZE (10103)</v>
      </c>
      <c r="H2077" t="s">
        <v>552</v>
      </c>
      <c r="I2077" t="str">
        <f t="shared" si="345"/>
        <v>10/09/2025</v>
      </c>
      <c r="J2077" t="str">
        <f>("09/09/2025")</f>
        <v>09/09/2025</v>
      </c>
      <c r="K2077">
        <v>45911</v>
      </c>
      <c r="N2077">
        <v>303</v>
      </c>
      <c r="O2077" t="s">
        <v>69</v>
      </c>
      <c r="Q2077">
        <v>2478.96</v>
      </c>
      <c r="R2077" t="str">
        <f>"FARMACIA ECONOMIZE (10103)"</f>
        <v>FARMACIA ECONOMIZE (10103)</v>
      </c>
      <c r="S2077" t="s">
        <v>70</v>
      </c>
      <c r="T2077">
        <v>18594</v>
      </c>
      <c r="U2077">
        <v>21694</v>
      </c>
      <c r="V2077" t="s">
        <v>22</v>
      </c>
    </row>
    <row r="2078" spans="1:22">
      <c r="A2078" t="str">
        <f t="shared" si="341"/>
        <v>11/09/2025</v>
      </c>
      <c r="B2078" t="str">
        <f t="shared" si="340"/>
        <v>ENTRADA</v>
      </c>
      <c r="C2078" t="str">
        <f t="shared" si="342"/>
        <v>NFSE</v>
      </c>
      <c r="D2078" t="str">
        <f>"3322"</f>
        <v>3322</v>
      </c>
      <c r="E2078" t="str">
        <f t="shared" si="343"/>
        <v>1</v>
      </c>
      <c r="F2078" t="str">
        <f t="shared" si="344"/>
        <v>COM</v>
      </c>
      <c r="G2078" t="str">
        <f>"DROGARIA POUPA MINAS (ULTRAMINAS) 3 (10129)"</f>
        <v>DROGARIA POUPA MINAS (ULTRAMINAS) 3 (10129)</v>
      </c>
      <c r="H2078" t="str">
        <f>"Serv.Prest. 01/09/2025 a 07/09/2025 - RPS: 1198 - NFSe: 3322"</f>
        <v>Serv.Prest. 01/09/2025 a 07/09/2025 - RPS: 1198 - NFSe: 3322</v>
      </c>
      <c r="I2078" t="str">
        <f>("11/09/2025")</f>
        <v>11/09/2025</v>
      </c>
      <c r="J2078" t="str">
        <f>("08/09/2025")</f>
        <v>08/09/2025</v>
      </c>
      <c r="K2078" t="str">
        <f>("11/09/2025")</f>
        <v>11/09/2025</v>
      </c>
      <c r="L2078">
        <v>1544.4</v>
      </c>
      <c r="M2078">
        <v>1544.4</v>
      </c>
      <c r="N2078">
        <v>303</v>
      </c>
      <c r="O2078" t="str">
        <f>"RECEITAS COM ENTREGAS"</f>
        <v>RECEITAS COM ENTREGAS</v>
      </c>
      <c r="P2078">
        <v>1544.4</v>
      </c>
      <c r="S2078" t="str">
        <f>"RECEITAS COM ENTREGAS (303)"</f>
        <v>RECEITAS COM ENTREGAS (303)</v>
      </c>
      <c r="T2078">
        <v>18595</v>
      </c>
      <c r="U2078">
        <v>21435</v>
      </c>
      <c r="V2078" t="s">
        <v>22</v>
      </c>
    </row>
    <row r="2079" spans="1:22">
      <c r="A2079" t="str">
        <f t="shared" si="341"/>
        <v>11/09/2025</v>
      </c>
      <c r="B2079" t="str">
        <f t="shared" si="340"/>
        <v>ENTRADA</v>
      </c>
      <c r="C2079" t="str">
        <f t="shared" si="342"/>
        <v>NFSE</v>
      </c>
      <c r="D2079" t="str">
        <f>"3322"</f>
        <v>3322</v>
      </c>
      <c r="E2079" t="str">
        <f t="shared" si="343"/>
        <v>1</v>
      </c>
      <c r="F2079" t="str">
        <f t="shared" si="344"/>
        <v>COM</v>
      </c>
      <c r="G2079" t="str">
        <f>"DROGARIA POUPA MINAS (ULTRAMINAS) 3 (10129)"</f>
        <v>DROGARIA POUPA MINAS (ULTRAMINAS) 3 (10129)</v>
      </c>
      <c r="H2079" t="s">
        <v>553</v>
      </c>
      <c r="I2079" t="str">
        <f>("11/09/2025")</f>
        <v>11/09/2025</v>
      </c>
      <c r="J2079" t="str">
        <f>("08/09/2025")</f>
        <v>08/09/2025</v>
      </c>
      <c r="K2079">
        <v>45911</v>
      </c>
      <c r="N2079">
        <v>303</v>
      </c>
      <c r="O2079" t="s">
        <v>69</v>
      </c>
      <c r="Q2079">
        <v>1544.4</v>
      </c>
      <c r="R2079" t="str">
        <f>"DROGARIA POUPA MINAS (ULTRAMINAS) 3 (10129)"</f>
        <v>DROGARIA POUPA MINAS (ULTRAMINAS) 3 (10129)</v>
      </c>
      <c r="S2079" t="s">
        <v>70</v>
      </c>
      <c r="T2079">
        <v>18595</v>
      </c>
      <c r="U2079">
        <v>21435</v>
      </c>
      <c r="V2079" t="s">
        <v>22</v>
      </c>
    </row>
    <row r="2080" spans="1:22">
      <c r="A2080" t="str">
        <f t="shared" si="341"/>
        <v>11/09/2025</v>
      </c>
      <c r="B2080" t="str">
        <f t="shared" ref="B2080:B2099" si="348">"SAÍDA"</f>
        <v>SAÍDA</v>
      </c>
      <c r="C2080" t="str">
        <f>"PIX"</f>
        <v>PIX</v>
      </c>
      <c r="D2080" t="str">
        <f>"2025"</f>
        <v>2025</v>
      </c>
      <c r="E2080" t="str">
        <f>"09"</f>
        <v>09</v>
      </c>
      <c r="F2080" t="str">
        <f t="shared" si="344"/>
        <v>COM</v>
      </c>
      <c r="G2080" t="str">
        <f>"EDSON BARROS DOS SANTOS 10882852604 (20025)"</f>
        <v>EDSON BARROS DOS SANTOS 10882852604 (20025)</v>
      </c>
      <c r="H2080" t="str">
        <f>"ADIANTAMENTO PRESTACAO DE SERVICOS MES 09/2025"</f>
        <v>ADIANTAMENTO PRESTACAO DE SERVICOS MES 09/2025</v>
      </c>
      <c r="I2080" t="str">
        <f>("03/10/2025")</f>
        <v>03/10/2025</v>
      </c>
      <c r="J2080" t="str">
        <f>("01/01/2025")</f>
        <v>01/01/2025</v>
      </c>
      <c r="K2080" t="str">
        <f>("11/09/2025")</f>
        <v>11/09/2025</v>
      </c>
      <c r="L2080">
        <v>350</v>
      </c>
      <c r="M2080">
        <v>350</v>
      </c>
      <c r="N2080">
        <v>103</v>
      </c>
      <c r="O2080" t="str">
        <f>"PAGAMENTO DE FUNCIONÁRIOS"</f>
        <v>PAGAMENTO DE FUNCIONÁRIOS</v>
      </c>
      <c r="P2080">
        <v>350</v>
      </c>
      <c r="S2080" t="str">
        <f>"BANCO CORA (102)"</f>
        <v>BANCO CORA (102)</v>
      </c>
      <c r="T2080">
        <v>18918</v>
      </c>
      <c r="U2080">
        <v>22800</v>
      </c>
      <c r="V2080" t="s">
        <v>22</v>
      </c>
    </row>
    <row r="2081" spans="1:22">
      <c r="A2081" t="str">
        <f t="shared" si="341"/>
        <v>11/09/2025</v>
      </c>
      <c r="B2081" t="str">
        <f t="shared" si="348"/>
        <v>SAÍDA</v>
      </c>
      <c r="C2081" t="str">
        <f>"PIX"</f>
        <v>PIX</v>
      </c>
      <c r="D2081" t="str">
        <f>"2025"</f>
        <v>2025</v>
      </c>
      <c r="E2081" t="str">
        <f>"09"</f>
        <v>09</v>
      </c>
      <c r="F2081" t="str">
        <f t="shared" si="344"/>
        <v>COM</v>
      </c>
      <c r="G2081" t="str">
        <f>"EDSON BARROS DOS SANTOS 10882852604 (20025)"</f>
        <v>EDSON BARROS DOS SANTOS 10882852604 (20025)</v>
      </c>
      <c r="H2081" t="s">
        <v>554</v>
      </c>
      <c r="I2081" t="str">
        <f>("03/10/2025")</f>
        <v>03/10/2025</v>
      </c>
      <c r="J2081" t="str">
        <f>("01/01/2025")</f>
        <v>01/01/2025</v>
      </c>
      <c r="K2081">
        <v>45911</v>
      </c>
      <c r="N2081">
        <v>103</v>
      </c>
      <c r="O2081" t="s">
        <v>267</v>
      </c>
      <c r="Q2081">
        <v>350</v>
      </c>
      <c r="R2081" t="str">
        <f>"EDSON BARROS DOS SANTOS 10882852604 (20025)"</f>
        <v>EDSON BARROS DOS SANTOS 10882852604 (20025)</v>
      </c>
      <c r="S2081" t="s">
        <v>22</v>
      </c>
      <c r="T2081">
        <v>18918</v>
      </c>
      <c r="U2081">
        <v>22800</v>
      </c>
      <c r="V2081" t="s">
        <v>22</v>
      </c>
    </row>
    <row r="2082" spans="1:22">
      <c r="A2082" t="str">
        <f t="shared" si="341"/>
        <v>11/09/2025</v>
      </c>
      <c r="B2082" t="str">
        <f t="shared" si="348"/>
        <v>SAÍDA</v>
      </c>
      <c r="C2082" t="str">
        <f t="shared" ref="C2082:C2099" si="349">"CONHECIMENTO"</f>
        <v>CONHECIMENTO</v>
      </c>
      <c r="D2082" t="str">
        <f t="shared" ref="D2082:D2099" si="350">"01092025"</f>
        <v>01092025</v>
      </c>
      <c r="E2082" t="str">
        <f>"3"</f>
        <v>3</v>
      </c>
      <c r="F2082" t="str">
        <f t="shared" si="344"/>
        <v>COM</v>
      </c>
      <c r="G2082" t="str">
        <f t="shared" ref="G2082:G2099" si="351">"CORA SOCIEDADE DE CREDITO, FINANCIAMENTO E INVESTIMENTO (20035)"</f>
        <v>CORA SOCIEDADE DE CREDITO, FINANCIAMENTO E INVESTIMENTO (20035)</v>
      </c>
      <c r="H2082" t="str">
        <f>"TAXA BOLETO "</f>
        <v xml:space="preserve">TAXA BOLETO </v>
      </c>
      <c r="I2082" t="str">
        <f t="shared" ref="I2082:I2102" si="352">("11/09/2025")</f>
        <v>11/09/2025</v>
      </c>
      <c r="J2082" t="str">
        <f t="shared" ref="J2082:J2101" si="353">("01/09/2025")</f>
        <v>01/09/2025</v>
      </c>
      <c r="K2082" t="str">
        <f>("11/09/2025")</f>
        <v>11/09/2025</v>
      </c>
      <c r="L2082">
        <v>1.7</v>
      </c>
      <c r="M2082">
        <v>1.7</v>
      </c>
      <c r="N2082">
        <v>401</v>
      </c>
      <c r="O2082" t="str">
        <f>"IOF/JUROS/DESP.FINANCEIRA"</f>
        <v>IOF/JUROS/DESP.FINANCEIRA</v>
      </c>
      <c r="P2082">
        <v>1.7</v>
      </c>
      <c r="S2082" t="str">
        <f>"BANCO CORA (102)"</f>
        <v>BANCO CORA (102)</v>
      </c>
      <c r="T2082">
        <v>22195</v>
      </c>
      <c r="U2082">
        <v>25938</v>
      </c>
      <c r="V2082" t="s">
        <v>22</v>
      </c>
    </row>
    <row r="2083" spans="1:22">
      <c r="A2083" t="str">
        <f t="shared" si="341"/>
        <v>11/09/2025</v>
      </c>
      <c r="B2083" t="str">
        <f t="shared" si="348"/>
        <v>SAÍDA</v>
      </c>
      <c r="C2083" t="str">
        <f t="shared" si="349"/>
        <v>CONHECIMENTO</v>
      </c>
      <c r="D2083" t="str">
        <f t="shared" si="350"/>
        <v>01092025</v>
      </c>
      <c r="E2083" t="str">
        <f>"3"</f>
        <v>3</v>
      </c>
      <c r="F2083" t="str">
        <f t="shared" si="344"/>
        <v>COM</v>
      </c>
      <c r="G2083" t="str">
        <f t="shared" si="351"/>
        <v>CORA SOCIEDADE DE CREDITO, FINANCIAMENTO E INVESTIMENTO (20035)</v>
      </c>
      <c r="H2083" t="s">
        <v>75</v>
      </c>
      <c r="I2083" t="str">
        <f t="shared" si="352"/>
        <v>11/09/2025</v>
      </c>
      <c r="J2083" t="str">
        <f t="shared" si="353"/>
        <v>01/09/2025</v>
      </c>
      <c r="K2083">
        <v>45911</v>
      </c>
      <c r="N2083">
        <v>401</v>
      </c>
      <c r="O2083" t="s">
        <v>76</v>
      </c>
      <c r="Q2083">
        <v>1.7</v>
      </c>
      <c r="R2083" t="str">
        <f>"CORA SOCIEDADE DE CREDITO, FINANCIAMENTO E INVESTIMENTO (20035)"</f>
        <v>CORA SOCIEDADE DE CREDITO, FINANCIAMENTO E INVESTIMENTO (20035)</v>
      </c>
      <c r="S2083" t="s">
        <v>22</v>
      </c>
      <c r="T2083">
        <v>22195</v>
      </c>
      <c r="U2083">
        <v>25938</v>
      </c>
      <c r="V2083" t="s">
        <v>22</v>
      </c>
    </row>
    <row r="2084" spans="1:22">
      <c r="A2084" t="str">
        <f t="shared" si="341"/>
        <v>11/09/2025</v>
      </c>
      <c r="B2084" t="str">
        <f t="shared" si="348"/>
        <v>SAÍDA</v>
      </c>
      <c r="C2084" t="str">
        <f t="shared" si="349"/>
        <v>CONHECIMENTO</v>
      </c>
      <c r="D2084" t="str">
        <f t="shared" si="350"/>
        <v>01092025</v>
      </c>
      <c r="E2084" t="str">
        <f>"4"</f>
        <v>4</v>
      </c>
      <c r="F2084" t="str">
        <f t="shared" si="344"/>
        <v>COM</v>
      </c>
      <c r="G2084" t="str">
        <f t="shared" si="351"/>
        <v>CORA SOCIEDADE DE CREDITO, FINANCIAMENTO E INVESTIMENTO (20035)</v>
      </c>
      <c r="H2084" t="str">
        <f>"TAXA BOLETO "</f>
        <v xml:space="preserve">TAXA BOLETO </v>
      </c>
      <c r="I2084" t="str">
        <f t="shared" si="352"/>
        <v>11/09/2025</v>
      </c>
      <c r="J2084" t="str">
        <f t="shared" si="353"/>
        <v>01/09/2025</v>
      </c>
      <c r="K2084" t="str">
        <f>("11/09/2025")</f>
        <v>11/09/2025</v>
      </c>
      <c r="L2084">
        <v>1.7</v>
      </c>
      <c r="M2084">
        <v>1.7</v>
      </c>
      <c r="N2084">
        <v>401</v>
      </c>
      <c r="O2084" t="str">
        <f>"IOF/JUROS/DESP.FINANCEIRA"</f>
        <v>IOF/JUROS/DESP.FINANCEIRA</v>
      </c>
      <c r="P2084">
        <v>1.7</v>
      </c>
      <c r="S2084" t="str">
        <f>"BANCO CORA (102)"</f>
        <v>BANCO CORA (102)</v>
      </c>
      <c r="T2084">
        <v>22196</v>
      </c>
      <c r="U2084">
        <v>25939</v>
      </c>
      <c r="V2084" t="s">
        <v>22</v>
      </c>
    </row>
    <row r="2085" spans="1:22">
      <c r="A2085" t="str">
        <f t="shared" si="341"/>
        <v>11/09/2025</v>
      </c>
      <c r="B2085" t="str">
        <f t="shared" si="348"/>
        <v>SAÍDA</v>
      </c>
      <c r="C2085" t="str">
        <f t="shared" si="349"/>
        <v>CONHECIMENTO</v>
      </c>
      <c r="D2085" t="str">
        <f t="shared" si="350"/>
        <v>01092025</v>
      </c>
      <c r="E2085" t="str">
        <f>"4"</f>
        <v>4</v>
      </c>
      <c r="F2085" t="str">
        <f t="shared" si="344"/>
        <v>COM</v>
      </c>
      <c r="G2085" t="str">
        <f t="shared" si="351"/>
        <v>CORA SOCIEDADE DE CREDITO, FINANCIAMENTO E INVESTIMENTO (20035)</v>
      </c>
      <c r="H2085" t="s">
        <v>75</v>
      </c>
      <c r="I2085" t="str">
        <f t="shared" si="352"/>
        <v>11/09/2025</v>
      </c>
      <c r="J2085" t="str">
        <f t="shared" si="353"/>
        <v>01/09/2025</v>
      </c>
      <c r="K2085">
        <v>45911</v>
      </c>
      <c r="N2085">
        <v>401</v>
      </c>
      <c r="O2085" t="s">
        <v>76</v>
      </c>
      <c r="Q2085">
        <v>1.7</v>
      </c>
      <c r="R2085" t="str">
        <f>"CORA SOCIEDADE DE CREDITO, FINANCIAMENTO E INVESTIMENTO (20035)"</f>
        <v>CORA SOCIEDADE DE CREDITO, FINANCIAMENTO E INVESTIMENTO (20035)</v>
      </c>
      <c r="S2085" t="s">
        <v>22</v>
      </c>
      <c r="T2085">
        <v>22196</v>
      </c>
      <c r="U2085">
        <v>25939</v>
      </c>
      <c r="V2085" t="s">
        <v>22</v>
      </c>
    </row>
    <row r="2086" spans="1:22">
      <c r="A2086" t="str">
        <f t="shared" si="341"/>
        <v>11/09/2025</v>
      </c>
      <c r="B2086" t="str">
        <f t="shared" si="348"/>
        <v>SAÍDA</v>
      </c>
      <c r="C2086" t="str">
        <f t="shared" si="349"/>
        <v>CONHECIMENTO</v>
      </c>
      <c r="D2086" t="str">
        <f t="shared" si="350"/>
        <v>01092025</v>
      </c>
      <c r="E2086" t="str">
        <f>"5"</f>
        <v>5</v>
      </c>
      <c r="F2086" t="str">
        <f t="shared" si="344"/>
        <v>COM</v>
      </c>
      <c r="G2086" t="str">
        <f t="shared" si="351"/>
        <v>CORA SOCIEDADE DE CREDITO, FINANCIAMENTO E INVESTIMENTO (20035)</v>
      </c>
      <c r="H2086" t="str">
        <f>"TAXA BOLETO "</f>
        <v xml:space="preserve">TAXA BOLETO </v>
      </c>
      <c r="I2086" t="str">
        <f t="shared" si="352"/>
        <v>11/09/2025</v>
      </c>
      <c r="J2086" t="str">
        <f t="shared" si="353"/>
        <v>01/09/2025</v>
      </c>
      <c r="K2086" t="str">
        <f>("11/09/2025")</f>
        <v>11/09/2025</v>
      </c>
      <c r="L2086">
        <v>1.7</v>
      </c>
      <c r="M2086">
        <v>1.7</v>
      </c>
      <c r="N2086">
        <v>401</v>
      </c>
      <c r="O2086" t="str">
        <f>"IOF/JUROS/DESP.FINANCEIRA"</f>
        <v>IOF/JUROS/DESP.FINANCEIRA</v>
      </c>
      <c r="P2086">
        <v>1.7</v>
      </c>
      <c r="S2086" t="str">
        <f>"BANCO CORA (102)"</f>
        <v>BANCO CORA (102)</v>
      </c>
      <c r="T2086">
        <v>22197</v>
      </c>
      <c r="U2086">
        <v>25940</v>
      </c>
      <c r="V2086" t="s">
        <v>22</v>
      </c>
    </row>
    <row r="2087" spans="1:22">
      <c r="A2087" t="str">
        <f t="shared" si="341"/>
        <v>11/09/2025</v>
      </c>
      <c r="B2087" t="str">
        <f t="shared" si="348"/>
        <v>SAÍDA</v>
      </c>
      <c r="C2087" t="str">
        <f t="shared" si="349"/>
        <v>CONHECIMENTO</v>
      </c>
      <c r="D2087" t="str">
        <f t="shared" si="350"/>
        <v>01092025</v>
      </c>
      <c r="E2087" t="str">
        <f>"5"</f>
        <v>5</v>
      </c>
      <c r="F2087" t="str">
        <f t="shared" si="344"/>
        <v>COM</v>
      </c>
      <c r="G2087" t="str">
        <f t="shared" si="351"/>
        <v>CORA SOCIEDADE DE CREDITO, FINANCIAMENTO E INVESTIMENTO (20035)</v>
      </c>
      <c r="H2087" t="s">
        <v>75</v>
      </c>
      <c r="I2087" t="str">
        <f t="shared" si="352"/>
        <v>11/09/2025</v>
      </c>
      <c r="J2087" t="str">
        <f t="shared" si="353"/>
        <v>01/09/2025</v>
      </c>
      <c r="K2087">
        <v>45911</v>
      </c>
      <c r="N2087">
        <v>401</v>
      </c>
      <c r="O2087" t="s">
        <v>76</v>
      </c>
      <c r="Q2087">
        <v>1.7</v>
      </c>
      <c r="R2087" t="str">
        <f>"CORA SOCIEDADE DE CREDITO, FINANCIAMENTO E INVESTIMENTO (20035)"</f>
        <v>CORA SOCIEDADE DE CREDITO, FINANCIAMENTO E INVESTIMENTO (20035)</v>
      </c>
      <c r="S2087" t="s">
        <v>22</v>
      </c>
      <c r="T2087">
        <v>22197</v>
      </c>
      <c r="U2087">
        <v>25940</v>
      </c>
      <c r="V2087" t="s">
        <v>22</v>
      </c>
    </row>
    <row r="2088" spans="1:22">
      <c r="A2088" t="str">
        <f t="shared" si="341"/>
        <v>11/09/2025</v>
      </c>
      <c r="B2088" t="str">
        <f t="shared" si="348"/>
        <v>SAÍDA</v>
      </c>
      <c r="C2088" t="str">
        <f t="shared" si="349"/>
        <v>CONHECIMENTO</v>
      </c>
      <c r="D2088" t="str">
        <f t="shared" si="350"/>
        <v>01092025</v>
      </c>
      <c r="E2088" t="str">
        <f>"6"</f>
        <v>6</v>
      </c>
      <c r="F2088" t="str">
        <f t="shared" si="344"/>
        <v>COM</v>
      </c>
      <c r="G2088" t="str">
        <f t="shared" si="351"/>
        <v>CORA SOCIEDADE DE CREDITO, FINANCIAMENTO E INVESTIMENTO (20035)</v>
      </c>
      <c r="H2088" t="str">
        <f>"TAXA BOLETO "</f>
        <v xml:space="preserve">TAXA BOLETO </v>
      </c>
      <c r="I2088" t="str">
        <f t="shared" si="352"/>
        <v>11/09/2025</v>
      </c>
      <c r="J2088" t="str">
        <f t="shared" si="353"/>
        <v>01/09/2025</v>
      </c>
      <c r="K2088" t="str">
        <f>("11/09/2025")</f>
        <v>11/09/2025</v>
      </c>
      <c r="L2088">
        <v>1.7</v>
      </c>
      <c r="M2088">
        <v>1.7</v>
      </c>
      <c r="N2088">
        <v>401</v>
      </c>
      <c r="O2088" t="str">
        <f>"IOF/JUROS/DESP.FINANCEIRA"</f>
        <v>IOF/JUROS/DESP.FINANCEIRA</v>
      </c>
      <c r="P2088">
        <v>1.7</v>
      </c>
      <c r="S2088" t="str">
        <f>"BANCO CORA (102)"</f>
        <v>BANCO CORA (102)</v>
      </c>
      <c r="T2088">
        <v>22198</v>
      </c>
      <c r="U2088">
        <v>25941</v>
      </c>
      <c r="V2088" t="s">
        <v>22</v>
      </c>
    </row>
    <row r="2089" spans="1:22">
      <c r="A2089" t="str">
        <f t="shared" si="341"/>
        <v>11/09/2025</v>
      </c>
      <c r="B2089" t="str">
        <f t="shared" si="348"/>
        <v>SAÍDA</v>
      </c>
      <c r="C2089" t="str">
        <f t="shared" si="349"/>
        <v>CONHECIMENTO</v>
      </c>
      <c r="D2089" t="str">
        <f t="shared" si="350"/>
        <v>01092025</v>
      </c>
      <c r="E2089" t="str">
        <f>"6"</f>
        <v>6</v>
      </c>
      <c r="F2089" t="str">
        <f t="shared" si="344"/>
        <v>COM</v>
      </c>
      <c r="G2089" t="str">
        <f t="shared" si="351"/>
        <v>CORA SOCIEDADE DE CREDITO, FINANCIAMENTO E INVESTIMENTO (20035)</v>
      </c>
      <c r="H2089" t="s">
        <v>75</v>
      </c>
      <c r="I2089" t="str">
        <f t="shared" si="352"/>
        <v>11/09/2025</v>
      </c>
      <c r="J2089" t="str">
        <f t="shared" si="353"/>
        <v>01/09/2025</v>
      </c>
      <c r="K2089">
        <v>45911</v>
      </c>
      <c r="N2089">
        <v>401</v>
      </c>
      <c r="O2089" t="s">
        <v>76</v>
      </c>
      <c r="Q2089">
        <v>1.7</v>
      </c>
      <c r="R2089" t="str">
        <f>"CORA SOCIEDADE DE CREDITO, FINANCIAMENTO E INVESTIMENTO (20035)"</f>
        <v>CORA SOCIEDADE DE CREDITO, FINANCIAMENTO E INVESTIMENTO (20035)</v>
      </c>
      <c r="S2089" t="s">
        <v>22</v>
      </c>
      <c r="T2089">
        <v>22198</v>
      </c>
      <c r="U2089">
        <v>25941</v>
      </c>
      <c r="V2089" t="s">
        <v>22</v>
      </c>
    </row>
    <row r="2090" spans="1:22">
      <c r="A2090" t="str">
        <f t="shared" si="341"/>
        <v>11/09/2025</v>
      </c>
      <c r="B2090" t="str">
        <f t="shared" si="348"/>
        <v>SAÍDA</v>
      </c>
      <c r="C2090" t="str">
        <f t="shared" si="349"/>
        <v>CONHECIMENTO</v>
      </c>
      <c r="D2090" t="str">
        <f t="shared" si="350"/>
        <v>01092025</v>
      </c>
      <c r="E2090" t="str">
        <f>"7"</f>
        <v>7</v>
      </c>
      <c r="F2090" t="str">
        <f t="shared" si="344"/>
        <v>COM</v>
      </c>
      <c r="G2090" t="str">
        <f t="shared" si="351"/>
        <v>CORA SOCIEDADE DE CREDITO, FINANCIAMENTO E INVESTIMENTO (20035)</v>
      </c>
      <c r="H2090" t="str">
        <f>"TAXA BOLETO "</f>
        <v xml:space="preserve">TAXA BOLETO </v>
      </c>
      <c r="I2090" t="str">
        <f t="shared" si="352"/>
        <v>11/09/2025</v>
      </c>
      <c r="J2090" t="str">
        <f t="shared" si="353"/>
        <v>01/09/2025</v>
      </c>
      <c r="K2090" t="str">
        <f>("11/09/2025")</f>
        <v>11/09/2025</v>
      </c>
      <c r="L2090">
        <v>1.7</v>
      </c>
      <c r="M2090">
        <v>1.7</v>
      </c>
      <c r="N2090">
        <v>401</v>
      </c>
      <c r="O2090" t="str">
        <f>"IOF/JUROS/DESP.FINANCEIRA"</f>
        <v>IOF/JUROS/DESP.FINANCEIRA</v>
      </c>
      <c r="P2090">
        <v>1.7</v>
      </c>
      <c r="S2090" t="str">
        <f>"BANCO CORA (102)"</f>
        <v>BANCO CORA (102)</v>
      </c>
      <c r="T2090">
        <v>22199</v>
      </c>
      <c r="U2090">
        <v>25942</v>
      </c>
      <c r="V2090" t="s">
        <v>22</v>
      </c>
    </row>
    <row r="2091" spans="1:22">
      <c r="A2091" t="str">
        <f t="shared" si="341"/>
        <v>11/09/2025</v>
      </c>
      <c r="B2091" t="str">
        <f t="shared" si="348"/>
        <v>SAÍDA</v>
      </c>
      <c r="C2091" t="str">
        <f t="shared" si="349"/>
        <v>CONHECIMENTO</v>
      </c>
      <c r="D2091" t="str">
        <f t="shared" si="350"/>
        <v>01092025</v>
      </c>
      <c r="E2091" t="str">
        <f>"7"</f>
        <v>7</v>
      </c>
      <c r="F2091" t="str">
        <f t="shared" si="344"/>
        <v>COM</v>
      </c>
      <c r="G2091" t="str">
        <f t="shared" si="351"/>
        <v>CORA SOCIEDADE DE CREDITO, FINANCIAMENTO E INVESTIMENTO (20035)</v>
      </c>
      <c r="H2091" t="s">
        <v>75</v>
      </c>
      <c r="I2091" t="str">
        <f t="shared" si="352"/>
        <v>11/09/2025</v>
      </c>
      <c r="J2091" t="str">
        <f t="shared" si="353"/>
        <v>01/09/2025</v>
      </c>
      <c r="K2091">
        <v>45911</v>
      </c>
      <c r="N2091">
        <v>401</v>
      </c>
      <c r="O2091" t="s">
        <v>76</v>
      </c>
      <c r="Q2091">
        <v>1.7</v>
      </c>
      <c r="R2091" t="str">
        <f>"CORA SOCIEDADE DE CREDITO, FINANCIAMENTO E INVESTIMENTO (20035)"</f>
        <v>CORA SOCIEDADE DE CREDITO, FINANCIAMENTO E INVESTIMENTO (20035)</v>
      </c>
      <c r="S2091" t="s">
        <v>22</v>
      </c>
      <c r="T2091">
        <v>22199</v>
      </c>
      <c r="U2091">
        <v>25942</v>
      </c>
      <c r="V2091" t="s">
        <v>22</v>
      </c>
    </row>
    <row r="2092" spans="1:22">
      <c r="A2092" t="str">
        <f t="shared" si="341"/>
        <v>11/09/2025</v>
      </c>
      <c r="B2092" t="str">
        <f t="shared" si="348"/>
        <v>SAÍDA</v>
      </c>
      <c r="C2092" t="str">
        <f t="shared" si="349"/>
        <v>CONHECIMENTO</v>
      </c>
      <c r="D2092" t="str">
        <f t="shared" si="350"/>
        <v>01092025</v>
      </c>
      <c r="E2092" t="str">
        <f>"8"</f>
        <v>8</v>
      </c>
      <c r="F2092" t="str">
        <f t="shared" si="344"/>
        <v>COM</v>
      </c>
      <c r="G2092" t="str">
        <f t="shared" si="351"/>
        <v>CORA SOCIEDADE DE CREDITO, FINANCIAMENTO E INVESTIMENTO (20035)</v>
      </c>
      <c r="H2092" t="str">
        <f>"TAXA BOLETO "</f>
        <v xml:space="preserve">TAXA BOLETO </v>
      </c>
      <c r="I2092" t="str">
        <f t="shared" si="352"/>
        <v>11/09/2025</v>
      </c>
      <c r="J2092" t="str">
        <f t="shared" si="353"/>
        <v>01/09/2025</v>
      </c>
      <c r="K2092" t="str">
        <f>("11/09/2025")</f>
        <v>11/09/2025</v>
      </c>
      <c r="L2092">
        <v>1.7</v>
      </c>
      <c r="M2092">
        <v>1.7</v>
      </c>
      <c r="N2092">
        <v>401</v>
      </c>
      <c r="O2092" t="str">
        <f>"IOF/JUROS/DESP.FINANCEIRA"</f>
        <v>IOF/JUROS/DESP.FINANCEIRA</v>
      </c>
      <c r="P2092">
        <v>1.7</v>
      </c>
      <c r="S2092" t="str">
        <f>"BANCO CORA (102)"</f>
        <v>BANCO CORA (102)</v>
      </c>
      <c r="T2092">
        <v>22200</v>
      </c>
      <c r="U2092">
        <v>25943</v>
      </c>
      <c r="V2092" t="s">
        <v>22</v>
      </c>
    </row>
    <row r="2093" spans="1:22">
      <c r="A2093" t="str">
        <f t="shared" si="341"/>
        <v>11/09/2025</v>
      </c>
      <c r="B2093" t="str">
        <f t="shared" si="348"/>
        <v>SAÍDA</v>
      </c>
      <c r="C2093" t="str">
        <f t="shared" si="349"/>
        <v>CONHECIMENTO</v>
      </c>
      <c r="D2093" t="str">
        <f t="shared" si="350"/>
        <v>01092025</v>
      </c>
      <c r="E2093" t="str">
        <f>"8"</f>
        <v>8</v>
      </c>
      <c r="F2093" t="str">
        <f t="shared" si="344"/>
        <v>COM</v>
      </c>
      <c r="G2093" t="str">
        <f t="shared" si="351"/>
        <v>CORA SOCIEDADE DE CREDITO, FINANCIAMENTO E INVESTIMENTO (20035)</v>
      </c>
      <c r="H2093" t="s">
        <v>75</v>
      </c>
      <c r="I2093" t="str">
        <f t="shared" si="352"/>
        <v>11/09/2025</v>
      </c>
      <c r="J2093" t="str">
        <f t="shared" si="353"/>
        <v>01/09/2025</v>
      </c>
      <c r="K2093">
        <v>45911</v>
      </c>
      <c r="N2093">
        <v>401</v>
      </c>
      <c r="O2093" t="s">
        <v>76</v>
      </c>
      <c r="Q2093">
        <v>1.7</v>
      </c>
      <c r="R2093" t="str">
        <f>"CORA SOCIEDADE DE CREDITO, FINANCIAMENTO E INVESTIMENTO (20035)"</f>
        <v>CORA SOCIEDADE DE CREDITO, FINANCIAMENTO E INVESTIMENTO (20035)</v>
      </c>
      <c r="S2093" t="s">
        <v>22</v>
      </c>
      <c r="T2093">
        <v>22200</v>
      </c>
      <c r="U2093">
        <v>25943</v>
      </c>
      <c r="V2093" t="s">
        <v>22</v>
      </c>
    </row>
    <row r="2094" spans="1:22">
      <c r="A2094" t="str">
        <f t="shared" si="341"/>
        <v>11/09/2025</v>
      </c>
      <c r="B2094" t="str">
        <f t="shared" si="348"/>
        <v>SAÍDA</v>
      </c>
      <c r="C2094" t="str">
        <f t="shared" si="349"/>
        <v>CONHECIMENTO</v>
      </c>
      <c r="D2094" t="str">
        <f t="shared" si="350"/>
        <v>01092025</v>
      </c>
      <c r="E2094" t="str">
        <f>"9"</f>
        <v>9</v>
      </c>
      <c r="F2094" t="str">
        <f t="shared" si="344"/>
        <v>COM</v>
      </c>
      <c r="G2094" t="str">
        <f t="shared" si="351"/>
        <v>CORA SOCIEDADE DE CREDITO, FINANCIAMENTO E INVESTIMENTO (20035)</v>
      </c>
      <c r="H2094" t="str">
        <f>"TAXA BOLETO "</f>
        <v xml:space="preserve">TAXA BOLETO </v>
      </c>
      <c r="I2094" t="str">
        <f t="shared" si="352"/>
        <v>11/09/2025</v>
      </c>
      <c r="J2094" t="str">
        <f t="shared" si="353"/>
        <v>01/09/2025</v>
      </c>
      <c r="K2094" t="str">
        <f>("11/09/2025")</f>
        <v>11/09/2025</v>
      </c>
      <c r="L2094">
        <v>1.7</v>
      </c>
      <c r="M2094">
        <v>1.7</v>
      </c>
      <c r="N2094">
        <v>401</v>
      </c>
      <c r="O2094" t="str">
        <f>"IOF/JUROS/DESP.FINANCEIRA"</f>
        <v>IOF/JUROS/DESP.FINANCEIRA</v>
      </c>
      <c r="P2094">
        <v>1.7</v>
      </c>
      <c r="S2094" t="str">
        <f>"BANCO CORA (102)"</f>
        <v>BANCO CORA (102)</v>
      </c>
      <c r="T2094">
        <v>22201</v>
      </c>
      <c r="U2094">
        <v>25944</v>
      </c>
      <c r="V2094" t="s">
        <v>22</v>
      </c>
    </row>
    <row r="2095" spans="1:22">
      <c r="A2095" t="str">
        <f t="shared" si="341"/>
        <v>11/09/2025</v>
      </c>
      <c r="B2095" t="str">
        <f t="shared" si="348"/>
        <v>SAÍDA</v>
      </c>
      <c r="C2095" t="str">
        <f t="shared" si="349"/>
        <v>CONHECIMENTO</v>
      </c>
      <c r="D2095" t="str">
        <f t="shared" si="350"/>
        <v>01092025</v>
      </c>
      <c r="E2095" t="str">
        <f>"9"</f>
        <v>9</v>
      </c>
      <c r="F2095" t="str">
        <f t="shared" si="344"/>
        <v>COM</v>
      </c>
      <c r="G2095" t="str">
        <f t="shared" si="351"/>
        <v>CORA SOCIEDADE DE CREDITO, FINANCIAMENTO E INVESTIMENTO (20035)</v>
      </c>
      <c r="H2095" t="s">
        <v>75</v>
      </c>
      <c r="I2095" t="str">
        <f t="shared" si="352"/>
        <v>11/09/2025</v>
      </c>
      <c r="J2095" t="str">
        <f t="shared" si="353"/>
        <v>01/09/2025</v>
      </c>
      <c r="K2095">
        <v>45911</v>
      </c>
      <c r="N2095">
        <v>401</v>
      </c>
      <c r="O2095" t="s">
        <v>76</v>
      </c>
      <c r="Q2095">
        <v>1.7</v>
      </c>
      <c r="R2095" t="str">
        <f>"CORA SOCIEDADE DE CREDITO, FINANCIAMENTO E INVESTIMENTO (20035)"</f>
        <v>CORA SOCIEDADE DE CREDITO, FINANCIAMENTO E INVESTIMENTO (20035)</v>
      </c>
      <c r="S2095" t="s">
        <v>22</v>
      </c>
      <c r="T2095">
        <v>22201</v>
      </c>
      <c r="U2095">
        <v>25944</v>
      </c>
      <c r="V2095" t="s">
        <v>22</v>
      </c>
    </row>
    <row r="2096" spans="1:22">
      <c r="A2096" t="str">
        <f t="shared" si="341"/>
        <v>11/09/2025</v>
      </c>
      <c r="B2096" t="str">
        <f t="shared" si="348"/>
        <v>SAÍDA</v>
      </c>
      <c r="C2096" t="str">
        <f t="shared" si="349"/>
        <v>CONHECIMENTO</v>
      </c>
      <c r="D2096" t="str">
        <f t="shared" si="350"/>
        <v>01092025</v>
      </c>
      <c r="E2096" t="str">
        <f>"10"</f>
        <v>10</v>
      </c>
      <c r="F2096" t="str">
        <f t="shared" si="344"/>
        <v>COM</v>
      </c>
      <c r="G2096" t="str">
        <f t="shared" si="351"/>
        <v>CORA SOCIEDADE DE CREDITO, FINANCIAMENTO E INVESTIMENTO (20035)</v>
      </c>
      <c r="H2096" t="str">
        <f>"TAXA BOLETO "</f>
        <v xml:space="preserve">TAXA BOLETO </v>
      </c>
      <c r="I2096" t="str">
        <f t="shared" si="352"/>
        <v>11/09/2025</v>
      </c>
      <c r="J2096" t="str">
        <f t="shared" si="353"/>
        <v>01/09/2025</v>
      </c>
      <c r="K2096" t="str">
        <f>("11/09/2025")</f>
        <v>11/09/2025</v>
      </c>
      <c r="L2096">
        <v>1.7</v>
      </c>
      <c r="M2096">
        <v>1.7</v>
      </c>
      <c r="N2096">
        <v>401</v>
      </c>
      <c r="O2096" t="str">
        <f>"IOF/JUROS/DESP.FINANCEIRA"</f>
        <v>IOF/JUROS/DESP.FINANCEIRA</v>
      </c>
      <c r="P2096">
        <v>1.7</v>
      </c>
      <c r="S2096" t="str">
        <f>"BANCO CORA (102)"</f>
        <v>BANCO CORA (102)</v>
      </c>
      <c r="T2096">
        <v>22202</v>
      </c>
      <c r="U2096">
        <v>25945</v>
      </c>
      <c r="V2096" t="s">
        <v>22</v>
      </c>
    </row>
    <row r="2097" spans="1:22">
      <c r="A2097" t="str">
        <f t="shared" si="341"/>
        <v>11/09/2025</v>
      </c>
      <c r="B2097" t="str">
        <f t="shared" si="348"/>
        <v>SAÍDA</v>
      </c>
      <c r="C2097" t="str">
        <f t="shared" si="349"/>
        <v>CONHECIMENTO</v>
      </c>
      <c r="D2097" t="str">
        <f t="shared" si="350"/>
        <v>01092025</v>
      </c>
      <c r="E2097" t="str">
        <f>"10"</f>
        <v>10</v>
      </c>
      <c r="F2097" t="str">
        <f t="shared" si="344"/>
        <v>COM</v>
      </c>
      <c r="G2097" t="str">
        <f t="shared" si="351"/>
        <v>CORA SOCIEDADE DE CREDITO, FINANCIAMENTO E INVESTIMENTO (20035)</v>
      </c>
      <c r="H2097" t="s">
        <v>75</v>
      </c>
      <c r="I2097" t="str">
        <f t="shared" si="352"/>
        <v>11/09/2025</v>
      </c>
      <c r="J2097" t="str">
        <f t="shared" si="353"/>
        <v>01/09/2025</v>
      </c>
      <c r="K2097">
        <v>45911</v>
      </c>
      <c r="N2097">
        <v>401</v>
      </c>
      <c r="O2097" t="s">
        <v>76</v>
      </c>
      <c r="Q2097">
        <v>1.7</v>
      </c>
      <c r="R2097" t="str">
        <f>"CORA SOCIEDADE DE CREDITO, FINANCIAMENTO E INVESTIMENTO (20035)"</f>
        <v>CORA SOCIEDADE DE CREDITO, FINANCIAMENTO E INVESTIMENTO (20035)</v>
      </c>
      <c r="S2097" t="s">
        <v>22</v>
      </c>
      <c r="T2097">
        <v>22202</v>
      </c>
      <c r="U2097">
        <v>25945</v>
      </c>
      <c r="V2097" t="s">
        <v>22</v>
      </c>
    </row>
    <row r="2098" spans="1:22">
      <c r="A2098" t="str">
        <f t="shared" si="341"/>
        <v>11/09/2025</v>
      </c>
      <c r="B2098" t="str">
        <f t="shared" si="348"/>
        <v>SAÍDA</v>
      </c>
      <c r="C2098" t="str">
        <f t="shared" si="349"/>
        <v>CONHECIMENTO</v>
      </c>
      <c r="D2098" t="str">
        <f t="shared" si="350"/>
        <v>01092025</v>
      </c>
      <c r="E2098" t="str">
        <f>"11"</f>
        <v>11</v>
      </c>
      <c r="F2098" t="str">
        <f t="shared" si="344"/>
        <v>COM</v>
      </c>
      <c r="G2098" t="str">
        <f t="shared" si="351"/>
        <v>CORA SOCIEDADE DE CREDITO, FINANCIAMENTO E INVESTIMENTO (20035)</v>
      </c>
      <c r="H2098" t="str">
        <f>"TAXA BOLETO "</f>
        <v xml:space="preserve">TAXA BOLETO </v>
      </c>
      <c r="I2098" t="str">
        <f t="shared" si="352"/>
        <v>11/09/2025</v>
      </c>
      <c r="J2098" t="str">
        <f t="shared" si="353"/>
        <v>01/09/2025</v>
      </c>
      <c r="K2098" t="str">
        <f>("11/09/2025")</f>
        <v>11/09/2025</v>
      </c>
      <c r="L2098">
        <v>1.7</v>
      </c>
      <c r="M2098">
        <v>1.7</v>
      </c>
      <c r="N2098">
        <v>401</v>
      </c>
      <c r="O2098" t="str">
        <f>"IOF/JUROS/DESP.FINANCEIRA"</f>
        <v>IOF/JUROS/DESP.FINANCEIRA</v>
      </c>
      <c r="P2098">
        <v>1.7</v>
      </c>
      <c r="S2098" t="str">
        <f>"BANCO CORA (102)"</f>
        <v>BANCO CORA (102)</v>
      </c>
      <c r="T2098">
        <v>22203</v>
      </c>
      <c r="U2098">
        <v>25946</v>
      </c>
      <c r="V2098" t="s">
        <v>22</v>
      </c>
    </row>
    <row r="2099" spans="1:22">
      <c r="A2099" t="str">
        <f t="shared" si="341"/>
        <v>11/09/2025</v>
      </c>
      <c r="B2099" t="str">
        <f t="shared" si="348"/>
        <v>SAÍDA</v>
      </c>
      <c r="C2099" t="str">
        <f t="shared" si="349"/>
        <v>CONHECIMENTO</v>
      </c>
      <c r="D2099" t="str">
        <f t="shared" si="350"/>
        <v>01092025</v>
      </c>
      <c r="E2099" t="str">
        <f>"11"</f>
        <v>11</v>
      </c>
      <c r="F2099" t="str">
        <f t="shared" si="344"/>
        <v>COM</v>
      </c>
      <c r="G2099" t="str">
        <f t="shared" si="351"/>
        <v>CORA SOCIEDADE DE CREDITO, FINANCIAMENTO E INVESTIMENTO (20035)</v>
      </c>
      <c r="H2099" t="s">
        <v>75</v>
      </c>
      <c r="I2099" t="str">
        <f t="shared" si="352"/>
        <v>11/09/2025</v>
      </c>
      <c r="J2099" t="str">
        <f t="shared" si="353"/>
        <v>01/09/2025</v>
      </c>
      <c r="K2099">
        <v>45911</v>
      </c>
      <c r="N2099">
        <v>401</v>
      </c>
      <c r="O2099" t="s">
        <v>76</v>
      </c>
      <c r="Q2099">
        <v>1.7</v>
      </c>
      <c r="R2099" t="str">
        <f>"CORA SOCIEDADE DE CREDITO, FINANCIAMENTO E INVESTIMENTO (20035)"</f>
        <v>CORA SOCIEDADE DE CREDITO, FINANCIAMENTO E INVESTIMENTO (20035)</v>
      </c>
      <c r="S2099" t="s">
        <v>22</v>
      </c>
      <c r="T2099">
        <v>22203</v>
      </c>
      <c r="U2099">
        <v>25946</v>
      </c>
      <c r="V2099" t="s">
        <v>22</v>
      </c>
    </row>
    <row r="2100" spans="1:22">
      <c r="A2100" t="str">
        <f t="shared" si="341"/>
        <v>11/09/2025</v>
      </c>
      <c r="B2100" t="str">
        <f>"ENTRADA"</f>
        <v>ENTRADA</v>
      </c>
      <c r="C2100" t="str">
        <f>"NFSE"</f>
        <v>NFSE</v>
      </c>
      <c r="D2100" t="str">
        <f>"3304"</f>
        <v>3304</v>
      </c>
      <c r="E2100" t="str">
        <f>"1"</f>
        <v>1</v>
      </c>
      <c r="F2100" t="str">
        <f t="shared" si="344"/>
        <v>COM</v>
      </c>
      <c r="G2100" t="str">
        <f>"PAGMENOS - LJ 608 (10135)"</f>
        <v>PAGMENOS - LJ 608 (10135)</v>
      </c>
      <c r="H2100" t="str">
        <f>"Serv.Prest. 25/08/2025 a 31/08/2025 - RPS: 1180 - NFSe: 3304"</f>
        <v>Serv.Prest. 25/08/2025 a 31/08/2025 - RPS: 1180 - NFSe: 3304</v>
      </c>
      <c r="I2100" t="str">
        <f t="shared" si="352"/>
        <v>11/09/2025</v>
      </c>
      <c r="J2100" t="str">
        <f t="shared" si="353"/>
        <v>01/09/2025</v>
      </c>
      <c r="K2100" t="str">
        <f>("11/09/2025")</f>
        <v>11/09/2025</v>
      </c>
      <c r="L2100">
        <v>1922.28</v>
      </c>
      <c r="M2100">
        <v>1903.05</v>
      </c>
      <c r="N2100">
        <v>303</v>
      </c>
      <c r="O2100" t="str">
        <f>"RECEITAS COM ENTREGAS"</f>
        <v>RECEITAS COM ENTREGAS</v>
      </c>
      <c r="P2100">
        <v>1903.05</v>
      </c>
      <c r="S2100" t="str">
        <f>"RECEITAS COM ENTREGAS (303)"</f>
        <v>RECEITAS COM ENTREGAS (303)</v>
      </c>
      <c r="T2100">
        <v>22205</v>
      </c>
      <c r="U2100">
        <v>21099</v>
      </c>
      <c r="V2100" t="s">
        <v>22</v>
      </c>
    </row>
    <row r="2101" spans="1:22">
      <c r="A2101" t="str">
        <f t="shared" si="341"/>
        <v>11/09/2025</v>
      </c>
      <c r="B2101" t="str">
        <f>"ENTRADA"</f>
        <v>ENTRADA</v>
      </c>
      <c r="C2101" t="str">
        <f>"NFSE"</f>
        <v>NFSE</v>
      </c>
      <c r="D2101" t="str">
        <f>"3304"</f>
        <v>3304</v>
      </c>
      <c r="E2101" t="str">
        <f>"1"</f>
        <v>1</v>
      </c>
      <c r="F2101" t="str">
        <f t="shared" si="344"/>
        <v>COM</v>
      </c>
      <c r="G2101" t="str">
        <f>"PAGMENOS - LJ 608 (10135)"</f>
        <v>PAGMENOS - LJ 608 (10135)</v>
      </c>
      <c r="H2101" t="s">
        <v>555</v>
      </c>
      <c r="I2101" t="str">
        <f t="shared" si="352"/>
        <v>11/09/2025</v>
      </c>
      <c r="J2101" t="str">
        <f t="shared" si="353"/>
        <v>01/09/2025</v>
      </c>
      <c r="K2101">
        <v>45911</v>
      </c>
      <c r="N2101">
        <v>303</v>
      </c>
      <c r="O2101" t="s">
        <v>69</v>
      </c>
      <c r="Q2101">
        <v>1903.05</v>
      </c>
      <c r="R2101" t="str">
        <f>"PAGMENOS - LJ 608 (10135)"</f>
        <v>PAGMENOS - LJ 608 (10135)</v>
      </c>
      <c r="S2101" t="s">
        <v>70</v>
      </c>
      <c r="T2101">
        <v>22205</v>
      </c>
      <c r="U2101">
        <v>21099</v>
      </c>
      <c r="V2101" t="s">
        <v>22</v>
      </c>
    </row>
    <row r="2102" spans="1:22">
      <c r="A2102" t="str">
        <f t="shared" si="341"/>
        <v>11/09/2025</v>
      </c>
      <c r="B2102" t="str">
        <f t="shared" ref="B2102:B2113" si="354">"SAÍDA"</f>
        <v>SAÍDA</v>
      </c>
      <c r="C2102" t="str">
        <f>""</f>
        <v/>
      </c>
      <c r="D2102" t="str">
        <f>""</f>
        <v/>
      </c>
      <c r="F2102" t="str">
        <f>"CXA"</f>
        <v>CXA</v>
      </c>
      <c r="G2102" t="str">
        <f>""</f>
        <v/>
      </c>
      <c r="H2102" t="str">
        <f>"DESPESAS COM EVENTO"</f>
        <v>DESPESAS COM EVENTO</v>
      </c>
      <c r="I2102" t="str">
        <f t="shared" si="352"/>
        <v>11/09/2025</v>
      </c>
      <c r="J2102" t="str">
        <f>("11/09/2025")</f>
        <v>11/09/2025</v>
      </c>
      <c r="K2102" t="str">
        <f>("11/09/2025")</f>
        <v>11/09/2025</v>
      </c>
      <c r="L2102">
        <v>150</v>
      </c>
      <c r="M2102">
        <v>150</v>
      </c>
      <c r="N2102">
        <v>144</v>
      </c>
      <c r="O2102" t="str">
        <f>"DESPESAS COM EVENTOS E CONFRATERNIZAÇÕES"</f>
        <v>DESPESAS COM EVENTOS E CONFRATERNIZAÇÕES</v>
      </c>
      <c r="P2102">
        <v>150</v>
      </c>
      <c r="S2102" t="str">
        <f>"BANCO CORA (102)"</f>
        <v>BANCO CORA (102)</v>
      </c>
      <c r="T2102">
        <v>22206</v>
      </c>
      <c r="U2102">
        <v>0</v>
      </c>
      <c r="V2102" t="s">
        <v>556</v>
      </c>
    </row>
    <row r="2103" spans="1:22">
      <c r="A2103" t="str">
        <f t="shared" ref="A2103:A2134" si="355">("12/09/2025")</f>
        <v>12/09/2025</v>
      </c>
      <c r="B2103" t="str">
        <f t="shared" si="354"/>
        <v>SAÍDA</v>
      </c>
      <c r="C2103" t="str">
        <f t="shared" ref="C2103:C2113" si="356">"PIX"</f>
        <v>PIX</v>
      </c>
      <c r="D2103" t="str">
        <f t="shared" ref="D2103:D2113" si="357">"150920"</f>
        <v>150920</v>
      </c>
      <c r="E2103" t="str">
        <f t="shared" ref="E2103:E2150" si="358">"25"</f>
        <v>25</v>
      </c>
      <c r="F2103" t="str">
        <f t="shared" ref="F2103:F2134" si="359">"COM"</f>
        <v>COM</v>
      </c>
      <c r="G2103" t="str">
        <f t="shared" ref="G2103:G2115" si="360">"CASSIO DIAS RIBEIRO (32)"</f>
        <v>CASSIO DIAS RIBEIRO (32)</v>
      </c>
      <c r="H2103" t="str">
        <f>"PAGAMENTO LIDERANÇA REF. MES 08/2025 - PIX: CPF - CHAVE: 091.575.986-14"</f>
        <v>PAGAMENTO LIDERANÇA REF. MES 08/2025 - PIX: CPF - CHAVE: 091.575.986-14</v>
      </c>
      <c r="I2103" t="str">
        <f t="shared" ref="I2103:I2136" si="361">("15/09/2025")</f>
        <v>15/09/2025</v>
      </c>
      <c r="J2103" t="str">
        <f t="shared" ref="J2103:J2113" si="362">("30/08/2025")</f>
        <v>30/08/2025</v>
      </c>
      <c r="K2103" t="str">
        <f>("12/09/2025")</f>
        <v>12/09/2025</v>
      </c>
      <c r="L2103">
        <v>500</v>
      </c>
      <c r="M2103">
        <v>500</v>
      </c>
      <c r="N2103">
        <v>120</v>
      </c>
      <c r="O2103" t="str">
        <f>"PAGAMENTO COMISSAO LIDERES"</f>
        <v>PAGAMENTO COMISSAO LIDERES</v>
      </c>
      <c r="P2103">
        <v>500</v>
      </c>
      <c r="S2103" t="str">
        <f>"CAIXA MOVIMENTAÇÃO OPERACIONAL (132)"</f>
        <v>CAIXA MOVIMENTAÇÃO OPERACIONAL (132)</v>
      </c>
      <c r="T2103">
        <v>18250</v>
      </c>
      <c r="U2103">
        <v>21931</v>
      </c>
      <c r="V2103" t="s">
        <v>48</v>
      </c>
    </row>
    <row r="2104" spans="1:22">
      <c r="A2104" t="str">
        <f t="shared" si="355"/>
        <v>12/09/2025</v>
      </c>
      <c r="B2104" t="str">
        <f t="shared" si="354"/>
        <v>SAÍDA</v>
      </c>
      <c r="C2104" t="str">
        <f t="shared" si="356"/>
        <v>PIX</v>
      </c>
      <c r="D2104" t="str">
        <f t="shared" si="357"/>
        <v>150920</v>
      </c>
      <c r="E2104" t="str">
        <f t="shared" si="358"/>
        <v>25</v>
      </c>
      <c r="F2104" t="str">
        <f t="shared" si="359"/>
        <v>COM</v>
      </c>
      <c r="G2104" t="str">
        <f t="shared" si="360"/>
        <v>CASSIO DIAS RIBEIRO (32)</v>
      </c>
      <c r="H2104" t="s">
        <v>557</v>
      </c>
      <c r="I2104" t="str">
        <f t="shared" si="361"/>
        <v>15/09/2025</v>
      </c>
      <c r="J2104" t="str">
        <f t="shared" si="362"/>
        <v>30/08/2025</v>
      </c>
      <c r="K2104">
        <v>45912</v>
      </c>
      <c r="N2104">
        <v>120</v>
      </c>
      <c r="O2104" t="s">
        <v>306</v>
      </c>
      <c r="Q2104">
        <v>144.35</v>
      </c>
      <c r="R2104" t="str">
        <f>"FARMÁCIA INDIANA LJ 06 (10006)"</f>
        <v>FARMÁCIA INDIANA LJ 06 (10006)</v>
      </c>
      <c r="S2104" t="s">
        <v>48</v>
      </c>
      <c r="T2104">
        <v>18250</v>
      </c>
      <c r="U2104">
        <v>21931</v>
      </c>
      <c r="V2104" t="s">
        <v>48</v>
      </c>
    </row>
    <row r="2105" spans="1:22">
      <c r="A2105" t="str">
        <f t="shared" si="355"/>
        <v>12/09/2025</v>
      </c>
      <c r="B2105" t="str">
        <f t="shared" si="354"/>
        <v>SAÍDA</v>
      </c>
      <c r="C2105" t="str">
        <f t="shared" si="356"/>
        <v>PIX</v>
      </c>
      <c r="D2105" t="str">
        <f t="shared" si="357"/>
        <v>150920</v>
      </c>
      <c r="E2105" t="str">
        <f t="shared" si="358"/>
        <v>25</v>
      </c>
      <c r="F2105" t="str">
        <f t="shared" si="359"/>
        <v>COM</v>
      </c>
      <c r="G2105" t="str">
        <f t="shared" si="360"/>
        <v>CASSIO DIAS RIBEIRO (32)</v>
      </c>
      <c r="H2105" t="s">
        <v>557</v>
      </c>
      <c r="I2105" t="str">
        <f t="shared" si="361"/>
        <v>15/09/2025</v>
      </c>
      <c r="J2105" t="str">
        <f t="shared" si="362"/>
        <v>30/08/2025</v>
      </c>
      <c r="K2105">
        <v>45912</v>
      </c>
      <c r="N2105">
        <v>120</v>
      </c>
      <c r="O2105" t="s">
        <v>306</v>
      </c>
      <c r="Q2105">
        <v>74.25</v>
      </c>
      <c r="R2105" t="str">
        <f>"FARMÁCIA INDIANA LJ 11 (10008)"</f>
        <v>FARMÁCIA INDIANA LJ 11 (10008)</v>
      </c>
      <c r="S2105" t="s">
        <v>48</v>
      </c>
      <c r="T2105">
        <v>18250</v>
      </c>
      <c r="U2105">
        <v>21931</v>
      </c>
      <c r="V2105" t="s">
        <v>48</v>
      </c>
    </row>
    <row r="2106" spans="1:22">
      <c r="A2106" t="str">
        <f t="shared" si="355"/>
        <v>12/09/2025</v>
      </c>
      <c r="B2106" t="str">
        <f t="shared" si="354"/>
        <v>SAÍDA</v>
      </c>
      <c r="C2106" t="str">
        <f t="shared" si="356"/>
        <v>PIX</v>
      </c>
      <c r="D2106" t="str">
        <f t="shared" si="357"/>
        <v>150920</v>
      </c>
      <c r="E2106" t="str">
        <f t="shared" si="358"/>
        <v>25</v>
      </c>
      <c r="F2106" t="str">
        <f t="shared" si="359"/>
        <v>COM</v>
      </c>
      <c r="G2106" t="str">
        <f t="shared" si="360"/>
        <v>CASSIO DIAS RIBEIRO (32)</v>
      </c>
      <c r="H2106" t="s">
        <v>557</v>
      </c>
      <c r="I2106" t="str">
        <f t="shared" si="361"/>
        <v>15/09/2025</v>
      </c>
      <c r="J2106" t="str">
        <f t="shared" si="362"/>
        <v>30/08/2025</v>
      </c>
      <c r="K2106">
        <v>45912</v>
      </c>
      <c r="N2106">
        <v>120</v>
      </c>
      <c r="O2106" t="s">
        <v>306</v>
      </c>
      <c r="Q2106">
        <v>26.25</v>
      </c>
      <c r="R2106" t="str">
        <f>"FARMÁCIA INDIANA LJ 18 (10011)"</f>
        <v>FARMÁCIA INDIANA LJ 18 (10011)</v>
      </c>
      <c r="S2106" t="s">
        <v>48</v>
      </c>
      <c r="T2106">
        <v>18250</v>
      </c>
      <c r="U2106">
        <v>21931</v>
      </c>
      <c r="V2106" t="s">
        <v>48</v>
      </c>
    </row>
    <row r="2107" spans="1:22">
      <c r="A2107" t="str">
        <f t="shared" si="355"/>
        <v>12/09/2025</v>
      </c>
      <c r="B2107" t="str">
        <f t="shared" si="354"/>
        <v>SAÍDA</v>
      </c>
      <c r="C2107" t="str">
        <f t="shared" si="356"/>
        <v>PIX</v>
      </c>
      <c r="D2107" t="str">
        <f t="shared" si="357"/>
        <v>150920</v>
      </c>
      <c r="E2107" t="str">
        <f t="shared" si="358"/>
        <v>25</v>
      </c>
      <c r="F2107" t="str">
        <f t="shared" si="359"/>
        <v>COM</v>
      </c>
      <c r="G2107" t="str">
        <f t="shared" si="360"/>
        <v>CASSIO DIAS RIBEIRO (32)</v>
      </c>
      <c r="H2107" t="s">
        <v>557</v>
      </c>
      <c r="I2107" t="str">
        <f t="shared" si="361"/>
        <v>15/09/2025</v>
      </c>
      <c r="J2107" t="str">
        <f t="shared" si="362"/>
        <v>30/08/2025</v>
      </c>
      <c r="K2107">
        <v>45912</v>
      </c>
      <c r="N2107">
        <v>120</v>
      </c>
      <c r="O2107" t="s">
        <v>306</v>
      </c>
      <c r="Q2107">
        <v>26.25</v>
      </c>
      <c r="R2107" t="str">
        <f>"FARMÁCIA INDIANA LJ 19 (10012)"</f>
        <v>FARMÁCIA INDIANA LJ 19 (10012)</v>
      </c>
      <c r="S2107" t="s">
        <v>48</v>
      </c>
      <c r="T2107">
        <v>18250</v>
      </c>
      <c r="U2107">
        <v>21931</v>
      </c>
      <c r="V2107" t="s">
        <v>48</v>
      </c>
    </row>
    <row r="2108" spans="1:22">
      <c r="A2108" t="str">
        <f t="shared" si="355"/>
        <v>12/09/2025</v>
      </c>
      <c r="B2108" t="str">
        <f t="shared" si="354"/>
        <v>SAÍDA</v>
      </c>
      <c r="C2108" t="str">
        <f t="shared" si="356"/>
        <v>PIX</v>
      </c>
      <c r="D2108" t="str">
        <f t="shared" si="357"/>
        <v>150920</v>
      </c>
      <c r="E2108" t="str">
        <f t="shared" si="358"/>
        <v>25</v>
      </c>
      <c r="F2108" t="str">
        <f t="shared" si="359"/>
        <v>COM</v>
      </c>
      <c r="G2108" t="str">
        <f t="shared" si="360"/>
        <v>CASSIO DIAS RIBEIRO (32)</v>
      </c>
      <c r="H2108" t="s">
        <v>557</v>
      </c>
      <c r="I2108" t="str">
        <f t="shared" si="361"/>
        <v>15/09/2025</v>
      </c>
      <c r="J2108" t="str">
        <f t="shared" si="362"/>
        <v>30/08/2025</v>
      </c>
      <c r="K2108">
        <v>45912</v>
      </c>
      <c r="N2108">
        <v>120</v>
      </c>
      <c r="O2108" t="s">
        <v>306</v>
      </c>
      <c r="Q2108">
        <v>57.75</v>
      </c>
      <c r="R2108" t="str">
        <f>"FARMÁCIA INDIANA LJ 142 (10066)"</f>
        <v>FARMÁCIA INDIANA LJ 142 (10066)</v>
      </c>
      <c r="S2108" t="s">
        <v>48</v>
      </c>
      <c r="T2108">
        <v>18250</v>
      </c>
      <c r="U2108">
        <v>21931</v>
      </c>
      <c r="V2108" t="s">
        <v>48</v>
      </c>
    </row>
    <row r="2109" spans="1:22">
      <c r="A2109" t="str">
        <f t="shared" si="355"/>
        <v>12/09/2025</v>
      </c>
      <c r="B2109" t="str">
        <f t="shared" si="354"/>
        <v>SAÍDA</v>
      </c>
      <c r="C2109" t="str">
        <f t="shared" si="356"/>
        <v>PIX</v>
      </c>
      <c r="D2109" t="str">
        <f t="shared" si="357"/>
        <v>150920</v>
      </c>
      <c r="E2109" t="str">
        <f t="shared" si="358"/>
        <v>25</v>
      </c>
      <c r="F2109" t="str">
        <f t="shared" si="359"/>
        <v>COM</v>
      </c>
      <c r="G2109" t="str">
        <f t="shared" si="360"/>
        <v>CASSIO DIAS RIBEIRO (32)</v>
      </c>
      <c r="H2109" t="s">
        <v>557</v>
      </c>
      <c r="I2109" t="str">
        <f t="shared" si="361"/>
        <v>15/09/2025</v>
      </c>
      <c r="J2109" t="str">
        <f t="shared" si="362"/>
        <v>30/08/2025</v>
      </c>
      <c r="K2109">
        <v>45912</v>
      </c>
      <c r="N2109">
        <v>120</v>
      </c>
      <c r="O2109" t="s">
        <v>306</v>
      </c>
      <c r="Q2109">
        <v>14.05</v>
      </c>
      <c r="R2109" t="str">
        <f>"FARMÁCIA INDIANA LJ 181 (10078)"</f>
        <v>FARMÁCIA INDIANA LJ 181 (10078)</v>
      </c>
      <c r="S2109" t="s">
        <v>48</v>
      </c>
      <c r="T2109">
        <v>18250</v>
      </c>
      <c r="U2109">
        <v>21931</v>
      </c>
      <c r="V2109" t="s">
        <v>48</v>
      </c>
    </row>
    <row r="2110" spans="1:22">
      <c r="A2110" t="str">
        <f t="shared" si="355"/>
        <v>12/09/2025</v>
      </c>
      <c r="B2110" t="str">
        <f t="shared" si="354"/>
        <v>SAÍDA</v>
      </c>
      <c r="C2110" t="str">
        <f t="shared" si="356"/>
        <v>PIX</v>
      </c>
      <c r="D2110" t="str">
        <f t="shared" si="357"/>
        <v>150920</v>
      </c>
      <c r="E2110" t="str">
        <f t="shared" si="358"/>
        <v>25</v>
      </c>
      <c r="F2110" t="str">
        <f t="shared" si="359"/>
        <v>COM</v>
      </c>
      <c r="G2110" t="str">
        <f t="shared" si="360"/>
        <v>CASSIO DIAS RIBEIRO (32)</v>
      </c>
      <c r="H2110" t="s">
        <v>557</v>
      </c>
      <c r="I2110" t="str">
        <f t="shared" si="361"/>
        <v>15/09/2025</v>
      </c>
      <c r="J2110" t="str">
        <f t="shared" si="362"/>
        <v>30/08/2025</v>
      </c>
      <c r="K2110">
        <v>45912</v>
      </c>
      <c r="N2110">
        <v>120</v>
      </c>
      <c r="O2110" t="s">
        <v>306</v>
      </c>
      <c r="Q2110">
        <v>48.15</v>
      </c>
      <c r="R2110" t="str">
        <f>"FARMÁCIA INDIANA LJ 172 (10161)"</f>
        <v>FARMÁCIA INDIANA LJ 172 (10161)</v>
      </c>
      <c r="S2110" t="s">
        <v>48</v>
      </c>
      <c r="T2110">
        <v>18250</v>
      </c>
      <c r="U2110">
        <v>21931</v>
      </c>
      <c r="V2110" t="s">
        <v>48</v>
      </c>
    </row>
    <row r="2111" spans="1:22">
      <c r="A2111" t="str">
        <f t="shared" si="355"/>
        <v>12/09/2025</v>
      </c>
      <c r="B2111" t="str">
        <f t="shared" si="354"/>
        <v>SAÍDA</v>
      </c>
      <c r="C2111" t="str">
        <f t="shared" si="356"/>
        <v>PIX</v>
      </c>
      <c r="D2111" t="str">
        <f t="shared" si="357"/>
        <v>150920</v>
      </c>
      <c r="E2111" t="str">
        <f t="shared" si="358"/>
        <v>25</v>
      </c>
      <c r="F2111" t="str">
        <f t="shared" si="359"/>
        <v>COM</v>
      </c>
      <c r="G2111" t="str">
        <f t="shared" si="360"/>
        <v>CASSIO DIAS RIBEIRO (32)</v>
      </c>
      <c r="H2111" t="s">
        <v>557</v>
      </c>
      <c r="I2111" t="str">
        <f t="shared" si="361"/>
        <v>15/09/2025</v>
      </c>
      <c r="J2111" t="str">
        <f t="shared" si="362"/>
        <v>30/08/2025</v>
      </c>
      <c r="K2111">
        <v>45912</v>
      </c>
      <c r="N2111">
        <v>120</v>
      </c>
      <c r="O2111" t="s">
        <v>306</v>
      </c>
      <c r="Q2111">
        <v>87</v>
      </c>
      <c r="R2111" t="str">
        <f>"ENTREFARMA (10164)"</f>
        <v>ENTREFARMA (10164)</v>
      </c>
      <c r="S2111" t="s">
        <v>48</v>
      </c>
      <c r="T2111">
        <v>18250</v>
      </c>
      <c r="U2111">
        <v>21931</v>
      </c>
      <c r="V2111" t="s">
        <v>48</v>
      </c>
    </row>
    <row r="2112" spans="1:22">
      <c r="A2112" t="str">
        <f t="shared" si="355"/>
        <v>12/09/2025</v>
      </c>
      <c r="B2112" t="str">
        <f t="shared" si="354"/>
        <v>SAÍDA</v>
      </c>
      <c r="C2112" t="str">
        <f t="shared" si="356"/>
        <v>PIX</v>
      </c>
      <c r="D2112" t="str">
        <f t="shared" si="357"/>
        <v>150920</v>
      </c>
      <c r="E2112" t="str">
        <f t="shared" si="358"/>
        <v>25</v>
      </c>
      <c r="F2112" t="str">
        <f t="shared" si="359"/>
        <v>COM</v>
      </c>
      <c r="G2112" t="str">
        <f t="shared" si="360"/>
        <v>CASSIO DIAS RIBEIRO (32)</v>
      </c>
      <c r="H2112" t="s">
        <v>557</v>
      </c>
      <c r="I2112" t="str">
        <f t="shared" si="361"/>
        <v>15/09/2025</v>
      </c>
      <c r="J2112" t="str">
        <f t="shared" si="362"/>
        <v>30/08/2025</v>
      </c>
      <c r="K2112">
        <v>45912</v>
      </c>
      <c r="N2112">
        <v>120</v>
      </c>
      <c r="O2112" t="s">
        <v>306</v>
      </c>
      <c r="Q2112">
        <v>14.75</v>
      </c>
      <c r="R2112" t="str">
        <f>"ROSA MARIA LTDA (10165)"</f>
        <v>ROSA MARIA LTDA (10165)</v>
      </c>
      <c r="S2112" t="s">
        <v>48</v>
      </c>
      <c r="T2112">
        <v>18250</v>
      </c>
      <c r="U2112">
        <v>21931</v>
      </c>
      <c r="V2112" t="s">
        <v>48</v>
      </c>
    </row>
    <row r="2113" spans="1:22">
      <c r="A2113" t="str">
        <f t="shared" si="355"/>
        <v>12/09/2025</v>
      </c>
      <c r="B2113" t="str">
        <f t="shared" si="354"/>
        <v>SAÍDA</v>
      </c>
      <c r="C2113" t="str">
        <f t="shared" si="356"/>
        <v>PIX</v>
      </c>
      <c r="D2113" t="str">
        <f t="shared" si="357"/>
        <v>150920</v>
      </c>
      <c r="E2113" t="str">
        <f t="shared" si="358"/>
        <v>25</v>
      </c>
      <c r="F2113" t="str">
        <f t="shared" si="359"/>
        <v>COM</v>
      </c>
      <c r="G2113" t="str">
        <f t="shared" si="360"/>
        <v>CASSIO DIAS RIBEIRO (32)</v>
      </c>
      <c r="H2113" t="s">
        <v>557</v>
      </c>
      <c r="I2113" t="str">
        <f t="shared" si="361"/>
        <v>15/09/2025</v>
      </c>
      <c r="J2113" t="str">
        <f t="shared" si="362"/>
        <v>30/08/2025</v>
      </c>
      <c r="K2113">
        <v>45912</v>
      </c>
      <c r="N2113">
        <v>120</v>
      </c>
      <c r="O2113" t="s">
        <v>306</v>
      </c>
      <c r="Q2113">
        <v>7.2</v>
      </c>
      <c r="R2113" t="str">
        <f>"DROGARIA VAZ (10179)"</f>
        <v>DROGARIA VAZ (10179)</v>
      </c>
      <c r="S2113" t="s">
        <v>48</v>
      </c>
      <c r="T2113">
        <v>18250</v>
      </c>
      <c r="U2113">
        <v>21931</v>
      </c>
      <c r="V2113" t="s">
        <v>48</v>
      </c>
    </row>
    <row r="2114" spans="1:22">
      <c r="A2114" t="str">
        <f t="shared" si="355"/>
        <v>12/09/2025</v>
      </c>
      <c r="B2114" t="str">
        <f>"ENTRADA"</f>
        <v>ENTRADA</v>
      </c>
      <c r="C2114" t="str">
        <f>"DINHEIRO"</f>
        <v>DINHEIRO</v>
      </c>
      <c r="D2114" t="str">
        <f>"1509"</f>
        <v>1509</v>
      </c>
      <c r="E2114" t="str">
        <f t="shared" si="358"/>
        <v>25</v>
      </c>
      <c r="F2114" t="str">
        <f t="shared" si="359"/>
        <v>COM</v>
      </c>
      <c r="G2114" t="str">
        <f t="shared" si="360"/>
        <v>CASSIO DIAS RIBEIRO (32)</v>
      </c>
      <c r="H2114" t="str">
        <f>"REEMBOLSO ADIANTAMENTO LIDERANÇA"</f>
        <v>REEMBOLSO ADIANTAMENTO LIDERANÇA</v>
      </c>
      <c r="I2114" t="str">
        <f t="shared" si="361"/>
        <v>15/09/2025</v>
      </c>
      <c r="J2114" t="str">
        <f>("20/08/2025")</f>
        <v>20/08/2025</v>
      </c>
      <c r="K2114" t="str">
        <f>("12/09/2025")</f>
        <v>12/09/2025</v>
      </c>
      <c r="L2114">
        <v>500</v>
      </c>
      <c r="M2114">
        <v>500</v>
      </c>
      <c r="N2114">
        <v>129</v>
      </c>
      <c r="O2114" t="str">
        <f>"ENTRADA DE REEMBOLSO ADIANTAMENTO"</f>
        <v>ENTRADA DE REEMBOLSO ADIANTAMENTO</v>
      </c>
      <c r="P2114">
        <v>500</v>
      </c>
      <c r="S2114" t="str">
        <f>"ENTRADA DE REEMBOLSO ADIANTAMENTO (129)"</f>
        <v>ENTRADA DE REEMBOLSO ADIANTAMENTO (129)</v>
      </c>
      <c r="T2114">
        <v>18251</v>
      </c>
      <c r="U2114">
        <v>20689</v>
      </c>
      <c r="V2114" t="s">
        <v>48</v>
      </c>
    </row>
    <row r="2115" spans="1:22">
      <c r="A2115" t="str">
        <f t="shared" si="355"/>
        <v>12/09/2025</v>
      </c>
      <c r="B2115" t="str">
        <f>"ENTRADA"</f>
        <v>ENTRADA</v>
      </c>
      <c r="C2115" t="str">
        <f>"DINHEIRO"</f>
        <v>DINHEIRO</v>
      </c>
      <c r="D2115" t="str">
        <f>"1509"</f>
        <v>1509</v>
      </c>
      <c r="E2115" t="str">
        <f t="shared" si="358"/>
        <v>25</v>
      </c>
      <c r="F2115" t="str">
        <f t="shared" si="359"/>
        <v>COM</v>
      </c>
      <c r="G2115" t="str">
        <f t="shared" si="360"/>
        <v>CASSIO DIAS RIBEIRO (32)</v>
      </c>
      <c r="H2115" t="s">
        <v>558</v>
      </c>
      <c r="I2115" t="str">
        <f t="shared" si="361"/>
        <v>15/09/2025</v>
      </c>
      <c r="J2115" t="str">
        <f>("20/08/2025")</f>
        <v>20/08/2025</v>
      </c>
      <c r="K2115">
        <v>45912</v>
      </c>
      <c r="N2115">
        <v>129</v>
      </c>
      <c r="O2115" t="s">
        <v>58</v>
      </c>
      <c r="Q2115">
        <v>500</v>
      </c>
      <c r="R2115" t="str">
        <f>"CASSIO DIAS RIBEIRO (32)"</f>
        <v>CASSIO DIAS RIBEIRO (32)</v>
      </c>
      <c r="S2115" t="s">
        <v>59</v>
      </c>
      <c r="T2115">
        <v>18251</v>
      </c>
      <c r="U2115">
        <v>20689</v>
      </c>
      <c r="V2115" t="s">
        <v>48</v>
      </c>
    </row>
    <row r="2116" spans="1:22">
      <c r="A2116" t="str">
        <f t="shared" si="355"/>
        <v>12/09/2025</v>
      </c>
      <c r="B2116" t="str">
        <f t="shared" ref="B2116:B2136" si="363">"SAÍDA"</f>
        <v>SAÍDA</v>
      </c>
      <c r="C2116" t="str">
        <f t="shared" ref="C2116:C2136" si="364">"PIX"</f>
        <v>PIX</v>
      </c>
      <c r="D2116" t="str">
        <f t="shared" ref="D2116:D2136" si="365">"150920"</f>
        <v>150920</v>
      </c>
      <c r="E2116" t="str">
        <f t="shared" si="358"/>
        <v>25</v>
      </c>
      <c r="F2116" t="str">
        <f t="shared" si="359"/>
        <v>COM</v>
      </c>
      <c r="G2116" t="str">
        <f t="shared" ref="G2116:G2138" si="366">"GILSON OLIVEIRA CAMPINHO JUNIOR (132)"</f>
        <v>GILSON OLIVEIRA CAMPINHO JUNIOR (132)</v>
      </c>
      <c r="H2116" t="str">
        <f>"PAGAMENTO LIDERANÇA REF. MES 08/2025 - PIX: CELULAR - CHAVE: (73) 988381077"</f>
        <v>PAGAMENTO LIDERANÇA REF. MES 08/2025 - PIX: CELULAR - CHAVE: (73) 988381077</v>
      </c>
      <c r="I2116" t="str">
        <f t="shared" si="361"/>
        <v>15/09/2025</v>
      </c>
      <c r="J2116" t="str">
        <f t="shared" ref="J2116:J2136" si="367">("30/08/2025")</f>
        <v>30/08/2025</v>
      </c>
      <c r="K2116" t="str">
        <f>("12/09/2025")</f>
        <v>12/09/2025</v>
      </c>
      <c r="L2116">
        <v>14.77</v>
      </c>
      <c r="M2116">
        <v>14.77</v>
      </c>
      <c r="N2116">
        <v>120</v>
      </c>
      <c r="O2116" t="str">
        <f>"PAGAMENTO COMISSAO LIDERES"</f>
        <v>PAGAMENTO COMISSAO LIDERES</v>
      </c>
      <c r="P2116">
        <v>14.77</v>
      </c>
      <c r="S2116" t="str">
        <f>"CAIXA MOVIMENTAÇÃO OPERACIONAL (132)"</f>
        <v>CAIXA MOVIMENTAÇÃO OPERACIONAL (132)</v>
      </c>
      <c r="T2116">
        <v>18253</v>
      </c>
      <c r="U2116">
        <v>21932</v>
      </c>
      <c r="V2116" t="s">
        <v>48</v>
      </c>
    </row>
    <row r="2117" spans="1:22">
      <c r="A2117" t="str">
        <f t="shared" si="355"/>
        <v>12/09/2025</v>
      </c>
      <c r="B2117" t="str">
        <f t="shared" si="363"/>
        <v>SAÍDA</v>
      </c>
      <c r="C2117" t="str">
        <f t="shared" si="364"/>
        <v>PIX</v>
      </c>
      <c r="D2117" t="str">
        <f t="shared" si="365"/>
        <v>150920</v>
      </c>
      <c r="E2117" t="str">
        <f t="shared" si="358"/>
        <v>25</v>
      </c>
      <c r="F2117" t="str">
        <f t="shared" si="359"/>
        <v>COM</v>
      </c>
      <c r="G2117" t="str">
        <f t="shared" si="366"/>
        <v>GILSON OLIVEIRA CAMPINHO JUNIOR (132)</v>
      </c>
      <c r="H2117" t="s">
        <v>305</v>
      </c>
      <c r="I2117" t="str">
        <f t="shared" si="361"/>
        <v>15/09/2025</v>
      </c>
      <c r="J2117" t="str">
        <f t="shared" si="367"/>
        <v>30/08/2025</v>
      </c>
      <c r="K2117">
        <v>45912</v>
      </c>
      <c r="N2117">
        <v>120</v>
      </c>
      <c r="O2117" t="s">
        <v>306</v>
      </c>
      <c r="Q2117">
        <v>0.85</v>
      </c>
      <c r="R2117" t="str">
        <f>"FARMÁCIA INDIANA LJ 34 (10014)"</f>
        <v>FARMÁCIA INDIANA LJ 34 (10014)</v>
      </c>
      <c r="S2117" t="s">
        <v>48</v>
      </c>
      <c r="T2117">
        <v>18253</v>
      </c>
      <c r="U2117">
        <v>21932</v>
      </c>
      <c r="V2117" t="s">
        <v>48</v>
      </c>
    </row>
    <row r="2118" spans="1:22">
      <c r="A2118" t="str">
        <f t="shared" si="355"/>
        <v>12/09/2025</v>
      </c>
      <c r="B2118" t="str">
        <f t="shared" si="363"/>
        <v>SAÍDA</v>
      </c>
      <c r="C2118" t="str">
        <f t="shared" si="364"/>
        <v>PIX</v>
      </c>
      <c r="D2118" t="str">
        <f t="shared" si="365"/>
        <v>150920</v>
      </c>
      <c r="E2118" t="str">
        <f t="shared" si="358"/>
        <v>25</v>
      </c>
      <c r="F2118" t="str">
        <f t="shared" si="359"/>
        <v>COM</v>
      </c>
      <c r="G2118" t="str">
        <f t="shared" si="366"/>
        <v>GILSON OLIVEIRA CAMPINHO JUNIOR (132)</v>
      </c>
      <c r="H2118" t="s">
        <v>305</v>
      </c>
      <c r="I2118" t="str">
        <f t="shared" si="361"/>
        <v>15/09/2025</v>
      </c>
      <c r="J2118" t="str">
        <f t="shared" si="367"/>
        <v>30/08/2025</v>
      </c>
      <c r="K2118">
        <v>45912</v>
      </c>
      <c r="N2118">
        <v>120</v>
      </c>
      <c r="O2118" t="s">
        <v>306</v>
      </c>
      <c r="Q2118">
        <v>0.67</v>
      </c>
      <c r="R2118" t="str">
        <f>"FARMÁCIA INDIANA LJ 35 (10015)"</f>
        <v>FARMÁCIA INDIANA LJ 35 (10015)</v>
      </c>
      <c r="S2118" t="s">
        <v>48</v>
      </c>
      <c r="T2118">
        <v>18253</v>
      </c>
      <c r="U2118">
        <v>21932</v>
      </c>
      <c r="V2118" t="s">
        <v>48</v>
      </c>
    </row>
    <row r="2119" spans="1:22">
      <c r="A2119" t="str">
        <f t="shared" si="355"/>
        <v>12/09/2025</v>
      </c>
      <c r="B2119" t="str">
        <f t="shared" si="363"/>
        <v>SAÍDA</v>
      </c>
      <c r="C2119" t="str">
        <f t="shared" si="364"/>
        <v>PIX</v>
      </c>
      <c r="D2119" t="str">
        <f t="shared" si="365"/>
        <v>150920</v>
      </c>
      <c r="E2119" t="str">
        <f t="shared" si="358"/>
        <v>25</v>
      </c>
      <c r="F2119" t="str">
        <f t="shared" si="359"/>
        <v>COM</v>
      </c>
      <c r="G2119" t="str">
        <f t="shared" si="366"/>
        <v>GILSON OLIVEIRA CAMPINHO JUNIOR (132)</v>
      </c>
      <c r="H2119" t="s">
        <v>305</v>
      </c>
      <c r="I2119" t="str">
        <f t="shared" si="361"/>
        <v>15/09/2025</v>
      </c>
      <c r="J2119" t="str">
        <f t="shared" si="367"/>
        <v>30/08/2025</v>
      </c>
      <c r="K2119">
        <v>45912</v>
      </c>
      <c r="N2119">
        <v>120</v>
      </c>
      <c r="O2119" t="s">
        <v>306</v>
      </c>
      <c r="Q2119">
        <v>0.57999999999999996</v>
      </c>
      <c r="R2119" t="str">
        <f>"FARMÁCIA INDIANA LJ 48 (10018)"</f>
        <v>FARMÁCIA INDIANA LJ 48 (10018)</v>
      </c>
      <c r="S2119" t="s">
        <v>48</v>
      </c>
      <c r="T2119">
        <v>18253</v>
      </c>
      <c r="U2119">
        <v>21932</v>
      </c>
      <c r="V2119" t="s">
        <v>48</v>
      </c>
    </row>
    <row r="2120" spans="1:22">
      <c r="A2120" t="str">
        <f t="shared" si="355"/>
        <v>12/09/2025</v>
      </c>
      <c r="B2120" t="str">
        <f t="shared" si="363"/>
        <v>SAÍDA</v>
      </c>
      <c r="C2120" t="str">
        <f t="shared" si="364"/>
        <v>PIX</v>
      </c>
      <c r="D2120" t="str">
        <f t="shared" si="365"/>
        <v>150920</v>
      </c>
      <c r="E2120" t="str">
        <f t="shared" si="358"/>
        <v>25</v>
      </c>
      <c r="F2120" t="str">
        <f t="shared" si="359"/>
        <v>COM</v>
      </c>
      <c r="G2120" t="str">
        <f t="shared" si="366"/>
        <v>GILSON OLIVEIRA CAMPINHO JUNIOR (132)</v>
      </c>
      <c r="H2120" t="s">
        <v>305</v>
      </c>
      <c r="I2120" t="str">
        <f t="shared" si="361"/>
        <v>15/09/2025</v>
      </c>
      <c r="J2120" t="str">
        <f t="shared" si="367"/>
        <v>30/08/2025</v>
      </c>
      <c r="K2120">
        <v>45912</v>
      </c>
      <c r="N2120">
        <v>120</v>
      </c>
      <c r="O2120" t="s">
        <v>306</v>
      </c>
      <c r="Q2120">
        <v>0.36</v>
      </c>
      <c r="R2120" t="str">
        <f>"FARMÁCIA INDIANA LJ 77 (10034)"</f>
        <v>FARMÁCIA INDIANA LJ 77 (10034)</v>
      </c>
      <c r="S2120" t="s">
        <v>48</v>
      </c>
      <c r="T2120">
        <v>18253</v>
      </c>
      <c r="U2120">
        <v>21932</v>
      </c>
      <c r="V2120" t="s">
        <v>48</v>
      </c>
    </row>
    <row r="2121" spans="1:22">
      <c r="A2121" t="str">
        <f t="shared" si="355"/>
        <v>12/09/2025</v>
      </c>
      <c r="B2121" t="str">
        <f t="shared" si="363"/>
        <v>SAÍDA</v>
      </c>
      <c r="C2121" t="str">
        <f t="shared" si="364"/>
        <v>PIX</v>
      </c>
      <c r="D2121" t="str">
        <f t="shared" si="365"/>
        <v>150920</v>
      </c>
      <c r="E2121" t="str">
        <f t="shared" si="358"/>
        <v>25</v>
      </c>
      <c r="F2121" t="str">
        <f t="shared" si="359"/>
        <v>COM</v>
      </c>
      <c r="G2121" t="str">
        <f t="shared" si="366"/>
        <v>GILSON OLIVEIRA CAMPINHO JUNIOR (132)</v>
      </c>
      <c r="H2121" t="s">
        <v>305</v>
      </c>
      <c r="I2121" t="str">
        <f t="shared" si="361"/>
        <v>15/09/2025</v>
      </c>
      <c r="J2121" t="str">
        <f t="shared" si="367"/>
        <v>30/08/2025</v>
      </c>
      <c r="K2121">
        <v>45912</v>
      </c>
      <c r="N2121">
        <v>120</v>
      </c>
      <c r="O2121" t="s">
        <v>306</v>
      </c>
      <c r="Q2121">
        <v>0.74</v>
      </c>
      <c r="R2121" t="str">
        <f>"FARMÁCIA INDIANA LJ 91 (10037)"</f>
        <v>FARMÁCIA INDIANA LJ 91 (10037)</v>
      </c>
      <c r="S2121" t="s">
        <v>48</v>
      </c>
      <c r="T2121">
        <v>18253</v>
      </c>
      <c r="U2121">
        <v>21932</v>
      </c>
      <c r="V2121" t="s">
        <v>48</v>
      </c>
    </row>
    <row r="2122" spans="1:22">
      <c r="A2122" t="str">
        <f t="shared" si="355"/>
        <v>12/09/2025</v>
      </c>
      <c r="B2122" t="str">
        <f t="shared" si="363"/>
        <v>SAÍDA</v>
      </c>
      <c r="C2122" t="str">
        <f t="shared" si="364"/>
        <v>PIX</v>
      </c>
      <c r="D2122" t="str">
        <f t="shared" si="365"/>
        <v>150920</v>
      </c>
      <c r="E2122" t="str">
        <f t="shared" si="358"/>
        <v>25</v>
      </c>
      <c r="F2122" t="str">
        <f t="shared" si="359"/>
        <v>COM</v>
      </c>
      <c r="G2122" t="str">
        <f t="shared" si="366"/>
        <v>GILSON OLIVEIRA CAMPINHO JUNIOR (132)</v>
      </c>
      <c r="H2122" t="s">
        <v>305</v>
      </c>
      <c r="I2122" t="str">
        <f t="shared" si="361"/>
        <v>15/09/2025</v>
      </c>
      <c r="J2122" t="str">
        <f t="shared" si="367"/>
        <v>30/08/2025</v>
      </c>
      <c r="K2122">
        <v>45912</v>
      </c>
      <c r="N2122">
        <v>120</v>
      </c>
      <c r="O2122" t="s">
        <v>306</v>
      </c>
      <c r="Q2122">
        <v>1.03</v>
      </c>
      <c r="R2122" t="str">
        <f>"FARMÁCIA INDIANA LJ 95 (10039)"</f>
        <v>FARMÁCIA INDIANA LJ 95 (10039)</v>
      </c>
      <c r="S2122" t="s">
        <v>48</v>
      </c>
      <c r="T2122">
        <v>18253</v>
      </c>
      <c r="U2122">
        <v>21932</v>
      </c>
      <c r="V2122" t="s">
        <v>48</v>
      </c>
    </row>
    <row r="2123" spans="1:22">
      <c r="A2123" t="str">
        <f t="shared" si="355"/>
        <v>12/09/2025</v>
      </c>
      <c r="B2123" t="str">
        <f t="shared" si="363"/>
        <v>SAÍDA</v>
      </c>
      <c r="C2123" t="str">
        <f t="shared" si="364"/>
        <v>PIX</v>
      </c>
      <c r="D2123" t="str">
        <f t="shared" si="365"/>
        <v>150920</v>
      </c>
      <c r="E2123" t="str">
        <f t="shared" si="358"/>
        <v>25</v>
      </c>
      <c r="F2123" t="str">
        <f t="shared" si="359"/>
        <v>COM</v>
      </c>
      <c r="G2123" t="str">
        <f t="shared" si="366"/>
        <v>GILSON OLIVEIRA CAMPINHO JUNIOR (132)</v>
      </c>
      <c r="H2123" t="s">
        <v>305</v>
      </c>
      <c r="I2123" t="str">
        <f t="shared" si="361"/>
        <v>15/09/2025</v>
      </c>
      <c r="J2123" t="str">
        <f t="shared" si="367"/>
        <v>30/08/2025</v>
      </c>
      <c r="K2123">
        <v>45912</v>
      </c>
      <c r="N2123">
        <v>120</v>
      </c>
      <c r="O2123" t="s">
        <v>306</v>
      </c>
      <c r="Q2123">
        <v>0.75</v>
      </c>
      <c r="R2123" t="str">
        <f>"FARMÁCIA INDIANA LJ 145 (10068)"</f>
        <v>FARMÁCIA INDIANA LJ 145 (10068)</v>
      </c>
      <c r="S2123" t="s">
        <v>48</v>
      </c>
      <c r="T2123">
        <v>18253</v>
      </c>
      <c r="U2123">
        <v>21932</v>
      </c>
      <c r="V2123" t="s">
        <v>48</v>
      </c>
    </row>
    <row r="2124" spans="1:22">
      <c r="A2124" t="str">
        <f t="shared" si="355"/>
        <v>12/09/2025</v>
      </c>
      <c r="B2124" t="str">
        <f t="shared" si="363"/>
        <v>SAÍDA</v>
      </c>
      <c r="C2124" t="str">
        <f t="shared" si="364"/>
        <v>PIX</v>
      </c>
      <c r="D2124" t="str">
        <f t="shared" si="365"/>
        <v>150920</v>
      </c>
      <c r="E2124" t="str">
        <f t="shared" si="358"/>
        <v>25</v>
      </c>
      <c r="F2124" t="str">
        <f t="shared" si="359"/>
        <v>COM</v>
      </c>
      <c r="G2124" t="str">
        <f t="shared" si="366"/>
        <v>GILSON OLIVEIRA CAMPINHO JUNIOR (132)</v>
      </c>
      <c r="H2124" t="s">
        <v>305</v>
      </c>
      <c r="I2124" t="str">
        <f t="shared" si="361"/>
        <v>15/09/2025</v>
      </c>
      <c r="J2124" t="str">
        <f t="shared" si="367"/>
        <v>30/08/2025</v>
      </c>
      <c r="K2124">
        <v>45912</v>
      </c>
      <c r="N2124">
        <v>120</v>
      </c>
      <c r="O2124" t="s">
        <v>306</v>
      </c>
      <c r="Q2124">
        <v>0.57999999999999996</v>
      </c>
      <c r="R2124" t="str">
        <f>"FARMÁCIA INDIANA LJ 169 (10073)"</f>
        <v>FARMÁCIA INDIANA LJ 169 (10073)</v>
      </c>
      <c r="S2124" t="s">
        <v>48</v>
      </c>
      <c r="T2124">
        <v>18253</v>
      </c>
      <c r="U2124">
        <v>21932</v>
      </c>
      <c r="V2124" t="s">
        <v>48</v>
      </c>
    </row>
    <row r="2125" spans="1:22">
      <c r="A2125" t="str">
        <f t="shared" si="355"/>
        <v>12/09/2025</v>
      </c>
      <c r="B2125" t="str">
        <f t="shared" si="363"/>
        <v>SAÍDA</v>
      </c>
      <c r="C2125" t="str">
        <f t="shared" si="364"/>
        <v>PIX</v>
      </c>
      <c r="D2125" t="str">
        <f t="shared" si="365"/>
        <v>150920</v>
      </c>
      <c r="E2125" t="str">
        <f t="shared" si="358"/>
        <v>25</v>
      </c>
      <c r="F2125" t="str">
        <f t="shared" si="359"/>
        <v>COM</v>
      </c>
      <c r="G2125" t="str">
        <f t="shared" si="366"/>
        <v>GILSON OLIVEIRA CAMPINHO JUNIOR (132)</v>
      </c>
      <c r="H2125" t="s">
        <v>305</v>
      </c>
      <c r="I2125" t="str">
        <f t="shared" si="361"/>
        <v>15/09/2025</v>
      </c>
      <c r="J2125" t="str">
        <f t="shared" si="367"/>
        <v>30/08/2025</v>
      </c>
      <c r="K2125">
        <v>45912</v>
      </c>
      <c r="N2125">
        <v>120</v>
      </c>
      <c r="O2125" t="s">
        <v>306</v>
      </c>
      <c r="Q2125">
        <v>1.0900000000000001</v>
      </c>
      <c r="R2125" t="str">
        <f>"DELTA LOJA 2 (10123)"</f>
        <v>DELTA LOJA 2 (10123)</v>
      </c>
      <c r="S2125" t="s">
        <v>48</v>
      </c>
      <c r="T2125">
        <v>18253</v>
      </c>
      <c r="U2125">
        <v>21932</v>
      </c>
      <c r="V2125" t="s">
        <v>48</v>
      </c>
    </row>
    <row r="2126" spans="1:22">
      <c r="A2126" t="str">
        <f t="shared" si="355"/>
        <v>12/09/2025</v>
      </c>
      <c r="B2126" t="str">
        <f t="shared" si="363"/>
        <v>SAÍDA</v>
      </c>
      <c r="C2126" t="str">
        <f t="shared" si="364"/>
        <v>PIX</v>
      </c>
      <c r="D2126" t="str">
        <f t="shared" si="365"/>
        <v>150920</v>
      </c>
      <c r="E2126" t="str">
        <f t="shared" si="358"/>
        <v>25</v>
      </c>
      <c r="F2126" t="str">
        <f t="shared" si="359"/>
        <v>COM</v>
      </c>
      <c r="G2126" t="str">
        <f t="shared" si="366"/>
        <v>GILSON OLIVEIRA CAMPINHO JUNIOR (132)</v>
      </c>
      <c r="H2126" t="s">
        <v>305</v>
      </c>
      <c r="I2126" t="str">
        <f t="shared" si="361"/>
        <v>15/09/2025</v>
      </c>
      <c r="J2126" t="str">
        <f t="shared" si="367"/>
        <v>30/08/2025</v>
      </c>
      <c r="K2126">
        <v>45912</v>
      </c>
      <c r="N2126">
        <v>120</v>
      </c>
      <c r="O2126" t="s">
        <v>306</v>
      </c>
      <c r="Q2126">
        <v>0.98</v>
      </c>
      <c r="R2126" t="str">
        <f>"JAL FARMACIA E DROGARIA LJ 1 (10137)"</f>
        <v>JAL FARMACIA E DROGARIA LJ 1 (10137)</v>
      </c>
      <c r="S2126" t="s">
        <v>48</v>
      </c>
      <c r="T2126">
        <v>18253</v>
      </c>
      <c r="U2126">
        <v>21932</v>
      </c>
      <c r="V2126" t="s">
        <v>48</v>
      </c>
    </row>
    <row r="2127" spans="1:22">
      <c r="A2127" t="str">
        <f t="shared" si="355"/>
        <v>12/09/2025</v>
      </c>
      <c r="B2127" t="str">
        <f t="shared" si="363"/>
        <v>SAÍDA</v>
      </c>
      <c r="C2127" t="str">
        <f t="shared" si="364"/>
        <v>PIX</v>
      </c>
      <c r="D2127" t="str">
        <f t="shared" si="365"/>
        <v>150920</v>
      </c>
      <c r="E2127" t="str">
        <f t="shared" si="358"/>
        <v>25</v>
      </c>
      <c r="F2127" t="str">
        <f t="shared" si="359"/>
        <v>COM</v>
      </c>
      <c r="G2127" t="str">
        <f t="shared" si="366"/>
        <v>GILSON OLIVEIRA CAMPINHO JUNIOR (132)</v>
      </c>
      <c r="H2127" t="s">
        <v>305</v>
      </c>
      <c r="I2127" t="str">
        <f t="shared" si="361"/>
        <v>15/09/2025</v>
      </c>
      <c r="J2127" t="str">
        <f t="shared" si="367"/>
        <v>30/08/2025</v>
      </c>
      <c r="K2127">
        <v>45912</v>
      </c>
      <c r="N2127">
        <v>120</v>
      </c>
      <c r="O2127" t="s">
        <v>306</v>
      </c>
      <c r="Q2127">
        <v>0.98</v>
      </c>
      <c r="R2127" t="str">
        <f>"JAL FARMACIA E DROGARIA LJ 2 (10138)"</f>
        <v>JAL FARMACIA E DROGARIA LJ 2 (10138)</v>
      </c>
      <c r="S2127" t="s">
        <v>48</v>
      </c>
      <c r="T2127">
        <v>18253</v>
      </c>
      <c r="U2127">
        <v>21932</v>
      </c>
      <c r="V2127" t="s">
        <v>48</v>
      </c>
    </row>
    <row r="2128" spans="1:22">
      <c r="A2128" t="str">
        <f t="shared" si="355"/>
        <v>12/09/2025</v>
      </c>
      <c r="B2128" t="str">
        <f t="shared" si="363"/>
        <v>SAÍDA</v>
      </c>
      <c r="C2128" t="str">
        <f t="shared" si="364"/>
        <v>PIX</v>
      </c>
      <c r="D2128" t="str">
        <f t="shared" si="365"/>
        <v>150920</v>
      </c>
      <c r="E2128" t="str">
        <f t="shared" si="358"/>
        <v>25</v>
      </c>
      <c r="F2128" t="str">
        <f t="shared" si="359"/>
        <v>COM</v>
      </c>
      <c r="G2128" t="str">
        <f t="shared" si="366"/>
        <v>GILSON OLIVEIRA CAMPINHO JUNIOR (132)</v>
      </c>
      <c r="H2128" t="s">
        <v>305</v>
      </c>
      <c r="I2128" t="str">
        <f t="shared" si="361"/>
        <v>15/09/2025</v>
      </c>
      <c r="J2128" t="str">
        <f t="shared" si="367"/>
        <v>30/08/2025</v>
      </c>
      <c r="K2128">
        <v>45912</v>
      </c>
      <c r="N2128">
        <v>120</v>
      </c>
      <c r="O2128" t="s">
        <v>306</v>
      </c>
      <c r="Q2128">
        <v>0.16</v>
      </c>
      <c r="R2128" t="str">
        <f>"DROGA MONICA LJ 3 (10152)"</f>
        <v>DROGA MONICA LJ 3 (10152)</v>
      </c>
      <c r="S2128" t="s">
        <v>48</v>
      </c>
      <c r="T2128">
        <v>18253</v>
      </c>
      <c r="U2128">
        <v>21932</v>
      </c>
      <c r="V2128" t="s">
        <v>48</v>
      </c>
    </row>
    <row r="2129" spans="1:22">
      <c r="A2129" t="str">
        <f t="shared" si="355"/>
        <v>12/09/2025</v>
      </c>
      <c r="B2129" t="str">
        <f t="shared" si="363"/>
        <v>SAÍDA</v>
      </c>
      <c r="C2129" t="str">
        <f t="shared" si="364"/>
        <v>PIX</v>
      </c>
      <c r="D2129" t="str">
        <f t="shared" si="365"/>
        <v>150920</v>
      </c>
      <c r="E2129" t="str">
        <f t="shared" si="358"/>
        <v>25</v>
      </c>
      <c r="F2129" t="str">
        <f t="shared" si="359"/>
        <v>COM</v>
      </c>
      <c r="G2129" t="str">
        <f t="shared" si="366"/>
        <v>GILSON OLIVEIRA CAMPINHO JUNIOR (132)</v>
      </c>
      <c r="H2129" t="s">
        <v>305</v>
      </c>
      <c r="I2129" t="str">
        <f t="shared" si="361"/>
        <v>15/09/2025</v>
      </c>
      <c r="J2129" t="str">
        <f t="shared" si="367"/>
        <v>30/08/2025</v>
      </c>
      <c r="K2129">
        <v>45912</v>
      </c>
      <c r="N2129">
        <v>120</v>
      </c>
      <c r="O2129" t="s">
        <v>306</v>
      </c>
      <c r="Q2129">
        <v>0.48</v>
      </c>
      <c r="R2129" t="str">
        <f>"FARMÁCIA INDIANA LJ 200 (10155)"</f>
        <v>FARMÁCIA INDIANA LJ 200 (10155)</v>
      </c>
      <c r="S2129" t="s">
        <v>48</v>
      </c>
      <c r="T2129">
        <v>18253</v>
      </c>
      <c r="U2129">
        <v>21932</v>
      </c>
      <c r="V2129" t="s">
        <v>48</v>
      </c>
    </row>
    <row r="2130" spans="1:22">
      <c r="A2130" t="str">
        <f t="shared" si="355"/>
        <v>12/09/2025</v>
      </c>
      <c r="B2130" t="str">
        <f t="shared" si="363"/>
        <v>SAÍDA</v>
      </c>
      <c r="C2130" t="str">
        <f t="shared" si="364"/>
        <v>PIX</v>
      </c>
      <c r="D2130" t="str">
        <f t="shared" si="365"/>
        <v>150920</v>
      </c>
      <c r="E2130" t="str">
        <f t="shared" si="358"/>
        <v>25</v>
      </c>
      <c r="F2130" t="str">
        <f t="shared" si="359"/>
        <v>COM</v>
      </c>
      <c r="G2130" t="str">
        <f t="shared" si="366"/>
        <v>GILSON OLIVEIRA CAMPINHO JUNIOR (132)</v>
      </c>
      <c r="H2130" t="s">
        <v>305</v>
      </c>
      <c r="I2130" t="str">
        <f t="shared" si="361"/>
        <v>15/09/2025</v>
      </c>
      <c r="J2130" t="str">
        <f t="shared" si="367"/>
        <v>30/08/2025</v>
      </c>
      <c r="K2130">
        <v>45912</v>
      </c>
      <c r="N2130">
        <v>120</v>
      </c>
      <c r="O2130" t="s">
        <v>306</v>
      </c>
      <c r="Q2130">
        <v>0.47</v>
      </c>
      <c r="R2130" t="str">
        <f>"AC FARMA -  FLEMINFARMA (10159)"</f>
        <v>AC FARMA -  FLEMINFARMA (10159)</v>
      </c>
      <c r="S2130" t="s">
        <v>48</v>
      </c>
      <c r="T2130">
        <v>18253</v>
      </c>
      <c r="U2130">
        <v>21932</v>
      </c>
      <c r="V2130" t="s">
        <v>48</v>
      </c>
    </row>
    <row r="2131" spans="1:22">
      <c r="A2131" t="str">
        <f t="shared" si="355"/>
        <v>12/09/2025</v>
      </c>
      <c r="B2131" t="str">
        <f t="shared" si="363"/>
        <v>SAÍDA</v>
      </c>
      <c r="C2131" t="str">
        <f t="shared" si="364"/>
        <v>PIX</v>
      </c>
      <c r="D2131" t="str">
        <f t="shared" si="365"/>
        <v>150920</v>
      </c>
      <c r="E2131" t="str">
        <f t="shared" si="358"/>
        <v>25</v>
      </c>
      <c r="F2131" t="str">
        <f t="shared" si="359"/>
        <v>COM</v>
      </c>
      <c r="G2131" t="str">
        <f t="shared" si="366"/>
        <v>GILSON OLIVEIRA CAMPINHO JUNIOR (132)</v>
      </c>
      <c r="H2131" t="s">
        <v>305</v>
      </c>
      <c r="I2131" t="str">
        <f t="shared" si="361"/>
        <v>15/09/2025</v>
      </c>
      <c r="J2131" t="str">
        <f t="shared" si="367"/>
        <v>30/08/2025</v>
      </c>
      <c r="K2131">
        <v>45912</v>
      </c>
      <c r="N2131">
        <v>120</v>
      </c>
      <c r="O2131" t="s">
        <v>306</v>
      </c>
      <c r="Q2131">
        <v>2.68</v>
      </c>
      <c r="R2131" t="str">
        <f>"AC FARMA - CID.ALTA (10166)"</f>
        <v>AC FARMA - CID.ALTA (10166)</v>
      </c>
      <c r="S2131" t="s">
        <v>48</v>
      </c>
      <c r="T2131">
        <v>18253</v>
      </c>
      <c r="U2131">
        <v>21932</v>
      </c>
      <c r="V2131" t="s">
        <v>48</v>
      </c>
    </row>
    <row r="2132" spans="1:22">
      <c r="A2132" t="str">
        <f t="shared" si="355"/>
        <v>12/09/2025</v>
      </c>
      <c r="B2132" t="str">
        <f t="shared" si="363"/>
        <v>SAÍDA</v>
      </c>
      <c r="C2132" t="str">
        <f t="shared" si="364"/>
        <v>PIX</v>
      </c>
      <c r="D2132" t="str">
        <f t="shared" si="365"/>
        <v>150920</v>
      </c>
      <c r="E2132" t="str">
        <f t="shared" si="358"/>
        <v>25</v>
      </c>
      <c r="F2132" t="str">
        <f t="shared" si="359"/>
        <v>COM</v>
      </c>
      <c r="G2132" t="str">
        <f t="shared" si="366"/>
        <v>GILSON OLIVEIRA CAMPINHO JUNIOR (132)</v>
      </c>
      <c r="H2132" t="s">
        <v>305</v>
      </c>
      <c r="I2132" t="str">
        <f t="shared" si="361"/>
        <v>15/09/2025</v>
      </c>
      <c r="J2132" t="str">
        <f t="shared" si="367"/>
        <v>30/08/2025</v>
      </c>
      <c r="K2132">
        <v>45912</v>
      </c>
      <c r="N2132">
        <v>120</v>
      </c>
      <c r="O2132" t="s">
        <v>306</v>
      </c>
      <c r="Q2132">
        <v>0.56000000000000005</v>
      </c>
      <c r="R2132" t="str">
        <f>"DROGARIA AGAPEAMA (10167)"</f>
        <v>DROGARIA AGAPEAMA (10167)</v>
      </c>
      <c r="S2132" t="s">
        <v>48</v>
      </c>
      <c r="T2132">
        <v>18253</v>
      </c>
      <c r="U2132">
        <v>21932</v>
      </c>
      <c r="V2132" t="s">
        <v>48</v>
      </c>
    </row>
    <row r="2133" spans="1:22">
      <c r="A2133" t="str">
        <f t="shared" si="355"/>
        <v>12/09/2025</v>
      </c>
      <c r="B2133" t="str">
        <f t="shared" si="363"/>
        <v>SAÍDA</v>
      </c>
      <c r="C2133" t="str">
        <f t="shared" si="364"/>
        <v>PIX</v>
      </c>
      <c r="D2133" t="str">
        <f t="shared" si="365"/>
        <v>150920</v>
      </c>
      <c r="E2133" t="str">
        <f t="shared" si="358"/>
        <v>25</v>
      </c>
      <c r="F2133" t="str">
        <f t="shared" si="359"/>
        <v>COM</v>
      </c>
      <c r="G2133" t="str">
        <f t="shared" si="366"/>
        <v>GILSON OLIVEIRA CAMPINHO JUNIOR (132)</v>
      </c>
      <c r="H2133" t="s">
        <v>305</v>
      </c>
      <c r="I2133" t="str">
        <f t="shared" si="361"/>
        <v>15/09/2025</v>
      </c>
      <c r="J2133" t="str">
        <f t="shared" si="367"/>
        <v>30/08/2025</v>
      </c>
      <c r="K2133">
        <v>45912</v>
      </c>
      <c r="N2133">
        <v>120</v>
      </c>
      <c r="O2133" t="s">
        <v>306</v>
      </c>
      <c r="Q2133">
        <v>0.56000000000000005</v>
      </c>
      <c r="R2133" t="str">
        <f>"DROGARIA MORENO LTDA (10171)"</f>
        <v>DROGARIA MORENO LTDA (10171)</v>
      </c>
      <c r="S2133" t="s">
        <v>48</v>
      </c>
      <c r="T2133">
        <v>18253</v>
      </c>
      <c r="U2133">
        <v>21932</v>
      </c>
      <c r="V2133" t="s">
        <v>48</v>
      </c>
    </row>
    <row r="2134" spans="1:22">
      <c r="A2134" t="str">
        <f t="shared" si="355"/>
        <v>12/09/2025</v>
      </c>
      <c r="B2134" t="str">
        <f t="shared" si="363"/>
        <v>SAÍDA</v>
      </c>
      <c r="C2134" t="str">
        <f t="shared" si="364"/>
        <v>PIX</v>
      </c>
      <c r="D2134" t="str">
        <f t="shared" si="365"/>
        <v>150920</v>
      </c>
      <c r="E2134" t="str">
        <f t="shared" si="358"/>
        <v>25</v>
      </c>
      <c r="F2134" t="str">
        <f t="shared" si="359"/>
        <v>COM</v>
      </c>
      <c r="G2134" t="str">
        <f t="shared" si="366"/>
        <v>GILSON OLIVEIRA CAMPINHO JUNIOR (132)</v>
      </c>
      <c r="H2134" t="s">
        <v>305</v>
      </c>
      <c r="I2134" t="str">
        <f t="shared" si="361"/>
        <v>15/09/2025</v>
      </c>
      <c r="J2134" t="str">
        <f t="shared" si="367"/>
        <v>30/08/2025</v>
      </c>
      <c r="K2134">
        <v>45912</v>
      </c>
      <c r="N2134">
        <v>120</v>
      </c>
      <c r="O2134" t="s">
        <v>306</v>
      </c>
      <c r="Q2134">
        <v>0.31</v>
      </c>
      <c r="R2134" t="str">
        <f>"DROGARIA MEDIC CENTER LTDA (10172)"</f>
        <v>DROGARIA MEDIC CENTER LTDA (10172)</v>
      </c>
      <c r="S2134" t="s">
        <v>48</v>
      </c>
      <c r="T2134">
        <v>18253</v>
      </c>
      <c r="U2134">
        <v>21932</v>
      </c>
      <c r="V2134" t="s">
        <v>48</v>
      </c>
    </row>
    <row r="2135" spans="1:22">
      <c r="A2135" t="str">
        <f t="shared" ref="A2135:A2162" si="368">("12/09/2025")</f>
        <v>12/09/2025</v>
      </c>
      <c r="B2135" t="str">
        <f t="shared" si="363"/>
        <v>SAÍDA</v>
      </c>
      <c r="C2135" t="str">
        <f t="shared" si="364"/>
        <v>PIX</v>
      </c>
      <c r="D2135" t="str">
        <f t="shared" si="365"/>
        <v>150920</v>
      </c>
      <c r="E2135" t="str">
        <f t="shared" si="358"/>
        <v>25</v>
      </c>
      <c r="F2135" t="str">
        <f t="shared" ref="F2135:F2154" si="369">"COM"</f>
        <v>COM</v>
      </c>
      <c r="G2135" t="str">
        <f t="shared" si="366"/>
        <v>GILSON OLIVEIRA CAMPINHO JUNIOR (132)</v>
      </c>
      <c r="H2135" t="s">
        <v>305</v>
      </c>
      <c r="I2135" t="str">
        <f t="shared" si="361"/>
        <v>15/09/2025</v>
      </c>
      <c r="J2135" t="str">
        <f t="shared" si="367"/>
        <v>30/08/2025</v>
      </c>
      <c r="K2135">
        <v>45912</v>
      </c>
      <c r="N2135">
        <v>120</v>
      </c>
      <c r="O2135" t="s">
        <v>306</v>
      </c>
      <c r="Q2135">
        <v>0.47</v>
      </c>
      <c r="R2135" t="str">
        <f>"AC FARMA - FLEMINFARMA 5 (10183)"</f>
        <v>AC FARMA - FLEMINFARMA 5 (10183)</v>
      </c>
      <c r="S2135" t="s">
        <v>48</v>
      </c>
      <c r="T2135">
        <v>18253</v>
      </c>
      <c r="U2135">
        <v>21932</v>
      </c>
      <c r="V2135" t="s">
        <v>48</v>
      </c>
    </row>
    <row r="2136" spans="1:22">
      <c r="A2136" t="str">
        <f t="shared" si="368"/>
        <v>12/09/2025</v>
      </c>
      <c r="B2136" t="str">
        <f t="shared" si="363"/>
        <v>SAÍDA</v>
      </c>
      <c r="C2136" t="str">
        <f t="shared" si="364"/>
        <v>PIX</v>
      </c>
      <c r="D2136" t="str">
        <f t="shared" si="365"/>
        <v>150920</v>
      </c>
      <c r="E2136" t="str">
        <f t="shared" si="358"/>
        <v>25</v>
      </c>
      <c r="F2136" t="str">
        <f t="shared" si="369"/>
        <v>COM</v>
      </c>
      <c r="G2136" t="str">
        <f t="shared" si="366"/>
        <v>GILSON OLIVEIRA CAMPINHO JUNIOR (132)</v>
      </c>
      <c r="H2136" t="s">
        <v>305</v>
      </c>
      <c r="I2136" t="str">
        <f t="shared" si="361"/>
        <v>15/09/2025</v>
      </c>
      <c r="J2136" t="str">
        <f t="shared" si="367"/>
        <v>30/08/2025</v>
      </c>
      <c r="K2136">
        <v>45912</v>
      </c>
      <c r="N2136">
        <v>120</v>
      </c>
      <c r="O2136" t="s">
        <v>306</v>
      </c>
      <c r="Q2136">
        <v>0.47</v>
      </c>
      <c r="R2136" t="str">
        <f>"AC FARMA - FLEMINFARMA 6 (10184)"</f>
        <v>AC FARMA - FLEMINFARMA 6 (10184)</v>
      </c>
      <c r="S2136" t="s">
        <v>48</v>
      </c>
      <c r="T2136">
        <v>18253</v>
      </c>
      <c r="U2136">
        <v>21932</v>
      </c>
      <c r="V2136" t="s">
        <v>48</v>
      </c>
    </row>
    <row r="2137" spans="1:22">
      <c r="A2137" t="str">
        <f t="shared" si="368"/>
        <v>12/09/2025</v>
      </c>
      <c r="B2137" t="str">
        <f>"ENTRADA"</f>
        <v>ENTRADA</v>
      </c>
      <c r="C2137" t="str">
        <f t="shared" ref="C2137:C2148" si="370">"DINHEIRO"</f>
        <v>DINHEIRO</v>
      </c>
      <c r="D2137" t="str">
        <f t="shared" ref="D2137:D2146" si="371">"1509"</f>
        <v>1509</v>
      </c>
      <c r="E2137" t="str">
        <f t="shared" si="358"/>
        <v>25</v>
      </c>
      <c r="F2137" t="str">
        <f t="shared" si="369"/>
        <v>COM</v>
      </c>
      <c r="G2137" t="str">
        <f t="shared" si="366"/>
        <v>GILSON OLIVEIRA CAMPINHO JUNIOR (132)</v>
      </c>
      <c r="H2137" t="str">
        <f>"REEMBOLSO ADIANTAMENTO "</f>
        <v xml:space="preserve">REEMBOLSO ADIANTAMENTO </v>
      </c>
      <c r="I2137" t="str">
        <f>("15/10/2025")</f>
        <v>15/10/2025</v>
      </c>
      <c r="J2137" t="str">
        <f>("12/08/2025")</f>
        <v>12/08/2025</v>
      </c>
      <c r="K2137" t="str">
        <f>("12/09/2025")</f>
        <v>12/09/2025</v>
      </c>
      <c r="L2137">
        <v>14.77</v>
      </c>
      <c r="M2137">
        <v>14.77</v>
      </c>
      <c r="N2137">
        <v>129</v>
      </c>
      <c r="O2137" t="str">
        <f>"ENTRADA DE REEMBOLSO ADIANTAMENTO"</f>
        <v>ENTRADA DE REEMBOLSO ADIANTAMENTO</v>
      </c>
      <c r="P2137">
        <v>14.77</v>
      </c>
      <c r="S2137" t="str">
        <f>"ENTRADA DE REEMBOLSO ADIANTAMENTO (129)"</f>
        <v>ENTRADA DE REEMBOLSO ADIANTAMENTO (129)</v>
      </c>
      <c r="T2137">
        <v>18254</v>
      </c>
      <c r="U2137">
        <v>21934</v>
      </c>
      <c r="V2137" t="s">
        <v>48</v>
      </c>
    </row>
    <row r="2138" spans="1:22">
      <c r="A2138" t="str">
        <f t="shared" si="368"/>
        <v>12/09/2025</v>
      </c>
      <c r="B2138" t="str">
        <f>"ENTRADA"</f>
        <v>ENTRADA</v>
      </c>
      <c r="C2138" t="str">
        <f t="shared" si="370"/>
        <v>DINHEIRO</v>
      </c>
      <c r="D2138" t="str">
        <f t="shared" si="371"/>
        <v>1509</v>
      </c>
      <c r="E2138" t="str">
        <f t="shared" si="358"/>
        <v>25</v>
      </c>
      <c r="F2138" t="str">
        <f t="shared" si="369"/>
        <v>COM</v>
      </c>
      <c r="G2138" t="str">
        <f t="shared" si="366"/>
        <v>GILSON OLIVEIRA CAMPINHO JUNIOR (132)</v>
      </c>
      <c r="H2138" t="s">
        <v>559</v>
      </c>
      <c r="I2138" t="str">
        <f>("15/10/2025")</f>
        <v>15/10/2025</v>
      </c>
      <c r="J2138" t="str">
        <f>("12/08/2025")</f>
        <v>12/08/2025</v>
      </c>
      <c r="K2138">
        <v>45912</v>
      </c>
      <c r="N2138">
        <v>129</v>
      </c>
      <c r="O2138" t="s">
        <v>58</v>
      </c>
      <c r="Q2138">
        <v>14.77</v>
      </c>
      <c r="R2138" t="str">
        <f>"GILSON OLIVEIRA CAMPINHO JUNIOR (132)"</f>
        <v>GILSON OLIVEIRA CAMPINHO JUNIOR (132)</v>
      </c>
      <c r="S2138" t="s">
        <v>59</v>
      </c>
      <c r="T2138">
        <v>18254</v>
      </c>
      <c r="U2138">
        <v>21934</v>
      </c>
      <c r="V2138" t="s">
        <v>48</v>
      </c>
    </row>
    <row r="2139" spans="1:22">
      <c r="A2139" t="str">
        <f t="shared" si="368"/>
        <v>12/09/2025</v>
      </c>
      <c r="B2139" t="str">
        <f t="shared" ref="B2139:B2146" si="372">"SAÍDA"</f>
        <v>SAÍDA</v>
      </c>
      <c r="C2139" t="str">
        <f t="shared" si="370"/>
        <v>DINHEIRO</v>
      </c>
      <c r="D2139" t="str">
        <f t="shared" si="371"/>
        <v>1509</v>
      </c>
      <c r="E2139" t="str">
        <f t="shared" si="358"/>
        <v>25</v>
      </c>
      <c r="F2139" t="str">
        <f t="shared" si="369"/>
        <v>COM</v>
      </c>
      <c r="G2139" t="str">
        <f t="shared" ref="G2139:G2148" si="373">"BRUNO BARBOSA DE MATOS (82)"</f>
        <v>BRUNO BARBOSA DE MATOS (82)</v>
      </c>
      <c r="H2139" t="str">
        <f>"PAGAMENTO LIDERANÇA REF. MES 08/2025 - PIX: CPF - CHAVE: 137.446.146-62"</f>
        <v>PAGAMENTO LIDERANÇA REF. MES 08/2025 - PIX: CPF - CHAVE: 137.446.146-62</v>
      </c>
      <c r="I2139" t="str">
        <f t="shared" ref="I2139:I2148" si="374">("15/09/2025")</f>
        <v>15/09/2025</v>
      </c>
      <c r="J2139" t="str">
        <f t="shared" ref="J2139:J2146" si="375">("30/08/2025")</f>
        <v>30/08/2025</v>
      </c>
      <c r="K2139" t="str">
        <f>("12/09/2025")</f>
        <v>12/09/2025</v>
      </c>
      <c r="L2139">
        <v>693.58</v>
      </c>
      <c r="M2139">
        <v>693.58</v>
      </c>
      <c r="N2139">
        <v>120</v>
      </c>
      <c r="O2139" t="str">
        <f>"PAGAMENTO COMISSAO LIDERES"</f>
        <v>PAGAMENTO COMISSAO LIDERES</v>
      </c>
      <c r="P2139">
        <v>693.58</v>
      </c>
      <c r="S2139" t="str">
        <f>"CAIXA MOVIMENTAÇÃO OPERACIONAL (132)"</f>
        <v>CAIXA MOVIMENTAÇÃO OPERACIONAL (132)</v>
      </c>
      <c r="T2139">
        <v>18255</v>
      </c>
      <c r="U2139">
        <v>21937</v>
      </c>
      <c r="V2139" t="s">
        <v>48</v>
      </c>
    </row>
    <row r="2140" spans="1:22">
      <c r="A2140" t="str">
        <f t="shared" si="368"/>
        <v>12/09/2025</v>
      </c>
      <c r="B2140" t="str">
        <f t="shared" si="372"/>
        <v>SAÍDA</v>
      </c>
      <c r="C2140" t="str">
        <f t="shared" si="370"/>
        <v>DINHEIRO</v>
      </c>
      <c r="D2140" t="str">
        <f t="shared" si="371"/>
        <v>1509</v>
      </c>
      <c r="E2140" t="str">
        <f t="shared" si="358"/>
        <v>25</v>
      </c>
      <c r="F2140" t="str">
        <f t="shared" si="369"/>
        <v>COM</v>
      </c>
      <c r="G2140" t="str">
        <f t="shared" si="373"/>
        <v>BRUNO BARBOSA DE MATOS (82)</v>
      </c>
      <c r="H2140" t="s">
        <v>560</v>
      </c>
      <c r="I2140" t="str">
        <f t="shared" si="374"/>
        <v>15/09/2025</v>
      </c>
      <c r="J2140" t="str">
        <f t="shared" si="375"/>
        <v>30/08/2025</v>
      </c>
      <c r="K2140">
        <v>45912</v>
      </c>
      <c r="N2140">
        <v>120</v>
      </c>
      <c r="O2140" t="s">
        <v>306</v>
      </c>
      <c r="Q2140">
        <v>108.06</v>
      </c>
      <c r="R2140" t="str">
        <f>"FARMÁCIA INDIANA LJ 100 (10042)"</f>
        <v>FARMÁCIA INDIANA LJ 100 (10042)</v>
      </c>
      <c r="S2140" t="s">
        <v>48</v>
      </c>
      <c r="T2140">
        <v>18255</v>
      </c>
      <c r="U2140">
        <v>21937</v>
      </c>
      <c r="V2140" t="s">
        <v>48</v>
      </c>
    </row>
    <row r="2141" spans="1:22">
      <c r="A2141" t="str">
        <f t="shared" si="368"/>
        <v>12/09/2025</v>
      </c>
      <c r="B2141" t="str">
        <f t="shared" si="372"/>
        <v>SAÍDA</v>
      </c>
      <c r="C2141" t="str">
        <f t="shared" si="370"/>
        <v>DINHEIRO</v>
      </c>
      <c r="D2141" t="str">
        <f t="shared" si="371"/>
        <v>1509</v>
      </c>
      <c r="E2141" t="str">
        <f t="shared" si="358"/>
        <v>25</v>
      </c>
      <c r="F2141" t="str">
        <f t="shared" si="369"/>
        <v>COM</v>
      </c>
      <c r="G2141" t="str">
        <f t="shared" si="373"/>
        <v>BRUNO BARBOSA DE MATOS (82)</v>
      </c>
      <c r="H2141" t="s">
        <v>560</v>
      </c>
      <c r="I2141" t="str">
        <f t="shared" si="374"/>
        <v>15/09/2025</v>
      </c>
      <c r="J2141" t="str">
        <f t="shared" si="375"/>
        <v>30/08/2025</v>
      </c>
      <c r="K2141">
        <v>45912</v>
      </c>
      <c r="N2141">
        <v>120</v>
      </c>
      <c r="O2141" t="s">
        <v>306</v>
      </c>
      <c r="Q2141">
        <v>120.82</v>
      </c>
      <c r="R2141" t="str">
        <f>"FARMÁCIA INDIANA LJ 101 (10043)"</f>
        <v>FARMÁCIA INDIANA LJ 101 (10043)</v>
      </c>
      <c r="S2141" t="s">
        <v>48</v>
      </c>
      <c r="T2141">
        <v>18255</v>
      </c>
      <c r="U2141">
        <v>21937</v>
      </c>
      <c r="V2141" t="s">
        <v>48</v>
      </c>
    </row>
    <row r="2142" spans="1:22">
      <c r="A2142" t="str">
        <f t="shared" si="368"/>
        <v>12/09/2025</v>
      </c>
      <c r="B2142" t="str">
        <f t="shared" si="372"/>
        <v>SAÍDA</v>
      </c>
      <c r="C2142" t="str">
        <f t="shared" si="370"/>
        <v>DINHEIRO</v>
      </c>
      <c r="D2142" t="str">
        <f t="shared" si="371"/>
        <v>1509</v>
      </c>
      <c r="E2142" t="str">
        <f t="shared" si="358"/>
        <v>25</v>
      </c>
      <c r="F2142" t="str">
        <f t="shared" si="369"/>
        <v>COM</v>
      </c>
      <c r="G2142" t="str">
        <f t="shared" si="373"/>
        <v>BRUNO BARBOSA DE MATOS (82)</v>
      </c>
      <c r="H2142" t="s">
        <v>560</v>
      </c>
      <c r="I2142" t="str">
        <f t="shared" si="374"/>
        <v>15/09/2025</v>
      </c>
      <c r="J2142" t="str">
        <f t="shared" si="375"/>
        <v>30/08/2025</v>
      </c>
      <c r="K2142">
        <v>45912</v>
      </c>
      <c r="N2142">
        <v>120</v>
      </c>
      <c r="O2142" t="s">
        <v>306</v>
      </c>
      <c r="Q2142">
        <v>137.26</v>
      </c>
      <c r="R2142" t="str">
        <f>"FARMÁCIA INDIANA LJ 110 (10048)"</f>
        <v>FARMÁCIA INDIANA LJ 110 (10048)</v>
      </c>
      <c r="S2142" t="s">
        <v>48</v>
      </c>
      <c r="T2142">
        <v>18255</v>
      </c>
      <c r="U2142">
        <v>21937</v>
      </c>
      <c r="V2142" t="s">
        <v>48</v>
      </c>
    </row>
    <row r="2143" spans="1:22">
      <c r="A2143" t="str">
        <f t="shared" si="368"/>
        <v>12/09/2025</v>
      </c>
      <c r="B2143" t="str">
        <f t="shared" si="372"/>
        <v>SAÍDA</v>
      </c>
      <c r="C2143" t="str">
        <f t="shared" si="370"/>
        <v>DINHEIRO</v>
      </c>
      <c r="D2143" t="str">
        <f t="shared" si="371"/>
        <v>1509</v>
      </c>
      <c r="E2143" t="str">
        <f t="shared" si="358"/>
        <v>25</v>
      </c>
      <c r="F2143" t="str">
        <f t="shared" si="369"/>
        <v>COM</v>
      </c>
      <c r="G2143" t="str">
        <f t="shared" si="373"/>
        <v>BRUNO BARBOSA DE MATOS (82)</v>
      </c>
      <c r="H2143" t="s">
        <v>560</v>
      </c>
      <c r="I2143" t="str">
        <f t="shared" si="374"/>
        <v>15/09/2025</v>
      </c>
      <c r="J2143" t="str">
        <f t="shared" si="375"/>
        <v>30/08/2025</v>
      </c>
      <c r="K2143">
        <v>45912</v>
      </c>
      <c r="N2143">
        <v>120</v>
      </c>
      <c r="O2143" t="s">
        <v>306</v>
      </c>
      <c r="Q2143">
        <v>53.34</v>
      </c>
      <c r="R2143" t="str">
        <f>"FARMÁCIA INDIANA LJ 152 (10069)"</f>
        <v>FARMÁCIA INDIANA LJ 152 (10069)</v>
      </c>
      <c r="S2143" t="s">
        <v>48</v>
      </c>
      <c r="T2143">
        <v>18255</v>
      </c>
      <c r="U2143">
        <v>21937</v>
      </c>
      <c r="V2143" t="s">
        <v>48</v>
      </c>
    </row>
    <row r="2144" spans="1:22">
      <c r="A2144" t="str">
        <f t="shared" si="368"/>
        <v>12/09/2025</v>
      </c>
      <c r="B2144" t="str">
        <f t="shared" si="372"/>
        <v>SAÍDA</v>
      </c>
      <c r="C2144" t="str">
        <f t="shared" si="370"/>
        <v>DINHEIRO</v>
      </c>
      <c r="D2144" t="str">
        <f t="shared" si="371"/>
        <v>1509</v>
      </c>
      <c r="E2144" t="str">
        <f t="shared" si="358"/>
        <v>25</v>
      </c>
      <c r="F2144" t="str">
        <f t="shared" si="369"/>
        <v>COM</v>
      </c>
      <c r="G2144" t="str">
        <f t="shared" si="373"/>
        <v>BRUNO BARBOSA DE MATOS (82)</v>
      </c>
      <c r="H2144" t="s">
        <v>560</v>
      </c>
      <c r="I2144" t="str">
        <f t="shared" si="374"/>
        <v>15/09/2025</v>
      </c>
      <c r="J2144" t="str">
        <f t="shared" si="375"/>
        <v>30/08/2025</v>
      </c>
      <c r="K2144">
        <v>45912</v>
      </c>
      <c r="N2144">
        <v>120</v>
      </c>
      <c r="O2144" t="s">
        <v>306</v>
      </c>
      <c r="Q2144">
        <v>115.55</v>
      </c>
      <c r="R2144" t="str">
        <f>"FARMÁCIA INDIANA LJ 171 (10074)"</f>
        <v>FARMÁCIA INDIANA LJ 171 (10074)</v>
      </c>
      <c r="S2144" t="s">
        <v>48</v>
      </c>
      <c r="T2144">
        <v>18255</v>
      </c>
      <c r="U2144">
        <v>21937</v>
      </c>
      <c r="V2144" t="s">
        <v>48</v>
      </c>
    </row>
    <row r="2145" spans="1:22">
      <c r="A2145" t="str">
        <f t="shared" si="368"/>
        <v>12/09/2025</v>
      </c>
      <c r="B2145" t="str">
        <f t="shared" si="372"/>
        <v>SAÍDA</v>
      </c>
      <c r="C2145" t="str">
        <f t="shared" si="370"/>
        <v>DINHEIRO</v>
      </c>
      <c r="D2145" t="str">
        <f t="shared" si="371"/>
        <v>1509</v>
      </c>
      <c r="E2145" t="str">
        <f t="shared" si="358"/>
        <v>25</v>
      </c>
      <c r="F2145" t="str">
        <f t="shared" si="369"/>
        <v>COM</v>
      </c>
      <c r="G2145" t="str">
        <f t="shared" si="373"/>
        <v>BRUNO BARBOSA DE MATOS (82)</v>
      </c>
      <c r="H2145" t="s">
        <v>560</v>
      </c>
      <c r="I2145" t="str">
        <f t="shared" si="374"/>
        <v>15/09/2025</v>
      </c>
      <c r="J2145" t="str">
        <f t="shared" si="375"/>
        <v>30/08/2025</v>
      </c>
      <c r="K2145">
        <v>45912</v>
      </c>
      <c r="N2145">
        <v>120</v>
      </c>
      <c r="O2145" t="s">
        <v>306</v>
      </c>
      <c r="Q2145">
        <v>37.729999999999997</v>
      </c>
      <c r="R2145" t="str">
        <f>"FARMÁCIA INDIANA LJ 178 (10077)"</f>
        <v>FARMÁCIA INDIANA LJ 178 (10077)</v>
      </c>
      <c r="S2145" t="s">
        <v>48</v>
      </c>
      <c r="T2145">
        <v>18255</v>
      </c>
      <c r="U2145">
        <v>21937</v>
      </c>
      <c r="V2145" t="s">
        <v>48</v>
      </c>
    </row>
    <row r="2146" spans="1:22">
      <c r="A2146" t="str">
        <f t="shared" si="368"/>
        <v>12/09/2025</v>
      </c>
      <c r="B2146" t="str">
        <f t="shared" si="372"/>
        <v>SAÍDA</v>
      </c>
      <c r="C2146" t="str">
        <f t="shared" si="370"/>
        <v>DINHEIRO</v>
      </c>
      <c r="D2146" t="str">
        <f t="shared" si="371"/>
        <v>1509</v>
      </c>
      <c r="E2146" t="str">
        <f t="shared" si="358"/>
        <v>25</v>
      </c>
      <c r="F2146" t="str">
        <f t="shared" si="369"/>
        <v>COM</v>
      </c>
      <c r="G2146" t="str">
        <f t="shared" si="373"/>
        <v>BRUNO BARBOSA DE MATOS (82)</v>
      </c>
      <c r="H2146" t="s">
        <v>560</v>
      </c>
      <c r="I2146" t="str">
        <f t="shared" si="374"/>
        <v>15/09/2025</v>
      </c>
      <c r="J2146" t="str">
        <f t="shared" si="375"/>
        <v>30/08/2025</v>
      </c>
      <c r="K2146">
        <v>45912</v>
      </c>
      <c r="N2146">
        <v>120</v>
      </c>
      <c r="O2146" t="s">
        <v>306</v>
      </c>
      <c r="Q2146">
        <v>120.82</v>
      </c>
      <c r="R2146" t="str">
        <f>"FARMÁCIA INDIANA LJ 220 (10092)"</f>
        <v>FARMÁCIA INDIANA LJ 220 (10092)</v>
      </c>
      <c r="S2146" t="s">
        <v>48</v>
      </c>
      <c r="T2146">
        <v>18255</v>
      </c>
      <c r="U2146">
        <v>21937</v>
      </c>
      <c r="V2146" t="s">
        <v>48</v>
      </c>
    </row>
    <row r="2147" spans="1:22">
      <c r="A2147" t="str">
        <f t="shared" si="368"/>
        <v>12/09/2025</v>
      </c>
      <c r="B2147" t="str">
        <f>"ENTRADA"</f>
        <v>ENTRADA</v>
      </c>
      <c r="C2147" t="str">
        <f t="shared" si="370"/>
        <v>DINHEIRO</v>
      </c>
      <c r="D2147" t="str">
        <f>"150920"</f>
        <v>150920</v>
      </c>
      <c r="E2147" t="str">
        <f t="shared" si="358"/>
        <v>25</v>
      </c>
      <c r="F2147" t="str">
        <f t="shared" si="369"/>
        <v>COM</v>
      </c>
      <c r="G2147" t="str">
        <f t="shared" si="373"/>
        <v>BRUNO BARBOSA DE MATOS (82)</v>
      </c>
      <c r="H2147" t="str">
        <f>"REEMBOLSO ADIANTAMENTO LIDERANÇA"</f>
        <v>REEMBOLSO ADIANTAMENTO LIDERANÇA</v>
      </c>
      <c r="I2147" t="str">
        <f t="shared" si="374"/>
        <v>15/09/2025</v>
      </c>
      <c r="J2147" t="str">
        <f>("07/08/2025")</f>
        <v>07/08/2025</v>
      </c>
      <c r="K2147" t="str">
        <f>("12/09/2025")</f>
        <v>12/09/2025</v>
      </c>
      <c r="L2147">
        <v>693.58</v>
      </c>
      <c r="M2147">
        <v>693.58</v>
      </c>
      <c r="N2147">
        <v>129</v>
      </c>
      <c r="O2147" t="str">
        <f>"ENTRADA DE REEMBOLSO ADIANTAMENTO"</f>
        <v>ENTRADA DE REEMBOLSO ADIANTAMENTO</v>
      </c>
      <c r="P2147">
        <v>693.58</v>
      </c>
      <c r="S2147" t="str">
        <f>"ENTRADA DE REEMBOLSO ADIANTAMENTO (129)"</f>
        <v>ENTRADA DE REEMBOLSO ADIANTAMENTO (129)</v>
      </c>
      <c r="T2147">
        <v>18256</v>
      </c>
      <c r="U2147">
        <v>21938</v>
      </c>
      <c r="V2147" t="s">
        <v>48</v>
      </c>
    </row>
    <row r="2148" spans="1:22">
      <c r="A2148" t="str">
        <f t="shared" si="368"/>
        <v>12/09/2025</v>
      </c>
      <c r="B2148" t="str">
        <f>"ENTRADA"</f>
        <v>ENTRADA</v>
      </c>
      <c r="C2148" t="str">
        <f t="shared" si="370"/>
        <v>DINHEIRO</v>
      </c>
      <c r="D2148" t="str">
        <f>"150920"</f>
        <v>150920</v>
      </c>
      <c r="E2148" t="str">
        <f t="shared" si="358"/>
        <v>25</v>
      </c>
      <c r="F2148" t="str">
        <f t="shared" si="369"/>
        <v>COM</v>
      </c>
      <c r="G2148" t="str">
        <f t="shared" si="373"/>
        <v>BRUNO BARBOSA DE MATOS (82)</v>
      </c>
      <c r="H2148" t="s">
        <v>558</v>
      </c>
      <c r="I2148" t="str">
        <f t="shared" si="374"/>
        <v>15/09/2025</v>
      </c>
      <c r="J2148" t="str">
        <f>("07/08/2025")</f>
        <v>07/08/2025</v>
      </c>
      <c r="K2148">
        <v>45912</v>
      </c>
      <c r="N2148">
        <v>129</v>
      </c>
      <c r="O2148" t="s">
        <v>58</v>
      </c>
      <c r="Q2148">
        <v>693.58</v>
      </c>
      <c r="R2148" t="str">
        <f>"BRUNO BARBOSA DE MATOS (82)"</f>
        <v>BRUNO BARBOSA DE MATOS (82)</v>
      </c>
      <c r="S2148" t="s">
        <v>59</v>
      </c>
      <c r="T2148">
        <v>18256</v>
      </c>
      <c r="U2148">
        <v>21938</v>
      </c>
      <c r="V2148" t="s">
        <v>48</v>
      </c>
    </row>
    <row r="2149" spans="1:22">
      <c r="A2149" t="str">
        <f t="shared" si="368"/>
        <v>12/09/2025</v>
      </c>
      <c r="B2149" t="str">
        <f>"SAÍDA"</f>
        <v>SAÍDA</v>
      </c>
      <c r="C2149" t="str">
        <f>"PIX"</f>
        <v>PIX</v>
      </c>
      <c r="D2149" t="str">
        <f>"1209"</f>
        <v>1209</v>
      </c>
      <c r="E2149" t="str">
        <f t="shared" si="358"/>
        <v>25</v>
      </c>
      <c r="F2149" t="str">
        <f t="shared" si="369"/>
        <v>COM</v>
      </c>
      <c r="G2149" t="str">
        <f>"PEDRO HENRIQUE DA SILVA COSTA OLIVEIRA (852)"</f>
        <v>PEDRO HENRIQUE DA SILVA COSTA OLIVEIRA (852)</v>
      </c>
      <c r="H2149" t="str">
        <f>"ADIANTAMENTO"</f>
        <v>ADIANTAMENTO</v>
      </c>
      <c r="I2149" t="str">
        <f>("12/09/2025")</f>
        <v>12/09/2025</v>
      </c>
      <c r="J2149" t="str">
        <f>("11/09/2025")</f>
        <v>11/09/2025</v>
      </c>
      <c r="K2149" t="str">
        <f>("12/09/2025")</f>
        <v>12/09/2025</v>
      </c>
      <c r="L2149">
        <v>700</v>
      </c>
      <c r="M2149">
        <v>700</v>
      </c>
      <c r="N2149">
        <v>5000</v>
      </c>
      <c r="O2149" t="str">
        <f>"SOLICITACAO DE ADIANTAMENTO"</f>
        <v>SOLICITACAO DE ADIANTAMENTO</v>
      </c>
      <c r="P2149">
        <v>700</v>
      </c>
      <c r="S2149" t="str">
        <f>"BANCO CORA (102)"</f>
        <v>BANCO CORA (102)</v>
      </c>
      <c r="T2149">
        <v>18257</v>
      </c>
      <c r="U2149">
        <v>21943</v>
      </c>
      <c r="V2149" t="s">
        <v>22</v>
      </c>
    </row>
    <row r="2150" spans="1:22">
      <c r="A2150" t="str">
        <f t="shared" si="368"/>
        <v>12/09/2025</v>
      </c>
      <c r="B2150" t="str">
        <f>"SAÍDA"</f>
        <v>SAÍDA</v>
      </c>
      <c r="C2150" t="str">
        <f>"PIX"</f>
        <v>PIX</v>
      </c>
      <c r="D2150" t="str">
        <f>"1209"</f>
        <v>1209</v>
      </c>
      <c r="E2150" t="str">
        <f t="shared" si="358"/>
        <v>25</v>
      </c>
      <c r="F2150" t="str">
        <f t="shared" si="369"/>
        <v>COM</v>
      </c>
      <c r="G2150" t="str">
        <f>"PEDRO HENRIQUE DA SILVA COSTA OLIVEIRA (852)"</f>
        <v>PEDRO HENRIQUE DA SILVA COSTA OLIVEIRA (852)</v>
      </c>
      <c r="H2150" t="s">
        <v>85</v>
      </c>
      <c r="I2150" t="str">
        <f>("12/09/2025")</f>
        <v>12/09/2025</v>
      </c>
      <c r="J2150" t="str">
        <f>("11/09/2025")</f>
        <v>11/09/2025</v>
      </c>
      <c r="K2150">
        <v>45912</v>
      </c>
      <c r="N2150">
        <v>5000</v>
      </c>
      <c r="O2150" t="s">
        <v>86</v>
      </c>
      <c r="Q2150">
        <v>700</v>
      </c>
      <c r="R2150" t="str">
        <f>"PEDRO HENRIQUE DA SILVA COSTA OLIVEIRA (852)"</f>
        <v>PEDRO HENRIQUE DA SILVA COSTA OLIVEIRA (852)</v>
      </c>
      <c r="S2150" t="s">
        <v>22</v>
      </c>
      <c r="T2150">
        <v>18257</v>
      </c>
      <c r="U2150">
        <v>21943</v>
      </c>
      <c r="V2150" t="s">
        <v>22</v>
      </c>
    </row>
    <row r="2151" spans="1:22">
      <c r="A2151" t="str">
        <f t="shared" si="368"/>
        <v>12/09/2025</v>
      </c>
      <c r="B2151" t="str">
        <f>"ENTRADA"</f>
        <v>ENTRADA</v>
      </c>
      <c r="C2151" t="str">
        <f>"NFSE"</f>
        <v>NFSE</v>
      </c>
      <c r="D2151" t="str">
        <f>"3341"</f>
        <v>3341</v>
      </c>
      <c r="E2151" t="str">
        <f>"1"</f>
        <v>1</v>
      </c>
      <c r="F2151" t="str">
        <f t="shared" si="369"/>
        <v>COM</v>
      </c>
      <c r="G2151" t="str">
        <f>"DROGARIA POUPA MINAS (DOIS AMIGOS) 5 (10140)"</f>
        <v>DROGARIA POUPA MINAS (DOIS AMIGOS) 5 (10140)</v>
      </c>
      <c r="H2151" t="str">
        <f>"Serv.Prest. 01/09/2025 a 07/09/2025 - RPS: 1217 - NFSe: 3341"</f>
        <v>Serv.Prest. 01/09/2025 a 07/09/2025 - RPS: 1217 - NFSe: 3341</v>
      </c>
      <c r="I2151" t="str">
        <f>("11/09/2025")</f>
        <v>11/09/2025</v>
      </c>
      <c r="J2151" t="str">
        <f>("09/09/2025")</f>
        <v>09/09/2025</v>
      </c>
      <c r="K2151" t="str">
        <f>("12/09/2025")</f>
        <v>12/09/2025</v>
      </c>
      <c r="L2151">
        <v>6912.54</v>
      </c>
      <c r="M2151">
        <v>6912.54</v>
      </c>
      <c r="N2151">
        <v>303</v>
      </c>
      <c r="O2151" t="str">
        <f>"RECEITAS COM ENTREGAS"</f>
        <v>RECEITAS COM ENTREGAS</v>
      </c>
      <c r="P2151">
        <v>6912.54</v>
      </c>
      <c r="S2151" t="str">
        <f>"RECEITAS COM ENTREGAS (303)"</f>
        <v>RECEITAS COM ENTREGAS (303)</v>
      </c>
      <c r="T2151">
        <v>18596</v>
      </c>
      <c r="U2151">
        <v>21662</v>
      </c>
      <c r="V2151" t="s">
        <v>22</v>
      </c>
    </row>
    <row r="2152" spans="1:22">
      <c r="A2152" t="str">
        <f t="shared" si="368"/>
        <v>12/09/2025</v>
      </c>
      <c r="B2152" t="str">
        <f>"ENTRADA"</f>
        <v>ENTRADA</v>
      </c>
      <c r="C2152" t="str">
        <f>"NFSE"</f>
        <v>NFSE</v>
      </c>
      <c r="D2152" t="str">
        <f>"3341"</f>
        <v>3341</v>
      </c>
      <c r="E2152" t="str">
        <f>"1"</f>
        <v>1</v>
      </c>
      <c r="F2152" t="str">
        <f t="shared" si="369"/>
        <v>COM</v>
      </c>
      <c r="G2152" t="str">
        <f>"DROGARIA POUPA MINAS (DOIS AMIGOS) 5 (10140)"</f>
        <v>DROGARIA POUPA MINAS (DOIS AMIGOS) 5 (10140)</v>
      </c>
      <c r="H2152" t="s">
        <v>561</v>
      </c>
      <c r="I2152" t="str">
        <f>("11/09/2025")</f>
        <v>11/09/2025</v>
      </c>
      <c r="J2152" t="str">
        <f>("09/09/2025")</f>
        <v>09/09/2025</v>
      </c>
      <c r="K2152">
        <v>45912</v>
      </c>
      <c r="N2152">
        <v>303</v>
      </c>
      <c r="O2152" t="s">
        <v>69</v>
      </c>
      <c r="Q2152">
        <v>6912.54</v>
      </c>
      <c r="R2152" t="str">
        <f>"DROGARIA POUPA MINAS (ULTRAMINAS) 1 (10181)"</f>
        <v>DROGARIA POUPA MINAS (ULTRAMINAS) 1 (10181)</v>
      </c>
      <c r="S2152" t="s">
        <v>70</v>
      </c>
      <c r="T2152">
        <v>18596</v>
      </c>
      <c r="U2152">
        <v>21662</v>
      </c>
      <c r="V2152" t="s">
        <v>22</v>
      </c>
    </row>
    <row r="2153" spans="1:22">
      <c r="A2153" t="str">
        <f t="shared" si="368"/>
        <v>12/09/2025</v>
      </c>
      <c r="B2153" t="str">
        <f>"SAÍDA"</f>
        <v>SAÍDA</v>
      </c>
      <c r="C2153" t="str">
        <f>"PIX"</f>
        <v>PIX</v>
      </c>
      <c r="D2153" t="str">
        <f>"12092025"</f>
        <v>12092025</v>
      </c>
      <c r="E2153" t="str">
        <f>"1"</f>
        <v>1</v>
      </c>
      <c r="F2153" t="str">
        <f t="shared" si="369"/>
        <v>COM</v>
      </c>
      <c r="G2153" t="str">
        <f>"GILSON OLIVEIRA CAMPINHO JUNIOR (132)"</f>
        <v>GILSON OLIVEIRA CAMPINHO JUNIOR (132)</v>
      </c>
      <c r="H2153" t="str">
        <f>"DESPESAS COM VIAGEM EUNÁPOLIS"</f>
        <v>DESPESAS COM VIAGEM EUNÁPOLIS</v>
      </c>
      <c r="I2153" t="str">
        <f>("12/09/2025")</f>
        <v>12/09/2025</v>
      </c>
      <c r="J2153" t="str">
        <f>("12/09/2025")</f>
        <v>12/09/2025</v>
      </c>
      <c r="K2153" t="str">
        <f>("12/09/2025")</f>
        <v>12/09/2025</v>
      </c>
      <c r="L2153">
        <v>500</v>
      </c>
      <c r="M2153">
        <v>500</v>
      </c>
      <c r="N2153">
        <v>119</v>
      </c>
      <c r="O2153" t="str">
        <f>"DESPESAS COM VIAGENS OPERACIONAIS"</f>
        <v>DESPESAS COM VIAGENS OPERACIONAIS</v>
      </c>
      <c r="P2153">
        <v>500</v>
      </c>
      <c r="S2153" t="str">
        <f>"BANCO CORA (102)"</f>
        <v>BANCO CORA (102)</v>
      </c>
      <c r="T2153">
        <v>22207</v>
      </c>
      <c r="U2153">
        <v>25947</v>
      </c>
      <c r="V2153" t="s">
        <v>22</v>
      </c>
    </row>
    <row r="2154" spans="1:22">
      <c r="A2154" t="str">
        <f t="shared" si="368"/>
        <v>12/09/2025</v>
      </c>
      <c r="B2154" t="str">
        <f>"SAÍDA"</f>
        <v>SAÍDA</v>
      </c>
      <c r="C2154" t="str">
        <f>"PIX"</f>
        <v>PIX</v>
      </c>
      <c r="D2154" t="str">
        <f>"12092025"</f>
        <v>12092025</v>
      </c>
      <c r="E2154" t="str">
        <f>"1"</f>
        <v>1</v>
      </c>
      <c r="F2154" t="str">
        <f t="shared" si="369"/>
        <v>COM</v>
      </c>
      <c r="G2154" t="str">
        <f>"GILSON OLIVEIRA CAMPINHO JUNIOR (132)"</f>
        <v>GILSON OLIVEIRA CAMPINHO JUNIOR (132)</v>
      </c>
      <c r="H2154" t="s">
        <v>562</v>
      </c>
      <c r="I2154" t="str">
        <f t="shared" ref="I2154:J2156" si="376">("12/09/2025")</f>
        <v>12/09/2025</v>
      </c>
      <c r="J2154" t="str">
        <f t="shared" si="376"/>
        <v>12/09/2025</v>
      </c>
      <c r="K2154">
        <v>45912</v>
      </c>
      <c r="N2154">
        <v>119</v>
      </c>
      <c r="O2154" t="s">
        <v>262</v>
      </c>
      <c r="Q2154">
        <v>500</v>
      </c>
      <c r="R2154" t="str">
        <f>"GILSON OLIVEIRA CAMPINHO JUNIOR (132)"</f>
        <v>GILSON OLIVEIRA CAMPINHO JUNIOR (132)</v>
      </c>
      <c r="S2154" t="s">
        <v>22</v>
      </c>
      <c r="T2154">
        <v>22207</v>
      </c>
      <c r="U2154">
        <v>25947</v>
      </c>
      <c r="V2154" t="s">
        <v>22</v>
      </c>
    </row>
    <row r="2155" spans="1:22">
      <c r="A2155" t="str">
        <f t="shared" si="368"/>
        <v>12/09/2025</v>
      </c>
      <c r="B2155" t="str">
        <f>"ENTRADA"</f>
        <v>ENTRADA</v>
      </c>
      <c r="C2155" t="str">
        <f>"TRANSFERENCIA"</f>
        <v>TRANSFERENCIA</v>
      </c>
      <c r="D2155" t="str">
        <f>""</f>
        <v/>
      </c>
      <c r="F2155" t="str">
        <f>"TRF"</f>
        <v>TRF</v>
      </c>
      <c r="G2155" t="str">
        <f>""</f>
        <v/>
      </c>
      <c r="H2155" t="str">
        <f>"RESERVA DE CREDITO  (138-&gt;102)"</f>
        <v>RESERVA DE CREDITO  (138-&gt;102)</v>
      </c>
      <c r="I2155" t="str">
        <f t="shared" si="376"/>
        <v>12/09/2025</v>
      </c>
      <c r="J2155" t="str">
        <f t="shared" si="376"/>
        <v>12/09/2025</v>
      </c>
      <c r="K2155" t="str">
        <f>("12/09/2025")</f>
        <v>12/09/2025</v>
      </c>
      <c r="N2155">
        <v>102</v>
      </c>
      <c r="O2155" t="str">
        <f>"BANCO CORA"</f>
        <v>BANCO CORA</v>
      </c>
      <c r="P2155">
        <v>3000</v>
      </c>
      <c r="S2155" t="str">
        <f>"BANCO CORA (102)"</f>
        <v>BANCO CORA (102)</v>
      </c>
      <c r="T2155">
        <v>22208</v>
      </c>
      <c r="U2155">
        <v>0</v>
      </c>
      <c r="V2155" t="s">
        <v>22</v>
      </c>
    </row>
    <row r="2156" spans="1:22">
      <c r="A2156" t="str">
        <f t="shared" si="368"/>
        <v>12/09/2025</v>
      </c>
      <c r="B2156" t="str">
        <f>"SAÍDA"</f>
        <v>SAÍDA</v>
      </c>
      <c r="C2156" t="str">
        <f>"TRANSFERENCIA"</f>
        <v>TRANSFERENCIA</v>
      </c>
      <c r="D2156" t="str">
        <f>""</f>
        <v/>
      </c>
      <c r="F2156" t="str">
        <f>"TRF"</f>
        <v>TRF</v>
      </c>
      <c r="G2156" t="str">
        <f>""</f>
        <v/>
      </c>
      <c r="H2156" t="str">
        <f>"RESERVA DE CREDITO  (138-&gt;102)"</f>
        <v>RESERVA DE CREDITO  (138-&gt;102)</v>
      </c>
      <c r="I2156" t="str">
        <f t="shared" si="376"/>
        <v>12/09/2025</v>
      </c>
      <c r="J2156" t="str">
        <f t="shared" si="376"/>
        <v>12/09/2025</v>
      </c>
      <c r="K2156" t="str">
        <f>("12/09/2025")</f>
        <v>12/09/2025</v>
      </c>
      <c r="N2156">
        <v>138</v>
      </c>
      <c r="O2156" t="str">
        <f>"CARTÃO CREDITO COOPMOB"</f>
        <v>CARTÃO CREDITO COOPMOB</v>
      </c>
      <c r="S2156" t="str">
        <f>"CARTÃO CREDITO COOPMOB (138)"</f>
        <v>CARTÃO CREDITO COOPMOB (138)</v>
      </c>
      <c r="T2156">
        <v>22208</v>
      </c>
      <c r="U2156">
        <v>0</v>
      </c>
      <c r="V2156" t="s">
        <v>544</v>
      </c>
    </row>
    <row r="2157" spans="1:22">
      <c r="A2157" t="str">
        <f t="shared" si="368"/>
        <v>12/09/2025</v>
      </c>
      <c r="B2157" t="str">
        <f>"ENTRADA"</f>
        <v>ENTRADA</v>
      </c>
      <c r="C2157" t="str">
        <f>"NFSE"</f>
        <v>NFSE</v>
      </c>
      <c r="D2157" t="str">
        <f>"3339"</f>
        <v>3339</v>
      </c>
      <c r="E2157" t="str">
        <f>"1"</f>
        <v>1</v>
      </c>
      <c r="F2157" t="str">
        <f t="shared" ref="F2157:F2199" si="377">"COM"</f>
        <v>COM</v>
      </c>
      <c r="G2157" t="str">
        <f>"DROGARIA VAZ (10179)"</f>
        <v>DROGARIA VAZ (10179)</v>
      </c>
      <c r="H2157" t="str">
        <f>"Serv.Prest. 01/09/2025 a 07/09/2025 - RPS: 1215 - NFSe: 3339"</f>
        <v>Serv.Prest. 01/09/2025 a 07/09/2025 - RPS: 1215 - NFSe: 3339</v>
      </c>
      <c r="I2157" t="str">
        <f>("10/09/2025")</f>
        <v>10/09/2025</v>
      </c>
      <c r="J2157" t="str">
        <f>("09/09/2025")</f>
        <v>09/09/2025</v>
      </c>
      <c r="K2157" t="str">
        <f>("12/09/2025")</f>
        <v>12/09/2025</v>
      </c>
      <c r="L2157">
        <v>1015.07</v>
      </c>
      <c r="M2157">
        <v>1036.04</v>
      </c>
      <c r="N2157">
        <v>303</v>
      </c>
      <c r="O2157" t="str">
        <f>"RECEITAS COM ENTREGAS"</f>
        <v>RECEITAS COM ENTREGAS</v>
      </c>
      <c r="P2157">
        <v>1036.04</v>
      </c>
      <c r="S2157" t="str">
        <f>"RECEITAS COM ENTREGAS (303)"</f>
        <v>RECEITAS COM ENTREGAS (303)</v>
      </c>
      <c r="T2157">
        <v>22209</v>
      </c>
      <c r="U2157">
        <v>21630</v>
      </c>
      <c r="V2157" t="s">
        <v>22</v>
      </c>
    </row>
    <row r="2158" spans="1:22">
      <c r="A2158" t="str">
        <f t="shared" si="368"/>
        <v>12/09/2025</v>
      </c>
      <c r="B2158" t="str">
        <f>"ENTRADA"</f>
        <v>ENTRADA</v>
      </c>
      <c r="C2158" t="str">
        <f>"NFSE"</f>
        <v>NFSE</v>
      </c>
      <c r="D2158" t="str">
        <f>"3339"</f>
        <v>3339</v>
      </c>
      <c r="E2158" t="str">
        <f>"1"</f>
        <v>1</v>
      </c>
      <c r="F2158" t="str">
        <f t="shared" si="377"/>
        <v>COM</v>
      </c>
      <c r="G2158" t="str">
        <f>"DROGARIA VAZ (10179)"</f>
        <v>DROGARIA VAZ (10179)</v>
      </c>
      <c r="H2158" t="s">
        <v>563</v>
      </c>
      <c r="I2158" t="str">
        <f>("10/09/2025")</f>
        <v>10/09/2025</v>
      </c>
      <c r="J2158" t="str">
        <f>("09/09/2025")</f>
        <v>09/09/2025</v>
      </c>
      <c r="K2158">
        <v>45912</v>
      </c>
      <c r="N2158">
        <v>303</v>
      </c>
      <c r="O2158" t="s">
        <v>69</v>
      </c>
      <c r="Q2158">
        <v>1036.04</v>
      </c>
      <c r="R2158" t="str">
        <f>"DROGARIA VAZ (10179)"</f>
        <v>DROGARIA VAZ (10179)</v>
      </c>
      <c r="S2158" t="s">
        <v>70</v>
      </c>
      <c r="T2158">
        <v>22209</v>
      </c>
      <c r="U2158">
        <v>21630</v>
      </c>
      <c r="V2158" t="s">
        <v>22</v>
      </c>
    </row>
    <row r="2159" spans="1:22">
      <c r="A2159" t="str">
        <f t="shared" si="368"/>
        <v>12/09/2025</v>
      </c>
      <c r="B2159" t="str">
        <f t="shared" ref="B2159:B2199" si="378">"SAÍDA"</f>
        <v>SAÍDA</v>
      </c>
      <c r="C2159" t="str">
        <f>"CONHECIMENTO"</f>
        <v>CONHECIMENTO</v>
      </c>
      <c r="D2159" t="str">
        <f>"01092025"</f>
        <v>01092025</v>
      </c>
      <c r="E2159" t="str">
        <f>"2"</f>
        <v>2</v>
      </c>
      <c r="F2159" t="str">
        <f t="shared" si="377"/>
        <v>COM</v>
      </c>
      <c r="G2159" t="str">
        <f>"CORA SOCIEDADE DE CREDITO, FINANCIAMENTO E INVESTIMENTO (20035)"</f>
        <v>CORA SOCIEDADE DE CREDITO, FINANCIAMENTO E INVESTIMENTO (20035)</v>
      </c>
      <c r="H2159" t="str">
        <f>"TAXA BOLETO "</f>
        <v xml:space="preserve">TAXA BOLETO </v>
      </c>
      <c r="I2159" t="str">
        <f>("11/09/2025")</f>
        <v>11/09/2025</v>
      </c>
      <c r="J2159" t="str">
        <f>("01/09/2025")</f>
        <v>01/09/2025</v>
      </c>
      <c r="K2159" t="str">
        <f>("12/09/2025")</f>
        <v>12/09/2025</v>
      </c>
      <c r="L2159">
        <v>0.5</v>
      </c>
      <c r="M2159">
        <v>0.5</v>
      </c>
      <c r="N2159">
        <v>401</v>
      </c>
      <c r="O2159" t="str">
        <f>"IOF/JUROS/DESP.FINANCEIRA"</f>
        <v>IOF/JUROS/DESP.FINANCEIRA</v>
      </c>
      <c r="P2159">
        <v>0.5</v>
      </c>
      <c r="S2159" t="str">
        <f>"BANCO CORA (102)"</f>
        <v>BANCO CORA (102)</v>
      </c>
      <c r="T2159">
        <v>22210</v>
      </c>
      <c r="U2159">
        <v>25937</v>
      </c>
      <c r="V2159" t="s">
        <v>22</v>
      </c>
    </row>
    <row r="2160" spans="1:22">
      <c r="A2160" t="str">
        <f t="shared" si="368"/>
        <v>12/09/2025</v>
      </c>
      <c r="B2160" t="str">
        <f t="shared" si="378"/>
        <v>SAÍDA</v>
      </c>
      <c r="C2160" t="str">
        <f>"CONHECIMENTO"</f>
        <v>CONHECIMENTO</v>
      </c>
      <c r="D2160" t="str">
        <f>"01092025"</f>
        <v>01092025</v>
      </c>
      <c r="E2160" t="str">
        <f>"2"</f>
        <v>2</v>
      </c>
      <c r="F2160" t="str">
        <f t="shared" si="377"/>
        <v>COM</v>
      </c>
      <c r="G2160" t="str">
        <f>"CORA SOCIEDADE DE CREDITO, FINANCIAMENTO E INVESTIMENTO (20035)"</f>
        <v>CORA SOCIEDADE DE CREDITO, FINANCIAMENTO E INVESTIMENTO (20035)</v>
      </c>
      <c r="H2160" t="s">
        <v>75</v>
      </c>
      <c r="I2160" t="str">
        <f>("11/09/2025")</f>
        <v>11/09/2025</v>
      </c>
      <c r="J2160" t="str">
        <f>("01/09/2025")</f>
        <v>01/09/2025</v>
      </c>
      <c r="K2160">
        <v>45912</v>
      </c>
      <c r="N2160">
        <v>401</v>
      </c>
      <c r="O2160" t="s">
        <v>76</v>
      </c>
      <c r="Q2160">
        <v>0.5</v>
      </c>
      <c r="R2160" t="str">
        <f>"CORA SOCIEDADE DE CREDITO, FINANCIAMENTO E INVESTIMENTO (20035)"</f>
        <v>CORA SOCIEDADE DE CREDITO, FINANCIAMENTO E INVESTIMENTO (20035)</v>
      </c>
      <c r="S2160" t="s">
        <v>22</v>
      </c>
      <c r="T2160">
        <v>22210</v>
      </c>
      <c r="U2160">
        <v>25937</v>
      </c>
      <c r="V2160" t="s">
        <v>22</v>
      </c>
    </row>
    <row r="2161" spans="1:22">
      <c r="A2161" t="str">
        <f t="shared" si="368"/>
        <v>12/09/2025</v>
      </c>
      <c r="B2161" t="str">
        <f t="shared" si="378"/>
        <v>SAÍDA</v>
      </c>
      <c r="C2161" t="str">
        <f>"CONHECIMENTO"</f>
        <v>CONHECIMENTO</v>
      </c>
      <c r="D2161" t="str">
        <f>"01092025"</f>
        <v>01092025</v>
      </c>
      <c r="E2161" t="str">
        <f>"2"</f>
        <v>2</v>
      </c>
      <c r="F2161" t="str">
        <f t="shared" si="377"/>
        <v>COM</v>
      </c>
      <c r="G2161" t="str">
        <f>"CORA SOCIEDADE DE CREDITO, FINANCIAMENTO E INVESTIMENTO (20035)"</f>
        <v>CORA SOCIEDADE DE CREDITO, FINANCIAMENTO E INVESTIMENTO (20035)</v>
      </c>
      <c r="H2161" t="str">
        <f>"TAXA BOLETO "</f>
        <v xml:space="preserve">TAXA BOLETO </v>
      </c>
      <c r="I2161" t="str">
        <f>("12/09/2025")</f>
        <v>12/09/2025</v>
      </c>
      <c r="J2161" t="str">
        <f>("01/09/2025")</f>
        <v>01/09/2025</v>
      </c>
      <c r="K2161" t="str">
        <f>("12/09/2025")</f>
        <v>12/09/2025</v>
      </c>
      <c r="L2161">
        <v>1.7</v>
      </c>
      <c r="M2161">
        <v>1.7</v>
      </c>
      <c r="N2161">
        <v>401</v>
      </c>
      <c r="O2161" t="str">
        <f>"IOF/JUROS/DESP.FINANCEIRA"</f>
        <v>IOF/JUROS/DESP.FINANCEIRA</v>
      </c>
      <c r="P2161">
        <v>1.7</v>
      </c>
      <c r="S2161" t="str">
        <f>"BANCO CORA (102)"</f>
        <v>BANCO CORA (102)</v>
      </c>
      <c r="T2161">
        <v>22211</v>
      </c>
      <c r="U2161">
        <v>25948</v>
      </c>
      <c r="V2161" t="s">
        <v>22</v>
      </c>
    </row>
    <row r="2162" spans="1:22">
      <c r="A2162" t="str">
        <f t="shared" si="368"/>
        <v>12/09/2025</v>
      </c>
      <c r="B2162" t="str">
        <f t="shared" si="378"/>
        <v>SAÍDA</v>
      </c>
      <c r="C2162" t="str">
        <f>"CONHECIMENTO"</f>
        <v>CONHECIMENTO</v>
      </c>
      <c r="D2162" t="str">
        <f>"01092025"</f>
        <v>01092025</v>
      </c>
      <c r="E2162" t="str">
        <f>"2"</f>
        <v>2</v>
      </c>
      <c r="F2162" t="str">
        <f t="shared" si="377"/>
        <v>COM</v>
      </c>
      <c r="G2162" t="str">
        <f>"CORA SOCIEDADE DE CREDITO, FINANCIAMENTO E INVESTIMENTO (20035)"</f>
        <v>CORA SOCIEDADE DE CREDITO, FINANCIAMENTO E INVESTIMENTO (20035)</v>
      </c>
      <c r="H2162" t="s">
        <v>75</v>
      </c>
      <c r="I2162" t="str">
        <f>("12/09/2025")</f>
        <v>12/09/2025</v>
      </c>
      <c r="J2162" t="str">
        <f>("01/09/2025")</f>
        <v>01/09/2025</v>
      </c>
      <c r="K2162">
        <v>45912</v>
      </c>
      <c r="N2162">
        <v>401</v>
      </c>
      <c r="O2162" t="s">
        <v>76</v>
      </c>
      <c r="Q2162">
        <v>1.7</v>
      </c>
      <c r="R2162" t="str">
        <f>"CORA SOCIEDADE DE CREDITO, FINANCIAMENTO E INVESTIMENTO (20035)"</f>
        <v>CORA SOCIEDADE DE CREDITO, FINANCIAMENTO E INVESTIMENTO (20035)</v>
      </c>
      <c r="S2162" t="s">
        <v>22</v>
      </c>
      <c r="T2162">
        <v>22211</v>
      </c>
      <c r="U2162">
        <v>25948</v>
      </c>
      <c r="V2162" t="s">
        <v>22</v>
      </c>
    </row>
    <row r="2163" spans="1:22">
      <c r="A2163" t="str">
        <f t="shared" ref="A2163:A2170" si="379">("13/09/2025")</f>
        <v>13/09/2025</v>
      </c>
      <c r="B2163" t="str">
        <f t="shared" si="378"/>
        <v>SAÍDA</v>
      </c>
      <c r="C2163" t="str">
        <f t="shared" ref="C2163:C2197" si="380">"PIX"</f>
        <v>PIX</v>
      </c>
      <c r="D2163" t="str">
        <f>"22054"</f>
        <v>22054</v>
      </c>
      <c r="E2163" t="str">
        <f t="shared" ref="E2163:E2178" si="381">"1"</f>
        <v>1</v>
      </c>
      <c r="F2163" t="str">
        <f t="shared" si="377"/>
        <v>COM</v>
      </c>
      <c r="G2163" t="str">
        <f>"WILDES ALVES CERQUEIRA ALMEIDA (874)"</f>
        <v>WILDES ALVES CERQUEIRA ALMEIDA (874)</v>
      </c>
      <c r="H2163" t="str">
        <f>"Serv.Prest. 08/09/2025 a 14/09/2025 - PIX: CELULAR - CHAVE: (73) 98155-8496"</f>
        <v>Serv.Prest. 08/09/2025 a 14/09/2025 - PIX: CELULAR - CHAVE: (73) 98155-8496</v>
      </c>
      <c r="I2163" t="str">
        <f>("25/09/2025")</f>
        <v>25/09/2025</v>
      </c>
      <c r="J2163" t="str">
        <f>("15/09/2025")</f>
        <v>15/09/2025</v>
      </c>
      <c r="K2163" t="str">
        <f>("13/09/2025")</f>
        <v>13/09/2025</v>
      </c>
      <c r="L2163">
        <v>120</v>
      </c>
      <c r="M2163">
        <v>120</v>
      </c>
      <c r="N2163">
        <v>109</v>
      </c>
      <c r="O2163" t="str">
        <f>"PAGAMENTO DE ENTREGADORES"</f>
        <v>PAGAMENTO DE ENTREGADORES</v>
      </c>
      <c r="P2163">
        <v>120</v>
      </c>
      <c r="S2163" t="str">
        <f>"BANCO CORA (102)"</f>
        <v>BANCO CORA (102)</v>
      </c>
      <c r="T2163">
        <v>18265</v>
      </c>
      <c r="U2163">
        <v>22202</v>
      </c>
      <c r="V2163" t="s">
        <v>22</v>
      </c>
    </row>
    <row r="2164" spans="1:22">
      <c r="A2164" t="str">
        <f t="shared" si="379"/>
        <v>13/09/2025</v>
      </c>
      <c r="B2164" t="str">
        <f t="shared" si="378"/>
        <v>SAÍDA</v>
      </c>
      <c r="C2164" t="str">
        <f t="shared" si="380"/>
        <v>PIX</v>
      </c>
      <c r="D2164" t="str">
        <f>"22054"</f>
        <v>22054</v>
      </c>
      <c r="E2164" t="str">
        <f t="shared" si="381"/>
        <v>1</v>
      </c>
      <c r="F2164" t="str">
        <f t="shared" si="377"/>
        <v>COM</v>
      </c>
      <c r="G2164" t="str">
        <f>"WILDES ALVES CERQUEIRA ALMEIDA (874)"</f>
        <v>WILDES ALVES CERQUEIRA ALMEIDA (874)</v>
      </c>
      <c r="H2164" t="s">
        <v>367</v>
      </c>
      <c r="I2164" t="str">
        <f>("25/09/2025")</f>
        <v>25/09/2025</v>
      </c>
      <c r="J2164" t="str">
        <f>("15/09/2025")</f>
        <v>15/09/2025</v>
      </c>
      <c r="K2164">
        <v>45913</v>
      </c>
      <c r="N2164">
        <v>109</v>
      </c>
      <c r="O2164" t="s">
        <v>24</v>
      </c>
      <c r="Q2164">
        <v>120</v>
      </c>
      <c r="R2164" t="str">
        <f>"FARMÁCIA INDIANA LJ 65 (10030)"</f>
        <v>FARMÁCIA INDIANA LJ 65 (10030)</v>
      </c>
      <c r="S2164" t="s">
        <v>22</v>
      </c>
      <c r="T2164">
        <v>18265</v>
      </c>
      <c r="U2164">
        <v>22202</v>
      </c>
      <c r="V2164" t="s">
        <v>22</v>
      </c>
    </row>
    <row r="2165" spans="1:22">
      <c r="A2165" t="str">
        <f t="shared" si="379"/>
        <v>13/09/2025</v>
      </c>
      <c r="B2165" t="str">
        <f t="shared" si="378"/>
        <v>SAÍDA</v>
      </c>
      <c r="C2165" t="str">
        <f t="shared" si="380"/>
        <v>PIX</v>
      </c>
      <c r="D2165" t="str">
        <f>"22187"</f>
        <v>22187</v>
      </c>
      <c r="E2165" t="str">
        <f t="shared" si="381"/>
        <v>1</v>
      </c>
      <c r="F2165" t="str">
        <f t="shared" si="377"/>
        <v>COM</v>
      </c>
      <c r="G2165" t="str">
        <f>"WILLIAM DA SILVA COSTA (655)"</f>
        <v>WILLIAM DA SILVA COSTA (655)</v>
      </c>
      <c r="H2165" t="str">
        <f>"Serv.Prest. 08/09/2025 a 14/09/2025 - PIX: CELULAR - CHAVE: (64) 97400-9101"</f>
        <v>Serv.Prest. 08/09/2025 a 14/09/2025 - PIX: CELULAR - CHAVE: (64) 97400-9101</v>
      </c>
      <c r="I2165" t="str">
        <f>("18/09/2025")</f>
        <v>18/09/2025</v>
      </c>
      <c r="J2165" t="str">
        <f>("16/09/2025")</f>
        <v>16/09/2025</v>
      </c>
      <c r="K2165" t="str">
        <f>("13/09/2025")</f>
        <v>13/09/2025</v>
      </c>
      <c r="L2165">
        <v>110</v>
      </c>
      <c r="M2165">
        <v>110</v>
      </c>
      <c r="N2165">
        <v>109</v>
      </c>
      <c r="O2165" t="str">
        <f>"PAGAMENTO DE ENTREGADORES"</f>
        <v>PAGAMENTO DE ENTREGADORES</v>
      </c>
      <c r="P2165">
        <v>110</v>
      </c>
      <c r="S2165" t="str">
        <f>"BANCO CORA (102)"</f>
        <v>BANCO CORA (102)</v>
      </c>
      <c r="T2165">
        <v>18269</v>
      </c>
      <c r="U2165">
        <v>22204</v>
      </c>
      <c r="V2165" t="s">
        <v>22</v>
      </c>
    </row>
    <row r="2166" spans="1:22">
      <c r="A2166" t="str">
        <f t="shared" si="379"/>
        <v>13/09/2025</v>
      </c>
      <c r="B2166" t="str">
        <f t="shared" si="378"/>
        <v>SAÍDA</v>
      </c>
      <c r="C2166" t="str">
        <f t="shared" si="380"/>
        <v>PIX</v>
      </c>
      <c r="D2166" t="str">
        <f>"22187"</f>
        <v>22187</v>
      </c>
      <c r="E2166" t="str">
        <f t="shared" si="381"/>
        <v>1</v>
      </c>
      <c r="F2166" t="str">
        <f t="shared" si="377"/>
        <v>COM</v>
      </c>
      <c r="G2166" t="str">
        <f>"WILLIAM DA SILVA COSTA (655)"</f>
        <v>WILLIAM DA SILVA COSTA (655)</v>
      </c>
      <c r="H2166" t="s">
        <v>564</v>
      </c>
      <c r="I2166" t="str">
        <f>("18/09/2025")</f>
        <v>18/09/2025</v>
      </c>
      <c r="J2166" t="str">
        <f>("16/09/2025")</f>
        <v>16/09/2025</v>
      </c>
      <c r="K2166">
        <v>45913</v>
      </c>
      <c r="N2166">
        <v>109</v>
      </c>
      <c r="O2166" t="s">
        <v>24</v>
      </c>
      <c r="Q2166">
        <v>110</v>
      </c>
      <c r="R2166" t="str">
        <f>"FARMACIA ECONOMIZE (10103)"</f>
        <v>FARMACIA ECONOMIZE (10103)</v>
      </c>
      <c r="S2166" t="s">
        <v>22</v>
      </c>
      <c r="T2166">
        <v>18269</v>
      </c>
      <c r="U2166">
        <v>22204</v>
      </c>
      <c r="V2166" t="s">
        <v>22</v>
      </c>
    </row>
    <row r="2167" spans="1:22">
      <c r="A2167" t="str">
        <f t="shared" si="379"/>
        <v>13/09/2025</v>
      </c>
      <c r="B2167" t="str">
        <f t="shared" si="378"/>
        <v>SAÍDA</v>
      </c>
      <c r="C2167" t="str">
        <f t="shared" si="380"/>
        <v>PIX</v>
      </c>
      <c r="D2167" t="str">
        <f>"22107"</f>
        <v>22107</v>
      </c>
      <c r="E2167" t="str">
        <f t="shared" si="381"/>
        <v>1</v>
      </c>
      <c r="F2167" t="str">
        <f t="shared" si="377"/>
        <v>COM</v>
      </c>
      <c r="G2167" t="str">
        <f>"JUSSARA CRISTINA FARIA (783)"</f>
        <v>JUSSARA CRISTINA FARIA (783)</v>
      </c>
      <c r="H2167" t="str">
        <f>"Serv.Prest. 08/09/2025 a 14/09/2025 - PIX: CELULAR - CHAVE: (31) 99373-5678"</f>
        <v>Serv.Prest. 08/09/2025 a 14/09/2025 - PIX: CELULAR - CHAVE: (31) 99373-5678</v>
      </c>
      <c r="I2167" t="str">
        <f>("25/09/2025")</f>
        <v>25/09/2025</v>
      </c>
      <c r="J2167" t="str">
        <f>("16/09/2025")</f>
        <v>16/09/2025</v>
      </c>
      <c r="K2167" t="str">
        <f>("13/09/2025")</f>
        <v>13/09/2025</v>
      </c>
      <c r="L2167">
        <v>150</v>
      </c>
      <c r="M2167">
        <v>150</v>
      </c>
      <c r="N2167">
        <v>109</v>
      </c>
      <c r="O2167" t="str">
        <f>"PAGAMENTO DE ENTREGADORES"</f>
        <v>PAGAMENTO DE ENTREGADORES</v>
      </c>
      <c r="P2167">
        <v>150</v>
      </c>
      <c r="S2167" t="str">
        <f>"BANCO CORA (102)"</f>
        <v>BANCO CORA (102)</v>
      </c>
      <c r="T2167">
        <v>18270</v>
      </c>
      <c r="U2167">
        <v>22107</v>
      </c>
      <c r="V2167" t="s">
        <v>22</v>
      </c>
    </row>
    <row r="2168" spans="1:22">
      <c r="A2168" t="str">
        <f t="shared" si="379"/>
        <v>13/09/2025</v>
      </c>
      <c r="B2168" t="str">
        <f t="shared" si="378"/>
        <v>SAÍDA</v>
      </c>
      <c r="C2168" t="str">
        <f t="shared" si="380"/>
        <v>PIX</v>
      </c>
      <c r="D2168" t="str">
        <f>"22107"</f>
        <v>22107</v>
      </c>
      <c r="E2168" t="str">
        <f t="shared" si="381"/>
        <v>1</v>
      </c>
      <c r="F2168" t="str">
        <f t="shared" si="377"/>
        <v>COM</v>
      </c>
      <c r="G2168" t="str">
        <f>"JUSSARA CRISTINA FARIA (783)"</f>
        <v>JUSSARA CRISTINA FARIA (783)</v>
      </c>
      <c r="H2168" t="s">
        <v>565</v>
      </c>
      <c r="I2168" t="str">
        <f>("25/09/2025")</f>
        <v>25/09/2025</v>
      </c>
      <c r="J2168" t="str">
        <f>("16/09/2025")</f>
        <v>16/09/2025</v>
      </c>
      <c r="K2168">
        <v>45913</v>
      </c>
      <c r="N2168">
        <v>109</v>
      </c>
      <c r="O2168" t="s">
        <v>24</v>
      </c>
      <c r="Q2168">
        <v>150</v>
      </c>
      <c r="R2168" t="str">
        <f>"FARMÁCIA INDIANA LJ 110 (10048)"</f>
        <v>FARMÁCIA INDIANA LJ 110 (10048)</v>
      </c>
      <c r="S2168" t="s">
        <v>22</v>
      </c>
      <c r="T2168">
        <v>18270</v>
      </c>
      <c r="U2168">
        <v>22107</v>
      </c>
      <c r="V2168" t="s">
        <v>22</v>
      </c>
    </row>
    <row r="2169" spans="1:22">
      <c r="A2169" t="str">
        <f t="shared" si="379"/>
        <v>13/09/2025</v>
      </c>
      <c r="B2169" t="str">
        <f t="shared" si="378"/>
        <v>SAÍDA</v>
      </c>
      <c r="C2169" t="str">
        <f t="shared" si="380"/>
        <v>PIX</v>
      </c>
      <c r="D2169" t="str">
        <f>"22023"</f>
        <v>22023</v>
      </c>
      <c r="E2169" t="str">
        <f t="shared" si="381"/>
        <v>1</v>
      </c>
      <c r="F2169" t="str">
        <f t="shared" si="377"/>
        <v>COM</v>
      </c>
      <c r="G2169" t="str">
        <f>"RENATO ALVES BATISTA (935)"</f>
        <v>RENATO ALVES BATISTA (935)</v>
      </c>
      <c r="H2169" t="str">
        <f>"Serv.Prest. 08/09/2025 a 14/09/2025 - PIX: CPF - CHAVE: 900.512.622-15"</f>
        <v>Serv.Prest. 08/09/2025 a 14/09/2025 - PIX: CPF - CHAVE: 900.512.622-15</v>
      </c>
      <c r="I2169" t="str">
        <f>("18/09/2025")</f>
        <v>18/09/2025</v>
      </c>
      <c r="J2169" t="str">
        <f>("15/09/2025")</f>
        <v>15/09/2025</v>
      </c>
      <c r="K2169" t="str">
        <f>("13/09/2025")</f>
        <v>13/09/2025</v>
      </c>
      <c r="L2169">
        <v>147</v>
      </c>
      <c r="M2169">
        <v>147</v>
      </c>
      <c r="N2169">
        <v>109</v>
      </c>
      <c r="O2169" t="str">
        <f>"PAGAMENTO DE ENTREGADORES"</f>
        <v>PAGAMENTO DE ENTREGADORES</v>
      </c>
      <c r="P2169">
        <v>147</v>
      </c>
      <c r="S2169" t="str">
        <f>"BANCO CORA (102)"</f>
        <v>BANCO CORA (102)</v>
      </c>
      <c r="T2169">
        <v>18277</v>
      </c>
      <c r="U2169">
        <v>22023</v>
      </c>
      <c r="V2169" t="s">
        <v>22</v>
      </c>
    </row>
    <row r="2170" spans="1:22">
      <c r="A2170" t="str">
        <f t="shared" si="379"/>
        <v>13/09/2025</v>
      </c>
      <c r="B2170" t="str">
        <f t="shared" si="378"/>
        <v>SAÍDA</v>
      </c>
      <c r="C2170" t="str">
        <f t="shared" si="380"/>
        <v>PIX</v>
      </c>
      <c r="D2170" t="str">
        <f>"22023"</f>
        <v>22023</v>
      </c>
      <c r="E2170" t="str">
        <f t="shared" si="381"/>
        <v>1</v>
      </c>
      <c r="F2170" t="str">
        <f t="shared" si="377"/>
        <v>COM</v>
      </c>
      <c r="G2170" t="str">
        <f>"RENATO ALVES BATISTA (935)"</f>
        <v>RENATO ALVES BATISTA (935)</v>
      </c>
      <c r="H2170" t="s">
        <v>566</v>
      </c>
      <c r="I2170" t="str">
        <f>("18/09/2025")</f>
        <v>18/09/2025</v>
      </c>
      <c r="J2170" t="str">
        <f>("15/09/2025")</f>
        <v>15/09/2025</v>
      </c>
      <c r="K2170">
        <v>45913</v>
      </c>
      <c r="N2170">
        <v>109</v>
      </c>
      <c r="O2170" t="s">
        <v>24</v>
      </c>
      <c r="Q2170">
        <v>147</v>
      </c>
      <c r="R2170" t="str">
        <f>"DROGARIA MEDIC CENTER LTDA (10172)"</f>
        <v>DROGARIA MEDIC CENTER LTDA (10172)</v>
      </c>
      <c r="S2170" t="s">
        <v>22</v>
      </c>
      <c r="T2170">
        <v>18277</v>
      </c>
      <c r="U2170">
        <v>22023</v>
      </c>
      <c r="V2170" t="s">
        <v>22</v>
      </c>
    </row>
    <row r="2171" spans="1:22">
      <c r="A2171" t="str">
        <f>("14/09/2025")</f>
        <v>14/09/2025</v>
      </c>
      <c r="B2171" t="str">
        <f t="shared" si="378"/>
        <v>SAÍDA</v>
      </c>
      <c r="C2171" t="str">
        <f t="shared" si="380"/>
        <v>PIX</v>
      </c>
      <c r="D2171" t="str">
        <f>"22195"</f>
        <v>22195</v>
      </c>
      <c r="E2171" t="str">
        <f t="shared" si="381"/>
        <v>1</v>
      </c>
      <c r="F2171" t="str">
        <f t="shared" si="377"/>
        <v>COM</v>
      </c>
      <c r="G2171" t="str">
        <f>"VANDERLEI PEREIRA CARVALHO (929)"</f>
        <v>VANDERLEI PEREIRA CARVALHO (929)</v>
      </c>
      <c r="H2171" t="str">
        <f>"Serv.Prest. 08/09/2025 a 14/09/2025 - PIX: CELULAR - CHAVE: (27) 99650-9691"</f>
        <v>Serv.Prest. 08/09/2025 a 14/09/2025 - PIX: CELULAR - CHAVE: (27) 99650-9691</v>
      </c>
      <c r="I2171" t="str">
        <f t="shared" ref="I2171:I2178" si="382">("25/09/2025")</f>
        <v>25/09/2025</v>
      </c>
      <c r="J2171" t="str">
        <f>("16/09/2025")</f>
        <v>16/09/2025</v>
      </c>
      <c r="K2171" t="str">
        <f>("14/09/2025")</f>
        <v>14/09/2025</v>
      </c>
      <c r="L2171">
        <v>900</v>
      </c>
      <c r="M2171">
        <v>900</v>
      </c>
      <c r="N2171">
        <v>109</v>
      </c>
      <c r="O2171" t="str">
        <f>"PAGAMENTO DE ENTREGADORES"</f>
        <v>PAGAMENTO DE ENTREGADORES</v>
      </c>
      <c r="P2171">
        <v>900</v>
      </c>
      <c r="S2171" t="str">
        <f>"BANCO CORA (102)"</f>
        <v>BANCO CORA (102)</v>
      </c>
      <c r="T2171">
        <v>18261</v>
      </c>
      <c r="U2171">
        <v>22195</v>
      </c>
      <c r="V2171" t="s">
        <v>22</v>
      </c>
    </row>
    <row r="2172" spans="1:22">
      <c r="A2172" t="str">
        <f>("14/09/2025")</f>
        <v>14/09/2025</v>
      </c>
      <c r="B2172" t="str">
        <f t="shared" si="378"/>
        <v>SAÍDA</v>
      </c>
      <c r="C2172" t="str">
        <f t="shared" si="380"/>
        <v>PIX</v>
      </c>
      <c r="D2172" t="str">
        <f>"22195"</f>
        <v>22195</v>
      </c>
      <c r="E2172" t="str">
        <f t="shared" si="381"/>
        <v>1</v>
      </c>
      <c r="F2172" t="str">
        <f t="shared" si="377"/>
        <v>COM</v>
      </c>
      <c r="G2172" t="str">
        <f>"VANDERLEI PEREIRA CARVALHO (929)"</f>
        <v>VANDERLEI PEREIRA CARVALHO (929)</v>
      </c>
      <c r="H2172" t="s">
        <v>567</v>
      </c>
      <c r="I2172" t="str">
        <f t="shared" si="382"/>
        <v>25/09/2025</v>
      </c>
      <c r="J2172" t="str">
        <f>("16/09/2025")</f>
        <v>16/09/2025</v>
      </c>
      <c r="K2172">
        <v>45914</v>
      </c>
      <c r="N2172">
        <v>109</v>
      </c>
      <c r="O2172" t="s">
        <v>24</v>
      </c>
      <c r="Q2172">
        <v>900</v>
      </c>
      <c r="R2172" t="str">
        <f>"FARMÁCIA INDIANA LJ 119 (10053)"</f>
        <v>FARMÁCIA INDIANA LJ 119 (10053)</v>
      </c>
      <c r="S2172" t="s">
        <v>22</v>
      </c>
      <c r="T2172">
        <v>18261</v>
      </c>
      <c r="U2172">
        <v>22195</v>
      </c>
      <c r="V2172" t="s">
        <v>22</v>
      </c>
    </row>
    <row r="2173" spans="1:22">
      <c r="A2173" t="str">
        <f>("14/09/2025")</f>
        <v>14/09/2025</v>
      </c>
      <c r="B2173" t="str">
        <f t="shared" si="378"/>
        <v>SAÍDA</v>
      </c>
      <c r="C2173" t="str">
        <f t="shared" si="380"/>
        <v>PIX</v>
      </c>
      <c r="D2173" t="str">
        <f>"22054"</f>
        <v>22054</v>
      </c>
      <c r="E2173" t="str">
        <f t="shared" si="381"/>
        <v>1</v>
      </c>
      <c r="F2173" t="str">
        <f t="shared" si="377"/>
        <v>COM</v>
      </c>
      <c r="G2173" t="str">
        <f>"WILDES ALVES CERQUEIRA ALMEIDA (874)"</f>
        <v>WILDES ALVES CERQUEIRA ALMEIDA (874)</v>
      </c>
      <c r="H2173" t="str">
        <f>"Serv.Prest. 08/09/2025 a 14/09/2025 - PIX: CELULAR - CHAVE: (73) 98155-8496"</f>
        <v>Serv.Prest. 08/09/2025 a 14/09/2025 - PIX: CELULAR - CHAVE: (73) 98155-8496</v>
      </c>
      <c r="I2173" t="str">
        <f t="shared" si="382"/>
        <v>25/09/2025</v>
      </c>
      <c r="J2173" t="str">
        <f>("15/09/2025")</f>
        <v>15/09/2025</v>
      </c>
      <c r="K2173" t="str">
        <f>("14/09/2025")</f>
        <v>14/09/2025</v>
      </c>
      <c r="L2173">
        <v>120</v>
      </c>
      <c r="M2173">
        <v>120</v>
      </c>
      <c r="N2173">
        <v>109</v>
      </c>
      <c r="O2173" t="str">
        <f>"PAGAMENTO DE ENTREGADORES"</f>
        <v>PAGAMENTO DE ENTREGADORES</v>
      </c>
      <c r="P2173">
        <v>120</v>
      </c>
      <c r="S2173" t="str">
        <f>"BANCO CORA (102)"</f>
        <v>BANCO CORA (102)</v>
      </c>
      <c r="T2173">
        <v>18266</v>
      </c>
      <c r="U2173">
        <v>22203</v>
      </c>
      <c r="V2173" t="s">
        <v>22</v>
      </c>
    </row>
    <row r="2174" spans="1:22">
      <c r="A2174" t="str">
        <f>("14/09/2025")</f>
        <v>14/09/2025</v>
      </c>
      <c r="B2174" t="str">
        <f t="shared" si="378"/>
        <v>SAÍDA</v>
      </c>
      <c r="C2174" t="str">
        <f t="shared" si="380"/>
        <v>PIX</v>
      </c>
      <c r="D2174" t="str">
        <f>"22054"</f>
        <v>22054</v>
      </c>
      <c r="E2174" t="str">
        <f t="shared" si="381"/>
        <v>1</v>
      </c>
      <c r="F2174" t="str">
        <f t="shared" si="377"/>
        <v>COM</v>
      </c>
      <c r="G2174" t="str">
        <f>"WILDES ALVES CERQUEIRA ALMEIDA (874)"</f>
        <v>WILDES ALVES CERQUEIRA ALMEIDA (874)</v>
      </c>
      <c r="H2174" t="s">
        <v>367</v>
      </c>
      <c r="I2174" t="str">
        <f t="shared" si="382"/>
        <v>25/09/2025</v>
      </c>
      <c r="J2174" t="str">
        <f>("15/09/2025")</f>
        <v>15/09/2025</v>
      </c>
      <c r="K2174">
        <v>45914</v>
      </c>
      <c r="N2174">
        <v>109</v>
      </c>
      <c r="O2174" t="s">
        <v>24</v>
      </c>
      <c r="Q2174">
        <v>120</v>
      </c>
      <c r="R2174" t="str">
        <f>"FARMÁCIA INDIANA LJ 65 (10030)"</f>
        <v>FARMÁCIA INDIANA LJ 65 (10030)</v>
      </c>
      <c r="S2174" t="s">
        <v>22</v>
      </c>
      <c r="T2174">
        <v>18266</v>
      </c>
      <c r="U2174">
        <v>22203</v>
      </c>
      <c r="V2174" t="s">
        <v>22</v>
      </c>
    </row>
    <row r="2175" spans="1:22">
      <c r="A2175" t="str">
        <f t="shared" ref="A2175:A2206" si="383">("15/09/2025")</f>
        <v>15/09/2025</v>
      </c>
      <c r="B2175" t="str">
        <f t="shared" si="378"/>
        <v>SAÍDA</v>
      </c>
      <c r="C2175" t="str">
        <f t="shared" si="380"/>
        <v>PIX</v>
      </c>
      <c r="D2175" t="str">
        <f>"22037"</f>
        <v>22037</v>
      </c>
      <c r="E2175" t="str">
        <f t="shared" si="381"/>
        <v>1</v>
      </c>
      <c r="F2175" t="str">
        <f t="shared" si="377"/>
        <v>COM</v>
      </c>
      <c r="G2175" t="str">
        <f>"GILSON OLIVEIRA CAMPINHO JUNIOR (132)"</f>
        <v>GILSON OLIVEIRA CAMPINHO JUNIOR (132)</v>
      </c>
      <c r="H2175" t="str">
        <f>"Serv.Prest. 08/09/2025 a 14/09/2025 - PIX: CELULAR - CHAVE: (73) 988381077"</f>
        <v>Serv.Prest. 08/09/2025 a 14/09/2025 - PIX: CELULAR - CHAVE: (73) 988381077</v>
      </c>
      <c r="I2175" t="str">
        <f t="shared" si="382"/>
        <v>25/09/2025</v>
      </c>
      <c r="J2175" t="str">
        <f>("15/09/2025")</f>
        <v>15/09/2025</v>
      </c>
      <c r="K2175" t="str">
        <f>("15/09/2025")</f>
        <v>15/09/2025</v>
      </c>
      <c r="L2175">
        <v>1140</v>
      </c>
      <c r="M2175">
        <v>1140</v>
      </c>
      <c r="N2175">
        <v>109</v>
      </c>
      <c r="O2175" t="str">
        <f>"PAGAMENTO DE ENTREGADORES"</f>
        <v>PAGAMENTO DE ENTREGADORES</v>
      </c>
      <c r="P2175">
        <v>1140</v>
      </c>
      <c r="S2175" t="str">
        <f>"BANCO CORA (102)"</f>
        <v>BANCO CORA (102)</v>
      </c>
      <c r="T2175">
        <v>18258</v>
      </c>
      <c r="U2175">
        <v>22037</v>
      </c>
      <c r="V2175" t="s">
        <v>22</v>
      </c>
    </row>
    <row r="2176" spans="1:22">
      <c r="A2176" t="str">
        <f t="shared" si="383"/>
        <v>15/09/2025</v>
      </c>
      <c r="B2176" t="str">
        <f t="shared" si="378"/>
        <v>SAÍDA</v>
      </c>
      <c r="C2176" t="str">
        <f t="shared" si="380"/>
        <v>PIX</v>
      </c>
      <c r="D2176" t="str">
        <f>"22037"</f>
        <v>22037</v>
      </c>
      <c r="E2176" t="str">
        <f t="shared" si="381"/>
        <v>1</v>
      </c>
      <c r="F2176" t="str">
        <f t="shared" si="377"/>
        <v>COM</v>
      </c>
      <c r="G2176" t="str">
        <f>"GILSON OLIVEIRA CAMPINHO JUNIOR (132)"</f>
        <v>GILSON OLIVEIRA CAMPINHO JUNIOR (132)</v>
      </c>
      <c r="H2176" t="s">
        <v>568</v>
      </c>
      <c r="I2176" t="str">
        <f t="shared" si="382"/>
        <v>25/09/2025</v>
      </c>
      <c r="J2176" t="str">
        <f>("15/09/2025")</f>
        <v>15/09/2025</v>
      </c>
      <c r="K2176">
        <v>45915</v>
      </c>
      <c r="N2176">
        <v>109</v>
      </c>
      <c r="O2176" t="s">
        <v>24</v>
      </c>
      <c r="Q2176">
        <v>1140</v>
      </c>
      <c r="R2176" t="str">
        <f>"FARMÁCIA INDIANA LJ 91 (10037)"</f>
        <v>FARMÁCIA INDIANA LJ 91 (10037)</v>
      </c>
      <c r="S2176" t="s">
        <v>22</v>
      </c>
      <c r="T2176">
        <v>18258</v>
      </c>
      <c r="U2176">
        <v>22037</v>
      </c>
      <c r="V2176" t="s">
        <v>22</v>
      </c>
    </row>
    <row r="2177" spans="1:22">
      <c r="A2177" t="str">
        <f t="shared" si="383"/>
        <v>15/09/2025</v>
      </c>
      <c r="B2177" t="str">
        <f t="shared" si="378"/>
        <v>SAÍDA</v>
      </c>
      <c r="C2177" t="str">
        <f t="shared" si="380"/>
        <v>PIX</v>
      </c>
      <c r="D2177" t="str">
        <f>"22103"</f>
        <v>22103</v>
      </c>
      <c r="E2177" t="str">
        <f t="shared" si="381"/>
        <v>1</v>
      </c>
      <c r="F2177" t="str">
        <f t="shared" si="377"/>
        <v>COM</v>
      </c>
      <c r="G2177" t="str">
        <f>"JOSE ERIC SILVA MACENA (854)"</f>
        <v>JOSE ERIC SILVA MACENA (854)</v>
      </c>
      <c r="H2177" t="str">
        <f>"Serv.Prest. 08/09/2025 a 14/09/2025 - PIX: E-MAIL - CHAVE: ericsilva8marcena@gmail.com"</f>
        <v>Serv.Prest. 08/09/2025 a 14/09/2025 - PIX: E-MAIL - CHAVE: ericsilva8marcena@gmail.com</v>
      </c>
      <c r="I2177" t="str">
        <f t="shared" si="382"/>
        <v>25/09/2025</v>
      </c>
      <c r="J2177" t="str">
        <f>("16/09/2025")</f>
        <v>16/09/2025</v>
      </c>
      <c r="K2177" t="str">
        <f>("15/09/2025")</f>
        <v>15/09/2025</v>
      </c>
      <c r="L2177">
        <v>180</v>
      </c>
      <c r="M2177">
        <v>180</v>
      </c>
      <c r="N2177">
        <v>109</v>
      </c>
      <c r="O2177" t="str">
        <f>"PAGAMENTO DE ENTREGADORES"</f>
        <v>PAGAMENTO DE ENTREGADORES</v>
      </c>
      <c r="P2177">
        <v>180</v>
      </c>
      <c r="S2177" t="str">
        <f>"BANCO CORA (102)"</f>
        <v>BANCO CORA (102)</v>
      </c>
      <c r="T2177">
        <v>18267</v>
      </c>
      <c r="U2177">
        <v>22103</v>
      </c>
      <c r="V2177" t="s">
        <v>22</v>
      </c>
    </row>
    <row r="2178" spans="1:22">
      <c r="A2178" t="str">
        <f t="shared" si="383"/>
        <v>15/09/2025</v>
      </c>
      <c r="B2178" t="str">
        <f t="shared" si="378"/>
        <v>SAÍDA</v>
      </c>
      <c r="C2178" t="str">
        <f t="shared" si="380"/>
        <v>PIX</v>
      </c>
      <c r="D2178" t="str">
        <f>"22103"</f>
        <v>22103</v>
      </c>
      <c r="E2178" t="str">
        <f t="shared" si="381"/>
        <v>1</v>
      </c>
      <c r="F2178" t="str">
        <f t="shared" si="377"/>
        <v>COM</v>
      </c>
      <c r="G2178" t="str">
        <f>"JOSE ERIC SILVA MACENA (854)"</f>
        <v>JOSE ERIC SILVA MACENA (854)</v>
      </c>
      <c r="H2178" t="s">
        <v>569</v>
      </c>
      <c r="I2178" t="str">
        <f t="shared" si="382"/>
        <v>25/09/2025</v>
      </c>
      <c r="J2178" t="str">
        <f>("16/09/2025")</f>
        <v>16/09/2025</v>
      </c>
      <c r="K2178">
        <v>45915</v>
      </c>
      <c r="N2178">
        <v>109</v>
      </c>
      <c r="O2178" t="s">
        <v>24</v>
      </c>
      <c r="Q2178">
        <v>180</v>
      </c>
      <c r="R2178" t="str">
        <f>"FARMÁCIA INDIANA LJ 101 (10043)"</f>
        <v>FARMÁCIA INDIANA LJ 101 (10043)</v>
      </c>
      <c r="S2178" t="s">
        <v>22</v>
      </c>
      <c r="T2178">
        <v>18267</v>
      </c>
      <c r="U2178">
        <v>22103</v>
      </c>
      <c r="V2178" t="s">
        <v>22</v>
      </c>
    </row>
    <row r="2179" spans="1:22">
      <c r="A2179" t="str">
        <f t="shared" si="383"/>
        <v>15/09/2025</v>
      </c>
      <c r="B2179" t="str">
        <f t="shared" si="378"/>
        <v>SAÍDA</v>
      </c>
      <c r="C2179" t="str">
        <f t="shared" si="380"/>
        <v>PIX</v>
      </c>
      <c r="D2179" t="str">
        <f>"1509"</f>
        <v>1509</v>
      </c>
      <c r="E2179" t="str">
        <f>"25"</f>
        <v>25</v>
      </c>
      <c r="F2179" t="str">
        <f t="shared" si="377"/>
        <v>COM</v>
      </c>
      <c r="G2179" t="str">
        <f>"WILLIAM DA SILVA COSTA (655)"</f>
        <v>WILLIAM DA SILVA COSTA (655)</v>
      </c>
      <c r="H2179" t="str">
        <f>"PAGAMENTO LIDERANÇA REF. MES 08/2025 - PIX: CELULAR - CHAVE: (64) 97400-9101"</f>
        <v>PAGAMENTO LIDERANÇA REF. MES 08/2025 - PIX: CELULAR - CHAVE: (64) 97400-9101</v>
      </c>
      <c r="I2179" t="str">
        <f>("15/09/2025")</f>
        <v>15/09/2025</v>
      </c>
      <c r="J2179" t="str">
        <f>("30/08/2025")</f>
        <v>30/08/2025</v>
      </c>
      <c r="K2179" t="str">
        <f>("15/09/2025")</f>
        <v>15/09/2025</v>
      </c>
      <c r="L2179">
        <v>200</v>
      </c>
      <c r="M2179">
        <v>200</v>
      </c>
      <c r="N2179">
        <v>120</v>
      </c>
      <c r="O2179" t="str">
        <f>"PAGAMENTO COMISSAO LIDERES"</f>
        <v>PAGAMENTO COMISSAO LIDERES</v>
      </c>
      <c r="P2179">
        <v>200</v>
      </c>
      <c r="S2179" t="str">
        <f>"BANCO CORA (102)"</f>
        <v>BANCO CORA (102)</v>
      </c>
      <c r="T2179">
        <v>18268</v>
      </c>
      <c r="U2179">
        <v>21941</v>
      </c>
      <c r="V2179" t="s">
        <v>22</v>
      </c>
    </row>
    <row r="2180" spans="1:22">
      <c r="A2180" t="str">
        <f t="shared" si="383"/>
        <v>15/09/2025</v>
      </c>
      <c r="B2180" t="str">
        <f t="shared" si="378"/>
        <v>SAÍDA</v>
      </c>
      <c r="C2180" t="str">
        <f t="shared" si="380"/>
        <v>PIX</v>
      </c>
      <c r="D2180" t="str">
        <f>"1509"</f>
        <v>1509</v>
      </c>
      <c r="E2180" t="str">
        <f>"25"</f>
        <v>25</v>
      </c>
      <c r="F2180" t="str">
        <f t="shared" si="377"/>
        <v>COM</v>
      </c>
      <c r="G2180" t="str">
        <f>"WILLIAM DA SILVA COSTA (655)"</f>
        <v>WILLIAM DA SILVA COSTA (655)</v>
      </c>
      <c r="H2180" t="s">
        <v>570</v>
      </c>
      <c r="I2180" t="str">
        <f>("15/09/2025")</f>
        <v>15/09/2025</v>
      </c>
      <c r="J2180" t="str">
        <f>("30/08/2025")</f>
        <v>30/08/2025</v>
      </c>
      <c r="K2180">
        <v>45915</v>
      </c>
      <c r="N2180">
        <v>120</v>
      </c>
      <c r="O2180" t="s">
        <v>306</v>
      </c>
      <c r="Q2180">
        <v>200</v>
      </c>
      <c r="R2180" t="str">
        <f>"FARMACIA ECONOMIZE (10103)"</f>
        <v>FARMACIA ECONOMIZE (10103)</v>
      </c>
      <c r="S2180" t="s">
        <v>22</v>
      </c>
      <c r="T2180">
        <v>18268</v>
      </c>
      <c r="U2180">
        <v>21941</v>
      </c>
      <c r="V2180" t="s">
        <v>22</v>
      </c>
    </row>
    <row r="2181" spans="1:22">
      <c r="A2181" t="str">
        <f t="shared" si="383"/>
        <v>15/09/2025</v>
      </c>
      <c r="B2181" t="str">
        <f t="shared" si="378"/>
        <v>SAÍDA</v>
      </c>
      <c r="C2181" t="str">
        <f t="shared" si="380"/>
        <v>PIX</v>
      </c>
      <c r="D2181" t="str">
        <f>"22107"</f>
        <v>22107</v>
      </c>
      <c r="E2181" t="str">
        <f>"1"</f>
        <v>1</v>
      </c>
      <c r="F2181" t="str">
        <f t="shared" si="377"/>
        <v>COM</v>
      </c>
      <c r="G2181" t="str">
        <f>"JUSSARA CRISTINA FARIA (783)"</f>
        <v>JUSSARA CRISTINA FARIA (783)</v>
      </c>
      <c r="H2181" t="str">
        <f>"Serv.Prest. 08/09/2025 a 14/09/2025 - PIX: CELULAR - CHAVE: (31) 99373-5678"</f>
        <v>Serv.Prest. 08/09/2025 a 14/09/2025 - PIX: CELULAR - CHAVE: (31) 99373-5678</v>
      </c>
      <c r="I2181" t="str">
        <f>("25/09/2025")</f>
        <v>25/09/2025</v>
      </c>
      <c r="J2181" t="str">
        <f>("16/09/2025")</f>
        <v>16/09/2025</v>
      </c>
      <c r="K2181" t="str">
        <f>("15/09/2025")</f>
        <v>15/09/2025</v>
      </c>
      <c r="L2181">
        <v>150</v>
      </c>
      <c r="M2181">
        <v>150</v>
      </c>
      <c r="N2181">
        <v>109</v>
      </c>
      <c r="O2181" t="str">
        <f>"PAGAMENTO DE ENTREGADORES"</f>
        <v>PAGAMENTO DE ENTREGADORES</v>
      </c>
      <c r="P2181">
        <v>150</v>
      </c>
      <c r="S2181" t="str">
        <f>"BANCO CORA (102)"</f>
        <v>BANCO CORA (102)</v>
      </c>
      <c r="T2181">
        <v>18271</v>
      </c>
      <c r="U2181">
        <v>22206</v>
      </c>
      <c r="V2181" t="s">
        <v>22</v>
      </c>
    </row>
    <row r="2182" spans="1:22">
      <c r="A2182" t="str">
        <f t="shared" si="383"/>
        <v>15/09/2025</v>
      </c>
      <c r="B2182" t="str">
        <f t="shared" si="378"/>
        <v>SAÍDA</v>
      </c>
      <c r="C2182" t="str">
        <f t="shared" si="380"/>
        <v>PIX</v>
      </c>
      <c r="D2182" t="str">
        <f>"22107"</f>
        <v>22107</v>
      </c>
      <c r="E2182" t="str">
        <f>"1"</f>
        <v>1</v>
      </c>
      <c r="F2182" t="str">
        <f t="shared" si="377"/>
        <v>COM</v>
      </c>
      <c r="G2182" t="str">
        <f>"JUSSARA CRISTINA FARIA (783)"</f>
        <v>JUSSARA CRISTINA FARIA (783)</v>
      </c>
      <c r="H2182" t="s">
        <v>565</v>
      </c>
      <c r="I2182" t="str">
        <f>("25/09/2025")</f>
        <v>25/09/2025</v>
      </c>
      <c r="J2182" t="str">
        <f>("16/09/2025")</f>
        <v>16/09/2025</v>
      </c>
      <c r="K2182">
        <v>45915</v>
      </c>
      <c r="N2182">
        <v>109</v>
      </c>
      <c r="O2182" t="s">
        <v>24</v>
      </c>
      <c r="Q2182">
        <v>150</v>
      </c>
      <c r="R2182" t="str">
        <f>"FARMÁCIA INDIANA LJ 110 (10048)"</f>
        <v>FARMÁCIA INDIANA LJ 110 (10048)</v>
      </c>
      <c r="S2182" t="s">
        <v>22</v>
      </c>
      <c r="T2182">
        <v>18271</v>
      </c>
      <c r="U2182">
        <v>22206</v>
      </c>
      <c r="V2182" t="s">
        <v>22</v>
      </c>
    </row>
    <row r="2183" spans="1:22">
      <c r="A2183" t="str">
        <f t="shared" si="383"/>
        <v>15/09/2025</v>
      </c>
      <c r="B2183" t="str">
        <f t="shared" si="378"/>
        <v>SAÍDA</v>
      </c>
      <c r="C2183" t="str">
        <f t="shared" si="380"/>
        <v>PIX</v>
      </c>
      <c r="D2183" t="str">
        <f>"22107"</f>
        <v>22107</v>
      </c>
      <c r="E2183" t="str">
        <f>"1"</f>
        <v>1</v>
      </c>
      <c r="F2183" t="str">
        <f t="shared" si="377"/>
        <v>COM</v>
      </c>
      <c r="G2183" t="str">
        <f>"JUSSARA CRISTINA FARIA (783)"</f>
        <v>JUSSARA CRISTINA FARIA (783)</v>
      </c>
      <c r="H2183" t="str">
        <f>"Serv.Prest. 08/09/2025 a 14/09/2025 - PIX: CELULAR - CHAVE: (31) 99373-5678"</f>
        <v>Serv.Prest. 08/09/2025 a 14/09/2025 - PIX: CELULAR - CHAVE: (31) 99373-5678</v>
      </c>
      <c r="I2183" t="str">
        <f>("25/09/2025")</f>
        <v>25/09/2025</v>
      </c>
      <c r="J2183" t="str">
        <f>("16/09/2025")</f>
        <v>16/09/2025</v>
      </c>
      <c r="K2183" t="str">
        <f>("15/09/2025")</f>
        <v>15/09/2025</v>
      </c>
      <c r="L2183">
        <v>150</v>
      </c>
      <c r="M2183">
        <v>150</v>
      </c>
      <c r="N2183">
        <v>109</v>
      </c>
      <c r="O2183" t="str">
        <f>"PAGAMENTO DE ENTREGADORES"</f>
        <v>PAGAMENTO DE ENTREGADORES</v>
      </c>
      <c r="P2183">
        <v>150</v>
      </c>
      <c r="S2183" t="str">
        <f>"BANCO CORA (102)"</f>
        <v>BANCO CORA (102)</v>
      </c>
      <c r="T2183">
        <v>18272</v>
      </c>
      <c r="U2183">
        <v>22205</v>
      </c>
      <c r="V2183" t="s">
        <v>22</v>
      </c>
    </row>
    <row r="2184" spans="1:22">
      <c r="A2184" t="str">
        <f t="shared" si="383"/>
        <v>15/09/2025</v>
      </c>
      <c r="B2184" t="str">
        <f t="shared" si="378"/>
        <v>SAÍDA</v>
      </c>
      <c r="C2184" t="str">
        <f t="shared" si="380"/>
        <v>PIX</v>
      </c>
      <c r="D2184" t="str">
        <f>"22107"</f>
        <v>22107</v>
      </c>
      <c r="E2184" t="str">
        <f>"1"</f>
        <v>1</v>
      </c>
      <c r="F2184" t="str">
        <f t="shared" si="377"/>
        <v>COM</v>
      </c>
      <c r="G2184" t="str">
        <f>"JUSSARA CRISTINA FARIA (783)"</f>
        <v>JUSSARA CRISTINA FARIA (783)</v>
      </c>
      <c r="H2184" t="s">
        <v>565</v>
      </c>
      <c r="I2184" t="str">
        <f>("25/09/2025")</f>
        <v>25/09/2025</v>
      </c>
      <c r="J2184" t="str">
        <f>("16/09/2025")</f>
        <v>16/09/2025</v>
      </c>
      <c r="K2184">
        <v>45915</v>
      </c>
      <c r="N2184">
        <v>109</v>
      </c>
      <c r="O2184" t="s">
        <v>24</v>
      </c>
      <c r="Q2184">
        <v>150</v>
      </c>
      <c r="R2184" t="str">
        <f>"FARMÁCIA INDIANA LJ 110 (10048)"</f>
        <v>FARMÁCIA INDIANA LJ 110 (10048)</v>
      </c>
      <c r="S2184" t="s">
        <v>22</v>
      </c>
      <c r="T2184">
        <v>18272</v>
      </c>
      <c r="U2184">
        <v>22205</v>
      </c>
      <c r="V2184" t="s">
        <v>22</v>
      </c>
    </row>
    <row r="2185" spans="1:22">
      <c r="A2185" t="str">
        <f t="shared" si="383"/>
        <v>15/09/2025</v>
      </c>
      <c r="B2185" t="str">
        <f t="shared" si="378"/>
        <v>SAÍDA</v>
      </c>
      <c r="C2185" t="str">
        <f t="shared" si="380"/>
        <v>PIX</v>
      </c>
      <c r="D2185" t="str">
        <f>"1509"</f>
        <v>1509</v>
      </c>
      <c r="E2185" t="str">
        <f>"25"</f>
        <v>25</v>
      </c>
      <c r="F2185" t="str">
        <f t="shared" si="377"/>
        <v>COM</v>
      </c>
      <c r="G2185" t="str">
        <f t="shared" ref="G2185:G2191" si="384">"JAMERSON SOUZA LOPES (749)"</f>
        <v>JAMERSON SOUZA LOPES (749)</v>
      </c>
      <c r="H2185" t="str">
        <f>"PAGAMENTO LIDERANÇA REF. MES 08/2025 - PIX: CPF - CHAVE: 423.098.018-36"</f>
        <v>PAGAMENTO LIDERANÇA REF. MES 08/2025 - PIX: CPF - CHAVE: 423.098.018-36</v>
      </c>
      <c r="I2185" t="str">
        <f>("15/09/2025")</f>
        <v>15/09/2025</v>
      </c>
      <c r="J2185" t="str">
        <f>("30/08/2025")</f>
        <v>30/08/2025</v>
      </c>
      <c r="K2185" t="str">
        <f>("15/09/2025")</f>
        <v>15/09/2025</v>
      </c>
      <c r="L2185">
        <v>1000</v>
      </c>
      <c r="M2185">
        <v>1000</v>
      </c>
      <c r="N2185">
        <v>120</v>
      </c>
      <c r="O2185" t="str">
        <f>"PAGAMENTO COMISSAO LIDERES"</f>
        <v>PAGAMENTO COMISSAO LIDERES</v>
      </c>
      <c r="P2185">
        <v>1000</v>
      </c>
      <c r="S2185" t="str">
        <f>"BANCO CORA (102)"</f>
        <v>BANCO CORA (102)</v>
      </c>
      <c r="T2185">
        <v>18273</v>
      </c>
      <c r="U2185">
        <v>21935</v>
      </c>
      <c r="V2185" t="s">
        <v>22</v>
      </c>
    </row>
    <row r="2186" spans="1:22">
      <c r="A2186" t="str">
        <f t="shared" si="383"/>
        <v>15/09/2025</v>
      </c>
      <c r="B2186" t="str">
        <f t="shared" si="378"/>
        <v>SAÍDA</v>
      </c>
      <c r="C2186" t="str">
        <f t="shared" si="380"/>
        <v>PIX</v>
      </c>
      <c r="D2186" t="str">
        <f>"1509"</f>
        <v>1509</v>
      </c>
      <c r="E2186" t="str">
        <f>"25"</f>
        <v>25</v>
      </c>
      <c r="F2186" t="str">
        <f t="shared" si="377"/>
        <v>COM</v>
      </c>
      <c r="G2186" t="str">
        <f t="shared" si="384"/>
        <v>JAMERSON SOUZA LOPES (749)</v>
      </c>
      <c r="H2186" t="s">
        <v>571</v>
      </c>
      <c r="I2186" t="str">
        <f>("15/09/2025")</f>
        <v>15/09/2025</v>
      </c>
      <c r="J2186" t="str">
        <f>("30/08/2025")</f>
        <v>30/08/2025</v>
      </c>
      <c r="K2186">
        <v>45915</v>
      </c>
      <c r="N2186">
        <v>120</v>
      </c>
      <c r="O2186" t="s">
        <v>306</v>
      </c>
      <c r="Q2186">
        <v>330.7</v>
      </c>
      <c r="R2186" t="str">
        <f>"DROGARIA AGAPEAMA (10167)"</f>
        <v>DROGARIA AGAPEAMA (10167)</v>
      </c>
      <c r="S2186" t="s">
        <v>22</v>
      </c>
      <c r="T2186">
        <v>18273</v>
      </c>
      <c r="U2186">
        <v>21935</v>
      </c>
      <c r="V2186" t="s">
        <v>22</v>
      </c>
    </row>
    <row r="2187" spans="1:22">
      <c r="A2187" t="str">
        <f t="shared" si="383"/>
        <v>15/09/2025</v>
      </c>
      <c r="B2187" t="str">
        <f t="shared" si="378"/>
        <v>SAÍDA</v>
      </c>
      <c r="C2187" t="str">
        <f t="shared" si="380"/>
        <v>PIX</v>
      </c>
      <c r="D2187" t="str">
        <f>"1509"</f>
        <v>1509</v>
      </c>
      <c r="E2187" t="str">
        <f>"25"</f>
        <v>25</v>
      </c>
      <c r="F2187" t="str">
        <f t="shared" si="377"/>
        <v>COM</v>
      </c>
      <c r="G2187" t="str">
        <f t="shared" si="384"/>
        <v>JAMERSON SOUZA LOPES (749)</v>
      </c>
      <c r="H2187" t="s">
        <v>571</v>
      </c>
      <c r="I2187" t="str">
        <f>("15/09/2025")</f>
        <v>15/09/2025</v>
      </c>
      <c r="J2187" t="str">
        <f>("30/08/2025")</f>
        <v>30/08/2025</v>
      </c>
      <c r="K2187">
        <v>45915</v>
      </c>
      <c r="N2187">
        <v>120</v>
      </c>
      <c r="O2187" t="s">
        <v>306</v>
      </c>
      <c r="Q2187">
        <v>329.2</v>
      </c>
      <c r="R2187" t="str">
        <f>"DROGARIA MORENO LTDA (10171)"</f>
        <v>DROGARIA MORENO LTDA (10171)</v>
      </c>
      <c r="S2187" t="s">
        <v>22</v>
      </c>
      <c r="T2187">
        <v>18273</v>
      </c>
      <c r="U2187">
        <v>21935</v>
      </c>
      <c r="V2187" t="s">
        <v>22</v>
      </c>
    </row>
    <row r="2188" spans="1:22">
      <c r="A2188" t="str">
        <f t="shared" si="383"/>
        <v>15/09/2025</v>
      </c>
      <c r="B2188" t="str">
        <f t="shared" si="378"/>
        <v>SAÍDA</v>
      </c>
      <c r="C2188" t="str">
        <f t="shared" si="380"/>
        <v>PIX</v>
      </c>
      <c r="D2188" t="str">
        <f>"1509"</f>
        <v>1509</v>
      </c>
      <c r="E2188" t="str">
        <f>"25"</f>
        <v>25</v>
      </c>
      <c r="F2188" t="str">
        <f t="shared" si="377"/>
        <v>COM</v>
      </c>
      <c r="G2188" t="str">
        <f t="shared" si="384"/>
        <v>JAMERSON SOUZA LOPES (749)</v>
      </c>
      <c r="H2188" t="s">
        <v>571</v>
      </c>
      <c r="I2188" t="str">
        <f>("15/09/2025")</f>
        <v>15/09/2025</v>
      </c>
      <c r="J2188" t="str">
        <f>("30/08/2025")</f>
        <v>30/08/2025</v>
      </c>
      <c r="K2188">
        <v>45915</v>
      </c>
      <c r="N2188">
        <v>120</v>
      </c>
      <c r="O2188" t="s">
        <v>306</v>
      </c>
      <c r="Q2188">
        <v>181.8</v>
      </c>
      <c r="R2188" t="str">
        <f>"DROGARIA MEDIC CENTER LTDA (10172)"</f>
        <v>DROGARIA MEDIC CENTER LTDA (10172)</v>
      </c>
      <c r="S2188" t="s">
        <v>22</v>
      </c>
      <c r="T2188">
        <v>18273</v>
      </c>
      <c r="U2188">
        <v>21935</v>
      </c>
      <c r="V2188" t="s">
        <v>22</v>
      </c>
    </row>
    <row r="2189" spans="1:22">
      <c r="A2189" t="str">
        <f t="shared" si="383"/>
        <v>15/09/2025</v>
      </c>
      <c r="B2189" t="str">
        <f t="shared" si="378"/>
        <v>SAÍDA</v>
      </c>
      <c r="C2189" t="str">
        <f t="shared" si="380"/>
        <v>PIX</v>
      </c>
      <c r="D2189" t="str">
        <f>"1509"</f>
        <v>1509</v>
      </c>
      <c r="E2189" t="str">
        <f>"25"</f>
        <v>25</v>
      </c>
      <c r="F2189" t="str">
        <f t="shared" si="377"/>
        <v>COM</v>
      </c>
      <c r="G2189" t="str">
        <f t="shared" si="384"/>
        <v>JAMERSON SOUZA LOPES (749)</v>
      </c>
      <c r="H2189" t="s">
        <v>571</v>
      </c>
      <c r="I2189" t="str">
        <f>("15/09/2025")</f>
        <v>15/09/2025</v>
      </c>
      <c r="J2189" t="str">
        <f>("30/08/2025")</f>
        <v>30/08/2025</v>
      </c>
      <c r="K2189">
        <v>45915</v>
      </c>
      <c r="N2189">
        <v>120</v>
      </c>
      <c r="O2189" t="s">
        <v>306</v>
      </c>
      <c r="Q2189">
        <v>158.30000000000001</v>
      </c>
      <c r="R2189" t="str">
        <f>"DROGARIA TOTAL JUNDIAI (10177)"</f>
        <v>DROGARIA TOTAL JUNDIAI (10177)</v>
      </c>
      <c r="S2189" t="s">
        <v>22</v>
      </c>
      <c r="T2189">
        <v>18273</v>
      </c>
      <c r="U2189">
        <v>21935</v>
      </c>
      <c r="V2189" t="s">
        <v>22</v>
      </c>
    </row>
    <row r="2190" spans="1:22">
      <c r="A2190" t="str">
        <f t="shared" si="383"/>
        <v>15/09/2025</v>
      </c>
      <c r="B2190" t="str">
        <f t="shared" si="378"/>
        <v>SAÍDA</v>
      </c>
      <c r="C2190" t="str">
        <f t="shared" si="380"/>
        <v>PIX</v>
      </c>
      <c r="D2190" t="str">
        <f>"22027"</f>
        <v>22027</v>
      </c>
      <c r="E2190" t="str">
        <f t="shared" ref="E2190:E2195" si="385">"1"</f>
        <v>1</v>
      </c>
      <c r="F2190" t="str">
        <f t="shared" si="377"/>
        <v>COM</v>
      </c>
      <c r="G2190" t="str">
        <f t="shared" si="384"/>
        <v>JAMERSON SOUZA LOPES (749)</v>
      </c>
      <c r="H2190" t="str">
        <f>"Serv.Prest. 08/09/2025 a 14/09/2025 - PIX: CPF - CHAVE: 423.098.018-36"</f>
        <v>Serv.Prest. 08/09/2025 a 14/09/2025 - PIX: CPF - CHAVE: 423.098.018-36</v>
      </c>
      <c r="I2190" t="str">
        <f t="shared" ref="I2190:I2195" si="386">("18/09/2025")</f>
        <v>18/09/2025</v>
      </c>
      <c r="J2190" t="str">
        <f>("15/09/2025")</f>
        <v>15/09/2025</v>
      </c>
      <c r="K2190" t="str">
        <f>("15/09/2025")</f>
        <v>15/09/2025</v>
      </c>
      <c r="L2190">
        <v>147</v>
      </c>
      <c r="M2190">
        <v>150</v>
      </c>
      <c r="N2190">
        <v>109</v>
      </c>
      <c r="O2190" t="str">
        <f>"PAGAMENTO DE ENTREGADORES"</f>
        <v>PAGAMENTO DE ENTREGADORES</v>
      </c>
      <c r="P2190">
        <v>150</v>
      </c>
      <c r="S2190" t="str">
        <f>"BANCO CORA (102)"</f>
        <v>BANCO CORA (102)</v>
      </c>
      <c r="T2190">
        <v>18274</v>
      </c>
      <c r="U2190">
        <v>22027</v>
      </c>
      <c r="V2190" t="s">
        <v>22</v>
      </c>
    </row>
    <row r="2191" spans="1:22">
      <c r="A2191" t="str">
        <f t="shared" si="383"/>
        <v>15/09/2025</v>
      </c>
      <c r="B2191" t="str">
        <f t="shared" si="378"/>
        <v>SAÍDA</v>
      </c>
      <c r="C2191" t="str">
        <f t="shared" si="380"/>
        <v>PIX</v>
      </c>
      <c r="D2191" t="str">
        <f>"22027"</f>
        <v>22027</v>
      </c>
      <c r="E2191" t="str">
        <f t="shared" si="385"/>
        <v>1</v>
      </c>
      <c r="F2191" t="str">
        <f t="shared" si="377"/>
        <v>COM</v>
      </c>
      <c r="G2191" t="str">
        <f t="shared" si="384"/>
        <v>JAMERSON SOUZA LOPES (749)</v>
      </c>
      <c r="H2191" t="s">
        <v>572</v>
      </c>
      <c r="I2191" t="str">
        <f t="shared" si="386"/>
        <v>18/09/2025</v>
      </c>
      <c r="J2191" t="str">
        <f>("15/09/2025")</f>
        <v>15/09/2025</v>
      </c>
      <c r="K2191">
        <v>45915</v>
      </c>
      <c r="N2191">
        <v>109</v>
      </c>
      <c r="O2191" t="s">
        <v>24</v>
      </c>
      <c r="Q2191">
        <v>150</v>
      </c>
      <c r="R2191" t="str">
        <f>"DROGARIA MORENO LTDA (10171)"</f>
        <v>DROGARIA MORENO LTDA (10171)</v>
      </c>
      <c r="S2191" t="s">
        <v>22</v>
      </c>
      <c r="T2191">
        <v>18274</v>
      </c>
      <c r="U2191">
        <v>22027</v>
      </c>
      <c r="V2191" t="s">
        <v>22</v>
      </c>
    </row>
    <row r="2192" spans="1:22">
      <c r="A2192" t="str">
        <f t="shared" si="383"/>
        <v>15/09/2025</v>
      </c>
      <c r="B2192" t="str">
        <f t="shared" si="378"/>
        <v>SAÍDA</v>
      </c>
      <c r="C2192" t="str">
        <f t="shared" si="380"/>
        <v>PIX</v>
      </c>
      <c r="D2192" t="str">
        <f>"22021"</f>
        <v>22021</v>
      </c>
      <c r="E2192" t="str">
        <f t="shared" si="385"/>
        <v>1</v>
      </c>
      <c r="F2192" t="str">
        <f t="shared" si="377"/>
        <v>COM</v>
      </c>
      <c r="G2192" t="str">
        <f>"JOEL ARAGAO SALES (864)"</f>
        <v>JOEL ARAGAO SALES (864)</v>
      </c>
      <c r="H2192" t="str">
        <f>"Serv.Prest. 08/09/2025 a 14/09/2025 - PIX: CPF - CHAVE: 052.353.883-99"</f>
        <v>Serv.Prest. 08/09/2025 a 14/09/2025 - PIX: CPF - CHAVE: 052.353.883-99</v>
      </c>
      <c r="I2192" t="str">
        <f t="shared" si="386"/>
        <v>18/09/2025</v>
      </c>
      <c r="J2192" t="str">
        <f>("15/09/2025")</f>
        <v>15/09/2025</v>
      </c>
      <c r="K2192" t="str">
        <f>("15/09/2025")</f>
        <v>15/09/2025</v>
      </c>
      <c r="L2192">
        <v>133</v>
      </c>
      <c r="M2192">
        <v>130</v>
      </c>
      <c r="N2192">
        <v>109</v>
      </c>
      <c r="O2192" t="str">
        <f>"PAGAMENTO DE ENTREGADORES"</f>
        <v>PAGAMENTO DE ENTREGADORES</v>
      </c>
      <c r="P2192">
        <v>130</v>
      </c>
      <c r="S2192" t="str">
        <f>"BANCO CORA (102)"</f>
        <v>BANCO CORA (102)</v>
      </c>
      <c r="T2192">
        <v>18275</v>
      </c>
      <c r="U2192">
        <v>22021</v>
      </c>
      <c r="V2192" t="s">
        <v>22</v>
      </c>
    </row>
    <row r="2193" spans="1:22">
      <c r="A2193" t="str">
        <f t="shared" si="383"/>
        <v>15/09/2025</v>
      </c>
      <c r="B2193" t="str">
        <f t="shared" si="378"/>
        <v>SAÍDA</v>
      </c>
      <c r="C2193" t="str">
        <f t="shared" si="380"/>
        <v>PIX</v>
      </c>
      <c r="D2193" t="str">
        <f>"22021"</f>
        <v>22021</v>
      </c>
      <c r="E2193" t="str">
        <f t="shared" si="385"/>
        <v>1</v>
      </c>
      <c r="F2193" t="str">
        <f t="shared" si="377"/>
        <v>COM</v>
      </c>
      <c r="G2193" t="str">
        <f>"JOEL ARAGAO SALES (864)"</f>
        <v>JOEL ARAGAO SALES (864)</v>
      </c>
      <c r="H2193" t="s">
        <v>573</v>
      </c>
      <c r="I2193" t="str">
        <f t="shared" si="386"/>
        <v>18/09/2025</v>
      </c>
      <c r="J2193" t="str">
        <f>("15/09/2025")</f>
        <v>15/09/2025</v>
      </c>
      <c r="K2193">
        <v>45915</v>
      </c>
      <c r="N2193">
        <v>109</v>
      </c>
      <c r="O2193" t="s">
        <v>24</v>
      </c>
      <c r="Q2193">
        <v>130</v>
      </c>
      <c r="R2193" t="str">
        <f>"DROGARIA MEDIC CENTER LTDA (10172)"</f>
        <v>DROGARIA MEDIC CENTER LTDA (10172)</v>
      </c>
      <c r="S2193" t="s">
        <v>22</v>
      </c>
      <c r="T2193">
        <v>18275</v>
      </c>
      <c r="U2193">
        <v>22021</v>
      </c>
      <c r="V2193" t="s">
        <v>22</v>
      </c>
    </row>
    <row r="2194" spans="1:22">
      <c r="A2194" t="str">
        <f t="shared" si="383"/>
        <v>15/09/2025</v>
      </c>
      <c r="B2194" t="str">
        <f t="shared" si="378"/>
        <v>SAÍDA</v>
      </c>
      <c r="C2194" t="str">
        <f t="shared" si="380"/>
        <v>PIX</v>
      </c>
      <c r="D2194" t="str">
        <f>"22217"</f>
        <v>22217</v>
      </c>
      <c r="E2194" t="str">
        <f t="shared" si="385"/>
        <v>1</v>
      </c>
      <c r="F2194" t="str">
        <f t="shared" si="377"/>
        <v>COM</v>
      </c>
      <c r="G2194" t="str">
        <f>"JEFFERSON AMORIM DA SILVA (940)"</f>
        <v>JEFFERSON AMORIM DA SILVA (940)</v>
      </c>
      <c r="H2194" t="str">
        <f>"Serv.Prest. 10/09/2025 a 14/09/2025 - PIX: CELULAR - CHAVE: (11) 9844-7654"</f>
        <v>Serv.Prest. 10/09/2025 a 14/09/2025 - PIX: CELULAR - CHAVE: (11) 9844-7654</v>
      </c>
      <c r="I2194" t="str">
        <f t="shared" si="386"/>
        <v>18/09/2025</v>
      </c>
      <c r="J2194" t="str">
        <f>("17/09/2025")</f>
        <v>17/09/2025</v>
      </c>
      <c r="K2194" t="str">
        <f>("15/09/2025")</f>
        <v>15/09/2025</v>
      </c>
      <c r="L2194">
        <v>160</v>
      </c>
      <c r="M2194">
        <v>160</v>
      </c>
      <c r="N2194">
        <v>109</v>
      </c>
      <c r="O2194" t="str">
        <f>"PAGAMENTO DE ENTREGADORES"</f>
        <v>PAGAMENTO DE ENTREGADORES</v>
      </c>
      <c r="P2194">
        <v>160</v>
      </c>
      <c r="S2194" t="str">
        <f>"BANCO CORA (102)"</f>
        <v>BANCO CORA (102)</v>
      </c>
      <c r="T2194">
        <v>18285</v>
      </c>
      <c r="U2194">
        <v>22217</v>
      </c>
      <c r="V2194" t="s">
        <v>22</v>
      </c>
    </row>
    <row r="2195" spans="1:22">
      <c r="A2195" t="str">
        <f t="shared" si="383"/>
        <v>15/09/2025</v>
      </c>
      <c r="B2195" t="str">
        <f t="shared" si="378"/>
        <v>SAÍDA</v>
      </c>
      <c r="C2195" t="str">
        <f t="shared" si="380"/>
        <v>PIX</v>
      </c>
      <c r="D2195" t="str">
        <f>"22217"</f>
        <v>22217</v>
      </c>
      <c r="E2195" t="str">
        <f t="shared" si="385"/>
        <v>1</v>
      </c>
      <c r="F2195" t="str">
        <f t="shared" si="377"/>
        <v>COM</v>
      </c>
      <c r="G2195" t="str">
        <f>"JEFFERSON AMORIM DA SILVA (940)"</f>
        <v>JEFFERSON AMORIM DA SILVA (940)</v>
      </c>
      <c r="H2195" t="s">
        <v>574</v>
      </c>
      <c r="I2195" t="str">
        <f t="shared" si="386"/>
        <v>18/09/2025</v>
      </c>
      <c r="J2195" t="str">
        <f>("17/09/2025")</f>
        <v>17/09/2025</v>
      </c>
      <c r="K2195">
        <v>45915</v>
      </c>
      <c r="N2195">
        <v>109</v>
      </c>
      <c r="O2195" t="s">
        <v>24</v>
      </c>
      <c r="Q2195">
        <v>160</v>
      </c>
      <c r="R2195" t="str">
        <f>"PENSE FARMA 46 (10194)"</f>
        <v>PENSE FARMA 46 (10194)</v>
      </c>
      <c r="S2195" t="s">
        <v>22</v>
      </c>
      <c r="T2195">
        <v>18285</v>
      </c>
      <c r="U2195">
        <v>22217</v>
      </c>
      <c r="V2195" t="s">
        <v>22</v>
      </c>
    </row>
    <row r="2196" spans="1:22">
      <c r="A2196" t="str">
        <f t="shared" si="383"/>
        <v>15/09/2025</v>
      </c>
      <c r="B2196" t="str">
        <f t="shared" si="378"/>
        <v>SAÍDA</v>
      </c>
      <c r="C2196" t="str">
        <f t="shared" si="380"/>
        <v>PIX</v>
      </c>
      <c r="D2196" t="str">
        <f>"1509"</f>
        <v>1509</v>
      </c>
      <c r="E2196" t="str">
        <f>"25"</f>
        <v>25</v>
      </c>
      <c r="F2196" t="str">
        <f t="shared" si="377"/>
        <v>COM</v>
      </c>
      <c r="G2196" t="str">
        <f>"WEIGNE SENA CARDOSO (53)"</f>
        <v>WEIGNE SENA CARDOSO (53)</v>
      </c>
      <c r="H2196" t="str">
        <f>"PAGAMENTO LIDERENÇA REF. MES 08/2025 - PIX: CPF - CHAVE: 097.245.586-81"</f>
        <v>PAGAMENTO LIDERENÇA REF. MES 08/2025 - PIX: CPF - CHAVE: 097.245.586-81</v>
      </c>
      <c r="I2196" t="str">
        <f t="shared" ref="I2196:I2227" si="387">("15/09/2025")</f>
        <v>15/09/2025</v>
      </c>
      <c r="J2196" t="str">
        <f>("30/08/2025")</f>
        <v>30/08/2025</v>
      </c>
      <c r="K2196" t="str">
        <f>("15/09/2025")</f>
        <v>15/09/2025</v>
      </c>
      <c r="L2196">
        <v>1250</v>
      </c>
      <c r="M2196">
        <v>1250</v>
      </c>
      <c r="N2196">
        <v>120</v>
      </c>
      <c r="O2196" t="str">
        <f>"PAGAMENTO COMISSAO LIDERES"</f>
        <v>PAGAMENTO COMISSAO LIDERES</v>
      </c>
      <c r="P2196">
        <v>1250</v>
      </c>
      <c r="S2196" t="str">
        <f>"BANCO CORA (102)"</f>
        <v>BANCO CORA (102)</v>
      </c>
      <c r="T2196">
        <v>19218</v>
      </c>
      <c r="U2196">
        <v>21925</v>
      </c>
      <c r="V2196" t="s">
        <v>22</v>
      </c>
    </row>
    <row r="2197" spans="1:22">
      <c r="A2197" t="str">
        <f t="shared" si="383"/>
        <v>15/09/2025</v>
      </c>
      <c r="B2197" t="str">
        <f t="shared" si="378"/>
        <v>SAÍDA</v>
      </c>
      <c r="C2197" t="str">
        <f t="shared" si="380"/>
        <v>PIX</v>
      </c>
      <c r="D2197" t="str">
        <f>"1509"</f>
        <v>1509</v>
      </c>
      <c r="E2197" t="str">
        <f>"25"</f>
        <v>25</v>
      </c>
      <c r="F2197" t="str">
        <f t="shared" si="377"/>
        <v>COM</v>
      </c>
      <c r="G2197" t="str">
        <f>"WEIGNE SENA CARDOSO (53)"</f>
        <v>WEIGNE SENA CARDOSO (53)</v>
      </c>
      <c r="H2197" t="s">
        <v>575</v>
      </c>
      <c r="I2197" t="str">
        <f t="shared" si="387"/>
        <v>15/09/2025</v>
      </c>
      <c r="J2197" t="str">
        <f>("30/08/2025")</f>
        <v>30/08/2025</v>
      </c>
      <c r="K2197">
        <v>45915</v>
      </c>
      <c r="N2197">
        <v>120</v>
      </c>
      <c r="O2197" t="s">
        <v>306</v>
      </c>
      <c r="Q2197">
        <v>1250</v>
      </c>
      <c r="R2197" t="str">
        <f>"FARMÁCIA INDIANA LJ 07 (10007)"</f>
        <v>FARMÁCIA INDIANA LJ 07 (10007)</v>
      </c>
      <c r="S2197" t="s">
        <v>22</v>
      </c>
      <c r="T2197">
        <v>19218</v>
      </c>
      <c r="U2197">
        <v>21925</v>
      </c>
      <c r="V2197" t="s">
        <v>22</v>
      </c>
    </row>
    <row r="2198" spans="1:22">
      <c r="A2198" t="str">
        <f t="shared" si="383"/>
        <v>15/09/2025</v>
      </c>
      <c r="B2198" t="str">
        <f t="shared" si="378"/>
        <v>SAÍDA</v>
      </c>
      <c r="C2198" t="str">
        <f>"BOLETO"</f>
        <v>BOLETO</v>
      </c>
      <c r="D2198" t="str">
        <f>"46790142533"</f>
        <v>46790142533</v>
      </c>
      <c r="E2198" t="str">
        <f>"01"</f>
        <v>01</v>
      </c>
      <c r="F2198" t="str">
        <f t="shared" si="377"/>
        <v>COM</v>
      </c>
      <c r="G2198" t="str">
        <f>"MUNICIPIO DE UBERLANDIA (20032)"</f>
        <v>MUNICIPIO DE UBERLANDIA (20032)</v>
      </c>
      <c r="H2198" t="str">
        <f>"ISS REF. MES 08/2025"</f>
        <v>ISS REF. MES 08/2025</v>
      </c>
      <c r="I2198" t="str">
        <f t="shared" si="387"/>
        <v>15/09/2025</v>
      </c>
      <c r="J2198" t="str">
        <f>("05/09/2025")</f>
        <v>05/09/2025</v>
      </c>
      <c r="K2198" t="str">
        <f>("15/09/2025")</f>
        <v>15/09/2025</v>
      </c>
      <c r="L2198">
        <v>26193.439999999999</v>
      </c>
      <c r="M2198">
        <v>26193.439999999999</v>
      </c>
      <c r="N2198">
        <v>137</v>
      </c>
      <c r="O2198" t="str">
        <f>"ISS"</f>
        <v>ISS</v>
      </c>
      <c r="P2198">
        <v>26193.439999999999</v>
      </c>
      <c r="S2198" t="str">
        <f>"BANCO CORA (102)"</f>
        <v>BANCO CORA (102)</v>
      </c>
      <c r="T2198">
        <v>20886</v>
      </c>
      <c r="U2198">
        <v>20363</v>
      </c>
      <c r="V2198" t="s">
        <v>22</v>
      </c>
    </row>
    <row r="2199" spans="1:22">
      <c r="A2199" t="str">
        <f t="shared" si="383"/>
        <v>15/09/2025</v>
      </c>
      <c r="B2199" t="str">
        <f t="shared" si="378"/>
        <v>SAÍDA</v>
      </c>
      <c r="C2199" t="str">
        <f>"BOLETO"</f>
        <v>BOLETO</v>
      </c>
      <c r="D2199" t="str">
        <f>"46790142533"</f>
        <v>46790142533</v>
      </c>
      <c r="E2199" t="str">
        <f>"01"</f>
        <v>01</v>
      </c>
      <c r="F2199" t="str">
        <f t="shared" si="377"/>
        <v>COM</v>
      </c>
      <c r="G2199" t="str">
        <f>"MUNICIPIO DE UBERLANDIA (20032)"</f>
        <v>MUNICIPIO DE UBERLANDIA (20032)</v>
      </c>
      <c r="H2199" t="s">
        <v>576</v>
      </c>
      <c r="I2199" t="str">
        <f t="shared" si="387"/>
        <v>15/09/2025</v>
      </c>
      <c r="J2199" t="str">
        <f>("05/09/2025")</f>
        <v>05/09/2025</v>
      </c>
      <c r="K2199">
        <v>45915</v>
      </c>
      <c r="N2199">
        <v>137</v>
      </c>
      <c r="O2199" t="s">
        <v>295</v>
      </c>
      <c r="Q2199">
        <v>26193.439999999999</v>
      </c>
      <c r="R2199" t="str">
        <f>"MUNICIPIO DE UBERLANDIA (20032)"</f>
        <v>MUNICIPIO DE UBERLANDIA (20032)</v>
      </c>
      <c r="S2199" t="s">
        <v>22</v>
      </c>
      <c r="T2199">
        <v>20886</v>
      </c>
      <c r="U2199">
        <v>20363</v>
      </c>
      <c r="V2199" t="s">
        <v>22</v>
      </c>
    </row>
    <row r="2200" spans="1:22">
      <c r="A2200" t="str">
        <f t="shared" si="383"/>
        <v>15/09/2025</v>
      </c>
      <c r="B2200" t="str">
        <f>"ENTRADA"</f>
        <v>ENTRADA</v>
      </c>
      <c r="C2200" t="str">
        <f>"TRANSFERENCIA"</f>
        <v>TRANSFERENCIA</v>
      </c>
      <c r="D2200" t="str">
        <f>""</f>
        <v/>
      </c>
      <c r="F2200" t="str">
        <f>"TRF"</f>
        <v>TRF</v>
      </c>
      <c r="G2200" t="str">
        <f>""</f>
        <v/>
      </c>
      <c r="H2200" t="str">
        <f>"TRANSFERENCIA DE AJUDA DE CAIXA  (131-&gt;102)"</f>
        <v>TRANSFERENCIA DE AJUDA DE CAIXA  (131-&gt;102)</v>
      </c>
      <c r="I2200" t="str">
        <f t="shared" si="387"/>
        <v>15/09/2025</v>
      </c>
      <c r="J2200" t="str">
        <f>("15/09/2025")</f>
        <v>15/09/2025</v>
      </c>
      <c r="K2200" t="str">
        <f>("15/09/2025")</f>
        <v>15/09/2025</v>
      </c>
      <c r="N2200">
        <v>102</v>
      </c>
      <c r="O2200" t="str">
        <f>"BANCO CORA"</f>
        <v>BANCO CORA</v>
      </c>
      <c r="P2200">
        <v>3000</v>
      </c>
      <c r="S2200" t="str">
        <f>"BANCO CORA (102)"</f>
        <v>BANCO CORA (102)</v>
      </c>
      <c r="T2200">
        <v>22212</v>
      </c>
      <c r="U2200">
        <v>0</v>
      </c>
      <c r="V2200" t="s">
        <v>22</v>
      </c>
    </row>
    <row r="2201" spans="1:22">
      <c r="A2201" t="str">
        <f t="shared" si="383"/>
        <v>15/09/2025</v>
      </c>
      <c r="B2201" t="str">
        <f t="shared" ref="B2201:B2232" si="388">"SAÍDA"</f>
        <v>SAÍDA</v>
      </c>
      <c r="C2201" t="str">
        <f>"TRANSFERENCIA"</f>
        <v>TRANSFERENCIA</v>
      </c>
      <c r="D2201" t="str">
        <f>""</f>
        <v/>
      </c>
      <c r="F2201" t="str">
        <f>"TRF"</f>
        <v>TRF</v>
      </c>
      <c r="G2201" t="str">
        <f>""</f>
        <v/>
      </c>
      <c r="H2201" t="str">
        <f>"TRANSFERENCIA DE AJUDA DE CAIXA  (131-&gt;102)"</f>
        <v>TRANSFERENCIA DE AJUDA DE CAIXA  (131-&gt;102)</v>
      </c>
      <c r="I2201" t="str">
        <f t="shared" si="387"/>
        <v>15/09/2025</v>
      </c>
      <c r="J2201" t="str">
        <f>("15/09/2025")</f>
        <v>15/09/2025</v>
      </c>
      <c r="K2201" t="str">
        <f>("15/09/2025")</f>
        <v>15/09/2025</v>
      </c>
      <c r="N2201">
        <v>131</v>
      </c>
      <c r="O2201" t="str">
        <f>"CAIXA - FLUX"</f>
        <v>CAIXA - FLUX</v>
      </c>
      <c r="S2201" t="str">
        <f>"CAIXA - FLUX (131)"</f>
        <v>CAIXA - FLUX (131)</v>
      </c>
      <c r="T2201">
        <v>22212</v>
      </c>
      <c r="U2201">
        <v>0</v>
      </c>
      <c r="V2201" t="s">
        <v>577</v>
      </c>
    </row>
    <row r="2202" spans="1:22">
      <c r="A2202" t="str">
        <f t="shared" si="383"/>
        <v>15/09/2025</v>
      </c>
      <c r="B2202" t="str">
        <f t="shared" si="388"/>
        <v>SAÍDA</v>
      </c>
      <c r="C2202" t="str">
        <f t="shared" ref="C2202:C2233" si="389">"PIX"</f>
        <v>PIX</v>
      </c>
      <c r="D2202" t="str">
        <f t="shared" ref="D2202:D2230" si="390">"1509"</f>
        <v>1509</v>
      </c>
      <c r="E2202" t="str">
        <f t="shared" ref="E2202:E2233" si="391">"25"</f>
        <v>25</v>
      </c>
      <c r="F2202" t="str">
        <f t="shared" ref="F2202:F2233" si="392">"COM"</f>
        <v>COM</v>
      </c>
      <c r="G2202" t="str">
        <f>"WELLINGTON DOS SANTOS ALVES (438)"</f>
        <v>WELLINGTON DOS SANTOS ALVES (438)</v>
      </c>
      <c r="H2202" t="str">
        <f>"PAGAMENTO LIDERANÇA REF. MES 08/2025 - PIX: CELULAR - CHAVE: (32) 99800-1691"</f>
        <v>PAGAMENTO LIDERANÇA REF. MES 08/2025 - PIX: CELULAR - CHAVE: (32) 99800-1691</v>
      </c>
      <c r="I2202" t="str">
        <f t="shared" si="387"/>
        <v>15/09/2025</v>
      </c>
      <c r="J2202" t="str">
        <f t="shared" ref="J2202:J2233" si="393">("30/08/2025")</f>
        <v>30/08/2025</v>
      </c>
      <c r="K2202" t="str">
        <f>("15/09/2025")</f>
        <v>15/09/2025</v>
      </c>
      <c r="L2202">
        <v>215.76</v>
      </c>
      <c r="M2202">
        <v>215.76</v>
      </c>
      <c r="N2202">
        <v>120</v>
      </c>
      <c r="O2202" t="str">
        <f>"PAGAMENTO COMISSAO LIDERES"</f>
        <v>PAGAMENTO COMISSAO LIDERES</v>
      </c>
      <c r="P2202">
        <v>215.76</v>
      </c>
      <c r="S2202" t="str">
        <f>"BANCO CORA (102)"</f>
        <v>BANCO CORA (102)</v>
      </c>
      <c r="T2202">
        <v>22213</v>
      </c>
      <c r="U2202">
        <v>21939</v>
      </c>
      <c r="V2202" t="s">
        <v>22</v>
      </c>
    </row>
    <row r="2203" spans="1:22">
      <c r="A2203" t="str">
        <f t="shared" si="383"/>
        <v>15/09/2025</v>
      </c>
      <c r="B2203" t="str">
        <f t="shared" si="388"/>
        <v>SAÍDA</v>
      </c>
      <c r="C2203" t="str">
        <f t="shared" si="389"/>
        <v>PIX</v>
      </c>
      <c r="D2203" t="str">
        <f t="shared" si="390"/>
        <v>1509</v>
      </c>
      <c r="E2203" t="str">
        <f t="shared" si="391"/>
        <v>25</v>
      </c>
      <c r="F2203" t="str">
        <f t="shared" si="392"/>
        <v>COM</v>
      </c>
      <c r="G2203" t="str">
        <f>"WELLINGTON DOS SANTOS ALVES (438)"</f>
        <v>WELLINGTON DOS SANTOS ALVES (438)</v>
      </c>
      <c r="H2203" t="s">
        <v>578</v>
      </c>
      <c r="I2203" t="str">
        <f t="shared" si="387"/>
        <v>15/09/2025</v>
      </c>
      <c r="J2203" t="str">
        <f t="shared" si="393"/>
        <v>30/08/2025</v>
      </c>
      <c r="K2203">
        <v>45915</v>
      </c>
      <c r="N2203">
        <v>120</v>
      </c>
      <c r="O2203" t="s">
        <v>306</v>
      </c>
      <c r="Q2203">
        <v>53.94</v>
      </c>
      <c r="R2203" t="str">
        <f>"FARMÁCIA INDIANA LJ 112 (10050)"</f>
        <v>FARMÁCIA INDIANA LJ 112 (10050)</v>
      </c>
      <c r="S2203" t="s">
        <v>22</v>
      </c>
      <c r="T2203">
        <v>22213</v>
      </c>
      <c r="U2203">
        <v>21939</v>
      </c>
      <c r="V2203" t="s">
        <v>22</v>
      </c>
    </row>
    <row r="2204" spans="1:22">
      <c r="A2204" t="str">
        <f t="shared" si="383"/>
        <v>15/09/2025</v>
      </c>
      <c r="B2204" t="str">
        <f t="shared" si="388"/>
        <v>SAÍDA</v>
      </c>
      <c r="C2204" t="str">
        <f t="shared" si="389"/>
        <v>PIX</v>
      </c>
      <c r="D2204" t="str">
        <f t="shared" si="390"/>
        <v>1509</v>
      </c>
      <c r="E2204" t="str">
        <f t="shared" si="391"/>
        <v>25</v>
      </c>
      <c r="F2204" t="str">
        <f t="shared" si="392"/>
        <v>COM</v>
      </c>
      <c r="G2204" t="str">
        <f>"WELLINGTON DOS SANTOS ALVES (438)"</f>
        <v>WELLINGTON DOS SANTOS ALVES (438)</v>
      </c>
      <c r="H2204" t="s">
        <v>578</v>
      </c>
      <c r="I2204" t="str">
        <f t="shared" si="387"/>
        <v>15/09/2025</v>
      </c>
      <c r="J2204" t="str">
        <f t="shared" si="393"/>
        <v>30/08/2025</v>
      </c>
      <c r="K2204">
        <v>45915</v>
      </c>
      <c r="N2204">
        <v>120</v>
      </c>
      <c r="O2204" t="s">
        <v>306</v>
      </c>
      <c r="Q2204">
        <v>53.94</v>
      </c>
      <c r="R2204" t="str">
        <f>"FARMÁCIA INDIANA LJ 116 (10051)"</f>
        <v>FARMÁCIA INDIANA LJ 116 (10051)</v>
      </c>
      <c r="S2204" t="s">
        <v>22</v>
      </c>
      <c r="T2204">
        <v>22213</v>
      </c>
      <c r="U2204">
        <v>21939</v>
      </c>
      <c r="V2204" t="s">
        <v>22</v>
      </c>
    </row>
    <row r="2205" spans="1:22">
      <c r="A2205" t="str">
        <f t="shared" si="383"/>
        <v>15/09/2025</v>
      </c>
      <c r="B2205" t="str">
        <f t="shared" si="388"/>
        <v>SAÍDA</v>
      </c>
      <c r="C2205" t="str">
        <f t="shared" si="389"/>
        <v>PIX</v>
      </c>
      <c r="D2205" t="str">
        <f t="shared" si="390"/>
        <v>1509</v>
      </c>
      <c r="E2205" t="str">
        <f t="shared" si="391"/>
        <v>25</v>
      </c>
      <c r="F2205" t="str">
        <f t="shared" si="392"/>
        <v>COM</v>
      </c>
      <c r="G2205" t="str">
        <f>"WELLINGTON DOS SANTOS ALVES (438)"</f>
        <v>WELLINGTON DOS SANTOS ALVES (438)</v>
      </c>
      <c r="H2205" t="s">
        <v>578</v>
      </c>
      <c r="I2205" t="str">
        <f t="shared" si="387"/>
        <v>15/09/2025</v>
      </c>
      <c r="J2205" t="str">
        <f t="shared" si="393"/>
        <v>30/08/2025</v>
      </c>
      <c r="K2205">
        <v>45915</v>
      </c>
      <c r="N2205">
        <v>120</v>
      </c>
      <c r="O2205" t="s">
        <v>306</v>
      </c>
      <c r="Q2205">
        <v>53.94</v>
      </c>
      <c r="R2205" t="str">
        <f>"FARMÁCIA INDIANA LJ 121 (10054)"</f>
        <v>FARMÁCIA INDIANA LJ 121 (10054)</v>
      </c>
      <c r="S2205" t="s">
        <v>22</v>
      </c>
      <c r="T2205">
        <v>22213</v>
      </c>
      <c r="U2205">
        <v>21939</v>
      </c>
      <c r="V2205" t="s">
        <v>22</v>
      </c>
    </row>
    <row r="2206" spans="1:22">
      <c r="A2206" t="str">
        <f t="shared" si="383"/>
        <v>15/09/2025</v>
      </c>
      <c r="B2206" t="str">
        <f t="shared" si="388"/>
        <v>SAÍDA</v>
      </c>
      <c r="C2206" t="str">
        <f t="shared" si="389"/>
        <v>PIX</v>
      </c>
      <c r="D2206" t="str">
        <f t="shared" si="390"/>
        <v>1509</v>
      </c>
      <c r="E2206" t="str">
        <f t="shared" si="391"/>
        <v>25</v>
      </c>
      <c r="F2206" t="str">
        <f t="shared" si="392"/>
        <v>COM</v>
      </c>
      <c r="G2206" t="str">
        <f>"WELLINGTON DOS SANTOS ALVES (438)"</f>
        <v>WELLINGTON DOS SANTOS ALVES (438)</v>
      </c>
      <c r="H2206" t="s">
        <v>578</v>
      </c>
      <c r="I2206" t="str">
        <f t="shared" si="387"/>
        <v>15/09/2025</v>
      </c>
      <c r="J2206" t="str">
        <f t="shared" si="393"/>
        <v>30/08/2025</v>
      </c>
      <c r="K2206">
        <v>45915</v>
      </c>
      <c r="N2206">
        <v>120</v>
      </c>
      <c r="O2206" t="s">
        <v>306</v>
      </c>
      <c r="Q2206">
        <v>53.94</v>
      </c>
      <c r="R2206" t="str">
        <f>"FARMÁCIA INDIANA LJ 128 (10057)"</f>
        <v>FARMÁCIA INDIANA LJ 128 (10057)</v>
      </c>
      <c r="S2206" t="s">
        <v>22</v>
      </c>
      <c r="T2206">
        <v>22213</v>
      </c>
      <c r="U2206">
        <v>21939</v>
      </c>
      <c r="V2206" t="s">
        <v>22</v>
      </c>
    </row>
    <row r="2207" spans="1:22">
      <c r="A2207" t="str">
        <f t="shared" ref="A2207:A2238" si="394">("15/09/2025")</f>
        <v>15/09/2025</v>
      </c>
      <c r="B2207" t="str">
        <f t="shared" si="388"/>
        <v>SAÍDA</v>
      </c>
      <c r="C2207" t="str">
        <f t="shared" si="389"/>
        <v>PIX</v>
      </c>
      <c r="D2207" t="str">
        <f t="shared" si="390"/>
        <v>1509</v>
      </c>
      <c r="E2207" t="str">
        <f t="shared" si="391"/>
        <v>25</v>
      </c>
      <c r="F2207" t="str">
        <f t="shared" si="392"/>
        <v>COM</v>
      </c>
      <c r="G2207" t="str">
        <f>"RICHARD HENRIQUE DA SILVA (244)"</f>
        <v>RICHARD HENRIQUE DA SILVA (244)</v>
      </c>
      <c r="H2207" t="str">
        <f>"PAGAMENTO LIDERANÇA REF. MES 08/2025 - PIX: CELULAR - CHAVE: (37) 99197-6834"</f>
        <v>PAGAMENTO LIDERANÇA REF. MES 08/2025 - PIX: CELULAR - CHAVE: (37) 99197-6834</v>
      </c>
      <c r="I2207" t="str">
        <f t="shared" si="387"/>
        <v>15/09/2025</v>
      </c>
      <c r="J2207" t="str">
        <f t="shared" si="393"/>
        <v>30/08/2025</v>
      </c>
      <c r="K2207" t="str">
        <f>("15/09/2025")</f>
        <v>15/09/2025</v>
      </c>
      <c r="L2207">
        <v>366.92</v>
      </c>
      <c r="M2207">
        <v>366.92</v>
      </c>
      <c r="N2207">
        <v>120</v>
      </c>
      <c r="O2207" t="str">
        <f>"PAGAMENTO COMISSAO LIDERES"</f>
        <v>PAGAMENTO COMISSAO LIDERES</v>
      </c>
      <c r="P2207">
        <v>366.92</v>
      </c>
      <c r="S2207" t="str">
        <f>"BANCO CORA (102)"</f>
        <v>BANCO CORA (102)</v>
      </c>
      <c r="T2207">
        <v>22214</v>
      </c>
      <c r="U2207">
        <v>21927</v>
      </c>
      <c r="V2207" t="s">
        <v>22</v>
      </c>
    </row>
    <row r="2208" spans="1:22">
      <c r="A2208" t="str">
        <f t="shared" si="394"/>
        <v>15/09/2025</v>
      </c>
      <c r="B2208" t="str">
        <f t="shared" si="388"/>
        <v>SAÍDA</v>
      </c>
      <c r="C2208" t="str">
        <f t="shared" si="389"/>
        <v>PIX</v>
      </c>
      <c r="D2208" t="str">
        <f t="shared" si="390"/>
        <v>1509</v>
      </c>
      <c r="E2208" t="str">
        <f t="shared" si="391"/>
        <v>25</v>
      </c>
      <c r="F2208" t="str">
        <f t="shared" si="392"/>
        <v>COM</v>
      </c>
      <c r="G2208" t="str">
        <f>"RICHARD HENRIQUE DA SILVA (244)"</f>
        <v>RICHARD HENRIQUE DA SILVA (244)</v>
      </c>
      <c r="H2208" t="s">
        <v>579</v>
      </c>
      <c r="I2208" t="str">
        <f t="shared" si="387"/>
        <v>15/09/2025</v>
      </c>
      <c r="J2208" t="str">
        <f t="shared" si="393"/>
        <v>30/08/2025</v>
      </c>
      <c r="K2208">
        <v>45915</v>
      </c>
      <c r="N2208">
        <v>120</v>
      </c>
      <c r="O2208" t="s">
        <v>306</v>
      </c>
      <c r="Q2208">
        <v>58.74</v>
      </c>
      <c r="R2208" t="str">
        <f>"DROGARIA POUPA MINAS (ULTRAMINAS) 3 (10129)"</f>
        <v>DROGARIA POUPA MINAS (ULTRAMINAS) 3 (10129)</v>
      </c>
      <c r="S2208" t="s">
        <v>22</v>
      </c>
      <c r="T2208">
        <v>22214</v>
      </c>
      <c r="U2208">
        <v>21927</v>
      </c>
      <c r="V2208" t="s">
        <v>22</v>
      </c>
    </row>
    <row r="2209" spans="1:22">
      <c r="A2209" t="str">
        <f t="shared" si="394"/>
        <v>15/09/2025</v>
      </c>
      <c r="B2209" t="str">
        <f t="shared" si="388"/>
        <v>SAÍDA</v>
      </c>
      <c r="C2209" t="str">
        <f t="shared" si="389"/>
        <v>PIX</v>
      </c>
      <c r="D2209" t="str">
        <f t="shared" si="390"/>
        <v>1509</v>
      </c>
      <c r="E2209" t="str">
        <f t="shared" si="391"/>
        <v>25</v>
      </c>
      <c r="F2209" t="str">
        <f t="shared" si="392"/>
        <v>COM</v>
      </c>
      <c r="G2209" t="str">
        <f>"RICHARD HENRIQUE DA SILVA (244)"</f>
        <v>RICHARD HENRIQUE DA SILVA (244)</v>
      </c>
      <c r="H2209" t="s">
        <v>579</v>
      </c>
      <c r="I2209" t="str">
        <f t="shared" si="387"/>
        <v>15/09/2025</v>
      </c>
      <c r="J2209" t="str">
        <f t="shared" si="393"/>
        <v>30/08/2025</v>
      </c>
      <c r="K2209">
        <v>45915</v>
      </c>
      <c r="N2209">
        <v>120</v>
      </c>
      <c r="O2209" t="s">
        <v>306</v>
      </c>
      <c r="Q2209">
        <v>308.18</v>
      </c>
      <c r="R2209" t="str">
        <f>"DROGARIA POUPA MINAS (ULTRAMINAS) 1 (10181)"</f>
        <v>DROGARIA POUPA MINAS (ULTRAMINAS) 1 (10181)</v>
      </c>
      <c r="S2209" t="s">
        <v>22</v>
      </c>
      <c r="T2209">
        <v>22214</v>
      </c>
      <c r="U2209">
        <v>21927</v>
      </c>
      <c r="V2209" t="s">
        <v>22</v>
      </c>
    </row>
    <row r="2210" spans="1:22">
      <c r="A2210" t="str">
        <f t="shared" si="394"/>
        <v>15/09/2025</v>
      </c>
      <c r="B2210" t="str">
        <f t="shared" si="388"/>
        <v>SAÍDA</v>
      </c>
      <c r="C2210" t="str">
        <f t="shared" si="389"/>
        <v>PIX</v>
      </c>
      <c r="D2210" t="str">
        <f t="shared" si="390"/>
        <v>1509</v>
      </c>
      <c r="E2210" t="str">
        <f t="shared" si="391"/>
        <v>25</v>
      </c>
      <c r="F2210" t="str">
        <f t="shared" si="392"/>
        <v>COM</v>
      </c>
      <c r="G2210" t="str">
        <f t="shared" ref="G2210:G2220" si="395">"PATRICK DE SOUZA CORREA (92)"</f>
        <v>PATRICK DE SOUZA CORREA (92)</v>
      </c>
      <c r="H2210" t="str">
        <f>"PAGAMENTO LIDERANÇA REF. MES 08/2025 - PIX: CELULAR - CHAVE: (31) 99216-8711"</f>
        <v>PAGAMENTO LIDERANÇA REF. MES 08/2025 - PIX: CELULAR - CHAVE: (31) 99216-8711</v>
      </c>
      <c r="I2210" t="str">
        <f t="shared" si="387"/>
        <v>15/09/2025</v>
      </c>
      <c r="J2210" t="str">
        <f t="shared" si="393"/>
        <v>30/08/2025</v>
      </c>
      <c r="K2210" t="str">
        <f>("15/09/2025")</f>
        <v>15/09/2025</v>
      </c>
      <c r="L2210">
        <v>318.20999999999998</v>
      </c>
      <c r="M2210">
        <v>318.20999999999998</v>
      </c>
      <c r="N2210">
        <v>120</v>
      </c>
      <c r="O2210" t="str">
        <f>"PAGAMENTO COMISSAO LIDERES"</f>
        <v>PAGAMENTO COMISSAO LIDERES</v>
      </c>
      <c r="P2210">
        <v>318.20999999999998</v>
      </c>
      <c r="S2210" t="str">
        <f>"BANCO CORA (102)"</f>
        <v>BANCO CORA (102)</v>
      </c>
      <c r="T2210">
        <v>22215</v>
      </c>
      <c r="U2210">
        <v>21940</v>
      </c>
      <c r="V2210" t="s">
        <v>22</v>
      </c>
    </row>
    <row r="2211" spans="1:22">
      <c r="A2211" t="str">
        <f t="shared" si="394"/>
        <v>15/09/2025</v>
      </c>
      <c r="B2211" t="str">
        <f t="shared" si="388"/>
        <v>SAÍDA</v>
      </c>
      <c r="C2211" t="str">
        <f t="shared" si="389"/>
        <v>PIX</v>
      </c>
      <c r="D2211" t="str">
        <f t="shared" si="390"/>
        <v>1509</v>
      </c>
      <c r="E2211" t="str">
        <f t="shared" si="391"/>
        <v>25</v>
      </c>
      <c r="F2211" t="str">
        <f t="shared" si="392"/>
        <v>COM</v>
      </c>
      <c r="G2211" t="str">
        <f t="shared" si="395"/>
        <v>PATRICK DE SOUZA CORREA (92)</v>
      </c>
      <c r="H2211" t="s">
        <v>580</v>
      </c>
      <c r="I2211" t="str">
        <f t="shared" si="387"/>
        <v>15/09/2025</v>
      </c>
      <c r="J2211" t="str">
        <f t="shared" si="393"/>
        <v>30/08/2025</v>
      </c>
      <c r="K2211">
        <v>45915</v>
      </c>
      <c r="N2211">
        <v>120</v>
      </c>
      <c r="O2211" t="s">
        <v>306</v>
      </c>
      <c r="Q2211">
        <v>27.03</v>
      </c>
      <c r="R2211" t="str">
        <f>"FARMÁCIA INDIANA LJ 182 (10079)"</f>
        <v>FARMÁCIA INDIANA LJ 182 (10079)</v>
      </c>
      <c r="S2211" t="s">
        <v>22</v>
      </c>
      <c r="T2211">
        <v>22215</v>
      </c>
      <c r="U2211">
        <v>21940</v>
      </c>
      <c r="V2211" t="s">
        <v>22</v>
      </c>
    </row>
    <row r="2212" spans="1:22">
      <c r="A2212" t="str">
        <f t="shared" si="394"/>
        <v>15/09/2025</v>
      </c>
      <c r="B2212" t="str">
        <f t="shared" si="388"/>
        <v>SAÍDA</v>
      </c>
      <c r="C2212" t="str">
        <f t="shared" si="389"/>
        <v>PIX</v>
      </c>
      <c r="D2212" t="str">
        <f t="shared" si="390"/>
        <v>1509</v>
      </c>
      <c r="E2212" t="str">
        <f t="shared" si="391"/>
        <v>25</v>
      </c>
      <c r="F2212" t="str">
        <f t="shared" si="392"/>
        <v>COM</v>
      </c>
      <c r="G2212" t="str">
        <f t="shared" si="395"/>
        <v>PATRICK DE SOUZA CORREA (92)</v>
      </c>
      <c r="H2212" t="s">
        <v>580</v>
      </c>
      <c r="I2212" t="str">
        <f t="shared" si="387"/>
        <v>15/09/2025</v>
      </c>
      <c r="J2212" t="str">
        <f t="shared" si="393"/>
        <v>30/08/2025</v>
      </c>
      <c r="K2212">
        <v>45915</v>
      </c>
      <c r="N2212">
        <v>120</v>
      </c>
      <c r="O2212" t="s">
        <v>306</v>
      </c>
      <c r="Q2212">
        <v>13.71</v>
      </c>
      <c r="R2212" t="str">
        <f>"FARMÁCIA INDIANA LJ 184 (10080)"</f>
        <v>FARMÁCIA INDIANA LJ 184 (10080)</v>
      </c>
      <c r="S2212" t="s">
        <v>22</v>
      </c>
      <c r="T2212">
        <v>22215</v>
      </c>
      <c r="U2212">
        <v>21940</v>
      </c>
      <c r="V2212" t="s">
        <v>22</v>
      </c>
    </row>
    <row r="2213" spans="1:22">
      <c r="A2213" t="str">
        <f t="shared" si="394"/>
        <v>15/09/2025</v>
      </c>
      <c r="B2213" t="str">
        <f t="shared" si="388"/>
        <v>SAÍDA</v>
      </c>
      <c r="C2213" t="str">
        <f t="shared" si="389"/>
        <v>PIX</v>
      </c>
      <c r="D2213" t="str">
        <f t="shared" si="390"/>
        <v>1509</v>
      </c>
      <c r="E2213" t="str">
        <f t="shared" si="391"/>
        <v>25</v>
      </c>
      <c r="F2213" t="str">
        <f t="shared" si="392"/>
        <v>COM</v>
      </c>
      <c r="G2213" t="str">
        <f t="shared" si="395"/>
        <v>PATRICK DE SOUZA CORREA (92)</v>
      </c>
      <c r="H2213" t="s">
        <v>580</v>
      </c>
      <c r="I2213" t="str">
        <f t="shared" si="387"/>
        <v>15/09/2025</v>
      </c>
      <c r="J2213" t="str">
        <f t="shared" si="393"/>
        <v>30/08/2025</v>
      </c>
      <c r="K2213">
        <v>45915</v>
      </c>
      <c r="N2213">
        <v>120</v>
      </c>
      <c r="O2213" t="s">
        <v>306</v>
      </c>
      <c r="Q2213">
        <v>27.05</v>
      </c>
      <c r="R2213" t="str">
        <f>"FARMÁCIA INDIANA LJ 186 (10081)"</f>
        <v>FARMÁCIA INDIANA LJ 186 (10081)</v>
      </c>
      <c r="S2213" t="s">
        <v>22</v>
      </c>
      <c r="T2213">
        <v>22215</v>
      </c>
      <c r="U2213">
        <v>21940</v>
      </c>
      <c r="V2213" t="s">
        <v>22</v>
      </c>
    </row>
    <row r="2214" spans="1:22">
      <c r="A2214" t="str">
        <f t="shared" si="394"/>
        <v>15/09/2025</v>
      </c>
      <c r="B2214" t="str">
        <f t="shared" si="388"/>
        <v>SAÍDA</v>
      </c>
      <c r="C2214" t="str">
        <f t="shared" si="389"/>
        <v>PIX</v>
      </c>
      <c r="D2214" t="str">
        <f t="shared" si="390"/>
        <v>1509</v>
      </c>
      <c r="E2214" t="str">
        <f t="shared" si="391"/>
        <v>25</v>
      </c>
      <c r="F2214" t="str">
        <f t="shared" si="392"/>
        <v>COM</v>
      </c>
      <c r="G2214" t="str">
        <f t="shared" si="395"/>
        <v>PATRICK DE SOUZA CORREA (92)</v>
      </c>
      <c r="H2214" t="s">
        <v>580</v>
      </c>
      <c r="I2214" t="str">
        <f t="shared" si="387"/>
        <v>15/09/2025</v>
      </c>
      <c r="J2214" t="str">
        <f t="shared" si="393"/>
        <v>30/08/2025</v>
      </c>
      <c r="K2214">
        <v>45915</v>
      </c>
      <c r="N2214">
        <v>120</v>
      </c>
      <c r="O2214" t="s">
        <v>306</v>
      </c>
      <c r="Q2214">
        <v>13.71</v>
      </c>
      <c r="R2214" t="str">
        <f>"FARMÁCIA INDIANA LJ 195 (10083)"</f>
        <v>FARMÁCIA INDIANA LJ 195 (10083)</v>
      </c>
      <c r="S2214" t="s">
        <v>22</v>
      </c>
      <c r="T2214">
        <v>22215</v>
      </c>
      <c r="U2214">
        <v>21940</v>
      </c>
      <c r="V2214" t="s">
        <v>22</v>
      </c>
    </row>
    <row r="2215" spans="1:22">
      <c r="A2215" t="str">
        <f t="shared" si="394"/>
        <v>15/09/2025</v>
      </c>
      <c r="B2215" t="str">
        <f t="shared" si="388"/>
        <v>SAÍDA</v>
      </c>
      <c r="C2215" t="str">
        <f t="shared" si="389"/>
        <v>PIX</v>
      </c>
      <c r="D2215" t="str">
        <f t="shared" si="390"/>
        <v>1509</v>
      </c>
      <c r="E2215" t="str">
        <f t="shared" si="391"/>
        <v>25</v>
      </c>
      <c r="F2215" t="str">
        <f t="shared" si="392"/>
        <v>COM</v>
      </c>
      <c r="G2215" t="str">
        <f t="shared" si="395"/>
        <v>PATRICK DE SOUZA CORREA (92)</v>
      </c>
      <c r="H2215" t="s">
        <v>580</v>
      </c>
      <c r="I2215" t="str">
        <f t="shared" si="387"/>
        <v>15/09/2025</v>
      </c>
      <c r="J2215" t="str">
        <f t="shared" si="393"/>
        <v>30/08/2025</v>
      </c>
      <c r="K2215">
        <v>45915</v>
      </c>
      <c r="N2215">
        <v>120</v>
      </c>
      <c r="O2215" t="s">
        <v>306</v>
      </c>
      <c r="Q2215">
        <v>32.200000000000003</v>
      </c>
      <c r="R2215" t="str">
        <f>"FARMÁCIA INDIANA LJ 204 (10087)"</f>
        <v>FARMÁCIA INDIANA LJ 204 (10087)</v>
      </c>
      <c r="S2215" t="s">
        <v>22</v>
      </c>
      <c r="T2215">
        <v>22215</v>
      </c>
      <c r="U2215">
        <v>21940</v>
      </c>
      <c r="V2215" t="s">
        <v>22</v>
      </c>
    </row>
    <row r="2216" spans="1:22">
      <c r="A2216" t="str">
        <f t="shared" si="394"/>
        <v>15/09/2025</v>
      </c>
      <c r="B2216" t="str">
        <f t="shared" si="388"/>
        <v>SAÍDA</v>
      </c>
      <c r="C2216" t="str">
        <f t="shared" si="389"/>
        <v>PIX</v>
      </c>
      <c r="D2216" t="str">
        <f t="shared" si="390"/>
        <v>1509</v>
      </c>
      <c r="E2216" t="str">
        <f t="shared" si="391"/>
        <v>25</v>
      </c>
      <c r="F2216" t="str">
        <f t="shared" si="392"/>
        <v>COM</v>
      </c>
      <c r="G2216" t="str">
        <f t="shared" si="395"/>
        <v>PATRICK DE SOUZA CORREA (92)</v>
      </c>
      <c r="H2216" t="s">
        <v>580</v>
      </c>
      <c r="I2216" t="str">
        <f t="shared" si="387"/>
        <v>15/09/2025</v>
      </c>
      <c r="J2216" t="str">
        <f t="shared" si="393"/>
        <v>30/08/2025</v>
      </c>
      <c r="K2216">
        <v>45915</v>
      </c>
      <c r="N2216">
        <v>120</v>
      </c>
      <c r="O2216" t="s">
        <v>306</v>
      </c>
      <c r="Q2216">
        <v>36.5</v>
      </c>
      <c r="R2216" t="str">
        <f>"FARMÁCIA INDIANA LJ 207 (10088)"</f>
        <v>FARMÁCIA INDIANA LJ 207 (10088)</v>
      </c>
      <c r="S2216" t="s">
        <v>22</v>
      </c>
      <c r="T2216">
        <v>22215</v>
      </c>
      <c r="U2216">
        <v>21940</v>
      </c>
      <c r="V2216" t="s">
        <v>22</v>
      </c>
    </row>
    <row r="2217" spans="1:22">
      <c r="A2217" t="str">
        <f t="shared" si="394"/>
        <v>15/09/2025</v>
      </c>
      <c r="B2217" t="str">
        <f t="shared" si="388"/>
        <v>SAÍDA</v>
      </c>
      <c r="C2217" t="str">
        <f t="shared" si="389"/>
        <v>PIX</v>
      </c>
      <c r="D2217" t="str">
        <f t="shared" si="390"/>
        <v>1509</v>
      </c>
      <c r="E2217" t="str">
        <f t="shared" si="391"/>
        <v>25</v>
      </c>
      <c r="F2217" t="str">
        <f t="shared" si="392"/>
        <v>COM</v>
      </c>
      <c r="G2217" t="str">
        <f t="shared" si="395"/>
        <v>PATRICK DE SOUZA CORREA (92)</v>
      </c>
      <c r="H2217" t="s">
        <v>580</v>
      </c>
      <c r="I2217" t="str">
        <f t="shared" si="387"/>
        <v>15/09/2025</v>
      </c>
      <c r="J2217" t="str">
        <f t="shared" si="393"/>
        <v>30/08/2025</v>
      </c>
      <c r="K2217">
        <v>45915</v>
      </c>
      <c r="N2217">
        <v>120</v>
      </c>
      <c r="O2217" t="s">
        <v>306</v>
      </c>
      <c r="Q2217">
        <v>42.99</v>
      </c>
      <c r="R2217" t="str">
        <f>"FARMÁCIA INDIANA LJ 209 (10089)"</f>
        <v>FARMÁCIA INDIANA LJ 209 (10089)</v>
      </c>
      <c r="S2217" t="s">
        <v>22</v>
      </c>
      <c r="T2217">
        <v>22215</v>
      </c>
      <c r="U2217">
        <v>21940</v>
      </c>
      <c r="V2217" t="s">
        <v>22</v>
      </c>
    </row>
    <row r="2218" spans="1:22">
      <c r="A2218" t="str">
        <f t="shared" si="394"/>
        <v>15/09/2025</v>
      </c>
      <c r="B2218" t="str">
        <f t="shared" si="388"/>
        <v>SAÍDA</v>
      </c>
      <c r="C2218" t="str">
        <f t="shared" si="389"/>
        <v>PIX</v>
      </c>
      <c r="D2218" t="str">
        <f t="shared" si="390"/>
        <v>1509</v>
      </c>
      <c r="E2218" t="str">
        <f t="shared" si="391"/>
        <v>25</v>
      </c>
      <c r="F2218" t="str">
        <f t="shared" si="392"/>
        <v>COM</v>
      </c>
      <c r="G2218" t="str">
        <f t="shared" si="395"/>
        <v>PATRICK DE SOUZA CORREA (92)</v>
      </c>
      <c r="H2218" t="s">
        <v>580</v>
      </c>
      <c r="I2218" t="str">
        <f t="shared" si="387"/>
        <v>15/09/2025</v>
      </c>
      <c r="J2218" t="str">
        <f t="shared" si="393"/>
        <v>30/08/2025</v>
      </c>
      <c r="K2218">
        <v>45915</v>
      </c>
      <c r="N2218">
        <v>120</v>
      </c>
      <c r="O2218" t="s">
        <v>306</v>
      </c>
      <c r="Q2218">
        <v>65.489999999999995</v>
      </c>
      <c r="R2218" t="str">
        <f>"FARMÁCIA INDIANA LJ 185 (10141)"</f>
        <v>FARMÁCIA INDIANA LJ 185 (10141)</v>
      </c>
      <c r="S2218" t="s">
        <v>22</v>
      </c>
      <c r="T2218">
        <v>22215</v>
      </c>
      <c r="U2218">
        <v>21940</v>
      </c>
      <c r="V2218" t="s">
        <v>22</v>
      </c>
    </row>
    <row r="2219" spans="1:22">
      <c r="A2219" t="str">
        <f t="shared" si="394"/>
        <v>15/09/2025</v>
      </c>
      <c r="B2219" t="str">
        <f t="shared" si="388"/>
        <v>SAÍDA</v>
      </c>
      <c r="C2219" t="str">
        <f t="shared" si="389"/>
        <v>PIX</v>
      </c>
      <c r="D2219" t="str">
        <f t="shared" si="390"/>
        <v>1509</v>
      </c>
      <c r="E2219" t="str">
        <f t="shared" si="391"/>
        <v>25</v>
      </c>
      <c r="F2219" t="str">
        <f t="shared" si="392"/>
        <v>COM</v>
      </c>
      <c r="G2219" t="str">
        <f t="shared" si="395"/>
        <v>PATRICK DE SOUZA CORREA (92)</v>
      </c>
      <c r="H2219" t="s">
        <v>580</v>
      </c>
      <c r="I2219" t="str">
        <f t="shared" si="387"/>
        <v>15/09/2025</v>
      </c>
      <c r="J2219" t="str">
        <f t="shared" si="393"/>
        <v>30/08/2025</v>
      </c>
      <c r="K2219">
        <v>45915</v>
      </c>
      <c r="N2219">
        <v>120</v>
      </c>
      <c r="O2219" t="s">
        <v>306</v>
      </c>
      <c r="Q2219">
        <v>27.33</v>
      </c>
      <c r="R2219" t="str">
        <f>"FARMÁCIA INDIANA LJ 205 (10150)"</f>
        <v>FARMÁCIA INDIANA LJ 205 (10150)</v>
      </c>
      <c r="S2219" t="s">
        <v>22</v>
      </c>
      <c r="T2219">
        <v>22215</v>
      </c>
      <c r="U2219">
        <v>21940</v>
      </c>
      <c r="V2219" t="s">
        <v>22</v>
      </c>
    </row>
    <row r="2220" spans="1:22">
      <c r="A2220" t="str">
        <f t="shared" si="394"/>
        <v>15/09/2025</v>
      </c>
      <c r="B2220" t="str">
        <f t="shared" si="388"/>
        <v>SAÍDA</v>
      </c>
      <c r="C2220" t="str">
        <f t="shared" si="389"/>
        <v>PIX</v>
      </c>
      <c r="D2220" t="str">
        <f t="shared" si="390"/>
        <v>1509</v>
      </c>
      <c r="E2220" t="str">
        <f t="shared" si="391"/>
        <v>25</v>
      </c>
      <c r="F2220" t="str">
        <f t="shared" si="392"/>
        <v>COM</v>
      </c>
      <c r="G2220" t="str">
        <f t="shared" si="395"/>
        <v>PATRICK DE SOUZA CORREA (92)</v>
      </c>
      <c r="H2220" t="s">
        <v>580</v>
      </c>
      <c r="I2220" t="str">
        <f t="shared" si="387"/>
        <v>15/09/2025</v>
      </c>
      <c r="J2220" t="str">
        <f t="shared" si="393"/>
        <v>30/08/2025</v>
      </c>
      <c r="K2220">
        <v>45915</v>
      </c>
      <c r="N2220">
        <v>120</v>
      </c>
      <c r="O2220" t="s">
        <v>306</v>
      </c>
      <c r="Q2220">
        <v>32.200000000000003</v>
      </c>
      <c r="R2220" t="str">
        <f>"FARMÁCIA INDIANA LJ 266 (10186)"</f>
        <v>FARMÁCIA INDIANA LJ 266 (10186)</v>
      </c>
      <c r="S2220" t="s">
        <v>22</v>
      </c>
      <c r="T2220">
        <v>22215</v>
      </c>
      <c r="U2220">
        <v>21940</v>
      </c>
      <c r="V2220" t="s">
        <v>22</v>
      </c>
    </row>
    <row r="2221" spans="1:22">
      <c r="A2221" t="str">
        <f t="shared" si="394"/>
        <v>15/09/2025</v>
      </c>
      <c r="B2221" t="str">
        <f t="shared" si="388"/>
        <v>SAÍDA</v>
      </c>
      <c r="C2221" t="str">
        <f t="shared" si="389"/>
        <v>PIX</v>
      </c>
      <c r="D2221" t="str">
        <f t="shared" si="390"/>
        <v>1509</v>
      </c>
      <c r="E2221" t="str">
        <f t="shared" si="391"/>
        <v>25</v>
      </c>
      <c r="F2221" t="str">
        <f t="shared" si="392"/>
        <v>COM</v>
      </c>
      <c r="G2221" t="str">
        <f>"JARLES DE SOUZA PEREIRA (109)"</f>
        <v>JARLES DE SOUZA PEREIRA (109)</v>
      </c>
      <c r="H2221" t="str">
        <f>"PAGAMENTO LIDERANÇA REF. MES 08/2025 - PIX: CELULAR - CHAVE: (73) 99115-960"</f>
        <v>PAGAMENTO LIDERANÇA REF. MES 08/2025 - PIX: CELULAR - CHAVE: (73) 99115-960</v>
      </c>
      <c r="I2221" t="str">
        <f t="shared" si="387"/>
        <v>15/09/2025</v>
      </c>
      <c r="J2221" t="str">
        <f t="shared" si="393"/>
        <v>30/08/2025</v>
      </c>
      <c r="K2221" t="str">
        <f>("15/09/2025")</f>
        <v>15/09/2025</v>
      </c>
      <c r="L2221">
        <v>300</v>
      </c>
      <c r="M2221">
        <v>300</v>
      </c>
      <c r="N2221">
        <v>120</v>
      </c>
      <c r="O2221" t="str">
        <f>"PAGAMENTO COMISSAO LIDERES"</f>
        <v>PAGAMENTO COMISSAO LIDERES</v>
      </c>
      <c r="P2221">
        <v>300</v>
      </c>
      <c r="S2221" t="str">
        <f>"BANCO CORA (102)"</f>
        <v>BANCO CORA (102)</v>
      </c>
      <c r="T2221">
        <v>22216</v>
      </c>
      <c r="U2221">
        <v>21936</v>
      </c>
      <c r="V2221" t="s">
        <v>22</v>
      </c>
    </row>
    <row r="2222" spans="1:22">
      <c r="A2222" t="str">
        <f t="shared" si="394"/>
        <v>15/09/2025</v>
      </c>
      <c r="B2222" t="str">
        <f t="shared" si="388"/>
        <v>SAÍDA</v>
      </c>
      <c r="C2222" t="str">
        <f t="shared" si="389"/>
        <v>PIX</v>
      </c>
      <c r="D2222" t="str">
        <f t="shared" si="390"/>
        <v>1509</v>
      </c>
      <c r="E2222" t="str">
        <f t="shared" si="391"/>
        <v>25</v>
      </c>
      <c r="F2222" t="str">
        <f t="shared" si="392"/>
        <v>COM</v>
      </c>
      <c r="G2222" t="str">
        <f>"JARLES DE SOUZA PEREIRA (109)"</f>
        <v>JARLES DE SOUZA PEREIRA (109)</v>
      </c>
      <c r="H2222" t="s">
        <v>581</v>
      </c>
      <c r="I2222" t="str">
        <f t="shared" si="387"/>
        <v>15/09/2025</v>
      </c>
      <c r="J2222" t="str">
        <f t="shared" si="393"/>
        <v>30/08/2025</v>
      </c>
      <c r="K2222">
        <v>45915</v>
      </c>
      <c r="N2222">
        <v>120</v>
      </c>
      <c r="O2222" t="s">
        <v>306</v>
      </c>
      <c r="Q2222">
        <v>150</v>
      </c>
      <c r="R2222" t="str">
        <f>"FARMÁCIA INDIANA LJ 65 (10030)"</f>
        <v>FARMÁCIA INDIANA LJ 65 (10030)</v>
      </c>
      <c r="S2222" t="s">
        <v>22</v>
      </c>
      <c r="T2222">
        <v>22216</v>
      </c>
      <c r="U2222">
        <v>21936</v>
      </c>
      <c r="V2222" t="s">
        <v>22</v>
      </c>
    </row>
    <row r="2223" spans="1:22">
      <c r="A2223" t="str">
        <f t="shared" si="394"/>
        <v>15/09/2025</v>
      </c>
      <c r="B2223" t="str">
        <f t="shared" si="388"/>
        <v>SAÍDA</v>
      </c>
      <c r="C2223" t="str">
        <f t="shared" si="389"/>
        <v>PIX</v>
      </c>
      <c r="D2223" t="str">
        <f t="shared" si="390"/>
        <v>1509</v>
      </c>
      <c r="E2223" t="str">
        <f t="shared" si="391"/>
        <v>25</v>
      </c>
      <c r="F2223" t="str">
        <f t="shared" si="392"/>
        <v>COM</v>
      </c>
      <c r="G2223" t="str">
        <f>"JARLES DE SOUZA PEREIRA (109)"</f>
        <v>JARLES DE SOUZA PEREIRA (109)</v>
      </c>
      <c r="H2223" t="s">
        <v>581</v>
      </c>
      <c r="I2223" t="str">
        <f t="shared" si="387"/>
        <v>15/09/2025</v>
      </c>
      <c r="J2223" t="str">
        <f t="shared" si="393"/>
        <v>30/08/2025</v>
      </c>
      <c r="K2223">
        <v>45915</v>
      </c>
      <c r="N2223">
        <v>120</v>
      </c>
      <c r="O2223" t="s">
        <v>306</v>
      </c>
      <c r="Q2223">
        <v>150</v>
      </c>
      <c r="R2223" t="str">
        <f>"FARMÁCIA INDIANA LJ 173 (10075)"</f>
        <v>FARMÁCIA INDIANA LJ 173 (10075)</v>
      </c>
      <c r="S2223" t="s">
        <v>22</v>
      </c>
      <c r="T2223">
        <v>22216</v>
      </c>
      <c r="U2223">
        <v>21936</v>
      </c>
      <c r="V2223" t="s">
        <v>22</v>
      </c>
    </row>
    <row r="2224" spans="1:22">
      <c r="A2224" t="str">
        <f t="shared" si="394"/>
        <v>15/09/2025</v>
      </c>
      <c r="B2224" t="str">
        <f t="shared" si="388"/>
        <v>SAÍDA</v>
      </c>
      <c r="C2224" t="str">
        <f t="shared" si="389"/>
        <v>PIX</v>
      </c>
      <c r="D2224" t="str">
        <f t="shared" si="390"/>
        <v>1509</v>
      </c>
      <c r="E2224" t="str">
        <f t="shared" si="391"/>
        <v>25</v>
      </c>
      <c r="F2224" t="str">
        <f t="shared" si="392"/>
        <v>COM</v>
      </c>
      <c r="G2224" t="str">
        <f>"GABRIEL SOARES VIEIRA (18)"</f>
        <v>GABRIEL SOARES VIEIRA (18)</v>
      </c>
      <c r="H2224" t="str">
        <f>"PAGAMENTO LIDERANÇA REF. MES 08/2025 - PIX: CPF - CHAVE: 179.800.027-09"</f>
        <v>PAGAMENTO LIDERANÇA REF. MES 08/2025 - PIX: CPF - CHAVE: 179.800.027-09</v>
      </c>
      <c r="I2224" t="str">
        <f t="shared" si="387"/>
        <v>15/09/2025</v>
      </c>
      <c r="J2224" t="str">
        <f t="shared" si="393"/>
        <v>30/08/2025</v>
      </c>
      <c r="K2224" t="str">
        <f>("15/09/2025")</f>
        <v>15/09/2025</v>
      </c>
      <c r="L2224">
        <v>644.96</v>
      </c>
      <c r="M2224">
        <v>644.96</v>
      </c>
      <c r="N2224">
        <v>120</v>
      </c>
      <c r="O2224" t="str">
        <f>"PAGAMENTO COMISSAO LIDERES"</f>
        <v>PAGAMENTO COMISSAO LIDERES</v>
      </c>
      <c r="P2224">
        <v>644.96</v>
      </c>
      <c r="S2224" t="str">
        <f>"BANCO CORA (102)"</f>
        <v>BANCO CORA (102)</v>
      </c>
      <c r="T2224">
        <v>22217</v>
      </c>
      <c r="U2224">
        <v>21929</v>
      </c>
      <c r="V2224" t="s">
        <v>22</v>
      </c>
    </row>
    <row r="2225" spans="1:22">
      <c r="A2225" t="str">
        <f t="shared" si="394"/>
        <v>15/09/2025</v>
      </c>
      <c r="B2225" t="str">
        <f t="shared" si="388"/>
        <v>SAÍDA</v>
      </c>
      <c r="C2225" t="str">
        <f t="shared" si="389"/>
        <v>PIX</v>
      </c>
      <c r="D2225" t="str">
        <f t="shared" si="390"/>
        <v>1509</v>
      </c>
      <c r="E2225" t="str">
        <f t="shared" si="391"/>
        <v>25</v>
      </c>
      <c r="F2225" t="str">
        <f t="shared" si="392"/>
        <v>COM</v>
      </c>
      <c r="G2225" t="str">
        <f>"GABRIEL SOARES VIEIRA (18)"</f>
        <v>GABRIEL SOARES VIEIRA (18)</v>
      </c>
      <c r="H2225" t="s">
        <v>582</v>
      </c>
      <c r="I2225" t="str">
        <f t="shared" si="387"/>
        <v>15/09/2025</v>
      </c>
      <c r="J2225" t="str">
        <f t="shared" si="393"/>
        <v>30/08/2025</v>
      </c>
      <c r="K2225">
        <v>45915</v>
      </c>
      <c r="N2225">
        <v>120</v>
      </c>
      <c r="O2225" t="s">
        <v>306</v>
      </c>
      <c r="Q2225">
        <v>346.8</v>
      </c>
      <c r="R2225" t="str">
        <f>"FARMÁCIA INDIANA LJ 40 (10016)"</f>
        <v>FARMÁCIA INDIANA LJ 40 (10016)</v>
      </c>
      <c r="S2225" t="s">
        <v>22</v>
      </c>
      <c r="T2225">
        <v>22217</v>
      </c>
      <c r="U2225">
        <v>21929</v>
      </c>
      <c r="V2225" t="s">
        <v>22</v>
      </c>
    </row>
    <row r="2226" spans="1:22">
      <c r="A2226" t="str">
        <f t="shared" si="394"/>
        <v>15/09/2025</v>
      </c>
      <c r="B2226" t="str">
        <f t="shared" si="388"/>
        <v>SAÍDA</v>
      </c>
      <c r="C2226" t="str">
        <f t="shared" si="389"/>
        <v>PIX</v>
      </c>
      <c r="D2226" t="str">
        <f t="shared" si="390"/>
        <v>1509</v>
      </c>
      <c r="E2226" t="str">
        <f t="shared" si="391"/>
        <v>25</v>
      </c>
      <c r="F2226" t="str">
        <f t="shared" si="392"/>
        <v>COM</v>
      </c>
      <c r="G2226" t="str">
        <f>"GABRIEL SOARES VIEIRA (18)"</f>
        <v>GABRIEL SOARES VIEIRA (18)</v>
      </c>
      <c r="H2226" t="s">
        <v>582</v>
      </c>
      <c r="I2226" t="str">
        <f t="shared" si="387"/>
        <v>15/09/2025</v>
      </c>
      <c r="J2226" t="str">
        <f t="shared" si="393"/>
        <v>30/08/2025</v>
      </c>
      <c r="K2226">
        <v>45915</v>
      </c>
      <c r="N2226">
        <v>120</v>
      </c>
      <c r="O2226" t="s">
        <v>306</v>
      </c>
      <c r="Q2226">
        <v>182.78</v>
      </c>
      <c r="R2226" t="str">
        <f>"FARMÁCIA INDIANA LJ 61 (10027)"</f>
        <v>FARMÁCIA INDIANA LJ 61 (10027)</v>
      </c>
      <c r="S2226" t="s">
        <v>22</v>
      </c>
      <c r="T2226">
        <v>22217</v>
      </c>
      <c r="U2226">
        <v>21929</v>
      </c>
      <c r="V2226" t="s">
        <v>22</v>
      </c>
    </row>
    <row r="2227" spans="1:22">
      <c r="A2227" t="str">
        <f t="shared" si="394"/>
        <v>15/09/2025</v>
      </c>
      <c r="B2227" t="str">
        <f t="shared" si="388"/>
        <v>SAÍDA</v>
      </c>
      <c r="C2227" t="str">
        <f t="shared" si="389"/>
        <v>PIX</v>
      </c>
      <c r="D2227" t="str">
        <f t="shared" si="390"/>
        <v>1509</v>
      </c>
      <c r="E2227" t="str">
        <f t="shared" si="391"/>
        <v>25</v>
      </c>
      <c r="F2227" t="str">
        <f t="shared" si="392"/>
        <v>COM</v>
      </c>
      <c r="G2227" t="str">
        <f>"GABRIEL SOARES VIEIRA (18)"</f>
        <v>GABRIEL SOARES VIEIRA (18)</v>
      </c>
      <c r="H2227" t="s">
        <v>582</v>
      </c>
      <c r="I2227" t="str">
        <f t="shared" si="387"/>
        <v>15/09/2025</v>
      </c>
      <c r="J2227" t="str">
        <f t="shared" si="393"/>
        <v>30/08/2025</v>
      </c>
      <c r="K2227">
        <v>45915</v>
      </c>
      <c r="N2227">
        <v>120</v>
      </c>
      <c r="O2227" t="s">
        <v>306</v>
      </c>
      <c r="Q2227">
        <v>115.38</v>
      </c>
      <c r="R2227" t="str">
        <f>"FARMÁCIA INDIANA LJ 62 (10028)"</f>
        <v>FARMÁCIA INDIANA LJ 62 (10028)</v>
      </c>
      <c r="S2227" t="s">
        <v>22</v>
      </c>
      <c r="T2227">
        <v>22217</v>
      </c>
      <c r="U2227">
        <v>21929</v>
      </c>
      <c r="V2227" t="s">
        <v>22</v>
      </c>
    </row>
    <row r="2228" spans="1:22">
      <c r="A2228" t="str">
        <f t="shared" si="394"/>
        <v>15/09/2025</v>
      </c>
      <c r="B2228" t="str">
        <f t="shared" si="388"/>
        <v>SAÍDA</v>
      </c>
      <c r="C2228" t="str">
        <f t="shared" si="389"/>
        <v>PIX</v>
      </c>
      <c r="D2228" t="str">
        <f t="shared" si="390"/>
        <v>1509</v>
      </c>
      <c r="E2228" t="str">
        <f t="shared" si="391"/>
        <v>25</v>
      </c>
      <c r="F2228" t="str">
        <f t="shared" si="392"/>
        <v>COM</v>
      </c>
      <c r="G2228" t="str">
        <f>"FRANCIELE MORAIS SILVA (354)"</f>
        <v>FRANCIELE MORAIS SILVA (354)</v>
      </c>
      <c r="H2228" t="str">
        <f>"PAGAMENTO LIDERANÇA REF. MES 08/2025 - PIX: CPF - CHAVE: 104.591.886-58"</f>
        <v>PAGAMENTO LIDERANÇA REF. MES 08/2025 - PIX: CPF - CHAVE: 104.591.886-58</v>
      </c>
      <c r="I2228" t="str">
        <f t="shared" ref="I2228:I2260" si="396">("15/09/2025")</f>
        <v>15/09/2025</v>
      </c>
      <c r="J2228" t="str">
        <f t="shared" si="393"/>
        <v>30/08/2025</v>
      </c>
      <c r="K2228" t="str">
        <f>("15/09/2025")</f>
        <v>15/09/2025</v>
      </c>
      <c r="L2228">
        <v>103.79</v>
      </c>
      <c r="M2228">
        <v>103.79</v>
      </c>
      <c r="N2228">
        <v>120</v>
      </c>
      <c r="O2228" t="str">
        <f>"PAGAMENTO COMISSAO LIDERES"</f>
        <v>PAGAMENTO COMISSAO LIDERES</v>
      </c>
      <c r="P2228">
        <v>103.79</v>
      </c>
      <c r="S2228" t="str">
        <f>"BANCO CORA (102)"</f>
        <v>BANCO CORA (102)</v>
      </c>
      <c r="T2228">
        <v>22218</v>
      </c>
      <c r="U2228">
        <v>21942</v>
      </c>
      <c r="V2228" t="s">
        <v>22</v>
      </c>
    </row>
    <row r="2229" spans="1:22">
      <c r="A2229" t="str">
        <f t="shared" si="394"/>
        <v>15/09/2025</v>
      </c>
      <c r="B2229" t="str">
        <f t="shared" si="388"/>
        <v>SAÍDA</v>
      </c>
      <c r="C2229" t="str">
        <f t="shared" si="389"/>
        <v>PIX</v>
      </c>
      <c r="D2229" t="str">
        <f t="shared" si="390"/>
        <v>1509</v>
      </c>
      <c r="E2229" t="str">
        <f t="shared" si="391"/>
        <v>25</v>
      </c>
      <c r="F2229" t="str">
        <f t="shared" si="392"/>
        <v>COM</v>
      </c>
      <c r="G2229" t="str">
        <f>"FRANCIELE MORAIS SILVA (354)"</f>
        <v>FRANCIELE MORAIS SILVA (354)</v>
      </c>
      <c r="H2229" t="s">
        <v>583</v>
      </c>
      <c r="I2229" t="str">
        <f t="shared" si="396"/>
        <v>15/09/2025</v>
      </c>
      <c r="J2229" t="str">
        <f t="shared" si="393"/>
        <v>30/08/2025</v>
      </c>
      <c r="K2229">
        <v>45915</v>
      </c>
      <c r="N2229">
        <v>120</v>
      </c>
      <c r="O2229" t="s">
        <v>306</v>
      </c>
      <c r="Q2229">
        <v>51.89</v>
      </c>
      <c r="R2229" t="str">
        <f>"FRAN FARMA (10124)"</f>
        <v>FRAN FARMA (10124)</v>
      </c>
      <c r="S2229" t="s">
        <v>22</v>
      </c>
      <c r="T2229">
        <v>22218</v>
      </c>
      <c r="U2229">
        <v>21942</v>
      </c>
      <c r="V2229" t="s">
        <v>22</v>
      </c>
    </row>
    <row r="2230" spans="1:22">
      <c r="A2230" t="str">
        <f t="shared" si="394"/>
        <v>15/09/2025</v>
      </c>
      <c r="B2230" t="str">
        <f t="shared" si="388"/>
        <v>SAÍDA</v>
      </c>
      <c r="C2230" t="str">
        <f t="shared" si="389"/>
        <v>PIX</v>
      </c>
      <c r="D2230" t="str">
        <f t="shared" si="390"/>
        <v>1509</v>
      </c>
      <c r="E2230" t="str">
        <f t="shared" si="391"/>
        <v>25</v>
      </c>
      <c r="F2230" t="str">
        <f t="shared" si="392"/>
        <v>COM</v>
      </c>
      <c r="G2230" t="str">
        <f>"FRANCIELE MORAIS SILVA (354)"</f>
        <v>FRANCIELE MORAIS SILVA (354)</v>
      </c>
      <c r="H2230" t="s">
        <v>583</v>
      </c>
      <c r="I2230" t="str">
        <f t="shared" si="396"/>
        <v>15/09/2025</v>
      </c>
      <c r="J2230" t="str">
        <f t="shared" si="393"/>
        <v>30/08/2025</v>
      </c>
      <c r="K2230">
        <v>45915</v>
      </c>
      <c r="N2230">
        <v>120</v>
      </c>
      <c r="O2230" t="s">
        <v>306</v>
      </c>
      <c r="Q2230">
        <v>51.9</v>
      </c>
      <c r="R2230" t="str">
        <f>"FRAN FARMA LJ 2 (10131)"</f>
        <v>FRAN FARMA LJ 2 (10131)</v>
      </c>
      <c r="S2230" t="s">
        <v>22</v>
      </c>
      <c r="T2230">
        <v>22218</v>
      </c>
      <c r="U2230">
        <v>21942</v>
      </c>
      <c r="V2230" t="s">
        <v>22</v>
      </c>
    </row>
    <row r="2231" spans="1:22">
      <c r="A2231" t="str">
        <f t="shared" si="394"/>
        <v>15/09/2025</v>
      </c>
      <c r="B2231" t="str">
        <f t="shared" si="388"/>
        <v>SAÍDA</v>
      </c>
      <c r="C2231" t="str">
        <f t="shared" si="389"/>
        <v>PIX</v>
      </c>
      <c r="D2231" t="str">
        <f t="shared" ref="D2231:D2241" si="397">"150920"</f>
        <v>150920</v>
      </c>
      <c r="E2231" t="str">
        <f t="shared" si="391"/>
        <v>25</v>
      </c>
      <c r="F2231" t="str">
        <f t="shared" si="392"/>
        <v>COM</v>
      </c>
      <c r="G2231" t="str">
        <f t="shared" ref="G2231:G2241" si="398">"CASSIO DIAS RIBEIRO (32)"</f>
        <v>CASSIO DIAS RIBEIRO (32)</v>
      </c>
      <c r="H2231" t="str">
        <f>"PAGAMENTO LIDERANÇA REF. MES 08/2025 - PIX: CPF - CHAVE: 091.575.986-14"</f>
        <v>PAGAMENTO LIDERANÇA REF. MES 08/2025 - PIX: CPF - CHAVE: 091.575.986-14</v>
      </c>
      <c r="I2231" t="str">
        <f t="shared" si="396"/>
        <v>15/09/2025</v>
      </c>
      <c r="J2231" t="str">
        <f t="shared" si="393"/>
        <v>30/08/2025</v>
      </c>
      <c r="K2231" t="str">
        <f>("15/09/2025")</f>
        <v>15/09/2025</v>
      </c>
      <c r="L2231">
        <v>3469.18</v>
      </c>
      <c r="M2231">
        <v>3469.18</v>
      </c>
      <c r="N2231">
        <v>120</v>
      </c>
      <c r="O2231" t="str">
        <f>"PAGAMENTO COMISSAO LIDERES"</f>
        <v>PAGAMENTO COMISSAO LIDERES</v>
      </c>
      <c r="P2231">
        <v>3469.18</v>
      </c>
      <c r="S2231" t="str">
        <f>"BANCO CORA (102)"</f>
        <v>BANCO CORA (102)</v>
      </c>
      <c r="T2231">
        <v>22222</v>
      </c>
      <c r="U2231">
        <v>21930</v>
      </c>
      <c r="V2231" t="s">
        <v>22</v>
      </c>
    </row>
    <row r="2232" spans="1:22">
      <c r="A2232" t="str">
        <f t="shared" si="394"/>
        <v>15/09/2025</v>
      </c>
      <c r="B2232" t="str">
        <f t="shared" si="388"/>
        <v>SAÍDA</v>
      </c>
      <c r="C2232" t="str">
        <f t="shared" si="389"/>
        <v>PIX</v>
      </c>
      <c r="D2232" t="str">
        <f t="shared" si="397"/>
        <v>150920</v>
      </c>
      <c r="E2232" t="str">
        <f t="shared" si="391"/>
        <v>25</v>
      </c>
      <c r="F2232" t="str">
        <f t="shared" si="392"/>
        <v>COM</v>
      </c>
      <c r="G2232" t="str">
        <f t="shared" si="398"/>
        <v>CASSIO DIAS RIBEIRO (32)</v>
      </c>
      <c r="H2232" t="s">
        <v>557</v>
      </c>
      <c r="I2232" t="str">
        <f t="shared" si="396"/>
        <v>15/09/2025</v>
      </c>
      <c r="J2232" t="str">
        <f t="shared" si="393"/>
        <v>30/08/2025</v>
      </c>
      <c r="K2232">
        <v>45915</v>
      </c>
      <c r="N2232">
        <v>120</v>
      </c>
      <c r="O2232" t="s">
        <v>306</v>
      </c>
      <c r="Q2232">
        <v>1001.56</v>
      </c>
      <c r="R2232" t="str">
        <f>"FARMÁCIA INDIANA LJ 06 (10006)"</f>
        <v>FARMÁCIA INDIANA LJ 06 (10006)</v>
      </c>
      <c r="S2232" t="s">
        <v>22</v>
      </c>
      <c r="T2232">
        <v>22222</v>
      </c>
      <c r="U2232">
        <v>21930</v>
      </c>
      <c r="V2232" t="s">
        <v>22</v>
      </c>
    </row>
    <row r="2233" spans="1:22">
      <c r="A2233" t="str">
        <f t="shared" si="394"/>
        <v>15/09/2025</v>
      </c>
      <c r="B2233" t="str">
        <f t="shared" ref="B2233:B2264" si="399">"SAÍDA"</f>
        <v>SAÍDA</v>
      </c>
      <c r="C2233" t="str">
        <f t="shared" si="389"/>
        <v>PIX</v>
      </c>
      <c r="D2233" t="str">
        <f t="shared" si="397"/>
        <v>150920</v>
      </c>
      <c r="E2233" t="str">
        <f t="shared" si="391"/>
        <v>25</v>
      </c>
      <c r="F2233" t="str">
        <f t="shared" si="392"/>
        <v>COM</v>
      </c>
      <c r="G2233" t="str">
        <f t="shared" si="398"/>
        <v>CASSIO DIAS RIBEIRO (32)</v>
      </c>
      <c r="H2233" t="s">
        <v>557</v>
      </c>
      <c r="I2233" t="str">
        <f t="shared" si="396"/>
        <v>15/09/2025</v>
      </c>
      <c r="J2233" t="str">
        <f t="shared" si="393"/>
        <v>30/08/2025</v>
      </c>
      <c r="K2233">
        <v>45915</v>
      </c>
      <c r="N2233">
        <v>120</v>
      </c>
      <c r="O2233" t="s">
        <v>306</v>
      </c>
      <c r="Q2233">
        <v>515.16999999999996</v>
      </c>
      <c r="R2233" t="str">
        <f>"FARMÁCIA INDIANA LJ 11 (10008)"</f>
        <v>FARMÁCIA INDIANA LJ 11 (10008)</v>
      </c>
      <c r="S2233" t="s">
        <v>22</v>
      </c>
      <c r="T2233">
        <v>22222</v>
      </c>
      <c r="U2233">
        <v>21930</v>
      </c>
      <c r="V2233" t="s">
        <v>22</v>
      </c>
    </row>
    <row r="2234" spans="1:22">
      <c r="A2234" t="str">
        <f t="shared" si="394"/>
        <v>15/09/2025</v>
      </c>
      <c r="B2234" t="str">
        <f t="shared" si="399"/>
        <v>SAÍDA</v>
      </c>
      <c r="C2234" t="str">
        <f t="shared" ref="C2234:C2264" si="400">"PIX"</f>
        <v>PIX</v>
      </c>
      <c r="D2234" t="str">
        <f t="shared" si="397"/>
        <v>150920</v>
      </c>
      <c r="E2234" t="str">
        <f t="shared" ref="E2234:E2258" si="401">"25"</f>
        <v>25</v>
      </c>
      <c r="F2234" t="str">
        <f t="shared" ref="F2234:F2265" si="402">"COM"</f>
        <v>COM</v>
      </c>
      <c r="G2234" t="str">
        <f t="shared" si="398"/>
        <v>CASSIO DIAS RIBEIRO (32)</v>
      </c>
      <c r="H2234" t="s">
        <v>557</v>
      </c>
      <c r="I2234" t="str">
        <f t="shared" si="396"/>
        <v>15/09/2025</v>
      </c>
      <c r="J2234" t="str">
        <f t="shared" ref="J2234:J2258" si="403">("30/08/2025")</f>
        <v>30/08/2025</v>
      </c>
      <c r="K2234">
        <v>45915</v>
      </c>
      <c r="N2234">
        <v>120</v>
      </c>
      <c r="O2234" t="s">
        <v>306</v>
      </c>
      <c r="Q2234">
        <v>182.13</v>
      </c>
      <c r="R2234" t="str">
        <f>"FARMÁCIA INDIANA LJ 18 (10011)"</f>
        <v>FARMÁCIA INDIANA LJ 18 (10011)</v>
      </c>
      <c r="S2234" t="s">
        <v>22</v>
      </c>
      <c r="T2234">
        <v>22222</v>
      </c>
      <c r="U2234">
        <v>21930</v>
      </c>
      <c r="V2234" t="s">
        <v>22</v>
      </c>
    </row>
    <row r="2235" spans="1:22">
      <c r="A2235" t="str">
        <f t="shared" si="394"/>
        <v>15/09/2025</v>
      </c>
      <c r="B2235" t="str">
        <f t="shared" si="399"/>
        <v>SAÍDA</v>
      </c>
      <c r="C2235" t="str">
        <f t="shared" si="400"/>
        <v>PIX</v>
      </c>
      <c r="D2235" t="str">
        <f t="shared" si="397"/>
        <v>150920</v>
      </c>
      <c r="E2235" t="str">
        <f t="shared" si="401"/>
        <v>25</v>
      </c>
      <c r="F2235" t="str">
        <f t="shared" si="402"/>
        <v>COM</v>
      </c>
      <c r="G2235" t="str">
        <f t="shared" si="398"/>
        <v>CASSIO DIAS RIBEIRO (32)</v>
      </c>
      <c r="H2235" t="s">
        <v>557</v>
      </c>
      <c r="I2235" t="str">
        <f t="shared" si="396"/>
        <v>15/09/2025</v>
      </c>
      <c r="J2235" t="str">
        <f t="shared" si="403"/>
        <v>30/08/2025</v>
      </c>
      <c r="K2235">
        <v>45915</v>
      </c>
      <c r="N2235">
        <v>120</v>
      </c>
      <c r="O2235" t="s">
        <v>306</v>
      </c>
      <c r="Q2235">
        <v>182.13</v>
      </c>
      <c r="R2235" t="str">
        <f>"FARMÁCIA INDIANA LJ 19 (10012)"</f>
        <v>FARMÁCIA INDIANA LJ 19 (10012)</v>
      </c>
      <c r="S2235" t="s">
        <v>22</v>
      </c>
      <c r="T2235">
        <v>22222</v>
      </c>
      <c r="U2235">
        <v>21930</v>
      </c>
      <c r="V2235" t="s">
        <v>22</v>
      </c>
    </row>
    <row r="2236" spans="1:22">
      <c r="A2236" t="str">
        <f t="shared" si="394"/>
        <v>15/09/2025</v>
      </c>
      <c r="B2236" t="str">
        <f t="shared" si="399"/>
        <v>SAÍDA</v>
      </c>
      <c r="C2236" t="str">
        <f t="shared" si="400"/>
        <v>PIX</v>
      </c>
      <c r="D2236" t="str">
        <f t="shared" si="397"/>
        <v>150920</v>
      </c>
      <c r="E2236" t="str">
        <f t="shared" si="401"/>
        <v>25</v>
      </c>
      <c r="F2236" t="str">
        <f t="shared" si="402"/>
        <v>COM</v>
      </c>
      <c r="G2236" t="str">
        <f t="shared" si="398"/>
        <v>CASSIO DIAS RIBEIRO (32)</v>
      </c>
      <c r="H2236" t="s">
        <v>557</v>
      </c>
      <c r="I2236" t="str">
        <f t="shared" si="396"/>
        <v>15/09/2025</v>
      </c>
      <c r="J2236" t="str">
        <f t="shared" si="403"/>
        <v>30/08/2025</v>
      </c>
      <c r="K2236">
        <v>45915</v>
      </c>
      <c r="N2236">
        <v>120</v>
      </c>
      <c r="O2236" t="s">
        <v>306</v>
      </c>
      <c r="Q2236">
        <v>400.69</v>
      </c>
      <c r="R2236" t="str">
        <f>"FARMÁCIA INDIANA LJ 142 (10066)"</f>
        <v>FARMÁCIA INDIANA LJ 142 (10066)</v>
      </c>
      <c r="S2236" t="s">
        <v>22</v>
      </c>
      <c r="T2236">
        <v>22222</v>
      </c>
      <c r="U2236">
        <v>21930</v>
      </c>
      <c r="V2236" t="s">
        <v>22</v>
      </c>
    </row>
    <row r="2237" spans="1:22">
      <c r="A2237" t="str">
        <f t="shared" si="394"/>
        <v>15/09/2025</v>
      </c>
      <c r="B2237" t="str">
        <f t="shared" si="399"/>
        <v>SAÍDA</v>
      </c>
      <c r="C2237" t="str">
        <f t="shared" si="400"/>
        <v>PIX</v>
      </c>
      <c r="D2237" t="str">
        <f t="shared" si="397"/>
        <v>150920</v>
      </c>
      <c r="E2237" t="str">
        <f t="shared" si="401"/>
        <v>25</v>
      </c>
      <c r="F2237" t="str">
        <f t="shared" si="402"/>
        <v>COM</v>
      </c>
      <c r="G2237" t="str">
        <f t="shared" si="398"/>
        <v>CASSIO DIAS RIBEIRO (32)</v>
      </c>
      <c r="H2237" t="s">
        <v>557</v>
      </c>
      <c r="I2237" t="str">
        <f t="shared" si="396"/>
        <v>15/09/2025</v>
      </c>
      <c r="J2237" t="str">
        <f t="shared" si="403"/>
        <v>30/08/2025</v>
      </c>
      <c r="K2237">
        <v>45915</v>
      </c>
      <c r="N2237">
        <v>120</v>
      </c>
      <c r="O2237" t="s">
        <v>306</v>
      </c>
      <c r="Q2237">
        <v>97.48</v>
      </c>
      <c r="R2237" t="str">
        <f>"FARMÁCIA INDIANA LJ 181 (10078)"</f>
        <v>FARMÁCIA INDIANA LJ 181 (10078)</v>
      </c>
      <c r="S2237" t="s">
        <v>22</v>
      </c>
      <c r="T2237">
        <v>22222</v>
      </c>
      <c r="U2237">
        <v>21930</v>
      </c>
      <c r="V2237" t="s">
        <v>22</v>
      </c>
    </row>
    <row r="2238" spans="1:22">
      <c r="A2238" t="str">
        <f t="shared" si="394"/>
        <v>15/09/2025</v>
      </c>
      <c r="B2238" t="str">
        <f t="shared" si="399"/>
        <v>SAÍDA</v>
      </c>
      <c r="C2238" t="str">
        <f t="shared" si="400"/>
        <v>PIX</v>
      </c>
      <c r="D2238" t="str">
        <f t="shared" si="397"/>
        <v>150920</v>
      </c>
      <c r="E2238" t="str">
        <f t="shared" si="401"/>
        <v>25</v>
      </c>
      <c r="F2238" t="str">
        <f t="shared" si="402"/>
        <v>COM</v>
      </c>
      <c r="G2238" t="str">
        <f t="shared" si="398"/>
        <v>CASSIO DIAS RIBEIRO (32)</v>
      </c>
      <c r="H2238" t="s">
        <v>557</v>
      </c>
      <c r="I2238" t="str">
        <f t="shared" si="396"/>
        <v>15/09/2025</v>
      </c>
      <c r="J2238" t="str">
        <f t="shared" si="403"/>
        <v>30/08/2025</v>
      </c>
      <c r="K2238">
        <v>45915</v>
      </c>
      <c r="N2238">
        <v>120</v>
      </c>
      <c r="O2238" t="s">
        <v>306</v>
      </c>
      <c r="Q2238">
        <v>334.08</v>
      </c>
      <c r="R2238" t="str">
        <f>"FARMÁCIA INDIANA LJ 172 (10161)"</f>
        <v>FARMÁCIA INDIANA LJ 172 (10161)</v>
      </c>
      <c r="S2238" t="s">
        <v>22</v>
      </c>
      <c r="T2238">
        <v>22222</v>
      </c>
      <c r="U2238">
        <v>21930</v>
      </c>
      <c r="V2238" t="s">
        <v>22</v>
      </c>
    </row>
    <row r="2239" spans="1:22">
      <c r="A2239" t="str">
        <f t="shared" ref="A2239:A2260" si="404">("15/09/2025")</f>
        <v>15/09/2025</v>
      </c>
      <c r="B2239" t="str">
        <f t="shared" si="399"/>
        <v>SAÍDA</v>
      </c>
      <c r="C2239" t="str">
        <f t="shared" si="400"/>
        <v>PIX</v>
      </c>
      <c r="D2239" t="str">
        <f t="shared" si="397"/>
        <v>150920</v>
      </c>
      <c r="E2239" t="str">
        <f t="shared" si="401"/>
        <v>25</v>
      </c>
      <c r="F2239" t="str">
        <f t="shared" si="402"/>
        <v>COM</v>
      </c>
      <c r="G2239" t="str">
        <f t="shared" si="398"/>
        <v>CASSIO DIAS RIBEIRO (32)</v>
      </c>
      <c r="H2239" t="s">
        <v>557</v>
      </c>
      <c r="I2239" t="str">
        <f t="shared" si="396"/>
        <v>15/09/2025</v>
      </c>
      <c r="J2239" t="str">
        <f t="shared" si="403"/>
        <v>30/08/2025</v>
      </c>
      <c r="K2239">
        <v>45915</v>
      </c>
      <c r="N2239">
        <v>120</v>
      </c>
      <c r="O2239" t="s">
        <v>306</v>
      </c>
      <c r="Q2239">
        <v>603.64</v>
      </c>
      <c r="R2239" t="str">
        <f>"ENTREFARMA (10164)"</f>
        <v>ENTREFARMA (10164)</v>
      </c>
      <c r="S2239" t="s">
        <v>22</v>
      </c>
      <c r="T2239">
        <v>22222</v>
      </c>
      <c r="U2239">
        <v>21930</v>
      </c>
      <c r="V2239" t="s">
        <v>22</v>
      </c>
    </row>
    <row r="2240" spans="1:22">
      <c r="A2240" t="str">
        <f t="shared" si="404"/>
        <v>15/09/2025</v>
      </c>
      <c r="B2240" t="str">
        <f t="shared" si="399"/>
        <v>SAÍDA</v>
      </c>
      <c r="C2240" t="str">
        <f t="shared" si="400"/>
        <v>PIX</v>
      </c>
      <c r="D2240" t="str">
        <f t="shared" si="397"/>
        <v>150920</v>
      </c>
      <c r="E2240" t="str">
        <f t="shared" si="401"/>
        <v>25</v>
      </c>
      <c r="F2240" t="str">
        <f t="shared" si="402"/>
        <v>COM</v>
      </c>
      <c r="G2240" t="str">
        <f t="shared" si="398"/>
        <v>CASSIO DIAS RIBEIRO (32)</v>
      </c>
      <c r="H2240" t="s">
        <v>557</v>
      </c>
      <c r="I2240" t="str">
        <f t="shared" si="396"/>
        <v>15/09/2025</v>
      </c>
      <c r="J2240" t="str">
        <f t="shared" si="403"/>
        <v>30/08/2025</v>
      </c>
      <c r="K2240">
        <v>45915</v>
      </c>
      <c r="N2240">
        <v>120</v>
      </c>
      <c r="O2240" t="s">
        <v>306</v>
      </c>
      <c r="Q2240">
        <v>102.34</v>
      </c>
      <c r="R2240" t="str">
        <f>"ROSA MARIA LTDA (10165)"</f>
        <v>ROSA MARIA LTDA (10165)</v>
      </c>
      <c r="S2240" t="s">
        <v>22</v>
      </c>
      <c r="T2240">
        <v>22222</v>
      </c>
      <c r="U2240">
        <v>21930</v>
      </c>
      <c r="V2240" t="s">
        <v>22</v>
      </c>
    </row>
    <row r="2241" spans="1:22">
      <c r="A2241" t="str">
        <f t="shared" si="404"/>
        <v>15/09/2025</v>
      </c>
      <c r="B2241" t="str">
        <f t="shared" si="399"/>
        <v>SAÍDA</v>
      </c>
      <c r="C2241" t="str">
        <f t="shared" si="400"/>
        <v>PIX</v>
      </c>
      <c r="D2241" t="str">
        <f t="shared" si="397"/>
        <v>150920</v>
      </c>
      <c r="E2241" t="str">
        <f t="shared" si="401"/>
        <v>25</v>
      </c>
      <c r="F2241" t="str">
        <f t="shared" si="402"/>
        <v>COM</v>
      </c>
      <c r="G2241" t="str">
        <f t="shared" si="398"/>
        <v>CASSIO DIAS RIBEIRO (32)</v>
      </c>
      <c r="H2241" t="s">
        <v>557</v>
      </c>
      <c r="I2241" t="str">
        <f t="shared" si="396"/>
        <v>15/09/2025</v>
      </c>
      <c r="J2241" t="str">
        <f t="shared" si="403"/>
        <v>30/08/2025</v>
      </c>
      <c r="K2241">
        <v>45915</v>
      </c>
      <c r="N2241">
        <v>120</v>
      </c>
      <c r="O2241" t="s">
        <v>306</v>
      </c>
      <c r="Q2241">
        <v>49.96</v>
      </c>
      <c r="R2241" t="str">
        <f>"DROGARIA VAZ (10179)"</f>
        <v>DROGARIA VAZ (10179)</v>
      </c>
      <c r="S2241" t="s">
        <v>22</v>
      </c>
      <c r="T2241">
        <v>22222</v>
      </c>
      <c r="U2241">
        <v>21930</v>
      </c>
      <c r="V2241" t="s">
        <v>22</v>
      </c>
    </row>
    <row r="2242" spans="1:22">
      <c r="A2242" t="str">
        <f t="shared" si="404"/>
        <v>15/09/2025</v>
      </c>
      <c r="B2242" t="str">
        <f t="shared" si="399"/>
        <v>SAÍDA</v>
      </c>
      <c r="C2242" t="str">
        <f t="shared" si="400"/>
        <v>PIX</v>
      </c>
      <c r="D2242" t="str">
        <f t="shared" ref="D2242:D2258" si="405">"1509"</f>
        <v>1509</v>
      </c>
      <c r="E2242" t="str">
        <f t="shared" si="401"/>
        <v>25</v>
      </c>
      <c r="F2242" t="str">
        <f t="shared" si="402"/>
        <v>COM</v>
      </c>
      <c r="G2242" t="str">
        <f t="shared" ref="G2242:G2256" si="406">"CARLOS ROBERTO BADARÓ MACHADO (78)"</f>
        <v>CARLOS ROBERTO BADARÓ MACHADO (78)</v>
      </c>
      <c r="H2242" t="str">
        <f>"PAGAMENTO LIDERENÇA REF. MES 08/2025 - PIX: CELULAR - CHAVE: (32) 99166-8238"</f>
        <v>PAGAMENTO LIDERENÇA REF. MES 08/2025 - PIX: CELULAR - CHAVE: (32) 99166-8238</v>
      </c>
      <c r="I2242" t="str">
        <f t="shared" si="396"/>
        <v>15/09/2025</v>
      </c>
      <c r="J2242" t="str">
        <f t="shared" si="403"/>
        <v>30/08/2025</v>
      </c>
      <c r="K2242" t="str">
        <f>("15/09/2025")</f>
        <v>15/09/2025</v>
      </c>
      <c r="L2242">
        <v>1222.1500000000001</v>
      </c>
      <c r="M2242">
        <v>1222.1500000000001</v>
      </c>
      <c r="N2242">
        <v>120</v>
      </c>
      <c r="O2242" t="str">
        <f>"PAGAMENTO COMISSAO LIDERES"</f>
        <v>PAGAMENTO COMISSAO LIDERES</v>
      </c>
      <c r="P2242">
        <v>1222.1500000000001</v>
      </c>
      <c r="S2242" t="str">
        <f>"BANCO CORA (102)"</f>
        <v>BANCO CORA (102)</v>
      </c>
      <c r="T2242">
        <v>22223</v>
      </c>
      <c r="U2242">
        <v>21926</v>
      </c>
      <c r="V2242" t="s">
        <v>22</v>
      </c>
    </row>
    <row r="2243" spans="1:22">
      <c r="A2243" t="str">
        <f t="shared" si="404"/>
        <v>15/09/2025</v>
      </c>
      <c r="B2243" t="str">
        <f t="shared" si="399"/>
        <v>SAÍDA</v>
      </c>
      <c r="C2243" t="str">
        <f t="shared" si="400"/>
        <v>PIX</v>
      </c>
      <c r="D2243" t="str">
        <f t="shared" si="405"/>
        <v>1509</v>
      </c>
      <c r="E2243" t="str">
        <f t="shared" si="401"/>
        <v>25</v>
      </c>
      <c r="F2243" t="str">
        <f t="shared" si="402"/>
        <v>COM</v>
      </c>
      <c r="G2243" t="str">
        <f t="shared" si="406"/>
        <v>CARLOS ROBERTO BADARÓ MACHADO (78)</v>
      </c>
      <c r="H2243" t="s">
        <v>584</v>
      </c>
      <c r="I2243" t="str">
        <f t="shared" si="396"/>
        <v>15/09/2025</v>
      </c>
      <c r="J2243" t="str">
        <f t="shared" si="403"/>
        <v>30/08/2025</v>
      </c>
      <c r="K2243">
        <v>45915</v>
      </c>
      <c r="N2243">
        <v>120</v>
      </c>
      <c r="O2243" t="s">
        <v>306</v>
      </c>
      <c r="Q2243">
        <v>17.600000000000001</v>
      </c>
      <c r="R2243" t="str">
        <f>"FARMÁCIA INDIANA LJ 103 (10044)"</f>
        <v>FARMÁCIA INDIANA LJ 103 (10044)</v>
      </c>
      <c r="S2243" t="s">
        <v>22</v>
      </c>
      <c r="T2243">
        <v>22223</v>
      </c>
      <c r="U2243">
        <v>21926</v>
      </c>
      <c r="V2243" t="s">
        <v>22</v>
      </c>
    </row>
    <row r="2244" spans="1:22">
      <c r="A2244" t="str">
        <f t="shared" si="404"/>
        <v>15/09/2025</v>
      </c>
      <c r="B2244" t="str">
        <f t="shared" si="399"/>
        <v>SAÍDA</v>
      </c>
      <c r="C2244" t="str">
        <f t="shared" si="400"/>
        <v>PIX</v>
      </c>
      <c r="D2244" t="str">
        <f t="shared" si="405"/>
        <v>1509</v>
      </c>
      <c r="E2244" t="str">
        <f t="shared" si="401"/>
        <v>25</v>
      </c>
      <c r="F2244" t="str">
        <f t="shared" si="402"/>
        <v>COM</v>
      </c>
      <c r="G2244" t="str">
        <f t="shared" si="406"/>
        <v>CARLOS ROBERTO BADARÓ MACHADO (78)</v>
      </c>
      <c r="H2244" t="s">
        <v>584</v>
      </c>
      <c r="I2244" t="str">
        <f t="shared" si="396"/>
        <v>15/09/2025</v>
      </c>
      <c r="J2244" t="str">
        <f t="shared" si="403"/>
        <v>30/08/2025</v>
      </c>
      <c r="K2244">
        <v>45915</v>
      </c>
      <c r="N2244">
        <v>120</v>
      </c>
      <c r="O2244" t="s">
        <v>306</v>
      </c>
      <c r="Q2244">
        <v>76.510000000000005</v>
      </c>
      <c r="R2244" t="str">
        <f>"FARMÁCIA INDIANA LJ 109 (10047)"</f>
        <v>FARMÁCIA INDIANA LJ 109 (10047)</v>
      </c>
      <c r="S2244" t="s">
        <v>22</v>
      </c>
      <c r="T2244">
        <v>22223</v>
      </c>
      <c r="U2244">
        <v>21926</v>
      </c>
      <c r="V2244" t="s">
        <v>22</v>
      </c>
    </row>
    <row r="2245" spans="1:22">
      <c r="A2245" t="str">
        <f t="shared" si="404"/>
        <v>15/09/2025</v>
      </c>
      <c r="B2245" t="str">
        <f t="shared" si="399"/>
        <v>SAÍDA</v>
      </c>
      <c r="C2245" t="str">
        <f t="shared" si="400"/>
        <v>PIX</v>
      </c>
      <c r="D2245" t="str">
        <f t="shared" si="405"/>
        <v>1509</v>
      </c>
      <c r="E2245" t="str">
        <f t="shared" si="401"/>
        <v>25</v>
      </c>
      <c r="F2245" t="str">
        <f t="shared" si="402"/>
        <v>COM</v>
      </c>
      <c r="G2245" t="str">
        <f t="shared" si="406"/>
        <v>CARLOS ROBERTO BADARÓ MACHADO (78)</v>
      </c>
      <c r="H2245" t="s">
        <v>584</v>
      </c>
      <c r="I2245" t="str">
        <f t="shared" si="396"/>
        <v>15/09/2025</v>
      </c>
      <c r="J2245" t="str">
        <f t="shared" si="403"/>
        <v>30/08/2025</v>
      </c>
      <c r="K2245">
        <v>45915</v>
      </c>
      <c r="N2245">
        <v>120</v>
      </c>
      <c r="O2245" t="s">
        <v>306</v>
      </c>
      <c r="Q2245">
        <v>35.93</v>
      </c>
      <c r="R2245" t="str">
        <f>"FARMÁCIA INDIANA LJ 118 (10052)"</f>
        <v>FARMÁCIA INDIANA LJ 118 (10052)</v>
      </c>
      <c r="S2245" t="s">
        <v>22</v>
      </c>
      <c r="T2245">
        <v>22223</v>
      </c>
      <c r="U2245">
        <v>21926</v>
      </c>
      <c r="V2245" t="s">
        <v>22</v>
      </c>
    </row>
    <row r="2246" spans="1:22">
      <c r="A2246" t="str">
        <f t="shared" si="404"/>
        <v>15/09/2025</v>
      </c>
      <c r="B2246" t="str">
        <f t="shared" si="399"/>
        <v>SAÍDA</v>
      </c>
      <c r="C2246" t="str">
        <f t="shared" si="400"/>
        <v>PIX</v>
      </c>
      <c r="D2246" t="str">
        <f t="shared" si="405"/>
        <v>1509</v>
      </c>
      <c r="E2246" t="str">
        <f t="shared" si="401"/>
        <v>25</v>
      </c>
      <c r="F2246" t="str">
        <f t="shared" si="402"/>
        <v>COM</v>
      </c>
      <c r="G2246" t="str">
        <f t="shared" si="406"/>
        <v>CARLOS ROBERTO BADARÓ MACHADO (78)</v>
      </c>
      <c r="H2246" t="s">
        <v>584</v>
      </c>
      <c r="I2246" t="str">
        <f t="shared" si="396"/>
        <v>15/09/2025</v>
      </c>
      <c r="J2246" t="str">
        <f t="shared" si="403"/>
        <v>30/08/2025</v>
      </c>
      <c r="K2246">
        <v>45915</v>
      </c>
      <c r="N2246">
        <v>120</v>
      </c>
      <c r="O2246" t="s">
        <v>306</v>
      </c>
      <c r="Q2246">
        <v>17.84</v>
      </c>
      <c r="R2246" t="str">
        <f>"FARMÁCIA INDIANA LJ 140 (10064)"</f>
        <v>FARMÁCIA INDIANA LJ 140 (10064)</v>
      </c>
      <c r="S2246" t="s">
        <v>22</v>
      </c>
      <c r="T2246">
        <v>22223</v>
      </c>
      <c r="U2246">
        <v>21926</v>
      </c>
      <c r="V2246" t="s">
        <v>22</v>
      </c>
    </row>
    <row r="2247" spans="1:22">
      <c r="A2247" t="str">
        <f t="shared" si="404"/>
        <v>15/09/2025</v>
      </c>
      <c r="B2247" t="str">
        <f t="shared" si="399"/>
        <v>SAÍDA</v>
      </c>
      <c r="C2247" t="str">
        <f t="shared" si="400"/>
        <v>PIX</v>
      </c>
      <c r="D2247" t="str">
        <f t="shared" si="405"/>
        <v>1509</v>
      </c>
      <c r="E2247" t="str">
        <f t="shared" si="401"/>
        <v>25</v>
      </c>
      <c r="F2247" t="str">
        <f t="shared" si="402"/>
        <v>COM</v>
      </c>
      <c r="G2247" t="str">
        <f t="shared" si="406"/>
        <v>CARLOS ROBERTO BADARÓ MACHADO (78)</v>
      </c>
      <c r="H2247" t="s">
        <v>584</v>
      </c>
      <c r="I2247" t="str">
        <f t="shared" si="396"/>
        <v>15/09/2025</v>
      </c>
      <c r="J2247" t="str">
        <f t="shared" si="403"/>
        <v>30/08/2025</v>
      </c>
      <c r="K2247">
        <v>45915</v>
      </c>
      <c r="N2247">
        <v>120</v>
      </c>
      <c r="O2247" t="s">
        <v>306</v>
      </c>
      <c r="Q2247">
        <v>17.84</v>
      </c>
      <c r="R2247" t="str">
        <f>"FARMÁCIA INDIANA LJ 141 (10065)"</f>
        <v>FARMÁCIA INDIANA LJ 141 (10065)</v>
      </c>
      <c r="S2247" t="s">
        <v>22</v>
      </c>
      <c r="T2247">
        <v>22223</v>
      </c>
      <c r="U2247">
        <v>21926</v>
      </c>
      <c r="V2247" t="s">
        <v>22</v>
      </c>
    </row>
    <row r="2248" spans="1:22">
      <c r="A2248" t="str">
        <f t="shared" si="404"/>
        <v>15/09/2025</v>
      </c>
      <c r="B2248" t="str">
        <f t="shared" si="399"/>
        <v>SAÍDA</v>
      </c>
      <c r="C2248" t="str">
        <f t="shared" si="400"/>
        <v>PIX</v>
      </c>
      <c r="D2248" t="str">
        <f t="shared" si="405"/>
        <v>1509</v>
      </c>
      <c r="E2248" t="str">
        <f t="shared" si="401"/>
        <v>25</v>
      </c>
      <c r="F2248" t="str">
        <f t="shared" si="402"/>
        <v>COM</v>
      </c>
      <c r="G2248" t="str">
        <f t="shared" si="406"/>
        <v>CARLOS ROBERTO BADARÓ MACHADO (78)</v>
      </c>
      <c r="H2248" t="s">
        <v>584</v>
      </c>
      <c r="I2248" t="str">
        <f t="shared" si="396"/>
        <v>15/09/2025</v>
      </c>
      <c r="J2248" t="str">
        <f t="shared" si="403"/>
        <v>30/08/2025</v>
      </c>
      <c r="K2248">
        <v>45915</v>
      </c>
      <c r="N2248">
        <v>120</v>
      </c>
      <c r="O2248" t="s">
        <v>306</v>
      </c>
      <c r="Q2248">
        <v>17.84</v>
      </c>
      <c r="R2248" t="str">
        <f>"FARMÁCIA INDIANA LJ 154 (10070)"</f>
        <v>FARMÁCIA INDIANA LJ 154 (10070)</v>
      </c>
      <c r="S2248" t="s">
        <v>22</v>
      </c>
      <c r="T2248">
        <v>22223</v>
      </c>
      <c r="U2248">
        <v>21926</v>
      </c>
      <c r="V2248" t="s">
        <v>22</v>
      </c>
    </row>
    <row r="2249" spans="1:22">
      <c r="A2249" t="str">
        <f t="shared" si="404"/>
        <v>15/09/2025</v>
      </c>
      <c r="B2249" t="str">
        <f t="shared" si="399"/>
        <v>SAÍDA</v>
      </c>
      <c r="C2249" t="str">
        <f t="shared" si="400"/>
        <v>PIX</v>
      </c>
      <c r="D2249" t="str">
        <f t="shared" si="405"/>
        <v>1509</v>
      </c>
      <c r="E2249" t="str">
        <f t="shared" si="401"/>
        <v>25</v>
      </c>
      <c r="F2249" t="str">
        <f t="shared" si="402"/>
        <v>COM</v>
      </c>
      <c r="G2249" t="str">
        <f t="shared" si="406"/>
        <v>CARLOS ROBERTO BADARÓ MACHADO (78)</v>
      </c>
      <c r="H2249" t="s">
        <v>584</v>
      </c>
      <c r="I2249" t="str">
        <f t="shared" si="396"/>
        <v>15/09/2025</v>
      </c>
      <c r="J2249" t="str">
        <f t="shared" si="403"/>
        <v>30/08/2025</v>
      </c>
      <c r="K2249">
        <v>45915</v>
      </c>
      <c r="N2249">
        <v>120</v>
      </c>
      <c r="O2249" t="s">
        <v>306</v>
      </c>
      <c r="Q2249">
        <v>106.57</v>
      </c>
      <c r="R2249" t="str">
        <f>"FARMÁCIA INDIANA LJ 163 (10072)"</f>
        <v>FARMÁCIA INDIANA LJ 163 (10072)</v>
      </c>
      <c r="S2249" t="s">
        <v>22</v>
      </c>
      <c r="T2249">
        <v>22223</v>
      </c>
      <c r="U2249">
        <v>21926</v>
      </c>
      <c r="V2249" t="s">
        <v>22</v>
      </c>
    </row>
    <row r="2250" spans="1:22">
      <c r="A2250" t="str">
        <f t="shared" si="404"/>
        <v>15/09/2025</v>
      </c>
      <c r="B2250" t="str">
        <f t="shared" si="399"/>
        <v>SAÍDA</v>
      </c>
      <c r="C2250" t="str">
        <f t="shared" si="400"/>
        <v>PIX</v>
      </c>
      <c r="D2250" t="str">
        <f t="shared" si="405"/>
        <v>1509</v>
      </c>
      <c r="E2250" t="str">
        <f t="shared" si="401"/>
        <v>25</v>
      </c>
      <c r="F2250" t="str">
        <f t="shared" si="402"/>
        <v>COM</v>
      </c>
      <c r="G2250" t="str">
        <f t="shared" si="406"/>
        <v>CARLOS ROBERTO BADARÓ MACHADO (78)</v>
      </c>
      <c r="H2250" t="s">
        <v>584</v>
      </c>
      <c r="I2250" t="str">
        <f t="shared" si="396"/>
        <v>15/09/2025</v>
      </c>
      <c r="J2250" t="str">
        <f t="shared" si="403"/>
        <v>30/08/2025</v>
      </c>
      <c r="K2250">
        <v>45915</v>
      </c>
      <c r="N2250">
        <v>120</v>
      </c>
      <c r="O2250" t="s">
        <v>306</v>
      </c>
      <c r="Q2250">
        <v>35.93</v>
      </c>
      <c r="R2250" t="str">
        <f>"FARMÁCIA INDIANA LJ 192 (10082)"</f>
        <v>FARMÁCIA INDIANA LJ 192 (10082)</v>
      </c>
      <c r="S2250" t="s">
        <v>22</v>
      </c>
      <c r="T2250">
        <v>22223</v>
      </c>
      <c r="U2250">
        <v>21926</v>
      </c>
      <c r="V2250" t="s">
        <v>22</v>
      </c>
    </row>
    <row r="2251" spans="1:22">
      <c r="A2251" t="str">
        <f t="shared" si="404"/>
        <v>15/09/2025</v>
      </c>
      <c r="B2251" t="str">
        <f t="shared" si="399"/>
        <v>SAÍDA</v>
      </c>
      <c r="C2251" t="str">
        <f t="shared" si="400"/>
        <v>PIX</v>
      </c>
      <c r="D2251" t="str">
        <f t="shared" si="405"/>
        <v>1509</v>
      </c>
      <c r="E2251" t="str">
        <f t="shared" si="401"/>
        <v>25</v>
      </c>
      <c r="F2251" t="str">
        <f t="shared" si="402"/>
        <v>COM</v>
      </c>
      <c r="G2251" t="str">
        <f t="shared" si="406"/>
        <v>CARLOS ROBERTO BADARÓ MACHADO (78)</v>
      </c>
      <c r="H2251" t="s">
        <v>584</v>
      </c>
      <c r="I2251" t="str">
        <f t="shared" si="396"/>
        <v>15/09/2025</v>
      </c>
      <c r="J2251" t="str">
        <f t="shared" si="403"/>
        <v>30/08/2025</v>
      </c>
      <c r="K2251">
        <v>45915</v>
      </c>
      <c r="N2251">
        <v>120</v>
      </c>
      <c r="O2251" t="s">
        <v>306</v>
      </c>
      <c r="Q2251">
        <v>62.7</v>
      </c>
      <c r="R2251" t="str">
        <f>"FARMÁCIA INDIANA LJ 219 (10091)"</f>
        <v>FARMÁCIA INDIANA LJ 219 (10091)</v>
      </c>
      <c r="S2251" t="s">
        <v>22</v>
      </c>
      <c r="T2251">
        <v>22223</v>
      </c>
      <c r="U2251">
        <v>21926</v>
      </c>
      <c r="V2251" t="s">
        <v>22</v>
      </c>
    </row>
    <row r="2252" spans="1:22">
      <c r="A2252" t="str">
        <f t="shared" si="404"/>
        <v>15/09/2025</v>
      </c>
      <c r="B2252" t="str">
        <f t="shared" si="399"/>
        <v>SAÍDA</v>
      </c>
      <c r="C2252" t="str">
        <f t="shared" si="400"/>
        <v>PIX</v>
      </c>
      <c r="D2252" t="str">
        <f t="shared" si="405"/>
        <v>1509</v>
      </c>
      <c r="E2252" t="str">
        <f t="shared" si="401"/>
        <v>25</v>
      </c>
      <c r="F2252" t="str">
        <f t="shared" si="402"/>
        <v>COM</v>
      </c>
      <c r="G2252" t="str">
        <f t="shared" si="406"/>
        <v>CARLOS ROBERTO BADARÓ MACHADO (78)</v>
      </c>
      <c r="H2252" t="s">
        <v>584</v>
      </c>
      <c r="I2252" t="str">
        <f t="shared" si="396"/>
        <v>15/09/2025</v>
      </c>
      <c r="J2252" t="str">
        <f t="shared" si="403"/>
        <v>30/08/2025</v>
      </c>
      <c r="K2252">
        <v>45915</v>
      </c>
      <c r="N2252">
        <v>120</v>
      </c>
      <c r="O2252" t="s">
        <v>306</v>
      </c>
      <c r="Q2252">
        <v>58.17</v>
      </c>
      <c r="R2252" t="str">
        <f>"FARMÁCIA INDIANA LJ 221 (10093)"</f>
        <v>FARMÁCIA INDIANA LJ 221 (10093)</v>
      </c>
      <c r="S2252" t="s">
        <v>22</v>
      </c>
      <c r="T2252">
        <v>22223</v>
      </c>
      <c r="U2252">
        <v>21926</v>
      </c>
      <c r="V2252" t="s">
        <v>22</v>
      </c>
    </row>
    <row r="2253" spans="1:22">
      <c r="A2253" t="str">
        <f t="shared" si="404"/>
        <v>15/09/2025</v>
      </c>
      <c r="B2253" t="str">
        <f t="shared" si="399"/>
        <v>SAÍDA</v>
      </c>
      <c r="C2253" t="str">
        <f t="shared" si="400"/>
        <v>PIX</v>
      </c>
      <c r="D2253" t="str">
        <f t="shared" si="405"/>
        <v>1509</v>
      </c>
      <c r="E2253" t="str">
        <f t="shared" si="401"/>
        <v>25</v>
      </c>
      <c r="F2253" t="str">
        <f t="shared" si="402"/>
        <v>COM</v>
      </c>
      <c r="G2253" t="str">
        <f t="shared" si="406"/>
        <v>CARLOS ROBERTO BADARÓ MACHADO (78)</v>
      </c>
      <c r="H2253" t="s">
        <v>584</v>
      </c>
      <c r="I2253" t="str">
        <f t="shared" si="396"/>
        <v>15/09/2025</v>
      </c>
      <c r="J2253" t="str">
        <f t="shared" si="403"/>
        <v>30/08/2025</v>
      </c>
      <c r="K2253">
        <v>45915</v>
      </c>
      <c r="N2253">
        <v>120</v>
      </c>
      <c r="O2253" t="s">
        <v>306</v>
      </c>
      <c r="Q2253">
        <v>120.02</v>
      </c>
      <c r="R2253" t="str">
        <f>"PAGMENOS - LJ 608 (10135)"</f>
        <v>PAGMENOS - LJ 608 (10135)</v>
      </c>
      <c r="S2253" t="s">
        <v>22</v>
      </c>
      <c r="T2253">
        <v>22223</v>
      </c>
      <c r="U2253">
        <v>21926</v>
      </c>
      <c r="V2253" t="s">
        <v>22</v>
      </c>
    </row>
    <row r="2254" spans="1:22">
      <c r="A2254" t="str">
        <f t="shared" si="404"/>
        <v>15/09/2025</v>
      </c>
      <c r="B2254" t="str">
        <f t="shared" si="399"/>
        <v>SAÍDA</v>
      </c>
      <c r="C2254" t="str">
        <f t="shared" si="400"/>
        <v>PIX</v>
      </c>
      <c r="D2254" t="str">
        <f t="shared" si="405"/>
        <v>1509</v>
      </c>
      <c r="E2254" t="str">
        <f t="shared" si="401"/>
        <v>25</v>
      </c>
      <c r="F2254" t="str">
        <f t="shared" si="402"/>
        <v>COM</v>
      </c>
      <c r="G2254" t="str">
        <f t="shared" si="406"/>
        <v>CARLOS ROBERTO BADARÓ MACHADO (78)</v>
      </c>
      <c r="H2254" t="s">
        <v>584</v>
      </c>
      <c r="I2254" t="str">
        <f t="shared" si="396"/>
        <v>15/09/2025</v>
      </c>
      <c r="J2254" t="str">
        <f t="shared" si="403"/>
        <v>30/08/2025</v>
      </c>
      <c r="K2254">
        <v>45915</v>
      </c>
      <c r="N2254">
        <v>120</v>
      </c>
      <c r="O2254" t="s">
        <v>306</v>
      </c>
      <c r="Q2254">
        <v>255.31</v>
      </c>
      <c r="R2254" t="str">
        <f>"PAGMENOS - LJ 657 (10136)"</f>
        <v>PAGMENOS - LJ 657 (10136)</v>
      </c>
      <c r="S2254" t="s">
        <v>22</v>
      </c>
      <c r="T2254">
        <v>22223</v>
      </c>
      <c r="U2254">
        <v>21926</v>
      </c>
      <c r="V2254" t="s">
        <v>22</v>
      </c>
    </row>
    <row r="2255" spans="1:22">
      <c r="A2255" t="str">
        <f t="shared" si="404"/>
        <v>15/09/2025</v>
      </c>
      <c r="B2255" t="str">
        <f t="shared" si="399"/>
        <v>SAÍDA</v>
      </c>
      <c r="C2255" t="str">
        <f t="shared" si="400"/>
        <v>PIX</v>
      </c>
      <c r="D2255" t="str">
        <f t="shared" si="405"/>
        <v>1509</v>
      </c>
      <c r="E2255" t="str">
        <f t="shared" si="401"/>
        <v>25</v>
      </c>
      <c r="F2255" t="str">
        <f t="shared" si="402"/>
        <v>COM</v>
      </c>
      <c r="G2255" t="str">
        <f t="shared" si="406"/>
        <v>CARLOS ROBERTO BADARÓ MACHADO (78)</v>
      </c>
      <c r="H2255" t="s">
        <v>584</v>
      </c>
      <c r="I2255" t="str">
        <f t="shared" si="396"/>
        <v>15/09/2025</v>
      </c>
      <c r="J2255" t="str">
        <f t="shared" si="403"/>
        <v>30/08/2025</v>
      </c>
      <c r="K2255">
        <v>45915</v>
      </c>
      <c r="N2255">
        <v>120</v>
      </c>
      <c r="O2255" t="s">
        <v>306</v>
      </c>
      <c r="Q2255">
        <v>110.48</v>
      </c>
      <c r="R2255" t="str">
        <f>"BRASIL FARMA (10173)"</f>
        <v>BRASIL FARMA (10173)</v>
      </c>
      <c r="S2255" t="s">
        <v>22</v>
      </c>
      <c r="T2255">
        <v>22223</v>
      </c>
      <c r="U2255">
        <v>21926</v>
      </c>
      <c r="V2255" t="s">
        <v>22</v>
      </c>
    </row>
    <row r="2256" spans="1:22">
      <c r="A2256" t="str">
        <f t="shared" si="404"/>
        <v>15/09/2025</v>
      </c>
      <c r="B2256" t="str">
        <f t="shared" si="399"/>
        <v>SAÍDA</v>
      </c>
      <c r="C2256" t="str">
        <f t="shared" si="400"/>
        <v>PIX</v>
      </c>
      <c r="D2256" t="str">
        <f t="shared" si="405"/>
        <v>1509</v>
      </c>
      <c r="E2256" t="str">
        <f t="shared" si="401"/>
        <v>25</v>
      </c>
      <c r="F2256" t="str">
        <f t="shared" si="402"/>
        <v>COM</v>
      </c>
      <c r="G2256" t="str">
        <f t="shared" si="406"/>
        <v>CARLOS ROBERTO BADARÓ MACHADO (78)</v>
      </c>
      <c r="H2256" t="s">
        <v>584</v>
      </c>
      <c r="I2256" t="str">
        <f t="shared" si="396"/>
        <v>15/09/2025</v>
      </c>
      <c r="J2256" t="str">
        <f t="shared" si="403"/>
        <v>30/08/2025</v>
      </c>
      <c r="K2256">
        <v>45915</v>
      </c>
      <c r="N2256">
        <v>120</v>
      </c>
      <c r="O2256" t="s">
        <v>306</v>
      </c>
      <c r="Q2256">
        <v>289.41000000000003</v>
      </c>
      <c r="R2256" t="str">
        <f>"DROGARIA ANA VISCONDE DO RIO BRANCO (10182)"</f>
        <v>DROGARIA ANA VISCONDE DO RIO BRANCO (10182)</v>
      </c>
      <c r="S2256" t="s">
        <v>22</v>
      </c>
      <c r="T2256">
        <v>22223</v>
      </c>
      <c r="U2256">
        <v>21926</v>
      </c>
      <c r="V2256" t="s">
        <v>22</v>
      </c>
    </row>
    <row r="2257" spans="1:22">
      <c r="A2257" t="str">
        <f t="shared" si="404"/>
        <v>15/09/2025</v>
      </c>
      <c r="B2257" t="str">
        <f t="shared" si="399"/>
        <v>SAÍDA</v>
      </c>
      <c r="C2257" t="str">
        <f t="shared" si="400"/>
        <v>PIX</v>
      </c>
      <c r="D2257" t="str">
        <f t="shared" si="405"/>
        <v>1509</v>
      </c>
      <c r="E2257" t="str">
        <f t="shared" si="401"/>
        <v>25</v>
      </c>
      <c r="F2257" t="str">
        <f t="shared" si="402"/>
        <v>COM</v>
      </c>
      <c r="G2257" t="str">
        <f>"ALISSON FELIPE GODINHO (219)"</f>
        <v>ALISSON FELIPE GODINHO (219)</v>
      </c>
      <c r="H2257" t="str">
        <f>"PAGAMENTO LIDERANÇA REF. MES 08/2025 - PIX: CELULAR - CHAVE: (33) 99877-0415"</f>
        <v>PAGAMENTO LIDERANÇA REF. MES 08/2025 - PIX: CELULAR - CHAVE: (33) 99877-0415</v>
      </c>
      <c r="I2257" t="str">
        <f t="shared" si="396"/>
        <v>15/09/2025</v>
      </c>
      <c r="J2257" t="str">
        <f t="shared" si="403"/>
        <v>30/08/2025</v>
      </c>
      <c r="K2257" t="str">
        <f>("15/09/2025")</f>
        <v>15/09/2025</v>
      </c>
      <c r="L2257">
        <v>150</v>
      </c>
      <c r="M2257">
        <v>150</v>
      </c>
      <c r="N2257">
        <v>120</v>
      </c>
      <c r="O2257" t="str">
        <f>"PAGAMENTO COMISSAO LIDERES"</f>
        <v>PAGAMENTO COMISSAO LIDERES</v>
      </c>
      <c r="P2257">
        <v>150</v>
      </c>
      <c r="S2257" t="str">
        <f>"BANCO CORA (102)"</f>
        <v>BANCO CORA (102)</v>
      </c>
      <c r="T2257">
        <v>22224</v>
      </c>
      <c r="U2257">
        <v>21928</v>
      </c>
      <c r="V2257" t="s">
        <v>22</v>
      </c>
    </row>
    <row r="2258" spans="1:22">
      <c r="A2258" t="str">
        <f t="shared" si="404"/>
        <v>15/09/2025</v>
      </c>
      <c r="B2258" t="str">
        <f t="shared" si="399"/>
        <v>SAÍDA</v>
      </c>
      <c r="C2258" t="str">
        <f t="shared" si="400"/>
        <v>PIX</v>
      </c>
      <c r="D2258" t="str">
        <f t="shared" si="405"/>
        <v>1509</v>
      </c>
      <c r="E2258" t="str">
        <f t="shared" si="401"/>
        <v>25</v>
      </c>
      <c r="F2258" t="str">
        <f t="shared" si="402"/>
        <v>COM</v>
      </c>
      <c r="G2258" t="str">
        <f>"ALISSON FELIPE GODINHO (219)"</f>
        <v>ALISSON FELIPE GODINHO (219)</v>
      </c>
      <c r="H2258" t="s">
        <v>585</v>
      </c>
      <c r="I2258" t="str">
        <f t="shared" si="396"/>
        <v>15/09/2025</v>
      </c>
      <c r="J2258" t="str">
        <f t="shared" si="403"/>
        <v>30/08/2025</v>
      </c>
      <c r="K2258">
        <v>45915</v>
      </c>
      <c r="N2258">
        <v>120</v>
      </c>
      <c r="O2258" t="s">
        <v>306</v>
      </c>
      <c r="Q2258">
        <v>150</v>
      </c>
      <c r="R2258" t="str">
        <f>"FARMÁCIA INDIANA LJ 14 (10009)"</f>
        <v>FARMÁCIA INDIANA LJ 14 (10009)</v>
      </c>
      <c r="S2258" t="s">
        <v>22</v>
      </c>
      <c r="T2258">
        <v>22224</v>
      </c>
      <c r="U2258">
        <v>21928</v>
      </c>
      <c r="V2258" t="s">
        <v>22</v>
      </c>
    </row>
    <row r="2259" spans="1:22">
      <c r="A2259" t="str">
        <f t="shared" si="404"/>
        <v>15/09/2025</v>
      </c>
      <c r="B2259" t="str">
        <f t="shared" si="399"/>
        <v>SAÍDA</v>
      </c>
      <c r="C2259" t="str">
        <f t="shared" si="400"/>
        <v>PIX</v>
      </c>
      <c r="D2259" t="str">
        <f>"1509253100"</f>
        <v>1509253100</v>
      </c>
      <c r="E2259" t="str">
        <f>""</f>
        <v/>
      </c>
      <c r="F2259" t="str">
        <f t="shared" si="402"/>
        <v>COM</v>
      </c>
      <c r="G2259" t="str">
        <f>"ALBERTO KENNEDY ALMEIDA DE JESUS (20026)"</f>
        <v>ALBERTO KENNEDY ALMEIDA DE JESUS (20026)</v>
      </c>
      <c r="H2259" t="str">
        <f>"PAGAMENTO PRESTACAO DE SERVICO 08/2025"</f>
        <v>PAGAMENTO PRESTACAO DE SERVICO 08/2025</v>
      </c>
      <c r="I2259" t="str">
        <f t="shared" si="396"/>
        <v>15/09/2025</v>
      </c>
      <c r="J2259" t="str">
        <f>("31/08/2025")</f>
        <v>31/08/2025</v>
      </c>
      <c r="K2259" t="str">
        <f>("15/09/2025")</f>
        <v>15/09/2025</v>
      </c>
      <c r="L2259">
        <v>2800</v>
      </c>
      <c r="M2259">
        <v>2800</v>
      </c>
      <c r="N2259">
        <v>103</v>
      </c>
      <c r="O2259" t="str">
        <f>"PAGAMENTO DE FUNCIONÁRIOS"</f>
        <v>PAGAMENTO DE FUNCIONÁRIOS</v>
      </c>
      <c r="P2259">
        <v>2800</v>
      </c>
      <c r="S2259" t="str">
        <f>"BANCO CORA (102)"</f>
        <v>BANCO CORA (102)</v>
      </c>
      <c r="T2259">
        <v>22225</v>
      </c>
      <c r="U2259">
        <v>9893</v>
      </c>
      <c r="V2259" t="s">
        <v>22</v>
      </c>
    </row>
    <row r="2260" spans="1:22">
      <c r="A2260" t="str">
        <f t="shared" si="404"/>
        <v>15/09/2025</v>
      </c>
      <c r="B2260" t="str">
        <f t="shared" si="399"/>
        <v>SAÍDA</v>
      </c>
      <c r="C2260" t="str">
        <f t="shared" si="400"/>
        <v>PIX</v>
      </c>
      <c r="D2260" t="str">
        <f>"1509253100"</f>
        <v>1509253100</v>
      </c>
      <c r="E2260" t="str">
        <f>""</f>
        <v/>
      </c>
      <c r="F2260" t="str">
        <f t="shared" si="402"/>
        <v>COM</v>
      </c>
      <c r="G2260" t="str">
        <f>"ALBERTO KENNEDY ALMEIDA DE JESUS (20026)"</f>
        <v>ALBERTO KENNEDY ALMEIDA DE JESUS (20026)</v>
      </c>
      <c r="H2260" t="s">
        <v>586</v>
      </c>
      <c r="I2260" t="str">
        <f t="shared" si="396"/>
        <v>15/09/2025</v>
      </c>
      <c r="J2260" t="str">
        <f>("31/08/2025")</f>
        <v>31/08/2025</v>
      </c>
      <c r="K2260">
        <v>45915</v>
      </c>
      <c r="N2260">
        <v>103</v>
      </c>
      <c r="O2260" t="s">
        <v>267</v>
      </c>
      <c r="Q2260">
        <v>2800</v>
      </c>
      <c r="R2260" t="str">
        <f>"ALBERTO KENNEDY ALMEIDA DE JESUS (20026)"</f>
        <v>ALBERTO KENNEDY ALMEIDA DE JESUS (20026)</v>
      </c>
      <c r="S2260" t="s">
        <v>22</v>
      </c>
      <c r="T2260">
        <v>22225</v>
      </c>
      <c r="U2260">
        <v>9893</v>
      </c>
      <c r="V2260" t="s">
        <v>22</v>
      </c>
    </row>
    <row r="2261" spans="1:22">
      <c r="A2261" t="str">
        <f t="shared" ref="A2261:A2298" si="407">("16/09/2025")</f>
        <v>16/09/2025</v>
      </c>
      <c r="B2261" t="str">
        <f t="shared" si="399"/>
        <v>SAÍDA</v>
      </c>
      <c r="C2261" t="str">
        <f t="shared" si="400"/>
        <v>PIX</v>
      </c>
      <c r="D2261" t="str">
        <f>"15022025"</f>
        <v>15022025</v>
      </c>
      <c r="E2261" t="str">
        <f>"33"</f>
        <v>33</v>
      </c>
      <c r="F2261" t="str">
        <f t="shared" si="402"/>
        <v>COM</v>
      </c>
      <c r="G2261" t="str">
        <f>"ALBERTO KENNEDY ALMEIDA DE JESUS (20026)"</f>
        <v>ALBERTO KENNEDY ALMEIDA DE JESUS (20026)</v>
      </c>
      <c r="H2261" t="str">
        <f>"PAGAMENTO PRESTACAO DE SERVICO"</f>
        <v>PAGAMENTO PRESTACAO DE SERVICO</v>
      </c>
      <c r="I2261" t="str">
        <f>("16/09/2025")</f>
        <v>16/09/2025</v>
      </c>
      <c r="J2261" t="str">
        <f>("14/02/2025")</f>
        <v>14/02/2025</v>
      </c>
      <c r="K2261" t="str">
        <f>("16/09/2025")</f>
        <v>16/09/2025</v>
      </c>
      <c r="L2261">
        <v>400</v>
      </c>
      <c r="M2261">
        <v>400</v>
      </c>
      <c r="N2261">
        <v>103</v>
      </c>
      <c r="O2261" t="str">
        <f>"PAGAMENTO DE FUNCIONÁRIOS"</f>
        <v>PAGAMENTO DE FUNCIONÁRIOS</v>
      </c>
      <c r="P2261">
        <v>400</v>
      </c>
      <c r="S2261" t="str">
        <f>"BANCO CORA (102)"</f>
        <v>BANCO CORA (102)</v>
      </c>
      <c r="T2261">
        <v>18259</v>
      </c>
      <c r="U2261">
        <v>22198</v>
      </c>
      <c r="V2261" t="s">
        <v>22</v>
      </c>
    </row>
    <row r="2262" spans="1:22">
      <c r="A2262" t="str">
        <f t="shared" si="407"/>
        <v>16/09/2025</v>
      </c>
      <c r="B2262" t="str">
        <f t="shared" si="399"/>
        <v>SAÍDA</v>
      </c>
      <c r="C2262" t="str">
        <f t="shared" si="400"/>
        <v>PIX</v>
      </c>
      <c r="D2262" t="str">
        <f>"15022025"</f>
        <v>15022025</v>
      </c>
      <c r="E2262" t="str">
        <f>"33"</f>
        <v>33</v>
      </c>
      <c r="F2262" t="str">
        <f t="shared" si="402"/>
        <v>COM</v>
      </c>
      <c r="G2262" t="str">
        <f>"ALBERTO KENNEDY ALMEIDA DE JESUS (20026)"</f>
        <v>ALBERTO KENNEDY ALMEIDA DE JESUS (20026)</v>
      </c>
      <c r="H2262" t="s">
        <v>587</v>
      </c>
      <c r="I2262" t="str">
        <f>("16/09/2025")</f>
        <v>16/09/2025</v>
      </c>
      <c r="J2262" t="str">
        <f>("14/02/2025")</f>
        <v>14/02/2025</v>
      </c>
      <c r="K2262">
        <v>45916</v>
      </c>
      <c r="N2262">
        <v>103</v>
      </c>
      <c r="O2262" t="s">
        <v>267</v>
      </c>
      <c r="Q2262">
        <v>400</v>
      </c>
      <c r="R2262" t="str">
        <f>"ALBERTO KENNEDY ALMEIDA DE JESUS (20026)"</f>
        <v>ALBERTO KENNEDY ALMEIDA DE JESUS (20026)</v>
      </c>
      <c r="S2262" t="s">
        <v>22</v>
      </c>
      <c r="T2262">
        <v>18259</v>
      </c>
      <c r="U2262">
        <v>22198</v>
      </c>
      <c r="V2262" t="s">
        <v>22</v>
      </c>
    </row>
    <row r="2263" spans="1:22">
      <c r="A2263" t="str">
        <f t="shared" si="407"/>
        <v>16/09/2025</v>
      </c>
      <c r="B2263" t="str">
        <f t="shared" si="399"/>
        <v>SAÍDA</v>
      </c>
      <c r="C2263" t="str">
        <f t="shared" si="400"/>
        <v>PIX</v>
      </c>
      <c r="D2263" t="str">
        <f>"22139"</f>
        <v>22139</v>
      </c>
      <c r="E2263" t="str">
        <f>"1"</f>
        <v>1</v>
      </c>
      <c r="F2263" t="str">
        <f t="shared" si="402"/>
        <v>COM</v>
      </c>
      <c r="G2263" t="str">
        <f>"RAFAEL PEDRO MENDES (944)"</f>
        <v>RAFAEL PEDRO MENDES (944)</v>
      </c>
      <c r="H2263" t="str">
        <f>"Serv.Prest. 08/09/2025 a 14/09/2025 - PIX: CELULAR - CHAVE: (31) 99680-9634 - Rayane Gabriele Ferreira Afonso"</f>
        <v>Serv.Prest. 08/09/2025 a 14/09/2025 - PIX: CELULAR - CHAVE: (31) 99680-9634 - Rayane Gabriele Ferreira Afonso</v>
      </c>
      <c r="I2263" t="str">
        <f>("16/09/2025")</f>
        <v>16/09/2025</v>
      </c>
      <c r="J2263" t="str">
        <f>("16/09/2025")</f>
        <v>16/09/2025</v>
      </c>
      <c r="K2263" t="str">
        <f>("16/09/2025")</f>
        <v>16/09/2025</v>
      </c>
      <c r="L2263">
        <v>360</v>
      </c>
      <c r="M2263">
        <v>360</v>
      </c>
      <c r="N2263">
        <v>134</v>
      </c>
      <c r="O2263" t="str">
        <f>"DIARIA DE MOTOBOY"</f>
        <v>DIARIA DE MOTOBOY</v>
      </c>
      <c r="P2263">
        <v>360</v>
      </c>
      <c r="S2263" t="str">
        <f>"BANCO CORA (102)"</f>
        <v>BANCO CORA (102)</v>
      </c>
      <c r="T2263">
        <v>18260</v>
      </c>
      <c r="U2263">
        <v>22139</v>
      </c>
      <c r="V2263" t="s">
        <v>22</v>
      </c>
    </row>
    <row r="2264" spans="1:22">
      <c r="A2264" t="str">
        <f t="shared" si="407"/>
        <v>16/09/2025</v>
      </c>
      <c r="B2264" t="str">
        <f t="shared" si="399"/>
        <v>SAÍDA</v>
      </c>
      <c r="C2264" t="str">
        <f t="shared" si="400"/>
        <v>PIX</v>
      </c>
      <c r="D2264" t="str">
        <f>"22139"</f>
        <v>22139</v>
      </c>
      <c r="E2264" t="str">
        <f>"1"</f>
        <v>1</v>
      </c>
      <c r="F2264" t="str">
        <f t="shared" si="402"/>
        <v>COM</v>
      </c>
      <c r="G2264" t="str">
        <f>"RAFAEL PEDRO MENDES (944)"</f>
        <v>RAFAEL PEDRO MENDES (944)</v>
      </c>
      <c r="H2264" t="s">
        <v>588</v>
      </c>
      <c r="I2264" t="str">
        <f>("16/09/2025")</f>
        <v>16/09/2025</v>
      </c>
      <c r="J2264" t="str">
        <f>("16/09/2025")</f>
        <v>16/09/2025</v>
      </c>
      <c r="K2264">
        <v>45916</v>
      </c>
      <c r="N2264">
        <v>134</v>
      </c>
      <c r="O2264" t="s">
        <v>41</v>
      </c>
      <c r="Q2264">
        <v>360</v>
      </c>
      <c r="R2264" t="str">
        <f>"FARMÁCIA INDIANA LJ 101 (10043)"</f>
        <v>FARMÁCIA INDIANA LJ 101 (10043)</v>
      </c>
      <c r="S2264" t="s">
        <v>22</v>
      </c>
      <c r="T2264">
        <v>18260</v>
      </c>
      <c r="U2264">
        <v>22139</v>
      </c>
      <c r="V2264" t="s">
        <v>22</v>
      </c>
    </row>
    <row r="2265" spans="1:22">
      <c r="A2265" t="str">
        <f t="shared" si="407"/>
        <v>16/09/2025</v>
      </c>
      <c r="B2265" t="str">
        <f>"ENTRADA"</f>
        <v>ENTRADA</v>
      </c>
      <c r="C2265" t="str">
        <f>"DINHEIRO"</f>
        <v>DINHEIRO</v>
      </c>
      <c r="D2265" t="str">
        <f>"692"</f>
        <v>692</v>
      </c>
      <c r="E2265" t="str">
        <f>"6"</f>
        <v>6</v>
      </c>
      <c r="F2265" t="str">
        <f t="shared" si="402"/>
        <v>COM</v>
      </c>
      <c r="G2265" t="str">
        <f>"KHENNEDY DAVY DOS SANTOS SILVA (692)"</f>
        <v>KHENNEDY DAVY DOS SANTOS SILVA (692)</v>
      </c>
      <c r="H2265" t="str">
        <f>"COTAS COOPERATIVA"</f>
        <v>COTAS COOPERATIVA</v>
      </c>
      <c r="I2265" t="str">
        <f>("10/09/2025")</f>
        <v>10/09/2025</v>
      </c>
      <c r="J2265" t="str">
        <f>("03/03/2025")</f>
        <v>03/03/2025</v>
      </c>
      <c r="K2265" t="str">
        <f>("16/09/2025")</f>
        <v>16/09/2025</v>
      </c>
      <c r="L2265">
        <v>20</v>
      </c>
      <c r="M2265">
        <v>20</v>
      </c>
      <c r="N2265">
        <v>106</v>
      </c>
      <c r="O2265" t="str">
        <f>"ENTRADA DE CAPITAL"</f>
        <v>ENTRADA DE CAPITAL</v>
      </c>
      <c r="P2265">
        <v>20</v>
      </c>
      <c r="S2265" t="str">
        <f>"ENTRADA DE CAPITAL (106)"</f>
        <v>ENTRADA DE CAPITAL (106)</v>
      </c>
      <c r="T2265">
        <v>18278</v>
      </c>
      <c r="U2265">
        <v>11836</v>
      </c>
      <c r="V2265" t="s">
        <v>48</v>
      </c>
    </row>
    <row r="2266" spans="1:22">
      <c r="A2266" t="str">
        <f t="shared" si="407"/>
        <v>16/09/2025</v>
      </c>
      <c r="B2266" t="str">
        <f>"ENTRADA"</f>
        <v>ENTRADA</v>
      </c>
      <c r="C2266" t="str">
        <f>"DINHEIRO"</f>
        <v>DINHEIRO</v>
      </c>
      <c r="D2266" t="str">
        <f>"692"</f>
        <v>692</v>
      </c>
      <c r="E2266" t="str">
        <f>"6"</f>
        <v>6</v>
      </c>
      <c r="F2266" t="str">
        <f t="shared" ref="F2266:F2296" si="408">"COM"</f>
        <v>COM</v>
      </c>
      <c r="G2266" t="str">
        <f>"KHENNEDY DAVY DOS SANTOS SILVA (692)"</f>
        <v>KHENNEDY DAVY DOS SANTOS SILVA (692)</v>
      </c>
      <c r="H2266" t="s">
        <v>318</v>
      </c>
      <c r="I2266" t="str">
        <f>("10/09/2025")</f>
        <v>10/09/2025</v>
      </c>
      <c r="J2266" t="str">
        <f>("03/03/2025")</f>
        <v>03/03/2025</v>
      </c>
      <c r="K2266">
        <v>45916</v>
      </c>
      <c r="N2266">
        <v>106</v>
      </c>
      <c r="O2266" t="s">
        <v>51</v>
      </c>
      <c r="Q2266">
        <v>20</v>
      </c>
      <c r="R2266" t="str">
        <f>"KHENNEDY DAVY DOS SANTOS SILVA (692)"</f>
        <v>KHENNEDY DAVY DOS SANTOS SILVA (692)</v>
      </c>
      <c r="S2266" t="s">
        <v>52</v>
      </c>
      <c r="T2266">
        <v>18278</v>
      </c>
      <c r="U2266">
        <v>11836</v>
      </c>
      <c r="V2266" t="s">
        <v>48</v>
      </c>
    </row>
    <row r="2267" spans="1:22">
      <c r="A2267" t="str">
        <f t="shared" si="407"/>
        <v>16/09/2025</v>
      </c>
      <c r="B2267" t="str">
        <f>"SAÍDA"</f>
        <v>SAÍDA</v>
      </c>
      <c r="C2267" t="str">
        <f>"PIX"</f>
        <v>PIX</v>
      </c>
      <c r="D2267" t="str">
        <f>"21607"</f>
        <v>21607</v>
      </c>
      <c r="E2267" t="str">
        <f>"1"</f>
        <v>1</v>
      </c>
      <c r="F2267" t="str">
        <f t="shared" si="408"/>
        <v>COM</v>
      </c>
      <c r="G2267" t="str">
        <f>"KHENNEDY DAVY DOS SANTOS SILVA (692)"</f>
        <v>KHENNEDY DAVY DOS SANTOS SILVA (692)</v>
      </c>
      <c r="H2267" t="str">
        <f>"Serv.Prest. 01/09/2025 a 07/09/2025 - PIX: CPF - CHAVE: 094.700.685-05"</f>
        <v>Serv.Prest. 01/09/2025 a 07/09/2025 - PIX: CPF - CHAVE: 094.700.685-05</v>
      </c>
      <c r="I2267" t="str">
        <f>("18/09/2025")</f>
        <v>18/09/2025</v>
      </c>
      <c r="J2267" t="str">
        <f>("08/09/2025")</f>
        <v>08/09/2025</v>
      </c>
      <c r="K2267" t="str">
        <f>("16/09/2025")</f>
        <v>16/09/2025</v>
      </c>
      <c r="L2267">
        <v>20</v>
      </c>
      <c r="M2267">
        <v>20</v>
      </c>
      <c r="N2267">
        <v>109</v>
      </c>
      <c r="O2267" t="str">
        <f>"PAGAMENTO DE ENTREGADORES"</f>
        <v>PAGAMENTO DE ENTREGADORES</v>
      </c>
      <c r="P2267">
        <v>20</v>
      </c>
      <c r="S2267" t="str">
        <f>"CAIXA MOVIMENTAÇÃO OPERACIONAL (132)"</f>
        <v>CAIXA MOVIMENTAÇÃO OPERACIONAL (132)</v>
      </c>
      <c r="T2267">
        <v>18279</v>
      </c>
      <c r="U2267">
        <v>22211</v>
      </c>
      <c r="V2267" t="s">
        <v>48</v>
      </c>
    </row>
    <row r="2268" spans="1:22">
      <c r="A2268" t="str">
        <f t="shared" si="407"/>
        <v>16/09/2025</v>
      </c>
      <c r="B2268" t="str">
        <f>"SAÍDA"</f>
        <v>SAÍDA</v>
      </c>
      <c r="C2268" t="str">
        <f>"PIX"</f>
        <v>PIX</v>
      </c>
      <c r="D2268" t="str">
        <f>"21607"</f>
        <v>21607</v>
      </c>
      <c r="E2268" t="str">
        <f>"1"</f>
        <v>1</v>
      </c>
      <c r="F2268" t="str">
        <f t="shared" si="408"/>
        <v>COM</v>
      </c>
      <c r="G2268" t="str">
        <f>"KHENNEDY DAVY DOS SANTOS SILVA (692)"</f>
        <v>KHENNEDY DAVY DOS SANTOS SILVA (692)</v>
      </c>
      <c r="H2268" t="s">
        <v>589</v>
      </c>
      <c r="I2268" t="str">
        <f>("18/09/2025")</f>
        <v>18/09/2025</v>
      </c>
      <c r="J2268" t="str">
        <f>("08/09/2025")</f>
        <v>08/09/2025</v>
      </c>
      <c r="K2268">
        <v>45916</v>
      </c>
      <c r="N2268">
        <v>109</v>
      </c>
      <c r="O2268" t="s">
        <v>24</v>
      </c>
      <c r="Q2268">
        <v>20</v>
      </c>
      <c r="R2268" t="str">
        <f>"FARMÁCIA INDIANA LJ 65 (10030)"</f>
        <v>FARMÁCIA INDIANA LJ 65 (10030)</v>
      </c>
      <c r="S2268" t="s">
        <v>48</v>
      </c>
      <c r="T2268">
        <v>18279</v>
      </c>
      <c r="U2268">
        <v>22211</v>
      </c>
      <c r="V2268" t="s">
        <v>48</v>
      </c>
    </row>
    <row r="2269" spans="1:22">
      <c r="A2269" t="str">
        <f t="shared" si="407"/>
        <v>16/09/2025</v>
      </c>
      <c r="B2269" t="str">
        <f>"ENTRADA"</f>
        <v>ENTRADA</v>
      </c>
      <c r="C2269" t="str">
        <f>"DINHEIRO"</f>
        <v>DINHEIRO</v>
      </c>
      <c r="D2269" t="str">
        <f>"852"</f>
        <v>852</v>
      </c>
      <c r="E2269" t="str">
        <f>"3"</f>
        <v>3</v>
      </c>
      <c r="F2269" t="str">
        <f t="shared" si="408"/>
        <v>COM</v>
      </c>
      <c r="G2269" t="str">
        <f t="shared" ref="G2269:G2274" si="409">"PEDRO HENRIQUE DA SILVA COSTA OLIVEIRA (852)"</f>
        <v>PEDRO HENRIQUE DA SILVA COSTA OLIVEIRA (852)</v>
      </c>
      <c r="H2269" t="str">
        <f>"COTA COOPERATIVA"</f>
        <v>COTA COOPERATIVA</v>
      </c>
      <c r="I2269" t="str">
        <f>("10/09/2025")</f>
        <v>10/09/2025</v>
      </c>
      <c r="J2269" t="str">
        <f>("23/06/2025")</f>
        <v>23/06/2025</v>
      </c>
      <c r="K2269" t="str">
        <f>("16/09/2025")</f>
        <v>16/09/2025</v>
      </c>
      <c r="L2269">
        <v>20</v>
      </c>
      <c r="M2269">
        <v>20</v>
      </c>
      <c r="N2269">
        <v>106</v>
      </c>
      <c r="O2269" t="str">
        <f>"ENTRADA DE CAPITAL"</f>
        <v>ENTRADA DE CAPITAL</v>
      </c>
      <c r="P2269">
        <v>20</v>
      </c>
      <c r="S2269" t="str">
        <f>"ENTRADA DE CAPITAL (106)"</f>
        <v>ENTRADA DE CAPITAL (106)</v>
      </c>
      <c r="T2269">
        <v>18280</v>
      </c>
      <c r="U2269">
        <v>18308</v>
      </c>
      <c r="V2269" t="s">
        <v>48</v>
      </c>
    </row>
    <row r="2270" spans="1:22">
      <c r="A2270" t="str">
        <f t="shared" si="407"/>
        <v>16/09/2025</v>
      </c>
      <c r="B2270" t="str">
        <f>"ENTRADA"</f>
        <v>ENTRADA</v>
      </c>
      <c r="C2270" t="str">
        <f>"DINHEIRO"</f>
        <v>DINHEIRO</v>
      </c>
      <c r="D2270" t="str">
        <f>"852"</f>
        <v>852</v>
      </c>
      <c r="E2270" t="str">
        <f>"3"</f>
        <v>3</v>
      </c>
      <c r="F2270" t="str">
        <f t="shared" si="408"/>
        <v>COM</v>
      </c>
      <c r="G2270" t="str">
        <f t="shared" si="409"/>
        <v>PEDRO HENRIQUE DA SILVA COSTA OLIVEIRA (852)</v>
      </c>
      <c r="H2270" t="s">
        <v>50</v>
      </c>
      <c r="I2270" t="str">
        <f>("10/09/2025")</f>
        <v>10/09/2025</v>
      </c>
      <c r="J2270" t="str">
        <f>("23/06/2025")</f>
        <v>23/06/2025</v>
      </c>
      <c r="K2270">
        <v>45916</v>
      </c>
      <c r="N2270">
        <v>106</v>
      </c>
      <c r="O2270" t="s">
        <v>51</v>
      </c>
      <c r="Q2270">
        <v>20</v>
      </c>
      <c r="R2270" t="str">
        <f>"PEDRO HENRIQUE DA SILVA COSTA OLIVEIRA (852)"</f>
        <v>PEDRO HENRIQUE DA SILVA COSTA OLIVEIRA (852)</v>
      </c>
      <c r="S2270" t="s">
        <v>52</v>
      </c>
      <c r="T2270">
        <v>18280</v>
      </c>
      <c r="U2270">
        <v>18308</v>
      </c>
      <c r="V2270" t="s">
        <v>48</v>
      </c>
    </row>
    <row r="2271" spans="1:22">
      <c r="A2271" t="str">
        <f t="shared" si="407"/>
        <v>16/09/2025</v>
      </c>
      <c r="B2271" t="str">
        <f>"SAÍDA"</f>
        <v>SAÍDA</v>
      </c>
      <c r="C2271" t="str">
        <f>"PIX"</f>
        <v>PIX</v>
      </c>
      <c r="D2271" t="str">
        <f>"21566"</f>
        <v>21566</v>
      </c>
      <c r="E2271" t="str">
        <f>"1"</f>
        <v>1</v>
      </c>
      <c r="F2271" t="str">
        <f t="shared" si="408"/>
        <v>COM</v>
      </c>
      <c r="G2271" t="str">
        <f t="shared" si="409"/>
        <v>PEDRO HENRIQUE DA SILVA COSTA OLIVEIRA (852)</v>
      </c>
      <c r="H2271" t="str">
        <f>"Serv.Prest. 01/09/2025 a 07/09/2025 - PIX: E-MAIL - CHAVE: sypedrinho@gmail.com"</f>
        <v>Serv.Prest. 01/09/2025 a 07/09/2025 - PIX: E-MAIL - CHAVE: sypedrinho@gmail.com</v>
      </c>
      <c r="I2271" t="str">
        <f>("18/09/2025")</f>
        <v>18/09/2025</v>
      </c>
      <c r="J2271" t="str">
        <f>("08/09/2025")</f>
        <v>08/09/2025</v>
      </c>
      <c r="K2271" t="str">
        <f>("16/09/2025")</f>
        <v>16/09/2025</v>
      </c>
      <c r="L2271">
        <v>120</v>
      </c>
      <c r="M2271">
        <v>120</v>
      </c>
      <c r="N2271">
        <v>109</v>
      </c>
      <c r="O2271" t="str">
        <f>"PAGAMENTO DE ENTREGADORES"</f>
        <v>PAGAMENTO DE ENTREGADORES</v>
      </c>
      <c r="P2271">
        <v>120</v>
      </c>
      <c r="S2271" t="str">
        <f>"CAIXA MOVIMENTAÇÃO OPERACIONAL (132)"</f>
        <v>CAIXA MOVIMENTAÇÃO OPERACIONAL (132)</v>
      </c>
      <c r="T2271">
        <v>18281</v>
      </c>
      <c r="U2271">
        <v>22212</v>
      </c>
      <c r="V2271" t="s">
        <v>48</v>
      </c>
    </row>
    <row r="2272" spans="1:22">
      <c r="A2272" t="str">
        <f t="shared" si="407"/>
        <v>16/09/2025</v>
      </c>
      <c r="B2272" t="str">
        <f>"SAÍDA"</f>
        <v>SAÍDA</v>
      </c>
      <c r="C2272" t="str">
        <f>"PIX"</f>
        <v>PIX</v>
      </c>
      <c r="D2272" t="str">
        <f>"21566"</f>
        <v>21566</v>
      </c>
      <c r="E2272" t="str">
        <f>"1"</f>
        <v>1</v>
      </c>
      <c r="F2272" t="str">
        <f t="shared" si="408"/>
        <v>COM</v>
      </c>
      <c r="G2272" t="str">
        <f t="shared" si="409"/>
        <v>PEDRO HENRIQUE DA SILVA COSTA OLIVEIRA (852)</v>
      </c>
      <c r="H2272" t="s">
        <v>590</v>
      </c>
      <c r="I2272" t="str">
        <f>("18/09/2025")</f>
        <v>18/09/2025</v>
      </c>
      <c r="J2272" t="str">
        <f>("08/09/2025")</f>
        <v>08/09/2025</v>
      </c>
      <c r="K2272">
        <v>45916</v>
      </c>
      <c r="N2272">
        <v>109</v>
      </c>
      <c r="O2272" t="s">
        <v>24</v>
      </c>
      <c r="Q2272">
        <v>120</v>
      </c>
      <c r="R2272" t="str">
        <f>"FARMÁCIA INDIANA LJ 110 (10048)"</f>
        <v>FARMÁCIA INDIANA LJ 110 (10048)</v>
      </c>
      <c r="S2272" t="s">
        <v>48</v>
      </c>
      <c r="T2272">
        <v>18281</v>
      </c>
      <c r="U2272">
        <v>22212</v>
      </c>
      <c r="V2272" t="s">
        <v>48</v>
      </c>
    </row>
    <row r="2273" spans="1:22">
      <c r="A2273" t="str">
        <f t="shared" si="407"/>
        <v>16/09/2025</v>
      </c>
      <c r="B2273" t="str">
        <f>"ENTRADA"</f>
        <v>ENTRADA</v>
      </c>
      <c r="C2273" t="str">
        <f>"DINHEIRO"</f>
        <v>DINHEIRO</v>
      </c>
      <c r="D2273" t="str">
        <f>"1809"</f>
        <v>1809</v>
      </c>
      <c r="E2273" t="str">
        <f>"25"</f>
        <v>25</v>
      </c>
      <c r="F2273" t="str">
        <f t="shared" si="408"/>
        <v>COM</v>
      </c>
      <c r="G2273" t="str">
        <f t="shared" si="409"/>
        <v>PEDRO HENRIQUE DA SILVA COSTA OLIVEIRA (852)</v>
      </c>
      <c r="H2273" t="str">
        <f>"REEMBOLSO ADIANTAMENTO"</f>
        <v>REEMBOLSO ADIANTAMENTO</v>
      </c>
      <c r="I2273" t="str">
        <f>("18/09/2025")</f>
        <v>18/09/2025</v>
      </c>
      <c r="J2273" t="str">
        <f>("12/09/2025")</f>
        <v>12/09/2025</v>
      </c>
      <c r="K2273" t="str">
        <f>("16/09/2025")</f>
        <v>16/09/2025</v>
      </c>
      <c r="L2273">
        <v>100</v>
      </c>
      <c r="M2273">
        <v>100</v>
      </c>
      <c r="N2273">
        <v>129</v>
      </c>
      <c r="O2273" t="str">
        <f>"ENTRADA DE REEMBOLSO ADIANTAMENTO"</f>
        <v>ENTRADA DE REEMBOLSO ADIANTAMENTO</v>
      </c>
      <c r="P2273">
        <v>100</v>
      </c>
      <c r="S2273" t="str">
        <f>"ENTRADA DE REEMBOLSO ADIANTAMENTO (129)"</f>
        <v>ENTRADA DE REEMBOLSO ADIANTAMENTO (129)</v>
      </c>
      <c r="T2273">
        <v>18282</v>
      </c>
      <c r="U2273">
        <v>21944</v>
      </c>
      <c r="V2273" t="s">
        <v>48</v>
      </c>
    </row>
    <row r="2274" spans="1:22">
      <c r="A2274" t="str">
        <f t="shared" si="407"/>
        <v>16/09/2025</v>
      </c>
      <c r="B2274" t="str">
        <f>"ENTRADA"</f>
        <v>ENTRADA</v>
      </c>
      <c r="C2274" t="str">
        <f>"DINHEIRO"</f>
        <v>DINHEIRO</v>
      </c>
      <c r="D2274" t="str">
        <f>"1809"</f>
        <v>1809</v>
      </c>
      <c r="E2274" t="str">
        <f>"25"</f>
        <v>25</v>
      </c>
      <c r="F2274" t="str">
        <f t="shared" si="408"/>
        <v>COM</v>
      </c>
      <c r="G2274" t="str">
        <f t="shared" si="409"/>
        <v>PEDRO HENRIQUE DA SILVA COSTA OLIVEIRA (852)</v>
      </c>
      <c r="H2274" t="s">
        <v>57</v>
      </c>
      <c r="I2274" t="str">
        <f>("18/09/2025")</f>
        <v>18/09/2025</v>
      </c>
      <c r="J2274" t="str">
        <f>("12/09/2025")</f>
        <v>12/09/2025</v>
      </c>
      <c r="K2274">
        <v>45916</v>
      </c>
      <c r="N2274">
        <v>129</v>
      </c>
      <c r="O2274" t="s">
        <v>58</v>
      </c>
      <c r="Q2274">
        <v>100</v>
      </c>
      <c r="R2274" t="str">
        <f>"PEDRO HENRIQUE DA SILVA COSTA OLIVEIRA (852)"</f>
        <v>PEDRO HENRIQUE DA SILVA COSTA OLIVEIRA (852)</v>
      </c>
      <c r="S2274" t="s">
        <v>59</v>
      </c>
      <c r="T2274">
        <v>18282</v>
      </c>
      <c r="U2274">
        <v>21944</v>
      </c>
      <c r="V2274" t="s">
        <v>48</v>
      </c>
    </row>
    <row r="2275" spans="1:22">
      <c r="A2275" t="str">
        <f t="shared" si="407"/>
        <v>16/09/2025</v>
      </c>
      <c r="B2275" t="str">
        <f>"SAÍDA"</f>
        <v>SAÍDA</v>
      </c>
      <c r="C2275" t="str">
        <f>"PIX"</f>
        <v>PIX</v>
      </c>
      <c r="D2275" t="str">
        <f>"0101"</f>
        <v>0101</v>
      </c>
      <c r="E2275" t="str">
        <f>"25"</f>
        <v>25</v>
      </c>
      <c r="F2275" t="str">
        <f t="shared" si="408"/>
        <v>COM</v>
      </c>
      <c r="G2275" t="str">
        <f>"LEANDRO DA SILVA ROCHA (601)"</f>
        <v>LEANDRO DA SILVA ROCHA (601)</v>
      </c>
      <c r="H2275" t="str">
        <f>"DEVOLUCAO COTA COOPERATIVA"</f>
        <v>DEVOLUCAO COTA COOPERATIVA</v>
      </c>
      <c r="I2275" t="str">
        <f>("01/01/2025")</f>
        <v>01/01/2025</v>
      </c>
      <c r="J2275" t="str">
        <f>("01/01/2025")</f>
        <v>01/01/2025</v>
      </c>
      <c r="K2275" t="str">
        <f>("16/09/2025")</f>
        <v>16/09/2025</v>
      </c>
      <c r="L2275">
        <v>20</v>
      </c>
      <c r="M2275">
        <v>20</v>
      </c>
      <c r="N2275">
        <v>130</v>
      </c>
      <c r="O2275" t="str">
        <f>"DEVOLUÇÃO COTA COOPERATIVA"</f>
        <v>DEVOLUÇÃO COTA COOPERATIVA</v>
      </c>
      <c r="P2275">
        <v>20</v>
      </c>
      <c r="S2275" t="str">
        <f>"CAIXA MOVIMENTAÇÃO OPERACIONAL (132)"</f>
        <v>CAIXA MOVIMENTAÇÃO OPERACIONAL (132)</v>
      </c>
      <c r="T2275">
        <v>18283</v>
      </c>
      <c r="U2275">
        <v>22213</v>
      </c>
      <c r="V2275" t="s">
        <v>48</v>
      </c>
    </row>
    <row r="2276" spans="1:22">
      <c r="A2276" t="str">
        <f t="shared" si="407"/>
        <v>16/09/2025</v>
      </c>
      <c r="B2276" t="str">
        <f>"SAÍDA"</f>
        <v>SAÍDA</v>
      </c>
      <c r="C2276" t="str">
        <f>"PIX"</f>
        <v>PIX</v>
      </c>
      <c r="D2276" t="str">
        <f>"0101"</f>
        <v>0101</v>
      </c>
      <c r="E2276" t="str">
        <f>"25"</f>
        <v>25</v>
      </c>
      <c r="F2276" t="str">
        <f t="shared" si="408"/>
        <v>COM</v>
      </c>
      <c r="G2276" t="str">
        <f>"LEANDRO DA SILVA ROCHA (601)"</f>
        <v>LEANDRO DA SILVA ROCHA (601)</v>
      </c>
      <c r="H2276" t="s">
        <v>591</v>
      </c>
      <c r="I2276" t="str">
        <f>("01/01/2025")</f>
        <v>01/01/2025</v>
      </c>
      <c r="J2276" t="str">
        <f>("01/01/2025")</f>
        <v>01/01/2025</v>
      </c>
      <c r="K2276">
        <v>45916</v>
      </c>
      <c r="N2276">
        <v>130</v>
      </c>
      <c r="O2276" t="s">
        <v>291</v>
      </c>
      <c r="Q2276">
        <v>20</v>
      </c>
      <c r="R2276" t="str">
        <f>"LEANDRO DA SILVA ROCHA (601)"</f>
        <v>LEANDRO DA SILVA ROCHA (601)</v>
      </c>
      <c r="S2276" t="s">
        <v>48</v>
      </c>
      <c r="T2276">
        <v>18283</v>
      </c>
      <c r="U2276">
        <v>22213</v>
      </c>
      <c r="V2276" t="s">
        <v>48</v>
      </c>
    </row>
    <row r="2277" spans="1:22">
      <c r="A2277" t="str">
        <f t="shared" si="407"/>
        <v>16/09/2025</v>
      </c>
      <c r="B2277" t="str">
        <f>"ENTRADA"</f>
        <v>ENTRADA</v>
      </c>
      <c r="C2277" t="str">
        <f>"DINHEIRO"</f>
        <v>DINHEIRO</v>
      </c>
      <c r="D2277" t="str">
        <f>"130325546"</f>
        <v>130325546</v>
      </c>
      <c r="E2277" t="str">
        <f>""</f>
        <v/>
      </c>
      <c r="F2277" t="str">
        <f t="shared" si="408"/>
        <v>COM</v>
      </c>
      <c r="G2277" t="str">
        <f>"LEANDRO DA SILVA ROCHA (601)"</f>
        <v>LEANDRO DA SILVA ROCHA (601)</v>
      </c>
      <c r="H2277" t="str">
        <f>"ESTORNO VALOR TRANSFERIDO A MAIOR"</f>
        <v>ESTORNO VALOR TRANSFERIDO A MAIOR</v>
      </c>
      <c r="I2277" t="str">
        <f>("13/03/2025")</f>
        <v>13/03/2025</v>
      </c>
      <c r="J2277" t="str">
        <f>("04/03/2025")</f>
        <v>04/03/2025</v>
      </c>
      <c r="K2277" t="str">
        <f>("16/09/2025")</f>
        <v>16/09/2025</v>
      </c>
      <c r="L2277">
        <v>20</v>
      </c>
      <c r="M2277">
        <v>20</v>
      </c>
      <c r="N2277">
        <v>129</v>
      </c>
      <c r="O2277" t="str">
        <f>"ENTRADA DE REEMBOLSO ADIANTAMENTO"</f>
        <v>ENTRADA DE REEMBOLSO ADIANTAMENTO</v>
      </c>
      <c r="P2277">
        <v>20</v>
      </c>
      <c r="S2277" t="str">
        <f>"ENTRADA DE REEMBOLSO ADIANTAMENTO (129)"</f>
        <v>ENTRADA DE REEMBOLSO ADIANTAMENTO (129)</v>
      </c>
      <c r="T2277">
        <v>18284</v>
      </c>
      <c r="U2277">
        <v>22214</v>
      </c>
      <c r="V2277" t="s">
        <v>48</v>
      </c>
    </row>
    <row r="2278" spans="1:22">
      <c r="A2278" t="str">
        <f t="shared" si="407"/>
        <v>16/09/2025</v>
      </c>
      <c r="B2278" t="str">
        <f>"ENTRADA"</f>
        <v>ENTRADA</v>
      </c>
      <c r="C2278" t="str">
        <f>"DINHEIRO"</f>
        <v>DINHEIRO</v>
      </c>
      <c r="D2278" t="str">
        <f>"130325546"</f>
        <v>130325546</v>
      </c>
      <c r="E2278" t="str">
        <f>""</f>
        <v/>
      </c>
      <c r="F2278" t="str">
        <f t="shared" si="408"/>
        <v>COM</v>
      </c>
      <c r="G2278" t="str">
        <f>"LEANDRO DA SILVA ROCHA (601)"</f>
        <v>LEANDRO DA SILVA ROCHA (601)</v>
      </c>
      <c r="H2278" t="s">
        <v>592</v>
      </c>
      <c r="I2278" t="str">
        <f>("13/03/2025")</f>
        <v>13/03/2025</v>
      </c>
      <c r="J2278" t="str">
        <f>("04/03/2025")</f>
        <v>04/03/2025</v>
      </c>
      <c r="K2278">
        <v>45916</v>
      </c>
      <c r="N2278">
        <v>129</v>
      </c>
      <c r="O2278" t="s">
        <v>58</v>
      </c>
      <c r="Q2278">
        <v>20</v>
      </c>
      <c r="R2278" t="str">
        <f>"LEANDRO DA SILVA ROCHA (601)"</f>
        <v>LEANDRO DA SILVA ROCHA (601)</v>
      </c>
      <c r="S2278" t="s">
        <v>59</v>
      </c>
      <c r="T2278">
        <v>18284</v>
      </c>
      <c r="U2278">
        <v>22214</v>
      </c>
      <c r="V2278" t="s">
        <v>48</v>
      </c>
    </row>
    <row r="2279" spans="1:22">
      <c r="A2279" t="str">
        <f t="shared" si="407"/>
        <v>16/09/2025</v>
      </c>
      <c r="B2279" t="str">
        <f t="shared" ref="B2279:B2296" si="410">"SAÍDA"</f>
        <v>SAÍDA</v>
      </c>
      <c r="C2279" t="str">
        <f t="shared" ref="C2279:C2296" si="411">"PIX"</f>
        <v>PIX</v>
      </c>
      <c r="D2279" t="str">
        <f>"22210"</f>
        <v>22210</v>
      </c>
      <c r="E2279" t="str">
        <f t="shared" ref="E2279:E2296" si="412">"1"</f>
        <v>1</v>
      </c>
      <c r="F2279" t="str">
        <f t="shared" si="408"/>
        <v>COM</v>
      </c>
      <c r="G2279" t="str">
        <f>"NILTON ADRIANO SILVA DE JESUS (943)"</f>
        <v>NILTON ADRIANO SILVA DE JESUS (943)</v>
      </c>
      <c r="H2279" t="str">
        <f>"Serv.Prest. 08/09/2025 a 14/09/2025 - PIX: CELULAR - CHAVE: (34) 99772-2954"</f>
        <v>Serv.Prest. 08/09/2025 a 14/09/2025 - PIX: CELULAR - CHAVE: (34) 99772-2954</v>
      </c>
      <c r="I2279" t="str">
        <f>("18/09/2025")</f>
        <v>18/09/2025</v>
      </c>
      <c r="J2279" t="str">
        <f>("16/09/2025")</f>
        <v>16/09/2025</v>
      </c>
      <c r="K2279" t="str">
        <f>("16/09/2025")</f>
        <v>16/09/2025</v>
      </c>
      <c r="L2279">
        <v>240</v>
      </c>
      <c r="M2279">
        <v>240</v>
      </c>
      <c r="N2279">
        <v>109</v>
      </c>
      <c r="O2279" t="str">
        <f>"PAGAMENTO DE ENTREGADORES"</f>
        <v>PAGAMENTO DE ENTREGADORES</v>
      </c>
      <c r="P2279">
        <v>240</v>
      </c>
      <c r="S2279" t="str">
        <f>"BANCO CORA (102)"</f>
        <v>BANCO CORA (102)</v>
      </c>
      <c r="T2279">
        <v>18304</v>
      </c>
      <c r="U2279">
        <v>22228</v>
      </c>
      <c r="V2279" t="s">
        <v>22</v>
      </c>
    </row>
    <row r="2280" spans="1:22">
      <c r="A2280" t="str">
        <f t="shared" si="407"/>
        <v>16/09/2025</v>
      </c>
      <c r="B2280" t="str">
        <f t="shared" si="410"/>
        <v>SAÍDA</v>
      </c>
      <c r="C2280" t="str">
        <f t="shared" si="411"/>
        <v>PIX</v>
      </c>
      <c r="D2280" t="str">
        <f>"22210"</f>
        <v>22210</v>
      </c>
      <c r="E2280" t="str">
        <f t="shared" si="412"/>
        <v>1</v>
      </c>
      <c r="F2280" t="str">
        <f t="shared" si="408"/>
        <v>COM</v>
      </c>
      <c r="G2280" t="str">
        <f>"NILTON ADRIANO SILVA DE JESUS (943)"</f>
        <v>NILTON ADRIANO SILVA DE JESUS (943)</v>
      </c>
      <c r="H2280" t="s">
        <v>593</v>
      </c>
      <c r="I2280" t="str">
        <f>("18/09/2025")</f>
        <v>18/09/2025</v>
      </c>
      <c r="J2280" t="str">
        <f>("16/09/2025")</f>
        <v>16/09/2025</v>
      </c>
      <c r="K2280">
        <v>45916</v>
      </c>
      <c r="N2280">
        <v>109</v>
      </c>
      <c r="O2280" t="s">
        <v>24</v>
      </c>
      <c r="Q2280">
        <v>240</v>
      </c>
      <c r="R2280" t="str">
        <f>"DROGA HONDA (10149)"</f>
        <v>DROGA HONDA (10149)</v>
      </c>
      <c r="S2280" t="s">
        <v>22</v>
      </c>
      <c r="T2280">
        <v>18304</v>
      </c>
      <c r="U2280">
        <v>22228</v>
      </c>
      <c r="V2280" t="s">
        <v>22</v>
      </c>
    </row>
    <row r="2281" spans="1:22">
      <c r="A2281" t="str">
        <f t="shared" si="407"/>
        <v>16/09/2025</v>
      </c>
      <c r="B2281" t="str">
        <f t="shared" si="410"/>
        <v>SAÍDA</v>
      </c>
      <c r="C2281" t="str">
        <f t="shared" si="411"/>
        <v>PIX</v>
      </c>
      <c r="D2281" t="str">
        <f>"22252"</f>
        <v>22252</v>
      </c>
      <c r="E2281" t="str">
        <f t="shared" si="412"/>
        <v>1</v>
      </c>
      <c r="F2281" t="str">
        <f t="shared" si="408"/>
        <v>COM</v>
      </c>
      <c r="G2281" t="str">
        <f>"DIANS APARECIDO RAMOS BERALDO (795)"</f>
        <v>DIANS APARECIDO RAMOS BERALDO (795)</v>
      </c>
      <c r="H2281" t="str">
        <f>"Serv.Prest. 15/09/2025 a 21/09/2025 - PIX: CELULAR - CHAVE: (11) 95530-0331"</f>
        <v>Serv.Prest. 15/09/2025 a 21/09/2025 - PIX: CELULAR - CHAVE: (11) 95530-0331</v>
      </c>
      <c r="I2281" t="str">
        <f>("25/09/2025")</f>
        <v>25/09/2025</v>
      </c>
      <c r="J2281" t="str">
        <f>("22/09/2025")</f>
        <v>22/09/2025</v>
      </c>
      <c r="K2281" t="str">
        <f>("16/09/2025")</f>
        <v>16/09/2025</v>
      </c>
      <c r="L2281">
        <v>133</v>
      </c>
      <c r="M2281">
        <v>130</v>
      </c>
      <c r="N2281">
        <v>109</v>
      </c>
      <c r="O2281" t="str">
        <f>"PAGAMENTO DE ENTREGADORES"</f>
        <v>PAGAMENTO DE ENTREGADORES</v>
      </c>
      <c r="P2281">
        <v>130</v>
      </c>
      <c r="S2281" t="str">
        <f>"BANCO CORA (102)"</f>
        <v>BANCO CORA (102)</v>
      </c>
      <c r="T2281">
        <v>18603</v>
      </c>
      <c r="U2281">
        <v>22252</v>
      </c>
      <c r="V2281" t="s">
        <v>22</v>
      </c>
    </row>
    <row r="2282" spans="1:22">
      <c r="A2282" t="str">
        <f t="shared" si="407"/>
        <v>16/09/2025</v>
      </c>
      <c r="B2282" t="str">
        <f t="shared" si="410"/>
        <v>SAÍDA</v>
      </c>
      <c r="C2282" t="str">
        <f t="shared" si="411"/>
        <v>PIX</v>
      </c>
      <c r="D2282" t="str">
        <f>"22252"</f>
        <v>22252</v>
      </c>
      <c r="E2282" t="str">
        <f t="shared" si="412"/>
        <v>1</v>
      </c>
      <c r="F2282" t="str">
        <f t="shared" si="408"/>
        <v>COM</v>
      </c>
      <c r="G2282" t="str">
        <f>"DIANS APARECIDO RAMOS BERALDO (795)"</f>
        <v>DIANS APARECIDO RAMOS BERALDO (795)</v>
      </c>
      <c r="H2282" t="s">
        <v>594</v>
      </c>
      <c r="I2282" t="str">
        <f>("25/09/2025")</f>
        <v>25/09/2025</v>
      </c>
      <c r="J2282" t="str">
        <f>("22/09/2025")</f>
        <v>22/09/2025</v>
      </c>
      <c r="K2282">
        <v>45916</v>
      </c>
      <c r="N2282">
        <v>109</v>
      </c>
      <c r="O2282" t="s">
        <v>24</v>
      </c>
      <c r="Q2282">
        <v>130</v>
      </c>
      <c r="R2282" t="str">
        <f>"DROGARIA TOTAL JUNDIAI (10177)"</f>
        <v>DROGARIA TOTAL JUNDIAI (10177)</v>
      </c>
      <c r="S2282" t="s">
        <v>22</v>
      </c>
      <c r="T2282">
        <v>18603</v>
      </c>
      <c r="U2282">
        <v>22252</v>
      </c>
      <c r="V2282" t="s">
        <v>22</v>
      </c>
    </row>
    <row r="2283" spans="1:22">
      <c r="A2283" t="str">
        <f t="shared" si="407"/>
        <v>16/09/2025</v>
      </c>
      <c r="B2283" t="str">
        <f t="shared" si="410"/>
        <v>SAÍDA</v>
      </c>
      <c r="C2283" t="str">
        <f t="shared" si="411"/>
        <v>PIX</v>
      </c>
      <c r="D2283" t="str">
        <f>"22310"</f>
        <v>22310</v>
      </c>
      <c r="E2283" t="str">
        <f t="shared" si="412"/>
        <v>1</v>
      </c>
      <c r="F2283" t="str">
        <f t="shared" si="408"/>
        <v>COM</v>
      </c>
      <c r="G2283" t="str">
        <f>"ROBERTO ALVES BATISTA (930)"</f>
        <v>ROBERTO ALVES BATISTA (930)</v>
      </c>
      <c r="H2283" t="str">
        <f>"Serv.Prest. 15/09/2025 a 21/09/2025 - PIX: CELULAR - CHAVE: (11) 96366-0000"</f>
        <v>Serv.Prest. 15/09/2025 a 21/09/2025 - PIX: CELULAR - CHAVE: (11) 96366-0000</v>
      </c>
      <c r="I2283" t="str">
        <f>("25/09/2025")</f>
        <v>25/09/2025</v>
      </c>
      <c r="J2283" t="str">
        <f>("22/09/2025")</f>
        <v>22/09/2025</v>
      </c>
      <c r="K2283" t="str">
        <f>("16/09/2025")</f>
        <v>16/09/2025</v>
      </c>
      <c r="L2283">
        <v>133</v>
      </c>
      <c r="M2283">
        <v>130</v>
      </c>
      <c r="N2283">
        <v>109</v>
      </c>
      <c r="O2283" t="str">
        <f>"PAGAMENTO DE ENTREGADORES"</f>
        <v>PAGAMENTO DE ENTREGADORES</v>
      </c>
      <c r="P2283">
        <v>130</v>
      </c>
      <c r="S2283" t="str">
        <f>"BANCO CORA (102)"</f>
        <v>BANCO CORA (102)</v>
      </c>
      <c r="T2283">
        <v>18604</v>
      </c>
      <c r="U2283">
        <v>22310</v>
      </c>
      <c r="V2283" t="s">
        <v>22</v>
      </c>
    </row>
    <row r="2284" spans="1:22">
      <c r="A2284" t="str">
        <f t="shared" si="407"/>
        <v>16/09/2025</v>
      </c>
      <c r="B2284" t="str">
        <f t="shared" si="410"/>
        <v>SAÍDA</v>
      </c>
      <c r="C2284" t="str">
        <f t="shared" si="411"/>
        <v>PIX</v>
      </c>
      <c r="D2284" t="str">
        <f>"22310"</f>
        <v>22310</v>
      </c>
      <c r="E2284" t="str">
        <f t="shared" si="412"/>
        <v>1</v>
      </c>
      <c r="F2284" t="str">
        <f t="shared" si="408"/>
        <v>COM</v>
      </c>
      <c r="G2284" t="str">
        <f>"ROBERTO ALVES BATISTA (930)"</f>
        <v>ROBERTO ALVES BATISTA (930)</v>
      </c>
      <c r="H2284" t="s">
        <v>595</v>
      </c>
      <c r="I2284" t="str">
        <f>("25/09/2025")</f>
        <v>25/09/2025</v>
      </c>
      <c r="J2284" t="str">
        <f>("22/09/2025")</f>
        <v>22/09/2025</v>
      </c>
      <c r="K2284">
        <v>45916</v>
      </c>
      <c r="N2284">
        <v>109</v>
      </c>
      <c r="O2284" t="s">
        <v>24</v>
      </c>
      <c r="Q2284">
        <v>130</v>
      </c>
      <c r="R2284" t="str">
        <f>"DROGARIA MORENO LTDA (10171)"</f>
        <v>DROGARIA MORENO LTDA (10171)</v>
      </c>
      <c r="S2284" t="s">
        <v>22</v>
      </c>
      <c r="T2284">
        <v>18604</v>
      </c>
      <c r="U2284">
        <v>22310</v>
      </c>
      <c r="V2284" t="s">
        <v>22</v>
      </c>
    </row>
    <row r="2285" spans="1:22">
      <c r="A2285" t="str">
        <f t="shared" si="407"/>
        <v>16/09/2025</v>
      </c>
      <c r="B2285" t="str">
        <f t="shared" si="410"/>
        <v>SAÍDA</v>
      </c>
      <c r="C2285" t="str">
        <f t="shared" si="411"/>
        <v>PIX</v>
      </c>
      <c r="D2285" t="str">
        <f>"22055"</f>
        <v>22055</v>
      </c>
      <c r="E2285" t="str">
        <f t="shared" si="412"/>
        <v>1</v>
      </c>
      <c r="F2285" t="str">
        <f t="shared" si="408"/>
        <v>COM</v>
      </c>
      <c r="G2285" t="str">
        <f>"YAN BRENDO CORREIA VIEIRA (861)"</f>
        <v>YAN BRENDO CORREIA VIEIRA (861)</v>
      </c>
      <c r="H2285" t="str">
        <f>"Serv.Prest. 08/09/2025 a 14/09/2025 - PIX: CPF - CHAVE: 096.891.935-97"</f>
        <v>Serv.Prest. 08/09/2025 a 14/09/2025 - PIX: CPF - CHAVE: 096.891.935-97</v>
      </c>
      <c r="I2285" t="str">
        <f t="shared" ref="I2285:I2298" si="413">("16/09/2025")</f>
        <v>16/09/2025</v>
      </c>
      <c r="J2285" t="str">
        <f>("15/09/2025")</f>
        <v>15/09/2025</v>
      </c>
      <c r="K2285" t="str">
        <f>("16/09/2025")</f>
        <v>16/09/2025</v>
      </c>
      <c r="L2285">
        <v>150</v>
      </c>
      <c r="M2285">
        <v>150</v>
      </c>
      <c r="N2285">
        <v>109</v>
      </c>
      <c r="O2285" t="str">
        <f>"PAGAMENTO DE ENTREGADORES"</f>
        <v>PAGAMENTO DE ENTREGADORES</v>
      </c>
      <c r="P2285">
        <v>150</v>
      </c>
      <c r="S2285" t="str">
        <f>"BANCO CORA (102)"</f>
        <v>BANCO CORA (102)</v>
      </c>
      <c r="T2285">
        <v>18610</v>
      </c>
      <c r="U2285">
        <v>22056</v>
      </c>
      <c r="V2285" t="s">
        <v>22</v>
      </c>
    </row>
    <row r="2286" spans="1:22">
      <c r="A2286" t="str">
        <f t="shared" si="407"/>
        <v>16/09/2025</v>
      </c>
      <c r="B2286" t="str">
        <f t="shared" si="410"/>
        <v>SAÍDA</v>
      </c>
      <c r="C2286" t="str">
        <f t="shared" si="411"/>
        <v>PIX</v>
      </c>
      <c r="D2286" t="str">
        <f>"22055"</f>
        <v>22055</v>
      </c>
      <c r="E2286" t="str">
        <f t="shared" si="412"/>
        <v>1</v>
      </c>
      <c r="F2286" t="str">
        <f t="shared" si="408"/>
        <v>COM</v>
      </c>
      <c r="G2286" t="str">
        <f>"YAN BRENDO CORREIA VIEIRA (861)"</f>
        <v>YAN BRENDO CORREIA VIEIRA (861)</v>
      </c>
      <c r="H2286" t="s">
        <v>596</v>
      </c>
      <c r="I2286" t="str">
        <f t="shared" si="413"/>
        <v>16/09/2025</v>
      </c>
      <c r="J2286" t="str">
        <f>("15/09/2025")</f>
        <v>15/09/2025</v>
      </c>
      <c r="K2286">
        <v>45916</v>
      </c>
      <c r="N2286">
        <v>109</v>
      </c>
      <c r="O2286" t="s">
        <v>24</v>
      </c>
      <c r="Q2286">
        <v>150</v>
      </c>
      <c r="R2286" t="str">
        <f>"FARMÁCIA INDIANA LJ 200 (10155)"</f>
        <v>FARMÁCIA INDIANA LJ 200 (10155)</v>
      </c>
      <c r="S2286" t="s">
        <v>22</v>
      </c>
      <c r="T2286">
        <v>18610</v>
      </c>
      <c r="U2286">
        <v>22056</v>
      </c>
      <c r="V2286" t="s">
        <v>22</v>
      </c>
    </row>
    <row r="2287" spans="1:22">
      <c r="A2287" t="str">
        <f t="shared" si="407"/>
        <v>16/09/2025</v>
      </c>
      <c r="B2287" t="str">
        <f t="shared" si="410"/>
        <v>SAÍDA</v>
      </c>
      <c r="C2287" t="str">
        <f t="shared" si="411"/>
        <v>PIX</v>
      </c>
      <c r="D2287" t="str">
        <f>"21980"</f>
        <v>21980</v>
      </c>
      <c r="E2287" t="str">
        <f t="shared" si="412"/>
        <v>1</v>
      </c>
      <c r="F2287" t="str">
        <f t="shared" si="408"/>
        <v>COM</v>
      </c>
      <c r="G2287" t="str">
        <f>"WILLIAM FERREIRA DE OLIVEIRA (900)"</f>
        <v>WILLIAM FERREIRA DE OLIVEIRA (900)</v>
      </c>
      <c r="H2287" t="str">
        <f>"Serv.Prest. 08/09/2025 a 14/09/2025 - PIX: CPF - CHAVE: 106.393.056-10"</f>
        <v>Serv.Prest. 08/09/2025 a 14/09/2025 - PIX: CPF - CHAVE: 106.393.056-10</v>
      </c>
      <c r="I2287" t="str">
        <f t="shared" si="413"/>
        <v>16/09/2025</v>
      </c>
      <c r="J2287" t="str">
        <f>("15/09/2025")</f>
        <v>15/09/2025</v>
      </c>
      <c r="K2287" t="str">
        <f>("16/09/2025")</f>
        <v>16/09/2025</v>
      </c>
      <c r="L2287">
        <v>144</v>
      </c>
      <c r="M2287">
        <v>140</v>
      </c>
      <c r="N2287">
        <v>134</v>
      </c>
      <c r="O2287" t="str">
        <f>"DIARIA DE MOTOBOY"</f>
        <v>DIARIA DE MOTOBOY</v>
      </c>
      <c r="P2287">
        <v>140</v>
      </c>
      <c r="S2287" t="str">
        <f>"BANCO CORA (102)"</f>
        <v>BANCO CORA (102)</v>
      </c>
      <c r="T2287">
        <v>18612</v>
      </c>
      <c r="U2287">
        <v>21980</v>
      </c>
      <c r="V2287" t="s">
        <v>22</v>
      </c>
    </row>
    <row r="2288" spans="1:22">
      <c r="A2288" t="str">
        <f t="shared" si="407"/>
        <v>16/09/2025</v>
      </c>
      <c r="B2288" t="str">
        <f t="shared" si="410"/>
        <v>SAÍDA</v>
      </c>
      <c r="C2288" t="str">
        <f t="shared" si="411"/>
        <v>PIX</v>
      </c>
      <c r="D2288" t="str">
        <f>"21980"</f>
        <v>21980</v>
      </c>
      <c r="E2288" t="str">
        <f t="shared" si="412"/>
        <v>1</v>
      </c>
      <c r="F2288" t="str">
        <f t="shared" si="408"/>
        <v>COM</v>
      </c>
      <c r="G2288" t="str">
        <f>"WILLIAM FERREIRA DE OLIVEIRA (900)"</f>
        <v>WILLIAM FERREIRA DE OLIVEIRA (900)</v>
      </c>
      <c r="H2288" t="s">
        <v>597</v>
      </c>
      <c r="I2288" t="str">
        <f t="shared" si="413"/>
        <v>16/09/2025</v>
      </c>
      <c r="J2288" t="str">
        <f>("15/09/2025")</f>
        <v>15/09/2025</v>
      </c>
      <c r="K2288">
        <v>45916</v>
      </c>
      <c r="N2288">
        <v>134</v>
      </c>
      <c r="O2288" t="s">
        <v>41</v>
      </c>
      <c r="Q2288">
        <v>140</v>
      </c>
      <c r="R2288" t="str">
        <f>"PAGMENOS - LJ 657 (10136)"</f>
        <v>PAGMENOS - LJ 657 (10136)</v>
      </c>
      <c r="S2288" t="s">
        <v>22</v>
      </c>
      <c r="T2288">
        <v>18612</v>
      </c>
      <c r="U2288">
        <v>21980</v>
      </c>
      <c r="V2288" t="s">
        <v>22</v>
      </c>
    </row>
    <row r="2289" spans="1:22">
      <c r="A2289" t="str">
        <f t="shared" si="407"/>
        <v>16/09/2025</v>
      </c>
      <c r="B2289" t="str">
        <f t="shared" si="410"/>
        <v>SAÍDA</v>
      </c>
      <c r="C2289" t="str">
        <f t="shared" si="411"/>
        <v>PIX</v>
      </c>
      <c r="D2289" t="str">
        <f>"22084"</f>
        <v>22084</v>
      </c>
      <c r="E2289" t="str">
        <f t="shared" si="412"/>
        <v>1</v>
      </c>
      <c r="F2289" t="str">
        <f t="shared" si="408"/>
        <v>COM</v>
      </c>
      <c r="G2289" t="str">
        <f>"EZEQUIEL MATHEUS SOUSA MAXIMIANO ROSA (931)"</f>
        <v>EZEQUIEL MATHEUS SOUSA MAXIMIANO ROSA (931)</v>
      </c>
      <c r="H2289" t="str">
        <f>"Serv.Prest. 08/09/2025 a 14/09/2025 - PIX: CPF - CHAVE: 141.994.266-20"</f>
        <v>Serv.Prest. 08/09/2025 a 14/09/2025 - PIX: CPF - CHAVE: 141.994.266-20</v>
      </c>
      <c r="I2289" t="str">
        <f t="shared" si="413"/>
        <v>16/09/2025</v>
      </c>
      <c r="J2289" t="str">
        <f>("16/09/2025")</f>
        <v>16/09/2025</v>
      </c>
      <c r="K2289" t="str">
        <f>("16/09/2025")</f>
        <v>16/09/2025</v>
      </c>
      <c r="L2289">
        <v>168</v>
      </c>
      <c r="M2289">
        <v>170</v>
      </c>
      <c r="N2289">
        <v>134</v>
      </c>
      <c r="O2289" t="str">
        <f>"DIARIA DE MOTOBOY"</f>
        <v>DIARIA DE MOTOBOY</v>
      </c>
      <c r="P2289">
        <v>170</v>
      </c>
      <c r="S2289" t="str">
        <f>"BANCO CORA (102)"</f>
        <v>BANCO CORA (102)</v>
      </c>
      <c r="T2289">
        <v>18614</v>
      </c>
      <c r="U2289">
        <v>22084</v>
      </c>
      <c r="V2289" t="s">
        <v>22</v>
      </c>
    </row>
    <row r="2290" spans="1:22">
      <c r="A2290" t="str">
        <f t="shared" si="407"/>
        <v>16/09/2025</v>
      </c>
      <c r="B2290" t="str">
        <f t="shared" si="410"/>
        <v>SAÍDA</v>
      </c>
      <c r="C2290" t="str">
        <f t="shared" si="411"/>
        <v>PIX</v>
      </c>
      <c r="D2290" t="str">
        <f>"22084"</f>
        <v>22084</v>
      </c>
      <c r="E2290" t="str">
        <f t="shared" si="412"/>
        <v>1</v>
      </c>
      <c r="F2290" t="str">
        <f t="shared" si="408"/>
        <v>COM</v>
      </c>
      <c r="G2290" t="str">
        <f>"EZEQUIEL MATHEUS SOUSA MAXIMIANO ROSA (931)"</f>
        <v>EZEQUIEL MATHEUS SOUSA MAXIMIANO ROSA (931)</v>
      </c>
      <c r="H2290" t="s">
        <v>598</v>
      </c>
      <c r="I2290" t="str">
        <f t="shared" si="413"/>
        <v>16/09/2025</v>
      </c>
      <c r="J2290" t="str">
        <f>("16/09/2025")</f>
        <v>16/09/2025</v>
      </c>
      <c r="K2290">
        <v>45916</v>
      </c>
      <c r="N2290">
        <v>134</v>
      </c>
      <c r="O2290" t="s">
        <v>41</v>
      </c>
      <c r="Q2290">
        <v>170</v>
      </c>
      <c r="R2290" t="str">
        <f>"FARMÁCIA INDIANA LJ 118 (10052)"</f>
        <v>FARMÁCIA INDIANA LJ 118 (10052)</v>
      </c>
      <c r="S2290" t="s">
        <v>22</v>
      </c>
      <c r="T2290">
        <v>18614</v>
      </c>
      <c r="U2290">
        <v>22084</v>
      </c>
      <c r="V2290" t="s">
        <v>22</v>
      </c>
    </row>
    <row r="2291" spans="1:22">
      <c r="A2291" t="str">
        <f t="shared" si="407"/>
        <v>16/09/2025</v>
      </c>
      <c r="B2291" t="str">
        <f t="shared" si="410"/>
        <v>SAÍDA</v>
      </c>
      <c r="C2291" t="str">
        <f t="shared" si="411"/>
        <v>PIX</v>
      </c>
      <c r="D2291" t="str">
        <f>"21974"</f>
        <v>21974</v>
      </c>
      <c r="E2291" t="str">
        <f t="shared" si="412"/>
        <v>1</v>
      </c>
      <c r="F2291" t="str">
        <f t="shared" si="408"/>
        <v>COM</v>
      </c>
      <c r="G2291" t="str">
        <f>"SAMUEL SOARES DA SILVA (867)"</f>
        <v>SAMUEL SOARES DA SILVA (867)</v>
      </c>
      <c r="H2291" t="str">
        <f>"Serv.Prest. 08/09/2025 a 14/09/2025 - PIX: CPF - CHAVE: 396.124.108-28"</f>
        <v>Serv.Prest. 08/09/2025 a 14/09/2025 - PIX: CPF - CHAVE: 396.124.108-28</v>
      </c>
      <c r="I2291" t="str">
        <f t="shared" si="413"/>
        <v>16/09/2025</v>
      </c>
      <c r="J2291" t="str">
        <f>("15/09/2025")</f>
        <v>15/09/2025</v>
      </c>
      <c r="K2291" t="str">
        <f>("16/09/2025")</f>
        <v>16/09/2025</v>
      </c>
      <c r="L2291">
        <v>140</v>
      </c>
      <c r="M2291">
        <v>140</v>
      </c>
      <c r="N2291">
        <v>109</v>
      </c>
      <c r="O2291" t="str">
        <f>"PAGAMENTO DE ENTREGADORES"</f>
        <v>PAGAMENTO DE ENTREGADORES</v>
      </c>
      <c r="P2291">
        <v>140</v>
      </c>
      <c r="S2291" t="str">
        <f>"BANCO CORA (102)"</f>
        <v>BANCO CORA (102)</v>
      </c>
      <c r="T2291">
        <v>18616</v>
      </c>
      <c r="U2291">
        <v>22197</v>
      </c>
      <c r="V2291" t="s">
        <v>22</v>
      </c>
    </row>
    <row r="2292" spans="1:22">
      <c r="A2292" t="str">
        <f t="shared" si="407"/>
        <v>16/09/2025</v>
      </c>
      <c r="B2292" t="str">
        <f t="shared" si="410"/>
        <v>SAÍDA</v>
      </c>
      <c r="C2292" t="str">
        <f t="shared" si="411"/>
        <v>PIX</v>
      </c>
      <c r="D2292" t="str">
        <f>"21974"</f>
        <v>21974</v>
      </c>
      <c r="E2292" t="str">
        <f t="shared" si="412"/>
        <v>1</v>
      </c>
      <c r="F2292" t="str">
        <f t="shared" si="408"/>
        <v>COM</v>
      </c>
      <c r="G2292" t="str">
        <f>"SAMUEL SOARES DA SILVA (867)"</f>
        <v>SAMUEL SOARES DA SILVA (867)</v>
      </c>
      <c r="H2292" t="s">
        <v>599</v>
      </c>
      <c r="I2292" t="str">
        <f t="shared" si="413"/>
        <v>16/09/2025</v>
      </c>
      <c r="J2292" t="str">
        <f>("15/09/2025")</f>
        <v>15/09/2025</v>
      </c>
      <c r="K2292">
        <v>45916</v>
      </c>
      <c r="N2292">
        <v>109</v>
      </c>
      <c r="O2292" t="s">
        <v>24</v>
      </c>
      <c r="Q2292">
        <v>140</v>
      </c>
      <c r="R2292" t="str">
        <f>"DROGA ELIDA (10121)"</f>
        <v>DROGA ELIDA (10121)</v>
      </c>
      <c r="S2292" t="s">
        <v>22</v>
      </c>
      <c r="T2292">
        <v>18616</v>
      </c>
      <c r="U2292">
        <v>22197</v>
      </c>
      <c r="V2292" t="s">
        <v>22</v>
      </c>
    </row>
    <row r="2293" spans="1:22">
      <c r="A2293" t="str">
        <f t="shared" si="407"/>
        <v>16/09/2025</v>
      </c>
      <c r="B2293" t="str">
        <f t="shared" si="410"/>
        <v>SAÍDA</v>
      </c>
      <c r="C2293" t="str">
        <f t="shared" si="411"/>
        <v>PIX</v>
      </c>
      <c r="D2293" t="str">
        <f>"22064"</f>
        <v>22064</v>
      </c>
      <c r="E2293" t="str">
        <f t="shared" si="412"/>
        <v>1</v>
      </c>
      <c r="F2293" t="str">
        <f t="shared" si="408"/>
        <v>COM</v>
      </c>
      <c r="G2293" t="str">
        <f>"ARTHUR DANTAS PACHECO (928)"</f>
        <v>ARTHUR DANTAS PACHECO (928)</v>
      </c>
      <c r="H2293" t="str">
        <f>"Serv.Prest. 08/09/2025 a 14/09/2025 - PIX: CELULAR - CHAVE: (33) 99110-6940"</f>
        <v>Serv.Prest. 08/09/2025 a 14/09/2025 - PIX: CELULAR - CHAVE: (33) 99110-6940</v>
      </c>
      <c r="I2293" t="str">
        <f t="shared" si="413"/>
        <v>16/09/2025</v>
      </c>
      <c r="J2293" t="str">
        <f>("16/09/2025")</f>
        <v>16/09/2025</v>
      </c>
      <c r="K2293" t="str">
        <f>("16/09/2025")</f>
        <v>16/09/2025</v>
      </c>
      <c r="L2293">
        <v>1138.5</v>
      </c>
      <c r="M2293">
        <v>1138.5</v>
      </c>
      <c r="N2293">
        <v>134</v>
      </c>
      <c r="O2293" t="str">
        <f>"DIARIA DE MOTOBOY"</f>
        <v>DIARIA DE MOTOBOY</v>
      </c>
      <c r="P2293">
        <v>1138.5</v>
      </c>
      <c r="S2293" t="str">
        <f>"BANCO CORA (102)"</f>
        <v>BANCO CORA (102)</v>
      </c>
      <c r="T2293">
        <v>18645</v>
      </c>
      <c r="U2293">
        <v>22064</v>
      </c>
      <c r="V2293" t="s">
        <v>22</v>
      </c>
    </row>
    <row r="2294" spans="1:22">
      <c r="A2294" t="str">
        <f t="shared" si="407"/>
        <v>16/09/2025</v>
      </c>
      <c r="B2294" t="str">
        <f t="shared" si="410"/>
        <v>SAÍDA</v>
      </c>
      <c r="C2294" t="str">
        <f t="shared" si="411"/>
        <v>PIX</v>
      </c>
      <c r="D2294" t="str">
        <f>"22064"</f>
        <v>22064</v>
      </c>
      <c r="E2294" t="str">
        <f t="shared" si="412"/>
        <v>1</v>
      </c>
      <c r="F2294" t="str">
        <f t="shared" si="408"/>
        <v>COM</v>
      </c>
      <c r="G2294" t="str">
        <f>"ARTHUR DANTAS PACHECO (928)"</f>
        <v>ARTHUR DANTAS PACHECO (928)</v>
      </c>
      <c r="H2294" t="s">
        <v>600</v>
      </c>
      <c r="I2294" t="str">
        <f t="shared" si="413"/>
        <v>16/09/2025</v>
      </c>
      <c r="J2294" t="str">
        <f>("16/09/2025")</f>
        <v>16/09/2025</v>
      </c>
      <c r="K2294">
        <v>45916</v>
      </c>
      <c r="N2294">
        <v>134</v>
      </c>
      <c r="O2294" t="s">
        <v>41</v>
      </c>
      <c r="Q2294">
        <v>1138.5</v>
      </c>
      <c r="R2294" t="str">
        <f>"FARMÁCIA INDIANA LJ 40 (10016)"</f>
        <v>FARMÁCIA INDIANA LJ 40 (10016)</v>
      </c>
      <c r="S2294" t="s">
        <v>22</v>
      </c>
      <c r="T2294">
        <v>18645</v>
      </c>
      <c r="U2294">
        <v>22064</v>
      </c>
      <c r="V2294" t="s">
        <v>22</v>
      </c>
    </row>
    <row r="2295" spans="1:22">
      <c r="A2295" t="str">
        <f t="shared" si="407"/>
        <v>16/09/2025</v>
      </c>
      <c r="B2295" t="str">
        <f t="shared" si="410"/>
        <v>SAÍDA</v>
      </c>
      <c r="C2295" t="str">
        <f t="shared" si="411"/>
        <v>PIX</v>
      </c>
      <c r="D2295" t="str">
        <f>"22110"</f>
        <v>22110</v>
      </c>
      <c r="E2295" t="str">
        <f t="shared" si="412"/>
        <v>1</v>
      </c>
      <c r="F2295" t="str">
        <f t="shared" si="408"/>
        <v>COM</v>
      </c>
      <c r="G2295" t="str">
        <f>"LAUAN ROCHA DE MELO (914)"</f>
        <v>LAUAN ROCHA DE MELO (914)</v>
      </c>
      <c r="H2295" t="str">
        <f>"Serv.Prest. 08/09/2025 a 14/09/2025 - PIX: CELULAR - CHAVE: (32) 99913-0476"</f>
        <v>Serv.Prest. 08/09/2025 a 14/09/2025 - PIX: CELULAR - CHAVE: (32) 99913-0476</v>
      </c>
      <c r="I2295" t="str">
        <f t="shared" si="413"/>
        <v>16/09/2025</v>
      </c>
      <c r="J2295" t="str">
        <f>("16/09/2025")</f>
        <v>16/09/2025</v>
      </c>
      <c r="K2295" t="str">
        <f>("16/09/2025")</f>
        <v>16/09/2025</v>
      </c>
      <c r="L2295">
        <v>120</v>
      </c>
      <c r="M2295">
        <v>120</v>
      </c>
      <c r="N2295">
        <v>134</v>
      </c>
      <c r="O2295" t="str">
        <f>"DIARIA DE MOTOBOY"</f>
        <v>DIARIA DE MOTOBOY</v>
      </c>
      <c r="P2295">
        <v>120</v>
      </c>
      <c r="S2295" t="str">
        <f>"BANCO CORA (102)"</f>
        <v>BANCO CORA (102)</v>
      </c>
      <c r="T2295">
        <v>19213</v>
      </c>
      <c r="U2295">
        <v>22110</v>
      </c>
      <c r="V2295" t="s">
        <v>22</v>
      </c>
    </row>
    <row r="2296" spans="1:22">
      <c r="A2296" t="str">
        <f t="shared" si="407"/>
        <v>16/09/2025</v>
      </c>
      <c r="B2296" t="str">
        <f t="shared" si="410"/>
        <v>SAÍDA</v>
      </c>
      <c r="C2296" t="str">
        <f t="shared" si="411"/>
        <v>PIX</v>
      </c>
      <c r="D2296" t="str">
        <f>"22110"</f>
        <v>22110</v>
      </c>
      <c r="E2296" t="str">
        <f t="shared" si="412"/>
        <v>1</v>
      </c>
      <c r="F2296" t="str">
        <f t="shared" si="408"/>
        <v>COM</v>
      </c>
      <c r="G2296" t="str">
        <f>"LAUAN ROCHA DE MELO (914)"</f>
        <v>LAUAN ROCHA DE MELO (914)</v>
      </c>
      <c r="H2296" t="s">
        <v>601</v>
      </c>
      <c r="I2296" t="str">
        <f t="shared" si="413"/>
        <v>16/09/2025</v>
      </c>
      <c r="J2296" t="str">
        <f>("16/09/2025")</f>
        <v>16/09/2025</v>
      </c>
      <c r="K2296">
        <v>45916</v>
      </c>
      <c r="N2296">
        <v>134</v>
      </c>
      <c r="O2296" t="s">
        <v>41</v>
      </c>
      <c r="Q2296">
        <v>120</v>
      </c>
      <c r="R2296" t="str">
        <f>"FARMÁCIA INDIANA LJ 109 (10047)"</f>
        <v>FARMÁCIA INDIANA LJ 109 (10047)</v>
      </c>
      <c r="S2296" t="s">
        <v>22</v>
      </c>
      <c r="T2296">
        <v>19213</v>
      </c>
      <c r="U2296">
        <v>22110</v>
      </c>
      <c r="V2296" t="s">
        <v>22</v>
      </c>
    </row>
    <row r="2297" spans="1:22">
      <c r="A2297" t="str">
        <f t="shared" si="407"/>
        <v>16/09/2025</v>
      </c>
      <c r="B2297" t="str">
        <f>"ENTRADA"</f>
        <v>ENTRADA</v>
      </c>
      <c r="C2297" t="str">
        <f>"TRANSFERENCIA"</f>
        <v>TRANSFERENCIA</v>
      </c>
      <c r="D2297" t="str">
        <f>""</f>
        <v/>
      </c>
      <c r="F2297" t="str">
        <f>"TRF"</f>
        <v>TRF</v>
      </c>
      <c r="G2297" t="str">
        <f>""</f>
        <v/>
      </c>
      <c r="H2297" t="str">
        <f>"APOIO DE CAIXA COPERATIVA  (131-&gt;102)"</f>
        <v>APOIO DE CAIXA COPERATIVA  (131-&gt;102)</v>
      </c>
      <c r="I2297" t="str">
        <f t="shared" si="413"/>
        <v>16/09/2025</v>
      </c>
      <c r="J2297" t="str">
        <f>("16/09/2025")</f>
        <v>16/09/2025</v>
      </c>
      <c r="K2297" t="str">
        <f>("16/09/2025")</f>
        <v>16/09/2025</v>
      </c>
      <c r="N2297">
        <v>102</v>
      </c>
      <c r="O2297" t="str">
        <f>"BANCO CORA"</f>
        <v>BANCO CORA</v>
      </c>
      <c r="P2297">
        <v>2000</v>
      </c>
      <c r="S2297" t="str">
        <f>"BANCO CORA (102)"</f>
        <v>BANCO CORA (102)</v>
      </c>
      <c r="T2297">
        <v>22226</v>
      </c>
      <c r="U2297">
        <v>0</v>
      </c>
      <c r="V2297" t="s">
        <v>22</v>
      </c>
    </row>
    <row r="2298" spans="1:22">
      <c r="A2298" t="str">
        <f t="shared" si="407"/>
        <v>16/09/2025</v>
      </c>
      <c r="B2298" t="str">
        <f>"SAÍDA"</f>
        <v>SAÍDA</v>
      </c>
      <c r="C2298" t="str">
        <f>"TRANSFERENCIA"</f>
        <v>TRANSFERENCIA</v>
      </c>
      <c r="D2298" t="str">
        <f>""</f>
        <v/>
      </c>
      <c r="F2298" t="str">
        <f>"TRF"</f>
        <v>TRF</v>
      </c>
      <c r="G2298" t="str">
        <f>""</f>
        <v/>
      </c>
      <c r="H2298" t="str">
        <f>"APOIO DE CAIXA COPERATIVA  (131-&gt;102)"</f>
        <v>APOIO DE CAIXA COPERATIVA  (131-&gt;102)</v>
      </c>
      <c r="I2298" t="str">
        <f t="shared" si="413"/>
        <v>16/09/2025</v>
      </c>
      <c r="J2298" t="str">
        <f>("16/09/2025")</f>
        <v>16/09/2025</v>
      </c>
      <c r="K2298" t="str">
        <f>("16/09/2025")</f>
        <v>16/09/2025</v>
      </c>
      <c r="N2298">
        <v>131</v>
      </c>
      <c r="O2298" t="str">
        <f>"CAIXA - FLUX"</f>
        <v>CAIXA - FLUX</v>
      </c>
      <c r="S2298" t="str">
        <f>"CAIXA - FLUX (131)"</f>
        <v>CAIXA - FLUX (131)</v>
      </c>
      <c r="T2298">
        <v>22226</v>
      </c>
      <c r="U2298">
        <v>0</v>
      </c>
      <c r="V2298" t="s">
        <v>577</v>
      </c>
    </row>
    <row r="2299" spans="1:22">
      <c r="A2299" t="str">
        <f t="shared" ref="A2299:A2330" si="414">("17/09/2025")</f>
        <v>17/09/2025</v>
      </c>
      <c r="B2299" t="str">
        <f>"SAÍDA"</f>
        <v>SAÍDA</v>
      </c>
      <c r="C2299" t="str">
        <f>"PIX"</f>
        <v>PIX</v>
      </c>
      <c r="D2299" t="str">
        <f>"22025"</f>
        <v>22025</v>
      </c>
      <c r="E2299" t="str">
        <f>"1"</f>
        <v>1</v>
      </c>
      <c r="F2299" t="str">
        <f t="shared" ref="F2299:F2362" si="415">"COM"</f>
        <v>COM</v>
      </c>
      <c r="G2299" t="str">
        <f>"ALLAN SILVA DAMACENA (790)"</f>
        <v>ALLAN SILVA DAMACENA (790)</v>
      </c>
      <c r="H2299" t="str">
        <f>"Serv.Prest. 08/09/2025 a 14/09/2025 - PIX: CELULAR - CHAVE: (19) 98944-4977"</f>
        <v>Serv.Prest. 08/09/2025 a 14/09/2025 - PIX: CELULAR - CHAVE: (19) 98944-4977</v>
      </c>
      <c r="I2299" t="str">
        <f t="shared" ref="I2299:I2310" si="416">("18/09/2025")</f>
        <v>18/09/2025</v>
      </c>
      <c r="J2299" t="str">
        <f>("15/09/2025")</f>
        <v>15/09/2025</v>
      </c>
      <c r="K2299" t="str">
        <f>("17/09/2025")</f>
        <v>17/09/2025</v>
      </c>
      <c r="L2299">
        <v>100</v>
      </c>
      <c r="M2299">
        <v>100</v>
      </c>
      <c r="N2299">
        <v>109</v>
      </c>
      <c r="O2299" t="str">
        <f>"PAGAMENTO DE ENTREGADORES"</f>
        <v>PAGAMENTO DE ENTREGADORES</v>
      </c>
      <c r="P2299">
        <v>100</v>
      </c>
      <c r="S2299" t="str">
        <f>"CAIXA MOVIMENTAÇÃO OPERACIONAL (132)"</f>
        <v>CAIXA MOVIMENTAÇÃO OPERACIONAL (132)</v>
      </c>
      <c r="T2299">
        <v>18286</v>
      </c>
      <c r="U2299">
        <v>22218</v>
      </c>
      <c r="V2299" t="s">
        <v>48</v>
      </c>
    </row>
    <row r="2300" spans="1:22">
      <c r="A2300" t="str">
        <f t="shared" si="414"/>
        <v>17/09/2025</v>
      </c>
      <c r="B2300" t="str">
        <f>"SAÍDA"</f>
        <v>SAÍDA</v>
      </c>
      <c r="C2300" t="str">
        <f>"PIX"</f>
        <v>PIX</v>
      </c>
      <c r="D2300" t="str">
        <f>"22025"</f>
        <v>22025</v>
      </c>
      <c r="E2300" t="str">
        <f>"1"</f>
        <v>1</v>
      </c>
      <c r="F2300" t="str">
        <f t="shared" si="415"/>
        <v>COM</v>
      </c>
      <c r="G2300" t="str">
        <f>"ALLAN SILVA DAMACENA (790)"</f>
        <v>ALLAN SILVA DAMACENA (790)</v>
      </c>
      <c r="H2300" t="s">
        <v>602</v>
      </c>
      <c r="I2300" t="str">
        <f t="shared" si="416"/>
        <v>18/09/2025</v>
      </c>
      <c r="J2300" t="str">
        <f>("15/09/2025")</f>
        <v>15/09/2025</v>
      </c>
      <c r="K2300">
        <v>45917</v>
      </c>
      <c r="N2300">
        <v>109</v>
      </c>
      <c r="O2300" t="s">
        <v>24</v>
      </c>
      <c r="Q2300">
        <v>100</v>
      </c>
      <c r="R2300" t="str">
        <f>"DROGARIA MORENO LTDA (10171)"</f>
        <v>DROGARIA MORENO LTDA (10171)</v>
      </c>
      <c r="S2300" t="s">
        <v>48</v>
      </c>
      <c r="T2300">
        <v>18286</v>
      </c>
      <c r="U2300">
        <v>22218</v>
      </c>
      <c r="V2300" t="s">
        <v>48</v>
      </c>
    </row>
    <row r="2301" spans="1:22">
      <c r="A2301" t="str">
        <f t="shared" si="414"/>
        <v>17/09/2025</v>
      </c>
      <c r="B2301" t="str">
        <f>"ENTRADA"</f>
        <v>ENTRADA</v>
      </c>
      <c r="C2301" t="str">
        <f>"DINHEIRO"</f>
        <v>DINHEIRO</v>
      </c>
      <c r="D2301" t="str">
        <f>"1809"</f>
        <v>1809</v>
      </c>
      <c r="E2301" t="str">
        <f>"25"</f>
        <v>25</v>
      </c>
      <c r="F2301" t="str">
        <f t="shared" si="415"/>
        <v>COM</v>
      </c>
      <c r="G2301" t="str">
        <f>"ALLAN SILVA DAMACENA (790)"</f>
        <v>ALLAN SILVA DAMACENA (790)</v>
      </c>
      <c r="H2301" t="str">
        <f>"REEMBOLSO ADIANTAMENTO"</f>
        <v>REEMBOLSO ADIANTAMENTO</v>
      </c>
      <c r="I2301" t="str">
        <f t="shared" si="416"/>
        <v>18/09/2025</v>
      </c>
      <c r="J2301" t="str">
        <f>("11/09/2025")</f>
        <v>11/09/2025</v>
      </c>
      <c r="K2301" t="str">
        <f>("17/09/2025")</f>
        <v>17/09/2025</v>
      </c>
      <c r="L2301">
        <v>100</v>
      </c>
      <c r="M2301">
        <v>100</v>
      </c>
      <c r="N2301">
        <v>129</v>
      </c>
      <c r="O2301" t="str">
        <f>"ENTRADA DE REEMBOLSO ADIANTAMENTO"</f>
        <v>ENTRADA DE REEMBOLSO ADIANTAMENTO</v>
      </c>
      <c r="P2301">
        <v>100</v>
      </c>
      <c r="S2301" t="str">
        <f>"ENTRADA DE REEMBOLSO ADIANTAMENTO (129)"</f>
        <v>ENTRADA DE REEMBOLSO ADIANTAMENTO (129)</v>
      </c>
      <c r="T2301">
        <v>18287</v>
      </c>
      <c r="U2301">
        <v>21717</v>
      </c>
      <c r="V2301" t="s">
        <v>48</v>
      </c>
    </row>
    <row r="2302" spans="1:22">
      <c r="A2302" t="str">
        <f t="shared" si="414"/>
        <v>17/09/2025</v>
      </c>
      <c r="B2302" t="str">
        <f>"ENTRADA"</f>
        <v>ENTRADA</v>
      </c>
      <c r="C2302" t="str">
        <f>"DINHEIRO"</f>
        <v>DINHEIRO</v>
      </c>
      <c r="D2302" t="str">
        <f>"1809"</f>
        <v>1809</v>
      </c>
      <c r="E2302" t="str">
        <f>"25"</f>
        <v>25</v>
      </c>
      <c r="F2302" t="str">
        <f t="shared" si="415"/>
        <v>COM</v>
      </c>
      <c r="G2302" t="str">
        <f>"ALLAN SILVA DAMACENA (790)"</f>
        <v>ALLAN SILVA DAMACENA (790)</v>
      </c>
      <c r="H2302" t="s">
        <v>57</v>
      </c>
      <c r="I2302" t="str">
        <f t="shared" si="416"/>
        <v>18/09/2025</v>
      </c>
      <c r="J2302" t="str">
        <f>("11/09/2025")</f>
        <v>11/09/2025</v>
      </c>
      <c r="K2302">
        <v>45917</v>
      </c>
      <c r="N2302">
        <v>129</v>
      </c>
      <c r="O2302" t="s">
        <v>58</v>
      </c>
      <c r="Q2302">
        <v>100</v>
      </c>
      <c r="R2302" t="str">
        <f>"ALLAN SILVA DAMACENA (790)"</f>
        <v>ALLAN SILVA DAMACENA (790)</v>
      </c>
      <c r="S2302" t="s">
        <v>59</v>
      </c>
      <c r="T2302">
        <v>18287</v>
      </c>
      <c r="U2302">
        <v>21717</v>
      </c>
      <c r="V2302" t="s">
        <v>48</v>
      </c>
    </row>
    <row r="2303" spans="1:22">
      <c r="A2303" t="str">
        <f t="shared" si="414"/>
        <v>17/09/2025</v>
      </c>
      <c r="B2303" t="str">
        <f>"SAÍDA"</f>
        <v>SAÍDA</v>
      </c>
      <c r="C2303" t="str">
        <f>"PIX"</f>
        <v>PIX</v>
      </c>
      <c r="D2303" t="str">
        <f>"21525"</f>
        <v>21525</v>
      </c>
      <c r="E2303" t="str">
        <f>"1"</f>
        <v>1</v>
      </c>
      <c r="F2303" t="str">
        <f t="shared" si="415"/>
        <v>COM</v>
      </c>
      <c r="G2303" t="str">
        <f>"JANDERSON SOUZA ARCANJO (28)"</f>
        <v>JANDERSON SOUZA ARCANJO (28)</v>
      </c>
      <c r="H2303" t="str">
        <f>"Serv.Prest. 01/09/2025 a 07/09/2025 - PIX: CPF - CHAVE: 121.297.376-33"</f>
        <v>Serv.Prest. 01/09/2025 a 07/09/2025 - PIX: CPF - CHAVE: 121.297.376-33</v>
      </c>
      <c r="I2303" t="str">
        <f t="shared" si="416"/>
        <v>18/09/2025</v>
      </c>
      <c r="J2303" t="str">
        <f>("08/09/2025")</f>
        <v>08/09/2025</v>
      </c>
      <c r="K2303" t="str">
        <f>("17/09/2025")</f>
        <v>17/09/2025</v>
      </c>
      <c r="L2303">
        <v>57.5</v>
      </c>
      <c r="M2303">
        <v>57.5</v>
      </c>
      <c r="N2303">
        <v>109</v>
      </c>
      <c r="O2303" t="str">
        <f>"PAGAMENTO DE ENTREGADORES"</f>
        <v>PAGAMENTO DE ENTREGADORES</v>
      </c>
      <c r="P2303">
        <v>57.5</v>
      </c>
      <c r="S2303" t="str">
        <f>"CAIXA MOVIMENTAÇÃO OPERACIONAL (132)"</f>
        <v>CAIXA MOVIMENTAÇÃO OPERACIONAL (132)</v>
      </c>
      <c r="T2303">
        <v>18288</v>
      </c>
      <c r="U2303">
        <v>22219</v>
      </c>
      <c r="V2303" t="s">
        <v>48</v>
      </c>
    </row>
    <row r="2304" spans="1:22">
      <c r="A2304" t="str">
        <f t="shared" si="414"/>
        <v>17/09/2025</v>
      </c>
      <c r="B2304" t="str">
        <f>"SAÍDA"</f>
        <v>SAÍDA</v>
      </c>
      <c r="C2304" t="str">
        <f>"PIX"</f>
        <v>PIX</v>
      </c>
      <c r="D2304" t="str">
        <f>"21525"</f>
        <v>21525</v>
      </c>
      <c r="E2304" t="str">
        <f>"1"</f>
        <v>1</v>
      </c>
      <c r="F2304" t="str">
        <f t="shared" si="415"/>
        <v>COM</v>
      </c>
      <c r="G2304" t="str">
        <f>"JANDERSON SOUZA ARCANJO (28)"</f>
        <v>JANDERSON SOUZA ARCANJO (28)</v>
      </c>
      <c r="H2304" t="s">
        <v>603</v>
      </c>
      <c r="I2304" t="str">
        <f t="shared" si="416"/>
        <v>18/09/2025</v>
      </c>
      <c r="J2304" t="str">
        <f>("08/09/2025")</f>
        <v>08/09/2025</v>
      </c>
      <c r="K2304">
        <v>45917</v>
      </c>
      <c r="N2304">
        <v>109</v>
      </c>
      <c r="O2304" t="s">
        <v>24</v>
      </c>
      <c r="Q2304">
        <v>57.5</v>
      </c>
      <c r="R2304" t="str">
        <f>"FARMÁCIA INDIANA LJ 40 (10016)"</f>
        <v>FARMÁCIA INDIANA LJ 40 (10016)</v>
      </c>
      <c r="S2304" t="s">
        <v>48</v>
      </c>
      <c r="T2304">
        <v>18288</v>
      </c>
      <c r="U2304">
        <v>22219</v>
      </c>
      <c r="V2304" t="s">
        <v>48</v>
      </c>
    </row>
    <row r="2305" spans="1:22">
      <c r="A2305" t="str">
        <f t="shared" si="414"/>
        <v>17/09/2025</v>
      </c>
      <c r="B2305" t="str">
        <f>"ENTRADA"</f>
        <v>ENTRADA</v>
      </c>
      <c r="C2305" t="str">
        <f>"DINHEIRO"</f>
        <v>DINHEIRO</v>
      </c>
      <c r="D2305" t="str">
        <f>"1809"</f>
        <v>1809</v>
      </c>
      <c r="E2305" t="str">
        <f>"25"</f>
        <v>25</v>
      </c>
      <c r="F2305" t="str">
        <f t="shared" si="415"/>
        <v>COM</v>
      </c>
      <c r="G2305" t="str">
        <f>"JANDERSON SOUZA ARCANJO (28)"</f>
        <v>JANDERSON SOUZA ARCANJO (28)</v>
      </c>
      <c r="H2305" t="str">
        <f>"REEMBOLSO COMPRA CAMISETA"</f>
        <v>REEMBOLSO COMPRA CAMISETA</v>
      </c>
      <c r="I2305" t="str">
        <f t="shared" si="416"/>
        <v>18/09/2025</v>
      </c>
      <c r="J2305" t="str">
        <f>("11/09/2025")</f>
        <v>11/09/2025</v>
      </c>
      <c r="K2305" t="str">
        <f>("17/09/2025")</f>
        <v>17/09/2025</v>
      </c>
      <c r="L2305">
        <v>57.5</v>
      </c>
      <c r="M2305">
        <v>57.5</v>
      </c>
      <c r="N2305">
        <v>108</v>
      </c>
      <c r="O2305" t="str">
        <f>"RECEITAS COM REEMBOLSOS"</f>
        <v>RECEITAS COM REEMBOLSOS</v>
      </c>
      <c r="P2305">
        <v>57.5</v>
      </c>
      <c r="S2305" t="str">
        <f>"RECEITAS COM REEMBOLSOS (108)"</f>
        <v>RECEITAS COM REEMBOLSOS (108)</v>
      </c>
      <c r="T2305">
        <v>18289</v>
      </c>
      <c r="U2305">
        <v>21029</v>
      </c>
      <c r="V2305" t="s">
        <v>48</v>
      </c>
    </row>
    <row r="2306" spans="1:22">
      <c r="A2306" t="str">
        <f t="shared" si="414"/>
        <v>17/09/2025</v>
      </c>
      <c r="B2306" t="str">
        <f>"ENTRADA"</f>
        <v>ENTRADA</v>
      </c>
      <c r="C2306" t="str">
        <f>"DINHEIRO"</f>
        <v>DINHEIRO</v>
      </c>
      <c r="D2306" t="str">
        <f>"1809"</f>
        <v>1809</v>
      </c>
      <c r="E2306" t="str">
        <f>"25"</f>
        <v>25</v>
      </c>
      <c r="F2306" t="str">
        <f t="shared" si="415"/>
        <v>COM</v>
      </c>
      <c r="G2306" t="str">
        <f>"JANDERSON SOUZA ARCANJO (28)"</f>
        <v>JANDERSON SOUZA ARCANJO (28)</v>
      </c>
      <c r="H2306" t="s">
        <v>53</v>
      </c>
      <c r="I2306" t="str">
        <f t="shared" si="416"/>
        <v>18/09/2025</v>
      </c>
      <c r="J2306" t="str">
        <f>("11/09/2025")</f>
        <v>11/09/2025</v>
      </c>
      <c r="K2306">
        <v>45917</v>
      </c>
      <c r="N2306">
        <v>108</v>
      </c>
      <c r="O2306" t="s">
        <v>54</v>
      </c>
      <c r="Q2306">
        <v>57.5</v>
      </c>
      <c r="R2306" t="str">
        <f>"JANDERSON SOUZA ARCANJO (28)"</f>
        <v>JANDERSON SOUZA ARCANJO (28)</v>
      </c>
      <c r="S2306" t="s">
        <v>55</v>
      </c>
      <c r="T2306">
        <v>18289</v>
      </c>
      <c r="U2306">
        <v>21029</v>
      </c>
      <c r="V2306" t="s">
        <v>48</v>
      </c>
    </row>
    <row r="2307" spans="1:22">
      <c r="A2307" t="str">
        <f t="shared" si="414"/>
        <v>17/09/2025</v>
      </c>
      <c r="B2307" t="str">
        <f>"SAÍDA"</f>
        <v>SAÍDA</v>
      </c>
      <c r="C2307" t="str">
        <f>"PIX"</f>
        <v>PIX</v>
      </c>
      <c r="D2307" t="str">
        <f>"21554"</f>
        <v>21554</v>
      </c>
      <c r="E2307" t="str">
        <f>"1"</f>
        <v>1</v>
      </c>
      <c r="F2307" t="str">
        <f t="shared" si="415"/>
        <v>COM</v>
      </c>
      <c r="G2307" t="str">
        <f t="shared" ref="G2307:G2314" si="417">"MATHEUS ALMEIDA RAMOS (47)"</f>
        <v>MATHEUS ALMEIDA RAMOS (47)</v>
      </c>
      <c r="H2307" t="str">
        <f>"Serv.Prest. 01/09/2025 a 07/09/2025 - PIX: CELULAR - CHAVE: (33) 98884-1637"</f>
        <v>Serv.Prest. 01/09/2025 a 07/09/2025 - PIX: CELULAR - CHAVE: (33) 98884-1637</v>
      </c>
      <c r="I2307" t="str">
        <f t="shared" si="416"/>
        <v>18/09/2025</v>
      </c>
      <c r="J2307" t="str">
        <f>("08/09/2025")</f>
        <v>08/09/2025</v>
      </c>
      <c r="K2307" t="str">
        <f>("17/09/2025")</f>
        <v>17/09/2025</v>
      </c>
      <c r="L2307">
        <v>38.340000000000003</v>
      </c>
      <c r="M2307">
        <v>38.340000000000003</v>
      </c>
      <c r="N2307">
        <v>109</v>
      </c>
      <c r="O2307" t="str">
        <f>"PAGAMENTO DE ENTREGADORES"</f>
        <v>PAGAMENTO DE ENTREGADORES</v>
      </c>
      <c r="P2307">
        <v>38.340000000000003</v>
      </c>
      <c r="S2307" t="str">
        <f>"CAIXA MOVIMENTAÇÃO OPERACIONAL (132)"</f>
        <v>CAIXA MOVIMENTAÇÃO OPERACIONAL (132)</v>
      </c>
      <c r="T2307">
        <v>18290</v>
      </c>
      <c r="U2307">
        <v>22220</v>
      </c>
      <c r="V2307" t="s">
        <v>48</v>
      </c>
    </row>
    <row r="2308" spans="1:22">
      <c r="A2308" t="str">
        <f t="shared" si="414"/>
        <v>17/09/2025</v>
      </c>
      <c r="B2308" t="str">
        <f>"SAÍDA"</f>
        <v>SAÍDA</v>
      </c>
      <c r="C2308" t="str">
        <f>"PIX"</f>
        <v>PIX</v>
      </c>
      <c r="D2308" t="str">
        <f>"21554"</f>
        <v>21554</v>
      </c>
      <c r="E2308" t="str">
        <f>"1"</f>
        <v>1</v>
      </c>
      <c r="F2308" t="str">
        <f t="shared" si="415"/>
        <v>COM</v>
      </c>
      <c r="G2308" t="str">
        <f t="shared" si="417"/>
        <v>MATHEUS ALMEIDA RAMOS (47)</v>
      </c>
      <c r="H2308" t="s">
        <v>604</v>
      </c>
      <c r="I2308" t="str">
        <f t="shared" si="416"/>
        <v>18/09/2025</v>
      </c>
      <c r="J2308" t="str">
        <f>("08/09/2025")</f>
        <v>08/09/2025</v>
      </c>
      <c r="K2308">
        <v>45917</v>
      </c>
      <c r="N2308">
        <v>109</v>
      </c>
      <c r="O2308" t="s">
        <v>24</v>
      </c>
      <c r="Q2308">
        <v>38.340000000000003</v>
      </c>
      <c r="R2308" t="str">
        <f>"FARMÁCIA INDIANA LJ 07 (10007)"</f>
        <v>FARMÁCIA INDIANA LJ 07 (10007)</v>
      </c>
      <c r="S2308" t="s">
        <v>48</v>
      </c>
      <c r="T2308">
        <v>18290</v>
      </c>
      <c r="U2308">
        <v>22220</v>
      </c>
      <c r="V2308" t="s">
        <v>48</v>
      </c>
    </row>
    <row r="2309" spans="1:22">
      <c r="A2309" t="str">
        <f t="shared" si="414"/>
        <v>17/09/2025</v>
      </c>
      <c r="B2309" t="str">
        <f>"ENTRADA"</f>
        <v>ENTRADA</v>
      </c>
      <c r="C2309" t="str">
        <f>"DINHEIRO"</f>
        <v>DINHEIRO</v>
      </c>
      <c r="D2309" t="str">
        <f>"1809"</f>
        <v>1809</v>
      </c>
      <c r="E2309" t="str">
        <f>"25"</f>
        <v>25</v>
      </c>
      <c r="F2309" t="str">
        <f t="shared" si="415"/>
        <v>COM</v>
      </c>
      <c r="G2309" t="str">
        <f t="shared" si="417"/>
        <v>MATHEUS ALMEIDA RAMOS (47)</v>
      </c>
      <c r="H2309" t="str">
        <f>"REEMBOLSO COMPRA BAG"</f>
        <v>REEMBOLSO COMPRA BAG</v>
      </c>
      <c r="I2309" t="str">
        <f t="shared" si="416"/>
        <v>18/09/2025</v>
      </c>
      <c r="J2309" t="str">
        <f>("11/09/2025")</f>
        <v>11/09/2025</v>
      </c>
      <c r="K2309" t="str">
        <f>("17/09/2025")</f>
        <v>17/09/2025</v>
      </c>
      <c r="L2309">
        <v>38.340000000000003</v>
      </c>
      <c r="M2309">
        <v>38.340000000000003</v>
      </c>
      <c r="N2309">
        <v>108</v>
      </c>
      <c r="O2309" t="str">
        <f>"RECEITAS COM REEMBOLSOS"</f>
        <v>RECEITAS COM REEMBOLSOS</v>
      </c>
      <c r="P2309">
        <v>38.340000000000003</v>
      </c>
      <c r="S2309" t="str">
        <f>"RECEITAS COM REEMBOLSOS (108)"</f>
        <v>RECEITAS COM REEMBOLSOS (108)</v>
      </c>
      <c r="T2309">
        <v>18291</v>
      </c>
      <c r="U2309">
        <v>21035</v>
      </c>
      <c r="V2309" t="s">
        <v>48</v>
      </c>
    </row>
    <row r="2310" spans="1:22">
      <c r="A2310" t="str">
        <f t="shared" si="414"/>
        <v>17/09/2025</v>
      </c>
      <c r="B2310" t="str">
        <f>"ENTRADA"</f>
        <v>ENTRADA</v>
      </c>
      <c r="C2310" t="str">
        <f>"DINHEIRO"</f>
        <v>DINHEIRO</v>
      </c>
      <c r="D2310" t="str">
        <f>"1809"</f>
        <v>1809</v>
      </c>
      <c r="E2310" t="str">
        <f>"25"</f>
        <v>25</v>
      </c>
      <c r="F2310" t="str">
        <f t="shared" si="415"/>
        <v>COM</v>
      </c>
      <c r="G2310" t="str">
        <f t="shared" si="417"/>
        <v>MATHEUS ALMEIDA RAMOS (47)</v>
      </c>
      <c r="H2310" t="s">
        <v>64</v>
      </c>
      <c r="I2310" t="str">
        <f t="shared" si="416"/>
        <v>18/09/2025</v>
      </c>
      <c r="J2310" t="str">
        <f>("11/09/2025")</f>
        <v>11/09/2025</v>
      </c>
      <c r="K2310">
        <v>45917</v>
      </c>
      <c r="N2310">
        <v>108</v>
      </c>
      <c r="O2310" t="s">
        <v>54</v>
      </c>
      <c r="Q2310">
        <v>38.340000000000003</v>
      </c>
      <c r="R2310" t="str">
        <f>"MATHEUS ALMEIDA RAMOS (47)"</f>
        <v>MATHEUS ALMEIDA RAMOS (47)</v>
      </c>
      <c r="S2310" t="s">
        <v>55</v>
      </c>
      <c r="T2310">
        <v>18291</v>
      </c>
      <c r="U2310">
        <v>21035</v>
      </c>
      <c r="V2310" t="s">
        <v>48</v>
      </c>
    </row>
    <row r="2311" spans="1:22">
      <c r="A2311" t="str">
        <f t="shared" si="414"/>
        <v>17/09/2025</v>
      </c>
      <c r="B2311" t="str">
        <f>"SAÍDA"</f>
        <v>SAÍDA</v>
      </c>
      <c r="C2311" t="str">
        <f>"PIX"</f>
        <v>PIX</v>
      </c>
      <c r="D2311" t="str">
        <f>"22126"</f>
        <v>22126</v>
      </c>
      <c r="E2311" t="str">
        <f>"1"</f>
        <v>1</v>
      </c>
      <c r="F2311" t="str">
        <f t="shared" si="415"/>
        <v>COM</v>
      </c>
      <c r="G2311" t="str">
        <f t="shared" si="417"/>
        <v>MATHEUS ALMEIDA RAMOS (47)</v>
      </c>
      <c r="H2311" t="str">
        <f>"Serv.Prest. 08/09/2025 a 14/09/2025 - PIX: CELULAR - CHAVE: (33) 98884-1637"</f>
        <v>Serv.Prest. 08/09/2025 a 14/09/2025 - PIX: CELULAR - CHAVE: (33) 98884-1637</v>
      </c>
      <c r="I2311" t="str">
        <f>("25/09/2025")</f>
        <v>25/09/2025</v>
      </c>
      <c r="J2311" t="str">
        <f>("16/09/2025")</f>
        <v>16/09/2025</v>
      </c>
      <c r="K2311" t="str">
        <f>("17/09/2025")</f>
        <v>17/09/2025</v>
      </c>
      <c r="L2311">
        <v>38.33</v>
      </c>
      <c r="M2311">
        <v>38.33</v>
      </c>
      <c r="N2311">
        <v>109</v>
      </c>
      <c r="O2311" t="str">
        <f>"PAGAMENTO DE ENTREGADORES"</f>
        <v>PAGAMENTO DE ENTREGADORES</v>
      </c>
      <c r="P2311">
        <v>38.33</v>
      </c>
      <c r="S2311" t="str">
        <f>"CAIXA MOVIMENTAÇÃO OPERACIONAL (132)"</f>
        <v>CAIXA MOVIMENTAÇÃO OPERACIONAL (132)</v>
      </c>
      <c r="T2311">
        <v>18292</v>
      </c>
      <c r="U2311">
        <v>22221</v>
      </c>
      <c r="V2311" t="s">
        <v>48</v>
      </c>
    </row>
    <row r="2312" spans="1:22">
      <c r="A2312" t="str">
        <f t="shared" si="414"/>
        <v>17/09/2025</v>
      </c>
      <c r="B2312" t="str">
        <f>"SAÍDA"</f>
        <v>SAÍDA</v>
      </c>
      <c r="C2312" t="str">
        <f>"PIX"</f>
        <v>PIX</v>
      </c>
      <c r="D2312" t="str">
        <f>"22126"</f>
        <v>22126</v>
      </c>
      <c r="E2312" t="str">
        <f>"1"</f>
        <v>1</v>
      </c>
      <c r="F2312" t="str">
        <f t="shared" si="415"/>
        <v>COM</v>
      </c>
      <c r="G2312" t="str">
        <f t="shared" si="417"/>
        <v>MATHEUS ALMEIDA RAMOS (47)</v>
      </c>
      <c r="H2312" t="s">
        <v>605</v>
      </c>
      <c r="I2312" t="str">
        <f>("25/09/2025")</f>
        <v>25/09/2025</v>
      </c>
      <c r="J2312" t="str">
        <f>("16/09/2025")</f>
        <v>16/09/2025</v>
      </c>
      <c r="K2312">
        <v>45917</v>
      </c>
      <c r="N2312">
        <v>109</v>
      </c>
      <c r="O2312" t="s">
        <v>24</v>
      </c>
      <c r="Q2312">
        <v>38.33</v>
      </c>
      <c r="R2312" t="str">
        <f>"FARMÁCIA INDIANA LJ 07 (10007)"</f>
        <v>FARMÁCIA INDIANA LJ 07 (10007)</v>
      </c>
      <c r="S2312" t="s">
        <v>48</v>
      </c>
      <c r="T2312">
        <v>18292</v>
      </c>
      <c r="U2312">
        <v>22221</v>
      </c>
      <c r="V2312" t="s">
        <v>48</v>
      </c>
    </row>
    <row r="2313" spans="1:22">
      <c r="A2313" t="str">
        <f t="shared" si="414"/>
        <v>17/09/2025</v>
      </c>
      <c r="B2313" t="str">
        <f>"ENTRADA"</f>
        <v>ENTRADA</v>
      </c>
      <c r="C2313" t="str">
        <f>"DINHEIRO"</f>
        <v>DINHEIRO</v>
      </c>
      <c r="D2313" t="str">
        <f>"1109"</f>
        <v>1109</v>
      </c>
      <c r="E2313" t="str">
        <f>"25"</f>
        <v>25</v>
      </c>
      <c r="F2313" t="str">
        <f t="shared" si="415"/>
        <v>COM</v>
      </c>
      <c r="G2313" t="str">
        <f t="shared" si="417"/>
        <v>MATHEUS ALMEIDA RAMOS (47)</v>
      </c>
      <c r="H2313" t="str">
        <f>"REEMBOLSO COMPRA BAG"</f>
        <v>REEMBOLSO COMPRA BAG</v>
      </c>
      <c r="I2313" t="str">
        <f>("25/09/2025")</f>
        <v>25/09/2025</v>
      </c>
      <c r="J2313" t="str">
        <f>("11/09/2025")</f>
        <v>11/09/2025</v>
      </c>
      <c r="K2313" t="str">
        <f>("17/09/2025")</f>
        <v>17/09/2025</v>
      </c>
      <c r="L2313">
        <v>38.33</v>
      </c>
      <c r="M2313">
        <v>38.33</v>
      </c>
      <c r="N2313">
        <v>108</v>
      </c>
      <c r="O2313" t="str">
        <f>"RECEITAS COM REEMBOLSOS"</f>
        <v>RECEITAS COM REEMBOLSOS</v>
      </c>
      <c r="P2313">
        <v>38.33</v>
      </c>
      <c r="S2313" t="str">
        <f>"RECEITAS COM REEMBOLSOS (108)"</f>
        <v>RECEITAS COM REEMBOLSOS (108)</v>
      </c>
      <c r="T2313">
        <v>18293</v>
      </c>
      <c r="U2313">
        <v>21036</v>
      </c>
      <c r="V2313" t="s">
        <v>48</v>
      </c>
    </row>
    <row r="2314" spans="1:22">
      <c r="A2314" t="str">
        <f t="shared" si="414"/>
        <v>17/09/2025</v>
      </c>
      <c r="B2314" t="str">
        <f>"ENTRADA"</f>
        <v>ENTRADA</v>
      </c>
      <c r="C2314" t="str">
        <f>"DINHEIRO"</f>
        <v>DINHEIRO</v>
      </c>
      <c r="D2314" t="str">
        <f>"1109"</f>
        <v>1109</v>
      </c>
      <c r="E2314" t="str">
        <f>"25"</f>
        <v>25</v>
      </c>
      <c r="F2314" t="str">
        <f t="shared" si="415"/>
        <v>COM</v>
      </c>
      <c r="G2314" t="str">
        <f t="shared" si="417"/>
        <v>MATHEUS ALMEIDA RAMOS (47)</v>
      </c>
      <c r="H2314" t="s">
        <v>64</v>
      </c>
      <c r="I2314" t="str">
        <f>("25/09/2025")</f>
        <v>25/09/2025</v>
      </c>
      <c r="J2314" t="str">
        <f>("11/09/2025")</f>
        <v>11/09/2025</v>
      </c>
      <c r="K2314">
        <v>45917</v>
      </c>
      <c r="N2314">
        <v>108</v>
      </c>
      <c r="O2314" t="s">
        <v>54</v>
      </c>
      <c r="Q2314">
        <v>38.33</v>
      </c>
      <c r="R2314" t="str">
        <f>"MATHEUS ALMEIDA RAMOS (47)"</f>
        <v>MATHEUS ALMEIDA RAMOS (47)</v>
      </c>
      <c r="S2314" t="s">
        <v>55</v>
      </c>
      <c r="T2314">
        <v>18293</v>
      </c>
      <c r="U2314">
        <v>21036</v>
      </c>
      <c r="V2314" t="s">
        <v>48</v>
      </c>
    </row>
    <row r="2315" spans="1:22">
      <c r="A2315" t="str">
        <f t="shared" si="414"/>
        <v>17/09/2025</v>
      </c>
      <c r="B2315" t="str">
        <f>"SAÍDA"</f>
        <v>SAÍDA</v>
      </c>
      <c r="C2315" t="str">
        <f>"PIX"</f>
        <v>PIX</v>
      </c>
      <c r="D2315" t="str">
        <f>"21953"</f>
        <v>21953</v>
      </c>
      <c r="E2315" t="str">
        <f>"1"</f>
        <v>1</v>
      </c>
      <c r="F2315" t="str">
        <f t="shared" si="415"/>
        <v>COM</v>
      </c>
      <c r="G2315" t="str">
        <f>"MAYKON LOPES DE MENEZES (781)"</f>
        <v>MAYKON LOPES DE MENEZES (781)</v>
      </c>
      <c r="H2315" t="str">
        <f>"Serv.Prest. 08/09/2025 a 14/09/2025 - PIX: CPF - CHAVE: 012.600.851-55"</f>
        <v>Serv.Prest. 08/09/2025 a 14/09/2025 - PIX: CPF - CHAVE: 012.600.851-55</v>
      </c>
      <c r="I2315" t="str">
        <f t="shared" ref="I2315:I2331" si="418">("18/09/2025")</f>
        <v>18/09/2025</v>
      </c>
      <c r="J2315" t="str">
        <f>("15/09/2025")</f>
        <v>15/09/2025</v>
      </c>
      <c r="K2315" t="str">
        <f>("17/09/2025")</f>
        <v>17/09/2025</v>
      </c>
      <c r="L2315">
        <v>175</v>
      </c>
      <c r="M2315">
        <v>175</v>
      </c>
      <c r="N2315">
        <v>109</v>
      </c>
      <c r="O2315" t="str">
        <f>"PAGAMENTO DE ENTREGADORES"</f>
        <v>PAGAMENTO DE ENTREGADORES</v>
      </c>
      <c r="P2315">
        <v>175</v>
      </c>
      <c r="S2315" t="str">
        <f>"CAIXA MOVIMENTAÇÃO OPERACIONAL (132)"</f>
        <v>CAIXA MOVIMENTAÇÃO OPERACIONAL (132)</v>
      </c>
      <c r="T2315">
        <v>18294</v>
      </c>
      <c r="U2315">
        <v>22222</v>
      </c>
      <c r="V2315" t="s">
        <v>48</v>
      </c>
    </row>
    <row r="2316" spans="1:22">
      <c r="A2316" t="str">
        <f t="shared" si="414"/>
        <v>17/09/2025</v>
      </c>
      <c r="B2316" t="str">
        <f>"SAÍDA"</f>
        <v>SAÍDA</v>
      </c>
      <c r="C2316" t="str">
        <f>"PIX"</f>
        <v>PIX</v>
      </c>
      <c r="D2316" t="str">
        <f>"21953"</f>
        <v>21953</v>
      </c>
      <c r="E2316" t="str">
        <f>"1"</f>
        <v>1</v>
      </c>
      <c r="F2316" t="str">
        <f t="shared" si="415"/>
        <v>COM</v>
      </c>
      <c r="G2316" t="str">
        <f>"MAYKON LOPES DE MENEZES (781)"</f>
        <v>MAYKON LOPES DE MENEZES (781)</v>
      </c>
      <c r="H2316" t="s">
        <v>606</v>
      </c>
      <c r="I2316" t="str">
        <f t="shared" si="418"/>
        <v>18/09/2025</v>
      </c>
      <c r="J2316" t="str">
        <f>("15/09/2025")</f>
        <v>15/09/2025</v>
      </c>
      <c r="K2316">
        <v>45917</v>
      </c>
      <c r="N2316">
        <v>109</v>
      </c>
      <c r="O2316" t="s">
        <v>24</v>
      </c>
      <c r="Q2316">
        <v>175</v>
      </c>
      <c r="R2316" t="str">
        <f>"BRASIL FARMA (10173)"</f>
        <v>BRASIL FARMA (10173)</v>
      </c>
      <c r="S2316" t="s">
        <v>48</v>
      </c>
      <c r="T2316">
        <v>18294</v>
      </c>
      <c r="U2316">
        <v>22222</v>
      </c>
      <c r="V2316" t="s">
        <v>48</v>
      </c>
    </row>
    <row r="2317" spans="1:22">
      <c r="A2317" t="str">
        <f t="shared" si="414"/>
        <v>17/09/2025</v>
      </c>
      <c r="B2317" t="str">
        <f>"ENTRADA"</f>
        <v>ENTRADA</v>
      </c>
      <c r="C2317" t="str">
        <f>"DINHEIRO"</f>
        <v>DINHEIRO</v>
      </c>
      <c r="D2317" t="str">
        <f>"1809"</f>
        <v>1809</v>
      </c>
      <c r="E2317" t="str">
        <f>"25"</f>
        <v>25</v>
      </c>
      <c r="F2317" t="str">
        <f t="shared" si="415"/>
        <v>COM</v>
      </c>
      <c r="G2317" t="str">
        <f>"MAYKON LOPES DE MENEZES (781)"</f>
        <v>MAYKON LOPES DE MENEZES (781)</v>
      </c>
      <c r="H2317" t="str">
        <f>"REEMBOLSO ADIANTAMENTO"</f>
        <v>REEMBOLSO ADIANTAMENTO</v>
      </c>
      <c r="I2317" t="str">
        <f t="shared" si="418"/>
        <v>18/09/2025</v>
      </c>
      <c r="J2317" t="str">
        <f>("11/09/2025")</f>
        <v>11/09/2025</v>
      </c>
      <c r="K2317" t="str">
        <f>("17/09/2025")</f>
        <v>17/09/2025</v>
      </c>
      <c r="L2317">
        <v>175</v>
      </c>
      <c r="M2317">
        <v>175</v>
      </c>
      <c r="N2317">
        <v>129</v>
      </c>
      <c r="O2317" t="str">
        <f>"ENTRADA DE REEMBOLSO ADIANTAMENTO"</f>
        <v>ENTRADA DE REEMBOLSO ADIANTAMENTO</v>
      </c>
      <c r="P2317">
        <v>175</v>
      </c>
      <c r="S2317" t="str">
        <f>"ENTRADA DE REEMBOLSO ADIANTAMENTO (129)"</f>
        <v>ENTRADA DE REEMBOLSO ADIANTAMENTO (129)</v>
      </c>
      <c r="T2317">
        <v>18295</v>
      </c>
      <c r="U2317">
        <v>21857</v>
      </c>
      <c r="V2317" t="s">
        <v>48</v>
      </c>
    </row>
    <row r="2318" spans="1:22">
      <c r="A2318" t="str">
        <f t="shared" si="414"/>
        <v>17/09/2025</v>
      </c>
      <c r="B2318" t="str">
        <f>"ENTRADA"</f>
        <v>ENTRADA</v>
      </c>
      <c r="C2318" t="str">
        <f>"DINHEIRO"</f>
        <v>DINHEIRO</v>
      </c>
      <c r="D2318" t="str">
        <f>"1809"</f>
        <v>1809</v>
      </c>
      <c r="E2318" t="str">
        <f>"25"</f>
        <v>25</v>
      </c>
      <c r="F2318" t="str">
        <f t="shared" si="415"/>
        <v>COM</v>
      </c>
      <c r="G2318" t="str">
        <f>"MAYKON LOPES DE MENEZES (781)"</f>
        <v>MAYKON LOPES DE MENEZES (781)</v>
      </c>
      <c r="H2318" t="s">
        <v>57</v>
      </c>
      <c r="I2318" t="str">
        <f t="shared" si="418"/>
        <v>18/09/2025</v>
      </c>
      <c r="J2318" t="str">
        <f>("11/09/2025")</f>
        <v>11/09/2025</v>
      </c>
      <c r="K2318">
        <v>45917</v>
      </c>
      <c r="N2318">
        <v>129</v>
      </c>
      <c r="O2318" t="s">
        <v>58</v>
      </c>
      <c r="Q2318">
        <v>175</v>
      </c>
      <c r="R2318" t="str">
        <f>"MAYKON LOPES DE MENEZES (781)"</f>
        <v>MAYKON LOPES DE MENEZES (781)</v>
      </c>
      <c r="S2318" t="s">
        <v>59</v>
      </c>
      <c r="T2318">
        <v>18295</v>
      </c>
      <c r="U2318">
        <v>21857</v>
      </c>
      <c r="V2318" t="s">
        <v>48</v>
      </c>
    </row>
    <row r="2319" spans="1:22">
      <c r="A2319" t="str">
        <f t="shared" si="414"/>
        <v>17/09/2025</v>
      </c>
      <c r="B2319" t="str">
        <f>"SAÍDA"</f>
        <v>SAÍDA</v>
      </c>
      <c r="C2319" t="str">
        <f>"PIX"</f>
        <v>PIX</v>
      </c>
      <c r="D2319" t="str">
        <f>"22150"</f>
        <v>22150</v>
      </c>
      <c r="E2319" t="str">
        <f>"1"</f>
        <v>1</v>
      </c>
      <c r="F2319" t="str">
        <f t="shared" si="415"/>
        <v>COM</v>
      </c>
      <c r="G2319" t="str">
        <f>"THALES VIANA DOS SANTOS (63)"</f>
        <v>THALES VIANA DOS SANTOS (63)</v>
      </c>
      <c r="H2319" t="str">
        <f>"Serv.Prest. 08/09/2025 a 14/09/2025 - PIX: CELULAR - CHAVE: (33) 99880-7941"</f>
        <v>Serv.Prest. 08/09/2025 a 14/09/2025 - PIX: CELULAR - CHAVE: (33) 99880-7941</v>
      </c>
      <c r="I2319" t="str">
        <f t="shared" si="418"/>
        <v>18/09/2025</v>
      </c>
      <c r="J2319" t="str">
        <f>("16/09/2025")</f>
        <v>16/09/2025</v>
      </c>
      <c r="K2319" t="str">
        <f>("17/09/2025")</f>
        <v>17/09/2025</v>
      </c>
      <c r="L2319">
        <v>250</v>
      </c>
      <c r="M2319">
        <v>250</v>
      </c>
      <c r="N2319">
        <v>109</v>
      </c>
      <c r="O2319" t="str">
        <f>"PAGAMENTO DE ENTREGADORES"</f>
        <v>PAGAMENTO DE ENTREGADORES</v>
      </c>
      <c r="P2319">
        <v>250</v>
      </c>
      <c r="S2319" t="str">
        <f>"CAIXA MOVIMENTAÇÃO OPERACIONAL (132)"</f>
        <v>CAIXA MOVIMENTAÇÃO OPERACIONAL (132)</v>
      </c>
      <c r="T2319">
        <v>18296</v>
      </c>
      <c r="U2319">
        <v>22223</v>
      </c>
      <c r="V2319" t="s">
        <v>48</v>
      </c>
    </row>
    <row r="2320" spans="1:22">
      <c r="A2320" t="str">
        <f t="shared" si="414"/>
        <v>17/09/2025</v>
      </c>
      <c r="B2320" t="str">
        <f>"SAÍDA"</f>
        <v>SAÍDA</v>
      </c>
      <c r="C2320" t="str">
        <f>"PIX"</f>
        <v>PIX</v>
      </c>
      <c r="D2320" t="str">
        <f>"22150"</f>
        <v>22150</v>
      </c>
      <c r="E2320" t="str">
        <f>"1"</f>
        <v>1</v>
      </c>
      <c r="F2320" t="str">
        <f t="shared" si="415"/>
        <v>COM</v>
      </c>
      <c r="G2320" t="str">
        <f>"THALES VIANA DOS SANTOS (63)"</f>
        <v>THALES VIANA DOS SANTOS (63)</v>
      </c>
      <c r="H2320" t="s">
        <v>607</v>
      </c>
      <c r="I2320" t="str">
        <f t="shared" si="418"/>
        <v>18/09/2025</v>
      </c>
      <c r="J2320" t="str">
        <f>("16/09/2025")</f>
        <v>16/09/2025</v>
      </c>
      <c r="K2320">
        <v>45917</v>
      </c>
      <c r="N2320">
        <v>109</v>
      </c>
      <c r="O2320" t="s">
        <v>24</v>
      </c>
      <c r="Q2320">
        <v>250</v>
      </c>
      <c r="R2320" t="str">
        <f>"FARMÁCIA INDIANA LJ 07 (10007)"</f>
        <v>FARMÁCIA INDIANA LJ 07 (10007)</v>
      </c>
      <c r="S2320" t="s">
        <v>48</v>
      </c>
      <c r="T2320">
        <v>18296</v>
      </c>
      <c r="U2320">
        <v>22223</v>
      </c>
      <c r="V2320" t="s">
        <v>48</v>
      </c>
    </row>
    <row r="2321" spans="1:22">
      <c r="A2321" t="str">
        <f t="shared" si="414"/>
        <v>17/09/2025</v>
      </c>
      <c r="B2321" t="str">
        <f>"ENTRADA"</f>
        <v>ENTRADA</v>
      </c>
      <c r="C2321" t="str">
        <f>"DINHEIRO"</f>
        <v>DINHEIRO</v>
      </c>
      <c r="D2321" t="str">
        <f>"1809"</f>
        <v>1809</v>
      </c>
      <c r="E2321" t="str">
        <f>"25"</f>
        <v>25</v>
      </c>
      <c r="F2321" t="str">
        <f t="shared" si="415"/>
        <v>COM</v>
      </c>
      <c r="G2321" t="str">
        <f>"THALES VIANA DOS SANTOS (63)"</f>
        <v>THALES VIANA DOS SANTOS (63)</v>
      </c>
      <c r="H2321" t="str">
        <f>"REEMBOLSO ADIANTAMENTO"</f>
        <v>REEMBOLSO ADIANTAMENTO</v>
      </c>
      <c r="I2321" t="str">
        <f t="shared" si="418"/>
        <v>18/09/2025</v>
      </c>
      <c r="J2321" t="str">
        <f>("31/07/2025")</f>
        <v>31/07/2025</v>
      </c>
      <c r="K2321" t="str">
        <f>("17/09/2025")</f>
        <v>17/09/2025</v>
      </c>
      <c r="L2321">
        <v>250</v>
      </c>
      <c r="M2321">
        <v>250</v>
      </c>
      <c r="N2321">
        <v>129</v>
      </c>
      <c r="O2321" t="str">
        <f>"ENTRADA DE REEMBOLSO ADIANTAMENTO"</f>
        <v>ENTRADA DE REEMBOLSO ADIANTAMENTO</v>
      </c>
      <c r="P2321">
        <v>250</v>
      </c>
      <c r="S2321" t="str">
        <f>"ENTRADA DE REEMBOLSO ADIANTAMENTO (129)"</f>
        <v>ENTRADA DE REEMBOLSO ADIANTAMENTO (129)</v>
      </c>
      <c r="T2321">
        <v>18297</v>
      </c>
      <c r="U2321">
        <v>19385</v>
      </c>
      <c r="V2321" t="s">
        <v>48</v>
      </c>
    </row>
    <row r="2322" spans="1:22">
      <c r="A2322" t="str">
        <f t="shared" si="414"/>
        <v>17/09/2025</v>
      </c>
      <c r="B2322" t="str">
        <f>"ENTRADA"</f>
        <v>ENTRADA</v>
      </c>
      <c r="C2322" t="str">
        <f>"DINHEIRO"</f>
        <v>DINHEIRO</v>
      </c>
      <c r="D2322" t="str">
        <f>"1809"</f>
        <v>1809</v>
      </c>
      <c r="E2322" t="str">
        <f>"25"</f>
        <v>25</v>
      </c>
      <c r="F2322" t="str">
        <f t="shared" si="415"/>
        <v>COM</v>
      </c>
      <c r="G2322" t="str">
        <f>"THALES VIANA DOS SANTOS (63)"</f>
        <v>THALES VIANA DOS SANTOS (63)</v>
      </c>
      <c r="H2322" t="s">
        <v>57</v>
      </c>
      <c r="I2322" t="str">
        <f t="shared" si="418"/>
        <v>18/09/2025</v>
      </c>
      <c r="J2322" t="str">
        <f>("31/07/2025")</f>
        <v>31/07/2025</v>
      </c>
      <c r="K2322">
        <v>45917</v>
      </c>
      <c r="N2322">
        <v>129</v>
      </c>
      <c r="O2322" t="s">
        <v>58</v>
      </c>
      <c r="Q2322">
        <v>250</v>
      </c>
      <c r="R2322" t="str">
        <f>"THALES VIANA DOS SANTOS (63)"</f>
        <v>THALES VIANA DOS SANTOS (63)</v>
      </c>
      <c r="S2322" t="s">
        <v>59</v>
      </c>
      <c r="T2322">
        <v>18297</v>
      </c>
      <c r="U2322">
        <v>19385</v>
      </c>
      <c r="V2322" t="s">
        <v>48</v>
      </c>
    </row>
    <row r="2323" spans="1:22">
      <c r="A2323" t="str">
        <f t="shared" si="414"/>
        <v>17/09/2025</v>
      </c>
      <c r="B2323" t="str">
        <f>"ENTRADA"</f>
        <v>ENTRADA</v>
      </c>
      <c r="C2323" t="str">
        <f>"DINHEIRO"</f>
        <v>DINHEIRO</v>
      </c>
      <c r="D2323" t="str">
        <f>"1109"</f>
        <v>1109</v>
      </c>
      <c r="E2323" t="str">
        <f>"25"</f>
        <v>25</v>
      </c>
      <c r="F2323" t="str">
        <f t="shared" si="415"/>
        <v>COM</v>
      </c>
      <c r="G2323" t="str">
        <f>"WEIGNE SENA CARDOSO (53)"</f>
        <v>WEIGNE SENA CARDOSO (53)</v>
      </c>
      <c r="H2323" t="str">
        <f>"REEMBOLSO DE ADIANTAMENTO"</f>
        <v>REEMBOLSO DE ADIANTAMENTO</v>
      </c>
      <c r="I2323" t="str">
        <f t="shared" si="418"/>
        <v>18/09/2025</v>
      </c>
      <c r="J2323" t="str">
        <f>("04/12/2024")</f>
        <v>04/12/2024</v>
      </c>
      <c r="K2323" t="str">
        <f>("17/09/2025")</f>
        <v>17/09/2025</v>
      </c>
      <c r="L2323">
        <v>300</v>
      </c>
      <c r="M2323">
        <v>300</v>
      </c>
      <c r="N2323">
        <v>129</v>
      </c>
      <c r="O2323" t="str">
        <f>"ENTRADA DE REEMBOLSO ADIANTAMENTO"</f>
        <v>ENTRADA DE REEMBOLSO ADIANTAMENTO</v>
      </c>
      <c r="P2323">
        <v>300</v>
      </c>
      <c r="S2323" t="str">
        <f>"ENTRADA DE REEMBOLSO ADIANTAMENTO (129)"</f>
        <v>ENTRADA DE REEMBOLSO ADIANTAMENTO (129)</v>
      </c>
      <c r="T2323">
        <v>18298</v>
      </c>
      <c r="U2323">
        <v>4166</v>
      </c>
      <c r="V2323" t="s">
        <v>48</v>
      </c>
    </row>
    <row r="2324" spans="1:22">
      <c r="A2324" t="str">
        <f t="shared" si="414"/>
        <v>17/09/2025</v>
      </c>
      <c r="B2324" t="str">
        <f>"ENTRADA"</f>
        <v>ENTRADA</v>
      </c>
      <c r="C2324" t="str">
        <f>"DINHEIRO"</f>
        <v>DINHEIRO</v>
      </c>
      <c r="D2324" t="str">
        <f>"1109"</f>
        <v>1109</v>
      </c>
      <c r="E2324" t="str">
        <f>"25"</f>
        <v>25</v>
      </c>
      <c r="F2324" t="str">
        <f t="shared" si="415"/>
        <v>COM</v>
      </c>
      <c r="G2324" t="str">
        <f>"WEIGNE SENA CARDOSO (53)"</f>
        <v>WEIGNE SENA CARDOSO (53)</v>
      </c>
      <c r="H2324" t="s">
        <v>608</v>
      </c>
      <c r="I2324" t="str">
        <f t="shared" si="418"/>
        <v>18/09/2025</v>
      </c>
      <c r="J2324" t="str">
        <f>("04/12/2024")</f>
        <v>04/12/2024</v>
      </c>
      <c r="K2324">
        <v>45917</v>
      </c>
      <c r="N2324">
        <v>129</v>
      </c>
      <c r="O2324" t="s">
        <v>58</v>
      </c>
      <c r="Q2324">
        <v>300</v>
      </c>
      <c r="R2324" t="str">
        <f>"WEIGNE SENA CARDOSO (53)"</f>
        <v>WEIGNE SENA CARDOSO (53)</v>
      </c>
      <c r="S2324" t="s">
        <v>59</v>
      </c>
      <c r="T2324">
        <v>18298</v>
      </c>
      <c r="U2324">
        <v>4166</v>
      </c>
      <c r="V2324" t="s">
        <v>48</v>
      </c>
    </row>
    <row r="2325" spans="1:22">
      <c r="A2325" t="str">
        <f t="shared" si="414"/>
        <v>17/09/2025</v>
      </c>
      <c r="B2325" t="str">
        <f>"SAÍDA"</f>
        <v>SAÍDA</v>
      </c>
      <c r="C2325" t="str">
        <f>"PIX"</f>
        <v>PIX</v>
      </c>
      <c r="D2325" t="str">
        <f>"22157"</f>
        <v>22157</v>
      </c>
      <c r="E2325" t="str">
        <f>"1"</f>
        <v>1</v>
      </c>
      <c r="F2325" t="str">
        <f t="shared" si="415"/>
        <v>COM</v>
      </c>
      <c r="G2325" t="str">
        <f>"WEIGNE SENA CARDOSO (53)"</f>
        <v>WEIGNE SENA CARDOSO (53)</v>
      </c>
      <c r="H2325" t="str">
        <f>"Serv.Prest. 08/09/2025 a 14/09/2025 - PIX: CPF - CHAVE: 097.245.586-81"</f>
        <v>Serv.Prest. 08/09/2025 a 14/09/2025 - PIX: CPF - CHAVE: 097.245.586-81</v>
      </c>
      <c r="I2325" t="str">
        <f t="shared" si="418"/>
        <v>18/09/2025</v>
      </c>
      <c r="J2325" t="str">
        <f>("16/09/2025")</f>
        <v>16/09/2025</v>
      </c>
      <c r="K2325" t="str">
        <f>("17/09/2025")</f>
        <v>17/09/2025</v>
      </c>
      <c r="L2325">
        <v>300</v>
      </c>
      <c r="M2325">
        <v>300</v>
      </c>
      <c r="N2325">
        <v>109</v>
      </c>
      <c r="O2325" t="str">
        <f>"PAGAMENTO DE ENTREGADORES"</f>
        <v>PAGAMENTO DE ENTREGADORES</v>
      </c>
      <c r="P2325">
        <v>300</v>
      </c>
      <c r="S2325" t="str">
        <f>"CAIXA MOVIMENTAÇÃO OPERACIONAL (132)"</f>
        <v>CAIXA MOVIMENTAÇÃO OPERACIONAL (132)</v>
      </c>
      <c r="T2325">
        <v>18299</v>
      </c>
      <c r="U2325">
        <v>22225</v>
      </c>
      <c r="V2325" t="s">
        <v>48</v>
      </c>
    </row>
    <row r="2326" spans="1:22">
      <c r="A2326" t="str">
        <f t="shared" si="414"/>
        <v>17/09/2025</v>
      </c>
      <c r="B2326" t="str">
        <f>"SAÍDA"</f>
        <v>SAÍDA</v>
      </c>
      <c r="C2326" t="str">
        <f>"PIX"</f>
        <v>PIX</v>
      </c>
      <c r="D2326" t="str">
        <f>"22157"</f>
        <v>22157</v>
      </c>
      <c r="E2326" t="str">
        <f>"1"</f>
        <v>1</v>
      </c>
      <c r="F2326" t="str">
        <f t="shared" si="415"/>
        <v>COM</v>
      </c>
      <c r="G2326" t="str">
        <f>"WEIGNE SENA CARDOSO (53)"</f>
        <v>WEIGNE SENA CARDOSO (53)</v>
      </c>
      <c r="H2326" t="s">
        <v>609</v>
      </c>
      <c r="I2326" t="str">
        <f t="shared" si="418"/>
        <v>18/09/2025</v>
      </c>
      <c r="J2326" t="str">
        <f>("16/09/2025")</f>
        <v>16/09/2025</v>
      </c>
      <c r="K2326">
        <v>45917</v>
      </c>
      <c r="N2326">
        <v>109</v>
      </c>
      <c r="O2326" t="s">
        <v>24</v>
      </c>
      <c r="Q2326">
        <v>300</v>
      </c>
      <c r="R2326" t="str">
        <f>"FARMÁCIA INDIANA LJ 07 (10007)"</f>
        <v>FARMÁCIA INDIANA LJ 07 (10007)</v>
      </c>
      <c r="S2326" t="s">
        <v>48</v>
      </c>
      <c r="T2326">
        <v>18299</v>
      </c>
      <c r="U2326">
        <v>22225</v>
      </c>
      <c r="V2326" t="s">
        <v>48</v>
      </c>
    </row>
    <row r="2327" spans="1:22">
      <c r="A2327" t="str">
        <f t="shared" si="414"/>
        <v>17/09/2025</v>
      </c>
      <c r="B2327" t="str">
        <f>"ENTRADA"</f>
        <v>ENTRADA</v>
      </c>
      <c r="C2327" t="str">
        <f>"DINHEIRO"</f>
        <v>DINHEIRO</v>
      </c>
      <c r="D2327" t="str">
        <f>"1809"</f>
        <v>1809</v>
      </c>
      <c r="E2327" t="str">
        <f>"25"</f>
        <v>25</v>
      </c>
      <c r="F2327" t="str">
        <f t="shared" si="415"/>
        <v>COM</v>
      </c>
      <c r="G2327" t="str">
        <f t="shared" ref="G2327:G2337" si="419">"WELLINGTON DOS SANTOS ALVES (438)"</f>
        <v>WELLINGTON DOS SANTOS ALVES (438)</v>
      </c>
      <c r="H2327" t="str">
        <f>"REEMBOLSO ADIANTAMENTO"</f>
        <v>REEMBOLSO ADIANTAMENTO</v>
      </c>
      <c r="I2327" t="str">
        <f t="shared" si="418"/>
        <v>18/09/2025</v>
      </c>
      <c r="J2327" t="str">
        <f>("11/09/2025")</f>
        <v>11/09/2025</v>
      </c>
      <c r="K2327" t="str">
        <f>("17/09/2025")</f>
        <v>17/09/2025</v>
      </c>
      <c r="L2327">
        <v>200</v>
      </c>
      <c r="M2327">
        <v>200</v>
      </c>
      <c r="N2327">
        <v>129</v>
      </c>
      <c r="O2327" t="str">
        <f>"ENTRADA DE REEMBOLSO ADIANTAMENTO"</f>
        <v>ENTRADA DE REEMBOLSO ADIANTAMENTO</v>
      </c>
      <c r="P2327">
        <v>200</v>
      </c>
      <c r="S2327" t="str">
        <f>"ENTRADA DE REEMBOLSO ADIANTAMENTO (129)"</f>
        <v>ENTRADA DE REEMBOLSO ADIANTAMENTO (129)</v>
      </c>
      <c r="T2327">
        <v>18300</v>
      </c>
      <c r="U2327">
        <v>21917</v>
      </c>
      <c r="V2327" t="s">
        <v>48</v>
      </c>
    </row>
    <row r="2328" spans="1:22">
      <c r="A2328" t="str">
        <f t="shared" si="414"/>
        <v>17/09/2025</v>
      </c>
      <c r="B2328" t="str">
        <f>"ENTRADA"</f>
        <v>ENTRADA</v>
      </c>
      <c r="C2328" t="str">
        <f>"DINHEIRO"</f>
        <v>DINHEIRO</v>
      </c>
      <c r="D2328" t="str">
        <f>"1809"</f>
        <v>1809</v>
      </c>
      <c r="E2328" t="str">
        <f>"25"</f>
        <v>25</v>
      </c>
      <c r="F2328" t="str">
        <f t="shared" si="415"/>
        <v>COM</v>
      </c>
      <c r="G2328" t="str">
        <f t="shared" si="419"/>
        <v>WELLINGTON DOS SANTOS ALVES (438)</v>
      </c>
      <c r="H2328" t="s">
        <v>57</v>
      </c>
      <c r="I2328" t="str">
        <f t="shared" si="418"/>
        <v>18/09/2025</v>
      </c>
      <c r="J2328" t="str">
        <f>("11/09/2025")</f>
        <v>11/09/2025</v>
      </c>
      <c r="K2328">
        <v>45917</v>
      </c>
      <c r="N2328">
        <v>129</v>
      </c>
      <c r="O2328" t="s">
        <v>58</v>
      </c>
      <c r="Q2328">
        <v>200</v>
      </c>
      <c r="R2328" t="str">
        <f>"WELLINGTON DOS SANTOS ALVES (438)"</f>
        <v>WELLINGTON DOS SANTOS ALVES (438)</v>
      </c>
      <c r="S2328" t="s">
        <v>59</v>
      </c>
      <c r="T2328">
        <v>18300</v>
      </c>
      <c r="U2328">
        <v>21917</v>
      </c>
      <c r="V2328" t="s">
        <v>48</v>
      </c>
    </row>
    <row r="2329" spans="1:22">
      <c r="A2329" t="str">
        <f t="shared" si="414"/>
        <v>17/09/2025</v>
      </c>
      <c r="B2329" t="str">
        <f>"SAÍDA"</f>
        <v>SAÍDA</v>
      </c>
      <c r="C2329" t="str">
        <f>"PIX"</f>
        <v>PIX</v>
      </c>
      <c r="D2329" t="str">
        <f>"21585"</f>
        <v>21585</v>
      </c>
      <c r="E2329" t="str">
        <f>"1"</f>
        <v>1</v>
      </c>
      <c r="F2329" t="str">
        <f t="shared" si="415"/>
        <v>COM</v>
      </c>
      <c r="G2329" t="str">
        <f t="shared" si="419"/>
        <v>WELLINGTON DOS SANTOS ALVES (438)</v>
      </c>
      <c r="H2329" t="str">
        <f>"Serv.Prest. 01/09/2025 a 07/09/2025 - PIX: CELULAR - CHAVE: (32) 99800-1691"</f>
        <v>Serv.Prest. 01/09/2025 a 07/09/2025 - PIX: CELULAR - CHAVE: (32) 99800-1691</v>
      </c>
      <c r="I2329" t="str">
        <f t="shared" si="418"/>
        <v>18/09/2025</v>
      </c>
      <c r="J2329" t="str">
        <f>("08/09/2025")</f>
        <v>08/09/2025</v>
      </c>
      <c r="K2329" t="str">
        <f>("17/09/2025")</f>
        <v>17/09/2025</v>
      </c>
      <c r="L2329">
        <v>200</v>
      </c>
      <c r="M2329">
        <v>200</v>
      </c>
      <c r="N2329">
        <v>109</v>
      </c>
      <c r="O2329" t="str">
        <f>"PAGAMENTO DE ENTREGADORES"</f>
        <v>PAGAMENTO DE ENTREGADORES</v>
      </c>
      <c r="P2329">
        <v>200</v>
      </c>
      <c r="S2329" t="str">
        <f>"CAIXA MOVIMENTAÇÃO OPERACIONAL (132)"</f>
        <v>CAIXA MOVIMENTAÇÃO OPERACIONAL (132)</v>
      </c>
      <c r="T2329">
        <v>18301</v>
      </c>
      <c r="U2329">
        <v>22226</v>
      </c>
      <c r="V2329" t="s">
        <v>48</v>
      </c>
    </row>
    <row r="2330" spans="1:22">
      <c r="A2330" t="str">
        <f t="shared" si="414"/>
        <v>17/09/2025</v>
      </c>
      <c r="B2330" t="str">
        <f>"SAÍDA"</f>
        <v>SAÍDA</v>
      </c>
      <c r="C2330" t="str">
        <f>"PIX"</f>
        <v>PIX</v>
      </c>
      <c r="D2330" t="str">
        <f>"21585"</f>
        <v>21585</v>
      </c>
      <c r="E2330" t="str">
        <f>"1"</f>
        <v>1</v>
      </c>
      <c r="F2330" t="str">
        <f t="shared" si="415"/>
        <v>COM</v>
      </c>
      <c r="G2330" t="str">
        <f t="shared" si="419"/>
        <v>WELLINGTON DOS SANTOS ALVES (438)</v>
      </c>
      <c r="H2330" t="s">
        <v>610</v>
      </c>
      <c r="I2330" t="str">
        <f t="shared" si="418"/>
        <v>18/09/2025</v>
      </c>
      <c r="J2330" t="str">
        <f>("08/09/2025")</f>
        <v>08/09/2025</v>
      </c>
      <c r="K2330">
        <v>45917</v>
      </c>
      <c r="N2330">
        <v>109</v>
      </c>
      <c r="O2330" t="s">
        <v>24</v>
      </c>
      <c r="Q2330">
        <v>94.74</v>
      </c>
      <c r="R2330" t="str">
        <f>"FARMÁCIA INDIANA LJ 112 (10050)"</f>
        <v>FARMÁCIA INDIANA LJ 112 (10050)</v>
      </c>
      <c r="S2330" t="s">
        <v>48</v>
      </c>
      <c r="T2330">
        <v>18301</v>
      </c>
      <c r="U2330">
        <v>22226</v>
      </c>
      <c r="V2330" t="s">
        <v>48</v>
      </c>
    </row>
    <row r="2331" spans="1:22">
      <c r="A2331" t="str">
        <f t="shared" ref="A2331:A2362" si="420">("17/09/2025")</f>
        <v>17/09/2025</v>
      </c>
      <c r="B2331" t="str">
        <f>"SAÍDA"</f>
        <v>SAÍDA</v>
      </c>
      <c r="C2331" t="str">
        <f>"PIX"</f>
        <v>PIX</v>
      </c>
      <c r="D2331" t="str">
        <f>"21585"</f>
        <v>21585</v>
      </c>
      <c r="E2331" t="str">
        <f>"1"</f>
        <v>1</v>
      </c>
      <c r="F2331" t="str">
        <f t="shared" si="415"/>
        <v>COM</v>
      </c>
      <c r="G2331" t="str">
        <f t="shared" si="419"/>
        <v>WELLINGTON DOS SANTOS ALVES (438)</v>
      </c>
      <c r="H2331" t="s">
        <v>610</v>
      </c>
      <c r="I2331" t="str">
        <f t="shared" si="418"/>
        <v>18/09/2025</v>
      </c>
      <c r="J2331" t="str">
        <f>("08/09/2025")</f>
        <v>08/09/2025</v>
      </c>
      <c r="K2331">
        <v>45917</v>
      </c>
      <c r="N2331">
        <v>109</v>
      </c>
      <c r="O2331" t="s">
        <v>24</v>
      </c>
      <c r="Q2331">
        <v>105.26</v>
      </c>
      <c r="R2331" t="str">
        <f>"FARMÁCIA INDIANA LJ 116 (10051)"</f>
        <v>FARMÁCIA INDIANA LJ 116 (10051)</v>
      </c>
      <c r="S2331" t="s">
        <v>48</v>
      </c>
      <c r="T2331">
        <v>18301</v>
      </c>
      <c r="U2331">
        <v>22226</v>
      </c>
      <c r="V2331" t="s">
        <v>48</v>
      </c>
    </row>
    <row r="2332" spans="1:22">
      <c r="A2332" t="str">
        <f t="shared" si="420"/>
        <v>17/09/2025</v>
      </c>
      <c r="B2332" t="str">
        <f>"ENTRADA"</f>
        <v>ENTRADA</v>
      </c>
      <c r="C2332" t="str">
        <f>"DINHEIRO"</f>
        <v>DINHEIRO</v>
      </c>
      <c r="D2332" t="str">
        <f>"1809"</f>
        <v>1809</v>
      </c>
      <c r="E2332" t="str">
        <f>"25"</f>
        <v>25</v>
      </c>
      <c r="F2332" t="str">
        <f t="shared" si="415"/>
        <v>COM</v>
      </c>
      <c r="G2332" t="str">
        <f t="shared" si="419"/>
        <v>WELLINGTON DOS SANTOS ALVES (438)</v>
      </c>
      <c r="H2332" t="str">
        <f>"REEMBOLSO ADIANTAMENTO"</f>
        <v>REEMBOLSO ADIANTAMENTO</v>
      </c>
      <c r="I2332" t="str">
        <f t="shared" ref="I2332:I2337" si="421">("25/09/2025")</f>
        <v>25/09/2025</v>
      </c>
      <c r="J2332" t="str">
        <f>("11/09/2025")</f>
        <v>11/09/2025</v>
      </c>
      <c r="K2332" t="str">
        <f>("17/09/2025")</f>
        <v>17/09/2025</v>
      </c>
      <c r="L2332">
        <v>200</v>
      </c>
      <c r="M2332">
        <v>200</v>
      </c>
      <c r="N2332">
        <v>129</v>
      </c>
      <c r="O2332" t="str">
        <f>"ENTRADA DE REEMBOLSO ADIANTAMENTO"</f>
        <v>ENTRADA DE REEMBOLSO ADIANTAMENTO</v>
      </c>
      <c r="P2332">
        <v>200</v>
      </c>
      <c r="S2332" t="str">
        <f>"ENTRADA DE REEMBOLSO ADIANTAMENTO (129)"</f>
        <v>ENTRADA DE REEMBOLSO ADIANTAMENTO (129)</v>
      </c>
      <c r="T2332">
        <v>18302</v>
      </c>
      <c r="U2332">
        <v>21916</v>
      </c>
      <c r="V2332" t="s">
        <v>48</v>
      </c>
    </row>
    <row r="2333" spans="1:22">
      <c r="A2333" t="str">
        <f t="shared" si="420"/>
        <v>17/09/2025</v>
      </c>
      <c r="B2333" t="str">
        <f>"ENTRADA"</f>
        <v>ENTRADA</v>
      </c>
      <c r="C2333" t="str">
        <f>"DINHEIRO"</f>
        <v>DINHEIRO</v>
      </c>
      <c r="D2333" t="str">
        <f>"1809"</f>
        <v>1809</v>
      </c>
      <c r="E2333" t="str">
        <f>"25"</f>
        <v>25</v>
      </c>
      <c r="F2333" t="str">
        <f t="shared" si="415"/>
        <v>COM</v>
      </c>
      <c r="G2333" t="str">
        <f t="shared" si="419"/>
        <v>WELLINGTON DOS SANTOS ALVES (438)</v>
      </c>
      <c r="H2333" t="s">
        <v>57</v>
      </c>
      <c r="I2333" t="str">
        <f t="shared" si="421"/>
        <v>25/09/2025</v>
      </c>
      <c r="J2333" t="str">
        <f>("11/09/2025")</f>
        <v>11/09/2025</v>
      </c>
      <c r="K2333">
        <v>45917</v>
      </c>
      <c r="N2333">
        <v>129</v>
      </c>
      <c r="O2333" t="s">
        <v>58</v>
      </c>
      <c r="Q2333">
        <v>200</v>
      </c>
      <c r="R2333" t="str">
        <f>"WELLINGTON DOS SANTOS ALVES (438)"</f>
        <v>WELLINGTON DOS SANTOS ALVES (438)</v>
      </c>
      <c r="S2333" t="s">
        <v>59</v>
      </c>
      <c r="T2333">
        <v>18302</v>
      </c>
      <c r="U2333">
        <v>21916</v>
      </c>
      <c r="V2333" t="s">
        <v>48</v>
      </c>
    </row>
    <row r="2334" spans="1:22">
      <c r="A2334" t="str">
        <f t="shared" si="420"/>
        <v>17/09/2025</v>
      </c>
      <c r="B2334" t="str">
        <f t="shared" ref="B2334:B2339" si="422">"SAÍDA"</f>
        <v>SAÍDA</v>
      </c>
      <c r="C2334" t="str">
        <f t="shared" ref="C2334:C2339" si="423">"PIX"</f>
        <v>PIX</v>
      </c>
      <c r="D2334" t="str">
        <f>"22158"</f>
        <v>22158</v>
      </c>
      <c r="E2334" t="str">
        <f t="shared" ref="E2334:E2339" si="424">"1"</f>
        <v>1</v>
      </c>
      <c r="F2334" t="str">
        <f t="shared" si="415"/>
        <v>COM</v>
      </c>
      <c r="G2334" t="str">
        <f t="shared" si="419"/>
        <v>WELLINGTON DOS SANTOS ALVES (438)</v>
      </c>
      <c r="H2334" t="str">
        <f>"Serv.Prest. 08/09/2025 a 14/09/2025 - PIX: CELULAR - CHAVE: (32) 99800-1691"</f>
        <v>Serv.Prest. 08/09/2025 a 14/09/2025 - PIX: CELULAR - CHAVE: (32) 99800-1691</v>
      </c>
      <c r="I2334" t="str">
        <f t="shared" si="421"/>
        <v>25/09/2025</v>
      </c>
      <c r="J2334" t="str">
        <f>("16/09/2025")</f>
        <v>16/09/2025</v>
      </c>
      <c r="K2334" t="str">
        <f>("17/09/2025")</f>
        <v>17/09/2025</v>
      </c>
      <c r="L2334">
        <v>200</v>
      </c>
      <c r="M2334">
        <v>200</v>
      </c>
      <c r="N2334">
        <v>109</v>
      </c>
      <c r="O2334" t="str">
        <f>"PAGAMENTO DE ENTREGADORES"</f>
        <v>PAGAMENTO DE ENTREGADORES</v>
      </c>
      <c r="P2334">
        <v>200</v>
      </c>
      <c r="S2334" t="str">
        <f>"CAIXA MOVIMENTAÇÃO OPERACIONAL (132)"</f>
        <v>CAIXA MOVIMENTAÇÃO OPERACIONAL (132)</v>
      </c>
      <c r="T2334">
        <v>18303</v>
      </c>
      <c r="U2334">
        <v>22227</v>
      </c>
      <c r="V2334" t="s">
        <v>48</v>
      </c>
    </row>
    <row r="2335" spans="1:22">
      <c r="A2335" t="str">
        <f t="shared" si="420"/>
        <v>17/09/2025</v>
      </c>
      <c r="B2335" t="str">
        <f t="shared" si="422"/>
        <v>SAÍDA</v>
      </c>
      <c r="C2335" t="str">
        <f t="shared" si="423"/>
        <v>PIX</v>
      </c>
      <c r="D2335" t="str">
        <f>"22158"</f>
        <v>22158</v>
      </c>
      <c r="E2335" t="str">
        <f t="shared" si="424"/>
        <v>1</v>
      </c>
      <c r="F2335" t="str">
        <f t="shared" si="415"/>
        <v>COM</v>
      </c>
      <c r="G2335" t="str">
        <f t="shared" si="419"/>
        <v>WELLINGTON DOS SANTOS ALVES (438)</v>
      </c>
      <c r="H2335" t="s">
        <v>611</v>
      </c>
      <c r="I2335" t="str">
        <f t="shared" si="421"/>
        <v>25/09/2025</v>
      </c>
      <c r="J2335" t="str">
        <f>("16/09/2025")</f>
        <v>16/09/2025</v>
      </c>
      <c r="K2335">
        <v>45917</v>
      </c>
      <c r="N2335">
        <v>109</v>
      </c>
      <c r="O2335" t="s">
        <v>24</v>
      </c>
      <c r="Q2335">
        <v>97.56</v>
      </c>
      <c r="R2335" t="str">
        <f>"FARMÁCIA INDIANA LJ 112 (10050)"</f>
        <v>FARMÁCIA INDIANA LJ 112 (10050)</v>
      </c>
      <c r="S2335" t="s">
        <v>48</v>
      </c>
      <c r="T2335">
        <v>18303</v>
      </c>
      <c r="U2335">
        <v>22227</v>
      </c>
      <c r="V2335" t="s">
        <v>48</v>
      </c>
    </row>
    <row r="2336" spans="1:22">
      <c r="A2336" t="str">
        <f t="shared" si="420"/>
        <v>17/09/2025</v>
      </c>
      <c r="B2336" t="str">
        <f t="shared" si="422"/>
        <v>SAÍDA</v>
      </c>
      <c r="C2336" t="str">
        <f t="shared" si="423"/>
        <v>PIX</v>
      </c>
      <c r="D2336" t="str">
        <f>"22158"</f>
        <v>22158</v>
      </c>
      <c r="E2336" t="str">
        <f t="shared" si="424"/>
        <v>1</v>
      </c>
      <c r="F2336" t="str">
        <f t="shared" si="415"/>
        <v>COM</v>
      </c>
      <c r="G2336" t="str">
        <f t="shared" si="419"/>
        <v>WELLINGTON DOS SANTOS ALVES (438)</v>
      </c>
      <c r="H2336" t="s">
        <v>611</v>
      </c>
      <c r="I2336" t="str">
        <f t="shared" si="421"/>
        <v>25/09/2025</v>
      </c>
      <c r="J2336" t="str">
        <f>("16/09/2025")</f>
        <v>16/09/2025</v>
      </c>
      <c r="K2336">
        <v>45917</v>
      </c>
      <c r="N2336">
        <v>109</v>
      </c>
      <c r="O2336" t="s">
        <v>24</v>
      </c>
      <c r="Q2336">
        <v>53.66</v>
      </c>
      <c r="R2336" t="str">
        <f>"FARMÁCIA INDIANA LJ 116 (10051)"</f>
        <v>FARMÁCIA INDIANA LJ 116 (10051)</v>
      </c>
      <c r="S2336" t="s">
        <v>48</v>
      </c>
      <c r="T2336">
        <v>18303</v>
      </c>
      <c r="U2336">
        <v>22227</v>
      </c>
      <c r="V2336" t="s">
        <v>48</v>
      </c>
    </row>
    <row r="2337" spans="1:22">
      <c r="A2337" t="str">
        <f t="shared" si="420"/>
        <v>17/09/2025</v>
      </c>
      <c r="B2337" t="str">
        <f t="shared" si="422"/>
        <v>SAÍDA</v>
      </c>
      <c r="C2337" t="str">
        <f t="shared" si="423"/>
        <v>PIX</v>
      </c>
      <c r="D2337" t="str">
        <f>"22158"</f>
        <v>22158</v>
      </c>
      <c r="E2337" t="str">
        <f t="shared" si="424"/>
        <v>1</v>
      </c>
      <c r="F2337" t="str">
        <f t="shared" si="415"/>
        <v>COM</v>
      </c>
      <c r="G2337" t="str">
        <f t="shared" si="419"/>
        <v>WELLINGTON DOS SANTOS ALVES (438)</v>
      </c>
      <c r="H2337" t="s">
        <v>611</v>
      </c>
      <c r="I2337" t="str">
        <f t="shared" si="421"/>
        <v>25/09/2025</v>
      </c>
      <c r="J2337" t="str">
        <f>("16/09/2025")</f>
        <v>16/09/2025</v>
      </c>
      <c r="K2337">
        <v>45917</v>
      </c>
      <c r="N2337">
        <v>109</v>
      </c>
      <c r="O2337" t="s">
        <v>24</v>
      </c>
      <c r="Q2337">
        <v>48.78</v>
      </c>
      <c r="R2337" t="str">
        <f>"FARMÁCIA INDIANA LJ 128 (10057)"</f>
        <v>FARMÁCIA INDIANA LJ 128 (10057)</v>
      </c>
      <c r="S2337" t="s">
        <v>48</v>
      </c>
      <c r="T2337">
        <v>18303</v>
      </c>
      <c r="U2337">
        <v>22227</v>
      </c>
      <c r="V2337" t="s">
        <v>48</v>
      </c>
    </row>
    <row r="2338" spans="1:22">
      <c r="A2338" t="str">
        <f t="shared" si="420"/>
        <v>17/09/2025</v>
      </c>
      <c r="B2338" t="str">
        <f t="shared" si="422"/>
        <v>SAÍDA</v>
      </c>
      <c r="C2338" t="str">
        <f t="shared" si="423"/>
        <v>PIX</v>
      </c>
      <c r="D2338" t="str">
        <f>"21203"</f>
        <v>21203</v>
      </c>
      <c r="E2338" t="str">
        <f t="shared" si="424"/>
        <v>1</v>
      </c>
      <c r="F2338" t="str">
        <f t="shared" si="415"/>
        <v>COM</v>
      </c>
      <c r="G2338" t="str">
        <f>"HENRIQUE AMORIM DA SILVA (447)"</f>
        <v>HENRIQUE AMORIM DA SILVA (447)</v>
      </c>
      <c r="H2338" t="str">
        <f>"Serv.Prest. 25/08/2025 a 31/08/2025 - PIX: CELULAR - CHAVE: (33) 99854-8720"</f>
        <v>Serv.Prest. 25/08/2025 a 31/08/2025 - PIX: CELULAR - CHAVE: (33) 99854-8720</v>
      </c>
      <c r="I2338" t="str">
        <f>("02/09/2025")</f>
        <v>02/09/2025</v>
      </c>
      <c r="J2338" t="str">
        <f>("02/09/2025")</f>
        <v>02/09/2025</v>
      </c>
      <c r="K2338" t="str">
        <f>("17/09/2025")</f>
        <v>17/09/2025</v>
      </c>
      <c r="L2338">
        <v>20</v>
      </c>
      <c r="M2338">
        <v>20</v>
      </c>
      <c r="N2338">
        <v>109</v>
      </c>
      <c r="O2338" t="str">
        <f>"PAGAMENTO DE ENTREGADORES"</f>
        <v>PAGAMENTO DE ENTREGADORES</v>
      </c>
      <c r="P2338">
        <v>20</v>
      </c>
      <c r="S2338" t="str">
        <f>"CAIXA MOVIMENTAÇÃO OPERACIONAL (132)"</f>
        <v>CAIXA MOVIMENTAÇÃO OPERACIONAL (132)</v>
      </c>
      <c r="T2338">
        <v>18305</v>
      </c>
      <c r="U2338">
        <v>22229</v>
      </c>
      <c r="V2338" t="s">
        <v>48</v>
      </c>
    </row>
    <row r="2339" spans="1:22">
      <c r="A2339" t="str">
        <f t="shared" si="420"/>
        <v>17/09/2025</v>
      </c>
      <c r="B2339" t="str">
        <f t="shared" si="422"/>
        <v>SAÍDA</v>
      </c>
      <c r="C2339" t="str">
        <f t="shared" si="423"/>
        <v>PIX</v>
      </c>
      <c r="D2339" t="str">
        <f>"21203"</f>
        <v>21203</v>
      </c>
      <c r="E2339" t="str">
        <f t="shared" si="424"/>
        <v>1</v>
      </c>
      <c r="F2339" t="str">
        <f t="shared" si="415"/>
        <v>COM</v>
      </c>
      <c r="G2339" t="str">
        <f>"HENRIQUE AMORIM DA SILVA (447)"</f>
        <v>HENRIQUE AMORIM DA SILVA (447)</v>
      </c>
      <c r="H2339" t="s">
        <v>612</v>
      </c>
      <c r="I2339" t="str">
        <f>("02/09/2025")</f>
        <v>02/09/2025</v>
      </c>
      <c r="J2339" t="str">
        <f>("02/09/2025")</f>
        <v>02/09/2025</v>
      </c>
      <c r="K2339">
        <v>45917</v>
      </c>
      <c r="N2339">
        <v>109</v>
      </c>
      <c r="O2339" t="s">
        <v>24</v>
      </c>
      <c r="Q2339">
        <v>20</v>
      </c>
      <c r="R2339" t="str">
        <f>"FARMÁCIA INDIANA LJ 171 (10074)"</f>
        <v>FARMÁCIA INDIANA LJ 171 (10074)</v>
      </c>
      <c r="S2339" t="s">
        <v>48</v>
      </c>
      <c r="T2339">
        <v>18305</v>
      </c>
      <c r="U2339">
        <v>22229</v>
      </c>
      <c r="V2339" t="s">
        <v>48</v>
      </c>
    </row>
    <row r="2340" spans="1:22">
      <c r="A2340" t="str">
        <f t="shared" si="420"/>
        <v>17/09/2025</v>
      </c>
      <c r="B2340" t="str">
        <f>"ENTRADA"</f>
        <v>ENTRADA</v>
      </c>
      <c r="C2340" t="str">
        <f>"DINHEIRO"</f>
        <v>DINHEIRO</v>
      </c>
      <c r="D2340" t="str">
        <f>"447"</f>
        <v>447</v>
      </c>
      <c r="E2340" t="str">
        <f>"8"</f>
        <v>8</v>
      </c>
      <c r="F2340" t="str">
        <f t="shared" si="415"/>
        <v>COM</v>
      </c>
      <c r="G2340" t="str">
        <f>"HENRIQUE AMORIM DA SILVA (447)"</f>
        <v>HENRIQUE AMORIM DA SILVA (447)</v>
      </c>
      <c r="H2340" t="str">
        <f>"COTAS COOPERATIVA"</f>
        <v>COTAS COOPERATIVA</v>
      </c>
      <c r="I2340" t="str">
        <f>("13/09/2025")</f>
        <v>13/09/2025</v>
      </c>
      <c r="J2340" t="str">
        <f>("12/02/2025")</f>
        <v>12/02/2025</v>
      </c>
      <c r="K2340" t="str">
        <f>("17/09/2025")</f>
        <v>17/09/2025</v>
      </c>
      <c r="L2340">
        <v>20</v>
      </c>
      <c r="M2340">
        <v>20</v>
      </c>
      <c r="N2340">
        <v>106</v>
      </c>
      <c r="O2340" t="str">
        <f>"ENTRADA DE CAPITAL"</f>
        <v>ENTRADA DE CAPITAL</v>
      </c>
      <c r="P2340">
        <v>20</v>
      </c>
      <c r="S2340" t="str">
        <f>"ENTRADA DE CAPITAL (106)"</f>
        <v>ENTRADA DE CAPITAL (106)</v>
      </c>
      <c r="T2340">
        <v>18306</v>
      </c>
      <c r="U2340">
        <v>9235</v>
      </c>
      <c r="V2340" t="s">
        <v>48</v>
      </c>
    </row>
    <row r="2341" spans="1:22">
      <c r="A2341" t="str">
        <f t="shared" si="420"/>
        <v>17/09/2025</v>
      </c>
      <c r="B2341" t="str">
        <f>"ENTRADA"</f>
        <v>ENTRADA</v>
      </c>
      <c r="C2341" t="str">
        <f>"DINHEIRO"</f>
        <v>DINHEIRO</v>
      </c>
      <c r="D2341" t="str">
        <f>"447"</f>
        <v>447</v>
      </c>
      <c r="E2341" t="str">
        <f>"8"</f>
        <v>8</v>
      </c>
      <c r="F2341" t="str">
        <f t="shared" si="415"/>
        <v>COM</v>
      </c>
      <c r="G2341" t="str">
        <f>"HENRIQUE AMORIM DA SILVA (447)"</f>
        <v>HENRIQUE AMORIM DA SILVA (447)</v>
      </c>
      <c r="H2341" t="s">
        <v>318</v>
      </c>
      <c r="I2341" t="str">
        <f>("13/09/2025")</f>
        <v>13/09/2025</v>
      </c>
      <c r="J2341" t="str">
        <f>("12/02/2025")</f>
        <v>12/02/2025</v>
      </c>
      <c r="K2341">
        <v>45917</v>
      </c>
      <c r="N2341">
        <v>106</v>
      </c>
      <c r="O2341" t="s">
        <v>51</v>
      </c>
      <c r="Q2341">
        <v>20</v>
      </c>
      <c r="R2341" t="str">
        <f>"HENRIQUE AMORIM DA SILVA (447)"</f>
        <v>HENRIQUE AMORIM DA SILVA (447)</v>
      </c>
      <c r="S2341" t="s">
        <v>52</v>
      </c>
      <c r="T2341">
        <v>18306</v>
      </c>
      <c r="U2341">
        <v>9235</v>
      </c>
      <c r="V2341" t="s">
        <v>48</v>
      </c>
    </row>
    <row r="2342" spans="1:22">
      <c r="A2342" t="str">
        <f t="shared" si="420"/>
        <v>17/09/2025</v>
      </c>
      <c r="B2342" t="str">
        <f>"ENTRADA"</f>
        <v>ENTRADA</v>
      </c>
      <c r="C2342" t="str">
        <f>"DINHEIRO"</f>
        <v>DINHEIRO</v>
      </c>
      <c r="D2342" t="str">
        <f>"194"</f>
        <v>194</v>
      </c>
      <c r="E2342" t="str">
        <f>"25"</f>
        <v>25</v>
      </c>
      <c r="F2342" t="str">
        <f t="shared" si="415"/>
        <v>COM</v>
      </c>
      <c r="G2342" t="str">
        <f>"WELVES DA SILVA RAMOS (194)"</f>
        <v>WELVES DA SILVA RAMOS (194)</v>
      </c>
      <c r="H2342" t="str">
        <f>"COTAS COOPERATIVA"</f>
        <v>COTAS COOPERATIVA</v>
      </c>
      <c r="I2342" t="str">
        <f>("13/09/2025")</f>
        <v>13/09/2025</v>
      </c>
      <c r="J2342" t="str">
        <f>("13/02/2025")</f>
        <v>13/02/2025</v>
      </c>
      <c r="K2342" t="str">
        <f>("17/09/2025")</f>
        <v>17/09/2025</v>
      </c>
      <c r="L2342">
        <v>20</v>
      </c>
      <c r="M2342">
        <v>20</v>
      </c>
      <c r="N2342">
        <v>106</v>
      </c>
      <c r="O2342" t="str">
        <f>"ENTRADA DE CAPITAL"</f>
        <v>ENTRADA DE CAPITAL</v>
      </c>
      <c r="P2342">
        <v>20</v>
      </c>
      <c r="S2342" t="str">
        <f>"ENTRADA DE CAPITAL (106)"</f>
        <v>ENTRADA DE CAPITAL (106)</v>
      </c>
      <c r="T2342">
        <v>18307</v>
      </c>
      <c r="U2342">
        <v>9785</v>
      </c>
      <c r="V2342" t="s">
        <v>48</v>
      </c>
    </row>
    <row r="2343" spans="1:22">
      <c r="A2343" t="str">
        <f t="shared" si="420"/>
        <v>17/09/2025</v>
      </c>
      <c r="B2343" t="str">
        <f>"ENTRADA"</f>
        <v>ENTRADA</v>
      </c>
      <c r="C2343" t="str">
        <f>"DINHEIRO"</f>
        <v>DINHEIRO</v>
      </c>
      <c r="D2343" t="str">
        <f>"194"</f>
        <v>194</v>
      </c>
      <c r="E2343" t="str">
        <f>"25"</f>
        <v>25</v>
      </c>
      <c r="F2343" t="str">
        <f t="shared" si="415"/>
        <v>COM</v>
      </c>
      <c r="G2343" t="str">
        <f>"WELVES DA SILVA RAMOS (194)"</f>
        <v>WELVES DA SILVA RAMOS (194)</v>
      </c>
      <c r="H2343" t="s">
        <v>318</v>
      </c>
      <c r="I2343" t="str">
        <f>("13/09/2025")</f>
        <v>13/09/2025</v>
      </c>
      <c r="J2343" t="str">
        <f>("13/02/2025")</f>
        <v>13/02/2025</v>
      </c>
      <c r="K2343">
        <v>45917</v>
      </c>
      <c r="N2343">
        <v>106</v>
      </c>
      <c r="O2343" t="s">
        <v>51</v>
      </c>
      <c r="Q2343">
        <v>20</v>
      </c>
      <c r="R2343" t="str">
        <f>"WELVES DA SILVA RAMOS (194)"</f>
        <v>WELVES DA SILVA RAMOS (194)</v>
      </c>
      <c r="S2343" t="s">
        <v>52</v>
      </c>
      <c r="T2343">
        <v>18307</v>
      </c>
      <c r="U2343">
        <v>9785</v>
      </c>
      <c r="V2343" t="s">
        <v>48</v>
      </c>
    </row>
    <row r="2344" spans="1:22">
      <c r="A2344" t="str">
        <f t="shared" si="420"/>
        <v>17/09/2025</v>
      </c>
      <c r="B2344" t="str">
        <f>"SAÍDA"</f>
        <v>SAÍDA</v>
      </c>
      <c r="C2344" t="str">
        <f>"PIX"</f>
        <v>PIX</v>
      </c>
      <c r="D2344" t="str">
        <f>"22159"</f>
        <v>22159</v>
      </c>
      <c r="E2344" t="str">
        <f>"1"</f>
        <v>1</v>
      </c>
      <c r="F2344" t="str">
        <f t="shared" si="415"/>
        <v>COM</v>
      </c>
      <c r="G2344" t="str">
        <f>"WELVES DA SILVA RAMOS (194)"</f>
        <v>WELVES DA SILVA RAMOS (194)</v>
      </c>
      <c r="H2344" t="str">
        <f>"Serv.Prest. 08/09/2025 a 14/09/2025 - PIX: CPF - CHAVE: 700.454.836-80"</f>
        <v>Serv.Prest. 08/09/2025 a 14/09/2025 - PIX: CPF - CHAVE: 700.454.836-80</v>
      </c>
      <c r="I2344" t="str">
        <f>("25/09/2025")</f>
        <v>25/09/2025</v>
      </c>
      <c r="J2344" t="str">
        <f>("16/09/2025")</f>
        <v>16/09/2025</v>
      </c>
      <c r="K2344" t="str">
        <f>("17/09/2025")</f>
        <v>17/09/2025</v>
      </c>
      <c r="L2344">
        <v>20</v>
      </c>
      <c r="M2344">
        <v>20</v>
      </c>
      <c r="N2344">
        <v>109</v>
      </c>
      <c r="O2344" t="str">
        <f>"PAGAMENTO DE ENTREGADORES"</f>
        <v>PAGAMENTO DE ENTREGADORES</v>
      </c>
      <c r="P2344">
        <v>20</v>
      </c>
      <c r="S2344" t="str">
        <f>"CAIXA MOVIMENTAÇÃO OPERACIONAL (132)"</f>
        <v>CAIXA MOVIMENTAÇÃO OPERACIONAL (132)</v>
      </c>
      <c r="T2344">
        <v>18308</v>
      </c>
      <c r="U2344">
        <v>22230</v>
      </c>
      <c r="V2344" t="s">
        <v>48</v>
      </c>
    </row>
    <row r="2345" spans="1:22">
      <c r="A2345" t="str">
        <f t="shared" si="420"/>
        <v>17/09/2025</v>
      </c>
      <c r="B2345" t="str">
        <f>"SAÍDA"</f>
        <v>SAÍDA</v>
      </c>
      <c r="C2345" t="str">
        <f>"PIX"</f>
        <v>PIX</v>
      </c>
      <c r="D2345" t="str">
        <f>"22159"</f>
        <v>22159</v>
      </c>
      <c r="E2345" t="str">
        <f>"1"</f>
        <v>1</v>
      </c>
      <c r="F2345" t="str">
        <f t="shared" si="415"/>
        <v>COM</v>
      </c>
      <c r="G2345" t="str">
        <f>"WELVES DA SILVA RAMOS (194)"</f>
        <v>WELVES DA SILVA RAMOS (194)</v>
      </c>
      <c r="H2345" t="s">
        <v>613</v>
      </c>
      <c r="I2345" t="str">
        <f>("25/09/2025")</f>
        <v>25/09/2025</v>
      </c>
      <c r="J2345" t="str">
        <f>("16/09/2025")</f>
        <v>16/09/2025</v>
      </c>
      <c r="K2345">
        <v>45917</v>
      </c>
      <c r="N2345">
        <v>109</v>
      </c>
      <c r="O2345" t="s">
        <v>24</v>
      </c>
      <c r="Q2345">
        <v>20</v>
      </c>
      <c r="R2345" t="str">
        <f>"FARMÁCIA INDIANA LJ 06 (10006)"</f>
        <v>FARMÁCIA INDIANA LJ 06 (10006)</v>
      </c>
      <c r="S2345" t="s">
        <v>48</v>
      </c>
      <c r="T2345">
        <v>18308</v>
      </c>
      <c r="U2345">
        <v>22230</v>
      </c>
      <c r="V2345" t="s">
        <v>48</v>
      </c>
    </row>
    <row r="2346" spans="1:22">
      <c r="A2346" t="str">
        <f t="shared" si="420"/>
        <v>17/09/2025</v>
      </c>
      <c r="B2346" t="str">
        <f>"SAÍDA"</f>
        <v>SAÍDA</v>
      </c>
      <c r="C2346" t="str">
        <f>"PIX"</f>
        <v>PIX</v>
      </c>
      <c r="D2346" t="str">
        <f>"1"</f>
        <v>1</v>
      </c>
      <c r="E2346" t="str">
        <f>""</f>
        <v/>
      </c>
      <c r="F2346" t="str">
        <f t="shared" si="415"/>
        <v>COM</v>
      </c>
      <c r="G2346" t="str">
        <f>"RICARDO DE FARIA FERREIRA JUNIOR (20108)"</f>
        <v>RICARDO DE FARIA FERREIRA JUNIOR (20108)</v>
      </c>
      <c r="H2346" t="str">
        <f>"UNIFORMES MOTOBOYS - 50% restantes + FRETE (R$ 15,00)"</f>
        <v>UNIFORMES MOTOBOYS - 50% restantes + FRETE (R$ 15,00)</v>
      </c>
      <c r="I2346" t="str">
        <f t="shared" ref="I2346:I2377" si="425">("17/09/2025")</f>
        <v>17/09/2025</v>
      </c>
      <c r="J2346" t="str">
        <f>("11/09/2025")</f>
        <v>11/09/2025</v>
      </c>
      <c r="K2346" t="str">
        <f>("17/09/2025")</f>
        <v>17/09/2025</v>
      </c>
      <c r="L2346">
        <v>1212.5</v>
      </c>
      <c r="M2346">
        <v>1212.5</v>
      </c>
      <c r="N2346">
        <v>139</v>
      </c>
      <c r="O2346" t="str">
        <f>"DESPESAS COM UNIFORMES"</f>
        <v>DESPESAS COM UNIFORMES</v>
      </c>
      <c r="P2346">
        <v>1212.5</v>
      </c>
      <c r="S2346" t="str">
        <f>"BANCO CORA (102)"</f>
        <v>BANCO CORA (102)</v>
      </c>
      <c r="T2346">
        <v>21238</v>
      </c>
      <c r="U2346">
        <v>22231</v>
      </c>
      <c r="V2346" t="s">
        <v>22</v>
      </c>
    </row>
    <row r="2347" spans="1:22">
      <c r="A2347" t="str">
        <f t="shared" si="420"/>
        <v>17/09/2025</v>
      </c>
      <c r="B2347" t="str">
        <f>"SAÍDA"</f>
        <v>SAÍDA</v>
      </c>
      <c r="C2347" t="str">
        <f>"PIX"</f>
        <v>PIX</v>
      </c>
      <c r="D2347" t="str">
        <f>"1"</f>
        <v>1</v>
      </c>
      <c r="E2347" t="str">
        <f>""</f>
        <v/>
      </c>
      <c r="F2347" t="str">
        <f t="shared" si="415"/>
        <v>COM</v>
      </c>
      <c r="G2347" t="str">
        <f>"RICARDO DE FARIA FERREIRA JUNIOR (20108)"</f>
        <v>RICARDO DE FARIA FERREIRA JUNIOR (20108)</v>
      </c>
      <c r="H2347" t="s">
        <v>614</v>
      </c>
      <c r="I2347" t="str">
        <f t="shared" si="425"/>
        <v>17/09/2025</v>
      </c>
      <c r="J2347" t="str">
        <f>("11/09/2025")</f>
        <v>11/09/2025</v>
      </c>
      <c r="K2347">
        <v>45917</v>
      </c>
      <c r="N2347">
        <v>139</v>
      </c>
      <c r="O2347" t="s">
        <v>615</v>
      </c>
      <c r="Q2347">
        <v>1212.5</v>
      </c>
      <c r="R2347" t="str">
        <f>"RICARDO DE FARIA FERREIRA JUNIOR (20108)"</f>
        <v>RICARDO DE FARIA FERREIRA JUNIOR (20108)</v>
      </c>
      <c r="S2347" t="s">
        <v>22</v>
      </c>
      <c r="T2347">
        <v>21238</v>
      </c>
      <c r="U2347">
        <v>22231</v>
      </c>
      <c r="V2347" t="s">
        <v>22</v>
      </c>
    </row>
    <row r="2348" spans="1:22">
      <c r="A2348" t="str">
        <f t="shared" si="420"/>
        <v>17/09/2025</v>
      </c>
      <c r="B2348" t="str">
        <f t="shared" ref="B2348:B2379" si="426">"ENTRADA"</f>
        <v>ENTRADA</v>
      </c>
      <c r="C2348" t="str">
        <f t="shared" ref="C2348:C2379" si="427">"NFSE"</f>
        <v>NFSE</v>
      </c>
      <c r="D2348" t="str">
        <f t="shared" ref="D2348:D2395" si="428">"3336"</f>
        <v>3336</v>
      </c>
      <c r="E2348" t="str">
        <f t="shared" ref="E2348:E2379" si="429">"1"</f>
        <v>1</v>
      </c>
      <c r="F2348" t="str">
        <f t="shared" si="415"/>
        <v>COM</v>
      </c>
      <c r="G2348" t="str">
        <f t="shared" ref="G2348:G2379" si="430">"FARMÁCIA INDIANA LJ 1 (10126)"</f>
        <v>FARMÁCIA INDIANA LJ 1 (10126)</v>
      </c>
      <c r="H2348" t="str">
        <f>"Serv.Prest. 01/09/2025 a 07/09/2025 - RPS: 1212 - NFSe: 3336"</f>
        <v>Serv.Prest. 01/09/2025 a 07/09/2025 - RPS: 1212 - NFSe: 3336</v>
      </c>
      <c r="I2348" t="str">
        <f t="shared" si="425"/>
        <v>17/09/2025</v>
      </c>
      <c r="J2348" t="str">
        <f t="shared" ref="J2348:J2395" si="431">("08/09/2025")</f>
        <v>08/09/2025</v>
      </c>
      <c r="K2348" t="str">
        <f>("17/09/2025")</f>
        <v>17/09/2025</v>
      </c>
      <c r="L2348">
        <v>117532.84</v>
      </c>
      <c r="M2348">
        <v>117532.84</v>
      </c>
      <c r="N2348">
        <v>303</v>
      </c>
      <c r="O2348" t="str">
        <f>"RECEITAS COM ENTREGAS"</f>
        <v>RECEITAS COM ENTREGAS</v>
      </c>
      <c r="P2348">
        <v>117532.84</v>
      </c>
      <c r="S2348" t="str">
        <f>"RECEITAS COM ENTREGAS (303)"</f>
        <v>RECEITAS COM ENTREGAS (303)</v>
      </c>
      <c r="T2348">
        <v>21836</v>
      </c>
      <c r="U2348">
        <v>21489</v>
      </c>
      <c r="V2348" t="s">
        <v>77</v>
      </c>
    </row>
    <row r="2349" spans="1:22">
      <c r="A2349" t="str">
        <f t="shared" si="420"/>
        <v>17/09/2025</v>
      </c>
      <c r="B2349" t="str">
        <f t="shared" si="426"/>
        <v>ENTRADA</v>
      </c>
      <c r="C2349" t="str">
        <f t="shared" si="427"/>
        <v>NFSE</v>
      </c>
      <c r="D2349" t="str">
        <f t="shared" si="428"/>
        <v>3336</v>
      </c>
      <c r="E2349" t="str">
        <f t="shared" si="429"/>
        <v>1</v>
      </c>
      <c r="F2349" t="str">
        <f t="shared" si="415"/>
        <v>COM</v>
      </c>
      <c r="G2349" t="str">
        <f t="shared" si="430"/>
        <v>FARMÁCIA INDIANA LJ 1 (10126)</v>
      </c>
      <c r="H2349" t="s">
        <v>616</v>
      </c>
      <c r="I2349" t="str">
        <f t="shared" si="425"/>
        <v>17/09/2025</v>
      </c>
      <c r="J2349" t="str">
        <f t="shared" si="431"/>
        <v>08/09/2025</v>
      </c>
      <c r="K2349">
        <v>45917</v>
      </c>
      <c r="N2349">
        <v>303</v>
      </c>
      <c r="O2349" t="s">
        <v>69</v>
      </c>
      <c r="Q2349">
        <v>17112.77</v>
      </c>
      <c r="R2349" t="str">
        <f>"FARMÁCIA INDIANA LJ 06 (10006)"</f>
        <v>FARMÁCIA INDIANA LJ 06 (10006)</v>
      </c>
      <c r="S2349" t="s">
        <v>70</v>
      </c>
      <c r="T2349">
        <v>21836</v>
      </c>
      <c r="U2349">
        <v>21489</v>
      </c>
      <c r="V2349" t="s">
        <v>77</v>
      </c>
    </row>
    <row r="2350" spans="1:22">
      <c r="A2350" t="str">
        <f t="shared" si="420"/>
        <v>17/09/2025</v>
      </c>
      <c r="B2350" t="str">
        <f t="shared" si="426"/>
        <v>ENTRADA</v>
      </c>
      <c r="C2350" t="str">
        <f t="shared" si="427"/>
        <v>NFSE</v>
      </c>
      <c r="D2350" t="str">
        <f t="shared" si="428"/>
        <v>3336</v>
      </c>
      <c r="E2350" t="str">
        <f t="shared" si="429"/>
        <v>1</v>
      </c>
      <c r="F2350" t="str">
        <f t="shared" si="415"/>
        <v>COM</v>
      </c>
      <c r="G2350" t="str">
        <f t="shared" si="430"/>
        <v>FARMÁCIA INDIANA LJ 1 (10126)</v>
      </c>
      <c r="H2350" t="s">
        <v>616</v>
      </c>
      <c r="I2350" t="str">
        <f t="shared" si="425"/>
        <v>17/09/2025</v>
      </c>
      <c r="J2350" t="str">
        <f t="shared" si="431"/>
        <v>08/09/2025</v>
      </c>
      <c r="K2350">
        <v>45917</v>
      </c>
      <c r="N2350">
        <v>303</v>
      </c>
      <c r="O2350" t="s">
        <v>69</v>
      </c>
      <c r="Q2350">
        <v>12352.7</v>
      </c>
      <c r="R2350" t="str">
        <f>"FARMÁCIA INDIANA LJ 07 (10007)"</f>
        <v>FARMÁCIA INDIANA LJ 07 (10007)</v>
      </c>
      <c r="S2350" t="s">
        <v>70</v>
      </c>
      <c r="T2350">
        <v>21836</v>
      </c>
      <c r="U2350">
        <v>21489</v>
      </c>
      <c r="V2350" t="s">
        <v>77</v>
      </c>
    </row>
    <row r="2351" spans="1:22">
      <c r="A2351" t="str">
        <f t="shared" si="420"/>
        <v>17/09/2025</v>
      </c>
      <c r="B2351" t="str">
        <f t="shared" si="426"/>
        <v>ENTRADA</v>
      </c>
      <c r="C2351" t="str">
        <f t="shared" si="427"/>
        <v>NFSE</v>
      </c>
      <c r="D2351" t="str">
        <f t="shared" si="428"/>
        <v>3336</v>
      </c>
      <c r="E2351" t="str">
        <f t="shared" si="429"/>
        <v>1</v>
      </c>
      <c r="F2351" t="str">
        <f t="shared" si="415"/>
        <v>COM</v>
      </c>
      <c r="G2351" t="str">
        <f t="shared" si="430"/>
        <v>FARMÁCIA INDIANA LJ 1 (10126)</v>
      </c>
      <c r="H2351" t="s">
        <v>616</v>
      </c>
      <c r="I2351" t="str">
        <f t="shared" si="425"/>
        <v>17/09/2025</v>
      </c>
      <c r="J2351" t="str">
        <f t="shared" si="431"/>
        <v>08/09/2025</v>
      </c>
      <c r="K2351">
        <v>45917</v>
      </c>
      <c r="N2351">
        <v>303</v>
      </c>
      <c r="O2351" t="s">
        <v>69</v>
      </c>
      <c r="Q2351">
        <v>9132.2999999999993</v>
      </c>
      <c r="R2351" t="str">
        <f>"FARMÁCIA INDIANA LJ 11 (10008)"</f>
        <v>FARMÁCIA INDIANA LJ 11 (10008)</v>
      </c>
      <c r="S2351" t="s">
        <v>70</v>
      </c>
      <c r="T2351">
        <v>21836</v>
      </c>
      <c r="U2351">
        <v>21489</v>
      </c>
      <c r="V2351" t="s">
        <v>77</v>
      </c>
    </row>
    <row r="2352" spans="1:22">
      <c r="A2352" t="str">
        <f t="shared" si="420"/>
        <v>17/09/2025</v>
      </c>
      <c r="B2352" t="str">
        <f t="shared" si="426"/>
        <v>ENTRADA</v>
      </c>
      <c r="C2352" t="str">
        <f t="shared" si="427"/>
        <v>NFSE</v>
      </c>
      <c r="D2352" t="str">
        <f t="shared" si="428"/>
        <v>3336</v>
      </c>
      <c r="E2352" t="str">
        <f t="shared" si="429"/>
        <v>1</v>
      </c>
      <c r="F2352" t="str">
        <f t="shared" si="415"/>
        <v>COM</v>
      </c>
      <c r="G2352" t="str">
        <f t="shared" si="430"/>
        <v>FARMÁCIA INDIANA LJ 1 (10126)</v>
      </c>
      <c r="H2352" t="s">
        <v>616</v>
      </c>
      <c r="I2352" t="str">
        <f t="shared" si="425"/>
        <v>17/09/2025</v>
      </c>
      <c r="J2352" t="str">
        <f t="shared" si="431"/>
        <v>08/09/2025</v>
      </c>
      <c r="K2352">
        <v>45917</v>
      </c>
      <c r="N2352">
        <v>303</v>
      </c>
      <c r="O2352" t="s">
        <v>69</v>
      </c>
      <c r="Q2352">
        <v>4031.38</v>
      </c>
      <c r="R2352" t="str">
        <f>"FARMÁCIA INDIANA LJ 14 (10009)"</f>
        <v>FARMÁCIA INDIANA LJ 14 (10009)</v>
      </c>
      <c r="S2352" t="s">
        <v>70</v>
      </c>
      <c r="T2352">
        <v>21836</v>
      </c>
      <c r="U2352">
        <v>21489</v>
      </c>
      <c r="V2352" t="s">
        <v>77</v>
      </c>
    </row>
    <row r="2353" spans="1:22">
      <c r="A2353" t="str">
        <f t="shared" si="420"/>
        <v>17/09/2025</v>
      </c>
      <c r="B2353" t="str">
        <f t="shared" si="426"/>
        <v>ENTRADA</v>
      </c>
      <c r="C2353" t="str">
        <f t="shared" si="427"/>
        <v>NFSE</v>
      </c>
      <c r="D2353" t="str">
        <f t="shared" si="428"/>
        <v>3336</v>
      </c>
      <c r="E2353" t="str">
        <f t="shared" si="429"/>
        <v>1</v>
      </c>
      <c r="F2353" t="str">
        <f t="shared" si="415"/>
        <v>COM</v>
      </c>
      <c r="G2353" t="str">
        <f t="shared" si="430"/>
        <v>FARMÁCIA INDIANA LJ 1 (10126)</v>
      </c>
      <c r="H2353" t="s">
        <v>616</v>
      </c>
      <c r="I2353" t="str">
        <f t="shared" si="425"/>
        <v>17/09/2025</v>
      </c>
      <c r="J2353" t="str">
        <f t="shared" si="431"/>
        <v>08/09/2025</v>
      </c>
      <c r="K2353">
        <v>45917</v>
      </c>
      <c r="N2353">
        <v>303</v>
      </c>
      <c r="O2353" t="s">
        <v>69</v>
      </c>
      <c r="Q2353">
        <v>3114.62</v>
      </c>
      <c r="R2353" t="str">
        <f>"FARMÁCIA INDIANA LJ 18 (10011)"</f>
        <v>FARMÁCIA INDIANA LJ 18 (10011)</v>
      </c>
      <c r="S2353" t="s">
        <v>70</v>
      </c>
      <c r="T2353">
        <v>21836</v>
      </c>
      <c r="U2353">
        <v>21489</v>
      </c>
      <c r="V2353" t="s">
        <v>77</v>
      </c>
    </row>
    <row r="2354" spans="1:22">
      <c r="A2354" t="str">
        <f t="shared" si="420"/>
        <v>17/09/2025</v>
      </c>
      <c r="B2354" t="str">
        <f t="shared" si="426"/>
        <v>ENTRADA</v>
      </c>
      <c r="C2354" t="str">
        <f t="shared" si="427"/>
        <v>NFSE</v>
      </c>
      <c r="D2354" t="str">
        <f t="shared" si="428"/>
        <v>3336</v>
      </c>
      <c r="E2354" t="str">
        <f t="shared" si="429"/>
        <v>1</v>
      </c>
      <c r="F2354" t="str">
        <f t="shared" si="415"/>
        <v>COM</v>
      </c>
      <c r="G2354" t="str">
        <f t="shared" si="430"/>
        <v>FARMÁCIA INDIANA LJ 1 (10126)</v>
      </c>
      <c r="H2354" t="s">
        <v>616</v>
      </c>
      <c r="I2354" t="str">
        <f t="shared" si="425"/>
        <v>17/09/2025</v>
      </c>
      <c r="J2354" t="str">
        <f t="shared" si="431"/>
        <v>08/09/2025</v>
      </c>
      <c r="K2354">
        <v>45917</v>
      </c>
      <c r="N2354">
        <v>303</v>
      </c>
      <c r="O2354" t="s">
        <v>69</v>
      </c>
      <c r="Q2354">
        <v>3302.67</v>
      </c>
      <c r="R2354" t="str">
        <f>"FARMÁCIA INDIANA LJ 19 (10012)"</f>
        <v>FARMÁCIA INDIANA LJ 19 (10012)</v>
      </c>
      <c r="S2354" t="s">
        <v>70</v>
      </c>
      <c r="T2354">
        <v>21836</v>
      </c>
      <c r="U2354">
        <v>21489</v>
      </c>
      <c r="V2354" t="s">
        <v>77</v>
      </c>
    </row>
    <row r="2355" spans="1:22">
      <c r="A2355" t="str">
        <f t="shared" si="420"/>
        <v>17/09/2025</v>
      </c>
      <c r="B2355" t="str">
        <f t="shared" si="426"/>
        <v>ENTRADA</v>
      </c>
      <c r="C2355" t="str">
        <f t="shared" si="427"/>
        <v>NFSE</v>
      </c>
      <c r="D2355" t="str">
        <f t="shared" si="428"/>
        <v>3336</v>
      </c>
      <c r="E2355" t="str">
        <f t="shared" si="429"/>
        <v>1</v>
      </c>
      <c r="F2355" t="str">
        <f t="shared" si="415"/>
        <v>COM</v>
      </c>
      <c r="G2355" t="str">
        <f t="shared" si="430"/>
        <v>FARMÁCIA INDIANA LJ 1 (10126)</v>
      </c>
      <c r="H2355" t="s">
        <v>616</v>
      </c>
      <c r="I2355" t="str">
        <f t="shared" si="425"/>
        <v>17/09/2025</v>
      </c>
      <c r="J2355" t="str">
        <f t="shared" si="431"/>
        <v>08/09/2025</v>
      </c>
      <c r="K2355">
        <v>45917</v>
      </c>
      <c r="N2355">
        <v>303</v>
      </c>
      <c r="O2355" t="s">
        <v>69</v>
      </c>
      <c r="Q2355">
        <v>7627.88</v>
      </c>
      <c r="R2355" t="str">
        <f>"FARMÁCIA INDIANA LJ 40 (10016)"</f>
        <v>FARMÁCIA INDIANA LJ 40 (10016)</v>
      </c>
      <c r="S2355" t="s">
        <v>70</v>
      </c>
      <c r="T2355">
        <v>21836</v>
      </c>
      <c r="U2355">
        <v>21489</v>
      </c>
      <c r="V2355" t="s">
        <v>77</v>
      </c>
    </row>
    <row r="2356" spans="1:22">
      <c r="A2356" t="str">
        <f t="shared" si="420"/>
        <v>17/09/2025</v>
      </c>
      <c r="B2356" t="str">
        <f t="shared" si="426"/>
        <v>ENTRADA</v>
      </c>
      <c r="C2356" t="str">
        <f t="shared" si="427"/>
        <v>NFSE</v>
      </c>
      <c r="D2356" t="str">
        <f t="shared" si="428"/>
        <v>3336</v>
      </c>
      <c r="E2356" t="str">
        <f t="shared" si="429"/>
        <v>1</v>
      </c>
      <c r="F2356" t="str">
        <f t="shared" si="415"/>
        <v>COM</v>
      </c>
      <c r="G2356" t="str">
        <f t="shared" si="430"/>
        <v>FARMÁCIA INDIANA LJ 1 (10126)</v>
      </c>
      <c r="H2356" t="s">
        <v>616</v>
      </c>
      <c r="I2356" t="str">
        <f t="shared" si="425"/>
        <v>17/09/2025</v>
      </c>
      <c r="J2356" t="str">
        <f t="shared" si="431"/>
        <v>08/09/2025</v>
      </c>
      <c r="K2356">
        <v>45917</v>
      </c>
      <c r="N2356">
        <v>303</v>
      </c>
      <c r="O2356" t="s">
        <v>69</v>
      </c>
      <c r="Q2356">
        <v>1974.55</v>
      </c>
      <c r="R2356" t="str">
        <f>"FARMÁCIA INDIANA LJ 59 (10026)"</f>
        <v>FARMÁCIA INDIANA LJ 59 (10026)</v>
      </c>
      <c r="S2356" t="s">
        <v>70</v>
      </c>
      <c r="T2356">
        <v>21836</v>
      </c>
      <c r="U2356">
        <v>21489</v>
      </c>
      <c r="V2356" t="s">
        <v>77</v>
      </c>
    </row>
    <row r="2357" spans="1:22">
      <c r="A2357" t="str">
        <f t="shared" si="420"/>
        <v>17/09/2025</v>
      </c>
      <c r="B2357" t="str">
        <f t="shared" si="426"/>
        <v>ENTRADA</v>
      </c>
      <c r="C2357" t="str">
        <f t="shared" si="427"/>
        <v>NFSE</v>
      </c>
      <c r="D2357" t="str">
        <f t="shared" si="428"/>
        <v>3336</v>
      </c>
      <c r="E2357" t="str">
        <f t="shared" si="429"/>
        <v>1</v>
      </c>
      <c r="F2357" t="str">
        <f t="shared" si="415"/>
        <v>COM</v>
      </c>
      <c r="G2357" t="str">
        <f t="shared" si="430"/>
        <v>FARMÁCIA INDIANA LJ 1 (10126)</v>
      </c>
      <c r="H2357" t="s">
        <v>616</v>
      </c>
      <c r="I2357" t="str">
        <f t="shared" si="425"/>
        <v>17/09/2025</v>
      </c>
      <c r="J2357" t="str">
        <f t="shared" si="431"/>
        <v>08/09/2025</v>
      </c>
      <c r="K2357">
        <v>45917</v>
      </c>
      <c r="N2357">
        <v>303</v>
      </c>
      <c r="O2357" t="s">
        <v>69</v>
      </c>
      <c r="Q2357">
        <v>3925.6</v>
      </c>
      <c r="R2357" t="str">
        <f>"FARMÁCIA INDIANA LJ 61 (10027)"</f>
        <v>FARMÁCIA INDIANA LJ 61 (10027)</v>
      </c>
      <c r="S2357" t="s">
        <v>70</v>
      </c>
      <c r="T2357">
        <v>21836</v>
      </c>
      <c r="U2357">
        <v>21489</v>
      </c>
      <c r="V2357" t="s">
        <v>77</v>
      </c>
    </row>
    <row r="2358" spans="1:22">
      <c r="A2358" t="str">
        <f t="shared" si="420"/>
        <v>17/09/2025</v>
      </c>
      <c r="B2358" t="str">
        <f t="shared" si="426"/>
        <v>ENTRADA</v>
      </c>
      <c r="C2358" t="str">
        <f t="shared" si="427"/>
        <v>NFSE</v>
      </c>
      <c r="D2358" t="str">
        <f t="shared" si="428"/>
        <v>3336</v>
      </c>
      <c r="E2358" t="str">
        <f t="shared" si="429"/>
        <v>1</v>
      </c>
      <c r="F2358" t="str">
        <f t="shared" si="415"/>
        <v>COM</v>
      </c>
      <c r="G2358" t="str">
        <f t="shared" si="430"/>
        <v>FARMÁCIA INDIANA LJ 1 (10126)</v>
      </c>
      <c r="H2358" t="s">
        <v>616</v>
      </c>
      <c r="I2358" t="str">
        <f t="shared" si="425"/>
        <v>17/09/2025</v>
      </c>
      <c r="J2358" t="str">
        <f t="shared" si="431"/>
        <v>08/09/2025</v>
      </c>
      <c r="K2358">
        <v>45917</v>
      </c>
      <c r="N2358">
        <v>303</v>
      </c>
      <c r="O2358" t="s">
        <v>69</v>
      </c>
      <c r="Q2358">
        <v>1598.45</v>
      </c>
      <c r="R2358" t="str">
        <f>"FARMÁCIA INDIANA LJ 62 (10028)"</f>
        <v>FARMÁCIA INDIANA LJ 62 (10028)</v>
      </c>
      <c r="S2358" t="s">
        <v>70</v>
      </c>
      <c r="T2358">
        <v>21836</v>
      </c>
      <c r="U2358">
        <v>21489</v>
      </c>
      <c r="V2358" t="s">
        <v>77</v>
      </c>
    </row>
    <row r="2359" spans="1:22">
      <c r="A2359" t="str">
        <f t="shared" si="420"/>
        <v>17/09/2025</v>
      </c>
      <c r="B2359" t="str">
        <f t="shared" si="426"/>
        <v>ENTRADA</v>
      </c>
      <c r="C2359" t="str">
        <f t="shared" si="427"/>
        <v>NFSE</v>
      </c>
      <c r="D2359" t="str">
        <f t="shared" si="428"/>
        <v>3336</v>
      </c>
      <c r="E2359" t="str">
        <f t="shared" si="429"/>
        <v>1</v>
      </c>
      <c r="F2359" t="str">
        <f t="shared" si="415"/>
        <v>COM</v>
      </c>
      <c r="G2359" t="str">
        <f t="shared" si="430"/>
        <v>FARMÁCIA INDIANA LJ 1 (10126)</v>
      </c>
      <c r="H2359" t="s">
        <v>616</v>
      </c>
      <c r="I2359" t="str">
        <f t="shared" si="425"/>
        <v>17/09/2025</v>
      </c>
      <c r="J2359" t="str">
        <f t="shared" si="431"/>
        <v>08/09/2025</v>
      </c>
      <c r="K2359">
        <v>45917</v>
      </c>
      <c r="N2359">
        <v>303</v>
      </c>
      <c r="O2359" t="s">
        <v>69</v>
      </c>
      <c r="Q2359">
        <v>599.41999999999996</v>
      </c>
      <c r="R2359" t="str">
        <f>"FARMÁCIA INDIANA LJ 64 (10029)"</f>
        <v>FARMÁCIA INDIANA LJ 64 (10029)</v>
      </c>
      <c r="S2359" t="s">
        <v>70</v>
      </c>
      <c r="T2359">
        <v>21836</v>
      </c>
      <c r="U2359">
        <v>21489</v>
      </c>
      <c r="V2359" t="s">
        <v>77</v>
      </c>
    </row>
    <row r="2360" spans="1:22">
      <c r="A2360" t="str">
        <f t="shared" si="420"/>
        <v>17/09/2025</v>
      </c>
      <c r="B2360" t="str">
        <f t="shared" si="426"/>
        <v>ENTRADA</v>
      </c>
      <c r="C2360" t="str">
        <f t="shared" si="427"/>
        <v>NFSE</v>
      </c>
      <c r="D2360" t="str">
        <f t="shared" si="428"/>
        <v>3336</v>
      </c>
      <c r="E2360" t="str">
        <f t="shared" si="429"/>
        <v>1</v>
      </c>
      <c r="F2360" t="str">
        <f t="shared" si="415"/>
        <v>COM</v>
      </c>
      <c r="G2360" t="str">
        <f t="shared" si="430"/>
        <v>FARMÁCIA INDIANA LJ 1 (10126)</v>
      </c>
      <c r="H2360" t="s">
        <v>616</v>
      </c>
      <c r="I2360" t="str">
        <f t="shared" si="425"/>
        <v>17/09/2025</v>
      </c>
      <c r="J2360" t="str">
        <f t="shared" si="431"/>
        <v>08/09/2025</v>
      </c>
      <c r="K2360">
        <v>45917</v>
      </c>
      <c r="N2360">
        <v>303</v>
      </c>
      <c r="O2360" t="s">
        <v>69</v>
      </c>
      <c r="Q2360">
        <v>599.41999999999996</v>
      </c>
      <c r="R2360" t="str">
        <f>"FARMÁCIA INDIANA LJ 97 (10040)"</f>
        <v>FARMÁCIA INDIANA LJ 97 (10040)</v>
      </c>
      <c r="S2360" t="s">
        <v>70</v>
      </c>
      <c r="T2360">
        <v>21836</v>
      </c>
      <c r="U2360">
        <v>21489</v>
      </c>
      <c r="V2360" t="s">
        <v>77</v>
      </c>
    </row>
    <row r="2361" spans="1:22">
      <c r="A2361" t="str">
        <f t="shared" si="420"/>
        <v>17/09/2025</v>
      </c>
      <c r="B2361" t="str">
        <f t="shared" si="426"/>
        <v>ENTRADA</v>
      </c>
      <c r="C2361" t="str">
        <f t="shared" si="427"/>
        <v>NFSE</v>
      </c>
      <c r="D2361" t="str">
        <f t="shared" si="428"/>
        <v>3336</v>
      </c>
      <c r="E2361" t="str">
        <f t="shared" si="429"/>
        <v>1</v>
      </c>
      <c r="F2361" t="str">
        <f t="shared" si="415"/>
        <v>COM</v>
      </c>
      <c r="G2361" t="str">
        <f t="shared" si="430"/>
        <v>FARMÁCIA INDIANA LJ 1 (10126)</v>
      </c>
      <c r="H2361" t="s">
        <v>616</v>
      </c>
      <c r="I2361" t="str">
        <f t="shared" si="425"/>
        <v>17/09/2025</v>
      </c>
      <c r="J2361" t="str">
        <f t="shared" si="431"/>
        <v>08/09/2025</v>
      </c>
      <c r="K2361">
        <v>45917</v>
      </c>
      <c r="N2361">
        <v>303</v>
      </c>
      <c r="O2361" t="s">
        <v>69</v>
      </c>
      <c r="Q2361">
        <v>1680.72</v>
      </c>
      <c r="R2361" t="str">
        <f>"FARMÁCIA INDIANA LJ 100 (10042)"</f>
        <v>FARMÁCIA INDIANA LJ 100 (10042)</v>
      </c>
      <c r="S2361" t="s">
        <v>70</v>
      </c>
      <c r="T2361">
        <v>21836</v>
      </c>
      <c r="U2361">
        <v>21489</v>
      </c>
      <c r="V2361" t="s">
        <v>77</v>
      </c>
    </row>
    <row r="2362" spans="1:22">
      <c r="A2362" t="str">
        <f t="shared" si="420"/>
        <v>17/09/2025</v>
      </c>
      <c r="B2362" t="str">
        <f t="shared" si="426"/>
        <v>ENTRADA</v>
      </c>
      <c r="C2362" t="str">
        <f t="shared" si="427"/>
        <v>NFSE</v>
      </c>
      <c r="D2362" t="str">
        <f t="shared" si="428"/>
        <v>3336</v>
      </c>
      <c r="E2362" t="str">
        <f t="shared" si="429"/>
        <v>1</v>
      </c>
      <c r="F2362" t="str">
        <f t="shared" si="415"/>
        <v>COM</v>
      </c>
      <c r="G2362" t="str">
        <f t="shared" si="430"/>
        <v>FARMÁCIA INDIANA LJ 1 (10126)</v>
      </c>
      <c r="H2362" t="s">
        <v>616</v>
      </c>
      <c r="I2362" t="str">
        <f t="shared" si="425"/>
        <v>17/09/2025</v>
      </c>
      <c r="J2362" t="str">
        <f t="shared" si="431"/>
        <v>08/09/2025</v>
      </c>
      <c r="K2362">
        <v>45917</v>
      </c>
      <c r="N2362">
        <v>303</v>
      </c>
      <c r="O2362" t="s">
        <v>69</v>
      </c>
      <c r="Q2362">
        <v>4818.8500000000004</v>
      </c>
      <c r="R2362" t="str">
        <f>"FARMÁCIA INDIANA LJ 101 (10043)"</f>
        <v>FARMÁCIA INDIANA LJ 101 (10043)</v>
      </c>
      <c r="S2362" t="s">
        <v>70</v>
      </c>
      <c r="T2362">
        <v>21836</v>
      </c>
      <c r="U2362">
        <v>21489</v>
      </c>
      <c r="V2362" t="s">
        <v>77</v>
      </c>
    </row>
    <row r="2363" spans="1:22">
      <c r="A2363" t="str">
        <f t="shared" ref="A2363:A2394" si="432">("17/09/2025")</f>
        <v>17/09/2025</v>
      </c>
      <c r="B2363" t="str">
        <f t="shared" si="426"/>
        <v>ENTRADA</v>
      </c>
      <c r="C2363" t="str">
        <f t="shared" si="427"/>
        <v>NFSE</v>
      </c>
      <c r="D2363" t="str">
        <f t="shared" si="428"/>
        <v>3336</v>
      </c>
      <c r="E2363" t="str">
        <f t="shared" si="429"/>
        <v>1</v>
      </c>
      <c r="F2363" t="str">
        <f t="shared" ref="F2363:F2426" si="433">"COM"</f>
        <v>COM</v>
      </c>
      <c r="G2363" t="str">
        <f t="shared" si="430"/>
        <v>FARMÁCIA INDIANA LJ 1 (10126)</v>
      </c>
      <c r="H2363" t="s">
        <v>616</v>
      </c>
      <c r="I2363" t="str">
        <f t="shared" si="425"/>
        <v>17/09/2025</v>
      </c>
      <c r="J2363" t="str">
        <f t="shared" si="431"/>
        <v>08/09/2025</v>
      </c>
      <c r="K2363">
        <v>45917</v>
      </c>
      <c r="N2363">
        <v>303</v>
      </c>
      <c r="O2363" t="s">
        <v>69</v>
      </c>
      <c r="Q2363">
        <v>940.26</v>
      </c>
      <c r="R2363" t="str">
        <f>"FARMÁCIA INDIANA LJ 103 (10044)"</f>
        <v>FARMÁCIA INDIANA LJ 103 (10044)</v>
      </c>
      <c r="S2363" t="s">
        <v>70</v>
      </c>
      <c r="T2363">
        <v>21836</v>
      </c>
      <c r="U2363">
        <v>21489</v>
      </c>
      <c r="V2363" t="s">
        <v>77</v>
      </c>
    </row>
    <row r="2364" spans="1:22">
      <c r="A2364" t="str">
        <f t="shared" si="432"/>
        <v>17/09/2025</v>
      </c>
      <c r="B2364" t="str">
        <f t="shared" si="426"/>
        <v>ENTRADA</v>
      </c>
      <c r="C2364" t="str">
        <f t="shared" si="427"/>
        <v>NFSE</v>
      </c>
      <c r="D2364" t="str">
        <f t="shared" si="428"/>
        <v>3336</v>
      </c>
      <c r="E2364" t="str">
        <f t="shared" si="429"/>
        <v>1</v>
      </c>
      <c r="F2364" t="str">
        <f t="shared" si="433"/>
        <v>COM</v>
      </c>
      <c r="G2364" t="str">
        <f t="shared" si="430"/>
        <v>FARMÁCIA INDIANA LJ 1 (10126)</v>
      </c>
      <c r="H2364" t="s">
        <v>616</v>
      </c>
      <c r="I2364" t="str">
        <f t="shared" si="425"/>
        <v>17/09/2025</v>
      </c>
      <c r="J2364" t="str">
        <f t="shared" si="431"/>
        <v>08/09/2025</v>
      </c>
      <c r="K2364">
        <v>45917</v>
      </c>
      <c r="N2364">
        <v>303</v>
      </c>
      <c r="O2364" t="s">
        <v>69</v>
      </c>
      <c r="Q2364">
        <v>2174.36</v>
      </c>
      <c r="R2364" t="str">
        <f>"FARMÁCIA INDIANA LJ 109 (10047)"</f>
        <v>FARMÁCIA INDIANA LJ 109 (10047)</v>
      </c>
      <c r="S2364" t="s">
        <v>70</v>
      </c>
      <c r="T2364">
        <v>21836</v>
      </c>
      <c r="U2364">
        <v>21489</v>
      </c>
      <c r="V2364" t="s">
        <v>77</v>
      </c>
    </row>
    <row r="2365" spans="1:22">
      <c r="A2365" t="str">
        <f t="shared" si="432"/>
        <v>17/09/2025</v>
      </c>
      <c r="B2365" t="str">
        <f t="shared" si="426"/>
        <v>ENTRADA</v>
      </c>
      <c r="C2365" t="str">
        <f t="shared" si="427"/>
        <v>NFSE</v>
      </c>
      <c r="D2365" t="str">
        <f t="shared" si="428"/>
        <v>3336</v>
      </c>
      <c r="E2365" t="str">
        <f t="shared" si="429"/>
        <v>1</v>
      </c>
      <c r="F2365" t="str">
        <f t="shared" si="433"/>
        <v>COM</v>
      </c>
      <c r="G2365" t="str">
        <f t="shared" si="430"/>
        <v>FARMÁCIA INDIANA LJ 1 (10126)</v>
      </c>
      <c r="H2365" t="s">
        <v>616</v>
      </c>
      <c r="I2365" t="str">
        <f t="shared" si="425"/>
        <v>17/09/2025</v>
      </c>
      <c r="J2365" t="str">
        <f t="shared" si="431"/>
        <v>08/09/2025</v>
      </c>
      <c r="K2365">
        <v>45917</v>
      </c>
      <c r="N2365">
        <v>303</v>
      </c>
      <c r="O2365" t="s">
        <v>69</v>
      </c>
      <c r="Q2365">
        <v>3314.43</v>
      </c>
      <c r="R2365" t="str">
        <f>"FARMÁCIA INDIANA LJ 110 (10048)"</f>
        <v>FARMÁCIA INDIANA LJ 110 (10048)</v>
      </c>
      <c r="S2365" t="s">
        <v>70</v>
      </c>
      <c r="T2365">
        <v>21836</v>
      </c>
      <c r="U2365">
        <v>21489</v>
      </c>
      <c r="V2365" t="s">
        <v>77</v>
      </c>
    </row>
    <row r="2366" spans="1:22">
      <c r="A2366" t="str">
        <f t="shared" si="432"/>
        <v>17/09/2025</v>
      </c>
      <c r="B2366" t="str">
        <f t="shared" si="426"/>
        <v>ENTRADA</v>
      </c>
      <c r="C2366" t="str">
        <f t="shared" si="427"/>
        <v>NFSE</v>
      </c>
      <c r="D2366" t="str">
        <f t="shared" si="428"/>
        <v>3336</v>
      </c>
      <c r="E2366" t="str">
        <f t="shared" si="429"/>
        <v>1</v>
      </c>
      <c r="F2366" t="str">
        <f t="shared" si="433"/>
        <v>COM</v>
      </c>
      <c r="G2366" t="str">
        <f t="shared" si="430"/>
        <v>FARMÁCIA INDIANA LJ 1 (10126)</v>
      </c>
      <c r="H2366" t="s">
        <v>616</v>
      </c>
      <c r="I2366" t="str">
        <f t="shared" si="425"/>
        <v>17/09/2025</v>
      </c>
      <c r="J2366" t="str">
        <f t="shared" si="431"/>
        <v>08/09/2025</v>
      </c>
      <c r="K2366">
        <v>45917</v>
      </c>
      <c r="N2366">
        <v>303</v>
      </c>
      <c r="O2366" t="s">
        <v>69</v>
      </c>
      <c r="Q2366">
        <v>587.66</v>
      </c>
      <c r="R2366" t="str">
        <f>"FARMÁCIA INDIANA LJ 111 (10049)"</f>
        <v>FARMÁCIA INDIANA LJ 111 (10049)</v>
      </c>
      <c r="S2366" t="s">
        <v>70</v>
      </c>
      <c r="T2366">
        <v>21836</v>
      </c>
      <c r="U2366">
        <v>21489</v>
      </c>
      <c r="V2366" t="s">
        <v>77</v>
      </c>
    </row>
    <row r="2367" spans="1:22">
      <c r="A2367" t="str">
        <f t="shared" si="432"/>
        <v>17/09/2025</v>
      </c>
      <c r="B2367" t="str">
        <f t="shared" si="426"/>
        <v>ENTRADA</v>
      </c>
      <c r="C2367" t="str">
        <f t="shared" si="427"/>
        <v>NFSE</v>
      </c>
      <c r="D2367" t="str">
        <f t="shared" si="428"/>
        <v>3336</v>
      </c>
      <c r="E2367" t="str">
        <f t="shared" si="429"/>
        <v>1</v>
      </c>
      <c r="F2367" t="str">
        <f t="shared" si="433"/>
        <v>COM</v>
      </c>
      <c r="G2367" t="str">
        <f t="shared" si="430"/>
        <v>FARMÁCIA INDIANA LJ 1 (10126)</v>
      </c>
      <c r="H2367" t="s">
        <v>616</v>
      </c>
      <c r="I2367" t="str">
        <f t="shared" si="425"/>
        <v>17/09/2025</v>
      </c>
      <c r="J2367" t="str">
        <f t="shared" si="431"/>
        <v>08/09/2025</v>
      </c>
      <c r="K2367">
        <v>45917</v>
      </c>
      <c r="N2367">
        <v>303</v>
      </c>
      <c r="O2367" t="s">
        <v>69</v>
      </c>
      <c r="Q2367">
        <v>834.48</v>
      </c>
      <c r="R2367" t="str">
        <f>"FARMÁCIA INDIANA LJ 112 (10050)"</f>
        <v>FARMÁCIA INDIANA LJ 112 (10050)</v>
      </c>
      <c r="S2367" t="s">
        <v>70</v>
      </c>
      <c r="T2367">
        <v>21836</v>
      </c>
      <c r="U2367">
        <v>21489</v>
      </c>
      <c r="V2367" t="s">
        <v>77</v>
      </c>
    </row>
    <row r="2368" spans="1:22">
      <c r="A2368" t="str">
        <f t="shared" si="432"/>
        <v>17/09/2025</v>
      </c>
      <c r="B2368" t="str">
        <f t="shared" si="426"/>
        <v>ENTRADA</v>
      </c>
      <c r="C2368" t="str">
        <f t="shared" si="427"/>
        <v>NFSE</v>
      </c>
      <c r="D2368" t="str">
        <f t="shared" si="428"/>
        <v>3336</v>
      </c>
      <c r="E2368" t="str">
        <f t="shared" si="429"/>
        <v>1</v>
      </c>
      <c r="F2368" t="str">
        <f t="shared" si="433"/>
        <v>COM</v>
      </c>
      <c r="G2368" t="str">
        <f t="shared" si="430"/>
        <v>FARMÁCIA INDIANA LJ 1 (10126)</v>
      </c>
      <c r="H2368" t="s">
        <v>616</v>
      </c>
      <c r="I2368" t="str">
        <f t="shared" si="425"/>
        <v>17/09/2025</v>
      </c>
      <c r="J2368" t="str">
        <f t="shared" si="431"/>
        <v>08/09/2025</v>
      </c>
      <c r="K2368">
        <v>45917</v>
      </c>
      <c r="N2368">
        <v>303</v>
      </c>
      <c r="O2368" t="s">
        <v>69</v>
      </c>
      <c r="Q2368">
        <v>834.48</v>
      </c>
      <c r="R2368" t="str">
        <f>"FARMÁCIA INDIANA LJ 116 (10051)"</f>
        <v>FARMÁCIA INDIANA LJ 116 (10051)</v>
      </c>
      <c r="S2368" t="s">
        <v>70</v>
      </c>
      <c r="T2368">
        <v>21836</v>
      </c>
      <c r="U2368">
        <v>21489</v>
      </c>
      <c r="V2368" t="s">
        <v>77</v>
      </c>
    </row>
    <row r="2369" spans="1:22">
      <c r="A2369" t="str">
        <f t="shared" si="432"/>
        <v>17/09/2025</v>
      </c>
      <c r="B2369" t="str">
        <f t="shared" si="426"/>
        <v>ENTRADA</v>
      </c>
      <c r="C2369" t="str">
        <f t="shared" si="427"/>
        <v>NFSE</v>
      </c>
      <c r="D2369" t="str">
        <f t="shared" si="428"/>
        <v>3336</v>
      </c>
      <c r="E2369" t="str">
        <f t="shared" si="429"/>
        <v>1</v>
      </c>
      <c r="F2369" t="str">
        <f t="shared" si="433"/>
        <v>COM</v>
      </c>
      <c r="G2369" t="str">
        <f t="shared" si="430"/>
        <v>FARMÁCIA INDIANA LJ 1 (10126)</v>
      </c>
      <c r="H2369" t="s">
        <v>616</v>
      </c>
      <c r="I2369" t="str">
        <f t="shared" si="425"/>
        <v>17/09/2025</v>
      </c>
      <c r="J2369" t="str">
        <f t="shared" si="431"/>
        <v>08/09/2025</v>
      </c>
      <c r="K2369">
        <v>45917</v>
      </c>
      <c r="N2369">
        <v>303</v>
      </c>
      <c r="O2369" t="s">
        <v>69</v>
      </c>
      <c r="Q2369">
        <v>1457.41</v>
      </c>
      <c r="R2369" t="str">
        <f>"FARMÁCIA INDIANA LJ 118 (10052)"</f>
        <v>FARMÁCIA INDIANA LJ 118 (10052)</v>
      </c>
      <c r="S2369" t="s">
        <v>70</v>
      </c>
      <c r="T2369">
        <v>21836</v>
      </c>
      <c r="U2369">
        <v>21489</v>
      </c>
      <c r="V2369" t="s">
        <v>77</v>
      </c>
    </row>
    <row r="2370" spans="1:22">
      <c r="A2370" t="str">
        <f t="shared" si="432"/>
        <v>17/09/2025</v>
      </c>
      <c r="B2370" t="str">
        <f t="shared" si="426"/>
        <v>ENTRADA</v>
      </c>
      <c r="C2370" t="str">
        <f t="shared" si="427"/>
        <v>NFSE</v>
      </c>
      <c r="D2370" t="str">
        <f t="shared" si="428"/>
        <v>3336</v>
      </c>
      <c r="E2370" t="str">
        <f t="shared" si="429"/>
        <v>1</v>
      </c>
      <c r="F2370" t="str">
        <f t="shared" si="433"/>
        <v>COM</v>
      </c>
      <c r="G2370" t="str">
        <f t="shared" si="430"/>
        <v>FARMÁCIA INDIANA LJ 1 (10126)</v>
      </c>
      <c r="H2370" t="s">
        <v>616</v>
      </c>
      <c r="I2370" t="str">
        <f t="shared" si="425"/>
        <v>17/09/2025</v>
      </c>
      <c r="J2370" t="str">
        <f t="shared" si="431"/>
        <v>08/09/2025</v>
      </c>
      <c r="K2370">
        <v>45917</v>
      </c>
      <c r="N2370">
        <v>303</v>
      </c>
      <c r="O2370" t="s">
        <v>69</v>
      </c>
      <c r="Q2370">
        <v>834.48</v>
      </c>
      <c r="R2370" t="str">
        <f>"FARMÁCIA INDIANA LJ 121 (10054)"</f>
        <v>FARMÁCIA INDIANA LJ 121 (10054)</v>
      </c>
      <c r="S2370" t="s">
        <v>70</v>
      </c>
      <c r="T2370">
        <v>21836</v>
      </c>
      <c r="U2370">
        <v>21489</v>
      </c>
      <c r="V2370" t="s">
        <v>77</v>
      </c>
    </row>
    <row r="2371" spans="1:22">
      <c r="A2371" t="str">
        <f t="shared" si="432"/>
        <v>17/09/2025</v>
      </c>
      <c r="B2371" t="str">
        <f t="shared" si="426"/>
        <v>ENTRADA</v>
      </c>
      <c r="C2371" t="str">
        <f t="shared" si="427"/>
        <v>NFSE</v>
      </c>
      <c r="D2371" t="str">
        <f t="shared" si="428"/>
        <v>3336</v>
      </c>
      <c r="E2371" t="str">
        <f t="shared" si="429"/>
        <v>1</v>
      </c>
      <c r="F2371" t="str">
        <f t="shared" si="433"/>
        <v>COM</v>
      </c>
      <c r="G2371" t="str">
        <f t="shared" si="430"/>
        <v>FARMÁCIA INDIANA LJ 1 (10126)</v>
      </c>
      <c r="H2371" t="s">
        <v>616</v>
      </c>
      <c r="I2371" t="str">
        <f t="shared" si="425"/>
        <v>17/09/2025</v>
      </c>
      <c r="J2371" t="str">
        <f t="shared" si="431"/>
        <v>08/09/2025</v>
      </c>
      <c r="K2371">
        <v>45917</v>
      </c>
      <c r="N2371">
        <v>303</v>
      </c>
      <c r="O2371" t="s">
        <v>69</v>
      </c>
      <c r="Q2371">
        <v>834.48</v>
      </c>
      <c r="R2371" t="str">
        <f>"FARMÁCIA INDIANA LJ 128 (10057)"</f>
        <v>FARMÁCIA INDIANA LJ 128 (10057)</v>
      </c>
      <c r="S2371" t="s">
        <v>70</v>
      </c>
      <c r="T2371">
        <v>21836</v>
      </c>
      <c r="U2371">
        <v>21489</v>
      </c>
      <c r="V2371" t="s">
        <v>77</v>
      </c>
    </row>
    <row r="2372" spans="1:22">
      <c r="A2372" t="str">
        <f t="shared" si="432"/>
        <v>17/09/2025</v>
      </c>
      <c r="B2372" t="str">
        <f t="shared" si="426"/>
        <v>ENTRADA</v>
      </c>
      <c r="C2372" t="str">
        <f t="shared" si="427"/>
        <v>NFSE</v>
      </c>
      <c r="D2372" t="str">
        <f t="shared" si="428"/>
        <v>3336</v>
      </c>
      <c r="E2372" t="str">
        <f t="shared" si="429"/>
        <v>1</v>
      </c>
      <c r="F2372" t="str">
        <f t="shared" si="433"/>
        <v>COM</v>
      </c>
      <c r="G2372" t="str">
        <f t="shared" si="430"/>
        <v>FARMÁCIA INDIANA LJ 1 (10126)</v>
      </c>
      <c r="H2372" t="s">
        <v>616</v>
      </c>
      <c r="I2372" t="str">
        <f t="shared" si="425"/>
        <v>17/09/2025</v>
      </c>
      <c r="J2372" t="str">
        <f t="shared" si="431"/>
        <v>08/09/2025</v>
      </c>
      <c r="K2372">
        <v>45917</v>
      </c>
      <c r="N2372">
        <v>303</v>
      </c>
      <c r="O2372" t="s">
        <v>69</v>
      </c>
      <c r="Q2372">
        <v>376.11</v>
      </c>
      <c r="R2372" t="str">
        <f>"FARMÁCIA INDIANA LJ 140 (10064)"</f>
        <v>FARMÁCIA INDIANA LJ 140 (10064)</v>
      </c>
      <c r="S2372" t="s">
        <v>70</v>
      </c>
      <c r="T2372">
        <v>21836</v>
      </c>
      <c r="U2372">
        <v>21489</v>
      </c>
      <c r="V2372" t="s">
        <v>77</v>
      </c>
    </row>
    <row r="2373" spans="1:22">
      <c r="A2373" t="str">
        <f t="shared" si="432"/>
        <v>17/09/2025</v>
      </c>
      <c r="B2373" t="str">
        <f t="shared" si="426"/>
        <v>ENTRADA</v>
      </c>
      <c r="C2373" t="str">
        <f t="shared" si="427"/>
        <v>NFSE</v>
      </c>
      <c r="D2373" t="str">
        <f t="shared" si="428"/>
        <v>3336</v>
      </c>
      <c r="E2373" t="str">
        <f t="shared" si="429"/>
        <v>1</v>
      </c>
      <c r="F2373" t="str">
        <f t="shared" si="433"/>
        <v>COM</v>
      </c>
      <c r="G2373" t="str">
        <f t="shared" si="430"/>
        <v>FARMÁCIA INDIANA LJ 1 (10126)</v>
      </c>
      <c r="H2373" t="s">
        <v>616</v>
      </c>
      <c r="I2373" t="str">
        <f t="shared" si="425"/>
        <v>17/09/2025</v>
      </c>
      <c r="J2373" t="str">
        <f t="shared" si="431"/>
        <v>08/09/2025</v>
      </c>
      <c r="K2373">
        <v>45917</v>
      </c>
      <c r="N2373">
        <v>303</v>
      </c>
      <c r="O2373" t="s">
        <v>69</v>
      </c>
      <c r="Q2373">
        <v>105.78</v>
      </c>
      <c r="R2373" t="str">
        <f>"FARMÁCIA INDIANA LJ 141 (10065)"</f>
        <v>FARMÁCIA INDIANA LJ 141 (10065)</v>
      </c>
      <c r="S2373" t="s">
        <v>70</v>
      </c>
      <c r="T2373">
        <v>21836</v>
      </c>
      <c r="U2373">
        <v>21489</v>
      </c>
      <c r="V2373" t="s">
        <v>77</v>
      </c>
    </row>
    <row r="2374" spans="1:22">
      <c r="A2374" t="str">
        <f t="shared" si="432"/>
        <v>17/09/2025</v>
      </c>
      <c r="B2374" t="str">
        <f t="shared" si="426"/>
        <v>ENTRADA</v>
      </c>
      <c r="C2374" t="str">
        <f t="shared" si="427"/>
        <v>NFSE</v>
      </c>
      <c r="D2374" t="str">
        <f t="shared" si="428"/>
        <v>3336</v>
      </c>
      <c r="E2374" t="str">
        <f t="shared" si="429"/>
        <v>1</v>
      </c>
      <c r="F2374" t="str">
        <f t="shared" si="433"/>
        <v>COM</v>
      </c>
      <c r="G2374" t="str">
        <f t="shared" si="430"/>
        <v>FARMÁCIA INDIANA LJ 1 (10126)</v>
      </c>
      <c r="H2374" t="s">
        <v>616</v>
      </c>
      <c r="I2374" t="str">
        <f t="shared" si="425"/>
        <v>17/09/2025</v>
      </c>
      <c r="J2374" t="str">
        <f t="shared" si="431"/>
        <v>08/09/2025</v>
      </c>
      <c r="K2374">
        <v>45917</v>
      </c>
      <c r="N2374">
        <v>303</v>
      </c>
      <c r="O2374" t="s">
        <v>69</v>
      </c>
      <c r="Q2374">
        <v>6581.84</v>
      </c>
      <c r="R2374" t="str">
        <f>"FARMÁCIA INDIANA LJ 142 (10066)"</f>
        <v>FARMÁCIA INDIANA LJ 142 (10066)</v>
      </c>
      <c r="S2374" t="s">
        <v>70</v>
      </c>
      <c r="T2374">
        <v>21836</v>
      </c>
      <c r="U2374">
        <v>21489</v>
      </c>
      <c r="V2374" t="s">
        <v>77</v>
      </c>
    </row>
    <row r="2375" spans="1:22">
      <c r="A2375" t="str">
        <f t="shared" si="432"/>
        <v>17/09/2025</v>
      </c>
      <c r="B2375" t="str">
        <f t="shared" si="426"/>
        <v>ENTRADA</v>
      </c>
      <c r="C2375" t="str">
        <f t="shared" si="427"/>
        <v>NFSE</v>
      </c>
      <c r="D2375" t="str">
        <f t="shared" si="428"/>
        <v>3336</v>
      </c>
      <c r="E2375" t="str">
        <f t="shared" si="429"/>
        <v>1</v>
      </c>
      <c r="F2375" t="str">
        <f t="shared" si="433"/>
        <v>COM</v>
      </c>
      <c r="G2375" t="str">
        <f t="shared" si="430"/>
        <v>FARMÁCIA INDIANA LJ 1 (10126)</v>
      </c>
      <c r="H2375" t="s">
        <v>616</v>
      </c>
      <c r="I2375" t="str">
        <f t="shared" si="425"/>
        <v>17/09/2025</v>
      </c>
      <c r="J2375" t="str">
        <f t="shared" si="431"/>
        <v>08/09/2025</v>
      </c>
      <c r="K2375">
        <v>45917</v>
      </c>
      <c r="N2375">
        <v>303</v>
      </c>
      <c r="O2375" t="s">
        <v>69</v>
      </c>
      <c r="Q2375">
        <v>599.41999999999996</v>
      </c>
      <c r="R2375" t="str">
        <f>"FARMÁCIA INDIANA LJ 143 (10067)"</f>
        <v>FARMÁCIA INDIANA LJ 143 (10067)</v>
      </c>
      <c r="S2375" t="s">
        <v>70</v>
      </c>
      <c r="T2375">
        <v>21836</v>
      </c>
      <c r="U2375">
        <v>21489</v>
      </c>
      <c r="V2375" t="s">
        <v>77</v>
      </c>
    </row>
    <row r="2376" spans="1:22">
      <c r="A2376" t="str">
        <f t="shared" si="432"/>
        <v>17/09/2025</v>
      </c>
      <c r="B2376" t="str">
        <f t="shared" si="426"/>
        <v>ENTRADA</v>
      </c>
      <c r="C2376" t="str">
        <f t="shared" si="427"/>
        <v>NFSE</v>
      </c>
      <c r="D2376" t="str">
        <f t="shared" si="428"/>
        <v>3336</v>
      </c>
      <c r="E2376" t="str">
        <f t="shared" si="429"/>
        <v>1</v>
      </c>
      <c r="F2376" t="str">
        <f t="shared" si="433"/>
        <v>COM</v>
      </c>
      <c r="G2376" t="str">
        <f t="shared" si="430"/>
        <v>FARMÁCIA INDIANA LJ 1 (10126)</v>
      </c>
      <c r="H2376" t="s">
        <v>616</v>
      </c>
      <c r="I2376" t="str">
        <f t="shared" si="425"/>
        <v>17/09/2025</v>
      </c>
      <c r="J2376" t="str">
        <f t="shared" si="431"/>
        <v>08/09/2025</v>
      </c>
      <c r="K2376">
        <v>45917</v>
      </c>
      <c r="N2376">
        <v>303</v>
      </c>
      <c r="O2376" t="s">
        <v>69</v>
      </c>
      <c r="Q2376">
        <v>3678.78</v>
      </c>
      <c r="R2376" t="str">
        <f>"FARMÁCIA INDIANA LJ 152 (10069)"</f>
        <v>FARMÁCIA INDIANA LJ 152 (10069)</v>
      </c>
      <c r="S2376" t="s">
        <v>70</v>
      </c>
      <c r="T2376">
        <v>21836</v>
      </c>
      <c r="U2376">
        <v>21489</v>
      </c>
      <c r="V2376" t="s">
        <v>77</v>
      </c>
    </row>
    <row r="2377" spans="1:22">
      <c r="A2377" t="str">
        <f t="shared" si="432"/>
        <v>17/09/2025</v>
      </c>
      <c r="B2377" t="str">
        <f t="shared" si="426"/>
        <v>ENTRADA</v>
      </c>
      <c r="C2377" t="str">
        <f t="shared" si="427"/>
        <v>NFSE</v>
      </c>
      <c r="D2377" t="str">
        <f t="shared" si="428"/>
        <v>3336</v>
      </c>
      <c r="E2377" t="str">
        <f t="shared" si="429"/>
        <v>1</v>
      </c>
      <c r="F2377" t="str">
        <f t="shared" si="433"/>
        <v>COM</v>
      </c>
      <c r="G2377" t="str">
        <f t="shared" si="430"/>
        <v>FARMÁCIA INDIANA LJ 1 (10126)</v>
      </c>
      <c r="H2377" t="s">
        <v>616</v>
      </c>
      <c r="I2377" t="str">
        <f t="shared" si="425"/>
        <v>17/09/2025</v>
      </c>
      <c r="J2377" t="str">
        <f t="shared" si="431"/>
        <v>08/09/2025</v>
      </c>
      <c r="K2377">
        <v>45917</v>
      </c>
      <c r="N2377">
        <v>303</v>
      </c>
      <c r="O2377" t="s">
        <v>69</v>
      </c>
      <c r="Q2377">
        <v>564.16</v>
      </c>
      <c r="R2377" t="str">
        <f>"FARMÁCIA INDIANA LJ 154 (10070)"</f>
        <v>FARMÁCIA INDIANA LJ 154 (10070)</v>
      </c>
      <c r="S2377" t="s">
        <v>70</v>
      </c>
      <c r="T2377">
        <v>21836</v>
      </c>
      <c r="U2377">
        <v>21489</v>
      </c>
      <c r="V2377" t="s">
        <v>77</v>
      </c>
    </row>
    <row r="2378" spans="1:22">
      <c r="A2378" t="str">
        <f t="shared" si="432"/>
        <v>17/09/2025</v>
      </c>
      <c r="B2378" t="str">
        <f t="shared" si="426"/>
        <v>ENTRADA</v>
      </c>
      <c r="C2378" t="str">
        <f t="shared" si="427"/>
        <v>NFSE</v>
      </c>
      <c r="D2378" t="str">
        <f t="shared" si="428"/>
        <v>3336</v>
      </c>
      <c r="E2378" t="str">
        <f t="shared" si="429"/>
        <v>1</v>
      </c>
      <c r="F2378" t="str">
        <f t="shared" si="433"/>
        <v>COM</v>
      </c>
      <c r="G2378" t="str">
        <f t="shared" si="430"/>
        <v>FARMÁCIA INDIANA LJ 1 (10126)</v>
      </c>
      <c r="H2378" t="s">
        <v>616</v>
      </c>
      <c r="I2378" t="str">
        <f t="shared" ref="I2378:I2409" si="434">("17/09/2025")</f>
        <v>17/09/2025</v>
      </c>
      <c r="J2378" t="str">
        <f t="shared" si="431"/>
        <v>08/09/2025</v>
      </c>
      <c r="K2378">
        <v>45917</v>
      </c>
      <c r="N2378">
        <v>303</v>
      </c>
      <c r="O2378" t="s">
        <v>69</v>
      </c>
      <c r="Q2378">
        <v>1798.25</v>
      </c>
      <c r="R2378" t="str">
        <f>"FARMÁCIA INDIANA LJ 171 (10074)"</f>
        <v>FARMÁCIA INDIANA LJ 171 (10074)</v>
      </c>
      <c r="S2378" t="s">
        <v>70</v>
      </c>
      <c r="T2378">
        <v>21836</v>
      </c>
      <c r="U2378">
        <v>21489</v>
      </c>
      <c r="V2378" t="s">
        <v>77</v>
      </c>
    </row>
    <row r="2379" spans="1:22">
      <c r="A2379" t="str">
        <f t="shared" si="432"/>
        <v>17/09/2025</v>
      </c>
      <c r="B2379" t="str">
        <f t="shared" si="426"/>
        <v>ENTRADA</v>
      </c>
      <c r="C2379" t="str">
        <f t="shared" si="427"/>
        <v>NFSE</v>
      </c>
      <c r="D2379" t="str">
        <f t="shared" si="428"/>
        <v>3336</v>
      </c>
      <c r="E2379" t="str">
        <f t="shared" si="429"/>
        <v>1</v>
      </c>
      <c r="F2379" t="str">
        <f t="shared" si="433"/>
        <v>COM</v>
      </c>
      <c r="G2379" t="str">
        <f t="shared" si="430"/>
        <v>FARMÁCIA INDIANA LJ 1 (10126)</v>
      </c>
      <c r="H2379" t="s">
        <v>616</v>
      </c>
      <c r="I2379" t="str">
        <f t="shared" si="434"/>
        <v>17/09/2025</v>
      </c>
      <c r="J2379" t="str">
        <f t="shared" si="431"/>
        <v>08/09/2025</v>
      </c>
      <c r="K2379">
        <v>45917</v>
      </c>
      <c r="N2379">
        <v>303</v>
      </c>
      <c r="O2379" t="s">
        <v>69</v>
      </c>
      <c r="Q2379">
        <v>693.44</v>
      </c>
      <c r="R2379" t="str">
        <f>"FARMÁCIA INDIANA LJ 175 (10076)"</f>
        <v>FARMÁCIA INDIANA LJ 175 (10076)</v>
      </c>
      <c r="S2379" t="s">
        <v>70</v>
      </c>
      <c r="T2379">
        <v>21836</v>
      </c>
      <c r="U2379">
        <v>21489</v>
      </c>
      <c r="V2379" t="s">
        <v>77</v>
      </c>
    </row>
    <row r="2380" spans="1:22">
      <c r="A2380" t="str">
        <f t="shared" si="432"/>
        <v>17/09/2025</v>
      </c>
      <c r="B2380" t="str">
        <f t="shared" ref="B2380:B2411" si="435">"ENTRADA"</f>
        <v>ENTRADA</v>
      </c>
      <c r="C2380" t="str">
        <f t="shared" ref="C2380:C2411" si="436">"NFSE"</f>
        <v>NFSE</v>
      </c>
      <c r="D2380" t="str">
        <f t="shared" si="428"/>
        <v>3336</v>
      </c>
      <c r="E2380" t="str">
        <f t="shared" ref="E2380:E2411" si="437">"1"</f>
        <v>1</v>
      </c>
      <c r="F2380" t="str">
        <f t="shared" si="433"/>
        <v>COM</v>
      </c>
      <c r="G2380" t="str">
        <f t="shared" ref="G2380:G2397" si="438">"FARMÁCIA INDIANA LJ 1 (10126)"</f>
        <v>FARMÁCIA INDIANA LJ 1 (10126)</v>
      </c>
      <c r="H2380" t="s">
        <v>616</v>
      </c>
      <c r="I2380" t="str">
        <f t="shared" si="434"/>
        <v>17/09/2025</v>
      </c>
      <c r="J2380" t="str">
        <f t="shared" si="431"/>
        <v>08/09/2025</v>
      </c>
      <c r="K2380">
        <v>45917</v>
      </c>
      <c r="N2380">
        <v>303</v>
      </c>
      <c r="O2380" t="s">
        <v>69</v>
      </c>
      <c r="Q2380">
        <v>999.03</v>
      </c>
      <c r="R2380" t="str">
        <f>"FARMÁCIA INDIANA LJ 178 (10077)"</f>
        <v>FARMÁCIA INDIANA LJ 178 (10077)</v>
      </c>
      <c r="S2380" t="s">
        <v>70</v>
      </c>
      <c r="T2380">
        <v>21836</v>
      </c>
      <c r="U2380">
        <v>21489</v>
      </c>
      <c r="V2380" t="s">
        <v>77</v>
      </c>
    </row>
    <row r="2381" spans="1:22">
      <c r="A2381" t="str">
        <f t="shared" si="432"/>
        <v>17/09/2025</v>
      </c>
      <c r="B2381" t="str">
        <f t="shared" si="435"/>
        <v>ENTRADA</v>
      </c>
      <c r="C2381" t="str">
        <f t="shared" si="436"/>
        <v>NFSE</v>
      </c>
      <c r="D2381" t="str">
        <f t="shared" si="428"/>
        <v>3336</v>
      </c>
      <c r="E2381" t="str">
        <f t="shared" si="437"/>
        <v>1</v>
      </c>
      <c r="F2381" t="str">
        <f t="shared" si="433"/>
        <v>COM</v>
      </c>
      <c r="G2381" t="str">
        <f t="shared" si="438"/>
        <v>FARMÁCIA INDIANA LJ 1 (10126)</v>
      </c>
      <c r="H2381" t="s">
        <v>616</v>
      </c>
      <c r="I2381" t="str">
        <f t="shared" si="434"/>
        <v>17/09/2025</v>
      </c>
      <c r="J2381" t="str">
        <f t="shared" si="431"/>
        <v>08/09/2025</v>
      </c>
      <c r="K2381">
        <v>45917</v>
      </c>
      <c r="N2381">
        <v>303</v>
      </c>
      <c r="O2381" t="s">
        <v>69</v>
      </c>
      <c r="Q2381">
        <v>423.12</v>
      </c>
      <c r="R2381" t="str">
        <f>"FARMÁCIA INDIANA LJ 182 (10079)"</f>
        <v>FARMÁCIA INDIANA LJ 182 (10079)</v>
      </c>
      <c r="S2381" t="s">
        <v>70</v>
      </c>
      <c r="T2381">
        <v>21836</v>
      </c>
      <c r="U2381">
        <v>21489</v>
      </c>
      <c r="V2381" t="s">
        <v>77</v>
      </c>
    </row>
    <row r="2382" spans="1:22">
      <c r="A2382" t="str">
        <f t="shared" si="432"/>
        <v>17/09/2025</v>
      </c>
      <c r="B2382" t="str">
        <f t="shared" si="435"/>
        <v>ENTRADA</v>
      </c>
      <c r="C2382" t="str">
        <f t="shared" si="436"/>
        <v>NFSE</v>
      </c>
      <c r="D2382" t="str">
        <f t="shared" si="428"/>
        <v>3336</v>
      </c>
      <c r="E2382" t="str">
        <f t="shared" si="437"/>
        <v>1</v>
      </c>
      <c r="F2382" t="str">
        <f t="shared" si="433"/>
        <v>COM</v>
      </c>
      <c r="G2382" t="str">
        <f t="shared" si="438"/>
        <v>FARMÁCIA INDIANA LJ 1 (10126)</v>
      </c>
      <c r="H2382" t="s">
        <v>616</v>
      </c>
      <c r="I2382" t="str">
        <f t="shared" si="434"/>
        <v>17/09/2025</v>
      </c>
      <c r="J2382" t="str">
        <f t="shared" si="431"/>
        <v>08/09/2025</v>
      </c>
      <c r="K2382">
        <v>45917</v>
      </c>
      <c r="N2382">
        <v>303</v>
      </c>
      <c r="O2382" t="s">
        <v>69</v>
      </c>
      <c r="Q2382">
        <v>364.35</v>
      </c>
      <c r="R2382" t="str">
        <f>"FARMÁCIA INDIANA LJ 184 (10080)"</f>
        <v>FARMÁCIA INDIANA LJ 184 (10080)</v>
      </c>
      <c r="S2382" t="s">
        <v>70</v>
      </c>
      <c r="T2382">
        <v>21836</v>
      </c>
      <c r="U2382">
        <v>21489</v>
      </c>
      <c r="V2382" t="s">
        <v>77</v>
      </c>
    </row>
    <row r="2383" spans="1:22">
      <c r="A2383" t="str">
        <f t="shared" si="432"/>
        <v>17/09/2025</v>
      </c>
      <c r="B2383" t="str">
        <f t="shared" si="435"/>
        <v>ENTRADA</v>
      </c>
      <c r="C2383" t="str">
        <f t="shared" si="436"/>
        <v>NFSE</v>
      </c>
      <c r="D2383" t="str">
        <f t="shared" si="428"/>
        <v>3336</v>
      </c>
      <c r="E2383" t="str">
        <f t="shared" si="437"/>
        <v>1</v>
      </c>
      <c r="F2383" t="str">
        <f t="shared" si="433"/>
        <v>COM</v>
      </c>
      <c r="G2383" t="str">
        <f t="shared" si="438"/>
        <v>FARMÁCIA INDIANA LJ 1 (10126)</v>
      </c>
      <c r="H2383" t="s">
        <v>616</v>
      </c>
      <c r="I2383" t="str">
        <f t="shared" si="434"/>
        <v>17/09/2025</v>
      </c>
      <c r="J2383" t="str">
        <f t="shared" si="431"/>
        <v>08/09/2025</v>
      </c>
      <c r="K2383">
        <v>45917</v>
      </c>
      <c r="N2383">
        <v>303</v>
      </c>
      <c r="O2383" t="s">
        <v>69</v>
      </c>
      <c r="Q2383">
        <v>423.12</v>
      </c>
      <c r="R2383" t="str">
        <f>"FARMÁCIA INDIANA LJ 186 (10081)"</f>
        <v>FARMÁCIA INDIANA LJ 186 (10081)</v>
      </c>
      <c r="S2383" t="s">
        <v>70</v>
      </c>
      <c r="T2383">
        <v>21836</v>
      </c>
      <c r="U2383">
        <v>21489</v>
      </c>
      <c r="V2383" t="s">
        <v>77</v>
      </c>
    </row>
    <row r="2384" spans="1:22">
      <c r="A2384" t="str">
        <f t="shared" si="432"/>
        <v>17/09/2025</v>
      </c>
      <c r="B2384" t="str">
        <f t="shared" si="435"/>
        <v>ENTRADA</v>
      </c>
      <c r="C2384" t="str">
        <f t="shared" si="436"/>
        <v>NFSE</v>
      </c>
      <c r="D2384" t="str">
        <f t="shared" si="428"/>
        <v>3336</v>
      </c>
      <c r="E2384" t="str">
        <f t="shared" si="437"/>
        <v>1</v>
      </c>
      <c r="F2384" t="str">
        <f t="shared" si="433"/>
        <v>COM</v>
      </c>
      <c r="G2384" t="str">
        <f t="shared" si="438"/>
        <v>FARMÁCIA INDIANA LJ 1 (10126)</v>
      </c>
      <c r="H2384" t="s">
        <v>616</v>
      </c>
      <c r="I2384" t="str">
        <f t="shared" si="434"/>
        <v>17/09/2025</v>
      </c>
      <c r="J2384" t="str">
        <f t="shared" si="431"/>
        <v>08/09/2025</v>
      </c>
      <c r="K2384">
        <v>45917</v>
      </c>
      <c r="N2384">
        <v>303</v>
      </c>
      <c r="O2384" t="s">
        <v>69</v>
      </c>
      <c r="Q2384">
        <v>1422.15</v>
      </c>
      <c r="R2384" t="str">
        <f>"FARMÁCIA INDIANA LJ 192 (10082)"</f>
        <v>FARMÁCIA INDIANA LJ 192 (10082)</v>
      </c>
      <c r="S2384" t="s">
        <v>70</v>
      </c>
      <c r="T2384">
        <v>21836</v>
      </c>
      <c r="U2384">
        <v>21489</v>
      </c>
      <c r="V2384" t="s">
        <v>77</v>
      </c>
    </row>
    <row r="2385" spans="1:22">
      <c r="A2385" t="str">
        <f t="shared" si="432"/>
        <v>17/09/2025</v>
      </c>
      <c r="B2385" t="str">
        <f t="shared" si="435"/>
        <v>ENTRADA</v>
      </c>
      <c r="C2385" t="str">
        <f t="shared" si="436"/>
        <v>NFSE</v>
      </c>
      <c r="D2385" t="str">
        <f t="shared" si="428"/>
        <v>3336</v>
      </c>
      <c r="E2385" t="str">
        <f t="shared" si="437"/>
        <v>1</v>
      </c>
      <c r="F2385" t="str">
        <f t="shared" si="433"/>
        <v>COM</v>
      </c>
      <c r="G2385" t="str">
        <f t="shared" si="438"/>
        <v>FARMÁCIA INDIANA LJ 1 (10126)</v>
      </c>
      <c r="H2385" t="s">
        <v>616</v>
      </c>
      <c r="I2385" t="str">
        <f t="shared" si="434"/>
        <v>17/09/2025</v>
      </c>
      <c r="J2385" t="str">
        <f t="shared" si="431"/>
        <v>08/09/2025</v>
      </c>
      <c r="K2385">
        <v>45917</v>
      </c>
      <c r="N2385">
        <v>303</v>
      </c>
      <c r="O2385" t="s">
        <v>69</v>
      </c>
      <c r="Q2385">
        <v>364.35</v>
      </c>
      <c r="R2385" t="str">
        <f>"FARMÁCIA INDIANA LJ 195 (10083)"</f>
        <v>FARMÁCIA INDIANA LJ 195 (10083)</v>
      </c>
      <c r="S2385" t="s">
        <v>70</v>
      </c>
      <c r="T2385">
        <v>21836</v>
      </c>
      <c r="U2385">
        <v>21489</v>
      </c>
      <c r="V2385" t="s">
        <v>77</v>
      </c>
    </row>
    <row r="2386" spans="1:22">
      <c r="A2386" t="str">
        <f t="shared" si="432"/>
        <v>17/09/2025</v>
      </c>
      <c r="B2386" t="str">
        <f t="shared" si="435"/>
        <v>ENTRADA</v>
      </c>
      <c r="C2386" t="str">
        <f t="shared" si="436"/>
        <v>NFSE</v>
      </c>
      <c r="D2386" t="str">
        <f t="shared" si="428"/>
        <v>3336</v>
      </c>
      <c r="E2386" t="str">
        <f t="shared" si="437"/>
        <v>1</v>
      </c>
      <c r="F2386" t="str">
        <f t="shared" si="433"/>
        <v>COM</v>
      </c>
      <c r="G2386" t="str">
        <f t="shared" si="438"/>
        <v>FARMÁCIA INDIANA LJ 1 (10126)</v>
      </c>
      <c r="H2386" t="s">
        <v>616</v>
      </c>
      <c r="I2386" t="str">
        <f t="shared" si="434"/>
        <v>17/09/2025</v>
      </c>
      <c r="J2386" t="str">
        <f t="shared" si="431"/>
        <v>08/09/2025</v>
      </c>
      <c r="K2386">
        <v>45917</v>
      </c>
      <c r="N2386">
        <v>303</v>
      </c>
      <c r="O2386" t="s">
        <v>69</v>
      </c>
      <c r="Q2386">
        <v>834.48</v>
      </c>
      <c r="R2386" t="str">
        <f>"FARMÁCIA INDIANA LJ 202 (10085)"</f>
        <v>FARMÁCIA INDIANA LJ 202 (10085)</v>
      </c>
      <c r="S2386" t="s">
        <v>70</v>
      </c>
      <c r="T2386">
        <v>21836</v>
      </c>
      <c r="U2386">
        <v>21489</v>
      </c>
      <c r="V2386" t="s">
        <v>77</v>
      </c>
    </row>
    <row r="2387" spans="1:22">
      <c r="A2387" t="str">
        <f t="shared" si="432"/>
        <v>17/09/2025</v>
      </c>
      <c r="B2387" t="str">
        <f t="shared" si="435"/>
        <v>ENTRADA</v>
      </c>
      <c r="C2387" t="str">
        <f t="shared" si="436"/>
        <v>NFSE</v>
      </c>
      <c r="D2387" t="str">
        <f t="shared" si="428"/>
        <v>3336</v>
      </c>
      <c r="E2387" t="str">
        <f t="shared" si="437"/>
        <v>1</v>
      </c>
      <c r="F2387" t="str">
        <f t="shared" si="433"/>
        <v>COM</v>
      </c>
      <c r="G2387" t="str">
        <f t="shared" si="438"/>
        <v>FARMÁCIA INDIANA LJ 1 (10126)</v>
      </c>
      <c r="H2387" t="s">
        <v>616</v>
      </c>
      <c r="I2387" t="str">
        <f t="shared" si="434"/>
        <v>17/09/2025</v>
      </c>
      <c r="J2387" t="str">
        <f t="shared" si="431"/>
        <v>08/09/2025</v>
      </c>
      <c r="K2387">
        <v>45917</v>
      </c>
      <c r="N2387">
        <v>303</v>
      </c>
      <c r="O2387" t="s">
        <v>69</v>
      </c>
      <c r="Q2387">
        <v>716.95</v>
      </c>
      <c r="R2387" t="str">
        <f>"FARMÁCIA INDIANA LJ 204 (10087)"</f>
        <v>FARMÁCIA INDIANA LJ 204 (10087)</v>
      </c>
      <c r="S2387" t="s">
        <v>70</v>
      </c>
      <c r="T2387">
        <v>21836</v>
      </c>
      <c r="U2387">
        <v>21489</v>
      </c>
      <c r="V2387" t="s">
        <v>77</v>
      </c>
    </row>
    <row r="2388" spans="1:22">
      <c r="A2388" t="str">
        <f t="shared" si="432"/>
        <v>17/09/2025</v>
      </c>
      <c r="B2388" t="str">
        <f t="shared" si="435"/>
        <v>ENTRADA</v>
      </c>
      <c r="C2388" t="str">
        <f t="shared" si="436"/>
        <v>NFSE</v>
      </c>
      <c r="D2388" t="str">
        <f t="shared" si="428"/>
        <v>3336</v>
      </c>
      <c r="E2388" t="str">
        <f t="shared" si="437"/>
        <v>1</v>
      </c>
      <c r="F2388" t="str">
        <f t="shared" si="433"/>
        <v>COM</v>
      </c>
      <c r="G2388" t="str">
        <f t="shared" si="438"/>
        <v>FARMÁCIA INDIANA LJ 1 (10126)</v>
      </c>
      <c r="H2388" t="s">
        <v>616</v>
      </c>
      <c r="I2388" t="str">
        <f t="shared" si="434"/>
        <v>17/09/2025</v>
      </c>
      <c r="J2388" t="str">
        <f t="shared" si="431"/>
        <v>08/09/2025</v>
      </c>
      <c r="K2388">
        <v>45917</v>
      </c>
      <c r="N2388">
        <v>303</v>
      </c>
      <c r="O2388" t="s">
        <v>69</v>
      </c>
      <c r="Q2388">
        <v>963.77</v>
      </c>
      <c r="R2388" t="str">
        <f>"FARMÁCIA INDIANA LJ 207 (10088)"</f>
        <v>FARMÁCIA INDIANA LJ 207 (10088)</v>
      </c>
      <c r="S2388" t="s">
        <v>70</v>
      </c>
      <c r="T2388">
        <v>21836</v>
      </c>
      <c r="U2388">
        <v>21489</v>
      </c>
      <c r="V2388" t="s">
        <v>77</v>
      </c>
    </row>
    <row r="2389" spans="1:22">
      <c r="A2389" t="str">
        <f t="shared" si="432"/>
        <v>17/09/2025</v>
      </c>
      <c r="B2389" t="str">
        <f t="shared" si="435"/>
        <v>ENTRADA</v>
      </c>
      <c r="C2389" t="str">
        <f t="shared" si="436"/>
        <v>NFSE</v>
      </c>
      <c r="D2389" t="str">
        <f t="shared" si="428"/>
        <v>3336</v>
      </c>
      <c r="E2389" t="str">
        <f t="shared" si="437"/>
        <v>1</v>
      </c>
      <c r="F2389" t="str">
        <f t="shared" si="433"/>
        <v>COM</v>
      </c>
      <c r="G2389" t="str">
        <f t="shared" si="438"/>
        <v>FARMÁCIA INDIANA LJ 1 (10126)</v>
      </c>
      <c r="H2389" t="s">
        <v>616</v>
      </c>
      <c r="I2389" t="str">
        <f t="shared" si="434"/>
        <v>17/09/2025</v>
      </c>
      <c r="J2389" t="str">
        <f t="shared" si="431"/>
        <v>08/09/2025</v>
      </c>
      <c r="K2389">
        <v>45917</v>
      </c>
      <c r="N2389">
        <v>303</v>
      </c>
      <c r="O2389" t="s">
        <v>69</v>
      </c>
      <c r="Q2389">
        <v>1128.32</v>
      </c>
      <c r="R2389" t="str">
        <f>"FARMÁCIA INDIANA LJ 209 (10089)"</f>
        <v>FARMÁCIA INDIANA LJ 209 (10089)</v>
      </c>
      <c r="S2389" t="s">
        <v>70</v>
      </c>
      <c r="T2389">
        <v>21836</v>
      </c>
      <c r="U2389">
        <v>21489</v>
      </c>
      <c r="V2389" t="s">
        <v>77</v>
      </c>
    </row>
    <row r="2390" spans="1:22">
      <c r="A2390" t="str">
        <f t="shared" si="432"/>
        <v>17/09/2025</v>
      </c>
      <c r="B2390" t="str">
        <f t="shared" si="435"/>
        <v>ENTRADA</v>
      </c>
      <c r="C2390" t="str">
        <f t="shared" si="436"/>
        <v>NFSE</v>
      </c>
      <c r="D2390" t="str">
        <f t="shared" si="428"/>
        <v>3336</v>
      </c>
      <c r="E2390" t="str">
        <f t="shared" si="437"/>
        <v>1</v>
      </c>
      <c r="F2390" t="str">
        <f t="shared" si="433"/>
        <v>COM</v>
      </c>
      <c r="G2390" t="str">
        <f t="shared" si="438"/>
        <v>FARMÁCIA INDIANA LJ 1 (10126)</v>
      </c>
      <c r="H2390" t="s">
        <v>616</v>
      </c>
      <c r="I2390" t="str">
        <f t="shared" si="434"/>
        <v>17/09/2025</v>
      </c>
      <c r="J2390" t="str">
        <f t="shared" si="431"/>
        <v>08/09/2025</v>
      </c>
      <c r="K2390">
        <v>45917</v>
      </c>
      <c r="N2390">
        <v>303</v>
      </c>
      <c r="O2390" t="s">
        <v>69</v>
      </c>
      <c r="Q2390">
        <v>834.48</v>
      </c>
      <c r="R2390" t="str">
        <f>"FARMÁCIA INDIANA LJ 219 (10091)"</f>
        <v>FARMÁCIA INDIANA LJ 219 (10091)</v>
      </c>
      <c r="S2390" t="s">
        <v>70</v>
      </c>
      <c r="T2390">
        <v>21836</v>
      </c>
      <c r="U2390">
        <v>21489</v>
      </c>
      <c r="V2390" t="s">
        <v>77</v>
      </c>
    </row>
    <row r="2391" spans="1:22">
      <c r="A2391" t="str">
        <f t="shared" si="432"/>
        <v>17/09/2025</v>
      </c>
      <c r="B2391" t="str">
        <f t="shared" si="435"/>
        <v>ENTRADA</v>
      </c>
      <c r="C2391" t="str">
        <f t="shared" si="436"/>
        <v>NFSE</v>
      </c>
      <c r="D2391" t="str">
        <f t="shared" si="428"/>
        <v>3336</v>
      </c>
      <c r="E2391" t="str">
        <f t="shared" si="437"/>
        <v>1</v>
      </c>
      <c r="F2391" t="str">
        <f t="shared" si="433"/>
        <v>COM</v>
      </c>
      <c r="G2391" t="str">
        <f t="shared" si="438"/>
        <v>FARMÁCIA INDIANA LJ 1 (10126)</v>
      </c>
      <c r="H2391" t="s">
        <v>616</v>
      </c>
      <c r="I2391" t="str">
        <f t="shared" si="434"/>
        <v>17/09/2025</v>
      </c>
      <c r="J2391" t="str">
        <f t="shared" si="431"/>
        <v>08/09/2025</v>
      </c>
      <c r="K2391">
        <v>45917</v>
      </c>
      <c r="N2391">
        <v>303</v>
      </c>
      <c r="O2391" t="s">
        <v>69</v>
      </c>
      <c r="Q2391">
        <v>2315.4</v>
      </c>
      <c r="R2391" t="str">
        <f>"FARMÁCIA INDIANA LJ 220 (10092)"</f>
        <v>FARMÁCIA INDIANA LJ 220 (10092)</v>
      </c>
      <c r="S2391" t="s">
        <v>70</v>
      </c>
      <c r="T2391">
        <v>21836</v>
      </c>
      <c r="U2391">
        <v>21489</v>
      </c>
      <c r="V2391" t="s">
        <v>77</v>
      </c>
    </row>
    <row r="2392" spans="1:22">
      <c r="A2392" t="str">
        <f t="shared" si="432"/>
        <v>17/09/2025</v>
      </c>
      <c r="B2392" t="str">
        <f t="shared" si="435"/>
        <v>ENTRADA</v>
      </c>
      <c r="C2392" t="str">
        <f t="shared" si="436"/>
        <v>NFSE</v>
      </c>
      <c r="D2392" t="str">
        <f t="shared" si="428"/>
        <v>3336</v>
      </c>
      <c r="E2392" t="str">
        <f t="shared" si="437"/>
        <v>1</v>
      </c>
      <c r="F2392" t="str">
        <f t="shared" si="433"/>
        <v>COM</v>
      </c>
      <c r="G2392" t="str">
        <f t="shared" si="438"/>
        <v>FARMÁCIA INDIANA LJ 1 (10126)</v>
      </c>
      <c r="H2392" t="s">
        <v>616</v>
      </c>
      <c r="I2392" t="str">
        <f t="shared" si="434"/>
        <v>17/09/2025</v>
      </c>
      <c r="J2392" t="str">
        <f t="shared" si="431"/>
        <v>08/09/2025</v>
      </c>
      <c r="K2392">
        <v>45917</v>
      </c>
      <c r="N2392">
        <v>303</v>
      </c>
      <c r="O2392" t="s">
        <v>69</v>
      </c>
      <c r="Q2392">
        <v>963.77</v>
      </c>
      <c r="R2392" t="str">
        <f>"FARMÁCIA INDIANA LJ 185 (10141)"</f>
        <v>FARMÁCIA INDIANA LJ 185 (10141)</v>
      </c>
      <c r="S2392" t="s">
        <v>70</v>
      </c>
      <c r="T2392">
        <v>21836</v>
      </c>
      <c r="U2392">
        <v>21489</v>
      </c>
      <c r="V2392" t="s">
        <v>77</v>
      </c>
    </row>
    <row r="2393" spans="1:22">
      <c r="A2393" t="str">
        <f t="shared" si="432"/>
        <v>17/09/2025</v>
      </c>
      <c r="B2393" t="str">
        <f t="shared" si="435"/>
        <v>ENTRADA</v>
      </c>
      <c r="C2393" t="str">
        <f t="shared" si="436"/>
        <v>NFSE</v>
      </c>
      <c r="D2393" t="str">
        <f t="shared" si="428"/>
        <v>3336</v>
      </c>
      <c r="E2393" t="str">
        <f t="shared" si="437"/>
        <v>1</v>
      </c>
      <c r="F2393" t="str">
        <f t="shared" si="433"/>
        <v>COM</v>
      </c>
      <c r="G2393" t="str">
        <f t="shared" si="438"/>
        <v>FARMÁCIA INDIANA LJ 1 (10126)</v>
      </c>
      <c r="H2393" t="s">
        <v>616</v>
      </c>
      <c r="I2393" t="str">
        <f t="shared" si="434"/>
        <v>17/09/2025</v>
      </c>
      <c r="J2393" t="str">
        <f t="shared" si="431"/>
        <v>08/09/2025</v>
      </c>
      <c r="K2393">
        <v>45917</v>
      </c>
      <c r="N2393">
        <v>303</v>
      </c>
      <c r="O2393" t="s">
        <v>69</v>
      </c>
      <c r="Q2393">
        <v>963.77</v>
      </c>
      <c r="R2393" t="str">
        <f>"FARMÁCIA INDIANA LJ 205 (10150)"</f>
        <v>FARMÁCIA INDIANA LJ 205 (10150)</v>
      </c>
      <c r="S2393" t="s">
        <v>70</v>
      </c>
      <c r="T2393">
        <v>21836</v>
      </c>
      <c r="U2393">
        <v>21489</v>
      </c>
      <c r="V2393" t="s">
        <v>77</v>
      </c>
    </row>
    <row r="2394" spans="1:22">
      <c r="A2394" t="str">
        <f t="shared" si="432"/>
        <v>17/09/2025</v>
      </c>
      <c r="B2394" t="str">
        <f t="shared" si="435"/>
        <v>ENTRADA</v>
      </c>
      <c r="C2394" t="str">
        <f t="shared" si="436"/>
        <v>NFSE</v>
      </c>
      <c r="D2394" t="str">
        <f t="shared" si="428"/>
        <v>3336</v>
      </c>
      <c r="E2394" t="str">
        <f t="shared" si="437"/>
        <v>1</v>
      </c>
      <c r="F2394" t="str">
        <f t="shared" si="433"/>
        <v>COM</v>
      </c>
      <c r="G2394" t="str">
        <f t="shared" si="438"/>
        <v>FARMÁCIA INDIANA LJ 1 (10126)</v>
      </c>
      <c r="H2394" t="s">
        <v>616</v>
      </c>
      <c r="I2394" t="str">
        <f t="shared" si="434"/>
        <v>17/09/2025</v>
      </c>
      <c r="J2394" t="str">
        <f t="shared" si="431"/>
        <v>08/09/2025</v>
      </c>
      <c r="K2394">
        <v>45917</v>
      </c>
      <c r="N2394">
        <v>303</v>
      </c>
      <c r="O2394" t="s">
        <v>69</v>
      </c>
      <c r="Q2394">
        <v>5958.91</v>
      </c>
      <c r="R2394" t="str">
        <f>"FARMÁCIA INDIANA LJ 172 (10161)"</f>
        <v>FARMÁCIA INDIANA LJ 172 (10161)</v>
      </c>
      <c r="S2394" t="s">
        <v>70</v>
      </c>
      <c r="T2394">
        <v>21836</v>
      </c>
      <c r="U2394">
        <v>21489</v>
      </c>
      <c r="V2394" t="s">
        <v>77</v>
      </c>
    </row>
    <row r="2395" spans="1:22">
      <c r="A2395" t="str">
        <f t="shared" ref="A2395:A2426" si="439">("17/09/2025")</f>
        <v>17/09/2025</v>
      </c>
      <c r="B2395" t="str">
        <f t="shared" si="435"/>
        <v>ENTRADA</v>
      </c>
      <c r="C2395" t="str">
        <f t="shared" si="436"/>
        <v>NFSE</v>
      </c>
      <c r="D2395" t="str">
        <f t="shared" si="428"/>
        <v>3336</v>
      </c>
      <c r="E2395" t="str">
        <f t="shared" si="437"/>
        <v>1</v>
      </c>
      <c r="F2395" t="str">
        <f t="shared" si="433"/>
        <v>COM</v>
      </c>
      <c r="G2395" t="str">
        <f t="shared" si="438"/>
        <v>FARMÁCIA INDIANA LJ 1 (10126)</v>
      </c>
      <c r="H2395" t="s">
        <v>616</v>
      </c>
      <c r="I2395" t="str">
        <f t="shared" si="434"/>
        <v>17/09/2025</v>
      </c>
      <c r="J2395" t="str">
        <f t="shared" si="431"/>
        <v>08/09/2025</v>
      </c>
      <c r="K2395">
        <v>45917</v>
      </c>
      <c r="N2395">
        <v>303</v>
      </c>
      <c r="O2395" t="s">
        <v>69</v>
      </c>
      <c r="Q2395">
        <v>775.72</v>
      </c>
      <c r="R2395" t="str">
        <f>"FARMÁCIA INDIANA LJ 266 (10186)"</f>
        <v>FARMÁCIA INDIANA LJ 266 (10186)</v>
      </c>
      <c r="S2395" t="s">
        <v>70</v>
      </c>
      <c r="T2395">
        <v>21836</v>
      </c>
      <c r="U2395">
        <v>21489</v>
      </c>
      <c r="V2395" t="s">
        <v>77</v>
      </c>
    </row>
    <row r="2396" spans="1:22">
      <c r="A2396" t="str">
        <f t="shared" si="439"/>
        <v>17/09/2025</v>
      </c>
      <c r="B2396" t="str">
        <f t="shared" si="435"/>
        <v>ENTRADA</v>
      </c>
      <c r="C2396" t="str">
        <f t="shared" si="436"/>
        <v>NFSE</v>
      </c>
      <c r="D2396" t="str">
        <f>"3340"</f>
        <v>3340</v>
      </c>
      <c r="E2396" t="str">
        <f t="shared" si="437"/>
        <v>1</v>
      </c>
      <c r="F2396" t="str">
        <f t="shared" si="433"/>
        <v>COM</v>
      </c>
      <c r="G2396" t="str">
        <f t="shared" si="438"/>
        <v>FARMÁCIA INDIANA LJ 1 (10126)</v>
      </c>
      <c r="H2396" t="str">
        <f>"Serv.Prest. 01/09/2025 a 07/09/2025 - RPS: 1216 - NFSe: 3340"</f>
        <v>Serv.Prest. 01/09/2025 a 07/09/2025 - RPS: 1216 - NFSe: 3340</v>
      </c>
      <c r="I2396" t="str">
        <f t="shared" si="434"/>
        <v>17/09/2025</v>
      </c>
      <c r="J2396" t="str">
        <f>("09/09/2025")</f>
        <v>09/09/2025</v>
      </c>
      <c r="K2396" t="str">
        <f>("17/09/2025")</f>
        <v>17/09/2025</v>
      </c>
      <c r="L2396">
        <v>1461.6</v>
      </c>
      <c r="M2396">
        <v>1461.6</v>
      </c>
      <c r="N2396">
        <v>303</v>
      </c>
      <c r="O2396" t="str">
        <f>"RECEITAS COM ENTREGAS"</f>
        <v>RECEITAS COM ENTREGAS</v>
      </c>
      <c r="P2396">
        <v>1461.6</v>
      </c>
      <c r="S2396" t="str">
        <f>"RECEITAS COM ENTREGAS (303)"</f>
        <v>RECEITAS COM ENTREGAS (303)</v>
      </c>
      <c r="T2396">
        <v>21837</v>
      </c>
      <c r="U2396">
        <v>21632</v>
      </c>
      <c r="V2396" t="s">
        <v>77</v>
      </c>
    </row>
    <row r="2397" spans="1:22">
      <c r="A2397" t="str">
        <f t="shared" si="439"/>
        <v>17/09/2025</v>
      </c>
      <c r="B2397" t="str">
        <f t="shared" si="435"/>
        <v>ENTRADA</v>
      </c>
      <c r="C2397" t="str">
        <f t="shared" si="436"/>
        <v>NFSE</v>
      </c>
      <c r="D2397" t="str">
        <f>"3340"</f>
        <v>3340</v>
      </c>
      <c r="E2397" t="str">
        <f t="shared" si="437"/>
        <v>1</v>
      </c>
      <c r="F2397" t="str">
        <f t="shared" si="433"/>
        <v>COM</v>
      </c>
      <c r="G2397" t="str">
        <f t="shared" si="438"/>
        <v>FARMÁCIA INDIANA LJ 1 (10126)</v>
      </c>
      <c r="H2397" t="s">
        <v>617</v>
      </c>
      <c r="I2397" t="str">
        <f t="shared" si="434"/>
        <v>17/09/2025</v>
      </c>
      <c r="J2397" t="str">
        <f>("09/09/2025")</f>
        <v>09/09/2025</v>
      </c>
      <c r="K2397">
        <v>45917</v>
      </c>
      <c r="N2397">
        <v>303</v>
      </c>
      <c r="O2397" t="s">
        <v>69</v>
      </c>
      <c r="Q2397">
        <v>1461.6</v>
      </c>
      <c r="R2397" t="str">
        <f>"FARMÁCIA INDIANA LJ 18 (10011)"</f>
        <v>FARMÁCIA INDIANA LJ 18 (10011)</v>
      </c>
      <c r="S2397" t="s">
        <v>70</v>
      </c>
      <c r="T2397">
        <v>21837</v>
      </c>
      <c r="U2397">
        <v>21632</v>
      </c>
      <c r="V2397" t="s">
        <v>77</v>
      </c>
    </row>
    <row r="2398" spans="1:22">
      <c r="A2398" t="str">
        <f t="shared" si="439"/>
        <v>17/09/2025</v>
      </c>
      <c r="B2398" t="str">
        <f t="shared" si="435"/>
        <v>ENTRADA</v>
      </c>
      <c r="C2398" t="str">
        <f t="shared" si="436"/>
        <v>NFSE</v>
      </c>
      <c r="D2398" t="str">
        <f t="shared" ref="D2398:D2410" si="440">"3337"</f>
        <v>3337</v>
      </c>
      <c r="E2398" t="str">
        <f t="shared" si="437"/>
        <v>1</v>
      </c>
      <c r="F2398" t="str">
        <f t="shared" si="433"/>
        <v>COM</v>
      </c>
      <c r="G2398" t="str">
        <f t="shared" ref="G2398:G2410" si="441">"FARMÁCIA INDIANA LJ 30 (10127)"</f>
        <v>FARMÁCIA INDIANA LJ 30 (10127)</v>
      </c>
      <c r="H2398" t="str">
        <f>"Serv.Prest. 01/09/2025 a 07/09/2025 - RPS: 1213 - NFSe: 3337"</f>
        <v>Serv.Prest. 01/09/2025 a 07/09/2025 - RPS: 1213 - NFSe: 3337</v>
      </c>
      <c r="I2398" t="str">
        <f t="shared" si="434"/>
        <v>17/09/2025</v>
      </c>
      <c r="J2398" t="str">
        <f t="shared" ref="J2398:J2410" si="442">("08/09/2025")</f>
        <v>08/09/2025</v>
      </c>
      <c r="K2398" t="str">
        <f>("17/09/2025")</f>
        <v>17/09/2025</v>
      </c>
      <c r="L2398">
        <v>25491.58</v>
      </c>
      <c r="M2398">
        <v>25491.58</v>
      </c>
      <c r="N2398">
        <v>303</v>
      </c>
      <c r="O2398" t="str">
        <f>"RECEITAS COM ENTREGAS"</f>
        <v>RECEITAS COM ENTREGAS</v>
      </c>
      <c r="P2398">
        <v>25491.58</v>
      </c>
      <c r="S2398" t="str">
        <f>"RECEITAS COM ENTREGAS (303)"</f>
        <v>RECEITAS COM ENTREGAS (303)</v>
      </c>
      <c r="T2398">
        <v>21846</v>
      </c>
      <c r="U2398">
        <v>21592</v>
      </c>
      <c r="V2398" t="s">
        <v>77</v>
      </c>
    </row>
    <row r="2399" spans="1:22">
      <c r="A2399" t="str">
        <f t="shared" si="439"/>
        <v>17/09/2025</v>
      </c>
      <c r="B2399" t="str">
        <f t="shared" si="435"/>
        <v>ENTRADA</v>
      </c>
      <c r="C2399" t="str">
        <f t="shared" si="436"/>
        <v>NFSE</v>
      </c>
      <c r="D2399" t="str">
        <f t="shared" si="440"/>
        <v>3337</v>
      </c>
      <c r="E2399" t="str">
        <f t="shared" si="437"/>
        <v>1</v>
      </c>
      <c r="F2399" t="str">
        <f t="shared" si="433"/>
        <v>COM</v>
      </c>
      <c r="G2399" t="str">
        <f t="shared" si="441"/>
        <v>FARMÁCIA INDIANA LJ 30 (10127)</v>
      </c>
      <c r="H2399" t="s">
        <v>618</v>
      </c>
      <c r="I2399" t="str">
        <f t="shared" si="434"/>
        <v>17/09/2025</v>
      </c>
      <c r="J2399" t="str">
        <f t="shared" si="442"/>
        <v>08/09/2025</v>
      </c>
      <c r="K2399">
        <v>45917</v>
      </c>
      <c r="N2399">
        <v>303</v>
      </c>
      <c r="O2399" t="s">
        <v>69</v>
      </c>
      <c r="Q2399">
        <v>3117.61</v>
      </c>
      <c r="R2399" t="str">
        <f>"FARMÁCIA INDIANA LJ 34 (10014)"</f>
        <v>FARMÁCIA INDIANA LJ 34 (10014)</v>
      </c>
      <c r="S2399" t="s">
        <v>70</v>
      </c>
      <c r="T2399">
        <v>21846</v>
      </c>
      <c r="U2399">
        <v>21592</v>
      </c>
      <c r="V2399" t="s">
        <v>77</v>
      </c>
    </row>
    <row r="2400" spans="1:22">
      <c r="A2400" t="str">
        <f t="shared" si="439"/>
        <v>17/09/2025</v>
      </c>
      <c r="B2400" t="str">
        <f t="shared" si="435"/>
        <v>ENTRADA</v>
      </c>
      <c r="C2400" t="str">
        <f t="shared" si="436"/>
        <v>NFSE</v>
      </c>
      <c r="D2400" t="str">
        <f t="shared" si="440"/>
        <v>3337</v>
      </c>
      <c r="E2400" t="str">
        <f t="shared" si="437"/>
        <v>1</v>
      </c>
      <c r="F2400" t="str">
        <f t="shared" si="433"/>
        <v>COM</v>
      </c>
      <c r="G2400" t="str">
        <f t="shared" si="441"/>
        <v>FARMÁCIA INDIANA LJ 30 (10127)</v>
      </c>
      <c r="H2400" t="s">
        <v>618</v>
      </c>
      <c r="I2400" t="str">
        <f t="shared" si="434"/>
        <v>17/09/2025</v>
      </c>
      <c r="J2400" t="str">
        <f t="shared" si="442"/>
        <v>08/09/2025</v>
      </c>
      <c r="K2400">
        <v>45917</v>
      </c>
      <c r="N2400">
        <v>303</v>
      </c>
      <c r="O2400" t="s">
        <v>69</v>
      </c>
      <c r="Q2400">
        <v>1427.53</v>
      </c>
      <c r="R2400" t="str">
        <f>"FARMÁCIA INDIANA LJ 35 (10015)"</f>
        <v>FARMÁCIA INDIANA LJ 35 (10015)</v>
      </c>
      <c r="S2400" t="s">
        <v>70</v>
      </c>
      <c r="T2400">
        <v>21846</v>
      </c>
      <c r="U2400">
        <v>21592</v>
      </c>
      <c r="V2400" t="s">
        <v>77</v>
      </c>
    </row>
    <row r="2401" spans="1:22">
      <c r="A2401" t="str">
        <f t="shared" si="439"/>
        <v>17/09/2025</v>
      </c>
      <c r="B2401" t="str">
        <f t="shared" si="435"/>
        <v>ENTRADA</v>
      </c>
      <c r="C2401" t="str">
        <f t="shared" si="436"/>
        <v>NFSE</v>
      </c>
      <c r="D2401" t="str">
        <f t="shared" si="440"/>
        <v>3337</v>
      </c>
      <c r="E2401" t="str">
        <f t="shared" si="437"/>
        <v>1</v>
      </c>
      <c r="F2401" t="str">
        <f t="shared" si="433"/>
        <v>COM</v>
      </c>
      <c r="G2401" t="str">
        <f t="shared" si="441"/>
        <v>FARMÁCIA INDIANA LJ 30 (10127)</v>
      </c>
      <c r="H2401" t="s">
        <v>618</v>
      </c>
      <c r="I2401" t="str">
        <f t="shared" si="434"/>
        <v>17/09/2025</v>
      </c>
      <c r="J2401" t="str">
        <f t="shared" si="442"/>
        <v>08/09/2025</v>
      </c>
      <c r="K2401">
        <v>45917</v>
      </c>
      <c r="N2401">
        <v>303</v>
      </c>
      <c r="O2401" t="s">
        <v>69</v>
      </c>
      <c r="Q2401">
        <v>2666.42</v>
      </c>
      <c r="R2401" t="str">
        <f>"FARMÁCIA INDIANA LJ 48 (10018)"</f>
        <v>FARMÁCIA INDIANA LJ 48 (10018)</v>
      </c>
      <c r="S2401" t="s">
        <v>70</v>
      </c>
      <c r="T2401">
        <v>21846</v>
      </c>
      <c r="U2401">
        <v>21592</v>
      </c>
      <c r="V2401" t="s">
        <v>77</v>
      </c>
    </row>
    <row r="2402" spans="1:22">
      <c r="A2402" t="str">
        <f t="shared" si="439"/>
        <v>17/09/2025</v>
      </c>
      <c r="B2402" t="str">
        <f t="shared" si="435"/>
        <v>ENTRADA</v>
      </c>
      <c r="C2402" t="str">
        <f t="shared" si="436"/>
        <v>NFSE</v>
      </c>
      <c r="D2402" t="str">
        <f t="shared" si="440"/>
        <v>3337</v>
      </c>
      <c r="E2402" t="str">
        <f t="shared" si="437"/>
        <v>1</v>
      </c>
      <c r="F2402" t="str">
        <f t="shared" si="433"/>
        <v>COM</v>
      </c>
      <c r="G2402" t="str">
        <f t="shared" si="441"/>
        <v>FARMÁCIA INDIANA LJ 30 (10127)</v>
      </c>
      <c r="H2402" t="s">
        <v>618</v>
      </c>
      <c r="I2402" t="str">
        <f t="shared" si="434"/>
        <v>17/09/2025</v>
      </c>
      <c r="J2402" t="str">
        <f t="shared" si="442"/>
        <v>08/09/2025</v>
      </c>
      <c r="K2402">
        <v>45917</v>
      </c>
      <c r="N2402">
        <v>303</v>
      </c>
      <c r="O2402" t="s">
        <v>69</v>
      </c>
      <c r="Q2402">
        <v>3069.19</v>
      </c>
      <c r="R2402" t="str">
        <f>"FARMÁCIA INDIANA LJ 65 (10030)"</f>
        <v>FARMÁCIA INDIANA LJ 65 (10030)</v>
      </c>
      <c r="S2402" t="s">
        <v>70</v>
      </c>
      <c r="T2402">
        <v>21846</v>
      </c>
      <c r="U2402">
        <v>21592</v>
      </c>
      <c r="V2402" t="s">
        <v>77</v>
      </c>
    </row>
    <row r="2403" spans="1:22">
      <c r="A2403" t="str">
        <f t="shared" si="439"/>
        <v>17/09/2025</v>
      </c>
      <c r="B2403" t="str">
        <f t="shared" si="435"/>
        <v>ENTRADA</v>
      </c>
      <c r="C2403" t="str">
        <f t="shared" si="436"/>
        <v>NFSE</v>
      </c>
      <c r="D2403" t="str">
        <f t="shared" si="440"/>
        <v>3337</v>
      </c>
      <c r="E2403" t="str">
        <f t="shared" si="437"/>
        <v>1</v>
      </c>
      <c r="F2403" t="str">
        <f t="shared" si="433"/>
        <v>COM</v>
      </c>
      <c r="G2403" t="str">
        <f t="shared" si="441"/>
        <v>FARMÁCIA INDIANA LJ 30 (10127)</v>
      </c>
      <c r="H2403" t="s">
        <v>618</v>
      </c>
      <c r="I2403" t="str">
        <f t="shared" si="434"/>
        <v>17/09/2025</v>
      </c>
      <c r="J2403" t="str">
        <f t="shared" si="442"/>
        <v>08/09/2025</v>
      </c>
      <c r="K2403">
        <v>45917</v>
      </c>
      <c r="N2403">
        <v>303</v>
      </c>
      <c r="O2403" t="s">
        <v>69</v>
      </c>
      <c r="Q2403">
        <v>718.86</v>
      </c>
      <c r="R2403" t="str">
        <f>"FARMÁCIA INDIANA LJ 77 (10034)"</f>
        <v>FARMÁCIA INDIANA LJ 77 (10034)</v>
      </c>
      <c r="S2403" t="s">
        <v>70</v>
      </c>
      <c r="T2403">
        <v>21846</v>
      </c>
      <c r="U2403">
        <v>21592</v>
      </c>
      <c r="V2403" t="s">
        <v>77</v>
      </c>
    </row>
    <row r="2404" spans="1:22">
      <c r="A2404" t="str">
        <f t="shared" si="439"/>
        <v>17/09/2025</v>
      </c>
      <c r="B2404" t="str">
        <f t="shared" si="435"/>
        <v>ENTRADA</v>
      </c>
      <c r="C2404" t="str">
        <f t="shared" si="436"/>
        <v>NFSE</v>
      </c>
      <c r="D2404" t="str">
        <f t="shared" si="440"/>
        <v>3337</v>
      </c>
      <c r="E2404" t="str">
        <f t="shared" si="437"/>
        <v>1</v>
      </c>
      <c r="F2404" t="str">
        <f t="shared" si="433"/>
        <v>COM</v>
      </c>
      <c r="G2404" t="str">
        <f t="shared" si="441"/>
        <v>FARMÁCIA INDIANA LJ 30 (10127)</v>
      </c>
      <c r="H2404" t="s">
        <v>618</v>
      </c>
      <c r="I2404" t="str">
        <f t="shared" si="434"/>
        <v>17/09/2025</v>
      </c>
      <c r="J2404" t="str">
        <f t="shared" si="442"/>
        <v>08/09/2025</v>
      </c>
      <c r="K2404">
        <v>45917</v>
      </c>
      <c r="N2404">
        <v>303</v>
      </c>
      <c r="O2404" t="s">
        <v>69</v>
      </c>
      <c r="Q2404">
        <v>5256.36</v>
      </c>
      <c r="R2404" t="str">
        <f>"FARMÁCIA INDIANA LJ 91 (10037)"</f>
        <v>FARMÁCIA INDIANA LJ 91 (10037)</v>
      </c>
      <c r="S2404" t="s">
        <v>70</v>
      </c>
      <c r="T2404">
        <v>21846</v>
      </c>
      <c r="U2404">
        <v>21592</v>
      </c>
      <c r="V2404" t="s">
        <v>77</v>
      </c>
    </row>
    <row r="2405" spans="1:22">
      <c r="A2405" t="str">
        <f t="shared" si="439"/>
        <v>17/09/2025</v>
      </c>
      <c r="B2405" t="str">
        <f t="shared" si="435"/>
        <v>ENTRADA</v>
      </c>
      <c r="C2405" t="str">
        <f t="shared" si="436"/>
        <v>NFSE</v>
      </c>
      <c r="D2405" t="str">
        <f t="shared" si="440"/>
        <v>3337</v>
      </c>
      <c r="E2405" t="str">
        <f t="shared" si="437"/>
        <v>1</v>
      </c>
      <c r="F2405" t="str">
        <f t="shared" si="433"/>
        <v>COM</v>
      </c>
      <c r="G2405" t="str">
        <f t="shared" si="441"/>
        <v>FARMÁCIA INDIANA LJ 30 (10127)</v>
      </c>
      <c r="H2405" t="s">
        <v>618</v>
      </c>
      <c r="I2405" t="str">
        <f t="shared" si="434"/>
        <v>17/09/2025</v>
      </c>
      <c r="J2405" t="str">
        <f t="shared" si="442"/>
        <v>08/09/2025</v>
      </c>
      <c r="K2405">
        <v>45917</v>
      </c>
      <c r="N2405">
        <v>303</v>
      </c>
      <c r="O2405" t="s">
        <v>69</v>
      </c>
      <c r="Q2405">
        <v>2072.4699999999998</v>
      </c>
      <c r="R2405" t="str">
        <f>"FARMÁCIA INDIANA LJ 95 (10039)"</f>
        <v>FARMÁCIA INDIANA LJ 95 (10039)</v>
      </c>
      <c r="S2405" t="s">
        <v>70</v>
      </c>
      <c r="T2405">
        <v>21846</v>
      </c>
      <c r="U2405">
        <v>21592</v>
      </c>
      <c r="V2405" t="s">
        <v>77</v>
      </c>
    </row>
    <row r="2406" spans="1:22">
      <c r="A2406" t="str">
        <f t="shared" si="439"/>
        <v>17/09/2025</v>
      </c>
      <c r="B2406" t="str">
        <f t="shared" si="435"/>
        <v>ENTRADA</v>
      </c>
      <c r="C2406" t="str">
        <f t="shared" si="436"/>
        <v>NFSE</v>
      </c>
      <c r="D2406" t="str">
        <f t="shared" si="440"/>
        <v>3337</v>
      </c>
      <c r="E2406" t="str">
        <f t="shared" si="437"/>
        <v>1</v>
      </c>
      <c r="F2406" t="str">
        <f t="shared" si="433"/>
        <v>COM</v>
      </c>
      <c r="G2406" t="str">
        <f t="shared" si="441"/>
        <v>FARMÁCIA INDIANA LJ 30 (10127)</v>
      </c>
      <c r="H2406" t="s">
        <v>618</v>
      </c>
      <c r="I2406" t="str">
        <f t="shared" si="434"/>
        <v>17/09/2025</v>
      </c>
      <c r="J2406" t="str">
        <f t="shared" si="442"/>
        <v>08/09/2025</v>
      </c>
      <c r="K2406">
        <v>45917</v>
      </c>
      <c r="N2406">
        <v>303</v>
      </c>
      <c r="O2406" t="s">
        <v>69</v>
      </c>
      <c r="Q2406">
        <v>2526.2199999999998</v>
      </c>
      <c r="R2406" t="str">
        <f>"FARMÁCIA INDIANA LJ 145 (10068)"</f>
        <v>FARMÁCIA INDIANA LJ 145 (10068)</v>
      </c>
      <c r="S2406" t="s">
        <v>70</v>
      </c>
      <c r="T2406">
        <v>21846</v>
      </c>
      <c r="U2406">
        <v>21592</v>
      </c>
      <c r="V2406" t="s">
        <v>77</v>
      </c>
    </row>
    <row r="2407" spans="1:22">
      <c r="A2407" t="str">
        <f t="shared" si="439"/>
        <v>17/09/2025</v>
      </c>
      <c r="B2407" t="str">
        <f t="shared" si="435"/>
        <v>ENTRADA</v>
      </c>
      <c r="C2407" t="str">
        <f t="shared" si="436"/>
        <v>NFSE</v>
      </c>
      <c r="D2407" t="str">
        <f t="shared" si="440"/>
        <v>3337</v>
      </c>
      <c r="E2407" t="str">
        <f t="shared" si="437"/>
        <v>1</v>
      </c>
      <c r="F2407" t="str">
        <f t="shared" si="433"/>
        <v>COM</v>
      </c>
      <c r="G2407" t="str">
        <f t="shared" si="441"/>
        <v>FARMÁCIA INDIANA LJ 30 (10127)</v>
      </c>
      <c r="H2407" t="s">
        <v>618</v>
      </c>
      <c r="I2407" t="str">
        <f t="shared" si="434"/>
        <v>17/09/2025</v>
      </c>
      <c r="J2407" t="str">
        <f t="shared" si="442"/>
        <v>08/09/2025</v>
      </c>
      <c r="K2407">
        <v>45917</v>
      </c>
      <c r="N2407">
        <v>303</v>
      </c>
      <c r="O2407" t="s">
        <v>69</v>
      </c>
      <c r="Q2407">
        <v>920.25</v>
      </c>
      <c r="R2407" t="str">
        <f>"FARMÁCIA INDIANA LJ 169 (10073)"</f>
        <v>FARMÁCIA INDIANA LJ 169 (10073)</v>
      </c>
      <c r="S2407" t="s">
        <v>70</v>
      </c>
      <c r="T2407">
        <v>21846</v>
      </c>
      <c r="U2407">
        <v>21592</v>
      </c>
      <c r="V2407" t="s">
        <v>77</v>
      </c>
    </row>
    <row r="2408" spans="1:22">
      <c r="A2408" t="str">
        <f t="shared" si="439"/>
        <v>17/09/2025</v>
      </c>
      <c r="B2408" t="str">
        <f t="shared" si="435"/>
        <v>ENTRADA</v>
      </c>
      <c r="C2408" t="str">
        <f t="shared" si="436"/>
        <v>NFSE</v>
      </c>
      <c r="D2408" t="str">
        <f t="shared" si="440"/>
        <v>3337</v>
      </c>
      <c r="E2408" t="str">
        <f t="shared" si="437"/>
        <v>1</v>
      </c>
      <c r="F2408" t="str">
        <f t="shared" si="433"/>
        <v>COM</v>
      </c>
      <c r="G2408" t="str">
        <f t="shared" si="441"/>
        <v>FARMÁCIA INDIANA LJ 30 (10127)</v>
      </c>
      <c r="H2408" t="s">
        <v>618</v>
      </c>
      <c r="I2408" t="str">
        <f t="shared" si="434"/>
        <v>17/09/2025</v>
      </c>
      <c r="J2408" t="str">
        <f t="shared" si="442"/>
        <v>08/09/2025</v>
      </c>
      <c r="K2408">
        <v>45917</v>
      </c>
      <c r="N2408">
        <v>303</v>
      </c>
      <c r="O2408" t="s">
        <v>69</v>
      </c>
      <c r="Q2408">
        <v>1534.59</v>
      </c>
      <c r="R2408" t="str">
        <f>"FARMÁCIA INDIANA LJ 173 (10075)"</f>
        <v>FARMÁCIA INDIANA LJ 173 (10075)</v>
      </c>
      <c r="S2408" t="s">
        <v>70</v>
      </c>
      <c r="T2408">
        <v>21846</v>
      </c>
      <c r="U2408">
        <v>21592</v>
      </c>
      <c r="V2408" t="s">
        <v>77</v>
      </c>
    </row>
    <row r="2409" spans="1:22">
      <c r="A2409" t="str">
        <f t="shared" si="439"/>
        <v>17/09/2025</v>
      </c>
      <c r="B2409" t="str">
        <f t="shared" si="435"/>
        <v>ENTRADA</v>
      </c>
      <c r="C2409" t="str">
        <f t="shared" si="436"/>
        <v>NFSE</v>
      </c>
      <c r="D2409" t="str">
        <f t="shared" si="440"/>
        <v>3337</v>
      </c>
      <c r="E2409" t="str">
        <f t="shared" si="437"/>
        <v>1</v>
      </c>
      <c r="F2409" t="str">
        <f t="shared" si="433"/>
        <v>COM</v>
      </c>
      <c r="G2409" t="str">
        <f t="shared" si="441"/>
        <v>FARMÁCIA INDIANA LJ 30 (10127)</v>
      </c>
      <c r="H2409" t="s">
        <v>618</v>
      </c>
      <c r="I2409" t="str">
        <f t="shared" si="434"/>
        <v>17/09/2025</v>
      </c>
      <c r="J2409" t="str">
        <f t="shared" si="442"/>
        <v>08/09/2025</v>
      </c>
      <c r="K2409">
        <v>45917</v>
      </c>
      <c r="N2409">
        <v>303</v>
      </c>
      <c r="O2409" t="s">
        <v>69</v>
      </c>
      <c r="Q2409">
        <v>1142.02</v>
      </c>
      <c r="R2409" t="str">
        <f>"FARMÁCIA INDIANA LJ 200 (10155)"</f>
        <v>FARMÁCIA INDIANA LJ 200 (10155)</v>
      </c>
      <c r="S2409" t="s">
        <v>70</v>
      </c>
      <c r="T2409">
        <v>21846</v>
      </c>
      <c r="U2409">
        <v>21592</v>
      </c>
      <c r="V2409" t="s">
        <v>77</v>
      </c>
    </row>
    <row r="2410" spans="1:22">
      <c r="A2410" t="str">
        <f t="shared" si="439"/>
        <v>17/09/2025</v>
      </c>
      <c r="B2410" t="str">
        <f t="shared" si="435"/>
        <v>ENTRADA</v>
      </c>
      <c r="C2410" t="str">
        <f t="shared" si="436"/>
        <v>NFSE</v>
      </c>
      <c r="D2410" t="str">
        <f t="shared" si="440"/>
        <v>3337</v>
      </c>
      <c r="E2410" t="str">
        <f t="shared" si="437"/>
        <v>1</v>
      </c>
      <c r="F2410" t="str">
        <f t="shared" si="433"/>
        <v>COM</v>
      </c>
      <c r="G2410" t="str">
        <f t="shared" si="441"/>
        <v>FARMÁCIA INDIANA LJ 30 (10127)</v>
      </c>
      <c r="H2410" t="s">
        <v>618</v>
      </c>
      <c r="I2410" t="str">
        <f t="shared" ref="I2410:I2440" si="443">("17/09/2025")</f>
        <v>17/09/2025</v>
      </c>
      <c r="J2410" t="str">
        <f t="shared" si="442"/>
        <v>08/09/2025</v>
      </c>
      <c r="K2410">
        <v>45917</v>
      </c>
      <c r="N2410">
        <v>303</v>
      </c>
      <c r="O2410" t="s">
        <v>69</v>
      </c>
      <c r="Q2410">
        <v>1040.06</v>
      </c>
      <c r="R2410" t="str">
        <f>"FARMÁCIA INDIANA LJ 33 (10187)"</f>
        <v>FARMÁCIA INDIANA LJ 33 (10187)</v>
      </c>
      <c r="S2410" t="s">
        <v>70</v>
      </c>
      <c r="T2410">
        <v>21846</v>
      </c>
      <c r="U2410">
        <v>21592</v>
      </c>
      <c r="V2410" t="s">
        <v>77</v>
      </c>
    </row>
    <row r="2411" spans="1:22">
      <c r="A2411" t="str">
        <f t="shared" si="439"/>
        <v>17/09/2025</v>
      </c>
      <c r="B2411" t="str">
        <f t="shared" si="435"/>
        <v>ENTRADA</v>
      </c>
      <c r="C2411" t="str">
        <f t="shared" si="436"/>
        <v>NFSE</v>
      </c>
      <c r="D2411" t="str">
        <f t="shared" ref="D2411:D2421" si="444">"3338"</f>
        <v>3338</v>
      </c>
      <c r="E2411" t="str">
        <f t="shared" si="437"/>
        <v>1</v>
      </c>
      <c r="F2411" t="str">
        <f t="shared" si="433"/>
        <v>COM</v>
      </c>
      <c r="G2411" t="str">
        <f t="shared" ref="G2411:G2421" si="445">"FARMÁCIA INDIANA LJ 85 (10128)"</f>
        <v>FARMÁCIA INDIANA LJ 85 (10128)</v>
      </c>
      <c r="H2411" t="str">
        <f>"Serv.Prest. 01/09/2025 a 07/09/2025 - RPS: 1214 - NFSe: 3338"</f>
        <v>Serv.Prest. 01/09/2025 a 07/09/2025 - RPS: 1214 - NFSe: 3338</v>
      </c>
      <c r="I2411" t="str">
        <f t="shared" si="443"/>
        <v>17/09/2025</v>
      </c>
      <c r="J2411" t="str">
        <f t="shared" ref="J2411:J2421" si="446">("09/09/2025")</f>
        <v>09/09/2025</v>
      </c>
      <c r="K2411" t="str">
        <f>("17/09/2025")</f>
        <v>17/09/2025</v>
      </c>
      <c r="L2411">
        <v>11439.53</v>
      </c>
      <c r="M2411">
        <v>11439.53</v>
      </c>
      <c r="N2411">
        <v>303</v>
      </c>
      <c r="O2411" t="str">
        <f>"RECEITAS COM ENTREGAS"</f>
        <v>RECEITAS COM ENTREGAS</v>
      </c>
      <c r="P2411">
        <v>11439.53</v>
      </c>
      <c r="S2411" t="str">
        <f>"RECEITAS COM ENTREGAS (303)"</f>
        <v>RECEITAS COM ENTREGAS (303)</v>
      </c>
      <c r="T2411">
        <v>21847</v>
      </c>
      <c r="U2411">
        <v>21620</v>
      </c>
      <c r="V2411" t="s">
        <v>77</v>
      </c>
    </row>
    <row r="2412" spans="1:22">
      <c r="A2412" t="str">
        <f t="shared" si="439"/>
        <v>17/09/2025</v>
      </c>
      <c r="B2412" t="str">
        <f t="shared" ref="B2412:B2436" si="447">"ENTRADA"</f>
        <v>ENTRADA</v>
      </c>
      <c r="C2412" t="str">
        <f t="shared" ref="C2412:C2436" si="448">"NFSE"</f>
        <v>NFSE</v>
      </c>
      <c r="D2412" t="str">
        <f t="shared" si="444"/>
        <v>3338</v>
      </c>
      <c r="E2412" t="str">
        <f t="shared" ref="E2412:E2436" si="449">"1"</f>
        <v>1</v>
      </c>
      <c r="F2412" t="str">
        <f t="shared" si="433"/>
        <v>COM</v>
      </c>
      <c r="G2412" t="str">
        <f t="shared" si="445"/>
        <v>FARMÁCIA INDIANA LJ 85 (10128)</v>
      </c>
      <c r="H2412" t="s">
        <v>619</v>
      </c>
      <c r="I2412" t="str">
        <f t="shared" si="443"/>
        <v>17/09/2025</v>
      </c>
      <c r="J2412" t="str">
        <f t="shared" si="446"/>
        <v>09/09/2025</v>
      </c>
      <c r="K2412">
        <v>45917</v>
      </c>
      <c r="N2412">
        <v>303</v>
      </c>
      <c r="O2412" t="s">
        <v>69</v>
      </c>
      <c r="Q2412">
        <v>907.15</v>
      </c>
      <c r="R2412" t="str">
        <f>"FARMÁCIA INDIANA LJ 119 (10053)"</f>
        <v>FARMÁCIA INDIANA LJ 119 (10053)</v>
      </c>
      <c r="S2412" t="s">
        <v>70</v>
      </c>
      <c r="T2412">
        <v>21847</v>
      </c>
      <c r="U2412">
        <v>21620</v>
      </c>
      <c r="V2412" t="s">
        <v>77</v>
      </c>
    </row>
    <row r="2413" spans="1:22">
      <c r="A2413" t="str">
        <f t="shared" si="439"/>
        <v>17/09/2025</v>
      </c>
      <c r="B2413" t="str">
        <f t="shared" si="447"/>
        <v>ENTRADA</v>
      </c>
      <c r="C2413" t="str">
        <f t="shared" si="448"/>
        <v>NFSE</v>
      </c>
      <c r="D2413" t="str">
        <f t="shared" si="444"/>
        <v>3338</v>
      </c>
      <c r="E2413" t="str">
        <f t="shared" si="449"/>
        <v>1</v>
      </c>
      <c r="F2413" t="str">
        <f t="shared" si="433"/>
        <v>COM</v>
      </c>
      <c r="G2413" t="str">
        <f t="shared" si="445"/>
        <v>FARMÁCIA INDIANA LJ 85 (10128)</v>
      </c>
      <c r="H2413" t="s">
        <v>619</v>
      </c>
      <c r="I2413" t="str">
        <f t="shared" si="443"/>
        <v>17/09/2025</v>
      </c>
      <c r="J2413" t="str">
        <f t="shared" si="446"/>
        <v>09/09/2025</v>
      </c>
      <c r="K2413">
        <v>45917</v>
      </c>
      <c r="N2413">
        <v>303</v>
      </c>
      <c r="O2413" t="s">
        <v>69</v>
      </c>
      <c r="Q2413">
        <v>3672.09</v>
      </c>
      <c r="R2413" t="str">
        <f>"FARMÁCIA INDIANA LJ 163 (10072)"</f>
        <v>FARMÁCIA INDIANA LJ 163 (10072)</v>
      </c>
      <c r="S2413" t="s">
        <v>70</v>
      </c>
      <c r="T2413">
        <v>21847</v>
      </c>
      <c r="U2413">
        <v>21620</v>
      </c>
      <c r="V2413" t="s">
        <v>77</v>
      </c>
    </row>
    <row r="2414" spans="1:22">
      <c r="A2414" t="str">
        <f t="shared" si="439"/>
        <v>17/09/2025</v>
      </c>
      <c r="B2414" t="str">
        <f t="shared" si="447"/>
        <v>ENTRADA</v>
      </c>
      <c r="C2414" t="str">
        <f t="shared" si="448"/>
        <v>NFSE</v>
      </c>
      <c r="D2414" t="str">
        <f t="shared" si="444"/>
        <v>3338</v>
      </c>
      <c r="E2414" t="str">
        <f t="shared" si="449"/>
        <v>1</v>
      </c>
      <c r="F2414" t="str">
        <f t="shared" si="433"/>
        <v>COM</v>
      </c>
      <c r="G2414" t="str">
        <f t="shared" si="445"/>
        <v>FARMÁCIA INDIANA LJ 85 (10128)</v>
      </c>
      <c r="H2414" t="s">
        <v>619</v>
      </c>
      <c r="I2414" t="str">
        <f t="shared" si="443"/>
        <v>17/09/2025</v>
      </c>
      <c r="J2414" t="str">
        <f t="shared" si="446"/>
        <v>09/09/2025</v>
      </c>
      <c r="K2414">
        <v>45917</v>
      </c>
      <c r="N2414">
        <v>303</v>
      </c>
      <c r="O2414" t="s">
        <v>69</v>
      </c>
      <c r="Q2414">
        <v>1637</v>
      </c>
      <c r="R2414" t="str">
        <f>"FARMÁCIA INDIANA LJ 181 (10078)"</f>
        <v>FARMÁCIA INDIANA LJ 181 (10078)</v>
      </c>
      <c r="S2414" t="s">
        <v>70</v>
      </c>
      <c r="T2414">
        <v>21847</v>
      </c>
      <c r="U2414">
        <v>21620</v>
      </c>
      <c r="V2414" t="s">
        <v>77</v>
      </c>
    </row>
    <row r="2415" spans="1:22">
      <c r="A2415" t="str">
        <f t="shared" si="439"/>
        <v>17/09/2025</v>
      </c>
      <c r="B2415" t="str">
        <f t="shared" si="447"/>
        <v>ENTRADA</v>
      </c>
      <c r="C2415" t="str">
        <f t="shared" si="448"/>
        <v>NFSE</v>
      </c>
      <c r="D2415" t="str">
        <f t="shared" si="444"/>
        <v>3338</v>
      </c>
      <c r="E2415" t="str">
        <f t="shared" si="449"/>
        <v>1</v>
      </c>
      <c r="F2415" t="str">
        <f t="shared" si="433"/>
        <v>COM</v>
      </c>
      <c r="G2415" t="str">
        <f t="shared" si="445"/>
        <v>FARMÁCIA INDIANA LJ 85 (10128)</v>
      </c>
      <c r="H2415" t="s">
        <v>619</v>
      </c>
      <c r="I2415" t="str">
        <f t="shared" si="443"/>
        <v>17/09/2025</v>
      </c>
      <c r="J2415" t="str">
        <f t="shared" si="446"/>
        <v>09/09/2025</v>
      </c>
      <c r="K2415">
        <v>45917</v>
      </c>
      <c r="N2415">
        <v>303</v>
      </c>
      <c r="O2415" t="s">
        <v>69</v>
      </c>
      <c r="Q2415">
        <v>906.01</v>
      </c>
      <c r="R2415" t="str">
        <f>"FARMÁCIA INDIANA LJ 221 (10093)"</f>
        <v>FARMÁCIA INDIANA LJ 221 (10093)</v>
      </c>
      <c r="S2415" t="s">
        <v>70</v>
      </c>
      <c r="T2415">
        <v>21847</v>
      </c>
      <c r="U2415">
        <v>21620</v>
      </c>
      <c r="V2415" t="s">
        <v>77</v>
      </c>
    </row>
    <row r="2416" spans="1:22">
      <c r="A2416" t="str">
        <f t="shared" si="439"/>
        <v>17/09/2025</v>
      </c>
      <c r="B2416" t="str">
        <f t="shared" si="447"/>
        <v>ENTRADA</v>
      </c>
      <c r="C2416" t="str">
        <f t="shared" si="448"/>
        <v>NFSE</v>
      </c>
      <c r="D2416" t="str">
        <f t="shared" si="444"/>
        <v>3338</v>
      </c>
      <c r="E2416" t="str">
        <f t="shared" si="449"/>
        <v>1</v>
      </c>
      <c r="F2416" t="str">
        <f t="shared" si="433"/>
        <v>COM</v>
      </c>
      <c r="G2416" t="str">
        <f t="shared" si="445"/>
        <v>FARMÁCIA INDIANA LJ 85 (10128)</v>
      </c>
      <c r="H2416" t="s">
        <v>619</v>
      </c>
      <c r="I2416" t="str">
        <f t="shared" si="443"/>
        <v>17/09/2025</v>
      </c>
      <c r="J2416" t="str">
        <f t="shared" si="446"/>
        <v>09/09/2025</v>
      </c>
      <c r="K2416">
        <v>45917</v>
      </c>
      <c r="N2416">
        <v>303</v>
      </c>
      <c r="O2416" t="s">
        <v>69</v>
      </c>
      <c r="Q2416">
        <v>1021.55</v>
      </c>
      <c r="R2416" t="str">
        <f>"FARMÁCIA INDIANA LJ 243 (10142)"</f>
        <v>FARMÁCIA INDIANA LJ 243 (10142)</v>
      </c>
      <c r="S2416" t="s">
        <v>70</v>
      </c>
      <c r="T2416">
        <v>21847</v>
      </c>
      <c r="U2416">
        <v>21620</v>
      </c>
      <c r="V2416" t="s">
        <v>77</v>
      </c>
    </row>
    <row r="2417" spans="1:22">
      <c r="A2417" t="str">
        <f t="shared" si="439"/>
        <v>17/09/2025</v>
      </c>
      <c r="B2417" t="str">
        <f t="shared" si="447"/>
        <v>ENTRADA</v>
      </c>
      <c r="C2417" t="str">
        <f t="shared" si="448"/>
        <v>NFSE</v>
      </c>
      <c r="D2417" t="str">
        <f t="shared" si="444"/>
        <v>3338</v>
      </c>
      <c r="E2417" t="str">
        <f t="shared" si="449"/>
        <v>1</v>
      </c>
      <c r="F2417" t="str">
        <f t="shared" si="433"/>
        <v>COM</v>
      </c>
      <c r="G2417" t="str">
        <f t="shared" si="445"/>
        <v>FARMÁCIA INDIANA LJ 85 (10128)</v>
      </c>
      <c r="H2417" t="s">
        <v>619</v>
      </c>
      <c r="I2417" t="str">
        <f t="shared" si="443"/>
        <v>17/09/2025</v>
      </c>
      <c r="J2417" t="str">
        <f t="shared" si="446"/>
        <v>09/09/2025</v>
      </c>
      <c r="K2417">
        <v>45917</v>
      </c>
      <c r="N2417">
        <v>303</v>
      </c>
      <c r="O2417" t="s">
        <v>69</v>
      </c>
      <c r="Q2417">
        <v>482.75</v>
      </c>
      <c r="R2417" t="str">
        <f>"FARMÁCIA INDIANA LJ 211 (10168)"</f>
        <v>FARMÁCIA INDIANA LJ 211 (10168)</v>
      </c>
      <c r="S2417" t="s">
        <v>70</v>
      </c>
      <c r="T2417">
        <v>21847</v>
      </c>
      <c r="U2417">
        <v>21620</v>
      </c>
      <c r="V2417" t="s">
        <v>77</v>
      </c>
    </row>
    <row r="2418" spans="1:22">
      <c r="A2418" t="str">
        <f t="shared" si="439"/>
        <v>17/09/2025</v>
      </c>
      <c r="B2418" t="str">
        <f t="shared" si="447"/>
        <v>ENTRADA</v>
      </c>
      <c r="C2418" t="str">
        <f t="shared" si="448"/>
        <v>NFSE</v>
      </c>
      <c r="D2418" t="str">
        <f t="shared" si="444"/>
        <v>3338</v>
      </c>
      <c r="E2418" t="str">
        <f t="shared" si="449"/>
        <v>1</v>
      </c>
      <c r="F2418" t="str">
        <f t="shared" si="433"/>
        <v>COM</v>
      </c>
      <c r="G2418" t="str">
        <f t="shared" si="445"/>
        <v>FARMÁCIA INDIANA LJ 85 (10128)</v>
      </c>
      <c r="H2418" t="s">
        <v>619</v>
      </c>
      <c r="I2418" t="str">
        <f t="shared" si="443"/>
        <v>17/09/2025</v>
      </c>
      <c r="J2418" t="str">
        <f t="shared" si="446"/>
        <v>09/09/2025</v>
      </c>
      <c r="K2418">
        <v>45917</v>
      </c>
      <c r="N2418">
        <v>303</v>
      </c>
      <c r="O2418" t="s">
        <v>69</v>
      </c>
      <c r="Q2418">
        <v>482.75</v>
      </c>
      <c r="R2418" t="str">
        <f>"FARMÁCIA INDIANA LJ 236 (10169)"</f>
        <v>FARMÁCIA INDIANA LJ 236 (10169)</v>
      </c>
      <c r="S2418" t="s">
        <v>70</v>
      </c>
      <c r="T2418">
        <v>21847</v>
      </c>
      <c r="U2418">
        <v>21620</v>
      </c>
      <c r="V2418" t="s">
        <v>77</v>
      </c>
    </row>
    <row r="2419" spans="1:22">
      <c r="A2419" t="str">
        <f t="shared" si="439"/>
        <v>17/09/2025</v>
      </c>
      <c r="B2419" t="str">
        <f t="shared" si="447"/>
        <v>ENTRADA</v>
      </c>
      <c r="C2419" t="str">
        <f t="shared" si="448"/>
        <v>NFSE</v>
      </c>
      <c r="D2419" t="str">
        <f t="shared" si="444"/>
        <v>3338</v>
      </c>
      <c r="E2419" t="str">
        <f t="shared" si="449"/>
        <v>1</v>
      </c>
      <c r="F2419" t="str">
        <f t="shared" si="433"/>
        <v>COM</v>
      </c>
      <c r="G2419" t="str">
        <f t="shared" si="445"/>
        <v>FARMÁCIA INDIANA LJ 85 (10128)</v>
      </c>
      <c r="H2419" t="s">
        <v>619</v>
      </c>
      <c r="I2419" t="str">
        <f t="shared" si="443"/>
        <v>17/09/2025</v>
      </c>
      <c r="J2419" t="str">
        <f t="shared" si="446"/>
        <v>09/09/2025</v>
      </c>
      <c r="K2419">
        <v>45917</v>
      </c>
      <c r="N2419">
        <v>303</v>
      </c>
      <c r="O2419" t="s">
        <v>69</v>
      </c>
      <c r="Q2419">
        <v>964.35</v>
      </c>
      <c r="R2419" t="str">
        <f>"FARMÁCIA INDIANA LJ 188 (10176)"</f>
        <v>FARMÁCIA INDIANA LJ 188 (10176)</v>
      </c>
      <c r="S2419" t="s">
        <v>70</v>
      </c>
      <c r="T2419">
        <v>21847</v>
      </c>
      <c r="U2419">
        <v>21620</v>
      </c>
      <c r="V2419" t="s">
        <v>77</v>
      </c>
    </row>
    <row r="2420" spans="1:22">
      <c r="A2420" t="str">
        <f t="shared" si="439"/>
        <v>17/09/2025</v>
      </c>
      <c r="B2420" t="str">
        <f t="shared" si="447"/>
        <v>ENTRADA</v>
      </c>
      <c r="C2420" t="str">
        <f t="shared" si="448"/>
        <v>NFSE</v>
      </c>
      <c r="D2420" t="str">
        <f t="shared" si="444"/>
        <v>3338</v>
      </c>
      <c r="E2420" t="str">
        <f t="shared" si="449"/>
        <v>1</v>
      </c>
      <c r="F2420" t="str">
        <f t="shared" si="433"/>
        <v>COM</v>
      </c>
      <c r="G2420" t="str">
        <f t="shared" si="445"/>
        <v>FARMÁCIA INDIANA LJ 85 (10128)</v>
      </c>
      <c r="H2420" t="s">
        <v>619</v>
      </c>
      <c r="I2420" t="str">
        <f t="shared" si="443"/>
        <v>17/09/2025</v>
      </c>
      <c r="J2420" t="str">
        <f t="shared" si="446"/>
        <v>09/09/2025</v>
      </c>
      <c r="K2420">
        <v>45917</v>
      </c>
      <c r="N2420">
        <v>303</v>
      </c>
      <c r="O2420" t="s">
        <v>69</v>
      </c>
      <c r="Q2420">
        <v>1214.8800000000001</v>
      </c>
      <c r="R2420" t="str">
        <f>"FARMÁCIA INDIANA LJ 273 (10188)"</f>
        <v>FARMÁCIA INDIANA LJ 273 (10188)</v>
      </c>
      <c r="S2420" t="s">
        <v>70</v>
      </c>
      <c r="T2420">
        <v>21847</v>
      </c>
      <c r="U2420">
        <v>21620</v>
      </c>
      <c r="V2420" t="s">
        <v>77</v>
      </c>
    </row>
    <row r="2421" spans="1:22">
      <c r="A2421" t="str">
        <f t="shared" si="439"/>
        <v>17/09/2025</v>
      </c>
      <c r="B2421" t="str">
        <f t="shared" si="447"/>
        <v>ENTRADA</v>
      </c>
      <c r="C2421" t="str">
        <f t="shared" si="448"/>
        <v>NFSE</v>
      </c>
      <c r="D2421" t="str">
        <f t="shared" si="444"/>
        <v>3338</v>
      </c>
      <c r="E2421" t="str">
        <f t="shared" si="449"/>
        <v>1</v>
      </c>
      <c r="F2421" t="str">
        <f t="shared" si="433"/>
        <v>COM</v>
      </c>
      <c r="G2421" t="str">
        <f t="shared" si="445"/>
        <v>FARMÁCIA INDIANA LJ 85 (10128)</v>
      </c>
      <c r="H2421" t="s">
        <v>619</v>
      </c>
      <c r="I2421" t="str">
        <f t="shared" si="443"/>
        <v>17/09/2025</v>
      </c>
      <c r="J2421" t="str">
        <f t="shared" si="446"/>
        <v>09/09/2025</v>
      </c>
      <c r="K2421">
        <v>45917</v>
      </c>
      <c r="N2421">
        <v>303</v>
      </c>
      <c r="O2421" t="s">
        <v>69</v>
      </c>
      <c r="Q2421">
        <v>151</v>
      </c>
      <c r="R2421" t="str">
        <f>"FARMÁCIA INDIANA LJ 235 (10190)"</f>
        <v>FARMÁCIA INDIANA LJ 235 (10190)</v>
      </c>
      <c r="S2421" t="s">
        <v>70</v>
      </c>
      <c r="T2421">
        <v>21847</v>
      </c>
      <c r="U2421">
        <v>21620</v>
      </c>
      <c r="V2421" t="s">
        <v>77</v>
      </c>
    </row>
    <row r="2422" spans="1:22">
      <c r="A2422" t="str">
        <f t="shared" si="439"/>
        <v>17/09/2025</v>
      </c>
      <c r="B2422" t="str">
        <f t="shared" si="447"/>
        <v>ENTRADA</v>
      </c>
      <c r="C2422" t="str">
        <f t="shared" si="448"/>
        <v>NFSE</v>
      </c>
      <c r="D2422" t="str">
        <f>"3350"</f>
        <v>3350</v>
      </c>
      <c r="E2422" t="str">
        <f t="shared" si="449"/>
        <v>1</v>
      </c>
      <c r="F2422" t="str">
        <f t="shared" si="433"/>
        <v>COM</v>
      </c>
      <c r="G2422" t="str">
        <f>"DROGARIA TOTAL JUNDIAI (10177)"</f>
        <v>DROGARIA TOTAL JUNDIAI (10177)</v>
      </c>
      <c r="H2422" t="str">
        <f>"Serv.Prest. 08/09/2025 a 14/09/2025 - RPS: 1226 - NFSe: 3350"</f>
        <v>Serv.Prest. 08/09/2025 a 14/09/2025 - RPS: 1226 - NFSe: 3350</v>
      </c>
      <c r="I2422" t="str">
        <f t="shared" si="443"/>
        <v>17/09/2025</v>
      </c>
      <c r="J2422" t="str">
        <f t="shared" ref="J2422:J2431" si="450">("15/09/2025")</f>
        <v>15/09/2025</v>
      </c>
      <c r="K2422" t="str">
        <f>("17/09/2025")</f>
        <v>17/09/2025</v>
      </c>
      <c r="L2422">
        <v>902.42</v>
      </c>
      <c r="M2422">
        <v>902.42</v>
      </c>
      <c r="N2422">
        <v>303</v>
      </c>
      <c r="O2422" t="str">
        <f>"RECEITAS COM ENTREGAS"</f>
        <v>RECEITAS COM ENTREGAS</v>
      </c>
      <c r="P2422">
        <v>902.42</v>
      </c>
      <c r="S2422" t="str">
        <f>"RECEITAS COM ENTREGAS (303)"</f>
        <v>RECEITAS COM ENTREGAS (303)</v>
      </c>
      <c r="T2422">
        <v>22227</v>
      </c>
      <c r="U2422">
        <v>21964</v>
      </c>
      <c r="V2422" t="s">
        <v>22</v>
      </c>
    </row>
    <row r="2423" spans="1:22">
      <c r="A2423" t="str">
        <f t="shared" si="439"/>
        <v>17/09/2025</v>
      </c>
      <c r="B2423" t="str">
        <f t="shared" si="447"/>
        <v>ENTRADA</v>
      </c>
      <c r="C2423" t="str">
        <f t="shared" si="448"/>
        <v>NFSE</v>
      </c>
      <c r="D2423" t="str">
        <f>"3350"</f>
        <v>3350</v>
      </c>
      <c r="E2423" t="str">
        <f t="shared" si="449"/>
        <v>1</v>
      </c>
      <c r="F2423" t="str">
        <f t="shared" si="433"/>
        <v>COM</v>
      </c>
      <c r="G2423" t="str">
        <f>"DROGARIA TOTAL JUNDIAI (10177)"</f>
        <v>DROGARIA TOTAL JUNDIAI (10177)</v>
      </c>
      <c r="H2423" t="s">
        <v>620</v>
      </c>
      <c r="I2423" t="str">
        <f t="shared" si="443"/>
        <v>17/09/2025</v>
      </c>
      <c r="J2423" t="str">
        <f t="shared" si="450"/>
        <v>15/09/2025</v>
      </c>
      <c r="K2423">
        <v>45917</v>
      </c>
      <c r="N2423">
        <v>303</v>
      </c>
      <c r="O2423" t="s">
        <v>69</v>
      </c>
      <c r="Q2423">
        <v>902.42</v>
      </c>
      <c r="R2423" t="str">
        <f>"DROGARIA TOTAL JUNDIAI (10177)"</f>
        <v>DROGARIA TOTAL JUNDIAI (10177)</v>
      </c>
      <c r="S2423" t="s">
        <v>70</v>
      </c>
      <c r="T2423">
        <v>22227</v>
      </c>
      <c r="U2423">
        <v>21964</v>
      </c>
      <c r="V2423" t="s">
        <v>22</v>
      </c>
    </row>
    <row r="2424" spans="1:22">
      <c r="A2424" t="str">
        <f t="shared" si="439"/>
        <v>17/09/2025</v>
      </c>
      <c r="B2424" t="str">
        <f t="shared" si="447"/>
        <v>ENTRADA</v>
      </c>
      <c r="C2424" t="str">
        <f t="shared" si="448"/>
        <v>NFSE</v>
      </c>
      <c r="D2424" t="str">
        <f>"3363"</f>
        <v>3363</v>
      </c>
      <c r="E2424" t="str">
        <f t="shared" si="449"/>
        <v>1</v>
      </c>
      <c r="F2424" t="str">
        <f t="shared" si="433"/>
        <v>COM</v>
      </c>
      <c r="G2424" t="str">
        <f>"DROGARIA MEDIC CENTER LTDA (10172)"</f>
        <v>DROGARIA MEDIC CENTER LTDA (10172)</v>
      </c>
      <c r="H2424" t="str">
        <f>"Serv.Prest. 08/09/2025 a 14/09/2025 - RPS: 1239 - NFSe: 3363"</f>
        <v>Serv.Prest. 08/09/2025 a 14/09/2025 - RPS: 1239 - NFSe: 3363</v>
      </c>
      <c r="I2424" t="str">
        <f t="shared" si="443"/>
        <v>17/09/2025</v>
      </c>
      <c r="J2424" t="str">
        <f t="shared" si="450"/>
        <v>15/09/2025</v>
      </c>
      <c r="K2424" t="str">
        <f>("17/09/2025")</f>
        <v>17/09/2025</v>
      </c>
      <c r="L2424">
        <v>1709.1</v>
      </c>
      <c r="M2424">
        <v>1709.1</v>
      </c>
      <c r="N2424">
        <v>303</v>
      </c>
      <c r="O2424" t="str">
        <f>"RECEITAS COM ENTREGAS"</f>
        <v>RECEITAS COM ENTREGAS</v>
      </c>
      <c r="P2424">
        <v>1709.1</v>
      </c>
      <c r="S2424" t="str">
        <f>"RECEITAS COM ENTREGAS (303)"</f>
        <v>RECEITAS COM ENTREGAS (303)</v>
      </c>
      <c r="T2424">
        <v>22228</v>
      </c>
      <c r="U2424">
        <v>22019</v>
      </c>
      <c r="V2424" t="s">
        <v>22</v>
      </c>
    </row>
    <row r="2425" spans="1:22">
      <c r="A2425" t="str">
        <f t="shared" si="439"/>
        <v>17/09/2025</v>
      </c>
      <c r="B2425" t="str">
        <f t="shared" si="447"/>
        <v>ENTRADA</v>
      </c>
      <c r="C2425" t="str">
        <f t="shared" si="448"/>
        <v>NFSE</v>
      </c>
      <c r="D2425" t="str">
        <f>"3363"</f>
        <v>3363</v>
      </c>
      <c r="E2425" t="str">
        <f t="shared" si="449"/>
        <v>1</v>
      </c>
      <c r="F2425" t="str">
        <f t="shared" si="433"/>
        <v>COM</v>
      </c>
      <c r="G2425" t="str">
        <f>"DROGARIA MEDIC CENTER LTDA (10172)"</f>
        <v>DROGARIA MEDIC CENTER LTDA (10172)</v>
      </c>
      <c r="H2425" t="s">
        <v>621</v>
      </c>
      <c r="I2425" t="str">
        <f t="shared" si="443"/>
        <v>17/09/2025</v>
      </c>
      <c r="J2425" t="str">
        <f t="shared" si="450"/>
        <v>15/09/2025</v>
      </c>
      <c r="K2425">
        <v>45917</v>
      </c>
      <c r="N2425">
        <v>303</v>
      </c>
      <c r="O2425" t="s">
        <v>69</v>
      </c>
      <c r="Q2425">
        <v>1709.1</v>
      </c>
      <c r="R2425" t="str">
        <f>"DROGARIA MEDIC CENTER LTDA (10172)"</f>
        <v>DROGARIA MEDIC CENTER LTDA (10172)</v>
      </c>
      <c r="S2425" t="s">
        <v>70</v>
      </c>
      <c r="T2425">
        <v>22228</v>
      </c>
      <c r="U2425">
        <v>22019</v>
      </c>
      <c r="V2425" t="s">
        <v>22</v>
      </c>
    </row>
    <row r="2426" spans="1:22">
      <c r="A2426" t="str">
        <f t="shared" si="439"/>
        <v>17/09/2025</v>
      </c>
      <c r="B2426" t="str">
        <f t="shared" si="447"/>
        <v>ENTRADA</v>
      </c>
      <c r="C2426" t="str">
        <f t="shared" si="448"/>
        <v>NFSE</v>
      </c>
      <c r="D2426" t="str">
        <f>"3364"</f>
        <v>3364</v>
      </c>
      <c r="E2426" t="str">
        <f t="shared" si="449"/>
        <v>1</v>
      </c>
      <c r="F2426" t="str">
        <f t="shared" si="433"/>
        <v>COM</v>
      </c>
      <c r="G2426" t="str">
        <f>"DROGARIA MORENO LTDA (10171)"</f>
        <v>DROGARIA MORENO LTDA (10171)</v>
      </c>
      <c r="H2426" t="str">
        <f>"Serv.Prest. 08/09/2025 a 14/09/2025 - RPS: 1240 - NFSe: 3364"</f>
        <v>Serv.Prest. 08/09/2025 a 14/09/2025 - RPS: 1240 - NFSe: 3364</v>
      </c>
      <c r="I2426" t="str">
        <f t="shared" si="443"/>
        <v>17/09/2025</v>
      </c>
      <c r="J2426" t="str">
        <f t="shared" si="450"/>
        <v>15/09/2025</v>
      </c>
      <c r="K2426" t="str">
        <f>("17/09/2025")</f>
        <v>17/09/2025</v>
      </c>
      <c r="L2426">
        <v>3491.1</v>
      </c>
      <c r="M2426">
        <v>3491.1</v>
      </c>
      <c r="N2426">
        <v>303</v>
      </c>
      <c r="O2426" t="str">
        <f>"RECEITAS COM ENTREGAS"</f>
        <v>RECEITAS COM ENTREGAS</v>
      </c>
      <c r="P2426">
        <v>3491.1</v>
      </c>
      <c r="S2426" t="str">
        <f>"RECEITAS COM ENTREGAS (303)"</f>
        <v>RECEITAS COM ENTREGAS (303)</v>
      </c>
      <c r="T2426">
        <v>22229</v>
      </c>
      <c r="U2426">
        <v>22024</v>
      </c>
      <c r="V2426" t="s">
        <v>22</v>
      </c>
    </row>
    <row r="2427" spans="1:22">
      <c r="A2427" t="str">
        <f t="shared" ref="A2427:A2456" si="451">("17/09/2025")</f>
        <v>17/09/2025</v>
      </c>
      <c r="B2427" t="str">
        <f t="shared" si="447"/>
        <v>ENTRADA</v>
      </c>
      <c r="C2427" t="str">
        <f t="shared" si="448"/>
        <v>NFSE</v>
      </c>
      <c r="D2427" t="str">
        <f>"3364"</f>
        <v>3364</v>
      </c>
      <c r="E2427" t="str">
        <f t="shared" si="449"/>
        <v>1</v>
      </c>
      <c r="F2427" t="str">
        <f t="shared" ref="F2427:F2490" si="452">"COM"</f>
        <v>COM</v>
      </c>
      <c r="G2427" t="str">
        <f>"DROGARIA MORENO LTDA (10171)"</f>
        <v>DROGARIA MORENO LTDA (10171)</v>
      </c>
      <c r="H2427" t="s">
        <v>622</v>
      </c>
      <c r="I2427" t="str">
        <f t="shared" si="443"/>
        <v>17/09/2025</v>
      </c>
      <c r="J2427" t="str">
        <f t="shared" si="450"/>
        <v>15/09/2025</v>
      </c>
      <c r="K2427">
        <v>45917</v>
      </c>
      <c r="N2427">
        <v>303</v>
      </c>
      <c r="O2427" t="s">
        <v>69</v>
      </c>
      <c r="Q2427">
        <v>3491.1</v>
      </c>
      <c r="R2427" t="str">
        <f>"DROGARIA MORENO LTDA (10171)"</f>
        <v>DROGARIA MORENO LTDA (10171)</v>
      </c>
      <c r="S2427" t="s">
        <v>70</v>
      </c>
      <c r="T2427">
        <v>22229</v>
      </c>
      <c r="U2427">
        <v>22024</v>
      </c>
      <c r="V2427" t="s">
        <v>22</v>
      </c>
    </row>
    <row r="2428" spans="1:22">
      <c r="A2428" t="str">
        <f t="shared" si="451"/>
        <v>17/09/2025</v>
      </c>
      <c r="B2428" t="str">
        <f t="shared" si="447"/>
        <v>ENTRADA</v>
      </c>
      <c r="C2428" t="str">
        <f t="shared" si="448"/>
        <v>NFSE</v>
      </c>
      <c r="D2428" t="str">
        <f>"3348"</f>
        <v>3348</v>
      </c>
      <c r="E2428" t="str">
        <f t="shared" si="449"/>
        <v>1</v>
      </c>
      <c r="F2428" t="str">
        <f t="shared" si="452"/>
        <v>COM</v>
      </c>
      <c r="G2428" t="str">
        <f>"DROGARIA AGAPEAMA (10167)"</f>
        <v>DROGARIA AGAPEAMA (10167)</v>
      </c>
      <c r="H2428" t="str">
        <f>"Serv.Prest. 08/09/2025 a 14/09/2025 - RPS: 1224 - NFSe: 3348"</f>
        <v>Serv.Prest. 08/09/2025 a 14/09/2025 - RPS: 1224 - NFSe: 3348</v>
      </c>
      <c r="I2428" t="str">
        <f t="shared" si="443"/>
        <v>17/09/2025</v>
      </c>
      <c r="J2428" t="str">
        <f t="shared" si="450"/>
        <v>15/09/2025</v>
      </c>
      <c r="K2428" t="str">
        <f>("17/09/2025")</f>
        <v>17/09/2025</v>
      </c>
      <c r="L2428">
        <v>3405.6</v>
      </c>
      <c r="M2428">
        <v>3405.6</v>
      </c>
      <c r="N2428">
        <v>303</v>
      </c>
      <c r="O2428" t="str">
        <f>"RECEITAS COM ENTREGAS"</f>
        <v>RECEITAS COM ENTREGAS</v>
      </c>
      <c r="P2428">
        <v>3405.6</v>
      </c>
      <c r="S2428" t="str">
        <f>"RECEITAS COM ENTREGAS (303)"</f>
        <v>RECEITAS COM ENTREGAS (303)</v>
      </c>
      <c r="T2428">
        <v>22230</v>
      </c>
      <c r="U2428">
        <v>21954</v>
      </c>
      <c r="V2428" t="s">
        <v>22</v>
      </c>
    </row>
    <row r="2429" spans="1:22">
      <c r="A2429" t="str">
        <f t="shared" si="451"/>
        <v>17/09/2025</v>
      </c>
      <c r="B2429" t="str">
        <f t="shared" si="447"/>
        <v>ENTRADA</v>
      </c>
      <c r="C2429" t="str">
        <f t="shared" si="448"/>
        <v>NFSE</v>
      </c>
      <c r="D2429" t="str">
        <f>"3348"</f>
        <v>3348</v>
      </c>
      <c r="E2429" t="str">
        <f t="shared" si="449"/>
        <v>1</v>
      </c>
      <c r="F2429" t="str">
        <f t="shared" si="452"/>
        <v>COM</v>
      </c>
      <c r="G2429" t="str">
        <f>"DROGARIA AGAPEAMA (10167)"</f>
        <v>DROGARIA AGAPEAMA (10167)</v>
      </c>
      <c r="H2429" t="s">
        <v>623</v>
      </c>
      <c r="I2429" t="str">
        <f t="shared" si="443"/>
        <v>17/09/2025</v>
      </c>
      <c r="J2429" t="str">
        <f t="shared" si="450"/>
        <v>15/09/2025</v>
      </c>
      <c r="K2429">
        <v>45917</v>
      </c>
      <c r="N2429">
        <v>303</v>
      </c>
      <c r="O2429" t="s">
        <v>69</v>
      </c>
      <c r="Q2429">
        <v>3405.6</v>
      </c>
      <c r="R2429" t="str">
        <f>"DROGARIA AGAPEAMA (10167)"</f>
        <v>DROGARIA AGAPEAMA (10167)</v>
      </c>
      <c r="S2429" t="s">
        <v>70</v>
      </c>
      <c r="T2429">
        <v>22230</v>
      </c>
      <c r="U2429">
        <v>21954</v>
      </c>
      <c r="V2429" t="s">
        <v>22</v>
      </c>
    </row>
    <row r="2430" spans="1:22">
      <c r="A2430" t="str">
        <f t="shared" si="451"/>
        <v>17/09/2025</v>
      </c>
      <c r="B2430" t="str">
        <f t="shared" si="447"/>
        <v>ENTRADA</v>
      </c>
      <c r="C2430" t="str">
        <f t="shared" si="448"/>
        <v>NFSE</v>
      </c>
      <c r="D2430" t="str">
        <f>"3351"</f>
        <v>3351</v>
      </c>
      <c r="E2430" t="str">
        <f t="shared" si="449"/>
        <v>1</v>
      </c>
      <c r="F2430" t="str">
        <f t="shared" si="452"/>
        <v>COM</v>
      </c>
      <c r="G2430" t="str">
        <f>"ENTREFARMA (10164)"</f>
        <v>ENTREFARMA (10164)</v>
      </c>
      <c r="H2430" t="str">
        <f>"Serv.Prest. 08/09/2025 a 14/09/2025 - RPS: 1227 - NFSe: 3351"</f>
        <v>Serv.Prest. 08/09/2025 a 14/09/2025 - RPS: 1227 - NFSe: 3351</v>
      </c>
      <c r="I2430" t="str">
        <f t="shared" si="443"/>
        <v>17/09/2025</v>
      </c>
      <c r="J2430" t="str">
        <f t="shared" si="450"/>
        <v>15/09/2025</v>
      </c>
      <c r="K2430" t="str">
        <f>("17/09/2025")</f>
        <v>17/09/2025</v>
      </c>
      <c r="L2430">
        <v>6531.4</v>
      </c>
      <c r="M2430">
        <v>6531.4</v>
      </c>
      <c r="N2430">
        <v>303</v>
      </c>
      <c r="O2430" t="str">
        <f>"RECEITAS COM ENTREGAS"</f>
        <v>RECEITAS COM ENTREGAS</v>
      </c>
      <c r="P2430">
        <v>6531.4</v>
      </c>
      <c r="S2430" t="str">
        <f>"RECEITAS COM ENTREGAS (303)"</f>
        <v>RECEITAS COM ENTREGAS (303)</v>
      </c>
      <c r="T2430">
        <v>22231</v>
      </c>
      <c r="U2430">
        <v>21966</v>
      </c>
      <c r="V2430" t="s">
        <v>22</v>
      </c>
    </row>
    <row r="2431" spans="1:22">
      <c r="A2431" t="str">
        <f t="shared" si="451"/>
        <v>17/09/2025</v>
      </c>
      <c r="B2431" t="str">
        <f t="shared" si="447"/>
        <v>ENTRADA</v>
      </c>
      <c r="C2431" t="str">
        <f t="shared" si="448"/>
        <v>NFSE</v>
      </c>
      <c r="D2431" t="str">
        <f>"3351"</f>
        <v>3351</v>
      </c>
      <c r="E2431" t="str">
        <f t="shared" si="449"/>
        <v>1</v>
      </c>
      <c r="F2431" t="str">
        <f t="shared" si="452"/>
        <v>COM</v>
      </c>
      <c r="G2431" t="str">
        <f>"ENTREFARMA (10164)"</f>
        <v>ENTREFARMA (10164)</v>
      </c>
      <c r="H2431" t="s">
        <v>624</v>
      </c>
      <c r="I2431" t="str">
        <f t="shared" si="443"/>
        <v>17/09/2025</v>
      </c>
      <c r="J2431" t="str">
        <f t="shared" si="450"/>
        <v>15/09/2025</v>
      </c>
      <c r="K2431">
        <v>45917</v>
      </c>
      <c r="N2431">
        <v>303</v>
      </c>
      <c r="O2431" t="s">
        <v>69</v>
      </c>
      <c r="Q2431">
        <v>6531.4</v>
      </c>
      <c r="R2431" t="str">
        <f>"ENTREFARMA (10164)"</f>
        <v>ENTREFARMA (10164)</v>
      </c>
      <c r="S2431" t="s">
        <v>70</v>
      </c>
      <c r="T2431">
        <v>22231</v>
      </c>
      <c r="U2431">
        <v>21966</v>
      </c>
      <c r="V2431" t="s">
        <v>22</v>
      </c>
    </row>
    <row r="2432" spans="1:22">
      <c r="A2432" t="str">
        <f t="shared" si="451"/>
        <v>17/09/2025</v>
      </c>
      <c r="B2432" t="str">
        <f t="shared" si="447"/>
        <v>ENTRADA</v>
      </c>
      <c r="C2432" t="str">
        <f t="shared" si="448"/>
        <v>NFSE</v>
      </c>
      <c r="D2432" t="str">
        <f>"3367"</f>
        <v>3367</v>
      </c>
      <c r="E2432" t="str">
        <f t="shared" si="449"/>
        <v>1</v>
      </c>
      <c r="F2432" t="str">
        <f t="shared" si="452"/>
        <v>COM</v>
      </c>
      <c r="G2432" t="str">
        <f>"DELTA LOJA 2 (10123)"</f>
        <v>DELTA LOJA 2 (10123)</v>
      </c>
      <c r="H2432" t="str">
        <f>"Serv.Prest. 08/09/2025 a 14/09/2025 - RPS: 1243 - NFSe: 3367"</f>
        <v>Serv.Prest. 08/09/2025 a 14/09/2025 - RPS: 1243 - NFSe: 3367</v>
      </c>
      <c r="I2432" t="str">
        <f t="shared" si="443"/>
        <v>17/09/2025</v>
      </c>
      <c r="J2432" t="str">
        <f>("16/09/2025")</f>
        <v>16/09/2025</v>
      </c>
      <c r="K2432" t="str">
        <f>("17/09/2025")</f>
        <v>17/09/2025</v>
      </c>
      <c r="L2432">
        <v>3712.8</v>
      </c>
      <c r="M2432">
        <v>3712.8</v>
      </c>
      <c r="N2432">
        <v>303</v>
      </c>
      <c r="O2432" t="str">
        <f>"RECEITAS COM ENTREGAS"</f>
        <v>RECEITAS COM ENTREGAS</v>
      </c>
      <c r="P2432">
        <v>3712.8</v>
      </c>
      <c r="S2432" t="str">
        <f>"RECEITAS COM ENTREGAS (303)"</f>
        <v>RECEITAS COM ENTREGAS (303)</v>
      </c>
      <c r="T2432">
        <v>22232</v>
      </c>
      <c r="U2432">
        <v>22165</v>
      </c>
      <c r="V2432" t="s">
        <v>22</v>
      </c>
    </row>
    <row r="2433" spans="1:22">
      <c r="A2433" t="str">
        <f t="shared" si="451"/>
        <v>17/09/2025</v>
      </c>
      <c r="B2433" t="str">
        <f t="shared" si="447"/>
        <v>ENTRADA</v>
      </c>
      <c r="C2433" t="str">
        <f t="shared" si="448"/>
        <v>NFSE</v>
      </c>
      <c r="D2433" t="str">
        <f>"3367"</f>
        <v>3367</v>
      </c>
      <c r="E2433" t="str">
        <f t="shared" si="449"/>
        <v>1</v>
      </c>
      <c r="F2433" t="str">
        <f t="shared" si="452"/>
        <v>COM</v>
      </c>
      <c r="G2433" t="str">
        <f>"DELTA LOJA 2 (10123)"</f>
        <v>DELTA LOJA 2 (10123)</v>
      </c>
      <c r="H2433" t="s">
        <v>625</v>
      </c>
      <c r="I2433" t="str">
        <f t="shared" si="443"/>
        <v>17/09/2025</v>
      </c>
      <c r="J2433" t="str">
        <f>("16/09/2025")</f>
        <v>16/09/2025</v>
      </c>
      <c r="K2433">
        <v>45917</v>
      </c>
      <c r="N2433">
        <v>303</v>
      </c>
      <c r="O2433" t="s">
        <v>69</v>
      </c>
      <c r="Q2433">
        <v>3712.8</v>
      </c>
      <c r="R2433" t="str">
        <f>"DELTA LOJA 2 (10123)"</f>
        <v>DELTA LOJA 2 (10123)</v>
      </c>
      <c r="S2433" t="s">
        <v>70</v>
      </c>
      <c r="T2433">
        <v>22232</v>
      </c>
      <c r="U2433">
        <v>22165</v>
      </c>
      <c r="V2433" t="s">
        <v>22</v>
      </c>
    </row>
    <row r="2434" spans="1:22">
      <c r="A2434" t="str">
        <f t="shared" si="451"/>
        <v>17/09/2025</v>
      </c>
      <c r="B2434" t="str">
        <f t="shared" si="447"/>
        <v>ENTRADA</v>
      </c>
      <c r="C2434" t="str">
        <f t="shared" si="448"/>
        <v>NFSE</v>
      </c>
      <c r="D2434" t="str">
        <f>"3352"</f>
        <v>3352</v>
      </c>
      <c r="E2434" t="str">
        <f t="shared" si="449"/>
        <v>1</v>
      </c>
      <c r="F2434" t="str">
        <f t="shared" si="452"/>
        <v>COM</v>
      </c>
      <c r="G2434" t="str">
        <f>"FRAN FARMA (10124)"</f>
        <v>FRAN FARMA (10124)</v>
      </c>
      <c r="H2434" t="str">
        <f>"Serv.Prest. 08/09/2025 a 14/09/2025 - RPS: 1228 - NFSe: 3352"</f>
        <v>Serv.Prest. 08/09/2025 a 14/09/2025 - RPS: 1228 - NFSe: 3352</v>
      </c>
      <c r="I2434" t="str">
        <f t="shared" si="443"/>
        <v>17/09/2025</v>
      </c>
      <c r="J2434" t="str">
        <f>("15/09/2025")</f>
        <v>15/09/2025</v>
      </c>
      <c r="K2434" t="str">
        <f>("17/09/2025")</f>
        <v>17/09/2025</v>
      </c>
      <c r="L2434">
        <v>840</v>
      </c>
      <c r="M2434">
        <v>840</v>
      </c>
      <c r="N2434">
        <v>303</v>
      </c>
      <c r="O2434" t="str">
        <f>"RECEITAS COM ENTREGAS"</f>
        <v>RECEITAS COM ENTREGAS</v>
      </c>
      <c r="P2434">
        <v>840</v>
      </c>
      <c r="S2434" t="str">
        <f>"RECEITAS COM ENTREGAS (303)"</f>
        <v>RECEITAS COM ENTREGAS (303)</v>
      </c>
      <c r="T2434">
        <v>22233</v>
      </c>
      <c r="U2434">
        <v>21971</v>
      </c>
      <c r="V2434" t="s">
        <v>22</v>
      </c>
    </row>
    <row r="2435" spans="1:22">
      <c r="A2435" t="str">
        <f t="shared" si="451"/>
        <v>17/09/2025</v>
      </c>
      <c r="B2435" t="str">
        <f t="shared" si="447"/>
        <v>ENTRADA</v>
      </c>
      <c r="C2435" t="str">
        <f t="shared" si="448"/>
        <v>NFSE</v>
      </c>
      <c r="D2435" t="str">
        <f>"3352"</f>
        <v>3352</v>
      </c>
      <c r="E2435" t="str">
        <f t="shared" si="449"/>
        <v>1</v>
      </c>
      <c r="F2435" t="str">
        <f t="shared" si="452"/>
        <v>COM</v>
      </c>
      <c r="G2435" t="str">
        <f>"FRAN FARMA (10124)"</f>
        <v>FRAN FARMA (10124)</v>
      </c>
      <c r="H2435" t="s">
        <v>626</v>
      </c>
      <c r="I2435" t="str">
        <f t="shared" si="443"/>
        <v>17/09/2025</v>
      </c>
      <c r="J2435" t="str">
        <f>("15/09/2025")</f>
        <v>15/09/2025</v>
      </c>
      <c r="K2435">
        <v>45917</v>
      </c>
      <c r="N2435">
        <v>303</v>
      </c>
      <c r="O2435" t="s">
        <v>69</v>
      </c>
      <c r="Q2435">
        <v>504</v>
      </c>
      <c r="R2435" t="str">
        <f>"FRAN FARMA LJ 2 (10131)"</f>
        <v>FRAN FARMA LJ 2 (10131)</v>
      </c>
      <c r="S2435" t="s">
        <v>70</v>
      </c>
      <c r="T2435">
        <v>22233</v>
      </c>
      <c r="U2435">
        <v>21971</v>
      </c>
      <c r="V2435" t="s">
        <v>22</v>
      </c>
    </row>
    <row r="2436" spans="1:22">
      <c r="A2436" t="str">
        <f t="shared" si="451"/>
        <v>17/09/2025</v>
      </c>
      <c r="B2436" t="str">
        <f t="shared" si="447"/>
        <v>ENTRADA</v>
      </c>
      <c r="C2436" t="str">
        <f t="shared" si="448"/>
        <v>NFSE</v>
      </c>
      <c r="D2436" t="str">
        <f>"3352"</f>
        <v>3352</v>
      </c>
      <c r="E2436" t="str">
        <f t="shared" si="449"/>
        <v>1</v>
      </c>
      <c r="F2436" t="str">
        <f t="shared" si="452"/>
        <v>COM</v>
      </c>
      <c r="G2436" t="str">
        <f>"FRAN FARMA (10124)"</f>
        <v>FRAN FARMA (10124)</v>
      </c>
      <c r="H2436" t="s">
        <v>626</v>
      </c>
      <c r="I2436" t="str">
        <f t="shared" si="443"/>
        <v>17/09/2025</v>
      </c>
      <c r="J2436" t="str">
        <f>("15/09/2025")</f>
        <v>15/09/2025</v>
      </c>
      <c r="K2436">
        <v>45917</v>
      </c>
      <c r="N2436">
        <v>303</v>
      </c>
      <c r="O2436" t="s">
        <v>69</v>
      </c>
      <c r="Q2436">
        <v>336</v>
      </c>
      <c r="R2436" t="str">
        <f>"FRAN FARMA LJ 3 (10132)"</f>
        <v>FRAN FARMA LJ 3 (10132)</v>
      </c>
      <c r="S2436" t="s">
        <v>70</v>
      </c>
      <c r="T2436">
        <v>22233</v>
      </c>
      <c r="U2436">
        <v>21971</v>
      </c>
      <c r="V2436" t="s">
        <v>22</v>
      </c>
    </row>
    <row r="2437" spans="1:22">
      <c r="A2437" t="str">
        <f t="shared" si="451"/>
        <v>17/09/2025</v>
      </c>
      <c r="B2437" t="str">
        <f t="shared" ref="B2437:B2500" si="453">"SAÍDA"</f>
        <v>SAÍDA</v>
      </c>
      <c r="C2437" t="str">
        <f t="shared" ref="C2437:C2442" si="454">"BOLETO"</f>
        <v>BOLETO</v>
      </c>
      <c r="D2437" t="str">
        <f>"490429251767923"</f>
        <v>490429251767923</v>
      </c>
      <c r="E2437" t="str">
        <f>"3"</f>
        <v>3</v>
      </c>
      <c r="F2437" t="str">
        <f t="shared" si="452"/>
        <v>COM</v>
      </c>
      <c r="G2437" t="str">
        <f>"ASSOCIACAO DE PROTECAO E AUXILIO VEICULAR EM DEFESA DOS (20023)"</f>
        <v>ASSOCIACAO DE PROTECAO E AUXILIO VEICULAR EM DEFESA DOS (20023)</v>
      </c>
      <c r="H2437" t="str">
        <f>"SEGURO VEICULAR - RICHARD HENRIQUE DE SILVA - PLACA HCD3186"</f>
        <v>SEGURO VEICULAR - RICHARD HENRIQUE DE SILVA - PLACA HCD3186</v>
      </c>
      <c r="I2437" t="str">
        <f t="shared" si="443"/>
        <v>17/09/2025</v>
      </c>
      <c r="J2437" t="str">
        <f>("27/06/2025")</f>
        <v>27/06/2025</v>
      </c>
      <c r="K2437" t="str">
        <f>("17/09/2025")</f>
        <v>17/09/2025</v>
      </c>
      <c r="L2437">
        <v>59.9</v>
      </c>
      <c r="M2437">
        <v>61.09</v>
      </c>
      <c r="N2437">
        <v>192</v>
      </c>
      <c r="O2437" t="str">
        <f>"PLANOS E SEGUROS"</f>
        <v>PLANOS E SEGUROS</v>
      </c>
      <c r="P2437">
        <v>61.09</v>
      </c>
      <c r="S2437" t="str">
        <f>"BANCO CORA (102)"</f>
        <v>BANCO CORA (102)</v>
      </c>
      <c r="T2437">
        <v>22234</v>
      </c>
      <c r="U2437">
        <v>17792</v>
      </c>
      <c r="V2437" t="s">
        <v>22</v>
      </c>
    </row>
    <row r="2438" spans="1:22">
      <c r="A2438" t="str">
        <f t="shared" si="451"/>
        <v>17/09/2025</v>
      </c>
      <c r="B2438" t="str">
        <f t="shared" si="453"/>
        <v>SAÍDA</v>
      </c>
      <c r="C2438" t="str">
        <f t="shared" si="454"/>
        <v>BOLETO</v>
      </c>
      <c r="D2438" t="str">
        <f>"490429251767923"</f>
        <v>490429251767923</v>
      </c>
      <c r="E2438" t="str">
        <f>"3"</f>
        <v>3</v>
      </c>
      <c r="F2438" t="str">
        <f t="shared" si="452"/>
        <v>COM</v>
      </c>
      <c r="G2438" t="str">
        <f>"ASSOCIACAO DE PROTECAO E AUXILIO VEICULAR EM DEFESA DOS (20023)"</f>
        <v>ASSOCIACAO DE PROTECAO E AUXILIO VEICULAR EM DEFESA DOS (20023)</v>
      </c>
      <c r="H2438" t="s">
        <v>627</v>
      </c>
      <c r="I2438" t="str">
        <f t="shared" si="443"/>
        <v>17/09/2025</v>
      </c>
      <c r="J2438" t="str">
        <f>("27/06/2025")</f>
        <v>27/06/2025</v>
      </c>
      <c r="K2438">
        <v>45917</v>
      </c>
      <c r="N2438">
        <v>192</v>
      </c>
      <c r="O2438" t="s">
        <v>38</v>
      </c>
      <c r="Q2438">
        <v>61.09</v>
      </c>
      <c r="R2438" t="str">
        <f>"ASSOCIACAO DE PROTECAO E AUXILIO VEICULAR EM DEFESA DOS (20023)"</f>
        <v>ASSOCIACAO DE PROTECAO E AUXILIO VEICULAR EM DEFESA DOS (20023)</v>
      </c>
      <c r="S2438" t="s">
        <v>22</v>
      </c>
      <c r="T2438">
        <v>22234</v>
      </c>
      <c r="U2438">
        <v>17792</v>
      </c>
      <c r="V2438" t="s">
        <v>22</v>
      </c>
    </row>
    <row r="2439" spans="1:22">
      <c r="A2439" t="str">
        <f t="shared" si="451"/>
        <v>17/09/2025</v>
      </c>
      <c r="B2439" t="str">
        <f t="shared" si="453"/>
        <v>SAÍDA</v>
      </c>
      <c r="C2439" t="str">
        <f t="shared" si="454"/>
        <v>BOLETO</v>
      </c>
      <c r="D2439" t="str">
        <f>"31739251763506"</f>
        <v>31739251763506</v>
      </c>
      <c r="E2439" t="str">
        <f>"3"</f>
        <v>3</v>
      </c>
      <c r="F2439" t="str">
        <f t="shared" si="452"/>
        <v>COM</v>
      </c>
      <c r="G2439" t="str">
        <f>"ASSOCIACAO DE PROTECAO E AUXILIO VEICULAR EM DEFESA DOS (20023)"</f>
        <v>ASSOCIACAO DE PROTECAO E AUXILIO VEICULAR EM DEFESA DOS (20023)</v>
      </c>
      <c r="H2439" t="str">
        <f>"SEGURO VEICULAR - ELENICIO ALVES DOS SANTOS - PLACA PYJ7510"</f>
        <v>SEGURO VEICULAR - ELENICIO ALVES DOS SANTOS - PLACA PYJ7510</v>
      </c>
      <c r="I2439" t="str">
        <f t="shared" si="443"/>
        <v>17/09/2025</v>
      </c>
      <c r="J2439" t="str">
        <f>("27/06/2025")</f>
        <v>27/06/2025</v>
      </c>
      <c r="K2439" t="str">
        <f>("17/09/2025")</f>
        <v>17/09/2025</v>
      </c>
      <c r="L2439">
        <v>59.9</v>
      </c>
      <c r="M2439">
        <v>61.09</v>
      </c>
      <c r="N2439">
        <v>192</v>
      </c>
      <c r="O2439" t="str">
        <f>"PLANOS E SEGUROS"</f>
        <v>PLANOS E SEGUROS</v>
      </c>
      <c r="P2439">
        <v>61.09</v>
      </c>
      <c r="S2439" t="str">
        <f>"BANCO CORA (102)"</f>
        <v>BANCO CORA (102)</v>
      </c>
      <c r="T2439">
        <v>22235</v>
      </c>
      <c r="U2439">
        <v>17796</v>
      </c>
      <c r="V2439" t="s">
        <v>22</v>
      </c>
    </row>
    <row r="2440" spans="1:22">
      <c r="A2440" t="str">
        <f t="shared" si="451"/>
        <v>17/09/2025</v>
      </c>
      <c r="B2440" t="str">
        <f t="shared" si="453"/>
        <v>SAÍDA</v>
      </c>
      <c r="C2440" t="str">
        <f t="shared" si="454"/>
        <v>BOLETO</v>
      </c>
      <c r="D2440" t="str">
        <f>"31739251763506"</f>
        <v>31739251763506</v>
      </c>
      <c r="E2440" t="str">
        <f>"3"</f>
        <v>3</v>
      </c>
      <c r="F2440" t="str">
        <f t="shared" si="452"/>
        <v>COM</v>
      </c>
      <c r="G2440" t="str">
        <f>"ASSOCIACAO DE PROTECAO E AUXILIO VEICULAR EM DEFESA DOS (20023)"</f>
        <v>ASSOCIACAO DE PROTECAO E AUXILIO VEICULAR EM DEFESA DOS (20023)</v>
      </c>
      <c r="H2440" t="s">
        <v>628</v>
      </c>
      <c r="I2440" t="str">
        <f t="shared" si="443"/>
        <v>17/09/2025</v>
      </c>
      <c r="J2440" t="str">
        <f>("27/06/2025")</f>
        <v>27/06/2025</v>
      </c>
      <c r="K2440">
        <v>45917</v>
      </c>
      <c r="N2440">
        <v>192</v>
      </c>
      <c r="O2440" t="s">
        <v>38</v>
      </c>
      <c r="Q2440">
        <v>61.09</v>
      </c>
      <c r="R2440" t="str">
        <f>"ASSOCIACAO DE PROTECAO E AUXILIO VEICULAR EM DEFESA DOS (20023)"</f>
        <v>ASSOCIACAO DE PROTECAO E AUXILIO VEICULAR EM DEFESA DOS (20023)</v>
      </c>
      <c r="S2440" t="s">
        <v>22</v>
      </c>
      <c r="T2440">
        <v>22235</v>
      </c>
      <c r="U2440">
        <v>17796</v>
      </c>
      <c r="V2440" t="s">
        <v>22</v>
      </c>
    </row>
    <row r="2441" spans="1:22">
      <c r="A2441" t="str">
        <f t="shared" si="451"/>
        <v>17/09/2025</v>
      </c>
      <c r="B2441" t="str">
        <f t="shared" si="453"/>
        <v>SAÍDA</v>
      </c>
      <c r="C2441" t="str">
        <f t="shared" si="454"/>
        <v>BOLETO</v>
      </c>
      <c r="D2441" t="str">
        <f>"1018200557266"</f>
        <v>1018200557266</v>
      </c>
      <c r="E2441" t="str">
        <f>"15"</f>
        <v>15</v>
      </c>
      <c r="F2441" t="str">
        <f t="shared" si="452"/>
        <v>COM</v>
      </c>
      <c r="G2441" t="str">
        <f>"CAPEMISA SEGURADORA DE VIDA E PREVIDENCIA SA (20038)"</f>
        <v>CAPEMISA SEGURADORA DE VIDA E PREVIDENCIA SA (20038)</v>
      </c>
      <c r="H2441" t="str">
        <f>"SEGURO DE VIDA PRESTADORES - APOLICE 1018200557266"</f>
        <v>SEGURO DE VIDA PRESTADORES - APOLICE 1018200557266</v>
      </c>
      <c r="I2441" t="str">
        <f>("15/09/2025")</f>
        <v>15/09/2025</v>
      </c>
      <c r="J2441" t="str">
        <f>("29/08/2025")</f>
        <v>29/08/2025</v>
      </c>
      <c r="K2441" t="str">
        <f>("17/09/2025")</f>
        <v>17/09/2025</v>
      </c>
      <c r="L2441">
        <v>2435.25</v>
      </c>
      <c r="M2441">
        <v>2436.87</v>
      </c>
      <c r="N2441">
        <v>192</v>
      </c>
      <c r="O2441" t="str">
        <f>"PLANOS E SEGUROS"</f>
        <v>PLANOS E SEGUROS</v>
      </c>
      <c r="P2441">
        <v>2436.87</v>
      </c>
      <c r="S2441" t="str">
        <f>"BANCO CORA (102)"</f>
        <v>BANCO CORA (102)</v>
      </c>
      <c r="T2441">
        <v>22236</v>
      </c>
      <c r="U2441">
        <v>13381</v>
      </c>
      <c r="V2441" t="s">
        <v>22</v>
      </c>
    </row>
    <row r="2442" spans="1:22">
      <c r="A2442" t="str">
        <f t="shared" si="451"/>
        <v>17/09/2025</v>
      </c>
      <c r="B2442" t="str">
        <f t="shared" si="453"/>
        <v>SAÍDA</v>
      </c>
      <c r="C2442" t="str">
        <f t="shared" si="454"/>
        <v>BOLETO</v>
      </c>
      <c r="D2442" t="str">
        <f>"1018200557266"</f>
        <v>1018200557266</v>
      </c>
      <c r="E2442" t="str">
        <f>"15"</f>
        <v>15</v>
      </c>
      <c r="F2442" t="str">
        <f t="shared" si="452"/>
        <v>COM</v>
      </c>
      <c r="G2442" t="str">
        <f>"CAPEMISA SEGURADORA DE VIDA E PREVIDENCIA SA (20038)"</f>
        <v>CAPEMISA SEGURADORA DE VIDA E PREVIDENCIA SA (20038)</v>
      </c>
      <c r="H2442" t="s">
        <v>629</v>
      </c>
      <c r="I2442" t="str">
        <f>("15/09/2025")</f>
        <v>15/09/2025</v>
      </c>
      <c r="J2442" t="str">
        <f>("29/08/2025")</f>
        <v>29/08/2025</v>
      </c>
      <c r="K2442">
        <v>45917</v>
      </c>
      <c r="N2442">
        <v>192</v>
      </c>
      <c r="O2442" t="s">
        <v>38</v>
      </c>
      <c r="Q2442">
        <v>2436.87</v>
      </c>
      <c r="R2442" t="str">
        <f>"CAPEMISA SEGURADORA DE VIDA E PREVIDENCIA SA (20038)"</f>
        <v>CAPEMISA SEGURADORA DE VIDA E PREVIDENCIA SA (20038)</v>
      </c>
      <c r="S2442" t="s">
        <v>22</v>
      </c>
      <c r="T2442">
        <v>22236</v>
      </c>
      <c r="U2442">
        <v>13381</v>
      </c>
      <c r="V2442" t="s">
        <v>22</v>
      </c>
    </row>
    <row r="2443" spans="1:22">
      <c r="A2443" t="str">
        <f t="shared" si="451"/>
        <v>17/09/2025</v>
      </c>
      <c r="B2443" t="str">
        <f t="shared" si="453"/>
        <v>SAÍDA</v>
      </c>
      <c r="C2443" t="str">
        <f t="shared" ref="C2443:C2456" si="455">"CONHECIMENTO"</f>
        <v>CONHECIMENTO</v>
      </c>
      <c r="D2443" t="str">
        <f t="shared" ref="D2443:D2456" si="456">"01092025"</f>
        <v>01092025</v>
      </c>
      <c r="E2443" t="str">
        <f>"2"</f>
        <v>2</v>
      </c>
      <c r="F2443" t="str">
        <f t="shared" si="452"/>
        <v>COM</v>
      </c>
      <c r="G2443" t="str">
        <f t="shared" ref="G2443:G2456" si="457">"CORA SOCIEDADE DE CREDITO, FINANCIAMENTO E INVESTIMENTO (20035)"</f>
        <v>CORA SOCIEDADE DE CREDITO, FINANCIAMENTO E INVESTIMENTO (20035)</v>
      </c>
      <c r="H2443" t="str">
        <f>"TAXA BOLETO "</f>
        <v xml:space="preserve">TAXA BOLETO </v>
      </c>
      <c r="I2443" t="str">
        <f t="shared" ref="I2443:I2456" si="458">("17/09/2025")</f>
        <v>17/09/2025</v>
      </c>
      <c r="J2443" t="str">
        <f t="shared" ref="J2443:J2456" si="459">("01/09/2025")</f>
        <v>01/09/2025</v>
      </c>
      <c r="K2443" t="str">
        <f>("17/09/2025")</f>
        <v>17/09/2025</v>
      </c>
      <c r="L2443">
        <v>1.7</v>
      </c>
      <c r="M2443">
        <v>1.7</v>
      </c>
      <c r="N2443">
        <v>401</v>
      </c>
      <c r="O2443" t="str">
        <f>"IOF/JUROS/DESP.FINANCEIRA"</f>
        <v>IOF/JUROS/DESP.FINANCEIRA</v>
      </c>
      <c r="P2443">
        <v>1.7</v>
      </c>
      <c r="S2443" t="str">
        <f>"BANCO CORA (102)"</f>
        <v>BANCO CORA (102)</v>
      </c>
      <c r="T2443">
        <v>22237</v>
      </c>
      <c r="U2443">
        <v>26008</v>
      </c>
      <c r="V2443" t="s">
        <v>22</v>
      </c>
    </row>
    <row r="2444" spans="1:22">
      <c r="A2444" t="str">
        <f t="shared" si="451"/>
        <v>17/09/2025</v>
      </c>
      <c r="B2444" t="str">
        <f t="shared" si="453"/>
        <v>SAÍDA</v>
      </c>
      <c r="C2444" t="str">
        <f t="shared" si="455"/>
        <v>CONHECIMENTO</v>
      </c>
      <c r="D2444" t="str">
        <f t="shared" si="456"/>
        <v>01092025</v>
      </c>
      <c r="E2444" t="str">
        <f>"2"</f>
        <v>2</v>
      </c>
      <c r="F2444" t="str">
        <f t="shared" si="452"/>
        <v>COM</v>
      </c>
      <c r="G2444" t="str">
        <f t="shared" si="457"/>
        <v>CORA SOCIEDADE DE CREDITO, FINANCIAMENTO E INVESTIMENTO (20035)</v>
      </c>
      <c r="H2444" t="s">
        <v>75</v>
      </c>
      <c r="I2444" t="str">
        <f t="shared" si="458"/>
        <v>17/09/2025</v>
      </c>
      <c r="J2444" t="str">
        <f t="shared" si="459"/>
        <v>01/09/2025</v>
      </c>
      <c r="K2444">
        <v>45917</v>
      </c>
      <c r="N2444">
        <v>401</v>
      </c>
      <c r="O2444" t="s">
        <v>76</v>
      </c>
      <c r="Q2444">
        <v>1.7</v>
      </c>
      <c r="R2444" t="str">
        <f>"CORA SOCIEDADE DE CREDITO, FINANCIAMENTO E INVESTIMENTO (20035)"</f>
        <v>CORA SOCIEDADE DE CREDITO, FINANCIAMENTO E INVESTIMENTO (20035)</v>
      </c>
      <c r="S2444" t="s">
        <v>22</v>
      </c>
      <c r="T2444">
        <v>22237</v>
      </c>
      <c r="U2444">
        <v>26008</v>
      </c>
      <c r="V2444" t="s">
        <v>22</v>
      </c>
    </row>
    <row r="2445" spans="1:22">
      <c r="A2445" t="str">
        <f t="shared" si="451"/>
        <v>17/09/2025</v>
      </c>
      <c r="B2445" t="str">
        <f t="shared" si="453"/>
        <v>SAÍDA</v>
      </c>
      <c r="C2445" t="str">
        <f t="shared" si="455"/>
        <v>CONHECIMENTO</v>
      </c>
      <c r="D2445" t="str">
        <f t="shared" si="456"/>
        <v>01092025</v>
      </c>
      <c r="E2445" t="str">
        <f>"3"</f>
        <v>3</v>
      </c>
      <c r="F2445" t="str">
        <f t="shared" si="452"/>
        <v>COM</v>
      </c>
      <c r="G2445" t="str">
        <f t="shared" si="457"/>
        <v>CORA SOCIEDADE DE CREDITO, FINANCIAMENTO E INVESTIMENTO (20035)</v>
      </c>
      <c r="H2445" t="str">
        <f>"TAXA BOLETO "</f>
        <v xml:space="preserve">TAXA BOLETO </v>
      </c>
      <c r="I2445" t="str">
        <f t="shared" si="458"/>
        <v>17/09/2025</v>
      </c>
      <c r="J2445" t="str">
        <f t="shared" si="459"/>
        <v>01/09/2025</v>
      </c>
      <c r="K2445" t="str">
        <f>("17/09/2025")</f>
        <v>17/09/2025</v>
      </c>
      <c r="L2445">
        <v>1.7</v>
      </c>
      <c r="M2445">
        <v>1.7</v>
      </c>
      <c r="N2445">
        <v>401</v>
      </c>
      <c r="O2445" t="str">
        <f>"IOF/JUROS/DESP.FINANCEIRA"</f>
        <v>IOF/JUROS/DESP.FINANCEIRA</v>
      </c>
      <c r="P2445">
        <v>1.7</v>
      </c>
      <c r="S2445" t="str">
        <f>"BANCO CORA (102)"</f>
        <v>BANCO CORA (102)</v>
      </c>
      <c r="T2445">
        <v>22238</v>
      </c>
      <c r="U2445">
        <v>26009</v>
      </c>
      <c r="V2445" t="s">
        <v>22</v>
      </c>
    </row>
    <row r="2446" spans="1:22">
      <c r="A2446" t="str">
        <f t="shared" si="451"/>
        <v>17/09/2025</v>
      </c>
      <c r="B2446" t="str">
        <f t="shared" si="453"/>
        <v>SAÍDA</v>
      </c>
      <c r="C2446" t="str">
        <f t="shared" si="455"/>
        <v>CONHECIMENTO</v>
      </c>
      <c r="D2446" t="str">
        <f t="shared" si="456"/>
        <v>01092025</v>
      </c>
      <c r="E2446" t="str">
        <f>"3"</f>
        <v>3</v>
      </c>
      <c r="F2446" t="str">
        <f t="shared" si="452"/>
        <v>COM</v>
      </c>
      <c r="G2446" t="str">
        <f t="shared" si="457"/>
        <v>CORA SOCIEDADE DE CREDITO, FINANCIAMENTO E INVESTIMENTO (20035)</v>
      </c>
      <c r="H2446" t="s">
        <v>75</v>
      </c>
      <c r="I2446" t="str">
        <f t="shared" si="458"/>
        <v>17/09/2025</v>
      </c>
      <c r="J2446" t="str">
        <f t="shared" si="459"/>
        <v>01/09/2025</v>
      </c>
      <c r="K2446">
        <v>45917</v>
      </c>
      <c r="N2446">
        <v>401</v>
      </c>
      <c r="O2446" t="s">
        <v>76</v>
      </c>
      <c r="Q2446">
        <v>1.7</v>
      </c>
      <c r="R2446" t="str">
        <f>"CORA SOCIEDADE DE CREDITO, FINANCIAMENTO E INVESTIMENTO (20035)"</f>
        <v>CORA SOCIEDADE DE CREDITO, FINANCIAMENTO E INVESTIMENTO (20035)</v>
      </c>
      <c r="S2446" t="s">
        <v>22</v>
      </c>
      <c r="T2446">
        <v>22238</v>
      </c>
      <c r="U2446">
        <v>26009</v>
      </c>
      <c r="V2446" t="s">
        <v>22</v>
      </c>
    </row>
    <row r="2447" spans="1:22">
      <c r="A2447" t="str">
        <f t="shared" si="451"/>
        <v>17/09/2025</v>
      </c>
      <c r="B2447" t="str">
        <f t="shared" si="453"/>
        <v>SAÍDA</v>
      </c>
      <c r="C2447" t="str">
        <f t="shared" si="455"/>
        <v>CONHECIMENTO</v>
      </c>
      <c r="D2447" t="str">
        <f t="shared" si="456"/>
        <v>01092025</v>
      </c>
      <c r="E2447" t="str">
        <f>"4"</f>
        <v>4</v>
      </c>
      <c r="F2447" t="str">
        <f t="shared" si="452"/>
        <v>COM</v>
      </c>
      <c r="G2447" t="str">
        <f t="shared" si="457"/>
        <v>CORA SOCIEDADE DE CREDITO, FINANCIAMENTO E INVESTIMENTO (20035)</v>
      </c>
      <c r="H2447" t="str">
        <f>"TAXA BOLETO "</f>
        <v xml:space="preserve">TAXA BOLETO </v>
      </c>
      <c r="I2447" t="str">
        <f t="shared" si="458"/>
        <v>17/09/2025</v>
      </c>
      <c r="J2447" t="str">
        <f t="shared" si="459"/>
        <v>01/09/2025</v>
      </c>
      <c r="K2447" t="str">
        <f>("17/09/2025")</f>
        <v>17/09/2025</v>
      </c>
      <c r="L2447">
        <v>1.7</v>
      </c>
      <c r="M2447">
        <v>1.7</v>
      </c>
      <c r="N2447">
        <v>401</v>
      </c>
      <c r="O2447" t="str">
        <f>"IOF/JUROS/DESP.FINANCEIRA"</f>
        <v>IOF/JUROS/DESP.FINANCEIRA</v>
      </c>
      <c r="P2447">
        <v>1.7</v>
      </c>
      <c r="S2447" t="str">
        <f>"BANCO CORA (102)"</f>
        <v>BANCO CORA (102)</v>
      </c>
      <c r="T2447">
        <v>22239</v>
      </c>
      <c r="U2447">
        <v>26010</v>
      </c>
      <c r="V2447" t="s">
        <v>22</v>
      </c>
    </row>
    <row r="2448" spans="1:22">
      <c r="A2448" t="str">
        <f t="shared" si="451"/>
        <v>17/09/2025</v>
      </c>
      <c r="B2448" t="str">
        <f t="shared" si="453"/>
        <v>SAÍDA</v>
      </c>
      <c r="C2448" t="str">
        <f t="shared" si="455"/>
        <v>CONHECIMENTO</v>
      </c>
      <c r="D2448" t="str">
        <f t="shared" si="456"/>
        <v>01092025</v>
      </c>
      <c r="E2448" t="str">
        <f>"4"</f>
        <v>4</v>
      </c>
      <c r="F2448" t="str">
        <f t="shared" si="452"/>
        <v>COM</v>
      </c>
      <c r="G2448" t="str">
        <f t="shared" si="457"/>
        <v>CORA SOCIEDADE DE CREDITO, FINANCIAMENTO E INVESTIMENTO (20035)</v>
      </c>
      <c r="H2448" t="s">
        <v>75</v>
      </c>
      <c r="I2448" t="str">
        <f t="shared" si="458"/>
        <v>17/09/2025</v>
      </c>
      <c r="J2448" t="str">
        <f t="shared" si="459"/>
        <v>01/09/2025</v>
      </c>
      <c r="K2448">
        <v>45917</v>
      </c>
      <c r="N2448">
        <v>401</v>
      </c>
      <c r="O2448" t="s">
        <v>76</v>
      </c>
      <c r="Q2448">
        <v>1.7</v>
      </c>
      <c r="R2448" t="str">
        <f>"CORA SOCIEDADE DE CREDITO, FINANCIAMENTO E INVESTIMENTO (20035)"</f>
        <v>CORA SOCIEDADE DE CREDITO, FINANCIAMENTO E INVESTIMENTO (20035)</v>
      </c>
      <c r="S2448" t="s">
        <v>22</v>
      </c>
      <c r="T2448">
        <v>22239</v>
      </c>
      <c r="U2448">
        <v>26010</v>
      </c>
      <c r="V2448" t="s">
        <v>22</v>
      </c>
    </row>
    <row r="2449" spans="1:22">
      <c r="A2449" t="str">
        <f t="shared" si="451"/>
        <v>17/09/2025</v>
      </c>
      <c r="B2449" t="str">
        <f t="shared" si="453"/>
        <v>SAÍDA</v>
      </c>
      <c r="C2449" t="str">
        <f t="shared" si="455"/>
        <v>CONHECIMENTO</v>
      </c>
      <c r="D2449" t="str">
        <f t="shared" si="456"/>
        <v>01092025</v>
      </c>
      <c r="E2449" t="str">
        <f>"5"</f>
        <v>5</v>
      </c>
      <c r="F2449" t="str">
        <f t="shared" si="452"/>
        <v>COM</v>
      </c>
      <c r="G2449" t="str">
        <f t="shared" si="457"/>
        <v>CORA SOCIEDADE DE CREDITO, FINANCIAMENTO E INVESTIMENTO (20035)</v>
      </c>
      <c r="H2449" t="str">
        <f>"TAXA BOLETO "</f>
        <v xml:space="preserve">TAXA BOLETO </v>
      </c>
      <c r="I2449" t="str">
        <f t="shared" si="458"/>
        <v>17/09/2025</v>
      </c>
      <c r="J2449" t="str">
        <f t="shared" si="459"/>
        <v>01/09/2025</v>
      </c>
      <c r="K2449" t="str">
        <f>("17/09/2025")</f>
        <v>17/09/2025</v>
      </c>
      <c r="L2449">
        <v>1.7</v>
      </c>
      <c r="M2449">
        <v>1.7</v>
      </c>
      <c r="N2449">
        <v>401</v>
      </c>
      <c r="O2449" t="str">
        <f>"IOF/JUROS/DESP.FINANCEIRA"</f>
        <v>IOF/JUROS/DESP.FINANCEIRA</v>
      </c>
      <c r="P2449">
        <v>1.7</v>
      </c>
      <c r="S2449" t="str">
        <f>"BANCO CORA (102)"</f>
        <v>BANCO CORA (102)</v>
      </c>
      <c r="T2449">
        <v>22240</v>
      </c>
      <c r="U2449">
        <v>26011</v>
      </c>
      <c r="V2449" t="s">
        <v>22</v>
      </c>
    </row>
    <row r="2450" spans="1:22">
      <c r="A2450" t="str">
        <f t="shared" si="451"/>
        <v>17/09/2025</v>
      </c>
      <c r="B2450" t="str">
        <f t="shared" si="453"/>
        <v>SAÍDA</v>
      </c>
      <c r="C2450" t="str">
        <f t="shared" si="455"/>
        <v>CONHECIMENTO</v>
      </c>
      <c r="D2450" t="str">
        <f t="shared" si="456"/>
        <v>01092025</v>
      </c>
      <c r="E2450" t="str">
        <f>"5"</f>
        <v>5</v>
      </c>
      <c r="F2450" t="str">
        <f t="shared" si="452"/>
        <v>COM</v>
      </c>
      <c r="G2450" t="str">
        <f t="shared" si="457"/>
        <v>CORA SOCIEDADE DE CREDITO, FINANCIAMENTO E INVESTIMENTO (20035)</v>
      </c>
      <c r="H2450" t="s">
        <v>75</v>
      </c>
      <c r="I2450" t="str">
        <f t="shared" si="458"/>
        <v>17/09/2025</v>
      </c>
      <c r="J2450" t="str">
        <f t="shared" si="459"/>
        <v>01/09/2025</v>
      </c>
      <c r="K2450">
        <v>45917</v>
      </c>
      <c r="N2450">
        <v>401</v>
      </c>
      <c r="O2450" t="s">
        <v>76</v>
      </c>
      <c r="Q2450">
        <v>1.7</v>
      </c>
      <c r="R2450" t="str">
        <f>"CORA SOCIEDADE DE CREDITO, FINANCIAMENTO E INVESTIMENTO (20035)"</f>
        <v>CORA SOCIEDADE DE CREDITO, FINANCIAMENTO E INVESTIMENTO (20035)</v>
      </c>
      <c r="S2450" t="s">
        <v>22</v>
      </c>
      <c r="T2450">
        <v>22240</v>
      </c>
      <c r="U2450">
        <v>26011</v>
      </c>
      <c r="V2450" t="s">
        <v>22</v>
      </c>
    </row>
    <row r="2451" spans="1:22">
      <c r="A2451" t="str">
        <f t="shared" si="451"/>
        <v>17/09/2025</v>
      </c>
      <c r="B2451" t="str">
        <f t="shared" si="453"/>
        <v>SAÍDA</v>
      </c>
      <c r="C2451" t="str">
        <f t="shared" si="455"/>
        <v>CONHECIMENTO</v>
      </c>
      <c r="D2451" t="str">
        <f t="shared" si="456"/>
        <v>01092025</v>
      </c>
      <c r="E2451" t="str">
        <f>"6"</f>
        <v>6</v>
      </c>
      <c r="F2451" t="str">
        <f t="shared" si="452"/>
        <v>COM</v>
      </c>
      <c r="G2451" t="str">
        <f t="shared" si="457"/>
        <v>CORA SOCIEDADE DE CREDITO, FINANCIAMENTO E INVESTIMENTO (20035)</v>
      </c>
      <c r="H2451" t="str">
        <f>"TAXA BOLETO "</f>
        <v xml:space="preserve">TAXA BOLETO </v>
      </c>
      <c r="I2451" t="str">
        <f t="shared" si="458"/>
        <v>17/09/2025</v>
      </c>
      <c r="J2451" t="str">
        <f t="shared" si="459"/>
        <v>01/09/2025</v>
      </c>
      <c r="K2451" t="str">
        <f>("17/09/2025")</f>
        <v>17/09/2025</v>
      </c>
      <c r="L2451">
        <v>1.7</v>
      </c>
      <c r="M2451">
        <v>1.7</v>
      </c>
      <c r="N2451">
        <v>401</v>
      </c>
      <c r="O2451" t="str">
        <f>"IOF/JUROS/DESP.FINANCEIRA"</f>
        <v>IOF/JUROS/DESP.FINANCEIRA</v>
      </c>
      <c r="P2451">
        <v>1.7</v>
      </c>
      <c r="S2451" t="str">
        <f>"BANCO CORA (102)"</f>
        <v>BANCO CORA (102)</v>
      </c>
      <c r="T2451">
        <v>22241</v>
      </c>
      <c r="U2451">
        <v>26012</v>
      </c>
      <c r="V2451" t="s">
        <v>22</v>
      </c>
    </row>
    <row r="2452" spans="1:22">
      <c r="A2452" t="str">
        <f t="shared" si="451"/>
        <v>17/09/2025</v>
      </c>
      <c r="B2452" t="str">
        <f t="shared" si="453"/>
        <v>SAÍDA</v>
      </c>
      <c r="C2452" t="str">
        <f t="shared" si="455"/>
        <v>CONHECIMENTO</v>
      </c>
      <c r="D2452" t="str">
        <f t="shared" si="456"/>
        <v>01092025</v>
      </c>
      <c r="E2452" t="str">
        <f>"6"</f>
        <v>6</v>
      </c>
      <c r="F2452" t="str">
        <f t="shared" si="452"/>
        <v>COM</v>
      </c>
      <c r="G2452" t="str">
        <f t="shared" si="457"/>
        <v>CORA SOCIEDADE DE CREDITO, FINANCIAMENTO E INVESTIMENTO (20035)</v>
      </c>
      <c r="H2452" t="s">
        <v>75</v>
      </c>
      <c r="I2452" t="str">
        <f t="shared" si="458"/>
        <v>17/09/2025</v>
      </c>
      <c r="J2452" t="str">
        <f t="shared" si="459"/>
        <v>01/09/2025</v>
      </c>
      <c r="K2452">
        <v>45917</v>
      </c>
      <c r="N2452">
        <v>401</v>
      </c>
      <c r="O2452" t="s">
        <v>76</v>
      </c>
      <c r="Q2452">
        <v>1.7</v>
      </c>
      <c r="R2452" t="str">
        <f>"CORA SOCIEDADE DE CREDITO, FINANCIAMENTO E INVESTIMENTO (20035)"</f>
        <v>CORA SOCIEDADE DE CREDITO, FINANCIAMENTO E INVESTIMENTO (20035)</v>
      </c>
      <c r="S2452" t="s">
        <v>22</v>
      </c>
      <c r="T2452">
        <v>22241</v>
      </c>
      <c r="U2452">
        <v>26012</v>
      </c>
      <c r="V2452" t="s">
        <v>22</v>
      </c>
    </row>
    <row r="2453" spans="1:22">
      <c r="A2453" t="str">
        <f t="shared" si="451"/>
        <v>17/09/2025</v>
      </c>
      <c r="B2453" t="str">
        <f t="shared" si="453"/>
        <v>SAÍDA</v>
      </c>
      <c r="C2453" t="str">
        <f t="shared" si="455"/>
        <v>CONHECIMENTO</v>
      </c>
      <c r="D2453" t="str">
        <f t="shared" si="456"/>
        <v>01092025</v>
      </c>
      <c r="E2453" t="str">
        <f>"7"</f>
        <v>7</v>
      </c>
      <c r="F2453" t="str">
        <f t="shared" si="452"/>
        <v>COM</v>
      </c>
      <c r="G2453" t="str">
        <f t="shared" si="457"/>
        <v>CORA SOCIEDADE DE CREDITO, FINANCIAMENTO E INVESTIMENTO (20035)</v>
      </c>
      <c r="H2453" t="str">
        <f>"TAXA BOLETO "</f>
        <v xml:space="preserve">TAXA BOLETO </v>
      </c>
      <c r="I2453" t="str">
        <f t="shared" si="458"/>
        <v>17/09/2025</v>
      </c>
      <c r="J2453" t="str">
        <f t="shared" si="459"/>
        <v>01/09/2025</v>
      </c>
      <c r="K2453" t="str">
        <f>("17/09/2025")</f>
        <v>17/09/2025</v>
      </c>
      <c r="L2453">
        <v>1.7</v>
      </c>
      <c r="M2453">
        <v>1.7</v>
      </c>
      <c r="N2453">
        <v>401</v>
      </c>
      <c r="O2453" t="str">
        <f>"IOF/JUROS/DESP.FINANCEIRA"</f>
        <v>IOF/JUROS/DESP.FINANCEIRA</v>
      </c>
      <c r="P2453">
        <v>1.7</v>
      </c>
      <c r="S2453" t="str">
        <f>"BANCO CORA (102)"</f>
        <v>BANCO CORA (102)</v>
      </c>
      <c r="T2453">
        <v>22242</v>
      </c>
      <c r="U2453">
        <v>26013</v>
      </c>
      <c r="V2453" t="s">
        <v>22</v>
      </c>
    </row>
    <row r="2454" spans="1:22">
      <c r="A2454" t="str">
        <f t="shared" si="451"/>
        <v>17/09/2025</v>
      </c>
      <c r="B2454" t="str">
        <f t="shared" si="453"/>
        <v>SAÍDA</v>
      </c>
      <c r="C2454" t="str">
        <f t="shared" si="455"/>
        <v>CONHECIMENTO</v>
      </c>
      <c r="D2454" t="str">
        <f t="shared" si="456"/>
        <v>01092025</v>
      </c>
      <c r="E2454" t="str">
        <f>"7"</f>
        <v>7</v>
      </c>
      <c r="F2454" t="str">
        <f t="shared" si="452"/>
        <v>COM</v>
      </c>
      <c r="G2454" t="str">
        <f t="shared" si="457"/>
        <v>CORA SOCIEDADE DE CREDITO, FINANCIAMENTO E INVESTIMENTO (20035)</v>
      </c>
      <c r="H2454" t="s">
        <v>75</v>
      </c>
      <c r="I2454" t="str">
        <f t="shared" si="458"/>
        <v>17/09/2025</v>
      </c>
      <c r="J2454" t="str">
        <f t="shared" si="459"/>
        <v>01/09/2025</v>
      </c>
      <c r="K2454">
        <v>45917</v>
      </c>
      <c r="N2454">
        <v>401</v>
      </c>
      <c r="O2454" t="s">
        <v>76</v>
      </c>
      <c r="Q2454">
        <v>1.7</v>
      </c>
      <c r="R2454" t="str">
        <f>"CORA SOCIEDADE DE CREDITO, FINANCIAMENTO E INVESTIMENTO (20035)"</f>
        <v>CORA SOCIEDADE DE CREDITO, FINANCIAMENTO E INVESTIMENTO (20035)</v>
      </c>
      <c r="S2454" t="s">
        <v>22</v>
      </c>
      <c r="T2454">
        <v>22242</v>
      </c>
      <c r="U2454">
        <v>26013</v>
      </c>
      <c r="V2454" t="s">
        <v>22</v>
      </c>
    </row>
    <row r="2455" spans="1:22">
      <c r="A2455" t="str">
        <f t="shared" si="451"/>
        <v>17/09/2025</v>
      </c>
      <c r="B2455" t="str">
        <f t="shared" si="453"/>
        <v>SAÍDA</v>
      </c>
      <c r="C2455" t="str">
        <f t="shared" si="455"/>
        <v>CONHECIMENTO</v>
      </c>
      <c r="D2455" t="str">
        <f t="shared" si="456"/>
        <v>01092025</v>
      </c>
      <c r="E2455" t="str">
        <f>"8"</f>
        <v>8</v>
      </c>
      <c r="F2455" t="str">
        <f t="shared" si="452"/>
        <v>COM</v>
      </c>
      <c r="G2455" t="str">
        <f t="shared" si="457"/>
        <v>CORA SOCIEDADE DE CREDITO, FINANCIAMENTO E INVESTIMENTO (20035)</v>
      </c>
      <c r="H2455" t="str">
        <f>"TAXA BOLETO "</f>
        <v xml:space="preserve">TAXA BOLETO </v>
      </c>
      <c r="I2455" t="str">
        <f t="shared" si="458"/>
        <v>17/09/2025</v>
      </c>
      <c r="J2455" t="str">
        <f t="shared" si="459"/>
        <v>01/09/2025</v>
      </c>
      <c r="K2455" t="str">
        <f>("17/09/2025")</f>
        <v>17/09/2025</v>
      </c>
      <c r="L2455">
        <v>1.7</v>
      </c>
      <c r="M2455">
        <v>1.7</v>
      </c>
      <c r="N2455">
        <v>401</v>
      </c>
      <c r="O2455" t="str">
        <f>"IOF/JUROS/DESP.FINANCEIRA"</f>
        <v>IOF/JUROS/DESP.FINANCEIRA</v>
      </c>
      <c r="P2455">
        <v>1.7</v>
      </c>
      <c r="S2455" t="str">
        <f>"BANCO CORA (102)"</f>
        <v>BANCO CORA (102)</v>
      </c>
      <c r="T2455">
        <v>22243</v>
      </c>
      <c r="U2455">
        <v>26014</v>
      </c>
      <c r="V2455" t="s">
        <v>22</v>
      </c>
    </row>
    <row r="2456" spans="1:22">
      <c r="A2456" t="str">
        <f t="shared" si="451"/>
        <v>17/09/2025</v>
      </c>
      <c r="B2456" t="str">
        <f t="shared" si="453"/>
        <v>SAÍDA</v>
      </c>
      <c r="C2456" t="str">
        <f t="shared" si="455"/>
        <v>CONHECIMENTO</v>
      </c>
      <c r="D2456" t="str">
        <f t="shared" si="456"/>
        <v>01092025</v>
      </c>
      <c r="E2456" t="str">
        <f>"8"</f>
        <v>8</v>
      </c>
      <c r="F2456" t="str">
        <f t="shared" si="452"/>
        <v>COM</v>
      </c>
      <c r="G2456" t="str">
        <f t="shared" si="457"/>
        <v>CORA SOCIEDADE DE CREDITO, FINANCIAMENTO E INVESTIMENTO (20035)</v>
      </c>
      <c r="H2456" t="s">
        <v>75</v>
      </c>
      <c r="I2456" t="str">
        <f t="shared" si="458"/>
        <v>17/09/2025</v>
      </c>
      <c r="J2456" t="str">
        <f t="shared" si="459"/>
        <v>01/09/2025</v>
      </c>
      <c r="K2456">
        <v>45917</v>
      </c>
      <c r="N2456">
        <v>401</v>
      </c>
      <c r="O2456" t="s">
        <v>76</v>
      </c>
      <c r="Q2456">
        <v>1.7</v>
      </c>
      <c r="R2456" t="str">
        <f>"CORA SOCIEDADE DE CREDITO, FINANCIAMENTO E INVESTIMENTO (20035)"</f>
        <v>CORA SOCIEDADE DE CREDITO, FINANCIAMENTO E INVESTIMENTO (20035)</v>
      </c>
      <c r="S2456" t="s">
        <v>22</v>
      </c>
      <c r="T2456">
        <v>22243</v>
      </c>
      <c r="U2456">
        <v>26014</v>
      </c>
      <c r="V2456" t="s">
        <v>22</v>
      </c>
    </row>
    <row r="2457" spans="1:22">
      <c r="A2457" t="str">
        <f t="shared" ref="A2457:A2520" si="460">("18/09/2025")</f>
        <v>18/09/2025</v>
      </c>
      <c r="B2457" t="str">
        <f t="shared" si="453"/>
        <v>SAÍDA</v>
      </c>
      <c r="C2457" t="str">
        <f t="shared" ref="C2457:C2520" si="461">"PIX"</f>
        <v>PIX</v>
      </c>
      <c r="D2457" t="str">
        <f>"1809"</f>
        <v>1809</v>
      </c>
      <c r="E2457" t="str">
        <f>"25"</f>
        <v>25</v>
      </c>
      <c r="F2457" t="str">
        <f t="shared" si="452"/>
        <v>COM</v>
      </c>
      <c r="G2457" t="str">
        <f>"DIEGO DIRLEY RIBEIRO (38)"</f>
        <v>DIEGO DIRLEY RIBEIRO (38)</v>
      </c>
      <c r="H2457" t="str">
        <f>"BONUS PERFORMANCE ENTREGAS - PIX: CPF - CHAVE: 102.023.716-38"</f>
        <v>BONUS PERFORMANCE ENTREGAS - PIX: CPF - CHAVE: 102.023.716-38</v>
      </c>
      <c r="I2457" t="str">
        <f t="shared" ref="I2457:I2520" si="462">("18/09/2025")</f>
        <v>18/09/2025</v>
      </c>
      <c r="J2457" t="str">
        <f>("15/09/2025")</f>
        <v>15/09/2025</v>
      </c>
      <c r="K2457" t="str">
        <f>("18/09/2025")</f>
        <v>18/09/2025</v>
      </c>
      <c r="L2457">
        <v>200</v>
      </c>
      <c r="M2457">
        <v>200</v>
      </c>
      <c r="N2457">
        <v>109</v>
      </c>
      <c r="O2457" t="str">
        <f>"PAGAMENTO DE ENTREGADORES"</f>
        <v>PAGAMENTO DE ENTREGADORES</v>
      </c>
      <c r="P2457">
        <v>200</v>
      </c>
      <c r="S2457" t="str">
        <f>"BANCO CORA (102)"</f>
        <v>BANCO CORA (102)</v>
      </c>
      <c r="T2457">
        <v>18309</v>
      </c>
      <c r="U2457">
        <v>22232</v>
      </c>
      <c r="V2457" t="s">
        <v>22</v>
      </c>
    </row>
    <row r="2458" spans="1:22">
      <c r="A2458" t="str">
        <f t="shared" si="460"/>
        <v>18/09/2025</v>
      </c>
      <c r="B2458" t="str">
        <f t="shared" si="453"/>
        <v>SAÍDA</v>
      </c>
      <c r="C2458" t="str">
        <f t="shared" si="461"/>
        <v>PIX</v>
      </c>
      <c r="D2458" t="str">
        <f>"1809"</f>
        <v>1809</v>
      </c>
      <c r="E2458" t="str">
        <f>"25"</f>
        <v>25</v>
      </c>
      <c r="F2458" t="str">
        <f t="shared" si="452"/>
        <v>COM</v>
      </c>
      <c r="G2458" t="str">
        <f>"DIEGO DIRLEY RIBEIRO (38)"</f>
        <v>DIEGO DIRLEY RIBEIRO (38)</v>
      </c>
      <c r="H2458" t="s">
        <v>630</v>
      </c>
      <c r="I2458" t="str">
        <f t="shared" si="462"/>
        <v>18/09/2025</v>
      </c>
      <c r="J2458" t="str">
        <f>("15/09/2025")</f>
        <v>15/09/2025</v>
      </c>
      <c r="K2458">
        <v>45918</v>
      </c>
      <c r="N2458">
        <v>109</v>
      </c>
      <c r="O2458" t="s">
        <v>24</v>
      </c>
      <c r="Q2458">
        <v>200</v>
      </c>
      <c r="R2458" t="str">
        <f>"FARMÁCIA INDIANA LJ 172 (10161)"</f>
        <v>FARMÁCIA INDIANA LJ 172 (10161)</v>
      </c>
      <c r="S2458" t="s">
        <v>22</v>
      </c>
      <c r="T2458">
        <v>18309</v>
      </c>
      <c r="U2458">
        <v>22232</v>
      </c>
      <c r="V2458" t="s">
        <v>22</v>
      </c>
    </row>
    <row r="2459" spans="1:22">
      <c r="A2459" t="str">
        <f t="shared" si="460"/>
        <v>18/09/2025</v>
      </c>
      <c r="B2459" t="str">
        <f t="shared" si="453"/>
        <v>SAÍDA</v>
      </c>
      <c r="C2459" t="str">
        <f t="shared" si="461"/>
        <v>PIX</v>
      </c>
      <c r="D2459" t="str">
        <f>"1809"</f>
        <v>1809</v>
      </c>
      <c r="E2459" t="str">
        <f>"25"</f>
        <v>25</v>
      </c>
      <c r="F2459" t="str">
        <f t="shared" si="452"/>
        <v>COM</v>
      </c>
      <c r="G2459" t="str">
        <f>"PAULO HENRIQUE OLIVEIRA SILVA (39)"</f>
        <v>PAULO HENRIQUE OLIVEIRA SILVA (39)</v>
      </c>
      <c r="H2459" t="str">
        <f>"BONUS PERFORMANCE ENTREGAS - PIX: CELULAR - CHAVE: (31) 97339-3761"</f>
        <v>BONUS PERFORMANCE ENTREGAS - PIX: CELULAR - CHAVE: (31) 97339-3761</v>
      </c>
      <c r="I2459" t="str">
        <f t="shared" si="462"/>
        <v>18/09/2025</v>
      </c>
      <c r="J2459" t="str">
        <f>("15/09/2025")</f>
        <v>15/09/2025</v>
      </c>
      <c r="K2459" t="str">
        <f>("18/09/2025")</f>
        <v>18/09/2025</v>
      </c>
      <c r="L2459">
        <v>200</v>
      </c>
      <c r="M2459">
        <v>200</v>
      </c>
      <c r="N2459">
        <v>109</v>
      </c>
      <c r="O2459" t="str">
        <f>"PAGAMENTO DE ENTREGADORES"</f>
        <v>PAGAMENTO DE ENTREGADORES</v>
      </c>
      <c r="P2459">
        <v>200</v>
      </c>
      <c r="S2459" t="str">
        <f>"BANCO CORA (102)"</f>
        <v>BANCO CORA (102)</v>
      </c>
      <c r="T2459">
        <v>18310</v>
      </c>
      <c r="U2459">
        <v>22233</v>
      </c>
      <c r="V2459" t="s">
        <v>22</v>
      </c>
    </row>
    <row r="2460" spans="1:22">
      <c r="A2460" t="str">
        <f t="shared" si="460"/>
        <v>18/09/2025</v>
      </c>
      <c r="B2460" t="str">
        <f t="shared" si="453"/>
        <v>SAÍDA</v>
      </c>
      <c r="C2460" t="str">
        <f t="shared" si="461"/>
        <v>PIX</v>
      </c>
      <c r="D2460" t="str">
        <f>"1809"</f>
        <v>1809</v>
      </c>
      <c r="E2460" t="str">
        <f>"25"</f>
        <v>25</v>
      </c>
      <c r="F2460" t="str">
        <f t="shared" si="452"/>
        <v>COM</v>
      </c>
      <c r="G2460" t="str">
        <f>"PAULO HENRIQUE OLIVEIRA SILVA (39)"</f>
        <v>PAULO HENRIQUE OLIVEIRA SILVA (39)</v>
      </c>
      <c r="H2460" t="s">
        <v>631</v>
      </c>
      <c r="I2460" t="str">
        <f t="shared" si="462"/>
        <v>18/09/2025</v>
      </c>
      <c r="J2460" t="str">
        <f>("15/09/2025")</f>
        <v>15/09/2025</v>
      </c>
      <c r="K2460">
        <v>45918</v>
      </c>
      <c r="N2460">
        <v>109</v>
      </c>
      <c r="O2460" t="s">
        <v>24</v>
      </c>
      <c r="Q2460">
        <v>200</v>
      </c>
      <c r="R2460" t="str">
        <f>"FARMÁCIA INDIANA LJ 11 (10008)"</f>
        <v>FARMÁCIA INDIANA LJ 11 (10008)</v>
      </c>
      <c r="S2460" t="s">
        <v>22</v>
      </c>
      <c r="T2460">
        <v>18310</v>
      </c>
      <c r="U2460">
        <v>22233</v>
      </c>
      <c r="V2460" t="s">
        <v>22</v>
      </c>
    </row>
    <row r="2461" spans="1:22">
      <c r="A2461" t="str">
        <f t="shared" si="460"/>
        <v>18/09/2025</v>
      </c>
      <c r="B2461" t="str">
        <f t="shared" si="453"/>
        <v>SAÍDA</v>
      </c>
      <c r="C2461" t="str">
        <f t="shared" si="461"/>
        <v>PIX</v>
      </c>
      <c r="D2461" t="str">
        <f>"22132"</f>
        <v>22132</v>
      </c>
      <c r="E2461" t="str">
        <f t="shared" ref="E2461:E2524" si="463">"1"</f>
        <v>1</v>
      </c>
      <c r="F2461" t="str">
        <f t="shared" si="452"/>
        <v>COM</v>
      </c>
      <c r="G2461" t="str">
        <f>"NATÁLIA KAROLAINE GOMES BATISTA (936)"</f>
        <v>NATÁLIA KAROLAINE GOMES BATISTA (936)</v>
      </c>
      <c r="H2461" t="str">
        <f>"Serv.Prest. 08/09/2025 a 14/09/2025 - PIX: CELULAR - CHAVE: (33) 98817-9868"</f>
        <v>Serv.Prest. 08/09/2025 a 14/09/2025 - PIX: CELULAR - CHAVE: (33) 98817-9868</v>
      </c>
      <c r="I2461" t="str">
        <f t="shared" si="462"/>
        <v>18/09/2025</v>
      </c>
      <c r="J2461" t="str">
        <f>("16/09/2025")</f>
        <v>16/09/2025</v>
      </c>
      <c r="K2461" t="str">
        <f>("18/09/2025")</f>
        <v>18/09/2025</v>
      </c>
      <c r="L2461">
        <v>300</v>
      </c>
      <c r="M2461">
        <v>300</v>
      </c>
      <c r="N2461">
        <v>109</v>
      </c>
      <c r="O2461" t="str">
        <f>"PAGAMENTO DE ENTREGADORES"</f>
        <v>PAGAMENTO DE ENTREGADORES</v>
      </c>
      <c r="P2461">
        <v>300</v>
      </c>
      <c r="S2461" t="str">
        <f>"BANCO C6 (149)"</f>
        <v>BANCO C6 (149)</v>
      </c>
      <c r="T2461">
        <v>18311</v>
      </c>
      <c r="U2461">
        <v>22224</v>
      </c>
      <c r="V2461" t="s">
        <v>77</v>
      </c>
    </row>
    <row r="2462" spans="1:22">
      <c r="A2462" t="str">
        <f t="shared" si="460"/>
        <v>18/09/2025</v>
      </c>
      <c r="B2462" t="str">
        <f t="shared" si="453"/>
        <v>SAÍDA</v>
      </c>
      <c r="C2462" t="str">
        <f t="shared" si="461"/>
        <v>PIX</v>
      </c>
      <c r="D2462" t="str">
        <f>"22132"</f>
        <v>22132</v>
      </c>
      <c r="E2462" t="str">
        <f t="shared" si="463"/>
        <v>1</v>
      </c>
      <c r="F2462" t="str">
        <f t="shared" si="452"/>
        <v>COM</v>
      </c>
      <c r="G2462" t="str">
        <f>"NATÁLIA KAROLAINE GOMES BATISTA (936)"</f>
        <v>NATÁLIA KAROLAINE GOMES BATISTA (936)</v>
      </c>
      <c r="H2462" t="s">
        <v>632</v>
      </c>
      <c r="I2462" t="str">
        <f t="shared" si="462"/>
        <v>18/09/2025</v>
      </c>
      <c r="J2462" t="str">
        <f>("16/09/2025")</f>
        <v>16/09/2025</v>
      </c>
      <c r="K2462">
        <v>45918</v>
      </c>
      <c r="N2462">
        <v>109</v>
      </c>
      <c r="O2462" t="s">
        <v>24</v>
      </c>
      <c r="Q2462">
        <v>300</v>
      </c>
      <c r="R2462" t="str">
        <f>"FARMÁCIA INDIANA LJ 07 (10007)"</f>
        <v>FARMÁCIA INDIANA LJ 07 (10007)</v>
      </c>
      <c r="S2462" t="s">
        <v>77</v>
      </c>
      <c r="T2462">
        <v>18311</v>
      </c>
      <c r="U2462">
        <v>22224</v>
      </c>
      <c r="V2462" t="s">
        <v>77</v>
      </c>
    </row>
    <row r="2463" spans="1:22">
      <c r="A2463" t="str">
        <f t="shared" si="460"/>
        <v>18/09/2025</v>
      </c>
      <c r="B2463" t="str">
        <f t="shared" si="453"/>
        <v>SAÍDA</v>
      </c>
      <c r="C2463" t="str">
        <f t="shared" si="461"/>
        <v>PIX</v>
      </c>
      <c r="D2463" t="str">
        <f>"22216"</f>
        <v>22216</v>
      </c>
      <c r="E2463" t="str">
        <f t="shared" si="463"/>
        <v>1</v>
      </c>
      <c r="F2463" t="str">
        <f t="shared" si="452"/>
        <v>COM</v>
      </c>
      <c r="G2463" t="str">
        <f>"HERICK KUSSYOYADA CAMARA (937)"</f>
        <v>HERICK KUSSYOYADA CAMARA (937)</v>
      </c>
      <c r="H2463" t="str">
        <f>"Serv.Prest. 10/09/2025 a 14/09/2025 - PIX: CPF - CHAVE: 427.090.718-51"</f>
        <v>Serv.Prest. 10/09/2025 a 14/09/2025 - PIX: CPF - CHAVE: 427.090.718-51</v>
      </c>
      <c r="I2463" t="str">
        <f t="shared" si="462"/>
        <v>18/09/2025</v>
      </c>
      <c r="J2463" t="str">
        <f>("17/09/2025")</f>
        <v>17/09/2025</v>
      </c>
      <c r="K2463" t="str">
        <f>("18/09/2025")</f>
        <v>18/09/2025</v>
      </c>
      <c r="L2463">
        <v>1000</v>
      </c>
      <c r="M2463">
        <v>1000</v>
      </c>
      <c r="N2463">
        <v>109</v>
      </c>
      <c r="O2463" t="str">
        <f>"PAGAMENTO DE ENTREGADORES"</f>
        <v>PAGAMENTO DE ENTREGADORES</v>
      </c>
      <c r="P2463">
        <v>1000</v>
      </c>
      <c r="S2463" t="str">
        <f>"BANCO C6 (149)"</f>
        <v>BANCO C6 (149)</v>
      </c>
      <c r="T2463">
        <v>18312</v>
      </c>
      <c r="U2463">
        <v>22216</v>
      </c>
      <c r="V2463" t="s">
        <v>77</v>
      </c>
    </row>
    <row r="2464" spans="1:22">
      <c r="A2464" t="str">
        <f t="shared" si="460"/>
        <v>18/09/2025</v>
      </c>
      <c r="B2464" t="str">
        <f t="shared" si="453"/>
        <v>SAÍDA</v>
      </c>
      <c r="C2464" t="str">
        <f t="shared" si="461"/>
        <v>PIX</v>
      </c>
      <c r="D2464" t="str">
        <f>"22216"</f>
        <v>22216</v>
      </c>
      <c r="E2464" t="str">
        <f t="shared" si="463"/>
        <v>1</v>
      </c>
      <c r="F2464" t="str">
        <f t="shared" si="452"/>
        <v>COM</v>
      </c>
      <c r="G2464" t="str">
        <f>"HERICK KUSSYOYADA CAMARA (937)"</f>
        <v>HERICK KUSSYOYADA CAMARA (937)</v>
      </c>
      <c r="H2464" t="s">
        <v>633</v>
      </c>
      <c r="I2464" t="str">
        <f t="shared" si="462"/>
        <v>18/09/2025</v>
      </c>
      <c r="J2464" t="str">
        <f>("17/09/2025")</f>
        <v>17/09/2025</v>
      </c>
      <c r="K2464">
        <v>45918</v>
      </c>
      <c r="N2464">
        <v>109</v>
      </c>
      <c r="O2464" t="s">
        <v>24</v>
      </c>
      <c r="Q2464">
        <v>1000</v>
      </c>
      <c r="R2464" t="str">
        <f>"PENSE FARMA 46 (10194)"</f>
        <v>PENSE FARMA 46 (10194)</v>
      </c>
      <c r="S2464" t="s">
        <v>77</v>
      </c>
      <c r="T2464">
        <v>18312</v>
      </c>
      <c r="U2464">
        <v>22216</v>
      </c>
      <c r="V2464" t="s">
        <v>77</v>
      </c>
    </row>
    <row r="2465" spans="1:22">
      <c r="A2465" t="str">
        <f t="shared" si="460"/>
        <v>18/09/2025</v>
      </c>
      <c r="B2465" t="str">
        <f t="shared" si="453"/>
        <v>SAÍDA</v>
      </c>
      <c r="C2465" t="str">
        <f t="shared" si="461"/>
        <v>PIX</v>
      </c>
      <c r="D2465" t="str">
        <f>"20584"</f>
        <v>20584</v>
      </c>
      <c r="E2465" t="str">
        <f t="shared" si="463"/>
        <v>1</v>
      </c>
      <c r="F2465" t="str">
        <f t="shared" si="452"/>
        <v>COM</v>
      </c>
      <c r="G2465" t="str">
        <f t="shared" ref="G2465:G2472" si="464">"HENRIQUE AMORIM DA SILVA (447)"</f>
        <v>HENRIQUE AMORIM DA SILVA (447)</v>
      </c>
      <c r="H2465" t="str">
        <f>"Serv.Prest. 11/08/2025 a 17/08/2025 - PIX: CELULAR - CHAVE: (33) 99854-8720"</f>
        <v>Serv.Prest. 11/08/2025 a 17/08/2025 - PIX: CELULAR - CHAVE: (33) 99854-8720</v>
      </c>
      <c r="I2465" t="str">
        <f t="shared" si="462"/>
        <v>18/09/2025</v>
      </c>
      <c r="J2465" t="str">
        <f>("19/08/2025")</f>
        <v>19/08/2025</v>
      </c>
      <c r="K2465" t="str">
        <f>("18/09/2025")</f>
        <v>18/09/2025</v>
      </c>
      <c r="L2465">
        <v>648.12</v>
      </c>
      <c r="M2465">
        <v>648.12</v>
      </c>
      <c r="N2465">
        <v>109</v>
      </c>
      <c r="O2465" t="str">
        <f>"PAGAMENTO DE ENTREGADORES"</f>
        <v>PAGAMENTO DE ENTREGADORES</v>
      </c>
      <c r="P2465">
        <v>648.12</v>
      </c>
      <c r="S2465" t="str">
        <f>"BANCO C6 (149)"</f>
        <v>BANCO C6 (149)</v>
      </c>
      <c r="T2465">
        <v>18313</v>
      </c>
      <c r="U2465">
        <v>20584</v>
      </c>
      <c r="V2465" t="s">
        <v>77</v>
      </c>
    </row>
    <row r="2466" spans="1:22">
      <c r="A2466" t="str">
        <f t="shared" si="460"/>
        <v>18/09/2025</v>
      </c>
      <c r="B2466" t="str">
        <f t="shared" si="453"/>
        <v>SAÍDA</v>
      </c>
      <c r="C2466" t="str">
        <f t="shared" si="461"/>
        <v>PIX</v>
      </c>
      <c r="D2466" t="str">
        <f>"20584"</f>
        <v>20584</v>
      </c>
      <c r="E2466" t="str">
        <f t="shared" si="463"/>
        <v>1</v>
      </c>
      <c r="F2466" t="str">
        <f t="shared" si="452"/>
        <v>COM</v>
      </c>
      <c r="G2466" t="str">
        <f t="shared" si="464"/>
        <v>HENRIQUE AMORIM DA SILVA (447)</v>
      </c>
      <c r="H2466" t="s">
        <v>634</v>
      </c>
      <c r="I2466" t="str">
        <f t="shared" si="462"/>
        <v>18/09/2025</v>
      </c>
      <c r="J2466" t="str">
        <f>("19/08/2025")</f>
        <v>19/08/2025</v>
      </c>
      <c r="K2466">
        <v>45918</v>
      </c>
      <c r="N2466">
        <v>109</v>
      </c>
      <c r="O2466" t="s">
        <v>24</v>
      </c>
      <c r="Q2466">
        <v>648.12</v>
      </c>
      <c r="R2466" t="str">
        <f>"FARMÁCIA INDIANA LJ 171 (10074)"</f>
        <v>FARMÁCIA INDIANA LJ 171 (10074)</v>
      </c>
      <c r="S2466" t="s">
        <v>77</v>
      </c>
      <c r="T2466">
        <v>18313</v>
      </c>
      <c r="U2466">
        <v>20584</v>
      </c>
      <c r="V2466" t="s">
        <v>77</v>
      </c>
    </row>
    <row r="2467" spans="1:22">
      <c r="A2467" t="str">
        <f t="shared" si="460"/>
        <v>18/09/2025</v>
      </c>
      <c r="B2467" t="str">
        <f t="shared" si="453"/>
        <v>SAÍDA</v>
      </c>
      <c r="C2467" t="str">
        <f t="shared" si="461"/>
        <v>PIX</v>
      </c>
      <c r="D2467" t="str">
        <f>"20870"</f>
        <v>20870</v>
      </c>
      <c r="E2467" t="str">
        <f t="shared" si="463"/>
        <v>1</v>
      </c>
      <c r="F2467" t="str">
        <f t="shared" si="452"/>
        <v>COM</v>
      </c>
      <c r="G2467" t="str">
        <f t="shared" si="464"/>
        <v>HENRIQUE AMORIM DA SILVA (447)</v>
      </c>
      <c r="H2467" t="str">
        <f>"Serv.Prest. 18/08/2025 a 24/08/2025 - PIX: CELULAR - CHAVE: (33) 99854-8720"</f>
        <v>Serv.Prest. 18/08/2025 a 24/08/2025 - PIX: CELULAR - CHAVE: (33) 99854-8720</v>
      </c>
      <c r="I2467" t="str">
        <f t="shared" si="462"/>
        <v>18/09/2025</v>
      </c>
      <c r="J2467" t="str">
        <f>("25/08/2025")</f>
        <v>25/08/2025</v>
      </c>
      <c r="K2467" t="str">
        <f>("18/09/2025")</f>
        <v>18/09/2025</v>
      </c>
      <c r="L2467">
        <v>750</v>
      </c>
      <c r="M2467">
        <v>750</v>
      </c>
      <c r="N2467">
        <v>109</v>
      </c>
      <c r="O2467" t="str">
        <f>"PAGAMENTO DE ENTREGADORES"</f>
        <v>PAGAMENTO DE ENTREGADORES</v>
      </c>
      <c r="P2467">
        <v>750</v>
      </c>
      <c r="S2467" t="str">
        <f>"BANCO C6 (149)"</f>
        <v>BANCO C6 (149)</v>
      </c>
      <c r="T2467">
        <v>18314</v>
      </c>
      <c r="U2467">
        <v>20870</v>
      </c>
      <c r="V2467" t="s">
        <v>77</v>
      </c>
    </row>
    <row r="2468" spans="1:22">
      <c r="A2468" t="str">
        <f t="shared" si="460"/>
        <v>18/09/2025</v>
      </c>
      <c r="B2468" t="str">
        <f t="shared" si="453"/>
        <v>SAÍDA</v>
      </c>
      <c r="C2468" t="str">
        <f t="shared" si="461"/>
        <v>PIX</v>
      </c>
      <c r="D2468" t="str">
        <f>"20870"</f>
        <v>20870</v>
      </c>
      <c r="E2468" t="str">
        <f t="shared" si="463"/>
        <v>1</v>
      </c>
      <c r="F2468" t="str">
        <f t="shared" si="452"/>
        <v>COM</v>
      </c>
      <c r="G2468" t="str">
        <f t="shared" si="464"/>
        <v>HENRIQUE AMORIM DA SILVA (447)</v>
      </c>
      <c r="H2468" t="s">
        <v>635</v>
      </c>
      <c r="I2468" t="str">
        <f t="shared" si="462"/>
        <v>18/09/2025</v>
      </c>
      <c r="J2468" t="str">
        <f>("25/08/2025")</f>
        <v>25/08/2025</v>
      </c>
      <c r="K2468">
        <v>45918</v>
      </c>
      <c r="N2468">
        <v>109</v>
      </c>
      <c r="O2468" t="s">
        <v>24</v>
      </c>
      <c r="Q2468">
        <v>750</v>
      </c>
      <c r="R2468" t="str">
        <f>"FARMÁCIA INDIANA LJ 171 (10074)"</f>
        <v>FARMÁCIA INDIANA LJ 171 (10074)</v>
      </c>
      <c r="S2468" t="s">
        <v>77</v>
      </c>
      <c r="T2468">
        <v>18314</v>
      </c>
      <c r="U2468">
        <v>20870</v>
      </c>
      <c r="V2468" t="s">
        <v>77</v>
      </c>
    </row>
    <row r="2469" spans="1:22">
      <c r="A2469" t="str">
        <f t="shared" si="460"/>
        <v>18/09/2025</v>
      </c>
      <c r="B2469" t="str">
        <f t="shared" si="453"/>
        <v>SAÍDA</v>
      </c>
      <c r="C2469" t="str">
        <f t="shared" si="461"/>
        <v>PIX</v>
      </c>
      <c r="D2469" t="str">
        <f>"20870"</f>
        <v>20870</v>
      </c>
      <c r="E2469" t="str">
        <f t="shared" si="463"/>
        <v>1</v>
      </c>
      <c r="F2469" t="str">
        <f t="shared" si="452"/>
        <v>COM</v>
      </c>
      <c r="G2469" t="str">
        <f t="shared" si="464"/>
        <v>HENRIQUE AMORIM DA SILVA (447)</v>
      </c>
      <c r="H2469" t="str">
        <f>"Serv.Prest. 18/08/2025 a 24/08/2025 - PIX: CELULAR - CHAVE: (33) 99854-8720"</f>
        <v>Serv.Prest. 18/08/2025 a 24/08/2025 - PIX: CELULAR - CHAVE: (33) 99854-8720</v>
      </c>
      <c r="I2469" t="str">
        <f t="shared" si="462"/>
        <v>18/09/2025</v>
      </c>
      <c r="J2469" t="str">
        <f>("25/08/2025")</f>
        <v>25/08/2025</v>
      </c>
      <c r="K2469" t="str">
        <f>("18/09/2025")</f>
        <v>18/09/2025</v>
      </c>
      <c r="L2469">
        <v>140</v>
      </c>
      <c r="M2469">
        <v>140</v>
      </c>
      <c r="N2469">
        <v>109</v>
      </c>
      <c r="O2469" t="str">
        <f>"PAGAMENTO DE ENTREGADORES"</f>
        <v>PAGAMENTO DE ENTREGADORES</v>
      </c>
      <c r="P2469">
        <v>140</v>
      </c>
      <c r="S2469" t="str">
        <f>"BANCO C6 (149)"</f>
        <v>BANCO C6 (149)</v>
      </c>
      <c r="T2469">
        <v>18315</v>
      </c>
      <c r="U2469">
        <v>21009</v>
      </c>
      <c r="V2469" t="s">
        <v>77</v>
      </c>
    </row>
    <row r="2470" spans="1:22">
      <c r="A2470" t="str">
        <f t="shared" si="460"/>
        <v>18/09/2025</v>
      </c>
      <c r="B2470" t="str">
        <f t="shared" si="453"/>
        <v>SAÍDA</v>
      </c>
      <c r="C2470" t="str">
        <f t="shared" si="461"/>
        <v>PIX</v>
      </c>
      <c r="D2470" t="str">
        <f>"20870"</f>
        <v>20870</v>
      </c>
      <c r="E2470" t="str">
        <f t="shared" si="463"/>
        <v>1</v>
      </c>
      <c r="F2470" t="str">
        <f t="shared" si="452"/>
        <v>COM</v>
      </c>
      <c r="G2470" t="str">
        <f t="shared" si="464"/>
        <v>HENRIQUE AMORIM DA SILVA (447)</v>
      </c>
      <c r="H2470" t="s">
        <v>635</v>
      </c>
      <c r="I2470" t="str">
        <f t="shared" si="462"/>
        <v>18/09/2025</v>
      </c>
      <c r="J2470" t="str">
        <f>("25/08/2025")</f>
        <v>25/08/2025</v>
      </c>
      <c r="K2470">
        <v>45918</v>
      </c>
      <c r="N2470">
        <v>109</v>
      </c>
      <c r="O2470" t="s">
        <v>24</v>
      </c>
      <c r="Q2470">
        <v>140</v>
      </c>
      <c r="R2470" t="str">
        <f>"FARMÁCIA INDIANA LJ 171 (10074)"</f>
        <v>FARMÁCIA INDIANA LJ 171 (10074)</v>
      </c>
      <c r="S2470" t="s">
        <v>77</v>
      </c>
      <c r="T2470">
        <v>18315</v>
      </c>
      <c r="U2470">
        <v>21009</v>
      </c>
      <c r="V2470" t="s">
        <v>77</v>
      </c>
    </row>
    <row r="2471" spans="1:22">
      <c r="A2471" t="str">
        <f t="shared" si="460"/>
        <v>18/09/2025</v>
      </c>
      <c r="B2471" t="str">
        <f t="shared" si="453"/>
        <v>SAÍDA</v>
      </c>
      <c r="C2471" t="str">
        <f t="shared" si="461"/>
        <v>PIX</v>
      </c>
      <c r="D2471" t="str">
        <f>"21203"</f>
        <v>21203</v>
      </c>
      <c r="E2471" t="str">
        <f t="shared" si="463"/>
        <v>1</v>
      </c>
      <c r="F2471" t="str">
        <f t="shared" si="452"/>
        <v>COM</v>
      </c>
      <c r="G2471" t="str">
        <f t="shared" si="464"/>
        <v>HENRIQUE AMORIM DA SILVA (447)</v>
      </c>
      <c r="H2471" t="str">
        <f>"Serv.Prest. 25/08/2025 a 31/08/2025 - PIX: CELULAR - CHAVE: (33) 99854-8720"</f>
        <v>Serv.Prest. 25/08/2025 a 31/08/2025 - PIX: CELULAR - CHAVE: (33) 99854-8720</v>
      </c>
      <c r="I2471" t="str">
        <f t="shared" si="462"/>
        <v>18/09/2025</v>
      </c>
      <c r="J2471" t="str">
        <f>("02/09/2025")</f>
        <v>02/09/2025</v>
      </c>
      <c r="K2471" t="str">
        <f>("18/09/2025")</f>
        <v>18/09/2025</v>
      </c>
      <c r="L2471">
        <v>196.04</v>
      </c>
      <c r="M2471">
        <v>196.04</v>
      </c>
      <c r="N2471">
        <v>109</v>
      </c>
      <c r="O2471" t="str">
        <f>"PAGAMENTO DE ENTREGADORES"</f>
        <v>PAGAMENTO DE ENTREGADORES</v>
      </c>
      <c r="P2471">
        <v>196.04</v>
      </c>
      <c r="S2471" t="str">
        <f>"BANCO C6 (149)"</f>
        <v>BANCO C6 (149)</v>
      </c>
      <c r="T2471">
        <v>18316</v>
      </c>
      <c r="U2471">
        <v>21203</v>
      </c>
      <c r="V2471" t="s">
        <v>77</v>
      </c>
    </row>
    <row r="2472" spans="1:22">
      <c r="A2472" t="str">
        <f t="shared" si="460"/>
        <v>18/09/2025</v>
      </c>
      <c r="B2472" t="str">
        <f t="shared" si="453"/>
        <v>SAÍDA</v>
      </c>
      <c r="C2472" t="str">
        <f t="shared" si="461"/>
        <v>PIX</v>
      </c>
      <c r="D2472" t="str">
        <f>"21203"</f>
        <v>21203</v>
      </c>
      <c r="E2472" t="str">
        <f t="shared" si="463"/>
        <v>1</v>
      </c>
      <c r="F2472" t="str">
        <f t="shared" si="452"/>
        <v>COM</v>
      </c>
      <c r="G2472" t="str">
        <f t="shared" si="464"/>
        <v>HENRIQUE AMORIM DA SILVA (447)</v>
      </c>
      <c r="H2472" t="s">
        <v>612</v>
      </c>
      <c r="I2472" t="str">
        <f t="shared" si="462"/>
        <v>18/09/2025</v>
      </c>
      <c r="J2472" t="str">
        <f>("02/09/2025")</f>
        <v>02/09/2025</v>
      </c>
      <c r="K2472">
        <v>45918</v>
      </c>
      <c r="N2472">
        <v>109</v>
      </c>
      <c r="O2472" t="s">
        <v>24</v>
      </c>
      <c r="Q2472">
        <v>196.04</v>
      </c>
      <c r="R2472" t="str">
        <f>"FARMÁCIA INDIANA LJ 171 (10074)"</f>
        <v>FARMÁCIA INDIANA LJ 171 (10074)</v>
      </c>
      <c r="S2472" t="s">
        <v>77</v>
      </c>
      <c r="T2472">
        <v>18316</v>
      </c>
      <c r="U2472">
        <v>21203</v>
      </c>
      <c r="V2472" t="s">
        <v>77</v>
      </c>
    </row>
    <row r="2473" spans="1:22">
      <c r="A2473" t="str">
        <f t="shared" si="460"/>
        <v>18/09/2025</v>
      </c>
      <c r="B2473" t="str">
        <f t="shared" si="453"/>
        <v>SAÍDA</v>
      </c>
      <c r="C2473" t="str">
        <f t="shared" si="461"/>
        <v>PIX</v>
      </c>
      <c r="D2473" t="str">
        <f>"21490"</f>
        <v>21490</v>
      </c>
      <c r="E2473" t="str">
        <f t="shared" si="463"/>
        <v>1</v>
      </c>
      <c r="F2473" t="str">
        <f t="shared" si="452"/>
        <v>COM</v>
      </c>
      <c r="G2473" t="str">
        <f>"ADRYAN NUNES MARTINS (857)"</f>
        <v>ADRYAN NUNES MARTINS (857)</v>
      </c>
      <c r="H2473" t="str">
        <f>"Serv.Prest. 01/09/2025 a 07/09/2025 - PIX: CPF - CHAVE: 021.178.446-00"</f>
        <v>Serv.Prest. 01/09/2025 a 07/09/2025 - PIX: CPF - CHAVE: 021.178.446-00</v>
      </c>
      <c r="I2473" t="str">
        <f t="shared" si="462"/>
        <v>18/09/2025</v>
      </c>
      <c r="J2473" t="str">
        <f t="shared" ref="J2473:J2536" si="465">("08/09/2025")</f>
        <v>08/09/2025</v>
      </c>
      <c r="K2473" t="str">
        <f>("18/09/2025")</f>
        <v>18/09/2025</v>
      </c>
      <c r="L2473">
        <v>350.8</v>
      </c>
      <c r="M2473">
        <v>350.8</v>
      </c>
      <c r="N2473">
        <v>109</v>
      </c>
      <c r="O2473" t="str">
        <f>"PAGAMENTO DE ENTREGADORES"</f>
        <v>PAGAMENTO DE ENTREGADORES</v>
      </c>
      <c r="P2473">
        <v>350.8</v>
      </c>
      <c r="S2473" t="str">
        <f>"BANCO C6 (149)"</f>
        <v>BANCO C6 (149)</v>
      </c>
      <c r="T2473">
        <v>18317</v>
      </c>
      <c r="U2473">
        <v>21490</v>
      </c>
      <c r="V2473" t="s">
        <v>77</v>
      </c>
    </row>
    <row r="2474" spans="1:22">
      <c r="A2474" t="str">
        <f t="shared" si="460"/>
        <v>18/09/2025</v>
      </c>
      <c r="B2474" t="str">
        <f t="shared" si="453"/>
        <v>SAÍDA</v>
      </c>
      <c r="C2474" t="str">
        <f t="shared" si="461"/>
        <v>PIX</v>
      </c>
      <c r="D2474" t="str">
        <f>"21490"</f>
        <v>21490</v>
      </c>
      <c r="E2474" t="str">
        <f t="shared" si="463"/>
        <v>1</v>
      </c>
      <c r="F2474" t="str">
        <f t="shared" si="452"/>
        <v>COM</v>
      </c>
      <c r="G2474" t="str">
        <f>"ADRYAN NUNES MARTINS (857)"</f>
        <v>ADRYAN NUNES MARTINS (857)</v>
      </c>
      <c r="H2474" t="s">
        <v>323</v>
      </c>
      <c r="I2474" t="str">
        <f t="shared" si="462"/>
        <v>18/09/2025</v>
      </c>
      <c r="J2474" t="str">
        <f t="shared" si="465"/>
        <v>08/09/2025</v>
      </c>
      <c r="K2474">
        <v>45918</v>
      </c>
      <c r="N2474">
        <v>109</v>
      </c>
      <c r="O2474" t="s">
        <v>24</v>
      </c>
      <c r="Q2474">
        <v>309.05</v>
      </c>
      <c r="R2474" t="str">
        <f>"FARMÁCIA INDIANA LJ 116 (10051)"</f>
        <v>FARMÁCIA INDIANA LJ 116 (10051)</v>
      </c>
      <c r="S2474" t="s">
        <v>77</v>
      </c>
      <c r="T2474">
        <v>18317</v>
      </c>
      <c r="U2474">
        <v>21490</v>
      </c>
      <c r="V2474" t="s">
        <v>77</v>
      </c>
    </row>
    <row r="2475" spans="1:22">
      <c r="A2475" t="str">
        <f t="shared" si="460"/>
        <v>18/09/2025</v>
      </c>
      <c r="B2475" t="str">
        <f t="shared" si="453"/>
        <v>SAÍDA</v>
      </c>
      <c r="C2475" t="str">
        <f t="shared" si="461"/>
        <v>PIX</v>
      </c>
      <c r="D2475" t="str">
        <f>"21490"</f>
        <v>21490</v>
      </c>
      <c r="E2475" t="str">
        <f t="shared" si="463"/>
        <v>1</v>
      </c>
      <c r="F2475" t="str">
        <f t="shared" si="452"/>
        <v>COM</v>
      </c>
      <c r="G2475" t="str">
        <f>"ADRYAN NUNES MARTINS (857)"</f>
        <v>ADRYAN NUNES MARTINS (857)</v>
      </c>
      <c r="H2475" t="s">
        <v>323</v>
      </c>
      <c r="I2475" t="str">
        <f t="shared" si="462"/>
        <v>18/09/2025</v>
      </c>
      <c r="J2475" t="str">
        <f t="shared" si="465"/>
        <v>08/09/2025</v>
      </c>
      <c r="K2475">
        <v>45918</v>
      </c>
      <c r="N2475">
        <v>109</v>
      </c>
      <c r="O2475" t="s">
        <v>24</v>
      </c>
      <c r="Q2475">
        <v>41.75</v>
      </c>
      <c r="R2475" t="str">
        <f>"FARMÁCIA INDIANA LJ 121 (10054)"</f>
        <v>FARMÁCIA INDIANA LJ 121 (10054)</v>
      </c>
      <c r="S2475" t="s">
        <v>77</v>
      </c>
      <c r="T2475">
        <v>18317</v>
      </c>
      <c r="U2475">
        <v>21490</v>
      </c>
      <c r="V2475" t="s">
        <v>77</v>
      </c>
    </row>
    <row r="2476" spans="1:22">
      <c r="A2476" t="str">
        <f t="shared" si="460"/>
        <v>18/09/2025</v>
      </c>
      <c r="B2476" t="str">
        <f t="shared" si="453"/>
        <v>SAÍDA</v>
      </c>
      <c r="C2476" t="str">
        <f t="shared" si="461"/>
        <v>PIX</v>
      </c>
      <c r="D2476" t="str">
        <f>"21491"</f>
        <v>21491</v>
      </c>
      <c r="E2476" t="str">
        <f t="shared" si="463"/>
        <v>1</v>
      </c>
      <c r="F2476" t="str">
        <f t="shared" si="452"/>
        <v>COM</v>
      </c>
      <c r="G2476" t="str">
        <f>"ALEXSSANDER VIANA FEITOSA (48)"</f>
        <v>ALEXSSANDER VIANA FEITOSA (48)</v>
      </c>
      <c r="H2476" t="str">
        <f>"Serv.Prest. 01/09/2025 a 07/09/2025 - PIX: CPF - CHAVE: 134.385.606-07"</f>
        <v>Serv.Prest. 01/09/2025 a 07/09/2025 - PIX: CPF - CHAVE: 134.385.606-07</v>
      </c>
      <c r="I2476" t="str">
        <f t="shared" si="462"/>
        <v>18/09/2025</v>
      </c>
      <c r="J2476" t="str">
        <f t="shared" si="465"/>
        <v>08/09/2025</v>
      </c>
      <c r="K2476" t="str">
        <f>("18/09/2025")</f>
        <v>18/09/2025</v>
      </c>
      <c r="L2476">
        <v>78</v>
      </c>
      <c r="M2476">
        <v>78</v>
      </c>
      <c r="N2476">
        <v>109</v>
      </c>
      <c r="O2476" t="str">
        <f>"PAGAMENTO DE ENTREGADORES"</f>
        <v>PAGAMENTO DE ENTREGADORES</v>
      </c>
      <c r="P2476">
        <v>78</v>
      </c>
      <c r="S2476" t="str">
        <f>"BANCO C6 (149)"</f>
        <v>BANCO C6 (149)</v>
      </c>
      <c r="T2476">
        <v>18318</v>
      </c>
      <c r="U2476">
        <v>21491</v>
      </c>
      <c r="V2476" t="s">
        <v>77</v>
      </c>
    </row>
    <row r="2477" spans="1:22">
      <c r="A2477" t="str">
        <f t="shared" si="460"/>
        <v>18/09/2025</v>
      </c>
      <c r="B2477" t="str">
        <f t="shared" si="453"/>
        <v>SAÍDA</v>
      </c>
      <c r="C2477" t="str">
        <f t="shared" si="461"/>
        <v>PIX</v>
      </c>
      <c r="D2477" t="str">
        <f>"21491"</f>
        <v>21491</v>
      </c>
      <c r="E2477" t="str">
        <f t="shared" si="463"/>
        <v>1</v>
      </c>
      <c r="F2477" t="str">
        <f t="shared" si="452"/>
        <v>COM</v>
      </c>
      <c r="G2477" t="str">
        <f>"ALEXSSANDER VIANA FEITOSA (48)"</f>
        <v>ALEXSSANDER VIANA FEITOSA (48)</v>
      </c>
      <c r="H2477" t="s">
        <v>636</v>
      </c>
      <c r="I2477" t="str">
        <f t="shared" si="462"/>
        <v>18/09/2025</v>
      </c>
      <c r="J2477" t="str">
        <f t="shared" si="465"/>
        <v>08/09/2025</v>
      </c>
      <c r="K2477">
        <v>45918</v>
      </c>
      <c r="N2477">
        <v>109</v>
      </c>
      <c r="O2477" t="s">
        <v>24</v>
      </c>
      <c r="Q2477">
        <v>78</v>
      </c>
      <c r="R2477" t="str">
        <f>"FARMÁCIA INDIANA LJ 07 (10007)"</f>
        <v>FARMÁCIA INDIANA LJ 07 (10007)</v>
      </c>
      <c r="S2477" t="s">
        <v>77</v>
      </c>
      <c r="T2477">
        <v>18318</v>
      </c>
      <c r="U2477">
        <v>21491</v>
      </c>
      <c r="V2477" t="s">
        <v>77</v>
      </c>
    </row>
    <row r="2478" spans="1:22">
      <c r="A2478" t="str">
        <f t="shared" si="460"/>
        <v>18/09/2025</v>
      </c>
      <c r="B2478" t="str">
        <f t="shared" si="453"/>
        <v>SAÍDA</v>
      </c>
      <c r="C2478" t="str">
        <f t="shared" si="461"/>
        <v>PIX</v>
      </c>
      <c r="D2478" t="str">
        <f>"21492"</f>
        <v>21492</v>
      </c>
      <c r="E2478" t="str">
        <f t="shared" si="463"/>
        <v>1</v>
      </c>
      <c r="F2478" t="str">
        <f t="shared" si="452"/>
        <v>COM</v>
      </c>
      <c r="G2478" t="str">
        <f>"ALISSON FELIPE GODINHO (219)"</f>
        <v>ALISSON FELIPE GODINHO (219)</v>
      </c>
      <c r="H2478" t="str">
        <f>"Serv.Prest. 01/09/2025 a 07/09/2025 - PIX: CELULAR - CHAVE: (33) 99877-0415"</f>
        <v>Serv.Prest. 01/09/2025 a 07/09/2025 - PIX: CELULAR - CHAVE: (33) 99877-0415</v>
      </c>
      <c r="I2478" t="str">
        <f t="shared" si="462"/>
        <v>18/09/2025</v>
      </c>
      <c r="J2478" t="str">
        <f t="shared" si="465"/>
        <v>08/09/2025</v>
      </c>
      <c r="K2478" t="str">
        <f>("18/09/2025")</f>
        <v>18/09/2025</v>
      </c>
      <c r="L2478">
        <v>1788</v>
      </c>
      <c r="M2478">
        <v>1788</v>
      </c>
      <c r="N2478">
        <v>109</v>
      </c>
      <c r="O2478" t="str">
        <f>"PAGAMENTO DE ENTREGADORES"</f>
        <v>PAGAMENTO DE ENTREGADORES</v>
      </c>
      <c r="P2478">
        <v>1788</v>
      </c>
      <c r="S2478" t="str">
        <f>"BANCO C6 (149)"</f>
        <v>BANCO C6 (149)</v>
      </c>
      <c r="T2478">
        <v>18319</v>
      </c>
      <c r="U2478">
        <v>21492</v>
      </c>
      <c r="V2478" t="s">
        <v>77</v>
      </c>
    </row>
    <row r="2479" spans="1:22">
      <c r="A2479" t="str">
        <f t="shared" si="460"/>
        <v>18/09/2025</v>
      </c>
      <c r="B2479" t="str">
        <f t="shared" si="453"/>
        <v>SAÍDA</v>
      </c>
      <c r="C2479" t="str">
        <f t="shared" si="461"/>
        <v>PIX</v>
      </c>
      <c r="D2479" t="str">
        <f>"21492"</f>
        <v>21492</v>
      </c>
      <c r="E2479" t="str">
        <f t="shared" si="463"/>
        <v>1</v>
      </c>
      <c r="F2479" t="str">
        <f t="shared" si="452"/>
        <v>COM</v>
      </c>
      <c r="G2479" t="str">
        <f>"ALISSON FELIPE GODINHO (219)"</f>
        <v>ALISSON FELIPE GODINHO (219)</v>
      </c>
      <c r="H2479" t="s">
        <v>637</v>
      </c>
      <c r="I2479" t="str">
        <f t="shared" si="462"/>
        <v>18/09/2025</v>
      </c>
      <c r="J2479" t="str">
        <f t="shared" si="465"/>
        <v>08/09/2025</v>
      </c>
      <c r="K2479">
        <v>45918</v>
      </c>
      <c r="N2479">
        <v>109</v>
      </c>
      <c r="O2479" t="s">
        <v>24</v>
      </c>
      <c r="Q2479">
        <v>1788</v>
      </c>
      <c r="R2479" t="str">
        <f>"FARMÁCIA INDIANA LJ 14 (10009)"</f>
        <v>FARMÁCIA INDIANA LJ 14 (10009)</v>
      </c>
      <c r="S2479" t="s">
        <v>77</v>
      </c>
      <c r="T2479">
        <v>18319</v>
      </c>
      <c r="U2479">
        <v>21492</v>
      </c>
      <c r="V2479" t="s">
        <v>77</v>
      </c>
    </row>
    <row r="2480" spans="1:22">
      <c r="A2480" t="str">
        <f t="shared" si="460"/>
        <v>18/09/2025</v>
      </c>
      <c r="B2480" t="str">
        <f t="shared" si="453"/>
        <v>SAÍDA</v>
      </c>
      <c r="C2480" t="str">
        <f t="shared" si="461"/>
        <v>PIX</v>
      </c>
      <c r="D2480" t="str">
        <f>"21493"</f>
        <v>21493</v>
      </c>
      <c r="E2480" t="str">
        <f t="shared" si="463"/>
        <v>1</v>
      </c>
      <c r="F2480" t="str">
        <f t="shared" si="452"/>
        <v>COM</v>
      </c>
      <c r="G2480" t="str">
        <f>"AMANDA VERÍSSIMO FERREIRA (794)"</f>
        <v>AMANDA VERÍSSIMO FERREIRA (794)</v>
      </c>
      <c r="H2480" t="str">
        <f>"Serv.Prest. 01/09/2025 a 07/09/2025 - PIX: CPF - CHAVE: 099.626.666-60"</f>
        <v>Serv.Prest. 01/09/2025 a 07/09/2025 - PIX: CPF - CHAVE: 099.626.666-60</v>
      </c>
      <c r="I2480" t="str">
        <f t="shared" si="462"/>
        <v>18/09/2025</v>
      </c>
      <c r="J2480" t="str">
        <f t="shared" si="465"/>
        <v>08/09/2025</v>
      </c>
      <c r="K2480" t="str">
        <f>("18/09/2025")</f>
        <v>18/09/2025</v>
      </c>
      <c r="L2480">
        <v>750</v>
      </c>
      <c r="M2480">
        <v>750</v>
      </c>
      <c r="N2480">
        <v>109</v>
      </c>
      <c r="O2480" t="str">
        <f>"PAGAMENTO DE ENTREGADORES"</f>
        <v>PAGAMENTO DE ENTREGADORES</v>
      </c>
      <c r="P2480">
        <v>750</v>
      </c>
      <c r="S2480" t="str">
        <f>"BANCO C6 (149)"</f>
        <v>BANCO C6 (149)</v>
      </c>
      <c r="T2480">
        <v>18320</v>
      </c>
      <c r="U2480">
        <v>21493</v>
      </c>
      <c r="V2480" t="s">
        <v>77</v>
      </c>
    </row>
    <row r="2481" spans="1:22">
      <c r="A2481" t="str">
        <f t="shared" si="460"/>
        <v>18/09/2025</v>
      </c>
      <c r="B2481" t="str">
        <f t="shared" si="453"/>
        <v>SAÍDA</v>
      </c>
      <c r="C2481" t="str">
        <f t="shared" si="461"/>
        <v>PIX</v>
      </c>
      <c r="D2481" t="str">
        <f>"21493"</f>
        <v>21493</v>
      </c>
      <c r="E2481" t="str">
        <f t="shared" si="463"/>
        <v>1</v>
      </c>
      <c r="F2481" t="str">
        <f t="shared" si="452"/>
        <v>COM</v>
      </c>
      <c r="G2481" t="str">
        <f>"AMANDA VERÍSSIMO FERREIRA (794)"</f>
        <v>AMANDA VERÍSSIMO FERREIRA (794)</v>
      </c>
      <c r="H2481" t="s">
        <v>638</v>
      </c>
      <c r="I2481" t="str">
        <f t="shared" si="462"/>
        <v>18/09/2025</v>
      </c>
      <c r="J2481" t="str">
        <f t="shared" si="465"/>
        <v>08/09/2025</v>
      </c>
      <c r="K2481">
        <v>45918</v>
      </c>
      <c r="N2481">
        <v>109</v>
      </c>
      <c r="O2481" t="s">
        <v>24</v>
      </c>
      <c r="Q2481">
        <v>125.02</v>
      </c>
      <c r="R2481" t="str">
        <f>"FARMÁCIA INDIANA LJ 97 (10040)"</f>
        <v>FARMÁCIA INDIANA LJ 97 (10040)</v>
      </c>
      <c r="S2481" t="s">
        <v>77</v>
      </c>
      <c r="T2481">
        <v>18320</v>
      </c>
      <c r="U2481">
        <v>21493</v>
      </c>
      <c r="V2481" t="s">
        <v>77</v>
      </c>
    </row>
    <row r="2482" spans="1:22">
      <c r="A2482" t="str">
        <f t="shared" si="460"/>
        <v>18/09/2025</v>
      </c>
      <c r="B2482" t="str">
        <f t="shared" si="453"/>
        <v>SAÍDA</v>
      </c>
      <c r="C2482" t="str">
        <f t="shared" si="461"/>
        <v>PIX</v>
      </c>
      <c r="D2482" t="str">
        <f>"21493"</f>
        <v>21493</v>
      </c>
      <c r="E2482" t="str">
        <f t="shared" si="463"/>
        <v>1</v>
      </c>
      <c r="F2482" t="str">
        <f t="shared" si="452"/>
        <v>COM</v>
      </c>
      <c r="G2482" t="str">
        <f>"AMANDA VERÍSSIMO FERREIRA (794)"</f>
        <v>AMANDA VERÍSSIMO FERREIRA (794)</v>
      </c>
      <c r="H2482" t="s">
        <v>638</v>
      </c>
      <c r="I2482" t="str">
        <f t="shared" si="462"/>
        <v>18/09/2025</v>
      </c>
      <c r="J2482" t="str">
        <f t="shared" si="465"/>
        <v>08/09/2025</v>
      </c>
      <c r="K2482">
        <v>45918</v>
      </c>
      <c r="N2482">
        <v>109</v>
      </c>
      <c r="O2482" t="s">
        <v>24</v>
      </c>
      <c r="Q2482">
        <v>277.8</v>
      </c>
      <c r="R2482" t="str">
        <f>"FARMÁCIA INDIANA LJ 111 (10049)"</f>
        <v>FARMÁCIA INDIANA LJ 111 (10049)</v>
      </c>
      <c r="S2482" t="s">
        <v>77</v>
      </c>
      <c r="T2482">
        <v>18320</v>
      </c>
      <c r="U2482">
        <v>21493</v>
      </c>
      <c r="V2482" t="s">
        <v>77</v>
      </c>
    </row>
    <row r="2483" spans="1:22">
      <c r="A2483" t="str">
        <f t="shared" si="460"/>
        <v>18/09/2025</v>
      </c>
      <c r="B2483" t="str">
        <f t="shared" si="453"/>
        <v>SAÍDA</v>
      </c>
      <c r="C2483" t="str">
        <f t="shared" si="461"/>
        <v>PIX</v>
      </c>
      <c r="D2483" t="str">
        <f>"21493"</f>
        <v>21493</v>
      </c>
      <c r="E2483" t="str">
        <f t="shared" si="463"/>
        <v>1</v>
      </c>
      <c r="F2483" t="str">
        <f t="shared" si="452"/>
        <v>COM</v>
      </c>
      <c r="G2483" t="str">
        <f>"AMANDA VERÍSSIMO FERREIRA (794)"</f>
        <v>AMANDA VERÍSSIMO FERREIRA (794)</v>
      </c>
      <c r="H2483" t="s">
        <v>638</v>
      </c>
      <c r="I2483" t="str">
        <f t="shared" si="462"/>
        <v>18/09/2025</v>
      </c>
      <c r="J2483" t="str">
        <f t="shared" si="465"/>
        <v>08/09/2025</v>
      </c>
      <c r="K2483">
        <v>45918</v>
      </c>
      <c r="N2483">
        <v>109</v>
      </c>
      <c r="O2483" t="s">
        <v>24</v>
      </c>
      <c r="Q2483">
        <v>347.18</v>
      </c>
      <c r="R2483" t="str">
        <f>"FARMÁCIA INDIANA LJ 143 (10067)"</f>
        <v>FARMÁCIA INDIANA LJ 143 (10067)</v>
      </c>
      <c r="S2483" t="s">
        <v>77</v>
      </c>
      <c r="T2483">
        <v>18320</v>
      </c>
      <c r="U2483">
        <v>21493</v>
      </c>
      <c r="V2483" t="s">
        <v>77</v>
      </c>
    </row>
    <row r="2484" spans="1:22">
      <c r="A2484" t="str">
        <f t="shared" si="460"/>
        <v>18/09/2025</v>
      </c>
      <c r="B2484" t="str">
        <f t="shared" si="453"/>
        <v>SAÍDA</v>
      </c>
      <c r="C2484" t="str">
        <f t="shared" si="461"/>
        <v>PIX</v>
      </c>
      <c r="D2484" t="str">
        <f>"21494"</f>
        <v>21494</v>
      </c>
      <c r="E2484" t="str">
        <f t="shared" si="463"/>
        <v>1</v>
      </c>
      <c r="F2484" t="str">
        <f t="shared" si="452"/>
        <v>COM</v>
      </c>
      <c r="G2484" t="str">
        <f>"ANISSO ANIDAL DE PAULA (161)"</f>
        <v>ANISSO ANIDAL DE PAULA (161)</v>
      </c>
      <c r="H2484" t="str">
        <f>"Serv.Prest. 01/09/2025 a 07/09/2025 - PIX: E-MAIL - CHAVE: anissoanidaldepaula@gmail.com"</f>
        <v>Serv.Prest. 01/09/2025 a 07/09/2025 - PIX: E-MAIL - CHAVE: anissoanidaldepaula@gmail.com</v>
      </c>
      <c r="I2484" t="str">
        <f t="shared" si="462"/>
        <v>18/09/2025</v>
      </c>
      <c r="J2484" t="str">
        <f t="shared" si="465"/>
        <v>08/09/2025</v>
      </c>
      <c r="K2484" t="str">
        <f>("18/09/2025")</f>
        <v>18/09/2025</v>
      </c>
      <c r="L2484">
        <v>894</v>
      </c>
      <c r="M2484">
        <v>894</v>
      </c>
      <c r="N2484">
        <v>109</v>
      </c>
      <c r="O2484" t="str">
        <f>"PAGAMENTO DE ENTREGADORES"</f>
        <v>PAGAMENTO DE ENTREGADORES</v>
      </c>
      <c r="P2484">
        <v>894</v>
      </c>
      <c r="S2484" t="str">
        <f>"BANCO C6 (149)"</f>
        <v>BANCO C6 (149)</v>
      </c>
      <c r="T2484">
        <v>18321</v>
      </c>
      <c r="U2484">
        <v>21494</v>
      </c>
      <c r="V2484" t="s">
        <v>77</v>
      </c>
    </row>
    <row r="2485" spans="1:22">
      <c r="A2485" t="str">
        <f t="shared" si="460"/>
        <v>18/09/2025</v>
      </c>
      <c r="B2485" t="str">
        <f t="shared" si="453"/>
        <v>SAÍDA</v>
      </c>
      <c r="C2485" t="str">
        <f t="shared" si="461"/>
        <v>PIX</v>
      </c>
      <c r="D2485" t="str">
        <f>"21494"</f>
        <v>21494</v>
      </c>
      <c r="E2485" t="str">
        <f t="shared" si="463"/>
        <v>1</v>
      </c>
      <c r="F2485" t="str">
        <f t="shared" si="452"/>
        <v>COM</v>
      </c>
      <c r="G2485" t="str">
        <f>"ANISSO ANIDAL DE PAULA (161)"</f>
        <v>ANISSO ANIDAL DE PAULA (161)</v>
      </c>
      <c r="H2485" t="s">
        <v>639</v>
      </c>
      <c r="I2485" t="str">
        <f t="shared" si="462"/>
        <v>18/09/2025</v>
      </c>
      <c r="J2485" t="str">
        <f t="shared" si="465"/>
        <v>08/09/2025</v>
      </c>
      <c r="K2485">
        <v>45918</v>
      </c>
      <c r="N2485">
        <v>109</v>
      </c>
      <c r="O2485" t="s">
        <v>24</v>
      </c>
      <c r="Q2485">
        <v>894</v>
      </c>
      <c r="R2485" t="str">
        <f>"FARMÁCIA INDIANA LJ 18 (10011)"</f>
        <v>FARMÁCIA INDIANA LJ 18 (10011)</v>
      </c>
      <c r="S2485" t="s">
        <v>77</v>
      </c>
      <c r="T2485">
        <v>18321</v>
      </c>
      <c r="U2485">
        <v>21494</v>
      </c>
      <c r="V2485" t="s">
        <v>77</v>
      </c>
    </row>
    <row r="2486" spans="1:22">
      <c r="A2486" t="str">
        <f t="shared" si="460"/>
        <v>18/09/2025</v>
      </c>
      <c r="B2486" t="str">
        <f t="shared" si="453"/>
        <v>SAÍDA</v>
      </c>
      <c r="C2486" t="str">
        <f t="shared" si="461"/>
        <v>PIX</v>
      </c>
      <c r="D2486" t="str">
        <f>"21495"</f>
        <v>21495</v>
      </c>
      <c r="E2486" t="str">
        <f t="shared" si="463"/>
        <v>1</v>
      </c>
      <c r="F2486" t="str">
        <f t="shared" si="452"/>
        <v>COM</v>
      </c>
      <c r="G2486" t="str">
        <f>"ARLINDO JOSE MARTINS (909)"</f>
        <v>ARLINDO JOSE MARTINS (909)</v>
      </c>
      <c r="H2486" t="str">
        <f>"Serv.Prest. 01/09/2025 a 07/09/2025 - PIX: CPF - CHAVE: 037.192.076-09"</f>
        <v>Serv.Prest. 01/09/2025 a 07/09/2025 - PIX: CPF - CHAVE: 037.192.076-09</v>
      </c>
      <c r="I2486" t="str">
        <f t="shared" si="462"/>
        <v>18/09/2025</v>
      </c>
      <c r="J2486" t="str">
        <f t="shared" si="465"/>
        <v>08/09/2025</v>
      </c>
      <c r="K2486" t="str">
        <f>("18/09/2025")</f>
        <v>18/09/2025</v>
      </c>
      <c r="L2486">
        <v>803</v>
      </c>
      <c r="M2486">
        <v>803</v>
      </c>
      <c r="N2486">
        <v>109</v>
      </c>
      <c r="O2486" t="str">
        <f>"PAGAMENTO DE ENTREGADORES"</f>
        <v>PAGAMENTO DE ENTREGADORES</v>
      </c>
      <c r="P2486">
        <v>803</v>
      </c>
      <c r="S2486" t="str">
        <f>"BANCO C6 (149)"</f>
        <v>BANCO C6 (149)</v>
      </c>
      <c r="T2486">
        <v>18322</v>
      </c>
      <c r="U2486">
        <v>21495</v>
      </c>
      <c r="V2486" t="s">
        <v>77</v>
      </c>
    </row>
    <row r="2487" spans="1:22">
      <c r="A2487" t="str">
        <f t="shared" si="460"/>
        <v>18/09/2025</v>
      </c>
      <c r="B2487" t="str">
        <f t="shared" si="453"/>
        <v>SAÍDA</v>
      </c>
      <c r="C2487" t="str">
        <f t="shared" si="461"/>
        <v>PIX</v>
      </c>
      <c r="D2487" t="str">
        <f>"21495"</f>
        <v>21495</v>
      </c>
      <c r="E2487" t="str">
        <f t="shared" si="463"/>
        <v>1</v>
      </c>
      <c r="F2487" t="str">
        <f t="shared" si="452"/>
        <v>COM</v>
      </c>
      <c r="G2487" t="str">
        <f>"ARLINDO JOSE MARTINS (909)"</f>
        <v>ARLINDO JOSE MARTINS (909)</v>
      </c>
      <c r="H2487" t="s">
        <v>640</v>
      </c>
      <c r="I2487" t="str">
        <f t="shared" si="462"/>
        <v>18/09/2025</v>
      </c>
      <c r="J2487" t="str">
        <f t="shared" si="465"/>
        <v>08/09/2025</v>
      </c>
      <c r="K2487">
        <v>45918</v>
      </c>
      <c r="N2487">
        <v>109</v>
      </c>
      <c r="O2487" t="s">
        <v>24</v>
      </c>
      <c r="Q2487">
        <v>803</v>
      </c>
      <c r="R2487" t="str">
        <f>"FARMÁCIA INDIANA LJ 185 (10141)"</f>
        <v>FARMÁCIA INDIANA LJ 185 (10141)</v>
      </c>
      <c r="S2487" t="s">
        <v>77</v>
      </c>
      <c r="T2487">
        <v>18322</v>
      </c>
      <c r="U2487">
        <v>21495</v>
      </c>
      <c r="V2487" t="s">
        <v>77</v>
      </c>
    </row>
    <row r="2488" spans="1:22">
      <c r="A2488" t="str">
        <f t="shared" si="460"/>
        <v>18/09/2025</v>
      </c>
      <c r="B2488" t="str">
        <f t="shared" si="453"/>
        <v>SAÍDA</v>
      </c>
      <c r="C2488" t="str">
        <f t="shared" si="461"/>
        <v>PIX</v>
      </c>
      <c r="D2488" t="str">
        <f>"21497"</f>
        <v>21497</v>
      </c>
      <c r="E2488" t="str">
        <f t="shared" si="463"/>
        <v>1</v>
      </c>
      <c r="F2488" t="str">
        <f t="shared" si="452"/>
        <v>COM</v>
      </c>
      <c r="G2488" t="str">
        <f>"BRUNO BARBOSA DE MATOS (82)"</f>
        <v>BRUNO BARBOSA DE MATOS (82)</v>
      </c>
      <c r="H2488" t="str">
        <f>"Serv.Prest. 01/09/2025 a 07/09/2025 - PIX: CPF - CHAVE: 137.446.146-62"</f>
        <v>Serv.Prest. 01/09/2025 a 07/09/2025 - PIX: CPF - CHAVE: 137.446.146-62</v>
      </c>
      <c r="I2488" t="str">
        <f t="shared" si="462"/>
        <v>18/09/2025</v>
      </c>
      <c r="J2488" t="str">
        <f t="shared" si="465"/>
        <v>08/09/2025</v>
      </c>
      <c r="K2488" t="str">
        <f>("18/09/2025")</f>
        <v>18/09/2025</v>
      </c>
      <c r="L2488">
        <v>1278</v>
      </c>
      <c r="M2488">
        <v>1278</v>
      </c>
      <c r="N2488">
        <v>109</v>
      </c>
      <c r="O2488" t="str">
        <f>"PAGAMENTO DE ENTREGADORES"</f>
        <v>PAGAMENTO DE ENTREGADORES</v>
      </c>
      <c r="P2488">
        <v>1278</v>
      </c>
      <c r="S2488" t="str">
        <f>"BANCO C6 (149)"</f>
        <v>BANCO C6 (149)</v>
      </c>
      <c r="T2488">
        <v>18323</v>
      </c>
      <c r="U2488">
        <v>21497</v>
      </c>
      <c r="V2488" t="s">
        <v>77</v>
      </c>
    </row>
    <row r="2489" spans="1:22">
      <c r="A2489" t="str">
        <f t="shared" si="460"/>
        <v>18/09/2025</v>
      </c>
      <c r="B2489" t="str">
        <f t="shared" si="453"/>
        <v>SAÍDA</v>
      </c>
      <c r="C2489" t="str">
        <f t="shared" si="461"/>
        <v>PIX</v>
      </c>
      <c r="D2489" t="str">
        <f>"21497"</f>
        <v>21497</v>
      </c>
      <c r="E2489" t="str">
        <f t="shared" si="463"/>
        <v>1</v>
      </c>
      <c r="F2489" t="str">
        <f t="shared" si="452"/>
        <v>COM</v>
      </c>
      <c r="G2489" t="str">
        <f>"BRUNO BARBOSA DE MATOS (82)"</f>
        <v>BRUNO BARBOSA DE MATOS (82)</v>
      </c>
      <c r="H2489" t="s">
        <v>641</v>
      </c>
      <c r="I2489" t="str">
        <f t="shared" si="462"/>
        <v>18/09/2025</v>
      </c>
      <c r="J2489" t="str">
        <f t="shared" si="465"/>
        <v>08/09/2025</v>
      </c>
      <c r="K2489">
        <v>45918</v>
      </c>
      <c r="N2489">
        <v>109</v>
      </c>
      <c r="O2489" t="s">
        <v>24</v>
      </c>
      <c r="Q2489">
        <v>1278</v>
      </c>
      <c r="R2489" t="str">
        <f>"FARMÁCIA INDIANA LJ 152 (10069)"</f>
        <v>FARMÁCIA INDIANA LJ 152 (10069)</v>
      </c>
      <c r="S2489" t="s">
        <v>77</v>
      </c>
      <c r="T2489">
        <v>18323</v>
      </c>
      <c r="U2489">
        <v>21497</v>
      </c>
      <c r="V2489" t="s">
        <v>77</v>
      </c>
    </row>
    <row r="2490" spans="1:22">
      <c r="A2490" t="str">
        <f t="shared" si="460"/>
        <v>18/09/2025</v>
      </c>
      <c r="B2490" t="str">
        <f t="shared" si="453"/>
        <v>SAÍDA</v>
      </c>
      <c r="C2490" t="str">
        <f t="shared" si="461"/>
        <v>PIX</v>
      </c>
      <c r="D2490" t="str">
        <f>"21498"</f>
        <v>21498</v>
      </c>
      <c r="E2490" t="str">
        <f t="shared" si="463"/>
        <v>1</v>
      </c>
      <c r="F2490" t="str">
        <f t="shared" si="452"/>
        <v>COM</v>
      </c>
      <c r="G2490" t="str">
        <f>"BRUNO DOS SANTOS MACHADO (702)"</f>
        <v>BRUNO DOS SANTOS MACHADO (702)</v>
      </c>
      <c r="H2490" t="str">
        <f>"Serv.Prest. 01/09/2025 a 07/09/2025 - PIX: CPF - CHAVE: 155.328.666-94"</f>
        <v>Serv.Prest. 01/09/2025 a 07/09/2025 - PIX: CPF - CHAVE: 155.328.666-94</v>
      </c>
      <c r="I2490" t="str">
        <f t="shared" si="462"/>
        <v>18/09/2025</v>
      </c>
      <c r="J2490" t="str">
        <f t="shared" si="465"/>
        <v>08/09/2025</v>
      </c>
      <c r="K2490" t="str">
        <f>("18/09/2025")</f>
        <v>18/09/2025</v>
      </c>
      <c r="L2490">
        <v>1100</v>
      </c>
      <c r="M2490">
        <v>1100</v>
      </c>
      <c r="N2490">
        <v>109</v>
      </c>
      <c r="O2490" t="str">
        <f>"PAGAMENTO DE ENTREGADORES"</f>
        <v>PAGAMENTO DE ENTREGADORES</v>
      </c>
      <c r="P2490">
        <v>1100</v>
      </c>
      <c r="S2490" t="str">
        <f>"BANCO C6 (149)"</f>
        <v>BANCO C6 (149)</v>
      </c>
      <c r="T2490">
        <v>18324</v>
      </c>
      <c r="U2490">
        <v>21498</v>
      </c>
      <c r="V2490" t="s">
        <v>77</v>
      </c>
    </row>
    <row r="2491" spans="1:22">
      <c r="A2491" t="str">
        <f t="shared" si="460"/>
        <v>18/09/2025</v>
      </c>
      <c r="B2491" t="str">
        <f t="shared" si="453"/>
        <v>SAÍDA</v>
      </c>
      <c r="C2491" t="str">
        <f t="shared" si="461"/>
        <v>PIX</v>
      </c>
      <c r="D2491" t="str">
        <f>"21498"</f>
        <v>21498</v>
      </c>
      <c r="E2491" t="str">
        <f t="shared" si="463"/>
        <v>1</v>
      </c>
      <c r="F2491" t="str">
        <f t="shared" ref="F2491:F2554" si="466">"COM"</f>
        <v>COM</v>
      </c>
      <c r="G2491" t="str">
        <f>"BRUNO DOS SANTOS MACHADO (702)"</f>
        <v>BRUNO DOS SANTOS MACHADO (702)</v>
      </c>
      <c r="H2491" t="s">
        <v>336</v>
      </c>
      <c r="I2491" t="str">
        <f t="shared" si="462"/>
        <v>18/09/2025</v>
      </c>
      <c r="J2491" t="str">
        <f t="shared" si="465"/>
        <v>08/09/2025</v>
      </c>
      <c r="K2491">
        <v>45918</v>
      </c>
      <c r="N2491">
        <v>109</v>
      </c>
      <c r="O2491" t="s">
        <v>24</v>
      </c>
      <c r="Q2491">
        <v>660</v>
      </c>
      <c r="R2491" t="str">
        <f>"FARMÁCIA INDIANA LJ 204 (10087)"</f>
        <v>FARMÁCIA INDIANA LJ 204 (10087)</v>
      </c>
      <c r="S2491" t="s">
        <v>77</v>
      </c>
      <c r="T2491">
        <v>18324</v>
      </c>
      <c r="U2491">
        <v>21498</v>
      </c>
      <c r="V2491" t="s">
        <v>77</v>
      </c>
    </row>
    <row r="2492" spans="1:22">
      <c r="A2492" t="str">
        <f t="shared" si="460"/>
        <v>18/09/2025</v>
      </c>
      <c r="B2492" t="str">
        <f t="shared" si="453"/>
        <v>SAÍDA</v>
      </c>
      <c r="C2492" t="str">
        <f t="shared" si="461"/>
        <v>PIX</v>
      </c>
      <c r="D2492" t="str">
        <f>"21498"</f>
        <v>21498</v>
      </c>
      <c r="E2492" t="str">
        <f t="shared" si="463"/>
        <v>1</v>
      </c>
      <c r="F2492" t="str">
        <f t="shared" si="466"/>
        <v>COM</v>
      </c>
      <c r="G2492" t="str">
        <f>"BRUNO DOS SANTOS MACHADO (702)"</f>
        <v>BRUNO DOS SANTOS MACHADO (702)</v>
      </c>
      <c r="H2492" t="s">
        <v>336</v>
      </c>
      <c r="I2492" t="str">
        <f t="shared" si="462"/>
        <v>18/09/2025</v>
      </c>
      <c r="J2492" t="str">
        <f t="shared" si="465"/>
        <v>08/09/2025</v>
      </c>
      <c r="K2492">
        <v>45918</v>
      </c>
      <c r="N2492">
        <v>109</v>
      </c>
      <c r="O2492" t="s">
        <v>24</v>
      </c>
      <c r="Q2492">
        <v>440</v>
      </c>
      <c r="R2492" t="str">
        <f>"FARMÁCIA INDIANA LJ 266 (10186)"</f>
        <v>FARMÁCIA INDIANA LJ 266 (10186)</v>
      </c>
      <c r="S2492" t="s">
        <v>77</v>
      </c>
      <c r="T2492">
        <v>18324</v>
      </c>
      <c r="U2492">
        <v>21498</v>
      </c>
      <c r="V2492" t="s">
        <v>77</v>
      </c>
    </row>
    <row r="2493" spans="1:22">
      <c r="A2493" t="str">
        <f t="shared" si="460"/>
        <v>18/09/2025</v>
      </c>
      <c r="B2493" t="str">
        <f t="shared" si="453"/>
        <v>SAÍDA</v>
      </c>
      <c r="C2493" t="str">
        <f t="shared" si="461"/>
        <v>PIX</v>
      </c>
      <c r="D2493" t="str">
        <f>"21499"</f>
        <v>21499</v>
      </c>
      <c r="E2493" t="str">
        <f t="shared" si="463"/>
        <v>1</v>
      </c>
      <c r="F2493" t="str">
        <f t="shared" si="466"/>
        <v>COM</v>
      </c>
      <c r="G2493" t="str">
        <f>"BRUNO WAGNER DE CARVALHO OLIVEIRA (84)"</f>
        <v>BRUNO WAGNER DE CARVALHO OLIVEIRA (84)</v>
      </c>
      <c r="H2493" t="str">
        <f>"Serv.Prest. 01/09/2025 a 07/09/2025 - PIX: CELULAR - CHAVE: (32) 98896-0708"</f>
        <v>Serv.Prest. 01/09/2025 a 07/09/2025 - PIX: CELULAR - CHAVE: (32) 98896-0708</v>
      </c>
      <c r="I2493" t="str">
        <f t="shared" si="462"/>
        <v>18/09/2025</v>
      </c>
      <c r="J2493" t="str">
        <f t="shared" si="465"/>
        <v>08/09/2025</v>
      </c>
      <c r="K2493" t="str">
        <f>("18/09/2025")</f>
        <v>18/09/2025</v>
      </c>
      <c r="L2493">
        <v>700</v>
      </c>
      <c r="M2493">
        <v>700</v>
      </c>
      <c r="N2493">
        <v>109</v>
      </c>
      <c r="O2493" t="str">
        <f>"PAGAMENTO DE ENTREGADORES"</f>
        <v>PAGAMENTO DE ENTREGADORES</v>
      </c>
      <c r="P2493">
        <v>700</v>
      </c>
      <c r="S2493" t="str">
        <f>"BANCO C6 (149)"</f>
        <v>BANCO C6 (149)</v>
      </c>
      <c r="T2493">
        <v>18325</v>
      </c>
      <c r="U2493">
        <v>21499</v>
      </c>
      <c r="V2493" t="s">
        <v>77</v>
      </c>
    </row>
    <row r="2494" spans="1:22">
      <c r="A2494" t="str">
        <f t="shared" si="460"/>
        <v>18/09/2025</v>
      </c>
      <c r="B2494" t="str">
        <f t="shared" si="453"/>
        <v>SAÍDA</v>
      </c>
      <c r="C2494" t="str">
        <f t="shared" si="461"/>
        <v>PIX</v>
      </c>
      <c r="D2494" t="str">
        <f>"21499"</f>
        <v>21499</v>
      </c>
      <c r="E2494" t="str">
        <f t="shared" si="463"/>
        <v>1</v>
      </c>
      <c r="F2494" t="str">
        <f t="shared" si="466"/>
        <v>COM</v>
      </c>
      <c r="G2494" t="str">
        <f>"BRUNO WAGNER DE CARVALHO OLIVEIRA (84)"</f>
        <v>BRUNO WAGNER DE CARVALHO OLIVEIRA (84)</v>
      </c>
      <c r="H2494" t="s">
        <v>642</v>
      </c>
      <c r="I2494" t="str">
        <f t="shared" si="462"/>
        <v>18/09/2025</v>
      </c>
      <c r="J2494" t="str">
        <f t="shared" si="465"/>
        <v>08/09/2025</v>
      </c>
      <c r="K2494">
        <v>45918</v>
      </c>
      <c r="N2494">
        <v>109</v>
      </c>
      <c r="O2494" t="s">
        <v>24</v>
      </c>
      <c r="Q2494">
        <v>350</v>
      </c>
      <c r="R2494" t="str">
        <f>"FARMÁCIA INDIANA LJ 182 (10079)"</f>
        <v>FARMÁCIA INDIANA LJ 182 (10079)</v>
      </c>
      <c r="S2494" t="s">
        <v>77</v>
      </c>
      <c r="T2494">
        <v>18325</v>
      </c>
      <c r="U2494">
        <v>21499</v>
      </c>
      <c r="V2494" t="s">
        <v>77</v>
      </c>
    </row>
    <row r="2495" spans="1:22">
      <c r="A2495" t="str">
        <f t="shared" si="460"/>
        <v>18/09/2025</v>
      </c>
      <c r="B2495" t="str">
        <f t="shared" si="453"/>
        <v>SAÍDA</v>
      </c>
      <c r="C2495" t="str">
        <f t="shared" si="461"/>
        <v>PIX</v>
      </c>
      <c r="D2495" t="str">
        <f>"21499"</f>
        <v>21499</v>
      </c>
      <c r="E2495" t="str">
        <f t="shared" si="463"/>
        <v>1</v>
      </c>
      <c r="F2495" t="str">
        <f t="shared" si="466"/>
        <v>COM</v>
      </c>
      <c r="G2495" t="str">
        <f>"BRUNO WAGNER DE CARVALHO OLIVEIRA (84)"</f>
        <v>BRUNO WAGNER DE CARVALHO OLIVEIRA (84)</v>
      </c>
      <c r="H2495" t="s">
        <v>642</v>
      </c>
      <c r="I2495" t="str">
        <f t="shared" si="462"/>
        <v>18/09/2025</v>
      </c>
      <c r="J2495" t="str">
        <f t="shared" si="465"/>
        <v>08/09/2025</v>
      </c>
      <c r="K2495">
        <v>45918</v>
      </c>
      <c r="N2495">
        <v>109</v>
      </c>
      <c r="O2495" t="s">
        <v>24</v>
      </c>
      <c r="Q2495">
        <v>350</v>
      </c>
      <c r="R2495" t="str">
        <f>"FARMÁCIA INDIANA LJ 186 (10081)"</f>
        <v>FARMÁCIA INDIANA LJ 186 (10081)</v>
      </c>
      <c r="S2495" t="s">
        <v>77</v>
      </c>
      <c r="T2495">
        <v>18325</v>
      </c>
      <c r="U2495">
        <v>21499</v>
      </c>
      <c r="V2495" t="s">
        <v>77</v>
      </c>
    </row>
    <row r="2496" spans="1:22">
      <c r="A2496" t="str">
        <f t="shared" si="460"/>
        <v>18/09/2025</v>
      </c>
      <c r="B2496" t="str">
        <f t="shared" si="453"/>
        <v>SAÍDA</v>
      </c>
      <c r="C2496" t="str">
        <f t="shared" si="461"/>
        <v>PIX</v>
      </c>
      <c r="D2496" t="str">
        <f>"21500"</f>
        <v>21500</v>
      </c>
      <c r="E2496" t="str">
        <f t="shared" si="463"/>
        <v>1</v>
      </c>
      <c r="F2496" t="str">
        <f t="shared" si="466"/>
        <v>COM</v>
      </c>
      <c r="G2496" t="str">
        <f>"CARLOS ROBERTO BADARÓ MACHADO (78)"</f>
        <v>CARLOS ROBERTO BADARÓ MACHADO (78)</v>
      </c>
      <c r="H2496" t="str">
        <f>"Serv.Prest. 01/09/2025 a 07/09/2025 - PIX: CELULAR - CHAVE: (32) 99166-8238"</f>
        <v>Serv.Prest. 01/09/2025 a 07/09/2025 - PIX: CELULAR - CHAVE: (32) 99166-8238</v>
      </c>
      <c r="I2496" t="str">
        <f t="shared" si="462"/>
        <v>18/09/2025</v>
      </c>
      <c r="J2496" t="str">
        <f t="shared" si="465"/>
        <v>08/09/2025</v>
      </c>
      <c r="K2496" t="str">
        <f>("18/09/2025")</f>
        <v>18/09/2025</v>
      </c>
      <c r="L2496">
        <v>1692</v>
      </c>
      <c r="M2496">
        <v>1692</v>
      </c>
      <c r="N2496">
        <v>109</v>
      </c>
      <c r="O2496" t="str">
        <f>"PAGAMENTO DE ENTREGADORES"</f>
        <v>PAGAMENTO DE ENTREGADORES</v>
      </c>
      <c r="P2496">
        <v>1692</v>
      </c>
      <c r="S2496" t="str">
        <f>"BANCO C6 (149)"</f>
        <v>BANCO C6 (149)</v>
      </c>
      <c r="T2496">
        <v>18326</v>
      </c>
      <c r="U2496">
        <v>21500</v>
      </c>
      <c r="V2496" t="s">
        <v>77</v>
      </c>
    </row>
    <row r="2497" spans="1:22">
      <c r="A2497" t="str">
        <f t="shared" si="460"/>
        <v>18/09/2025</v>
      </c>
      <c r="B2497" t="str">
        <f t="shared" si="453"/>
        <v>SAÍDA</v>
      </c>
      <c r="C2497" t="str">
        <f t="shared" si="461"/>
        <v>PIX</v>
      </c>
      <c r="D2497" t="str">
        <f>"21500"</f>
        <v>21500</v>
      </c>
      <c r="E2497" t="str">
        <f t="shared" si="463"/>
        <v>1</v>
      </c>
      <c r="F2497" t="str">
        <f t="shared" si="466"/>
        <v>COM</v>
      </c>
      <c r="G2497" t="str">
        <f>"CARLOS ROBERTO BADARÓ MACHADO (78)"</f>
        <v>CARLOS ROBERTO BADARÓ MACHADO (78)</v>
      </c>
      <c r="H2497" t="s">
        <v>643</v>
      </c>
      <c r="I2497" t="str">
        <f t="shared" si="462"/>
        <v>18/09/2025</v>
      </c>
      <c r="J2497" t="str">
        <f t="shared" si="465"/>
        <v>08/09/2025</v>
      </c>
      <c r="K2497">
        <v>45918</v>
      </c>
      <c r="N2497">
        <v>109</v>
      </c>
      <c r="O2497" t="s">
        <v>24</v>
      </c>
      <c r="Q2497">
        <v>1692</v>
      </c>
      <c r="R2497" t="str">
        <f>"FARMÁCIA INDIANA LJ 109 (10047)"</f>
        <v>FARMÁCIA INDIANA LJ 109 (10047)</v>
      </c>
      <c r="S2497" t="s">
        <v>77</v>
      </c>
      <c r="T2497">
        <v>18326</v>
      </c>
      <c r="U2497">
        <v>21500</v>
      </c>
      <c r="V2497" t="s">
        <v>77</v>
      </c>
    </row>
    <row r="2498" spans="1:22">
      <c r="A2498" t="str">
        <f t="shared" si="460"/>
        <v>18/09/2025</v>
      </c>
      <c r="B2498" t="str">
        <f t="shared" si="453"/>
        <v>SAÍDA</v>
      </c>
      <c r="C2498" t="str">
        <f t="shared" si="461"/>
        <v>PIX</v>
      </c>
      <c r="D2498" t="str">
        <f>"21501"</f>
        <v>21501</v>
      </c>
      <c r="E2498" t="str">
        <f t="shared" si="463"/>
        <v>1</v>
      </c>
      <c r="F2498" t="str">
        <f t="shared" si="466"/>
        <v>COM</v>
      </c>
      <c r="G2498" t="str">
        <f>"CASSIO DIAS RIBEIRO (32)"</f>
        <v>CASSIO DIAS RIBEIRO (32)</v>
      </c>
      <c r="H2498" t="str">
        <f>"Serv.Prest. 01/09/2025 a 07/09/2025 - PIX: CPF - CHAVE: 091.575.986-14"</f>
        <v>Serv.Prest. 01/09/2025 a 07/09/2025 - PIX: CPF - CHAVE: 091.575.986-14</v>
      </c>
      <c r="I2498" t="str">
        <f t="shared" si="462"/>
        <v>18/09/2025</v>
      </c>
      <c r="J2498" t="str">
        <f t="shared" si="465"/>
        <v>08/09/2025</v>
      </c>
      <c r="K2498" t="str">
        <f>("18/09/2025")</f>
        <v>18/09/2025</v>
      </c>
      <c r="L2498">
        <v>420</v>
      </c>
      <c r="M2498">
        <v>420</v>
      </c>
      <c r="N2498">
        <v>109</v>
      </c>
      <c r="O2498" t="str">
        <f>"PAGAMENTO DE ENTREGADORES"</f>
        <v>PAGAMENTO DE ENTREGADORES</v>
      </c>
      <c r="P2498">
        <v>420</v>
      </c>
      <c r="S2498" t="str">
        <f>"BANCO C6 (149)"</f>
        <v>BANCO C6 (149)</v>
      </c>
      <c r="T2498">
        <v>18327</v>
      </c>
      <c r="U2498">
        <v>21501</v>
      </c>
      <c r="V2498" t="s">
        <v>77</v>
      </c>
    </row>
    <row r="2499" spans="1:22">
      <c r="A2499" t="str">
        <f t="shared" si="460"/>
        <v>18/09/2025</v>
      </c>
      <c r="B2499" t="str">
        <f t="shared" si="453"/>
        <v>SAÍDA</v>
      </c>
      <c r="C2499" t="str">
        <f t="shared" si="461"/>
        <v>PIX</v>
      </c>
      <c r="D2499" t="str">
        <f>"21501"</f>
        <v>21501</v>
      </c>
      <c r="E2499" t="str">
        <f t="shared" si="463"/>
        <v>1</v>
      </c>
      <c r="F2499" t="str">
        <f t="shared" si="466"/>
        <v>COM</v>
      </c>
      <c r="G2499" t="str">
        <f>"CASSIO DIAS RIBEIRO (32)"</f>
        <v>CASSIO DIAS RIBEIRO (32)</v>
      </c>
      <c r="H2499" t="s">
        <v>498</v>
      </c>
      <c r="I2499" t="str">
        <f t="shared" si="462"/>
        <v>18/09/2025</v>
      </c>
      <c r="J2499" t="str">
        <f t="shared" si="465"/>
        <v>08/09/2025</v>
      </c>
      <c r="K2499">
        <v>45918</v>
      </c>
      <c r="N2499">
        <v>109</v>
      </c>
      <c r="O2499" t="s">
        <v>24</v>
      </c>
      <c r="Q2499">
        <v>406.73</v>
      </c>
      <c r="R2499" t="str">
        <f>"FARMÁCIA INDIANA LJ 11 (10008)"</f>
        <v>FARMÁCIA INDIANA LJ 11 (10008)</v>
      </c>
      <c r="S2499" t="s">
        <v>77</v>
      </c>
      <c r="T2499">
        <v>18327</v>
      </c>
      <c r="U2499">
        <v>21501</v>
      </c>
      <c r="V2499" t="s">
        <v>77</v>
      </c>
    </row>
    <row r="2500" spans="1:22">
      <c r="A2500" t="str">
        <f t="shared" si="460"/>
        <v>18/09/2025</v>
      </c>
      <c r="B2500" t="str">
        <f t="shared" si="453"/>
        <v>SAÍDA</v>
      </c>
      <c r="C2500" t="str">
        <f t="shared" si="461"/>
        <v>PIX</v>
      </c>
      <c r="D2500" t="str">
        <f>"21501"</f>
        <v>21501</v>
      </c>
      <c r="E2500" t="str">
        <f t="shared" si="463"/>
        <v>1</v>
      </c>
      <c r="F2500" t="str">
        <f t="shared" si="466"/>
        <v>COM</v>
      </c>
      <c r="G2500" t="str">
        <f>"CASSIO DIAS RIBEIRO (32)"</f>
        <v>CASSIO DIAS RIBEIRO (32)</v>
      </c>
      <c r="H2500" t="s">
        <v>498</v>
      </c>
      <c r="I2500" t="str">
        <f t="shared" si="462"/>
        <v>18/09/2025</v>
      </c>
      <c r="J2500" t="str">
        <f t="shared" si="465"/>
        <v>08/09/2025</v>
      </c>
      <c r="K2500">
        <v>45918</v>
      </c>
      <c r="N2500">
        <v>109</v>
      </c>
      <c r="O2500" t="s">
        <v>24</v>
      </c>
      <c r="Q2500">
        <v>13.27</v>
      </c>
      <c r="R2500" t="str">
        <f>"FARMÁCIA INDIANA LJ 172 (10161)"</f>
        <v>FARMÁCIA INDIANA LJ 172 (10161)</v>
      </c>
      <c r="S2500" t="s">
        <v>77</v>
      </c>
      <c r="T2500">
        <v>18327</v>
      </c>
      <c r="U2500">
        <v>21501</v>
      </c>
      <c r="V2500" t="s">
        <v>77</v>
      </c>
    </row>
    <row r="2501" spans="1:22">
      <c r="A2501" t="str">
        <f t="shared" si="460"/>
        <v>18/09/2025</v>
      </c>
      <c r="B2501" t="str">
        <f t="shared" ref="B2501:B2564" si="467">"SAÍDA"</f>
        <v>SAÍDA</v>
      </c>
      <c r="C2501" t="str">
        <f t="shared" si="461"/>
        <v>PIX</v>
      </c>
      <c r="D2501" t="str">
        <f>"21502"</f>
        <v>21502</v>
      </c>
      <c r="E2501" t="str">
        <f t="shared" si="463"/>
        <v>1</v>
      </c>
      <c r="F2501" t="str">
        <f t="shared" si="466"/>
        <v>COM</v>
      </c>
      <c r="G2501" t="str">
        <f>"CELIO JOSÉ RIBEIRO (189)"</f>
        <v>CELIO JOSÉ RIBEIRO (189)</v>
      </c>
      <c r="H2501" t="str">
        <f>"Serv.Prest. 01/09/2025 a 07/09/2025 - PIX: CELULAR - CHAVE: (33) 98845-4528"</f>
        <v>Serv.Prest. 01/09/2025 a 07/09/2025 - PIX: CELULAR - CHAVE: (33) 98845-4528</v>
      </c>
      <c r="I2501" t="str">
        <f t="shared" si="462"/>
        <v>18/09/2025</v>
      </c>
      <c r="J2501" t="str">
        <f t="shared" si="465"/>
        <v>08/09/2025</v>
      </c>
      <c r="K2501" t="str">
        <f>("18/09/2025")</f>
        <v>18/09/2025</v>
      </c>
      <c r="L2501">
        <v>1056</v>
      </c>
      <c r="M2501">
        <v>1056</v>
      </c>
      <c r="N2501">
        <v>109</v>
      </c>
      <c r="O2501" t="str">
        <f>"PAGAMENTO DE ENTREGADORES"</f>
        <v>PAGAMENTO DE ENTREGADORES</v>
      </c>
      <c r="P2501">
        <v>1056</v>
      </c>
      <c r="S2501" t="str">
        <f>"BANCO C6 (149)"</f>
        <v>BANCO C6 (149)</v>
      </c>
      <c r="T2501">
        <v>18328</v>
      </c>
      <c r="U2501">
        <v>21502</v>
      </c>
      <c r="V2501" t="s">
        <v>77</v>
      </c>
    </row>
    <row r="2502" spans="1:22">
      <c r="A2502" t="str">
        <f t="shared" si="460"/>
        <v>18/09/2025</v>
      </c>
      <c r="B2502" t="str">
        <f t="shared" si="467"/>
        <v>SAÍDA</v>
      </c>
      <c r="C2502" t="str">
        <f t="shared" si="461"/>
        <v>PIX</v>
      </c>
      <c r="D2502" t="str">
        <f>"21502"</f>
        <v>21502</v>
      </c>
      <c r="E2502" t="str">
        <f t="shared" si="463"/>
        <v>1</v>
      </c>
      <c r="F2502" t="str">
        <f t="shared" si="466"/>
        <v>COM</v>
      </c>
      <c r="G2502" t="str">
        <f>"CELIO JOSÉ RIBEIRO (189)"</f>
        <v>CELIO JOSÉ RIBEIRO (189)</v>
      </c>
      <c r="H2502" t="s">
        <v>644</v>
      </c>
      <c r="I2502" t="str">
        <f t="shared" si="462"/>
        <v>18/09/2025</v>
      </c>
      <c r="J2502" t="str">
        <f t="shared" si="465"/>
        <v>08/09/2025</v>
      </c>
      <c r="K2502">
        <v>45918</v>
      </c>
      <c r="N2502">
        <v>109</v>
      </c>
      <c r="O2502" t="s">
        <v>24</v>
      </c>
      <c r="Q2502">
        <v>1056</v>
      </c>
      <c r="R2502" t="str">
        <f>"FARMÁCIA INDIANA LJ 06 (10006)"</f>
        <v>FARMÁCIA INDIANA LJ 06 (10006)</v>
      </c>
      <c r="S2502" t="s">
        <v>77</v>
      </c>
      <c r="T2502">
        <v>18328</v>
      </c>
      <c r="U2502">
        <v>21502</v>
      </c>
      <c r="V2502" t="s">
        <v>77</v>
      </c>
    </row>
    <row r="2503" spans="1:22">
      <c r="A2503" t="str">
        <f t="shared" si="460"/>
        <v>18/09/2025</v>
      </c>
      <c r="B2503" t="str">
        <f t="shared" si="467"/>
        <v>SAÍDA</v>
      </c>
      <c r="C2503" t="str">
        <f t="shared" si="461"/>
        <v>PIX</v>
      </c>
      <c r="D2503" t="str">
        <f>"21503"</f>
        <v>21503</v>
      </c>
      <c r="E2503" t="str">
        <f t="shared" si="463"/>
        <v>1</v>
      </c>
      <c r="F2503" t="str">
        <f t="shared" si="466"/>
        <v>COM</v>
      </c>
      <c r="G2503" t="str">
        <f>"CLEIDIOMAR RIBEIRO FERREIRA (34)"</f>
        <v>CLEIDIOMAR RIBEIRO FERREIRA (34)</v>
      </c>
      <c r="H2503" t="str">
        <f>"Serv.Prest. 01/09/2025 a 07/09/2025 - PIX: CELULAR - CHAVE: (31) 98511-2851"</f>
        <v>Serv.Prest. 01/09/2025 a 07/09/2025 - PIX: CELULAR - CHAVE: (31) 98511-2851</v>
      </c>
      <c r="I2503" t="str">
        <f t="shared" si="462"/>
        <v>18/09/2025</v>
      </c>
      <c r="J2503" t="str">
        <f t="shared" si="465"/>
        <v>08/09/2025</v>
      </c>
      <c r="K2503" t="str">
        <f>("18/09/2025")</f>
        <v>18/09/2025</v>
      </c>
      <c r="L2503">
        <v>1044</v>
      </c>
      <c r="M2503">
        <v>1044</v>
      </c>
      <c r="N2503">
        <v>109</v>
      </c>
      <c r="O2503" t="str">
        <f>"PAGAMENTO DE ENTREGADORES"</f>
        <v>PAGAMENTO DE ENTREGADORES</v>
      </c>
      <c r="P2503">
        <v>1044</v>
      </c>
      <c r="S2503" t="str">
        <f>"BANCO C6 (149)"</f>
        <v>BANCO C6 (149)</v>
      </c>
      <c r="T2503">
        <v>18329</v>
      </c>
      <c r="U2503">
        <v>21503</v>
      </c>
      <c r="V2503" t="s">
        <v>77</v>
      </c>
    </row>
    <row r="2504" spans="1:22">
      <c r="A2504" t="str">
        <f t="shared" si="460"/>
        <v>18/09/2025</v>
      </c>
      <c r="B2504" t="str">
        <f t="shared" si="467"/>
        <v>SAÍDA</v>
      </c>
      <c r="C2504" t="str">
        <f t="shared" si="461"/>
        <v>PIX</v>
      </c>
      <c r="D2504" t="str">
        <f>"21503"</f>
        <v>21503</v>
      </c>
      <c r="E2504" t="str">
        <f t="shared" si="463"/>
        <v>1</v>
      </c>
      <c r="F2504" t="str">
        <f t="shared" si="466"/>
        <v>COM</v>
      </c>
      <c r="G2504" t="str">
        <f>"CLEIDIOMAR RIBEIRO FERREIRA (34)"</f>
        <v>CLEIDIOMAR RIBEIRO FERREIRA (34)</v>
      </c>
      <c r="H2504" t="s">
        <v>645</v>
      </c>
      <c r="I2504" t="str">
        <f t="shared" si="462"/>
        <v>18/09/2025</v>
      </c>
      <c r="J2504" t="str">
        <f t="shared" si="465"/>
        <v>08/09/2025</v>
      </c>
      <c r="K2504">
        <v>45918</v>
      </c>
      <c r="N2504">
        <v>109</v>
      </c>
      <c r="O2504" t="s">
        <v>24</v>
      </c>
      <c r="Q2504">
        <v>1044</v>
      </c>
      <c r="R2504" t="str">
        <f>"FARMÁCIA INDIANA LJ 11 (10008)"</f>
        <v>FARMÁCIA INDIANA LJ 11 (10008)</v>
      </c>
      <c r="S2504" t="s">
        <v>77</v>
      </c>
      <c r="T2504">
        <v>18329</v>
      </c>
      <c r="U2504">
        <v>21503</v>
      </c>
      <c r="V2504" t="s">
        <v>77</v>
      </c>
    </row>
    <row r="2505" spans="1:22">
      <c r="A2505" t="str">
        <f t="shared" si="460"/>
        <v>18/09/2025</v>
      </c>
      <c r="B2505" t="str">
        <f t="shared" si="467"/>
        <v>SAÍDA</v>
      </c>
      <c r="C2505" t="str">
        <f t="shared" si="461"/>
        <v>PIX</v>
      </c>
      <c r="D2505" t="str">
        <f>"21504"</f>
        <v>21504</v>
      </c>
      <c r="E2505" t="str">
        <f t="shared" si="463"/>
        <v>1</v>
      </c>
      <c r="F2505" t="str">
        <f t="shared" si="466"/>
        <v>COM</v>
      </c>
      <c r="G2505" t="str">
        <f>"CRISTIANO XAVIER DA COSTA (269)"</f>
        <v>CRISTIANO XAVIER DA COSTA (269)</v>
      </c>
      <c r="H2505" t="str">
        <f>"Serv.Prest. 01/09/2025 a 07/09/2025 - PIX: CELULAR - CHAVE: (32) 99177-6167"</f>
        <v>Serv.Prest. 01/09/2025 a 07/09/2025 - PIX: CELULAR - CHAVE: (32) 99177-6167</v>
      </c>
      <c r="I2505" t="str">
        <f t="shared" si="462"/>
        <v>18/09/2025</v>
      </c>
      <c r="J2505" t="str">
        <f t="shared" si="465"/>
        <v>08/09/2025</v>
      </c>
      <c r="K2505" t="str">
        <f>("18/09/2025")</f>
        <v>18/09/2025</v>
      </c>
      <c r="L2505">
        <v>1740</v>
      </c>
      <c r="M2505">
        <v>1740</v>
      </c>
      <c r="N2505">
        <v>109</v>
      </c>
      <c r="O2505" t="str">
        <f>"PAGAMENTO DE ENTREGADORES"</f>
        <v>PAGAMENTO DE ENTREGADORES</v>
      </c>
      <c r="P2505">
        <v>1740</v>
      </c>
      <c r="S2505" t="str">
        <f>"BANCO C6 (149)"</f>
        <v>BANCO C6 (149)</v>
      </c>
      <c r="T2505">
        <v>18330</v>
      </c>
      <c r="U2505">
        <v>21504</v>
      </c>
      <c r="V2505" t="s">
        <v>77</v>
      </c>
    </row>
    <row r="2506" spans="1:22">
      <c r="A2506" t="str">
        <f t="shared" si="460"/>
        <v>18/09/2025</v>
      </c>
      <c r="B2506" t="str">
        <f t="shared" si="467"/>
        <v>SAÍDA</v>
      </c>
      <c r="C2506" t="str">
        <f t="shared" si="461"/>
        <v>PIX</v>
      </c>
      <c r="D2506" t="str">
        <f>"21504"</f>
        <v>21504</v>
      </c>
      <c r="E2506" t="str">
        <f t="shared" si="463"/>
        <v>1</v>
      </c>
      <c r="F2506" t="str">
        <f t="shared" si="466"/>
        <v>COM</v>
      </c>
      <c r="G2506" t="str">
        <f>"CRISTIANO XAVIER DA COSTA (269)"</f>
        <v>CRISTIANO XAVIER DA COSTA (269)</v>
      </c>
      <c r="H2506" t="s">
        <v>646</v>
      </c>
      <c r="I2506" t="str">
        <f t="shared" si="462"/>
        <v>18/09/2025</v>
      </c>
      <c r="J2506" t="str">
        <f t="shared" si="465"/>
        <v>08/09/2025</v>
      </c>
      <c r="K2506">
        <v>45918</v>
      </c>
      <c r="N2506">
        <v>109</v>
      </c>
      <c r="O2506" t="s">
        <v>24</v>
      </c>
      <c r="Q2506">
        <v>1038.43</v>
      </c>
      <c r="R2506" t="str">
        <f>"FARMÁCIA INDIANA LJ 207 (10088)"</f>
        <v>FARMÁCIA INDIANA LJ 207 (10088)</v>
      </c>
      <c r="S2506" t="s">
        <v>77</v>
      </c>
      <c r="T2506">
        <v>18330</v>
      </c>
      <c r="U2506">
        <v>21504</v>
      </c>
      <c r="V2506" t="s">
        <v>77</v>
      </c>
    </row>
    <row r="2507" spans="1:22">
      <c r="A2507" t="str">
        <f t="shared" si="460"/>
        <v>18/09/2025</v>
      </c>
      <c r="B2507" t="str">
        <f t="shared" si="467"/>
        <v>SAÍDA</v>
      </c>
      <c r="C2507" t="str">
        <f t="shared" si="461"/>
        <v>PIX</v>
      </c>
      <c r="D2507" t="str">
        <f>"21504"</f>
        <v>21504</v>
      </c>
      <c r="E2507" t="str">
        <f t="shared" si="463"/>
        <v>1</v>
      </c>
      <c r="F2507" t="str">
        <f t="shared" si="466"/>
        <v>COM</v>
      </c>
      <c r="G2507" t="str">
        <f>"CRISTIANO XAVIER DA COSTA (269)"</f>
        <v>CRISTIANO XAVIER DA COSTA (269)</v>
      </c>
      <c r="H2507" t="s">
        <v>646</v>
      </c>
      <c r="I2507" t="str">
        <f t="shared" si="462"/>
        <v>18/09/2025</v>
      </c>
      <c r="J2507" t="str">
        <f t="shared" si="465"/>
        <v>08/09/2025</v>
      </c>
      <c r="K2507">
        <v>45918</v>
      </c>
      <c r="N2507">
        <v>109</v>
      </c>
      <c r="O2507" t="s">
        <v>24</v>
      </c>
      <c r="Q2507">
        <v>701.57</v>
      </c>
      <c r="R2507" t="str">
        <f>"FARMÁCIA INDIANA LJ 209 (10089)"</f>
        <v>FARMÁCIA INDIANA LJ 209 (10089)</v>
      </c>
      <c r="S2507" t="s">
        <v>77</v>
      </c>
      <c r="T2507">
        <v>18330</v>
      </c>
      <c r="U2507">
        <v>21504</v>
      </c>
      <c r="V2507" t="s">
        <v>77</v>
      </c>
    </row>
    <row r="2508" spans="1:22">
      <c r="A2508" t="str">
        <f t="shared" si="460"/>
        <v>18/09/2025</v>
      </c>
      <c r="B2508" t="str">
        <f t="shared" si="467"/>
        <v>SAÍDA</v>
      </c>
      <c r="C2508" t="str">
        <f t="shared" si="461"/>
        <v>PIX</v>
      </c>
      <c r="D2508" t="str">
        <f>"21505"</f>
        <v>21505</v>
      </c>
      <c r="E2508" t="str">
        <f t="shared" si="463"/>
        <v>1</v>
      </c>
      <c r="F2508" t="str">
        <f t="shared" si="466"/>
        <v>COM</v>
      </c>
      <c r="G2508" t="str">
        <f>"DAMÁSIO JOSÉ DO NASCIMENTO NETO (147)"</f>
        <v>DAMÁSIO JOSÉ DO NASCIMENTO NETO (147)</v>
      </c>
      <c r="H2508" t="str">
        <f>"Serv.Prest. 01/09/2025 a 07/09/2025 - PIX: CPF - CHAVE: 110.483.296-82"</f>
        <v>Serv.Prest. 01/09/2025 a 07/09/2025 - PIX: CPF - CHAVE: 110.483.296-82</v>
      </c>
      <c r="I2508" t="str">
        <f t="shared" si="462"/>
        <v>18/09/2025</v>
      </c>
      <c r="J2508" t="str">
        <f t="shared" si="465"/>
        <v>08/09/2025</v>
      </c>
      <c r="K2508" t="str">
        <f>("18/09/2025")</f>
        <v>18/09/2025</v>
      </c>
      <c r="L2508">
        <v>1512</v>
      </c>
      <c r="M2508">
        <v>1512</v>
      </c>
      <c r="N2508">
        <v>109</v>
      </c>
      <c r="O2508" t="str">
        <f>"PAGAMENTO DE ENTREGADORES"</f>
        <v>PAGAMENTO DE ENTREGADORES</v>
      </c>
      <c r="P2508">
        <v>1512</v>
      </c>
      <c r="S2508" t="str">
        <f>"BANCO C6 (149)"</f>
        <v>BANCO C6 (149)</v>
      </c>
      <c r="T2508">
        <v>18331</v>
      </c>
      <c r="U2508">
        <v>21505</v>
      </c>
      <c r="V2508" t="s">
        <v>77</v>
      </c>
    </row>
    <row r="2509" spans="1:22">
      <c r="A2509" t="str">
        <f t="shared" si="460"/>
        <v>18/09/2025</v>
      </c>
      <c r="B2509" t="str">
        <f t="shared" si="467"/>
        <v>SAÍDA</v>
      </c>
      <c r="C2509" t="str">
        <f t="shared" si="461"/>
        <v>PIX</v>
      </c>
      <c r="D2509" t="str">
        <f>"21505"</f>
        <v>21505</v>
      </c>
      <c r="E2509" t="str">
        <f t="shared" si="463"/>
        <v>1</v>
      </c>
      <c r="F2509" t="str">
        <f t="shared" si="466"/>
        <v>COM</v>
      </c>
      <c r="G2509" t="str">
        <f>"DAMÁSIO JOSÉ DO NASCIMENTO NETO (147)"</f>
        <v>DAMÁSIO JOSÉ DO NASCIMENTO NETO (147)</v>
      </c>
      <c r="H2509" t="s">
        <v>647</v>
      </c>
      <c r="I2509" t="str">
        <f t="shared" si="462"/>
        <v>18/09/2025</v>
      </c>
      <c r="J2509" t="str">
        <f t="shared" si="465"/>
        <v>08/09/2025</v>
      </c>
      <c r="K2509">
        <v>45918</v>
      </c>
      <c r="N2509">
        <v>109</v>
      </c>
      <c r="O2509" t="s">
        <v>24</v>
      </c>
      <c r="Q2509">
        <v>53.98</v>
      </c>
      <c r="R2509" t="str">
        <f>"FARMÁCIA INDIANA LJ 18 (10011)"</f>
        <v>FARMÁCIA INDIANA LJ 18 (10011)</v>
      </c>
      <c r="S2509" t="s">
        <v>77</v>
      </c>
      <c r="T2509">
        <v>18331</v>
      </c>
      <c r="U2509">
        <v>21505</v>
      </c>
      <c r="V2509" t="s">
        <v>77</v>
      </c>
    </row>
    <row r="2510" spans="1:22">
      <c r="A2510" t="str">
        <f t="shared" si="460"/>
        <v>18/09/2025</v>
      </c>
      <c r="B2510" t="str">
        <f t="shared" si="467"/>
        <v>SAÍDA</v>
      </c>
      <c r="C2510" t="str">
        <f t="shared" si="461"/>
        <v>PIX</v>
      </c>
      <c r="D2510" t="str">
        <f>"21505"</f>
        <v>21505</v>
      </c>
      <c r="E2510" t="str">
        <f t="shared" si="463"/>
        <v>1</v>
      </c>
      <c r="F2510" t="str">
        <f t="shared" si="466"/>
        <v>COM</v>
      </c>
      <c r="G2510" t="str">
        <f>"DAMÁSIO JOSÉ DO NASCIMENTO NETO (147)"</f>
        <v>DAMÁSIO JOSÉ DO NASCIMENTO NETO (147)</v>
      </c>
      <c r="H2510" t="s">
        <v>647</v>
      </c>
      <c r="I2510" t="str">
        <f t="shared" si="462"/>
        <v>18/09/2025</v>
      </c>
      <c r="J2510" t="str">
        <f t="shared" si="465"/>
        <v>08/09/2025</v>
      </c>
      <c r="K2510">
        <v>45918</v>
      </c>
      <c r="N2510">
        <v>109</v>
      </c>
      <c r="O2510" t="s">
        <v>24</v>
      </c>
      <c r="Q2510">
        <v>1458.02</v>
      </c>
      <c r="R2510" t="str">
        <f>"FARMÁCIA INDIANA LJ 142 (10066)"</f>
        <v>FARMÁCIA INDIANA LJ 142 (10066)</v>
      </c>
      <c r="S2510" t="s">
        <v>77</v>
      </c>
      <c r="T2510">
        <v>18331</v>
      </c>
      <c r="U2510">
        <v>21505</v>
      </c>
      <c r="V2510" t="s">
        <v>77</v>
      </c>
    </row>
    <row r="2511" spans="1:22">
      <c r="A2511" t="str">
        <f t="shared" si="460"/>
        <v>18/09/2025</v>
      </c>
      <c r="B2511" t="str">
        <f t="shared" si="467"/>
        <v>SAÍDA</v>
      </c>
      <c r="C2511" t="str">
        <f t="shared" si="461"/>
        <v>PIX</v>
      </c>
      <c r="D2511" t="str">
        <f>"21506"</f>
        <v>21506</v>
      </c>
      <c r="E2511" t="str">
        <f t="shared" si="463"/>
        <v>1</v>
      </c>
      <c r="F2511" t="str">
        <f t="shared" si="466"/>
        <v>COM</v>
      </c>
      <c r="G2511" t="str">
        <f>"DANILO WASHINGTON DOS SANTOS (770)"</f>
        <v>DANILO WASHINGTON DOS SANTOS (770)</v>
      </c>
      <c r="H2511" t="str">
        <f>"Serv.Prest. 01/09/2025 a 07/09/2025 - PIX: CELULAR - CHAVE: (33) 98749-5105"</f>
        <v>Serv.Prest. 01/09/2025 a 07/09/2025 - PIX: CELULAR - CHAVE: (33) 98749-5105</v>
      </c>
      <c r="I2511" t="str">
        <f t="shared" si="462"/>
        <v>18/09/2025</v>
      </c>
      <c r="J2511" t="str">
        <f t="shared" si="465"/>
        <v>08/09/2025</v>
      </c>
      <c r="K2511" t="str">
        <f>("18/09/2025")</f>
        <v>18/09/2025</v>
      </c>
      <c r="L2511">
        <v>1074</v>
      </c>
      <c r="M2511">
        <v>1074</v>
      </c>
      <c r="N2511">
        <v>109</v>
      </c>
      <c r="O2511" t="str">
        <f>"PAGAMENTO DE ENTREGADORES"</f>
        <v>PAGAMENTO DE ENTREGADORES</v>
      </c>
      <c r="P2511">
        <v>1074</v>
      </c>
      <c r="S2511" t="str">
        <f>"BANCO C6 (149)"</f>
        <v>BANCO C6 (149)</v>
      </c>
      <c r="T2511">
        <v>18332</v>
      </c>
      <c r="U2511">
        <v>21506</v>
      </c>
      <c r="V2511" t="s">
        <v>77</v>
      </c>
    </row>
    <row r="2512" spans="1:22">
      <c r="A2512" t="str">
        <f t="shared" si="460"/>
        <v>18/09/2025</v>
      </c>
      <c r="B2512" t="str">
        <f t="shared" si="467"/>
        <v>SAÍDA</v>
      </c>
      <c r="C2512" t="str">
        <f t="shared" si="461"/>
        <v>PIX</v>
      </c>
      <c r="D2512" t="str">
        <f>"21506"</f>
        <v>21506</v>
      </c>
      <c r="E2512" t="str">
        <f t="shared" si="463"/>
        <v>1</v>
      </c>
      <c r="F2512" t="str">
        <f t="shared" si="466"/>
        <v>COM</v>
      </c>
      <c r="G2512" t="str">
        <f>"DANILO WASHINGTON DOS SANTOS (770)"</f>
        <v>DANILO WASHINGTON DOS SANTOS (770)</v>
      </c>
      <c r="H2512" t="s">
        <v>648</v>
      </c>
      <c r="I2512" t="str">
        <f t="shared" si="462"/>
        <v>18/09/2025</v>
      </c>
      <c r="J2512" t="str">
        <f t="shared" si="465"/>
        <v>08/09/2025</v>
      </c>
      <c r="K2512">
        <v>45918</v>
      </c>
      <c r="N2512">
        <v>109</v>
      </c>
      <c r="O2512" t="s">
        <v>24</v>
      </c>
      <c r="Q2512">
        <v>1074</v>
      </c>
      <c r="R2512" t="str">
        <f>"FARMÁCIA INDIANA LJ 07 (10007)"</f>
        <v>FARMÁCIA INDIANA LJ 07 (10007)</v>
      </c>
      <c r="S2512" t="s">
        <v>77</v>
      </c>
      <c r="T2512">
        <v>18332</v>
      </c>
      <c r="U2512">
        <v>21506</v>
      </c>
      <c r="V2512" t="s">
        <v>77</v>
      </c>
    </row>
    <row r="2513" spans="1:22">
      <c r="A2513" t="str">
        <f t="shared" si="460"/>
        <v>18/09/2025</v>
      </c>
      <c r="B2513" t="str">
        <f t="shared" si="467"/>
        <v>SAÍDA</v>
      </c>
      <c r="C2513" t="str">
        <f t="shared" si="461"/>
        <v>PIX</v>
      </c>
      <c r="D2513" t="str">
        <f>"21507"</f>
        <v>21507</v>
      </c>
      <c r="E2513" t="str">
        <f t="shared" si="463"/>
        <v>1</v>
      </c>
      <c r="F2513" t="str">
        <f t="shared" si="466"/>
        <v>COM</v>
      </c>
      <c r="G2513" t="str">
        <f>"DANTE SOARES DA SILVA (416)"</f>
        <v>DANTE SOARES DA SILVA (416)</v>
      </c>
      <c r="H2513" t="str">
        <f>"Serv.Prest. 01/09/2025 a 07/09/2025 - PIX: CELULAR - CHAVE: (33) 99802-1883"</f>
        <v>Serv.Prest. 01/09/2025 a 07/09/2025 - PIX: CELULAR - CHAVE: (33) 99802-1883</v>
      </c>
      <c r="I2513" t="str">
        <f t="shared" si="462"/>
        <v>18/09/2025</v>
      </c>
      <c r="J2513" t="str">
        <f t="shared" si="465"/>
        <v>08/09/2025</v>
      </c>
      <c r="K2513" t="str">
        <f>("18/09/2025")</f>
        <v>18/09/2025</v>
      </c>
      <c r="L2513">
        <v>617.4</v>
      </c>
      <c r="M2513">
        <v>617.4</v>
      </c>
      <c r="N2513">
        <v>109</v>
      </c>
      <c r="O2513" t="str">
        <f>"PAGAMENTO DE ENTREGADORES"</f>
        <v>PAGAMENTO DE ENTREGADORES</v>
      </c>
      <c r="P2513">
        <v>617.4</v>
      </c>
      <c r="S2513" t="str">
        <f>"BANCO C6 (149)"</f>
        <v>BANCO C6 (149)</v>
      </c>
      <c r="T2513">
        <v>18333</v>
      </c>
      <c r="U2513">
        <v>21507</v>
      </c>
      <c r="V2513" t="s">
        <v>77</v>
      </c>
    </row>
    <row r="2514" spans="1:22">
      <c r="A2514" t="str">
        <f t="shared" si="460"/>
        <v>18/09/2025</v>
      </c>
      <c r="B2514" t="str">
        <f t="shared" si="467"/>
        <v>SAÍDA</v>
      </c>
      <c r="C2514" t="str">
        <f t="shared" si="461"/>
        <v>PIX</v>
      </c>
      <c r="D2514" t="str">
        <f>"21507"</f>
        <v>21507</v>
      </c>
      <c r="E2514" t="str">
        <f t="shared" si="463"/>
        <v>1</v>
      </c>
      <c r="F2514" t="str">
        <f t="shared" si="466"/>
        <v>COM</v>
      </c>
      <c r="G2514" t="str">
        <f>"DANTE SOARES DA SILVA (416)"</f>
        <v>DANTE SOARES DA SILVA (416)</v>
      </c>
      <c r="H2514" t="s">
        <v>649</v>
      </c>
      <c r="I2514" t="str">
        <f t="shared" si="462"/>
        <v>18/09/2025</v>
      </c>
      <c r="J2514" t="str">
        <f t="shared" si="465"/>
        <v>08/09/2025</v>
      </c>
      <c r="K2514">
        <v>45918</v>
      </c>
      <c r="N2514">
        <v>109</v>
      </c>
      <c r="O2514" t="s">
        <v>24</v>
      </c>
      <c r="Q2514">
        <v>617.4</v>
      </c>
      <c r="R2514" t="str">
        <f>"FARMÁCIA INDIANA LJ 59 (10026)"</f>
        <v>FARMÁCIA INDIANA LJ 59 (10026)</v>
      </c>
      <c r="S2514" t="s">
        <v>77</v>
      </c>
      <c r="T2514">
        <v>18333</v>
      </c>
      <c r="U2514">
        <v>21507</v>
      </c>
      <c r="V2514" t="s">
        <v>77</v>
      </c>
    </row>
    <row r="2515" spans="1:22">
      <c r="A2515" t="str">
        <f t="shared" si="460"/>
        <v>18/09/2025</v>
      </c>
      <c r="B2515" t="str">
        <f t="shared" si="467"/>
        <v>SAÍDA</v>
      </c>
      <c r="C2515" t="str">
        <f t="shared" si="461"/>
        <v>PIX</v>
      </c>
      <c r="D2515" t="str">
        <f>"21508"</f>
        <v>21508</v>
      </c>
      <c r="E2515" t="str">
        <f t="shared" si="463"/>
        <v>1</v>
      </c>
      <c r="F2515" t="str">
        <f t="shared" si="466"/>
        <v>COM</v>
      </c>
      <c r="G2515" t="str">
        <f>"DEVANILDO PONTES CASAGRANDE (179)"</f>
        <v>DEVANILDO PONTES CASAGRANDE (179)</v>
      </c>
      <c r="H2515" t="str">
        <f>"Serv.Prest. 01/09/2025 a 07/09/2025 - PIX: CELULAR - CHAVE: (31) 99610-7049"</f>
        <v>Serv.Prest. 01/09/2025 a 07/09/2025 - PIX: CELULAR - CHAVE: (31) 99610-7049</v>
      </c>
      <c r="I2515" t="str">
        <f t="shared" si="462"/>
        <v>18/09/2025</v>
      </c>
      <c r="J2515" t="str">
        <f t="shared" si="465"/>
        <v>08/09/2025</v>
      </c>
      <c r="K2515" t="str">
        <f>("18/09/2025")</f>
        <v>18/09/2025</v>
      </c>
      <c r="L2515">
        <v>1014</v>
      </c>
      <c r="M2515">
        <v>1014</v>
      </c>
      <c r="N2515">
        <v>109</v>
      </c>
      <c r="O2515" t="str">
        <f>"PAGAMENTO DE ENTREGADORES"</f>
        <v>PAGAMENTO DE ENTREGADORES</v>
      </c>
      <c r="P2515">
        <v>1014</v>
      </c>
      <c r="S2515" t="str">
        <f>"BANCO C6 (149)"</f>
        <v>BANCO C6 (149)</v>
      </c>
      <c r="T2515">
        <v>18334</v>
      </c>
      <c r="U2515">
        <v>21508</v>
      </c>
      <c r="V2515" t="s">
        <v>77</v>
      </c>
    </row>
    <row r="2516" spans="1:22">
      <c r="A2516" t="str">
        <f t="shared" si="460"/>
        <v>18/09/2025</v>
      </c>
      <c r="B2516" t="str">
        <f t="shared" si="467"/>
        <v>SAÍDA</v>
      </c>
      <c r="C2516" t="str">
        <f t="shared" si="461"/>
        <v>PIX</v>
      </c>
      <c r="D2516" t="str">
        <f>"21508"</f>
        <v>21508</v>
      </c>
      <c r="E2516" t="str">
        <f t="shared" si="463"/>
        <v>1</v>
      </c>
      <c r="F2516" t="str">
        <f t="shared" si="466"/>
        <v>COM</v>
      </c>
      <c r="G2516" t="str">
        <f>"DEVANILDO PONTES CASAGRANDE (179)"</f>
        <v>DEVANILDO PONTES CASAGRANDE (179)</v>
      </c>
      <c r="H2516" t="s">
        <v>650</v>
      </c>
      <c r="I2516" t="str">
        <f t="shared" si="462"/>
        <v>18/09/2025</v>
      </c>
      <c r="J2516" t="str">
        <f t="shared" si="465"/>
        <v>08/09/2025</v>
      </c>
      <c r="K2516">
        <v>45918</v>
      </c>
      <c r="N2516">
        <v>109</v>
      </c>
      <c r="O2516" t="s">
        <v>24</v>
      </c>
      <c r="Q2516">
        <v>1014</v>
      </c>
      <c r="R2516" t="str">
        <f>"FARMÁCIA INDIANA LJ 142 (10066)"</f>
        <v>FARMÁCIA INDIANA LJ 142 (10066)</v>
      </c>
      <c r="S2516" t="s">
        <v>77</v>
      </c>
      <c r="T2516">
        <v>18334</v>
      </c>
      <c r="U2516">
        <v>21508</v>
      </c>
      <c r="V2516" t="s">
        <v>77</v>
      </c>
    </row>
    <row r="2517" spans="1:22">
      <c r="A2517" t="str">
        <f t="shared" si="460"/>
        <v>18/09/2025</v>
      </c>
      <c r="B2517" t="str">
        <f t="shared" si="467"/>
        <v>SAÍDA</v>
      </c>
      <c r="C2517" t="str">
        <f t="shared" si="461"/>
        <v>PIX</v>
      </c>
      <c r="D2517" t="str">
        <f>"21509"</f>
        <v>21509</v>
      </c>
      <c r="E2517" t="str">
        <f t="shared" si="463"/>
        <v>1</v>
      </c>
      <c r="F2517" t="str">
        <f t="shared" si="466"/>
        <v>COM</v>
      </c>
      <c r="G2517" t="str">
        <f>"DIEGO DAYSON FERNANDES VIEIRA (893)"</f>
        <v>DIEGO DAYSON FERNANDES VIEIRA (893)</v>
      </c>
      <c r="H2517" t="str">
        <f>"Serv.Prest. 01/09/2025 a 07/09/2025 - PIX: E-MAIL - CHAVE: turano296801@gmail.com"</f>
        <v>Serv.Prest. 01/09/2025 a 07/09/2025 - PIX: E-MAIL - CHAVE: turano296801@gmail.com</v>
      </c>
      <c r="I2517" t="str">
        <f t="shared" si="462"/>
        <v>18/09/2025</v>
      </c>
      <c r="J2517" t="str">
        <f t="shared" si="465"/>
        <v>08/09/2025</v>
      </c>
      <c r="K2517" t="str">
        <f>("18/09/2025")</f>
        <v>18/09/2025</v>
      </c>
      <c r="L2517">
        <v>800</v>
      </c>
      <c r="M2517">
        <v>800</v>
      </c>
      <c r="N2517">
        <v>109</v>
      </c>
      <c r="O2517" t="str">
        <f>"PAGAMENTO DE ENTREGADORES"</f>
        <v>PAGAMENTO DE ENTREGADORES</v>
      </c>
      <c r="P2517">
        <v>800</v>
      </c>
      <c r="S2517" t="str">
        <f>"BANCO C6 (149)"</f>
        <v>BANCO C6 (149)</v>
      </c>
      <c r="T2517">
        <v>18335</v>
      </c>
      <c r="U2517">
        <v>21509</v>
      </c>
      <c r="V2517" t="s">
        <v>77</v>
      </c>
    </row>
    <row r="2518" spans="1:22">
      <c r="A2518" t="str">
        <f t="shared" si="460"/>
        <v>18/09/2025</v>
      </c>
      <c r="B2518" t="str">
        <f t="shared" si="467"/>
        <v>SAÍDA</v>
      </c>
      <c r="C2518" t="str">
        <f t="shared" si="461"/>
        <v>PIX</v>
      </c>
      <c r="D2518" t="str">
        <f>"21509"</f>
        <v>21509</v>
      </c>
      <c r="E2518" t="str">
        <f t="shared" si="463"/>
        <v>1</v>
      </c>
      <c r="F2518" t="str">
        <f t="shared" si="466"/>
        <v>COM</v>
      </c>
      <c r="G2518" t="str">
        <f>"DIEGO DAYSON FERNANDES VIEIRA (893)"</f>
        <v>DIEGO DAYSON FERNANDES VIEIRA (893)</v>
      </c>
      <c r="H2518" t="s">
        <v>651</v>
      </c>
      <c r="I2518" t="str">
        <f t="shared" si="462"/>
        <v>18/09/2025</v>
      </c>
      <c r="J2518" t="str">
        <f t="shared" si="465"/>
        <v>08/09/2025</v>
      </c>
      <c r="K2518">
        <v>45918</v>
      </c>
      <c r="N2518">
        <v>109</v>
      </c>
      <c r="O2518" t="s">
        <v>24</v>
      </c>
      <c r="Q2518">
        <v>800</v>
      </c>
      <c r="R2518" t="str">
        <f>"FARMÁCIA INDIANA LJ 205 (10150)"</f>
        <v>FARMÁCIA INDIANA LJ 205 (10150)</v>
      </c>
      <c r="S2518" t="s">
        <v>77</v>
      </c>
      <c r="T2518">
        <v>18335</v>
      </c>
      <c r="U2518">
        <v>21509</v>
      </c>
      <c r="V2518" t="s">
        <v>77</v>
      </c>
    </row>
    <row r="2519" spans="1:22">
      <c r="A2519" t="str">
        <f t="shared" si="460"/>
        <v>18/09/2025</v>
      </c>
      <c r="B2519" t="str">
        <f t="shared" si="467"/>
        <v>SAÍDA</v>
      </c>
      <c r="C2519" t="str">
        <f t="shared" si="461"/>
        <v>PIX</v>
      </c>
      <c r="D2519" t="str">
        <f>"21510"</f>
        <v>21510</v>
      </c>
      <c r="E2519" t="str">
        <f t="shared" si="463"/>
        <v>1</v>
      </c>
      <c r="F2519" t="str">
        <f t="shared" si="466"/>
        <v>COM</v>
      </c>
      <c r="G2519" t="str">
        <f>"DIEGO DIRLEY RIBEIRO (38)"</f>
        <v>DIEGO DIRLEY RIBEIRO (38)</v>
      </c>
      <c r="H2519" t="str">
        <f>"Serv.Prest. 01/09/2025 a 07/09/2025 - PIX: CPF - CHAVE: 102.023.716-38"</f>
        <v>Serv.Prest. 01/09/2025 a 07/09/2025 - PIX: CPF - CHAVE: 102.023.716-38</v>
      </c>
      <c r="I2519" t="str">
        <f t="shared" si="462"/>
        <v>18/09/2025</v>
      </c>
      <c r="J2519" t="str">
        <f t="shared" si="465"/>
        <v>08/09/2025</v>
      </c>
      <c r="K2519" t="str">
        <f>("18/09/2025")</f>
        <v>18/09/2025</v>
      </c>
      <c r="L2519">
        <v>1320</v>
      </c>
      <c r="M2519">
        <v>1320</v>
      </c>
      <c r="N2519">
        <v>109</v>
      </c>
      <c r="O2519" t="str">
        <f>"PAGAMENTO DE ENTREGADORES"</f>
        <v>PAGAMENTO DE ENTREGADORES</v>
      </c>
      <c r="P2519">
        <v>1320</v>
      </c>
      <c r="S2519" t="str">
        <f>"BANCO C6 (149)"</f>
        <v>BANCO C6 (149)</v>
      </c>
      <c r="T2519">
        <v>18336</v>
      </c>
      <c r="U2519">
        <v>21510</v>
      </c>
      <c r="V2519" t="s">
        <v>77</v>
      </c>
    </row>
    <row r="2520" spans="1:22">
      <c r="A2520" t="str">
        <f t="shared" si="460"/>
        <v>18/09/2025</v>
      </c>
      <c r="B2520" t="str">
        <f t="shared" si="467"/>
        <v>SAÍDA</v>
      </c>
      <c r="C2520" t="str">
        <f t="shared" si="461"/>
        <v>PIX</v>
      </c>
      <c r="D2520" t="str">
        <f>"21510"</f>
        <v>21510</v>
      </c>
      <c r="E2520" t="str">
        <f t="shared" si="463"/>
        <v>1</v>
      </c>
      <c r="F2520" t="str">
        <f t="shared" si="466"/>
        <v>COM</v>
      </c>
      <c r="G2520" t="str">
        <f>"DIEGO DIRLEY RIBEIRO (38)"</f>
        <v>DIEGO DIRLEY RIBEIRO (38)</v>
      </c>
      <c r="H2520" t="s">
        <v>652</v>
      </c>
      <c r="I2520" t="str">
        <f t="shared" si="462"/>
        <v>18/09/2025</v>
      </c>
      <c r="J2520" t="str">
        <f t="shared" si="465"/>
        <v>08/09/2025</v>
      </c>
      <c r="K2520">
        <v>45918</v>
      </c>
      <c r="N2520">
        <v>109</v>
      </c>
      <c r="O2520" t="s">
        <v>24</v>
      </c>
      <c r="Q2520">
        <v>1320</v>
      </c>
      <c r="R2520" t="str">
        <f>"FARMÁCIA INDIANA LJ 172 (10161)"</f>
        <v>FARMÁCIA INDIANA LJ 172 (10161)</v>
      </c>
      <c r="S2520" t="s">
        <v>77</v>
      </c>
      <c r="T2520">
        <v>18336</v>
      </c>
      <c r="U2520">
        <v>21510</v>
      </c>
      <c r="V2520" t="s">
        <v>77</v>
      </c>
    </row>
    <row r="2521" spans="1:22">
      <c r="A2521" t="str">
        <f t="shared" ref="A2521:A2584" si="468">("18/09/2025")</f>
        <v>18/09/2025</v>
      </c>
      <c r="B2521" t="str">
        <f t="shared" si="467"/>
        <v>SAÍDA</v>
      </c>
      <c r="C2521" t="str">
        <f t="shared" ref="C2521:C2584" si="469">"PIX"</f>
        <v>PIX</v>
      </c>
      <c r="D2521" t="str">
        <f>"21511"</f>
        <v>21511</v>
      </c>
      <c r="E2521" t="str">
        <f t="shared" si="463"/>
        <v>1</v>
      </c>
      <c r="F2521" t="str">
        <f t="shared" si="466"/>
        <v>COM</v>
      </c>
      <c r="G2521" t="str">
        <f>"DIONE OLIVEIRA SILVA (214)"</f>
        <v>DIONE OLIVEIRA SILVA (214)</v>
      </c>
      <c r="H2521" t="str">
        <f>"Serv.Prest. 01/09/2025 a 07/09/2025 - PIX: CELULAR - CHAVE: (33) 98890-5095"</f>
        <v>Serv.Prest. 01/09/2025 a 07/09/2025 - PIX: CELULAR - CHAVE: (33) 98890-5095</v>
      </c>
      <c r="I2521" t="str">
        <f t="shared" ref="I2521:I2584" si="470">("18/09/2025")</f>
        <v>18/09/2025</v>
      </c>
      <c r="J2521" t="str">
        <f t="shared" si="465"/>
        <v>08/09/2025</v>
      </c>
      <c r="K2521" t="str">
        <f>("18/09/2025")</f>
        <v>18/09/2025</v>
      </c>
      <c r="L2521">
        <v>1638</v>
      </c>
      <c r="M2521">
        <v>1638</v>
      </c>
      <c r="N2521">
        <v>109</v>
      </c>
      <c r="O2521" t="str">
        <f>"PAGAMENTO DE ENTREGADORES"</f>
        <v>PAGAMENTO DE ENTREGADORES</v>
      </c>
      <c r="P2521">
        <v>1638</v>
      </c>
      <c r="S2521" t="str">
        <f>"BANCO C6 (149)"</f>
        <v>BANCO C6 (149)</v>
      </c>
      <c r="T2521">
        <v>18337</v>
      </c>
      <c r="U2521">
        <v>21511</v>
      </c>
      <c r="V2521" t="s">
        <v>77</v>
      </c>
    </row>
    <row r="2522" spans="1:22">
      <c r="A2522" t="str">
        <f t="shared" si="468"/>
        <v>18/09/2025</v>
      </c>
      <c r="B2522" t="str">
        <f t="shared" si="467"/>
        <v>SAÍDA</v>
      </c>
      <c r="C2522" t="str">
        <f t="shared" si="469"/>
        <v>PIX</v>
      </c>
      <c r="D2522" t="str">
        <f>"21511"</f>
        <v>21511</v>
      </c>
      <c r="E2522" t="str">
        <f t="shared" si="463"/>
        <v>1</v>
      </c>
      <c r="F2522" t="str">
        <f t="shared" si="466"/>
        <v>COM</v>
      </c>
      <c r="G2522" t="str">
        <f>"DIONE OLIVEIRA SILVA (214)"</f>
        <v>DIONE OLIVEIRA SILVA (214)</v>
      </c>
      <c r="H2522" t="s">
        <v>653</v>
      </c>
      <c r="I2522" t="str">
        <f t="shared" si="470"/>
        <v>18/09/2025</v>
      </c>
      <c r="J2522" t="str">
        <f t="shared" si="465"/>
        <v>08/09/2025</v>
      </c>
      <c r="K2522">
        <v>45918</v>
      </c>
      <c r="N2522">
        <v>109</v>
      </c>
      <c r="O2522" t="s">
        <v>24</v>
      </c>
      <c r="Q2522">
        <v>1638</v>
      </c>
      <c r="R2522" t="str">
        <f>"FARMÁCIA INDIANA LJ 14 (10009)"</f>
        <v>FARMÁCIA INDIANA LJ 14 (10009)</v>
      </c>
      <c r="S2522" t="s">
        <v>77</v>
      </c>
      <c r="T2522">
        <v>18337</v>
      </c>
      <c r="U2522">
        <v>21511</v>
      </c>
      <c r="V2522" t="s">
        <v>77</v>
      </c>
    </row>
    <row r="2523" spans="1:22">
      <c r="A2523" t="str">
        <f t="shared" si="468"/>
        <v>18/09/2025</v>
      </c>
      <c r="B2523" t="str">
        <f t="shared" si="467"/>
        <v>SAÍDA</v>
      </c>
      <c r="C2523" t="str">
        <f t="shared" si="469"/>
        <v>PIX</v>
      </c>
      <c r="D2523" t="str">
        <f>"21512"</f>
        <v>21512</v>
      </c>
      <c r="E2523" t="str">
        <f t="shared" si="463"/>
        <v>1</v>
      </c>
      <c r="F2523" t="str">
        <f t="shared" si="466"/>
        <v>COM</v>
      </c>
      <c r="G2523" t="str">
        <f>"EDIONIO CARVALHO DA SILVA (920)"</f>
        <v>EDIONIO CARVALHO DA SILVA (920)</v>
      </c>
      <c r="H2523" t="str">
        <f>"Serv.Prest. 01/09/2025 a 07/09/2025 - PIX: CELULAR - CHAVE: (33) 99199-7983"</f>
        <v>Serv.Prest. 01/09/2025 a 07/09/2025 - PIX: CELULAR - CHAVE: (33) 99199-7983</v>
      </c>
      <c r="I2523" t="str">
        <f t="shared" si="470"/>
        <v>18/09/2025</v>
      </c>
      <c r="J2523" t="str">
        <f t="shared" si="465"/>
        <v>08/09/2025</v>
      </c>
      <c r="K2523" t="str">
        <f>("18/09/2025")</f>
        <v>18/09/2025</v>
      </c>
      <c r="L2523">
        <v>750</v>
      </c>
      <c r="M2523">
        <v>750</v>
      </c>
      <c r="N2523">
        <v>109</v>
      </c>
      <c r="O2523" t="str">
        <f>"PAGAMENTO DE ENTREGADORES"</f>
        <v>PAGAMENTO DE ENTREGADORES</v>
      </c>
      <c r="P2523">
        <v>750</v>
      </c>
      <c r="S2523" t="str">
        <f>"BANCO C6 (149)"</f>
        <v>BANCO C6 (149)</v>
      </c>
      <c r="T2523">
        <v>18338</v>
      </c>
      <c r="U2523">
        <v>21512</v>
      </c>
      <c r="V2523" t="s">
        <v>77</v>
      </c>
    </row>
    <row r="2524" spans="1:22">
      <c r="A2524" t="str">
        <f t="shared" si="468"/>
        <v>18/09/2025</v>
      </c>
      <c r="B2524" t="str">
        <f t="shared" si="467"/>
        <v>SAÍDA</v>
      </c>
      <c r="C2524" t="str">
        <f t="shared" si="469"/>
        <v>PIX</v>
      </c>
      <c r="D2524" t="str">
        <f>"21512"</f>
        <v>21512</v>
      </c>
      <c r="E2524" t="str">
        <f t="shared" si="463"/>
        <v>1</v>
      </c>
      <c r="F2524" t="str">
        <f t="shared" si="466"/>
        <v>COM</v>
      </c>
      <c r="G2524" t="str">
        <f>"EDIONIO CARVALHO DA SILVA (920)"</f>
        <v>EDIONIO CARVALHO DA SILVA (920)</v>
      </c>
      <c r="H2524" t="s">
        <v>654</v>
      </c>
      <c r="I2524" t="str">
        <f t="shared" si="470"/>
        <v>18/09/2025</v>
      </c>
      <c r="J2524" t="str">
        <f t="shared" si="465"/>
        <v>08/09/2025</v>
      </c>
      <c r="K2524">
        <v>45918</v>
      </c>
      <c r="N2524">
        <v>109</v>
      </c>
      <c r="O2524" t="s">
        <v>24</v>
      </c>
      <c r="Q2524">
        <v>750</v>
      </c>
      <c r="R2524" t="str">
        <f>"FARMÁCIA INDIANA LJ 171 (10074)"</f>
        <v>FARMÁCIA INDIANA LJ 171 (10074)</v>
      </c>
      <c r="S2524" t="s">
        <v>77</v>
      </c>
      <c r="T2524">
        <v>18338</v>
      </c>
      <c r="U2524">
        <v>21512</v>
      </c>
      <c r="V2524" t="s">
        <v>77</v>
      </c>
    </row>
    <row r="2525" spans="1:22">
      <c r="A2525" t="str">
        <f t="shared" si="468"/>
        <v>18/09/2025</v>
      </c>
      <c r="B2525" t="str">
        <f t="shared" si="467"/>
        <v>SAÍDA</v>
      </c>
      <c r="C2525" t="str">
        <f t="shared" si="469"/>
        <v>PIX</v>
      </c>
      <c r="D2525" t="str">
        <f>"21513"</f>
        <v>21513</v>
      </c>
      <c r="E2525" t="str">
        <f t="shared" ref="E2525:E2588" si="471">"1"</f>
        <v>1</v>
      </c>
      <c r="F2525" t="str">
        <f t="shared" si="466"/>
        <v>COM</v>
      </c>
      <c r="G2525" t="str">
        <f>"EDSON JUNIOR FERREIRA DA SILVA (99)"</f>
        <v>EDSON JUNIOR FERREIRA DA SILVA (99)</v>
      </c>
      <c r="H2525" t="str">
        <f>"Serv.Prest. 01/09/2025 a 07/09/2025 - PIX: CPF - CHAVE: 141.134.256-98"</f>
        <v>Serv.Prest. 01/09/2025 a 07/09/2025 - PIX: CPF - CHAVE: 141.134.256-98</v>
      </c>
      <c r="I2525" t="str">
        <f t="shared" si="470"/>
        <v>18/09/2025</v>
      </c>
      <c r="J2525" t="str">
        <f t="shared" si="465"/>
        <v>08/09/2025</v>
      </c>
      <c r="K2525" t="str">
        <f>("18/09/2025")</f>
        <v>18/09/2025</v>
      </c>
      <c r="L2525">
        <v>700.7</v>
      </c>
      <c r="M2525">
        <v>700.7</v>
      </c>
      <c r="N2525">
        <v>109</v>
      </c>
      <c r="O2525" t="str">
        <f>"PAGAMENTO DE ENTREGADORES"</f>
        <v>PAGAMENTO DE ENTREGADORES</v>
      </c>
      <c r="P2525">
        <v>700.7</v>
      </c>
      <c r="S2525" t="str">
        <f>"BANCO C6 (149)"</f>
        <v>BANCO C6 (149)</v>
      </c>
      <c r="T2525">
        <v>18339</v>
      </c>
      <c r="U2525">
        <v>21513</v>
      </c>
      <c r="V2525" t="s">
        <v>77</v>
      </c>
    </row>
    <row r="2526" spans="1:22">
      <c r="A2526" t="str">
        <f t="shared" si="468"/>
        <v>18/09/2025</v>
      </c>
      <c r="B2526" t="str">
        <f t="shared" si="467"/>
        <v>SAÍDA</v>
      </c>
      <c r="C2526" t="str">
        <f t="shared" si="469"/>
        <v>PIX</v>
      </c>
      <c r="D2526" t="str">
        <f>"21513"</f>
        <v>21513</v>
      </c>
      <c r="E2526" t="str">
        <f t="shared" si="471"/>
        <v>1</v>
      </c>
      <c r="F2526" t="str">
        <f t="shared" si="466"/>
        <v>COM</v>
      </c>
      <c r="G2526" t="str">
        <f>"EDSON JUNIOR FERREIRA DA SILVA (99)"</f>
        <v>EDSON JUNIOR FERREIRA DA SILVA (99)</v>
      </c>
      <c r="H2526" t="s">
        <v>655</v>
      </c>
      <c r="I2526" t="str">
        <f t="shared" si="470"/>
        <v>18/09/2025</v>
      </c>
      <c r="J2526" t="str">
        <f t="shared" si="465"/>
        <v>08/09/2025</v>
      </c>
      <c r="K2526">
        <v>45918</v>
      </c>
      <c r="N2526">
        <v>109</v>
      </c>
      <c r="O2526" t="s">
        <v>24</v>
      </c>
      <c r="Q2526">
        <v>700.7</v>
      </c>
      <c r="R2526" t="str">
        <f>"FARMÁCIA INDIANA LJ 100 (10042)"</f>
        <v>FARMÁCIA INDIANA LJ 100 (10042)</v>
      </c>
      <c r="S2526" t="s">
        <v>77</v>
      </c>
      <c r="T2526">
        <v>18339</v>
      </c>
      <c r="U2526">
        <v>21513</v>
      </c>
      <c r="V2526" t="s">
        <v>77</v>
      </c>
    </row>
    <row r="2527" spans="1:22">
      <c r="A2527" t="str">
        <f t="shared" si="468"/>
        <v>18/09/2025</v>
      </c>
      <c r="B2527" t="str">
        <f t="shared" si="467"/>
        <v>SAÍDA</v>
      </c>
      <c r="C2527" t="str">
        <f t="shared" si="469"/>
        <v>PIX</v>
      </c>
      <c r="D2527" t="str">
        <f>"21514"</f>
        <v>21514</v>
      </c>
      <c r="E2527" t="str">
        <f t="shared" si="471"/>
        <v>1</v>
      </c>
      <c r="F2527" t="str">
        <f t="shared" si="466"/>
        <v>COM</v>
      </c>
      <c r="G2527" t="str">
        <f>"EUDES PIMENTA (368)"</f>
        <v>EUDES PIMENTA (368)</v>
      </c>
      <c r="H2527" t="str">
        <f>"Serv.Prest. 01/09/2025 a 07/09/2025 - PIX: CPF - CHAVE: 070.073.316-70"</f>
        <v>Serv.Prest. 01/09/2025 a 07/09/2025 - PIX: CPF - CHAVE: 070.073.316-70</v>
      </c>
      <c r="I2527" t="str">
        <f t="shared" si="470"/>
        <v>18/09/2025</v>
      </c>
      <c r="J2527" t="str">
        <f t="shared" si="465"/>
        <v>08/09/2025</v>
      </c>
      <c r="K2527" t="str">
        <f>("18/09/2025")</f>
        <v>18/09/2025</v>
      </c>
      <c r="L2527">
        <v>1080</v>
      </c>
      <c r="M2527">
        <v>1080</v>
      </c>
      <c r="N2527">
        <v>109</v>
      </c>
      <c r="O2527" t="str">
        <f>"PAGAMENTO DE ENTREGADORES"</f>
        <v>PAGAMENTO DE ENTREGADORES</v>
      </c>
      <c r="P2527">
        <v>1080</v>
      </c>
      <c r="S2527" t="str">
        <f>"BANCO C6 (149)"</f>
        <v>BANCO C6 (149)</v>
      </c>
      <c r="T2527">
        <v>18340</v>
      </c>
      <c r="U2527">
        <v>21514</v>
      </c>
      <c r="V2527" t="s">
        <v>77</v>
      </c>
    </row>
    <row r="2528" spans="1:22">
      <c r="A2528" t="str">
        <f t="shared" si="468"/>
        <v>18/09/2025</v>
      </c>
      <c r="B2528" t="str">
        <f t="shared" si="467"/>
        <v>SAÍDA</v>
      </c>
      <c r="C2528" t="str">
        <f t="shared" si="469"/>
        <v>PIX</v>
      </c>
      <c r="D2528" t="str">
        <f>"21514"</f>
        <v>21514</v>
      </c>
      <c r="E2528" t="str">
        <f t="shared" si="471"/>
        <v>1</v>
      </c>
      <c r="F2528" t="str">
        <f t="shared" si="466"/>
        <v>COM</v>
      </c>
      <c r="G2528" t="str">
        <f>"EUDES PIMENTA (368)"</f>
        <v>EUDES PIMENTA (368)</v>
      </c>
      <c r="H2528" t="s">
        <v>656</v>
      </c>
      <c r="I2528" t="str">
        <f t="shared" si="470"/>
        <v>18/09/2025</v>
      </c>
      <c r="J2528" t="str">
        <f t="shared" si="465"/>
        <v>08/09/2025</v>
      </c>
      <c r="K2528">
        <v>45918</v>
      </c>
      <c r="N2528">
        <v>109</v>
      </c>
      <c r="O2528" t="s">
        <v>24</v>
      </c>
      <c r="Q2528">
        <v>1080</v>
      </c>
      <c r="R2528" t="str">
        <f>"FARMÁCIA INDIANA LJ 06 (10006)"</f>
        <v>FARMÁCIA INDIANA LJ 06 (10006)</v>
      </c>
      <c r="S2528" t="s">
        <v>77</v>
      </c>
      <c r="T2528">
        <v>18340</v>
      </c>
      <c r="U2528">
        <v>21514</v>
      </c>
      <c r="V2528" t="s">
        <v>77</v>
      </c>
    </row>
    <row r="2529" spans="1:22">
      <c r="A2529" t="str">
        <f t="shared" si="468"/>
        <v>18/09/2025</v>
      </c>
      <c r="B2529" t="str">
        <f t="shared" si="467"/>
        <v>SAÍDA</v>
      </c>
      <c r="C2529" t="str">
        <f t="shared" si="469"/>
        <v>PIX</v>
      </c>
      <c r="D2529" t="str">
        <f>"21516"</f>
        <v>21516</v>
      </c>
      <c r="E2529" t="str">
        <f t="shared" si="471"/>
        <v>1</v>
      </c>
      <c r="F2529" t="str">
        <f t="shared" si="466"/>
        <v>COM</v>
      </c>
      <c r="G2529" t="str">
        <f>"FABRICIO RAMON SOARES SANTOS (645)"</f>
        <v>FABRICIO RAMON SOARES SANTOS (645)</v>
      </c>
      <c r="H2529" t="str">
        <f>"Serv.Prest. 01/09/2025 a 07/09/2025 - PIX: CELULAR - CHAVE: (31) 98483-3242"</f>
        <v>Serv.Prest. 01/09/2025 a 07/09/2025 - PIX: CELULAR - CHAVE: (31) 98483-3242</v>
      </c>
      <c r="I2529" t="str">
        <f t="shared" si="470"/>
        <v>18/09/2025</v>
      </c>
      <c r="J2529" t="str">
        <f t="shared" si="465"/>
        <v>08/09/2025</v>
      </c>
      <c r="K2529" t="str">
        <f>("18/09/2025")</f>
        <v>18/09/2025</v>
      </c>
      <c r="L2529">
        <v>1338</v>
      </c>
      <c r="M2529">
        <v>1338</v>
      </c>
      <c r="N2529">
        <v>109</v>
      </c>
      <c r="O2529" t="str">
        <f>"PAGAMENTO DE ENTREGADORES"</f>
        <v>PAGAMENTO DE ENTREGADORES</v>
      </c>
      <c r="P2529">
        <v>1338</v>
      </c>
      <c r="S2529" t="str">
        <f>"BANCO C6 (149)"</f>
        <v>BANCO C6 (149)</v>
      </c>
      <c r="T2529">
        <v>18341</v>
      </c>
      <c r="U2529">
        <v>21516</v>
      </c>
      <c r="V2529" t="s">
        <v>77</v>
      </c>
    </row>
    <row r="2530" spans="1:22">
      <c r="A2530" t="str">
        <f t="shared" si="468"/>
        <v>18/09/2025</v>
      </c>
      <c r="B2530" t="str">
        <f t="shared" si="467"/>
        <v>SAÍDA</v>
      </c>
      <c r="C2530" t="str">
        <f t="shared" si="469"/>
        <v>PIX</v>
      </c>
      <c r="D2530" t="str">
        <f>"21516"</f>
        <v>21516</v>
      </c>
      <c r="E2530" t="str">
        <f t="shared" si="471"/>
        <v>1</v>
      </c>
      <c r="F2530" t="str">
        <f t="shared" si="466"/>
        <v>COM</v>
      </c>
      <c r="G2530" t="str">
        <f>"FABRICIO RAMON SOARES SANTOS (645)"</f>
        <v>FABRICIO RAMON SOARES SANTOS (645)</v>
      </c>
      <c r="H2530" t="s">
        <v>657</v>
      </c>
      <c r="I2530" t="str">
        <f t="shared" si="470"/>
        <v>18/09/2025</v>
      </c>
      <c r="J2530" t="str">
        <f t="shared" si="465"/>
        <v>08/09/2025</v>
      </c>
      <c r="K2530">
        <v>45918</v>
      </c>
      <c r="N2530">
        <v>109</v>
      </c>
      <c r="O2530" t="s">
        <v>24</v>
      </c>
      <c r="Q2530">
        <v>1338</v>
      </c>
      <c r="R2530" t="str">
        <f>"FARMÁCIA INDIANA LJ 101 (10043)"</f>
        <v>FARMÁCIA INDIANA LJ 101 (10043)</v>
      </c>
      <c r="S2530" t="s">
        <v>77</v>
      </c>
      <c r="T2530">
        <v>18341</v>
      </c>
      <c r="U2530">
        <v>21516</v>
      </c>
      <c r="V2530" t="s">
        <v>77</v>
      </c>
    </row>
    <row r="2531" spans="1:22">
      <c r="A2531" t="str">
        <f t="shared" si="468"/>
        <v>18/09/2025</v>
      </c>
      <c r="B2531" t="str">
        <f t="shared" si="467"/>
        <v>SAÍDA</v>
      </c>
      <c r="C2531" t="str">
        <f t="shared" si="469"/>
        <v>PIX</v>
      </c>
      <c r="D2531" t="str">
        <f>"21517"</f>
        <v>21517</v>
      </c>
      <c r="E2531" t="str">
        <f t="shared" si="471"/>
        <v>1</v>
      </c>
      <c r="F2531" t="str">
        <f t="shared" si="466"/>
        <v>COM</v>
      </c>
      <c r="G2531" t="str">
        <f>"GABRIEL DA SILVA REIS (824)"</f>
        <v>GABRIEL DA SILVA REIS (824)</v>
      </c>
      <c r="H2531" t="str">
        <f>"Serv.Prest. 01/09/2025 a 07/09/2025 - PIX: CPF - CHAVE: 160.160.216-28"</f>
        <v>Serv.Prest. 01/09/2025 a 07/09/2025 - PIX: CPF - CHAVE: 160.160.216-28</v>
      </c>
      <c r="I2531" t="str">
        <f t="shared" si="470"/>
        <v>18/09/2025</v>
      </c>
      <c r="J2531" t="str">
        <f t="shared" si="465"/>
        <v>08/09/2025</v>
      </c>
      <c r="K2531" t="str">
        <f>("18/09/2025")</f>
        <v>18/09/2025</v>
      </c>
      <c r="L2531">
        <v>700.7</v>
      </c>
      <c r="M2531">
        <v>700.7</v>
      </c>
      <c r="N2531">
        <v>109</v>
      </c>
      <c r="O2531" t="str">
        <f>"PAGAMENTO DE ENTREGADORES"</f>
        <v>PAGAMENTO DE ENTREGADORES</v>
      </c>
      <c r="P2531">
        <v>700.7</v>
      </c>
      <c r="S2531" t="str">
        <f>"BANCO C6 (149)"</f>
        <v>BANCO C6 (149)</v>
      </c>
      <c r="T2531">
        <v>18342</v>
      </c>
      <c r="U2531">
        <v>21517</v>
      </c>
      <c r="V2531" t="s">
        <v>77</v>
      </c>
    </row>
    <row r="2532" spans="1:22">
      <c r="A2532" t="str">
        <f t="shared" si="468"/>
        <v>18/09/2025</v>
      </c>
      <c r="B2532" t="str">
        <f t="shared" si="467"/>
        <v>SAÍDA</v>
      </c>
      <c r="C2532" t="str">
        <f t="shared" si="469"/>
        <v>PIX</v>
      </c>
      <c r="D2532" t="str">
        <f>"21517"</f>
        <v>21517</v>
      </c>
      <c r="E2532" t="str">
        <f t="shared" si="471"/>
        <v>1</v>
      </c>
      <c r="F2532" t="str">
        <f t="shared" si="466"/>
        <v>COM</v>
      </c>
      <c r="G2532" t="str">
        <f>"GABRIEL DA SILVA REIS (824)"</f>
        <v>GABRIEL DA SILVA REIS (824)</v>
      </c>
      <c r="H2532" t="s">
        <v>658</v>
      </c>
      <c r="I2532" t="str">
        <f t="shared" si="470"/>
        <v>18/09/2025</v>
      </c>
      <c r="J2532" t="str">
        <f t="shared" si="465"/>
        <v>08/09/2025</v>
      </c>
      <c r="K2532">
        <v>45918</v>
      </c>
      <c r="N2532">
        <v>109</v>
      </c>
      <c r="O2532" t="s">
        <v>24</v>
      </c>
      <c r="Q2532">
        <v>700.7</v>
      </c>
      <c r="R2532" t="str">
        <f>"FARMÁCIA INDIANA LJ 100 (10042)"</f>
        <v>FARMÁCIA INDIANA LJ 100 (10042)</v>
      </c>
      <c r="S2532" t="s">
        <v>77</v>
      </c>
      <c r="T2532">
        <v>18342</v>
      </c>
      <c r="U2532">
        <v>21517</v>
      </c>
      <c r="V2532" t="s">
        <v>77</v>
      </c>
    </row>
    <row r="2533" spans="1:22">
      <c r="A2533" t="str">
        <f t="shared" si="468"/>
        <v>18/09/2025</v>
      </c>
      <c r="B2533" t="str">
        <f t="shared" si="467"/>
        <v>SAÍDA</v>
      </c>
      <c r="C2533" t="str">
        <f t="shared" si="469"/>
        <v>PIX</v>
      </c>
      <c r="D2533" t="str">
        <f>"21518"</f>
        <v>21518</v>
      </c>
      <c r="E2533" t="str">
        <f t="shared" si="471"/>
        <v>1</v>
      </c>
      <c r="F2533" t="str">
        <f t="shared" si="466"/>
        <v>COM</v>
      </c>
      <c r="G2533" t="str">
        <f>"GABRIEL SOARES VIEIRA (18)"</f>
        <v>GABRIEL SOARES VIEIRA (18)</v>
      </c>
      <c r="H2533" t="str">
        <f>"Serv.Prest. 01/09/2025 a 07/09/2025 - PIX: CPF - CHAVE: 179.800.027-09"</f>
        <v>Serv.Prest. 01/09/2025 a 07/09/2025 - PIX: CPF - CHAVE: 179.800.027-09</v>
      </c>
      <c r="I2533" t="str">
        <f t="shared" si="470"/>
        <v>18/09/2025</v>
      </c>
      <c r="J2533" t="str">
        <f t="shared" si="465"/>
        <v>08/09/2025</v>
      </c>
      <c r="K2533" t="str">
        <f>("18/09/2025")</f>
        <v>18/09/2025</v>
      </c>
      <c r="L2533">
        <v>2127.5</v>
      </c>
      <c r="M2533">
        <v>2127.5</v>
      </c>
      <c r="N2533">
        <v>109</v>
      </c>
      <c r="O2533" t="str">
        <f>"PAGAMENTO DE ENTREGADORES"</f>
        <v>PAGAMENTO DE ENTREGADORES</v>
      </c>
      <c r="P2533">
        <v>2127.5</v>
      </c>
      <c r="S2533" t="str">
        <f>"BANCO C6 (149)"</f>
        <v>BANCO C6 (149)</v>
      </c>
      <c r="T2533">
        <v>18343</v>
      </c>
      <c r="U2533">
        <v>21518</v>
      </c>
      <c r="V2533" t="s">
        <v>77</v>
      </c>
    </row>
    <row r="2534" spans="1:22">
      <c r="A2534" t="str">
        <f t="shared" si="468"/>
        <v>18/09/2025</v>
      </c>
      <c r="B2534" t="str">
        <f t="shared" si="467"/>
        <v>SAÍDA</v>
      </c>
      <c r="C2534" t="str">
        <f t="shared" si="469"/>
        <v>PIX</v>
      </c>
      <c r="D2534" t="str">
        <f>"21518"</f>
        <v>21518</v>
      </c>
      <c r="E2534" t="str">
        <f t="shared" si="471"/>
        <v>1</v>
      </c>
      <c r="F2534" t="str">
        <f t="shared" si="466"/>
        <v>COM</v>
      </c>
      <c r="G2534" t="str">
        <f>"GABRIEL SOARES VIEIRA (18)"</f>
        <v>GABRIEL SOARES VIEIRA (18)</v>
      </c>
      <c r="H2534" t="s">
        <v>365</v>
      </c>
      <c r="I2534" t="str">
        <f t="shared" si="470"/>
        <v>18/09/2025</v>
      </c>
      <c r="J2534" t="str">
        <f t="shared" si="465"/>
        <v>08/09/2025</v>
      </c>
      <c r="K2534">
        <v>45918</v>
      </c>
      <c r="N2534">
        <v>109</v>
      </c>
      <c r="O2534" t="s">
        <v>24</v>
      </c>
      <c r="Q2534">
        <v>2127.5</v>
      </c>
      <c r="R2534" t="str">
        <f>"FARMÁCIA INDIANA LJ 40 (10016)"</f>
        <v>FARMÁCIA INDIANA LJ 40 (10016)</v>
      </c>
      <c r="S2534" t="s">
        <v>77</v>
      </c>
      <c r="T2534">
        <v>18343</v>
      </c>
      <c r="U2534">
        <v>21518</v>
      </c>
      <c r="V2534" t="s">
        <v>77</v>
      </c>
    </row>
    <row r="2535" spans="1:22">
      <c r="A2535" t="str">
        <f t="shared" si="468"/>
        <v>18/09/2025</v>
      </c>
      <c r="B2535" t="str">
        <f t="shared" si="467"/>
        <v>SAÍDA</v>
      </c>
      <c r="C2535" t="str">
        <f t="shared" si="469"/>
        <v>PIX</v>
      </c>
      <c r="D2535" t="str">
        <f>"21520"</f>
        <v>21520</v>
      </c>
      <c r="E2535" t="str">
        <f t="shared" si="471"/>
        <v>1</v>
      </c>
      <c r="F2535" t="str">
        <f t="shared" si="466"/>
        <v>COM</v>
      </c>
      <c r="G2535" t="str">
        <f>"GILNEI MENDES COELHO (195)"</f>
        <v>GILNEI MENDES COELHO (195)</v>
      </c>
      <c r="H2535" t="str">
        <f>"Serv.Prest. 01/09/2025 a 07/09/2025 - PIX: CPF - CHAVE: 386.313.426-53"</f>
        <v>Serv.Prest. 01/09/2025 a 07/09/2025 - PIX: CPF - CHAVE: 386.313.426-53</v>
      </c>
      <c r="I2535" t="str">
        <f t="shared" si="470"/>
        <v>18/09/2025</v>
      </c>
      <c r="J2535" t="str">
        <f t="shared" si="465"/>
        <v>08/09/2025</v>
      </c>
      <c r="K2535" t="str">
        <f>("18/09/2025")</f>
        <v>18/09/2025</v>
      </c>
      <c r="L2535">
        <v>1080</v>
      </c>
      <c r="M2535">
        <v>1080</v>
      </c>
      <c r="N2535">
        <v>109</v>
      </c>
      <c r="O2535" t="str">
        <f>"PAGAMENTO DE ENTREGADORES"</f>
        <v>PAGAMENTO DE ENTREGADORES</v>
      </c>
      <c r="P2535">
        <v>1080</v>
      </c>
      <c r="S2535" t="str">
        <f>"BANCO C6 (149)"</f>
        <v>BANCO C6 (149)</v>
      </c>
      <c r="T2535">
        <v>18344</v>
      </c>
      <c r="U2535">
        <v>21520</v>
      </c>
      <c r="V2535" t="s">
        <v>77</v>
      </c>
    </row>
    <row r="2536" spans="1:22">
      <c r="A2536" t="str">
        <f t="shared" si="468"/>
        <v>18/09/2025</v>
      </c>
      <c r="B2536" t="str">
        <f t="shared" si="467"/>
        <v>SAÍDA</v>
      </c>
      <c r="C2536" t="str">
        <f t="shared" si="469"/>
        <v>PIX</v>
      </c>
      <c r="D2536" t="str">
        <f>"21520"</f>
        <v>21520</v>
      </c>
      <c r="E2536" t="str">
        <f t="shared" si="471"/>
        <v>1</v>
      </c>
      <c r="F2536" t="str">
        <f t="shared" si="466"/>
        <v>COM</v>
      </c>
      <c r="G2536" t="str">
        <f>"GILNEI MENDES COELHO (195)"</f>
        <v>GILNEI MENDES COELHO (195)</v>
      </c>
      <c r="H2536" t="s">
        <v>659</v>
      </c>
      <c r="I2536" t="str">
        <f t="shared" si="470"/>
        <v>18/09/2025</v>
      </c>
      <c r="J2536" t="str">
        <f t="shared" si="465"/>
        <v>08/09/2025</v>
      </c>
      <c r="K2536">
        <v>45918</v>
      </c>
      <c r="N2536">
        <v>109</v>
      </c>
      <c r="O2536" t="s">
        <v>24</v>
      </c>
      <c r="Q2536">
        <v>1080</v>
      </c>
      <c r="R2536" t="str">
        <f>"FARMÁCIA INDIANA LJ 06 (10006)"</f>
        <v>FARMÁCIA INDIANA LJ 06 (10006)</v>
      </c>
      <c r="S2536" t="s">
        <v>77</v>
      </c>
      <c r="T2536">
        <v>18344</v>
      </c>
      <c r="U2536">
        <v>21520</v>
      </c>
      <c r="V2536" t="s">
        <v>77</v>
      </c>
    </row>
    <row r="2537" spans="1:22">
      <c r="A2537" t="str">
        <f t="shared" si="468"/>
        <v>18/09/2025</v>
      </c>
      <c r="B2537" t="str">
        <f t="shared" si="467"/>
        <v>SAÍDA</v>
      </c>
      <c r="C2537" t="str">
        <f t="shared" si="469"/>
        <v>PIX</v>
      </c>
      <c r="D2537" t="str">
        <f>"21521"</f>
        <v>21521</v>
      </c>
      <c r="E2537" t="str">
        <f t="shared" si="471"/>
        <v>1</v>
      </c>
      <c r="F2537" t="str">
        <f t="shared" si="466"/>
        <v>COM</v>
      </c>
      <c r="G2537" t="str">
        <f>"GUILHERME QUINTINO DA ROCHA (199)"</f>
        <v>GUILHERME QUINTINO DA ROCHA (199)</v>
      </c>
      <c r="H2537" t="str">
        <f>"Serv.Prest. 01/09/2025 a 07/09/2025 - PIX: CELULAR - CHAVE: (33) 99706-4860"</f>
        <v>Serv.Prest. 01/09/2025 a 07/09/2025 - PIX: CELULAR - CHAVE: (33) 99706-4860</v>
      </c>
      <c r="I2537" t="str">
        <f t="shared" si="470"/>
        <v>18/09/2025</v>
      </c>
      <c r="J2537" t="str">
        <f t="shared" ref="J2537:J2600" si="472">("08/09/2025")</f>
        <v>08/09/2025</v>
      </c>
      <c r="K2537" t="str">
        <f>("18/09/2025")</f>
        <v>18/09/2025</v>
      </c>
      <c r="L2537">
        <v>720</v>
      </c>
      <c r="M2537">
        <v>720</v>
      </c>
      <c r="N2537">
        <v>109</v>
      </c>
      <c r="O2537" t="str">
        <f>"PAGAMENTO DE ENTREGADORES"</f>
        <v>PAGAMENTO DE ENTREGADORES</v>
      </c>
      <c r="P2537">
        <v>720</v>
      </c>
      <c r="S2537" t="str">
        <f>"BANCO C6 (149)"</f>
        <v>BANCO C6 (149)</v>
      </c>
      <c r="T2537">
        <v>18345</v>
      </c>
      <c r="U2537">
        <v>21521</v>
      </c>
      <c r="V2537" t="s">
        <v>77</v>
      </c>
    </row>
    <row r="2538" spans="1:22">
      <c r="A2538" t="str">
        <f t="shared" si="468"/>
        <v>18/09/2025</v>
      </c>
      <c r="B2538" t="str">
        <f t="shared" si="467"/>
        <v>SAÍDA</v>
      </c>
      <c r="C2538" t="str">
        <f t="shared" si="469"/>
        <v>PIX</v>
      </c>
      <c r="D2538" t="str">
        <f>"21521"</f>
        <v>21521</v>
      </c>
      <c r="E2538" t="str">
        <f t="shared" si="471"/>
        <v>1</v>
      </c>
      <c r="F2538" t="str">
        <f t="shared" si="466"/>
        <v>COM</v>
      </c>
      <c r="G2538" t="str">
        <f>"GUILHERME QUINTINO DA ROCHA (199)"</f>
        <v>GUILHERME QUINTINO DA ROCHA (199)</v>
      </c>
      <c r="H2538" t="s">
        <v>660</v>
      </c>
      <c r="I2538" t="str">
        <f t="shared" si="470"/>
        <v>18/09/2025</v>
      </c>
      <c r="J2538" t="str">
        <f t="shared" si="472"/>
        <v>08/09/2025</v>
      </c>
      <c r="K2538">
        <v>45918</v>
      </c>
      <c r="N2538">
        <v>109</v>
      </c>
      <c r="O2538" t="s">
        <v>24</v>
      </c>
      <c r="Q2538">
        <v>720</v>
      </c>
      <c r="R2538" t="str">
        <f>"FARMÁCIA INDIANA LJ 06 (10006)"</f>
        <v>FARMÁCIA INDIANA LJ 06 (10006)</v>
      </c>
      <c r="S2538" t="s">
        <v>77</v>
      </c>
      <c r="T2538">
        <v>18345</v>
      </c>
      <c r="U2538">
        <v>21521</v>
      </c>
      <c r="V2538" t="s">
        <v>77</v>
      </c>
    </row>
    <row r="2539" spans="1:22">
      <c r="A2539" t="str">
        <f t="shared" si="468"/>
        <v>18/09/2025</v>
      </c>
      <c r="B2539" t="str">
        <f t="shared" si="467"/>
        <v>SAÍDA</v>
      </c>
      <c r="C2539" t="str">
        <f t="shared" si="469"/>
        <v>PIX</v>
      </c>
      <c r="D2539" t="str">
        <f>"21522"</f>
        <v>21522</v>
      </c>
      <c r="E2539" t="str">
        <f t="shared" si="471"/>
        <v>1</v>
      </c>
      <c r="F2539" t="str">
        <f t="shared" si="466"/>
        <v>COM</v>
      </c>
      <c r="G2539" t="str">
        <f>"GUSTAVO ALVES DE ARAÚJO (298)"</f>
        <v>GUSTAVO ALVES DE ARAÚJO (298)</v>
      </c>
      <c r="H2539" t="str">
        <f>"Serv.Prest. 01/09/2025 a 07/09/2025 - PIX: CELULAR - CHAVE: (31) 99816-8965"</f>
        <v>Serv.Prest. 01/09/2025 a 07/09/2025 - PIX: CELULAR - CHAVE: (31) 99816-8965</v>
      </c>
      <c r="I2539" t="str">
        <f t="shared" si="470"/>
        <v>18/09/2025</v>
      </c>
      <c r="J2539" t="str">
        <f t="shared" si="472"/>
        <v>08/09/2025</v>
      </c>
      <c r="K2539" t="str">
        <f>("18/09/2025")</f>
        <v>18/09/2025</v>
      </c>
      <c r="L2539">
        <v>996</v>
      </c>
      <c r="M2539">
        <v>996</v>
      </c>
      <c r="N2539">
        <v>109</v>
      </c>
      <c r="O2539" t="str">
        <f>"PAGAMENTO DE ENTREGADORES"</f>
        <v>PAGAMENTO DE ENTREGADORES</v>
      </c>
      <c r="P2539">
        <v>996</v>
      </c>
      <c r="S2539" t="str">
        <f>"BANCO C6 (149)"</f>
        <v>BANCO C6 (149)</v>
      </c>
      <c r="T2539">
        <v>18346</v>
      </c>
      <c r="U2539">
        <v>21522</v>
      </c>
      <c r="V2539" t="s">
        <v>77</v>
      </c>
    </row>
    <row r="2540" spans="1:22">
      <c r="A2540" t="str">
        <f t="shared" si="468"/>
        <v>18/09/2025</v>
      </c>
      <c r="B2540" t="str">
        <f t="shared" si="467"/>
        <v>SAÍDA</v>
      </c>
      <c r="C2540" t="str">
        <f t="shared" si="469"/>
        <v>PIX</v>
      </c>
      <c r="D2540" t="str">
        <f>"21522"</f>
        <v>21522</v>
      </c>
      <c r="E2540" t="str">
        <f t="shared" si="471"/>
        <v>1</v>
      </c>
      <c r="F2540" t="str">
        <f t="shared" si="466"/>
        <v>COM</v>
      </c>
      <c r="G2540" t="str">
        <f>"GUSTAVO ALVES DE ARAÚJO (298)"</f>
        <v>GUSTAVO ALVES DE ARAÚJO (298)</v>
      </c>
      <c r="H2540" t="s">
        <v>661</v>
      </c>
      <c r="I2540" t="str">
        <f t="shared" si="470"/>
        <v>18/09/2025</v>
      </c>
      <c r="J2540" t="str">
        <f t="shared" si="472"/>
        <v>08/09/2025</v>
      </c>
      <c r="K2540">
        <v>45918</v>
      </c>
      <c r="N2540">
        <v>109</v>
      </c>
      <c r="O2540" t="s">
        <v>24</v>
      </c>
      <c r="Q2540">
        <v>996</v>
      </c>
      <c r="R2540" t="str">
        <f>"FARMÁCIA INDIANA LJ 172 (10161)"</f>
        <v>FARMÁCIA INDIANA LJ 172 (10161)</v>
      </c>
      <c r="S2540" t="s">
        <v>77</v>
      </c>
      <c r="T2540">
        <v>18346</v>
      </c>
      <c r="U2540">
        <v>21522</v>
      </c>
      <c r="V2540" t="s">
        <v>77</v>
      </c>
    </row>
    <row r="2541" spans="1:22">
      <c r="A2541" t="str">
        <f t="shared" si="468"/>
        <v>18/09/2025</v>
      </c>
      <c r="B2541" t="str">
        <f t="shared" si="467"/>
        <v>SAÍDA</v>
      </c>
      <c r="C2541" t="str">
        <f t="shared" si="469"/>
        <v>PIX</v>
      </c>
      <c r="D2541" t="str">
        <f>"21523"</f>
        <v>21523</v>
      </c>
      <c r="E2541" t="str">
        <f t="shared" si="471"/>
        <v>1</v>
      </c>
      <c r="F2541" t="str">
        <f t="shared" si="466"/>
        <v>COM</v>
      </c>
      <c r="G2541" t="str">
        <f>"GUSTAVO HENRIQUE OLIVEIRA (661)"</f>
        <v>GUSTAVO HENRIQUE OLIVEIRA (661)</v>
      </c>
      <c r="H2541" t="str">
        <f>"Serv.Prest. 01/09/2025 a 07/09/2025 - PIX: CPF - CHAVE: 113.084.266-58"</f>
        <v>Serv.Prest. 01/09/2025 a 07/09/2025 - PIX: CPF - CHAVE: 113.084.266-58</v>
      </c>
      <c r="I2541" t="str">
        <f t="shared" si="470"/>
        <v>18/09/2025</v>
      </c>
      <c r="J2541" t="str">
        <f t="shared" si="472"/>
        <v>08/09/2025</v>
      </c>
      <c r="K2541" t="str">
        <f>("18/09/2025")</f>
        <v>18/09/2025</v>
      </c>
      <c r="L2541">
        <v>702</v>
      </c>
      <c r="M2541">
        <v>702</v>
      </c>
      <c r="N2541">
        <v>109</v>
      </c>
      <c r="O2541" t="str">
        <f>"PAGAMENTO DE ENTREGADORES"</f>
        <v>PAGAMENTO DE ENTREGADORES</v>
      </c>
      <c r="P2541">
        <v>702</v>
      </c>
      <c r="S2541" t="str">
        <f>"BANCO C6 (149)"</f>
        <v>BANCO C6 (149)</v>
      </c>
      <c r="T2541">
        <v>18347</v>
      </c>
      <c r="U2541">
        <v>21523</v>
      </c>
      <c r="V2541" t="s">
        <v>77</v>
      </c>
    </row>
    <row r="2542" spans="1:22">
      <c r="A2542" t="str">
        <f t="shared" si="468"/>
        <v>18/09/2025</v>
      </c>
      <c r="B2542" t="str">
        <f t="shared" si="467"/>
        <v>SAÍDA</v>
      </c>
      <c r="C2542" t="str">
        <f t="shared" si="469"/>
        <v>PIX</v>
      </c>
      <c r="D2542" t="str">
        <f>"21523"</f>
        <v>21523</v>
      </c>
      <c r="E2542" t="str">
        <f t="shared" si="471"/>
        <v>1</v>
      </c>
      <c r="F2542" t="str">
        <f t="shared" si="466"/>
        <v>COM</v>
      </c>
      <c r="G2542" t="str">
        <f>"GUSTAVO HENRIQUE OLIVEIRA (661)"</f>
        <v>GUSTAVO HENRIQUE OLIVEIRA (661)</v>
      </c>
      <c r="H2542" t="s">
        <v>662</v>
      </c>
      <c r="I2542" t="str">
        <f t="shared" si="470"/>
        <v>18/09/2025</v>
      </c>
      <c r="J2542" t="str">
        <f t="shared" si="472"/>
        <v>08/09/2025</v>
      </c>
      <c r="K2542">
        <v>45918</v>
      </c>
      <c r="N2542">
        <v>109</v>
      </c>
      <c r="O2542" t="s">
        <v>24</v>
      </c>
      <c r="Q2542">
        <v>702</v>
      </c>
      <c r="R2542" t="str">
        <f>"FARMÁCIA INDIANA LJ 110 (10048)"</f>
        <v>FARMÁCIA INDIANA LJ 110 (10048)</v>
      </c>
      <c r="S2542" t="s">
        <v>77</v>
      </c>
      <c r="T2542">
        <v>18347</v>
      </c>
      <c r="U2542">
        <v>21523</v>
      </c>
      <c r="V2542" t="s">
        <v>77</v>
      </c>
    </row>
    <row r="2543" spans="1:22">
      <c r="A2543" t="str">
        <f t="shared" si="468"/>
        <v>18/09/2025</v>
      </c>
      <c r="B2543" t="str">
        <f t="shared" si="467"/>
        <v>SAÍDA</v>
      </c>
      <c r="C2543" t="str">
        <f t="shared" si="469"/>
        <v>PIX</v>
      </c>
      <c r="D2543" t="str">
        <f>"21524"</f>
        <v>21524</v>
      </c>
      <c r="E2543" t="str">
        <f t="shared" si="471"/>
        <v>1</v>
      </c>
      <c r="F2543" t="str">
        <f t="shared" si="466"/>
        <v>COM</v>
      </c>
      <c r="G2543" t="str">
        <f>"IVAN SOUZA SANTOS (101)"</f>
        <v>IVAN SOUZA SANTOS (101)</v>
      </c>
      <c r="H2543" t="str">
        <f>"Serv.Prest. 01/09/2025 a 07/09/2025 - PIX: CPF - CHAVE: 067.393.286-92"</f>
        <v>Serv.Prest. 01/09/2025 a 07/09/2025 - PIX: CPF - CHAVE: 067.393.286-92</v>
      </c>
      <c r="I2543" t="str">
        <f t="shared" si="470"/>
        <v>18/09/2025</v>
      </c>
      <c r="J2543" t="str">
        <f t="shared" si="472"/>
        <v>08/09/2025</v>
      </c>
      <c r="K2543" t="str">
        <f>("18/09/2025")</f>
        <v>18/09/2025</v>
      </c>
      <c r="L2543">
        <v>1029</v>
      </c>
      <c r="M2543">
        <v>1029</v>
      </c>
      <c r="N2543">
        <v>109</v>
      </c>
      <c r="O2543" t="str">
        <f>"PAGAMENTO DE ENTREGADORES"</f>
        <v>PAGAMENTO DE ENTREGADORES</v>
      </c>
      <c r="P2543">
        <v>1029</v>
      </c>
      <c r="S2543" t="str">
        <f>"BANCO C6 (149)"</f>
        <v>BANCO C6 (149)</v>
      </c>
      <c r="T2543">
        <v>18348</v>
      </c>
      <c r="U2543">
        <v>21524</v>
      </c>
      <c r="V2543" t="s">
        <v>77</v>
      </c>
    </row>
    <row r="2544" spans="1:22">
      <c r="A2544" t="str">
        <f t="shared" si="468"/>
        <v>18/09/2025</v>
      </c>
      <c r="B2544" t="str">
        <f t="shared" si="467"/>
        <v>SAÍDA</v>
      </c>
      <c r="C2544" t="str">
        <f t="shared" si="469"/>
        <v>PIX</v>
      </c>
      <c r="D2544" t="str">
        <f>"21524"</f>
        <v>21524</v>
      </c>
      <c r="E2544" t="str">
        <f t="shared" si="471"/>
        <v>1</v>
      </c>
      <c r="F2544" t="str">
        <f t="shared" si="466"/>
        <v>COM</v>
      </c>
      <c r="G2544" t="str">
        <f>"IVAN SOUZA SANTOS (101)"</f>
        <v>IVAN SOUZA SANTOS (101)</v>
      </c>
      <c r="H2544" t="s">
        <v>663</v>
      </c>
      <c r="I2544" t="str">
        <f t="shared" si="470"/>
        <v>18/09/2025</v>
      </c>
      <c r="J2544" t="str">
        <f t="shared" si="472"/>
        <v>08/09/2025</v>
      </c>
      <c r="K2544">
        <v>45918</v>
      </c>
      <c r="N2544">
        <v>109</v>
      </c>
      <c r="O2544" t="s">
        <v>24</v>
      </c>
      <c r="Q2544">
        <v>1029</v>
      </c>
      <c r="R2544" t="str">
        <f>"FARMÁCIA INDIANA LJ 59 (10026)"</f>
        <v>FARMÁCIA INDIANA LJ 59 (10026)</v>
      </c>
      <c r="S2544" t="s">
        <v>77</v>
      </c>
      <c r="T2544">
        <v>18348</v>
      </c>
      <c r="U2544">
        <v>21524</v>
      </c>
      <c r="V2544" t="s">
        <v>77</v>
      </c>
    </row>
    <row r="2545" spans="1:22">
      <c r="A2545" t="str">
        <f t="shared" si="468"/>
        <v>18/09/2025</v>
      </c>
      <c r="B2545" t="str">
        <f t="shared" si="467"/>
        <v>SAÍDA</v>
      </c>
      <c r="C2545" t="str">
        <f t="shared" si="469"/>
        <v>PIX</v>
      </c>
      <c r="D2545" t="str">
        <f>"21525"</f>
        <v>21525</v>
      </c>
      <c r="E2545" t="str">
        <f t="shared" si="471"/>
        <v>1</v>
      </c>
      <c r="F2545" t="str">
        <f t="shared" si="466"/>
        <v>COM</v>
      </c>
      <c r="G2545" t="str">
        <f>"JANDERSON SOUZA ARCANJO (28)"</f>
        <v>JANDERSON SOUZA ARCANJO (28)</v>
      </c>
      <c r="H2545" t="str">
        <f>"Serv.Prest. 01/09/2025 a 07/09/2025 - PIX: CPF - CHAVE: 121.297.376-33"</f>
        <v>Serv.Prest. 01/09/2025 a 07/09/2025 - PIX: CPF - CHAVE: 121.297.376-33</v>
      </c>
      <c r="I2545" t="str">
        <f t="shared" si="470"/>
        <v>18/09/2025</v>
      </c>
      <c r="J2545" t="str">
        <f t="shared" si="472"/>
        <v>08/09/2025</v>
      </c>
      <c r="K2545" t="str">
        <f>("18/09/2025")</f>
        <v>18/09/2025</v>
      </c>
      <c r="L2545">
        <v>1147</v>
      </c>
      <c r="M2545">
        <v>1147</v>
      </c>
      <c r="N2545">
        <v>109</v>
      </c>
      <c r="O2545" t="str">
        <f>"PAGAMENTO DE ENTREGADORES"</f>
        <v>PAGAMENTO DE ENTREGADORES</v>
      </c>
      <c r="P2545">
        <v>1147</v>
      </c>
      <c r="S2545" t="str">
        <f>"BANCO C6 (149)"</f>
        <v>BANCO C6 (149)</v>
      </c>
      <c r="T2545">
        <v>18349</v>
      </c>
      <c r="U2545">
        <v>21525</v>
      </c>
      <c r="V2545" t="s">
        <v>77</v>
      </c>
    </row>
    <row r="2546" spans="1:22">
      <c r="A2546" t="str">
        <f t="shared" si="468"/>
        <v>18/09/2025</v>
      </c>
      <c r="B2546" t="str">
        <f t="shared" si="467"/>
        <v>SAÍDA</v>
      </c>
      <c r="C2546" t="str">
        <f t="shared" si="469"/>
        <v>PIX</v>
      </c>
      <c r="D2546" t="str">
        <f>"21525"</f>
        <v>21525</v>
      </c>
      <c r="E2546" t="str">
        <f t="shared" si="471"/>
        <v>1</v>
      </c>
      <c r="F2546" t="str">
        <f t="shared" si="466"/>
        <v>COM</v>
      </c>
      <c r="G2546" t="str">
        <f>"JANDERSON SOUZA ARCANJO (28)"</f>
        <v>JANDERSON SOUZA ARCANJO (28)</v>
      </c>
      <c r="H2546" t="s">
        <v>603</v>
      </c>
      <c r="I2546" t="str">
        <f t="shared" si="470"/>
        <v>18/09/2025</v>
      </c>
      <c r="J2546" t="str">
        <f t="shared" si="472"/>
        <v>08/09/2025</v>
      </c>
      <c r="K2546">
        <v>45918</v>
      </c>
      <c r="N2546">
        <v>109</v>
      </c>
      <c r="O2546" t="s">
        <v>24</v>
      </c>
      <c r="Q2546">
        <v>1147</v>
      </c>
      <c r="R2546" t="str">
        <f>"FARMÁCIA INDIANA LJ 40 (10016)"</f>
        <v>FARMÁCIA INDIANA LJ 40 (10016)</v>
      </c>
      <c r="S2546" t="s">
        <v>77</v>
      </c>
      <c r="T2546">
        <v>18349</v>
      </c>
      <c r="U2546">
        <v>21525</v>
      </c>
      <c r="V2546" t="s">
        <v>77</v>
      </c>
    </row>
    <row r="2547" spans="1:22">
      <c r="A2547" t="str">
        <f t="shared" si="468"/>
        <v>18/09/2025</v>
      </c>
      <c r="B2547" t="str">
        <f t="shared" si="467"/>
        <v>SAÍDA</v>
      </c>
      <c r="C2547" t="str">
        <f t="shared" si="469"/>
        <v>PIX</v>
      </c>
      <c r="D2547" t="str">
        <f>"21526"</f>
        <v>21526</v>
      </c>
      <c r="E2547" t="str">
        <f t="shared" si="471"/>
        <v>1</v>
      </c>
      <c r="F2547" t="str">
        <f t="shared" si="466"/>
        <v>COM</v>
      </c>
      <c r="G2547" t="str">
        <f>"JEFERSON ANDRADE FERREIRA (165)"</f>
        <v>JEFERSON ANDRADE FERREIRA (165)</v>
      </c>
      <c r="H2547" t="str">
        <f>"Serv.Prest. 01/09/2025 a 07/09/2025 - PIX: CPF - CHAVE: 126.873.296-65"</f>
        <v>Serv.Prest. 01/09/2025 a 07/09/2025 - PIX: CPF - CHAVE: 126.873.296-65</v>
      </c>
      <c r="I2547" t="str">
        <f t="shared" si="470"/>
        <v>18/09/2025</v>
      </c>
      <c r="J2547" t="str">
        <f t="shared" si="472"/>
        <v>08/09/2025</v>
      </c>
      <c r="K2547" t="str">
        <f>("18/09/2025")</f>
        <v>18/09/2025</v>
      </c>
      <c r="L2547">
        <v>2070</v>
      </c>
      <c r="M2547">
        <v>2070</v>
      </c>
      <c r="N2547">
        <v>109</v>
      </c>
      <c r="O2547" t="str">
        <f>"PAGAMENTO DE ENTREGADORES"</f>
        <v>PAGAMENTO DE ENTREGADORES</v>
      </c>
      <c r="P2547">
        <v>2070</v>
      </c>
      <c r="S2547" t="str">
        <f>"BANCO C6 (149)"</f>
        <v>BANCO C6 (149)</v>
      </c>
      <c r="T2547">
        <v>18350</v>
      </c>
      <c r="U2547">
        <v>21526</v>
      </c>
      <c r="V2547" t="s">
        <v>77</v>
      </c>
    </row>
    <row r="2548" spans="1:22">
      <c r="A2548" t="str">
        <f t="shared" si="468"/>
        <v>18/09/2025</v>
      </c>
      <c r="B2548" t="str">
        <f t="shared" si="467"/>
        <v>SAÍDA</v>
      </c>
      <c r="C2548" t="str">
        <f t="shared" si="469"/>
        <v>PIX</v>
      </c>
      <c r="D2548" t="str">
        <f>"21526"</f>
        <v>21526</v>
      </c>
      <c r="E2548" t="str">
        <f t="shared" si="471"/>
        <v>1</v>
      </c>
      <c r="F2548" t="str">
        <f t="shared" si="466"/>
        <v>COM</v>
      </c>
      <c r="G2548" t="str">
        <f>"JEFERSON ANDRADE FERREIRA (165)"</f>
        <v>JEFERSON ANDRADE FERREIRA (165)</v>
      </c>
      <c r="H2548" t="s">
        <v>664</v>
      </c>
      <c r="I2548" t="str">
        <f t="shared" si="470"/>
        <v>18/09/2025</v>
      </c>
      <c r="J2548" t="str">
        <f t="shared" si="472"/>
        <v>08/09/2025</v>
      </c>
      <c r="K2548">
        <v>45918</v>
      </c>
      <c r="N2548">
        <v>109</v>
      </c>
      <c r="O2548" t="s">
        <v>24</v>
      </c>
      <c r="Q2548">
        <v>1410.08</v>
      </c>
      <c r="R2548" t="str">
        <f>"FARMÁCIA INDIANA LJ 101 (10043)"</f>
        <v>FARMÁCIA INDIANA LJ 101 (10043)</v>
      </c>
      <c r="S2548" t="s">
        <v>77</v>
      </c>
      <c r="T2548">
        <v>18350</v>
      </c>
      <c r="U2548">
        <v>21526</v>
      </c>
      <c r="V2548" t="s">
        <v>77</v>
      </c>
    </row>
    <row r="2549" spans="1:22">
      <c r="A2549" t="str">
        <f t="shared" si="468"/>
        <v>18/09/2025</v>
      </c>
      <c r="B2549" t="str">
        <f t="shared" si="467"/>
        <v>SAÍDA</v>
      </c>
      <c r="C2549" t="str">
        <f t="shared" si="469"/>
        <v>PIX</v>
      </c>
      <c r="D2549" t="str">
        <f>"21526"</f>
        <v>21526</v>
      </c>
      <c r="E2549" t="str">
        <f t="shared" si="471"/>
        <v>1</v>
      </c>
      <c r="F2549" t="str">
        <f t="shared" si="466"/>
        <v>COM</v>
      </c>
      <c r="G2549" t="str">
        <f>"JEFERSON ANDRADE FERREIRA (165)"</f>
        <v>JEFERSON ANDRADE FERREIRA (165)</v>
      </c>
      <c r="H2549" t="s">
        <v>664</v>
      </c>
      <c r="I2549" t="str">
        <f t="shared" si="470"/>
        <v>18/09/2025</v>
      </c>
      <c r="J2549" t="str">
        <f t="shared" si="472"/>
        <v>08/09/2025</v>
      </c>
      <c r="K2549">
        <v>45918</v>
      </c>
      <c r="N2549">
        <v>109</v>
      </c>
      <c r="O2549" t="s">
        <v>24</v>
      </c>
      <c r="Q2549">
        <v>659.92</v>
      </c>
      <c r="R2549" t="str">
        <f>"FARMÁCIA INDIANA LJ 220 (10092)"</f>
        <v>FARMÁCIA INDIANA LJ 220 (10092)</v>
      </c>
      <c r="S2549" t="s">
        <v>77</v>
      </c>
      <c r="T2549">
        <v>18350</v>
      </c>
      <c r="U2549">
        <v>21526</v>
      </c>
      <c r="V2549" t="s">
        <v>77</v>
      </c>
    </row>
    <row r="2550" spans="1:22">
      <c r="A2550" t="str">
        <f t="shared" si="468"/>
        <v>18/09/2025</v>
      </c>
      <c r="B2550" t="str">
        <f t="shared" si="467"/>
        <v>SAÍDA</v>
      </c>
      <c r="C2550" t="str">
        <f t="shared" si="469"/>
        <v>PIX</v>
      </c>
      <c r="D2550" t="str">
        <f>"21527"</f>
        <v>21527</v>
      </c>
      <c r="E2550" t="str">
        <f t="shared" si="471"/>
        <v>1</v>
      </c>
      <c r="F2550" t="str">
        <f t="shared" si="466"/>
        <v>COM</v>
      </c>
      <c r="G2550" t="str">
        <f>"JEFERSON ARAÚJO SANTOS GERMANO (180)"</f>
        <v>JEFERSON ARAÚJO SANTOS GERMANO (180)</v>
      </c>
      <c r="H2550" t="str">
        <f>"Serv.Prest. 01/09/2025 a 07/09/2025 - PIX: CPF - CHAVE: 023.645.626-19"</f>
        <v>Serv.Prest. 01/09/2025 a 07/09/2025 - PIX: CPF - CHAVE: 023.645.626-19</v>
      </c>
      <c r="I2550" t="str">
        <f t="shared" si="470"/>
        <v>18/09/2025</v>
      </c>
      <c r="J2550" t="str">
        <f t="shared" si="472"/>
        <v>08/09/2025</v>
      </c>
      <c r="K2550" t="str">
        <f>("18/09/2025")</f>
        <v>18/09/2025</v>
      </c>
      <c r="L2550">
        <v>876</v>
      </c>
      <c r="M2550">
        <v>876</v>
      </c>
      <c r="N2550">
        <v>109</v>
      </c>
      <c r="O2550" t="str">
        <f>"PAGAMENTO DE ENTREGADORES"</f>
        <v>PAGAMENTO DE ENTREGADORES</v>
      </c>
      <c r="P2550">
        <v>876</v>
      </c>
      <c r="S2550" t="str">
        <f>"BANCO C6 (149)"</f>
        <v>BANCO C6 (149)</v>
      </c>
      <c r="T2550">
        <v>18351</v>
      </c>
      <c r="U2550">
        <v>21527</v>
      </c>
      <c r="V2550" t="s">
        <v>77</v>
      </c>
    </row>
    <row r="2551" spans="1:22">
      <c r="A2551" t="str">
        <f t="shared" si="468"/>
        <v>18/09/2025</v>
      </c>
      <c r="B2551" t="str">
        <f t="shared" si="467"/>
        <v>SAÍDA</v>
      </c>
      <c r="C2551" t="str">
        <f t="shared" si="469"/>
        <v>PIX</v>
      </c>
      <c r="D2551" t="str">
        <f>"21527"</f>
        <v>21527</v>
      </c>
      <c r="E2551" t="str">
        <f t="shared" si="471"/>
        <v>1</v>
      </c>
      <c r="F2551" t="str">
        <f t="shared" si="466"/>
        <v>COM</v>
      </c>
      <c r="G2551" t="str">
        <f>"JEFERSON ARAÚJO SANTOS GERMANO (180)"</f>
        <v>JEFERSON ARAÚJO SANTOS GERMANO (180)</v>
      </c>
      <c r="H2551" t="s">
        <v>665</v>
      </c>
      <c r="I2551" t="str">
        <f t="shared" si="470"/>
        <v>18/09/2025</v>
      </c>
      <c r="J2551" t="str">
        <f t="shared" si="472"/>
        <v>08/09/2025</v>
      </c>
      <c r="K2551">
        <v>45918</v>
      </c>
      <c r="N2551">
        <v>109</v>
      </c>
      <c r="O2551" t="s">
        <v>24</v>
      </c>
      <c r="Q2551">
        <v>876</v>
      </c>
      <c r="R2551" t="str">
        <f>"FARMÁCIA INDIANA LJ 142 (10066)"</f>
        <v>FARMÁCIA INDIANA LJ 142 (10066)</v>
      </c>
      <c r="S2551" t="s">
        <v>77</v>
      </c>
      <c r="T2551">
        <v>18351</v>
      </c>
      <c r="U2551">
        <v>21527</v>
      </c>
      <c r="V2551" t="s">
        <v>77</v>
      </c>
    </row>
    <row r="2552" spans="1:22">
      <c r="A2552" t="str">
        <f t="shared" si="468"/>
        <v>18/09/2025</v>
      </c>
      <c r="B2552" t="str">
        <f t="shared" si="467"/>
        <v>SAÍDA</v>
      </c>
      <c r="C2552" t="str">
        <f t="shared" si="469"/>
        <v>PIX</v>
      </c>
      <c r="D2552" t="str">
        <f>"21528"</f>
        <v>21528</v>
      </c>
      <c r="E2552" t="str">
        <f t="shared" si="471"/>
        <v>1</v>
      </c>
      <c r="F2552" t="str">
        <f t="shared" si="466"/>
        <v>COM</v>
      </c>
      <c r="G2552" t="str">
        <f>"JEFERSON DE JESUS SANTOS (910)"</f>
        <v>JEFERSON DE JESUS SANTOS (910)</v>
      </c>
      <c r="H2552" t="str">
        <f>"Serv.Prest. 01/09/2025 a 07/09/2025 - PIX: CELULAR - CHAVE: (33) 98836-6015"</f>
        <v>Serv.Prest. 01/09/2025 a 07/09/2025 - PIX: CELULAR - CHAVE: (33) 98836-6015</v>
      </c>
      <c r="I2552" t="str">
        <f t="shared" si="470"/>
        <v>18/09/2025</v>
      </c>
      <c r="J2552" t="str">
        <f t="shared" si="472"/>
        <v>08/09/2025</v>
      </c>
      <c r="K2552" t="str">
        <f>("18/09/2025")</f>
        <v>18/09/2025</v>
      </c>
      <c r="L2552">
        <v>978</v>
      </c>
      <c r="M2552">
        <v>978</v>
      </c>
      <c r="N2552">
        <v>109</v>
      </c>
      <c r="O2552" t="str">
        <f>"PAGAMENTO DE ENTREGADORES"</f>
        <v>PAGAMENTO DE ENTREGADORES</v>
      </c>
      <c r="P2552">
        <v>978</v>
      </c>
      <c r="S2552" t="str">
        <f>"BANCO C6 (149)"</f>
        <v>BANCO C6 (149)</v>
      </c>
      <c r="T2552">
        <v>18352</v>
      </c>
      <c r="U2552">
        <v>21528</v>
      </c>
      <c r="V2552" t="s">
        <v>77</v>
      </c>
    </row>
    <row r="2553" spans="1:22">
      <c r="A2553" t="str">
        <f t="shared" si="468"/>
        <v>18/09/2025</v>
      </c>
      <c r="B2553" t="str">
        <f t="shared" si="467"/>
        <v>SAÍDA</v>
      </c>
      <c r="C2553" t="str">
        <f t="shared" si="469"/>
        <v>PIX</v>
      </c>
      <c r="D2553" t="str">
        <f>"21528"</f>
        <v>21528</v>
      </c>
      <c r="E2553" t="str">
        <f t="shared" si="471"/>
        <v>1</v>
      </c>
      <c r="F2553" t="str">
        <f t="shared" si="466"/>
        <v>COM</v>
      </c>
      <c r="G2553" t="str">
        <f>"JEFERSON DE JESUS SANTOS (910)"</f>
        <v>JEFERSON DE JESUS SANTOS (910)</v>
      </c>
      <c r="H2553" t="s">
        <v>666</v>
      </c>
      <c r="I2553" t="str">
        <f t="shared" si="470"/>
        <v>18/09/2025</v>
      </c>
      <c r="J2553" t="str">
        <f t="shared" si="472"/>
        <v>08/09/2025</v>
      </c>
      <c r="K2553">
        <v>45918</v>
      </c>
      <c r="N2553">
        <v>109</v>
      </c>
      <c r="O2553" t="s">
        <v>24</v>
      </c>
      <c r="Q2553">
        <v>978</v>
      </c>
      <c r="R2553" t="str">
        <f>"FARMÁCIA INDIANA LJ 07 (10007)"</f>
        <v>FARMÁCIA INDIANA LJ 07 (10007)</v>
      </c>
      <c r="S2553" t="s">
        <v>77</v>
      </c>
      <c r="T2553">
        <v>18352</v>
      </c>
      <c r="U2553">
        <v>21528</v>
      </c>
      <c r="V2553" t="s">
        <v>77</v>
      </c>
    </row>
    <row r="2554" spans="1:22">
      <c r="A2554" t="str">
        <f t="shared" si="468"/>
        <v>18/09/2025</v>
      </c>
      <c r="B2554" t="str">
        <f t="shared" si="467"/>
        <v>SAÍDA</v>
      </c>
      <c r="C2554" t="str">
        <f t="shared" si="469"/>
        <v>PIX</v>
      </c>
      <c r="D2554" t="str">
        <f>"21529"</f>
        <v>21529</v>
      </c>
      <c r="E2554" t="str">
        <f t="shared" si="471"/>
        <v>1</v>
      </c>
      <c r="F2554" t="str">
        <f t="shared" si="466"/>
        <v>COM</v>
      </c>
      <c r="G2554" t="str">
        <f>"JHONANTAN LACERDA DE JESUS (142)"</f>
        <v>JHONANTAN LACERDA DE JESUS (142)</v>
      </c>
      <c r="H2554" t="str">
        <f>"Serv.Prest. 01/09/2025 a 07/09/2025 - PIX: E-MAIL - CHAVE: jhonantanlacerda@gmail.com"</f>
        <v>Serv.Prest. 01/09/2025 a 07/09/2025 - PIX: E-MAIL - CHAVE: jhonantanlacerda@gmail.com</v>
      </c>
      <c r="I2554" t="str">
        <f t="shared" si="470"/>
        <v>18/09/2025</v>
      </c>
      <c r="J2554" t="str">
        <f t="shared" si="472"/>
        <v>08/09/2025</v>
      </c>
      <c r="K2554" t="str">
        <f>("18/09/2025")</f>
        <v>18/09/2025</v>
      </c>
      <c r="L2554">
        <v>858</v>
      </c>
      <c r="M2554">
        <v>858</v>
      </c>
      <c r="N2554">
        <v>109</v>
      </c>
      <c r="O2554" t="str">
        <f>"PAGAMENTO DE ENTREGADORES"</f>
        <v>PAGAMENTO DE ENTREGADORES</v>
      </c>
      <c r="P2554">
        <v>858</v>
      </c>
      <c r="S2554" t="str">
        <f>"BANCO C6 (149)"</f>
        <v>BANCO C6 (149)</v>
      </c>
      <c r="T2554">
        <v>18353</v>
      </c>
      <c r="U2554">
        <v>21529</v>
      </c>
      <c r="V2554" t="s">
        <v>77</v>
      </c>
    </row>
    <row r="2555" spans="1:22">
      <c r="A2555" t="str">
        <f t="shared" si="468"/>
        <v>18/09/2025</v>
      </c>
      <c r="B2555" t="str">
        <f t="shared" si="467"/>
        <v>SAÍDA</v>
      </c>
      <c r="C2555" t="str">
        <f t="shared" si="469"/>
        <v>PIX</v>
      </c>
      <c r="D2555" t="str">
        <f>"21529"</f>
        <v>21529</v>
      </c>
      <c r="E2555" t="str">
        <f t="shared" si="471"/>
        <v>1</v>
      </c>
      <c r="F2555" t="str">
        <f t="shared" ref="F2555:F2618" si="473">"COM"</f>
        <v>COM</v>
      </c>
      <c r="G2555" t="str">
        <f>"JHONANTAN LACERDA DE JESUS (142)"</f>
        <v>JHONANTAN LACERDA DE JESUS (142)</v>
      </c>
      <c r="H2555" t="s">
        <v>667</v>
      </c>
      <c r="I2555" t="str">
        <f t="shared" si="470"/>
        <v>18/09/2025</v>
      </c>
      <c r="J2555" t="str">
        <f t="shared" si="472"/>
        <v>08/09/2025</v>
      </c>
      <c r="K2555">
        <v>45918</v>
      </c>
      <c r="N2555">
        <v>109</v>
      </c>
      <c r="O2555" t="s">
        <v>24</v>
      </c>
      <c r="Q2555">
        <v>858</v>
      </c>
      <c r="R2555" t="str">
        <f>"FARMÁCIA INDIANA LJ 142 (10066)"</f>
        <v>FARMÁCIA INDIANA LJ 142 (10066)</v>
      </c>
      <c r="S2555" t="s">
        <v>77</v>
      </c>
      <c r="T2555">
        <v>18353</v>
      </c>
      <c r="U2555">
        <v>21529</v>
      </c>
      <c r="V2555" t="s">
        <v>77</v>
      </c>
    </row>
    <row r="2556" spans="1:22">
      <c r="A2556" t="str">
        <f t="shared" si="468"/>
        <v>18/09/2025</v>
      </c>
      <c r="B2556" t="str">
        <f t="shared" si="467"/>
        <v>SAÍDA</v>
      </c>
      <c r="C2556" t="str">
        <f t="shared" si="469"/>
        <v>PIX</v>
      </c>
      <c r="D2556" t="str">
        <f>"21530"</f>
        <v>21530</v>
      </c>
      <c r="E2556" t="str">
        <f t="shared" si="471"/>
        <v>1</v>
      </c>
      <c r="F2556" t="str">
        <f t="shared" si="473"/>
        <v>COM</v>
      </c>
      <c r="G2556" t="str">
        <f>"JOMAR GONÇALVES DIAS (16)"</f>
        <v>JOMAR GONÇALVES DIAS (16)</v>
      </c>
      <c r="H2556" t="str">
        <f>"Serv.Prest. 01/09/2025 a 07/09/2025 - PIX: CPF - CHAVE: 602.838.315-53"</f>
        <v>Serv.Prest. 01/09/2025 a 07/09/2025 - PIX: CPF - CHAVE: 602.838.315-53</v>
      </c>
      <c r="I2556" t="str">
        <f t="shared" si="470"/>
        <v>18/09/2025</v>
      </c>
      <c r="J2556" t="str">
        <f t="shared" si="472"/>
        <v>08/09/2025</v>
      </c>
      <c r="K2556" t="str">
        <f>("18/09/2025")</f>
        <v>18/09/2025</v>
      </c>
      <c r="L2556">
        <v>819.5</v>
      </c>
      <c r="M2556">
        <v>819.5</v>
      </c>
      <c r="N2556">
        <v>109</v>
      </c>
      <c r="O2556" t="str">
        <f>"PAGAMENTO DE ENTREGADORES"</f>
        <v>PAGAMENTO DE ENTREGADORES</v>
      </c>
      <c r="P2556">
        <v>819.5</v>
      </c>
      <c r="S2556" t="str">
        <f>"BANCO C6 (149)"</f>
        <v>BANCO C6 (149)</v>
      </c>
      <c r="T2556">
        <v>18354</v>
      </c>
      <c r="U2556">
        <v>21530</v>
      </c>
      <c r="V2556" t="s">
        <v>77</v>
      </c>
    </row>
    <row r="2557" spans="1:22">
      <c r="A2557" t="str">
        <f t="shared" si="468"/>
        <v>18/09/2025</v>
      </c>
      <c r="B2557" t="str">
        <f t="shared" si="467"/>
        <v>SAÍDA</v>
      </c>
      <c r="C2557" t="str">
        <f t="shared" si="469"/>
        <v>PIX</v>
      </c>
      <c r="D2557" t="str">
        <f>"21530"</f>
        <v>21530</v>
      </c>
      <c r="E2557" t="str">
        <f t="shared" si="471"/>
        <v>1</v>
      </c>
      <c r="F2557" t="str">
        <f t="shared" si="473"/>
        <v>COM</v>
      </c>
      <c r="G2557" t="str">
        <f>"JOMAR GONÇALVES DIAS (16)"</f>
        <v>JOMAR GONÇALVES DIAS (16)</v>
      </c>
      <c r="H2557" t="s">
        <v>668</v>
      </c>
      <c r="I2557" t="str">
        <f t="shared" si="470"/>
        <v>18/09/2025</v>
      </c>
      <c r="J2557" t="str">
        <f t="shared" si="472"/>
        <v>08/09/2025</v>
      </c>
      <c r="K2557">
        <v>45918</v>
      </c>
      <c r="N2557">
        <v>109</v>
      </c>
      <c r="O2557" t="s">
        <v>24</v>
      </c>
      <c r="Q2557">
        <v>819.5</v>
      </c>
      <c r="R2557" t="str">
        <f>"FARMÁCIA INDIANA LJ 61 (10027)"</f>
        <v>FARMÁCIA INDIANA LJ 61 (10027)</v>
      </c>
      <c r="S2557" t="s">
        <v>77</v>
      </c>
      <c r="T2557">
        <v>18354</v>
      </c>
      <c r="U2557">
        <v>21530</v>
      </c>
      <c r="V2557" t="s">
        <v>77</v>
      </c>
    </row>
    <row r="2558" spans="1:22">
      <c r="A2558" t="str">
        <f t="shared" si="468"/>
        <v>18/09/2025</v>
      </c>
      <c r="B2558" t="str">
        <f t="shared" si="467"/>
        <v>SAÍDA</v>
      </c>
      <c r="C2558" t="str">
        <f t="shared" si="469"/>
        <v>PIX</v>
      </c>
      <c r="D2558" t="str">
        <f>"21531"</f>
        <v>21531</v>
      </c>
      <c r="E2558" t="str">
        <f t="shared" si="471"/>
        <v>1</v>
      </c>
      <c r="F2558" t="str">
        <f t="shared" si="473"/>
        <v>COM</v>
      </c>
      <c r="G2558" t="str">
        <f>"JOSÉ CARLOS DA COSTA (83)"</f>
        <v>JOSÉ CARLOS DA COSTA (83)</v>
      </c>
      <c r="H2558" t="str">
        <f>"Serv.Prest. 01/09/2025 a 07/09/2025 - PIX: CPF - CHAVE: 043.301.196-33"</f>
        <v>Serv.Prest. 01/09/2025 a 07/09/2025 - PIX: CPF - CHAVE: 043.301.196-33</v>
      </c>
      <c r="I2558" t="str">
        <f t="shared" si="470"/>
        <v>18/09/2025</v>
      </c>
      <c r="J2558" t="str">
        <f t="shared" si="472"/>
        <v>08/09/2025</v>
      </c>
      <c r="K2558" t="str">
        <f>("18/09/2025")</f>
        <v>18/09/2025</v>
      </c>
      <c r="L2558">
        <v>582</v>
      </c>
      <c r="M2558">
        <v>582</v>
      </c>
      <c r="N2558">
        <v>109</v>
      </c>
      <c r="O2558" t="str">
        <f>"PAGAMENTO DE ENTREGADORES"</f>
        <v>PAGAMENTO DE ENTREGADORES</v>
      </c>
      <c r="P2558">
        <v>582</v>
      </c>
      <c r="S2558" t="str">
        <f>"BANCO C6 (149)"</f>
        <v>BANCO C6 (149)</v>
      </c>
      <c r="T2558">
        <v>18355</v>
      </c>
      <c r="U2558">
        <v>21531</v>
      </c>
      <c r="V2558" t="s">
        <v>77</v>
      </c>
    </row>
    <row r="2559" spans="1:22">
      <c r="A2559" t="str">
        <f t="shared" si="468"/>
        <v>18/09/2025</v>
      </c>
      <c r="B2559" t="str">
        <f t="shared" si="467"/>
        <v>SAÍDA</v>
      </c>
      <c r="C2559" t="str">
        <f t="shared" si="469"/>
        <v>PIX</v>
      </c>
      <c r="D2559" t="str">
        <f>"21531"</f>
        <v>21531</v>
      </c>
      <c r="E2559" t="str">
        <f t="shared" si="471"/>
        <v>1</v>
      </c>
      <c r="F2559" t="str">
        <f t="shared" si="473"/>
        <v>COM</v>
      </c>
      <c r="G2559" t="str">
        <f>"JOSÉ CARLOS DA COSTA (83)"</f>
        <v>JOSÉ CARLOS DA COSTA (83)</v>
      </c>
      <c r="H2559" t="s">
        <v>669</v>
      </c>
      <c r="I2559" t="str">
        <f t="shared" si="470"/>
        <v>18/09/2025</v>
      </c>
      <c r="J2559" t="str">
        <f t="shared" si="472"/>
        <v>08/09/2025</v>
      </c>
      <c r="K2559">
        <v>45918</v>
      </c>
      <c r="N2559">
        <v>109</v>
      </c>
      <c r="O2559" t="s">
        <v>24</v>
      </c>
      <c r="Q2559">
        <v>582</v>
      </c>
      <c r="R2559" t="str">
        <f>"FARMÁCIA INDIANA LJ 152 (10069)"</f>
        <v>FARMÁCIA INDIANA LJ 152 (10069)</v>
      </c>
      <c r="S2559" t="s">
        <v>77</v>
      </c>
      <c r="T2559">
        <v>18355</v>
      </c>
      <c r="U2559">
        <v>21531</v>
      </c>
      <c r="V2559" t="s">
        <v>77</v>
      </c>
    </row>
    <row r="2560" spans="1:22">
      <c r="A2560" t="str">
        <f t="shared" si="468"/>
        <v>18/09/2025</v>
      </c>
      <c r="B2560" t="str">
        <f t="shared" si="467"/>
        <v>SAÍDA</v>
      </c>
      <c r="C2560" t="str">
        <f t="shared" si="469"/>
        <v>PIX</v>
      </c>
      <c r="D2560" t="str">
        <f>"21533"</f>
        <v>21533</v>
      </c>
      <c r="E2560" t="str">
        <f t="shared" si="471"/>
        <v>1</v>
      </c>
      <c r="F2560" t="str">
        <f t="shared" si="473"/>
        <v>COM</v>
      </c>
      <c r="G2560" t="str">
        <f>"JUBER FERREIRA SILVA BASTOS (192)"</f>
        <v>JUBER FERREIRA SILVA BASTOS (192)</v>
      </c>
      <c r="H2560" t="str">
        <f>"Serv.Prest. 01/09/2025 a 07/09/2025 - PIX: CPF - CHAVE: 012.459.366-62"</f>
        <v>Serv.Prest. 01/09/2025 a 07/09/2025 - PIX: CPF - CHAVE: 012.459.366-62</v>
      </c>
      <c r="I2560" t="str">
        <f t="shared" si="470"/>
        <v>18/09/2025</v>
      </c>
      <c r="J2560" t="str">
        <f t="shared" si="472"/>
        <v>08/09/2025</v>
      </c>
      <c r="K2560" t="str">
        <f>("18/09/2025")</f>
        <v>18/09/2025</v>
      </c>
      <c r="L2560">
        <v>1080</v>
      </c>
      <c r="M2560">
        <v>1080</v>
      </c>
      <c r="N2560">
        <v>109</v>
      </c>
      <c r="O2560" t="str">
        <f>"PAGAMENTO DE ENTREGADORES"</f>
        <v>PAGAMENTO DE ENTREGADORES</v>
      </c>
      <c r="P2560">
        <v>1080</v>
      </c>
      <c r="S2560" t="str">
        <f>"BANCO C6 (149)"</f>
        <v>BANCO C6 (149)</v>
      </c>
      <c r="T2560">
        <v>18356</v>
      </c>
      <c r="U2560">
        <v>21533</v>
      </c>
      <c r="V2560" t="s">
        <v>77</v>
      </c>
    </row>
    <row r="2561" spans="1:22">
      <c r="A2561" t="str">
        <f t="shared" si="468"/>
        <v>18/09/2025</v>
      </c>
      <c r="B2561" t="str">
        <f t="shared" si="467"/>
        <v>SAÍDA</v>
      </c>
      <c r="C2561" t="str">
        <f t="shared" si="469"/>
        <v>PIX</v>
      </c>
      <c r="D2561" t="str">
        <f>"21533"</f>
        <v>21533</v>
      </c>
      <c r="E2561" t="str">
        <f t="shared" si="471"/>
        <v>1</v>
      </c>
      <c r="F2561" t="str">
        <f t="shared" si="473"/>
        <v>COM</v>
      </c>
      <c r="G2561" t="str">
        <f>"JUBER FERREIRA SILVA BASTOS (192)"</f>
        <v>JUBER FERREIRA SILVA BASTOS (192)</v>
      </c>
      <c r="H2561" t="s">
        <v>670</v>
      </c>
      <c r="I2561" t="str">
        <f t="shared" si="470"/>
        <v>18/09/2025</v>
      </c>
      <c r="J2561" t="str">
        <f t="shared" si="472"/>
        <v>08/09/2025</v>
      </c>
      <c r="K2561">
        <v>45918</v>
      </c>
      <c r="N2561">
        <v>109</v>
      </c>
      <c r="O2561" t="s">
        <v>24</v>
      </c>
      <c r="Q2561">
        <v>1080</v>
      </c>
      <c r="R2561" t="str">
        <f>"FARMÁCIA INDIANA LJ 06 (10006)"</f>
        <v>FARMÁCIA INDIANA LJ 06 (10006)</v>
      </c>
      <c r="S2561" t="s">
        <v>77</v>
      </c>
      <c r="T2561">
        <v>18356</v>
      </c>
      <c r="U2561">
        <v>21533</v>
      </c>
      <c r="V2561" t="s">
        <v>77</v>
      </c>
    </row>
    <row r="2562" spans="1:22">
      <c r="A2562" t="str">
        <f t="shared" si="468"/>
        <v>18/09/2025</v>
      </c>
      <c r="B2562" t="str">
        <f t="shared" si="467"/>
        <v>SAÍDA</v>
      </c>
      <c r="C2562" t="str">
        <f t="shared" si="469"/>
        <v>PIX</v>
      </c>
      <c r="D2562" t="str">
        <f>"21534"</f>
        <v>21534</v>
      </c>
      <c r="E2562" t="str">
        <f t="shared" si="471"/>
        <v>1</v>
      </c>
      <c r="F2562" t="str">
        <f t="shared" si="473"/>
        <v>COM</v>
      </c>
      <c r="G2562" t="str">
        <f>"JUNIO DE ANDRADE ARRUDA (145)"</f>
        <v>JUNIO DE ANDRADE ARRUDA (145)</v>
      </c>
      <c r="H2562" t="str">
        <f>"Serv.Prest. 01/09/2025 a 07/09/2025 - PIX: CPF - CHAVE: 077.488.126-75"</f>
        <v>Serv.Prest. 01/09/2025 a 07/09/2025 - PIX: CPF - CHAVE: 077.488.126-75</v>
      </c>
      <c r="I2562" t="str">
        <f t="shared" si="470"/>
        <v>18/09/2025</v>
      </c>
      <c r="J2562" t="str">
        <f t="shared" si="472"/>
        <v>08/09/2025</v>
      </c>
      <c r="K2562" t="str">
        <f>("18/09/2025")</f>
        <v>18/09/2025</v>
      </c>
      <c r="L2562">
        <v>876</v>
      </c>
      <c r="M2562">
        <v>876</v>
      </c>
      <c r="N2562">
        <v>109</v>
      </c>
      <c r="O2562" t="str">
        <f>"PAGAMENTO DE ENTREGADORES"</f>
        <v>PAGAMENTO DE ENTREGADORES</v>
      </c>
      <c r="P2562">
        <v>876</v>
      </c>
      <c r="S2562" t="str">
        <f>"BANCO C6 (149)"</f>
        <v>BANCO C6 (149)</v>
      </c>
      <c r="T2562">
        <v>18357</v>
      </c>
      <c r="U2562">
        <v>21534</v>
      </c>
      <c r="V2562" t="s">
        <v>77</v>
      </c>
    </row>
    <row r="2563" spans="1:22">
      <c r="A2563" t="str">
        <f t="shared" si="468"/>
        <v>18/09/2025</v>
      </c>
      <c r="B2563" t="str">
        <f t="shared" si="467"/>
        <v>SAÍDA</v>
      </c>
      <c r="C2563" t="str">
        <f t="shared" si="469"/>
        <v>PIX</v>
      </c>
      <c r="D2563" t="str">
        <f>"21534"</f>
        <v>21534</v>
      </c>
      <c r="E2563" t="str">
        <f t="shared" si="471"/>
        <v>1</v>
      </c>
      <c r="F2563" t="str">
        <f t="shared" si="473"/>
        <v>COM</v>
      </c>
      <c r="G2563" t="str">
        <f>"JUNIO DE ANDRADE ARRUDA (145)"</f>
        <v>JUNIO DE ANDRADE ARRUDA (145)</v>
      </c>
      <c r="H2563" t="s">
        <v>671</v>
      </c>
      <c r="I2563" t="str">
        <f t="shared" si="470"/>
        <v>18/09/2025</v>
      </c>
      <c r="J2563" t="str">
        <f t="shared" si="472"/>
        <v>08/09/2025</v>
      </c>
      <c r="K2563">
        <v>45918</v>
      </c>
      <c r="N2563">
        <v>109</v>
      </c>
      <c r="O2563" t="s">
        <v>24</v>
      </c>
      <c r="Q2563">
        <v>876</v>
      </c>
      <c r="R2563" t="str">
        <f>"FARMÁCIA INDIANA LJ 19 (10012)"</f>
        <v>FARMÁCIA INDIANA LJ 19 (10012)</v>
      </c>
      <c r="S2563" t="s">
        <v>77</v>
      </c>
      <c r="T2563">
        <v>18357</v>
      </c>
      <c r="U2563">
        <v>21534</v>
      </c>
      <c r="V2563" t="s">
        <v>77</v>
      </c>
    </row>
    <row r="2564" spans="1:22">
      <c r="A2564" t="str">
        <f t="shared" si="468"/>
        <v>18/09/2025</v>
      </c>
      <c r="B2564" t="str">
        <f t="shared" si="467"/>
        <v>SAÍDA</v>
      </c>
      <c r="C2564" t="str">
        <f t="shared" si="469"/>
        <v>PIX</v>
      </c>
      <c r="D2564" t="str">
        <f>"21535"</f>
        <v>21535</v>
      </c>
      <c r="E2564" t="str">
        <f t="shared" si="471"/>
        <v>1</v>
      </c>
      <c r="F2564" t="str">
        <f t="shared" si="473"/>
        <v>COM</v>
      </c>
      <c r="G2564" t="str">
        <f>"JUNIOR DOS SANTOS MACHADO (240)"</f>
        <v>JUNIOR DOS SANTOS MACHADO (240)</v>
      </c>
      <c r="H2564" t="str">
        <f>"Serv.Prest. 01/09/2025 a 07/09/2025 - PIX: CPF - CHAVE: 074.520.456-29"</f>
        <v>Serv.Prest. 01/09/2025 a 07/09/2025 - PIX: CPF - CHAVE: 074.520.456-29</v>
      </c>
      <c r="I2564" t="str">
        <f t="shared" si="470"/>
        <v>18/09/2025</v>
      </c>
      <c r="J2564" t="str">
        <f t="shared" si="472"/>
        <v>08/09/2025</v>
      </c>
      <c r="K2564" t="str">
        <f>("18/09/2025")</f>
        <v>18/09/2025</v>
      </c>
      <c r="L2564">
        <v>602.5</v>
      </c>
      <c r="M2564">
        <v>602.5</v>
      </c>
      <c r="N2564">
        <v>109</v>
      </c>
      <c r="O2564" t="str">
        <f>"PAGAMENTO DE ENTREGADORES"</f>
        <v>PAGAMENTO DE ENTREGADORES</v>
      </c>
      <c r="P2564">
        <v>602.5</v>
      </c>
      <c r="S2564" t="str">
        <f>"BANCO C6 (149)"</f>
        <v>BANCO C6 (149)</v>
      </c>
      <c r="T2564">
        <v>18358</v>
      </c>
      <c r="U2564">
        <v>21535</v>
      </c>
      <c r="V2564" t="s">
        <v>77</v>
      </c>
    </row>
    <row r="2565" spans="1:22">
      <c r="A2565" t="str">
        <f t="shared" si="468"/>
        <v>18/09/2025</v>
      </c>
      <c r="B2565" t="str">
        <f t="shared" ref="B2565:B2628" si="474">"SAÍDA"</f>
        <v>SAÍDA</v>
      </c>
      <c r="C2565" t="str">
        <f t="shared" si="469"/>
        <v>PIX</v>
      </c>
      <c r="D2565" t="str">
        <f>"21535"</f>
        <v>21535</v>
      </c>
      <c r="E2565" t="str">
        <f t="shared" si="471"/>
        <v>1</v>
      </c>
      <c r="F2565" t="str">
        <f t="shared" si="473"/>
        <v>COM</v>
      </c>
      <c r="G2565" t="str">
        <f>"JUNIOR DOS SANTOS MACHADO (240)"</f>
        <v>JUNIOR DOS SANTOS MACHADO (240)</v>
      </c>
      <c r="H2565" t="s">
        <v>538</v>
      </c>
      <c r="I2565" t="str">
        <f t="shared" si="470"/>
        <v>18/09/2025</v>
      </c>
      <c r="J2565" t="str">
        <f t="shared" si="472"/>
        <v>08/09/2025</v>
      </c>
      <c r="K2565">
        <v>45918</v>
      </c>
      <c r="N2565">
        <v>109</v>
      </c>
      <c r="O2565" t="s">
        <v>24</v>
      </c>
      <c r="Q2565">
        <v>602.5</v>
      </c>
      <c r="R2565" t="str">
        <f>"FARMÁCIA INDIANA LJ 62 (10028)"</f>
        <v>FARMÁCIA INDIANA LJ 62 (10028)</v>
      </c>
      <c r="S2565" t="s">
        <v>77</v>
      </c>
      <c r="T2565">
        <v>18358</v>
      </c>
      <c r="U2565">
        <v>21535</v>
      </c>
      <c r="V2565" t="s">
        <v>77</v>
      </c>
    </row>
    <row r="2566" spans="1:22">
      <c r="A2566" t="str">
        <f t="shared" si="468"/>
        <v>18/09/2025</v>
      </c>
      <c r="B2566" t="str">
        <f t="shared" si="474"/>
        <v>SAÍDA</v>
      </c>
      <c r="C2566" t="str">
        <f t="shared" si="469"/>
        <v>PIX</v>
      </c>
      <c r="D2566" t="str">
        <f>"21537"</f>
        <v>21537</v>
      </c>
      <c r="E2566" t="str">
        <f t="shared" si="471"/>
        <v>1</v>
      </c>
      <c r="F2566" t="str">
        <f t="shared" si="473"/>
        <v>COM</v>
      </c>
      <c r="G2566" t="str">
        <f>"KALESSON BARROSO DIAS (216)"</f>
        <v>KALESSON BARROSO DIAS (216)</v>
      </c>
      <c r="H2566" t="str">
        <f>"Serv.Prest. 01/09/2025 a 07/09/2025 - PIX: CELULAR - CHAVE: (33) 99106-9330"</f>
        <v>Serv.Prest. 01/09/2025 a 07/09/2025 - PIX: CELULAR - CHAVE: (33) 99106-9330</v>
      </c>
      <c r="I2566" t="str">
        <f t="shared" si="470"/>
        <v>18/09/2025</v>
      </c>
      <c r="J2566" t="str">
        <f t="shared" si="472"/>
        <v>08/09/2025</v>
      </c>
      <c r="K2566" t="str">
        <f>("18/09/2025")</f>
        <v>18/09/2025</v>
      </c>
      <c r="L2566">
        <v>1080</v>
      </c>
      <c r="M2566">
        <v>1080</v>
      </c>
      <c r="N2566">
        <v>109</v>
      </c>
      <c r="O2566" t="str">
        <f>"PAGAMENTO DE ENTREGADORES"</f>
        <v>PAGAMENTO DE ENTREGADORES</v>
      </c>
      <c r="P2566">
        <v>1080</v>
      </c>
      <c r="S2566" t="str">
        <f>"BANCO C6 (149)"</f>
        <v>BANCO C6 (149)</v>
      </c>
      <c r="T2566">
        <v>18359</v>
      </c>
      <c r="U2566">
        <v>21537</v>
      </c>
      <c r="V2566" t="s">
        <v>77</v>
      </c>
    </row>
    <row r="2567" spans="1:22">
      <c r="A2567" t="str">
        <f t="shared" si="468"/>
        <v>18/09/2025</v>
      </c>
      <c r="B2567" t="str">
        <f t="shared" si="474"/>
        <v>SAÍDA</v>
      </c>
      <c r="C2567" t="str">
        <f t="shared" si="469"/>
        <v>PIX</v>
      </c>
      <c r="D2567" t="str">
        <f>"21537"</f>
        <v>21537</v>
      </c>
      <c r="E2567" t="str">
        <f t="shared" si="471"/>
        <v>1</v>
      </c>
      <c r="F2567" t="str">
        <f t="shared" si="473"/>
        <v>COM</v>
      </c>
      <c r="G2567" t="str">
        <f>"KALESSON BARROSO DIAS (216)"</f>
        <v>KALESSON BARROSO DIAS (216)</v>
      </c>
      <c r="H2567" t="s">
        <v>672</v>
      </c>
      <c r="I2567" t="str">
        <f t="shared" si="470"/>
        <v>18/09/2025</v>
      </c>
      <c r="J2567" t="str">
        <f t="shared" si="472"/>
        <v>08/09/2025</v>
      </c>
      <c r="K2567">
        <v>45918</v>
      </c>
      <c r="N2567">
        <v>109</v>
      </c>
      <c r="O2567" t="s">
        <v>24</v>
      </c>
      <c r="Q2567">
        <v>1080</v>
      </c>
      <c r="R2567" t="str">
        <f>"FARMÁCIA INDIANA LJ 06 (10006)"</f>
        <v>FARMÁCIA INDIANA LJ 06 (10006)</v>
      </c>
      <c r="S2567" t="s">
        <v>77</v>
      </c>
      <c r="T2567">
        <v>18359</v>
      </c>
      <c r="U2567">
        <v>21537</v>
      </c>
      <c r="V2567" t="s">
        <v>77</v>
      </c>
    </row>
    <row r="2568" spans="1:22">
      <c r="A2568" t="str">
        <f t="shared" si="468"/>
        <v>18/09/2025</v>
      </c>
      <c r="B2568" t="str">
        <f t="shared" si="474"/>
        <v>SAÍDA</v>
      </c>
      <c r="C2568" t="str">
        <f t="shared" si="469"/>
        <v>PIX</v>
      </c>
      <c r="D2568" t="str">
        <f>"21538"</f>
        <v>21538</v>
      </c>
      <c r="E2568" t="str">
        <f t="shared" si="471"/>
        <v>1</v>
      </c>
      <c r="F2568" t="str">
        <f t="shared" si="473"/>
        <v>COM</v>
      </c>
      <c r="G2568" t="str">
        <f>"KELVIN NUBIO DE SOUZA TOLEDO (735)"</f>
        <v>KELVIN NUBIO DE SOUZA TOLEDO (735)</v>
      </c>
      <c r="H2568" t="str">
        <f>"Serv.Prest. 01/09/2025 a 07/09/2025 - PIX: CHAVE ALEATÓRIA - CHAVE: c489bee1-360b-4fa9-86c4-fbb0e9844cb8"</f>
        <v>Serv.Prest. 01/09/2025 a 07/09/2025 - PIX: CHAVE ALEATÓRIA - CHAVE: c489bee1-360b-4fa9-86c4-fbb0e9844cb8</v>
      </c>
      <c r="I2568" t="str">
        <f t="shared" si="470"/>
        <v>18/09/2025</v>
      </c>
      <c r="J2568" t="str">
        <f t="shared" si="472"/>
        <v>08/09/2025</v>
      </c>
      <c r="K2568" t="str">
        <f>("18/09/2025")</f>
        <v>18/09/2025</v>
      </c>
      <c r="L2568">
        <v>316</v>
      </c>
      <c r="M2568">
        <v>316</v>
      </c>
      <c r="N2568">
        <v>109</v>
      </c>
      <c r="O2568" t="str">
        <f>"PAGAMENTO DE ENTREGADORES"</f>
        <v>PAGAMENTO DE ENTREGADORES</v>
      </c>
      <c r="P2568">
        <v>316</v>
      </c>
      <c r="S2568" t="str">
        <f>"BANCO C6 (149)"</f>
        <v>BANCO C6 (149)</v>
      </c>
      <c r="T2568">
        <v>18360</v>
      </c>
      <c r="U2568">
        <v>21538</v>
      </c>
      <c r="V2568" t="s">
        <v>77</v>
      </c>
    </row>
    <row r="2569" spans="1:22">
      <c r="A2569" t="str">
        <f t="shared" si="468"/>
        <v>18/09/2025</v>
      </c>
      <c r="B2569" t="str">
        <f t="shared" si="474"/>
        <v>SAÍDA</v>
      </c>
      <c r="C2569" t="str">
        <f t="shared" si="469"/>
        <v>PIX</v>
      </c>
      <c r="D2569" t="str">
        <f>"21538"</f>
        <v>21538</v>
      </c>
      <c r="E2569" t="str">
        <f t="shared" si="471"/>
        <v>1</v>
      </c>
      <c r="F2569" t="str">
        <f t="shared" si="473"/>
        <v>COM</v>
      </c>
      <c r="G2569" t="str">
        <f>"KELVIN NUBIO DE SOUZA TOLEDO (735)"</f>
        <v>KELVIN NUBIO DE SOUZA TOLEDO (735)</v>
      </c>
      <c r="H2569" t="s">
        <v>396</v>
      </c>
      <c r="I2569" t="str">
        <f t="shared" si="470"/>
        <v>18/09/2025</v>
      </c>
      <c r="J2569" t="str">
        <f t="shared" si="472"/>
        <v>08/09/2025</v>
      </c>
      <c r="K2569">
        <v>45918</v>
      </c>
      <c r="N2569">
        <v>109</v>
      </c>
      <c r="O2569" t="s">
        <v>24</v>
      </c>
      <c r="Q2569">
        <v>316</v>
      </c>
      <c r="R2569" t="str">
        <f>"FARMÁCIA INDIANA LJ 152 (10069)"</f>
        <v>FARMÁCIA INDIANA LJ 152 (10069)</v>
      </c>
      <c r="S2569" t="s">
        <v>77</v>
      </c>
      <c r="T2569">
        <v>18360</v>
      </c>
      <c r="U2569">
        <v>21538</v>
      </c>
      <c r="V2569" t="s">
        <v>77</v>
      </c>
    </row>
    <row r="2570" spans="1:22">
      <c r="A2570" t="str">
        <f t="shared" si="468"/>
        <v>18/09/2025</v>
      </c>
      <c r="B2570" t="str">
        <f t="shared" si="474"/>
        <v>SAÍDA</v>
      </c>
      <c r="C2570" t="str">
        <f t="shared" si="469"/>
        <v>PIX</v>
      </c>
      <c r="D2570" t="str">
        <f>"21540"</f>
        <v>21540</v>
      </c>
      <c r="E2570" t="str">
        <f t="shared" si="471"/>
        <v>1</v>
      </c>
      <c r="F2570" t="str">
        <f t="shared" si="473"/>
        <v>COM</v>
      </c>
      <c r="G2570" t="str">
        <f>"LEONARDO VIANA FIGUEIREDO (913)"</f>
        <v>LEONARDO VIANA FIGUEIREDO (913)</v>
      </c>
      <c r="H2570" t="str">
        <f>"Serv.Prest. 01/09/2025 a 07/09/2025 - PIX: CELULAR - CHAVE: (33) 98463-0821"</f>
        <v>Serv.Prest. 01/09/2025 a 07/09/2025 - PIX: CELULAR - CHAVE: (33) 98463-0821</v>
      </c>
      <c r="I2570" t="str">
        <f t="shared" si="470"/>
        <v>18/09/2025</v>
      </c>
      <c r="J2570" t="str">
        <f t="shared" si="472"/>
        <v>08/09/2025</v>
      </c>
      <c r="K2570" t="str">
        <f>("18/09/2025")</f>
        <v>18/09/2025</v>
      </c>
      <c r="L2570">
        <v>1800</v>
      </c>
      <c r="M2570">
        <v>1800</v>
      </c>
      <c r="N2570">
        <v>109</v>
      </c>
      <c r="O2570" t="str">
        <f>"PAGAMENTO DE ENTREGADORES"</f>
        <v>PAGAMENTO DE ENTREGADORES</v>
      </c>
      <c r="P2570">
        <v>1800</v>
      </c>
      <c r="S2570" t="str">
        <f>"BANCO C6 (149)"</f>
        <v>BANCO C6 (149)</v>
      </c>
      <c r="T2570">
        <v>18361</v>
      </c>
      <c r="U2570">
        <v>21540</v>
      </c>
      <c r="V2570" t="s">
        <v>77</v>
      </c>
    </row>
    <row r="2571" spans="1:22">
      <c r="A2571" t="str">
        <f t="shared" si="468"/>
        <v>18/09/2025</v>
      </c>
      <c r="B2571" t="str">
        <f t="shared" si="474"/>
        <v>SAÍDA</v>
      </c>
      <c r="C2571" t="str">
        <f t="shared" si="469"/>
        <v>PIX</v>
      </c>
      <c r="D2571" t="str">
        <f>"21540"</f>
        <v>21540</v>
      </c>
      <c r="E2571" t="str">
        <f t="shared" si="471"/>
        <v>1</v>
      </c>
      <c r="F2571" t="str">
        <f t="shared" si="473"/>
        <v>COM</v>
      </c>
      <c r="G2571" t="str">
        <f>"LEONARDO VIANA FIGUEIREDO (913)"</f>
        <v>LEONARDO VIANA FIGUEIREDO (913)</v>
      </c>
      <c r="H2571" t="s">
        <v>673</v>
      </c>
      <c r="I2571" t="str">
        <f t="shared" si="470"/>
        <v>18/09/2025</v>
      </c>
      <c r="J2571" t="str">
        <f t="shared" si="472"/>
        <v>08/09/2025</v>
      </c>
      <c r="K2571">
        <v>45918</v>
      </c>
      <c r="N2571">
        <v>109</v>
      </c>
      <c r="O2571" t="s">
        <v>24</v>
      </c>
      <c r="Q2571">
        <v>1800</v>
      </c>
      <c r="R2571" t="str">
        <f>"FARMÁCIA INDIANA LJ 06 (10006)"</f>
        <v>FARMÁCIA INDIANA LJ 06 (10006)</v>
      </c>
      <c r="S2571" t="s">
        <v>77</v>
      </c>
      <c r="T2571">
        <v>18361</v>
      </c>
      <c r="U2571">
        <v>21540</v>
      </c>
      <c r="V2571" t="s">
        <v>77</v>
      </c>
    </row>
    <row r="2572" spans="1:22">
      <c r="A2572" t="str">
        <f t="shared" si="468"/>
        <v>18/09/2025</v>
      </c>
      <c r="B2572" t="str">
        <f t="shared" si="474"/>
        <v>SAÍDA</v>
      </c>
      <c r="C2572" t="str">
        <f t="shared" si="469"/>
        <v>PIX</v>
      </c>
      <c r="D2572" t="str">
        <f>"21541"</f>
        <v>21541</v>
      </c>
      <c r="E2572" t="str">
        <f t="shared" si="471"/>
        <v>1</v>
      </c>
      <c r="F2572" t="str">
        <f t="shared" si="473"/>
        <v>COM</v>
      </c>
      <c r="G2572" t="str">
        <f>"LEVERCI DA SILVA COURA (138)"</f>
        <v>LEVERCI DA SILVA COURA (138)</v>
      </c>
      <c r="H2572" t="str">
        <f>"Serv.Prest. 01/09/2025 a 07/09/2025 - PIX: CELULAR - CHAVE: (31) 99850-4727"</f>
        <v>Serv.Prest. 01/09/2025 a 07/09/2025 - PIX: CELULAR - CHAVE: (31) 99850-4727</v>
      </c>
      <c r="I2572" t="str">
        <f t="shared" si="470"/>
        <v>18/09/2025</v>
      </c>
      <c r="J2572" t="str">
        <f t="shared" si="472"/>
        <v>08/09/2025</v>
      </c>
      <c r="K2572" t="str">
        <f>("18/09/2025")</f>
        <v>18/09/2025</v>
      </c>
      <c r="L2572">
        <v>780</v>
      </c>
      <c r="M2572">
        <v>780</v>
      </c>
      <c r="N2572">
        <v>109</v>
      </c>
      <c r="O2572" t="str">
        <f>"PAGAMENTO DE ENTREGADORES"</f>
        <v>PAGAMENTO DE ENTREGADORES</v>
      </c>
      <c r="P2572">
        <v>780</v>
      </c>
      <c r="S2572" t="str">
        <f>"BANCO C6 (149)"</f>
        <v>BANCO C6 (149)</v>
      </c>
      <c r="T2572">
        <v>18362</v>
      </c>
      <c r="U2572">
        <v>21541</v>
      </c>
      <c r="V2572" t="s">
        <v>77</v>
      </c>
    </row>
    <row r="2573" spans="1:22">
      <c r="A2573" t="str">
        <f t="shared" si="468"/>
        <v>18/09/2025</v>
      </c>
      <c r="B2573" t="str">
        <f t="shared" si="474"/>
        <v>SAÍDA</v>
      </c>
      <c r="C2573" t="str">
        <f t="shared" si="469"/>
        <v>PIX</v>
      </c>
      <c r="D2573" t="str">
        <f>"21541"</f>
        <v>21541</v>
      </c>
      <c r="E2573" t="str">
        <f t="shared" si="471"/>
        <v>1</v>
      </c>
      <c r="F2573" t="str">
        <f t="shared" si="473"/>
        <v>COM</v>
      </c>
      <c r="G2573" t="str">
        <f>"LEVERCI DA SILVA COURA (138)"</f>
        <v>LEVERCI DA SILVA COURA (138)</v>
      </c>
      <c r="H2573" t="s">
        <v>674</v>
      </c>
      <c r="I2573" t="str">
        <f t="shared" si="470"/>
        <v>18/09/2025</v>
      </c>
      <c r="J2573" t="str">
        <f t="shared" si="472"/>
        <v>08/09/2025</v>
      </c>
      <c r="K2573">
        <v>45918</v>
      </c>
      <c r="N2573">
        <v>109</v>
      </c>
      <c r="O2573" t="s">
        <v>24</v>
      </c>
      <c r="Q2573">
        <v>780</v>
      </c>
      <c r="R2573" t="str">
        <f>"FARMÁCIA INDIANA LJ 18 (10011)"</f>
        <v>FARMÁCIA INDIANA LJ 18 (10011)</v>
      </c>
      <c r="S2573" t="s">
        <v>77</v>
      </c>
      <c r="T2573">
        <v>18362</v>
      </c>
      <c r="U2573">
        <v>21541</v>
      </c>
      <c r="V2573" t="s">
        <v>77</v>
      </c>
    </row>
    <row r="2574" spans="1:22">
      <c r="A2574" t="str">
        <f t="shared" si="468"/>
        <v>18/09/2025</v>
      </c>
      <c r="B2574" t="str">
        <f t="shared" si="474"/>
        <v>SAÍDA</v>
      </c>
      <c r="C2574" t="str">
        <f t="shared" si="469"/>
        <v>PIX</v>
      </c>
      <c r="D2574" t="str">
        <f>"21542"</f>
        <v>21542</v>
      </c>
      <c r="E2574" t="str">
        <f t="shared" si="471"/>
        <v>1</v>
      </c>
      <c r="F2574" t="str">
        <f t="shared" si="473"/>
        <v>COM</v>
      </c>
      <c r="G2574" t="str">
        <f>"LUAN DOS SANTOS NUNES (719)"</f>
        <v>LUAN DOS SANTOS NUNES (719)</v>
      </c>
      <c r="H2574" t="str">
        <f>"Serv.Prest. 01/09/2025 a 07/09/2025 - PIX: CELULAR - CHAVE: (33) 98749-4693"</f>
        <v>Serv.Prest. 01/09/2025 a 07/09/2025 - PIX: CELULAR - CHAVE: (33) 98749-4693</v>
      </c>
      <c r="I2574" t="str">
        <f t="shared" si="470"/>
        <v>18/09/2025</v>
      </c>
      <c r="J2574" t="str">
        <f t="shared" si="472"/>
        <v>08/09/2025</v>
      </c>
      <c r="K2574" t="str">
        <f>("18/09/2025")</f>
        <v>18/09/2025</v>
      </c>
      <c r="L2574">
        <v>1947</v>
      </c>
      <c r="M2574">
        <v>1947</v>
      </c>
      <c r="N2574">
        <v>109</v>
      </c>
      <c r="O2574" t="str">
        <f>"PAGAMENTO DE ENTREGADORES"</f>
        <v>PAGAMENTO DE ENTREGADORES</v>
      </c>
      <c r="P2574">
        <v>1947</v>
      </c>
      <c r="S2574" t="str">
        <f>"BANCO C6 (149)"</f>
        <v>BANCO C6 (149)</v>
      </c>
      <c r="T2574">
        <v>18363</v>
      </c>
      <c r="U2574">
        <v>21542</v>
      </c>
      <c r="V2574" t="s">
        <v>77</v>
      </c>
    </row>
    <row r="2575" spans="1:22">
      <c r="A2575" t="str">
        <f t="shared" si="468"/>
        <v>18/09/2025</v>
      </c>
      <c r="B2575" t="str">
        <f t="shared" si="474"/>
        <v>SAÍDA</v>
      </c>
      <c r="C2575" t="str">
        <f t="shared" si="469"/>
        <v>PIX</v>
      </c>
      <c r="D2575" t="str">
        <f>"21542"</f>
        <v>21542</v>
      </c>
      <c r="E2575" t="str">
        <f t="shared" si="471"/>
        <v>1</v>
      </c>
      <c r="F2575" t="str">
        <f t="shared" si="473"/>
        <v>COM</v>
      </c>
      <c r="G2575" t="str">
        <f>"LUAN DOS SANTOS NUNES (719)"</f>
        <v>LUAN DOS SANTOS NUNES (719)</v>
      </c>
      <c r="H2575" t="s">
        <v>675</v>
      </c>
      <c r="I2575" t="str">
        <f t="shared" si="470"/>
        <v>18/09/2025</v>
      </c>
      <c r="J2575" t="str">
        <f t="shared" si="472"/>
        <v>08/09/2025</v>
      </c>
      <c r="K2575">
        <v>45918</v>
      </c>
      <c r="N2575">
        <v>109</v>
      </c>
      <c r="O2575" t="s">
        <v>24</v>
      </c>
      <c r="Q2575">
        <v>638.03</v>
      </c>
      <c r="R2575" t="str">
        <f>"FARMÁCIA INDIANA LJ 40 (10016)"</f>
        <v>FARMÁCIA INDIANA LJ 40 (10016)</v>
      </c>
      <c r="S2575" t="s">
        <v>77</v>
      </c>
      <c r="T2575">
        <v>18363</v>
      </c>
      <c r="U2575">
        <v>21542</v>
      </c>
      <c r="V2575" t="s">
        <v>77</v>
      </c>
    </row>
    <row r="2576" spans="1:22">
      <c r="A2576" t="str">
        <f t="shared" si="468"/>
        <v>18/09/2025</v>
      </c>
      <c r="B2576" t="str">
        <f t="shared" si="474"/>
        <v>SAÍDA</v>
      </c>
      <c r="C2576" t="str">
        <f t="shared" si="469"/>
        <v>PIX</v>
      </c>
      <c r="D2576" t="str">
        <f>"21542"</f>
        <v>21542</v>
      </c>
      <c r="E2576" t="str">
        <f t="shared" si="471"/>
        <v>1</v>
      </c>
      <c r="F2576" t="str">
        <f t="shared" si="473"/>
        <v>COM</v>
      </c>
      <c r="G2576" t="str">
        <f>"LUAN DOS SANTOS NUNES (719)"</f>
        <v>LUAN DOS SANTOS NUNES (719)</v>
      </c>
      <c r="H2576" t="s">
        <v>675</v>
      </c>
      <c r="I2576" t="str">
        <f t="shared" si="470"/>
        <v>18/09/2025</v>
      </c>
      <c r="J2576" t="str">
        <f t="shared" si="472"/>
        <v>08/09/2025</v>
      </c>
      <c r="K2576">
        <v>45918</v>
      </c>
      <c r="N2576">
        <v>109</v>
      </c>
      <c r="O2576" t="s">
        <v>24</v>
      </c>
      <c r="Q2576">
        <v>1308.97</v>
      </c>
      <c r="R2576" t="str">
        <f>"FARMÁCIA INDIANA LJ 61 (10027)"</f>
        <v>FARMÁCIA INDIANA LJ 61 (10027)</v>
      </c>
      <c r="S2576" t="s">
        <v>77</v>
      </c>
      <c r="T2576">
        <v>18363</v>
      </c>
      <c r="U2576">
        <v>21542</v>
      </c>
      <c r="V2576" t="s">
        <v>77</v>
      </c>
    </row>
    <row r="2577" spans="1:22">
      <c r="A2577" t="str">
        <f t="shared" si="468"/>
        <v>18/09/2025</v>
      </c>
      <c r="B2577" t="str">
        <f t="shared" si="474"/>
        <v>SAÍDA</v>
      </c>
      <c r="C2577" t="str">
        <f t="shared" si="469"/>
        <v>PIX</v>
      </c>
      <c r="D2577" t="str">
        <f>"21543"</f>
        <v>21543</v>
      </c>
      <c r="E2577" t="str">
        <f t="shared" si="471"/>
        <v>1</v>
      </c>
      <c r="F2577" t="str">
        <f t="shared" si="473"/>
        <v>COM</v>
      </c>
      <c r="G2577" t="str">
        <f>"LUAN VICTOR SERQUEIRA DA SILVA (577)"</f>
        <v>LUAN VICTOR SERQUEIRA DA SILVA (577)</v>
      </c>
      <c r="H2577" t="str">
        <f>"Serv.Prest. 01/09/2025 a 07/09/2025 - PIX: CPF - CHAVE: 161.508.516-56"</f>
        <v>Serv.Prest. 01/09/2025 a 07/09/2025 - PIX: CPF - CHAVE: 161.508.516-56</v>
      </c>
      <c r="I2577" t="str">
        <f t="shared" si="470"/>
        <v>18/09/2025</v>
      </c>
      <c r="J2577" t="str">
        <f t="shared" si="472"/>
        <v>08/09/2025</v>
      </c>
      <c r="K2577" t="str">
        <f>("18/09/2025")</f>
        <v>18/09/2025</v>
      </c>
      <c r="L2577">
        <v>698.5</v>
      </c>
      <c r="M2577">
        <v>700</v>
      </c>
      <c r="N2577">
        <v>109</v>
      </c>
      <c r="O2577" t="str">
        <f>"PAGAMENTO DE ENTREGADORES"</f>
        <v>PAGAMENTO DE ENTREGADORES</v>
      </c>
      <c r="P2577">
        <v>700</v>
      </c>
      <c r="S2577" t="str">
        <f>"BANCO C6 (149)"</f>
        <v>BANCO C6 (149)</v>
      </c>
      <c r="T2577">
        <v>18364</v>
      </c>
      <c r="U2577">
        <v>21543</v>
      </c>
      <c r="V2577" t="s">
        <v>77</v>
      </c>
    </row>
    <row r="2578" spans="1:22">
      <c r="A2578" t="str">
        <f t="shared" si="468"/>
        <v>18/09/2025</v>
      </c>
      <c r="B2578" t="str">
        <f t="shared" si="474"/>
        <v>SAÍDA</v>
      </c>
      <c r="C2578" t="str">
        <f t="shared" si="469"/>
        <v>PIX</v>
      </c>
      <c r="D2578" t="str">
        <f>"21543"</f>
        <v>21543</v>
      </c>
      <c r="E2578" t="str">
        <f t="shared" si="471"/>
        <v>1</v>
      </c>
      <c r="F2578" t="str">
        <f t="shared" si="473"/>
        <v>COM</v>
      </c>
      <c r="G2578" t="str">
        <f>"LUAN VICTOR SERQUEIRA DA SILVA (577)"</f>
        <v>LUAN VICTOR SERQUEIRA DA SILVA (577)</v>
      </c>
      <c r="H2578" t="s">
        <v>676</v>
      </c>
      <c r="I2578" t="str">
        <f t="shared" si="470"/>
        <v>18/09/2025</v>
      </c>
      <c r="J2578" t="str">
        <f t="shared" si="472"/>
        <v>08/09/2025</v>
      </c>
      <c r="K2578">
        <v>45918</v>
      </c>
      <c r="N2578">
        <v>109</v>
      </c>
      <c r="O2578" t="s">
        <v>24</v>
      </c>
      <c r="Q2578">
        <v>700</v>
      </c>
      <c r="R2578" t="str">
        <f>"FARMÁCIA INDIANA LJ 202 (10085)"</f>
        <v>FARMÁCIA INDIANA LJ 202 (10085)</v>
      </c>
      <c r="S2578" t="s">
        <v>77</v>
      </c>
      <c r="T2578">
        <v>18364</v>
      </c>
      <c r="U2578">
        <v>21543</v>
      </c>
      <c r="V2578" t="s">
        <v>77</v>
      </c>
    </row>
    <row r="2579" spans="1:22">
      <c r="A2579" t="str">
        <f t="shared" si="468"/>
        <v>18/09/2025</v>
      </c>
      <c r="B2579" t="str">
        <f t="shared" si="474"/>
        <v>SAÍDA</v>
      </c>
      <c r="C2579" t="str">
        <f t="shared" si="469"/>
        <v>PIX</v>
      </c>
      <c r="D2579" t="str">
        <f>"21544"</f>
        <v>21544</v>
      </c>
      <c r="E2579" t="str">
        <f t="shared" si="471"/>
        <v>1</v>
      </c>
      <c r="F2579" t="str">
        <f t="shared" si="473"/>
        <v>COM</v>
      </c>
      <c r="G2579" t="str">
        <f>"LUCAS FERREIRA DOS SANTOS (868)"</f>
        <v>LUCAS FERREIRA DOS SANTOS (868)</v>
      </c>
      <c r="H2579" t="str">
        <f>"Serv.Prest. 01/09/2025 a 07/09/2025 - PIX: CELULAR - CHAVE: (33) 99172-0627"</f>
        <v>Serv.Prest. 01/09/2025 a 07/09/2025 - PIX: CELULAR - CHAVE: (33) 99172-0627</v>
      </c>
      <c r="I2579" t="str">
        <f t="shared" si="470"/>
        <v>18/09/2025</v>
      </c>
      <c r="J2579" t="str">
        <f t="shared" si="472"/>
        <v>08/09/2025</v>
      </c>
      <c r="K2579" t="str">
        <f>("18/09/2025")</f>
        <v>18/09/2025</v>
      </c>
      <c r="L2579">
        <v>1260</v>
      </c>
      <c r="M2579">
        <v>1260</v>
      </c>
      <c r="N2579">
        <v>109</v>
      </c>
      <c r="O2579" t="str">
        <f>"PAGAMENTO DE ENTREGADORES"</f>
        <v>PAGAMENTO DE ENTREGADORES</v>
      </c>
      <c r="P2579">
        <v>1260</v>
      </c>
      <c r="S2579" t="str">
        <f>"BANCO C6 (149)"</f>
        <v>BANCO C6 (149)</v>
      </c>
      <c r="T2579">
        <v>18365</v>
      </c>
      <c r="U2579">
        <v>21544</v>
      </c>
      <c r="V2579" t="s">
        <v>77</v>
      </c>
    </row>
    <row r="2580" spans="1:22">
      <c r="A2580" t="str">
        <f t="shared" si="468"/>
        <v>18/09/2025</v>
      </c>
      <c r="B2580" t="str">
        <f t="shared" si="474"/>
        <v>SAÍDA</v>
      </c>
      <c r="C2580" t="str">
        <f t="shared" si="469"/>
        <v>PIX</v>
      </c>
      <c r="D2580" t="str">
        <f>"21544"</f>
        <v>21544</v>
      </c>
      <c r="E2580" t="str">
        <f t="shared" si="471"/>
        <v>1</v>
      </c>
      <c r="F2580" t="str">
        <f t="shared" si="473"/>
        <v>COM</v>
      </c>
      <c r="G2580" t="str">
        <f>"LUCAS FERREIRA DOS SANTOS (868)"</f>
        <v>LUCAS FERREIRA DOS SANTOS (868)</v>
      </c>
      <c r="H2580" t="s">
        <v>677</v>
      </c>
      <c r="I2580" t="str">
        <f t="shared" si="470"/>
        <v>18/09/2025</v>
      </c>
      <c r="J2580" t="str">
        <f t="shared" si="472"/>
        <v>08/09/2025</v>
      </c>
      <c r="K2580">
        <v>45918</v>
      </c>
      <c r="N2580">
        <v>109</v>
      </c>
      <c r="O2580" t="s">
        <v>24</v>
      </c>
      <c r="Q2580">
        <v>1260</v>
      </c>
      <c r="R2580" t="str">
        <f>"FARMÁCIA INDIANA LJ 06 (10006)"</f>
        <v>FARMÁCIA INDIANA LJ 06 (10006)</v>
      </c>
      <c r="S2580" t="s">
        <v>77</v>
      </c>
      <c r="T2580">
        <v>18365</v>
      </c>
      <c r="U2580">
        <v>21544</v>
      </c>
      <c r="V2580" t="s">
        <v>77</v>
      </c>
    </row>
    <row r="2581" spans="1:22">
      <c r="A2581" t="str">
        <f t="shared" si="468"/>
        <v>18/09/2025</v>
      </c>
      <c r="B2581" t="str">
        <f t="shared" si="474"/>
        <v>SAÍDA</v>
      </c>
      <c r="C2581" t="str">
        <f t="shared" si="469"/>
        <v>PIX</v>
      </c>
      <c r="D2581" t="str">
        <f>"21545"</f>
        <v>21545</v>
      </c>
      <c r="E2581" t="str">
        <f t="shared" si="471"/>
        <v>1</v>
      </c>
      <c r="F2581" t="str">
        <f t="shared" si="473"/>
        <v>COM</v>
      </c>
      <c r="G2581" t="str">
        <f>"LUIZ ALVES MARTINS (40)"</f>
        <v>LUIZ ALVES MARTINS (40)</v>
      </c>
      <c r="H2581" t="str">
        <f>"Serv.Prest. 01/09/2025 a 07/09/2025 - PIX: CELULAR - CHAVE: (33) 99981-6650"</f>
        <v>Serv.Prest. 01/09/2025 a 07/09/2025 - PIX: CELULAR - CHAVE: (33) 99981-6650</v>
      </c>
      <c r="I2581" t="str">
        <f t="shared" si="470"/>
        <v>18/09/2025</v>
      </c>
      <c r="J2581" t="str">
        <f t="shared" si="472"/>
        <v>08/09/2025</v>
      </c>
      <c r="K2581" t="str">
        <f>("18/09/2025")</f>
        <v>18/09/2025</v>
      </c>
      <c r="L2581">
        <v>924</v>
      </c>
      <c r="M2581">
        <v>924</v>
      </c>
      <c r="N2581">
        <v>109</v>
      </c>
      <c r="O2581" t="str">
        <f>"PAGAMENTO DE ENTREGADORES"</f>
        <v>PAGAMENTO DE ENTREGADORES</v>
      </c>
      <c r="P2581">
        <v>924</v>
      </c>
      <c r="S2581" t="str">
        <f>"BANCO C6 (149)"</f>
        <v>BANCO C6 (149)</v>
      </c>
      <c r="T2581">
        <v>18366</v>
      </c>
      <c r="U2581">
        <v>21545</v>
      </c>
      <c r="V2581" t="s">
        <v>77</v>
      </c>
    </row>
    <row r="2582" spans="1:22">
      <c r="A2582" t="str">
        <f t="shared" si="468"/>
        <v>18/09/2025</v>
      </c>
      <c r="B2582" t="str">
        <f t="shared" si="474"/>
        <v>SAÍDA</v>
      </c>
      <c r="C2582" t="str">
        <f t="shared" si="469"/>
        <v>PIX</v>
      </c>
      <c r="D2582" t="str">
        <f>"21545"</f>
        <v>21545</v>
      </c>
      <c r="E2582" t="str">
        <f t="shared" si="471"/>
        <v>1</v>
      </c>
      <c r="F2582" t="str">
        <f t="shared" si="473"/>
        <v>COM</v>
      </c>
      <c r="G2582" t="str">
        <f>"LUIZ ALVES MARTINS (40)"</f>
        <v>LUIZ ALVES MARTINS (40)</v>
      </c>
      <c r="H2582" t="s">
        <v>678</v>
      </c>
      <c r="I2582" t="str">
        <f t="shared" si="470"/>
        <v>18/09/2025</v>
      </c>
      <c r="J2582" t="str">
        <f t="shared" si="472"/>
        <v>08/09/2025</v>
      </c>
      <c r="K2582">
        <v>45918</v>
      </c>
      <c r="N2582">
        <v>109</v>
      </c>
      <c r="O2582" t="s">
        <v>24</v>
      </c>
      <c r="Q2582">
        <v>924</v>
      </c>
      <c r="R2582" t="str">
        <f>"FARMÁCIA INDIANA LJ 11 (10008)"</f>
        <v>FARMÁCIA INDIANA LJ 11 (10008)</v>
      </c>
      <c r="S2582" t="s">
        <v>77</v>
      </c>
      <c r="T2582">
        <v>18366</v>
      </c>
      <c r="U2582">
        <v>21545</v>
      </c>
      <c r="V2582" t="s">
        <v>77</v>
      </c>
    </row>
    <row r="2583" spans="1:22">
      <c r="A2583" t="str">
        <f t="shared" si="468"/>
        <v>18/09/2025</v>
      </c>
      <c r="B2583" t="str">
        <f t="shared" si="474"/>
        <v>SAÍDA</v>
      </c>
      <c r="C2583" t="str">
        <f t="shared" si="469"/>
        <v>PIX</v>
      </c>
      <c r="D2583" t="str">
        <f>"21546"</f>
        <v>21546</v>
      </c>
      <c r="E2583" t="str">
        <f t="shared" si="471"/>
        <v>1</v>
      </c>
      <c r="F2583" t="str">
        <f t="shared" si="473"/>
        <v>COM</v>
      </c>
      <c r="G2583" t="str">
        <f>"LUIZ EDUARDO VIANA BRITO (878)"</f>
        <v>LUIZ EDUARDO VIANA BRITO (878)</v>
      </c>
      <c r="H2583" t="str">
        <f>"Serv.Prest. 01/09/2025 a 07/09/2025 - PIX: CPF - CHAVE: 101.220.976-88"</f>
        <v>Serv.Prest. 01/09/2025 a 07/09/2025 - PIX: CPF - CHAVE: 101.220.976-88</v>
      </c>
      <c r="I2583" t="str">
        <f t="shared" si="470"/>
        <v>18/09/2025</v>
      </c>
      <c r="J2583" t="str">
        <f t="shared" si="472"/>
        <v>08/09/2025</v>
      </c>
      <c r="K2583" t="str">
        <f>("18/09/2025")</f>
        <v>18/09/2025</v>
      </c>
      <c r="L2583">
        <v>1430</v>
      </c>
      <c r="M2583">
        <v>1430</v>
      </c>
      <c r="N2583">
        <v>109</v>
      </c>
      <c r="O2583" t="str">
        <f>"PAGAMENTO DE ENTREGADORES"</f>
        <v>PAGAMENTO DE ENTREGADORES</v>
      </c>
      <c r="P2583">
        <v>1430</v>
      </c>
      <c r="S2583" t="str">
        <f>"BANCO C6 (149)"</f>
        <v>BANCO C6 (149)</v>
      </c>
      <c r="T2583">
        <v>18367</v>
      </c>
      <c r="U2583">
        <v>21546</v>
      </c>
      <c r="V2583" t="s">
        <v>77</v>
      </c>
    </row>
    <row r="2584" spans="1:22">
      <c r="A2584" t="str">
        <f t="shared" si="468"/>
        <v>18/09/2025</v>
      </c>
      <c r="B2584" t="str">
        <f t="shared" si="474"/>
        <v>SAÍDA</v>
      </c>
      <c r="C2584" t="str">
        <f t="shared" si="469"/>
        <v>PIX</v>
      </c>
      <c r="D2584" t="str">
        <f>"21546"</f>
        <v>21546</v>
      </c>
      <c r="E2584" t="str">
        <f t="shared" si="471"/>
        <v>1</v>
      </c>
      <c r="F2584" t="str">
        <f t="shared" si="473"/>
        <v>COM</v>
      </c>
      <c r="G2584" t="str">
        <f>"LUIZ EDUARDO VIANA BRITO (878)"</f>
        <v>LUIZ EDUARDO VIANA BRITO (878)</v>
      </c>
      <c r="H2584" t="s">
        <v>679</v>
      </c>
      <c r="I2584" t="str">
        <f t="shared" si="470"/>
        <v>18/09/2025</v>
      </c>
      <c r="J2584" t="str">
        <f t="shared" si="472"/>
        <v>08/09/2025</v>
      </c>
      <c r="K2584">
        <v>45918</v>
      </c>
      <c r="N2584">
        <v>109</v>
      </c>
      <c r="O2584" t="s">
        <v>24</v>
      </c>
      <c r="Q2584">
        <v>1430</v>
      </c>
      <c r="R2584" t="str">
        <f>"FARMÁCIA INDIANA LJ 40 (10016)"</f>
        <v>FARMÁCIA INDIANA LJ 40 (10016)</v>
      </c>
      <c r="S2584" t="s">
        <v>77</v>
      </c>
      <c r="T2584">
        <v>18367</v>
      </c>
      <c r="U2584">
        <v>21546</v>
      </c>
      <c r="V2584" t="s">
        <v>77</v>
      </c>
    </row>
    <row r="2585" spans="1:22">
      <c r="A2585" t="str">
        <f t="shared" ref="A2585:A2648" si="475">("18/09/2025")</f>
        <v>18/09/2025</v>
      </c>
      <c r="B2585" t="str">
        <f t="shared" si="474"/>
        <v>SAÍDA</v>
      </c>
      <c r="C2585" t="str">
        <f t="shared" ref="C2585:C2648" si="476">"PIX"</f>
        <v>PIX</v>
      </c>
      <c r="D2585" t="str">
        <f>"21547"</f>
        <v>21547</v>
      </c>
      <c r="E2585" t="str">
        <f t="shared" si="471"/>
        <v>1</v>
      </c>
      <c r="F2585" t="str">
        <f t="shared" si="473"/>
        <v>COM</v>
      </c>
      <c r="G2585" t="str">
        <f>"LUIZ EMANUEL PINHEIRO (870)"</f>
        <v>LUIZ EMANUEL PINHEIRO (870)</v>
      </c>
      <c r="H2585" t="str">
        <f>"Serv.Prest. 01/09/2025 a 07/09/2025 - PIX: CPF - CHAVE: 129.269.326-69"</f>
        <v>Serv.Prest. 01/09/2025 a 07/09/2025 - PIX: CPF - CHAVE: 129.269.326-69</v>
      </c>
      <c r="I2585" t="str">
        <f t="shared" ref="I2585:I2648" si="477">("18/09/2025")</f>
        <v>18/09/2025</v>
      </c>
      <c r="J2585" t="str">
        <f t="shared" si="472"/>
        <v>08/09/2025</v>
      </c>
      <c r="K2585" t="str">
        <f>("18/09/2025")</f>
        <v>18/09/2025</v>
      </c>
      <c r="L2585">
        <v>700.8</v>
      </c>
      <c r="M2585">
        <v>700.8</v>
      </c>
      <c r="N2585">
        <v>109</v>
      </c>
      <c r="O2585" t="str">
        <f>"PAGAMENTO DE ENTREGADORES"</f>
        <v>PAGAMENTO DE ENTREGADORES</v>
      </c>
      <c r="P2585">
        <v>700.8</v>
      </c>
      <c r="S2585" t="str">
        <f>"BANCO C6 (149)"</f>
        <v>BANCO C6 (149)</v>
      </c>
      <c r="T2585">
        <v>18368</v>
      </c>
      <c r="U2585">
        <v>21547</v>
      </c>
      <c r="V2585" t="s">
        <v>77</v>
      </c>
    </row>
    <row r="2586" spans="1:22">
      <c r="A2586" t="str">
        <f t="shared" si="475"/>
        <v>18/09/2025</v>
      </c>
      <c r="B2586" t="str">
        <f t="shared" si="474"/>
        <v>SAÍDA</v>
      </c>
      <c r="C2586" t="str">
        <f t="shared" si="476"/>
        <v>PIX</v>
      </c>
      <c r="D2586" t="str">
        <f>"21547"</f>
        <v>21547</v>
      </c>
      <c r="E2586" t="str">
        <f t="shared" si="471"/>
        <v>1</v>
      </c>
      <c r="F2586" t="str">
        <f t="shared" si="473"/>
        <v>COM</v>
      </c>
      <c r="G2586" t="str">
        <f>"LUIZ EMANUEL PINHEIRO (870)"</f>
        <v>LUIZ EMANUEL PINHEIRO (870)</v>
      </c>
      <c r="H2586" t="s">
        <v>680</v>
      </c>
      <c r="I2586" t="str">
        <f t="shared" si="477"/>
        <v>18/09/2025</v>
      </c>
      <c r="J2586" t="str">
        <f t="shared" si="472"/>
        <v>08/09/2025</v>
      </c>
      <c r="K2586">
        <v>45918</v>
      </c>
      <c r="N2586">
        <v>109</v>
      </c>
      <c r="O2586" t="s">
        <v>24</v>
      </c>
      <c r="Q2586">
        <v>700.8</v>
      </c>
      <c r="R2586" t="str">
        <f>"FARMÁCIA INDIANA LJ 128 (10057)"</f>
        <v>FARMÁCIA INDIANA LJ 128 (10057)</v>
      </c>
      <c r="S2586" t="s">
        <v>77</v>
      </c>
      <c r="T2586">
        <v>18368</v>
      </c>
      <c r="U2586">
        <v>21547</v>
      </c>
      <c r="V2586" t="s">
        <v>77</v>
      </c>
    </row>
    <row r="2587" spans="1:22">
      <c r="A2587" t="str">
        <f t="shared" si="475"/>
        <v>18/09/2025</v>
      </c>
      <c r="B2587" t="str">
        <f t="shared" si="474"/>
        <v>SAÍDA</v>
      </c>
      <c r="C2587" t="str">
        <f t="shared" si="476"/>
        <v>PIX</v>
      </c>
      <c r="D2587" t="str">
        <f>"21548"</f>
        <v>21548</v>
      </c>
      <c r="E2587" t="str">
        <f t="shared" si="471"/>
        <v>1</v>
      </c>
      <c r="F2587" t="str">
        <f t="shared" si="473"/>
        <v>COM</v>
      </c>
      <c r="G2587" t="str">
        <f>"LUIZ FERNANDO CARVALHO ALVES (198)"</f>
        <v>LUIZ FERNANDO CARVALHO ALVES (198)</v>
      </c>
      <c r="H2587" t="str">
        <f>"Serv.Prest. 01/09/2025 a 07/09/2025 - PIX: CPF - CHAVE: 705.097.186-39"</f>
        <v>Serv.Prest. 01/09/2025 a 07/09/2025 - PIX: CPF - CHAVE: 705.097.186-39</v>
      </c>
      <c r="I2587" t="str">
        <f t="shared" si="477"/>
        <v>18/09/2025</v>
      </c>
      <c r="J2587" t="str">
        <f t="shared" si="472"/>
        <v>08/09/2025</v>
      </c>
      <c r="K2587" t="str">
        <f>("18/09/2025")</f>
        <v>18/09/2025</v>
      </c>
      <c r="L2587">
        <v>750</v>
      </c>
      <c r="M2587">
        <v>750</v>
      </c>
      <c r="N2587">
        <v>109</v>
      </c>
      <c r="O2587" t="str">
        <f>"PAGAMENTO DE ENTREGADORES"</f>
        <v>PAGAMENTO DE ENTREGADORES</v>
      </c>
      <c r="P2587">
        <v>750</v>
      </c>
      <c r="S2587" t="str">
        <f>"BANCO C6 (149)"</f>
        <v>BANCO C6 (149)</v>
      </c>
      <c r="T2587">
        <v>18369</v>
      </c>
      <c r="U2587">
        <v>21548</v>
      </c>
      <c r="V2587" t="s">
        <v>77</v>
      </c>
    </row>
    <row r="2588" spans="1:22">
      <c r="A2588" t="str">
        <f t="shared" si="475"/>
        <v>18/09/2025</v>
      </c>
      <c r="B2588" t="str">
        <f t="shared" si="474"/>
        <v>SAÍDA</v>
      </c>
      <c r="C2588" t="str">
        <f t="shared" si="476"/>
        <v>PIX</v>
      </c>
      <c r="D2588" t="str">
        <f>"21548"</f>
        <v>21548</v>
      </c>
      <c r="E2588" t="str">
        <f t="shared" si="471"/>
        <v>1</v>
      </c>
      <c r="F2588" t="str">
        <f t="shared" si="473"/>
        <v>COM</v>
      </c>
      <c r="G2588" t="str">
        <f>"LUIZ FERNANDO CARVALHO ALVES (198)"</f>
        <v>LUIZ FERNANDO CARVALHO ALVES (198)</v>
      </c>
      <c r="H2588" t="s">
        <v>681</v>
      </c>
      <c r="I2588" t="str">
        <f t="shared" si="477"/>
        <v>18/09/2025</v>
      </c>
      <c r="J2588" t="str">
        <f t="shared" si="472"/>
        <v>08/09/2025</v>
      </c>
      <c r="K2588">
        <v>45918</v>
      </c>
      <c r="N2588">
        <v>109</v>
      </c>
      <c r="O2588" t="s">
        <v>24</v>
      </c>
      <c r="Q2588">
        <v>750</v>
      </c>
      <c r="R2588" t="str">
        <f>"FARMÁCIA INDIANA LJ 171 (10074)"</f>
        <v>FARMÁCIA INDIANA LJ 171 (10074)</v>
      </c>
      <c r="S2588" t="s">
        <v>77</v>
      </c>
      <c r="T2588">
        <v>18369</v>
      </c>
      <c r="U2588">
        <v>21548</v>
      </c>
      <c r="V2588" t="s">
        <v>77</v>
      </c>
    </row>
    <row r="2589" spans="1:22">
      <c r="A2589" t="str">
        <f t="shared" si="475"/>
        <v>18/09/2025</v>
      </c>
      <c r="B2589" t="str">
        <f t="shared" si="474"/>
        <v>SAÍDA</v>
      </c>
      <c r="C2589" t="str">
        <f t="shared" si="476"/>
        <v>PIX</v>
      </c>
      <c r="D2589" t="str">
        <f>"21549"</f>
        <v>21549</v>
      </c>
      <c r="E2589" t="str">
        <f t="shared" ref="E2589:E2652" si="478">"1"</f>
        <v>1</v>
      </c>
      <c r="F2589" t="str">
        <f t="shared" si="473"/>
        <v>COM</v>
      </c>
      <c r="G2589" t="str">
        <f>"MAICON HENRIQUE FERREIRA DOS SANTOS (759)"</f>
        <v>MAICON HENRIQUE FERREIRA DOS SANTOS (759)</v>
      </c>
      <c r="H2589" t="str">
        <f>"Serv.Prest. 01/09/2025 a 07/09/2025 - PIX: CELULAR - CHAVE: (31) 98412-5118"</f>
        <v>Serv.Prest. 01/09/2025 a 07/09/2025 - PIX: CELULAR - CHAVE: (31) 98412-5118</v>
      </c>
      <c r="I2589" t="str">
        <f t="shared" si="477"/>
        <v>18/09/2025</v>
      </c>
      <c r="J2589" t="str">
        <f t="shared" si="472"/>
        <v>08/09/2025</v>
      </c>
      <c r="K2589" t="str">
        <f>("18/09/2025")</f>
        <v>18/09/2025</v>
      </c>
      <c r="L2589">
        <v>966</v>
      </c>
      <c r="M2589">
        <v>966</v>
      </c>
      <c r="N2589">
        <v>109</v>
      </c>
      <c r="O2589" t="str">
        <f>"PAGAMENTO DE ENTREGADORES"</f>
        <v>PAGAMENTO DE ENTREGADORES</v>
      </c>
      <c r="P2589">
        <v>966</v>
      </c>
      <c r="S2589" t="str">
        <f>"BANCO C6 (149)"</f>
        <v>BANCO C6 (149)</v>
      </c>
      <c r="T2589">
        <v>18370</v>
      </c>
      <c r="U2589">
        <v>21549</v>
      </c>
      <c r="V2589" t="s">
        <v>77</v>
      </c>
    </row>
    <row r="2590" spans="1:22">
      <c r="A2590" t="str">
        <f t="shared" si="475"/>
        <v>18/09/2025</v>
      </c>
      <c r="B2590" t="str">
        <f t="shared" si="474"/>
        <v>SAÍDA</v>
      </c>
      <c r="C2590" t="str">
        <f t="shared" si="476"/>
        <v>PIX</v>
      </c>
      <c r="D2590" t="str">
        <f>"21549"</f>
        <v>21549</v>
      </c>
      <c r="E2590" t="str">
        <f t="shared" si="478"/>
        <v>1</v>
      </c>
      <c r="F2590" t="str">
        <f t="shared" si="473"/>
        <v>COM</v>
      </c>
      <c r="G2590" t="str">
        <f>"MAICON HENRIQUE FERREIRA DOS SANTOS (759)"</f>
        <v>MAICON HENRIQUE FERREIRA DOS SANTOS (759)</v>
      </c>
      <c r="H2590" t="s">
        <v>682</v>
      </c>
      <c r="I2590" t="str">
        <f t="shared" si="477"/>
        <v>18/09/2025</v>
      </c>
      <c r="J2590" t="str">
        <f t="shared" si="472"/>
        <v>08/09/2025</v>
      </c>
      <c r="K2590">
        <v>45918</v>
      </c>
      <c r="N2590">
        <v>109</v>
      </c>
      <c r="O2590" t="s">
        <v>24</v>
      </c>
      <c r="Q2590">
        <v>966</v>
      </c>
      <c r="R2590" t="str">
        <f>"FARMÁCIA INDIANA LJ 101 (10043)"</f>
        <v>FARMÁCIA INDIANA LJ 101 (10043)</v>
      </c>
      <c r="S2590" t="s">
        <v>77</v>
      </c>
      <c r="T2590">
        <v>18370</v>
      </c>
      <c r="U2590">
        <v>21549</v>
      </c>
      <c r="V2590" t="s">
        <v>77</v>
      </c>
    </row>
    <row r="2591" spans="1:22">
      <c r="A2591" t="str">
        <f t="shared" si="475"/>
        <v>18/09/2025</v>
      </c>
      <c r="B2591" t="str">
        <f t="shared" si="474"/>
        <v>SAÍDA</v>
      </c>
      <c r="C2591" t="str">
        <f t="shared" si="476"/>
        <v>PIX</v>
      </c>
      <c r="D2591" t="str">
        <f>"21550"</f>
        <v>21550</v>
      </c>
      <c r="E2591" t="str">
        <f t="shared" si="478"/>
        <v>1</v>
      </c>
      <c r="F2591" t="str">
        <f t="shared" si="473"/>
        <v>COM</v>
      </c>
      <c r="G2591" t="str">
        <f>"MARCIO CLAUDIO DE ARAUJO (204)"</f>
        <v>MARCIO CLAUDIO DE ARAUJO (204)</v>
      </c>
      <c r="H2591" t="str">
        <f>"Serv.Prest. 01/09/2025 a 07/09/2025 - PIX: CELULAR - CHAVE: (33) 98427-3872"</f>
        <v>Serv.Prest. 01/09/2025 a 07/09/2025 - PIX: CELULAR - CHAVE: (33) 98427-3872</v>
      </c>
      <c r="I2591" t="str">
        <f t="shared" si="477"/>
        <v>18/09/2025</v>
      </c>
      <c r="J2591" t="str">
        <f t="shared" si="472"/>
        <v>08/09/2025</v>
      </c>
      <c r="K2591" t="str">
        <f>("18/09/2025")</f>
        <v>18/09/2025</v>
      </c>
      <c r="L2591">
        <v>1050</v>
      </c>
      <c r="M2591">
        <v>1050</v>
      </c>
      <c r="N2591">
        <v>109</v>
      </c>
      <c r="O2591" t="str">
        <f>"PAGAMENTO DE ENTREGADORES"</f>
        <v>PAGAMENTO DE ENTREGADORES</v>
      </c>
      <c r="P2591">
        <v>1050</v>
      </c>
      <c r="S2591" t="str">
        <f>"BANCO C6 (149)"</f>
        <v>BANCO C6 (149)</v>
      </c>
      <c r="T2591">
        <v>18371</v>
      </c>
      <c r="U2591">
        <v>21550</v>
      </c>
      <c r="V2591" t="s">
        <v>77</v>
      </c>
    </row>
    <row r="2592" spans="1:22">
      <c r="A2592" t="str">
        <f t="shared" si="475"/>
        <v>18/09/2025</v>
      </c>
      <c r="B2592" t="str">
        <f t="shared" si="474"/>
        <v>SAÍDA</v>
      </c>
      <c r="C2592" t="str">
        <f t="shared" si="476"/>
        <v>PIX</v>
      </c>
      <c r="D2592" t="str">
        <f>"21550"</f>
        <v>21550</v>
      </c>
      <c r="E2592" t="str">
        <f t="shared" si="478"/>
        <v>1</v>
      </c>
      <c r="F2592" t="str">
        <f t="shared" si="473"/>
        <v>COM</v>
      </c>
      <c r="G2592" t="str">
        <f>"MARCIO CLAUDIO DE ARAUJO (204)"</f>
        <v>MARCIO CLAUDIO DE ARAUJO (204)</v>
      </c>
      <c r="H2592" t="s">
        <v>683</v>
      </c>
      <c r="I2592" t="str">
        <f t="shared" si="477"/>
        <v>18/09/2025</v>
      </c>
      <c r="J2592" t="str">
        <f t="shared" si="472"/>
        <v>08/09/2025</v>
      </c>
      <c r="K2592">
        <v>45918</v>
      </c>
      <c r="N2592">
        <v>109</v>
      </c>
      <c r="O2592" t="s">
        <v>24</v>
      </c>
      <c r="Q2592">
        <v>1050</v>
      </c>
      <c r="R2592" t="str">
        <f>"FARMÁCIA INDIANA LJ 06 (10006)"</f>
        <v>FARMÁCIA INDIANA LJ 06 (10006)</v>
      </c>
      <c r="S2592" t="s">
        <v>77</v>
      </c>
      <c r="T2592">
        <v>18371</v>
      </c>
      <c r="U2592">
        <v>21550</v>
      </c>
      <c r="V2592" t="s">
        <v>77</v>
      </c>
    </row>
    <row r="2593" spans="1:22">
      <c r="A2593" t="str">
        <f t="shared" si="475"/>
        <v>18/09/2025</v>
      </c>
      <c r="B2593" t="str">
        <f t="shared" si="474"/>
        <v>SAÍDA</v>
      </c>
      <c r="C2593" t="str">
        <f t="shared" si="476"/>
        <v>PIX</v>
      </c>
      <c r="D2593" t="str">
        <f>"21551"</f>
        <v>21551</v>
      </c>
      <c r="E2593" t="str">
        <f t="shared" si="478"/>
        <v>1</v>
      </c>
      <c r="F2593" t="str">
        <f t="shared" si="473"/>
        <v>COM</v>
      </c>
      <c r="G2593" t="str">
        <f>"MARCOS DIONI RODRIGUES GASPAR (506)"</f>
        <v>MARCOS DIONI RODRIGUES GASPAR (506)</v>
      </c>
      <c r="H2593" t="str">
        <f>"Serv.Prest. 01/09/2025 a 07/09/2025 - PIX: CELULAR - CHAVE: (33) 99815-2379"</f>
        <v>Serv.Prest. 01/09/2025 a 07/09/2025 - PIX: CELULAR - CHAVE: (33) 99815-2379</v>
      </c>
      <c r="I2593" t="str">
        <f t="shared" si="477"/>
        <v>18/09/2025</v>
      </c>
      <c r="J2593" t="str">
        <f t="shared" si="472"/>
        <v>08/09/2025</v>
      </c>
      <c r="K2593" t="str">
        <f>("18/09/2025")</f>
        <v>18/09/2025</v>
      </c>
      <c r="L2593">
        <v>1080</v>
      </c>
      <c r="M2593">
        <v>1080</v>
      </c>
      <c r="N2593">
        <v>109</v>
      </c>
      <c r="O2593" t="str">
        <f>"PAGAMENTO DE ENTREGADORES"</f>
        <v>PAGAMENTO DE ENTREGADORES</v>
      </c>
      <c r="P2593">
        <v>1080</v>
      </c>
      <c r="S2593" t="str">
        <f>"BANCO C6 (149)"</f>
        <v>BANCO C6 (149)</v>
      </c>
      <c r="T2593">
        <v>18372</v>
      </c>
      <c r="U2593">
        <v>21551</v>
      </c>
      <c r="V2593" t="s">
        <v>77</v>
      </c>
    </row>
    <row r="2594" spans="1:22">
      <c r="A2594" t="str">
        <f t="shared" si="475"/>
        <v>18/09/2025</v>
      </c>
      <c r="B2594" t="str">
        <f t="shared" si="474"/>
        <v>SAÍDA</v>
      </c>
      <c r="C2594" t="str">
        <f t="shared" si="476"/>
        <v>PIX</v>
      </c>
      <c r="D2594" t="str">
        <f>"21551"</f>
        <v>21551</v>
      </c>
      <c r="E2594" t="str">
        <f t="shared" si="478"/>
        <v>1</v>
      </c>
      <c r="F2594" t="str">
        <f t="shared" si="473"/>
        <v>COM</v>
      </c>
      <c r="G2594" t="str">
        <f>"MARCOS DIONI RODRIGUES GASPAR (506)"</f>
        <v>MARCOS DIONI RODRIGUES GASPAR (506)</v>
      </c>
      <c r="H2594" t="s">
        <v>684</v>
      </c>
      <c r="I2594" t="str">
        <f t="shared" si="477"/>
        <v>18/09/2025</v>
      </c>
      <c r="J2594" t="str">
        <f t="shared" si="472"/>
        <v>08/09/2025</v>
      </c>
      <c r="K2594">
        <v>45918</v>
      </c>
      <c r="N2594">
        <v>109</v>
      </c>
      <c r="O2594" t="s">
        <v>24</v>
      </c>
      <c r="Q2594">
        <v>1080</v>
      </c>
      <c r="R2594" t="str">
        <f>"FARMÁCIA INDIANA LJ 06 (10006)"</f>
        <v>FARMÁCIA INDIANA LJ 06 (10006)</v>
      </c>
      <c r="S2594" t="s">
        <v>77</v>
      </c>
      <c r="T2594">
        <v>18372</v>
      </c>
      <c r="U2594">
        <v>21551</v>
      </c>
      <c r="V2594" t="s">
        <v>77</v>
      </c>
    </row>
    <row r="2595" spans="1:22">
      <c r="A2595" t="str">
        <f t="shared" si="475"/>
        <v>18/09/2025</v>
      </c>
      <c r="B2595" t="str">
        <f t="shared" si="474"/>
        <v>SAÍDA</v>
      </c>
      <c r="C2595" t="str">
        <f t="shared" si="476"/>
        <v>PIX</v>
      </c>
      <c r="D2595" t="str">
        <f>"21552"</f>
        <v>21552</v>
      </c>
      <c r="E2595" t="str">
        <f t="shared" si="478"/>
        <v>1</v>
      </c>
      <c r="F2595" t="str">
        <f t="shared" si="473"/>
        <v>COM</v>
      </c>
      <c r="G2595" t="str">
        <f>"MARCOS RODRIGUES PENA (64)"</f>
        <v>MARCOS RODRIGUES PENA (64)</v>
      </c>
      <c r="H2595" t="str">
        <f>"Serv.Prest. 01/09/2025 a 07/09/2025 - PIX: CELULAR - CHAVE: (33) 99194-2339"</f>
        <v>Serv.Prest. 01/09/2025 a 07/09/2025 - PIX: CELULAR - CHAVE: (33) 99194-2339</v>
      </c>
      <c r="I2595" t="str">
        <f t="shared" si="477"/>
        <v>18/09/2025</v>
      </c>
      <c r="J2595" t="str">
        <f t="shared" si="472"/>
        <v>08/09/2025</v>
      </c>
      <c r="K2595" t="str">
        <f>("18/09/2025")</f>
        <v>18/09/2025</v>
      </c>
      <c r="L2595">
        <v>605</v>
      </c>
      <c r="M2595">
        <v>605</v>
      </c>
      <c r="N2595">
        <v>109</v>
      </c>
      <c r="O2595" t="str">
        <f>"PAGAMENTO DE ENTREGADORES"</f>
        <v>PAGAMENTO DE ENTREGADORES</v>
      </c>
      <c r="P2595">
        <v>605</v>
      </c>
      <c r="S2595" t="str">
        <f>"BANCO C6 (149)"</f>
        <v>BANCO C6 (149)</v>
      </c>
      <c r="T2595">
        <v>18373</v>
      </c>
      <c r="U2595">
        <v>21552</v>
      </c>
      <c r="V2595" t="s">
        <v>77</v>
      </c>
    </row>
    <row r="2596" spans="1:22">
      <c r="A2596" t="str">
        <f t="shared" si="475"/>
        <v>18/09/2025</v>
      </c>
      <c r="B2596" t="str">
        <f t="shared" si="474"/>
        <v>SAÍDA</v>
      </c>
      <c r="C2596" t="str">
        <f t="shared" si="476"/>
        <v>PIX</v>
      </c>
      <c r="D2596" t="str">
        <f>"21552"</f>
        <v>21552</v>
      </c>
      <c r="E2596" t="str">
        <f t="shared" si="478"/>
        <v>1</v>
      </c>
      <c r="F2596" t="str">
        <f t="shared" si="473"/>
        <v>COM</v>
      </c>
      <c r="G2596" t="str">
        <f>"MARCOS RODRIGUES PENA (64)"</f>
        <v>MARCOS RODRIGUES PENA (64)</v>
      </c>
      <c r="H2596" t="s">
        <v>685</v>
      </c>
      <c r="I2596" t="str">
        <f t="shared" si="477"/>
        <v>18/09/2025</v>
      </c>
      <c r="J2596" t="str">
        <f t="shared" si="472"/>
        <v>08/09/2025</v>
      </c>
      <c r="K2596">
        <v>45918</v>
      </c>
      <c r="N2596">
        <v>109</v>
      </c>
      <c r="O2596" t="s">
        <v>24</v>
      </c>
      <c r="Q2596">
        <v>605</v>
      </c>
      <c r="R2596" t="str">
        <f>"FARMÁCIA INDIANA LJ 62 (10028)"</f>
        <v>FARMÁCIA INDIANA LJ 62 (10028)</v>
      </c>
      <c r="S2596" t="s">
        <v>77</v>
      </c>
      <c r="T2596">
        <v>18373</v>
      </c>
      <c r="U2596">
        <v>21552</v>
      </c>
      <c r="V2596" t="s">
        <v>77</v>
      </c>
    </row>
    <row r="2597" spans="1:22">
      <c r="A2597" t="str">
        <f t="shared" si="475"/>
        <v>18/09/2025</v>
      </c>
      <c r="B2597" t="str">
        <f t="shared" si="474"/>
        <v>SAÍDA</v>
      </c>
      <c r="C2597" t="str">
        <f t="shared" si="476"/>
        <v>PIX</v>
      </c>
      <c r="D2597" t="str">
        <f>"21553"</f>
        <v>21553</v>
      </c>
      <c r="E2597" t="str">
        <f t="shared" si="478"/>
        <v>1</v>
      </c>
      <c r="F2597" t="str">
        <f t="shared" si="473"/>
        <v>COM</v>
      </c>
      <c r="G2597" t="str">
        <f>"MATEUS JADSON SANTANA RIBEIRO (769)"</f>
        <v>MATEUS JADSON SANTANA RIBEIRO (769)</v>
      </c>
      <c r="H2597" t="str">
        <f>"Serv.Prest. 01/09/2025 a 07/09/2025 - PIX: CPF - CHAVE: 705.849.816-43"</f>
        <v>Serv.Prest. 01/09/2025 a 07/09/2025 - PIX: CPF - CHAVE: 705.849.816-43</v>
      </c>
      <c r="I2597" t="str">
        <f t="shared" si="477"/>
        <v>18/09/2025</v>
      </c>
      <c r="J2597" t="str">
        <f t="shared" si="472"/>
        <v>08/09/2025</v>
      </c>
      <c r="K2597" t="str">
        <f>("18/09/2025")</f>
        <v>18/09/2025</v>
      </c>
      <c r="L2597">
        <v>97.66</v>
      </c>
      <c r="M2597">
        <v>97.66</v>
      </c>
      <c r="N2597">
        <v>109</v>
      </c>
      <c r="O2597" t="str">
        <f>"PAGAMENTO DE ENTREGADORES"</f>
        <v>PAGAMENTO DE ENTREGADORES</v>
      </c>
      <c r="P2597">
        <v>97.66</v>
      </c>
      <c r="S2597" t="str">
        <f>"BANCO C6 (149)"</f>
        <v>BANCO C6 (149)</v>
      </c>
      <c r="T2597">
        <v>18374</v>
      </c>
      <c r="U2597">
        <v>21553</v>
      </c>
      <c r="V2597" t="s">
        <v>77</v>
      </c>
    </row>
    <row r="2598" spans="1:22">
      <c r="A2598" t="str">
        <f t="shared" si="475"/>
        <v>18/09/2025</v>
      </c>
      <c r="B2598" t="str">
        <f t="shared" si="474"/>
        <v>SAÍDA</v>
      </c>
      <c r="C2598" t="str">
        <f t="shared" si="476"/>
        <v>PIX</v>
      </c>
      <c r="D2598" t="str">
        <f>"21553"</f>
        <v>21553</v>
      </c>
      <c r="E2598" t="str">
        <f t="shared" si="478"/>
        <v>1</v>
      </c>
      <c r="F2598" t="str">
        <f t="shared" si="473"/>
        <v>COM</v>
      </c>
      <c r="G2598" t="str">
        <f>"MATEUS JADSON SANTANA RIBEIRO (769)"</f>
        <v>MATEUS JADSON SANTANA RIBEIRO (769)</v>
      </c>
      <c r="H2598" t="s">
        <v>413</v>
      </c>
      <c r="I2598" t="str">
        <f t="shared" si="477"/>
        <v>18/09/2025</v>
      </c>
      <c r="J2598" t="str">
        <f t="shared" si="472"/>
        <v>08/09/2025</v>
      </c>
      <c r="K2598">
        <v>45918</v>
      </c>
      <c r="N2598">
        <v>109</v>
      </c>
      <c r="O2598" t="s">
        <v>24</v>
      </c>
      <c r="Q2598">
        <v>97.66</v>
      </c>
      <c r="R2598" t="str">
        <f>"FARMÁCIA INDIANA LJ 07 (10007)"</f>
        <v>FARMÁCIA INDIANA LJ 07 (10007)</v>
      </c>
      <c r="S2598" t="s">
        <v>77</v>
      </c>
      <c r="T2598">
        <v>18374</v>
      </c>
      <c r="U2598">
        <v>21553</v>
      </c>
      <c r="V2598" t="s">
        <v>77</v>
      </c>
    </row>
    <row r="2599" spans="1:22">
      <c r="A2599" t="str">
        <f t="shared" si="475"/>
        <v>18/09/2025</v>
      </c>
      <c r="B2599" t="str">
        <f t="shared" si="474"/>
        <v>SAÍDA</v>
      </c>
      <c r="C2599" t="str">
        <f t="shared" si="476"/>
        <v>PIX</v>
      </c>
      <c r="D2599" t="str">
        <f>"21554"</f>
        <v>21554</v>
      </c>
      <c r="E2599" t="str">
        <f t="shared" si="478"/>
        <v>1</v>
      </c>
      <c r="F2599" t="str">
        <f t="shared" si="473"/>
        <v>COM</v>
      </c>
      <c r="G2599" t="str">
        <f>"MATHEUS ALMEIDA RAMOS (47)"</f>
        <v>MATHEUS ALMEIDA RAMOS (47)</v>
      </c>
      <c r="H2599" t="str">
        <f>"Serv.Prest. 01/09/2025 a 07/09/2025 - PIX: CELULAR - CHAVE: (33) 98884-1637"</f>
        <v>Serv.Prest. 01/09/2025 a 07/09/2025 - PIX: CELULAR - CHAVE: (33) 98884-1637</v>
      </c>
      <c r="I2599" t="str">
        <f t="shared" si="477"/>
        <v>18/09/2025</v>
      </c>
      <c r="J2599" t="str">
        <f t="shared" si="472"/>
        <v>08/09/2025</v>
      </c>
      <c r="K2599" t="str">
        <f>("18/09/2025")</f>
        <v>18/09/2025</v>
      </c>
      <c r="L2599">
        <v>135.66</v>
      </c>
      <c r="M2599">
        <v>135.66</v>
      </c>
      <c r="N2599">
        <v>109</v>
      </c>
      <c r="O2599" t="str">
        <f>"PAGAMENTO DE ENTREGADORES"</f>
        <v>PAGAMENTO DE ENTREGADORES</v>
      </c>
      <c r="P2599">
        <v>135.66</v>
      </c>
      <c r="S2599" t="str">
        <f>"BANCO C6 (149)"</f>
        <v>BANCO C6 (149)</v>
      </c>
      <c r="T2599">
        <v>18375</v>
      </c>
      <c r="U2599">
        <v>21554</v>
      </c>
      <c r="V2599" t="s">
        <v>77</v>
      </c>
    </row>
    <row r="2600" spans="1:22">
      <c r="A2600" t="str">
        <f t="shared" si="475"/>
        <v>18/09/2025</v>
      </c>
      <c r="B2600" t="str">
        <f t="shared" si="474"/>
        <v>SAÍDA</v>
      </c>
      <c r="C2600" t="str">
        <f t="shared" si="476"/>
        <v>PIX</v>
      </c>
      <c r="D2600" t="str">
        <f>"21554"</f>
        <v>21554</v>
      </c>
      <c r="E2600" t="str">
        <f t="shared" si="478"/>
        <v>1</v>
      </c>
      <c r="F2600" t="str">
        <f t="shared" si="473"/>
        <v>COM</v>
      </c>
      <c r="G2600" t="str">
        <f>"MATHEUS ALMEIDA RAMOS (47)"</f>
        <v>MATHEUS ALMEIDA RAMOS (47)</v>
      </c>
      <c r="H2600" t="s">
        <v>604</v>
      </c>
      <c r="I2600" t="str">
        <f t="shared" si="477"/>
        <v>18/09/2025</v>
      </c>
      <c r="J2600" t="str">
        <f t="shared" si="472"/>
        <v>08/09/2025</v>
      </c>
      <c r="K2600">
        <v>45918</v>
      </c>
      <c r="N2600">
        <v>109</v>
      </c>
      <c r="O2600" t="s">
        <v>24</v>
      </c>
      <c r="Q2600">
        <v>135.66</v>
      </c>
      <c r="R2600" t="str">
        <f>"FARMÁCIA INDIANA LJ 07 (10007)"</f>
        <v>FARMÁCIA INDIANA LJ 07 (10007)</v>
      </c>
      <c r="S2600" t="s">
        <v>77</v>
      </c>
      <c r="T2600">
        <v>18375</v>
      </c>
      <c r="U2600">
        <v>21554</v>
      </c>
      <c r="V2600" t="s">
        <v>77</v>
      </c>
    </row>
    <row r="2601" spans="1:22">
      <c r="A2601" t="str">
        <f t="shared" si="475"/>
        <v>18/09/2025</v>
      </c>
      <c r="B2601" t="str">
        <f t="shared" si="474"/>
        <v>SAÍDA</v>
      </c>
      <c r="C2601" t="str">
        <f t="shared" si="476"/>
        <v>PIX</v>
      </c>
      <c r="D2601" t="str">
        <f>"21555"</f>
        <v>21555</v>
      </c>
      <c r="E2601" t="str">
        <f t="shared" si="478"/>
        <v>1</v>
      </c>
      <c r="F2601" t="str">
        <f t="shared" si="473"/>
        <v>COM</v>
      </c>
      <c r="G2601" t="str">
        <f>"MATHEUS VIEIRA DA SILVA (886)"</f>
        <v>MATHEUS VIEIRA DA SILVA (886)</v>
      </c>
      <c r="H2601" t="str">
        <f>"Serv.Prest. 01/09/2025 a 07/09/2025 - PIX: E-MAIL - CHAVE: meamatheusvieira@gmail.com"</f>
        <v>Serv.Prest. 01/09/2025 a 07/09/2025 - PIX: E-MAIL - CHAVE: meamatheusvieira@gmail.com</v>
      </c>
      <c r="I2601" t="str">
        <f t="shared" si="477"/>
        <v>18/09/2025</v>
      </c>
      <c r="J2601" t="str">
        <f t="shared" ref="J2601:J2664" si="479">("08/09/2025")</f>
        <v>08/09/2025</v>
      </c>
      <c r="K2601" t="str">
        <f>("18/09/2025")</f>
        <v>18/09/2025</v>
      </c>
      <c r="L2601">
        <v>1254</v>
      </c>
      <c r="M2601">
        <v>1254</v>
      </c>
      <c r="N2601">
        <v>109</v>
      </c>
      <c r="O2601" t="str">
        <f>"PAGAMENTO DE ENTREGADORES"</f>
        <v>PAGAMENTO DE ENTREGADORES</v>
      </c>
      <c r="P2601">
        <v>1254</v>
      </c>
      <c r="S2601" t="str">
        <f>"BANCO C6 (149)"</f>
        <v>BANCO C6 (149)</v>
      </c>
      <c r="T2601">
        <v>18376</v>
      </c>
      <c r="U2601">
        <v>21555</v>
      </c>
      <c r="V2601" t="s">
        <v>77</v>
      </c>
    </row>
    <row r="2602" spans="1:22">
      <c r="A2602" t="str">
        <f t="shared" si="475"/>
        <v>18/09/2025</v>
      </c>
      <c r="B2602" t="str">
        <f t="shared" si="474"/>
        <v>SAÍDA</v>
      </c>
      <c r="C2602" t="str">
        <f t="shared" si="476"/>
        <v>PIX</v>
      </c>
      <c r="D2602" t="str">
        <f>"21555"</f>
        <v>21555</v>
      </c>
      <c r="E2602" t="str">
        <f t="shared" si="478"/>
        <v>1</v>
      </c>
      <c r="F2602" t="str">
        <f t="shared" si="473"/>
        <v>COM</v>
      </c>
      <c r="G2602" t="str">
        <f>"MATHEUS VIEIRA DA SILVA (886)"</f>
        <v>MATHEUS VIEIRA DA SILVA (886)</v>
      </c>
      <c r="H2602" t="s">
        <v>686</v>
      </c>
      <c r="I2602" t="str">
        <f t="shared" si="477"/>
        <v>18/09/2025</v>
      </c>
      <c r="J2602" t="str">
        <f t="shared" si="479"/>
        <v>08/09/2025</v>
      </c>
      <c r="K2602">
        <v>45918</v>
      </c>
      <c r="N2602">
        <v>109</v>
      </c>
      <c r="O2602" t="s">
        <v>24</v>
      </c>
      <c r="Q2602">
        <v>1254</v>
      </c>
      <c r="R2602" t="str">
        <f>"FARMÁCIA INDIANA LJ 07 (10007)"</f>
        <v>FARMÁCIA INDIANA LJ 07 (10007)</v>
      </c>
      <c r="S2602" t="s">
        <v>77</v>
      </c>
      <c r="T2602">
        <v>18376</v>
      </c>
      <c r="U2602">
        <v>21555</v>
      </c>
      <c r="V2602" t="s">
        <v>77</v>
      </c>
    </row>
    <row r="2603" spans="1:22">
      <c r="A2603" t="str">
        <f t="shared" si="475"/>
        <v>18/09/2025</v>
      </c>
      <c r="B2603" t="str">
        <f t="shared" si="474"/>
        <v>SAÍDA</v>
      </c>
      <c r="C2603" t="str">
        <f t="shared" si="476"/>
        <v>PIX</v>
      </c>
      <c r="D2603" t="str">
        <f>"21556"</f>
        <v>21556</v>
      </c>
      <c r="E2603" t="str">
        <f t="shared" si="478"/>
        <v>1</v>
      </c>
      <c r="F2603" t="str">
        <f t="shared" si="473"/>
        <v>COM</v>
      </c>
      <c r="G2603" t="str">
        <f>"MAURO AUGUSTO MACHADO DE ASSIS (767)"</f>
        <v>MAURO AUGUSTO MACHADO DE ASSIS (767)</v>
      </c>
      <c r="H2603" t="str">
        <f>"Serv.Prest. 01/09/2025 a 07/09/2025 - PIX: CPF - CHAVE: 163.330.766-27"</f>
        <v>Serv.Prest. 01/09/2025 a 07/09/2025 - PIX: CPF - CHAVE: 163.330.766-27</v>
      </c>
      <c r="I2603" t="str">
        <f t="shared" si="477"/>
        <v>18/09/2025</v>
      </c>
      <c r="J2603" t="str">
        <f t="shared" si="479"/>
        <v>08/09/2025</v>
      </c>
      <c r="K2603" t="str">
        <f>("18/09/2025")</f>
        <v>18/09/2025</v>
      </c>
      <c r="L2603">
        <v>1518</v>
      </c>
      <c r="M2603">
        <v>1518</v>
      </c>
      <c r="N2603">
        <v>109</v>
      </c>
      <c r="O2603" t="str">
        <f>"PAGAMENTO DE ENTREGADORES"</f>
        <v>PAGAMENTO DE ENTREGADORES</v>
      </c>
      <c r="P2603">
        <v>1518</v>
      </c>
      <c r="S2603" t="str">
        <f>"BANCO C6 (149)"</f>
        <v>BANCO C6 (149)</v>
      </c>
      <c r="T2603">
        <v>18377</v>
      </c>
      <c r="U2603">
        <v>21556</v>
      </c>
      <c r="V2603" t="s">
        <v>77</v>
      </c>
    </row>
    <row r="2604" spans="1:22">
      <c r="A2604" t="str">
        <f t="shared" si="475"/>
        <v>18/09/2025</v>
      </c>
      <c r="B2604" t="str">
        <f t="shared" si="474"/>
        <v>SAÍDA</v>
      </c>
      <c r="C2604" t="str">
        <f t="shared" si="476"/>
        <v>PIX</v>
      </c>
      <c r="D2604" t="str">
        <f>"21556"</f>
        <v>21556</v>
      </c>
      <c r="E2604" t="str">
        <f t="shared" si="478"/>
        <v>1</v>
      </c>
      <c r="F2604" t="str">
        <f t="shared" si="473"/>
        <v>COM</v>
      </c>
      <c r="G2604" t="str">
        <f>"MAURO AUGUSTO MACHADO DE ASSIS (767)"</f>
        <v>MAURO AUGUSTO MACHADO DE ASSIS (767)</v>
      </c>
      <c r="H2604" t="s">
        <v>687</v>
      </c>
      <c r="I2604" t="str">
        <f t="shared" si="477"/>
        <v>18/09/2025</v>
      </c>
      <c r="J2604" t="str">
        <f t="shared" si="479"/>
        <v>08/09/2025</v>
      </c>
      <c r="K2604">
        <v>45918</v>
      </c>
      <c r="N2604">
        <v>109</v>
      </c>
      <c r="O2604" t="s">
        <v>24</v>
      </c>
      <c r="Q2604">
        <v>702.07</v>
      </c>
      <c r="R2604" t="str">
        <f>"FARMÁCIA INDIANA LJ 11 (10008)"</f>
        <v>FARMÁCIA INDIANA LJ 11 (10008)</v>
      </c>
      <c r="S2604" t="s">
        <v>77</v>
      </c>
      <c r="T2604">
        <v>18377</v>
      </c>
      <c r="U2604">
        <v>21556</v>
      </c>
      <c r="V2604" t="s">
        <v>77</v>
      </c>
    </row>
    <row r="2605" spans="1:22">
      <c r="A2605" t="str">
        <f t="shared" si="475"/>
        <v>18/09/2025</v>
      </c>
      <c r="B2605" t="str">
        <f t="shared" si="474"/>
        <v>SAÍDA</v>
      </c>
      <c r="C2605" t="str">
        <f t="shared" si="476"/>
        <v>PIX</v>
      </c>
      <c r="D2605" t="str">
        <f>"21556"</f>
        <v>21556</v>
      </c>
      <c r="E2605" t="str">
        <f t="shared" si="478"/>
        <v>1</v>
      </c>
      <c r="F2605" t="str">
        <f t="shared" si="473"/>
        <v>COM</v>
      </c>
      <c r="G2605" t="str">
        <f>"MAURO AUGUSTO MACHADO DE ASSIS (767)"</f>
        <v>MAURO AUGUSTO MACHADO DE ASSIS (767)</v>
      </c>
      <c r="H2605" t="s">
        <v>687</v>
      </c>
      <c r="I2605" t="str">
        <f t="shared" si="477"/>
        <v>18/09/2025</v>
      </c>
      <c r="J2605" t="str">
        <f t="shared" si="479"/>
        <v>08/09/2025</v>
      </c>
      <c r="K2605">
        <v>45918</v>
      </c>
      <c r="N2605">
        <v>109</v>
      </c>
      <c r="O2605" t="s">
        <v>24</v>
      </c>
      <c r="Q2605">
        <v>815.93</v>
      </c>
      <c r="R2605" t="str">
        <f>"FARMÁCIA INDIANA LJ 172 (10161)"</f>
        <v>FARMÁCIA INDIANA LJ 172 (10161)</v>
      </c>
      <c r="S2605" t="s">
        <v>77</v>
      </c>
      <c r="T2605">
        <v>18377</v>
      </c>
      <c r="U2605">
        <v>21556</v>
      </c>
      <c r="V2605" t="s">
        <v>77</v>
      </c>
    </row>
    <row r="2606" spans="1:22">
      <c r="A2606" t="str">
        <f t="shared" si="475"/>
        <v>18/09/2025</v>
      </c>
      <c r="B2606" t="str">
        <f t="shared" si="474"/>
        <v>SAÍDA</v>
      </c>
      <c r="C2606" t="str">
        <f t="shared" si="476"/>
        <v>PIX</v>
      </c>
      <c r="D2606" t="str">
        <f>"21557"</f>
        <v>21557</v>
      </c>
      <c r="E2606" t="str">
        <f t="shared" si="478"/>
        <v>1</v>
      </c>
      <c r="F2606" t="str">
        <f t="shared" si="473"/>
        <v>COM</v>
      </c>
      <c r="G2606" t="str">
        <f>"MAXWEL BORGES PIRES (733)"</f>
        <v>MAXWEL BORGES PIRES (733)</v>
      </c>
      <c r="H2606" t="str">
        <f>"Serv.Prest. 01/09/2025 a 07/09/2025 - PIX: E-MAIL - CHAVE: maxwel.borges14@gmail.com"</f>
        <v>Serv.Prest. 01/09/2025 a 07/09/2025 - PIX: E-MAIL - CHAVE: maxwel.borges14@gmail.com</v>
      </c>
      <c r="I2606" t="str">
        <f t="shared" si="477"/>
        <v>18/09/2025</v>
      </c>
      <c r="J2606" t="str">
        <f t="shared" si="479"/>
        <v>08/09/2025</v>
      </c>
      <c r="K2606" t="str">
        <f>("18/09/2025")</f>
        <v>18/09/2025</v>
      </c>
      <c r="L2606">
        <v>42</v>
      </c>
      <c r="M2606">
        <v>42</v>
      </c>
      <c r="N2606">
        <v>109</v>
      </c>
      <c r="O2606" t="str">
        <f>"PAGAMENTO DE ENTREGADORES"</f>
        <v>PAGAMENTO DE ENTREGADORES</v>
      </c>
      <c r="P2606">
        <v>42</v>
      </c>
      <c r="S2606" t="str">
        <f>"BANCO C6 (149)"</f>
        <v>BANCO C6 (149)</v>
      </c>
      <c r="T2606">
        <v>18378</v>
      </c>
      <c r="U2606">
        <v>21557</v>
      </c>
      <c r="V2606" t="s">
        <v>77</v>
      </c>
    </row>
    <row r="2607" spans="1:22">
      <c r="A2607" t="str">
        <f t="shared" si="475"/>
        <v>18/09/2025</v>
      </c>
      <c r="B2607" t="str">
        <f t="shared" si="474"/>
        <v>SAÍDA</v>
      </c>
      <c r="C2607" t="str">
        <f t="shared" si="476"/>
        <v>PIX</v>
      </c>
      <c r="D2607" t="str">
        <f>"21557"</f>
        <v>21557</v>
      </c>
      <c r="E2607" t="str">
        <f t="shared" si="478"/>
        <v>1</v>
      </c>
      <c r="F2607" t="str">
        <f t="shared" si="473"/>
        <v>COM</v>
      </c>
      <c r="G2607" t="str">
        <f>"MAXWEL BORGES PIRES (733)"</f>
        <v>MAXWEL BORGES PIRES (733)</v>
      </c>
      <c r="H2607" t="s">
        <v>688</v>
      </c>
      <c r="I2607" t="str">
        <f t="shared" si="477"/>
        <v>18/09/2025</v>
      </c>
      <c r="J2607" t="str">
        <f t="shared" si="479"/>
        <v>08/09/2025</v>
      </c>
      <c r="K2607">
        <v>45918</v>
      </c>
      <c r="N2607">
        <v>109</v>
      </c>
      <c r="O2607" t="s">
        <v>24</v>
      </c>
      <c r="Q2607">
        <v>42</v>
      </c>
      <c r="R2607" t="str">
        <f>"FARMÁCIA INDIANA LJ 07 (10007)"</f>
        <v>FARMÁCIA INDIANA LJ 07 (10007)</v>
      </c>
      <c r="S2607" t="s">
        <v>77</v>
      </c>
      <c r="T2607">
        <v>18378</v>
      </c>
      <c r="U2607">
        <v>21557</v>
      </c>
      <c r="V2607" t="s">
        <v>77</v>
      </c>
    </row>
    <row r="2608" spans="1:22">
      <c r="A2608" t="str">
        <f t="shared" si="475"/>
        <v>18/09/2025</v>
      </c>
      <c r="B2608" t="str">
        <f t="shared" si="474"/>
        <v>SAÍDA</v>
      </c>
      <c r="C2608" t="str">
        <f t="shared" si="476"/>
        <v>PIX</v>
      </c>
      <c r="D2608" t="str">
        <f>"21558"</f>
        <v>21558</v>
      </c>
      <c r="E2608" t="str">
        <f t="shared" si="478"/>
        <v>1</v>
      </c>
      <c r="F2608" t="str">
        <f t="shared" si="473"/>
        <v>COM</v>
      </c>
      <c r="G2608" t="str">
        <f>"MAYCON GUILHERME DUARTE (541)"</f>
        <v>MAYCON GUILHERME DUARTE (541)</v>
      </c>
      <c r="H2608" t="str">
        <f>"Serv.Prest. 01/09/2025 a 07/09/2025 - PIX: CELULAR - CHAVE: (31) 99076-6539"</f>
        <v>Serv.Prest. 01/09/2025 a 07/09/2025 - PIX: CELULAR - CHAVE: (31) 99076-6539</v>
      </c>
      <c r="I2608" t="str">
        <f t="shared" si="477"/>
        <v>18/09/2025</v>
      </c>
      <c r="J2608" t="str">
        <f t="shared" si="479"/>
        <v>08/09/2025</v>
      </c>
      <c r="K2608" t="str">
        <f>("18/09/2025")</f>
        <v>18/09/2025</v>
      </c>
      <c r="L2608">
        <v>1272</v>
      </c>
      <c r="M2608">
        <v>1272</v>
      </c>
      <c r="N2608">
        <v>109</v>
      </c>
      <c r="O2608" t="str">
        <f>"PAGAMENTO DE ENTREGADORES"</f>
        <v>PAGAMENTO DE ENTREGADORES</v>
      </c>
      <c r="P2608">
        <v>1272</v>
      </c>
      <c r="S2608" t="str">
        <f>"BANCO C6 (149)"</f>
        <v>BANCO C6 (149)</v>
      </c>
      <c r="T2608">
        <v>18379</v>
      </c>
      <c r="U2608">
        <v>21558</v>
      </c>
      <c r="V2608" t="s">
        <v>77</v>
      </c>
    </row>
    <row r="2609" spans="1:22">
      <c r="A2609" t="str">
        <f t="shared" si="475"/>
        <v>18/09/2025</v>
      </c>
      <c r="B2609" t="str">
        <f t="shared" si="474"/>
        <v>SAÍDA</v>
      </c>
      <c r="C2609" t="str">
        <f t="shared" si="476"/>
        <v>PIX</v>
      </c>
      <c r="D2609" t="str">
        <f>"21558"</f>
        <v>21558</v>
      </c>
      <c r="E2609" t="str">
        <f t="shared" si="478"/>
        <v>1</v>
      </c>
      <c r="F2609" t="str">
        <f t="shared" si="473"/>
        <v>COM</v>
      </c>
      <c r="G2609" t="str">
        <f>"MAYCON GUILHERME DUARTE (541)"</f>
        <v>MAYCON GUILHERME DUARTE (541)</v>
      </c>
      <c r="H2609" t="s">
        <v>689</v>
      </c>
      <c r="I2609" t="str">
        <f t="shared" si="477"/>
        <v>18/09/2025</v>
      </c>
      <c r="J2609" t="str">
        <f t="shared" si="479"/>
        <v>08/09/2025</v>
      </c>
      <c r="K2609">
        <v>45918</v>
      </c>
      <c r="N2609">
        <v>109</v>
      </c>
      <c r="O2609" t="s">
        <v>24</v>
      </c>
      <c r="Q2609">
        <v>1272</v>
      </c>
      <c r="R2609" t="str">
        <f>"FARMÁCIA INDIANA LJ 220 (10092)"</f>
        <v>FARMÁCIA INDIANA LJ 220 (10092)</v>
      </c>
      <c r="S2609" t="s">
        <v>77</v>
      </c>
      <c r="T2609">
        <v>18379</v>
      </c>
      <c r="U2609">
        <v>21558</v>
      </c>
      <c r="V2609" t="s">
        <v>77</v>
      </c>
    </row>
    <row r="2610" spans="1:22">
      <c r="A2610" t="str">
        <f t="shared" si="475"/>
        <v>18/09/2025</v>
      </c>
      <c r="B2610" t="str">
        <f t="shared" si="474"/>
        <v>SAÍDA</v>
      </c>
      <c r="C2610" t="str">
        <f t="shared" si="476"/>
        <v>PIX</v>
      </c>
      <c r="D2610" t="str">
        <f>"21559"</f>
        <v>21559</v>
      </c>
      <c r="E2610" t="str">
        <f t="shared" si="478"/>
        <v>1</v>
      </c>
      <c r="F2610" t="str">
        <f t="shared" si="473"/>
        <v>COM</v>
      </c>
      <c r="G2610" t="str">
        <f>"MIGUEL PESSOA RAMOS (68)"</f>
        <v>MIGUEL PESSOA RAMOS (68)</v>
      </c>
      <c r="H2610" t="str">
        <f>"Serv.Prest. 01/09/2025 a 07/09/2025 - PIX: CELULAR - CHAVE: (33) 99845-0493"</f>
        <v>Serv.Prest. 01/09/2025 a 07/09/2025 - PIX: CELULAR - CHAVE: (33) 99845-0493</v>
      </c>
      <c r="I2610" t="str">
        <f t="shared" si="477"/>
        <v>18/09/2025</v>
      </c>
      <c r="J2610" t="str">
        <f t="shared" si="479"/>
        <v>08/09/2025</v>
      </c>
      <c r="K2610" t="str">
        <f>("18/09/2025")</f>
        <v>18/09/2025</v>
      </c>
      <c r="L2610">
        <v>678</v>
      </c>
      <c r="M2610">
        <v>678</v>
      </c>
      <c r="N2610">
        <v>109</v>
      </c>
      <c r="O2610" t="str">
        <f>"PAGAMENTO DE ENTREGADORES"</f>
        <v>PAGAMENTO DE ENTREGADORES</v>
      </c>
      <c r="P2610">
        <v>678</v>
      </c>
      <c r="S2610" t="str">
        <f>"BANCO C6 (149)"</f>
        <v>BANCO C6 (149)</v>
      </c>
      <c r="T2610">
        <v>18380</v>
      </c>
      <c r="U2610">
        <v>21559</v>
      </c>
      <c r="V2610" t="s">
        <v>77</v>
      </c>
    </row>
    <row r="2611" spans="1:22">
      <c r="A2611" t="str">
        <f t="shared" si="475"/>
        <v>18/09/2025</v>
      </c>
      <c r="B2611" t="str">
        <f t="shared" si="474"/>
        <v>SAÍDA</v>
      </c>
      <c r="C2611" t="str">
        <f t="shared" si="476"/>
        <v>PIX</v>
      </c>
      <c r="D2611" t="str">
        <f>"21559"</f>
        <v>21559</v>
      </c>
      <c r="E2611" t="str">
        <f t="shared" si="478"/>
        <v>1</v>
      </c>
      <c r="F2611" t="str">
        <f t="shared" si="473"/>
        <v>COM</v>
      </c>
      <c r="G2611" t="str">
        <f>"MIGUEL PESSOA RAMOS (68)"</f>
        <v>MIGUEL PESSOA RAMOS (68)</v>
      </c>
      <c r="H2611" t="s">
        <v>690</v>
      </c>
      <c r="I2611" t="str">
        <f t="shared" si="477"/>
        <v>18/09/2025</v>
      </c>
      <c r="J2611" t="str">
        <f t="shared" si="479"/>
        <v>08/09/2025</v>
      </c>
      <c r="K2611">
        <v>45918</v>
      </c>
      <c r="N2611">
        <v>109</v>
      </c>
      <c r="O2611" t="s">
        <v>24</v>
      </c>
      <c r="Q2611">
        <v>678</v>
      </c>
      <c r="R2611" t="str">
        <f>"FARMÁCIA INDIANA LJ 07 (10007)"</f>
        <v>FARMÁCIA INDIANA LJ 07 (10007)</v>
      </c>
      <c r="S2611" t="s">
        <v>77</v>
      </c>
      <c r="T2611">
        <v>18380</v>
      </c>
      <c r="U2611">
        <v>21559</v>
      </c>
      <c r="V2611" t="s">
        <v>77</v>
      </c>
    </row>
    <row r="2612" spans="1:22">
      <c r="A2612" t="str">
        <f t="shared" si="475"/>
        <v>18/09/2025</v>
      </c>
      <c r="B2612" t="str">
        <f t="shared" si="474"/>
        <v>SAÍDA</v>
      </c>
      <c r="C2612" t="str">
        <f t="shared" si="476"/>
        <v>PIX</v>
      </c>
      <c r="D2612" t="str">
        <f>"21560"</f>
        <v>21560</v>
      </c>
      <c r="E2612" t="str">
        <f t="shared" si="478"/>
        <v>1</v>
      </c>
      <c r="F2612" t="str">
        <f t="shared" si="473"/>
        <v>COM</v>
      </c>
      <c r="G2612" t="str">
        <f>"MURILO BARRETO AFONSO (30)"</f>
        <v>MURILO BARRETO AFONSO (30)</v>
      </c>
      <c r="H2612" t="str">
        <f>"Serv.Prest. 01/09/2025 a 07/09/2025 - PIX: CPF - CHAVE: 123.020.026-60"</f>
        <v>Serv.Prest. 01/09/2025 a 07/09/2025 - PIX: CPF - CHAVE: 123.020.026-60</v>
      </c>
      <c r="I2612" t="str">
        <f t="shared" si="477"/>
        <v>18/09/2025</v>
      </c>
      <c r="J2612" t="str">
        <f t="shared" si="479"/>
        <v>08/09/2025</v>
      </c>
      <c r="K2612" t="str">
        <f>("18/09/2025")</f>
        <v>18/09/2025</v>
      </c>
      <c r="L2612">
        <v>2130</v>
      </c>
      <c r="M2612">
        <v>2130</v>
      </c>
      <c r="N2612">
        <v>109</v>
      </c>
      <c r="O2612" t="str">
        <f>"PAGAMENTO DE ENTREGADORES"</f>
        <v>PAGAMENTO DE ENTREGADORES</v>
      </c>
      <c r="P2612">
        <v>2130</v>
      </c>
      <c r="S2612" t="str">
        <f>"BANCO C6 (149)"</f>
        <v>BANCO C6 (149)</v>
      </c>
      <c r="T2612">
        <v>18381</v>
      </c>
      <c r="U2612">
        <v>21560</v>
      </c>
      <c r="V2612" t="s">
        <v>77</v>
      </c>
    </row>
    <row r="2613" spans="1:22">
      <c r="A2613" t="str">
        <f t="shared" si="475"/>
        <v>18/09/2025</v>
      </c>
      <c r="B2613" t="str">
        <f t="shared" si="474"/>
        <v>SAÍDA</v>
      </c>
      <c r="C2613" t="str">
        <f t="shared" si="476"/>
        <v>PIX</v>
      </c>
      <c r="D2613" t="str">
        <f>"21560"</f>
        <v>21560</v>
      </c>
      <c r="E2613" t="str">
        <f t="shared" si="478"/>
        <v>1</v>
      </c>
      <c r="F2613" t="str">
        <f t="shared" si="473"/>
        <v>COM</v>
      </c>
      <c r="G2613" t="str">
        <f>"MURILO BARRETO AFONSO (30)"</f>
        <v>MURILO BARRETO AFONSO (30)</v>
      </c>
      <c r="H2613" t="s">
        <v>691</v>
      </c>
      <c r="I2613" t="str">
        <f t="shared" si="477"/>
        <v>18/09/2025</v>
      </c>
      <c r="J2613" t="str">
        <f t="shared" si="479"/>
        <v>08/09/2025</v>
      </c>
      <c r="K2613">
        <v>45918</v>
      </c>
      <c r="N2613">
        <v>109</v>
      </c>
      <c r="O2613" t="s">
        <v>24</v>
      </c>
      <c r="Q2613">
        <v>1109.94</v>
      </c>
      <c r="R2613" t="str">
        <f>"FARMÁCIA INDIANA LJ 118 (10052)"</f>
        <v>FARMÁCIA INDIANA LJ 118 (10052)</v>
      </c>
      <c r="S2613" t="s">
        <v>77</v>
      </c>
      <c r="T2613">
        <v>18381</v>
      </c>
      <c r="U2613">
        <v>21560</v>
      </c>
      <c r="V2613" t="s">
        <v>77</v>
      </c>
    </row>
    <row r="2614" spans="1:22">
      <c r="A2614" t="str">
        <f t="shared" si="475"/>
        <v>18/09/2025</v>
      </c>
      <c r="B2614" t="str">
        <f t="shared" si="474"/>
        <v>SAÍDA</v>
      </c>
      <c r="C2614" t="str">
        <f t="shared" si="476"/>
        <v>PIX</v>
      </c>
      <c r="D2614" t="str">
        <f>"21560"</f>
        <v>21560</v>
      </c>
      <c r="E2614" t="str">
        <f t="shared" si="478"/>
        <v>1</v>
      </c>
      <c r="F2614" t="str">
        <f t="shared" si="473"/>
        <v>COM</v>
      </c>
      <c r="G2614" t="str">
        <f>"MURILO BARRETO AFONSO (30)"</f>
        <v>MURILO BARRETO AFONSO (30)</v>
      </c>
      <c r="H2614" t="s">
        <v>691</v>
      </c>
      <c r="I2614" t="str">
        <f t="shared" si="477"/>
        <v>18/09/2025</v>
      </c>
      <c r="J2614" t="str">
        <f t="shared" si="479"/>
        <v>08/09/2025</v>
      </c>
      <c r="K2614">
        <v>45918</v>
      </c>
      <c r="N2614">
        <v>109</v>
      </c>
      <c r="O2614" t="s">
        <v>24</v>
      </c>
      <c r="Q2614">
        <v>1020.06</v>
      </c>
      <c r="R2614" t="str">
        <f>"FARMÁCIA INDIANA LJ 192 (10082)"</f>
        <v>FARMÁCIA INDIANA LJ 192 (10082)</v>
      </c>
      <c r="S2614" t="s">
        <v>77</v>
      </c>
      <c r="T2614">
        <v>18381</v>
      </c>
      <c r="U2614">
        <v>21560</v>
      </c>
      <c r="V2614" t="s">
        <v>77</v>
      </c>
    </row>
    <row r="2615" spans="1:22">
      <c r="A2615" t="str">
        <f t="shared" si="475"/>
        <v>18/09/2025</v>
      </c>
      <c r="B2615" t="str">
        <f t="shared" si="474"/>
        <v>SAÍDA</v>
      </c>
      <c r="C2615" t="str">
        <f t="shared" si="476"/>
        <v>PIX</v>
      </c>
      <c r="D2615" t="str">
        <f>"21561"</f>
        <v>21561</v>
      </c>
      <c r="E2615" t="str">
        <f t="shared" si="478"/>
        <v>1</v>
      </c>
      <c r="F2615" t="str">
        <f t="shared" si="473"/>
        <v>COM</v>
      </c>
      <c r="G2615" t="str">
        <f>"NELSON DOS SANTOS RODRIGUES (37)"</f>
        <v>NELSON DOS SANTOS RODRIGUES (37)</v>
      </c>
      <c r="H2615" t="str">
        <f>"Serv.Prest. 01/09/2025 a 07/09/2025 - PIX: CPF - CHAVE: 108.680.396-59"</f>
        <v>Serv.Prest. 01/09/2025 a 07/09/2025 - PIX: CPF - CHAVE: 108.680.396-59</v>
      </c>
      <c r="I2615" t="str">
        <f t="shared" si="477"/>
        <v>18/09/2025</v>
      </c>
      <c r="J2615" t="str">
        <f t="shared" si="479"/>
        <v>08/09/2025</v>
      </c>
      <c r="K2615" t="str">
        <f>("18/09/2025")</f>
        <v>18/09/2025</v>
      </c>
      <c r="L2615">
        <v>1320</v>
      </c>
      <c r="M2615">
        <v>1320</v>
      </c>
      <c r="N2615">
        <v>109</v>
      </c>
      <c r="O2615" t="str">
        <f>"PAGAMENTO DE ENTREGADORES"</f>
        <v>PAGAMENTO DE ENTREGADORES</v>
      </c>
      <c r="P2615">
        <v>1320</v>
      </c>
      <c r="S2615" t="str">
        <f>"BANCO C6 (149)"</f>
        <v>BANCO C6 (149)</v>
      </c>
      <c r="T2615">
        <v>18382</v>
      </c>
      <c r="U2615">
        <v>21561</v>
      </c>
      <c r="V2615" t="s">
        <v>77</v>
      </c>
    </row>
    <row r="2616" spans="1:22">
      <c r="A2616" t="str">
        <f t="shared" si="475"/>
        <v>18/09/2025</v>
      </c>
      <c r="B2616" t="str">
        <f t="shared" si="474"/>
        <v>SAÍDA</v>
      </c>
      <c r="C2616" t="str">
        <f t="shared" si="476"/>
        <v>PIX</v>
      </c>
      <c r="D2616" t="str">
        <f>"21561"</f>
        <v>21561</v>
      </c>
      <c r="E2616" t="str">
        <f t="shared" si="478"/>
        <v>1</v>
      </c>
      <c r="F2616" t="str">
        <f t="shared" si="473"/>
        <v>COM</v>
      </c>
      <c r="G2616" t="str">
        <f>"NELSON DOS SANTOS RODRIGUES (37)"</f>
        <v>NELSON DOS SANTOS RODRIGUES (37)</v>
      </c>
      <c r="H2616" t="s">
        <v>692</v>
      </c>
      <c r="I2616" t="str">
        <f t="shared" si="477"/>
        <v>18/09/2025</v>
      </c>
      <c r="J2616" t="str">
        <f t="shared" si="479"/>
        <v>08/09/2025</v>
      </c>
      <c r="K2616">
        <v>45918</v>
      </c>
      <c r="N2616">
        <v>109</v>
      </c>
      <c r="O2616" t="s">
        <v>24</v>
      </c>
      <c r="Q2616">
        <v>1320</v>
      </c>
      <c r="R2616" t="str">
        <f>"FARMÁCIA INDIANA LJ 11 (10008)"</f>
        <v>FARMÁCIA INDIANA LJ 11 (10008)</v>
      </c>
      <c r="S2616" t="s">
        <v>77</v>
      </c>
      <c r="T2616">
        <v>18382</v>
      </c>
      <c r="U2616">
        <v>21561</v>
      </c>
      <c r="V2616" t="s">
        <v>77</v>
      </c>
    </row>
    <row r="2617" spans="1:22">
      <c r="A2617" t="str">
        <f t="shared" si="475"/>
        <v>18/09/2025</v>
      </c>
      <c r="B2617" t="str">
        <f t="shared" si="474"/>
        <v>SAÍDA</v>
      </c>
      <c r="C2617" t="str">
        <f t="shared" si="476"/>
        <v>PIX</v>
      </c>
      <c r="D2617" t="str">
        <f>"21562"</f>
        <v>21562</v>
      </c>
      <c r="E2617" t="str">
        <f t="shared" si="478"/>
        <v>1</v>
      </c>
      <c r="F2617" t="str">
        <f t="shared" si="473"/>
        <v>COM</v>
      </c>
      <c r="G2617" t="str">
        <f>"NILTON RODRIGUES DE SOUZA (136)"</f>
        <v>NILTON RODRIGUES DE SOUZA (136)</v>
      </c>
      <c r="H2617" t="str">
        <f>"Serv.Prest. 01/09/2025 a 07/09/2025 - PIX: CPF - CHAVE: 037.974.316-78"</f>
        <v>Serv.Prest. 01/09/2025 a 07/09/2025 - PIX: CPF - CHAVE: 037.974.316-78</v>
      </c>
      <c r="I2617" t="str">
        <f t="shared" si="477"/>
        <v>18/09/2025</v>
      </c>
      <c r="J2617" t="str">
        <f t="shared" si="479"/>
        <v>08/09/2025</v>
      </c>
      <c r="K2617" t="str">
        <f>("18/09/2025")</f>
        <v>18/09/2025</v>
      </c>
      <c r="L2617">
        <v>852</v>
      </c>
      <c r="M2617">
        <v>852</v>
      </c>
      <c r="N2617">
        <v>109</v>
      </c>
      <c r="O2617" t="str">
        <f>"PAGAMENTO DE ENTREGADORES"</f>
        <v>PAGAMENTO DE ENTREGADORES</v>
      </c>
      <c r="P2617">
        <v>852</v>
      </c>
      <c r="S2617" t="str">
        <f>"BANCO C6 (149)"</f>
        <v>BANCO C6 (149)</v>
      </c>
      <c r="T2617">
        <v>18383</v>
      </c>
      <c r="U2617">
        <v>21562</v>
      </c>
      <c r="V2617" t="s">
        <v>77</v>
      </c>
    </row>
    <row r="2618" spans="1:22">
      <c r="A2618" t="str">
        <f t="shared" si="475"/>
        <v>18/09/2025</v>
      </c>
      <c r="B2618" t="str">
        <f t="shared" si="474"/>
        <v>SAÍDA</v>
      </c>
      <c r="C2618" t="str">
        <f t="shared" si="476"/>
        <v>PIX</v>
      </c>
      <c r="D2618" t="str">
        <f>"21562"</f>
        <v>21562</v>
      </c>
      <c r="E2618" t="str">
        <f t="shared" si="478"/>
        <v>1</v>
      </c>
      <c r="F2618" t="str">
        <f t="shared" si="473"/>
        <v>COM</v>
      </c>
      <c r="G2618" t="str">
        <f>"NILTON RODRIGUES DE SOUZA (136)"</f>
        <v>NILTON RODRIGUES DE SOUZA (136)</v>
      </c>
      <c r="H2618" t="s">
        <v>693</v>
      </c>
      <c r="I2618" t="str">
        <f t="shared" si="477"/>
        <v>18/09/2025</v>
      </c>
      <c r="J2618" t="str">
        <f t="shared" si="479"/>
        <v>08/09/2025</v>
      </c>
      <c r="K2618">
        <v>45918</v>
      </c>
      <c r="N2618">
        <v>109</v>
      </c>
      <c r="O2618" t="s">
        <v>24</v>
      </c>
      <c r="Q2618">
        <v>852</v>
      </c>
      <c r="R2618" t="str">
        <f>"FARMÁCIA INDIANA LJ 18 (10011)"</f>
        <v>FARMÁCIA INDIANA LJ 18 (10011)</v>
      </c>
      <c r="S2618" t="s">
        <v>77</v>
      </c>
      <c r="T2618">
        <v>18383</v>
      </c>
      <c r="U2618">
        <v>21562</v>
      </c>
      <c r="V2618" t="s">
        <v>77</v>
      </c>
    </row>
    <row r="2619" spans="1:22">
      <c r="A2619" t="str">
        <f t="shared" si="475"/>
        <v>18/09/2025</v>
      </c>
      <c r="B2619" t="str">
        <f t="shared" si="474"/>
        <v>SAÍDA</v>
      </c>
      <c r="C2619" t="str">
        <f t="shared" si="476"/>
        <v>PIX</v>
      </c>
      <c r="D2619" t="str">
        <f>"21563"</f>
        <v>21563</v>
      </c>
      <c r="E2619" t="str">
        <f t="shared" si="478"/>
        <v>1</v>
      </c>
      <c r="F2619" t="str">
        <f t="shared" ref="F2619:F2682" si="480">"COM"</f>
        <v>COM</v>
      </c>
      <c r="G2619" t="str">
        <f>"PATRICK DE SOUZA CORREA (92)"</f>
        <v>PATRICK DE SOUZA CORREA (92)</v>
      </c>
      <c r="H2619" t="str">
        <f>"Serv.Prest. 01/09/2025 a 07/09/2025 - PIX: CELULAR - CHAVE: (31) 99216-8711"</f>
        <v>Serv.Prest. 01/09/2025 a 07/09/2025 - PIX: CELULAR - CHAVE: (31) 99216-8711</v>
      </c>
      <c r="I2619" t="str">
        <f t="shared" si="477"/>
        <v>18/09/2025</v>
      </c>
      <c r="J2619" t="str">
        <f t="shared" si="479"/>
        <v>08/09/2025</v>
      </c>
      <c r="K2619" t="str">
        <f>("18/09/2025")</f>
        <v>18/09/2025</v>
      </c>
      <c r="L2619">
        <v>600</v>
      </c>
      <c r="M2619">
        <v>600</v>
      </c>
      <c r="N2619">
        <v>109</v>
      </c>
      <c r="O2619" t="str">
        <f>"PAGAMENTO DE ENTREGADORES"</f>
        <v>PAGAMENTO DE ENTREGADORES</v>
      </c>
      <c r="P2619">
        <v>600</v>
      </c>
      <c r="S2619" t="str">
        <f>"BANCO C6 (149)"</f>
        <v>BANCO C6 (149)</v>
      </c>
      <c r="T2619">
        <v>18384</v>
      </c>
      <c r="U2619">
        <v>21563</v>
      </c>
      <c r="V2619" t="s">
        <v>77</v>
      </c>
    </row>
    <row r="2620" spans="1:22">
      <c r="A2620" t="str">
        <f t="shared" si="475"/>
        <v>18/09/2025</v>
      </c>
      <c r="B2620" t="str">
        <f t="shared" si="474"/>
        <v>SAÍDA</v>
      </c>
      <c r="C2620" t="str">
        <f t="shared" si="476"/>
        <v>PIX</v>
      </c>
      <c r="D2620" t="str">
        <f>"21563"</f>
        <v>21563</v>
      </c>
      <c r="E2620" t="str">
        <f t="shared" si="478"/>
        <v>1</v>
      </c>
      <c r="F2620" t="str">
        <f t="shared" si="480"/>
        <v>COM</v>
      </c>
      <c r="G2620" t="str">
        <f>"PATRICK DE SOUZA CORREA (92)"</f>
        <v>PATRICK DE SOUZA CORREA (92)</v>
      </c>
      <c r="H2620" t="s">
        <v>694</v>
      </c>
      <c r="I2620" t="str">
        <f t="shared" si="477"/>
        <v>18/09/2025</v>
      </c>
      <c r="J2620" t="str">
        <f t="shared" si="479"/>
        <v>08/09/2025</v>
      </c>
      <c r="K2620">
        <v>45918</v>
      </c>
      <c r="N2620">
        <v>109</v>
      </c>
      <c r="O2620" t="s">
        <v>24</v>
      </c>
      <c r="Q2620">
        <v>525</v>
      </c>
      <c r="R2620" t="str">
        <f>"FARMÁCIA INDIANA LJ 184 (10080)"</f>
        <v>FARMÁCIA INDIANA LJ 184 (10080)</v>
      </c>
      <c r="S2620" t="s">
        <v>77</v>
      </c>
      <c r="T2620">
        <v>18384</v>
      </c>
      <c r="U2620">
        <v>21563</v>
      </c>
      <c r="V2620" t="s">
        <v>77</v>
      </c>
    </row>
    <row r="2621" spans="1:22">
      <c r="A2621" t="str">
        <f t="shared" si="475"/>
        <v>18/09/2025</v>
      </c>
      <c r="B2621" t="str">
        <f t="shared" si="474"/>
        <v>SAÍDA</v>
      </c>
      <c r="C2621" t="str">
        <f t="shared" si="476"/>
        <v>PIX</v>
      </c>
      <c r="D2621" t="str">
        <f>"21563"</f>
        <v>21563</v>
      </c>
      <c r="E2621" t="str">
        <f t="shared" si="478"/>
        <v>1</v>
      </c>
      <c r="F2621" t="str">
        <f t="shared" si="480"/>
        <v>COM</v>
      </c>
      <c r="G2621" t="str">
        <f>"PATRICK DE SOUZA CORREA (92)"</f>
        <v>PATRICK DE SOUZA CORREA (92)</v>
      </c>
      <c r="H2621" t="s">
        <v>694</v>
      </c>
      <c r="I2621" t="str">
        <f t="shared" si="477"/>
        <v>18/09/2025</v>
      </c>
      <c r="J2621" t="str">
        <f t="shared" si="479"/>
        <v>08/09/2025</v>
      </c>
      <c r="K2621">
        <v>45918</v>
      </c>
      <c r="N2621">
        <v>109</v>
      </c>
      <c r="O2621" t="s">
        <v>24</v>
      </c>
      <c r="Q2621">
        <v>75</v>
      </c>
      <c r="R2621" t="str">
        <f>"FARMÁCIA INDIANA LJ 195 (10083)"</f>
        <v>FARMÁCIA INDIANA LJ 195 (10083)</v>
      </c>
      <c r="S2621" t="s">
        <v>77</v>
      </c>
      <c r="T2621">
        <v>18384</v>
      </c>
      <c r="U2621">
        <v>21563</v>
      </c>
      <c r="V2621" t="s">
        <v>77</v>
      </c>
    </row>
    <row r="2622" spans="1:22">
      <c r="A2622" t="str">
        <f t="shared" si="475"/>
        <v>18/09/2025</v>
      </c>
      <c r="B2622" t="str">
        <f t="shared" si="474"/>
        <v>SAÍDA</v>
      </c>
      <c r="C2622" t="str">
        <f t="shared" si="476"/>
        <v>PIX</v>
      </c>
      <c r="D2622" t="str">
        <f>"21564"</f>
        <v>21564</v>
      </c>
      <c r="E2622" t="str">
        <f t="shared" si="478"/>
        <v>1</v>
      </c>
      <c r="F2622" t="str">
        <f t="shared" si="480"/>
        <v>COM</v>
      </c>
      <c r="G2622" t="str">
        <f>"PAULO HENRIQUE OLIVEIRA SILVA (39)"</f>
        <v>PAULO HENRIQUE OLIVEIRA SILVA (39)</v>
      </c>
      <c r="H2622" t="str">
        <f>"Serv.Prest. 01/09/2025 a 07/09/2025 - PIX: CELULAR - CHAVE: (31) 97339-3761"</f>
        <v>Serv.Prest. 01/09/2025 a 07/09/2025 - PIX: CELULAR - CHAVE: (31) 97339-3761</v>
      </c>
      <c r="I2622" t="str">
        <f t="shared" si="477"/>
        <v>18/09/2025</v>
      </c>
      <c r="J2622" t="str">
        <f t="shared" si="479"/>
        <v>08/09/2025</v>
      </c>
      <c r="K2622" t="str">
        <f>("18/09/2025")</f>
        <v>18/09/2025</v>
      </c>
      <c r="L2622">
        <v>1632</v>
      </c>
      <c r="M2622">
        <v>1632</v>
      </c>
      <c r="N2622">
        <v>109</v>
      </c>
      <c r="O2622" t="str">
        <f>"PAGAMENTO DE ENTREGADORES"</f>
        <v>PAGAMENTO DE ENTREGADORES</v>
      </c>
      <c r="P2622">
        <v>1632</v>
      </c>
      <c r="S2622" t="str">
        <f>"BANCO C6 (149)"</f>
        <v>BANCO C6 (149)</v>
      </c>
      <c r="T2622">
        <v>18385</v>
      </c>
      <c r="U2622">
        <v>21564</v>
      </c>
      <c r="V2622" t="s">
        <v>77</v>
      </c>
    </row>
    <row r="2623" spans="1:22">
      <c r="A2623" t="str">
        <f t="shared" si="475"/>
        <v>18/09/2025</v>
      </c>
      <c r="B2623" t="str">
        <f t="shared" si="474"/>
        <v>SAÍDA</v>
      </c>
      <c r="C2623" t="str">
        <f t="shared" si="476"/>
        <v>PIX</v>
      </c>
      <c r="D2623" t="str">
        <f>"21564"</f>
        <v>21564</v>
      </c>
      <c r="E2623" t="str">
        <f t="shared" si="478"/>
        <v>1</v>
      </c>
      <c r="F2623" t="str">
        <f t="shared" si="480"/>
        <v>COM</v>
      </c>
      <c r="G2623" t="str">
        <f>"PAULO HENRIQUE OLIVEIRA SILVA (39)"</f>
        <v>PAULO HENRIQUE OLIVEIRA SILVA (39)</v>
      </c>
      <c r="H2623" t="s">
        <v>695</v>
      </c>
      <c r="I2623" t="str">
        <f t="shared" si="477"/>
        <v>18/09/2025</v>
      </c>
      <c r="J2623" t="str">
        <f t="shared" si="479"/>
        <v>08/09/2025</v>
      </c>
      <c r="K2623">
        <v>45918</v>
      </c>
      <c r="N2623">
        <v>109</v>
      </c>
      <c r="O2623" t="s">
        <v>24</v>
      </c>
      <c r="Q2623">
        <v>1632</v>
      </c>
      <c r="R2623" t="str">
        <f>"FARMÁCIA INDIANA LJ 11 (10008)"</f>
        <v>FARMÁCIA INDIANA LJ 11 (10008)</v>
      </c>
      <c r="S2623" t="s">
        <v>77</v>
      </c>
      <c r="T2623">
        <v>18385</v>
      </c>
      <c r="U2623">
        <v>21564</v>
      </c>
      <c r="V2623" t="s">
        <v>77</v>
      </c>
    </row>
    <row r="2624" spans="1:22">
      <c r="A2624" t="str">
        <f t="shared" si="475"/>
        <v>18/09/2025</v>
      </c>
      <c r="B2624" t="str">
        <f t="shared" si="474"/>
        <v>SAÍDA</v>
      </c>
      <c r="C2624" t="str">
        <f t="shared" si="476"/>
        <v>PIX</v>
      </c>
      <c r="D2624" t="str">
        <f>"21565"</f>
        <v>21565</v>
      </c>
      <c r="E2624" t="str">
        <f t="shared" si="478"/>
        <v>1</v>
      </c>
      <c r="F2624" t="str">
        <f t="shared" si="480"/>
        <v>COM</v>
      </c>
      <c r="G2624" t="str">
        <f>"PAULO MARCOS FARIA DE SOUZA L (233)"</f>
        <v>PAULO MARCOS FARIA DE SOUZA L (233)</v>
      </c>
      <c r="H2624" t="str">
        <f>"Serv.Prest. 01/09/2025 a 07/09/2025 - PIX: CELULAR - CHAVE: (35) 99264-4504"</f>
        <v>Serv.Prest. 01/09/2025 a 07/09/2025 - PIX: CELULAR - CHAVE: (35) 99264-4504</v>
      </c>
      <c r="I2624" t="str">
        <f t="shared" si="477"/>
        <v>18/09/2025</v>
      </c>
      <c r="J2624" t="str">
        <f t="shared" si="479"/>
        <v>08/09/2025</v>
      </c>
      <c r="K2624" t="str">
        <f>("18/09/2025")</f>
        <v>18/09/2025</v>
      </c>
      <c r="L2624">
        <v>500</v>
      </c>
      <c r="M2624">
        <v>500</v>
      </c>
      <c r="N2624">
        <v>109</v>
      </c>
      <c r="O2624" t="str">
        <f>"PAGAMENTO DE ENTREGADORES"</f>
        <v>PAGAMENTO DE ENTREGADORES</v>
      </c>
      <c r="P2624">
        <v>500</v>
      </c>
      <c r="S2624" t="str">
        <f>"BANCO C6 (149)"</f>
        <v>BANCO C6 (149)</v>
      </c>
      <c r="T2624">
        <v>18386</v>
      </c>
      <c r="U2624">
        <v>21565</v>
      </c>
      <c r="V2624" t="s">
        <v>77</v>
      </c>
    </row>
    <row r="2625" spans="1:22">
      <c r="A2625" t="str">
        <f t="shared" si="475"/>
        <v>18/09/2025</v>
      </c>
      <c r="B2625" t="str">
        <f t="shared" si="474"/>
        <v>SAÍDA</v>
      </c>
      <c r="C2625" t="str">
        <f t="shared" si="476"/>
        <v>PIX</v>
      </c>
      <c r="D2625" t="str">
        <f>"21565"</f>
        <v>21565</v>
      </c>
      <c r="E2625" t="str">
        <f t="shared" si="478"/>
        <v>1</v>
      </c>
      <c r="F2625" t="str">
        <f t="shared" si="480"/>
        <v>COM</v>
      </c>
      <c r="G2625" t="str">
        <f>"PAULO MARCOS FARIA DE SOUZA L (233)"</f>
        <v>PAULO MARCOS FARIA DE SOUZA L (233)</v>
      </c>
      <c r="H2625" t="s">
        <v>696</v>
      </c>
      <c r="I2625" t="str">
        <f t="shared" si="477"/>
        <v>18/09/2025</v>
      </c>
      <c r="J2625" t="str">
        <f t="shared" si="479"/>
        <v>08/09/2025</v>
      </c>
      <c r="K2625">
        <v>45918</v>
      </c>
      <c r="N2625">
        <v>109</v>
      </c>
      <c r="O2625" t="s">
        <v>24</v>
      </c>
      <c r="Q2625">
        <v>500</v>
      </c>
      <c r="R2625" t="str">
        <f>"FARMÁCIA INDIANA LJ 64 (10029)"</f>
        <v>FARMÁCIA INDIANA LJ 64 (10029)</v>
      </c>
      <c r="S2625" t="s">
        <v>77</v>
      </c>
      <c r="T2625">
        <v>18386</v>
      </c>
      <c r="U2625">
        <v>21565</v>
      </c>
      <c r="V2625" t="s">
        <v>77</v>
      </c>
    </row>
    <row r="2626" spans="1:22">
      <c r="A2626" t="str">
        <f t="shared" si="475"/>
        <v>18/09/2025</v>
      </c>
      <c r="B2626" t="str">
        <f t="shared" si="474"/>
        <v>SAÍDA</v>
      </c>
      <c r="C2626" t="str">
        <f t="shared" si="476"/>
        <v>PIX</v>
      </c>
      <c r="D2626" t="str">
        <f>"21566"</f>
        <v>21566</v>
      </c>
      <c r="E2626" t="str">
        <f t="shared" si="478"/>
        <v>1</v>
      </c>
      <c r="F2626" t="str">
        <f t="shared" si="480"/>
        <v>COM</v>
      </c>
      <c r="G2626" t="str">
        <f>"PEDRO HENRIQUE DA SILVA COSTA OLIVEIRA (852)"</f>
        <v>PEDRO HENRIQUE DA SILVA COSTA OLIVEIRA (852)</v>
      </c>
      <c r="H2626" t="str">
        <f>"Serv.Prest. 01/09/2025 a 07/09/2025 - PIX: E-MAIL - CHAVE: sypedrinho@gmail.com"</f>
        <v>Serv.Prest. 01/09/2025 a 07/09/2025 - PIX: E-MAIL - CHAVE: sypedrinho@gmail.com</v>
      </c>
      <c r="I2626" t="str">
        <f t="shared" si="477"/>
        <v>18/09/2025</v>
      </c>
      <c r="J2626" t="str">
        <f t="shared" si="479"/>
        <v>08/09/2025</v>
      </c>
      <c r="K2626" t="str">
        <f>("18/09/2025")</f>
        <v>18/09/2025</v>
      </c>
      <c r="L2626">
        <v>582</v>
      </c>
      <c r="M2626">
        <v>582</v>
      </c>
      <c r="N2626">
        <v>109</v>
      </c>
      <c r="O2626" t="str">
        <f>"PAGAMENTO DE ENTREGADORES"</f>
        <v>PAGAMENTO DE ENTREGADORES</v>
      </c>
      <c r="P2626">
        <v>582</v>
      </c>
      <c r="S2626" t="str">
        <f>"BANCO C6 (149)"</f>
        <v>BANCO C6 (149)</v>
      </c>
      <c r="T2626">
        <v>18387</v>
      </c>
      <c r="U2626">
        <v>21566</v>
      </c>
      <c r="V2626" t="s">
        <v>77</v>
      </c>
    </row>
    <row r="2627" spans="1:22">
      <c r="A2627" t="str">
        <f t="shared" si="475"/>
        <v>18/09/2025</v>
      </c>
      <c r="B2627" t="str">
        <f t="shared" si="474"/>
        <v>SAÍDA</v>
      </c>
      <c r="C2627" t="str">
        <f t="shared" si="476"/>
        <v>PIX</v>
      </c>
      <c r="D2627" t="str">
        <f>"21566"</f>
        <v>21566</v>
      </c>
      <c r="E2627" t="str">
        <f t="shared" si="478"/>
        <v>1</v>
      </c>
      <c r="F2627" t="str">
        <f t="shared" si="480"/>
        <v>COM</v>
      </c>
      <c r="G2627" t="str">
        <f>"PEDRO HENRIQUE DA SILVA COSTA OLIVEIRA (852)"</f>
        <v>PEDRO HENRIQUE DA SILVA COSTA OLIVEIRA (852)</v>
      </c>
      <c r="H2627" t="s">
        <v>590</v>
      </c>
      <c r="I2627" t="str">
        <f t="shared" si="477"/>
        <v>18/09/2025</v>
      </c>
      <c r="J2627" t="str">
        <f t="shared" si="479"/>
        <v>08/09/2025</v>
      </c>
      <c r="K2627">
        <v>45918</v>
      </c>
      <c r="N2627">
        <v>109</v>
      </c>
      <c r="O2627" t="s">
        <v>24</v>
      </c>
      <c r="Q2627">
        <v>582</v>
      </c>
      <c r="R2627" t="str">
        <f>"FARMÁCIA INDIANA LJ 110 (10048)"</f>
        <v>FARMÁCIA INDIANA LJ 110 (10048)</v>
      </c>
      <c r="S2627" t="s">
        <v>77</v>
      </c>
      <c r="T2627">
        <v>18387</v>
      </c>
      <c r="U2627">
        <v>21566</v>
      </c>
      <c r="V2627" t="s">
        <v>77</v>
      </c>
    </row>
    <row r="2628" spans="1:22">
      <c r="A2628" t="str">
        <f t="shared" si="475"/>
        <v>18/09/2025</v>
      </c>
      <c r="B2628" t="str">
        <f t="shared" si="474"/>
        <v>SAÍDA</v>
      </c>
      <c r="C2628" t="str">
        <f t="shared" si="476"/>
        <v>PIX</v>
      </c>
      <c r="D2628" t="str">
        <f>"21567"</f>
        <v>21567</v>
      </c>
      <c r="E2628" t="str">
        <f t="shared" si="478"/>
        <v>1</v>
      </c>
      <c r="F2628" t="str">
        <f t="shared" si="480"/>
        <v>COM</v>
      </c>
      <c r="G2628" t="str">
        <f>"RAISSON VITOR MENDES DE ABREU (705)"</f>
        <v>RAISSON VITOR MENDES DE ABREU (705)</v>
      </c>
      <c r="H2628" t="str">
        <f>"Serv.Prest. 01/09/2025 a 07/09/2025 - PIX: CELULAR - CHAVE: (31) 99959-5414"</f>
        <v>Serv.Prest. 01/09/2025 a 07/09/2025 - PIX: CELULAR - CHAVE: (31) 99959-5414</v>
      </c>
      <c r="I2628" t="str">
        <f t="shared" si="477"/>
        <v>18/09/2025</v>
      </c>
      <c r="J2628" t="str">
        <f t="shared" si="479"/>
        <v>08/09/2025</v>
      </c>
      <c r="K2628" t="str">
        <f>("18/09/2025")</f>
        <v>18/09/2025</v>
      </c>
      <c r="L2628">
        <v>800</v>
      </c>
      <c r="M2628">
        <v>800</v>
      </c>
      <c r="N2628">
        <v>109</v>
      </c>
      <c r="O2628" t="str">
        <f>"PAGAMENTO DE ENTREGADORES"</f>
        <v>PAGAMENTO DE ENTREGADORES</v>
      </c>
      <c r="P2628">
        <v>800</v>
      </c>
      <c r="S2628" t="str">
        <f>"BANCO C6 (149)"</f>
        <v>BANCO C6 (149)</v>
      </c>
      <c r="T2628">
        <v>18388</v>
      </c>
      <c r="U2628">
        <v>21567</v>
      </c>
      <c r="V2628" t="s">
        <v>77</v>
      </c>
    </row>
    <row r="2629" spans="1:22">
      <c r="A2629" t="str">
        <f t="shared" si="475"/>
        <v>18/09/2025</v>
      </c>
      <c r="B2629" t="str">
        <f t="shared" ref="B2629:B2692" si="481">"SAÍDA"</f>
        <v>SAÍDA</v>
      </c>
      <c r="C2629" t="str">
        <f t="shared" si="476"/>
        <v>PIX</v>
      </c>
      <c r="D2629" t="str">
        <f>"21567"</f>
        <v>21567</v>
      </c>
      <c r="E2629" t="str">
        <f t="shared" si="478"/>
        <v>1</v>
      </c>
      <c r="F2629" t="str">
        <f t="shared" si="480"/>
        <v>COM</v>
      </c>
      <c r="G2629" t="str">
        <f>"RAISSON VITOR MENDES DE ABREU (705)"</f>
        <v>RAISSON VITOR MENDES DE ABREU (705)</v>
      </c>
      <c r="H2629" t="s">
        <v>697</v>
      </c>
      <c r="I2629" t="str">
        <f t="shared" si="477"/>
        <v>18/09/2025</v>
      </c>
      <c r="J2629" t="str">
        <f t="shared" si="479"/>
        <v>08/09/2025</v>
      </c>
      <c r="K2629">
        <v>45918</v>
      </c>
      <c r="N2629">
        <v>109</v>
      </c>
      <c r="O2629" t="s">
        <v>24</v>
      </c>
      <c r="Q2629">
        <v>800</v>
      </c>
      <c r="R2629" t="str">
        <f>"FARMÁCIA INDIANA LJ 178 (10077)"</f>
        <v>FARMÁCIA INDIANA LJ 178 (10077)</v>
      </c>
      <c r="S2629" t="s">
        <v>77</v>
      </c>
      <c r="T2629">
        <v>18388</v>
      </c>
      <c r="U2629">
        <v>21567</v>
      </c>
      <c r="V2629" t="s">
        <v>77</v>
      </c>
    </row>
    <row r="2630" spans="1:22">
      <c r="A2630" t="str">
        <f t="shared" si="475"/>
        <v>18/09/2025</v>
      </c>
      <c r="B2630" t="str">
        <f t="shared" si="481"/>
        <v>SAÍDA</v>
      </c>
      <c r="C2630" t="str">
        <f t="shared" si="476"/>
        <v>PIX</v>
      </c>
      <c r="D2630" t="str">
        <f>"21568"</f>
        <v>21568</v>
      </c>
      <c r="E2630" t="str">
        <f t="shared" si="478"/>
        <v>1</v>
      </c>
      <c r="F2630" t="str">
        <f t="shared" si="480"/>
        <v>COM</v>
      </c>
      <c r="G2630" t="str">
        <f>"RENATO GEORGE GONÇALVES (191)"</f>
        <v>RENATO GEORGE GONÇALVES (191)</v>
      </c>
      <c r="H2630" t="str">
        <f>"Serv.Prest. 01/09/2025 a 07/09/2025 - PIX: CPF - CHAVE: 012.783.036-77"</f>
        <v>Serv.Prest. 01/09/2025 a 07/09/2025 - PIX: CPF - CHAVE: 012.783.036-77</v>
      </c>
      <c r="I2630" t="str">
        <f t="shared" si="477"/>
        <v>18/09/2025</v>
      </c>
      <c r="J2630" t="str">
        <f t="shared" si="479"/>
        <v>08/09/2025</v>
      </c>
      <c r="K2630" t="str">
        <f>("18/09/2025")</f>
        <v>18/09/2025</v>
      </c>
      <c r="L2630">
        <v>1080</v>
      </c>
      <c r="M2630">
        <v>1080</v>
      </c>
      <c r="N2630">
        <v>109</v>
      </c>
      <c r="O2630" t="str">
        <f>"PAGAMENTO DE ENTREGADORES"</f>
        <v>PAGAMENTO DE ENTREGADORES</v>
      </c>
      <c r="P2630">
        <v>1080</v>
      </c>
      <c r="S2630" t="str">
        <f>"BANCO C6 (149)"</f>
        <v>BANCO C6 (149)</v>
      </c>
      <c r="T2630">
        <v>18389</v>
      </c>
      <c r="U2630">
        <v>21568</v>
      </c>
      <c r="V2630" t="s">
        <v>77</v>
      </c>
    </row>
    <row r="2631" spans="1:22">
      <c r="A2631" t="str">
        <f t="shared" si="475"/>
        <v>18/09/2025</v>
      </c>
      <c r="B2631" t="str">
        <f t="shared" si="481"/>
        <v>SAÍDA</v>
      </c>
      <c r="C2631" t="str">
        <f t="shared" si="476"/>
        <v>PIX</v>
      </c>
      <c r="D2631" t="str">
        <f>"21568"</f>
        <v>21568</v>
      </c>
      <c r="E2631" t="str">
        <f t="shared" si="478"/>
        <v>1</v>
      </c>
      <c r="F2631" t="str">
        <f t="shared" si="480"/>
        <v>COM</v>
      </c>
      <c r="G2631" t="str">
        <f>"RENATO GEORGE GONÇALVES (191)"</f>
        <v>RENATO GEORGE GONÇALVES (191)</v>
      </c>
      <c r="H2631" t="s">
        <v>698</v>
      </c>
      <c r="I2631" t="str">
        <f t="shared" si="477"/>
        <v>18/09/2025</v>
      </c>
      <c r="J2631" t="str">
        <f t="shared" si="479"/>
        <v>08/09/2025</v>
      </c>
      <c r="K2631">
        <v>45918</v>
      </c>
      <c r="N2631">
        <v>109</v>
      </c>
      <c r="O2631" t="s">
        <v>24</v>
      </c>
      <c r="Q2631">
        <v>1080</v>
      </c>
      <c r="R2631" t="str">
        <f>"FARMÁCIA INDIANA LJ 06 (10006)"</f>
        <v>FARMÁCIA INDIANA LJ 06 (10006)</v>
      </c>
      <c r="S2631" t="s">
        <v>77</v>
      </c>
      <c r="T2631">
        <v>18389</v>
      </c>
      <c r="U2631">
        <v>21568</v>
      </c>
      <c r="V2631" t="s">
        <v>77</v>
      </c>
    </row>
    <row r="2632" spans="1:22">
      <c r="A2632" t="str">
        <f t="shared" si="475"/>
        <v>18/09/2025</v>
      </c>
      <c r="B2632" t="str">
        <f t="shared" si="481"/>
        <v>SAÍDA</v>
      </c>
      <c r="C2632" t="str">
        <f t="shared" si="476"/>
        <v>PIX</v>
      </c>
      <c r="D2632" t="str">
        <f>"21569"</f>
        <v>21569</v>
      </c>
      <c r="E2632" t="str">
        <f t="shared" si="478"/>
        <v>1</v>
      </c>
      <c r="F2632" t="str">
        <f t="shared" si="480"/>
        <v>COM</v>
      </c>
      <c r="G2632" t="str">
        <f>"RICARDO NASCIMENTO DE SOUZA (146)"</f>
        <v>RICARDO NASCIMENTO DE SOUZA (146)</v>
      </c>
      <c r="H2632" t="str">
        <f>"Serv.Prest. 01/09/2025 a 07/09/2025 - PIX: CELULAR - CHAVE: (31) 98891-8440"</f>
        <v>Serv.Prest. 01/09/2025 a 07/09/2025 - PIX: CELULAR - CHAVE: (31) 98891-8440</v>
      </c>
      <c r="I2632" t="str">
        <f t="shared" si="477"/>
        <v>18/09/2025</v>
      </c>
      <c r="J2632" t="str">
        <f t="shared" si="479"/>
        <v>08/09/2025</v>
      </c>
      <c r="K2632" t="str">
        <f>("18/09/2025")</f>
        <v>18/09/2025</v>
      </c>
      <c r="L2632">
        <v>1020</v>
      </c>
      <c r="M2632">
        <v>1020</v>
      </c>
      <c r="N2632">
        <v>109</v>
      </c>
      <c r="O2632" t="str">
        <f>"PAGAMENTO DE ENTREGADORES"</f>
        <v>PAGAMENTO DE ENTREGADORES</v>
      </c>
      <c r="P2632">
        <v>1020</v>
      </c>
      <c r="S2632" t="str">
        <f>"BANCO C6 (149)"</f>
        <v>BANCO C6 (149)</v>
      </c>
      <c r="T2632">
        <v>18390</v>
      </c>
      <c r="U2632">
        <v>21569</v>
      </c>
      <c r="V2632" t="s">
        <v>77</v>
      </c>
    </row>
    <row r="2633" spans="1:22">
      <c r="A2633" t="str">
        <f t="shared" si="475"/>
        <v>18/09/2025</v>
      </c>
      <c r="B2633" t="str">
        <f t="shared" si="481"/>
        <v>SAÍDA</v>
      </c>
      <c r="C2633" t="str">
        <f t="shared" si="476"/>
        <v>PIX</v>
      </c>
      <c r="D2633" t="str">
        <f>"21569"</f>
        <v>21569</v>
      </c>
      <c r="E2633" t="str">
        <f t="shared" si="478"/>
        <v>1</v>
      </c>
      <c r="F2633" t="str">
        <f t="shared" si="480"/>
        <v>COM</v>
      </c>
      <c r="G2633" t="str">
        <f>"RICARDO NASCIMENTO DE SOUZA (146)"</f>
        <v>RICARDO NASCIMENTO DE SOUZA (146)</v>
      </c>
      <c r="H2633" t="s">
        <v>699</v>
      </c>
      <c r="I2633" t="str">
        <f t="shared" si="477"/>
        <v>18/09/2025</v>
      </c>
      <c r="J2633" t="str">
        <f t="shared" si="479"/>
        <v>08/09/2025</v>
      </c>
      <c r="K2633">
        <v>45918</v>
      </c>
      <c r="N2633">
        <v>109</v>
      </c>
      <c r="O2633" t="s">
        <v>24</v>
      </c>
      <c r="Q2633">
        <v>1020</v>
      </c>
      <c r="R2633" t="str">
        <f>"FARMÁCIA INDIANA LJ 19 (10012)"</f>
        <v>FARMÁCIA INDIANA LJ 19 (10012)</v>
      </c>
      <c r="S2633" t="s">
        <v>77</v>
      </c>
      <c r="T2633">
        <v>18390</v>
      </c>
      <c r="U2633">
        <v>21569</v>
      </c>
      <c r="V2633" t="s">
        <v>77</v>
      </c>
    </row>
    <row r="2634" spans="1:22">
      <c r="A2634" t="str">
        <f t="shared" si="475"/>
        <v>18/09/2025</v>
      </c>
      <c r="B2634" t="str">
        <f t="shared" si="481"/>
        <v>SAÍDA</v>
      </c>
      <c r="C2634" t="str">
        <f t="shared" si="476"/>
        <v>PIX</v>
      </c>
      <c r="D2634" t="str">
        <f>"21570"</f>
        <v>21570</v>
      </c>
      <c r="E2634" t="str">
        <f t="shared" si="478"/>
        <v>1</v>
      </c>
      <c r="F2634" t="str">
        <f t="shared" si="480"/>
        <v>COM</v>
      </c>
      <c r="G2634" t="str">
        <f>"ROGÉRIO LAURINDO BORGES (176)"</f>
        <v>ROGÉRIO LAURINDO BORGES (176)</v>
      </c>
      <c r="H2634" t="str">
        <f>"Serv.Prest. 01/09/2025 a 07/09/2025 - PIX: E-MAIL - CHAVE: roger.l.borges04@gmail.com"</f>
        <v>Serv.Prest. 01/09/2025 a 07/09/2025 - PIX: E-MAIL - CHAVE: roger.l.borges04@gmail.com</v>
      </c>
      <c r="I2634" t="str">
        <f t="shared" si="477"/>
        <v>18/09/2025</v>
      </c>
      <c r="J2634" t="str">
        <f t="shared" si="479"/>
        <v>08/09/2025</v>
      </c>
      <c r="K2634" t="str">
        <f>("18/09/2025")</f>
        <v>18/09/2025</v>
      </c>
      <c r="L2634">
        <v>1278</v>
      </c>
      <c r="M2634">
        <v>1278</v>
      </c>
      <c r="N2634">
        <v>109</v>
      </c>
      <c r="O2634" t="str">
        <f>"PAGAMENTO DE ENTREGADORES"</f>
        <v>PAGAMENTO DE ENTREGADORES</v>
      </c>
      <c r="P2634">
        <v>1278</v>
      </c>
      <c r="S2634" t="str">
        <f>"BANCO C6 (149)"</f>
        <v>BANCO C6 (149)</v>
      </c>
      <c r="T2634">
        <v>18391</v>
      </c>
      <c r="U2634">
        <v>21570</v>
      </c>
      <c r="V2634" t="s">
        <v>77</v>
      </c>
    </row>
    <row r="2635" spans="1:22">
      <c r="A2635" t="str">
        <f t="shared" si="475"/>
        <v>18/09/2025</v>
      </c>
      <c r="B2635" t="str">
        <f t="shared" si="481"/>
        <v>SAÍDA</v>
      </c>
      <c r="C2635" t="str">
        <f t="shared" si="476"/>
        <v>PIX</v>
      </c>
      <c r="D2635" t="str">
        <f>"21570"</f>
        <v>21570</v>
      </c>
      <c r="E2635" t="str">
        <f t="shared" si="478"/>
        <v>1</v>
      </c>
      <c r="F2635" t="str">
        <f t="shared" si="480"/>
        <v>COM</v>
      </c>
      <c r="G2635" t="str">
        <f>"ROGÉRIO LAURINDO BORGES (176)"</f>
        <v>ROGÉRIO LAURINDO BORGES (176)</v>
      </c>
      <c r="H2635" t="s">
        <v>700</v>
      </c>
      <c r="I2635" t="str">
        <f t="shared" si="477"/>
        <v>18/09/2025</v>
      </c>
      <c r="J2635" t="str">
        <f t="shared" si="479"/>
        <v>08/09/2025</v>
      </c>
      <c r="K2635">
        <v>45918</v>
      </c>
      <c r="N2635">
        <v>109</v>
      </c>
      <c r="O2635" t="s">
        <v>24</v>
      </c>
      <c r="Q2635">
        <v>1278</v>
      </c>
      <c r="R2635" t="str">
        <f>"FARMÁCIA INDIANA LJ 142 (10066)"</f>
        <v>FARMÁCIA INDIANA LJ 142 (10066)</v>
      </c>
      <c r="S2635" t="s">
        <v>77</v>
      </c>
      <c r="T2635">
        <v>18391</v>
      </c>
      <c r="U2635">
        <v>21570</v>
      </c>
      <c r="V2635" t="s">
        <v>77</v>
      </c>
    </row>
    <row r="2636" spans="1:22">
      <c r="A2636" t="str">
        <f t="shared" si="475"/>
        <v>18/09/2025</v>
      </c>
      <c r="B2636" t="str">
        <f t="shared" si="481"/>
        <v>SAÍDA</v>
      </c>
      <c r="C2636" t="str">
        <f t="shared" si="476"/>
        <v>PIX</v>
      </c>
      <c r="D2636" t="str">
        <f>"21571"</f>
        <v>21571</v>
      </c>
      <c r="E2636" t="str">
        <f t="shared" si="478"/>
        <v>1</v>
      </c>
      <c r="F2636" t="str">
        <f t="shared" si="480"/>
        <v>COM</v>
      </c>
      <c r="G2636" t="str">
        <f>"RÔMULO LEMOS DE SOUZA (59)"</f>
        <v>RÔMULO LEMOS DE SOUZA (59)</v>
      </c>
      <c r="H2636" t="str">
        <f>"Serv.Prest. 01/09/2025 a 07/09/2025 - PIX: CELULAR - CHAVE: (33) 98840-0998"</f>
        <v>Serv.Prest. 01/09/2025 a 07/09/2025 - PIX: CELULAR - CHAVE: (33) 98840-0998</v>
      </c>
      <c r="I2636" t="str">
        <f t="shared" si="477"/>
        <v>18/09/2025</v>
      </c>
      <c r="J2636" t="str">
        <f t="shared" si="479"/>
        <v>08/09/2025</v>
      </c>
      <c r="K2636" t="str">
        <f>("18/09/2025")</f>
        <v>18/09/2025</v>
      </c>
      <c r="L2636">
        <v>1092</v>
      </c>
      <c r="M2636">
        <v>1092</v>
      </c>
      <c r="N2636">
        <v>109</v>
      </c>
      <c r="O2636" t="str">
        <f>"PAGAMENTO DE ENTREGADORES"</f>
        <v>PAGAMENTO DE ENTREGADORES</v>
      </c>
      <c r="P2636">
        <v>1092</v>
      </c>
      <c r="S2636" t="str">
        <f>"BANCO C6 (149)"</f>
        <v>BANCO C6 (149)</v>
      </c>
      <c r="T2636">
        <v>18392</v>
      </c>
      <c r="U2636">
        <v>21571</v>
      </c>
      <c r="V2636" t="s">
        <v>77</v>
      </c>
    </row>
    <row r="2637" spans="1:22">
      <c r="A2637" t="str">
        <f t="shared" si="475"/>
        <v>18/09/2025</v>
      </c>
      <c r="B2637" t="str">
        <f t="shared" si="481"/>
        <v>SAÍDA</v>
      </c>
      <c r="C2637" t="str">
        <f t="shared" si="476"/>
        <v>PIX</v>
      </c>
      <c r="D2637" t="str">
        <f>"21571"</f>
        <v>21571</v>
      </c>
      <c r="E2637" t="str">
        <f t="shared" si="478"/>
        <v>1</v>
      </c>
      <c r="F2637" t="str">
        <f t="shared" si="480"/>
        <v>COM</v>
      </c>
      <c r="G2637" t="str">
        <f>"RÔMULO LEMOS DE SOUZA (59)"</f>
        <v>RÔMULO LEMOS DE SOUZA (59)</v>
      </c>
      <c r="H2637" t="s">
        <v>701</v>
      </c>
      <c r="I2637" t="str">
        <f t="shared" si="477"/>
        <v>18/09/2025</v>
      </c>
      <c r="J2637" t="str">
        <f t="shared" si="479"/>
        <v>08/09/2025</v>
      </c>
      <c r="K2637">
        <v>45918</v>
      </c>
      <c r="N2637">
        <v>109</v>
      </c>
      <c r="O2637" t="s">
        <v>24</v>
      </c>
      <c r="Q2637">
        <v>1092</v>
      </c>
      <c r="R2637" t="str">
        <f>"FARMÁCIA INDIANA LJ 07 (10007)"</f>
        <v>FARMÁCIA INDIANA LJ 07 (10007)</v>
      </c>
      <c r="S2637" t="s">
        <v>77</v>
      </c>
      <c r="T2637">
        <v>18392</v>
      </c>
      <c r="U2637">
        <v>21571</v>
      </c>
      <c r="V2637" t="s">
        <v>77</v>
      </c>
    </row>
    <row r="2638" spans="1:22">
      <c r="A2638" t="str">
        <f t="shared" si="475"/>
        <v>18/09/2025</v>
      </c>
      <c r="B2638" t="str">
        <f t="shared" si="481"/>
        <v>SAÍDA</v>
      </c>
      <c r="C2638" t="str">
        <f t="shared" si="476"/>
        <v>PIX</v>
      </c>
      <c r="D2638" t="str">
        <f>"21573"</f>
        <v>21573</v>
      </c>
      <c r="E2638" t="str">
        <f t="shared" si="478"/>
        <v>1</v>
      </c>
      <c r="F2638" t="str">
        <f t="shared" si="480"/>
        <v>COM</v>
      </c>
      <c r="G2638" t="str">
        <f>"SANRIO OLIVEIRA DO CARMO (579)"</f>
        <v>SANRIO OLIVEIRA DO CARMO (579)</v>
      </c>
      <c r="H2638" t="str">
        <f>"Serv.Prest. 01/09/2025 a 07/09/2025 - PIX: CPF - CHAVE: 118.731.976-75"</f>
        <v>Serv.Prest. 01/09/2025 a 07/09/2025 - PIX: CPF - CHAVE: 118.731.976-75</v>
      </c>
      <c r="I2638" t="str">
        <f t="shared" si="477"/>
        <v>18/09/2025</v>
      </c>
      <c r="J2638" t="str">
        <f t="shared" si="479"/>
        <v>08/09/2025</v>
      </c>
      <c r="K2638" t="str">
        <f>("18/09/2025")</f>
        <v>18/09/2025</v>
      </c>
      <c r="L2638">
        <v>870</v>
      </c>
      <c r="M2638">
        <v>870</v>
      </c>
      <c r="N2638">
        <v>109</v>
      </c>
      <c r="O2638" t="str">
        <f>"PAGAMENTO DE ENTREGADORES"</f>
        <v>PAGAMENTO DE ENTREGADORES</v>
      </c>
      <c r="P2638">
        <v>870</v>
      </c>
      <c r="S2638" t="str">
        <f>"BANCO C6 (149)"</f>
        <v>BANCO C6 (149)</v>
      </c>
      <c r="T2638">
        <v>18393</v>
      </c>
      <c r="U2638">
        <v>21573</v>
      </c>
      <c r="V2638" t="s">
        <v>77</v>
      </c>
    </row>
    <row r="2639" spans="1:22">
      <c r="A2639" t="str">
        <f t="shared" si="475"/>
        <v>18/09/2025</v>
      </c>
      <c r="B2639" t="str">
        <f t="shared" si="481"/>
        <v>SAÍDA</v>
      </c>
      <c r="C2639" t="str">
        <f t="shared" si="476"/>
        <v>PIX</v>
      </c>
      <c r="D2639" t="str">
        <f>"21573"</f>
        <v>21573</v>
      </c>
      <c r="E2639" t="str">
        <f t="shared" si="478"/>
        <v>1</v>
      </c>
      <c r="F2639" t="str">
        <f t="shared" si="480"/>
        <v>COM</v>
      </c>
      <c r="G2639" t="str">
        <f>"SANRIO OLIVEIRA DO CARMO (579)"</f>
        <v>SANRIO OLIVEIRA DO CARMO (579)</v>
      </c>
      <c r="H2639" t="s">
        <v>702</v>
      </c>
      <c r="I2639" t="str">
        <f t="shared" si="477"/>
        <v>18/09/2025</v>
      </c>
      <c r="J2639" t="str">
        <f t="shared" si="479"/>
        <v>08/09/2025</v>
      </c>
      <c r="K2639">
        <v>45918</v>
      </c>
      <c r="N2639">
        <v>109</v>
      </c>
      <c r="O2639" t="s">
        <v>24</v>
      </c>
      <c r="Q2639">
        <v>870</v>
      </c>
      <c r="R2639" t="str">
        <f>"FARMÁCIA INDIANA LJ 152 (10069)"</f>
        <v>FARMÁCIA INDIANA LJ 152 (10069)</v>
      </c>
      <c r="S2639" t="s">
        <v>77</v>
      </c>
      <c r="T2639">
        <v>18393</v>
      </c>
      <c r="U2639">
        <v>21573</v>
      </c>
      <c r="V2639" t="s">
        <v>77</v>
      </c>
    </row>
    <row r="2640" spans="1:22">
      <c r="A2640" t="str">
        <f t="shared" si="475"/>
        <v>18/09/2025</v>
      </c>
      <c r="B2640" t="str">
        <f t="shared" si="481"/>
        <v>SAÍDA</v>
      </c>
      <c r="C2640" t="str">
        <f t="shared" si="476"/>
        <v>PIX</v>
      </c>
      <c r="D2640" t="str">
        <f>"21574"</f>
        <v>21574</v>
      </c>
      <c r="E2640" t="str">
        <f t="shared" si="478"/>
        <v>1</v>
      </c>
      <c r="F2640" t="str">
        <f t="shared" si="480"/>
        <v>COM</v>
      </c>
      <c r="G2640" t="str">
        <f>"SEDNEY GOMES SOARES (87)"</f>
        <v>SEDNEY GOMES SOARES (87)</v>
      </c>
      <c r="H2640" t="str">
        <f>"Serv.Prest. 01/09/2025 a 07/09/2025 - PIX: CPF - CHAVE: 048.151.276-46"</f>
        <v>Serv.Prest. 01/09/2025 a 07/09/2025 - PIX: CPF - CHAVE: 048.151.276-46</v>
      </c>
      <c r="I2640" t="str">
        <f t="shared" si="477"/>
        <v>18/09/2025</v>
      </c>
      <c r="J2640" t="str">
        <f t="shared" si="479"/>
        <v>08/09/2025</v>
      </c>
      <c r="K2640" t="str">
        <f>("18/09/2025")</f>
        <v>18/09/2025</v>
      </c>
      <c r="L2640">
        <v>750</v>
      </c>
      <c r="M2640">
        <v>750</v>
      </c>
      <c r="N2640">
        <v>109</v>
      </c>
      <c r="O2640" t="str">
        <f>"PAGAMENTO DE ENTREGADORES"</f>
        <v>PAGAMENTO DE ENTREGADORES</v>
      </c>
      <c r="P2640">
        <v>750</v>
      </c>
      <c r="S2640" t="str">
        <f>"BANCO C6 (149)"</f>
        <v>BANCO C6 (149)</v>
      </c>
      <c r="T2640">
        <v>18394</v>
      </c>
      <c r="U2640">
        <v>21574</v>
      </c>
      <c r="V2640" t="s">
        <v>77</v>
      </c>
    </row>
    <row r="2641" spans="1:22">
      <c r="A2641" t="str">
        <f t="shared" si="475"/>
        <v>18/09/2025</v>
      </c>
      <c r="B2641" t="str">
        <f t="shared" si="481"/>
        <v>SAÍDA</v>
      </c>
      <c r="C2641" t="str">
        <f t="shared" si="476"/>
        <v>PIX</v>
      </c>
      <c r="D2641" t="str">
        <f>"21574"</f>
        <v>21574</v>
      </c>
      <c r="E2641" t="str">
        <f t="shared" si="478"/>
        <v>1</v>
      </c>
      <c r="F2641" t="str">
        <f t="shared" si="480"/>
        <v>COM</v>
      </c>
      <c r="G2641" t="str">
        <f>"SEDNEY GOMES SOARES (87)"</f>
        <v>SEDNEY GOMES SOARES (87)</v>
      </c>
      <c r="H2641" t="s">
        <v>703</v>
      </c>
      <c r="I2641" t="str">
        <f t="shared" si="477"/>
        <v>18/09/2025</v>
      </c>
      <c r="J2641" t="str">
        <f t="shared" si="479"/>
        <v>08/09/2025</v>
      </c>
      <c r="K2641">
        <v>45918</v>
      </c>
      <c r="N2641">
        <v>109</v>
      </c>
      <c r="O2641" t="s">
        <v>24</v>
      </c>
      <c r="Q2641">
        <v>256.12</v>
      </c>
      <c r="R2641" t="str">
        <f>"FARMÁCIA INDIANA LJ 97 (10040)"</f>
        <v>FARMÁCIA INDIANA LJ 97 (10040)</v>
      </c>
      <c r="S2641" t="s">
        <v>77</v>
      </c>
      <c r="T2641">
        <v>18394</v>
      </c>
      <c r="U2641">
        <v>21574</v>
      </c>
      <c r="V2641" t="s">
        <v>77</v>
      </c>
    </row>
    <row r="2642" spans="1:22">
      <c r="A2642" t="str">
        <f t="shared" si="475"/>
        <v>18/09/2025</v>
      </c>
      <c r="B2642" t="str">
        <f t="shared" si="481"/>
        <v>SAÍDA</v>
      </c>
      <c r="C2642" t="str">
        <f t="shared" si="476"/>
        <v>PIX</v>
      </c>
      <c r="D2642" t="str">
        <f>"21574"</f>
        <v>21574</v>
      </c>
      <c r="E2642" t="str">
        <f t="shared" si="478"/>
        <v>1</v>
      </c>
      <c r="F2642" t="str">
        <f t="shared" si="480"/>
        <v>COM</v>
      </c>
      <c r="G2642" t="str">
        <f>"SEDNEY GOMES SOARES (87)"</f>
        <v>SEDNEY GOMES SOARES (87)</v>
      </c>
      <c r="H2642" t="s">
        <v>703</v>
      </c>
      <c r="I2642" t="str">
        <f t="shared" si="477"/>
        <v>18/09/2025</v>
      </c>
      <c r="J2642" t="str">
        <f t="shared" si="479"/>
        <v>08/09/2025</v>
      </c>
      <c r="K2642">
        <v>45918</v>
      </c>
      <c r="N2642">
        <v>109</v>
      </c>
      <c r="O2642" t="s">
        <v>24</v>
      </c>
      <c r="Q2642">
        <v>402.45</v>
      </c>
      <c r="R2642" t="str">
        <f>"FARMÁCIA INDIANA LJ 111 (10049)"</f>
        <v>FARMÁCIA INDIANA LJ 111 (10049)</v>
      </c>
      <c r="S2642" t="s">
        <v>77</v>
      </c>
      <c r="T2642">
        <v>18394</v>
      </c>
      <c r="U2642">
        <v>21574</v>
      </c>
      <c r="V2642" t="s">
        <v>77</v>
      </c>
    </row>
    <row r="2643" spans="1:22">
      <c r="A2643" t="str">
        <f t="shared" si="475"/>
        <v>18/09/2025</v>
      </c>
      <c r="B2643" t="str">
        <f t="shared" si="481"/>
        <v>SAÍDA</v>
      </c>
      <c r="C2643" t="str">
        <f t="shared" si="476"/>
        <v>PIX</v>
      </c>
      <c r="D2643" t="str">
        <f>"21574"</f>
        <v>21574</v>
      </c>
      <c r="E2643" t="str">
        <f t="shared" si="478"/>
        <v>1</v>
      </c>
      <c r="F2643" t="str">
        <f t="shared" si="480"/>
        <v>COM</v>
      </c>
      <c r="G2643" t="str">
        <f>"SEDNEY GOMES SOARES (87)"</f>
        <v>SEDNEY GOMES SOARES (87)</v>
      </c>
      <c r="H2643" t="s">
        <v>703</v>
      </c>
      <c r="I2643" t="str">
        <f t="shared" si="477"/>
        <v>18/09/2025</v>
      </c>
      <c r="J2643" t="str">
        <f t="shared" si="479"/>
        <v>08/09/2025</v>
      </c>
      <c r="K2643">
        <v>45918</v>
      </c>
      <c r="N2643">
        <v>109</v>
      </c>
      <c r="O2643" t="s">
        <v>24</v>
      </c>
      <c r="Q2643">
        <v>91.43</v>
      </c>
      <c r="R2643" t="str">
        <f>"FARMÁCIA INDIANA LJ 143 (10067)"</f>
        <v>FARMÁCIA INDIANA LJ 143 (10067)</v>
      </c>
      <c r="S2643" t="s">
        <v>77</v>
      </c>
      <c r="T2643">
        <v>18394</v>
      </c>
      <c r="U2643">
        <v>21574</v>
      </c>
      <c r="V2643" t="s">
        <v>77</v>
      </c>
    </row>
    <row r="2644" spans="1:22">
      <c r="A2644" t="str">
        <f t="shared" si="475"/>
        <v>18/09/2025</v>
      </c>
      <c r="B2644" t="str">
        <f t="shared" si="481"/>
        <v>SAÍDA</v>
      </c>
      <c r="C2644" t="str">
        <f t="shared" si="476"/>
        <v>PIX</v>
      </c>
      <c r="D2644" t="str">
        <f>"21575"</f>
        <v>21575</v>
      </c>
      <c r="E2644" t="str">
        <f t="shared" si="478"/>
        <v>1</v>
      </c>
      <c r="F2644" t="str">
        <f t="shared" si="480"/>
        <v>COM</v>
      </c>
      <c r="G2644" t="str">
        <f>"SILAS ALVES DE FREITAS (35)"</f>
        <v>SILAS ALVES DE FREITAS (35)</v>
      </c>
      <c r="H2644" t="str">
        <f>"Serv.Prest. 01/09/2025 a 07/09/2025 - PIX: CPF - CHAVE: 097.855.786-74"</f>
        <v>Serv.Prest. 01/09/2025 a 07/09/2025 - PIX: CPF - CHAVE: 097.855.786-74</v>
      </c>
      <c r="I2644" t="str">
        <f t="shared" si="477"/>
        <v>18/09/2025</v>
      </c>
      <c r="J2644" t="str">
        <f t="shared" si="479"/>
        <v>08/09/2025</v>
      </c>
      <c r="K2644" t="str">
        <f>("18/09/2025")</f>
        <v>18/09/2025</v>
      </c>
      <c r="L2644">
        <v>1818</v>
      </c>
      <c r="M2644">
        <v>1818</v>
      </c>
      <c r="N2644">
        <v>109</v>
      </c>
      <c r="O2644" t="str">
        <f>"PAGAMENTO DE ENTREGADORES"</f>
        <v>PAGAMENTO DE ENTREGADORES</v>
      </c>
      <c r="P2644">
        <v>1818</v>
      </c>
      <c r="S2644" t="str">
        <f>"BANCO C6 (149)"</f>
        <v>BANCO C6 (149)</v>
      </c>
      <c r="T2644">
        <v>18395</v>
      </c>
      <c r="U2644">
        <v>21575</v>
      </c>
      <c r="V2644" t="s">
        <v>77</v>
      </c>
    </row>
    <row r="2645" spans="1:22">
      <c r="A2645" t="str">
        <f t="shared" si="475"/>
        <v>18/09/2025</v>
      </c>
      <c r="B2645" t="str">
        <f t="shared" si="481"/>
        <v>SAÍDA</v>
      </c>
      <c r="C2645" t="str">
        <f t="shared" si="476"/>
        <v>PIX</v>
      </c>
      <c r="D2645" t="str">
        <f>"21575"</f>
        <v>21575</v>
      </c>
      <c r="E2645" t="str">
        <f t="shared" si="478"/>
        <v>1</v>
      </c>
      <c r="F2645" t="str">
        <f t="shared" si="480"/>
        <v>COM</v>
      </c>
      <c r="G2645" t="str">
        <f>"SILAS ALVES DE FREITAS (35)"</f>
        <v>SILAS ALVES DE FREITAS (35)</v>
      </c>
      <c r="H2645" t="s">
        <v>704</v>
      </c>
      <c r="I2645" t="str">
        <f t="shared" si="477"/>
        <v>18/09/2025</v>
      </c>
      <c r="J2645" t="str">
        <f t="shared" si="479"/>
        <v>08/09/2025</v>
      </c>
      <c r="K2645">
        <v>45918</v>
      </c>
      <c r="N2645">
        <v>109</v>
      </c>
      <c r="O2645" t="s">
        <v>24</v>
      </c>
      <c r="Q2645">
        <v>1818</v>
      </c>
      <c r="R2645" t="str">
        <f>"FARMÁCIA INDIANA LJ 172 (10161)"</f>
        <v>FARMÁCIA INDIANA LJ 172 (10161)</v>
      </c>
      <c r="S2645" t="s">
        <v>77</v>
      </c>
      <c r="T2645">
        <v>18395</v>
      </c>
      <c r="U2645">
        <v>21575</v>
      </c>
      <c r="V2645" t="s">
        <v>77</v>
      </c>
    </row>
    <row r="2646" spans="1:22">
      <c r="A2646" t="str">
        <f t="shared" si="475"/>
        <v>18/09/2025</v>
      </c>
      <c r="B2646" t="str">
        <f t="shared" si="481"/>
        <v>SAÍDA</v>
      </c>
      <c r="C2646" t="str">
        <f t="shared" si="476"/>
        <v>PIX</v>
      </c>
      <c r="D2646" t="str">
        <f>"21576"</f>
        <v>21576</v>
      </c>
      <c r="E2646" t="str">
        <f t="shared" si="478"/>
        <v>1</v>
      </c>
      <c r="F2646" t="str">
        <f t="shared" si="480"/>
        <v>COM</v>
      </c>
      <c r="G2646" t="str">
        <f>"TAYSON BARBOSA SILVINO (613)"</f>
        <v>TAYSON BARBOSA SILVINO (613)</v>
      </c>
      <c r="H2646" t="str">
        <f>"Serv.Prest. 01/09/2025 a 07/09/2025 - PIX: CHAVE ALEATÓRIA - CHAVE: 1550e869-c9d7-4436-be93-6858fd0cb900"</f>
        <v>Serv.Prest. 01/09/2025 a 07/09/2025 - PIX: CHAVE ALEATÓRIA - CHAVE: 1550e869-c9d7-4436-be93-6858fd0cb900</v>
      </c>
      <c r="I2646" t="str">
        <f t="shared" si="477"/>
        <v>18/09/2025</v>
      </c>
      <c r="J2646" t="str">
        <f t="shared" si="479"/>
        <v>08/09/2025</v>
      </c>
      <c r="K2646" t="str">
        <f>("18/09/2025")</f>
        <v>18/09/2025</v>
      </c>
      <c r="L2646">
        <v>870</v>
      </c>
      <c r="M2646">
        <v>870</v>
      </c>
      <c r="N2646">
        <v>109</v>
      </c>
      <c r="O2646" t="str">
        <f>"PAGAMENTO DE ENTREGADORES"</f>
        <v>PAGAMENTO DE ENTREGADORES</v>
      </c>
      <c r="P2646">
        <v>870</v>
      </c>
      <c r="S2646" t="str">
        <f>"BANCO C6 (149)"</f>
        <v>BANCO C6 (149)</v>
      </c>
      <c r="T2646">
        <v>18396</v>
      </c>
      <c r="U2646">
        <v>21576</v>
      </c>
      <c r="V2646" t="s">
        <v>77</v>
      </c>
    </row>
    <row r="2647" spans="1:22">
      <c r="A2647" t="str">
        <f t="shared" si="475"/>
        <v>18/09/2025</v>
      </c>
      <c r="B2647" t="str">
        <f t="shared" si="481"/>
        <v>SAÍDA</v>
      </c>
      <c r="C2647" t="str">
        <f t="shared" si="476"/>
        <v>PIX</v>
      </c>
      <c r="D2647" t="str">
        <f>"21576"</f>
        <v>21576</v>
      </c>
      <c r="E2647" t="str">
        <f t="shared" si="478"/>
        <v>1</v>
      </c>
      <c r="F2647" t="str">
        <f t="shared" si="480"/>
        <v>COM</v>
      </c>
      <c r="G2647" t="str">
        <f>"TAYSON BARBOSA SILVINO (613)"</f>
        <v>TAYSON BARBOSA SILVINO (613)</v>
      </c>
      <c r="H2647" t="s">
        <v>705</v>
      </c>
      <c r="I2647" t="str">
        <f t="shared" si="477"/>
        <v>18/09/2025</v>
      </c>
      <c r="J2647" t="str">
        <f t="shared" si="479"/>
        <v>08/09/2025</v>
      </c>
      <c r="K2647">
        <v>45918</v>
      </c>
      <c r="N2647">
        <v>109</v>
      </c>
      <c r="O2647" t="s">
        <v>24</v>
      </c>
      <c r="Q2647">
        <v>12.01</v>
      </c>
      <c r="R2647" t="str">
        <f>"FARMÁCIA INDIANA LJ 18 (10011)"</f>
        <v>FARMÁCIA INDIANA LJ 18 (10011)</v>
      </c>
      <c r="S2647" t="s">
        <v>77</v>
      </c>
      <c r="T2647">
        <v>18396</v>
      </c>
      <c r="U2647">
        <v>21576</v>
      </c>
      <c r="V2647" t="s">
        <v>77</v>
      </c>
    </row>
    <row r="2648" spans="1:22">
      <c r="A2648" t="str">
        <f t="shared" si="475"/>
        <v>18/09/2025</v>
      </c>
      <c r="B2648" t="str">
        <f t="shared" si="481"/>
        <v>SAÍDA</v>
      </c>
      <c r="C2648" t="str">
        <f t="shared" si="476"/>
        <v>PIX</v>
      </c>
      <c r="D2648" t="str">
        <f>"21576"</f>
        <v>21576</v>
      </c>
      <c r="E2648" t="str">
        <f t="shared" si="478"/>
        <v>1</v>
      </c>
      <c r="F2648" t="str">
        <f t="shared" si="480"/>
        <v>COM</v>
      </c>
      <c r="G2648" t="str">
        <f>"TAYSON BARBOSA SILVINO (613)"</f>
        <v>TAYSON BARBOSA SILVINO (613)</v>
      </c>
      <c r="H2648" t="s">
        <v>705</v>
      </c>
      <c r="I2648" t="str">
        <f t="shared" si="477"/>
        <v>18/09/2025</v>
      </c>
      <c r="J2648" t="str">
        <f t="shared" si="479"/>
        <v>08/09/2025</v>
      </c>
      <c r="K2648">
        <v>45918</v>
      </c>
      <c r="N2648">
        <v>109</v>
      </c>
      <c r="O2648" t="s">
        <v>24</v>
      </c>
      <c r="Q2648">
        <v>857.99</v>
      </c>
      <c r="R2648" t="str">
        <f>"FARMÁCIA INDIANA LJ 19 (10012)"</f>
        <v>FARMÁCIA INDIANA LJ 19 (10012)</v>
      </c>
      <c r="S2648" t="s">
        <v>77</v>
      </c>
      <c r="T2648">
        <v>18396</v>
      </c>
      <c r="U2648">
        <v>21576</v>
      </c>
      <c r="V2648" t="s">
        <v>77</v>
      </c>
    </row>
    <row r="2649" spans="1:22">
      <c r="A2649" t="str">
        <f t="shared" ref="A2649:A2712" si="482">("18/09/2025")</f>
        <v>18/09/2025</v>
      </c>
      <c r="B2649" t="str">
        <f t="shared" si="481"/>
        <v>SAÍDA</v>
      </c>
      <c r="C2649" t="str">
        <f t="shared" ref="C2649:C2712" si="483">"PIX"</f>
        <v>PIX</v>
      </c>
      <c r="D2649" t="str">
        <f>"21578"</f>
        <v>21578</v>
      </c>
      <c r="E2649" t="str">
        <f t="shared" si="478"/>
        <v>1</v>
      </c>
      <c r="F2649" t="str">
        <f t="shared" si="480"/>
        <v>COM</v>
      </c>
      <c r="G2649" t="str">
        <f>"VINICIUS DE SOUZA ISABEL (658)"</f>
        <v>VINICIUS DE SOUZA ISABEL (658)</v>
      </c>
      <c r="H2649" t="str">
        <f>"Serv.Prest. 01/09/2025 a 07/09/2025 - PIX: CPF - CHAVE: 092.566.416-23"</f>
        <v>Serv.Prest. 01/09/2025 a 07/09/2025 - PIX: CPF - CHAVE: 092.566.416-23</v>
      </c>
      <c r="I2649" t="str">
        <f t="shared" ref="I2649:I2712" si="484">("18/09/2025")</f>
        <v>18/09/2025</v>
      </c>
      <c r="J2649" t="str">
        <f t="shared" si="479"/>
        <v>08/09/2025</v>
      </c>
      <c r="K2649" t="str">
        <f>("18/09/2025")</f>
        <v>18/09/2025</v>
      </c>
      <c r="L2649">
        <v>700</v>
      </c>
      <c r="M2649">
        <v>700</v>
      </c>
      <c r="N2649">
        <v>109</v>
      </c>
      <c r="O2649" t="str">
        <f>"PAGAMENTO DE ENTREGADORES"</f>
        <v>PAGAMENTO DE ENTREGADORES</v>
      </c>
      <c r="P2649">
        <v>700</v>
      </c>
      <c r="S2649" t="str">
        <f>"BANCO C6 (149)"</f>
        <v>BANCO C6 (149)</v>
      </c>
      <c r="T2649">
        <v>18397</v>
      </c>
      <c r="U2649">
        <v>21578</v>
      </c>
      <c r="V2649" t="s">
        <v>77</v>
      </c>
    </row>
    <row r="2650" spans="1:22">
      <c r="A2650" t="str">
        <f t="shared" si="482"/>
        <v>18/09/2025</v>
      </c>
      <c r="B2650" t="str">
        <f t="shared" si="481"/>
        <v>SAÍDA</v>
      </c>
      <c r="C2650" t="str">
        <f t="shared" si="483"/>
        <v>PIX</v>
      </c>
      <c r="D2650" t="str">
        <f>"21578"</f>
        <v>21578</v>
      </c>
      <c r="E2650" t="str">
        <f t="shared" si="478"/>
        <v>1</v>
      </c>
      <c r="F2650" t="str">
        <f t="shared" si="480"/>
        <v>COM</v>
      </c>
      <c r="G2650" t="str">
        <f>"VINICIUS DE SOUZA ISABEL (658)"</f>
        <v>VINICIUS DE SOUZA ISABEL (658)</v>
      </c>
      <c r="H2650" t="s">
        <v>706</v>
      </c>
      <c r="I2650" t="str">
        <f t="shared" si="484"/>
        <v>18/09/2025</v>
      </c>
      <c r="J2650" t="str">
        <f t="shared" si="479"/>
        <v>08/09/2025</v>
      </c>
      <c r="K2650">
        <v>45918</v>
      </c>
      <c r="N2650">
        <v>109</v>
      </c>
      <c r="O2650" t="s">
        <v>24</v>
      </c>
      <c r="Q2650">
        <v>700</v>
      </c>
      <c r="R2650" t="str">
        <f>"FARMÁCIA INDIANA LJ 219 (10091)"</f>
        <v>FARMÁCIA INDIANA LJ 219 (10091)</v>
      </c>
      <c r="S2650" t="s">
        <v>77</v>
      </c>
      <c r="T2650">
        <v>18397</v>
      </c>
      <c r="U2650">
        <v>21578</v>
      </c>
      <c r="V2650" t="s">
        <v>77</v>
      </c>
    </row>
    <row r="2651" spans="1:22">
      <c r="A2651" t="str">
        <f t="shared" si="482"/>
        <v>18/09/2025</v>
      </c>
      <c r="B2651" t="str">
        <f t="shared" si="481"/>
        <v>SAÍDA</v>
      </c>
      <c r="C2651" t="str">
        <f t="shared" si="483"/>
        <v>PIX</v>
      </c>
      <c r="D2651" t="str">
        <f>"21579"</f>
        <v>21579</v>
      </c>
      <c r="E2651" t="str">
        <f t="shared" si="478"/>
        <v>1</v>
      </c>
      <c r="F2651" t="str">
        <f t="shared" si="480"/>
        <v>COM</v>
      </c>
      <c r="G2651" t="str">
        <f>"VITOR CARDOSO FAUSTINO (257)"</f>
        <v>VITOR CARDOSO FAUSTINO (257)</v>
      </c>
      <c r="H2651" t="str">
        <f>"Serv.Prest. 01/09/2025 a 07/09/2025 - PIX: CPF - CHAVE: 157.874.046-02"</f>
        <v>Serv.Prest. 01/09/2025 a 07/09/2025 - PIX: CPF - CHAVE: 157.874.046-02</v>
      </c>
      <c r="I2651" t="str">
        <f t="shared" si="484"/>
        <v>18/09/2025</v>
      </c>
      <c r="J2651" t="str">
        <f t="shared" si="479"/>
        <v>08/09/2025</v>
      </c>
      <c r="K2651" t="str">
        <f>("18/09/2025")</f>
        <v>18/09/2025</v>
      </c>
      <c r="L2651">
        <v>314</v>
      </c>
      <c r="M2651">
        <v>314</v>
      </c>
      <c r="N2651">
        <v>109</v>
      </c>
      <c r="O2651" t="str">
        <f>"PAGAMENTO DE ENTREGADORES"</f>
        <v>PAGAMENTO DE ENTREGADORES</v>
      </c>
      <c r="P2651">
        <v>314</v>
      </c>
      <c r="S2651" t="str">
        <f>"BANCO C6 (149)"</f>
        <v>BANCO C6 (149)</v>
      </c>
      <c r="T2651">
        <v>18398</v>
      </c>
      <c r="U2651">
        <v>21579</v>
      </c>
      <c r="V2651" t="s">
        <v>77</v>
      </c>
    </row>
    <row r="2652" spans="1:22">
      <c r="A2652" t="str">
        <f t="shared" si="482"/>
        <v>18/09/2025</v>
      </c>
      <c r="B2652" t="str">
        <f t="shared" si="481"/>
        <v>SAÍDA</v>
      </c>
      <c r="C2652" t="str">
        <f t="shared" si="483"/>
        <v>PIX</v>
      </c>
      <c r="D2652" t="str">
        <f>"21579"</f>
        <v>21579</v>
      </c>
      <c r="E2652" t="str">
        <f t="shared" si="478"/>
        <v>1</v>
      </c>
      <c r="F2652" t="str">
        <f t="shared" si="480"/>
        <v>COM</v>
      </c>
      <c r="G2652" t="str">
        <f>"VITOR CARDOSO FAUSTINO (257)"</f>
        <v>VITOR CARDOSO FAUSTINO (257)</v>
      </c>
      <c r="H2652" t="s">
        <v>442</v>
      </c>
      <c r="I2652" t="str">
        <f t="shared" si="484"/>
        <v>18/09/2025</v>
      </c>
      <c r="J2652" t="str">
        <f t="shared" si="479"/>
        <v>08/09/2025</v>
      </c>
      <c r="K2652">
        <v>45918</v>
      </c>
      <c r="N2652">
        <v>109</v>
      </c>
      <c r="O2652" t="s">
        <v>24</v>
      </c>
      <c r="Q2652">
        <v>314</v>
      </c>
      <c r="R2652" t="str">
        <f>"FARMÁCIA INDIANA LJ 07 (10007)"</f>
        <v>FARMÁCIA INDIANA LJ 07 (10007)</v>
      </c>
      <c r="S2652" t="s">
        <v>77</v>
      </c>
      <c r="T2652">
        <v>18398</v>
      </c>
      <c r="U2652">
        <v>21579</v>
      </c>
      <c r="V2652" t="s">
        <v>77</v>
      </c>
    </row>
    <row r="2653" spans="1:22">
      <c r="A2653" t="str">
        <f t="shared" si="482"/>
        <v>18/09/2025</v>
      </c>
      <c r="B2653" t="str">
        <f t="shared" si="481"/>
        <v>SAÍDA</v>
      </c>
      <c r="C2653" t="str">
        <f t="shared" si="483"/>
        <v>PIX</v>
      </c>
      <c r="D2653" t="str">
        <f>"21580"</f>
        <v>21580</v>
      </c>
      <c r="E2653" t="str">
        <f t="shared" ref="E2653:E2716" si="485">"1"</f>
        <v>1</v>
      </c>
      <c r="F2653" t="str">
        <f t="shared" si="480"/>
        <v>COM</v>
      </c>
      <c r="G2653" t="str">
        <f>"VITOR DE SOUZA SILVA (360)"</f>
        <v>VITOR DE SOUZA SILVA (360)</v>
      </c>
      <c r="H2653" t="str">
        <f>"Serv.Prest. 01/09/2025 a 07/09/2025 - PIX: CPF - CHAVE: 130.194.566-81"</f>
        <v>Serv.Prest. 01/09/2025 a 07/09/2025 - PIX: CPF - CHAVE: 130.194.566-81</v>
      </c>
      <c r="I2653" t="str">
        <f t="shared" si="484"/>
        <v>18/09/2025</v>
      </c>
      <c r="J2653" t="str">
        <f t="shared" si="479"/>
        <v>08/09/2025</v>
      </c>
      <c r="K2653" t="str">
        <f>("18/09/2025")</f>
        <v>18/09/2025</v>
      </c>
      <c r="L2653">
        <v>700.8</v>
      </c>
      <c r="M2653">
        <v>700.8</v>
      </c>
      <c r="N2653">
        <v>109</v>
      </c>
      <c r="O2653" t="str">
        <f>"PAGAMENTO DE ENTREGADORES"</f>
        <v>PAGAMENTO DE ENTREGADORES</v>
      </c>
      <c r="P2653">
        <v>700.8</v>
      </c>
      <c r="S2653" t="str">
        <f>"BANCO C6 (149)"</f>
        <v>BANCO C6 (149)</v>
      </c>
      <c r="T2653">
        <v>18399</v>
      </c>
      <c r="U2653">
        <v>21580</v>
      </c>
      <c r="V2653" t="s">
        <v>77</v>
      </c>
    </row>
    <row r="2654" spans="1:22">
      <c r="A2654" t="str">
        <f t="shared" si="482"/>
        <v>18/09/2025</v>
      </c>
      <c r="B2654" t="str">
        <f t="shared" si="481"/>
        <v>SAÍDA</v>
      </c>
      <c r="C2654" t="str">
        <f t="shared" si="483"/>
        <v>PIX</v>
      </c>
      <c r="D2654" t="str">
        <f>"21580"</f>
        <v>21580</v>
      </c>
      <c r="E2654" t="str">
        <f t="shared" si="485"/>
        <v>1</v>
      </c>
      <c r="F2654" t="str">
        <f t="shared" si="480"/>
        <v>COM</v>
      </c>
      <c r="G2654" t="str">
        <f>"VITOR DE SOUZA SILVA (360)"</f>
        <v>VITOR DE SOUZA SILVA (360)</v>
      </c>
      <c r="H2654" t="s">
        <v>707</v>
      </c>
      <c r="I2654" t="str">
        <f t="shared" si="484"/>
        <v>18/09/2025</v>
      </c>
      <c r="J2654" t="str">
        <f t="shared" si="479"/>
        <v>08/09/2025</v>
      </c>
      <c r="K2654">
        <v>45918</v>
      </c>
      <c r="N2654">
        <v>109</v>
      </c>
      <c r="O2654" t="s">
        <v>24</v>
      </c>
      <c r="Q2654">
        <v>700.8</v>
      </c>
      <c r="R2654" t="str">
        <f>"FARMÁCIA INDIANA LJ 121 (10054)"</f>
        <v>FARMÁCIA INDIANA LJ 121 (10054)</v>
      </c>
      <c r="S2654" t="s">
        <v>77</v>
      </c>
      <c r="T2654">
        <v>18399</v>
      </c>
      <c r="U2654">
        <v>21580</v>
      </c>
      <c r="V2654" t="s">
        <v>77</v>
      </c>
    </row>
    <row r="2655" spans="1:22">
      <c r="A2655" t="str">
        <f t="shared" si="482"/>
        <v>18/09/2025</v>
      </c>
      <c r="B2655" t="str">
        <f t="shared" si="481"/>
        <v>SAÍDA</v>
      </c>
      <c r="C2655" t="str">
        <f t="shared" si="483"/>
        <v>PIX</v>
      </c>
      <c r="D2655" t="str">
        <f>"21581"</f>
        <v>21581</v>
      </c>
      <c r="E2655" t="str">
        <f t="shared" si="485"/>
        <v>1</v>
      </c>
      <c r="F2655" t="str">
        <f t="shared" si="480"/>
        <v>COM</v>
      </c>
      <c r="G2655" t="str">
        <f>"WAGNER DOS SANTOS LIMA (31)"</f>
        <v>WAGNER DOS SANTOS LIMA (31)</v>
      </c>
      <c r="H2655" t="str">
        <f>"Serv.Prest. 01/09/2025 a 07/09/2025 - PIX: CELULAR - CHAVE: (33) 99118-9032"</f>
        <v>Serv.Prest. 01/09/2025 a 07/09/2025 - PIX: CELULAR - CHAVE: (33) 99118-9032</v>
      </c>
      <c r="I2655" t="str">
        <f t="shared" si="484"/>
        <v>18/09/2025</v>
      </c>
      <c r="J2655" t="str">
        <f t="shared" si="479"/>
        <v>08/09/2025</v>
      </c>
      <c r="K2655" t="str">
        <f>("18/09/2025")</f>
        <v>18/09/2025</v>
      </c>
      <c r="L2655">
        <v>1149.5</v>
      </c>
      <c r="M2655">
        <v>1149.5</v>
      </c>
      <c r="N2655">
        <v>109</v>
      </c>
      <c r="O2655" t="str">
        <f>"PAGAMENTO DE ENTREGADORES"</f>
        <v>PAGAMENTO DE ENTREGADORES</v>
      </c>
      <c r="P2655">
        <v>1149.5</v>
      </c>
      <c r="S2655" t="str">
        <f>"BANCO C6 (149)"</f>
        <v>BANCO C6 (149)</v>
      </c>
      <c r="T2655">
        <v>18400</v>
      </c>
      <c r="U2655">
        <v>21581</v>
      </c>
      <c r="V2655" t="s">
        <v>77</v>
      </c>
    </row>
    <row r="2656" spans="1:22">
      <c r="A2656" t="str">
        <f t="shared" si="482"/>
        <v>18/09/2025</v>
      </c>
      <c r="B2656" t="str">
        <f t="shared" si="481"/>
        <v>SAÍDA</v>
      </c>
      <c r="C2656" t="str">
        <f t="shared" si="483"/>
        <v>PIX</v>
      </c>
      <c r="D2656" t="str">
        <f>"21581"</f>
        <v>21581</v>
      </c>
      <c r="E2656" t="str">
        <f t="shared" si="485"/>
        <v>1</v>
      </c>
      <c r="F2656" t="str">
        <f t="shared" si="480"/>
        <v>COM</v>
      </c>
      <c r="G2656" t="str">
        <f>"WAGNER DOS SANTOS LIMA (31)"</f>
        <v>WAGNER DOS SANTOS LIMA (31)</v>
      </c>
      <c r="H2656" t="s">
        <v>708</v>
      </c>
      <c r="I2656" t="str">
        <f t="shared" si="484"/>
        <v>18/09/2025</v>
      </c>
      <c r="J2656" t="str">
        <f t="shared" si="479"/>
        <v>08/09/2025</v>
      </c>
      <c r="K2656">
        <v>45918</v>
      </c>
      <c r="N2656">
        <v>109</v>
      </c>
      <c r="O2656" t="s">
        <v>24</v>
      </c>
      <c r="Q2656">
        <v>16.55</v>
      </c>
      <c r="R2656" t="str">
        <f>"FARMÁCIA INDIANA LJ 40 (10016)"</f>
        <v>FARMÁCIA INDIANA LJ 40 (10016)</v>
      </c>
      <c r="S2656" t="s">
        <v>77</v>
      </c>
      <c r="T2656">
        <v>18400</v>
      </c>
      <c r="U2656">
        <v>21581</v>
      </c>
      <c r="V2656" t="s">
        <v>77</v>
      </c>
    </row>
    <row r="2657" spans="1:22">
      <c r="A2657" t="str">
        <f t="shared" si="482"/>
        <v>18/09/2025</v>
      </c>
      <c r="B2657" t="str">
        <f t="shared" si="481"/>
        <v>SAÍDA</v>
      </c>
      <c r="C2657" t="str">
        <f t="shared" si="483"/>
        <v>PIX</v>
      </c>
      <c r="D2657" t="str">
        <f>"21581"</f>
        <v>21581</v>
      </c>
      <c r="E2657" t="str">
        <f t="shared" si="485"/>
        <v>1</v>
      </c>
      <c r="F2657" t="str">
        <f t="shared" si="480"/>
        <v>COM</v>
      </c>
      <c r="G2657" t="str">
        <f>"WAGNER DOS SANTOS LIMA (31)"</f>
        <v>WAGNER DOS SANTOS LIMA (31)</v>
      </c>
      <c r="H2657" t="s">
        <v>708</v>
      </c>
      <c r="I2657" t="str">
        <f t="shared" si="484"/>
        <v>18/09/2025</v>
      </c>
      <c r="J2657" t="str">
        <f t="shared" si="479"/>
        <v>08/09/2025</v>
      </c>
      <c r="K2657">
        <v>45918</v>
      </c>
      <c r="N2657">
        <v>109</v>
      </c>
      <c r="O2657" t="s">
        <v>24</v>
      </c>
      <c r="Q2657">
        <v>1132.95</v>
      </c>
      <c r="R2657" t="str">
        <f>"FARMÁCIA INDIANA LJ 61 (10027)"</f>
        <v>FARMÁCIA INDIANA LJ 61 (10027)</v>
      </c>
      <c r="S2657" t="s">
        <v>77</v>
      </c>
      <c r="T2657">
        <v>18400</v>
      </c>
      <c r="U2657">
        <v>21581</v>
      </c>
      <c r="V2657" t="s">
        <v>77</v>
      </c>
    </row>
    <row r="2658" spans="1:22">
      <c r="A2658" t="str">
        <f t="shared" si="482"/>
        <v>18/09/2025</v>
      </c>
      <c r="B2658" t="str">
        <f t="shared" si="481"/>
        <v>SAÍDA</v>
      </c>
      <c r="C2658" t="str">
        <f t="shared" si="483"/>
        <v>PIX</v>
      </c>
      <c r="D2658" t="str">
        <f>"21582"</f>
        <v>21582</v>
      </c>
      <c r="E2658" t="str">
        <f t="shared" si="485"/>
        <v>1</v>
      </c>
      <c r="F2658" t="str">
        <f t="shared" si="480"/>
        <v>COM</v>
      </c>
      <c r="G2658" t="str">
        <f>"WANDERSON JÚNIOR SOARES (628)"</f>
        <v>WANDERSON JÚNIOR SOARES (628)</v>
      </c>
      <c r="H2658" t="str">
        <f>"Serv.Prest. 01/09/2025 a 07/09/2025 - PIX: CPF - CHAVE: 170.180.266-01"</f>
        <v>Serv.Prest. 01/09/2025 a 07/09/2025 - PIX: CPF - CHAVE: 170.180.266-01</v>
      </c>
      <c r="I2658" t="str">
        <f t="shared" si="484"/>
        <v>18/09/2025</v>
      </c>
      <c r="J2658" t="str">
        <f t="shared" si="479"/>
        <v>08/09/2025</v>
      </c>
      <c r="K2658" t="str">
        <f>("18/09/2025")</f>
        <v>18/09/2025</v>
      </c>
      <c r="L2658">
        <v>702</v>
      </c>
      <c r="M2658">
        <v>702</v>
      </c>
      <c r="N2658">
        <v>109</v>
      </c>
      <c r="O2658" t="str">
        <f>"PAGAMENTO DE ENTREGADORES"</f>
        <v>PAGAMENTO DE ENTREGADORES</v>
      </c>
      <c r="P2658">
        <v>702</v>
      </c>
      <c r="S2658" t="str">
        <f>"BANCO C6 (149)"</f>
        <v>BANCO C6 (149)</v>
      </c>
      <c r="T2658">
        <v>18401</v>
      </c>
      <c r="U2658">
        <v>21582</v>
      </c>
      <c r="V2658" t="s">
        <v>77</v>
      </c>
    </row>
    <row r="2659" spans="1:22">
      <c r="A2659" t="str">
        <f t="shared" si="482"/>
        <v>18/09/2025</v>
      </c>
      <c r="B2659" t="str">
        <f t="shared" si="481"/>
        <v>SAÍDA</v>
      </c>
      <c r="C2659" t="str">
        <f t="shared" si="483"/>
        <v>PIX</v>
      </c>
      <c r="D2659" t="str">
        <f>"21582"</f>
        <v>21582</v>
      </c>
      <c r="E2659" t="str">
        <f t="shared" si="485"/>
        <v>1</v>
      </c>
      <c r="F2659" t="str">
        <f t="shared" si="480"/>
        <v>COM</v>
      </c>
      <c r="G2659" t="str">
        <f>"WANDERSON JÚNIOR SOARES (628)"</f>
        <v>WANDERSON JÚNIOR SOARES (628)</v>
      </c>
      <c r="H2659" t="s">
        <v>709</v>
      </c>
      <c r="I2659" t="str">
        <f t="shared" si="484"/>
        <v>18/09/2025</v>
      </c>
      <c r="J2659" t="str">
        <f t="shared" si="479"/>
        <v>08/09/2025</v>
      </c>
      <c r="K2659">
        <v>45918</v>
      </c>
      <c r="N2659">
        <v>109</v>
      </c>
      <c r="O2659" t="s">
        <v>24</v>
      </c>
      <c r="Q2659">
        <v>702</v>
      </c>
      <c r="R2659" t="str">
        <f>"FARMÁCIA INDIANA LJ 110 (10048)"</f>
        <v>FARMÁCIA INDIANA LJ 110 (10048)</v>
      </c>
      <c r="S2659" t="s">
        <v>77</v>
      </c>
      <c r="T2659">
        <v>18401</v>
      </c>
      <c r="U2659">
        <v>21582</v>
      </c>
      <c r="V2659" t="s">
        <v>77</v>
      </c>
    </row>
    <row r="2660" spans="1:22">
      <c r="A2660" t="str">
        <f t="shared" si="482"/>
        <v>18/09/2025</v>
      </c>
      <c r="B2660" t="str">
        <f t="shared" si="481"/>
        <v>SAÍDA</v>
      </c>
      <c r="C2660" t="str">
        <f t="shared" si="483"/>
        <v>PIX</v>
      </c>
      <c r="D2660" t="str">
        <f>"21583"</f>
        <v>21583</v>
      </c>
      <c r="E2660" t="str">
        <f t="shared" si="485"/>
        <v>1</v>
      </c>
      <c r="F2660" t="str">
        <f t="shared" si="480"/>
        <v>COM</v>
      </c>
      <c r="G2660" t="str">
        <f>"WARLEN JUNIO ELIAS DE OLIVEIRA (171)"</f>
        <v>WARLEN JUNIO ELIAS DE OLIVEIRA (171)</v>
      </c>
      <c r="H2660" t="str">
        <f>"Serv.Prest. 01/09/2025 a 07/09/2025 - PIX: CELULAR - CHAVE: (31) 97251-6838"</f>
        <v>Serv.Prest. 01/09/2025 a 07/09/2025 - PIX: CELULAR - CHAVE: (31) 97251-6838</v>
      </c>
      <c r="I2660" t="str">
        <f t="shared" si="484"/>
        <v>18/09/2025</v>
      </c>
      <c r="J2660" t="str">
        <f t="shared" si="479"/>
        <v>08/09/2025</v>
      </c>
      <c r="K2660" t="str">
        <f>("18/09/2025")</f>
        <v>18/09/2025</v>
      </c>
      <c r="L2660">
        <v>575</v>
      </c>
      <c r="M2660">
        <v>575</v>
      </c>
      <c r="N2660">
        <v>109</v>
      </c>
      <c r="O2660" t="str">
        <f>"PAGAMENTO DE ENTREGADORES"</f>
        <v>PAGAMENTO DE ENTREGADORES</v>
      </c>
      <c r="P2660">
        <v>575</v>
      </c>
      <c r="S2660" t="str">
        <f>"BANCO C6 (149)"</f>
        <v>BANCO C6 (149)</v>
      </c>
      <c r="T2660">
        <v>18402</v>
      </c>
      <c r="U2660">
        <v>21583</v>
      </c>
      <c r="V2660" t="s">
        <v>77</v>
      </c>
    </row>
    <row r="2661" spans="1:22">
      <c r="A2661" t="str">
        <f t="shared" si="482"/>
        <v>18/09/2025</v>
      </c>
      <c r="B2661" t="str">
        <f t="shared" si="481"/>
        <v>SAÍDA</v>
      </c>
      <c r="C2661" t="str">
        <f t="shared" si="483"/>
        <v>PIX</v>
      </c>
      <c r="D2661" t="str">
        <f>"21583"</f>
        <v>21583</v>
      </c>
      <c r="E2661" t="str">
        <f t="shared" si="485"/>
        <v>1</v>
      </c>
      <c r="F2661" t="str">
        <f t="shared" si="480"/>
        <v>COM</v>
      </c>
      <c r="G2661" t="str">
        <f>"WARLEN JUNIO ELIAS DE OLIVEIRA (171)"</f>
        <v>WARLEN JUNIO ELIAS DE OLIVEIRA (171)</v>
      </c>
      <c r="H2661" t="s">
        <v>710</v>
      </c>
      <c r="I2661" t="str">
        <f t="shared" si="484"/>
        <v>18/09/2025</v>
      </c>
      <c r="J2661" t="str">
        <f t="shared" si="479"/>
        <v>08/09/2025</v>
      </c>
      <c r="K2661">
        <v>45918</v>
      </c>
      <c r="N2661">
        <v>109</v>
      </c>
      <c r="O2661" t="s">
        <v>24</v>
      </c>
      <c r="Q2661">
        <v>575</v>
      </c>
      <c r="R2661" t="str">
        <f>"FARMÁCIA INDIANA LJ 175 (10076)"</f>
        <v>FARMÁCIA INDIANA LJ 175 (10076)</v>
      </c>
      <c r="S2661" t="s">
        <v>77</v>
      </c>
      <c r="T2661">
        <v>18402</v>
      </c>
      <c r="U2661">
        <v>21583</v>
      </c>
      <c r="V2661" t="s">
        <v>77</v>
      </c>
    </row>
    <row r="2662" spans="1:22">
      <c r="A2662" t="str">
        <f t="shared" si="482"/>
        <v>18/09/2025</v>
      </c>
      <c r="B2662" t="str">
        <f t="shared" si="481"/>
        <v>SAÍDA</v>
      </c>
      <c r="C2662" t="str">
        <f t="shared" si="483"/>
        <v>PIX</v>
      </c>
      <c r="D2662" t="str">
        <f>"21585"</f>
        <v>21585</v>
      </c>
      <c r="E2662" t="str">
        <f t="shared" si="485"/>
        <v>1</v>
      </c>
      <c r="F2662" t="str">
        <f t="shared" si="480"/>
        <v>COM</v>
      </c>
      <c r="G2662" t="str">
        <f>"WELLINGTON DOS SANTOS ALVES (438)"</f>
        <v>WELLINGTON DOS SANTOS ALVES (438)</v>
      </c>
      <c r="H2662" t="str">
        <f>"Serv.Prest. 01/09/2025 a 07/09/2025 - PIX: CELULAR - CHAVE: (32) 99800-1691"</f>
        <v>Serv.Prest. 01/09/2025 a 07/09/2025 - PIX: CELULAR - CHAVE: (32) 99800-1691</v>
      </c>
      <c r="I2662" t="str">
        <f t="shared" si="484"/>
        <v>18/09/2025</v>
      </c>
      <c r="J2662" t="str">
        <f t="shared" si="479"/>
        <v>08/09/2025</v>
      </c>
      <c r="K2662" t="str">
        <f>("18/09/2025")</f>
        <v>18/09/2025</v>
      </c>
      <c r="L2662">
        <v>500.8</v>
      </c>
      <c r="M2662">
        <v>500.8</v>
      </c>
      <c r="N2662">
        <v>109</v>
      </c>
      <c r="O2662" t="str">
        <f>"PAGAMENTO DE ENTREGADORES"</f>
        <v>PAGAMENTO DE ENTREGADORES</v>
      </c>
      <c r="P2662">
        <v>500.8</v>
      </c>
      <c r="S2662" t="str">
        <f>"BANCO C6 (149)"</f>
        <v>BANCO C6 (149)</v>
      </c>
      <c r="T2662">
        <v>18403</v>
      </c>
      <c r="U2662">
        <v>21585</v>
      </c>
      <c r="V2662" t="s">
        <v>77</v>
      </c>
    </row>
    <row r="2663" spans="1:22">
      <c r="A2663" t="str">
        <f t="shared" si="482"/>
        <v>18/09/2025</v>
      </c>
      <c r="B2663" t="str">
        <f t="shared" si="481"/>
        <v>SAÍDA</v>
      </c>
      <c r="C2663" t="str">
        <f t="shared" si="483"/>
        <v>PIX</v>
      </c>
      <c r="D2663" t="str">
        <f>"21585"</f>
        <v>21585</v>
      </c>
      <c r="E2663" t="str">
        <f t="shared" si="485"/>
        <v>1</v>
      </c>
      <c r="F2663" t="str">
        <f t="shared" si="480"/>
        <v>COM</v>
      </c>
      <c r="G2663" t="str">
        <f>"WELLINGTON DOS SANTOS ALVES (438)"</f>
        <v>WELLINGTON DOS SANTOS ALVES (438)</v>
      </c>
      <c r="H2663" t="s">
        <v>610</v>
      </c>
      <c r="I2663" t="str">
        <f t="shared" si="484"/>
        <v>18/09/2025</v>
      </c>
      <c r="J2663" t="str">
        <f t="shared" si="479"/>
        <v>08/09/2025</v>
      </c>
      <c r="K2663">
        <v>45918</v>
      </c>
      <c r="N2663">
        <v>109</v>
      </c>
      <c r="O2663" t="s">
        <v>24</v>
      </c>
      <c r="Q2663">
        <v>237.23</v>
      </c>
      <c r="R2663" t="str">
        <f>"FARMÁCIA INDIANA LJ 112 (10050)"</f>
        <v>FARMÁCIA INDIANA LJ 112 (10050)</v>
      </c>
      <c r="S2663" t="s">
        <v>77</v>
      </c>
      <c r="T2663">
        <v>18403</v>
      </c>
      <c r="U2663">
        <v>21585</v>
      </c>
      <c r="V2663" t="s">
        <v>77</v>
      </c>
    </row>
    <row r="2664" spans="1:22">
      <c r="A2664" t="str">
        <f t="shared" si="482"/>
        <v>18/09/2025</v>
      </c>
      <c r="B2664" t="str">
        <f t="shared" si="481"/>
        <v>SAÍDA</v>
      </c>
      <c r="C2664" t="str">
        <f t="shared" si="483"/>
        <v>PIX</v>
      </c>
      <c r="D2664" t="str">
        <f>"21585"</f>
        <v>21585</v>
      </c>
      <c r="E2664" t="str">
        <f t="shared" si="485"/>
        <v>1</v>
      </c>
      <c r="F2664" t="str">
        <f t="shared" si="480"/>
        <v>COM</v>
      </c>
      <c r="G2664" t="str">
        <f>"WELLINGTON DOS SANTOS ALVES (438)"</f>
        <v>WELLINGTON DOS SANTOS ALVES (438)</v>
      </c>
      <c r="H2664" t="s">
        <v>610</v>
      </c>
      <c r="I2664" t="str">
        <f t="shared" si="484"/>
        <v>18/09/2025</v>
      </c>
      <c r="J2664" t="str">
        <f t="shared" si="479"/>
        <v>08/09/2025</v>
      </c>
      <c r="K2664">
        <v>45918</v>
      </c>
      <c r="N2664">
        <v>109</v>
      </c>
      <c r="O2664" t="s">
        <v>24</v>
      </c>
      <c r="Q2664">
        <v>263.57</v>
      </c>
      <c r="R2664" t="str">
        <f>"FARMÁCIA INDIANA LJ 116 (10051)"</f>
        <v>FARMÁCIA INDIANA LJ 116 (10051)</v>
      </c>
      <c r="S2664" t="s">
        <v>77</v>
      </c>
      <c r="T2664">
        <v>18403</v>
      </c>
      <c r="U2664">
        <v>21585</v>
      </c>
      <c r="V2664" t="s">
        <v>77</v>
      </c>
    </row>
    <row r="2665" spans="1:22">
      <c r="A2665" t="str">
        <f t="shared" si="482"/>
        <v>18/09/2025</v>
      </c>
      <c r="B2665" t="str">
        <f t="shared" si="481"/>
        <v>SAÍDA</v>
      </c>
      <c r="C2665" t="str">
        <f t="shared" si="483"/>
        <v>PIX</v>
      </c>
      <c r="D2665" t="str">
        <f>"21586"</f>
        <v>21586</v>
      </c>
      <c r="E2665" t="str">
        <f t="shared" si="485"/>
        <v>1</v>
      </c>
      <c r="F2665" t="str">
        <f t="shared" si="480"/>
        <v>COM</v>
      </c>
      <c r="G2665" t="str">
        <f>"WEMERSON FELIPE LOPES (187)"</f>
        <v>WEMERSON FELIPE LOPES (187)</v>
      </c>
      <c r="H2665" t="str">
        <f>"Serv.Prest. 01/09/2025 a 07/09/2025 - PIX: CELULAR - CHAVE: (33) 98806-5772"</f>
        <v>Serv.Prest. 01/09/2025 a 07/09/2025 - PIX: CELULAR - CHAVE: (33) 98806-5772</v>
      </c>
      <c r="I2665" t="str">
        <f t="shared" si="484"/>
        <v>18/09/2025</v>
      </c>
      <c r="J2665" t="str">
        <f t="shared" ref="J2665:J2723" si="486">("08/09/2025")</f>
        <v>08/09/2025</v>
      </c>
      <c r="K2665" t="str">
        <f>("18/09/2025")</f>
        <v>18/09/2025</v>
      </c>
      <c r="L2665">
        <v>1080</v>
      </c>
      <c r="M2665">
        <v>1080</v>
      </c>
      <c r="N2665">
        <v>109</v>
      </c>
      <c r="O2665" t="str">
        <f>"PAGAMENTO DE ENTREGADORES"</f>
        <v>PAGAMENTO DE ENTREGADORES</v>
      </c>
      <c r="P2665">
        <v>1080</v>
      </c>
      <c r="S2665" t="str">
        <f>"BANCO C6 (149)"</f>
        <v>BANCO C6 (149)</v>
      </c>
      <c r="T2665">
        <v>18404</v>
      </c>
      <c r="U2665">
        <v>21586</v>
      </c>
      <c r="V2665" t="s">
        <v>77</v>
      </c>
    </row>
    <row r="2666" spans="1:22">
      <c r="A2666" t="str">
        <f t="shared" si="482"/>
        <v>18/09/2025</v>
      </c>
      <c r="B2666" t="str">
        <f t="shared" si="481"/>
        <v>SAÍDA</v>
      </c>
      <c r="C2666" t="str">
        <f t="shared" si="483"/>
        <v>PIX</v>
      </c>
      <c r="D2666" t="str">
        <f>"21586"</f>
        <v>21586</v>
      </c>
      <c r="E2666" t="str">
        <f t="shared" si="485"/>
        <v>1</v>
      </c>
      <c r="F2666" t="str">
        <f t="shared" si="480"/>
        <v>COM</v>
      </c>
      <c r="G2666" t="str">
        <f>"WEMERSON FELIPE LOPES (187)"</f>
        <v>WEMERSON FELIPE LOPES (187)</v>
      </c>
      <c r="H2666" t="s">
        <v>711</v>
      </c>
      <c r="I2666" t="str">
        <f t="shared" si="484"/>
        <v>18/09/2025</v>
      </c>
      <c r="J2666" t="str">
        <f t="shared" si="486"/>
        <v>08/09/2025</v>
      </c>
      <c r="K2666">
        <v>45918</v>
      </c>
      <c r="N2666">
        <v>109</v>
      </c>
      <c r="O2666" t="s">
        <v>24</v>
      </c>
      <c r="Q2666">
        <v>1080</v>
      </c>
      <c r="R2666" t="str">
        <f>"FARMÁCIA INDIANA LJ 06 (10006)"</f>
        <v>FARMÁCIA INDIANA LJ 06 (10006)</v>
      </c>
      <c r="S2666" t="s">
        <v>77</v>
      </c>
      <c r="T2666">
        <v>18404</v>
      </c>
      <c r="U2666">
        <v>21586</v>
      </c>
      <c r="V2666" t="s">
        <v>77</v>
      </c>
    </row>
    <row r="2667" spans="1:22">
      <c r="A2667" t="str">
        <f t="shared" si="482"/>
        <v>18/09/2025</v>
      </c>
      <c r="B2667" t="str">
        <f t="shared" si="481"/>
        <v>SAÍDA</v>
      </c>
      <c r="C2667" t="str">
        <f t="shared" si="483"/>
        <v>PIX</v>
      </c>
      <c r="D2667" t="str">
        <f>"21587"</f>
        <v>21587</v>
      </c>
      <c r="E2667" t="str">
        <f t="shared" si="485"/>
        <v>1</v>
      </c>
      <c r="F2667" t="str">
        <f t="shared" si="480"/>
        <v>COM</v>
      </c>
      <c r="G2667" t="str">
        <f>"WEMERSON MOREIRA PESSOA (75)"</f>
        <v>WEMERSON MOREIRA PESSOA (75)</v>
      </c>
      <c r="H2667" t="str">
        <f>"Serv.Prest. 01/09/2025 a 07/09/2025 - PIX: CELULAR - CHAVE: (33) 99996-3668"</f>
        <v>Serv.Prest. 01/09/2025 a 07/09/2025 - PIX: CELULAR - CHAVE: (33) 99996-3668</v>
      </c>
      <c r="I2667" t="str">
        <f t="shared" si="484"/>
        <v>18/09/2025</v>
      </c>
      <c r="J2667" t="str">
        <f t="shared" si="486"/>
        <v>08/09/2025</v>
      </c>
      <c r="K2667" t="str">
        <f>("18/09/2025")</f>
        <v>18/09/2025</v>
      </c>
      <c r="L2667">
        <v>774</v>
      </c>
      <c r="M2667">
        <v>774</v>
      </c>
      <c r="N2667">
        <v>109</v>
      </c>
      <c r="O2667" t="str">
        <f>"PAGAMENTO DE ENTREGADORES"</f>
        <v>PAGAMENTO DE ENTREGADORES</v>
      </c>
      <c r="P2667">
        <v>774</v>
      </c>
      <c r="S2667" t="str">
        <f>"BANCO C6 (149)"</f>
        <v>BANCO C6 (149)</v>
      </c>
      <c r="T2667">
        <v>18405</v>
      </c>
      <c r="U2667">
        <v>21587</v>
      </c>
      <c r="V2667" t="s">
        <v>77</v>
      </c>
    </row>
    <row r="2668" spans="1:22">
      <c r="A2668" t="str">
        <f t="shared" si="482"/>
        <v>18/09/2025</v>
      </c>
      <c r="B2668" t="str">
        <f t="shared" si="481"/>
        <v>SAÍDA</v>
      </c>
      <c r="C2668" t="str">
        <f t="shared" si="483"/>
        <v>PIX</v>
      </c>
      <c r="D2668" t="str">
        <f>"21587"</f>
        <v>21587</v>
      </c>
      <c r="E2668" t="str">
        <f t="shared" si="485"/>
        <v>1</v>
      </c>
      <c r="F2668" t="str">
        <f t="shared" si="480"/>
        <v>COM</v>
      </c>
      <c r="G2668" t="str">
        <f>"WEMERSON MOREIRA PESSOA (75)"</f>
        <v>WEMERSON MOREIRA PESSOA (75)</v>
      </c>
      <c r="H2668" t="s">
        <v>712</v>
      </c>
      <c r="I2668" t="str">
        <f t="shared" si="484"/>
        <v>18/09/2025</v>
      </c>
      <c r="J2668" t="str">
        <f t="shared" si="486"/>
        <v>08/09/2025</v>
      </c>
      <c r="K2668">
        <v>45918</v>
      </c>
      <c r="N2668">
        <v>109</v>
      </c>
      <c r="O2668" t="s">
        <v>24</v>
      </c>
      <c r="Q2668">
        <v>774</v>
      </c>
      <c r="R2668" t="str">
        <f>"FARMÁCIA INDIANA LJ 07 (10007)"</f>
        <v>FARMÁCIA INDIANA LJ 07 (10007)</v>
      </c>
      <c r="S2668" t="s">
        <v>77</v>
      </c>
      <c r="T2668">
        <v>18405</v>
      </c>
      <c r="U2668">
        <v>21587</v>
      </c>
      <c r="V2668" t="s">
        <v>77</v>
      </c>
    </row>
    <row r="2669" spans="1:22">
      <c r="A2669" t="str">
        <f t="shared" si="482"/>
        <v>18/09/2025</v>
      </c>
      <c r="B2669" t="str">
        <f t="shared" si="481"/>
        <v>SAÍDA</v>
      </c>
      <c r="C2669" t="str">
        <f t="shared" si="483"/>
        <v>PIX</v>
      </c>
      <c r="D2669" t="str">
        <f>"21588"</f>
        <v>21588</v>
      </c>
      <c r="E2669" t="str">
        <f t="shared" si="485"/>
        <v>1</v>
      </c>
      <c r="F2669" t="str">
        <f t="shared" si="480"/>
        <v>COM</v>
      </c>
      <c r="G2669" t="str">
        <f>"WENDEL LIMA DE SOUZA (112)"</f>
        <v>WENDEL LIMA DE SOUZA (112)</v>
      </c>
      <c r="H2669" t="str">
        <f>"Serv.Prest. 01/09/2025 a 07/09/2025 - PIX: CPF - CHAVE: 012.906.122-00"</f>
        <v>Serv.Prest. 01/09/2025 a 07/09/2025 - PIX: CPF - CHAVE: 012.906.122-00</v>
      </c>
      <c r="I2669" t="str">
        <f t="shared" si="484"/>
        <v>18/09/2025</v>
      </c>
      <c r="J2669" t="str">
        <f t="shared" si="486"/>
        <v>08/09/2025</v>
      </c>
      <c r="K2669" t="str">
        <f>("18/09/2025")</f>
        <v>18/09/2025</v>
      </c>
      <c r="L2669">
        <v>1440</v>
      </c>
      <c r="M2669">
        <v>1440</v>
      </c>
      <c r="N2669">
        <v>109</v>
      </c>
      <c r="O2669" t="str">
        <f>"PAGAMENTO DE ENTREGADORES"</f>
        <v>PAGAMENTO DE ENTREGADORES</v>
      </c>
      <c r="P2669">
        <v>1440</v>
      </c>
      <c r="S2669" t="str">
        <f>"BANCO C6 (149)"</f>
        <v>BANCO C6 (149)</v>
      </c>
      <c r="T2669">
        <v>18406</v>
      </c>
      <c r="U2669">
        <v>21588</v>
      </c>
      <c r="V2669" t="s">
        <v>77</v>
      </c>
    </row>
    <row r="2670" spans="1:22">
      <c r="A2670" t="str">
        <f t="shared" si="482"/>
        <v>18/09/2025</v>
      </c>
      <c r="B2670" t="str">
        <f t="shared" si="481"/>
        <v>SAÍDA</v>
      </c>
      <c r="C2670" t="str">
        <f t="shared" si="483"/>
        <v>PIX</v>
      </c>
      <c r="D2670" t="str">
        <f>"21588"</f>
        <v>21588</v>
      </c>
      <c r="E2670" t="str">
        <f t="shared" si="485"/>
        <v>1</v>
      </c>
      <c r="F2670" t="str">
        <f t="shared" si="480"/>
        <v>COM</v>
      </c>
      <c r="G2670" t="str">
        <f>"WENDEL LIMA DE SOUZA (112)"</f>
        <v>WENDEL LIMA DE SOUZA (112)</v>
      </c>
      <c r="H2670" t="s">
        <v>713</v>
      </c>
      <c r="I2670" t="str">
        <f t="shared" si="484"/>
        <v>18/09/2025</v>
      </c>
      <c r="J2670" t="str">
        <f t="shared" si="486"/>
        <v>08/09/2025</v>
      </c>
      <c r="K2670">
        <v>45918</v>
      </c>
      <c r="N2670">
        <v>109</v>
      </c>
      <c r="O2670" t="s">
        <v>24</v>
      </c>
      <c r="Q2670">
        <v>1440</v>
      </c>
      <c r="R2670" t="str">
        <f>"FARMÁCIA INDIANA LJ 11 (10008)"</f>
        <v>FARMÁCIA INDIANA LJ 11 (10008)</v>
      </c>
      <c r="S2670" t="s">
        <v>77</v>
      </c>
      <c r="T2670">
        <v>18406</v>
      </c>
      <c r="U2670">
        <v>21588</v>
      </c>
      <c r="V2670" t="s">
        <v>77</v>
      </c>
    </row>
    <row r="2671" spans="1:22">
      <c r="A2671" t="str">
        <f t="shared" si="482"/>
        <v>18/09/2025</v>
      </c>
      <c r="B2671" t="str">
        <f t="shared" si="481"/>
        <v>SAÍDA</v>
      </c>
      <c r="C2671" t="str">
        <f t="shared" si="483"/>
        <v>PIX</v>
      </c>
      <c r="D2671" t="str">
        <f>"21589"</f>
        <v>21589</v>
      </c>
      <c r="E2671" t="str">
        <f t="shared" si="485"/>
        <v>1</v>
      </c>
      <c r="F2671" t="str">
        <f t="shared" si="480"/>
        <v>COM</v>
      </c>
      <c r="G2671" t="str">
        <f>"WILIAN ROSA VIEIRA (488)"</f>
        <v>WILIAN ROSA VIEIRA (488)</v>
      </c>
      <c r="H2671" t="str">
        <f>"Serv.Prest. 01/09/2025 a 07/09/2025 - PIX: E-MAIL - CHAVE: wilianvieirawrv3578@gmail.com"</f>
        <v>Serv.Prest. 01/09/2025 a 07/09/2025 - PIX: E-MAIL - CHAVE: wilianvieirawrv3578@gmail.com</v>
      </c>
      <c r="I2671" t="str">
        <f t="shared" si="484"/>
        <v>18/09/2025</v>
      </c>
      <c r="J2671" t="str">
        <f t="shared" si="486"/>
        <v>08/09/2025</v>
      </c>
      <c r="K2671" t="str">
        <f>("18/09/2025")</f>
        <v>18/09/2025</v>
      </c>
      <c r="L2671">
        <v>1626</v>
      </c>
      <c r="M2671">
        <v>1626</v>
      </c>
      <c r="N2671">
        <v>109</v>
      </c>
      <c r="O2671" t="str">
        <f>"PAGAMENTO DE ENTREGADORES"</f>
        <v>PAGAMENTO DE ENTREGADORES</v>
      </c>
      <c r="P2671">
        <v>1626</v>
      </c>
      <c r="S2671" t="str">
        <f>"BANCO C6 (149)"</f>
        <v>BANCO C6 (149)</v>
      </c>
      <c r="T2671">
        <v>18407</v>
      </c>
      <c r="U2671">
        <v>21589</v>
      </c>
      <c r="V2671" t="s">
        <v>77</v>
      </c>
    </row>
    <row r="2672" spans="1:22">
      <c r="A2672" t="str">
        <f t="shared" si="482"/>
        <v>18/09/2025</v>
      </c>
      <c r="B2672" t="str">
        <f t="shared" si="481"/>
        <v>SAÍDA</v>
      </c>
      <c r="C2672" t="str">
        <f t="shared" si="483"/>
        <v>PIX</v>
      </c>
      <c r="D2672" t="str">
        <f>"21589"</f>
        <v>21589</v>
      </c>
      <c r="E2672" t="str">
        <f t="shared" si="485"/>
        <v>1</v>
      </c>
      <c r="F2672" t="str">
        <f t="shared" si="480"/>
        <v>COM</v>
      </c>
      <c r="G2672" t="str">
        <f>"WILIAN ROSA VIEIRA (488)"</f>
        <v>WILIAN ROSA VIEIRA (488)</v>
      </c>
      <c r="H2672" t="s">
        <v>714</v>
      </c>
      <c r="I2672" t="str">
        <f t="shared" si="484"/>
        <v>18/09/2025</v>
      </c>
      <c r="J2672" t="str">
        <f t="shared" si="486"/>
        <v>08/09/2025</v>
      </c>
      <c r="K2672">
        <v>45918</v>
      </c>
      <c r="N2672">
        <v>109</v>
      </c>
      <c r="O2672" t="s">
        <v>24</v>
      </c>
      <c r="Q2672">
        <v>786</v>
      </c>
      <c r="R2672" t="str">
        <f>"FARMÁCIA INDIANA LJ 103 (10044)"</f>
        <v>FARMÁCIA INDIANA LJ 103 (10044)</v>
      </c>
      <c r="S2672" t="s">
        <v>77</v>
      </c>
      <c r="T2672">
        <v>18407</v>
      </c>
      <c r="U2672">
        <v>21589</v>
      </c>
      <c r="V2672" t="s">
        <v>77</v>
      </c>
    </row>
    <row r="2673" spans="1:22">
      <c r="A2673" t="str">
        <f t="shared" si="482"/>
        <v>18/09/2025</v>
      </c>
      <c r="B2673" t="str">
        <f t="shared" si="481"/>
        <v>SAÍDA</v>
      </c>
      <c r="C2673" t="str">
        <f t="shared" si="483"/>
        <v>PIX</v>
      </c>
      <c r="D2673" t="str">
        <f>"21589"</f>
        <v>21589</v>
      </c>
      <c r="E2673" t="str">
        <f t="shared" si="485"/>
        <v>1</v>
      </c>
      <c r="F2673" t="str">
        <f t="shared" si="480"/>
        <v>COM</v>
      </c>
      <c r="G2673" t="str">
        <f>"WILIAN ROSA VIEIRA (488)"</f>
        <v>WILIAN ROSA VIEIRA (488)</v>
      </c>
      <c r="H2673" t="s">
        <v>714</v>
      </c>
      <c r="I2673" t="str">
        <f t="shared" si="484"/>
        <v>18/09/2025</v>
      </c>
      <c r="J2673" t="str">
        <f t="shared" si="486"/>
        <v>08/09/2025</v>
      </c>
      <c r="K2673">
        <v>45918</v>
      </c>
      <c r="N2673">
        <v>109</v>
      </c>
      <c r="O2673" t="s">
        <v>24</v>
      </c>
      <c r="Q2673">
        <v>318.05</v>
      </c>
      <c r="R2673" t="str">
        <f>"FARMÁCIA INDIANA LJ 140 (10064)"</f>
        <v>FARMÁCIA INDIANA LJ 140 (10064)</v>
      </c>
      <c r="S2673" t="s">
        <v>77</v>
      </c>
      <c r="T2673">
        <v>18407</v>
      </c>
      <c r="U2673">
        <v>21589</v>
      </c>
      <c r="V2673" t="s">
        <v>77</v>
      </c>
    </row>
    <row r="2674" spans="1:22">
      <c r="A2674" t="str">
        <f t="shared" si="482"/>
        <v>18/09/2025</v>
      </c>
      <c r="B2674" t="str">
        <f t="shared" si="481"/>
        <v>SAÍDA</v>
      </c>
      <c r="C2674" t="str">
        <f t="shared" si="483"/>
        <v>PIX</v>
      </c>
      <c r="D2674" t="str">
        <f>"21589"</f>
        <v>21589</v>
      </c>
      <c r="E2674" t="str">
        <f t="shared" si="485"/>
        <v>1</v>
      </c>
      <c r="F2674" t="str">
        <f t="shared" si="480"/>
        <v>COM</v>
      </c>
      <c r="G2674" t="str">
        <f>"WILIAN ROSA VIEIRA (488)"</f>
        <v>WILIAN ROSA VIEIRA (488)</v>
      </c>
      <c r="H2674" t="s">
        <v>714</v>
      </c>
      <c r="I2674" t="str">
        <f t="shared" si="484"/>
        <v>18/09/2025</v>
      </c>
      <c r="J2674" t="str">
        <f t="shared" si="486"/>
        <v>08/09/2025</v>
      </c>
      <c r="K2674">
        <v>45918</v>
      </c>
      <c r="N2674">
        <v>109</v>
      </c>
      <c r="O2674" t="s">
        <v>24</v>
      </c>
      <c r="Q2674">
        <v>47.97</v>
      </c>
      <c r="R2674" t="str">
        <f>"FARMÁCIA INDIANA LJ 141 (10065)"</f>
        <v>FARMÁCIA INDIANA LJ 141 (10065)</v>
      </c>
      <c r="S2674" t="s">
        <v>77</v>
      </c>
      <c r="T2674">
        <v>18407</v>
      </c>
      <c r="U2674">
        <v>21589</v>
      </c>
      <c r="V2674" t="s">
        <v>77</v>
      </c>
    </row>
    <row r="2675" spans="1:22">
      <c r="A2675" t="str">
        <f t="shared" si="482"/>
        <v>18/09/2025</v>
      </c>
      <c r="B2675" t="str">
        <f t="shared" si="481"/>
        <v>SAÍDA</v>
      </c>
      <c r="C2675" t="str">
        <f t="shared" si="483"/>
        <v>PIX</v>
      </c>
      <c r="D2675" t="str">
        <f>"21589"</f>
        <v>21589</v>
      </c>
      <c r="E2675" t="str">
        <f t="shared" si="485"/>
        <v>1</v>
      </c>
      <c r="F2675" t="str">
        <f t="shared" si="480"/>
        <v>COM</v>
      </c>
      <c r="G2675" t="str">
        <f>"WILIAN ROSA VIEIRA (488)"</f>
        <v>WILIAN ROSA VIEIRA (488)</v>
      </c>
      <c r="H2675" t="s">
        <v>714</v>
      </c>
      <c r="I2675" t="str">
        <f t="shared" si="484"/>
        <v>18/09/2025</v>
      </c>
      <c r="J2675" t="str">
        <f t="shared" si="486"/>
        <v>08/09/2025</v>
      </c>
      <c r="K2675">
        <v>45918</v>
      </c>
      <c r="N2675">
        <v>109</v>
      </c>
      <c r="O2675" t="s">
        <v>24</v>
      </c>
      <c r="Q2675">
        <v>473.98</v>
      </c>
      <c r="R2675" t="str">
        <f>"FARMÁCIA INDIANA LJ 154 (10070)"</f>
        <v>FARMÁCIA INDIANA LJ 154 (10070)</v>
      </c>
      <c r="S2675" t="s">
        <v>77</v>
      </c>
      <c r="T2675">
        <v>18407</v>
      </c>
      <c r="U2675">
        <v>21589</v>
      </c>
      <c r="V2675" t="s">
        <v>77</v>
      </c>
    </row>
    <row r="2676" spans="1:22">
      <c r="A2676" t="str">
        <f t="shared" si="482"/>
        <v>18/09/2025</v>
      </c>
      <c r="B2676" t="str">
        <f t="shared" si="481"/>
        <v>SAÍDA</v>
      </c>
      <c r="C2676" t="str">
        <f t="shared" si="483"/>
        <v>PIX</v>
      </c>
      <c r="D2676" t="str">
        <f>"21591"</f>
        <v>21591</v>
      </c>
      <c r="E2676" t="str">
        <f t="shared" si="485"/>
        <v>1</v>
      </c>
      <c r="F2676" t="str">
        <f t="shared" si="480"/>
        <v>COM</v>
      </c>
      <c r="G2676" t="str">
        <f>"YAN EVERTON RODRIGUES DE LIMA (875)"</f>
        <v>YAN EVERTON RODRIGUES DE LIMA (875)</v>
      </c>
      <c r="H2676" t="str">
        <f>"Serv.Prest. 01/09/2025 a 07/09/2025 - PIX: CELULAR - CHAVE: (33) 99859-8751"</f>
        <v>Serv.Prest. 01/09/2025 a 07/09/2025 - PIX: CELULAR - CHAVE: (33) 99859-8751</v>
      </c>
      <c r="I2676" t="str">
        <f t="shared" si="484"/>
        <v>18/09/2025</v>
      </c>
      <c r="J2676" t="str">
        <f t="shared" si="486"/>
        <v>08/09/2025</v>
      </c>
      <c r="K2676" t="str">
        <f>("18/09/2025")</f>
        <v>18/09/2025</v>
      </c>
      <c r="L2676">
        <v>1092</v>
      </c>
      <c r="M2676">
        <v>1092</v>
      </c>
      <c r="N2676">
        <v>109</v>
      </c>
      <c r="O2676" t="str">
        <f>"PAGAMENTO DE ENTREGADORES"</f>
        <v>PAGAMENTO DE ENTREGADORES</v>
      </c>
      <c r="P2676">
        <v>1092</v>
      </c>
      <c r="S2676" t="str">
        <f>"BANCO C6 (149)"</f>
        <v>BANCO C6 (149)</v>
      </c>
      <c r="T2676">
        <v>18408</v>
      </c>
      <c r="U2676">
        <v>21591</v>
      </c>
      <c r="V2676" t="s">
        <v>77</v>
      </c>
    </row>
    <row r="2677" spans="1:22">
      <c r="A2677" t="str">
        <f t="shared" si="482"/>
        <v>18/09/2025</v>
      </c>
      <c r="B2677" t="str">
        <f t="shared" si="481"/>
        <v>SAÍDA</v>
      </c>
      <c r="C2677" t="str">
        <f t="shared" si="483"/>
        <v>PIX</v>
      </c>
      <c r="D2677" t="str">
        <f>"21591"</f>
        <v>21591</v>
      </c>
      <c r="E2677" t="str">
        <f t="shared" si="485"/>
        <v>1</v>
      </c>
      <c r="F2677" t="str">
        <f t="shared" si="480"/>
        <v>COM</v>
      </c>
      <c r="G2677" t="str">
        <f>"YAN EVERTON RODRIGUES DE LIMA (875)"</f>
        <v>YAN EVERTON RODRIGUES DE LIMA (875)</v>
      </c>
      <c r="H2677" t="s">
        <v>715</v>
      </c>
      <c r="I2677" t="str">
        <f t="shared" si="484"/>
        <v>18/09/2025</v>
      </c>
      <c r="J2677" t="str">
        <f t="shared" si="486"/>
        <v>08/09/2025</v>
      </c>
      <c r="K2677">
        <v>45918</v>
      </c>
      <c r="N2677">
        <v>109</v>
      </c>
      <c r="O2677" t="s">
        <v>24</v>
      </c>
      <c r="Q2677">
        <v>1092</v>
      </c>
      <c r="R2677" t="str">
        <f>"FARMÁCIA INDIANA LJ 06 (10006)"</f>
        <v>FARMÁCIA INDIANA LJ 06 (10006)</v>
      </c>
      <c r="S2677" t="s">
        <v>77</v>
      </c>
      <c r="T2677">
        <v>18408</v>
      </c>
      <c r="U2677">
        <v>21591</v>
      </c>
      <c r="V2677" t="s">
        <v>77</v>
      </c>
    </row>
    <row r="2678" spans="1:22">
      <c r="A2678" t="str">
        <f t="shared" si="482"/>
        <v>18/09/2025</v>
      </c>
      <c r="B2678" t="str">
        <f t="shared" si="481"/>
        <v>SAÍDA</v>
      </c>
      <c r="C2678" t="str">
        <f t="shared" si="483"/>
        <v>PIX</v>
      </c>
      <c r="D2678" t="str">
        <f>"21593"</f>
        <v>21593</v>
      </c>
      <c r="E2678" t="str">
        <f t="shared" si="485"/>
        <v>1</v>
      </c>
      <c r="F2678" t="str">
        <f t="shared" si="480"/>
        <v>COM</v>
      </c>
      <c r="G2678" t="str">
        <f>"CARLOS ALBERTO DE JESUS SANTOS (110)"</f>
        <v>CARLOS ALBERTO DE JESUS SANTOS (110)</v>
      </c>
      <c r="H2678" t="str">
        <f>"Serv.Prest. 01/09/2025 a 07/09/2025 - PIX: CPF - CHAVE: 036.875.515-04"</f>
        <v>Serv.Prest. 01/09/2025 a 07/09/2025 - PIX: CPF - CHAVE: 036.875.515-04</v>
      </c>
      <c r="I2678" t="str">
        <f t="shared" si="484"/>
        <v>18/09/2025</v>
      </c>
      <c r="J2678" t="str">
        <f t="shared" si="486"/>
        <v>08/09/2025</v>
      </c>
      <c r="K2678" t="str">
        <f>("18/09/2025")</f>
        <v>18/09/2025</v>
      </c>
      <c r="L2678">
        <v>654</v>
      </c>
      <c r="M2678">
        <v>654</v>
      </c>
      <c r="N2678">
        <v>109</v>
      </c>
      <c r="O2678" t="str">
        <f>"PAGAMENTO DE ENTREGADORES"</f>
        <v>PAGAMENTO DE ENTREGADORES</v>
      </c>
      <c r="P2678">
        <v>654</v>
      </c>
      <c r="S2678" t="str">
        <f>"BANCO C6 (149)"</f>
        <v>BANCO C6 (149)</v>
      </c>
      <c r="T2678">
        <v>18409</v>
      </c>
      <c r="U2678">
        <v>21593</v>
      </c>
      <c r="V2678" t="s">
        <v>77</v>
      </c>
    </row>
    <row r="2679" spans="1:22">
      <c r="A2679" t="str">
        <f t="shared" si="482"/>
        <v>18/09/2025</v>
      </c>
      <c r="B2679" t="str">
        <f t="shared" si="481"/>
        <v>SAÍDA</v>
      </c>
      <c r="C2679" t="str">
        <f t="shared" si="483"/>
        <v>PIX</v>
      </c>
      <c r="D2679" t="str">
        <f>"21593"</f>
        <v>21593</v>
      </c>
      <c r="E2679" t="str">
        <f t="shared" si="485"/>
        <v>1</v>
      </c>
      <c r="F2679" t="str">
        <f t="shared" si="480"/>
        <v>COM</v>
      </c>
      <c r="G2679" t="str">
        <f>"CARLOS ALBERTO DE JESUS SANTOS (110)"</f>
        <v>CARLOS ALBERTO DE JESUS SANTOS (110)</v>
      </c>
      <c r="H2679" t="s">
        <v>716</v>
      </c>
      <c r="I2679" t="str">
        <f t="shared" si="484"/>
        <v>18/09/2025</v>
      </c>
      <c r="J2679" t="str">
        <f t="shared" si="486"/>
        <v>08/09/2025</v>
      </c>
      <c r="K2679">
        <v>45918</v>
      </c>
      <c r="N2679">
        <v>109</v>
      </c>
      <c r="O2679" t="s">
        <v>24</v>
      </c>
      <c r="Q2679">
        <v>163.5</v>
      </c>
      <c r="R2679" t="str">
        <f>"FARMÁCIA INDIANA LJ 65 (10030)"</f>
        <v>FARMÁCIA INDIANA LJ 65 (10030)</v>
      </c>
      <c r="S2679" t="s">
        <v>77</v>
      </c>
      <c r="T2679">
        <v>18409</v>
      </c>
      <c r="U2679">
        <v>21593</v>
      </c>
      <c r="V2679" t="s">
        <v>77</v>
      </c>
    </row>
    <row r="2680" spans="1:22">
      <c r="A2680" t="str">
        <f t="shared" si="482"/>
        <v>18/09/2025</v>
      </c>
      <c r="B2680" t="str">
        <f t="shared" si="481"/>
        <v>SAÍDA</v>
      </c>
      <c r="C2680" t="str">
        <f t="shared" si="483"/>
        <v>PIX</v>
      </c>
      <c r="D2680" t="str">
        <f>"21593"</f>
        <v>21593</v>
      </c>
      <c r="E2680" t="str">
        <f t="shared" si="485"/>
        <v>1</v>
      </c>
      <c r="F2680" t="str">
        <f t="shared" si="480"/>
        <v>COM</v>
      </c>
      <c r="G2680" t="str">
        <f>"CARLOS ALBERTO DE JESUS SANTOS (110)"</f>
        <v>CARLOS ALBERTO DE JESUS SANTOS (110)</v>
      </c>
      <c r="H2680" t="s">
        <v>716</v>
      </c>
      <c r="I2680" t="str">
        <f t="shared" si="484"/>
        <v>18/09/2025</v>
      </c>
      <c r="J2680" t="str">
        <f t="shared" si="486"/>
        <v>08/09/2025</v>
      </c>
      <c r="K2680">
        <v>45918</v>
      </c>
      <c r="N2680">
        <v>109</v>
      </c>
      <c r="O2680" t="s">
        <v>24</v>
      </c>
      <c r="Q2680">
        <v>490.5</v>
      </c>
      <c r="R2680" t="str">
        <f>"FARMÁCIA INDIANA LJ 173 (10075)"</f>
        <v>FARMÁCIA INDIANA LJ 173 (10075)</v>
      </c>
      <c r="S2680" t="s">
        <v>77</v>
      </c>
      <c r="T2680">
        <v>18409</v>
      </c>
      <c r="U2680">
        <v>21593</v>
      </c>
      <c r="V2680" t="s">
        <v>77</v>
      </c>
    </row>
    <row r="2681" spans="1:22">
      <c r="A2681" t="str">
        <f t="shared" si="482"/>
        <v>18/09/2025</v>
      </c>
      <c r="B2681" t="str">
        <f t="shared" si="481"/>
        <v>SAÍDA</v>
      </c>
      <c r="C2681" t="str">
        <f t="shared" si="483"/>
        <v>PIX</v>
      </c>
      <c r="D2681" t="str">
        <f>"21595"</f>
        <v>21595</v>
      </c>
      <c r="E2681" t="str">
        <f t="shared" si="485"/>
        <v>1</v>
      </c>
      <c r="F2681" t="str">
        <f t="shared" si="480"/>
        <v>COM</v>
      </c>
      <c r="G2681" t="str">
        <f>"DIOCLECIO SANDES JOTA (135)"</f>
        <v>DIOCLECIO SANDES JOTA (135)</v>
      </c>
      <c r="H2681" t="str">
        <f>"Serv.Prest. 01/09/2025 a 07/09/2025 - PIX: CELULAR - CHAVE: (73) 99966-7211"</f>
        <v>Serv.Prest. 01/09/2025 a 07/09/2025 - PIX: CELULAR - CHAVE: (73) 99966-7211</v>
      </c>
      <c r="I2681" t="str">
        <f t="shared" si="484"/>
        <v>18/09/2025</v>
      </c>
      <c r="J2681" t="str">
        <f t="shared" si="486"/>
        <v>08/09/2025</v>
      </c>
      <c r="K2681" t="str">
        <f>("18/09/2025")</f>
        <v>18/09/2025</v>
      </c>
      <c r="L2681">
        <v>888</v>
      </c>
      <c r="M2681">
        <v>888</v>
      </c>
      <c r="N2681">
        <v>109</v>
      </c>
      <c r="O2681" t="str">
        <f>"PAGAMENTO DE ENTREGADORES"</f>
        <v>PAGAMENTO DE ENTREGADORES</v>
      </c>
      <c r="P2681">
        <v>888</v>
      </c>
      <c r="S2681" t="str">
        <f>"BANCO C6 (149)"</f>
        <v>BANCO C6 (149)</v>
      </c>
      <c r="T2681">
        <v>18410</v>
      </c>
      <c r="U2681">
        <v>21595</v>
      </c>
      <c r="V2681" t="s">
        <v>77</v>
      </c>
    </row>
    <row r="2682" spans="1:22">
      <c r="A2682" t="str">
        <f t="shared" si="482"/>
        <v>18/09/2025</v>
      </c>
      <c r="B2682" t="str">
        <f t="shared" si="481"/>
        <v>SAÍDA</v>
      </c>
      <c r="C2682" t="str">
        <f t="shared" si="483"/>
        <v>PIX</v>
      </c>
      <c r="D2682" t="str">
        <f>"21595"</f>
        <v>21595</v>
      </c>
      <c r="E2682" t="str">
        <f t="shared" si="485"/>
        <v>1</v>
      </c>
      <c r="F2682" t="str">
        <f t="shared" si="480"/>
        <v>COM</v>
      </c>
      <c r="G2682" t="str">
        <f>"DIOCLECIO SANDES JOTA (135)"</f>
        <v>DIOCLECIO SANDES JOTA (135)</v>
      </c>
      <c r="H2682" t="s">
        <v>717</v>
      </c>
      <c r="I2682" t="str">
        <f t="shared" si="484"/>
        <v>18/09/2025</v>
      </c>
      <c r="J2682" t="str">
        <f t="shared" si="486"/>
        <v>08/09/2025</v>
      </c>
      <c r="K2682">
        <v>45918</v>
      </c>
      <c r="N2682">
        <v>109</v>
      </c>
      <c r="O2682" t="s">
        <v>24</v>
      </c>
      <c r="Q2682">
        <v>888</v>
      </c>
      <c r="R2682" t="str">
        <f>"FARMÁCIA INDIANA LJ 91 (10037)"</f>
        <v>FARMÁCIA INDIANA LJ 91 (10037)</v>
      </c>
      <c r="S2682" t="s">
        <v>77</v>
      </c>
      <c r="T2682">
        <v>18410</v>
      </c>
      <c r="U2682">
        <v>21595</v>
      </c>
      <c r="V2682" t="s">
        <v>77</v>
      </c>
    </row>
    <row r="2683" spans="1:22">
      <c r="A2683" t="str">
        <f t="shared" si="482"/>
        <v>18/09/2025</v>
      </c>
      <c r="B2683" t="str">
        <f t="shared" si="481"/>
        <v>SAÍDA</v>
      </c>
      <c r="C2683" t="str">
        <f t="shared" si="483"/>
        <v>PIX</v>
      </c>
      <c r="D2683" t="str">
        <f>"21596"</f>
        <v>21596</v>
      </c>
      <c r="E2683" t="str">
        <f t="shared" si="485"/>
        <v>1</v>
      </c>
      <c r="F2683" t="str">
        <f t="shared" ref="F2683:F2746" si="487">"COM"</f>
        <v>COM</v>
      </c>
      <c r="G2683" t="str">
        <f>"EDUARDO SILVA DE JESUS (143)"</f>
        <v>EDUARDO SILVA DE JESUS (143)</v>
      </c>
      <c r="H2683" t="str">
        <f>"Serv.Prest. 01/09/2025 a 07/09/2025 - PIX: CPF - CHAVE: 094.947.395-23"</f>
        <v>Serv.Prest. 01/09/2025 a 07/09/2025 - PIX: CPF - CHAVE: 094.947.395-23</v>
      </c>
      <c r="I2683" t="str">
        <f t="shared" si="484"/>
        <v>18/09/2025</v>
      </c>
      <c r="J2683" t="str">
        <f t="shared" si="486"/>
        <v>08/09/2025</v>
      </c>
      <c r="K2683" t="str">
        <f>("18/09/2025")</f>
        <v>18/09/2025</v>
      </c>
      <c r="L2683">
        <v>648</v>
      </c>
      <c r="M2683">
        <v>648</v>
      </c>
      <c r="N2683">
        <v>109</v>
      </c>
      <c r="O2683" t="str">
        <f>"PAGAMENTO DE ENTREGADORES"</f>
        <v>PAGAMENTO DE ENTREGADORES</v>
      </c>
      <c r="P2683">
        <v>648</v>
      </c>
      <c r="S2683" t="str">
        <f>"BANCO C6 (149)"</f>
        <v>BANCO C6 (149)</v>
      </c>
      <c r="T2683">
        <v>18411</v>
      </c>
      <c r="U2683">
        <v>21596</v>
      </c>
      <c r="V2683" t="s">
        <v>77</v>
      </c>
    </row>
    <row r="2684" spans="1:22">
      <c r="A2684" t="str">
        <f t="shared" si="482"/>
        <v>18/09/2025</v>
      </c>
      <c r="B2684" t="str">
        <f t="shared" si="481"/>
        <v>SAÍDA</v>
      </c>
      <c r="C2684" t="str">
        <f t="shared" si="483"/>
        <v>PIX</v>
      </c>
      <c r="D2684" t="str">
        <f>"21596"</f>
        <v>21596</v>
      </c>
      <c r="E2684" t="str">
        <f t="shared" si="485"/>
        <v>1</v>
      </c>
      <c r="F2684" t="str">
        <f t="shared" si="487"/>
        <v>COM</v>
      </c>
      <c r="G2684" t="str">
        <f>"EDUARDO SILVA DE JESUS (143)"</f>
        <v>EDUARDO SILVA DE JESUS (143)</v>
      </c>
      <c r="H2684" t="s">
        <v>718</v>
      </c>
      <c r="I2684" t="str">
        <f t="shared" si="484"/>
        <v>18/09/2025</v>
      </c>
      <c r="J2684" t="str">
        <f t="shared" si="486"/>
        <v>08/09/2025</v>
      </c>
      <c r="K2684">
        <v>45918</v>
      </c>
      <c r="N2684">
        <v>109</v>
      </c>
      <c r="O2684" t="s">
        <v>24</v>
      </c>
      <c r="Q2684">
        <v>648</v>
      </c>
      <c r="R2684" t="str">
        <f>"FARMÁCIA INDIANA LJ 91 (10037)"</f>
        <v>FARMÁCIA INDIANA LJ 91 (10037)</v>
      </c>
      <c r="S2684" t="s">
        <v>77</v>
      </c>
      <c r="T2684">
        <v>18411</v>
      </c>
      <c r="U2684">
        <v>21596</v>
      </c>
      <c r="V2684" t="s">
        <v>77</v>
      </c>
    </row>
    <row r="2685" spans="1:22">
      <c r="A2685" t="str">
        <f t="shared" si="482"/>
        <v>18/09/2025</v>
      </c>
      <c r="B2685" t="str">
        <f t="shared" si="481"/>
        <v>SAÍDA</v>
      </c>
      <c r="C2685" t="str">
        <f t="shared" si="483"/>
        <v>PIX</v>
      </c>
      <c r="D2685" t="str">
        <f>"21597"</f>
        <v>21597</v>
      </c>
      <c r="E2685" t="str">
        <f t="shared" si="485"/>
        <v>1</v>
      </c>
      <c r="F2685" t="str">
        <f t="shared" si="487"/>
        <v>COM</v>
      </c>
      <c r="G2685" t="str">
        <f>"ERIC DE RAMOS GOMES (606)"</f>
        <v>ERIC DE RAMOS GOMES (606)</v>
      </c>
      <c r="H2685" t="str">
        <f>"Serv.Prest. 01/09/2025 a 07/09/2025 - PIX: E-MAIL - CHAVE: ericgomes508@gmail.com"</f>
        <v>Serv.Prest. 01/09/2025 a 07/09/2025 - PIX: E-MAIL - CHAVE: ericgomes508@gmail.com</v>
      </c>
      <c r="I2685" t="str">
        <f t="shared" si="484"/>
        <v>18/09/2025</v>
      </c>
      <c r="J2685" t="str">
        <f t="shared" si="486"/>
        <v>08/09/2025</v>
      </c>
      <c r="K2685" t="str">
        <f>("18/09/2025")</f>
        <v>18/09/2025</v>
      </c>
      <c r="L2685">
        <v>744</v>
      </c>
      <c r="M2685">
        <v>744</v>
      </c>
      <c r="N2685">
        <v>109</v>
      </c>
      <c r="O2685" t="str">
        <f>"PAGAMENTO DE ENTREGADORES"</f>
        <v>PAGAMENTO DE ENTREGADORES</v>
      </c>
      <c r="P2685">
        <v>744</v>
      </c>
      <c r="S2685" t="str">
        <f>"BANCO C6 (149)"</f>
        <v>BANCO C6 (149)</v>
      </c>
      <c r="T2685">
        <v>18412</v>
      </c>
      <c r="U2685">
        <v>21597</v>
      </c>
      <c r="V2685" t="s">
        <v>77</v>
      </c>
    </row>
    <row r="2686" spans="1:22">
      <c r="A2686" t="str">
        <f t="shared" si="482"/>
        <v>18/09/2025</v>
      </c>
      <c r="B2686" t="str">
        <f t="shared" si="481"/>
        <v>SAÍDA</v>
      </c>
      <c r="C2686" t="str">
        <f t="shared" si="483"/>
        <v>PIX</v>
      </c>
      <c r="D2686" t="str">
        <f>"21597"</f>
        <v>21597</v>
      </c>
      <c r="E2686" t="str">
        <f t="shared" si="485"/>
        <v>1</v>
      </c>
      <c r="F2686" t="str">
        <f t="shared" si="487"/>
        <v>COM</v>
      </c>
      <c r="G2686" t="str">
        <f>"ERIC DE RAMOS GOMES (606)"</f>
        <v>ERIC DE RAMOS GOMES (606)</v>
      </c>
      <c r="H2686" t="s">
        <v>719</v>
      </c>
      <c r="I2686" t="str">
        <f t="shared" si="484"/>
        <v>18/09/2025</v>
      </c>
      <c r="J2686" t="str">
        <f t="shared" si="486"/>
        <v>08/09/2025</v>
      </c>
      <c r="K2686">
        <v>45918</v>
      </c>
      <c r="N2686">
        <v>109</v>
      </c>
      <c r="O2686" t="s">
        <v>24</v>
      </c>
      <c r="Q2686">
        <v>744</v>
      </c>
      <c r="R2686" t="str">
        <f>"FARMÁCIA INDIANA LJ 91 (10037)"</f>
        <v>FARMÁCIA INDIANA LJ 91 (10037)</v>
      </c>
      <c r="S2686" t="s">
        <v>77</v>
      </c>
      <c r="T2686">
        <v>18412</v>
      </c>
      <c r="U2686">
        <v>21597</v>
      </c>
      <c r="V2686" t="s">
        <v>77</v>
      </c>
    </row>
    <row r="2687" spans="1:22">
      <c r="A2687" t="str">
        <f t="shared" si="482"/>
        <v>18/09/2025</v>
      </c>
      <c r="B2687" t="str">
        <f t="shared" si="481"/>
        <v>SAÍDA</v>
      </c>
      <c r="C2687" t="str">
        <f t="shared" si="483"/>
        <v>PIX</v>
      </c>
      <c r="D2687" t="str">
        <f>"21598"</f>
        <v>21598</v>
      </c>
      <c r="E2687" t="str">
        <f t="shared" si="485"/>
        <v>1</v>
      </c>
      <c r="F2687" t="str">
        <f t="shared" si="487"/>
        <v>COM</v>
      </c>
      <c r="G2687" t="str">
        <f>"ERISVALDO FELIX ALVES (911)"</f>
        <v>ERISVALDO FELIX ALVES (911)</v>
      </c>
      <c r="H2687" t="str">
        <f>"Serv.Prest. 01/09/2025 a 07/09/2025 - PIX: CPF - CHAVE: 005.022.525-10"</f>
        <v>Serv.Prest. 01/09/2025 a 07/09/2025 - PIX: CPF - CHAVE: 005.022.525-10</v>
      </c>
      <c r="I2687" t="str">
        <f t="shared" si="484"/>
        <v>18/09/2025</v>
      </c>
      <c r="J2687" t="str">
        <f t="shared" si="486"/>
        <v>08/09/2025</v>
      </c>
      <c r="K2687" t="str">
        <f>("18/09/2025")</f>
        <v>18/09/2025</v>
      </c>
      <c r="L2687">
        <v>870</v>
      </c>
      <c r="M2687">
        <v>870</v>
      </c>
      <c r="N2687">
        <v>109</v>
      </c>
      <c r="O2687" t="str">
        <f>"PAGAMENTO DE ENTREGADORES"</f>
        <v>PAGAMENTO DE ENTREGADORES</v>
      </c>
      <c r="P2687">
        <v>870</v>
      </c>
      <c r="S2687" t="str">
        <f>"BANCO C6 (149)"</f>
        <v>BANCO C6 (149)</v>
      </c>
      <c r="T2687">
        <v>18413</v>
      </c>
      <c r="U2687">
        <v>21598</v>
      </c>
      <c r="V2687" t="s">
        <v>77</v>
      </c>
    </row>
    <row r="2688" spans="1:22">
      <c r="A2688" t="str">
        <f t="shared" si="482"/>
        <v>18/09/2025</v>
      </c>
      <c r="B2688" t="str">
        <f t="shared" si="481"/>
        <v>SAÍDA</v>
      </c>
      <c r="C2688" t="str">
        <f t="shared" si="483"/>
        <v>PIX</v>
      </c>
      <c r="D2688" t="str">
        <f>"21598"</f>
        <v>21598</v>
      </c>
      <c r="E2688" t="str">
        <f t="shared" si="485"/>
        <v>1</v>
      </c>
      <c r="F2688" t="str">
        <f t="shared" si="487"/>
        <v>COM</v>
      </c>
      <c r="G2688" t="str">
        <f>"ERISVALDO FELIX ALVES (911)"</f>
        <v>ERISVALDO FELIX ALVES (911)</v>
      </c>
      <c r="H2688" t="s">
        <v>720</v>
      </c>
      <c r="I2688" t="str">
        <f t="shared" si="484"/>
        <v>18/09/2025</v>
      </c>
      <c r="J2688" t="str">
        <f t="shared" si="486"/>
        <v>08/09/2025</v>
      </c>
      <c r="K2688">
        <v>45918</v>
      </c>
      <c r="N2688">
        <v>109</v>
      </c>
      <c r="O2688" t="s">
        <v>24</v>
      </c>
      <c r="Q2688">
        <v>870</v>
      </c>
      <c r="R2688" t="str">
        <f>"FARMÁCIA INDIANA LJ 33 (10187)"</f>
        <v>FARMÁCIA INDIANA LJ 33 (10187)</v>
      </c>
      <c r="S2688" t="s">
        <v>77</v>
      </c>
      <c r="T2688">
        <v>18413</v>
      </c>
      <c r="U2688">
        <v>21598</v>
      </c>
      <c r="V2688" t="s">
        <v>77</v>
      </c>
    </row>
    <row r="2689" spans="1:22">
      <c r="A2689" t="str">
        <f t="shared" si="482"/>
        <v>18/09/2025</v>
      </c>
      <c r="B2689" t="str">
        <f t="shared" si="481"/>
        <v>SAÍDA</v>
      </c>
      <c r="C2689" t="str">
        <f t="shared" si="483"/>
        <v>PIX</v>
      </c>
      <c r="D2689" t="str">
        <f>"21599"</f>
        <v>21599</v>
      </c>
      <c r="E2689" t="str">
        <f t="shared" si="485"/>
        <v>1</v>
      </c>
      <c r="F2689" t="str">
        <f t="shared" si="487"/>
        <v>COM</v>
      </c>
      <c r="G2689" t="str">
        <f>"GILBERTO PINHEIRO DA ROCHA (155)"</f>
        <v>GILBERTO PINHEIRO DA ROCHA (155)</v>
      </c>
      <c r="H2689" t="str">
        <f>"Serv.Prest. 01/09/2025 a 07/09/2025 - PIX: CELULAR - CHAVE: (73) 99941-8352"</f>
        <v>Serv.Prest. 01/09/2025 a 07/09/2025 - PIX: CELULAR - CHAVE: (73) 99941-8352</v>
      </c>
      <c r="I2689" t="str">
        <f t="shared" si="484"/>
        <v>18/09/2025</v>
      </c>
      <c r="J2689" t="str">
        <f t="shared" si="486"/>
        <v>08/09/2025</v>
      </c>
      <c r="K2689" t="str">
        <f>("18/09/2025")</f>
        <v>18/09/2025</v>
      </c>
      <c r="L2689">
        <v>909.5</v>
      </c>
      <c r="M2689">
        <v>909.5</v>
      </c>
      <c r="N2689">
        <v>109</v>
      </c>
      <c r="O2689" t="str">
        <f>"PAGAMENTO DE ENTREGADORES"</f>
        <v>PAGAMENTO DE ENTREGADORES</v>
      </c>
      <c r="P2689">
        <v>909.5</v>
      </c>
      <c r="S2689" t="str">
        <f>"BANCO C6 (149)"</f>
        <v>BANCO C6 (149)</v>
      </c>
      <c r="T2689">
        <v>18414</v>
      </c>
      <c r="U2689">
        <v>21599</v>
      </c>
      <c r="V2689" t="s">
        <v>77</v>
      </c>
    </row>
    <row r="2690" spans="1:22">
      <c r="A2690" t="str">
        <f t="shared" si="482"/>
        <v>18/09/2025</v>
      </c>
      <c r="B2690" t="str">
        <f t="shared" si="481"/>
        <v>SAÍDA</v>
      </c>
      <c r="C2690" t="str">
        <f t="shared" si="483"/>
        <v>PIX</v>
      </c>
      <c r="D2690" t="str">
        <f>"21599"</f>
        <v>21599</v>
      </c>
      <c r="E2690" t="str">
        <f t="shared" si="485"/>
        <v>1</v>
      </c>
      <c r="F2690" t="str">
        <f t="shared" si="487"/>
        <v>COM</v>
      </c>
      <c r="G2690" t="str">
        <f>"GILBERTO PINHEIRO DA ROCHA (155)"</f>
        <v>GILBERTO PINHEIRO DA ROCHA (155)</v>
      </c>
      <c r="H2690" t="s">
        <v>721</v>
      </c>
      <c r="I2690" t="str">
        <f t="shared" si="484"/>
        <v>18/09/2025</v>
      </c>
      <c r="J2690" t="str">
        <f t="shared" si="486"/>
        <v>08/09/2025</v>
      </c>
      <c r="K2690">
        <v>45918</v>
      </c>
      <c r="N2690">
        <v>109</v>
      </c>
      <c r="O2690" t="s">
        <v>24</v>
      </c>
      <c r="Q2690">
        <v>909.5</v>
      </c>
      <c r="R2690" t="str">
        <f>"FARMÁCIA INDIANA LJ 34 (10014)"</f>
        <v>FARMÁCIA INDIANA LJ 34 (10014)</v>
      </c>
      <c r="S2690" t="s">
        <v>77</v>
      </c>
      <c r="T2690">
        <v>18414</v>
      </c>
      <c r="U2690">
        <v>21599</v>
      </c>
      <c r="V2690" t="s">
        <v>77</v>
      </c>
    </row>
    <row r="2691" spans="1:22">
      <c r="A2691" t="str">
        <f t="shared" si="482"/>
        <v>18/09/2025</v>
      </c>
      <c r="B2691" t="str">
        <f t="shared" si="481"/>
        <v>SAÍDA</v>
      </c>
      <c r="C2691" t="str">
        <f t="shared" si="483"/>
        <v>PIX</v>
      </c>
      <c r="D2691" t="str">
        <f>"21601"</f>
        <v>21601</v>
      </c>
      <c r="E2691" t="str">
        <f t="shared" si="485"/>
        <v>1</v>
      </c>
      <c r="F2691" t="str">
        <f t="shared" si="487"/>
        <v>COM</v>
      </c>
      <c r="G2691" t="str">
        <f>"GUSTAVO SILVA LIMA (771)"</f>
        <v>GUSTAVO SILVA LIMA (771)</v>
      </c>
      <c r="H2691" t="str">
        <f>"Serv.Prest. 01/09/2025 a 07/09/2025 - PIX: CELULAR - CHAVE: (73) 98888-3793"</f>
        <v>Serv.Prest. 01/09/2025 a 07/09/2025 - PIX: CELULAR - CHAVE: (73) 98888-3793</v>
      </c>
      <c r="I2691" t="str">
        <f t="shared" si="484"/>
        <v>18/09/2025</v>
      </c>
      <c r="J2691" t="str">
        <f t="shared" si="486"/>
        <v>08/09/2025</v>
      </c>
      <c r="K2691" t="str">
        <f>("18/09/2025")</f>
        <v>18/09/2025</v>
      </c>
      <c r="L2691">
        <v>654</v>
      </c>
      <c r="M2691">
        <v>654</v>
      </c>
      <c r="N2691">
        <v>109</v>
      </c>
      <c r="O2691" t="str">
        <f>"PAGAMENTO DE ENTREGADORES"</f>
        <v>PAGAMENTO DE ENTREGADORES</v>
      </c>
      <c r="P2691">
        <v>654</v>
      </c>
      <c r="S2691" t="str">
        <f>"BANCO C6 (149)"</f>
        <v>BANCO C6 (149)</v>
      </c>
      <c r="T2691">
        <v>18415</v>
      </c>
      <c r="U2691">
        <v>21601</v>
      </c>
      <c r="V2691" t="s">
        <v>77</v>
      </c>
    </row>
    <row r="2692" spans="1:22">
      <c r="A2692" t="str">
        <f t="shared" si="482"/>
        <v>18/09/2025</v>
      </c>
      <c r="B2692" t="str">
        <f t="shared" si="481"/>
        <v>SAÍDA</v>
      </c>
      <c r="C2692" t="str">
        <f t="shared" si="483"/>
        <v>PIX</v>
      </c>
      <c r="D2692" t="str">
        <f>"21601"</f>
        <v>21601</v>
      </c>
      <c r="E2692" t="str">
        <f t="shared" si="485"/>
        <v>1</v>
      </c>
      <c r="F2692" t="str">
        <f t="shared" si="487"/>
        <v>COM</v>
      </c>
      <c r="G2692" t="str">
        <f>"GUSTAVO SILVA LIMA (771)"</f>
        <v>GUSTAVO SILVA LIMA (771)</v>
      </c>
      <c r="H2692" t="s">
        <v>722</v>
      </c>
      <c r="I2692" t="str">
        <f t="shared" si="484"/>
        <v>18/09/2025</v>
      </c>
      <c r="J2692" t="str">
        <f t="shared" si="486"/>
        <v>08/09/2025</v>
      </c>
      <c r="K2692">
        <v>45918</v>
      </c>
      <c r="N2692">
        <v>109</v>
      </c>
      <c r="O2692" t="s">
        <v>24</v>
      </c>
      <c r="Q2692">
        <v>654</v>
      </c>
      <c r="R2692" t="str">
        <f>"FARMÁCIA INDIANA LJ 65 (10030)"</f>
        <v>FARMÁCIA INDIANA LJ 65 (10030)</v>
      </c>
      <c r="S2692" t="s">
        <v>77</v>
      </c>
      <c r="T2692">
        <v>18415</v>
      </c>
      <c r="U2692">
        <v>21601</v>
      </c>
      <c r="V2692" t="s">
        <v>77</v>
      </c>
    </row>
    <row r="2693" spans="1:22">
      <c r="A2693" t="str">
        <f t="shared" si="482"/>
        <v>18/09/2025</v>
      </c>
      <c r="B2693" t="str">
        <f t="shared" ref="B2693:B2756" si="488">"SAÍDA"</f>
        <v>SAÍDA</v>
      </c>
      <c r="C2693" t="str">
        <f t="shared" si="483"/>
        <v>PIX</v>
      </c>
      <c r="D2693" t="str">
        <f>"21602"</f>
        <v>21602</v>
      </c>
      <c r="E2693" t="str">
        <f t="shared" si="485"/>
        <v>1</v>
      </c>
      <c r="F2693" t="str">
        <f t="shared" si="487"/>
        <v>COM</v>
      </c>
      <c r="G2693" t="str">
        <f>"JALDENIR MENDES DOS SANTOS (167)"</f>
        <v>JALDENIR MENDES DOS SANTOS (167)</v>
      </c>
      <c r="H2693" t="str">
        <f>"Serv.Prest. 01/09/2025 a 07/09/2025 - PIX: CPF - CHAVE: 439.169.103-53"</f>
        <v>Serv.Prest. 01/09/2025 a 07/09/2025 - PIX: CPF - CHAVE: 439.169.103-53</v>
      </c>
      <c r="I2693" t="str">
        <f t="shared" si="484"/>
        <v>18/09/2025</v>
      </c>
      <c r="J2693" t="str">
        <f t="shared" si="486"/>
        <v>08/09/2025</v>
      </c>
      <c r="K2693" t="str">
        <f>("18/09/2025")</f>
        <v>18/09/2025</v>
      </c>
      <c r="L2693">
        <v>1096.5</v>
      </c>
      <c r="M2693">
        <v>1096.5</v>
      </c>
      <c r="N2693">
        <v>109</v>
      </c>
      <c r="O2693" t="str">
        <f>"PAGAMENTO DE ENTREGADORES"</f>
        <v>PAGAMENTO DE ENTREGADORES</v>
      </c>
      <c r="P2693">
        <v>1096.5</v>
      </c>
      <c r="S2693" t="str">
        <f>"BANCO C6 (149)"</f>
        <v>BANCO C6 (149)</v>
      </c>
      <c r="T2693">
        <v>18416</v>
      </c>
      <c r="U2693">
        <v>21602</v>
      </c>
      <c r="V2693" t="s">
        <v>77</v>
      </c>
    </row>
    <row r="2694" spans="1:22">
      <c r="A2694" t="str">
        <f t="shared" si="482"/>
        <v>18/09/2025</v>
      </c>
      <c r="B2694" t="str">
        <f t="shared" si="488"/>
        <v>SAÍDA</v>
      </c>
      <c r="C2694" t="str">
        <f t="shared" si="483"/>
        <v>PIX</v>
      </c>
      <c r="D2694" t="str">
        <f>"21602"</f>
        <v>21602</v>
      </c>
      <c r="E2694" t="str">
        <f t="shared" si="485"/>
        <v>1</v>
      </c>
      <c r="F2694" t="str">
        <f t="shared" si="487"/>
        <v>COM</v>
      </c>
      <c r="G2694" t="str">
        <f>"JALDENIR MENDES DOS SANTOS (167)"</f>
        <v>JALDENIR MENDES DOS SANTOS (167)</v>
      </c>
      <c r="H2694" t="s">
        <v>723</v>
      </c>
      <c r="I2694" t="str">
        <f t="shared" si="484"/>
        <v>18/09/2025</v>
      </c>
      <c r="J2694" t="str">
        <f t="shared" si="486"/>
        <v>08/09/2025</v>
      </c>
      <c r="K2694">
        <v>45918</v>
      </c>
      <c r="N2694">
        <v>109</v>
      </c>
      <c r="O2694" t="s">
        <v>24</v>
      </c>
      <c r="Q2694">
        <v>1096.5</v>
      </c>
      <c r="R2694" t="str">
        <f>"FARMÁCIA INDIANA LJ 34 (10014)"</f>
        <v>FARMÁCIA INDIANA LJ 34 (10014)</v>
      </c>
      <c r="S2694" t="s">
        <v>77</v>
      </c>
      <c r="T2694">
        <v>18416</v>
      </c>
      <c r="U2694">
        <v>21602</v>
      </c>
      <c r="V2694" t="s">
        <v>77</v>
      </c>
    </row>
    <row r="2695" spans="1:22">
      <c r="A2695" t="str">
        <f t="shared" si="482"/>
        <v>18/09/2025</v>
      </c>
      <c r="B2695" t="str">
        <f t="shared" si="488"/>
        <v>SAÍDA</v>
      </c>
      <c r="C2695" t="str">
        <f t="shared" si="483"/>
        <v>PIX</v>
      </c>
      <c r="D2695" t="str">
        <f>"21603"</f>
        <v>21603</v>
      </c>
      <c r="E2695" t="str">
        <f t="shared" si="485"/>
        <v>1</v>
      </c>
      <c r="F2695" t="str">
        <f t="shared" si="487"/>
        <v>COM</v>
      </c>
      <c r="G2695" t="str">
        <f>"JARLES DE SOUZA PEREIRA (109)"</f>
        <v>JARLES DE SOUZA PEREIRA (109)</v>
      </c>
      <c r="H2695" t="str">
        <f>"Serv.Prest. 01/09/2025 a 07/09/2025 - PIX: CELULAR - CHAVE: (73) 99115-9602"</f>
        <v>Serv.Prest. 01/09/2025 a 07/09/2025 - PIX: CELULAR - CHAVE: (73) 99115-9602</v>
      </c>
      <c r="I2695" t="str">
        <f t="shared" si="484"/>
        <v>18/09/2025</v>
      </c>
      <c r="J2695" t="str">
        <f t="shared" si="486"/>
        <v>08/09/2025</v>
      </c>
      <c r="K2695" t="str">
        <f>("18/09/2025")</f>
        <v>18/09/2025</v>
      </c>
      <c r="L2695">
        <v>654</v>
      </c>
      <c r="M2695">
        <v>654</v>
      </c>
      <c r="N2695">
        <v>109</v>
      </c>
      <c r="O2695" t="str">
        <f>"PAGAMENTO DE ENTREGADORES"</f>
        <v>PAGAMENTO DE ENTREGADORES</v>
      </c>
      <c r="P2695">
        <v>654</v>
      </c>
      <c r="S2695" t="str">
        <f>"BANCO C6 (149)"</f>
        <v>BANCO C6 (149)</v>
      </c>
      <c r="T2695">
        <v>18417</v>
      </c>
      <c r="U2695">
        <v>21603</v>
      </c>
      <c r="V2695" t="s">
        <v>77</v>
      </c>
    </row>
    <row r="2696" spans="1:22">
      <c r="A2696" t="str">
        <f t="shared" si="482"/>
        <v>18/09/2025</v>
      </c>
      <c r="B2696" t="str">
        <f t="shared" si="488"/>
        <v>SAÍDA</v>
      </c>
      <c r="C2696" t="str">
        <f t="shared" si="483"/>
        <v>PIX</v>
      </c>
      <c r="D2696" t="str">
        <f>"21603"</f>
        <v>21603</v>
      </c>
      <c r="E2696" t="str">
        <f t="shared" si="485"/>
        <v>1</v>
      </c>
      <c r="F2696" t="str">
        <f t="shared" si="487"/>
        <v>COM</v>
      </c>
      <c r="G2696" t="str">
        <f>"JARLES DE SOUZA PEREIRA (109)"</f>
        <v>JARLES DE SOUZA PEREIRA (109)</v>
      </c>
      <c r="H2696" t="s">
        <v>724</v>
      </c>
      <c r="I2696" t="str">
        <f t="shared" si="484"/>
        <v>18/09/2025</v>
      </c>
      <c r="J2696" t="str">
        <f t="shared" si="486"/>
        <v>08/09/2025</v>
      </c>
      <c r="K2696">
        <v>45918</v>
      </c>
      <c r="N2696">
        <v>109</v>
      </c>
      <c r="O2696" t="s">
        <v>24</v>
      </c>
      <c r="Q2696">
        <v>654</v>
      </c>
      <c r="R2696" t="str">
        <f>"FARMÁCIA INDIANA LJ 173 (10075)"</f>
        <v>FARMÁCIA INDIANA LJ 173 (10075)</v>
      </c>
      <c r="S2696" t="s">
        <v>77</v>
      </c>
      <c r="T2696">
        <v>18417</v>
      </c>
      <c r="U2696">
        <v>21603</v>
      </c>
      <c r="V2696" t="s">
        <v>77</v>
      </c>
    </row>
    <row r="2697" spans="1:22">
      <c r="A2697" t="str">
        <f t="shared" si="482"/>
        <v>18/09/2025</v>
      </c>
      <c r="B2697" t="str">
        <f t="shared" si="488"/>
        <v>SAÍDA</v>
      </c>
      <c r="C2697" t="str">
        <f t="shared" si="483"/>
        <v>PIX</v>
      </c>
      <c r="D2697" t="str">
        <f>"21604"</f>
        <v>21604</v>
      </c>
      <c r="E2697" t="str">
        <f t="shared" si="485"/>
        <v>1</v>
      </c>
      <c r="F2697" t="str">
        <f t="shared" si="487"/>
        <v>COM</v>
      </c>
      <c r="G2697" t="str">
        <f>"JIRLANIA RODRIGUES DOS SANTOS (152)"</f>
        <v>JIRLANIA RODRIGUES DOS SANTOS (152)</v>
      </c>
      <c r="H2697" t="str">
        <f>"Serv.Prest. 01/09/2025 a 07/09/2025 - PIX: CPF - CHAVE: 035.018.455-02"</f>
        <v>Serv.Prest. 01/09/2025 a 07/09/2025 - PIX: CPF - CHAVE: 035.018.455-02</v>
      </c>
      <c r="I2697" t="str">
        <f t="shared" si="484"/>
        <v>18/09/2025</v>
      </c>
      <c r="J2697" t="str">
        <f t="shared" si="486"/>
        <v>08/09/2025</v>
      </c>
      <c r="K2697" t="str">
        <f>("18/09/2025")</f>
        <v>18/09/2025</v>
      </c>
      <c r="L2697">
        <v>956.25</v>
      </c>
      <c r="M2697">
        <v>956.25</v>
      </c>
      <c r="N2697">
        <v>109</v>
      </c>
      <c r="O2697" t="str">
        <f>"PAGAMENTO DE ENTREGADORES"</f>
        <v>PAGAMENTO DE ENTREGADORES</v>
      </c>
      <c r="P2697">
        <v>956.25</v>
      </c>
      <c r="S2697" t="str">
        <f>"BANCO C6 (149)"</f>
        <v>BANCO C6 (149)</v>
      </c>
      <c r="T2697">
        <v>18418</v>
      </c>
      <c r="U2697">
        <v>21604</v>
      </c>
      <c r="V2697" t="s">
        <v>77</v>
      </c>
    </row>
    <row r="2698" spans="1:22">
      <c r="A2698" t="str">
        <f t="shared" si="482"/>
        <v>18/09/2025</v>
      </c>
      <c r="B2698" t="str">
        <f t="shared" si="488"/>
        <v>SAÍDA</v>
      </c>
      <c r="C2698" t="str">
        <f t="shared" si="483"/>
        <v>PIX</v>
      </c>
      <c r="D2698" t="str">
        <f>"21604"</f>
        <v>21604</v>
      </c>
      <c r="E2698" t="str">
        <f t="shared" si="485"/>
        <v>1</v>
      </c>
      <c r="F2698" t="str">
        <f t="shared" si="487"/>
        <v>COM</v>
      </c>
      <c r="G2698" t="str">
        <f>"JIRLANIA RODRIGUES DOS SANTOS (152)"</f>
        <v>JIRLANIA RODRIGUES DOS SANTOS (152)</v>
      </c>
      <c r="H2698" t="s">
        <v>725</v>
      </c>
      <c r="I2698" t="str">
        <f t="shared" si="484"/>
        <v>18/09/2025</v>
      </c>
      <c r="J2698" t="str">
        <f t="shared" si="486"/>
        <v>08/09/2025</v>
      </c>
      <c r="K2698">
        <v>45918</v>
      </c>
      <c r="N2698">
        <v>109</v>
      </c>
      <c r="O2698" t="s">
        <v>24</v>
      </c>
      <c r="Q2698">
        <v>956.25</v>
      </c>
      <c r="R2698" t="str">
        <f>"FARMÁCIA INDIANA LJ 95 (10039)"</f>
        <v>FARMÁCIA INDIANA LJ 95 (10039)</v>
      </c>
      <c r="S2698" t="s">
        <v>77</v>
      </c>
      <c r="T2698">
        <v>18418</v>
      </c>
      <c r="U2698">
        <v>21604</v>
      </c>
      <c r="V2698" t="s">
        <v>77</v>
      </c>
    </row>
    <row r="2699" spans="1:22">
      <c r="A2699" t="str">
        <f t="shared" si="482"/>
        <v>18/09/2025</v>
      </c>
      <c r="B2699" t="str">
        <f t="shared" si="488"/>
        <v>SAÍDA</v>
      </c>
      <c r="C2699" t="str">
        <f t="shared" si="483"/>
        <v>PIX</v>
      </c>
      <c r="D2699" t="str">
        <f>"21605"</f>
        <v>21605</v>
      </c>
      <c r="E2699" t="str">
        <f t="shared" si="485"/>
        <v>1</v>
      </c>
      <c r="F2699" t="str">
        <f t="shared" si="487"/>
        <v>COM</v>
      </c>
      <c r="G2699" t="str">
        <f>"JOAO PEDRO BRITO DE SOUZA (876)"</f>
        <v>JOAO PEDRO BRITO DE SOUZA (876)</v>
      </c>
      <c r="H2699" t="str">
        <f>"Serv.Prest. 01/09/2025 a 07/09/2025 - PIX: CPF - CHAVE: 860.305.455-07"</f>
        <v>Serv.Prest. 01/09/2025 a 07/09/2025 - PIX: CPF - CHAVE: 860.305.455-07</v>
      </c>
      <c r="I2699" t="str">
        <f t="shared" si="484"/>
        <v>18/09/2025</v>
      </c>
      <c r="J2699" t="str">
        <f t="shared" si="486"/>
        <v>08/09/2025</v>
      </c>
      <c r="K2699" t="str">
        <f>("18/09/2025")</f>
        <v>18/09/2025</v>
      </c>
      <c r="L2699">
        <v>1240</v>
      </c>
      <c r="M2699">
        <v>1240</v>
      </c>
      <c r="N2699">
        <v>109</v>
      </c>
      <c r="O2699" t="str">
        <f>"PAGAMENTO DE ENTREGADORES"</f>
        <v>PAGAMENTO DE ENTREGADORES</v>
      </c>
      <c r="P2699">
        <v>1240</v>
      </c>
      <c r="S2699" t="str">
        <f>"BANCO C6 (149)"</f>
        <v>BANCO C6 (149)</v>
      </c>
      <c r="T2699">
        <v>18419</v>
      </c>
      <c r="U2699">
        <v>21605</v>
      </c>
      <c r="V2699" t="s">
        <v>77</v>
      </c>
    </row>
    <row r="2700" spans="1:22">
      <c r="A2700" t="str">
        <f t="shared" si="482"/>
        <v>18/09/2025</v>
      </c>
      <c r="B2700" t="str">
        <f t="shared" si="488"/>
        <v>SAÍDA</v>
      </c>
      <c r="C2700" t="str">
        <f t="shared" si="483"/>
        <v>PIX</v>
      </c>
      <c r="D2700" t="str">
        <f>"21605"</f>
        <v>21605</v>
      </c>
      <c r="E2700" t="str">
        <f t="shared" si="485"/>
        <v>1</v>
      </c>
      <c r="F2700" t="str">
        <f t="shared" si="487"/>
        <v>COM</v>
      </c>
      <c r="G2700" t="str">
        <f>"JOAO PEDRO BRITO DE SOUZA (876)"</f>
        <v>JOAO PEDRO BRITO DE SOUZA (876)</v>
      </c>
      <c r="H2700" t="s">
        <v>726</v>
      </c>
      <c r="I2700" t="str">
        <f t="shared" si="484"/>
        <v>18/09/2025</v>
      </c>
      <c r="J2700" t="str">
        <f t="shared" si="486"/>
        <v>08/09/2025</v>
      </c>
      <c r="K2700">
        <v>45918</v>
      </c>
      <c r="N2700">
        <v>109</v>
      </c>
      <c r="O2700" t="s">
        <v>24</v>
      </c>
      <c r="Q2700">
        <v>845.06</v>
      </c>
      <c r="R2700" t="str">
        <f>"FARMÁCIA INDIANA LJ 48 (10018)"</f>
        <v>FARMÁCIA INDIANA LJ 48 (10018)</v>
      </c>
      <c r="S2700" t="s">
        <v>77</v>
      </c>
      <c r="T2700">
        <v>18419</v>
      </c>
      <c r="U2700">
        <v>21605</v>
      </c>
      <c r="V2700" t="s">
        <v>77</v>
      </c>
    </row>
    <row r="2701" spans="1:22">
      <c r="A2701" t="str">
        <f t="shared" si="482"/>
        <v>18/09/2025</v>
      </c>
      <c r="B2701" t="str">
        <f t="shared" si="488"/>
        <v>SAÍDA</v>
      </c>
      <c r="C2701" t="str">
        <f t="shared" si="483"/>
        <v>PIX</v>
      </c>
      <c r="D2701" t="str">
        <f>"21605"</f>
        <v>21605</v>
      </c>
      <c r="E2701" t="str">
        <f t="shared" si="485"/>
        <v>1</v>
      </c>
      <c r="F2701" t="str">
        <f t="shared" si="487"/>
        <v>COM</v>
      </c>
      <c r="G2701" t="str">
        <f>"JOAO PEDRO BRITO DE SOUZA (876)"</f>
        <v>JOAO PEDRO BRITO DE SOUZA (876)</v>
      </c>
      <c r="H2701" t="s">
        <v>726</v>
      </c>
      <c r="I2701" t="str">
        <f t="shared" si="484"/>
        <v>18/09/2025</v>
      </c>
      <c r="J2701" t="str">
        <f t="shared" si="486"/>
        <v>08/09/2025</v>
      </c>
      <c r="K2701">
        <v>45918</v>
      </c>
      <c r="N2701">
        <v>109</v>
      </c>
      <c r="O2701" t="s">
        <v>24</v>
      </c>
      <c r="Q2701">
        <v>394.94</v>
      </c>
      <c r="R2701" t="str">
        <f>"FARMÁCIA INDIANA LJ 169 (10073)"</f>
        <v>FARMÁCIA INDIANA LJ 169 (10073)</v>
      </c>
      <c r="S2701" t="s">
        <v>77</v>
      </c>
      <c r="T2701">
        <v>18419</v>
      </c>
      <c r="U2701">
        <v>21605</v>
      </c>
      <c r="V2701" t="s">
        <v>77</v>
      </c>
    </row>
    <row r="2702" spans="1:22">
      <c r="A2702" t="str">
        <f t="shared" si="482"/>
        <v>18/09/2025</v>
      </c>
      <c r="B2702" t="str">
        <f t="shared" si="488"/>
        <v>SAÍDA</v>
      </c>
      <c r="C2702" t="str">
        <f t="shared" si="483"/>
        <v>PIX</v>
      </c>
      <c r="D2702" t="str">
        <f>"21606"</f>
        <v>21606</v>
      </c>
      <c r="E2702" t="str">
        <f t="shared" si="485"/>
        <v>1</v>
      </c>
      <c r="F2702" t="str">
        <f t="shared" si="487"/>
        <v>COM</v>
      </c>
      <c r="G2702" t="str">
        <f>"JUNIO SOUZA SILVA (610)"</f>
        <v>JUNIO SOUZA SILVA (610)</v>
      </c>
      <c r="H2702" t="str">
        <f>"Serv.Prest. 01/09/2025 a 07/09/2025 - PIX: CELULAR - CHAVE: (73) 98105-2187"</f>
        <v>Serv.Prest. 01/09/2025 a 07/09/2025 - PIX: CELULAR - CHAVE: (73) 98105-2187</v>
      </c>
      <c r="I2702" t="str">
        <f t="shared" si="484"/>
        <v>18/09/2025</v>
      </c>
      <c r="J2702" t="str">
        <f t="shared" si="486"/>
        <v>08/09/2025</v>
      </c>
      <c r="K2702" t="str">
        <f>("18/09/2025")</f>
        <v>18/09/2025</v>
      </c>
      <c r="L2702">
        <v>600</v>
      </c>
      <c r="M2702">
        <v>600</v>
      </c>
      <c r="N2702">
        <v>109</v>
      </c>
      <c r="O2702" t="str">
        <f>"PAGAMENTO DE ENTREGADORES"</f>
        <v>PAGAMENTO DE ENTREGADORES</v>
      </c>
      <c r="P2702">
        <v>600</v>
      </c>
      <c r="S2702" t="str">
        <f>"BANCO C6 (149)"</f>
        <v>BANCO C6 (149)</v>
      </c>
      <c r="T2702">
        <v>18420</v>
      </c>
      <c r="U2702">
        <v>21606</v>
      </c>
      <c r="V2702" t="s">
        <v>77</v>
      </c>
    </row>
    <row r="2703" spans="1:22">
      <c r="A2703" t="str">
        <f t="shared" si="482"/>
        <v>18/09/2025</v>
      </c>
      <c r="B2703" t="str">
        <f t="shared" si="488"/>
        <v>SAÍDA</v>
      </c>
      <c r="C2703" t="str">
        <f t="shared" si="483"/>
        <v>PIX</v>
      </c>
      <c r="D2703" t="str">
        <f>"21606"</f>
        <v>21606</v>
      </c>
      <c r="E2703" t="str">
        <f t="shared" si="485"/>
        <v>1</v>
      </c>
      <c r="F2703" t="str">
        <f t="shared" si="487"/>
        <v>COM</v>
      </c>
      <c r="G2703" t="str">
        <f>"JUNIO SOUZA SILVA (610)"</f>
        <v>JUNIO SOUZA SILVA (610)</v>
      </c>
      <c r="H2703" t="s">
        <v>727</v>
      </c>
      <c r="I2703" t="str">
        <f t="shared" si="484"/>
        <v>18/09/2025</v>
      </c>
      <c r="J2703" t="str">
        <f t="shared" si="486"/>
        <v>08/09/2025</v>
      </c>
      <c r="K2703">
        <v>45918</v>
      </c>
      <c r="N2703">
        <v>109</v>
      </c>
      <c r="O2703" t="s">
        <v>24</v>
      </c>
      <c r="Q2703">
        <v>600</v>
      </c>
      <c r="R2703" t="str">
        <f>"FARMÁCIA INDIANA LJ 77 (10034)"</f>
        <v>FARMÁCIA INDIANA LJ 77 (10034)</v>
      </c>
      <c r="S2703" t="s">
        <v>77</v>
      </c>
      <c r="T2703">
        <v>18420</v>
      </c>
      <c r="U2703">
        <v>21606</v>
      </c>
      <c r="V2703" t="s">
        <v>77</v>
      </c>
    </row>
    <row r="2704" spans="1:22">
      <c r="A2704" t="str">
        <f t="shared" si="482"/>
        <v>18/09/2025</v>
      </c>
      <c r="B2704" t="str">
        <f t="shared" si="488"/>
        <v>SAÍDA</v>
      </c>
      <c r="C2704" t="str">
        <f t="shared" si="483"/>
        <v>PIX</v>
      </c>
      <c r="D2704" t="str">
        <f>"21607"</f>
        <v>21607</v>
      </c>
      <c r="E2704" t="str">
        <f t="shared" si="485"/>
        <v>1</v>
      </c>
      <c r="F2704" t="str">
        <f t="shared" si="487"/>
        <v>COM</v>
      </c>
      <c r="G2704" t="str">
        <f>"KHENNEDY DAVY DOS SANTOS SILVA (692)"</f>
        <v>KHENNEDY DAVY DOS SANTOS SILVA (692)</v>
      </c>
      <c r="H2704" t="str">
        <f>"Serv.Prest. 01/09/2025 a 07/09/2025 - PIX: CPF - CHAVE: 094.700.685-05"</f>
        <v>Serv.Prest. 01/09/2025 a 07/09/2025 - PIX: CPF - CHAVE: 094.700.685-05</v>
      </c>
      <c r="I2704" t="str">
        <f t="shared" si="484"/>
        <v>18/09/2025</v>
      </c>
      <c r="J2704" t="str">
        <f t="shared" si="486"/>
        <v>08/09/2025</v>
      </c>
      <c r="K2704" t="str">
        <f>("18/09/2025")</f>
        <v>18/09/2025</v>
      </c>
      <c r="L2704">
        <v>634</v>
      </c>
      <c r="M2704">
        <v>634</v>
      </c>
      <c r="N2704">
        <v>109</v>
      </c>
      <c r="O2704" t="str">
        <f>"PAGAMENTO DE ENTREGADORES"</f>
        <v>PAGAMENTO DE ENTREGADORES</v>
      </c>
      <c r="P2704">
        <v>634</v>
      </c>
      <c r="S2704" t="str">
        <f>"BANCO C6 (149)"</f>
        <v>BANCO C6 (149)</v>
      </c>
      <c r="T2704">
        <v>18421</v>
      </c>
      <c r="U2704">
        <v>21607</v>
      </c>
      <c r="V2704" t="s">
        <v>77</v>
      </c>
    </row>
    <row r="2705" spans="1:22">
      <c r="A2705" t="str">
        <f t="shared" si="482"/>
        <v>18/09/2025</v>
      </c>
      <c r="B2705" t="str">
        <f t="shared" si="488"/>
        <v>SAÍDA</v>
      </c>
      <c r="C2705" t="str">
        <f t="shared" si="483"/>
        <v>PIX</v>
      </c>
      <c r="D2705" t="str">
        <f>"21607"</f>
        <v>21607</v>
      </c>
      <c r="E2705" t="str">
        <f t="shared" si="485"/>
        <v>1</v>
      </c>
      <c r="F2705" t="str">
        <f t="shared" si="487"/>
        <v>COM</v>
      </c>
      <c r="G2705" t="str">
        <f>"KHENNEDY DAVY DOS SANTOS SILVA (692)"</f>
        <v>KHENNEDY DAVY DOS SANTOS SILVA (692)</v>
      </c>
      <c r="H2705" t="s">
        <v>589</v>
      </c>
      <c r="I2705" t="str">
        <f t="shared" si="484"/>
        <v>18/09/2025</v>
      </c>
      <c r="J2705" t="str">
        <f t="shared" si="486"/>
        <v>08/09/2025</v>
      </c>
      <c r="K2705">
        <v>45918</v>
      </c>
      <c r="N2705">
        <v>109</v>
      </c>
      <c r="O2705" t="s">
        <v>24</v>
      </c>
      <c r="Q2705">
        <v>634</v>
      </c>
      <c r="R2705" t="str">
        <f>"FARMÁCIA INDIANA LJ 65 (10030)"</f>
        <v>FARMÁCIA INDIANA LJ 65 (10030)</v>
      </c>
      <c r="S2705" t="s">
        <v>77</v>
      </c>
      <c r="T2705">
        <v>18421</v>
      </c>
      <c r="U2705">
        <v>21607</v>
      </c>
      <c r="V2705" t="s">
        <v>77</v>
      </c>
    </row>
    <row r="2706" spans="1:22">
      <c r="A2706" t="str">
        <f t="shared" si="482"/>
        <v>18/09/2025</v>
      </c>
      <c r="B2706" t="str">
        <f t="shared" si="488"/>
        <v>SAÍDA</v>
      </c>
      <c r="C2706" t="str">
        <f t="shared" si="483"/>
        <v>PIX</v>
      </c>
      <c r="D2706" t="str">
        <f>"21608"</f>
        <v>21608</v>
      </c>
      <c r="E2706" t="str">
        <f t="shared" si="485"/>
        <v>1</v>
      </c>
      <c r="F2706" t="str">
        <f t="shared" si="487"/>
        <v>COM</v>
      </c>
      <c r="G2706" t="str">
        <f>"LEONARDO MERCÊS CAJAZEIRAS (235)"</f>
        <v>LEONARDO MERCÊS CAJAZEIRAS (235)</v>
      </c>
      <c r="H2706" t="str">
        <f>"Serv.Prest. 01/09/2025 a 07/09/2025 - PIX: CELULAR - CHAVE: (73) 99803-0715"</f>
        <v>Serv.Prest. 01/09/2025 a 07/09/2025 - PIX: CELULAR - CHAVE: (73) 99803-0715</v>
      </c>
      <c r="I2706" t="str">
        <f t="shared" si="484"/>
        <v>18/09/2025</v>
      </c>
      <c r="J2706" t="str">
        <f t="shared" si="486"/>
        <v>08/09/2025</v>
      </c>
      <c r="K2706" t="str">
        <f>("18/09/2025")</f>
        <v>18/09/2025</v>
      </c>
      <c r="L2706">
        <v>600</v>
      </c>
      <c r="M2706">
        <v>600</v>
      </c>
      <c r="N2706">
        <v>109</v>
      </c>
      <c r="O2706" t="str">
        <f>"PAGAMENTO DE ENTREGADORES"</f>
        <v>PAGAMENTO DE ENTREGADORES</v>
      </c>
      <c r="P2706">
        <v>600</v>
      </c>
      <c r="S2706" t="str">
        <f>"BANCO C6 (149)"</f>
        <v>BANCO C6 (149)</v>
      </c>
      <c r="T2706">
        <v>18422</v>
      </c>
      <c r="U2706">
        <v>21608</v>
      </c>
      <c r="V2706" t="s">
        <v>77</v>
      </c>
    </row>
    <row r="2707" spans="1:22">
      <c r="A2707" t="str">
        <f t="shared" si="482"/>
        <v>18/09/2025</v>
      </c>
      <c r="B2707" t="str">
        <f t="shared" si="488"/>
        <v>SAÍDA</v>
      </c>
      <c r="C2707" t="str">
        <f t="shared" si="483"/>
        <v>PIX</v>
      </c>
      <c r="D2707" t="str">
        <f>"21608"</f>
        <v>21608</v>
      </c>
      <c r="E2707" t="str">
        <f t="shared" si="485"/>
        <v>1</v>
      </c>
      <c r="F2707" t="str">
        <f t="shared" si="487"/>
        <v>COM</v>
      </c>
      <c r="G2707" t="str">
        <f>"LEONARDO MERCÊS CAJAZEIRAS (235)"</f>
        <v>LEONARDO MERCÊS CAJAZEIRAS (235)</v>
      </c>
      <c r="H2707" t="s">
        <v>728</v>
      </c>
      <c r="I2707" t="str">
        <f t="shared" si="484"/>
        <v>18/09/2025</v>
      </c>
      <c r="J2707" t="str">
        <f t="shared" si="486"/>
        <v>08/09/2025</v>
      </c>
      <c r="K2707">
        <v>45918</v>
      </c>
      <c r="N2707">
        <v>109</v>
      </c>
      <c r="O2707" t="s">
        <v>24</v>
      </c>
      <c r="Q2707">
        <v>600</v>
      </c>
      <c r="R2707" t="str">
        <f>"FARMÁCIA INDIANA LJ 35 (10015)"</f>
        <v>FARMÁCIA INDIANA LJ 35 (10015)</v>
      </c>
      <c r="S2707" t="s">
        <v>77</v>
      </c>
      <c r="T2707">
        <v>18422</v>
      </c>
      <c r="U2707">
        <v>21608</v>
      </c>
      <c r="V2707" t="s">
        <v>77</v>
      </c>
    </row>
    <row r="2708" spans="1:22">
      <c r="A2708" t="str">
        <f t="shared" si="482"/>
        <v>18/09/2025</v>
      </c>
      <c r="B2708" t="str">
        <f t="shared" si="488"/>
        <v>SAÍDA</v>
      </c>
      <c r="C2708" t="str">
        <f t="shared" si="483"/>
        <v>PIX</v>
      </c>
      <c r="D2708" t="str">
        <f>"21609"</f>
        <v>21609</v>
      </c>
      <c r="E2708" t="str">
        <f t="shared" si="485"/>
        <v>1</v>
      </c>
      <c r="F2708" t="str">
        <f t="shared" si="487"/>
        <v>COM</v>
      </c>
      <c r="G2708" t="str">
        <f>"LUCAS MOREIRA PEREIRA (153)"</f>
        <v>LUCAS MOREIRA PEREIRA (153)</v>
      </c>
      <c r="H2708" t="str">
        <f>"Serv.Prest. 01/09/2025 a 07/09/2025 - PIX: CELULAR - CHAVE: (73) 99967-3239"</f>
        <v>Serv.Prest. 01/09/2025 a 07/09/2025 - PIX: CELULAR - CHAVE: (73) 99967-3239</v>
      </c>
      <c r="I2708" t="str">
        <f t="shared" si="484"/>
        <v>18/09/2025</v>
      </c>
      <c r="J2708" t="str">
        <f t="shared" si="486"/>
        <v>08/09/2025</v>
      </c>
      <c r="K2708" t="str">
        <f>("18/09/2025")</f>
        <v>18/09/2025</v>
      </c>
      <c r="L2708">
        <v>1745</v>
      </c>
      <c r="M2708">
        <v>1745</v>
      </c>
      <c r="N2708">
        <v>109</v>
      </c>
      <c r="O2708" t="str">
        <f>"PAGAMENTO DE ENTREGADORES"</f>
        <v>PAGAMENTO DE ENTREGADORES</v>
      </c>
      <c r="P2708">
        <v>1745</v>
      </c>
      <c r="S2708" t="str">
        <f>"BANCO C6 (149)"</f>
        <v>BANCO C6 (149)</v>
      </c>
      <c r="T2708">
        <v>18423</v>
      </c>
      <c r="U2708">
        <v>21609</v>
      </c>
      <c r="V2708" t="s">
        <v>77</v>
      </c>
    </row>
    <row r="2709" spans="1:22">
      <c r="A2709" t="str">
        <f t="shared" si="482"/>
        <v>18/09/2025</v>
      </c>
      <c r="B2709" t="str">
        <f t="shared" si="488"/>
        <v>SAÍDA</v>
      </c>
      <c r="C2709" t="str">
        <f t="shared" si="483"/>
        <v>PIX</v>
      </c>
      <c r="D2709" t="str">
        <f>"21609"</f>
        <v>21609</v>
      </c>
      <c r="E2709" t="str">
        <f t="shared" si="485"/>
        <v>1</v>
      </c>
      <c r="F2709" t="str">
        <f t="shared" si="487"/>
        <v>COM</v>
      </c>
      <c r="G2709" t="str">
        <f>"LUCAS MOREIRA PEREIRA (153)"</f>
        <v>LUCAS MOREIRA PEREIRA (153)</v>
      </c>
      <c r="H2709" t="s">
        <v>729</v>
      </c>
      <c r="I2709" t="str">
        <f t="shared" si="484"/>
        <v>18/09/2025</v>
      </c>
      <c r="J2709" t="str">
        <f t="shared" si="486"/>
        <v>08/09/2025</v>
      </c>
      <c r="K2709">
        <v>45918</v>
      </c>
      <c r="N2709">
        <v>109</v>
      </c>
      <c r="O2709" t="s">
        <v>24</v>
      </c>
      <c r="Q2709">
        <v>1375.06</v>
      </c>
      <c r="R2709" t="str">
        <f>"FARMÁCIA INDIANA LJ 48 (10018)"</f>
        <v>FARMÁCIA INDIANA LJ 48 (10018)</v>
      </c>
      <c r="S2709" t="s">
        <v>77</v>
      </c>
      <c r="T2709">
        <v>18423</v>
      </c>
      <c r="U2709">
        <v>21609</v>
      </c>
      <c r="V2709" t="s">
        <v>77</v>
      </c>
    </row>
    <row r="2710" spans="1:22">
      <c r="A2710" t="str">
        <f t="shared" si="482"/>
        <v>18/09/2025</v>
      </c>
      <c r="B2710" t="str">
        <f t="shared" si="488"/>
        <v>SAÍDA</v>
      </c>
      <c r="C2710" t="str">
        <f t="shared" si="483"/>
        <v>PIX</v>
      </c>
      <c r="D2710" t="str">
        <f>"21609"</f>
        <v>21609</v>
      </c>
      <c r="E2710" t="str">
        <f t="shared" si="485"/>
        <v>1</v>
      </c>
      <c r="F2710" t="str">
        <f t="shared" si="487"/>
        <v>COM</v>
      </c>
      <c r="G2710" t="str">
        <f>"LUCAS MOREIRA PEREIRA (153)"</f>
        <v>LUCAS MOREIRA PEREIRA (153)</v>
      </c>
      <c r="H2710" t="s">
        <v>729</v>
      </c>
      <c r="I2710" t="str">
        <f t="shared" si="484"/>
        <v>18/09/2025</v>
      </c>
      <c r="J2710" t="str">
        <f t="shared" si="486"/>
        <v>08/09/2025</v>
      </c>
      <c r="K2710">
        <v>45918</v>
      </c>
      <c r="N2710">
        <v>109</v>
      </c>
      <c r="O2710" t="s">
        <v>24</v>
      </c>
      <c r="Q2710">
        <v>369.94</v>
      </c>
      <c r="R2710" t="str">
        <f>"FARMÁCIA INDIANA LJ 169 (10073)"</f>
        <v>FARMÁCIA INDIANA LJ 169 (10073)</v>
      </c>
      <c r="S2710" t="s">
        <v>77</v>
      </c>
      <c r="T2710">
        <v>18423</v>
      </c>
      <c r="U2710">
        <v>21609</v>
      </c>
      <c r="V2710" t="s">
        <v>77</v>
      </c>
    </row>
    <row r="2711" spans="1:22">
      <c r="A2711" t="str">
        <f t="shared" si="482"/>
        <v>18/09/2025</v>
      </c>
      <c r="B2711" t="str">
        <f t="shared" si="488"/>
        <v>SAÍDA</v>
      </c>
      <c r="C2711" t="str">
        <f t="shared" si="483"/>
        <v>PIX</v>
      </c>
      <c r="D2711" t="str">
        <f>"21610"</f>
        <v>21610</v>
      </c>
      <c r="E2711" t="str">
        <f t="shared" si="485"/>
        <v>1</v>
      </c>
      <c r="F2711" t="str">
        <f t="shared" si="487"/>
        <v>COM</v>
      </c>
      <c r="G2711" t="str">
        <f>"MARIA ILZA PEREIRA DOS SANTOS (618)"</f>
        <v>MARIA ILZA PEREIRA DOS SANTOS (618)</v>
      </c>
      <c r="H2711" t="str">
        <f>"Serv.Prest. 01/09/2025 a 07/09/2025 - PIX: CPF - CHAVE: 003.157.195-67"</f>
        <v>Serv.Prest. 01/09/2025 a 07/09/2025 - PIX: CPF - CHAVE: 003.157.195-67</v>
      </c>
      <c r="I2711" t="str">
        <f t="shared" si="484"/>
        <v>18/09/2025</v>
      </c>
      <c r="J2711" t="str">
        <f t="shared" si="486"/>
        <v>08/09/2025</v>
      </c>
      <c r="K2711" t="str">
        <f>("18/09/2025")</f>
        <v>18/09/2025</v>
      </c>
      <c r="L2711">
        <v>654</v>
      </c>
      <c r="M2711">
        <v>654</v>
      </c>
      <c r="N2711">
        <v>109</v>
      </c>
      <c r="O2711" t="str">
        <f>"PAGAMENTO DE ENTREGADORES"</f>
        <v>PAGAMENTO DE ENTREGADORES</v>
      </c>
      <c r="P2711">
        <v>654</v>
      </c>
      <c r="S2711" t="str">
        <f>"BANCO C6 (149)"</f>
        <v>BANCO C6 (149)</v>
      </c>
      <c r="T2711">
        <v>18424</v>
      </c>
      <c r="U2711">
        <v>21610</v>
      </c>
      <c r="V2711" t="s">
        <v>77</v>
      </c>
    </row>
    <row r="2712" spans="1:22">
      <c r="A2712" t="str">
        <f t="shared" si="482"/>
        <v>18/09/2025</v>
      </c>
      <c r="B2712" t="str">
        <f t="shared" si="488"/>
        <v>SAÍDA</v>
      </c>
      <c r="C2712" t="str">
        <f t="shared" si="483"/>
        <v>PIX</v>
      </c>
      <c r="D2712" t="str">
        <f>"21610"</f>
        <v>21610</v>
      </c>
      <c r="E2712" t="str">
        <f t="shared" si="485"/>
        <v>1</v>
      </c>
      <c r="F2712" t="str">
        <f t="shared" si="487"/>
        <v>COM</v>
      </c>
      <c r="G2712" t="str">
        <f>"MARIA ILZA PEREIRA DOS SANTOS (618)"</f>
        <v>MARIA ILZA PEREIRA DOS SANTOS (618)</v>
      </c>
      <c r="H2712" t="s">
        <v>730</v>
      </c>
      <c r="I2712" t="str">
        <f t="shared" si="484"/>
        <v>18/09/2025</v>
      </c>
      <c r="J2712" t="str">
        <f t="shared" si="486"/>
        <v>08/09/2025</v>
      </c>
      <c r="K2712">
        <v>45918</v>
      </c>
      <c r="N2712">
        <v>109</v>
      </c>
      <c r="O2712" t="s">
        <v>24</v>
      </c>
      <c r="Q2712">
        <v>327</v>
      </c>
      <c r="R2712" t="str">
        <f>"FARMÁCIA INDIANA LJ 65 (10030)"</f>
        <v>FARMÁCIA INDIANA LJ 65 (10030)</v>
      </c>
      <c r="S2712" t="s">
        <v>77</v>
      </c>
      <c r="T2712">
        <v>18424</v>
      </c>
      <c r="U2712">
        <v>21610</v>
      </c>
      <c r="V2712" t="s">
        <v>77</v>
      </c>
    </row>
    <row r="2713" spans="1:22">
      <c r="A2713" t="str">
        <f t="shared" ref="A2713:A2776" si="489">("18/09/2025")</f>
        <v>18/09/2025</v>
      </c>
      <c r="B2713" t="str">
        <f t="shared" si="488"/>
        <v>SAÍDA</v>
      </c>
      <c r="C2713" t="str">
        <f t="shared" ref="C2713:C2776" si="490">"PIX"</f>
        <v>PIX</v>
      </c>
      <c r="D2713" t="str">
        <f>"21610"</f>
        <v>21610</v>
      </c>
      <c r="E2713" t="str">
        <f t="shared" si="485"/>
        <v>1</v>
      </c>
      <c r="F2713" t="str">
        <f t="shared" si="487"/>
        <v>COM</v>
      </c>
      <c r="G2713" t="str">
        <f>"MARIA ILZA PEREIRA DOS SANTOS (618)"</f>
        <v>MARIA ILZA PEREIRA DOS SANTOS (618)</v>
      </c>
      <c r="H2713" t="s">
        <v>730</v>
      </c>
      <c r="I2713" t="str">
        <f t="shared" ref="I2713:I2776" si="491">("18/09/2025")</f>
        <v>18/09/2025</v>
      </c>
      <c r="J2713" t="str">
        <f t="shared" si="486"/>
        <v>08/09/2025</v>
      </c>
      <c r="K2713">
        <v>45918</v>
      </c>
      <c r="N2713">
        <v>109</v>
      </c>
      <c r="O2713" t="s">
        <v>24</v>
      </c>
      <c r="Q2713">
        <v>327</v>
      </c>
      <c r="R2713" t="str">
        <f>"FARMÁCIA INDIANA LJ 173 (10075)"</f>
        <v>FARMÁCIA INDIANA LJ 173 (10075)</v>
      </c>
      <c r="S2713" t="s">
        <v>77</v>
      </c>
      <c r="T2713">
        <v>18424</v>
      </c>
      <c r="U2713">
        <v>21610</v>
      </c>
      <c r="V2713" t="s">
        <v>77</v>
      </c>
    </row>
    <row r="2714" spans="1:22">
      <c r="A2714" t="str">
        <f t="shared" si="489"/>
        <v>18/09/2025</v>
      </c>
      <c r="B2714" t="str">
        <f t="shared" si="488"/>
        <v>SAÍDA</v>
      </c>
      <c r="C2714" t="str">
        <f t="shared" si="490"/>
        <v>PIX</v>
      </c>
      <c r="D2714" t="str">
        <f>"21611"</f>
        <v>21611</v>
      </c>
      <c r="E2714" t="str">
        <f t="shared" si="485"/>
        <v>1</v>
      </c>
      <c r="F2714" t="str">
        <f t="shared" si="487"/>
        <v>COM</v>
      </c>
      <c r="G2714" t="str">
        <f>"MOABIO AZEVEDO DOS SANTOS (131)"</f>
        <v>MOABIO AZEVEDO DOS SANTOS (131)</v>
      </c>
      <c r="H2714" t="str">
        <f>"Serv.Prest. 01/09/2025 a 07/09/2025 - PIX: CNPJ - CHAVE: 33.412.676/0001-41"</f>
        <v>Serv.Prest. 01/09/2025 a 07/09/2025 - PIX: CNPJ - CHAVE: 33.412.676/0001-41</v>
      </c>
      <c r="I2714" t="str">
        <f t="shared" si="491"/>
        <v>18/09/2025</v>
      </c>
      <c r="J2714" t="str">
        <f t="shared" si="486"/>
        <v>08/09/2025</v>
      </c>
      <c r="K2714" t="str">
        <f>("18/09/2025")</f>
        <v>18/09/2025</v>
      </c>
      <c r="L2714">
        <v>1044</v>
      </c>
      <c r="M2714">
        <v>1044</v>
      </c>
      <c r="N2714">
        <v>109</v>
      </c>
      <c r="O2714" t="str">
        <f>"PAGAMENTO DE ENTREGADORES"</f>
        <v>PAGAMENTO DE ENTREGADORES</v>
      </c>
      <c r="P2714">
        <v>1044</v>
      </c>
      <c r="S2714" t="str">
        <f>"BANCO C6 (149)"</f>
        <v>BANCO C6 (149)</v>
      </c>
      <c r="T2714">
        <v>18425</v>
      </c>
      <c r="U2714">
        <v>21611</v>
      </c>
      <c r="V2714" t="s">
        <v>77</v>
      </c>
    </row>
    <row r="2715" spans="1:22">
      <c r="A2715" t="str">
        <f t="shared" si="489"/>
        <v>18/09/2025</v>
      </c>
      <c r="B2715" t="str">
        <f t="shared" si="488"/>
        <v>SAÍDA</v>
      </c>
      <c r="C2715" t="str">
        <f t="shared" si="490"/>
        <v>PIX</v>
      </c>
      <c r="D2715" t="str">
        <f>"21611"</f>
        <v>21611</v>
      </c>
      <c r="E2715" t="str">
        <f t="shared" si="485"/>
        <v>1</v>
      </c>
      <c r="F2715" t="str">
        <f t="shared" si="487"/>
        <v>COM</v>
      </c>
      <c r="G2715" t="str">
        <f>"MOABIO AZEVEDO DOS SANTOS (131)"</f>
        <v>MOABIO AZEVEDO DOS SANTOS (131)</v>
      </c>
      <c r="H2715" t="s">
        <v>731</v>
      </c>
      <c r="I2715" t="str">
        <f t="shared" si="491"/>
        <v>18/09/2025</v>
      </c>
      <c r="J2715" t="str">
        <f t="shared" si="486"/>
        <v>08/09/2025</v>
      </c>
      <c r="K2715">
        <v>45918</v>
      </c>
      <c r="N2715">
        <v>109</v>
      </c>
      <c r="O2715" t="s">
        <v>24</v>
      </c>
      <c r="Q2715">
        <v>1044</v>
      </c>
      <c r="R2715" t="str">
        <f>"FARMÁCIA INDIANA LJ 91 (10037)"</f>
        <v>FARMÁCIA INDIANA LJ 91 (10037)</v>
      </c>
      <c r="S2715" t="s">
        <v>77</v>
      </c>
      <c r="T2715">
        <v>18425</v>
      </c>
      <c r="U2715">
        <v>21611</v>
      </c>
      <c r="V2715" t="s">
        <v>77</v>
      </c>
    </row>
    <row r="2716" spans="1:22">
      <c r="A2716" t="str">
        <f t="shared" si="489"/>
        <v>18/09/2025</v>
      </c>
      <c r="B2716" t="str">
        <f t="shared" si="488"/>
        <v>SAÍDA</v>
      </c>
      <c r="C2716" t="str">
        <f t="shared" si="490"/>
        <v>PIX</v>
      </c>
      <c r="D2716" t="str">
        <f>"21613"</f>
        <v>21613</v>
      </c>
      <c r="E2716" t="str">
        <f t="shared" si="485"/>
        <v>1</v>
      </c>
      <c r="F2716" t="str">
        <f t="shared" si="487"/>
        <v>COM</v>
      </c>
      <c r="G2716" t="str">
        <f>"OSVALDO DOS SANTOS (163)"</f>
        <v>OSVALDO DOS SANTOS (163)</v>
      </c>
      <c r="H2716" t="str">
        <f>"Serv.Prest. 01/09/2025 a 07/09/2025 - PIX: CELULAR - CHAVE: (73) 99977-2721"</f>
        <v>Serv.Prest. 01/09/2025 a 07/09/2025 - PIX: CELULAR - CHAVE: (73) 99977-2721</v>
      </c>
      <c r="I2716" t="str">
        <f t="shared" si="491"/>
        <v>18/09/2025</v>
      </c>
      <c r="J2716" t="str">
        <f t="shared" si="486"/>
        <v>08/09/2025</v>
      </c>
      <c r="K2716" t="str">
        <f>("18/09/2025")</f>
        <v>18/09/2025</v>
      </c>
      <c r="L2716">
        <v>600</v>
      </c>
      <c r="M2716">
        <v>600</v>
      </c>
      <c r="N2716">
        <v>109</v>
      </c>
      <c r="O2716" t="str">
        <f>"PAGAMENTO DE ENTREGADORES"</f>
        <v>PAGAMENTO DE ENTREGADORES</v>
      </c>
      <c r="P2716">
        <v>600</v>
      </c>
      <c r="S2716" t="str">
        <f>"BANCO C6 (149)"</f>
        <v>BANCO C6 (149)</v>
      </c>
      <c r="T2716">
        <v>18426</v>
      </c>
      <c r="U2716">
        <v>21613</v>
      </c>
      <c r="V2716" t="s">
        <v>77</v>
      </c>
    </row>
    <row r="2717" spans="1:22">
      <c r="A2717" t="str">
        <f t="shared" si="489"/>
        <v>18/09/2025</v>
      </c>
      <c r="B2717" t="str">
        <f t="shared" si="488"/>
        <v>SAÍDA</v>
      </c>
      <c r="C2717" t="str">
        <f t="shared" si="490"/>
        <v>PIX</v>
      </c>
      <c r="D2717" t="str">
        <f>"21613"</f>
        <v>21613</v>
      </c>
      <c r="E2717" t="str">
        <f t="shared" ref="E2717:E2780" si="492">"1"</f>
        <v>1</v>
      </c>
      <c r="F2717" t="str">
        <f t="shared" si="487"/>
        <v>COM</v>
      </c>
      <c r="G2717" t="str">
        <f>"OSVALDO DOS SANTOS (163)"</f>
        <v>OSVALDO DOS SANTOS (163)</v>
      </c>
      <c r="H2717" t="s">
        <v>732</v>
      </c>
      <c r="I2717" t="str">
        <f t="shared" si="491"/>
        <v>18/09/2025</v>
      </c>
      <c r="J2717" t="str">
        <f t="shared" si="486"/>
        <v>08/09/2025</v>
      </c>
      <c r="K2717">
        <v>45918</v>
      </c>
      <c r="N2717">
        <v>109</v>
      </c>
      <c r="O2717" t="s">
        <v>24</v>
      </c>
      <c r="Q2717">
        <v>600</v>
      </c>
      <c r="R2717" t="str">
        <f>"FARMÁCIA INDIANA LJ 35 (10015)"</f>
        <v>FARMÁCIA INDIANA LJ 35 (10015)</v>
      </c>
      <c r="S2717" t="s">
        <v>77</v>
      </c>
      <c r="T2717">
        <v>18426</v>
      </c>
      <c r="U2717">
        <v>21613</v>
      </c>
      <c r="V2717" t="s">
        <v>77</v>
      </c>
    </row>
    <row r="2718" spans="1:22">
      <c r="A2718" t="str">
        <f t="shared" si="489"/>
        <v>18/09/2025</v>
      </c>
      <c r="B2718" t="str">
        <f t="shared" si="488"/>
        <v>SAÍDA</v>
      </c>
      <c r="C2718" t="str">
        <f t="shared" si="490"/>
        <v>PIX</v>
      </c>
      <c r="D2718" t="str">
        <f>"21616"</f>
        <v>21616</v>
      </c>
      <c r="E2718" t="str">
        <f t="shared" si="492"/>
        <v>1</v>
      </c>
      <c r="F2718" t="str">
        <f t="shared" si="487"/>
        <v>COM</v>
      </c>
      <c r="G2718" t="str">
        <f>"VINICIUS SANTOS PEREIRA (633)"</f>
        <v>VINICIUS SANTOS PEREIRA (633)</v>
      </c>
      <c r="H2718" t="str">
        <f>"Serv.Prest. 01/09/2025 a 07/09/2025 - PIX: CELULAR - CHAVE: (73) 99818-9718"</f>
        <v>Serv.Prest. 01/09/2025 a 07/09/2025 - PIX: CELULAR - CHAVE: (73) 99818-9718</v>
      </c>
      <c r="I2718" t="str">
        <f t="shared" si="491"/>
        <v>18/09/2025</v>
      </c>
      <c r="J2718" t="str">
        <f t="shared" si="486"/>
        <v>08/09/2025</v>
      </c>
      <c r="K2718" t="str">
        <f>("18/09/2025")</f>
        <v>18/09/2025</v>
      </c>
      <c r="L2718">
        <v>790.5</v>
      </c>
      <c r="M2718">
        <v>790.5</v>
      </c>
      <c r="N2718">
        <v>109</v>
      </c>
      <c r="O2718" t="str">
        <f>"PAGAMENTO DE ENTREGADORES"</f>
        <v>PAGAMENTO DE ENTREGADORES</v>
      </c>
      <c r="P2718">
        <v>790.5</v>
      </c>
      <c r="S2718" t="str">
        <f>"BANCO C6 (149)"</f>
        <v>BANCO C6 (149)</v>
      </c>
      <c r="T2718">
        <v>18427</v>
      </c>
      <c r="U2718">
        <v>21616</v>
      </c>
      <c r="V2718" t="s">
        <v>77</v>
      </c>
    </row>
    <row r="2719" spans="1:22">
      <c r="A2719" t="str">
        <f t="shared" si="489"/>
        <v>18/09/2025</v>
      </c>
      <c r="B2719" t="str">
        <f t="shared" si="488"/>
        <v>SAÍDA</v>
      </c>
      <c r="C2719" t="str">
        <f t="shared" si="490"/>
        <v>PIX</v>
      </c>
      <c r="D2719" t="str">
        <f>"21616"</f>
        <v>21616</v>
      </c>
      <c r="E2719" t="str">
        <f t="shared" si="492"/>
        <v>1</v>
      </c>
      <c r="F2719" t="str">
        <f t="shared" si="487"/>
        <v>COM</v>
      </c>
      <c r="G2719" t="str">
        <f>"VINICIUS SANTOS PEREIRA (633)"</f>
        <v>VINICIUS SANTOS PEREIRA (633)</v>
      </c>
      <c r="H2719" t="s">
        <v>733</v>
      </c>
      <c r="I2719" t="str">
        <f t="shared" si="491"/>
        <v>18/09/2025</v>
      </c>
      <c r="J2719" t="str">
        <f t="shared" si="486"/>
        <v>08/09/2025</v>
      </c>
      <c r="K2719">
        <v>45918</v>
      </c>
      <c r="N2719">
        <v>109</v>
      </c>
      <c r="O2719" t="s">
        <v>24</v>
      </c>
      <c r="Q2719">
        <v>790.5</v>
      </c>
      <c r="R2719" t="str">
        <f>"FARMÁCIA INDIANA LJ 95 (10039)"</f>
        <v>FARMÁCIA INDIANA LJ 95 (10039)</v>
      </c>
      <c r="S2719" t="s">
        <v>77</v>
      </c>
      <c r="T2719">
        <v>18427</v>
      </c>
      <c r="U2719">
        <v>21616</v>
      </c>
      <c r="V2719" t="s">
        <v>77</v>
      </c>
    </row>
    <row r="2720" spans="1:22">
      <c r="A2720" t="str">
        <f t="shared" si="489"/>
        <v>18/09/2025</v>
      </c>
      <c r="B2720" t="str">
        <f t="shared" si="488"/>
        <v>SAÍDA</v>
      </c>
      <c r="C2720" t="str">
        <f t="shared" si="490"/>
        <v>PIX</v>
      </c>
      <c r="D2720" t="str">
        <f>"21617"</f>
        <v>21617</v>
      </c>
      <c r="E2720" t="str">
        <f t="shared" si="492"/>
        <v>1</v>
      </c>
      <c r="F2720" t="str">
        <f t="shared" si="487"/>
        <v>COM</v>
      </c>
      <c r="G2720" t="str">
        <f>"WESLEI GONÇALVES SANTOS (154)"</f>
        <v>WESLEI GONÇALVES SANTOS (154)</v>
      </c>
      <c r="H2720" t="str">
        <f>"Serv.Prest. 01/09/2025 a 07/09/2025 - PIX: CPF - CHAVE: 079.068.045-97"</f>
        <v>Serv.Prest. 01/09/2025 a 07/09/2025 - PIX: CPF - CHAVE: 079.068.045-97</v>
      </c>
      <c r="I2720" t="str">
        <f t="shared" si="491"/>
        <v>18/09/2025</v>
      </c>
      <c r="J2720" t="str">
        <f t="shared" si="486"/>
        <v>08/09/2025</v>
      </c>
      <c r="K2720" t="str">
        <f>("18/09/2025")</f>
        <v>18/09/2025</v>
      </c>
      <c r="L2720">
        <v>600.66</v>
      </c>
      <c r="M2720">
        <v>600.66</v>
      </c>
      <c r="N2720">
        <v>109</v>
      </c>
      <c r="O2720" t="str">
        <f>"PAGAMENTO DE ENTREGADORES"</f>
        <v>PAGAMENTO DE ENTREGADORES</v>
      </c>
      <c r="P2720">
        <v>600.66</v>
      </c>
      <c r="S2720" t="str">
        <f>"BANCO C6 (149)"</f>
        <v>BANCO C6 (149)</v>
      </c>
      <c r="T2720">
        <v>18428</v>
      </c>
      <c r="U2720">
        <v>21617</v>
      </c>
      <c r="V2720" t="s">
        <v>77</v>
      </c>
    </row>
    <row r="2721" spans="1:22">
      <c r="A2721" t="str">
        <f t="shared" si="489"/>
        <v>18/09/2025</v>
      </c>
      <c r="B2721" t="str">
        <f t="shared" si="488"/>
        <v>SAÍDA</v>
      </c>
      <c r="C2721" t="str">
        <f t="shared" si="490"/>
        <v>PIX</v>
      </c>
      <c r="D2721" t="str">
        <f>"21617"</f>
        <v>21617</v>
      </c>
      <c r="E2721" t="str">
        <f t="shared" si="492"/>
        <v>1</v>
      </c>
      <c r="F2721" t="str">
        <f t="shared" si="487"/>
        <v>COM</v>
      </c>
      <c r="G2721" t="str">
        <f>"WESLEI GONÇALVES SANTOS (154)"</f>
        <v>WESLEI GONÇALVES SANTOS (154)</v>
      </c>
      <c r="H2721" t="s">
        <v>734</v>
      </c>
      <c r="I2721" t="str">
        <f t="shared" si="491"/>
        <v>18/09/2025</v>
      </c>
      <c r="J2721" t="str">
        <f t="shared" si="486"/>
        <v>08/09/2025</v>
      </c>
      <c r="K2721">
        <v>45918</v>
      </c>
      <c r="N2721">
        <v>109</v>
      </c>
      <c r="O2721" t="s">
        <v>24</v>
      </c>
      <c r="Q2721">
        <v>600.66</v>
      </c>
      <c r="R2721" t="str">
        <f>"FARMÁCIA INDIANA LJ 34 (10014)"</f>
        <v>FARMÁCIA INDIANA LJ 34 (10014)</v>
      </c>
      <c r="S2721" t="s">
        <v>77</v>
      </c>
      <c r="T2721">
        <v>18428</v>
      </c>
      <c r="U2721">
        <v>21617</v>
      </c>
      <c r="V2721" t="s">
        <v>77</v>
      </c>
    </row>
    <row r="2722" spans="1:22">
      <c r="A2722" t="str">
        <f t="shared" si="489"/>
        <v>18/09/2025</v>
      </c>
      <c r="B2722" t="str">
        <f t="shared" si="488"/>
        <v>SAÍDA</v>
      </c>
      <c r="C2722" t="str">
        <f t="shared" si="490"/>
        <v>PIX</v>
      </c>
      <c r="D2722" t="str">
        <f>"21619"</f>
        <v>21619</v>
      </c>
      <c r="E2722" t="str">
        <f t="shared" si="492"/>
        <v>1</v>
      </c>
      <c r="F2722" t="str">
        <f t="shared" si="487"/>
        <v>COM</v>
      </c>
      <c r="G2722" t="str">
        <f>"YAN BRENDO CORREIA VIEIRA (861)"</f>
        <v>YAN BRENDO CORREIA VIEIRA (861)</v>
      </c>
      <c r="H2722" t="str">
        <f>"Serv.Prest. 01/09/2025 a 07/09/2025 - PIX: CPF - CHAVE: 096.891.935-97"</f>
        <v>Serv.Prest. 01/09/2025 a 07/09/2025 - PIX: CPF - CHAVE: 096.891.935-97</v>
      </c>
      <c r="I2722" t="str">
        <f t="shared" si="491"/>
        <v>18/09/2025</v>
      </c>
      <c r="J2722" t="str">
        <f t="shared" si="486"/>
        <v>08/09/2025</v>
      </c>
      <c r="K2722" t="str">
        <f>("18/09/2025")</f>
        <v>18/09/2025</v>
      </c>
      <c r="L2722">
        <v>800</v>
      </c>
      <c r="M2722">
        <v>800</v>
      </c>
      <c r="N2722">
        <v>109</v>
      </c>
      <c r="O2722" t="str">
        <f>"PAGAMENTO DE ENTREGADORES"</f>
        <v>PAGAMENTO DE ENTREGADORES</v>
      </c>
      <c r="P2722">
        <v>800</v>
      </c>
      <c r="S2722" t="str">
        <f>"BANCO C6 (149)"</f>
        <v>BANCO C6 (149)</v>
      </c>
      <c r="T2722">
        <v>18429</v>
      </c>
      <c r="U2722">
        <v>21619</v>
      </c>
      <c r="V2722" t="s">
        <v>77</v>
      </c>
    </row>
    <row r="2723" spans="1:22">
      <c r="A2723" t="str">
        <f t="shared" si="489"/>
        <v>18/09/2025</v>
      </c>
      <c r="B2723" t="str">
        <f t="shared" si="488"/>
        <v>SAÍDA</v>
      </c>
      <c r="C2723" t="str">
        <f t="shared" si="490"/>
        <v>PIX</v>
      </c>
      <c r="D2723" t="str">
        <f>"21619"</f>
        <v>21619</v>
      </c>
      <c r="E2723" t="str">
        <f t="shared" si="492"/>
        <v>1</v>
      </c>
      <c r="F2723" t="str">
        <f t="shared" si="487"/>
        <v>COM</v>
      </c>
      <c r="G2723" t="str">
        <f>"YAN BRENDO CORREIA VIEIRA (861)"</f>
        <v>YAN BRENDO CORREIA VIEIRA (861)</v>
      </c>
      <c r="H2723" t="s">
        <v>372</v>
      </c>
      <c r="I2723" t="str">
        <f t="shared" si="491"/>
        <v>18/09/2025</v>
      </c>
      <c r="J2723" t="str">
        <f t="shared" si="486"/>
        <v>08/09/2025</v>
      </c>
      <c r="K2723">
        <v>45918</v>
      </c>
      <c r="N2723">
        <v>109</v>
      </c>
      <c r="O2723" t="s">
        <v>24</v>
      </c>
      <c r="Q2723">
        <v>800</v>
      </c>
      <c r="R2723" t="str">
        <f>"FARMÁCIA INDIANA LJ 200 (10155)"</f>
        <v>FARMÁCIA INDIANA LJ 200 (10155)</v>
      </c>
      <c r="S2723" t="s">
        <v>77</v>
      </c>
      <c r="T2723">
        <v>18429</v>
      </c>
      <c r="U2723">
        <v>21619</v>
      </c>
      <c r="V2723" t="s">
        <v>77</v>
      </c>
    </row>
    <row r="2724" spans="1:22">
      <c r="A2724" t="str">
        <f t="shared" si="489"/>
        <v>18/09/2025</v>
      </c>
      <c r="B2724" t="str">
        <f t="shared" si="488"/>
        <v>SAÍDA</v>
      </c>
      <c r="C2724" t="str">
        <f t="shared" si="490"/>
        <v>PIX</v>
      </c>
      <c r="D2724" t="str">
        <f>"21621"</f>
        <v>21621</v>
      </c>
      <c r="E2724" t="str">
        <f t="shared" si="492"/>
        <v>1</v>
      </c>
      <c r="F2724" t="str">
        <f t="shared" si="487"/>
        <v>COM</v>
      </c>
      <c r="G2724" t="str">
        <f>"ANDERSON PEREIRA DOS SANTOS (746)"</f>
        <v>ANDERSON PEREIRA DOS SANTOS (746)</v>
      </c>
      <c r="H2724" t="str">
        <f>"Serv.Prest. 01/09/2025 a 07/09/2025 - PIX: CPF - CHAVE: 079.930.865-07"</f>
        <v>Serv.Prest. 01/09/2025 a 07/09/2025 - PIX: CPF - CHAVE: 079.930.865-07</v>
      </c>
      <c r="I2724" t="str">
        <f t="shared" si="491"/>
        <v>18/09/2025</v>
      </c>
      <c r="J2724" t="str">
        <f t="shared" ref="J2724:J2755" si="493">("09/09/2025")</f>
        <v>09/09/2025</v>
      </c>
      <c r="K2724" t="str">
        <f>("18/09/2025")</f>
        <v>18/09/2025</v>
      </c>
      <c r="L2724">
        <v>804</v>
      </c>
      <c r="M2724">
        <v>804</v>
      </c>
      <c r="N2724">
        <v>109</v>
      </c>
      <c r="O2724" t="str">
        <f>"PAGAMENTO DE ENTREGADORES"</f>
        <v>PAGAMENTO DE ENTREGADORES</v>
      </c>
      <c r="P2724">
        <v>804</v>
      </c>
      <c r="S2724" t="str">
        <f>"BANCO C6 (149)"</f>
        <v>BANCO C6 (149)</v>
      </c>
      <c r="T2724">
        <v>18430</v>
      </c>
      <c r="U2724">
        <v>21621</v>
      </c>
      <c r="V2724" t="s">
        <v>77</v>
      </c>
    </row>
    <row r="2725" spans="1:22">
      <c r="A2725" t="str">
        <f t="shared" si="489"/>
        <v>18/09/2025</v>
      </c>
      <c r="B2725" t="str">
        <f t="shared" si="488"/>
        <v>SAÍDA</v>
      </c>
      <c r="C2725" t="str">
        <f t="shared" si="490"/>
        <v>PIX</v>
      </c>
      <c r="D2725" t="str">
        <f>"21621"</f>
        <v>21621</v>
      </c>
      <c r="E2725" t="str">
        <f t="shared" si="492"/>
        <v>1</v>
      </c>
      <c r="F2725" t="str">
        <f t="shared" si="487"/>
        <v>COM</v>
      </c>
      <c r="G2725" t="str">
        <f>"ANDERSON PEREIRA DOS SANTOS (746)"</f>
        <v>ANDERSON PEREIRA DOS SANTOS (746)</v>
      </c>
      <c r="H2725" t="s">
        <v>735</v>
      </c>
      <c r="I2725" t="str">
        <f t="shared" si="491"/>
        <v>18/09/2025</v>
      </c>
      <c r="J2725" t="str">
        <f t="shared" si="493"/>
        <v>09/09/2025</v>
      </c>
      <c r="K2725">
        <v>45918</v>
      </c>
      <c r="N2725">
        <v>109</v>
      </c>
      <c r="O2725" t="s">
        <v>24</v>
      </c>
      <c r="Q2725">
        <v>311.23</v>
      </c>
      <c r="R2725" t="str">
        <f>"FARMÁCIA INDIANA LJ 211 (10168)"</f>
        <v>FARMÁCIA INDIANA LJ 211 (10168)</v>
      </c>
      <c r="S2725" t="s">
        <v>77</v>
      </c>
      <c r="T2725">
        <v>18430</v>
      </c>
      <c r="U2725">
        <v>21621</v>
      </c>
      <c r="V2725" t="s">
        <v>77</v>
      </c>
    </row>
    <row r="2726" spans="1:22">
      <c r="A2726" t="str">
        <f t="shared" si="489"/>
        <v>18/09/2025</v>
      </c>
      <c r="B2726" t="str">
        <f t="shared" si="488"/>
        <v>SAÍDA</v>
      </c>
      <c r="C2726" t="str">
        <f t="shared" si="490"/>
        <v>PIX</v>
      </c>
      <c r="D2726" t="str">
        <f>"21621"</f>
        <v>21621</v>
      </c>
      <c r="E2726" t="str">
        <f t="shared" si="492"/>
        <v>1</v>
      </c>
      <c r="F2726" t="str">
        <f t="shared" si="487"/>
        <v>COM</v>
      </c>
      <c r="G2726" t="str">
        <f>"ANDERSON PEREIRA DOS SANTOS (746)"</f>
        <v>ANDERSON PEREIRA DOS SANTOS (746)</v>
      </c>
      <c r="H2726" t="s">
        <v>735</v>
      </c>
      <c r="I2726" t="str">
        <f t="shared" si="491"/>
        <v>18/09/2025</v>
      </c>
      <c r="J2726" t="str">
        <f t="shared" si="493"/>
        <v>09/09/2025</v>
      </c>
      <c r="K2726">
        <v>45918</v>
      </c>
      <c r="N2726">
        <v>109</v>
      </c>
      <c r="O2726" t="s">
        <v>24</v>
      </c>
      <c r="Q2726">
        <v>492.77</v>
      </c>
      <c r="R2726" t="str">
        <f>"FARMÁCIA INDIANA LJ 236 (10169)"</f>
        <v>FARMÁCIA INDIANA LJ 236 (10169)</v>
      </c>
      <c r="S2726" t="s">
        <v>77</v>
      </c>
      <c r="T2726">
        <v>18430</v>
      </c>
      <c r="U2726">
        <v>21621</v>
      </c>
      <c r="V2726" t="s">
        <v>77</v>
      </c>
    </row>
    <row r="2727" spans="1:22">
      <c r="A2727" t="str">
        <f t="shared" si="489"/>
        <v>18/09/2025</v>
      </c>
      <c r="B2727" t="str">
        <f t="shared" si="488"/>
        <v>SAÍDA</v>
      </c>
      <c r="C2727" t="str">
        <f t="shared" si="490"/>
        <v>PIX</v>
      </c>
      <c r="D2727" t="str">
        <f>"21622"</f>
        <v>21622</v>
      </c>
      <c r="E2727" t="str">
        <f t="shared" si="492"/>
        <v>1</v>
      </c>
      <c r="F2727" t="str">
        <f t="shared" si="487"/>
        <v>COM</v>
      </c>
      <c r="G2727" t="str">
        <f>"DANILO ROCHA SILVA (162)"</f>
        <v>DANILO ROCHA SILVA (162)</v>
      </c>
      <c r="H2727" t="str">
        <f>"Serv.Prest. 01/09/2025 a 07/09/2025 - PIX: CELULAR - CHAVE: (27) 99811-6850"</f>
        <v>Serv.Prest. 01/09/2025 a 07/09/2025 - PIX: CELULAR - CHAVE: (27) 99811-6850</v>
      </c>
      <c r="I2727" t="str">
        <f t="shared" si="491"/>
        <v>18/09/2025</v>
      </c>
      <c r="J2727" t="str">
        <f t="shared" si="493"/>
        <v>09/09/2025</v>
      </c>
      <c r="K2727" t="str">
        <f>("18/09/2025")</f>
        <v>18/09/2025</v>
      </c>
      <c r="L2727">
        <v>1395</v>
      </c>
      <c r="M2727">
        <v>1395</v>
      </c>
      <c r="N2727">
        <v>109</v>
      </c>
      <c r="O2727" t="str">
        <f>"PAGAMENTO DE ENTREGADORES"</f>
        <v>PAGAMENTO DE ENTREGADORES</v>
      </c>
      <c r="P2727">
        <v>1395</v>
      </c>
      <c r="S2727" t="str">
        <f>"BANCO C6 (149)"</f>
        <v>BANCO C6 (149)</v>
      </c>
      <c r="T2727">
        <v>18431</v>
      </c>
      <c r="U2727">
        <v>21622</v>
      </c>
      <c r="V2727" t="s">
        <v>77</v>
      </c>
    </row>
    <row r="2728" spans="1:22">
      <c r="A2728" t="str">
        <f t="shared" si="489"/>
        <v>18/09/2025</v>
      </c>
      <c r="B2728" t="str">
        <f t="shared" si="488"/>
        <v>SAÍDA</v>
      </c>
      <c r="C2728" t="str">
        <f t="shared" si="490"/>
        <v>PIX</v>
      </c>
      <c r="D2728" t="str">
        <f>"21622"</f>
        <v>21622</v>
      </c>
      <c r="E2728" t="str">
        <f t="shared" si="492"/>
        <v>1</v>
      </c>
      <c r="F2728" t="str">
        <f t="shared" si="487"/>
        <v>COM</v>
      </c>
      <c r="G2728" t="str">
        <f>"DANILO ROCHA SILVA (162)"</f>
        <v>DANILO ROCHA SILVA (162)</v>
      </c>
      <c r="H2728" t="s">
        <v>736</v>
      </c>
      <c r="I2728" t="str">
        <f t="shared" si="491"/>
        <v>18/09/2025</v>
      </c>
      <c r="J2728" t="str">
        <f t="shared" si="493"/>
        <v>09/09/2025</v>
      </c>
      <c r="K2728">
        <v>45918</v>
      </c>
      <c r="N2728">
        <v>109</v>
      </c>
      <c r="O2728" t="s">
        <v>24</v>
      </c>
      <c r="Q2728">
        <v>1395</v>
      </c>
      <c r="R2728" t="str">
        <f>"FARMÁCIA INDIANA LJ 181 (10078)"</f>
        <v>FARMÁCIA INDIANA LJ 181 (10078)</v>
      </c>
      <c r="S2728" t="s">
        <v>77</v>
      </c>
      <c r="T2728">
        <v>18431</v>
      </c>
      <c r="U2728">
        <v>21622</v>
      </c>
      <c r="V2728" t="s">
        <v>77</v>
      </c>
    </row>
    <row r="2729" spans="1:22">
      <c r="A2729" t="str">
        <f t="shared" si="489"/>
        <v>18/09/2025</v>
      </c>
      <c r="B2729" t="str">
        <f t="shared" si="488"/>
        <v>SAÍDA</v>
      </c>
      <c r="C2729" t="str">
        <f t="shared" si="490"/>
        <v>PIX</v>
      </c>
      <c r="D2729" t="str">
        <f>"21623"</f>
        <v>21623</v>
      </c>
      <c r="E2729" t="str">
        <f t="shared" si="492"/>
        <v>1</v>
      </c>
      <c r="F2729" t="str">
        <f t="shared" si="487"/>
        <v>COM</v>
      </c>
      <c r="G2729" t="str">
        <f>"FABIO SOUZA DE JESUS (637)"</f>
        <v>FABIO SOUZA DE JESUS (637)</v>
      </c>
      <c r="H2729" t="str">
        <f>"Serv.Prest. 01/09/2025 a 07/09/2025 - PIX: CELULAR - CHAVE: (27) 99950-3450"</f>
        <v>Serv.Prest. 01/09/2025 a 07/09/2025 - PIX: CELULAR - CHAVE: (27) 99950-3450</v>
      </c>
      <c r="I2729" t="str">
        <f t="shared" si="491"/>
        <v>18/09/2025</v>
      </c>
      <c r="J2729" t="str">
        <f t="shared" si="493"/>
        <v>09/09/2025</v>
      </c>
      <c r="K2729" t="str">
        <f>("18/09/2025")</f>
        <v>18/09/2025</v>
      </c>
      <c r="L2729">
        <v>979</v>
      </c>
      <c r="M2729">
        <v>979</v>
      </c>
      <c r="N2729">
        <v>109</v>
      </c>
      <c r="O2729" t="str">
        <f>"PAGAMENTO DE ENTREGADORES"</f>
        <v>PAGAMENTO DE ENTREGADORES</v>
      </c>
      <c r="P2729">
        <v>979</v>
      </c>
      <c r="S2729" t="str">
        <f>"BANCO C6 (149)"</f>
        <v>BANCO C6 (149)</v>
      </c>
      <c r="T2729">
        <v>18432</v>
      </c>
      <c r="U2729">
        <v>21623</v>
      </c>
      <c r="V2729" t="s">
        <v>77</v>
      </c>
    </row>
    <row r="2730" spans="1:22">
      <c r="A2730" t="str">
        <f t="shared" si="489"/>
        <v>18/09/2025</v>
      </c>
      <c r="B2730" t="str">
        <f t="shared" si="488"/>
        <v>SAÍDA</v>
      </c>
      <c r="C2730" t="str">
        <f t="shared" si="490"/>
        <v>PIX</v>
      </c>
      <c r="D2730" t="str">
        <f>"21623"</f>
        <v>21623</v>
      </c>
      <c r="E2730" t="str">
        <f t="shared" si="492"/>
        <v>1</v>
      </c>
      <c r="F2730" t="str">
        <f t="shared" si="487"/>
        <v>COM</v>
      </c>
      <c r="G2730" t="str">
        <f>"FABIO SOUZA DE JESUS (637)"</f>
        <v>FABIO SOUZA DE JESUS (637)</v>
      </c>
      <c r="H2730" t="s">
        <v>737</v>
      </c>
      <c r="I2730" t="str">
        <f t="shared" si="491"/>
        <v>18/09/2025</v>
      </c>
      <c r="J2730" t="str">
        <f t="shared" si="493"/>
        <v>09/09/2025</v>
      </c>
      <c r="K2730">
        <v>45918</v>
      </c>
      <c r="N2730">
        <v>109</v>
      </c>
      <c r="O2730" t="s">
        <v>24</v>
      </c>
      <c r="Q2730">
        <v>244.75</v>
      </c>
      <c r="R2730" t="str">
        <f>"FARMÁCIA INDIANA LJ 243 (10142)"</f>
        <v>FARMÁCIA INDIANA LJ 243 (10142)</v>
      </c>
      <c r="S2730" t="s">
        <v>77</v>
      </c>
      <c r="T2730">
        <v>18432</v>
      </c>
      <c r="U2730">
        <v>21623</v>
      </c>
      <c r="V2730" t="s">
        <v>77</v>
      </c>
    </row>
    <row r="2731" spans="1:22">
      <c r="A2731" t="str">
        <f t="shared" si="489"/>
        <v>18/09/2025</v>
      </c>
      <c r="B2731" t="str">
        <f t="shared" si="488"/>
        <v>SAÍDA</v>
      </c>
      <c r="C2731" t="str">
        <f t="shared" si="490"/>
        <v>PIX</v>
      </c>
      <c r="D2731" t="str">
        <f>"21623"</f>
        <v>21623</v>
      </c>
      <c r="E2731" t="str">
        <f t="shared" si="492"/>
        <v>1</v>
      </c>
      <c r="F2731" t="str">
        <f t="shared" si="487"/>
        <v>COM</v>
      </c>
      <c r="G2731" t="str">
        <f>"FABIO SOUZA DE JESUS (637)"</f>
        <v>FABIO SOUZA DE JESUS (637)</v>
      </c>
      <c r="H2731" t="s">
        <v>737</v>
      </c>
      <c r="I2731" t="str">
        <f t="shared" si="491"/>
        <v>18/09/2025</v>
      </c>
      <c r="J2731" t="str">
        <f t="shared" si="493"/>
        <v>09/09/2025</v>
      </c>
      <c r="K2731">
        <v>45918</v>
      </c>
      <c r="N2731">
        <v>109</v>
      </c>
      <c r="O2731" t="s">
        <v>24</v>
      </c>
      <c r="Q2731">
        <v>734.25</v>
      </c>
      <c r="R2731" t="str">
        <f>"FARMÁCIA INDIANA LJ 235 (10190)"</f>
        <v>FARMÁCIA INDIANA LJ 235 (10190)</v>
      </c>
      <c r="S2731" t="s">
        <v>77</v>
      </c>
      <c r="T2731">
        <v>18432</v>
      </c>
      <c r="U2731">
        <v>21623</v>
      </c>
      <c r="V2731" t="s">
        <v>77</v>
      </c>
    </row>
    <row r="2732" spans="1:22">
      <c r="A2732" t="str">
        <f t="shared" si="489"/>
        <v>18/09/2025</v>
      </c>
      <c r="B2732" t="str">
        <f t="shared" si="488"/>
        <v>SAÍDA</v>
      </c>
      <c r="C2732" t="str">
        <f t="shared" si="490"/>
        <v>PIX</v>
      </c>
      <c r="D2732" t="str">
        <f>"21624"</f>
        <v>21624</v>
      </c>
      <c r="E2732" t="str">
        <f t="shared" si="492"/>
        <v>1</v>
      </c>
      <c r="F2732" t="str">
        <f t="shared" si="487"/>
        <v>COM</v>
      </c>
      <c r="G2732" t="str">
        <f>"JACQUES SEBIM SANTNA (918)"</f>
        <v>JACQUES SEBIM SANTNA (918)</v>
      </c>
      <c r="H2732" t="str">
        <f>"Serv.Prest. 01/09/2025 a 07/09/2025 - PIX: CNPJ - CHAVE: 40.359.224/0001-09"</f>
        <v>Serv.Prest. 01/09/2025 a 07/09/2025 - PIX: CNPJ - CHAVE: 40.359.224/0001-09</v>
      </c>
      <c r="I2732" t="str">
        <f t="shared" si="491"/>
        <v>18/09/2025</v>
      </c>
      <c r="J2732" t="str">
        <f t="shared" si="493"/>
        <v>09/09/2025</v>
      </c>
      <c r="K2732" t="str">
        <f>("18/09/2025")</f>
        <v>18/09/2025</v>
      </c>
      <c r="L2732">
        <v>804</v>
      </c>
      <c r="M2732">
        <v>804</v>
      </c>
      <c r="N2732">
        <v>109</v>
      </c>
      <c r="O2732" t="str">
        <f>"PAGAMENTO DE ENTREGADORES"</f>
        <v>PAGAMENTO DE ENTREGADORES</v>
      </c>
      <c r="P2732">
        <v>804</v>
      </c>
      <c r="S2732" t="str">
        <f>"BANCO C6 (149)"</f>
        <v>BANCO C6 (149)</v>
      </c>
      <c r="T2732">
        <v>18433</v>
      </c>
      <c r="U2732">
        <v>21624</v>
      </c>
      <c r="V2732" t="s">
        <v>77</v>
      </c>
    </row>
    <row r="2733" spans="1:22">
      <c r="A2733" t="str">
        <f t="shared" si="489"/>
        <v>18/09/2025</v>
      </c>
      <c r="B2733" t="str">
        <f t="shared" si="488"/>
        <v>SAÍDA</v>
      </c>
      <c r="C2733" t="str">
        <f t="shared" si="490"/>
        <v>PIX</v>
      </c>
      <c r="D2733" t="str">
        <f>"21624"</f>
        <v>21624</v>
      </c>
      <c r="E2733" t="str">
        <f t="shared" si="492"/>
        <v>1</v>
      </c>
      <c r="F2733" t="str">
        <f t="shared" si="487"/>
        <v>COM</v>
      </c>
      <c r="G2733" t="str">
        <f>"JACQUES SEBIM SANTNA (918)"</f>
        <v>JACQUES SEBIM SANTNA (918)</v>
      </c>
      <c r="H2733" t="s">
        <v>738</v>
      </c>
      <c r="I2733" t="str">
        <f t="shared" si="491"/>
        <v>18/09/2025</v>
      </c>
      <c r="J2733" t="str">
        <f t="shared" si="493"/>
        <v>09/09/2025</v>
      </c>
      <c r="K2733">
        <v>45918</v>
      </c>
      <c r="N2733">
        <v>109</v>
      </c>
      <c r="O2733" t="s">
        <v>24</v>
      </c>
      <c r="Q2733">
        <v>804</v>
      </c>
      <c r="R2733" t="str">
        <f>"FARMÁCIA INDIANA LJ 188 (10176)"</f>
        <v>FARMÁCIA INDIANA LJ 188 (10176)</v>
      </c>
      <c r="S2733" t="s">
        <v>77</v>
      </c>
      <c r="T2733">
        <v>18433</v>
      </c>
      <c r="U2733">
        <v>21624</v>
      </c>
      <c r="V2733" t="s">
        <v>77</v>
      </c>
    </row>
    <row r="2734" spans="1:22">
      <c r="A2734" t="str">
        <f t="shared" si="489"/>
        <v>18/09/2025</v>
      </c>
      <c r="B2734" t="str">
        <f t="shared" si="488"/>
        <v>SAÍDA</v>
      </c>
      <c r="C2734" t="str">
        <f t="shared" si="490"/>
        <v>PIX</v>
      </c>
      <c r="D2734" t="str">
        <f>"21625"</f>
        <v>21625</v>
      </c>
      <c r="E2734" t="str">
        <f t="shared" si="492"/>
        <v>1</v>
      </c>
      <c r="F2734" t="str">
        <f t="shared" si="487"/>
        <v>COM</v>
      </c>
      <c r="G2734" t="str">
        <f>"JEAN CHARLES BATISTA FILHO (206)"</f>
        <v>JEAN CHARLES BATISTA FILHO (206)</v>
      </c>
      <c r="H2734" t="str">
        <f>"Serv.Prest. 01/09/2025 a 07/09/2025 - PIX: CELULAR - CHAVE: (27) 99616-4468"</f>
        <v>Serv.Prest. 01/09/2025 a 07/09/2025 - PIX: CELULAR - CHAVE: (27) 99616-4468</v>
      </c>
      <c r="I2734" t="str">
        <f t="shared" si="491"/>
        <v>18/09/2025</v>
      </c>
      <c r="J2734" t="str">
        <f t="shared" si="493"/>
        <v>09/09/2025</v>
      </c>
      <c r="K2734" t="str">
        <f>("18/09/2025")</f>
        <v>18/09/2025</v>
      </c>
      <c r="L2734">
        <v>3060</v>
      </c>
      <c r="M2734">
        <v>3060</v>
      </c>
      <c r="N2734">
        <v>109</v>
      </c>
      <c r="O2734" t="str">
        <f>"PAGAMENTO DE ENTREGADORES"</f>
        <v>PAGAMENTO DE ENTREGADORES</v>
      </c>
      <c r="P2734">
        <v>3060</v>
      </c>
      <c r="S2734" t="str">
        <f>"BANCO C6 (149)"</f>
        <v>BANCO C6 (149)</v>
      </c>
      <c r="T2734">
        <v>18434</v>
      </c>
      <c r="U2734">
        <v>21625</v>
      </c>
      <c r="V2734" t="s">
        <v>77</v>
      </c>
    </row>
    <row r="2735" spans="1:22">
      <c r="A2735" t="str">
        <f t="shared" si="489"/>
        <v>18/09/2025</v>
      </c>
      <c r="B2735" t="str">
        <f t="shared" si="488"/>
        <v>SAÍDA</v>
      </c>
      <c r="C2735" t="str">
        <f t="shared" si="490"/>
        <v>PIX</v>
      </c>
      <c r="D2735" t="str">
        <f>"21625"</f>
        <v>21625</v>
      </c>
      <c r="E2735" t="str">
        <f t="shared" si="492"/>
        <v>1</v>
      </c>
      <c r="F2735" t="str">
        <f t="shared" si="487"/>
        <v>COM</v>
      </c>
      <c r="G2735" t="str">
        <f>"JEAN CHARLES BATISTA FILHO (206)"</f>
        <v>JEAN CHARLES BATISTA FILHO (206)</v>
      </c>
      <c r="H2735" t="s">
        <v>739</v>
      </c>
      <c r="I2735" t="str">
        <f t="shared" si="491"/>
        <v>18/09/2025</v>
      </c>
      <c r="J2735" t="str">
        <f t="shared" si="493"/>
        <v>09/09/2025</v>
      </c>
      <c r="K2735">
        <v>45918</v>
      </c>
      <c r="N2735">
        <v>109</v>
      </c>
      <c r="O2735" t="s">
        <v>24</v>
      </c>
      <c r="Q2735">
        <v>3060</v>
      </c>
      <c r="R2735" t="str">
        <f>"FARMÁCIA INDIANA LJ 163 (10072)"</f>
        <v>FARMÁCIA INDIANA LJ 163 (10072)</v>
      </c>
      <c r="S2735" t="s">
        <v>77</v>
      </c>
      <c r="T2735">
        <v>18434</v>
      </c>
      <c r="U2735">
        <v>21625</v>
      </c>
      <c r="V2735" t="s">
        <v>77</v>
      </c>
    </row>
    <row r="2736" spans="1:22">
      <c r="A2736" t="str">
        <f t="shared" si="489"/>
        <v>18/09/2025</v>
      </c>
      <c r="B2736" t="str">
        <f t="shared" si="488"/>
        <v>SAÍDA</v>
      </c>
      <c r="C2736" t="str">
        <f t="shared" si="490"/>
        <v>PIX</v>
      </c>
      <c r="D2736" t="str">
        <f>"21626"</f>
        <v>21626</v>
      </c>
      <c r="E2736" t="str">
        <f t="shared" si="492"/>
        <v>1</v>
      </c>
      <c r="F2736" t="str">
        <f t="shared" si="487"/>
        <v>COM</v>
      </c>
      <c r="G2736" t="str">
        <f>"MARCELO SOUZA DE MOURA (924)"</f>
        <v>MARCELO SOUZA DE MOURA (924)</v>
      </c>
      <c r="H2736" t="str">
        <f>"Serv.Prest. 01/09/2025 a 07/09/2025 - PIX: CELULAR - CHAVE: (73) 99167-5954"</f>
        <v>Serv.Prest. 01/09/2025 a 07/09/2025 - PIX: CELULAR - CHAVE: (73) 99167-5954</v>
      </c>
      <c r="I2736" t="str">
        <f t="shared" si="491"/>
        <v>18/09/2025</v>
      </c>
      <c r="J2736" t="str">
        <f t="shared" si="493"/>
        <v>09/09/2025</v>
      </c>
      <c r="K2736" t="str">
        <f>("18/09/2025")</f>
        <v>18/09/2025</v>
      </c>
      <c r="L2736">
        <v>1012.5</v>
      </c>
      <c r="M2736">
        <v>1012.5</v>
      </c>
      <c r="N2736">
        <v>109</v>
      </c>
      <c r="O2736" t="str">
        <f>"PAGAMENTO DE ENTREGADORES"</f>
        <v>PAGAMENTO DE ENTREGADORES</v>
      </c>
      <c r="P2736">
        <v>1012.5</v>
      </c>
      <c r="S2736" t="str">
        <f>"BANCO C6 (149)"</f>
        <v>BANCO C6 (149)</v>
      </c>
      <c r="T2736">
        <v>18435</v>
      </c>
      <c r="U2736">
        <v>21626</v>
      </c>
      <c r="V2736" t="s">
        <v>77</v>
      </c>
    </row>
    <row r="2737" spans="1:22">
      <c r="A2737" t="str">
        <f t="shared" si="489"/>
        <v>18/09/2025</v>
      </c>
      <c r="B2737" t="str">
        <f t="shared" si="488"/>
        <v>SAÍDA</v>
      </c>
      <c r="C2737" t="str">
        <f t="shared" si="490"/>
        <v>PIX</v>
      </c>
      <c r="D2737" t="str">
        <f>"21626"</f>
        <v>21626</v>
      </c>
      <c r="E2737" t="str">
        <f t="shared" si="492"/>
        <v>1</v>
      </c>
      <c r="F2737" t="str">
        <f t="shared" si="487"/>
        <v>COM</v>
      </c>
      <c r="G2737" t="str">
        <f>"MARCELO SOUZA DE MOURA (924)"</f>
        <v>MARCELO SOUZA DE MOURA (924)</v>
      </c>
      <c r="H2737" t="s">
        <v>740</v>
      </c>
      <c r="I2737" t="str">
        <f t="shared" si="491"/>
        <v>18/09/2025</v>
      </c>
      <c r="J2737" t="str">
        <f t="shared" si="493"/>
        <v>09/09/2025</v>
      </c>
      <c r="K2737">
        <v>45918</v>
      </c>
      <c r="N2737">
        <v>109</v>
      </c>
      <c r="O2737" t="s">
        <v>24</v>
      </c>
      <c r="Q2737">
        <v>1012.5</v>
      </c>
      <c r="R2737" t="str">
        <f>"FARMÁCIA INDIANA LJ 273 (10188)"</f>
        <v>FARMÁCIA INDIANA LJ 273 (10188)</v>
      </c>
      <c r="S2737" t="s">
        <v>77</v>
      </c>
      <c r="T2737">
        <v>18435</v>
      </c>
      <c r="U2737">
        <v>21626</v>
      </c>
      <c r="V2737" t="s">
        <v>77</v>
      </c>
    </row>
    <row r="2738" spans="1:22">
      <c r="A2738" t="str">
        <f t="shared" si="489"/>
        <v>18/09/2025</v>
      </c>
      <c r="B2738" t="str">
        <f t="shared" si="488"/>
        <v>SAÍDA</v>
      </c>
      <c r="C2738" t="str">
        <f t="shared" si="490"/>
        <v>PIX</v>
      </c>
      <c r="D2738" t="str">
        <f>"21627"</f>
        <v>21627</v>
      </c>
      <c r="E2738" t="str">
        <f t="shared" si="492"/>
        <v>1</v>
      </c>
      <c r="F2738" t="str">
        <f t="shared" si="487"/>
        <v>COM</v>
      </c>
      <c r="G2738" t="str">
        <f>"REGINALDO PEREIRA DE ASSIS (81)"</f>
        <v>REGINALDO PEREIRA DE ASSIS (81)</v>
      </c>
      <c r="H2738" t="str">
        <f>"Serv.Prest. 01/09/2025 a 07/09/2025 - PIX: CELULAR - CHAVE: (27) 99916-8443"</f>
        <v>Serv.Prest. 01/09/2025 a 07/09/2025 - PIX: CELULAR - CHAVE: (27) 99916-8443</v>
      </c>
      <c r="I2738" t="str">
        <f t="shared" si="491"/>
        <v>18/09/2025</v>
      </c>
      <c r="J2738" t="str">
        <f t="shared" si="493"/>
        <v>09/09/2025</v>
      </c>
      <c r="K2738" t="str">
        <f>("18/09/2025")</f>
        <v>18/09/2025</v>
      </c>
      <c r="L2738">
        <v>357.5</v>
      </c>
      <c r="M2738">
        <v>357.5</v>
      </c>
      <c r="N2738">
        <v>109</v>
      </c>
      <c r="O2738" t="str">
        <f>"PAGAMENTO DE ENTREGADORES"</f>
        <v>PAGAMENTO DE ENTREGADORES</v>
      </c>
      <c r="P2738">
        <v>357.5</v>
      </c>
      <c r="S2738" t="str">
        <f>"BANCO C6 (149)"</f>
        <v>BANCO C6 (149)</v>
      </c>
      <c r="T2738">
        <v>18436</v>
      </c>
      <c r="U2738">
        <v>21627</v>
      </c>
      <c r="V2738" t="s">
        <v>77</v>
      </c>
    </row>
    <row r="2739" spans="1:22">
      <c r="A2739" t="str">
        <f t="shared" si="489"/>
        <v>18/09/2025</v>
      </c>
      <c r="B2739" t="str">
        <f t="shared" si="488"/>
        <v>SAÍDA</v>
      </c>
      <c r="C2739" t="str">
        <f t="shared" si="490"/>
        <v>PIX</v>
      </c>
      <c r="D2739" t="str">
        <f>"21627"</f>
        <v>21627</v>
      </c>
      <c r="E2739" t="str">
        <f t="shared" si="492"/>
        <v>1</v>
      </c>
      <c r="F2739" t="str">
        <f t="shared" si="487"/>
        <v>COM</v>
      </c>
      <c r="G2739" t="str">
        <f>"REGINALDO PEREIRA DE ASSIS (81)"</f>
        <v>REGINALDO PEREIRA DE ASSIS (81)</v>
      </c>
      <c r="H2739" t="s">
        <v>741</v>
      </c>
      <c r="I2739" t="str">
        <f t="shared" si="491"/>
        <v>18/09/2025</v>
      </c>
      <c r="J2739" t="str">
        <f t="shared" si="493"/>
        <v>09/09/2025</v>
      </c>
      <c r="K2739">
        <v>45918</v>
      </c>
      <c r="N2739">
        <v>109</v>
      </c>
      <c r="O2739" t="s">
        <v>24</v>
      </c>
      <c r="Q2739">
        <v>357.5</v>
      </c>
      <c r="R2739" t="str">
        <f>"FARMÁCIA INDIANA LJ 119 (10053)"</f>
        <v>FARMÁCIA INDIANA LJ 119 (10053)</v>
      </c>
      <c r="S2739" t="s">
        <v>77</v>
      </c>
      <c r="T2739">
        <v>18436</v>
      </c>
      <c r="U2739">
        <v>21627</v>
      </c>
      <c r="V2739" t="s">
        <v>77</v>
      </c>
    </row>
    <row r="2740" spans="1:22">
      <c r="A2740" t="str">
        <f t="shared" si="489"/>
        <v>18/09/2025</v>
      </c>
      <c r="B2740" t="str">
        <f t="shared" si="488"/>
        <v>SAÍDA</v>
      </c>
      <c r="C2740" t="str">
        <f t="shared" si="490"/>
        <v>PIX</v>
      </c>
      <c r="D2740" t="str">
        <f>"21629"</f>
        <v>21629</v>
      </c>
      <c r="E2740" t="str">
        <f t="shared" si="492"/>
        <v>1</v>
      </c>
      <c r="F2740" t="str">
        <f t="shared" si="487"/>
        <v>COM</v>
      </c>
      <c r="G2740" t="str">
        <f>"VINÍCIUS NEVES PEREIRA (776)"</f>
        <v>VINÍCIUS NEVES PEREIRA (776)</v>
      </c>
      <c r="H2740" t="str">
        <f>"Serv.Prest. 01/09/2025 a 07/09/2025 - PIX: CPF - CHAVE: 121.963.507-37"</f>
        <v>Serv.Prest. 01/09/2025 a 07/09/2025 - PIX: CPF - CHAVE: 121.963.507-37</v>
      </c>
      <c r="I2740" t="str">
        <f t="shared" si="491"/>
        <v>18/09/2025</v>
      </c>
      <c r="J2740" t="str">
        <f t="shared" si="493"/>
        <v>09/09/2025</v>
      </c>
      <c r="K2740" t="str">
        <f>("18/09/2025")</f>
        <v>18/09/2025</v>
      </c>
      <c r="L2740">
        <v>750.75</v>
      </c>
      <c r="M2740">
        <v>750.75</v>
      </c>
      <c r="N2740">
        <v>109</v>
      </c>
      <c r="O2740" t="str">
        <f>"PAGAMENTO DE ENTREGADORES"</f>
        <v>PAGAMENTO DE ENTREGADORES</v>
      </c>
      <c r="P2740">
        <v>750.75</v>
      </c>
      <c r="S2740" t="str">
        <f>"BANCO C6 (149)"</f>
        <v>BANCO C6 (149)</v>
      </c>
      <c r="T2740">
        <v>18437</v>
      </c>
      <c r="U2740">
        <v>21629</v>
      </c>
      <c r="V2740" t="s">
        <v>77</v>
      </c>
    </row>
    <row r="2741" spans="1:22">
      <c r="A2741" t="str">
        <f t="shared" si="489"/>
        <v>18/09/2025</v>
      </c>
      <c r="B2741" t="str">
        <f t="shared" si="488"/>
        <v>SAÍDA</v>
      </c>
      <c r="C2741" t="str">
        <f t="shared" si="490"/>
        <v>PIX</v>
      </c>
      <c r="D2741" t="str">
        <f>"21629"</f>
        <v>21629</v>
      </c>
      <c r="E2741" t="str">
        <f t="shared" si="492"/>
        <v>1</v>
      </c>
      <c r="F2741" t="str">
        <f t="shared" si="487"/>
        <v>COM</v>
      </c>
      <c r="G2741" t="str">
        <f>"VINÍCIUS NEVES PEREIRA (776)"</f>
        <v>VINÍCIUS NEVES PEREIRA (776)</v>
      </c>
      <c r="H2741" t="s">
        <v>742</v>
      </c>
      <c r="I2741" t="str">
        <f t="shared" si="491"/>
        <v>18/09/2025</v>
      </c>
      <c r="J2741" t="str">
        <f t="shared" si="493"/>
        <v>09/09/2025</v>
      </c>
      <c r="K2741">
        <v>45918</v>
      </c>
      <c r="N2741">
        <v>109</v>
      </c>
      <c r="O2741" t="s">
        <v>24</v>
      </c>
      <c r="Q2741">
        <v>750.75</v>
      </c>
      <c r="R2741" t="str">
        <f>"FARMÁCIA INDIANA LJ 221 (10093)"</f>
        <v>FARMÁCIA INDIANA LJ 221 (10093)</v>
      </c>
      <c r="S2741" t="s">
        <v>77</v>
      </c>
      <c r="T2741">
        <v>18437</v>
      </c>
      <c r="U2741">
        <v>21629</v>
      </c>
      <c r="V2741" t="s">
        <v>77</v>
      </c>
    </row>
    <row r="2742" spans="1:22">
      <c r="A2742" t="str">
        <f t="shared" si="489"/>
        <v>18/09/2025</v>
      </c>
      <c r="B2742" t="str">
        <f t="shared" si="488"/>
        <v>SAÍDA</v>
      </c>
      <c r="C2742" t="str">
        <f t="shared" si="490"/>
        <v>PIX</v>
      </c>
      <c r="D2742" t="str">
        <f>"21633"</f>
        <v>21633</v>
      </c>
      <c r="E2742" t="str">
        <f t="shared" si="492"/>
        <v>1</v>
      </c>
      <c r="F2742" t="str">
        <f t="shared" si="487"/>
        <v>COM</v>
      </c>
      <c r="G2742" t="str">
        <f>"CASSIO DIAS RIBEIRO (32)"</f>
        <v>CASSIO DIAS RIBEIRO (32)</v>
      </c>
      <c r="H2742" t="str">
        <f>"Serv.Prest. 01/09/2025 a 07/09/2025 - PIX: CPF - CHAVE: 091.575.986-14"</f>
        <v>Serv.Prest. 01/09/2025 a 07/09/2025 - PIX: CPF - CHAVE: 091.575.986-14</v>
      </c>
      <c r="I2742" t="str">
        <f t="shared" si="491"/>
        <v>18/09/2025</v>
      </c>
      <c r="J2742" t="str">
        <f t="shared" si="493"/>
        <v>09/09/2025</v>
      </c>
      <c r="K2742" t="str">
        <f>("18/09/2025")</f>
        <v>18/09/2025</v>
      </c>
      <c r="L2742">
        <v>1218</v>
      </c>
      <c r="M2742">
        <v>1218</v>
      </c>
      <c r="N2742">
        <v>109</v>
      </c>
      <c r="O2742" t="str">
        <f>"PAGAMENTO DE ENTREGADORES"</f>
        <v>PAGAMENTO DE ENTREGADORES</v>
      </c>
      <c r="P2742">
        <v>1218</v>
      </c>
      <c r="S2742" t="str">
        <f>"BANCO C6 (149)"</f>
        <v>BANCO C6 (149)</v>
      </c>
      <c r="T2742">
        <v>18438</v>
      </c>
      <c r="U2742">
        <v>21633</v>
      </c>
      <c r="V2742" t="s">
        <v>77</v>
      </c>
    </row>
    <row r="2743" spans="1:22">
      <c r="A2743" t="str">
        <f t="shared" si="489"/>
        <v>18/09/2025</v>
      </c>
      <c r="B2743" t="str">
        <f t="shared" si="488"/>
        <v>SAÍDA</v>
      </c>
      <c r="C2743" t="str">
        <f t="shared" si="490"/>
        <v>PIX</v>
      </c>
      <c r="D2743" t="str">
        <f>"21633"</f>
        <v>21633</v>
      </c>
      <c r="E2743" t="str">
        <f t="shared" si="492"/>
        <v>1</v>
      </c>
      <c r="F2743" t="str">
        <f t="shared" si="487"/>
        <v>COM</v>
      </c>
      <c r="G2743" t="str">
        <f>"CASSIO DIAS RIBEIRO (32)"</f>
        <v>CASSIO DIAS RIBEIRO (32)</v>
      </c>
      <c r="H2743" t="s">
        <v>498</v>
      </c>
      <c r="I2743" t="str">
        <f t="shared" si="491"/>
        <v>18/09/2025</v>
      </c>
      <c r="J2743" t="str">
        <f t="shared" si="493"/>
        <v>09/09/2025</v>
      </c>
      <c r="K2743">
        <v>45918</v>
      </c>
      <c r="N2743">
        <v>109</v>
      </c>
      <c r="O2743" t="s">
        <v>24</v>
      </c>
      <c r="Q2743">
        <v>1218</v>
      </c>
      <c r="R2743" t="str">
        <f>"FARMÁCIA INDIANA LJ 18 (10011)"</f>
        <v>FARMÁCIA INDIANA LJ 18 (10011)</v>
      </c>
      <c r="S2743" t="s">
        <v>77</v>
      </c>
      <c r="T2743">
        <v>18438</v>
      </c>
      <c r="U2743">
        <v>21633</v>
      </c>
      <c r="V2743" t="s">
        <v>77</v>
      </c>
    </row>
    <row r="2744" spans="1:22">
      <c r="A2744" t="str">
        <f t="shared" si="489"/>
        <v>18/09/2025</v>
      </c>
      <c r="B2744" t="str">
        <f t="shared" si="488"/>
        <v>SAÍDA</v>
      </c>
      <c r="C2744" t="str">
        <f t="shared" si="490"/>
        <v>PIX</v>
      </c>
      <c r="D2744" t="str">
        <f>"21675"</f>
        <v>21675</v>
      </c>
      <c r="E2744" t="str">
        <f t="shared" si="492"/>
        <v>1</v>
      </c>
      <c r="F2744" t="str">
        <f t="shared" si="487"/>
        <v>COM</v>
      </c>
      <c r="G2744" t="str">
        <f>"ALAN ACOSTA (897)"</f>
        <v>ALAN ACOSTA (897)</v>
      </c>
      <c r="H2744" t="str">
        <f>"Serv.Prest. 01/09/2025 a 07/09/2025 - PIX: E-MAIL - CHAVE: alanacosta1999@gmail.com"</f>
        <v>Serv.Prest. 01/09/2025 a 07/09/2025 - PIX: E-MAIL - CHAVE: alanacosta1999@gmail.com</v>
      </c>
      <c r="I2744" t="str">
        <f t="shared" si="491"/>
        <v>18/09/2025</v>
      </c>
      <c r="J2744" t="str">
        <f t="shared" si="493"/>
        <v>09/09/2025</v>
      </c>
      <c r="K2744" t="str">
        <f>("18/09/2025")</f>
        <v>18/09/2025</v>
      </c>
      <c r="L2744">
        <v>743.4</v>
      </c>
      <c r="M2744">
        <v>743.4</v>
      </c>
      <c r="N2744">
        <v>109</v>
      </c>
      <c r="O2744" t="str">
        <f>"PAGAMENTO DE ENTREGADORES"</f>
        <v>PAGAMENTO DE ENTREGADORES</v>
      </c>
      <c r="P2744">
        <v>743.4</v>
      </c>
      <c r="S2744" t="str">
        <f>"BANCO C6 (149)"</f>
        <v>BANCO C6 (149)</v>
      </c>
      <c r="T2744">
        <v>18439</v>
      </c>
      <c r="U2744">
        <v>21675</v>
      </c>
      <c r="V2744" t="s">
        <v>77</v>
      </c>
    </row>
    <row r="2745" spans="1:22">
      <c r="A2745" t="str">
        <f t="shared" si="489"/>
        <v>18/09/2025</v>
      </c>
      <c r="B2745" t="str">
        <f t="shared" si="488"/>
        <v>SAÍDA</v>
      </c>
      <c r="C2745" t="str">
        <f t="shared" si="490"/>
        <v>PIX</v>
      </c>
      <c r="D2745" t="str">
        <f>"21675"</f>
        <v>21675</v>
      </c>
      <c r="E2745" t="str">
        <f t="shared" si="492"/>
        <v>1</v>
      </c>
      <c r="F2745" t="str">
        <f t="shared" si="487"/>
        <v>COM</v>
      </c>
      <c r="G2745" t="str">
        <f>"ALAN ACOSTA (897)"</f>
        <v>ALAN ACOSTA (897)</v>
      </c>
      <c r="H2745" t="s">
        <v>743</v>
      </c>
      <c r="I2745" t="str">
        <f t="shared" si="491"/>
        <v>18/09/2025</v>
      </c>
      <c r="J2745" t="str">
        <f t="shared" si="493"/>
        <v>09/09/2025</v>
      </c>
      <c r="K2745">
        <v>45918</v>
      </c>
      <c r="N2745">
        <v>109</v>
      </c>
      <c r="O2745" t="s">
        <v>24</v>
      </c>
      <c r="Q2745">
        <v>743.4</v>
      </c>
      <c r="R2745" t="str">
        <f>"AC FARMA - CID.ALTA (10166)"</f>
        <v>AC FARMA - CID.ALTA (10166)</v>
      </c>
      <c r="S2745" t="s">
        <v>77</v>
      </c>
      <c r="T2745">
        <v>18439</v>
      </c>
      <c r="U2745">
        <v>21675</v>
      </c>
      <c r="V2745" t="s">
        <v>77</v>
      </c>
    </row>
    <row r="2746" spans="1:22">
      <c r="A2746" t="str">
        <f t="shared" si="489"/>
        <v>18/09/2025</v>
      </c>
      <c r="B2746" t="str">
        <f t="shared" si="488"/>
        <v>SAÍDA</v>
      </c>
      <c r="C2746" t="str">
        <f t="shared" si="490"/>
        <v>PIX</v>
      </c>
      <c r="D2746" t="str">
        <f>"21676"</f>
        <v>21676</v>
      </c>
      <c r="E2746" t="str">
        <f t="shared" si="492"/>
        <v>1</v>
      </c>
      <c r="F2746" t="str">
        <f t="shared" si="487"/>
        <v>COM</v>
      </c>
      <c r="G2746" t="str">
        <f>"ALEXANDRE DA CONCEICAO (714)"</f>
        <v>ALEXANDRE DA CONCEICAO (714)</v>
      </c>
      <c r="H2746" t="str">
        <f>"Serv.Prest. 01/09/2025 a 07/09/2025 - PIX: CPF - CHAVE: 975.425.989-53"</f>
        <v>Serv.Prest. 01/09/2025 a 07/09/2025 - PIX: CPF - CHAVE: 975.425.989-53</v>
      </c>
      <c r="I2746" t="str">
        <f t="shared" si="491"/>
        <v>18/09/2025</v>
      </c>
      <c r="J2746" t="str">
        <f t="shared" si="493"/>
        <v>09/09/2025</v>
      </c>
      <c r="K2746" t="str">
        <f>("18/09/2025")</f>
        <v>18/09/2025</v>
      </c>
      <c r="L2746">
        <v>390.6</v>
      </c>
      <c r="M2746">
        <v>390.6</v>
      </c>
      <c r="N2746">
        <v>109</v>
      </c>
      <c r="O2746" t="str">
        <f>"PAGAMENTO DE ENTREGADORES"</f>
        <v>PAGAMENTO DE ENTREGADORES</v>
      </c>
      <c r="P2746">
        <v>390.6</v>
      </c>
      <c r="S2746" t="str">
        <f>"BANCO C6 (149)"</f>
        <v>BANCO C6 (149)</v>
      </c>
      <c r="T2746">
        <v>18440</v>
      </c>
      <c r="U2746">
        <v>21676</v>
      </c>
      <c r="V2746" t="s">
        <v>77</v>
      </c>
    </row>
    <row r="2747" spans="1:22">
      <c r="A2747" t="str">
        <f t="shared" si="489"/>
        <v>18/09/2025</v>
      </c>
      <c r="B2747" t="str">
        <f t="shared" si="488"/>
        <v>SAÍDA</v>
      </c>
      <c r="C2747" t="str">
        <f t="shared" si="490"/>
        <v>PIX</v>
      </c>
      <c r="D2747" t="str">
        <f>"21676"</f>
        <v>21676</v>
      </c>
      <c r="E2747" t="str">
        <f t="shared" si="492"/>
        <v>1</v>
      </c>
      <c r="F2747" t="str">
        <f t="shared" ref="F2747:F2810" si="494">"COM"</f>
        <v>COM</v>
      </c>
      <c r="G2747" t="str">
        <f>"ALEXANDRE DA CONCEICAO (714)"</f>
        <v>ALEXANDRE DA CONCEICAO (714)</v>
      </c>
      <c r="H2747" t="s">
        <v>744</v>
      </c>
      <c r="I2747" t="str">
        <f t="shared" si="491"/>
        <v>18/09/2025</v>
      </c>
      <c r="J2747" t="str">
        <f t="shared" si="493"/>
        <v>09/09/2025</v>
      </c>
      <c r="K2747">
        <v>45918</v>
      </c>
      <c r="N2747">
        <v>109</v>
      </c>
      <c r="O2747" t="s">
        <v>24</v>
      </c>
      <c r="Q2747">
        <v>390.6</v>
      </c>
      <c r="R2747" t="str">
        <f>"AC FARMA - CID.ALTA (10166)"</f>
        <v>AC FARMA - CID.ALTA (10166)</v>
      </c>
      <c r="S2747" t="s">
        <v>77</v>
      </c>
      <c r="T2747">
        <v>18440</v>
      </c>
      <c r="U2747">
        <v>21676</v>
      </c>
      <c r="V2747" t="s">
        <v>77</v>
      </c>
    </row>
    <row r="2748" spans="1:22">
      <c r="A2748" t="str">
        <f t="shared" si="489"/>
        <v>18/09/2025</v>
      </c>
      <c r="B2748" t="str">
        <f t="shared" si="488"/>
        <v>SAÍDA</v>
      </c>
      <c r="C2748" t="str">
        <f t="shared" si="490"/>
        <v>PIX</v>
      </c>
      <c r="D2748" t="str">
        <f>"21677"</f>
        <v>21677</v>
      </c>
      <c r="E2748" t="str">
        <f t="shared" si="492"/>
        <v>1</v>
      </c>
      <c r="F2748" t="str">
        <f t="shared" si="494"/>
        <v>COM</v>
      </c>
      <c r="G2748" t="str">
        <f>"CLAUDINEI RIBEIRO VALERIO (681)"</f>
        <v>CLAUDINEI RIBEIRO VALERIO (681)</v>
      </c>
      <c r="H2748" t="str">
        <f>"Serv.Prest. 01/09/2025 a 07/09/2025 - PIX: CELULAR - CHAVE: (43) 99630-7532"</f>
        <v>Serv.Prest. 01/09/2025 a 07/09/2025 - PIX: CELULAR - CHAVE: (43) 99630-7532</v>
      </c>
      <c r="I2748" t="str">
        <f t="shared" si="491"/>
        <v>18/09/2025</v>
      </c>
      <c r="J2748" t="str">
        <f t="shared" si="493"/>
        <v>09/09/2025</v>
      </c>
      <c r="K2748" t="str">
        <f>("18/09/2025")</f>
        <v>18/09/2025</v>
      </c>
      <c r="L2748">
        <v>718.2</v>
      </c>
      <c r="M2748">
        <v>718.2</v>
      </c>
      <c r="N2748">
        <v>109</v>
      </c>
      <c r="O2748" t="str">
        <f>"PAGAMENTO DE ENTREGADORES"</f>
        <v>PAGAMENTO DE ENTREGADORES</v>
      </c>
      <c r="P2748">
        <v>718.2</v>
      </c>
      <c r="S2748" t="str">
        <f>"BANCO C6 (149)"</f>
        <v>BANCO C6 (149)</v>
      </c>
      <c r="T2748">
        <v>18441</v>
      </c>
      <c r="U2748">
        <v>21677</v>
      </c>
      <c r="V2748" t="s">
        <v>77</v>
      </c>
    </row>
    <row r="2749" spans="1:22">
      <c r="A2749" t="str">
        <f t="shared" si="489"/>
        <v>18/09/2025</v>
      </c>
      <c r="B2749" t="str">
        <f t="shared" si="488"/>
        <v>SAÍDA</v>
      </c>
      <c r="C2749" t="str">
        <f t="shared" si="490"/>
        <v>PIX</v>
      </c>
      <c r="D2749" t="str">
        <f>"21677"</f>
        <v>21677</v>
      </c>
      <c r="E2749" t="str">
        <f t="shared" si="492"/>
        <v>1</v>
      </c>
      <c r="F2749" t="str">
        <f t="shared" si="494"/>
        <v>COM</v>
      </c>
      <c r="G2749" t="str">
        <f>"CLAUDINEI RIBEIRO VALERIO (681)"</f>
        <v>CLAUDINEI RIBEIRO VALERIO (681)</v>
      </c>
      <c r="H2749" t="s">
        <v>745</v>
      </c>
      <c r="I2749" t="str">
        <f t="shared" si="491"/>
        <v>18/09/2025</v>
      </c>
      <c r="J2749" t="str">
        <f t="shared" si="493"/>
        <v>09/09/2025</v>
      </c>
      <c r="K2749">
        <v>45918</v>
      </c>
      <c r="N2749">
        <v>109</v>
      </c>
      <c r="O2749" t="s">
        <v>24</v>
      </c>
      <c r="Q2749">
        <v>718.2</v>
      </c>
      <c r="R2749" t="str">
        <f>"AC FARMA - CID.ALTA (10166)"</f>
        <v>AC FARMA - CID.ALTA (10166)</v>
      </c>
      <c r="S2749" t="s">
        <v>77</v>
      </c>
      <c r="T2749">
        <v>18441</v>
      </c>
      <c r="U2749">
        <v>21677</v>
      </c>
      <c r="V2749" t="s">
        <v>77</v>
      </c>
    </row>
    <row r="2750" spans="1:22">
      <c r="A2750" t="str">
        <f t="shared" si="489"/>
        <v>18/09/2025</v>
      </c>
      <c r="B2750" t="str">
        <f t="shared" si="488"/>
        <v>SAÍDA</v>
      </c>
      <c r="C2750" t="str">
        <f t="shared" si="490"/>
        <v>PIX</v>
      </c>
      <c r="D2750" t="str">
        <f>"21678"</f>
        <v>21678</v>
      </c>
      <c r="E2750" t="str">
        <f t="shared" si="492"/>
        <v>1</v>
      </c>
      <c r="F2750" t="str">
        <f t="shared" si="494"/>
        <v>COM</v>
      </c>
      <c r="G2750" t="str">
        <f>"FERNANDO MARTINS DA SILVA (701)"</f>
        <v>FERNANDO MARTINS DA SILVA (701)</v>
      </c>
      <c r="H2750" t="str">
        <f>"Serv.Prest. 01/09/2025 a 07/09/2025 - PIX: CPF - CHAVE: 004.682.359-06"</f>
        <v>Serv.Prest. 01/09/2025 a 07/09/2025 - PIX: CPF - CHAVE: 004.682.359-06</v>
      </c>
      <c r="I2750" t="str">
        <f t="shared" si="491"/>
        <v>18/09/2025</v>
      </c>
      <c r="J2750" t="str">
        <f t="shared" si="493"/>
        <v>09/09/2025</v>
      </c>
      <c r="K2750" t="str">
        <f>("18/09/2025")</f>
        <v>18/09/2025</v>
      </c>
      <c r="L2750">
        <v>995.4</v>
      </c>
      <c r="M2750">
        <v>995.4</v>
      </c>
      <c r="N2750">
        <v>109</v>
      </c>
      <c r="O2750" t="str">
        <f>"PAGAMENTO DE ENTREGADORES"</f>
        <v>PAGAMENTO DE ENTREGADORES</v>
      </c>
      <c r="P2750">
        <v>995.4</v>
      </c>
      <c r="S2750" t="str">
        <f>"BANCO C6 (149)"</f>
        <v>BANCO C6 (149)</v>
      </c>
      <c r="T2750">
        <v>18442</v>
      </c>
      <c r="U2750">
        <v>21678</v>
      </c>
      <c r="V2750" t="s">
        <v>77</v>
      </c>
    </row>
    <row r="2751" spans="1:22">
      <c r="A2751" t="str">
        <f t="shared" si="489"/>
        <v>18/09/2025</v>
      </c>
      <c r="B2751" t="str">
        <f t="shared" si="488"/>
        <v>SAÍDA</v>
      </c>
      <c r="C2751" t="str">
        <f t="shared" si="490"/>
        <v>PIX</v>
      </c>
      <c r="D2751" t="str">
        <f>"21678"</f>
        <v>21678</v>
      </c>
      <c r="E2751" t="str">
        <f t="shared" si="492"/>
        <v>1</v>
      </c>
      <c r="F2751" t="str">
        <f t="shared" si="494"/>
        <v>COM</v>
      </c>
      <c r="G2751" t="str">
        <f>"FERNANDO MARTINS DA SILVA (701)"</f>
        <v>FERNANDO MARTINS DA SILVA (701)</v>
      </c>
      <c r="H2751" t="s">
        <v>746</v>
      </c>
      <c r="I2751" t="str">
        <f t="shared" si="491"/>
        <v>18/09/2025</v>
      </c>
      <c r="J2751" t="str">
        <f t="shared" si="493"/>
        <v>09/09/2025</v>
      </c>
      <c r="K2751">
        <v>45918</v>
      </c>
      <c r="N2751">
        <v>109</v>
      </c>
      <c r="O2751" t="s">
        <v>24</v>
      </c>
      <c r="Q2751">
        <v>995.4</v>
      </c>
      <c r="R2751" t="str">
        <f>"AC FARMA - CID.ALTA (10166)"</f>
        <v>AC FARMA - CID.ALTA (10166)</v>
      </c>
      <c r="S2751" t="s">
        <v>77</v>
      </c>
      <c r="T2751">
        <v>18442</v>
      </c>
      <c r="U2751">
        <v>21678</v>
      </c>
      <c r="V2751" t="s">
        <v>77</v>
      </c>
    </row>
    <row r="2752" spans="1:22">
      <c r="A2752" t="str">
        <f t="shared" si="489"/>
        <v>18/09/2025</v>
      </c>
      <c r="B2752" t="str">
        <f t="shared" si="488"/>
        <v>SAÍDA</v>
      </c>
      <c r="C2752" t="str">
        <f t="shared" si="490"/>
        <v>PIX</v>
      </c>
      <c r="D2752" t="str">
        <f>"21679"</f>
        <v>21679</v>
      </c>
      <c r="E2752" t="str">
        <f t="shared" si="492"/>
        <v>1</v>
      </c>
      <c r="F2752" t="str">
        <f t="shared" si="494"/>
        <v>COM</v>
      </c>
      <c r="G2752" t="str">
        <f>"GERALDO SEVERINO DE SANTANA (729)"</f>
        <v>GERALDO SEVERINO DE SANTANA (729)</v>
      </c>
      <c r="H2752" t="str">
        <f>"Serv.Prest. 01/09/2025 a 07/09/2025 - PIX: CELULAR - CHAVE: (43) 99934-1696"</f>
        <v>Serv.Prest. 01/09/2025 a 07/09/2025 - PIX: CELULAR - CHAVE: (43) 99934-1696</v>
      </c>
      <c r="I2752" t="str">
        <f t="shared" si="491"/>
        <v>18/09/2025</v>
      </c>
      <c r="J2752" t="str">
        <f t="shared" si="493"/>
        <v>09/09/2025</v>
      </c>
      <c r="K2752" t="str">
        <f>("18/09/2025")</f>
        <v>18/09/2025</v>
      </c>
      <c r="L2752">
        <v>623.70000000000005</v>
      </c>
      <c r="M2752">
        <v>623.70000000000005</v>
      </c>
      <c r="N2752">
        <v>109</v>
      </c>
      <c r="O2752" t="str">
        <f>"PAGAMENTO DE ENTREGADORES"</f>
        <v>PAGAMENTO DE ENTREGADORES</v>
      </c>
      <c r="P2752">
        <v>623.70000000000005</v>
      </c>
      <c r="S2752" t="str">
        <f>"BANCO C6 (149)"</f>
        <v>BANCO C6 (149)</v>
      </c>
      <c r="T2752">
        <v>18443</v>
      </c>
      <c r="U2752">
        <v>21679</v>
      </c>
      <c r="V2752" t="s">
        <v>77</v>
      </c>
    </row>
    <row r="2753" spans="1:22">
      <c r="A2753" t="str">
        <f t="shared" si="489"/>
        <v>18/09/2025</v>
      </c>
      <c r="B2753" t="str">
        <f t="shared" si="488"/>
        <v>SAÍDA</v>
      </c>
      <c r="C2753" t="str">
        <f t="shared" si="490"/>
        <v>PIX</v>
      </c>
      <c r="D2753" t="str">
        <f>"21679"</f>
        <v>21679</v>
      </c>
      <c r="E2753" t="str">
        <f t="shared" si="492"/>
        <v>1</v>
      </c>
      <c r="F2753" t="str">
        <f t="shared" si="494"/>
        <v>COM</v>
      </c>
      <c r="G2753" t="str">
        <f>"GERALDO SEVERINO DE SANTANA (729)"</f>
        <v>GERALDO SEVERINO DE SANTANA (729)</v>
      </c>
      <c r="H2753" t="s">
        <v>747</v>
      </c>
      <c r="I2753" t="str">
        <f t="shared" si="491"/>
        <v>18/09/2025</v>
      </c>
      <c r="J2753" t="str">
        <f t="shared" si="493"/>
        <v>09/09/2025</v>
      </c>
      <c r="K2753">
        <v>45918</v>
      </c>
      <c r="N2753">
        <v>109</v>
      </c>
      <c r="O2753" t="s">
        <v>24</v>
      </c>
      <c r="Q2753">
        <v>623.70000000000005</v>
      </c>
      <c r="R2753" t="str">
        <f>"AC FARMA - CID.ALTA (10166)"</f>
        <v>AC FARMA - CID.ALTA (10166)</v>
      </c>
      <c r="S2753" t="s">
        <v>77</v>
      </c>
      <c r="T2753">
        <v>18443</v>
      </c>
      <c r="U2753">
        <v>21679</v>
      </c>
      <c r="V2753" t="s">
        <v>77</v>
      </c>
    </row>
    <row r="2754" spans="1:22">
      <c r="A2754" t="str">
        <f t="shared" si="489"/>
        <v>18/09/2025</v>
      </c>
      <c r="B2754" t="str">
        <f t="shared" si="488"/>
        <v>SAÍDA</v>
      </c>
      <c r="C2754" t="str">
        <f t="shared" si="490"/>
        <v>PIX</v>
      </c>
      <c r="D2754" t="str">
        <f>"21680"</f>
        <v>21680</v>
      </c>
      <c r="E2754" t="str">
        <f t="shared" si="492"/>
        <v>1</v>
      </c>
      <c r="F2754" t="str">
        <f t="shared" si="494"/>
        <v>COM</v>
      </c>
      <c r="G2754" t="str">
        <f>"HELITON DE OLIVEIRA RAMOS BARBOSA (724)"</f>
        <v>HELITON DE OLIVEIRA RAMOS BARBOSA (724)</v>
      </c>
      <c r="H2754" t="str">
        <f>"Serv.Prest. 01/09/2025 a 07/09/2025 - PIX: CPF - CHAVE: 074.604.219-10"</f>
        <v>Serv.Prest. 01/09/2025 a 07/09/2025 - PIX: CPF - CHAVE: 074.604.219-10</v>
      </c>
      <c r="I2754" t="str">
        <f t="shared" si="491"/>
        <v>18/09/2025</v>
      </c>
      <c r="J2754" t="str">
        <f t="shared" si="493"/>
        <v>09/09/2025</v>
      </c>
      <c r="K2754" t="str">
        <f>("18/09/2025")</f>
        <v>18/09/2025</v>
      </c>
      <c r="L2754">
        <v>567</v>
      </c>
      <c r="M2754">
        <v>567</v>
      </c>
      <c r="N2754">
        <v>109</v>
      </c>
      <c r="O2754" t="str">
        <f>"PAGAMENTO DE ENTREGADORES"</f>
        <v>PAGAMENTO DE ENTREGADORES</v>
      </c>
      <c r="P2754">
        <v>567</v>
      </c>
      <c r="S2754" t="str">
        <f>"BANCO C6 (149)"</f>
        <v>BANCO C6 (149)</v>
      </c>
      <c r="T2754">
        <v>18444</v>
      </c>
      <c r="U2754">
        <v>21680</v>
      </c>
      <c r="V2754" t="s">
        <v>77</v>
      </c>
    </row>
    <row r="2755" spans="1:22">
      <c r="A2755" t="str">
        <f t="shared" si="489"/>
        <v>18/09/2025</v>
      </c>
      <c r="B2755" t="str">
        <f t="shared" si="488"/>
        <v>SAÍDA</v>
      </c>
      <c r="C2755" t="str">
        <f t="shared" si="490"/>
        <v>PIX</v>
      </c>
      <c r="D2755" t="str">
        <f>"21680"</f>
        <v>21680</v>
      </c>
      <c r="E2755" t="str">
        <f t="shared" si="492"/>
        <v>1</v>
      </c>
      <c r="F2755" t="str">
        <f t="shared" si="494"/>
        <v>COM</v>
      </c>
      <c r="G2755" t="str">
        <f>"HELITON DE OLIVEIRA RAMOS BARBOSA (724)"</f>
        <v>HELITON DE OLIVEIRA RAMOS BARBOSA (724)</v>
      </c>
      <c r="H2755" t="s">
        <v>748</v>
      </c>
      <c r="I2755" t="str">
        <f t="shared" si="491"/>
        <v>18/09/2025</v>
      </c>
      <c r="J2755" t="str">
        <f t="shared" si="493"/>
        <v>09/09/2025</v>
      </c>
      <c r="K2755">
        <v>45918</v>
      </c>
      <c r="N2755">
        <v>109</v>
      </c>
      <c r="O2755" t="s">
        <v>24</v>
      </c>
      <c r="Q2755">
        <v>567</v>
      </c>
      <c r="R2755" t="str">
        <f>"AC FARMA - CID.ALTA (10166)"</f>
        <v>AC FARMA - CID.ALTA (10166)</v>
      </c>
      <c r="S2755" t="s">
        <v>77</v>
      </c>
      <c r="T2755">
        <v>18444</v>
      </c>
      <c r="U2755">
        <v>21680</v>
      </c>
      <c r="V2755" t="s">
        <v>77</v>
      </c>
    </row>
    <row r="2756" spans="1:22">
      <c r="A2756" t="str">
        <f t="shared" si="489"/>
        <v>18/09/2025</v>
      </c>
      <c r="B2756" t="str">
        <f t="shared" si="488"/>
        <v>SAÍDA</v>
      </c>
      <c r="C2756" t="str">
        <f t="shared" si="490"/>
        <v>PIX</v>
      </c>
      <c r="D2756" t="str">
        <f>"21681"</f>
        <v>21681</v>
      </c>
      <c r="E2756" t="str">
        <f t="shared" si="492"/>
        <v>1</v>
      </c>
      <c r="F2756" t="str">
        <f t="shared" si="494"/>
        <v>COM</v>
      </c>
      <c r="G2756" t="str">
        <f>"RAUL SILVA ROMAO (727)"</f>
        <v>RAUL SILVA ROMAO (727)</v>
      </c>
      <c r="H2756" t="str">
        <f>"Serv.Prest. 01/09/2025 a 07/09/2025 - PIX: CPF - CHAVE: 878.196.869-87"</f>
        <v>Serv.Prest. 01/09/2025 a 07/09/2025 - PIX: CPF - CHAVE: 878.196.869-87</v>
      </c>
      <c r="I2756" t="str">
        <f t="shared" si="491"/>
        <v>18/09/2025</v>
      </c>
      <c r="J2756" t="str">
        <f t="shared" ref="J2756:J2780" si="495">("09/09/2025")</f>
        <v>09/09/2025</v>
      </c>
      <c r="K2756" t="str">
        <f>("18/09/2025")</f>
        <v>18/09/2025</v>
      </c>
      <c r="L2756">
        <v>453.6</v>
      </c>
      <c r="M2756">
        <v>453.6</v>
      </c>
      <c r="N2756">
        <v>109</v>
      </c>
      <c r="O2756" t="str">
        <f>"PAGAMENTO DE ENTREGADORES"</f>
        <v>PAGAMENTO DE ENTREGADORES</v>
      </c>
      <c r="P2756">
        <v>453.6</v>
      </c>
      <c r="S2756" t="str">
        <f>"BANCO C6 (149)"</f>
        <v>BANCO C6 (149)</v>
      </c>
      <c r="T2756">
        <v>18445</v>
      </c>
      <c r="U2756">
        <v>21681</v>
      </c>
      <c r="V2756" t="s">
        <v>77</v>
      </c>
    </row>
    <row r="2757" spans="1:22">
      <c r="A2757" t="str">
        <f t="shared" si="489"/>
        <v>18/09/2025</v>
      </c>
      <c r="B2757" t="str">
        <f t="shared" ref="B2757:B2820" si="496">"SAÍDA"</f>
        <v>SAÍDA</v>
      </c>
      <c r="C2757" t="str">
        <f t="shared" si="490"/>
        <v>PIX</v>
      </c>
      <c r="D2757" t="str">
        <f>"21681"</f>
        <v>21681</v>
      </c>
      <c r="E2757" t="str">
        <f t="shared" si="492"/>
        <v>1</v>
      </c>
      <c r="F2757" t="str">
        <f t="shared" si="494"/>
        <v>COM</v>
      </c>
      <c r="G2757" t="str">
        <f>"RAUL SILVA ROMAO (727)"</f>
        <v>RAUL SILVA ROMAO (727)</v>
      </c>
      <c r="H2757" t="s">
        <v>749</v>
      </c>
      <c r="I2757" t="str">
        <f t="shared" si="491"/>
        <v>18/09/2025</v>
      </c>
      <c r="J2757" t="str">
        <f t="shared" si="495"/>
        <v>09/09/2025</v>
      </c>
      <c r="K2757">
        <v>45918</v>
      </c>
      <c r="N2757">
        <v>109</v>
      </c>
      <c r="O2757" t="s">
        <v>24</v>
      </c>
      <c r="Q2757">
        <v>453.6</v>
      </c>
      <c r="R2757" t="str">
        <f>"AC FARMA - CID.ALTA (10166)"</f>
        <v>AC FARMA - CID.ALTA (10166)</v>
      </c>
      <c r="S2757" t="s">
        <v>77</v>
      </c>
      <c r="T2757">
        <v>18445</v>
      </c>
      <c r="U2757">
        <v>21681</v>
      </c>
      <c r="V2757" t="s">
        <v>77</v>
      </c>
    </row>
    <row r="2758" spans="1:22">
      <c r="A2758" t="str">
        <f t="shared" si="489"/>
        <v>18/09/2025</v>
      </c>
      <c r="B2758" t="str">
        <f t="shared" si="496"/>
        <v>SAÍDA</v>
      </c>
      <c r="C2758" t="str">
        <f t="shared" si="490"/>
        <v>PIX</v>
      </c>
      <c r="D2758" t="str">
        <f>"21683"</f>
        <v>21683</v>
      </c>
      <c r="E2758" t="str">
        <f t="shared" si="492"/>
        <v>1</v>
      </c>
      <c r="F2758" t="str">
        <f t="shared" si="494"/>
        <v>COM</v>
      </c>
      <c r="G2758" t="str">
        <f>"ALAN ACOSTA (897)"</f>
        <v>ALAN ACOSTA (897)</v>
      </c>
      <c r="H2758" t="str">
        <f>"Serv.Prest. 01/09/2025 a 07/09/2025 - PIX: E-MAIL - CHAVE: alanacosta1999@gmail.com"</f>
        <v>Serv.Prest. 01/09/2025 a 07/09/2025 - PIX: E-MAIL - CHAVE: alanacosta1999@gmail.com</v>
      </c>
      <c r="I2758" t="str">
        <f t="shared" si="491"/>
        <v>18/09/2025</v>
      </c>
      <c r="J2758" t="str">
        <f t="shared" si="495"/>
        <v>09/09/2025</v>
      </c>
      <c r="K2758" t="str">
        <f>("18/09/2025")</f>
        <v>18/09/2025</v>
      </c>
      <c r="L2758">
        <v>201.6</v>
      </c>
      <c r="M2758">
        <v>201.6</v>
      </c>
      <c r="N2758">
        <v>109</v>
      </c>
      <c r="O2758" t="str">
        <f>"PAGAMENTO DE ENTREGADORES"</f>
        <v>PAGAMENTO DE ENTREGADORES</v>
      </c>
      <c r="P2758">
        <v>201.6</v>
      </c>
      <c r="S2758" t="str">
        <f>"BANCO C6 (149)"</f>
        <v>BANCO C6 (149)</v>
      </c>
      <c r="T2758">
        <v>18446</v>
      </c>
      <c r="U2758">
        <v>21683</v>
      </c>
      <c r="V2758" t="s">
        <v>77</v>
      </c>
    </row>
    <row r="2759" spans="1:22">
      <c r="A2759" t="str">
        <f t="shared" si="489"/>
        <v>18/09/2025</v>
      </c>
      <c r="B2759" t="str">
        <f t="shared" si="496"/>
        <v>SAÍDA</v>
      </c>
      <c r="C2759" t="str">
        <f t="shared" si="490"/>
        <v>PIX</v>
      </c>
      <c r="D2759" t="str">
        <f>"21683"</f>
        <v>21683</v>
      </c>
      <c r="E2759" t="str">
        <f t="shared" si="492"/>
        <v>1</v>
      </c>
      <c r="F2759" t="str">
        <f t="shared" si="494"/>
        <v>COM</v>
      </c>
      <c r="G2759" t="str">
        <f>"ALAN ACOSTA (897)"</f>
        <v>ALAN ACOSTA (897)</v>
      </c>
      <c r="H2759" t="s">
        <v>743</v>
      </c>
      <c r="I2759" t="str">
        <f t="shared" si="491"/>
        <v>18/09/2025</v>
      </c>
      <c r="J2759" t="str">
        <f t="shared" si="495"/>
        <v>09/09/2025</v>
      </c>
      <c r="K2759">
        <v>45918</v>
      </c>
      <c r="N2759">
        <v>109</v>
      </c>
      <c r="O2759" t="s">
        <v>24</v>
      </c>
      <c r="Q2759">
        <v>201.6</v>
      </c>
      <c r="R2759" t="str">
        <f>"AC FARMA -  FLEMINFARMA (10159)"</f>
        <v>AC FARMA -  FLEMINFARMA (10159)</v>
      </c>
      <c r="S2759" t="s">
        <v>77</v>
      </c>
      <c r="T2759">
        <v>18446</v>
      </c>
      <c r="U2759">
        <v>21683</v>
      </c>
      <c r="V2759" t="s">
        <v>77</v>
      </c>
    </row>
    <row r="2760" spans="1:22">
      <c r="A2760" t="str">
        <f t="shared" si="489"/>
        <v>18/09/2025</v>
      </c>
      <c r="B2760" t="str">
        <f t="shared" si="496"/>
        <v>SAÍDA</v>
      </c>
      <c r="C2760" t="str">
        <f t="shared" si="490"/>
        <v>PIX</v>
      </c>
      <c r="D2760" t="str">
        <f>"21684"</f>
        <v>21684</v>
      </c>
      <c r="E2760" t="str">
        <f t="shared" si="492"/>
        <v>1</v>
      </c>
      <c r="F2760" t="str">
        <f t="shared" si="494"/>
        <v>COM</v>
      </c>
      <c r="G2760" t="str">
        <f>"ALEXANDRE DA CONCEICAO (714)"</f>
        <v>ALEXANDRE DA CONCEICAO (714)</v>
      </c>
      <c r="H2760" t="str">
        <f>"Serv.Prest. 01/09/2025 a 07/09/2025 - PIX: CPF - CHAVE: 975.425.989-53"</f>
        <v>Serv.Prest. 01/09/2025 a 07/09/2025 - PIX: CPF - CHAVE: 975.425.989-53</v>
      </c>
      <c r="I2760" t="str">
        <f t="shared" si="491"/>
        <v>18/09/2025</v>
      </c>
      <c r="J2760" t="str">
        <f t="shared" si="495"/>
        <v>09/09/2025</v>
      </c>
      <c r="K2760" t="str">
        <f>("18/09/2025")</f>
        <v>18/09/2025</v>
      </c>
      <c r="L2760">
        <v>18.899999999999999</v>
      </c>
      <c r="M2760">
        <v>18.899999999999999</v>
      </c>
      <c r="N2760">
        <v>109</v>
      </c>
      <c r="O2760" t="str">
        <f>"PAGAMENTO DE ENTREGADORES"</f>
        <v>PAGAMENTO DE ENTREGADORES</v>
      </c>
      <c r="P2760">
        <v>18.899999999999999</v>
      </c>
      <c r="S2760" t="str">
        <f>"BANCO C6 (149)"</f>
        <v>BANCO C6 (149)</v>
      </c>
      <c r="T2760">
        <v>18447</v>
      </c>
      <c r="U2760">
        <v>21684</v>
      </c>
      <c r="V2760" t="s">
        <v>77</v>
      </c>
    </row>
    <row r="2761" spans="1:22">
      <c r="A2761" t="str">
        <f t="shared" si="489"/>
        <v>18/09/2025</v>
      </c>
      <c r="B2761" t="str">
        <f t="shared" si="496"/>
        <v>SAÍDA</v>
      </c>
      <c r="C2761" t="str">
        <f t="shared" si="490"/>
        <v>PIX</v>
      </c>
      <c r="D2761" t="str">
        <f>"21684"</f>
        <v>21684</v>
      </c>
      <c r="E2761" t="str">
        <f t="shared" si="492"/>
        <v>1</v>
      </c>
      <c r="F2761" t="str">
        <f t="shared" si="494"/>
        <v>COM</v>
      </c>
      <c r="G2761" t="str">
        <f>"ALEXANDRE DA CONCEICAO (714)"</f>
        <v>ALEXANDRE DA CONCEICAO (714)</v>
      </c>
      <c r="H2761" t="s">
        <v>744</v>
      </c>
      <c r="I2761" t="str">
        <f t="shared" si="491"/>
        <v>18/09/2025</v>
      </c>
      <c r="J2761" t="str">
        <f t="shared" si="495"/>
        <v>09/09/2025</v>
      </c>
      <c r="K2761">
        <v>45918</v>
      </c>
      <c r="N2761">
        <v>109</v>
      </c>
      <c r="O2761" t="s">
        <v>24</v>
      </c>
      <c r="Q2761">
        <v>18.899999999999999</v>
      </c>
      <c r="R2761" t="str">
        <f>"AC FARMA -  FLEMINFARMA (10159)"</f>
        <v>AC FARMA -  FLEMINFARMA (10159)</v>
      </c>
      <c r="S2761" t="s">
        <v>77</v>
      </c>
      <c r="T2761">
        <v>18447</v>
      </c>
      <c r="U2761">
        <v>21684</v>
      </c>
      <c r="V2761" t="s">
        <v>77</v>
      </c>
    </row>
    <row r="2762" spans="1:22">
      <c r="A2762" t="str">
        <f t="shared" si="489"/>
        <v>18/09/2025</v>
      </c>
      <c r="B2762" t="str">
        <f t="shared" si="496"/>
        <v>SAÍDA</v>
      </c>
      <c r="C2762" t="str">
        <f t="shared" si="490"/>
        <v>PIX</v>
      </c>
      <c r="D2762" t="str">
        <f>"21685"</f>
        <v>21685</v>
      </c>
      <c r="E2762" t="str">
        <f t="shared" si="492"/>
        <v>1</v>
      </c>
      <c r="F2762" t="str">
        <f t="shared" si="494"/>
        <v>COM</v>
      </c>
      <c r="G2762" t="str">
        <f>"CLAUDINEI RIBEIRO VALERIO (681)"</f>
        <v>CLAUDINEI RIBEIRO VALERIO (681)</v>
      </c>
      <c r="H2762" t="str">
        <f>"Serv.Prest. 01/09/2025 a 07/09/2025 - PIX: CELULAR - CHAVE: (43) 99630-7532"</f>
        <v>Serv.Prest. 01/09/2025 a 07/09/2025 - PIX: CELULAR - CHAVE: (43) 99630-7532</v>
      </c>
      <c r="I2762" t="str">
        <f t="shared" si="491"/>
        <v>18/09/2025</v>
      </c>
      <c r="J2762" t="str">
        <f t="shared" si="495"/>
        <v>09/09/2025</v>
      </c>
      <c r="K2762" t="str">
        <f>("18/09/2025")</f>
        <v>18/09/2025</v>
      </c>
      <c r="L2762">
        <v>75.599999999999994</v>
      </c>
      <c r="M2762">
        <v>75.599999999999994</v>
      </c>
      <c r="N2762">
        <v>109</v>
      </c>
      <c r="O2762" t="str">
        <f>"PAGAMENTO DE ENTREGADORES"</f>
        <v>PAGAMENTO DE ENTREGADORES</v>
      </c>
      <c r="P2762">
        <v>75.599999999999994</v>
      </c>
      <c r="S2762" t="str">
        <f>"BANCO C6 (149)"</f>
        <v>BANCO C6 (149)</v>
      </c>
      <c r="T2762">
        <v>18448</v>
      </c>
      <c r="U2762">
        <v>21685</v>
      </c>
      <c r="V2762" t="s">
        <v>77</v>
      </c>
    </row>
    <row r="2763" spans="1:22">
      <c r="A2763" t="str">
        <f t="shared" si="489"/>
        <v>18/09/2025</v>
      </c>
      <c r="B2763" t="str">
        <f t="shared" si="496"/>
        <v>SAÍDA</v>
      </c>
      <c r="C2763" t="str">
        <f t="shared" si="490"/>
        <v>PIX</v>
      </c>
      <c r="D2763" t="str">
        <f>"21685"</f>
        <v>21685</v>
      </c>
      <c r="E2763" t="str">
        <f t="shared" si="492"/>
        <v>1</v>
      </c>
      <c r="F2763" t="str">
        <f t="shared" si="494"/>
        <v>COM</v>
      </c>
      <c r="G2763" t="str">
        <f>"CLAUDINEI RIBEIRO VALERIO (681)"</f>
        <v>CLAUDINEI RIBEIRO VALERIO (681)</v>
      </c>
      <c r="H2763" t="s">
        <v>745</v>
      </c>
      <c r="I2763" t="str">
        <f t="shared" si="491"/>
        <v>18/09/2025</v>
      </c>
      <c r="J2763" t="str">
        <f t="shared" si="495"/>
        <v>09/09/2025</v>
      </c>
      <c r="K2763">
        <v>45918</v>
      </c>
      <c r="N2763">
        <v>109</v>
      </c>
      <c r="O2763" t="s">
        <v>24</v>
      </c>
      <c r="Q2763">
        <v>75.599999999999994</v>
      </c>
      <c r="R2763" t="str">
        <f>"AC FARMA -  FLEMINFARMA (10159)"</f>
        <v>AC FARMA -  FLEMINFARMA (10159)</v>
      </c>
      <c r="S2763" t="s">
        <v>77</v>
      </c>
      <c r="T2763">
        <v>18448</v>
      </c>
      <c r="U2763">
        <v>21685</v>
      </c>
      <c r="V2763" t="s">
        <v>77</v>
      </c>
    </row>
    <row r="2764" spans="1:22">
      <c r="A2764" t="str">
        <f t="shared" si="489"/>
        <v>18/09/2025</v>
      </c>
      <c r="B2764" t="str">
        <f t="shared" si="496"/>
        <v>SAÍDA</v>
      </c>
      <c r="C2764" t="str">
        <f t="shared" si="490"/>
        <v>PIX</v>
      </c>
      <c r="D2764" t="str">
        <f>"21686"</f>
        <v>21686</v>
      </c>
      <c r="E2764" t="str">
        <f t="shared" si="492"/>
        <v>1</v>
      </c>
      <c r="F2764" t="str">
        <f t="shared" si="494"/>
        <v>COM</v>
      </c>
      <c r="G2764" t="str">
        <f>"FERNANDO MARTINS DA SILVA (701)"</f>
        <v>FERNANDO MARTINS DA SILVA (701)</v>
      </c>
      <c r="H2764" t="str">
        <f>"Serv.Prest. 01/09/2025 a 07/09/2025 - PIX: CPF - CHAVE: 004.682.359-06"</f>
        <v>Serv.Prest. 01/09/2025 a 07/09/2025 - PIX: CPF - CHAVE: 004.682.359-06</v>
      </c>
      <c r="I2764" t="str">
        <f t="shared" si="491"/>
        <v>18/09/2025</v>
      </c>
      <c r="J2764" t="str">
        <f t="shared" si="495"/>
        <v>09/09/2025</v>
      </c>
      <c r="K2764" t="str">
        <f>("18/09/2025")</f>
        <v>18/09/2025</v>
      </c>
      <c r="L2764">
        <v>201.6</v>
      </c>
      <c r="M2764">
        <v>201.6</v>
      </c>
      <c r="N2764">
        <v>109</v>
      </c>
      <c r="O2764" t="str">
        <f>"PAGAMENTO DE ENTREGADORES"</f>
        <v>PAGAMENTO DE ENTREGADORES</v>
      </c>
      <c r="P2764">
        <v>201.6</v>
      </c>
      <c r="S2764" t="str">
        <f>"BANCO C6 (149)"</f>
        <v>BANCO C6 (149)</v>
      </c>
      <c r="T2764">
        <v>18449</v>
      </c>
      <c r="U2764">
        <v>21686</v>
      </c>
      <c r="V2764" t="s">
        <v>77</v>
      </c>
    </row>
    <row r="2765" spans="1:22">
      <c r="A2765" t="str">
        <f t="shared" si="489"/>
        <v>18/09/2025</v>
      </c>
      <c r="B2765" t="str">
        <f t="shared" si="496"/>
        <v>SAÍDA</v>
      </c>
      <c r="C2765" t="str">
        <f t="shared" si="490"/>
        <v>PIX</v>
      </c>
      <c r="D2765" t="str">
        <f>"21686"</f>
        <v>21686</v>
      </c>
      <c r="E2765" t="str">
        <f t="shared" si="492"/>
        <v>1</v>
      </c>
      <c r="F2765" t="str">
        <f t="shared" si="494"/>
        <v>COM</v>
      </c>
      <c r="G2765" t="str">
        <f>"FERNANDO MARTINS DA SILVA (701)"</f>
        <v>FERNANDO MARTINS DA SILVA (701)</v>
      </c>
      <c r="H2765" t="s">
        <v>746</v>
      </c>
      <c r="I2765" t="str">
        <f t="shared" si="491"/>
        <v>18/09/2025</v>
      </c>
      <c r="J2765" t="str">
        <f t="shared" si="495"/>
        <v>09/09/2025</v>
      </c>
      <c r="K2765">
        <v>45918</v>
      </c>
      <c r="N2765">
        <v>109</v>
      </c>
      <c r="O2765" t="s">
        <v>24</v>
      </c>
      <c r="Q2765">
        <v>195.31</v>
      </c>
      <c r="R2765" t="str">
        <f>"AC FARMA -  FLEMINFARMA (10159)"</f>
        <v>AC FARMA -  FLEMINFARMA (10159)</v>
      </c>
      <c r="S2765" t="s">
        <v>77</v>
      </c>
      <c r="T2765">
        <v>18449</v>
      </c>
      <c r="U2765">
        <v>21686</v>
      </c>
      <c r="V2765" t="s">
        <v>77</v>
      </c>
    </row>
    <row r="2766" spans="1:22">
      <c r="A2766" t="str">
        <f t="shared" si="489"/>
        <v>18/09/2025</v>
      </c>
      <c r="B2766" t="str">
        <f t="shared" si="496"/>
        <v>SAÍDA</v>
      </c>
      <c r="C2766" t="str">
        <f t="shared" si="490"/>
        <v>PIX</v>
      </c>
      <c r="D2766" t="str">
        <f>"21686"</f>
        <v>21686</v>
      </c>
      <c r="E2766" t="str">
        <f t="shared" si="492"/>
        <v>1</v>
      </c>
      <c r="F2766" t="str">
        <f t="shared" si="494"/>
        <v>COM</v>
      </c>
      <c r="G2766" t="str">
        <f>"FERNANDO MARTINS DA SILVA (701)"</f>
        <v>FERNANDO MARTINS DA SILVA (701)</v>
      </c>
      <c r="H2766" t="s">
        <v>746</v>
      </c>
      <c r="I2766" t="str">
        <f t="shared" si="491"/>
        <v>18/09/2025</v>
      </c>
      <c r="J2766" t="str">
        <f t="shared" si="495"/>
        <v>09/09/2025</v>
      </c>
      <c r="K2766">
        <v>45918</v>
      </c>
      <c r="N2766">
        <v>109</v>
      </c>
      <c r="O2766" t="s">
        <v>24</v>
      </c>
      <c r="Q2766">
        <v>6.29</v>
      </c>
      <c r="R2766" t="str">
        <f>"AC FARMA - FLEMINFARMA (10160)"</f>
        <v>AC FARMA - FLEMINFARMA (10160)</v>
      </c>
      <c r="S2766" t="s">
        <v>77</v>
      </c>
      <c r="T2766">
        <v>18449</v>
      </c>
      <c r="U2766">
        <v>21686</v>
      </c>
      <c r="V2766" t="s">
        <v>77</v>
      </c>
    </row>
    <row r="2767" spans="1:22">
      <c r="A2767" t="str">
        <f t="shared" si="489"/>
        <v>18/09/2025</v>
      </c>
      <c r="B2767" t="str">
        <f t="shared" si="496"/>
        <v>SAÍDA</v>
      </c>
      <c r="C2767" t="str">
        <f t="shared" si="490"/>
        <v>PIX</v>
      </c>
      <c r="D2767" t="str">
        <f>"21687"</f>
        <v>21687</v>
      </c>
      <c r="E2767" t="str">
        <f t="shared" si="492"/>
        <v>1</v>
      </c>
      <c r="F2767" t="str">
        <f t="shared" si="494"/>
        <v>COM</v>
      </c>
      <c r="G2767" t="str">
        <f>"GERALDO SEVERINO DE SANTANA (729)"</f>
        <v>GERALDO SEVERINO DE SANTANA (729)</v>
      </c>
      <c r="H2767" t="str">
        <f>"Serv.Prest. 01/09/2025 a 07/09/2025 - PIX: CELULAR - CHAVE: (43) 99934-1696"</f>
        <v>Serv.Prest. 01/09/2025 a 07/09/2025 - PIX: CELULAR - CHAVE: (43) 99934-1696</v>
      </c>
      <c r="I2767" t="str">
        <f t="shared" si="491"/>
        <v>18/09/2025</v>
      </c>
      <c r="J2767" t="str">
        <f t="shared" si="495"/>
        <v>09/09/2025</v>
      </c>
      <c r="K2767" t="str">
        <f>("18/09/2025")</f>
        <v>18/09/2025</v>
      </c>
      <c r="L2767">
        <v>340.2</v>
      </c>
      <c r="M2767">
        <v>340.2</v>
      </c>
      <c r="N2767">
        <v>109</v>
      </c>
      <c r="O2767" t="str">
        <f>"PAGAMENTO DE ENTREGADORES"</f>
        <v>PAGAMENTO DE ENTREGADORES</v>
      </c>
      <c r="P2767">
        <v>340.2</v>
      </c>
      <c r="S2767" t="str">
        <f>"BANCO C6 (149)"</f>
        <v>BANCO C6 (149)</v>
      </c>
      <c r="T2767">
        <v>18450</v>
      </c>
      <c r="U2767">
        <v>21687</v>
      </c>
      <c r="V2767" t="s">
        <v>77</v>
      </c>
    </row>
    <row r="2768" spans="1:22">
      <c r="A2768" t="str">
        <f t="shared" si="489"/>
        <v>18/09/2025</v>
      </c>
      <c r="B2768" t="str">
        <f t="shared" si="496"/>
        <v>SAÍDA</v>
      </c>
      <c r="C2768" t="str">
        <f t="shared" si="490"/>
        <v>PIX</v>
      </c>
      <c r="D2768" t="str">
        <f>"21687"</f>
        <v>21687</v>
      </c>
      <c r="E2768" t="str">
        <f t="shared" si="492"/>
        <v>1</v>
      </c>
      <c r="F2768" t="str">
        <f t="shared" si="494"/>
        <v>COM</v>
      </c>
      <c r="G2768" t="str">
        <f>"GERALDO SEVERINO DE SANTANA (729)"</f>
        <v>GERALDO SEVERINO DE SANTANA (729)</v>
      </c>
      <c r="H2768" t="s">
        <v>747</v>
      </c>
      <c r="I2768" t="str">
        <f t="shared" si="491"/>
        <v>18/09/2025</v>
      </c>
      <c r="J2768" t="str">
        <f t="shared" si="495"/>
        <v>09/09/2025</v>
      </c>
      <c r="K2768">
        <v>45918</v>
      </c>
      <c r="N2768">
        <v>109</v>
      </c>
      <c r="O2768" t="s">
        <v>24</v>
      </c>
      <c r="Q2768">
        <v>327.61</v>
      </c>
      <c r="R2768" t="str">
        <f>"AC FARMA -  FLEMINFARMA (10159)"</f>
        <v>AC FARMA -  FLEMINFARMA (10159)</v>
      </c>
      <c r="S2768" t="s">
        <v>77</v>
      </c>
      <c r="T2768">
        <v>18450</v>
      </c>
      <c r="U2768">
        <v>21687</v>
      </c>
      <c r="V2768" t="s">
        <v>77</v>
      </c>
    </row>
    <row r="2769" spans="1:22">
      <c r="A2769" t="str">
        <f t="shared" si="489"/>
        <v>18/09/2025</v>
      </c>
      <c r="B2769" t="str">
        <f t="shared" si="496"/>
        <v>SAÍDA</v>
      </c>
      <c r="C2769" t="str">
        <f t="shared" si="490"/>
        <v>PIX</v>
      </c>
      <c r="D2769" t="str">
        <f>"21687"</f>
        <v>21687</v>
      </c>
      <c r="E2769" t="str">
        <f t="shared" si="492"/>
        <v>1</v>
      </c>
      <c r="F2769" t="str">
        <f t="shared" si="494"/>
        <v>COM</v>
      </c>
      <c r="G2769" t="str">
        <f>"GERALDO SEVERINO DE SANTANA (729)"</f>
        <v>GERALDO SEVERINO DE SANTANA (729)</v>
      </c>
      <c r="H2769" t="s">
        <v>747</v>
      </c>
      <c r="I2769" t="str">
        <f t="shared" si="491"/>
        <v>18/09/2025</v>
      </c>
      <c r="J2769" t="str">
        <f t="shared" si="495"/>
        <v>09/09/2025</v>
      </c>
      <c r="K2769">
        <v>45918</v>
      </c>
      <c r="N2769">
        <v>109</v>
      </c>
      <c r="O2769" t="s">
        <v>24</v>
      </c>
      <c r="Q2769">
        <v>12.59</v>
      </c>
      <c r="R2769" t="str">
        <f>"AC FARMA - FLEMINFARMA (10160)"</f>
        <v>AC FARMA - FLEMINFARMA (10160)</v>
      </c>
      <c r="S2769" t="s">
        <v>77</v>
      </c>
      <c r="T2769">
        <v>18450</v>
      </c>
      <c r="U2769">
        <v>21687</v>
      </c>
      <c r="V2769" t="s">
        <v>77</v>
      </c>
    </row>
    <row r="2770" spans="1:22">
      <c r="A2770" t="str">
        <f t="shared" si="489"/>
        <v>18/09/2025</v>
      </c>
      <c r="B2770" t="str">
        <f t="shared" si="496"/>
        <v>SAÍDA</v>
      </c>
      <c r="C2770" t="str">
        <f t="shared" si="490"/>
        <v>PIX</v>
      </c>
      <c r="D2770" t="str">
        <f>"21688"</f>
        <v>21688</v>
      </c>
      <c r="E2770" t="str">
        <f t="shared" si="492"/>
        <v>1</v>
      </c>
      <c r="F2770" t="str">
        <f t="shared" si="494"/>
        <v>COM</v>
      </c>
      <c r="G2770" t="str">
        <f>"HELITON DE OLIVEIRA RAMOS BARBOSA (724)"</f>
        <v>HELITON DE OLIVEIRA RAMOS BARBOSA (724)</v>
      </c>
      <c r="H2770" t="str">
        <f>"Serv.Prest. 01/09/2025 a 07/09/2025 - PIX: CPF - CHAVE: 074.604.219-10"</f>
        <v>Serv.Prest. 01/09/2025 a 07/09/2025 - PIX: CPF - CHAVE: 074.604.219-10</v>
      </c>
      <c r="I2770" t="str">
        <f t="shared" si="491"/>
        <v>18/09/2025</v>
      </c>
      <c r="J2770" t="str">
        <f t="shared" si="495"/>
        <v>09/09/2025</v>
      </c>
      <c r="K2770" t="str">
        <f>("18/09/2025")</f>
        <v>18/09/2025</v>
      </c>
      <c r="L2770">
        <v>327.60000000000002</v>
      </c>
      <c r="M2770">
        <v>327.60000000000002</v>
      </c>
      <c r="N2770">
        <v>109</v>
      </c>
      <c r="O2770" t="str">
        <f>"PAGAMENTO DE ENTREGADORES"</f>
        <v>PAGAMENTO DE ENTREGADORES</v>
      </c>
      <c r="P2770">
        <v>327.60000000000002</v>
      </c>
      <c r="S2770" t="str">
        <f>"BANCO C6 (149)"</f>
        <v>BANCO C6 (149)</v>
      </c>
      <c r="T2770">
        <v>18451</v>
      </c>
      <c r="U2770">
        <v>21688</v>
      </c>
      <c r="V2770" t="s">
        <v>77</v>
      </c>
    </row>
    <row r="2771" spans="1:22">
      <c r="A2771" t="str">
        <f t="shared" si="489"/>
        <v>18/09/2025</v>
      </c>
      <c r="B2771" t="str">
        <f t="shared" si="496"/>
        <v>SAÍDA</v>
      </c>
      <c r="C2771" t="str">
        <f t="shared" si="490"/>
        <v>PIX</v>
      </c>
      <c r="D2771" t="str">
        <f>"21688"</f>
        <v>21688</v>
      </c>
      <c r="E2771" t="str">
        <f t="shared" si="492"/>
        <v>1</v>
      </c>
      <c r="F2771" t="str">
        <f t="shared" si="494"/>
        <v>COM</v>
      </c>
      <c r="G2771" t="str">
        <f>"HELITON DE OLIVEIRA RAMOS BARBOSA (724)"</f>
        <v>HELITON DE OLIVEIRA RAMOS BARBOSA (724)</v>
      </c>
      <c r="H2771" t="s">
        <v>748</v>
      </c>
      <c r="I2771" t="str">
        <f t="shared" si="491"/>
        <v>18/09/2025</v>
      </c>
      <c r="J2771" t="str">
        <f t="shared" si="495"/>
        <v>09/09/2025</v>
      </c>
      <c r="K2771">
        <v>45918</v>
      </c>
      <c r="N2771">
        <v>109</v>
      </c>
      <c r="O2771" t="s">
        <v>24</v>
      </c>
      <c r="Q2771">
        <v>321.31</v>
      </c>
      <c r="R2771" t="str">
        <f>"AC FARMA -  FLEMINFARMA (10159)"</f>
        <v>AC FARMA -  FLEMINFARMA (10159)</v>
      </c>
      <c r="S2771" t="s">
        <v>77</v>
      </c>
      <c r="T2771">
        <v>18451</v>
      </c>
      <c r="U2771">
        <v>21688</v>
      </c>
      <c r="V2771" t="s">
        <v>77</v>
      </c>
    </row>
    <row r="2772" spans="1:22">
      <c r="A2772" t="str">
        <f t="shared" si="489"/>
        <v>18/09/2025</v>
      </c>
      <c r="B2772" t="str">
        <f t="shared" si="496"/>
        <v>SAÍDA</v>
      </c>
      <c r="C2772" t="str">
        <f t="shared" si="490"/>
        <v>PIX</v>
      </c>
      <c r="D2772" t="str">
        <f>"21688"</f>
        <v>21688</v>
      </c>
      <c r="E2772" t="str">
        <f t="shared" si="492"/>
        <v>1</v>
      </c>
      <c r="F2772" t="str">
        <f t="shared" si="494"/>
        <v>COM</v>
      </c>
      <c r="G2772" t="str">
        <f>"HELITON DE OLIVEIRA RAMOS BARBOSA (724)"</f>
        <v>HELITON DE OLIVEIRA RAMOS BARBOSA (724)</v>
      </c>
      <c r="H2772" t="s">
        <v>748</v>
      </c>
      <c r="I2772" t="str">
        <f t="shared" si="491"/>
        <v>18/09/2025</v>
      </c>
      <c r="J2772" t="str">
        <f t="shared" si="495"/>
        <v>09/09/2025</v>
      </c>
      <c r="K2772">
        <v>45918</v>
      </c>
      <c r="N2772">
        <v>109</v>
      </c>
      <c r="O2772" t="s">
        <v>24</v>
      </c>
      <c r="Q2772">
        <v>6.29</v>
      </c>
      <c r="R2772" t="str">
        <f>"AC FARMA - FLEMINFARMA (10160)"</f>
        <v>AC FARMA - FLEMINFARMA (10160)</v>
      </c>
      <c r="S2772" t="s">
        <v>77</v>
      </c>
      <c r="T2772">
        <v>18451</v>
      </c>
      <c r="U2772">
        <v>21688</v>
      </c>
      <c r="V2772" t="s">
        <v>77</v>
      </c>
    </row>
    <row r="2773" spans="1:22">
      <c r="A2773" t="str">
        <f t="shared" si="489"/>
        <v>18/09/2025</v>
      </c>
      <c r="B2773" t="str">
        <f t="shared" si="496"/>
        <v>SAÍDA</v>
      </c>
      <c r="C2773" t="str">
        <f t="shared" si="490"/>
        <v>PIX</v>
      </c>
      <c r="D2773" t="str">
        <f>"21690"</f>
        <v>21690</v>
      </c>
      <c r="E2773" t="str">
        <f t="shared" si="492"/>
        <v>1</v>
      </c>
      <c r="F2773" t="str">
        <f t="shared" si="494"/>
        <v>COM</v>
      </c>
      <c r="G2773" t="str">
        <f>"ALAN ACOSTA (897)"</f>
        <v>ALAN ACOSTA (897)</v>
      </c>
      <c r="H2773" t="str">
        <f>"Serv.Prest. 01/09/2025 a 07/09/2025 - PIX: E-MAIL - CHAVE: alanacosta1999@gmail.com"</f>
        <v>Serv.Prest. 01/09/2025 a 07/09/2025 - PIX: E-MAIL - CHAVE: alanacosta1999@gmail.com</v>
      </c>
      <c r="I2773" t="str">
        <f t="shared" si="491"/>
        <v>18/09/2025</v>
      </c>
      <c r="J2773" t="str">
        <f t="shared" si="495"/>
        <v>09/09/2025</v>
      </c>
      <c r="K2773" t="str">
        <f>("18/09/2025")</f>
        <v>18/09/2025</v>
      </c>
      <c r="L2773">
        <v>100.8</v>
      </c>
      <c r="M2773">
        <v>100.8</v>
      </c>
      <c r="N2773">
        <v>109</v>
      </c>
      <c r="O2773" t="str">
        <f>"PAGAMENTO DE ENTREGADORES"</f>
        <v>PAGAMENTO DE ENTREGADORES</v>
      </c>
      <c r="P2773">
        <v>100.8</v>
      </c>
      <c r="S2773" t="str">
        <f>"BANCO C6 (149)"</f>
        <v>BANCO C6 (149)</v>
      </c>
      <c r="T2773">
        <v>18452</v>
      </c>
      <c r="U2773">
        <v>21690</v>
      </c>
      <c r="V2773" t="s">
        <v>77</v>
      </c>
    </row>
    <row r="2774" spans="1:22">
      <c r="A2774" t="str">
        <f t="shared" si="489"/>
        <v>18/09/2025</v>
      </c>
      <c r="B2774" t="str">
        <f t="shared" si="496"/>
        <v>SAÍDA</v>
      </c>
      <c r="C2774" t="str">
        <f t="shared" si="490"/>
        <v>PIX</v>
      </c>
      <c r="D2774" t="str">
        <f>"21690"</f>
        <v>21690</v>
      </c>
      <c r="E2774" t="str">
        <f t="shared" si="492"/>
        <v>1</v>
      </c>
      <c r="F2774" t="str">
        <f t="shared" si="494"/>
        <v>COM</v>
      </c>
      <c r="G2774" t="str">
        <f>"ALAN ACOSTA (897)"</f>
        <v>ALAN ACOSTA (897)</v>
      </c>
      <c r="H2774" t="s">
        <v>743</v>
      </c>
      <c r="I2774" t="str">
        <f t="shared" si="491"/>
        <v>18/09/2025</v>
      </c>
      <c r="J2774" t="str">
        <f t="shared" si="495"/>
        <v>09/09/2025</v>
      </c>
      <c r="K2774">
        <v>45918</v>
      </c>
      <c r="N2774">
        <v>109</v>
      </c>
      <c r="O2774" t="s">
        <v>24</v>
      </c>
      <c r="Q2774">
        <v>100.8</v>
      </c>
      <c r="R2774" t="str">
        <f>"AC FARMA - FLEMINFARMA 5 (10183)"</f>
        <v>AC FARMA - FLEMINFARMA 5 (10183)</v>
      </c>
      <c r="S2774" t="s">
        <v>77</v>
      </c>
      <c r="T2774">
        <v>18452</v>
      </c>
      <c r="U2774">
        <v>21690</v>
      </c>
      <c r="V2774" t="s">
        <v>77</v>
      </c>
    </row>
    <row r="2775" spans="1:22">
      <c r="A2775" t="str">
        <f t="shared" si="489"/>
        <v>18/09/2025</v>
      </c>
      <c r="B2775" t="str">
        <f t="shared" si="496"/>
        <v>SAÍDA</v>
      </c>
      <c r="C2775" t="str">
        <f t="shared" si="490"/>
        <v>PIX</v>
      </c>
      <c r="D2775" t="str">
        <f>"21691"</f>
        <v>21691</v>
      </c>
      <c r="E2775" t="str">
        <f t="shared" si="492"/>
        <v>1</v>
      </c>
      <c r="F2775" t="str">
        <f t="shared" si="494"/>
        <v>COM</v>
      </c>
      <c r="G2775" t="str">
        <f>"FERNANDO MARTINS DA SILVA (701)"</f>
        <v>FERNANDO MARTINS DA SILVA (701)</v>
      </c>
      <c r="H2775" t="str">
        <f>"Serv.Prest. 01/09/2025 a 07/09/2025 - PIX: CPF - CHAVE: 004.682.359-06"</f>
        <v>Serv.Prest. 01/09/2025 a 07/09/2025 - PIX: CPF - CHAVE: 004.682.359-06</v>
      </c>
      <c r="I2775" t="str">
        <f t="shared" si="491"/>
        <v>18/09/2025</v>
      </c>
      <c r="J2775" t="str">
        <f t="shared" si="495"/>
        <v>09/09/2025</v>
      </c>
      <c r="K2775" t="str">
        <f>("18/09/2025")</f>
        <v>18/09/2025</v>
      </c>
      <c r="L2775">
        <v>157.5</v>
      </c>
      <c r="M2775">
        <v>157.5</v>
      </c>
      <c r="N2775">
        <v>109</v>
      </c>
      <c r="O2775" t="str">
        <f>"PAGAMENTO DE ENTREGADORES"</f>
        <v>PAGAMENTO DE ENTREGADORES</v>
      </c>
      <c r="P2775">
        <v>157.5</v>
      </c>
      <c r="S2775" t="str">
        <f>"BANCO C6 (149)"</f>
        <v>BANCO C6 (149)</v>
      </c>
      <c r="T2775">
        <v>18453</v>
      </c>
      <c r="U2775">
        <v>21691</v>
      </c>
      <c r="V2775" t="s">
        <v>77</v>
      </c>
    </row>
    <row r="2776" spans="1:22">
      <c r="A2776" t="str">
        <f t="shared" si="489"/>
        <v>18/09/2025</v>
      </c>
      <c r="B2776" t="str">
        <f t="shared" si="496"/>
        <v>SAÍDA</v>
      </c>
      <c r="C2776" t="str">
        <f t="shared" si="490"/>
        <v>PIX</v>
      </c>
      <c r="D2776" t="str">
        <f>"21691"</f>
        <v>21691</v>
      </c>
      <c r="E2776" t="str">
        <f t="shared" si="492"/>
        <v>1</v>
      </c>
      <c r="F2776" t="str">
        <f t="shared" si="494"/>
        <v>COM</v>
      </c>
      <c r="G2776" t="str">
        <f>"FERNANDO MARTINS DA SILVA (701)"</f>
        <v>FERNANDO MARTINS DA SILVA (701)</v>
      </c>
      <c r="H2776" t="s">
        <v>746</v>
      </c>
      <c r="I2776" t="str">
        <f t="shared" si="491"/>
        <v>18/09/2025</v>
      </c>
      <c r="J2776" t="str">
        <f t="shared" si="495"/>
        <v>09/09/2025</v>
      </c>
      <c r="K2776">
        <v>45918</v>
      </c>
      <c r="N2776">
        <v>109</v>
      </c>
      <c r="O2776" t="s">
        <v>24</v>
      </c>
      <c r="Q2776">
        <v>157.5</v>
      </c>
      <c r="R2776" t="str">
        <f>"AC FARMA - FLEMINFARMA 5 (10183)"</f>
        <v>AC FARMA - FLEMINFARMA 5 (10183)</v>
      </c>
      <c r="S2776" t="s">
        <v>77</v>
      </c>
      <c r="T2776">
        <v>18453</v>
      </c>
      <c r="U2776">
        <v>21691</v>
      </c>
      <c r="V2776" t="s">
        <v>77</v>
      </c>
    </row>
    <row r="2777" spans="1:22">
      <c r="A2777" t="str">
        <f t="shared" ref="A2777:A2840" si="497">("18/09/2025")</f>
        <v>18/09/2025</v>
      </c>
      <c r="B2777" t="str">
        <f t="shared" si="496"/>
        <v>SAÍDA</v>
      </c>
      <c r="C2777" t="str">
        <f t="shared" ref="C2777:C2840" si="498">"PIX"</f>
        <v>PIX</v>
      </c>
      <c r="D2777" t="str">
        <f>"21692"</f>
        <v>21692</v>
      </c>
      <c r="E2777" t="str">
        <f t="shared" si="492"/>
        <v>1</v>
      </c>
      <c r="F2777" t="str">
        <f t="shared" si="494"/>
        <v>COM</v>
      </c>
      <c r="G2777" t="str">
        <f>"GERALDO SEVERINO DE SANTANA (729)"</f>
        <v>GERALDO SEVERINO DE SANTANA (729)</v>
      </c>
      <c r="H2777" t="str">
        <f>"Serv.Prest. 01/09/2025 a 07/09/2025 - PIX: CELULAR - CHAVE: (43) 99934-1696"</f>
        <v>Serv.Prest. 01/09/2025 a 07/09/2025 - PIX: CELULAR - CHAVE: (43) 99934-1696</v>
      </c>
      <c r="I2777" t="str">
        <f t="shared" ref="I2777:I2840" si="499">("18/09/2025")</f>
        <v>18/09/2025</v>
      </c>
      <c r="J2777" t="str">
        <f t="shared" si="495"/>
        <v>09/09/2025</v>
      </c>
      <c r="K2777" t="str">
        <f>("18/09/2025")</f>
        <v>18/09/2025</v>
      </c>
      <c r="L2777">
        <v>56.7</v>
      </c>
      <c r="M2777">
        <v>56.7</v>
      </c>
      <c r="N2777">
        <v>109</v>
      </c>
      <c r="O2777" t="str">
        <f>"PAGAMENTO DE ENTREGADORES"</f>
        <v>PAGAMENTO DE ENTREGADORES</v>
      </c>
      <c r="P2777">
        <v>56.7</v>
      </c>
      <c r="S2777" t="str">
        <f>"BANCO C6 (149)"</f>
        <v>BANCO C6 (149)</v>
      </c>
      <c r="T2777">
        <v>18454</v>
      </c>
      <c r="U2777">
        <v>21692</v>
      </c>
      <c r="V2777" t="s">
        <v>77</v>
      </c>
    </row>
    <row r="2778" spans="1:22">
      <c r="A2778" t="str">
        <f t="shared" si="497"/>
        <v>18/09/2025</v>
      </c>
      <c r="B2778" t="str">
        <f t="shared" si="496"/>
        <v>SAÍDA</v>
      </c>
      <c r="C2778" t="str">
        <f t="shared" si="498"/>
        <v>PIX</v>
      </c>
      <c r="D2778" t="str">
        <f>"21692"</f>
        <v>21692</v>
      </c>
      <c r="E2778" t="str">
        <f t="shared" si="492"/>
        <v>1</v>
      </c>
      <c r="F2778" t="str">
        <f t="shared" si="494"/>
        <v>COM</v>
      </c>
      <c r="G2778" t="str">
        <f>"GERALDO SEVERINO DE SANTANA (729)"</f>
        <v>GERALDO SEVERINO DE SANTANA (729)</v>
      </c>
      <c r="H2778" t="s">
        <v>747</v>
      </c>
      <c r="I2778" t="str">
        <f t="shared" si="499"/>
        <v>18/09/2025</v>
      </c>
      <c r="J2778" t="str">
        <f t="shared" si="495"/>
        <v>09/09/2025</v>
      </c>
      <c r="K2778">
        <v>45918</v>
      </c>
      <c r="N2778">
        <v>109</v>
      </c>
      <c r="O2778" t="s">
        <v>24</v>
      </c>
      <c r="Q2778">
        <v>56.7</v>
      </c>
      <c r="R2778" t="str">
        <f>"AC FARMA - FLEMINFARMA 5 (10183)"</f>
        <v>AC FARMA - FLEMINFARMA 5 (10183)</v>
      </c>
      <c r="S2778" t="s">
        <v>77</v>
      </c>
      <c r="T2778">
        <v>18454</v>
      </c>
      <c r="U2778">
        <v>21692</v>
      </c>
      <c r="V2778" t="s">
        <v>77</v>
      </c>
    </row>
    <row r="2779" spans="1:22">
      <c r="A2779" t="str">
        <f t="shared" si="497"/>
        <v>18/09/2025</v>
      </c>
      <c r="B2779" t="str">
        <f t="shared" si="496"/>
        <v>SAÍDA</v>
      </c>
      <c r="C2779" t="str">
        <f t="shared" si="498"/>
        <v>PIX</v>
      </c>
      <c r="D2779" t="str">
        <f>"21693"</f>
        <v>21693</v>
      </c>
      <c r="E2779" t="str">
        <f t="shared" si="492"/>
        <v>1</v>
      </c>
      <c r="F2779" t="str">
        <f t="shared" si="494"/>
        <v>COM</v>
      </c>
      <c r="G2779" t="str">
        <f>"HELITON DE OLIVEIRA RAMOS BARBOSA (724)"</f>
        <v>HELITON DE OLIVEIRA RAMOS BARBOSA (724)</v>
      </c>
      <c r="H2779" t="str">
        <f>"Serv.Prest. 01/09/2025 a 07/09/2025 - PIX: CPF - CHAVE: 074.604.219-10"</f>
        <v>Serv.Prest. 01/09/2025 a 07/09/2025 - PIX: CPF - CHAVE: 074.604.219-10</v>
      </c>
      <c r="I2779" t="str">
        <f t="shared" si="499"/>
        <v>18/09/2025</v>
      </c>
      <c r="J2779" t="str">
        <f t="shared" si="495"/>
        <v>09/09/2025</v>
      </c>
      <c r="K2779" t="str">
        <f>("18/09/2025")</f>
        <v>18/09/2025</v>
      </c>
      <c r="L2779">
        <v>144.9</v>
      </c>
      <c r="M2779">
        <v>144.9</v>
      </c>
      <c r="N2779">
        <v>109</v>
      </c>
      <c r="O2779" t="str">
        <f>"PAGAMENTO DE ENTREGADORES"</f>
        <v>PAGAMENTO DE ENTREGADORES</v>
      </c>
      <c r="P2779">
        <v>144.9</v>
      </c>
      <c r="S2779" t="str">
        <f>"BANCO C6 (149)"</f>
        <v>BANCO C6 (149)</v>
      </c>
      <c r="T2779">
        <v>18455</v>
      </c>
      <c r="U2779">
        <v>21693</v>
      </c>
      <c r="V2779" t="s">
        <v>77</v>
      </c>
    </row>
    <row r="2780" spans="1:22">
      <c r="A2780" t="str">
        <f t="shared" si="497"/>
        <v>18/09/2025</v>
      </c>
      <c r="B2780" t="str">
        <f t="shared" si="496"/>
        <v>SAÍDA</v>
      </c>
      <c r="C2780" t="str">
        <f t="shared" si="498"/>
        <v>PIX</v>
      </c>
      <c r="D2780" t="str">
        <f>"21693"</f>
        <v>21693</v>
      </c>
      <c r="E2780" t="str">
        <f t="shared" si="492"/>
        <v>1</v>
      </c>
      <c r="F2780" t="str">
        <f t="shared" si="494"/>
        <v>COM</v>
      </c>
      <c r="G2780" t="str">
        <f>"HELITON DE OLIVEIRA RAMOS BARBOSA (724)"</f>
        <v>HELITON DE OLIVEIRA RAMOS BARBOSA (724)</v>
      </c>
      <c r="H2780" t="s">
        <v>748</v>
      </c>
      <c r="I2780" t="str">
        <f t="shared" si="499"/>
        <v>18/09/2025</v>
      </c>
      <c r="J2780" t="str">
        <f t="shared" si="495"/>
        <v>09/09/2025</v>
      </c>
      <c r="K2780">
        <v>45918</v>
      </c>
      <c r="N2780">
        <v>109</v>
      </c>
      <c r="O2780" t="s">
        <v>24</v>
      </c>
      <c r="Q2780">
        <v>144.9</v>
      </c>
      <c r="R2780" t="str">
        <f>"AC FARMA - FLEMINFARMA 5 (10183)"</f>
        <v>AC FARMA - FLEMINFARMA 5 (10183)</v>
      </c>
      <c r="S2780" t="s">
        <v>77</v>
      </c>
      <c r="T2780">
        <v>18455</v>
      </c>
      <c r="U2780">
        <v>21693</v>
      </c>
      <c r="V2780" t="s">
        <v>77</v>
      </c>
    </row>
    <row r="2781" spans="1:22">
      <c r="A2781" t="str">
        <f t="shared" si="497"/>
        <v>18/09/2025</v>
      </c>
      <c r="B2781" t="str">
        <f t="shared" si="496"/>
        <v>SAÍDA</v>
      </c>
      <c r="C2781" t="str">
        <f t="shared" si="498"/>
        <v>PIX</v>
      </c>
      <c r="D2781" t="str">
        <f>"21952"</f>
        <v>21952</v>
      </c>
      <c r="E2781" t="str">
        <f t="shared" ref="E2781:E2844" si="500">"1"</f>
        <v>1</v>
      </c>
      <c r="F2781" t="str">
        <f t="shared" si="494"/>
        <v>COM</v>
      </c>
      <c r="G2781" t="str">
        <f>"DEIVID FERNANDES COSTA (828)"</f>
        <v>DEIVID FERNANDES COSTA (828)</v>
      </c>
      <c r="H2781" t="str">
        <f>"Serv.Prest. 08/09/2025 a 14/09/2025 - PIX: CELULAR - CHAVE: (62) 99550-3226"</f>
        <v>Serv.Prest. 08/09/2025 a 14/09/2025 - PIX: CELULAR - CHAVE: (62) 99550-3226</v>
      </c>
      <c r="I2781" t="str">
        <f t="shared" si="499"/>
        <v>18/09/2025</v>
      </c>
      <c r="J2781" t="str">
        <f t="shared" ref="J2781:J2812" si="501">("15/09/2025")</f>
        <v>15/09/2025</v>
      </c>
      <c r="K2781" t="str">
        <f>("18/09/2025")</f>
        <v>18/09/2025</v>
      </c>
      <c r="L2781">
        <v>702.1</v>
      </c>
      <c r="M2781">
        <v>702.1</v>
      </c>
      <c r="N2781">
        <v>109</v>
      </c>
      <c r="O2781" t="str">
        <f>"PAGAMENTO DE ENTREGADORES"</f>
        <v>PAGAMENTO DE ENTREGADORES</v>
      </c>
      <c r="P2781">
        <v>702.1</v>
      </c>
      <c r="S2781" t="str">
        <f>"BANCO C6 (149)"</f>
        <v>BANCO C6 (149)</v>
      </c>
      <c r="T2781">
        <v>18456</v>
      </c>
      <c r="U2781">
        <v>21952</v>
      </c>
      <c r="V2781" t="s">
        <v>77</v>
      </c>
    </row>
    <row r="2782" spans="1:22">
      <c r="A2782" t="str">
        <f t="shared" si="497"/>
        <v>18/09/2025</v>
      </c>
      <c r="B2782" t="str">
        <f t="shared" si="496"/>
        <v>SAÍDA</v>
      </c>
      <c r="C2782" t="str">
        <f t="shared" si="498"/>
        <v>PIX</v>
      </c>
      <c r="D2782" t="str">
        <f>"21952"</f>
        <v>21952</v>
      </c>
      <c r="E2782" t="str">
        <f t="shared" si="500"/>
        <v>1</v>
      </c>
      <c r="F2782" t="str">
        <f t="shared" si="494"/>
        <v>COM</v>
      </c>
      <c r="G2782" t="str">
        <f>"DEIVID FERNANDES COSTA (828)"</f>
        <v>DEIVID FERNANDES COSTA (828)</v>
      </c>
      <c r="H2782" t="s">
        <v>750</v>
      </c>
      <c r="I2782" t="str">
        <f t="shared" si="499"/>
        <v>18/09/2025</v>
      </c>
      <c r="J2782" t="str">
        <f t="shared" si="501"/>
        <v>15/09/2025</v>
      </c>
      <c r="K2782">
        <v>45918</v>
      </c>
      <c r="N2782">
        <v>109</v>
      </c>
      <c r="O2782" t="s">
        <v>24</v>
      </c>
      <c r="Q2782">
        <v>702.1</v>
      </c>
      <c r="R2782" t="str">
        <f>"BRASIL FARMA (10173)"</f>
        <v>BRASIL FARMA (10173)</v>
      </c>
      <c r="S2782" t="s">
        <v>77</v>
      </c>
      <c r="T2782">
        <v>18456</v>
      </c>
      <c r="U2782">
        <v>21952</v>
      </c>
      <c r="V2782" t="s">
        <v>77</v>
      </c>
    </row>
    <row r="2783" spans="1:22">
      <c r="A2783" t="str">
        <f t="shared" si="497"/>
        <v>18/09/2025</v>
      </c>
      <c r="B2783" t="str">
        <f t="shared" si="496"/>
        <v>SAÍDA</v>
      </c>
      <c r="C2783" t="str">
        <f t="shared" si="498"/>
        <v>PIX</v>
      </c>
      <c r="D2783" t="str">
        <f>"21953"</f>
        <v>21953</v>
      </c>
      <c r="E2783" t="str">
        <f t="shared" si="500"/>
        <v>1</v>
      </c>
      <c r="F2783" t="str">
        <f t="shared" si="494"/>
        <v>COM</v>
      </c>
      <c r="G2783" t="str">
        <f>"MAYKON LOPES DE MENEZES (781)"</f>
        <v>MAYKON LOPES DE MENEZES (781)</v>
      </c>
      <c r="H2783" t="str">
        <f>"Serv.Prest. 08/09/2025 a 14/09/2025 - PIX: CPF - CHAVE: 012.600.851-55"</f>
        <v>Serv.Prest. 08/09/2025 a 14/09/2025 - PIX: CPF - CHAVE: 012.600.851-55</v>
      </c>
      <c r="I2783" t="str">
        <f t="shared" si="499"/>
        <v>18/09/2025</v>
      </c>
      <c r="J2783" t="str">
        <f t="shared" si="501"/>
        <v>15/09/2025</v>
      </c>
      <c r="K2783" t="str">
        <f>("18/09/2025")</f>
        <v>18/09/2025</v>
      </c>
      <c r="L2783">
        <v>527.1</v>
      </c>
      <c r="M2783">
        <v>527.1</v>
      </c>
      <c r="N2783">
        <v>109</v>
      </c>
      <c r="O2783" t="str">
        <f>"PAGAMENTO DE ENTREGADORES"</f>
        <v>PAGAMENTO DE ENTREGADORES</v>
      </c>
      <c r="P2783">
        <v>527.1</v>
      </c>
      <c r="S2783" t="str">
        <f>"BANCO C6 (149)"</f>
        <v>BANCO C6 (149)</v>
      </c>
      <c r="T2783">
        <v>18457</v>
      </c>
      <c r="U2783">
        <v>21953</v>
      </c>
      <c r="V2783" t="s">
        <v>77</v>
      </c>
    </row>
    <row r="2784" spans="1:22">
      <c r="A2784" t="str">
        <f t="shared" si="497"/>
        <v>18/09/2025</v>
      </c>
      <c r="B2784" t="str">
        <f t="shared" si="496"/>
        <v>SAÍDA</v>
      </c>
      <c r="C2784" t="str">
        <f t="shared" si="498"/>
        <v>PIX</v>
      </c>
      <c r="D2784" t="str">
        <f>"21953"</f>
        <v>21953</v>
      </c>
      <c r="E2784" t="str">
        <f t="shared" si="500"/>
        <v>1</v>
      </c>
      <c r="F2784" t="str">
        <f t="shared" si="494"/>
        <v>COM</v>
      </c>
      <c r="G2784" t="str">
        <f>"MAYKON LOPES DE MENEZES (781)"</f>
        <v>MAYKON LOPES DE MENEZES (781)</v>
      </c>
      <c r="H2784" t="s">
        <v>606</v>
      </c>
      <c r="I2784" t="str">
        <f t="shared" si="499"/>
        <v>18/09/2025</v>
      </c>
      <c r="J2784" t="str">
        <f t="shared" si="501"/>
        <v>15/09/2025</v>
      </c>
      <c r="K2784">
        <v>45918</v>
      </c>
      <c r="N2784">
        <v>109</v>
      </c>
      <c r="O2784" t="s">
        <v>24</v>
      </c>
      <c r="Q2784">
        <v>527.1</v>
      </c>
      <c r="R2784" t="str">
        <f>"BRASIL FARMA (10173)"</f>
        <v>BRASIL FARMA (10173)</v>
      </c>
      <c r="S2784" t="s">
        <v>77</v>
      </c>
      <c r="T2784">
        <v>18457</v>
      </c>
      <c r="U2784">
        <v>21953</v>
      </c>
      <c r="V2784" t="s">
        <v>77</v>
      </c>
    </row>
    <row r="2785" spans="1:22">
      <c r="A2785" t="str">
        <f t="shared" si="497"/>
        <v>18/09/2025</v>
      </c>
      <c r="B2785" t="str">
        <f t="shared" si="496"/>
        <v>SAÍDA</v>
      </c>
      <c r="C2785" t="str">
        <f t="shared" si="498"/>
        <v>PIX</v>
      </c>
      <c r="D2785" t="str">
        <f>"21955"</f>
        <v>21955</v>
      </c>
      <c r="E2785" t="str">
        <f t="shared" si="500"/>
        <v>1</v>
      </c>
      <c r="F2785" t="str">
        <f t="shared" si="494"/>
        <v>COM</v>
      </c>
      <c r="G2785" t="str">
        <f>"EDUARDO COSTA DA SILVA (721)"</f>
        <v>EDUARDO COSTA DA SILVA (721)</v>
      </c>
      <c r="H2785" t="str">
        <f>"Serv.Prest. 08/09/2025 a 14/09/2025 - PIX: CELULAR - CHAVE: (11) 95552-9905"</f>
        <v>Serv.Prest. 08/09/2025 a 14/09/2025 - PIX: CELULAR - CHAVE: (11) 95552-9905</v>
      </c>
      <c r="I2785" t="str">
        <f t="shared" si="499"/>
        <v>18/09/2025</v>
      </c>
      <c r="J2785" t="str">
        <f t="shared" si="501"/>
        <v>15/09/2025</v>
      </c>
      <c r="K2785" t="str">
        <f>("18/09/2025")</f>
        <v>18/09/2025</v>
      </c>
      <c r="L2785">
        <v>1297.8</v>
      </c>
      <c r="M2785">
        <v>1297.8</v>
      </c>
      <c r="N2785">
        <v>109</v>
      </c>
      <c r="O2785" t="str">
        <f>"PAGAMENTO DE ENTREGADORES"</f>
        <v>PAGAMENTO DE ENTREGADORES</v>
      </c>
      <c r="P2785">
        <v>1297.8</v>
      </c>
      <c r="S2785" t="str">
        <f>"BANCO C6 (149)"</f>
        <v>BANCO C6 (149)</v>
      </c>
      <c r="T2785">
        <v>18458</v>
      </c>
      <c r="U2785">
        <v>21955</v>
      </c>
      <c r="V2785" t="s">
        <v>77</v>
      </c>
    </row>
    <row r="2786" spans="1:22">
      <c r="A2786" t="str">
        <f t="shared" si="497"/>
        <v>18/09/2025</v>
      </c>
      <c r="B2786" t="str">
        <f t="shared" si="496"/>
        <v>SAÍDA</v>
      </c>
      <c r="C2786" t="str">
        <f t="shared" si="498"/>
        <v>PIX</v>
      </c>
      <c r="D2786" t="str">
        <f>"21955"</f>
        <v>21955</v>
      </c>
      <c r="E2786" t="str">
        <f t="shared" si="500"/>
        <v>1</v>
      </c>
      <c r="F2786" t="str">
        <f t="shared" si="494"/>
        <v>COM</v>
      </c>
      <c r="G2786" t="str">
        <f>"EDUARDO COSTA DA SILVA (721)"</f>
        <v>EDUARDO COSTA DA SILVA (721)</v>
      </c>
      <c r="H2786" t="s">
        <v>751</v>
      </c>
      <c r="I2786" t="str">
        <f t="shared" si="499"/>
        <v>18/09/2025</v>
      </c>
      <c r="J2786" t="str">
        <f t="shared" si="501"/>
        <v>15/09/2025</v>
      </c>
      <c r="K2786">
        <v>45918</v>
      </c>
      <c r="N2786">
        <v>109</v>
      </c>
      <c r="O2786" t="s">
        <v>24</v>
      </c>
      <c r="Q2786">
        <v>1297.8</v>
      </c>
      <c r="R2786" t="str">
        <f>"DROGARIA AGAPEAMA (10167)"</f>
        <v>DROGARIA AGAPEAMA (10167)</v>
      </c>
      <c r="S2786" t="s">
        <v>77</v>
      </c>
      <c r="T2786">
        <v>18458</v>
      </c>
      <c r="U2786">
        <v>21955</v>
      </c>
      <c r="V2786" t="s">
        <v>77</v>
      </c>
    </row>
    <row r="2787" spans="1:22">
      <c r="A2787" t="str">
        <f t="shared" si="497"/>
        <v>18/09/2025</v>
      </c>
      <c r="B2787" t="str">
        <f t="shared" si="496"/>
        <v>SAÍDA</v>
      </c>
      <c r="C2787" t="str">
        <f t="shared" si="498"/>
        <v>PIX</v>
      </c>
      <c r="D2787" t="str">
        <f>"21956"</f>
        <v>21956</v>
      </c>
      <c r="E2787" t="str">
        <f t="shared" si="500"/>
        <v>1</v>
      </c>
      <c r="F2787" t="str">
        <f t="shared" si="494"/>
        <v>COM</v>
      </c>
      <c r="G2787" t="str">
        <f>"GUILHERME DA SILVA GOMES (901)"</f>
        <v>GUILHERME DA SILVA GOMES (901)</v>
      </c>
      <c r="H2787" t="str">
        <f>"Serv.Prest. 08/09/2025 a 14/09/2025 - PIX: CPF - CHAVE: 505.341.528-56"</f>
        <v>Serv.Prest. 08/09/2025 a 14/09/2025 - PIX: CPF - CHAVE: 505.341.528-56</v>
      </c>
      <c r="I2787" t="str">
        <f t="shared" si="499"/>
        <v>18/09/2025</v>
      </c>
      <c r="J2787" t="str">
        <f t="shared" si="501"/>
        <v>15/09/2025</v>
      </c>
      <c r="K2787" t="str">
        <f>("18/09/2025")</f>
        <v>18/09/2025</v>
      </c>
      <c r="L2787">
        <v>963.9</v>
      </c>
      <c r="M2787">
        <v>963.9</v>
      </c>
      <c r="N2787">
        <v>109</v>
      </c>
      <c r="O2787" t="str">
        <f>"PAGAMENTO DE ENTREGADORES"</f>
        <v>PAGAMENTO DE ENTREGADORES</v>
      </c>
      <c r="P2787">
        <v>963.9</v>
      </c>
      <c r="S2787" t="str">
        <f>"BANCO C6 (149)"</f>
        <v>BANCO C6 (149)</v>
      </c>
      <c r="T2787">
        <v>18459</v>
      </c>
      <c r="U2787">
        <v>21956</v>
      </c>
      <c r="V2787" t="s">
        <v>77</v>
      </c>
    </row>
    <row r="2788" spans="1:22">
      <c r="A2788" t="str">
        <f t="shared" si="497"/>
        <v>18/09/2025</v>
      </c>
      <c r="B2788" t="str">
        <f t="shared" si="496"/>
        <v>SAÍDA</v>
      </c>
      <c r="C2788" t="str">
        <f t="shared" si="498"/>
        <v>PIX</v>
      </c>
      <c r="D2788" t="str">
        <f>"21956"</f>
        <v>21956</v>
      </c>
      <c r="E2788" t="str">
        <f t="shared" si="500"/>
        <v>1</v>
      </c>
      <c r="F2788" t="str">
        <f t="shared" si="494"/>
        <v>COM</v>
      </c>
      <c r="G2788" t="str">
        <f>"GUILHERME DA SILVA GOMES (901)"</f>
        <v>GUILHERME DA SILVA GOMES (901)</v>
      </c>
      <c r="H2788" t="s">
        <v>752</v>
      </c>
      <c r="I2788" t="str">
        <f t="shared" si="499"/>
        <v>18/09/2025</v>
      </c>
      <c r="J2788" t="str">
        <f t="shared" si="501"/>
        <v>15/09/2025</v>
      </c>
      <c r="K2788">
        <v>45918</v>
      </c>
      <c r="N2788">
        <v>109</v>
      </c>
      <c r="O2788" t="s">
        <v>24</v>
      </c>
      <c r="Q2788">
        <v>963.9</v>
      </c>
      <c r="R2788" t="str">
        <f>"DROGARIA AGAPEAMA (10167)"</f>
        <v>DROGARIA AGAPEAMA (10167)</v>
      </c>
      <c r="S2788" t="s">
        <v>77</v>
      </c>
      <c r="T2788">
        <v>18459</v>
      </c>
      <c r="U2788">
        <v>21956</v>
      </c>
      <c r="V2788" t="s">
        <v>77</v>
      </c>
    </row>
    <row r="2789" spans="1:22">
      <c r="A2789" t="str">
        <f t="shared" si="497"/>
        <v>18/09/2025</v>
      </c>
      <c r="B2789" t="str">
        <f t="shared" si="496"/>
        <v>SAÍDA</v>
      </c>
      <c r="C2789" t="str">
        <f t="shared" si="498"/>
        <v>PIX</v>
      </c>
      <c r="D2789" t="str">
        <f>"21957"</f>
        <v>21957</v>
      </c>
      <c r="E2789" t="str">
        <f t="shared" si="500"/>
        <v>1</v>
      </c>
      <c r="F2789" t="str">
        <f t="shared" si="494"/>
        <v>COM</v>
      </c>
      <c r="G2789" t="str">
        <f>"WESLEY RICARDO DE OLIVEIRA (722)"</f>
        <v>WESLEY RICARDO DE OLIVEIRA (722)</v>
      </c>
      <c r="H2789" t="str">
        <f>"Serv.Prest. 08/09/2025 a 14/09/2025 - PIX: CPF - CHAVE: 336.516.138-44"</f>
        <v>Serv.Prest. 08/09/2025 a 14/09/2025 - PIX: CPF - CHAVE: 336.516.138-44</v>
      </c>
      <c r="I2789" t="str">
        <f t="shared" si="499"/>
        <v>18/09/2025</v>
      </c>
      <c r="J2789" t="str">
        <f t="shared" si="501"/>
        <v>15/09/2025</v>
      </c>
      <c r="K2789" t="str">
        <f>("18/09/2025")</f>
        <v>18/09/2025</v>
      </c>
      <c r="L2789">
        <v>718.2</v>
      </c>
      <c r="M2789">
        <v>718.2</v>
      </c>
      <c r="N2789">
        <v>109</v>
      </c>
      <c r="O2789" t="str">
        <f>"PAGAMENTO DE ENTREGADORES"</f>
        <v>PAGAMENTO DE ENTREGADORES</v>
      </c>
      <c r="P2789">
        <v>718.2</v>
      </c>
      <c r="S2789" t="str">
        <f>"BANCO C6 (149)"</f>
        <v>BANCO C6 (149)</v>
      </c>
      <c r="T2789">
        <v>18460</v>
      </c>
      <c r="U2789">
        <v>21957</v>
      </c>
      <c r="V2789" t="s">
        <v>77</v>
      </c>
    </row>
    <row r="2790" spans="1:22">
      <c r="A2790" t="str">
        <f t="shared" si="497"/>
        <v>18/09/2025</v>
      </c>
      <c r="B2790" t="str">
        <f t="shared" si="496"/>
        <v>SAÍDA</v>
      </c>
      <c r="C2790" t="str">
        <f t="shared" si="498"/>
        <v>PIX</v>
      </c>
      <c r="D2790" t="str">
        <f>"21957"</f>
        <v>21957</v>
      </c>
      <c r="E2790" t="str">
        <f t="shared" si="500"/>
        <v>1</v>
      </c>
      <c r="F2790" t="str">
        <f t="shared" si="494"/>
        <v>COM</v>
      </c>
      <c r="G2790" t="str">
        <f>"WESLEY RICARDO DE OLIVEIRA (722)"</f>
        <v>WESLEY RICARDO DE OLIVEIRA (722)</v>
      </c>
      <c r="H2790" t="s">
        <v>753</v>
      </c>
      <c r="I2790" t="str">
        <f t="shared" si="499"/>
        <v>18/09/2025</v>
      </c>
      <c r="J2790" t="str">
        <f t="shared" si="501"/>
        <v>15/09/2025</v>
      </c>
      <c r="K2790">
        <v>45918</v>
      </c>
      <c r="N2790">
        <v>109</v>
      </c>
      <c r="O2790" t="s">
        <v>24</v>
      </c>
      <c r="Q2790">
        <v>718.2</v>
      </c>
      <c r="R2790" t="str">
        <f>"DROGARIA AGAPEAMA (10167)"</f>
        <v>DROGARIA AGAPEAMA (10167)</v>
      </c>
      <c r="S2790" t="s">
        <v>77</v>
      </c>
      <c r="T2790">
        <v>18460</v>
      </c>
      <c r="U2790">
        <v>21957</v>
      </c>
      <c r="V2790" t="s">
        <v>77</v>
      </c>
    </row>
    <row r="2791" spans="1:22">
      <c r="A2791" t="str">
        <f t="shared" si="497"/>
        <v>18/09/2025</v>
      </c>
      <c r="B2791" t="str">
        <f t="shared" si="496"/>
        <v>SAÍDA</v>
      </c>
      <c r="C2791" t="str">
        <f t="shared" si="498"/>
        <v>PIX</v>
      </c>
      <c r="D2791" t="str">
        <f>"21959"</f>
        <v>21959</v>
      </c>
      <c r="E2791" t="str">
        <f t="shared" si="500"/>
        <v>1</v>
      </c>
      <c r="F2791" t="str">
        <f t="shared" si="494"/>
        <v>COM</v>
      </c>
      <c r="G2791" t="str">
        <f>"ALEXSANDRO HENRIQUE FERREIRA (808)"</f>
        <v>ALEXSANDRO HENRIQUE FERREIRA (808)</v>
      </c>
      <c r="H2791" t="str">
        <f>"Serv.Prest. 08/09/2025 a 14/09/2025 - PIX: CPF - CHAVE: 157.591.436-03"</f>
        <v>Serv.Prest. 08/09/2025 a 14/09/2025 - PIX: CPF - CHAVE: 157.591.436-03</v>
      </c>
      <c r="I2791" t="str">
        <f t="shared" si="499"/>
        <v>18/09/2025</v>
      </c>
      <c r="J2791" t="str">
        <f t="shared" si="501"/>
        <v>15/09/2025</v>
      </c>
      <c r="K2791" t="str">
        <f>("18/09/2025")</f>
        <v>18/09/2025</v>
      </c>
      <c r="L2791">
        <v>904.05</v>
      </c>
      <c r="M2791">
        <v>904.05</v>
      </c>
      <c r="N2791">
        <v>109</v>
      </c>
      <c r="O2791" t="str">
        <f>"PAGAMENTO DE ENTREGADORES"</f>
        <v>PAGAMENTO DE ENTREGADORES</v>
      </c>
      <c r="P2791">
        <v>904.05</v>
      </c>
      <c r="S2791" t="str">
        <f>"BANCO C6 (149)"</f>
        <v>BANCO C6 (149)</v>
      </c>
      <c r="T2791">
        <v>18461</v>
      </c>
      <c r="U2791">
        <v>21959</v>
      </c>
      <c r="V2791" t="s">
        <v>77</v>
      </c>
    </row>
    <row r="2792" spans="1:22">
      <c r="A2792" t="str">
        <f t="shared" si="497"/>
        <v>18/09/2025</v>
      </c>
      <c r="B2792" t="str">
        <f t="shared" si="496"/>
        <v>SAÍDA</v>
      </c>
      <c r="C2792" t="str">
        <f t="shared" si="498"/>
        <v>PIX</v>
      </c>
      <c r="D2792" t="str">
        <f>"21959"</f>
        <v>21959</v>
      </c>
      <c r="E2792" t="str">
        <f t="shared" si="500"/>
        <v>1</v>
      </c>
      <c r="F2792" t="str">
        <f t="shared" si="494"/>
        <v>COM</v>
      </c>
      <c r="G2792" t="str">
        <f>"ALEXSANDRO HENRIQUE FERREIRA (808)"</f>
        <v>ALEXSANDRO HENRIQUE FERREIRA (808)</v>
      </c>
      <c r="H2792" t="s">
        <v>754</v>
      </c>
      <c r="I2792" t="str">
        <f t="shared" si="499"/>
        <v>18/09/2025</v>
      </c>
      <c r="J2792" t="str">
        <f t="shared" si="501"/>
        <v>15/09/2025</v>
      </c>
      <c r="K2792">
        <v>45918</v>
      </c>
      <c r="N2792">
        <v>109</v>
      </c>
      <c r="O2792" t="s">
        <v>24</v>
      </c>
      <c r="Q2792">
        <v>904.05</v>
      </c>
      <c r="R2792" t="str">
        <f>"DROGARIA ANA VISCONDE DO RIO BRANCO (10182)"</f>
        <v>DROGARIA ANA VISCONDE DO RIO BRANCO (10182)</v>
      </c>
      <c r="S2792" t="s">
        <v>77</v>
      </c>
      <c r="T2792">
        <v>18461</v>
      </c>
      <c r="U2792">
        <v>21959</v>
      </c>
      <c r="V2792" t="s">
        <v>77</v>
      </c>
    </row>
    <row r="2793" spans="1:22">
      <c r="A2793" t="str">
        <f t="shared" si="497"/>
        <v>18/09/2025</v>
      </c>
      <c r="B2793" t="str">
        <f t="shared" si="496"/>
        <v>SAÍDA</v>
      </c>
      <c r="C2793" t="str">
        <f t="shared" si="498"/>
        <v>PIX</v>
      </c>
      <c r="D2793" t="str">
        <f>"21960"</f>
        <v>21960</v>
      </c>
      <c r="E2793" t="str">
        <f t="shared" si="500"/>
        <v>1</v>
      </c>
      <c r="F2793" t="str">
        <f t="shared" si="494"/>
        <v>COM</v>
      </c>
      <c r="G2793" t="str">
        <f>"ANDERSON LUIZ SOARES (807)"</f>
        <v>ANDERSON LUIZ SOARES (807)</v>
      </c>
      <c r="H2793" t="str">
        <f>"Serv.Prest. 08/09/2025 a 14/09/2025 - PIX: CELULAR - CHAVE: (32) 99920-0416"</f>
        <v>Serv.Prest. 08/09/2025 a 14/09/2025 - PIX: CELULAR - CHAVE: (32) 99920-0416</v>
      </c>
      <c r="I2793" t="str">
        <f t="shared" si="499"/>
        <v>18/09/2025</v>
      </c>
      <c r="J2793" t="str">
        <f t="shared" si="501"/>
        <v>15/09/2025</v>
      </c>
      <c r="K2793" t="str">
        <f>("18/09/2025")</f>
        <v>18/09/2025</v>
      </c>
      <c r="L2793">
        <v>702.45</v>
      </c>
      <c r="M2793">
        <v>702.45</v>
      </c>
      <c r="N2793">
        <v>109</v>
      </c>
      <c r="O2793" t="str">
        <f>"PAGAMENTO DE ENTREGADORES"</f>
        <v>PAGAMENTO DE ENTREGADORES</v>
      </c>
      <c r="P2793">
        <v>702.45</v>
      </c>
      <c r="S2793" t="str">
        <f>"BANCO C6 (149)"</f>
        <v>BANCO C6 (149)</v>
      </c>
      <c r="T2793">
        <v>18462</v>
      </c>
      <c r="U2793">
        <v>21960</v>
      </c>
      <c r="V2793" t="s">
        <v>77</v>
      </c>
    </row>
    <row r="2794" spans="1:22">
      <c r="A2794" t="str">
        <f t="shared" si="497"/>
        <v>18/09/2025</v>
      </c>
      <c r="B2794" t="str">
        <f t="shared" si="496"/>
        <v>SAÍDA</v>
      </c>
      <c r="C2794" t="str">
        <f t="shared" si="498"/>
        <v>PIX</v>
      </c>
      <c r="D2794" t="str">
        <f>"21960"</f>
        <v>21960</v>
      </c>
      <c r="E2794" t="str">
        <f t="shared" si="500"/>
        <v>1</v>
      </c>
      <c r="F2794" t="str">
        <f t="shared" si="494"/>
        <v>COM</v>
      </c>
      <c r="G2794" t="str">
        <f>"ANDERSON LUIZ SOARES (807)"</f>
        <v>ANDERSON LUIZ SOARES (807)</v>
      </c>
      <c r="H2794" t="s">
        <v>755</v>
      </c>
      <c r="I2794" t="str">
        <f t="shared" si="499"/>
        <v>18/09/2025</v>
      </c>
      <c r="J2794" t="str">
        <f t="shared" si="501"/>
        <v>15/09/2025</v>
      </c>
      <c r="K2794">
        <v>45918</v>
      </c>
      <c r="N2794">
        <v>109</v>
      </c>
      <c r="O2794" t="s">
        <v>24</v>
      </c>
      <c r="Q2794">
        <v>702.45</v>
      </c>
      <c r="R2794" t="str">
        <f>"DROGARIA ANA VISCONDE DO RIO BRANCO (10182)"</f>
        <v>DROGARIA ANA VISCONDE DO RIO BRANCO (10182)</v>
      </c>
      <c r="S2794" t="s">
        <v>77</v>
      </c>
      <c r="T2794">
        <v>18462</v>
      </c>
      <c r="U2794">
        <v>21960</v>
      </c>
      <c r="V2794" t="s">
        <v>77</v>
      </c>
    </row>
    <row r="2795" spans="1:22">
      <c r="A2795" t="str">
        <f t="shared" si="497"/>
        <v>18/09/2025</v>
      </c>
      <c r="B2795" t="str">
        <f t="shared" si="496"/>
        <v>SAÍDA</v>
      </c>
      <c r="C2795" t="str">
        <f t="shared" si="498"/>
        <v>PIX</v>
      </c>
      <c r="D2795" t="str">
        <f>"21961"</f>
        <v>21961</v>
      </c>
      <c r="E2795" t="str">
        <f t="shared" si="500"/>
        <v>1</v>
      </c>
      <c r="F2795" t="str">
        <f t="shared" si="494"/>
        <v>COM</v>
      </c>
      <c r="G2795" t="str">
        <f>"GABRIEL PACHECO DE QUEIROZ NARCISO (812)"</f>
        <v>GABRIEL PACHECO DE QUEIROZ NARCISO (812)</v>
      </c>
      <c r="H2795" t="str">
        <f>"Serv.Prest. 08/09/2025 a 14/09/2025 - PIX: CPF - CHAVE: 140.108.466-40"</f>
        <v>Serv.Prest. 08/09/2025 a 14/09/2025 - PIX: CPF - CHAVE: 140.108.466-40</v>
      </c>
      <c r="I2795" t="str">
        <f t="shared" si="499"/>
        <v>18/09/2025</v>
      </c>
      <c r="J2795" t="str">
        <f t="shared" si="501"/>
        <v>15/09/2025</v>
      </c>
      <c r="K2795" t="str">
        <f>("18/09/2025")</f>
        <v>18/09/2025</v>
      </c>
      <c r="L2795">
        <v>702.45</v>
      </c>
      <c r="M2795">
        <v>702.45</v>
      </c>
      <c r="N2795">
        <v>109</v>
      </c>
      <c r="O2795" t="str">
        <f>"PAGAMENTO DE ENTREGADORES"</f>
        <v>PAGAMENTO DE ENTREGADORES</v>
      </c>
      <c r="P2795">
        <v>702.45</v>
      </c>
      <c r="S2795" t="str">
        <f>"BANCO C6 (149)"</f>
        <v>BANCO C6 (149)</v>
      </c>
      <c r="T2795">
        <v>18463</v>
      </c>
      <c r="U2795">
        <v>21961</v>
      </c>
      <c r="V2795" t="s">
        <v>77</v>
      </c>
    </row>
    <row r="2796" spans="1:22">
      <c r="A2796" t="str">
        <f t="shared" si="497"/>
        <v>18/09/2025</v>
      </c>
      <c r="B2796" t="str">
        <f t="shared" si="496"/>
        <v>SAÍDA</v>
      </c>
      <c r="C2796" t="str">
        <f t="shared" si="498"/>
        <v>PIX</v>
      </c>
      <c r="D2796" t="str">
        <f>"21961"</f>
        <v>21961</v>
      </c>
      <c r="E2796" t="str">
        <f t="shared" si="500"/>
        <v>1</v>
      </c>
      <c r="F2796" t="str">
        <f t="shared" si="494"/>
        <v>COM</v>
      </c>
      <c r="G2796" t="str">
        <f>"GABRIEL PACHECO DE QUEIROZ NARCISO (812)"</f>
        <v>GABRIEL PACHECO DE QUEIROZ NARCISO (812)</v>
      </c>
      <c r="H2796" t="s">
        <v>756</v>
      </c>
      <c r="I2796" t="str">
        <f t="shared" si="499"/>
        <v>18/09/2025</v>
      </c>
      <c r="J2796" t="str">
        <f t="shared" si="501"/>
        <v>15/09/2025</v>
      </c>
      <c r="K2796">
        <v>45918</v>
      </c>
      <c r="N2796">
        <v>109</v>
      </c>
      <c r="O2796" t="s">
        <v>24</v>
      </c>
      <c r="Q2796">
        <v>702.45</v>
      </c>
      <c r="R2796" t="str">
        <f>"DROGARIA ANA VISCONDE DO RIO BRANCO (10182)"</f>
        <v>DROGARIA ANA VISCONDE DO RIO BRANCO (10182)</v>
      </c>
      <c r="S2796" t="s">
        <v>77</v>
      </c>
      <c r="T2796">
        <v>18463</v>
      </c>
      <c r="U2796">
        <v>21961</v>
      </c>
      <c r="V2796" t="s">
        <v>77</v>
      </c>
    </row>
    <row r="2797" spans="1:22">
      <c r="A2797" t="str">
        <f t="shared" si="497"/>
        <v>18/09/2025</v>
      </c>
      <c r="B2797" t="str">
        <f t="shared" si="496"/>
        <v>SAÍDA</v>
      </c>
      <c r="C2797" t="str">
        <f t="shared" si="498"/>
        <v>PIX</v>
      </c>
      <c r="D2797" t="str">
        <f>"21962"</f>
        <v>21962</v>
      </c>
      <c r="E2797" t="str">
        <f t="shared" si="500"/>
        <v>1</v>
      </c>
      <c r="F2797" t="str">
        <f t="shared" si="494"/>
        <v>COM</v>
      </c>
      <c r="G2797" t="str">
        <f>"WASHINGTON VALERIO DE SOUZA (888)"</f>
        <v>WASHINGTON VALERIO DE SOUZA (888)</v>
      </c>
      <c r="H2797" t="str">
        <f>"Serv.Prest. 08/09/2025 a 14/09/2025 - PIX: CPF - CHAVE: 080.965.696-51"</f>
        <v>Serv.Prest. 08/09/2025 a 14/09/2025 - PIX: CPF - CHAVE: 080.965.696-51</v>
      </c>
      <c r="I2797" t="str">
        <f t="shared" si="499"/>
        <v>18/09/2025</v>
      </c>
      <c r="J2797" t="str">
        <f t="shared" si="501"/>
        <v>15/09/2025</v>
      </c>
      <c r="K2797" t="str">
        <f>("18/09/2025")</f>
        <v>18/09/2025</v>
      </c>
      <c r="L2797">
        <v>702.45</v>
      </c>
      <c r="M2797">
        <v>702.45</v>
      </c>
      <c r="N2797">
        <v>109</v>
      </c>
      <c r="O2797" t="str">
        <f>"PAGAMENTO DE ENTREGADORES"</f>
        <v>PAGAMENTO DE ENTREGADORES</v>
      </c>
      <c r="P2797">
        <v>702.45</v>
      </c>
      <c r="S2797" t="str">
        <f>"BANCO C6 (149)"</f>
        <v>BANCO C6 (149)</v>
      </c>
      <c r="T2797">
        <v>18464</v>
      </c>
      <c r="U2797">
        <v>21962</v>
      </c>
      <c r="V2797" t="s">
        <v>77</v>
      </c>
    </row>
    <row r="2798" spans="1:22">
      <c r="A2798" t="str">
        <f t="shared" si="497"/>
        <v>18/09/2025</v>
      </c>
      <c r="B2798" t="str">
        <f t="shared" si="496"/>
        <v>SAÍDA</v>
      </c>
      <c r="C2798" t="str">
        <f t="shared" si="498"/>
        <v>PIX</v>
      </c>
      <c r="D2798" t="str">
        <f>"21962"</f>
        <v>21962</v>
      </c>
      <c r="E2798" t="str">
        <f t="shared" si="500"/>
        <v>1</v>
      </c>
      <c r="F2798" t="str">
        <f t="shared" si="494"/>
        <v>COM</v>
      </c>
      <c r="G2798" t="str">
        <f>"WASHINGTON VALERIO DE SOUZA (888)"</f>
        <v>WASHINGTON VALERIO DE SOUZA (888)</v>
      </c>
      <c r="H2798" t="s">
        <v>757</v>
      </c>
      <c r="I2798" t="str">
        <f t="shared" si="499"/>
        <v>18/09/2025</v>
      </c>
      <c r="J2798" t="str">
        <f t="shared" si="501"/>
        <v>15/09/2025</v>
      </c>
      <c r="K2798">
        <v>45918</v>
      </c>
      <c r="N2798">
        <v>109</v>
      </c>
      <c r="O2798" t="s">
        <v>24</v>
      </c>
      <c r="Q2798">
        <v>702.45</v>
      </c>
      <c r="R2798" t="str">
        <f>"DROGARIA ANA VISCONDE DO RIO BRANCO (10182)"</f>
        <v>DROGARIA ANA VISCONDE DO RIO BRANCO (10182)</v>
      </c>
      <c r="S2798" t="s">
        <v>77</v>
      </c>
      <c r="T2798">
        <v>18464</v>
      </c>
      <c r="U2798">
        <v>21962</v>
      </c>
      <c r="V2798" t="s">
        <v>77</v>
      </c>
    </row>
    <row r="2799" spans="1:22">
      <c r="A2799" t="str">
        <f t="shared" si="497"/>
        <v>18/09/2025</v>
      </c>
      <c r="B2799" t="str">
        <f t="shared" si="496"/>
        <v>SAÍDA</v>
      </c>
      <c r="C2799" t="str">
        <f t="shared" si="498"/>
        <v>PIX</v>
      </c>
      <c r="D2799" t="str">
        <f>"21963"</f>
        <v>21963</v>
      </c>
      <c r="E2799" t="str">
        <f t="shared" si="500"/>
        <v>1</v>
      </c>
      <c r="F2799" t="str">
        <f t="shared" si="494"/>
        <v>COM</v>
      </c>
      <c r="G2799" t="str">
        <f>"WILLIAM ANDRE SILVA COELLO (850)"</f>
        <v>WILLIAM ANDRE SILVA COELLO (850)</v>
      </c>
      <c r="H2799" t="str">
        <f>"Serv.Prest. 08/09/2025 a 14/09/2025 - PIX: CPF - CHAVE: 100.710.806-19"</f>
        <v>Serv.Prest. 08/09/2025 a 14/09/2025 - PIX: CPF - CHAVE: 100.710.806-19</v>
      </c>
      <c r="I2799" t="str">
        <f t="shared" si="499"/>
        <v>18/09/2025</v>
      </c>
      <c r="J2799" t="str">
        <f t="shared" si="501"/>
        <v>15/09/2025</v>
      </c>
      <c r="K2799" t="str">
        <f>("18/09/2025")</f>
        <v>18/09/2025</v>
      </c>
      <c r="L2799">
        <v>702.45</v>
      </c>
      <c r="M2799">
        <v>702.45</v>
      </c>
      <c r="N2799">
        <v>109</v>
      </c>
      <c r="O2799" t="str">
        <f>"PAGAMENTO DE ENTREGADORES"</f>
        <v>PAGAMENTO DE ENTREGADORES</v>
      </c>
      <c r="P2799">
        <v>702.45</v>
      </c>
      <c r="S2799" t="str">
        <f>"BANCO C6 (149)"</f>
        <v>BANCO C6 (149)</v>
      </c>
      <c r="T2799">
        <v>18465</v>
      </c>
      <c r="U2799">
        <v>21963</v>
      </c>
      <c r="V2799" t="s">
        <v>77</v>
      </c>
    </row>
    <row r="2800" spans="1:22">
      <c r="A2800" t="str">
        <f t="shared" si="497"/>
        <v>18/09/2025</v>
      </c>
      <c r="B2800" t="str">
        <f t="shared" si="496"/>
        <v>SAÍDA</v>
      </c>
      <c r="C2800" t="str">
        <f t="shared" si="498"/>
        <v>PIX</v>
      </c>
      <c r="D2800" t="str">
        <f>"21963"</f>
        <v>21963</v>
      </c>
      <c r="E2800" t="str">
        <f t="shared" si="500"/>
        <v>1</v>
      </c>
      <c r="F2800" t="str">
        <f t="shared" si="494"/>
        <v>COM</v>
      </c>
      <c r="G2800" t="str">
        <f>"WILLIAM ANDRE SILVA COELLO (850)"</f>
        <v>WILLIAM ANDRE SILVA COELLO (850)</v>
      </c>
      <c r="H2800" t="s">
        <v>758</v>
      </c>
      <c r="I2800" t="str">
        <f t="shared" si="499"/>
        <v>18/09/2025</v>
      </c>
      <c r="J2800" t="str">
        <f t="shared" si="501"/>
        <v>15/09/2025</v>
      </c>
      <c r="K2800">
        <v>45918</v>
      </c>
      <c r="N2800">
        <v>109</v>
      </c>
      <c r="O2800" t="s">
        <v>24</v>
      </c>
      <c r="Q2800">
        <v>702.45</v>
      </c>
      <c r="R2800" t="str">
        <f>"DROGARIA ANA VISCONDE DO RIO BRANCO (10182)"</f>
        <v>DROGARIA ANA VISCONDE DO RIO BRANCO (10182)</v>
      </c>
      <c r="S2800" t="s">
        <v>77</v>
      </c>
      <c r="T2800">
        <v>18465</v>
      </c>
      <c r="U2800">
        <v>21963</v>
      </c>
      <c r="V2800" t="s">
        <v>77</v>
      </c>
    </row>
    <row r="2801" spans="1:22">
      <c r="A2801" t="str">
        <f t="shared" si="497"/>
        <v>18/09/2025</v>
      </c>
      <c r="B2801" t="str">
        <f t="shared" si="496"/>
        <v>SAÍDA</v>
      </c>
      <c r="C2801" t="str">
        <f t="shared" si="498"/>
        <v>PIX</v>
      </c>
      <c r="D2801" t="str">
        <f>"21965"</f>
        <v>21965</v>
      </c>
      <c r="E2801" t="str">
        <f t="shared" si="500"/>
        <v>1</v>
      </c>
      <c r="F2801" t="str">
        <f t="shared" si="494"/>
        <v>COM</v>
      </c>
      <c r="G2801" t="str">
        <f>"JAMERSON SOUZA LOPES (749)"</f>
        <v>JAMERSON SOUZA LOPES (749)</v>
      </c>
      <c r="H2801" t="str">
        <f>"Serv.Prest. 08/09/2025 a 14/09/2025 - PIX: CPF - CHAVE: 423.098.018-36"</f>
        <v>Serv.Prest. 08/09/2025 a 14/09/2025 - PIX: CPF - CHAVE: 423.098.018-36</v>
      </c>
      <c r="I2801" t="str">
        <f t="shared" si="499"/>
        <v>18/09/2025</v>
      </c>
      <c r="J2801" t="str">
        <f t="shared" si="501"/>
        <v>15/09/2025</v>
      </c>
      <c r="K2801" t="str">
        <f>("18/09/2025")</f>
        <v>18/09/2025</v>
      </c>
      <c r="L2801">
        <v>800.1</v>
      </c>
      <c r="M2801">
        <v>800.1</v>
      </c>
      <c r="N2801">
        <v>109</v>
      </c>
      <c r="O2801" t="str">
        <f>"PAGAMENTO DE ENTREGADORES"</f>
        <v>PAGAMENTO DE ENTREGADORES</v>
      </c>
      <c r="P2801">
        <v>800.1</v>
      </c>
      <c r="S2801" t="str">
        <f>"BANCO C6 (149)"</f>
        <v>BANCO C6 (149)</v>
      </c>
      <c r="T2801">
        <v>18466</v>
      </c>
      <c r="U2801">
        <v>21965</v>
      </c>
      <c r="V2801" t="s">
        <v>77</v>
      </c>
    </row>
    <row r="2802" spans="1:22">
      <c r="A2802" t="str">
        <f t="shared" si="497"/>
        <v>18/09/2025</v>
      </c>
      <c r="B2802" t="str">
        <f t="shared" si="496"/>
        <v>SAÍDA</v>
      </c>
      <c r="C2802" t="str">
        <f t="shared" si="498"/>
        <v>PIX</v>
      </c>
      <c r="D2802" t="str">
        <f>"21965"</f>
        <v>21965</v>
      </c>
      <c r="E2802" t="str">
        <f t="shared" si="500"/>
        <v>1</v>
      </c>
      <c r="F2802" t="str">
        <f t="shared" si="494"/>
        <v>COM</v>
      </c>
      <c r="G2802" t="str">
        <f>"JAMERSON SOUZA LOPES (749)"</f>
        <v>JAMERSON SOUZA LOPES (749)</v>
      </c>
      <c r="H2802" t="s">
        <v>572</v>
      </c>
      <c r="I2802" t="str">
        <f t="shared" si="499"/>
        <v>18/09/2025</v>
      </c>
      <c r="J2802" t="str">
        <f t="shared" si="501"/>
        <v>15/09/2025</v>
      </c>
      <c r="K2802">
        <v>45918</v>
      </c>
      <c r="N2802">
        <v>109</v>
      </c>
      <c r="O2802" t="s">
        <v>24</v>
      </c>
      <c r="Q2802">
        <v>800.1</v>
      </c>
      <c r="R2802" t="str">
        <f>"DROGARIA TOTAL JUNDIAI (10177)"</f>
        <v>DROGARIA TOTAL JUNDIAI (10177)</v>
      </c>
      <c r="S2802" t="s">
        <v>77</v>
      </c>
      <c r="T2802">
        <v>18466</v>
      </c>
      <c r="U2802">
        <v>21965</v>
      </c>
      <c r="V2802" t="s">
        <v>77</v>
      </c>
    </row>
    <row r="2803" spans="1:22">
      <c r="A2803" t="str">
        <f t="shared" si="497"/>
        <v>18/09/2025</v>
      </c>
      <c r="B2803" t="str">
        <f t="shared" si="496"/>
        <v>SAÍDA</v>
      </c>
      <c r="C2803" t="str">
        <f t="shared" si="498"/>
        <v>PIX</v>
      </c>
      <c r="D2803" t="str">
        <f>"21967"</f>
        <v>21967</v>
      </c>
      <c r="E2803" t="str">
        <f t="shared" si="500"/>
        <v>1</v>
      </c>
      <c r="F2803" t="str">
        <f t="shared" si="494"/>
        <v>COM</v>
      </c>
      <c r="G2803" t="str">
        <f>"ARLINDO COSTA FELIX (754)"</f>
        <v>ARLINDO COSTA FELIX (754)</v>
      </c>
      <c r="H2803" t="str">
        <f>"Serv.Prest. 08/09/2025 a 14/09/2025 - PIX: CPF - CHAVE: 103.983.366-79"</f>
        <v>Serv.Prest. 08/09/2025 a 14/09/2025 - PIX: CPF - CHAVE: 103.983.366-79</v>
      </c>
      <c r="I2803" t="str">
        <f t="shared" si="499"/>
        <v>18/09/2025</v>
      </c>
      <c r="J2803" t="str">
        <f t="shared" si="501"/>
        <v>15/09/2025</v>
      </c>
      <c r="K2803" t="str">
        <f>("18/09/2025")</f>
        <v>18/09/2025</v>
      </c>
      <c r="L2803">
        <v>1314</v>
      </c>
      <c r="M2803">
        <v>1314</v>
      </c>
      <c r="N2803">
        <v>109</v>
      </c>
      <c r="O2803" t="str">
        <f>"PAGAMENTO DE ENTREGADORES"</f>
        <v>PAGAMENTO DE ENTREGADORES</v>
      </c>
      <c r="P2803">
        <v>1314</v>
      </c>
      <c r="S2803" t="str">
        <f>"BANCO C6 (149)"</f>
        <v>BANCO C6 (149)</v>
      </c>
      <c r="T2803">
        <v>18467</v>
      </c>
      <c r="U2803">
        <v>21967</v>
      </c>
      <c r="V2803" t="s">
        <v>77</v>
      </c>
    </row>
    <row r="2804" spans="1:22">
      <c r="A2804" t="str">
        <f t="shared" si="497"/>
        <v>18/09/2025</v>
      </c>
      <c r="B2804" t="str">
        <f t="shared" si="496"/>
        <v>SAÍDA</v>
      </c>
      <c r="C2804" t="str">
        <f t="shared" si="498"/>
        <v>PIX</v>
      </c>
      <c r="D2804" t="str">
        <f>"21967"</f>
        <v>21967</v>
      </c>
      <c r="E2804" t="str">
        <f t="shared" si="500"/>
        <v>1</v>
      </c>
      <c r="F2804" t="str">
        <f t="shared" si="494"/>
        <v>COM</v>
      </c>
      <c r="G2804" t="str">
        <f>"ARLINDO COSTA FELIX (754)"</f>
        <v>ARLINDO COSTA FELIX (754)</v>
      </c>
      <c r="H2804" t="s">
        <v>759</v>
      </c>
      <c r="I2804" t="str">
        <f t="shared" si="499"/>
        <v>18/09/2025</v>
      </c>
      <c r="J2804" t="str">
        <f t="shared" si="501"/>
        <v>15/09/2025</v>
      </c>
      <c r="K2804">
        <v>45918</v>
      </c>
      <c r="N2804">
        <v>109</v>
      </c>
      <c r="O2804" t="s">
        <v>24</v>
      </c>
      <c r="Q2804">
        <v>1314</v>
      </c>
      <c r="R2804" t="str">
        <f>"ENTREFARMA (10164)"</f>
        <v>ENTREFARMA (10164)</v>
      </c>
      <c r="S2804" t="s">
        <v>77</v>
      </c>
      <c r="T2804">
        <v>18467</v>
      </c>
      <c r="U2804">
        <v>21967</v>
      </c>
      <c r="V2804" t="s">
        <v>77</v>
      </c>
    </row>
    <row r="2805" spans="1:22">
      <c r="A2805" t="str">
        <f t="shared" si="497"/>
        <v>18/09/2025</v>
      </c>
      <c r="B2805" t="str">
        <f t="shared" si="496"/>
        <v>SAÍDA</v>
      </c>
      <c r="C2805" t="str">
        <f t="shared" si="498"/>
        <v>PIX</v>
      </c>
      <c r="D2805" t="str">
        <f>"21968"</f>
        <v>21968</v>
      </c>
      <c r="E2805" t="str">
        <f t="shared" si="500"/>
        <v>1</v>
      </c>
      <c r="F2805" t="str">
        <f t="shared" si="494"/>
        <v>COM</v>
      </c>
      <c r="G2805" t="str">
        <f>"LEONICIO CORREA DA SILVA (716)"</f>
        <v>LEONICIO CORREA DA SILVA (716)</v>
      </c>
      <c r="H2805" t="str">
        <f>"Serv.Prest. 08/09/2025 a 14/09/2025 - PIX: CPF - CHAVE: 138.263.636-98"</f>
        <v>Serv.Prest. 08/09/2025 a 14/09/2025 - PIX: CPF - CHAVE: 138.263.636-98</v>
      </c>
      <c r="I2805" t="str">
        <f t="shared" si="499"/>
        <v>18/09/2025</v>
      </c>
      <c r="J2805" t="str">
        <f t="shared" si="501"/>
        <v>15/09/2025</v>
      </c>
      <c r="K2805" t="str">
        <f>("18/09/2025")</f>
        <v>18/09/2025</v>
      </c>
      <c r="L2805">
        <v>1176</v>
      </c>
      <c r="M2805">
        <v>1176</v>
      </c>
      <c r="N2805">
        <v>109</v>
      </c>
      <c r="O2805" t="str">
        <f>"PAGAMENTO DE ENTREGADORES"</f>
        <v>PAGAMENTO DE ENTREGADORES</v>
      </c>
      <c r="P2805">
        <v>1176</v>
      </c>
      <c r="S2805" t="str">
        <f>"BANCO C6 (149)"</f>
        <v>BANCO C6 (149)</v>
      </c>
      <c r="T2805">
        <v>18468</v>
      </c>
      <c r="U2805">
        <v>21968</v>
      </c>
      <c r="V2805" t="s">
        <v>77</v>
      </c>
    </row>
    <row r="2806" spans="1:22">
      <c r="A2806" t="str">
        <f t="shared" si="497"/>
        <v>18/09/2025</v>
      </c>
      <c r="B2806" t="str">
        <f t="shared" si="496"/>
        <v>SAÍDA</v>
      </c>
      <c r="C2806" t="str">
        <f t="shared" si="498"/>
        <v>PIX</v>
      </c>
      <c r="D2806" t="str">
        <f>"21968"</f>
        <v>21968</v>
      </c>
      <c r="E2806" t="str">
        <f t="shared" si="500"/>
        <v>1</v>
      </c>
      <c r="F2806" t="str">
        <f t="shared" si="494"/>
        <v>COM</v>
      </c>
      <c r="G2806" t="str">
        <f>"LEONICIO CORREA DA SILVA (716)"</f>
        <v>LEONICIO CORREA DA SILVA (716)</v>
      </c>
      <c r="H2806" t="s">
        <v>760</v>
      </c>
      <c r="I2806" t="str">
        <f t="shared" si="499"/>
        <v>18/09/2025</v>
      </c>
      <c r="J2806" t="str">
        <f t="shared" si="501"/>
        <v>15/09/2025</v>
      </c>
      <c r="K2806">
        <v>45918</v>
      </c>
      <c r="N2806">
        <v>109</v>
      </c>
      <c r="O2806" t="s">
        <v>24</v>
      </c>
      <c r="Q2806">
        <v>1176</v>
      </c>
      <c r="R2806" t="str">
        <f>"ENTREFARMA (10164)"</f>
        <v>ENTREFARMA (10164)</v>
      </c>
      <c r="S2806" t="s">
        <v>77</v>
      </c>
      <c r="T2806">
        <v>18468</v>
      </c>
      <c r="U2806">
        <v>21968</v>
      </c>
      <c r="V2806" t="s">
        <v>77</v>
      </c>
    </row>
    <row r="2807" spans="1:22">
      <c r="A2807" t="str">
        <f t="shared" si="497"/>
        <v>18/09/2025</v>
      </c>
      <c r="B2807" t="str">
        <f t="shared" si="496"/>
        <v>SAÍDA</v>
      </c>
      <c r="C2807" t="str">
        <f t="shared" si="498"/>
        <v>PIX</v>
      </c>
      <c r="D2807" t="str">
        <f>"21969"</f>
        <v>21969</v>
      </c>
      <c r="E2807" t="str">
        <f t="shared" si="500"/>
        <v>1</v>
      </c>
      <c r="F2807" t="str">
        <f t="shared" si="494"/>
        <v>COM</v>
      </c>
      <c r="G2807" t="str">
        <f>"SADRAK ENOKES BORGES (725)"</f>
        <v>SADRAK ENOKES BORGES (725)</v>
      </c>
      <c r="H2807" t="str">
        <f>"Serv.Prest. 08/09/2025 a 14/09/2025 - PIX: CPF - CHAVE: 128.367.756-37"</f>
        <v>Serv.Prest. 08/09/2025 a 14/09/2025 - PIX: CPF - CHAVE: 128.367.756-37</v>
      </c>
      <c r="I2807" t="str">
        <f t="shared" si="499"/>
        <v>18/09/2025</v>
      </c>
      <c r="J2807" t="str">
        <f t="shared" si="501"/>
        <v>15/09/2025</v>
      </c>
      <c r="K2807" t="str">
        <f>("18/09/2025")</f>
        <v>18/09/2025</v>
      </c>
      <c r="L2807">
        <v>1110</v>
      </c>
      <c r="M2807">
        <v>1110</v>
      </c>
      <c r="N2807">
        <v>109</v>
      </c>
      <c r="O2807" t="str">
        <f>"PAGAMENTO DE ENTREGADORES"</f>
        <v>PAGAMENTO DE ENTREGADORES</v>
      </c>
      <c r="P2807">
        <v>1110</v>
      </c>
      <c r="S2807" t="str">
        <f>"BANCO C6 (149)"</f>
        <v>BANCO C6 (149)</v>
      </c>
      <c r="T2807">
        <v>18469</v>
      </c>
      <c r="U2807">
        <v>21969</v>
      </c>
      <c r="V2807" t="s">
        <v>77</v>
      </c>
    </row>
    <row r="2808" spans="1:22">
      <c r="A2808" t="str">
        <f t="shared" si="497"/>
        <v>18/09/2025</v>
      </c>
      <c r="B2808" t="str">
        <f t="shared" si="496"/>
        <v>SAÍDA</v>
      </c>
      <c r="C2808" t="str">
        <f t="shared" si="498"/>
        <v>PIX</v>
      </c>
      <c r="D2808" t="str">
        <f>"21969"</f>
        <v>21969</v>
      </c>
      <c r="E2808" t="str">
        <f t="shared" si="500"/>
        <v>1</v>
      </c>
      <c r="F2808" t="str">
        <f t="shared" si="494"/>
        <v>COM</v>
      </c>
      <c r="G2808" t="str">
        <f>"SADRAK ENOKES BORGES (725)"</f>
        <v>SADRAK ENOKES BORGES (725)</v>
      </c>
      <c r="H2808" t="s">
        <v>761</v>
      </c>
      <c r="I2808" t="str">
        <f t="shared" si="499"/>
        <v>18/09/2025</v>
      </c>
      <c r="J2808" t="str">
        <f t="shared" si="501"/>
        <v>15/09/2025</v>
      </c>
      <c r="K2808">
        <v>45918</v>
      </c>
      <c r="N2808">
        <v>109</v>
      </c>
      <c r="O2808" t="s">
        <v>24</v>
      </c>
      <c r="Q2808">
        <v>1110</v>
      </c>
      <c r="R2808" t="str">
        <f>"ENTREFARMA (10164)"</f>
        <v>ENTREFARMA (10164)</v>
      </c>
      <c r="S2808" t="s">
        <v>77</v>
      </c>
      <c r="T2808">
        <v>18469</v>
      </c>
      <c r="U2808">
        <v>21969</v>
      </c>
      <c r="V2808" t="s">
        <v>77</v>
      </c>
    </row>
    <row r="2809" spans="1:22">
      <c r="A2809" t="str">
        <f t="shared" si="497"/>
        <v>18/09/2025</v>
      </c>
      <c r="B2809" t="str">
        <f t="shared" si="496"/>
        <v>SAÍDA</v>
      </c>
      <c r="C2809" t="str">
        <f t="shared" si="498"/>
        <v>PIX</v>
      </c>
      <c r="D2809" t="str">
        <f>"21970"</f>
        <v>21970</v>
      </c>
      <c r="E2809" t="str">
        <f t="shared" si="500"/>
        <v>1</v>
      </c>
      <c r="F2809" t="str">
        <f t="shared" si="494"/>
        <v>COM</v>
      </c>
      <c r="G2809" t="str">
        <f>"WENDERSON GOMES (708)"</f>
        <v>WENDERSON GOMES (708)</v>
      </c>
      <c r="H2809" t="str">
        <f>"Serv.Prest. 08/09/2025 a 14/09/2025 - PIX: CPF - CHAVE: 147.592.156-03"</f>
        <v>Serv.Prest. 08/09/2025 a 14/09/2025 - PIX: CPF - CHAVE: 147.592.156-03</v>
      </c>
      <c r="I2809" t="str">
        <f t="shared" si="499"/>
        <v>18/09/2025</v>
      </c>
      <c r="J2809" t="str">
        <f t="shared" si="501"/>
        <v>15/09/2025</v>
      </c>
      <c r="K2809" t="str">
        <f>("18/09/2025")</f>
        <v>18/09/2025</v>
      </c>
      <c r="L2809">
        <v>1824</v>
      </c>
      <c r="M2809">
        <v>1824</v>
      </c>
      <c r="N2809">
        <v>109</v>
      </c>
      <c r="O2809" t="str">
        <f>"PAGAMENTO DE ENTREGADORES"</f>
        <v>PAGAMENTO DE ENTREGADORES</v>
      </c>
      <c r="P2809">
        <v>1824</v>
      </c>
      <c r="S2809" t="str">
        <f>"BANCO C6 (149)"</f>
        <v>BANCO C6 (149)</v>
      </c>
      <c r="T2809">
        <v>18470</v>
      </c>
      <c r="U2809">
        <v>21970</v>
      </c>
      <c r="V2809" t="s">
        <v>77</v>
      </c>
    </row>
    <row r="2810" spans="1:22">
      <c r="A2810" t="str">
        <f t="shared" si="497"/>
        <v>18/09/2025</v>
      </c>
      <c r="B2810" t="str">
        <f t="shared" si="496"/>
        <v>SAÍDA</v>
      </c>
      <c r="C2810" t="str">
        <f t="shared" si="498"/>
        <v>PIX</v>
      </c>
      <c r="D2810" t="str">
        <f>"21970"</f>
        <v>21970</v>
      </c>
      <c r="E2810" t="str">
        <f t="shared" si="500"/>
        <v>1</v>
      </c>
      <c r="F2810" t="str">
        <f t="shared" si="494"/>
        <v>COM</v>
      </c>
      <c r="G2810" t="str">
        <f>"WENDERSON GOMES (708)"</f>
        <v>WENDERSON GOMES (708)</v>
      </c>
      <c r="H2810" t="s">
        <v>762</v>
      </c>
      <c r="I2810" t="str">
        <f t="shared" si="499"/>
        <v>18/09/2025</v>
      </c>
      <c r="J2810" t="str">
        <f t="shared" si="501"/>
        <v>15/09/2025</v>
      </c>
      <c r="K2810">
        <v>45918</v>
      </c>
      <c r="N2810">
        <v>109</v>
      </c>
      <c r="O2810" t="s">
        <v>24</v>
      </c>
      <c r="Q2810">
        <v>1824</v>
      </c>
      <c r="R2810" t="str">
        <f>"ENTREFARMA (10164)"</f>
        <v>ENTREFARMA (10164)</v>
      </c>
      <c r="S2810" t="s">
        <v>77</v>
      </c>
      <c r="T2810">
        <v>18470</v>
      </c>
      <c r="U2810">
        <v>21970</v>
      </c>
      <c r="V2810" t="s">
        <v>77</v>
      </c>
    </row>
    <row r="2811" spans="1:22">
      <c r="A2811" t="str">
        <f t="shared" si="497"/>
        <v>18/09/2025</v>
      </c>
      <c r="B2811" t="str">
        <f t="shared" si="496"/>
        <v>SAÍDA</v>
      </c>
      <c r="C2811" t="str">
        <f t="shared" si="498"/>
        <v>PIX</v>
      </c>
      <c r="D2811" t="str">
        <f>"21972"</f>
        <v>21972</v>
      </c>
      <c r="E2811" t="str">
        <f t="shared" si="500"/>
        <v>1</v>
      </c>
      <c r="F2811" t="str">
        <f t="shared" ref="F2811:F2874" si="502">"COM"</f>
        <v>COM</v>
      </c>
      <c r="G2811" t="str">
        <f>"FABRICIO QUEIROZ DE OLIVEIRA (788)"</f>
        <v>FABRICIO QUEIROZ DE OLIVEIRA (788)</v>
      </c>
      <c r="H2811" t="str">
        <f>"Serv.Prest. 08/09/2025 a 14/09/2025 - PIX: CPF - CHAVE: 138.798.486-10"</f>
        <v>Serv.Prest. 08/09/2025 a 14/09/2025 - PIX: CPF - CHAVE: 138.798.486-10</v>
      </c>
      <c r="I2811" t="str">
        <f t="shared" si="499"/>
        <v>18/09/2025</v>
      </c>
      <c r="J2811" t="str">
        <f t="shared" si="501"/>
        <v>15/09/2025</v>
      </c>
      <c r="K2811" t="str">
        <f>("18/09/2025")</f>
        <v>18/09/2025</v>
      </c>
      <c r="L2811">
        <v>700</v>
      </c>
      <c r="M2811">
        <v>700</v>
      </c>
      <c r="N2811">
        <v>109</v>
      </c>
      <c r="O2811" t="str">
        <f>"PAGAMENTO DE ENTREGADORES"</f>
        <v>PAGAMENTO DE ENTREGADORES</v>
      </c>
      <c r="P2811">
        <v>700</v>
      </c>
      <c r="S2811" t="str">
        <f>"BANCO C6 (149)"</f>
        <v>BANCO C6 (149)</v>
      </c>
      <c r="T2811">
        <v>18471</v>
      </c>
      <c r="U2811">
        <v>21972</v>
      </c>
      <c r="V2811" t="s">
        <v>77</v>
      </c>
    </row>
    <row r="2812" spans="1:22">
      <c r="A2812" t="str">
        <f t="shared" si="497"/>
        <v>18/09/2025</v>
      </c>
      <c r="B2812" t="str">
        <f t="shared" si="496"/>
        <v>SAÍDA</v>
      </c>
      <c r="C2812" t="str">
        <f t="shared" si="498"/>
        <v>PIX</v>
      </c>
      <c r="D2812" t="str">
        <f>"21972"</f>
        <v>21972</v>
      </c>
      <c r="E2812" t="str">
        <f t="shared" si="500"/>
        <v>1</v>
      </c>
      <c r="F2812" t="str">
        <f t="shared" si="502"/>
        <v>COM</v>
      </c>
      <c r="G2812" t="str">
        <f>"FABRICIO QUEIROZ DE OLIVEIRA (788)"</f>
        <v>FABRICIO QUEIROZ DE OLIVEIRA (788)</v>
      </c>
      <c r="H2812" t="s">
        <v>763</v>
      </c>
      <c r="I2812" t="str">
        <f t="shared" si="499"/>
        <v>18/09/2025</v>
      </c>
      <c r="J2812" t="str">
        <f t="shared" si="501"/>
        <v>15/09/2025</v>
      </c>
      <c r="K2812">
        <v>45918</v>
      </c>
      <c r="N2812">
        <v>109</v>
      </c>
      <c r="O2812" t="s">
        <v>24</v>
      </c>
      <c r="Q2812">
        <v>480.34</v>
      </c>
      <c r="R2812" t="str">
        <f>"FRAN FARMA LJ 2 (10131)"</f>
        <v>FRAN FARMA LJ 2 (10131)</v>
      </c>
      <c r="S2812" t="s">
        <v>77</v>
      </c>
      <c r="T2812">
        <v>18471</v>
      </c>
      <c r="U2812">
        <v>21972</v>
      </c>
      <c r="V2812" t="s">
        <v>77</v>
      </c>
    </row>
    <row r="2813" spans="1:22">
      <c r="A2813" t="str">
        <f t="shared" si="497"/>
        <v>18/09/2025</v>
      </c>
      <c r="B2813" t="str">
        <f t="shared" si="496"/>
        <v>SAÍDA</v>
      </c>
      <c r="C2813" t="str">
        <f t="shared" si="498"/>
        <v>PIX</v>
      </c>
      <c r="D2813" t="str">
        <f>"21972"</f>
        <v>21972</v>
      </c>
      <c r="E2813" t="str">
        <f t="shared" si="500"/>
        <v>1</v>
      </c>
      <c r="F2813" t="str">
        <f t="shared" si="502"/>
        <v>COM</v>
      </c>
      <c r="G2813" t="str">
        <f>"FABRICIO QUEIROZ DE OLIVEIRA (788)"</f>
        <v>FABRICIO QUEIROZ DE OLIVEIRA (788)</v>
      </c>
      <c r="H2813" t="s">
        <v>763</v>
      </c>
      <c r="I2813" t="str">
        <f t="shared" si="499"/>
        <v>18/09/2025</v>
      </c>
      <c r="J2813" t="str">
        <f t="shared" ref="J2813:J2844" si="503">("15/09/2025")</f>
        <v>15/09/2025</v>
      </c>
      <c r="K2813">
        <v>45918</v>
      </c>
      <c r="N2813">
        <v>109</v>
      </c>
      <c r="O2813" t="s">
        <v>24</v>
      </c>
      <c r="Q2813">
        <v>219.66</v>
      </c>
      <c r="R2813" t="str">
        <f>"FRAN FARMA LJ 3 (10132)"</f>
        <v>FRAN FARMA LJ 3 (10132)</v>
      </c>
      <c r="S2813" t="s">
        <v>77</v>
      </c>
      <c r="T2813">
        <v>18471</v>
      </c>
      <c r="U2813">
        <v>21972</v>
      </c>
      <c r="V2813" t="s">
        <v>77</v>
      </c>
    </row>
    <row r="2814" spans="1:22">
      <c r="A2814" t="str">
        <f t="shared" si="497"/>
        <v>18/09/2025</v>
      </c>
      <c r="B2814" t="str">
        <f t="shared" si="496"/>
        <v>SAÍDA</v>
      </c>
      <c r="C2814" t="str">
        <f t="shared" si="498"/>
        <v>PIX</v>
      </c>
      <c r="D2814" t="str">
        <f>"21974"</f>
        <v>21974</v>
      </c>
      <c r="E2814" t="str">
        <f t="shared" si="500"/>
        <v>1</v>
      </c>
      <c r="F2814" t="str">
        <f t="shared" si="502"/>
        <v>COM</v>
      </c>
      <c r="G2814" t="str">
        <f>"SAMUEL SOARES DA SILVA (867)"</f>
        <v>SAMUEL SOARES DA SILVA (867)</v>
      </c>
      <c r="H2814" t="str">
        <f>"Serv.Prest. 08/09/2025 a 14/09/2025 - PIX: CPF - CHAVE: 396.124.108-28"</f>
        <v>Serv.Prest. 08/09/2025 a 14/09/2025 - PIX: CPF - CHAVE: 396.124.108-28</v>
      </c>
      <c r="I2814" t="str">
        <f t="shared" si="499"/>
        <v>18/09/2025</v>
      </c>
      <c r="J2814" t="str">
        <f t="shared" si="503"/>
        <v>15/09/2025</v>
      </c>
      <c r="K2814" t="str">
        <f>("18/09/2025")</f>
        <v>18/09/2025</v>
      </c>
      <c r="L2814">
        <v>1403.5</v>
      </c>
      <c r="M2814">
        <v>1403.5</v>
      </c>
      <c r="N2814">
        <v>109</v>
      </c>
      <c r="O2814" t="str">
        <f>"PAGAMENTO DE ENTREGADORES"</f>
        <v>PAGAMENTO DE ENTREGADORES</v>
      </c>
      <c r="P2814">
        <v>1403.5</v>
      </c>
      <c r="S2814" t="str">
        <f>"BANCO C6 (149)"</f>
        <v>BANCO C6 (149)</v>
      </c>
      <c r="T2814">
        <v>18472</v>
      </c>
      <c r="U2814">
        <v>21974</v>
      </c>
      <c r="V2814" t="s">
        <v>77</v>
      </c>
    </row>
    <row r="2815" spans="1:22">
      <c r="A2815" t="str">
        <f t="shared" si="497"/>
        <v>18/09/2025</v>
      </c>
      <c r="B2815" t="str">
        <f t="shared" si="496"/>
        <v>SAÍDA</v>
      </c>
      <c r="C2815" t="str">
        <f t="shared" si="498"/>
        <v>PIX</v>
      </c>
      <c r="D2815" t="str">
        <f>"21974"</f>
        <v>21974</v>
      </c>
      <c r="E2815" t="str">
        <f t="shared" si="500"/>
        <v>1</v>
      </c>
      <c r="F2815" t="str">
        <f t="shared" si="502"/>
        <v>COM</v>
      </c>
      <c r="G2815" t="str">
        <f>"SAMUEL SOARES DA SILVA (867)"</f>
        <v>SAMUEL SOARES DA SILVA (867)</v>
      </c>
      <c r="H2815" t="s">
        <v>599</v>
      </c>
      <c r="I2815" t="str">
        <f t="shared" si="499"/>
        <v>18/09/2025</v>
      </c>
      <c r="J2815" t="str">
        <f t="shared" si="503"/>
        <v>15/09/2025</v>
      </c>
      <c r="K2815">
        <v>45918</v>
      </c>
      <c r="N2815">
        <v>109</v>
      </c>
      <c r="O2815" t="s">
        <v>24</v>
      </c>
      <c r="Q2815">
        <v>1403.5</v>
      </c>
      <c r="R2815" t="str">
        <f>"DROGA ELIDA (10121)"</f>
        <v>DROGA ELIDA (10121)</v>
      </c>
      <c r="S2815" t="s">
        <v>77</v>
      </c>
      <c r="T2815">
        <v>18472</v>
      </c>
      <c r="U2815">
        <v>21974</v>
      </c>
      <c r="V2815" t="s">
        <v>77</v>
      </c>
    </row>
    <row r="2816" spans="1:22">
      <c r="A2816" t="str">
        <f t="shared" si="497"/>
        <v>18/09/2025</v>
      </c>
      <c r="B2816" t="str">
        <f t="shared" si="496"/>
        <v>SAÍDA</v>
      </c>
      <c r="C2816" t="str">
        <f t="shared" si="498"/>
        <v>PIX</v>
      </c>
      <c r="D2816" t="str">
        <f>"21976"</f>
        <v>21976</v>
      </c>
      <c r="E2816" t="str">
        <f t="shared" si="500"/>
        <v>1</v>
      </c>
      <c r="F2816" t="str">
        <f t="shared" si="502"/>
        <v>COM</v>
      </c>
      <c r="G2816" t="str">
        <f>"JOSÉ HENRIQUE RODRIGUES (430)"</f>
        <v>JOSÉ HENRIQUE RODRIGUES (430)</v>
      </c>
      <c r="H2816" t="str">
        <f>"Serv.Prest. 08/09/2025 a 14/09/2025 - PIX: CPF - CHAVE: 100.826.516-04"</f>
        <v>Serv.Prest. 08/09/2025 a 14/09/2025 - PIX: CPF - CHAVE: 100.826.516-04</v>
      </c>
      <c r="I2816" t="str">
        <f t="shared" si="499"/>
        <v>18/09/2025</v>
      </c>
      <c r="J2816" t="str">
        <f t="shared" si="503"/>
        <v>15/09/2025</v>
      </c>
      <c r="K2816" t="str">
        <f>("18/09/2025")</f>
        <v>18/09/2025</v>
      </c>
      <c r="L2816">
        <v>900</v>
      </c>
      <c r="M2816">
        <v>900</v>
      </c>
      <c r="N2816">
        <v>109</v>
      </c>
      <c r="O2816" t="str">
        <f>"PAGAMENTO DE ENTREGADORES"</f>
        <v>PAGAMENTO DE ENTREGADORES</v>
      </c>
      <c r="P2816">
        <v>900</v>
      </c>
      <c r="S2816" t="str">
        <f>"BANCO C6 (149)"</f>
        <v>BANCO C6 (149)</v>
      </c>
      <c r="T2816">
        <v>18473</v>
      </c>
      <c r="U2816">
        <v>21976</v>
      </c>
      <c r="V2816" t="s">
        <v>77</v>
      </c>
    </row>
    <row r="2817" spans="1:22">
      <c r="A2817" t="str">
        <f t="shared" si="497"/>
        <v>18/09/2025</v>
      </c>
      <c r="B2817" t="str">
        <f t="shared" si="496"/>
        <v>SAÍDA</v>
      </c>
      <c r="C2817" t="str">
        <f t="shared" si="498"/>
        <v>PIX</v>
      </c>
      <c r="D2817" t="str">
        <f>"21976"</f>
        <v>21976</v>
      </c>
      <c r="E2817" t="str">
        <f t="shared" si="500"/>
        <v>1</v>
      </c>
      <c r="F2817" t="str">
        <f t="shared" si="502"/>
        <v>COM</v>
      </c>
      <c r="G2817" t="str">
        <f>"JOSÉ HENRIQUE RODRIGUES (430)"</f>
        <v>JOSÉ HENRIQUE RODRIGUES (430)</v>
      </c>
      <c r="H2817" t="s">
        <v>764</v>
      </c>
      <c r="I2817" t="str">
        <f t="shared" si="499"/>
        <v>18/09/2025</v>
      </c>
      <c r="J2817" t="str">
        <f t="shared" si="503"/>
        <v>15/09/2025</v>
      </c>
      <c r="K2817">
        <v>45918</v>
      </c>
      <c r="N2817">
        <v>109</v>
      </c>
      <c r="O2817" t="s">
        <v>24</v>
      </c>
      <c r="Q2817">
        <v>900</v>
      </c>
      <c r="R2817" t="str">
        <f>"PAGMENOS - LJ 608 (10135)"</f>
        <v>PAGMENOS - LJ 608 (10135)</v>
      </c>
      <c r="S2817" t="s">
        <v>77</v>
      </c>
      <c r="T2817">
        <v>18473</v>
      </c>
      <c r="U2817">
        <v>21976</v>
      </c>
      <c r="V2817" t="s">
        <v>77</v>
      </c>
    </row>
    <row r="2818" spans="1:22">
      <c r="A2818" t="str">
        <f t="shared" si="497"/>
        <v>18/09/2025</v>
      </c>
      <c r="B2818" t="str">
        <f t="shared" si="496"/>
        <v>SAÍDA</v>
      </c>
      <c r="C2818" t="str">
        <f t="shared" si="498"/>
        <v>PIX</v>
      </c>
      <c r="D2818" t="str">
        <f>"21977"</f>
        <v>21977</v>
      </c>
      <c r="E2818" t="str">
        <f t="shared" si="500"/>
        <v>1</v>
      </c>
      <c r="F2818" t="str">
        <f t="shared" si="502"/>
        <v>COM</v>
      </c>
      <c r="G2818" t="str">
        <f>"TALES SILVA MARIANO (431)"</f>
        <v>TALES SILVA MARIANO (431)</v>
      </c>
      <c r="H2818" t="str">
        <f>"Serv.Prest. 08/09/2025 a 14/09/2025 - PIX: CPF - CHAVE: 126.686.406-79"</f>
        <v>Serv.Prest. 08/09/2025 a 14/09/2025 - PIX: CPF - CHAVE: 126.686.406-79</v>
      </c>
      <c r="I2818" t="str">
        <f t="shared" si="499"/>
        <v>18/09/2025</v>
      </c>
      <c r="J2818" t="str">
        <f t="shared" si="503"/>
        <v>15/09/2025</v>
      </c>
      <c r="K2818" t="str">
        <f>("18/09/2025")</f>
        <v>18/09/2025</v>
      </c>
      <c r="L2818">
        <v>900</v>
      </c>
      <c r="M2818">
        <v>900</v>
      </c>
      <c r="N2818">
        <v>109</v>
      </c>
      <c r="O2818" t="str">
        <f>"PAGAMENTO DE ENTREGADORES"</f>
        <v>PAGAMENTO DE ENTREGADORES</v>
      </c>
      <c r="P2818">
        <v>900</v>
      </c>
      <c r="S2818" t="str">
        <f>"BANCO C6 (149)"</f>
        <v>BANCO C6 (149)</v>
      </c>
      <c r="T2818">
        <v>18474</v>
      </c>
      <c r="U2818">
        <v>21977</v>
      </c>
      <c r="V2818" t="s">
        <v>77</v>
      </c>
    </row>
    <row r="2819" spans="1:22">
      <c r="A2819" t="str">
        <f t="shared" si="497"/>
        <v>18/09/2025</v>
      </c>
      <c r="B2819" t="str">
        <f t="shared" si="496"/>
        <v>SAÍDA</v>
      </c>
      <c r="C2819" t="str">
        <f t="shared" si="498"/>
        <v>PIX</v>
      </c>
      <c r="D2819" t="str">
        <f>"21977"</f>
        <v>21977</v>
      </c>
      <c r="E2819" t="str">
        <f t="shared" si="500"/>
        <v>1</v>
      </c>
      <c r="F2819" t="str">
        <f t="shared" si="502"/>
        <v>COM</v>
      </c>
      <c r="G2819" t="str">
        <f>"TALES SILVA MARIANO (431)"</f>
        <v>TALES SILVA MARIANO (431)</v>
      </c>
      <c r="H2819" t="s">
        <v>765</v>
      </c>
      <c r="I2819" t="str">
        <f t="shared" si="499"/>
        <v>18/09/2025</v>
      </c>
      <c r="J2819" t="str">
        <f t="shared" si="503"/>
        <v>15/09/2025</v>
      </c>
      <c r="K2819">
        <v>45918</v>
      </c>
      <c r="N2819">
        <v>109</v>
      </c>
      <c r="O2819" t="s">
        <v>24</v>
      </c>
      <c r="Q2819">
        <v>900</v>
      </c>
      <c r="R2819" t="str">
        <f>"PAGMENOS - LJ 608 (10135)"</f>
        <v>PAGMENOS - LJ 608 (10135)</v>
      </c>
      <c r="S2819" t="s">
        <v>77</v>
      </c>
      <c r="T2819">
        <v>18474</v>
      </c>
      <c r="U2819">
        <v>21977</v>
      </c>
      <c r="V2819" t="s">
        <v>77</v>
      </c>
    </row>
    <row r="2820" spans="1:22">
      <c r="A2820" t="str">
        <f t="shared" si="497"/>
        <v>18/09/2025</v>
      </c>
      <c r="B2820" t="str">
        <f t="shared" si="496"/>
        <v>SAÍDA</v>
      </c>
      <c r="C2820" t="str">
        <f t="shared" si="498"/>
        <v>PIX</v>
      </c>
      <c r="D2820" t="str">
        <f>"21979"</f>
        <v>21979</v>
      </c>
      <c r="E2820" t="str">
        <f t="shared" si="500"/>
        <v>1</v>
      </c>
      <c r="F2820" t="str">
        <f t="shared" si="502"/>
        <v>COM</v>
      </c>
      <c r="G2820" t="str">
        <f>"WILIANA RODRIGUES E RODRIGUES (398)"</f>
        <v>WILIANA RODRIGUES E RODRIGUES (398)</v>
      </c>
      <c r="H2820" t="str">
        <f>"Serv.Prest. 08/09/2025 a 14/09/2025 - PIX: CPF - CHAVE: 016.203.336-27"</f>
        <v>Serv.Prest. 08/09/2025 a 14/09/2025 - PIX: CPF - CHAVE: 016.203.336-27</v>
      </c>
      <c r="I2820" t="str">
        <f t="shared" si="499"/>
        <v>18/09/2025</v>
      </c>
      <c r="J2820" t="str">
        <f t="shared" si="503"/>
        <v>15/09/2025</v>
      </c>
      <c r="K2820" t="str">
        <f>("18/09/2025")</f>
        <v>18/09/2025</v>
      </c>
      <c r="L2820">
        <v>1200</v>
      </c>
      <c r="M2820">
        <v>1200</v>
      </c>
      <c r="N2820">
        <v>109</v>
      </c>
      <c r="O2820" t="str">
        <f>"PAGAMENTO DE ENTREGADORES"</f>
        <v>PAGAMENTO DE ENTREGADORES</v>
      </c>
      <c r="P2820">
        <v>1200</v>
      </c>
      <c r="S2820" t="str">
        <f>"BANCO C6 (149)"</f>
        <v>BANCO C6 (149)</v>
      </c>
      <c r="T2820">
        <v>18475</v>
      </c>
      <c r="U2820">
        <v>21979</v>
      </c>
      <c r="V2820" t="s">
        <v>77</v>
      </c>
    </row>
    <row r="2821" spans="1:22">
      <c r="A2821" t="str">
        <f t="shared" si="497"/>
        <v>18/09/2025</v>
      </c>
      <c r="B2821" t="str">
        <f t="shared" ref="B2821:B2884" si="504">"SAÍDA"</f>
        <v>SAÍDA</v>
      </c>
      <c r="C2821" t="str">
        <f t="shared" si="498"/>
        <v>PIX</v>
      </c>
      <c r="D2821" t="str">
        <f>"21979"</f>
        <v>21979</v>
      </c>
      <c r="E2821" t="str">
        <f t="shared" si="500"/>
        <v>1</v>
      </c>
      <c r="F2821" t="str">
        <f t="shared" si="502"/>
        <v>COM</v>
      </c>
      <c r="G2821" t="str">
        <f>"WILIANA RODRIGUES E RODRIGUES (398)"</f>
        <v>WILIANA RODRIGUES E RODRIGUES (398)</v>
      </c>
      <c r="H2821" t="s">
        <v>766</v>
      </c>
      <c r="I2821" t="str">
        <f t="shared" si="499"/>
        <v>18/09/2025</v>
      </c>
      <c r="J2821" t="str">
        <f t="shared" si="503"/>
        <v>15/09/2025</v>
      </c>
      <c r="K2821">
        <v>45918</v>
      </c>
      <c r="N2821">
        <v>109</v>
      </c>
      <c r="O2821" t="s">
        <v>24</v>
      </c>
      <c r="Q2821">
        <v>1200</v>
      </c>
      <c r="R2821" t="str">
        <f>"PAGMENOS - LJ 657 (10136)"</f>
        <v>PAGMENOS - LJ 657 (10136)</v>
      </c>
      <c r="S2821" t="s">
        <v>77</v>
      </c>
      <c r="T2821">
        <v>18475</v>
      </c>
      <c r="U2821">
        <v>21979</v>
      </c>
      <c r="V2821" t="s">
        <v>77</v>
      </c>
    </row>
    <row r="2822" spans="1:22">
      <c r="A2822" t="str">
        <f t="shared" si="497"/>
        <v>18/09/2025</v>
      </c>
      <c r="B2822" t="str">
        <f t="shared" si="504"/>
        <v>SAÍDA</v>
      </c>
      <c r="C2822" t="str">
        <f t="shared" si="498"/>
        <v>PIX</v>
      </c>
      <c r="D2822" t="str">
        <f>"21982"</f>
        <v>21982</v>
      </c>
      <c r="E2822" t="str">
        <f t="shared" si="500"/>
        <v>1</v>
      </c>
      <c r="F2822" t="str">
        <f t="shared" si="502"/>
        <v>COM</v>
      </c>
      <c r="G2822" t="str">
        <f>"CLAUDIO DOS SANTOS (507)"</f>
        <v>CLAUDIO DOS SANTOS (507)</v>
      </c>
      <c r="H2822" t="str">
        <f>"Serv.Prest. 08/09/2025 a 14/09/2025 - PIX: E-MAIL - CHAVE: claudioverdinho2009@hotmail.com"</f>
        <v>Serv.Prest. 08/09/2025 a 14/09/2025 - PIX: E-MAIL - CHAVE: claudioverdinho2009@hotmail.com</v>
      </c>
      <c r="I2822" t="str">
        <f t="shared" si="499"/>
        <v>18/09/2025</v>
      </c>
      <c r="J2822" t="str">
        <f t="shared" si="503"/>
        <v>15/09/2025</v>
      </c>
      <c r="K2822" t="str">
        <f>("18/09/2025")</f>
        <v>18/09/2025</v>
      </c>
      <c r="L2822">
        <v>107</v>
      </c>
      <c r="M2822">
        <v>107</v>
      </c>
      <c r="N2822">
        <v>109</v>
      </c>
      <c r="O2822" t="str">
        <f>"PAGAMENTO DE ENTREGADORES"</f>
        <v>PAGAMENTO DE ENTREGADORES</v>
      </c>
      <c r="P2822">
        <v>107</v>
      </c>
      <c r="S2822" t="str">
        <f>"BANCO C6 (149)"</f>
        <v>BANCO C6 (149)</v>
      </c>
      <c r="T2822">
        <v>18476</v>
      </c>
      <c r="U2822">
        <v>21982</v>
      </c>
      <c r="V2822" t="s">
        <v>77</v>
      </c>
    </row>
    <row r="2823" spans="1:22">
      <c r="A2823" t="str">
        <f t="shared" si="497"/>
        <v>18/09/2025</v>
      </c>
      <c r="B2823" t="str">
        <f t="shared" si="504"/>
        <v>SAÍDA</v>
      </c>
      <c r="C2823" t="str">
        <f t="shared" si="498"/>
        <v>PIX</v>
      </c>
      <c r="D2823" t="str">
        <f>"21982"</f>
        <v>21982</v>
      </c>
      <c r="E2823" t="str">
        <f t="shared" si="500"/>
        <v>1</v>
      </c>
      <c r="F2823" t="str">
        <f t="shared" si="502"/>
        <v>COM</v>
      </c>
      <c r="G2823" t="str">
        <f>"CLAUDIO DOS SANTOS (507)"</f>
        <v>CLAUDIO DOS SANTOS (507)</v>
      </c>
      <c r="H2823" t="s">
        <v>767</v>
      </c>
      <c r="I2823" t="str">
        <f t="shared" si="499"/>
        <v>18/09/2025</v>
      </c>
      <c r="J2823" t="str">
        <f t="shared" si="503"/>
        <v>15/09/2025</v>
      </c>
      <c r="K2823">
        <v>45918</v>
      </c>
      <c r="N2823">
        <v>109</v>
      </c>
      <c r="O2823" t="s">
        <v>24</v>
      </c>
      <c r="Q2823">
        <v>107</v>
      </c>
      <c r="R2823" t="str">
        <f>"JAL FARMACIA E DROGARIA LJ 2 (10138)"</f>
        <v>JAL FARMACIA E DROGARIA LJ 2 (10138)</v>
      </c>
      <c r="S2823" t="s">
        <v>77</v>
      </c>
      <c r="T2823">
        <v>18476</v>
      </c>
      <c r="U2823">
        <v>21982</v>
      </c>
      <c r="V2823" t="s">
        <v>77</v>
      </c>
    </row>
    <row r="2824" spans="1:22">
      <c r="A2824" t="str">
        <f t="shared" si="497"/>
        <v>18/09/2025</v>
      </c>
      <c r="B2824" t="str">
        <f t="shared" si="504"/>
        <v>SAÍDA</v>
      </c>
      <c r="C2824" t="str">
        <f t="shared" si="498"/>
        <v>PIX</v>
      </c>
      <c r="D2824" t="str">
        <f>"21983"</f>
        <v>21983</v>
      </c>
      <c r="E2824" t="str">
        <f t="shared" si="500"/>
        <v>1</v>
      </c>
      <c r="F2824" t="str">
        <f t="shared" si="502"/>
        <v>COM</v>
      </c>
      <c r="G2824" t="str">
        <f>"HECTOR LUIS YANEZ QUEZADA (718)"</f>
        <v>HECTOR LUIS YANEZ QUEZADA (718)</v>
      </c>
      <c r="H2824" t="str">
        <f>"Serv.Prest. 08/09/2025 a 14/09/2025 - PIX: CELULAR - CHAVE: (41) 98421-2278"</f>
        <v>Serv.Prest. 08/09/2025 a 14/09/2025 - PIX: CELULAR - CHAVE: (41) 98421-2278</v>
      </c>
      <c r="I2824" t="str">
        <f t="shared" si="499"/>
        <v>18/09/2025</v>
      </c>
      <c r="J2824" t="str">
        <f t="shared" si="503"/>
        <v>15/09/2025</v>
      </c>
      <c r="K2824" t="str">
        <f>("18/09/2025")</f>
        <v>18/09/2025</v>
      </c>
      <c r="L2824">
        <v>541</v>
      </c>
      <c r="M2824">
        <v>541</v>
      </c>
      <c r="N2824">
        <v>109</v>
      </c>
      <c r="O2824" t="str">
        <f>"PAGAMENTO DE ENTREGADORES"</f>
        <v>PAGAMENTO DE ENTREGADORES</v>
      </c>
      <c r="P2824">
        <v>541</v>
      </c>
      <c r="S2824" t="str">
        <f>"BANCO C6 (149)"</f>
        <v>BANCO C6 (149)</v>
      </c>
      <c r="T2824">
        <v>18477</v>
      </c>
      <c r="U2824">
        <v>21983</v>
      </c>
      <c r="V2824" t="s">
        <v>77</v>
      </c>
    </row>
    <row r="2825" spans="1:22">
      <c r="A2825" t="str">
        <f t="shared" si="497"/>
        <v>18/09/2025</v>
      </c>
      <c r="B2825" t="str">
        <f t="shared" si="504"/>
        <v>SAÍDA</v>
      </c>
      <c r="C2825" t="str">
        <f t="shared" si="498"/>
        <v>PIX</v>
      </c>
      <c r="D2825" t="str">
        <f>"21983"</f>
        <v>21983</v>
      </c>
      <c r="E2825" t="str">
        <f t="shared" si="500"/>
        <v>1</v>
      </c>
      <c r="F2825" t="str">
        <f t="shared" si="502"/>
        <v>COM</v>
      </c>
      <c r="G2825" t="str">
        <f>"HECTOR LUIS YANEZ QUEZADA (718)"</f>
        <v>HECTOR LUIS YANEZ QUEZADA (718)</v>
      </c>
      <c r="H2825" t="s">
        <v>768</v>
      </c>
      <c r="I2825" t="str">
        <f t="shared" si="499"/>
        <v>18/09/2025</v>
      </c>
      <c r="J2825" t="str">
        <f t="shared" si="503"/>
        <v>15/09/2025</v>
      </c>
      <c r="K2825">
        <v>45918</v>
      </c>
      <c r="N2825">
        <v>109</v>
      </c>
      <c r="O2825" t="s">
        <v>24</v>
      </c>
      <c r="Q2825">
        <v>541</v>
      </c>
      <c r="R2825" t="str">
        <f>"JAL FARMACIA E DROGARIA LJ 2 (10138)"</f>
        <v>JAL FARMACIA E DROGARIA LJ 2 (10138)</v>
      </c>
      <c r="S2825" t="s">
        <v>77</v>
      </c>
      <c r="T2825">
        <v>18477</v>
      </c>
      <c r="U2825">
        <v>21983</v>
      </c>
      <c r="V2825" t="s">
        <v>77</v>
      </c>
    </row>
    <row r="2826" spans="1:22">
      <c r="A2826" t="str">
        <f t="shared" si="497"/>
        <v>18/09/2025</v>
      </c>
      <c r="B2826" t="str">
        <f t="shared" si="504"/>
        <v>SAÍDA</v>
      </c>
      <c r="C2826" t="str">
        <f t="shared" si="498"/>
        <v>PIX</v>
      </c>
      <c r="D2826" t="str">
        <f>"21984"</f>
        <v>21984</v>
      </c>
      <c r="E2826" t="str">
        <f t="shared" si="500"/>
        <v>1</v>
      </c>
      <c r="F2826" t="str">
        <f t="shared" si="502"/>
        <v>COM</v>
      </c>
      <c r="G2826" t="str">
        <f>"JESSICA BRAHOLKA (837)"</f>
        <v>JESSICA BRAHOLKA (837)</v>
      </c>
      <c r="H2826" t="str">
        <f>"Serv.Prest. 08/09/2025 a 14/09/2025 - PIX: CPF - CHAVE: 124.575.099-20"</f>
        <v>Serv.Prest. 08/09/2025 a 14/09/2025 - PIX: CPF - CHAVE: 124.575.099-20</v>
      </c>
      <c r="I2826" t="str">
        <f t="shared" si="499"/>
        <v>18/09/2025</v>
      </c>
      <c r="J2826" t="str">
        <f t="shared" si="503"/>
        <v>15/09/2025</v>
      </c>
      <c r="K2826" t="str">
        <f>("18/09/2025")</f>
        <v>18/09/2025</v>
      </c>
      <c r="L2826">
        <v>616</v>
      </c>
      <c r="M2826">
        <v>616</v>
      </c>
      <c r="N2826">
        <v>109</v>
      </c>
      <c r="O2826" t="str">
        <f>"PAGAMENTO DE ENTREGADORES"</f>
        <v>PAGAMENTO DE ENTREGADORES</v>
      </c>
      <c r="P2826">
        <v>616</v>
      </c>
      <c r="S2826" t="str">
        <f>"BANCO C6 (149)"</f>
        <v>BANCO C6 (149)</v>
      </c>
      <c r="T2826">
        <v>18478</v>
      </c>
      <c r="U2826">
        <v>21984</v>
      </c>
      <c r="V2826" t="s">
        <v>77</v>
      </c>
    </row>
    <row r="2827" spans="1:22">
      <c r="A2827" t="str">
        <f t="shared" si="497"/>
        <v>18/09/2025</v>
      </c>
      <c r="B2827" t="str">
        <f t="shared" si="504"/>
        <v>SAÍDA</v>
      </c>
      <c r="C2827" t="str">
        <f t="shared" si="498"/>
        <v>PIX</v>
      </c>
      <c r="D2827" t="str">
        <f>"21984"</f>
        <v>21984</v>
      </c>
      <c r="E2827" t="str">
        <f t="shared" si="500"/>
        <v>1</v>
      </c>
      <c r="F2827" t="str">
        <f t="shared" si="502"/>
        <v>COM</v>
      </c>
      <c r="G2827" t="str">
        <f>"JESSICA BRAHOLKA (837)"</f>
        <v>JESSICA BRAHOLKA (837)</v>
      </c>
      <c r="H2827" t="s">
        <v>769</v>
      </c>
      <c r="I2827" t="str">
        <f t="shared" si="499"/>
        <v>18/09/2025</v>
      </c>
      <c r="J2827" t="str">
        <f t="shared" si="503"/>
        <v>15/09/2025</v>
      </c>
      <c r="K2827">
        <v>45918</v>
      </c>
      <c r="N2827">
        <v>109</v>
      </c>
      <c r="O2827" t="s">
        <v>24</v>
      </c>
      <c r="Q2827">
        <v>616</v>
      </c>
      <c r="R2827" t="str">
        <f>"JAL FARMACIA E DROGARIA LJ 2 (10138)"</f>
        <v>JAL FARMACIA E DROGARIA LJ 2 (10138)</v>
      </c>
      <c r="S2827" t="s">
        <v>77</v>
      </c>
      <c r="T2827">
        <v>18478</v>
      </c>
      <c r="U2827">
        <v>21984</v>
      </c>
      <c r="V2827" t="s">
        <v>77</v>
      </c>
    </row>
    <row r="2828" spans="1:22">
      <c r="A2828" t="str">
        <f t="shared" si="497"/>
        <v>18/09/2025</v>
      </c>
      <c r="B2828" t="str">
        <f t="shared" si="504"/>
        <v>SAÍDA</v>
      </c>
      <c r="C2828" t="str">
        <f t="shared" si="498"/>
        <v>PIX</v>
      </c>
      <c r="D2828" t="str">
        <f>"21986"</f>
        <v>21986</v>
      </c>
      <c r="E2828" t="str">
        <f t="shared" si="500"/>
        <v>1</v>
      </c>
      <c r="F2828" t="str">
        <f t="shared" si="502"/>
        <v>COM</v>
      </c>
      <c r="G2828" t="str">
        <f>"CLAUDIO DOS SANTOS (507)"</f>
        <v>CLAUDIO DOS SANTOS (507)</v>
      </c>
      <c r="H2828" t="str">
        <f>"Serv.Prest. 08/09/2025 a 14/09/2025 - PIX: E-MAIL - CHAVE: claudioverdinho2009@hotmail.com"</f>
        <v>Serv.Prest. 08/09/2025 a 14/09/2025 - PIX: E-MAIL - CHAVE: claudioverdinho2009@hotmail.com</v>
      </c>
      <c r="I2828" t="str">
        <f t="shared" si="499"/>
        <v>18/09/2025</v>
      </c>
      <c r="J2828" t="str">
        <f t="shared" si="503"/>
        <v>15/09/2025</v>
      </c>
      <c r="K2828" t="str">
        <f>("18/09/2025")</f>
        <v>18/09/2025</v>
      </c>
      <c r="L2828">
        <v>1204</v>
      </c>
      <c r="M2828">
        <v>1204</v>
      </c>
      <c r="N2828">
        <v>109</v>
      </c>
      <c r="O2828" t="str">
        <f>"PAGAMENTO DE ENTREGADORES"</f>
        <v>PAGAMENTO DE ENTREGADORES</v>
      </c>
      <c r="P2828">
        <v>1204</v>
      </c>
      <c r="S2828" t="str">
        <f>"BANCO C6 (149)"</f>
        <v>BANCO C6 (149)</v>
      </c>
      <c r="T2828">
        <v>18479</v>
      </c>
      <c r="U2828">
        <v>21986</v>
      </c>
      <c r="V2828" t="s">
        <v>77</v>
      </c>
    </row>
    <row r="2829" spans="1:22">
      <c r="A2829" t="str">
        <f t="shared" si="497"/>
        <v>18/09/2025</v>
      </c>
      <c r="B2829" t="str">
        <f t="shared" si="504"/>
        <v>SAÍDA</v>
      </c>
      <c r="C2829" t="str">
        <f t="shared" si="498"/>
        <v>PIX</v>
      </c>
      <c r="D2829" t="str">
        <f>"21986"</f>
        <v>21986</v>
      </c>
      <c r="E2829" t="str">
        <f t="shared" si="500"/>
        <v>1</v>
      </c>
      <c r="F2829" t="str">
        <f t="shared" si="502"/>
        <v>COM</v>
      </c>
      <c r="G2829" t="str">
        <f>"CLAUDIO DOS SANTOS (507)"</f>
        <v>CLAUDIO DOS SANTOS (507)</v>
      </c>
      <c r="H2829" t="s">
        <v>767</v>
      </c>
      <c r="I2829" t="str">
        <f t="shared" si="499"/>
        <v>18/09/2025</v>
      </c>
      <c r="J2829" t="str">
        <f t="shared" si="503"/>
        <v>15/09/2025</v>
      </c>
      <c r="K2829">
        <v>45918</v>
      </c>
      <c r="N2829">
        <v>109</v>
      </c>
      <c r="O2829" t="s">
        <v>24</v>
      </c>
      <c r="Q2829">
        <v>1204</v>
      </c>
      <c r="R2829" t="str">
        <f>"JAL FARMACIA E DROGARIA LJ 1 (10137)"</f>
        <v>JAL FARMACIA E DROGARIA LJ 1 (10137)</v>
      </c>
      <c r="S2829" t="s">
        <v>77</v>
      </c>
      <c r="T2829">
        <v>18479</v>
      </c>
      <c r="U2829">
        <v>21986</v>
      </c>
      <c r="V2829" t="s">
        <v>77</v>
      </c>
    </row>
    <row r="2830" spans="1:22">
      <c r="A2830" t="str">
        <f t="shared" si="497"/>
        <v>18/09/2025</v>
      </c>
      <c r="B2830" t="str">
        <f t="shared" si="504"/>
        <v>SAÍDA</v>
      </c>
      <c r="C2830" t="str">
        <f t="shared" si="498"/>
        <v>PIX</v>
      </c>
      <c r="D2830" t="str">
        <f>"21987"</f>
        <v>21987</v>
      </c>
      <c r="E2830" t="str">
        <f t="shared" si="500"/>
        <v>1</v>
      </c>
      <c r="F2830" t="str">
        <f t="shared" si="502"/>
        <v>COM</v>
      </c>
      <c r="G2830" t="str">
        <f>"HECTOR LUIS YANEZ QUEZADA (718)"</f>
        <v>HECTOR LUIS YANEZ QUEZADA (718)</v>
      </c>
      <c r="H2830" t="str">
        <f>"Serv.Prest. 08/09/2025 a 14/09/2025 - PIX: CELULAR - CHAVE: (41) 98421-2278"</f>
        <v>Serv.Prest. 08/09/2025 a 14/09/2025 - PIX: CELULAR - CHAVE: (41) 98421-2278</v>
      </c>
      <c r="I2830" t="str">
        <f t="shared" si="499"/>
        <v>18/09/2025</v>
      </c>
      <c r="J2830" t="str">
        <f t="shared" si="503"/>
        <v>15/09/2025</v>
      </c>
      <c r="K2830" t="str">
        <f>("18/09/2025")</f>
        <v>18/09/2025</v>
      </c>
      <c r="L2830">
        <v>259</v>
      </c>
      <c r="M2830">
        <v>259</v>
      </c>
      <c r="N2830">
        <v>109</v>
      </c>
      <c r="O2830" t="str">
        <f>"PAGAMENTO DE ENTREGADORES"</f>
        <v>PAGAMENTO DE ENTREGADORES</v>
      </c>
      <c r="P2830">
        <v>259</v>
      </c>
      <c r="S2830" t="str">
        <f>"BANCO C6 (149)"</f>
        <v>BANCO C6 (149)</v>
      </c>
      <c r="T2830">
        <v>18480</v>
      </c>
      <c r="U2830">
        <v>21987</v>
      </c>
      <c r="V2830" t="s">
        <v>77</v>
      </c>
    </row>
    <row r="2831" spans="1:22">
      <c r="A2831" t="str">
        <f t="shared" si="497"/>
        <v>18/09/2025</v>
      </c>
      <c r="B2831" t="str">
        <f t="shared" si="504"/>
        <v>SAÍDA</v>
      </c>
      <c r="C2831" t="str">
        <f t="shared" si="498"/>
        <v>PIX</v>
      </c>
      <c r="D2831" t="str">
        <f>"21987"</f>
        <v>21987</v>
      </c>
      <c r="E2831" t="str">
        <f t="shared" si="500"/>
        <v>1</v>
      </c>
      <c r="F2831" t="str">
        <f t="shared" si="502"/>
        <v>COM</v>
      </c>
      <c r="G2831" t="str">
        <f>"HECTOR LUIS YANEZ QUEZADA (718)"</f>
        <v>HECTOR LUIS YANEZ QUEZADA (718)</v>
      </c>
      <c r="H2831" t="s">
        <v>768</v>
      </c>
      <c r="I2831" t="str">
        <f t="shared" si="499"/>
        <v>18/09/2025</v>
      </c>
      <c r="J2831" t="str">
        <f t="shared" si="503"/>
        <v>15/09/2025</v>
      </c>
      <c r="K2831">
        <v>45918</v>
      </c>
      <c r="N2831">
        <v>109</v>
      </c>
      <c r="O2831" t="s">
        <v>24</v>
      </c>
      <c r="Q2831">
        <v>259</v>
      </c>
      <c r="R2831" t="str">
        <f>"JAL FARMACIA E DROGARIA LJ 1 (10137)"</f>
        <v>JAL FARMACIA E DROGARIA LJ 1 (10137)</v>
      </c>
      <c r="S2831" t="s">
        <v>77</v>
      </c>
      <c r="T2831">
        <v>18480</v>
      </c>
      <c r="U2831">
        <v>21987</v>
      </c>
      <c r="V2831" t="s">
        <v>77</v>
      </c>
    </row>
    <row r="2832" spans="1:22">
      <c r="A2832" t="str">
        <f t="shared" si="497"/>
        <v>18/09/2025</v>
      </c>
      <c r="B2832" t="str">
        <f t="shared" si="504"/>
        <v>SAÍDA</v>
      </c>
      <c r="C2832" t="str">
        <f t="shared" si="498"/>
        <v>PIX</v>
      </c>
      <c r="D2832" t="str">
        <f>"21988"</f>
        <v>21988</v>
      </c>
      <c r="E2832" t="str">
        <f t="shared" si="500"/>
        <v>1</v>
      </c>
      <c r="F2832" t="str">
        <f t="shared" si="502"/>
        <v>COM</v>
      </c>
      <c r="G2832" t="str">
        <f>"JESSICA BRAHOLKA (837)"</f>
        <v>JESSICA BRAHOLKA (837)</v>
      </c>
      <c r="H2832" t="str">
        <f>"Serv.Prest. 08/09/2025 a 14/09/2025 - PIX: CPF - CHAVE: 124.575.099-20"</f>
        <v>Serv.Prest. 08/09/2025 a 14/09/2025 - PIX: CPF - CHAVE: 124.575.099-20</v>
      </c>
      <c r="I2832" t="str">
        <f t="shared" si="499"/>
        <v>18/09/2025</v>
      </c>
      <c r="J2832" t="str">
        <f t="shared" si="503"/>
        <v>15/09/2025</v>
      </c>
      <c r="K2832" t="str">
        <f>("18/09/2025")</f>
        <v>18/09/2025</v>
      </c>
      <c r="L2832">
        <v>548</v>
      </c>
      <c r="M2832">
        <v>548</v>
      </c>
      <c r="N2832">
        <v>109</v>
      </c>
      <c r="O2832" t="str">
        <f>"PAGAMENTO DE ENTREGADORES"</f>
        <v>PAGAMENTO DE ENTREGADORES</v>
      </c>
      <c r="P2832">
        <v>548</v>
      </c>
      <c r="S2832" t="str">
        <f>"BANCO C6 (149)"</f>
        <v>BANCO C6 (149)</v>
      </c>
      <c r="T2832">
        <v>18481</v>
      </c>
      <c r="U2832">
        <v>21988</v>
      </c>
      <c r="V2832" t="s">
        <v>77</v>
      </c>
    </row>
    <row r="2833" spans="1:22">
      <c r="A2833" t="str">
        <f t="shared" si="497"/>
        <v>18/09/2025</v>
      </c>
      <c r="B2833" t="str">
        <f t="shared" si="504"/>
        <v>SAÍDA</v>
      </c>
      <c r="C2833" t="str">
        <f t="shared" si="498"/>
        <v>PIX</v>
      </c>
      <c r="D2833" t="str">
        <f>"21988"</f>
        <v>21988</v>
      </c>
      <c r="E2833" t="str">
        <f t="shared" si="500"/>
        <v>1</v>
      </c>
      <c r="F2833" t="str">
        <f t="shared" si="502"/>
        <v>COM</v>
      </c>
      <c r="G2833" t="str">
        <f>"JESSICA BRAHOLKA (837)"</f>
        <v>JESSICA BRAHOLKA (837)</v>
      </c>
      <c r="H2833" t="s">
        <v>769</v>
      </c>
      <c r="I2833" t="str">
        <f t="shared" si="499"/>
        <v>18/09/2025</v>
      </c>
      <c r="J2833" t="str">
        <f t="shared" si="503"/>
        <v>15/09/2025</v>
      </c>
      <c r="K2833">
        <v>45918</v>
      </c>
      <c r="N2833">
        <v>109</v>
      </c>
      <c r="O2833" t="s">
        <v>24</v>
      </c>
      <c r="Q2833">
        <v>548</v>
      </c>
      <c r="R2833" t="str">
        <f>"JAL FARMACIA E DROGARIA LJ 1 (10137)"</f>
        <v>JAL FARMACIA E DROGARIA LJ 1 (10137)</v>
      </c>
      <c r="S2833" t="s">
        <v>77</v>
      </c>
      <c r="T2833">
        <v>18481</v>
      </c>
      <c r="U2833">
        <v>21988</v>
      </c>
      <c r="V2833" t="s">
        <v>77</v>
      </c>
    </row>
    <row r="2834" spans="1:22">
      <c r="A2834" t="str">
        <f t="shared" si="497"/>
        <v>18/09/2025</v>
      </c>
      <c r="B2834" t="str">
        <f t="shared" si="504"/>
        <v>SAÍDA</v>
      </c>
      <c r="C2834" t="str">
        <f t="shared" si="498"/>
        <v>PIX</v>
      </c>
      <c r="D2834" t="str">
        <f>"21990"</f>
        <v>21990</v>
      </c>
      <c r="E2834" t="str">
        <f t="shared" si="500"/>
        <v>1</v>
      </c>
      <c r="F2834" t="str">
        <f t="shared" si="502"/>
        <v>COM</v>
      </c>
      <c r="G2834" t="str">
        <f>"ISAEL SANTOS ROSA (642)"</f>
        <v>ISAEL SANTOS ROSA (642)</v>
      </c>
      <c r="H2834" t="str">
        <f>"Serv.Prest. 08/09/2025 a 14/09/2025 - PIX: CELULAR - CHAVE: (31) 99376-7989"</f>
        <v>Serv.Prest. 08/09/2025 a 14/09/2025 - PIX: CELULAR - CHAVE: (31) 99376-7989</v>
      </c>
      <c r="I2834" t="str">
        <f t="shared" si="499"/>
        <v>18/09/2025</v>
      </c>
      <c r="J2834" t="str">
        <f t="shared" si="503"/>
        <v>15/09/2025</v>
      </c>
      <c r="K2834" t="str">
        <f>("18/09/2025")</f>
        <v>18/09/2025</v>
      </c>
      <c r="L2834">
        <v>1400</v>
      </c>
      <c r="M2834">
        <v>1400</v>
      </c>
      <c r="N2834">
        <v>109</v>
      </c>
      <c r="O2834" t="str">
        <f>"PAGAMENTO DE ENTREGADORES"</f>
        <v>PAGAMENTO DE ENTREGADORES</v>
      </c>
      <c r="P2834">
        <v>1400</v>
      </c>
      <c r="S2834" t="str">
        <f>"BANCO C6 (149)"</f>
        <v>BANCO C6 (149)</v>
      </c>
      <c r="T2834">
        <v>18482</v>
      </c>
      <c r="U2834">
        <v>21990</v>
      </c>
      <c r="V2834" t="s">
        <v>77</v>
      </c>
    </row>
    <row r="2835" spans="1:22">
      <c r="A2835" t="str">
        <f t="shared" si="497"/>
        <v>18/09/2025</v>
      </c>
      <c r="B2835" t="str">
        <f t="shared" si="504"/>
        <v>SAÍDA</v>
      </c>
      <c r="C2835" t="str">
        <f t="shared" si="498"/>
        <v>PIX</v>
      </c>
      <c r="D2835" t="str">
        <f>"21990"</f>
        <v>21990</v>
      </c>
      <c r="E2835" t="str">
        <f t="shared" si="500"/>
        <v>1</v>
      </c>
      <c r="F2835" t="str">
        <f t="shared" si="502"/>
        <v>COM</v>
      </c>
      <c r="G2835" t="str">
        <f>"ISAEL SANTOS ROSA (642)"</f>
        <v>ISAEL SANTOS ROSA (642)</v>
      </c>
      <c r="H2835" t="s">
        <v>770</v>
      </c>
      <c r="I2835" t="str">
        <f t="shared" si="499"/>
        <v>18/09/2025</v>
      </c>
      <c r="J2835" t="str">
        <f t="shared" si="503"/>
        <v>15/09/2025</v>
      </c>
      <c r="K2835">
        <v>45918</v>
      </c>
      <c r="N2835">
        <v>109</v>
      </c>
      <c r="O2835" t="s">
        <v>24</v>
      </c>
      <c r="Q2835">
        <v>1400</v>
      </c>
      <c r="R2835" t="str">
        <f>"DROGARIA POUPA MINAS (ULTRAMINAS) 3 (10129)"</f>
        <v>DROGARIA POUPA MINAS (ULTRAMINAS) 3 (10129)</v>
      </c>
      <c r="S2835" t="s">
        <v>77</v>
      </c>
      <c r="T2835">
        <v>18482</v>
      </c>
      <c r="U2835">
        <v>21990</v>
      </c>
      <c r="V2835" t="s">
        <v>77</v>
      </c>
    </row>
    <row r="2836" spans="1:22">
      <c r="A2836" t="str">
        <f t="shared" si="497"/>
        <v>18/09/2025</v>
      </c>
      <c r="B2836" t="str">
        <f t="shared" si="504"/>
        <v>SAÍDA</v>
      </c>
      <c r="C2836" t="str">
        <f t="shared" si="498"/>
        <v>PIX</v>
      </c>
      <c r="D2836" t="str">
        <f>"22013"</f>
        <v>22013</v>
      </c>
      <c r="E2836" t="str">
        <f t="shared" si="500"/>
        <v>1</v>
      </c>
      <c r="F2836" t="str">
        <f t="shared" si="502"/>
        <v>COM</v>
      </c>
      <c r="G2836" t="str">
        <f>"BRENO HENRIQUE DE SOUSA (596)"</f>
        <v>BRENO HENRIQUE DE SOUSA (596)</v>
      </c>
      <c r="H2836" t="str">
        <f>"Serv.Prest. 08/09/2025 a 14/09/2025 - PIX: CELULAR - CHAVE: (37) 99146-2630"</f>
        <v>Serv.Prest. 08/09/2025 a 14/09/2025 - PIX: CELULAR - CHAVE: (37) 99146-2630</v>
      </c>
      <c r="I2836" t="str">
        <f t="shared" si="499"/>
        <v>18/09/2025</v>
      </c>
      <c r="J2836" t="str">
        <f t="shared" si="503"/>
        <v>15/09/2025</v>
      </c>
      <c r="K2836" t="str">
        <f>("18/09/2025")</f>
        <v>18/09/2025</v>
      </c>
      <c r="L2836">
        <v>966</v>
      </c>
      <c r="M2836">
        <v>966</v>
      </c>
      <c r="N2836">
        <v>109</v>
      </c>
      <c r="O2836" t="str">
        <f>"PAGAMENTO DE ENTREGADORES"</f>
        <v>PAGAMENTO DE ENTREGADORES</v>
      </c>
      <c r="P2836">
        <v>966</v>
      </c>
      <c r="S2836" t="str">
        <f>"BANCO C6 (149)"</f>
        <v>BANCO C6 (149)</v>
      </c>
      <c r="T2836">
        <v>18483</v>
      </c>
      <c r="U2836">
        <v>22013</v>
      </c>
      <c r="V2836" t="s">
        <v>77</v>
      </c>
    </row>
    <row r="2837" spans="1:22">
      <c r="A2837" t="str">
        <f t="shared" si="497"/>
        <v>18/09/2025</v>
      </c>
      <c r="B2837" t="str">
        <f t="shared" si="504"/>
        <v>SAÍDA</v>
      </c>
      <c r="C2837" t="str">
        <f t="shared" si="498"/>
        <v>PIX</v>
      </c>
      <c r="D2837" t="str">
        <f>"22013"</f>
        <v>22013</v>
      </c>
      <c r="E2837" t="str">
        <f t="shared" si="500"/>
        <v>1</v>
      </c>
      <c r="F2837" t="str">
        <f t="shared" si="502"/>
        <v>COM</v>
      </c>
      <c r="G2837" t="str">
        <f>"BRENO HENRIQUE DE SOUSA (596)"</f>
        <v>BRENO HENRIQUE DE SOUSA (596)</v>
      </c>
      <c r="H2837" t="s">
        <v>771</v>
      </c>
      <c r="I2837" t="str">
        <f t="shared" si="499"/>
        <v>18/09/2025</v>
      </c>
      <c r="J2837" t="str">
        <f t="shared" si="503"/>
        <v>15/09/2025</v>
      </c>
      <c r="K2837">
        <v>45918</v>
      </c>
      <c r="N2837">
        <v>109</v>
      </c>
      <c r="O2837" t="s">
        <v>24</v>
      </c>
      <c r="Q2837">
        <v>966</v>
      </c>
      <c r="R2837" t="str">
        <f>"DROGARIA POUPA MINAS (ULTRAMINAS) 1 (10181)"</f>
        <v>DROGARIA POUPA MINAS (ULTRAMINAS) 1 (10181)</v>
      </c>
      <c r="S2837" t="s">
        <v>77</v>
      </c>
      <c r="T2837">
        <v>18483</v>
      </c>
      <c r="U2837">
        <v>22013</v>
      </c>
      <c r="V2837" t="s">
        <v>77</v>
      </c>
    </row>
    <row r="2838" spans="1:22">
      <c r="A2838" t="str">
        <f t="shared" si="497"/>
        <v>18/09/2025</v>
      </c>
      <c r="B2838" t="str">
        <f t="shared" si="504"/>
        <v>SAÍDA</v>
      </c>
      <c r="C2838" t="str">
        <f t="shared" si="498"/>
        <v>PIX</v>
      </c>
      <c r="D2838" t="str">
        <f>"22014"</f>
        <v>22014</v>
      </c>
      <c r="E2838" t="str">
        <f t="shared" si="500"/>
        <v>1</v>
      </c>
      <c r="F2838" t="str">
        <f t="shared" si="502"/>
        <v>COM</v>
      </c>
      <c r="G2838" t="str">
        <f>"LUIZ PAULO DE OLIVEIRA (712)"</f>
        <v>LUIZ PAULO DE OLIVEIRA (712)</v>
      </c>
      <c r="H2838" t="str">
        <f>"Serv.Prest. 08/09/2025 a 14/09/2025 - PIX: CPF - CHAVE: 090.332.006-19"</f>
        <v>Serv.Prest. 08/09/2025 a 14/09/2025 - PIX: CPF - CHAVE: 090.332.006-19</v>
      </c>
      <c r="I2838" t="str">
        <f t="shared" si="499"/>
        <v>18/09/2025</v>
      </c>
      <c r="J2838" t="str">
        <f t="shared" si="503"/>
        <v>15/09/2025</v>
      </c>
      <c r="K2838" t="str">
        <f>("18/09/2025")</f>
        <v>18/09/2025</v>
      </c>
      <c r="L2838">
        <v>660</v>
      </c>
      <c r="M2838">
        <v>660</v>
      </c>
      <c r="N2838">
        <v>109</v>
      </c>
      <c r="O2838" t="str">
        <f>"PAGAMENTO DE ENTREGADORES"</f>
        <v>PAGAMENTO DE ENTREGADORES</v>
      </c>
      <c r="P2838">
        <v>660</v>
      </c>
      <c r="S2838" t="str">
        <f>"BANCO C6 (149)"</f>
        <v>BANCO C6 (149)</v>
      </c>
      <c r="T2838">
        <v>18484</v>
      </c>
      <c r="U2838">
        <v>22014</v>
      </c>
      <c r="V2838" t="s">
        <v>77</v>
      </c>
    </row>
    <row r="2839" spans="1:22">
      <c r="A2839" t="str">
        <f t="shared" si="497"/>
        <v>18/09/2025</v>
      </c>
      <c r="B2839" t="str">
        <f t="shared" si="504"/>
        <v>SAÍDA</v>
      </c>
      <c r="C2839" t="str">
        <f t="shared" si="498"/>
        <v>PIX</v>
      </c>
      <c r="D2839" t="str">
        <f>"22014"</f>
        <v>22014</v>
      </c>
      <c r="E2839" t="str">
        <f t="shared" si="500"/>
        <v>1</v>
      </c>
      <c r="F2839" t="str">
        <f t="shared" si="502"/>
        <v>COM</v>
      </c>
      <c r="G2839" t="str">
        <f>"LUIZ PAULO DE OLIVEIRA (712)"</f>
        <v>LUIZ PAULO DE OLIVEIRA (712)</v>
      </c>
      <c r="H2839" t="s">
        <v>772</v>
      </c>
      <c r="I2839" t="str">
        <f t="shared" si="499"/>
        <v>18/09/2025</v>
      </c>
      <c r="J2839" t="str">
        <f t="shared" si="503"/>
        <v>15/09/2025</v>
      </c>
      <c r="K2839">
        <v>45918</v>
      </c>
      <c r="N2839">
        <v>109</v>
      </c>
      <c r="O2839" t="s">
        <v>24</v>
      </c>
      <c r="Q2839">
        <v>660</v>
      </c>
      <c r="R2839" t="str">
        <f>"DROGARIA POUPA MINAS (ULTRAMINAS) 1 (10181)"</f>
        <v>DROGARIA POUPA MINAS (ULTRAMINAS) 1 (10181)</v>
      </c>
      <c r="S2839" t="s">
        <v>77</v>
      </c>
      <c r="T2839">
        <v>18484</v>
      </c>
      <c r="U2839">
        <v>22014</v>
      </c>
      <c r="V2839" t="s">
        <v>77</v>
      </c>
    </row>
    <row r="2840" spans="1:22">
      <c r="A2840" t="str">
        <f t="shared" si="497"/>
        <v>18/09/2025</v>
      </c>
      <c r="B2840" t="str">
        <f t="shared" si="504"/>
        <v>SAÍDA</v>
      </c>
      <c r="C2840" t="str">
        <f t="shared" si="498"/>
        <v>PIX</v>
      </c>
      <c r="D2840" t="str">
        <f>"22015"</f>
        <v>22015</v>
      </c>
      <c r="E2840" t="str">
        <f t="shared" si="500"/>
        <v>1</v>
      </c>
      <c r="F2840" t="str">
        <f t="shared" si="502"/>
        <v>COM</v>
      </c>
      <c r="G2840" t="str">
        <f>"RICHARD HENRIQUE DA SILVA (244)"</f>
        <v>RICHARD HENRIQUE DA SILVA (244)</v>
      </c>
      <c r="H2840" t="str">
        <f>"Serv.Prest. 08/09/2025 a 14/09/2025 - PIX: CELULAR - CHAVE: (37) 99197-6834"</f>
        <v>Serv.Prest. 08/09/2025 a 14/09/2025 - PIX: CELULAR - CHAVE: (37) 99197-6834</v>
      </c>
      <c r="I2840" t="str">
        <f t="shared" si="499"/>
        <v>18/09/2025</v>
      </c>
      <c r="J2840" t="str">
        <f t="shared" si="503"/>
        <v>15/09/2025</v>
      </c>
      <c r="K2840" t="str">
        <f>("18/09/2025")</f>
        <v>18/09/2025</v>
      </c>
      <c r="L2840">
        <v>1590</v>
      </c>
      <c r="M2840">
        <v>1590</v>
      </c>
      <c r="N2840">
        <v>109</v>
      </c>
      <c r="O2840" t="str">
        <f>"PAGAMENTO DE ENTREGADORES"</f>
        <v>PAGAMENTO DE ENTREGADORES</v>
      </c>
      <c r="P2840">
        <v>1590</v>
      </c>
      <c r="S2840" t="str">
        <f>"BANCO C6 (149)"</f>
        <v>BANCO C6 (149)</v>
      </c>
      <c r="T2840">
        <v>18485</v>
      </c>
      <c r="U2840">
        <v>22015</v>
      </c>
      <c r="V2840" t="s">
        <v>77</v>
      </c>
    </row>
    <row r="2841" spans="1:22">
      <c r="A2841" t="str">
        <f t="shared" ref="A2841:A2904" si="505">("18/09/2025")</f>
        <v>18/09/2025</v>
      </c>
      <c r="B2841" t="str">
        <f t="shared" si="504"/>
        <v>SAÍDA</v>
      </c>
      <c r="C2841" t="str">
        <f t="shared" ref="C2841:C2905" si="506">"PIX"</f>
        <v>PIX</v>
      </c>
      <c r="D2841" t="str">
        <f>"22015"</f>
        <v>22015</v>
      </c>
      <c r="E2841" t="str">
        <f t="shared" si="500"/>
        <v>1</v>
      </c>
      <c r="F2841" t="str">
        <f t="shared" si="502"/>
        <v>COM</v>
      </c>
      <c r="G2841" t="str">
        <f>"RICHARD HENRIQUE DA SILVA (244)"</f>
        <v>RICHARD HENRIQUE DA SILVA (244)</v>
      </c>
      <c r="H2841" t="s">
        <v>773</v>
      </c>
      <c r="I2841" t="str">
        <f t="shared" ref="I2841:I2903" si="507">("18/09/2025")</f>
        <v>18/09/2025</v>
      </c>
      <c r="J2841" t="str">
        <f t="shared" si="503"/>
        <v>15/09/2025</v>
      </c>
      <c r="K2841">
        <v>45918</v>
      </c>
      <c r="N2841">
        <v>109</v>
      </c>
      <c r="O2841" t="s">
        <v>24</v>
      </c>
      <c r="Q2841">
        <v>1590</v>
      </c>
      <c r="R2841" t="str">
        <f>"DROGARIA POUPA MINAS (ULTRAMINAS) 1 (10181)"</f>
        <v>DROGARIA POUPA MINAS (ULTRAMINAS) 1 (10181)</v>
      </c>
      <c r="S2841" t="s">
        <v>77</v>
      </c>
      <c r="T2841">
        <v>18485</v>
      </c>
      <c r="U2841">
        <v>22015</v>
      </c>
      <c r="V2841" t="s">
        <v>77</v>
      </c>
    </row>
    <row r="2842" spans="1:22">
      <c r="A2842" t="str">
        <f t="shared" si="505"/>
        <v>18/09/2025</v>
      </c>
      <c r="B2842" t="str">
        <f t="shared" si="504"/>
        <v>SAÍDA</v>
      </c>
      <c r="C2842" t="str">
        <f t="shared" si="506"/>
        <v>PIX</v>
      </c>
      <c r="D2842" t="str">
        <f>"22016"</f>
        <v>22016</v>
      </c>
      <c r="E2842" t="str">
        <f t="shared" si="500"/>
        <v>1</v>
      </c>
      <c r="F2842" t="str">
        <f t="shared" si="502"/>
        <v>COM</v>
      </c>
      <c r="G2842" t="str">
        <f>"ROGERIO AUGUSTO FERREIRA (649)"</f>
        <v>ROGERIO AUGUSTO FERREIRA (649)</v>
      </c>
      <c r="H2842" t="str">
        <f>"Serv.Prest. 08/09/2025 a 14/09/2025 - PIX: CPF - CHAVE: 950.176.406-06"</f>
        <v>Serv.Prest. 08/09/2025 a 14/09/2025 - PIX: CPF - CHAVE: 950.176.406-06</v>
      </c>
      <c r="I2842" t="str">
        <f t="shared" si="507"/>
        <v>18/09/2025</v>
      </c>
      <c r="J2842" t="str">
        <f t="shared" si="503"/>
        <v>15/09/2025</v>
      </c>
      <c r="K2842" t="str">
        <f>("18/09/2025")</f>
        <v>18/09/2025</v>
      </c>
      <c r="L2842">
        <v>720</v>
      </c>
      <c r="M2842">
        <v>720</v>
      </c>
      <c r="N2842">
        <v>109</v>
      </c>
      <c r="O2842" t="str">
        <f>"PAGAMENTO DE ENTREGADORES"</f>
        <v>PAGAMENTO DE ENTREGADORES</v>
      </c>
      <c r="P2842">
        <v>720</v>
      </c>
      <c r="S2842" t="str">
        <f>"BANCO C6 (149)"</f>
        <v>BANCO C6 (149)</v>
      </c>
      <c r="T2842">
        <v>18486</v>
      </c>
      <c r="U2842">
        <v>22016</v>
      </c>
      <c r="V2842" t="s">
        <v>77</v>
      </c>
    </row>
    <row r="2843" spans="1:22">
      <c r="A2843" t="str">
        <f t="shared" si="505"/>
        <v>18/09/2025</v>
      </c>
      <c r="B2843" t="str">
        <f t="shared" si="504"/>
        <v>SAÍDA</v>
      </c>
      <c r="C2843" t="str">
        <f t="shared" si="506"/>
        <v>PIX</v>
      </c>
      <c r="D2843" t="str">
        <f>"22016"</f>
        <v>22016</v>
      </c>
      <c r="E2843" t="str">
        <f t="shared" si="500"/>
        <v>1</v>
      </c>
      <c r="F2843" t="str">
        <f t="shared" si="502"/>
        <v>COM</v>
      </c>
      <c r="G2843" t="str">
        <f>"ROGERIO AUGUSTO FERREIRA (649)"</f>
        <v>ROGERIO AUGUSTO FERREIRA (649)</v>
      </c>
      <c r="H2843" t="s">
        <v>774</v>
      </c>
      <c r="I2843" t="str">
        <f t="shared" si="507"/>
        <v>18/09/2025</v>
      </c>
      <c r="J2843" t="str">
        <f t="shared" si="503"/>
        <v>15/09/2025</v>
      </c>
      <c r="K2843">
        <v>45918</v>
      </c>
      <c r="N2843">
        <v>109</v>
      </c>
      <c r="O2843" t="s">
        <v>24</v>
      </c>
      <c r="Q2843">
        <v>720</v>
      </c>
      <c r="R2843" t="str">
        <f>"DROGARIA POUPA MINAS (ULTRAMINAS) 1 (10181)"</f>
        <v>DROGARIA POUPA MINAS (ULTRAMINAS) 1 (10181)</v>
      </c>
      <c r="S2843" t="s">
        <v>77</v>
      </c>
      <c r="T2843">
        <v>18486</v>
      </c>
      <c r="U2843">
        <v>22016</v>
      </c>
      <c r="V2843" t="s">
        <v>77</v>
      </c>
    </row>
    <row r="2844" spans="1:22">
      <c r="A2844" t="str">
        <f t="shared" si="505"/>
        <v>18/09/2025</v>
      </c>
      <c r="B2844" t="str">
        <f t="shared" si="504"/>
        <v>SAÍDA</v>
      </c>
      <c r="C2844" t="str">
        <f t="shared" si="506"/>
        <v>PIX</v>
      </c>
      <c r="D2844" t="str">
        <f>"22017"</f>
        <v>22017</v>
      </c>
      <c r="E2844" t="str">
        <f t="shared" si="500"/>
        <v>1</v>
      </c>
      <c r="F2844" t="str">
        <f t="shared" si="502"/>
        <v>COM</v>
      </c>
      <c r="G2844" t="str">
        <f>"THALES VINÍCIUS RODRIGUES DE OLIVEIRA (704)"</f>
        <v>THALES VINÍCIUS RODRIGUES DE OLIVEIRA (704)</v>
      </c>
      <c r="H2844" t="str">
        <f>"Serv.Prest. 08/09/2025 a 14/09/2025 - PIX: CELULAR - CHAVE: (37) 99138-1777"</f>
        <v>Serv.Prest. 08/09/2025 a 14/09/2025 - PIX: CELULAR - CHAVE: (37) 99138-1777</v>
      </c>
      <c r="I2844" t="str">
        <f t="shared" si="507"/>
        <v>18/09/2025</v>
      </c>
      <c r="J2844" t="str">
        <f t="shared" si="503"/>
        <v>15/09/2025</v>
      </c>
      <c r="K2844" t="str">
        <f>("18/09/2025")</f>
        <v>18/09/2025</v>
      </c>
      <c r="L2844">
        <v>1080</v>
      </c>
      <c r="M2844">
        <v>1080</v>
      </c>
      <c r="N2844">
        <v>109</v>
      </c>
      <c r="O2844" t="str">
        <f>"PAGAMENTO DE ENTREGADORES"</f>
        <v>PAGAMENTO DE ENTREGADORES</v>
      </c>
      <c r="P2844">
        <v>1080</v>
      </c>
      <c r="S2844" t="str">
        <f>"BANCO C6 (149)"</f>
        <v>BANCO C6 (149)</v>
      </c>
      <c r="T2844">
        <v>18487</v>
      </c>
      <c r="U2844">
        <v>22017</v>
      </c>
      <c r="V2844" t="s">
        <v>77</v>
      </c>
    </row>
    <row r="2845" spans="1:22">
      <c r="A2845" t="str">
        <f t="shared" si="505"/>
        <v>18/09/2025</v>
      </c>
      <c r="B2845" t="str">
        <f t="shared" si="504"/>
        <v>SAÍDA</v>
      </c>
      <c r="C2845" t="str">
        <f t="shared" si="506"/>
        <v>PIX</v>
      </c>
      <c r="D2845" t="str">
        <f>"22017"</f>
        <v>22017</v>
      </c>
      <c r="E2845" t="str">
        <f t="shared" ref="E2845:E2909" si="508">"1"</f>
        <v>1</v>
      </c>
      <c r="F2845" t="str">
        <f t="shared" si="502"/>
        <v>COM</v>
      </c>
      <c r="G2845" t="str">
        <f>"THALES VINÍCIUS RODRIGUES DE OLIVEIRA (704)"</f>
        <v>THALES VINÍCIUS RODRIGUES DE OLIVEIRA (704)</v>
      </c>
      <c r="H2845" t="s">
        <v>775</v>
      </c>
      <c r="I2845" t="str">
        <f t="shared" si="507"/>
        <v>18/09/2025</v>
      </c>
      <c r="J2845" t="str">
        <f t="shared" ref="J2845:J2865" si="509">("15/09/2025")</f>
        <v>15/09/2025</v>
      </c>
      <c r="K2845">
        <v>45918</v>
      </c>
      <c r="N2845">
        <v>109</v>
      </c>
      <c r="O2845" t="s">
        <v>24</v>
      </c>
      <c r="Q2845">
        <v>1080</v>
      </c>
      <c r="R2845" t="str">
        <f>"DROGARIA POUPA MINAS (ULTRAMINAS) 1 (10181)"</f>
        <v>DROGARIA POUPA MINAS (ULTRAMINAS) 1 (10181)</v>
      </c>
      <c r="S2845" t="s">
        <v>77</v>
      </c>
      <c r="T2845">
        <v>18487</v>
      </c>
      <c r="U2845">
        <v>22017</v>
      </c>
      <c r="V2845" t="s">
        <v>77</v>
      </c>
    </row>
    <row r="2846" spans="1:22">
      <c r="A2846" t="str">
        <f t="shared" si="505"/>
        <v>18/09/2025</v>
      </c>
      <c r="B2846" t="str">
        <f t="shared" si="504"/>
        <v>SAÍDA</v>
      </c>
      <c r="C2846" t="str">
        <f t="shared" si="506"/>
        <v>PIX</v>
      </c>
      <c r="D2846" t="str">
        <f>"22018"</f>
        <v>22018</v>
      </c>
      <c r="E2846" t="str">
        <f t="shared" si="508"/>
        <v>1</v>
      </c>
      <c r="F2846" t="str">
        <f t="shared" si="502"/>
        <v>COM</v>
      </c>
      <c r="G2846" t="str">
        <f>"TIAGO VIEIRA (372)"</f>
        <v>TIAGO VIEIRA (372)</v>
      </c>
      <c r="H2846" t="str">
        <f>"Serv.Prest. 08/09/2025 a 14/09/2025 - PIX: CELULAR - CHAVE: (37) 98841-8571"</f>
        <v>Serv.Prest. 08/09/2025 a 14/09/2025 - PIX: CELULAR - CHAVE: (37) 98841-8571</v>
      </c>
      <c r="I2846" t="str">
        <f t="shared" si="507"/>
        <v>18/09/2025</v>
      </c>
      <c r="J2846" t="str">
        <f t="shared" si="509"/>
        <v>15/09/2025</v>
      </c>
      <c r="K2846" t="str">
        <f>("18/09/2025")</f>
        <v>18/09/2025</v>
      </c>
      <c r="L2846">
        <v>546</v>
      </c>
      <c r="M2846">
        <v>546</v>
      </c>
      <c r="N2846">
        <v>109</v>
      </c>
      <c r="O2846" t="str">
        <f>"PAGAMENTO DE ENTREGADORES"</f>
        <v>PAGAMENTO DE ENTREGADORES</v>
      </c>
      <c r="P2846">
        <v>546</v>
      </c>
      <c r="S2846" t="str">
        <f>"BANCO C6 (149)"</f>
        <v>BANCO C6 (149)</v>
      </c>
      <c r="T2846">
        <v>18488</v>
      </c>
      <c r="U2846">
        <v>22018</v>
      </c>
      <c r="V2846" t="s">
        <v>77</v>
      </c>
    </row>
    <row r="2847" spans="1:22">
      <c r="A2847" t="str">
        <f t="shared" si="505"/>
        <v>18/09/2025</v>
      </c>
      <c r="B2847" t="str">
        <f t="shared" si="504"/>
        <v>SAÍDA</v>
      </c>
      <c r="C2847" t="str">
        <f t="shared" si="506"/>
        <v>PIX</v>
      </c>
      <c r="D2847" t="str">
        <f>"22018"</f>
        <v>22018</v>
      </c>
      <c r="E2847" t="str">
        <f t="shared" si="508"/>
        <v>1</v>
      </c>
      <c r="F2847" t="str">
        <f t="shared" si="502"/>
        <v>COM</v>
      </c>
      <c r="G2847" t="str">
        <f>"TIAGO VIEIRA (372)"</f>
        <v>TIAGO VIEIRA (372)</v>
      </c>
      <c r="H2847" t="s">
        <v>776</v>
      </c>
      <c r="I2847" t="str">
        <f t="shared" si="507"/>
        <v>18/09/2025</v>
      </c>
      <c r="J2847" t="str">
        <f t="shared" si="509"/>
        <v>15/09/2025</v>
      </c>
      <c r="K2847">
        <v>45918</v>
      </c>
      <c r="N2847">
        <v>109</v>
      </c>
      <c r="O2847" t="s">
        <v>24</v>
      </c>
      <c r="Q2847">
        <v>546</v>
      </c>
      <c r="R2847" t="str">
        <f>"DROGARIA POUPA MINAS (ULTRAMINAS) 1 (10181)"</f>
        <v>DROGARIA POUPA MINAS (ULTRAMINAS) 1 (10181)</v>
      </c>
      <c r="S2847" t="s">
        <v>77</v>
      </c>
      <c r="T2847">
        <v>18488</v>
      </c>
      <c r="U2847">
        <v>22018</v>
      </c>
      <c r="V2847" t="s">
        <v>77</v>
      </c>
    </row>
    <row r="2848" spans="1:22">
      <c r="A2848" t="str">
        <f t="shared" si="505"/>
        <v>18/09/2025</v>
      </c>
      <c r="B2848" t="str">
        <f t="shared" si="504"/>
        <v>SAÍDA</v>
      </c>
      <c r="C2848" t="str">
        <f t="shared" si="506"/>
        <v>PIX</v>
      </c>
      <c r="D2848" t="str">
        <f>"22020"</f>
        <v>22020</v>
      </c>
      <c r="E2848" t="str">
        <f t="shared" si="508"/>
        <v>1</v>
      </c>
      <c r="F2848" t="str">
        <f t="shared" si="502"/>
        <v>COM</v>
      </c>
      <c r="G2848" t="str">
        <f>"ELIO CALDEIRA RIBEIRO JUNIOR (840)"</f>
        <v>ELIO CALDEIRA RIBEIRO JUNIOR (840)</v>
      </c>
      <c r="H2848" t="str">
        <f>"Serv.Prest. 08/09/2025 a 14/09/2025 - PIX: CPF - CHAVE: 463.491.858-70"</f>
        <v>Serv.Prest. 08/09/2025 a 14/09/2025 - PIX: CPF - CHAVE: 463.491.858-70</v>
      </c>
      <c r="I2848" t="str">
        <f t="shared" si="507"/>
        <v>18/09/2025</v>
      </c>
      <c r="J2848" t="str">
        <f t="shared" si="509"/>
        <v>15/09/2025</v>
      </c>
      <c r="K2848" t="str">
        <f>("18/09/2025")</f>
        <v>18/09/2025</v>
      </c>
      <c r="L2848">
        <v>896</v>
      </c>
      <c r="M2848">
        <v>896</v>
      </c>
      <c r="N2848">
        <v>109</v>
      </c>
      <c r="O2848" t="str">
        <f>"PAGAMENTO DE ENTREGADORES"</f>
        <v>PAGAMENTO DE ENTREGADORES</v>
      </c>
      <c r="P2848">
        <v>896</v>
      </c>
      <c r="S2848" t="str">
        <f>"BANCO C6 (149)"</f>
        <v>BANCO C6 (149)</v>
      </c>
      <c r="T2848">
        <v>18489</v>
      </c>
      <c r="U2848">
        <v>22020</v>
      </c>
      <c r="V2848" t="s">
        <v>77</v>
      </c>
    </row>
    <row r="2849" spans="1:22">
      <c r="A2849" t="str">
        <f t="shared" si="505"/>
        <v>18/09/2025</v>
      </c>
      <c r="B2849" t="str">
        <f t="shared" si="504"/>
        <v>SAÍDA</v>
      </c>
      <c r="C2849" t="str">
        <f t="shared" si="506"/>
        <v>PIX</v>
      </c>
      <c r="D2849" t="str">
        <f>"22020"</f>
        <v>22020</v>
      </c>
      <c r="E2849" t="str">
        <f t="shared" si="508"/>
        <v>1</v>
      </c>
      <c r="F2849" t="str">
        <f t="shared" si="502"/>
        <v>COM</v>
      </c>
      <c r="G2849" t="str">
        <f>"ELIO CALDEIRA RIBEIRO JUNIOR (840)"</f>
        <v>ELIO CALDEIRA RIBEIRO JUNIOR (840)</v>
      </c>
      <c r="H2849" t="s">
        <v>777</v>
      </c>
      <c r="I2849" t="str">
        <f t="shared" si="507"/>
        <v>18/09/2025</v>
      </c>
      <c r="J2849" t="str">
        <f t="shared" si="509"/>
        <v>15/09/2025</v>
      </c>
      <c r="K2849">
        <v>45918</v>
      </c>
      <c r="N2849">
        <v>109</v>
      </c>
      <c r="O2849" t="s">
        <v>24</v>
      </c>
      <c r="Q2849">
        <v>896</v>
      </c>
      <c r="R2849" t="str">
        <f>"DROGARIA MEDIC CENTER LTDA (10172)"</f>
        <v>DROGARIA MEDIC CENTER LTDA (10172)</v>
      </c>
      <c r="S2849" t="s">
        <v>77</v>
      </c>
      <c r="T2849">
        <v>18489</v>
      </c>
      <c r="U2849">
        <v>22020</v>
      </c>
      <c r="V2849" t="s">
        <v>77</v>
      </c>
    </row>
    <row r="2850" spans="1:22">
      <c r="A2850" t="str">
        <f t="shared" si="505"/>
        <v>18/09/2025</v>
      </c>
      <c r="B2850" t="str">
        <f t="shared" si="504"/>
        <v>SAÍDA</v>
      </c>
      <c r="C2850" t="str">
        <f t="shared" si="506"/>
        <v>PIX</v>
      </c>
      <c r="D2850" t="str">
        <f>"22022"</f>
        <v>22022</v>
      </c>
      <c r="E2850" t="str">
        <f t="shared" si="508"/>
        <v>1</v>
      </c>
      <c r="F2850" t="str">
        <f t="shared" si="502"/>
        <v>COM</v>
      </c>
      <c r="G2850" t="str">
        <f>"REGINALDO ANDRE BORTOLETTO (802)"</f>
        <v>REGINALDO ANDRE BORTOLETTO (802)</v>
      </c>
      <c r="H2850" t="str">
        <f>"Serv.Prest. 08/09/2025 a 14/09/2025 - PIX: CELULAR - CHAVE: (11) 94281-7123"</f>
        <v>Serv.Prest. 08/09/2025 a 14/09/2025 - PIX: CELULAR - CHAVE: (11) 94281-7123</v>
      </c>
      <c r="I2850" t="str">
        <f t="shared" si="507"/>
        <v>18/09/2025</v>
      </c>
      <c r="J2850" t="str">
        <f t="shared" si="509"/>
        <v>15/09/2025</v>
      </c>
      <c r="K2850" t="str">
        <f>("18/09/2025")</f>
        <v>18/09/2025</v>
      </c>
      <c r="L2850">
        <v>28</v>
      </c>
      <c r="M2850">
        <v>28</v>
      </c>
      <c r="N2850">
        <v>109</v>
      </c>
      <c r="O2850" t="str">
        <f>"PAGAMENTO DE ENTREGADORES"</f>
        <v>PAGAMENTO DE ENTREGADORES</v>
      </c>
      <c r="P2850">
        <v>28</v>
      </c>
      <c r="S2850" t="str">
        <f>"BANCO C6 (149)"</f>
        <v>BANCO C6 (149)</v>
      </c>
      <c r="T2850">
        <v>18490</v>
      </c>
      <c r="U2850">
        <v>22022</v>
      </c>
      <c r="V2850" t="s">
        <v>77</v>
      </c>
    </row>
    <row r="2851" spans="1:22">
      <c r="A2851" t="str">
        <f t="shared" si="505"/>
        <v>18/09/2025</v>
      </c>
      <c r="B2851" t="str">
        <f t="shared" si="504"/>
        <v>SAÍDA</v>
      </c>
      <c r="C2851" t="str">
        <f t="shared" si="506"/>
        <v>PIX</v>
      </c>
      <c r="D2851" t="str">
        <f>"22022"</f>
        <v>22022</v>
      </c>
      <c r="E2851" t="str">
        <f t="shared" si="508"/>
        <v>1</v>
      </c>
      <c r="F2851" t="str">
        <f t="shared" si="502"/>
        <v>COM</v>
      </c>
      <c r="G2851" t="str">
        <f>"REGINALDO ANDRE BORTOLETTO (802)"</f>
        <v>REGINALDO ANDRE BORTOLETTO (802)</v>
      </c>
      <c r="H2851" t="s">
        <v>458</v>
      </c>
      <c r="I2851" t="str">
        <f t="shared" si="507"/>
        <v>18/09/2025</v>
      </c>
      <c r="J2851" t="str">
        <f t="shared" si="509"/>
        <v>15/09/2025</v>
      </c>
      <c r="K2851">
        <v>45918</v>
      </c>
      <c r="N2851">
        <v>109</v>
      </c>
      <c r="O2851" t="s">
        <v>24</v>
      </c>
      <c r="Q2851">
        <v>28</v>
      </c>
      <c r="R2851" t="str">
        <f>"DROGARIA MEDIC CENTER LTDA (10172)"</f>
        <v>DROGARIA MEDIC CENTER LTDA (10172)</v>
      </c>
      <c r="S2851" t="s">
        <v>77</v>
      </c>
      <c r="T2851">
        <v>18490</v>
      </c>
      <c r="U2851">
        <v>22022</v>
      </c>
      <c r="V2851" t="s">
        <v>77</v>
      </c>
    </row>
    <row r="2852" spans="1:22">
      <c r="A2852" t="str">
        <f t="shared" si="505"/>
        <v>18/09/2025</v>
      </c>
      <c r="B2852" t="str">
        <f t="shared" si="504"/>
        <v>SAÍDA</v>
      </c>
      <c r="C2852" t="str">
        <f t="shared" si="506"/>
        <v>PIX</v>
      </c>
      <c r="D2852" t="str">
        <f>"22025"</f>
        <v>22025</v>
      </c>
      <c r="E2852" t="str">
        <f t="shared" si="508"/>
        <v>1</v>
      </c>
      <c r="F2852" t="str">
        <f t="shared" si="502"/>
        <v>COM</v>
      </c>
      <c r="G2852" t="str">
        <f>"ALLAN SILVA DAMACENA (790)"</f>
        <v>ALLAN SILVA DAMACENA (790)</v>
      </c>
      <c r="H2852" t="str">
        <f>"Serv.Prest. 08/09/2025 a 14/09/2025 - PIX: CELULAR - CHAVE: (19) 98944-4977"</f>
        <v>Serv.Prest. 08/09/2025 a 14/09/2025 - PIX: CELULAR - CHAVE: (19) 98944-4977</v>
      </c>
      <c r="I2852" t="str">
        <f t="shared" si="507"/>
        <v>18/09/2025</v>
      </c>
      <c r="J2852" t="str">
        <f t="shared" si="509"/>
        <v>15/09/2025</v>
      </c>
      <c r="K2852" t="str">
        <f>("18/09/2025")</f>
        <v>18/09/2025</v>
      </c>
      <c r="L2852">
        <v>824</v>
      </c>
      <c r="M2852">
        <v>824</v>
      </c>
      <c r="N2852">
        <v>109</v>
      </c>
      <c r="O2852" t="str">
        <f>"PAGAMENTO DE ENTREGADORES"</f>
        <v>PAGAMENTO DE ENTREGADORES</v>
      </c>
      <c r="P2852">
        <v>824</v>
      </c>
      <c r="S2852" t="str">
        <f>"BANCO C6 (149)"</f>
        <v>BANCO C6 (149)</v>
      </c>
      <c r="T2852">
        <v>18491</v>
      </c>
      <c r="U2852">
        <v>22025</v>
      </c>
      <c r="V2852" t="s">
        <v>77</v>
      </c>
    </row>
    <row r="2853" spans="1:22">
      <c r="A2853" t="str">
        <f t="shared" si="505"/>
        <v>18/09/2025</v>
      </c>
      <c r="B2853" t="str">
        <f t="shared" si="504"/>
        <v>SAÍDA</v>
      </c>
      <c r="C2853" t="str">
        <f t="shared" si="506"/>
        <v>PIX</v>
      </c>
      <c r="D2853" t="str">
        <f>"22025"</f>
        <v>22025</v>
      </c>
      <c r="E2853" t="str">
        <f t="shared" si="508"/>
        <v>1</v>
      </c>
      <c r="F2853" t="str">
        <f t="shared" si="502"/>
        <v>COM</v>
      </c>
      <c r="G2853" t="str">
        <f>"ALLAN SILVA DAMACENA (790)"</f>
        <v>ALLAN SILVA DAMACENA (790)</v>
      </c>
      <c r="H2853" t="s">
        <v>602</v>
      </c>
      <c r="I2853" t="str">
        <f t="shared" si="507"/>
        <v>18/09/2025</v>
      </c>
      <c r="J2853" t="str">
        <f t="shared" si="509"/>
        <v>15/09/2025</v>
      </c>
      <c r="K2853">
        <v>45918</v>
      </c>
      <c r="N2853">
        <v>109</v>
      </c>
      <c r="O2853" t="s">
        <v>24</v>
      </c>
      <c r="Q2853">
        <v>824</v>
      </c>
      <c r="R2853" t="str">
        <f>"DROGARIA MORENO LTDA (10171)"</f>
        <v>DROGARIA MORENO LTDA (10171)</v>
      </c>
      <c r="S2853" t="s">
        <v>77</v>
      </c>
      <c r="T2853">
        <v>18491</v>
      </c>
      <c r="U2853">
        <v>22025</v>
      </c>
      <c r="V2853" t="s">
        <v>77</v>
      </c>
    </row>
    <row r="2854" spans="1:22">
      <c r="A2854" t="str">
        <f t="shared" si="505"/>
        <v>18/09/2025</v>
      </c>
      <c r="B2854" t="str">
        <f t="shared" si="504"/>
        <v>SAÍDA</v>
      </c>
      <c r="C2854" t="str">
        <f t="shared" si="506"/>
        <v>PIX</v>
      </c>
      <c r="D2854" t="str">
        <f>"22026"</f>
        <v>22026</v>
      </c>
      <c r="E2854" t="str">
        <f t="shared" si="508"/>
        <v>1</v>
      </c>
      <c r="F2854" t="str">
        <f t="shared" si="502"/>
        <v>COM</v>
      </c>
      <c r="G2854" t="str">
        <f>"EDUARDO MARQUES DOS SANTOS (787)"</f>
        <v>EDUARDO MARQUES DOS SANTOS (787)</v>
      </c>
      <c r="H2854" t="str">
        <f>"Serv.Prest. 08/09/2025 a 14/09/2025 - PIX: CELULAR - CHAVE: (11) 97402-1586"</f>
        <v>Serv.Prest. 08/09/2025 a 14/09/2025 - PIX: CELULAR - CHAVE: (11) 97402-1586</v>
      </c>
      <c r="I2854" t="str">
        <f t="shared" si="507"/>
        <v>18/09/2025</v>
      </c>
      <c r="J2854" t="str">
        <f t="shared" si="509"/>
        <v>15/09/2025</v>
      </c>
      <c r="K2854" t="str">
        <f>("18/09/2025")</f>
        <v>18/09/2025</v>
      </c>
      <c r="L2854">
        <v>875</v>
      </c>
      <c r="M2854">
        <v>875</v>
      </c>
      <c r="N2854">
        <v>109</v>
      </c>
      <c r="O2854" t="str">
        <f>"PAGAMENTO DE ENTREGADORES"</f>
        <v>PAGAMENTO DE ENTREGADORES</v>
      </c>
      <c r="P2854">
        <v>875</v>
      </c>
      <c r="S2854" t="str">
        <f>"BANCO C6 (149)"</f>
        <v>BANCO C6 (149)</v>
      </c>
      <c r="T2854">
        <v>18492</v>
      </c>
      <c r="U2854">
        <v>22026</v>
      </c>
      <c r="V2854" t="s">
        <v>77</v>
      </c>
    </row>
    <row r="2855" spans="1:22">
      <c r="A2855" t="str">
        <f t="shared" si="505"/>
        <v>18/09/2025</v>
      </c>
      <c r="B2855" t="str">
        <f t="shared" si="504"/>
        <v>SAÍDA</v>
      </c>
      <c r="C2855" t="str">
        <f t="shared" si="506"/>
        <v>PIX</v>
      </c>
      <c r="D2855" t="str">
        <f>"22026"</f>
        <v>22026</v>
      </c>
      <c r="E2855" t="str">
        <f t="shared" si="508"/>
        <v>1</v>
      </c>
      <c r="F2855" t="str">
        <f t="shared" si="502"/>
        <v>COM</v>
      </c>
      <c r="G2855" t="str">
        <f>"EDUARDO MARQUES DOS SANTOS (787)"</f>
        <v>EDUARDO MARQUES DOS SANTOS (787)</v>
      </c>
      <c r="H2855" t="s">
        <v>778</v>
      </c>
      <c r="I2855" t="str">
        <f t="shared" si="507"/>
        <v>18/09/2025</v>
      </c>
      <c r="J2855" t="str">
        <f t="shared" si="509"/>
        <v>15/09/2025</v>
      </c>
      <c r="K2855">
        <v>45918</v>
      </c>
      <c r="N2855">
        <v>109</v>
      </c>
      <c r="O2855" t="s">
        <v>24</v>
      </c>
      <c r="Q2855">
        <v>875</v>
      </c>
      <c r="R2855" t="str">
        <f>"DROGARIA MORENO LTDA (10171)"</f>
        <v>DROGARIA MORENO LTDA (10171)</v>
      </c>
      <c r="S2855" t="s">
        <v>77</v>
      </c>
      <c r="T2855">
        <v>18492</v>
      </c>
      <c r="U2855">
        <v>22026</v>
      </c>
      <c r="V2855" t="s">
        <v>77</v>
      </c>
    </row>
    <row r="2856" spans="1:22">
      <c r="A2856" t="str">
        <f t="shared" si="505"/>
        <v>18/09/2025</v>
      </c>
      <c r="B2856" t="str">
        <f t="shared" si="504"/>
        <v>SAÍDA</v>
      </c>
      <c r="C2856" t="str">
        <f t="shared" si="506"/>
        <v>PIX</v>
      </c>
      <c r="D2856" t="str">
        <f>"22028"</f>
        <v>22028</v>
      </c>
      <c r="E2856" t="str">
        <f t="shared" si="508"/>
        <v>1</v>
      </c>
      <c r="F2856" t="str">
        <f t="shared" si="502"/>
        <v>COM</v>
      </c>
      <c r="G2856" t="str">
        <f>"PAULO CESAR DE FARIA (865)"</f>
        <v>PAULO CESAR DE FARIA (865)</v>
      </c>
      <c r="H2856" t="str">
        <f>"Serv.Prest. 08/09/2025 a 14/09/2025 - PIX: CELULAR - CHAVE: (11) 99992-0816"</f>
        <v>Serv.Prest. 08/09/2025 a 14/09/2025 - PIX: CELULAR - CHAVE: (11) 99992-0816</v>
      </c>
      <c r="I2856" t="str">
        <f t="shared" si="507"/>
        <v>18/09/2025</v>
      </c>
      <c r="J2856" t="str">
        <f t="shared" si="509"/>
        <v>15/09/2025</v>
      </c>
      <c r="K2856" t="str">
        <f>("18/09/2025")</f>
        <v>18/09/2025</v>
      </c>
      <c r="L2856">
        <v>1120</v>
      </c>
      <c r="M2856">
        <v>1120</v>
      </c>
      <c r="N2856">
        <v>109</v>
      </c>
      <c r="O2856" t="str">
        <f>"PAGAMENTO DE ENTREGADORES"</f>
        <v>PAGAMENTO DE ENTREGADORES</v>
      </c>
      <c r="P2856">
        <v>1120</v>
      </c>
      <c r="S2856" t="str">
        <f>"BANCO C6 (149)"</f>
        <v>BANCO C6 (149)</v>
      </c>
      <c r="T2856">
        <v>18493</v>
      </c>
      <c r="U2856">
        <v>22028</v>
      </c>
      <c r="V2856" t="s">
        <v>77</v>
      </c>
    </row>
    <row r="2857" spans="1:22">
      <c r="A2857" t="str">
        <f t="shared" si="505"/>
        <v>18/09/2025</v>
      </c>
      <c r="B2857" t="str">
        <f t="shared" si="504"/>
        <v>SAÍDA</v>
      </c>
      <c r="C2857" t="str">
        <f t="shared" si="506"/>
        <v>PIX</v>
      </c>
      <c r="D2857" t="str">
        <f>"22028"</f>
        <v>22028</v>
      </c>
      <c r="E2857" t="str">
        <f t="shared" si="508"/>
        <v>1</v>
      </c>
      <c r="F2857" t="str">
        <f t="shared" si="502"/>
        <v>COM</v>
      </c>
      <c r="G2857" t="str">
        <f>"PAULO CESAR DE FARIA (865)"</f>
        <v>PAULO CESAR DE FARIA (865)</v>
      </c>
      <c r="H2857" t="s">
        <v>779</v>
      </c>
      <c r="I2857" t="str">
        <f t="shared" si="507"/>
        <v>18/09/2025</v>
      </c>
      <c r="J2857" t="str">
        <f t="shared" si="509"/>
        <v>15/09/2025</v>
      </c>
      <c r="K2857">
        <v>45918</v>
      </c>
      <c r="N2857">
        <v>109</v>
      </c>
      <c r="O2857" t="s">
        <v>24</v>
      </c>
      <c r="Q2857">
        <v>1120</v>
      </c>
      <c r="R2857" t="str">
        <f>"DROGARIA MORENO LTDA (10171)"</f>
        <v>DROGARIA MORENO LTDA (10171)</v>
      </c>
      <c r="S2857" t="s">
        <v>77</v>
      </c>
      <c r="T2857">
        <v>18493</v>
      </c>
      <c r="U2857">
        <v>22028</v>
      </c>
      <c r="V2857" t="s">
        <v>77</v>
      </c>
    </row>
    <row r="2858" spans="1:22">
      <c r="A2858" t="str">
        <f t="shared" si="505"/>
        <v>18/09/2025</v>
      </c>
      <c r="B2858" t="str">
        <f t="shared" si="504"/>
        <v>SAÍDA</v>
      </c>
      <c r="C2858" t="str">
        <f t="shared" si="506"/>
        <v>PIX</v>
      </c>
      <c r="D2858" t="str">
        <f>"22031"</f>
        <v>22031</v>
      </c>
      <c r="E2858" t="str">
        <f t="shared" si="508"/>
        <v>1</v>
      </c>
      <c r="F2858" t="str">
        <f t="shared" si="502"/>
        <v>COM</v>
      </c>
      <c r="G2858" t="str">
        <f>"DANILO DE JESUS SANTOS (490)"</f>
        <v>DANILO DE JESUS SANTOS (490)</v>
      </c>
      <c r="H2858" t="str">
        <f>"Serv.Prest. 08/09/2025 a 14/09/2025 - PIX: CELULAR - CHAVE: (73) 98191-0061"</f>
        <v>Serv.Prest. 08/09/2025 a 14/09/2025 - PIX: CELULAR - CHAVE: (73) 98191-0061</v>
      </c>
      <c r="I2858" t="str">
        <f t="shared" si="507"/>
        <v>18/09/2025</v>
      </c>
      <c r="J2858" t="str">
        <f t="shared" si="509"/>
        <v>15/09/2025</v>
      </c>
      <c r="K2858" t="str">
        <f>("18/09/2025")</f>
        <v>18/09/2025</v>
      </c>
      <c r="L2858">
        <v>702</v>
      </c>
      <c r="M2858">
        <v>700</v>
      </c>
      <c r="N2858">
        <v>109</v>
      </c>
      <c r="O2858" t="str">
        <f>"PAGAMENTO DE ENTREGADORES"</f>
        <v>PAGAMENTO DE ENTREGADORES</v>
      </c>
      <c r="P2858">
        <v>700</v>
      </c>
      <c r="S2858" t="str">
        <f>"BANCO C6 (149)"</f>
        <v>BANCO C6 (149)</v>
      </c>
      <c r="T2858">
        <v>18494</v>
      </c>
      <c r="U2858">
        <v>22031</v>
      </c>
      <c r="V2858" t="s">
        <v>77</v>
      </c>
    </row>
    <row r="2859" spans="1:22">
      <c r="A2859" t="str">
        <f t="shared" si="505"/>
        <v>18/09/2025</v>
      </c>
      <c r="B2859" t="str">
        <f t="shared" si="504"/>
        <v>SAÍDA</v>
      </c>
      <c r="C2859" t="str">
        <f t="shared" si="506"/>
        <v>PIX</v>
      </c>
      <c r="D2859" t="str">
        <f>"22031"</f>
        <v>22031</v>
      </c>
      <c r="E2859" t="str">
        <f t="shared" si="508"/>
        <v>1</v>
      </c>
      <c r="F2859" t="str">
        <f t="shared" si="502"/>
        <v>COM</v>
      </c>
      <c r="G2859" t="str">
        <f>"DANILO DE JESUS SANTOS (490)"</f>
        <v>DANILO DE JESUS SANTOS (490)</v>
      </c>
      <c r="H2859" t="s">
        <v>780</v>
      </c>
      <c r="I2859" t="str">
        <f t="shared" si="507"/>
        <v>18/09/2025</v>
      </c>
      <c r="J2859" t="str">
        <f t="shared" si="509"/>
        <v>15/09/2025</v>
      </c>
      <c r="K2859">
        <v>45918</v>
      </c>
      <c r="N2859">
        <v>109</v>
      </c>
      <c r="O2859" t="s">
        <v>24</v>
      </c>
      <c r="Q2859">
        <v>700</v>
      </c>
      <c r="R2859" t="str">
        <f>"FARMÁCIA INDIANA LJ 145 (10068)"</f>
        <v>FARMÁCIA INDIANA LJ 145 (10068)</v>
      </c>
      <c r="S2859" t="s">
        <v>77</v>
      </c>
      <c r="T2859">
        <v>18494</v>
      </c>
      <c r="U2859">
        <v>22031</v>
      </c>
      <c r="V2859" t="s">
        <v>77</v>
      </c>
    </row>
    <row r="2860" spans="1:22">
      <c r="A2860" t="str">
        <f t="shared" si="505"/>
        <v>18/09/2025</v>
      </c>
      <c r="B2860" t="str">
        <f t="shared" si="504"/>
        <v>SAÍDA</v>
      </c>
      <c r="C2860" t="str">
        <f t="shared" si="506"/>
        <v>PIX</v>
      </c>
      <c r="D2860" t="str">
        <f>"22040"</f>
        <v>22040</v>
      </c>
      <c r="E2860" t="str">
        <f t="shared" si="508"/>
        <v>1</v>
      </c>
      <c r="F2860" t="str">
        <f t="shared" si="502"/>
        <v>COM</v>
      </c>
      <c r="G2860" t="str">
        <f>"JARLES DE SOUZA PEREIRA (109)"</f>
        <v>JARLES DE SOUZA PEREIRA (109)</v>
      </c>
      <c r="H2860" t="str">
        <f>"Serv.Prest. 08/09/2025 a 14/09/2025 - PIX: CELULAR - CHAVE: (73) 99115-9602"</f>
        <v>Serv.Prest. 08/09/2025 a 14/09/2025 - PIX: CELULAR - CHAVE: (73) 99115-9602</v>
      </c>
      <c r="I2860" t="str">
        <f t="shared" si="507"/>
        <v>18/09/2025</v>
      </c>
      <c r="J2860" t="str">
        <f t="shared" si="509"/>
        <v>15/09/2025</v>
      </c>
      <c r="K2860" t="str">
        <f>("18/09/2025")</f>
        <v>18/09/2025</v>
      </c>
      <c r="L2860">
        <v>654</v>
      </c>
      <c r="M2860">
        <v>654</v>
      </c>
      <c r="N2860">
        <v>109</v>
      </c>
      <c r="O2860" t="str">
        <f>"PAGAMENTO DE ENTREGADORES"</f>
        <v>PAGAMENTO DE ENTREGADORES</v>
      </c>
      <c r="P2860">
        <v>654</v>
      </c>
      <c r="S2860" t="str">
        <f>"BANCO C6 (149)"</f>
        <v>BANCO C6 (149)</v>
      </c>
      <c r="T2860">
        <v>18495</v>
      </c>
      <c r="U2860">
        <v>22040</v>
      </c>
      <c r="V2860" t="s">
        <v>77</v>
      </c>
    </row>
    <row r="2861" spans="1:22">
      <c r="A2861" t="str">
        <f t="shared" si="505"/>
        <v>18/09/2025</v>
      </c>
      <c r="B2861" t="str">
        <f t="shared" si="504"/>
        <v>SAÍDA</v>
      </c>
      <c r="C2861" t="str">
        <f t="shared" si="506"/>
        <v>PIX</v>
      </c>
      <c r="D2861" t="str">
        <f>"22040"</f>
        <v>22040</v>
      </c>
      <c r="E2861" t="str">
        <f t="shared" si="508"/>
        <v>1</v>
      </c>
      <c r="F2861" t="str">
        <f t="shared" si="502"/>
        <v>COM</v>
      </c>
      <c r="G2861" t="str">
        <f>"JARLES DE SOUZA PEREIRA (109)"</f>
        <v>JARLES DE SOUZA PEREIRA (109)</v>
      </c>
      <c r="H2861" t="s">
        <v>781</v>
      </c>
      <c r="I2861" t="str">
        <f t="shared" si="507"/>
        <v>18/09/2025</v>
      </c>
      <c r="J2861" t="str">
        <f t="shared" si="509"/>
        <v>15/09/2025</v>
      </c>
      <c r="K2861">
        <v>45918</v>
      </c>
      <c r="N2861">
        <v>109</v>
      </c>
      <c r="O2861" t="s">
        <v>24</v>
      </c>
      <c r="Q2861">
        <v>654</v>
      </c>
      <c r="R2861" t="str">
        <f>"FARMÁCIA INDIANA LJ 173 (10075)"</f>
        <v>FARMÁCIA INDIANA LJ 173 (10075)</v>
      </c>
      <c r="S2861" t="s">
        <v>77</v>
      </c>
      <c r="T2861">
        <v>18495</v>
      </c>
      <c r="U2861">
        <v>22040</v>
      </c>
      <c r="V2861" t="s">
        <v>77</v>
      </c>
    </row>
    <row r="2862" spans="1:22">
      <c r="A2862" t="str">
        <f t="shared" si="505"/>
        <v>18/09/2025</v>
      </c>
      <c r="B2862" t="str">
        <f t="shared" si="504"/>
        <v>SAÍDA</v>
      </c>
      <c r="C2862" t="str">
        <f t="shared" si="506"/>
        <v>PIX</v>
      </c>
      <c r="D2862" t="str">
        <f>"22050"</f>
        <v>22050</v>
      </c>
      <c r="E2862" t="str">
        <f t="shared" si="508"/>
        <v>1</v>
      </c>
      <c r="F2862" t="str">
        <f t="shared" si="502"/>
        <v>COM</v>
      </c>
      <c r="G2862" t="str">
        <f>"ROBSON OLIVEIRA DE JESUS (623)"</f>
        <v>ROBSON OLIVEIRA DE JESUS (623)</v>
      </c>
      <c r="H2862" t="str">
        <f>"Serv.Prest. 08/09/2025 a 14/09/2025 - PIX: CPF - CHAVE: 009.265.655-24"</f>
        <v>Serv.Prest. 08/09/2025 a 14/09/2025 - PIX: CPF - CHAVE: 009.265.655-24</v>
      </c>
      <c r="I2862" t="str">
        <f t="shared" si="507"/>
        <v>18/09/2025</v>
      </c>
      <c r="J2862" t="str">
        <f t="shared" si="509"/>
        <v>15/09/2025</v>
      </c>
      <c r="K2862" t="str">
        <f>("18/09/2025")</f>
        <v>18/09/2025</v>
      </c>
      <c r="L2862">
        <v>702</v>
      </c>
      <c r="M2862">
        <v>700</v>
      </c>
      <c r="N2862">
        <v>109</v>
      </c>
      <c r="O2862" t="str">
        <f>"PAGAMENTO DE ENTREGADORES"</f>
        <v>PAGAMENTO DE ENTREGADORES</v>
      </c>
      <c r="P2862">
        <v>700</v>
      </c>
      <c r="S2862" t="str">
        <f>"BANCO C6 (149)"</f>
        <v>BANCO C6 (149)</v>
      </c>
      <c r="T2862">
        <v>18496</v>
      </c>
      <c r="U2862">
        <v>22050</v>
      </c>
      <c r="V2862" t="s">
        <v>77</v>
      </c>
    </row>
    <row r="2863" spans="1:22">
      <c r="A2863" t="str">
        <f t="shared" si="505"/>
        <v>18/09/2025</v>
      </c>
      <c r="B2863" t="str">
        <f t="shared" si="504"/>
        <v>SAÍDA</v>
      </c>
      <c r="C2863" t="str">
        <f t="shared" si="506"/>
        <v>PIX</v>
      </c>
      <c r="D2863" t="str">
        <f>"22050"</f>
        <v>22050</v>
      </c>
      <c r="E2863" t="str">
        <f t="shared" si="508"/>
        <v>1</v>
      </c>
      <c r="F2863" t="str">
        <f t="shared" si="502"/>
        <v>COM</v>
      </c>
      <c r="G2863" t="str">
        <f>"ROBSON OLIVEIRA DE JESUS (623)"</f>
        <v>ROBSON OLIVEIRA DE JESUS (623)</v>
      </c>
      <c r="H2863" t="s">
        <v>782</v>
      </c>
      <c r="I2863" t="str">
        <f t="shared" si="507"/>
        <v>18/09/2025</v>
      </c>
      <c r="J2863" t="str">
        <f t="shared" si="509"/>
        <v>15/09/2025</v>
      </c>
      <c r="K2863">
        <v>45918</v>
      </c>
      <c r="N2863">
        <v>109</v>
      </c>
      <c r="O2863" t="s">
        <v>24</v>
      </c>
      <c r="Q2863">
        <v>700</v>
      </c>
      <c r="R2863" t="str">
        <f>"FARMÁCIA INDIANA LJ 145 (10068)"</f>
        <v>FARMÁCIA INDIANA LJ 145 (10068)</v>
      </c>
      <c r="S2863" t="s">
        <v>77</v>
      </c>
      <c r="T2863">
        <v>18496</v>
      </c>
      <c r="U2863">
        <v>22050</v>
      </c>
      <c r="V2863" t="s">
        <v>77</v>
      </c>
    </row>
    <row r="2864" spans="1:22">
      <c r="A2864" t="str">
        <f t="shared" si="505"/>
        <v>18/09/2025</v>
      </c>
      <c r="B2864" t="str">
        <f t="shared" si="504"/>
        <v>SAÍDA</v>
      </c>
      <c r="C2864" t="str">
        <f t="shared" si="506"/>
        <v>PIX</v>
      </c>
      <c r="D2864" t="str">
        <f>"22051"</f>
        <v>22051</v>
      </c>
      <c r="E2864" t="str">
        <f t="shared" si="508"/>
        <v>1</v>
      </c>
      <c r="F2864" t="str">
        <f t="shared" si="502"/>
        <v>COM</v>
      </c>
      <c r="G2864" t="str">
        <f>"TALES DE JESUS OLIVEIRA (318)"</f>
        <v>TALES DE JESUS OLIVEIRA (318)</v>
      </c>
      <c r="H2864" t="str">
        <f>"Serv.Prest. 08/09/2025 a 14/09/2025 - PIX: CPF - CHAVE: 378.223.888-51"</f>
        <v>Serv.Prest. 08/09/2025 a 14/09/2025 - PIX: CPF - CHAVE: 378.223.888-51</v>
      </c>
      <c r="I2864" t="str">
        <f t="shared" si="507"/>
        <v>18/09/2025</v>
      </c>
      <c r="J2864" t="str">
        <f t="shared" si="509"/>
        <v>15/09/2025</v>
      </c>
      <c r="K2864" t="str">
        <f>("18/09/2025")</f>
        <v>18/09/2025</v>
      </c>
      <c r="L2864">
        <v>702</v>
      </c>
      <c r="M2864">
        <v>700</v>
      </c>
      <c r="N2864">
        <v>109</v>
      </c>
      <c r="O2864" t="str">
        <f>"PAGAMENTO DE ENTREGADORES"</f>
        <v>PAGAMENTO DE ENTREGADORES</v>
      </c>
      <c r="P2864">
        <v>700</v>
      </c>
      <c r="S2864" t="str">
        <f>"BANCO C6 (149)"</f>
        <v>BANCO C6 (149)</v>
      </c>
      <c r="T2864">
        <v>18497</v>
      </c>
      <c r="U2864">
        <v>22051</v>
      </c>
      <c r="V2864" t="s">
        <v>77</v>
      </c>
    </row>
    <row r="2865" spans="1:22">
      <c r="A2865" t="str">
        <f t="shared" si="505"/>
        <v>18/09/2025</v>
      </c>
      <c r="B2865" t="str">
        <f t="shared" si="504"/>
        <v>SAÍDA</v>
      </c>
      <c r="C2865" t="str">
        <f t="shared" si="506"/>
        <v>PIX</v>
      </c>
      <c r="D2865" t="str">
        <f>"22051"</f>
        <v>22051</v>
      </c>
      <c r="E2865" t="str">
        <f t="shared" si="508"/>
        <v>1</v>
      </c>
      <c r="F2865" t="str">
        <f t="shared" si="502"/>
        <v>COM</v>
      </c>
      <c r="G2865" t="str">
        <f>"TALES DE JESUS OLIVEIRA (318)"</f>
        <v>TALES DE JESUS OLIVEIRA (318)</v>
      </c>
      <c r="H2865" t="s">
        <v>783</v>
      </c>
      <c r="I2865" t="str">
        <f t="shared" si="507"/>
        <v>18/09/2025</v>
      </c>
      <c r="J2865" t="str">
        <f t="shared" si="509"/>
        <v>15/09/2025</v>
      </c>
      <c r="K2865">
        <v>45918</v>
      </c>
      <c r="N2865">
        <v>109</v>
      </c>
      <c r="O2865" t="s">
        <v>24</v>
      </c>
      <c r="Q2865">
        <v>700</v>
      </c>
      <c r="R2865" t="str">
        <f>"FARMÁCIA INDIANA LJ 145 (10068)"</f>
        <v>FARMÁCIA INDIANA LJ 145 (10068)</v>
      </c>
      <c r="S2865" t="s">
        <v>77</v>
      </c>
      <c r="T2865">
        <v>18497</v>
      </c>
      <c r="U2865">
        <v>22051</v>
      </c>
      <c r="V2865" t="s">
        <v>77</v>
      </c>
    </row>
    <row r="2866" spans="1:22">
      <c r="A2866" t="str">
        <f t="shared" si="505"/>
        <v>18/09/2025</v>
      </c>
      <c r="B2866" t="str">
        <f t="shared" si="504"/>
        <v>SAÍDA</v>
      </c>
      <c r="C2866" t="str">
        <f t="shared" si="506"/>
        <v>PIX</v>
      </c>
      <c r="D2866" t="str">
        <f>"22088"</f>
        <v>22088</v>
      </c>
      <c r="E2866" t="str">
        <f t="shared" si="508"/>
        <v>1</v>
      </c>
      <c r="F2866" t="str">
        <f t="shared" si="502"/>
        <v>COM</v>
      </c>
      <c r="G2866" t="str">
        <f>"GILDASIO DOMINGOS DOS SANTOS (54)"</f>
        <v>GILDASIO DOMINGOS DOS SANTOS (54)</v>
      </c>
      <c r="H2866" t="str">
        <f>"Serv.Prest. 08/09/2025 a 14/09/2025 - PIX: CELULAR - CHAVE: (33) 98857-0494"</f>
        <v>Serv.Prest. 08/09/2025 a 14/09/2025 - PIX: CELULAR - CHAVE: (33) 98857-0494</v>
      </c>
      <c r="I2866" t="str">
        <f t="shared" si="507"/>
        <v>18/09/2025</v>
      </c>
      <c r="J2866" t="str">
        <f t="shared" ref="J2866:J2903" si="510">("16/09/2025")</f>
        <v>16/09/2025</v>
      </c>
      <c r="K2866" t="str">
        <f>("18/09/2025")</f>
        <v>18/09/2025</v>
      </c>
      <c r="L2866">
        <v>918</v>
      </c>
      <c r="M2866">
        <v>918</v>
      </c>
      <c r="N2866">
        <v>109</v>
      </c>
      <c r="O2866" t="str">
        <f>"PAGAMENTO DE ENTREGADORES"</f>
        <v>PAGAMENTO DE ENTREGADORES</v>
      </c>
      <c r="P2866">
        <v>918</v>
      </c>
      <c r="S2866" t="str">
        <f>"BANCO C6 (149)"</f>
        <v>BANCO C6 (149)</v>
      </c>
      <c r="T2866">
        <v>18498</v>
      </c>
      <c r="U2866">
        <v>22088</v>
      </c>
      <c r="V2866" t="s">
        <v>77</v>
      </c>
    </row>
    <row r="2867" spans="1:22">
      <c r="A2867" t="str">
        <f t="shared" si="505"/>
        <v>18/09/2025</v>
      </c>
      <c r="B2867" t="str">
        <f t="shared" si="504"/>
        <v>SAÍDA</v>
      </c>
      <c r="C2867" t="str">
        <f t="shared" si="506"/>
        <v>PIX</v>
      </c>
      <c r="D2867" t="str">
        <f>"22088"</f>
        <v>22088</v>
      </c>
      <c r="E2867" t="str">
        <f t="shared" si="508"/>
        <v>1</v>
      </c>
      <c r="F2867" t="str">
        <f t="shared" si="502"/>
        <v>COM</v>
      </c>
      <c r="G2867" t="str">
        <f>"GILDASIO DOMINGOS DOS SANTOS (54)"</f>
        <v>GILDASIO DOMINGOS DOS SANTOS (54)</v>
      </c>
      <c r="H2867" t="s">
        <v>784</v>
      </c>
      <c r="I2867" t="str">
        <f t="shared" si="507"/>
        <v>18/09/2025</v>
      </c>
      <c r="J2867" t="str">
        <f t="shared" si="510"/>
        <v>16/09/2025</v>
      </c>
      <c r="K2867">
        <v>45918</v>
      </c>
      <c r="N2867">
        <v>109</v>
      </c>
      <c r="O2867" t="s">
        <v>24</v>
      </c>
      <c r="Q2867">
        <v>918</v>
      </c>
      <c r="R2867" t="str">
        <f>"FARMÁCIA INDIANA LJ 07 (10007)"</f>
        <v>FARMÁCIA INDIANA LJ 07 (10007)</v>
      </c>
      <c r="S2867" t="s">
        <v>77</v>
      </c>
      <c r="T2867">
        <v>18498</v>
      </c>
      <c r="U2867">
        <v>22088</v>
      </c>
      <c r="V2867" t="s">
        <v>77</v>
      </c>
    </row>
    <row r="2868" spans="1:22">
      <c r="A2868" t="str">
        <f t="shared" si="505"/>
        <v>18/09/2025</v>
      </c>
      <c r="B2868" t="str">
        <f t="shared" si="504"/>
        <v>SAÍDA</v>
      </c>
      <c r="C2868" t="str">
        <f t="shared" si="506"/>
        <v>PIX</v>
      </c>
      <c r="D2868" t="str">
        <f>"22145"</f>
        <v>22145</v>
      </c>
      <c r="E2868" t="str">
        <f t="shared" si="508"/>
        <v>1</v>
      </c>
      <c r="F2868" t="str">
        <f t="shared" si="502"/>
        <v>COM</v>
      </c>
      <c r="G2868" t="str">
        <f>"SAMUEL JADSON SANTANA RIBEIRO (55)"</f>
        <v>SAMUEL JADSON SANTANA RIBEIRO (55)</v>
      </c>
      <c r="H2868" t="str">
        <f>"Serv.Prest. 08/09/2025 a 14/09/2025 - PIX: CPF - CHAVE: 701.955.866-62"</f>
        <v>Serv.Prest. 08/09/2025 a 14/09/2025 - PIX: CPF - CHAVE: 701.955.866-62</v>
      </c>
      <c r="I2868" t="str">
        <f t="shared" si="507"/>
        <v>18/09/2025</v>
      </c>
      <c r="J2868" t="str">
        <f t="shared" si="510"/>
        <v>16/09/2025</v>
      </c>
      <c r="K2868" t="str">
        <f>("18/09/2025")</f>
        <v>18/09/2025</v>
      </c>
      <c r="L2868">
        <v>942</v>
      </c>
      <c r="M2868">
        <v>942</v>
      </c>
      <c r="N2868">
        <v>109</v>
      </c>
      <c r="O2868" t="str">
        <f>"PAGAMENTO DE ENTREGADORES"</f>
        <v>PAGAMENTO DE ENTREGADORES</v>
      </c>
      <c r="P2868">
        <v>942</v>
      </c>
      <c r="S2868" t="str">
        <f>"BANCO C6 (149)"</f>
        <v>BANCO C6 (149)</v>
      </c>
      <c r="T2868">
        <v>18499</v>
      </c>
      <c r="U2868">
        <v>22145</v>
      </c>
      <c r="V2868" t="s">
        <v>77</v>
      </c>
    </row>
    <row r="2869" spans="1:22">
      <c r="A2869" t="str">
        <f t="shared" si="505"/>
        <v>18/09/2025</v>
      </c>
      <c r="B2869" t="str">
        <f t="shared" si="504"/>
        <v>SAÍDA</v>
      </c>
      <c r="C2869" t="str">
        <f t="shared" si="506"/>
        <v>PIX</v>
      </c>
      <c r="D2869" t="str">
        <f>"22145"</f>
        <v>22145</v>
      </c>
      <c r="E2869" t="str">
        <f t="shared" si="508"/>
        <v>1</v>
      </c>
      <c r="F2869" t="str">
        <f t="shared" si="502"/>
        <v>COM</v>
      </c>
      <c r="G2869" t="str">
        <f>"SAMUEL JADSON SANTANA RIBEIRO (55)"</f>
        <v>SAMUEL JADSON SANTANA RIBEIRO (55)</v>
      </c>
      <c r="H2869" t="s">
        <v>785</v>
      </c>
      <c r="I2869" t="str">
        <f t="shared" si="507"/>
        <v>18/09/2025</v>
      </c>
      <c r="J2869" t="str">
        <f t="shared" si="510"/>
        <v>16/09/2025</v>
      </c>
      <c r="K2869">
        <v>45918</v>
      </c>
      <c r="N2869">
        <v>109</v>
      </c>
      <c r="O2869" t="s">
        <v>24</v>
      </c>
      <c r="Q2869">
        <v>942</v>
      </c>
      <c r="R2869" t="str">
        <f>"FARMÁCIA INDIANA LJ 07 (10007)"</f>
        <v>FARMÁCIA INDIANA LJ 07 (10007)</v>
      </c>
      <c r="S2869" t="s">
        <v>77</v>
      </c>
      <c r="T2869">
        <v>18499</v>
      </c>
      <c r="U2869">
        <v>22145</v>
      </c>
      <c r="V2869" t="s">
        <v>77</v>
      </c>
    </row>
    <row r="2870" spans="1:22">
      <c r="A2870" t="str">
        <f t="shared" si="505"/>
        <v>18/09/2025</v>
      </c>
      <c r="B2870" t="str">
        <f t="shared" si="504"/>
        <v>SAÍDA</v>
      </c>
      <c r="C2870" t="str">
        <f t="shared" si="506"/>
        <v>PIX</v>
      </c>
      <c r="D2870" t="str">
        <f>"22150"</f>
        <v>22150</v>
      </c>
      <c r="E2870" t="str">
        <f t="shared" si="508"/>
        <v>1</v>
      </c>
      <c r="F2870" t="str">
        <f t="shared" si="502"/>
        <v>COM</v>
      </c>
      <c r="G2870" t="str">
        <f>"THALES VIANA DOS SANTOS (63)"</f>
        <v>THALES VIANA DOS SANTOS (63)</v>
      </c>
      <c r="H2870" t="str">
        <f>"Serv.Prest. 08/09/2025 a 14/09/2025 - PIX: CELULAR - CHAVE: (33) 99880-7941"</f>
        <v>Serv.Prest. 08/09/2025 a 14/09/2025 - PIX: CELULAR - CHAVE: (33) 99880-7941</v>
      </c>
      <c r="I2870" t="str">
        <f t="shared" si="507"/>
        <v>18/09/2025</v>
      </c>
      <c r="J2870" t="str">
        <f t="shared" si="510"/>
        <v>16/09/2025</v>
      </c>
      <c r="K2870" t="str">
        <f>("18/09/2025")</f>
        <v>18/09/2025</v>
      </c>
      <c r="L2870">
        <v>632</v>
      </c>
      <c r="M2870">
        <v>632</v>
      </c>
      <c r="N2870">
        <v>109</v>
      </c>
      <c r="O2870" t="str">
        <f>"PAGAMENTO DE ENTREGADORES"</f>
        <v>PAGAMENTO DE ENTREGADORES</v>
      </c>
      <c r="P2870">
        <v>632</v>
      </c>
      <c r="S2870" t="str">
        <f>"BANCO C6 (149)"</f>
        <v>BANCO C6 (149)</v>
      </c>
      <c r="T2870">
        <v>18500</v>
      </c>
      <c r="U2870">
        <v>22150</v>
      </c>
      <c r="V2870" t="s">
        <v>77</v>
      </c>
    </row>
    <row r="2871" spans="1:22">
      <c r="A2871" t="str">
        <f t="shared" si="505"/>
        <v>18/09/2025</v>
      </c>
      <c r="B2871" t="str">
        <f t="shared" si="504"/>
        <v>SAÍDA</v>
      </c>
      <c r="C2871" t="str">
        <f t="shared" si="506"/>
        <v>PIX</v>
      </c>
      <c r="D2871" t="str">
        <f>"22150"</f>
        <v>22150</v>
      </c>
      <c r="E2871" t="str">
        <f t="shared" si="508"/>
        <v>1</v>
      </c>
      <c r="F2871" t="str">
        <f t="shared" si="502"/>
        <v>COM</v>
      </c>
      <c r="G2871" t="str">
        <f>"THALES VIANA DOS SANTOS (63)"</f>
        <v>THALES VIANA DOS SANTOS (63)</v>
      </c>
      <c r="H2871" t="s">
        <v>607</v>
      </c>
      <c r="I2871" t="str">
        <f t="shared" si="507"/>
        <v>18/09/2025</v>
      </c>
      <c r="J2871" t="str">
        <f t="shared" si="510"/>
        <v>16/09/2025</v>
      </c>
      <c r="K2871">
        <v>45918</v>
      </c>
      <c r="N2871">
        <v>109</v>
      </c>
      <c r="O2871" t="s">
        <v>24</v>
      </c>
      <c r="Q2871">
        <v>632</v>
      </c>
      <c r="R2871" t="str">
        <f>"FARMÁCIA INDIANA LJ 07 (10007)"</f>
        <v>FARMÁCIA INDIANA LJ 07 (10007)</v>
      </c>
      <c r="S2871" t="s">
        <v>77</v>
      </c>
      <c r="T2871">
        <v>18500</v>
      </c>
      <c r="U2871">
        <v>22150</v>
      </c>
      <c r="V2871" t="s">
        <v>77</v>
      </c>
    </row>
    <row r="2872" spans="1:22">
      <c r="A2872" t="str">
        <f t="shared" si="505"/>
        <v>18/09/2025</v>
      </c>
      <c r="B2872" t="str">
        <f t="shared" si="504"/>
        <v>SAÍDA</v>
      </c>
      <c r="C2872" t="str">
        <f t="shared" si="506"/>
        <v>PIX</v>
      </c>
      <c r="D2872" t="str">
        <f>"22157"</f>
        <v>22157</v>
      </c>
      <c r="E2872" t="str">
        <f t="shared" si="508"/>
        <v>1</v>
      </c>
      <c r="F2872" t="str">
        <f t="shared" si="502"/>
        <v>COM</v>
      </c>
      <c r="G2872" t="str">
        <f>"WEIGNE SENA CARDOSO (53)"</f>
        <v>WEIGNE SENA CARDOSO (53)</v>
      </c>
      <c r="H2872" t="str">
        <f>"Serv.Prest. 08/09/2025 a 14/09/2025 - PIX: CPF - CHAVE: 097.245.586-81"</f>
        <v>Serv.Prest. 08/09/2025 a 14/09/2025 - PIX: CPF - CHAVE: 097.245.586-81</v>
      </c>
      <c r="I2872" t="str">
        <f t="shared" si="507"/>
        <v>18/09/2025</v>
      </c>
      <c r="J2872" t="str">
        <f t="shared" si="510"/>
        <v>16/09/2025</v>
      </c>
      <c r="K2872" t="str">
        <f>("18/09/2025")</f>
        <v>18/09/2025</v>
      </c>
      <c r="L2872">
        <v>474</v>
      </c>
      <c r="M2872">
        <v>474</v>
      </c>
      <c r="N2872">
        <v>109</v>
      </c>
      <c r="O2872" t="str">
        <f>"PAGAMENTO DE ENTREGADORES"</f>
        <v>PAGAMENTO DE ENTREGADORES</v>
      </c>
      <c r="P2872">
        <v>474</v>
      </c>
      <c r="S2872" t="str">
        <f>"BANCO C6 (149)"</f>
        <v>BANCO C6 (149)</v>
      </c>
      <c r="T2872">
        <v>18501</v>
      </c>
      <c r="U2872">
        <v>22157</v>
      </c>
      <c r="V2872" t="s">
        <v>77</v>
      </c>
    </row>
    <row r="2873" spans="1:22">
      <c r="A2873" t="str">
        <f t="shared" si="505"/>
        <v>18/09/2025</v>
      </c>
      <c r="B2873" t="str">
        <f t="shared" si="504"/>
        <v>SAÍDA</v>
      </c>
      <c r="C2873" t="str">
        <f t="shared" si="506"/>
        <v>PIX</v>
      </c>
      <c r="D2873" t="str">
        <f>"22157"</f>
        <v>22157</v>
      </c>
      <c r="E2873" t="str">
        <f t="shared" si="508"/>
        <v>1</v>
      </c>
      <c r="F2873" t="str">
        <f t="shared" si="502"/>
        <v>COM</v>
      </c>
      <c r="G2873" t="str">
        <f>"WEIGNE SENA CARDOSO (53)"</f>
        <v>WEIGNE SENA CARDOSO (53)</v>
      </c>
      <c r="H2873" t="s">
        <v>609</v>
      </c>
      <c r="I2873" t="str">
        <f t="shared" si="507"/>
        <v>18/09/2025</v>
      </c>
      <c r="J2873" t="str">
        <f t="shared" si="510"/>
        <v>16/09/2025</v>
      </c>
      <c r="K2873">
        <v>45918</v>
      </c>
      <c r="N2873">
        <v>109</v>
      </c>
      <c r="O2873" t="s">
        <v>24</v>
      </c>
      <c r="Q2873">
        <v>474</v>
      </c>
      <c r="R2873" t="str">
        <f>"FARMÁCIA INDIANA LJ 07 (10007)"</f>
        <v>FARMÁCIA INDIANA LJ 07 (10007)</v>
      </c>
      <c r="S2873" t="s">
        <v>77</v>
      </c>
      <c r="T2873">
        <v>18501</v>
      </c>
      <c r="U2873">
        <v>22157</v>
      </c>
      <c r="V2873" t="s">
        <v>77</v>
      </c>
    </row>
    <row r="2874" spans="1:22">
      <c r="A2874" t="str">
        <f t="shared" si="505"/>
        <v>18/09/2025</v>
      </c>
      <c r="B2874" t="str">
        <f t="shared" si="504"/>
        <v>SAÍDA</v>
      </c>
      <c r="C2874" t="str">
        <f t="shared" si="506"/>
        <v>PIX</v>
      </c>
      <c r="D2874" t="str">
        <f>"22166"</f>
        <v>22166</v>
      </c>
      <c r="E2874" t="str">
        <f t="shared" si="508"/>
        <v>1</v>
      </c>
      <c r="F2874" t="str">
        <f t="shared" si="502"/>
        <v>COM</v>
      </c>
      <c r="G2874" t="str">
        <f>"ALBERTO FARIAS DOS SANTOS JUNIOR (800)"</f>
        <v>ALBERTO FARIAS DOS SANTOS JUNIOR (800)</v>
      </c>
      <c r="H2874" t="str">
        <f>"Serv.Prest. 08/09/2025 a 14/09/2025 - PIX: CELULAR - CHAVE: (71) 99696-7530"</f>
        <v>Serv.Prest. 08/09/2025 a 14/09/2025 - PIX: CELULAR - CHAVE: (71) 99696-7530</v>
      </c>
      <c r="I2874" t="str">
        <f t="shared" si="507"/>
        <v>18/09/2025</v>
      </c>
      <c r="J2874" t="str">
        <f t="shared" si="510"/>
        <v>16/09/2025</v>
      </c>
      <c r="K2874" t="str">
        <f>("18/09/2025")</f>
        <v>18/09/2025</v>
      </c>
      <c r="L2874">
        <v>790</v>
      </c>
      <c r="M2874">
        <v>790</v>
      </c>
      <c r="N2874">
        <v>109</v>
      </c>
      <c r="O2874" t="str">
        <f>"PAGAMENTO DE ENTREGADORES"</f>
        <v>PAGAMENTO DE ENTREGADORES</v>
      </c>
      <c r="P2874">
        <v>790</v>
      </c>
      <c r="S2874" t="str">
        <f>"BANCO C6 (149)"</f>
        <v>BANCO C6 (149)</v>
      </c>
      <c r="T2874">
        <v>18502</v>
      </c>
      <c r="U2874">
        <v>22166</v>
      </c>
      <c r="V2874" t="s">
        <v>77</v>
      </c>
    </row>
    <row r="2875" spans="1:22">
      <c r="A2875" t="str">
        <f t="shared" si="505"/>
        <v>18/09/2025</v>
      </c>
      <c r="B2875" t="str">
        <f t="shared" si="504"/>
        <v>SAÍDA</v>
      </c>
      <c r="C2875" t="str">
        <f t="shared" si="506"/>
        <v>PIX</v>
      </c>
      <c r="D2875" t="str">
        <f>"22166"</f>
        <v>22166</v>
      </c>
      <c r="E2875" t="str">
        <f t="shared" si="508"/>
        <v>1</v>
      </c>
      <c r="F2875" t="str">
        <f t="shared" ref="F2875:F2909" si="511">"COM"</f>
        <v>COM</v>
      </c>
      <c r="G2875" t="str">
        <f>"ALBERTO FARIAS DOS SANTOS JUNIOR (800)"</f>
        <v>ALBERTO FARIAS DOS SANTOS JUNIOR (800)</v>
      </c>
      <c r="H2875" t="s">
        <v>786</v>
      </c>
      <c r="I2875" t="str">
        <f t="shared" si="507"/>
        <v>18/09/2025</v>
      </c>
      <c r="J2875" t="str">
        <f t="shared" si="510"/>
        <v>16/09/2025</v>
      </c>
      <c r="K2875">
        <v>45918</v>
      </c>
      <c r="N2875">
        <v>109</v>
      </c>
      <c r="O2875" t="s">
        <v>24</v>
      </c>
      <c r="Q2875">
        <v>790</v>
      </c>
      <c r="R2875" t="str">
        <f>"DELTA LOJA 2 (10123)"</f>
        <v>DELTA LOJA 2 (10123)</v>
      </c>
      <c r="S2875" t="s">
        <v>77</v>
      </c>
      <c r="T2875">
        <v>18502</v>
      </c>
      <c r="U2875">
        <v>22166</v>
      </c>
      <c r="V2875" t="s">
        <v>77</v>
      </c>
    </row>
    <row r="2876" spans="1:22">
      <c r="A2876" t="str">
        <f t="shared" si="505"/>
        <v>18/09/2025</v>
      </c>
      <c r="B2876" t="str">
        <f t="shared" si="504"/>
        <v>SAÍDA</v>
      </c>
      <c r="C2876" t="str">
        <f t="shared" si="506"/>
        <v>PIX</v>
      </c>
      <c r="D2876" t="str">
        <f>"22167"</f>
        <v>22167</v>
      </c>
      <c r="E2876" t="str">
        <f t="shared" si="508"/>
        <v>1</v>
      </c>
      <c r="F2876" t="str">
        <f t="shared" si="511"/>
        <v>COM</v>
      </c>
      <c r="G2876" t="str">
        <f>"EDNUBIA RAMOS ALVES OLIVEIRA (899)"</f>
        <v>EDNUBIA RAMOS ALVES OLIVEIRA (899)</v>
      </c>
      <c r="H2876" t="str">
        <f>"Serv.Prest. 08/09/2025 a 14/09/2025 - PIX: CELULAR - CHAVE: (71) 99214-9256"</f>
        <v>Serv.Prest. 08/09/2025 a 14/09/2025 - PIX: CELULAR - CHAVE: (71) 99214-9256</v>
      </c>
      <c r="I2876" t="str">
        <f t="shared" si="507"/>
        <v>18/09/2025</v>
      </c>
      <c r="J2876" t="str">
        <f t="shared" si="510"/>
        <v>16/09/2025</v>
      </c>
      <c r="K2876" t="str">
        <f>("18/09/2025")</f>
        <v>18/09/2025</v>
      </c>
      <c r="L2876">
        <v>800</v>
      </c>
      <c r="M2876">
        <v>800</v>
      </c>
      <c r="N2876">
        <v>109</v>
      </c>
      <c r="O2876" t="str">
        <f>"PAGAMENTO DE ENTREGADORES"</f>
        <v>PAGAMENTO DE ENTREGADORES</v>
      </c>
      <c r="P2876">
        <v>800</v>
      </c>
      <c r="S2876" t="str">
        <f>"BANCO C6 (149)"</f>
        <v>BANCO C6 (149)</v>
      </c>
      <c r="T2876">
        <v>18503</v>
      </c>
      <c r="U2876">
        <v>22167</v>
      </c>
      <c r="V2876" t="s">
        <v>77</v>
      </c>
    </row>
    <row r="2877" spans="1:22">
      <c r="A2877" t="str">
        <f t="shared" si="505"/>
        <v>18/09/2025</v>
      </c>
      <c r="B2877" t="str">
        <f t="shared" si="504"/>
        <v>SAÍDA</v>
      </c>
      <c r="C2877" t="str">
        <f t="shared" si="506"/>
        <v>PIX</v>
      </c>
      <c r="D2877" t="str">
        <f>"22167"</f>
        <v>22167</v>
      </c>
      <c r="E2877" t="str">
        <f t="shared" si="508"/>
        <v>1</v>
      </c>
      <c r="F2877" t="str">
        <f t="shared" si="511"/>
        <v>COM</v>
      </c>
      <c r="G2877" t="str">
        <f>"EDNUBIA RAMOS ALVES OLIVEIRA (899)"</f>
        <v>EDNUBIA RAMOS ALVES OLIVEIRA (899)</v>
      </c>
      <c r="H2877" t="s">
        <v>787</v>
      </c>
      <c r="I2877" t="str">
        <f t="shared" si="507"/>
        <v>18/09/2025</v>
      </c>
      <c r="J2877" t="str">
        <f t="shared" si="510"/>
        <v>16/09/2025</v>
      </c>
      <c r="K2877">
        <v>45918</v>
      </c>
      <c r="N2877">
        <v>109</v>
      </c>
      <c r="O2877" t="s">
        <v>24</v>
      </c>
      <c r="Q2877">
        <v>800</v>
      </c>
      <c r="R2877" t="str">
        <f>"DELTA LOJA 2 (10123)"</f>
        <v>DELTA LOJA 2 (10123)</v>
      </c>
      <c r="S2877" t="s">
        <v>77</v>
      </c>
      <c r="T2877">
        <v>18503</v>
      </c>
      <c r="U2877">
        <v>22167</v>
      </c>
      <c r="V2877" t="s">
        <v>77</v>
      </c>
    </row>
    <row r="2878" spans="1:22">
      <c r="A2878" t="str">
        <f t="shared" si="505"/>
        <v>18/09/2025</v>
      </c>
      <c r="B2878" t="str">
        <f t="shared" si="504"/>
        <v>SAÍDA</v>
      </c>
      <c r="C2878" t="str">
        <f t="shared" si="506"/>
        <v>PIX</v>
      </c>
      <c r="D2878" t="str">
        <f>"22168"</f>
        <v>22168</v>
      </c>
      <c r="E2878" t="str">
        <f t="shared" si="508"/>
        <v>1</v>
      </c>
      <c r="F2878" t="str">
        <f t="shared" si="511"/>
        <v>COM</v>
      </c>
      <c r="G2878" t="str">
        <f>"EDVAN DA SILVA ALVES (934)"</f>
        <v>EDVAN DA SILVA ALVES (934)</v>
      </c>
      <c r="H2878" t="str">
        <f>"Serv.Prest. 08/09/2025 a 14/09/2025 - PIX: E-MAIL - CHAVE: edvam18.alves@gmail.com"</f>
        <v>Serv.Prest. 08/09/2025 a 14/09/2025 - PIX: E-MAIL - CHAVE: edvam18.alves@gmail.com</v>
      </c>
      <c r="I2878" t="str">
        <f t="shared" si="507"/>
        <v>18/09/2025</v>
      </c>
      <c r="J2878" t="str">
        <f t="shared" si="510"/>
        <v>16/09/2025</v>
      </c>
      <c r="K2878" t="str">
        <f>("18/09/2025")</f>
        <v>18/09/2025</v>
      </c>
      <c r="L2878">
        <v>750</v>
      </c>
      <c r="M2878">
        <v>750</v>
      </c>
      <c r="N2878">
        <v>109</v>
      </c>
      <c r="O2878" t="str">
        <f>"PAGAMENTO DE ENTREGADORES"</f>
        <v>PAGAMENTO DE ENTREGADORES</v>
      </c>
      <c r="P2878">
        <v>750</v>
      </c>
      <c r="S2878" t="str">
        <f>"BANCO C6 (149)"</f>
        <v>BANCO C6 (149)</v>
      </c>
      <c r="T2878">
        <v>18504</v>
      </c>
      <c r="U2878">
        <v>22168</v>
      </c>
      <c r="V2878" t="s">
        <v>77</v>
      </c>
    </row>
    <row r="2879" spans="1:22">
      <c r="A2879" t="str">
        <f t="shared" si="505"/>
        <v>18/09/2025</v>
      </c>
      <c r="B2879" t="str">
        <f t="shared" si="504"/>
        <v>SAÍDA</v>
      </c>
      <c r="C2879" t="str">
        <f t="shared" si="506"/>
        <v>PIX</v>
      </c>
      <c r="D2879" t="str">
        <f>"22168"</f>
        <v>22168</v>
      </c>
      <c r="E2879" t="str">
        <f t="shared" si="508"/>
        <v>1</v>
      </c>
      <c r="F2879" t="str">
        <f t="shared" si="511"/>
        <v>COM</v>
      </c>
      <c r="G2879" t="str">
        <f>"EDVAN DA SILVA ALVES (934)"</f>
        <v>EDVAN DA SILVA ALVES (934)</v>
      </c>
      <c r="H2879" t="s">
        <v>788</v>
      </c>
      <c r="I2879" t="str">
        <f t="shared" si="507"/>
        <v>18/09/2025</v>
      </c>
      <c r="J2879" t="str">
        <f t="shared" si="510"/>
        <v>16/09/2025</v>
      </c>
      <c r="K2879">
        <v>45918</v>
      </c>
      <c r="N2879">
        <v>109</v>
      </c>
      <c r="O2879" t="s">
        <v>24</v>
      </c>
      <c r="Q2879">
        <v>750</v>
      </c>
      <c r="R2879" t="str">
        <f>"DELTA LOJA 2 (10123)"</f>
        <v>DELTA LOJA 2 (10123)</v>
      </c>
      <c r="S2879" t="s">
        <v>77</v>
      </c>
      <c r="T2879">
        <v>18504</v>
      </c>
      <c r="U2879">
        <v>22168</v>
      </c>
      <c r="V2879" t="s">
        <v>77</v>
      </c>
    </row>
    <row r="2880" spans="1:22">
      <c r="A2880" t="str">
        <f t="shared" si="505"/>
        <v>18/09/2025</v>
      </c>
      <c r="B2880" t="str">
        <f t="shared" si="504"/>
        <v>SAÍDA</v>
      </c>
      <c r="C2880" t="str">
        <f t="shared" si="506"/>
        <v>PIX</v>
      </c>
      <c r="D2880" t="str">
        <f>"22169"</f>
        <v>22169</v>
      </c>
      <c r="E2880" t="str">
        <f t="shared" si="508"/>
        <v>1</v>
      </c>
      <c r="F2880" t="str">
        <f t="shared" si="511"/>
        <v>COM</v>
      </c>
      <c r="G2880" t="str">
        <f>"ELIENAI ROSA DO NASCIMENTO (343)"</f>
        <v>ELIENAI ROSA DO NASCIMENTO (343)</v>
      </c>
      <c r="H2880" t="str">
        <f>"Serv.Prest. 08/09/2025 a 14/09/2025 - PIX: CPF - CHAVE: 048.672.645-20"</f>
        <v>Serv.Prest. 08/09/2025 a 14/09/2025 - PIX: CPF - CHAVE: 048.672.645-20</v>
      </c>
      <c r="I2880" t="str">
        <f t="shared" si="507"/>
        <v>18/09/2025</v>
      </c>
      <c r="J2880" t="str">
        <f t="shared" si="510"/>
        <v>16/09/2025</v>
      </c>
      <c r="K2880" t="str">
        <f>("18/09/2025")</f>
        <v>18/09/2025</v>
      </c>
      <c r="L2880">
        <v>720</v>
      </c>
      <c r="M2880">
        <v>720</v>
      </c>
      <c r="N2880">
        <v>109</v>
      </c>
      <c r="O2880" t="str">
        <f>"PAGAMENTO DE ENTREGADORES"</f>
        <v>PAGAMENTO DE ENTREGADORES</v>
      </c>
      <c r="P2880">
        <v>720</v>
      </c>
      <c r="S2880" t="str">
        <f>"BANCO C6 (149)"</f>
        <v>BANCO C6 (149)</v>
      </c>
      <c r="T2880">
        <v>18505</v>
      </c>
      <c r="U2880">
        <v>22169</v>
      </c>
      <c r="V2880" t="s">
        <v>77</v>
      </c>
    </row>
    <row r="2881" spans="1:22">
      <c r="A2881" t="str">
        <f t="shared" si="505"/>
        <v>18/09/2025</v>
      </c>
      <c r="B2881" t="str">
        <f t="shared" si="504"/>
        <v>SAÍDA</v>
      </c>
      <c r="C2881" t="str">
        <f t="shared" si="506"/>
        <v>PIX</v>
      </c>
      <c r="D2881" t="str">
        <f>"22169"</f>
        <v>22169</v>
      </c>
      <c r="E2881" t="str">
        <f t="shared" si="508"/>
        <v>1</v>
      </c>
      <c r="F2881" t="str">
        <f t="shared" si="511"/>
        <v>COM</v>
      </c>
      <c r="G2881" t="str">
        <f>"ELIENAI ROSA DO NASCIMENTO (343)"</f>
        <v>ELIENAI ROSA DO NASCIMENTO (343)</v>
      </c>
      <c r="H2881" t="s">
        <v>789</v>
      </c>
      <c r="I2881" t="str">
        <f t="shared" si="507"/>
        <v>18/09/2025</v>
      </c>
      <c r="J2881" t="str">
        <f t="shared" si="510"/>
        <v>16/09/2025</v>
      </c>
      <c r="K2881">
        <v>45918</v>
      </c>
      <c r="N2881">
        <v>109</v>
      </c>
      <c r="O2881" t="s">
        <v>24</v>
      </c>
      <c r="Q2881">
        <v>720</v>
      </c>
      <c r="R2881" t="str">
        <f>"DELTA LOJA 2 (10123)"</f>
        <v>DELTA LOJA 2 (10123)</v>
      </c>
      <c r="S2881" t="s">
        <v>77</v>
      </c>
      <c r="T2881">
        <v>18505</v>
      </c>
      <c r="U2881">
        <v>22169</v>
      </c>
      <c r="V2881" t="s">
        <v>77</v>
      </c>
    </row>
    <row r="2882" spans="1:22">
      <c r="A2882" t="str">
        <f t="shared" si="505"/>
        <v>18/09/2025</v>
      </c>
      <c r="B2882" t="str">
        <f t="shared" si="504"/>
        <v>SAÍDA</v>
      </c>
      <c r="C2882" t="str">
        <f t="shared" si="506"/>
        <v>PIX</v>
      </c>
      <c r="D2882" t="str">
        <f>"22187"</f>
        <v>22187</v>
      </c>
      <c r="E2882" t="str">
        <f t="shared" si="508"/>
        <v>1</v>
      </c>
      <c r="F2882" t="str">
        <f t="shared" si="511"/>
        <v>COM</v>
      </c>
      <c r="G2882" t="str">
        <f>"WILLIAM DA SILVA COSTA (655)"</f>
        <v>WILLIAM DA SILVA COSTA (655)</v>
      </c>
      <c r="H2882" t="str">
        <f>"Serv.Prest. 08/09/2025 a 14/09/2025 - PIX: CELULAR - CHAVE: (64) 97400-9101"</f>
        <v>Serv.Prest. 08/09/2025 a 14/09/2025 - PIX: CELULAR - CHAVE: (64) 97400-9101</v>
      </c>
      <c r="I2882" t="str">
        <f t="shared" si="507"/>
        <v>18/09/2025</v>
      </c>
      <c r="J2882" t="str">
        <f t="shared" si="510"/>
        <v>16/09/2025</v>
      </c>
      <c r="K2882" t="str">
        <f>("18/09/2025")</f>
        <v>18/09/2025</v>
      </c>
      <c r="L2882">
        <v>1456</v>
      </c>
      <c r="M2882">
        <v>1456</v>
      </c>
      <c r="N2882">
        <v>109</v>
      </c>
      <c r="O2882" t="str">
        <f>"PAGAMENTO DE ENTREGADORES"</f>
        <v>PAGAMENTO DE ENTREGADORES</v>
      </c>
      <c r="P2882">
        <v>1456</v>
      </c>
      <c r="S2882" t="str">
        <f>"BANCO C6 (149)"</f>
        <v>BANCO C6 (149)</v>
      </c>
      <c r="T2882">
        <v>18506</v>
      </c>
      <c r="U2882">
        <v>22187</v>
      </c>
      <c r="V2882" t="s">
        <v>77</v>
      </c>
    </row>
    <row r="2883" spans="1:22">
      <c r="A2883" t="str">
        <f t="shared" si="505"/>
        <v>18/09/2025</v>
      </c>
      <c r="B2883" t="str">
        <f t="shared" si="504"/>
        <v>SAÍDA</v>
      </c>
      <c r="C2883" t="str">
        <f t="shared" si="506"/>
        <v>PIX</v>
      </c>
      <c r="D2883" t="str">
        <f>"22187"</f>
        <v>22187</v>
      </c>
      <c r="E2883" t="str">
        <f t="shared" si="508"/>
        <v>1</v>
      </c>
      <c r="F2883" t="str">
        <f t="shared" si="511"/>
        <v>COM</v>
      </c>
      <c r="G2883" t="str">
        <f>"WILLIAM DA SILVA COSTA (655)"</f>
        <v>WILLIAM DA SILVA COSTA (655)</v>
      </c>
      <c r="H2883" t="s">
        <v>564</v>
      </c>
      <c r="I2883" t="str">
        <f t="shared" si="507"/>
        <v>18/09/2025</v>
      </c>
      <c r="J2883" t="str">
        <f t="shared" si="510"/>
        <v>16/09/2025</v>
      </c>
      <c r="K2883">
        <v>45918</v>
      </c>
      <c r="N2883">
        <v>109</v>
      </c>
      <c r="O2883" t="s">
        <v>24</v>
      </c>
      <c r="Q2883">
        <v>1456</v>
      </c>
      <c r="R2883" t="str">
        <f>"FARMACIA ECONOMIZE (10103)"</f>
        <v>FARMACIA ECONOMIZE (10103)</v>
      </c>
      <c r="S2883" t="s">
        <v>77</v>
      </c>
      <c r="T2883">
        <v>18506</v>
      </c>
      <c r="U2883">
        <v>22187</v>
      </c>
      <c r="V2883" t="s">
        <v>77</v>
      </c>
    </row>
    <row r="2884" spans="1:22">
      <c r="A2884" t="str">
        <f t="shared" si="505"/>
        <v>18/09/2025</v>
      </c>
      <c r="B2884" t="str">
        <f t="shared" si="504"/>
        <v>SAÍDA</v>
      </c>
      <c r="C2884" t="str">
        <f t="shared" si="506"/>
        <v>PIX</v>
      </c>
      <c r="D2884" t="str">
        <f>"22186"</f>
        <v>22186</v>
      </c>
      <c r="E2884" t="str">
        <f t="shared" si="508"/>
        <v>1</v>
      </c>
      <c r="F2884" t="str">
        <f t="shared" si="511"/>
        <v>COM</v>
      </c>
      <c r="G2884" t="str">
        <f>"LUIZ FERNANDO OLIVEIRA DE JESUS (932)"</f>
        <v>LUIZ FERNANDO OLIVEIRA DE JESUS (932)</v>
      </c>
      <c r="H2884" t="str">
        <f>"Serv.Prest. 08/09/2025 a 14/09/2025 - PIX: CPF - CHAVE: 707.468.161-03"</f>
        <v>Serv.Prest. 08/09/2025 a 14/09/2025 - PIX: CPF - CHAVE: 707.468.161-03</v>
      </c>
      <c r="I2884" t="str">
        <f t="shared" si="507"/>
        <v>18/09/2025</v>
      </c>
      <c r="J2884" t="str">
        <f t="shared" si="510"/>
        <v>16/09/2025</v>
      </c>
      <c r="K2884" t="str">
        <f>("18/09/2025")</f>
        <v>18/09/2025</v>
      </c>
      <c r="L2884">
        <v>336</v>
      </c>
      <c r="M2884">
        <v>336</v>
      </c>
      <c r="N2884">
        <v>109</v>
      </c>
      <c r="O2884" t="str">
        <f>"PAGAMENTO DE ENTREGADORES"</f>
        <v>PAGAMENTO DE ENTREGADORES</v>
      </c>
      <c r="P2884">
        <v>336</v>
      </c>
      <c r="S2884" t="str">
        <f>"BANCO C6 (149)"</f>
        <v>BANCO C6 (149)</v>
      </c>
      <c r="T2884">
        <v>18507</v>
      </c>
      <c r="U2884">
        <v>22186</v>
      </c>
      <c r="V2884" t="s">
        <v>77</v>
      </c>
    </row>
    <row r="2885" spans="1:22">
      <c r="A2885" t="str">
        <f t="shared" si="505"/>
        <v>18/09/2025</v>
      </c>
      <c r="B2885" t="str">
        <f t="shared" ref="B2885:B2905" si="512">"SAÍDA"</f>
        <v>SAÍDA</v>
      </c>
      <c r="C2885" t="str">
        <f t="shared" si="506"/>
        <v>PIX</v>
      </c>
      <c r="D2885" t="str">
        <f>"22186"</f>
        <v>22186</v>
      </c>
      <c r="E2885" t="str">
        <f t="shared" si="508"/>
        <v>1</v>
      </c>
      <c r="F2885" t="str">
        <f t="shared" si="511"/>
        <v>COM</v>
      </c>
      <c r="G2885" t="str">
        <f>"LUIZ FERNANDO OLIVEIRA DE JESUS (932)"</f>
        <v>LUIZ FERNANDO OLIVEIRA DE JESUS (932)</v>
      </c>
      <c r="H2885" t="s">
        <v>790</v>
      </c>
      <c r="I2885" t="str">
        <f t="shared" si="507"/>
        <v>18/09/2025</v>
      </c>
      <c r="J2885" t="str">
        <f t="shared" si="510"/>
        <v>16/09/2025</v>
      </c>
      <c r="K2885">
        <v>45918</v>
      </c>
      <c r="N2885">
        <v>109</v>
      </c>
      <c r="O2885" t="s">
        <v>24</v>
      </c>
      <c r="Q2885">
        <v>336</v>
      </c>
      <c r="R2885" t="str">
        <f>"FARMACIA ECONOMIZE (10103)"</f>
        <v>FARMACIA ECONOMIZE (10103)</v>
      </c>
      <c r="S2885" t="s">
        <v>77</v>
      </c>
      <c r="T2885">
        <v>18507</v>
      </c>
      <c r="U2885">
        <v>22186</v>
      </c>
      <c r="V2885" t="s">
        <v>77</v>
      </c>
    </row>
    <row r="2886" spans="1:22">
      <c r="A2886" t="str">
        <f t="shared" si="505"/>
        <v>18/09/2025</v>
      </c>
      <c r="B2886" t="str">
        <f t="shared" si="512"/>
        <v>SAÍDA</v>
      </c>
      <c r="C2886" t="str">
        <f t="shared" si="506"/>
        <v>PIX</v>
      </c>
      <c r="D2886" t="str">
        <f>"22185"</f>
        <v>22185</v>
      </c>
      <c r="E2886" t="str">
        <f t="shared" si="508"/>
        <v>1</v>
      </c>
      <c r="F2886" t="str">
        <f t="shared" si="511"/>
        <v>COM</v>
      </c>
      <c r="G2886" t="str">
        <f>"JONATAS GABRIEL PEREIRA SILVA (662)"</f>
        <v>JONATAS GABRIEL PEREIRA SILVA (662)</v>
      </c>
      <c r="H2886" t="str">
        <f>"Serv.Prest. 08/09/2025 a 14/09/2025 - PIX: CELULAR - CHAVE: (64) 98118-5132"</f>
        <v>Serv.Prest. 08/09/2025 a 14/09/2025 - PIX: CELULAR - CHAVE: (64) 98118-5132</v>
      </c>
      <c r="I2886" t="str">
        <f t="shared" si="507"/>
        <v>18/09/2025</v>
      </c>
      <c r="J2886" t="str">
        <f t="shared" si="510"/>
        <v>16/09/2025</v>
      </c>
      <c r="K2886" t="str">
        <f>("18/09/2025")</f>
        <v>18/09/2025</v>
      </c>
      <c r="L2886">
        <v>392</v>
      </c>
      <c r="M2886">
        <v>392</v>
      </c>
      <c r="N2886">
        <v>109</v>
      </c>
      <c r="O2886" t="str">
        <f>"PAGAMENTO DE ENTREGADORES"</f>
        <v>PAGAMENTO DE ENTREGADORES</v>
      </c>
      <c r="P2886">
        <v>392</v>
      </c>
      <c r="S2886" t="str">
        <f>"BANCO C6 (149)"</f>
        <v>BANCO C6 (149)</v>
      </c>
      <c r="T2886">
        <v>18508</v>
      </c>
      <c r="U2886">
        <v>22185</v>
      </c>
      <c r="V2886" t="s">
        <v>77</v>
      </c>
    </row>
    <row r="2887" spans="1:22">
      <c r="A2887" t="str">
        <f t="shared" si="505"/>
        <v>18/09/2025</v>
      </c>
      <c r="B2887" t="str">
        <f t="shared" si="512"/>
        <v>SAÍDA</v>
      </c>
      <c r="C2887" t="str">
        <f t="shared" si="506"/>
        <v>PIX</v>
      </c>
      <c r="D2887" t="str">
        <f>"22185"</f>
        <v>22185</v>
      </c>
      <c r="E2887" t="str">
        <f t="shared" si="508"/>
        <v>1</v>
      </c>
      <c r="F2887" t="str">
        <f t="shared" si="511"/>
        <v>COM</v>
      </c>
      <c r="G2887" t="str">
        <f>"JONATAS GABRIEL PEREIRA SILVA (662)"</f>
        <v>JONATAS GABRIEL PEREIRA SILVA (662)</v>
      </c>
      <c r="H2887" t="s">
        <v>791</v>
      </c>
      <c r="I2887" t="str">
        <f t="shared" si="507"/>
        <v>18/09/2025</v>
      </c>
      <c r="J2887" t="str">
        <f t="shared" si="510"/>
        <v>16/09/2025</v>
      </c>
      <c r="K2887">
        <v>45918</v>
      </c>
      <c r="N2887">
        <v>109</v>
      </c>
      <c r="O2887" t="s">
        <v>24</v>
      </c>
      <c r="Q2887">
        <v>392</v>
      </c>
      <c r="R2887" t="str">
        <f>"FARMACIA ECONOMIZE (10103)"</f>
        <v>FARMACIA ECONOMIZE (10103)</v>
      </c>
      <c r="S2887" t="s">
        <v>77</v>
      </c>
      <c r="T2887">
        <v>18508</v>
      </c>
      <c r="U2887">
        <v>22185</v>
      </c>
      <c r="V2887" t="s">
        <v>77</v>
      </c>
    </row>
    <row r="2888" spans="1:22">
      <c r="A2888" t="str">
        <f t="shared" si="505"/>
        <v>18/09/2025</v>
      </c>
      <c r="B2888" t="str">
        <f t="shared" si="512"/>
        <v>SAÍDA</v>
      </c>
      <c r="C2888" t="str">
        <f t="shared" si="506"/>
        <v>PIX</v>
      </c>
      <c r="D2888" t="str">
        <f>"22175"</f>
        <v>22175</v>
      </c>
      <c r="E2888" t="str">
        <f t="shared" si="508"/>
        <v>1</v>
      </c>
      <c r="F2888" t="str">
        <f t="shared" si="511"/>
        <v>COM</v>
      </c>
      <c r="G2888" t="str">
        <f>"JOAO MARCOS FERREIRA (925)"</f>
        <v>JOAO MARCOS FERREIRA (925)</v>
      </c>
      <c r="H2888" t="str">
        <f>"Serv.Prest. 08/09/2025 a 14/09/2025 - PIX: CELULAR - CHAVE: (28) 99908-0831"</f>
        <v>Serv.Prest. 08/09/2025 a 14/09/2025 - PIX: CELULAR - CHAVE: (28) 99908-0831</v>
      </c>
      <c r="I2888" t="str">
        <f t="shared" si="507"/>
        <v>18/09/2025</v>
      </c>
      <c r="J2888" t="str">
        <f t="shared" si="510"/>
        <v>16/09/2025</v>
      </c>
      <c r="K2888" t="str">
        <f>("18/09/2025")</f>
        <v>18/09/2025</v>
      </c>
      <c r="L2888">
        <v>300</v>
      </c>
      <c r="M2888">
        <v>300</v>
      </c>
      <c r="N2888">
        <v>109</v>
      </c>
      <c r="O2888" t="str">
        <f>"PAGAMENTO DE ENTREGADORES"</f>
        <v>PAGAMENTO DE ENTREGADORES</v>
      </c>
      <c r="P2888">
        <v>300</v>
      </c>
      <c r="S2888" t="str">
        <f>"BANCO C6 (149)"</f>
        <v>BANCO C6 (149)</v>
      </c>
      <c r="T2888">
        <v>18509</v>
      </c>
      <c r="U2888">
        <v>22175</v>
      </c>
      <c r="V2888" t="s">
        <v>77</v>
      </c>
    </row>
    <row r="2889" spans="1:22">
      <c r="A2889" t="str">
        <f t="shared" si="505"/>
        <v>18/09/2025</v>
      </c>
      <c r="B2889" t="str">
        <f t="shared" si="512"/>
        <v>SAÍDA</v>
      </c>
      <c r="C2889" t="str">
        <f t="shared" si="506"/>
        <v>PIX</v>
      </c>
      <c r="D2889" t="str">
        <f>"22175"</f>
        <v>22175</v>
      </c>
      <c r="E2889" t="str">
        <f t="shared" si="508"/>
        <v>1</v>
      </c>
      <c r="F2889" t="str">
        <f t="shared" si="511"/>
        <v>COM</v>
      </c>
      <c r="G2889" t="str">
        <f>"JOAO MARCOS FERREIRA (925)"</f>
        <v>JOAO MARCOS FERREIRA (925)</v>
      </c>
      <c r="H2889" t="s">
        <v>792</v>
      </c>
      <c r="I2889" t="str">
        <f t="shared" si="507"/>
        <v>18/09/2025</v>
      </c>
      <c r="J2889" t="str">
        <f t="shared" si="510"/>
        <v>16/09/2025</v>
      </c>
      <c r="K2889">
        <v>45918</v>
      </c>
      <c r="N2889">
        <v>109</v>
      </c>
      <c r="O2889" t="s">
        <v>24</v>
      </c>
      <c r="Q2889">
        <v>300</v>
      </c>
      <c r="R2889" t="str">
        <f>"LBL FARMACIA LTDA (10189)"</f>
        <v>LBL FARMACIA LTDA (10189)</v>
      </c>
      <c r="S2889" t="s">
        <v>77</v>
      </c>
      <c r="T2889">
        <v>18509</v>
      </c>
      <c r="U2889">
        <v>22175</v>
      </c>
      <c r="V2889" t="s">
        <v>77</v>
      </c>
    </row>
    <row r="2890" spans="1:22">
      <c r="A2890" t="str">
        <f t="shared" si="505"/>
        <v>18/09/2025</v>
      </c>
      <c r="B2890" t="str">
        <f t="shared" si="512"/>
        <v>SAÍDA</v>
      </c>
      <c r="C2890" t="str">
        <f t="shared" si="506"/>
        <v>PIX</v>
      </c>
      <c r="D2890" t="str">
        <f>"22176"</f>
        <v>22176</v>
      </c>
      <c r="E2890" t="str">
        <f t="shared" si="508"/>
        <v>1</v>
      </c>
      <c r="F2890" t="str">
        <f t="shared" si="511"/>
        <v>COM</v>
      </c>
      <c r="G2890" t="str">
        <f>"YAN FILIPUTI CORA (926)"</f>
        <v>YAN FILIPUTI CORA (926)</v>
      </c>
      <c r="H2890" t="str">
        <f>"Serv.Prest. 08/09/2025 a 14/09/2025 - PIX: CELULAR - CHAVE: (28) 98816-4170"</f>
        <v>Serv.Prest. 08/09/2025 a 14/09/2025 - PIX: CELULAR - CHAVE: (28) 98816-4170</v>
      </c>
      <c r="I2890" t="str">
        <f t="shared" si="507"/>
        <v>18/09/2025</v>
      </c>
      <c r="J2890" t="str">
        <f t="shared" si="510"/>
        <v>16/09/2025</v>
      </c>
      <c r="K2890" t="str">
        <f>("18/09/2025")</f>
        <v>18/09/2025</v>
      </c>
      <c r="L2890">
        <v>350</v>
      </c>
      <c r="M2890">
        <v>350</v>
      </c>
      <c r="N2890">
        <v>109</v>
      </c>
      <c r="O2890" t="str">
        <f>"PAGAMENTO DE ENTREGADORES"</f>
        <v>PAGAMENTO DE ENTREGADORES</v>
      </c>
      <c r="P2890">
        <v>350</v>
      </c>
      <c r="S2890" t="str">
        <f>"BANCO C6 (149)"</f>
        <v>BANCO C6 (149)</v>
      </c>
      <c r="T2890">
        <v>18510</v>
      </c>
      <c r="U2890">
        <v>22176</v>
      </c>
      <c r="V2890" t="s">
        <v>77</v>
      </c>
    </row>
    <row r="2891" spans="1:22">
      <c r="A2891" t="str">
        <f t="shared" si="505"/>
        <v>18/09/2025</v>
      </c>
      <c r="B2891" t="str">
        <f t="shared" si="512"/>
        <v>SAÍDA</v>
      </c>
      <c r="C2891" t="str">
        <f t="shared" si="506"/>
        <v>PIX</v>
      </c>
      <c r="D2891" t="str">
        <f>"22176"</f>
        <v>22176</v>
      </c>
      <c r="E2891" t="str">
        <f t="shared" si="508"/>
        <v>1</v>
      </c>
      <c r="F2891" t="str">
        <f t="shared" si="511"/>
        <v>COM</v>
      </c>
      <c r="G2891" t="str">
        <f>"YAN FILIPUTI CORA (926)"</f>
        <v>YAN FILIPUTI CORA (926)</v>
      </c>
      <c r="H2891" t="s">
        <v>793</v>
      </c>
      <c r="I2891" t="str">
        <f t="shared" si="507"/>
        <v>18/09/2025</v>
      </c>
      <c r="J2891" t="str">
        <f t="shared" si="510"/>
        <v>16/09/2025</v>
      </c>
      <c r="K2891">
        <v>45918</v>
      </c>
      <c r="N2891">
        <v>109</v>
      </c>
      <c r="O2891" t="s">
        <v>24</v>
      </c>
      <c r="Q2891">
        <v>350</v>
      </c>
      <c r="R2891" t="str">
        <f>"LBL FARMACIA LTDA (10189)"</f>
        <v>LBL FARMACIA LTDA (10189)</v>
      </c>
      <c r="S2891" t="s">
        <v>77</v>
      </c>
      <c r="T2891">
        <v>18510</v>
      </c>
      <c r="U2891">
        <v>22176</v>
      </c>
      <c r="V2891" t="s">
        <v>77</v>
      </c>
    </row>
    <row r="2892" spans="1:22">
      <c r="A2892" t="str">
        <f t="shared" si="505"/>
        <v>18/09/2025</v>
      </c>
      <c r="B2892" t="str">
        <f t="shared" si="512"/>
        <v>SAÍDA</v>
      </c>
      <c r="C2892" t="str">
        <f t="shared" si="506"/>
        <v>PIX</v>
      </c>
      <c r="D2892" t="str">
        <f>"22178"</f>
        <v>22178</v>
      </c>
      <c r="E2892" t="str">
        <f t="shared" si="508"/>
        <v>1</v>
      </c>
      <c r="F2892" t="str">
        <f t="shared" si="511"/>
        <v>COM</v>
      </c>
      <c r="G2892" t="str">
        <f>"JOAO MARCOS FERREIRA (925)"</f>
        <v>JOAO MARCOS FERREIRA (925)</v>
      </c>
      <c r="H2892" t="str">
        <f>"Serv.Prest. 08/09/2025 a 14/09/2025 - PIX: CELULAR - CHAVE: (28) 99908-0831"</f>
        <v>Serv.Prest. 08/09/2025 a 14/09/2025 - PIX: CELULAR - CHAVE: (28) 99908-0831</v>
      </c>
      <c r="I2892" t="str">
        <f t="shared" si="507"/>
        <v>18/09/2025</v>
      </c>
      <c r="J2892" t="str">
        <f t="shared" si="510"/>
        <v>16/09/2025</v>
      </c>
      <c r="K2892" t="str">
        <f>("18/09/2025")</f>
        <v>18/09/2025</v>
      </c>
      <c r="L2892">
        <v>300</v>
      </c>
      <c r="M2892">
        <v>300</v>
      </c>
      <c r="N2892">
        <v>109</v>
      </c>
      <c r="O2892" t="str">
        <f>"PAGAMENTO DE ENTREGADORES"</f>
        <v>PAGAMENTO DE ENTREGADORES</v>
      </c>
      <c r="P2892">
        <v>300</v>
      </c>
      <c r="S2892" t="str">
        <f>"BANCO C6 (149)"</f>
        <v>BANCO C6 (149)</v>
      </c>
      <c r="T2892">
        <v>18511</v>
      </c>
      <c r="U2892">
        <v>22178</v>
      </c>
      <c r="V2892" t="s">
        <v>77</v>
      </c>
    </row>
    <row r="2893" spans="1:22">
      <c r="A2893" t="str">
        <f t="shared" si="505"/>
        <v>18/09/2025</v>
      </c>
      <c r="B2893" t="str">
        <f t="shared" si="512"/>
        <v>SAÍDA</v>
      </c>
      <c r="C2893" t="str">
        <f t="shared" si="506"/>
        <v>PIX</v>
      </c>
      <c r="D2893" t="str">
        <f>"22178"</f>
        <v>22178</v>
      </c>
      <c r="E2893" t="str">
        <f t="shared" si="508"/>
        <v>1</v>
      </c>
      <c r="F2893" t="str">
        <f t="shared" si="511"/>
        <v>COM</v>
      </c>
      <c r="G2893" t="str">
        <f>"JOAO MARCOS FERREIRA (925)"</f>
        <v>JOAO MARCOS FERREIRA (925)</v>
      </c>
      <c r="H2893" t="s">
        <v>792</v>
      </c>
      <c r="I2893" t="str">
        <f t="shared" si="507"/>
        <v>18/09/2025</v>
      </c>
      <c r="J2893" t="str">
        <f t="shared" si="510"/>
        <v>16/09/2025</v>
      </c>
      <c r="K2893">
        <v>45918</v>
      </c>
      <c r="N2893">
        <v>109</v>
      </c>
      <c r="O2893" t="s">
        <v>24</v>
      </c>
      <c r="Q2893">
        <v>300</v>
      </c>
      <c r="R2893" t="str">
        <f>"LBL FARMACIA LTDA FILIAL (10192)"</f>
        <v>LBL FARMACIA LTDA FILIAL (10192)</v>
      </c>
      <c r="S2893" t="s">
        <v>77</v>
      </c>
      <c r="T2893">
        <v>18511</v>
      </c>
      <c r="U2893">
        <v>22178</v>
      </c>
      <c r="V2893" t="s">
        <v>77</v>
      </c>
    </row>
    <row r="2894" spans="1:22">
      <c r="A2894" t="str">
        <f t="shared" si="505"/>
        <v>18/09/2025</v>
      </c>
      <c r="B2894" t="str">
        <f t="shared" si="512"/>
        <v>SAÍDA</v>
      </c>
      <c r="C2894" t="str">
        <f t="shared" si="506"/>
        <v>PIX</v>
      </c>
      <c r="D2894" t="str">
        <f>"22179"</f>
        <v>22179</v>
      </c>
      <c r="E2894" t="str">
        <f t="shared" si="508"/>
        <v>1</v>
      </c>
      <c r="F2894" t="str">
        <f t="shared" si="511"/>
        <v>COM</v>
      </c>
      <c r="G2894" t="str">
        <f>"YAN FILIPUTI CORA (926)"</f>
        <v>YAN FILIPUTI CORA (926)</v>
      </c>
      <c r="H2894" t="str">
        <f>"Serv.Prest. 08/09/2025 a 14/09/2025 - PIX: CELULAR - CHAVE: (28) 98816-4170"</f>
        <v>Serv.Prest. 08/09/2025 a 14/09/2025 - PIX: CELULAR - CHAVE: (28) 98816-4170</v>
      </c>
      <c r="I2894" t="str">
        <f t="shared" si="507"/>
        <v>18/09/2025</v>
      </c>
      <c r="J2894" t="str">
        <f t="shared" si="510"/>
        <v>16/09/2025</v>
      </c>
      <c r="K2894" t="str">
        <f>("18/09/2025")</f>
        <v>18/09/2025</v>
      </c>
      <c r="L2894">
        <v>350</v>
      </c>
      <c r="M2894">
        <v>350</v>
      </c>
      <c r="N2894">
        <v>109</v>
      </c>
      <c r="O2894" t="str">
        <f>"PAGAMENTO DE ENTREGADORES"</f>
        <v>PAGAMENTO DE ENTREGADORES</v>
      </c>
      <c r="P2894">
        <v>350</v>
      </c>
      <c r="S2894" t="str">
        <f>"BANCO C6 (149)"</f>
        <v>BANCO C6 (149)</v>
      </c>
      <c r="T2894">
        <v>18512</v>
      </c>
      <c r="U2894">
        <v>22179</v>
      </c>
      <c r="V2894" t="s">
        <v>77</v>
      </c>
    </row>
    <row r="2895" spans="1:22">
      <c r="A2895" t="str">
        <f t="shared" si="505"/>
        <v>18/09/2025</v>
      </c>
      <c r="B2895" t="str">
        <f t="shared" si="512"/>
        <v>SAÍDA</v>
      </c>
      <c r="C2895" t="str">
        <f t="shared" si="506"/>
        <v>PIX</v>
      </c>
      <c r="D2895" t="str">
        <f>"22179"</f>
        <v>22179</v>
      </c>
      <c r="E2895" t="str">
        <f t="shared" si="508"/>
        <v>1</v>
      </c>
      <c r="F2895" t="str">
        <f t="shared" si="511"/>
        <v>COM</v>
      </c>
      <c r="G2895" t="str">
        <f>"YAN FILIPUTI CORA (926)"</f>
        <v>YAN FILIPUTI CORA (926)</v>
      </c>
      <c r="H2895" t="s">
        <v>793</v>
      </c>
      <c r="I2895" t="str">
        <f t="shared" si="507"/>
        <v>18/09/2025</v>
      </c>
      <c r="J2895" t="str">
        <f t="shared" si="510"/>
        <v>16/09/2025</v>
      </c>
      <c r="K2895">
        <v>45918</v>
      </c>
      <c r="N2895">
        <v>109</v>
      </c>
      <c r="O2895" t="s">
        <v>24</v>
      </c>
      <c r="Q2895">
        <v>350</v>
      </c>
      <c r="R2895" t="str">
        <f>"LBL FARMACIA LTDA FILIAL (10192)"</f>
        <v>LBL FARMACIA LTDA FILIAL (10192)</v>
      </c>
      <c r="S2895" t="s">
        <v>77</v>
      </c>
      <c r="T2895">
        <v>18512</v>
      </c>
      <c r="U2895">
        <v>22179</v>
      </c>
      <c r="V2895" t="s">
        <v>77</v>
      </c>
    </row>
    <row r="2896" spans="1:22">
      <c r="A2896" t="str">
        <f t="shared" si="505"/>
        <v>18/09/2025</v>
      </c>
      <c r="B2896" t="str">
        <f t="shared" si="512"/>
        <v>SAÍDA</v>
      </c>
      <c r="C2896" t="str">
        <f t="shared" si="506"/>
        <v>PIX</v>
      </c>
      <c r="D2896" t="str">
        <f>"22181"</f>
        <v>22181</v>
      </c>
      <c r="E2896" t="str">
        <f t="shared" si="508"/>
        <v>1</v>
      </c>
      <c r="F2896" t="str">
        <f t="shared" si="511"/>
        <v>COM</v>
      </c>
      <c r="G2896" t="str">
        <f>"JOCIMAR VAZ FERREIRA (197)"</f>
        <v>JOCIMAR VAZ FERREIRA (197)</v>
      </c>
      <c r="H2896" t="str">
        <f>"Serv.Prest. 08/09/2025 a 14/09/2025 - PIX: CELULAR - CHAVE: (33) 99924-7557"</f>
        <v>Serv.Prest. 08/09/2025 a 14/09/2025 - PIX: CELULAR - CHAVE: (33) 99924-7557</v>
      </c>
      <c r="I2896" t="str">
        <f t="shared" si="507"/>
        <v>18/09/2025</v>
      </c>
      <c r="J2896" t="str">
        <f t="shared" si="510"/>
        <v>16/09/2025</v>
      </c>
      <c r="K2896" t="str">
        <f>("18/09/2025")</f>
        <v>18/09/2025</v>
      </c>
      <c r="L2896">
        <v>882</v>
      </c>
      <c r="M2896">
        <v>882</v>
      </c>
      <c r="N2896">
        <v>109</v>
      </c>
      <c r="O2896" t="str">
        <f>"PAGAMENTO DE ENTREGADORES"</f>
        <v>PAGAMENTO DE ENTREGADORES</v>
      </c>
      <c r="P2896">
        <v>882</v>
      </c>
      <c r="S2896" t="str">
        <f>"BANCO C6 (149)"</f>
        <v>BANCO C6 (149)</v>
      </c>
      <c r="T2896">
        <v>18513</v>
      </c>
      <c r="U2896">
        <v>22181</v>
      </c>
      <c r="V2896" t="s">
        <v>77</v>
      </c>
    </row>
    <row r="2897" spans="1:22">
      <c r="A2897" t="str">
        <f t="shared" si="505"/>
        <v>18/09/2025</v>
      </c>
      <c r="B2897" t="str">
        <f t="shared" si="512"/>
        <v>SAÍDA</v>
      </c>
      <c r="C2897" t="str">
        <f t="shared" si="506"/>
        <v>PIX</v>
      </c>
      <c r="D2897" t="str">
        <f>"22181"</f>
        <v>22181</v>
      </c>
      <c r="E2897" t="str">
        <f t="shared" si="508"/>
        <v>1</v>
      </c>
      <c r="F2897" t="str">
        <f t="shared" si="511"/>
        <v>COM</v>
      </c>
      <c r="G2897" t="str">
        <f>"JOCIMAR VAZ FERREIRA (197)"</f>
        <v>JOCIMAR VAZ FERREIRA (197)</v>
      </c>
      <c r="H2897" t="s">
        <v>794</v>
      </c>
      <c r="I2897" t="str">
        <f t="shared" si="507"/>
        <v>18/09/2025</v>
      </c>
      <c r="J2897" t="str">
        <f t="shared" si="510"/>
        <v>16/09/2025</v>
      </c>
      <c r="K2897">
        <v>45918</v>
      </c>
      <c r="N2897">
        <v>109</v>
      </c>
      <c r="O2897" t="s">
        <v>24</v>
      </c>
      <c r="Q2897">
        <v>882</v>
      </c>
      <c r="R2897" t="str">
        <f>"DROGARIA VAZ (10179)"</f>
        <v>DROGARIA VAZ (10179)</v>
      </c>
      <c r="S2897" t="s">
        <v>77</v>
      </c>
      <c r="T2897">
        <v>18513</v>
      </c>
      <c r="U2897">
        <v>22181</v>
      </c>
      <c r="V2897" t="s">
        <v>77</v>
      </c>
    </row>
    <row r="2898" spans="1:22">
      <c r="A2898" t="str">
        <f t="shared" si="505"/>
        <v>18/09/2025</v>
      </c>
      <c r="B2898" t="str">
        <f t="shared" si="512"/>
        <v>SAÍDA</v>
      </c>
      <c r="C2898" t="str">
        <f t="shared" si="506"/>
        <v>PIX</v>
      </c>
      <c r="D2898" t="str">
        <f>"22124"</f>
        <v>22124</v>
      </c>
      <c r="E2898" t="str">
        <f t="shared" si="508"/>
        <v>1</v>
      </c>
      <c r="F2898" t="str">
        <f t="shared" si="511"/>
        <v>COM</v>
      </c>
      <c r="G2898" t="str">
        <f>"MARCOS RODRIGUES PENA (64)"</f>
        <v>MARCOS RODRIGUES PENA (64)</v>
      </c>
      <c r="H2898" t="str">
        <f>"Serv.Prest. 08/09/2025 a 14/09/2025 - PIX: CELULAR - CHAVE: (33) 99194-2339"</f>
        <v>Serv.Prest. 08/09/2025 a 14/09/2025 - PIX: CELULAR - CHAVE: (33) 99194-2339</v>
      </c>
      <c r="I2898" t="str">
        <f t="shared" si="507"/>
        <v>18/09/2025</v>
      </c>
      <c r="J2898" t="str">
        <f t="shared" si="510"/>
        <v>16/09/2025</v>
      </c>
      <c r="K2898" t="str">
        <f>("18/09/2025")</f>
        <v>18/09/2025</v>
      </c>
      <c r="L2898">
        <v>140</v>
      </c>
      <c r="M2898">
        <v>140</v>
      </c>
      <c r="N2898">
        <v>109</v>
      </c>
      <c r="O2898" t="str">
        <f>"PAGAMENTO DE ENTREGADORES"</f>
        <v>PAGAMENTO DE ENTREGADORES</v>
      </c>
      <c r="P2898">
        <v>140</v>
      </c>
      <c r="S2898" t="str">
        <f>"BANCO C6 (149)"</f>
        <v>BANCO C6 (149)</v>
      </c>
      <c r="T2898">
        <v>18514</v>
      </c>
      <c r="U2898">
        <v>22199</v>
      </c>
      <c r="V2898" t="s">
        <v>77</v>
      </c>
    </row>
    <row r="2899" spans="1:22">
      <c r="A2899" t="str">
        <f t="shared" si="505"/>
        <v>18/09/2025</v>
      </c>
      <c r="B2899" t="str">
        <f t="shared" si="512"/>
        <v>SAÍDA</v>
      </c>
      <c r="C2899" t="str">
        <f t="shared" si="506"/>
        <v>PIX</v>
      </c>
      <c r="D2899" t="str">
        <f>"22124"</f>
        <v>22124</v>
      </c>
      <c r="E2899" t="str">
        <f t="shared" si="508"/>
        <v>1</v>
      </c>
      <c r="F2899" t="str">
        <f t="shared" si="511"/>
        <v>COM</v>
      </c>
      <c r="G2899" t="str">
        <f>"MARCOS RODRIGUES PENA (64)"</f>
        <v>MARCOS RODRIGUES PENA (64)</v>
      </c>
      <c r="H2899" t="s">
        <v>795</v>
      </c>
      <c r="I2899" t="str">
        <f t="shared" si="507"/>
        <v>18/09/2025</v>
      </c>
      <c r="J2899" t="str">
        <f t="shared" si="510"/>
        <v>16/09/2025</v>
      </c>
      <c r="K2899">
        <v>45918</v>
      </c>
      <c r="N2899">
        <v>109</v>
      </c>
      <c r="O2899" t="s">
        <v>24</v>
      </c>
      <c r="Q2899">
        <v>140</v>
      </c>
      <c r="R2899" t="str">
        <f>"FARMÁCIA INDIANA LJ 62 (10028)"</f>
        <v>FARMÁCIA INDIANA LJ 62 (10028)</v>
      </c>
      <c r="S2899" t="s">
        <v>77</v>
      </c>
      <c r="T2899">
        <v>18514</v>
      </c>
      <c r="U2899">
        <v>22199</v>
      </c>
      <c r="V2899" t="s">
        <v>77</v>
      </c>
    </row>
    <row r="2900" spans="1:22">
      <c r="A2900" t="str">
        <f t="shared" si="505"/>
        <v>18/09/2025</v>
      </c>
      <c r="B2900" t="str">
        <f t="shared" si="512"/>
        <v>SAÍDA</v>
      </c>
      <c r="C2900" t="str">
        <f t="shared" si="506"/>
        <v>PIX</v>
      </c>
      <c r="D2900" t="str">
        <f>"22209"</f>
        <v>22209</v>
      </c>
      <c r="E2900" t="str">
        <f t="shared" si="508"/>
        <v>1</v>
      </c>
      <c r="F2900" t="str">
        <f t="shared" si="511"/>
        <v>COM</v>
      </c>
      <c r="G2900" t="str">
        <f>"LUCAS KAIQUE DOS SANTOS COSTA (938)"</f>
        <v>LUCAS KAIQUE DOS SANTOS COSTA (938)</v>
      </c>
      <c r="H2900" t="str">
        <f>"Serv.Prest. 08/09/2025 a 14/09/2025 - PIX: CPF - CHAVE: 137.411.686-61"</f>
        <v>Serv.Prest. 08/09/2025 a 14/09/2025 - PIX: CPF - CHAVE: 137.411.686-61</v>
      </c>
      <c r="I2900" t="str">
        <f t="shared" si="507"/>
        <v>18/09/2025</v>
      </c>
      <c r="J2900" t="str">
        <f t="shared" si="510"/>
        <v>16/09/2025</v>
      </c>
      <c r="K2900" t="str">
        <f>("18/09/2025")</f>
        <v>18/09/2025</v>
      </c>
      <c r="L2900">
        <v>499.5</v>
      </c>
      <c r="M2900">
        <v>500</v>
      </c>
      <c r="N2900">
        <v>109</v>
      </c>
      <c r="O2900" t="str">
        <f>"PAGAMENTO DE ENTREGADORES"</f>
        <v>PAGAMENTO DE ENTREGADORES</v>
      </c>
      <c r="P2900">
        <v>500</v>
      </c>
      <c r="S2900" t="str">
        <f>"BANCO C6 (149)"</f>
        <v>BANCO C6 (149)</v>
      </c>
      <c r="T2900">
        <v>18515</v>
      </c>
      <c r="U2900">
        <v>22209</v>
      </c>
      <c r="V2900" t="s">
        <v>77</v>
      </c>
    </row>
    <row r="2901" spans="1:22">
      <c r="A2901" t="str">
        <f t="shared" si="505"/>
        <v>18/09/2025</v>
      </c>
      <c r="B2901" t="str">
        <f t="shared" si="512"/>
        <v>SAÍDA</v>
      </c>
      <c r="C2901" t="str">
        <f t="shared" si="506"/>
        <v>PIX</v>
      </c>
      <c r="D2901" t="str">
        <f>"22209"</f>
        <v>22209</v>
      </c>
      <c r="E2901" t="str">
        <f t="shared" si="508"/>
        <v>1</v>
      </c>
      <c r="F2901" t="str">
        <f t="shared" si="511"/>
        <v>COM</v>
      </c>
      <c r="G2901" t="str">
        <f>"LUCAS KAIQUE DOS SANTOS COSTA (938)"</f>
        <v>LUCAS KAIQUE DOS SANTOS COSTA (938)</v>
      </c>
      <c r="H2901" t="s">
        <v>796</v>
      </c>
      <c r="I2901" t="str">
        <f t="shared" si="507"/>
        <v>18/09/2025</v>
      </c>
      <c r="J2901" t="str">
        <f t="shared" si="510"/>
        <v>16/09/2025</v>
      </c>
      <c r="K2901">
        <v>45918</v>
      </c>
      <c r="N2901">
        <v>109</v>
      </c>
      <c r="O2901" t="s">
        <v>24</v>
      </c>
      <c r="Q2901">
        <v>500</v>
      </c>
      <c r="R2901" t="str">
        <f>"DROGA HONDA (10149)"</f>
        <v>DROGA HONDA (10149)</v>
      </c>
      <c r="S2901" t="s">
        <v>77</v>
      </c>
      <c r="T2901">
        <v>18515</v>
      </c>
      <c r="U2901">
        <v>22209</v>
      </c>
      <c r="V2901" t="s">
        <v>77</v>
      </c>
    </row>
    <row r="2902" spans="1:22">
      <c r="A2902" t="str">
        <f t="shared" si="505"/>
        <v>18/09/2025</v>
      </c>
      <c r="B2902" t="str">
        <f t="shared" si="512"/>
        <v>SAÍDA</v>
      </c>
      <c r="C2902" t="str">
        <f t="shared" si="506"/>
        <v>PIX</v>
      </c>
      <c r="D2902" t="str">
        <f>"22210"</f>
        <v>22210</v>
      </c>
      <c r="E2902" t="str">
        <f t="shared" si="508"/>
        <v>1</v>
      </c>
      <c r="F2902" t="str">
        <f t="shared" si="511"/>
        <v>COM</v>
      </c>
      <c r="G2902" t="str">
        <f>"NILTON ADRIANO SILVA DE JESUS (943)"</f>
        <v>NILTON ADRIANO SILVA DE JESUS (943)</v>
      </c>
      <c r="H2902" t="str">
        <f>"Serv.Prest. 08/09/2025 a 14/09/2025 - PIX: CELULAR - CHAVE: (34) 99772-2954"</f>
        <v>Serv.Prest. 08/09/2025 a 14/09/2025 - PIX: CELULAR - CHAVE: (34) 99772-2954</v>
      </c>
      <c r="I2902" t="str">
        <f t="shared" si="507"/>
        <v>18/09/2025</v>
      </c>
      <c r="J2902" t="str">
        <f t="shared" si="510"/>
        <v>16/09/2025</v>
      </c>
      <c r="K2902" t="str">
        <f>("18/09/2025")</f>
        <v>18/09/2025</v>
      </c>
      <c r="L2902">
        <v>39</v>
      </c>
      <c r="M2902">
        <v>39</v>
      </c>
      <c r="N2902">
        <v>109</v>
      </c>
      <c r="O2902" t="str">
        <f>"PAGAMENTO DE ENTREGADORES"</f>
        <v>PAGAMENTO DE ENTREGADORES</v>
      </c>
      <c r="P2902">
        <v>39</v>
      </c>
      <c r="S2902" t="str">
        <f>"BANCO C6 (149)"</f>
        <v>BANCO C6 (149)</v>
      </c>
      <c r="T2902">
        <v>18516</v>
      </c>
      <c r="U2902">
        <v>22210</v>
      </c>
      <c r="V2902" t="s">
        <v>77</v>
      </c>
    </row>
    <row r="2903" spans="1:22">
      <c r="A2903" t="str">
        <f t="shared" si="505"/>
        <v>18/09/2025</v>
      </c>
      <c r="B2903" t="str">
        <f t="shared" si="512"/>
        <v>SAÍDA</v>
      </c>
      <c r="C2903" t="str">
        <f t="shared" si="506"/>
        <v>PIX</v>
      </c>
      <c r="D2903" t="str">
        <f>"22210"</f>
        <v>22210</v>
      </c>
      <c r="E2903" t="str">
        <f t="shared" si="508"/>
        <v>1</v>
      </c>
      <c r="F2903" t="str">
        <f t="shared" si="511"/>
        <v>COM</v>
      </c>
      <c r="G2903" t="str">
        <f>"NILTON ADRIANO SILVA DE JESUS (943)"</f>
        <v>NILTON ADRIANO SILVA DE JESUS (943)</v>
      </c>
      <c r="H2903" t="s">
        <v>593</v>
      </c>
      <c r="I2903" t="str">
        <f t="shared" si="507"/>
        <v>18/09/2025</v>
      </c>
      <c r="J2903" t="str">
        <f t="shared" si="510"/>
        <v>16/09/2025</v>
      </c>
      <c r="K2903">
        <v>45918</v>
      </c>
      <c r="N2903">
        <v>109</v>
      </c>
      <c r="O2903" t="s">
        <v>24</v>
      </c>
      <c r="Q2903">
        <v>39</v>
      </c>
      <c r="R2903" t="str">
        <f>"DROGA HONDA (10149)"</f>
        <v>DROGA HONDA (10149)</v>
      </c>
      <c r="S2903" t="s">
        <v>77</v>
      </c>
      <c r="T2903">
        <v>18516</v>
      </c>
      <c r="U2903">
        <v>22210</v>
      </c>
      <c r="V2903" t="s">
        <v>77</v>
      </c>
    </row>
    <row r="2904" spans="1:22">
      <c r="A2904" t="str">
        <f t="shared" si="505"/>
        <v>18/09/2025</v>
      </c>
      <c r="B2904" t="str">
        <f t="shared" si="512"/>
        <v>SAÍDA</v>
      </c>
      <c r="C2904" t="str">
        <f t="shared" si="506"/>
        <v>PIX</v>
      </c>
      <c r="D2904" t="str">
        <f>"22353"</f>
        <v>22353</v>
      </c>
      <c r="E2904" t="str">
        <f t="shared" si="508"/>
        <v>1</v>
      </c>
      <c r="F2904" t="str">
        <f t="shared" si="511"/>
        <v>COM</v>
      </c>
      <c r="G2904" t="str">
        <f>"JONAS ELIAS PEREIRA (786)"</f>
        <v>JONAS ELIAS PEREIRA (786)</v>
      </c>
      <c r="H2904" t="str">
        <f>"Serv.Prest. 15/09/2025 a 21/09/2025 - PIX: CPF - CHAVE: 091.918.426-03"</f>
        <v>Serv.Prest. 15/09/2025 a 21/09/2025 - PIX: CPF - CHAVE: 091.918.426-03</v>
      </c>
      <c r="I2904" t="str">
        <f>("02/10/2025")</f>
        <v>02/10/2025</v>
      </c>
      <c r="J2904" t="str">
        <f>("23/09/2025")</f>
        <v>23/09/2025</v>
      </c>
      <c r="K2904" t="str">
        <f>("18/09/2025")</f>
        <v>18/09/2025</v>
      </c>
      <c r="L2904">
        <v>130</v>
      </c>
      <c r="M2904">
        <v>130</v>
      </c>
      <c r="N2904">
        <v>109</v>
      </c>
      <c r="O2904" t="str">
        <f>"PAGAMENTO DE ENTREGADORES"</f>
        <v>PAGAMENTO DE ENTREGADORES</v>
      </c>
      <c r="P2904">
        <v>130</v>
      </c>
      <c r="S2904" t="str">
        <f>"BANCO CORA (102)"</f>
        <v>BANCO CORA (102)</v>
      </c>
      <c r="T2904">
        <v>18606</v>
      </c>
      <c r="U2904">
        <v>22353</v>
      </c>
      <c r="V2904" t="s">
        <v>22</v>
      </c>
    </row>
    <row r="2905" spans="1:22">
      <c r="A2905" t="str">
        <f t="shared" ref="A2905:A2968" si="513">("18/09/2025")</f>
        <v>18/09/2025</v>
      </c>
      <c r="B2905" t="str">
        <f t="shared" si="512"/>
        <v>SAÍDA</v>
      </c>
      <c r="C2905" t="str">
        <f t="shared" si="506"/>
        <v>PIX</v>
      </c>
      <c r="D2905" t="str">
        <f>"22353"</f>
        <v>22353</v>
      </c>
      <c r="E2905" t="str">
        <f t="shared" si="508"/>
        <v>1</v>
      </c>
      <c r="F2905" t="str">
        <f t="shared" si="511"/>
        <v>COM</v>
      </c>
      <c r="G2905" t="str">
        <f>"JONAS ELIAS PEREIRA (786)"</f>
        <v>JONAS ELIAS PEREIRA (786)</v>
      </c>
      <c r="H2905" t="s">
        <v>797</v>
      </c>
      <c r="I2905" t="str">
        <f>("02/10/2025")</f>
        <v>02/10/2025</v>
      </c>
      <c r="J2905" t="str">
        <f>("23/09/2025")</f>
        <v>23/09/2025</v>
      </c>
      <c r="K2905">
        <v>45918</v>
      </c>
      <c r="N2905">
        <v>109</v>
      </c>
      <c r="O2905" t="s">
        <v>24</v>
      </c>
      <c r="Q2905">
        <v>130</v>
      </c>
      <c r="R2905" t="str">
        <f>"FARMÁCIA INDIANA LJ 171 (10074)"</f>
        <v>FARMÁCIA INDIANA LJ 171 (10074)</v>
      </c>
      <c r="S2905" t="s">
        <v>22</v>
      </c>
      <c r="T2905">
        <v>18606</v>
      </c>
      <c r="U2905">
        <v>22353</v>
      </c>
      <c r="V2905" t="s">
        <v>22</v>
      </c>
    </row>
    <row r="2906" spans="1:22">
      <c r="A2906" t="str">
        <f t="shared" si="513"/>
        <v>18/09/2025</v>
      </c>
      <c r="B2906" t="str">
        <f>"ENTRADA"</f>
        <v>ENTRADA</v>
      </c>
      <c r="C2906" t="str">
        <f>"NFSE"</f>
        <v>NFSE</v>
      </c>
      <c r="D2906" t="str">
        <f>"3362"</f>
        <v>3362</v>
      </c>
      <c r="E2906" t="str">
        <f t="shared" si="508"/>
        <v>1</v>
      </c>
      <c r="F2906" t="str">
        <f t="shared" si="511"/>
        <v>COM</v>
      </c>
      <c r="G2906" t="str">
        <f>"DROGARIA POUPA MINAS (DOIS AMIGOS) 5 (10140)"</f>
        <v>DROGARIA POUPA MINAS (DOIS AMIGOS) 5 (10140)</v>
      </c>
      <c r="H2906" t="str">
        <f>"Serv.Prest. 08/09/2025 a 14/09/2025 - RPS: 1238 - NFSe: 3362"</f>
        <v>Serv.Prest. 08/09/2025 a 14/09/2025 - RPS: 1238 - NFSe: 3362</v>
      </c>
      <c r="I2906" t="str">
        <f t="shared" ref="I2906:I2917" si="514">("18/09/2025")</f>
        <v>18/09/2025</v>
      </c>
      <c r="J2906" t="str">
        <f>("15/09/2025")</f>
        <v>15/09/2025</v>
      </c>
      <c r="K2906" t="str">
        <f>("18/09/2025")</f>
        <v>18/09/2025</v>
      </c>
      <c r="L2906">
        <v>6306.66</v>
      </c>
      <c r="M2906">
        <v>6306.66</v>
      </c>
      <c r="N2906">
        <v>303</v>
      </c>
      <c r="O2906" t="str">
        <f>"RECEITAS COM ENTREGAS"</f>
        <v>RECEITAS COM ENTREGAS</v>
      </c>
      <c r="P2906">
        <v>6306.66</v>
      </c>
      <c r="S2906" t="str">
        <f>"RECEITAS COM ENTREGAS (303)"</f>
        <v>RECEITAS COM ENTREGAS (303)</v>
      </c>
      <c r="T2906">
        <v>22244</v>
      </c>
      <c r="U2906">
        <v>22012</v>
      </c>
      <c r="V2906" t="s">
        <v>22</v>
      </c>
    </row>
    <row r="2907" spans="1:22">
      <c r="A2907" t="str">
        <f t="shared" si="513"/>
        <v>18/09/2025</v>
      </c>
      <c r="B2907" t="str">
        <f>"ENTRADA"</f>
        <v>ENTRADA</v>
      </c>
      <c r="C2907" t="str">
        <f>"NFSE"</f>
        <v>NFSE</v>
      </c>
      <c r="D2907" t="str">
        <f>"3362"</f>
        <v>3362</v>
      </c>
      <c r="E2907" t="str">
        <f t="shared" si="508"/>
        <v>1</v>
      </c>
      <c r="F2907" t="str">
        <f t="shared" si="511"/>
        <v>COM</v>
      </c>
      <c r="G2907" t="str">
        <f>"DROGARIA POUPA MINAS (DOIS AMIGOS) 5 (10140)"</f>
        <v>DROGARIA POUPA MINAS (DOIS AMIGOS) 5 (10140)</v>
      </c>
      <c r="H2907" t="s">
        <v>798</v>
      </c>
      <c r="I2907" t="str">
        <f t="shared" si="514"/>
        <v>18/09/2025</v>
      </c>
      <c r="J2907" t="str">
        <f>("15/09/2025")</f>
        <v>15/09/2025</v>
      </c>
      <c r="K2907">
        <v>45918</v>
      </c>
      <c r="N2907">
        <v>303</v>
      </c>
      <c r="O2907" t="s">
        <v>69</v>
      </c>
      <c r="Q2907">
        <v>6306.66</v>
      </c>
      <c r="R2907" t="str">
        <f>"DROGARIA POUPA MINAS (ULTRAMINAS) 1 (10181)"</f>
        <v>DROGARIA POUPA MINAS (ULTRAMINAS) 1 (10181)</v>
      </c>
      <c r="S2907" t="s">
        <v>70</v>
      </c>
      <c r="T2907">
        <v>22244</v>
      </c>
      <c r="U2907">
        <v>22012</v>
      </c>
      <c r="V2907" t="s">
        <v>22</v>
      </c>
    </row>
    <row r="2908" spans="1:22">
      <c r="A2908" t="str">
        <f t="shared" si="513"/>
        <v>18/09/2025</v>
      </c>
      <c r="B2908" t="str">
        <f>"ENTRADA"</f>
        <v>ENTRADA</v>
      </c>
      <c r="C2908" t="str">
        <f>"NFSE"</f>
        <v>NFSE</v>
      </c>
      <c r="D2908" t="str">
        <f>"3358"</f>
        <v>3358</v>
      </c>
      <c r="E2908" t="str">
        <f t="shared" si="508"/>
        <v>1</v>
      </c>
      <c r="F2908" t="str">
        <f t="shared" si="511"/>
        <v>COM</v>
      </c>
      <c r="G2908" t="str">
        <f>"DROGARIA POUPA MINAS (ULTRAMINAS) 3 (10129)"</f>
        <v>DROGARIA POUPA MINAS (ULTRAMINAS) 3 (10129)</v>
      </c>
      <c r="H2908" t="str">
        <f>"Serv.Prest. 08/09/2025 a 14/09/2025 - RPS: 1234 - NFSe: 3358"</f>
        <v>Serv.Prest. 08/09/2025 a 14/09/2025 - RPS: 1234 - NFSe: 3358</v>
      </c>
      <c r="I2908" t="str">
        <f t="shared" si="514"/>
        <v>18/09/2025</v>
      </c>
      <c r="J2908" t="str">
        <f>("15/09/2025")</f>
        <v>15/09/2025</v>
      </c>
      <c r="K2908" t="str">
        <f>("18/09/2025")</f>
        <v>18/09/2025</v>
      </c>
      <c r="L2908">
        <v>1544.4</v>
      </c>
      <c r="M2908">
        <v>1544.4</v>
      </c>
      <c r="N2908">
        <v>303</v>
      </c>
      <c r="O2908" t="str">
        <f>"RECEITAS COM ENTREGAS"</f>
        <v>RECEITAS COM ENTREGAS</v>
      </c>
      <c r="P2908">
        <v>1544.4</v>
      </c>
      <c r="S2908" t="str">
        <f>"RECEITAS COM ENTREGAS (303)"</f>
        <v>RECEITAS COM ENTREGAS (303)</v>
      </c>
      <c r="T2908">
        <v>22245</v>
      </c>
      <c r="U2908">
        <v>21989</v>
      </c>
      <c r="V2908" t="s">
        <v>22</v>
      </c>
    </row>
    <row r="2909" spans="1:22">
      <c r="A2909" t="str">
        <f t="shared" si="513"/>
        <v>18/09/2025</v>
      </c>
      <c r="B2909" t="str">
        <f>"ENTRADA"</f>
        <v>ENTRADA</v>
      </c>
      <c r="C2909" t="str">
        <f>"NFSE"</f>
        <v>NFSE</v>
      </c>
      <c r="D2909" t="str">
        <f>"3358"</f>
        <v>3358</v>
      </c>
      <c r="E2909" t="str">
        <f t="shared" si="508"/>
        <v>1</v>
      </c>
      <c r="F2909" t="str">
        <f t="shared" si="511"/>
        <v>COM</v>
      </c>
      <c r="G2909" t="str">
        <f>"DROGARIA POUPA MINAS (ULTRAMINAS) 3 (10129)"</f>
        <v>DROGARIA POUPA MINAS (ULTRAMINAS) 3 (10129)</v>
      </c>
      <c r="H2909" t="s">
        <v>799</v>
      </c>
      <c r="I2909" t="str">
        <f t="shared" si="514"/>
        <v>18/09/2025</v>
      </c>
      <c r="J2909" t="str">
        <f>("15/09/2025")</f>
        <v>15/09/2025</v>
      </c>
      <c r="K2909">
        <v>45918</v>
      </c>
      <c r="N2909">
        <v>303</v>
      </c>
      <c r="O2909" t="s">
        <v>69</v>
      </c>
      <c r="Q2909">
        <v>1544.4</v>
      </c>
      <c r="R2909" t="str">
        <f>"DROGARIA POUPA MINAS (ULTRAMINAS) 3 (10129)"</f>
        <v>DROGARIA POUPA MINAS (ULTRAMINAS) 3 (10129)</v>
      </c>
      <c r="S2909" t="s">
        <v>70</v>
      </c>
      <c r="T2909">
        <v>22245</v>
      </c>
      <c r="U2909">
        <v>21989</v>
      </c>
      <c r="V2909" t="s">
        <v>22</v>
      </c>
    </row>
    <row r="2910" spans="1:22">
      <c r="A2910" t="str">
        <f t="shared" si="513"/>
        <v>18/09/2025</v>
      </c>
      <c r="B2910" t="str">
        <f>"SAÍDA"</f>
        <v>SAÍDA</v>
      </c>
      <c r="C2910" t="str">
        <f>"TRANSFERENCIA"</f>
        <v>TRANSFERENCIA</v>
      </c>
      <c r="D2910" t="str">
        <f>""</f>
        <v/>
      </c>
      <c r="F2910" t="str">
        <f>"TRF"</f>
        <v>TRF</v>
      </c>
      <c r="G2910" t="str">
        <f>""</f>
        <v/>
      </c>
      <c r="H2910" t="str">
        <f>"TRANSFERENCIA DE CONTAS (102-&gt;149)"</f>
        <v>TRANSFERENCIA DE CONTAS (102-&gt;149)</v>
      </c>
      <c r="I2910" t="str">
        <f t="shared" si="514"/>
        <v>18/09/2025</v>
      </c>
      <c r="J2910" t="str">
        <f t="shared" ref="J2910:K2913" si="515">("18/09/2025")</f>
        <v>18/09/2025</v>
      </c>
      <c r="K2910" t="str">
        <f t="shared" si="515"/>
        <v>18/09/2025</v>
      </c>
      <c r="N2910">
        <v>102</v>
      </c>
      <c r="O2910" t="str">
        <f>"BANCO CORA"</f>
        <v>BANCO CORA</v>
      </c>
      <c r="P2910">
        <v>15000</v>
      </c>
      <c r="S2910" t="str">
        <f>"BANCO CORA (102)"</f>
        <v>BANCO CORA (102)</v>
      </c>
      <c r="T2910">
        <v>22246</v>
      </c>
      <c r="U2910">
        <v>0</v>
      </c>
      <c r="V2910" t="s">
        <v>22</v>
      </c>
    </row>
    <row r="2911" spans="1:22">
      <c r="A2911" t="str">
        <f t="shared" si="513"/>
        <v>18/09/2025</v>
      </c>
      <c r="B2911" t="str">
        <f>"ENTRADA"</f>
        <v>ENTRADA</v>
      </c>
      <c r="C2911" t="str">
        <f>"TRANSFERENCIA"</f>
        <v>TRANSFERENCIA</v>
      </c>
      <c r="D2911" t="str">
        <f>""</f>
        <v/>
      </c>
      <c r="F2911" t="str">
        <f>"TRF"</f>
        <v>TRF</v>
      </c>
      <c r="G2911" t="str">
        <f>""</f>
        <v/>
      </c>
      <c r="H2911" t="str">
        <f>"TRANSFERENCIA DE CONTAS (102-&gt;149)"</f>
        <v>TRANSFERENCIA DE CONTAS (102-&gt;149)</v>
      </c>
      <c r="I2911" t="str">
        <f t="shared" si="514"/>
        <v>18/09/2025</v>
      </c>
      <c r="J2911" t="str">
        <f t="shared" si="515"/>
        <v>18/09/2025</v>
      </c>
      <c r="K2911" t="str">
        <f t="shared" si="515"/>
        <v>18/09/2025</v>
      </c>
      <c r="N2911">
        <v>149</v>
      </c>
      <c r="O2911" t="str">
        <f>"BANCO C6"</f>
        <v>BANCO C6</v>
      </c>
      <c r="S2911" t="str">
        <f>"BANCO C6 (149)"</f>
        <v>BANCO C6 (149)</v>
      </c>
      <c r="T2911">
        <v>22246</v>
      </c>
      <c r="U2911">
        <v>0</v>
      </c>
      <c r="V2911" t="s">
        <v>77</v>
      </c>
    </row>
    <row r="2912" spans="1:22">
      <c r="A2912" t="str">
        <f t="shared" si="513"/>
        <v>18/09/2025</v>
      </c>
      <c r="B2912" t="str">
        <f>"SAÍDA"</f>
        <v>SAÍDA</v>
      </c>
      <c r="C2912" t="str">
        <f>"TRANSFERENCIA"</f>
        <v>TRANSFERENCIA</v>
      </c>
      <c r="D2912" t="str">
        <f>""</f>
        <v/>
      </c>
      <c r="F2912" t="str">
        <f>"TRF"</f>
        <v>TRF</v>
      </c>
      <c r="G2912" t="str">
        <f>""</f>
        <v/>
      </c>
      <c r="H2912" t="str">
        <f>"TRANSFERENCIA ENTRE CONTAS (102-&gt;149)"</f>
        <v>TRANSFERENCIA ENTRE CONTAS (102-&gt;149)</v>
      </c>
      <c r="I2912" t="str">
        <f t="shared" si="514"/>
        <v>18/09/2025</v>
      </c>
      <c r="J2912" t="str">
        <f t="shared" si="515"/>
        <v>18/09/2025</v>
      </c>
      <c r="K2912" t="str">
        <f t="shared" si="515"/>
        <v>18/09/2025</v>
      </c>
      <c r="N2912">
        <v>102</v>
      </c>
      <c r="O2912" t="str">
        <f>"BANCO CORA"</f>
        <v>BANCO CORA</v>
      </c>
      <c r="P2912">
        <v>4060.94</v>
      </c>
      <c r="S2912" t="str">
        <f>"BANCO CORA (102)"</f>
        <v>BANCO CORA (102)</v>
      </c>
      <c r="T2912">
        <v>22247</v>
      </c>
      <c r="U2912">
        <v>0</v>
      </c>
      <c r="V2912" t="s">
        <v>22</v>
      </c>
    </row>
    <row r="2913" spans="1:22">
      <c r="A2913" t="str">
        <f t="shared" si="513"/>
        <v>18/09/2025</v>
      </c>
      <c r="B2913" t="str">
        <f t="shared" ref="B2913:B2944" si="516">"ENTRADA"</f>
        <v>ENTRADA</v>
      </c>
      <c r="C2913" t="str">
        <f>"TRANSFERENCIA"</f>
        <v>TRANSFERENCIA</v>
      </c>
      <c r="D2913" t="str">
        <f>""</f>
        <v/>
      </c>
      <c r="F2913" t="str">
        <f>"TRF"</f>
        <v>TRF</v>
      </c>
      <c r="G2913" t="str">
        <f>""</f>
        <v/>
      </c>
      <c r="H2913" t="str">
        <f>"TRANSFERENCIA ENTRE CONTAS (102-&gt;149)"</f>
        <v>TRANSFERENCIA ENTRE CONTAS (102-&gt;149)</v>
      </c>
      <c r="I2913" t="str">
        <f t="shared" si="514"/>
        <v>18/09/2025</v>
      </c>
      <c r="J2913" t="str">
        <f t="shared" si="515"/>
        <v>18/09/2025</v>
      </c>
      <c r="K2913" t="str">
        <f t="shared" si="515"/>
        <v>18/09/2025</v>
      </c>
      <c r="N2913">
        <v>149</v>
      </c>
      <c r="O2913" t="str">
        <f>"BANCO C6"</f>
        <v>BANCO C6</v>
      </c>
      <c r="S2913" t="str">
        <f>"BANCO C6 (149)"</f>
        <v>BANCO C6 (149)</v>
      </c>
      <c r="T2913">
        <v>22247</v>
      </c>
      <c r="U2913">
        <v>0</v>
      </c>
      <c r="V2913" t="s">
        <v>77</v>
      </c>
    </row>
    <row r="2914" spans="1:22">
      <c r="A2914" t="str">
        <f t="shared" si="513"/>
        <v>18/09/2025</v>
      </c>
      <c r="B2914" t="str">
        <f t="shared" si="516"/>
        <v>ENTRADA</v>
      </c>
      <c r="C2914" t="str">
        <f t="shared" ref="C2914:C2944" si="517">"NFSE"</f>
        <v>NFSE</v>
      </c>
      <c r="D2914" t="str">
        <f>"3329"</f>
        <v>3329</v>
      </c>
      <c r="E2914" t="str">
        <f t="shared" ref="E2914:E2944" si="518">"1"</f>
        <v>1</v>
      </c>
      <c r="F2914" t="str">
        <f t="shared" ref="F2914:F2945" si="519">"COM"</f>
        <v>COM</v>
      </c>
      <c r="G2914" t="str">
        <f>"PAGMENOS - LJ 657 (10136)"</f>
        <v>PAGMENOS - LJ 657 (10136)</v>
      </c>
      <c r="H2914" t="str">
        <f>"Serv.Prest. 01/09/2025 a 07/09/2025 - RPS: 1205 - NFSe: 3329"</f>
        <v>Serv.Prest. 01/09/2025 a 07/09/2025 - RPS: 1205 - NFSe: 3329</v>
      </c>
      <c r="I2914" t="str">
        <f t="shared" si="514"/>
        <v>18/09/2025</v>
      </c>
      <c r="J2914" t="str">
        <f>("08/09/2025")</f>
        <v>08/09/2025</v>
      </c>
      <c r="K2914" t="str">
        <f>("18/09/2025")</f>
        <v>18/09/2025</v>
      </c>
      <c r="L2914">
        <v>1605.89</v>
      </c>
      <c r="M2914">
        <v>1570.61</v>
      </c>
      <c r="N2914">
        <v>303</v>
      </c>
      <c r="O2914" t="str">
        <f>"RECEITAS COM ENTREGAS"</f>
        <v>RECEITAS COM ENTREGAS</v>
      </c>
      <c r="P2914">
        <v>1570.61</v>
      </c>
      <c r="S2914" t="str">
        <f>"RECEITAS COM ENTREGAS (303)"</f>
        <v>RECEITAS COM ENTREGAS (303)</v>
      </c>
      <c r="T2914">
        <v>22248</v>
      </c>
      <c r="U2914">
        <v>21459</v>
      </c>
      <c r="V2914" t="s">
        <v>22</v>
      </c>
    </row>
    <row r="2915" spans="1:22">
      <c r="A2915" t="str">
        <f t="shared" si="513"/>
        <v>18/09/2025</v>
      </c>
      <c r="B2915" t="str">
        <f t="shared" si="516"/>
        <v>ENTRADA</v>
      </c>
      <c r="C2915" t="str">
        <f t="shared" si="517"/>
        <v>NFSE</v>
      </c>
      <c r="D2915" t="str">
        <f>"3329"</f>
        <v>3329</v>
      </c>
      <c r="E2915" t="str">
        <f t="shared" si="518"/>
        <v>1</v>
      </c>
      <c r="F2915" t="str">
        <f t="shared" si="519"/>
        <v>COM</v>
      </c>
      <c r="G2915" t="str">
        <f>"PAGMENOS - LJ 657 (10136)"</f>
        <v>PAGMENOS - LJ 657 (10136)</v>
      </c>
      <c r="H2915" t="s">
        <v>800</v>
      </c>
      <c r="I2915" t="str">
        <f t="shared" si="514"/>
        <v>18/09/2025</v>
      </c>
      <c r="J2915" t="str">
        <f>("08/09/2025")</f>
        <v>08/09/2025</v>
      </c>
      <c r="K2915">
        <v>45918</v>
      </c>
      <c r="N2915">
        <v>303</v>
      </c>
      <c r="O2915" t="s">
        <v>69</v>
      </c>
      <c r="Q2915">
        <v>1570.61</v>
      </c>
      <c r="R2915" t="str">
        <f>"PAGMENOS - LJ 657 (10136)"</f>
        <v>PAGMENOS - LJ 657 (10136)</v>
      </c>
      <c r="S2915" t="s">
        <v>70</v>
      </c>
      <c r="T2915">
        <v>22248</v>
      </c>
      <c r="U2915">
        <v>21459</v>
      </c>
      <c r="V2915" t="s">
        <v>22</v>
      </c>
    </row>
    <row r="2916" spans="1:22">
      <c r="A2916" t="str">
        <f t="shared" si="513"/>
        <v>18/09/2025</v>
      </c>
      <c r="B2916" t="str">
        <f t="shared" si="516"/>
        <v>ENTRADA</v>
      </c>
      <c r="C2916" t="str">
        <f t="shared" si="517"/>
        <v>NFSE</v>
      </c>
      <c r="D2916" t="str">
        <f>"3328"</f>
        <v>3328</v>
      </c>
      <c r="E2916" t="str">
        <f t="shared" si="518"/>
        <v>1</v>
      </c>
      <c r="F2916" t="str">
        <f t="shared" si="519"/>
        <v>COM</v>
      </c>
      <c r="G2916" t="str">
        <f>"PAGMENOS - LJ 608 (10135)"</f>
        <v>PAGMENOS - LJ 608 (10135)</v>
      </c>
      <c r="H2916" t="str">
        <f>"Serv.Prest. 01/09/2025 a 07/09/2025 - RPS: 1204 - NFSe: 3328"</f>
        <v>Serv.Prest. 01/09/2025 a 07/09/2025 - RPS: 1204 - NFSe: 3328</v>
      </c>
      <c r="I2916" t="str">
        <f t="shared" si="514"/>
        <v>18/09/2025</v>
      </c>
      <c r="J2916" t="str">
        <f>("08/09/2025")</f>
        <v>08/09/2025</v>
      </c>
      <c r="K2916" t="str">
        <f>("18/09/2025")</f>
        <v>18/09/2025</v>
      </c>
      <c r="L2916">
        <v>1922.28</v>
      </c>
      <c r="M2916">
        <v>1922.28</v>
      </c>
      <c r="N2916">
        <v>303</v>
      </c>
      <c r="O2916" t="str">
        <f>"RECEITAS COM ENTREGAS"</f>
        <v>RECEITAS COM ENTREGAS</v>
      </c>
      <c r="P2916">
        <v>1922.28</v>
      </c>
      <c r="S2916" t="str">
        <f>"RECEITAS COM ENTREGAS (303)"</f>
        <v>RECEITAS COM ENTREGAS (303)</v>
      </c>
      <c r="T2916">
        <v>22249</v>
      </c>
      <c r="U2916">
        <v>21456</v>
      </c>
      <c r="V2916" t="s">
        <v>22</v>
      </c>
    </row>
    <row r="2917" spans="1:22">
      <c r="A2917" t="str">
        <f t="shared" si="513"/>
        <v>18/09/2025</v>
      </c>
      <c r="B2917" t="str">
        <f t="shared" si="516"/>
        <v>ENTRADA</v>
      </c>
      <c r="C2917" t="str">
        <f t="shared" si="517"/>
        <v>NFSE</v>
      </c>
      <c r="D2917" t="str">
        <f>"3328"</f>
        <v>3328</v>
      </c>
      <c r="E2917" t="str">
        <f t="shared" si="518"/>
        <v>1</v>
      </c>
      <c r="F2917" t="str">
        <f t="shared" si="519"/>
        <v>COM</v>
      </c>
      <c r="G2917" t="str">
        <f>"PAGMENOS - LJ 608 (10135)"</f>
        <v>PAGMENOS - LJ 608 (10135)</v>
      </c>
      <c r="H2917" t="s">
        <v>801</v>
      </c>
      <c r="I2917" t="str">
        <f t="shared" si="514"/>
        <v>18/09/2025</v>
      </c>
      <c r="J2917" t="str">
        <f>("08/09/2025")</f>
        <v>08/09/2025</v>
      </c>
      <c r="K2917">
        <v>45918</v>
      </c>
      <c r="N2917">
        <v>303</v>
      </c>
      <c r="O2917" t="s">
        <v>69</v>
      </c>
      <c r="Q2917">
        <v>1922.28</v>
      </c>
      <c r="R2917" t="str">
        <f>"PAGMENOS - LJ 608 (10135)"</f>
        <v>PAGMENOS - LJ 608 (10135)</v>
      </c>
      <c r="S2917" t="s">
        <v>70</v>
      </c>
      <c r="T2917">
        <v>22249</v>
      </c>
      <c r="U2917">
        <v>21456</v>
      </c>
      <c r="V2917" t="s">
        <v>22</v>
      </c>
    </row>
    <row r="2918" spans="1:22">
      <c r="A2918" t="str">
        <f t="shared" si="513"/>
        <v>18/09/2025</v>
      </c>
      <c r="B2918" t="str">
        <f t="shared" si="516"/>
        <v>ENTRADA</v>
      </c>
      <c r="C2918" t="str">
        <f t="shared" si="517"/>
        <v>NFSE</v>
      </c>
      <c r="D2918" t="str">
        <f>"3371"</f>
        <v>3371</v>
      </c>
      <c r="E2918" t="str">
        <f t="shared" si="518"/>
        <v>1</v>
      </c>
      <c r="F2918" t="str">
        <f t="shared" si="519"/>
        <v>COM</v>
      </c>
      <c r="G2918" t="str">
        <f>"DROGARIA VAZ (10179)"</f>
        <v>DROGARIA VAZ (10179)</v>
      </c>
      <c r="H2918" t="str">
        <f>"Serv.Prest. 08/09/2025 a 14/09/2025 - RPS: 1247 - NFSe: 3371"</f>
        <v>Serv.Prest. 08/09/2025 a 14/09/2025 - RPS: 1247 - NFSe: 3371</v>
      </c>
      <c r="I2918" t="str">
        <f t="shared" ref="I2918:I2944" si="520">("17/09/2025")</f>
        <v>17/09/2025</v>
      </c>
      <c r="J2918" t="str">
        <f>("16/09/2025")</f>
        <v>16/09/2025</v>
      </c>
      <c r="K2918" t="str">
        <f>("18/09/2025")</f>
        <v>18/09/2025</v>
      </c>
      <c r="L2918">
        <v>1065.82</v>
      </c>
      <c r="M2918">
        <v>1087.48</v>
      </c>
      <c r="N2918">
        <v>303</v>
      </c>
      <c r="O2918" t="str">
        <f>"RECEITAS COM ENTREGAS"</f>
        <v>RECEITAS COM ENTREGAS</v>
      </c>
      <c r="P2918">
        <v>1087.48</v>
      </c>
      <c r="S2918" t="str">
        <f>"RECEITAS COM ENTREGAS (303)"</f>
        <v>RECEITAS COM ENTREGAS (303)</v>
      </c>
      <c r="T2918">
        <v>22250</v>
      </c>
      <c r="U2918">
        <v>22180</v>
      </c>
      <c r="V2918" t="s">
        <v>22</v>
      </c>
    </row>
    <row r="2919" spans="1:22">
      <c r="A2919" t="str">
        <f t="shared" si="513"/>
        <v>18/09/2025</v>
      </c>
      <c r="B2919" t="str">
        <f t="shared" si="516"/>
        <v>ENTRADA</v>
      </c>
      <c r="C2919" t="str">
        <f t="shared" si="517"/>
        <v>NFSE</v>
      </c>
      <c r="D2919" t="str">
        <f>"3371"</f>
        <v>3371</v>
      </c>
      <c r="E2919" t="str">
        <f t="shared" si="518"/>
        <v>1</v>
      </c>
      <c r="F2919" t="str">
        <f t="shared" si="519"/>
        <v>COM</v>
      </c>
      <c r="G2919" t="str">
        <f>"DROGARIA VAZ (10179)"</f>
        <v>DROGARIA VAZ (10179)</v>
      </c>
      <c r="H2919" t="s">
        <v>802</v>
      </c>
      <c r="I2919" t="str">
        <f t="shared" si="520"/>
        <v>17/09/2025</v>
      </c>
      <c r="J2919" t="str">
        <f>("16/09/2025")</f>
        <v>16/09/2025</v>
      </c>
      <c r="K2919">
        <v>45918</v>
      </c>
      <c r="N2919">
        <v>303</v>
      </c>
      <c r="O2919" t="s">
        <v>69</v>
      </c>
      <c r="Q2919">
        <v>1087.48</v>
      </c>
      <c r="R2919" t="str">
        <f>"DROGARIA VAZ (10179)"</f>
        <v>DROGARIA VAZ (10179)</v>
      </c>
      <c r="S2919" t="s">
        <v>70</v>
      </c>
      <c r="T2919">
        <v>22250</v>
      </c>
      <c r="U2919">
        <v>22180</v>
      </c>
      <c r="V2919" t="s">
        <v>22</v>
      </c>
    </row>
    <row r="2920" spans="1:22">
      <c r="A2920" t="str">
        <f t="shared" si="513"/>
        <v>18/09/2025</v>
      </c>
      <c r="B2920" t="str">
        <f t="shared" si="516"/>
        <v>ENTRADA</v>
      </c>
      <c r="C2920" t="str">
        <f t="shared" si="517"/>
        <v>NFSE</v>
      </c>
      <c r="D2920" t="str">
        <f>"3373"</f>
        <v>3373</v>
      </c>
      <c r="E2920" t="str">
        <f t="shared" si="518"/>
        <v>1</v>
      </c>
      <c r="F2920" t="str">
        <f t="shared" si="519"/>
        <v>COM</v>
      </c>
      <c r="G2920" t="str">
        <f>"FARMACIA ECONOMIZE (10103)"</f>
        <v>FARMACIA ECONOMIZE (10103)</v>
      </c>
      <c r="H2920" t="str">
        <f>"Serv.Prest. 08/09/2025 a 14/09/2025 - RPS: 1249 - NFSe: 3373"</f>
        <v>Serv.Prest. 08/09/2025 a 14/09/2025 - RPS: 1249 - NFSe: 3373</v>
      </c>
      <c r="I2920" t="str">
        <f t="shared" si="520"/>
        <v>17/09/2025</v>
      </c>
      <c r="J2920" t="str">
        <f>("16/09/2025")</f>
        <v>16/09/2025</v>
      </c>
      <c r="K2920" t="str">
        <f>("18/09/2025")</f>
        <v>18/09/2025</v>
      </c>
      <c r="L2920">
        <v>2471.04</v>
      </c>
      <c r="M2920">
        <v>2471.04</v>
      </c>
      <c r="N2920">
        <v>303</v>
      </c>
      <c r="O2920" t="str">
        <f>"RECEITAS COM ENTREGAS"</f>
        <v>RECEITAS COM ENTREGAS</v>
      </c>
      <c r="P2920">
        <v>2471.04</v>
      </c>
      <c r="S2920" t="str">
        <f>"RECEITAS COM ENTREGAS (303)"</f>
        <v>RECEITAS COM ENTREGAS (303)</v>
      </c>
      <c r="T2920">
        <v>22251</v>
      </c>
      <c r="U2920">
        <v>22184</v>
      </c>
      <c r="V2920" t="s">
        <v>22</v>
      </c>
    </row>
    <row r="2921" spans="1:22">
      <c r="A2921" t="str">
        <f t="shared" si="513"/>
        <v>18/09/2025</v>
      </c>
      <c r="B2921" t="str">
        <f t="shared" si="516"/>
        <v>ENTRADA</v>
      </c>
      <c r="C2921" t="str">
        <f t="shared" si="517"/>
        <v>NFSE</v>
      </c>
      <c r="D2921" t="str">
        <f>"3373"</f>
        <v>3373</v>
      </c>
      <c r="E2921" t="str">
        <f t="shared" si="518"/>
        <v>1</v>
      </c>
      <c r="F2921" t="str">
        <f t="shared" si="519"/>
        <v>COM</v>
      </c>
      <c r="G2921" t="str">
        <f>"FARMACIA ECONOMIZE (10103)"</f>
        <v>FARMACIA ECONOMIZE (10103)</v>
      </c>
      <c r="H2921" t="s">
        <v>803</v>
      </c>
      <c r="I2921" t="str">
        <f t="shared" si="520"/>
        <v>17/09/2025</v>
      </c>
      <c r="J2921" t="str">
        <f>("16/09/2025")</f>
        <v>16/09/2025</v>
      </c>
      <c r="K2921">
        <v>45918</v>
      </c>
      <c r="N2921">
        <v>303</v>
      </c>
      <c r="O2921" t="s">
        <v>69</v>
      </c>
      <c r="Q2921">
        <v>2471.04</v>
      </c>
      <c r="R2921" t="str">
        <f>"FARMACIA ECONOMIZE (10103)"</f>
        <v>FARMACIA ECONOMIZE (10103)</v>
      </c>
      <c r="S2921" t="s">
        <v>70</v>
      </c>
      <c r="T2921">
        <v>22251</v>
      </c>
      <c r="U2921">
        <v>22184</v>
      </c>
      <c r="V2921" t="s">
        <v>22</v>
      </c>
    </row>
    <row r="2922" spans="1:22">
      <c r="A2922" t="str">
        <f t="shared" si="513"/>
        <v>18/09/2025</v>
      </c>
      <c r="B2922" t="str">
        <f t="shared" si="516"/>
        <v>ENTRADA</v>
      </c>
      <c r="C2922" t="str">
        <f t="shared" si="517"/>
        <v>NFSE</v>
      </c>
      <c r="D2922" t="str">
        <f>"3347"</f>
        <v>3347</v>
      </c>
      <c r="E2922" t="str">
        <f t="shared" si="518"/>
        <v>1</v>
      </c>
      <c r="F2922" t="str">
        <f t="shared" si="519"/>
        <v>COM</v>
      </c>
      <c r="G2922" t="str">
        <f>"BRASIL FARMA (10173)"</f>
        <v>BRASIL FARMA (10173)</v>
      </c>
      <c r="H2922" t="str">
        <f>"Serv.Prest. 08/09/2025 a 14/09/2025 - RPS: 1223 - NFSe: 3347"</f>
        <v>Serv.Prest. 08/09/2025 a 14/09/2025 - RPS: 1223 - NFSe: 3347</v>
      </c>
      <c r="I2922" t="str">
        <f t="shared" si="520"/>
        <v>17/09/2025</v>
      </c>
      <c r="J2922" t="str">
        <f t="shared" ref="J2922:J2927" si="521">("15/09/2025")</f>
        <v>15/09/2025</v>
      </c>
      <c r="K2922" t="str">
        <f>("18/09/2025")</f>
        <v>18/09/2025</v>
      </c>
      <c r="L2922">
        <v>1685.04</v>
      </c>
      <c r="M2922">
        <v>1685.04</v>
      </c>
      <c r="N2922">
        <v>303</v>
      </c>
      <c r="O2922" t="str">
        <f>"RECEITAS COM ENTREGAS"</f>
        <v>RECEITAS COM ENTREGAS</v>
      </c>
      <c r="P2922">
        <v>1685.04</v>
      </c>
      <c r="S2922" t="str">
        <f>"RECEITAS COM ENTREGAS (303)"</f>
        <v>RECEITAS COM ENTREGAS (303)</v>
      </c>
      <c r="T2922">
        <v>22252</v>
      </c>
      <c r="U2922">
        <v>21951</v>
      </c>
      <c r="V2922" t="s">
        <v>22</v>
      </c>
    </row>
    <row r="2923" spans="1:22">
      <c r="A2923" t="str">
        <f t="shared" si="513"/>
        <v>18/09/2025</v>
      </c>
      <c r="B2923" t="str">
        <f t="shared" si="516"/>
        <v>ENTRADA</v>
      </c>
      <c r="C2923" t="str">
        <f t="shared" si="517"/>
        <v>NFSE</v>
      </c>
      <c r="D2923" t="str">
        <f>"3347"</f>
        <v>3347</v>
      </c>
      <c r="E2923" t="str">
        <f t="shared" si="518"/>
        <v>1</v>
      </c>
      <c r="F2923" t="str">
        <f t="shared" si="519"/>
        <v>COM</v>
      </c>
      <c r="G2923" t="str">
        <f>"BRASIL FARMA (10173)"</f>
        <v>BRASIL FARMA (10173)</v>
      </c>
      <c r="H2923" t="s">
        <v>804</v>
      </c>
      <c r="I2923" t="str">
        <f t="shared" si="520"/>
        <v>17/09/2025</v>
      </c>
      <c r="J2923" t="str">
        <f t="shared" si="521"/>
        <v>15/09/2025</v>
      </c>
      <c r="K2923">
        <v>45918</v>
      </c>
      <c r="N2923">
        <v>303</v>
      </c>
      <c r="O2923" t="s">
        <v>69</v>
      </c>
      <c r="Q2923">
        <v>1685.04</v>
      </c>
      <c r="R2923" t="str">
        <f>"BRASIL FARMA (10173)"</f>
        <v>BRASIL FARMA (10173)</v>
      </c>
      <c r="S2923" t="s">
        <v>70</v>
      </c>
      <c r="T2923">
        <v>22252</v>
      </c>
      <c r="U2923">
        <v>21951</v>
      </c>
      <c r="V2923" t="s">
        <v>22</v>
      </c>
    </row>
    <row r="2924" spans="1:22">
      <c r="A2924" t="str">
        <f t="shared" si="513"/>
        <v>18/09/2025</v>
      </c>
      <c r="B2924" t="str">
        <f t="shared" si="516"/>
        <v>ENTRADA</v>
      </c>
      <c r="C2924" t="str">
        <f t="shared" si="517"/>
        <v>NFSE</v>
      </c>
      <c r="D2924" t="str">
        <f>"3349"</f>
        <v>3349</v>
      </c>
      <c r="E2924" t="str">
        <f t="shared" si="518"/>
        <v>1</v>
      </c>
      <c r="F2924" t="str">
        <f t="shared" si="519"/>
        <v>COM</v>
      </c>
      <c r="G2924" t="str">
        <f>"DROGARIA ANA VISCONDE DO RIO BRANCO (10182)"</f>
        <v>DROGARIA ANA VISCONDE DO RIO BRANCO (10182)</v>
      </c>
      <c r="H2924" t="str">
        <f>"Serv.Prest. 08/09/2025 a 14/09/2025 - RPS: 1225 - NFSe: 3349"</f>
        <v>Serv.Prest. 08/09/2025 a 14/09/2025 - RPS: 1225 - NFSe: 3349</v>
      </c>
      <c r="I2924" t="str">
        <f t="shared" si="520"/>
        <v>17/09/2025</v>
      </c>
      <c r="J2924" t="str">
        <f t="shared" si="521"/>
        <v>15/09/2025</v>
      </c>
      <c r="K2924" t="str">
        <f>("18/09/2025")</f>
        <v>18/09/2025</v>
      </c>
      <c r="L2924">
        <v>4437.72</v>
      </c>
      <c r="M2924">
        <v>4437.72</v>
      </c>
      <c r="N2924">
        <v>303</v>
      </c>
      <c r="O2924" t="str">
        <f>"RECEITAS COM ENTREGAS"</f>
        <v>RECEITAS COM ENTREGAS</v>
      </c>
      <c r="P2924">
        <v>4437.72</v>
      </c>
      <c r="S2924" t="str">
        <f>"RECEITAS COM ENTREGAS (303)"</f>
        <v>RECEITAS COM ENTREGAS (303)</v>
      </c>
      <c r="T2924">
        <v>22253</v>
      </c>
      <c r="U2924">
        <v>21958</v>
      </c>
      <c r="V2924" t="s">
        <v>22</v>
      </c>
    </row>
    <row r="2925" spans="1:22">
      <c r="A2925" t="str">
        <f t="shared" si="513"/>
        <v>18/09/2025</v>
      </c>
      <c r="B2925" t="str">
        <f t="shared" si="516"/>
        <v>ENTRADA</v>
      </c>
      <c r="C2925" t="str">
        <f t="shared" si="517"/>
        <v>NFSE</v>
      </c>
      <c r="D2925" t="str">
        <f>"3349"</f>
        <v>3349</v>
      </c>
      <c r="E2925" t="str">
        <f t="shared" si="518"/>
        <v>1</v>
      </c>
      <c r="F2925" t="str">
        <f t="shared" si="519"/>
        <v>COM</v>
      </c>
      <c r="G2925" t="str">
        <f>"DROGARIA ANA VISCONDE DO RIO BRANCO (10182)"</f>
        <v>DROGARIA ANA VISCONDE DO RIO BRANCO (10182)</v>
      </c>
      <c r="H2925" t="s">
        <v>805</v>
      </c>
      <c r="I2925" t="str">
        <f t="shared" si="520"/>
        <v>17/09/2025</v>
      </c>
      <c r="J2925" t="str">
        <f t="shared" si="521"/>
        <v>15/09/2025</v>
      </c>
      <c r="K2925">
        <v>45918</v>
      </c>
      <c r="N2925">
        <v>303</v>
      </c>
      <c r="O2925" t="s">
        <v>69</v>
      </c>
      <c r="Q2925">
        <v>4437.72</v>
      </c>
      <c r="R2925" t="str">
        <f>"DROGARIA ANA VISCONDE DO RIO BRANCO (10182)"</f>
        <v>DROGARIA ANA VISCONDE DO RIO BRANCO (10182)</v>
      </c>
      <c r="S2925" t="s">
        <v>70</v>
      </c>
      <c r="T2925">
        <v>22253</v>
      </c>
      <c r="U2925">
        <v>21958</v>
      </c>
      <c r="V2925" t="s">
        <v>22</v>
      </c>
    </row>
    <row r="2926" spans="1:22">
      <c r="A2926" t="str">
        <f t="shared" si="513"/>
        <v>18/09/2025</v>
      </c>
      <c r="B2926" t="str">
        <f t="shared" si="516"/>
        <v>ENTRADA</v>
      </c>
      <c r="C2926" t="str">
        <f t="shared" si="517"/>
        <v>NFSE</v>
      </c>
      <c r="D2926" t="str">
        <f>"3357"</f>
        <v>3357</v>
      </c>
      <c r="E2926" t="str">
        <f t="shared" si="518"/>
        <v>1</v>
      </c>
      <c r="F2926" t="str">
        <f t="shared" si="519"/>
        <v>COM</v>
      </c>
      <c r="G2926" t="str">
        <f>"JAL FARMACIA E DROGARIA LJ 1 (10137)"</f>
        <v>JAL FARMACIA E DROGARIA LJ 1 (10137)</v>
      </c>
      <c r="H2926" t="str">
        <f>"Serv.Prest. 08/09/2025 a 14/09/2025 - RPS: 1233 - NFSe: 3357"</f>
        <v>Serv.Prest. 08/09/2025 a 14/09/2025 - RPS: 1233 - NFSe: 3357</v>
      </c>
      <c r="I2926" t="str">
        <f t="shared" si="520"/>
        <v>17/09/2025</v>
      </c>
      <c r="J2926" t="str">
        <f t="shared" si="521"/>
        <v>15/09/2025</v>
      </c>
      <c r="K2926" t="str">
        <f>("18/09/2025")</f>
        <v>18/09/2025</v>
      </c>
      <c r="L2926">
        <v>2410.8000000000002</v>
      </c>
      <c r="M2926">
        <v>2410.8000000000002</v>
      </c>
      <c r="N2926">
        <v>303</v>
      </c>
      <c r="O2926" t="str">
        <f>"RECEITAS COM ENTREGAS"</f>
        <v>RECEITAS COM ENTREGAS</v>
      </c>
      <c r="P2926">
        <v>2410.8000000000002</v>
      </c>
      <c r="S2926" t="str">
        <f>"RECEITAS COM ENTREGAS (303)"</f>
        <v>RECEITAS COM ENTREGAS (303)</v>
      </c>
      <c r="T2926">
        <v>22254</v>
      </c>
      <c r="U2926">
        <v>21985</v>
      </c>
      <c r="V2926" t="s">
        <v>22</v>
      </c>
    </row>
    <row r="2927" spans="1:22">
      <c r="A2927" t="str">
        <f t="shared" si="513"/>
        <v>18/09/2025</v>
      </c>
      <c r="B2927" t="str">
        <f t="shared" si="516"/>
        <v>ENTRADA</v>
      </c>
      <c r="C2927" t="str">
        <f t="shared" si="517"/>
        <v>NFSE</v>
      </c>
      <c r="D2927" t="str">
        <f>"3357"</f>
        <v>3357</v>
      </c>
      <c r="E2927" t="str">
        <f t="shared" si="518"/>
        <v>1</v>
      </c>
      <c r="F2927" t="str">
        <f t="shared" si="519"/>
        <v>COM</v>
      </c>
      <c r="G2927" t="str">
        <f>"JAL FARMACIA E DROGARIA LJ 1 (10137)"</f>
        <v>JAL FARMACIA E DROGARIA LJ 1 (10137)</v>
      </c>
      <c r="H2927" t="s">
        <v>806</v>
      </c>
      <c r="I2927" t="str">
        <f t="shared" si="520"/>
        <v>17/09/2025</v>
      </c>
      <c r="J2927" t="str">
        <f t="shared" si="521"/>
        <v>15/09/2025</v>
      </c>
      <c r="K2927">
        <v>45918</v>
      </c>
      <c r="N2927">
        <v>303</v>
      </c>
      <c r="O2927" t="s">
        <v>69</v>
      </c>
      <c r="Q2927">
        <v>2410.8000000000002</v>
      </c>
      <c r="R2927" t="str">
        <f>"JAL FARMACIA E DROGARIA LJ 1 (10137)"</f>
        <v>JAL FARMACIA E DROGARIA LJ 1 (10137)</v>
      </c>
      <c r="S2927" t="s">
        <v>70</v>
      </c>
      <c r="T2927">
        <v>22254</v>
      </c>
      <c r="U2927">
        <v>21985</v>
      </c>
      <c r="V2927" t="s">
        <v>22</v>
      </c>
    </row>
    <row r="2928" spans="1:22">
      <c r="A2928" t="str">
        <f t="shared" si="513"/>
        <v>18/09/2025</v>
      </c>
      <c r="B2928" t="str">
        <f t="shared" si="516"/>
        <v>ENTRADA</v>
      </c>
      <c r="C2928" t="str">
        <f t="shared" si="517"/>
        <v>NFSE</v>
      </c>
      <c r="D2928" t="str">
        <f>"3375"</f>
        <v>3375</v>
      </c>
      <c r="E2928" t="str">
        <f t="shared" si="518"/>
        <v>1</v>
      </c>
      <c r="F2928" t="str">
        <f t="shared" si="519"/>
        <v>COM</v>
      </c>
      <c r="G2928" t="str">
        <f>"DROGA HONDA (10149)"</f>
        <v>DROGA HONDA (10149)</v>
      </c>
      <c r="H2928" t="str">
        <f>"Serv.Prest. 08/09/2025 a 14/09/2025 - RPS: 1251 - NFSe: 3375"</f>
        <v>Serv.Prest. 08/09/2025 a 14/09/2025 - RPS: 1251 - NFSe: 3375</v>
      </c>
      <c r="I2928" t="str">
        <f t="shared" si="520"/>
        <v>17/09/2025</v>
      </c>
      <c r="J2928" t="str">
        <f>("16/09/2025")</f>
        <v>16/09/2025</v>
      </c>
      <c r="K2928" t="str">
        <f>("18/09/2025")</f>
        <v>18/09/2025</v>
      </c>
      <c r="L2928">
        <v>933.15</v>
      </c>
      <c r="M2928">
        <v>933.15</v>
      </c>
      <c r="N2928">
        <v>303</v>
      </c>
      <c r="O2928" t="str">
        <f>"RECEITAS COM ENTREGAS"</f>
        <v>RECEITAS COM ENTREGAS</v>
      </c>
      <c r="P2928">
        <v>933.15</v>
      </c>
      <c r="S2928" t="str">
        <f>"RECEITAS COM ENTREGAS (303)"</f>
        <v>RECEITAS COM ENTREGAS (303)</v>
      </c>
      <c r="T2928">
        <v>22255</v>
      </c>
      <c r="U2928">
        <v>22208</v>
      </c>
      <c r="V2928" t="s">
        <v>22</v>
      </c>
    </row>
    <row r="2929" spans="1:22">
      <c r="A2929" t="str">
        <f t="shared" si="513"/>
        <v>18/09/2025</v>
      </c>
      <c r="B2929" t="str">
        <f t="shared" si="516"/>
        <v>ENTRADA</v>
      </c>
      <c r="C2929" t="str">
        <f t="shared" si="517"/>
        <v>NFSE</v>
      </c>
      <c r="D2929" t="str">
        <f>"3375"</f>
        <v>3375</v>
      </c>
      <c r="E2929" t="str">
        <f t="shared" si="518"/>
        <v>1</v>
      </c>
      <c r="F2929" t="str">
        <f t="shared" si="519"/>
        <v>COM</v>
      </c>
      <c r="G2929" t="str">
        <f>"DROGA HONDA (10149)"</f>
        <v>DROGA HONDA (10149)</v>
      </c>
      <c r="H2929" t="s">
        <v>807</v>
      </c>
      <c r="I2929" t="str">
        <f t="shared" si="520"/>
        <v>17/09/2025</v>
      </c>
      <c r="J2929" t="str">
        <f>("16/09/2025")</f>
        <v>16/09/2025</v>
      </c>
      <c r="K2929">
        <v>45918</v>
      </c>
      <c r="N2929">
        <v>303</v>
      </c>
      <c r="O2929" t="s">
        <v>69</v>
      </c>
      <c r="Q2929">
        <v>933.15</v>
      </c>
      <c r="R2929" t="str">
        <f>"DROGA HONDA (10149)"</f>
        <v>DROGA HONDA (10149)</v>
      </c>
      <c r="S2929" t="s">
        <v>70</v>
      </c>
      <c r="T2929">
        <v>22255</v>
      </c>
      <c r="U2929">
        <v>22208</v>
      </c>
      <c r="V2929" t="s">
        <v>22</v>
      </c>
    </row>
    <row r="2930" spans="1:22">
      <c r="A2930" t="str">
        <f t="shared" si="513"/>
        <v>18/09/2025</v>
      </c>
      <c r="B2930" t="str">
        <f t="shared" si="516"/>
        <v>ENTRADA</v>
      </c>
      <c r="C2930" t="str">
        <f t="shared" si="517"/>
        <v>NFSE</v>
      </c>
      <c r="D2930" t="str">
        <f>"3344"</f>
        <v>3344</v>
      </c>
      <c r="E2930" t="str">
        <f t="shared" si="518"/>
        <v>1</v>
      </c>
      <c r="F2930" t="str">
        <f t="shared" si="519"/>
        <v>COM</v>
      </c>
      <c r="G2930" t="str">
        <f>"AC FARMA - FLEMINFARMA (10160)"</f>
        <v>AC FARMA - FLEMINFARMA (10160)</v>
      </c>
      <c r="H2930" t="str">
        <f>"Serv.Prest. 01/09/2025 a 07/09/2025 - RPS: 1220 - NFSe: 3344"</f>
        <v>Serv.Prest. 01/09/2025 a 07/09/2025 - RPS: 1220 - NFSe: 3344</v>
      </c>
      <c r="I2930" t="str">
        <f t="shared" si="520"/>
        <v>17/09/2025</v>
      </c>
      <c r="J2930" t="str">
        <f>("09/09/2025")</f>
        <v>09/09/2025</v>
      </c>
      <c r="K2930" t="str">
        <f>("18/09/2025")</f>
        <v>18/09/2025</v>
      </c>
      <c r="L2930">
        <v>1398.6</v>
      </c>
      <c r="M2930">
        <v>1398.6</v>
      </c>
      <c r="N2930">
        <v>303</v>
      </c>
      <c r="O2930" t="str">
        <f>"RECEITAS COM ENTREGAS"</f>
        <v>RECEITAS COM ENTREGAS</v>
      </c>
      <c r="P2930">
        <v>1398.6</v>
      </c>
      <c r="S2930" t="str">
        <f>"RECEITAS COM ENTREGAS (303)"</f>
        <v>RECEITAS COM ENTREGAS (303)</v>
      </c>
      <c r="T2930">
        <v>22256</v>
      </c>
      <c r="U2930">
        <v>21682</v>
      </c>
      <c r="V2930" t="s">
        <v>22</v>
      </c>
    </row>
    <row r="2931" spans="1:22">
      <c r="A2931" t="str">
        <f t="shared" si="513"/>
        <v>18/09/2025</v>
      </c>
      <c r="B2931" t="str">
        <f t="shared" si="516"/>
        <v>ENTRADA</v>
      </c>
      <c r="C2931" t="str">
        <f t="shared" si="517"/>
        <v>NFSE</v>
      </c>
      <c r="D2931" t="str">
        <f>"3344"</f>
        <v>3344</v>
      </c>
      <c r="E2931" t="str">
        <f t="shared" si="518"/>
        <v>1</v>
      </c>
      <c r="F2931" t="str">
        <f t="shared" si="519"/>
        <v>COM</v>
      </c>
      <c r="G2931" t="str">
        <f>"AC FARMA - FLEMINFARMA (10160)"</f>
        <v>AC FARMA - FLEMINFARMA (10160)</v>
      </c>
      <c r="H2931" t="s">
        <v>808</v>
      </c>
      <c r="I2931" t="str">
        <f t="shared" si="520"/>
        <v>17/09/2025</v>
      </c>
      <c r="J2931" t="str">
        <f>("09/09/2025")</f>
        <v>09/09/2025</v>
      </c>
      <c r="K2931">
        <v>45918</v>
      </c>
      <c r="N2931">
        <v>303</v>
      </c>
      <c r="O2931" t="s">
        <v>69</v>
      </c>
      <c r="Q2931">
        <v>1368.39</v>
      </c>
      <c r="R2931" t="str">
        <f>"AC FARMA -  FLEMINFARMA (10159)"</f>
        <v>AC FARMA -  FLEMINFARMA (10159)</v>
      </c>
      <c r="S2931" t="s">
        <v>70</v>
      </c>
      <c r="T2931">
        <v>22256</v>
      </c>
      <c r="U2931">
        <v>21682</v>
      </c>
      <c r="V2931" t="s">
        <v>22</v>
      </c>
    </row>
    <row r="2932" spans="1:22">
      <c r="A2932" t="str">
        <f t="shared" si="513"/>
        <v>18/09/2025</v>
      </c>
      <c r="B2932" t="str">
        <f t="shared" si="516"/>
        <v>ENTRADA</v>
      </c>
      <c r="C2932" t="str">
        <f t="shared" si="517"/>
        <v>NFSE</v>
      </c>
      <c r="D2932" t="str">
        <f>"3344"</f>
        <v>3344</v>
      </c>
      <c r="E2932" t="str">
        <f t="shared" si="518"/>
        <v>1</v>
      </c>
      <c r="F2932" t="str">
        <f t="shared" si="519"/>
        <v>COM</v>
      </c>
      <c r="G2932" t="str">
        <f>"AC FARMA - FLEMINFARMA (10160)"</f>
        <v>AC FARMA - FLEMINFARMA (10160)</v>
      </c>
      <c r="H2932" t="s">
        <v>808</v>
      </c>
      <c r="I2932" t="str">
        <f t="shared" si="520"/>
        <v>17/09/2025</v>
      </c>
      <c r="J2932" t="str">
        <f>("09/09/2025")</f>
        <v>09/09/2025</v>
      </c>
      <c r="K2932">
        <v>45918</v>
      </c>
      <c r="N2932">
        <v>303</v>
      </c>
      <c r="O2932" t="s">
        <v>69</v>
      </c>
      <c r="Q2932">
        <v>30.21</v>
      </c>
      <c r="R2932" t="str">
        <f>"AC FARMA - FLEMINFARMA (10160)"</f>
        <v>AC FARMA - FLEMINFARMA (10160)</v>
      </c>
      <c r="S2932" t="s">
        <v>70</v>
      </c>
      <c r="T2932">
        <v>22256</v>
      </c>
      <c r="U2932">
        <v>21682</v>
      </c>
      <c r="V2932" t="s">
        <v>22</v>
      </c>
    </row>
    <row r="2933" spans="1:22">
      <c r="A2933" t="str">
        <f t="shared" si="513"/>
        <v>18/09/2025</v>
      </c>
      <c r="B2933" t="str">
        <f t="shared" si="516"/>
        <v>ENTRADA</v>
      </c>
      <c r="C2933" t="str">
        <f t="shared" si="517"/>
        <v>NFSE</v>
      </c>
      <c r="D2933" t="str">
        <f>"3345"</f>
        <v>3345</v>
      </c>
      <c r="E2933" t="str">
        <f t="shared" si="518"/>
        <v>1</v>
      </c>
      <c r="F2933" t="str">
        <f t="shared" si="519"/>
        <v>COM</v>
      </c>
      <c r="G2933" t="str">
        <f>"AC FARMA - FLEMINFARMA 5 (10183)"</f>
        <v>AC FARMA - FLEMINFARMA 5 (10183)</v>
      </c>
      <c r="H2933" t="str">
        <f>"Serv.Prest. 01/09/2025 a 07/09/2025 - RPS: 1221 - NFSe: 3345"</f>
        <v>Serv.Prest. 01/09/2025 a 07/09/2025 - RPS: 1221 - NFSe: 3345</v>
      </c>
      <c r="I2933" t="str">
        <f t="shared" si="520"/>
        <v>17/09/2025</v>
      </c>
      <c r="J2933" t="str">
        <f>("09/09/2025")</f>
        <v>09/09/2025</v>
      </c>
      <c r="K2933" t="str">
        <f>("18/09/2025")</f>
        <v>18/09/2025</v>
      </c>
      <c r="L2933">
        <v>551.88</v>
      </c>
      <c r="M2933">
        <v>551.88</v>
      </c>
      <c r="N2933">
        <v>303</v>
      </c>
      <c r="O2933" t="str">
        <f>"RECEITAS COM ENTREGAS"</f>
        <v>RECEITAS COM ENTREGAS</v>
      </c>
      <c r="P2933">
        <v>551.88</v>
      </c>
      <c r="S2933" t="str">
        <f>"RECEITAS COM ENTREGAS (303)"</f>
        <v>RECEITAS COM ENTREGAS (303)</v>
      </c>
      <c r="T2933">
        <v>22257</v>
      </c>
      <c r="U2933">
        <v>21689</v>
      </c>
      <c r="V2933" t="s">
        <v>22</v>
      </c>
    </row>
    <row r="2934" spans="1:22">
      <c r="A2934" t="str">
        <f t="shared" si="513"/>
        <v>18/09/2025</v>
      </c>
      <c r="B2934" t="str">
        <f t="shared" si="516"/>
        <v>ENTRADA</v>
      </c>
      <c r="C2934" t="str">
        <f t="shared" si="517"/>
        <v>NFSE</v>
      </c>
      <c r="D2934" t="str">
        <f>"3345"</f>
        <v>3345</v>
      </c>
      <c r="E2934" t="str">
        <f t="shared" si="518"/>
        <v>1</v>
      </c>
      <c r="F2934" t="str">
        <f t="shared" si="519"/>
        <v>COM</v>
      </c>
      <c r="G2934" t="str">
        <f>"AC FARMA - FLEMINFARMA 5 (10183)"</f>
        <v>AC FARMA - FLEMINFARMA 5 (10183)</v>
      </c>
      <c r="H2934" t="s">
        <v>809</v>
      </c>
      <c r="I2934" t="str">
        <f t="shared" si="520"/>
        <v>17/09/2025</v>
      </c>
      <c r="J2934" t="str">
        <f>("09/09/2025")</f>
        <v>09/09/2025</v>
      </c>
      <c r="K2934">
        <v>45918</v>
      </c>
      <c r="N2934">
        <v>303</v>
      </c>
      <c r="O2934" t="s">
        <v>69</v>
      </c>
      <c r="Q2934">
        <v>551.88</v>
      </c>
      <c r="R2934" t="str">
        <f>"AC FARMA - FLEMINFARMA 5 (10183)"</f>
        <v>AC FARMA - FLEMINFARMA 5 (10183)</v>
      </c>
      <c r="S2934" t="s">
        <v>70</v>
      </c>
      <c r="T2934">
        <v>22257</v>
      </c>
      <c r="U2934">
        <v>21689</v>
      </c>
      <c r="V2934" t="s">
        <v>22</v>
      </c>
    </row>
    <row r="2935" spans="1:22">
      <c r="A2935" t="str">
        <f t="shared" si="513"/>
        <v>18/09/2025</v>
      </c>
      <c r="B2935" t="str">
        <f t="shared" si="516"/>
        <v>ENTRADA</v>
      </c>
      <c r="C2935" t="str">
        <f t="shared" si="517"/>
        <v>NFSE</v>
      </c>
      <c r="D2935" t="str">
        <f>"3356"</f>
        <v>3356</v>
      </c>
      <c r="E2935" t="str">
        <f t="shared" si="518"/>
        <v>1</v>
      </c>
      <c r="F2935" t="str">
        <f t="shared" si="519"/>
        <v>COM</v>
      </c>
      <c r="G2935" t="str">
        <f>"JAL FARMACIA E DROGARIA LJ 2 (10138)"</f>
        <v>JAL FARMACIA E DROGARIA LJ 2 (10138)</v>
      </c>
      <c r="H2935" t="str">
        <f>"Serv.Prest. 08/09/2025 a 14/09/2025 - RPS: 1232 - NFSe: 3356"</f>
        <v>Serv.Prest. 08/09/2025 a 14/09/2025 - RPS: 1232 - NFSe: 3356</v>
      </c>
      <c r="I2935" t="str">
        <f t="shared" si="520"/>
        <v>17/09/2025</v>
      </c>
      <c r="J2935" t="str">
        <f>("15/09/2025")</f>
        <v>15/09/2025</v>
      </c>
      <c r="K2935" t="str">
        <f>("18/09/2025")</f>
        <v>18/09/2025</v>
      </c>
      <c r="L2935">
        <v>1512</v>
      </c>
      <c r="M2935">
        <v>1512</v>
      </c>
      <c r="N2935">
        <v>303</v>
      </c>
      <c r="O2935" t="str">
        <f>"RECEITAS COM ENTREGAS"</f>
        <v>RECEITAS COM ENTREGAS</v>
      </c>
      <c r="P2935">
        <v>1512</v>
      </c>
      <c r="S2935" t="str">
        <f>"RECEITAS COM ENTREGAS (303)"</f>
        <v>RECEITAS COM ENTREGAS (303)</v>
      </c>
      <c r="T2935">
        <v>22258</v>
      </c>
      <c r="U2935">
        <v>21981</v>
      </c>
      <c r="V2935" t="s">
        <v>22</v>
      </c>
    </row>
    <row r="2936" spans="1:22">
      <c r="A2936" t="str">
        <f t="shared" si="513"/>
        <v>18/09/2025</v>
      </c>
      <c r="B2936" t="str">
        <f t="shared" si="516"/>
        <v>ENTRADA</v>
      </c>
      <c r="C2936" t="str">
        <f t="shared" si="517"/>
        <v>NFSE</v>
      </c>
      <c r="D2936" t="str">
        <f>"3356"</f>
        <v>3356</v>
      </c>
      <c r="E2936" t="str">
        <f t="shared" si="518"/>
        <v>1</v>
      </c>
      <c r="F2936" t="str">
        <f t="shared" si="519"/>
        <v>COM</v>
      </c>
      <c r="G2936" t="str">
        <f>"JAL FARMACIA E DROGARIA LJ 2 (10138)"</f>
        <v>JAL FARMACIA E DROGARIA LJ 2 (10138)</v>
      </c>
      <c r="H2936" t="s">
        <v>810</v>
      </c>
      <c r="I2936" t="str">
        <f t="shared" si="520"/>
        <v>17/09/2025</v>
      </c>
      <c r="J2936" t="str">
        <f>("15/09/2025")</f>
        <v>15/09/2025</v>
      </c>
      <c r="K2936">
        <v>45918</v>
      </c>
      <c r="N2936">
        <v>303</v>
      </c>
      <c r="O2936" t="s">
        <v>69</v>
      </c>
      <c r="Q2936">
        <v>1512</v>
      </c>
      <c r="R2936" t="str">
        <f>"JAL FARMACIA E DROGARIA LJ 2 (10138)"</f>
        <v>JAL FARMACIA E DROGARIA LJ 2 (10138)</v>
      </c>
      <c r="S2936" t="s">
        <v>70</v>
      </c>
      <c r="T2936">
        <v>22258</v>
      </c>
      <c r="U2936">
        <v>21981</v>
      </c>
      <c r="V2936" t="s">
        <v>22</v>
      </c>
    </row>
    <row r="2937" spans="1:22">
      <c r="A2937" t="str">
        <f t="shared" si="513"/>
        <v>18/09/2025</v>
      </c>
      <c r="B2937" t="str">
        <f t="shared" si="516"/>
        <v>ENTRADA</v>
      </c>
      <c r="C2937" t="str">
        <f t="shared" si="517"/>
        <v>NFSE</v>
      </c>
      <c r="D2937" t="str">
        <f>"3353"</f>
        <v>3353</v>
      </c>
      <c r="E2937" t="str">
        <f t="shared" si="518"/>
        <v>1</v>
      </c>
      <c r="F2937" t="str">
        <f t="shared" si="519"/>
        <v>COM</v>
      </c>
      <c r="G2937" t="str">
        <f>"DROGA ELIDA (10121)"</f>
        <v>DROGA ELIDA (10121)</v>
      </c>
      <c r="H2937" t="str">
        <f>"Serv.Prest. 08/09/2025 a 14/09/2025 - RPS: 1229 - NFSe: 3353"</f>
        <v>Serv.Prest. 08/09/2025 a 14/09/2025 - RPS: 1229 - NFSe: 3353</v>
      </c>
      <c r="I2937" t="str">
        <f t="shared" si="520"/>
        <v>17/09/2025</v>
      </c>
      <c r="J2937" t="str">
        <f>("15/09/2025")</f>
        <v>15/09/2025</v>
      </c>
      <c r="K2937" t="str">
        <f>("18/09/2025")</f>
        <v>18/09/2025</v>
      </c>
      <c r="L2937">
        <v>1839.6</v>
      </c>
      <c r="M2937">
        <v>1839.6</v>
      </c>
      <c r="N2937">
        <v>303</v>
      </c>
      <c r="O2937" t="str">
        <f>"RECEITAS COM ENTREGAS"</f>
        <v>RECEITAS COM ENTREGAS</v>
      </c>
      <c r="P2937">
        <v>1839.6</v>
      </c>
      <c r="S2937" t="str">
        <f>"RECEITAS COM ENTREGAS (303)"</f>
        <v>RECEITAS COM ENTREGAS (303)</v>
      </c>
      <c r="T2937">
        <v>22259</v>
      </c>
      <c r="U2937">
        <v>21973</v>
      </c>
      <c r="V2937" t="s">
        <v>22</v>
      </c>
    </row>
    <row r="2938" spans="1:22">
      <c r="A2938" t="str">
        <f t="shared" si="513"/>
        <v>18/09/2025</v>
      </c>
      <c r="B2938" t="str">
        <f t="shared" si="516"/>
        <v>ENTRADA</v>
      </c>
      <c r="C2938" t="str">
        <f t="shared" si="517"/>
        <v>NFSE</v>
      </c>
      <c r="D2938" t="str">
        <f>"3353"</f>
        <v>3353</v>
      </c>
      <c r="E2938" t="str">
        <f t="shared" si="518"/>
        <v>1</v>
      </c>
      <c r="F2938" t="str">
        <f t="shared" si="519"/>
        <v>COM</v>
      </c>
      <c r="G2938" t="str">
        <f>"DROGA ELIDA (10121)"</f>
        <v>DROGA ELIDA (10121)</v>
      </c>
      <c r="H2938" t="s">
        <v>811</v>
      </c>
      <c r="I2938" t="str">
        <f t="shared" si="520"/>
        <v>17/09/2025</v>
      </c>
      <c r="J2938" t="str">
        <f>("15/09/2025")</f>
        <v>15/09/2025</v>
      </c>
      <c r="K2938">
        <v>45918</v>
      </c>
      <c r="N2938">
        <v>303</v>
      </c>
      <c r="O2938" t="s">
        <v>69</v>
      </c>
      <c r="Q2938">
        <v>1839.6</v>
      </c>
      <c r="R2938" t="str">
        <f>"DROGA ELIDA (10121)"</f>
        <v>DROGA ELIDA (10121)</v>
      </c>
      <c r="S2938" t="s">
        <v>70</v>
      </c>
      <c r="T2938">
        <v>22259</v>
      </c>
      <c r="U2938">
        <v>21973</v>
      </c>
      <c r="V2938" t="s">
        <v>22</v>
      </c>
    </row>
    <row r="2939" spans="1:22">
      <c r="A2939" t="str">
        <f t="shared" si="513"/>
        <v>18/09/2025</v>
      </c>
      <c r="B2939" t="str">
        <f t="shared" si="516"/>
        <v>ENTRADA</v>
      </c>
      <c r="C2939" t="str">
        <f t="shared" si="517"/>
        <v>NFSE</v>
      </c>
      <c r="D2939" t="str">
        <f>"3369"</f>
        <v>3369</v>
      </c>
      <c r="E2939" t="str">
        <f t="shared" si="518"/>
        <v>1</v>
      </c>
      <c r="F2939" t="str">
        <f t="shared" si="519"/>
        <v>COM</v>
      </c>
      <c r="G2939" t="str">
        <f>"LBL FARMACIA LTDA (10189)"</f>
        <v>LBL FARMACIA LTDA (10189)</v>
      </c>
      <c r="H2939" t="str">
        <f>"Serv.Prest. 08/09/2025 a 14/09/2025 - RPS: 1245 - NFSe: 3369"</f>
        <v>Serv.Prest. 08/09/2025 a 14/09/2025 - RPS: 1245 - NFSe: 3369</v>
      </c>
      <c r="I2939" t="str">
        <f t="shared" si="520"/>
        <v>17/09/2025</v>
      </c>
      <c r="J2939" t="str">
        <f>("16/09/2025")</f>
        <v>16/09/2025</v>
      </c>
      <c r="K2939" t="str">
        <f>("18/09/2025")</f>
        <v>18/09/2025</v>
      </c>
      <c r="L2939">
        <v>791.35</v>
      </c>
      <c r="M2939">
        <v>791.35</v>
      </c>
      <c r="N2939">
        <v>303</v>
      </c>
      <c r="O2939" t="str">
        <f>"RECEITAS COM ENTREGAS"</f>
        <v>RECEITAS COM ENTREGAS</v>
      </c>
      <c r="P2939">
        <v>791.35</v>
      </c>
      <c r="S2939" t="str">
        <f>"RECEITAS COM ENTREGAS (303)"</f>
        <v>RECEITAS COM ENTREGAS (303)</v>
      </c>
      <c r="T2939">
        <v>22260</v>
      </c>
      <c r="U2939">
        <v>22174</v>
      </c>
      <c r="V2939" t="s">
        <v>22</v>
      </c>
    </row>
    <row r="2940" spans="1:22">
      <c r="A2940" t="str">
        <f t="shared" si="513"/>
        <v>18/09/2025</v>
      </c>
      <c r="B2940" t="str">
        <f t="shared" si="516"/>
        <v>ENTRADA</v>
      </c>
      <c r="C2940" t="str">
        <f t="shared" si="517"/>
        <v>NFSE</v>
      </c>
      <c r="D2940" t="str">
        <f>"3369"</f>
        <v>3369</v>
      </c>
      <c r="E2940" t="str">
        <f t="shared" si="518"/>
        <v>1</v>
      </c>
      <c r="F2940" t="str">
        <f t="shared" si="519"/>
        <v>COM</v>
      </c>
      <c r="G2940" t="str">
        <f>"LBL FARMACIA LTDA (10189)"</f>
        <v>LBL FARMACIA LTDA (10189)</v>
      </c>
      <c r="H2940" t="s">
        <v>812</v>
      </c>
      <c r="I2940" t="str">
        <f t="shared" si="520"/>
        <v>17/09/2025</v>
      </c>
      <c r="J2940" t="str">
        <f>("16/09/2025")</f>
        <v>16/09/2025</v>
      </c>
      <c r="K2940">
        <v>45918</v>
      </c>
      <c r="N2940">
        <v>303</v>
      </c>
      <c r="O2940" t="s">
        <v>69</v>
      </c>
      <c r="Q2940">
        <v>791.35</v>
      </c>
      <c r="R2940" t="str">
        <f>"LBL FARMACIA LTDA (10189)"</f>
        <v>LBL FARMACIA LTDA (10189)</v>
      </c>
      <c r="S2940" t="s">
        <v>70</v>
      </c>
      <c r="T2940">
        <v>22260</v>
      </c>
      <c r="U2940">
        <v>22174</v>
      </c>
      <c r="V2940" t="s">
        <v>22</v>
      </c>
    </row>
    <row r="2941" spans="1:22">
      <c r="A2941" t="str">
        <f t="shared" si="513"/>
        <v>18/09/2025</v>
      </c>
      <c r="B2941" t="str">
        <f t="shared" si="516"/>
        <v>ENTRADA</v>
      </c>
      <c r="C2941" t="str">
        <f t="shared" si="517"/>
        <v>NFSE</v>
      </c>
      <c r="D2941" t="str">
        <f>"3343"</f>
        <v>3343</v>
      </c>
      <c r="E2941" t="str">
        <f t="shared" si="518"/>
        <v>1</v>
      </c>
      <c r="F2941" t="str">
        <f t="shared" si="519"/>
        <v>COM</v>
      </c>
      <c r="G2941" t="str">
        <f>"AC FARMA - CID.ALTA (10166)"</f>
        <v>AC FARMA - CID.ALTA (10166)</v>
      </c>
      <c r="H2941" t="str">
        <f>"Serv.Prest. 01/09/2025 a 07/09/2025 - RPS: 1219 - NFSe: 3343"</f>
        <v>Serv.Prest. 01/09/2025 a 07/09/2025 - RPS: 1219 - NFSe: 3343</v>
      </c>
      <c r="I2941" t="str">
        <f t="shared" si="520"/>
        <v>17/09/2025</v>
      </c>
      <c r="J2941" t="str">
        <f>("09/09/2025")</f>
        <v>09/09/2025</v>
      </c>
      <c r="K2941" t="str">
        <f>("18/09/2025")</f>
        <v>18/09/2025</v>
      </c>
      <c r="L2941">
        <v>5390.28</v>
      </c>
      <c r="M2941">
        <v>5390.28</v>
      </c>
      <c r="N2941">
        <v>303</v>
      </c>
      <c r="O2941" t="str">
        <f>"RECEITAS COM ENTREGAS"</f>
        <v>RECEITAS COM ENTREGAS</v>
      </c>
      <c r="P2941">
        <v>5390.28</v>
      </c>
      <c r="S2941" t="str">
        <f>"RECEITAS COM ENTREGAS (303)"</f>
        <v>RECEITAS COM ENTREGAS (303)</v>
      </c>
      <c r="T2941">
        <v>22261</v>
      </c>
      <c r="U2941">
        <v>21674</v>
      </c>
      <c r="V2941" t="s">
        <v>22</v>
      </c>
    </row>
    <row r="2942" spans="1:22">
      <c r="A2942" t="str">
        <f t="shared" si="513"/>
        <v>18/09/2025</v>
      </c>
      <c r="B2942" t="str">
        <f t="shared" si="516"/>
        <v>ENTRADA</v>
      </c>
      <c r="C2942" t="str">
        <f t="shared" si="517"/>
        <v>NFSE</v>
      </c>
      <c r="D2942" t="str">
        <f>"3343"</f>
        <v>3343</v>
      </c>
      <c r="E2942" t="str">
        <f t="shared" si="518"/>
        <v>1</v>
      </c>
      <c r="F2942" t="str">
        <f t="shared" si="519"/>
        <v>COM</v>
      </c>
      <c r="G2942" t="str">
        <f>"AC FARMA - CID.ALTA (10166)"</f>
        <v>AC FARMA - CID.ALTA (10166)</v>
      </c>
      <c r="H2942" t="s">
        <v>813</v>
      </c>
      <c r="I2942" t="str">
        <f t="shared" si="520"/>
        <v>17/09/2025</v>
      </c>
      <c r="J2942" t="str">
        <f>("09/09/2025")</f>
        <v>09/09/2025</v>
      </c>
      <c r="K2942">
        <v>45918</v>
      </c>
      <c r="N2942">
        <v>303</v>
      </c>
      <c r="O2942" t="s">
        <v>69</v>
      </c>
      <c r="Q2942">
        <v>5390.28</v>
      </c>
      <c r="R2942" t="str">
        <f>"AC FARMA - CID.ALTA (10166)"</f>
        <v>AC FARMA - CID.ALTA (10166)</v>
      </c>
      <c r="S2942" t="s">
        <v>70</v>
      </c>
      <c r="T2942">
        <v>22261</v>
      </c>
      <c r="U2942">
        <v>21674</v>
      </c>
      <c r="V2942" t="s">
        <v>22</v>
      </c>
    </row>
    <row r="2943" spans="1:22">
      <c r="A2943" t="str">
        <f t="shared" si="513"/>
        <v>18/09/2025</v>
      </c>
      <c r="B2943" t="str">
        <f t="shared" si="516"/>
        <v>ENTRADA</v>
      </c>
      <c r="C2943" t="str">
        <f t="shared" si="517"/>
        <v>NFSE</v>
      </c>
      <c r="D2943" t="str">
        <f>"3370"</f>
        <v>3370</v>
      </c>
      <c r="E2943" t="str">
        <f t="shared" si="518"/>
        <v>1</v>
      </c>
      <c r="F2943" t="str">
        <f t="shared" si="519"/>
        <v>COM</v>
      </c>
      <c r="G2943" t="str">
        <f>"LBL FARMACIA LTDA FILIAL (10192)"</f>
        <v>LBL FARMACIA LTDA FILIAL (10192)</v>
      </c>
      <c r="H2943" t="str">
        <f>"Serv.Prest. 08/09/2025 a 14/09/2025 - RPS: 1246 - NFSe: 3370"</f>
        <v>Serv.Prest. 08/09/2025 a 14/09/2025 - RPS: 1246 - NFSe: 3370</v>
      </c>
      <c r="I2943" t="str">
        <f t="shared" si="520"/>
        <v>17/09/2025</v>
      </c>
      <c r="J2943" t="str">
        <f>("16/09/2025")</f>
        <v>16/09/2025</v>
      </c>
      <c r="K2943" t="str">
        <f>("18/09/2025")</f>
        <v>18/09/2025</v>
      </c>
      <c r="L2943">
        <v>791.35</v>
      </c>
      <c r="M2943">
        <v>791.35</v>
      </c>
      <c r="N2943">
        <v>303</v>
      </c>
      <c r="O2943" t="str">
        <f>"RECEITAS COM ENTREGAS"</f>
        <v>RECEITAS COM ENTREGAS</v>
      </c>
      <c r="P2943">
        <v>791.35</v>
      </c>
      <c r="S2943" t="str">
        <f>"RECEITAS COM ENTREGAS (303)"</f>
        <v>RECEITAS COM ENTREGAS (303)</v>
      </c>
      <c r="T2943">
        <v>22262</v>
      </c>
      <c r="U2943">
        <v>22177</v>
      </c>
      <c r="V2943" t="s">
        <v>22</v>
      </c>
    </row>
    <row r="2944" spans="1:22">
      <c r="A2944" t="str">
        <f t="shared" si="513"/>
        <v>18/09/2025</v>
      </c>
      <c r="B2944" t="str">
        <f t="shared" si="516"/>
        <v>ENTRADA</v>
      </c>
      <c r="C2944" t="str">
        <f t="shared" si="517"/>
        <v>NFSE</v>
      </c>
      <c r="D2944" t="str">
        <f>"3370"</f>
        <v>3370</v>
      </c>
      <c r="E2944" t="str">
        <f t="shared" si="518"/>
        <v>1</v>
      </c>
      <c r="F2944" t="str">
        <f t="shared" si="519"/>
        <v>COM</v>
      </c>
      <c r="G2944" t="str">
        <f>"LBL FARMACIA LTDA FILIAL (10192)"</f>
        <v>LBL FARMACIA LTDA FILIAL (10192)</v>
      </c>
      <c r="H2944" t="s">
        <v>814</v>
      </c>
      <c r="I2944" t="str">
        <f t="shared" si="520"/>
        <v>17/09/2025</v>
      </c>
      <c r="J2944" t="str">
        <f>("16/09/2025")</f>
        <v>16/09/2025</v>
      </c>
      <c r="K2944">
        <v>45918</v>
      </c>
      <c r="N2944">
        <v>303</v>
      </c>
      <c r="O2944" t="s">
        <v>69</v>
      </c>
      <c r="Q2944">
        <v>791.35</v>
      </c>
      <c r="R2944" t="str">
        <f>"LBL FARMACIA LTDA FILIAL (10192)"</f>
        <v>LBL FARMACIA LTDA FILIAL (10192)</v>
      </c>
      <c r="S2944" t="s">
        <v>70</v>
      </c>
      <c r="T2944">
        <v>22262</v>
      </c>
      <c r="U2944">
        <v>22177</v>
      </c>
      <c r="V2944" t="s">
        <v>22</v>
      </c>
    </row>
    <row r="2945" spans="1:22">
      <c r="A2945" t="str">
        <f t="shared" si="513"/>
        <v>18/09/2025</v>
      </c>
      <c r="B2945" t="str">
        <f t="shared" ref="B2945:B2976" si="522">"SAÍDA"</f>
        <v>SAÍDA</v>
      </c>
      <c r="C2945" t="str">
        <f t="shared" ref="C2945:C2974" si="523">"CONHECIMENTO"</f>
        <v>CONHECIMENTO</v>
      </c>
      <c r="D2945" t="str">
        <f t="shared" ref="D2945:D2974" si="524">"01092025"</f>
        <v>01092025</v>
      </c>
      <c r="E2945" t="str">
        <f>"2"</f>
        <v>2</v>
      </c>
      <c r="F2945" t="str">
        <f t="shared" si="519"/>
        <v>COM</v>
      </c>
      <c r="G2945" t="str">
        <f t="shared" ref="G2945:G2974" si="525">"CORA SOCIEDADE DE CREDITO, FINANCIAMENTO E INVESTIMENTO (20035)"</f>
        <v>CORA SOCIEDADE DE CREDITO, FINANCIAMENTO E INVESTIMENTO (20035)</v>
      </c>
      <c r="H2945" t="str">
        <f>"TAXA BOLETO "</f>
        <v xml:space="preserve">TAXA BOLETO </v>
      </c>
      <c r="I2945" t="str">
        <f t="shared" ref="I2945:I2974" si="526">("18/09/2025")</f>
        <v>18/09/2025</v>
      </c>
      <c r="J2945" t="str">
        <f t="shared" ref="J2945:J2974" si="527">("01/09/2025")</f>
        <v>01/09/2025</v>
      </c>
      <c r="K2945" t="str">
        <f>("18/09/2025")</f>
        <v>18/09/2025</v>
      </c>
      <c r="L2945">
        <v>0.5</v>
      </c>
      <c r="M2945">
        <v>0.5</v>
      </c>
      <c r="N2945">
        <v>401</v>
      </c>
      <c r="O2945" t="str">
        <f>"IOF/JUROS/DESP.FINANCEIRA"</f>
        <v>IOF/JUROS/DESP.FINANCEIRA</v>
      </c>
      <c r="P2945">
        <v>0.5</v>
      </c>
      <c r="S2945" t="str">
        <f>"BANCO CORA (102)"</f>
        <v>BANCO CORA (102)</v>
      </c>
      <c r="T2945">
        <v>22263</v>
      </c>
      <c r="U2945">
        <v>26035</v>
      </c>
      <c r="V2945" t="s">
        <v>22</v>
      </c>
    </row>
    <row r="2946" spans="1:22">
      <c r="A2946" t="str">
        <f t="shared" si="513"/>
        <v>18/09/2025</v>
      </c>
      <c r="B2946" t="str">
        <f t="shared" si="522"/>
        <v>SAÍDA</v>
      </c>
      <c r="C2946" t="str">
        <f t="shared" si="523"/>
        <v>CONHECIMENTO</v>
      </c>
      <c r="D2946" t="str">
        <f t="shared" si="524"/>
        <v>01092025</v>
      </c>
      <c r="E2946" t="str">
        <f>"2"</f>
        <v>2</v>
      </c>
      <c r="F2946" t="str">
        <f t="shared" ref="F2946:F2977" si="528">"COM"</f>
        <v>COM</v>
      </c>
      <c r="G2946" t="str">
        <f t="shared" si="525"/>
        <v>CORA SOCIEDADE DE CREDITO, FINANCIAMENTO E INVESTIMENTO (20035)</v>
      </c>
      <c r="H2946" t="s">
        <v>75</v>
      </c>
      <c r="I2946" t="str">
        <f t="shared" si="526"/>
        <v>18/09/2025</v>
      </c>
      <c r="J2946" t="str">
        <f t="shared" si="527"/>
        <v>01/09/2025</v>
      </c>
      <c r="K2946">
        <v>45918</v>
      </c>
      <c r="N2946">
        <v>401</v>
      </c>
      <c r="O2946" t="s">
        <v>76</v>
      </c>
      <c r="Q2946">
        <v>0.5</v>
      </c>
      <c r="R2946" t="str">
        <f>"CORA SOCIEDADE DE CREDITO, FINANCIAMENTO E INVESTIMENTO (20035)"</f>
        <v>CORA SOCIEDADE DE CREDITO, FINANCIAMENTO E INVESTIMENTO (20035)</v>
      </c>
      <c r="S2946" t="s">
        <v>22</v>
      </c>
      <c r="T2946">
        <v>22263</v>
      </c>
      <c r="U2946">
        <v>26035</v>
      </c>
      <c r="V2946" t="s">
        <v>22</v>
      </c>
    </row>
    <row r="2947" spans="1:22">
      <c r="A2947" t="str">
        <f t="shared" si="513"/>
        <v>18/09/2025</v>
      </c>
      <c r="B2947" t="str">
        <f t="shared" si="522"/>
        <v>SAÍDA</v>
      </c>
      <c r="C2947" t="str">
        <f t="shared" si="523"/>
        <v>CONHECIMENTO</v>
      </c>
      <c r="D2947" t="str">
        <f t="shared" si="524"/>
        <v>01092025</v>
      </c>
      <c r="E2947" t="str">
        <f>"3"</f>
        <v>3</v>
      </c>
      <c r="F2947" t="str">
        <f t="shared" si="528"/>
        <v>COM</v>
      </c>
      <c r="G2947" t="str">
        <f t="shared" si="525"/>
        <v>CORA SOCIEDADE DE CREDITO, FINANCIAMENTO E INVESTIMENTO (20035)</v>
      </c>
      <c r="H2947" t="str">
        <f>"TAXA BOLETO "</f>
        <v xml:space="preserve">TAXA BOLETO </v>
      </c>
      <c r="I2947" t="str">
        <f t="shared" si="526"/>
        <v>18/09/2025</v>
      </c>
      <c r="J2947" t="str">
        <f t="shared" si="527"/>
        <v>01/09/2025</v>
      </c>
      <c r="K2947" t="str">
        <f>("18/09/2025")</f>
        <v>18/09/2025</v>
      </c>
      <c r="L2947">
        <v>1.7</v>
      </c>
      <c r="M2947">
        <v>1.7</v>
      </c>
      <c r="N2947">
        <v>401</v>
      </c>
      <c r="O2947" t="str">
        <f>"IOF/JUROS/DESP.FINANCEIRA"</f>
        <v>IOF/JUROS/DESP.FINANCEIRA</v>
      </c>
      <c r="P2947">
        <v>1.7</v>
      </c>
      <c r="S2947" t="str">
        <f>"BANCO CORA (102)"</f>
        <v>BANCO CORA (102)</v>
      </c>
      <c r="T2947">
        <v>22264</v>
      </c>
      <c r="U2947">
        <v>26036</v>
      </c>
      <c r="V2947" t="s">
        <v>22</v>
      </c>
    </row>
    <row r="2948" spans="1:22">
      <c r="A2948" t="str">
        <f t="shared" si="513"/>
        <v>18/09/2025</v>
      </c>
      <c r="B2948" t="str">
        <f t="shared" si="522"/>
        <v>SAÍDA</v>
      </c>
      <c r="C2948" t="str">
        <f t="shared" si="523"/>
        <v>CONHECIMENTO</v>
      </c>
      <c r="D2948" t="str">
        <f t="shared" si="524"/>
        <v>01092025</v>
      </c>
      <c r="E2948" t="str">
        <f>"3"</f>
        <v>3</v>
      </c>
      <c r="F2948" t="str">
        <f t="shared" si="528"/>
        <v>COM</v>
      </c>
      <c r="G2948" t="str">
        <f t="shared" si="525"/>
        <v>CORA SOCIEDADE DE CREDITO, FINANCIAMENTO E INVESTIMENTO (20035)</v>
      </c>
      <c r="H2948" t="s">
        <v>75</v>
      </c>
      <c r="I2948" t="str">
        <f t="shared" si="526"/>
        <v>18/09/2025</v>
      </c>
      <c r="J2948" t="str">
        <f t="shared" si="527"/>
        <v>01/09/2025</v>
      </c>
      <c r="K2948">
        <v>45918</v>
      </c>
      <c r="N2948">
        <v>401</v>
      </c>
      <c r="O2948" t="s">
        <v>76</v>
      </c>
      <c r="Q2948">
        <v>1.7</v>
      </c>
      <c r="R2948" t="str">
        <f>"CORA SOCIEDADE DE CREDITO, FINANCIAMENTO E INVESTIMENTO (20035)"</f>
        <v>CORA SOCIEDADE DE CREDITO, FINANCIAMENTO E INVESTIMENTO (20035)</v>
      </c>
      <c r="S2948" t="s">
        <v>22</v>
      </c>
      <c r="T2948">
        <v>22264</v>
      </c>
      <c r="U2948">
        <v>26036</v>
      </c>
      <c r="V2948" t="s">
        <v>22</v>
      </c>
    </row>
    <row r="2949" spans="1:22">
      <c r="A2949" t="str">
        <f t="shared" si="513"/>
        <v>18/09/2025</v>
      </c>
      <c r="B2949" t="str">
        <f t="shared" si="522"/>
        <v>SAÍDA</v>
      </c>
      <c r="C2949" t="str">
        <f t="shared" si="523"/>
        <v>CONHECIMENTO</v>
      </c>
      <c r="D2949" t="str">
        <f t="shared" si="524"/>
        <v>01092025</v>
      </c>
      <c r="E2949" t="str">
        <f>"4"</f>
        <v>4</v>
      </c>
      <c r="F2949" t="str">
        <f t="shared" si="528"/>
        <v>COM</v>
      </c>
      <c r="G2949" t="str">
        <f t="shared" si="525"/>
        <v>CORA SOCIEDADE DE CREDITO, FINANCIAMENTO E INVESTIMENTO (20035)</v>
      </c>
      <c r="H2949" t="str">
        <f>"TAXA BOLETO "</f>
        <v xml:space="preserve">TAXA BOLETO </v>
      </c>
      <c r="I2949" t="str">
        <f t="shared" si="526"/>
        <v>18/09/2025</v>
      </c>
      <c r="J2949" t="str">
        <f t="shared" si="527"/>
        <v>01/09/2025</v>
      </c>
      <c r="K2949" t="str">
        <f>("18/09/2025")</f>
        <v>18/09/2025</v>
      </c>
      <c r="L2949">
        <v>1.7</v>
      </c>
      <c r="M2949">
        <v>1.7</v>
      </c>
      <c r="N2949">
        <v>401</v>
      </c>
      <c r="O2949" t="str">
        <f>"IOF/JUROS/DESP.FINANCEIRA"</f>
        <v>IOF/JUROS/DESP.FINANCEIRA</v>
      </c>
      <c r="P2949">
        <v>1.7</v>
      </c>
      <c r="S2949" t="str">
        <f>"BANCO CORA (102)"</f>
        <v>BANCO CORA (102)</v>
      </c>
      <c r="T2949">
        <v>22265</v>
      </c>
      <c r="U2949">
        <v>26037</v>
      </c>
      <c r="V2949" t="s">
        <v>22</v>
      </c>
    </row>
    <row r="2950" spans="1:22">
      <c r="A2950" t="str">
        <f t="shared" si="513"/>
        <v>18/09/2025</v>
      </c>
      <c r="B2950" t="str">
        <f t="shared" si="522"/>
        <v>SAÍDA</v>
      </c>
      <c r="C2950" t="str">
        <f t="shared" si="523"/>
        <v>CONHECIMENTO</v>
      </c>
      <c r="D2950" t="str">
        <f t="shared" si="524"/>
        <v>01092025</v>
      </c>
      <c r="E2950" t="str">
        <f>"4"</f>
        <v>4</v>
      </c>
      <c r="F2950" t="str">
        <f t="shared" si="528"/>
        <v>COM</v>
      </c>
      <c r="G2950" t="str">
        <f t="shared" si="525"/>
        <v>CORA SOCIEDADE DE CREDITO, FINANCIAMENTO E INVESTIMENTO (20035)</v>
      </c>
      <c r="H2950" t="s">
        <v>75</v>
      </c>
      <c r="I2950" t="str">
        <f t="shared" si="526"/>
        <v>18/09/2025</v>
      </c>
      <c r="J2950" t="str">
        <f t="shared" si="527"/>
        <v>01/09/2025</v>
      </c>
      <c r="K2950">
        <v>45918</v>
      </c>
      <c r="N2950">
        <v>401</v>
      </c>
      <c r="O2950" t="s">
        <v>76</v>
      </c>
      <c r="Q2950">
        <v>1.7</v>
      </c>
      <c r="R2950" t="str">
        <f>"CORA SOCIEDADE DE CREDITO, FINANCIAMENTO E INVESTIMENTO (20035)"</f>
        <v>CORA SOCIEDADE DE CREDITO, FINANCIAMENTO E INVESTIMENTO (20035)</v>
      </c>
      <c r="S2950" t="s">
        <v>22</v>
      </c>
      <c r="T2950">
        <v>22265</v>
      </c>
      <c r="U2950">
        <v>26037</v>
      </c>
      <c r="V2950" t="s">
        <v>22</v>
      </c>
    </row>
    <row r="2951" spans="1:22">
      <c r="A2951" t="str">
        <f t="shared" si="513"/>
        <v>18/09/2025</v>
      </c>
      <c r="B2951" t="str">
        <f t="shared" si="522"/>
        <v>SAÍDA</v>
      </c>
      <c r="C2951" t="str">
        <f t="shared" si="523"/>
        <v>CONHECIMENTO</v>
      </c>
      <c r="D2951" t="str">
        <f t="shared" si="524"/>
        <v>01092025</v>
      </c>
      <c r="E2951" t="str">
        <f>"5"</f>
        <v>5</v>
      </c>
      <c r="F2951" t="str">
        <f t="shared" si="528"/>
        <v>COM</v>
      </c>
      <c r="G2951" t="str">
        <f t="shared" si="525"/>
        <v>CORA SOCIEDADE DE CREDITO, FINANCIAMENTO E INVESTIMENTO (20035)</v>
      </c>
      <c r="H2951" t="str">
        <f>"TAXA BOLETO "</f>
        <v xml:space="preserve">TAXA BOLETO </v>
      </c>
      <c r="I2951" t="str">
        <f t="shared" si="526"/>
        <v>18/09/2025</v>
      </c>
      <c r="J2951" t="str">
        <f t="shared" si="527"/>
        <v>01/09/2025</v>
      </c>
      <c r="K2951" t="str">
        <f>("18/09/2025")</f>
        <v>18/09/2025</v>
      </c>
      <c r="L2951">
        <v>1.7</v>
      </c>
      <c r="M2951">
        <v>1.7</v>
      </c>
      <c r="N2951">
        <v>401</v>
      </c>
      <c r="O2951" t="str">
        <f>"IOF/JUROS/DESP.FINANCEIRA"</f>
        <v>IOF/JUROS/DESP.FINANCEIRA</v>
      </c>
      <c r="P2951">
        <v>1.7</v>
      </c>
      <c r="S2951" t="str">
        <f>"BANCO CORA (102)"</f>
        <v>BANCO CORA (102)</v>
      </c>
      <c r="T2951">
        <v>22266</v>
      </c>
      <c r="U2951">
        <v>26038</v>
      </c>
      <c r="V2951" t="s">
        <v>22</v>
      </c>
    </row>
    <row r="2952" spans="1:22">
      <c r="A2952" t="str">
        <f t="shared" si="513"/>
        <v>18/09/2025</v>
      </c>
      <c r="B2952" t="str">
        <f t="shared" si="522"/>
        <v>SAÍDA</v>
      </c>
      <c r="C2952" t="str">
        <f t="shared" si="523"/>
        <v>CONHECIMENTO</v>
      </c>
      <c r="D2952" t="str">
        <f t="shared" si="524"/>
        <v>01092025</v>
      </c>
      <c r="E2952" t="str">
        <f>"5"</f>
        <v>5</v>
      </c>
      <c r="F2952" t="str">
        <f t="shared" si="528"/>
        <v>COM</v>
      </c>
      <c r="G2952" t="str">
        <f t="shared" si="525"/>
        <v>CORA SOCIEDADE DE CREDITO, FINANCIAMENTO E INVESTIMENTO (20035)</v>
      </c>
      <c r="H2952" t="s">
        <v>75</v>
      </c>
      <c r="I2952" t="str">
        <f t="shared" si="526"/>
        <v>18/09/2025</v>
      </c>
      <c r="J2952" t="str">
        <f t="shared" si="527"/>
        <v>01/09/2025</v>
      </c>
      <c r="K2952">
        <v>45918</v>
      </c>
      <c r="N2952">
        <v>401</v>
      </c>
      <c r="O2952" t="s">
        <v>76</v>
      </c>
      <c r="Q2952">
        <v>1.7</v>
      </c>
      <c r="R2952" t="str">
        <f>"CORA SOCIEDADE DE CREDITO, FINANCIAMENTO E INVESTIMENTO (20035)"</f>
        <v>CORA SOCIEDADE DE CREDITO, FINANCIAMENTO E INVESTIMENTO (20035)</v>
      </c>
      <c r="S2952" t="s">
        <v>22</v>
      </c>
      <c r="T2952">
        <v>22266</v>
      </c>
      <c r="U2952">
        <v>26038</v>
      </c>
      <c r="V2952" t="s">
        <v>22</v>
      </c>
    </row>
    <row r="2953" spans="1:22">
      <c r="A2953" t="str">
        <f t="shared" si="513"/>
        <v>18/09/2025</v>
      </c>
      <c r="B2953" t="str">
        <f t="shared" si="522"/>
        <v>SAÍDA</v>
      </c>
      <c r="C2953" t="str">
        <f t="shared" si="523"/>
        <v>CONHECIMENTO</v>
      </c>
      <c r="D2953" t="str">
        <f t="shared" si="524"/>
        <v>01092025</v>
      </c>
      <c r="E2953" t="str">
        <f>"6"</f>
        <v>6</v>
      </c>
      <c r="F2953" t="str">
        <f t="shared" si="528"/>
        <v>COM</v>
      </c>
      <c r="G2953" t="str">
        <f t="shared" si="525"/>
        <v>CORA SOCIEDADE DE CREDITO, FINANCIAMENTO E INVESTIMENTO (20035)</v>
      </c>
      <c r="H2953" t="str">
        <f>"TAXA BOLETO "</f>
        <v xml:space="preserve">TAXA BOLETO </v>
      </c>
      <c r="I2953" t="str">
        <f t="shared" si="526"/>
        <v>18/09/2025</v>
      </c>
      <c r="J2953" t="str">
        <f t="shared" si="527"/>
        <v>01/09/2025</v>
      </c>
      <c r="K2953" t="str">
        <f>("18/09/2025")</f>
        <v>18/09/2025</v>
      </c>
      <c r="L2953">
        <v>1.7</v>
      </c>
      <c r="M2953">
        <v>1.7</v>
      </c>
      <c r="N2953">
        <v>401</v>
      </c>
      <c r="O2953" t="str">
        <f>"IOF/JUROS/DESP.FINANCEIRA"</f>
        <v>IOF/JUROS/DESP.FINANCEIRA</v>
      </c>
      <c r="P2953">
        <v>1.7</v>
      </c>
      <c r="S2953" t="str">
        <f>"BANCO CORA (102)"</f>
        <v>BANCO CORA (102)</v>
      </c>
      <c r="T2953">
        <v>22267</v>
      </c>
      <c r="U2953">
        <v>26039</v>
      </c>
      <c r="V2953" t="s">
        <v>22</v>
      </c>
    </row>
    <row r="2954" spans="1:22">
      <c r="A2954" t="str">
        <f t="shared" si="513"/>
        <v>18/09/2025</v>
      </c>
      <c r="B2954" t="str">
        <f t="shared" si="522"/>
        <v>SAÍDA</v>
      </c>
      <c r="C2954" t="str">
        <f t="shared" si="523"/>
        <v>CONHECIMENTO</v>
      </c>
      <c r="D2954" t="str">
        <f t="shared" si="524"/>
        <v>01092025</v>
      </c>
      <c r="E2954" t="str">
        <f>"6"</f>
        <v>6</v>
      </c>
      <c r="F2954" t="str">
        <f t="shared" si="528"/>
        <v>COM</v>
      </c>
      <c r="G2954" t="str">
        <f t="shared" si="525"/>
        <v>CORA SOCIEDADE DE CREDITO, FINANCIAMENTO E INVESTIMENTO (20035)</v>
      </c>
      <c r="H2954" t="s">
        <v>75</v>
      </c>
      <c r="I2954" t="str">
        <f t="shared" si="526"/>
        <v>18/09/2025</v>
      </c>
      <c r="J2954" t="str">
        <f t="shared" si="527"/>
        <v>01/09/2025</v>
      </c>
      <c r="K2954">
        <v>45918</v>
      </c>
      <c r="N2954">
        <v>401</v>
      </c>
      <c r="O2954" t="s">
        <v>76</v>
      </c>
      <c r="Q2954">
        <v>1.7</v>
      </c>
      <c r="R2954" t="str">
        <f>"CORA SOCIEDADE DE CREDITO, FINANCIAMENTO E INVESTIMENTO (20035)"</f>
        <v>CORA SOCIEDADE DE CREDITO, FINANCIAMENTO E INVESTIMENTO (20035)</v>
      </c>
      <c r="S2954" t="s">
        <v>22</v>
      </c>
      <c r="T2954">
        <v>22267</v>
      </c>
      <c r="U2954">
        <v>26039</v>
      </c>
      <c r="V2954" t="s">
        <v>22</v>
      </c>
    </row>
    <row r="2955" spans="1:22">
      <c r="A2955" t="str">
        <f t="shared" si="513"/>
        <v>18/09/2025</v>
      </c>
      <c r="B2955" t="str">
        <f t="shared" si="522"/>
        <v>SAÍDA</v>
      </c>
      <c r="C2955" t="str">
        <f t="shared" si="523"/>
        <v>CONHECIMENTO</v>
      </c>
      <c r="D2955" t="str">
        <f t="shared" si="524"/>
        <v>01092025</v>
      </c>
      <c r="E2955" t="str">
        <f>"7"</f>
        <v>7</v>
      </c>
      <c r="F2955" t="str">
        <f t="shared" si="528"/>
        <v>COM</v>
      </c>
      <c r="G2955" t="str">
        <f t="shared" si="525"/>
        <v>CORA SOCIEDADE DE CREDITO, FINANCIAMENTO E INVESTIMENTO (20035)</v>
      </c>
      <c r="H2955" t="str">
        <f>"TAXA BOLETO "</f>
        <v xml:space="preserve">TAXA BOLETO </v>
      </c>
      <c r="I2955" t="str">
        <f t="shared" si="526"/>
        <v>18/09/2025</v>
      </c>
      <c r="J2955" t="str">
        <f t="shared" si="527"/>
        <v>01/09/2025</v>
      </c>
      <c r="K2955" t="str">
        <f>("18/09/2025")</f>
        <v>18/09/2025</v>
      </c>
      <c r="L2955">
        <v>1.7</v>
      </c>
      <c r="M2955">
        <v>1.7</v>
      </c>
      <c r="N2955">
        <v>401</v>
      </c>
      <c r="O2955" t="str">
        <f>"IOF/JUROS/DESP.FINANCEIRA"</f>
        <v>IOF/JUROS/DESP.FINANCEIRA</v>
      </c>
      <c r="P2955">
        <v>1.7</v>
      </c>
      <c r="S2955" t="str">
        <f>"BANCO CORA (102)"</f>
        <v>BANCO CORA (102)</v>
      </c>
      <c r="T2955">
        <v>22268</v>
      </c>
      <c r="U2955">
        <v>26040</v>
      </c>
      <c r="V2955" t="s">
        <v>22</v>
      </c>
    </row>
    <row r="2956" spans="1:22">
      <c r="A2956" t="str">
        <f t="shared" si="513"/>
        <v>18/09/2025</v>
      </c>
      <c r="B2956" t="str">
        <f t="shared" si="522"/>
        <v>SAÍDA</v>
      </c>
      <c r="C2956" t="str">
        <f t="shared" si="523"/>
        <v>CONHECIMENTO</v>
      </c>
      <c r="D2956" t="str">
        <f t="shared" si="524"/>
        <v>01092025</v>
      </c>
      <c r="E2956" t="str">
        <f>"7"</f>
        <v>7</v>
      </c>
      <c r="F2956" t="str">
        <f t="shared" si="528"/>
        <v>COM</v>
      </c>
      <c r="G2956" t="str">
        <f t="shared" si="525"/>
        <v>CORA SOCIEDADE DE CREDITO, FINANCIAMENTO E INVESTIMENTO (20035)</v>
      </c>
      <c r="H2956" t="s">
        <v>75</v>
      </c>
      <c r="I2956" t="str">
        <f t="shared" si="526"/>
        <v>18/09/2025</v>
      </c>
      <c r="J2956" t="str">
        <f t="shared" si="527"/>
        <v>01/09/2025</v>
      </c>
      <c r="K2956">
        <v>45918</v>
      </c>
      <c r="N2956">
        <v>401</v>
      </c>
      <c r="O2956" t="s">
        <v>76</v>
      </c>
      <c r="Q2956">
        <v>1.7</v>
      </c>
      <c r="R2956" t="str">
        <f>"CORA SOCIEDADE DE CREDITO, FINANCIAMENTO E INVESTIMENTO (20035)"</f>
        <v>CORA SOCIEDADE DE CREDITO, FINANCIAMENTO E INVESTIMENTO (20035)</v>
      </c>
      <c r="S2956" t="s">
        <v>22</v>
      </c>
      <c r="T2956">
        <v>22268</v>
      </c>
      <c r="U2956">
        <v>26040</v>
      </c>
      <c r="V2956" t="s">
        <v>22</v>
      </c>
    </row>
    <row r="2957" spans="1:22">
      <c r="A2957" t="str">
        <f t="shared" si="513"/>
        <v>18/09/2025</v>
      </c>
      <c r="B2957" t="str">
        <f t="shared" si="522"/>
        <v>SAÍDA</v>
      </c>
      <c r="C2957" t="str">
        <f t="shared" si="523"/>
        <v>CONHECIMENTO</v>
      </c>
      <c r="D2957" t="str">
        <f t="shared" si="524"/>
        <v>01092025</v>
      </c>
      <c r="E2957" t="str">
        <f>"8"</f>
        <v>8</v>
      </c>
      <c r="F2957" t="str">
        <f t="shared" si="528"/>
        <v>COM</v>
      </c>
      <c r="G2957" t="str">
        <f t="shared" si="525"/>
        <v>CORA SOCIEDADE DE CREDITO, FINANCIAMENTO E INVESTIMENTO (20035)</v>
      </c>
      <c r="H2957" t="str">
        <f>"TAXA BOLETO "</f>
        <v xml:space="preserve">TAXA BOLETO </v>
      </c>
      <c r="I2957" t="str">
        <f t="shared" si="526"/>
        <v>18/09/2025</v>
      </c>
      <c r="J2957" t="str">
        <f t="shared" si="527"/>
        <v>01/09/2025</v>
      </c>
      <c r="K2957" t="str">
        <f>("18/09/2025")</f>
        <v>18/09/2025</v>
      </c>
      <c r="L2957">
        <v>1.7</v>
      </c>
      <c r="M2957">
        <v>1.7</v>
      </c>
      <c r="N2957">
        <v>401</v>
      </c>
      <c r="O2957" t="str">
        <f>"IOF/JUROS/DESP.FINANCEIRA"</f>
        <v>IOF/JUROS/DESP.FINANCEIRA</v>
      </c>
      <c r="P2957">
        <v>1.7</v>
      </c>
      <c r="S2957" t="str">
        <f>"BANCO CORA (102)"</f>
        <v>BANCO CORA (102)</v>
      </c>
      <c r="T2957">
        <v>22269</v>
      </c>
      <c r="U2957">
        <v>26041</v>
      </c>
      <c r="V2957" t="s">
        <v>22</v>
      </c>
    </row>
    <row r="2958" spans="1:22">
      <c r="A2958" t="str">
        <f t="shared" si="513"/>
        <v>18/09/2025</v>
      </c>
      <c r="B2958" t="str">
        <f t="shared" si="522"/>
        <v>SAÍDA</v>
      </c>
      <c r="C2958" t="str">
        <f t="shared" si="523"/>
        <v>CONHECIMENTO</v>
      </c>
      <c r="D2958" t="str">
        <f t="shared" si="524"/>
        <v>01092025</v>
      </c>
      <c r="E2958" t="str">
        <f>"8"</f>
        <v>8</v>
      </c>
      <c r="F2958" t="str">
        <f t="shared" si="528"/>
        <v>COM</v>
      </c>
      <c r="G2958" t="str">
        <f t="shared" si="525"/>
        <v>CORA SOCIEDADE DE CREDITO, FINANCIAMENTO E INVESTIMENTO (20035)</v>
      </c>
      <c r="H2958" t="s">
        <v>75</v>
      </c>
      <c r="I2958" t="str">
        <f t="shared" si="526"/>
        <v>18/09/2025</v>
      </c>
      <c r="J2958" t="str">
        <f t="shared" si="527"/>
        <v>01/09/2025</v>
      </c>
      <c r="K2958">
        <v>45918</v>
      </c>
      <c r="N2958">
        <v>401</v>
      </c>
      <c r="O2958" t="s">
        <v>76</v>
      </c>
      <c r="Q2958">
        <v>1.7</v>
      </c>
      <c r="R2958" t="str">
        <f>"CORA SOCIEDADE DE CREDITO, FINANCIAMENTO E INVESTIMENTO (20035)"</f>
        <v>CORA SOCIEDADE DE CREDITO, FINANCIAMENTO E INVESTIMENTO (20035)</v>
      </c>
      <c r="S2958" t="s">
        <v>22</v>
      </c>
      <c r="T2958">
        <v>22269</v>
      </c>
      <c r="U2958">
        <v>26041</v>
      </c>
      <c r="V2958" t="s">
        <v>22</v>
      </c>
    </row>
    <row r="2959" spans="1:22">
      <c r="A2959" t="str">
        <f t="shared" si="513"/>
        <v>18/09/2025</v>
      </c>
      <c r="B2959" t="str">
        <f t="shared" si="522"/>
        <v>SAÍDA</v>
      </c>
      <c r="C2959" t="str">
        <f t="shared" si="523"/>
        <v>CONHECIMENTO</v>
      </c>
      <c r="D2959" t="str">
        <f t="shared" si="524"/>
        <v>01092025</v>
      </c>
      <c r="E2959" t="str">
        <f>"9"</f>
        <v>9</v>
      </c>
      <c r="F2959" t="str">
        <f t="shared" si="528"/>
        <v>COM</v>
      </c>
      <c r="G2959" t="str">
        <f t="shared" si="525"/>
        <v>CORA SOCIEDADE DE CREDITO, FINANCIAMENTO E INVESTIMENTO (20035)</v>
      </c>
      <c r="H2959" t="str">
        <f>"TAXA BOLETO "</f>
        <v xml:space="preserve">TAXA BOLETO </v>
      </c>
      <c r="I2959" t="str">
        <f t="shared" si="526"/>
        <v>18/09/2025</v>
      </c>
      <c r="J2959" t="str">
        <f t="shared" si="527"/>
        <v>01/09/2025</v>
      </c>
      <c r="K2959" t="str">
        <f>("18/09/2025")</f>
        <v>18/09/2025</v>
      </c>
      <c r="L2959">
        <v>1.7</v>
      </c>
      <c r="M2959">
        <v>1.7</v>
      </c>
      <c r="N2959">
        <v>401</v>
      </c>
      <c r="O2959" t="str">
        <f>"IOF/JUROS/DESP.FINANCEIRA"</f>
        <v>IOF/JUROS/DESP.FINANCEIRA</v>
      </c>
      <c r="P2959">
        <v>1.7</v>
      </c>
      <c r="S2959" t="str">
        <f>"BANCO CORA (102)"</f>
        <v>BANCO CORA (102)</v>
      </c>
      <c r="T2959">
        <v>22270</v>
      </c>
      <c r="U2959">
        <v>26042</v>
      </c>
      <c r="V2959" t="s">
        <v>22</v>
      </c>
    </row>
    <row r="2960" spans="1:22">
      <c r="A2960" t="str">
        <f t="shared" si="513"/>
        <v>18/09/2025</v>
      </c>
      <c r="B2960" t="str">
        <f t="shared" si="522"/>
        <v>SAÍDA</v>
      </c>
      <c r="C2960" t="str">
        <f t="shared" si="523"/>
        <v>CONHECIMENTO</v>
      </c>
      <c r="D2960" t="str">
        <f t="shared" si="524"/>
        <v>01092025</v>
      </c>
      <c r="E2960" t="str">
        <f>"9"</f>
        <v>9</v>
      </c>
      <c r="F2960" t="str">
        <f t="shared" si="528"/>
        <v>COM</v>
      </c>
      <c r="G2960" t="str">
        <f t="shared" si="525"/>
        <v>CORA SOCIEDADE DE CREDITO, FINANCIAMENTO E INVESTIMENTO (20035)</v>
      </c>
      <c r="H2960" t="s">
        <v>75</v>
      </c>
      <c r="I2960" t="str">
        <f t="shared" si="526"/>
        <v>18/09/2025</v>
      </c>
      <c r="J2960" t="str">
        <f t="shared" si="527"/>
        <v>01/09/2025</v>
      </c>
      <c r="K2960">
        <v>45918</v>
      </c>
      <c r="N2960">
        <v>401</v>
      </c>
      <c r="O2960" t="s">
        <v>76</v>
      </c>
      <c r="Q2960">
        <v>1.7</v>
      </c>
      <c r="R2960" t="str">
        <f>"CORA SOCIEDADE DE CREDITO, FINANCIAMENTO E INVESTIMENTO (20035)"</f>
        <v>CORA SOCIEDADE DE CREDITO, FINANCIAMENTO E INVESTIMENTO (20035)</v>
      </c>
      <c r="S2960" t="s">
        <v>22</v>
      </c>
      <c r="T2960">
        <v>22270</v>
      </c>
      <c r="U2960">
        <v>26042</v>
      </c>
      <c r="V2960" t="s">
        <v>22</v>
      </c>
    </row>
    <row r="2961" spans="1:22">
      <c r="A2961" t="str">
        <f t="shared" si="513"/>
        <v>18/09/2025</v>
      </c>
      <c r="B2961" t="str">
        <f t="shared" si="522"/>
        <v>SAÍDA</v>
      </c>
      <c r="C2961" t="str">
        <f t="shared" si="523"/>
        <v>CONHECIMENTO</v>
      </c>
      <c r="D2961" t="str">
        <f t="shared" si="524"/>
        <v>01092025</v>
      </c>
      <c r="E2961" t="str">
        <f>"10"</f>
        <v>10</v>
      </c>
      <c r="F2961" t="str">
        <f t="shared" si="528"/>
        <v>COM</v>
      </c>
      <c r="G2961" t="str">
        <f t="shared" si="525"/>
        <v>CORA SOCIEDADE DE CREDITO, FINANCIAMENTO E INVESTIMENTO (20035)</v>
      </c>
      <c r="H2961" t="str">
        <f>"TAXA BOLETO "</f>
        <v xml:space="preserve">TAXA BOLETO </v>
      </c>
      <c r="I2961" t="str">
        <f t="shared" si="526"/>
        <v>18/09/2025</v>
      </c>
      <c r="J2961" t="str">
        <f t="shared" si="527"/>
        <v>01/09/2025</v>
      </c>
      <c r="K2961" t="str">
        <f>("18/09/2025")</f>
        <v>18/09/2025</v>
      </c>
      <c r="L2961">
        <v>1.7</v>
      </c>
      <c r="M2961">
        <v>1.7</v>
      </c>
      <c r="N2961">
        <v>401</v>
      </c>
      <c r="O2961" t="str">
        <f>"IOF/JUROS/DESP.FINANCEIRA"</f>
        <v>IOF/JUROS/DESP.FINANCEIRA</v>
      </c>
      <c r="P2961">
        <v>1.7</v>
      </c>
      <c r="S2961" t="str">
        <f>"BANCO CORA (102)"</f>
        <v>BANCO CORA (102)</v>
      </c>
      <c r="T2961">
        <v>22271</v>
      </c>
      <c r="U2961">
        <v>26043</v>
      </c>
      <c r="V2961" t="s">
        <v>22</v>
      </c>
    </row>
    <row r="2962" spans="1:22">
      <c r="A2962" t="str">
        <f t="shared" si="513"/>
        <v>18/09/2025</v>
      </c>
      <c r="B2962" t="str">
        <f t="shared" si="522"/>
        <v>SAÍDA</v>
      </c>
      <c r="C2962" t="str">
        <f t="shared" si="523"/>
        <v>CONHECIMENTO</v>
      </c>
      <c r="D2962" t="str">
        <f t="shared" si="524"/>
        <v>01092025</v>
      </c>
      <c r="E2962" t="str">
        <f>"10"</f>
        <v>10</v>
      </c>
      <c r="F2962" t="str">
        <f t="shared" si="528"/>
        <v>COM</v>
      </c>
      <c r="G2962" t="str">
        <f t="shared" si="525"/>
        <v>CORA SOCIEDADE DE CREDITO, FINANCIAMENTO E INVESTIMENTO (20035)</v>
      </c>
      <c r="H2962" t="s">
        <v>75</v>
      </c>
      <c r="I2962" t="str">
        <f t="shared" si="526"/>
        <v>18/09/2025</v>
      </c>
      <c r="J2962" t="str">
        <f t="shared" si="527"/>
        <v>01/09/2025</v>
      </c>
      <c r="K2962">
        <v>45918</v>
      </c>
      <c r="N2962">
        <v>401</v>
      </c>
      <c r="O2962" t="s">
        <v>76</v>
      </c>
      <c r="Q2962">
        <v>1.7</v>
      </c>
      <c r="R2962" t="str">
        <f>"CORA SOCIEDADE DE CREDITO, FINANCIAMENTO E INVESTIMENTO (20035)"</f>
        <v>CORA SOCIEDADE DE CREDITO, FINANCIAMENTO E INVESTIMENTO (20035)</v>
      </c>
      <c r="S2962" t="s">
        <v>22</v>
      </c>
      <c r="T2962">
        <v>22271</v>
      </c>
      <c r="U2962">
        <v>26043</v>
      </c>
      <c r="V2962" t="s">
        <v>22</v>
      </c>
    </row>
    <row r="2963" spans="1:22">
      <c r="A2963" t="str">
        <f t="shared" si="513"/>
        <v>18/09/2025</v>
      </c>
      <c r="B2963" t="str">
        <f t="shared" si="522"/>
        <v>SAÍDA</v>
      </c>
      <c r="C2963" t="str">
        <f t="shared" si="523"/>
        <v>CONHECIMENTO</v>
      </c>
      <c r="D2963" t="str">
        <f t="shared" si="524"/>
        <v>01092025</v>
      </c>
      <c r="E2963" t="str">
        <f>"11"</f>
        <v>11</v>
      </c>
      <c r="F2963" t="str">
        <f t="shared" si="528"/>
        <v>COM</v>
      </c>
      <c r="G2963" t="str">
        <f t="shared" si="525"/>
        <v>CORA SOCIEDADE DE CREDITO, FINANCIAMENTO E INVESTIMENTO (20035)</v>
      </c>
      <c r="H2963" t="str">
        <f>"TAXA BOLETO "</f>
        <v xml:space="preserve">TAXA BOLETO </v>
      </c>
      <c r="I2963" t="str">
        <f t="shared" si="526"/>
        <v>18/09/2025</v>
      </c>
      <c r="J2963" t="str">
        <f t="shared" si="527"/>
        <v>01/09/2025</v>
      </c>
      <c r="K2963" t="str">
        <f>("18/09/2025")</f>
        <v>18/09/2025</v>
      </c>
      <c r="L2963">
        <v>1.7</v>
      </c>
      <c r="M2963">
        <v>1.7</v>
      </c>
      <c r="N2963">
        <v>401</v>
      </c>
      <c r="O2963" t="str">
        <f>"IOF/JUROS/DESP.FINANCEIRA"</f>
        <v>IOF/JUROS/DESP.FINANCEIRA</v>
      </c>
      <c r="P2963">
        <v>1.7</v>
      </c>
      <c r="S2963" t="str">
        <f>"BANCO CORA (102)"</f>
        <v>BANCO CORA (102)</v>
      </c>
      <c r="T2963">
        <v>22272</v>
      </c>
      <c r="U2963">
        <v>26044</v>
      </c>
      <c r="V2963" t="s">
        <v>22</v>
      </c>
    </row>
    <row r="2964" spans="1:22">
      <c r="A2964" t="str">
        <f t="shared" si="513"/>
        <v>18/09/2025</v>
      </c>
      <c r="B2964" t="str">
        <f t="shared" si="522"/>
        <v>SAÍDA</v>
      </c>
      <c r="C2964" t="str">
        <f t="shared" si="523"/>
        <v>CONHECIMENTO</v>
      </c>
      <c r="D2964" t="str">
        <f t="shared" si="524"/>
        <v>01092025</v>
      </c>
      <c r="E2964" t="str">
        <f>"11"</f>
        <v>11</v>
      </c>
      <c r="F2964" t="str">
        <f t="shared" si="528"/>
        <v>COM</v>
      </c>
      <c r="G2964" t="str">
        <f t="shared" si="525"/>
        <v>CORA SOCIEDADE DE CREDITO, FINANCIAMENTO E INVESTIMENTO (20035)</v>
      </c>
      <c r="H2964" t="s">
        <v>75</v>
      </c>
      <c r="I2964" t="str">
        <f t="shared" si="526"/>
        <v>18/09/2025</v>
      </c>
      <c r="J2964" t="str">
        <f t="shared" si="527"/>
        <v>01/09/2025</v>
      </c>
      <c r="K2964">
        <v>45918</v>
      </c>
      <c r="N2964">
        <v>401</v>
      </c>
      <c r="O2964" t="s">
        <v>76</v>
      </c>
      <c r="Q2964">
        <v>1.7</v>
      </c>
      <c r="R2964" t="str">
        <f>"CORA SOCIEDADE DE CREDITO, FINANCIAMENTO E INVESTIMENTO (20035)"</f>
        <v>CORA SOCIEDADE DE CREDITO, FINANCIAMENTO E INVESTIMENTO (20035)</v>
      </c>
      <c r="S2964" t="s">
        <v>22</v>
      </c>
      <c r="T2964">
        <v>22272</v>
      </c>
      <c r="U2964">
        <v>26044</v>
      </c>
      <c r="V2964" t="s">
        <v>22</v>
      </c>
    </row>
    <row r="2965" spans="1:22">
      <c r="A2965" t="str">
        <f t="shared" si="513"/>
        <v>18/09/2025</v>
      </c>
      <c r="B2965" t="str">
        <f t="shared" si="522"/>
        <v>SAÍDA</v>
      </c>
      <c r="C2965" t="str">
        <f t="shared" si="523"/>
        <v>CONHECIMENTO</v>
      </c>
      <c r="D2965" t="str">
        <f t="shared" si="524"/>
        <v>01092025</v>
      </c>
      <c r="E2965" t="str">
        <f>"12"</f>
        <v>12</v>
      </c>
      <c r="F2965" t="str">
        <f t="shared" si="528"/>
        <v>COM</v>
      </c>
      <c r="G2965" t="str">
        <f t="shared" si="525"/>
        <v>CORA SOCIEDADE DE CREDITO, FINANCIAMENTO E INVESTIMENTO (20035)</v>
      </c>
      <c r="H2965" t="str">
        <f>"TAXA BOLETO "</f>
        <v xml:space="preserve">TAXA BOLETO </v>
      </c>
      <c r="I2965" t="str">
        <f t="shared" si="526"/>
        <v>18/09/2025</v>
      </c>
      <c r="J2965" t="str">
        <f t="shared" si="527"/>
        <v>01/09/2025</v>
      </c>
      <c r="K2965" t="str">
        <f>("18/09/2025")</f>
        <v>18/09/2025</v>
      </c>
      <c r="L2965">
        <v>1.7</v>
      </c>
      <c r="M2965">
        <v>1.7</v>
      </c>
      <c r="N2965">
        <v>401</v>
      </c>
      <c r="O2965" t="str">
        <f>"IOF/JUROS/DESP.FINANCEIRA"</f>
        <v>IOF/JUROS/DESP.FINANCEIRA</v>
      </c>
      <c r="P2965">
        <v>1.7</v>
      </c>
      <c r="S2965" t="str">
        <f>"BANCO CORA (102)"</f>
        <v>BANCO CORA (102)</v>
      </c>
      <c r="T2965">
        <v>22273</v>
      </c>
      <c r="U2965">
        <v>26045</v>
      </c>
      <c r="V2965" t="s">
        <v>22</v>
      </c>
    </row>
    <row r="2966" spans="1:22">
      <c r="A2966" t="str">
        <f t="shared" si="513"/>
        <v>18/09/2025</v>
      </c>
      <c r="B2966" t="str">
        <f t="shared" si="522"/>
        <v>SAÍDA</v>
      </c>
      <c r="C2966" t="str">
        <f t="shared" si="523"/>
        <v>CONHECIMENTO</v>
      </c>
      <c r="D2966" t="str">
        <f t="shared" si="524"/>
        <v>01092025</v>
      </c>
      <c r="E2966" t="str">
        <f>"12"</f>
        <v>12</v>
      </c>
      <c r="F2966" t="str">
        <f t="shared" si="528"/>
        <v>COM</v>
      </c>
      <c r="G2966" t="str">
        <f t="shared" si="525"/>
        <v>CORA SOCIEDADE DE CREDITO, FINANCIAMENTO E INVESTIMENTO (20035)</v>
      </c>
      <c r="H2966" t="s">
        <v>75</v>
      </c>
      <c r="I2966" t="str">
        <f t="shared" si="526"/>
        <v>18/09/2025</v>
      </c>
      <c r="J2966" t="str">
        <f t="shared" si="527"/>
        <v>01/09/2025</v>
      </c>
      <c r="K2966">
        <v>45918</v>
      </c>
      <c r="N2966">
        <v>401</v>
      </c>
      <c r="O2966" t="s">
        <v>76</v>
      </c>
      <c r="Q2966">
        <v>1.7</v>
      </c>
      <c r="R2966" t="str">
        <f>"CORA SOCIEDADE DE CREDITO, FINANCIAMENTO E INVESTIMENTO (20035)"</f>
        <v>CORA SOCIEDADE DE CREDITO, FINANCIAMENTO E INVESTIMENTO (20035)</v>
      </c>
      <c r="S2966" t="s">
        <v>22</v>
      </c>
      <c r="T2966">
        <v>22273</v>
      </c>
      <c r="U2966">
        <v>26045</v>
      </c>
      <c r="V2966" t="s">
        <v>22</v>
      </c>
    </row>
    <row r="2967" spans="1:22">
      <c r="A2967" t="str">
        <f t="shared" si="513"/>
        <v>18/09/2025</v>
      </c>
      <c r="B2967" t="str">
        <f t="shared" si="522"/>
        <v>SAÍDA</v>
      </c>
      <c r="C2967" t="str">
        <f t="shared" si="523"/>
        <v>CONHECIMENTO</v>
      </c>
      <c r="D2967" t="str">
        <f t="shared" si="524"/>
        <v>01092025</v>
      </c>
      <c r="E2967" t="str">
        <f>"13"</f>
        <v>13</v>
      </c>
      <c r="F2967" t="str">
        <f t="shared" si="528"/>
        <v>COM</v>
      </c>
      <c r="G2967" t="str">
        <f t="shared" si="525"/>
        <v>CORA SOCIEDADE DE CREDITO, FINANCIAMENTO E INVESTIMENTO (20035)</v>
      </c>
      <c r="H2967" t="str">
        <f>"TAXA BOLETO "</f>
        <v xml:space="preserve">TAXA BOLETO </v>
      </c>
      <c r="I2967" t="str">
        <f t="shared" si="526"/>
        <v>18/09/2025</v>
      </c>
      <c r="J2967" t="str">
        <f t="shared" si="527"/>
        <v>01/09/2025</v>
      </c>
      <c r="K2967" t="str">
        <f>("18/09/2025")</f>
        <v>18/09/2025</v>
      </c>
      <c r="L2967">
        <v>1.7</v>
      </c>
      <c r="M2967">
        <v>1.7</v>
      </c>
      <c r="N2967">
        <v>401</v>
      </c>
      <c r="O2967" t="str">
        <f>"IOF/JUROS/DESP.FINANCEIRA"</f>
        <v>IOF/JUROS/DESP.FINANCEIRA</v>
      </c>
      <c r="P2967">
        <v>1.7</v>
      </c>
      <c r="S2967" t="str">
        <f>"BANCO CORA (102)"</f>
        <v>BANCO CORA (102)</v>
      </c>
      <c r="T2967">
        <v>22274</v>
      </c>
      <c r="U2967">
        <v>26046</v>
      </c>
      <c r="V2967" t="s">
        <v>22</v>
      </c>
    </row>
    <row r="2968" spans="1:22">
      <c r="A2968" t="str">
        <f t="shared" si="513"/>
        <v>18/09/2025</v>
      </c>
      <c r="B2968" t="str">
        <f t="shared" si="522"/>
        <v>SAÍDA</v>
      </c>
      <c r="C2968" t="str">
        <f t="shared" si="523"/>
        <v>CONHECIMENTO</v>
      </c>
      <c r="D2968" t="str">
        <f t="shared" si="524"/>
        <v>01092025</v>
      </c>
      <c r="E2968" t="str">
        <f>"13"</f>
        <v>13</v>
      </c>
      <c r="F2968" t="str">
        <f t="shared" si="528"/>
        <v>COM</v>
      </c>
      <c r="G2968" t="str">
        <f t="shared" si="525"/>
        <v>CORA SOCIEDADE DE CREDITO, FINANCIAMENTO E INVESTIMENTO (20035)</v>
      </c>
      <c r="H2968" t="s">
        <v>75</v>
      </c>
      <c r="I2968" t="str">
        <f t="shared" si="526"/>
        <v>18/09/2025</v>
      </c>
      <c r="J2968" t="str">
        <f t="shared" si="527"/>
        <v>01/09/2025</v>
      </c>
      <c r="K2968">
        <v>45918</v>
      </c>
      <c r="N2968">
        <v>401</v>
      </c>
      <c r="O2968" t="s">
        <v>76</v>
      </c>
      <c r="Q2968">
        <v>1.7</v>
      </c>
      <c r="R2968" t="str">
        <f>"CORA SOCIEDADE DE CREDITO, FINANCIAMENTO E INVESTIMENTO (20035)"</f>
        <v>CORA SOCIEDADE DE CREDITO, FINANCIAMENTO E INVESTIMENTO (20035)</v>
      </c>
      <c r="S2968" t="s">
        <v>22</v>
      </c>
      <c r="T2968">
        <v>22274</v>
      </c>
      <c r="U2968">
        <v>26046</v>
      </c>
      <c r="V2968" t="s">
        <v>22</v>
      </c>
    </row>
    <row r="2969" spans="1:22">
      <c r="A2969" t="str">
        <f t="shared" ref="A2969:A2974" si="529">("18/09/2025")</f>
        <v>18/09/2025</v>
      </c>
      <c r="B2969" t="str">
        <f t="shared" si="522"/>
        <v>SAÍDA</v>
      </c>
      <c r="C2969" t="str">
        <f t="shared" si="523"/>
        <v>CONHECIMENTO</v>
      </c>
      <c r="D2969" t="str">
        <f t="shared" si="524"/>
        <v>01092025</v>
      </c>
      <c r="E2969" t="str">
        <f>"14"</f>
        <v>14</v>
      </c>
      <c r="F2969" t="str">
        <f t="shared" si="528"/>
        <v>COM</v>
      </c>
      <c r="G2969" t="str">
        <f t="shared" si="525"/>
        <v>CORA SOCIEDADE DE CREDITO, FINANCIAMENTO E INVESTIMENTO (20035)</v>
      </c>
      <c r="H2969" t="str">
        <f>"TAXA BOLETO "</f>
        <v xml:space="preserve">TAXA BOLETO </v>
      </c>
      <c r="I2969" t="str">
        <f t="shared" si="526"/>
        <v>18/09/2025</v>
      </c>
      <c r="J2969" t="str">
        <f t="shared" si="527"/>
        <v>01/09/2025</v>
      </c>
      <c r="K2969" t="str">
        <f>("18/09/2025")</f>
        <v>18/09/2025</v>
      </c>
      <c r="L2969">
        <v>1.7</v>
      </c>
      <c r="M2969">
        <v>1.7</v>
      </c>
      <c r="N2969">
        <v>401</v>
      </c>
      <c r="O2969" t="str">
        <f>"IOF/JUROS/DESP.FINANCEIRA"</f>
        <v>IOF/JUROS/DESP.FINANCEIRA</v>
      </c>
      <c r="P2969">
        <v>1.7</v>
      </c>
      <c r="S2969" t="str">
        <f>"BANCO CORA (102)"</f>
        <v>BANCO CORA (102)</v>
      </c>
      <c r="T2969">
        <v>22275</v>
      </c>
      <c r="U2969">
        <v>26047</v>
      </c>
      <c r="V2969" t="s">
        <v>22</v>
      </c>
    </row>
    <row r="2970" spans="1:22">
      <c r="A2970" t="str">
        <f t="shared" si="529"/>
        <v>18/09/2025</v>
      </c>
      <c r="B2970" t="str">
        <f t="shared" si="522"/>
        <v>SAÍDA</v>
      </c>
      <c r="C2970" t="str">
        <f t="shared" si="523"/>
        <v>CONHECIMENTO</v>
      </c>
      <c r="D2970" t="str">
        <f t="shared" si="524"/>
        <v>01092025</v>
      </c>
      <c r="E2970" t="str">
        <f>"14"</f>
        <v>14</v>
      </c>
      <c r="F2970" t="str">
        <f t="shared" si="528"/>
        <v>COM</v>
      </c>
      <c r="G2970" t="str">
        <f t="shared" si="525"/>
        <v>CORA SOCIEDADE DE CREDITO, FINANCIAMENTO E INVESTIMENTO (20035)</v>
      </c>
      <c r="H2970" t="s">
        <v>75</v>
      </c>
      <c r="I2970" t="str">
        <f t="shared" si="526"/>
        <v>18/09/2025</v>
      </c>
      <c r="J2970" t="str">
        <f t="shared" si="527"/>
        <v>01/09/2025</v>
      </c>
      <c r="K2970">
        <v>45918</v>
      </c>
      <c r="N2970">
        <v>401</v>
      </c>
      <c r="O2970" t="s">
        <v>76</v>
      </c>
      <c r="Q2970">
        <v>1.7</v>
      </c>
      <c r="R2970" t="str">
        <f>"CORA SOCIEDADE DE CREDITO, FINANCIAMENTO E INVESTIMENTO (20035)"</f>
        <v>CORA SOCIEDADE DE CREDITO, FINANCIAMENTO E INVESTIMENTO (20035)</v>
      </c>
      <c r="S2970" t="s">
        <v>22</v>
      </c>
      <c r="T2970">
        <v>22275</v>
      </c>
      <c r="U2970">
        <v>26047</v>
      </c>
      <c r="V2970" t="s">
        <v>22</v>
      </c>
    </row>
    <row r="2971" spans="1:22">
      <c r="A2971" t="str">
        <f t="shared" si="529"/>
        <v>18/09/2025</v>
      </c>
      <c r="B2971" t="str">
        <f t="shared" si="522"/>
        <v>SAÍDA</v>
      </c>
      <c r="C2971" t="str">
        <f t="shared" si="523"/>
        <v>CONHECIMENTO</v>
      </c>
      <c r="D2971" t="str">
        <f t="shared" si="524"/>
        <v>01092025</v>
      </c>
      <c r="E2971" t="str">
        <f>"15"</f>
        <v>15</v>
      </c>
      <c r="F2971" t="str">
        <f t="shared" si="528"/>
        <v>COM</v>
      </c>
      <c r="G2971" t="str">
        <f t="shared" si="525"/>
        <v>CORA SOCIEDADE DE CREDITO, FINANCIAMENTO E INVESTIMENTO (20035)</v>
      </c>
      <c r="H2971" t="str">
        <f>"TAXA BOLETO "</f>
        <v xml:space="preserve">TAXA BOLETO </v>
      </c>
      <c r="I2971" t="str">
        <f t="shared" si="526"/>
        <v>18/09/2025</v>
      </c>
      <c r="J2971" t="str">
        <f t="shared" si="527"/>
        <v>01/09/2025</v>
      </c>
      <c r="K2971" t="str">
        <f>("18/09/2025")</f>
        <v>18/09/2025</v>
      </c>
      <c r="L2971">
        <v>1.7</v>
      </c>
      <c r="M2971">
        <v>1.7</v>
      </c>
      <c r="N2971">
        <v>401</v>
      </c>
      <c r="O2971" t="str">
        <f>"IOF/JUROS/DESP.FINANCEIRA"</f>
        <v>IOF/JUROS/DESP.FINANCEIRA</v>
      </c>
      <c r="P2971">
        <v>1.7</v>
      </c>
      <c r="S2971" t="str">
        <f>"BANCO CORA (102)"</f>
        <v>BANCO CORA (102)</v>
      </c>
      <c r="T2971">
        <v>22276</v>
      </c>
      <c r="U2971">
        <v>26048</v>
      </c>
      <c r="V2971" t="s">
        <v>22</v>
      </c>
    </row>
    <row r="2972" spans="1:22">
      <c r="A2972" t="str">
        <f t="shared" si="529"/>
        <v>18/09/2025</v>
      </c>
      <c r="B2972" t="str">
        <f t="shared" si="522"/>
        <v>SAÍDA</v>
      </c>
      <c r="C2972" t="str">
        <f t="shared" si="523"/>
        <v>CONHECIMENTO</v>
      </c>
      <c r="D2972" t="str">
        <f t="shared" si="524"/>
        <v>01092025</v>
      </c>
      <c r="E2972" t="str">
        <f>"15"</f>
        <v>15</v>
      </c>
      <c r="F2972" t="str">
        <f t="shared" si="528"/>
        <v>COM</v>
      </c>
      <c r="G2972" t="str">
        <f t="shared" si="525"/>
        <v>CORA SOCIEDADE DE CREDITO, FINANCIAMENTO E INVESTIMENTO (20035)</v>
      </c>
      <c r="H2972" t="s">
        <v>75</v>
      </c>
      <c r="I2972" t="str">
        <f t="shared" si="526"/>
        <v>18/09/2025</v>
      </c>
      <c r="J2972" t="str">
        <f t="shared" si="527"/>
        <v>01/09/2025</v>
      </c>
      <c r="K2972">
        <v>45918</v>
      </c>
      <c r="N2972">
        <v>401</v>
      </c>
      <c r="O2972" t="s">
        <v>76</v>
      </c>
      <c r="Q2972">
        <v>1.7</v>
      </c>
      <c r="R2972" t="str">
        <f>"CORA SOCIEDADE DE CREDITO, FINANCIAMENTO E INVESTIMENTO (20035)"</f>
        <v>CORA SOCIEDADE DE CREDITO, FINANCIAMENTO E INVESTIMENTO (20035)</v>
      </c>
      <c r="S2972" t="s">
        <v>22</v>
      </c>
      <c r="T2972">
        <v>22276</v>
      </c>
      <c r="U2972">
        <v>26048</v>
      </c>
      <c r="V2972" t="s">
        <v>22</v>
      </c>
    </row>
    <row r="2973" spans="1:22">
      <c r="A2973" t="str">
        <f t="shared" si="529"/>
        <v>18/09/2025</v>
      </c>
      <c r="B2973" t="str">
        <f t="shared" si="522"/>
        <v>SAÍDA</v>
      </c>
      <c r="C2973" t="str">
        <f t="shared" si="523"/>
        <v>CONHECIMENTO</v>
      </c>
      <c r="D2973" t="str">
        <f t="shared" si="524"/>
        <v>01092025</v>
      </c>
      <c r="E2973" t="str">
        <f>"16"</f>
        <v>16</v>
      </c>
      <c r="F2973" t="str">
        <f t="shared" si="528"/>
        <v>COM</v>
      </c>
      <c r="G2973" t="str">
        <f t="shared" si="525"/>
        <v>CORA SOCIEDADE DE CREDITO, FINANCIAMENTO E INVESTIMENTO (20035)</v>
      </c>
      <c r="H2973" t="str">
        <f>"TAXA BOLETO "</f>
        <v xml:space="preserve">TAXA BOLETO </v>
      </c>
      <c r="I2973" t="str">
        <f t="shared" si="526"/>
        <v>18/09/2025</v>
      </c>
      <c r="J2973" t="str">
        <f t="shared" si="527"/>
        <v>01/09/2025</v>
      </c>
      <c r="K2973" t="str">
        <f>("18/09/2025")</f>
        <v>18/09/2025</v>
      </c>
      <c r="L2973">
        <v>1.7</v>
      </c>
      <c r="M2973">
        <v>1.7</v>
      </c>
      <c r="N2973">
        <v>401</v>
      </c>
      <c r="O2973" t="str">
        <f>"IOF/JUROS/DESP.FINANCEIRA"</f>
        <v>IOF/JUROS/DESP.FINANCEIRA</v>
      </c>
      <c r="P2973">
        <v>1.7</v>
      </c>
      <c r="S2973" t="str">
        <f>"BANCO CORA (102)"</f>
        <v>BANCO CORA (102)</v>
      </c>
      <c r="T2973">
        <v>22277</v>
      </c>
      <c r="U2973">
        <v>26049</v>
      </c>
      <c r="V2973" t="s">
        <v>22</v>
      </c>
    </row>
    <row r="2974" spans="1:22">
      <c r="A2974" t="str">
        <f t="shared" si="529"/>
        <v>18/09/2025</v>
      </c>
      <c r="B2974" t="str">
        <f t="shared" si="522"/>
        <v>SAÍDA</v>
      </c>
      <c r="C2974" t="str">
        <f t="shared" si="523"/>
        <v>CONHECIMENTO</v>
      </c>
      <c r="D2974" t="str">
        <f t="shared" si="524"/>
        <v>01092025</v>
      </c>
      <c r="E2974" t="str">
        <f>"16"</f>
        <v>16</v>
      </c>
      <c r="F2974" t="str">
        <f t="shared" si="528"/>
        <v>COM</v>
      </c>
      <c r="G2974" t="str">
        <f t="shared" si="525"/>
        <v>CORA SOCIEDADE DE CREDITO, FINANCIAMENTO E INVESTIMENTO (20035)</v>
      </c>
      <c r="H2974" t="s">
        <v>75</v>
      </c>
      <c r="I2974" t="str">
        <f t="shared" si="526"/>
        <v>18/09/2025</v>
      </c>
      <c r="J2974" t="str">
        <f t="shared" si="527"/>
        <v>01/09/2025</v>
      </c>
      <c r="K2974">
        <v>45918</v>
      </c>
      <c r="N2974">
        <v>401</v>
      </c>
      <c r="O2974" t="s">
        <v>76</v>
      </c>
      <c r="Q2974">
        <v>1.7</v>
      </c>
      <c r="R2974" t="str">
        <f>"CORA SOCIEDADE DE CREDITO, FINANCIAMENTO E INVESTIMENTO (20035)"</f>
        <v>CORA SOCIEDADE DE CREDITO, FINANCIAMENTO E INVESTIMENTO (20035)</v>
      </c>
      <c r="S2974" t="s">
        <v>22</v>
      </c>
      <c r="T2974">
        <v>22277</v>
      </c>
      <c r="U2974">
        <v>26049</v>
      </c>
      <c r="V2974" t="s">
        <v>22</v>
      </c>
    </row>
    <row r="2975" spans="1:22">
      <c r="A2975" t="str">
        <f t="shared" ref="A2975:A2997" si="530">("19/09/2025")</f>
        <v>19/09/2025</v>
      </c>
      <c r="B2975" t="str">
        <f t="shared" si="522"/>
        <v>SAÍDA</v>
      </c>
      <c r="C2975" t="str">
        <f t="shared" ref="C2975:C2989" si="531">"PIX"</f>
        <v>PIX</v>
      </c>
      <c r="D2975" t="str">
        <f>"1909"</f>
        <v>1909</v>
      </c>
      <c r="E2975" t="str">
        <f>"25"</f>
        <v>25</v>
      </c>
      <c r="F2975" t="str">
        <f t="shared" si="528"/>
        <v>COM</v>
      </c>
      <c r="G2975" t="str">
        <f>"JOAO MARCOS FERREIRA (925)"</f>
        <v>JOAO MARCOS FERREIRA (925)</v>
      </c>
      <c r="H2975" t="str">
        <f>"Complemento Serv.Prest. 08/09/2025 a 14/09/2025 - PIX: CELULAR - CHAVE: (28) 99908-0831"</f>
        <v>Complemento Serv.Prest. 08/09/2025 a 14/09/2025 - PIX: CELULAR - CHAVE: (28) 99908-0831</v>
      </c>
      <c r="I2975" t="str">
        <f>("19/09/2025")</f>
        <v>19/09/2025</v>
      </c>
      <c r="J2975" t="str">
        <f>("15/09/2025")</f>
        <v>15/09/2025</v>
      </c>
      <c r="K2975" t="str">
        <f>("19/09/2025")</f>
        <v>19/09/2025</v>
      </c>
      <c r="L2975">
        <v>100</v>
      </c>
      <c r="M2975">
        <v>100</v>
      </c>
      <c r="N2975">
        <v>109</v>
      </c>
      <c r="O2975" t="str">
        <f>"PAGAMENTO DE ENTREGADORES"</f>
        <v>PAGAMENTO DE ENTREGADORES</v>
      </c>
      <c r="P2975">
        <v>100</v>
      </c>
      <c r="S2975" t="str">
        <f>"BANCO CORA (102)"</f>
        <v>BANCO CORA (102)</v>
      </c>
      <c r="T2975">
        <v>18597</v>
      </c>
      <c r="U2975">
        <v>22234</v>
      </c>
      <c r="V2975" t="s">
        <v>22</v>
      </c>
    </row>
    <row r="2976" spans="1:22">
      <c r="A2976" t="str">
        <f t="shared" si="530"/>
        <v>19/09/2025</v>
      </c>
      <c r="B2976" t="str">
        <f t="shared" si="522"/>
        <v>SAÍDA</v>
      </c>
      <c r="C2976" t="str">
        <f t="shared" si="531"/>
        <v>PIX</v>
      </c>
      <c r="D2976" t="str">
        <f>"1909"</f>
        <v>1909</v>
      </c>
      <c r="E2976" t="str">
        <f>"25"</f>
        <v>25</v>
      </c>
      <c r="F2976" t="str">
        <f t="shared" si="528"/>
        <v>COM</v>
      </c>
      <c r="G2976" t="str">
        <f>"JOAO MARCOS FERREIRA (925)"</f>
        <v>JOAO MARCOS FERREIRA (925)</v>
      </c>
      <c r="H2976" t="s">
        <v>815</v>
      </c>
      <c r="I2976" t="str">
        <f>("19/09/2025")</f>
        <v>19/09/2025</v>
      </c>
      <c r="J2976" t="str">
        <f>("15/09/2025")</f>
        <v>15/09/2025</v>
      </c>
      <c r="K2976">
        <v>45919</v>
      </c>
      <c r="N2976">
        <v>109</v>
      </c>
      <c r="O2976" t="s">
        <v>24</v>
      </c>
      <c r="Q2976">
        <v>50</v>
      </c>
      <c r="R2976" t="str">
        <f>"LBL FARMACIA LTDA (10189)"</f>
        <v>LBL FARMACIA LTDA (10189)</v>
      </c>
      <c r="S2976" t="s">
        <v>22</v>
      </c>
      <c r="T2976">
        <v>18597</v>
      </c>
      <c r="U2976">
        <v>22234</v>
      </c>
      <c r="V2976" t="s">
        <v>22</v>
      </c>
    </row>
    <row r="2977" spans="1:22">
      <c r="A2977" t="str">
        <f t="shared" si="530"/>
        <v>19/09/2025</v>
      </c>
      <c r="B2977" t="str">
        <f t="shared" ref="B2977:B2995" si="532">"SAÍDA"</f>
        <v>SAÍDA</v>
      </c>
      <c r="C2977" t="str">
        <f t="shared" si="531"/>
        <v>PIX</v>
      </c>
      <c r="D2977" t="str">
        <f>"1909"</f>
        <v>1909</v>
      </c>
      <c r="E2977" t="str">
        <f>"25"</f>
        <v>25</v>
      </c>
      <c r="F2977" t="str">
        <f t="shared" si="528"/>
        <v>COM</v>
      </c>
      <c r="G2977" t="str">
        <f>"JOAO MARCOS FERREIRA (925)"</f>
        <v>JOAO MARCOS FERREIRA (925)</v>
      </c>
      <c r="H2977" t="s">
        <v>815</v>
      </c>
      <c r="I2977" t="str">
        <f>("19/09/2025")</f>
        <v>19/09/2025</v>
      </c>
      <c r="J2977" t="str">
        <f>("15/09/2025")</f>
        <v>15/09/2025</v>
      </c>
      <c r="K2977">
        <v>45919</v>
      </c>
      <c r="N2977">
        <v>109</v>
      </c>
      <c r="O2977" t="s">
        <v>24</v>
      </c>
      <c r="Q2977">
        <v>50</v>
      </c>
      <c r="R2977" t="str">
        <f>"LBL FARMACIA LTDA FILIAL (10192)"</f>
        <v>LBL FARMACIA LTDA FILIAL (10192)</v>
      </c>
      <c r="S2977" t="s">
        <v>22</v>
      </c>
      <c r="T2977">
        <v>18597</v>
      </c>
      <c r="U2977">
        <v>22234</v>
      </c>
      <c r="V2977" t="s">
        <v>22</v>
      </c>
    </row>
    <row r="2978" spans="1:22">
      <c r="A2978" t="str">
        <f t="shared" si="530"/>
        <v>19/09/2025</v>
      </c>
      <c r="B2978" t="str">
        <f t="shared" si="532"/>
        <v>SAÍDA</v>
      </c>
      <c r="C2978" t="str">
        <f t="shared" si="531"/>
        <v>PIX</v>
      </c>
      <c r="D2978" t="str">
        <f t="shared" ref="D2978:D2983" si="533">"22389"</f>
        <v>22389</v>
      </c>
      <c r="E2978" t="str">
        <f t="shared" ref="E2978:E2987" si="534">"1"</f>
        <v>1</v>
      </c>
      <c r="F2978" t="str">
        <f t="shared" ref="F2978:F2995" si="535">"COM"</f>
        <v>COM</v>
      </c>
      <c r="G2978" t="str">
        <f t="shared" ref="G2978:G2983" si="536">"RAFAEL PEDRO MENDES (944)"</f>
        <v>RAFAEL PEDRO MENDES (944)</v>
      </c>
      <c r="H2978" t="str">
        <f>"Serv.Prest. 15/09/2025 a 21/09/2025 - PIX: CELULAR - CHAVE: (31) 99680-9634"</f>
        <v>Serv.Prest. 15/09/2025 a 21/09/2025 - PIX: CELULAR - CHAVE: (31) 99680-9634</v>
      </c>
      <c r="I2978" t="str">
        <f t="shared" ref="I2978:I2983" si="537">("02/10/2025")</f>
        <v>02/10/2025</v>
      </c>
      <c r="J2978" t="str">
        <f t="shared" ref="J2978:J2983" si="538">("23/09/2025")</f>
        <v>23/09/2025</v>
      </c>
      <c r="K2978" t="str">
        <f>("19/09/2025")</f>
        <v>19/09/2025</v>
      </c>
      <c r="L2978">
        <v>178</v>
      </c>
      <c r="M2978">
        <v>180</v>
      </c>
      <c r="N2978">
        <v>109</v>
      </c>
      <c r="O2978" t="str">
        <f>"PAGAMENTO DE ENTREGADORES"</f>
        <v>PAGAMENTO DE ENTREGADORES</v>
      </c>
      <c r="P2978">
        <v>180</v>
      </c>
      <c r="S2978" t="str">
        <f>"BANCO CORA (102)"</f>
        <v>BANCO CORA (102)</v>
      </c>
      <c r="T2978">
        <v>18600</v>
      </c>
      <c r="U2978">
        <v>22447</v>
      </c>
      <c r="V2978" t="s">
        <v>22</v>
      </c>
    </row>
    <row r="2979" spans="1:22">
      <c r="A2979" t="str">
        <f t="shared" si="530"/>
        <v>19/09/2025</v>
      </c>
      <c r="B2979" t="str">
        <f t="shared" si="532"/>
        <v>SAÍDA</v>
      </c>
      <c r="C2979" t="str">
        <f t="shared" si="531"/>
        <v>PIX</v>
      </c>
      <c r="D2979" t="str">
        <f t="shared" si="533"/>
        <v>22389</v>
      </c>
      <c r="E2979" t="str">
        <f t="shared" si="534"/>
        <v>1</v>
      </c>
      <c r="F2979" t="str">
        <f t="shared" si="535"/>
        <v>COM</v>
      </c>
      <c r="G2979" t="str">
        <f t="shared" si="536"/>
        <v>RAFAEL PEDRO MENDES (944)</v>
      </c>
      <c r="H2979" t="s">
        <v>816</v>
      </c>
      <c r="I2979" t="str">
        <f t="shared" si="537"/>
        <v>02/10/2025</v>
      </c>
      <c r="J2979" t="str">
        <f t="shared" si="538"/>
        <v>23/09/2025</v>
      </c>
      <c r="K2979">
        <v>45919</v>
      </c>
      <c r="N2979">
        <v>109</v>
      </c>
      <c r="O2979" t="s">
        <v>24</v>
      </c>
      <c r="Q2979">
        <v>162.41</v>
      </c>
      <c r="R2979" t="str">
        <f>"FARMÁCIA INDIANA LJ 101 (10043)"</f>
        <v>FARMÁCIA INDIANA LJ 101 (10043)</v>
      </c>
      <c r="S2979" t="s">
        <v>22</v>
      </c>
      <c r="T2979">
        <v>18600</v>
      </c>
      <c r="U2979">
        <v>22447</v>
      </c>
      <c r="V2979" t="s">
        <v>22</v>
      </c>
    </row>
    <row r="2980" spans="1:22">
      <c r="A2980" t="str">
        <f t="shared" si="530"/>
        <v>19/09/2025</v>
      </c>
      <c r="B2980" t="str">
        <f t="shared" si="532"/>
        <v>SAÍDA</v>
      </c>
      <c r="C2980" t="str">
        <f t="shared" si="531"/>
        <v>PIX</v>
      </c>
      <c r="D2980" t="str">
        <f t="shared" si="533"/>
        <v>22389</v>
      </c>
      <c r="E2980" t="str">
        <f t="shared" si="534"/>
        <v>1</v>
      </c>
      <c r="F2980" t="str">
        <f t="shared" si="535"/>
        <v>COM</v>
      </c>
      <c r="G2980" t="str">
        <f t="shared" si="536"/>
        <v>RAFAEL PEDRO MENDES (944)</v>
      </c>
      <c r="H2980" t="s">
        <v>816</v>
      </c>
      <c r="I2980" t="str">
        <f t="shared" si="537"/>
        <v>02/10/2025</v>
      </c>
      <c r="J2980" t="str">
        <f t="shared" si="538"/>
        <v>23/09/2025</v>
      </c>
      <c r="K2980">
        <v>45919</v>
      </c>
      <c r="N2980">
        <v>109</v>
      </c>
      <c r="O2980" t="s">
        <v>24</v>
      </c>
      <c r="Q2980">
        <v>17.59</v>
      </c>
      <c r="R2980" t="str">
        <f>"FARMÁCIA INDIANA LJ 220 (10092)"</f>
        <v>FARMÁCIA INDIANA LJ 220 (10092)</v>
      </c>
      <c r="S2980" t="s">
        <v>22</v>
      </c>
      <c r="T2980">
        <v>18600</v>
      </c>
      <c r="U2980">
        <v>22447</v>
      </c>
      <c r="V2980" t="s">
        <v>22</v>
      </c>
    </row>
    <row r="2981" spans="1:22">
      <c r="A2981" t="str">
        <f t="shared" si="530"/>
        <v>19/09/2025</v>
      </c>
      <c r="B2981" t="str">
        <f t="shared" si="532"/>
        <v>SAÍDA</v>
      </c>
      <c r="C2981" t="str">
        <f t="shared" si="531"/>
        <v>PIX</v>
      </c>
      <c r="D2981" t="str">
        <f t="shared" si="533"/>
        <v>22389</v>
      </c>
      <c r="E2981" t="str">
        <f t="shared" si="534"/>
        <v>1</v>
      </c>
      <c r="F2981" t="str">
        <f t="shared" si="535"/>
        <v>COM</v>
      </c>
      <c r="G2981" t="str">
        <f t="shared" si="536"/>
        <v>RAFAEL PEDRO MENDES (944)</v>
      </c>
      <c r="H2981" t="str">
        <f>"Serv.Prest. 15/09/2025 a 21/09/2025 - PIX: CELULAR - CHAVE: (31) 99680-9634"</f>
        <v>Serv.Prest. 15/09/2025 a 21/09/2025 - PIX: CELULAR - CHAVE: (31) 99680-9634</v>
      </c>
      <c r="I2981" t="str">
        <f t="shared" si="537"/>
        <v>02/10/2025</v>
      </c>
      <c r="J2981" t="str">
        <f t="shared" si="538"/>
        <v>23/09/2025</v>
      </c>
      <c r="K2981" t="str">
        <f>("19/09/2025")</f>
        <v>19/09/2025</v>
      </c>
      <c r="L2981">
        <v>180</v>
      </c>
      <c r="M2981">
        <v>180</v>
      </c>
      <c r="N2981">
        <v>109</v>
      </c>
      <c r="O2981" t="str">
        <f>"PAGAMENTO DE ENTREGADORES"</f>
        <v>PAGAMENTO DE ENTREGADORES</v>
      </c>
      <c r="P2981">
        <v>180</v>
      </c>
      <c r="S2981" t="str">
        <f>"BANCO CORA (102)"</f>
        <v>BANCO CORA (102)</v>
      </c>
      <c r="T2981">
        <v>18601</v>
      </c>
      <c r="U2981">
        <v>22448</v>
      </c>
      <c r="V2981" t="s">
        <v>22</v>
      </c>
    </row>
    <row r="2982" spans="1:22">
      <c r="A2982" t="str">
        <f t="shared" si="530"/>
        <v>19/09/2025</v>
      </c>
      <c r="B2982" t="str">
        <f t="shared" si="532"/>
        <v>SAÍDA</v>
      </c>
      <c r="C2982" t="str">
        <f t="shared" si="531"/>
        <v>PIX</v>
      </c>
      <c r="D2982" t="str">
        <f t="shared" si="533"/>
        <v>22389</v>
      </c>
      <c r="E2982" t="str">
        <f t="shared" si="534"/>
        <v>1</v>
      </c>
      <c r="F2982" t="str">
        <f t="shared" si="535"/>
        <v>COM</v>
      </c>
      <c r="G2982" t="str">
        <f t="shared" si="536"/>
        <v>RAFAEL PEDRO MENDES (944)</v>
      </c>
      <c r="H2982" t="s">
        <v>816</v>
      </c>
      <c r="I2982" t="str">
        <f t="shared" si="537"/>
        <v>02/10/2025</v>
      </c>
      <c r="J2982" t="str">
        <f t="shared" si="538"/>
        <v>23/09/2025</v>
      </c>
      <c r="K2982">
        <v>45919</v>
      </c>
      <c r="N2982">
        <v>109</v>
      </c>
      <c r="O2982" t="s">
        <v>24</v>
      </c>
      <c r="Q2982">
        <v>162.41</v>
      </c>
      <c r="R2982" t="str">
        <f>"FARMÁCIA INDIANA LJ 101 (10043)"</f>
        <v>FARMÁCIA INDIANA LJ 101 (10043)</v>
      </c>
      <c r="S2982" t="s">
        <v>22</v>
      </c>
      <c r="T2982">
        <v>18601</v>
      </c>
      <c r="U2982">
        <v>22448</v>
      </c>
      <c r="V2982" t="s">
        <v>22</v>
      </c>
    </row>
    <row r="2983" spans="1:22">
      <c r="A2983" t="str">
        <f t="shared" si="530"/>
        <v>19/09/2025</v>
      </c>
      <c r="B2983" t="str">
        <f t="shared" si="532"/>
        <v>SAÍDA</v>
      </c>
      <c r="C2983" t="str">
        <f t="shared" si="531"/>
        <v>PIX</v>
      </c>
      <c r="D2983" t="str">
        <f t="shared" si="533"/>
        <v>22389</v>
      </c>
      <c r="E2983" t="str">
        <f t="shared" si="534"/>
        <v>1</v>
      </c>
      <c r="F2983" t="str">
        <f t="shared" si="535"/>
        <v>COM</v>
      </c>
      <c r="G2983" t="str">
        <f t="shared" si="536"/>
        <v>RAFAEL PEDRO MENDES (944)</v>
      </c>
      <c r="H2983" t="s">
        <v>816</v>
      </c>
      <c r="I2983" t="str">
        <f t="shared" si="537"/>
        <v>02/10/2025</v>
      </c>
      <c r="J2983" t="str">
        <f t="shared" si="538"/>
        <v>23/09/2025</v>
      </c>
      <c r="K2983">
        <v>45919</v>
      </c>
      <c r="N2983">
        <v>109</v>
      </c>
      <c r="O2983" t="s">
        <v>24</v>
      </c>
      <c r="Q2983">
        <v>17.59</v>
      </c>
      <c r="R2983" t="str">
        <f>"FARMÁCIA INDIANA LJ 220 (10092)"</f>
        <v>FARMÁCIA INDIANA LJ 220 (10092)</v>
      </c>
      <c r="S2983" t="s">
        <v>22</v>
      </c>
      <c r="T2983">
        <v>18601</v>
      </c>
      <c r="U2983">
        <v>22448</v>
      </c>
      <c r="V2983" t="s">
        <v>22</v>
      </c>
    </row>
    <row r="2984" spans="1:22">
      <c r="A2984" t="str">
        <f t="shared" si="530"/>
        <v>19/09/2025</v>
      </c>
      <c r="B2984" t="str">
        <f t="shared" si="532"/>
        <v>SAÍDA</v>
      </c>
      <c r="C2984" t="str">
        <f t="shared" si="531"/>
        <v>PIX</v>
      </c>
      <c r="D2984" t="str">
        <f>"22238"</f>
        <v>22238</v>
      </c>
      <c r="E2984" t="str">
        <f t="shared" si="534"/>
        <v>1</v>
      </c>
      <c r="F2984" t="str">
        <f t="shared" si="535"/>
        <v>COM</v>
      </c>
      <c r="G2984" t="str">
        <f>"SIMAO DOS SANTOS MEIRA (896)"</f>
        <v>SIMAO DOS SANTOS MEIRA (896)</v>
      </c>
      <c r="H2984" t="str">
        <f>"Serv.Prest. 15/09/2025 a 21/09/2025 - PIX: CNPJ - CHAVE: 49.607.413/0001-28"</f>
        <v>Serv.Prest. 15/09/2025 a 21/09/2025 - PIX: CNPJ - CHAVE: 49.607.413/0001-28</v>
      </c>
      <c r="I2984" t="str">
        <f>("25/09/2025")</f>
        <v>25/09/2025</v>
      </c>
      <c r="J2984" t="str">
        <f>("22/09/2025")</f>
        <v>22/09/2025</v>
      </c>
      <c r="K2984" t="str">
        <f>("19/09/2025")</f>
        <v>19/09/2025</v>
      </c>
      <c r="L2984">
        <v>150</v>
      </c>
      <c r="M2984">
        <v>150</v>
      </c>
      <c r="N2984">
        <v>109</v>
      </c>
      <c r="O2984" t="str">
        <f>"PAGAMENTO DE ENTREGADORES"</f>
        <v>PAGAMENTO DE ENTREGADORES</v>
      </c>
      <c r="P2984">
        <v>150</v>
      </c>
      <c r="S2984" t="str">
        <f>"BANCO CORA (102)"</f>
        <v>BANCO CORA (102)</v>
      </c>
      <c r="T2984">
        <v>18602</v>
      </c>
      <c r="U2984">
        <v>22449</v>
      </c>
      <c r="V2984" t="s">
        <v>22</v>
      </c>
    </row>
    <row r="2985" spans="1:22">
      <c r="A2985" t="str">
        <f t="shared" si="530"/>
        <v>19/09/2025</v>
      </c>
      <c r="B2985" t="str">
        <f t="shared" si="532"/>
        <v>SAÍDA</v>
      </c>
      <c r="C2985" t="str">
        <f t="shared" si="531"/>
        <v>PIX</v>
      </c>
      <c r="D2985" t="str">
        <f>"22238"</f>
        <v>22238</v>
      </c>
      <c r="E2985" t="str">
        <f t="shared" si="534"/>
        <v>1</v>
      </c>
      <c r="F2985" t="str">
        <f t="shared" si="535"/>
        <v>COM</v>
      </c>
      <c r="G2985" t="str">
        <f>"SIMAO DOS SANTOS MEIRA (896)"</f>
        <v>SIMAO DOS SANTOS MEIRA (896)</v>
      </c>
      <c r="H2985" t="s">
        <v>817</v>
      </c>
      <c r="I2985" t="str">
        <f>("25/09/2025")</f>
        <v>25/09/2025</v>
      </c>
      <c r="J2985" t="str">
        <f>("22/09/2025")</f>
        <v>22/09/2025</v>
      </c>
      <c r="K2985">
        <v>45919</v>
      </c>
      <c r="N2985">
        <v>109</v>
      </c>
      <c r="O2985" t="s">
        <v>24</v>
      </c>
      <c r="Q2985">
        <v>150</v>
      </c>
      <c r="R2985" t="str">
        <f>"BRASIL FARMA (10173)"</f>
        <v>BRASIL FARMA (10173)</v>
      </c>
      <c r="S2985" t="s">
        <v>22</v>
      </c>
      <c r="T2985">
        <v>18602</v>
      </c>
      <c r="U2985">
        <v>22449</v>
      </c>
      <c r="V2985" t="s">
        <v>22</v>
      </c>
    </row>
    <row r="2986" spans="1:22">
      <c r="A2986" t="str">
        <f t="shared" si="530"/>
        <v>19/09/2025</v>
      </c>
      <c r="B2986" t="str">
        <f t="shared" si="532"/>
        <v>SAÍDA</v>
      </c>
      <c r="C2986" t="str">
        <f t="shared" si="531"/>
        <v>PIX</v>
      </c>
      <c r="D2986" t="str">
        <f>"22442"</f>
        <v>22442</v>
      </c>
      <c r="E2986" t="str">
        <f t="shared" si="534"/>
        <v>1</v>
      </c>
      <c r="F2986" t="str">
        <f t="shared" si="535"/>
        <v>COM</v>
      </c>
      <c r="G2986" t="str">
        <f>"WILDES ALVES CERQUEIRA ALMEIDA (874)"</f>
        <v>WILDES ALVES CERQUEIRA ALMEIDA (874)</v>
      </c>
      <c r="H2986" t="str">
        <f>"Serv.Prest. 15/09/2025 a 21/09/2025 - PIX: CELULAR - CHAVE: (73) 98155-8496"</f>
        <v>Serv.Prest. 15/09/2025 a 21/09/2025 - PIX: CELULAR - CHAVE: (73) 98155-8496</v>
      </c>
      <c r="I2986" t="str">
        <f>("02/10/2025")</f>
        <v>02/10/2025</v>
      </c>
      <c r="J2986" t="str">
        <f>("23/09/2025")</f>
        <v>23/09/2025</v>
      </c>
      <c r="K2986" t="str">
        <f>("19/09/2025")</f>
        <v>19/09/2025</v>
      </c>
      <c r="L2986">
        <v>18</v>
      </c>
      <c r="M2986">
        <v>120</v>
      </c>
      <c r="N2986">
        <v>109</v>
      </c>
      <c r="O2986" t="str">
        <f>"PAGAMENTO DE ENTREGADORES"</f>
        <v>PAGAMENTO DE ENTREGADORES</v>
      </c>
      <c r="P2986">
        <v>120</v>
      </c>
      <c r="S2986" t="str">
        <f>"BANCO CORA (102)"</f>
        <v>BANCO CORA (102)</v>
      </c>
      <c r="T2986">
        <v>18618</v>
      </c>
      <c r="U2986">
        <v>22442</v>
      </c>
      <c r="V2986" t="s">
        <v>22</v>
      </c>
    </row>
    <row r="2987" spans="1:22">
      <c r="A2987" t="str">
        <f t="shared" si="530"/>
        <v>19/09/2025</v>
      </c>
      <c r="B2987" t="str">
        <f t="shared" si="532"/>
        <v>SAÍDA</v>
      </c>
      <c r="C2987" t="str">
        <f t="shared" si="531"/>
        <v>PIX</v>
      </c>
      <c r="D2987" t="str">
        <f>"22442"</f>
        <v>22442</v>
      </c>
      <c r="E2987" t="str">
        <f t="shared" si="534"/>
        <v>1</v>
      </c>
      <c r="F2987" t="str">
        <f t="shared" si="535"/>
        <v>COM</v>
      </c>
      <c r="G2987" t="str">
        <f>"WILDES ALVES CERQUEIRA ALMEIDA (874)"</f>
        <v>WILDES ALVES CERQUEIRA ALMEIDA (874)</v>
      </c>
      <c r="H2987" t="s">
        <v>818</v>
      </c>
      <c r="I2987" t="str">
        <f>("02/10/2025")</f>
        <v>02/10/2025</v>
      </c>
      <c r="J2987" t="str">
        <f>("23/09/2025")</f>
        <v>23/09/2025</v>
      </c>
      <c r="K2987">
        <v>45919</v>
      </c>
      <c r="N2987">
        <v>109</v>
      </c>
      <c r="O2987" t="s">
        <v>24</v>
      </c>
      <c r="Q2987">
        <v>120</v>
      </c>
      <c r="R2987" t="str">
        <f>"FARMÁCIA INDIANA LJ 65 (10030)"</f>
        <v>FARMÁCIA INDIANA LJ 65 (10030)</v>
      </c>
      <c r="S2987" t="s">
        <v>22</v>
      </c>
      <c r="T2987">
        <v>18618</v>
      </c>
      <c r="U2987">
        <v>22442</v>
      </c>
      <c r="V2987" t="s">
        <v>22</v>
      </c>
    </row>
    <row r="2988" spans="1:22">
      <c r="A2988" t="str">
        <f t="shared" si="530"/>
        <v>19/09/2025</v>
      </c>
      <c r="B2988" t="str">
        <f t="shared" si="532"/>
        <v>SAÍDA</v>
      </c>
      <c r="C2988" t="str">
        <f t="shared" si="531"/>
        <v>PIX</v>
      </c>
      <c r="D2988" t="str">
        <f>"1909"</f>
        <v>1909</v>
      </c>
      <c r="E2988" t="str">
        <f>"25"</f>
        <v>25</v>
      </c>
      <c r="F2988" t="str">
        <f t="shared" si="535"/>
        <v>COM</v>
      </c>
      <c r="G2988" t="str">
        <f>"SAMMY TOMAS HAMDAN (950)"</f>
        <v>SAMMY TOMAS HAMDAN (950)</v>
      </c>
      <c r="H2988" t="str">
        <f>"ADIANTAMENTO"</f>
        <v>ADIANTAMENTO</v>
      </c>
      <c r="I2988" t="str">
        <f>("19/09/2025")</f>
        <v>19/09/2025</v>
      </c>
      <c r="J2988" t="str">
        <f>("19/09/2025")</f>
        <v>19/09/2025</v>
      </c>
      <c r="K2988" t="str">
        <f>("19/09/2025")</f>
        <v>19/09/2025</v>
      </c>
      <c r="L2988">
        <v>120</v>
      </c>
      <c r="M2988">
        <v>120</v>
      </c>
      <c r="N2988">
        <v>5000</v>
      </c>
      <c r="O2988" t="str">
        <f>"SOLICITACAO DE ADIANTAMENTO"</f>
        <v>SOLICITACAO DE ADIANTAMENTO</v>
      </c>
      <c r="P2988">
        <v>120</v>
      </c>
      <c r="S2988" t="str">
        <f>"BANCO CORA (102)"</f>
        <v>BANCO CORA (102)</v>
      </c>
      <c r="T2988">
        <v>18628</v>
      </c>
      <c r="U2988">
        <v>22482</v>
      </c>
      <c r="V2988" t="s">
        <v>22</v>
      </c>
    </row>
    <row r="2989" spans="1:22">
      <c r="A2989" t="str">
        <f t="shared" si="530"/>
        <v>19/09/2025</v>
      </c>
      <c r="B2989" t="str">
        <f t="shared" si="532"/>
        <v>SAÍDA</v>
      </c>
      <c r="C2989" t="str">
        <f t="shared" si="531"/>
        <v>PIX</v>
      </c>
      <c r="D2989" t="str">
        <f>"1909"</f>
        <v>1909</v>
      </c>
      <c r="E2989" t="str">
        <f>"25"</f>
        <v>25</v>
      </c>
      <c r="F2989" t="str">
        <f t="shared" si="535"/>
        <v>COM</v>
      </c>
      <c r="G2989" t="str">
        <f>"SAMMY TOMAS HAMDAN (950)"</f>
        <v>SAMMY TOMAS HAMDAN (950)</v>
      </c>
      <c r="H2989" t="s">
        <v>85</v>
      </c>
      <c r="I2989" t="str">
        <f>("19/09/2025")</f>
        <v>19/09/2025</v>
      </c>
      <c r="J2989" t="str">
        <f>("19/09/2025")</f>
        <v>19/09/2025</v>
      </c>
      <c r="K2989">
        <v>45919</v>
      </c>
      <c r="N2989">
        <v>5000</v>
      </c>
      <c r="O2989" t="s">
        <v>86</v>
      </c>
      <c r="Q2989">
        <v>120</v>
      </c>
      <c r="R2989" t="str">
        <f>"SAMMY TOMAS HAMDAN (950)"</f>
        <v>SAMMY TOMAS HAMDAN (950)</v>
      </c>
      <c r="S2989" t="s">
        <v>22</v>
      </c>
      <c r="T2989">
        <v>18628</v>
      </c>
      <c r="U2989">
        <v>22482</v>
      </c>
      <c r="V2989" t="s">
        <v>22</v>
      </c>
    </row>
    <row r="2990" spans="1:22">
      <c r="A2990" t="str">
        <f t="shared" si="530"/>
        <v>19/09/2025</v>
      </c>
      <c r="B2990" t="str">
        <f t="shared" si="532"/>
        <v>SAÍDA</v>
      </c>
      <c r="C2990" t="str">
        <f>"BOLETO"</f>
        <v>BOLETO</v>
      </c>
      <c r="D2990" t="str">
        <f>"071625261130071"</f>
        <v>071625261130071</v>
      </c>
      <c r="E2990" t="str">
        <f>"04"</f>
        <v>04</v>
      </c>
      <c r="F2990" t="str">
        <f t="shared" si="535"/>
        <v>COM</v>
      </c>
      <c r="G2990" t="str">
        <f>"MINISTERIO DA FAZENDA (20009)"</f>
        <v>MINISTERIO DA FAZENDA (20009)</v>
      </c>
      <c r="H2990" t="str">
        <f>"INSS PRESTADORES MES 08/2025"</f>
        <v>INSS PRESTADORES MES 08/2025</v>
      </c>
      <c r="I2990" t="str">
        <f t="shared" ref="I2990:I2997" si="539">("19/09/2025")</f>
        <v>19/09/2025</v>
      </c>
      <c r="J2990" t="str">
        <f>("11/09/2025")</f>
        <v>11/09/2025</v>
      </c>
      <c r="K2990" t="str">
        <f>("19/09/2025")</f>
        <v>19/09/2025</v>
      </c>
      <c r="L2990">
        <v>32843.699999999997</v>
      </c>
      <c r="M2990">
        <v>32843.699999999997</v>
      </c>
      <c r="N2990">
        <v>112</v>
      </c>
      <c r="O2990" t="str">
        <f>"INSS"</f>
        <v>INSS</v>
      </c>
      <c r="P2990">
        <v>32843.699999999997</v>
      </c>
      <c r="S2990" t="str">
        <f>"BANCO CORA (102)"</f>
        <v>BANCO CORA (102)</v>
      </c>
      <c r="T2990">
        <v>22278</v>
      </c>
      <c r="U2990">
        <v>10406</v>
      </c>
      <c r="V2990" t="s">
        <v>22</v>
      </c>
    </row>
    <row r="2991" spans="1:22">
      <c r="A2991" t="str">
        <f t="shared" si="530"/>
        <v>19/09/2025</v>
      </c>
      <c r="B2991" t="str">
        <f t="shared" si="532"/>
        <v>SAÍDA</v>
      </c>
      <c r="C2991" t="str">
        <f>"BOLETO"</f>
        <v>BOLETO</v>
      </c>
      <c r="D2991" t="str">
        <f>"071625261130071"</f>
        <v>071625261130071</v>
      </c>
      <c r="E2991" t="str">
        <f>"04"</f>
        <v>04</v>
      </c>
      <c r="F2991" t="str">
        <f t="shared" si="535"/>
        <v>COM</v>
      </c>
      <c r="G2991" t="str">
        <f>"MINISTERIO DA FAZENDA (20009)"</f>
        <v>MINISTERIO DA FAZENDA (20009)</v>
      </c>
      <c r="H2991" t="s">
        <v>819</v>
      </c>
      <c r="I2991" t="str">
        <f t="shared" si="539"/>
        <v>19/09/2025</v>
      </c>
      <c r="J2991" t="str">
        <f>("11/09/2025")</f>
        <v>11/09/2025</v>
      </c>
      <c r="K2991">
        <v>45919</v>
      </c>
      <c r="N2991">
        <v>112</v>
      </c>
      <c r="O2991" t="s">
        <v>479</v>
      </c>
      <c r="Q2991">
        <v>32843.699999999997</v>
      </c>
      <c r="R2991" t="str">
        <f>"MINISTERIO DA FAZENDA (20009)"</f>
        <v>MINISTERIO DA FAZENDA (20009)</v>
      </c>
      <c r="S2991" t="s">
        <v>22</v>
      </c>
      <c r="T2991">
        <v>22278</v>
      </c>
      <c r="U2991">
        <v>10406</v>
      </c>
      <c r="V2991" t="s">
        <v>22</v>
      </c>
    </row>
    <row r="2992" spans="1:22">
      <c r="A2992" t="str">
        <f t="shared" si="530"/>
        <v>19/09/2025</v>
      </c>
      <c r="B2992" t="str">
        <f t="shared" si="532"/>
        <v>SAÍDA</v>
      </c>
      <c r="C2992" t="str">
        <f>"PIX"</f>
        <v>PIX</v>
      </c>
      <c r="D2992" t="str">
        <f>"092025"</f>
        <v>092025</v>
      </c>
      <c r="E2992" t="str">
        <f>""</f>
        <v/>
      </c>
      <c r="F2992" t="str">
        <f t="shared" si="535"/>
        <v>COM</v>
      </c>
      <c r="G2992" t="str">
        <f>"AUTENTIQUE LTDA (20040)"</f>
        <v>AUTENTIQUE LTDA (20040)</v>
      </c>
      <c r="H2992" t="str">
        <f>"PLATAFORMA DE ASSINATUARS DIGITAIS"</f>
        <v>PLATAFORMA DE ASSINATUARS DIGITAIS</v>
      </c>
      <c r="I2992" t="str">
        <f t="shared" si="539"/>
        <v>19/09/2025</v>
      </c>
      <c r="J2992" t="str">
        <f>("13/09/2025")</f>
        <v>13/09/2025</v>
      </c>
      <c r="K2992" t="str">
        <f>("19/09/2025")</f>
        <v>19/09/2025</v>
      </c>
      <c r="L2992">
        <v>99</v>
      </c>
      <c r="M2992">
        <v>99</v>
      </c>
      <c r="N2992">
        <v>104</v>
      </c>
      <c r="O2992" t="str">
        <f>"SOFTWARE / LICENÇAS"</f>
        <v>SOFTWARE / LICENÇAS</v>
      </c>
      <c r="P2992">
        <v>99</v>
      </c>
      <c r="S2992" t="str">
        <f>"BANCO CORA (102)"</f>
        <v>BANCO CORA (102)</v>
      </c>
      <c r="T2992">
        <v>22279</v>
      </c>
      <c r="U2992">
        <v>14968</v>
      </c>
      <c r="V2992" t="s">
        <v>22</v>
      </c>
    </row>
    <row r="2993" spans="1:22">
      <c r="A2993" t="str">
        <f t="shared" si="530"/>
        <v>19/09/2025</v>
      </c>
      <c r="B2993" t="str">
        <f t="shared" si="532"/>
        <v>SAÍDA</v>
      </c>
      <c r="C2993" t="str">
        <f>"PIX"</f>
        <v>PIX</v>
      </c>
      <c r="D2993" t="str">
        <f>"092025"</f>
        <v>092025</v>
      </c>
      <c r="E2993" t="str">
        <f>""</f>
        <v/>
      </c>
      <c r="F2993" t="str">
        <f t="shared" si="535"/>
        <v>COM</v>
      </c>
      <c r="G2993" t="str">
        <f>"AUTENTIQUE LTDA (20040)"</f>
        <v>AUTENTIQUE LTDA (20040)</v>
      </c>
      <c r="H2993" t="s">
        <v>820</v>
      </c>
      <c r="I2993" t="str">
        <f t="shared" si="539"/>
        <v>19/09/2025</v>
      </c>
      <c r="J2993" t="str">
        <f>("13/09/2025")</f>
        <v>13/09/2025</v>
      </c>
      <c r="K2993">
        <v>45919</v>
      </c>
      <c r="N2993">
        <v>104</v>
      </c>
      <c r="O2993" t="s">
        <v>34</v>
      </c>
      <c r="Q2993">
        <v>99</v>
      </c>
      <c r="R2993" t="str">
        <f>"AUTENTIQUE LTDA (20040)"</f>
        <v>AUTENTIQUE LTDA (20040)</v>
      </c>
      <c r="S2993" t="s">
        <v>22</v>
      </c>
      <c r="T2993">
        <v>22279</v>
      </c>
      <c r="U2993">
        <v>14968</v>
      </c>
      <c r="V2993" t="s">
        <v>22</v>
      </c>
    </row>
    <row r="2994" spans="1:22">
      <c r="A2994" t="str">
        <f t="shared" si="530"/>
        <v>19/09/2025</v>
      </c>
      <c r="B2994" t="str">
        <f t="shared" si="532"/>
        <v>SAÍDA</v>
      </c>
      <c r="C2994" t="str">
        <f>"PIX"</f>
        <v>PIX</v>
      </c>
      <c r="D2994" t="str">
        <f>"19092025"</f>
        <v>19092025</v>
      </c>
      <c r="E2994" t="str">
        <f>"1"</f>
        <v>1</v>
      </c>
      <c r="F2994" t="str">
        <f t="shared" si="535"/>
        <v>COM</v>
      </c>
      <c r="G2994" t="str">
        <f>"LILIANE DE FATIMA REZENDE JUSTINO (20013)"</f>
        <v>LILIANE DE FATIMA REZENDE JUSTINO (20013)</v>
      </c>
      <c r="H2994" t="str">
        <f>"DESPESAS COM VIAGEM"</f>
        <v>DESPESAS COM VIAGEM</v>
      </c>
      <c r="I2994" t="str">
        <f t="shared" si="539"/>
        <v>19/09/2025</v>
      </c>
      <c r="J2994" t="str">
        <f>("19/09/2025")</f>
        <v>19/09/2025</v>
      </c>
      <c r="K2994" t="str">
        <f>("19/09/2025")</f>
        <v>19/09/2025</v>
      </c>
      <c r="L2994">
        <v>1000</v>
      </c>
      <c r="M2994">
        <v>1000</v>
      </c>
      <c r="N2994">
        <v>117</v>
      </c>
      <c r="O2994" t="str">
        <f>"DESPESAS COM VIAGENS COMERCIAIS"</f>
        <v>DESPESAS COM VIAGENS COMERCIAIS</v>
      </c>
      <c r="P2994">
        <v>1000</v>
      </c>
      <c r="S2994" t="str">
        <f>"BANCO CORA (102)"</f>
        <v>BANCO CORA (102)</v>
      </c>
      <c r="T2994">
        <v>22280</v>
      </c>
      <c r="U2994">
        <v>26054</v>
      </c>
      <c r="V2994" t="s">
        <v>22</v>
      </c>
    </row>
    <row r="2995" spans="1:22">
      <c r="A2995" t="str">
        <f t="shared" si="530"/>
        <v>19/09/2025</v>
      </c>
      <c r="B2995" t="str">
        <f t="shared" si="532"/>
        <v>SAÍDA</v>
      </c>
      <c r="C2995" t="str">
        <f>"PIX"</f>
        <v>PIX</v>
      </c>
      <c r="D2995" t="str">
        <f>"19092025"</f>
        <v>19092025</v>
      </c>
      <c r="E2995" t="str">
        <f>"1"</f>
        <v>1</v>
      </c>
      <c r="F2995" t="str">
        <f t="shared" si="535"/>
        <v>COM</v>
      </c>
      <c r="G2995" t="str">
        <f>"LILIANE DE FATIMA REZENDE JUSTINO (20013)"</f>
        <v>LILIANE DE FATIMA REZENDE JUSTINO (20013)</v>
      </c>
      <c r="H2995" t="s">
        <v>821</v>
      </c>
      <c r="I2995" t="str">
        <f t="shared" si="539"/>
        <v>19/09/2025</v>
      </c>
      <c r="J2995" t="str">
        <f>("19/09/2025")</f>
        <v>19/09/2025</v>
      </c>
      <c r="K2995">
        <v>45919</v>
      </c>
      <c r="N2995">
        <v>117</v>
      </c>
      <c r="O2995" t="s">
        <v>822</v>
      </c>
      <c r="Q2995">
        <v>1000</v>
      </c>
      <c r="R2995" t="str">
        <f>"LILIANE DE FATIMA REZENDE JUSTINO (20013)"</f>
        <v>LILIANE DE FATIMA REZENDE JUSTINO (20013)</v>
      </c>
      <c r="S2995" t="s">
        <v>22</v>
      </c>
      <c r="T2995">
        <v>22280</v>
      </c>
      <c r="U2995">
        <v>26054</v>
      </c>
      <c r="V2995" t="s">
        <v>22</v>
      </c>
    </row>
    <row r="2996" spans="1:22">
      <c r="A2996" t="str">
        <f t="shared" si="530"/>
        <v>19/09/2025</v>
      </c>
      <c r="B2996" t="str">
        <f>"ENTRADA"</f>
        <v>ENTRADA</v>
      </c>
      <c r="C2996" t="str">
        <f>"TRANSFERENCIA"</f>
        <v>TRANSFERENCIA</v>
      </c>
      <c r="D2996" t="str">
        <f>""</f>
        <v/>
      </c>
      <c r="F2996" t="str">
        <f>"TRF"</f>
        <v>TRF</v>
      </c>
      <c r="G2996" t="str">
        <f>""</f>
        <v/>
      </c>
      <c r="H2996" t="str">
        <f>"AJUDA DE CAIXA CORPORATIVA (131-&gt;102)"</f>
        <v>AJUDA DE CAIXA CORPORATIVA (131-&gt;102)</v>
      </c>
      <c r="I2996" t="str">
        <f t="shared" si="539"/>
        <v>19/09/2025</v>
      </c>
      <c r="J2996" t="str">
        <f>("19/09/2025")</f>
        <v>19/09/2025</v>
      </c>
      <c r="K2996" t="str">
        <f>("19/09/2025")</f>
        <v>19/09/2025</v>
      </c>
      <c r="N2996">
        <v>102</v>
      </c>
      <c r="O2996" t="str">
        <f>"BANCO CORA"</f>
        <v>BANCO CORA</v>
      </c>
      <c r="P2996">
        <v>2000</v>
      </c>
      <c r="S2996" t="str">
        <f>"BANCO CORA (102)"</f>
        <v>BANCO CORA (102)</v>
      </c>
      <c r="T2996">
        <v>22281</v>
      </c>
      <c r="U2996">
        <v>0</v>
      </c>
      <c r="V2996" t="s">
        <v>22</v>
      </c>
    </row>
    <row r="2997" spans="1:22">
      <c r="A2997" t="str">
        <f t="shared" si="530"/>
        <v>19/09/2025</v>
      </c>
      <c r="B2997" t="str">
        <f t="shared" ref="B2997:B3028" si="540">"SAÍDA"</f>
        <v>SAÍDA</v>
      </c>
      <c r="C2997" t="str">
        <f>"TRANSFERENCIA"</f>
        <v>TRANSFERENCIA</v>
      </c>
      <c r="D2997" t="str">
        <f>""</f>
        <v/>
      </c>
      <c r="F2997" t="str">
        <f>"TRF"</f>
        <v>TRF</v>
      </c>
      <c r="G2997" t="str">
        <f>""</f>
        <v/>
      </c>
      <c r="H2997" t="str">
        <f>"AJUDA DE CAIXA CORPORATIVA (131-&gt;102)"</f>
        <v>AJUDA DE CAIXA CORPORATIVA (131-&gt;102)</v>
      </c>
      <c r="I2997" t="str">
        <f t="shared" si="539"/>
        <v>19/09/2025</v>
      </c>
      <c r="J2997" t="str">
        <f>("19/09/2025")</f>
        <v>19/09/2025</v>
      </c>
      <c r="K2997" t="str">
        <f>("19/09/2025")</f>
        <v>19/09/2025</v>
      </c>
      <c r="N2997">
        <v>131</v>
      </c>
      <c r="O2997" t="str">
        <f>"CAIXA - FLUX"</f>
        <v>CAIXA - FLUX</v>
      </c>
      <c r="S2997" t="str">
        <f>"CAIXA - FLUX (131)"</f>
        <v>CAIXA - FLUX (131)</v>
      </c>
      <c r="T2997">
        <v>22281</v>
      </c>
      <c r="U2997">
        <v>0</v>
      </c>
      <c r="V2997" t="s">
        <v>577</v>
      </c>
    </row>
    <row r="2998" spans="1:22">
      <c r="A2998" t="str">
        <f t="shared" ref="A2998:A3007" si="541">("21/09/2025")</f>
        <v>21/09/2025</v>
      </c>
      <c r="B2998" t="str">
        <f t="shared" si="540"/>
        <v>SAÍDA</v>
      </c>
      <c r="C2998" t="str">
        <f t="shared" ref="C2998:C3013" si="542">"PIX"</f>
        <v>PIX</v>
      </c>
      <c r="D2998" t="str">
        <f>"22402"</f>
        <v>22402</v>
      </c>
      <c r="E2998" t="str">
        <f t="shared" ref="E2998:E3029" si="543">"1"</f>
        <v>1</v>
      </c>
      <c r="F2998" t="str">
        <f t="shared" ref="F2998:F3029" si="544">"COM"</f>
        <v>COM</v>
      </c>
      <c r="G2998" t="str">
        <f>"VINICIUS DE SOUZA ISABEL (658)"</f>
        <v>VINICIUS DE SOUZA ISABEL (658)</v>
      </c>
      <c r="H2998" t="str">
        <f>"Serv.Prest. 15/09/2025 a 21/09/2025 - PIX: CPF - CHAVE: 092.566.416-23"</f>
        <v>Serv.Prest. 15/09/2025 a 21/09/2025 - PIX: CPF - CHAVE: 092.566.416-23</v>
      </c>
      <c r="I2998" t="str">
        <f>("02/10/2025")</f>
        <v>02/10/2025</v>
      </c>
      <c r="J2998" t="str">
        <f>("23/09/2025")</f>
        <v>23/09/2025</v>
      </c>
      <c r="K2998" t="str">
        <f>("21/09/2025")</f>
        <v>21/09/2025</v>
      </c>
      <c r="L2998">
        <v>390</v>
      </c>
      <c r="M2998">
        <v>390</v>
      </c>
      <c r="N2998">
        <v>109</v>
      </c>
      <c r="O2998" t="str">
        <f>"PAGAMENTO DE ENTREGADORES"</f>
        <v>PAGAMENTO DE ENTREGADORES</v>
      </c>
      <c r="P2998">
        <v>390</v>
      </c>
      <c r="S2998" t="str">
        <f>"BANCO CORA (102)"</f>
        <v>BANCO CORA (102)</v>
      </c>
      <c r="T2998">
        <v>18598</v>
      </c>
      <c r="U2998">
        <v>22444</v>
      </c>
      <c r="V2998" t="s">
        <v>22</v>
      </c>
    </row>
    <row r="2999" spans="1:22">
      <c r="A2999" t="str">
        <f t="shared" si="541"/>
        <v>21/09/2025</v>
      </c>
      <c r="B2999" t="str">
        <f t="shared" si="540"/>
        <v>SAÍDA</v>
      </c>
      <c r="C2999" t="str">
        <f t="shared" si="542"/>
        <v>PIX</v>
      </c>
      <c r="D2999" t="str">
        <f>"22402"</f>
        <v>22402</v>
      </c>
      <c r="E2999" t="str">
        <f t="shared" si="543"/>
        <v>1</v>
      </c>
      <c r="F2999" t="str">
        <f t="shared" si="544"/>
        <v>COM</v>
      </c>
      <c r="G2999" t="str">
        <f>"VINICIUS DE SOUZA ISABEL (658)"</f>
        <v>VINICIUS DE SOUZA ISABEL (658)</v>
      </c>
      <c r="H2999" t="s">
        <v>823</v>
      </c>
      <c r="I2999" t="str">
        <f>("02/10/2025")</f>
        <v>02/10/2025</v>
      </c>
      <c r="J2999" t="str">
        <f>("23/09/2025")</f>
        <v>23/09/2025</v>
      </c>
      <c r="K2999">
        <v>45921</v>
      </c>
      <c r="N2999">
        <v>109</v>
      </c>
      <c r="O2999" t="s">
        <v>24</v>
      </c>
      <c r="Q2999">
        <v>390</v>
      </c>
      <c r="R2999" t="str">
        <f>"FARMÁCIA INDIANA LJ 219 (10091)"</f>
        <v>FARMÁCIA INDIANA LJ 219 (10091)</v>
      </c>
      <c r="S2999" t="s">
        <v>22</v>
      </c>
      <c r="T2999">
        <v>18598</v>
      </c>
      <c r="U2999">
        <v>22444</v>
      </c>
      <c r="V2999" t="s">
        <v>22</v>
      </c>
    </row>
    <row r="3000" spans="1:22">
      <c r="A3000" t="str">
        <f t="shared" si="541"/>
        <v>21/09/2025</v>
      </c>
      <c r="B3000" t="str">
        <f t="shared" si="540"/>
        <v>SAÍDA</v>
      </c>
      <c r="C3000" t="str">
        <f t="shared" si="542"/>
        <v>PIX</v>
      </c>
      <c r="D3000" t="str">
        <f>"22308"</f>
        <v>22308</v>
      </c>
      <c r="E3000" t="str">
        <f t="shared" si="543"/>
        <v>1</v>
      </c>
      <c r="F3000" t="str">
        <f t="shared" si="544"/>
        <v>COM</v>
      </c>
      <c r="G3000" t="str">
        <f>"RENATO ALVES BATISTA (935)"</f>
        <v>RENATO ALVES BATISTA (935)</v>
      </c>
      <c r="H3000" t="str">
        <f>"Serv.Prest. 15/09/2025 a 21/09/2025 - PIX: CPF - CHAVE: 900.512.622-15"</f>
        <v>Serv.Prest. 15/09/2025 a 21/09/2025 - PIX: CPF - CHAVE: 900.512.622-15</v>
      </c>
      <c r="I3000" t="str">
        <f>("25/09/2025")</f>
        <v>25/09/2025</v>
      </c>
      <c r="J3000" t="str">
        <f>("22/09/2025")</f>
        <v>22/09/2025</v>
      </c>
      <c r="K3000" t="str">
        <f>("21/09/2025")</f>
        <v>21/09/2025</v>
      </c>
      <c r="L3000">
        <v>133</v>
      </c>
      <c r="M3000">
        <v>130</v>
      </c>
      <c r="N3000">
        <v>109</v>
      </c>
      <c r="O3000" t="str">
        <f>"PAGAMENTO DE ENTREGADORES"</f>
        <v>PAGAMENTO DE ENTREGADORES</v>
      </c>
      <c r="P3000">
        <v>130</v>
      </c>
      <c r="S3000" t="str">
        <f>"BANCO CORA (102)"</f>
        <v>BANCO CORA (102)</v>
      </c>
      <c r="T3000">
        <v>18605</v>
      </c>
      <c r="U3000">
        <v>22308</v>
      </c>
      <c r="V3000" t="s">
        <v>22</v>
      </c>
    </row>
    <row r="3001" spans="1:22">
      <c r="A3001" t="str">
        <f t="shared" si="541"/>
        <v>21/09/2025</v>
      </c>
      <c r="B3001" t="str">
        <f t="shared" si="540"/>
        <v>SAÍDA</v>
      </c>
      <c r="C3001" t="str">
        <f t="shared" si="542"/>
        <v>PIX</v>
      </c>
      <c r="D3001" t="str">
        <f>"22308"</f>
        <v>22308</v>
      </c>
      <c r="E3001" t="str">
        <f t="shared" si="543"/>
        <v>1</v>
      </c>
      <c r="F3001" t="str">
        <f t="shared" si="544"/>
        <v>COM</v>
      </c>
      <c r="G3001" t="str">
        <f>"RENATO ALVES BATISTA (935)"</f>
        <v>RENATO ALVES BATISTA (935)</v>
      </c>
      <c r="H3001" t="s">
        <v>824</v>
      </c>
      <c r="I3001" t="str">
        <f>("25/09/2025")</f>
        <v>25/09/2025</v>
      </c>
      <c r="J3001" t="str">
        <f>("22/09/2025")</f>
        <v>22/09/2025</v>
      </c>
      <c r="K3001">
        <v>45921</v>
      </c>
      <c r="N3001">
        <v>109</v>
      </c>
      <c r="O3001" t="s">
        <v>24</v>
      </c>
      <c r="Q3001">
        <v>130</v>
      </c>
      <c r="R3001" t="str">
        <f>"DROGARIA MORENO LTDA (10171)"</f>
        <v>DROGARIA MORENO LTDA (10171)</v>
      </c>
      <c r="S3001" t="s">
        <v>22</v>
      </c>
      <c r="T3001">
        <v>18605</v>
      </c>
      <c r="U3001">
        <v>22308</v>
      </c>
      <c r="V3001" t="s">
        <v>22</v>
      </c>
    </row>
    <row r="3002" spans="1:22">
      <c r="A3002" t="str">
        <f t="shared" si="541"/>
        <v>21/09/2025</v>
      </c>
      <c r="B3002" t="str">
        <f t="shared" si="540"/>
        <v>SAÍDA</v>
      </c>
      <c r="C3002" t="str">
        <f t="shared" si="542"/>
        <v>PIX</v>
      </c>
      <c r="D3002" t="str">
        <f>"22459"</f>
        <v>22459</v>
      </c>
      <c r="E3002" t="str">
        <f t="shared" si="543"/>
        <v>1</v>
      </c>
      <c r="F3002" t="str">
        <f t="shared" si="544"/>
        <v>COM</v>
      </c>
      <c r="G3002" t="str">
        <f>"VANDERLEI PEREIRA CARVALHO (929)"</f>
        <v>VANDERLEI PEREIRA CARVALHO (929)</v>
      </c>
      <c r="H3002" t="str">
        <f>"Serv.Prest. 15/09/2025 a 21/09/2025 - PIX: CELULAR - CHAVE: (27) 99650-9691"</f>
        <v>Serv.Prest. 15/09/2025 a 21/09/2025 - PIX: CELULAR - CHAVE: (27) 99650-9691</v>
      </c>
      <c r="I3002" t="str">
        <f>("02/10/2025")</f>
        <v>02/10/2025</v>
      </c>
      <c r="J3002" t="str">
        <f t="shared" ref="J3002:J3007" si="545">("23/09/2025")</f>
        <v>23/09/2025</v>
      </c>
      <c r="K3002" t="str">
        <f>("21/09/2025")</f>
        <v>21/09/2025</v>
      </c>
      <c r="L3002">
        <v>750</v>
      </c>
      <c r="M3002">
        <v>750</v>
      </c>
      <c r="N3002">
        <v>109</v>
      </c>
      <c r="O3002" t="str">
        <f>"PAGAMENTO DE ENTREGADORES"</f>
        <v>PAGAMENTO DE ENTREGADORES</v>
      </c>
      <c r="P3002">
        <v>750</v>
      </c>
      <c r="S3002" t="str">
        <f>"BANCO CORA (102)"</f>
        <v>BANCO CORA (102)</v>
      </c>
      <c r="T3002">
        <v>18611</v>
      </c>
      <c r="U3002">
        <v>22459</v>
      </c>
      <c r="V3002" t="s">
        <v>22</v>
      </c>
    </row>
    <row r="3003" spans="1:22">
      <c r="A3003" t="str">
        <f t="shared" si="541"/>
        <v>21/09/2025</v>
      </c>
      <c r="B3003" t="str">
        <f t="shared" si="540"/>
        <v>SAÍDA</v>
      </c>
      <c r="C3003" t="str">
        <f t="shared" si="542"/>
        <v>PIX</v>
      </c>
      <c r="D3003" t="str">
        <f>"22459"</f>
        <v>22459</v>
      </c>
      <c r="E3003" t="str">
        <f t="shared" si="543"/>
        <v>1</v>
      </c>
      <c r="F3003" t="str">
        <f t="shared" si="544"/>
        <v>COM</v>
      </c>
      <c r="G3003" t="str">
        <f>"VANDERLEI PEREIRA CARVALHO (929)"</f>
        <v>VANDERLEI PEREIRA CARVALHO (929)</v>
      </c>
      <c r="H3003" t="s">
        <v>825</v>
      </c>
      <c r="I3003" t="str">
        <f>("02/10/2025")</f>
        <v>02/10/2025</v>
      </c>
      <c r="J3003" t="str">
        <f t="shared" si="545"/>
        <v>23/09/2025</v>
      </c>
      <c r="K3003">
        <v>45921</v>
      </c>
      <c r="N3003">
        <v>109</v>
      </c>
      <c r="O3003" t="s">
        <v>24</v>
      </c>
      <c r="Q3003">
        <v>750</v>
      </c>
      <c r="R3003" t="str">
        <f>"FARMÁCIA INDIANA LJ 119 (10053)"</f>
        <v>FARMÁCIA INDIANA LJ 119 (10053)</v>
      </c>
      <c r="S3003" t="s">
        <v>22</v>
      </c>
      <c r="T3003">
        <v>18611</v>
      </c>
      <c r="U3003">
        <v>22459</v>
      </c>
      <c r="V3003" t="s">
        <v>22</v>
      </c>
    </row>
    <row r="3004" spans="1:22">
      <c r="A3004" t="str">
        <f t="shared" si="541"/>
        <v>21/09/2025</v>
      </c>
      <c r="B3004" t="str">
        <f t="shared" si="540"/>
        <v>SAÍDA</v>
      </c>
      <c r="C3004" t="str">
        <f t="shared" si="542"/>
        <v>PIX</v>
      </c>
      <c r="D3004" t="str">
        <f>"22474"</f>
        <v>22474</v>
      </c>
      <c r="E3004" t="str">
        <f t="shared" si="543"/>
        <v>1</v>
      </c>
      <c r="F3004" t="str">
        <f t="shared" si="544"/>
        <v>COM</v>
      </c>
      <c r="G3004" t="str">
        <f>"WILLIAM DA SILVA COSTA (655)"</f>
        <v>WILLIAM DA SILVA COSTA (655)</v>
      </c>
      <c r="H3004" t="str">
        <f>"Serv.Prest. 15/09/2025 a 21/09/2025 - PIX: CELULAR - CHAVE: (64) 97400-9101"</f>
        <v>Serv.Prest. 15/09/2025 a 21/09/2025 - PIX: CELULAR - CHAVE: (64) 97400-9101</v>
      </c>
      <c r="I3004" t="str">
        <f t="shared" ref="I3004:I3013" si="546">("25/09/2025")</f>
        <v>25/09/2025</v>
      </c>
      <c r="J3004" t="str">
        <f t="shared" si="545"/>
        <v>23/09/2025</v>
      </c>
      <c r="K3004" t="str">
        <f>("21/09/2025")</f>
        <v>21/09/2025</v>
      </c>
      <c r="L3004">
        <v>17.5</v>
      </c>
      <c r="M3004">
        <v>130</v>
      </c>
      <c r="N3004">
        <v>109</v>
      </c>
      <c r="O3004" t="str">
        <f>"PAGAMENTO DE ENTREGADORES"</f>
        <v>PAGAMENTO DE ENTREGADORES</v>
      </c>
      <c r="P3004">
        <v>130</v>
      </c>
      <c r="S3004" t="str">
        <f>"BANCO CORA (102)"</f>
        <v>BANCO CORA (102)</v>
      </c>
      <c r="T3004">
        <v>18622</v>
      </c>
      <c r="U3004">
        <v>22480</v>
      </c>
      <c r="V3004" t="s">
        <v>22</v>
      </c>
    </row>
    <row r="3005" spans="1:22">
      <c r="A3005" t="str">
        <f t="shared" si="541"/>
        <v>21/09/2025</v>
      </c>
      <c r="B3005" t="str">
        <f t="shared" si="540"/>
        <v>SAÍDA</v>
      </c>
      <c r="C3005" t="str">
        <f t="shared" si="542"/>
        <v>PIX</v>
      </c>
      <c r="D3005" t="str">
        <f>"22474"</f>
        <v>22474</v>
      </c>
      <c r="E3005" t="str">
        <f t="shared" si="543"/>
        <v>1</v>
      </c>
      <c r="F3005" t="str">
        <f t="shared" si="544"/>
        <v>COM</v>
      </c>
      <c r="G3005" t="str">
        <f>"WILLIAM DA SILVA COSTA (655)"</f>
        <v>WILLIAM DA SILVA COSTA (655)</v>
      </c>
      <c r="H3005" t="s">
        <v>826</v>
      </c>
      <c r="I3005" t="str">
        <f t="shared" si="546"/>
        <v>25/09/2025</v>
      </c>
      <c r="J3005" t="str">
        <f t="shared" si="545"/>
        <v>23/09/2025</v>
      </c>
      <c r="K3005">
        <v>45921</v>
      </c>
      <c r="N3005">
        <v>109</v>
      </c>
      <c r="O3005" t="s">
        <v>24</v>
      </c>
      <c r="Q3005">
        <v>130</v>
      </c>
      <c r="R3005" t="str">
        <f>"FARMACIA ECONOMIZE (10103)"</f>
        <v>FARMACIA ECONOMIZE (10103)</v>
      </c>
      <c r="S3005" t="s">
        <v>22</v>
      </c>
      <c r="T3005">
        <v>18622</v>
      </c>
      <c r="U3005">
        <v>22480</v>
      </c>
      <c r="V3005" t="s">
        <v>22</v>
      </c>
    </row>
    <row r="3006" spans="1:22">
      <c r="A3006" t="str">
        <f t="shared" si="541"/>
        <v>21/09/2025</v>
      </c>
      <c r="B3006" t="str">
        <f t="shared" si="540"/>
        <v>SAÍDA</v>
      </c>
      <c r="C3006" t="str">
        <f t="shared" si="542"/>
        <v>PIX</v>
      </c>
      <c r="D3006" t="str">
        <f>"22474"</f>
        <v>22474</v>
      </c>
      <c r="E3006" t="str">
        <f t="shared" si="543"/>
        <v>1</v>
      </c>
      <c r="F3006" t="str">
        <f t="shared" si="544"/>
        <v>COM</v>
      </c>
      <c r="G3006" t="str">
        <f>"WILLIAM DA SILVA COSTA (655)"</f>
        <v>WILLIAM DA SILVA COSTA (655)</v>
      </c>
      <c r="H3006" t="str">
        <f>"Serv.Prest. 15/09/2025 a 21/09/2025 - PIX: CELULAR - CHAVE: (64) 97400-9101"</f>
        <v>Serv.Prest. 15/09/2025 a 21/09/2025 - PIX: CELULAR - CHAVE: (64) 97400-9101</v>
      </c>
      <c r="I3006" t="str">
        <f t="shared" si="546"/>
        <v>25/09/2025</v>
      </c>
      <c r="J3006" t="str">
        <f t="shared" si="545"/>
        <v>23/09/2025</v>
      </c>
      <c r="K3006" t="str">
        <f>("21/09/2025")</f>
        <v>21/09/2025</v>
      </c>
      <c r="L3006">
        <v>17.5</v>
      </c>
      <c r="M3006">
        <v>130</v>
      </c>
      <c r="N3006">
        <v>109</v>
      </c>
      <c r="O3006" t="str">
        <f>"PAGAMENTO DE ENTREGADORES"</f>
        <v>PAGAMENTO DE ENTREGADORES</v>
      </c>
      <c r="P3006">
        <v>130</v>
      </c>
      <c r="S3006" t="str">
        <f>"BANCO CORA (102)"</f>
        <v>BANCO CORA (102)</v>
      </c>
      <c r="T3006">
        <v>18623</v>
      </c>
      <c r="U3006">
        <v>22479</v>
      </c>
      <c r="V3006" t="s">
        <v>22</v>
      </c>
    </row>
    <row r="3007" spans="1:22">
      <c r="A3007" t="str">
        <f t="shared" si="541"/>
        <v>21/09/2025</v>
      </c>
      <c r="B3007" t="str">
        <f t="shared" si="540"/>
        <v>SAÍDA</v>
      </c>
      <c r="C3007" t="str">
        <f t="shared" si="542"/>
        <v>PIX</v>
      </c>
      <c r="D3007" t="str">
        <f>"22474"</f>
        <v>22474</v>
      </c>
      <c r="E3007" t="str">
        <f t="shared" si="543"/>
        <v>1</v>
      </c>
      <c r="F3007" t="str">
        <f t="shared" si="544"/>
        <v>COM</v>
      </c>
      <c r="G3007" t="str">
        <f>"WILLIAM DA SILVA COSTA (655)"</f>
        <v>WILLIAM DA SILVA COSTA (655)</v>
      </c>
      <c r="H3007" t="s">
        <v>826</v>
      </c>
      <c r="I3007" t="str">
        <f t="shared" si="546"/>
        <v>25/09/2025</v>
      </c>
      <c r="J3007" t="str">
        <f t="shared" si="545"/>
        <v>23/09/2025</v>
      </c>
      <c r="K3007">
        <v>45921</v>
      </c>
      <c r="N3007">
        <v>109</v>
      </c>
      <c r="O3007" t="s">
        <v>24</v>
      </c>
      <c r="Q3007">
        <v>130</v>
      </c>
      <c r="R3007" t="str">
        <f>"FARMACIA ECONOMIZE (10103)"</f>
        <v>FARMACIA ECONOMIZE (10103)</v>
      </c>
      <c r="S3007" t="s">
        <v>22</v>
      </c>
      <c r="T3007">
        <v>18623</v>
      </c>
      <c r="U3007">
        <v>22479</v>
      </c>
      <c r="V3007" t="s">
        <v>22</v>
      </c>
    </row>
    <row r="3008" spans="1:22">
      <c r="A3008" t="str">
        <f t="shared" ref="A3008:A3013" si="547">("22/09/2025")</f>
        <v>22/09/2025</v>
      </c>
      <c r="B3008" t="str">
        <f t="shared" si="540"/>
        <v>SAÍDA</v>
      </c>
      <c r="C3008" t="str">
        <f t="shared" si="542"/>
        <v>PIX</v>
      </c>
      <c r="D3008" t="str">
        <f>"22274"</f>
        <v>22274</v>
      </c>
      <c r="E3008" t="str">
        <f t="shared" si="543"/>
        <v>1</v>
      </c>
      <c r="F3008" t="str">
        <f t="shared" si="544"/>
        <v>COM</v>
      </c>
      <c r="G3008" t="str">
        <f>"EDMILSON DA SILVA COSTA JUNIOR (955)"</f>
        <v>EDMILSON DA SILVA COSTA JUNIOR (955)</v>
      </c>
      <c r="H3008" t="str">
        <f>"Serv.Prest. 15/09/2025 a 21/09/2025 - PIX: CELULAR - CHAVE: (11) 96568-0316"</f>
        <v>Serv.Prest. 15/09/2025 a 21/09/2025 - PIX: CELULAR - CHAVE: (11) 96568-0316</v>
      </c>
      <c r="I3008" t="str">
        <f t="shared" si="546"/>
        <v>25/09/2025</v>
      </c>
      <c r="J3008" t="str">
        <f>("22/09/2025")</f>
        <v>22/09/2025</v>
      </c>
      <c r="K3008" t="str">
        <f>("22/09/2025")</f>
        <v>22/09/2025</v>
      </c>
      <c r="L3008">
        <v>150</v>
      </c>
      <c r="M3008">
        <v>150</v>
      </c>
      <c r="N3008">
        <v>109</v>
      </c>
      <c r="O3008" t="str">
        <f>"PAGAMENTO DE ENTREGADORES"</f>
        <v>PAGAMENTO DE ENTREGADORES</v>
      </c>
      <c r="P3008">
        <v>150</v>
      </c>
      <c r="S3008" t="str">
        <f>"BANCO CORA (102)"</f>
        <v>BANCO CORA (102)</v>
      </c>
      <c r="T3008">
        <v>18599</v>
      </c>
      <c r="U3008">
        <v>22274</v>
      </c>
      <c r="V3008" t="s">
        <v>22</v>
      </c>
    </row>
    <row r="3009" spans="1:22">
      <c r="A3009" t="str">
        <f t="shared" si="547"/>
        <v>22/09/2025</v>
      </c>
      <c r="B3009" t="str">
        <f t="shared" si="540"/>
        <v>SAÍDA</v>
      </c>
      <c r="C3009" t="str">
        <f t="shared" si="542"/>
        <v>PIX</v>
      </c>
      <c r="D3009" t="str">
        <f>"22274"</f>
        <v>22274</v>
      </c>
      <c r="E3009" t="str">
        <f t="shared" si="543"/>
        <v>1</v>
      </c>
      <c r="F3009" t="str">
        <f t="shared" si="544"/>
        <v>COM</v>
      </c>
      <c r="G3009" t="str">
        <f>"EDMILSON DA SILVA COSTA JUNIOR (955)"</f>
        <v>EDMILSON DA SILVA COSTA JUNIOR (955)</v>
      </c>
      <c r="H3009" t="s">
        <v>827</v>
      </c>
      <c r="I3009" t="str">
        <f t="shared" si="546"/>
        <v>25/09/2025</v>
      </c>
      <c r="J3009" t="str">
        <f>("22/09/2025")</f>
        <v>22/09/2025</v>
      </c>
      <c r="K3009">
        <v>45922</v>
      </c>
      <c r="N3009">
        <v>109</v>
      </c>
      <c r="O3009" t="s">
        <v>24</v>
      </c>
      <c r="Q3009">
        <v>150</v>
      </c>
      <c r="R3009" t="str">
        <f>"PENSE FARMA 46 (10194)"</f>
        <v>PENSE FARMA 46 (10194)</v>
      </c>
      <c r="S3009" t="s">
        <v>22</v>
      </c>
      <c r="T3009">
        <v>18599</v>
      </c>
      <c r="U3009">
        <v>22274</v>
      </c>
      <c r="V3009" t="s">
        <v>22</v>
      </c>
    </row>
    <row r="3010" spans="1:22">
      <c r="A3010" t="str">
        <f t="shared" si="547"/>
        <v>22/09/2025</v>
      </c>
      <c r="B3010" t="str">
        <f t="shared" si="540"/>
        <v>SAÍDA</v>
      </c>
      <c r="C3010" t="str">
        <f t="shared" si="542"/>
        <v>PIX</v>
      </c>
      <c r="D3010" t="str">
        <f>"22290"</f>
        <v>22290</v>
      </c>
      <c r="E3010" t="str">
        <f t="shared" si="543"/>
        <v>1</v>
      </c>
      <c r="F3010" t="str">
        <f t="shared" si="544"/>
        <v>COM</v>
      </c>
      <c r="G3010" t="str">
        <f>"JEFFERSON AMORIM DA SILVA (940)"</f>
        <v>JEFFERSON AMORIM DA SILVA (940)</v>
      </c>
      <c r="H3010" t="str">
        <f>"Serv.Prest. 15/09/2025 a 21/09/2025 - PIX: CELULAR - CHAVE: (11) 9844-7654"</f>
        <v>Serv.Prest. 15/09/2025 a 21/09/2025 - PIX: CELULAR - CHAVE: (11) 9844-7654</v>
      </c>
      <c r="I3010" t="str">
        <f t="shared" si="546"/>
        <v>25/09/2025</v>
      </c>
      <c r="J3010" t="str">
        <f>("22/09/2025")</f>
        <v>22/09/2025</v>
      </c>
      <c r="K3010" t="str">
        <f>("22/09/2025")</f>
        <v>22/09/2025</v>
      </c>
      <c r="L3010">
        <v>150</v>
      </c>
      <c r="M3010">
        <v>150</v>
      </c>
      <c r="N3010">
        <v>109</v>
      </c>
      <c r="O3010" t="str">
        <f>"PAGAMENTO DE ENTREGADORES"</f>
        <v>PAGAMENTO DE ENTREGADORES</v>
      </c>
      <c r="P3010">
        <v>150</v>
      </c>
      <c r="S3010" t="str">
        <f>"BANCO CORA (102)"</f>
        <v>BANCO CORA (102)</v>
      </c>
      <c r="T3010">
        <v>18607</v>
      </c>
      <c r="U3010">
        <v>22450</v>
      </c>
      <c r="V3010" t="s">
        <v>22</v>
      </c>
    </row>
    <row r="3011" spans="1:22">
      <c r="A3011" t="str">
        <f t="shared" si="547"/>
        <v>22/09/2025</v>
      </c>
      <c r="B3011" t="str">
        <f t="shared" si="540"/>
        <v>SAÍDA</v>
      </c>
      <c r="C3011" t="str">
        <f t="shared" si="542"/>
        <v>PIX</v>
      </c>
      <c r="D3011" t="str">
        <f>"22290"</f>
        <v>22290</v>
      </c>
      <c r="E3011" t="str">
        <f t="shared" si="543"/>
        <v>1</v>
      </c>
      <c r="F3011" t="str">
        <f t="shared" si="544"/>
        <v>COM</v>
      </c>
      <c r="G3011" t="str">
        <f>"JEFFERSON AMORIM DA SILVA (940)"</f>
        <v>JEFFERSON AMORIM DA SILVA (940)</v>
      </c>
      <c r="H3011" t="s">
        <v>828</v>
      </c>
      <c r="I3011" t="str">
        <f t="shared" si="546"/>
        <v>25/09/2025</v>
      </c>
      <c r="J3011" t="str">
        <f>("22/09/2025")</f>
        <v>22/09/2025</v>
      </c>
      <c r="K3011">
        <v>45922</v>
      </c>
      <c r="N3011">
        <v>109</v>
      </c>
      <c r="O3011" t="s">
        <v>24</v>
      </c>
      <c r="Q3011">
        <v>101.25</v>
      </c>
      <c r="R3011" t="str">
        <f>"PENSE FARMA 15 (10195)"</f>
        <v>PENSE FARMA 15 (10195)</v>
      </c>
      <c r="S3011" t="s">
        <v>22</v>
      </c>
      <c r="T3011">
        <v>18607</v>
      </c>
      <c r="U3011">
        <v>22450</v>
      </c>
      <c r="V3011" t="s">
        <v>22</v>
      </c>
    </row>
    <row r="3012" spans="1:22">
      <c r="A3012" t="str">
        <f t="shared" si="547"/>
        <v>22/09/2025</v>
      </c>
      <c r="B3012" t="str">
        <f t="shared" si="540"/>
        <v>SAÍDA</v>
      </c>
      <c r="C3012" t="str">
        <f t="shared" si="542"/>
        <v>PIX</v>
      </c>
      <c r="D3012" t="str">
        <f>"22290"</f>
        <v>22290</v>
      </c>
      <c r="E3012" t="str">
        <f t="shared" si="543"/>
        <v>1</v>
      </c>
      <c r="F3012" t="str">
        <f t="shared" si="544"/>
        <v>COM</v>
      </c>
      <c r="G3012" t="str">
        <f>"JEFFERSON AMORIM DA SILVA (940)"</f>
        <v>JEFFERSON AMORIM DA SILVA (940)</v>
      </c>
      <c r="H3012" t="s">
        <v>828</v>
      </c>
      <c r="I3012" t="str">
        <f t="shared" si="546"/>
        <v>25/09/2025</v>
      </c>
      <c r="J3012" t="str">
        <f>("22/09/2025")</f>
        <v>22/09/2025</v>
      </c>
      <c r="K3012">
        <v>45922</v>
      </c>
      <c r="N3012">
        <v>109</v>
      </c>
      <c r="O3012" t="s">
        <v>24</v>
      </c>
      <c r="Q3012">
        <v>15</v>
      </c>
      <c r="R3012" t="str">
        <f>"PENSE FARMA 26 (10196)"</f>
        <v>PENSE FARMA 26 (10196)</v>
      </c>
      <c r="S3012" t="s">
        <v>22</v>
      </c>
      <c r="T3012">
        <v>18607</v>
      </c>
      <c r="U3012">
        <v>22450</v>
      </c>
      <c r="V3012" t="s">
        <v>22</v>
      </c>
    </row>
    <row r="3013" spans="1:22">
      <c r="A3013" t="str">
        <f t="shared" si="547"/>
        <v>22/09/2025</v>
      </c>
      <c r="B3013" t="str">
        <f t="shared" si="540"/>
        <v>SAÍDA</v>
      </c>
      <c r="C3013" t="str">
        <f t="shared" si="542"/>
        <v>PIX</v>
      </c>
      <c r="D3013" t="str">
        <f>"22290"</f>
        <v>22290</v>
      </c>
      <c r="E3013" t="str">
        <f t="shared" si="543"/>
        <v>1</v>
      </c>
      <c r="F3013" t="str">
        <f t="shared" si="544"/>
        <v>COM</v>
      </c>
      <c r="G3013" t="str">
        <f>"JEFFERSON AMORIM DA SILVA (940)"</f>
        <v>JEFFERSON AMORIM DA SILVA (940)</v>
      </c>
      <c r="H3013" t="s">
        <v>828</v>
      </c>
      <c r="I3013" t="str">
        <f t="shared" si="546"/>
        <v>25/09/2025</v>
      </c>
      <c r="J3013" t="str">
        <f>("22/09/2025")</f>
        <v>22/09/2025</v>
      </c>
      <c r="K3013">
        <v>45922</v>
      </c>
      <c r="N3013">
        <v>109</v>
      </c>
      <c r="O3013" t="s">
        <v>24</v>
      </c>
      <c r="Q3013">
        <v>33.75</v>
      </c>
      <c r="R3013" t="str">
        <f>"PENSE FARMA 60 (10197)"</f>
        <v>PENSE FARMA 60 (10197)</v>
      </c>
      <c r="S3013" t="s">
        <v>22</v>
      </c>
      <c r="T3013">
        <v>18607</v>
      </c>
      <c r="U3013">
        <v>22450</v>
      </c>
      <c r="V3013" t="s">
        <v>22</v>
      </c>
    </row>
    <row r="3014" spans="1:22">
      <c r="A3014" t="str">
        <f t="shared" ref="A3014:A3053" si="548">("23/09/2025")</f>
        <v>23/09/2025</v>
      </c>
      <c r="B3014" t="str">
        <f t="shared" si="540"/>
        <v>SAÍDA</v>
      </c>
      <c r="C3014" t="str">
        <f>"BOLETO"</f>
        <v>BOLETO</v>
      </c>
      <c r="D3014" t="str">
        <f>"2873"</f>
        <v>2873</v>
      </c>
      <c r="E3014" t="str">
        <f t="shared" si="543"/>
        <v>1</v>
      </c>
      <c r="F3014" t="str">
        <f t="shared" si="544"/>
        <v>COM</v>
      </c>
      <c r="G3014" t="str">
        <f>"DAVA EMPREENDIMENTOS SERVICOS E COWORKING LTDA (20006)"</f>
        <v>DAVA EMPREENDIMENTOS SERVICOS E COWORKING LTDA (20006)</v>
      </c>
      <c r="H3014" t="str">
        <f>"ALUGUEL FISCAL COOPERATIVA - RESCISÃO"</f>
        <v>ALUGUEL FISCAL COOPERATIVA - RESCISÃO</v>
      </c>
      <c r="I3014" t="str">
        <f>("23/09/2025")</f>
        <v>23/09/2025</v>
      </c>
      <c r="J3014" t="str">
        <f>("12/09/2025")</f>
        <v>12/09/2025</v>
      </c>
      <c r="K3014" t="str">
        <f>("23/09/2025")</f>
        <v>23/09/2025</v>
      </c>
      <c r="L3014">
        <v>96.14</v>
      </c>
      <c r="M3014">
        <v>105.84</v>
      </c>
      <c r="N3014">
        <v>105</v>
      </c>
      <c r="O3014" t="str">
        <f>"ALUGUEL"</f>
        <v>ALUGUEL</v>
      </c>
      <c r="P3014">
        <v>105.84</v>
      </c>
      <c r="S3014" t="str">
        <f>"BANCO CORA (102)"</f>
        <v>BANCO CORA (102)</v>
      </c>
      <c r="T3014">
        <v>18608</v>
      </c>
      <c r="U3014">
        <v>15153</v>
      </c>
      <c r="V3014" t="s">
        <v>22</v>
      </c>
    </row>
    <row r="3015" spans="1:22">
      <c r="A3015" t="str">
        <f t="shared" si="548"/>
        <v>23/09/2025</v>
      </c>
      <c r="B3015" t="str">
        <f t="shared" si="540"/>
        <v>SAÍDA</v>
      </c>
      <c r="C3015" t="str">
        <f>"BOLETO"</f>
        <v>BOLETO</v>
      </c>
      <c r="D3015" t="str">
        <f>"2873"</f>
        <v>2873</v>
      </c>
      <c r="E3015" t="str">
        <f t="shared" si="543"/>
        <v>1</v>
      </c>
      <c r="F3015" t="str">
        <f t="shared" si="544"/>
        <v>COM</v>
      </c>
      <c r="G3015" t="str">
        <f>"DAVA EMPREENDIMENTOS SERVICOS E COWORKING LTDA (20006)"</f>
        <v>DAVA EMPREENDIMENTOS SERVICOS E COWORKING LTDA (20006)</v>
      </c>
      <c r="H3015" t="s">
        <v>829</v>
      </c>
      <c r="I3015" t="str">
        <f>("23/09/2025")</f>
        <v>23/09/2025</v>
      </c>
      <c r="J3015" t="str">
        <f>("12/09/2025")</f>
        <v>12/09/2025</v>
      </c>
      <c r="K3015">
        <v>45923</v>
      </c>
      <c r="N3015">
        <v>105</v>
      </c>
      <c r="O3015" t="s">
        <v>462</v>
      </c>
      <c r="Q3015">
        <v>105.84</v>
      </c>
      <c r="R3015" t="str">
        <f>"DAVA EMPREENDIMENTOS SERVICOS E COWORKING LTDA (20006)"</f>
        <v>DAVA EMPREENDIMENTOS SERVICOS E COWORKING LTDA (20006)</v>
      </c>
      <c r="S3015" t="s">
        <v>22</v>
      </c>
      <c r="T3015">
        <v>18608</v>
      </c>
      <c r="U3015">
        <v>15153</v>
      </c>
      <c r="V3015" t="s">
        <v>22</v>
      </c>
    </row>
    <row r="3016" spans="1:22">
      <c r="A3016" t="str">
        <f t="shared" si="548"/>
        <v>23/09/2025</v>
      </c>
      <c r="B3016" t="str">
        <f t="shared" si="540"/>
        <v>SAÍDA</v>
      </c>
      <c r="C3016" t="str">
        <f t="shared" ref="C3016:C3047" si="549">"PIX"</f>
        <v>PIX</v>
      </c>
      <c r="D3016" t="str">
        <f>"22443"</f>
        <v>22443</v>
      </c>
      <c r="E3016" t="str">
        <f t="shared" si="543"/>
        <v>1</v>
      </c>
      <c r="F3016" t="str">
        <f t="shared" si="544"/>
        <v>COM</v>
      </c>
      <c r="G3016" t="str">
        <f>"YAN BRENDO CORREIA VIEIRA (861)"</f>
        <v>YAN BRENDO CORREIA VIEIRA (861)</v>
      </c>
      <c r="H3016" t="str">
        <f>"Serv.Prest. 15/09/2025 a 21/09/2025 - PIX: CPF - CHAVE: 096.891.935-97"</f>
        <v>Serv.Prest. 15/09/2025 a 21/09/2025 - PIX: CPF - CHAVE: 096.891.935-97</v>
      </c>
      <c r="I3016" t="str">
        <f>("02/10/2025")</f>
        <v>02/10/2025</v>
      </c>
      <c r="J3016" t="str">
        <f>("23/09/2025")</f>
        <v>23/09/2025</v>
      </c>
      <c r="K3016" t="str">
        <f>("23/09/2025")</f>
        <v>23/09/2025</v>
      </c>
      <c r="L3016">
        <v>150</v>
      </c>
      <c r="M3016">
        <v>150</v>
      </c>
      <c r="N3016">
        <v>109</v>
      </c>
      <c r="O3016" t="str">
        <f>"PAGAMENTO DE ENTREGADORES"</f>
        <v>PAGAMENTO DE ENTREGADORES</v>
      </c>
      <c r="P3016">
        <v>150</v>
      </c>
      <c r="S3016" t="str">
        <f>"BANCO CORA (102)"</f>
        <v>BANCO CORA (102)</v>
      </c>
      <c r="T3016">
        <v>18609</v>
      </c>
      <c r="U3016">
        <v>22475</v>
      </c>
      <c r="V3016" t="s">
        <v>22</v>
      </c>
    </row>
    <row r="3017" spans="1:22">
      <c r="A3017" t="str">
        <f t="shared" si="548"/>
        <v>23/09/2025</v>
      </c>
      <c r="B3017" t="str">
        <f t="shared" si="540"/>
        <v>SAÍDA</v>
      </c>
      <c r="C3017" t="str">
        <f t="shared" si="549"/>
        <v>PIX</v>
      </c>
      <c r="D3017" t="str">
        <f>"22443"</f>
        <v>22443</v>
      </c>
      <c r="E3017" t="str">
        <f t="shared" si="543"/>
        <v>1</v>
      </c>
      <c r="F3017" t="str">
        <f t="shared" si="544"/>
        <v>COM</v>
      </c>
      <c r="G3017" t="str">
        <f>"YAN BRENDO CORREIA VIEIRA (861)"</f>
        <v>YAN BRENDO CORREIA VIEIRA (861)</v>
      </c>
      <c r="H3017" t="s">
        <v>830</v>
      </c>
      <c r="I3017" t="str">
        <f>("02/10/2025")</f>
        <v>02/10/2025</v>
      </c>
      <c r="J3017" t="str">
        <f>("23/09/2025")</f>
        <v>23/09/2025</v>
      </c>
      <c r="K3017">
        <v>45923</v>
      </c>
      <c r="N3017">
        <v>109</v>
      </c>
      <c r="O3017" t="s">
        <v>24</v>
      </c>
      <c r="Q3017">
        <v>150</v>
      </c>
      <c r="R3017" t="str">
        <f>"FARMÁCIA INDIANA LJ 200 (10155)"</f>
        <v>FARMÁCIA INDIANA LJ 200 (10155)</v>
      </c>
      <c r="S3017" t="s">
        <v>22</v>
      </c>
      <c r="T3017">
        <v>18609</v>
      </c>
      <c r="U3017">
        <v>22475</v>
      </c>
      <c r="V3017" t="s">
        <v>22</v>
      </c>
    </row>
    <row r="3018" spans="1:22">
      <c r="A3018" t="str">
        <f t="shared" si="548"/>
        <v>23/09/2025</v>
      </c>
      <c r="B3018" t="str">
        <f t="shared" si="540"/>
        <v>SAÍDA</v>
      </c>
      <c r="C3018" t="str">
        <f t="shared" si="549"/>
        <v>PIX</v>
      </c>
      <c r="D3018" t="str">
        <f>"22272"</f>
        <v>22272</v>
      </c>
      <c r="E3018" t="str">
        <f t="shared" si="543"/>
        <v>1</v>
      </c>
      <c r="F3018" t="str">
        <f t="shared" si="544"/>
        <v>COM</v>
      </c>
      <c r="G3018" t="str">
        <f>"WILLIAM FERREIRA DE OLIVEIRA (900)"</f>
        <v>WILLIAM FERREIRA DE OLIVEIRA (900)</v>
      </c>
      <c r="H3018" t="str">
        <f>"Serv.Prest. 15/09/2025 a 21/09/2025 - PIX: CPF - CHAVE: 106.393.056-10"</f>
        <v>Serv.Prest. 15/09/2025 a 21/09/2025 - PIX: CPF - CHAVE: 106.393.056-10</v>
      </c>
      <c r="I3018" t="str">
        <f t="shared" ref="I3018:I3037" si="550">("23/09/2025")</f>
        <v>23/09/2025</v>
      </c>
      <c r="J3018" t="str">
        <f>("22/09/2025")</f>
        <v>22/09/2025</v>
      </c>
      <c r="K3018" t="str">
        <f>("23/09/2025")</f>
        <v>23/09/2025</v>
      </c>
      <c r="L3018">
        <v>144</v>
      </c>
      <c r="M3018">
        <v>140</v>
      </c>
      <c r="N3018">
        <v>134</v>
      </c>
      <c r="O3018" t="str">
        <f>"DIARIA DE MOTOBOY"</f>
        <v>DIARIA DE MOTOBOY</v>
      </c>
      <c r="P3018">
        <v>140</v>
      </c>
      <c r="S3018" t="str">
        <f>"BANCO CORA (102)"</f>
        <v>BANCO CORA (102)</v>
      </c>
      <c r="T3018">
        <v>18613</v>
      </c>
      <c r="U3018">
        <v>22272</v>
      </c>
      <c r="V3018" t="s">
        <v>22</v>
      </c>
    </row>
    <row r="3019" spans="1:22">
      <c r="A3019" t="str">
        <f t="shared" si="548"/>
        <v>23/09/2025</v>
      </c>
      <c r="B3019" t="str">
        <f t="shared" si="540"/>
        <v>SAÍDA</v>
      </c>
      <c r="C3019" t="str">
        <f t="shared" si="549"/>
        <v>PIX</v>
      </c>
      <c r="D3019" t="str">
        <f>"22272"</f>
        <v>22272</v>
      </c>
      <c r="E3019" t="str">
        <f t="shared" si="543"/>
        <v>1</v>
      </c>
      <c r="F3019" t="str">
        <f t="shared" si="544"/>
        <v>COM</v>
      </c>
      <c r="G3019" t="str">
        <f>"WILLIAM FERREIRA DE OLIVEIRA (900)"</f>
        <v>WILLIAM FERREIRA DE OLIVEIRA (900)</v>
      </c>
      <c r="H3019" t="s">
        <v>831</v>
      </c>
      <c r="I3019" t="str">
        <f t="shared" si="550"/>
        <v>23/09/2025</v>
      </c>
      <c r="J3019" t="str">
        <f>("22/09/2025")</f>
        <v>22/09/2025</v>
      </c>
      <c r="K3019">
        <v>45923</v>
      </c>
      <c r="N3019">
        <v>134</v>
      </c>
      <c r="O3019" t="s">
        <v>41</v>
      </c>
      <c r="Q3019">
        <v>140</v>
      </c>
      <c r="R3019" t="str">
        <f>"PAGMENOS - LJ 657 (10136)"</f>
        <v>PAGMENOS - LJ 657 (10136)</v>
      </c>
      <c r="S3019" t="s">
        <v>22</v>
      </c>
      <c r="T3019">
        <v>18613</v>
      </c>
      <c r="U3019">
        <v>22272</v>
      </c>
      <c r="V3019" t="s">
        <v>22</v>
      </c>
    </row>
    <row r="3020" spans="1:22">
      <c r="A3020" t="str">
        <f t="shared" si="548"/>
        <v>23/09/2025</v>
      </c>
      <c r="B3020" t="str">
        <f t="shared" si="540"/>
        <v>SAÍDA</v>
      </c>
      <c r="C3020" t="str">
        <f t="shared" si="549"/>
        <v>PIX</v>
      </c>
      <c r="D3020" t="str">
        <f>"22336"</f>
        <v>22336</v>
      </c>
      <c r="E3020" t="str">
        <f t="shared" si="543"/>
        <v>1</v>
      </c>
      <c r="F3020" t="str">
        <f t="shared" si="544"/>
        <v>COM</v>
      </c>
      <c r="G3020" t="str">
        <f>"EZEQUIEL MATHEUS SOUSA MAXIMIANO ROSA (931)"</f>
        <v>EZEQUIEL MATHEUS SOUSA MAXIMIANO ROSA (931)</v>
      </c>
      <c r="H3020" t="str">
        <f>"Serv.Prest. 15/09/2025 a 21/09/2025 - PIX: CPF - CHAVE: 141.994.266-20"</f>
        <v>Serv.Prest. 15/09/2025 a 21/09/2025 - PIX: CPF - CHAVE: 141.994.266-20</v>
      </c>
      <c r="I3020" t="str">
        <f t="shared" si="550"/>
        <v>23/09/2025</v>
      </c>
      <c r="J3020" t="str">
        <f>("23/09/2025")</f>
        <v>23/09/2025</v>
      </c>
      <c r="K3020" t="str">
        <f>("23/09/2025")</f>
        <v>23/09/2025</v>
      </c>
      <c r="L3020">
        <v>174</v>
      </c>
      <c r="M3020">
        <v>170</v>
      </c>
      <c r="N3020">
        <v>134</v>
      </c>
      <c r="O3020" t="str">
        <f>"DIARIA DE MOTOBOY"</f>
        <v>DIARIA DE MOTOBOY</v>
      </c>
      <c r="P3020">
        <v>170</v>
      </c>
      <c r="S3020" t="str">
        <f>"BANCO CORA (102)"</f>
        <v>BANCO CORA (102)</v>
      </c>
      <c r="T3020">
        <v>18615</v>
      </c>
      <c r="U3020">
        <v>22336</v>
      </c>
      <c r="V3020" t="s">
        <v>22</v>
      </c>
    </row>
    <row r="3021" spans="1:22">
      <c r="A3021" t="str">
        <f t="shared" si="548"/>
        <v>23/09/2025</v>
      </c>
      <c r="B3021" t="str">
        <f t="shared" si="540"/>
        <v>SAÍDA</v>
      </c>
      <c r="C3021" t="str">
        <f t="shared" si="549"/>
        <v>PIX</v>
      </c>
      <c r="D3021" t="str">
        <f>"22336"</f>
        <v>22336</v>
      </c>
      <c r="E3021" t="str">
        <f t="shared" si="543"/>
        <v>1</v>
      </c>
      <c r="F3021" t="str">
        <f t="shared" si="544"/>
        <v>COM</v>
      </c>
      <c r="G3021" t="str">
        <f>"EZEQUIEL MATHEUS SOUSA MAXIMIANO ROSA (931)"</f>
        <v>EZEQUIEL MATHEUS SOUSA MAXIMIANO ROSA (931)</v>
      </c>
      <c r="H3021" t="s">
        <v>832</v>
      </c>
      <c r="I3021" t="str">
        <f t="shared" si="550"/>
        <v>23/09/2025</v>
      </c>
      <c r="J3021" t="str">
        <f>("23/09/2025")</f>
        <v>23/09/2025</v>
      </c>
      <c r="K3021">
        <v>45923</v>
      </c>
      <c r="N3021">
        <v>134</v>
      </c>
      <c r="O3021" t="s">
        <v>41</v>
      </c>
      <c r="Q3021">
        <v>82.08</v>
      </c>
      <c r="R3021" t="str">
        <f>"FARMÁCIA INDIANA LJ 118 (10052)"</f>
        <v>FARMÁCIA INDIANA LJ 118 (10052)</v>
      </c>
      <c r="S3021" t="s">
        <v>22</v>
      </c>
      <c r="T3021">
        <v>18615</v>
      </c>
      <c r="U3021">
        <v>22336</v>
      </c>
      <c r="V3021" t="s">
        <v>22</v>
      </c>
    </row>
    <row r="3022" spans="1:22">
      <c r="A3022" t="str">
        <f t="shared" si="548"/>
        <v>23/09/2025</v>
      </c>
      <c r="B3022" t="str">
        <f t="shared" si="540"/>
        <v>SAÍDA</v>
      </c>
      <c r="C3022" t="str">
        <f t="shared" si="549"/>
        <v>PIX</v>
      </c>
      <c r="D3022" t="str">
        <f>"22336"</f>
        <v>22336</v>
      </c>
      <c r="E3022" t="str">
        <f t="shared" si="543"/>
        <v>1</v>
      </c>
      <c r="F3022" t="str">
        <f t="shared" si="544"/>
        <v>COM</v>
      </c>
      <c r="G3022" t="str">
        <f>"EZEQUIEL MATHEUS SOUSA MAXIMIANO ROSA (931)"</f>
        <v>EZEQUIEL MATHEUS SOUSA MAXIMIANO ROSA (931)</v>
      </c>
      <c r="H3022" t="s">
        <v>832</v>
      </c>
      <c r="I3022" t="str">
        <f t="shared" si="550"/>
        <v>23/09/2025</v>
      </c>
      <c r="J3022" t="str">
        <f>("23/09/2025")</f>
        <v>23/09/2025</v>
      </c>
      <c r="K3022">
        <v>45923</v>
      </c>
      <c r="N3022">
        <v>134</v>
      </c>
      <c r="O3022" t="s">
        <v>41</v>
      </c>
      <c r="Q3022">
        <v>87.92</v>
      </c>
      <c r="R3022" t="str">
        <f>"FARMÁCIA INDIANA LJ 192 (10082)"</f>
        <v>FARMÁCIA INDIANA LJ 192 (10082)</v>
      </c>
      <c r="S3022" t="s">
        <v>22</v>
      </c>
      <c r="T3022">
        <v>18615</v>
      </c>
      <c r="U3022">
        <v>22336</v>
      </c>
      <c r="V3022" t="s">
        <v>22</v>
      </c>
    </row>
    <row r="3023" spans="1:22">
      <c r="A3023" t="str">
        <f t="shared" si="548"/>
        <v>23/09/2025</v>
      </c>
      <c r="B3023" t="str">
        <f t="shared" si="540"/>
        <v>SAÍDA</v>
      </c>
      <c r="C3023" t="str">
        <f t="shared" si="549"/>
        <v>PIX</v>
      </c>
      <c r="D3023" t="str">
        <f>"22264"</f>
        <v>22264</v>
      </c>
      <c r="E3023" t="str">
        <f t="shared" si="543"/>
        <v>1</v>
      </c>
      <c r="F3023" t="str">
        <f t="shared" si="544"/>
        <v>COM</v>
      </c>
      <c r="G3023" t="str">
        <f>"SAMUEL SOARES DA SILVA (867)"</f>
        <v>SAMUEL SOARES DA SILVA (867)</v>
      </c>
      <c r="H3023" t="str">
        <f>"Serv.Prest. 15/09/2025 a 21/09/2025 - PIX: CPF - CHAVE: 396.124.108-28"</f>
        <v>Serv.Prest. 15/09/2025 a 21/09/2025 - PIX: CPF - CHAVE: 396.124.108-28</v>
      </c>
      <c r="I3023" t="str">
        <f t="shared" si="550"/>
        <v>23/09/2025</v>
      </c>
      <c r="J3023" t="str">
        <f>("22/09/2025")</f>
        <v>22/09/2025</v>
      </c>
      <c r="K3023" t="str">
        <f>("23/09/2025")</f>
        <v>23/09/2025</v>
      </c>
      <c r="L3023">
        <v>140</v>
      </c>
      <c r="M3023">
        <v>140</v>
      </c>
      <c r="N3023">
        <v>109</v>
      </c>
      <c r="O3023" t="str">
        <f>"PAGAMENTO DE ENTREGADORES"</f>
        <v>PAGAMENTO DE ENTREGADORES</v>
      </c>
      <c r="P3023">
        <v>140</v>
      </c>
      <c r="S3023" t="str">
        <f>"BANCO CORA (102)"</f>
        <v>BANCO CORA (102)</v>
      </c>
      <c r="T3023">
        <v>18617</v>
      </c>
      <c r="U3023">
        <v>22446</v>
      </c>
      <c r="V3023" t="s">
        <v>22</v>
      </c>
    </row>
    <row r="3024" spans="1:22">
      <c r="A3024" t="str">
        <f t="shared" si="548"/>
        <v>23/09/2025</v>
      </c>
      <c r="B3024" t="str">
        <f t="shared" si="540"/>
        <v>SAÍDA</v>
      </c>
      <c r="C3024" t="str">
        <f t="shared" si="549"/>
        <v>PIX</v>
      </c>
      <c r="D3024" t="str">
        <f>"22264"</f>
        <v>22264</v>
      </c>
      <c r="E3024" t="str">
        <f t="shared" si="543"/>
        <v>1</v>
      </c>
      <c r="F3024" t="str">
        <f t="shared" si="544"/>
        <v>COM</v>
      </c>
      <c r="G3024" t="str">
        <f>"SAMUEL SOARES DA SILVA (867)"</f>
        <v>SAMUEL SOARES DA SILVA (867)</v>
      </c>
      <c r="H3024" t="s">
        <v>833</v>
      </c>
      <c r="I3024" t="str">
        <f t="shared" si="550"/>
        <v>23/09/2025</v>
      </c>
      <c r="J3024" t="str">
        <f>("22/09/2025")</f>
        <v>22/09/2025</v>
      </c>
      <c r="K3024">
        <v>45923</v>
      </c>
      <c r="N3024">
        <v>109</v>
      </c>
      <c r="O3024" t="s">
        <v>24</v>
      </c>
      <c r="Q3024">
        <v>140</v>
      </c>
      <c r="R3024" t="str">
        <f>"DROGA ELIDA (10121)"</f>
        <v>DROGA ELIDA (10121)</v>
      </c>
      <c r="S3024" t="s">
        <v>22</v>
      </c>
      <c r="T3024">
        <v>18617</v>
      </c>
      <c r="U3024">
        <v>22446</v>
      </c>
      <c r="V3024" t="s">
        <v>22</v>
      </c>
    </row>
    <row r="3025" spans="1:22">
      <c r="A3025" t="str">
        <f t="shared" si="548"/>
        <v>23/09/2025</v>
      </c>
      <c r="B3025" t="str">
        <f t="shared" si="540"/>
        <v>SAÍDA</v>
      </c>
      <c r="C3025" t="str">
        <f t="shared" si="549"/>
        <v>PIX</v>
      </c>
      <c r="D3025" t="str">
        <f>"22389"</f>
        <v>22389</v>
      </c>
      <c r="E3025" t="str">
        <f t="shared" si="543"/>
        <v>1</v>
      </c>
      <c r="F3025" t="str">
        <f t="shared" si="544"/>
        <v>COM</v>
      </c>
      <c r="G3025" t="str">
        <f>"RAFAEL PEDRO MENDES (944)"</f>
        <v>RAFAEL PEDRO MENDES (944)</v>
      </c>
      <c r="H3025" t="str">
        <f>"Serv.Prest. 15/09/2025 a 21/09/2025 - PIX: CELULAR - CHAVE: (31) 99680-9634"</f>
        <v>Serv.Prest. 15/09/2025 a 21/09/2025 - PIX: CELULAR - CHAVE: (31) 99680-9634</v>
      </c>
      <c r="I3025" t="str">
        <f t="shared" si="550"/>
        <v>23/09/2025</v>
      </c>
      <c r="J3025" t="str">
        <f>("23/09/2025")</f>
        <v>23/09/2025</v>
      </c>
      <c r="K3025" t="str">
        <f>("23/09/2025")</f>
        <v>23/09/2025</v>
      </c>
      <c r="L3025">
        <v>440</v>
      </c>
      <c r="M3025">
        <v>440</v>
      </c>
      <c r="N3025">
        <v>134</v>
      </c>
      <c r="O3025" t="str">
        <f>"DIARIA DE MOTOBOY"</f>
        <v>DIARIA DE MOTOBOY</v>
      </c>
      <c r="P3025">
        <v>440</v>
      </c>
      <c r="S3025" t="str">
        <f>"BANCO CORA (102)"</f>
        <v>BANCO CORA (102)</v>
      </c>
      <c r="T3025">
        <v>18619</v>
      </c>
      <c r="U3025">
        <v>22389</v>
      </c>
      <c r="V3025" t="s">
        <v>22</v>
      </c>
    </row>
    <row r="3026" spans="1:22">
      <c r="A3026" t="str">
        <f t="shared" si="548"/>
        <v>23/09/2025</v>
      </c>
      <c r="B3026" t="str">
        <f t="shared" si="540"/>
        <v>SAÍDA</v>
      </c>
      <c r="C3026" t="str">
        <f t="shared" si="549"/>
        <v>PIX</v>
      </c>
      <c r="D3026" t="str">
        <f>"22389"</f>
        <v>22389</v>
      </c>
      <c r="E3026" t="str">
        <f t="shared" si="543"/>
        <v>1</v>
      </c>
      <c r="F3026" t="str">
        <f t="shared" si="544"/>
        <v>COM</v>
      </c>
      <c r="G3026" t="str">
        <f>"RAFAEL PEDRO MENDES (944)"</f>
        <v>RAFAEL PEDRO MENDES (944)</v>
      </c>
      <c r="H3026" t="s">
        <v>816</v>
      </c>
      <c r="I3026" t="str">
        <f t="shared" si="550"/>
        <v>23/09/2025</v>
      </c>
      <c r="J3026" t="str">
        <f>("23/09/2025")</f>
        <v>23/09/2025</v>
      </c>
      <c r="K3026">
        <v>45923</v>
      </c>
      <c r="N3026">
        <v>134</v>
      </c>
      <c r="O3026" t="s">
        <v>41</v>
      </c>
      <c r="Q3026">
        <v>397.01</v>
      </c>
      <c r="R3026" t="str">
        <f>"FARMÁCIA INDIANA LJ 101 (10043)"</f>
        <v>FARMÁCIA INDIANA LJ 101 (10043)</v>
      </c>
      <c r="S3026" t="s">
        <v>22</v>
      </c>
      <c r="T3026">
        <v>18619</v>
      </c>
      <c r="U3026">
        <v>22389</v>
      </c>
      <c r="V3026" t="s">
        <v>22</v>
      </c>
    </row>
    <row r="3027" spans="1:22">
      <c r="A3027" t="str">
        <f t="shared" si="548"/>
        <v>23/09/2025</v>
      </c>
      <c r="B3027" t="str">
        <f t="shared" si="540"/>
        <v>SAÍDA</v>
      </c>
      <c r="C3027" t="str">
        <f t="shared" si="549"/>
        <v>PIX</v>
      </c>
      <c r="D3027" t="str">
        <f>"22389"</f>
        <v>22389</v>
      </c>
      <c r="E3027" t="str">
        <f t="shared" si="543"/>
        <v>1</v>
      </c>
      <c r="F3027" t="str">
        <f t="shared" si="544"/>
        <v>COM</v>
      </c>
      <c r="G3027" t="str">
        <f>"RAFAEL PEDRO MENDES (944)"</f>
        <v>RAFAEL PEDRO MENDES (944)</v>
      </c>
      <c r="H3027" t="s">
        <v>816</v>
      </c>
      <c r="I3027" t="str">
        <f t="shared" si="550"/>
        <v>23/09/2025</v>
      </c>
      <c r="J3027" t="str">
        <f>("23/09/2025")</f>
        <v>23/09/2025</v>
      </c>
      <c r="K3027">
        <v>45923</v>
      </c>
      <c r="N3027">
        <v>134</v>
      </c>
      <c r="O3027" t="s">
        <v>41</v>
      </c>
      <c r="Q3027">
        <v>42.99</v>
      </c>
      <c r="R3027" t="str">
        <f>"FARMÁCIA INDIANA LJ 220 (10092)"</f>
        <v>FARMÁCIA INDIANA LJ 220 (10092)</v>
      </c>
      <c r="S3027" t="s">
        <v>22</v>
      </c>
      <c r="T3027">
        <v>18619</v>
      </c>
      <c r="U3027">
        <v>22389</v>
      </c>
      <c r="V3027" t="s">
        <v>22</v>
      </c>
    </row>
    <row r="3028" spans="1:22">
      <c r="A3028" t="str">
        <f t="shared" si="548"/>
        <v>23/09/2025</v>
      </c>
      <c r="B3028" t="str">
        <f t="shared" si="540"/>
        <v>SAÍDA</v>
      </c>
      <c r="C3028" t="str">
        <f t="shared" si="549"/>
        <v>PIX</v>
      </c>
      <c r="D3028" t="str">
        <f>"22238"</f>
        <v>22238</v>
      </c>
      <c r="E3028" t="str">
        <f t="shared" si="543"/>
        <v>1</v>
      </c>
      <c r="F3028" t="str">
        <f t="shared" si="544"/>
        <v>COM</v>
      </c>
      <c r="G3028" t="str">
        <f>"SIMAO DOS SANTOS MEIRA (896)"</f>
        <v>SIMAO DOS SANTOS MEIRA (896)</v>
      </c>
      <c r="H3028" t="str">
        <f>"Serv.Prest. 15/09/2025 a 21/09/2025 - PIX: CNPJ - CHAVE: 49.607.413/0001-28"</f>
        <v>Serv.Prest. 15/09/2025 a 21/09/2025 - PIX: CNPJ - CHAVE: 49.607.413/0001-28</v>
      </c>
      <c r="I3028" t="str">
        <f t="shared" si="550"/>
        <v>23/09/2025</v>
      </c>
      <c r="J3028" t="str">
        <f>("22/09/2025")</f>
        <v>22/09/2025</v>
      </c>
      <c r="K3028" t="str">
        <f>("23/09/2025")</f>
        <v>23/09/2025</v>
      </c>
      <c r="L3028">
        <v>300</v>
      </c>
      <c r="M3028">
        <v>300</v>
      </c>
      <c r="N3028">
        <v>134</v>
      </c>
      <c r="O3028" t="str">
        <f>"DIARIA DE MOTOBOY"</f>
        <v>DIARIA DE MOTOBOY</v>
      </c>
      <c r="P3028">
        <v>300</v>
      </c>
      <c r="S3028" t="str">
        <f>"BANCO CORA (102)"</f>
        <v>BANCO CORA (102)</v>
      </c>
      <c r="T3028">
        <v>18620</v>
      </c>
      <c r="U3028">
        <v>22238</v>
      </c>
      <c r="V3028" t="s">
        <v>22</v>
      </c>
    </row>
    <row r="3029" spans="1:22">
      <c r="A3029" t="str">
        <f t="shared" si="548"/>
        <v>23/09/2025</v>
      </c>
      <c r="B3029" t="str">
        <f t="shared" ref="B3029:B3047" si="551">"SAÍDA"</f>
        <v>SAÍDA</v>
      </c>
      <c r="C3029" t="str">
        <f t="shared" si="549"/>
        <v>PIX</v>
      </c>
      <c r="D3029" t="str">
        <f>"22238"</f>
        <v>22238</v>
      </c>
      <c r="E3029" t="str">
        <f t="shared" si="543"/>
        <v>1</v>
      </c>
      <c r="F3029" t="str">
        <f t="shared" si="544"/>
        <v>COM</v>
      </c>
      <c r="G3029" t="str">
        <f>"SIMAO DOS SANTOS MEIRA (896)"</f>
        <v>SIMAO DOS SANTOS MEIRA (896)</v>
      </c>
      <c r="H3029" t="s">
        <v>817</v>
      </c>
      <c r="I3029" t="str">
        <f t="shared" si="550"/>
        <v>23/09/2025</v>
      </c>
      <c r="J3029" t="str">
        <f>("22/09/2025")</f>
        <v>22/09/2025</v>
      </c>
      <c r="K3029">
        <v>45923</v>
      </c>
      <c r="N3029">
        <v>134</v>
      </c>
      <c r="O3029" t="s">
        <v>41</v>
      </c>
      <c r="Q3029">
        <v>300</v>
      </c>
      <c r="R3029" t="str">
        <f>"BRASIL FARMA (10173)"</f>
        <v>BRASIL FARMA (10173)</v>
      </c>
      <c r="S3029" t="s">
        <v>22</v>
      </c>
      <c r="T3029">
        <v>18620</v>
      </c>
      <c r="U3029">
        <v>22238</v>
      </c>
      <c r="V3029" t="s">
        <v>22</v>
      </c>
    </row>
    <row r="3030" spans="1:22">
      <c r="A3030" t="str">
        <f t="shared" si="548"/>
        <v>23/09/2025</v>
      </c>
      <c r="B3030" t="str">
        <f t="shared" si="551"/>
        <v>SAÍDA</v>
      </c>
      <c r="C3030" t="str">
        <f t="shared" si="549"/>
        <v>PIX</v>
      </c>
      <c r="D3030" t="str">
        <f>"22355"</f>
        <v>22355</v>
      </c>
      <c r="E3030" t="str">
        <f t="shared" ref="E3030:E3047" si="552">"1"</f>
        <v>1</v>
      </c>
      <c r="F3030" t="str">
        <f t="shared" ref="F3030:F3047" si="553">"COM"</f>
        <v>COM</v>
      </c>
      <c r="G3030" t="str">
        <f>"JOSE ERIC SILVA MACENA (854)"</f>
        <v>JOSE ERIC SILVA MACENA (854)</v>
      </c>
      <c r="H3030" t="str">
        <f>"Serv.Prest. 15/09/2025 a 21/09/2025 - PIX: E-MAIL - CHAVE: ericsilva8marcena@gmail.com"</f>
        <v>Serv.Prest. 15/09/2025 a 21/09/2025 - PIX: E-MAIL - CHAVE: ericsilva8marcena@gmail.com</v>
      </c>
      <c r="I3030" t="str">
        <f t="shared" si="550"/>
        <v>23/09/2025</v>
      </c>
      <c r="J3030" t="str">
        <f>("23/09/2025")</f>
        <v>23/09/2025</v>
      </c>
      <c r="K3030" t="str">
        <f>("23/09/2025")</f>
        <v>23/09/2025</v>
      </c>
      <c r="L3030">
        <v>180</v>
      </c>
      <c r="M3030">
        <v>180</v>
      </c>
      <c r="N3030">
        <v>134</v>
      </c>
      <c r="O3030" t="str">
        <f>"DIARIA DE MOTOBOY"</f>
        <v>DIARIA DE MOTOBOY</v>
      </c>
      <c r="P3030">
        <v>180</v>
      </c>
      <c r="S3030" t="str">
        <f>"BANCO CORA (102)"</f>
        <v>BANCO CORA (102)</v>
      </c>
      <c r="T3030">
        <v>18621</v>
      </c>
      <c r="U3030">
        <v>22355</v>
      </c>
      <c r="V3030" t="s">
        <v>22</v>
      </c>
    </row>
    <row r="3031" spans="1:22">
      <c r="A3031" t="str">
        <f t="shared" si="548"/>
        <v>23/09/2025</v>
      </c>
      <c r="B3031" t="str">
        <f t="shared" si="551"/>
        <v>SAÍDA</v>
      </c>
      <c r="C3031" t="str">
        <f t="shared" si="549"/>
        <v>PIX</v>
      </c>
      <c r="D3031" t="str">
        <f>"22355"</f>
        <v>22355</v>
      </c>
      <c r="E3031" t="str">
        <f t="shared" si="552"/>
        <v>1</v>
      </c>
      <c r="F3031" t="str">
        <f t="shared" si="553"/>
        <v>COM</v>
      </c>
      <c r="G3031" t="str">
        <f>"JOSE ERIC SILVA MACENA (854)"</f>
        <v>JOSE ERIC SILVA MACENA (854)</v>
      </c>
      <c r="H3031" t="s">
        <v>834</v>
      </c>
      <c r="I3031" t="str">
        <f t="shared" si="550"/>
        <v>23/09/2025</v>
      </c>
      <c r="J3031" t="str">
        <f>("23/09/2025")</f>
        <v>23/09/2025</v>
      </c>
      <c r="K3031">
        <v>45923</v>
      </c>
      <c r="N3031">
        <v>134</v>
      </c>
      <c r="O3031" t="s">
        <v>41</v>
      </c>
      <c r="Q3031">
        <v>180</v>
      </c>
      <c r="R3031" t="str">
        <f>"FARMÁCIA INDIANA LJ 101 (10043)"</f>
        <v>FARMÁCIA INDIANA LJ 101 (10043)</v>
      </c>
      <c r="S3031" t="s">
        <v>22</v>
      </c>
      <c r="T3031">
        <v>18621</v>
      </c>
      <c r="U3031">
        <v>22355</v>
      </c>
      <c r="V3031" t="s">
        <v>22</v>
      </c>
    </row>
    <row r="3032" spans="1:22">
      <c r="A3032" t="str">
        <f t="shared" si="548"/>
        <v>23/09/2025</v>
      </c>
      <c r="B3032" t="str">
        <f t="shared" si="551"/>
        <v>SAÍDA</v>
      </c>
      <c r="C3032" t="str">
        <f t="shared" si="549"/>
        <v>PIX</v>
      </c>
      <c r="D3032" t="str">
        <f>"22359"</f>
        <v>22359</v>
      </c>
      <c r="E3032" t="str">
        <f t="shared" si="552"/>
        <v>1</v>
      </c>
      <c r="F3032" t="str">
        <f t="shared" si="553"/>
        <v>COM</v>
      </c>
      <c r="G3032" t="str">
        <f>"JUSSARA CRISTINA FARIA (783)"</f>
        <v>JUSSARA CRISTINA FARIA (783)</v>
      </c>
      <c r="H3032" t="str">
        <f>"Serv.Prest. 15/09/2025 a 21/09/2025 - PIX: CELULAR - CHAVE: (31) 99373-5678"</f>
        <v>Serv.Prest. 15/09/2025 a 21/09/2025 - PIX: CELULAR - CHAVE: (31) 99373-5678</v>
      </c>
      <c r="I3032" t="str">
        <f t="shared" si="550"/>
        <v>23/09/2025</v>
      </c>
      <c r="J3032" t="str">
        <f>("23/09/2025")</f>
        <v>23/09/2025</v>
      </c>
      <c r="K3032" t="str">
        <f>("23/09/2025")</f>
        <v>23/09/2025</v>
      </c>
      <c r="L3032">
        <v>450</v>
      </c>
      <c r="M3032">
        <v>450</v>
      </c>
      <c r="N3032">
        <v>134</v>
      </c>
      <c r="O3032" t="str">
        <f>"DIARIA DE MOTOBOY"</f>
        <v>DIARIA DE MOTOBOY</v>
      </c>
      <c r="P3032">
        <v>450</v>
      </c>
      <c r="S3032" t="str">
        <f>"BANCO CORA (102)"</f>
        <v>BANCO CORA (102)</v>
      </c>
      <c r="T3032">
        <v>18624</v>
      </c>
      <c r="U3032">
        <v>22359</v>
      </c>
      <c r="V3032" t="s">
        <v>22</v>
      </c>
    </row>
    <row r="3033" spans="1:22">
      <c r="A3033" t="str">
        <f t="shared" si="548"/>
        <v>23/09/2025</v>
      </c>
      <c r="B3033" t="str">
        <f t="shared" si="551"/>
        <v>SAÍDA</v>
      </c>
      <c r="C3033" t="str">
        <f t="shared" si="549"/>
        <v>PIX</v>
      </c>
      <c r="D3033" t="str">
        <f>"22359"</f>
        <v>22359</v>
      </c>
      <c r="E3033" t="str">
        <f t="shared" si="552"/>
        <v>1</v>
      </c>
      <c r="F3033" t="str">
        <f t="shared" si="553"/>
        <v>COM</v>
      </c>
      <c r="G3033" t="str">
        <f>"JUSSARA CRISTINA FARIA (783)"</f>
        <v>JUSSARA CRISTINA FARIA (783)</v>
      </c>
      <c r="H3033" t="s">
        <v>835</v>
      </c>
      <c r="I3033" t="str">
        <f t="shared" si="550"/>
        <v>23/09/2025</v>
      </c>
      <c r="J3033" t="str">
        <f>("23/09/2025")</f>
        <v>23/09/2025</v>
      </c>
      <c r="K3033">
        <v>45923</v>
      </c>
      <c r="N3033">
        <v>134</v>
      </c>
      <c r="O3033" t="s">
        <v>41</v>
      </c>
      <c r="Q3033">
        <v>450</v>
      </c>
      <c r="R3033" t="str">
        <f>"FARMÁCIA INDIANA LJ 110 (10048)"</f>
        <v>FARMÁCIA INDIANA LJ 110 (10048)</v>
      </c>
      <c r="S3033" t="s">
        <v>22</v>
      </c>
      <c r="T3033">
        <v>18624</v>
      </c>
      <c r="U3033">
        <v>22359</v>
      </c>
      <c r="V3033" t="s">
        <v>22</v>
      </c>
    </row>
    <row r="3034" spans="1:22">
      <c r="A3034" t="str">
        <f t="shared" si="548"/>
        <v>23/09/2025</v>
      </c>
      <c r="B3034" t="str">
        <f t="shared" si="551"/>
        <v>SAÍDA</v>
      </c>
      <c r="C3034" t="str">
        <f t="shared" si="549"/>
        <v>PIX</v>
      </c>
      <c r="D3034" t="str">
        <f>"22279"</f>
        <v>22279</v>
      </c>
      <c r="E3034" t="str">
        <f t="shared" si="552"/>
        <v>1</v>
      </c>
      <c r="F3034" t="str">
        <f t="shared" si="553"/>
        <v>COM</v>
      </c>
      <c r="G3034" t="str">
        <f>"JOEL ARAGAO SALES (864)"</f>
        <v>JOEL ARAGAO SALES (864)</v>
      </c>
      <c r="H3034" t="str">
        <f>"Serv.Prest. 15/09/2025 a 21/09/2025 - PIX: CPF - CHAVE: 052.353.883-99"</f>
        <v>Serv.Prest. 15/09/2025 a 21/09/2025 - PIX: CPF - CHAVE: 052.353.883-99</v>
      </c>
      <c r="I3034" t="str">
        <f t="shared" si="550"/>
        <v>23/09/2025</v>
      </c>
      <c r="J3034" t="str">
        <f>("22/09/2025")</f>
        <v>22/09/2025</v>
      </c>
      <c r="K3034" t="str">
        <f>("23/09/2025")</f>
        <v>23/09/2025</v>
      </c>
      <c r="L3034">
        <v>133</v>
      </c>
      <c r="M3034">
        <v>130</v>
      </c>
      <c r="N3034">
        <v>134</v>
      </c>
      <c r="O3034" t="str">
        <f>"DIARIA DE MOTOBOY"</f>
        <v>DIARIA DE MOTOBOY</v>
      </c>
      <c r="P3034">
        <v>130</v>
      </c>
      <c r="S3034" t="str">
        <f>"BANCO CORA (102)"</f>
        <v>BANCO CORA (102)</v>
      </c>
      <c r="T3034">
        <v>18625</v>
      </c>
      <c r="U3034">
        <v>22279</v>
      </c>
      <c r="V3034" t="s">
        <v>22</v>
      </c>
    </row>
    <row r="3035" spans="1:22">
      <c r="A3035" t="str">
        <f t="shared" si="548"/>
        <v>23/09/2025</v>
      </c>
      <c r="B3035" t="str">
        <f t="shared" si="551"/>
        <v>SAÍDA</v>
      </c>
      <c r="C3035" t="str">
        <f t="shared" si="549"/>
        <v>PIX</v>
      </c>
      <c r="D3035" t="str">
        <f>"22279"</f>
        <v>22279</v>
      </c>
      <c r="E3035" t="str">
        <f t="shared" si="552"/>
        <v>1</v>
      </c>
      <c r="F3035" t="str">
        <f t="shared" si="553"/>
        <v>COM</v>
      </c>
      <c r="G3035" t="str">
        <f>"JOEL ARAGAO SALES (864)"</f>
        <v>JOEL ARAGAO SALES (864)</v>
      </c>
      <c r="H3035" t="s">
        <v>836</v>
      </c>
      <c r="I3035" t="str">
        <f t="shared" si="550"/>
        <v>23/09/2025</v>
      </c>
      <c r="J3035" t="str">
        <f>("22/09/2025")</f>
        <v>22/09/2025</v>
      </c>
      <c r="K3035">
        <v>45923</v>
      </c>
      <c r="N3035">
        <v>134</v>
      </c>
      <c r="O3035" t="s">
        <v>41</v>
      </c>
      <c r="Q3035">
        <v>130</v>
      </c>
      <c r="R3035" t="str">
        <f>"DROGARIA MEDIC CENTER LTDA (10172)"</f>
        <v>DROGARIA MEDIC CENTER LTDA (10172)</v>
      </c>
      <c r="S3035" t="s">
        <v>22</v>
      </c>
      <c r="T3035">
        <v>18625</v>
      </c>
      <c r="U3035">
        <v>22279</v>
      </c>
      <c r="V3035" t="s">
        <v>22</v>
      </c>
    </row>
    <row r="3036" spans="1:22">
      <c r="A3036" t="str">
        <f t="shared" si="548"/>
        <v>23/09/2025</v>
      </c>
      <c r="B3036" t="str">
        <f t="shared" si="551"/>
        <v>SAÍDA</v>
      </c>
      <c r="C3036" t="str">
        <f t="shared" si="549"/>
        <v>PIX</v>
      </c>
      <c r="D3036" t="str">
        <f>"22254"</f>
        <v>22254</v>
      </c>
      <c r="E3036" t="str">
        <f t="shared" si="552"/>
        <v>1</v>
      </c>
      <c r="F3036" t="str">
        <f t="shared" si="553"/>
        <v>COM</v>
      </c>
      <c r="G3036" t="str">
        <f>"JOEL ARAGAO SALES (864)"</f>
        <v>JOEL ARAGAO SALES (864)</v>
      </c>
      <c r="H3036" t="str">
        <f>"Serv.Prest. 15/09/2025 a 21/09/2025 - PIX: CPF - CHAVE: 052.353.883-99"</f>
        <v>Serv.Prest. 15/09/2025 a 21/09/2025 - PIX: CPF - CHAVE: 052.353.883-99</v>
      </c>
      <c r="I3036" t="str">
        <f t="shared" si="550"/>
        <v>23/09/2025</v>
      </c>
      <c r="J3036" t="str">
        <f>("22/09/2025")</f>
        <v>22/09/2025</v>
      </c>
      <c r="K3036" t="str">
        <f>("23/09/2025")</f>
        <v>23/09/2025</v>
      </c>
      <c r="L3036">
        <v>133</v>
      </c>
      <c r="M3036">
        <v>130</v>
      </c>
      <c r="N3036">
        <v>134</v>
      </c>
      <c r="O3036" t="str">
        <f>"DIARIA DE MOTOBOY"</f>
        <v>DIARIA DE MOTOBOY</v>
      </c>
      <c r="P3036">
        <v>130</v>
      </c>
      <c r="S3036" t="str">
        <f>"BANCO CORA (102)"</f>
        <v>BANCO CORA (102)</v>
      </c>
      <c r="T3036">
        <v>18626</v>
      </c>
      <c r="U3036">
        <v>22254</v>
      </c>
      <c r="V3036" t="s">
        <v>22</v>
      </c>
    </row>
    <row r="3037" spans="1:22">
      <c r="A3037" t="str">
        <f t="shared" si="548"/>
        <v>23/09/2025</v>
      </c>
      <c r="B3037" t="str">
        <f t="shared" si="551"/>
        <v>SAÍDA</v>
      </c>
      <c r="C3037" t="str">
        <f t="shared" si="549"/>
        <v>PIX</v>
      </c>
      <c r="D3037" t="str">
        <f>"22254"</f>
        <v>22254</v>
      </c>
      <c r="E3037" t="str">
        <f t="shared" si="552"/>
        <v>1</v>
      </c>
      <c r="F3037" t="str">
        <f t="shared" si="553"/>
        <v>COM</v>
      </c>
      <c r="G3037" t="str">
        <f>"JOEL ARAGAO SALES (864)"</f>
        <v>JOEL ARAGAO SALES (864)</v>
      </c>
      <c r="H3037" t="s">
        <v>836</v>
      </c>
      <c r="I3037" t="str">
        <f t="shared" si="550"/>
        <v>23/09/2025</v>
      </c>
      <c r="J3037" t="str">
        <f>("22/09/2025")</f>
        <v>22/09/2025</v>
      </c>
      <c r="K3037">
        <v>45923</v>
      </c>
      <c r="N3037">
        <v>134</v>
      </c>
      <c r="O3037" t="s">
        <v>41</v>
      </c>
      <c r="Q3037">
        <v>130</v>
      </c>
      <c r="R3037" t="str">
        <f>"DROGARIA TOTAL JUNDIAI (10177)"</f>
        <v>DROGARIA TOTAL JUNDIAI (10177)</v>
      </c>
      <c r="S3037" t="s">
        <v>22</v>
      </c>
      <c r="T3037">
        <v>18626</v>
      </c>
      <c r="U3037">
        <v>22254</v>
      </c>
      <c r="V3037" t="s">
        <v>22</v>
      </c>
    </row>
    <row r="3038" spans="1:22">
      <c r="A3038" t="str">
        <f t="shared" si="548"/>
        <v>23/09/2025</v>
      </c>
      <c r="B3038" t="str">
        <f t="shared" si="551"/>
        <v>SAÍDA</v>
      </c>
      <c r="C3038" t="str">
        <f t="shared" si="549"/>
        <v>PIX</v>
      </c>
      <c r="D3038" t="str">
        <f>"22466"</f>
        <v>22466</v>
      </c>
      <c r="E3038" t="str">
        <f t="shared" si="552"/>
        <v>1</v>
      </c>
      <c r="F3038" t="str">
        <f t="shared" si="553"/>
        <v>COM</v>
      </c>
      <c r="G3038" t="str">
        <f>"SAMMY TOMAS HAMDAN (950)"</f>
        <v>SAMMY TOMAS HAMDAN (950)</v>
      </c>
      <c r="H3038" t="str">
        <f>"Serv.Prest. 15/09/2025 a 21/09/2025 - PIX: CPF - CHAVE: 133.055.616-02"</f>
        <v>Serv.Prest. 15/09/2025 a 21/09/2025 - PIX: CPF - CHAVE: 133.055.616-02</v>
      </c>
      <c r="I3038" t="str">
        <f>("25/09/2025")</f>
        <v>25/09/2025</v>
      </c>
      <c r="J3038" t="str">
        <f>("23/09/2025")</f>
        <v>23/09/2025</v>
      </c>
      <c r="K3038" t="str">
        <f>("23/09/2025")</f>
        <v>23/09/2025</v>
      </c>
      <c r="L3038">
        <v>240</v>
      </c>
      <c r="M3038">
        <v>240</v>
      </c>
      <c r="N3038">
        <v>109</v>
      </c>
      <c r="O3038" t="str">
        <f>"PAGAMENTO DE ENTREGADORES"</f>
        <v>PAGAMENTO DE ENTREGADORES</v>
      </c>
      <c r="P3038">
        <v>240</v>
      </c>
      <c r="S3038" t="str">
        <f>"BANCO CORA (102)"</f>
        <v>BANCO CORA (102)</v>
      </c>
      <c r="T3038">
        <v>18627</v>
      </c>
      <c r="U3038">
        <v>22481</v>
      </c>
      <c r="V3038" t="s">
        <v>22</v>
      </c>
    </row>
    <row r="3039" spans="1:22">
      <c r="A3039" t="str">
        <f t="shared" si="548"/>
        <v>23/09/2025</v>
      </c>
      <c r="B3039" t="str">
        <f t="shared" si="551"/>
        <v>SAÍDA</v>
      </c>
      <c r="C3039" t="str">
        <f t="shared" si="549"/>
        <v>PIX</v>
      </c>
      <c r="D3039" t="str">
        <f>"22466"</f>
        <v>22466</v>
      </c>
      <c r="E3039" t="str">
        <f t="shared" si="552"/>
        <v>1</v>
      </c>
      <c r="F3039" t="str">
        <f t="shared" si="553"/>
        <v>COM</v>
      </c>
      <c r="G3039" t="str">
        <f>"SAMMY TOMAS HAMDAN (950)"</f>
        <v>SAMMY TOMAS HAMDAN (950)</v>
      </c>
      <c r="H3039" t="s">
        <v>837</v>
      </c>
      <c r="I3039" t="str">
        <f>("25/09/2025")</f>
        <v>25/09/2025</v>
      </c>
      <c r="J3039" t="str">
        <f>("23/09/2025")</f>
        <v>23/09/2025</v>
      </c>
      <c r="K3039">
        <v>45923</v>
      </c>
      <c r="N3039">
        <v>109</v>
      </c>
      <c r="O3039" t="s">
        <v>24</v>
      </c>
      <c r="Q3039">
        <v>240</v>
      </c>
      <c r="R3039" t="str">
        <f>"DROGA HONDA (10149)"</f>
        <v>DROGA HONDA (10149)</v>
      </c>
      <c r="S3039" t="s">
        <v>22</v>
      </c>
      <c r="T3039">
        <v>18627</v>
      </c>
      <c r="U3039">
        <v>22481</v>
      </c>
      <c r="V3039" t="s">
        <v>22</v>
      </c>
    </row>
    <row r="3040" spans="1:22">
      <c r="A3040" t="str">
        <f t="shared" si="548"/>
        <v>23/09/2025</v>
      </c>
      <c r="B3040" t="str">
        <f t="shared" si="551"/>
        <v>SAÍDA</v>
      </c>
      <c r="C3040" t="str">
        <f t="shared" si="549"/>
        <v>PIX</v>
      </c>
      <c r="D3040" t="str">
        <f>"22298"</f>
        <v>22298</v>
      </c>
      <c r="E3040" t="str">
        <f t="shared" si="552"/>
        <v>1</v>
      </c>
      <c r="F3040" t="str">
        <f t="shared" si="553"/>
        <v>COM</v>
      </c>
      <c r="G3040" t="str">
        <f>"BRENO HENRIQUE DE SOUSA (596)"</f>
        <v>BRENO HENRIQUE DE SOUSA (596)</v>
      </c>
      <c r="H3040" t="str">
        <f>"Serv.Prest. 15/09/2025 a 21/09/2025 - PIX: CELULAR - CHAVE: (37) 99146-2630"</f>
        <v>Serv.Prest. 15/09/2025 a 21/09/2025 - PIX: CELULAR - CHAVE: (37) 99146-2630</v>
      </c>
      <c r="I3040" t="str">
        <f>("23/09/2025")</f>
        <v>23/09/2025</v>
      </c>
      <c r="J3040" t="str">
        <f>("22/09/2025")</f>
        <v>22/09/2025</v>
      </c>
      <c r="K3040" t="str">
        <f>("23/09/2025")</f>
        <v>23/09/2025</v>
      </c>
      <c r="L3040">
        <v>150</v>
      </c>
      <c r="M3040">
        <v>150</v>
      </c>
      <c r="N3040">
        <v>109</v>
      </c>
      <c r="O3040" t="str">
        <f>"PAGAMENTO DE ENTREGADORES"</f>
        <v>PAGAMENTO DE ENTREGADORES</v>
      </c>
      <c r="P3040">
        <v>150</v>
      </c>
      <c r="S3040" t="str">
        <f>"BANCO CORA (102)"</f>
        <v>BANCO CORA (102)</v>
      </c>
      <c r="T3040">
        <v>18643</v>
      </c>
      <c r="U3040">
        <v>22451</v>
      </c>
      <c r="V3040" t="s">
        <v>22</v>
      </c>
    </row>
    <row r="3041" spans="1:22">
      <c r="A3041" t="str">
        <f t="shared" si="548"/>
        <v>23/09/2025</v>
      </c>
      <c r="B3041" t="str">
        <f t="shared" si="551"/>
        <v>SAÍDA</v>
      </c>
      <c r="C3041" t="str">
        <f t="shared" si="549"/>
        <v>PIX</v>
      </c>
      <c r="D3041" t="str">
        <f>"22298"</f>
        <v>22298</v>
      </c>
      <c r="E3041" t="str">
        <f t="shared" si="552"/>
        <v>1</v>
      </c>
      <c r="F3041" t="str">
        <f t="shared" si="553"/>
        <v>COM</v>
      </c>
      <c r="G3041" t="str">
        <f>"BRENO HENRIQUE DE SOUSA (596)"</f>
        <v>BRENO HENRIQUE DE SOUSA (596)</v>
      </c>
      <c r="H3041" t="s">
        <v>838</v>
      </c>
      <c r="I3041" t="str">
        <f>("23/09/2025")</f>
        <v>23/09/2025</v>
      </c>
      <c r="J3041" t="str">
        <f>("22/09/2025")</f>
        <v>22/09/2025</v>
      </c>
      <c r="K3041">
        <v>45923</v>
      </c>
      <c r="N3041">
        <v>109</v>
      </c>
      <c r="O3041" t="s">
        <v>24</v>
      </c>
      <c r="Q3041">
        <v>150</v>
      </c>
      <c r="R3041" t="str">
        <f>"DROGARIA POUPA MINAS (ULTRAMINAS) 1 (10181)"</f>
        <v>DROGARIA POUPA MINAS (ULTRAMINAS) 1 (10181)</v>
      </c>
      <c r="S3041" t="s">
        <v>22</v>
      </c>
      <c r="T3041">
        <v>18643</v>
      </c>
      <c r="U3041">
        <v>22451</v>
      </c>
      <c r="V3041" t="s">
        <v>22</v>
      </c>
    </row>
    <row r="3042" spans="1:22">
      <c r="A3042" t="str">
        <f t="shared" si="548"/>
        <v>23/09/2025</v>
      </c>
      <c r="B3042" t="str">
        <f t="shared" si="551"/>
        <v>SAÍDA</v>
      </c>
      <c r="C3042" t="str">
        <f t="shared" si="549"/>
        <v>PIX</v>
      </c>
      <c r="D3042" t="str">
        <f>"22703"</f>
        <v>22703</v>
      </c>
      <c r="E3042" t="str">
        <f t="shared" si="552"/>
        <v>1</v>
      </c>
      <c r="F3042" t="str">
        <f t="shared" si="553"/>
        <v>COM</v>
      </c>
      <c r="G3042" t="str">
        <f>"JAMERSON SOUZA LOPES (749)"</f>
        <v>JAMERSON SOUZA LOPES (749)</v>
      </c>
      <c r="H3042" t="str">
        <f>"Serv.Prest. 22/09/2025 a 28/09/2025 - PIX: CPF - CHAVE: 423.098.018-36"</f>
        <v>Serv.Prest. 22/09/2025 a 28/09/2025 - PIX: CPF - CHAVE: 423.098.018-36</v>
      </c>
      <c r="I3042" t="str">
        <f>("02/10/2025")</f>
        <v>02/10/2025</v>
      </c>
      <c r="J3042" t="str">
        <f>("29/09/2025")</f>
        <v>29/09/2025</v>
      </c>
      <c r="K3042" t="str">
        <f>("23/09/2025")</f>
        <v>23/09/2025</v>
      </c>
      <c r="L3042">
        <v>161</v>
      </c>
      <c r="M3042">
        <v>161</v>
      </c>
      <c r="N3042">
        <v>109</v>
      </c>
      <c r="O3042" t="str">
        <f>"PAGAMENTO DE ENTREGADORES"</f>
        <v>PAGAMENTO DE ENTREGADORES</v>
      </c>
      <c r="P3042">
        <v>161</v>
      </c>
      <c r="S3042" t="str">
        <f>"BANCO CORA (102)"</f>
        <v>BANCO CORA (102)</v>
      </c>
      <c r="T3042">
        <v>18869</v>
      </c>
      <c r="U3042">
        <v>22703</v>
      </c>
      <c r="V3042" t="s">
        <v>22</v>
      </c>
    </row>
    <row r="3043" spans="1:22">
      <c r="A3043" t="str">
        <f t="shared" si="548"/>
        <v>23/09/2025</v>
      </c>
      <c r="B3043" t="str">
        <f t="shared" si="551"/>
        <v>SAÍDA</v>
      </c>
      <c r="C3043" t="str">
        <f t="shared" si="549"/>
        <v>PIX</v>
      </c>
      <c r="D3043" t="str">
        <f>"22703"</f>
        <v>22703</v>
      </c>
      <c r="E3043" t="str">
        <f t="shared" si="552"/>
        <v>1</v>
      </c>
      <c r="F3043" t="str">
        <f t="shared" si="553"/>
        <v>COM</v>
      </c>
      <c r="G3043" t="str">
        <f>"JAMERSON SOUZA LOPES (749)"</f>
        <v>JAMERSON SOUZA LOPES (749)</v>
      </c>
      <c r="H3043" t="s">
        <v>839</v>
      </c>
      <c r="I3043" t="str">
        <f>("02/10/2025")</f>
        <v>02/10/2025</v>
      </c>
      <c r="J3043" t="str">
        <f>("29/09/2025")</f>
        <v>29/09/2025</v>
      </c>
      <c r="K3043">
        <v>45923</v>
      </c>
      <c r="N3043">
        <v>109</v>
      </c>
      <c r="O3043" t="s">
        <v>24</v>
      </c>
      <c r="Q3043">
        <v>161</v>
      </c>
      <c r="R3043" t="str">
        <f>"DROGARIA MEDIC CENTER LTDA (10172)"</f>
        <v>DROGARIA MEDIC CENTER LTDA (10172)</v>
      </c>
      <c r="S3043" t="s">
        <v>22</v>
      </c>
      <c r="T3043">
        <v>18869</v>
      </c>
      <c r="U3043">
        <v>22703</v>
      </c>
      <c r="V3043" t="s">
        <v>22</v>
      </c>
    </row>
    <row r="3044" spans="1:22">
      <c r="A3044" t="str">
        <f t="shared" si="548"/>
        <v>23/09/2025</v>
      </c>
      <c r="B3044" t="str">
        <f t="shared" si="551"/>
        <v>SAÍDA</v>
      </c>
      <c r="C3044" t="str">
        <f t="shared" si="549"/>
        <v>PIX</v>
      </c>
      <c r="D3044" t="str">
        <f>"22708"</f>
        <v>22708</v>
      </c>
      <c r="E3044" t="str">
        <f t="shared" si="552"/>
        <v>1</v>
      </c>
      <c r="F3044" t="str">
        <f t="shared" si="553"/>
        <v>COM</v>
      </c>
      <c r="G3044" t="str">
        <f>"JAIRO MACHADO CAMPELO (956)"</f>
        <v>JAIRO MACHADO CAMPELO (956)</v>
      </c>
      <c r="H3044" t="str">
        <f>"Serv.Prest. 22/09/2025 a 28/09/2025 - PIX: E-MAIL - CHAVE: jairomachadocampelo@gmail.com"</f>
        <v>Serv.Prest. 22/09/2025 a 28/09/2025 - PIX: E-MAIL - CHAVE: jairomachadocampelo@gmail.com</v>
      </c>
      <c r="I3044" t="str">
        <f>("02/10/2025")</f>
        <v>02/10/2025</v>
      </c>
      <c r="J3044" t="str">
        <f>("29/09/2025")</f>
        <v>29/09/2025</v>
      </c>
      <c r="K3044" t="str">
        <f>("23/09/2025")</f>
        <v>23/09/2025</v>
      </c>
      <c r="L3044">
        <v>133</v>
      </c>
      <c r="M3044">
        <v>130</v>
      </c>
      <c r="N3044">
        <v>109</v>
      </c>
      <c r="O3044" t="str">
        <f>"PAGAMENTO DE ENTREGADORES"</f>
        <v>PAGAMENTO DE ENTREGADORES</v>
      </c>
      <c r="P3044">
        <v>130</v>
      </c>
      <c r="S3044" t="str">
        <f>"BANCO CORA (102)"</f>
        <v>BANCO CORA (102)</v>
      </c>
      <c r="T3044">
        <v>18870</v>
      </c>
      <c r="U3044">
        <v>22708</v>
      </c>
      <c r="V3044" t="s">
        <v>22</v>
      </c>
    </row>
    <row r="3045" spans="1:22">
      <c r="A3045" t="str">
        <f t="shared" si="548"/>
        <v>23/09/2025</v>
      </c>
      <c r="B3045" t="str">
        <f t="shared" si="551"/>
        <v>SAÍDA</v>
      </c>
      <c r="C3045" t="str">
        <f t="shared" si="549"/>
        <v>PIX</v>
      </c>
      <c r="D3045" t="str">
        <f>"22708"</f>
        <v>22708</v>
      </c>
      <c r="E3045" t="str">
        <f t="shared" si="552"/>
        <v>1</v>
      </c>
      <c r="F3045" t="str">
        <f t="shared" si="553"/>
        <v>COM</v>
      </c>
      <c r="G3045" t="str">
        <f>"JAIRO MACHADO CAMPELO (956)"</f>
        <v>JAIRO MACHADO CAMPELO (956)</v>
      </c>
      <c r="H3045" t="s">
        <v>840</v>
      </c>
      <c r="I3045" t="str">
        <f>("02/10/2025")</f>
        <v>02/10/2025</v>
      </c>
      <c r="J3045" t="str">
        <f>("29/09/2025")</f>
        <v>29/09/2025</v>
      </c>
      <c r="K3045">
        <v>45923</v>
      </c>
      <c r="N3045">
        <v>109</v>
      </c>
      <c r="O3045" t="s">
        <v>24</v>
      </c>
      <c r="Q3045">
        <v>130</v>
      </c>
      <c r="R3045" t="str">
        <f>"DROGARIA MORENO LTDA (10171)"</f>
        <v>DROGARIA MORENO LTDA (10171)</v>
      </c>
      <c r="S3045" t="s">
        <v>22</v>
      </c>
      <c r="T3045">
        <v>18870</v>
      </c>
      <c r="U3045">
        <v>22708</v>
      </c>
      <c r="V3045" t="s">
        <v>22</v>
      </c>
    </row>
    <row r="3046" spans="1:22">
      <c r="A3046" t="str">
        <f t="shared" si="548"/>
        <v>23/09/2025</v>
      </c>
      <c r="B3046" t="str">
        <f t="shared" si="551"/>
        <v>SAÍDA</v>
      </c>
      <c r="C3046" t="str">
        <f t="shared" si="549"/>
        <v>PIX</v>
      </c>
      <c r="D3046" t="str">
        <f>"22362"</f>
        <v>22362</v>
      </c>
      <c r="E3046" t="str">
        <f t="shared" si="552"/>
        <v>1</v>
      </c>
      <c r="F3046" t="str">
        <f t="shared" si="553"/>
        <v>COM</v>
      </c>
      <c r="G3046" t="str">
        <f>"LAUAN ROCHA DE MELO (914)"</f>
        <v>LAUAN ROCHA DE MELO (914)</v>
      </c>
      <c r="H3046" t="str">
        <f>"Serv.Prest. 15/09/2025 a 21/09/2025 - PIX: CELULAR - CHAVE: (32) 99913-0476"</f>
        <v>Serv.Prest. 15/09/2025 a 21/09/2025 - PIX: CELULAR - CHAVE: (32) 99913-0476</v>
      </c>
      <c r="I3046" t="str">
        <f>("23/09/2025")</f>
        <v>23/09/2025</v>
      </c>
      <c r="J3046" t="str">
        <f>("23/09/2025")</f>
        <v>23/09/2025</v>
      </c>
      <c r="K3046" t="str">
        <f>("23/09/2025")</f>
        <v>23/09/2025</v>
      </c>
      <c r="L3046">
        <v>120</v>
      </c>
      <c r="M3046">
        <v>120</v>
      </c>
      <c r="N3046">
        <v>134</v>
      </c>
      <c r="O3046" t="str">
        <f>"DIARIA DE MOTOBOY"</f>
        <v>DIARIA DE MOTOBOY</v>
      </c>
      <c r="P3046">
        <v>120</v>
      </c>
      <c r="S3046" t="str">
        <f>"BANCO CORA (102)"</f>
        <v>BANCO CORA (102)</v>
      </c>
      <c r="T3046">
        <v>19214</v>
      </c>
      <c r="U3046">
        <v>22362</v>
      </c>
      <c r="V3046" t="s">
        <v>22</v>
      </c>
    </row>
    <row r="3047" spans="1:22">
      <c r="A3047" t="str">
        <f t="shared" si="548"/>
        <v>23/09/2025</v>
      </c>
      <c r="B3047" t="str">
        <f t="shared" si="551"/>
        <v>SAÍDA</v>
      </c>
      <c r="C3047" t="str">
        <f t="shared" si="549"/>
        <v>PIX</v>
      </c>
      <c r="D3047" t="str">
        <f>"22362"</f>
        <v>22362</v>
      </c>
      <c r="E3047" t="str">
        <f t="shared" si="552"/>
        <v>1</v>
      </c>
      <c r="F3047" t="str">
        <f t="shared" si="553"/>
        <v>COM</v>
      </c>
      <c r="G3047" t="str">
        <f>"LAUAN ROCHA DE MELO (914)"</f>
        <v>LAUAN ROCHA DE MELO (914)</v>
      </c>
      <c r="H3047" t="s">
        <v>841</v>
      </c>
      <c r="I3047" t="str">
        <f t="shared" ref="I3047:J3049" si="554">("23/09/2025")</f>
        <v>23/09/2025</v>
      </c>
      <c r="J3047" t="str">
        <f t="shared" si="554"/>
        <v>23/09/2025</v>
      </c>
      <c r="K3047">
        <v>45923</v>
      </c>
      <c r="N3047">
        <v>134</v>
      </c>
      <c r="O3047" t="s">
        <v>41</v>
      </c>
      <c r="Q3047">
        <v>120</v>
      </c>
      <c r="R3047" t="str">
        <f>"FARMÁCIA INDIANA LJ 109 (10047)"</f>
        <v>FARMÁCIA INDIANA LJ 109 (10047)</v>
      </c>
      <c r="S3047" t="s">
        <v>22</v>
      </c>
      <c r="T3047">
        <v>19214</v>
      </c>
      <c r="U3047">
        <v>22362</v>
      </c>
      <c r="V3047" t="s">
        <v>22</v>
      </c>
    </row>
    <row r="3048" spans="1:22">
      <c r="A3048" t="str">
        <f t="shared" si="548"/>
        <v>23/09/2025</v>
      </c>
      <c r="B3048" t="str">
        <f>"ENTRADA"</f>
        <v>ENTRADA</v>
      </c>
      <c r="C3048" t="str">
        <f>"TRANSFERENCIA"</f>
        <v>TRANSFERENCIA</v>
      </c>
      <c r="D3048" t="str">
        <f>""</f>
        <v/>
      </c>
      <c r="F3048" t="str">
        <f>"TRF"</f>
        <v>TRF</v>
      </c>
      <c r="G3048" t="str">
        <f>""</f>
        <v/>
      </c>
      <c r="H3048" t="str">
        <f>"AJUDA DE CAIXA MOVIMENTAÇÃO  (131-&gt;102)"</f>
        <v>AJUDA DE CAIXA MOVIMENTAÇÃO  (131-&gt;102)</v>
      </c>
      <c r="I3048" t="str">
        <f t="shared" si="554"/>
        <v>23/09/2025</v>
      </c>
      <c r="J3048" t="str">
        <f t="shared" si="554"/>
        <v>23/09/2025</v>
      </c>
      <c r="K3048" t="str">
        <f>("23/09/2025")</f>
        <v>23/09/2025</v>
      </c>
      <c r="N3048">
        <v>102</v>
      </c>
      <c r="O3048" t="str">
        <f>"BANCO CORA"</f>
        <v>BANCO CORA</v>
      </c>
      <c r="P3048">
        <v>3000</v>
      </c>
      <c r="S3048" t="str">
        <f>"BANCO CORA (102)"</f>
        <v>BANCO CORA (102)</v>
      </c>
      <c r="T3048">
        <v>22282</v>
      </c>
      <c r="U3048">
        <v>0</v>
      </c>
      <c r="V3048" t="s">
        <v>22</v>
      </c>
    </row>
    <row r="3049" spans="1:22">
      <c r="A3049" t="str">
        <f t="shared" si="548"/>
        <v>23/09/2025</v>
      </c>
      <c r="B3049" t="str">
        <f>"SAÍDA"</f>
        <v>SAÍDA</v>
      </c>
      <c r="C3049" t="str">
        <f>"TRANSFERENCIA"</f>
        <v>TRANSFERENCIA</v>
      </c>
      <c r="D3049" t="str">
        <f>""</f>
        <v/>
      </c>
      <c r="F3049" t="str">
        <f>"TRF"</f>
        <v>TRF</v>
      </c>
      <c r="G3049" t="str">
        <f>""</f>
        <v/>
      </c>
      <c r="H3049" t="str">
        <f>"AJUDA DE CAIXA MOVIMENTAÇÃO  (131-&gt;102)"</f>
        <v>AJUDA DE CAIXA MOVIMENTAÇÃO  (131-&gt;102)</v>
      </c>
      <c r="I3049" t="str">
        <f t="shared" si="554"/>
        <v>23/09/2025</v>
      </c>
      <c r="J3049" t="str">
        <f t="shared" si="554"/>
        <v>23/09/2025</v>
      </c>
      <c r="K3049" t="str">
        <f>("23/09/2025")</f>
        <v>23/09/2025</v>
      </c>
      <c r="N3049">
        <v>131</v>
      </c>
      <c r="O3049" t="str">
        <f>"CAIXA - FLUX"</f>
        <v>CAIXA - FLUX</v>
      </c>
      <c r="S3049" t="str">
        <f>"CAIXA - FLUX (131)"</f>
        <v>CAIXA - FLUX (131)</v>
      </c>
      <c r="T3049">
        <v>22282</v>
      </c>
      <c r="U3049">
        <v>0</v>
      </c>
      <c r="V3049" t="s">
        <v>577</v>
      </c>
    </row>
    <row r="3050" spans="1:22">
      <c r="A3050" t="str">
        <f t="shared" si="548"/>
        <v>23/09/2025</v>
      </c>
      <c r="B3050" t="str">
        <f>"ENTRADA"</f>
        <v>ENTRADA</v>
      </c>
      <c r="C3050" t="str">
        <f>"NFSE"</f>
        <v>NFSE</v>
      </c>
      <c r="D3050" t="str">
        <f>"3376"</f>
        <v>3376</v>
      </c>
      <c r="E3050" t="str">
        <f>"1"</f>
        <v>1</v>
      </c>
      <c r="F3050" t="str">
        <f t="shared" ref="F3050:F3081" si="555">"COM"</f>
        <v>COM</v>
      </c>
      <c r="G3050" t="str">
        <f>"PENSE FARMA 46 (10194)"</f>
        <v>PENSE FARMA 46 (10194)</v>
      </c>
      <c r="H3050" t="str">
        <f>"Serv.Prest. 10/09/2025 a 14/09/2025 - RPS: 1252 - NFSe: 3376"</f>
        <v>Serv.Prest. 10/09/2025 a 14/09/2025 - RPS: 1252 - NFSe: 3376</v>
      </c>
      <c r="I3050" t="str">
        <f>("22/09/2025")</f>
        <v>22/09/2025</v>
      </c>
      <c r="J3050" t="str">
        <f>("17/09/2025")</f>
        <v>17/09/2025</v>
      </c>
      <c r="K3050" t="str">
        <f>("23/09/2025")</f>
        <v>23/09/2025</v>
      </c>
      <c r="L3050">
        <v>1213.8</v>
      </c>
      <c r="M3050">
        <v>1213.8</v>
      </c>
      <c r="N3050">
        <v>303</v>
      </c>
      <c r="O3050" t="str">
        <f>"RECEITAS COM ENTREGAS"</f>
        <v>RECEITAS COM ENTREGAS</v>
      </c>
      <c r="P3050">
        <v>1213.8</v>
      </c>
      <c r="S3050" t="str">
        <f>"RECEITAS COM ENTREGAS (303)"</f>
        <v>RECEITAS COM ENTREGAS (303)</v>
      </c>
      <c r="T3050">
        <v>22283</v>
      </c>
      <c r="U3050">
        <v>22215</v>
      </c>
      <c r="V3050" t="s">
        <v>22</v>
      </c>
    </row>
    <row r="3051" spans="1:22">
      <c r="A3051" t="str">
        <f t="shared" si="548"/>
        <v>23/09/2025</v>
      </c>
      <c r="B3051" t="str">
        <f>"ENTRADA"</f>
        <v>ENTRADA</v>
      </c>
      <c r="C3051" t="str">
        <f>"NFSE"</f>
        <v>NFSE</v>
      </c>
      <c r="D3051" t="str">
        <f>"3376"</f>
        <v>3376</v>
      </c>
      <c r="E3051" t="str">
        <f>"1"</f>
        <v>1</v>
      </c>
      <c r="F3051" t="str">
        <f t="shared" si="555"/>
        <v>COM</v>
      </c>
      <c r="G3051" t="str">
        <f>"PENSE FARMA 46 (10194)"</f>
        <v>PENSE FARMA 46 (10194)</v>
      </c>
      <c r="H3051" t="s">
        <v>842</v>
      </c>
      <c r="I3051" t="str">
        <f>("22/09/2025")</f>
        <v>22/09/2025</v>
      </c>
      <c r="J3051" t="str">
        <f>("17/09/2025")</f>
        <v>17/09/2025</v>
      </c>
      <c r="K3051">
        <v>45923</v>
      </c>
      <c r="N3051">
        <v>303</v>
      </c>
      <c r="O3051" t="s">
        <v>69</v>
      </c>
      <c r="Q3051">
        <v>1213.8</v>
      </c>
      <c r="R3051" t="str">
        <f>"PENSE FARMA 46 (10194)"</f>
        <v>PENSE FARMA 46 (10194)</v>
      </c>
      <c r="S3051" t="s">
        <v>70</v>
      </c>
      <c r="T3051">
        <v>22283</v>
      </c>
      <c r="U3051">
        <v>22215</v>
      </c>
      <c r="V3051" t="s">
        <v>22</v>
      </c>
    </row>
    <row r="3052" spans="1:22">
      <c r="A3052" t="str">
        <f t="shared" si="548"/>
        <v>23/09/2025</v>
      </c>
      <c r="B3052" t="str">
        <f>"SAÍDA"</f>
        <v>SAÍDA</v>
      </c>
      <c r="C3052" t="str">
        <f>"CONHECIMENTO"</f>
        <v>CONHECIMENTO</v>
      </c>
      <c r="D3052" t="str">
        <f>"01092025"</f>
        <v>01092025</v>
      </c>
      <c r="E3052" t="str">
        <f>"2"</f>
        <v>2</v>
      </c>
      <c r="F3052" t="str">
        <f t="shared" si="555"/>
        <v>COM</v>
      </c>
      <c r="G3052" t="str">
        <f>"CORA SOCIEDADE DE CREDITO, FINANCIAMENTO E INVESTIMENTO (20035)"</f>
        <v>CORA SOCIEDADE DE CREDITO, FINANCIAMENTO E INVESTIMENTO (20035)</v>
      </c>
      <c r="H3052" t="str">
        <f>"TAXA BOLETO "</f>
        <v xml:space="preserve">TAXA BOLETO </v>
      </c>
      <c r="I3052" t="str">
        <f>("23/09/2025")</f>
        <v>23/09/2025</v>
      </c>
      <c r="J3052" t="str">
        <f>("01/09/2025")</f>
        <v>01/09/2025</v>
      </c>
      <c r="K3052" t="str">
        <f>("23/09/2025")</f>
        <v>23/09/2025</v>
      </c>
      <c r="L3052">
        <v>1.7</v>
      </c>
      <c r="M3052">
        <v>1.7</v>
      </c>
      <c r="N3052">
        <v>401</v>
      </c>
      <c r="O3052" t="str">
        <f>"IOF/JUROS/DESP.FINANCEIRA"</f>
        <v>IOF/JUROS/DESP.FINANCEIRA</v>
      </c>
      <c r="P3052">
        <v>1.7</v>
      </c>
      <c r="S3052" t="str">
        <f>"BANCO CORA (102)"</f>
        <v>BANCO CORA (102)</v>
      </c>
      <c r="T3052">
        <v>22284</v>
      </c>
      <c r="U3052">
        <v>26064</v>
      </c>
      <c r="V3052" t="s">
        <v>22</v>
      </c>
    </row>
    <row r="3053" spans="1:22">
      <c r="A3053" t="str">
        <f t="shared" si="548"/>
        <v>23/09/2025</v>
      </c>
      <c r="B3053" t="str">
        <f>"SAÍDA"</f>
        <v>SAÍDA</v>
      </c>
      <c r="C3053" t="str">
        <f>"CONHECIMENTO"</f>
        <v>CONHECIMENTO</v>
      </c>
      <c r="D3053" t="str">
        <f>"01092025"</f>
        <v>01092025</v>
      </c>
      <c r="E3053" t="str">
        <f>"2"</f>
        <v>2</v>
      </c>
      <c r="F3053" t="str">
        <f t="shared" si="555"/>
        <v>COM</v>
      </c>
      <c r="G3053" t="str">
        <f>"CORA SOCIEDADE DE CREDITO, FINANCIAMENTO E INVESTIMENTO (20035)"</f>
        <v>CORA SOCIEDADE DE CREDITO, FINANCIAMENTO E INVESTIMENTO (20035)</v>
      </c>
      <c r="H3053" t="s">
        <v>75</v>
      </c>
      <c r="I3053" t="str">
        <f>("23/09/2025")</f>
        <v>23/09/2025</v>
      </c>
      <c r="J3053" t="str">
        <f>("01/09/2025")</f>
        <v>01/09/2025</v>
      </c>
      <c r="K3053">
        <v>45923</v>
      </c>
      <c r="N3053">
        <v>401</v>
      </c>
      <c r="O3053" t="s">
        <v>76</v>
      </c>
      <c r="Q3053">
        <v>1.7</v>
      </c>
      <c r="R3053" t="str">
        <f>"CORA SOCIEDADE DE CREDITO, FINANCIAMENTO E INVESTIMENTO (20035)"</f>
        <v>CORA SOCIEDADE DE CREDITO, FINANCIAMENTO E INVESTIMENTO (20035)</v>
      </c>
      <c r="S3053" t="s">
        <v>22</v>
      </c>
      <c r="T3053">
        <v>22284</v>
      </c>
      <c r="U3053">
        <v>26064</v>
      </c>
      <c r="V3053" t="s">
        <v>22</v>
      </c>
    </row>
    <row r="3054" spans="1:22">
      <c r="A3054" t="str">
        <f t="shared" ref="A3054:A3085" si="556">("24/09/2025")</f>
        <v>24/09/2025</v>
      </c>
      <c r="B3054" t="str">
        <f>"SAÍDA"</f>
        <v>SAÍDA</v>
      </c>
      <c r="C3054" t="str">
        <f>"PIX"</f>
        <v>PIX</v>
      </c>
      <c r="D3054" t="str">
        <f>"22305"</f>
        <v>22305</v>
      </c>
      <c r="E3054" t="str">
        <f>"1"</f>
        <v>1</v>
      </c>
      <c r="F3054" t="str">
        <f t="shared" si="555"/>
        <v>COM</v>
      </c>
      <c r="G3054" t="str">
        <f>"ALLAN SILVA DAMACENA (790)"</f>
        <v>ALLAN SILVA DAMACENA (790)</v>
      </c>
      <c r="H3054" t="str">
        <f>"Serv.Prest. 15/09/2025 a 21/09/2025 - PIX: CELULAR - CHAVE: (19) 98944-4977"</f>
        <v>Serv.Prest. 15/09/2025 a 21/09/2025 - PIX: CELULAR - CHAVE: (19) 98944-4977</v>
      </c>
      <c r="I3054" t="str">
        <f t="shared" ref="I3054:I3080" si="557">("25/09/2025")</f>
        <v>25/09/2025</v>
      </c>
      <c r="J3054" t="str">
        <f>("22/09/2025")</f>
        <v>22/09/2025</v>
      </c>
      <c r="K3054" t="str">
        <f>("24/09/2025")</f>
        <v>24/09/2025</v>
      </c>
      <c r="L3054">
        <v>100</v>
      </c>
      <c r="M3054">
        <v>100</v>
      </c>
      <c r="N3054">
        <v>109</v>
      </c>
      <c r="O3054" t="str">
        <f>"PAGAMENTO DE ENTREGADORES"</f>
        <v>PAGAMENTO DE ENTREGADORES</v>
      </c>
      <c r="P3054">
        <v>100</v>
      </c>
      <c r="S3054" t="str">
        <f>"CAIXA MOVIMENTAÇÃO OPERACIONAL (132)"</f>
        <v>CAIXA MOVIMENTAÇÃO OPERACIONAL (132)</v>
      </c>
      <c r="T3054">
        <v>18629</v>
      </c>
      <c r="U3054">
        <v>22485</v>
      </c>
      <c r="V3054" t="s">
        <v>48</v>
      </c>
    </row>
    <row r="3055" spans="1:22">
      <c r="A3055" t="str">
        <f t="shared" si="556"/>
        <v>24/09/2025</v>
      </c>
      <c r="B3055" t="str">
        <f>"SAÍDA"</f>
        <v>SAÍDA</v>
      </c>
      <c r="C3055" t="str">
        <f>"PIX"</f>
        <v>PIX</v>
      </c>
      <c r="D3055" t="str">
        <f>"22305"</f>
        <v>22305</v>
      </c>
      <c r="E3055" t="str">
        <f>"1"</f>
        <v>1</v>
      </c>
      <c r="F3055" t="str">
        <f t="shared" si="555"/>
        <v>COM</v>
      </c>
      <c r="G3055" t="str">
        <f>"ALLAN SILVA DAMACENA (790)"</f>
        <v>ALLAN SILVA DAMACENA (790)</v>
      </c>
      <c r="H3055" t="s">
        <v>843</v>
      </c>
      <c r="I3055" t="str">
        <f t="shared" si="557"/>
        <v>25/09/2025</v>
      </c>
      <c r="J3055" t="str">
        <f>("22/09/2025")</f>
        <v>22/09/2025</v>
      </c>
      <c r="K3055">
        <v>45924</v>
      </c>
      <c r="N3055">
        <v>109</v>
      </c>
      <c r="O3055" t="s">
        <v>24</v>
      </c>
      <c r="Q3055">
        <v>100</v>
      </c>
      <c r="R3055" t="str">
        <f>"DROGARIA MORENO LTDA (10171)"</f>
        <v>DROGARIA MORENO LTDA (10171)</v>
      </c>
      <c r="S3055" t="s">
        <v>48</v>
      </c>
      <c r="T3055">
        <v>18629</v>
      </c>
      <c r="U3055">
        <v>22485</v>
      </c>
      <c r="V3055" t="s">
        <v>48</v>
      </c>
    </row>
    <row r="3056" spans="1:22">
      <c r="A3056" t="str">
        <f t="shared" si="556"/>
        <v>24/09/2025</v>
      </c>
      <c r="B3056" t="str">
        <f>"ENTRADA"</f>
        <v>ENTRADA</v>
      </c>
      <c r="C3056" t="str">
        <f>"DINHEIRO"</f>
        <v>DINHEIRO</v>
      </c>
      <c r="D3056" t="str">
        <f>"2509"</f>
        <v>2509</v>
      </c>
      <c r="E3056" t="str">
        <f>"25"</f>
        <v>25</v>
      </c>
      <c r="F3056" t="str">
        <f t="shared" si="555"/>
        <v>COM</v>
      </c>
      <c r="G3056" t="str">
        <f>"ALLAN SILVA DAMACENA (790)"</f>
        <v>ALLAN SILVA DAMACENA (790)</v>
      </c>
      <c r="H3056" t="str">
        <f>"REEMBOLSO ADIANTAMENTO"</f>
        <v>REEMBOLSO ADIANTAMENTO</v>
      </c>
      <c r="I3056" t="str">
        <f t="shared" si="557"/>
        <v>25/09/2025</v>
      </c>
      <c r="J3056" t="str">
        <f>("11/09/2025")</f>
        <v>11/09/2025</v>
      </c>
      <c r="K3056" t="str">
        <f>("24/09/2025")</f>
        <v>24/09/2025</v>
      </c>
      <c r="L3056">
        <v>100</v>
      </c>
      <c r="M3056">
        <v>100</v>
      </c>
      <c r="N3056">
        <v>129</v>
      </c>
      <c r="O3056" t="str">
        <f>"ENTRADA DE REEMBOLSO ADIANTAMENTO"</f>
        <v>ENTRADA DE REEMBOLSO ADIANTAMENTO</v>
      </c>
      <c r="P3056">
        <v>100</v>
      </c>
      <c r="S3056" t="str">
        <f>"ENTRADA DE REEMBOLSO ADIANTAMENTO (129)"</f>
        <v>ENTRADA DE REEMBOLSO ADIANTAMENTO (129)</v>
      </c>
      <c r="T3056">
        <v>18630</v>
      </c>
      <c r="U3056">
        <v>21710</v>
      </c>
      <c r="V3056" t="s">
        <v>48</v>
      </c>
    </row>
    <row r="3057" spans="1:22">
      <c r="A3057" t="str">
        <f t="shared" si="556"/>
        <v>24/09/2025</v>
      </c>
      <c r="B3057" t="str">
        <f>"ENTRADA"</f>
        <v>ENTRADA</v>
      </c>
      <c r="C3057" t="str">
        <f>"DINHEIRO"</f>
        <v>DINHEIRO</v>
      </c>
      <c r="D3057" t="str">
        <f>"2509"</f>
        <v>2509</v>
      </c>
      <c r="E3057" t="str">
        <f>"25"</f>
        <v>25</v>
      </c>
      <c r="F3057" t="str">
        <f t="shared" si="555"/>
        <v>COM</v>
      </c>
      <c r="G3057" t="str">
        <f>"ALLAN SILVA DAMACENA (790)"</f>
        <v>ALLAN SILVA DAMACENA (790)</v>
      </c>
      <c r="H3057" t="s">
        <v>57</v>
      </c>
      <c r="I3057" t="str">
        <f t="shared" si="557"/>
        <v>25/09/2025</v>
      </c>
      <c r="J3057" t="str">
        <f>("11/09/2025")</f>
        <v>11/09/2025</v>
      </c>
      <c r="K3057">
        <v>45924</v>
      </c>
      <c r="N3057">
        <v>129</v>
      </c>
      <c r="O3057" t="s">
        <v>58</v>
      </c>
      <c r="Q3057">
        <v>100</v>
      </c>
      <c r="R3057" t="str">
        <f>"ALLAN SILVA DAMACENA (790)"</f>
        <v>ALLAN SILVA DAMACENA (790)</v>
      </c>
      <c r="S3057" t="s">
        <v>59</v>
      </c>
      <c r="T3057">
        <v>18630</v>
      </c>
      <c r="U3057">
        <v>21710</v>
      </c>
      <c r="V3057" t="s">
        <v>48</v>
      </c>
    </row>
    <row r="3058" spans="1:22">
      <c r="A3058" t="str">
        <f t="shared" si="556"/>
        <v>24/09/2025</v>
      </c>
      <c r="B3058" t="str">
        <f>"SAÍDA"</f>
        <v>SAÍDA</v>
      </c>
      <c r="C3058" t="str">
        <f>"PIX"</f>
        <v>PIX</v>
      </c>
      <c r="D3058" t="str">
        <f>"22066"</f>
        <v>22066</v>
      </c>
      <c r="E3058" t="str">
        <f>"1"</f>
        <v>1</v>
      </c>
      <c r="F3058" t="str">
        <f t="shared" si="555"/>
        <v>COM</v>
      </c>
      <c r="G3058" t="str">
        <f>"BRUNO DOS SANTOS MACHADO (702)"</f>
        <v>BRUNO DOS SANTOS MACHADO (702)</v>
      </c>
      <c r="H3058" t="str">
        <f>"Serv.Prest. 08/09/2025 a 14/09/2025 - PIX: CPF - CHAVE: 155.328.666-94"</f>
        <v>Serv.Prest. 08/09/2025 a 14/09/2025 - PIX: CPF - CHAVE: 155.328.666-94</v>
      </c>
      <c r="I3058" t="str">
        <f t="shared" si="557"/>
        <v>25/09/2025</v>
      </c>
      <c r="J3058" t="str">
        <f>("16/09/2025")</f>
        <v>16/09/2025</v>
      </c>
      <c r="K3058" t="str">
        <f>("24/09/2025")</f>
        <v>24/09/2025</v>
      </c>
      <c r="L3058">
        <v>800</v>
      </c>
      <c r="M3058">
        <v>800</v>
      </c>
      <c r="N3058">
        <v>109</v>
      </c>
      <c r="O3058" t="str">
        <f>"PAGAMENTO DE ENTREGADORES"</f>
        <v>PAGAMENTO DE ENTREGADORES</v>
      </c>
      <c r="P3058">
        <v>800</v>
      </c>
      <c r="S3058" t="str">
        <f>"CAIXA MOVIMENTAÇÃO OPERACIONAL (132)"</f>
        <v>CAIXA MOVIMENTAÇÃO OPERACIONAL (132)</v>
      </c>
      <c r="T3058">
        <v>18631</v>
      </c>
      <c r="U3058">
        <v>22486</v>
      </c>
      <c r="V3058" t="s">
        <v>48</v>
      </c>
    </row>
    <row r="3059" spans="1:22">
      <c r="A3059" t="str">
        <f t="shared" si="556"/>
        <v>24/09/2025</v>
      </c>
      <c r="B3059" t="str">
        <f>"SAÍDA"</f>
        <v>SAÍDA</v>
      </c>
      <c r="C3059" t="str">
        <f>"PIX"</f>
        <v>PIX</v>
      </c>
      <c r="D3059" t="str">
        <f>"22066"</f>
        <v>22066</v>
      </c>
      <c r="E3059" t="str">
        <f>"1"</f>
        <v>1</v>
      </c>
      <c r="F3059" t="str">
        <f t="shared" si="555"/>
        <v>COM</v>
      </c>
      <c r="G3059" t="str">
        <f>"BRUNO DOS SANTOS MACHADO (702)"</f>
        <v>BRUNO DOS SANTOS MACHADO (702)</v>
      </c>
      <c r="H3059" t="s">
        <v>844</v>
      </c>
      <c r="I3059" t="str">
        <f t="shared" si="557"/>
        <v>25/09/2025</v>
      </c>
      <c r="J3059" t="str">
        <f>("16/09/2025")</f>
        <v>16/09/2025</v>
      </c>
      <c r="K3059">
        <v>45924</v>
      </c>
      <c r="N3059">
        <v>109</v>
      </c>
      <c r="O3059" t="s">
        <v>24</v>
      </c>
      <c r="Q3059">
        <v>430.8</v>
      </c>
      <c r="R3059" t="str">
        <f>"FARMÁCIA INDIANA LJ 204 (10087)"</f>
        <v>FARMÁCIA INDIANA LJ 204 (10087)</v>
      </c>
      <c r="S3059" t="s">
        <v>48</v>
      </c>
      <c r="T3059">
        <v>18631</v>
      </c>
      <c r="U3059">
        <v>22486</v>
      </c>
      <c r="V3059" t="s">
        <v>48</v>
      </c>
    </row>
    <row r="3060" spans="1:22">
      <c r="A3060" t="str">
        <f t="shared" si="556"/>
        <v>24/09/2025</v>
      </c>
      <c r="B3060" t="str">
        <f>"SAÍDA"</f>
        <v>SAÍDA</v>
      </c>
      <c r="C3060" t="str">
        <f>"PIX"</f>
        <v>PIX</v>
      </c>
      <c r="D3060" t="str">
        <f>"22066"</f>
        <v>22066</v>
      </c>
      <c r="E3060" t="str">
        <f>"1"</f>
        <v>1</v>
      </c>
      <c r="F3060" t="str">
        <f t="shared" si="555"/>
        <v>COM</v>
      </c>
      <c r="G3060" t="str">
        <f>"BRUNO DOS SANTOS MACHADO (702)"</f>
        <v>BRUNO DOS SANTOS MACHADO (702)</v>
      </c>
      <c r="H3060" t="s">
        <v>844</v>
      </c>
      <c r="I3060" t="str">
        <f t="shared" si="557"/>
        <v>25/09/2025</v>
      </c>
      <c r="J3060" t="str">
        <f>("16/09/2025")</f>
        <v>16/09/2025</v>
      </c>
      <c r="K3060">
        <v>45924</v>
      </c>
      <c r="N3060">
        <v>109</v>
      </c>
      <c r="O3060" t="s">
        <v>24</v>
      </c>
      <c r="Q3060">
        <v>369.2</v>
      </c>
      <c r="R3060" t="str">
        <f>"FARMÁCIA INDIANA LJ 266 (10186)"</f>
        <v>FARMÁCIA INDIANA LJ 266 (10186)</v>
      </c>
      <c r="S3060" t="s">
        <v>48</v>
      </c>
      <c r="T3060">
        <v>18631</v>
      </c>
      <c r="U3060">
        <v>22486</v>
      </c>
      <c r="V3060" t="s">
        <v>48</v>
      </c>
    </row>
    <row r="3061" spans="1:22">
      <c r="A3061" t="str">
        <f t="shared" si="556"/>
        <v>24/09/2025</v>
      </c>
      <c r="B3061" t="str">
        <f>"ENTRADA"</f>
        <v>ENTRADA</v>
      </c>
      <c r="C3061" t="str">
        <f>"DINHEIRO"</f>
        <v>DINHEIRO</v>
      </c>
      <c r="D3061" t="str">
        <f>"1109"</f>
        <v>1109</v>
      </c>
      <c r="E3061" t="str">
        <f>"25"</f>
        <v>25</v>
      </c>
      <c r="F3061" t="str">
        <f t="shared" si="555"/>
        <v>COM</v>
      </c>
      <c r="G3061" t="str">
        <f>"BRUNO DOS SANTOS MACHADO (702)"</f>
        <v>BRUNO DOS SANTOS MACHADO (702)</v>
      </c>
      <c r="H3061" t="str">
        <f>"REEMBOLSO ADIANTAMENTO"</f>
        <v>REEMBOLSO ADIANTAMENTO</v>
      </c>
      <c r="I3061" t="str">
        <f t="shared" si="557"/>
        <v>25/09/2025</v>
      </c>
      <c r="J3061" t="str">
        <f>("04/09/2025")</f>
        <v>04/09/2025</v>
      </c>
      <c r="K3061" t="str">
        <f>("24/09/2025")</f>
        <v>24/09/2025</v>
      </c>
      <c r="L3061">
        <v>800</v>
      </c>
      <c r="M3061">
        <v>800</v>
      </c>
      <c r="N3061">
        <v>129</v>
      </c>
      <c r="O3061" t="str">
        <f>"ENTRADA DE REEMBOLSO ADIANTAMENTO"</f>
        <v>ENTRADA DE REEMBOLSO ADIANTAMENTO</v>
      </c>
      <c r="P3061">
        <v>800</v>
      </c>
      <c r="S3061" t="str">
        <f>"ENTRADA DE REEMBOLSO ADIANTAMENTO (129)"</f>
        <v>ENTRADA DE REEMBOLSO ADIANTAMENTO (129)</v>
      </c>
      <c r="T3061">
        <v>18632</v>
      </c>
      <c r="U3061">
        <v>21342</v>
      </c>
      <c r="V3061" t="s">
        <v>48</v>
      </c>
    </row>
    <row r="3062" spans="1:22">
      <c r="A3062" t="str">
        <f t="shared" si="556"/>
        <v>24/09/2025</v>
      </c>
      <c r="B3062" t="str">
        <f>"ENTRADA"</f>
        <v>ENTRADA</v>
      </c>
      <c r="C3062" t="str">
        <f>"DINHEIRO"</f>
        <v>DINHEIRO</v>
      </c>
      <c r="D3062" t="str">
        <f>"1109"</f>
        <v>1109</v>
      </c>
      <c r="E3062" t="str">
        <f>"25"</f>
        <v>25</v>
      </c>
      <c r="F3062" t="str">
        <f t="shared" si="555"/>
        <v>COM</v>
      </c>
      <c r="G3062" t="str">
        <f>"BRUNO DOS SANTOS MACHADO (702)"</f>
        <v>BRUNO DOS SANTOS MACHADO (702)</v>
      </c>
      <c r="H3062" t="s">
        <v>57</v>
      </c>
      <c r="I3062" t="str">
        <f t="shared" si="557"/>
        <v>25/09/2025</v>
      </c>
      <c r="J3062" t="str">
        <f>("04/09/2025")</f>
        <v>04/09/2025</v>
      </c>
      <c r="K3062">
        <v>45924</v>
      </c>
      <c r="N3062">
        <v>129</v>
      </c>
      <c r="O3062" t="s">
        <v>58</v>
      </c>
      <c r="Q3062">
        <v>800</v>
      </c>
      <c r="R3062" t="str">
        <f>"BRUNO DOS SANTOS MACHADO (702)"</f>
        <v>BRUNO DOS SANTOS MACHADO (702)</v>
      </c>
      <c r="S3062" t="s">
        <v>59</v>
      </c>
      <c r="T3062">
        <v>18632</v>
      </c>
      <c r="U3062">
        <v>21342</v>
      </c>
      <c r="V3062" t="s">
        <v>48</v>
      </c>
    </row>
    <row r="3063" spans="1:22">
      <c r="A3063" t="str">
        <f t="shared" si="556"/>
        <v>24/09/2025</v>
      </c>
      <c r="B3063" t="str">
        <f>"SAÍDA"</f>
        <v>SAÍDA</v>
      </c>
      <c r="C3063" t="str">
        <f>"PIX"</f>
        <v>PIX</v>
      </c>
      <c r="D3063" t="str">
        <f>"22183"</f>
        <v>22183</v>
      </c>
      <c r="E3063" t="str">
        <f>"1"</f>
        <v>1</v>
      </c>
      <c r="F3063" t="str">
        <f t="shared" si="555"/>
        <v>COM</v>
      </c>
      <c r="G3063" t="str">
        <f>"CASSIO DIAS RIBEIRO (32)"</f>
        <v>CASSIO DIAS RIBEIRO (32)</v>
      </c>
      <c r="H3063" t="str">
        <f>"Serv.Prest. 08/09/2025 a 14/09/2025 - PIX: CPF - CHAVE: 091.575.986-14"</f>
        <v>Serv.Prest. 08/09/2025 a 14/09/2025 - PIX: CPF - CHAVE: 091.575.986-14</v>
      </c>
      <c r="I3063" t="str">
        <f t="shared" si="557"/>
        <v>25/09/2025</v>
      </c>
      <c r="J3063" t="str">
        <f>("16/09/2025")</f>
        <v>16/09/2025</v>
      </c>
      <c r="K3063" t="str">
        <f>("24/09/2025")</f>
        <v>24/09/2025</v>
      </c>
      <c r="L3063">
        <v>150</v>
      </c>
      <c r="M3063">
        <v>150</v>
      </c>
      <c r="N3063">
        <v>109</v>
      </c>
      <c r="O3063" t="str">
        <f>"PAGAMENTO DE ENTREGADORES"</f>
        <v>PAGAMENTO DE ENTREGADORES</v>
      </c>
      <c r="P3063">
        <v>150</v>
      </c>
      <c r="S3063" t="str">
        <f>"CAIXA MOVIMENTAÇÃO OPERACIONAL (132)"</f>
        <v>CAIXA MOVIMENTAÇÃO OPERACIONAL (132)</v>
      </c>
      <c r="T3063">
        <v>18633</v>
      </c>
      <c r="U3063">
        <v>22487</v>
      </c>
      <c r="V3063" t="s">
        <v>48</v>
      </c>
    </row>
    <row r="3064" spans="1:22">
      <c r="A3064" t="str">
        <f t="shared" si="556"/>
        <v>24/09/2025</v>
      </c>
      <c r="B3064" t="str">
        <f>"SAÍDA"</f>
        <v>SAÍDA</v>
      </c>
      <c r="C3064" t="str">
        <f>"PIX"</f>
        <v>PIX</v>
      </c>
      <c r="D3064" t="str">
        <f>"22183"</f>
        <v>22183</v>
      </c>
      <c r="E3064" t="str">
        <f>"1"</f>
        <v>1</v>
      </c>
      <c r="F3064" t="str">
        <f t="shared" si="555"/>
        <v>COM</v>
      </c>
      <c r="G3064" t="str">
        <f>"CASSIO DIAS RIBEIRO (32)"</f>
        <v>CASSIO DIAS RIBEIRO (32)</v>
      </c>
      <c r="H3064" t="s">
        <v>845</v>
      </c>
      <c r="I3064" t="str">
        <f t="shared" si="557"/>
        <v>25/09/2025</v>
      </c>
      <c r="J3064" t="str">
        <f>("16/09/2025")</f>
        <v>16/09/2025</v>
      </c>
      <c r="K3064">
        <v>45924</v>
      </c>
      <c r="N3064">
        <v>109</v>
      </c>
      <c r="O3064" t="s">
        <v>24</v>
      </c>
      <c r="Q3064">
        <v>150</v>
      </c>
      <c r="R3064" t="str">
        <f>"FARMÁCIA INDIANA LJ 18 (10011)"</f>
        <v>FARMÁCIA INDIANA LJ 18 (10011)</v>
      </c>
      <c r="S3064" t="s">
        <v>48</v>
      </c>
      <c r="T3064">
        <v>18633</v>
      </c>
      <c r="U3064">
        <v>22487</v>
      </c>
      <c r="V3064" t="s">
        <v>48</v>
      </c>
    </row>
    <row r="3065" spans="1:22">
      <c r="A3065" t="str">
        <f t="shared" si="556"/>
        <v>24/09/2025</v>
      </c>
      <c r="B3065" t="str">
        <f>"ENTRADA"</f>
        <v>ENTRADA</v>
      </c>
      <c r="C3065" t="str">
        <f>"DINHEIRO"</f>
        <v>DINHEIRO</v>
      </c>
      <c r="D3065" t="str">
        <f>"2509"</f>
        <v>2509</v>
      </c>
      <c r="E3065" t="str">
        <f>"25"</f>
        <v>25</v>
      </c>
      <c r="F3065" t="str">
        <f t="shared" si="555"/>
        <v>COM</v>
      </c>
      <c r="G3065" t="str">
        <f>"CASSIO DIAS RIBEIRO (32)"</f>
        <v>CASSIO DIAS RIBEIRO (32)</v>
      </c>
      <c r="H3065" t="str">
        <f>"REEMBOLSO ADIANTAMENTO"</f>
        <v>REEMBOLSO ADIANTAMENTO</v>
      </c>
      <c r="I3065" t="str">
        <f t="shared" si="557"/>
        <v>25/09/2025</v>
      </c>
      <c r="J3065" t="str">
        <f>("21/08/2025")</f>
        <v>21/08/2025</v>
      </c>
      <c r="K3065" t="str">
        <f>("24/09/2025")</f>
        <v>24/09/2025</v>
      </c>
      <c r="L3065">
        <v>150</v>
      </c>
      <c r="M3065">
        <v>150</v>
      </c>
      <c r="N3065">
        <v>129</v>
      </c>
      <c r="O3065" t="str">
        <f>"ENTRADA DE REEMBOLSO ADIANTAMENTO"</f>
        <v>ENTRADA DE REEMBOLSO ADIANTAMENTO</v>
      </c>
      <c r="P3065">
        <v>150</v>
      </c>
      <c r="S3065" t="str">
        <f>"ENTRADA DE REEMBOLSO ADIANTAMENTO (129)"</f>
        <v>ENTRADA DE REEMBOLSO ADIANTAMENTO (129)</v>
      </c>
      <c r="T3065">
        <v>18634</v>
      </c>
      <c r="U3065">
        <v>20771</v>
      </c>
      <c r="V3065" t="s">
        <v>48</v>
      </c>
    </row>
    <row r="3066" spans="1:22">
      <c r="A3066" t="str">
        <f t="shared" si="556"/>
        <v>24/09/2025</v>
      </c>
      <c r="B3066" t="str">
        <f>"ENTRADA"</f>
        <v>ENTRADA</v>
      </c>
      <c r="C3066" t="str">
        <f>"DINHEIRO"</f>
        <v>DINHEIRO</v>
      </c>
      <c r="D3066" t="str">
        <f>"2509"</f>
        <v>2509</v>
      </c>
      <c r="E3066" t="str">
        <f>"25"</f>
        <v>25</v>
      </c>
      <c r="F3066" t="str">
        <f t="shared" si="555"/>
        <v>COM</v>
      </c>
      <c r="G3066" t="str">
        <f>"CASSIO DIAS RIBEIRO (32)"</f>
        <v>CASSIO DIAS RIBEIRO (32)</v>
      </c>
      <c r="H3066" t="s">
        <v>57</v>
      </c>
      <c r="I3066" t="str">
        <f t="shared" si="557"/>
        <v>25/09/2025</v>
      </c>
      <c r="J3066" t="str">
        <f>("21/08/2025")</f>
        <v>21/08/2025</v>
      </c>
      <c r="K3066">
        <v>45924</v>
      </c>
      <c r="N3066">
        <v>129</v>
      </c>
      <c r="O3066" t="s">
        <v>58</v>
      </c>
      <c r="Q3066">
        <v>150</v>
      </c>
      <c r="R3066" t="str">
        <f>"CASSIO DIAS RIBEIRO (32)"</f>
        <v>CASSIO DIAS RIBEIRO (32)</v>
      </c>
      <c r="S3066" t="s">
        <v>59</v>
      </c>
      <c r="T3066">
        <v>18634</v>
      </c>
      <c r="U3066">
        <v>20771</v>
      </c>
      <c r="V3066" t="s">
        <v>48</v>
      </c>
    </row>
    <row r="3067" spans="1:22">
      <c r="A3067" t="str">
        <f t="shared" si="556"/>
        <v>24/09/2025</v>
      </c>
      <c r="B3067" t="str">
        <f>"ENTRADA"</f>
        <v>ENTRADA</v>
      </c>
      <c r="C3067" t="str">
        <f>"DINHEIRO"</f>
        <v>DINHEIRO</v>
      </c>
      <c r="D3067" t="str">
        <f>"1809"</f>
        <v>1809</v>
      </c>
      <c r="E3067" t="str">
        <f>"25"</f>
        <v>25</v>
      </c>
      <c r="F3067" t="str">
        <f t="shared" si="555"/>
        <v>COM</v>
      </c>
      <c r="G3067" t="str">
        <f>"MAYKON LOPES DE MENEZES (781)"</f>
        <v>MAYKON LOPES DE MENEZES (781)</v>
      </c>
      <c r="H3067" t="str">
        <f>"REEMBOLSO ADIANTAMENTO"</f>
        <v>REEMBOLSO ADIANTAMENTO</v>
      </c>
      <c r="I3067" t="str">
        <f t="shared" si="557"/>
        <v>25/09/2025</v>
      </c>
      <c r="J3067" t="str">
        <f>("11/09/2025")</f>
        <v>11/09/2025</v>
      </c>
      <c r="K3067" t="str">
        <f>("24/09/2025")</f>
        <v>24/09/2025</v>
      </c>
      <c r="L3067">
        <v>175</v>
      </c>
      <c r="M3067">
        <v>175</v>
      </c>
      <c r="N3067">
        <v>129</v>
      </c>
      <c r="O3067" t="str">
        <f>"ENTRADA DE REEMBOLSO ADIANTAMENTO"</f>
        <v>ENTRADA DE REEMBOLSO ADIANTAMENTO</v>
      </c>
      <c r="P3067">
        <v>175</v>
      </c>
      <c r="S3067" t="str">
        <f>"ENTRADA DE REEMBOLSO ADIANTAMENTO (129)"</f>
        <v>ENTRADA DE REEMBOLSO ADIANTAMENTO (129)</v>
      </c>
      <c r="T3067">
        <v>18635</v>
      </c>
      <c r="U3067">
        <v>21856</v>
      </c>
      <c r="V3067" t="s">
        <v>48</v>
      </c>
    </row>
    <row r="3068" spans="1:22">
      <c r="A3068" t="str">
        <f t="shared" si="556"/>
        <v>24/09/2025</v>
      </c>
      <c r="B3068" t="str">
        <f>"ENTRADA"</f>
        <v>ENTRADA</v>
      </c>
      <c r="C3068" t="str">
        <f>"DINHEIRO"</f>
        <v>DINHEIRO</v>
      </c>
      <c r="D3068" t="str">
        <f>"1809"</f>
        <v>1809</v>
      </c>
      <c r="E3068" t="str">
        <f>"25"</f>
        <v>25</v>
      </c>
      <c r="F3068" t="str">
        <f t="shared" si="555"/>
        <v>COM</v>
      </c>
      <c r="G3068" t="str">
        <f>"MAYKON LOPES DE MENEZES (781)"</f>
        <v>MAYKON LOPES DE MENEZES (781)</v>
      </c>
      <c r="H3068" t="s">
        <v>57</v>
      </c>
      <c r="I3068" t="str">
        <f t="shared" si="557"/>
        <v>25/09/2025</v>
      </c>
      <c r="J3068" t="str">
        <f>("11/09/2025")</f>
        <v>11/09/2025</v>
      </c>
      <c r="K3068">
        <v>45924</v>
      </c>
      <c r="N3068">
        <v>129</v>
      </c>
      <c r="O3068" t="s">
        <v>58</v>
      </c>
      <c r="Q3068">
        <v>175</v>
      </c>
      <c r="R3068" t="str">
        <f>"MAYKON LOPES DE MENEZES (781)"</f>
        <v>MAYKON LOPES DE MENEZES (781)</v>
      </c>
      <c r="S3068" t="s">
        <v>59</v>
      </c>
      <c r="T3068">
        <v>18635</v>
      </c>
      <c r="U3068">
        <v>21856</v>
      </c>
      <c r="V3068" t="s">
        <v>48</v>
      </c>
    </row>
    <row r="3069" spans="1:22">
      <c r="A3069" t="str">
        <f t="shared" si="556"/>
        <v>24/09/2025</v>
      </c>
      <c r="B3069" t="str">
        <f>"SAÍDA"</f>
        <v>SAÍDA</v>
      </c>
      <c r="C3069" t="str">
        <f>"PIX"</f>
        <v>PIX</v>
      </c>
      <c r="D3069" t="str">
        <f>"22237"</f>
        <v>22237</v>
      </c>
      <c r="E3069" t="str">
        <f>"1"</f>
        <v>1</v>
      </c>
      <c r="F3069" t="str">
        <f t="shared" si="555"/>
        <v>COM</v>
      </c>
      <c r="G3069" t="str">
        <f>"MAYKON LOPES DE MENEZES (781)"</f>
        <v>MAYKON LOPES DE MENEZES (781)</v>
      </c>
      <c r="H3069" t="str">
        <f>"Serv.Prest. 15/09/2025 a 21/09/2025 - PIX: CPF - CHAVE: 012.600.851-55"</f>
        <v>Serv.Prest. 15/09/2025 a 21/09/2025 - PIX: CPF - CHAVE: 012.600.851-55</v>
      </c>
      <c r="I3069" t="str">
        <f t="shared" si="557"/>
        <v>25/09/2025</v>
      </c>
      <c r="J3069" t="str">
        <f>("22/09/2025")</f>
        <v>22/09/2025</v>
      </c>
      <c r="K3069" t="str">
        <f>("24/09/2025")</f>
        <v>24/09/2025</v>
      </c>
      <c r="L3069">
        <v>175</v>
      </c>
      <c r="M3069">
        <v>175</v>
      </c>
      <c r="N3069">
        <v>109</v>
      </c>
      <c r="O3069" t="str">
        <f>"PAGAMENTO DE ENTREGADORES"</f>
        <v>PAGAMENTO DE ENTREGADORES</v>
      </c>
      <c r="P3069">
        <v>175</v>
      </c>
      <c r="S3069" t="str">
        <f>"CAIXA MOVIMENTAÇÃO OPERACIONAL (132)"</f>
        <v>CAIXA MOVIMENTAÇÃO OPERACIONAL (132)</v>
      </c>
      <c r="T3069">
        <v>18636</v>
      </c>
      <c r="U3069">
        <v>22488</v>
      </c>
      <c r="V3069" t="s">
        <v>48</v>
      </c>
    </row>
    <row r="3070" spans="1:22">
      <c r="A3070" t="str">
        <f t="shared" si="556"/>
        <v>24/09/2025</v>
      </c>
      <c r="B3070" t="str">
        <f>"SAÍDA"</f>
        <v>SAÍDA</v>
      </c>
      <c r="C3070" t="str">
        <f>"PIX"</f>
        <v>PIX</v>
      </c>
      <c r="D3070" t="str">
        <f>"22237"</f>
        <v>22237</v>
      </c>
      <c r="E3070" t="str">
        <f>"1"</f>
        <v>1</v>
      </c>
      <c r="F3070" t="str">
        <f t="shared" si="555"/>
        <v>COM</v>
      </c>
      <c r="G3070" t="str">
        <f>"MAYKON LOPES DE MENEZES (781)"</f>
        <v>MAYKON LOPES DE MENEZES (781)</v>
      </c>
      <c r="H3070" t="s">
        <v>846</v>
      </c>
      <c r="I3070" t="str">
        <f t="shared" si="557"/>
        <v>25/09/2025</v>
      </c>
      <c r="J3070" t="str">
        <f>("22/09/2025")</f>
        <v>22/09/2025</v>
      </c>
      <c r="K3070">
        <v>45924</v>
      </c>
      <c r="N3070">
        <v>109</v>
      </c>
      <c r="O3070" t="s">
        <v>24</v>
      </c>
      <c r="Q3070">
        <v>175</v>
      </c>
      <c r="R3070" t="str">
        <f>"BRASIL FARMA (10173)"</f>
        <v>BRASIL FARMA (10173)</v>
      </c>
      <c r="S3070" t="s">
        <v>48</v>
      </c>
      <c r="T3070">
        <v>18636</v>
      </c>
      <c r="U3070">
        <v>22488</v>
      </c>
      <c r="V3070" t="s">
        <v>48</v>
      </c>
    </row>
    <row r="3071" spans="1:22">
      <c r="A3071" t="str">
        <f t="shared" si="556"/>
        <v>24/09/2025</v>
      </c>
      <c r="B3071" t="str">
        <f>"SAÍDA"</f>
        <v>SAÍDA</v>
      </c>
      <c r="C3071" t="str">
        <f>"PIX"</f>
        <v>PIX</v>
      </c>
      <c r="D3071" t="str">
        <f>"22048"</f>
        <v>22048</v>
      </c>
      <c r="E3071" t="str">
        <f>"1"</f>
        <v>1</v>
      </c>
      <c r="F3071" t="str">
        <f t="shared" si="555"/>
        <v>COM</v>
      </c>
      <c r="G3071" t="str">
        <f>"MOABIO AZEVEDO DOS SANTOS (131)"</f>
        <v>MOABIO AZEVEDO DOS SANTOS (131)</v>
      </c>
      <c r="H3071" t="str">
        <f>"Serv.Prest. 08/09/2025 a 14/09/2025 - PIX: CNPJ - CHAVE: 33.412.676/0001-41"</f>
        <v>Serv.Prest. 08/09/2025 a 14/09/2025 - PIX: CNPJ - CHAVE: 33.412.676/0001-41</v>
      </c>
      <c r="I3071" t="str">
        <f t="shared" si="557"/>
        <v>25/09/2025</v>
      </c>
      <c r="J3071" t="str">
        <f>("15/09/2025")</f>
        <v>15/09/2025</v>
      </c>
      <c r="K3071" t="str">
        <f>("24/09/2025")</f>
        <v>24/09/2025</v>
      </c>
      <c r="L3071">
        <v>276</v>
      </c>
      <c r="M3071">
        <v>276</v>
      </c>
      <c r="N3071">
        <v>109</v>
      </c>
      <c r="O3071" t="str">
        <f>"PAGAMENTO DE ENTREGADORES"</f>
        <v>PAGAMENTO DE ENTREGADORES</v>
      </c>
      <c r="P3071">
        <v>276</v>
      </c>
      <c r="S3071" t="str">
        <f>"CAIXA MOVIMENTAÇÃO OPERACIONAL (132)"</f>
        <v>CAIXA MOVIMENTAÇÃO OPERACIONAL (132)</v>
      </c>
      <c r="T3071">
        <v>18637</v>
      </c>
      <c r="U3071">
        <v>22489</v>
      </c>
      <c r="V3071" t="s">
        <v>48</v>
      </c>
    </row>
    <row r="3072" spans="1:22">
      <c r="A3072" t="str">
        <f t="shared" si="556"/>
        <v>24/09/2025</v>
      </c>
      <c r="B3072" t="str">
        <f>"SAÍDA"</f>
        <v>SAÍDA</v>
      </c>
      <c r="C3072" t="str">
        <f>"PIX"</f>
        <v>PIX</v>
      </c>
      <c r="D3072" t="str">
        <f>"22048"</f>
        <v>22048</v>
      </c>
      <c r="E3072" t="str">
        <f>"1"</f>
        <v>1</v>
      </c>
      <c r="F3072" t="str">
        <f t="shared" si="555"/>
        <v>COM</v>
      </c>
      <c r="G3072" t="str">
        <f>"MOABIO AZEVEDO DOS SANTOS (131)"</f>
        <v>MOABIO AZEVEDO DOS SANTOS (131)</v>
      </c>
      <c r="H3072" t="s">
        <v>847</v>
      </c>
      <c r="I3072" t="str">
        <f t="shared" si="557"/>
        <v>25/09/2025</v>
      </c>
      <c r="J3072" t="str">
        <f>("15/09/2025")</f>
        <v>15/09/2025</v>
      </c>
      <c r="K3072">
        <v>45924</v>
      </c>
      <c r="N3072">
        <v>109</v>
      </c>
      <c r="O3072" t="s">
        <v>24</v>
      </c>
      <c r="Q3072">
        <v>276</v>
      </c>
      <c r="R3072" t="str">
        <f>"FARMÁCIA INDIANA LJ 91 (10037)"</f>
        <v>FARMÁCIA INDIANA LJ 91 (10037)</v>
      </c>
      <c r="S3072" t="s">
        <v>48</v>
      </c>
      <c r="T3072">
        <v>18637</v>
      </c>
      <c r="U3072">
        <v>22489</v>
      </c>
      <c r="V3072" t="s">
        <v>48</v>
      </c>
    </row>
    <row r="3073" spans="1:22">
      <c r="A3073" t="str">
        <f t="shared" si="556"/>
        <v>24/09/2025</v>
      </c>
      <c r="B3073" t="str">
        <f>"ENTRADA"</f>
        <v>ENTRADA</v>
      </c>
      <c r="C3073" t="str">
        <f>"DINHEIRO"</f>
        <v>DINHEIRO</v>
      </c>
      <c r="D3073" t="str">
        <f>"2509"</f>
        <v>2509</v>
      </c>
      <c r="E3073" t="str">
        <f>"25"</f>
        <v>25</v>
      </c>
      <c r="F3073" t="str">
        <f t="shared" si="555"/>
        <v>COM</v>
      </c>
      <c r="G3073" t="str">
        <f>"MOABIO AZEVEDO DOS SANTOS (131)"</f>
        <v>MOABIO AZEVEDO DOS SANTOS (131)</v>
      </c>
      <c r="H3073" t="str">
        <f>"REEMBOLSO ADIANTAMENTO"</f>
        <v>REEMBOLSO ADIANTAMENTO</v>
      </c>
      <c r="I3073" t="str">
        <f t="shared" si="557"/>
        <v>25/09/2025</v>
      </c>
      <c r="J3073" t="str">
        <f>("11/09/2025")</f>
        <v>11/09/2025</v>
      </c>
      <c r="K3073" t="str">
        <f>("24/09/2025")</f>
        <v>24/09/2025</v>
      </c>
      <c r="L3073">
        <v>276</v>
      </c>
      <c r="M3073">
        <v>276</v>
      </c>
      <c r="N3073">
        <v>129</v>
      </c>
      <c r="O3073" t="str">
        <f>"ENTRADA DE REEMBOLSO ADIANTAMENTO"</f>
        <v>ENTRADA DE REEMBOLSO ADIANTAMENTO</v>
      </c>
      <c r="P3073">
        <v>276</v>
      </c>
      <c r="S3073" t="str">
        <f>"ENTRADA DE REEMBOLSO ADIANTAMENTO (129)"</f>
        <v>ENTRADA DE REEMBOLSO ADIANTAMENTO (129)</v>
      </c>
      <c r="T3073">
        <v>18638</v>
      </c>
      <c r="U3073">
        <v>21920</v>
      </c>
      <c r="V3073" t="s">
        <v>48</v>
      </c>
    </row>
    <row r="3074" spans="1:22">
      <c r="A3074" t="str">
        <f t="shared" si="556"/>
        <v>24/09/2025</v>
      </c>
      <c r="B3074" t="str">
        <f>"ENTRADA"</f>
        <v>ENTRADA</v>
      </c>
      <c r="C3074" t="str">
        <f>"DINHEIRO"</f>
        <v>DINHEIRO</v>
      </c>
      <c r="D3074" t="str">
        <f>"2509"</f>
        <v>2509</v>
      </c>
      <c r="E3074" t="str">
        <f>"25"</f>
        <v>25</v>
      </c>
      <c r="F3074" t="str">
        <f t="shared" si="555"/>
        <v>COM</v>
      </c>
      <c r="G3074" t="str">
        <f>"MOABIO AZEVEDO DOS SANTOS (131)"</f>
        <v>MOABIO AZEVEDO DOS SANTOS (131)</v>
      </c>
      <c r="H3074" t="s">
        <v>57</v>
      </c>
      <c r="I3074" t="str">
        <f t="shared" si="557"/>
        <v>25/09/2025</v>
      </c>
      <c r="J3074" t="str">
        <f>("11/09/2025")</f>
        <v>11/09/2025</v>
      </c>
      <c r="K3074">
        <v>45924</v>
      </c>
      <c r="N3074">
        <v>129</v>
      </c>
      <c r="O3074" t="s">
        <v>58</v>
      </c>
      <c r="Q3074">
        <v>276</v>
      </c>
      <c r="R3074" t="str">
        <f>"MOABIO AZEVEDO DOS SANTOS (131)"</f>
        <v>MOABIO AZEVEDO DOS SANTOS (131)</v>
      </c>
      <c r="S3074" t="s">
        <v>59</v>
      </c>
      <c r="T3074">
        <v>18638</v>
      </c>
      <c r="U3074">
        <v>21920</v>
      </c>
      <c r="V3074" t="s">
        <v>48</v>
      </c>
    </row>
    <row r="3075" spans="1:22">
      <c r="A3075" t="str">
        <f t="shared" si="556"/>
        <v>24/09/2025</v>
      </c>
      <c r="B3075" t="str">
        <f>"SAÍDA"</f>
        <v>SAÍDA</v>
      </c>
      <c r="C3075" t="str">
        <f>"PIX"</f>
        <v>PIX</v>
      </c>
      <c r="D3075" t="str">
        <f>"22138"</f>
        <v>22138</v>
      </c>
      <c r="E3075" t="str">
        <f>"1"</f>
        <v>1</v>
      </c>
      <c r="F3075" t="str">
        <f t="shared" si="555"/>
        <v>COM</v>
      </c>
      <c r="G3075" t="str">
        <f>"PEDRO HENRIQUE DA SILVA COSTA OLIVEIRA (852)"</f>
        <v>PEDRO HENRIQUE DA SILVA COSTA OLIVEIRA (852)</v>
      </c>
      <c r="H3075" t="str">
        <f>"Serv.Prest. 08/09/2025 a 14/09/2025 - PIX: E-MAIL - CHAVE: sypedrinho@gmail.com"</f>
        <v>Serv.Prest. 08/09/2025 a 14/09/2025 - PIX: E-MAIL - CHAVE: sypedrinho@gmail.com</v>
      </c>
      <c r="I3075" t="str">
        <f t="shared" si="557"/>
        <v>25/09/2025</v>
      </c>
      <c r="J3075" t="str">
        <f>("16/09/2025")</f>
        <v>16/09/2025</v>
      </c>
      <c r="K3075" t="str">
        <f>("24/09/2025")</f>
        <v>24/09/2025</v>
      </c>
      <c r="L3075">
        <v>100</v>
      </c>
      <c r="M3075">
        <v>100</v>
      </c>
      <c r="N3075">
        <v>109</v>
      </c>
      <c r="O3075" t="str">
        <f>"PAGAMENTO DE ENTREGADORES"</f>
        <v>PAGAMENTO DE ENTREGADORES</v>
      </c>
      <c r="P3075">
        <v>100</v>
      </c>
      <c r="S3075" t="str">
        <f>"CAIXA MOVIMENTAÇÃO OPERACIONAL (132)"</f>
        <v>CAIXA MOVIMENTAÇÃO OPERACIONAL (132)</v>
      </c>
      <c r="T3075">
        <v>18639</v>
      </c>
      <c r="U3075">
        <v>22490</v>
      </c>
      <c r="V3075" t="s">
        <v>48</v>
      </c>
    </row>
    <row r="3076" spans="1:22">
      <c r="A3076" t="str">
        <f t="shared" si="556"/>
        <v>24/09/2025</v>
      </c>
      <c r="B3076" t="str">
        <f>"SAÍDA"</f>
        <v>SAÍDA</v>
      </c>
      <c r="C3076" t="str">
        <f>"PIX"</f>
        <v>PIX</v>
      </c>
      <c r="D3076" t="str">
        <f>"22138"</f>
        <v>22138</v>
      </c>
      <c r="E3076" t="str">
        <f>"1"</f>
        <v>1</v>
      </c>
      <c r="F3076" t="str">
        <f t="shared" si="555"/>
        <v>COM</v>
      </c>
      <c r="G3076" t="str">
        <f>"PEDRO HENRIQUE DA SILVA COSTA OLIVEIRA (852)"</f>
        <v>PEDRO HENRIQUE DA SILVA COSTA OLIVEIRA (852)</v>
      </c>
      <c r="H3076" t="s">
        <v>848</v>
      </c>
      <c r="I3076" t="str">
        <f t="shared" si="557"/>
        <v>25/09/2025</v>
      </c>
      <c r="J3076" t="str">
        <f>("16/09/2025")</f>
        <v>16/09/2025</v>
      </c>
      <c r="K3076">
        <v>45924</v>
      </c>
      <c r="N3076">
        <v>109</v>
      </c>
      <c r="O3076" t="s">
        <v>24</v>
      </c>
      <c r="Q3076">
        <v>100</v>
      </c>
      <c r="R3076" t="str">
        <f>"FARMÁCIA INDIANA LJ 110 (10048)"</f>
        <v>FARMÁCIA INDIANA LJ 110 (10048)</v>
      </c>
      <c r="S3076" t="s">
        <v>48</v>
      </c>
      <c r="T3076">
        <v>18639</v>
      </c>
      <c r="U3076">
        <v>22490</v>
      </c>
      <c r="V3076" t="s">
        <v>48</v>
      </c>
    </row>
    <row r="3077" spans="1:22">
      <c r="A3077" t="str">
        <f t="shared" si="556"/>
        <v>24/09/2025</v>
      </c>
      <c r="B3077" t="str">
        <f>"ENTRADA"</f>
        <v>ENTRADA</v>
      </c>
      <c r="C3077" t="str">
        <f>"DINHEIRO"</f>
        <v>DINHEIRO</v>
      </c>
      <c r="D3077" t="str">
        <f>"2509"</f>
        <v>2509</v>
      </c>
      <c r="E3077" t="str">
        <f>"25"</f>
        <v>25</v>
      </c>
      <c r="F3077" t="str">
        <f t="shared" si="555"/>
        <v>COM</v>
      </c>
      <c r="G3077" t="str">
        <f>"PEDRO HENRIQUE DA SILVA COSTA OLIVEIRA (852)"</f>
        <v>PEDRO HENRIQUE DA SILVA COSTA OLIVEIRA (852)</v>
      </c>
      <c r="H3077" t="str">
        <f>"REEMBOLSO ADIANTAMENTO"</f>
        <v>REEMBOLSO ADIANTAMENTO</v>
      </c>
      <c r="I3077" t="str">
        <f t="shared" si="557"/>
        <v>25/09/2025</v>
      </c>
      <c r="J3077" t="str">
        <f>("12/09/2025")</f>
        <v>12/09/2025</v>
      </c>
      <c r="K3077" t="str">
        <f>("24/09/2025")</f>
        <v>24/09/2025</v>
      </c>
      <c r="L3077">
        <v>100</v>
      </c>
      <c r="M3077">
        <v>100</v>
      </c>
      <c r="N3077">
        <v>129</v>
      </c>
      <c r="O3077" t="str">
        <f>"ENTRADA DE REEMBOLSO ADIANTAMENTO"</f>
        <v>ENTRADA DE REEMBOLSO ADIANTAMENTO</v>
      </c>
      <c r="P3077">
        <v>100</v>
      </c>
      <c r="S3077" t="str">
        <f>"ENTRADA DE REEMBOLSO ADIANTAMENTO (129)"</f>
        <v>ENTRADA DE REEMBOLSO ADIANTAMENTO (129)</v>
      </c>
      <c r="T3077">
        <v>18640</v>
      </c>
      <c r="U3077">
        <v>21945</v>
      </c>
      <c r="V3077" t="s">
        <v>48</v>
      </c>
    </row>
    <row r="3078" spans="1:22">
      <c r="A3078" t="str">
        <f t="shared" si="556"/>
        <v>24/09/2025</v>
      </c>
      <c r="B3078" t="str">
        <f>"ENTRADA"</f>
        <v>ENTRADA</v>
      </c>
      <c r="C3078" t="str">
        <f>"DINHEIRO"</f>
        <v>DINHEIRO</v>
      </c>
      <c r="D3078" t="str">
        <f>"2509"</f>
        <v>2509</v>
      </c>
      <c r="E3078" t="str">
        <f>"25"</f>
        <v>25</v>
      </c>
      <c r="F3078" t="str">
        <f t="shared" si="555"/>
        <v>COM</v>
      </c>
      <c r="G3078" t="str">
        <f>"PEDRO HENRIQUE DA SILVA COSTA OLIVEIRA (852)"</f>
        <v>PEDRO HENRIQUE DA SILVA COSTA OLIVEIRA (852)</v>
      </c>
      <c r="H3078" t="s">
        <v>57</v>
      </c>
      <c r="I3078" t="str">
        <f t="shared" si="557"/>
        <v>25/09/2025</v>
      </c>
      <c r="J3078" t="str">
        <f>("12/09/2025")</f>
        <v>12/09/2025</v>
      </c>
      <c r="K3078">
        <v>45924</v>
      </c>
      <c r="N3078">
        <v>129</v>
      </c>
      <c r="O3078" t="s">
        <v>58</v>
      </c>
      <c r="Q3078">
        <v>100</v>
      </c>
      <c r="R3078" t="str">
        <f>"PEDRO HENRIQUE DA SILVA COSTA OLIVEIRA (852)"</f>
        <v>PEDRO HENRIQUE DA SILVA COSTA OLIVEIRA (852)</v>
      </c>
      <c r="S3078" t="s">
        <v>59</v>
      </c>
      <c r="T3078">
        <v>18640</v>
      </c>
      <c r="U3078">
        <v>21945</v>
      </c>
      <c r="V3078" t="s">
        <v>48</v>
      </c>
    </row>
    <row r="3079" spans="1:22">
      <c r="A3079" t="str">
        <f t="shared" si="556"/>
        <v>24/09/2025</v>
      </c>
      <c r="B3079" t="str">
        <f>"SAÍDA"</f>
        <v>SAÍDA</v>
      </c>
      <c r="C3079" t="str">
        <f>"PIX"</f>
        <v>PIX</v>
      </c>
      <c r="D3079" t="str">
        <f>"22278"</f>
        <v>22278</v>
      </c>
      <c r="E3079" t="str">
        <f t="shared" ref="E3079:E3110" si="558">"1"</f>
        <v>1</v>
      </c>
      <c r="F3079" t="str">
        <f t="shared" si="555"/>
        <v>COM</v>
      </c>
      <c r="G3079" t="str">
        <f>"ELIO CALDEIRA RIBEIRO JUNIOR (840)"</f>
        <v>ELIO CALDEIRA RIBEIRO JUNIOR (840)</v>
      </c>
      <c r="H3079" t="str">
        <f>"Serv.Prest. 15/09/2025 a 21/09/2025 - PIX: CPF - CHAVE: 463.491.858-70"</f>
        <v>Serv.Prest. 15/09/2025 a 21/09/2025 - PIX: CPF - CHAVE: 463.491.858-70</v>
      </c>
      <c r="I3079" t="str">
        <f t="shared" si="557"/>
        <v>25/09/2025</v>
      </c>
      <c r="J3079" t="str">
        <f>("22/09/2025")</f>
        <v>22/09/2025</v>
      </c>
      <c r="K3079" t="str">
        <f>("24/09/2025")</f>
        <v>24/09/2025</v>
      </c>
      <c r="L3079">
        <v>854</v>
      </c>
      <c r="M3079">
        <v>854</v>
      </c>
      <c r="N3079">
        <v>109</v>
      </c>
      <c r="O3079" t="str">
        <f>"PAGAMENTO DE ENTREGADORES"</f>
        <v>PAGAMENTO DE ENTREGADORES</v>
      </c>
      <c r="P3079">
        <v>854</v>
      </c>
      <c r="S3079" t="str">
        <f>"BANCO CORA (102)"</f>
        <v>BANCO CORA (102)</v>
      </c>
      <c r="T3079">
        <v>18644</v>
      </c>
      <c r="U3079">
        <v>22278</v>
      </c>
      <c r="V3079" t="s">
        <v>22</v>
      </c>
    </row>
    <row r="3080" spans="1:22">
      <c r="A3080" t="str">
        <f t="shared" si="556"/>
        <v>24/09/2025</v>
      </c>
      <c r="B3080" t="str">
        <f>"SAÍDA"</f>
        <v>SAÍDA</v>
      </c>
      <c r="C3080" t="str">
        <f>"PIX"</f>
        <v>PIX</v>
      </c>
      <c r="D3080" t="str">
        <f>"22278"</f>
        <v>22278</v>
      </c>
      <c r="E3080" t="str">
        <f t="shared" si="558"/>
        <v>1</v>
      </c>
      <c r="F3080" t="str">
        <f t="shared" si="555"/>
        <v>COM</v>
      </c>
      <c r="G3080" t="str">
        <f>"ELIO CALDEIRA RIBEIRO JUNIOR (840)"</f>
        <v>ELIO CALDEIRA RIBEIRO JUNIOR (840)</v>
      </c>
      <c r="H3080" t="s">
        <v>849</v>
      </c>
      <c r="I3080" t="str">
        <f t="shared" si="557"/>
        <v>25/09/2025</v>
      </c>
      <c r="J3080" t="str">
        <f>("22/09/2025")</f>
        <v>22/09/2025</v>
      </c>
      <c r="K3080">
        <v>45924</v>
      </c>
      <c r="N3080">
        <v>109</v>
      </c>
      <c r="O3080" t="s">
        <v>24</v>
      </c>
      <c r="Q3080">
        <v>854</v>
      </c>
      <c r="R3080" t="str">
        <f>"DROGARIA MEDIC CENTER LTDA (10172)"</f>
        <v>DROGARIA MEDIC CENTER LTDA (10172)</v>
      </c>
      <c r="S3080" t="s">
        <v>22</v>
      </c>
      <c r="T3080">
        <v>18644</v>
      </c>
      <c r="U3080">
        <v>22278</v>
      </c>
      <c r="V3080" t="s">
        <v>22</v>
      </c>
    </row>
    <row r="3081" spans="1:22">
      <c r="A3081" t="str">
        <f t="shared" si="556"/>
        <v>24/09/2025</v>
      </c>
      <c r="B3081" t="str">
        <f t="shared" ref="B3081:B3112" si="559">"ENTRADA"</f>
        <v>ENTRADA</v>
      </c>
      <c r="C3081" t="str">
        <f t="shared" ref="C3081:C3112" si="560">"NFSE"</f>
        <v>NFSE</v>
      </c>
      <c r="D3081" t="str">
        <f t="shared" ref="D3081:D3128" si="561">"3366"</f>
        <v>3366</v>
      </c>
      <c r="E3081" t="str">
        <f t="shared" si="558"/>
        <v>1</v>
      </c>
      <c r="F3081" t="str">
        <f t="shared" si="555"/>
        <v>COM</v>
      </c>
      <c r="G3081" t="str">
        <f t="shared" ref="G3081:G3112" si="562">"FARMÁCIA INDIANA LJ 1 (10126)"</f>
        <v>FARMÁCIA INDIANA LJ 1 (10126)</v>
      </c>
      <c r="H3081" t="str">
        <f>"Serv.Prest. 08/09/2025 a 14/09/2025 - RPS: 1242 - NFSe: 3366"</f>
        <v>Serv.Prest. 08/09/2025 a 14/09/2025 - RPS: 1242 - NFSe: 3366</v>
      </c>
      <c r="I3081" t="str">
        <f t="shared" ref="I3081:I3112" si="563">("24/09/2025")</f>
        <v>24/09/2025</v>
      </c>
      <c r="J3081" t="str">
        <f t="shared" ref="J3081:J3112" si="564">("16/09/2025")</f>
        <v>16/09/2025</v>
      </c>
      <c r="K3081" t="str">
        <f>("24/09/2025")</f>
        <v>24/09/2025</v>
      </c>
      <c r="L3081">
        <v>121996.85</v>
      </c>
      <c r="M3081">
        <v>121996.85</v>
      </c>
      <c r="N3081">
        <v>303</v>
      </c>
      <c r="O3081" t="str">
        <f>"RECEITAS COM ENTREGAS"</f>
        <v>RECEITAS COM ENTREGAS</v>
      </c>
      <c r="P3081">
        <v>121996.85</v>
      </c>
      <c r="S3081" t="str">
        <f>"RECEITAS COM ENTREGAS (303)"</f>
        <v>RECEITAS COM ENTREGAS (303)</v>
      </c>
      <c r="T3081">
        <v>18646</v>
      </c>
      <c r="U3081">
        <v>22057</v>
      </c>
      <c r="V3081" t="s">
        <v>77</v>
      </c>
    </row>
    <row r="3082" spans="1:22">
      <c r="A3082" t="str">
        <f t="shared" si="556"/>
        <v>24/09/2025</v>
      </c>
      <c r="B3082" t="str">
        <f t="shared" si="559"/>
        <v>ENTRADA</v>
      </c>
      <c r="C3082" t="str">
        <f t="shared" si="560"/>
        <v>NFSE</v>
      </c>
      <c r="D3082" t="str">
        <f t="shared" si="561"/>
        <v>3366</v>
      </c>
      <c r="E3082" t="str">
        <f t="shared" si="558"/>
        <v>1</v>
      </c>
      <c r="F3082" t="str">
        <f t="shared" ref="F3082:F3113" si="565">"COM"</f>
        <v>COM</v>
      </c>
      <c r="G3082" t="str">
        <f t="shared" si="562"/>
        <v>FARMÁCIA INDIANA LJ 1 (10126)</v>
      </c>
      <c r="H3082" t="s">
        <v>850</v>
      </c>
      <c r="I3082" t="str">
        <f t="shared" si="563"/>
        <v>24/09/2025</v>
      </c>
      <c r="J3082" t="str">
        <f t="shared" si="564"/>
        <v>16/09/2025</v>
      </c>
      <c r="K3082">
        <v>45924</v>
      </c>
      <c r="N3082">
        <v>303</v>
      </c>
      <c r="O3082" t="s">
        <v>69</v>
      </c>
      <c r="Q3082">
        <v>17494.37</v>
      </c>
      <c r="R3082" t="str">
        <f>"FARMÁCIA INDIANA LJ 06 (10006)"</f>
        <v>FARMÁCIA INDIANA LJ 06 (10006)</v>
      </c>
      <c r="S3082" t="s">
        <v>70</v>
      </c>
      <c r="T3082">
        <v>18646</v>
      </c>
      <c r="U3082">
        <v>22057</v>
      </c>
      <c r="V3082" t="s">
        <v>77</v>
      </c>
    </row>
    <row r="3083" spans="1:22">
      <c r="A3083" t="str">
        <f t="shared" si="556"/>
        <v>24/09/2025</v>
      </c>
      <c r="B3083" t="str">
        <f t="shared" si="559"/>
        <v>ENTRADA</v>
      </c>
      <c r="C3083" t="str">
        <f t="shared" si="560"/>
        <v>NFSE</v>
      </c>
      <c r="D3083" t="str">
        <f t="shared" si="561"/>
        <v>3366</v>
      </c>
      <c r="E3083" t="str">
        <f t="shared" si="558"/>
        <v>1</v>
      </c>
      <c r="F3083" t="str">
        <f t="shared" si="565"/>
        <v>COM</v>
      </c>
      <c r="G3083" t="str">
        <f t="shared" si="562"/>
        <v>FARMÁCIA INDIANA LJ 1 (10126)</v>
      </c>
      <c r="H3083" t="s">
        <v>850</v>
      </c>
      <c r="I3083" t="str">
        <f t="shared" si="563"/>
        <v>24/09/2025</v>
      </c>
      <c r="J3083" t="str">
        <f t="shared" si="564"/>
        <v>16/09/2025</v>
      </c>
      <c r="K3083">
        <v>45924</v>
      </c>
      <c r="N3083">
        <v>303</v>
      </c>
      <c r="O3083" t="s">
        <v>69</v>
      </c>
      <c r="Q3083">
        <v>13163.46</v>
      </c>
      <c r="R3083" t="str">
        <f>"FARMÁCIA INDIANA LJ 07 (10007)"</f>
        <v>FARMÁCIA INDIANA LJ 07 (10007)</v>
      </c>
      <c r="S3083" t="s">
        <v>70</v>
      </c>
      <c r="T3083">
        <v>18646</v>
      </c>
      <c r="U3083">
        <v>22057</v>
      </c>
      <c r="V3083" t="s">
        <v>77</v>
      </c>
    </row>
    <row r="3084" spans="1:22">
      <c r="A3084" t="str">
        <f t="shared" si="556"/>
        <v>24/09/2025</v>
      </c>
      <c r="B3084" t="str">
        <f t="shared" si="559"/>
        <v>ENTRADA</v>
      </c>
      <c r="C3084" t="str">
        <f t="shared" si="560"/>
        <v>NFSE</v>
      </c>
      <c r="D3084" t="str">
        <f t="shared" si="561"/>
        <v>3366</v>
      </c>
      <c r="E3084" t="str">
        <f t="shared" si="558"/>
        <v>1</v>
      </c>
      <c r="F3084" t="str">
        <f t="shared" si="565"/>
        <v>COM</v>
      </c>
      <c r="G3084" t="str">
        <f t="shared" si="562"/>
        <v>FARMÁCIA INDIANA LJ 1 (10126)</v>
      </c>
      <c r="H3084" t="s">
        <v>850</v>
      </c>
      <c r="I3084" t="str">
        <f t="shared" si="563"/>
        <v>24/09/2025</v>
      </c>
      <c r="J3084" t="str">
        <f t="shared" si="564"/>
        <v>16/09/2025</v>
      </c>
      <c r="K3084">
        <v>45924</v>
      </c>
      <c r="N3084">
        <v>303</v>
      </c>
      <c r="O3084" t="s">
        <v>69</v>
      </c>
      <c r="Q3084">
        <v>9564.5499999999993</v>
      </c>
      <c r="R3084" t="str">
        <f>"FARMÁCIA INDIANA LJ 11 (10008)"</f>
        <v>FARMÁCIA INDIANA LJ 11 (10008)</v>
      </c>
      <c r="S3084" t="s">
        <v>70</v>
      </c>
      <c r="T3084">
        <v>18646</v>
      </c>
      <c r="U3084">
        <v>22057</v>
      </c>
      <c r="V3084" t="s">
        <v>77</v>
      </c>
    </row>
    <row r="3085" spans="1:22">
      <c r="A3085" t="str">
        <f t="shared" si="556"/>
        <v>24/09/2025</v>
      </c>
      <c r="B3085" t="str">
        <f t="shared" si="559"/>
        <v>ENTRADA</v>
      </c>
      <c r="C3085" t="str">
        <f t="shared" si="560"/>
        <v>NFSE</v>
      </c>
      <c r="D3085" t="str">
        <f t="shared" si="561"/>
        <v>3366</v>
      </c>
      <c r="E3085" t="str">
        <f t="shared" si="558"/>
        <v>1</v>
      </c>
      <c r="F3085" t="str">
        <f t="shared" si="565"/>
        <v>COM</v>
      </c>
      <c r="G3085" t="str">
        <f t="shared" si="562"/>
        <v>FARMÁCIA INDIANA LJ 1 (10126)</v>
      </c>
      <c r="H3085" t="s">
        <v>850</v>
      </c>
      <c r="I3085" t="str">
        <f t="shared" si="563"/>
        <v>24/09/2025</v>
      </c>
      <c r="J3085" t="str">
        <f t="shared" si="564"/>
        <v>16/09/2025</v>
      </c>
      <c r="K3085">
        <v>45924</v>
      </c>
      <c r="N3085">
        <v>303</v>
      </c>
      <c r="O3085" t="s">
        <v>69</v>
      </c>
      <c r="Q3085">
        <v>4770.08</v>
      </c>
      <c r="R3085" t="str">
        <f>"FARMÁCIA INDIANA LJ 14 (10009)"</f>
        <v>FARMÁCIA INDIANA LJ 14 (10009)</v>
      </c>
      <c r="S3085" t="s">
        <v>70</v>
      </c>
      <c r="T3085">
        <v>18646</v>
      </c>
      <c r="U3085">
        <v>22057</v>
      </c>
      <c r="V3085" t="s">
        <v>77</v>
      </c>
    </row>
    <row r="3086" spans="1:22">
      <c r="A3086" t="str">
        <f t="shared" ref="A3086:A3117" si="566">("24/09/2025")</f>
        <v>24/09/2025</v>
      </c>
      <c r="B3086" t="str">
        <f t="shared" si="559"/>
        <v>ENTRADA</v>
      </c>
      <c r="C3086" t="str">
        <f t="shared" si="560"/>
        <v>NFSE</v>
      </c>
      <c r="D3086" t="str">
        <f t="shared" si="561"/>
        <v>3366</v>
      </c>
      <c r="E3086" t="str">
        <f t="shared" si="558"/>
        <v>1</v>
      </c>
      <c r="F3086" t="str">
        <f t="shared" si="565"/>
        <v>COM</v>
      </c>
      <c r="G3086" t="str">
        <f t="shared" si="562"/>
        <v>FARMÁCIA INDIANA LJ 1 (10126)</v>
      </c>
      <c r="H3086" t="s">
        <v>850</v>
      </c>
      <c r="I3086" t="str">
        <f t="shared" si="563"/>
        <v>24/09/2025</v>
      </c>
      <c r="J3086" t="str">
        <f t="shared" si="564"/>
        <v>16/09/2025</v>
      </c>
      <c r="K3086">
        <v>45924</v>
      </c>
      <c r="N3086">
        <v>303</v>
      </c>
      <c r="O3086" t="s">
        <v>69</v>
      </c>
      <c r="Q3086">
        <v>3440.31</v>
      </c>
      <c r="R3086" t="str">
        <f>"FARMÁCIA INDIANA LJ 18 (10011)"</f>
        <v>FARMÁCIA INDIANA LJ 18 (10011)</v>
      </c>
      <c r="S3086" t="s">
        <v>70</v>
      </c>
      <c r="T3086">
        <v>18646</v>
      </c>
      <c r="U3086">
        <v>22057</v>
      </c>
      <c r="V3086" t="s">
        <v>77</v>
      </c>
    </row>
    <row r="3087" spans="1:22">
      <c r="A3087" t="str">
        <f t="shared" si="566"/>
        <v>24/09/2025</v>
      </c>
      <c r="B3087" t="str">
        <f t="shared" si="559"/>
        <v>ENTRADA</v>
      </c>
      <c r="C3087" t="str">
        <f t="shared" si="560"/>
        <v>NFSE</v>
      </c>
      <c r="D3087" t="str">
        <f t="shared" si="561"/>
        <v>3366</v>
      </c>
      <c r="E3087" t="str">
        <f t="shared" si="558"/>
        <v>1</v>
      </c>
      <c r="F3087" t="str">
        <f t="shared" si="565"/>
        <v>COM</v>
      </c>
      <c r="G3087" t="str">
        <f t="shared" si="562"/>
        <v>FARMÁCIA INDIANA LJ 1 (10126)</v>
      </c>
      <c r="H3087" t="s">
        <v>850</v>
      </c>
      <c r="I3087" t="str">
        <f t="shared" si="563"/>
        <v>24/09/2025</v>
      </c>
      <c r="J3087" t="str">
        <f t="shared" si="564"/>
        <v>16/09/2025</v>
      </c>
      <c r="K3087">
        <v>45924</v>
      </c>
      <c r="N3087">
        <v>303</v>
      </c>
      <c r="O3087" t="s">
        <v>69</v>
      </c>
      <c r="Q3087">
        <v>3464.71</v>
      </c>
      <c r="R3087" t="str">
        <f>"FARMÁCIA INDIANA LJ 19 (10012)"</f>
        <v>FARMÁCIA INDIANA LJ 19 (10012)</v>
      </c>
      <c r="S3087" t="s">
        <v>70</v>
      </c>
      <c r="T3087">
        <v>18646</v>
      </c>
      <c r="U3087">
        <v>22057</v>
      </c>
      <c r="V3087" t="s">
        <v>77</v>
      </c>
    </row>
    <row r="3088" spans="1:22">
      <c r="A3088" t="str">
        <f t="shared" si="566"/>
        <v>24/09/2025</v>
      </c>
      <c r="B3088" t="str">
        <f t="shared" si="559"/>
        <v>ENTRADA</v>
      </c>
      <c r="C3088" t="str">
        <f t="shared" si="560"/>
        <v>NFSE</v>
      </c>
      <c r="D3088" t="str">
        <f t="shared" si="561"/>
        <v>3366</v>
      </c>
      <c r="E3088" t="str">
        <f t="shared" si="558"/>
        <v>1</v>
      </c>
      <c r="F3088" t="str">
        <f t="shared" si="565"/>
        <v>COM</v>
      </c>
      <c r="G3088" t="str">
        <f t="shared" si="562"/>
        <v>FARMÁCIA INDIANA LJ 1 (10126)</v>
      </c>
      <c r="H3088" t="s">
        <v>850</v>
      </c>
      <c r="I3088" t="str">
        <f t="shared" si="563"/>
        <v>24/09/2025</v>
      </c>
      <c r="J3088" t="str">
        <f t="shared" si="564"/>
        <v>16/09/2025</v>
      </c>
      <c r="K3088">
        <v>45924</v>
      </c>
      <c r="N3088">
        <v>303</v>
      </c>
      <c r="O3088" t="s">
        <v>69</v>
      </c>
      <c r="Q3088">
        <v>10357.530000000001</v>
      </c>
      <c r="R3088" t="str">
        <f>"FARMÁCIA INDIANA LJ 40 (10016)"</f>
        <v>FARMÁCIA INDIANA LJ 40 (10016)</v>
      </c>
      <c r="S3088" t="s">
        <v>70</v>
      </c>
      <c r="T3088">
        <v>18646</v>
      </c>
      <c r="U3088">
        <v>22057</v>
      </c>
      <c r="V3088" t="s">
        <v>77</v>
      </c>
    </row>
    <row r="3089" spans="1:22">
      <c r="A3089" t="str">
        <f t="shared" si="566"/>
        <v>24/09/2025</v>
      </c>
      <c r="B3089" t="str">
        <f t="shared" si="559"/>
        <v>ENTRADA</v>
      </c>
      <c r="C3089" t="str">
        <f t="shared" si="560"/>
        <v>NFSE</v>
      </c>
      <c r="D3089" t="str">
        <f t="shared" si="561"/>
        <v>3366</v>
      </c>
      <c r="E3089" t="str">
        <f t="shared" si="558"/>
        <v>1</v>
      </c>
      <c r="F3089" t="str">
        <f t="shared" si="565"/>
        <v>COM</v>
      </c>
      <c r="G3089" t="str">
        <f t="shared" si="562"/>
        <v>FARMÁCIA INDIANA LJ 1 (10126)</v>
      </c>
      <c r="H3089" t="s">
        <v>850</v>
      </c>
      <c r="I3089" t="str">
        <f t="shared" si="563"/>
        <v>24/09/2025</v>
      </c>
      <c r="J3089" t="str">
        <f t="shared" si="564"/>
        <v>16/09/2025</v>
      </c>
      <c r="K3089">
        <v>45924</v>
      </c>
      <c r="N3089">
        <v>303</v>
      </c>
      <c r="O3089" t="s">
        <v>69</v>
      </c>
      <c r="Q3089">
        <v>1781.15</v>
      </c>
      <c r="R3089" t="str">
        <f>"FARMÁCIA INDIANA LJ 59 (10026)"</f>
        <v>FARMÁCIA INDIANA LJ 59 (10026)</v>
      </c>
      <c r="S3089" t="s">
        <v>70</v>
      </c>
      <c r="T3089">
        <v>18646</v>
      </c>
      <c r="U3089">
        <v>22057</v>
      </c>
      <c r="V3089" t="s">
        <v>77</v>
      </c>
    </row>
    <row r="3090" spans="1:22">
      <c r="A3090" t="str">
        <f t="shared" si="566"/>
        <v>24/09/2025</v>
      </c>
      <c r="B3090" t="str">
        <f t="shared" si="559"/>
        <v>ENTRADA</v>
      </c>
      <c r="C3090" t="str">
        <f t="shared" si="560"/>
        <v>NFSE</v>
      </c>
      <c r="D3090" t="str">
        <f t="shared" si="561"/>
        <v>3366</v>
      </c>
      <c r="E3090" t="str">
        <f t="shared" si="558"/>
        <v>1</v>
      </c>
      <c r="F3090" t="str">
        <f t="shared" si="565"/>
        <v>COM</v>
      </c>
      <c r="G3090" t="str">
        <f t="shared" si="562"/>
        <v>FARMÁCIA INDIANA LJ 1 (10126)</v>
      </c>
      <c r="H3090" t="s">
        <v>850</v>
      </c>
      <c r="I3090" t="str">
        <f t="shared" si="563"/>
        <v>24/09/2025</v>
      </c>
      <c r="J3090" t="str">
        <f t="shared" si="564"/>
        <v>16/09/2025</v>
      </c>
      <c r="K3090">
        <v>45924</v>
      </c>
      <c r="N3090">
        <v>303</v>
      </c>
      <c r="O3090" t="s">
        <v>69</v>
      </c>
      <c r="Q3090">
        <v>3879.5</v>
      </c>
      <c r="R3090" t="str">
        <f>"FARMÁCIA INDIANA LJ 61 (10027)"</f>
        <v>FARMÁCIA INDIANA LJ 61 (10027)</v>
      </c>
      <c r="S3090" t="s">
        <v>70</v>
      </c>
      <c r="T3090">
        <v>18646</v>
      </c>
      <c r="U3090">
        <v>22057</v>
      </c>
      <c r="V3090" t="s">
        <v>77</v>
      </c>
    </row>
    <row r="3091" spans="1:22">
      <c r="A3091" t="str">
        <f t="shared" si="566"/>
        <v>24/09/2025</v>
      </c>
      <c r="B3091" t="str">
        <f t="shared" si="559"/>
        <v>ENTRADA</v>
      </c>
      <c r="C3091" t="str">
        <f t="shared" si="560"/>
        <v>NFSE</v>
      </c>
      <c r="D3091" t="str">
        <f t="shared" si="561"/>
        <v>3366</v>
      </c>
      <c r="E3091" t="str">
        <f t="shared" si="558"/>
        <v>1</v>
      </c>
      <c r="F3091" t="str">
        <f t="shared" si="565"/>
        <v>COM</v>
      </c>
      <c r="G3091" t="str">
        <f t="shared" si="562"/>
        <v>FARMÁCIA INDIANA LJ 1 (10126)</v>
      </c>
      <c r="H3091" t="s">
        <v>850</v>
      </c>
      <c r="I3091" t="str">
        <f t="shared" si="563"/>
        <v>24/09/2025</v>
      </c>
      <c r="J3091" t="str">
        <f t="shared" si="564"/>
        <v>16/09/2025</v>
      </c>
      <c r="K3091">
        <v>45924</v>
      </c>
      <c r="N3091">
        <v>303</v>
      </c>
      <c r="O3091" t="s">
        <v>69</v>
      </c>
      <c r="Q3091">
        <v>1561.56</v>
      </c>
      <c r="R3091" t="str">
        <f>"FARMÁCIA INDIANA LJ 62 (10028)"</f>
        <v>FARMÁCIA INDIANA LJ 62 (10028)</v>
      </c>
      <c r="S3091" t="s">
        <v>70</v>
      </c>
      <c r="T3091">
        <v>18646</v>
      </c>
      <c r="U3091">
        <v>22057</v>
      </c>
      <c r="V3091" t="s">
        <v>77</v>
      </c>
    </row>
    <row r="3092" spans="1:22">
      <c r="A3092" t="str">
        <f t="shared" si="566"/>
        <v>24/09/2025</v>
      </c>
      <c r="B3092" t="str">
        <f t="shared" si="559"/>
        <v>ENTRADA</v>
      </c>
      <c r="C3092" t="str">
        <f t="shared" si="560"/>
        <v>NFSE</v>
      </c>
      <c r="D3092" t="str">
        <f t="shared" si="561"/>
        <v>3366</v>
      </c>
      <c r="E3092" t="str">
        <f t="shared" si="558"/>
        <v>1</v>
      </c>
      <c r="F3092" t="str">
        <f t="shared" si="565"/>
        <v>COM</v>
      </c>
      <c r="G3092" t="str">
        <f t="shared" si="562"/>
        <v>FARMÁCIA INDIANA LJ 1 (10126)</v>
      </c>
      <c r="H3092" t="s">
        <v>850</v>
      </c>
      <c r="I3092" t="str">
        <f t="shared" si="563"/>
        <v>24/09/2025</v>
      </c>
      <c r="J3092" t="str">
        <f t="shared" si="564"/>
        <v>16/09/2025</v>
      </c>
      <c r="K3092">
        <v>45924</v>
      </c>
      <c r="N3092">
        <v>303</v>
      </c>
      <c r="O3092" t="s">
        <v>69</v>
      </c>
      <c r="Q3092">
        <v>609.98</v>
      </c>
      <c r="R3092" t="str">
        <f>"FARMÁCIA INDIANA LJ 64 (10029)"</f>
        <v>FARMÁCIA INDIANA LJ 64 (10029)</v>
      </c>
      <c r="S3092" t="s">
        <v>70</v>
      </c>
      <c r="T3092">
        <v>18646</v>
      </c>
      <c r="U3092">
        <v>22057</v>
      </c>
      <c r="V3092" t="s">
        <v>77</v>
      </c>
    </row>
    <row r="3093" spans="1:22">
      <c r="A3093" t="str">
        <f t="shared" si="566"/>
        <v>24/09/2025</v>
      </c>
      <c r="B3093" t="str">
        <f t="shared" si="559"/>
        <v>ENTRADA</v>
      </c>
      <c r="C3093" t="str">
        <f t="shared" si="560"/>
        <v>NFSE</v>
      </c>
      <c r="D3093" t="str">
        <f t="shared" si="561"/>
        <v>3366</v>
      </c>
      <c r="E3093" t="str">
        <f t="shared" si="558"/>
        <v>1</v>
      </c>
      <c r="F3093" t="str">
        <f t="shared" si="565"/>
        <v>COM</v>
      </c>
      <c r="G3093" t="str">
        <f t="shared" si="562"/>
        <v>FARMÁCIA INDIANA LJ 1 (10126)</v>
      </c>
      <c r="H3093" t="s">
        <v>850</v>
      </c>
      <c r="I3093" t="str">
        <f t="shared" si="563"/>
        <v>24/09/2025</v>
      </c>
      <c r="J3093" t="str">
        <f t="shared" si="564"/>
        <v>16/09/2025</v>
      </c>
      <c r="K3093">
        <v>45924</v>
      </c>
      <c r="N3093">
        <v>303</v>
      </c>
      <c r="O3093" t="s">
        <v>69</v>
      </c>
      <c r="Q3093">
        <v>609.98</v>
      </c>
      <c r="R3093" t="str">
        <f>"FARMÁCIA INDIANA LJ 97 (10040)"</f>
        <v>FARMÁCIA INDIANA LJ 97 (10040)</v>
      </c>
      <c r="S3093" t="s">
        <v>70</v>
      </c>
      <c r="T3093">
        <v>18646</v>
      </c>
      <c r="U3093">
        <v>22057</v>
      </c>
      <c r="V3093" t="s">
        <v>77</v>
      </c>
    </row>
    <row r="3094" spans="1:22">
      <c r="A3094" t="str">
        <f t="shared" si="566"/>
        <v>24/09/2025</v>
      </c>
      <c r="B3094" t="str">
        <f t="shared" si="559"/>
        <v>ENTRADA</v>
      </c>
      <c r="C3094" t="str">
        <f t="shared" si="560"/>
        <v>NFSE</v>
      </c>
      <c r="D3094" t="str">
        <f t="shared" si="561"/>
        <v>3366</v>
      </c>
      <c r="E3094" t="str">
        <f t="shared" si="558"/>
        <v>1</v>
      </c>
      <c r="F3094" t="str">
        <f t="shared" si="565"/>
        <v>COM</v>
      </c>
      <c r="G3094" t="str">
        <f t="shared" si="562"/>
        <v>FARMÁCIA INDIANA LJ 1 (10126)</v>
      </c>
      <c r="H3094" t="s">
        <v>850</v>
      </c>
      <c r="I3094" t="str">
        <f t="shared" si="563"/>
        <v>24/09/2025</v>
      </c>
      <c r="J3094" t="str">
        <f t="shared" si="564"/>
        <v>16/09/2025</v>
      </c>
      <c r="K3094">
        <v>45924</v>
      </c>
      <c r="N3094">
        <v>303</v>
      </c>
      <c r="O3094" t="s">
        <v>69</v>
      </c>
      <c r="Q3094">
        <v>1695.76</v>
      </c>
      <c r="R3094" t="str">
        <f>"FARMÁCIA INDIANA LJ 100 (10042)"</f>
        <v>FARMÁCIA INDIANA LJ 100 (10042)</v>
      </c>
      <c r="S3094" t="s">
        <v>70</v>
      </c>
      <c r="T3094">
        <v>18646</v>
      </c>
      <c r="U3094">
        <v>22057</v>
      </c>
      <c r="V3094" t="s">
        <v>77</v>
      </c>
    </row>
    <row r="3095" spans="1:22">
      <c r="A3095" t="str">
        <f t="shared" si="566"/>
        <v>24/09/2025</v>
      </c>
      <c r="B3095" t="str">
        <f t="shared" si="559"/>
        <v>ENTRADA</v>
      </c>
      <c r="C3095" t="str">
        <f t="shared" si="560"/>
        <v>NFSE</v>
      </c>
      <c r="D3095" t="str">
        <f t="shared" si="561"/>
        <v>3366</v>
      </c>
      <c r="E3095" t="str">
        <f t="shared" si="558"/>
        <v>1</v>
      </c>
      <c r="F3095" t="str">
        <f t="shared" si="565"/>
        <v>COM</v>
      </c>
      <c r="G3095" t="str">
        <f t="shared" si="562"/>
        <v>FARMÁCIA INDIANA LJ 1 (10126)</v>
      </c>
      <c r="H3095" t="s">
        <v>850</v>
      </c>
      <c r="I3095" t="str">
        <f t="shared" si="563"/>
        <v>24/09/2025</v>
      </c>
      <c r="J3095" t="str">
        <f t="shared" si="564"/>
        <v>16/09/2025</v>
      </c>
      <c r="K3095">
        <v>45924</v>
      </c>
      <c r="N3095">
        <v>303</v>
      </c>
      <c r="O3095" t="s">
        <v>69</v>
      </c>
      <c r="Q3095">
        <v>5770.45</v>
      </c>
      <c r="R3095" t="str">
        <f>"FARMÁCIA INDIANA LJ 101 (10043)"</f>
        <v>FARMÁCIA INDIANA LJ 101 (10043)</v>
      </c>
      <c r="S3095" t="s">
        <v>70</v>
      </c>
      <c r="T3095">
        <v>18646</v>
      </c>
      <c r="U3095">
        <v>22057</v>
      </c>
      <c r="V3095" t="s">
        <v>77</v>
      </c>
    </row>
    <row r="3096" spans="1:22">
      <c r="A3096" t="str">
        <f t="shared" si="566"/>
        <v>24/09/2025</v>
      </c>
      <c r="B3096" t="str">
        <f t="shared" si="559"/>
        <v>ENTRADA</v>
      </c>
      <c r="C3096" t="str">
        <f t="shared" si="560"/>
        <v>NFSE</v>
      </c>
      <c r="D3096" t="str">
        <f t="shared" si="561"/>
        <v>3366</v>
      </c>
      <c r="E3096" t="str">
        <f t="shared" si="558"/>
        <v>1</v>
      </c>
      <c r="F3096" t="str">
        <f t="shared" si="565"/>
        <v>COM</v>
      </c>
      <c r="G3096" t="str">
        <f t="shared" si="562"/>
        <v>FARMÁCIA INDIANA LJ 1 (10126)</v>
      </c>
      <c r="H3096" t="s">
        <v>850</v>
      </c>
      <c r="I3096" t="str">
        <f t="shared" si="563"/>
        <v>24/09/2025</v>
      </c>
      <c r="J3096" t="str">
        <f t="shared" si="564"/>
        <v>16/09/2025</v>
      </c>
      <c r="K3096">
        <v>45924</v>
      </c>
      <c r="N3096">
        <v>303</v>
      </c>
      <c r="O3096" t="s">
        <v>69</v>
      </c>
      <c r="Q3096">
        <v>756.38</v>
      </c>
      <c r="R3096" t="str">
        <f>"FARMÁCIA INDIANA LJ 103 (10044)"</f>
        <v>FARMÁCIA INDIANA LJ 103 (10044)</v>
      </c>
      <c r="S3096" t="s">
        <v>70</v>
      </c>
      <c r="T3096">
        <v>18646</v>
      </c>
      <c r="U3096">
        <v>22057</v>
      </c>
      <c r="V3096" t="s">
        <v>77</v>
      </c>
    </row>
    <row r="3097" spans="1:22">
      <c r="A3097" t="str">
        <f t="shared" si="566"/>
        <v>24/09/2025</v>
      </c>
      <c r="B3097" t="str">
        <f t="shared" si="559"/>
        <v>ENTRADA</v>
      </c>
      <c r="C3097" t="str">
        <f t="shared" si="560"/>
        <v>NFSE</v>
      </c>
      <c r="D3097" t="str">
        <f t="shared" si="561"/>
        <v>3366</v>
      </c>
      <c r="E3097" t="str">
        <f t="shared" si="558"/>
        <v>1</v>
      </c>
      <c r="F3097" t="str">
        <f t="shared" si="565"/>
        <v>COM</v>
      </c>
      <c r="G3097" t="str">
        <f t="shared" si="562"/>
        <v>FARMÁCIA INDIANA LJ 1 (10126)</v>
      </c>
      <c r="H3097" t="s">
        <v>850</v>
      </c>
      <c r="I3097" t="str">
        <f t="shared" si="563"/>
        <v>24/09/2025</v>
      </c>
      <c r="J3097" t="str">
        <f t="shared" si="564"/>
        <v>16/09/2025</v>
      </c>
      <c r="K3097">
        <v>45924</v>
      </c>
      <c r="N3097">
        <v>303</v>
      </c>
      <c r="O3097" t="s">
        <v>69</v>
      </c>
      <c r="Q3097">
        <v>2220.34</v>
      </c>
      <c r="R3097" t="str">
        <f>"FARMÁCIA INDIANA LJ 109 (10047)"</f>
        <v>FARMÁCIA INDIANA LJ 109 (10047)</v>
      </c>
      <c r="S3097" t="s">
        <v>70</v>
      </c>
      <c r="T3097">
        <v>18646</v>
      </c>
      <c r="U3097">
        <v>22057</v>
      </c>
      <c r="V3097" t="s">
        <v>77</v>
      </c>
    </row>
    <row r="3098" spans="1:22">
      <c r="A3098" t="str">
        <f t="shared" si="566"/>
        <v>24/09/2025</v>
      </c>
      <c r="B3098" t="str">
        <f t="shared" si="559"/>
        <v>ENTRADA</v>
      </c>
      <c r="C3098" t="str">
        <f t="shared" si="560"/>
        <v>NFSE</v>
      </c>
      <c r="D3098" t="str">
        <f t="shared" si="561"/>
        <v>3366</v>
      </c>
      <c r="E3098" t="str">
        <f t="shared" si="558"/>
        <v>1</v>
      </c>
      <c r="F3098" t="str">
        <f t="shared" si="565"/>
        <v>COM</v>
      </c>
      <c r="G3098" t="str">
        <f t="shared" si="562"/>
        <v>FARMÁCIA INDIANA LJ 1 (10126)</v>
      </c>
      <c r="H3098" t="s">
        <v>850</v>
      </c>
      <c r="I3098" t="str">
        <f t="shared" si="563"/>
        <v>24/09/2025</v>
      </c>
      <c r="J3098" t="str">
        <f t="shared" si="564"/>
        <v>16/09/2025</v>
      </c>
      <c r="K3098">
        <v>45924</v>
      </c>
      <c r="N3098">
        <v>303</v>
      </c>
      <c r="O3098" t="s">
        <v>69</v>
      </c>
      <c r="Q3098">
        <v>3391.51</v>
      </c>
      <c r="R3098" t="str">
        <f>"FARMÁCIA INDIANA LJ 110 (10048)"</f>
        <v>FARMÁCIA INDIANA LJ 110 (10048)</v>
      </c>
      <c r="S3098" t="s">
        <v>70</v>
      </c>
      <c r="T3098">
        <v>18646</v>
      </c>
      <c r="U3098">
        <v>22057</v>
      </c>
      <c r="V3098" t="s">
        <v>77</v>
      </c>
    </row>
    <row r="3099" spans="1:22">
      <c r="A3099" t="str">
        <f t="shared" si="566"/>
        <v>24/09/2025</v>
      </c>
      <c r="B3099" t="str">
        <f t="shared" si="559"/>
        <v>ENTRADA</v>
      </c>
      <c r="C3099" t="str">
        <f t="shared" si="560"/>
        <v>NFSE</v>
      </c>
      <c r="D3099" t="str">
        <f t="shared" si="561"/>
        <v>3366</v>
      </c>
      <c r="E3099" t="str">
        <f t="shared" si="558"/>
        <v>1</v>
      </c>
      <c r="F3099" t="str">
        <f t="shared" si="565"/>
        <v>COM</v>
      </c>
      <c r="G3099" t="str">
        <f t="shared" si="562"/>
        <v>FARMÁCIA INDIANA LJ 1 (10126)</v>
      </c>
      <c r="H3099" t="s">
        <v>850</v>
      </c>
      <c r="I3099" t="str">
        <f t="shared" si="563"/>
        <v>24/09/2025</v>
      </c>
      <c r="J3099" t="str">
        <f t="shared" si="564"/>
        <v>16/09/2025</v>
      </c>
      <c r="K3099">
        <v>45924</v>
      </c>
      <c r="N3099">
        <v>303</v>
      </c>
      <c r="O3099" t="s">
        <v>69</v>
      </c>
      <c r="Q3099">
        <v>585.58000000000004</v>
      </c>
      <c r="R3099" t="str">
        <f>"FARMÁCIA INDIANA LJ 111 (10049)"</f>
        <v>FARMÁCIA INDIANA LJ 111 (10049)</v>
      </c>
      <c r="S3099" t="s">
        <v>70</v>
      </c>
      <c r="T3099">
        <v>18646</v>
      </c>
      <c r="U3099">
        <v>22057</v>
      </c>
      <c r="V3099" t="s">
        <v>77</v>
      </c>
    </row>
    <row r="3100" spans="1:22">
      <c r="A3100" t="str">
        <f t="shared" si="566"/>
        <v>24/09/2025</v>
      </c>
      <c r="B3100" t="str">
        <f t="shared" si="559"/>
        <v>ENTRADA</v>
      </c>
      <c r="C3100" t="str">
        <f t="shared" si="560"/>
        <v>NFSE</v>
      </c>
      <c r="D3100" t="str">
        <f t="shared" si="561"/>
        <v>3366</v>
      </c>
      <c r="E3100" t="str">
        <f t="shared" si="558"/>
        <v>1</v>
      </c>
      <c r="F3100" t="str">
        <f t="shared" si="565"/>
        <v>COM</v>
      </c>
      <c r="G3100" t="str">
        <f t="shared" si="562"/>
        <v>FARMÁCIA INDIANA LJ 1 (10126)</v>
      </c>
      <c r="H3100" t="s">
        <v>850</v>
      </c>
      <c r="I3100" t="str">
        <f t="shared" si="563"/>
        <v>24/09/2025</v>
      </c>
      <c r="J3100" t="str">
        <f t="shared" si="564"/>
        <v>16/09/2025</v>
      </c>
      <c r="K3100">
        <v>45924</v>
      </c>
      <c r="N3100">
        <v>303</v>
      </c>
      <c r="O3100" t="s">
        <v>69</v>
      </c>
      <c r="Q3100">
        <v>853.98</v>
      </c>
      <c r="R3100" t="str">
        <f>"FARMÁCIA INDIANA LJ 112 (10050)"</f>
        <v>FARMÁCIA INDIANA LJ 112 (10050)</v>
      </c>
      <c r="S3100" t="s">
        <v>70</v>
      </c>
      <c r="T3100">
        <v>18646</v>
      </c>
      <c r="U3100">
        <v>22057</v>
      </c>
      <c r="V3100" t="s">
        <v>77</v>
      </c>
    </row>
    <row r="3101" spans="1:22">
      <c r="A3101" t="str">
        <f t="shared" si="566"/>
        <v>24/09/2025</v>
      </c>
      <c r="B3101" t="str">
        <f t="shared" si="559"/>
        <v>ENTRADA</v>
      </c>
      <c r="C3101" t="str">
        <f t="shared" si="560"/>
        <v>NFSE</v>
      </c>
      <c r="D3101" t="str">
        <f t="shared" si="561"/>
        <v>3366</v>
      </c>
      <c r="E3101" t="str">
        <f t="shared" si="558"/>
        <v>1</v>
      </c>
      <c r="F3101" t="str">
        <f t="shared" si="565"/>
        <v>COM</v>
      </c>
      <c r="G3101" t="str">
        <f t="shared" si="562"/>
        <v>FARMÁCIA INDIANA LJ 1 (10126)</v>
      </c>
      <c r="H3101" t="s">
        <v>850</v>
      </c>
      <c r="I3101" t="str">
        <f t="shared" si="563"/>
        <v>24/09/2025</v>
      </c>
      <c r="J3101" t="str">
        <f t="shared" si="564"/>
        <v>16/09/2025</v>
      </c>
      <c r="K3101">
        <v>45924</v>
      </c>
      <c r="N3101">
        <v>303</v>
      </c>
      <c r="O3101" t="s">
        <v>69</v>
      </c>
      <c r="Q3101">
        <v>853.98</v>
      </c>
      <c r="R3101" t="str">
        <f>"FARMÁCIA INDIANA LJ 116 (10051)"</f>
        <v>FARMÁCIA INDIANA LJ 116 (10051)</v>
      </c>
      <c r="S3101" t="s">
        <v>70</v>
      </c>
      <c r="T3101">
        <v>18646</v>
      </c>
      <c r="U3101">
        <v>22057</v>
      </c>
      <c r="V3101" t="s">
        <v>77</v>
      </c>
    </row>
    <row r="3102" spans="1:22">
      <c r="A3102" t="str">
        <f t="shared" si="566"/>
        <v>24/09/2025</v>
      </c>
      <c r="B3102" t="str">
        <f t="shared" si="559"/>
        <v>ENTRADA</v>
      </c>
      <c r="C3102" t="str">
        <f t="shared" si="560"/>
        <v>NFSE</v>
      </c>
      <c r="D3102" t="str">
        <f t="shared" si="561"/>
        <v>3366</v>
      </c>
      <c r="E3102" t="str">
        <f t="shared" si="558"/>
        <v>1</v>
      </c>
      <c r="F3102" t="str">
        <f t="shared" si="565"/>
        <v>COM</v>
      </c>
      <c r="G3102" t="str">
        <f t="shared" si="562"/>
        <v>FARMÁCIA INDIANA LJ 1 (10126)</v>
      </c>
      <c r="H3102" t="s">
        <v>850</v>
      </c>
      <c r="I3102" t="str">
        <f t="shared" si="563"/>
        <v>24/09/2025</v>
      </c>
      <c r="J3102" t="str">
        <f t="shared" si="564"/>
        <v>16/09/2025</v>
      </c>
      <c r="K3102">
        <v>45924</v>
      </c>
      <c r="N3102">
        <v>303</v>
      </c>
      <c r="O3102" t="s">
        <v>69</v>
      </c>
      <c r="Q3102">
        <v>817.38</v>
      </c>
      <c r="R3102" t="str">
        <f>"FARMÁCIA INDIANA LJ 118 (10052)"</f>
        <v>FARMÁCIA INDIANA LJ 118 (10052)</v>
      </c>
      <c r="S3102" t="s">
        <v>70</v>
      </c>
      <c r="T3102">
        <v>18646</v>
      </c>
      <c r="U3102">
        <v>22057</v>
      </c>
      <c r="V3102" t="s">
        <v>77</v>
      </c>
    </row>
    <row r="3103" spans="1:22">
      <c r="A3103" t="str">
        <f t="shared" si="566"/>
        <v>24/09/2025</v>
      </c>
      <c r="B3103" t="str">
        <f t="shared" si="559"/>
        <v>ENTRADA</v>
      </c>
      <c r="C3103" t="str">
        <f t="shared" si="560"/>
        <v>NFSE</v>
      </c>
      <c r="D3103" t="str">
        <f t="shared" si="561"/>
        <v>3366</v>
      </c>
      <c r="E3103" t="str">
        <f t="shared" si="558"/>
        <v>1</v>
      </c>
      <c r="F3103" t="str">
        <f t="shared" si="565"/>
        <v>COM</v>
      </c>
      <c r="G3103" t="str">
        <f t="shared" si="562"/>
        <v>FARMÁCIA INDIANA LJ 1 (10126)</v>
      </c>
      <c r="H3103" t="s">
        <v>850</v>
      </c>
      <c r="I3103" t="str">
        <f t="shared" si="563"/>
        <v>24/09/2025</v>
      </c>
      <c r="J3103" t="str">
        <f t="shared" si="564"/>
        <v>16/09/2025</v>
      </c>
      <c r="K3103">
        <v>45924</v>
      </c>
      <c r="N3103">
        <v>303</v>
      </c>
      <c r="O3103" t="s">
        <v>69</v>
      </c>
      <c r="Q3103">
        <v>853.98</v>
      </c>
      <c r="R3103" t="str">
        <f>"FARMÁCIA INDIANA LJ 121 (10054)"</f>
        <v>FARMÁCIA INDIANA LJ 121 (10054)</v>
      </c>
      <c r="S3103" t="s">
        <v>70</v>
      </c>
      <c r="T3103">
        <v>18646</v>
      </c>
      <c r="U3103">
        <v>22057</v>
      </c>
      <c r="V3103" t="s">
        <v>77</v>
      </c>
    </row>
    <row r="3104" spans="1:22">
      <c r="A3104" t="str">
        <f t="shared" si="566"/>
        <v>24/09/2025</v>
      </c>
      <c r="B3104" t="str">
        <f t="shared" si="559"/>
        <v>ENTRADA</v>
      </c>
      <c r="C3104" t="str">
        <f t="shared" si="560"/>
        <v>NFSE</v>
      </c>
      <c r="D3104" t="str">
        <f t="shared" si="561"/>
        <v>3366</v>
      </c>
      <c r="E3104" t="str">
        <f t="shared" si="558"/>
        <v>1</v>
      </c>
      <c r="F3104" t="str">
        <f t="shared" si="565"/>
        <v>COM</v>
      </c>
      <c r="G3104" t="str">
        <f t="shared" si="562"/>
        <v>FARMÁCIA INDIANA LJ 1 (10126)</v>
      </c>
      <c r="H3104" t="s">
        <v>850</v>
      </c>
      <c r="I3104" t="str">
        <f t="shared" si="563"/>
        <v>24/09/2025</v>
      </c>
      <c r="J3104" t="str">
        <f t="shared" si="564"/>
        <v>16/09/2025</v>
      </c>
      <c r="K3104">
        <v>45924</v>
      </c>
      <c r="N3104">
        <v>303</v>
      </c>
      <c r="O3104" t="s">
        <v>69</v>
      </c>
      <c r="Q3104">
        <v>853.98</v>
      </c>
      <c r="R3104" t="str">
        <f>"FARMÁCIA INDIANA LJ 128 (10057)"</f>
        <v>FARMÁCIA INDIANA LJ 128 (10057)</v>
      </c>
      <c r="S3104" t="s">
        <v>70</v>
      </c>
      <c r="T3104">
        <v>18646</v>
      </c>
      <c r="U3104">
        <v>22057</v>
      </c>
      <c r="V3104" t="s">
        <v>77</v>
      </c>
    </row>
    <row r="3105" spans="1:22">
      <c r="A3105" t="str">
        <f t="shared" si="566"/>
        <v>24/09/2025</v>
      </c>
      <c r="B3105" t="str">
        <f t="shared" si="559"/>
        <v>ENTRADA</v>
      </c>
      <c r="C3105" t="str">
        <f t="shared" si="560"/>
        <v>NFSE</v>
      </c>
      <c r="D3105" t="str">
        <f t="shared" si="561"/>
        <v>3366</v>
      </c>
      <c r="E3105" t="str">
        <f t="shared" si="558"/>
        <v>1</v>
      </c>
      <c r="F3105" t="str">
        <f t="shared" si="565"/>
        <v>COM</v>
      </c>
      <c r="G3105" t="str">
        <f t="shared" si="562"/>
        <v>FARMÁCIA INDIANA LJ 1 (10126)</v>
      </c>
      <c r="H3105" t="s">
        <v>850</v>
      </c>
      <c r="I3105" t="str">
        <f t="shared" si="563"/>
        <v>24/09/2025</v>
      </c>
      <c r="J3105" t="str">
        <f t="shared" si="564"/>
        <v>16/09/2025</v>
      </c>
      <c r="K3105">
        <v>45924</v>
      </c>
      <c r="N3105">
        <v>303</v>
      </c>
      <c r="O3105" t="s">
        <v>69</v>
      </c>
      <c r="Q3105">
        <v>256.19</v>
      </c>
      <c r="R3105" t="str">
        <f>"FARMÁCIA INDIANA LJ 140 (10064)"</f>
        <v>FARMÁCIA INDIANA LJ 140 (10064)</v>
      </c>
      <c r="S3105" t="s">
        <v>70</v>
      </c>
      <c r="T3105">
        <v>18646</v>
      </c>
      <c r="U3105">
        <v>22057</v>
      </c>
      <c r="V3105" t="s">
        <v>77</v>
      </c>
    </row>
    <row r="3106" spans="1:22">
      <c r="A3106" t="str">
        <f t="shared" si="566"/>
        <v>24/09/2025</v>
      </c>
      <c r="B3106" t="str">
        <f t="shared" si="559"/>
        <v>ENTRADA</v>
      </c>
      <c r="C3106" t="str">
        <f t="shared" si="560"/>
        <v>NFSE</v>
      </c>
      <c r="D3106" t="str">
        <f t="shared" si="561"/>
        <v>3366</v>
      </c>
      <c r="E3106" t="str">
        <f t="shared" si="558"/>
        <v>1</v>
      </c>
      <c r="F3106" t="str">
        <f t="shared" si="565"/>
        <v>COM</v>
      </c>
      <c r="G3106" t="str">
        <f t="shared" si="562"/>
        <v>FARMÁCIA INDIANA LJ 1 (10126)</v>
      </c>
      <c r="H3106" t="s">
        <v>850</v>
      </c>
      <c r="I3106" t="str">
        <f t="shared" si="563"/>
        <v>24/09/2025</v>
      </c>
      <c r="J3106" t="str">
        <f t="shared" si="564"/>
        <v>16/09/2025</v>
      </c>
      <c r="K3106">
        <v>45924</v>
      </c>
      <c r="N3106">
        <v>303</v>
      </c>
      <c r="O3106" t="s">
        <v>69</v>
      </c>
      <c r="Q3106">
        <v>134.19999999999999</v>
      </c>
      <c r="R3106" t="str">
        <f>"FARMÁCIA INDIANA LJ 141 (10065)"</f>
        <v>FARMÁCIA INDIANA LJ 141 (10065)</v>
      </c>
      <c r="S3106" t="s">
        <v>70</v>
      </c>
      <c r="T3106">
        <v>18646</v>
      </c>
      <c r="U3106">
        <v>22057</v>
      </c>
      <c r="V3106" t="s">
        <v>77</v>
      </c>
    </row>
    <row r="3107" spans="1:22">
      <c r="A3107" t="str">
        <f t="shared" si="566"/>
        <v>24/09/2025</v>
      </c>
      <c r="B3107" t="str">
        <f t="shared" si="559"/>
        <v>ENTRADA</v>
      </c>
      <c r="C3107" t="str">
        <f t="shared" si="560"/>
        <v>NFSE</v>
      </c>
      <c r="D3107" t="str">
        <f t="shared" si="561"/>
        <v>3366</v>
      </c>
      <c r="E3107" t="str">
        <f t="shared" si="558"/>
        <v>1</v>
      </c>
      <c r="F3107" t="str">
        <f t="shared" si="565"/>
        <v>COM</v>
      </c>
      <c r="G3107" t="str">
        <f t="shared" si="562"/>
        <v>FARMÁCIA INDIANA LJ 1 (10126)</v>
      </c>
      <c r="H3107" t="s">
        <v>850</v>
      </c>
      <c r="I3107" t="str">
        <f t="shared" si="563"/>
        <v>24/09/2025</v>
      </c>
      <c r="J3107" t="str">
        <f t="shared" si="564"/>
        <v>16/09/2025</v>
      </c>
      <c r="K3107">
        <v>45924</v>
      </c>
      <c r="N3107">
        <v>303</v>
      </c>
      <c r="O3107" t="s">
        <v>69</v>
      </c>
      <c r="Q3107">
        <v>6892.82</v>
      </c>
      <c r="R3107" t="str">
        <f>"FARMÁCIA INDIANA LJ 142 (10066)"</f>
        <v>FARMÁCIA INDIANA LJ 142 (10066)</v>
      </c>
      <c r="S3107" t="s">
        <v>70</v>
      </c>
      <c r="T3107">
        <v>18646</v>
      </c>
      <c r="U3107">
        <v>22057</v>
      </c>
      <c r="V3107" t="s">
        <v>77</v>
      </c>
    </row>
    <row r="3108" spans="1:22">
      <c r="A3108" t="str">
        <f t="shared" si="566"/>
        <v>24/09/2025</v>
      </c>
      <c r="B3108" t="str">
        <f t="shared" si="559"/>
        <v>ENTRADA</v>
      </c>
      <c r="C3108" t="str">
        <f t="shared" si="560"/>
        <v>NFSE</v>
      </c>
      <c r="D3108" t="str">
        <f t="shared" si="561"/>
        <v>3366</v>
      </c>
      <c r="E3108" t="str">
        <f t="shared" si="558"/>
        <v>1</v>
      </c>
      <c r="F3108" t="str">
        <f t="shared" si="565"/>
        <v>COM</v>
      </c>
      <c r="G3108" t="str">
        <f t="shared" si="562"/>
        <v>FARMÁCIA INDIANA LJ 1 (10126)</v>
      </c>
      <c r="H3108" t="s">
        <v>850</v>
      </c>
      <c r="I3108" t="str">
        <f t="shared" si="563"/>
        <v>24/09/2025</v>
      </c>
      <c r="J3108" t="str">
        <f t="shared" si="564"/>
        <v>16/09/2025</v>
      </c>
      <c r="K3108">
        <v>45924</v>
      </c>
      <c r="N3108">
        <v>303</v>
      </c>
      <c r="O3108" t="s">
        <v>69</v>
      </c>
      <c r="Q3108">
        <v>609.98</v>
      </c>
      <c r="R3108" t="str">
        <f>"FARMÁCIA INDIANA LJ 143 (10067)"</f>
        <v>FARMÁCIA INDIANA LJ 143 (10067)</v>
      </c>
      <c r="S3108" t="s">
        <v>70</v>
      </c>
      <c r="T3108">
        <v>18646</v>
      </c>
      <c r="U3108">
        <v>22057</v>
      </c>
      <c r="V3108" t="s">
        <v>77</v>
      </c>
    </row>
    <row r="3109" spans="1:22">
      <c r="A3109" t="str">
        <f t="shared" si="566"/>
        <v>24/09/2025</v>
      </c>
      <c r="B3109" t="str">
        <f t="shared" si="559"/>
        <v>ENTRADA</v>
      </c>
      <c r="C3109" t="str">
        <f t="shared" si="560"/>
        <v>NFSE</v>
      </c>
      <c r="D3109" t="str">
        <f t="shared" si="561"/>
        <v>3366</v>
      </c>
      <c r="E3109" t="str">
        <f t="shared" si="558"/>
        <v>1</v>
      </c>
      <c r="F3109" t="str">
        <f t="shared" si="565"/>
        <v>COM</v>
      </c>
      <c r="G3109" t="str">
        <f t="shared" si="562"/>
        <v>FARMÁCIA INDIANA LJ 1 (10126)</v>
      </c>
      <c r="H3109" t="s">
        <v>850</v>
      </c>
      <c r="I3109" t="str">
        <f t="shared" si="563"/>
        <v>24/09/2025</v>
      </c>
      <c r="J3109" t="str">
        <f t="shared" si="564"/>
        <v>16/09/2025</v>
      </c>
      <c r="K3109">
        <v>45924</v>
      </c>
      <c r="N3109">
        <v>303</v>
      </c>
      <c r="O3109" t="s">
        <v>69</v>
      </c>
      <c r="Q3109">
        <v>3367.11</v>
      </c>
      <c r="R3109" t="str">
        <f>"FARMÁCIA INDIANA LJ 152 (10069)"</f>
        <v>FARMÁCIA INDIANA LJ 152 (10069)</v>
      </c>
      <c r="S3109" t="s">
        <v>70</v>
      </c>
      <c r="T3109">
        <v>18646</v>
      </c>
      <c r="U3109">
        <v>22057</v>
      </c>
      <c r="V3109" t="s">
        <v>77</v>
      </c>
    </row>
    <row r="3110" spans="1:22">
      <c r="A3110" t="str">
        <f t="shared" si="566"/>
        <v>24/09/2025</v>
      </c>
      <c r="B3110" t="str">
        <f t="shared" si="559"/>
        <v>ENTRADA</v>
      </c>
      <c r="C3110" t="str">
        <f t="shared" si="560"/>
        <v>NFSE</v>
      </c>
      <c r="D3110" t="str">
        <f t="shared" si="561"/>
        <v>3366</v>
      </c>
      <c r="E3110" t="str">
        <f t="shared" si="558"/>
        <v>1</v>
      </c>
      <c r="F3110" t="str">
        <f t="shared" si="565"/>
        <v>COM</v>
      </c>
      <c r="G3110" t="str">
        <f t="shared" si="562"/>
        <v>FARMÁCIA INDIANA LJ 1 (10126)</v>
      </c>
      <c r="H3110" t="s">
        <v>850</v>
      </c>
      <c r="I3110" t="str">
        <f t="shared" si="563"/>
        <v>24/09/2025</v>
      </c>
      <c r="J3110" t="str">
        <f t="shared" si="564"/>
        <v>16/09/2025</v>
      </c>
      <c r="K3110">
        <v>45924</v>
      </c>
      <c r="N3110">
        <v>303</v>
      </c>
      <c r="O3110" t="s">
        <v>69</v>
      </c>
      <c r="Q3110">
        <v>390.39</v>
      </c>
      <c r="R3110" t="str">
        <f>"FARMÁCIA INDIANA LJ 154 (10070)"</f>
        <v>FARMÁCIA INDIANA LJ 154 (10070)</v>
      </c>
      <c r="S3110" t="s">
        <v>70</v>
      </c>
      <c r="T3110">
        <v>18646</v>
      </c>
      <c r="U3110">
        <v>22057</v>
      </c>
      <c r="V3110" t="s">
        <v>77</v>
      </c>
    </row>
    <row r="3111" spans="1:22">
      <c r="A3111" t="str">
        <f t="shared" si="566"/>
        <v>24/09/2025</v>
      </c>
      <c r="B3111" t="str">
        <f t="shared" si="559"/>
        <v>ENTRADA</v>
      </c>
      <c r="C3111" t="str">
        <f t="shared" si="560"/>
        <v>NFSE</v>
      </c>
      <c r="D3111" t="str">
        <f t="shared" si="561"/>
        <v>3366</v>
      </c>
      <c r="E3111" t="str">
        <f t="shared" ref="E3111:E3142" si="567">"1"</f>
        <v>1</v>
      </c>
      <c r="F3111" t="str">
        <f t="shared" si="565"/>
        <v>COM</v>
      </c>
      <c r="G3111" t="str">
        <f t="shared" si="562"/>
        <v>FARMÁCIA INDIANA LJ 1 (10126)</v>
      </c>
      <c r="H3111" t="s">
        <v>850</v>
      </c>
      <c r="I3111" t="str">
        <f t="shared" si="563"/>
        <v>24/09/2025</v>
      </c>
      <c r="J3111" t="str">
        <f t="shared" si="564"/>
        <v>16/09/2025</v>
      </c>
      <c r="K3111">
        <v>45924</v>
      </c>
      <c r="N3111">
        <v>303</v>
      </c>
      <c r="O3111" t="s">
        <v>69</v>
      </c>
      <c r="Q3111">
        <v>1817.75</v>
      </c>
      <c r="R3111" t="str">
        <f>"FARMÁCIA INDIANA LJ 171 (10074)"</f>
        <v>FARMÁCIA INDIANA LJ 171 (10074)</v>
      </c>
      <c r="S3111" t="s">
        <v>70</v>
      </c>
      <c r="T3111">
        <v>18646</v>
      </c>
      <c r="U3111">
        <v>22057</v>
      </c>
      <c r="V3111" t="s">
        <v>77</v>
      </c>
    </row>
    <row r="3112" spans="1:22">
      <c r="A3112" t="str">
        <f t="shared" si="566"/>
        <v>24/09/2025</v>
      </c>
      <c r="B3112" t="str">
        <f t="shared" si="559"/>
        <v>ENTRADA</v>
      </c>
      <c r="C3112" t="str">
        <f t="shared" si="560"/>
        <v>NFSE</v>
      </c>
      <c r="D3112" t="str">
        <f t="shared" si="561"/>
        <v>3366</v>
      </c>
      <c r="E3112" t="str">
        <f t="shared" si="567"/>
        <v>1</v>
      </c>
      <c r="F3112" t="str">
        <f t="shared" si="565"/>
        <v>COM</v>
      </c>
      <c r="G3112" t="str">
        <f t="shared" si="562"/>
        <v>FARMÁCIA INDIANA LJ 1 (10126)</v>
      </c>
      <c r="H3112" t="s">
        <v>850</v>
      </c>
      <c r="I3112" t="str">
        <f t="shared" si="563"/>
        <v>24/09/2025</v>
      </c>
      <c r="J3112" t="str">
        <f t="shared" si="564"/>
        <v>16/09/2025</v>
      </c>
      <c r="K3112">
        <v>45924</v>
      </c>
      <c r="N3112">
        <v>303</v>
      </c>
      <c r="O3112" t="s">
        <v>69</v>
      </c>
      <c r="Q3112">
        <v>695.38</v>
      </c>
      <c r="R3112" t="str">
        <f>"FARMÁCIA INDIANA LJ 175 (10076)"</f>
        <v>FARMÁCIA INDIANA LJ 175 (10076)</v>
      </c>
      <c r="S3112" t="s">
        <v>70</v>
      </c>
      <c r="T3112">
        <v>18646</v>
      </c>
      <c r="U3112">
        <v>22057</v>
      </c>
      <c r="V3112" t="s">
        <v>77</v>
      </c>
    </row>
    <row r="3113" spans="1:22">
      <c r="A3113" t="str">
        <f t="shared" si="566"/>
        <v>24/09/2025</v>
      </c>
      <c r="B3113" t="str">
        <f t="shared" ref="B3113:B3144" si="568">"ENTRADA"</f>
        <v>ENTRADA</v>
      </c>
      <c r="C3113" t="str">
        <f t="shared" ref="C3113:C3144" si="569">"NFSE"</f>
        <v>NFSE</v>
      </c>
      <c r="D3113" t="str">
        <f t="shared" si="561"/>
        <v>3366</v>
      </c>
      <c r="E3113" t="str">
        <f t="shared" si="567"/>
        <v>1</v>
      </c>
      <c r="F3113" t="str">
        <f t="shared" si="565"/>
        <v>COM</v>
      </c>
      <c r="G3113" t="str">
        <f t="shared" ref="G3113:G3130" si="570">"FARMÁCIA INDIANA LJ 1 (10126)"</f>
        <v>FARMÁCIA INDIANA LJ 1 (10126)</v>
      </c>
      <c r="H3113" t="s">
        <v>850</v>
      </c>
      <c r="I3113" t="str">
        <f t="shared" ref="I3113:I3144" si="571">("24/09/2025")</f>
        <v>24/09/2025</v>
      </c>
      <c r="J3113" t="str">
        <f t="shared" ref="J3113:J3130" si="572">("16/09/2025")</f>
        <v>16/09/2025</v>
      </c>
      <c r="K3113">
        <v>45924</v>
      </c>
      <c r="N3113">
        <v>303</v>
      </c>
      <c r="O3113" t="s">
        <v>69</v>
      </c>
      <c r="Q3113">
        <v>988.17</v>
      </c>
      <c r="R3113" t="str">
        <f>"FARMÁCIA INDIANA LJ 178 (10077)"</f>
        <v>FARMÁCIA INDIANA LJ 178 (10077)</v>
      </c>
      <c r="S3113" t="s">
        <v>70</v>
      </c>
      <c r="T3113">
        <v>18646</v>
      </c>
      <c r="U3113">
        <v>22057</v>
      </c>
      <c r="V3113" t="s">
        <v>77</v>
      </c>
    </row>
    <row r="3114" spans="1:22">
      <c r="A3114" t="str">
        <f t="shared" si="566"/>
        <v>24/09/2025</v>
      </c>
      <c r="B3114" t="str">
        <f t="shared" si="568"/>
        <v>ENTRADA</v>
      </c>
      <c r="C3114" t="str">
        <f t="shared" si="569"/>
        <v>NFSE</v>
      </c>
      <c r="D3114" t="str">
        <f t="shared" si="561"/>
        <v>3366</v>
      </c>
      <c r="E3114" t="str">
        <f t="shared" si="567"/>
        <v>1</v>
      </c>
      <c r="F3114" t="str">
        <f t="shared" ref="F3114:F3145" si="573">"COM"</f>
        <v>COM</v>
      </c>
      <c r="G3114" t="str">
        <f t="shared" si="570"/>
        <v>FARMÁCIA INDIANA LJ 1 (10126)</v>
      </c>
      <c r="H3114" t="s">
        <v>850</v>
      </c>
      <c r="I3114" t="str">
        <f t="shared" si="571"/>
        <v>24/09/2025</v>
      </c>
      <c r="J3114" t="str">
        <f t="shared" si="572"/>
        <v>16/09/2025</v>
      </c>
      <c r="K3114">
        <v>45924</v>
      </c>
      <c r="N3114">
        <v>303</v>
      </c>
      <c r="O3114" t="s">
        <v>69</v>
      </c>
      <c r="Q3114">
        <v>414.79</v>
      </c>
      <c r="R3114" t="str">
        <f>"FARMÁCIA INDIANA LJ 182 (10079)"</f>
        <v>FARMÁCIA INDIANA LJ 182 (10079)</v>
      </c>
      <c r="S3114" t="s">
        <v>70</v>
      </c>
      <c r="T3114">
        <v>18646</v>
      </c>
      <c r="U3114">
        <v>22057</v>
      </c>
      <c r="V3114" t="s">
        <v>77</v>
      </c>
    </row>
    <row r="3115" spans="1:22">
      <c r="A3115" t="str">
        <f t="shared" si="566"/>
        <v>24/09/2025</v>
      </c>
      <c r="B3115" t="str">
        <f t="shared" si="568"/>
        <v>ENTRADA</v>
      </c>
      <c r="C3115" t="str">
        <f t="shared" si="569"/>
        <v>NFSE</v>
      </c>
      <c r="D3115" t="str">
        <f t="shared" si="561"/>
        <v>3366</v>
      </c>
      <c r="E3115" t="str">
        <f t="shared" si="567"/>
        <v>1</v>
      </c>
      <c r="F3115" t="str">
        <f t="shared" si="573"/>
        <v>COM</v>
      </c>
      <c r="G3115" t="str">
        <f t="shared" si="570"/>
        <v>FARMÁCIA INDIANA LJ 1 (10126)</v>
      </c>
      <c r="H3115" t="s">
        <v>850</v>
      </c>
      <c r="I3115" t="str">
        <f t="shared" si="571"/>
        <v>24/09/2025</v>
      </c>
      <c r="J3115" t="str">
        <f t="shared" si="572"/>
        <v>16/09/2025</v>
      </c>
      <c r="K3115">
        <v>45924</v>
      </c>
      <c r="N3115">
        <v>303</v>
      </c>
      <c r="O3115" t="s">
        <v>69</v>
      </c>
      <c r="Q3115">
        <v>365.99</v>
      </c>
      <c r="R3115" t="str">
        <f>"FARMÁCIA INDIANA LJ 184 (10080)"</f>
        <v>FARMÁCIA INDIANA LJ 184 (10080)</v>
      </c>
      <c r="S3115" t="s">
        <v>70</v>
      </c>
      <c r="T3115">
        <v>18646</v>
      </c>
      <c r="U3115">
        <v>22057</v>
      </c>
      <c r="V3115" t="s">
        <v>77</v>
      </c>
    </row>
    <row r="3116" spans="1:22">
      <c r="A3116" t="str">
        <f t="shared" si="566"/>
        <v>24/09/2025</v>
      </c>
      <c r="B3116" t="str">
        <f t="shared" si="568"/>
        <v>ENTRADA</v>
      </c>
      <c r="C3116" t="str">
        <f t="shared" si="569"/>
        <v>NFSE</v>
      </c>
      <c r="D3116" t="str">
        <f t="shared" si="561"/>
        <v>3366</v>
      </c>
      <c r="E3116" t="str">
        <f t="shared" si="567"/>
        <v>1</v>
      </c>
      <c r="F3116" t="str">
        <f t="shared" si="573"/>
        <v>COM</v>
      </c>
      <c r="G3116" t="str">
        <f t="shared" si="570"/>
        <v>FARMÁCIA INDIANA LJ 1 (10126)</v>
      </c>
      <c r="H3116" t="s">
        <v>850</v>
      </c>
      <c r="I3116" t="str">
        <f t="shared" si="571"/>
        <v>24/09/2025</v>
      </c>
      <c r="J3116" t="str">
        <f t="shared" si="572"/>
        <v>16/09/2025</v>
      </c>
      <c r="K3116">
        <v>45924</v>
      </c>
      <c r="N3116">
        <v>303</v>
      </c>
      <c r="O3116" t="s">
        <v>69</v>
      </c>
      <c r="Q3116">
        <v>414.79</v>
      </c>
      <c r="R3116" t="str">
        <f>"FARMÁCIA INDIANA LJ 186 (10081)"</f>
        <v>FARMÁCIA INDIANA LJ 186 (10081)</v>
      </c>
      <c r="S3116" t="s">
        <v>70</v>
      </c>
      <c r="T3116">
        <v>18646</v>
      </c>
      <c r="U3116">
        <v>22057</v>
      </c>
      <c r="V3116" t="s">
        <v>77</v>
      </c>
    </row>
    <row r="3117" spans="1:22">
      <c r="A3117" t="str">
        <f t="shared" si="566"/>
        <v>24/09/2025</v>
      </c>
      <c r="B3117" t="str">
        <f t="shared" si="568"/>
        <v>ENTRADA</v>
      </c>
      <c r="C3117" t="str">
        <f t="shared" si="569"/>
        <v>NFSE</v>
      </c>
      <c r="D3117" t="str">
        <f t="shared" si="561"/>
        <v>3366</v>
      </c>
      <c r="E3117" t="str">
        <f t="shared" si="567"/>
        <v>1</v>
      </c>
      <c r="F3117" t="str">
        <f t="shared" si="573"/>
        <v>COM</v>
      </c>
      <c r="G3117" t="str">
        <f t="shared" si="570"/>
        <v>FARMÁCIA INDIANA LJ 1 (10126)</v>
      </c>
      <c r="H3117" t="s">
        <v>850</v>
      </c>
      <c r="I3117" t="str">
        <f t="shared" si="571"/>
        <v>24/09/2025</v>
      </c>
      <c r="J3117" t="str">
        <f t="shared" si="572"/>
        <v>16/09/2025</v>
      </c>
      <c r="K3117">
        <v>45924</v>
      </c>
      <c r="N3117">
        <v>303</v>
      </c>
      <c r="O3117" t="s">
        <v>69</v>
      </c>
      <c r="Q3117">
        <v>817.38</v>
      </c>
      <c r="R3117" t="str">
        <f>"FARMÁCIA INDIANA LJ 192 (10082)"</f>
        <v>FARMÁCIA INDIANA LJ 192 (10082)</v>
      </c>
      <c r="S3117" t="s">
        <v>70</v>
      </c>
      <c r="T3117">
        <v>18646</v>
      </c>
      <c r="U3117">
        <v>22057</v>
      </c>
      <c r="V3117" t="s">
        <v>77</v>
      </c>
    </row>
    <row r="3118" spans="1:22">
      <c r="A3118" t="str">
        <f t="shared" ref="A3118:A3149" si="574">("24/09/2025")</f>
        <v>24/09/2025</v>
      </c>
      <c r="B3118" t="str">
        <f t="shared" si="568"/>
        <v>ENTRADA</v>
      </c>
      <c r="C3118" t="str">
        <f t="shared" si="569"/>
        <v>NFSE</v>
      </c>
      <c r="D3118" t="str">
        <f t="shared" si="561"/>
        <v>3366</v>
      </c>
      <c r="E3118" t="str">
        <f t="shared" si="567"/>
        <v>1</v>
      </c>
      <c r="F3118" t="str">
        <f t="shared" si="573"/>
        <v>COM</v>
      </c>
      <c r="G3118" t="str">
        <f t="shared" si="570"/>
        <v>FARMÁCIA INDIANA LJ 1 (10126)</v>
      </c>
      <c r="H3118" t="s">
        <v>850</v>
      </c>
      <c r="I3118" t="str">
        <f t="shared" si="571"/>
        <v>24/09/2025</v>
      </c>
      <c r="J3118" t="str">
        <f t="shared" si="572"/>
        <v>16/09/2025</v>
      </c>
      <c r="K3118">
        <v>45924</v>
      </c>
      <c r="N3118">
        <v>303</v>
      </c>
      <c r="O3118" t="s">
        <v>69</v>
      </c>
      <c r="Q3118">
        <v>365.99</v>
      </c>
      <c r="R3118" t="str">
        <f>"FARMÁCIA INDIANA LJ 195 (10083)"</f>
        <v>FARMÁCIA INDIANA LJ 195 (10083)</v>
      </c>
      <c r="S3118" t="s">
        <v>70</v>
      </c>
      <c r="T3118">
        <v>18646</v>
      </c>
      <c r="U3118">
        <v>22057</v>
      </c>
      <c r="V3118" t="s">
        <v>77</v>
      </c>
    </row>
    <row r="3119" spans="1:22">
      <c r="A3119" t="str">
        <f t="shared" si="574"/>
        <v>24/09/2025</v>
      </c>
      <c r="B3119" t="str">
        <f t="shared" si="568"/>
        <v>ENTRADA</v>
      </c>
      <c r="C3119" t="str">
        <f t="shared" si="569"/>
        <v>NFSE</v>
      </c>
      <c r="D3119" t="str">
        <f t="shared" si="561"/>
        <v>3366</v>
      </c>
      <c r="E3119" t="str">
        <f t="shared" si="567"/>
        <v>1</v>
      </c>
      <c r="F3119" t="str">
        <f t="shared" si="573"/>
        <v>COM</v>
      </c>
      <c r="G3119" t="str">
        <f t="shared" si="570"/>
        <v>FARMÁCIA INDIANA LJ 1 (10126)</v>
      </c>
      <c r="H3119" t="s">
        <v>850</v>
      </c>
      <c r="I3119" t="str">
        <f t="shared" si="571"/>
        <v>24/09/2025</v>
      </c>
      <c r="J3119" t="str">
        <f t="shared" si="572"/>
        <v>16/09/2025</v>
      </c>
      <c r="K3119">
        <v>45924</v>
      </c>
      <c r="N3119">
        <v>303</v>
      </c>
      <c r="O3119" t="s">
        <v>69</v>
      </c>
      <c r="Q3119">
        <v>841.78</v>
      </c>
      <c r="R3119" t="str">
        <f>"FARMÁCIA INDIANA LJ 202 (10085)"</f>
        <v>FARMÁCIA INDIANA LJ 202 (10085)</v>
      </c>
      <c r="S3119" t="s">
        <v>70</v>
      </c>
      <c r="T3119">
        <v>18646</v>
      </c>
      <c r="U3119">
        <v>22057</v>
      </c>
      <c r="V3119" t="s">
        <v>77</v>
      </c>
    </row>
    <row r="3120" spans="1:22">
      <c r="A3120" t="str">
        <f t="shared" si="574"/>
        <v>24/09/2025</v>
      </c>
      <c r="B3120" t="str">
        <f t="shared" si="568"/>
        <v>ENTRADA</v>
      </c>
      <c r="C3120" t="str">
        <f t="shared" si="569"/>
        <v>NFSE</v>
      </c>
      <c r="D3120" t="str">
        <f t="shared" si="561"/>
        <v>3366</v>
      </c>
      <c r="E3120" t="str">
        <f t="shared" si="567"/>
        <v>1</v>
      </c>
      <c r="F3120" t="str">
        <f t="shared" si="573"/>
        <v>COM</v>
      </c>
      <c r="G3120" t="str">
        <f t="shared" si="570"/>
        <v>FARMÁCIA INDIANA LJ 1 (10126)</v>
      </c>
      <c r="H3120" t="s">
        <v>850</v>
      </c>
      <c r="I3120" t="str">
        <f t="shared" si="571"/>
        <v>24/09/2025</v>
      </c>
      <c r="J3120" t="str">
        <f t="shared" si="572"/>
        <v>16/09/2025</v>
      </c>
      <c r="K3120">
        <v>45924</v>
      </c>
      <c r="N3120">
        <v>303</v>
      </c>
      <c r="O3120" t="s">
        <v>69</v>
      </c>
      <c r="Q3120">
        <v>719.78</v>
      </c>
      <c r="R3120" t="str">
        <f>"FARMÁCIA INDIANA LJ 204 (10087)"</f>
        <v>FARMÁCIA INDIANA LJ 204 (10087)</v>
      </c>
      <c r="S3120" t="s">
        <v>70</v>
      </c>
      <c r="T3120">
        <v>18646</v>
      </c>
      <c r="U3120">
        <v>22057</v>
      </c>
      <c r="V3120" t="s">
        <v>77</v>
      </c>
    </row>
    <row r="3121" spans="1:22">
      <c r="A3121" t="str">
        <f t="shared" si="574"/>
        <v>24/09/2025</v>
      </c>
      <c r="B3121" t="str">
        <f t="shared" si="568"/>
        <v>ENTRADA</v>
      </c>
      <c r="C3121" t="str">
        <f t="shared" si="569"/>
        <v>NFSE</v>
      </c>
      <c r="D3121" t="str">
        <f t="shared" si="561"/>
        <v>3366</v>
      </c>
      <c r="E3121" t="str">
        <f t="shared" si="567"/>
        <v>1</v>
      </c>
      <c r="F3121" t="str">
        <f t="shared" si="573"/>
        <v>COM</v>
      </c>
      <c r="G3121" t="str">
        <f t="shared" si="570"/>
        <v>FARMÁCIA INDIANA LJ 1 (10126)</v>
      </c>
      <c r="H3121" t="s">
        <v>850</v>
      </c>
      <c r="I3121" t="str">
        <f t="shared" si="571"/>
        <v>24/09/2025</v>
      </c>
      <c r="J3121" t="str">
        <f t="shared" si="572"/>
        <v>16/09/2025</v>
      </c>
      <c r="K3121">
        <v>45924</v>
      </c>
      <c r="N3121">
        <v>303</v>
      </c>
      <c r="O3121" t="s">
        <v>69</v>
      </c>
      <c r="Q3121">
        <v>963.78</v>
      </c>
      <c r="R3121" t="str">
        <f>"FARMÁCIA INDIANA LJ 207 (10088)"</f>
        <v>FARMÁCIA INDIANA LJ 207 (10088)</v>
      </c>
      <c r="S3121" t="s">
        <v>70</v>
      </c>
      <c r="T3121">
        <v>18646</v>
      </c>
      <c r="U3121">
        <v>22057</v>
      </c>
      <c r="V3121" t="s">
        <v>77</v>
      </c>
    </row>
    <row r="3122" spans="1:22">
      <c r="A3122" t="str">
        <f t="shared" si="574"/>
        <v>24/09/2025</v>
      </c>
      <c r="B3122" t="str">
        <f t="shared" si="568"/>
        <v>ENTRADA</v>
      </c>
      <c r="C3122" t="str">
        <f t="shared" si="569"/>
        <v>NFSE</v>
      </c>
      <c r="D3122" t="str">
        <f t="shared" si="561"/>
        <v>3366</v>
      </c>
      <c r="E3122" t="str">
        <f t="shared" si="567"/>
        <v>1</v>
      </c>
      <c r="F3122" t="str">
        <f t="shared" si="573"/>
        <v>COM</v>
      </c>
      <c r="G3122" t="str">
        <f t="shared" si="570"/>
        <v>FARMÁCIA INDIANA LJ 1 (10126)</v>
      </c>
      <c r="H3122" t="s">
        <v>850</v>
      </c>
      <c r="I3122" t="str">
        <f t="shared" si="571"/>
        <v>24/09/2025</v>
      </c>
      <c r="J3122" t="str">
        <f t="shared" si="572"/>
        <v>16/09/2025</v>
      </c>
      <c r="K3122">
        <v>45924</v>
      </c>
      <c r="N3122">
        <v>303</v>
      </c>
      <c r="O3122" t="s">
        <v>69</v>
      </c>
      <c r="Q3122">
        <v>1134.57</v>
      </c>
      <c r="R3122" t="str">
        <f>"FARMÁCIA INDIANA LJ 209 (10089)"</f>
        <v>FARMÁCIA INDIANA LJ 209 (10089)</v>
      </c>
      <c r="S3122" t="s">
        <v>70</v>
      </c>
      <c r="T3122">
        <v>18646</v>
      </c>
      <c r="U3122">
        <v>22057</v>
      </c>
      <c r="V3122" t="s">
        <v>77</v>
      </c>
    </row>
    <row r="3123" spans="1:22">
      <c r="A3123" t="str">
        <f t="shared" si="574"/>
        <v>24/09/2025</v>
      </c>
      <c r="B3123" t="str">
        <f t="shared" si="568"/>
        <v>ENTRADA</v>
      </c>
      <c r="C3123" t="str">
        <f t="shared" si="569"/>
        <v>NFSE</v>
      </c>
      <c r="D3123" t="str">
        <f t="shared" si="561"/>
        <v>3366</v>
      </c>
      <c r="E3123" t="str">
        <f t="shared" si="567"/>
        <v>1</v>
      </c>
      <c r="F3123" t="str">
        <f t="shared" si="573"/>
        <v>COM</v>
      </c>
      <c r="G3123" t="str">
        <f t="shared" si="570"/>
        <v>FARMÁCIA INDIANA LJ 1 (10126)</v>
      </c>
      <c r="H3123" t="s">
        <v>850</v>
      </c>
      <c r="I3123" t="str">
        <f t="shared" si="571"/>
        <v>24/09/2025</v>
      </c>
      <c r="J3123" t="str">
        <f t="shared" si="572"/>
        <v>16/09/2025</v>
      </c>
      <c r="K3123">
        <v>45924</v>
      </c>
      <c r="N3123">
        <v>303</v>
      </c>
      <c r="O3123" t="s">
        <v>69</v>
      </c>
      <c r="Q3123">
        <v>951.58</v>
      </c>
      <c r="R3123" t="str">
        <f>"FARMÁCIA INDIANA LJ 219 (10091)"</f>
        <v>FARMÁCIA INDIANA LJ 219 (10091)</v>
      </c>
      <c r="S3123" t="s">
        <v>70</v>
      </c>
      <c r="T3123">
        <v>18646</v>
      </c>
      <c r="U3123">
        <v>22057</v>
      </c>
      <c r="V3123" t="s">
        <v>77</v>
      </c>
    </row>
    <row r="3124" spans="1:22">
      <c r="A3124" t="str">
        <f t="shared" si="574"/>
        <v>24/09/2025</v>
      </c>
      <c r="B3124" t="str">
        <f t="shared" si="568"/>
        <v>ENTRADA</v>
      </c>
      <c r="C3124" t="str">
        <f t="shared" si="569"/>
        <v>NFSE</v>
      </c>
      <c r="D3124" t="str">
        <f t="shared" si="561"/>
        <v>3366</v>
      </c>
      <c r="E3124" t="str">
        <f t="shared" si="567"/>
        <v>1</v>
      </c>
      <c r="F3124" t="str">
        <f t="shared" si="573"/>
        <v>COM</v>
      </c>
      <c r="G3124" t="str">
        <f t="shared" si="570"/>
        <v>FARMÁCIA INDIANA LJ 1 (10126)</v>
      </c>
      <c r="H3124" t="s">
        <v>850</v>
      </c>
      <c r="I3124" t="str">
        <f t="shared" si="571"/>
        <v>24/09/2025</v>
      </c>
      <c r="J3124" t="str">
        <f t="shared" si="572"/>
        <v>16/09/2025</v>
      </c>
      <c r="K3124">
        <v>45924</v>
      </c>
      <c r="N3124">
        <v>303</v>
      </c>
      <c r="O3124" t="s">
        <v>69</v>
      </c>
      <c r="Q3124">
        <v>2086.15</v>
      </c>
      <c r="R3124" t="str">
        <f>"FARMÁCIA INDIANA LJ 220 (10092)"</f>
        <v>FARMÁCIA INDIANA LJ 220 (10092)</v>
      </c>
      <c r="S3124" t="s">
        <v>70</v>
      </c>
      <c r="T3124">
        <v>18646</v>
      </c>
      <c r="U3124">
        <v>22057</v>
      </c>
      <c r="V3124" t="s">
        <v>77</v>
      </c>
    </row>
    <row r="3125" spans="1:22">
      <c r="A3125" t="str">
        <f t="shared" si="574"/>
        <v>24/09/2025</v>
      </c>
      <c r="B3125" t="str">
        <f t="shared" si="568"/>
        <v>ENTRADA</v>
      </c>
      <c r="C3125" t="str">
        <f t="shared" si="569"/>
        <v>NFSE</v>
      </c>
      <c r="D3125" t="str">
        <f t="shared" si="561"/>
        <v>3366</v>
      </c>
      <c r="E3125" t="str">
        <f t="shared" si="567"/>
        <v>1</v>
      </c>
      <c r="F3125" t="str">
        <f t="shared" si="573"/>
        <v>COM</v>
      </c>
      <c r="G3125" t="str">
        <f t="shared" si="570"/>
        <v>FARMÁCIA INDIANA LJ 1 (10126)</v>
      </c>
      <c r="H3125" t="s">
        <v>850</v>
      </c>
      <c r="I3125" t="str">
        <f t="shared" si="571"/>
        <v>24/09/2025</v>
      </c>
      <c r="J3125" t="str">
        <f t="shared" si="572"/>
        <v>16/09/2025</v>
      </c>
      <c r="K3125">
        <v>45924</v>
      </c>
      <c r="N3125">
        <v>303</v>
      </c>
      <c r="O3125" t="s">
        <v>69</v>
      </c>
      <c r="Q3125">
        <v>975.97</v>
      </c>
      <c r="R3125" t="str">
        <f>"FARMÁCIA INDIANA LJ 185 (10141)"</f>
        <v>FARMÁCIA INDIANA LJ 185 (10141)</v>
      </c>
      <c r="S3125" t="s">
        <v>70</v>
      </c>
      <c r="T3125">
        <v>18646</v>
      </c>
      <c r="U3125">
        <v>22057</v>
      </c>
      <c r="V3125" t="s">
        <v>77</v>
      </c>
    </row>
    <row r="3126" spans="1:22">
      <c r="A3126" t="str">
        <f t="shared" si="574"/>
        <v>24/09/2025</v>
      </c>
      <c r="B3126" t="str">
        <f t="shared" si="568"/>
        <v>ENTRADA</v>
      </c>
      <c r="C3126" t="str">
        <f t="shared" si="569"/>
        <v>NFSE</v>
      </c>
      <c r="D3126" t="str">
        <f t="shared" si="561"/>
        <v>3366</v>
      </c>
      <c r="E3126" t="str">
        <f t="shared" si="567"/>
        <v>1</v>
      </c>
      <c r="F3126" t="str">
        <f t="shared" si="573"/>
        <v>COM</v>
      </c>
      <c r="G3126" t="str">
        <f t="shared" si="570"/>
        <v>FARMÁCIA INDIANA LJ 1 (10126)</v>
      </c>
      <c r="H3126" t="s">
        <v>850</v>
      </c>
      <c r="I3126" t="str">
        <f t="shared" si="571"/>
        <v>24/09/2025</v>
      </c>
      <c r="J3126" t="str">
        <f t="shared" si="572"/>
        <v>16/09/2025</v>
      </c>
      <c r="K3126">
        <v>45924</v>
      </c>
      <c r="N3126">
        <v>303</v>
      </c>
      <c r="O3126" t="s">
        <v>69</v>
      </c>
      <c r="Q3126">
        <v>963.78</v>
      </c>
      <c r="R3126" t="str">
        <f>"FARMÁCIA INDIANA LJ 205 (10150)"</f>
        <v>FARMÁCIA INDIANA LJ 205 (10150)</v>
      </c>
      <c r="S3126" t="s">
        <v>70</v>
      </c>
      <c r="T3126">
        <v>18646</v>
      </c>
      <c r="U3126">
        <v>22057</v>
      </c>
      <c r="V3126" t="s">
        <v>77</v>
      </c>
    </row>
    <row r="3127" spans="1:22">
      <c r="A3127" t="str">
        <f t="shared" si="574"/>
        <v>24/09/2025</v>
      </c>
      <c r="B3127" t="str">
        <f t="shared" si="568"/>
        <v>ENTRADA</v>
      </c>
      <c r="C3127" t="str">
        <f t="shared" si="569"/>
        <v>NFSE</v>
      </c>
      <c r="D3127" t="str">
        <f t="shared" si="561"/>
        <v>3366</v>
      </c>
      <c r="E3127" t="str">
        <f t="shared" si="567"/>
        <v>1</v>
      </c>
      <c r="F3127" t="str">
        <f t="shared" si="573"/>
        <v>COM</v>
      </c>
      <c r="G3127" t="str">
        <f t="shared" si="570"/>
        <v>FARMÁCIA INDIANA LJ 1 (10126)</v>
      </c>
      <c r="H3127" t="s">
        <v>850</v>
      </c>
      <c r="I3127" t="str">
        <f t="shared" si="571"/>
        <v>24/09/2025</v>
      </c>
      <c r="J3127" t="str">
        <f t="shared" si="572"/>
        <v>16/09/2025</v>
      </c>
      <c r="K3127">
        <v>45924</v>
      </c>
      <c r="N3127">
        <v>303</v>
      </c>
      <c r="O3127" t="s">
        <v>69</v>
      </c>
      <c r="Q3127">
        <v>5733.85</v>
      </c>
      <c r="R3127" t="str">
        <f>"FARMÁCIA INDIANA LJ 172 (10161)"</f>
        <v>FARMÁCIA INDIANA LJ 172 (10161)</v>
      </c>
      <c r="S3127" t="s">
        <v>70</v>
      </c>
      <c r="T3127">
        <v>18646</v>
      </c>
      <c r="U3127">
        <v>22057</v>
      </c>
      <c r="V3127" t="s">
        <v>77</v>
      </c>
    </row>
    <row r="3128" spans="1:22">
      <c r="A3128" t="str">
        <f t="shared" si="574"/>
        <v>24/09/2025</v>
      </c>
      <c r="B3128" t="str">
        <f t="shared" si="568"/>
        <v>ENTRADA</v>
      </c>
      <c r="C3128" t="str">
        <f t="shared" si="569"/>
        <v>NFSE</v>
      </c>
      <c r="D3128" t="str">
        <f t="shared" si="561"/>
        <v>3366</v>
      </c>
      <c r="E3128" t="str">
        <f t="shared" si="567"/>
        <v>1</v>
      </c>
      <c r="F3128" t="str">
        <f t="shared" si="573"/>
        <v>COM</v>
      </c>
      <c r="G3128" t="str">
        <f t="shared" si="570"/>
        <v>FARMÁCIA INDIANA LJ 1 (10126)</v>
      </c>
      <c r="H3128" t="s">
        <v>850</v>
      </c>
      <c r="I3128" t="str">
        <f t="shared" si="571"/>
        <v>24/09/2025</v>
      </c>
      <c r="J3128" t="str">
        <f t="shared" si="572"/>
        <v>16/09/2025</v>
      </c>
      <c r="K3128">
        <v>45924</v>
      </c>
      <c r="N3128">
        <v>303</v>
      </c>
      <c r="O3128" t="s">
        <v>69</v>
      </c>
      <c r="Q3128">
        <v>744.18</v>
      </c>
      <c r="R3128" t="str">
        <f>"FARMÁCIA INDIANA LJ 266 (10186)"</f>
        <v>FARMÁCIA INDIANA LJ 266 (10186)</v>
      </c>
      <c r="S3128" t="s">
        <v>70</v>
      </c>
      <c r="T3128">
        <v>18646</v>
      </c>
      <c r="U3128">
        <v>22057</v>
      </c>
      <c r="V3128" t="s">
        <v>77</v>
      </c>
    </row>
    <row r="3129" spans="1:22">
      <c r="A3129" t="str">
        <f t="shared" si="574"/>
        <v>24/09/2025</v>
      </c>
      <c r="B3129" t="str">
        <f t="shared" si="568"/>
        <v>ENTRADA</v>
      </c>
      <c r="C3129" t="str">
        <f t="shared" si="569"/>
        <v>NFSE</v>
      </c>
      <c r="D3129" t="str">
        <f>"3372"</f>
        <v>3372</v>
      </c>
      <c r="E3129" t="str">
        <f t="shared" si="567"/>
        <v>1</v>
      </c>
      <c r="F3129" t="str">
        <f t="shared" si="573"/>
        <v>COM</v>
      </c>
      <c r="G3129" t="str">
        <f t="shared" si="570"/>
        <v>FARMÁCIA INDIANA LJ 1 (10126)</v>
      </c>
      <c r="H3129" t="str">
        <f>"Serv.Prest. 08/09/2025 a 14/09/2025 - RPS: 1248 - NFSe: 3372"</f>
        <v>Serv.Prest. 08/09/2025 a 14/09/2025 - RPS: 1248 - NFSe: 3372</v>
      </c>
      <c r="I3129" t="str">
        <f t="shared" si="571"/>
        <v>24/09/2025</v>
      </c>
      <c r="J3129" t="str">
        <f t="shared" si="572"/>
        <v>16/09/2025</v>
      </c>
      <c r="K3129" t="str">
        <f>("24/09/2025")</f>
        <v>24/09/2025</v>
      </c>
      <c r="L3129">
        <v>1461.6</v>
      </c>
      <c r="M3129">
        <v>1461.6</v>
      </c>
      <c r="N3129">
        <v>303</v>
      </c>
      <c r="O3129" t="str">
        <f>"RECEITAS COM ENTREGAS"</f>
        <v>RECEITAS COM ENTREGAS</v>
      </c>
      <c r="P3129">
        <v>1461.6</v>
      </c>
      <c r="S3129" t="str">
        <f>"RECEITAS COM ENTREGAS (303)"</f>
        <v>RECEITAS COM ENTREGAS (303)</v>
      </c>
      <c r="T3129">
        <v>18647</v>
      </c>
      <c r="U3129">
        <v>22182</v>
      </c>
      <c r="V3129" t="s">
        <v>77</v>
      </c>
    </row>
    <row r="3130" spans="1:22">
      <c r="A3130" t="str">
        <f t="shared" si="574"/>
        <v>24/09/2025</v>
      </c>
      <c r="B3130" t="str">
        <f t="shared" si="568"/>
        <v>ENTRADA</v>
      </c>
      <c r="C3130" t="str">
        <f t="shared" si="569"/>
        <v>NFSE</v>
      </c>
      <c r="D3130" t="str">
        <f>"3372"</f>
        <v>3372</v>
      </c>
      <c r="E3130" t="str">
        <f t="shared" si="567"/>
        <v>1</v>
      </c>
      <c r="F3130" t="str">
        <f t="shared" si="573"/>
        <v>COM</v>
      </c>
      <c r="G3130" t="str">
        <f t="shared" si="570"/>
        <v>FARMÁCIA INDIANA LJ 1 (10126)</v>
      </c>
      <c r="H3130" t="s">
        <v>851</v>
      </c>
      <c r="I3130" t="str">
        <f t="shared" si="571"/>
        <v>24/09/2025</v>
      </c>
      <c r="J3130" t="str">
        <f t="shared" si="572"/>
        <v>16/09/2025</v>
      </c>
      <c r="K3130">
        <v>45924</v>
      </c>
      <c r="N3130">
        <v>303</v>
      </c>
      <c r="O3130" t="s">
        <v>69</v>
      </c>
      <c r="Q3130">
        <v>1461.6</v>
      </c>
      <c r="R3130" t="str">
        <f>"FARMÁCIA INDIANA LJ 18 (10011)"</f>
        <v>FARMÁCIA INDIANA LJ 18 (10011)</v>
      </c>
      <c r="S3130" t="s">
        <v>70</v>
      </c>
      <c r="T3130">
        <v>18647</v>
      </c>
      <c r="U3130">
        <v>22182</v>
      </c>
      <c r="V3130" t="s">
        <v>77</v>
      </c>
    </row>
    <row r="3131" spans="1:22">
      <c r="A3131" t="str">
        <f t="shared" si="574"/>
        <v>24/09/2025</v>
      </c>
      <c r="B3131" t="str">
        <f t="shared" si="568"/>
        <v>ENTRADA</v>
      </c>
      <c r="C3131" t="str">
        <f t="shared" si="569"/>
        <v>NFSE</v>
      </c>
      <c r="D3131" t="str">
        <f t="shared" ref="D3131:D3143" si="575">"3365"</f>
        <v>3365</v>
      </c>
      <c r="E3131" t="str">
        <f t="shared" si="567"/>
        <v>1</v>
      </c>
      <c r="F3131" t="str">
        <f t="shared" si="573"/>
        <v>COM</v>
      </c>
      <c r="G3131" t="str">
        <f t="shared" ref="G3131:G3143" si="576">"FARMÁCIA INDIANA LJ 30 (10127)"</f>
        <v>FARMÁCIA INDIANA LJ 30 (10127)</v>
      </c>
      <c r="H3131" t="str">
        <f>"Serv.Prest. 08/09/2025 a 14/09/2025 - RPS: 1241 - NFSe: 3365"</f>
        <v>Serv.Prest. 08/09/2025 a 14/09/2025 - RPS: 1241 - NFSe: 3365</v>
      </c>
      <c r="I3131" t="str">
        <f t="shared" si="571"/>
        <v>24/09/2025</v>
      </c>
      <c r="J3131" t="str">
        <f t="shared" ref="J3131:J3143" si="577">("15/09/2025")</f>
        <v>15/09/2025</v>
      </c>
      <c r="K3131" t="str">
        <f>("24/09/2025")</f>
        <v>24/09/2025</v>
      </c>
      <c r="L3131">
        <v>26065.19</v>
      </c>
      <c r="M3131">
        <v>26065.19</v>
      </c>
      <c r="N3131">
        <v>303</v>
      </c>
      <c r="O3131" t="str">
        <f>"RECEITAS COM ENTREGAS"</f>
        <v>RECEITAS COM ENTREGAS</v>
      </c>
      <c r="P3131">
        <v>26065.19</v>
      </c>
      <c r="S3131" t="str">
        <f>"RECEITAS COM ENTREGAS (303)"</f>
        <v>RECEITAS COM ENTREGAS (303)</v>
      </c>
      <c r="T3131">
        <v>18648</v>
      </c>
      <c r="U3131">
        <v>22029</v>
      </c>
      <c r="V3131" t="s">
        <v>77</v>
      </c>
    </row>
    <row r="3132" spans="1:22">
      <c r="A3132" t="str">
        <f t="shared" si="574"/>
        <v>24/09/2025</v>
      </c>
      <c r="B3132" t="str">
        <f t="shared" si="568"/>
        <v>ENTRADA</v>
      </c>
      <c r="C3132" t="str">
        <f t="shared" si="569"/>
        <v>NFSE</v>
      </c>
      <c r="D3132" t="str">
        <f t="shared" si="575"/>
        <v>3365</v>
      </c>
      <c r="E3132" t="str">
        <f t="shared" si="567"/>
        <v>1</v>
      </c>
      <c r="F3132" t="str">
        <f t="shared" si="573"/>
        <v>COM</v>
      </c>
      <c r="G3132" t="str">
        <f t="shared" si="576"/>
        <v>FARMÁCIA INDIANA LJ 30 (10127)</v>
      </c>
      <c r="H3132" t="s">
        <v>852</v>
      </c>
      <c r="I3132" t="str">
        <f t="shared" si="571"/>
        <v>24/09/2025</v>
      </c>
      <c r="J3132" t="str">
        <f t="shared" si="577"/>
        <v>15/09/2025</v>
      </c>
      <c r="K3132">
        <v>45924</v>
      </c>
      <c r="N3132">
        <v>303</v>
      </c>
      <c r="O3132" t="s">
        <v>69</v>
      </c>
      <c r="Q3132">
        <v>2674.31</v>
      </c>
      <c r="R3132" t="str">
        <f>"FARMÁCIA INDIANA LJ 34 (10014)"</f>
        <v>FARMÁCIA INDIANA LJ 34 (10014)</v>
      </c>
      <c r="S3132" t="s">
        <v>70</v>
      </c>
      <c r="T3132">
        <v>18648</v>
      </c>
      <c r="U3132">
        <v>22029</v>
      </c>
      <c r="V3132" t="s">
        <v>77</v>
      </c>
    </row>
    <row r="3133" spans="1:22">
      <c r="A3133" t="str">
        <f t="shared" si="574"/>
        <v>24/09/2025</v>
      </c>
      <c r="B3133" t="str">
        <f t="shared" si="568"/>
        <v>ENTRADA</v>
      </c>
      <c r="C3133" t="str">
        <f t="shared" si="569"/>
        <v>NFSE</v>
      </c>
      <c r="D3133" t="str">
        <f t="shared" si="575"/>
        <v>3365</v>
      </c>
      <c r="E3133" t="str">
        <f t="shared" si="567"/>
        <v>1</v>
      </c>
      <c r="F3133" t="str">
        <f t="shared" si="573"/>
        <v>COM</v>
      </c>
      <c r="G3133" t="str">
        <f t="shared" si="576"/>
        <v>FARMÁCIA INDIANA LJ 30 (10127)</v>
      </c>
      <c r="H3133" t="s">
        <v>852</v>
      </c>
      <c r="I3133" t="str">
        <f t="shared" si="571"/>
        <v>24/09/2025</v>
      </c>
      <c r="J3133" t="str">
        <f t="shared" si="577"/>
        <v>15/09/2025</v>
      </c>
      <c r="K3133">
        <v>45924</v>
      </c>
      <c r="N3133">
        <v>303</v>
      </c>
      <c r="O3133" t="s">
        <v>69</v>
      </c>
      <c r="Q3133">
        <v>1428.37</v>
      </c>
      <c r="R3133" t="str">
        <f>"FARMÁCIA INDIANA LJ 35 (10015)"</f>
        <v>FARMÁCIA INDIANA LJ 35 (10015)</v>
      </c>
      <c r="S3133" t="s">
        <v>70</v>
      </c>
      <c r="T3133">
        <v>18648</v>
      </c>
      <c r="U3133">
        <v>22029</v>
      </c>
      <c r="V3133" t="s">
        <v>77</v>
      </c>
    </row>
    <row r="3134" spans="1:22">
      <c r="A3134" t="str">
        <f t="shared" si="574"/>
        <v>24/09/2025</v>
      </c>
      <c r="B3134" t="str">
        <f t="shared" si="568"/>
        <v>ENTRADA</v>
      </c>
      <c r="C3134" t="str">
        <f t="shared" si="569"/>
        <v>NFSE</v>
      </c>
      <c r="D3134" t="str">
        <f t="shared" si="575"/>
        <v>3365</v>
      </c>
      <c r="E3134" t="str">
        <f t="shared" si="567"/>
        <v>1</v>
      </c>
      <c r="F3134" t="str">
        <f t="shared" si="573"/>
        <v>COM</v>
      </c>
      <c r="G3134" t="str">
        <f t="shared" si="576"/>
        <v>FARMÁCIA INDIANA LJ 30 (10127)</v>
      </c>
      <c r="H3134" t="s">
        <v>852</v>
      </c>
      <c r="I3134" t="str">
        <f t="shared" si="571"/>
        <v>24/09/2025</v>
      </c>
      <c r="J3134" t="str">
        <f t="shared" si="577"/>
        <v>15/09/2025</v>
      </c>
      <c r="K3134">
        <v>45924</v>
      </c>
      <c r="N3134">
        <v>303</v>
      </c>
      <c r="O3134" t="s">
        <v>69</v>
      </c>
      <c r="Q3134">
        <v>2588.27</v>
      </c>
      <c r="R3134" t="str">
        <f>"FARMÁCIA INDIANA LJ 48 (10018)"</f>
        <v>FARMÁCIA INDIANA LJ 48 (10018)</v>
      </c>
      <c r="S3134" t="s">
        <v>70</v>
      </c>
      <c r="T3134">
        <v>18648</v>
      </c>
      <c r="U3134">
        <v>22029</v>
      </c>
      <c r="V3134" t="s">
        <v>77</v>
      </c>
    </row>
    <row r="3135" spans="1:22">
      <c r="A3135" t="str">
        <f t="shared" si="574"/>
        <v>24/09/2025</v>
      </c>
      <c r="B3135" t="str">
        <f t="shared" si="568"/>
        <v>ENTRADA</v>
      </c>
      <c r="C3135" t="str">
        <f t="shared" si="569"/>
        <v>NFSE</v>
      </c>
      <c r="D3135" t="str">
        <f t="shared" si="575"/>
        <v>3365</v>
      </c>
      <c r="E3135" t="str">
        <f t="shared" si="567"/>
        <v>1</v>
      </c>
      <c r="F3135" t="str">
        <f t="shared" si="573"/>
        <v>COM</v>
      </c>
      <c r="G3135" t="str">
        <f t="shared" si="576"/>
        <v>FARMÁCIA INDIANA LJ 30 (10127)</v>
      </c>
      <c r="H3135" t="s">
        <v>852</v>
      </c>
      <c r="I3135" t="str">
        <f t="shared" si="571"/>
        <v>24/09/2025</v>
      </c>
      <c r="J3135" t="str">
        <f t="shared" si="577"/>
        <v>15/09/2025</v>
      </c>
      <c r="K3135">
        <v>45924</v>
      </c>
      <c r="N3135">
        <v>303</v>
      </c>
      <c r="O3135" t="s">
        <v>69</v>
      </c>
      <c r="Q3135">
        <v>3138.25</v>
      </c>
      <c r="R3135" t="str">
        <f>"FARMÁCIA INDIANA LJ 65 (10030)"</f>
        <v>FARMÁCIA INDIANA LJ 65 (10030)</v>
      </c>
      <c r="S3135" t="s">
        <v>70</v>
      </c>
      <c r="T3135">
        <v>18648</v>
      </c>
      <c r="U3135">
        <v>22029</v>
      </c>
      <c r="V3135" t="s">
        <v>77</v>
      </c>
    </row>
    <row r="3136" spans="1:22">
      <c r="A3136" t="str">
        <f t="shared" si="574"/>
        <v>24/09/2025</v>
      </c>
      <c r="B3136" t="str">
        <f t="shared" si="568"/>
        <v>ENTRADA</v>
      </c>
      <c r="C3136" t="str">
        <f t="shared" si="569"/>
        <v>NFSE</v>
      </c>
      <c r="D3136" t="str">
        <f t="shared" si="575"/>
        <v>3365</v>
      </c>
      <c r="E3136" t="str">
        <f t="shared" si="567"/>
        <v>1</v>
      </c>
      <c r="F3136" t="str">
        <f t="shared" si="573"/>
        <v>COM</v>
      </c>
      <c r="G3136" t="str">
        <f t="shared" si="576"/>
        <v>FARMÁCIA INDIANA LJ 30 (10127)</v>
      </c>
      <c r="H3136" t="s">
        <v>852</v>
      </c>
      <c r="I3136" t="str">
        <f t="shared" si="571"/>
        <v>24/09/2025</v>
      </c>
      <c r="J3136" t="str">
        <f t="shared" si="577"/>
        <v>15/09/2025</v>
      </c>
      <c r="K3136">
        <v>45924</v>
      </c>
      <c r="N3136">
        <v>303</v>
      </c>
      <c r="O3136" t="s">
        <v>69</v>
      </c>
      <c r="Q3136">
        <v>727.22</v>
      </c>
      <c r="R3136" t="str">
        <f>"FARMÁCIA INDIANA LJ 77 (10034)"</f>
        <v>FARMÁCIA INDIANA LJ 77 (10034)</v>
      </c>
      <c r="S3136" t="s">
        <v>70</v>
      </c>
      <c r="T3136">
        <v>18648</v>
      </c>
      <c r="U3136">
        <v>22029</v>
      </c>
      <c r="V3136" t="s">
        <v>77</v>
      </c>
    </row>
    <row r="3137" spans="1:22">
      <c r="A3137" t="str">
        <f t="shared" si="574"/>
        <v>24/09/2025</v>
      </c>
      <c r="B3137" t="str">
        <f t="shared" si="568"/>
        <v>ENTRADA</v>
      </c>
      <c r="C3137" t="str">
        <f t="shared" si="569"/>
        <v>NFSE</v>
      </c>
      <c r="D3137" t="str">
        <f t="shared" si="575"/>
        <v>3365</v>
      </c>
      <c r="E3137" t="str">
        <f t="shared" si="567"/>
        <v>1</v>
      </c>
      <c r="F3137" t="str">
        <f t="shared" si="573"/>
        <v>COM</v>
      </c>
      <c r="G3137" t="str">
        <f t="shared" si="576"/>
        <v>FARMÁCIA INDIANA LJ 30 (10127)</v>
      </c>
      <c r="H3137" t="s">
        <v>852</v>
      </c>
      <c r="I3137" t="str">
        <f t="shared" si="571"/>
        <v>24/09/2025</v>
      </c>
      <c r="J3137" t="str">
        <f t="shared" si="577"/>
        <v>15/09/2025</v>
      </c>
      <c r="K3137">
        <v>45924</v>
      </c>
      <c r="N3137">
        <v>303</v>
      </c>
      <c r="O3137" t="s">
        <v>69</v>
      </c>
      <c r="Q3137">
        <v>5989.78</v>
      </c>
      <c r="R3137" t="str">
        <f>"FARMÁCIA INDIANA LJ 91 (10037)"</f>
        <v>FARMÁCIA INDIANA LJ 91 (10037)</v>
      </c>
      <c r="S3137" t="s">
        <v>70</v>
      </c>
      <c r="T3137">
        <v>18648</v>
      </c>
      <c r="U3137">
        <v>22029</v>
      </c>
      <c r="V3137" t="s">
        <v>77</v>
      </c>
    </row>
    <row r="3138" spans="1:22">
      <c r="A3138" t="str">
        <f t="shared" si="574"/>
        <v>24/09/2025</v>
      </c>
      <c r="B3138" t="str">
        <f t="shared" si="568"/>
        <v>ENTRADA</v>
      </c>
      <c r="C3138" t="str">
        <f t="shared" si="569"/>
        <v>NFSE</v>
      </c>
      <c r="D3138" t="str">
        <f t="shared" si="575"/>
        <v>3365</v>
      </c>
      <c r="E3138" t="str">
        <f t="shared" si="567"/>
        <v>1</v>
      </c>
      <c r="F3138" t="str">
        <f t="shared" si="573"/>
        <v>COM</v>
      </c>
      <c r="G3138" t="str">
        <f t="shared" si="576"/>
        <v>FARMÁCIA INDIANA LJ 30 (10127)</v>
      </c>
      <c r="H3138" t="s">
        <v>852</v>
      </c>
      <c r="I3138" t="str">
        <f t="shared" si="571"/>
        <v>24/09/2025</v>
      </c>
      <c r="J3138" t="str">
        <f t="shared" si="577"/>
        <v>15/09/2025</v>
      </c>
      <c r="K3138">
        <v>45924</v>
      </c>
      <c r="N3138">
        <v>303</v>
      </c>
      <c r="O3138" t="s">
        <v>69</v>
      </c>
      <c r="Q3138">
        <v>2168.62</v>
      </c>
      <c r="R3138" t="str">
        <f>"FARMÁCIA INDIANA LJ 95 (10039)"</f>
        <v>FARMÁCIA INDIANA LJ 95 (10039)</v>
      </c>
      <c r="S3138" t="s">
        <v>70</v>
      </c>
      <c r="T3138">
        <v>18648</v>
      </c>
      <c r="U3138">
        <v>22029</v>
      </c>
      <c r="V3138" t="s">
        <v>77</v>
      </c>
    </row>
    <row r="3139" spans="1:22">
      <c r="A3139" t="str">
        <f t="shared" si="574"/>
        <v>24/09/2025</v>
      </c>
      <c r="B3139" t="str">
        <f t="shared" si="568"/>
        <v>ENTRADA</v>
      </c>
      <c r="C3139" t="str">
        <f t="shared" si="569"/>
        <v>NFSE</v>
      </c>
      <c r="D3139" t="str">
        <f t="shared" si="575"/>
        <v>3365</v>
      </c>
      <c r="E3139" t="str">
        <f t="shared" si="567"/>
        <v>1</v>
      </c>
      <c r="F3139" t="str">
        <f t="shared" si="573"/>
        <v>COM</v>
      </c>
      <c r="G3139" t="str">
        <f t="shared" si="576"/>
        <v>FARMÁCIA INDIANA LJ 30 (10127)</v>
      </c>
      <c r="H3139" t="s">
        <v>852</v>
      </c>
      <c r="I3139" t="str">
        <f t="shared" si="571"/>
        <v>24/09/2025</v>
      </c>
      <c r="J3139" t="str">
        <f t="shared" si="577"/>
        <v>15/09/2025</v>
      </c>
      <c r="K3139">
        <v>45924</v>
      </c>
      <c r="N3139">
        <v>303</v>
      </c>
      <c r="O3139" t="s">
        <v>69</v>
      </c>
      <c r="Q3139">
        <v>2528.3200000000002</v>
      </c>
      <c r="R3139" t="str">
        <f>"FARMÁCIA INDIANA LJ 145 (10068)"</f>
        <v>FARMÁCIA INDIANA LJ 145 (10068)</v>
      </c>
      <c r="S3139" t="s">
        <v>70</v>
      </c>
      <c r="T3139">
        <v>18648</v>
      </c>
      <c r="U3139">
        <v>22029</v>
      </c>
      <c r="V3139" t="s">
        <v>77</v>
      </c>
    </row>
    <row r="3140" spans="1:22">
      <c r="A3140" t="str">
        <f t="shared" si="574"/>
        <v>24/09/2025</v>
      </c>
      <c r="B3140" t="str">
        <f t="shared" si="568"/>
        <v>ENTRADA</v>
      </c>
      <c r="C3140" t="str">
        <f t="shared" si="569"/>
        <v>NFSE</v>
      </c>
      <c r="D3140" t="str">
        <f t="shared" si="575"/>
        <v>3365</v>
      </c>
      <c r="E3140" t="str">
        <f t="shared" si="567"/>
        <v>1</v>
      </c>
      <c r="F3140" t="str">
        <f t="shared" si="573"/>
        <v>COM</v>
      </c>
      <c r="G3140" t="str">
        <f t="shared" si="576"/>
        <v>FARMÁCIA INDIANA LJ 30 (10127)</v>
      </c>
      <c r="H3140" t="s">
        <v>852</v>
      </c>
      <c r="I3140" t="str">
        <f t="shared" si="571"/>
        <v>24/09/2025</v>
      </c>
      <c r="J3140" t="str">
        <f t="shared" si="577"/>
        <v>15/09/2025</v>
      </c>
      <c r="K3140">
        <v>45924</v>
      </c>
      <c r="N3140">
        <v>303</v>
      </c>
      <c r="O3140" t="s">
        <v>69</v>
      </c>
      <c r="Q3140">
        <v>1045.21</v>
      </c>
      <c r="R3140" t="str">
        <f>"FARMÁCIA INDIANA LJ 169 (10073)"</f>
        <v>FARMÁCIA INDIANA LJ 169 (10073)</v>
      </c>
      <c r="S3140" t="s">
        <v>70</v>
      </c>
      <c r="T3140">
        <v>18648</v>
      </c>
      <c r="U3140">
        <v>22029</v>
      </c>
      <c r="V3140" t="s">
        <v>77</v>
      </c>
    </row>
    <row r="3141" spans="1:22">
      <c r="A3141" t="str">
        <f t="shared" si="574"/>
        <v>24/09/2025</v>
      </c>
      <c r="B3141" t="str">
        <f t="shared" si="568"/>
        <v>ENTRADA</v>
      </c>
      <c r="C3141" t="str">
        <f t="shared" si="569"/>
        <v>NFSE</v>
      </c>
      <c r="D3141" t="str">
        <f t="shared" si="575"/>
        <v>3365</v>
      </c>
      <c r="E3141" t="str">
        <f t="shared" si="567"/>
        <v>1</v>
      </c>
      <c r="F3141" t="str">
        <f t="shared" si="573"/>
        <v>COM</v>
      </c>
      <c r="G3141" t="str">
        <f t="shared" si="576"/>
        <v>FARMÁCIA INDIANA LJ 30 (10127)</v>
      </c>
      <c r="H3141" t="s">
        <v>852</v>
      </c>
      <c r="I3141" t="str">
        <f t="shared" si="571"/>
        <v>24/09/2025</v>
      </c>
      <c r="J3141" t="str">
        <f t="shared" si="577"/>
        <v>15/09/2025</v>
      </c>
      <c r="K3141">
        <v>45924</v>
      </c>
      <c r="N3141">
        <v>303</v>
      </c>
      <c r="O3141" t="s">
        <v>69</v>
      </c>
      <c r="Q3141">
        <v>1569.12</v>
      </c>
      <c r="R3141" t="str">
        <f>"FARMÁCIA INDIANA LJ 173 (10075)"</f>
        <v>FARMÁCIA INDIANA LJ 173 (10075)</v>
      </c>
      <c r="S3141" t="s">
        <v>70</v>
      </c>
      <c r="T3141">
        <v>18648</v>
      </c>
      <c r="U3141">
        <v>22029</v>
      </c>
      <c r="V3141" t="s">
        <v>77</v>
      </c>
    </row>
    <row r="3142" spans="1:22">
      <c r="A3142" t="str">
        <f t="shared" si="574"/>
        <v>24/09/2025</v>
      </c>
      <c r="B3142" t="str">
        <f t="shared" si="568"/>
        <v>ENTRADA</v>
      </c>
      <c r="C3142" t="str">
        <f t="shared" si="569"/>
        <v>NFSE</v>
      </c>
      <c r="D3142" t="str">
        <f t="shared" si="575"/>
        <v>3365</v>
      </c>
      <c r="E3142" t="str">
        <f t="shared" si="567"/>
        <v>1</v>
      </c>
      <c r="F3142" t="str">
        <f t="shared" si="573"/>
        <v>COM</v>
      </c>
      <c r="G3142" t="str">
        <f t="shared" si="576"/>
        <v>FARMÁCIA INDIANA LJ 30 (10127)</v>
      </c>
      <c r="H3142" t="s">
        <v>852</v>
      </c>
      <c r="I3142" t="str">
        <f t="shared" si="571"/>
        <v>24/09/2025</v>
      </c>
      <c r="J3142" t="str">
        <f t="shared" si="577"/>
        <v>15/09/2025</v>
      </c>
      <c r="K3142">
        <v>45924</v>
      </c>
      <c r="N3142">
        <v>303</v>
      </c>
      <c r="O3142" t="s">
        <v>69</v>
      </c>
      <c r="Q3142">
        <v>1154.69</v>
      </c>
      <c r="R3142" t="str">
        <f>"FARMÁCIA INDIANA LJ 200 (10155)"</f>
        <v>FARMÁCIA INDIANA LJ 200 (10155)</v>
      </c>
      <c r="S3142" t="s">
        <v>70</v>
      </c>
      <c r="T3142">
        <v>18648</v>
      </c>
      <c r="U3142">
        <v>22029</v>
      </c>
      <c r="V3142" t="s">
        <v>77</v>
      </c>
    </row>
    <row r="3143" spans="1:22">
      <c r="A3143" t="str">
        <f t="shared" si="574"/>
        <v>24/09/2025</v>
      </c>
      <c r="B3143" t="str">
        <f t="shared" si="568"/>
        <v>ENTRADA</v>
      </c>
      <c r="C3143" t="str">
        <f t="shared" si="569"/>
        <v>NFSE</v>
      </c>
      <c r="D3143" t="str">
        <f t="shared" si="575"/>
        <v>3365</v>
      </c>
      <c r="E3143" t="str">
        <f t="shared" ref="E3143:E3159" si="578">"1"</f>
        <v>1</v>
      </c>
      <c r="F3143" t="str">
        <f t="shared" si="573"/>
        <v>COM</v>
      </c>
      <c r="G3143" t="str">
        <f t="shared" si="576"/>
        <v>FARMÁCIA INDIANA LJ 30 (10127)</v>
      </c>
      <c r="H3143" t="s">
        <v>852</v>
      </c>
      <c r="I3143" t="str">
        <f t="shared" si="571"/>
        <v>24/09/2025</v>
      </c>
      <c r="J3143" t="str">
        <f t="shared" si="577"/>
        <v>15/09/2025</v>
      </c>
      <c r="K3143">
        <v>45924</v>
      </c>
      <c r="N3143">
        <v>303</v>
      </c>
      <c r="O3143" t="s">
        <v>69</v>
      </c>
      <c r="Q3143">
        <v>1053.03</v>
      </c>
      <c r="R3143" t="str">
        <f>"FARMÁCIA INDIANA LJ 33 (10187)"</f>
        <v>FARMÁCIA INDIANA LJ 33 (10187)</v>
      </c>
      <c r="S3143" t="s">
        <v>70</v>
      </c>
      <c r="T3143">
        <v>18648</v>
      </c>
      <c r="U3143">
        <v>22029</v>
      </c>
      <c r="V3143" t="s">
        <v>77</v>
      </c>
    </row>
    <row r="3144" spans="1:22">
      <c r="A3144" t="str">
        <f t="shared" si="574"/>
        <v>24/09/2025</v>
      </c>
      <c r="B3144" t="str">
        <f t="shared" si="568"/>
        <v>ENTRADA</v>
      </c>
      <c r="C3144" t="str">
        <f t="shared" si="569"/>
        <v>NFSE</v>
      </c>
      <c r="D3144" t="str">
        <f t="shared" ref="D3144:D3154" si="579">"3374"</f>
        <v>3374</v>
      </c>
      <c r="E3144" t="str">
        <f t="shared" si="578"/>
        <v>1</v>
      </c>
      <c r="F3144" t="str">
        <f t="shared" si="573"/>
        <v>COM</v>
      </c>
      <c r="G3144" t="str">
        <f t="shared" ref="G3144:G3154" si="580">"FARMÁCIA INDIANA LJ 85 (10128)"</f>
        <v>FARMÁCIA INDIANA LJ 85 (10128)</v>
      </c>
      <c r="H3144" t="str">
        <f>"Serv.Prest. 08/09/2025 a 14/09/2025 - RPS: 1250 - NFSe: 3374"</f>
        <v>Serv.Prest. 08/09/2025 a 14/09/2025 - RPS: 1250 - NFSe: 3374</v>
      </c>
      <c r="I3144" t="str">
        <f t="shared" si="571"/>
        <v>24/09/2025</v>
      </c>
      <c r="J3144" t="str">
        <f t="shared" ref="J3144:J3157" si="581">("16/09/2025")</f>
        <v>16/09/2025</v>
      </c>
      <c r="K3144" t="str">
        <f>("24/09/2025")</f>
        <v>24/09/2025</v>
      </c>
      <c r="L3144">
        <v>10663.21</v>
      </c>
      <c r="M3144">
        <v>10663.21</v>
      </c>
      <c r="N3144">
        <v>303</v>
      </c>
      <c r="O3144" t="str">
        <f>"RECEITAS COM ENTREGAS"</f>
        <v>RECEITAS COM ENTREGAS</v>
      </c>
      <c r="P3144">
        <v>10663.21</v>
      </c>
      <c r="S3144" t="str">
        <f>"RECEITAS COM ENTREGAS (303)"</f>
        <v>RECEITAS COM ENTREGAS (303)</v>
      </c>
      <c r="T3144">
        <v>18649</v>
      </c>
      <c r="U3144">
        <v>22188</v>
      </c>
      <c r="V3144" t="s">
        <v>77</v>
      </c>
    </row>
    <row r="3145" spans="1:22">
      <c r="A3145" t="str">
        <f t="shared" si="574"/>
        <v>24/09/2025</v>
      </c>
      <c r="B3145" t="str">
        <f t="shared" ref="B3145:B3154" si="582">"ENTRADA"</f>
        <v>ENTRADA</v>
      </c>
      <c r="C3145" t="str">
        <f t="shared" ref="C3145:C3154" si="583">"NFSE"</f>
        <v>NFSE</v>
      </c>
      <c r="D3145" t="str">
        <f t="shared" si="579"/>
        <v>3374</v>
      </c>
      <c r="E3145" t="str">
        <f t="shared" si="578"/>
        <v>1</v>
      </c>
      <c r="F3145" t="str">
        <f t="shared" si="573"/>
        <v>COM</v>
      </c>
      <c r="G3145" t="str">
        <f t="shared" si="580"/>
        <v>FARMÁCIA INDIANA LJ 85 (10128)</v>
      </c>
      <c r="H3145" t="s">
        <v>853</v>
      </c>
      <c r="I3145" t="str">
        <f t="shared" ref="I3145:I3157" si="584">("24/09/2025")</f>
        <v>24/09/2025</v>
      </c>
      <c r="J3145" t="str">
        <f t="shared" si="581"/>
        <v>16/09/2025</v>
      </c>
      <c r="K3145">
        <v>45924</v>
      </c>
      <c r="N3145">
        <v>303</v>
      </c>
      <c r="O3145" t="s">
        <v>69</v>
      </c>
      <c r="Q3145">
        <v>918.09</v>
      </c>
      <c r="R3145" t="str">
        <f>"FARMÁCIA INDIANA LJ 119 (10053)"</f>
        <v>FARMÁCIA INDIANA LJ 119 (10053)</v>
      </c>
      <c r="S3145" t="s">
        <v>70</v>
      </c>
      <c r="T3145">
        <v>18649</v>
      </c>
      <c r="U3145">
        <v>22188</v>
      </c>
      <c r="V3145" t="s">
        <v>77</v>
      </c>
    </row>
    <row r="3146" spans="1:22">
      <c r="A3146" t="str">
        <f t="shared" si="574"/>
        <v>24/09/2025</v>
      </c>
      <c r="B3146" t="str">
        <f t="shared" si="582"/>
        <v>ENTRADA</v>
      </c>
      <c r="C3146" t="str">
        <f t="shared" si="583"/>
        <v>NFSE</v>
      </c>
      <c r="D3146" t="str">
        <f t="shared" si="579"/>
        <v>3374</v>
      </c>
      <c r="E3146" t="str">
        <f t="shared" si="578"/>
        <v>1</v>
      </c>
      <c r="F3146" t="str">
        <f t="shared" ref="F3146:F3177" si="585">"COM"</f>
        <v>COM</v>
      </c>
      <c r="G3146" t="str">
        <f t="shared" si="580"/>
        <v>FARMÁCIA INDIANA LJ 85 (10128)</v>
      </c>
      <c r="H3146" t="s">
        <v>853</v>
      </c>
      <c r="I3146" t="str">
        <f t="shared" si="584"/>
        <v>24/09/2025</v>
      </c>
      <c r="J3146" t="str">
        <f t="shared" si="581"/>
        <v>16/09/2025</v>
      </c>
      <c r="K3146">
        <v>45924</v>
      </c>
      <c r="N3146">
        <v>303</v>
      </c>
      <c r="O3146" t="s">
        <v>69</v>
      </c>
      <c r="Q3146">
        <v>3031.55</v>
      </c>
      <c r="R3146" t="str">
        <f>"FARMÁCIA INDIANA LJ 163 (10072)"</f>
        <v>FARMÁCIA INDIANA LJ 163 (10072)</v>
      </c>
      <c r="S3146" t="s">
        <v>70</v>
      </c>
      <c r="T3146">
        <v>18649</v>
      </c>
      <c r="U3146">
        <v>22188</v>
      </c>
      <c r="V3146" t="s">
        <v>77</v>
      </c>
    </row>
    <row r="3147" spans="1:22">
      <c r="A3147" t="str">
        <f t="shared" si="574"/>
        <v>24/09/2025</v>
      </c>
      <c r="B3147" t="str">
        <f t="shared" si="582"/>
        <v>ENTRADA</v>
      </c>
      <c r="C3147" t="str">
        <f t="shared" si="583"/>
        <v>NFSE</v>
      </c>
      <c r="D3147" t="str">
        <f t="shared" si="579"/>
        <v>3374</v>
      </c>
      <c r="E3147" t="str">
        <f t="shared" si="578"/>
        <v>1</v>
      </c>
      <c r="F3147" t="str">
        <f t="shared" si="585"/>
        <v>COM</v>
      </c>
      <c r="G3147" t="str">
        <f t="shared" si="580"/>
        <v>FARMÁCIA INDIANA LJ 85 (10128)</v>
      </c>
      <c r="H3147" t="s">
        <v>853</v>
      </c>
      <c r="I3147" t="str">
        <f t="shared" si="584"/>
        <v>24/09/2025</v>
      </c>
      <c r="J3147" t="str">
        <f t="shared" si="581"/>
        <v>16/09/2025</v>
      </c>
      <c r="K3147">
        <v>45924</v>
      </c>
      <c r="N3147">
        <v>303</v>
      </c>
      <c r="O3147" t="s">
        <v>69</v>
      </c>
      <c r="Q3147">
        <v>1409.68</v>
      </c>
      <c r="R3147" t="str">
        <f>"FARMÁCIA INDIANA LJ 181 (10078)"</f>
        <v>FARMÁCIA INDIANA LJ 181 (10078)</v>
      </c>
      <c r="S3147" t="s">
        <v>70</v>
      </c>
      <c r="T3147">
        <v>18649</v>
      </c>
      <c r="U3147">
        <v>22188</v>
      </c>
      <c r="V3147" t="s">
        <v>77</v>
      </c>
    </row>
    <row r="3148" spans="1:22">
      <c r="A3148" t="str">
        <f t="shared" si="574"/>
        <v>24/09/2025</v>
      </c>
      <c r="B3148" t="str">
        <f t="shared" si="582"/>
        <v>ENTRADA</v>
      </c>
      <c r="C3148" t="str">
        <f t="shared" si="583"/>
        <v>NFSE</v>
      </c>
      <c r="D3148" t="str">
        <f t="shared" si="579"/>
        <v>3374</v>
      </c>
      <c r="E3148" t="str">
        <f t="shared" si="578"/>
        <v>1</v>
      </c>
      <c r="F3148" t="str">
        <f t="shared" si="585"/>
        <v>COM</v>
      </c>
      <c r="G3148" t="str">
        <f t="shared" si="580"/>
        <v>FARMÁCIA INDIANA LJ 85 (10128)</v>
      </c>
      <c r="H3148" t="s">
        <v>853</v>
      </c>
      <c r="I3148" t="str">
        <f t="shared" si="584"/>
        <v>24/09/2025</v>
      </c>
      <c r="J3148" t="str">
        <f t="shared" si="581"/>
        <v>16/09/2025</v>
      </c>
      <c r="K3148">
        <v>45924</v>
      </c>
      <c r="N3148">
        <v>303</v>
      </c>
      <c r="O3148" t="s">
        <v>69</v>
      </c>
      <c r="Q3148">
        <v>915.97</v>
      </c>
      <c r="R3148" t="str">
        <f>"FARMÁCIA INDIANA LJ 221 (10093)"</f>
        <v>FARMÁCIA INDIANA LJ 221 (10093)</v>
      </c>
      <c r="S3148" t="s">
        <v>70</v>
      </c>
      <c r="T3148">
        <v>18649</v>
      </c>
      <c r="U3148">
        <v>22188</v>
      </c>
      <c r="V3148" t="s">
        <v>77</v>
      </c>
    </row>
    <row r="3149" spans="1:22">
      <c r="A3149" t="str">
        <f t="shared" si="574"/>
        <v>24/09/2025</v>
      </c>
      <c r="B3149" t="str">
        <f t="shared" si="582"/>
        <v>ENTRADA</v>
      </c>
      <c r="C3149" t="str">
        <f t="shared" si="583"/>
        <v>NFSE</v>
      </c>
      <c r="D3149" t="str">
        <f t="shared" si="579"/>
        <v>3374</v>
      </c>
      <c r="E3149" t="str">
        <f t="shared" si="578"/>
        <v>1</v>
      </c>
      <c r="F3149" t="str">
        <f t="shared" si="585"/>
        <v>COM</v>
      </c>
      <c r="G3149" t="str">
        <f t="shared" si="580"/>
        <v>FARMÁCIA INDIANA LJ 85 (10128)</v>
      </c>
      <c r="H3149" t="s">
        <v>853</v>
      </c>
      <c r="I3149" t="str">
        <f t="shared" si="584"/>
        <v>24/09/2025</v>
      </c>
      <c r="J3149" t="str">
        <f t="shared" si="581"/>
        <v>16/09/2025</v>
      </c>
      <c r="K3149">
        <v>45924</v>
      </c>
      <c r="N3149">
        <v>303</v>
      </c>
      <c r="O3149" t="s">
        <v>69</v>
      </c>
      <c r="Q3149">
        <v>1067.3900000000001</v>
      </c>
      <c r="R3149" t="str">
        <f>"FARMÁCIA INDIANA LJ 243 (10142)"</f>
        <v>FARMÁCIA INDIANA LJ 243 (10142)</v>
      </c>
      <c r="S3149" t="s">
        <v>70</v>
      </c>
      <c r="T3149">
        <v>18649</v>
      </c>
      <c r="U3149">
        <v>22188</v>
      </c>
      <c r="V3149" t="s">
        <v>77</v>
      </c>
    </row>
    <row r="3150" spans="1:22">
      <c r="A3150" t="str">
        <f t="shared" ref="A3150:A3181" si="586">("24/09/2025")</f>
        <v>24/09/2025</v>
      </c>
      <c r="B3150" t="str">
        <f t="shared" si="582"/>
        <v>ENTRADA</v>
      </c>
      <c r="C3150" t="str">
        <f t="shared" si="583"/>
        <v>NFSE</v>
      </c>
      <c r="D3150" t="str">
        <f t="shared" si="579"/>
        <v>3374</v>
      </c>
      <c r="E3150" t="str">
        <f t="shared" si="578"/>
        <v>1</v>
      </c>
      <c r="F3150" t="str">
        <f t="shared" si="585"/>
        <v>COM</v>
      </c>
      <c r="G3150" t="str">
        <f t="shared" si="580"/>
        <v>FARMÁCIA INDIANA LJ 85 (10128)</v>
      </c>
      <c r="H3150" t="s">
        <v>853</v>
      </c>
      <c r="I3150" t="str">
        <f t="shared" si="584"/>
        <v>24/09/2025</v>
      </c>
      <c r="J3150" t="str">
        <f t="shared" si="581"/>
        <v>16/09/2025</v>
      </c>
      <c r="K3150">
        <v>45924</v>
      </c>
      <c r="N3150">
        <v>303</v>
      </c>
      <c r="O3150" t="s">
        <v>69</v>
      </c>
      <c r="Q3150">
        <v>488.38</v>
      </c>
      <c r="R3150" t="str">
        <f>"FARMÁCIA INDIANA LJ 211 (10168)"</f>
        <v>FARMÁCIA INDIANA LJ 211 (10168)</v>
      </c>
      <c r="S3150" t="s">
        <v>70</v>
      </c>
      <c r="T3150">
        <v>18649</v>
      </c>
      <c r="U3150">
        <v>22188</v>
      </c>
      <c r="V3150" t="s">
        <v>77</v>
      </c>
    </row>
    <row r="3151" spans="1:22">
      <c r="A3151" t="str">
        <f t="shared" si="586"/>
        <v>24/09/2025</v>
      </c>
      <c r="B3151" t="str">
        <f t="shared" si="582"/>
        <v>ENTRADA</v>
      </c>
      <c r="C3151" t="str">
        <f t="shared" si="583"/>
        <v>NFSE</v>
      </c>
      <c r="D3151" t="str">
        <f t="shared" si="579"/>
        <v>3374</v>
      </c>
      <c r="E3151" t="str">
        <f t="shared" si="578"/>
        <v>1</v>
      </c>
      <c r="F3151" t="str">
        <f t="shared" si="585"/>
        <v>COM</v>
      </c>
      <c r="G3151" t="str">
        <f t="shared" si="580"/>
        <v>FARMÁCIA INDIANA LJ 85 (10128)</v>
      </c>
      <c r="H3151" t="s">
        <v>853</v>
      </c>
      <c r="I3151" t="str">
        <f t="shared" si="584"/>
        <v>24/09/2025</v>
      </c>
      <c r="J3151" t="str">
        <f t="shared" si="581"/>
        <v>16/09/2025</v>
      </c>
      <c r="K3151">
        <v>45924</v>
      </c>
      <c r="N3151">
        <v>303</v>
      </c>
      <c r="O3151" t="s">
        <v>69</v>
      </c>
      <c r="Q3151">
        <v>488.38</v>
      </c>
      <c r="R3151" t="str">
        <f>"FARMÁCIA INDIANA LJ 236 (10169)"</f>
        <v>FARMÁCIA INDIANA LJ 236 (10169)</v>
      </c>
      <c r="S3151" t="s">
        <v>70</v>
      </c>
      <c r="T3151">
        <v>18649</v>
      </c>
      <c r="U3151">
        <v>22188</v>
      </c>
      <c r="V3151" t="s">
        <v>77</v>
      </c>
    </row>
    <row r="3152" spans="1:22">
      <c r="A3152" t="str">
        <f t="shared" si="586"/>
        <v>24/09/2025</v>
      </c>
      <c r="B3152" t="str">
        <f t="shared" si="582"/>
        <v>ENTRADA</v>
      </c>
      <c r="C3152" t="str">
        <f t="shared" si="583"/>
        <v>NFSE</v>
      </c>
      <c r="D3152" t="str">
        <f t="shared" si="579"/>
        <v>3374</v>
      </c>
      <c r="E3152" t="str">
        <f t="shared" si="578"/>
        <v>1</v>
      </c>
      <c r="F3152" t="str">
        <f t="shared" si="585"/>
        <v>COM</v>
      </c>
      <c r="G3152" t="str">
        <f t="shared" si="580"/>
        <v>FARMÁCIA INDIANA LJ 85 (10128)</v>
      </c>
      <c r="H3152" t="s">
        <v>853</v>
      </c>
      <c r="I3152" t="str">
        <f t="shared" si="584"/>
        <v>24/09/2025</v>
      </c>
      <c r="J3152" t="str">
        <f t="shared" si="581"/>
        <v>16/09/2025</v>
      </c>
      <c r="K3152">
        <v>45924</v>
      </c>
      <c r="N3152">
        <v>303</v>
      </c>
      <c r="O3152" t="s">
        <v>69</v>
      </c>
      <c r="Q3152">
        <v>975.68</v>
      </c>
      <c r="R3152" t="str">
        <f>"FARMÁCIA INDIANA LJ 188 (10176)"</f>
        <v>FARMÁCIA INDIANA LJ 188 (10176)</v>
      </c>
      <c r="S3152" t="s">
        <v>70</v>
      </c>
      <c r="T3152">
        <v>18649</v>
      </c>
      <c r="U3152">
        <v>22188</v>
      </c>
      <c r="V3152" t="s">
        <v>77</v>
      </c>
    </row>
    <row r="3153" spans="1:22">
      <c r="A3153" t="str">
        <f t="shared" si="586"/>
        <v>24/09/2025</v>
      </c>
      <c r="B3153" t="str">
        <f t="shared" si="582"/>
        <v>ENTRADA</v>
      </c>
      <c r="C3153" t="str">
        <f t="shared" si="583"/>
        <v>NFSE</v>
      </c>
      <c r="D3153" t="str">
        <f t="shared" si="579"/>
        <v>3374</v>
      </c>
      <c r="E3153" t="str">
        <f t="shared" si="578"/>
        <v>1</v>
      </c>
      <c r="F3153" t="str">
        <f t="shared" si="585"/>
        <v>COM</v>
      </c>
      <c r="G3153" t="str">
        <f t="shared" si="580"/>
        <v>FARMÁCIA INDIANA LJ 85 (10128)</v>
      </c>
      <c r="H3153" t="s">
        <v>853</v>
      </c>
      <c r="I3153" t="str">
        <f t="shared" si="584"/>
        <v>24/09/2025</v>
      </c>
      <c r="J3153" t="str">
        <f t="shared" si="581"/>
        <v>16/09/2025</v>
      </c>
      <c r="K3153">
        <v>45924</v>
      </c>
      <c r="N3153">
        <v>303</v>
      </c>
      <c r="O3153" t="s">
        <v>69</v>
      </c>
      <c r="Q3153">
        <v>1214.54</v>
      </c>
      <c r="R3153" t="str">
        <f>"FARMÁCIA INDIANA LJ 273 (10188)"</f>
        <v>FARMÁCIA INDIANA LJ 273 (10188)</v>
      </c>
      <c r="S3153" t="s">
        <v>70</v>
      </c>
      <c r="T3153">
        <v>18649</v>
      </c>
      <c r="U3153">
        <v>22188</v>
      </c>
      <c r="V3153" t="s">
        <v>77</v>
      </c>
    </row>
    <row r="3154" spans="1:22">
      <c r="A3154" t="str">
        <f t="shared" si="586"/>
        <v>24/09/2025</v>
      </c>
      <c r="B3154" t="str">
        <f t="shared" si="582"/>
        <v>ENTRADA</v>
      </c>
      <c r="C3154" t="str">
        <f t="shared" si="583"/>
        <v>NFSE</v>
      </c>
      <c r="D3154" t="str">
        <f t="shared" si="579"/>
        <v>3374</v>
      </c>
      <c r="E3154" t="str">
        <f t="shared" si="578"/>
        <v>1</v>
      </c>
      <c r="F3154" t="str">
        <f t="shared" si="585"/>
        <v>COM</v>
      </c>
      <c r="G3154" t="str">
        <f t="shared" si="580"/>
        <v>FARMÁCIA INDIANA LJ 85 (10128)</v>
      </c>
      <c r="H3154" t="s">
        <v>853</v>
      </c>
      <c r="I3154" t="str">
        <f t="shared" si="584"/>
        <v>24/09/2025</v>
      </c>
      <c r="J3154" t="str">
        <f t="shared" si="581"/>
        <v>16/09/2025</v>
      </c>
      <c r="K3154">
        <v>45924</v>
      </c>
      <c r="N3154">
        <v>303</v>
      </c>
      <c r="O3154" t="s">
        <v>69</v>
      </c>
      <c r="Q3154">
        <v>153.55000000000001</v>
      </c>
      <c r="R3154" t="str">
        <f>"FARMÁCIA INDIANA LJ 235 (10190)"</f>
        <v>FARMÁCIA INDIANA LJ 235 (10190)</v>
      </c>
      <c r="S3154" t="s">
        <v>70</v>
      </c>
      <c r="T3154">
        <v>18649</v>
      </c>
      <c r="U3154">
        <v>22188</v>
      </c>
      <c r="V3154" t="s">
        <v>77</v>
      </c>
    </row>
    <row r="3155" spans="1:22">
      <c r="A3155" t="str">
        <f t="shared" si="586"/>
        <v>24/09/2025</v>
      </c>
      <c r="B3155" t="str">
        <f t="shared" ref="B3155:B3171" si="587">"SAÍDA"</f>
        <v>SAÍDA</v>
      </c>
      <c r="C3155" t="str">
        <f t="shared" ref="C3155:C3161" si="588">"PIX"</f>
        <v>PIX</v>
      </c>
      <c r="D3155" t="str">
        <f>"22087"</f>
        <v>22087</v>
      </c>
      <c r="E3155" t="str">
        <f t="shared" si="578"/>
        <v>1</v>
      </c>
      <c r="F3155" t="str">
        <f t="shared" si="585"/>
        <v>COM</v>
      </c>
      <c r="G3155" t="str">
        <f>"GABRIEL SOARES VIEIRA (18)"</f>
        <v>GABRIEL SOARES VIEIRA (18)</v>
      </c>
      <c r="H3155" t="str">
        <f>"Serv.Prest. 08/09/2025 a 14/09/2025 - PIX: CPF - CHAVE: 179.800.027-09"</f>
        <v>Serv.Prest. 08/09/2025 a 14/09/2025 - PIX: CPF - CHAVE: 179.800.027-09</v>
      </c>
      <c r="I3155" t="str">
        <f t="shared" si="584"/>
        <v>24/09/2025</v>
      </c>
      <c r="J3155" t="str">
        <f t="shared" si="581"/>
        <v>16/09/2025</v>
      </c>
      <c r="K3155" t="str">
        <f>("24/09/2025")</f>
        <v>24/09/2025</v>
      </c>
      <c r="L3155">
        <v>1000</v>
      </c>
      <c r="M3155">
        <v>1000</v>
      </c>
      <c r="N3155">
        <v>109</v>
      </c>
      <c r="O3155" t="str">
        <f>"PAGAMENTO DE ENTREGADORES"</f>
        <v>PAGAMENTO DE ENTREGADORES</v>
      </c>
      <c r="P3155">
        <v>1000</v>
      </c>
      <c r="S3155" t="str">
        <f>"BANCO CORA (102)"</f>
        <v>BANCO CORA (102)</v>
      </c>
      <c r="T3155">
        <v>18650</v>
      </c>
      <c r="U3155">
        <v>22513</v>
      </c>
      <c r="V3155" t="s">
        <v>22</v>
      </c>
    </row>
    <row r="3156" spans="1:22">
      <c r="A3156" t="str">
        <f t="shared" si="586"/>
        <v>24/09/2025</v>
      </c>
      <c r="B3156" t="str">
        <f t="shared" si="587"/>
        <v>SAÍDA</v>
      </c>
      <c r="C3156" t="str">
        <f t="shared" si="588"/>
        <v>PIX</v>
      </c>
      <c r="D3156" t="str">
        <f>"22087"</f>
        <v>22087</v>
      </c>
      <c r="E3156" t="str">
        <f t="shared" si="578"/>
        <v>1</v>
      </c>
      <c r="F3156" t="str">
        <f t="shared" si="585"/>
        <v>COM</v>
      </c>
      <c r="G3156" t="str">
        <f>"GABRIEL SOARES VIEIRA (18)"</f>
        <v>GABRIEL SOARES VIEIRA (18)</v>
      </c>
      <c r="H3156" t="s">
        <v>854</v>
      </c>
      <c r="I3156" t="str">
        <f t="shared" si="584"/>
        <v>24/09/2025</v>
      </c>
      <c r="J3156" t="str">
        <f t="shared" si="581"/>
        <v>16/09/2025</v>
      </c>
      <c r="K3156">
        <v>45924</v>
      </c>
      <c r="N3156">
        <v>109</v>
      </c>
      <c r="O3156" t="s">
        <v>24</v>
      </c>
      <c r="Q3156">
        <v>995.9</v>
      </c>
      <c r="R3156" t="str">
        <f>"FARMÁCIA INDIANA LJ 40 (10016)"</f>
        <v>FARMÁCIA INDIANA LJ 40 (10016)</v>
      </c>
      <c r="S3156" t="s">
        <v>22</v>
      </c>
      <c r="T3156">
        <v>18650</v>
      </c>
      <c r="U3156">
        <v>22513</v>
      </c>
      <c r="V3156" t="s">
        <v>22</v>
      </c>
    </row>
    <row r="3157" spans="1:22">
      <c r="A3157" t="str">
        <f t="shared" si="586"/>
        <v>24/09/2025</v>
      </c>
      <c r="B3157" t="str">
        <f t="shared" si="587"/>
        <v>SAÍDA</v>
      </c>
      <c r="C3157" t="str">
        <f t="shared" si="588"/>
        <v>PIX</v>
      </c>
      <c r="D3157" t="str">
        <f>"22087"</f>
        <v>22087</v>
      </c>
      <c r="E3157" t="str">
        <f t="shared" si="578"/>
        <v>1</v>
      </c>
      <c r="F3157" t="str">
        <f t="shared" si="585"/>
        <v>COM</v>
      </c>
      <c r="G3157" t="str">
        <f>"GABRIEL SOARES VIEIRA (18)"</f>
        <v>GABRIEL SOARES VIEIRA (18)</v>
      </c>
      <c r="H3157" t="s">
        <v>854</v>
      </c>
      <c r="I3157" t="str">
        <f t="shared" si="584"/>
        <v>24/09/2025</v>
      </c>
      <c r="J3157" t="str">
        <f t="shared" si="581"/>
        <v>16/09/2025</v>
      </c>
      <c r="K3157">
        <v>45924</v>
      </c>
      <c r="N3157">
        <v>109</v>
      </c>
      <c r="O3157" t="s">
        <v>24</v>
      </c>
      <c r="Q3157">
        <v>4.0999999999999996</v>
      </c>
      <c r="R3157" t="str">
        <f>"FARMÁCIA INDIANA LJ 61 (10027)"</f>
        <v>FARMÁCIA INDIANA LJ 61 (10027)</v>
      </c>
      <c r="S3157" t="s">
        <v>22</v>
      </c>
      <c r="T3157">
        <v>18650</v>
      </c>
      <c r="U3157">
        <v>22513</v>
      </c>
      <c r="V3157" t="s">
        <v>22</v>
      </c>
    </row>
    <row r="3158" spans="1:22">
      <c r="A3158" t="str">
        <f t="shared" si="586"/>
        <v>24/09/2025</v>
      </c>
      <c r="B3158" t="str">
        <f t="shared" si="587"/>
        <v>SAÍDA</v>
      </c>
      <c r="C3158" t="str">
        <f t="shared" si="588"/>
        <v>PIX</v>
      </c>
      <c r="D3158" t="str">
        <f>"22684"</f>
        <v>22684</v>
      </c>
      <c r="E3158" t="str">
        <f t="shared" si="578"/>
        <v>1</v>
      </c>
      <c r="F3158" t="str">
        <f t="shared" si="585"/>
        <v>COM</v>
      </c>
      <c r="G3158" t="str">
        <f>"WILLIAM DA SILVA COSTA (655)"</f>
        <v>WILLIAM DA SILVA COSTA (655)</v>
      </c>
      <c r="H3158" t="str">
        <f>"Serv.Prest. 22/09/2025 a 28/09/2025 - PIX: CELULAR - CHAVE: (64) 97400-9101"</f>
        <v>Serv.Prest. 22/09/2025 a 28/09/2025 - PIX: CELULAR - CHAVE: (64) 97400-9101</v>
      </c>
      <c r="I3158" t="str">
        <f>("02/10/2025")</f>
        <v>02/10/2025</v>
      </c>
      <c r="J3158" t="str">
        <f>("29/09/2025")</f>
        <v>29/09/2025</v>
      </c>
      <c r="K3158" t="str">
        <f>("24/09/2025")</f>
        <v>24/09/2025</v>
      </c>
      <c r="L3158">
        <v>70</v>
      </c>
      <c r="M3158">
        <v>130</v>
      </c>
      <c r="N3158">
        <v>109</v>
      </c>
      <c r="O3158" t="str">
        <f>"PAGAMENTO DE ENTREGADORES"</f>
        <v>PAGAMENTO DE ENTREGADORES</v>
      </c>
      <c r="P3158">
        <v>130</v>
      </c>
      <c r="S3158" t="str">
        <f>"BANCO CORA (102)"</f>
        <v>BANCO CORA (102)</v>
      </c>
      <c r="T3158">
        <v>18868</v>
      </c>
      <c r="U3158">
        <v>22684</v>
      </c>
      <c r="V3158" t="s">
        <v>22</v>
      </c>
    </row>
    <row r="3159" spans="1:22">
      <c r="A3159" t="str">
        <f t="shared" si="586"/>
        <v>24/09/2025</v>
      </c>
      <c r="B3159" t="str">
        <f t="shared" si="587"/>
        <v>SAÍDA</v>
      </c>
      <c r="C3159" t="str">
        <f t="shared" si="588"/>
        <v>PIX</v>
      </c>
      <c r="D3159" t="str">
        <f>"22684"</f>
        <v>22684</v>
      </c>
      <c r="E3159" t="str">
        <f t="shared" si="578"/>
        <v>1</v>
      </c>
      <c r="F3159" t="str">
        <f t="shared" si="585"/>
        <v>COM</v>
      </c>
      <c r="G3159" t="str">
        <f>"WILLIAM DA SILVA COSTA (655)"</f>
        <v>WILLIAM DA SILVA COSTA (655)</v>
      </c>
      <c r="H3159" t="s">
        <v>855</v>
      </c>
      <c r="I3159" t="str">
        <f>("02/10/2025")</f>
        <v>02/10/2025</v>
      </c>
      <c r="J3159" t="str">
        <f>("29/09/2025")</f>
        <v>29/09/2025</v>
      </c>
      <c r="K3159">
        <v>45924</v>
      </c>
      <c r="N3159">
        <v>109</v>
      </c>
      <c r="O3159" t="s">
        <v>24</v>
      </c>
      <c r="Q3159">
        <v>130</v>
      </c>
      <c r="R3159" t="str">
        <f>"FARMACIA ECONOMIZE (10103)"</f>
        <v>FARMACIA ECONOMIZE (10103)</v>
      </c>
      <c r="S3159" t="s">
        <v>22</v>
      </c>
      <c r="T3159">
        <v>18868</v>
      </c>
      <c r="U3159">
        <v>22684</v>
      </c>
      <c r="V3159" t="s">
        <v>22</v>
      </c>
    </row>
    <row r="3160" spans="1:22">
      <c r="A3160" t="str">
        <f t="shared" si="586"/>
        <v>24/09/2025</v>
      </c>
      <c r="B3160" t="str">
        <f t="shared" si="587"/>
        <v>SAÍDA</v>
      </c>
      <c r="C3160" t="str">
        <f t="shared" si="588"/>
        <v>PIX</v>
      </c>
      <c r="D3160" t="str">
        <f>"26012025"</f>
        <v>26012025</v>
      </c>
      <c r="E3160" t="str">
        <f>"33"</f>
        <v>33</v>
      </c>
      <c r="F3160" t="str">
        <f t="shared" si="585"/>
        <v>COM</v>
      </c>
      <c r="G3160" t="str">
        <f>"SARAH RODRIGUES DE JESUS CAETANO (20043)"</f>
        <v>SARAH RODRIGUES DE JESUS CAETANO (20043)</v>
      </c>
      <c r="H3160" t="str">
        <f>"ASSESSORIA JURIDICA - PIX CELULAR 34 98815 1329 - Carina Silva de Oliveira Galvão"</f>
        <v>ASSESSORIA JURIDICA - PIX CELULAR 34 98815 1329 - Carina Silva de Oliveira Galvão</v>
      </c>
      <c r="I3160" t="str">
        <f t="shared" ref="I3160:I3191" si="589">("24/09/2025")</f>
        <v>24/09/2025</v>
      </c>
      <c r="J3160" t="str">
        <f>("01/01/2025")</f>
        <v>01/01/2025</v>
      </c>
      <c r="K3160" t="str">
        <f>("24/09/2025")</f>
        <v>24/09/2025</v>
      </c>
      <c r="L3160">
        <v>3000</v>
      </c>
      <c r="M3160">
        <v>3000</v>
      </c>
      <c r="N3160">
        <v>122</v>
      </c>
      <c r="O3160" t="str">
        <f>"HONORARIOS ADVOCATICIOS"</f>
        <v>HONORARIOS ADVOCATICIOS</v>
      </c>
      <c r="P3160">
        <v>3000</v>
      </c>
      <c r="S3160" t="str">
        <f>"BANCO CORA (102)"</f>
        <v>BANCO CORA (102)</v>
      </c>
      <c r="T3160">
        <v>22285</v>
      </c>
      <c r="U3160">
        <v>8313</v>
      </c>
      <c r="V3160" t="s">
        <v>22</v>
      </c>
    </row>
    <row r="3161" spans="1:22">
      <c r="A3161" t="str">
        <f t="shared" si="586"/>
        <v>24/09/2025</v>
      </c>
      <c r="B3161" t="str">
        <f t="shared" si="587"/>
        <v>SAÍDA</v>
      </c>
      <c r="C3161" t="str">
        <f t="shared" si="588"/>
        <v>PIX</v>
      </c>
      <c r="D3161" t="str">
        <f>"26012025"</f>
        <v>26012025</v>
      </c>
      <c r="E3161" t="str">
        <f>"33"</f>
        <v>33</v>
      </c>
      <c r="F3161" t="str">
        <f t="shared" si="585"/>
        <v>COM</v>
      </c>
      <c r="G3161" t="str">
        <f>"SARAH RODRIGUES DE JESUS CAETANO (20043)"</f>
        <v>SARAH RODRIGUES DE JESUS CAETANO (20043)</v>
      </c>
      <c r="H3161" t="s">
        <v>856</v>
      </c>
      <c r="I3161" t="str">
        <f t="shared" si="589"/>
        <v>24/09/2025</v>
      </c>
      <c r="J3161" t="str">
        <f>("01/01/2025")</f>
        <v>01/01/2025</v>
      </c>
      <c r="K3161">
        <v>45924</v>
      </c>
      <c r="N3161">
        <v>122</v>
      </c>
      <c r="O3161" t="s">
        <v>857</v>
      </c>
      <c r="Q3161">
        <v>3000</v>
      </c>
      <c r="R3161" t="str">
        <f>"SARAH RODRIGUES DE JESUS CAETANO (20043)"</f>
        <v>SARAH RODRIGUES DE JESUS CAETANO (20043)</v>
      </c>
      <c r="S3161" t="s">
        <v>22</v>
      </c>
      <c r="T3161">
        <v>22285</v>
      </c>
      <c r="U3161">
        <v>8313</v>
      </c>
      <c r="V3161" t="s">
        <v>22</v>
      </c>
    </row>
    <row r="3162" spans="1:22">
      <c r="A3162" t="str">
        <f t="shared" si="586"/>
        <v>24/09/2025</v>
      </c>
      <c r="B3162" t="str">
        <f t="shared" si="587"/>
        <v>SAÍDA</v>
      </c>
      <c r="C3162" t="str">
        <f t="shared" ref="C3162:C3167" si="590">"BOLETO"</f>
        <v>BOLETO</v>
      </c>
      <c r="D3162" t="str">
        <f>"420398651"</f>
        <v>420398651</v>
      </c>
      <c r="E3162" t="str">
        <f>"14"</f>
        <v>14</v>
      </c>
      <c r="F3162" t="str">
        <f t="shared" si="585"/>
        <v>COM</v>
      </c>
      <c r="G3162" t="str">
        <f>"GESTAO SOLUCAO EMPRESARIAL LTDA (20008)"</f>
        <v>GESTAO SOLUCAO EMPRESARIAL LTDA (20008)</v>
      </c>
      <c r="H3162" t="str">
        <f>"CONTABILIDADE 07/2025"</f>
        <v>CONTABILIDADE 07/2025</v>
      </c>
      <c r="I3162" t="str">
        <f t="shared" si="589"/>
        <v>24/09/2025</v>
      </c>
      <c r="J3162" t="str">
        <f>("01/07/2025")</f>
        <v>01/07/2025</v>
      </c>
      <c r="K3162" t="str">
        <f>("24/09/2025")</f>
        <v>24/09/2025</v>
      </c>
      <c r="L3162">
        <v>1186.57</v>
      </c>
      <c r="M3162">
        <v>1226.1199999999999</v>
      </c>
      <c r="N3162">
        <v>115</v>
      </c>
      <c r="O3162" t="str">
        <f>"CONTABILIDADE"</f>
        <v>CONTABILIDADE</v>
      </c>
      <c r="P3162">
        <v>1226.1199999999999</v>
      </c>
      <c r="S3162" t="str">
        <f>"BANCO CORA (102)"</f>
        <v>BANCO CORA (102)</v>
      </c>
      <c r="T3162">
        <v>22286</v>
      </c>
      <c r="U3162">
        <v>15157</v>
      </c>
      <c r="V3162" t="s">
        <v>22</v>
      </c>
    </row>
    <row r="3163" spans="1:22">
      <c r="A3163" t="str">
        <f t="shared" si="586"/>
        <v>24/09/2025</v>
      </c>
      <c r="B3163" t="str">
        <f t="shared" si="587"/>
        <v>SAÍDA</v>
      </c>
      <c r="C3163" t="str">
        <f t="shared" si="590"/>
        <v>BOLETO</v>
      </c>
      <c r="D3163" t="str">
        <f>"420398651"</f>
        <v>420398651</v>
      </c>
      <c r="E3163" t="str">
        <f>"14"</f>
        <v>14</v>
      </c>
      <c r="F3163" t="str">
        <f t="shared" si="585"/>
        <v>COM</v>
      </c>
      <c r="G3163" t="str">
        <f>"GESTAO SOLUCAO EMPRESARIAL LTDA (20008)"</f>
        <v>GESTAO SOLUCAO EMPRESARIAL LTDA (20008)</v>
      </c>
      <c r="H3163" t="s">
        <v>858</v>
      </c>
      <c r="I3163" t="str">
        <f t="shared" si="589"/>
        <v>24/09/2025</v>
      </c>
      <c r="J3163" t="str">
        <f>("01/07/2025")</f>
        <v>01/07/2025</v>
      </c>
      <c r="K3163">
        <v>45924</v>
      </c>
      <c r="N3163">
        <v>115</v>
      </c>
      <c r="O3163" t="s">
        <v>859</v>
      </c>
      <c r="Q3163">
        <v>1226.1199999999999</v>
      </c>
      <c r="R3163" t="str">
        <f>"GESTAO SOLUCAO EMPRESARIAL LTDA (20008)"</f>
        <v>GESTAO SOLUCAO EMPRESARIAL LTDA (20008)</v>
      </c>
      <c r="S3163" t="s">
        <v>22</v>
      </c>
      <c r="T3163">
        <v>22286</v>
      </c>
      <c r="U3163">
        <v>15157</v>
      </c>
      <c r="V3163" t="s">
        <v>22</v>
      </c>
    </row>
    <row r="3164" spans="1:22">
      <c r="A3164" t="str">
        <f t="shared" si="586"/>
        <v>24/09/2025</v>
      </c>
      <c r="B3164" t="str">
        <f t="shared" si="587"/>
        <v>SAÍDA</v>
      </c>
      <c r="C3164" t="str">
        <f t="shared" si="590"/>
        <v>BOLETO</v>
      </c>
      <c r="D3164" t="str">
        <f>"2353303"</f>
        <v>2353303</v>
      </c>
      <c r="E3164" t="str">
        <f>"1"</f>
        <v>1</v>
      </c>
      <c r="F3164" t="str">
        <f t="shared" si="585"/>
        <v>COM</v>
      </c>
      <c r="G3164" t="str">
        <f>"EMPRESA BRASILEIRA DE CORREIOS E TELEGRAFOS (20050)"</f>
        <v>EMPRESA BRASILEIRA DE CORREIOS E TELEGRAFOS (20050)</v>
      </c>
      <c r="H3164" t="str">
        <f>"DESPESAS COM POSTAGENS"</f>
        <v>DESPESAS COM POSTAGENS</v>
      </c>
      <c r="I3164" t="str">
        <f t="shared" si="589"/>
        <v>24/09/2025</v>
      </c>
      <c r="J3164" t="str">
        <f>("12/09/2025")</f>
        <v>12/09/2025</v>
      </c>
      <c r="K3164" t="str">
        <f>("24/09/2025")</f>
        <v>24/09/2025</v>
      </c>
      <c r="L3164">
        <v>282.89999999999998</v>
      </c>
      <c r="M3164">
        <v>282.89999999999998</v>
      </c>
      <c r="N3164">
        <v>400</v>
      </c>
      <c r="O3164" t="str">
        <f>"COMPRA DE FORNECEDORES"</f>
        <v>COMPRA DE FORNECEDORES</v>
      </c>
      <c r="P3164">
        <v>282.89999999999998</v>
      </c>
      <c r="S3164" t="str">
        <f>"BANCO CORA (102)"</f>
        <v>BANCO CORA (102)</v>
      </c>
      <c r="T3164">
        <v>22287</v>
      </c>
      <c r="U3164">
        <v>14976</v>
      </c>
      <c r="V3164" t="s">
        <v>22</v>
      </c>
    </row>
    <row r="3165" spans="1:22">
      <c r="A3165" t="str">
        <f t="shared" si="586"/>
        <v>24/09/2025</v>
      </c>
      <c r="B3165" t="str">
        <f t="shared" si="587"/>
        <v>SAÍDA</v>
      </c>
      <c r="C3165" t="str">
        <f t="shared" si="590"/>
        <v>BOLETO</v>
      </c>
      <c r="D3165" t="str">
        <f>"2353303"</f>
        <v>2353303</v>
      </c>
      <c r="E3165" t="str">
        <f>"1"</f>
        <v>1</v>
      </c>
      <c r="F3165" t="str">
        <f t="shared" si="585"/>
        <v>COM</v>
      </c>
      <c r="G3165" t="str">
        <f>"EMPRESA BRASILEIRA DE CORREIOS E TELEGRAFOS (20050)"</f>
        <v>EMPRESA BRASILEIRA DE CORREIOS E TELEGRAFOS (20050)</v>
      </c>
      <c r="H3165" t="s">
        <v>860</v>
      </c>
      <c r="I3165" t="str">
        <f t="shared" si="589"/>
        <v>24/09/2025</v>
      </c>
      <c r="J3165" t="str">
        <f>("12/09/2025")</f>
        <v>12/09/2025</v>
      </c>
      <c r="K3165">
        <v>45924</v>
      </c>
      <c r="N3165">
        <v>400</v>
      </c>
      <c r="O3165" t="s">
        <v>861</v>
      </c>
      <c r="Q3165">
        <v>282.89999999999998</v>
      </c>
      <c r="R3165" t="str">
        <f>"EMPRESA BRASILEIRA DE CORREIOS E TELEGRAFOS (20050)"</f>
        <v>EMPRESA BRASILEIRA DE CORREIOS E TELEGRAFOS (20050)</v>
      </c>
      <c r="S3165" t="s">
        <v>22</v>
      </c>
      <c r="T3165">
        <v>22287</v>
      </c>
      <c r="U3165">
        <v>14976</v>
      </c>
      <c r="V3165" t="s">
        <v>22</v>
      </c>
    </row>
    <row r="3166" spans="1:22">
      <c r="A3166" t="str">
        <f t="shared" si="586"/>
        <v>24/09/2025</v>
      </c>
      <c r="B3166" t="str">
        <f t="shared" si="587"/>
        <v>SAÍDA</v>
      </c>
      <c r="C3166" t="str">
        <f t="shared" si="590"/>
        <v>BOLETO</v>
      </c>
      <c r="D3166" t="str">
        <f>"22390"</f>
        <v>22390</v>
      </c>
      <c r="E3166" t="str">
        <f>""</f>
        <v/>
      </c>
      <c r="F3166" t="str">
        <f t="shared" si="585"/>
        <v>COM</v>
      </c>
      <c r="G3166" t="str">
        <f>"DINIZ E MORATO LTDA (20081)"</f>
        <v>DINIZ E MORATO LTDA (20081)</v>
      </c>
      <c r="H3166" t="str">
        <f>"MENSALIDADE UNICO CONTATO + DISPARA 08/2025"</f>
        <v>MENSALIDADE UNICO CONTATO + DISPARA 08/2025</v>
      </c>
      <c r="I3166" t="str">
        <f t="shared" si="589"/>
        <v>24/09/2025</v>
      </c>
      <c r="J3166" t="str">
        <f>("24/09/2025")</f>
        <v>24/09/2025</v>
      </c>
      <c r="K3166" t="str">
        <f>("24/09/2025")</f>
        <v>24/09/2025</v>
      </c>
      <c r="L3166">
        <v>1289</v>
      </c>
      <c r="M3166">
        <v>1289</v>
      </c>
      <c r="N3166">
        <v>104</v>
      </c>
      <c r="O3166" t="str">
        <f>"SOFTWARE / LICENÇAS"</f>
        <v>SOFTWARE / LICENÇAS</v>
      </c>
      <c r="P3166">
        <v>1289</v>
      </c>
      <c r="S3166" t="str">
        <f>"BANCO CORA (102)"</f>
        <v>BANCO CORA (102)</v>
      </c>
      <c r="T3166">
        <v>22288</v>
      </c>
      <c r="U3166">
        <v>12777</v>
      </c>
      <c r="V3166" t="s">
        <v>22</v>
      </c>
    </row>
    <row r="3167" spans="1:22">
      <c r="A3167" t="str">
        <f t="shared" si="586"/>
        <v>24/09/2025</v>
      </c>
      <c r="B3167" t="str">
        <f t="shared" si="587"/>
        <v>SAÍDA</v>
      </c>
      <c r="C3167" t="str">
        <f t="shared" si="590"/>
        <v>BOLETO</v>
      </c>
      <c r="D3167" t="str">
        <f>"22390"</f>
        <v>22390</v>
      </c>
      <c r="E3167" t="str">
        <f>""</f>
        <v/>
      </c>
      <c r="F3167" t="str">
        <f t="shared" si="585"/>
        <v>COM</v>
      </c>
      <c r="G3167" t="str">
        <f>"DINIZ E MORATO LTDA (20081)"</f>
        <v>DINIZ E MORATO LTDA (20081)</v>
      </c>
      <c r="H3167" t="s">
        <v>862</v>
      </c>
      <c r="I3167" t="str">
        <f t="shared" si="589"/>
        <v>24/09/2025</v>
      </c>
      <c r="J3167" t="str">
        <f>("24/09/2025")</f>
        <v>24/09/2025</v>
      </c>
      <c r="K3167">
        <v>45924</v>
      </c>
      <c r="N3167">
        <v>104</v>
      </c>
      <c r="O3167" t="s">
        <v>34</v>
      </c>
      <c r="Q3167">
        <v>1289</v>
      </c>
      <c r="R3167" t="str">
        <f>"DINIZ E MORATO LTDA (20081)"</f>
        <v>DINIZ E MORATO LTDA (20081)</v>
      </c>
      <c r="S3167" t="s">
        <v>22</v>
      </c>
      <c r="T3167">
        <v>22288</v>
      </c>
      <c r="U3167">
        <v>12777</v>
      </c>
      <c r="V3167" t="s">
        <v>22</v>
      </c>
    </row>
    <row r="3168" spans="1:22">
      <c r="A3168" t="str">
        <f t="shared" si="586"/>
        <v>24/09/2025</v>
      </c>
      <c r="B3168" t="str">
        <f t="shared" si="587"/>
        <v>SAÍDA</v>
      </c>
      <c r="C3168" t="str">
        <f>"PIX"</f>
        <v>PIX</v>
      </c>
      <c r="D3168" t="str">
        <f>"733"</f>
        <v>733</v>
      </c>
      <c r="E3168" t="str">
        <f>"1"</f>
        <v>1</v>
      </c>
      <c r="F3168" t="str">
        <f t="shared" si="585"/>
        <v>COM</v>
      </c>
      <c r="G3168" t="str">
        <f>"ARTHUR DANTAS PACHECO (928)"</f>
        <v>ARTHUR DANTAS PACHECO (928)</v>
      </c>
      <c r="H3168" t="str">
        <f>"Serv.Prest. 15/09/2025 a 21/09/2025 - PIX: CELULAR - CHAVE: (33) 99110-6940"</f>
        <v>Serv.Prest. 15/09/2025 a 21/09/2025 - PIX: CELULAR - CHAVE: (33) 99110-6940</v>
      </c>
      <c r="I3168" t="str">
        <f t="shared" si="589"/>
        <v>24/09/2025</v>
      </c>
      <c r="J3168" t="str">
        <f>("23/09/2025")</f>
        <v>23/09/2025</v>
      </c>
      <c r="K3168" t="str">
        <f>("24/09/2025")</f>
        <v>24/09/2025</v>
      </c>
      <c r="L3168">
        <v>1534.5</v>
      </c>
      <c r="M3168">
        <v>1534.5</v>
      </c>
      <c r="N3168">
        <v>134</v>
      </c>
      <c r="O3168" t="str">
        <f>"DIARIA DE MOTOBOY"</f>
        <v>DIARIA DE MOTOBOY</v>
      </c>
      <c r="P3168">
        <v>1534.5</v>
      </c>
      <c r="S3168" t="str">
        <f>"BANCO CORA (102)"</f>
        <v>BANCO CORA (102)</v>
      </c>
      <c r="T3168">
        <v>22289</v>
      </c>
      <c r="U3168">
        <v>22317</v>
      </c>
      <c r="V3168" t="s">
        <v>22</v>
      </c>
    </row>
    <row r="3169" spans="1:22">
      <c r="A3169" t="str">
        <f t="shared" si="586"/>
        <v>24/09/2025</v>
      </c>
      <c r="B3169" t="str">
        <f t="shared" si="587"/>
        <v>SAÍDA</v>
      </c>
      <c r="C3169" t="str">
        <f>"PIX"</f>
        <v>PIX</v>
      </c>
      <c r="D3169" t="str">
        <f>"733"</f>
        <v>733</v>
      </c>
      <c r="E3169" t="str">
        <f>"1"</f>
        <v>1</v>
      </c>
      <c r="F3169" t="str">
        <f t="shared" si="585"/>
        <v>COM</v>
      </c>
      <c r="G3169" t="str">
        <f>"ARTHUR DANTAS PACHECO (928)"</f>
        <v>ARTHUR DANTAS PACHECO (928)</v>
      </c>
      <c r="H3169" t="s">
        <v>863</v>
      </c>
      <c r="I3169" t="str">
        <f t="shared" si="589"/>
        <v>24/09/2025</v>
      </c>
      <c r="J3169" t="str">
        <f>("23/09/2025")</f>
        <v>23/09/2025</v>
      </c>
      <c r="K3169">
        <v>45924</v>
      </c>
      <c r="N3169">
        <v>134</v>
      </c>
      <c r="O3169" t="s">
        <v>41</v>
      </c>
      <c r="Q3169">
        <v>1534.5</v>
      </c>
      <c r="R3169" t="str">
        <f>"FARMÁCIA INDIANA LJ 40 (10016)"</f>
        <v>FARMÁCIA INDIANA LJ 40 (10016)</v>
      </c>
      <c r="S3169" t="s">
        <v>22</v>
      </c>
      <c r="T3169">
        <v>22289</v>
      </c>
      <c r="U3169">
        <v>22317</v>
      </c>
      <c r="V3169" t="s">
        <v>22</v>
      </c>
    </row>
    <row r="3170" spans="1:22">
      <c r="A3170" t="str">
        <f t="shared" si="586"/>
        <v>24/09/2025</v>
      </c>
      <c r="B3170" t="str">
        <f t="shared" si="587"/>
        <v>SAÍDA</v>
      </c>
      <c r="C3170" t="str">
        <f>"PIX"</f>
        <v>PIX</v>
      </c>
      <c r="D3170" t="str">
        <f>"36"</f>
        <v>36</v>
      </c>
      <c r="E3170" t="str">
        <f>"5"</f>
        <v>5</v>
      </c>
      <c r="F3170" t="str">
        <f t="shared" si="585"/>
        <v>COM</v>
      </c>
      <c r="G3170" t="str">
        <f>"AGORA MIDIA MARKETING DIRETO LTDA (20047)"</f>
        <v>AGORA MIDIA MARKETING DIRETO LTDA (20047)</v>
      </c>
      <c r="H3170" t="str">
        <f>"ASSESSORIA EM MARKETING DIGITAL 04/2025"</f>
        <v>ASSESSORIA EM MARKETING DIGITAL 04/2025</v>
      </c>
      <c r="I3170" t="str">
        <f t="shared" si="589"/>
        <v>24/09/2025</v>
      </c>
      <c r="J3170" t="str">
        <f>("28/05/2025")</f>
        <v>28/05/2025</v>
      </c>
      <c r="K3170" t="str">
        <f>("24/09/2025")</f>
        <v>24/09/2025</v>
      </c>
      <c r="L3170">
        <v>1500</v>
      </c>
      <c r="M3170">
        <v>1500</v>
      </c>
      <c r="N3170">
        <v>127</v>
      </c>
      <c r="O3170" t="str">
        <f>"PUBLICIDADE E PROPAGANDAS"</f>
        <v>PUBLICIDADE E PROPAGANDAS</v>
      </c>
      <c r="P3170">
        <v>1500</v>
      </c>
      <c r="S3170" t="str">
        <f>"BANCO CORA (102)"</f>
        <v>BANCO CORA (102)</v>
      </c>
      <c r="T3170">
        <v>22290</v>
      </c>
      <c r="U3170">
        <v>15477</v>
      </c>
      <c r="V3170" t="s">
        <v>22</v>
      </c>
    </row>
    <row r="3171" spans="1:22">
      <c r="A3171" t="str">
        <f t="shared" si="586"/>
        <v>24/09/2025</v>
      </c>
      <c r="B3171" t="str">
        <f t="shared" si="587"/>
        <v>SAÍDA</v>
      </c>
      <c r="C3171" t="str">
        <f>"PIX"</f>
        <v>PIX</v>
      </c>
      <c r="D3171" t="str">
        <f>"36"</f>
        <v>36</v>
      </c>
      <c r="E3171" t="str">
        <f>"5"</f>
        <v>5</v>
      </c>
      <c r="F3171" t="str">
        <f t="shared" si="585"/>
        <v>COM</v>
      </c>
      <c r="G3171" t="str">
        <f>"AGORA MIDIA MARKETING DIRETO LTDA (20047)"</f>
        <v>AGORA MIDIA MARKETING DIRETO LTDA (20047)</v>
      </c>
      <c r="H3171" t="s">
        <v>864</v>
      </c>
      <c r="I3171" t="str">
        <f t="shared" si="589"/>
        <v>24/09/2025</v>
      </c>
      <c r="J3171" t="str">
        <f>("28/05/2025")</f>
        <v>28/05/2025</v>
      </c>
      <c r="K3171">
        <v>45924</v>
      </c>
      <c r="N3171">
        <v>127</v>
      </c>
      <c r="O3171" t="s">
        <v>865</v>
      </c>
      <c r="Q3171">
        <v>1500</v>
      </c>
      <c r="R3171" t="str">
        <f>"AGORA MIDIA MARKETING DIRETO LTDA (20047)"</f>
        <v>AGORA MIDIA MARKETING DIRETO LTDA (20047)</v>
      </c>
      <c r="S3171" t="s">
        <v>22</v>
      </c>
      <c r="T3171">
        <v>22290</v>
      </c>
      <c r="U3171">
        <v>15477</v>
      </c>
      <c r="V3171" t="s">
        <v>22</v>
      </c>
    </row>
    <row r="3172" spans="1:22">
      <c r="A3172" t="str">
        <f t="shared" si="586"/>
        <v>24/09/2025</v>
      </c>
      <c r="B3172" t="str">
        <f t="shared" ref="B3172:B3191" si="591">"ENTRADA"</f>
        <v>ENTRADA</v>
      </c>
      <c r="C3172" t="str">
        <f t="shared" ref="C3172:C3191" si="592">"NFSE"</f>
        <v>NFSE</v>
      </c>
      <c r="D3172" t="str">
        <f>"3390"</f>
        <v>3390</v>
      </c>
      <c r="E3172" t="str">
        <f t="shared" ref="E3172:E3191" si="593">"1"</f>
        <v>1</v>
      </c>
      <c r="F3172" t="str">
        <f t="shared" si="585"/>
        <v>COM</v>
      </c>
      <c r="G3172" t="str">
        <f>"JAL FARMACIA E DROGARIA LJ 2 (10138)"</f>
        <v>JAL FARMACIA E DROGARIA LJ 2 (10138)</v>
      </c>
      <c r="H3172" t="str">
        <f>"Serv.Prest. 15/09/2025 a 21/09/2025 - RPS: 1266 - NFSe: 3390"</f>
        <v>Serv.Prest. 15/09/2025 a 21/09/2025 - RPS: 1266 - NFSe: 3390</v>
      </c>
      <c r="I3172" t="str">
        <f t="shared" si="589"/>
        <v>24/09/2025</v>
      </c>
      <c r="J3172" t="str">
        <f>("22/09/2025")</f>
        <v>22/09/2025</v>
      </c>
      <c r="K3172" t="str">
        <f>("24/09/2025")</f>
        <v>24/09/2025</v>
      </c>
      <c r="L3172">
        <v>1554</v>
      </c>
      <c r="M3172">
        <v>1554</v>
      </c>
      <c r="N3172">
        <v>303</v>
      </c>
      <c r="O3172" t="str">
        <f>"RECEITAS COM ENTREGAS"</f>
        <v>RECEITAS COM ENTREGAS</v>
      </c>
      <c r="P3172">
        <v>1554</v>
      </c>
      <c r="S3172" t="str">
        <f>"RECEITAS COM ENTREGAS (303)"</f>
        <v>RECEITAS COM ENTREGAS (303)</v>
      </c>
      <c r="T3172">
        <v>22291</v>
      </c>
      <c r="U3172">
        <v>22280</v>
      </c>
      <c r="V3172" t="s">
        <v>22</v>
      </c>
    </row>
    <row r="3173" spans="1:22">
      <c r="A3173" t="str">
        <f t="shared" si="586"/>
        <v>24/09/2025</v>
      </c>
      <c r="B3173" t="str">
        <f t="shared" si="591"/>
        <v>ENTRADA</v>
      </c>
      <c r="C3173" t="str">
        <f t="shared" si="592"/>
        <v>NFSE</v>
      </c>
      <c r="D3173" t="str">
        <f>"3390"</f>
        <v>3390</v>
      </c>
      <c r="E3173" t="str">
        <f t="shared" si="593"/>
        <v>1</v>
      </c>
      <c r="F3173" t="str">
        <f t="shared" si="585"/>
        <v>COM</v>
      </c>
      <c r="G3173" t="str">
        <f>"JAL FARMACIA E DROGARIA LJ 2 (10138)"</f>
        <v>JAL FARMACIA E DROGARIA LJ 2 (10138)</v>
      </c>
      <c r="H3173" t="s">
        <v>866</v>
      </c>
      <c r="I3173" t="str">
        <f t="shared" si="589"/>
        <v>24/09/2025</v>
      </c>
      <c r="J3173" t="str">
        <f>("22/09/2025")</f>
        <v>22/09/2025</v>
      </c>
      <c r="K3173">
        <v>45924</v>
      </c>
      <c r="N3173">
        <v>303</v>
      </c>
      <c r="O3173" t="s">
        <v>69</v>
      </c>
      <c r="Q3173">
        <v>1554</v>
      </c>
      <c r="R3173" t="str">
        <f>"JAL FARMACIA E DROGARIA LJ 2 (10138)"</f>
        <v>JAL FARMACIA E DROGARIA LJ 2 (10138)</v>
      </c>
      <c r="S3173" t="s">
        <v>70</v>
      </c>
      <c r="T3173">
        <v>22291</v>
      </c>
      <c r="U3173">
        <v>22280</v>
      </c>
      <c r="V3173" t="s">
        <v>22</v>
      </c>
    </row>
    <row r="3174" spans="1:22">
      <c r="A3174" t="str">
        <f t="shared" si="586"/>
        <v>24/09/2025</v>
      </c>
      <c r="B3174" t="str">
        <f t="shared" si="591"/>
        <v>ENTRADA</v>
      </c>
      <c r="C3174" t="str">
        <f t="shared" si="592"/>
        <v>NFSE</v>
      </c>
      <c r="D3174" t="str">
        <f>"3379"</f>
        <v>3379</v>
      </c>
      <c r="E3174" t="str">
        <f t="shared" si="593"/>
        <v>1</v>
      </c>
      <c r="F3174" t="str">
        <f t="shared" si="585"/>
        <v>COM</v>
      </c>
      <c r="G3174" t="str">
        <f>"DROGARIA ANA VISCONDE DO RIO BRANCO (10182)"</f>
        <v>DROGARIA ANA VISCONDE DO RIO BRANCO (10182)</v>
      </c>
      <c r="H3174" t="str">
        <f>"Serv.Prest. 15/09/2025 a 21/09/2025 - RPS: 1255 - NFSe: 3379"</f>
        <v>Serv.Prest. 15/09/2025 a 21/09/2025 - RPS: 1255 - NFSe: 3379</v>
      </c>
      <c r="I3174" t="str">
        <f t="shared" si="589"/>
        <v>24/09/2025</v>
      </c>
      <c r="J3174" t="str">
        <f>("22/09/2025")</f>
        <v>22/09/2025</v>
      </c>
      <c r="K3174" t="str">
        <f>("24/09/2025")</f>
        <v>24/09/2025</v>
      </c>
      <c r="L3174">
        <v>4437.72</v>
      </c>
      <c r="M3174">
        <v>4437.72</v>
      </c>
      <c r="N3174">
        <v>303</v>
      </c>
      <c r="O3174" t="str">
        <f>"RECEITAS COM ENTREGAS"</f>
        <v>RECEITAS COM ENTREGAS</v>
      </c>
      <c r="P3174">
        <v>4437.72</v>
      </c>
      <c r="S3174" t="str">
        <f>"RECEITAS COM ENTREGAS (303)"</f>
        <v>RECEITAS COM ENTREGAS (303)</v>
      </c>
      <c r="T3174">
        <v>22292</v>
      </c>
      <c r="U3174">
        <v>22243</v>
      </c>
      <c r="V3174" t="s">
        <v>22</v>
      </c>
    </row>
    <row r="3175" spans="1:22">
      <c r="A3175" t="str">
        <f t="shared" si="586"/>
        <v>24/09/2025</v>
      </c>
      <c r="B3175" t="str">
        <f t="shared" si="591"/>
        <v>ENTRADA</v>
      </c>
      <c r="C3175" t="str">
        <f t="shared" si="592"/>
        <v>NFSE</v>
      </c>
      <c r="D3175" t="str">
        <f>"3379"</f>
        <v>3379</v>
      </c>
      <c r="E3175" t="str">
        <f t="shared" si="593"/>
        <v>1</v>
      </c>
      <c r="F3175" t="str">
        <f t="shared" si="585"/>
        <v>COM</v>
      </c>
      <c r="G3175" t="str">
        <f>"DROGARIA ANA VISCONDE DO RIO BRANCO (10182)"</f>
        <v>DROGARIA ANA VISCONDE DO RIO BRANCO (10182)</v>
      </c>
      <c r="H3175" t="s">
        <v>867</v>
      </c>
      <c r="I3175" t="str">
        <f t="shared" si="589"/>
        <v>24/09/2025</v>
      </c>
      <c r="J3175" t="str">
        <f>("22/09/2025")</f>
        <v>22/09/2025</v>
      </c>
      <c r="K3175">
        <v>45924</v>
      </c>
      <c r="N3175">
        <v>303</v>
      </c>
      <c r="O3175" t="s">
        <v>69</v>
      </c>
      <c r="Q3175">
        <v>4437.72</v>
      </c>
      <c r="R3175" t="str">
        <f>"DROGARIA ANA VISCONDE DO RIO BRANCO (10182)"</f>
        <v>DROGARIA ANA VISCONDE DO RIO BRANCO (10182)</v>
      </c>
      <c r="S3175" t="s">
        <v>70</v>
      </c>
      <c r="T3175">
        <v>22292</v>
      </c>
      <c r="U3175">
        <v>22243</v>
      </c>
      <c r="V3175" t="s">
        <v>22</v>
      </c>
    </row>
    <row r="3176" spans="1:22">
      <c r="A3176" t="str">
        <f t="shared" si="586"/>
        <v>24/09/2025</v>
      </c>
      <c r="B3176" t="str">
        <f t="shared" si="591"/>
        <v>ENTRADA</v>
      </c>
      <c r="C3176" t="str">
        <f t="shared" si="592"/>
        <v>NFSE</v>
      </c>
      <c r="D3176" t="str">
        <f>"3404"</f>
        <v>3404</v>
      </c>
      <c r="E3176" t="str">
        <f t="shared" si="593"/>
        <v>1</v>
      </c>
      <c r="F3176" t="str">
        <f t="shared" si="585"/>
        <v>COM</v>
      </c>
      <c r="G3176" t="str">
        <f>"FRAN FARMA (10124)"</f>
        <v>FRAN FARMA (10124)</v>
      </c>
      <c r="H3176" t="str">
        <f>"Serv.Prest. 15/09/2025 a 21/09/2025 - RPS: 1280 - NFSe: 3404"</f>
        <v>Serv.Prest. 15/09/2025 a 21/09/2025 - RPS: 1280 - NFSe: 3404</v>
      </c>
      <c r="I3176" t="str">
        <f t="shared" si="589"/>
        <v>24/09/2025</v>
      </c>
      <c r="J3176" t="str">
        <f>("24/09/2025")</f>
        <v>24/09/2025</v>
      </c>
      <c r="K3176" t="str">
        <f>("24/09/2025")</f>
        <v>24/09/2025</v>
      </c>
      <c r="L3176">
        <v>957.6</v>
      </c>
      <c r="M3176">
        <v>957.6</v>
      </c>
      <c r="N3176">
        <v>303</v>
      </c>
      <c r="O3176" t="str">
        <f>"RECEITAS COM ENTREGAS"</f>
        <v>RECEITAS COM ENTREGAS</v>
      </c>
      <c r="P3176">
        <v>957.6</v>
      </c>
      <c r="S3176" t="str">
        <f>"RECEITAS COM ENTREGAS (303)"</f>
        <v>RECEITAS COM ENTREGAS (303)</v>
      </c>
      <c r="T3176">
        <v>22293</v>
      </c>
      <c r="U3176">
        <v>22476</v>
      </c>
      <c r="V3176" t="s">
        <v>22</v>
      </c>
    </row>
    <row r="3177" spans="1:22">
      <c r="A3177" t="str">
        <f t="shared" si="586"/>
        <v>24/09/2025</v>
      </c>
      <c r="B3177" t="str">
        <f t="shared" si="591"/>
        <v>ENTRADA</v>
      </c>
      <c r="C3177" t="str">
        <f t="shared" si="592"/>
        <v>NFSE</v>
      </c>
      <c r="D3177" t="str">
        <f>"3404"</f>
        <v>3404</v>
      </c>
      <c r="E3177" t="str">
        <f t="shared" si="593"/>
        <v>1</v>
      </c>
      <c r="F3177" t="str">
        <f t="shared" si="585"/>
        <v>COM</v>
      </c>
      <c r="G3177" t="str">
        <f>"FRAN FARMA (10124)"</f>
        <v>FRAN FARMA (10124)</v>
      </c>
      <c r="H3177" t="s">
        <v>868</v>
      </c>
      <c r="I3177" t="str">
        <f t="shared" si="589"/>
        <v>24/09/2025</v>
      </c>
      <c r="J3177" t="str">
        <f>("24/09/2025")</f>
        <v>24/09/2025</v>
      </c>
      <c r="K3177">
        <v>45924</v>
      </c>
      <c r="N3177">
        <v>303</v>
      </c>
      <c r="O3177" t="s">
        <v>69</v>
      </c>
      <c r="Q3177">
        <v>117.6</v>
      </c>
      <c r="R3177" t="str">
        <f>"FRAN FARMA (10124)"</f>
        <v>FRAN FARMA (10124)</v>
      </c>
      <c r="S3177" t="s">
        <v>70</v>
      </c>
      <c r="T3177">
        <v>22293</v>
      </c>
      <c r="U3177">
        <v>22476</v>
      </c>
      <c r="V3177" t="s">
        <v>22</v>
      </c>
    </row>
    <row r="3178" spans="1:22">
      <c r="A3178" t="str">
        <f t="shared" si="586"/>
        <v>24/09/2025</v>
      </c>
      <c r="B3178" t="str">
        <f t="shared" si="591"/>
        <v>ENTRADA</v>
      </c>
      <c r="C3178" t="str">
        <f t="shared" si="592"/>
        <v>NFSE</v>
      </c>
      <c r="D3178" t="str">
        <f>"3404"</f>
        <v>3404</v>
      </c>
      <c r="E3178" t="str">
        <f t="shared" si="593"/>
        <v>1</v>
      </c>
      <c r="F3178" t="str">
        <f t="shared" ref="F3178:F3193" si="594">"COM"</f>
        <v>COM</v>
      </c>
      <c r="G3178" t="str">
        <f>"FRAN FARMA (10124)"</f>
        <v>FRAN FARMA (10124)</v>
      </c>
      <c r="H3178" t="s">
        <v>868</v>
      </c>
      <c r="I3178" t="str">
        <f t="shared" si="589"/>
        <v>24/09/2025</v>
      </c>
      <c r="J3178" t="str">
        <f>("24/09/2025")</f>
        <v>24/09/2025</v>
      </c>
      <c r="K3178">
        <v>45924</v>
      </c>
      <c r="N3178">
        <v>303</v>
      </c>
      <c r="O3178" t="s">
        <v>69</v>
      </c>
      <c r="Q3178">
        <v>503.98</v>
      </c>
      <c r="R3178" t="str">
        <f>"FRAN FARMA LJ 2 (10131)"</f>
        <v>FRAN FARMA LJ 2 (10131)</v>
      </c>
      <c r="S3178" t="s">
        <v>70</v>
      </c>
      <c r="T3178">
        <v>22293</v>
      </c>
      <c r="U3178">
        <v>22476</v>
      </c>
      <c r="V3178" t="s">
        <v>22</v>
      </c>
    </row>
    <row r="3179" spans="1:22">
      <c r="A3179" t="str">
        <f t="shared" si="586"/>
        <v>24/09/2025</v>
      </c>
      <c r="B3179" t="str">
        <f t="shared" si="591"/>
        <v>ENTRADA</v>
      </c>
      <c r="C3179" t="str">
        <f t="shared" si="592"/>
        <v>NFSE</v>
      </c>
      <c r="D3179" t="str">
        <f>"3404"</f>
        <v>3404</v>
      </c>
      <c r="E3179" t="str">
        <f t="shared" si="593"/>
        <v>1</v>
      </c>
      <c r="F3179" t="str">
        <f t="shared" si="594"/>
        <v>COM</v>
      </c>
      <c r="G3179" t="str">
        <f>"FRAN FARMA (10124)"</f>
        <v>FRAN FARMA (10124)</v>
      </c>
      <c r="H3179" t="s">
        <v>868</v>
      </c>
      <c r="I3179" t="str">
        <f t="shared" si="589"/>
        <v>24/09/2025</v>
      </c>
      <c r="J3179" t="str">
        <f>("24/09/2025")</f>
        <v>24/09/2025</v>
      </c>
      <c r="K3179">
        <v>45924</v>
      </c>
      <c r="N3179">
        <v>303</v>
      </c>
      <c r="O3179" t="s">
        <v>69</v>
      </c>
      <c r="Q3179">
        <v>336.02</v>
      </c>
      <c r="R3179" t="str">
        <f>"FRAN FARMA LJ 3 (10132)"</f>
        <v>FRAN FARMA LJ 3 (10132)</v>
      </c>
      <c r="S3179" t="s">
        <v>70</v>
      </c>
      <c r="T3179">
        <v>22293</v>
      </c>
      <c r="U3179">
        <v>22476</v>
      </c>
      <c r="V3179" t="s">
        <v>22</v>
      </c>
    </row>
    <row r="3180" spans="1:22">
      <c r="A3180" t="str">
        <f t="shared" si="586"/>
        <v>24/09/2025</v>
      </c>
      <c r="B3180" t="str">
        <f t="shared" si="591"/>
        <v>ENTRADA</v>
      </c>
      <c r="C3180" t="str">
        <f t="shared" si="592"/>
        <v>NFSE</v>
      </c>
      <c r="D3180" t="str">
        <f>"3391"</f>
        <v>3391</v>
      </c>
      <c r="E3180" t="str">
        <f t="shared" si="593"/>
        <v>1</v>
      </c>
      <c r="F3180" t="str">
        <f t="shared" si="594"/>
        <v>COM</v>
      </c>
      <c r="G3180" t="str">
        <f>"JAL FARMACIA E DROGARIA LJ 1 (10137)"</f>
        <v>JAL FARMACIA E DROGARIA LJ 1 (10137)</v>
      </c>
      <c r="H3180" t="str">
        <f>"Serv.Prest. 15/09/2025 a 21/09/2025 - RPS: 1267 - NFSe: 3391"</f>
        <v>Serv.Prest. 15/09/2025 a 21/09/2025 - RPS: 1267 - NFSe: 3391</v>
      </c>
      <c r="I3180" t="str">
        <f t="shared" si="589"/>
        <v>24/09/2025</v>
      </c>
      <c r="J3180" t="str">
        <f>("22/09/2025")</f>
        <v>22/09/2025</v>
      </c>
      <c r="K3180" t="str">
        <f>("24/09/2025")</f>
        <v>24/09/2025</v>
      </c>
      <c r="L3180">
        <v>2108.4</v>
      </c>
      <c r="M3180">
        <v>2108.4</v>
      </c>
      <c r="N3180">
        <v>303</v>
      </c>
      <c r="O3180" t="str">
        <f>"RECEITAS COM ENTREGAS"</f>
        <v>RECEITAS COM ENTREGAS</v>
      </c>
      <c r="P3180">
        <v>2108.4</v>
      </c>
      <c r="S3180" t="str">
        <f>"RECEITAS COM ENTREGAS (303)"</f>
        <v>RECEITAS COM ENTREGAS (303)</v>
      </c>
      <c r="T3180">
        <v>22294</v>
      </c>
      <c r="U3180">
        <v>22284</v>
      </c>
      <c r="V3180" t="s">
        <v>22</v>
      </c>
    </row>
    <row r="3181" spans="1:22">
      <c r="A3181" t="str">
        <f t="shared" si="586"/>
        <v>24/09/2025</v>
      </c>
      <c r="B3181" t="str">
        <f t="shared" si="591"/>
        <v>ENTRADA</v>
      </c>
      <c r="C3181" t="str">
        <f t="shared" si="592"/>
        <v>NFSE</v>
      </c>
      <c r="D3181" t="str">
        <f>"3391"</f>
        <v>3391</v>
      </c>
      <c r="E3181" t="str">
        <f t="shared" si="593"/>
        <v>1</v>
      </c>
      <c r="F3181" t="str">
        <f t="shared" si="594"/>
        <v>COM</v>
      </c>
      <c r="G3181" t="str">
        <f>"JAL FARMACIA E DROGARIA LJ 1 (10137)"</f>
        <v>JAL FARMACIA E DROGARIA LJ 1 (10137)</v>
      </c>
      <c r="H3181" t="s">
        <v>869</v>
      </c>
      <c r="I3181" t="str">
        <f t="shared" si="589"/>
        <v>24/09/2025</v>
      </c>
      <c r="J3181" t="str">
        <f>("22/09/2025")</f>
        <v>22/09/2025</v>
      </c>
      <c r="K3181">
        <v>45924</v>
      </c>
      <c r="N3181">
        <v>303</v>
      </c>
      <c r="O3181" t="s">
        <v>69</v>
      </c>
      <c r="Q3181">
        <v>2108.4</v>
      </c>
      <c r="R3181" t="str">
        <f>"JAL FARMACIA E DROGARIA LJ 1 (10137)"</f>
        <v>JAL FARMACIA E DROGARIA LJ 1 (10137)</v>
      </c>
      <c r="S3181" t="s">
        <v>70</v>
      </c>
      <c r="T3181">
        <v>22294</v>
      </c>
      <c r="U3181">
        <v>22284</v>
      </c>
      <c r="V3181" t="s">
        <v>22</v>
      </c>
    </row>
    <row r="3182" spans="1:22">
      <c r="A3182" t="str">
        <f t="shared" ref="A3182:A3213" si="595">("24/09/2025")</f>
        <v>24/09/2025</v>
      </c>
      <c r="B3182" t="str">
        <f t="shared" si="591"/>
        <v>ENTRADA</v>
      </c>
      <c r="C3182" t="str">
        <f t="shared" si="592"/>
        <v>NFSE</v>
      </c>
      <c r="D3182" t="str">
        <f>"3402"</f>
        <v>3402</v>
      </c>
      <c r="E3182" t="str">
        <f t="shared" si="593"/>
        <v>1</v>
      </c>
      <c r="F3182" t="str">
        <f t="shared" si="594"/>
        <v>COM</v>
      </c>
      <c r="G3182" t="str">
        <f>"DELTA LOJA 2 (10123)"</f>
        <v>DELTA LOJA 2 (10123)</v>
      </c>
      <c r="H3182" t="str">
        <f>"Serv.Prest. 15/09/2025 a 21/09/2025 - RPS: 1278 - NFSe: 3402"</f>
        <v>Serv.Prest. 15/09/2025 a 21/09/2025 - RPS: 1278 - NFSe: 3402</v>
      </c>
      <c r="I3182" t="str">
        <f t="shared" si="589"/>
        <v>24/09/2025</v>
      </c>
      <c r="J3182" t="str">
        <f>("23/09/2025")</f>
        <v>23/09/2025</v>
      </c>
      <c r="K3182" t="str">
        <f>("24/09/2025")</f>
        <v>24/09/2025</v>
      </c>
      <c r="L3182">
        <v>3831.8</v>
      </c>
      <c r="M3182">
        <v>3831.8</v>
      </c>
      <c r="N3182">
        <v>303</v>
      </c>
      <c r="O3182" t="str">
        <f>"RECEITAS COM ENTREGAS"</f>
        <v>RECEITAS COM ENTREGAS</v>
      </c>
      <c r="P3182">
        <v>3831.8</v>
      </c>
      <c r="S3182" t="str">
        <f>"RECEITAS COM ENTREGAS (303)"</f>
        <v>RECEITAS COM ENTREGAS (303)</v>
      </c>
      <c r="T3182">
        <v>22295</v>
      </c>
      <c r="U3182">
        <v>22467</v>
      </c>
      <c r="V3182" t="s">
        <v>22</v>
      </c>
    </row>
    <row r="3183" spans="1:22">
      <c r="A3183" t="str">
        <f t="shared" si="595"/>
        <v>24/09/2025</v>
      </c>
      <c r="B3183" t="str">
        <f t="shared" si="591"/>
        <v>ENTRADA</v>
      </c>
      <c r="C3183" t="str">
        <f t="shared" si="592"/>
        <v>NFSE</v>
      </c>
      <c r="D3183" t="str">
        <f>"3402"</f>
        <v>3402</v>
      </c>
      <c r="E3183" t="str">
        <f t="shared" si="593"/>
        <v>1</v>
      </c>
      <c r="F3183" t="str">
        <f t="shared" si="594"/>
        <v>COM</v>
      </c>
      <c r="G3183" t="str">
        <f>"DELTA LOJA 2 (10123)"</f>
        <v>DELTA LOJA 2 (10123)</v>
      </c>
      <c r="H3183" t="s">
        <v>870</v>
      </c>
      <c r="I3183" t="str">
        <f t="shared" si="589"/>
        <v>24/09/2025</v>
      </c>
      <c r="J3183" t="str">
        <f>("23/09/2025")</f>
        <v>23/09/2025</v>
      </c>
      <c r="K3183">
        <v>45924</v>
      </c>
      <c r="N3183">
        <v>303</v>
      </c>
      <c r="O3183" t="s">
        <v>69</v>
      </c>
      <c r="Q3183">
        <v>3831.8</v>
      </c>
      <c r="R3183" t="str">
        <f>"DELTA LOJA 2 (10123)"</f>
        <v>DELTA LOJA 2 (10123)</v>
      </c>
      <c r="S3183" t="s">
        <v>70</v>
      </c>
      <c r="T3183">
        <v>22295</v>
      </c>
      <c r="U3183">
        <v>22467</v>
      </c>
      <c r="V3183" t="s">
        <v>22</v>
      </c>
    </row>
    <row r="3184" spans="1:22">
      <c r="A3184" t="str">
        <f t="shared" si="595"/>
        <v>24/09/2025</v>
      </c>
      <c r="B3184" t="str">
        <f t="shared" si="591"/>
        <v>ENTRADA</v>
      </c>
      <c r="C3184" t="str">
        <f t="shared" si="592"/>
        <v>NFSE</v>
      </c>
      <c r="D3184" t="str">
        <f>"3378"</f>
        <v>3378</v>
      </c>
      <c r="E3184" t="str">
        <f t="shared" si="593"/>
        <v>1</v>
      </c>
      <c r="F3184" t="str">
        <f t="shared" si="594"/>
        <v>COM</v>
      </c>
      <c r="G3184" t="str">
        <f>"DROGARIA AGAPEAMA (10167)"</f>
        <v>DROGARIA AGAPEAMA (10167)</v>
      </c>
      <c r="H3184" t="str">
        <f>"Serv.Prest. 15/09/2025 a 21/09/2025 - RPS: 1254 - NFSe: 3378"</f>
        <v>Serv.Prest. 15/09/2025 a 21/09/2025 - RPS: 1254 - NFSe: 3378</v>
      </c>
      <c r="I3184" t="str">
        <f t="shared" si="589"/>
        <v>24/09/2025</v>
      </c>
      <c r="J3184" t="str">
        <f t="shared" ref="J3184:J3191" si="596">("22/09/2025")</f>
        <v>22/09/2025</v>
      </c>
      <c r="K3184" t="str">
        <f>("24/09/2025")</f>
        <v>24/09/2025</v>
      </c>
      <c r="L3184">
        <v>3765.6</v>
      </c>
      <c r="M3184">
        <v>3765.6</v>
      </c>
      <c r="N3184">
        <v>303</v>
      </c>
      <c r="O3184" t="str">
        <f>"RECEITAS COM ENTREGAS"</f>
        <v>RECEITAS COM ENTREGAS</v>
      </c>
      <c r="P3184">
        <v>3765.6</v>
      </c>
      <c r="S3184" t="str">
        <f>"RECEITAS COM ENTREGAS (303)"</f>
        <v>RECEITAS COM ENTREGAS (303)</v>
      </c>
      <c r="T3184">
        <v>22296</v>
      </c>
      <c r="U3184">
        <v>22239</v>
      </c>
      <c r="V3184" t="s">
        <v>22</v>
      </c>
    </row>
    <row r="3185" spans="1:22">
      <c r="A3185" t="str">
        <f t="shared" si="595"/>
        <v>24/09/2025</v>
      </c>
      <c r="B3185" t="str">
        <f t="shared" si="591"/>
        <v>ENTRADA</v>
      </c>
      <c r="C3185" t="str">
        <f t="shared" si="592"/>
        <v>NFSE</v>
      </c>
      <c r="D3185" t="str">
        <f>"3378"</f>
        <v>3378</v>
      </c>
      <c r="E3185" t="str">
        <f t="shared" si="593"/>
        <v>1</v>
      </c>
      <c r="F3185" t="str">
        <f t="shared" si="594"/>
        <v>COM</v>
      </c>
      <c r="G3185" t="str">
        <f>"DROGARIA AGAPEAMA (10167)"</f>
        <v>DROGARIA AGAPEAMA (10167)</v>
      </c>
      <c r="H3185" t="s">
        <v>871</v>
      </c>
      <c r="I3185" t="str">
        <f t="shared" si="589"/>
        <v>24/09/2025</v>
      </c>
      <c r="J3185" t="str">
        <f t="shared" si="596"/>
        <v>22/09/2025</v>
      </c>
      <c r="K3185">
        <v>45924</v>
      </c>
      <c r="N3185">
        <v>303</v>
      </c>
      <c r="O3185" t="s">
        <v>69</v>
      </c>
      <c r="Q3185">
        <v>3765.6</v>
      </c>
      <c r="R3185" t="str">
        <f>"DROGARIA AGAPEAMA (10167)"</f>
        <v>DROGARIA AGAPEAMA (10167)</v>
      </c>
      <c r="S3185" t="s">
        <v>70</v>
      </c>
      <c r="T3185">
        <v>22296</v>
      </c>
      <c r="U3185">
        <v>22239</v>
      </c>
      <c r="V3185" t="s">
        <v>22</v>
      </c>
    </row>
    <row r="3186" spans="1:22">
      <c r="A3186" t="str">
        <f t="shared" si="595"/>
        <v>24/09/2025</v>
      </c>
      <c r="B3186" t="str">
        <f t="shared" si="591"/>
        <v>ENTRADA</v>
      </c>
      <c r="C3186" t="str">
        <f t="shared" si="592"/>
        <v>NFSE</v>
      </c>
      <c r="D3186" t="str">
        <f>"3392"</f>
        <v>3392</v>
      </c>
      <c r="E3186" t="str">
        <f t="shared" si="593"/>
        <v>1</v>
      </c>
      <c r="F3186" t="str">
        <f t="shared" si="594"/>
        <v>COM</v>
      </c>
      <c r="G3186" t="str">
        <f>"PENSE FARMA 15 (10195)"</f>
        <v>PENSE FARMA 15 (10195)</v>
      </c>
      <c r="H3186" t="str">
        <f>"Serv.Prest. 15/09/2025 a 21/09/2025 - RPS: 1268 - NFSe: 3392"</f>
        <v>Serv.Prest. 15/09/2025 a 21/09/2025 - RPS: 1268 - NFSe: 3392</v>
      </c>
      <c r="I3186" t="str">
        <f t="shared" si="589"/>
        <v>24/09/2025</v>
      </c>
      <c r="J3186" t="str">
        <f t="shared" si="596"/>
        <v>22/09/2025</v>
      </c>
      <c r="K3186" t="str">
        <f>("24/09/2025")</f>
        <v>24/09/2025</v>
      </c>
      <c r="L3186">
        <v>2550</v>
      </c>
      <c r="M3186">
        <v>2550</v>
      </c>
      <c r="N3186">
        <v>303</v>
      </c>
      <c r="O3186" t="str">
        <f>"RECEITAS COM ENTREGAS"</f>
        <v>RECEITAS COM ENTREGAS</v>
      </c>
      <c r="P3186">
        <v>2550</v>
      </c>
      <c r="S3186" t="str">
        <f>"RECEITAS COM ENTREGAS (303)"</f>
        <v>RECEITAS COM ENTREGAS (303)</v>
      </c>
      <c r="T3186">
        <v>22297</v>
      </c>
      <c r="U3186">
        <v>22288</v>
      </c>
      <c r="V3186" t="s">
        <v>22</v>
      </c>
    </row>
    <row r="3187" spans="1:22">
      <c r="A3187" t="str">
        <f t="shared" si="595"/>
        <v>24/09/2025</v>
      </c>
      <c r="B3187" t="str">
        <f t="shared" si="591"/>
        <v>ENTRADA</v>
      </c>
      <c r="C3187" t="str">
        <f t="shared" si="592"/>
        <v>NFSE</v>
      </c>
      <c r="D3187" t="str">
        <f>"3392"</f>
        <v>3392</v>
      </c>
      <c r="E3187" t="str">
        <f t="shared" si="593"/>
        <v>1</v>
      </c>
      <c r="F3187" t="str">
        <f t="shared" si="594"/>
        <v>COM</v>
      </c>
      <c r="G3187" t="str">
        <f>"PENSE FARMA 15 (10195)"</f>
        <v>PENSE FARMA 15 (10195)</v>
      </c>
      <c r="H3187" t="s">
        <v>872</v>
      </c>
      <c r="I3187" t="str">
        <f t="shared" si="589"/>
        <v>24/09/2025</v>
      </c>
      <c r="J3187" t="str">
        <f t="shared" si="596"/>
        <v>22/09/2025</v>
      </c>
      <c r="K3187">
        <v>45924</v>
      </c>
      <c r="N3187">
        <v>303</v>
      </c>
      <c r="O3187" t="s">
        <v>69</v>
      </c>
      <c r="Q3187">
        <v>849.91</v>
      </c>
      <c r="R3187" t="str">
        <f>"PENSE FARMA 15 (10195)"</f>
        <v>PENSE FARMA 15 (10195)</v>
      </c>
      <c r="S3187" t="s">
        <v>70</v>
      </c>
      <c r="T3187">
        <v>22297</v>
      </c>
      <c r="U3187">
        <v>22288</v>
      </c>
      <c r="V3187" t="s">
        <v>22</v>
      </c>
    </row>
    <row r="3188" spans="1:22">
      <c r="A3188" t="str">
        <f t="shared" si="595"/>
        <v>24/09/2025</v>
      </c>
      <c r="B3188" t="str">
        <f t="shared" si="591"/>
        <v>ENTRADA</v>
      </c>
      <c r="C3188" t="str">
        <f t="shared" si="592"/>
        <v>NFSE</v>
      </c>
      <c r="D3188" t="str">
        <f>"3392"</f>
        <v>3392</v>
      </c>
      <c r="E3188" t="str">
        <f t="shared" si="593"/>
        <v>1</v>
      </c>
      <c r="F3188" t="str">
        <f t="shared" si="594"/>
        <v>COM</v>
      </c>
      <c r="G3188" t="str">
        <f>"PENSE FARMA 15 (10195)"</f>
        <v>PENSE FARMA 15 (10195)</v>
      </c>
      <c r="H3188" t="s">
        <v>872</v>
      </c>
      <c r="I3188" t="str">
        <f t="shared" si="589"/>
        <v>24/09/2025</v>
      </c>
      <c r="J3188" t="str">
        <f t="shared" si="596"/>
        <v>22/09/2025</v>
      </c>
      <c r="K3188">
        <v>45924</v>
      </c>
      <c r="N3188">
        <v>303</v>
      </c>
      <c r="O3188" t="s">
        <v>69</v>
      </c>
      <c r="Q3188">
        <v>849.92</v>
      </c>
      <c r="R3188" t="str">
        <f>"PENSE FARMA 26 (10196)"</f>
        <v>PENSE FARMA 26 (10196)</v>
      </c>
      <c r="S3188" t="s">
        <v>70</v>
      </c>
      <c r="T3188">
        <v>22297</v>
      </c>
      <c r="U3188">
        <v>22288</v>
      </c>
      <c r="V3188" t="s">
        <v>22</v>
      </c>
    </row>
    <row r="3189" spans="1:22">
      <c r="A3189" t="str">
        <f t="shared" si="595"/>
        <v>24/09/2025</v>
      </c>
      <c r="B3189" t="str">
        <f t="shared" si="591"/>
        <v>ENTRADA</v>
      </c>
      <c r="C3189" t="str">
        <f t="shared" si="592"/>
        <v>NFSE</v>
      </c>
      <c r="D3189" t="str">
        <f>"3392"</f>
        <v>3392</v>
      </c>
      <c r="E3189" t="str">
        <f t="shared" si="593"/>
        <v>1</v>
      </c>
      <c r="F3189" t="str">
        <f t="shared" si="594"/>
        <v>COM</v>
      </c>
      <c r="G3189" t="str">
        <f>"PENSE FARMA 15 (10195)"</f>
        <v>PENSE FARMA 15 (10195)</v>
      </c>
      <c r="H3189" t="s">
        <v>872</v>
      </c>
      <c r="I3189" t="str">
        <f t="shared" si="589"/>
        <v>24/09/2025</v>
      </c>
      <c r="J3189" t="str">
        <f t="shared" si="596"/>
        <v>22/09/2025</v>
      </c>
      <c r="K3189">
        <v>45924</v>
      </c>
      <c r="N3189">
        <v>303</v>
      </c>
      <c r="O3189" t="s">
        <v>69</v>
      </c>
      <c r="Q3189">
        <v>850.17</v>
      </c>
      <c r="R3189" t="str">
        <f>"PENSE FARMA 60 (10197)"</f>
        <v>PENSE FARMA 60 (10197)</v>
      </c>
      <c r="S3189" t="s">
        <v>70</v>
      </c>
      <c r="T3189">
        <v>22297</v>
      </c>
      <c r="U3189">
        <v>22288</v>
      </c>
      <c r="V3189" t="s">
        <v>22</v>
      </c>
    </row>
    <row r="3190" spans="1:22">
      <c r="A3190" t="str">
        <f t="shared" si="595"/>
        <v>24/09/2025</v>
      </c>
      <c r="B3190" t="str">
        <f t="shared" si="591"/>
        <v>ENTRADA</v>
      </c>
      <c r="C3190" t="str">
        <f t="shared" si="592"/>
        <v>NFSE</v>
      </c>
      <c r="D3190" t="str">
        <f>"3388"</f>
        <v>3388</v>
      </c>
      <c r="E3190" t="str">
        <f t="shared" si="593"/>
        <v>1</v>
      </c>
      <c r="F3190" t="str">
        <f t="shared" si="594"/>
        <v>COM</v>
      </c>
      <c r="G3190" t="str">
        <f>"PENSE FARMA 46 (10194)"</f>
        <v>PENSE FARMA 46 (10194)</v>
      </c>
      <c r="H3190" t="str">
        <f>"Serv.Prest. 15/09/2025 a 21/09/2025 - RPS: 1264 - NFSe: 3388"</f>
        <v>Serv.Prest. 15/09/2025 a 21/09/2025 - RPS: 1264 - NFSe: 3388</v>
      </c>
      <c r="I3190" t="str">
        <f t="shared" si="589"/>
        <v>24/09/2025</v>
      </c>
      <c r="J3190" t="str">
        <f t="shared" si="596"/>
        <v>22/09/2025</v>
      </c>
      <c r="K3190" t="str">
        <f>("24/09/2025")</f>
        <v>24/09/2025</v>
      </c>
      <c r="L3190">
        <v>1700</v>
      </c>
      <c r="M3190">
        <v>1700</v>
      </c>
      <c r="N3190">
        <v>303</v>
      </c>
      <c r="O3190" t="str">
        <f>"RECEITAS COM ENTREGAS"</f>
        <v>RECEITAS COM ENTREGAS</v>
      </c>
      <c r="P3190">
        <v>1700</v>
      </c>
      <c r="S3190" t="str">
        <f>"RECEITAS COM ENTREGAS (303)"</f>
        <v>RECEITAS COM ENTREGAS (303)</v>
      </c>
      <c r="T3190">
        <v>22298</v>
      </c>
      <c r="U3190">
        <v>22273</v>
      </c>
      <c r="V3190" t="s">
        <v>22</v>
      </c>
    </row>
    <row r="3191" spans="1:22">
      <c r="A3191" t="str">
        <f t="shared" si="595"/>
        <v>24/09/2025</v>
      </c>
      <c r="B3191" t="str">
        <f t="shared" si="591"/>
        <v>ENTRADA</v>
      </c>
      <c r="C3191" t="str">
        <f t="shared" si="592"/>
        <v>NFSE</v>
      </c>
      <c r="D3191" t="str">
        <f>"3388"</f>
        <v>3388</v>
      </c>
      <c r="E3191" t="str">
        <f t="shared" si="593"/>
        <v>1</v>
      </c>
      <c r="F3191" t="str">
        <f t="shared" si="594"/>
        <v>COM</v>
      </c>
      <c r="G3191" t="str">
        <f>"PENSE FARMA 46 (10194)"</f>
        <v>PENSE FARMA 46 (10194)</v>
      </c>
      <c r="H3191" t="s">
        <v>873</v>
      </c>
      <c r="I3191" t="str">
        <f t="shared" si="589"/>
        <v>24/09/2025</v>
      </c>
      <c r="J3191" t="str">
        <f t="shared" si="596"/>
        <v>22/09/2025</v>
      </c>
      <c r="K3191">
        <v>45924</v>
      </c>
      <c r="N3191">
        <v>303</v>
      </c>
      <c r="O3191" t="s">
        <v>69</v>
      </c>
      <c r="Q3191">
        <v>1700</v>
      </c>
      <c r="R3191" t="str">
        <f>"PENSE FARMA 46 (10194)"</f>
        <v>PENSE FARMA 46 (10194)</v>
      </c>
      <c r="S3191" t="s">
        <v>70</v>
      </c>
      <c r="T3191">
        <v>22298</v>
      </c>
      <c r="U3191">
        <v>22273</v>
      </c>
      <c r="V3191" t="s">
        <v>22</v>
      </c>
    </row>
    <row r="3192" spans="1:22">
      <c r="A3192" t="str">
        <f t="shared" si="595"/>
        <v>24/09/2025</v>
      </c>
      <c r="B3192" t="str">
        <f>"SAÍDA"</f>
        <v>SAÍDA</v>
      </c>
      <c r="C3192" t="str">
        <f>"PIX"</f>
        <v>PIX</v>
      </c>
      <c r="D3192" t="str">
        <f>"19092025"</f>
        <v>19092025</v>
      </c>
      <c r="E3192" t="str">
        <f>"2"</f>
        <v>2</v>
      </c>
      <c r="F3192" t="str">
        <f t="shared" si="594"/>
        <v>COM</v>
      </c>
      <c r="G3192" t="str">
        <f>"LILIANE DE FATIMA REZENDE JUSTINO (20013)"</f>
        <v>LILIANE DE FATIMA REZENDE JUSTINO (20013)</v>
      </c>
      <c r="H3192" t="str">
        <f>"DESPESAS COM VIAGEM"</f>
        <v>DESPESAS COM VIAGEM</v>
      </c>
      <c r="I3192" t="str">
        <f t="shared" ref="I3192:I3213" si="597">("24/09/2025")</f>
        <v>24/09/2025</v>
      </c>
      <c r="J3192" t="str">
        <f>("19/09/2025")</f>
        <v>19/09/2025</v>
      </c>
      <c r="K3192" t="str">
        <f>("24/09/2025")</f>
        <v>24/09/2025</v>
      </c>
      <c r="L3192">
        <v>1000</v>
      </c>
      <c r="M3192">
        <v>1000</v>
      </c>
      <c r="N3192">
        <v>117</v>
      </c>
      <c r="O3192" t="str">
        <f>"DESPESAS COM VIAGENS COMERCIAIS"</f>
        <v>DESPESAS COM VIAGENS COMERCIAIS</v>
      </c>
      <c r="P3192">
        <v>1000</v>
      </c>
      <c r="S3192" t="str">
        <f>"BANCO CORA (102)"</f>
        <v>BANCO CORA (102)</v>
      </c>
      <c r="T3192">
        <v>22299</v>
      </c>
      <c r="U3192">
        <v>26055</v>
      </c>
      <c r="V3192" t="s">
        <v>22</v>
      </c>
    </row>
    <row r="3193" spans="1:22">
      <c r="A3193" t="str">
        <f t="shared" si="595"/>
        <v>24/09/2025</v>
      </c>
      <c r="B3193" t="str">
        <f>"SAÍDA"</f>
        <v>SAÍDA</v>
      </c>
      <c r="C3193" t="str">
        <f>"PIX"</f>
        <v>PIX</v>
      </c>
      <c r="D3193" t="str">
        <f>"19092025"</f>
        <v>19092025</v>
      </c>
      <c r="E3193" t="str">
        <f>"2"</f>
        <v>2</v>
      </c>
      <c r="F3193" t="str">
        <f t="shared" si="594"/>
        <v>COM</v>
      </c>
      <c r="G3193" t="str">
        <f>"LILIANE DE FATIMA REZENDE JUSTINO (20013)"</f>
        <v>LILIANE DE FATIMA REZENDE JUSTINO (20013)</v>
      </c>
      <c r="H3193" t="s">
        <v>821</v>
      </c>
      <c r="I3193" t="str">
        <f t="shared" si="597"/>
        <v>24/09/2025</v>
      </c>
      <c r="J3193" t="str">
        <f>("19/09/2025")</f>
        <v>19/09/2025</v>
      </c>
      <c r="K3193">
        <v>45924</v>
      </c>
      <c r="N3193">
        <v>117</v>
      </c>
      <c r="O3193" t="s">
        <v>822</v>
      </c>
      <c r="Q3193">
        <v>1000</v>
      </c>
      <c r="R3193" t="str">
        <f>"LILIANE DE FATIMA REZENDE JUSTINO (20013)"</f>
        <v>LILIANE DE FATIMA REZENDE JUSTINO (20013)</v>
      </c>
      <c r="S3193" t="s">
        <v>22</v>
      </c>
      <c r="T3193">
        <v>22299</v>
      </c>
      <c r="U3193">
        <v>26055</v>
      </c>
      <c r="V3193" t="s">
        <v>22</v>
      </c>
    </row>
    <row r="3194" spans="1:22">
      <c r="A3194" t="str">
        <f t="shared" si="595"/>
        <v>24/09/2025</v>
      </c>
      <c r="B3194" t="str">
        <f>"ENTRADA"</f>
        <v>ENTRADA</v>
      </c>
      <c r="C3194" t="str">
        <f>"TRANSFERENCIA"</f>
        <v>TRANSFERENCIA</v>
      </c>
      <c r="D3194" t="str">
        <f>""</f>
        <v/>
      </c>
      <c r="F3194" t="str">
        <f>"TRF"</f>
        <v>TRF</v>
      </c>
      <c r="G3194" t="str">
        <f>""</f>
        <v/>
      </c>
      <c r="H3194" t="str">
        <f>"TRANSFERENCIA ENTRE EM CONTAS (149-&gt;102)"</f>
        <v>TRANSFERENCIA ENTRE EM CONTAS (149-&gt;102)</v>
      </c>
      <c r="I3194" t="str">
        <f t="shared" si="597"/>
        <v>24/09/2025</v>
      </c>
      <c r="J3194" t="str">
        <f t="shared" ref="J3194:K3197" si="598">("24/09/2025")</f>
        <v>24/09/2025</v>
      </c>
      <c r="K3194" t="str">
        <f t="shared" si="598"/>
        <v>24/09/2025</v>
      </c>
      <c r="N3194">
        <v>102</v>
      </c>
      <c r="O3194" t="str">
        <f>"BANCO CORA"</f>
        <v>BANCO CORA</v>
      </c>
      <c r="P3194">
        <v>7774.73</v>
      </c>
      <c r="S3194" t="str">
        <f>"BANCO CORA (102)"</f>
        <v>BANCO CORA (102)</v>
      </c>
      <c r="T3194">
        <v>22300</v>
      </c>
      <c r="U3194">
        <v>0</v>
      </c>
      <c r="V3194" t="s">
        <v>22</v>
      </c>
    </row>
    <row r="3195" spans="1:22">
      <c r="A3195" t="str">
        <f t="shared" si="595"/>
        <v>24/09/2025</v>
      </c>
      <c r="B3195" t="str">
        <f>"SAÍDA"</f>
        <v>SAÍDA</v>
      </c>
      <c r="C3195" t="str">
        <f>"TRANSFERENCIA"</f>
        <v>TRANSFERENCIA</v>
      </c>
      <c r="D3195" t="str">
        <f>""</f>
        <v/>
      </c>
      <c r="F3195" t="str">
        <f>"TRF"</f>
        <v>TRF</v>
      </c>
      <c r="G3195" t="str">
        <f>""</f>
        <v/>
      </c>
      <c r="H3195" t="str">
        <f>"TRANSFERENCIA ENTRE EM CONTAS (149-&gt;102)"</f>
        <v>TRANSFERENCIA ENTRE EM CONTAS (149-&gt;102)</v>
      </c>
      <c r="I3195" t="str">
        <f t="shared" si="597"/>
        <v>24/09/2025</v>
      </c>
      <c r="J3195" t="str">
        <f t="shared" si="598"/>
        <v>24/09/2025</v>
      </c>
      <c r="K3195" t="str">
        <f t="shared" si="598"/>
        <v>24/09/2025</v>
      </c>
      <c r="N3195">
        <v>149</v>
      </c>
      <c r="O3195" t="str">
        <f>"BANCO C6"</f>
        <v>BANCO C6</v>
      </c>
      <c r="S3195" t="str">
        <f>"BANCO C6 (149)"</f>
        <v>BANCO C6 (149)</v>
      </c>
      <c r="T3195">
        <v>22300</v>
      </c>
      <c r="U3195">
        <v>0</v>
      </c>
      <c r="V3195" t="s">
        <v>77</v>
      </c>
    </row>
    <row r="3196" spans="1:22">
      <c r="A3196" t="str">
        <f t="shared" si="595"/>
        <v>24/09/2025</v>
      </c>
      <c r="B3196" t="str">
        <f>"ENTRADA"</f>
        <v>ENTRADA</v>
      </c>
      <c r="C3196" t="str">
        <f>"TRANSFERENCIA"</f>
        <v>TRANSFERENCIA</v>
      </c>
      <c r="D3196" t="str">
        <f>""</f>
        <v/>
      </c>
      <c r="F3196" t="str">
        <f>"TRF"</f>
        <v>TRF</v>
      </c>
      <c r="G3196" t="str">
        <f>""</f>
        <v/>
      </c>
      <c r="H3196" t="str">
        <f>"TRANSFERENCIA ENTRE CONTAS (149-&gt;102)"</f>
        <v>TRANSFERENCIA ENTRE CONTAS (149-&gt;102)</v>
      </c>
      <c r="I3196" t="str">
        <f t="shared" si="597"/>
        <v>24/09/2025</v>
      </c>
      <c r="J3196" t="str">
        <f t="shared" si="598"/>
        <v>24/09/2025</v>
      </c>
      <c r="K3196" t="str">
        <f t="shared" si="598"/>
        <v>24/09/2025</v>
      </c>
      <c r="N3196">
        <v>102</v>
      </c>
      <c r="O3196" t="str">
        <f>"BANCO CORA"</f>
        <v>BANCO CORA</v>
      </c>
      <c r="P3196">
        <v>6997.13</v>
      </c>
      <c r="S3196" t="str">
        <f>"BANCO CORA (102)"</f>
        <v>BANCO CORA (102)</v>
      </c>
      <c r="T3196">
        <v>22301</v>
      </c>
      <c r="U3196">
        <v>0</v>
      </c>
      <c r="V3196" t="s">
        <v>22</v>
      </c>
    </row>
    <row r="3197" spans="1:22">
      <c r="A3197" t="str">
        <f t="shared" si="595"/>
        <v>24/09/2025</v>
      </c>
      <c r="B3197" t="str">
        <f t="shared" ref="B3197:B3260" si="599">"SAÍDA"</f>
        <v>SAÍDA</v>
      </c>
      <c r="C3197" t="str">
        <f>"TRANSFERENCIA"</f>
        <v>TRANSFERENCIA</v>
      </c>
      <c r="D3197" t="str">
        <f>""</f>
        <v/>
      </c>
      <c r="F3197" t="str">
        <f>"TRF"</f>
        <v>TRF</v>
      </c>
      <c r="G3197" t="str">
        <f>""</f>
        <v/>
      </c>
      <c r="H3197" t="str">
        <f>"TRANSFERENCIA ENTRE CONTAS (149-&gt;102)"</f>
        <v>TRANSFERENCIA ENTRE CONTAS (149-&gt;102)</v>
      </c>
      <c r="I3197" t="str">
        <f t="shared" si="597"/>
        <v>24/09/2025</v>
      </c>
      <c r="J3197" t="str">
        <f t="shared" si="598"/>
        <v>24/09/2025</v>
      </c>
      <c r="K3197" t="str">
        <f t="shared" si="598"/>
        <v>24/09/2025</v>
      </c>
      <c r="N3197">
        <v>149</v>
      </c>
      <c r="O3197" t="str">
        <f>"BANCO C6"</f>
        <v>BANCO C6</v>
      </c>
      <c r="S3197" t="str">
        <f>"BANCO C6 (149)"</f>
        <v>BANCO C6 (149)</v>
      </c>
      <c r="T3197">
        <v>22301</v>
      </c>
      <c r="U3197">
        <v>0</v>
      </c>
      <c r="V3197" t="s">
        <v>77</v>
      </c>
    </row>
    <row r="3198" spans="1:22">
      <c r="A3198" t="str">
        <f t="shared" si="595"/>
        <v>24/09/2025</v>
      </c>
      <c r="B3198" t="str">
        <f t="shared" si="599"/>
        <v>SAÍDA</v>
      </c>
      <c r="C3198" t="str">
        <f t="shared" ref="C3198:C3213" si="600">"CONHECIMENTO"</f>
        <v>CONHECIMENTO</v>
      </c>
      <c r="D3198" t="str">
        <f t="shared" ref="D3198:D3213" si="601">"01092025"</f>
        <v>01092025</v>
      </c>
      <c r="E3198" t="str">
        <f>"2"</f>
        <v>2</v>
      </c>
      <c r="F3198" t="str">
        <f t="shared" ref="F3198:F3261" si="602">"COM"</f>
        <v>COM</v>
      </c>
      <c r="G3198" t="str">
        <f t="shared" ref="G3198:G3213" si="603">"CORA SOCIEDADE DE CREDITO, FINANCIAMENTO E INVESTIMENTO (20035)"</f>
        <v>CORA SOCIEDADE DE CREDITO, FINANCIAMENTO E INVESTIMENTO (20035)</v>
      </c>
      <c r="H3198" t="str">
        <f>"TAXA BOLETO "</f>
        <v xml:space="preserve">TAXA BOLETO </v>
      </c>
      <c r="I3198" t="str">
        <f t="shared" si="597"/>
        <v>24/09/2025</v>
      </c>
      <c r="J3198" t="str">
        <f t="shared" ref="J3198:J3213" si="604">("01/09/2025")</f>
        <v>01/09/2025</v>
      </c>
      <c r="K3198" t="str">
        <f>("24/09/2025")</f>
        <v>24/09/2025</v>
      </c>
      <c r="L3198">
        <v>1.7</v>
      </c>
      <c r="M3198">
        <v>1.7</v>
      </c>
      <c r="N3198">
        <v>401</v>
      </c>
      <c r="O3198" t="str">
        <f>"IOF/JUROS/DESP.FINANCEIRA"</f>
        <v>IOF/JUROS/DESP.FINANCEIRA</v>
      </c>
      <c r="P3198">
        <v>1.7</v>
      </c>
      <c r="S3198" t="str">
        <f>"BANCO CORA (102)"</f>
        <v>BANCO CORA (102)</v>
      </c>
      <c r="T3198">
        <v>22302</v>
      </c>
      <c r="U3198">
        <v>26071</v>
      </c>
      <c r="V3198" t="s">
        <v>22</v>
      </c>
    </row>
    <row r="3199" spans="1:22">
      <c r="A3199" t="str">
        <f t="shared" si="595"/>
        <v>24/09/2025</v>
      </c>
      <c r="B3199" t="str">
        <f t="shared" si="599"/>
        <v>SAÍDA</v>
      </c>
      <c r="C3199" t="str">
        <f t="shared" si="600"/>
        <v>CONHECIMENTO</v>
      </c>
      <c r="D3199" t="str">
        <f t="shared" si="601"/>
        <v>01092025</v>
      </c>
      <c r="E3199" t="str">
        <f>"2"</f>
        <v>2</v>
      </c>
      <c r="F3199" t="str">
        <f t="shared" si="602"/>
        <v>COM</v>
      </c>
      <c r="G3199" t="str">
        <f t="shared" si="603"/>
        <v>CORA SOCIEDADE DE CREDITO, FINANCIAMENTO E INVESTIMENTO (20035)</v>
      </c>
      <c r="H3199" t="s">
        <v>75</v>
      </c>
      <c r="I3199" t="str">
        <f t="shared" si="597"/>
        <v>24/09/2025</v>
      </c>
      <c r="J3199" t="str">
        <f t="shared" si="604"/>
        <v>01/09/2025</v>
      </c>
      <c r="K3199">
        <v>45924</v>
      </c>
      <c r="N3199">
        <v>401</v>
      </c>
      <c r="O3199" t="s">
        <v>76</v>
      </c>
      <c r="Q3199">
        <v>1.7</v>
      </c>
      <c r="R3199" t="str">
        <f>"CORA SOCIEDADE DE CREDITO, FINANCIAMENTO E INVESTIMENTO (20035)"</f>
        <v>CORA SOCIEDADE DE CREDITO, FINANCIAMENTO E INVESTIMENTO (20035)</v>
      </c>
      <c r="S3199" t="s">
        <v>22</v>
      </c>
      <c r="T3199">
        <v>22302</v>
      </c>
      <c r="U3199">
        <v>26071</v>
      </c>
      <c r="V3199" t="s">
        <v>22</v>
      </c>
    </row>
    <row r="3200" spans="1:22">
      <c r="A3200" t="str">
        <f t="shared" si="595"/>
        <v>24/09/2025</v>
      </c>
      <c r="B3200" t="str">
        <f t="shared" si="599"/>
        <v>SAÍDA</v>
      </c>
      <c r="C3200" t="str">
        <f t="shared" si="600"/>
        <v>CONHECIMENTO</v>
      </c>
      <c r="D3200" t="str">
        <f t="shared" si="601"/>
        <v>01092025</v>
      </c>
      <c r="E3200" t="str">
        <f>"3"</f>
        <v>3</v>
      </c>
      <c r="F3200" t="str">
        <f t="shared" si="602"/>
        <v>COM</v>
      </c>
      <c r="G3200" t="str">
        <f t="shared" si="603"/>
        <v>CORA SOCIEDADE DE CREDITO, FINANCIAMENTO E INVESTIMENTO (20035)</v>
      </c>
      <c r="H3200" t="str">
        <f>"TAXA BOLETO "</f>
        <v xml:space="preserve">TAXA BOLETO </v>
      </c>
      <c r="I3200" t="str">
        <f t="shared" si="597"/>
        <v>24/09/2025</v>
      </c>
      <c r="J3200" t="str">
        <f t="shared" si="604"/>
        <v>01/09/2025</v>
      </c>
      <c r="K3200" t="str">
        <f>("24/09/2025")</f>
        <v>24/09/2025</v>
      </c>
      <c r="L3200">
        <v>1.7</v>
      </c>
      <c r="M3200">
        <v>1.7</v>
      </c>
      <c r="N3200">
        <v>401</v>
      </c>
      <c r="O3200" t="str">
        <f>"IOF/JUROS/DESP.FINANCEIRA"</f>
        <v>IOF/JUROS/DESP.FINANCEIRA</v>
      </c>
      <c r="P3200">
        <v>1.7</v>
      </c>
      <c r="S3200" t="str">
        <f>"BANCO CORA (102)"</f>
        <v>BANCO CORA (102)</v>
      </c>
      <c r="T3200">
        <v>22303</v>
      </c>
      <c r="U3200">
        <v>26072</v>
      </c>
      <c r="V3200" t="s">
        <v>22</v>
      </c>
    </row>
    <row r="3201" spans="1:22">
      <c r="A3201" t="str">
        <f t="shared" si="595"/>
        <v>24/09/2025</v>
      </c>
      <c r="B3201" t="str">
        <f t="shared" si="599"/>
        <v>SAÍDA</v>
      </c>
      <c r="C3201" t="str">
        <f t="shared" si="600"/>
        <v>CONHECIMENTO</v>
      </c>
      <c r="D3201" t="str">
        <f t="shared" si="601"/>
        <v>01092025</v>
      </c>
      <c r="E3201" t="str">
        <f>"3"</f>
        <v>3</v>
      </c>
      <c r="F3201" t="str">
        <f t="shared" si="602"/>
        <v>COM</v>
      </c>
      <c r="G3201" t="str">
        <f t="shared" si="603"/>
        <v>CORA SOCIEDADE DE CREDITO, FINANCIAMENTO E INVESTIMENTO (20035)</v>
      </c>
      <c r="H3201" t="s">
        <v>75</v>
      </c>
      <c r="I3201" t="str">
        <f t="shared" si="597"/>
        <v>24/09/2025</v>
      </c>
      <c r="J3201" t="str">
        <f t="shared" si="604"/>
        <v>01/09/2025</v>
      </c>
      <c r="K3201">
        <v>45924</v>
      </c>
      <c r="N3201">
        <v>401</v>
      </c>
      <c r="O3201" t="s">
        <v>76</v>
      </c>
      <c r="Q3201">
        <v>1.7</v>
      </c>
      <c r="R3201" t="str">
        <f>"CORA SOCIEDADE DE CREDITO, FINANCIAMENTO E INVESTIMENTO (20035)"</f>
        <v>CORA SOCIEDADE DE CREDITO, FINANCIAMENTO E INVESTIMENTO (20035)</v>
      </c>
      <c r="S3201" t="s">
        <v>22</v>
      </c>
      <c r="T3201">
        <v>22303</v>
      </c>
      <c r="U3201">
        <v>26072</v>
      </c>
      <c r="V3201" t="s">
        <v>22</v>
      </c>
    </row>
    <row r="3202" spans="1:22">
      <c r="A3202" t="str">
        <f t="shared" si="595"/>
        <v>24/09/2025</v>
      </c>
      <c r="B3202" t="str">
        <f t="shared" si="599"/>
        <v>SAÍDA</v>
      </c>
      <c r="C3202" t="str">
        <f t="shared" si="600"/>
        <v>CONHECIMENTO</v>
      </c>
      <c r="D3202" t="str">
        <f t="shared" si="601"/>
        <v>01092025</v>
      </c>
      <c r="E3202" t="str">
        <f>"4"</f>
        <v>4</v>
      </c>
      <c r="F3202" t="str">
        <f t="shared" si="602"/>
        <v>COM</v>
      </c>
      <c r="G3202" t="str">
        <f t="shared" si="603"/>
        <v>CORA SOCIEDADE DE CREDITO, FINANCIAMENTO E INVESTIMENTO (20035)</v>
      </c>
      <c r="H3202" t="str">
        <f>"TAXA BOLETO "</f>
        <v xml:space="preserve">TAXA BOLETO </v>
      </c>
      <c r="I3202" t="str">
        <f t="shared" si="597"/>
        <v>24/09/2025</v>
      </c>
      <c r="J3202" t="str">
        <f t="shared" si="604"/>
        <v>01/09/2025</v>
      </c>
      <c r="K3202" t="str">
        <f>("24/09/2025")</f>
        <v>24/09/2025</v>
      </c>
      <c r="L3202">
        <v>1.7</v>
      </c>
      <c r="M3202">
        <v>1.7</v>
      </c>
      <c r="N3202">
        <v>401</v>
      </c>
      <c r="O3202" t="str">
        <f>"IOF/JUROS/DESP.FINANCEIRA"</f>
        <v>IOF/JUROS/DESP.FINANCEIRA</v>
      </c>
      <c r="P3202">
        <v>1.7</v>
      </c>
      <c r="S3202" t="str">
        <f>"BANCO CORA (102)"</f>
        <v>BANCO CORA (102)</v>
      </c>
      <c r="T3202">
        <v>22304</v>
      </c>
      <c r="U3202">
        <v>26073</v>
      </c>
      <c r="V3202" t="s">
        <v>22</v>
      </c>
    </row>
    <row r="3203" spans="1:22">
      <c r="A3203" t="str">
        <f t="shared" si="595"/>
        <v>24/09/2025</v>
      </c>
      <c r="B3203" t="str">
        <f t="shared" si="599"/>
        <v>SAÍDA</v>
      </c>
      <c r="C3203" t="str">
        <f t="shared" si="600"/>
        <v>CONHECIMENTO</v>
      </c>
      <c r="D3203" t="str">
        <f t="shared" si="601"/>
        <v>01092025</v>
      </c>
      <c r="E3203" t="str">
        <f>"4"</f>
        <v>4</v>
      </c>
      <c r="F3203" t="str">
        <f t="shared" si="602"/>
        <v>COM</v>
      </c>
      <c r="G3203" t="str">
        <f t="shared" si="603"/>
        <v>CORA SOCIEDADE DE CREDITO, FINANCIAMENTO E INVESTIMENTO (20035)</v>
      </c>
      <c r="H3203" t="s">
        <v>75</v>
      </c>
      <c r="I3203" t="str">
        <f t="shared" si="597"/>
        <v>24/09/2025</v>
      </c>
      <c r="J3203" t="str">
        <f t="shared" si="604"/>
        <v>01/09/2025</v>
      </c>
      <c r="K3203">
        <v>45924</v>
      </c>
      <c r="N3203">
        <v>401</v>
      </c>
      <c r="O3203" t="s">
        <v>76</v>
      </c>
      <c r="Q3203">
        <v>1.7</v>
      </c>
      <c r="R3203" t="str">
        <f>"CORA SOCIEDADE DE CREDITO, FINANCIAMENTO E INVESTIMENTO (20035)"</f>
        <v>CORA SOCIEDADE DE CREDITO, FINANCIAMENTO E INVESTIMENTO (20035)</v>
      </c>
      <c r="S3203" t="s">
        <v>22</v>
      </c>
      <c r="T3203">
        <v>22304</v>
      </c>
      <c r="U3203">
        <v>26073</v>
      </c>
      <c r="V3203" t="s">
        <v>22</v>
      </c>
    </row>
    <row r="3204" spans="1:22">
      <c r="A3204" t="str">
        <f t="shared" si="595"/>
        <v>24/09/2025</v>
      </c>
      <c r="B3204" t="str">
        <f t="shared" si="599"/>
        <v>SAÍDA</v>
      </c>
      <c r="C3204" t="str">
        <f t="shared" si="600"/>
        <v>CONHECIMENTO</v>
      </c>
      <c r="D3204" t="str">
        <f t="shared" si="601"/>
        <v>01092025</v>
      </c>
      <c r="E3204" t="str">
        <f>"5"</f>
        <v>5</v>
      </c>
      <c r="F3204" t="str">
        <f t="shared" si="602"/>
        <v>COM</v>
      </c>
      <c r="G3204" t="str">
        <f t="shared" si="603"/>
        <v>CORA SOCIEDADE DE CREDITO, FINANCIAMENTO E INVESTIMENTO (20035)</v>
      </c>
      <c r="H3204" t="str">
        <f>"TAXA BOLETO "</f>
        <v xml:space="preserve">TAXA BOLETO </v>
      </c>
      <c r="I3204" t="str">
        <f t="shared" si="597"/>
        <v>24/09/2025</v>
      </c>
      <c r="J3204" t="str">
        <f t="shared" si="604"/>
        <v>01/09/2025</v>
      </c>
      <c r="K3204" t="str">
        <f>("24/09/2025")</f>
        <v>24/09/2025</v>
      </c>
      <c r="L3204">
        <v>1.7</v>
      </c>
      <c r="M3204">
        <v>1.7</v>
      </c>
      <c r="N3204">
        <v>401</v>
      </c>
      <c r="O3204" t="str">
        <f>"IOF/JUROS/DESP.FINANCEIRA"</f>
        <v>IOF/JUROS/DESP.FINANCEIRA</v>
      </c>
      <c r="P3204">
        <v>1.7</v>
      </c>
      <c r="S3204" t="str">
        <f>"BANCO CORA (102)"</f>
        <v>BANCO CORA (102)</v>
      </c>
      <c r="T3204">
        <v>22305</v>
      </c>
      <c r="U3204">
        <v>26074</v>
      </c>
      <c r="V3204" t="s">
        <v>22</v>
      </c>
    </row>
    <row r="3205" spans="1:22">
      <c r="A3205" t="str">
        <f t="shared" si="595"/>
        <v>24/09/2025</v>
      </c>
      <c r="B3205" t="str">
        <f t="shared" si="599"/>
        <v>SAÍDA</v>
      </c>
      <c r="C3205" t="str">
        <f t="shared" si="600"/>
        <v>CONHECIMENTO</v>
      </c>
      <c r="D3205" t="str">
        <f t="shared" si="601"/>
        <v>01092025</v>
      </c>
      <c r="E3205" t="str">
        <f>"5"</f>
        <v>5</v>
      </c>
      <c r="F3205" t="str">
        <f t="shared" si="602"/>
        <v>COM</v>
      </c>
      <c r="G3205" t="str">
        <f t="shared" si="603"/>
        <v>CORA SOCIEDADE DE CREDITO, FINANCIAMENTO E INVESTIMENTO (20035)</v>
      </c>
      <c r="H3205" t="s">
        <v>75</v>
      </c>
      <c r="I3205" t="str">
        <f t="shared" si="597"/>
        <v>24/09/2025</v>
      </c>
      <c r="J3205" t="str">
        <f t="shared" si="604"/>
        <v>01/09/2025</v>
      </c>
      <c r="K3205">
        <v>45924</v>
      </c>
      <c r="N3205">
        <v>401</v>
      </c>
      <c r="O3205" t="s">
        <v>76</v>
      </c>
      <c r="Q3205">
        <v>1.7</v>
      </c>
      <c r="R3205" t="str">
        <f>"CORA SOCIEDADE DE CREDITO, FINANCIAMENTO E INVESTIMENTO (20035)"</f>
        <v>CORA SOCIEDADE DE CREDITO, FINANCIAMENTO E INVESTIMENTO (20035)</v>
      </c>
      <c r="S3205" t="s">
        <v>22</v>
      </c>
      <c r="T3205">
        <v>22305</v>
      </c>
      <c r="U3205">
        <v>26074</v>
      </c>
      <c r="V3205" t="s">
        <v>22</v>
      </c>
    </row>
    <row r="3206" spans="1:22">
      <c r="A3206" t="str">
        <f t="shared" si="595"/>
        <v>24/09/2025</v>
      </c>
      <c r="B3206" t="str">
        <f t="shared" si="599"/>
        <v>SAÍDA</v>
      </c>
      <c r="C3206" t="str">
        <f t="shared" si="600"/>
        <v>CONHECIMENTO</v>
      </c>
      <c r="D3206" t="str">
        <f t="shared" si="601"/>
        <v>01092025</v>
      </c>
      <c r="E3206" t="str">
        <f>"6"</f>
        <v>6</v>
      </c>
      <c r="F3206" t="str">
        <f t="shared" si="602"/>
        <v>COM</v>
      </c>
      <c r="G3206" t="str">
        <f t="shared" si="603"/>
        <v>CORA SOCIEDADE DE CREDITO, FINANCIAMENTO E INVESTIMENTO (20035)</v>
      </c>
      <c r="H3206" t="str">
        <f>"TAXA BOLETO "</f>
        <v xml:space="preserve">TAXA BOLETO </v>
      </c>
      <c r="I3206" t="str">
        <f t="shared" si="597"/>
        <v>24/09/2025</v>
      </c>
      <c r="J3206" t="str">
        <f t="shared" si="604"/>
        <v>01/09/2025</v>
      </c>
      <c r="K3206" t="str">
        <f>("24/09/2025")</f>
        <v>24/09/2025</v>
      </c>
      <c r="L3206">
        <v>1.7</v>
      </c>
      <c r="M3206">
        <v>1.7</v>
      </c>
      <c r="N3206">
        <v>401</v>
      </c>
      <c r="O3206" t="str">
        <f>"IOF/JUROS/DESP.FINANCEIRA"</f>
        <v>IOF/JUROS/DESP.FINANCEIRA</v>
      </c>
      <c r="P3206">
        <v>1.7</v>
      </c>
      <c r="S3206" t="str">
        <f>"BANCO CORA (102)"</f>
        <v>BANCO CORA (102)</v>
      </c>
      <c r="T3206">
        <v>22306</v>
      </c>
      <c r="U3206">
        <v>26075</v>
      </c>
      <c r="V3206" t="s">
        <v>22</v>
      </c>
    </row>
    <row r="3207" spans="1:22">
      <c r="A3207" t="str">
        <f t="shared" si="595"/>
        <v>24/09/2025</v>
      </c>
      <c r="B3207" t="str">
        <f t="shared" si="599"/>
        <v>SAÍDA</v>
      </c>
      <c r="C3207" t="str">
        <f t="shared" si="600"/>
        <v>CONHECIMENTO</v>
      </c>
      <c r="D3207" t="str">
        <f t="shared" si="601"/>
        <v>01092025</v>
      </c>
      <c r="E3207" t="str">
        <f>"6"</f>
        <v>6</v>
      </c>
      <c r="F3207" t="str">
        <f t="shared" si="602"/>
        <v>COM</v>
      </c>
      <c r="G3207" t="str">
        <f t="shared" si="603"/>
        <v>CORA SOCIEDADE DE CREDITO, FINANCIAMENTO E INVESTIMENTO (20035)</v>
      </c>
      <c r="H3207" t="s">
        <v>75</v>
      </c>
      <c r="I3207" t="str">
        <f t="shared" si="597"/>
        <v>24/09/2025</v>
      </c>
      <c r="J3207" t="str">
        <f t="shared" si="604"/>
        <v>01/09/2025</v>
      </c>
      <c r="K3207">
        <v>45924</v>
      </c>
      <c r="N3207">
        <v>401</v>
      </c>
      <c r="O3207" t="s">
        <v>76</v>
      </c>
      <c r="Q3207">
        <v>1.7</v>
      </c>
      <c r="R3207" t="str">
        <f>"CORA SOCIEDADE DE CREDITO, FINANCIAMENTO E INVESTIMENTO (20035)"</f>
        <v>CORA SOCIEDADE DE CREDITO, FINANCIAMENTO E INVESTIMENTO (20035)</v>
      </c>
      <c r="S3207" t="s">
        <v>22</v>
      </c>
      <c r="T3207">
        <v>22306</v>
      </c>
      <c r="U3207">
        <v>26075</v>
      </c>
      <c r="V3207" t="s">
        <v>22</v>
      </c>
    </row>
    <row r="3208" spans="1:22">
      <c r="A3208" t="str">
        <f t="shared" si="595"/>
        <v>24/09/2025</v>
      </c>
      <c r="B3208" t="str">
        <f t="shared" si="599"/>
        <v>SAÍDA</v>
      </c>
      <c r="C3208" t="str">
        <f t="shared" si="600"/>
        <v>CONHECIMENTO</v>
      </c>
      <c r="D3208" t="str">
        <f t="shared" si="601"/>
        <v>01092025</v>
      </c>
      <c r="E3208" t="str">
        <f>"7"</f>
        <v>7</v>
      </c>
      <c r="F3208" t="str">
        <f t="shared" si="602"/>
        <v>COM</v>
      </c>
      <c r="G3208" t="str">
        <f t="shared" si="603"/>
        <v>CORA SOCIEDADE DE CREDITO, FINANCIAMENTO E INVESTIMENTO (20035)</v>
      </c>
      <c r="H3208" t="str">
        <f>"TAXA BOLETO "</f>
        <v xml:space="preserve">TAXA BOLETO </v>
      </c>
      <c r="I3208" t="str">
        <f t="shared" si="597"/>
        <v>24/09/2025</v>
      </c>
      <c r="J3208" t="str">
        <f t="shared" si="604"/>
        <v>01/09/2025</v>
      </c>
      <c r="K3208" t="str">
        <f>("24/09/2025")</f>
        <v>24/09/2025</v>
      </c>
      <c r="L3208">
        <v>1.7</v>
      </c>
      <c r="M3208">
        <v>1.7</v>
      </c>
      <c r="N3208">
        <v>401</v>
      </c>
      <c r="O3208" t="str">
        <f>"IOF/JUROS/DESP.FINANCEIRA"</f>
        <v>IOF/JUROS/DESP.FINANCEIRA</v>
      </c>
      <c r="P3208">
        <v>1.7</v>
      </c>
      <c r="S3208" t="str">
        <f>"BANCO CORA (102)"</f>
        <v>BANCO CORA (102)</v>
      </c>
      <c r="T3208">
        <v>22307</v>
      </c>
      <c r="U3208">
        <v>26076</v>
      </c>
      <c r="V3208" t="s">
        <v>22</v>
      </c>
    </row>
    <row r="3209" spans="1:22">
      <c r="A3209" t="str">
        <f t="shared" si="595"/>
        <v>24/09/2025</v>
      </c>
      <c r="B3209" t="str">
        <f t="shared" si="599"/>
        <v>SAÍDA</v>
      </c>
      <c r="C3209" t="str">
        <f t="shared" si="600"/>
        <v>CONHECIMENTO</v>
      </c>
      <c r="D3209" t="str">
        <f t="shared" si="601"/>
        <v>01092025</v>
      </c>
      <c r="E3209" t="str">
        <f>"7"</f>
        <v>7</v>
      </c>
      <c r="F3209" t="str">
        <f t="shared" si="602"/>
        <v>COM</v>
      </c>
      <c r="G3209" t="str">
        <f t="shared" si="603"/>
        <v>CORA SOCIEDADE DE CREDITO, FINANCIAMENTO E INVESTIMENTO (20035)</v>
      </c>
      <c r="H3209" t="s">
        <v>75</v>
      </c>
      <c r="I3209" t="str">
        <f t="shared" si="597"/>
        <v>24/09/2025</v>
      </c>
      <c r="J3209" t="str">
        <f t="shared" si="604"/>
        <v>01/09/2025</v>
      </c>
      <c r="K3209">
        <v>45924</v>
      </c>
      <c r="N3209">
        <v>401</v>
      </c>
      <c r="O3209" t="s">
        <v>76</v>
      </c>
      <c r="Q3209">
        <v>1.7</v>
      </c>
      <c r="R3209" t="str">
        <f>"CORA SOCIEDADE DE CREDITO, FINANCIAMENTO E INVESTIMENTO (20035)"</f>
        <v>CORA SOCIEDADE DE CREDITO, FINANCIAMENTO E INVESTIMENTO (20035)</v>
      </c>
      <c r="S3209" t="s">
        <v>22</v>
      </c>
      <c r="T3209">
        <v>22307</v>
      </c>
      <c r="U3209">
        <v>26076</v>
      </c>
      <c r="V3209" t="s">
        <v>22</v>
      </c>
    </row>
    <row r="3210" spans="1:22">
      <c r="A3210" t="str">
        <f t="shared" si="595"/>
        <v>24/09/2025</v>
      </c>
      <c r="B3210" t="str">
        <f t="shared" si="599"/>
        <v>SAÍDA</v>
      </c>
      <c r="C3210" t="str">
        <f t="shared" si="600"/>
        <v>CONHECIMENTO</v>
      </c>
      <c r="D3210" t="str">
        <f t="shared" si="601"/>
        <v>01092025</v>
      </c>
      <c r="E3210" t="str">
        <f>"8"</f>
        <v>8</v>
      </c>
      <c r="F3210" t="str">
        <f t="shared" si="602"/>
        <v>COM</v>
      </c>
      <c r="G3210" t="str">
        <f t="shared" si="603"/>
        <v>CORA SOCIEDADE DE CREDITO, FINANCIAMENTO E INVESTIMENTO (20035)</v>
      </c>
      <c r="H3210" t="str">
        <f>"TAXA BOLETO "</f>
        <v xml:space="preserve">TAXA BOLETO </v>
      </c>
      <c r="I3210" t="str">
        <f t="shared" si="597"/>
        <v>24/09/2025</v>
      </c>
      <c r="J3210" t="str">
        <f t="shared" si="604"/>
        <v>01/09/2025</v>
      </c>
      <c r="K3210" t="str">
        <f>("24/09/2025")</f>
        <v>24/09/2025</v>
      </c>
      <c r="L3210">
        <v>1.7</v>
      </c>
      <c r="M3210">
        <v>1.7</v>
      </c>
      <c r="N3210">
        <v>401</v>
      </c>
      <c r="O3210" t="str">
        <f>"IOF/JUROS/DESP.FINANCEIRA"</f>
        <v>IOF/JUROS/DESP.FINANCEIRA</v>
      </c>
      <c r="P3210">
        <v>1.7</v>
      </c>
      <c r="S3210" t="str">
        <f>"BANCO CORA (102)"</f>
        <v>BANCO CORA (102)</v>
      </c>
      <c r="T3210">
        <v>22308</v>
      </c>
      <c r="U3210">
        <v>26077</v>
      </c>
      <c r="V3210" t="s">
        <v>22</v>
      </c>
    </row>
    <row r="3211" spans="1:22">
      <c r="A3211" t="str">
        <f t="shared" si="595"/>
        <v>24/09/2025</v>
      </c>
      <c r="B3211" t="str">
        <f t="shared" si="599"/>
        <v>SAÍDA</v>
      </c>
      <c r="C3211" t="str">
        <f t="shared" si="600"/>
        <v>CONHECIMENTO</v>
      </c>
      <c r="D3211" t="str">
        <f t="shared" si="601"/>
        <v>01092025</v>
      </c>
      <c r="E3211" t="str">
        <f>"8"</f>
        <v>8</v>
      </c>
      <c r="F3211" t="str">
        <f t="shared" si="602"/>
        <v>COM</v>
      </c>
      <c r="G3211" t="str">
        <f t="shared" si="603"/>
        <v>CORA SOCIEDADE DE CREDITO, FINANCIAMENTO E INVESTIMENTO (20035)</v>
      </c>
      <c r="H3211" t="s">
        <v>75</v>
      </c>
      <c r="I3211" t="str">
        <f t="shared" si="597"/>
        <v>24/09/2025</v>
      </c>
      <c r="J3211" t="str">
        <f t="shared" si="604"/>
        <v>01/09/2025</v>
      </c>
      <c r="K3211">
        <v>45924</v>
      </c>
      <c r="N3211">
        <v>401</v>
      </c>
      <c r="O3211" t="s">
        <v>76</v>
      </c>
      <c r="Q3211">
        <v>1.7</v>
      </c>
      <c r="R3211" t="str">
        <f>"CORA SOCIEDADE DE CREDITO, FINANCIAMENTO E INVESTIMENTO (20035)"</f>
        <v>CORA SOCIEDADE DE CREDITO, FINANCIAMENTO E INVESTIMENTO (20035)</v>
      </c>
      <c r="S3211" t="s">
        <v>22</v>
      </c>
      <c r="T3211">
        <v>22308</v>
      </c>
      <c r="U3211">
        <v>26077</v>
      </c>
      <c r="V3211" t="s">
        <v>22</v>
      </c>
    </row>
    <row r="3212" spans="1:22">
      <c r="A3212" t="str">
        <f t="shared" si="595"/>
        <v>24/09/2025</v>
      </c>
      <c r="B3212" t="str">
        <f t="shared" si="599"/>
        <v>SAÍDA</v>
      </c>
      <c r="C3212" t="str">
        <f t="shared" si="600"/>
        <v>CONHECIMENTO</v>
      </c>
      <c r="D3212" t="str">
        <f t="shared" si="601"/>
        <v>01092025</v>
      </c>
      <c r="E3212" t="str">
        <f>"9"</f>
        <v>9</v>
      </c>
      <c r="F3212" t="str">
        <f t="shared" si="602"/>
        <v>COM</v>
      </c>
      <c r="G3212" t="str">
        <f t="shared" si="603"/>
        <v>CORA SOCIEDADE DE CREDITO, FINANCIAMENTO E INVESTIMENTO (20035)</v>
      </c>
      <c r="H3212" t="str">
        <f>"TAXA BOLETO "</f>
        <v xml:space="preserve">TAXA BOLETO </v>
      </c>
      <c r="I3212" t="str">
        <f t="shared" si="597"/>
        <v>24/09/2025</v>
      </c>
      <c r="J3212" t="str">
        <f t="shared" si="604"/>
        <v>01/09/2025</v>
      </c>
      <c r="K3212" t="str">
        <f>("24/09/2025")</f>
        <v>24/09/2025</v>
      </c>
      <c r="L3212">
        <v>1.7</v>
      </c>
      <c r="M3212">
        <v>1.7</v>
      </c>
      <c r="N3212">
        <v>401</v>
      </c>
      <c r="O3212" t="str">
        <f>"IOF/JUROS/DESP.FINANCEIRA"</f>
        <v>IOF/JUROS/DESP.FINANCEIRA</v>
      </c>
      <c r="P3212">
        <v>1.7</v>
      </c>
      <c r="S3212" t="str">
        <f>"BANCO CORA (102)"</f>
        <v>BANCO CORA (102)</v>
      </c>
      <c r="T3212">
        <v>22309</v>
      </c>
      <c r="U3212">
        <v>26078</v>
      </c>
      <c r="V3212" t="s">
        <v>22</v>
      </c>
    </row>
    <row r="3213" spans="1:22">
      <c r="A3213" t="str">
        <f t="shared" si="595"/>
        <v>24/09/2025</v>
      </c>
      <c r="B3213" t="str">
        <f t="shared" si="599"/>
        <v>SAÍDA</v>
      </c>
      <c r="C3213" t="str">
        <f t="shared" si="600"/>
        <v>CONHECIMENTO</v>
      </c>
      <c r="D3213" t="str">
        <f t="shared" si="601"/>
        <v>01092025</v>
      </c>
      <c r="E3213" t="str">
        <f>"9"</f>
        <v>9</v>
      </c>
      <c r="F3213" t="str">
        <f t="shared" si="602"/>
        <v>COM</v>
      </c>
      <c r="G3213" t="str">
        <f t="shared" si="603"/>
        <v>CORA SOCIEDADE DE CREDITO, FINANCIAMENTO E INVESTIMENTO (20035)</v>
      </c>
      <c r="H3213" t="s">
        <v>75</v>
      </c>
      <c r="I3213" t="str">
        <f t="shared" si="597"/>
        <v>24/09/2025</v>
      </c>
      <c r="J3213" t="str">
        <f t="shared" si="604"/>
        <v>01/09/2025</v>
      </c>
      <c r="K3213">
        <v>45924</v>
      </c>
      <c r="N3213">
        <v>401</v>
      </c>
      <c r="O3213" t="s">
        <v>76</v>
      </c>
      <c r="Q3213">
        <v>1.7</v>
      </c>
      <c r="R3213" t="str">
        <f>"CORA SOCIEDADE DE CREDITO, FINANCIAMENTO E INVESTIMENTO (20035)"</f>
        <v>CORA SOCIEDADE DE CREDITO, FINANCIAMENTO E INVESTIMENTO (20035)</v>
      </c>
      <c r="S3213" t="s">
        <v>22</v>
      </c>
      <c r="T3213">
        <v>22309</v>
      </c>
      <c r="U3213">
        <v>26078</v>
      </c>
      <c r="V3213" t="s">
        <v>22</v>
      </c>
    </row>
    <row r="3214" spans="1:22">
      <c r="A3214" t="str">
        <f t="shared" ref="A3214:A3277" si="605">("25/09/2025")</f>
        <v>25/09/2025</v>
      </c>
      <c r="B3214" t="str">
        <f t="shared" si="599"/>
        <v>SAÍDA</v>
      </c>
      <c r="C3214" t="str">
        <f t="shared" ref="C3214:C3277" si="606">"PIX"</f>
        <v>PIX</v>
      </c>
      <c r="D3214" t="str">
        <f>"22159"</f>
        <v>22159</v>
      </c>
      <c r="E3214" t="str">
        <f>"2"</f>
        <v>2</v>
      </c>
      <c r="F3214" t="str">
        <f t="shared" si="602"/>
        <v>COM</v>
      </c>
      <c r="G3214" t="str">
        <f>"WELVES DA SILVA RAMOS (194)"</f>
        <v>WELVES DA SILVA RAMOS (194)</v>
      </c>
      <c r="H3214" t="str">
        <f>"Complemento Serv.Prest. 08/09/2025 a 14/09/2025 - PIX: CPF - CHAVE: 700.454.836-80"</f>
        <v>Complemento Serv.Prest. 08/09/2025 a 14/09/2025 - PIX: CPF - CHAVE: 700.454.836-80</v>
      </c>
      <c r="I3214" t="str">
        <f>("25/09/2025")</f>
        <v>25/09/2025</v>
      </c>
      <c r="J3214" t="str">
        <f>("16/09/2025")</f>
        <v>16/09/2025</v>
      </c>
      <c r="K3214" t="str">
        <f>("25/09/2025")</f>
        <v>25/09/2025</v>
      </c>
      <c r="L3214">
        <v>92.5</v>
      </c>
      <c r="M3214">
        <v>92.5</v>
      </c>
      <c r="N3214">
        <v>109</v>
      </c>
      <c r="O3214" t="str">
        <f>"PAGAMENTO DE ENTREGADORES"</f>
        <v>PAGAMENTO DE ENTREGADORES</v>
      </c>
      <c r="P3214">
        <v>92.5</v>
      </c>
      <c r="S3214" t="str">
        <f>"BANCO CORA (102)"</f>
        <v>BANCO CORA (102)</v>
      </c>
      <c r="T3214">
        <v>18651</v>
      </c>
      <c r="U3214">
        <v>22514</v>
      </c>
      <c r="V3214" t="s">
        <v>22</v>
      </c>
    </row>
    <row r="3215" spans="1:22">
      <c r="A3215" t="str">
        <f t="shared" si="605"/>
        <v>25/09/2025</v>
      </c>
      <c r="B3215" t="str">
        <f t="shared" si="599"/>
        <v>SAÍDA</v>
      </c>
      <c r="C3215" t="str">
        <f t="shared" si="606"/>
        <v>PIX</v>
      </c>
      <c r="D3215" t="str">
        <f>"22159"</f>
        <v>22159</v>
      </c>
      <c r="E3215" t="str">
        <f>"2"</f>
        <v>2</v>
      </c>
      <c r="F3215" t="str">
        <f t="shared" si="602"/>
        <v>COM</v>
      </c>
      <c r="G3215" t="str">
        <f>"WELVES DA SILVA RAMOS (194)"</f>
        <v>WELVES DA SILVA RAMOS (194)</v>
      </c>
      <c r="H3215" t="s">
        <v>874</v>
      </c>
      <c r="I3215" t="str">
        <f>("25/09/2025")</f>
        <v>25/09/2025</v>
      </c>
      <c r="J3215" t="str">
        <f>("16/09/2025")</f>
        <v>16/09/2025</v>
      </c>
      <c r="K3215">
        <v>45925</v>
      </c>
      <c r="N3215">
        <v>109</v>
      </c>
      <c r="O3215" t="s">
        <v>24</v>
      </c>
      <c r="Q3215">
        <v>92.5</v>
      </c>
      <c r="R3215" t="str">
        <f>"FARMÁCIA INDIANA LJ 06 (10006)"</f>
        <v>FARMÁCIA INDIANA LJ 06 (10006)</v>
      </c>
      <c r="S3215" t="s">
        <v>22</v>
      </c>
      <c r="T3215">
        <v>18651</v>
      </c>
      <c r="U3215">
        <v>22514</v>
      </c>
      <c r="V3215" t="s">
        <v>22</v>
      </c>
    </row>
    <row r="3216" spans="1:22">
      <c r="A3216" t="str">
        <f t="shared" si="605"/>
        <v>25/09/2025</v>
      </c>
      <c r="B3216" t="str">
        <f t="shared" si="599"/>
        <v>SAÍDA</v>
      </c>
      <c r="C3216" t="str">
        <f t="shared" si="606"/>
        <v>PIX</v>
      </c>
      <c r="D3216" t="str">
        <f>"22421"</f>
        <v>22421</v>
      </c>
      <c r="E3216" t="str">
        <f>"1"</f>
        <v>1</v>
      </c>
      <c r="F3216" t="str">
        <f t="shared" si="602"/>
        <v>COM</v>
      </c>
      <c r="G3216" t="str">
        <f>"GABRIEL SOUZA RIBEIRO (425)"</f>
        <v>GABRIEL SOUZA RIBEIRO (425)</v>
      </c>
      <c r="H3216" t="str">
        <f>"Serv.Prest. 15/09/2025 a 21/09/2025 - PIX: CPF - CHAVE: 087.398.185-51"</f>
        <v>Serv.Prest. 15/09/2025 a 21/09/2025 - PIX: CPF - CHAVE: 087.398.185-51</v>
      </c>
      <c r="I3216" t="str">
        <f>("02/10/2025")</f>
        <v>02/10/2025</v>
      </c>
      <c r="J3216" t="str">
        <f>("23/09/2025")</f>
        <v>23/09/2025</v>
      </c>
      <c r="K3216" t="str">
        <f>("25/09/2025")</f>
        <v>25/09/2025</v>
      </c>
      <c r="L3216">
        <v>327</v>
      </c>
      <c r="M3216">
        <v>327</v>
      </c>
      <c r="N3216">
        <v>109</v>
      </c>
      <c r="O3216" t="str">
        <f>"PAGAMENTO DE ENTREGADORES"</f>
        <v>PAGAMENTO DE ENTREGADORES</v>
      </c>
      <c r="P3216">
        <v>327</v>
      </c>
      <c r="S3216" t="str">
        <f>"BANCO CORA (102)"</f>
        <v>BANCO CORA (102)</v>
      </c>
      <c r="T3216">
        <v>18652</v>
      </c>
      <c r="U3216">
        <v>22421</v>
      </c>
      <c r="V3216" t="s">
        <v>22</v>
      </c>
    </row>
    <row r="3217" spans="1:22">
      <c r="A3217" t="str">
        <f t="shared" si="605"/>
        <v>25/09/2025</v>
      </c>
      <c r="B3217" t="str">
        <f t="shared" si="599"/>
        <v>SAÍDA</v>
      </c>
      <c r="C3217" t="str">
        <f t="shared" si="606"/>
        <v>PIX</v>
      </c>
      <c r="D3217" t="str">
        <f>"22421"</f>
        <v>22421</v>
      </c>
      <c r="E3217" t="str">
        <f>"1"</f>
        <v>1</v>
      </c>
      <c r="F3217" t="str">
        <f t="shared" si="602"/>
        <v>COM</v>
      </c>
      <c r="G3217" t="str">
        <f>"GABRIEL SOUZA RIBEIRO (425)"</f>
        <v>GABRIEL SOUZA RIBEIRO (425)</v>
      </c>
      <c r="H3217" t="s">
        <v>875</v>
      </c>
      <c r="I3217" t="str">
        <f>("02/10/2025")</f>
        <v>02/10/2025</v>
      </c>
      <c r="J3217" t="str">
        <f>("23/09/2025")</f>
        <v>23/09/2025</v>
      </c>
      <c r="K3217">
        <v>45925</v>
      </c>
      <c r="N3217">
        <v>109</v>
      </c>
      <c r="O3217" t="s">
        <v>24</v>
      </c>
      <c r="Q3217">
        <v>327</v>
      </c>
      <c r="R3217" t="str">
        <f>"FARMÁCIA INDIANA LJ 65 (10030)"</f>
        <v>FARMÁCIA INDIANA LJ 65 (10030)</v>
      </c>
      <c r="S3217" t="s">
        <v>22</v>
      </c>
      <c r="T3217">
        <v>18652</v>
      </c>
      <c r="U3217">
        <v>22421</v>
      </c>
      <c r="V3217" t="s">
        <v>22</v>
      </c>
    </row>
    <row r="3218" spans="1:22">
      <c r="A3218" t="str">
        <f t="shared" si="605"/>
        <v>25/09/2025</v>
      </c>
      <c r="B3218" t="str">
        <f t="shared" si="599"/>
        <v>SAÍDA</v>
      </c>
      <c r="C3218" t="str">
        <f t="shared" si="606"/>
        <v>PIX</v>
      </c>
      <c r="D3218" t="str">
        <f>"22429"</f>
        <v>22429</v>
      </c>
      <c r="E3218" t="str">
        <f>"1"</f>
        <v>1</v>
      </c>
      <c r="F3218" t="str">
        <f t="shared" si="602"/>
        <v>COM</v>
      </c>
      <c r="G3218" t="str">
        <f>"JOSE MARIO MENEZES DA CRUZ (941)"</f>
        <v>JOSE MARIO MENEZES DA CRUZ (941)</v>
      </c>
      <c r="H3218" t="str">
        <f>"Serv.Prest. 15/09/2025 a 21/09/2025 - PIX: CPF - CHAVE: 009.476.175-23"</f>
        <v>Serv.Prest. 15/09/2025 a 21/09/2025 - PIX: CPF - CHAVE: 009.476.175-23</v>
      </c>
      <c r="I3218" t="str">
        <f>("02/10/2025")</f>
        <v>02/10/2025</v>
      </c>
      <c r="J3218" t="str">
        <f>("23/09/2025")</f>
        <v>23/09/2025</v>
      </c>
      <c r="K3218" t="str">
        <f>("25/09/2025")</f>
        <v>25/09/2025</v>
      </c>
      <c r="L3218">
        <v>870</v>
      </c>
      <c r="M3218">
        <v>870</v>
      </c>
      <c r="N3218">
        <v>109</v>
      </c>
      <c r="O3218" t="str">
        <f>"PAGAMENTO DE ENTREGADORES"</f>
        <v>PAGAMENTO DE ENTREGADORES</v>
      </c>
      <c r="P3218">
        <v>870</v>
      </c>
      <c r="S3218" t="str">
        <f>"BANCO CORA (102)"</f>
        <v>BANCO CORA (102)</v>
      </c>
      <c r="T3218">
        <v>18653</v>
      </c>
      <c r="U3218">
        <v>22429</v>
      </c>
      <c r="V3218" t="s">
        <v>22</v>
      </c>
    </row>
    <row r="3219" spans="1:22">
      <c r="A3219" t="str">
        <f t="shared" si="605"/>
        <v>25/09/2025</v>
      </c>
      <c r="B3219" t="str">
        <f t="shared" si="599"/>
        <v>SAÍDA</v>
      </c>
      <c r="C3219" t="str">
        <f t="shared" si="606"/>
        <v>PIX</v>
      </c>
      <c r="D3219" t="str">
        <f>"22429"</f>
        <v>22429</v>
      </c>
      <c r="E3219" t="str">
        <f>"1"</f>
        <v>1</v>
      </c>
      <c r="F3219" t="str">
        <f t="shared" si="602"/>
        <v>COM</v>
      </c>
      <c r="G3219" t="str">
        <f>"JOSE MARIO MENEZES DA CRUZ (941)"</f>
        <v>JOSE MARIO MENEZES DA CRUZ (941)</v>
      </c>
      <c r="H3219" t="s">
        <v>876</v>
      </c>
      <c r="I3219" t="str">
        <f>("02/10/2025")</f>
        <v>02/10/2025</v>
      </c>
      <c r="J3219" t="str">
        <f>("23/09/2025")</f>
        <v>23/09/2025</v>
      </c>
      <c r="K3219">
        <v>45925</v>
      </c>
      <c r="N3219">
        <v>109</v>
      </c>
      <c r="O3219" t="s">
        <v>24</v>
      </c>
      <c r="Q3219">
        <v>870</v>
      </c>
      <c r="R3219" t="str">
        <f>"FARMÁCIA INDIANA LJ 33 (10187)"</f>
        <v>FARMÁCIA INDIANA LJ 33 (10187)</v>
      </c>
      <c r="S3219" t="s">
        <v>22</v>
      </c>
      <c r="T3219">
        <v>18653</v>
      </c>
      <c r="U3219">
        <v>22429</v>
      </c>
      <c r="V3219" t="s">
        <v>22</v>
      </c>
    </row>
    <row r="3220" spans="1:22">
      <c r="A3220" t="str">
        <f t="shared" si="605"/>
        <v>25/09/2025</v>
      </c>
      <c r="B3220" t="str">
        <f t="shared" si="599"/>
        <v>SAÍDA</v>
      </c>
      <c r="C3220" t="str">
        <f t="shared" si="606"/>
        <v>PIX</v>
      </c>
      <c r="D3220" t="str">
        <f>"22299"</f>
        <v>22299</v>
      </c>
      <c r="E3220" t="str">
        <f>"2"</f>
        <v>2</v>
      </c>
      <c r="F3220" t="str">
        <f t="shared" si="602"/>
        <v>COM</v>
      </c>
      <c r="G3220" t="str">
        <f>"LUIZ PAULO DE OLIVEIRA (712)"</f>
        <v>LUIZ PAULO DE OLIVEIRA (712)</v>
      </c>
      <c r="H3220" t="str">
        <f>"Complemento Serv.Prest. 15/09/2025 a 21/09/2025 - PIX: CPF - CHAVE: 090.332.006-19"</f>
        <v>Complemento Serv.Prest. 15/09/2025 a 21/09/2025 - PIX: CPF - CHAVE: 090.332.006-19</v>
      </c>
      <c r="I3220" t="str">
        <f t="shared" ref="I3220:I3283" si="607">("25/09/2025")</f>
        <v>25/09/2025</v>
      </c>
      <c r="J3220" t="str">
        <f>("22/09/2025")</f>
        <v>22/09/2025</v>
      </c>
      <c r="K3220" t="str">
        <f>("25/09/2025")</f>
        <v>25/09/2025</v>
      </c>
      <c r="L3220">
        <v>60</v>
      </c>
      <c r="M3220">
        <v>60</v>
      </c>
      <c r="N3220">
        <v>109</v>
      </c>
      <c r="O3220" t="str">
        <f>"PAGAMENTO DE ENTREGADORES"</f>
        <v>PAGAMENTO DE ENTREGADORES</v>
      </c>
      <c r="P3220">
        <v>60</v>
      </c>
      <c r="S3220" t="str">
        <f>"BANCO CORA (102)"</f>
        <v>BANCO CORA (102)</v>
      </c>
      <c r="T3220">
        <v>18654</v>
      </c>
      <c r="U3220">
        <v>22516</v>
      </c>
      <c r="V3220" t="s">
        <v>22</v>
      </c>
    </row>
    <row r="3221" spans="1:22">
      <c r="A3221" t="str">
        <f t="shared" si="605"/>
        <v>25/09/2025</v>
      </c>
      <c r="B3221" t="str">
        <f t="shared" si="599"/>
        <v>SAÍDA</v>
      </c>
      <c r="C3221" t="str">
        <f t="shared" si="606"/>
        <v>PIX</v>
      </c>
      <c r="D3221" t="str">
        <f>"22299"</f>
        <v>22299</v>
      </c>
      <c r="E3221" t="str">
        <f>"2"</f>
        <v>2</v>
      </c>
      <c r="F3221" t="str">
        <f t="shared" si="602"/>
        <v>COM</v>
      </c>
      <c r="G3221" t="str">
        <f>"LUIZ PAULO DE OLIVEIRA (712)"</f>
        <v>LUIZ PAULO DE OLIVEIRA (712)</v>
      </c>
      <c r="H3221" t="s">
        <v>877</v>
      </c>
      <c r="I3221" t="str">
        <f t="shared" si="607"/>
        <v>25/09/2025</v>
      </c>
      <c r="J3221" t="str">
        <f>("22/09/2025")</f>
        <v>22/09/2025</v>
      </c>
      <c r="K3221">
        <v>45925</v>
      </c>
      <c r="N3221">
        <v>109</v>
      </c>
      <c r="O3221" t="s">
        <v>24</v>
      </c>
      <c r="Q3221">
        <v>60</v>
      </c>
      <c r="R3221" t="str">
        <f>"DROGARIA POUPA MINAS (ULTRAMINAS) 1 (10181)"</f>
        <v>DROGARIA POUPA MINAS (ULTRAMINAS) 1 (10181)</v>
      </c>
      <c r="S3221" t="s">
        <v>22</v>
      </c>
      <c r="T3221">
        <v>18654</v>
      </c>
      <c r="U3221">
        <v>22516</v>
      </c>
      <c r="V3221" t="s">
        <v>22</v>
      </c>
    </row>
    <row r="3222" spans="1:22">
      <c r="A3222" t="str">
        <f t="shared" si="605"/>
        <v>25/09/2025</v>
      </c>
      <c r="B3222" t="str">
        <f t="shared" si="599"/>
        <v>SAÍDA</v>
      </c>
      <c r="C3222" t="str">
        <f t="shared" si="606"/>
        <v>PIX</v>
      </c>
      <c r="D3222" t="str">
        <f>"22340"</f>
        <v>22340</v>
      </c>
      <c r="E3222" t="str">
        <f t="shared" ref="E3222:E3285" si="608">"1"</f>
        <v>1</v>
      </c>
      <c r="F3222" t="str">
        <f t="shared" si="602"/>
        <v>COM</v>
      </c>
      <c r="G3222" t="str">
        <f>"GILDASIO DOMINGOS DOS SANTOS (54)"</f>
        <v>GILDASIO DOMINGOS DOS SANTOS (54)</v>
      </c>
      <c r="H3222" t="str">
        <f>"Serv.Prest. 15/09/2025 a 21/09/2025 - PIX: CELULAR - CHAVE: (33) 98857-0494"</f>
        <v>Serv.Prest. 15/09/2025 a 21/09/2025 - PIX: CELULAR - CHAVE: (33) 98857-0494</v>
      </c>
      <c r="I3222" t="str">
        <f t="shared" si="607"/>
        <v>25/09/2025</v>
      </c>
      <c r="J3222" t="str">
        <f>("23/09/2025")</f>
        <v>23/09/2025</v>
      </c>
      <c r="K3222" t="str">
        <f>("25/09/2025")</f>
        <v>25/09/2025</v>
      </c>
      <c r="L3222">
        <v>876</v>
      </c>
      <c r="M3222">
        <v>876</v>
      </c>
      <c r="N3222">
        <v>109</v>
      </c>
      <c r="O3222" t="str">
        <f>"PAGAMENTO DE ENTREGADORES"</f>
        <v>PAGAMENTO DE ENTREGADORES</v>
      </c>
      <c r="P3222">
        <v>876</v>
      </c>
      <c r="S3222" t="str">
        <f>"BANCO C6 (149)"</f>
        <v>BANCO C6 (149)</v>
      </c>
      <c r="T3222">
        <v>18655</v>
      </c>
      <c r="U3222">
        <v>22340</v>
      </c>
      <c r="V3222" t="s">
        <v>77</v>
      </c>
    </row>
    <row r="3223" spans="1:22">
      <c r="A3223" t="str">
        <f t="shared" si="605"/>
        <v>25/09/2025</v>
      </c>
      <c r="B3223" t="str">
        <f t="shared" si="599"/>
        <v>SAÍDA</v>
      </c>
      <c r="C3223" t="str">
        <f t="shared" si="606"/>
        <v>PIX</v>
      </c>
      <c r="D3223" t="str">
        <f>"22340"</f>
        <v>22340</v>
      </c>
      <c r="E3223" t="str">
        <f t="shared" si="608"/>
        <v>1</v>
      </c>
      <c r="F3223" t="str">
        <f t="shared" si="602"/>
        <v>COM</v>
      </c>
      <c r="G3223" t="str">
        <f>"GILDASIO DOMINGOS DOS SANTOS (54)"</f>
        <v>GILDASIO DOMINGOS DOS SANTOS (54)</v>
      </c>
      <c r="H3223" t="s">
        <v>878</v>
      </c>
      <c r="I3223" t="str">
        <f t="shared" si="607"/>
        <v>25/09/2025</v>
      </c>
      <c r="J3223" t="str">
        <f>("23/09/2025")</f>
        <v>23/09/2025</v>
      </c>
      <c r="K3223">
        <v>45925</v>
      </c>
      <c r="N3223">
        <v>109</v>
      </c>
      <c r="O3223" t="s">
        <v>24</v>
      </c>
      <c r="Q3223">
        <v>876</v>
      </c>
      <c r="R3223" t="str">
        <f>"FARMÁCIA INDIANA LJ 07 (10007)"</f>
        <v>FARMÁCIA INDIANA LJ 07 (10007)</v>
      </c>
      <c r="S3223" t="s">
        <v>77</v>
      </c>
      <c r="T3223">
        <v>18655</v>
      </c>
      <c r="U3223">
        <v>22340</v>
      </c>
      <c r="V3223" t="s">
        <v>77</v>
      </c>
    </row>
    <row r="3224" spans="1:22">
      <c r="A3224" t="str">
        <f t="shared" si="605"/>
        <v>25/09/2025</v>
      </c>
      <c r="B3224" t="str">
        <f t="shared" si="599"/>
        <v>SAÍDA</v>
      </c>
      <c r="C3224" t="str">
        <f t="shared" si="606"/>
        <v>PIX</v>
      </c>
      <c r="D3224" t="str">
        <f>"22309"</f>
        <v>22309</v>
      </c>
      <c r="E3224" t="str">
        <f t="shared" si="608"/>
        <v>1</v>
      </c>
      <c r="F3224" t="str">
        <f t="shared" si="602"/>
        <v>COM</v>
      </c>
      <c r="G3224" t="str">
        <f>"RICHARD FERREIRA RIBEIRO (748)"</f>
        <v>RICHARD FERREIRA RIBEIRO (748)</v>
      </c>
      <c r="H3224" t="str">
        <f>"Serv.Prest. 15/09/2025 a 21/09/2025 - PIX: CELULAR - CHAVE: (11) 95449-1055"</f>
        <v>Serv.Prest. 15/09/2025 a 21/09/2025 - PIX: CELULAR - CHAVE: (11) 95449-1055</v>
      </c>
      <c r="I3224" t="str">
        <f t="shared" si="607"/>
        <v>25/09/2025</v>
      </c>
      <c r="J3224" t="str">
        <f t="shared" ref="J3224:J3255" si="609">("22/09/2025")</f>
        <v>22/09/2025</v>
      </c>
      <c r="K3224" t="str">
        <f>("25/09/2025")</f>
        <v>25/09/2025</v>
      </c>
      <c r="L3224">
        <v>133</v>
      </c>
      <c r="M3224">
        <v>133</v>
      </c>
      <c r="N3224">
        <v>109</v>
      </c>
      <c r="O3224" t="str">
        <f>"PAGAMENTO DE ENTREGADORES"</f>
        <v>PAGAMENTO DE ENTREGADORES</v>
      </c>
      <c r="P3224">
        <v>133</v>
      </c>
      <c r="S3224" t="str">
        <f>"BANCO C6 (149)"</f>
        <v>BANCO C6 (149)</v>
      </c>
      <c r="T3224">
        <v>18656</v>
      </c>
      <c r="U3224">
        <v>22309</v>
      </c>
      <c r="V3224" t="s">
        <v>77</v>
      </c>
    </row>
    <row r="3225" spans="1:22">
      <c r="A3225" t="str">
        <f t="shared" si="605"/>
        <v>25/09/2025</v>
      </c>
      <c r="B3225" t="str">
        <f t="shared" si="599"/>
        <v>SAÍDA</v>
      </c>
      <c r="C3225" t="str">
        <f t="shared" si="606"/>
        <v>PIX</v>
      </c>
      <c r="D3225" t="str">
        <f>"22309"</f>
        <v>22309</v>
      </c>
      <c r="E3225" t="str">
        <f t="shared" si="608"/>
        <v>1</v>
      </c>
      <c r="F3225" t="str">
        <f t="shared" si="602"/>
        <v>COM</v>
      </c>
      <c r="G3225" t="str">
        <f>"RICHARD FERREIRA RIBEIRO (748)"</f>
        <v>RICHARD FERREIRA RIBEIRO (748)</v>
      </c>
      <c r="H3225" t="s">
        <v>879</v>
      </c>
      <c r="I3225" t="str">
        <f t="shared" si="607"/>
        <v>25/09/2025</v>
      </c>
      <c r="J3225" t="str">
        <f t="shared" si="609"/>
        <v>22/09/2025</v>
      </c>
      <c r="K3225">
        <v>45925</v>
      </c>
      <c r="N3225">
        <v>109</v>
      </c>
      <c r="O3225" t="s">
        <v>24</v>
      </c>
      <c r="Q3225">
        <v>133</v>
      </c>
      <c r="R3225" t="str">
        <f>"DROGARIA MORENO LTDA (10171)"</f>
        <v>DROGARIA MORENO LTDA (10171)</v>
      </c>
      <c r="S3225" t="s">
        <v>77</v>
      </c>
      <c r="T3225">
        <v>18656</v>
      </c>
      <c r="U3225">
        <v>22309</v>
      </c>
      <c r="V3225" t="s">
        <v>77</v>
      </c>
    </row>
    <row r="3226" spans="1:22">
      <c r="A3226" t="str">
        <f t="shared" si="605"/>
        <v>25/09/2025</v>
      </c>
      <c r="B3226" t="str">
        <f t="shared" si="599"/>
        <v>SAÍDA</v>
      </c>
      <c r="C3226" t="str">
        <f t="shared" si="606"/>
        <v>PIX</v>
      </c>
      <c r="D3226" t="str">
        <f>"22307"</f>
        <v>22307</v>
      </c>
      <c r="E3226" t="str">
        <f t="shared" si="608"/>
        <v>1</v>
      </c>
      <c r="F3226" t="str">
        <f t="shared" si="602"/>
        <v>COM</v>
      </c>
      <c r="G3226" t="str">
        <f>"PAULO CESAR DE FARIA (865)"</f>
        <v>PAULO CESAR DE FARIA (865)</v>
      </c>
      <c r="H3226" t="str">
        <f>"Serv.Prest. 15/09/2025 a 21/09/2025 - PIX: CELULAR - CHAVE: (11) 99992-0816"</f>
        <v>Serv.Prest. 15/09/2025 a 21/09/2025 - PIX: CELULAR - CHAVE: (11) 99992-0816</v>
      </c>
      <c r="I3226" t="str">
        <f t="shared" si="607"/>
        <v>25/09/2025</v>
      </c>
      <c r="J3226" t="str">
        <f t="shared" si="609"/>
        <v>22/09/2025</v>
      </c>
      <c r="K3226" t="str">
        <f>("25/09/2025")</f>
        <v>25/09/2025</v>
      </c>
      <c r="L3226">
        <v>1008</v>
      </c>
      <c r="M3226">
        <v>1008</v>
      </c>
      <c r="N3226">
        <v>109</v>
      </c>
      <c r="O3226" t="str">
        <f>"PAGAMENTO DE ENTREGADORES"</f>
        <v>PAGAMENTO DE ENTREGADORES</v>
      </c>
      <c r="P3226">
        <v>1008</v>
      </c>
      <c r="S3226" t="str">
        <f>"BANCO C6 (149)"</f>
        <v>BANCO C6 (149)</v>
      </c>
      <c r="T3226">
        <v>18657</v>
      </c>
      <c r="U3226">
        <v>22307</v>
      </c>
      <c r="V3226" t="s">
        <v>77</v>
      </c>
    </row>
    <row r="3227" spans="1:22">
      <c r="A3227" t="str">
        <f t="shared" si="605"/>
        <v>25/09/2025</v>
      </c>
      <c r="B3227" t="str">
        <f t="shared" si="599"/>
        <v>SAÍDA</v>
      </c>
      <c r="C3227" t="str">
        <f t="shared" si="606"/>
        <v>PIX</v>
      </c>
      <c r="D3227" t="str">
        <f>"22307"</f>
        <v>22307</v>
      </c>
      <c r="E3227" t="str">
        <f t="shared" si="608"/>
        <v>1</v>
      </c>
      <c r="F3227" t="str">
        <f t="shared" si="602"/>
        <v>COM</v>
      </c>
      <c r="G3227" t="str">
        <f>"PAULO CESAR DE FARIA (865)"</f>
        <v>PAULO CESAR DE FARIA (865)</v>
      </c>
      <c r="H3227" t="s">
        <v>880</v>
      </c>
      <c r="I3227" t="str">
        <f t="shared" si="607"/>
        <v>25/09/2025</v>
      </c>
      <c r="J3227" t="str">
        <f t="shared" si="609"/>
        <v>22/09/2025</v>
      </c>
      <c r="K3227">
        <v>45925</v>
      </c>
      <c r="N3227">
        <v>109</v>
      </c>
      <c r="O3227" t="s">
        <v>24</v>
      </c>
      <c r="Q3227">
        <v>1008</v>
      </c>
      <c r="R3227" t="str">
        <f>"DROGARIA MORENO LTDA (10171)"</f>
        <v>DROGARIA MORENO LTDA (10171)</v>
      </c>
      <c r="S3227" t="s">
        <v>77</v>
      </c>
      <c r="T3227">
        <v>18657</v>
      </c>
      <c r="U3227">
        <v>22307</v>
      </c>
      <c r="V3227" t="s">
        <v>77</v>
      </c>
    </row>
    <row r="3228" spans="1:22">
      <c r="A3228" t="str">
        <f t="shared" si="605"/>
        <v>25/09/2025</v>
      </c>
      <c r="B3228" t="str">
        <f t="shared" si="599"/>
        <v>SAÍDA</v>
      </c>
      <c r="C3228" t="str">
        <f t="shared" si="606"/>
        <v>PIX</v>
      </c>
      <c r="D3228" t="str">
        <f>"22306"</f>
        <v>22306</v>
      </c>
      <c r="E3228" t="str">
        <f t="shared" si="608"/>
        <v>1</v>
      </c>
      <c r="F3228" t="str">
        <f t="shared" si="602"/>
        <v>COM</v>
      </c>
      <c r="G3228" t="str">
        <f>"EDUARDO MARQUES DOS SANTOS (787)"</f>
        <v>EDUARDO MARQUES DOS SANTOS (787)</v>
      </c>
      <c r="H3228" t="str">
        <f>"Serv.Prest. 15/09/2025 a 21/09/2025 - PIX: CELULAR - CHAVE: (11) 97402-1586"</f>
        <v>Serv.Prest. 15/09/2025 a 21/09/2025 - PIX: CELULAR - CHAVE: (11) 97402-1586</v>
      </c>
      <c r="I3228" t="str">
        <f t="shared" si="607"/>
        <v>25/09/2025</v>
      </c>
      <c r="J3228" t="str">
        <f t="shared" si="609"/>
        <v>22/09/2025</v>
      </c>
      <c r="K3228" t="str">
        <f>("25/09/2025")</f>
        <v>25/09/2025</v>
      </c>
      <c r="L3228">
        <v>679</v>
      </c>
      <c r="M3228">
        <v>679</v>
      </c>
      <c r="N3228">
        <v>109</v>
      </c>
      <c r="O3228" t="str">
        <f>"PAGAMENTO DE ENTREGADORES"</f>
        <v>PAGAMENTO DE ENTREGADORES</v>
      </c>
      <c r="P3228">
        <v>679</v>
      </c>
      <c r="S3228" t="str">
        <f>"BANCO C6 (149)"</f>
        <v>BANCO C6 (149)</v>
      </c>
      <c r="T3228">
        <v>18658</v>
      </c>
      <c r="U3228">
        <v>22306</v>
      </c>
      <c r="V3228" t="s">
        <v>77</v>
      </c>
    </row>
    <row r="3229" spans="1:22">
      <c r="A3229" t="str">
        <f t="shared" si="605"/>
        <v>25/09/2025</v>
      </c>
      <c r="B3229" t="str">
        <f t="shared" si="599"/>
        <v>SAÍDA</v>
      </c>
      <c r="C3229" t="str">
        <f t="shared" si="606"/>
        <v>PIX</v>
      </c>
      <c r="D3229" t="str">
        <f>"22306"</f>
        <v>22306</v>
      </c>
      <c r="E3229" t="str">
        <f t="shared" si="608"/>
        <v>1</v>
      </c>
      <c r="F3229" t="str">
        <f t="shared" si="602"/>
        <v>COM</v>
      </c>
      <c r="G3229" t="str">
        <f>"EDUARDO MARQUES DOS SANTOS (787)"</f>
        <v>EDUARDO MARQUES DOS SANTOS (787)</v>
      </c>
      <c r="H3229" t="s">
        <v>881</v>
      </c>
      <c r="I3229" t="str">
        <f t="shared" si="607"/>
        <v>25/09/2025</v>
      </c>
      <c r="J3229" t="str">
        <f t="shared" si="609"/>
        <v>22/09/2025</v>
      </c>
      <c r="K3229">
        <v>45925</v>
      </c>
      <c r="N3229">
        <v>109</v>
      </c>
      <c r="O3229" t="s">
        <v>24</v>
      </c>
      <c r="Q3229">
        <v>679</v>
      </c>
      <c r="R3229" t="str">
        <f>"DROGARIA MORENO LTDA (10171)"</f>
        <v>DROGARIA MORENO LTDA (10171)</v>
      </c>
      <c r="S3229" t="s">
        <v>77</v>
      </c>
      <c r="T3229">
        <v>18658</v>
      </c>
      <c r="U3229">
        <v>22306</v>
      </c>
      <c r="V3229" t="s">
        <v>77</v>
      </c>
    </row>
    <row r="3230" spans="1:22">
      <c r="A3230" t="str">
        <f t="shared" si="605"/>
        <v>25/09/2025</v>
      </c>
      <c r="B3230" t="str">
        <f t="shared" si="599"/>
        <v>SAÍDA</v>
      </c>
      <c r="C3230" t="str">
        <f t="shared" si="606"/>
        <v>PIX</v>
      </c>
      <c r="D3230" t="str">
        <f>"22305"</f>
        <v>22305</v>
      </c>
      <c r="E3230" t="str">
        <f t="shared" si="608"/>
        <v>1</v>
      </c>
      <c r="F3230" t="str">
        <f t="shared" si="602"/>
        <v>COM</v>
      </c>
      <c r="G3230" t="str">
        <f>"ALLAN SILVA DAMACENA (790)"</f>
        <v>ALLAN SILVA DAMACENA (790)</v>
      </c>
      <c r="H3230" t="str">
        <f>"Serv.Prest. 15/09/2025 a 21/09/2025 - PIX: CELULAR - CHAVE: (19) 98944-4977"</f>
        <v>Serv.Prest. 15/09/2025 a 21/09/2025 - PIX: CELULAR - CHAVE: (19) 98944-4977</v>
      </c>
      <c r="I3230" t="str">
        <f t="shared" si="607"/>
        <v>25/09/2025</v>
      </c>
      <c r="J3230" t="str">
        <f t="shared" si="609"/>
        <v>22/09/2025</v>
      </c>
      <c r="K3230" t="str">
        <f>("25/09/2025")</f>
        <v>25/09/2025</v>
      </c>
      <c r="L3230">
        <v>740</v>
      </c>
      <c r="M3230">
        <v>740</v>
      </c>
      <c r="N3230">
        <v>109</v>
      </c>
      <c r="O3230" t="str">
        <f>"PAGAMENTO DE ENTREGADORES"</f>
        <v>PAGAMENTO DE ENTREGADORES</v>
      </c>
      <c r="P3230">
        <v>740</v>
      </c>
      <c r="S3230" t="str">
        <f>"BANCO C6 (149)"</f>
        <v>BANCO C6 (149)</v>
      </c>
      <c r="T3230">
        <v>18659</v>
      </c>
      <c r="U3230">
        <v>22305</v>
      </c>
      <c r="V3230" t="s">
        <v>77</v>
      </c>
    </row>
    <row r="3231" spans="1:22">
      <c r="A3231" t="str">
        <f t="shared" si="605"/>
        <v>25/09/2025</v>
      </c>
      <c r="B3231" t="str">
        <f t="shared" si="599"/>
        <v>SAÍDA</v>
      </c>
      <c r="C3231" t="str">
        <f t="shared" si="606"/>
        <v>PIX</v>
      </c>
      <c r="D3231" t="str">
        <f>"22305"</f>
        <v>22305</v>
      </c>
      <c r="E3231" t="str">
        <f t="shared" si="608"/>
        <v>1</v>
      </c>
      <c r="F3231" t="str">
        <f t="shared" si="602"/>
        <v>COM</v>
      </c>
      <c r="G3231" t="str">
        <f>"ALLAN SILVA DAMACENA (790)"</f>
        <v>ALLAN SILVA DAMACENA (790)</v>
      </c>
      <c r="H3231" t="s">
        <v>843</v>
      </c>
      <c r="I3231" t="str">
        <f t="shared" si="607"/>
        <v>25/09/2025</v>
      </c>
      <c r="J3231" t="str">
        <f t="shared" si="609"/>
        <v>22/09/2025</v>
      </c>
      <c r="K3231">
        <v>45925</v>
      </c>
      <c r="N3231">
        <v>109</v>
      </c>
      <c r="O3231" t="s">
        <v>24</v>
      </c>
      <c r="Q3231">
        <v>740</v>
      </c>
      <c r="R3231" t="str">
        <f>"DROGARIA MORENO LTDA (10171)"</f>
        <v>DROGARIA MORENO LTDA (10171)</v>
      </c>
      <c r="S3231" t="s">
        <v>77</v>
      </c>
      <c r="T3231">
        <v>18659</v>
      </c>
      <c r="U3231">
        <v>22305</v>
      </c>
      <c r="V3231" t="s">
        <v>77</v>
      </c>
    </row>
    <row r="3232" spans="1:22">
      <c r="A3232" t="str">
        <f t="shared" si="605"/>
        <v>25/09/2025</v>
      </c>
      <c r="B3232" t="str">
        <f t="shared" si="599"/>
        <v>SAÍDA</v>
      </c>
      <c r="C3232" t="str">
        <f t="shared" si="606"/>
        <v>PIX</v>
      </c>
      <c r="D3232" t="str">
        <f>"22303"</f>
        <v>22303</v>
      </c>
      <c r="E3232" t="str">
        <f t="shared" si="608"/>
        <v>1</v>
      </c>
      <c r="F3232" t="str">
        <f t="shared" si="602"/>
        <v>COM</v>
      </c>
      <c r="G3232" t="str">
        <f>"TIAGO VIEIRA (372)"</f>
        <v>TIAGO VIEIRA (372)</v>
      </c>
      <c r="H3232" t="str">
        <f>"Serv.Prest. 15/09/2025 a 21/09/2025 - PIX: CELULAR - CHAVE: (37) 98841-8571"</f>
        <v>Serv.Prest. 15/09/2025 a 21/09/2025 - PIX: CELULAR - CHAVE: (37) 98841-8571</v>
      </c>
      <c r="I3232" t="str">
        <f t="shared" si="607"/>
        <v>25/09/2025</v>
      </c>
      <c r="J3232" t="str">
        <f t="shared" si="609"/>
        <v>22/09/2025</v>
      </c>
      <c r="K3232" t="str">
        <f>("25/09/2025")</f>
        <v>25/09/2025</v>
      </c>
      <c r="L3232">
        <v>834</v>
      </c>
      <c r="M3232">
        <v>834</v>
      </c>
      <c r="N3232">
        <v>109</v>
      </c>
      <c r="O3232" t="str">
        <f>"PAGAMENTO DE ENTREGADORES"</f>
        <v>PAGAMENTO DE ENTREGADORES</v>
      </c>
      <c r="P3232">
        <v>834</v>
      </c>
      <c r="S3232" t="str">
        <f>"BANCO C6 (149)"</f>
        <v>BANCO C6 (149)</v>
      </c>
      <c r="T3232">
        <v>18660</v>
      </c>
      <c r="U3232">
        <v>22303</v>
      </c>
      <c r="V3232" t="s">
        <v>77</v>
      </c>
    </row>
    <row r="3233" spans="1:22">
      <c r="A3233" t="str">
        <f t="shared" si="605"/>
        <v>25/09/2025</v>
      </c>
      <c r="B3233" t="str">
        <f t="shared" si="599"/>
        <v>SAÍDA</v>
      </c>
      <c r="C3233" t="str">
        <f t="shared" si="606"/>
        <v>PIX</v>
      </c>
      <c r="D3233" t="str">
        <f>"22303"</f>
        <v>22303</v>
      </c>
      <c r="E3233" t="str">
        <f t="shared" si="608"/>
        <v>1</v>
      </c>
      <c r="F3233" t="str">
        <f t="shared" si="602"/>
        <v>COM</v>
      </c>
      <c r="G3233" t="str">
        <f>"TIAGO VIEIRA (372)"</f>
        <v>TIAGO VIEIRA (372)</v>
      </c>
      <c r="H3233" t="s">
        <v>882</v>
      </c>
      <c r="I3233" t="str">
        <f t="shared" si="607"/>
        <v>25/09/2025</v>
      </c>
      <c r="J3233" t="str">
        <f t="shared" si="609"/>
        <v>22/09/2025</v>
      </c>
      <c r="K3233">
        <v>45925</v>
      </c>
      <c r="N3233">
        <v>109</v>
      </c>
      <c r="O3233" t="s">
        <v>24</v>
      </c>
      <c r="Q3233">
        <v>834</v>
      </c>
      <c r="R3233" t="str">
        <f>"DROGARIA POUPA MINAS (ULTRAMINAS) 1 (10181)"</f>
        <v>DROGARIA POUPA MINAS (ULTRAMINAS) 1 (10181)</v>
      </c>
      <c r="S3233" t="s">
        <v>77</v>
      </c>
      <c r="T3233">
        <v>18660</v>
      </c>
      <c r="U3233">
        <v>22303</v>
      </c>
      <c r="V3233" t="s">
        <v>77</v>
      </c>
    </row>
    <row r="3234" spans="1:22">
      <c r="A3234" t="str">
        <f t="shared" si="605"/>
        <v>25/09/2025</v>
      </c>
      <c r="B3234" t="str">
        <f t="shared" si="599"/>
        <v>SAÍDA</v>
      </c>
      <c r="C3234" t="str">
        <f t="shared" si="606"/>
        <v>PIX</v>
      </c>
      <c r="D3234" t="str">
        <f>"22302"</f>
        <v>22302</v>
      </c>
      <c r="E3234" t="str">
        <f t="shared" si="608"/>
        <v>1</v>
      </c>
      <c r="F3234" t="str">
        <f t="shared" si="602"/>
        <v>COM</v>
      </c>
      <c r="G3234" t="str">
        <f>"THALES VINÍCIUS RODRIGUES DE OLIVEIRA (704)"</f>
        <v>THALES VINÍCIUS RODRIGUES DE OLIVEIRA (704)</v>
      </c>
      <c r="H3234" t="str">
        <f>"Serv.Prest. 15/09/2025 a 21/09/2025 - PIX: CELULAR - CHAVE: (37) 99138-1777"</f>
        <v>Serv.Prest. 15/09/2025 a 21/09/2025 - PIX: CELULAR - CHAVE: (37) 99138-1777</v>
      </c>
      <c r="I3234" t="str">
        <f t="shared" si="607"/>
        <v>25/09/2025</v>
      </c>
      <c r="J3234" t="str">
        <f t="shared" si="609"/>
        <v>22/09/2025</v>
      </c>
      <c r="K3234" t="str">
        <f>("25/09/2025")</f>
        <v>25/09/2025</v>
      </c>
      <c r="L3234">
        <v>900</v>
      </c>
      <c r="M3234">
        <v>900</v>
      </c>
      <c r="N3234">
        <v>109</v>
      </c>
      <c r="O3234" t="str">
        <f>"PAGAMENTO DE ENTREGADORES"</f>
        <v>PAGAMENTO DE ENTREGADORES</v>
      </c>
      <c r="P3234">
        <v>900</v>
      </c>
      <c r="S3234" t="str">
        <f>"BANCO C6 (149)"</f>
        <v>BANCO C6 (149)</v>
      </c>
      <c r="T3234">
        <v>18661</v>
      </c>
      <c r="U3234">
        <v>22302</v>
      </c>
      <c r="V3234" t="s">
        <v>77</v>
      </c>
    </row>
    <row r="3235" spans="1:22">
      <c r="A3235" t="str">
        <f t="shared" si="605"/>
        <v>25/09/2025</v>
      </c>
      <c r="B3235" t="str">
        <f t="shared" si="599"/>
        <v>SAÍDA</v>
      </c>
      <c r="C3235" t="str">
        <f t="shared" si="606"/>
        <v>PIX</v>
      </c>
      <c r="D3235" t="str">
        <f>"22302"</f>
        <v>22302</v>
      </c>
      <c r="E3235" t="str">
        <f t="shared" si="608"/>
        <v>1</v>
      </c>
      <c r="F3235" t="str">
        <f t="shared" si="602"/>
        <v>COM</v>
      </c>
      <c r="G3235" t="str">
        <f>"THALES VINÍCIUS RODRIGUES DE OLIVEIRA (704)"</f>
        <v>THALES VINÍCIUS RODRIGUES DE OLIVEIRA (704)</v>
      </c>
      <c r="H3235" t="s">
        <v>883</v>
      </c>
      <c r="I3235" t="str">
        <f t="shared" si="607"/>
        <v>25/09/2025</v>
      </c>
      <c r="J3235" t="str">
        <f t="shared" si="609"/>
        <v>22/09/2025</v>
      </c>
      <c r="K3235">
        <v>45925</v>
      </c>
      <c r="N3235">
        <v>109</v>
      </c>
      <c r="O3235" t="s">
        <v>24</v>
      </c>
      <c r="Q3235">
        <v>900</v>
      </c>
      <c r="R3235" t="str">
        <f>"DROGARIA POUPA MINAS (ULTRAMINAS) 1 (10181)"</f>
        <v>DROGARIA POUPA MINAS (ULTRAMINAS) 1 (10181)</v>
      </c>
      <c r="S3235" t="s">
        <v>77</v>
      </c>
      <c r="T3235">
        <v>18661</v>
      </c>
      <c r="U3235">
        <v>22302</v>
      </c>
      <c r="V3235" t="s">
        <v>77</v>
      </c>
    </row>
    <row r="3236" spans="1:22">
      <c r="A3236" t="str">
        <f t="shared" si="605"/>
        <v>25/09/2025</v>
      </c>
      <c r="B3236" t="str">
        <f t="shared" si="599"/>
        <v>SAÍDA</v>
      </c>
      <c r="C3236" t="str">
        <f t="shared" si="606"/>
        <v>PIX</v>
      </c>
      <c r="D3236" t="str">
        <f>"22301"</f>
        <v>22301</v>
      </c>
      <c r="E3236" t="str">
        <f t="shared" si="608"/>
        <v>1</v>
      </c>
      <c r="F3236" t="str">
        <f t="shared" si="602"/>
        <v>COM</v>
      </c>
      <c r="G3236" t="str">
        <f>"ROGERIO AUGUSTO FERREIRA (649)"</f>
        <v>ROGERIO AUGUSTO FERREIRA (649)</v>
      </c>
      <c r="H3236" t="str">
        <f>"Serv.Prest. 15/09/2025 a 21/09/2025 - PIX: CPF - CHAVE: 950.176.406-06"</f>
        <v>Serv.Prest. 15/09/2025 a 21/09/2025 - PIX: CPF - CHAVE: 950.176.406-06</v>
      </c>
      <c r="I3236" t="str">
        <f t="shared" si="607"/>
        <v>25/09/2025</v>
      </c>
      <c r="J3236" t="str">
        <f t="shared" si="609"/>
        <v>22/09/2025</v>
      </c>
      <c r="K3236" t="str">
        <f>("25/09/2025")</f>
        <v>25/09/2025</v>
      </c>
      <c r="L3236">
        <v>1080</v>
      </c>
      <c r="M3236">
        <v>1080</v>
      </c>
      <c r="N3236">
        <v>109</v>
      </c>
      <c r="O3236" t="str">
        <f>"PAGAMENTO DE ENTREGADORES"</f>
        <v>PAGAMENTO DE ENTREGADORES</v>
      </c>
      <c r="P3236">
        <v>1080</v>
      </c>
      <c r="S3236" t="str">
        <f>"BANCO C6 (149)"</f>
        <v>BANCO C6 (149)</v>
      </c>
      <c r="T3236">
        <v>18662</v>
      </c>
      <c r="U3236">
        <v>22301</v>
      </c>
      <c r="V3236" t="s">
        <v>77</v>
      </c>
    </row>
    <row r="3237" spans="1:22">
      <c r="A3237" t="str">
        <f t="shared" si="605"/>
        <v>25/09/2025</v>
      </c>
      <c r="B3237" t="str">
        <f t="shared" si="599"/>
        <v>SAÍDA</v>
      </c>
      <c r="C3237" t="str">
        <f t="shared" si="606"/>
        <v>PIX</v>
      </c>
      <c r="D3237" t="str">
        <f>"22301"</f>
        <v>22301</v>
      </c>
      <c r="E3237" t="str">
        <f t="shared" si="608"/>
        <v>1</v>
      </c>
      <c r="F3237" t="str">
        <f t="shared" si="602"/>
        <v>COM</v>
      </c>
      <c r="G3237" t="str">
        <f>"ROGERIO AUGUSTO FERREIRA (649)"</f>
        <v>ROGERIO AUGUSTO FERREIRA (649)</v>
      </c>
      <c r="H3237" t="s">
        <v>884</v>
      </c>
      <c r="I3237" t="str">
        <f t="shared" si="607"/>
        <v>25/09/2025</v>
      </c>
      <c r="J3237" t="str">
        <f t="shared" si="609"/>
        <v>22/09/2025</v>
      </c>
      <c r="K3237">
        <v>45925</v>
      </c>
      <c r="N3237">
        <v>109</v>
      </c>
      <c r="O3237" t="s">
        <v>24</v>
      </c>
      <c r="Q3237">
        <v>1080</v>
      </c>
      <c r="R3237" t="str">
        <f>"DROGARIA POUPA MINAS (ULTRAMINAS) 1 (10181)"</f>
        <v>DROGARIA POUPA MINAS (ULTRAMINAS) 1 (10181)</v>
      </c>
      <c r="S3237" t="s">
        <v>77</v>
      </c>
      <c r="T3237">
        <v>18662</v>
      </c>
      <c r="U3237">
        <v>22301</v>
      </c>
      <c r="V3237" t="s">
        <v>77</v>
      </c>
    </row>
    <row r="3238" spans="1:22">
      <c r="A3238" t="str">
        <f t="shared" si="605"/>
        <v>25/09/2025</v>
      </c>
      <c r="B3238" t="str">
        <f t="shared" si="599"/>
        <v>SAÍDA</v>
      </c>
      <c r="C3238" t="str">
        <f t="shared" si="606"/>
        <v>PIX</v>
      </c>
      <c r="D3238" t="str">
        <f>"22300"</f>
        <v>22300</v>
      </c>
      <c r="E3238" t="str">
        <f t="shared" si="608"/>
        <v>1</v>
      </c>
      <c r="F3238" t="str">
        <f t="shared" si="602"/>
        <v>COM</v>
      </c>
      <c r="G3238" t="str">
        <f>"RICHARD HENRIQUE DA SILVA (244)"</f>
        <v>RICHARD HENRIQUE DA SILVA (244)</v>
      </c>
      <c r="H3238" t="str">
        <f>"Serv.Prest. 15/09/2025 a 21/09/2025 - PIX: CELULAR - CHAVE: (37) 99197-6834"</f>
        <v>Serv.Prest. 15/09/2025 a 21/09/2025 - PIX: CELULAR - CHAVE: (37) 99197-6834</v>
      </c>
      <c r="I3238" t="str">
        <f t="shared" si="607"/>
        <v>25/09/2025</v>
      </c>
      <c r="J3238" t="str">
        <f t="shared" si="609"/>
        <v>22/09/2025</v>
      </c>
      <c r="K3238" t="str">
        <f>("25/09/2025")</f>
        <v>25/09/2025</v>
      </c>
      <c r="L3238">
        <v>1530</v>
      </c>
      <c r="M3238">
        <v>1530</v>
      </c>
      <c r="N3238">
        <v>109</v>
      </c>
      <c r="O3238" t="str">
        <f>"PAGAMENTO DE ENTREGADORES"</f>
        <v>PAGAMENTO DE ENTREGADORES</v>
      </c>
      <c r="P3238">
        <v>1530</v>
      </c>
      <c r="S3238" t="str">
        <f>"BANCO C6 (149)"</f>
        <v>BANCO C6 (149)</v>
      </c>
      <c r="T3238">
        <v>18663</v>
      </c>
      <c r="U3238">
        <v>22300</v>
      </c>
      <c r="V3238" t="s">
        <v>77</v>
      </c>
    </row>
    <row r="3239" spans="1:22">
      <c r="A3239" t="str">
        <f t="shared" si="605"/>
        <v>25/09/2025</v>
      </c>
      <c r="B3239" t="str">
        <f t="shared" si="599"/>
        <v>SAÍDA</v>
      </c>
      <c r="C3239" t="str">
        <f t="shared" si="606"/>
        <v>PIX</v>
      </c>
      <c r="D3239" t="str">
        <f>"22300"</f>
        <v>22300</v>
      </c>
      <c r="E3239" t="str">
        <f t="shared" si="608"/>
        <v>1</v>
      </c>
      <c r="F3239" t="str">
        <f t="shared" si="602"/>
        <v>COM</v>
      </c>
      <c r="G3239" t="str">
        <f>"RICHARD HENRIQUE DA SILVA (244)"</f>
        <v>RICHARD HENRIQUE DA SILVA (244)</v>
      </c>
      <c r="H3239" t="s">
        <v>885</v>
      </c>
      <c r="I3239" t="str">
        <f t="shared" si="607"/>
        <v>25/09/2025</v>
      </c>
      <c r="J3239" t="str">
        <f t="shared" si="609"/>
        <v>22/09/2025</v>
      </c>
      <c r="K3239">
        <v>45925</v>
      </c>
      <c r="N3239">
        <v>109</v>
      </c>
      <c r="O3239" t="s">
        <v>24</v>
      </c>
      <c r="Q3239">
        <v>1530</v>
      </c>
      <c r="R3239" t="str">
        <f>"DROGARIA POUPA MINAS (ULTRAMINAS) 1 (10181)"</f>
        <v>DROGARIA POUPA MINAS (ULTRAMINAS) 1 (10181)</v>
      </c>
      <c r="S3239" t="s">
        <v>77</v>
      </c>
      <c r="T3239">
        <v>18663</v>
      </c>
      <c r="U3239">
        <v>22300</v>
      </c>
      <c r="V3239" t="s">
        <v>77</v>
      </c>
    </row>
    <row r="3240" spans="1:22">
      <c r="A3240" t="str">
        <f t="shared" si="605"/>
        <v>25/09/2025</v>
      </c>
      <c r="B3240" t="str">
        <f t="shared" si="599"/>
        <v>SAÍDA</v>
      </c>
      <c r="C3240" t="str">
        <f t="shared" si="606"/>
        <v>PIX</v>
      </c>
      <c r="D3240" t="str">
        <f>"22299"</f>
        <v>22299</v>
      </c>
      <c r="E3240" t="str">
        <f t="shared" si="608"/>
        <v>1</v>
      </c>
      <c r="F3240" t="str">
        <f t="shared" si="602"/>
        <v>COM</v>
      </c>
      <c r="G3240" t="str">
        <f>"LUIZ PAULO DE OLIVEIRA (712)"</f>
        <v>LUIZ PAULO DE OLIVEIRA (712)</v>
      </c>
      <c r="H3240" t="str">
        <f>"Serv.Prest. 15/09/2025 a 21/09/2025 - PIX: CPF - CHAVE: 090.332.006-19"</f>
        <v>Serv.Prest. 15/09/2025 a 21/09/2025 - PIX: CPF - CHAVE: 090.332.006-19</v>
      </c>
      <c r="I3240" t="str">
        <f t="shared" si="607"/>
        <v>25/09/2025</v>
      </c>
      <c r="J3240" t="str">
        <f t="shared" si="609"/>
        <v>22/09/2025</v>
      </c>
      <c r="K3240" t="str">
        <f>("25/09/2025")</f>
        <v>25/09/2025</v>
      </c>
      <c r="L3240">
        <v>1470</v>
      </c>
      <c r="M3240">
        <v>1470</v>
      </c>
      <c r="N3240">
        <v>109</v>
      </c>
      <c r="O3240" t="str">
        <f>"PAGAMENTO DE ENTREGADORES"</f>
        <v>PAGAMENTO DE ENTREGADORES</v>
      </c>
      <c r="P3240">
        <v>1470</v>
      </c>
      <c r="S3240" t="str">
        <f>"BANCO C6 (149)"</f>
        <v>BANCO C6 (149)</v>
      </c>
      <c r="T3240">
        <v>18664</v>
      </c>
      <c r="U3240">
        <v>22299</v>
      </c>
      <c r="V3240" t="s">
        <v>77</v>
      </c>
    </row>
    <row r="3241" spans="1:22">
      <c r="A3241" t="str">
        <f t="shared" si="605"/>
        <v>25/09/2025</v>
      </c>
      <c r="B3241" t="str">
        <f t="shared" si="599"/>
        <v>SAÍDA</v>
      </c>
      <c r="C3241" t="str">
        <f t="shared" si="606"/>
        <v>PIX</v>
      </c>
      <c r="D3241" t="str">
        <f>"22299"</f>
        <v>22299</v>
      </c>
      <c r="E3241" t="str">
        <f t="shared" si="608"/>
        <v>1</v>
      </c>
      <c r="F3241" t="str">
        <f t="shared" si="602"/>
        <v>COM</v>
      </c>
      <c r="G3241" t="str">
        <f>"LUIZ PAULO DE OLIVEIRA (712)"</f>
        <v>LUIZ PAULO DE OLIVEIRA (712)</v>
      </c>
      <c r="H3241" t="s">
        <v>886</v>
      </c>
      <c r="I3241" t="str">
        <f t="shared" si="607"/>
        <v>25/09/2025</v>
      </c>
      <c r="J3241" t="str">
        <f t="shared" si="609"/>
        <v>22/09/2025</v>
      </c>
      <c r="K3241">
        <v>45925</v>
      </c>
      <c r="N3241">
        <v>109</v>
      </c>
      <c r="O3241" t="s">
        <v>24</v>
      </c>
      <c r="Q3241">
        <v>1470</v>
      </c>
      <c r="R3241" t="str">
        <f>"DROGARIA POUPA MINAS (ULTRAMINAS) 1 (10181)"</f>
        <v>DROGARIA POUPA MINAS (ULTRAMINAS) 1 (10181)</v>
      </c>
      <c r="S3241" t="s">
        <v>77</v>
      </c>
      <c r="T3241">
        <v>18664</v>
      </c>
      <c r="U3241">
        <v>22299</v>
      </c>
      <c r="V3241" t="s">
        <v>77</v>
      </c>
    </row>
    <row r="3242" spans="1:22">
      <c r="A3242" t="str">
        <f t="shared" si="605"/>
        <v>25/09/2025</v>
      </c>
      <c r="B3242" t="str">
        <f t="shared" si="599"/>
        <v>SAÍDA</v>
      </c>
      <c r="C3242" t="str">
        <f t="shared" si="606"/>
        <v>PIX</v>
      </c>
      <c r="D3242" t="str">
        <f>"22298"</f>
        <v>22298</v>
      </c>
      <c r="E3242" t="str">
        <f t="shared" si="608"/>
        <v>1</v>
      </c>
      <c r="F3242" t="str">
        <f t="shared" si="602"/>
        <v>COM</v>
      </c>
      <c r="G3242" t="str">
        <f>"BRENO HENRIQUE DE SOUSA (596)"</f>
        <v>BRENO HENRIQUE DE SOUSA (596)</v>
      </c>
      <c r="H3242" t="str">
        <f>"Serv.Prest. 15/09/2025 a 21/09/2025 - PIX: CELULAR - CHAVE: (37) 99146-2630"</f>
        <v>Serv.Prest. 15/09/2025 a 21/09/2025 - PIX: CELULAR - CHAVE: (37) 99146-2630</v>
      </c>
      <c r="I3242" t="str">
        <f t="shared" si="607"/>
        <v>25/09/2025</v>
      </c>
      <c r="J3242" t="str">
        <f t="shared" si="609"/>
        <v>22/09/2025</v>
      </c>
      <c r="K3242" t="str">
        <f>("25/09/2025")</f>
        <v>25/09/2025</v>
      </c>
      <c r="L3242">
        <v>984</v>
      </c>
      <c r="M3242">
        <v>984</v>
      </c>
      <c r="N3242">
        <v>109</v>
      </c>
      <c r="O3242" t="str">
        <f>"PAGAMENTO DE ENTREGADORES"</f>
        <v>PAGAMENTO DE ENTREGADORES</v>
      </c>
      <c r="P3242">
        <v>984</v>
      </c>
      <c r="S3242" t="str">
        <f>"BANCO C6 (149)"</f>
        <v>BANCO C6 (149)</v>
      </c>
      <c r="T3242">
        <v>18665</v>
      </c>
      <c r="U3242">
        <v>22298</v>
      </c>
      <c r="V3242" t="s">
        <v>77</v>
      </c>
    </row>
    <row r="3243" spans="1:22">
      <c r="A3243" t="str">
        <f t="shared" si="605"/>
        <v>25/09/2025</v>
      </c>
      <c r="B3243" t="str">
        <f t="shared" si="599"/>
        <v>SAÍDA</v>
      </c>
      <c r="C3243" t="str">
        <f t="shared" si="606"/>
        <v>PIX</v>
      </c>
      <c r="D3243" t="str">
        <f>"22298"</f>
        <v>22298</v>
      </c>
      <c r="E3243" t="str">
        <f t="shared" si="608"/>
        <v>1</v>
      </c>
      <c r="F3243" t="str">
        <f t="shared" si="602"/>
        <v>COM</v>
      </c>
      <c r="G3243" t="str">
        <f>"BRENO HENRIQUE DE SOUSA (596)"</f>
        <v>BRENO HENRIQUE DE SOUSA (596)</v>
      </c>
      <c r="H3243" t="s">
        <v>838</v>
      </c>
      <c r="I3243" t="str">
        <f t="shared" si="607"/>
        <v>25/09/2025</v>
      </c>
      <c r="J3243" t="str">
        <f t="shared" si="609"/>
        <v>22/09/2025</v>
      </c>
      <c r="K3243">
        <v>45925</v>
      </c>
      <c r="N3243">
        <v>109</v>
      </c>
      <c r="O3243" t="s">
        <v>24</v>
      </c>
      <c r="Q3243">
        <v>984</v>
      </c>
      <c r="R3243" t="str">
        <f>"DROGARIA POUPA MINAS (ULTRAMINAS) 1 (10181)"</f>
        <v>DROGARIA POUPA MINAS (ULTRAMINAS) 1 (10181)</v>
      </c>
      <c r="S3243" t="s">
        <v>77</v>
      </c>
      <c r="T3243">
        <v>18665</v>
      </c>
      <c r="U3243">
        <v>22298</v>
      </c>
      <c r="V3243" t="s">
        <v>77</v>
      </c>
    </row>
    <row r="3244" spans="1:22">
      <c r="A3244" t="str">
        <f t="shared" si="605"/>
        <v>25/09/2025</v>
      </c>
      <c r="B3244" t="str">
        <f t="shared" si="599"/>
        <v>SAÍDA</v>
      </c>
      <c r="C3244" t="str">
        <f t="shared" si="606"/>
        <v>PIX</v>
      </c>
      <c r="D3244" t="str">
        <f>"22296"</f>
        <v>22296</v>
      </c>
      <c r="E3244" t="str">
        <f t="shared" si="608"/>
        <v>1</v>
      </c>
      <c r="F3244" t="str">
        <f t="shared" si="602"/>
        <v>COM</v>
      </c>
      <c r="G3244" t="str">
        <f>"YAN FILIPUTI CORA (926)"</f>
        <v>YAN FILIPUTI CORA (926)</v>
      </c>
      <c r="H3244" t="str">
        <f>"Serv.Prest. 15/09/2025 a 21/09/2025 - PIX: CELULAR - CHAVE: (28) 98816-4170"</f>
        <v>Serv.Prest. 15/09/2025 a 21/09/2025 - PIX: CELULAR - CHAVE: (28) 98816-4170</v>
      </c>
      <c r="I3244" t="str">
        <f t="shared" si="607"/>
        <v>25/09/2025</v>
      </c>
      <c r="J3244" t="str">
        <f t="shared" si="609"/>
        <v>22/09/2025</v>
      </c>
      <c r="K3244" t="str">
        <f>("25/09/2025")</f>
        <v>25/09/2025</v>
      </c>
      <c r="L3244">
        <v>160</v>
      </c>
      <c r="M3244">
        <v>160</v>
      </c>
      <c r="N3244">
        <v>109</v>
      </c>
      <c r="O3244" t="str">
        <f>"PAGAMENTO DE ENTREGADORES"</f>
        <v>PAGAMENTO DE ENTREGADORES</v>
      </c>
      <c r="P3244">
        <v>160</v>
      </c>
      <c r="S3244" t="str">
        <f>"BANCO C6 (149)"</f>
        <v>BANCO C6 (149)</v>
      </c>
      <c r="T3244">
        <v>18666</v>
      </c>
      <c r="U3244">
        <v>22296</v>
      </c>
      <c r="V3244" t="s">
        <v>77</v>
      </c>
    </row>
    <row r="3245" spans="1:22">
      <c r="A3245" t="str">
        <f t="shared" si="605"/>
        <v>25/09/2025</v>
      </c>
      <c r="B3245" t="str">
        <f t="shared" si="599"/>
        <v>SAÍDA</v>
      </c>
      <c r="C3245" t="str">
        <f t="shared" si="606"/>
        <v>PIX</v>
      </c>
      <c r="D3245" t="str">
        <f>"22296"</f>
        <v>22296</v>
      </c>
      <c r="E3245" t="str">
        <f t="shared" si="608"/>
        <v>1</v>
      </c>
      <c r="F3245" t="str">
        <f t="shared" si="602"/>
        <v>COM</v>
      </c>
      <c r="G3245" t="str">
        <f>"YAN FILIPUTI CORA (926)"</f>
        <v>YAN FILIPUTI CORA (926)</v>
      </c>
      <c r="H3245" t="s">
        <v>887</v>
      </c>
      <c r="I3245" t="str">
        <f t="shared" si="607"/>
        <v>25/09/2025</v>
      </c>
      <c r="J3245" t="str">
        <f t="shared" si="609"/>
        <v>22/09/2025</v>
      </c>
      <c r="K3245">
        <v>45925</v>
      </c>
      <c r="N3245">
        <v>109</v>
      </c>
      <c r="O3245" t="s">
        <v>24</v>
      </c>
      <c r="Q3245">
        <v>160</v>
      </c>
      <c r="R3245" t="str">
        <f>"LBL FARMACIA LTDA (10189)"</f>
        <v>LBL FARMACIA LTDA (10189)</v>
      </c>
      <c r="S3245" t="s">
        <v>77</v>
      </c>
      <c r="T3245">
        <v>18666</v>
      </c>
      <c r="U3245">
        <v>22296</v>
      </c>
      <c r="V3245" t="s">
        <v>77</v>
      </c>
    </row>
    <row r="3246" spans="1:22">
      <c r="A3246" t="str">
        <f t="shared" si="605"/>
        <v>25/09/2025</v>
      </c>
      <c r="B3246" t="str">
        <f t="shared" si="599"/>
        <v>SAÍDA</v>
      </c>
      <c r="C3246" t="str">
        <f t="shared" si="606"/>
        <v>PIX</v>
      </c>
      <c r="D3246" t="str">
        <f>"22295"</f>
        <v>22295</v>
      </c>
      <c r="E3246" t="str">
        <f t="shared" si="608"/>
        <v>1</v>
      </c>
      <c r="F3246" t="str">
        <f t="shared" si="602"/>
        <v>COM</v>
      </c>
      <c r="G3246" t="str">
        <f>"JOAO MARCOS FERREIRA (925)"</f>
        <v>JOAO MARCOS FERREIRA (925)</v>
      </c>
      <c r="H3246" t="str">
        <f>"Serv.Prest. 15/09/2025 a 21/09/2025 - PIX: CELULAR - CHAVE: (28) 99908-0831"</f>
        <v>Serv.Prest. 15/09/2025 a 21/09/2025 - PIX: CELULAR - CHAVE: (28) 99908-0831</v>
      </c>
      <c r="I3246" t="str">
        <f t="shared" si="607"/>
        <v>25/09/2025</v>
      </c>
      <c r="J3246" t="str">
        <f t="shared" si="609"/>
        <v>22/09/2025</v>
      </c>
      <c r="K3246" t="str">
        <f>("25/09/2025")</f>
        <v>25/09/2025</v>
      </c>
      <c r="L3246">
        <v>350</v>
      </c>
      <c r="M3246">
        <v>350</v>
      </c>
      <c r="N3246">
        <v>109</v>
      </c>
      <c r="O3246" t="str">
        <f>"PAGAMENTO DE ENTREGADORES"</f>
        <v>PAGAMENTO DE ENTREGADORES</v>
      </c>
      <c r="P3246">
        <v>350</v>
      </c>
      <c r="S3246" t="str">
        <f>"BANCO C6 (149)"</f>
        <v>BANCO C6 (149)</v>
      </c>
      <c r="T3246">
        <v>18667</v>
      </c>
      <c r="U3246">
        <v>22295</v>
      </c>
      <c r="V3246" t="s">
        <v>77</v>
      </c>
    </row>
    <row r="3247" spans="1:22">
      <c r="A3247" t="str">
        <f t="shared" si="605"/>
        <v>25/09/2025</v>
      </c>
      <c r="B3247" t="str">
        <f t="shared" si="599"/>
        <v>SAÍDA</v>
      </c>
      <c r="C3247" t="str">
        <f t="shared" si="606"/>
        <v>PIX</v>
      </c>
      <c r="D3247" t="str">
        <f>"22295"</f>
        <v>22295</v>
      </c>
      <c r="E3247" t="str">
        <f t="shared" si="608"/>
        <v>1</v>
      </c>
      <c r="F3247" t="str">
        <f t="shared" si="602"/>
        <v>COM</v>
      </c>
      <c r="G3247" t="str">
        <f>"JOAO MARCOS FERREIRA (925)"</f>
        <v>JOAO MARCOS FERREIRA (925)</v>
      </c>
      <c r="H3247" t="s">
        <v>888</v>
      </c>
      <c r="I3247" t="str">
        <f t="shared" si="607"/>
        <v>25/09/2025</v>
      </c>
      <c r="J3247" t="str">
        <f t="shared" si="609"/>
        <v>22/09/2025</v>
      </c>
      <c r="K3247">
        <v>45925</v>
      </c>
      <c r="N3247">
        <v>109</v>
      </c>
      <c r="O3247" t="s">
        <v>24</v>
      </c>
      <c r="Q3247">
        <v>350</v>
      </c>
      <c r="R3247" t="str">
        <f>"LBL FARMACIA LTDA (10189)"</f>
        <v>LBL FARMACIA LTDA (10189)</v>
      </c>
      <c r="S3247" t="s">
        <v>77</v>
      </c>
      <c r="T3247">
        <v>18667</v>
      </c>
      <c r="U3247">
        <v>22295</v>
      </c>
      <c r="V3247" t="s">
        <v>77</v>
      </c>
    </row>
    <row r="3248" spans="1:22">
      <c r="A3248" t="str">
        <f t="shared" si="605"/>
        <v>25/09/2025</v>
      </c>
      <c r="B3248" t="str">
        <f t="shared" si="599"/>
        <v>SAÍDA</v>
      </c>
      <c r="C3248" t="str">
        <f t="shared" si="606"/>
        <v>PIX</v>
      </c>
      <c r="D3248" t="str">
        <f>"22293"</f>
        <v>22293</v>
      </c>
      <c r="E3248" t="str">
        <f t="shared" si="608"/>
        <v>1</v>
      </c>
      <c r="F3248" t="str">
        <f t="shared" si="602"/>
        <v>COM</v>
      </c>
      <c r="G3248" t="str">
        <f>"YAN FILIPUTI CORA (926)"</f>
        <v>YAN FILIPUTI CORA (926)</v>
      </c>
      <c r="H3248" t="str">
        <f>"Serv.Prest. 15/09/2025 a 21/09/2025 - PIX: CELULAR - CHAVE: (28) 98816-4170"</f>
        <v>Serv.Prest. 15/09/2025 a 21/09/2025 - PIX: CELULAR - CHAVE: (28) 98816-4170</v>
      </c>
      <c r="I3248" t="str">
        <f t="shared" si="607"/>
        <v>25/09/2025</v>
      </c>
      <c r="J3248" t="str">
        <f t="shared" si="609"/>
        <v>22/09/2025</v>
      </c>
      <c r="K3248" t="str">
        <f>("25/09/2025")</f>
        <v>25/09/2025</v>
      </c>
      <c r="L3248">
        <v>540</v>
      </c>
      <c r="M3248">
        <v>540</v>
      </c>
      <c r="N3248">
        <v>109</v>
      </c>
      <c r="O3248" t="str">
        <f>"PAGAMENTO DE ENTREGADORES"</f>
        <v>PAGAMENTO DE ENTREGADORES</v>
      </c>
      <c r="P3248">
        <v>540</v>
      </c>
      <c r="S3248" t="str">
        <f>"BANCO C6 (149)"</f>
        <v>BANCO C6 (149)</v>
      </c>
      <c r="T3248">
        <v>18668</v>
      </c>
      <c r="U3248">
        <v>22293</v>
      </c>
      <c r="V3248" t="s">
        <v>77</v>
      </c>
    </row>
    <row r="3249" spans="1:22">
      <c r="A3249" t="str">
        <f t="shared" si="605"/>
        <v>25/09/2025</v>
      </c>
      <c r="B3249" t="str">
        <f t="shared" si="599"/>
        <v>SAÍDA</v>
      </c>
      <c r="C3249" t="str">
        <f t="shared" si="606"/>
        <v>PIX</v>
      </c>
      <c r="D3249" t="str">
        <f>"22293"</f>
        <v>22293</v>
      </c>
      <c r="E3249" t="str">
        <f t="shared" si="608"/>
        <v>1</v>
      </c>
      <c r="F3249" t="str">
        <f t="shared" si="602"/>
        <v>COM</v>
      </c>
      <c r="G3249" t="str">
        <f>"YAN FILIPUTI CORA (926)"</f>
        <v>YAN FILIPUTI CORA (926)</v>
      </c>
      <c r="H3249" t="s">
        <v>887</v>
      </c>
      <c r="I3249" t="str">
        <f t="shared" si="607"/>
        <v>25/09/2025</v>
      </c>
      <c r="J3249" t="str">
        <f t="shared" si="609"/>
        <v>22/09/2025</v>
      </c>
      <c r="K3249">
        <v>45925</v>
      </c>
      <c r="N3249">
        <v>109</v>
      </c>
      <c r="O3249" t="s">
        <v>24</v>
      </c>
      <c r="Q3249">
        <v>540</v>
      </c>
      <c r="R3249" t="str">
        <f>"LBL FARMACIA LTDA FILIAL (10192)"</f>
        <v>LBL FARMACIA LTDA FILIAL (10192)</v>
      </c>
      <c r="S3249" t="s">
        <v>77</v>
      </c>
      <c r="T3249">
        <v>18668</v>
      </c>
      <c r="U3249">
        <v>22293</v>
      </c>
      <c r="V3249" t="s">
        <v>77</v>
      </c>
    </row>
    <row r="3250" spans="1:22">
      <c r="A3250" t="str">
        <f t="shared" si="605"/>
        <v>25/09/2025</v>
      </c>
      <c r="B3250" t="str">
        <f t="shared" si="599"/>
        <v>SAÍDA</v>
      </c>
      <c r="C3250" t="str">
        <f t="shared" si="606"/>
        <v>PIX</v>
      </c>
      <c r="D3250" t="str">
        <f>"22292"</f>
        <v>22292</v>
      </c>
      <c r="E3250" t="str">
        <f t="shared" si="608"/>
        <v>1</v>
      </c>
      <c r="F3250" t="str">
        <f t="shared" si="602"/>
        <v>COM</v>
      </c>
      <c r="G3250" t="str">
        <f>"JOAO MARCOS FERREIRA (925)"</f>
        <v>JOAO MARCOS FERREIRA (925)</v>
      </c>
      <c r="H3250" t="str">
        <f>"Serv.Prest. 15/09/2025 a 21/09/2025 - PIX: CELULAR - CHAVE: (28) 99908-0831"</f>
        <v>Serv.Prest. 15/09/2025 a 21/09/2025 - PIX: CELULAR - CHAVE: (28) 99908-0831</v>
      </c>
      <c r="I3250" t="str">
        <f t="shared" si="607"/>
        <v>25/09/2025</v>
      </c>
      <c r="J3250" t="str">
        <f t="shared" si="609"/>
        <v>22/09/2025</v>
      </c>
      <c r="K3250" t="str">
        <f>("25/09/2025")</f>
        <v>25/09/2025</v>
      </c>
      <c r="L3250">
        <v>350</v>
      </c>
      <c r="M3250">
        <v>350</v>
      </c>
      <c r="N3250">
        <v>109</v>
      </c>
      <c r="O3250" t="str">
        <f>"PAGAMENTO DE ENTREGADORES"</f>
        <v>PAGAMENTO DE ENTREGADORES</v>
      </c>
      <c r="P3250">
        <v>350</v>
      </c>
      <c r="S3250" t="str">
        <f>"BANCO C6 (149)"</f>
        <v>BANCO C6 (149)</v>
      </c>
      <c r="T3250">
        <v>18669</v>
      </c>
      <c r="U3250">
        <v>22292</v>
      </c>
      <c r="V3250" t="s">
        <v>77</v>
      </c>
    </row>
    <row r="3251" spans="1:22">
      <c r="A3251" t="str">
        <f t="shared" si="605"/>
        <v>25/09/2025</v>
      </c>
      <c r="B3251" t="str">
        <f t="shared" si="599"/>
        <v>SAÍDA</v>
      </c>
      <c r="C3251" t="str">
        <f t="shared" si="606"/>
        <v>PIX</v>
      </c>
      <c r="D3251" t="str">
        <f>"22292"</f>
        <v>22292</v>
      </c>
      <c r="E3251" t="str">
        <f t="shared" si="608"/>
        <v>1</v>
      </c>
      <c r="F3251" t="str">
        <f t="shared" si="602"/>
        <v>COM</v>
      </c>
      <c r="G3251" t="str">
        <f>"JOAO MARCOS FERREIRA (925)"</f>
        <v>JOAO MARCOS FERREIRA (925)</v>
      </c>
      <c r="H3251" t="s">
        <v>888</v>
      </c>
      <c r="I3251" t="str">
        <f t="shared" si="607"/>
        <v>25/09/2025</v>
      </c>
      <c r="J3251" t="str">
        <f t="shared" si="609"/>
        <v>22/09/2025</v>
      </c>
      <c r="K3251">
        <v>45925</v>
      </c>
      <c r="N3251">
        <v>109</v>
      </c>
      <c r="O3251" t="s">
        <v>24</v>
      </c>
      <c r="Q3251">
        <v>350</v>
      </c>
      <c r="R3251" t="str">
        <f>"LBL FARMACIA LTDA FILIAL (10192)"</f>
        <v>LBL FARMACIA LTDA FILIAL (10192)</v>
      </c>
      <c r="S3251" t="s">
        <v>77</v>
      </c>
      <c r="T3251">
        <v>18669</v>
      </c>
      <c r="U3251">
        <v>22292</v>
      </c>
      <c r="V3251" t="s">
        <v>77</v>
      </c>
    </row>
    <row r="3252" spans="1:22">
      <c r="A3252" t="str">
        <f t="shared" si="605"/>
        <v>25/09/2025</v>
      </c>
      <c r="B3252" t="str">
        <f t="shared" si="599"/>
        <v>SAÍDA</v>
      </c>
      <c r="C3252" t="str">
        <f t="shared" si="606"/>
        <v>PIX</v>
      </c>
      <c r="D3252" t="str">
        <f>"22290"</f>
        <v>22290</v>
      </c>
      <c r="E3252" t="str">
        <f t="shared" si="608"/>
        <v>1</v>
      </c>
      <c r="F3252" t="str">
        <f t="shared" si="602"/>
        <v>COM</v>
      </c>
      <c r="G3252" t="str">
        <f>"JEFFERSON AMORIM DA SILVA (940)"</f>
        <v>JEFFERSON AMORIM DA SILVA (940)</v>
      </c>
      <c r="H3252" t="str">
        <f>"Serv.Prest. 15/09/2025 a 21/09/2025 - PIX: CELULAR - CHAVE: (11) 9844-7654"</f>
        <v>Serv.Prest. 15/09/2025 a 21/09/2025 - PIX: CELULAR - CHAVE: (11) 9844-7654</v>
      </c>
      <c r="I3252" t="str">
        <f t="shared" si="607"/>
        <v>25/09/2025</v>
      </c>
      <c r="J3252" t="str">
        <f t="shared" si="609"/>
        <v>22/09/2025</v>
      </c>
      <c r="K3252" t="str">
        <f>("25/09/2025")</f>
        <v>25/09/2025</v>
      </c>
      <c r="L3252">
        <v>700</v>
      </c>
      <c r="M3252">
        <v>700</v>
      </c>
      <c r="N3252">
        <v>109</v>
      </c>
      <c r="O3252" t="str">
        <f>"PAGAMENTO DE ENTREGADORES"</f>
        <v>PAGAMENTO DE ENTREGADORES</v>
      </c>
      <c r="P3252">
        <v>700</v>
      </c>
      <c r="S3252" t="str">
        <f>"BANCO C6 (149)"</f>
        <v>BANCO C6 (149)</v>
      </c>
      <c r="T3252">
        <v>18670</v>
      </c>
      <c r="U3252">
        <v>22290</v>
      </c>
      <c r="V3252" t="s">
        <v>77</v>
      </c>
    </row>
    <row r="3253" spans="1:22">
      <c r="A3253" t="str">
        <f t="shared" si="605"/>
        <v>25/09/2025</v>
      </c>
      <c r="B3253" t="str">
        <f t="shared" si="599"/>
        <v>SAÍDA</v>
      </c>
      <c r="C3253" t="str">
        <f t="shared" si="606"/>
        <v>PIX</v>
      </c>
      <c r="D3253" t="str">
        <f>"22290"</f>
        <v>22290</v>
      </c>
      <c r="E3253" t="str">
        <f t="shared" si="608"/>
        <v>1</v>
      </c>
      <c r="F3253" t="str">
        <f t="shared" si="602"/>
        <v>COM</v>
      </c>
      <c r="G3253" t="str">
        <f>"JEFFERSON AMORIM DA SILVA (940)"</f>
        <v>JEFFERSON AMORIM DA SILVA (940)</v>
      </c>
      <c r="H3253" t="s">
        <v>828</v>
      </c>
      <c r="I3253" t="str">
        <f t="shared" si="607"/>
        <v>25/09/2025</v>
      </c>
      <c r="J3253" t="str">
        <f t="shared" si="609"/>
        <v>22/09/2025</v>
      </c>
      <c r="K3253">
        <v>45925</v>
      </c>
      <c r="N3253">
        <v>109</v>
      </c>
      <c r="O3253" t="s">
        <v>24</v>
      </c>
      <c r="Q3253">
        <v>472.5</v>
      </c>
      <c r="R3253" t="str">
        <f>"PENSE FARMA 15 (10195)"</f>
        <v>PENSE FARMA 15 (10195)</v>
      </c>
      <c r="S3253" t="s">
        <v>77</v>
      </c>
      <c r="T3253">
        <v>18670</v>
      </c>
      <c r="U3253">
        <v>22290</v>
      </c>
      <c r="V3253" t="s">
        <v>77</v>
      </c>
    </row>
    <row r="3254" spans="1:22">
      <c r="A3254" t="str">
        <f t="shared" si="605"/>
        <v>25/09/2025</v>
      </c>
      <c r="B3254" t="str">
        <f t="shared" si="599"/>
        <v>SAÍDA</v>
      </c>
      <c r="C3254" t="str">
        <f t="shared" si="606"/>
        <v>PIX</v>
      </c>
      <c r="D3254" t="str">
        <f>"22290"</f>
        <v>22290</v>
      </c>
      <c r="E3254" t="str">
        <f t="shared" si="608"/>
        <v>1</v>
      </c>
      <c r="F3254" t="str">
        <f t="shared" si="602"/>
        <v>COM</v>
      </c>
      <c r="G3254" t="str">
        <f>"JEFFERSON AMORIM DA SILVA (940)"</f>
        <v>JEFFERSON AMORIM DA SILVA (940)</v>
      </c>
      <c r="H3254" t="s">
        <v>828</v>
      </c>
      <c r="I3254" t="str">
        <f t="shared" si="607"/>
        <v>25/09/2025</v>
      </c>
      <c r="J3254" t="str">
        <f t="shared" si="609"/>
        <v>22/09/2025</v>
      </c>
      <c r="K3254">
        <v>45925</v>
      </c>
      <c r="N3254">
        <v>109</v>
      </c>
      <c r="O3254" t="s">
        <v>24</v>
      </c>
      <c r="Q3254">
        <v>70</v>
      </c>
      <c r="R3254" t="str">
        <f>"PENSE FARMA 26 (10196)"</f>
        <v>PENSE FARMA 26 (10196)</v>
      </c>
      <c r="S3254" t="s">
        <v>77</v>
      </c>
      <c r="T3254">
        <v>18670</v>
      </c>
      <c r="U3254">
        <v>22290</v>
      </c>
      <c r="V3254" t="s">
        <v>77</v>
      </c>
    </row>
    <row r="3255" spans="1:22">
      <c r="A3255" t="str">
        <f t="shared" si="605"/>
        <v>25/09/2025</v>
      </c>
      <c r="B3255" t="str">
        <f t="shared" si="599"/>
        <v>SAÍDA</v>
      </c>
      <c r="C3255" t="str">
        <f t="shared" si="606"/>
        <v>PIX</v>
      </c>
      <c r="D3255" t="str">
        <f>"22290"</f>
        <v>22290</v>
      </c>
      <c r="E3255" t="str">
        <f t="shared" si="608"/>
        <v>1</v>
      </c>
      <c r="F3255" t="str">
        <f t="shared" si="602"/>
        <v>COM</v>
      </c>
      <c r="G3255" t="str">
        <f>"JEFFERSON AMORIM DA SILVA (940)"</f>
        <v>JEFFERSON AMORIM DA SILVA (940)</v>
      </c>
      <c r="H3255" t="s">
        <v>828</v>
      </c>
      <c r="I3255" t="str">
        <f t="shared" si="607"/>
        <v>25/09/2025</v>
      </c>
      <c r="J3255" t="str">
        <f t="shared" si="609"/>
        <v>22/09/2025</v>
      </c>
      <c r="K3255">
        <v>45925</v>
      </c>
      <c r="N3255">
        <v>109</v>
      </c>
      <c r="O3255" t="s">
        <v>24</v>
      </c>
      <c r="Q3255">
        <v>157.5</v>
      </c>
      <c r="R3255" t="str">
        <f>"PENSE FARMA 60 (10197)"</f>
        <v>PENSE FARMA 60 (10197)</v>
      </c>
      <c r="S3255" t="s">
        <v>77</v>
      </c>
      <c r="T3255">
        <v>18670</v>
      </c>
      <c r="U3255">
        <v>22290</v>
      </c>
      <c r="V3255" t="s">
        <v>77</v>
      </c>
    </row>
    <row r="3256" spans="1:22">
      <c r="A3256" t="str">
        <f t="shared" si="605"/>
        <v>25/09/2025</v>
      </c>
      <c r="B3256" t="str">
        <f t="shared" si="599"/>
        <v>SAÍDA</v>
      </c>
      <c r="C3256" t="str">
        <f t="shared" si="606"/>
        <v>PIX</v>
      </c>
      <c r="D3256" t="str">
        <f>"22289"</f>
        <v>22289</v>
      </c>
      <c r="E3256" t="str">
        <f t="shared" si="608"/>
        <v>1</v>
      </c>
      <c r="F3256" t="str">
        <f t="shared" si="602"/>
        <v>COM</v>
      </c>
      <c r="G3256" t="str">
        <f>"ERIC RODRIGUES TEIXEIRA (939)"</f>
        <v>ERIC RODRIGUES TEIXEIRA (939)</v>
      </c>
      <c r="H3256" t="str">
        <f>"Serv.Prest. 15/09/2025 a 21/09/2025 - PIX: CELULAR - CHAVE: (11) 95038-0621"</f>
        <v>Serv.Prest. 15/09/2025 a 21/09/2025 - PIX: CELULAR - CHAVE: (11) 95038-0621</v>
      </c>
      <c r="I3256" t="str">
        <f t="shared" si="607"/>
        <v>25/09/2025</v>
      </c>
      <c r="J3256" t="str">
        <f t="shared" ref="J3256:J3285" si="610">("22/09/2025")</f>
        <v>22/09/2025</v>
      </c>
      <c r="K3256" t="str">
        <f>("25/09/2025")</f>
        <v>25/09/2025</v>
      </c>
      <c r="L3256">
        <v>1400</v>
      </c>
      <c r="M3256">
        <v>1400</v>
      </c>
      <c r="N3256">
        <v>109</v>
      </c>
      <c r="O3256" t="str">
        <f>"PAGAMENTO DE ENTREGADORES"</f>
        <v>PAGAMENTO DE ENTREGADORES</v>
      </c>
      <c r="P3256">
        <v>1400</v>
      </c>
      <c r="S3256" t="str">
        <f>"BANCO C6 (149)"</f>
        <v>BANCO C6 (149)</v>
      </c>
      <c r="T3256">
        <v>18671</v>
      </c>
      <c r="U3256">
        <v>22289</v>
      </c>
      <c r="V3256" t="s">
        <v>77</v>
      </c>
    </row>
    <row r="3257" spans="1:22">
      <c r="A3257" t="str">
        <f t="shared" si="605"/>
        <v>25/09/2025</v>
      </c>
      <c r="B3257" t="str">
        <f t="shared" si="599"/>
        <v>SAÍDA</v>
      </c>
      <c r="C3257" t="str">
        <f t="shared" si="606"/>
        <v>PIX</v>
      </c>
      <c r="D3257" t="str">
        <f>"22289"</f>
        <v>22289</v>
      </c>
      <c r="E3257" t="str">
        <f t="shared" si="608"/>
        <v>1</v>
      </c>
      <c r="F3257" t="str">
        <f t="shared" si="602"/>
        <v>COM</v>
      </c>
      <c r="G3257" t="str">
        <f>"ERIC RODRIGUES TEIXEIRA (939)"</f>
        <v>ERIC RODRIGUES TEIXEIRA (939)</v>
      </c>
      <c r="H3257" t="s">
        <v>889</v>
      </c>
      <c r="I3257" t="str">
        <f t="shared" si="607"/>
        <v>25/09/2025</v>
      </c>
      <c r="J3257" t="str">
        <f t="shared" si="610"/>
        <v>22/09/2025</v>
      </c>
      <c r="K3257">
        <v>45925</v>
      </c>
      <c r="N3257">
        <v>109</v>
      </c>
      <c r="O3257" t="s">
        <v>24</v>
      </c>
      <c r="Q3257">
        <v>564.76</v>
      </c>
      <c r="R3257" t="str">
        <f>"PENSE FARMA 15 (10195)"</f>
        <v>PENSE FARMA 15 (10195)</v>
      </c>
      <c r="S3257" t="s">
        <v>77</v>
      </c>
      <c r="T3257">
        <v>18671</v>
      </c>
      <c r="U3257">
        <v>22289</v>
      </c>
      <c r="V3257" t="s">
        <v>77</v>
      </c>
    </row>
    <row r="3258" spans="1:22">
      <c r="A3258" t="str">
        <f t="shared" si="605"/>
        <v>25/09/2025</v>
      </c>
      <c r="B3258" t="str">
        <f t="shared" si="599"/>
        <v>SAÍDA</v>
      </c>
      <c r="C3258" t="str">
        <f t="shared" si="606"/>
        <v>PIX</v>
      </c>
      <c r="D3258" t="str">
        <f>"22289"</f>
        <v>22289</v>
      </c>
      <c r="E3258" t="str">
        <f t="shared" si="608"/>
        <v>1</v>
      </c>
      <c r="F3258" t="str">
        <f t="shared" si="602"/>
        <v>COM</v>
      </c>
      <c r="G3258" t="str">
        <f>"ERIC RODRIGUES TEIXEIRA (939)"</f>
        <v>ERIC RODRIGUES TEIXEIRA (939)</v>
      </c>
      <c r="H3258" t="s">
        <v>889</v>
      </c>
      <c r="I3258" t="str">
        <f t="shared" si="607"/>
        <v>25/09/2025</v>
      </c>
      <c r="J3258" t="str">
        <f t="shared" si="610"/>
        <v>22/09/2025</v>
      </c>
      <c r="K3258">
        <v>45925</v>
      </c>
      <c r="N3258">
        <v>109</v>
      </c>
      <c r="O3258" t="s">
        <v>24</v>
      </c>
      <c r="Q3258">
        <v>636.29999999999995</v>
      </c>
      <c r="R3258" t="str">
        <f>"PENSE FARMA 26 (10196)"</f>
        <v>PENSE FARMA 26 (10196)</v>
      </c>
      <c r="S3258" t="s">
        <v>77</v>
      </c>
      <c r="T3258">
        <v>18671</v>
      </c>
      <c r="U3258">
        <v>22289</v>
      </c>
      <c r="V3258" t="s">
        <v>77</v>
      </c>
    </row>
    <row r="3259" spans="1:22">
      <c r="A3259" t="str">
        <f t="shared" si="605"/>
        <v>25/09/2025</v>
      </c>
      <c r="B3259" t="str">
        <f t="shared" si="599"/>
        <v>SAÍDA</v>
      </c>
      <c r="C3259" t="str">
        <f t="shared" si="606"/>
        <v>PIX</v>
      </c>
      <c r="D3259" t="str">
        <f>"22289"</f>
        <v>22289</v>
      </c>
      <c r="E3259" t="str">
        <f t="shared" si="608"/>
        <v>1</v>
      </c>
      <c r="F3259" t="str">
        <f t="shared" si="602"/>
        <v>COM</v>
      </c>
      <c r="G3259" t="str">
        <f>"ERIC RODRIGUES TEIXEIRA (939)"</f>
        <v>ERIC RODRIGUES TEIXEIRA (939)</v>
      </c>
      <c r="H3259" t="s">
        <v>889</v>
      </c>
      <c r="I3259" t="str">
        <f t="shared" si="607"/>
        <v>25/09/2025</v>
      </c>
      <c r="J3259" t="str">
        <f t="shared" si="610"/>
        <v>22/09/2025</v>
      </c>
      <c r="K3259">
        <v>45925</v>
      </c>
      <c r="N3259">
        <v>109</v>
      </c>
      <c r="O3259" t="s">
        <v>24</v>
      </c>
      <c r="Q3259">
        <v>198.94</v>
      </c>
      <c r="R3259" t="str">
        <f>"PENSE FARMA 60 (10197)"</f>
        <v>PENSE FARMA 60 (10197)</v>
      </c>
      <c r="S3259" t="s">
        <v>77</v>
      </c>
      <c r="T3259">
        <v>18671</v>
      </c>
      <c r="U3259">
        <v>22289</v>
      </c>
      <c r="V3259" t="s">
        <v>77</v>
      </c>
    </row>
    <row r="3260" spans="1:22">
      <c r="A3260" t="str">
        <f t="shared" si="605"/>
        <v>25/09/2025</v>
      </c>
      <c r="B3260" t="str">
        <f t="shared" si="599"/>
        <v>SAÍDA</v>
      </c>
      <c r="C3260" t="str">
        <f t="shared" si="606"/>
        <v>PIX</v>
      </c>
      <c r="D3260" t="str">
        <f>"22287"</f>
        <v>22287</v>
      </c>
      <c r="E3260" t="str">
        <f t="shared" si="608"/>
        <v>1</v>
      </c>
      <c r="F3260" t="str">
        <f t="shared" si="602"/>
        <v>COM</v>
      </c>
      <c r="G3260" t="str">
        <f>"JESSICA BRAHOLKA (837)"</f>
        <v>JESSICA BRAHOLKA (837)</v>
      </c>
      <c r="H3260" t="str">
        <f>"Serv.Prest. 15/09/2025 a 21/09/2025 - PIX: CPF - CHAVE: 124.575.099-20"</f>
        <v>Serv.Prest. 15/09/2025 a 21/09/2025 - PIX: CPF - CHAVE: 124.575.099-20</v>
      </c>
      <c r="I3260" t="str">
        <f t="shared" si="607"/>
        <v>25/09/2025</v>
      </c>
      <c r="J3260" t="str">
        <f t="shared" si="610"/>
        <v>22/09/2025</v>
      </c>
      <c r="K3260" t="str">
        <f>("25/09/2025")</f>
        <v>25/09/2025</v>
      </c>
      <c r="L3260">
        <v>513</v>
      </c>
      <c r="M3260">
        <v>513</v>
      </c>
      <c r="N3260">
        <v>109</v>
      </c>
      <c r="O3260" t="str">
        <f>"PAGAMENTO DE ENTREGADORES"</f>
        <v>PAGAMENTO DE ENTREGADORES</v>
      </c>
      <c r="P3260">
        <v>513</v>
      </c>
      <c r="S3260" t="str">
        <f>"BANCO C6 (149)"</f>
        <v>BANCO C6 (149)</v>
      </c>
      <c r="T3260">
        <v>18672</v>
      </c>
      <c r="U3260">
        <v>22287</v>
      </c>
      <c r="V3260" t="s">
        <v>77</v>
      </c>
    </row>
    <row r="3261" spans="1:22">
      <c r="A3261" t="str">
        <f t="shared" si="605"/>
        <v>25/09/2025</v>
      </c>
      <c r="B3261" t="str">
        <f t="shared" ref="B3261:B3324" si="611">"SAÍDA"</f>
        <v>SAÍDA</v>
      </c>
      <c r="C3261" t="str">
        <f t="shared" si="606"/>
        <v>PIX</v>
      </c>
      <c r="D3261" t="str">
        <f>"22287"</f>
        <v>22287</v>
      </c>
      <c r="E3261" t="str">
        <f t="shared" si="608"/>
        <v>1</v>
      </c>
      <c r="F3261" t="str">
        <f t="shared" si="602"/>
        <v>COM</v>
      </c>
      <c r="G3261" t="str">
        <f>"JESSICA BRAHOLKA (837)"</f>
        <v>JESSICA BRAHOLKA (837)</v>
      </c>
      <c r="H3261" t="s">
        <v>890</v>
      </c>
      <c r="I3261" t="str">
        <f t="shared" si="607"/>
        <v>25/09/2025</v>
      </c>
      <c r="J3261" t="str">
        <f t="shared" si="610"/>
        <v>22/09/2025</v>
      </c>
      <c r="K3261">
        <v>45925</v>
      </c>
      <c r="N3261">
        <v>109</v>
      </c>
      <c r="O3261" t="s">
        <v>24</v>
      </c>
      <c r="Q3261">
        <v>513</v>
      </c>
      <c r="R3261" t="str">
        <f>"JAL FARMACIA E DROGARIA LJ 1 (10137)"</f>
        <v>JAL FARMACIA E DROGARIA LJ 1 (10137)</v>
      </c>
      <c r="S3261" t="s">
        <v>77</v>
      </c>
      <c r="T3261">
        <v>18672</v>
      </c>
      <c r="U3261">
        <v>22287</v>
      </c>
      <c r="V3261" t="s">
        <v>77</v>
      </c>
    </row>
    <row r="3262" spans="1:22">
      <c r="A3262" t="str">
        <f t="shared" si="605"/>
        <v>25/09/2025</v>
      </c>
      <c r="B3262" t="str">
        <f t="shared" si="611"/>
        <v>SAÍDA</v>
      </c>
      <c r="C3262" t="str">
        <f t="shared" si="606"/>
        <v>PIX</v>
      </c>
      <c r="D3262" t="str">
        <f>"22286"</f>
        <v>22286</v>
      </c>
      <c r="E3262" t="str">
        <f t="shared" si="608"/>
        <v>1</v>
      </c>
      <c r="F3262" t="str">
        <f t="shared" ref="F3262:F3325" si="612">"COM"</f>
        <v>COM</v>
      </c>
      <c r="G3262" t="str">
        <f>"HECTOR LUIS YANEZ QUEZADA (718)"</f>
        <v>HECTOR LUIS YANEZ QUEZADA (718)</v>
      </c>
      <c r="H3262" t="str">
        <f>"Serv.Prest. 15/09/2025 a 21/09/2025 - PIX: CELULAR - CHAVE: (41) 98421-2278"</f>
        <v>Serv.Prest. 15/09/2025 a 21/09/2025 - PIX: CELULAR - CHAVE: (41) 98421-2278</v>
      </c>
      <c r="I3262" t="str">
        <f t="shared" si="607"/>
        <v>25/09/2025</v>
      </c>
      <c r="J3262" t="str">
        <f t="shared" si="610"/>
        <v>22/09/2025</v>
      </c>
      <c r="K3262" t="str">
        <f>("25/09/2025")</f>
        <v>25/09/2025</v>
      </c>
      <c r="L3262">
        <v>282</v>
      </c>
      <c r="M3262">
        <v>282</v>
      </c>
      <c r="N3262">
        <v>109</v>
      </c>
      <c r="O3262" t="str">
        <f>"PAGAMENTO DE ENTREGADORES"</f>
        <v>PAGAMENTO DE ENTREGADORES</v>
      </c>
      <c r="P3262">
        <v>282</v>
      </c>
      <c r="S3262" t="str">
        <f>"BANCO C6 (149)"</f>
        <v>BANCO C6 (149)</v>
      </c>
      <c r="T3262">
        <v>18673</v>
      </c>
      <c r="U3262">
        <v>22286</v>
      </c>
      <c r="V3262" t="s">
        <v>77</v>
      </c>
    </row>
    <row r="3263" spans="1:22">
      <c r="A3263" t="str">
        <f t="shared" si="605"/>
        <v>25/09/2025</v>
      </c>
      <c r="B3263" t="str">
        <f t="shared" si="611"/>
        <v>SAÍDA</v>
      </c>
      <c r="C3263" t="str">
        <f t="shared" si="606"/>
        <v>PIX</v>
      </c>
      <c r="D3263" t="str">
        <f>"22286"</f>
        <v>22286</v>
      </c>
      <c r="E3263" t="str">
        <f t="shared" si="608"/>
        <v>1</v>
      </c>
      <c r="F3263" t="str">
        <f t="shared" si="612"/>
        <v>COM</v>
      </c>
      <c r="G3263" t="str">
        <f>"HECTOR LUIS YANEZ QUEZADA (718)"</f>
        <v>HECTOR LUIS YANEZ QUEZADA (718)</v>
      </c>
      <c r="H3263" t="s">
        <v>891</v>
      </c>
      <c r="I3263" t="str">
        <f t="shared" si="607"/>
        <v>25/09/2025</v>
      </c>
      <c r="J3263" t="str">
        <f t="shared" si="610"/>
        <v>22/09/2025</v>
      </c>
      <c r="K3263">
        <v>45925</v>
      </c>
      <c r="N3263">
        <v>109</v>
      </c>
      <c r="O3263" t="s">
        <v>24</v>
      </c>
      <c r="Q3263">
        <v>282</v>
      </c>
      <c r="R3263" t="str">
        <f>"JAL FARMACIA E DROGARIA LJ 1 (10137)"</f>
        <v>JAL FARMACIA E DROGARIA LJ 1 (10137)</v>
      </c>
      <c r="S3263" t="s">
        <v>77</v>
      </c>
      <c r="T3263">
        <v>18673</v>
      </c>
      <c r="U3263">
        <v>22286</v>
      </c>
      <c r="V3263" t="s">
        <v>77</v>
      </c>
    </row>
    <row r="3264" spans="1:22">
      <c r="A3264" t="str">
        <f t="shared" si="605"/>
        <v>25/09/2025</v>
      </c>
      <c r="B3264" t="str">
        <f t="shared" si="611"/>
        <v>SAÍDA</v>
      </c>
      <c r="C3264" t="str">
        <f t="shared" si="606"/>
        <v>PIX</v>
      </c>
      <c r="D3264" t="str">
        <f>"22285"</f>
        <v>22285</v>
      </c>
      <c r="E3264" t="str">
        <f t="shared" si="608"/>
        <v>1</v>
      </c>
      <c r="F3264" t="str">
        <f t="shared" si="612"/>
        <v>COM</v>
      </c>
      <c r="G3264" t="str">
        <f>"CLAUDIO DOS SANTOS (507)"</f>
        <v>CLAUDIO DOS SANTOS (507)</v>
      </c>
      <c r="H3264" t="str">
        <f>"Serv.Prest. 15/09/2025 a 21/09/2025 - PIX: E-MAIL - CHAVE: claudioverdinho2009@hotmail.com"</f>
        <v>Serv.Prest. 15/09/2025 a 21/09/2025 - PIX: E-MAIL - CHAVE: claudioverdinho2009@hotmail.com</v>
      </c>
      <c r="I3264" t="str">
        <f t="shared" si="607"/>
        <v>25/09/2025</v>
      </c>
      <c r="J3264" t="str">
        <f t="shared" si="610"/>
        <v>22/09/2025</v>
      </c>
      <c r="K3264" t="str">
        <f>("25/09/2025")</f>
        <v>25/09/2025</v>
      </c>
      <c r="L3264">
        <v>966</v>
      </c>
      <c r="M3264">
        <v>966</v>
      </c>
      <c r="N3264">
        <v>109</v>
      </c>
      <c r="O3264" t="str">
        <f>"PAGAMENTO DE ENTREGADORES"</f>
        <v>PAGAMENTO DE ENTREGADORES</v>
      </c>
      <c r="P3264">
        <v>966</v>
      </c>
      <c r="S3264" t="str">
        <f>"BANCO C6 (149)"</f>
        <v>BANCO C6 (149)</v>
      </c>
      <c r="T3264">
        <v>18674</v>
      </c>
      <c r="U3264">
        <v>22285</v>
      </c>
      <c r="V3264" t="s">
        <v>77</v>
      </c>
    </row>
    <row r="3265" spans="1:22">
      <c r="A3265" t="str">
        <f t="shared" si="605"/>
        <v>25/09/2025</v>
      </c>
      <c r="B3265" t="str">
        <f t="shared" si="611"/>
        <v>SAÍDA</v>
      </c>
      <c r="C3265" t="str">
        <f t="shared" si="606"/>
        <v>PIX</v>
      </c>
      <c r="D3265" t="str">
        <f>"22285"</f>
        <v>22285</v>
      </c>
      <c r="E3265" t="str">
        <f t="shared" si="608"/>
        <v>1</v>
      </c>
      <c r="F3265" t="str">
        <f t="shared" si="612"/>
        <v>COM</v>
      </c>
      <c r="G3265" t="str">
        <f>"CLAUDIO DOS SANTOS (507)"</f>
        <v>CLAUDIO DOS SANTOS (507)</v>
      </c>
      <c r="H3265" t="s">
        <v>892</v>
      </c>
      <c r="I3265" t="str">
        <f t="shared" si="607"/>
        <v>25/09/2025</v>
      </c>
      <c r="J3265" t="str">
        <f t="shared" si="610"/>
        <v>22/09/2025</v>
      </c>
      <c r="K3265">
        <v>45925</v>
      </c>
      <c r="N3265">
        <v>109</v>
      </c>
      <c r="O3265" t="s">
        <v>24</v>
      </c>
      <c r="Q3265">
        <v>966</v>
      </c>
      <c r="R3265" t="str">
        <f>"JAL FARMACIA E DROGARIA LJ 1 (10137)"</f>
        <v>JAL FARMACIA E DROGARIA LJ 1 (10137)</v>
      </c>
      <c r="S3265" t="s">
        <v>77</v>
      </c>
      <c r="T3265">
        <v>18674</v>
      </c>
      <c r="U3265">
        <v>22285</v>
      </c>
      <c r="V3265" t="s">
        <v>77</v>
      </c>
    </row>
    <row r="3266" spans="1:22">
      <c r="A3266" t="str">
        <f t="shared" si="605"/>
        <v>25/09/2025</v>
      </c>
      <c r="B3266" t="str">
        <f t="shared" si="611"/>
        <v>SAÍDA</v>
      </c>
      <c r="C3266" t="str">
        <f t="shared" si="606"/>
        <v>PIX</v>
      </c>
      <c r="D3266" t="str">
        <f>"22283"</f>
        <v>22283</v>
      </c>
      <c r="E3266" t="str">
        <f t="shared" si="608"/>
        <v>1</v>
      </c>
      <c r="F3266" t="str">
        <f t="shared" si="612"/>
        <v>COM</v>
      </c>
      <c r="G3266" t="str">
        <f>"JESSICA BRAHOLKA (837)"</f>
        <v>JESSICA BRAHOLKA (837)</v>
      </c>
      <c r="H3266" t="str">
        <f>"Serv.Prest. 15/09/2025 a 21/09/2025 - PIX: CPF - CHAVE: 124.575.099-20"</f>
        <v>Serv.Prest. 15/09/2025 a 21/09/2025 - PIX: CPF - CHAVE: 124.575.099-20</v>
      </c>
      <c r="I3266" t="str">
        <f t="shared" si="607"/>
        <v>25/09/2025</v>
      </c>
      <c r="J3266" t="str">
        <f t="shared" si="610"/>
        <v>22/09/2025</v>
      </c>
      <c r="K3266" t="str">
        <f>("25/09/2025")</f>
        <v>25/09/2025</v>
      </c>
      <c r="L3266">
        <v>595</v>
      </c>
      <c r="M3266">
        <v>595</v>
      </c>
      <c r="N3266">
        <v>109</v>
      </c>
      <c r="O3266" t="str">
        <f>"PAGAMENTO DE ENTREGADORES"</f>
        <v>PAGAMENTO DE ENTREGADORES</v>
      </c>
      <c r="P3266">
        <v>595</v>
      </c>
      <c r="S3266" t="str">
        <f>"BANCO C6 (149)"</f>
        <v>BANCO C6 (149)</v>
      </c>
      <c r="T3266">
        <v>18675</v>
      </c>
      <c r="U3266">
        <v>22283</v>
      </c>
      <c r="V3266" t="s">
        <v>77</v>
      </c>
    </row>
    <row r="3267" spans="1:22">
      <c r="A3267" t="str">
        <f t="shared" si="605"/>
        <v>25/09/2025</v>
      </c>
      <c r="B3267" t="str">
        <f t="shared" si="611"/>
        <v>SAÍDA</v>
      </c>
      <c r="C3267" t="str">
        <f t="shared" si="606"/>
        <v>PIX</v>
      </c>
      <c r="D3267" t="str">
        <f>"22283"</f>
        <v>22283</v>
      </c>
      <c r="E3267" t="str">
        <f t="shared" si="608"/>
        <v>1</v>
      </c>
      <c r="F3267" t="str">
        <f t="shared" si="612"/>
        <v>COM</v>
      </c>
      <c r="G3267" t="str">
        <f>"JESSICA BRAHOLKA (837)"</f>
        <v>JESSICA BRAHOLKA (837)</v>
      </c>
      <c r="H3267" t="s">
        <v>890</v>
      </c>
      <c r="I3267" t="str">
        <f t="shared" si="607"/>
        <v>25/09/2025</v>
      </c>
      <c r="J3267" t="str">
        <f t="shared" si="610"/>
        <v>22/09/2025</v>
      </c>
      <c r="K3267">
        <v>45925</v>
      </c>
      <c r="N3267">
        <v>109</v>
      </c>
      <c r="O3267" t="s">
        <v>24</v>
      </c>
      <c r="Q3267">
        <v>595</v>
      </c>
      <c r="R3267" t="str">
        <f>"JAL FARMACIA E DROGARIA LJ 2 (10138)"</f>
        <v>JAL FARMACIA E DROGARIA LJ 2 (10138)</v>
      </c>
      <c r="S3267" t="s">
        <v>77</v>
      </c>
      <c r="T3267">
        <v>18675</v>
      </c>
      <c r="U3267">
        <v>22283</v>
      </c>
      <c r="V3267" t="s">
        <v>77</v>
      </c>
    </row>
    <row r="3268" spans="1:22">
      <c r="A3268" t="str">
        <f t="shared" si="605"/>
        <v>25/09/2025</v>
      </c>
      <c r="B3268" t="str">
        <f t="shared" si="611"/>
        <v>SAÍDA</v>
      </c>
      <c r="C3268" t="str">
        <f t="shared" si="606"/>
        <v>PIX</v>
      </c>
      <c r="D3268" t="str">
        <f>"22282"</f>
        <v>22282</v>
      </c>
      <c r="E3268" t="str">
        <f t="shared" si="608"/>
        <v>1</v>
      </c>
      <c r="F3268" t="str">
        <f t="shared" si="612"/>
        <v>COM</v>
      </c>
      <c r="G3268" t="str">
        <f>"HECTOR LUIS YANEZ QUEZADA (718)"</f>
        <v>HECTOR LUIS YANEZ QUEZADA (718)</v>
      </c>
      <c r="H3268" t="str">
        <f>"Serv.Prest. 15/09/2025 a 21/09/2025 - PIX: CELULAR - CHAVE: (41) 98421-2278"</f>
        <v>Serv.Prest. 15/09/2025 a 21/09/2025 - PIX: CELULAR - CHAVE: (41) 98421-2278</v>
      </c>
      <c r="I3268" t="str">
        <f t="shared" si="607"/>
        <v>25/09/2025</v>
      </c>
      <c r="J3268" t="str">
        <f t="shared" si="610"/>
        <v>22/09/2025</v>
      </c>
      <c r="K3268" t="str">
        <f>("25/09/2025")</f>
        <v>25/09/2025</v>
      </c>
      <c r="L3268">
        <v>518</v>
      </c>
      <c r="M3268">
        <v>518</v>
      </c>
      <c r="N3268">
        <v>109</v>
      </c>
      <c r="O3268" t="str">
        <f>"PAGAMENTO DE ENTREGADORES"</f>
        <v>PAGAMENTO DE ENTREGADORES</v>
      </c>
      <c r="P3268">
        <v>518</v>
      </c>
      <c r="S3268" t="str">
        <f>"BANCO C6 (149)"</f>
        <v>BANCO C6 (149)</v>
      </c>
      <c r="T3268">
        <v>18676</v>
      </c>
      <c r="U3268">
        <v>22282</v>
      </c>
      <c r="V3268" t="s">
        <v>77</v>
      </c>
    </row>
    <row r="3269" spans="1:22">
      <c r="A3269" t="str">
        <f t="shared" si="605"/>
        <v>25/09/2025</v>
      </c>
      <c r="B3269" t="str">
        <f t="shared" si="611"/>
        <v>SAÍDA</v>
      </c>
      <c r="C3269" t="str">
        <f t="shared" si="606"/>
        <v>PIX</v>
      </c>
      <c r="D3269" t="str">
        <f>"22282"</f>
        <v>22282</v>
      </c>
      <c r="E3269" t="str">
        <f t="shared" si="608"/>
        <v>1</v>
      </c>
      <c r="F3269" t="str">
        <f t="shared" si="612"/>
        <v>COM</v>
      </c>
      <c r="G3269" t="str">
        <f>"HECTOR LUIS YANEZ QUEZADA (718)"</f>
        <v>HECTOR LUIS YANEZ QUEZADA (718)</v>
      </c>
      <c r="H3269" t="s">
        <v>891</v>
      </c>
      <c r="I3269" t="str">
        <f t="shared" si="607"/>
        <v>25/09/2025</v>
      </c>
      <c r="J3269" t="str">
        <f t="shared" si="610"/>
        <v>22/09/2025</v>
      </c>
      <c r="K3269">
        <v>45925</v>
      </c>
      <c r="N3269">
        <v>109</v>
      </c>
      <c r="O3269" t="s">
        <v>24</v>
      </c>
      <c r="Q3269">
        <v>518</v>
      </c>
      <c r="R3269" t="str">
        <f>"JAL FARMACIA E DROGARIA LJ 2 (10138)"</f>
        <v>JAL FARMACIA E DROGARIA LJ 2 (10138)</v>
      </c>
      <c r="S3269" t="s">
        <v>77</v>
      </c>
      <c r="T3269">
        <v>18676</v>
      </c>
      <c r="U3269">
        <v>22282</v>
      </c>
      <c r="V3269" t="s">
        <v>77</v>
      </c>
    </row>
    <row r="3270" spans="1:22">
      <c r="A3270" t="str">
        <f t="shared" si="605"/>
        <v>25/09/2025</v>
      </c>
      <c r="B3270" t="str">
        <f t="shared" si="611"/>
        <v>SAÍDA</v>
      </c>
      <c r="C3270" t="str">
        <f t="shared" si="606"/>
        <v>PIX</v>
      </c>
      <c r="D3270" t="str">
        <f>"22281"</f>
        <v>22281</v>
      </c>
      <c r="E3270" t="str">
        <f t="shared" si="608"/>
        <v>1</v>
      </c>
      <c r="F3270" t="str">
        <f t="shared" si="612"/>
        <v>COM</v>
      </c>
      <c r="G3270" t="str">
        <f>"CLAUDIO DOS SANTOS (507)"</f>
        <v>CLAUDIO DOS SANTOS (507)</v>
      </c>
      <c r="H3270" t="str">
        <f>"Serv.Prest. 15/09/2025 a 21/09/2025 - PIX: E-MAIL - CHAVE: claudioverdinho2009@hotmail.com"</f>
        <v>Serv.Prest. 15/09/2025 a 21/09/2025 - PIX: E-MAIL - CHAVE: claudioverdinho2009@hotmail.com</v>
      </c>
      <c r="I3270" t="str">
        <f t="shared" si="607"/>
        <v>25/09/2025</v>
      </c>
      <c r="J3270" t="str">
        <f t="shared" si="610"/>
        <v>22/09/2025</v>
      </c>
      <c r="K3270" t="str">
        <f>("25/09/2025")</f>
        <v>25/09/2025</v>
      </c>
      <c r="L3270">
        <v>184</v>
      </c>
      <c r="M3270">
        <v>184</v>
      </c>
      <c r="N3270">
        <v>109</v>
      </c>
      <c r="O3270" t="str">
        <f>"PAGAMENTO DE ENTREGADORES"</f>
        <v>PAGAMENTO DE ENTREGADORES</v>
      </c>
      <c r="P3270">
        <v>184</v>
      </c>
      <c r="S3270" t="str">
        <f>"BANCO C6 (149)"</f>
        <v>BANCO C6 (149)</v>
      </c>
      <c r="T3270">
        <v>18677</v>
      </c>
      <c r="U3270">
        <v>22281</v>
      </c>
      <c r="V3270" t="s">
        <v>77</v>
      </c>
    </row>
    <row r="3271" spans="1:22">
      <c r="A3271" t="str">
        <f t="shared" si="605"/>
        <v>25/09/2025</v>
      </c>
      <c r="B3271" t="str">
        <f t="shared" si="611"/>
        <v>SAÍDA</v>
      </c>
      <c r="C3271" t="str">
        <f t="shared" si="606"/>
        <v>PIX</v>
      </c>
      <c r="D3271" t="str">
        <f>"22281"</f>
        <v>22281</v>
      </c>
      <c r="E3271" t="str">
        <f t="shared" si="608"/>
        <v>1</v>
      </c>
      <c r="F3271" t="str">
        <f t="shared" si="612"/>
        <v>COM</v>
      </c>
      <c r="G3271" t="str">
        <f>"CLAUDIO DOS SANTOS (507)"</f>
        <v>CLAUDIO DOS SANTOS (507)</v>
      </c>
      <c r="H3271" t="s">
        <v>892</v>
      </c>
      <c r="I3271" t="str">
        <f t="shared" si="607"/>
        <v>25/09/2025</v>
      </c>
      <c r="J3271" t="str">
        <f t="shared" si="610"/>
        <v>22/09/2025</v>
      </c>
      <c r="K3271">
        <v>45925</v>
      </c>
      <c r="N3271">
        <v>109</v>
      </c>
      <c r="O3271" t="s">
        <v>24</v>
      </c>
      <c r="Q3271">
        <v>184</v>
      </c>
      <c r="R3271" t="str">
        <f>"JAL FARMACIA E DROGARIA LJ 2 (10138)"</f>
        <v>JAL FARMACIA E DROGARIA LJ 2 (10138)</v>
      </c>
      <c r="S3271" t="s">
        <v>77</v>
      </c>
      <c r="T3271">
        <v>18677</v>
      </c>
      <c r="U3271">
        <v>22281</v>
      </c>
      <c r="V3271" t="s">
        <v>77</v>
      </c>
    </row>
    <row r="3272" spans="1:22">
      <c r="A3272" t="str">
        <f t="shared" si="605"/>
        <v>25/09/2025</v>
      </c>
      <c r="B3272" t="str">
        <f t="shared" si="611"/>
        <v>SAÍDA</v>
      </c>
      <c r="C3272" t="str">
        <f t="shared" si="606"/>
        <v>PIX</v>
      </c>
      <c r="D3272" t="str">
        <f>"22277"</f>
        <v>22277</v>
      </c>
      <c r="E3272" t="str">
        <f t="shared" si="608"/>
        <v>1</v>
      </c>
      <c r="F3272" t="str">
        <f t="shared" si="612"/>
        <v>COM</v>
      </c>
      <c r="G3272" t="str">
        <f>"EDUARDO MARQUES DOS SANTOS (787)"</f>
        <v>EDUARDO MARQUES DOS SANTOS (787)</v>
      </c>
      <c r="H3272" t="str">
        <f>"Serv.Prest. 15/09/2025 a 21/09/2025 - PIX: CELULAR - CHAVE: (11) 97402-1586"</f>
        <v>Serv.Prest. 15/09/2025 a 21/09/2025 - PIX: CELULAR - CHAVE: (11) 97402-1586</v>
      </c>
      <c r="I3272" t="str">
        <f t="shared" si="607"/>
        <v>25/09/2025</v>
      </c>
      <c r="J3272" t="str">
        <f t="shared" si="610"/>
        <v>22/09/2025</v>
      </c>
      <c r="K3272" t="str">
        <f>("25/09/2025")</f>
        <v>25/09/2025</v>
      </c>
      <c r="L3272">
        <v>21</v>
      </c>
      <c r="M3272">
        <v>21</v>
      </c>
      <c r="N3272">
        <v>109</v>
      </c>
      <c r="O3272" t="str">
        <f>"PAGAMENTO DE ENTREGADORES"</f>
        <v>PAGAMENTO DE ENTREGADORES</v>
      </c>
      <c r="P3272">
        <v>21</v>
      </c>
      <c r="S3272" t="str">
        <f>"BANCO C6 (149)"</f>
        <v>BANCO C6 (149)</v>
      </c>
      <c r="T3272">
        <v>18678</v>
      </c>
      <c r="U3272">
        <v>22277</v>
      </c>
      <c r="V3272" t="s">
        <v>77</v>
      </c>
    </row>
    <row r="3273" spans="1:22">
      <c r="A3273" t="str">
        <f t="shared" si="605"/>
        <v>25/09/2025</v>
      </c>
      <c r="B3273" t="str">
        <f t="shared" si="611"/>
        <v>SAÍDA</v>
      </c>
      <c r="C3273" t="str">
        <f t="shared" si="606"/>
        <v>PIX</v>
      </c>
      <c r="D3273" t="str">
        <f>"22277"</f>
        <v>22277</v>
      </c>
      <c r="E3273" t="str">
        <f t="shared" si="608"/>
        <v>1</v>
      </c>
      <c r="F3273" t="str">
        <f t="shared" si="612"/>
        <v>COM</v>
      </c>
      <c r="G3273" t="str">
        <f>"EDUARDO MARQUES DOS SANTOS (787)"</f>
        <v>EDUARDO MARQUES DOS SANTOS (787)</v>
      </c>
      <c r="H3273" t="s">
        <v>881</v>
      </c>
      <c r="I3273" t="str">
        <f t="shared" si="607"/>
        <v>25/09/2025</v>
      </c>
      <c r="J3273" t="str">
        <f t="shared" si="610"/>
        <v>22/09/2025</v>
      </c>
      <c r="K3273">
        <v>45925</v>
      </c>
      <c r="N3273">
        <v>109</v>
      </c>
      <c r="O3273" t="s">
        <v>24</v>
      </c>
      <c r="Q3273">
        <v>21</v>
      </c>
      <c r="R3273" t="str">
        <f>"DROGARIA MEDIC CENTER LTDA (10172)"</f>
        <v>DROGARIA MEDIC CENTER LTDA (10172)</v>
      </c>
      <c r="S3273" t="s">
        <v>77</v>
      </c>
      <c r="T3273">
        <v>18678</v>
      </c>
      <c r="U3273">
        <v>22277</v>
      </c>
      <c r="V3273" t="s">
        <v>77</v>
      </c>
    </row>
    <row r="3274" spans="1:22">
      <c r="A3274" t="str">
        <f t="shared" si="605"/>
        <v>25/09/2025</v>
      </c>
      <c r="B3274" t="str">
        <f t="shared" si="611"/>
        <v>SAÍDA</v>
      </c>
      <c r="C3274" t="str">
        <f t="shared" si="606"/>
        <v>PIX</v>
      </c>
      <c r="D3274" t="str">
        <f>"22275"</f>
        <v>22275</v>
      </c>
      <c r="E3274" t="str">
        <f t="shared" si="608"/>
        <v>1</v>
      </c>
      <c r="F3274" t="str">
        <f t="shared" si="612"/>
        <v>COM</v>
      </c>
      <c r="G3274" t="str">
        <f>"HERICK KUSSYOYADA CAMARA (937)"</f>
        <v>HERICK KUSSYOYADA CAMARA (937)</v>
      </c>
      <c r="H3274" t="str">
        <f>"Serv.Prest. 15/09/2025 a 21/09/2025 - PIX: CPF - CHAVE: 427.090.718-51"</f>
        <v>Serv.Prest. 15/09/2025 a 21/09/2025 - PIX: CPF - CHAVE: 427.090.718-51</v>
      </c>
      <c r="I3274" t="str">
        <f t="shared" si="607"/>
        <v>25/09/2025</v>
      </c>
      <c r="J3274" t="str">
        <f t="shared" si="610"/>
        <v>22/09/2025</v>
      </c>
      <c r="K3274" t="str">
        <f>("25/09/2025")</f>
        <v>25/09/2025</v>
      </c>
      <c r="L3274">
        <v>1400</v>
      </c>
      <c r="M3274">
        <v>1400</v>
      </c>
      <c r="N3274">
        <v>109</v>
      </c>
      <c r="O3274" t="str">
        <f>"PAGAMENTO DE ENTREGADORES"</f>
        <v>PAGAMENTO DE ENTREGADORES</v>
      </c>
      <c r="P3274">
        <v>1400</v>
      </c>
      <c r="S3274" t="str">
        <f>"BANCO C6 (149)"</f>
        <v>BANCO C6 (149)</v>
      </c>
      <c r="T3274">
        <v>18679</v>
      </c>
      <c r="U3274">
        <v>22275</v>
      </c>
      <c r="V3274" t="s">
        <v>77</v>
      </c>
    </row>
    <row r="3275" spans="1:22">
      <c r="A3275" t="str">
        <f t="shared" si="605"/>
        <v>25/09/2025</v>
      </c>
      <c r="B3275" t="str">
        <f t="shared" si="611"/>
        <v>SAÍDA</v>
      </c>
      <c r="C3275" t="str">
        <f t="shared" si="606"/>
        <v>PIX</v>
      </c>
      <c r="D3275" t="str">
        <f>"22275"</f>
        <v>22275</v>
      </c>
      <c r="E3275" t="str">
        <f t="shared" si="608"/>
        <v>1</v>
      </c>
      <c r="F3275" t="str">
        <f t="shared" si="612"/>
        <v>COM</v>
      </c>
      <c r="G3275" t="str">
        <f>"HERICK KUSSYOYADA CAMARA (937)"</f>
        <v>HERICK KUSSYOYADA CAMARA (937)</v>
      </c>
      <c r="H3275" t="s">
        <v>893</v>
      </c>
      <c r="I3275" t="str">
        <f t="shared" si="607"/>
        <v>25/09/2025</v>
      </c>
      <c r="J3275" t="str">
        <f t="shared" si="610"/>
        <v>22/09/2025</v>
      </c>
      <c r="K3275">
        <v>45925</v>
      </c>
      <c r="N3275">
        <v>109</v>
      </c>
      <c r="O3275" t="s">
        <v>24</v>
      </c>
      <c r="Q3275">
        <v>1400</v>
      </c>
      <c r="R3275" t="str">
        <f>"PENSE FARMA 46 (10194)"</f>
        <v>PENSE FARMA 46 (10194)</v>
      </c>
      <c r="S3275" t="s">
        <v>77</v>
      </c>
      <c r="T3275">
        <v>18679</v>
      </c>
      <c r="U3275">
        <v>22275</v>
      </c>
      <c r="V3275" t="s">
        <v>77</v>
      </c>
    </row>
    <row r="3276" spans="1:22">
      <c r="A3276" t="str">
        <f t="shared" si="605"/>
        <v>25/09/2025</v>
      </c>
      <c r="B3276" t="str">
        <f t="shared" si="611"/>
        <v>SAÍDA</v>
      </c>
      <c r="C3276" t="str">
        <f t="shared" si="606"/>
        <v>PIX</v>
      </c>
      <c r="D3276" t="str">
        <f>"22271"</f>
        <v>22271</v>
      </c>
      <c r="E3276" t="str">
        <f t="shared" si="608"/>
        <v>1</v>
      </c>
      <c r="F3276" t="str">
        <f t="shared" si="612"/>
        <v>COM</v>
      </c>
      <c r="G3276" t="str">
        <f>"WILIANA RODRIGUES E RODRIGUES (398)"</f>
        <v>WILIANA RODRIGUES E RODRIGUES (398)</v>
      </c>
      <c r="H3276" t="str">
        <f>"Serv.Prest. 15/09/2025 a 21/09/2025 - PIX: CPF - CHAVE: 016.203.336-27"</f>
        <v>Serv.Prest. 15/09/2025 a 21/09/2025 - PIX: CPF - CHAVE: 016.203.336-27</v>
      </c>
      <c r="I3276" t="str">
        <f t="shared" si="607"/>
        <v>25/09/2025</v>
      </c>
      <c r="J3276" t="str">
        <f t="shared" si="610"/>
        <v>22/09/2025</v>
      </c>
      <c r="K3276" t="str">
        <f>("25/09/2025")</f>
        <v>25/09/2025</v>
      </c>
      <c r="L3276">
        <v>1200</v>
      </c>
      <c r="M3276">
        <v>1200</v>
      </c>
      <c r="N3276">
        <v>109</v>
      </c>
      <c r="O3276" t="str">
        <f>"PAGAMENTO DE ENTREGADORES"</f>
        <v>PAGAMENTO DE ENTREGADORES</v>
      </c>
      <c r="P3276">
        <v>1200</v>
      </c>
      <c r="S3276" t="str">
        <f>"BANCO C6 (149)"</f>
        <v>BANCO C6 (149)</v>
      </c>
      <c r="T3276">
        <v>18680</v>
      </c>
      <c r="U3276">
        <v>22271</v>
      </c>
      <c r="V3276" t="s">
        <v>77</v>
      </c>
    </row>
    <row r="3277" spans="1:22">
      <c r="A3277" t="str">
        <f t="shared" si="605"/>
        <v>25/09/2025</v>
      </c>
      <c r="B3277" t="str">
        <f t="shared" si="611"/>
        <v>SAÍDA</v>
      </c>
      <c r="C3277" t="str">
        <f t="shared" si="606"/>
        <v>PIX</v>
      </c>
      <c r="D3277" t="str">
        <f>"22271"</f>
        <v>22271</v>
      </c>
      <c r="E3277" t="str">
        <f t="shared" si="608"/>
        <v>1</v>
      </c>
      <c r="F3277" t="str">
        <f t="shared" si="612"/>
        <v>COM</v>
      </c>
      <c r="G3277" t="str">
        <f>"WILIANA RODRIGUES E RODRIGUES (398)"</f>
        <v>WILIANA RODRIGUES E RODRIGUES (398)</v>
      </c>
      <c r="H3277" t="s">
        <v>894</v>
      </c>
      <c r="I3277" t="str">
        <f t="shared" si="607"/>
        <v>25/09/2025</v>
      </c>
      <c r="J3277" t="str">
        <f t="shared" si="610"/>
        <v>22/09/2025</v>
      </c>
      <c r="K3277">
        <v>45925</v>
      </c>
      <c r="N3277">
        <v>109</v>
      </c>
      <c r="O3277" t="s">
        <v>24</v>
      </c>
      <c r="Q3277">
        <v>1200</v>
      </c>
      <c r="R3277" t="str">
        <f>"PAGMENOS - LJ 657 (10136)"</f>
        <v>PAGMENOS - LJ 657 (10136)</v>
      </c>
      <c r="S3277" t="s">
        <v>77</v>
      </c>
      <c r="T3277">
        <v>18680</v>
      </c>
      <c r="U3277">
        <v>22271</v>
      </c>
      <c r="V3277" t="s">
        <v>77</v>
      </c>
    </row>
    <row r="3278" spans="1:22">
      <c r="A3278" t="str">
        <f t="shared" ref="A3278:A3341" si="613">("25/09/2025")</f>
        <v>25/09/2025</v>
      </c>
      <c r="B3278" t="str">
        <f t="shared" si="611"/>
        <v>SAÍDA</v>
      </c>
      <c r="C3278" t="str">
        <f t="shared" ref="C3278:C3341" si="614">"PIX"</f>
        <v>PIX</v>
      </c>
      <c r="D3278" t="str">
        <f>"22269"</f>
        <v>22269</v>
      </c>
      <c r="E3278" t="str">
        <f t="shared" si="608"/>
        <v>1</v>
      </c>
      <c r="F3278" t="str">
        <f t="shared" si="612"/>
        <v>COM</v>
      </c>
      <c r="G3278" t="str">
        <f>"TALES SILVA MARIANO (431)"</f>
        <v>TALES SILVA MARIANO (431)</v>
      </c>
      <c r="H3278" t="str">
        <f>"Serv.Prest. 15/09/2025 a 21/09/2025 - PIX: CPF - CHAVE: 126.686.406-79"</f>
        <v>Serv.Prest. 15/09/2025 a 21/09/2025 - PIX: CPF - CHAVE: 126.686.406-79</v>
      </c>
      <c r="I3278" t="str">
        <f t="shared" si="607"/>
        <v>25/09/2025</v>
      </c>
      <c r="J3278" t="str">
        <f t="shared" si="610"/>
        <v>22/09/2025</v>
      </c>
      <c r="K3278" t="str">
        <f>("25/09/2025")</f>
        <v>25/09/2025</v>
      </c>
      <c r="L3278">
        <v>900</v>
      </c>
      <c r="M3278">
        <v>900</v>
      </c>
      <c r="N3278">
        <v>109</v>
      </c>
      <c r="O3278" t="str">
        <f>"PAGAMENTO DE ENTREGADORES"</f>
        <v>PAGAMENTO DE ENTREGADORES</v>
      </c>
      <c r="P3278">
        <v>900</v>
      </c>
      <c r="S3278" t="str">
        <f>"BANCO C6 (149)"</f>
        <v>BANCO C6 (149)</v>
      </c>
      <c r="T3278">
        <v>18681</v>
      </c>
      <c r="U3278">
        <v>22269</v>
      </c>
      <c r="V3278" t="s">
        <v>77</v>
      </c>
    </row>
    <row r="3279" spans="1:22">
      <c r="A3279" t="str">
        <f t="shared" si="613"/>
        <v>25/09/2025</v>
      </c>
      <c r="B3279" t="str">
        <f t="shared" si="611"/>
        <v>SAÍDA</v>
      </c>
      <c r="C3279" t="str">
        <f t="shared" si="614"/>
        <v>PIX</v>
      </c>
      <c r="D3279" t="str">
        <f>"22269"</f>
        <v>22269</v>
      </c>
      <c r="E3279" t="str">
        <f t="shared" si="608"/>
        <v>1</v>
      </c>
      <c r="F3279" t="str">
        <f t="shared" si="612"/>
        <v>COM</v>
      </c>
      <c r="G3279" t="str">
        <f>"TALES SILVA MARIANO (431)"</f>
        <v>TALES SILVA MARIANO (431)</v>
      </c>
      <c r="H3279" t="s">
        <v>895</v>
      </c>
      <c r="I3279" t="str">
        <f t="shared" si="607"/>
        <v>25/09/2025</v>
      </c>
      <c r="J3279" t="str">
        <f t="shared" si="610"/>
        <v>22/09/2025</v>
      </c>
      <c r="K3279">
        <v>45925</v>
      </c>
      <c r="N3279">
        <v>109</v>
      </c>
      <c r="O3279" t="s">
        <v>24</v>
      </c>
      <c r="Q3279">
        <v>900</v>
      </c>
      <c r="R3279" t="str">
        <f>"PAGMENOS - LJ 608 (10135)"</f>
        <v>PAGMENOS - LJ 608 (10135)</v>
      </c>
      <c r="S3279" t="s">
        <v>77</v>
      </c>
      <c r="T3279">
        <v>18681</v>
      </c>
      <c r="U3279">
        <v>22269</v>
      </c>
      <c r="V3279" t="s">
        <v>77</v>
      </c>
    </row>
    <row r="3280" spans="1:22">
      <c r="A3280" t="str">
        <f t="shared" si="613"/>
        <v>25/09/2025</v>
      </c>
      <c r="B3280" t="str">
        <f t="shared" si="611"/>
        <v>SAÍDA</v>
      </c>
      <c r="C3280" t="str">
        <f t="shared" si="614"/>
        <v>PIX</v>
      </c>
      <c r="D3280" t="str">
        <f>"22268"</f>
        <v>22268</v>
      </c>
      <c r="E3280" t="str">
        <f t="shared" si="608"/>
        <v>1</v>
      </c>
      <c r="F3280" t="str">
        <f t="shared" si="612"/>
        <v>COM</v>
      </c>
      <c r="G3280" t="str">
        <f>"JOSÉ HENRIQUE RODRIGUES (430)"</f>
        <v>JOSÉ HENRIQUE RODRIGUES (430)</v>
      </c>
      <c r="H3280" t="str">
        <f>"Serv.Prest. 15/09/2025 a 21/09/2025 - PIX: CPF - CHAVE: 100.826.516-04"</f>
        <v>Serv.Prest. 15/09/2025 a 21/09/2025 - PIX: CPF - CHAVE: 100.826.516-04</v>
      </c>
      <c r="I3280" t="str">
        <f t="shared" si="607"/>
        <v>25/09/2025</v>
      </c>
      <c r="J3280" t="str">
        <f t="shared" si="610"/>
        <v>22/09/2025</v>
      </c>
      <c r="K3280" t="str">
        <f>("25/09/2025")</f>
        <v>25/09/2025</v>
      </c>
      <c r="L3280">
        <v>900</v>
      </c>
      <c r="M3280">
        <v>900</v>
      </c>
      <c r="N3280">
        <v>109</v>
      </c>
      <c r="O3280" t="str">
        <f>"PAGAMENTO DE ENTREGADORES"</f>
        <v>PAGAMENTO DE ENTREGADORES</v>
      </c>
      <c r="P3280">
        <v>900</v>
      </c>
      <c r="S3280" t="str">
        <f>"BANCO C6 (149)"</f>
        <v>BANCO C6 (149)</v>
      </c>
      <c r="T3280">
        <v>18682</v>
      </c>
      <c r="U3280">
        <v>22268</v>
      </c>
      <c r="V3280" t="s">
        <v>77</v>
      </c>
    </row>
    <row r="3281" spans="1:22">
      <c r="A3281" t="str">
        <f t="shared" si="613"/>
        <v>25/09/2025</v>
      </c>
      <c r="B3281" t="str">
        <f t="shared" si="611"/>
        <v>SAÍDA</v>
      </c>
      <c r="C3281" t="str">
        <f t="shared" si="614"/>
        <v>PIX</v>
      </c>
      <c r="D3281" t="str">
        <f>"22268"</f>
        <v>22268</v>
      </c>
      <c r="E3281" t="str">
        <f t="shared" si="608"/>
        <v>1</v>
      </c>
      <c r="F3281" t="str">
        <f t="shared" si="612"/>
        <v>COM</v>
      </c>
      <c r="G3281" t="str">
        <f>"JOSÉ HENRIQUE RODRIGUES (430)"</f>
        <v>JOSÉ HENRIQUE RODRIGUES (430)</v>
      </c>
      <c r="H3281" t="s">
        <v>896</v>
      </c>
      <c r="I3281" t="str">
        <f t="shared" si="607"/>
        <v>25/09/2025</v>
      </c>
      <c r="J3281" t="str">
        <f t="shared" si="610"/>
        <v>22/09/2025</v>
      </c>
      <c r="K3281">
        <v>45925</v>
      </c>
      <c r="N3281">
        <v>109</v>
      </c>
      <c r="O3281" t="s">
        <v>24</v>
      </c>
      <c r="Q3281">
        <v>900</v>
      </c>
      <c r="R3281" t="str">
        <f>"PAGMENOS - LJ 608 (10135)"</f>
        <v>PAGMENOS - LJ 608 (10135)</v>
      </c>
      <c r="S3281" t="s">
        <v>77</v>
      </c>
      <c r="T3281">
        <v>18682</v>
      </c>
      <c r="U3281">
        <v>22268</v>
      </c>
      <c r="V3281" t="s">
        <v>77</v>
      </c>
    </row>
    <row r="3282" spans="1:22">
      <c r="A3282" t="str">
        <f t="shared" si="613"/>
        <v>25/09/2025</v>
      </c>
      <c r="B3282" t="str">
        <f t="shared" si="611"/>
        <v>SAÍDA</v>
      </c>
      <c r="C3282" t="str">
        <f t="shared" si="614"/>
        <v>PIX</v>
      </c>
      <c r="D3282" t="str">
        <f>"22266"</f>
        <v>22266</v>
      </c>
      <c r="E3282" t="str">
        <f t="shared" si="608"/>
        <v>1</v>
      </c>
      <c r="F3282" t="str">
        <f t="shared" si="612"/>
        <v>COM</v>
      </c>
      <c r="G3282" t="str">
        <f>"JOCIMAR VAZ FERREIRA (197)"</f>
        <v>JOCIMAR VAZ FERREIRA (197)</v>
      </c>
      <c r="H3282" t="str">
        <f>"Serv.Prest. 15/09/2025 a 21/09/2025 - PIX: CELULAR - CHAVE: (33) 99924-7557"</f>
        <v>Serv.Prest. 15/09/2025 a 21/09/2025 - PIX: CELULAR - CHAVE: (33) 99924-7557</v>
      </c>
      <c r="I3282" t="str">
        <f t="shared" si="607"/>
        <v>25/09/2025</v>
      </c>
      <c r="J3282" t="str">
        <f t="shared" si="610"/>
        <v>22/09/2025</v>
      </c>
      <c r="K3282" t="str">
        <f>("25/09/2025")</f>
        <v>25/09/2025</v>
      </c>
      <c r="L3282">
        <v>804</v>
      </c>
      <c r="M3282">
        <v>804</v>
      </c>
      <c r="N3282">
        <v>109</v>
      </c>
      <c r="O3282" t="str">
        <f>"PAGAMENTO DE ENTREGADORES"</f>
        <v>PAGAMENTO DE ENTREGADORES</v>
      </c>
      <c r="P3282">
        <v>804</v>
      </c>
      <c r="S3282" t="str">
        <f>"BANCO C6 (149)"</f>
        <v>BANCO C6 (149)</v>
      </c>
      <c r="T3282">
        <v>18683</v>
      </c>
      <c r="U3282">
        <v>22266</v>
      </c>
      <c r="V3282" t="s">
        <v>77</v>
      </c>
    </row>
    <row r="3283" spans="1:22">
      <c r="A3283" t="str">
        <f t="shared" si="613"/>
        <v>25/09/2025</v>
      </c>
      <c r="B3283" t="str">
        <f t="shared" si="611"/>
        <v>SAÍDA</v>
      </c>
      <c r="C3283" t="str">
        <f t="shared" si="614"/>
        <v>PIX</v>
      </c>
      <c r="D3283" t="str">
        <f>"22266"</f>
        <v>22266</v>
      </c>
      <c r="E3283" t="str">
        <f t="shared" si="608"/>
        <v>1</v>
      </c>
      <c r="F3283" t="str">
        <f t="shared" si="612"/>
        <v>COM</v>
      </c>
      <c r="G3283" t="str">
        <f>"JOCIMAR VAZ FERREIRA (197)"</f>
        <v>JOCIMAR VAZ FERREIRA (197)</v>
      </c>
      <c r="H3283" t="s">
        <v>897</v>
      </c>
      <c r="I3283" t="str">
        <f t="shared" si="607"/>
        <v>25/09/2025</v>
      </c>
      <c r="J3283" t="str">
        <f t="shared" si="610"/>
        <v>22/09/2025</v>
      </c>
      <c r="K3283">
        <v>45925</v>
      </c>
      <c r="N3283">
        <v>109</v>
      </c>
      <c r="O3283" t="s">
        <v>24</v>
      </c>
      <c r="Q3283">
        <v>804</v>
      </c>
      <c r="R3283" t="str">
        <f>"DROGARIA VAZ (10179)"</f>
        <v>DROGARIA VAZ (10179)</v>
      </c>
      <c r="S3283" t="s">
        <v>77</v>
      </c>
      <c r="T3283">
        <v>18683</v>
      </c>
      <c r="U3283">
        <v>22266</v>
      </c>
      <c r="V3283" t="s">
        <v>77</v>
      </c>
    </row>
    <row r="3284" spans="1:22">
      <c r="A3284" t="str">
        <f t="shared" si="613"/>
        <v>25/09/2025</v>
      </c>
      <c r="B3284" t="str">
        <f t="shared" si="611"/>
        <v>SAÍDA</v>
      </c>
      <c r="C3284" t="str">
        <f t="shared" si="614"/>
        <v>PIX</v>
      </c>
      <c r="D3284" t="str">
        <f>"22264"</f>
        <v>22264</v>
      </c>
      <c r="E3284" t="str">
        <f t="shared" si="608"/>
        <v>1</v>
      </c>
      <c r="F3284" t="str">
        <f t="shared" si="612"/>
        <v>COM</v>
      </c>
      <c r="G3284" t="str">
        <f>"SAMUEL SOARES DA SILVA (867)"</f>
        <v>SAMUEL SOARES DA SILVA (867)</v>
      </c>
      <c r="H3284" t="str">
        <f>"Serv.Prest. 15/09/2025 a 21/09/2025 - PIX: CPF - CHAVE: 396.124.108-28"</f>
        <v>Serv.Prest. 15/09/2025 a 21/09/2025 - PIX: CPF - CHAVE: 396.124.108-28</v>
      </c>
      <c r="I3284" t="str">
        <f t="shared" ref="I3284:I3347" si="615">("25/09/2025")</f>
        <v>25/09/2025</v>
      </c>
      <c r="J3284" t="str">
        <f t="shared" si="610"/>
        <v>22/09/2025</v>
      </c>
      <c r="K3284" t="str">
        <f>("25/09/2025")</f>
        <v>25/09/2025</v>
      </c>
      <c r="L3284">
        <v>1403.5</v>
      </c>
      <c r="M3284">
        <v>1300</v>
      </c>
      <c r="N3284">
        <v>109</v>
      </c>
      <c r="O3284" t="str">
        <f>"PAGAMENTO DE ENTREGADORES"</f>
        <v>PAGAMENTO DE ENTREGADORES</v>
      </c>
      <c r="P3284">
        <v>1300</v>
      </c>
      <c r="S3284" t="str">
        <f>"BANCO C6 (149)"</f>
        <v>BANCO C6 (149)</v>
      </c>
      <c r="T3284">
        <v>18684</v>
      </c>
      <c r="U3284">
        <v>22264</v>
      </c>
      <c r="V3284" t="s">
        <v>77</v>
      </c>
    </row>
    <row r="3285" spans="1:22">
      <c r="A3285" t="str">
        <f t="shared" si="613"/>
        <v>25/09/2025</v>
      </c>
      <c r="B3285" t="str">
        <f t="shared" si="611"/>
        <v>SAÍDA</v>
      </c>
      <c r="C3285" t="str">
        <f t="shared" si="614"/>
        <v>PIX</v>
      </c>
      <c r="D3285" t="str">
        <f>"22264"</f>
        <v>22264</v>
      </c>
      <c r="E3285" t="str">
        <f t="shared" si="608"/>
        <v>1</v>
      </c>
      <c r="F3285" t="str">
        <f t="shared" si="612"/>
        <v>COM</v>
      </c>
      <c r="G3285" t="str">
        <f>"SAMUEL SOARES DA SILVA (867)"</f>
        <v>SAMUEL SOARES DA SILVA (867)</v>
      </c>
      <c r="H3285" t="s">
        <v>833</v>
      </c>
      <c r="I3285" t="str">
        <f t="shared" si="615"/>
        <v>25/09/2025</v>
      </c>
      <c r="J3285" t="str">
        <f t="shared" si="610"/>
        <v>22/09/2025</v>
      </c>
      <c r="K3285">
        <v>45925</v>
      </c>
      <c r="N3285">
        <v>109</v>
      </c>
      <c r="O3285" t="s">
        <v>24</v>
      </c>
      <c r="Q3285">
        <v>1300</v>
      </c>
      <c r="R3285" t="str">
        <f>"DROGA ELIDA (10121)"</f>
        <v>DROGA ELIDA (10121)</v>
      </c>
      <c r="S3285" t="s">
        <v>77</v>
      </c>
      <c r="T3285">
        <v>18684</v>
      </c>
      <c r="U3285">
        <v>22264</v>
      </c>
      <c r="V3285" t="s">
        <v>77</v>
      </c>
    </row>
    <row r="3286" spans="1:22">
      <c r="A3286" t="str">
        <f t="shared" si="613"/>
        <v>25/09/2025</v>
      </c>
      <c r="B3286" t="str">
        <f t="shared" si="611"/>
        <v>SAÍDA</v>
      </c>
      <c r="C3286" t="str">
        <f t="shared" si="614"/>
        <v>PIX</v>
      </c>
      <c r="D3286" t="str">
        <f>"22477"</f>
        <v>22477</v>
      </c>
      <c r="E3286" t="str">
        <f t="shared" ref="E3286:E3349" si="616">"1"</f>
        <v>1</v>
      </c>
      <c r="F3286" t="str">
        <f t="shared" si="612"/>
        <v>COM</v>
      </c>
      <c r="G3286" t="str">
        <f>"FABRICIO QUEIROZ DE OLIVEIRA (788)"</f>
        <v>FABRICIO QUEIROZ DE OLIVEIRA (788)</v>
      </c>
      <c r="H3286" t="str">
        <f>"Serv.Prest. 15/09/2025 a 21/09/2025 - PIX: CPF - CHAVE: 138.798.486-10"</f>
        <v>Serv.Prest. 15/09/2025 a 21/09/2025 - PIX: CPF - CHAVE: 138.798.486-10</v>
      </c>
      <c r="I3286" t="str">
        <f t="shared" si="615"/>
        <v>25/09/2025</v>
      </c>
      <c r="J3286" t="str">
        <f>("24/09/2025")</f>
        <v>24/09/2025</v>
      </c>
      <c r="K3286" t="str">
        <f>("25/09/2025")</f>
        <v>25/09/2025</v>
      </c>
      <c r="L3286">
        <v>700</v>
      </c>
      <c r="M3286">
        <v>700</v>
      </c>
      <c r="N3286">
        <v>109</v>
      </c>
      <c r="O3286" t="str">
        <f>"PAGAMENTO DE ENTREGADORES"</f>
        <v>PAGAMENTO DE ENTREGADORES</v>
      </c>
      <c r="P3286">
        <v>700</v>
      </c>
      <c r="S3286" t="str">
        <f>"BANCO C6 (149)"</f>
        <v>BANCO C6 (149)</v>
      </c>
      <c r="T3286">
        <v>18685</v>
      </c>
      <c r="U3286">
        <v>22477</v>
      </c>
      <c r="V3286" t="s">
        <v>77</v>
      </c>
    </row>
    <row r="3287" spans="1:22">
      <c r="A3287" t="str">
        <f t="shared" si="613"/>
        <v>25/09/2025</v>
      </c>
      <c r="B3287" t="str">
        <f t="shared" si="611"/>
        <v>SAÍDA</v>
      </c>
      <c r="C3287" t="str">
        <f t="shared" si="614"/>
        <v>PIX</v>
      </c>
      <c r="D3287" t="str">
        <f>"22477"</f>
        <v>22477</v>
      </c>
      <c r="E3287" t="str">
        <f t="shared" si="616"/>
        <v>1</v>
      </c>
      <c r="F3287" t="str">
        <f t="shared" si="612"/>
        <v>COM</v>
      </c>
      <c r="G3287" t="str">
        <f>"FABRICIO QUEIROZ DE OLIVEIRA (788)"</f>
        <v>FABRICIO QUEIROZ DE OLIVEIRA (788)</v>
      </c>
      <c r="H3287" t="s">
        <v>898</v>
      </c>
      <c r="I3287" t="str">
        <f t="shared" si="615"/>
        <v>25/09/2025</v>
      </c>
      <c r="J3287" t="str">
        <f>("24/09/2025")</f>
        <v>24/09/2025</v>
      </c>
      <c r="K3287">
        <v>45925</v>
      </c>
      <c r="N3287">
        <v>109</v>
      </c>
      <c r="O3287" t="s">
        <v>24</v>
      </c>
      <c r="Q3287">
        <v>523.80999999999995</v>
      </c>
      <c r="R3287" t="str">
        <f>"FRAN FARMA LJ 2 (10131)"</f>
        <v>FRAN FARMA LJ 2 (10131)</v>
      </c>
      <c r="S3287" t="s">
        <v>77</v>
      </c>
      <c r="T3287">
        <v>18685</v>
      </c>
      <c r="U3287">
        <v>22477</v>
      </c>
      <c r="V3287" t="s">
        <v>77</v>
      </c>
    </row>
    <row r="3288" spans="1:22">
      <c r="A3288" t="str">
        <f t="shared" si="613"/>
        <v>25/09/2025</v>
      </c>
      <c r="B3288" t="str">
        <f t="shared" si="611"/>
        <v>SAÍDA</v>
      </c>
      <c r="C3288" t="str">
        <f t="shared" si="614"/>
        <v>PIX</v>
      </c>
      <c r="D3288" t="str">
        <f>"22477"</f>
        <v>22477</v>
      </c>
      <c r="E3288" t="str">
        <f t="shared" si="616"/>
        <v>1</v>
      </c>
      <c r="F3288" t="str">
        <f t="shared" si="612"/>
        <v>COM</v>
      </c>
      <c r="G3288" t="str">
        <f>"FABRICIO QUEIROZ DE OLIVEIRA (788)"</f>
        <v>FABRICIO QUEIROZ DE OLIVEIRA (788)</v>
      </c>
      <c r="H3288" t="s">
        <v>898</v>
      </c>
      <c r="I3288" t="str">
        <f t="shared" si="615"/>
        <v>25/09/2025</v>
      </c>
      <c r="J3288" t="str">
        <f>("24/09/2025")</f>
        <v>24/09/2025</v>
      </c>
      <c r="K3288">
        <v>45925</v>
      </c>
      <c r="N3288">
        <v>109</v>
      </c>
      <c r="O3288" t="s">
        <v>24</v>
      </c>
      <c r="Q3288">
        <v>176.19</v>
      </c>
      <c r="R3288" t="str">
        <f>"FRAN FARMA LJ 3 (10132)"</f>
        <v>FRAN FARMA LJ 3 (10132)</v>
      </c>
      <c r="S3288" t="s">
        <v>77</v>
      </c>
      <c r="T3288">
        <v>18685</v>
      </c>
      <c r="U3288">
        <v>22477</v>
      </c>
      <c r="V3288" t="s">
        <v>77</v>
      </c>
    </row>
    <row r="3289" spans="1:22">
      <c r="A3289" t="str">
        <f t="shared" si="613"/>
        <v>25/09/2025</v>
      </c>
      <c r="B3289" t="str">
        <f t="shared" si="611"/>
        <v>SAÍDA</v>
      </c>
      <c r="C3289" t="str">
        <f t="shared" si="614"/>
        <v>PIX</v>
      </c>
      <c r="D3289" t="str">
        <f>"22478"</f>
        <v>22478</v>
      </c>
      <c r="E3289" t="str">
        <f t="shared" si="616"/>
        <v>1</v>
      </c>
      <c r="F3289" t="str">
        <f t="shared" si="612"/>
        <v>COM</v>
      </c>
      <c r="G3289" t="str">
        <f>"GABRIEL CRUZ ALVES DE JESUS (922)"</f>
        <v>GABRIEL CRUZ ALVES DE JESUS (922)</v>
      </c>
      <c r="H3289" t="str">
        <f>"Serv.Prest. 15/09/2025 a 21/09/2025 - PIX: CELULAR - CHAVE: (11) 95159-8728"</f>
        <v>Serv.Prest. 15/09/2025 a 21/09/2025 - PIX: CELULAR - CHAVE: (11) 95159-8728</v>
      </c>
      <c r="I3289" t="str">
        <f t="shared" si="615"/>
        <v>25/09/2025</v>
      </c>
      <c r="J3289" t="str">
        <f>("24/09/2025")</f>
        <v>24/09/2025</v>
      </c>
      <c r="K3289" t="str">
        <f>("25/09/2025")</f>
        <v>25/09/2025</v>
      </c>
      <c r="L3289">
        <v>98</v>
      </c>
      <c r="M3289">
        <v>98</v>
      </c>
      <c r="N3289">
        <v>109</v>
      </c>
      <c r="O3289" t="str">
        <f>"PAGAMENTO DE ENTREGADORES"</f>
        <v>PAGAMENTO DE ENTREGADORES</v>
      </c>
      <c r="P3289">
        <v>98</v>
      </c>
      <c r="S3289" t="str">
        <f>"BANCO C6 (149)"</f>
        <v>BANCO C6 (149)</v>
      </c>
      <c r="T3289">
        <v>18686</v>
      </c>
      <c r="U3289">
        <v>22478</v>
      </c>
      <c r="V3289" t="s">
        <v>77</v>
      </c>
    </row>
    <row r="3290" spans="1:22">
      <c r="A3290" t="str">
        <f t="shared" si="613"/>
        <v>25/09/2025</v>
      </c>
      <c r="B3290" t="str">
        <f t="shared" si="611"/>
        <v>SAÍDA</v>
      </c>
      <c r="C3290" t="str">
        <f t="shared" si="614"/>
        <v>PIX</v>
      </c>
      <c r="D3290" t="str">
        <f>"22478"</f>
        <v>22478</v>
      </c>
      <c r="E3290" t="str">
        <f t="shared" si="616"/>
        <v>1</v>
      </c>
      <c r="F3290" t="str">
        <f t="shared" si="612"/>
        <v>COM</v>
      </c>
      <c r="G3290" t="str">
        <f>"GABRIEL CRUZ ALVES DE JESUS (922)"</f>
        <v>GABRIEL CRUZ ALVES DE JESUS (922)</v>
      </c>
      <c r="H3290" t="s">
        <v>899</v>
      </c>
      <c r="I3290" t="str">
        <f t="shared" si="615"/>
        <v>25/09/2025</v>
      </c>
      <c r="J3290" t="str">
        <f>("24/09/2025")</f>
        <v>24/09/2025</v>
      </c>
      <c r="K3290">
        <v>45925</v>
      </c>
      <c r="N3290">
        <v>109</v>
      </c>
      <c r="O3290" t="s">
        <v>24</v>
      </c>
      <c r="Q3290">
        <v>98</v>
      </c>
      <c r="R3290" t="str">
        <f>"FRAN FARMA (10124)"</f>
        <v>FRAN FARMA (10124)</v>
      </c>
      <c r="S3290" t="s">
        <v>77</v>
      </c>
      <c r="T3290">
        <v>18686</v>
      </c>
      <c r="U3290">
        <v>22478</v>
      </c>
      <c r="V3290" t="s">
        <v>77</v>
      </c>
    </row>
    <row r="3291" spans="1:22">
      <c r="A3291" t="str">
        <f t="shared" si="613"/>
        <v>25/09/2025</v>
      </c>
      <c r="B3291" t="str">
        <f t="shared" si="611"/>
        <v>SAÍDA</v>
      </c>
      <c r="C3291" t="str">
        <f t="shared" si="614"/>
        <v>PIX</v>
      </c>
      <c r="D3291" t="str">
        <f>"22259"</f>
        <v>22259</v>
      </c>
      <c r="E3291" t="str">
        <f t="shared" si="616"/>
        <v>1</v>
      </c>
      <c r="F3291" t="str">
        <f t="shared" si="612"/>
        <v>COM</v>
      </c>
      <c r="G3291" t="str">
        <f>"WENDERSON GOMES (708)"</f>
        <v>WENDERSON GOMES (708)</v>
      </c>
      <c r="H3291" t="str">
        <f>"Serv.Prest. 15/09/2025 a 21/09/2025 - PIX: CPF - CHAVE: 147.592.156-03"</f>
        <v>Serv.Prest. 15/09/2025 a 21/09/2025 - PIX: CPF - CHAVE: 147.592.156-03</v>
      </c>
      <c r="I3291" t="str">
        <f t="shared" si="615"/>
        <v>25/09/2025</v>
      </c>
      <c r="J3291" t="str">
        <f t="shared" ref="J3291:J3322" si="617">("22/09/2025")</f>
        <v>22/09/2025</v>
      </c>
      <c r="K3291" t="str">
        <f>("25/09/2025")</f>
        <v>25/09/2025</v>
      </c>
      <c r="L3291">
        <v>1842</v>
      </c>
      <c r="M3291">
        <v>1842</v>
      </c>
      <c r="N3291">
        <v>109</v>
      </c>
      <c r="O3291" t="str">
        <f>"PAGAMENTO DE ENTREGADORES"</f>
        <v>PAGAMENTO DE ENTREGADORES</v>
      </c>
      <c r="P3291">
        <v>1842</v>
      </c>
      <c r="S3291" t="str">
        <f>"BANCO C6 (149)"</f>
        <v>BANCO C6 (149)</v>
      </c>
      <c r="T3291">
        <v>18687</v>
      </c>
      <c r="U3291">
        <v>22259</v>
      </c>
      <c r="V3291" t="s">
        <v>77</v>
      </c>
    </row>
    <row r="3292" spans="1:22">
      <c r="A3292" t="str">
        <f t="shared" si="613"/>
        <v>25/09/2025</v>
      </c>
      <c r="B3292" t="str">
        <f t="shared" si="611"/>
        <v>SAÍDA</v>
      </c>
      <c r="C3292" t="str">
        <f t="shared" si="614"/>
        <v>PIX</v>
      </c>
      <c r="D3292" t="str">
        <f>"22259"</f>
        <v>22259</v>
      </c>
      <c r="E3292" t="str">
        <f t="shared" si="616"/>
        <v>1</v>
      </c>
      <c r="F3292" t="str">
        <f t="shared" si="612"/>
        <v>COM</v>
      </c>
      <c r="G3292" t="str">
        <f>"WENDERSON GOMES (708)"</f>
        <v>WENDERSON GOMES (708)</v>
      </c>
      <c r="H3292" t="s">
        <v>900</v>
      </c>
      <c r="I3292" t="str">
        <f t="shared" si="615"/>
        <v>25/09/2025</v>
      </c>
      <c r="J3292" t="str">
        <f t="shared" si="617"/>
        <v>22/09/2025</v>
      </c>
      <c r="K3292">
        <v>45925</v>
      </c>
      <c r="N3292">
        <v>109</v>
      </c>
      <c r="O3292" t="s">
        <v>24</v>
      </c>
      <c r="Q3292">
        <v>1842</v>
      </c>
      <c r="R3292" t="str">
        <f>"ENTREFARMA (10164)"</f>
        <v>ENTREFARMA (10164)</v>
      </c>
      <c r="S3292" t="s">
        <v>77</v>
      </c>
      <c r="T3292">
        <v>18687</v>
      </c>
      <c r="U3292">
        <v>22259</v>
      </c>
      <c r="V3292" t="s">
        <v>77</v>
      </c>
    </row>
    <row r="3293" spans="1:22">
      <c r="A3293" t="str">
        <f t="shared" si="613"/>
        <v>25/09/2025</v>
      </c>
      <c r="B3293" t="str">
        <f t="shared" si="611"/>
        <v>SAÍDA</v>
      </c>
      <c r="C3293" t="str">
        <f t="shared" si="614"/>
        <v>PIX</v>
      </c>
      <c r="D3293" t="str">
        <f>"22258"</f>
        <v>22258</v>
      </c>
      <c r="E3293" t="str">
        <f t="shared" si="616"/>
        <v>1</v>
      </c>
      <c r="F3293" t="str">
        <f t="shared" si="612"/>
        <v>COM</v>
      </c>
      <c r="G3293" t="str">
        <f>"SADRAK ENOKES BORGES (725)"</f>
        <v>SADRAK ENOKES BORGES (725)</v>
      </c>
      <c r="H3293" t="str">
        <f>"Serv.Prest. 15/09/2025 a 21/09/2025 - PIX: CPF - CHAVE: 128.367.756-37"</f>
        <v>Serv.Prest. 15/09/2025 a 21/09/2025 - PIX: CPF - CHAVE: 128.367.756-37</v>
      </c>
      <c r="I3293" t="str">
        <f t="shared" si="615"/>
        <v>25/09/2025</v>
      </c>
      <c r="J3293" t="str">
        <f t="shared" si="617"/>
        <v>22/09/2025</v>
      </c>
      <c r="K3293" t="str">
        <f>("25/09/2025")</f>
        <v>25/09/2025</v>
      </c>
      <c r="L3293">
        <v>1344</v>
      </c>
      <c r="M3293">
        <v>1344</v>
      </c>
      <c r="N3293">
        <v>109</v>
      </c>
      <c r="O3293" t="str">
        <f>"PAGAMENTO DE ENTREGADORES"</f>
        <v>PAGAMENTO DE ENTREGADORES</v>
      </c>
      <c r="P3293">
        <v>1344</v>
      </c>
      <c r="S3293" t="str">
        <f>"BANCO C6 (149)"</f>
        <v>BANCO C6 (149)</v>
      </c>
      <c r="T3293">
        <v>18688</v>
      </c>
      <c r="U3293">
        <v>22258</v>
      </c>
      <c r="V3293" t="s">
        <v>77</v>
      </c>
    </row>
    <row r="3294" spans="1:22">
      <c r="A3294" t="str">
        <f t="shared" si="613"/>
        <v>25/09/2025</v>
      </c>
      <c r="B3294" t="str">
        <f t="shared" si="611"/>
        <v>SAÍDA</v>
      </c>
      <c r="C3294" t="str">
        <f t="shared" si="614"/>
        <v>PIX</v>
      </c>
      <c r="D3294" t="str">
        <f>"22258"</f>
        <v>22258</v>
      </c>
      <c r="E3294" t="str">
        <f t="shared" si="616"/>
        <v>1</v>
      </c>
      <c r="F3294" t="str">
        <f t="shared" si="612"/>
        <v>COM</v>
      </c>
      <c r="G3294" t="str">
        <f>"SADRAK ENOKES BORGES (725)"</f>
        <v>SADRAK ENOKES BORGES (725)</v>
      </c>
      <c r="H3294" t="s">
        <v>901</v>
      </c>
      <c r="I3294" t="str">
        <f t="shared" si="615"/>
        <v>25/09/2025</v>
      </c>
      <c r="J3294" t="str">
        <f t="shared" si="617"/>
        <v>22/09/2025</v>
      </c>
      <c r="K3294">
        <v>45925</v>
      </c>
      <c r="N3294">
        <v>109</v>
      </c>
      <c r="O3294" t="s">
        <v>24</v>
      </c>
      <c r="Q3294">
        <v>1344</v>
      </c>
      <c r="R3294" t="str">
        <f>"ENTREFARMA (10164)"</f>
        <v>ENTREFARMA (10164)</v>
      </c>
      <c r="S3294" t="s">
        <v>77</v>
      </c>
      <c r="T3294">
        <v>18688</v>
      </c>
      <c r="U3294">
        <v>22258</v>
      </c>
      <c r="V3294" t="s">
        <v>77</v>
      </c>
    </row>
    <row r="3295" spans="1:22">
      <c r="A3295" t="str">
        <f t="shared" si="613"/>
        <v>25/09/2025</v>
      </c>
      <c r="B3295" t="str">
        <f t="shared" si="611"/>
        <v>SAÍDA</v>
      </c>
      <c r="C3295" t="str">
        <f t="shared" si="614"/>
        <v>PIX</v>
      </c>
      <c r="D3295" t="str">
        <f>"22257"</f>
        <v>22257</v>
      </c>
      <c r="E3295" t="str">
        <f t="shared" si="616"/>
        <v>1</v>
      </c>
      <c r="F3295" t="str">
        <f t="shared" si="612"/>
        <v>COM</v>
      </c>
      <c r="G3295" t="str">
        <f>"LEONICIO CORREA DA SILVA (716)"</f>
        <v>LEONICIO CORREA DA SILVA (716)</v>
      </c>
      <c r="H3295" t="str">
        <f>"Serv.Prest. 15/09/2025 a 21/09/2025 - PIX: CPF - CHAVE: 138.263.636-98"</f>
        <v>Serv.Prest. 15/09/2025 a 21/09/2025 - PIX: CPF - CHAVE: 138.263.636-98</v>
      </c>
      <c r="I3295" t="str">
        <f t="shared" si="615"/>
        <v>25/09/2025</v>
      </c>
      <c r="J3295" t="str">
        <f t="shared" si="617"/>
        <v>22/09/2025</v>
      </c>
      <c r="K3295" t="str">
        <f>("25/09/2025")</f>
        <v>25/09/2025</v>
      </c>
      <c r="L3295">
        <v>1236</v>
      </c>
      <c r="M3295">
        <v>1236</v>
      </c>
      <c r="N3295">
        <v>109</v>
      </c>
      <c r="O3295" t="str">
        <f>"PAGAMENTO DE ENTREGADORES"</f>
        <v>PAGAMENTO DE ENTREGADORES</v>
      </c>
      <c r="P3295">
        <v>1236</v>
      </c>
      <c r="S3295" t="str">
        <f>"BANCO C6 (149)"</f>
        <v>BANCO C6 (149)</v>
      </c>
      <c r="T3295">
        <v>18689</v>
      </c>
      <c r="U3295">
        <v>22257</v>
      </c>
      <c r="V3295" t="s">
        <v>77</v>
      </c>
    </row>
    <row r="3296" spans="1:22">
      <c r="A3296" t="str">
        <f t="shared" si="613"/>
        <v>25/09/2025</v>
      </c>
      <c r="B3296" t="str">
        <f t="shared" si="611"/>
        <v>SAÍDA</v>
      </c>
      <c r="C3296" t="str">
        <f t="shared" si="614"/>
        <v>PIX</v>
      </c>
      <c r="D3296" t="str">
        <f>"22257"</f>
        <v>22257</v>
      </c>
      <c r="E3296" t="str">
        <f t="shared" si="616"/>
        <v>1</v>
      </c>
      <c r="F3296" t="str">
        <f t="shared" si="612"/>
        <v>COM</v>
      </c>
      <c r="G3296" t="str">
        <f>"LEONICIO CORREA DA SILVA (716)"</f>
        <v>LEONICIO CORREA DA SILVA (716)</v>
      </c>
      <c r="H3296" t="s">
        <v>902</v>
      </c>
      <c r="I3296" t="str">
        <f t="shared" si="615"/>
        <v>25/09/2025</v>
      </c>
      <c r="J3296" t="str">
        <f t="shared" si="617"/>
        <v>22/09/2025</v>
      </c>
      <c r="K3296">
        <v>45925</v>
      </c>
      <c r="N3296">
        <v>109</v>
      </c>
      <c r="O3296" t="s">
        <v>24</v>
      </c>
      <c r="Q3296">
        <v>1236</v>
      </c>
      <c r="R3296" t="str">
        <f>"ENTREFARMA (10164)"</f>
        <v>ENTREFARMA (10164)</v>
      </c>
      <c r="S3296" t="s">
        <v>77</v>
      </c>
      <c r="T3296">
        <v>18689</v>
      </c>
      <c r="U3296">
        <v>22257</v>
      </c>
      <c r="V3296" t="s">
        <v>77</v>
      </c>
    </row>
    <row r="3297" spans="1:22">
      <c r="A3297" t="str">
        <f t="shared" si="613"/>
        <v>25/09/2025</v>
      </c>
      <c r="B3297" t="str">
        <f t="shared" si="611"/>
        <v>SAÍDA</v>
      </c>
      <c r="C3297" t="str">
        <f t="shared" si="614"/>
        <v>PIX</v>
      </c>
      <c r="D3297" t="str">
        <f>"22256"</f>
        <v>22256</v>
      </c>
      <c r="E3297" t="str">
        <f t="shared" si="616"/>
        <v>1</v>
      </c>
      <c r="F3297" t="str">
        <f t="shared" si="612"/>
        <v>COM</v>
      </c>
      <c r="G3297" t="str">
        <f>"ARLINDO COSTA FELIX (754)"</f>
        <v>ARLINDO COSTA FELIX (754)</v>
      </c>
      <c r="H3297" t="str">
        <f>"Serv.Prest. 15/09/2025 a 21/09/2025 - PIX: CPF - CHAVE: 103.983.366-79"</f>
        <v>Serv.Prest. 15/09/2025 a 21/09/2025 - PIX: CPF - CHAVE: 103.983.366-79</v>
      </c>
      <c r="I3297" t="str">
        <f t="shared" si="615"/>
        <v>25/09/2025</v>
      </c>
      <c r="J3297" t="str">
        <f t="shared" si="617"/>
        <v>22/09/2025</v>
      </c>
      <c r="K3297" t="str">
        <f>("25/09/2025")</f>
        <v>25/09/2025</v>
      </c>
      <c r="L3297">
        <v>1056</v>
      </c>
      <c r="M3297">
        <v>1056</v>
      </c>
      <c r="N3297">
        <v>109</v>
      </c>
      <c r="O3297" t="str">
        <f>"PAGAMENTO DE ENTREGADORES"</f>
        <v>PAGAMENTO DE ENTREGADORES</v>
      </c>
      <c r="P3297">
        <v>1056</v>
      </c>
      <c r="S3297" t="str">
        <f>"BANCO C6 (149)"</f>
        <v>BANCO C6 (149)</v>
      </c>
      <c r="T3297">
        <v>18690</v>
      </c>
      <c r="U3297">
        <v>22256</v>
      </c>
      <c r="V3297" t="s">
        <v>77</v>
      </c>
    </row>
    <row r="3298" spans="1:22">
      <c r="A3298" t="str">
        <f t="shared" si="613"/>
        <v>25/09/2025</v>
      </c>
      <c r="B3298" t="str">
        <f t="shared" si="611"/>
        <v>SAÍDA</v>
      </c>
      <c r="C3298" t="str">
        <f t="shared" si="614"/>
        <v>PIX</v>
      </c>
      <c r="D3298" t="str">
        <f>"22256"</f>
        <v>22256</v>
      </c>
      <c r="E3298" t="str">
        <f t="shared" si="616"/>
        <v>1</v>
      </c>
      <c r="F3298" t="str">
        <f t="shared" si="612"/>
        <v>COM</v>
      </c>
      <c r="G3298" t="str">
        <f>"ARLINDO COSTA FELIX (754)"</f>
        <v>ARLINDO COSTA FELIX (754)</v>
      </c>
      <c r="H3298" t="s">
        <v>903</v>
      </c>
      <c r="I3298" t="str">
        <f t="shared" si="615"/>
        <v>25/09/2025</v>
      </c>
      <c r="J3298" t="str">
        <f t="shared" si="617"/>
        <v>22/09/2025</v>
      </c>
      <c r="K3298">
        <v>45925</v>
      </c>
      <c r="N3298">
        <v>109</v>
      </c>
      <c r="O3298" t="s">
        <v>24</v>
      </c>
      <c r="Q3298">
        <v>1056</v>
      </c>
      <c r="R3298" t="str">
        <f>"ENTREFARMA (10164)"</f>
        <v>ENTREFARMA (10164)</v>
      </c>
      <c r="S3298" t="s">
        <v>77</v>
      </c>
      <c r="T3298">
        <v>18690</v>
      </c>
      <c r="U3298">
        <v>22256</v>
      </c>
      <c r="V3298" t="s">
        <v>77</v>
      </c>
    </row>
    <row r="3299" spans="1:22">
      <c r="A3299" t="str">
        <f t="shared" si="613"/>
        <v>25/09/2025</v>
      </c>
      <c r="B3299" t="str">
        <f t="shared" si="611"/>
        <v>SAÍDA</v>
      </c>
      <c r="C3299" t="str">
        <f t="shared" si="614"/>
        <v>PIX</v>
      </c>
      <c r="D3299" t="str">
        <f>"22253"</f>
        <v>22253</v>
      </c>
      <c r="E3299" t="str">
        <f t="shared" si="616"/>
        <v>1</v>
      </c>
      <c r="F3299" t="str">
        <f t="shared" si="612"/>
        <v>COM</v>
      </c>
      <c r="G3299" t="str">
        <f>"JAMERSON SOUZA LOPES (749)"</f>
        <v>JAMERSON SOUZA LOPES (749)</v>
      </c>
      <c r="H3299" t="str">
        <f>"Serv.Prest. 15/09/2025 a 21/09/2025 - PIX: CPF - CHAVE: 423.098.018-36"</f>
        <v>Serv.Prest. 15/09/2025 a 21/09/2025 - PIX: CPF - CHAVE: 423.098.018-36</v>
      </c>
      <c r="I3299" t="str">
        <f t="shared" si="615"/>
        <v>25/09/2025</v>
      </c>
      <c r="J3299" t="str">
        <f t="shared" si="617"/>
        <v>22/09/2025</v>
      </c>
      <c r="K3299" t="str">
        <f>("25/09/2025")</f>
        <v>25/09/2025</v>
      </c>
      <c r="L3299">
        <v>686.7</v>
      </c>
      <c r="M3299">
        <v>686.7</v>
      </c>
      <c r="N3299">
        <v>109</v>
      </c>
      <c r="O3299" t="str">
        <f>"PAGAMENTO DE ENTREGADORES"</f>
        <v>PAGAMENTO DE ENTREGADORES</v>
      </c>
      <c r="P3299">
        <v>686.7</v>
      </c>
      <c r="S3299" t="str">
        <f>"BANCO C6 (149)"</f>
        <v>BANCO C6 (149)</v>
      </c>
      <c r="T3299">
        <v>18691</v>
      </c>
      <c r="U3299">
        <v>22253</v>
      </c>
      <c r="V3299" t="s">
        <v>77</v>
      </c>
    </row>
    <row r="3300" spans="1:22">
      <c r="A3300" t="str">
        <f t="shared" si="613"/>
        <v>25/09/2025</v>
      </c>
      <c r="B3300" t="str">
        <f t="shared" si="611"/>
        <v>SAÍDA</v>
      </c>
      <c r="C3300" t="str">
        <f t="shared" si="614"/>
        <v>PIX</v>
      </c>
      <c r="D3300" t="str">
        <f>"22253"</f>
        <v>22253</v>
      </c>
      <c r="E3300" t="str">
        <f t="shared" si="616"/>
        <v>1</v>
      </c>
      <c r="F3300" t="str">
        <f t="shared" si="612"/>
        <v>COM</v>
      </c>
      <c r="G3300" t="str">
        <f>"JAMERSON SOUZA LOPES (749)"</f>
        <v>JAMERSON SOUZA LOPES (749)</v>
      </c>
      <c r="H3300" t="s">
        <v>904</v>
      </c>
      <c r="I3300" t="str">
        <f t="shared" si="615"/>
        <v>25/09/2025</v>
      </c>
      <c r="J3300" t="str">
        <f t="shared" si="617"/>
        <v>22/09/2025</v>
      </c>
      <c r="K3300">
        <v>45925</v>
      </c>
      <c r="N3300">
        <v>109</v>
      </c>
      <c r="O3300" t="s">
        <v>24</v>
      </c>
      <c r="Q3300">
        <v>686.7</v>
      </c>
      <c r="R3300" t="str">
        <f>"DROGARIA TOTAL JUNDIAI (10177)"</f>
        <v>DROGARIA TOTAL JUNDIAI (10177)</v>
      </c>
      <c r="S3300" t="s">
        <v>77</v>
      </c>
      <c r="T3300">
        <v>18691</v>
      </c>
      <c r="U3300">
        <v>22253</v>
      </c>
      <c r="V3300" t="s">
        <v>77</v>
      </c>
    </row>
    <row r="3301" spans="1:22">
      <c r="A3301" t="str">
        <f t="shared" si="613"/>
        <v>25/09/2025</v>
      </c>
      <c r="B3301" t="str">
        <f t="shared" si="611"/>
        <v>SAÍDA</v>
      </c>
      <c r="C3301" t="str">
        <f t="shared" si="614"/>
        <v>PIX</v>
      </c>
      <c r="D3301" t="str">
        <f>"22250"</f>
        <v>22250</v>
      </c>
      <c r="E3301" t="str">
        <f t="shared" si="616"/>
        <v>1</v>
      </c>
      <c r="F3301" t="str">
        <f t="shared" si="612"/>
        <v>COM</v>
      </c>
      <c r="G3301" t="str">
        <f>"ISAEL SANTOS ROSA (642)"</f>
        <v>ISAEL SANTOS ROSA (642)</v>
      </c>
      <c r="H3301" t="str">
        <f>"Serv.Prest. 15/09/2025 a 21/09/2025 - PIX: CELULAR - CHAVE: (31) 99376-7989"</f>
        <v>Serv.Prest. 15/09/2025 a 21/09/2025 - PIX: CELULAR - CHAVE: (31) 99376-7989</v>
      </c>
      <c r="I3301" t="str">
        <f t="shared" si="615"/>
        <v>25/09/2025</v>
      </c>
      <c r="J3301" t="str">
        <f t="shared" si="617"/>
        <v>22/09/2025</v>
      </c>
      <c r="K3301" t="str">
        <f>("25/09/2025")</f>
        <v>25/09/2025</v>
      </c>
      <c r="L3301">
        <v>1400</v>
      </c>
      <c r="M3301">
        <v>1400</v>
      </c>
      <c r="N3301">
        <v>109</v>
      </c>
      <c r="O3301" t="str">
        <f>"PAGAMENTO DE ENTREGADORES"</f>
        <v>PAGAMENTO DE ENTREGADORES</v>
      </c>
      <c r="P3301">
        <v>1400</v>
      </c>
      <c r="S3301" t="str">
        <f>"BANCO C6 (149)"</f>
        <v>BANCO C6 (149)</v>
      </c>
      <c r="T3301">
        <v>18692</v>
      </c>
      <c r="U3301">
        <v>22250</v>
      </c>
      <c r="V3301" t="s">
        <v>77</v>
      </c>
    </row>
    <row r="3302" spans="1:22">
      <c r="A3302" t="str">
        <f t="shared" si="613"/>
        <v>25/09/2025</v>
      </c>
      <c r="B3302" t="str">
        <f t="shared" si="611"/>
        <v>SAÍDA</v>
      </c>
      <c r="C3302" t="str">
        <f t="shared" si="614"/>
        <v>PIX</v>
      </c>
      <c r="D3302" t="str">
        <f>"22250"</f>
        <v>22250</v>
      </c>
      <c r="E3302" t="str">
        <f t="shared" si="616"/>
        <v>1</v>
      </c>
      <c r="F3302" t="str">
        <f t="shared" si="612"/>
        <v>COM</v>
      </c>
      <c r="G3302" t="str">
        <f>"ISAEL SANTOS ROSA (642)"</f>
        <v>ISAEL SANTOS ROSA (642)</v>
      </c>
      <c r="H3302" t="s">
        <v>905</v>
      </c>
      <c r="I3302" t="str">
        <f t="shared" si="615"/>
        <v>25/09/2025</v>
      </c>
      <c r="J3302" t="str">
        <f t="shared" si="617"/>
        <v>22/09/2025</v>
      </c>
      <c r="K3302">
        <v>45925</v>
      </c>
      <c r="N3302">
        <v>109</v>
      </c>
      <c r="O3302" t="s">
        <v>24</v>
      </c>
      <c r="Q3302">
        <v>1400</v>
      </c>
      <c r="R3302" t="str">
        <f>"DROGARIA POUPA MINAS (ULTRAMINAS) 3 (10129)"</f>
        <v>DROGARIA POUPA MINAS (ULTRAMINAS) 3 (10129)</v>
      </c>
      <c r="S3302" t="s">
        <v>77</v>
      </c>
      <c r="T3302">
        <v>18692</v>
      </c>
      <c r="U3302">
        <v>22250</v>
      </c>
      <c r="V3302" t="s">
        <v>77</v>
      </c>
    </row>
    <row r="3303" spans="1:22">
      <c r="A3303" t="str">
        <f t="shared" si="613"/>
        <v>25/09/2025</v>
      </c>
      <c r="B3303" t="str">
        <f t="shared" si="611"/>
        <v>SAÍDA</v>
      </c>
      <c r="C3303" t="str">
        <f t="shared" si="614"/>
        <v>PIX</v>
      </c>
      <c r="D3303" t="str">
        <f>"22248"</f>
        <v>22248</v>
      </c>
      <c r="E3303" t="str">
        <f t="shared" si="616"/>
        <v>1</v>
      </c>
      <c r="F3303" t="str">
        <f t="shared" si="612"/>
        <v>COM</v>
      </c>
      <c r="G3303" t="str">
        <f>"WILLIAM ANDRE SILVA COELLO (850)"</f>
        <v>WILLIAM ANDRE SILVA COELLO (850)</v>
      </c>
      <c r="H3303" t="str">
        <f>"Serv.Prest. 15/09/2025 a 21/09/2025 - PIX: CPF - CHAVE: 100.710.806-19"</f>
        <v>Serv.Prest. 15/09/2025 a 21/09/2025 - PIX: CPF - CHAVE: 100.710.806-19</v>
      </c>
      <c r="I3303" t="str">
        <f t="shared" si="615"/>
        <v>25/09/2025</v>
      </c>
      <c r="J3303" t="str">
        <f t="shared" si="617"/>
        <v>22/09/2025</v>
      </c>
      <c r="K3303" t="str">
        <f>("25/09/2025")</f>
        <v>25/09/2025</v>
      </c>
      <c r="L3303">
        <v>702.45</v>
      </c>
      <c r="M3303">
        <v>702.45</v>
      </c>
      <c r="N3303">
        <v>109</v>
      </c>
      <c r="O3303" t="str">
        <f>"PAGAMENTO DE ENTREGADORES"</f>
        <v>PAGAMENTO DE ENTREGADORES</v>
      </c>
      <c r="P3303">
        <v>702.45</v>
      </c>
      <c r="S3303" t="str">
        <f>"BANCO C6 (149)"</f>
        <v>BANCO C6 (149)</v>
      </c>
      <c r="T3303">
        <v>18693</v>
      </c>
      <c r="U3303">
        <v>22248</v>
      </c>
      <c r="V3303" t="s">
        <v>77</v>
      </c>
    </row>
    <row r="3304" spans="1:22">
      <c r="A3304" t="str">
        <f t="shared" si="613"/>
        <v>25/09/2025</v>
      </c>
      <c r="B3304" t="str">
        <f t="shared" si="611"/>
        <v>SAÍDA</v>
      </c>
      <c r="C3304" t="str">
        <f t="shared" si="614"/>
        <v>PIX</v>
      </c>
      <c r="D3304" t="str">
        <f>"22248"</f>
        <v>22248</v>
      </c>
      <c r="E3304" t="str">
        <f t="shared" si="616"/>
        <v>1</v>
      </c>
      <c r="F3304" t="str">
        <f t="shared" si="612"/>
        <v>COM</v>
      </c>
      <c r="G3304" t="str">
        <f>"WILLIAM ANDRE SILVA COELLO (850)"</f>
        <v>WILLIAM ANDRE SILVA COELLO (850)</v>
      </c>
      <c r="H3304" t="s">
        <v>906</v>
      </c>
      <c r="I3304" t="str">
        <f t="shared" si="615"/>
        <v>25/09/2025</v>
      </c>
      <c r="J3304" t="str">
        <f t="shared" si="617"/>
        <v>22/09/2025</v>
      </c>
      <c r="K3304">
        <v>45925</v>
      </c>
      <c r="N3304">
        <v>109</v>
      </c>
      <c r="O3304" t="s">
        <v>24</v>
      </c>
      <c r="Q3304">
        <v>702.45</v>
      </c>
      <c r="R3304" t="str">
        <f>"DROGARIA ANA VISCONDE DO RIO BRANCO (10182)"</f>
        <v>DROGARIA ANA VISCONDE DO RIO BRANCO (10182)</v>
      </c>
      <c r="S3304" t="s">
        <v>77</v>
      </c>
      <c r="T3304">
        <v>18693</v>
      </c>
      <c r="U3304">
        <v>22248</v>
      </c>
      <c r="V3304" t="s">
        <v>77</v>
      </c>
    </row>
    <row r="3305" spans="1:22">
      <c r="A3305" t="str">
        <f t="shared" si="613"/>
        <v>25/09/2025</v>
      </c>
      <c r="B3305" t="str">
        <f t="shared" si="611"/>
        <v>SAÍDA</v>
      </c>
      <c r="C3305" t="str">
        <f t="shared" si="614"/>
        <v>PIX</v>
      </c>
      <c r="D3305" t="str">
        <f>"22247"</f>
        <v>22247</v>
      </c>
      <c r="E3305" t="str">
        <f t="shared" si="616"/>
        <v>1</v>
      </c>
      <c r="F3305" t="str">
        <f t="shared" si="612"/>
        <v>COM</v>
      </c>
      <c r="G3305" t="str">
        <f>"WASHINGTON VALERIO DE SOUZA (888)"</f>
        <v>WASHINGTON VALERIO DE SOUZA (888)</v>
      </c>
      <c r="H3305" t="str">
        <f>"Serv.Prest. 15/09/2025 a 21/09/2025 - PIX: CPF - CHAVE: 080.965.696-51"</f>
        <v>Serv.Prest. 15/09/2025 a 21/09/2025 - PIX: CPF - CHAVE: 080.965.696-51</v>
      </c>
      <c r="I3305" t="str">
        <f t="shared" si="615"/>
        <v>25/09/2025</v>
      </c>
      <c r="J3305" t="str">
        <f t="shared" si="617"/>
        <v>22/09/2025</v>
      </c>
      <c r="K3305" t="str">
        <f>("25/09/2025")</f>
        <v>25/09/2025</v>
      </c>
      <c r="L3305">
        <v>702.45</v>
      </c>
      <c r="M3305">
        <v>702.45</v>
      </c>
      <c r="N3305">
        <v>109</v>
      </c>
      <c r="O3305" t="str">
        <f>"PAGAMENTO DE ENTREGADORES"</f>
        <v>PAGAMENTO DE ENTREGADORES</v>
      </c>
      <c r="P3305">
        <v>702.45</v>
      </c>
      <c r="S3305" t="str">
        <f>"BANCO C6 (149)"</f>
        <v>BANCO C6 (149)</v>
      </c>
      <c r="T3305">
        <v>18694</v>
      </c>
      <c r="U3305">
        <v>22247</v>
      </c>
      <c r="V3305" t="s">
        <v>77</v>
      </c>
    </row>
    <row r="3306" spans="1:22">
      <c r="A3306" t="str">
        <f t="shared" si="613"/>
        <v>25/09/2025</v>
      </c>
      <c r="B3306" t="str">
        <f t="shared" si="611"/>
        <v>SAÍDA</v>
      </c>
      <c r="C3306" t="str">
        <f t="shared" si="614"/>
        <v>PIX</v>
      </c>
      <c r="D3306" t="str">
        <f>"22247"</f>
        <v>22247</v>
      </c>
      <c r="E3306" t="str">
        <f t="shared" si="616"/>
        <v>1</v>
      </c>
      <c r="F3306" t="str">
        <f t="shared" si="612"/>
        <v>COM</v>
      </c>
      <c r="G3306" t="str">
        <f>"WASHINGTON VALERIO DE SOUZA (888)"</f>
        <v>WASHINGTON VALERIO DE SOUZA (888)</v>
      </c>
      <c r="H3306" t="s">
        <v>907</v>
      </c>
      <c r="I3306" t="str">
        <f t="shared" si="615"/>
        <v>25/09/2025</v>
      </c>
      <c r="J3306" t="str">
        <f t="shared" si="617"/>
        <v>22/09/2025</v>
      </c>
      <c r="K3306">
        <v>45925</v>
      </c>
      <c r="N3306">
        <v>109</v>
      </c>
      <c r="O3306" t="s">
        <v>24</v>
      </c>
      <c r="Q3306">
        <v>702.45</v>
      </c>
      <c r="R3306" t="str">
        <f>"DROGARIA ANA VISCONDE DO RIO BRANCO (10182)"</f>
        <v>DROGARIA ANA VISCONDE DO RIO BRANCO (10182)</v>
      </c>
      <c r="S3306" t="s">
        <v>77</v>
      </c>
      <c r="T3306">
        <v>18694</v>
      </c>
      <c r="U3306">
        <v>22247</v>
      </c>
      <c r="V3306" t="s">
        <v>77</v>
      </c>
    </row>
    <row r="3307" spans="1:22">
      <c r="A3307" t="str">
        <f t="shared" si="613"/>
        <v>25/09/2025</v>
      </c>
      <c r="B3307" t="str">
        <f t="shared" si="611"/>
        <v>SAÍDA</v>
      </c>
      <c r="C3307" t="str">
        <f t="shared" si="614"/>
        <v>PIX</v>
      </c>
      <c r="D3307" t="str">
        <f>"22246"</f>
        <v>22246</v>
      </c>
      <c r="E3307" t="str">
        <f t="shared" si="616"/>
        <v>1</v>
      </c>
      <c r="F3307" t="str">
        <f t="shared" si="612"/>
        <v>COM</v>
      </c>
      <c r="G3307" t="str">
        <f>"GABRIEL PACHECO DE QUEIROZ NARCISO (812)"</f>
        <v>GABRIEL PACHECO DE QUEIROZ NARCISO (812)</v>
      </c>
      <c r="H3307" t="str">
        <f>"Serv.Prest. 15/09/2025 a 21/09/2025 - PIX: CPF - CHAVE: 140.108.466-40"</f>
        <v>Serv.Prest. 15/09/2025 a 21/09/2025 - PIX: CPF - CHAVE: 140.108.466-40</v>
      </c>
      <c r="I3307" t="str">
        <f t="shared" si="615"/>
        <v>25/09/2025</v>
      </c>
      <c r="J3307" t="str">
        <f t="shared" si="617"/>
        <v>22/09/2025</v>
      </c>
      <c r="K3307" t="str">
        <f>("25/09/2025")</f>
        <v>25/09/2025</v>
      </c>
      <c r="L3307">
        <v>702.45</v>
      </c>
      <c r="M3307">
        <v>702.45</v>
      </c>
      <c r="N3307">
        <v>109</v>
      </c>
      <c r="O3307" t="str">
        <f>"PAGAMENTO DE ENTREGADORES"</f>
        <v>PAGAMENTO DE ENTREGADORES</v>
      </c>
      <c r="P3307">
        <v>702.45</v>
      </c>
      <c r="S3307" t="str">
        <f>"BANCO C6 (149)"</f>
        <v>BANCO C6 (149)</v>
      </c>
      <c r="T3307">
        <v>18695</v>
      </c>
      <c r="U3307">
        <v>22246</v>
      </c>
      <c r="V3307" t="s">
        <v>77</v>
      </c>
    </row>
    <row r="3308" spans="1:22">
      <c r="A3308" t="str">
        <f t="shared" si="613"/>
        <v>25/09/2025</v>
      </c>
      <c r="B3308" t="str">
        <f t="shared" si="611"/>
        <v>SAÍDA</v>
      </c>
      <c r="C3308" t="str">
        <f t="shared" si="614"/>
        <v>PIX</v>
      </c>
      <c r="D3308" t="str">
        <f>"22246"</f>
        <v>22246</v>
      </c>
      <c r="E3308" t="str">
        <f t="shared" si="616"/>
        <v>1</v>
      </c>
      <c r="F3308" t="str">
        <f t="shared" si="612"/>
        <v>COM</v>
      </c>
      <c r="G3308" t="str">
        <f>"GABRIEL PACHECO DE QUEIROZ NARCISO (812)"</f>
        <v>GABRIEL PACHECO DE QUEIROZ NARCISO (812)</v>
      </c>
      <c r="H3308" t="s">
        <v>908</v>
      </c>
      <c r="I3308" t="str">
        <f t="shared" si="615"/>
        <v>25/09/2025</v>
      </c>
      <c r="J3308" t="str">
        <f t="shared" si="617"/>
        <v>22/09/2025</v>
      </c>
      <c r="K3308">
        <v>45925</v>
      </c>
      <c r="N3308">
        <v>109</v>
      </c>
      <c r="O3308" t="s">
        <v>24</v>
      </c>
      <c r="Q3308">
        <v>702.45</v>
      </c>
      <c r="R3308" t="str">
        <f>"DROGARIA ANA VISCONDE DO RIO BRANCO (10182)"</f>
        <v>DROGARIA ANA VISCONDE DO RIO BRANCO (10182)</v>
      </c>
      <c r="S3308" t="s">
        <v>77</v>
      </c>
      <c r="T3308">
        <v>18695</v>
      </c>
      <c r="U3308">
        <v>22246</v>
      </c>
      <c r="V3308" t="s">
        <v>77</v>
      </c>
    </row>
    <row r="3309" spans="1:22">
      <c r="A3309" t="str">
        <f t="shared" si="613"/>
        <v>25/09/2025</v>
      </c>
      <c r="B3309" t="str">
        <f t="shared" si="611"/>
        <v>SAÍDA</v>
      </c>
      <c r="C3309" t="str">
        <f t="shared" si="614"/>
        <v>PIX</v>
      </c>
      <c r="D3309" t="str">
        <f>"22245"</f>
        <v>22245</v>
      </c>
      <c r="E3309" t="str">
        <f t="shared" si="616"/>
        <v>1</v>
      </c>
      <c r="F3309" t="str">
        <f t="shared" si="612"/>
        <v>COM</v>
      </c>
      <c r="G3309" t="str">
        <f>"ANDERSON LUIZ SOARES (807)"</f>
        <v>ANDERSON LUIZ SOARES (807)</v>
      </c>
      <c r="H3309" t="str">
        <f>"Serv.Prest. 15/09/2025 a 21/09/2025 - PIX: CELULAR - CHAVE: (32) 99920-0416"</f>
        <v>Serv.Prest. 15/09/2025 a 21/09/2025 - PIX: CELULAR - CHAVE: (32) 99920-0416</v>
      </c>
      <c r="I3309" t="str">
        <f t="shared" si="615"/>
        <v>25/09/2025</v>
      </c>
      <c r="J3309" t="str">
        <f t="shared" si="617"/>
        <v>22/09/2025</v>
      </c>
      <c r="K3309" t="str">
        <f>("25/09/2025")</f>
        <v>25/09/2025</v>
      </c>
      <c r="L3309">
        <v>702.45</v>
      </c>
      <c r="M3309">
        <v>702.45</v>
      </c>
      <c r="N3309">
        <v>109</v>
      </c>
      <c r="O3309" t="str">
        <f>"PAGAMENTO DE ENTREGADORES"</f>
        <v>PAGAMENTO DE ENTREGADORES</v>
      </c>
      <c r="P3309">
        <v>702.45</v>
      </c>
      <c r="S3309" t="str">
        <f>"BANCO C6 (149)"</f>
        <v>BANCO C6 (149)</v>
      </c>
      <c r="T3309">
        <v>18696</v>
      </c>
      <c r="U3309">
        <v>22245</v>
      </c>
      <c r="V3309" t="s">
        <v>77</v>
      </c>
    </row>
    <row r="3310" spans="1:22">
      <c r="A3310" t="str">
        <f t="shared" si="613"/>
        <v>25/09/2025</v>
      </c>
      <c r="B3310" t="str">
        <f t="shared" si="611"/>
        <v>SAÍDA</v>
      </c>
      <c r="C3310" t="str">
        <f t="shared" si="614"/>
        <v>PIX</v>
      </c>
      <c r="D3310" t="str">
        <f>"22245"</f>
        <v>22245</v>
      </c>
      <c r="E3310" t="str">
        <f t="shared" si="616"/>
        <v>1</v>
      </c>
      <c r="F3310" t="str">
        <f t="shared" si="612"/>
        <v>COM</v>
      </c>
      <c r="G3310" t="str">
        <f>"ANDERSON LUIZ SOARES (807)"</f>
        <v>ANDERSON LUIZ SOARES (807)</v>
      </c>
      <c r="H3310" t="s">
        <v>909</v>
      </c>
      <c r="I3310" t="str">
        <f t="shared" si="615"/>
        <v>25/09/2025</v>
      </c>
      <c r="J3310" t="str">
        <f t="shared" si="617"/>
        <v>22/09/2025</v>
      </c>
      <c r="K3310">
        <v>45925</v>
      </c>
      <c r="N3310">
        <v>109</v>
      </c>
      <c r="O3310" t="s">
        <v>24</v>
      </c>
      <c r="Q3310">
        <v>702.45</v>
      </c>
      <c r="R3310" t="str">
        <f>"DROGARIA ANA VISCONDE DO RIO BRANCO (10182)"</f>
        <v>DROGARIA ANA VISCONDE DO RIO BRANCO (10182)</v>
      </c>
      <c r="S3310" t="s">
        <v>77</v>
      </c>
      <c r="T3310">
        <v>18696</v>
      </c>
      <c r="U3310">
        <v>22245</v>
      </c>
      <c r="V3310" t="s">
        <v>77</v>
      </c>
    </row>
    <row r="3311" spans="1:22">
      <c r="A3311" t="str">
        <f t="shared" si="613"/>
        <v>25/09/2025</v>
      </c>
      <c r="B3311" t="str">
        <f t="shared" si="611"/>
        <v>SAÍDA</v>
      </c>
      <c r="C3311" t="str">
        <f t="shared" si="614"/>
        <v>PIX</v>
      </c>
      <c r="D3311" t="str">
        <f>"22244"</f>
        <v>22244</v>
      </c>
      <c r="E3311" t="str">
        <f t="shared" si="616"/>
        <v>1</v>
      </c>
      <c r="F3311" t="str">
        <f t="shared" si="612"/>
        <v>COM</v>
      </c>
      <c r="G3311" t="str">
        <f>"ALEXSANDRO HENRIQUE FERREIRA (808)"</f>
        <v>ALEXSANDRO HENRIQUE FERREIRA (808)</v>
      </c>
      <c r="H3311" t="str">
        <f>"Serv.Prest. 15/09/2025 a 21/09/2025 - PIX: CPF - CHAVE: 157.591.436-03"</f>
        <v>Serv.Prest. 15/09/2025 a 21/09/2025 - PIX: CPF - CHAVE: 157.591.436-03</v>
      </c>
      <c r="I3311" t="str">
        <f t="shared" si="615"/>
        <v>25/09/2025</v>
      </c>
      <c r="J3311" t="str">
        <f t="shared" si="617"/>
        <v>22/09/2025</v>
      </c>
      <c r="K3311" t="str">
        <f>("25/09/2025")</f>
        <v>25/09/2025</v>
      </c>
      <c r="L3311">
        <v>904.05</v>
      </c>
      <c r="M3311">
        <v>904.05</v>
      </c>
      <c r="N3311">
        <v>109</v>
      </c>
      <c r="O3311" t="str">
        <f>"PAGAMENTO DE ENTREGADORES"</f>
        <v>PAGAMENTO DE ENTREGADORES</v>
      </c>
      <c r="P3311">
        <v>904.05</v>
      </c>
      <c r="S3311" t="str">
        <f>"BANCO C6 (149)"</f>
        <v>BANCO C6 (149)</v>
      </c>
      <c r="T3311">
        <v>18697</v>
      </c>
      <c r="U3311">
        <v>22244</v>
      </c>
      <c r="V3311" t="s">
        <v>77</v>
      </c>
    </row>
    <row r="3312" spans="1:22">
      <c r="A3312" t="str">
        <f t="shared" si="613"/>
        <v>25/09/2025</v>
      </c>
      <c r="B3312" t="str">
        <f t="shared" si="611"/>
        <v>SAÍDA</v>
      </c>
      <c r="C3312" t="str">
        <f t="shared" si="614"/>
        <v>PIX</v>
      </c>
      <c r="D3312" t="str">
        <f>"22244"</f>
        <v>22244</v>
      </c>
      <c r="E3312" t="str">
        <f t="shared" si="616"/>
        <v>1</v>
      </c>
      <c r="F3312" t="str">
        <f t="shared" si="612"/>
        <v>COM</v>
      </c>
      <c r="G3312" t="str">
        <f>"ALEXSANDRO HENRIQUE FERREIRA (808)"</f>
        <v>ALEXSANDRO HENRIQUE FERREIRA (808)</v>
      </c>
      <c r="H3312" t="s">
        <v>910</v>
      </c>
      <c r="I3312" t="str">
        <f t="shared" si="615"/>
        <v>25/09/2025</v>
      </c>
      <c r="J3312" t="str">
        <f t="shared" si="617"/>
        <v>22/09/2025</v>
      </c>
      <c r="K3312">
        <v>45925</v>
      </c>
      <c r="N3312">
        <v>109</v>
      </c>
      <c r="O3312" t="s">
        <v>24</v>
      </c>
      <c r="Q3312">
        <v>904.05</v>
      </c>
      <c r="R3312" t="str">
        <f>"DROGARIA ANA VISCONDE DO RIO BRANCO (10182)"</f>
        <v>DROGARIA ANA VISCONDE DO RIO BRANCO (10182)</v>
      </c>
      <c r="S3312" t="s">
        <v>77</v>
      </c>
      <c r="T3312">
        <v>18697</v>
      </c>
      <c r="U3312">
        <v>22244</v>
      </c>
      <c r="V3312" t="s">
        <v>77</v>
      </c>
    </row>
    <row r="3313" spans="1:22">
      <c r="A3313" t="str">
        <f t="shared" si="613"/>
        <v>25/09/2025</v>
      </c>
      <c r="B3313" t="str">
        <f t="shared" si="611"/>
        <v>SAÍDA</v>
      </c>
      <c r="C3313" t="str">
        <f t="shared" si="614"/>
        <v>PIX</v>
      </c>
      <c r="D3313" t="str">
        <f>"22242"</f>
        <v>22242</v>
      </c>
      <c r="E3313" t="str">
        <f t="shared" si="616"/>
        <v>1</v>
      </c>
      <c r="F3313" t="str">
        <f t="shared" si="612"/>
        <v>COM</v>
      </c>
      <c r="G3313" t="str">
        <f>"WESLEY RICARDO DE OLIVEIRA (722)"</f>
        <v>WESLEY RICARDO DE OLIVEIRA (722)</v>
      </c>
      <c r="H3313" t="str">
        <f>"Serv.Prest. 15/09/2025 a 21/09/2025 - PIX: CELULAR - CHAVE: (11) 91214-6176"</f>
        <v>Serv.Prest. 15/09/2025 a 21/09/2025 - PIX: CELULAR - CHAVE: (11) 91214-6176</v>
      </c>
      <c r="I3313" t="str">
        <f t="shared" si="615"/>
        <v>25/09/2025</v>
      </c>
      <c r="J3313" t="str">
        <f t="shared" si="617"/>
        <v>22/09/2025</v>
      </c>
      <c r="K3313" t="str">
        <f>("25/09/2025")</f>
        <v>25/09/2025</v>
      </c>
      <c r="L3313">
        <v>1134</v>
      </c>
      <c r="M3313">
        <v>1134</v>
      </c>
      <c r="N3313">
        <v>109</v>
      </c>
      <c r="O3313" t="str">
        <f>"PAGAMENTO DE ENTREGADORES"</f>
        <v>PAGAMENTO DE ENTREGADORES</v>
      </c>
      <c r="P3313">
        <v>1134</v>
      </c>
      <c r="S3313" t="str">
        <f>"BANCO C6 (149)"</f>
        <v>BANCO C6 (149)</v>
      </c>
      <c r="T3313">
        <v>18698</v>
      </c>
      <c r="U3313">
        <v>22242</v>
      </c>
      <c r="V3313" t="s">
        <v>77</v>
      </c>
    </row>
    <row r="3314" spans="1:22">
      <c r="A3314" t="str">
        <f t="shared" si="613"/>
        <v>25/09/2025</v>
      </c>
      <c r="B3314" t="str">
        <f t="shared" si="611"/>
        <v>SAÍDA</v>
      </c>
      <c r="C3314" t="str">
        <f t="shared" si="614"/>
        <v>PIX</v>
      </c>
      <c r="D3314" t="str">
        <f>"22242"</f>
        <v>22242</v>
      </c>
      <c r="E3314" t="str">
        <f t="shared" si="616"/>
        <v>1</v>
      </c>
      <c r="F3314" t="str">
        <f t="shared" si="612"/>
        <v>COM</v>
      </c>
      <c r="G3314" t="str">
        <f>"WESLEY RICARDO DE OLIVEIRA (722)"</f>
        <v>WESLEY RICARDO DE OLIVEIRA (722)</v>
      </c>
      <c r="H3314" t="s">
        <v>911</v>
      </c>
      <c r="I3314" t="str">
        <f t="shared" si="615"/>
        <v>25/09/2025</v>
      </c>
      <c r="J3314" t="str">
        <f t="shared" si="617"/>
        <v>22/09/2025</v>
      </c>
      <c r="K3314">
        <v>45925</v>
      </c>
      <c r="N3314">
        <v>109</v>
      </c>
      <c r="O3314" t="s">
        <v>24</v>
      </c>
      <c r="Q3314">
        <v>1134</v>
      </c>
      <c r="R3314" t="str">
        <f>"DROGARIA AGAPEAMA (10167)"</f>
        <v>DROGARIA AGAPEAMA (10167)</v>
      </c>
      <c r="S3314" t="s">
        <v>77</v>
      </c>
      <c r="T3314">
        <v>18698</v>
      </c>
      <c r="U3314">
        <v>22242</v>
      </c>
      <c r="V3314" t="s">
        <v>77</v>
      </c>
    </row>
    <row r="3315" spans="1:22">
      <c r="A3315" t="str">
        <f t="shared" si="613"/>
        <v>25/09/2025</v>
      </c>
      <c r="B3315" t="str">
        <f t="shared" si="611"/>
        <v>SAÍDA</v>
      </c>
      <c r="C3315" t="str">
        <f t="shared" si="614"/>
        <v>PIX</v>
      </c>
      <c r="D3315" t="str">
        <f>"22241"</f>
        <v>22241</v>
      </c>
      <c r="E3315" t="str">
        <f t="shared" si="616"/>
        <v>1</v>
      </c>
      <c r="F3315" t="str">
        <f t="shared" si="612"/>
        <v>COM</v>
      </c>
      <c r="G3315" t="str">
        <f>"GUILHERME DA SILVA GOMES (901)"</f>
        <v>GUILHERME DA SILVA GOMES (901)</v>
      </c>
      <c r="H3315" t="str">
        <f>"Serv.Prest. 15/09/2025 a 21/09/2025 - PIX: CPF - CHAVE: 505.341.528-56"</f>
        <v>Serv.Prest. 15/09/2025 a 21/09/2025 - PIX: CPF - CHAVE: 505.341.528-56</v>
      </c>
      <c r="I3315" t="str">
        <f t="shared" si="615"/>
        <v>25/09/2025</v>
      </c>
      <c r="J3315" t="str">
        <f t="shared" si="617"/>
        <v>22/09/2025</v>
      </c>
      <c r="K3315" t="str">
        <f>("25/09/2025")</f>
        <v>25/09/2025</v>
      </c>
      <c r="L3315">
        <v>743.4</v>
      </c>
      <c r="M3315">
        <v>743.4</v>
      </c>
      <c r="N3315">
        <v>109</v>
      </c>
      <c r="O3315" t="str">
        <f>"PAGAMENTO DE ENTREGADORES"</f>
        <v>PAGAMENTO DE ENTREGADORES</v>
      </c>
      <c r="P3315">
        <v>743.4</v>
      </c>
      <c r="S3315" t="str">
        <f>"BANCO C6 (149)"</f>
        <v>BANCO C6 (149)</v>
      </c>
      <c r="T3315">
        <v>18699</v>
      </c>
      <c r="U3315">
        <v>22241</v>
      </c>
      <c r="V3315" t="s">
        <v>77</v>
      </c>
    </row>
    <row r="3316" spans="1:22">
      <c r="A3316" t="str">
        <f t="shared" si="613"/>
        <v>25/09/2025</v>
      </c>
      <c r="B3316" t="str">
        <f t="shared" si="611"/>
        <v>SAÍDA</v>
      </c>
      <c r="C3316" t="str">
        <f t="shared" si="614"/>
        <v>PIX</v>
      </c>
      <c r="D3316" t="str">
        <f>"22241"</f>
        <v>22241</v>
      </c>
      <c r="E3316" t="str">
        <f t="shared" si="616"/>
        <v>1</v>
      </c>
      <c r="F3316" t="str">
        <f t="shared" si="612"/>
        <v>COM</v>
      </c>
      <c r="G3316" t="str">
        <f>"GUILHERME DA SILVA GOMES (901)"</f>
        <v>GUILHERME DA SILVA GOMES (901)</v>
      </c>
      <c r="H3316" t="s">
        <v>912</v>
      </c>
      <c r="I3316" t="str">
        <f t="shared" si="615"/>
        <v>25/09/2025</v>
      </c>
      <c r="J3316" t="str">
        <f t="shared" si="617"/>
        <v>22/09/2025</v>
      </c>
      <c r="K3316">
        <v>45925</v>
      </c>
      <c r="N3316">
        <v>109</v>
      </c>
      <c r="O3316" t="s">
        <v>24</v>
      </c>
      <c r="Q3316">
        <v>743.4</v>
      </c>
      <c r="R3316" t="str">
        <f>"DROGARIA AGAPEAMA (10167)"</f>
        <v>DROGARIA AGAPEAMA (10167)</v>
      </c>
      <c r="S3316" t="s">
        <v>77</v>
      </c>
      <c r="T3316">
        <v>18699</v>
      </c>
      <c r="U3316">
        <v>22241</v>
      </c>
      <c r="V3316" t="s">
        <v>77</v>
      </c>
    </row>
    <row r="3317" spans="1:22">
      <c r="A3317" t="str">
        <f t="shared" si="613"/>
        <v>25/09/2025</v>
      </c>
      <c r="B3317" t="str">
        <f t="shared" si="611"/>
        <v>SAÍDA</v>
      </c>
      <c r="C3317" t="str">
        <f t="shared" si="614"/>
        <v>PIX</v>
      </c>
      <c r="D3317" t="str">
        <f>"22240"</f>
        <v>22240</v>
      </c>
      <c r="E3317" t="str">
        <f t="shared" si="616"/>
        <v>1</v>
      </c>
      <c r="F3317" t="str">
        <f t="shared" si="612"/>
        <v>COM</v>
      </c>
      <c r="G3317" t="str">
        <f>"EDUARDO COSTA DA SILVA (721)"</f>
        <v>EDUARDO COSTA DA SILVA (721)</v>
      </c>
      <c r="H3317" t="str">
        <f>"Serv.Prest. 15/09/2025 a 21/09/2025 - PIX: CELULAR - CHAVE: (11) 95552-9905"</f>
        <v>Serv.Prest. 15/09/2025 a 21/09/2025 - PIX: CELULAR - CHAVE: (11) 95552-9905</v>
      </c>
      <c r="I3317" t="str">
        <f t="shared" si="615"/>
        <v>25/09/2025</v>
      </c>
      <c r="J3317" t="str">
        <f t="shared" si="617"/>
        <v>22/09/2025</v>
      </c>
      <c r="K3317" t="str">
        <f>("25/09/2025")</f>
        <v>25/09/2025</v>
      </c>
      <c r="L3317">
        <v>1417.5</v>
      </c>
      <c r="M3317">
        <v>1417.5</v>
      </c>
      <c r="N3317">
        <v>109</v>
      </c>
      <c r="O3317" t="str">
        <f>"PAGAMENTO DE ENTREGADORES"</f>
        <v>PAGAMENTO DE ENTREGADORES</v>
      </c>
      <c r="P3317">
        <v>1417.5</v>
      </c>
      <c r="S3317" t="str">
        <f>"BANCO C6 (149)"</f>
        <v>BANCO C6 (149)</v>
      </c>
      <c r="T3317">
        <v>18700</v>
      </c>
      <c r="U3317">
        <v>22240</v>
      </c>
      <c r="V3317" t="s">
        <v>77</v>
      </c>
    </row>
    <row r="3318" spans="1:22">
      <c r="A3318" t="str">
        <f t="shared" si="613"/>
        <v>25/09/2025</v>
      </c>
      <c r="B3318" t="str">
        <f t="shared" si="611"/>
        <v>SAÍDA</v>
      </c>
      <c r="C3318" t="str">
        <f t="shared" si="614"/>
        <v>PIX</v>
      </c>
      <c r="D3318" t="str">
        <f>"22240"</f>
        <v>22240</v>
      </c>
      <c r="E3318" t="str">
        <f t="shared" si="616"/>
        <v>1</v>
      </c>
      <c r="F3318" t="str">
        <f t="shared" si="612"/>
        <v>COM</v>
      </c>
      <c r="G3318" t="str">
        <f>"EDUARDO COSTA DA SILVA (721)"</f>
        <v>EDUARDO COSTA DA SILVA (721)</v>
      </c>
      <c r="H3318" t="s">
        <v>913</v>
      </c>
      <c r="I3318" t="str">
        <f t="shared" si="615"/>
        <v>25/09/2025</v>
      </c>
      <c r="J3318" t="str">
        <f t="shared" si="617"/>
        <v>22/09/2025</v>
      </c>
      <c r="K3318">
        <v>45925</v>
      </c>
      <c r="N3318">
        <v>109</v>
      </c>
      <c r="O3318" t="s">
        <v>24</v>
      </c>
      <c r="Q3318">
        <v>1417.5</v>
      </c>
      <c r="R3318" t="str">
        <f>"DROGARIA AGAPEAMA (10167)"</f>
        <v>DROGARIA AGAPEAMA (10167)</v>
      </c>
      <c r="S3318" t="s">
        <v>77</v>
      </c>
      <c r="T3318">
        <v>18700</v>
      </c>
      <c r="U3318">
        <v>22240</v>
      </c>
      <c r="V3318" t="s">
        <v>77</v>
      </c>
    </row>
    <row r="3319" spans="1:22">
      <c r="A3319" t="str">
        <f t="shared" si="613"/>
        <v>25/09/2025</v>
      </c>
      <c r="B3319" t="str">
        <f t="shared" si="611"/>
        <v>SAÍDA</v>
      </c>
      <c r="C3319" t="str">
        <f t="shared" si="614"/>
        <v>PIX</v>
      </c>
      <c r="D3319" t="str">
        <f>"22237"</f>
        <v>22237</v>
      </c>
      <c r="E3319" t="str">
        <f t="shared" si="616"/>
        <v>1</v>
      </c>
      <c r="F3319" t="str">
        <f t="shared" si="612"/>
        <v>COM</v>
      </c>
      <c r="G3319" t="str">
        <f>"MAYKON LOPES DE MENEZES (781)"</f>
        <v>MAYKON LOPES DE MENEZES (781)</v>
      </c>
      <c r="H3319" t="str">
        <f>"Serv.Prest. 15/09/2025 a 21/09/2025 - PIX: CPF - CHAVE: 012.600.851-55"</f>
        <v>Serv.Prest. 15/09/2025 a 21/09/2025 - PIX: CPF - CHAVE: 012.600.851-55</v>
      </c>
      <c r="I3319" t="str">
        <f t="shared" si="615"/>
        <v>25/09/2025</v>
      </c>
      <c r="J3319" t="str">
        <f t="shared" si="617"/>
        <v>22/09/2025</v>
      </c>
      <c r="K3319" t="str">
        <f>("25/09/2025")</f>
        <v>25/09/2025</v>
      </c>
      <c r="L3319">
        <v>527.1</v>
      </c>
      <c r="M3319">
        <v>527.1</v>
      </c>
      <c r="N3319">
        <v>109</v>
      </c>
      <c r="O3319" t="str">
        <f>"PAGAMENTO DE ENTREGADORES"</f>
        <v>PAGAMENTO DE ENTREGADORES</v>
      </c>
      <c r="P3319">
        <v>527.1</v>
      </c>
      <c r="S3319" t="str">
        <f>"BANCO C6 (149)"</f>
        <v>BANCO C6 (149)</v>
      </c>
      <c r="T3319">
        <v>18701</v>
      </c>
      <c r="U3319">
        <v>22237</v>
      </c>
      <c r="V3319" t="s">
        <v>77</v>
      </c>
    </row>
    <row r="3320" spans="1:22">
      <c r="A3320" t="str">
        <f t="shared" si="613"/>
        <v>25/09/2025</v>
      </c>
      <c r="B3320" t="str">
        <f t="shared" si="611"/>
        <v>SAÍDA</v>
      </c>
      <c r="C3320" t="str">
        <f t="shared" si="614"/>
        <v>PIX</v>
      </c>
      <c r="D3320" t="str">
        <f>"22237"</f>
        <v>22237</v>
      </c>
      <c r="E3320" t="str">
        <f t="shared" si="616"/>
        <v>1</v>
      </c>
      <c r="F3320" t="str">
        <f t="shared" si="612"/>
        <v>COM</v>
      </c>
      <c r="G3320" t="str">
        <f>"MAYKON LOPES DE MENEZES (781)"</f>
        <v>MAYKON LOPES DE MENEZES (781)</v>
      </c>
      <c r="H3320" t="s">
        <v>846</v>
      </c>
      <c r="I3320" t="str">
        <f t="shared" si="615"/>
        <v>25/09/2025</v>
      </c>
      <c r="J3320" t="str">
        <f t="shared" si="617"/>
        <v>22/09/2025</v>
      </c>
      <c r="K3320">
        <v>45925</v>
      </c>
      <c r="N3320">
        <v>109</v>
      </c>
      <c r="O3320" t="s">
        <v>24</v>
      </c>
      <c r="Q3320">
        <v>527.1</v>
      </c>
      <c r="R3320" t="str">
        <f>"BRASIL FARMA (10173)"</f>
        <v>BRASIL FARMA (10173)</v>
      </c>
      <c r="S3320" t="s">
        <v>77</v>
      </c>
      <c r="T3320">
        <v>18701</v>
      </c>
      <c r="U3320">
        <v>22237</v>
      </c>
      <c r="V3320" t="s">
        <v>77</v>
      </c>
    </row>
    <row r="3321" spans="1:22">
      <c r="A3321" t="str">
        <f t="shared" si="613"/>
        <v>25/09/2025</v>
      </c>
      <c r="B3321" t="str">
        <f t="shared" si="611"/>
        <v>SAÍDA</v>
      </c>
      <c r="C3321" t="str">
        <f t="shared" si="614"/>
        <v>PIX</v>
      </c>
      <c r="D3321" t="str">
        <f>"22236"</f>
        <v>22236</v>
      </c>
      <c r="E3321" t="str">
        <f t="shared" si="616"/>
        <v>1</v>
      </c>
      <c r="F3321" t="str">
        <f t="shared" si="612"/>
        <v>COM</v>
      </c>
      <c r="G3321" t="str">
        <f>"DEIVID FERNANDES COSTA (828)"</f>
        <v>DEIVID FERNANDES COSTA (828)</v>
      </c>
      <c r="H3321" t="str">
        <f>"Serv.Prest. 15/09/2025 a 21/09/2025 - PIX: CELULAR - CHAVE: (62) 99550-3226"</f>
        <v>Serv.Prest. 15/09/2025 a 21/09/2025 - PIX: CELULAR - CHAVE: (62) 99550-3226</v>
      </c>
      <c r="I3321" t="str">
        <f t="shared" si="615"/>
        <v>25/09/2025</v>
      </c>
      <c r="J3321" t="str">
        <f t="shared" si="617"/>
        <v>22/09/2025</v>
      </c>
      <c r="K3321" t="str">
        <f>("25/09/2025")</f>
        <v>25/09/2025</v>
      </c>
      <c r="L3321">
        <v>606.9</v>
      </c>
      <c r="M3321">
        <v>606.9</v>
      </c>
      <c r="N3321">
        <v>109</v>
      </c>
      <c r="O3321" t="str">
        <f>"PAGAMENTO DE ENTREGADORES"</f>
        <v>PAGAMENTO DE ENTREGADORES</v>
      </c>
      <c r="P3321">
        <v>606.9</v>
      </c>
      <c r="S3321" t="str">
        <f>"BANCO C6 (149)"</f>
        <v>BANCO C6 (149)</v>
      </c>
      <c r="T3321">
        <v>18702</v>
      </c>
      <c r="U3321">
        <v>22236</v>
      </c>
      <c r="V3321" t="s">
        <v>77</v>
      </c>
    </row>
    <row r="3322" spans="1:22">
      <c r="A3322" t="str">
        <f t="shared" si="613"/>
        <v>25/09/2025</v>
      </c>
      <c r="B3322" t="str">
        <f t="shared" si="611"/>
        <v>SAÍDA</v>
      </c>
      <c r="C3322" t="str">
        <f t="shared" si="614"/>
        <v>PIX</v>
      </c>
      <c r="D3322" t="str">
        <f>"22236"</f>
        <v>22236</v>
      </c>
      <c r="E3322" t="str">
        <f t="shared" si="616"/>
        <v>1</v>
      </c>
      <c r="F3322" t="str">
        <f t="shared" si="612"/>
        <v>COM</v>
      </c>
      <c r="G3322" t="str">
        <f>"DEIVID FERNANDES COSTA (828)"</f>
        <v>DEIVID FERNANDES COSTA (828)</v>
      </c>
      <c r="H3322" t="s">
        <v>914</v>
      </c>
      <c r="I3322" t="str">
        <f t="shared" si="615"/>
        <v>25/09/2025</v>
      </c>
      <c r="J3322" t="str">
        <f t="shared" si="617"/>
        <v>22/09/2025</v>
      </c>
      <c r="K3322">
        <v>45925</v>
      </c>
      <c r="N3322">
        <v>109</v>
      </c>
      <c r="O3322" t="s">
        <v>24</v>
      </c>
      <c r="Q3322">
        <v>606.9</v>
      </c>
      <c r="R3322" t="str">
        <f>"BRASIL FARMA (10173)"</f>
        <v>BRASIL FARMA (10173)</v>
      </c>
      <c r="S3322" t="s">
        <v>77</v>
      </c>
      <c r="T3322">
        <v>18702</v>
      </c>
      <c r="U3322">
        <v>22236</v>
      </c>
      <c r="V3322" t="s">
        <v>77</v>
      </c>
    </row>
    <row r="3323" spans="1:22">
      <c r="A3323" t="str">
        <f t="shared" si="613"/>
        <v>25/09/2025</v>
      </c>
      <c r="B3323" t="str">
        <f t="shared" si="611"/>
        <v>SAÍDA</v>
      </c>
      <c r="C3323" t="str">
        <f t="shared" si="614"/>
        <v>PIX</v>
      </c>
      <c r="D3323" t="str">
        <f>"22358"</f>
        <v>22358</v>
      </c>
      <c r="E3323" t="str">
        <f t="shared" si="616"/>
        <v>1</v>
      </c>
      <c r="F3323" t="str">
        <f t="shared" si="612"/>
        <v>COM</v>
      </c>
      <c r="G3323" t="str">
        <f>"JUNIOR DOS SANTOS MACHADO (240)"</f>
        <v>JUNIOR DOS SANTOS MACHADO (240)</v>
      </c>
      <c r="H3323" t="str">
        <f>"Serv.Prest. 15/09/2025 a 21/09/2025 - PIX: CPF - CHAVE: 074.520.456-29"</f>
        <v>Serv.Prest. 15/09/2025 a 21/09/2025 - PIX: CPF - CHAVE: 074.520.456-29</v>
      </c>
      <c r="I3323" t="str">
        <f t="shared" si="615"/>
        <v>25/09/2025</v>
      </c>
      <c r="J3323" t="str">
        <f t="shared" ref="J3323:J3358" si="618">("23/09/2025")</f>
        <v>23/09/2025</v>
      </c>
      <c r="K3323" t="str">
        <f>("25/09/2025")</f>
        <v>25/09/2025</v>
      </c>
      <c r="L3323">
        <v>140</v>
      </c>
      <c r="M3323">
        <v>140</v>
      </c>
      <c r="N3323">
        <v>109</v>
      </c>
      <c r="O3323" t="str">
        <f>"PAGAMENTO DE ENTREGADORES"</f>
        <v>PAGAMENTO DE ENTREGADORES</v>
      </c>
      <c r="P3323">
        <v>140</v>
      </c>
      <c r="S3323" t="str">
        <f>"BANCO C6 (149)"</f>
        <v>BANCO C6 (149)</v>
      </c>
      <c r="T3323">
        <v>18703</v>
      </c>
      <c r="U3323">
        <v>22445</v>
      </c>
      <c r="V3323" t="s">
        <v>77</v>
      </c>
    </row>
    <row r="3324" spans="1:22">
      <c r="A3324" t="str">
        <f t="shared" si="613"/>
        <v>25/09/2025</v>
      </c>
      <c r="B3324" t="str">
        <f t="shared" si="611"/>
        <v>SAÍDA</v>
      </c>
      <c r="C3324" t="str">
        <f t="shared" si="614"/>
        <v>PIX</v>
      </c>
      <c r="D3324" t="str">
        <f>"22358"</f>
        <v>22358</v>
      </c>
      <c r="E3324" t="str">
        <f t="shared" si="616"/>
        <v>1</v>
      </c>
      <c r="F3324" t="str">
        <f t="shared" si="612"/>
        <v>COM</v>
      </c>
      <c r="G3324" t="str">
        <f>"JUNIOR DOS SANTOS MACHADO (240)"</f>
        <v>JUNIOR DOS SANTOS MACHADO (240)</v>
      </c>
      <c r="H3324" t="s">
        <v>915</v>
      </c>
      <c r="I3324" t="str">
        <f t="shared" si="615"/>
        <v>25/09/2025</v>
      </c>
      <c r="J3324" t="str">
        <f t="shared" si="618"/>
        <v>23/09/2025</v>
      </c>
      <c r="K3324">
        <v>45925</v>
      </c>
      <c r="N3324">
        <v>109</v>
      </c>
      <c r="O3324" t="s">
        <v>24</v>
      </c>
      <c r="Q3324">
        <v>140</v>
      </c>
      <c r="R3324" t="str">
        <f>"FARMÁCIA INDIANA LJ 62 (10028)"</f>
        <v>FARMÁCIA INDIANA LJ 62 (10028)</v>
      </c>
      <c r="S3324" t="s">
        <v>77</v>
      </c>
      <c r="T3324">
        <v>18703</v>
      </c>
      <c r="U3324">
        <v>22445</v>
      </c>
      <c r="V3324" t="s">
        <v>77</v>
      </c>
    </row>
    <row r="3325" spans="1:22">
      <c r="A3325" t="str">
        <f t="shared" si="613"/>
        <v>25/09/2025</v>
      </c>
      <c r="B3325" t="str">
        <f t="shared" ref="B3325:B3388" si="619">"SAÍDA"</f>
        <v>SAÍDA</v>
      </c>
      <c r="C3325" t="str">
        <f t="shared" si="614"/>
        <v>PIX</v>
      </c>
      <c r="D3325" t="str">
        <f>"22474"</f>
        <v>22474</v>
      </c>
      <c r="E3325" t="str">
        <f t="shared" si="616"/>
        <v>1</v>
      </c>
      <c r="F3325" t="str">
        <f t="shared" si="612"/>
        <v>COM</v>
      </c>
      <c r="G3325" t="str">
        <f>"WILLIAM DA SILVA COSTA (655)"</f>
        <v>WILLIAM DA SILVA COSTA (655)</v>
      </c>
      <c r="H3325" t="str">
        <f>"Serv.Prest. 15/09/2025 a 21/09/2025 - PIX: CELULAR - CHAVE: (64) 97400-9101"</f>
        <v>Serv.Prest. 15/09/2025 a 21/09/2025 - PIX: CELULAR - CHAVE: (64) 97400-9101</v>
      </c>
      <c r="I3325" t="str">
        <f t="shared" si="615"/>
        <v>25/09/2025</v>
      </c>
      <c r="J3325" t="str">
        <f t="shared" si="618"/>
        <v>23/09/2025</v>
      </c>
      <c r="K3325" t="str">
        <f>("25/09/2025")</f>
        <v>25/09/2025</v>
      </c>
      <c r="L3325">
        <v>1981</v>
      </c>
      <c r="M3325">
        <v>1981</v>
      </c>
      <c r="N3325">
        <v>109</v>
      </c>
      <c r="O3325" t="str">
        <f>"PAGAMENTO DE ENTREGADORES"</f>
        <v>PAGAMENTO DE ENTREGADORES</v>
      </c>
      <c r="P3325">
        <v>1981</v>
      </c>
      <c r="S3325" t="str">
        <f>"BANCO C6 (149)"</f>
        <v>BANCO C6 (149)</v>
      </c>
      <c r="T3325">
        <v>18704</v>
      </c>
      <c r="U3325">
        <v>22474</v>
      </c>
      <c r="V3325" t="s">
        <v>77</v>
      </c>
    </row>
    <row r="3326" spans="1:22">
      <c r="A3326" t="str">
        <f t="shared" si="613"/>
        <v>25/09/2025</v>
      </c>
      <c r="B3326" t="str">
        <f t="shared" si="619"/>
        <v>SAÍDA</v>
      </c>
      <c r="C3326" t="str">
        <f t="shared" si="614"/>
        <v>PIX</v>
      </c>
      <c r="D3326" t="str">
        <f>"22474"</f>
        <v>22474</v>
      </c>
      <c r="E3326" t="str">
        <f t="shared" si="616"/>
        <v>1</v>
      </c>
      <c r="F3326" t="str">
        <f t="shared" ref="F3326:F3389" si="620">"COM"</f>
        <v>COM</v>
      </c>
      <c r="G3326" t="str">
        <f>"WILLIAM DA SILVA COSTA (655)"</f>
        <v>WILLIAM DA SILVA COSTA (655)</v>
      </c>
      <c r="H3326" t="s">
        <v>826</v>
      </c>
      <c r="I3326" t="str">
        <f t="shared" si="615"/>
        <v>25/09/2025</v>
      </c>
      <c r="J3326" t="str">
        <f t="shared" si="618"/>
        <v>23/09/2025</v>
      </c>
      <c r="K3326">
        <v>45925</v>
      </c>
      <c r="N3326">
        <v>109</v>
      </c>
      <c r="O3326" t="s">
        <v>24</v>
      </c>
      <c r="Q3326">
        <v>1981</v>
      </c>
      <c r="R3326" t="str">
        <f>"FARMACIA ECONOMIZE (10103)"</f>
        <v>FARMACIA ECONOMIZE (10103)</v>
      </c>
      <c r="S3326" t="s">
        <v>77</v>
      </c>
      <c r="T3326">
        <v>18704</v>
      </c>
      <c r="U3326">
        <v>22474</v>
      </c>
      <c r="V3326" t="s">
        <v>77</v>
      </c>
    </row>
    <row r="3327" spans="1:22">
      <c r="A3327" t="str">
        <f t="shared" si="613"/>
        <v>25/09/2025</v>
      </c>
      <c r="B3327" t="str">
        <f t="shared" si="619"/>
        <v>SAÍDA</v>
      </c>
      <c r="C3327" t="str">
        <f t="shared" si="614"/>
        <v>PIX</v>
      </c>
      <c r="D3327" t="str">
        <f>"22473"</f>
        <v>22473</v>
      </c>
      <c r="E3327" t="str">
        <f t="shared" si="616"/>
        <v>1</v>
      </c>
      <c r="F3327" t="str">
        <f t="shared" si="620"/>
        <v>COM</v>
      </c>
      <c r="G3327" t="str">
        <f>"LUIZ FERNANDO OLIVEIRA DE JESUS (932)"</f>
        <v>LUIZ FERNANDO OLIVEIRA DE JESUS (932)</v>
      </c>
      <c r="H3327" t="str">
        <f>"Serv.Prest. 15/09/2025 a 21/09/2025 - PIX: CPF - CHAVE: 707.468.161-03"</f>
        <v>Serv.Prest. 15/09/2025 a 21/09/2025 - PIX: CPF - CHAVE: 707.468.161-03</v>
      </c>
      <c r="I3327" t="str">
        <f t="shared" si="615"/>
        <v>25/09/2025</v>
      </c>
      <c r="J3327" t="str">
        <f t="shared" si="618"/>
        <v>23/09/2025</v>
      </c>
      <c r="K3327" t="str">
        <f>("25/09/2025")</f>
        <v>25/09/2025</v>
      </c>
      <c r="L3327">
        <v>252</v>
      </c>
      <c r="M3327">
        <v>252</v>
      </c>
      <c r="N3327">
        <v>109</v>
      </c>
      <c r="O3327" t="str">
        <f>"PAGAMENTO DE ENTREGADORES"</f>
        <v>PAGAMENTO DE ENTREGADORES</v>
      </c>
      <c r="P3327">
        <v>252</v>
      </c>
      <c r="S3327" t="str">
        <f>"BANCO C6 (149)"</f>
        <v>BANCO C6 (149)</v>
      </c>
      <c r="T3327">
        <v>18705</v>
      </c>
      <c r="U3327">
        <v>22473</v>
      </c>
      <c r="V3327" t="s">
        <v>77</v>
      </c>
    </row>
    <row r="3328" spans="1:22">
      <c r="A3328" t="str">
        <f t="shared" si="613"/>
        <v>25/09/2025</v>
      </c>
      <c r="B3328" t="str">
        <f t="shared" si="619"/>
        <v>SAÍDA</v>
      </c>
      <c r="C3328" t="str">
        <f t="shared" si="614"/>
        <v>PIX</v>
      </c>
      <c r="D3328" t="str">
        <f>"22473"</f>
        <v>22473</v>
      </c>
      <c r="E3328" t="str">
        <f t="shared" si="616"/>
        <v>1</v>
      </c>
      <c r="F3328" t="str">
        <f t="shared" si="620"/>
        <v>COM</v>
      </c>
      <c r="G3328" t="str">
        <f>"LUIZ FERNANDO OLIVEIRA DE JESUS (932)"</f>
        <v>LUIZ FERNANDO OLIVEIRA DE JESUS (932)</v>
      </c>
      <c r="H3328" t="s">
        <v>916</v>
      </c>
      <c r="I3328" t="str">
        <f t="shared" si="615"/>
        <v>25/09/2025</v>
      </c>
      <c r="J3328" t="str">
        <f t="shared" si="618"/>
        <v>23/09/2025</v>
      </c>
      <c r="K3328">
        <v>45925</v>
      </c>
      <c r="N3328">
        <v>109</v>
      </c>
      <c r="O3328" t="s">
        <v>24</v>
      </c>
      <c r="Q3328">
        <v>252</v>
      </c>
      <c r="R3328" t="str">
        <f>"FARMACIA ECONOMIZE (10103)"</f>
        <v>FARMACIA ECONOMIZE (10103)</v>
      </c>
      <c r="S3328" t="s">
        <v>77</v>
      </c>
      <c r="T3328">
        <v>18705</v>
      </c>
      <c r="U3328">
        <v>22473</v>
      </c>
      <c r="V3328" t="s">
        <v>77</v>
      </c>
    </row>
    <row r="3329" spans="1:22">
      <c r="A3329" t="str">
        <f t="shared" si="613"/>
        <v>25/09/2025</v>
      </c>
      <c r="B3329" t="str">
        <f t="shared" si="619"/>
        <v>SAÍDA</v>
      </c>
      <c r="C3329" t="str">
        <f t="shared" si="614"/>
        <v>PIX</v>
      </c>
      <c r="D3329" t="str">
        <f>"22471"</f>
        <v>22471</v>
      </c>
      <c r="E3329" t="str">
        <f t="shared" si="616"/>
        <v>1</v>
      </c>
      <c r="F3329" t="str">
        <f t="shared" si="620"/>
        <v>COM</v>
      </c>
      <c r="G3329" t="str">
        <f>"ELIENAI ROSA DO NASCIMENTO (343)"</f>
        <v>ELIENAI ROSA DO NASCIMENTO (343)</v>
      </c>
      <c r="H3329" t="str">
        <f>"Serv.Prest. 15/09/2025 a 21/09/2025 - PIX: CPF - CHAVE: 048.672.645-20"</f>
        <v>Serv.Prest. 15/09/2025 a 21/09/2025 - PIX: CPF - CHAVE: 048.672.645-20</v>
      </c>
      <c r="I3329" t="str">
        <f t="shared" si="615"/>
        <v>25/09/2025</v>
      </c>
      <c r="J3329" t="str">
        <f t="shared" si="618"/>
        <v>23/09/2025</v>
      </c>
      <c r="K3329" t="str">
        <f>("25/09/2025")</f>
        <v>25/09/2025</v>
      </c>
      <c r="L3329">
        <v>760</v>
      </c>
      <c r="M3329">
        <v>760</v>
      </c>
      <c r="N3329">
        <v>109</v>
      </c>
      <c r="O3329" t="str">
        <f>"PAGAMENTO DE ENTREGADORES"</f>
        <v>PAGAMENTO DE ENTREGADORES</v>
      </c>
      <c r="P3329">
        <v>760</v>
      </c>
      <c r="S3329" t="str">
        <f>"BANCO C6 (149)"</f>
        <v>BANCO C6 (149)</v>
      </c>
      <c r="T3329">
        <v>18706</v>
      </c>
      <c r="U3329">
        <v>22471</v>
      </c>
      <c r="V3329" t="s">
        <v>77</v>
      </c>
    </row>
    <row r="3330" spans="1:22">
      <c r="A3330" t="str">
        <f t="shared" si="613"/>
        <v>25/09/2025</v>
      </c>
      <c r="B3330" t="str">
        <f t="shared" si="619"/>
        <v>SAÍDA</v>
      </c>
      <c r="C3330" t="str">
        <f t="shared" si="614"/>
        <v>PIX</v>
      </c>
      <c r="D3330" t="str">
        <f>"22471"</f>
        <v>22471</v>
      </c>
      <c r="E3330" t="str">
        <f t="shared" si="616"/>
        <v>1</v>
      </c>
      <c r="F3330" t="str">
        <f t="shared" si="620"/>
        <v>COM</v>
      </c>
      <c r="G3330" t="str">
        <f>"ELIENAI ROSA DO NASCIMENTO (343)"</f>
        <v>ELIENAI ROSA DO NASCIMENTO (343)</v>
      </c>
      <c r="H3330" t="s">
        <v>917</v>
      </c>
      <c r="I3330" t="str">
        <f t="shared" si="615"/>
        <v>25/09/2025</v>
      </c>
      <c r="J3330" t="str">
        <f t="shared" si="618"/>
        <v>23/09/2025</v>
      </c>
      <c r="K3330">
        <v>45925</v>
      </c>
      <c r="N3330">
        <v>109</v>
      </c>
      <c r="O3330" t="s">
        <v>24</v>
      </c>
      <c r="Q3330">
        <v>760</v>
      </c>
      <c r="R3330" t="str">
        <f>"DELTA LOJA 2 (10123)"</f>
        <v>DELTA LOJA 2 (10123)</v>
      </c>
      <c r="S3330" t="s">
        <v>77</v>
      </c>
      <c r="T3330">
        <v>18706</v>
      </c>
      <c r="U3330">
        <v>22471</v>
      </c>
      <c r="V3330" t="s">
        <v>77</v>
      </c>
    </row>
    <row r="3331" spans="1:22">
      <c r="A3331" t="str">
        <f t="shared" si="613"/>
        <v>25/09/2025</v>
      </c>
      <c r="B3331" t="str">
        <f t="shared" si="619"/>
        <v>SAÍDA</v>
      </c>
      <c r="C3331" t="str">
        <f t="shared" si="614"/>
        <v>PIX</v>
      </c>
      <c r="D3331" t="str">
        <f>"22470"</f>
        <v>22470</v>
      </c>
      <c r="E3331" t="str">
        <f t="shared" si="616"/>
        <v>1</v>
      </c>
      <c r="F3331" t="str">
        <f t="shared" si="620"/>
        <v>COM</v>
      </c>
      <c r="G3331" t="str">
        <f>"EDVAN DA SILVA ALVES (934)"</f>
        <v>EDVAN DA SILVA ALVES (934)</v>
      </c>
      <c r="H3331" t="str">
        <f>"Serv.Prest. 15/09/2025 a 21/09/2025 - PIX: E-MAIL - CHAVE: edvam18.alves@gmail.com"</f>
        <v>Serv.Prest. 15/09/2025 a 21/09/2025 - PIX: E-MAIL - CHAVE: edvam18.alves@gmail.com</v>
      </c>
      <c r="I3331" t="str">
        <f t="shared" si="615"/>
        <v>25/09/2025</v>
      </c>
      <c r="J3331" t="str">
        <f t="shared" si="618"/>
        <v>23/09/2025</v>
      </c>
      <c r="K3331" t="str">
        <f>("25/09/2025")</f>
        <v>25/09/2025</v>
      </c>
      <c r="L3331">
        <v>810</v>
      </c>
      <c r="M3331">
        <v>810</v>
      </c>
      <c r="N3331">
        <v>109</v>
      </c>
      <c r="O3331" t="str">
        <f>"PAGAMENTO DE ENTREGADORES"</f>
        <v>PAGAMENTO DE ENTREGADORES</v>
      </c>
      <c r="P3331">
        <v>810</v>
      </c>
      <c r="S3331" t="str">
        <f>"BANCO C6 (149)"</f>
        <v>BANCO C6 (149)</v>
      </c>
      <c r="T3331">
        <v>18707</v>
      </c>
      <c r="U3331">
        <v>22470</v>
      </c>
      <c r="V3331" t="s">
        <v>77</v>
      </c>
    </row>
    <row r="3332" spans="1:22">
      <c r="A3332" t="str">
        <f t="shared" si="613"/>
        <v>25/09/2025</v>
      </c>
      <c r="B3332" t="str">
        <f t="shared" si="619"/>
        <v>SAÍDA</v>
      </c>
      <c r="C3332" t="str">
        <f t="shared" si="614"/>
        <v>PIX</v>
      </c>
      <c r="D3332" t="str">
        <f>"22470"</f>
        <v>22470</v>
      </c>
      <c r="E3332" t="str">
        <f t="shared" si="616"/>
        <v>1</v>
      </c>
      <c r="F3332" t="str">
        <f t="shared" si="620"/>
        <v>COM</v>
      </c>
      <c r="G3332" t="str">
        <f>"EDVAN DA SILVA ALVES (934)"</f>
        <v>EDVAN DA SILVA ALVES (934)</v>
      </c>
      <c r="H3332" t="s">
        <v>918</v>
      </c>
      <c r="I3332" t="str">
        <f t="shared" si="615"/>
        <v>25/09/2025</v>
      </c>
      <c r="J3332" t="str">
        <f t="shared" si="618"/>
        <v>23/09/2025</v>
      </c>
      <c r="K3332">
        <v>45925</v>
      </c>
      <c r="N3332">
        <v>109</v>
      </c>
      <c r="O3332" t="s">
        <v>24</v>
      </c>
      <c r="Q3332">
        <v>810</v>
      </c>
      <c r="R3332" t="str">
        <f>"DELTA LOJA 2 (10123)"</f>
        <v>DELTA LOJA 2 (10123)</v>
      </c>
      <c r="S3332" t="s">
        <v>77</v>
      </c>
      <c r="T3332">
        <v>18707</v>
      </c>
      <c r="U3332">
        <v>22470</v>
      </c>
      <c r="V3332" t="s">
        <v>77</v>
      </c>
    </row>
    <row r="3333" spans="1:22">
      <c r="A3333" t="str">
        <f t="shared" si="613"/>
        <v>25/09/2025</v>
      </c>
      <c r="B3333" t="str">
        <f t="shared" si="619"/>
        <v>SAÍDA</v>
      </c>
      <c r="C3333" t="str">
        <f t="shared" si="614"/>
        <v>PIX</v>
      </c>
      <c r="D3333" t="str">
        <f>"22469"</f>
        <v>22469</v>
      </c>
      <c r="E3333" t="str">
        <f t="shared" si="616"/>
        <v>1</v>
      </c>
      <c r="F3333" t="str">
        <f t="shared" si="620"/>
        <v>COM</v>
      </c>
      <c r="G3333" t="str">
        <f>"EDNUBIA RAMOS ALVES OLIVEIRA (899)"</f>
        <v>EDNUBIA RAMOS ALVES OLIVEIRA (899)</v>
      </c>
      <c r="H3333" t="str">
        <f>"Serv.Prest. 15/09/2025 a 21/09/2025 - PIX: CELULAR - CHAVE: (71) 99214-9256"</f>
        <v>Serv.Prest. 15/09/2025 a 21/09/2025 - PIX: CELULAR - CHAVE: (71) 99214-9256</v>
      </c>
      <c r="I3333" t="str">
        <f t="shared" si="615"/>
        <v>25/09/2025</v>
      </c>
      <c r="J3333" t="str">
        <f t="shared" si="618"/>
        <v>23/09/2025</v>
      </c>
      <c r="K3333" t="str">
        <f>("25/09/2025")</f>
        <v>25/09/2025</v>
      </c>
      <c r="L3333">
        <v>805</v>
      </c>
      <c r="M3333">
        <v>805</v>
      </c>
      <c r="N3333">
        <v>109</v>
      </c>
      <c r="O3333" t="str">
        <f>"PAGAMENTO DE ENTREGADORES"</f>
        <v>PAGAMENTO DE ENTREGADORES</v>
      </c>
      <c r="P3333">
        <v>805</v>
      </c>
      <c r="S3333" t="str">
        <f>"BANCO C6 (149)"</f>
        <v>BANCO C6 (149)</v>
      </c>
      <c r="T3333">
        <v>18708</v>
      </c>
      <c r="U3333">
        <v>22469</v>
      </c>
      <c r="V3333" t="s">
        <v>77</v>
      </c>
    </row>
    <row r="3334" spans="1:22">
      <c r="A3334" t="str">
        <f t="shared" si="613"/>
        <v>25/09/2025</v>
      </c>
      <c r="B3334" t="str">
        <f t="shared" si="619"/>
        <v>SAÍDA</v>
      </c>
      <c r="C3334" t="str">
        <f t="shared" si="614"/>
        <v>PIX</v>
      </c>
      <c r="D3334" t="str">
        <f>"22469"</f>
        <v>22469</v>
      </c>
      <c r="E3334" t="str">
        <f t="shared" si="616"/>
        <v>1</v>
      </c>
      <c r="F3334" t="str">
        <f t="shared" si="620"/>
        <v>COM</v>
      </c>
      <c r="G3334" t="str">
        <f>"EDNUBIA RAMOS ALVES OLIVEIRA (899)"</f>
        <v>EDNUBIA RAMOS ALVES OLIVEIRA (899)</v>
      </c>
      <c r="H3334" t="s">
        <v>919</v>
      </c>
      <c r="I3334" t="str">
        <f t="shared" si="615"/>
        <v>25/09/2025</v>
      </c>
      <c r="J3334" t="str">
        <f t="shared" si="618"/>
        <v>23/09/2025</v>
      </c>
      <c r="K3334">
        <v>45925</v>
      </c>
      <c r="N3334">
        <v>109</v>
      </c>
      <c r="O3334" t="s">
        <v>24</v>
      </c>
      <c r="Q3334">
        <v>805</v>
      </c>
      <c r="R3334" t="str">
        <f>"DELTA LOJA 2 (10123)"</f>
        <v>DELTA LOJA 2 (10123)</v>
      </c>
      <c r="S3334" t="s">
        <v>77</v>
      </c>
      <c r="T3334">
        <v>18708</v>
      </c>
      <c r="U3334">
        <v>22469</v>
      </c>
      <c r="V3334" t="s">
        <v>77</v>
      </c>
    </row>
    <row r="3335" spans="1:22">
      <c r="A3335" t="str">
        <f t="shared" si="613"/>
        <v>25/09/2025</v>
      </c>
      <c r="B3335" t="str">
        <f t="shared" si="619"/>
        <v>SAÍDA</v>
      </c>
      <c r="C3335" t="str">
        <f t="shared" si="614"/>
        <v>PIX</v>
      </c>
      <c r="D3335" t="str">
        <f>"22468"</f>
        <v>22468</v>
      </c>
      <c r="E3335" t="str">
        <f t="shared" si="616"/>
        <v>1</v>
      </c>
      <c r="F3335" t="str">
        <f t="shared" si="620"/>
        <v>COM</v>
      </c>
      <c r="G3335" t="str">
        <f>"ALBERTO FARIAS DOS SANTOS JUNIOR (800)"</f>
        <v>ALBERTO FARIAS DOS SANTOS JUNIOR (800)</v>
      </c>
      <c r="H3335" t="str">
        <f>"Serv.Prest. 15/09/2025 a 21/09/2025 - PIX: CELULAR - CHAVE: (71) 99696-7530"</f>
        <v>Serv.Prest. 15/09/2025 a 21/09/2025 - PIX: CELULAR - CHAVE: (71) 99696-7530</v>
      </c>
      <c r="I3335" t="str">
        <f t="shared" si="615"/>
        <v>25/09/2025</v>
      </c>
      <c r="J3335" t="str">
        <f t="shared" si="618"/>
        <v>23/09/2025</v>
      </c>
      <c r="K3335" t="str">
        <f>("25/09/2025")</f>
        <v>25/09/2025</v>
      </c>
      <c r="L3335">
        <v>795</v>
      </c>
      <c r="M3335">
        <v>795</v>
      </c>
      <c r="N3335">
        <v>109</v>
      </c>
      <c r="O3335" t="str">
        <f>"PAGAMENTO DE ENTREGADORES"</f>
        <v>PAGAMENTO DE ENTREGADORES</v>
      </c>
      <c r="P3335">
        <v>795</v>
      </c>
      <c r="S3335" t="str">
        <f>"BANCO C6 (149)"</f>
        <v>BANCO C6 (149)</v>
      </c>
      <c r="T3335">
        <v>18709</v>
      </c>
      <c r="U3335">
        <v>22468</v>
      </c>
      <c r="V3335" t="s">
        <v>77</v>
      </c>
    </row>
    <row r="3336" spans="1:22">
      <c r="A3336" t="str">
        <f t="shared" si="613"/>
        <v>25/09/2025</v>
      </c>
      <c r="B3336" t="str">
        <f t="shared" si="619"/>
        <v>SAÍDA</v>
      </c>
      <c r="C3336" t="str">
        <f t="shared" si="614"/>
        <v>PIX</v>
      </c>
      <c r="D3336" t="str">
        <f>"22468"</f>
        <v>22468</v>
      </c>
      <c r="E3336" t="str">
        <f t="shared" si="616"/>
        <v>1</v>
      </c>
      <c r="F3336" t="str">
        <f t="shared" si="620"/>
        <v>COM</v>
      </c>
      <c r="G3336" t="str">
        <f>"ALBERTO FARIAS DOS SANTOS JUNIOR (800)"</f>
        <v>ALBERTO FARIAS DOS SANTOS JUNIOR (800)</v>
      </c>
      <c r="H3336" t="s">
        <v>920</v>
      </c>
      <c r="I3336" t="str">
        <f t="shared" si="615"/>
        <v>25/09/2025</v>
      </c>
      <c r="J3336" t="str">
        <f t="shared" si="618"/>
        <v>23/09/2025</v>
      </c>
      <c r="K3336">
        <v>45925</v>
      </c>
      <c r="N3336">
        <v>109</v>
      </c>
      <c r="O3336" t="s">
        <v>24</v>
      </c>
      <c r="Q3336">
        <v>795</v>
      </c>
      <c r="R3336" t="str">
        <f>"DELTA LOJA 2 (10123)"</f>
        <v>DELTA LOJA 2 (10123)</v>
      </c>
      <c r="S3336" t="s">
        <v>77</v>
      </c>
      <c r="T3336">
        <v>18709</v>
      </c>
      <c r="U3336">
        <v>22468</v>
      </c>
      <c r="V3336" t="s">
        <v>77</v>
      </c>
    </row>
    <row r="3337" spans="1:22">
      <c r="A3337" t="str">
        <f t="shared" si="613"/>
        <v>25/09/2025</v>
      </c>
      <c r="B3337" t="str">
        <f t="shared" si="619"/>
        <v>SAÍDA</v>
      </c>
      <c r="C3337" t="str">
        <f t="shared" si="614"/>
        <v>PIX</v>
      </c>
      <c r="D3337" t="str">
        <f>"22439"</f>
        <v>22439</v>
      </c>
      <c r="E3337" t="str">
        <f t="shared" si="616"/>
        <v>1</v>
      </c>
      <c r="F3337" t="str">
        <f t="shared" si="620"/>
        <v>COM</v>
      </c>
      <c r="G3337" t="str">
        <f>"TALES DE JESUS OLIVEIRA (318)"</f>
        <v>TALES DE JESUS OLIVEIRA (318)</v>
      </c>
      <c r="H3337" t="str">
        <f>"Serv.Prest. 15/09/2025 a 21/09/2025 - PIX: CPF - CHAVE: 378.223.888-51"</f>
        <v>Serv.Prest. 15/09/2025 a 21/09/2025 - PIX: CPF - CHAVE: 378.223.888-51</v>
      </c>
      <c r="I3337" t="str">
        <f t="shared" si="615"/>
        <v>25/09/2025</v>
      </c>
      <c r="J3337" t="str">
        <f t="shared" si="618"/>
        <v>23/09/2025</v>
      </c>
      <c r="K3337" t="str">
        <f>("25/09/2025")</f>
        <v>25/09/2025</v>
      </c>
      <c r="L3337">
        <v>702</v>
      </c>
      <c r="M3337">
        <v>700</v>
      </c>
      <c r="N3337">
        <v>109</v>
      </c>
      <c r="O3337" t="str">
        <f>"PAGAMENTO DE ENTREGADORES"</f>
        <v>PAGAMENTO DE ENTREGADORES</v>
      </c>
      <c r="P3337">
        <v>700</v>
      </c>
      <c r="S3337" t="str">
        <f>"BANCO C6 (149)"</f>
        <v>BANCO C6 (149)</v>
      </c>
      <c r="T3337">
        <v>18710</v>
      </c>
      <c r="U3337">
        <v>22439</v>
      </c>
      <c r="V3337" t="s">
        <v>77</v>
      </c>
    </row>
    <row r="3338" spans="1:22">
      <c r="A3338" t="str">
        <f t="shared" si="613"/>
        <v>25/09/2025</v>
      </c>
      <c r="B3338" t="str">
        <f t="shared" si="619"/>
        <v>SAÍDA</v>
      </c>
      <c r="C3338" t="str">
        <f t="shared" si="614"/>
        <v>PIX</v>
      </c>
      <c r="D3338" t="str">
        <f>"22439"</f>
        <v>22439</v>
      </c>
      <c r="E3338" t="str">
        <f t="shared" si="616"/>
        <v>1</v>
      </c>
      <c r="F3338" t="str">
        <f t="shared" si="620"/>
        <v>COM</v>
      </c>
      <c r="G3338" t="str">
        <f>"TALES DE JESUS OLIVEIRA (318)"</f>
        <v>TALES DE JESUS OLIVEIRA (318)</v>
      </c>
      <c r="H3338" t="s">
        <v>921</v>
      </c>
      <c r="I3338" t="str">
        <f t="shared" si="615"/>
        <v>25/09/2025</v>
      </c>
      <c r="J3338" t="str">
        <f t="shared" si="618"/>
        <v>23/09/2025</v>
      </c>
      <c r="K3338">
        <v>45925</v>
      </c>
      <c r="N3338">
        <v>109</v>
      </c>
      <c r="O3338" t="s">
        <v>24</v>
      </c>
      <c r="Q3338">
        <v>700</v>
      </c>
      <c r="R3338" t="str">
        <f>"FARMÁCIA INDIANA LJ 145 (10068)"</f>
        <v>FARMÁCIA INDIANA LJ 145 (10068)</v>
      </c>
      <c r="S3338" t="s">
        <v>77</v>
      </c>
      <c r="T3338">
        <v>18710</v>
      </c>
      <c r="U3338">
        <v>22439</v>
      </c>
      <c r="V3338" t="s">
        <v>77</v>
      </c>
    </row>
    <row r="3339" spans="1:22">
      <c r="A3339" t="str">
        <f t="shared" si="613"/>
        <v>25/09/2025</v>
      </c>
      <c r="B3339" t="str">
        <f t="shared" si="619"/>
        <v>SAÍDA</v>
      </c>
      <c r="C3339" t="str">
        <f t="shared" si="614"/>
        <v>PIX</v>
      </c>
      <c r="D3339" t="str">
        <f>"22438"</f>
        <v>22438</v>
      </c>
      <c r="E3339" t="str">
        <f t="shared" si="616"/>
        <v>1</v>
      </c>
      <c r="F3339" t="str">
        <f t="shared" si="620"/>
        <v>COM</v>
      </c>
      <c r="G3339" t="str">
        <f>"ROBSON OLIVEIRA DE JESUS (623)"</f>
        <v>ROBSON OLIVEIRA DE JESUS (623)</v>
      </c>
      <c r="H3339" t="str">
        <f>"Serv.Prest. 15/09/2025 a 21/09/2025 - PIX: CPF - CHAVE: 009.265.655-24"</f>
        <v>Serv.Prest. 15/09/2025 a 21/09/2025 - PIX: CPF - CHAVE: 009.265.655-24</v>
      </c>
      <c r="I3339" t="str">
        <f t="shared" si="615"/>
        <v>25/09/2025</v>
      </c>
      <c r="J3339" t="str">
        <f t="shared" si="618"/>
        <v>23/09/2025</v>
      </c>
      <c r="K3339" t="str">
        <f>("25/09/2025")</f>
        <v>25/09/2025</v>
      </c>
      <c r="L3339">
        <v>702</v>
      </c>
      <c r="M3339">
        <v>700</v>
      </c>
      <c r="N3339">
        <v>109</v>
      </c>
      <c r="O3339" t="str">
        <f>"PAGAMENTO DE ENTREGADORES"</f>
        <v>PAGAMENTO DE ENTREGADORES</v>
      </c>
      <c r="P3339">
        <v>700</v>
      </c>
      <c r="S3339" t="str">
        <f>"BANCO C6 (149)"</f>
        <v>BANCO C6 (149)</v>
      </c>
      <c r="T3339">
        <v>18711</v>
      </c>
      <c r="U3339">
        <v>22438</v>
      </c>
      <c r="V3339" t="s">
        <v>77</v>
      </c>
    </row>
    <row r="3340" spans="1:22">
      <c r="A3340" t="str">
        <f t="shared" si="613"/>
        <v>25/09/2025</v>
      </c>
      <c r="B3340" t="str">
        <f t="shared" si="619"/>
        <v>SAÍDA</v>
      </c>
      <c r="C3340" t="str">
        <f t="shared" si="614"/>
        <v>PIX</v>
      </c>
      <c r="D3340" t="str">
        <f>"22438"</f>
        <v>22438</v>
      </c>
      <c r="E3340" t="str">
        <f t="shared" si="616"/>
        <v>1</v>
      </c>
      <c r="F3340" t="str">
        <f t="shared" si="620"/>
        <v>COM</v>
      </c>
      <c r="G3340" t="str">
        <f>"ROBSON OLIVEIRA DE JESUS (623)"</f>
        <v>ROBSON OLIVEIRA DE JESUS (623)</v>
      </c>
      <c r="H3340" t="s">
        <v>922</v>
      </c>
      <c r="I3340" t="str">
        <f t="shared" si="615"/>
        <v>25/09/2025</v>
      </c>
      <c r="J3340" t="str">
        <f t="shared" si="618"/>
        <v>23/09/2025</v>
      </c>
      <c r="K3340">
        <v>45925</v>
      </c>
      <c r="N3340">
        <v>109</v>
      </c>
      <c r="O3340" t="s">
        <v>24</v>
      </c>
      <c r="Q3340">
        <v>700</v>
      </c>
      <c r="R3340" t="str">
        <f>"FARMÁCIA INDIANA LJ 145 (10068)"</f>
        <v>FARMÁCIA INDIANA LJ 145 (10068)</v>
      </c>
      <c r="S3340" t="s">
        <v>77</v>
      </c>
      <c r="T3340">
        <v>18711</v>
      </c>
      <c r="U3340">
        <v>22438</v>
      </c>
      <c r="V3340" t="s">
        <v>77</v>
      </c>
    </row>
    <row r="3341" spans="1:22">
      <c r="A3341" t="str">
        <f t="shared" si="613"/>
        <v>25/09/2025</v>
      </c>
      <c r="B3341" t="str">
        <f t="shared" si="619"/>
        <v>SAÍDA</v>
      </c>
      <c r="C3341" t="str">
        <f t="shared" si="614"/>
        <v>PIX</v>
      </c>
      <c r="D3341" t="str">
        <f>"22423"</f>
        <v>22423</v>
      </c>
      <c r="E3341" t="str">
        <f t="shared" si="616"/>
        <v>1</v>
      </c>
      <c r="F3341" t="str">
        <f t="shared" si="620"/>
        <v>COM</v>
      </c>
      <c r="G3341" t="str">
        <f>"GILSON OLIVEIRA CAMPINHO JUNIOR (132)"</f>
        <v>GILSON OLIVEIRA CAMPINHO JUNIOR (132)</v>
      </c>
      <c r="H3341" t="str">
        <f>"Serv.Prest. 15/09/2025 a 21/09/2025 - PIX: CELULAR - CHAVE: (73) 988381077"</f>
        <v>Serv.Prest. 15/09/2025 a 21/09/2025 - PIX: CELULAR - CHAVE: (73) 988381077</v>
      </c>
      <c r="I3341" t="str">
        <f t="shared" si="615"/>
        <v>25/09/2025</v>
      </c>
      <c r="J3341" t="str">
        <f t="shared" si="618"/>
        <v>23/09/2025</v>
      </c>
      <c r="K3341" t="str">
        <f>("25/09/2025")</f>
        <v>25/09/2025</v>
      </c>
      <c r="L3341">
        <v>720</v>
      </c>
      <c r="M3341">
        <v>720</v>
      </c>
      <c r="N3341">
        <v>109</v>
      </c>
      <c r="O3341" t="str">
        <f>"PAGAMENTO DE ENTREGADORES"</f>
        <v>PAGAMENTO DE ENTREGADORES</v>
      </c>
      <c r="P3341">
        <v>720</v>
      </c>
      <c r="S3341" t="str">
        <f>"BANCO C6 (149)"</f>
        <v>BANCO C6 (149)</v>
      </c>
      <c r="T3341">
        <v>18712</v>
      </c>
      <c r="U3341">
        <v>22423</v>
      </c>
      <c r="V3341" t="s">
        <v>77</v>
      </c>
    </row>
    <row r="3342" spans="1:22">
      <c r="A3342" t="str">
        <f t="shared" ref="A3342:A3405" si="621">("25/09/2025")</f>
        <v>25/09/2025</v>
      </c>
      <c r="B3342" t="str">
        <f t="shared" si="619"/>
        <v>SAÍDA</v>
      </c>
      <c r="C3342" t="str">
        <f t="shared" ref="C3342:C3405" si="622">"PIX"</f>
        <v>PIX</v>
      </c>
      <c r="D3342" t="str">
        <f>"22423"</f>
        <v>22423</v>
      </c>
      <c r="E3342" t="str">
        <f t="shared" si="616"/>
        <v>1</v>
      </c>
      <c r="F3342" t="str">
        <f t="shared" si="620"/>
        <v>COM</v>
      </c>
      <c r="G3342" t="str">
        <f>"GILSON OLIVEIRA CAMPINHO JUNIOR (132)"</f>
        <v>GILSON OLIVEIRA CAMPINHO JUNIOR (132)</v>
      </c>
      <c r="H3342" t="s">
        <v>923</v>
      </c>
      <c r="I3342" t="str">
        <f t="shared" si="615"/>
        <v>25/09/2025</v>
      </c>
      <c r="J3342" t="str">
        <f t="shared" si="618"/>
        <v>23/09/2025</v>
      </c>
      <c r="K3342">
        <v>45925</v>
      </c>
      <c r="N3342">
        <v>109</v>
      </c>
      <c r="O3342" t="s">
        <v>24</v>
      </c>
      <c r="Q3342">
        <v>720</v>
      </c>
      <c r="R3342" t="str">
        <f>"FARMÁCIA INDIANA LJ 91 (10037)"</f>
        <v>FARMÁCIA INDIANA LJ 91 (10037)</v>
      </c>
      <c r="S3342" t="s">
        <v>77</v>
      </c>
      <c r="T3342">
        <v>18712</v>
      </c>
      <c r="U3342">
        <v>22423</v>
      </c>
      <c r="V3342" t="s">
        <v>77</v>
      </c>
    </row>
    <row r="3343" spans="1:22">
      <c r="A3343" t="str">
        <f t="shared" si="621"/>
        <v>25/09/2025</v>
      </c>
      <c r="B3343" t="str">
        <f t="shared" si="619"/>
        <v>SAÍDA</v>
      </c>
      <c r="C3343" t="str">
        <f t="shared" si="622"/>
        <v>PIX</v>
      </c>
      <c r="D3343" t="str">
        <f>"22417"</f>
        <v>22417</v>
      </c>
      <c r="E3343" t="str">
        <f t="shared" si="616"/>
        <v>1</v>
      </c>
      <c r="F3343" t="str">
        <f t="shared" si="620"/>
        <v>COM</v>
      </c>
      <c r="G3343" t="str">
        <f>"DANILO DE JESUS SANTOS (490)"</f>
        <v>DANILO DE JESUS SANTOS (490)</v>
      </c>
      <c r="H3343" t="str">
        <f>"Serv.Prest. 15/09/2025 a 21/09/2025 - PIX: CELULAR - CHAVE: (73) 98191-0061"</f>
        <v>Serv.Prest. 15/09/2025 a 21/09/2025 - PIX: CELULAR - CHAVE: (73) 98191-0061</v>
      </c>
      <c r="I3343" t="str">
        <f t="shared" si="615"/>
        <v>25/09/2025</v>
      </c>
      <c r="J3343" t="str">
        <f t="shared" si="618"/>
        <v>23/09/2025</v>
      </c>
      <c r="K3343" t="str">
        <f>("25/09/2025")</f>
        <v>25/09/2025</v>
      </c>
      <c r="L3343">
        <v>702</v>
      </c>
      <c r="M3343">
        <v>700</v>
      </c>
      <c r="N3343">
        <v>109</v>
      </c>
      <c r="O3343" t="str">
        <f>"PAGAMENTO DE ENTREGADORES"</f>
        <v>PAGAMENTO DE ENTREGADORES</v>
      </c>
      <c r="P3343">
        <v>700</v>
      </c>
      <c r="S3343" t="str">
        <f>"BANCO C6 (149)"</f>
        <v>BANCO C6 (149)</v>
      </c>
      <c r="T3343">
        <v>18713</v>
      </c>
      <c r="U3343">
        <v>22417</v>
      </c>
      <c r="V3343" t="s">
        <v>77</v>
      </c>
    </row>
    <row r="3344" spans="1:22">
      <c r="A3344" t="str">
        <f t="shared" si="621"/>
        <v>25/09/2025</v>
      </c>
      <c r="B3344" t="str">
        <f t="shared" si="619"/>
        <v>SAÍDA</v>
      </c>
      <c r="C3344" t="str">
        <f t="shared" si="622"/>
        <v>PIX</v>
      </c>
      <c r="D3344" t="str">
        <f>"22417"</f>
        <v>22417</v>
      </c>
      <c r="E3344" t="str">
        <f t="shared" si="616"/>
        <v>1</v>
      </c>
      <c r="F3344" t="str">
        <f t="shared" si="620"/>
        <v>COM</v>
      </c>
      <c r="G3344" t="str">
        <f>"DANILO DE JESUS SANTOS (490)"</f>
        <v>DANILO DE JESUS SANTOS (490)</v>
      </c>
      <c r="H3344" t="s">
        <v>924</v>
      </c>
      <c r="I3344" t="str">
        <f t="shared" si="615"/>
        <v>25/09/2025</v>
      </c>
      <c r="J3344" t="str">
        <f t="shared" si="618"/>
        <v>23/09/2025</v>
      </c>
      <c r="K3344">
        <v>45925</v>
      </c>
      <c r="N3344">
        <v>109</v>
      </c>
      <c r="O3344" t="s">
        <v>24</v>
      </c>
      <c r="Q3344">
        <v>700</v>
      </c>
      <c r="R3344" t="str">
        <f>"FARMÁCIA INDIANA LJ 145 (10068)"</f>
        <v>FARMÁCIA INDIANA LJ 145 (10068)</v>
      </c>
      <c r="S3344" t="s">
        <v>77</v>
      </c>
      <c r="T3344">
        <v>18713</v>
      </c>
      <c r="U3344">
        <v>22417</v>
      </c>
      <c r="V3344" t="s">
        <v>77</v>
      </c>
    </row>
    <row r="3345" spans="1:22">
      <c r="A3345" t="str">
        <f t="shared" si="621"/>
        <v>25/09/2025</v>
      </c>
      <c r="B3345" t="str">
        <f t="shared" si="619"/>
        <v>SAÍDA</v>
      </c>
      <c r="C3345" t="str">
        <f t="shared" si="622"/>
        <v>PIX</v>
      </c>
      <c r="D3345" t="str">
        <f>"22407"</f>
        <v>22407</v>
      </c>
      <c r="E3345" t="str">
        <f t="shared" si="616"/>
        <v>1</v>
      </c>
      <c r="F3345" t="str">
        <f t="shared" si="620"/>
        <v>COM</v>
      </c>
      <c r="G3345" t="str">
        <f>"WEIGNE SENA CARDOSO (53)"</f>
        <v>WEIGNE SENA CARDOSO (53)</v>
      </c>
      <c r="H3345" t="str">
        <f>"Serv.Prest. 15/09/2025 a 21/09/2025 - PIX: CPF - CHAVE: 097.245.586-81"</f>
        <v>Serv.Prest. 15/09/2025 a 21/09/2025 - PIX: CPF - CHAVE: 097.245.586-81</v>
      </c>
      <c r="I3345" t="str">
        <f t="shared" si="615"/>
        <v>25/09/2025</v>
      </c>
      <c r="J3345" t="str">
        <f t="shared" si="618"/>
        <v>23/09/2025</v>
      </c>
      <c r="K3345" t="str">
        <f>("25/09/2025")</f>
        <v>25/09/2025</v>
      </c>
      <c r="L3345">
        <v>750</v>
      </c>
      <c r="M3345">
        <v>750</v>
      </c>
      <c r="N3345">
        <v>109</v>
      </c>
      <c r="O3345" t="str">
        <f>"PAGAMENTO DE ENTREGADORES"</f>
        <v>PAGAMENTO DE ENTREGADORES</v>
      </c>
      <c r="P3345">
        <v>750</v>
      </c>
      <c r="S3345" t="str">
        <f>"BANCO C6 (149)"</f>
        <v>BANCO C6 (149)</v>
      </c>
      <c r="T3345">
        <v>18714</v>
      </c>
      <c r="U3345">
        <v>22407</v>
      </c>
      <c r="V3345" t="s">
        <v>77</v>
      </c>
    </row>
    <row r="3346" spans="1:22">
      <c r="A3346" t="str">
        <f t="shared" si="621"/>
        <v>25/09/2025</v>
      </c>
      <c r="B3346" t="str">
        <f t="shared" si="619"/>
        <v>SAÍDA</v>
      </c>
      <c r="C3346" t="str">
        <f t="shared" si="622"/>
        <v>PIX</v>
      </c>
      <c r="D3346" t="str">
        <f>"22407"</f>
        <v>22407</v>
      </c>
      <c r="E3346" t="str">
        <f t="shared" si="616"/>
        <v>1</v>
      </c>
      <c r="F3346" t="str">
        <f t="shared" si="620"/>
        <v>COM</v>
      </c>
      <c r="G3346" t="str">
        <f>"WEIGNE SENA CARDOSO (53)"</f>
        <v>WEIGNE SENA CARDOSO (53)</v>
      </c>
      <c r="H3346" t="s">
        <v>925</v>
      </c>
      <c r="I3346" t="str">
        <f t="shared" si="615"/>
        <v>25/09/2025</v>
      </c>
      <c r="J3346" t="str">
        <f t="shared" si="618"/>
        <v>23/09/2025</v>
      </c>
      <c r="K3346">
        <v>45925</v>
      </c>
      <c r="N3346">
        <v>109</v>
      </c>
      <c r="O3346" t="s">
        <v>24</v>
      </c>
      <c r="Q3346">
        <v>750</v>
      </c>
      <c r="R3346" t="str">
        <f>"FARMÁCIA INDIANA LJ 07 (10007)"</f>
        <v>FARMÁCIA INDIANA LJ 07 (10007)</v>
      </c>
      <c r="S3346" t="s">
        <v>77</v>
      </c>
      <c r="T3346">
        <v>18714</v>
      </c>
      <c r="U3346">
        <v>22407</v>
      </c>
      <c r="V3346" t="s">
        <v>77</v>
      </c>
    </row>
    <row r="3347" spans="1:22">
      <c r="A3347" t="str">
        <f t="shared" si="621"/>
        <v>25/09/2025</v>
      </c>
      <c r="B3347" t="str">
        <f t="shared" si="619"/>
        <v>SAÍDA</v>
      </c>
      <c r="C3347" t="str">
        <f t="shared" si="622"/>
        <v>PIX</v>
      </c>
      <c r="D3347" t="str">
        <f>"22403"</f>
        <v>22403</v>
      </c>
      <c r="E3347" t="str">
        <f t="shared" si="616"/>
        <v>1</v>
      </c>
      <c r="F3347" t="str">
        <f t="shared" si="620"/>
        <v>COM</v>
      </c>
      <c r="G3347" t="str">
        <f>"VITOR CARDOSO FAUSTINO (257)"</f>
        <v>VITOR CARDOSO FAUSTINO (257)</v>
      </c>
      <c r="H3347" t="str">
        <f>"Serv.Prest. 15/09/2025 a 21/09/2025 - PIX: CPF - CHAVE: 157.874.046-02"</f>
        <v>Serv.Prest. 15/09/2025 a 21/09/2025 - PIX: CPF - CHAVE: 157.874.046-02</v>
      </c>
      <c r="I3347" t="str">
        <f t="shared" si="615"/>
        <v>25/09/2025</v>
      </c>
      <c r="J3347" t="str">
        <f t="shared" si="618"/>
        <v>23/09/2025</v>
      </c>
      <c r="K3347" t="str">
        <f>("25/09/2025")</f>
        <v>25/09/2025</v>
      </c>
      <c r="L3347">
        <v>684</v>
      </c>
      <c r="M3347">
        <v>684</v>
      </c>
      <c r="N3347">
        <v>109</v>
      </c>
      <c r="O3347" t="str">
        <f>"PAGAMENTO DE ENTREGADORES"</f>
        <v>PAGAMENTO DE ENTREGADORES</v>
      </c>
      <c r="P3347">
        <v>684</v>
      </c>
      <c r="S3347" t="str">
        <f>"BANCO C6 (149)"</f>
        <v>BANCO C6 (149)</v>
      </c>
      <c r="T3347">
        <v>18715</v>
      </c>
      <c r="U3347">
        <v>22403</v>
      </c>
      <c r="V3347" t="s">
        <v>77</v>
      </c>
    </row>
    <row r="3348" spans="1:22">
      <c r="A3348" t="str">
        <f t="shared" si="621"/>
        <v>25/09/2025</v>
      </c>
      <c r="B3348" t="str">
        <f t="shared" si="619"/>
        <v>SAÍDA</v>
      </c>
      <c r="C3348" t="str">
        <f t="shared" si="622"/>
        <v>PIX</v>
      </c>
      <c r="D3348" t="str">
        <f>"22403"</f>
        <v>22403</v>
      </c>
      <c r="E3348" t="str">
        <f t="shared" si="616"/>
        <v>1</v>
      </c>
      <c r="F3348" t="str">
        <f t="shared" si="620"/>
        <v>COM</v>
      </c>
      <c r="G3348" t="str">
        <f>"VITOR CARDOSO FAUSTINO (257)"</f>
        <v>VITOR CARDOSO FAUSTINO (257)</v>
      </c>
      <c r="H3348" t="s">
        <v>926</v>
      </c>
      <c r="I3348" t="str">
        <f t="shared" ref="I3348:I3411" si="623">("25/09/2025")</f>
        <v>25/09/2025</v>
      </c>
      <c r="J3348" t="str">
        <f t="shared" si="618"/>
        <v>23/09/2025</v>
      </c>
      <c r="K3348">
        <v>45925</v>
      </c>
      <c r="N3348">
        <v>109</v>
      </c>
      <c r="O3348" t="s">
        <v>24</v>
      </c>
      <c r="Q3348">
        <v>684</v>
      </c>
      <c r="R3348" t="str">
        <f>"FARMÁCIA INDIANA LJ 07 (10007)"</f>
        <v>FARMÁCIA INDIANA LJ 07 (10007)</v>
      </c>
      <c r="S3348" t="s">
        <v>77</v>
      </c>
      <c r="T3348">
        <v>18715</v>
      </c>
      <c r="U3348">
        <v>22403</v>
      </c>
      <c r="V3348" t="s">
        <v>77</v>
      </c>
    </row>
    <row r="3349" spans="1:22">
      <c r="A3349" t="str">
        <f t="shared" si="621"/>
        <v>25/09/2025</v>
      </c>
      <c r="B3349" t="str">
        <f t="shared" si="619"/>
        <v>SAÍDA</v>
      </c>
      <c r="C3349" t="str">
        <f t="shared" si="622"/>
        <v>PIX</v>
      </c>
      <c r="D3349" t="str">
        <f>"22400"</f>
        <v>22400</v>
      </c>
      <c r="E3349" t="str">
        <f t="shared" si="616"/>
        <v>1</v>
      </c>
      <c r="F3349" t="str">
        <f t="shared" si="620"/>
        <v>COM</v>
      </c>
      <c r="G3349" t="str">
        <f>"THALES VIANA DOS SANTOS (63)"</f>
        <v>THALES VIANA DOS SANTOS (63)</v>
      </c>
      <c r="H3349" t="str">
        <f>"Serv.Prest. 15/09/2025 a 21/09/2025 - PIX: CELULAR - CHAVE: (33) 99880-7941"</f>
        <v>Serv.Prest. 15/09/2025 a 21/09/2025 - PIX: CELULAR - CHAVE: (33) 99880-7941</v>
      </c>
      <c r="I3349" t="str">
        <f t="shared" si="623"/>
        <v>25/09/2025</v>
      </c>
      <c r="J3349" t="str">
        <f t="shared" si="618"/>
        <v>23/09/2025</v>
      </c>
      <c r="K3349" t="str">
        <f>("25/09/2025")</f>
        <v>25/09/2025</v>
      </c>
      <c r="L3349">
        <v>708</v>
      </c>
      <c r="M3349">
        <v>708</v>
      </c>
      <c r="N3349">
        <v>109</v>
      </c>
      <c r="O3349" t="str">
        <f>"PAGAMENTO DE ENTREGADORES"</f>
        <v>PAGAMENTO DE ENTREGADORES</v>
      </c>
      <c r="P3349">
        <v>708</v>
      </c>
      <c r="S3349" t="str">
        <f>"BANCO C6 (149)"</f>
        <v>BANCO C6 (149)</v>
      </c>
      <c r="T3349">
        <v>18716</v>
      </c>
      <c r="U3349">
        <v>22400</v>
      </c>
      <c r="V3349" t="s">
        <v>77</v>
      </c>
    </row>
    <row r="3350" spans="1:22">
      <c r="A3350" t="str">
        <f t="shared" si="621"/>
        <v>25/09/2025</v>
      </c>
      <c r="B3350" t="str">
        <f t="shared" si="619"/>
        <v>SAÍDA</v>
      </c>
      <c r="C3350" t="str">
        <f t="shared" si="622"/>
        <v>PIX</v>
      </c>
      <c r="D3350" t="str">
        <f>"22400"</f>
        <v>22400</v>
      </c>
      <c r="E3350" t="str">
        <f t="shared" ref="E3350:E3413" si="624">"1"</f>
        <v>1</v>
      </c>
      <c r="F3350" t="str">
        <f t="shared" si="620"/>
        <v>COM</v>
      </c>
      <c r="G3350" t="str">
        <f>"THALES VIANA DOS SANTOS (63)"</f>
        <v>THALES VIANA DOS SANTOS (63)</v>
      </c>
      <c r="H3350" t="s">
        <v>927</v>
      </c>
      <c r="I3350" t="str">
        <f t="shared" si="623"/>
        <v>25/09/2025</v>
      </c>
      <c r="J3350" t="str">
        <f t="shared" si="618"/>
        <v>23/09/2025</v>
      </c>
      <c r="K3350">
        <v>45925</v>
      </c>
      <c r="N3350">
        <v>109</v>
      </c>
      <c r="O3350" t="s">
        <v>24</v>
      </c>
      <c r="Q3350">
        <v>708</v>
      </c>
      <c r="R3350" t="str">
        <f>"FARMÁCIA INDIANA LJ 07 (10007)"</f>
        <v>FARMÁCIA INDIANA LJ 07 (10007)</v>
      </c>
      <c r="S3350" t="s">
        <v>77</v>
      </c>
      <c r="T3350">
        <v>18716</v>
      </c>
      <c r="U3350">
        <v>22400</v>
      </c>
      <c r="V3350" t="s">
        <v>77</v>
      </c>
    </row>
    <row r="3351" spans="1:22">
      <c r="A3351" t="str">
        <f t="shared" si="621"/>
        <v>25/09/2025</v>
      </c>
      <c r="B3351" t="str">
        <f t="shared" si="619"/>
        <v>SAÍDA</v>
      </c>
      <c r="C3351" t="str">
        <f t="shared" si="622"/>
        <v>PIX</v>
      </c>
      <c r="D3351" t="str">
        <f>"22395"</f>
        <v>22395</v>
      </c>
      <c r="E3351" t="str">
        <f t="shared" si="624"/>
        <v>1</v>
      </c>
      <c r="F3351" t="str">
        <f t="shared" si="620"/>
        <v>COM</v>
      </c>
      <c r="G3351" t="str">
        <f>"SAMUEL JADSON SANTANA RIBEIRO (55)"</f>
        <v>SAMUEL JADSON SANTANA RIBEIRO (55)</v>
      </c>
      <c r="H3351" t="str">
        <f>"Serv.Prest. 15/09/2025 a 21/09/2025 - PIX: CPF - CHAVE: 701.955.866-62"</f>
        <v>Serv.Prest. 15/09/2025 a 21/09/2025 - PIX: CPF - CHAVE: 701.955.866-62</v>
      </c>
      <c r="I3351" t="str">
        <f t="shared" si="623"/>
        <v>25/09/2025</v>
      </c>
      <c r="J3351" t="str">
        <f t="shared" si="618"/>
        <v>23/09/2025</v>
      </c>
      <c r="K3351" t="str">
        <f>("25/09/2025")</f>
        <v>25/09/2025</v>
      </c>
      <c r="L3351">
        <v>714</v>
      </c>
      <c r="M3351">
        <v>714</v>
      </c>
      <c r="N3351">
        <v>109</v>
      </c>
      <c r="O3351" t="str">
        <f>"PAGAMENTO DE ENTREGADORES"</f>
        <v>PAGAMENTO DE ENTREGADORES</v>
      </c>
      <c r="P3351">
        <v>714</v>
      </c>
      <c r="S3351" t="str">
        <f>"BANCO C6 (149)"</f>
        <v>BANCO C6 (149)</v>
      </c>
      <c r="T3351">
        <v>18717</v>
      </c>
      <c r="U3351">
        <v>22395</v>
      </c>
      <c r="V3351" t="s">
        <v>77</v>
      </c>
    </row>
    <row r="3352" spans="1:22">
      <c r="A3352" t="str">
        <f t="shared" si="621"/>
        <v>25/09/2025</v>
      </c>
      <c r="B3352" t="str">
        <f t="shared" si="619"/>
        <v>SAÍDA</v>
      </c>
      <c r="C3352" t="str">
        <f t="shared" si="622"/>
        <v>PIX</v>
      </c>
      <c r="D3352" t="str">
        <f>"22395"</f>
        <v>22395</v>
      </c>
      <c r="E3352" t="str">
        <f t="shared" si="624"/>
        <v>1</v>
      </c>
      <c r="F3352" t="str">
        <f t="shared" si="620"/>
        <v>COM</v>
      </c>
      <c r="G3352" t="str">
        <f>"SAMUEL JADSON SANTANA RIBEIRO (55)"</f>
        <v>SAMUEL JADSON SANTANA RIBEIRO (55)</v>
      </c>
      <c r="H3352" t="s">
        <v>928</v>
      </c>
      <c r="I3352" t="str">
        <f t="shared" si="623"/>
        <v>25/09/2025</v>
      </c>
      <c r="J3352" t="str">
        <f t="shared" si="618"/>
        <v>23/09/2025</v>
      </c>
      <c r="K3352">
        <v>45925</v>
      </c>
      <c r="N3352">
        <v>109</v>
      </c>
      <c r="O3352" t="s">
        <v>24</v>
      </c>
      <c r="Q3352">
        <v>714</v>
      </c>
      <c r="R3352" t="str">
        <f>"FARMÁCIA INDIANA LJ 07 (10007)"</f>
        <v>FARMÁCIA INDIANA LJ 07 (10007)</v>
      </c>
      <c r="S3352" t="s">
        <v>77</v>
      </c>
      <c r="T3352">
        <v>18717</v>
      </c>
      <c r="U3352">
        <v>22395</v>
      </c>
      <c r="V3352" t="s">
        <v>77</v>
      </c>
    </row>
    <row r="3353" spans="1:22">
      <c r="A3353" t="str">
        <f t="shared" si="621"/>
        <v>25/09/2025</v>
      </c>
      <c r="B3353" t="str">
        <f t="shared" si="619"/>
        <v>SAÍDA</v>
      </c>
      <c r="C3353" t="str">
        <f t="shared" si="622"/>
        <v>PIX</v>
      </c>
      <c r="D3353" t="str">
        <f>"22466"</f>
        <v>22466</v>
      </c>
      <c r="E3353" t="str">
        <f t="shared" si="624"/>
        <v>1</v>
      </c>
      <c r="F3353" t="str">
        <f t="shared" si="620"/>
        <v>COM</v>
      </c>
      <c r="G3353" t="str">
        <f>"SAMMY TOMAS HAMDAN (950)"</f>
        <v>SAMMY TOMAS HAMDAN (950)</v>
      </c>
      <c r="H3353" t="str">
        <f>"Serv.Prest. 15/09/2025 a 21/09/2025 - PIX: CPF - CHAVE: 133.055.616-02"</f>
        <v>Serv.Prest. 15/09/2025 a 21/09/2025 - PIX: CPF - CHAVE: 133.055.616-02</v>
      </c>
      <c r="I3353" t="str">
        <f t="shared" si="623"/>
        <v>25/09/2025</v>
      </c>
      <c r="J3353" t="str">
        <f t="shared" si="618"/>
        <v>23/09/2025</v>
      </c>
      <c r="K3353" t="str">
        <f>("25/09/2025")</f>
        <v>25/09/2025</v>
      </c>
      <c r="L3353">
        <v>57</v>
      </c>
      <c r="M3353">
        <v>57</v>
      </c>
      <c r="N3353">
        <v>109</v>
      </c>
      <c r="O3353" t="str">
        <f>"PAGAMENTO DE ENTREGADORES"</f>
        <v>PAGAMENTO DE ENTREGADORES</v>
      </c>
      <c r="P3353">
        <v>57</v>
      </c>
      <c r="S3353" t="str">
        <f>"BANCO C6 (149)"</f>
        <v>BANCO C6 (149)</v>
      </c>
      <c r="T3353">
        <v>18718</v>
      </c>
      <c r="U3353">
        <v>22466</v>
      </c>
      <c r="V3353" t="s">
        <v>77</v>
      </c>
    </row>
    <row r="3354" spans="1:22">
      <c r="A3354" t="str">
        <f t="shared" si="621"/>
        <v>25/09/2025</v>
      </c>
      <c r="B3354" t="str">
        <f t="shared" si="619"/>
        <v>SAÍDA</v>
      </c>
      <c r="C3354" t="str">
        <f t="shared" si="622"/>
        <v>PIX</v>
      </c>
      <c r="D3354" t="str">
        <f>"22466"</f>
        <v>22466</v>
      </c>
      <c r="E3354" t="str">
        <f t="shared" si="624"/>
        <v>1</v>
      </c>
      <c r="F3354" t="str">
        <f t="shared" si="620"/>
        <v>COM</v>
      </c>
      <c r="G3354" t="str">
        <f>"SAMMY TOMAS HAMDAN (950)"</f>
        <v>SAMMY TOMAS HAMDAN (950)</v>
      </c>
      <c r="H3354" t="s">
        <v>837</v>
      </c>
      <c r="I3354" t="str">
        <f t="shared" si="623"/>
        <v>25/09/2025</v>
      </c>
      <c r="J3354" t="str">
        <f t="shared" si="618"/>
        <v>23/09/2025</v>
      </c>
      <c r="K3354">
        <v>45925</v>
      </c>
      <c r="N3354">
        <v>109</v>
      </c>
      <c r="O3354" t="s">
        <v>24</v>
      </c>
      <c r="Q3354">
        <v>57</v>
      </c>
      <c r="R3354" t="str">
        <f>"DROGA HONDA (10149)"</f>
        <v>DROGA HONDA (10149)</v>
      </c>
      <c r="S3354" t="s">
        <v>77</v>
      </c>
      <c r="T3354">
        <v>18718</v>
      </c>
      <c r="U3354">
        <v>22466</v>
      </c>
      <c r="V3354" t="s">
        <v>77</v>
      </c>
    </row>
    <row r="3355" spans="1:22">
      <c r="A3355" t="str">
        <f t="shared" si="621"/>
        <v>25/09/2025</v>
      </c>
      <c r="B3355" t="str">
        <f t="shared" si="619"/>
        <v>SAÍDA</v>
      </c>
      <c r="C3355" t="str">
        <f t="shared" si="622"/>
        <v>PIX</v>
      </c>
      <c r="D3355" t="str">
        <f>"22465"</f>
        <v>22465</v>
      </c>
      <c r="E3355" t="str">
        <f t="shared" si="624"/>
        <v>1</v>
      </c>
      <c r="F3355" t="str">
        <f t="shared" si="620"/>
        <v>COM</v>
      </c>
      <c r="G3355" t="str">
        <f>"NILTON ADRIANO SILVA DE JESUS (943)"</f>
        <v>NILTON ADRIANO SILVA DE JESUS (943)</v>
      </c>
      <c r="H3355" t="str">
        <f>"Serv.Prest. 15/09/2025 a 21/09/2025 - PIX: CELULAR - CHAVE: (34) 99772-2954"</f>
        <v>Serv.Prest. 15/09/2025 a 21/09/2025 - PIX: CELULAR - CHAVE: (34) 99772-2954</v>
      </c>
      <c r="I3355" t="str">
        <f t="shared" si="623"/>
        <v>25/09/2025</v>
      </c>
      <c r="J3355" t="str">
        <f t="shared" si="618"/>
        <v>23/09/2025</v>
      </c>
      <c r="K3355" t="str">
        <f>("25/09/2025")</f>
        <v>25/09/2025</v>
      </c>
      <c r="L3355">
        <v>922.5</v>
      </c>
      <c r="M3355">
        <v>922.5</v>
      </c>
      <c r="N3355">
        <v>109</v>
      </c>
      <c r="O3355" t="str">
        <f>"PAGAMENTO DE ENTREGADORES"</f>
        <v>PAGAMENTO DE ENTREGADORES</v>
      </c>
      <c r="P3355">
        <v>922.5</v>
      </c>
      <c r="S3355" t="str">
        <f>"BANCO C6 (149)"</f>
        <v>BANCO C6 (149)</v>
      </c>
      <c r="T3355">
        <v>18719</v>
      </c>
      <c r="U3355">
        <v>22465</v>
      </c>
      <c r="V3355" t="s">
        <v>77</v>
      </c>
    </row>
    <row r="3356" spans="1:22">
      <c r="A3356" t="str">
        <f t="shared" si="621"/>
        <v>25/09/2025</v>
      </c>
      <c r="B3356" t="str">
        <f t="shared" si="619"/>
        <v>SAÍDA</v>
      </c>
      <c r="C3356" t="str">
        <f t="shared" si="622"/>
        <v>PIX</v>
      </c>
      <c r="D3356" t="str">
        <f>"22465"</f>
        <v>22465</v>
      </c>
      <c r="E3356" t="str">
        <f t="shared" si="624"/>
        <v>1</v>
      </c>
      <c r="F3356" t="str">
        <f t="shared" si="620"/>
        <v>COM</v>
      </c>
      <c r="G3356" t="str">
        <f>"NILTON ADRIANO SILVA DE JESUS (943)"</f>
        <v>NILTON ADRIANO SILVA DE JESUS (943)</v>
      </c>
      <c r="H3356" t="s">
        <v>929</v>
      </c>
      <c r="I3356" t="str">
        <f t="shared" si="623"/>
        <v>25/09/2025</v>
      </c>
      <c r="J3356" t="str">
        <f t="shared" si="618"/>
        <v>23/09/2025</v>
      </c>
      <c r="K3356">
        <v>45925</v>
      </c>
      <c r="N3356">
        <v>109</v>
      </c>
      <c r="O3356" t="s">
        <v>24</v>
      </c>
      <c r="Q3356">
        <v>922.5</v>
      </c>
      <c r="R3356" t="str">
        <f>"DROGA HONDA (10149)"</f>
        <v>DROGA HONDA (10149)</v>
      </c>
      <c r="S3356" t="s">
        <v>77</v>
      </c>
      <c r="T3356">
        <v>18719</v>
      </c>
      <c r="U3356">
        <v>22465</v>
      </c>
      <c r="V3356" t="s">
        <v>77</v>
      </c>
    </row>
    <row r="3357" spans="1:22">
      <c r="A3357" t="str">
        <f t="shared" si="621"/>
        <v>25/09/2025</v>
      </c>
      <c r="B3357" t="str">
        <f t="shared" si="619"/>
        <v>SAÍDA</v>
      </c>
      <c r="C3357" t="str">
        <f t="shared" si="622"/>
        <v>PIX</v>
      </c>
      <c r="D3357" t="str">
        <f>"22464"</f>
        <v>22464</v>
      </c>
      <c r="E3357" t="str">
        <f t="shared" si="624"/>
        <v>1</v>
      </c>
      <c r="F3357" t="str">
        <f t="shared" si="620"/>
        <v>COM</v>
      </c>
      <c r="G3357" t="str">
        <f>"GABRYELL OLIVEIRA GONCALVES (942)"</f>
        <v>GABRYELL OLIVEIRA GONCALVES (942)</v>
      </c>
      <c r="H3357" t="str">
        <f>"Serv.Prest. 15/09/2025 a 21/09/2025 - PIX: CELULAR - CHAVE: (34) 99149-4422"</f>
        <v>Serv.Prest. 15/09/2025 a 21/09/2025 - PIX: CELULAR - CHAVE: (34) 99149-4422</v>
      </c>
      <c r="I3357" t="str">
        <f t="shared" si="623"/>
        <v>25/09/2025</v>
      </c>
      <c r="J3357" t="str">
        <f t="shared" si="618"/>
        <v>23/09/2025</v>
      </c>
      <c r="K3357" t="str">
        <f>("25/09/2025")</f>
        <v>25/09/2025</v>
      </c>
      <c r="L3357">
        <v>243</v>
      </c>
      <c r="M3357">
        <v>240</v>
      </c>
      <c r="N3357">
        <v>109</v>
      </c>
      <c r="O3357" t="str">
        <f>"PAGAMENTO DE ENTREGADORES"</f>
        <v>PAGAMENTO DE ENTREGADORES</v>
      </c>
      <c r="P3357">
        <v>240</v>
      </c>
      <c r="S3357" t="str">
        <f>"BANCO C6 (149)"</f>
        <v>BANCO C6 (149)</v>
      </c>
      <c r="T3357">
        <v>18720</v>
      </c>
      <c r="U3357">
        <v>22464</v>
      </c>
      <c r="V3357" t="s">
        <v>77</v>
      </c>
    </row>
    <row r="3358" spans="1:22">
      <c r="A3358" t="str">
        <f t="shared" si="621"/>
        <v>25/09/2025</v>
      </c>
      <c r="B3358" t="str">
        <f t="shared" si="619"/>
        <v>SAÍDA</v>
      </c>
      <c r="C3358" t="str">
        <f t="shared" si="622"/>
        <v>PIX</v>
      </c>
      <c r="D3358" t="str">
        <f>"22464"</f>
        <v>22464</v>
      </c>
      <c r="E3358" t="str">
        <f t="shared" si="624"/>
        <v>1</v>
      </c>
      <c r="F3358" t="str">
        <f t="shared" si="620"/>
        <v>COM</v>
      </c>
      <c r="G3358" t="str">
        <f>"GABRYELL OLIVEIRA GONCALVES (942)"</f>
        <v>GABRYELL OLIVEIRA GONCALVES (942)</v>
      </c>
      <c r="H3358" t="s">
        <v>930</v>
      </c>
      <c r="I3358" t="str">
        <f t="shared" si="623"/>
        <v>25/09/2025</v>
      </c>
      <c r="J3358" t="str">
        <f t="shared" si="618"/>
        <v>23/09/2025</v>
      </c>
      <c r="K3358">
        <v>45925</v>
      </c>
      <c r="N3358">
        <v>109</v>
      </c>
      <c r="O3358" t="s">
        <v>24</v>
      </c>
      <c r="Q3358">
        <v>240</v>
      </c>
      <c r="R3358" t="str">
        <f>"DROGA HONDA (10149)"</f>
        <v>DROGA HONDA (10149)</v>
      </c>
      <c r="S3358" t="s">
        <v>77</v>
      </c>
      <c r="T3358">
        <v>18720</v>
      </c>
      <c r="U3358">
        <v>22464</v>
      </c>
      <c r="V3358" t="s">
        <v>77</v>
      </c>
    </row>
    <row r="3359" spans="1:22">
      <c r="A3359" t="str">
        <f t="shared" si="621"/>
        <v>25/09/2025</v>
      </c>
      <c r="B3359" t="str">
        <f t="shared" si="619"/>
        <v>SAÍDA</v>
      </c>
      <c r="C3359" t="str">
        <f t="shared" si="622"/>
        <v>PIX</v>
      </c>
      <c r="D3359" t="str">
        <f>"21992"</f>
        <v>21992</v>
      </c>
      <c r="E3359" t="str">
        <f t="shared" si="624"/>
        <v>1</v>
      </c>
      <c r="F3359" t="str">
        <f t="shared" si="620"/>
        <v>COM</v>
      </c>
      <c r="G3359" t="str">
        <f>"ALAN ACOSTA (897)"</f>
        <v>ALAN ACOSTA (897)</v>
      </c>
      <c r="H3359" t="str">
        <f>"Serv.Prest. 08/09/2025 a 14/09/2025 - PIX: E-MAIL - CHAVE: alanacosta1999@gmail.com"</f>
        <v>Serv.Prest. 08/09/2025 a 14/09/2025 - PIX: E-MAIL - CHAVE: alanacosta1999@gmail.com</v>
      </c>
      <c r="I3359" t="str">
        <f t="shared" si="623"/>
        <v>25/09/2025</v>
      </c>
      <c r="J3359" t="str">
        <f t="shared" ref="J3359:J3390" si="625">("15/09/2025")</f>
        <v>15/09/2025</v>
      </c>
      <c r="K3359" t="str">
        <f>("25/09/2025")</f>
        <v>25/09/2025</v>
      </c>
      <c r="L3359">
        <v>548.1</v>
      </c>
      <c r="M3359">
        <v>548.1</v>
      </c>
      <c r="N3359">
        <v>109</v>
      </c>
      <c r="O3359" t="str">
        <f>"PAGAMENTO DE ENTREGADORES"</f>
        <v>PAGAMENTO DE ENTREGADORES</v>
      </c>
      <c r="P3359">
        <v>548.1</v>
      </c>
      <c r="S3359" t="str">
        <f>"BANCO C6 (149)"</f>
        <v>BANCO C6 (149)</v>
      </c>
      <c r="T3359">
        <v>18721</v>
      </c>
      <c r="U3359">
        <v>21992</v>
      </c>
      <c r="V3359" t="s">
        <v>77</v>
      </c>
    </row>
    <row r="3360" spans="1:22">
      <c r="A3360" t="str">
        <f t="shared" si="621"/>
        <v>25/09/2025</v>
      </c>
      <c r="B3360" t="str">
        <f t="shared" si="619"/>
        <v>SAÍDA</v>
      </c>
      <c r="C3360" t="str">
        <f t="shared" si="622"/>
        <v>PIX</v>
      </c>
      <c r="D3360" t="str">
        <f>"21992"</f>
        <v>21992</v>
      </c>
      <c r="E3360" t="str">
        <f t="shared" si="624"/>
        <v>1</v>
      </c>
      <c r="F3360" t="str">
        <f t="shared" si="620"/>
        <v>COM</v>
      </c>
      <c r="G3360" t="str">
        <f>"ALAN ACOSTA (897)"</f>
        <v>ALAN ACOSTA (897)</v>
      </c>
      <c r="H3360" t="s">
        <v>931</v>
      </c>
      <c r="I3360" t="str">
        <f t="shared" si="623"/>
        <v>25/09/2025</v>
      </c>
      <c r="J3360" t="str">
        <f t="shared" si="625"/>
        <v>15/09/2025</v>
      </c>
      <c r="K3360">
        <v>45925</v>
      </c>
      <c r="N3360">
        <v>109</v>
      </c>
      <c r="O3360" t="s">
        <v>24</v>
      </c>
      <c r="Q3360">
        <v>548.1</v>
      </c>
      <c r="R3360" t="str">
        <f>"AC FARMA - CID.ALTA (10166)"</f>
        <v>AC FARMA - CID.ALTA (10166)</v>
      </c>
      <c r="S3360" t="s">
        <v>77</v>
      </c>
      <c r="T3360">
        <v>18721</v>
      </c>
      <c r="U3360">
        <v>21992</v>
      </c>
      <c r="V3360" t="s">
        <v>77</v>
      </c>
    </row>
    <row r="3361" spans="1:22">
      <c r="A3361" t="str">
        <f t="shared" si="621"/>
        <v>25/09/2025</v>
      </c>
      <c r="B3361" t="str">
        <f t="shared" si="619"/>
        <v>SAÍDA</v>
      </c>
      <c r="C3361" t="str">
        <f t="shared" si="622"/>
        <v>PIX</v>
      </c>
      <c r="D3361" t="str">
        <f>"21993"</f>
        <v>21993</v>
      </c>
      <c r="E3361" t="str">
        <f t="shared" si="624"/>
        <v>1</v>
      </c>
      <c r="F3361" t="str">
        <f t="shared" si="620"/>
        <v>COM</v>
      </c>
      <c r="G3361" t="str">
        <f>"ALEXANDRE DA CONCEICAO (714)"</f>
        <v>ALEXANDRE DA CONCEICAO (714)</v>
      </c>
      <c r="H3361" t="str">
        <f>"Serv.Prest. 08/09/2025 a 14/09/2025 - PIX: CPF - CHAVE: 975.425.989-53"</f>
        <v>Serv.Prest. 08/09/2025 a 14/09/2025 - PIX: CPF - CHAVE: 975.425.989-53</v>
      </c>
      <c r="I3361" t="str">
        <f t="shared" si="623"/>
        <v>25/09/2025</v>
      </c>
      <c r="J3361" t="str">
        <f t="shared" si="625"/>
        <v>15/09/2025</v>
      </c>
      <c r="K3361" t="str">
        <f>("25/09/2025")</f>
        <v>25/09/2025</v>
      </c>
      <c r="L3361">
        <v>497.7</v>
      </c>
      <c r="M3361">
        <v>497.7</v>
      </c>
      <c r="N3361">
        <v>109</v>
      </c>
      <c r="O3361" t="str">
        <f>"PAGAMENTO DE ENTREGADORES"</f>
        <v>PAGAMENTO DE ENTREGADORES</v>
      </c>
      <c r="P3361">
        <v>497.7</v>
      </c>
      <c r="S3361" t="str">
        <f>"BANCO C6 (149)"</f>
        <v>BANCO C6 (149)</v>
      </c>
      <c r="T3361">
        <v>18722</v>
      </c>
      <c r="U3361">
        <v>21993</v>
      </c>
      <c r="V3361" t="s">
        <v>77</v>
      </c>
    </row>
    <row r="3362" spans="1:22">
      <c r="A3362" t="str">
        <f t="shared" si="621"/>
        <v>25/09/2025</v>
      </c>
      <c r="B3362" t="str">
        <f t="shared" si="619"/>
        <v>SAÍDA</v>
      </c>
      <c r="C3362" t="str">
        <f t="shared" si="622"/>
        <v>PIX</v>
      </c>
      <c r="D3362" t="str">
        <f>"21993"</f>
        <v>21993</v>
      </c>
      <c r="E3362" t="str">
        <f t="shared" si="624"/>
        <v>1</v>
      </c>
      <c r="F3362" t="str">
        <f t="shared" si="620"/>
        <v>COM</v>
      </c>
      <c r="G3362" t="str">
        <f>"ALEXANDRE DA CONCEICAO (714)"</f>
        <v>ALEXANDRE DA CONCEICAO (714)</v>
      </c>
      <c r="H3362" t="s">
        <v>932</v>
      </c>
      <c r="I3362" t="str">
        <f t="shared" si="623"/>
        <v>25/09/2025</v>
      </c>
      <c r="J3362" t="str">
        <f t="shared" si="625"/>
        <v>15/09/2025</v>
      </c>
      <c r="K3362">
        <v>45925</v>
      </c>
      <c r="N3362">
        <v>109</v>
      </c>
      <c r="O3362" t="s">
        <v>24</v>
      </c>
      <c r="Q3362">
        <v>497.7</v>
      </c>
      <c r="R3362" t="str">
        <f>"AC FARMA - CID.ALTA (10166)"</f>
        <v>AC FARMA - CID.ALTA (10166)</v>
      </c>
      <c r="S3362" t="s">
        <v>77</v>
      </c>
      <c r="T3362">
        <v>18722</v>
      </c>
      <c r="U3362">
        <v>21993</v>
      </c>
      <c r="V3362" t="s">
        <v>77</v>
      </c>
    </row>
    <row r="3363" spans="1:22">
      <c r="A3363" t="str">
        <f t="shared" si="621"/>
        <v>25/09/2025</v>
      </c>
      <c r="B3363" t="str">
        <f t="shared" si="619"/>
        <v>SAÍDA</v>
      </c>
      <c r="C3363" t="str">
        <f t="shared" si="622"/>
        <v>PIX</v>
      </c>
      <c r="D3363" t="str">
        <f>"21994"</f>
        <v>21994</v>
      </c>
      <c r="E3363" t="str">
        <f t="shared" si="624"/>
        <v>1</v>
      </c>
      <c r="F3363" t="str">
        <f t="shared" si="620"/>
        <v>COM</v>
      </c>
      <c r="G3363" t="str">
        <f>"CLAUDINEI RIBEIRO VALERIO (681)"</f>
        <v>CLAUDINEI RIBEIRO VALERIO (681)</v>
      </c>
      <c r="H3363" t="str">
        <f>"Serv.Prest. 08/09/2025 a 14/09/2025 - PIX: CELULAR - CHAVE: (43) 99630-7532"</f>
        <v>Serv.Prest. 08/09/2025 a 14/09/2025 - PIX: CELULAR - CHAVE: (43) 99630-7532</v>
      </c>
      <c r="I3363" t="str">
        <f t="shared" si="623"/>
        <v>25/09/2025</v>
      </c>
      <c r="J3363" t="str">
        <f t="shared" si="625"/>
        <v>15/09/2025</v>
      </c>
      <c r="K3363" t="str">
        <f>("25/09/2025")</f>
        <v>25/09/2025</v>
      </c>
      <c r="L3363">
        <v>787.5</v>
      </c>
      <c r="M3363">
        <v>787.5</v>
      </c>
      <c r="N3363">
        <v>109</v>
      </c>
      <c r="O3363" t="str">
        <f>"PAGAMENTO DE ENTREGADORES"</f>
        <v>PAGAMENTO DE ENTREGADORES</v>
      </c>
      <c r="P3363">
        <v>787.5</v>
      </c>
      <c r="S3363" t="str">
        <f>"BANCO C6 (149)"</f>
        <v>BANCO C6 (149)</v>
      </c>
      <c r="T3363">
        <v>18723</v>
      </c>
      <c r="U3363">
        <v>21994</v>
      </c>
      <c r="V3363" t="s">
        <v>77</v>
      </c>
    </row>
    <row r="3364" spans="1:22">
      <c r="A3364" t="str">
        <f t="shared" si="621"/>
        <v>25/09/2025</v>
      </c>
      <c r="B3364" t="str">
        <f t="shared" si="619"/>
        <v>SAÍDA</v>
      </c>
      <c r="C3364" t="str">
        <f t="shared" si="622"/>
        <v>PIX</v>
      </c>
      <c r="D3364" t="str">
        <f>"21994"</f>
        <v>21994</v>
      </c>
      <c r="E3364" t="str">
        <f t="shared" si="624"/>
        <v>1</v>
      </c>
      <c r="F3364" t="str">
        <f t="shared" si="620"/>
        <v>COM</v>
      </c>
      <c r="G3364" t="str">
        <f>"CLAUDINEI RIBEIRO VALERIO (681)"</f>
        <v>CLAUDINEI RIBEIRO VALERIO (681)</v>
      </c>
      <c r="H3364" t="s">
        <v>933</v>
      </c>
      <c r="I3364" t="str">
        <f t="shared" si="623"/>
        <v>25/09/2025</v>
      </c>
      <c r="J3364" t="str">
        <f t="shared" si="625"/>
        <v>15/09/2025</v>
      </c>
      <c r="K3364">
        <v>45925</v>
      </c>
      <c r="N3364">
        <v>109</v>
      </c>
      <c r="O3364" t="s">
        <v>24</v>
      </c>
      <c r="Q3364">
        <v>787.5</v>
      </c>
      <c r="R3364" t="str">
        <f>"AC FARMA - CID.ALTA (10166)"</f>
        <v>AC FARMA - CID.ALTA (10166)</v>
      </c>
      <c r="S3364" t="s">
        <v>77</v>
      </c>
      <c r="T3364">
        <v>18723</v>
      </c>
      <c r="U3364">
        <v>21994</v>
      </c>
      <c r="V3364" t="s">
        <v>77</v>
      </c>
    </row>
    <row r="3365" spans="1:22">
      <c r="A3365" t="str">
        <f t="shared" si="621"/>
        <v>25/09/2025</v>
      </c>
      <c r="B3365" t="str">
        <f t="shared" si="619"/>
        <v>SAÍDA</v>
      </c>
      <c r="C3365" t="str">
        <f t="shared" si="622"/>
        <v>PIX</v>
      </c>
      <c r="D3365" t="str">
        <f>"21995"</f>
        <v>21995</v>
      </c>
      <c r="E3365" t="str">
        <f t="shared" si="624"/>
        <v>1</v>
      </c>
      <c r="F3365" t="str">
        <f t="shared" si="620"/>
        <v>COM</v>
      </c>
      <c r="G3365" t="str">
        <f>"FERNANDO MARTINS DA SILVA (701)"</f>
        <v>FERNANDO MARTINS DA SILVA (701)</v>
      </c>
      <c r="H3365" t="str">
        <f>"Serv.Prest. 08/09/2025 a 14/09/2025 - PIX: CPF - CHAVE: 004.682.359-06"</f>
        <v>Serv.Prest. 08/09/2025 a 14/09/2025 - PIX: CPF - CHAVE: 004.682.359-06</v>
      </c>
      <c r="I3365" t="str">
        <f t="shared" si="623"/>
        <v>25/09/2025</v>
      </c>
      <c r="J3365" t="str">
        <f t="shared" si="625"/>
        <v>15/09/2025</v>
      </c>
      <c r="K3365" t="str">
        <f>("25/09/2025")</f>
        <v>25/09/2025</v>
      </c>
      <c r="L3365">
        <v>1146.5999999999999</v>
      </c>
      <c r="M3365">
        <v>1146.5999999999999</v>
      </c>
      <c r="N3365">
        <v>109</v>
      </c>
      <c r="O3365" t="str">
        <f>"PAGAMENTO DE ENTREGADORES"</f>
        <v>PAGAMENTO DE ENTREGADORES</v>
      </c>
      <c r="P3365">
        <v>1146.5999999999999</v>
      </c>
      <c r="S3365" t="str">
        <f>"BANCO C6 (149)"</f>
        <v>BANCO C6 (149)</v>
      </c>
      <c r="T3365">
        <v>18724</v>
      </c>
      <c r="U3365">
        <v>21995</v>
      </c>
      <c r="V3365" t="s">
        <v>77</v>
      </c>
    </row>
    <row r="3366" spans="1:22">
      <c r="A3366" t="str">
        <f t="shared" si="621"/>
        <v>25/09/2025</v>
      </c>
      <c r="B3366" t="str">
        <f t="shared" si="619"/>
        <v>SAÍDA</v>
      </c>
      <c r="C3366" t="str">
        <f t="shared" si="622"/>
        <v>PIX</v>
      </c>
      <c r="D3366" t="str">
        <f>"21995"</f>
        <v>21995</v>
      </c>
      <c r="E3366" t="str">
        <f t="shared" si="624"/>
        <v>1</v>
      </c>
      <c r="F3366" t="str">
        <f t="shared" si="620"/>
        <v>COM</v>
      </c>
      <c r="G3366" t="str">
        <f>"FERNANDO MARTINS DA SILVA (701)"</f>
        <v>FERNANDO MARTINS DA SILVA (701)</v>
      </c>
      <c r="H3366" t="s">
        <v>934</v>
      </c>
      <c r="I3366" t="str">
        <f t="shared" si="623"/>
        <v>25/09/2025</v>
      </c>
      <c r="J3366" t="str">
        <f t="shared" si="625"/>
        <v>15/09/2025</v>
      </c>
      <c r="K3366">
        <v>45925</v>
      </c>
      <c r="N3366">
        <v>109</v>
      </c>
      <c r="O3366" t="s">
        <v>24</v>
      </c>
      <c r="Q3366">
        <v>1146.5999999999999</v>
      </c>
      <c r="R3366" t="str">
        <f>"AC FARMA - CID.ALTA (10166)"</f>
        <v>AC FARMA - CID.ALTA (10166)</v>
      </c>
      <c r="S3366" t="s">
        <v>77</v>
      </c>
      <c r="T3366">
        <v>18724</v>
      </c>
      <c r="U3366">
        <v>21995</v>
      </c>
      <c r="V3366" t="s">
        <v>77</v>
      </c>
    </row>
    <row r="3367" spans="1:22">
      <c r="A3367" t="str">
        <f t="shared" si="621"/>
        <v>25/09/2025</v>
      </c>
      <c r="B3367" t="str">
        <f t="shared" si="619"/>
        <v>SAÍDA</v>
      </c>
      <c r="C3367" t="str">
        <f t="shared" si="622"/>
        <v>PIX</v>
      </c>
      <c r="D3367" t="str">
        <f>"21996"</f>
        <v>21996</v>
      </c>
      <c r="E3367" t="str">
        <f t="shared" si="624"/>
        <v>1</v>
      </c>
      <c r="F3367" t="str">
        <f t="shared" si="620"/>
        <v>COM</v>
      </c>
      <c r="G3367" t="str">
        <f>"GERALDO SEVERINO DE SANTANA (729)"</f>
        <v>GERALDO SEVERINO DE SANTANA (729)</v>
      </c>
      <c r="H3367" t="str">
        <f>"Serv.Prest. 08/09/2025 a 14/09/2025 - PIX: CELULAR - CHAVE: (43) 99934-1696"</f>
        <v>Serv.Prest. 08/09/2025 a 14/09/2025 - PIX: CELULAR - CHAVE: (43) 99934-1696</v>
      </c>
      <c r="I3367" t="str">
        <f t="shared" si="623"/>
        <v>25/09/2025</v>
      </c>
      <c r="J3367" t="str">
        <f t="shared" si="625"/>
        <v>15/09/2025</v>
      </c>
      <c r="K3367" t="str">
        <f>("25/09/2025")</f>
        <v>25/09/2025</v>
      </c>
      <c r="L3367">
        <v>598.5</v>
      </c>
      <c r="M3367">
        <v>598.5</v>
      </c>
      <c r="N3367">
        <v>109</v>
      </c>
      <c r="O3367" t="str">
        <f>"PAGAMENTO DE ENTREGADORES"</f>
        <v>PAGAMENTO DE ENTREGADORES</v>
      </c>
      <c r="P3367">
        <v>598.5</v>
      </c>
      <c r="S3367" t="str">
        <f>"BANCO C6 (149)"</f>
        <v>BANCO C6 (149)</v>
      </c>
      <c r="T3367">
        <v>18725</v>
      </c>
      <c r="U3367">
        <v>21996</v>
      </c>
      <c r="V3367" t="s">
        <v>77</v>
      </c>
    </row>
    <row r="3368" spans="1:22">
      <c r="A3368" t="str">
        <f t="shared" si="621"/>
        <v>25/09/2025</v>
      </c>
      <c r="B3368" t="str">
        <f t="shared" si="619"/>
        <v>SAÍDA</v>
      </c>
      <c r="C3368" t="str">
        <f t="shared" si="622"/>
        <v>PIX</v>
      </c>
      <c r="D3368" t="str">
        <f>"21996"</f>
        <v>21996</v>
      </c>
      <c r="E3368" t="str">
        <f t="shared" si="624"/>
        <v>1</v>
      </c>
      <c r="F3368" t="str">
        <f t="shared" si="620"/>
        <v>COM</v>
      </c>
      <c r="G3368" t="str">
        <f>"GERALDO SEVERINO DE SANTANA (729)"</f>
        <v>GERALDO SEVERINO DE SANTANA (729)</v>
      </c>
      <c r="H3368" t="s">
        <v>935</v>
      </c>
      <c r="I3368" t="str">
        <f t="shared" si="623"/>
        <v>25/09/2025</v>
      </c>
      <c r="J3368" t="str">
        <f t="shared" si="625"/>
        <v>15/09/2025</v>
      </c>
      <c r="K3368">
        <v>45925</v>
      </c>
      <c r="N3368">
        <v>109</v>
      </c>
      <c r="O3368" t="s">
        <v>24</v>
      </c>
      <c r="Q3368">
        <v>598.5</v>
      </c>
      <c r="R3368" t="str">
        <f>"AC FARMA - CID.ALTA (10166)"</f>
        <v>AC FARMA - CID.ALTA (10166)</v>
      </c>
      <c r="S3368" t="s">
        <v>77</v>
      </c>
      <c r="T3368">
        <v>18725</v>
      </c>
      <c r="U3368">
        <v>21996</v>
      </c>
      <c r="V3368" t="s">
        <v>77</v>
      </c>
    </row>
    <row r="3369" spans="1:22">
      <c r="A3369" t="str">
        <f t="shared" si="621"/>
        <v>25/09/2025</v>
      </c>
      <c r="B3369" t="str">
        <f t="shared" si="619"/>
        <v>SAÍDA</v>
      </c>
      <c r="C3369" t="str">
        <f t="shared" si="622"/>
        <v>PIX</v>
      </c>
      <c r="D3369" t="str">
        <f>"21997"</f>
        <v>21997</v>
      </c>
      <c r="E3369" t="str">
        <f t="shared" si="624"/>
        <v>1</v>
      </c>
      <c r="F3369" t="str">
        <f t="shared" si="620"/>
        <v>COM</v>
      </c>
      <c r="G3369" t="str">
        <f>"HELITON DE OLIVEIRA RAMOS BARBOSA (724)"</f>
        <v>HELITON DE OLIVEIRA RAMOS BARBOSA (724)</v>
      </c>
      <c r="H3369" t="str">
        <f>"Serv.Prest. 08/09/2025 a 14/09/2025 - PIX: CPF - CHAVE: 074.604.219-10"</f>
        <v>Serv.Prest. 08/09/2025 a 14/09/2025 - PIX: CPF - CHAVE: 074.604.219-10</v>
      </c>
      <c r="I3369" t="str">
        <f t="shared" si="623"/>
        <v>25/09/2025</v>
      </c>
      <c r="J3369" t="str">
        <f t="shared" si="625"/>
        <v>15/09/2025</v>
      </c>
      <c r="K3369" t="str">
        <f>("25/09/2025")</f>
        <v>25/09/2025</v>
      </c>
      <c r="L3369">
        <v>749.7</v>
      </c>
      <c r="M3369">
        <v>749.7</v>
      </c>
      <c r="N3369">
        <v>109</v>
      </c>
      <c r="O3369" t="str">
        <f>"PAGAMENTO DE ENTREGADORES"</f>
        <v>PAGAMENTO DE ENTREGADORES</v>
      </c>
      <c r="P3369">
        <v>749.7</v>
      </c>
      <c r="S3369" t="str">
        <f>"BANCO C6 (149)"</f>
        <v>BANCO C6 (149)</v>
      </c>
      <c r="T3369">
        <v>18726</v>
      </c>
      <c r="U3369">
        <v>21997</v>
      </c>
      <c r="V3369" t="s">
        <v>77</v>
      </c>
    </row>
    <row r="3370" spans="1:22">
      <c r="A3370" t="str">
        <f t="shared" si="621"/>
        <v>25/09/2025</v>
      </c>
      <c r="B3370" t="str">
        <f t="shared" si="619"/>
        <v>SAÍDA</v>
      </c>
      <c r="C3370" t="str">
        <f t="shared" si="622"/>
        <v>PIX</v>
      </c>
      <c r="D3370" t="str">
        <f>"21997"</f>
        <v>21997</v>
      </c>
      <c r="E3370" t="str">
        <f t="shared" si="624"/>
        <v>1</v>
      </c>
      <c r="F3370" t="str">
        <f t="shared" si="620"/>
        <v>COM</v>
      </c>
      <c r="G3370" t="str">
        <f>"HELITON DE OLIVEIRA RAMOS BARBOSA (724)"</f>
        <v>HELITON DE OLIVEIRA RAMOS BARBOSA (724)</v>
      </c>
      <c r="H3370" t="s">
        <v>936</v>
      </c>
      <c r="I3370" t="str">
        <f t="shared" si="623"/>
        <v>25/09/2025</v>
      </c>
      <c r="J3370" t="str">
        <f t="shared" si="625"/>
        <v>15/09/2025</v>
      </c>
      <c r="K3370">
        <v>45925</v>
      </c>
      <c r="N3370">
        <v>109</v>
      </c>
      <c r="O3370" t="s">
        <v>24</v>
      </c>
      <c r="Q3370">
        <v>749.7</v>
      </c>
      <c r="R3370" t="str">
        <f>"AC FARMA - CID.ALTA (10166)"</f>
        <v>AC FARMA - CID.ALTA (10166)</v>
      </c>
      <c r="S3370" t="s">
        <v>77</v>
      </c>
      <c r="T3370">
        <v>18726</v>
      </c>
      <c r="U3370">
        <v>21997</v>
      </c>
      <c r="V3370" t="s">
        <v>77</v>
      </c>
    </row>
    <row r="3371" spans="1:22">
      <c r="A3371" t="str">
        <f t="shared" si="621"/>
        <v>25/09/2025</v>
      </c>
      <c r="B3371" t="str">
        <f t="shared" si="619"/>
        <v>SAÍDA</v>
      </c>
      <c r="C3371" t="str">
        <f t="shared" si="622"/>
        <v>PIX</v>
      </c>
      <c r="D3371" t="str">
        <f>"21998"</f>
        <v>21998</v>
      </c>
      <c r="E3371" t="str">
        <f t="shared" si="624"/>
        <v>1</v>
      </c>
      <c r="F3371" t="str">
        <f t="shared" si="620"/>
        <v>COM</v>
      </c>
      <c r="G3371" t="str">
        <f>"RAUL SILVA ROMAO (727)"</f>
        <v>RAUL SILVA ROMAO (727)</v>
      </c>
      <c r="H3371" t="str">
        <f>"Serv.Prest. 08/09/2025 a 14/09/2025 - PIX: CPF - CHAVE: 878.196.869-87"</f>
        <v>Serv.Prest. 08/09/2025 a 14/09/2025 - PIX: CPF - CHAVE: 878.196.869-87</v>
      </c>
      <c r="I3371" t="str">
        <f t="shared" si="623"/>
        <v>25/09/2025</v>
      </c>
      <c r="J3371" t="str">
        <f t="shared" si="625"/>
        <v>15/09/2025</v>
      </c>
      <c r="K3371" t="str">
        <f>("25/09/2025")</f>
        <v>25/09/2025</v>
      </c>
      <c r="L3371">
        <v>384.3</v>
      </c>
      <c r="M3371">
        <v>384.3</v>
      </c>
      <c r="N3371">
        <v>109</v>
      </c>
      <c r="O3371" t="str">
        <f>"PAGAMENTO DE ENTREGADORES"</f>
        <v>PAGAMENTO DE ENTREGADORES</v>
      </c>
      <c r="P3371">
        <v>384.3</v>
      </c>
      <c r="S3371" t="str">
        <f>"BANCO C6 (149)"</f>
        <v>BANCO C6 (149)</v>
      </c>
      <c r="T3371">
        <v>18727</v>
      </c>
      <c r="U3371">
        <v>21998</v>
      </c>
      <c r="V3371" t="s">
        <v>77</v>
      </c>
    </row>
    <row r="3372" spans="1:22">
      <c r="A3372" t="str">
        <f t="shared" si="621"/>
        <v>25/09/2025</v>
      </c>
      <c r="B3372" t="str">
        <f t="shared" si="619"/>
        <v>SAÍDA</v>
      </c>
      <c r="C3372" t="str">
        <f t="shared" si="622"/>
        <v>PIX</v>
      </c>
      <c r="D3372" t="str">
        <f>"21998"</f>
        <v>21998</v>
      </c>
      <c r="E3372" t="str">
        <f t="shared" si="624"/>
        <v>1</v>
      </c>
      <c r="F3372" t="str">
        <f t="shared" si="620"/>
        <v>COM</v>
      </c>
      <c r="G3372" t="str">
        <f>"RAUL SILVA ROMAO (727)"</f>
        <v>RAUL SILVA ROMAO (727)</v>
      </c>
      <c r="H3372" t="s">
        <v>937</v>
      </c>
      <c r="I3372" t="str">
        <f t="shared" si="623"/>
        <v>25/09/2025</v>
      </c>
      <c r="J3372" t="str">
        <f t="shared" si="625"/>
        <v>15/09/2025</v>
      </c>
      <c r="K3372">
        <v>45925</v>
      </c>
      <c r="N3372">
        <v>109</v>
      </c>
      <c r="O3372" t="s">
        <v>24</v>
      </c>
      <c r="Q3372">
        <v>384.3</v>
      </c>
      <c r="R3372" t="str">
        <f>"AC FARMA - CID.ALTA (10166)"</f>
        <v>AC FARMA - CID.ALTA (10166)</v>
      </c>
      <c r="S3372" t="s">
        <v>77</v>
      </c>
      <c r="T3372">
        <v>18727</v>
      </c>
      <c r="U3372">
        <v>21998</v>
      </c>
      <c r="V3372" t="s">
        <v>77</v>
      </c>
    </row>
    <row r="3373" spans="1:22">
      <c r="A3373" t="str">
        <f t="shared" si="621"/>
        <v>25/09/2025</v>
      </c>
      <c r="B3373" t="str">
        <f t="shared" si="619"/>
        <v>SAÍDA</v>
      </c>
      <c r="C3373" t="str">
        <f t="shared" si="622"/>
        <v>PIX</v>
      </c>
      <c r="D3373" t="str">
        <f>"22000"</f>
        <v>22000</v>
      </c>
      <c r="E3373" t="str">
        <f t="shared" si="624"/>
        <v>1</v>
      </c>
      <c r="F3373" t="str">
        <f t="shared" si="620"/>
        <v>COM</v>
      </c>
      <c r="G3373" t="str">
        <f>"ALAN ACOSTA (897)"</f>
        <v>ALAN ACOSTA (897)</v>
      </c>
      <c r="H3373" t="str">
        <f>"Serv.Prest. 08/09/2025 a 14/09/2025 - PIX: E-MAIL - CHAVE: alanacosta1999@gmail.com"</f>
        <v>Serv.Prest. 08/09/2025 a 14/09/2025 - PIX: E-MAIL - CHAVE: alanacosta1999@gmail.com</v>
      </c>
      <c r="I3373" t="str">
        <f t="shared" si="623"/>
        <v>25/09/2025</v>
      </c>
      <c r="J3373" t="str">
        <f t="shared" si="625"/>
        <v>15/09/2025</v>
      </c>
      <c r="K3373" t="str">
        <f>("25/09/2025")</f>
        <v>25/09/2025</v>
      </c>
      <c r="L3373">
        <v>270.89999999999998</v>
      </c>
      <c r="M3373">
        <v>270.89999999999998</v>
      </c>
      <c r="N3373">
        <v>109</v>
      </c>
      <c r="O3373" t="str">
        <f>"PAGAMENTO DE ENTREGADORES"</f>
        <v>PAGAMENTO DE ENTREGADORES</v>
      </c>
      <c r="P3373">
        <v>270.89999999999998</v>
      </c>
      <c r="S3373" t="str">
        <f>"BANCO C6 (149)"</f>
        <v>BANCO C6 (149)</v>
      </c>
      <c r="T3373">
        <v>18728</v>
      </c>
      <c r="U3373">
        <v>22000</v>
      </c>
      <c r="V3373" t="s">
        <v>77</v>
      </c>
    </row>
    <row r="3374" spans="1:22">
      <c r="A3374" t="str">
        <f t="shared" si="621"/>
        <v>25/09/2025</v>
      </c>
      <c r="B3374" t="str">
        <f t="shared" si="619"/>
        <v>SAÍDA</v>
      </c>
      <c r="C3374" t="str">
        <f t="shared" si="622"/>
        <v>PIX</v>
      </c>
      <c r="D3374" t="str">
        <f>"22000"</f>
        <v>22000</v>
      </c>
      <c r="E3374" t="str">
        <f t="shared" si="624"/>
        <v>1</v>
      </c>
      <c r="F3374" t="str">
        <f t="shared" si="620"/>
        <v>COM</v>
      </c>
      <c r="G3374" t="str">
        <f>"ALAN ACOSTA (897)"</f>
        <v>ALAN ACOSTA (897)</v>
      </c>
      <c r="H3374" t="s">
        <v>931</v>
      </c>
      <c r="I3374" t="str">
        <f t="shared" si="623"/>
        <v>25/09/2025</v>
      </c>
      <c r="J3374" t="str">
        <f t="shared" si="625"/>
        <v>15/09/2025</v>
      </c>
      <c r="K3374">
        <v>45925</v>
      </c>
      <c r="N3374">
        <v>109</v>
      </c>
      <c r="O3374" t="s">
        <v>24</v>
      </c>
      <c r="Q3374">
        <v>270.89999999999998</v>
      </c>
      <c r="R3374" t="str">
        <f>"AC FARMA -  FLEMINFARMA (10159)"</f>
        <v>AC FARMA -  FLEMINFARMA (10159)</v>
      </c>
      <c r="S3374" t="s">
        <v>77</v>
      </c>
      <c r="T3374">
        <v>18728</v>
      </c>
      <c r="U3374">
        <v>22000</v>
      </c>
      <c r="V3374" t="s">
        <v>77</v>
      </c>
    </row>
    <row r="3375" spans="1:22">
      <c r="A3375" t="str">
        <f t="shared" si="621"/>
        <v>25/09/2025</v>
      </c>
      <c r="B3375" t="str">
        <f t="shared" si="619"/>
        <v>SAÍDA</v>
      </c>
      <c r="C3375" t="str">
        <f t="shared" si="622"/>
        <v>PIX</v>
      </c>
      <c r="D3375" t="str">
        <f>"22001"</f>
        <v>22001</v>
      </c>
      <c r="E3375" t="str">
        <f t="shared" si="624"/>
        <v>1</v>
      </c>
      <c r="F3375" t="str">
        <f t="shared" si="620"/>
        <v>COM</v>
      </c>
      <c r="G3375" t="str">
        <f>"ALEXANDRE DA CONCEICAO (714)"</f>
        <v>ALEXANDRE DA CONCEICAO (714)</v>
      </c>
      <c r="H3375" t="str">
        <f>"Serv.Prest. 08/09/2025 a 14/09/2025 - PIX: CPF - CHAVE: 975.425.989-53"</f>
        <v>Serv.Prest. 08/09/2025 a 14/09/2025 - PIX: CPF - CHAVE: 975.425.989-53</v>
      </c>
      <c r="I3375" t="str">
        <f t="shared" si="623"/>
        <v>25/09/2025</v>
      </c>
      <c r="J3375" t="str">
        <f t="shared" si="625"/>
        <v>15/09/2025</v>
      </c>
      <c r="K3375" t="str">
        <f>("25/09/2025")</f>
        <v>25/09/2025</v>
      </c>
      <c r="L3375">
        <v>88.2</v>
      </c>
      <c r="M3375">
        <v>88.2</v>
      </c>
      <c r="N3375">
        <v>109</v>
      </c>
      <c r="O3375" t="str">
        <f>"PAGAMENTO DE ENTREGADORES"</f>
        <v>PAGAMENTO DE ENTREGADORES</v>
      </c>
      <c r="P3375">
        <v>88.2</v>
      </c>
      <c r="S3375" t="str">
        <f>"BANCO C6 (149)"</f>
        <v>BANCO C6 (149)</v>
      </c>
      <c r="T3375">
        <v>18729</v>
      </c>
      <c r="U3375">
        <v>22001</v>
      </c>
      <c r="V3375" t="s">
        <v>77</v>
      </c>
    </row>
    <row r="3376" spans="1:22">
      <c r="A3376" t="str">
        <f t="shared" si="621"/>
        <v>25/09/2025</v>
      </c>
      <c r="B3376" t="str">
        <f t="shared" si="619"/>
        <v>SAÍDA</v>
      </c>
      <c r="C3376" t="str">
        <f t="shared" si="622"/>
        <v>PIX</v>
      </c>
      <c r="D3376" t="str">
        <f>"22001"</f>
        <v>22001</v>
      </c>
      <c r="E3376" t="str">
        <f t="shared" si="624"/>
        <v>1</v>
      </c>
      <c r="F3376" t="str">
        <f t="shared" si="620"/>
        <v>COM</v>
      </c>
      <c r="G3376" t="str">
        <f>"ALEXANDRE DA CONCEICAO (714)"</f>
        <v>ALEXANDRE DA CONCEICAO (714)</v>
      </c>
      <c r="H3376" t="s">
        <v>932</v>
      </c>
      <c r="I3376" t="str">
        <f t="shared" si="623"/>
        <v>25/09/2025</v>
      </c>
      <c r="J3376" t="str">
        <f t="shared" si="625"/>
        <v>15/09/2025</v>
      </c>
      <c r="K3376">
        <v>45925</v>
      </c>
      <c r="N3376">
        <v>109</v>
      </c>
      <c r="O3376" t="s">
        <v>24</v>
      </c>
      <c r="Q3376">
        <v>81.900000000000006</v>
      </c>
      <c r="R3376" t="str">
        <f>"AC FARMA -  FLEMINFARMA (10159)"</f>
        <v>AC FARMA -  FLEMINFARMA (10159)</v>
      </c>
      <c r="S3376" t="s">
        <v>77</v>
      </c>
      <c r="T3376">
        <v>18729</v>
      </c>
      <c r="U3376">
        <v>22001</v>
      </c>
      <c r="V3376" t="s">
        <v>77</v>
      </c>
    </row>
    <row r="3377" spans="1:22">
      <c r="A3377" t="str">
        <f t="shared" si="621"/>
        <v>25/09/2025</v>
      </c>
      <c r="B3377" t="str">
        <f t="shared" si="619"/>
        <v>SAÍDA</v>
      </c>
      <c r="C3377" t="str">
        <f t="shared" si="622"/>
        <v>PIX</v>
      </c>
      <c r="D3377" t="str">
        <f>"22001"</f>
        <v>22001</v>
      </c>
      <c r="E3377" t="str">
        <f t="shared" si="624"/>
        <v>1</v>
      </c>
      <c r="F3377" t="str">
        <f t="shared" si="620"/>
        <v>COM</v>
      </c>
      <c r="G3377" t="str">
        <f>"ALEXANDRE DA CONCEICAO (714)"</f>
        <v>ALEXANDRE DA CONCEICAO (714)</v>
      </c>
      <c r="H3377" t="s">
        <v>932</v>
      </c>
      <c r="I3377" t="str">
        <f t="shared" si="623"/>
        <v>25/09/2025</v>
      </c>
      <c r="J3377" t="str">
        <f t="shared" si="625"/>
        <v>15/09/2025</v>
      </c>
      <c r="K3377">
        <v>45925</v>
      </c>
      <c r="N3377">
        <v>109</v>
      </c>
      <c r="O3377" t="s">
        <v>24</v>
      </c>
      <c r="Q3377">
        <v>6.3</v>
      </c>
      <c r="R3377" t="str">
        <f>"AC FARMA - FLEMINFARMA (10160)"</f>
        <v>AC FARMA - FLEMINFARMA (10160)</v>
      </c>
      <c r="S3377" t="s">
        <v>77</v>
      </c>
      <c r="T3377">
        <v>18729</v>
      </c>
      <c r="U3377">
        <v>22001</v>
      </c>
      <c r="V3377" t="s">
        <v>77</v>
      </c>
    </row>
    <row r="3378" spans="1:22">
      <c r="A3378" t="str">
        <f t="shared" si="621"/>
        <v>25/09/2025</v>
      </c>
      <c r="B3378" t="str">
        <f t="shared" si="619"/>
        <v>SAÍDA</v>
      </c>
      <c r="C3378" t="str">
        <f t="shared" si="622"/>
        <v>PIX</v>
      </c>
      <c r="D3378" t="str">
        <f>"22002"</f>
        <v>22002</v>
      </c>
      <c r="E3378" t="str">
        <f t="shared" si="624"/>
        <v>1</v>
      </c>
      <c r="F3378" t="str">
        <f t="shared" si="620"/>
        <v>COM</v>
      </c>
      <c r="G3378" t="str">
        <f>"CLAUDINEI RIBEIRO VALERIO (681)"</f>
        <v>CLAUDINEI RIBEIRO VALERIO (681)</v>
      </c>
      <c r="H3378" t="str">
        <f>"Serv.Prest. 08/09/2025 a 14/09/2025 - PIX: CELULAR - CHAVE: (43) 99630-7532"</f>
        <v>Serv.Prest. 08/09/2025 a 14/09/2025 - PIX: CELULAR - CHAVE: (43) 99630-7532</v>
      </c>
      <c r="I3378" t="str">
        <f t="shared" si="623"/>
        <v>25/09/2025</v>
      </c>
      <c r="J3378" t="str">
        <f t="shared" si="625"/>
        <v>15/09/2025</v>
      </c>
      <c r="K3378" t="str">
        <f>("25/09/2025")</f>
        <v>25/09/2025</v>
      </c>
      <c r="L3378">
        <v>31.5</v>
      </c>
      <c r="M3378">
        <v>31.5</v>
      </c>
      <c r="N3378">
        <v>109</v>
      </c>
      <c r="O3378" t="str">
        <f>"PAGAMENTO DE ENTREGADORES"</f>
        <v>PAGAMENTO DE ENTREGADORES</v>
      </c>
      <c r="P3378">
        <v>31.5</v>
      </c>
      <c r="S3378" t="str">
        <f>"BANCO C6 (149)"</f>
        <v>BANCO C6 (149)</v>
      </c>
      <c r="T3378">
        <v>18730</v>
      </c>
      <c r="U3378">
        <v>22002</v>
      </c>
      <c r="V3378" t="s">
        <v>77</v>
      </c>
    </row>
    <row r="3379" spans="1:22">
      <c r="A3379" t="str">
        <f t="shared" si="621"/>
        <v>25/09/2025</v>
      </c>
      <c r="B3379" t="str">
        <f t="shared" si="619"/>
        <v>SAÍDA</v>
      </c>
      <c r="C3379" t="str">
        <f t="shared" si="622"/>
        <v>PIX</v>
      </c>
      <c r="D3379" t="str">
        <f>"22002"</f>
        <v>22002</v>
      </c>
      <c r="E3379" t="str">
        <f t="shared" si="624"/>
        <v>1</v>
      </c>
      <c r="F3379" t="str">
        <f t="shared" si="620"/>
        <v>COM</v>
      </c>
      <c r="G3379" t="str">
        <f>"CLAUDINEI RIBEIRO VALERIO (681)"</f>
        <v>CLAUDINEI RIBEIRO VALERIO (681)</v>
      </c>
      <c r="H3379" t="s">
        <v>933</v>
      </c>
      <c r="I3379" t="str">
        <f t="shared" si="623"/>
        <v>25/09/2025</v>
      </c>
      <c r="J3379" t="str">
        <f t="shared" si="625"/>
        <v>15/09/2025</v>
      </c>
      <c r="K3379">
        <v>45925</v>
      </c>
      <c r="N3379">
        <v>109</v>
      </c>
      <c r="O3379" t="s">
        <v>24</v>
      </c>
      <c r="Q3379">
        <v>31.5</v>
      </c>
      <c r="R3379" t="str">
        <f>"AC FARMA -  FLEMINFARMA (10159)"</f>
        <v>AC FARMA -  FLEMINFARMA (10159)</v>
      </c>
      <c r="S3379" t="s">
        <v>77</v>
      </c>
      <c r="T3379">
        <v>18730</v>
      </c>
      <c r="U3379">
        <v>22002</v>
      </c>
      <c r="V3379" t="s">
        <v>77</v>
      </c>
    </row>
    <row r="3380" spans="1:22">
      <c r="A3380" t="str">
        <f t="shared" si="621"/>
        <v>25/09/2025</v>
      </c>
      <c r="B3380" t="str">
        <f t="shared" si="619"/>
        <v>SAÍDA</v>
      </c>
      <c r="C3380" t="str">
        <f t="shared" si="622"/>
        <v>PIX</v>
      </c>
      <c r="D3380" t="str">
        <f>"22003"</f>
        <v>22003</v>
      </c>
      <c r="E3380" t="str">
        <f t="shared" si="624"/>
        <v>1</v>
      </c>
      <c r="F3380" t="str">
        <f t="shared" si="620"/>
        <v>COM</v>
      </c>
      <c r="G3380" t="str">
        <f>"FERNANDO MARTINS DA SILVA (701)"</f>
        <v>FERNANDO MARTINS DA SILVA (701)</v>
      </c>
      <c r="H3380" t="str">
        <f>"Serv.Prest. 08/09/2025 a 14/09/2025 - PIX: CPF - CHAVE: 004.682.359-06"</f>
        <v>Serv.Prest. 08/09/2025 a 14/09/2025 - PIX: CPF - CHAVE: 004.682.359-06</v>
      </c>
      <c r="I3380" t="str">
        <f t="shared" si="623"/>
        <v>25/09/2025</v>
      </c>
      <c r="J3380" t="str">
        <f t="shared" si="625"/>
        <v>15/09/2025</v>
      </c>
      <c r="K3380" t="str">
        <f>("25/09/2025")</f>
        <v>25/09/2025</v>
      </c>
      <c r="L3380">
        <v>396.9</v>
      </c>
      <c r="M3380">
        <v>396.9</v>
      </c>
      <c r="N3380">
        <v>109</v>
      </c>
      <c r="O3380" t="str">
        <f>"PAGAMENTO DE ENTREGADORES"</f>
        <v>PAGAMENTO DE ENTREGADORES</v>
      </c>
      <c r="P3380">
        <v>396.9</v>
      </c>
      <c r="S3380" t="str">
        <f>"BANCO C6 (149)"</f>
        <v>BANCO C6 (149)</v>
      </c>
      <c r="T3380">
        <v>18731</v>
      </c>
      <c r="U3380">
        <v>22003</v>
      </c>
      <c r="V3380" t="s">
        <v>77</v>
      </c>
    </row>
    <row r="3381" spans="1:22">
      <c r="A3381" t="str">
        <f t="shared" si="621"/>
        <v>25/09/2025</v>
      </c>
      <c r="B3381" t="str">
        <f t="shared" si="619"/>
        <v>SAÍDA</v>
      </c>
      <c r="C3381" t="str">
        <f t="shared" si="622"/>
        <v>PIX</v>
      </c>
      <c r="D3381" t="str">
        <f>"22003"</f>
        <v>22003</v>
      </c>
      <c r="E3381" t="str">
        <f t="shared" si="624"/>
        <v>1</v>
      </c>
      <c r="F3381" t="str">
        <f t="shared" si="620"/>
        <v>COM</v>
      </c>
      <c r="G3381" t="str">
        <f>"FERNANDO MARTINS DA SILVA (701)"</f>
        <v>FERNANDO MARTINS DA SILVA (701)</v>
      </c>
      <c r="H3381" t="s">
        <v>934</v>
      </c>
      <c r="I3381" t="str">
        <f t="shared" si="623"/>
        <v>25/09/2025</v>
      </c>
      <c r="J3381" t="str">
        <f t="shared" si="625"/>
        <v>15/09/2025</v>
      </c>
      <c r="K3381">
        <v>45925</v>
      </c>
      <c r="N3381">
        <v>109</v>
      </c>
      <c r="O3381" t="s">
        <v>24</v>
      </c>
      <c r="Q3381">
        <v>359.12</v>
      </c>
      <c r="R3381" t="str">
        <f>"AC FARMA -  FLEMINFARMA (10159)"</f>
        <v>AC FARMA -  FLEMINFARMA (10159)</v>
      </c>
      <c r="S3381" t="s">
        <v>77</v>
      </c>
      <c r="T3381">
        <v>18731</v>
      </c>
      <c r="U3381">
        <v>22003</v>
      </c>
      <c r="V3381" t="s">
        <v>77</v>
      </c>
    </row>
    <row r="3382" spans="1:22">
      <c r="A3382" t="str">
        <f t="shared" si="621"/>
        <v>25/09/2025</v>
      </c>
      <c r="B3382" t="str">
        <f t="shared" si="619"/>
        <v>SAÍDA</v>
      </c>
      <c r="C3382" t="str">
        <f t="shared" si="622"/>
        <v>PIX</v>
      </c>
      <c r="D3382" t="str">
        <f>"22003"</f>
        <v>22003</v>
      </c>
      <c r="E3382" t="str">
        <f t="shared" si="624"/>
        <v>1</v>
      </c>
      <c r="F3382" t="str">
        <f t="shared" si="620"/>
        <v>COM</v>
      </c>
      <c r="G3382" t="str">
        <f>"FERNANDO MARTINS DA SILVA (701)"</f>
        <v>FERNANDO MARTINS DA SILVA (701)</v>
      </c>
      <c r="H3382" t="s">
        <v>934</v>
      </c>
      <c r="I3382" t="str">
        <f t="shared" si="623"/>
        <v>25/09/2025</v>
      </c>
      <c r="J3382" t="str">
        <f t="shared" si="625"/>
        <v>15/09/2025</v>
      </c>
      <c r="K3382">
        <v>45925</v>
      </c>
      <c r="N3382">
        <v>109</v>
      </c>
      <c r="O3382" t="s">
        <v>24</v>
      </c>
      <c r="Q3382">
        <v>37.78</v>
      </c>
      <c r="R3382" t="str">
        <f>"AC FARMA - FLEMINFARMA (10160)"</f>
        <v>AC FARMA - FLEMINFARMA (10160)</v>
      </c>
      <c r="S3382" t="s">
        <v>77</v>
      </c>
      <c r="T3382">
        <v>18731</v>
      </c>
      <c r="U3382">
        <v>22003</v>
      </c>
      <c r="V3382" t="s">
        <v>77</v>
      </c>
    </row>
    <row r="3383" spans="1:22">
      <c r="A3383" t="str">
        <f t="shared" si="621"/>
        <v>25/09/2025</v>
      </c>
      <c r="B3383" t="str">
        <f t="shared" si="619"/>
        <v>SAÍDA</v>
      </c>
      <c r="C3383" t="str">
        <f t="shared" si="622"/>
        <v>PIX</v>
      </c>
      <c r="D3383" t="str">
        <f>"22004"</f>
        <v>22004</v>
      </c>
      <c r="E3383" t="str">
        <f t="shared" si="624"/>
        <v>1</v>
      </c>
      <c r="F3383" t="str">
        <f t="shared" si="620"/>
        <v>COM</v>
      </c>
      <c r="G3383" t="str">
        <f>"GERALDO SEVERINO DE SANTANA (729)"</f>
        <v>GERALDO SEVERINO DE SANTANA (729)</v>
      </c>
      <c r="H3383" t="str">
        <f>"Serv.Prest. 08/09/2025 a 14/09/2025 - PIX: CELULAR - CHAVE: (43) 99934-1696"</f>
        <v>Serv.Prest. 08/09/2025 a 14/09/2025 - PIX: CELULAR - CHAVE: (43) 99934-1696</v>
      </c>
      <c r="I3383" t="str">
        <f t="shared" si="623"/>
        <v>25/09/2025</v>
      </c>
      <c r="J3383" t="str">
        <f t="shared" si="625"/>
        <v>15/09/2025</v>
      </c>
      <c r="K3383" t="str">
        <f>("25/09/2025")</f>
        <v>25/09/2025</v>
      </c>
      <c r="L3383">
        <v>296.10000000000002</v>
      </c>
      <c r="M3383">
        <v>296.10000000000002</v>
      </c>
      <c r="N3383">
        <v>109</v>
      </c>
      <c r="O3383" t="str">
        <f>"PAGAMENTO DE ENTREGADORES"</f>
        <v>PAGAMENTO DE ENTREGADORES</v>
      </c>
      <c r="P3383">
        <v>296.10000000000002</v>
      </c>
      <c r="S3383" t="str">
        <f>"BANCO C6 (149)"</f>
        <v>BANCO C6 (149)</v>
      </c>
      <c r="T3383">
        <v>18732</v>
      </c>
      <c r="U3383">
        <v>22004</v>
      </c>
      <c r="V3383" t="s">
        <v>77</v>
      </c>
    </row>
    <row r="3384" spans="1:22">
      <c r="A3384" t="str">
        <f t="shared" si="621"/>
        <v>25/09/2025</v>
      </c>
      <c r="B3384" t="str">
        <f t="shared" si="619"/>
        <v>SAÍDA</v>
      </c>
      <c r="C3384" t="str">
        <f t="shared" si="622"/>
        <v>PIX</v>
      </c>
      <c r="D3384" t="str">
        <f>"22004"</f>
        <v>22004</v>
      </c>
      <c r="E3384" t="str">
        <f t="shared" si="624"/>
        <v>1</v>
      </c>
      <c r="F3384" t="str">
        <f t="shared" si="620"/>
        <v>COM</v>
      </c>
      <c r="G3384" t="str">
        <f>"GERALDO SEVERINO DE SANTANA (729)"</f>
        <v>GERALDO SEVERINO DE SANTANA (729)</v>
      </c>
      <c r="H3384" t="s">
        <v>935</v>
      </c>
      <c r="I3384" t="str">
        <f t="shared" si="623"/>
        <v>25/09/2025</v>
      </c>
      <c r="J3384" t="str">
        <f t="shared" si="625"/>
        <v>15/09/2025</v>
      </c>
      <c r="K3384">
        <v>45925</v>
      </c>
      <c r="N3384">
        <v>109</v>
      </c>
      <c r="O3384" t="s">
        <v>24</v>
      </c>
      <c r="Q3384">
        <v>283.49</v>
      </c>
      <c r="R3384" t="str">
        <f>"AC FARMA -  FLEMINFARMA (10159)"</f>
        <v>AC FARMA -  FLEMINFARMA (10159)</v>
      </c>
      <c r="S3384" t="s">
        <v>77</v>
      </c>
      <c r="T3384">
        <v>18732</v>
      </c>
      <c r="U3384">
        <v>22004</v>
      </c>
      <c r="V3384" t="s">
        <v>77</v>
      </c>
    </row>
    <row r="3385" spans="1:22">
      <c r="A3385" t="str">
        <f t="shared" si="621"/>
        <v>25/09/2025</v>
      </c>
      <c r="B3385" t="str">
        <f t="shared" si="619"/>
        <v>SAÍDA</v>
      </c>
      <c r="C3385" t="str">
        <f t="shared" si="622"/>
        <v>PIX</v>
      </c>
      <c r="D3385" t="str">
        <f>"22004"</f>
        <v>22004</v>
      </c>
      <c r="E3385" t="str">
        <f t="shared" si="624"/>
        <v>1</v>
      </c>
      <c r="F3385" t="str">
        <f t="shared" si="620"/>
        <v>COM</v>
      </c>
      <c r="G3385" t="str">
        <f>"GERALDO SEVERINO DE SANTANA (729)"</f>
        <v>GERALDO SEVERINO DE SANTANA (729)</v>
      </c>
      <c r="H3385" t="s">
        <v>935</v>
      </c>
      <c r="I3385" t="str">
        <f t="shared" si="623"/>
        <v>25/09/2025</v>
      </c>
      <c r="J3385" t="str">
        <f t="shared" si="625"/>
        <v>15/09/2025</v>
      </c>
      <c r="K3385">
        <v>45925</v>
      </c>
      <c r="N3385">
        <v>109</v>
      </c>
      <c r="O3385" t="s">
        <v>24</v>
      </c>
      <c r="Q3385">
        <v>12.61</v>
      </c>
      <c r="R3385" t="str">
        <f>"AC FARMA - FLEMINFARMA (10160)"</f>
        <v>AC FARMA - FLEMINFARMA (10160)</v>
      </c>
      <c r="S3385" t="s">
        <v>77</v>
      </c>
      <c r="T3385">
        <v>18732</v>
      </c>
      <c r="U3385">
        <v>22004</v>
      </c>
      <c r="V3385" t="s">
        <v>77</v>
      </c>
    </row>
    <row r="3386" spans="1:22">
      <c r="A3386" t="str">
        <f t="shared" si="621"/>
        <v>25/09/2025</v>
      </c>
      <c r="B3386" t="str">
        <f t="shared" si="619"/>
        <v>SAÍDA</v>
      </c>
      <c r="C3386" t="str">
        <f t="shared" si="622"/>
        <v>PIX</v>
      </c>
      <c r="D3386" t="str">
        <f>"22005"</f>
        <v>22005</v>
      </c>
      <c r="E3386" t="str">
        <f t="shared" si="624"/>
        <v>1</v>
      </c>
      <c r="F3386" t="str">
        <f t="shared" si="620"/>
        <v>COM</v>
      </c>
      <c r="G3386" t="str">
        <f>"HELITON DE OLIVEIRA RAMOS BARBOSA (724)"</f>
        <v>HELITON DE OLIVEIRA RAMOS BARBOSA (724)</v>
      </c>
      <c r="H3386" t="str">
        <f>"Serv.Prest. 08/09/2025 a 14/09/2025 - PIX: CPF - CHAVE: 074.604.219-10"</f>
        <v>Serv.Prest. 08/09/2025 a 14/09/2025 - PIX: CPF - CHAVE: 074.604.219-10</v>
      </c>
      <c r="I3386" t="str">
        <f t="shared" si="623"/>
        <v>25/09/2025</v>
      </c>
      <c r="J3386" t="str">
        <f t="shared" si="625"/>
        <v>15/09/2025</v>
      </c>
      <c r="K3386" t="str">
        <f>("25/09/2025")</f>
        <v>25/09/2025</v>
      </c>
      <c r="L3386">
        <v>346.5</v>
      </c>
      <c r="M3386">
        <v>346.5</v>
      </c>
      <c r="N3386">
        <v>109</v>
      </c>
      <c r="O3386" t="str">
        <f>"PAGAMENTO DE ENTREGADORES"</f>
        <v>PAGAMENTO DE ENTREGADORES</v>
      </c>
      <c r="P3386">
        <v>346.5</v>
      </c>
      <c r="S3386" t="str">
        <f>"BANCO C6 (149)"</f>
        <v>BANCO C6 (149)</v>
      </c>
      <c r="T3386">
        <v>18733</v>
      </c>
      <c r="U3386">
        <v>22005</v>
      </c>
      <c r="V3386" t="s">
        <v>77</v>
      </c>
    </row>
    <row r="3387" spans="1:22">
      <c r="A3387" t="str">
        <f t="shared" si="621"/>
        <v>25/09/2025</v>
      </c>
      <c r="B3387" t="str">
        <f t="shared" si="619"/>
        <v>SAÍDA</v>
      </c>
      <c r="C3387" t="str">
        <f t="shared" si="622"/>
        <v>PIX</v>
      </c>
      <c r="D3387" t="str">
        <f>"22005"</f>
        <v>22005</v>
      </c>
      <c r="E3387" t="str">
        <f t="shared" si="624"/>
        <v>1</v>
      </c>
      <c r="F3387" t="str">
        <f t="shared" si="620"/>
        <v>COM</v>
      </c>
      <c r="G3387" t="str">
        <f>"HELITON DE OLIVEIRA RAMOS BARBOSA (724)"</f>
        <v>HELITON DE OLIVEIRA RAMOS BARBOSA (724)</v>
      </c>
      <c r="H3387" t="s">
        <v>936</v>
      </c>
      <c r="I3387" t="str">
        <f t="shared" si="623"/>
        <v>25/09/2025</v>
      </c>
      <c r="J3387" t="str">
        <f t="shared" si="625"/>
        <v>15/09/2025</v>
      </c>
      <c r="K3387">
        <v>45925</v>
      </c>
      <c r="N3387">
        <v>109</v>
      </c>
      <c r="O3387" t="s">
        <v>24</v>
      </c>
      <c r="Q3387">
        <v>340.19</v>
      </c>
      <c r="R3387" t="str">
        <f>"AC FARMA -  FLEMINFARMA (10159)"</f>
        <v>AC FARMA -  FLEMINFARMA (10159)</v>
      </c>
      <c r="S3387" t="s">
        <v>77</v>
      </c>
      <c r="T3387">
        <v>18733</v>
      </c>
      <c r="U3387">
        <v>22005</v>
      </c>
      <c r="V3387" t="s">
        <v>77</v>
      </c>
    </row>
    <row r="3388" spans="1:22">
      <c r="A3388" t="str">
        <f t="shared" si="621"/>
        <v>25/09/2025</v>
      </c>
      <c r="B3388" t="str">
        <f t="shared" si="619"/>
        <v>SAÍDA</v>
      </c>
      <c r="C3388" t="str">
        <f t="shared" si="622"/>
        <v>PIX</v>
      </c>
      <c r="D3388" t="str">
        <f>"22005"</f>
        <v>22005</v>
      </c>
      <c r="E3388" t="str">
        <f t="shared" si="624"/>
        <v>1</v>
      </c>
      <c r="F3388" t="str">
        <f t="shared" si="620"/>
        <v>COM</v>
      </c>
      <c r="G3388" t="str">
        <f>"HELITON DE OLIVEIRA RAMOS BARBOSA (724)"</f>
        <v>HELITON DE OLIVEIRA RAMOS BARBOSA (724)</v>
      </c>
      <c r="H3388" t="s">
        <v>936</v>
      </c>
      <c r="I3388" t="str">
        <f t="shared" si="623"/>
        <v>25/09/2025</v>
      </c>
      <c r="J3388" t="str">
        <f t="shared" si="625"/>
        <v>15/09/2025</v>
      </c>
      <c r="K3388">
        <v>45925</v>
      </c>
      <c r="N3388">
        <v>109</v>
      </c>
      <c r="O3388" t="s">
        <v>24</v>
      </c>
      <c r="Q3388">
        <v>6.31</v>
      </c>
      <c r="R3388" t="str">
        <f>"AC FARMA - FLEMINFARMA (10160)"</f>
        <v>AC FARMA - FLEMINFARMA (10160)</v>
      </c>
      <c r="S3388" t="s">
        <v>77</v>
      </c>
      <c r="T3388">
        <v>18733</v>
      </c>
      <c r="U3388">
        <v>22005</v>
      </c>
      <c r="V3388" t="s">
        <v>77</v>
      </c>
    </row>
    <row r="3389" spans="1:22">
      <c r="A3389" t="str">
        <f t="shared" si="621"/>
        <v>25/09/2025</v>
      </c>
      <c r="B3389" t="str">
        <f t="shared" ref="B3389:B3452" si="626">"SAÍDA"</f>
        <v>SAÍDA</v>
      </c>
      <c r="C3389" t="str">
        <f t="shared" si="622"/>
        <v>PIX</v>
      </c>
      <c r="D3389" t="str">
        <f>"22007"</f>
        <v>22007</v>
      </c>
      <c r="E3389" t="str">
        <f t="shared" si="624"/>
        <v>1</v>
      </c>
      <c r="F3389" t="str">
        <f t="shared" si="620"/>
        <v>COM</v>
      </c>
      <c r="G3389" t="str">
        <f>"ALAN ACOSTA (897)"</f>
        <v>ALAN ACOSTA (897)</v>
      </c>
      <c r="H3389" t="str">
        <f>"Serv.Prest. 08/09/2025 a 14/09/2025 - PIX: E-MAIL - CHAVE: alanacosta1999@gmail.com"</f>
        <v>Serv.Prest. 08/09/2025 a 14/09/2025 - PIX: E-MAIL - CHAVE: alanacosta1999@gmail.com</v>
      </c>
      <c r="I3389" t="str">
        <f t="shared" si="623"/>
        <v>25/09/2025</v>
      </c>
      <c r="J3389" t="str">
        <f t="shared" si="625"/>
        <v>15/09/2025</v>
      </c>
      <c r="K3389" t="str">
        <f>("25/09/2025")</f>
        <v>25/09/2025</v>
      </c>
      <c r="L3389">
        <v>126</v>
      </c>
      <c r="M3389">
        <v>126</v>
      </c>
      <c r="N3389">
        <v>109</v>
      </c>
      <c r="O3389" t="str">
        <f>"PAGAMENTO DE ENTREGADORES"</f>
        <v>PAGAMENTO DE ENTREGADORES</v>
      </c>
      <c r="P3389">
        <v>126</v>
      </c>
      <c r="S3389" t="str">
        <f>"BANCO C6 (149)"</f>
        <v>BANCO C6 (149)</v>
      </c>
      <c r="T3389">
        <v>18734</v>
      </c>
      <c r="U3389">
        <v>22007</v>
      </c>
      <c r="V3389" t="s">
        <v>77</v>
      </c>
    </row>
    <row r="3390" spans="1:22">
      <c r="A3390" t="str">
        <f t="shared" si="621"/>
        <v>25/09/2025</v>
      </c>
      <c r="B3390" t="str">
        <f t="shared" si="626"/>
        <v>SAÍDA</v>
      </c>
      <c r="C3390" t="str">
        <f t="shared" si="622"/>
        <v>PIX</v>
      </c>
      <c r="D3390" t="str">
        <f>"22007"</f>
        <v>22007</v>
      </c>
      <c r="E3390" t="str">
        <f t="shared" si="624"/>
        <v>1</v>
      </c>
      <c r="F3390" t="str">
        <f t="shared" ref="F3390:F3453" si="627">"COM"</f>
        <v>COM</v>
      </c>
      <c r="G3390" t="str">
        <f>"ALAN ACOSTA (897)"</f>
        <v>ALAN ACOSTA (897)</v>
      </c>
      <c r="H3390" t="s">
        <v>931</v>
      </c>
      <c r="I3390" t="str">
        <f t="shared" si="623"/>
        <v>25/09/2025</v>
      </c>
      <c r="J3390" t="str">
        <f t="shared" si="625"/>
        <v>15/09/2025</v>
      </c>
      <c r="K3390">
        <v>45925</v>
      </c>
      <c r="N3390">
        <v>109</v>
      </c>
      <c r="O3390" t="s">
        <v>24</v>
      </c>
      <c r="Q3390">
        <v>119.7</v>
      </c>
      <c r="R3390" t="str">
        <f>"AC FARMA - FLEMINFARMA 5 (10183)"</f>
        <v>AC FARMA - FLEMINFARMA 5 (10183)</v>
      </c>
      <c r="S3390" t="s">
        <v>77</v>
      </c>
      <c r="T3390">
        <v>18734</v>
      </c>
      <c r="U3390">
        <v>22007</v>
      </c>
      <c r="V3390" t="s">
        <v>77</v>
      </c>
    </row>
    <row r="3391" spans="1:22">
      <c r="A3391" t="str">
        <f t="shared" si="621"/>
        <v>25/09/2025</v>
      </c>
      <c r="B3391" t="str">
        <f t="shared" si="626"/>
        <v>SAÍDA</v>
      </c>
      <c r="C3391" t="str">
        <f t="shared" si="622"/>
        <v>PIX</v>
      </c>
      <c r="D3391" t="str">
        <f>"22007"</f>
        <v>22007</v>
      </c>
      <c r="E3391" t="str">
        <f t="shared" si="624"/>
        <v>1</v>
      </c>
      <c r="F3391" t="str">
        <f t="shared" si="627"/>
        <v>COM</v>
      </c>
      <c r="G3391" t="str">
        <f>"ALAN ACOSTA (897)"</f>
        <v>ALAN ACOSTA (897)</v>
      </c>
      <c r="H3391" t="s">
        <v>931</v>
      </c>
      <c r="I3391" t="str">
        <f t="shared" si="623"/>
        <v>25/09/2025</v>
      </c>
      <c r="J3391" t="str">
        <f t="shared" ref="J3391:J3422" si="628">("15/09/2025")</f>
        <v>15/09/2025</v>
      </c>
      <c r="K3391">
        <v>45925</v>
      </c>
      <c r="N3391">
        <v>109</v>
      </c>
      <c r="O3391" t="s">
        <v>24</v>
      </c>
      <c r="Q3391">
        <v>6.3</v>
      </c>
      <c r="R3391" t="str">
        <f>"AC FARMA - FLEMINFARMA 6 (10184)"</f>
        <v>AC FARMA - FLEMINFARMA 6 (10184)</v>
      </c>
      <c r="S3391" t="s">
        <v>77</v>
      </c>
      <c r="T3391">
        <v>18734</v>
      </c>
      <c r="U3391">
        <v>22007</v>
      </c>
      <c r="V3391" t="s">
        <v>77</v>
      </c>
    </row>
    <row r="3392" spans="1:22">
      <c r="A3392" t="str">
        <f t="shared" si="621"/>
        <v>25/09/2025</v>
      </c>
      <c r="B3392" t="str">
        <f t="shared" si="626"/>
        <v>SAÍDA</v>
      </c>
      <c r="C3392" t="str">
        <f t="shared" si="622"/>
        <v>PIX</v>
      </c>
      <c r="D3392" t="str">
        <f>"22008"</f>
        <v>22008</v>
      </c>
      <c r="E3392" t="str">
        <f t="shared" si="624"/>
        <v>1</v>
      </c>
      <c r="F3392" t="str">
        <f t="shared" si="627"/>
        <v>COM</v>
      </c>
      <c r="G3392" t="str">
        <f>"CLAUDINEI RIBEIRO VALERIO (681)"</f>
        <v>CLAUDINEI RIBEIRO VALERIO (681)</v>
      </c>
      <c r="H3392" t="str">
        <f>"Serv.Prest. 08/09/2025 a 14/09/2025 - PIX: CELULAR - CHAVE: (43) 99630-7532"</f>
        <v>Serv.Prest. 08/09/2025 a 14/09/2025 - PIX: CELULAR - CHAVE: (43) 99630-7532</v>
      </c>
      <c r="I3392" t="str">
        <f t="shared" si="623"/>
        <v>25/09/2025</v>
      </c>
      <c r="J3392" t="str">
        <f t="shared" si="628"/>
        <v>15/09/2025</v>
      </c>
      <c r="K3392" t="str">
        <f>("25/09/2025")</f>
        <v>25/09/2025</v>
      </c>
      <c r="L3392">
        <v>6.3</v>
      </c>
      <c r="M3392">
        <v>6.3</v>
      </c>
      <c r="N3392">
        <v>109</v>
      </c>
      <c r="O3392" t="str">
        <f>"PAGAMENTO DE ENTREGADORES"</f>
        <v>PAGAMENTO DE ENTREGADORES</v>
      </c>
      <c r="P3392">
        <v>6.3</v>
      </c>
      <c r="S3392" t="str">
        <f>"BANCO C6 (149)"</f>
        <v>BANCO C6 (149)</v>
      </c>
      <c r="T3392">
        <v>18735</v>
      </c>
      <c r="U3392">
        <v>22008</v>
      </c>
      <c r="V3392" t="s">
        <v>77</v>
      </c>
    </row>
    <row r="3393" spans="1:22">
      <c r="A3393" t="str">
        <f t="shared" si="621"/>
        <v>25/09/2025</v>
      </c>
      <c r="B3393" t="str">
        <f t="shared" si="626"/>
        <v>SAÍDA</v>
      </c>
      <c r="C3393" t="str">
        <f t="shared" si="622"/>
        <v>PIX</v>
      </c>
      <c r="D3393" t="str">
        <f>"22008"</f>
        <v>22008</v>
      </c>
      <c r="E3393" t="str">
        <f t="shared" si="624"/>
        <v>1</v>
      </c>
      <c r="F3393" t="str">
        <f t="shared" si="627"/>
        <v>COM</v>
      </c>
      <c r="G3393" t="str">
        <f>"CLAUDINEI RIBEIRO VALERIO (681)"</f>
        <v>CLAUDINEI RIBEIRO VALERIO (681)</v>
      </c>
      <c r="H3393" t="s">
        <v>933</v>
      </c>
      <c r="I3393" t="str">
        <f t="shared" si="623"/>
        <v>25/09/2025</v>
      </c>
      <c r="J3393" t="str">
        <f t="shared" si="628"/>
        <v>15/09/2025</v>
      </c>
      <c r="K3393">
        <v>45925</v>
      </c>
      <c r="N3393">
        <v>109</v>
      </c>
      <c r="O3393" t="s">
        <v>24</v>
      </c>
      <c r="Q3393">
        <v>6.3</v>
      </c>
      <c r="R3393" t="str">
        <f>"AC FARMA - FLEMINFARMA 5 (10183)"</f>
        <v>AC FARMA - FLEMINFARMA 5 (10183)</v>
      </c>
      <c r="S3393" t="s">
        <v>77</v>
      </c>
      <c r="T3393">
        <v>18735</v>
      </c>
      <c r="U3393">
        <v>22008</v>
      </c>
      <c r="V3393" t="s">
        <v>77</v>
      </c>
    </row>
    <row r="3394" spans="1:22">
      <c r="A3394" t="str">
        <f t="shared" si="621"/>
        <v>25/09/2025</v>
      </c>
      <c r="B3394" t="str">
        <f t="shared" si="626"/>
        <v>SAÍDA</v>
      </c>
      <c r="C3394" t="str">
        <f t="shared" si="622"/>
        <v>PIX</v>
      </c>
      <c r="D3394" t="str">
        <f>"22009"</f>
        <v>22009</v>
      </c>
      <c r="E3394" t="str">
        <f t="shared" si="624"/>
        <v>1</v>
      </c>
      <c r="F3394" t="str">
        <f t="shared" si="627"/>
        <v>COM</v>
      </c>
      <c r="G3394" t="str">
        <f>"FERNANDO MARTINS DA SILVA (701)"</f>
        <v>FERNANDO MARTINS DA SILVA (701)</v>
      </c>
      <c r="H3394" t="str">
        <f>"Serv.Prest. 08/09/2025 a 14/09/2025 - PIX: CPF - CHAVE: 004.682.359-06"</f>
        <v>Serv.Prest. 08/09/2025 a 14/09/2025 - PIX: CPF - CHAVE: 004.682.359-06</v>
      </c>
      <c r="I3394" t="str">
        <f t="shared" si="623"/>
        <v>25/09/2025</v>
      </c>
      <c r="J3394" t="str">
        <f t="shared" si="628"/>
        <v>15/09/2025</v>
      </c>
      <c r="K3394" t="str">
        <f>("25/09/2025")</f>
        <v>25/09/2025</v>
      </c>
      <c r="L3394">
        <v>163.80000000000001</v>
      </c>
      <c r="M3394">
        <v>163.80000000000001</v>
      </c>
      <c r="N3394">
        <v>109</v>
      </c>
      <c r="O3394" t="str">
        <f>"PAGAMENTO DE ENTREGADORES"</f>
        <v>PAGAMENTO DE ENTREGADORES</v>
      </c>
      <c r="P3394">
        <v>163.80000000000001</v>
      </c>
      <c r="S3394" t="str">
        <f>"BANCO C6 (149)"</f>
        <v>BANCO C6 (149)</v>
      </c>
      <c r="T3394">
        <v>18736</v>
      </c>
      <c r="U3394">
        <v>22009</v>
      </c>
      <c r="V3394" t="s">
        <v>77</v>
      </c>
    </row>
    <row r="3395" spans="1:22">
      <c r="A3395" t="str">
        <f t="shared" si="621"/>
        <v>25/09/2025</v>
      </c>
      <c r="B3395" t="str">
        <f t="shared" si="626"/>
        <v>SAÍDA</v>
      </c>
      <c r="C3395" t="str">
        <f t="shared" si="622"/>
        <v>PIX</v>
      </c>
      <c r="D3395" t="str">
        <f>"22009"</f>
        <v>22009</v>
      </c>
      <c r="E3395" t="str">
        <f t="shared" si="624"/>
        <v>1</v>
      </c>
      <c r="F3395" t="str">
        <f t="shared" si="627"/>
        <v>COM</v>
      </c>
      <c r="G3395" t="str">
        <f>"FERNANDO MARTINS DA SILVA (701)"</f>
        <v>FERNANDO MARTINS DA SILVA (701)</v>
      </c>
      <c r="H3395" t="s">
        <v>934</v>
      </c>
      <c r="I3395" t="str">
        <f t="shared" si="623"/>
        <v>25/09/2025</v>
      </c>
      <c r="J3395" t="str">
        <f t="shared" si="628"/>
        <v>15/09/2025</v>
      </c>
      <c r="K3395">
        <v>45925</v>
      </c>
      <c r="N3395">
        <v>109</v>
      </c>
      <c r="O3395" t="s">
        <v>24</v>
      </c>
      <c r="Q3395">
        <v>163.80000000000001</v>
      </c>
      <c r="R3395" t="str">
        <f>"AC FARMA - FLEMINFARMA 5 (10183)"</f>
        <v>AC FARMA - FLEMINFARMA 5 (10183)</v>
      </c>
      <c r="S3395" t="s">
        <v>77</v>
      </c>
      <c r="T3395">
        <v>18736</v>
      </c>
      <c r="U3395">
        <v>22009</v>
      </c>
      <c r="V3395" t="s">
        <v>77</v>
      </c>
    </row>
    <row r="3396" spans="1:22">
      <c r="A3396" t="str">
        <f t="shared" si="621"/>
        <v>25/09/2025</v>
      </c>
      <c r="B3396" t="str">
        <f t="shared" si="626"/>
        <v>SAÍDA</v>
      </c>
      <c r="C3396" t="str">
        <f t="shared" si="622"/>
        <v>PIX</v>
      </c>
      <c r="D3396" t="str">
        <f>"22010"</f>
        <v>22010</v>
      </c>
      <c r="E3396" t="str">
        <f t="shared" si="624"/>
        <v>1</v>
      </c>
      <c r="F3396" t="str">
        <f t="shared" si="627"/>
        <v>COM</v>
      </c>
      <c r="G3396" t="str">
        <f>"GERALDO SEVERINO DE SANTANA (729)"</f>
        <v>GERALDO SEVERINO DE SANTANA (729)</v>
      </c>
      <c r="H3396" t="str">
        <f>"Serv.Prest. 08/09/2025 a 14/09/2025 - PIX: CELULAR - CHAVE: (43) 99934-1696"</f>
        <v>Serv.Prest. 08/09/2025 a 14/09/2025 - PIX: CELULAR - CHAVE: (43) 99934-1696</v>
      </c>
      <c r="I3396" t="str">
        <f t="shared" si="623"/>
        <v>25/09/2025</v>
      </c>
      <c r="J3396" t="str">
        <f t="shared" si="628"/>
        <v>15/09/2025</v>
      </c>
      <c r="K3396" t="str">
        <f>("25/09/2025")</f>
        <v>25/09/2025</v>
      </c>
      <c r="L3396">
        <v>88.2</v>
      </c>
      <c r="M3396">
        <v>88.2</v>
      </c>
      <c r="N3396">
        <v>109</v>
      </c>
      <c r="O3396" t="str">
        <f>"PAGAMENTO DE ENTREGADORES"</f>
        <v>PAGAMENTO DE ENTREGADORES</v>
      </c>
      <c r="P3396">
        <v>88.2</v>
      </c>
      <c r="S3396" t="str">
        <f>"BANCO C6 (149)"</f>
        <v>BANCO C6 (149)</v>
      </c>
      <c r="T3396">
        <v>18737</v>
      </c>
      <c r="U3396">
        <v>22010</v>
      </c>
      <c r="V3396" t="s">
        <v>77</v>
      </c>
    </row>
    <row r="3397" spans="1:22">
      <c r="A3397" t="str">
        <f t="shared" si="621"/>
        <v>25/09/2025</v>
      </c>
      <c r="B3397" t="str">
        <f t="shared" si="626"/>
        <v>SAÍDA</v>
      </c>
      <c r="C3397" t="str">
        <f t="shared" si="622"/>
        <v>PIX</v>
      </c>
      <c r="D3397" t="str">
        <f>"22010"</f>
        <v>22010</v>
      </c>
      <c r="E3397" t="str">
        <f t="shared" si="624"/>
        <v>1</v>
      </c>
      <c r="F3397" t="str">
        <f t="shared" si="627"/>
        <v>COM</v>
      </c>
      <c r="G3397" t="str">
        <f>"GERALDO SEVERINO DE SANTANA (729)"</f>
        <v>GERALDO SEVERINO DE SANTANA (729)</v>
      </c>
      <c r="H3397" t="s">
        <v>935</v>
      </c>
      <c r="I3397" t="str">
        <f t="shared" si="623"/>
        <v>25/09/2025</v>
      </c>
      <c r="J3397" t="str">
        <f t="shared" si="628"/>
        <v>15/09/2025</v>
      </c>
      <c r="K3397">
        <v>45925</v>
      </c>
      <c r="N3397">
        <v>109</v>
      </c>
      <c r="O3397" t="s">
        <v>24</v>
      </c>
      <c r="Q3397">
        <v>81.900000000000006</v>
      </c>
      <c r="R3397" t="str">
        <f>"AC FARMA - FLEMINFARMA 5 (10183)"</f>
        <v>AC FARMA - FLEMINFARMA 5 (10183)</v>
      </c>
      <c r="S3397" t="s">
        <v>77</v>
      </c>
      <c r="T3397">
        <v>18737</v>
      </c>
      <c r="U3397">
        <v>22010</v>
      </c>
      <c r="V3397" t="s">
        <v>77</v>
      </c>
    </row>
    <row r="3398" spans="1:22">
      <c r="A3398" t="str">
        <f t="shared" si="621"/>
        <v>25/09/2025</v>
      </c>
      <c r="B3398" t="str">
        <f t="shared" si="626"/>
        <v>SAÍDA</v>
      </c>
      <c r="C3398" t="str">
        <f t="shared" si="622"/>
        <v>PIX</v>
      </c>
      <c r="D3398" t="str">
        <f>"22010"</f>
        <v>22010</v>
      </c>
      <c r="E3398" t="str">
        <f t="shared" si="624"/>
        <v>1</v>
      </c>
      <c r="F3398" t="str">
        <f t="shared" si="627"/>
        <v>COM</v>
      </c>
      <c r="G3398" t="str">
        <f>"GERALDO SEVERINO DE SANTANA (729)"</f>
        <v>GERALDO SEVERINO DE SANTANA (729)</v>
      </c>
      <c r="H3398" t="s">
        <v>935</v>
      </c>
      <c r="I3398" t="str">
        <f t="shared" si="623"/>
        <v>25/09/2025</v>
      </c>
      <c r="J3398" t="str">
        <f t="shared" si="628"/>
        <v>15/09/2025</v>
      </c>
      <c r="K3398">
        <v>45925</v>
      </c>
      <c r="N3398">
        <v>109</v>
      </c>
      <c r="O3398" t="s">
        <v>24</v>
      </c>
      <c r="Q3398">
        <v>6.3</v>
      </c>
      <c r="R3398" t="str">
        <f>"AC FARMA - FLEMINFARMA 6 (10184)"</f>
        <v>AC FARMA - FLEMINFARMA 6 (10184)</v>
      </c>
      <c r="S3398" t="s">
        <v>77</v>
      </c>
      <c r="T3398">
        <v>18737</v>
      </c>
      <c r="U3398">
        <v>22010</v>
      </c>
      <c r="V3398" t="s">
        <v>77</v>
      </c>
    </row>
    <row r="3399" spans="1:22">
      <c r="A3399" t="str">
        <f t="shared" si="621"/>
        <v>25/09/2025</v>
      </c>
      <c r="B3399" t="str">
        <f t="shared" si="626"/>
        <v>SAÍDA</v>
      </c>
      <c r="C3399" t="str">
        <f t="shared" si="622"/>
        <v>PIX</v>
      </c>
      <c r="D3399" t="str">
        <f>"22011"</f>
        <v>22011</v>
      </c>
      <c r="E3399" t="str">
        <f t="shared" si="624"/>
        <v>1</v>
      </c>
      <c r="F3399" t="str">
        <f t="shared" si="627"/>
        <v>COM</v>
      </c>
      <c r="G3399" t="str">
        <f>"HELITON DE OLIVEIRA RAMOS BARBOSA (724)"</f>
        <v>HELITON DE OLIVEIRA RAMOS BARBOSA (724)</v>
      </c>
      <c r="H3399" t="str">
        <f>"Serv.Prest. 08/09/2025 a 14/09/2025 - PIX: CPF - CHAVE: 074.604.219-10"</f>
        <v>Serv.Prest. 08/09/2025 a 14/09/2025 - PIX: CPF - CHAVE: 074.604.219-10</v>
      </c>
      <c r="I3399" t="str">
        <f t="shared" si="623"/>
        <v>25/09/2025</v>
      </c>
      <c r="J3399" t="str">
        <f t="shared" si="628"/>
        <v>15/09/2025</v>
      </c>
      <c r="K3399" t="str">
        <f>("25/09/2025")</f>
        <v>25/09/2025</v>
      </c>
      <c r="L3399">
        <v>151.19999999999999</v>
      </c>
      <c r="M3399">
        <v>151.19999999999999</v>
      </c>
      <c r="N3399">
        <v>109</v>
      </c>
      <c r="O3399" t="str">
        <f>"PAGAMENTO DE ENTREGADORES"</f>
        <v>PAGAMENTO DE ENTREGADORES</v>
      </c>
      <c r="P3399">
        <v>151.19999999999999</v>
      </c>
      <c r="S3399" t="str">
        <f>"BANCO C6 (149)"</f>
        <v>BANCO C6 (149)</v>
      </c>
      <c r="T3399">
        <v>18738</v>
      </c>
      <c r="U3399">
        <v>22011</v>
      </c>
      <c r="V3399" t="s">
        <v>77</v>
      </c>
    </row>
    <row r="3400" spans="1:22">
      <c r="A3400" t="str">
        <f t="shared" si="621"/>
        <v>25/09/2025</v>
      </c>
      <c r="B3400" t="str">
        <f t="shared" si="626"/>
        <v>SAÍDA</v>
      </c>
      <c r="C3400" t="str">
        <f t="shared" si="622"/>
        <v>PIX</v>
      </c>
      <c r="D3400" t="str">
        <f>"22011"</f>
        <v>22011</v>
      </c>
      <c r="E3400" t="str">
        <f t="shared" si="624"/>
        <v>1</v>
      </c>
      <c r="F3400" t="str">
        <f t="shared" si="627"/>
        <v>COM</v>
      </c>
      <c r="G3400" t="str">
        <f>"HELITON DE OLIVEIRA RAMOS BARBOSA (724)"</f>
        <v>HELITON DE OLIVEIRA RAMOS BARBOSA (724)</v>
      </c>
      <c r="H3400" t="s">
        <v>936</v>
      </c>
      <c r="I3400" t="str">
        <f t="shared" si="623"/>
        <v>25/09/2025</v>
      </c>
      <c r="J3400" t="str">
        <f t="shared" si="628"/>
        <v>15/09/2025</v>
      </c>
      <c r="K3400">
        <v>45925</v>
      </c>
      <c r="N3400">
        <v>109</v>
      </c>
      <c r="O3400" t="s">
        <v>24</v>
      </c>
      <c r="Q3400">
        <v>151.19999999999999</v>
      </c>
      <c r="R3400" t="str">
        <f>"AC FARMA - FLEMINFARMA 5 (10183)"</f>
        <v>AC FARMA - FLEMINFARMA 5 (10183)</v>
      </c>
      <c r="S3400" t="s">
        <v>77</v>
      </c>
      <c r="T3400">
        <v>18738</v>
      </c>
      <c r="U3400">
        <v>22011</v>
      </c>
      <c r="V3400" t="s">
        <v>77</v>
      </c>
    </row>
    <row r="3401" spans="1:22">
      <c r="A3401" t="str">
        <f t="shared" si="621"/>
        <v>25/09/2025</v>
      </c>
      <c r="B3401" t="str">
        <f t="shared" si="626"/>
        <v>SAÍDA</v>
      </c>
      <c r="C3401" t="str">
        <f t="shared" si="622"/>
        <v>PIX</v>
      </c>
      <c r="D3401" t="str">
        <f>"22030"</f>
        <v>22030</v>
      </c>
      <c r="E3401" t="str">
        <f t="shared" si="624"/>
        <v>1</v>
      </c>
      <c r="F3401" t="str">
        <f t="shared" si="627"/>
        <v>COM</v>
      </c>
      <c r="G3401" t="str">
        <f>"CARLOS ALBERTO DE JESUS SANTOS (110)"</f>
        <v>CARLOS ALBERTO DE JESUS SANTOS (110)</v>
      </c>
      <c r="H3401" t="str">
        <f>"Serv.Prest. 08/09/2025 a 14/09/2025 - PIX: CPF - CHAVE: 036.875.515-04"</f>
        <v>Serv.Prest. 08/09/2025 a 14/09/2025 - PIX: CPF - CHAVE: 036.875.515-04</v>
      </c>
      <c r="I3401" t="str">
        <f t="shared" si="623"/>
        <v>25/09/2025</v>
      </c>
      <c r="J3401" t="str">
        <f t="shared" si="628"/>
        <v>15/09/2025</v>
      </c>
      <c r="K3401" t="str">
        <f>("25/09/2025")</f>
        <v>25/09/2025</v>
      </c>
      <c r="L3401">
        <v>654</v>
      </c>
      <c r="M3401">
        <v>654</v>
      </c>
      <c r="N3401">
        <v>109</v>
      </c>
      <c r="O3401" t="str">
        <f>"PAGAMENTO DE ENTREGADORES"</f>
        <v>PAGAMENTO DE ENTREGADORES</v>
      </c>
      <c r="P3401">
        <v>654</v>
      </c>
      <c r="S3401" t="str">
        <f>"BANCO C6 (149)"</f>
        <v>BANCO C6 (149)</v>
      </c>
      <c r="T3401">
        <v>18739</v>
      </c>
      <c r="U3401">
        <v>22030</v>
      </c>
      <c r="V3401" t="s">
        <v>77</v>
      </c>
    </row>
    <row r="3402" spans="1:22">
      <c r="A3402" t="str">
        <f t="shared" si="621"/>
        <v>25/09/2025</v>
      </c>
      <c r="B3402" t="str">
        <f t="shared" si="626"/>
        <v>SAÍDA</v>
      </c>
      <c r="C3402" t="str">
        <f t="shared" si="622"/>
        <v>PIX</v>
      </c>
      <c r="D3402" t="str">
        <f>"22030"</f>
        <v>22030</v>
      </c>
      <c r="E3402" t="str">
        <f t="shared" si="624"/>
        <v>1</v>
      </c>
      <c r="F3402" t="str">
        <f t="shared" si="627"/>
        <v>COM</v>
      </c>
      <c r="G3402" t="str">
        <f>"CARLOS ALBERTO DE JESUS SANTOS (110)"</f>
        <v>CARLOS ALBERTO DE JESUS SANTOS (110)</v>
      </c>
      <c r="H3402" t="s">
        <v>938</v>
      </c>
      <c r="I3402" t="str">
        <f t="shared" si="623"/>
        <v>25/09/2025</v>
      </c>
      <c r="J3402" t="str">
        <f t="shared" si="628"/>
        <v>15/09/2025</v>
      </c>
      <c r="K3402">
        <v>45925</v>
      </c>
      <c r="N3402">
        <v>109</v>
      </c>
      <c r="O3402" t="s">
        <v>24</v>
      </c>
      <c r="Q3402">
        <v>100.65</v>
      </c>
      <c r="R3402" t="str">
        <f>"FARMÁCIA INDIANA LJ 65 (10030)"</f>
        <v>FARMÁCIA INDIANA LJ 65 (10030)</v>
      </c>
      <c r="S3402" t="s">
        <v>77</v>
      </c>
      <c r="T3402">
        <v>18739</v>
      </c>
      <c r="U3402">
        <v>22030</v>
      </c>
      <c r="V3402" t="s">
        <v>77</v>
      </c>
    </row>
    <row r="3403" spans="1:22">
      <c r="A3403" t="str">
        <f t="shared" si="621"/>
        <v>25/09/2025</v>
      </c>
      <c r="B3403" t="str">
        <f t="shared" si="626"/>
        <v>SAÍDA</v>
      </c>
      <c r="C3403" t="str">
        <f t="shared" si="622"/>
        <v>PIX</v>
      </c>
      <c r="D3403" t="str">
        <f>"22030"</f>
        <v>22030</v>
      </c>
      <c r="E3403" t="str">
        <f t="shared" si="624"/>
        <v>1</v>
      </c>
      <c r="F3403" t="str">
        <f t="shared" si="627"/>
        <v>COM</v>
      </c>
      <c r="G3403" t="str">
        <f>"CARLOS ALBERTO DE JESUS SANTOS (110)"</f>
        <v>CARLOS ALBERTO DE JESUS SANTOS (110)</v>
      </c>
      <c r="H3403" t="s">
        <v>938</v>
      </c>
      <c r="I3403" t="str">
        <f t="shared" si="623"/>
        <v>25/09/2025</v>
      </c>
      <c r="J3403" t="str">
        <f t="shared" si="628"/>
        <v>15/09/2025</v>
      </c>
      <c r="K3403">
        <v>45925</v>
      </c>
      <c r="N3403">
        <v>109</v>
      </c>
      <c r="O3403" t="s">
        <v>24</v>
      </c>
      <c r="Q3403">
        <v>553.35</v>
      </c>
      <c r="R3403" t="str">
        <f>"FARMÁCIA INDIANA LJ 173 (10075)"</f>
        <v>FARMÁCIA INDIANA LJ 173 (10075)</v>
      </c>
      <c r="S3403" t="s">
        <v>77</v>
      </c>
      <c r="T3403">
        <v>18739</v>
      </c>
      <c r="U3403">
        <v>22030</v>
      </c>
      <c r="V3403" t="s">
        <v>77</v>
      </c>
    </row>
    <row r="3404" spans="1:22">
      <c r="A3404" t="str">
        <f t="shared" si="621"/>
        <v>25/09/2025</v>
      </c>
      <c r="B3404" t="str">
        <f t="shared" si="626"/>
        <v>SAÍDA</v>
      </c>
      <c r="C3404" t="str">
        <f t="shared" si="622"/>
        <v>PIX</v>
      </c>
      <c r="D3404" t="str">
        <f>"22032"</f>
        <v>22032</v>
      </c>
      <c r="E3404" t="str">
        <f t="shared" si="624"/>
        <v>1</v>
      </c>
      <c r="F3404" t="str">
        <f t="shared" si="627"/>
        <v>COM</v>
      </c>
      <c r="G3404" t="str">
        <f>"DIOCLECIO SANDES JOTA (135)"</f>
        <v>DIOCLECIO SANDES JOTA (135)</v>
      </c>
      <c r="H3404" t="str">
        <f>"Serv.Prest. 08/09/2025 a 14/09/2025 - PIX: CELULAR - CHAVE: (73) 99966-7211"</f>
        <v>Serv.Prest. 08/09/2025 a 14/09/2025 - PIX: CELULAR - CHAVE: (73) 99966-7211</v>
      </c>
      <c r="I3404" t="str">
        <f t="shared" si="623"/>
        <v>25/09/2025</v>
      </c>
      <c r="J3404" t="str">
        <f t="shared" si="628"/>
        <v>15/09/2025</v>
      </c>
      <c r="K3404" t="str">
        <f>("25/09/2025")</f>
        <v>25/09/2025</v>
      </c>
      <c r="L3404">
        <v>948</v>
      </c>
      <c r="M3404">
        <v>948</v>
      </c>
      <c r="N3404">
        <v>109</v>
      </c>
      <c r="O3404" t="str">
        <f>"PAGAMENTO DE ENTREGADORES"</f>
        <v>PAGAMENTO DE ENTREGADORES</v>
      </c>
      <c r="P3404">
        <v>948</v>
      </c>
      <c r="S3404" t="str">
        <f>"BANCO C6 (149)"</f>
        <v>BANCO C6 (149)</v>
      </c>
      <c r="T3404">
        <v>18740</v>
      </c>
      <c r="U3404">
        <v>22032</v>
      </c>
      <c r="V3404" t="s">
        <v>77</v>
      </c>
    </row>
    <row r="3405" spans="1:22">
      <c r="A3405" t="str">
        <f t="shared" si="621"/>
        <v>25/09/2025</v>
      </c>
      <c r="B3405" t="str">
        <f t="shared" si="626"/>
        <v>SAÍDA</v>
      </c>
      <c r="C3405" t="str">
        <f t="shared" si="622"/>
        <v>PIX</v>
      </c>
      <c r="D3405" t="str">
        <f>"22032"</f>
        <v>22032</v>
      </c>
      <c r="E3405" t="str">
        <f t="shared" si="624"/>
        <v>1</v>
      </c>
      <c r="F3405" t="str">
        <f t="shared" si="627"/>
        <v>COM</v>
      </c>
      <c r="G3405" t="str">
        <f>"DIOCLECIO SANDES JOTA (135)"</f>
        <v>DIOCLECIO SANDES JOTA (135)</v>
      </c>
      <c r="H3405" t="s">
        <v>939</v>
      </c>
      <c r="I3405" t="str">
        <f t="shared" si="623"/>
        <v>25/09/2025</v>
      </c>
      <c r="J3405" t="str">
        <f t="shared" si="628"/>
        <v>15/09/2025</v>
      </c>
      <c r="K3405">
        <v>45925</v>
      </c>
      <c r="N3405">
        <v>109</v>
      </c>
      <c r="O3405" t="s">
        <v>24</v>
      </c>
      <c r="Q3405">
        <v>948</v>
      </c>
      <c r="R3405" t="str">
        <f>"FARMÁCIA INDIANA LJ 91 (10037)"</f>
        <v>FARMÁCIA INDIANA LJ 91 (10037)</v>
      </c>
      <c r="S3405" t="s">
        <v>77</v>
      </c>
      <c r="T3405">
        <v>18740</v>
      </c>
      <c r="U3405">
        <v>22032</v>
      </c>
      <c r="V3405" t="s">
        <v>77</v>
      </c>
    </row>
    <row r="3406" spans="1:22">
      <c r="A3406" t="str">
        <f t="shared" ref="A3406:A3469" si="629">("25/09/2025")</f>
        <v>25/09/2025</v>
      </c>
      <c r="B3406" t="str">
        <f t="shared" si="626"/>
        <v>SAÍDA</v>
      </c>
      <c r="C3406" t="str">
        <f t="shared" ref="C3406:C3469" si="630">"PIX"</f>
        <v>PIX</v>
      </c>
      <c r="D3406" t="str">
        <f>"22033"</f>
        <v>22033</v>
      </c>
      <c r="E3406" t="str">
        <f t="shared" si="624"/>
        <v>1</v>
      </c>
      <c r="F3406" t="str">
        <f t="shared" si="627"/>
        <v>COM</v>
      </c>
      <c r="G3406" t="str">
        <f>"EDUARDO SILVA DE JESUS (143)"</f>
        <v>EDUARDO SILVA DE JESUS (143)</v>
      </c>
      <c r="H3406" t="str">
        <f>"Serv.Prest. 08/09/2025 a 14/09/2025 - PIX: CPF - CHAVE: 094.947.395-23"</f>
        <v>Serv.Prest. 08/09/2025 a 14/09/2025 - PIX: CPF - CHAVE: 094.947.395-23</v>
      </c>
      <c r="I3406" t="str">
        <f t="shared" si="623"/>
        <v>25/09/2025</v>
      </c>
      <c r="J3406" t="str">
        <f t="shared" si="628"/>
        <v>15/09/2025</v>
      </c>
      <c r="K3406" t="str">
        <f>("25/09/2025")</f>
        <v>25/09/2025</v>
      </c>
      <c r="L3406">
        <v>1140</v>
      </c>
      <c r="M3406">
        <v>1140</v>
      </c>
      <c r="N3406">
        <v>109</v>
      </c>
      <c r="O3406" t="str">
        <f>"PAGAMENTO DE ENTREGADORES"</f>
        <v>PAGAMENTO DE ENTREGADORES</v>
      </c>
      <c r="P3406">
        <v>1140</v>
      </c>
      <c r="S3406" t="str">
        <f>"BANCO C6 (149)"</f>
        <v>BANCO C6 (149)</v>
      </c>
      <c r="T3406">
        <v>18741</v>
      </c>
      <c r="U3406">
        <v>22033</v>
      </c>
      <c r="V3406" t="s">
        <v>77</v>
      </c>
    </row>
    <row r="3407" spans="1:22">
      <c r="A3407" t="str">
        <f t="shared" si="629"/>
        <v>25/09/2025</v>
      </c>
      <c r="B3407" t="str">
        <f t="shared" si="626"/>
        <v>SAÍDA</v>
      </c>
      <c r="C3407" t="str">
        <f t="shared" si="630"/>
        <v>PIX</v>
      </c>
      <c r="D3407" t="str">
        <f>"22033"</f>
        <v>22033</v>
      </c>
      <c r="E3407" t="str">
        <f t="shared" si="624"/>
        <v>1</v>
      </c>
      <c r="F3407" t="str">
        <f t="shared" si="627"/>
        <v>COM</v>
      </c>
      <c r="G3407" t="str">
        <f>"EDUARDO SILVA DE JESUS (143)"</f>
        <v>EDUARDO SILVA DE JESUS (143)</v>
      </c>
      <c r="H3407" t="s">
        <v>940</v>
      </c>
      <c r="I3407" t="str">
        <f t="shared" si="623"/>
        <v>25/09/2025</v>
      </c>
      <c r="J3407" t="str">
        <f t="shared" si="628"/>
        <v>15/09/2025</v>
      </c>
      <c r="K3407">
        <v>45925</v>
      </c>
      <c r="N3407">
        <v>109</v>
      </c>
      <c r="O3407" t="s">
        <v>24</v>
      </c>
      <c r="Q3407">
        <v>1140</v>
      </c>
      <c r="R3407" t="str">
        <f>"FARMÁCIA INDIANA LJ 91 (10037)"</f>
        <v>FARMÁCIA INDIANA LJ 91 (10037)</v>
      </c>
      <c r="S3407" t="s">
        <v>77</v>
      </c>
      <c r="T3407">
        <v>18741</v>
      </c>
      <c r="U3407">
        <v>22033</v>
      </c>
      <c r="V3407" t="s">
        <v>77</v>
      </c>
    </row>
    <row r="3408" spans="1:22">
      <c r="A3408" t="str">
        <f t="shared" si="629"/>
        <v>25/09/2025</v>
      </c>
      <c r="B3408" t="str">
        <f t="shared" si="626"/>
        <v>SAÍDA</v>
      </c>
      <c r="C3408" t="str">
        <f t="shared" si="630"/>
        <v>PIX</v>
      </c>
      <c r="D3408" t="str">
        <f>"22034"</f>
        <v>22034</v>
      </c>
      <c r="E3408" t="str">
        <f t="shared" si="624"/>
        <v>1</v>
      </c>
      <c r="F3408" t="str">
        <f t="shared" si="627"/>
        <v>COM</v>
      </c>
      <c r="G3408" t="str">
        <f>"ERIC DE RAMOS GOMES (606)"</f>
        <v>ERIC DE RAMOS GOMES (606)</v>
      </c>
      <c r="H3408" t="str">
        <f>"Serv.Prest. 08/09/2025 a 14/09/2025 - PIX: E-MAIL - CHAVE: ericgomes508@gmail.com"</f>
        <v>Serv.Prest. 08/09/2025 a 14/09/2025 - PIX: E-MAIL - CHAVE: ericgomes508@gmail.com</v>
      </c>
      <c r="I3408" t="str">
        <f t="shared" si="623"/>
        <v>25/09/2025</v>
      </c>
      <c r="J3408" t="str">
        <f t="shared" si="628"/>
        <v>15/09/2025</v>
      </c>
      <c r="K3408" t="str">
        <f>("25/09/2025")</f>
        <v>25/09/2025</v>
      </c>
      <c r="L3408">
        <v>702</v>
      </c>
      <c r="M3408">
        <v>702</v>
      </c>
      <c r="N3408">
        <v>109</v>
      </c>
      <c r="O3408" t="str">
        <f>"PAGAMENTO DE ENTREGADORES"</f>
        <v>PAGAMENTO DE ENTREGADORES</v>
      </c>
      <c r="P3408">
        <v>702</v>
      </c>
      <c r="S3408" t="str">
        <f>"BANCO C6 (149)"</f>
        <v>BANCO C6 (149)</v>
      </c>
      <c r="T3408">
        <v>18742</v>
      </c>
      <c r="U3408">
        <v>22034</v>
      </c>
      <c r="V3408" t="s">
        <v>77</v>
      </c>
    </row>
    <row r="3409" spans="1:22">
      <c r="A3409" t="str">
        <f t="shared" si="629"/>
        <v>25/09/2025</v>
      </c>
      <c r="B3409" t="str">
        <f t="shared" si="626"/>
        <v>SAÍDA</v>
      </c>
      <c r="C3409" t="str">
        <f t="shared" si="630"/>
        <v>PIX</v>
      </c>
      <c r="D3409" t="str">
        <f>"22034"</f>
        <v>22034</v>
      </c>
      <c r="E3409" t="str">
        <f t="shared" si="624"/>
        <v>1</v>
      </c>
      <c r="F3409" t="str">
        <f t="shared" si="627"/>
        <v>COM</v>
      </c>
      <c r="G3409" t="str">
        <f>"ERIC DE RAMOS GOMES (606)"</f>
        <v>ERIC DE RAMOS GOMES (606)</v>
      </c>
      <c r="H3409" t="s">
        <v>941</v>
      </c>
      <c r="I3409" t="str">
        <f t="shared" si="623"/>
        <v>25/09/2025</v>
      </c>
      <c r="J3409" t="str">
        <f t="shared" si="628"/>
        <v>15/09/2025</v>
      </c>
      <c r="K3409">
        <v>45925</v>
      </c>
      <c r="N3409">
        <v>109</v>
      </c>
      <c r="O3409" t="s">
        <v>24</v>
      </c>
      <c r="Q3409">
        <v>702</v>
      </c>
      <c r="R3409" t="str">
        <f>"FARMÁCIA INDIANA LJ 91 (10037)"</f>
        <v>FARMÁCIA INDIANA LJ 91 (10037)</v>
      </c>
      <c r="S3409" t="s">
        <v>77</v>
      </c>
      <c r="T3409">
        <v>18742</v>
      </c>
      <c r="U3409">
        <v>22034</v>
      </c>
      <c r="V3409" t="s">
        <v>77</v>
      </c>
    </row>
    <row r="3410" spans="1:22">
      <c r="A3410" t="str">
        <f t="shared" si="629"/>
        <v>25/09/2025</v>
      </c>
      <c r="B3410" t="str">
        <f t="shared" si="626"/>
        <v>SAÍDA</v>
      </c>
      <c r="C3410" t="str">
        <f t="shared" si="630"/>
        <v>PIX</v>
      </c>
      <c r="D3410" t="str">
        <f>"22035"</f>
        <v>22035</v>
      </c>
      <c r="E3410" t="str">
        <f t="shared" si="624"/>
        <v>1</v>
      </c>
      <c r="F3410" t="str">
        <f t="shared" si="627"/>
        <v>COM</v>
      </c>
      <c r="G3410" t="str">
        <f>"ERISVALDO FELIX ALVES (911)"</f>
        <v>ERISVALDO FELIX ALVES (911)</v>
      </c>
      <c r="H3410" t="str">
        <f>"Serv.Prest. 08/09/2025 a 14/09/2025 - PIX: CPF - CHAVE: 005.022.525-10"</f>
        <v>Serv.Prest. 08/09/2025 a 14/09/2025 - PIX: CPF - CHAVE: 005.022.525-10</v>
      </c>
      <c r="I3410" t="str">
        <f t="shared" si="623"/>
        <v>25/09/2025</v>
      </c>
      <c r="J3410" t="str">
        <f t="shared" si="628"/>
        <v>15/09/2025</v>
      </c>
      <c r="K3410" t="str">
        <f>("25/09/2025")</f>
        <v>25/09/2025</v>
      </c>
      <c r="L3410">
        <v>870</v>
      </c>
      <c r="M3410">
        <v>870</v>
      </c>
      <c r="N3410">
        <v>109</v>
      </c>
      <c r="O3410" t="str">
        <f>"PAGAMENTO DE ENTREGADORES"</f>
        <v>PAGAMENTO DE ENTREGADORES</v>
      </c>
      <c r="P3410">
        <v>870</v>
      </c>
      <c r="S3410" t="str">
        <f>"BANCO C6 (149)"</f>
        <v>BANCO C6 (149)</v>
      </c>
      <c r="T3410">
        <v>18743</v>
      </c>
      <c r="U3410">
        <v>22035</v>
      </c>
      <c r="V3410" t="s">
        <v>77</v>
      </c>
    </row>
    <row r="3411" spans="1:22">
      <c r="A3411" t="str">
        <f t="shared" si="629"/>
        <v>25/09/2025</v>
      </c>
      <c r="B3411" t="str">
        <f t="shared" si="626"/>
        <v>SAÍDA</v>
      </c>
      <c r="C3411" t="str">
        <f t="shared" si="630"/>
        <v>PIX</v>
      </c>
      <c r="D3411" t="str">
        <f>"22035"</f>
        <v>22035</v>
      </c>
      <c r="E3411" t="str">
        <f t="shared" si="624"/>
        <v>1</v>
      </c>
      <c r="F3411" t="str">
        <f t="shared" si="627"/>
        <v>COM</v>
      </c>
      <c r="G3411" t="str">
        <f>"ERISVALDO FELIX ALVES (911)"</f>
        <v>ERISVALDO FELIX ALVES (911)</v>
      </c>
      <c r="H3411" t="s">
        <v>942</v>
      </c>
      <c r="I3411" t="str">
        <f t="shared" si="623"/>
        <v>25/09/2025</v>
      </c>
      <c r="J3411" t="str">
        <f t="shared" si="628"/>
        <v>15/09/2025</v>
      </c>
      <c r="K3411">
        <v>45925</v>
      </c>
      <c r="N3411">
        <v>109</v>
      </c>
      <c r="O3411" t="s">
        <v>24</v>
      </c>
      <c r="Q3411">
        <v>870</v>
      </c>
      <c r="R3411" t="str">
        <f>"FARMÁCIA INDIANA LJ 33 (10187)"</f>
        <v>FARMÁCIA INDIANA LJ 33 (10187)</v>
      </c>
      <c r="S3411" t="s">
        <v>77</v>
      </c>
      <c r="T3411">
        <v>18743</v>
      </c>
      <c r="U3411">
        <v>22035</v>
      </c>
      <c r="V3411" t="s">
        <v>77</v>
      </c>
    </row>
    <row r="3412" spans="1:22">
      <c r="A3412" t="str">
        <f t="shared" si="629"/>
        <v>25/09/2025</v>
      </c>
      <c r="B3412" t="str">
        <f t="shared" si="626"/>
        <v>SAÍDA</v>
      </c>
      <c r="C3412" t="str">
        <f t="shared" si="630"/>
        <v>PIX</v>
      </c>
      <c r="D3412" t="str">
        <f>"22036"</f>
        <v>22036</v>
      </c>
      <c r="E3412" t="str">
        <f t="shared" si="624"/>
        <v>1</v>
      </c>
      <c r="F3412" t="str">
        <f t="shared" si="627"/>
        <v>COM</v>
      </c>
      <c r="G3412" t="str">
        <f>"GILBERTO PINHEIRO DA ROCHA (155)"</f>
        <v>GILBERTO PINHEIRO DA ROCHA (155)</v>
      </c>
      <c r="H3412" t="str">
        <f>"Serv.Prest. 08/09/2025 a 14/09/2025 - PIX: CELULAR - CHAVE: (73) 99941-8352"</f>
        <v>Serv.Prest. 08/09/2025 a 14/09/2025 - PIX: CELULAR - CHAVE: (73) 99941-8352</v>
      </c>
      <c r="I3412" t="str">
        <f t="shared" ref="I3412:I3475" si="631">("25/09/2025")</f>
        <v>25/09/2025</v>
      </c>
      <c r="J3412" t="str">
        <f t="shared" si="628"/>
        <v>15/09/2025</v>
      </c>
      <c r="K3412" t="str">
        <f>("25/09/2025")</f>
        <v>25/09/2025</v>
      </c>
      <c r="L3412">
        <v>828.75</v>
      </c>
      <c r="M3412">
        <v>828.75</v>
      </c>
      <c r="N3412">
        <v>109</v>
      </c>
      <c r="O3412" t="str">
        <f>"PAGAMENTO DE ENTREGADORES"</f>
        <v>PAGAMENTO DE ENTREGADORES</v>
      </c>
      <c r="P3412">
        <v>828.75</v>
      </c>
      <c r="S3412" t="str">
        <f>"BANCO C6 (149)"</f>
        <v>BANCO C6 (149)</v>
      </c>
      <c r="T3412">
        <v>18744</v>
      </c>
      <c r="U3412">
        <v>22036</v>
      </c>
      <c r="V3412" t="s">
        <v>77</v>
      </c>
    </row>
    <row r="3413" spans="1:22">
      <c r="A3413" t="str">
        <f t="shared" si="629"/>
        <v>25/09/2025</v>
      </c>
      <c r="B3413" t="str">
        <f t="shared" si="626"/>
        <v>SAÍDA</v>
      </c>
      <c r="C3413" t="str">
        <f t="shared" si="630"/>
        <v>PIX</v>
      </c>
      <c r="D3413" t="str">
        <f>"22036"</f>
        <v>22036</v>
      </c>
      <c r="E3413" t="str">
        <f t="shared" si="624"/>
        <v>1</v>
      </c>
      <c r="F3413" t="str">
        <f t="shared" si="627"/>
        <v>COM</v>
      </c>
      <c r="G3413" t="str">
        <f>"GILBERTO PINHEIRO DA ROCHA (155)"</f>
        <v>GILBERTO PINHEIRO DA ROCHA (155)</v>
      </c>
      <c r="H3413" t="s">
        <v>943</v>
      </c>
      <c r="I3413" t="str">
        <f t="shared" si="631"/>
        <v>25/09/2025</v>
      </c>
      <c r="J3413" t="str">
        <f t="shared" si="628"/>
        <v>15/09/2025</v>
      </c>
      <c r="K3413">
        <v>45925</v>
      </c>
      <c r="N3413">
        <v>109</v>
      </c>
      <c r="O3413" t="s">
        <v>24</v>
      </c>
      <c r="Q3413">
        <v>828.75</v>
      </c>
      <c r="R3413" t="str">
        <f>"FARMÁCIA INDIANA LJ 34 (10014)"</f>
        <v>FARMÁCIA INDIANA LJ 34 (10014)</v>
      </c>
      <c r="S3413" t="s">
        <v>77</v>
      </c>
      <c r="T3413">
        <v>18744</v>
      </c>
      <c r="U3413">
        <v>22036</v>
      </c>
      <c r="V3413" t="s">
        <v>77</v>
      </c>
    </row>
    <row r="3414" spans="1:22">
      <c r="A3414" t="str">
        <f t="shared" si="629"/>
        <v>25/09/2025</v>
      </c>
      <c r="B3414" t="str">
        <f t="shared" si="626"/>
        <v>SAÍDA</v>
      </c>
      <c r="C3414" t="str">
        <f t="shared" si="630"/>
        <v>PIX</v>
      </c>
      <c r="D3414" t="str">
        <f>"22038"</f>
        <v>22038</v>
      </c>
      <c r="E3414" t="str">
        <f t="shared" ref="E3414:E3477" si="632">"1"</f>
        <v>1</v>
      </c>
      <c r="F3414" t="str">
        <f t="shared" si="627"/>
        <v>COM</v>
      </c>
      <c r="G3414" t="str">
        <f>"GUSTAVO SILVA LIMA (771)"</f>
        <v>GUSTAVO SILVA LIMA (771)</v>
      </c>
      <c r="H3414" t="str">
        <f>"Serv.Prest. 08/09/2025 a 14/09/2025 - PIX: CELULAR - CHAVE: (73) 98888-3793"</f>
        <v>Serv.Prest. 08/09/2025 a 14/09/2025 - PIX: CELULAR - CHAVE: (73) 98888-3793</v>
      </c>
      <c r="I3414" t="str">
        <f t="shared" si="631"/>
        <v>25/09/2025</v>
      </c>
      <c r="J3414" t="str">
        <f t="shared" si="628"/>
        <v>15/09/2025</v>
      </c>
      <c r="K3414" t="str">
        <f>("25/09/2025")</f>
        <v>25/09/2025</v>
      </c>
      <c r="L3414">
        <v>654</v>
      </c>
      <c r="M3414">
        <v>654</v>
      </c>
      <c r="N3414">
        <v>109</v>
      </c>
      <c r="O3414" t="str">
        <f>"PAGAMENTO DE ENTREGADORES"</f>
        <v>PAGAMENTO DE ENTREGADORES</v>
      </c>
      <c r="P3414">
        <v>654</v>
      </c>
      <c r="S3414" t="str">
        <f>"BANCO C6 (149)"</f>
        <v>BANCO C6 (149)</v>
      </c>
      <c r="T3414">
        <v>18745</v>
      </c>
      <c r="U3414">
        <v>22038</v>
      </c>
      <c r="V3414" t="s">
        <v>77</v>
      </c>
    </row>
    <row r="3415" spans="1:22">
      <c r="A3415" t="str">
        <f t="shared" si="629"/>
        <v>25/09/2025</v>
      </c>
      <c r="B3415" t="str">
        <f t="shared" si="626"/>
        <v>SAÍDA</v>
      </c>
      <c r="C3415" t="str">
        <f t="shared" si="630"/>
        <v>PIX</v>
      </c>
      <c r="D3415" t="str">
        <f>"22038"</f>
        <v>22038</v>
      </c>
      <c r="E3415" t="str">
        <f t="shared" si="632"/>
        <v>1</v>
      </c>
      <c r="F3415" t="str">
        <f t="shared" si="627"/>
        <v>COM</v>
      </c>
      <c r="G3415" t="str">
        <f>"GUSTAVO SILVA LIMA (771)"</f>
        <v>GUSTAVO SILVA LIMA (771)</v>
      </c>
      <c r="H3415" t="s">
        <v>944</v>
      </c>
      <c r="I3415" t="str">
        <f t="shared" si="631"/>
        <v>25/09/2025</v>
      </c>
      <c r="J3415" t="str">
        <f t="shared" si="628"/>
        <v>15/09/2025</v>
      </c>
      <c r="K3415">
        <v>45925</v>
      </c>
      <c r="N3415">
        <v>109</v>
      </c>
      <c r="O3415" t="s">
        <v>24</v>
      </c>
      <c r="Q3415">
        <v>654</v>
      </c>
      <c r="R3415" t="str">
        <f>"FARMÁCIA INDIANA LJ 65 (10030)"</f>
        <v>FARMÁCIA INDIANA LJ 65 (10030)</v>
      </c>
      <c r="S3415" t="s">
        <v>77</v>
      </c>
      <c r="T3415">
        <v>18745</v>
      </c>
      <c r="U3415">
        <v>22038</v>
      </c>
      <c r="V3415" t="s">
        <v>77</v>
      </c>
    </row>
    <row r="3416" spans="1:22">
      <c r="A3416" t="str">
        <f t="shared" si="629"/>
        <v>25/09/2025</v>
      </c>
      <c r="B3416" t="str">
        <f t="shared" si="626"/>
        <v>SAÍDA</v>
      </c>
      <c r="C3416" t="str">
        <f t="shared" si="630"/>
        <v>PIX</v>
      </c>
      <c r="D3416" t="str">
        <f>"22039"</f>
        <v>22039</v>
      </c>
      <c r="E3416" t="str">
        <f t="shared" si="632"/>
        <v>1</v>
      </c>
      <c r="F3416" t="str">
        <f t="shared" si="627"/>
        <v>COM</v>
      </c>
      <c r="G3416" t="str">
        <f>"JALDENIR MENDES DOS SANTOS (167)"</f>
        <v>JALDENIR MENDES DOS SANTOS (167)</v>
      </c>
      <c r="H3416" t="str">
        <f>"Serv.Prest. 08/09/2025 a 14/09/2025 - PIX: CPF - CHAVE: 439.169.103-53"</f>
        <v>Serv.Prest. 08/09/2025 a 14/09/2025 - PIX: CPF - CHAVE: 439.169.103-53</v>
      </c>
      <c r="I3416" t="str">
        <f t="shared" si="631"/>
        <v>25/09/2025</v>
      </c>
      <c r="J3416" t="str">
        <f t="shared" si="628"/>
        <v>15/09/2025</v>
      </c>
      <c r="K3416" t="str">
        <f>("25/09/2025")</f>
        <v>25/09/2025</v>
      </c>
      <c r="L3416">
        <v>807.5</v>
      </c>
      <c r="M3416">
        <v>807.5</v>
      </c>
      <c r="N3416">
        <v>109</v>
      </c>
      <c r="O3416" t="str">
        <f>"PAGAMENTO DE ENTREGADORES"</f>
        <v>PAGAMENTO DE ENTREGADORES</v>
      </c>
      <c r="P3416">
        <v>807.5</v>
      </c>
      <c r="S3416" t="str">
        <f>"BANCO C6 (149)"</f>
        <v>BANCO C6 (149)</v>
      </c>
      <c r="T3416">
        <v>18746</v>
      </c>
      <c r="U3416">
        <v>22039</v>
      </c>
      <c r="V3416" t="s">
        <v>77</v>
      </c>
    </row>
    <row r="3417" spans="1:22">
      <c r="A3417" t="str">
        <f t="shared" si="629"/>
        <v>25/09/2025</v>
      </c>
      <c r="B3417" t="str">
        <f t="shared" si="626"/>
        <v>SAÍDA</v>
      </c>
      <c r="C3417" t="str">
        <f t="shared" si="630"/>
        <v>PIX</v>
      </c>
      <c r="D3417" t="str">
        <f>"22039"</f>
        <v>22039</v>
      </c>
      <c r="E3417" t="str">
        <f t="shared" si="632"/>
        <v>1</v>
      </c>
      <c r="F3417" t="str">
        <f t="shared" si="627"/>
        <v>COM</v>
      </c>
      <c r="G3417" t="str">
        <f>"JALDENIR MENDES DOS SANTOS (167)"</f>
        <v>JALDENIR MENDES DOS SANTOS (167)</v>
      </c>
      <c r="H3417" t="s">
        <v>945</v>
      </c>
      <c r="I3417" t="str">
        <f t="shared" si="631"/>
        <v>25/09/2025</v>
      </c>
      <c r="J3417" t="str">
        <f t="shared" si="628"/>
        <v>15/09/2025</v>
      </c>
      <c r="K3417">
        <v>45925</v>
      </c>
      <c r="N3417">
        <v>109</v>
      </c>
      <c r="O3417" t="s">
        <v>24</v>
      </c>
      <c r="Q3417">
        <v>807.5</v>
      </c>
      <c r="R3417" t="str">
        <f>"FARMÁCIA INDIANA LJ 34 (10014)"</f>
        <v>FARMÁCIA INDIANA LJ 34 (10014)</v>
      </c>
      <c r="S3417" t="s">
        <v>77</v>
      </c>
      <c r="T3417">
        <v>18746</v>
      </c>
      <c r="U3417">
        <v>22039</v>
      </c>
      <c r="V3417" t="s">
        <v>77</v>
      </c>
    </row>
    <row r="3418" spans="1:22">
      <c r="A3418" t="str">
        <f t="shared" si="629"/>
        <v>25/09/2025</v>
      </c>
      <c r="B3418" t="str">
        <f t="shared" si="626"/>
        <v>SAÍDA</v>
      </c>
      <c r="C3418" t="str">
        <f t="shared" si="630"/>
        <v>PIX</v>
      </c>
      <c r="D3418" t="str">
        <f>"22041"</f>
        <v>22041</v>
      </c>
      <c r="E3418" t="str">
        <f t="shared" si="632"/>
        <v>1</v>
      </c>
      <c r="F3418" t="str">
        <f t="shared" si="627"/>
        <v>COM</v>
      </c>
      <c r="G3418" t="str">
        <f>"JIRLANIA RODRIGUES DOS SANTOS (152)"</f>
        <v>JIRLANIA RODRIGUES DOS SANTOS (152)</v>
      </c>
      <c r="H3418" t="str">
        <f>"Serv.Prest. 08/09/2025 a 14/09/2025 - PIX: CPF - CHAVE: 035.018.455-02"</f>
        <v>Serv.Prest. 08/09/2025 a 14/09/2025 - PIX: CPF - CHAVE: 035.018.455-02</v>
      </c>
      <c r="I3418" t="str">
        <f t="shared" si="631"/>
        <v>25/09/2025</v>
      </c>
      <c r="J3418" t="str">
        <f t="shared" si="628"/>
        <v>15/09/2025</v>
      </c>
      <c r="K3418" t="str">
        <f>("25/09/2025")</f>
        <v>25/09/2025</v>
      </c>
      <c r="L3418">
        <v>1003</v>
      </c>
      <c r="M3418">
        <v>1003</v>
      </c>
      <c r="N3418">
        <v>109</v>
      </c>
      <c r="O3418" t="str">
        <f>"PAGAMENTO DE ENTREGADORES"</f>
        <v>PAGAMENTO DE ENTREGADORES</v>
      </c>
      <c r="P3418">
        <v>1003</v>
      </c>
      <c r="S3418" t="str">
        <f>"BANCO C6 (149)"</f>
        <v>BANCO C6 (149)</v>
      </c>
      <c r="T3418">
        <v>18747</v>
      </c>
      <c r="U3418">
        <v>22041</v>
      </c>
      <c r="V3418" t="s">
        <v>77</v>
      </c>
    </row>
    <row r="3419" spans="1:22">
      <c r="A3419" t="str">
        <f t="shared" si="629"/>
        <v>25/09/2025</v>
      </c>
      <c r="B3419" t="str">
        <f t="shared" si="626"/>
        <v>SAÍDA</v>
      </c>
      <c r="C3419" t="str">
        <f t="shared" si="630"/>
        <v>PIX</v>
      </c>
      <c r="D3419" t="str">
        <f>"22041"</f>
        <v>22041</v>
      </c>
      <c r="E3419" t="str">
        <f t="shared" si="632"/>
        <v>1</v>
      </c>
      <c r="F3419" t="str">
        <f t="shared" si="627"/>
        <v>COM</v>
      </c>
      <c r="G3419" t="str">
        <f>"JIRLANIA RODRIGUES DOS SANTOS (152)"</f>
        <v>JIRLANIA RODRIGUES DOS SANTOS (152)</v>
      </c>
      <c r="H3419" t="s">
        <v>946</v>
      </c>
      <c r="I3419" t="str">
        <f t="shared" si="631"/>
        <v>25/09/2025</v>
      </c>
      <c r="J3419" t="str">
        <f t="shared" si="628"/>
        <v>15/09/2025</v>
      </c>
      <c r="K3419">
        <v>45925</v>
      </c>
      <c r="N3419">
        <v>109</v>
      </c>
      <c r="O3419" t="s">
        <v>24</v>
      </c>
      <c r="Q3419">
        <v>1003</v>
      </c>
      <c r="R3419" t="str">
        <f>"FARMÁCIA INDIANA LJ 95 (10039)"</f>
        <v>FARMÁCIA INDIANA LJ 95 (10039)</v>
      </c>
      <c r="S3419" t="s">
        <v>77</v>
      </c>
      <c r="T3419">
        <v>18747</v>
      </c>
      <c r="U3419">
        <v>22041</v>
      </c>
      <c r="V3419" t="s">
        <v>77</v>
      </c>
    </row>
    <row r="3420" spans="1:22">
      <c r="A3420" t="str">
        <f t="shared" si="629"/>
        <v>25/09/2025</v>
      </c>
      <c r="B3420" t="str">
        <f t="shared" si="626"/>
        <v>SAÍDA</v>
      </c>
      <c r="C3420" t="str">
        <f t="shared" si="630"/>
        <v>PIX</v>
      </c>
      <c r="D3420" t="str">
        <f>"22042"</f>
        <v>22042</v>
      </c>
      <c r="E3420" t="str">
        <f t="shared" si="632"/>
        <v>1</v>
      </c>
      <c r="F3420" t="str">
        <f t="shared" si="627"/>
        <v>COM</v>
      </c>
      <c r="G3420" t="str">
        <f>"JOAO PEDRO BRITO DE SOUZA (876)"</f>
        <v>JOAO PEDRO BRITO DE SOUZA (876)</v>
      </c>
      <c r="H3420" t="str">
        <f>"Serv.Prest. 08/09/2025 a 14/09/2025 - PIX: CPF - CHAVE: 860.305.455-07"</f>
        <v>Serv.Prest. 08/09/2025 a 14/09/2025 - PIX: CPF - CHAVE: 860.305.455-07</v>
      </c>
      <c r="I3420" t="str">
        <f t="shared" si="631"/>
        <v>25/09/2025</v>
      </c>
      <c r="J3420" t="str">
        <f t="shared" si="628"/>
        <v>15/09/2025</v>
      </c>
      <c r="K3420" t="str">
        <f>("25/09/2025")</f>
        <v>25/09/2025</v>
      </c>
      <c r="L3420">
        <v>1340</v>
      </c>
      <c r="M3420">
        <v>1340</v>
      </c>
      <c r="N3420">
        <v>109</v>
      </c>
      <c r="O3420" t="str">
        <f>"PAGAMENTO DE ENTREGADORES"</f>
        <v>PAGAMENTO DE ENTREGADORES</v>
      </c>
      <c r="P3420">
        <v>1340</v>
      </c>
      <c r="S3420" t="str">
        <f>"BANCO C6 (149)"</f>
        <v>BANCO C6 (149)</v>
      </c>
      <c r="T3420">
        <v>18748</v>
      </c>
      <c r="U3420">
        <v>22042</v>
      </c>
      <c r="V3420" t="s">
        <v>77</v>
      </c>
    </row>
    <row r="3421" spans="1:22">
      <c r="A3421" t="str">
        <f t="shared" si="629"/>
        <v>25/09/2025</v>
      </c>
      <c r="B3421" t="str">
        <f t="shared" si="626"/>
        <v>SAÍDA</v>
      </c>
      <c r="C3421" t="str">
        <f t="shared" si="630"/>
        <v>PIX</v>
      </c>
      <c r="D3421" t="str">
        <f>"22042"</f>
        <v>22042</v>
      </c>
      <c r="E3421" t="str">
        <f t="shared" si="632"/>
        <v>1</v>
      </c>
      <c r="F3421" t="str">
        <f t="shared" si="627"/>
        <v>COM</v>
      </c>
      <c r="G3421" t="str">
        <f>"JOAO PEDRO BRITO DE SOUZA (876)"</f>
        <v>JOAO PEDRO BRITO DE SOUZA (876)</v>
      </c>
      <c r="H3421" t="s">
        <v>947</v>
      </c>
      <c r="I3421" t="str">
        <f t="shared" si="631"/>
        <v>25/09/2025</v>
      </c>
      <c r="J3421" t="str">
        <f t="shared" si="628"/>
        <v>15/09/2025</v>
      </c>
      <c r="K3421">
        <v>45925</v>
      </c>
      <c r="N3421">
        <v>109</v>
      </c>
      <c r="O3421" t="s">
        <v>24</v>
      </c>
      <c r="Q3421">
        <v>894.99</v>
      </c>
      <c r="R3421" t="str">
        <f>"FARMÁCIA INDIANA LJ 48 (10018)"</f>
        <v>FARMÁCIA INDIANA LJ 48 (10018)</v>
      </c>
      <c r="S3421" t="s">
        <v>77</v>
      </c>
      <c r="T3421">
        <v>18748</v>
      </c>
      <c r="U3421">
        <v>22042</v>
      </c>
      <c r="V3421" t="s">
        <v>77</v>
      </c>
    </row>
    <row r="3422" spans="1:22">
      <c r="A3422" t="str">
        <f t="shared" si="629"/>
        <v>25/09/2025</v>
      </c>
      <c r="B3422" t="str">
        <f t="shared" si="626"/>
        <v>SAÍDA</v>
      </c>
      <c r="C3422" t="str">
        <f t="shared" si="630"/>
        <v>PIX</v>
      </c>
      <c r="D3422" t="str">
        <f>"22042"</f>
        <v>22042</v>
      </c>
      <c r="E3422" t="str">
        <f t="shared" si="632"/>
        <v>1</v>
      </c>
      <c r="F3422" t="str">
        <f t="shared" si="627"/>
        <v>COM</v>
      </c>
      <c r="G3422" t="str">
        <f>"JOAO PEDRO BRITO DE SOUZA (876)"</f>
        <v>JOAO PEDRO BRITO DE SOUZA (876)</v>
      </c>
      <c r="H3422" t="s">
        <v>947</v>
      </c>
      <c r="I3422" t="str">
        <f t="shared" si="631"/>
        <v>25/09/2025</v>
      </c>
      <c r="J3422" t="str">
        <f t="shared" si="628"/>
        <v>15/09/2025</v>
      </c>
      <c r="K3422">
        <v>45925</v>
      </c>
      <c r="N3422">
        <v>109</v>
      </c>
      <c r="O3422" t="s">
        <v>24</v>
      </c>
      <c r="Q3422">
        <v>445.01</v>
      </c>
      <c r="R3422" t="str">
        <f>"FARMÁCIA INDIANA LJ 169 (10073)"</f>
        <v>FARMÁCIA INDIANA LJ 169 (10073)</v>
      </c>
      <c r="S3422" t="s">
        <v>77</v>
      </c>
      <c r="T3422">
        <v>18748</v>
      </c>
      <c r="U3422">
        <v>22042</v>
      </c>
      <c r="V3422" t="s">
        <v>77</v>
      </c>
    </row>
    <row r="3423" spans="1:22">
      <c r="A3423" t="str">
        <f t="shared" si="629"/>
        <v>25/09/2025</v>
      </c>
      <c r="B3423" t="str">
        <f t="shared" si="626"/>
        <v>SAÍDA</v>
      </c>
      <c r="C3423" t="str">
        <f t="shared" si="630"/>
        <v>PIX</v>
      </c>
      <c r="D3423" t="str">
        <f>"22043"</f>
        <v>22043</v>
      </c>
      <c r="E3423" t="str">
        <f t="shared" si="632"/>
        <v>1</v>
      </c>
      <c r="F3423" t="str">
        <f t="shared" si="627"/>
        <v>COM</v>
      </c>
      <c r="G3423" t="str">
        <f>"JUNIO SOUZA SILVA (610)"</f>
        <v>JUNIO SOUZA SILVA (610)</v>
      </c>
      <c r="H3423" t="str">
        <f>"Serv.Prest. 08/09/2025 a 14/09/2025 - PIX: CELULAR - CHAVE: (73) 98105-2187"</f>
        <v>Serv.Prest. 08/09/2025 a 14/09/2025 - PIX: CELULAR - CHAVE: (73) 98105-2187</v>
      </c>
      <c r="I3423" t="str">
        <f t="shared" si="631"/>
        <v>25/09/2025</v>
      </c>
      <c r="J3423" t="str">
        <f t="shared" ref="J3423:J3444" si="633">("15/09/2025")</f>
        <v>15/09/2025</v>
      </c>
      <c r="K3423" t="str">
        <f>("25/09/2025")</f>
        <v>25/09/2025</v>
      </c>
      <c r="L3423">
        <v>600</v>
      </c>
      <c r="M3423">
        <v>600</v>
      </c>
      <c r="N3423">
        <v>109</v>
      </c>
      <c r="O3423" t="str">
        <f>"PAGAMENTO DE ENTREGADORES"</f>
        <v>PAGAMENTO DE ENTREGADORES</v>
      </c>
      <c r="P3423">
        <v>600</v>
      </c>
      <c r="S3423" t="str">
        <f>"BANCO C6 (149)"</f>
        <v>BANCO C6 (149)</v>
      </c>
      <c r="T3423">
        <v>18749</v>
      </c>
      <c r="U3423">
        <v>22043</v>
      </c>
      <c r="V3423" t="s">
        <v>77</v>
      </c>
    </row>
    <row r="3424" spans="1:22">
      <c r="A3424" t="str">
        <f t="shared" si="629"/>
        <v>25/09/2025</v>
      </c>
      <c r="B3424" t="str">
        <f t="shared" si="626"/>
        <v>SAÍDA</v>
      </c>
      <c r="C3424" t="str">
        <f t="shared" si="630"/>
        <v>PIX</v>
      </c>
      <c r="D3424" t="str">
        <f>"22043"</f>
        <v>22043</v>
      </c>
      <c r="E3424" t="str">
        <f t="shared" si="632"/>
        <v>1</v>
      </c>
      <c r="F3424" t="str">
        <f t="shared" si="627"/>
        <v>COM</v>
      </c>
      <c r="G3424" t="str">
        <f>"JUNIO SOUZA SILVA (610)"</f>
        <v>JUNIO SOUZA SILVA (610)</v>
      </c>
      <c r="H3424" t="s">
        <v>948</v>
      </c>
      <c r="I3424" t="str">
        <f t="shared" si="631"/>
        <v>25/09/2025</v>
      </c>
      <c r="J3424" t="str">
        <f t="shared" si="633"/>
        <v>15/09/2025</v>
      </c>
      <c r="K3424">
        <v>45925</v>
      </c>
      <c r="N3424">
        <v>109</v>
      </c>
      <c r="O3424" t="s">
        <v>24</v>
      </c>
      <c r="Q3424">
        <v>600</v>
      </c>
      <c r="R3424" t="str">
        <f>"FARMÁCIA INDIANA LJ 77 (10034)"</f>
        <v>FARMÁCIA INDIANA LJ 77 (10034)</v>
      </c>
      <c r="S3424" t="s">
        <v>77</v>
      </c>
      <c r="T3424">
        <v>18749</v>
      </c>
      <c r="U3424">
        <v>22043</v>
      </c>
      <c r="V3424" t="s">
        <v>77</v>
      </c>
    </row>
    <row r="3425" spans="1:22">
      <c r="A3425" t="str">
        <f t="shared" si="629"/>
        <v>25/09/2025</v>
      </c>
      <c r="B3425" t="str">
        <f t="shared" si="626"/>
        <v>SAÍDA</v>
      </c>
      <c r="C3425" t="str">
        <f t="shared" si="630"/>
        <v>PIX</v>
      </c>
      <c r="D3425" t="str">
        <f>"22044"</f>
        <v>22044</v>
      </c>
      <c r="E3425" t="str">
        <f t="shared" si="632"/>
        <v>1</v>
      </c>
      <c r="F3425" t="str">
        <f t="shared" si="627"/>
        <v>COM</v>
      </c>
      <c r="G3425" t="str">
        <f>"KHENNEDY DAVY DOS SANTOS SILVA (692)"</f>
        <v>KHENNEDY DAVY DOS SANTOS SILVA (692)</v>
      </c>
      <c r="H3425" t="str">
        <f>"Serv.Prest. 08/09/2025 a 14/09/2025 - PIX: CPF - CHAVE: 094.700.685-05"</f>
        <v>Serv.Prest. 08/09/2025 a 14/09/2025 - PIX: CPF - CHAVE: 094.700.685-05</v>
      </c>
      <c r="I3425" t="str">
        <f t="shared" si="631"/>
        <v>25/09/2025</v>
      </c>
      <c r="J3425" t="str">
        <f t="shared" si="633"/>
        <v>15/09/2025</v>
      </c>
      <c r="K3425" t="str">
        <f>("25/09/2025")</f>
        <v>25/09/2025</v>
      </c>
      <c r="L3425">
        <v>654</v>
      </c>
      <c r="M3425">
        <v>654</v>
      </c>
      <c r="N3425">
        <v>109</v>
      </c>
      <c r="O3425" t="str">
        <f>"PAGAMENTO DE ENTREGADORES"</f>
        <v>PAGAMENTO DE ENTREGADORES</v>
      </c>
      <c r="P3425">
        <v>654</v>
      </c>
      <c r="S3425" t="str">
        <f>"BANCO C6 (149)"</f>
        <v>BANCO C6 (149)</v>
      </c>
      <c r="T3425">
        <v>18750</v>
      </c>
      <c r="U3425">
        <v>22044</v>
      </c>
      <c r="V3425" t="s">
        <v>77</v>
      </c>
    </row>
    <row r="3426" spans="1:22">
      <c r="A3426" t="str">
        <f t="shared" si="629"/>
        <v>25/09/2025</v>
      </c>
      <c r="B3426" t="str">
        <f t="shared" si="626"/>
        <v>SAÍDA</v>
      </c>
      <c r="C3426" t="str">
        <f t="shared" si="630"/>
        <v>PIX</v>
      </c>
      <c r="D3426" t="str">
        <f>"22044"</f>
        <v>22044</v>
      </c>
      <c r="E3426" t="str">
        <f t="shared" si="632"/>
        <v>1</v>
      </c>
      <c r="F3426" t="str">
        <f t="shared" si="627"/>
        <v>COM</v>
      </c>
      <c r="G3426" t="str">
        <f>"KHENNEDY DAVY DOS SANTOS SILVA (692)"</f>
        <v>KHENNEDY DAVY DOS SANTOS SILVA (692)</v>
      </c>
      <c r="H3426" t="s">
        <v>949</v>
      </c>
      <c r="I3426" t="str">
        <f t="shared" si="631"/>
        <v>25/09/2025</v>
      </c>
      <c r="J3426" t="str">
        <f t="shared" si="633"/>
        <v>15/09/2025</v>
      </c>
      <c r="K3426">
        <v>45925</v>
      </c>
      <c r="N3426">
        <v>109</v>
      </c>
      <c r="O3426" t="s">
        <v>24</v>
      </c>
      <c r="Q3426">
        <v>654</v>
      </c>
      <c r="R3426" t="str">
        <f>"FARMÁCIA INDIANA LJ 65 (10030)"</f>
        <v>FARMÁCIA INDIANA LJ 65 (10030)</v>
      </c>
      <c r="S3426" t="s">
        <v>77</v>
      </c>
      <c r="T3426">
        <v>18750</v>
      </c>
      <c r="U3426">
        <v>22044</v>
      </c>
      <c r="V3426" t="s">
        <v>77</v>
      </c>
    </row>
    <row r="3427" spans="1:22">
      <c r="A3427" t="str">
        <f t="shared" si="629"/>
        <v>25/09/2025</v>
      </c>
      <c r="B3427" t="str">
        <f t="shared" si="626"/>
        <v>SAÍDA</v>
      </c>
      <c r="C3427" t="str">
        <f t="shared" si="630"/>
        <v>PIX</v>
      </c>
      <c r="D3427" t="str">
        <f>"22045"</f>
        <v>22045</v>
      </c>
      <c r="E3427" t="str">
        <f t="shared" si="632"/>
        <v>1</v>
      </c>
      <c r="F3427" t="str">
        <f t="shared" si="627"/>
        <v>COM</v>
      </c>
      <c r="G3427" t="str">
        <f>"LEONARDO MERCÊS CAJAZEIRAS (235)"</f>
        <v>LEONARDO MERCÊS CAJAZEIRAS (235)</v>
      </c>
      <c r="H3427" t="str">
        <f>"Serv.Prest. 08/09/2025 a 14/09/2025 - PIX: CELULAR - CHAVE: (73) 99803-0715"</f>
        <v>Serv.Prest. 08/09/2025 a 14/09/2025 - PIX: CELULAR - CHAVE: (73) 99803-0715</v>
      </c>
      <c r="I3427" t="str">
        <f t="shared" si="631"/>
        <v>25/09/2025</v>
      </c>
      <c r="J3427" t="str">
        <f t="shared" si="633"/>
        <v>15/09/2025</v>
      </c>
      <c r="K3427" t="str">
        <f>("25/09/2025")</f>
        <v>25/09/2025</v>
      </c>
      <c r="L3427">
        <v>600</v>
      </c>
      <c r="M3427">
        <v>600</v>
      </c>
      <c r="N3427">
        <v>109</v>
      </c>
      <c r="O3427" t="str">
        <f>"PAGAMENTO DE ENTREGADORES"</f>
        <v>PAGAMENTO DE ENTREGADORES</v>
      </c>
      <c r="P3427">
        <v>600</v>
      </c>
      <c r="S3427" t="str">
        <f>"BANCO C6 (149)"</f>
        <v>BANCO C6 (149)</v>
      </c>
      <c r="T3427">
        <v>18751</v>
      </c>
      <c r="U3427">
        <v>22045</v>
      </c>
      <c r="V3427" t="s">
        <v>77</v>
      </c>
    </row>
    <row r="3428" spans="1:22">
      <c r="A3428" t="str">
        <f t="shared" si="629"/>
        <v>25/09/2025</v>
      </c>
      <c r="B3428" t="str">
        <f t="shared" si="626"/>
        <v>SAÍDA</v>
      </c>
      <c r="C3428" t="str">
        <f t="shared" si="630"/>
        <v>PIX</v>
      </c>
      <c r="D3428" t="str">
        <f>"22045"</f>
        <v>22045</v>
      </c>
      <c r="E3428" t="str">
        <f t="shared" si="632"/>
        <v>1</v>
      </c>
      <c r="F3428" t="str">
        <f t="shared" si="627"/>
        <v>COM</v>
      </c>
      <c r="G3428" t="str">
        <f>"LEONARDO MERCÊS CAJAZEIRAS (235)"</f>
        <v>LEONARDO MERCÊS CAJAZEIRAS (235)</v>
      </c>
      <c r="H3428" t="s">
        <v>950</v>
      </c>
      <c r="I3428" t="str">
        <f t="shared" si="631"/>
        <v>25/09/2025</v>
      </c>
      <c r="J3428" t="str">
        <f t="shared" si="633"/>
        <v>15/09/2025</v>
      </c>
      <c r="K3428">
        <v>45925</v>
      </c>
      <c r="N3428">
        <v>109</v>
      </c>
      <c r="O3428" t="s">
        <v>24</v>
      </c>
      <c r="Q3428">
        <v>600</v>
      </c>
      <c r="R3428" t="str">
        <f>"FARMÁCIA INDIANA LJ 35 (10015)"</f>
        <v>FARMÁCIA INDIANA LJ 35 (10015)</v>
      </c>
      <c r="S3428" t="s">
        <v>77</v>
      </c>
      <c r="T3428">
        <v>18751</v>
      </c>
      <c r="U3428">
        <v>22045</v>
      </c>
      <c r="V3428" t="s">
        <v>77</v>
      </c>
    </row>
    <row r="3429" spans="1:22">
      <c r="A3429" t="str">
        <f t="shared" si="629"/>
        <v>25/09/2025</v>
      </c>
      <c r="B3429" t="str">
        <f t="shared" si="626"/>
        <v>SAÍDA</v>
      </c>
      <c r="C3429" t="str">
        <f t="shared" si="630"/>
        <v>PIX</v>
      </c>
      <c r="D3429" t="str">
        <f>"22046"</f>
        <v>22046</v>
      </c>
      <c r="E3429" t="str">
        <f t="shared" si="632"/>
        <v>1</v>
      </c>
      <c r="F3429" t="str">
        <f t="shared" si="627"/>
        <v>COM</v>
      </c>
      <c r="G3429" t="str">
        <f>"LUCAS MOREIRA PEREIRA (153)"</f>
        <v>LUCAS MOREIRA PEREIRA (153)</v>
      </c>
      <c r="H3429" t="str">
        <f>"Serv.Prest. 08/09/2025 a 14/09/2025 - PIX: CELULAR - CHAVE: (73) 99967-3239"</f>
        <v>Serv.Prest. 08/09/2025 a 14/09/2025 - PIX: CELULAR - CHAVE: (73) 99967-3239</v>
      </c>
      <c r="I3429" t="str">
        <f t="shared" si="631"/>
        <v>25/09/2025</v>
      </c>
      <c r="J3429" t="str">
        <f t="shared" si="633"/>
        <v>15/09/2025</v>
      </c>
      <c r="K3429" t="str">
        <f>("25/09/2025")</f>
        <v>25/09/2025</v>
      </c>
      <c r="L3429">
        <v>1650</v>
      </c>
      <c r="M3429">
        <v>1650</v>
      </c>
      <c r="N3429">
        <v>109</v>
      </c>
      <c r="O3429" t="str">
        <f>"PAGAMENTO DE ENTREGADORES"</f>
        <v>PAGAMENTO DE ENTREGADORES</v>
      </c>
      <c r="P3429">
        <v>1650</v>
      </c>
      <c r="S3429" t="str">
        <f>"BANCO C6 (149)"</f>
        <v>BANCO C6 (149)</v>
      </c>
      <c r="T3429">
        <v>18752</v>
      </c>
      <c r="U3429">
        <v>22046</v>
      </c>
      <c r="V3429" t="s">
        <v>77</v>
      </c>
    </row>
    <row r="3430" spans="1:22">
      <c r="A3430" t="str">
        <f t="shared" si="629"/>
        <v>25/09/2025</v>
      </c>
      <c r="B3430" t="str">
        <f t="shared" si="626"/>
        <v>SAÍDA</v>
      </c>
      <c r="C3430" t="str">
        <f t="shared" si="630"/>
        <v>PIX</v>
      </c>
      <c r="D3430" t="str">
        <f>"22046"</f>
        <v>22046</v>
      </c>
      <c r="E3430" t="str">
        <f t="shared" si="632"/>
        <v>1</v>
      </c>
      <c r="F3430" t="str">
        <f t="shared" si="627"/>
        <v>COM</v>
      </c>
      <c r="G3430" t="str">
        <f>"LUCAS MOREIRA PEREIRA (153)"</f>
        <v>LUCAS MOREIRA PEREIRA (153)</v>
      </c>
      <c r="H3430" t="s">
        <v>951</v>
      </c>
      <c r="I3430" t="str">
        <f t="shared" si="631"/>
        <v>25/09/2025</v>
      </c>
      <c r="J3430" t="str">
        <f t="shared" si="633"/>
        <v>15/09/2025</v>
      </c>
      <c r="K3430">
        <v>45925</v>
      </c>
      <c r="N3430">
        <v>109</v>
      </c>
      <c r="O3430" t="s">
        <v>24</v>
      </c>
      <c r="Q3430">
        <v>1235.02</v>
      </c>
      <c r="R3430" t="str">
        <f>"FARMÁCIA INDIANA LJ 48 (10018)"</f>
        <v>FARMÁCIA INDIANA LJ 48 (10018)</v>
      </c>
      <c r="S3430" t="s">
        <v>77</v>
      </c>
      <c r="T3430">
        <v>18752</v>
      </c>
      <c r="U3430">
        <v>22046</v>
      </c>
      <c r="V3430" t="s">
        <v>77</v>
      </c>
    </row>
    <row r="3431" spans="1:22">
      <c r="A3431" t="str">
        <f t="shared" si="629"/>
        <v>25/09/2025</v>
      </c>
      <c r="B3431" t="str">
        <f t="shared" si="626"/>
        <v>SAÍDA</v>
      </c>
      <c r="C3431" t="str">
        <f t="shared" si="630"/>
        <v>PIX</v>
      </c>
      <c r="D3431" t="str">
        <f>"22046"</f>
        <v>22046</v>
      </c>
      <c r="E3431" t="str">
        <f t="shared" si="632"/>
        <v>1</v>
      </c>
      <c r="F3431" t="str">
        <f t="shared" si="627"/>
        <v>COM</v>
      </c>
      <c r="G3431" t="str">
        <f>"LUCAS MOREIRA PEREIRA (153)"</f>
        <v>LUCAS MOREIRA PEREIRA (153)</v>
      </c>
      <c r="H3431" t="s">
        <v>951</v>
      </c>
      <c r="I3431" t="str">
        <f t="shared" si="631"/>
        <v>25/09/2025</v>
      </c>
      <c r="J3431" t="str">
        <f t="shared" si="633"/>
        <v>15/09/2025</v>
      </c>
      <c r="K3431">
        <v>45925</v>
      </c>
      <c r="N3431">
        <v>109</v>
      </c>
      <c r="O3431" t="s">
        <v>24</v>
      </c>
      <c r="Q3431">
        <v>414.98</v>
      </c>
      <c r="R3431" t="str">
        <f>"FARMÁCIA INDIANA LJ 169 (10073)"</f>
        <v>FARMÁCIA INDIANA LJ 169 (10073)</v>
      </c>
      <c r="S3431" t="s">
        <v>77</v>
      </c>
      <c r="T3431">
        <v>18752</v>
      </c>
      <c r="U3431">
        <v>22046</v>
      </c>
      <c r="V3431" t="s">
        <v>77</v>
      </c>
    </row>
    <row r="3432" spans="1:22">
      <c r="A3432" t="str">
        <f t="shared" si="629"/>
        <v>25/09/2025</v>
      </c>
      <c r="B3432" t="str">
        <f t="shared" si="626"/>
        <v>SAÍDA</v>
      </c>
      <c r="C3432" t="str">
        <f t="shared" si="630"/>
        <v>PIX</v>
      </c>
      <c r="D3432" t="str">
        <f>"22047"</f>
        <v>22047</v>
      </c>
      <c r="E3432" t="str">
        <f t="shared" si="632"/>
        <v>1</v>
      </c>
      <c r="F3432" t="str">
        <f t="shared" si="627"/>
        <v>COM</v>
      </c>
      <c r="G3432" t="str">
        <f>"MARIA ILZA PEREIRA DOS SANTOS (618)"</f>
        <v>MARIA ILZA PEREIRA DOS SANTOS (618)</v>
      </c>
      <c r="H3432" t="str">
        <f>"Serv.Prest. 08/09/2025 a 14/09/2025 - PIX: CPF - CHAVE: 003.157.195-67"</f>
        <v>Serv.Prest. 08/09/2025 a 14/09/2025 - PIX: CPF - CHAVE: 003.157.195-67</v>
      </c>
      <c r="I3432" t="str">
        <f t="shared" si="631"/>
        <v>25/09/2025</v>
      </c>
      <c r="J3432" t="str">
        <f t="shared" si="633"/>
        <v>15/09/2025</v>
      </c>
      <c r="K3432" t="str">
        <f>("25/09/2025")</f>
        <v>25/09/2025</v>
      </c>
      <c r="L3432">
        <v>654</v>
      </c>
      <c r="M3432">
        <v>654</v>
      </c>
      <c r="N3432">
        <v>109</v>
      </c>
      <c r="O3432" t="str">
        <f>"PAGAMENTO DE ENTREGADORES"</f>
        <v>PAGAMENTO DE ENTREGADORES</v>
      </c>
      <c r="P3432">
        <v>654</v>
      </c>
      <c r="S3432" t="str">
        <f>"BANCO C6 (149)"</f>
        <v>BANCO C6 (149)</v>
      </c>
      <c r="T3432">
        <v>18753</v>
      </c>
      <c r="U3432">
        <v>22047</v>
      </c>
      <c r="V3432" t="s">
        <v>77</v>
      </c>
    </row>
    <row r="3433" spans="1:22">
      <c r="A3433" t="str">
        <f t="shared" si="629"/>
        <v>25/09/2025</v>
      </c>
      <c r="B3433" t="str">
        <f t="shared" si="626"/>
        <v>SAÍDA</v>
      </c>
      <c r="C3433" t="str">
        <f t="shared" si="630"/>
        <v>PIX</v>
      </c>
      <c r="D3433" t="str">
        <f>"22047"</f>
        <v>22047</v>
      </c>
      <c r="E3433" t="str">
        <f t="shared" si="632"/>
        <v>1</v>
      </c>
      <c r="F3433" t="str">
        <f t="shared" si="627"/>
        <v>COM</v>
      </c>
      <c r="G3433" t="str">
        <f>"MARIA ILZA PEREIRA DOS SANTOS (618)"</f>
        <v>MARIA ILZA PEREIRA DOS SANTOS (618)</v>
      </c>
      <c r="H3433" t="s">
        <v>952</v>
      </c>
      <c r="I3433" t="str">
        <f t="shared" si="631"/>
        <v>25/09/2025</v>
      </c>
      <c r="J3433" t="str">
        <f t="shared" si="633"/>
        <v>15/09/2025</v>
      </c>
      <c r="K3433">
        <v>45925</v>
      </c>
      <c r="N3433">
        <v>109</v>
      </c>
      <c r="O3433" t="s">
        <v>24</v>
      </c>
      <c r="Q3433">
        <v>603.71</v>
      </c>
      <c r="R3433" t="str">
        <f>"FARMÁCIA INDIANA LJ 65 (10030)"</f>
        <v>FARMÁCIA INDIANA LJ 65 (10030)</v>
      </c>
      <c r="S3433" t="s">
        <v>77</v>
      </c>
      <c r="T3433">
        <v>18753</v>
      </c>
      <c r="U3433">
        <v>22047</v>
      </c>
      <c r="V3433" t="s">
        <v>77</v>
      </c>
    </row>
    <row r="3434" spans="1:22">
      <c r="A3434" t="str">
        <f t="shared" si="629"/>
        <v>25/09/2025</v>
      </c>
      <c r="B3434" t="str">
        <f t="shared" si="626"/>
        <v>SAÍDA</v>
      </c>
      <c r="C3434" t="str">
        <f t="shared" si="630"/>
        <v>PIX</v>
      </c>
      <c r="D3434" t="str">
        <f>"22047"</f>
        <v>22047</v>
      </c>
      <c r="E3434" t="str">
        <f t="shared" si="632"/>
        <v>1</v>
      </c>
      <c r="F3434" t="str">
        <f t="shared" si="627"/>
        <v>COM</v>
      </c>
      <c r="G3434" t="str">
        <f>"MARIA ILZA PEREIRA DOS SANTOS (618)"</f>
        <v>MARIA ILZA PEREIRA DOS SANTOS (618)</v>
      </c>
      <c r="H3434" t="s">
        <v>952</v>
      </c>
      <c r="I3434" t="str">
        <f t="shared" si="631"/>
        <v>25/09/2025</v>
      </c>
      <c r="J3434" t="str">
        <f t="shared" si="633"/>
        <v>15/09/2025</v>
      </c>
      <c r="K3434">
        <v>45925</v>
      </c>
      <c r="N3434">
        <v>109</v>
      </c>
      <c r="O3434" t="s">
        <v>24</v>
      </c>
      <c r="Q3434">
        <v>50.29</v>
      </c>
      <c r="R3434" t="str">
        <f>"FARMÁCIA INDIANA LJ 173 (10075)"</f>
        <v>FARMÁCIA INDIANA LJ 173 (10075)</v>
      </c>
      <c r="S3434" t="s">
        <v>77</v>
      </c>
      <c r="T3434">
        <v>18753</v>
      </c>
      <c r="U3434">
        <v>22047</v>
      </c>
      <c r="V3434" t="s">
        <v>77</v>
      </c>
    </row>
    <row r="3435" spans="1:22">
      <c r="A3435" t="str">
        <f t="shared" si="629"/>
        <v>25/09/2025</v>
      </c>
      <c r="B3435" t="str">
        <f t="shared" si="626"/>
        <v>SAÍDA</v>
      </c>
      <c r="C3435" t="str">
        <f t="shared" si="630"/>
        <v>PIX</v>
      </c>
      <c r="D3435" t="str">
        <f>"22048"</f>
        <v>22048</v>
      </c>
      <c r="E3435" t="str">
        <f t="shared" si="632"/>
        <v>1</v>
      </c>
      <c r="F3435" t="str">
        <f t="shared" si="627"/>
        <v>COM</v>
      </c>
      <c r="G3435" t="str">
        <f>"MOABIO AZEVEDO DOS SANTOS (131)"</f>
        <v>MOABIO AZEVEDO DOS SANTOS (131)</v>
      </c>
      <c r="H3435" t="str">
        <f>"Serv.Prest. 08/09/2025 a 14/09/2025 - PIX: CNPJ - CHAVE: 33.412.676/0001-41"</f>
        <v>Serv.Prest. 08/09/2025 a 14/09/2025 - PIX: CNPJ - CHAVE: 33.412.676/0001-41</v>
      </c>
      <c r="I3435" t="str">
        <f t="shared" si="631"/>
        <v>25/09/2025</v>
      </c>
      <c r="J3435" t="str">
        <f t="shared" si="633"/>
        <v>15/09/2025</v>
      </c>
      <c r="K3435" t="str">
        <f>("25/09/2025")</f>
        <v>25/09/2025</v>
      </c>
      <c r="L3435">
        <v>786</v>
      </c>
      <c r="M3435">
        <v>786</v>
      </c>
      <c r="N3435">
        <v>109</v>
      </c>
      <c r="O3435" t="str">
        <f>"PAGAMENTO DE ENTREGADORES"</f>
        <v>PAGAMENTO DE ENTREGADORES</v>
      </c>
      <c r="P3435">
        <v>786</v>
      </c>
      <c r="S3435" t="str">
        <f>"BANCO C6 (149)"</f>
        <v>BANCO C6 (149)</v>
      </c>
      <c r="T3435">
        <v>18754</v>
      </c>
      <c r="U3435">
        <v>22048</v>
      </c>
      <c r="V3435" t="s">
        <v>77</v>
      </c>
    </row>
    <row r="3436" spans="1:22">
      <c r="A3436" t="str">
        <f t="shared" si="629"/>
        <v>25/09/2025</v>
      </c>
      <c r="B3436" t="str">
        <f t="shared" si="626"/>
        <v>SAÍDA</v>
      </c>
      <c r="C3436" t="str">
        <f t="shared" si="630"/>
        <v>PIX</v>
      </c>
      <c r="D3436" t="str">
        <f>"22048"</f>
        <v>22048</v>
      </c>
      <c r="E3436" t="str">
        <f t="shared" si="632"/>
        <v>1</v>
      </c>
      <c r="F3436" t="str">
        <f t="shared" si="627"/>
        <v>COM</v>
      </c>
      <c r="G3436" t="str">
        <f>"MOABIO AZEVEDO DOS SANTOS (131)"</f>
        <v>MOABIO AZEVEDO DOS SANTOS (131)</v>
      </c>
      <c r="H3436" t="s">
        <v>847</v>
      </c>
      <c r="I3436" t="str">
        <f t="shared" si="631"/>
        <v>25/09/2025</v>
      </c>
      <c r="J3436" t="str">
        <f t="shared" si="633"/>
        <v>15/09/2025</v>
      </c>
      <c r="K3436">
        <v>45925</v>
      </c>
      <c r="N3436">
        <v>109</v>
      </c>
      <c r="O3436" t="s">
        <v>24</v>
      </c>
      <c r="Q3436">
        <v>786</v>
      </c>
      <c r="R3436" t="str">
        <f>"FARMÁCIA INDIANA LJ 91 (10037)"</f>
        <v>FARMÁCIA INDIANA LJ 91 (10037)</v>
      </c>
      <c r="S3436" t="s">
        <v>77</v>
      </c>
      <c r="T3436">
        <v>18754</v>
      </c>
      <c r="U3436">
        <v>22048</v>
      </c>
      <c r="V3436" t="s">
        <v>77</v>
      </c>
    </row>
    <row r="3437" spans="1:22">
      <c r="A3437" t="str">
        <f t="shared" si="629"/>
        <v>25/09/2025</v>
      </c>
      <c r="B3437" t="str">
        <f t="shared" si="626"/>
        <v>SAÍDA</v>
      </c>
      <c r="C3437" t="str">
        <f t="shared" si="630"/>
        <v>PIX</v>
      </c>
      <c r="D3437" t="str">
        <f>"22049"</f>
        <v>22049</v>
      </c>
      <c r="E3437" t="str">
        <f t="shared" si="632"/>
        <v>1</v>
      </c>
      <c r="F3437" t="str">
        <f t="shared" si="627"/>
        <v>COM</v>
      </c>
      <c r="G3437" t="str">
        <f>"OSVALDO DOS SANTOS (163)"</f>
        <v>OSVALDO DOS SANTOS (163)</v>
      </c>
      <c r="H3437" t="str">
        <f>"Serv.Prest. 08/09/2025 a 14/09/2025 - PIX: CELULAR - CHAVE: (73) 99977-2721"</f>
        <v>Serv.Prest. 08/09/2025 a 14/09/2025 - PIX: CELULAR - CHAVE: (73) 99977-2721</v>
      </c>
      <c r="I3437" t="str">
        <f t="shared" si="631"/>
        <v>25/09/2025</v>
      </c>
      <c r="J3437" t="str">
        <f t="shared" si="633"/>
        <v>15/09/2025</v>
      </c>
      <c r="K3437" t="str">
        <f>("25/09/2025")</f>
        <v>25/09/2025</v>
      </c>
      <c r="L3437">
        <v>600</v>
      </c>
      <c r="M3437">
        <v>600</v>
      </c>
      <c r="N3437">
        <v>109</v>
      </c>
      <c r="O3437" t="str">
        <f>"PAGAMENTO DE ENTREGADORES"</f>
        <v>PAGAMENTO DE ENTREGADORES</v>
      </c>
      <c r="P3437">
        <v>600</v>
      </c>
      <c r="S3437" t="str">
        <f>"BANCO C6 (149)"</f>
        <v>BANCO C6 (149)</v>
      </c>
      <c r="T3437">
        <v>18755</v>
      </c>
      <c r="U3437">
        <v>22049</v>
      </c>
      <c r="V3437" t="s">
        <v>77</v>
      </c>
    </row>
    <row r="3438" spans="1:22">
      <c r="A3438" t="str">
        <f t="shared" si="629"/>
        <v>25/09/2025</v>
      </c>
      <c r="B3438" t="str">
        <f t="shared" si="626"/>
        <v>SAÍDA</v>
      </c>
      <c r="C3438" t="str">
        <f t="shared" si="630"/>
        <v>PIX</v>
      </c>
      <c r="D3438" t="str">
        <f>"22049"</f>
        <v>22049</v>
      </c>
      <c r="E3438" t="str">
        <f t="shared" si="632"/>
        <v>1</v>
      </c>
      <c r="F3438" t="str">
        <f t="shared" si="627"/>
        <v>COM</v>
      </c>
      <c r="G3438" t="str">
        <f>"OSVALDO DOS SANTOS (163)"</f>
        <v>OSVALDO DOS SANTOS (163)</v>
      </c>
      <c r="H3438" t="s">
        <v>953</v>
      </c>
      <c r="I3438" t="str">
        <f t="shared" si="631"/>
        <v>25/09/2025</v>
      </c>
      <c r="J3438" t="str">
        <f t="shared" si="633"/>
        <v>15/09/2025</v>
      </c>
      <c r="K3438">
        <v>45925</v>
      </c>
      <c r="N3438">
        <v>109</v>
      </c>
      <c r="O3438" t="s">
        <v>24</v>
      </c>
      <c r="Q3438">
        <v>600</v>
      </c>
      <c r="R3438" t="str">
        <f>"FARMÁCIA INDIANA LJ 35 (10015)"</f>
        <v>FARMÁCIA INDIANA LJ 35 (10015)</v>
      </c>
      <c r="S3438" t="s">
        <v>77</v>
      </c>
      <c r="T3438">
        <v>18755</v>
      </c>
      <c r="U3438">
        <v>22049</v>
      </c>
      <c r="V3438" t="s">
        <v>77</v>
      </c>
    </row>
    <row r="3439" spans="1:22">
      <c r="A3439" t="str">
        <f t="shared" si="629"/>
        <v>25/09/2025</v>
      </c>
      <c r="B3439" t="str">
        <f t="shared" si="626"/>
        <v>SAÍDA</v>
      </c>
      <c r="C3439" t="str">
        <f t="shared" si="630"/>
        <v>PIX</v>
      </c>
      <c r="D3439" t="str">
        <f>"22052"</f>
        <v>22052</v>
      </c>
      <c r="E3439" t="str">
        <f t="shared" si="632"/>
        <v>1</v>
      </c>
      <c r="F3439" t="str">
        <f t="shared" si="627"/>
        <v>COM</v>
      </c>
      <c r="G3439" t="str">
        <f>"VINICIUS SANTOS PEREIRA (633)"</f>
        <v>VINICIUS SANTOS PEREIRA (633)</v>
      </c>
      <c r="H3439" t="str">
        <f>"Serv.Prest. 08/09/2025 a 14/09/2025 - PIX: CELULAR - CHAVE: (73) 99818-9718"</f>
        <v>Serv.Prest. 08/09/2025 a 14/09/2025 - PIX: CELULAR - CHAVE: (73) 99818-9718</v>
      </c>
      <c r="I3439" t="str">
        <f t="shared" si="631"/>
        <v>25/09/2025</v>
      </c>
      <c r="J3439" t="str">
        <f t="shared" si="633"/>
        <v>15/09/2025</v>
      </c>
      <c r="K3439" t="str">
        <f>("25/09/2025")</f>
        <v>25/09/2025</v>
      </c>
      <c r="L3439">
        <v>803.25</v>
      </c>
      <c r="M3439">
        <v>803.25</v>
      </c>
      <c r="N3439">
        <v>109</v>
      </c>
      <c r="O3439" t="str">
        <f>"PAGAMENTO DE ENTREGADORES"</f>
        <v>PAGAMENTO DE ENTREGADORES</v>
      </c>
      <c r="P3439">
        <v>803.25</v>
      </c>
      <c r="S3439" t="str">
        <f>"BANCO C6 (149)"</f>
        <v>BANCO C6 (149)</v>
      </c>
      <c r="T3439">
        <v>18756</v>
      </c>
      <c r="U3439">
        <v>22052</v>
      </c>
      <c r="V3439" t="s">
        <v>77</v>
      </c>
    </row>
    <row r="3440" spans="1:22">
      <c r="A3440" t="str">
        <f t="shared" si="629"/>
        <v>25/09/2025</v>
      </c>
      <c r="B3440" t="str">
        <f t="shared" si="626"/>
        <v>SAÍDA</v>
      </c>
      <c r="C3440" t="str">
        <f t="shared" si="630"/>
        <v>PIX</v>
      </c>
      <c r="D3440" t="str">
        <f>"22052"</f>
        <v>22052</v>
      </c>
      <c r="E3440" t="str">
        <f t="shared" si="632"/>
        <v>1</v>
      </c>
      <c r="F3440" t="str">
        <f t="shared" si="627"/>
        <v>COM</v>
      </c>
      <c r="G3440" t="str">
        <f>"VINICIUS SANTOS PEREIRA (633)"</f>
        <v>VINICIUS SANTOS PEREIRA (633)</v>
      </c>
      <c r="H3440" t="s">
        <v>954</v>
      </c>
      <c r="I3440" t="str">
        <f t="shared" si="631"/>
        <v>25/09/2025</v>
      </c>
      <c r="J3440" t="str">
        <f t="shared" si="633"/>
        <v>15/09/2025</v>
      </c>
      <c r="K3440">
        <v>45925</v>
      </c>
      <c r="N3440">
        <v>109</v>
      </c>
      <c r="O3440" t="s">
        <v>24</v>
      </c>
      <c r="Q3440">
        <v>803.25</v>
      </c>
      <c r="R3440" t="str">
        <f>"FARMÁCIA INDIANA LJ 95 (10039)"</f>
        <v>FARMÁCIA INDIANA LJ 95 (10039)</v>
      </c>
      <c r="S3440" t="s">
        <v>77</v>
      </c>
      <c r="T3440">
        <v>18756</v>
      </c>
      <c r="U3440">
        <v>22052</v>
      </c>
      <c r="V3440" t="s">
        <v>77</v>
      </c>
    </row>
    <row r="3441" spans="1:22">
      <c r="A3441" t="str">
        <f t="shared" si="629"/>
        <v>25/09/2025</v>
      </c>
      <c r="B3441" t="str">
        <f t="shared" si="626"/>
        <v>SAÍDA</v>
      </c>
      <c r="C3441" t="str">
        <f t="shared" si="630"/>
        <v>PIX</v>
      </c>
      <c r="D3441" t="str">
        <f>"22053"</f>
        <v>22053</v>
      </c>
      <c r="E3441" t="str">
        <f t="shared" si="632"/>
        <v>1</v>
      </c>
      <c r="F3441" t="str">
        <f t="shared" si="627"/>
        <v>COM</v>
      </c>
      <c r="G3441" t="str">
        <f>"WESLEI GONÇALVES SANTOS (154)"</f>
        <v>WESLEI GONÇALVES SANTOS (154)</v>
      </c>
      <c r="H3441" t="str">
        <f>"Serv.Prest. 08/09/2025 a 14/09/2025 - PIX: CPF - CHAVE: 079.068.045-97"</f>
        <v>Serv.Prest. 08/09/2025 a 14/09/2025 - PIX: CPF - CHAVE: 079.068.045-97</v>
      </c>
      <c r="I3441" t="str">
        <f t="shared" si="631"/>
        <v>25/09/2025</v>
      </c>
      <c r="J3441" t="str">
        <f t="shared" si="633"/>
        <v>15/09/2025</v>
      </c>
      <c r="K3441" t="str">
        <f>("25/09/2025")</f>
        <v>25/09/2025</v>
      </c>
      <c r="L3441">
        <v>600.66</v>
      </c>
      <c r="M3441">
        <v>600.66</v>
      </c>
      <c r="N3441">
        <v>109</v>
      </c>
      <c r="O3441" t="str">
        <f>"PAGAMENTO DE ENTREGADORES"</f>
        <v>PAGAMENTO DE ENTREGADORES</v>
      </c>
      <c r="P3441">
        <v>600.66</v>
      </c>
      <c r="S3441" t="str">
        <f>"BANCO C6 (149)"</f>
        <v>BANCO C6 (149)</v>
      </c>
      <c r="T3441">
        <v>18757</v>
      </c>
      <c r="U3441">
        <v>22053</v>
      </c>
      <c r="V3441" t="s">
        <v>77</v>
      </c>
    </row>
    <row r="3442" spans="1:22">
      <c r="A3442" t="str">
        <f t="shared" si="629"/>
        <v>25/09/2025</v>
      </c>
      <c r="B3442" t="str">
        <f t="shared" si="626"/>
        <v>SAÍDA</v>
      </c>
      <c r="C3442" t="str">
        <f t="shared" si="630"/>
        <v>PIX</v>
      </c>
      <c r="D3442" t="str">
        <f>"22053"</f>
        <v>22053</v>
      </c>
      <c r="E3442" t="str">
        <f t="shared" si="632"/>
        <v>1</v>
      </c>
      <c r="F3442" t="str">
        <f t="shared" si="627"/>
        <v>COM</v>
      </c>
      <c r="G3442" t="str">
        <f>"WESLEI GONÇALVES SANTOS (154)"</f>
        <v>WESLEI GONÇALVES SANTOS (154)</v>
      </c>
      <c r="H3442" t="s">
        <v>955</v>
      </c>
      <c r="I3442" t="str">
        <f t="shared" si="631"/>
        <v>25/09/2025</v>
      </c>
      <c r="J3442" t="str">
        <f t="shared" si="633"/>
        <v>15/09/2025</v>
      </c>
      <c r="K3442">
        <v>45925</v>
      </c>
      <c r="N3442">
        <v>109</v>
      </c>
      <c r="O3442" t="s">
        <v>24</v>
      </c>
      <c r="Q3442">
        <v>600.66</v>
      </c>
      <c r="R3442" t="str">
        <f>"FARMÁCIA INDIANA LJ 34 (10014)"</f>
        <v>FARMÁCIA INDIANA LJ 34 (10014)</v>
      </c>
      <c r="S3442" t="s">
        <v>77</v>
      </c>
      <c r="T3442">
        <v>18757</v>
      </c>
      <c r="U3442">
        <v>22053</v>
      </c>
      <c r="V3442" t="s">
        <v>77</v>
      </c>
    </row>
    <row r="3443" spans="1:22">
      <c r="A3443" t="str">
        <f t="shared" si="629"/>
        <v>25/09/2025</v>
      </c>
      <c r="B3443" t="str">
        <f t="shared" si="626"/>
        <v>SAÍDA</v>
      </c>
      <c r="C3443" t="str">
        <f t="shared" si="630"/>
        <v>PIX</v>
      </c>
      <c r="D3443" t="str">
        <f>"22055"</f>
        <v>22055</v>
      </c>
      <c r="E3443" t="str">
        <f t="shared" si="632"/>
        <v>1</v>
      </c>
      <c r="F3443" t="str">
        <f t="shared" si="627"/>
        <v>COM</v>
      </c>
      <c r="G3443" t="str">
        <f>"YAN BRENDO CORREIA VIEIRA (861)"</f>
        <v>YAN BRENDO CORREIA VIEIRA (861)</v>
      </c>
      <c r="H3443" t="str">
        <f>"Serv.Prest. 08/09/2025 a 14/09/2025 - PIX: CPF - CHAVE: 096.891.935-97"</f>
        <v>Serv.Prest. 08/09/2025 a 14/09/2025 - PIX: CPF - CHAVE: 096.891.935-97</v>
      </c>
      <c r="I3443" t="str">
        <f t="shared" si="631"/>
        <v>25/09/2025</v>
      </c>
      <c r="J3443" t="str">
        <f t="shared" si="633"/>
        <v>15/09/2025</v>
      </c>
      <c r="K3443" t="str">
        <f>("25/09/2025")</f>
        <v>25/09/2025</v>
      </c>
      <c r="L3443">
        <v>800</v>
      </c>
      <c r="M3443">
        <v>800</v>
      </c>
      <c r="N3443">
        <v>109</v>
      </c>
      <c r="O3443" t="str">
        <f>"PAGAMENTO DE ENTREGADORES"</f>
        <v>PAGAMENTO DE ENTREGADORES</v>
      </c>
      <c r="P3443">
        <v>800</v>
      </c>
      <c r="S3443" t="str">
        <f>"BANCO C6 (149)"</f>
        <v>BANCO C6 (149)</v>
      </c>
      <c r="T3443">
        <v>18758</v>
      </c>
      <c r="U3443">
        <v>22055</v>
      </c>
      <c r="V3443" t="s">
        <v>77</v>
      </c>
    </row>
    <row r="3444" spans="1:22">
      <c r="A3444" t="str">
        <f t="shared" si="629"/>
        <v>25/09/2025</v>
      </c>
      <c r="B3444" t="str">
        <f t="shared" si="626"/>
        <v>SAÍDA</v>
      </c>
      <c r="C3444" t="str">
        <f t="shared" si="630"/>
        <v>PIX</v>
      </c>
      <c r="D3444" t="str">
        <f>"22055"</f>
        <v>22055</v>
      </c>
      <c r="E3444" t="str">
        <f t="shared" si="632"/>
        <v>1</v>
      </c>
      <c r="F3444" t="str">
        <f t="shared" si="627"/>
        <v>COM</v>
      </c>
      <c r="G3444" t="str">
        <f>"YAN BRENDO CORREIA VIEIRA (861)"</f>
        <v>YAN BRENDO CORREIA VIEIRA (861)</v>
      </c>
      <c r="H3444" t="s">
        <v>596</v>
      </c>
      <c r="I3444" t="str">
        <f t="shared" si="631"/>
        <v>25/09/2025</v>
      </c>
      <c r="J3444" t="str">
        <f t="shared" si="633"/>
        <v>15/09/2025</v>
      </c>
      <c r="K3444">
        <v>45925</v>
      </c>
      <c r="N3444">
        <v>109</v>
      </c>
      <c r="O3444" t="s">
        <v>24</v>
      </c>
      <c r="Q3444">
        <v>800</v>
      </c>
      <c r="R3444" t="str">
        <f>"FARMÁCIA INDIANA LJ 200 (10155)"</f>
        <v>FARMÁCIA INDIANA LJ 200 (10155)</v>
      </c>
      <c r="S3444" t="s">
        <v>77</v>
      </c>
      <c r="T3444">
        <v>18758</v>
      </c>
      <c r="U3444">
        <v>22055</v>
      </c>
      <c r="V3444" t="s">
        <v>77</v>
      </c>
    </row>
    <row r="3445" spans="1:22">
      <c r="A3445" t="str">
        <f t="shared" si="629"/>
        <v>25/09/2025</v>
      </c>
      <c r="B3445" t="str">
        <f t="shared" si="626"/>
        <v>SAÍDA</v>
      </c>
      <c r="C3445" t="str">
        <f t="shared" si="630"/>
        <v>PIX</v>
      </c>
      <c r="D3445" t="str">
        <f>"22058"</f>
        <v>22058</v>
      </c>
      <c r="E3445" t="str">
        <f t="shared" si="632"/>
        <v>1</v>
      </c>
      <c r="F3445" t="str">
        <f t="shared" si="627"/>
        <v>COM</v>
      </c>
      <c r="G3445" t="str">
        <f>"ADRYAN NUNES MARTINS (857)"</f>
        <v>ADRYAN NUNES MARTINS (857)</v>
      </c>
      <c r="H3445" t="str">
        <f>"Serv.Prest. 08/09/2025 a 14/09/2025 - PIX: CPF - CHAVE: 021.178.446-00"</f>
        <v>Serv.Prest. 08/09/2025 a 14/09/2025 - PIX: CPF - CHAVE: 021.178.446-00</v>
      </c>
      <c r="I3445" t="str">
        <f t="shared" si="631"/>
        <v>25/09/2025</v>
      </c>
      <c r="J3445" t="str">
        <f t="shared" ref="J3445:J3508" si="634">("16/09/2025")</f>
        <v>16/09/2025</v>
      </c>
      <c r="K3445" t="str">
        <f>("25/09/2025")</f>
        <v>25/09/2025</v>
      </c>
      <c r="L3445">
        <v>700.8</v>
      </c>
      <c r="M3445">
        <v>700.8</v>
      </c>
      <c r="N3445">
        <v>109</v>
      </c>
      <c r="O3445" t="str">
        <f>"PAGAMENTO DE ENTREGADORES"</f>
        <v>PAGAMENTO DE ENTREGADORES</v>
      </c>
      <c r="P3445">
        <v>700.8</v>
      </c>
      <c r="S3445" t="str">
        <f>"BANCO C6 (149)"</f>
        <v>BANCO C6 (149)</v>
      </c>
      <c r="T3445">
        <v>18759</v>
      </c>
      <c r="U3445">
        <v>22058</v>
      </c>
      <c r="V3445" t="s">
        <v>77</v>
      </c>
    </row>
    <row r="3446" spans="1:22">
      <c r="A3446" t="str">
        <f t="shared" si="629"/>
        <v>25/09/2025</v>
      </c>
      <c r="B3446" t="str">
        <f t="shared" si="626"/>
        <v>SAÍDA</v>
      </c>
      <c r="C3446" t="str">
        <f t="shared" si="630"/>
        <v>PIX</v>
      </c>
      <c r="D3446" t="str">
        <f>"22058"</f>
        <v>22058</v>
      </c>
      <c r="E3446" t="str">
        <f t="shared" si="632"/>
        <v>1</v>
      </c>
      <c r="F3446" t="str">
        <f t="shared" si="627"/>
        <v>COM</v>
      </c>
      <c r="G3446" t="str">
        <f>"ADRYAN NUNES MARTINS (857)"</f>
        <v>ADRYAN NUNES MARTINS (857)</v>
      </c>
      <c r="H3446" t="s">
        <v>956</v>
      </c>
      <c r="I3446" t="str">
        <f t="shared" si="631"/>
        <v>25/09/2025</v>
      </c>
      <c r="J3446" t="str">
        <f t="shared" si="634"/>
        <v>16/09/2025</v>
      </c>
      <c r="K3446">
        <v>45925</v>
      </c>
      <c r="N3446">
        <v>109</v>
      </c>
      <c r="O3446" t="s">
        <v>24</v>
      </c>
      <c r="Q3446">
        <v>215.64</v>
      </c>
      <c r="R3446" t="str">
        <f>"FARMÁCIA INDIANA LJ 116 (10051)"</f>
        <v>FARMÁCIA INDIANA LJ 116 (10051)</v>
      </c>
      <c r="S3446" t="s">
        <v>77</v>
      </c>
      <c r="T3446">
        <v>18759</v>
      </c>
      <c r="U3446">
        <v>22058</v>
      </c>
      <c r="V3446" t="s">
        <v>77</v>
      </c>
    </row>
    <row r="3447" spans="1:22">
      <c r="A3447" t="str">
        <f t="shared" si="629"/>
        <v>25/09/2025</v>
      </c>
      <c r="B3447" t="str">
        <f t="shared" si="626"/>
        <v>SAÍDA</v>
      </c>
      <c r="C3447" t="str">
        <f t="shared" si="630"/>
        <v>PIX</v>
      </c>
      <c r="D3447" t="str">
        <f>"22058"</f>
        <v>22058</v>
      </c>
      <c r="E3447" t="str">
        <f t="shared" si="632"/>
        <v>1</v>
      </c>
      <c r="F3447" t="str">
        <f t="shared" si="627"/>
        <v>COM</v>
      </c>
      <c r="G3447" t="str">
        <f>"ADRYAN NUNES MARTINS (857)"</f>
        <v>ADRYAN NUNES MARTINS (857)</v>
      </c>
      <c r="H3447" t="s">
        <v>956</v>
      </c>
      <c r="I3447" t="str">
        <f t="shared" si="631"/>
        <v>25/09/2025</v>
      </c>
      <c r="J3447" t="str">
        <f t="shared" si="634"/>
        <v>16/09/2025</v>
      </c>
      <c r="K3447">
        <v>45925</v>
      </c>
      <c r="N3447">
        <v>109</v>
      </c>
      <c r="O3447" t="s">
        <v>24</v>
      </c>
      <c r="Q3447">
        <v>89.84</v>
      </c>
      <c r="R3447" t="str">
        <f>"FARMÁCIA INDIANA LJ 121 (10054)"</f>
        <v>FARMÁCIA INDIANA LJ 121 (10054)</v>
      </c>
      <c r="S3447" t="s">
        <v>77</v>
      </c>
      <c r="T3447">
        <v>18759</v>
      </c>
      <c r="U3447">
        <v>22058</v>
      </c>
      <c r="V3447" t="s">
        <v>77</v>
      </c>
    </row>
    <row r="3448" spans="1:22">
      <c r="A3448" t="str">
        <f t="shared" si="629"/>
        <v>25/09/2025</v>
      </c>
      <c r="B3448" t="str">
        <f t="shared" si="626"/>
        <v>SAÍDA</v>
      </c>
      <c r="C3448" t="str">
        <f t="shared" si="630"/>
        <v>PIX</v>
      </c>
      <c r="D3448" t="str">
        <f>"22058"</f>
        <v>22058</v>
      </c>
      <c r="E3448" t="str">
        <f t="shared" si="632"/>
        <v>1</v>
      </c>
      <c r="F3448" t="str">
        <f t="shared" si="627"/>
        <v>COM</v>
      </c>
      <c r="G3448" t="str">
        <f>"ADRYAN NUNES MARTINS (857)"</f>
        <v>ADRYAN NUNES MARTINS (857)</v>
      </c>
      <c r="H3448" t="s">
        <v>956</v>
      </c>
      <c r="I3448" t="str">
        <f t="shared" si="631"/>
        <v>25/09/2025</v>
      </c>
      <c r="J3448" t="str">
        <f t="shared" si="634"/>
        <v>16/09/2025</v>
      </c>
      <c r="K3448">
        <v>45925</v>
      </c>
      <c r="N3448">
        <v>109</v>
      </c>
      <c r="O3448" t="s">
        <v>24</v>
      </c>
      <c r="Q3448">
        <v>395.32</v>
      </c>
      <c r="R3448" t="str">
        <f>"FARMÁCIA INDIANA LJ 128 (10057)"</f>
        <v>FARMÁCIA INDIANA LJ 128 (10057)</v>
      </c>
      <c r="S3448" t="s">
        <v>77</v>
      </c>
      <c r="T3448">
        <v>18759</v>
      </c>
      <c r="U3448">
        <v>22058</v>
      </c>
      <c r="V3448" t="s">
        <v>77</v>
      </c>
    </row>
    <row r="3449" spans="1:22">
      <c r="A3449" t="str">
        <f t="shared" si="629"/>
        <v>25/09/2025</v>
      </c>
      <c r="B3449" t="str">
        <f t="shared" si="626"/>
        <v>SAÍDA</v>
      </c>
      <c r="C3449" t="str">
        <f t="shared" si="630"/>
        <v>PIX</v>
      </c>
      <c r="D3449" t="str">
        <f>"22059"</f>
        <v>22059</v>
      </c>
      <c r="E3449" t="str">
        <f t="shared" si="632"/>
        <v>1</v>
      </c>
      <c r="F3449" t="str">
        <f t="shared" si="627"/>
        <v>COM</v>
      </c>
      <c r="G3449" t="str">
        <f>"ALEXSSANDER VIANA FEITOSA (48)"</f>
        <v>ALEXSSANDER VIANA FEITOSA (48)</v>
      </c>
      <c r="H3449" t="str">
        <f>"Serv.Prest. 08/09/2025 a 14/09/2025 - PIX: CPF - CHAVE: 134.385.606-07"</f>
        <v>Serv.Prest. 08/09/2025 a 14/09/2025 - PIX: CPF - CHAVE: 134.385.606-07</v>
      </c>
      <c r="I3449" t="str">
        <f t="shared" si="631"/>
        <v>25/09/2025</v>
      </c>
      <c r="J3449" t="str">
        <f t="shared" si="634"/>
        <v>16/09/2025</v>
      </c>
      <c r="K3449" t="str">
        <f>("25/09/2025")</f>
        <v>25/09/2025</v>
      </c>
      <c r="L3449">
        <v>234</v>
      </c>
      <c r="M3449">
        <v>234</v>
      </c>
      <c r="N3449">
        <v>109</v>
      </c>
      <c r="O3449" t="str">
        <f>"PAGAMENTO DE ENTREGADORES"</f>
        <v>PAGAMENTO DE ENTREGADORES</v>
      </c>
      <c r="P3449">
        <v>234</v>
      </c>
      <c r="S3449" t="str">
        <f>"BANCO C6 (149)"</f>
        <v>BANCO C6 (149)</v>
      </c>
      <c r="T3449">
        <v>18760</v>
      </c>
      <c r="U3449">
        <v>22059</v>
      </c>
      <c r="V3449" t="s">
        <v>77</v>
      </c>
    </row>
    <row r="3450" spans="1:22">
      <c r="A3450" t="str">
        <f t="shared" si="629"/>
        <v>25/09/2025</v>
      </c>
      <c r="B3450" t="str">
        <f t="shared" si="626"/>
        <v>SAÍDA</v>
      </c>
      <c r="C3450" t="str">
        <f t="shared" si="630"/>
        <v>PIX</v>
      </c>
      <c r="D3450" t="str">
        <f>"22059"</f>
        <v>22059</v>
      </c>
      <c r="E3450" t="str">
        <f t="shared" si="632"/>
        <v>1</v>
      </c>
      <c r="F3450" t="str">
        <f t="shared" si="627"/>
        <v>COM</v>
      </c>
      <c r="G3450" t="str">
        <f>"ALEXSSANDER VIANA FEITOSA (48)"</f>
        <v>ALEXSSANDER VIANA FEITOSA (48)</v>
      </c>
      <c r="H3450" t="s">
        <v>957</v>
      </c>
      <c r="I3450" t="str">
        <f t="shared" si="631"/>
        <v>25/09/2025</v>
      </c>
      <c r="J3450" t="str">
        <f t="shared" si="634"/>
        <v>16/09/2025</v>
      </c>
      <c r="K3450">
        <v>45925</v>
      </c>
      <c r="N3450">
        <v>109</v>
      </c>
      <c r="O3450" t="s">
        <v>24</v>
      </c>
      <c r="Q3450">
        <v>234</v>
      </c>
      <c r="R3450" t="str">
        <f>"FARMÁCIA INDIANA LJ 07 (10007)"</f>
        <v>FARMÁCIA INDIANA LJ 07 (10007)</v>
      </c>
      <c r="S3450" t="s">
        <v>77</v>
      </c>
      <c r="T3450">
        <v>18760</v>
      </c>
      <c r="U3450">
        <v>22059</v>
      </c>
      <c r="V3450" t="s">
        <v>77</v>
      </c>
    </row>
    <row r="3451" spans="1:22">
      <c r="A3451" t="str">
        <f t="shared" si="629"/>
        <v>25/09/2025</v>
      </c>
      <c r="B3451" t="str">
        <f t="shared" si="626"/>
        <v>SAÍDA</v>
      </c>
      <c r="C3451" t="str">
        <f t="shared" si="630"/>
        <v>PIX</v>
      </c>
      <c r="D3451" t="str">
        <f>"22060"</f>
        <v>22060</v>
      </c>
      <c r="E3451" t="str">
        <f t="shared" si="632"/>
        <v>1</v>
      </c>
      <c r="F3451" t="str">
        <f t="shared" si="627"/>
        <v>COM</v>
      </c>
      <c r="G3451" t="str">
        <f>"ALISSON FELIPE GODINHO (219)"</f>
        <v>ALISSON FELIPE GODINHO (219)</v>
      </c>
      <c r="H3451" t="str">
        <f>"Serv.Prest. 08/09/2025 a 14/09/2025 - PIX: CELULAR - CHAVE: (33) 99877-0415"</f>
        <v>Serv.Prest. 08/09/2025 a 14/09/2025 - PIX: CELULAR - CHAVE: (33) 99877-0415</v>
      </c>
      <c r="I3451" t="str">
        <f t="shared" si="631"/>
        <v>25/09/2025</v>
      </c>
      <c r="J3451" t="str">
        <f t="shared" si="634"/>
        <v>16/09/2025</v>
      </c>
      <c r="K3451" t="str">
        <f>("25/09/2025")</f>
        <v>25/09/2025</v>
      </c>
      <c r="L3451">
        <v>2532</v>
      </c>
      <c r="M3451">
        <v>2532</v>
      </c>
      <c r="N3451">
        <v>109</v>
      </c>
      <c r="O3451" t="str">
        <f>"PAGAMENTO DE ENTREGADORES"</f>
        <v>PAGAMENTO DE ENTREGADORES</v>
      </c>
      <c r="P3451">
        <v>2532</v>
      </c>
      <c r="S3451" t="str">
        <f>"BANCO C6 (149)"</f>
        <v>BANCO C6 (149)</v>
      </c>
      <c r="T3451">
        <v>18761</v>
      </c>
      <c r="U3451">
        <v>22060</v>
      </c>
      <c r="V3451" t="s">
        <v>77</v>
      </c>
    </row>
    <row r="3452" spans="1:22">
      <c r="A3452" t="str">
        <f t="shared" si="629"/>
        <v>25/09/2025</v>
      </c>
      <c r="B3452" t="str">
        <f t="shared" si="626"/>
        <v>SAÍDA</v>
      </c>
      <c r="C3452" t="str">
        <f t="shared" si="630"/>
        <v>PIX</v>
      </c>
      <c r="D3452" t="str">
        <f>"22060"</f>
        <v>22060</v>
      </c>
      <c r="E3452" t="str">
        <f t="shared" si="632"/>
        <v>1</v>
      </c>
      <c r="F3452" t="str">
        <f t="shared" si="627"/>
        <v>COM</v>
      </c>
      <c r="G3452" t="str">
        <f>"ALISSON FELIPE GODINHO (219)"</f>
        <v>ALISSON FELIPE GODINHO (219)</v>
      </c>
      <c r="H3452" t="s">
        <v>958</v>
      </c>
      <c r="I3452" t="str">
        <f t="shared" si="631"/>
        <v>25/09/2025</v>
      </c>
      <c r="J3452" t="str">
        <f t="shared" si="634"/>
        <v>16/09/2025</v>
      </c>
      <c r="K3452">
        <v>45925</v>
      </c>
      <c r="N3452">
        <v>109</v>
      </c>
      <c r="O3452" t="s">
        <v>24</v>
      </c>
      <c r="Q3452">
        <v>2532</v>
      </c>
      <c r="R3452" t="str">
        <f>"FARMÁCIA INDIANA LJ 14 (10009)"</f>
        <v>FARMÁCIA INDIANA LJ 14 (10009)</v>
      </c>
      <c r="S3452" t="s">
        <v>77</v>
      </c>
      <c r="T3452">
        <v>18761</v>
      </c>
      <c r="U3452">
        <v>22060</v>
      </c>
      <c r="V3452" t="s">
        <v>77</v>
      </c>
    </row>
    <row r="3453" spans="1:22">
      <c r="A3453" t="str">
        <f t="shared" si="629"/>
        <v>25/09/2025</v>
      </c>
      <c r="B3453" t="str">
        <f t="shared" ref="B3453:B3516" si="635">"SAÍDA"</f>
        <v>SAÍDA</v>
      </c>
      <c r="C3453" t="str">
        <f t="shared" si="630"/>
        <v>PIX</v>
      </c>
      <c r="D3453" t="str">
        <f>"22061"</f>
        <v>22061</v>
      </c>
      <c r="E3453" t="str">
        <f t="shared" si="632"/>
        <v>1</v>
      </c>
      <c r="F3453" t="str">
        <f t="shared" si="627"/>
        <v>COM</v>
      </c>
      <c r="G3453" t="str">
        <f>"AMANDA VERÍSSIMO FERREIRA (794)"</f>
        <v>AMANDA VERÍSSIMO FERREIRA (794)</v>
      </c>
      <c r="H3453" t="str">
        <f>"Serv.Prest. 08/09/2025 a 14/09/2025 - PIX: CPF - CHAVE: 099.626.666-60"</f>
        <v>Serv.Prest. 08/09/2025 a 14/09/2025 - PIX: CPF - CHAVE: 099.626.666-60</v>
      </c>
      <c r="I3453" t="str">
        <f t="shared" si="631"/>
        <v>25/09/2025</v>
      </c>
      <c r="J3453" t="str">
        <f t="shared" si="634"/>
        <v>16/09/2025</v>
      </c>
      <c r="K3453" t="str">
        <f>("25/09/2025")</f>
        <v>25/09/2025</v>
      </c>
      <c r="L3453">
        <v>750</v>
      </c>
      <c r="M3453">
        <v>750</v>
      </c>
      <c r="N3453">
        <v>109</v>
      </c>
      <c r="O3453" t="str">
        <f>"PAGAMENTO DE ENTREGADORES"</f>
        <v>PAGAMENTO DE ENTREGADORES</v>
      </c>
      <c r="P3453">
        <v>750</v>
      </c>
      <c r="S3453" t="str">
        <f>"BANCO C6 (149)"</f>
        <v>BANCO C6 (149)</v>
      </c>
      <c r="T3453">
        <v>18762</v>
      </c>
      <c r="U3453">
        <v>22061</v>
      </c>
      <c r="V3453" t="s">
        <v>77</v>
      </c>
    </row>
    <row r="3454" spans="1:22">
      <c r="A3454" t="str">
        <f t="shared" si="629"/>
        <v>25/09/2025</v>
      </c>
      <c r="B3454" t="str">
        <f t="shared" si="635"/>
        <v>SAÍDA</v>
      </c>
      <c r="C3454" t="str">
        <f t="shared" si="630"/>
        <v>PIX</v>
      </c>
      <c r="D3454" t="str">
        <f>"22061"</f>
        <v>22061</v>
      </c>
      <c r="E3454" t="str">
        <f t="shared" si="632"/>
        <v>1</v>
      </c>
      <c r="F3454" t="str">
        <f t="shared" ref="F3454:F3517" si="636">"COM"</f>
        <v>COM</v>
      </c>
      <c r="G3454" t="str">
        <f>"AMANDA VERÍSSIMO FERREIRA (794)"</f>
        <v>AMANDA VERÍSSIMO FERREIRA (794)</v>
      </c>
      <c r="H3454" t="s">
        <v>959</v>
      </c>
      <c r="I3454" t="str">
        <f t="shared" si="631"/>
        <v>25/09/2025</v>
      </c>
      <c r="J3454" t="str">
        <f t="shared" si="634"/>
        <v>16/09/2025</v>
      </c>
      <c r="K3454">
        <v>45925</v>
      </c>
      <c r="N3454">
        <v>109</v>
      </c>
      <c r="O3454" t="s">
        <v>24</v>
      </c>
      <c r="Q3454">
        <v>270.82</v>
      </c>
      <c r="R3454" t="str">
        <f>"FARMÁCIA INDIANA LJ 97 (10040)"</f>
        <v>FARMÁCIA INDIANA LJ 97 (10040)</v>
      </c>
      <c r="S3454" t="s">
        <v>77</v>
      </c>
      <c r="T3454">
        <v>18762</v>
      </c>
      <c r="U3454">
        <v>22061</v>
      </c>
      <c r="V3454" t="s">
        <v>77</v>
      </c>
    </row>
    <row r="3455" spans="1:22">
      <c r="A3455" t="str">
        <f t="shared" si="629"/>
        <v>25/09/2025</v>
      </c>
      <c r="B3455" t="str">
        <f t="shared" si="635"/>
        <v>SAÍDA</v>
      </c>
      <c r="C3455" t="str">
        <f t="shared" si="630"/>
        <v>PIX</v>
      </c>
      <c r="D3455" t="str">
        <f>"22061"</f>
        <v>22061</v>
      </c>
      <c r="E3455" t="str">
        <f t="shared" si="632"/>
        <v>1</v>
      </c>
      <c r="F3455" t="str">
        <f t="shared" si="636"/>
        <v>COM</v>
      </c>
      <c r="G3455" t="str">
        <f>"AMANDA VERÍSSIMO FERREIRA (794)"</f>
        <v>AMANDA VERÍSSIMO FERREIRA (794)</v>
      </c>
      <c r="H3455" t="s">
        <v>959</v>
      </c>
      <c r="I3455" t="str">
        <f t="shared" si="631"/>
        <v>25/09/2025</v>
      </c>
      <c r="J3455" t="str">
        <f t="shared" si="634"/>
        <v>16/09/2025</v>
      </c>
      <c r="K3455">
        <v>45925</v>
      </c>
      <c r="N3455">
        <v>109</v>
      </c>
      <c r="O3455" t="s">
        <v>24</v>
      </c>
      <c r="Q3455">
        <v>354.15</v>
      </c>
      <c r="R3455" t="str">
        <f>"FARMÁCIA INDIANA LJ 111 (10049)"</f>
        <v>FARMÁCIA INDIANA LJ 111 (10049)</v>
      </c>
      <c r="S3455" t="s">
        <v>77</v>
      </c>
      <c r="T3455">
        <v>18762</v>
      </c>
      <c r="U3455">
        <v>22061</v>
      </c>
      <c r="V3455" t="s">
        <v>77</v>
      </c>
    </row>
    <row r="3456" spans="1:22">
      <c r="A3456" t="str">
        <f t="shared" si="629"/>
        <v>25/09/2025</v>
      </c>
      <c r="B3456" t="str">
        <f t="shared" si="635"/>
        <v>SAÍDA</v>
      </c>
      <c r="C3456" t="str">
        <f t="shared" si="630"/>
        <v>PIX</v>
      </c>
      <c r="D3456" t="str">
        <f>"22061"</f>
        <v>22061</v>
      </c>
      <c r="E3456" t="str">
        <f t="shared" si="632"/>
        <v>1</v>
      </c>
      <c r="F3456" t="str">
        <f t="shared" si="636"/>
        <v>COM</v>
      </c>
      <c r="G3456" t="str">
        <f>"AMANDA VERÍSSIMO FERREIRA (794)"</f>
        <v>AMANDA VERÍSSIMO FERREIRA (794)</v>
      </c>
      <c r="H3456" t="s">
        <v>959</v>
      </c>
      <c r="I3456" t="str">
        <f t="shared" si="631"/>
        <v>25/09/2025</v>
      </c>
      <c r="J3456" t="str">
        <f t="shared" si="634"/>
        <v>16/09/2025</v>
      </c>
      <c r="K3456">
        <v>45925</v>
      </c>
      <c r="N3456">
        <v>109</v>
      </c>
      <c r="O3456" t="s">
        <v>24</v>
      </c>
      <c r="Q3456">
        <v>125.03</v>
      </c>
      <c r="R3456" t="str">
        <f>"FARMÁCIA INDIANA LJ 143 (10067)"</f>
        <v>FARMÁCIA INDIANA LJ 143 (10067)</v>
      </c>
      <c r="S3456" t="s">
        <v>77</v>
      </c>
      <c r="T3456">
        <v>18762</v>
      </c>
      <c r="U3456">
        <v>22061</v>
      </c>
      <c r="V3456" t="s">
        <v>77</v>
      </c>
    </row>
    <row r="3457" spans="1:22">
      <c r="A3457" t="str">
        <f t="shared" si="629"/>
        <v>25/09/2025</v>
      </c>
      <c r="B3457" t="str">
        <f t="shared" si="635"/>
        <v>SAÍDA</v>
      </c>
      <c r="C3457" t="str">
        <f t="shared" si="630"/>
        <v>PIX</v>
      </c>
      <c r="D3457" t="str">
        <f>"22062"</f>
        <v>22062</v>
      </c>
      <c r="E3457" t="str">
        <f t="shared" si="632"/>
        <v>1</v>
      </c>
      <c r="F3457" t="str">
        <f t="shared" si="636"/>
        <v>COM</v>
      </c>
      <c r="G3457" t="str">
        <f>"ANISSO ANIDAL DE PAULA (161)"</f>
        <v>ANISSO ANIDAL DE PAULA (161)</v>
      </c>
      <c r="H3457" t="str">
        <f>"Serv.Prest. 08/09/2025 a 14/09/2025 - PIX: E-MAIL - CHAVE: anissoanidaldepaula@gmail.com"</f>
        <v>Serv.Prest. 08/09/2025 a 14/09/2025 - PIX: E-MAIL - CHAVE: anissoanidaldepaula@gmail.com</v>
      </c>
      <c r="I3457" t="str">
        <f t="shared" si="631"/>
        <v>25/09/2025</v>
      </c>
      <c r="J3457" t="str">
        <f t="shared" si="634"/>
        <v>16/09/2025</v>
      </c>
      <c r="K3457" t="str">
        <f>("25/09/2025")</f>
        <v>25/09/2025</v>
      </c>
      <c r="L3457">
        <v>642</v>
      </c>
      <c r="M3457">
        <v>642</v>
      </c>
      <c r="N3457">
        <v>109</v>
      </c>
      <c r="O3457" t="str">
        <f>"PAGAMENTO DE ENTREGADORES"</f>
        <v>PAGAMENTO DE ENTREGADORES</v>
      </c>
      <c r="P3457">
        <v>642</v>
      </c>
      <c r="S3457" t="str">
        <f>"BANCO C6 (149)"</f>
        <v>BANCO C6 (149)</v>
      </c>
      <c r="T3457">
        <v>18763</v>
      </c>
      <c r="U3457">
        <v>22062</v>
      </c>
      <c r="V3457" t="s">
        <v>77</v>
      </c>
    </row>
    <row r="3458" spans="1:22">
      <c r="A3458" t="str">
        <f t="shared" si="629"/>
        <v>25/09/2025</v>
      </c>
      <c r="B3458" t="str">
        <f t="shared" si="635"/>
        <v>SAÍDA</v>
      </c>
      <c r="C3458" t="str">
        <f t="shared" si="630"/>
        <v>PIX</v>
      </c>
      <c r="D3458" t="str">
        <f>"22062"</f>
        <v>22062</v>
      </c>
      <c r="E3458" t="str">
        <f t="shared" si="632"/>
        <v>1</v>
      </c>
      <c r="F3458" t="str">
        <f t="shared" si="636"/>
        <v>COM</v>
      </c>
      <c r="G3458" t="str">
        <f>"ANISSO ANIDAL DE PAULA (161)"</f>
        <v>ANISSO ANIDAL DE PAULA (161)</v>
      </c>
      <c r="H3458" t="s">
        <v>960</v>
      </c>
      <c r="I3458" t="str">
        <f t="shared" si="631"/>
        <v>25/09/2025</v>
      </c>
      <c r="J3458" t="str">
        <f t="shared" si="634"/>
        <v>16/09/2025</v>
      </c>
      <c r="K3458">
        <v>45925</v>
      </c>
      <c r="N3458">
        <v>109</v>
      </c>
      <c r="O3458" t="s">
        <v>24</v>
      </c>
      <c r="Q3458">
        <v>522.01</v>
      </c>
      <c r="R3458" t="str">
        <f>"FARMÁCIA INDIANA LJ 18 (10011)"</f>
        <v>FARMÁCIA INDIANA LJ 18 (10011)</v>
      </c>
      <c r="S3458" t="s">
        <v>77</v>
      </c>
      <c r="T3458">
        <v>18763</v>
      </c>
      <c r="U3458">
        <v>22062</v>
      </c>
      <c r="V3458" t="s">
        <v>77</v>
      </c>
    </row>
    <row r="3459" spans="1:22">
      <c r="A3459" t="str">
        <f t="shared" si="629"/>
        <v>25/09/2025</v>
      </c>
      <c r="B3459" t="str">
        <f t="shared" si="635"/>
        <v>SAÍDA</v>
      </c>
      <c r="C3459" t="str">
        <f t="shared" si="630"/>
        <v>PIX</v>
      </c>
      <c r="D3459" t="str">
        <f>"22062"</f>
        <v>22062</v>
      </c>
      <c r="E3459" t="str">
        <f t="shared" si="632"/>
        <v>1</v>
      </c>
      <c r="F3459" t="str">
        <f t="shared" si="636"/>
        <v>COM</v>
      </c>
      <c r="G3459" t="str">
        <f>"ANISSO ANIDAL DE PAULA (161)"</f>
        <v>ANISSO ANIDAL DE PAULA (161)</v>
      </c>
      <c r="H3459" t="s">
        <v>960</v>
      </c>
      <c r="I3459" t="str">
        <f t="shared" si="631"/>
        <v>25/09/2025</v>
      </c>
      <c r="J3459" t="str">
        <f t="shared" si="634"/>
        <v>16/09/2025</v>
      </c>
      <c r="K3459">
        <v>45925</v>
      </c>
      <c r="N3459">
        <v>109</v>
      </c>
      <c r="O3459" t="s">
        <v>24</v>
      </c>
      <c r="Q3459">
        <v>119.99</v>
      </c>
      <c r="R3459" t="str">
        <f>"FARMÁCIA INDIANA LJ 19 (10012)"</f>
        <v>FARMÁCIA INDIANA LJ 19 (10012)</v>
      </c>
      <c r="S3459" t="s">
        <v>77</v>
      </c>
      <c r="T3459">
        <v>18763</v>
      </c>
      <c r="U3459">
        <v>22062</v>
      </c>
      <c r="V3459" t="s">
        <v>77</v>
      </c>
    </row>
    <row r="3460" spans="1:22">
      <c r="A3460" t="str">
        <f t="shared" si="629"/>
        <v>25/09/2025</v>
      </c>
      <c r="B3460" t="str">
        <f t="shared" si="635"/>
        <v>SAÍDA</v>
      </c>
      <c r="C3460" t="str">
        <f t="shared" si="630"/>
        <v>PIX</v>
      </c>
      <c r="D3460" t="str">
        <f>"22063"</f>
        <v>22063</v>
      </c>
      <c r="E3460" t="str">
        <f t="shared" si="632"/>
        <v>1</v>
      </c>
      <c r="F3460" t="str">
        <f t="shared" si="636"/>
        <v>COM</v>
      </c>
      <c r="G3460" t="str">
        <f>"ARLINDO JOSE MARTINS (909)"</f>
        <v>ARLINDO JOSE MARTINS (909)</v>
      </c>
      <c r="H3460" t="str">
        <f>"Serv.Prest. 08/09/2025 a 14/09/2025 - PIX: CPF - CHAVE: 037.192.076-09"</f>
        <v>Serv.Prest. 08/09/2025 a 14/09/2025 - PIX: CPF - CHAVE: 037.192.076-09</v>
      </c>
      <c r="I3460" t="str">
        <f t="shared" si="631"/>
        <v>25/09/2025</v>
      </c>
      <c r="J3460" t="str">
        <f t="shared" si="634"/>
        <v>16/09/2025</v>
      </c>
      <c r="K3460" t="str">
        <f>("25/09/2025")</f>
        <v>25/09/2025</v>
      </c>
      <c r="L3460">
        <v>803</v>
      </c>
      <c r="M3460">
        <v>803</v>
      </c>
      <c r="N3460">
        <v>109</v>
      </c>
      <c r="O3460" t="str">
        <f>"PAGAMENTO DE ENTREGADORES"</f>
        <v>PAGAMENTO DE ENTREGADORES</v>
      </c>
      <c r="P3460">
        <v>803</v>
      </c>
      <c r="S3460" t="str">
        <f>"BANCO C6 (149)"</f>
        <v>BANCO C6 (149)</v>
      </c>
      <c r="T3460">
        <v>18764</v>
      </c>
      <c r="U3460">
        <v>22063</v>
      </c>
      <c r="V3460" t="s">
        <v>77</v>
      </c>
    </row>
    <row r="3461" spans="1:22">
      <c r="A3461" t="str">
        <f t="shared" si="629"/>
        <v>25/09/2025</v>
      </c>
      <c r="B3461" t="str">
        <f t="shared" si="635"/>
        <v>SAÍDA</v>
      </c>
      <c r="C3461" t="str">
        <f t="shared" si="630"/>
        <v>PIX</v>
      </c>
      <c r="D3461" t="str">
        <f>"22063"</f>
        <v>22063</v>
      </c>
      <c r="E3461" t="str">
        <f t="shared" si="632"/>
        <v>1</v>
      </c>
      <c r="F3461" t="str">
        <f t="shared" si="636"/>
        <v>COM</v>
      </c>
      <c r="G3461" t="str">
        <f>"ARLINDO JOSE MARTINS (909)"</f>
        <v>ARLINDO JOSE MARTINS (909)</v>
      </c>
      <c r="H3461" t="s">
        <v>961</v>
      </c>
      <c r="I3461" t="str">
        <f t="shared" si="631"/>
        <v>25/09/2025</v>
      </c>
      <c r="J3461" t="str">
        <f t="shared" si="634"/>
        <v>16/09/2025</v>
      </c>
      <c r="K3461">
        <v>45925</v>
      </c>
      <c r="N3461">
        <v>109</v>
      </c>
      <c r="O3461" t="s">
        <v>24</v>
      </c>
      <c r="Q3461">
        <v>803</v>
      </c>
      <c r="R3461" t="str">
        <f>"FARMÁCIA INDIANA LJ 185 (10141)"</f>
        <v>FARMÁCIA INDIANA LJ 185 (10141)</v>
      </c>
      <c r="S3461" t="s">
        <v>77</v>
      </c>
      <c r="T3461">
        <v>18764</v>
      </c>
      <c r="U3461">
        <v>22063</v>
      </c>
      <c r="V3461" t="s">
        <v>77</v>
      </c>
    </row>
    <row r="3462" spans="1:22">
      <c r="A3462" t="str">
        <f t="shared" si="629"/>
        <v>25/09/2025</v>
      </c>
      <c r="B3462" t="str">
        <f t="shared" si="635"/>
        <v>SAÍDA</v>
      </c>
      <c r="C3462" t="str">
        <f t="shared" si="630"/>
        <v>PIX</v>
      </c>
      <c r="D3462" t="str">
        <f>"22065"</f>
        <v>22065</v>
      </c>
      <c r="E3462" t="str">
        <f t="shared" si="632"/>
        <v>1</v>
      </c>
      <c r="F3462" t="str">
        <f t="shared" si="636"/>
        <v>COM</v>
      </c>
      <c r="G3462" t="str">
        <f>"BRUNO BARBOSA DE MATOS (82)"</f>
        <v>BRUNO BARBOSA DE MATOS (82)</v>
      </c>
      <c r="H3462" t="str">
        <f>"Serv.Prest. 08/09/2025 a 14/09/2025 - PIX: CPF - CHAVE: 137.446.146-62"</f>
        <v>Serv.Prest. 08/09/2025 a 14/09/2025 - PIX: CPF - CHAVE: 137.446.146-62</v>
      </c>
      <c r="I3462" t="str">
        <f t="shared" si="631"/>
        <v>25/09/2025</v>
      </c>
      <c r="J3462" t="str">
        <f t="shared" si="634"/>
        <v>16/09/2025</v>
      </c>
      <c r="K3462" t="str">
        <f>("25/09/2025")</f>
        <v>25/09/2025</v>
      </c>
      <c r="L3462">
        <v>1134</v>
      </c>
      <c r="M3462">
        <v>1134</v>
      </c>
      <c r="N3462">
        <v>109</v>
      </c>
      <c r="O3462" t="str">
        <f>"PAGAMENTO DE ENTREGADORES"</f>
        <v>PAGAMENTO DE ENTREGADORES</v>
      </c>
      <c r="P3462">
        <v>1134</v>
      </c>
      <c r="S3462" t="str">
        <f>"BANCO C6 (149)"</f>
        <v>BANCO C6 (149)</v>
      </c>
      <c r="T3462">
        <v>18765</v>
      </c>
      <c r="U3462">
        <v>22065</v>
      </c>
      <c r="V3462" t="s">
        <v>77</v>
      </c>
    </row>
    <row r="3463" spans="1:22">
      <c r="A3463" t="str">
        <f t="shared" si="629"/>
        <v>25/09/2025</v>
      </c>
      <c r="B3463" t="str">
        <f t="shared" si="635"/>
        <v>SAÍDA</v>
      </c>
      <c r="C3463" t="str">
        <f t="shared" si="630"/>
        <v>PIX</v>
      </c>
      <c r="D3463" t="str">
        <f>"22065"</f>
        <v>22065</v>
      </c>
      <c r="E3463" t="str">
        <f t="shared" si="632"/>
        <v>1</v>
      </c>
      <c r="F3463" t="str">
        <f t="shared" si="636"/>
        <v>COM</v>
      </c>
      <c r="G3463" t="str">
        <f>"BRUNO BARBOSA DE MATOS (82)"</f>
        <v>BRUNO BARBOSA DE MATOS (82)</v>
      </c>
      <c r="H3463" t="s">
        <v>962</v>
      </c>
      <c r="I3463" t="str">
        <f t="shared" si="631"/>
        <v>25/09/2025</v>
      </c>
      <c r="J3463" t="str">
        <f t="shared" si="634"/>
        <v>16/09/2025</v>
      </c>
      <c r="K3463">
        <v>45925</v>
      </c>
      <c r="N3463">
        <v>109</v>
      </c>
      <c r="O3463" t="s">
        <v>24</v>
      </c>
      <c r="Q3463">
        <v>1134</v>
      </c>
      <c r="R3463" t="str">
        <f>"FARMÁCIA INDIANA LJ 152 (10069)"</f>
        <v>FARMÁCIA INDIANA LJ 152 (10069)</v>
      </c>
      <c r="S3463" t="s">
        <v>77</v>
      </c>
      <c r="T3463">
        <v>18765</v>
      </c>
      <c r="U3463">
        <v>22065</v>
      </c>
      <c r="V3463" t="s">
        <v>77</v>
      </c>
    </row>
    <row r="3464" spans="1:22">
      <c r="A3464" t="str">
        <f t="shared" si="629"/>
        <v>25/09/2025</v>
      </c>
      <c r="B3464" t="str">
        <f t="shared" si="635"/>
        <v>SAÍDA</v>
      </c>
      <c r="C3464" t="str">
        <f t="shared" si="630"/>
        <v>PIX</v>
      </c>
      <c r="D3464" t="str">
        <f>"22066"</f>
        <v>22066</v>
      </c>
      <c r="E3464" t="str">
        <f t="shared" si="632"/>
        <v>1</v>
      </c>
      <c r="F3464" t="str">
        <f t="shared" si="636"/>
        <v>COM</v>
      </c>
      <c r="G3464" t="str">
        <f>"BRUNO DOS SANTOS MACHADO (702)"</f>
        <v>BRUNO DOS SANTOS MACHADO (702)</v>
      </c>
      <c r="H3464" t="str">
        <f>"Serv.Prest. 08/09/2025 a 14/09/2025 - PIX: CPF - CHAVE: 155.328.666-94"</f>
        <v>Serv.Prest. 08/09/2025 a 14/09/2025 - PIX: CPF - CHAVE: 155.328.666-94</v>
      </c>
      <c r="I3464" t="str">
        <f t="shared" si="631"/>
        <v>25/09/2025</v>
      </c>
      <c r="J3464" t="str">
        <f t="shared" si="634"/>
        <v>16/09/2025</v>
      </c>
      <c r="K3464" t="str">
        <f>("25/09/2025")</f>
        <v>25/09/2025</v>
      </c>
      <c r="L3464">
        <v>400</v>
      </c>
      <c r="M3464">
        <v>400</v>
      </c>
      <c r="N3464">
        <v>109</v>
      </c>
      <c r="O3464" t="str">
        <f>"PAGAMENTO DE ENTREGADORES"</f>
        <v>PAGAMENTO DE ENTREGADORES</v>
      </c>
      <c r="P3464">
        <v>400</v>
      </c>
      <c r="S3464" t="str">
        <f>"BANCO C6 (149)"</f>
        <v>BANCO C6 (149)</v>
      </c>
      <c r="T3464">
        <v>18766</v>
      </c>
      <c r="U3464">
        <v>22066</v>
      </c>
      <c r="V3464" t="s">
        <v>77</v>
      </c>
    </row>
    <row r="3465" spans="1:22">
      <c r="A3465" t="str">
        <f t="shared" si="629"/>
        <v>25/09/2025</v>
      </c>
      <c r="B3465" t="str">
        <f t="shared" si="635"/>
        <v>SAÍDA</v>
      </c>
      <c r="C3465" t="str">
        <f t="shared" si="630"/>
        <v>PIX</v>
      </c>
      <c r="D3465" t="str">
        <f>"22066"</f>
        <v>22066</v>
      </c>
      <c r="E3465" t="str">
        <f t="shared" si="632"/>
        <v>1</v>
      </c>
      <c r="F3465" t="str">
        <f t="shared" si="636"/>
        <v>COM</v>
      </c>
      <c r="G3465" t="str">
        <f>"BRUNO DOS SANTOS MACHADO (702)"</f>
        <v>BRUNO DOS SANTOS MACHADO (702)</v>
      </c>
      <c r="H3465" t="s">
        <v>844</v>
      </c>
      <c r="I3465" t="str">
        <f t="shared" si="631"/>
        <v>25/09/2025</v>
      </c>
      <c r="J3465" t="str">
        <f t="shared" si="634"/>
        <v>16/09/2025</v>
      </c>
      <c r="K3465">
        <v>45925</v>
      </c>
      <c r="N3465">
        <v>109</v>
      </c>
      <c r="O3465" t="s">
        <v>24</v>
      </c>
      <c r="Q3465">
        <v>215.4</v>
      </c>
      <c r="R3465" t="str">
        <f>"FARMÁCIA INDIANA LJ 204 (10087)"</f>
        <v>FARMÁCIA INDIANA LJ 204 (10087)</v>
      </c>
      <c r="S3465" t="s">
        <v>77</v>
      </c>
      <c r="T3465">
        <v>18766</v>
      </c>
      <c r="U3465">
        <v>22066</v>
      </c>
      <c r="V3465" t="s">
        <v>77</v>
      </c>
    </row>
    <row r="3466" spans="1:22">
      <c r="A3466" t="str">
        <f t="shared" si="629"/>
        <v>25/09/2025</v>
      </c>
      <c r="B3466" t="str">
        <f t="shared" si="635"/>
        <v>SAÍDA</v>
      </c>
      <c r="C3466" t="str">
        <f t="shared" si="630"/>
        <v>PIX</v>
      </c>
      <c r="D3466" t="str">
        <f>"22066"</f>
        <v>22066</v>
      </c>
      <c r="E3466" t="str">
        <f t="shared" si="632"/>
        <v>1</v>
      </c>
      <c r="F3466" t="str">
        <f t="shared" si="636"/>
        <v>COM</v>
      </c>
      <c r="G3466" t="str">
        <f>"BRUNO DOS SANTOS MACHADO (702)"</f>
        <v>BRUNO DOS SANTOS MACHADO (702)</v>
      </c>
      <c r="H3466" t="s">
        <v>844</v>
      </c>
      <c r="I3466" t="str">
        <f t="shared" si="631"/>
        <v>25/09/2025</v>
      </c>
      <c r="J3466" t="str">
        <f t="shared" si="634"/>
        <v>16/09/2025</v>
      </c>
      <c r="K3466">
        <v>45925</v>
      </c>
      <c r="N3466">
        <v>109</v>
      </c>
      <c r="O3466" t="s">
        <v>24</v>
      </c>
      <c r="Q3466">
        <v>184.6</v>
      </c>
      <c r="R3466" t="str">
        <f>"FARMÁCIA INDIANA LJ 266 (10186)"</f>
        <v>FARMÁCIA INDIANA LJ 266 (10186)</v>
      </c>
      <c r="S3466" t="s">
        <v>77</v>
      </c>
      <c r="T3466">
        <v>18766</v>
      </c>
      <c r="U3466">
        <v>22066</v>
      </c>
      <c r="V3466" t="s">
        <v>77</v>
      </c>
    </row>
    <row r="3467" spans="1:22">
      <c r="A3467" t="str">
        <f t="shared" si="629"/>
        <v>25/09/2025</v>
      </c>
      <c r="B3467" t="str">
        <f t="shared" si="635"/>
        <v>SAÍDA</v>
      </c>
      <c r="C3467" t="str">
        <f t="shared" si="630"/>
        <v>PIX</v>
      </c>
      <c r="D3467" t="str">
        <f>"22067"</f>
        <v>22067</v>
      </c>
      <c r="E3467" t="str">
        <f t="shared" si="632"/>
        <v>1</v>
      </c>
      <c r="F3467" t="str">
        <f t="shared" si="636"/>
        <v>COM</v>
      </c>
      <c r="G3467" t="str">
        <f>"BRUNO WAGNER DE CARVALHO OLIVEIRA (84)"</f>
        <v>BRUNO WAGNER DE CARVALHO OLIVEIRA (84)</v>
      </c>
      <c r="H3467" t="str">
        <f>"Serv.Prest. 08/09/2025 a 14/09/2025 - PIX: CELULAR - CHAVE: (32) 98896-0708"</f>
        <v>Serv.Prest. 08/09/2025 a 14/09/2025 - PIX: CELULAR - CHAVE: (32) 98896-0708</v>
      </c>
      <c r="I3467" t="str">
        <f t="shared" si="631"/>
        <v>25/09/2025</v>
      </c>
      <c r="J3467" t="str">
        <f t="shared" si="634"/>
        <v>16/09/2025</v>
      </c>
      <c r="K3467" t="str">
        <f>("25/09/2025")</f>
        <v>25/09/2025</v>
      </c>
      <c r="L3467">
        <v>700</v>
      </c>
      <c r="M3467">
        <v>700</v>
      </c>
      <c r="N3467">
        <v>109</v>
      </c>
      <c r="O3467" t="str">
        <f>"PAGAMENTO DE ENTREGADORES"</f>
        <v>PAGAMENTO DE ENTREGADORES</v>
      </c>
      <c r="P3467">
        <v>700</v>
      </c>
      <c r="S3467" t="str">
        <f>"BANCO C6 (149)"</f>
        <v>BANCO C6 (149)</v>
      </c>
      <c r="T3467">
        <v>18767</v>
      </c>
      <c r="U3467">
        <v>22067</v>
      </c>
      <c r="V3467" t="s">
        <v>77</v>
      </c>
    </row>
    <row r="3468" spans="1:22">
      <c r="A3468" t="str">
        <f t="shared" si="629"/>
        <v>25/09/2025</v>
      </c>
      <c r="B3468" t="str">
        <f t="shared" si="635"/>
        <v>SAÍDA</v>
      </c>
      <c r="C3468" t="str">
        <f t="shared" si="630"/>
        <v>PIX</v>
      </c>
      <c r="D3468" t="str">
        <f>"22067"</f>
        <v>22067</v>
      </c>
      <c r="E3468" t="str">
        <f t="shared" si="632"/>
        <v>1</v>
      </c>
      <c r="F3468" t="str">
        <f t="shared" si="636"/>
        <v>COM</v>
      </c>
      <c r="G3468" t="str">
        <f>"BRUNO WAGNER DE CARVALHO OLIVEIRA (84)"</f>
        <v>BRUNO WAGNER DE CARVALHO OLIVEIRA (84)</v>
      </c>
      <c r="H3468" t="s">
        <v>963</v>
      </c>
      <c r="I3468" t="str">
        <f t="shared" si="631"/>
        <v>25/09/2025</v>
      </c>
      <c r="J3468" t="str">
        <f t="shared" si="634"/>
        <v>16/09/2025</v>
      </c>
      <c r="K3468">
        <v>45925</v>
      </c>
      <c r="N3468">
        <v>109</v>
      </c>
      <c r="O3468" t="s">
        <v>24</v>
      </c>
      <c r="Q3468">
        <v>203.21</v>
      </c>
      <c r="R3468" t="str">
        <f>"FARMÁCIA INDIANA LJ 182 (10079)"</f>
        <v>FARMÁCIA INDIANA LJ 182 (10079)</v>
      </c>
      <c r="S3468" t="s">
        <v>77</v>
      </c>
      <c r="T3468">
        <v>18767</v>
      </c>
      <c r="U3468">
        <v>22067</v>
      </c>
      <c r="V3468" t="s">
        <v>77</v>
      </c>
    </row>
    <row r="3469" spans="1:22">
      <c r="A3469" t="str">
        <f t="shared" si="629"/>
        <v>25/09/2025</v>
      </c>
      <c r="B3469" t="str">
        <f t="shared" si="635"/>
        <v>SAÍDA</v>
      </c>
      <c r="C3469" t="str">
        <f t="shared" si="630"/>
        <v>PIX</v>
      </c>
      <c r="D3469" t="str">
        <f>"22067"</f>
        <v>22067</v>
      </c>
      <c r="E3469" t="str">
        <f t="shared" si="632"/>
        <v>1</v>
      </c>
      <c r="F3469" t="str">
        <f t="shared" si="636"/>
        <v>COM</v>
      </c>
      <c r="G3469" t="str">
        <f>"BRUNO WAGNER DE CARVALHO OLIVEIRA (84)"</f>
        <v>BRUNO WAGNER DE CARVALHO OLIVEIRA (84)</v>
      </c>
      <c r="H3469" t="s">
        <v>963</v>
      </c>
      <c r="I3469" t="str">
        <f t="shared" si="631"/>
        <v>25/09/2025</v>
      </c>
      <c r="J3469" t="str">
        <f t="shared" si="634"/>
        <v>16/09/2025</v>
      </c>
      <c r="K3469">
        <v>45925</v>
      </c>
      <c r="N3469">
        <v>109</v>
      </c>
      <c r="O3469" t="s">
        <v>24</v>
      </c>
      <c r="Q3469">
        <v>496.79</v>
      </c>
      <c r="R3469" t="str">
        <f>"FARMÁCIA INDIANA LJ 186 (10081)"</f>
        <v>FARMÁCIA INDIANA LJ 186 (10081)</v>
      </c>
      <c r="S3469" t="s">
        <v>77</v>
      </c>
      <c r="T3469">
        <v>18767</v>
      </c>
      <c r="U3469">
        <v>22067</v>
      </c>
      <c r="V3469" t="s">
        <v>77</v>
      </c>
    </row>
    <row r="3470" spans="1:22">
      <c r="A3470" t="str">
        <f t="shared" ref="A3470:A3533" si="637">("25/09/2025")</f>
        <v>25/09/2025</v>
      </c>
      <c r="B3470" t="str">
        <f t="shared" si="635"/>
        <v>SAÍDA</v>
      </c>
      <c r="C3470" t="str">
        <f t="shared" ref="C3470:C3533" si="638">"PIX"</f>
        <v>PIX</v>
      </c>
      <c r="D3470" t="str">
        <f>"22068"</f>
        <v>22068</v>
      </c>
      <c r="E3470" t="str">
        <f t="shared" si="632"/>
        <v>1</v>
      </c>
      <c r="F3470" t="str">
        <f t="shared" si="636"/>
        <v>COM</v>
      </c>
      <c r="G3470" t="str">
        <f>"CARLOS ROBERTO BADARÓ MACHADO (78)"</f>
        <v>CARLOS ROBERTO BADARÓ MACHADO (78)</v>
      </c>
      <c r="H3470" t="str">
        <f>"Serv.Prest. 08/09/2025 a 14/09/2025 - PIX: CELULAR - CHAVE: (32) 99166-8238"</f>
        <v>Serv.Prest. 08/09/2025 a 14/09/2025 - PIX: CELULAR - CHAVE: (32) 99166-8238</v>
      </c>
      <c r="I3470" t="str">
        <f t="shared" si="631"/>
        <v>25/09/2025</v>
      </c>
      <c r="J3470" t="str">
        <f t="shared" si="634"/>
        <v>16/09/2025</v>
      </c>
      <c r="K3470" t="str">
        <f>("25/09/2025")</f>
        <v>25/09/2025</v>
      </c>
      <c r="L3470">
        <v>1734</v>
      </c>
      <c r="M3470">
        <v>1734</v>
      </c>
      <c r="N3470">
        <v>109</v>
      </c>
      <c r="O3470" t="str">
        <f>"PAGAMENTO DE ENTREGADORES"</f>
        <v>PAGAMENTO DE ENTREGADORES</v>
      </c>
      <c r="P3470">
        <v>1734</v>
      </c>
      <c r="S3470" t="str">
        <f>"BANCO C6 (149)"</f>
        <v>BANCO C6 (149)</v>
      </c>
      <c r="T3470">
        <v>18768</v>
      </c>
      <c r="U3470">
        <v>22068</v>
      </c>
      <c r="V3470" t="s">
        <v>77</v>
      </c>
    </row>
    <row r="3471" spans="1:22">
      <c r="A3471" t="str">
        <f t="shared" si="637"/>
        <v>25/09/2025</v>
      </c>
      <c r="B3471" t="str">
        <f t="shared" si="635"/>
        <v>SAÍDA</v>
      </c>
      <c r="C3471" t="str">
        <f t="shared" si="638"/>
        <v>PIX</v>
      </c>
      <c r="D3471" t="str">
        <f>"22068"</f>
        <v>22068</v>
      </c>
      <c r="E3471" t="str">
        <f t="shared" si="632"/>
        <v>1</v>
      </c>
      <c r="F3471" t="str">
        <f t="shared" si="636"/>
        <v>COM</v>
      </c>
      <c r="G3471" t="str">
        <f>"CARLOS ROBERTO BADARÓ MACHADO (78)"</f>
        <v>CARLOS ROBERTO BADARÓ MACHADO (78)</v>
      </c>
      <c r="H3471" t="s">
        <v>964</v>
      </c>
      <c r="I3471" t="str">
        <f t="shared" si="631"/>
        <v>25/09/2025</v>
      </c>
      <c r="J3471" t="str">
        <f t="shared" si="634"/>
        <v>16/09/2025</v>
      </c>
      <c r="K3471">
        <v>45925</v>
      </c>
      <c r="N3471">
        <v>109</v>
      </c>
      <c r="O3471" t="s">
        <v>24</v>
      </c>
      <c r="Q3471">
        <v>1734</v>
      </c>
      <c r="R3471" t="str">
        <f>"FARMÁCIA INDIANA LJ 109 (10047)"</f>
        <v>FARMÁCIA INDIANA LJ 109 (10047)</v>
      </c>
      <c r="S3471" t="s">
        <v>77</v>
      </c>
      <c r="T3471">
        <v>18768</v>
      </c>
      <c r="U3471">
        <v>22068</v>
      </c>
      <c r="V3471" t="s">
        <v>77</v>
      </c>
    </row>
    <row r="3472" spans="1:22">
      <c r="A3472" t="str">
        <f t="shared" si="637"/>
        <v>25/09/2025</v>
      </c>
      <c r="B3472" t="str">
        <f t="shared" si="635"/>
        <v>SAÍDA</v>
      </c>
      <c r="C3472" t="str">
        <f t="shared" si="638"/>
        <v>PIX</v>
      </c>
      <c r="D3472" t="str">
        <f>"22069"</f>
        <v>22069</v>
      </c>
      <c r="E3472" t="str">
        <f t="shared" si="632"/>
        <v>1</v>
      </c>
      <c r="F3472" t="str">
        <f t="shared" si="636"/>
        <v>COM</v>
      </c>
      <c r="G3472" t="str">
        <f>"CASSIO DIAS RIBEIRO (32)"</f>
        <v>CASSIO DIAS RIBEIRO (32)</v>
      </c>
      <c r="H3472" t="str">
        <f>"Serv.Prest. 08/09/2025 a 14/09/2025 - PIX: CPF - CHAVE: 091.575.986-14"</f>
        <v>Serv.Prest. 08/09/2025 a 14/09/2025 - PIX: CPF - CHAVE: 091.575.986-14</v>
      </c>
      <c r="I3472" t="str">
        <f t="shared" si="631"/>
        <v>25/09/2025</v>
      </c>
      <c r="J3472" t="str">
        <f t="shared" si="634"/>
        <v>16/09/2025</v>
      </c>
      <c r="K3472" t="str">
        <f>("25/09/2025")</f>
        <v>25/09/2025</v>
      </c>
      <c r="L3472">
        <v>60</v>
      </c>
      <c r="M3472">
        <v>60</v>
      </c>
      <c r="N3472">
        <v>109</v>
      </c>
      <c r="O3472" t="str">
        <f>"PAGAMENTO DE ENTREGADORES"</f>
        <v>PAGAMENTO DE ENTREGADORES</v>
      </c>
      <c r="P3472">
        <v>60</v>
      </c>
      <c r="S3472" t="str">
        <f>"BANCO C6 (149)"</f>
        <v>BANCO C6 (149)</v>
      </c>
      <c r="T3472">
        <v>18769</v>
      </c>
      <c r="U3472">
        <v>22069</v>
      </c>
      <c r="V3472" t="s">
        <v>77</v>
      </c>
    </row>
    <row r="3473" spans="1:22">
      <c r="A3473" t="str">
        <f t="shared" si="637"/>
        <v>25/09/2025</v>
      </c>
      <c r="B3473" t="str">
        <f t="shared" si="635"/>
        <v>SAÍDA</v>
      </c>
      <c r="C3473" t="str">
        <f t="shared" si="638"/>
        <v>PIX</v>
      </c>
      <c r="D3473" t="str">
        <f>"22069"</f>
        <v>22069</v>
      </c>
      <c r="E3473" t="str">
        <f t="shared" si="632"/>
        <v>1</v>
      </c>
      <c r="F3473" t="str">
        <f t="shared" si="636"/>
        <v>COM</v>
      </c>
      <c r="G3473" t="str">
        <f>"CASSIO DIAS RIBEIRO (32)"</f>
        <v>CASSIO DIAS RIBEIRO (32)</v>
      </c>
      <c r="H3473" t="s">
        <v>845</v>
      </c>
      <c r="I3473" t="str">
        <f t="shared" si="631"/>
        <v>25/09/2025</v>
      </c>
      <c r="J3473" t="str">
        <f t="shared" si="634"/>
        <v>16/09/2025</v>
      </c>
      <c r="K3473">
        <v>45925</v>
      </c>
      <c r="N3473">
        <v>109</v>
      </c>
      <c r="O3473" t="s">
        <v>24</v>
      </c>
      <c r="Q3473">
        <v>60</v>
      </c>
      <c r="R3473" t="str">
        <f>"FARMÁCIA INDIANA LJ 11 (10008)"</f>
        <v>FARMÁCIA INDIANA LJ 11 (10008)</v>
      </c>
      <c r="S3473" t="s">
        <v>77</v>
      </c>
      <c r="T3473">
        <v>18769</v>
      </c>
      <c r="U3473">
        <v>22069</v>
      </c>
      <c r="V3473" t="s">
        <v>77</v>
      </c>
    </row>
    <row r="3474" spans="1:22">
      <c r="A3474" t="str">
        <f t="shared" si="637"/>
        <v>25/09/2025</v>
      </c>
      <c r="B3474" t="str">
        <f t="shared" si="635"/>
        <v>SAÍDA</v>
      </c>
      <c r="C3474" t="str">
        <f t="shared" si="638"/>
        <v>PIX</v>
      </c>
      <c r="D3474" t="str">
        <f>"22070"</f>
        <v>22070</v>
      </c>
      <c r="E3474" t="str">
        <f t="shared" si="632"/>
        <v>1</v>
      </c>
      <c r="F3474" t="str">
        <f t="shared" si="636"/>
        <v>COM</v>
      </c>
      <c r="G3474" t="str">
        <f>"CELIO JOSÉ RIBEIRO (189)"</f>
        <v>CELIO JOSÉ RIBEIRO (189)</v>
      </c>
      <c r="H3474" t="str">
        <f>"Serv.Prest. 08/09/2025 a 14/09/2025 - PIX: CELULAR - CHAVE: (33) 98845-4528"</f>
        <v>Serv.Prest. 08/09/2025 a 14/09/2025 - PIX: CELULAR - CHAVE: (33) 98845-4528</v>
      </c>
      <c r="I3474" t="str">
        <f t="shared" si="631"/>
        <v>25/09/2025</v>
      </c>
      <c r="J3474" t="str">
        <f t="shared" si="634"/>
        <v>16/09/2025</v>
      </c>
      <c r="K3474" t="str">
        <f>("25/09/2025")</f>
        <v>25/09/2025</v>
      </c>
      <c r="L3474">
        <v>1104</v>
      </c>
      <c r="M3474">
        <v>1104</v>
      </c>
      <c r="N3474">
        <v>109</v>
      </c>
      <c r="O3474" t="str">
        <f>"PAGAMENTO DE ENTREGADORES"</f>
        <v>PAGAMENTO DE ENTREGADORES</v>
      </c>
      <c r="P3474">
        <v>1104</v>
      </c>
      <c r="S3474" t="str">
        <f>"BANCO C6 (149)"</f>
        <v>BANCO C6 (149)</v>
      </c>
      <c r="T3474">
        <v>18770</v>
      </c>
      <c r="U3474">
        <v>22070</v>
      </c>
      <c r="V3474" t="s">
        <v>77</v>
      </c>
    </row>
    <row r="3475" spans="1:22">
      <c r="A3475" t="str">
        <f t="shared" si="637"/>
        <v>25/09/2025</v>
      </c>
      <c r="B3475" t="str">
        <f t="shared" si="635"/>
        <v>SAÍDA</v>
      </c>
      <c r="C3475" t="str">
        <f t="shared" si="638"/>
        <v>PIX</v>
      </c>
      <c r="D3475" t="str">
        <f>"22070"</f>
        <v>22070</v>
      </c>
      <c r="E3475" t="str">
        <f t="shared" si="632"/>
        <v>1</v>
      </c>
      <c r="F3475" t="str">
        <f t="shared" si="636"/>
        <v>COM</v>
      </c>
      <c r="G3475" t="str">
        <f>"CELIO JOSÉ RIBEIRO (189)"</f>
        <v>CELIO JOSÉ RIBEIRO (189)</v>
      </c>
      <c r="H3475" t="s">
        <v>965</v>
      </c>
      <c r="I3475" t="str">
        <f t="shared" si="631"/>
        <v>25/09/2025</v>
      </c>
      <c r="J3475" t="str">
        <f t="shared" si="634"/>
        <v>16/09/2025</v>
      </c>
      <c r="K3475">
        <v>45925</v>
      </c>
      <c r="N3475">
        <v>109</v>
      </c>
      <c r="O3475" t="s">
        <v>24</v>
      </c>
      <c r="Q3475">
        <v>1104</v>
      </c>
      <c r="R3475" t="str">
        <f>"FARMÁCIA INDIANA LJ 06 (10006)"</f>
        <v>FARMÁCIA INDIANA LJ 06 (10006)</v>
      </c>
      <c r="S3475" t="s">
        <v>77</v>
      </c>
      <c r="T3475">
        <v>18770</v>
      </c>
      <c r="U3475">
        <v>22070</v>
      </c>
      <c r="V3475" t="s">
        <v>77</v>
      </c>
    </row>
    <row r="3476" spans="1:22">
      <c r="A3476" t="str">
        <f t="shared" si="637"/>
        <v>25/09/2025</v>
      </c>
      <c r="B3476" t="str">
        <f t="shared" si="635"/>
        <v>SAÍDA</v>
      </c>
      <c r="C3476" t="str">
        <f t="shared" si="638"/>
        <v>PIX</v>
      </c>
      <c r="D3476" t="str">
        <f>"22071"</f>
        <v>22071</v>
      </c>
      <c r="E3476" t="str">
        <f t="shared" si="632"/>
        <v>1</v>
      </c>
      <c r="F3476" t="str">
        <f t="shared" si="636"/>
        <v>COM</v>
      </c>
      <c r="G3476" t="str">
        <f>"CLEIDIOMAR RIBEIRO FERREIRA (34)"</f>
        <v>CLEIDIOMAR RIBEIRO FERREIRA (34)</v>
      </c>
      <c r="H3476" t="str">
        <f>"Serv.Prest. 08/09/2025 a 14/09/2025 - PIX: CELULAR - CHAVE: (31) 98511-2851"</f>
        <v>Serv.Prest. 08/09/2025 a 14/09/2025 - PIX: CELULAR - CHAVE: (31) 98511-2851</v>
      </c>
      <c r="I3476" t="str">
        <f t="shared" ref="I3476:I3539" si="639">("25/09/2025")</f>
        <v>25/09/2025</v>
      </c>
      <c r="J3476" t="str">
        <f t="shared" si="634"/>
        <v>16/09/2025</v>
      </c>
      <c r="K3476" t="str">
        <f>("25/09/2025")</f>
        <v>25/09/2025</v>
      </c>
      <c r="L3476">
        <v>1800</v>
      </c>
      <c r="M3476">
        <v>1800</v>
      </c>
      <c r="N3476">
        <v>109</v>
      </c>
      <c r="O3476" t="str">
        <f>"PAGAMENTO DE ENTREGADORES"</f>
        <v>PAGAMENTO DE ENTREGADORES</v>
      </c>
      <c r="P3476">
        <v>1800</v>
      </c>
      <c r="S3476" t="str">
        <f>"BANCO C6 (149)"</f>
        <v>BANCO C6 (149)</v>
      </c>
      <c r="T3476">
        <v>18771</v>
      </c>
      <c r="U3476">
        <v>22071</v>
      </c>
      <c r="V3476" t="s">
        <v>77</v>
      </c>
    </row>
    <row r="3477" spans="1:22">
      <c r="A3477" t="str">
        <f t="shared" si="637"/>
        <v>25/09/2025</v>
      </c>
      <c r="B3477" t="str">
        <f t="shared" si="635"/>
        <v>SAÍDA</v>
      </c>
      <c r="C3477" t="str">
        <f t="shared" si="638"/>
        <v>PIX</v>
      </c>
      <c r="D3477" t="str">
        <f>"22071"</f>
        <v>22071</v>
      </c>
      <c r="E3477" t="str">
        <f t="shared" si="632"/>
        <v>1</v>
      </c>
      <c r="F3477" t="str">
        <f t="shared" si="636"/>
        <v>COM</v>
      </c>
      <c r="G3477" t="str">
        <f>"CLEIDIOMAR RIBEIRO FERREIRA (34)"</f>
        <v>CLEIDIOMAR RIBEIRO FERREIRA (34)</v>
      </c>
      <c r="H3477" t="s">
        <v>966</v>
      </c>
      <c r="I3477" t="str">
        <f t="shared" si="639"/>
        <v>25/09/2025</v>
      </c>
      <c r="J3477" t="str">
        <f t="shared" si="634"/>
        <v>16/09/2025</v>
      </c>
      <c r="K3477">
        <v>45925</v>
      </c>
      <c r="N3477">
        <v>109</v>
      </c>
      <c r="O3477" t="s">
        <v>24</v>
      </c>
      <c r="Q3477">
        <v>1800</v>
      </c>
      <c r="R3477" t="str">
        <f>"FARMÁCIA INDIANA LJ 11 (10008)"</f>
        <v>FARMÁCIA INDIANA LJ 11 (10008)</v>
      </c>
      <c r="S3477" t="s">
        <v>77</v>
      </c>
      <c r="T3477">
        <v>18771</v>
      </c>
      <c r="U3477">
        <v>22071</v>
      </c>
      <c r="V3477" t="s">
        <v>77</v>
      </c>
    </row>
    <row r="3478" spans="1:22">
      <c r="A3478" t="str">
        <f t="shared" si="637"/>
        <v>25/09/2025</v>
      </c>
      <c r="B3478" t="str">
        <f t="shared" si="635"/>
        <v>SAÍDA</v>
      </c>
      <c r="C3478" t="str">
        <f t="shared" si="638"/>
        <v>PIX</v>
      </c>
      <c r="D3478" t="str">
        <f>"22072"</f>
        <v>22072</v>
      </c>
      <c r="E3478" t="str">
        <f t="shared" ref="E3478:E3541" si="640">"1"</f>
        <v>1</v>
      </c>
      <c r="F3478" t="str">
        <f t="shared" si="636"/>
        <v>COM</v>
      </c>
      <c r="G3478" t="str">
        <f>"CRISTIANO XAVIER DA COSTA (269)"</f>
        <v>CRISTIANO XAVIER DA COSTA (269)</v>
      </c>
      <c r="H3478" t="str">
        <f>"Serv.Prest. 08/09/2025 a 14/09/2025 - PIX: CELULAR - CHAVE: (32) 99177-6167"</f>
        <v>Serv.Prest. 08/09/2025 a 14/09/2025 - PIX: CELULAR - CHAVE: (32) 99177-6167</v>
      </c>
      <c r="I3478" t="str">
        <f t="shared" si="639"/>
        <v>25/09/2025</v>
      </c>
      <c r="J3478" t="str">
        <f t="shared" si="634"/>
        <v>16/09/2025</v>
      </c>
      <c r="K3478" t="str">
        <f>("25/09/2025")</f>
        <v>25/09/2025</v>
      </c>
      <c r="L3478">
        <v>1740</v>
      </c>
      <c r="M3478">
        <v>1740</v>
      </c>
      <c r="N3478">
        <v>109</v>
      </c>
      <c r="O3478" t="str">
        <f>"PAGAMENTO DE ENTREGADORES"</f>
        <v>PAGAMENTO DE ENTREGADORES</v>
      </c>
      <c r="P3478">
        <v>1740</v>
      </c>
      <c r="S3478" t="str">
        <f>"BANCO C6 (149)"</f>
        <v>BANCO C6 (149)</v>
      </c>
      <c r="T3478">
        <v>18772</v>
      </c>
      <c r="U3478">
        <v>22072</v>
      </c>
      <c r="V3478" t="s">
        <v>77</v>
      </c>
    </row>
    <row r="3479" spans="1:22">
      <c r="A3479" t="str">
        <f t="shared" si="637"/>
        <v>25/09/2025</v>
      </c>
      <c r="B3479" t="str">
        <f t="shared" si="635"/>
        <v>SAÍDA</v>
      </c>
      <c r="C3479" t="str">
        <f t="shared" si="638"/>
        <v>PIX</v>
      </c>
      <c r="D3479" t="str">
        <f>"22072"</f>
        <v>22072</v>
      </c>
      <c r="E3479" t="str">
        <f t="shared" si="640"/>
        <v>1</v>
      </c>
      <c r="F3479" t="str">
        <f t="shared" si="636"/>
        <v>COM</v>
      </c>
      <c r="G3479" t="str">
        <f>"CRISTIANO XAVIER DA COSTA (269)"</f>
        <v>CRISTIANO XAVIER DA COSTA (269)</v>
      </c>
      <c r="H3479" t="s">
        <v>967</v>
      </c>
      <c r="I3479" t="str">
        <f t="shared" si="639"/>
        <v>25/09/2025</v>
      </c>
      <c r="J3479" t="str">
        <f t="shared" si="634"/>
        <v>16/09/2025</v>
      </c>
      <c r="K3479">
        <v>45925</v>
      </c>
      <c r="N3479">
        <v>109</v>
      </c>
      <c r="O3479" t="s">
        <v>24</v>
      </c>
      <c r="Q3479">
        <v>720.88</v>
      </c>
      <c r="R3479" t="str">
        <f>"FARMÁCIA INDIANA LJ 207 (10088)"</f>
        <v>FARMÁCIA INDIANA LJ 207 (10088)</v>
      </c>
      <c r="S3479" t="s">
        <v>77</v>
      </c>
      <c r="T3479">
        <v>18772</v>
      </c>
      <c r="U3479">
        <v>22072</v>
      </c>
      <c r="V3479" t="s">
        <v>77</v>
      </c>
    </row>
    <row r="3480" spans="1:22">
      <c r="A3480" t="str">
        <f t="shared" si="637"/>
        <v>25/09/2025</v>
      </c>
      <c r="B3480" t="str">
        <f t="shared" si="635"/>
        <v>SAÍDA</v>
      </c>
      <c r="C3480" t="str">
        <f t="shared" si="638"/>
        <v>PIX</v>
      </c>
      <c r="D3480" t="str">
        <f>"22072"</f>
        <v>22072</v>
      </c>
      <c r="E3480" t="str">
        <f t="shared" si="640"/>
        <v>1</v>
      </c>
      <c r="F3480" t="str">
        <f t="shared" si="636"/>
        <v>COM</v>
      </c>
      <c r="G3480" t="str">
        <f>"CRISTIANO XAVIER DA COSTA (269)"</f>
        <v>CRISTIANO XAVIER DA COSTA (269)</v>
      </c>
      <c r="H3480" t="s">
        <v>967</v>
      </c>
      <c r="I3480" t="str">
        <f t="shared" si="639"/>
        <v>25/09/2025</v>
      </c>
      <c r="J3480" t="str">
        <f t="shared" si="634"/>
        <v>16/09/2025</v>
      </c>
      <c r="K3480">
        <v>45925</v>
      </c>
      <c r="N3480">
        <v>109</v>
      </c>
      <c r="O3480" t="s">
        <v>24</v>
      </c>
      <c r="Q3480">
        <v>1019.12</v>
      </c>
      <c r="R3480" t="str">
        <f>"FARMÁCIA INDIANA LJ 209 (10089)"</f>
        <v>FARMÁCIA INDIANA LJ 209 (10089)</v>
      </c>
      <c r="S3480" t="s">
        <v>77</v>
      </c>
      <c r="T3480">
        <v>18772</v>
      </c>
      <c r="U3480">
        <v>22072</v>
      </c>
      <c r="V3480" t="s">
        <v>77</v>
      </c>
    </row>
    <row r="3481" spans="1:22">
      <c r="A3481" t="str">
        <f t="shared" si="637"/>
        <v>25/09/2025</v>
      </c>
      <c r="B3481" t="str">
        <f t="shared" si="635"/>
        <v>SAÍDA</v>
      </c>
      <c r="C3481" t="str">
        <f t="shared" si="638"/>
        <v>PIX</v>
      </c>
      <c r="D3481" t="str">
        <f>"22073"</f>
        <v>22073</v>
      </c>
      <c r="E3481" t="str">
        <f t="shared" si="640"/>
        <v>1</v>
      </c>
      <c r="F3481" t="str">
        <f t="shared" si="636"/>
        <v>COM</v>
      </c>
      <c r="G3481" t="str">
        <f>"DAMÁSIO JOSÉ DO NASCIMENTO NETO (147)"</f>
        <v>DAMÁSIO JOSÉ DO NASCIMENTO NETO (147)</v>
      </c>
      <c r="H3481" t="str">
        <f>"Serv.Prest. 08/09/2025 a 14/09/2025 - PIX: CPF - CHAVE: 110.483.296-82"</f>
        <v>Serv.Prest. 08/09/2025 a 14/09/2025 - PIX: CPF - CHAVE: 110.483.296-82</v>
      </c>
      <c r="I3481" t="str">
        <f t="shared" si="639"/>
        <v>25/09/2025</v>
      </c>
      <c r="J3481" t="str">
        <f t="shared" si="634"/>
        <v>16/09/2025</v>
      </c>
      <c r="K3481" t="str">
        <f>("25/09/2025")</f>
        <v>25/09/2025</v>
      </c>
      <c r="L3481">
        <v>1434</v>
      </c>
      <c r="M3481">
        <v>1434</v>
      </c>
      <c r="N3481">
        <v>109</v>
      </c>
      <c r="O3481" t="str">
        <f>"PAGAMENTO DE ENTREGADORES"</f>
        <v>PAGAMENTO DE ENTREGADORES</v>
      </c>
      <c r="P3481">
        <v>1434</v>
      </c>
      <c r="S3481" t="str">
        <f>"BANCO C6 (149)"</f>
        <v>BANCO C6 (149)</v>
      </c>
      <c r="T3481">
        <v>18773</v>
      </c>
      <c r="U3481">
        <v>22073</v>
      </c>
      <c r="V3481" t="s">
        <v>77</v>
      </c>
    </row>
    <row r="3482" spans="1:22">
      <c r="A3482" t="str">
        <f t="shared" si="637"/>
        <v>25/09/2025</v>
      </c>
      <c r="B3482" t="str">
        <f t="shared" si="635"/>
        <v>SAÍDA</v>
      </c>
      <c r="C3482" t="str">
        <f t="shared" si="638"/>
        <v>PIX</v>
      </c>
      <c r="D3482" t="str">
        <f>"22073"</f>
        <v>22073</v>
      </c>
      <c r="E3482" t="str">
        <f t="shared" si="640"/>
        <v>1</v>
      </c>
      <c r="F3482" t="str">
        <f t="shared" si="636"/>
        <v>COM</v>
      </c>
      <c r="G3482" t="str">
        <f>"DAMÁSIO JOSÉ DO NASCIMENTO NETO (147)"</f>
        <v>DAMÁSIO JOSÉ DO NASCIMENTO NETO (147)</v>
      </c>
      <c r="H3482" t="s">
        <v>968</v>
      </c>
      <c r="I3482" t="str">
        <f t="shared" si="639"/>
        <v>25/09/2025</v>
      </c>
      <c r="J3482" t="str">
        <f t="shared" si="634"/>
        <v>16/09/2025</v>
      </c>
      <c r="K3482">
        <v>45925</v>
      </c>
      <c r="N3482">
        <v>109</v>
      </c>
      <c r="O3482" t="s">
        <v>24</v>
      </c>
      <c r="Q3482">
        <v>1434</v>
      </c>
      <c r="R3482" t="str">
        <f>"FARMÁCIA INDIANA LJ 142 (10066)"</f>
        <v>FARMÁCIA INDIANA LJ 142 (10066)</v>
      </c>
      <c r="S3482" t="s">
        <v>77</v>
      </c>
      <c r="T3482">
        <v>18773</v>
      </c>
      <c r="U3482">
        <v>22073</v>
      </c>
      <c r="V3482" t="s">
        <v>77</v>
      </c>
    </row>
    <row r="3483" spans="1:22">
      <c r="A3483" t="str">
        <f t="shared" si="637"/>
        <v>25/09/2025</v>
      </c>
      <c r="B3483" t="str">
        <f t="shared" si="635"/>
        <v>SAÍDA</v>
      </c>
      <c r="C3483" t="str">
        <f t="shared" si="638"/>
        <v>PIX</v>
      </c>
      <c r="D3483" t="str">
        <f>"22074"</f>
        <v>22074</v>
      </c>
      <c r="E3483" t="str">
        <f t="shared" si="640"/>
        <v>1</v>
      </c>
      <c r="F3483" t="str">
        <f t="shared" si="636"/>
        <v>COM</v>
      </c>
      <c r="G3483" t="str">
        <f>"DANILO WASHINGTON DOS SANTOS (770)"</f>
        <v>DANILO WASHINGTON DOS SANTOS (770)</v>
      </c>
      <c r="H3483" t="str">
        <f>"Serv.Prest. 08/09/2025 a 14/09/2025 - PIX: CELULAR - CHAVE: (33) 98749-5105"</f>
        <v>Serv.Prest. 08/09/2025 a 14/09/2025 - PIX: CELULAR - CHAVE: (33) 98749-5105</v>
      </c>
      <c r="I3483" t="str">
        <f t="shared" si="639"/>
        <v>25/09/2025</v>
      </c>
      <c r="J3483" t="str">
        <f t="shared" si="634"/>
        <v>16/09/2025</v>
      </c>
      <c r="K3483" t="str">
        <f>("25/09/2025")</f>
        <v>25/09/2025</v>
      </c>
      <c r="L3483">
        <v>954</v>
      </c>
      <c r="M3483">
        <v>954</v>
      </c>
      <c r="N3483">
        <v>109</v>
      </c>
      <c r="O3483" t="str">
        <f>"PAGAMENTO DE ENTREGADORES"</f>
        <v>PAGAMENTO DE ENTREGADORES</v>
      </c>
      <c r="P3483">
        <v>954</v>
      </c>
      <c r="S3483" t="str">
        <f>"BANCO C6 (149)"</f>
        <v>BANCO C6 (149)</v>
      </c>
      <c r="T3483">
        <v>18774</v>
      </c>
      <c r="U3483">
        <v>22074</v>
      </c>
      <c r="V3483" t="s">
        <v>77</v>
      </c>
    </row>
    <row r="3484" spans="1:22">
      <c r="A3484" t="str">
        <f t="shared" si="637"/>
        <v>25/09/2025</v>
      </c>
      <c r="B3484" t="str">
        <f t="shared" si="635"/>
        <v>SAÍDA</v>
      </c>
      <c r="C3484" t="str">
        <f t="shared" si="638"/>
        <v>PIX</v>
      </c>
      <c r="D3484" t="str">
        <f>"22074"</f>
        <v>22074</v>
      </c>
      <c r="E3484" t="str">
        <f t="shared" si="640"/>
        <v>1</v>
      </c>
      <c r="F3484" t="str">
        <f t="shared" si="636"/>
        <v>COM</v>
      </c>
      <c r="G3484" t="str">
        <f>"DANILO WASHINGTON DOS SANTOS (770)"</f>
        <v>DANILO WASHINGTON DOS SANTOS (770)</v>
      </c>
      <c r="H3484" t="s">
        <v>969</v>
      </c>
      <c r="I3484" t="str">
        <f t="shared" si="639"/>
        <v>25/09/2025</v>
      </c>
      <c r="J3484" t="str">
        <f t="shared" si="634"/>
        <v>16/09/2025</v>
      </c>
      <c r="K3484">
        <v>45925</v>
      </c>
      <c r="N3484">
        <v>109</v>
      </c>
      <c r="O3484" t="s">
        <v>24</v>
      </c>
      <c r="Q3484">
        <v>954</v>
      </c>
      <c r="R3484" t="str">
        <f>"FARMÁCIA INDIANA LJ 07 (10007)"</f>
        <v>FARMÁCIA INDIANA LJ 07 (10007)</v>
      </c>
      <c r="S3484" t="s">
        <v>77</v>
      </c>
      <c r="T3484">
        <v>18774</v>
      </c>
      <c r="U3484">
        <v>22074</v>
      </c>
      <c r="V3484" t="s">
        <v>77</v>
      </c>
    </row>
    <row r="3485" spans="1:22">
      <c r="A3485" t="str">
        <f t="shared" si="637"/>
        <v>25/09/2025</v>
      </c>
      <c r="B3485" t="str">
        <f t="shared" si="635"/>
        <v>SAÍDA</v>
      </c>
      <c r="C3485" t="str">
        <f t="shared" si="638"/>
        <v>PIX</v>
      </c>
      <c r="D3485" t="str">
        <f>"22075"</f>
        <v>22075</v>
      </c>
      <c r="E3485" t="str">
        <f t="shared" si="640"/>
        <v>1</v>
      </c>
      <c r="F3485" t="str">
        <f t="shared" si="636"/>
        <v>COM</v>
      </c>
      <c r="G3485" t="str">
        <f>"DANTE SOARES DA SILVA (416)"</f>
        <v>DANTE SOARES DA SILVA (416)</v>
      </c>
      <c r="H3485" t="str">
        <f>"Serv.Prest. 08/09/2025 a 14/09/2025 - PIX: CELULAR - CHAVE: (33) 99802-1883"</f>
        <v>Serv.Prest. 08/09/2025 a 14/09/2025 - PIX: CELULAR - CHAVE: (33) 99802-1883</v>
      </c>
      <c r="I3485" t="str">
        <f t="shared" si="639"/>
        <v>25/09/2025</v>
      </c>
      <c r="J3485" t="str">
        <f t="shared" si="634"/>
        <v>16/09/2025</v>
      </c>
      <c r="K3485" t="str">
        <f>("25/09/2025")</f>
        <v>25/09/2025</v>
      </c>
      <c r="L3485">
        <v>607.6</v>
      </c>
      <c r="M3485">
        <v>607.6</v>
      </c>
      <c r="N3485">
        <v>109</v>
      </c>
      <c r="O3485" t="str">
        <f>"PAGAMENTO DE ENTREGADORES"</f>
        <v>PAGAMENTO DE ENTREGADORES</v>
      </c>
      <c r="P3485">
        <v>607.6</v>
      </c>
      <c r="S3485" t="str">
        <f>"BANCO C6 (149)"</f>
        <v>BANCO C6 (149)</v>
      </c>
      <c r="T3485">
        <v>18775</v>
      </c>
      <c r="U3485">
        <v>22075</v>
      </c>
      <c r="V3485" t="s">
        <v>77</v>
      </c>
    </row>
    <row r="3486" spans="1:22">
      <c r="A3486" t="str">
        <f t="shared" si="637"/>
        <v>25/09/2025</v>
      </c>
      <c r="B3486" t="str">
        <f t="shared" si="635"/>
        <v>SAÍDA</v>
      </c>
      <c r="C3486" t="str">
        <f t="shared" si="638"/>
        <v>PIX</v>
      </c>
      <c r="D3486" t="str">
        <f>"22075"</f>
        <v>22075</v>
      </c>
      <c r="E3486" t="str">
        <f t="shared" si="640"/>
        <v>1</v>
      </c>
      <c r="F3486" t="str">
        <f t="shared" si="636"/>
        <v>COM</v>
      </c>
      <c r="G3486" t="str">
        <f>"DANTE SOARES DA SILVA (416)"</f>
        <v>DANTE SOARES DA SILVA (416)</v>
      </c>
      <c r="H3486" t="s">
        <v>970</v>
      </c>
      <c r="I3486" t="str">
        <f t="shared" si="639"/>
        <v>25/09/2025</v>
      </c>
      <c r="J3486" t="str">
        <f t="shared" si="634"/>
        <v>16/09/2025</v>
      </c>
      <c r="K3486">
        <v>45925</v>
      </c>
      <c r="N3486">
        <v>109</v>
      </c>
      <c r="O3486" t="s">
        <v>24</v>
      </c>
      <c r="Q3486">
        <v>607.6</v>
      </c>
      <c r="R3486" t="str">
        <f>"FARMÁCIA INDIANA LJ 59 (10026)"</f>
        <v>FARMÁCIA INDIANA LJ 59 (10026)</v>
      </c>
      <c r="S3486" t="s">
        <v>77</v>
      </c>
      <c r="T3486">
        <v>18775</v>
      </c>
      <c r="U3486">
        <v>22075</v>
      </c>
      <c r="V3486" t="s">
        <v>77</v>
      </c>
    </row>
    <row r="3487" spans="1:22">
      <c r="A3487" t="str">
        <f t="shared" si="637"/>
        <v>25/09/2025</v>
      </c>
      <c r="B3487" t="str">
        <f t="shared" si="635"/>
        <v>SAÍDA</v>
      </c>
      <c r="C3487" t="str">
        <f t="shared" si="638"/>
        <v>PIX</v>
      </c>
      <c r="D3487" t="str">
        <f>"22076"</f>
        <v>22076</v>
      </c>
      <c r="E3487" t="str">
        <f t="shared" si="640"/>
        <v>1</v>
      </c>
      <c r="F3487" t="str">
        <f t="shared" si="636"/>
        <v>COM</v>
      </c>
      <c r="G3487" t="str">
        <f>"DEVANILDO PONTES CASAGRANDE (179)"</f>
        <v>DEVANILDO PONTES CASAGRANDE (179)</v>
      </c>
      <c r="H3487" t="str">
        <f>"Serv.Prest. 08/09/2025 a 14/09/2025 - PIX: CELULAR - CHAVE: (31) 99610-7049"</f>
        <v>Serv.Prest. 08/09/2025 a 14/09/2025 - PIX: CELULAR - CHAVE: (31) 99610-7049</v>
      </c>
      <c r="I3487" t="str">
        <f t="shared" si="639"/>
        <v>25/09/2025</v>
      </c>
      <c r="J3487" t="str">
        <f t="shared" si="634"/>
        <v>16/09/2025</v>
      </c>
      <c r="K3487" t="str">
        <f>("25/09/2025")</f>
        <v>25/09/2025</v>
      </c>
      <c r="L3487">
        <v>1056</v>
      </c>
      <c r="M3487">
        <v>1056</v>
      </c>
      <c r="N3487">
        <v>109</v>
      </c>
      <c r="O3487" t="str">
        <f>"PAGAMENTO DE ENTREGADORES"</f>
        <v>PAGAMENTO DE ENTREGADORES</v>
      </c>
      <c r="P3487">
        <v>1056</v>
      </c>
      <c r="S3487" t="str">
        <f>"BANCO C6 (149)"</f>
        <v>BANCO C6 (149)</v>
      </c>
      <c r="T3487">
        <v>18776</v>
      </c>
      <c r="U3487">
        <v>22076</v>
      </c>
      <c r="V3487" t="s">
        <v>77</v>
      </c>
    </row>
    <row r="3488" spans="1:22">
      <c r="A3488" t="str">
        <f t="shared" si="637"/>
        <v>25/09/2025</v>
      </c>
      <c r="B3488" t="str">
        <f t="shared" si="635"/>
        <v>SAÍDA</v>
      </c>
      <c r="C3488" t="str">
        <f t="shared" si="638"/>
        <v>PIX</v>
      </c>
      <c r="D3488" t="str">
        <f>"22076"</f>
        <v>22076</v>
      </c>
      <c r="E3488" t="str">
        <f t="shared" si="640"/>
        <v>1</v>
      </c>
      <c r="F3488" t="str">
        <f t="shared" si="636"/>
        <v>COM</v>
      </c>
      <c r="G3488" t="str">
        <f>"DEVANILDO PONTES CASAGRANDE (179)"</f>
        <v>DEVANILDO PONTES CASAGRANDE (179)</v>
      </c>
      <c r="H3488" t="s">
        <v>971</v>
      </c>
      <c r="I3488" t="str">
        <f t="shared" si="639"/>
        <v>25/09/2025</v>
      </c>
      <c r="J3488" t="str">
        <f t="shared" si="634"/>
        <v>16/09/2025</v>
      </c>
      <c r="K3488">
        <v>45925</v>
      </c>
      <c r="N3488">
        <v>109</v>
      </c>
      <c r="O3488" t="s">
        <v>24</v>
      </c>
      <c r="Q3488">
        <v>1056</v>
      </c>
      <c r="R3488" t="str">
        <f>"FARMÁCIA INDIANA LJ 142 (10066)"</f>
        <v>FARMÁCIA INDIANA LJ 142 (10066)</v>
      </c>
      <c r="S3488" t="s">
        <v>77</v>
      </c>
      <c r="T3488">
        <v>18776</v>
      </c>
      <c r="U3488">
        <v>22076</v>
      </c>
      <c r="V3488" t="s">
        <v>77</v>
      </c>
    </row>
    <row r="3489" spans="1:22">
      <c r="A3489" t="str">
        <f t="shared" si="637"/>
        <v>25/09/2025</v>
      </c>
      <c r="B3489" t="str">
        <f t="shared" si="635"/>
        <v>SAÍDA</v>
      </c>
      <c r="C3489" t="str">
        <f t="shared" si="638"/>
        <v>PIX</v>
      </c>
      <c r="D3489" t="str">
        <f>"22077"</f>
        <v>22077</v>
      </c>
      <c r="E3489" t="str">
        <f t="shared" si="640"/>
        <v>1</v>
      </c>
      <c r="F3489" t="str">
        <f t="shared" si="636"/>
        <v>COM</v>
      </c>
      <c r="G3489" t="str">
        <f>"DHIONATAN BARBOSA SANGY CARVALHO (667)"</f>
        <v>DHIONATAN BARBOSA SANGY CARVALHO (667)</v>
      </c>
      <c r="H3489" t="str">
        <f>"Serv.Prest. 08/09/2025 a 14/09/2025 - PIX: CPF - CHAVE: 180.147.766-31"</f>
        <v>Serv.Prest. 08/09/2025 a 14/09/2025 - PIX: CPF - CHAVE: 180.147.766-31</v>
      </c>
      <c r="I3489" t="str">
        <f t="shared" si="639"/>
        <v>25/09/2025</v>
      </c>
      <c r="J3489" t="str">
        <f t="shared" si="634"/>
        <v>16/09/2025</v>
      </c>
      <c r="K3489" t="str">
        <f>("25/09/2025")</f>
        <v>25/09/2025</v>
      </c>
      <c r="L3489">
        <v>120</v>
      </c>
      <c r="M3489">
        <v>120</v>
      </c>
      <c r="N3489">
        <v>109</v>
      </c>
      <c r="O3489" t="str">
        <f>"PAGAMENTO DE ENTREGADORES"</f>
        <v>PAGAMENTO DE ENTREGADORES</v>
      </c>
      <c r="P3489">
        <v>120</v>
      </c>
      <c r="S3489" t="str">
        <f>"BANCO C6 (149)"</f>
        <v>BANCO C6 (149)</v>
      </c>
      <c r="T3489">
        <v>18777</v>
      </c>
      <c r="U3489">
        <v>22077</v>
      </c>
      <c r="V3489" t="s">
        <v>77</v>
      </c>
    </row>
    <row r="3490" spans="1:22">
      <c r="A3490" t="str">
        <f t="shared" si="637"/>
        <v>25/09/2025</v>
      </c>
      <c r="B3490" t="str">
        <f t="shared" si="635"/>
        <v>SAÍDA</v>
      </c>
      <c r="C3490" t="str">
        <f t="shared" si="638"/>
        <v>PIX</v>
      </c>
      <c r="D3490" t="str">
        <f>"22077"</f>
        <v>22077</v>
      </c>
      <c r="E3490" t="str">
        <f t="shared" si="640"/>
        <v>1</v>
      </c>
      <c r="F3490" t="str">
        <f t="shared" si="636"/>
        <v>COM</v>
      </c>
      <c r="G3490" t="str">
        <f>"DHIONATAN BARBOSA SANGY CARVALHO (667)"</f>
        <v>DHIONATAN BARBOSA SANGY CARVALHO (667)</v>
      </c>
      <c r="H3490" t="s">
        <v>972</v>
      </c>
      <c r="I3490" t="str">
        <f t="shared" si="639"/>
        <v>25/09/2025</v>
      </c>
      <c r="J3490" t="str">
        <f t="shared" si="634"/>
        <v>16/09/2025</v>
      </c>
      <c r="K3490">
        <v>45925</v>
      </c>
      <c r="N3490">
        <v>109</v>
      </c>
      <c r="O3490" t="s">
        <v>24</v>
      </c>
      <c r="Q3490">
        <v>120</v>
      </c>
      <c r="R3490" t="str">
        <f>"FARMÁCIA INDIANA LJ 171 (10074)"</f>
        <v>FARMÁCIA INDIANA LJ 171 (10074)</v>
      </c>
      <c r="S3490" t="s">
        <v>77</v>
      </c>
      <c r="T3490">
        <v>18777</v>
      </c>
      <c r="U3490">
        <v>22077</v>
      </c>
      <c r="V3490" t="s">
        <v>77</v>
      </c>
    </row>
    <row r="3491" spans="1:22">
      <c r="A3491" t="str">
        <f t="shared" si="637"/>
        <v>25/09/2025</v>
      </c>
      <c r="B3491" t="str">
        <f t="shared" si="635"/>
        <v>SAÍDA</v>
      </c>
      <c r="C3491" t="str">
        <f t="shared" si="638"/>
        <v>PIX</v>
      </c>
      <c r="D3491" t="str">
        <f>"22078"</f>
        <v>22078</v>
      </c>
      <c r="E3491" t="str">
        <f t="shared" si="640"/>
        <v>1</v>
      </c>
      <c r="F3491" t="str">
        <f t="shared" si="636"/>
        <v>COM</v>
      </c>
      <c r="G3491" t="str">
        <f>"DIEGO DAYSON FERNANDES VIEIRA (893)"</f>
        <v>DIEGO DAYSON FERNANDES VIEIRA (893)</v>
      </c>
      <c r="H3491" t="str">
        <f>"Serv.Prest. 08/09/2025 a 14/09/2025 - PIX: E-MAIL - CHAVE: turano296801@gmail.com"</f>
        <v>Serv.Prest. 08/09/2025 a 14/09/2025 - PIX: E-MAIL - CHAVE: turano296801@gmail.com</v>
      </c>
      <c r="I3491" t="str">
        <f t="shared" si="639"/>
        <v>25/09/2025</v>
      </c>
      <c r="J3491" t="str">
        <f t="shared" si="634"/>
        <v>16/09/2025</v>
      </c>
      <c r="K3491" t="str">
        <f>("25/09/2025")</f>
        <v>25/09/2025</v>
      </c>
      <c r="L3491">
        <v>800</v>
      </c>
      <c r="M3491">
        <v>800</v>
      </c>
      <c r="N3491">
        <v>109</v>
      </c>
      <c r="O3491" t="str">
        <f>"PAGAMENTO DE ENTREGADORES"</f>
        <v>PAGAMENTO DE ENTREGADORES</v>
      </c>
      <c r="P3491">
        <v>800</v>
      </c>
      <c r="S3491" t="str">
        <f>"BANCO C6 (149)"</f>
        <v>BANCO C6 (149)</v>
      </c>
      <c r="T3491">
        <v>18778</v>
      </c>
      <c r="U3491">
        <v>22078</v>
      </c>
      <c r="V3491" t="s">
        <v>77</v>
      </c>
    </row>
    <row r="3492" spans="1:22">
      <c r="A3492" t="str">
        <f t="shared" si="637"/>
        <v>25/09/2025</v>
      </c>
      <c r="B3492" t="str">
        <f t="shared" si="635"/>
        <v>SAÍDA</v>
      </c>
      <c r="C3492" t="str">
        <f t="shared" si="638"/>
        <v>PIX</v>
      </c>
      <c r="D3492" t="str">
        <f>"22078"</f>
        <v>22078</v>
      </c>
      <c r="E3492" t="str">
        <f t="shared" si="640"/>
        <v>1</v>
      </c>
      <c r="F3492" t="str">
        <f t="shared" si="636"/>
        <v>COM</v>
      </c>
      <c r="G3492" t="str">
        <f>"DIEGO DAYSON FERNANDES VIEIRA (893)"</f>
        <v>DIEGO DAYSON FERNANDES VIEIRA (893)</v>
      </c>
      <c r="H3492" t="s">
        <v>973</v>
      </c>
      <c r="I3492" t="str">
        <f t="shared" si="639"/>
        <v>25/09/2025</v>
      </c>
      <c r="J3492" t="str">
        <f t="shared" si="634"/>
        <v>16/09/2025</v>
      </c>
      <c r="K3492">
        <v>45925</v>
      </c>
      <c r="N3492">
        <v>109</v>
      </c>
      <c r="O3492" t="s">
        <v>24</v>
      </c>
      <c r="Q3492">
        <v>800</v>
      </c>
      <c r="R3492" t="str">
        <f>"FARMÁCIA INDIANA LJ 205 (10150)"</f>
        <v>FARMÁCIA INDIANA LJ 205 (10150)</v>
      </c>
      <c r="S3492" t="s">
        <v>77</v>
      </c>
      <c r="T3492">
        <v>18778</v>
      </c>
      <c r="U3492">
        <v>22078</v>
      </c>
      <c r="V3492" t="s">
        <v>77</v>
      </c>
    </row>
    <row r="3493" spans="1:22">
      <c r="A3493" t="str">
        <f t="shared" si="637"/>
        <v>25/09/2025</v>
      </c>
      <c r="B3493" t="str">
        <f t="shared" si="635"/>
        <v>SAÍDA</v>
      </c>
      <c r="C3493" t="str">
        <f t="shared" si="638"/>
        <v>PIX</v>
      </c>
      <c r="D3493" t="str">
        <f>"22079"</f>
        <v>22079</v>
      </c>
      <c r="E3493" t="str">
        <f t="shared" si="640"/>
        <v>1</v>
      </c>
      <c r="F3493" t="str">
        <f t="shared" si="636"/>
        <v>COM</v>
      </c>
      <c r="G3493" t="str">
        <f>"DIEGO DIRLEY RIBEIRO (38)"</f>
        <v>DIEGO DIRLEY RIBEIRO (38)</v>
      </c>
      <c r="H3493" t="str">
        <f>"Serv.Prest. 08/09/2025 a 14/09/2025 - PIX: CPF - CHAVE: 102.023.716-38"</f>
        <v>Serv.Prest. 08/09/2025 a 14/09/2025 - PIX: CPF - CHAVE: 102.023.716-38</v>
      </c>
      <c r="I3493" t="str">
        <f t="shared" si="639"/>
        <v>25/09/2025</v>
      </c>
      <c r="J3493" t="str">
        <f t="shared" si="634"/>
        <v>16/09/2025</v>
      </c>
      <c r="K3493" t="str">
        <f>("25/09/2025")</f>
        <v>25/09/2025</v>
      </c>
      <c r="L3493">
        <v>1878</v>
      </c>
      <c r="M3493">
        <v>1878</v>
      </c>
      <c r="N3493">
        <v>109</v>
      </c>
      <c r="O3493" t="str">
        <f>"PAGAMENTO DE ENTREGADORES"</f>
        <v>PAGAMENTO DE ENTREGADORES</v>
      </c>
      <c r="P3493">
        <v>1878</v>
      </c>
      <c r="S3493" t="str">
        <f>"BANCO C6 (149)"</f>
        <v>BANCO C6 (149)</v>
      </c>
      <c r="T3493">
        <v>18779</v>
      </c>
      <c r="U3493">
        <v>22079</v>
      </c>
      <c r="V3493" t="s">
        <v>77</v>
      </c>
    </row>
    <row r="3494" spans="1:22">
      <c r="A3494" t="str">
        <f t="shared" si="637"/>
        <v>25/09/2025</v>
      </c>
      <c r="B3494" t="str">
        <f t="shared" si="635"/>
        <v>SAÍDA</v>
      </c>
      <c r="C3494" t="str">
        <f t="shared" si="638"/>
        <v>PIX</v>
      </c>
      <c r="D3494" t="str">
        <f>"22079"</f>
        <v>22079</v>
      </c>
      <c r="E3494" t="str">
        <f t="shared" si="640"/>
        <v>1</v>
      </c>
      <c r="F3494" t="str">
        <f t="shared" si="636"/>
        <v>COM</v>
      </c>
      <c r="G3494" t="str">
        <f>"DIEGO DIRLEY RIBEIRO (38)"</f>
        <v>DIEGO DIRLEY RIBEIRO (38)</v>
      </c>
      <c r="H3494" t="s">
        <v>974</v>
      </c>
      <c r="I3494" t="str">
        <f t="shared" si="639"/>
        <v>25/09/2025</v>
      </c>
      <c r="J3494" t="str">
        <f t="shared" si="634"/>
        <v>16/09/2025</v>
      </c>
      <c r="K3494">
        <v>45925</v>
      </c>
      <c r="N3494">
        <v>109</v>
      </c>
      <c r="O3494" t="s">
        <v>24</v>
      </c>
      <c r="Q3494">
        <v>1878</v>
      </c>
      <c r="R3494" t="str">
        <f>"FARMÁCIA INDIANA LJ 172 (10161)"</f>
        <v>FARMÁCIA INDIANA LJ 172 (10161)</v>
      </c>
      <c r="S3494" t="s">
        <v>77</v>
      </c>
      <c r="T3494">
        <v>18779</v>
      </c>
      <c r="U3494">
        <v>22079</v>
      </c>
      <c r="V3494" t="s">
        <v>77</v>
      </c>
    </row>
    <row r="3495" spans="1:22">
      <c r="A3495" t="str">
        <f t="shared" si="637"/>
        <v>25/09/2025</v>
      </c>
      <c r="B3495" t="str">
        <f t="shared" si="635"/>
        <v>SAÍDA</v>
      </c>
      <c r="C3495" t="str">
        <f t="shared" si="638"/>
        <v>PIX</v>
      </c>
      <c r="D3495" t="str">
        <f>"22080"</f>
        <v>22080</v>
      </c>
      <c r="E3495" t="str">
        <f t="shared" si="640"/>
        <v>1</v>
      </c>
      <c r="F3495" t="str">
        <f t="shared" si="636"/>
        <v>COM</v>
      </c>
      <c r="G3495" t="str">
        <f>"DIONE OLIVEIRA SILVA (214)"</f>
        <v>DIONE OLIVEIRA SILVA (214)</v>
      </c>
      <c r="H3495" t="str">
        <f>"Serv.Prest. 08/09/2025 a 14/09/2025 - PIX: CELULAR - CHAVE: (33) 98890-5095"</f>
        <v>Serv.Prest. 08/09/2025 a 14/09/2025 - PIX: CELULAR - CHAVE: (33) 98890-5095</v>
      </c>
      <c r="I3495" t="str">
        <f t="shared" si="639"/>
        <v>25/09/2025</v>
      </c>
      <c r="J3495" t="str">
        <f t="shared" si="634"/>
        <v>16/09/2025</v>
      </c>
      <c r="K3495" t="str">
        <f>("25/09/2025")</f>
        <v>25/09/2025</v>
      </c>
      <c r="L3495">
        <v>1524</v>
      </c>
      <c r="M3495">
        <v>1524</v>
      </c>
      <c r="N3495">
        <v>109</v>
      </c>
      <c r="O3495" t="str">
        <f>"PAGAMENTO DE ENTREGADORES"</f>
        <v>PAGAMENTO DE ENTREGADORES</v>
      </c>
      <c r="P3495">
        <v>1524</v>
      </c>
      <c r="S3495" t="str">
        <f>"BANCO C6 (149)"</f>
        <v>BANCO C6 (149)</v>
      </c>
      <c r="T3495">
        <v>18780</v>
      </c>
      <c r="U3495">
        <v>22080</v>
      </c>
      <c r="V3495" t="s">
        <v>77</v>
      </c>
    </row>
    <row r="3496" spans="1:22">
      <c r="A3496" t="str">
        <f t="shared" si="637"/>
        <v>25/09/2025</v>
      </c>
      <c r="B3496" t="str">
        <f t="shared" si="635"/>
        <v>SAÍDA</v>
      </c>
      <c r="C3496" t="str">
        <f t="shared" si="638"/>
        <v>PIX</v>
      </c>
      <c r="D3496" t="str">
        <f>"22080"</f>
        <v>22080</v>
      </c>
      <c r="E3496" t="str">
        <f t="shared" si="640"/>
        <v>1</v>
      </c>
      <c r="F3496" t="str">
        <f t="shared" si="636"/>
        <v>COM</v>
      </c>
      <c r="G3496" t="str">
        <f>"DIONE OLIVEIRA SILVA (214)"</f>
        <v>DIONE OLIVEIRA SILVA (214)</v>
      </c>
      <c r="H3496" t="s">
        <v>975</v>
      </c>
      <c r="I3496" t="str">
        <f t="shared" si="639"/>
        <v>25/09/2025</v>
      </c>
      <c r="J3496" t="str">
        <f t="shared" si="634"/>
        <v>16/09/2025</v>
      </c>
      <c r="K3496">
        <v>45925</v>
      </c>
      <c r="N3496">
        <v>109</v>
      </c>
      <c r="O3496" t="s">
        <v>24</v>
      </c>
      <c r="Q3496">
        <v>1524</v>
      </c>
      <c r="R3496" t="str">
        <f>"FARMÁCIA INDIANA LJ 14 (10009)"</f>
        <v>FARMÁCIA INDIANA LJ 14 (10009)</v>
      </c>
      <c r="S3496" t="s">
        <v>77</v>
      </c>
      <c r="T3496">
        <v>18780</v>
      </c>
      <c r="U3496">
        <v>22080</v>
      </c>
      <c r="V3496" t="s">
        <v>77</v>
      </c>
    </row>
    <row r="3497" spans="1:22">
      <c r="A3497" t="str">
        <f t="shared" si="637"/>
        <v>25/09/2025</v>
      </c>
      <c r="B3497" t="str">
        <f t="shared" si="635"/>
        <v>SAÍDA</v>
      </c>
      <c r="C3497" t="str">
        <f t="shared" si="638"/>
        <v>PIX</v>
      </c>
      <c r="D3497" t="str">
        <f>"22081"</f>
        <v>22081</v>
      </c>
      <c r="E3497" t="str">
        <f t="shared" si="640"/>
        <v>1</v>
      </c>
      <c r="F3497" t="str">
        <f t="shared" si="636"/>
        <v>COM</v>
      </c>
      <c r="G3497" t="str">
        <f>"EDIONIO CARVALHO DA SILVA (920)"</f>
        <v>EDIONIO CARVALHO DA SILVA (920)</v>
      </c>
      <c r="H3497" t="str">
        <f>"Serv.Prest. 08/09/2025 a 14/09/2025 - PIX: CELULAR - CHAVE: (33) 99199-7983"</f>
        <v>Serv.Prest. 08/09/2025 a 14/09/2025 - PIX: CELULAR - CHAVE: (33) 99199-7983</v>
      </c>
      <c r="I3497" t="str">
        <f t="shared" si="639"/>
        <v>25/09/2025</v>
      </c>
      <c r="J3497" t="str">
        <f t="shared" si="634"/>
        <v>16/09/2025</v>
      </c>
      <c r="K3497" t="str">
        <f>("25/09/2025")</f>
        <v>25/09/2025</v>
      </c>
      <c r="L3497">
        <v>750</v>
      </c>
      <c r="M3497">
        <v>750</v>
      </c>
      <c r="N3497">
        <v>109</v>
      </c>
      <c r="O3497" t="str">
        <f>"PAGAMENTO DE ENTREGADORES"</f>
        <v>PAGAMENTO DE ENTREGADORES</v>
      </c>
      <c r="P3497">
        <v>750</v>
      </c>
      <c r="S3497" t="str">
        <f>"BANCO C6 (149)"</f>
        <v>BANCO C6 (149)</v>
      </c>
      <c r="T3497">
        <v>18781</v>
      </c>
      <c r="U3497">
        <v>22081</v>
      </c>
      <c r="V3497" t="s">
        <v>77</v>
      </c>
    </row>
    <row r="3498" spans="1:22">
      <c r="A3498" t="str">
        <f t="shared" si="637"/>
        <v>25/09/2025</v>
      </c>
      <c r="B3498" t="str">
        <f t="shared" si="635"/>
        <v>SAÍDA</v>
      </c>
      <c r="C3498" t="str">
        <f t="shared" si="638"/>
        <v>PIX</v>
      </c>
      <c r="D3498" t="str">
        <f>"22081"</f>
        <v>22081</v>
      </c>
      <c r="E3498" t="str">
        <f t="shared" si="640"/>
        <v>1</v>
      </c>
      <c r="F3498" t="str">
        <f t="shared" si="636"/>
        <v>COM</v>
      </c>
      <c r="G3498" t="str">
        <f>"EDIONIO CARVALHO DA SILVA (920)"</f>
        <v>EDIONIO CARVALHO DA SILVA (920)</v>
      </c>
      <c r="H3498" t="s">
        <v>976</v>
      </c>
      <c r="I3498" t="str">
        <f t="shared" si="639"/>
        <v>25/09/2025</v>
      </c>
      <c r="J3498" t="str">
        <f t="shared" si="634"/>
        <v>16/09/2025</v>
      </c>
      <c r="K3498">
        <v>45925</v>
      </c>
      <c r="N3498">
        <v>109</v>
      </c>
      <c r="O3498" t="s">
        <v>24</v>
      </c>
      <c r="Q3498">
        <v>750</v>
      </c>
      <c r="R3498" t="str">
        <f>"FARMÁCIA INDIANA LJ 171 (10074)"</f>
        <v>FARMÁCIA INDIANA LJ 171 (10074)</v>
      </c>
      <c r="S3498" t="s">
        <v>77</v>
      </c>
      <c r="T3498">
        <v>18781</v>
      </c>
      <c r="U3498">
        <v>22081</v>
      </c>
      <c r="V3498" t="s">
        <v>77</v>
      </c>
    </row>
    <row r="3499" spans="1:22">
      <c r="A3499" t="str">
        <f t="shared" si="637"/>
        <v>25/09/2025</v>
      </c>
      <c r="B3499" t="str">
        <f t="shared" si="635"/>
        <v>SAÍDA</v>
      </c>
      <c r="C3499" t="str">
        <f t="shared" si="638"/>
        <v>PIX</v>
      </c>
      <c r="D3499" t="str">
        <f>"22082"</f>
        <v>22082</v>
      </c>
      <c r="E3499" t="str">
        <f t="shared" si="640"/>
        <v>1</v>
      </c>
      <c r="F3499" t="str">
        <f t="shared" si="636"/>
        <v>COM</v>
      </c>
      <c r="G3499" t="str">
        <f>"EDSON JUNIOR FERREIRA DA SILVA (99)"</f>
        <v>EDSON JUNIOR FERREIRA DA SILVA (99)</v>
      </c>
      <c r="H3499" t="str">
        <f>"Serv.Prest. 08/09/2025 a 14/09/2025 - PIX: CPF - CHAVE: 141.134.256-98"</f>
        <v>Serv.Prest. 08/09/2025 a 14/09/2025 - PIX: CPF - CHAVE: 141.134.256-98</v>
      </c>
      <c r="I3499" t="str">
        <f t="shared" si="639"/>
        <v>25/09/2025</v>
      </c>
      <c r="J3499" t="str">
        <f t="shared" si="634"/>
        <v>16/09/2025</v>
      </c>
      <c r="K3499" t="str">
        <f>("25/09/2025")</f>
        <v>25/09/2025</v>
      </c>
      <c r="L3499">
        <v>700.7</v>
      </c>
      <c r="M3499">
        <v>700.7</v>
      </c>
      <c r="N3499">
        <v>109</v>
      </c>
      <c r="O3499" t="str">
        <f>"PAGAMENTO DE ENTREGADORES"</f>
        <v>PAGAMENTO DE ENTREGADORES</v>
      </c>
      <c r="P3499">
        <v>700.7</v>
      </c>
      <c r="S3499" t="str">
        <f>"BANCO C6 (149)"</f>
        <v>BANCO C6 (149)</v>
      </c>
      <c r="T3499">
        <v>18782</v>
      </c>
      <c r="U3499">
        <v>22082</v>
      </c>
      <c r="V3499" t="s">
        <v>77</v>
      </c>
    </row>
    <row r="3500" spans="1:22">
      <c r="A3500" t="str">
        <f t="shared" si="637"/>
        <v>25/09/2025</v>
      </c>
      <c r="B3500" t="str">
        <f t="shared" si="635"/>
        <v>SAÍDA</v>
      </c>
      <c r="C3500" t="str">
        <f t="shared" si="638"/>
        <v>PIX</v>
      </c>
      <c r="D3500" t="str">
        <f>"22082"</f>
        <v>22082</v>
      </c>
      <c r="E3500" t="str">
        <f t="shared" si="640"/>
        <v>1</v>
      </c>
      <c r="F3500" t="str">
        <f t="shared" si="636"/>
        <v>COM</v>
      </c>
      <c r="G3500" t="str">
        <f>"EDSON JUNIOR FERREIRA DA SILVA (99)"</f>
        <v>EDSON JUNIOR FERREIRA DA SILVA (99)</v>
      </c>
      <c r="H3500" t="s">
        <v>977</v>
      </c>
      <c r="I3500" t="str">
        <f t="shared" si="639"/>
        <v>25/09/2025</v>
      </c>
      <c r="J3500" t="str">
        <f t="shared" si="634"/>
        <v>16/09/2025</v>
      </c>
      <c r="K3500">
        <v>45925</v>
      </c>
      <c r="N3500">
        <v>109</v>
      </c>
      <c r="O3500" t="s">
        <v>24</v>
      </c>
      <c r="Q3500">
        <v>700.7</v>
      </c>
      <c r="R3500" t="str">
        <f>"FARMÁCIA INDIANA LJ 100 (10042)"</f>
        <v>FARMÁCIA INDIANA LJ 100 (10042)</v>
      </c>
      <c r="S3500" t="s">
        <v>77</v>
      </c>
      <c r="T3500">
        <v>18782</v>
      </c>
      <c r="U3500">
        <v>22082</v>
      </c>
      <c r="V3500" t="s">
        <v>77</v>
      </c>
    </row>
    <row r="3501" spans="1:22">
      <c r="A3501" t="str">
        <f t="shared" si="637"/>
        <v>25/09/2025</v>
      </c>
      <c r="B3501" t="str">
        <f t="shared" si="635"/>
        <v>SAÍDA</v>
      </c>
      <c r="C3501" t="str">
        <f t="shared" si="638"/>
        <v>PIX</v>
      </c>
      <c r="D3501" t="str">
        <f>"22083"</f>
        <v>22083</v>
      </c>
      <c r="E3501" t="str">
        <f t="shared" si="640"/>
        <v>1</v>
      </c>
      <c r="F3501" t="str">
        <f t="shared" si="636"/>
        <v>COM</v>
      </c>
      <c r="G3501" t="str">
        <f>"EUDES PIMENTA (368)"</f>
        <v>EUDES PIMENTA (368)</v>
      </c>
      <c r="H3501" t="str">
        <f>"Serv.Prest. 08/09/2025 a 14/09/2025 - PIX: CPF - CHAVE: 070.073.316-70"</f>
        <v>Serv.Prest. 08/09/2025 a 14/09/2025 - PIX: CPF - CHAVE: 070.073.316-70</v>
      </c>
      <c r="I3501" t="str">
        <f t="shared" si="639"/>
        <v>25/09/2025</v>
      </c>
      <c r="J3501" t="str">
        <f t="shared" si="634"/>
        <v>16/09/2025</v>
      </c>
      <c r="K3501" t="str">
        <f>("25/09/2025")</f>
        <v>25/09/2025</v>
      </c>
      <c r="L3501">
        <v>1080</v>
      </c>
      <c r="M3501">
        <v>1080</v>
      </c>
      <c r="N3501">
        <v>109</v>
      </c>
      <c r="O3501" t="str">
        <f>"PAGAMENTO DE ENTREGADORES"</f>
        <v>PAGAMENTO DE ENTREGADORES</v>
      </c>
      <c r="P3501">
        <v>1080</v>
      </c>
      <c r="S3501" t="str">
        <f>"BANCO C6 (149)"</f>
        <v>BANCO C6 (149)</v>
      </c>
      <c r="T3501">
        <v>18783</v>
      </c>
      <c r="U3501">
        <v>22083</v>
      </c>
      <c r="V3501" t="s">
        <v>77</v>
      </c>
    </row>
    <row r="3502" spans="1:22">
      <c r="A3502" t="str">
        <f t="shared" si="637"/>
        <v>25/09/2025</v>
      </c>
      <c r="B3502" t="str">
        <f t="shared" si="635"/>
        <v>SAÍDA</v>
      </c>
      <c r="C3502" t="str">
        <f t="shared" si="638"/>
        <v>PIX</v>
      </c>
      <c r="D3502" t="str">
        <f>"22083"</f>
        <v>22083</v>
      </c>
      <c r="E3502" t="str">
        <f t="shared" si="640"/>
        <v>1</v>
      </c>
      <c r="F3502" t="str">
        <f t="shared" si="636"/>
        <v>COM</v>
      </c>
      <c r="G3502" t="str">
        <f>"EUDES PIMENTA (368)"</f>
        <v>EUDES PIMENTA (368)</v>
      </c>
      <c r="H3502" t="s">
        <v>978</v>
      </c>
      <c r="I3502" t="str">
        <f t="shared" si="639"/>
        <v>25/09/2025</v>
      </c>
      <c r="J3502" t="str">
        <f t="shared" si="634"/>
        <v>16/09/2025</v>
      </c>
      <c r="K3502">
        <v>45925</v>
      </c>
      <c r="N3502">
        <v>109</v>
      </c>
      <c r="O3502" t="s">
        <v>24</v>
      </c>
      <c r="Q3502">
        <v>1080</v>
      </c>
      <c r="R3502" t="str">
        <f>"FARMÁCIA INDIANA LJ 06 (10006)"</f>
        <v>FARMÁCIA INDIANA LJ 06 (10006)</v>
      </c>
      <c r="S3502" t="s">
        <v>77</v>
      </c>
      <c r="T3502">
        <v>18783</v>
      </c>
      <c r="U3502">
        <v>22083</v>
      </c>
      <c r="V3502" t="s">
        <v>77</v>
      </c>
    </row>
    <row r="3503" spans="1:22">
      <c r="A3503" t="str">
        <f t="shared" si="637"/>
        <v>25/09/2025</v>
      </c>
      <c r="B3503" t="str">
        <f t="shared" si="635"/>
        <v>SAÍDA</v>
      </c>
      <c r="C3503" t="str">
        <f t="shared" si="638"/>
        <v>PIX</v>
      </c>
      <c r="D3503" t="str">
        <f>"22085"</f>
        <v>22085</v>
      </c>
      <c r="E3503" t="str">
        <f t="shared" si="640"/>
        <v>1</v>
      </c>
      <c r="F3503" t="str">
        <f t="shared" si="636"/>
        <v>COM</v>
      </c>
      <c r="G3503" t="str">
        <f>"FABRICIO RAMON SOARES SANTOS (645)"</f>
        <v>FABRICIO RAMON SOARES SANTOS (645)</v>
      </c>
      <c r="H3503" t="str">
        <f>"Serv.Prest. 08/09/2025 a 14/09/2025 - PIX: CELULAR - CHAVE: (31) 98483-3242"</f>
        <v>Serv.Prest. 08/09/2025 a 14/09/2025 - PIX: CELULAR - CHAVE: (31) 98483-3242</v>
      </c>
      <c r="I3503" t="str">
        <f t="shared" si="639"/>
        <v>25/09/2025</v>
      </c>
      <c r="J3503" t="str">
        <f t="shared" si="634"/>
        <v>16/09/2025</v>
      </c>
      <c r="K3503" t="str">
        <f>("25/09/2025")</f>
        <v>25/09/2025</v>
      </c>
      <c r="L3503">
        <v>1410</v>
      </c>
      <c r="M3503">
        <v>1410</v>
      </c>
      <c r="N3503">
        <v>109</v>
      </c>
      <c r="O3503" t="str">
        <f>"PAGAMENTO DE ENTREGADORES"</f>
        <v>PAGAMENTO DE ENTREGADORES</v>
      </c>
      <c r="P3503">
        <v>1410</v>
      </c>
      <c r="S3503" t="str">
        <f>"BANCO C6 (149)"</f>
        <v>BANCO C6 (149)</v>
      </c>
      <c r="T3503">
        <v>18784</v>
      </c>
      <c r="U3503">
        <v>22085</v>
      </c>
      <c r="V3503" t="s">
        <v>77</v>
      </c>
    </row>
    <row r="3504" spans="1:22">
      <c r="A3504" t="str">
        <f t="shared" si="637"/>
        <v>25/09/2025</v>
      </c>
      <c r="B3504" t="str">
        <f t="shared" si="635"/>
        <v>SAÍDA</v>
      </c>
      <c r="C3504" t="str">
        <f t="shared" si="638"/>
        <v>PIX</v>
      </c>
      <c r="D3504" t="str">
        <f>"22085"</f>
        <v>22085</v>
      </c>
      <c r="E3504" t="str">
        <f t="shared" si="640"/>
        <v>1</v>
      </c>
      <c r="F3504" t="str">
        <f t="shared" si="636"/>
        <v>COM</v>
      </c>
      <c r="G3504" t="str">
        <f>"FABRICIO RAMON SOARES SANTOS (645)"</f>
        <v>FABRICIO RAMON SOARES SANTOS (645)</v>
      </c>
      <c r="H3504" t="s">
        <v>979</v>
      </c>
      <c r="I3504" t="str">
        <f t="shared" si="639"/>
        <v>25/09/2025</v>
      </c>
      <c r="J3504" t="str">
        <f t="shared" si="634"/>
        <v>16/09/2025</v>
      </c>
      <c r="K3504">
        <v>45925</v>
      </c>
      <c r="N3504">
        <v>109</v>
      </c>
      <c r="O3504" t="s">
        <v>24</v>
      </c>
      <c r="Q3504">
        <v>1410</v>
      </c>
      <c r="R3504" t="str">
        <f>"FARMÁCIA INDIANA LJ 101 (10043)"</f>
        <v>FARMÁCIA INDIANA LJ 101 (10043)</v>
      </c>
      <c r="S3504" t="s">
        <v>77</v>
      </c>
      <c r="T3504">
        <v>18784</v>
      </c>
      <c r="U3504">
        <v>22085</v>
      </c>
      <c r="V3504" t="s">
        <v>77</v>
      </c>
    </row>
    <row r="3505" spans="1:22">
      <c r="A3505" t="str">
        <f t="shared" si="637"/>
        <v>25/09/2025</v>
      </c>
      <c r="B3505" t="str">
        <f t="shared" si="635"/>
        <v>SAÍDA</v>
      </c>
      <c r="C3505" t="str">
        <f t="shared" si="638"/>
        <v>PIX</v>
      </c>
      <c r="D3505" t="str">
        <f>"22086"</f>
        <v>22086</v>
      </c>
      <c r="E3505" t="str">
        <f t="shared" si="640"/>
        <v>1</v>
      </c>
      <c r="F3505" t="str">
        <f t="shared" si="636"/>
        <v>COM</v>
      </c>
      <c r="G3505" t="str">
        <f>"GABRIEL DA SILVA REIS (824)"</f>
        <v>GABRIEL DA SILVA REIS (824)</v>
      </c>
      <c r="H3505" t="str">
        <f>"Serv.Prest. 08/09/2025 a 14/09/2025 - PIX: CPF - CHAVE: 160.160.216-28"</f>
        <v>Serv.Prest. 08/09/2025 a 14/09/2025 - PIX: CPF - CHAVE: 160.160.216-28</v>
      </c>
      <c r="I3505" t="str">
        <f t="shared" si="639"/>
        <v>25/09/2025</v>
      </c>
      <c r="J3505" t="str">
        <f t="shared" si="634"/>
        <v>16/09/2025</v>
      </c>
      <c r="K3505" t="str">
        <f>("25/09/2025")</f>
        <v>25/09/2025</v>
      </c>
      <c r="L3505">
        <v>700.7</v>
      </c>
      <c r="M3505">
        <v>700.7</v>
      </c>
      <c r="N3505">
        <v>109</v>
      </c>
      <c r="O3505" t="str">
        <f>"PAGAMENTO DE ENTREGADORES"</f>
        <v>PAGAMENTO DE ENTREGADORES</v>
      </c>
      <c r="P3505">
        <v>700.7</v>
      </c>
      <c r="S3505" t="str">
        <f>"BANCO C6 (149)"</f>
        <v>BANCO C6 (149)</v>
      </c>
      <c r="T3505">
        <v>18785</v>
      </c>
      <c r="U3505">
        <v>22086</v>
      </c>
      <c r="V3505" t="s">
        <v>77</v>
      </c>
    </row>
    <row r="3506" spans="1:22">
      <c r="A3506" t="str">
        <f t="shared" si="637"/>
        <v>25/09/2025</v>
      </c>
      <c r="B3506" t="str">
        <f t="shared" si="635"/>
        <v>SAÍDA</v>
      </c>
      <c r="C3506" t="str">
        <f t="shared" si="638"/>
        <v>PIX</v>
      </c>
      <c r="D3506" t="str">
        <f>"22086"</f>
        <v>22086</v>
      </c>
      <c r="E3506" t="str">
        <f t="shared" si="640"/>
        <v>1</v>
      </c>
      <c r="F3506" t="str">
        <f t="shared" si="636"/>
        <v>COM</v>
      </c>
      <c r="G3506" t="str">
        <f>"GABRIEL DA SILVA REIS (824)"</f>
        <v>GABRIEL DA SILVA REIS (824)</v>
      </c>
      <c r="H3506" t="s">
        <v>980</v>
      </c>
      <c r="I3506" t="str">
        <f t="shared" si="639"/>
        <v>25/09/2025</v>
      </c>
      <c r="J3506" t="str">
        <f t="shared" si="634"/>
        <v>16/09/2025</v>
      </c>
      <c r="K3506">
        <v>45925</v>
      </c>
      <c r="N3506">
        <v>109</v>
      </c>
      <c r="O3506" t="s">
        <v>24</v>
      </c>
      <c r="Q3506">
        <v>700.7</v>
      </c>
      <c r="R3506" t="str">
        <f>"FARMÁCIA INDIANA LJ 100 (10042)"</f>
        <v>FARMÁCIA INDIANA LJ 100 (10042)</v>
      </c>
      <c r="S3506" t="s">
        <v>77</v>
      </c>
      <c r="T3506">
        <v>18785</v>
      </c>
      <c r="U3506">
        <v>22086</v>
      </c>
      <c r="V3506" t="s">
        <v>77</v>
      </c>
    </row>
    <row r="3507" spans="1:22">
      <c r="A3507" t="str">
        <f t="shared" si="637"/>
        <v>25/09/2025</v>
      </c>
      <c r="B3507" t="str">
        <f t="shared" si="635"/>
        <v>SAÍDA</v>
      </c>
      <c r="C3507" t="str">
        <f t="shared" si="638"/>
        <v>PIX</v>
      </c>
      <c r="D3507" t="str">
        <f>"22087"</f>
        <v>22087</v>
      </c>
      <c r="E3507" t="str">
        <f t="shared" si="640"/>
        <v>1</v>
      </c>
      <c r="F3507" t="str">
        <f t="shared" si="636"/>
        <v>COM</v>
      </c>
      <c r="G3507" t="str">
        <f>"GABRIEL SOARES VIEIRA (18)"</f>
        <v>GABRIEL SOARES VIEIRA (18)</v>
      </c>
      <c r="H3507" t="str">
        <f>"Serv.Prest. 08/09/2025 a 14/09/2025 - PIX: CPF - CHAVE: 179.800.027-09"</f>
        <v>Serv.Prest. 08/09/2025 a 14/09/2025 - PIX: CPF - CHAVE: 179.800.027-09</v>
      </c>
      <c r="I3507" t="str">
        <f t="shared" si="639"/>
        <v>25/09/2025</v>
      </c>
      <c r="J3507" t="str">
        <f t="shared" si="634"/>
        <v>16/09/2025</v>
      </c>
      <c r="K3507" t="str">
        <f>("25/09/2025")</f>
        <v>25/09/2025</v>
      </c>
      <c r="L3507">
        <v>1662</v>
      </c>
      <c r="M3507">
        <v>1662</v>
      </c>
      <c r="N3507">
        <v>109</v>
      </c>
      <c r="O3507" t="str">
        <f>"PAGAMENTO DE ENTREGADORES"</f>
        <v>PAGAMENTO DE ENTREGADORES</v>
      </c>
      <c r="P3507">
        <v>1662</v>
      </c>
      <c r="S3507" t="str">
        <f>"BANCO C6 (149)"</f>
        <v>BANCO C6 (149)</v>
      </c>
      <c r="T3507">
        <v>18786</v>
      </c>
      <c r="U3507">
        <v>22087</v>
      </c>
      <c r="V3507" t="s">
        <v>77</v>
      </c>
    </row>
    <row r="3508" spans="1:22">
      <c r="A3508" t="str">
        <f t="shared" si="637"/>
        <v>25/09/2025</v>
      </c>
      <c r="B3508" t="str">
        <f t="shared" si="635"/>
        <v>SAÍDA</v>
      </c>
      <c r="C3508" t="str">
        <f t="shared" si="638"/>
        <v>PIX</v>
      </c>
      <c r="D3508" t="str">
        <f>"22087"</f>
        <v>22087</v>
      </c>
      <c r="E3508" t="str">
        <f t="shared" si="640"/>
        <v>1</v>
      </c>
      <c r="F3508" t="str">
        <f t="shared" si="636"/>
        <v>COM</v>
      </c>
      <c r="G3508" t="str">
        <f>"GABRIEL SOARES VIEIRA (18)"</f>
        <v>GABRIEL SOARES VIEIRA (18)</v>
      </c>
      <c r="H3508" t="s">
        <v>854</v>
      </c>
      <c r="I3508" t="str">
        <f t="shared" si="639"/>
        <v>25/09/2025</v>
      </c>
      <c r="J3508" t="str">
        <f t="shared" si="634"/>
        <v>16/09/2025</v>
      </c>
      <c r="K3508">
        <v>45925</v>
      </c>
      <c r="N3508">
        <v>109</v>
      </c>
      <c r="O3508" t="s">
        <v>24</v>
      </c>
      <c r="Q3508">
        <v>1655.19</v>
      </c>
      <c r="R3508" t="str">
        <f>"FARMÁCIA INDIANA LJ 40 (10016)"</f>
        <v>FARMÁCIA INDIANA LJ 40 (10016)</v>
      </c>
      <c r="S3508" t="s">
        <v>77</v>
      </c>
      <c r="T3508">
        <v>18786</v>
      </c>
      <c r="U3508">
        <v>22087</v>
      </c>
      <c r="V3508" t="s">
        <v>77</v>
      </c>
    </row>
    <row r="3509" spans="1:22">
      <c r="A3509" t="str">
        <f t="shared" si="637"/>
        <v>25/09/2025</v>
      </c>
      <c r="B3509" t="str">
        <f t="shared" si="635"/>
        <v>SAÍDA</v>
      </c>
      <c r="C3509" t="str">
        <f t="shared" si="638"/>
        <v>PIX</v>
      </c>
      <c r="D3509" t="str">
        <f>"22087"</f>
        <v>22087</v>
      </c>
      <c r="E3509" t="str">
        <f t="shared" si="640"/>
        <v>1</v>
      </c>
      <c r="F3509" t="str">
        <f t="shared" si="636"/>
        <v>COM</v>
      </c>
      <c r="G3509" t="str">
        <f>"GABRIEL SOARES VIEIRA (18)"</f>
        <v>GABRIEL SOARES VIEIRA (18)</v>
      </c>
      <c r="H3509" t="s">
        <v>854</v>
      </c>
      <c r="I3509" t="str">
        <f t="shared" si="639"/>
        <v>25/09/2025</v>
      </c>
      <c r="J3509" t="str">
        <f t="shared" ref="J3509:J3572" si="641">("16/09/2025")</f>
        <v>16/09/2025</v>
      </c>
      <c r="K3509">
        <v>45925</v>
      </c>
      <c r="N3509">
        <v>109</v>
      </c>
      <c r="O3509" t="s">
        <v>24</v>
      </c>
      <c r="Q3509">
        <v>6.81</v>
      </c>
      <c r="R3509" t="str">
        <f>"FARMÁCIA INDIANA LJ 61 (10027)"</f>
        <v>FARMÁCIA INDIANA LJ 61 (10027)</v>
      </c>
      <c r="S3509" t="s">
        <v>77</v>
      </c>
      <c r="T3509">
        <v>18786</v>
      </c>
      <c r="U3509">
        <v>22087</v>
      </c>
      <c r="V3509" t="s">
        <v>77</v>
      </c>
    </row>
    <row r="3510" spans="1:22">
      <c r="A3510" t="str">
        <f t="shared" si="637"/>
        <v>25/09/2025</v>
      </c>
      <c r="B3510" t="str">
        <f t="shared" si="635"/>
        <v>SAÍDA</v>
      </c>
      <c r="C3510" t="str">
        <f t="shared" si="638"/>
        <v>PIX</v>
      </c>
      <c r="D3510" t="str">
        <f>"22089"</f>
        <v>22089</v>
      </c>
      <c r="E3510" t="str">
        <f t="shared" si="640"/>
        <v>1</v>
      </c>
      <c r="F3510" t="str">
        <f t="shared" si="636"/>
        <v>COM</v>
      </c>
      <c r="G3510" t="str">
        <f>"GILNEI MENDES COELHO (195)"</f>
        <v>GILNEI MENDES COELHO (195)</v>
      </c>
      <c r="H3510" t="str">
        <f>"Serv.Prest. 08/09/2025 a 14/09/2025 - PIX: CPF - CHAVE: 386.313.426-53"</f>
        <v>Serv.Prest. 08/09/2025 a 14/09/2025 - PIX: CPF - CHAVE: 386.313.426-53</v>
      </c>
      <c r="I3510" t="str">
        <f t="shared" si="639"/>
        <v>25/09/2025</v>
      </c>
      <c r="J3510" t="str">
        <f t="shared" si="641"/>
        <v>16/09/2025</v>
      </c>
      <c r="K3510" t="str">
        <f>("25/09/2025")</f>
        <v>25/09/2025</v>
      </c>
      <c r="L3510">
        <v>1080</v>
      </c>
      <c r="M3510">
        <v>1080</v>
      </c>
      <c r="N3510">
        <v>109</v>
      </c>
      <c r="O3510" t="str">
        <f>"PAGAMENTO DE ENTREGADORES"</f>
        <v>PAGAMENTO DE ENTREGADORES</v>
      </c>
      <c r="P3510">
        <v>1080</v>
      </c>
      <c r="S3510" t="str">
        <f>"BANCO C6 (149)"</f>
        <v>BANCO C6 (149)</v>
      </c>
      <c r="T3510">
        <v>18787</v>
      </c>
      <c r="U3510">
        <v>22089</v>
      </c>
      <c r="V3510" t="s">
        <v>77</v>
      </c>
    </row>
    <row r="3511" spans="1:22">
      <c r="A3511" t="str">
        <f t="shared" si="637"/>
        <v>25/09/2025</v>
      </c>
      <c r="B3511" t="str">
        <f t="shared" si="635"/>
        <v>SAÍDA</v>
      </c>
      <c r="C3511" t="str">
        <f t="shared" si="638"/>
        <v>PIX</v>
      </c>
      <c r="D3511" t="str">
        <f>"22089"</f>
        <v>22089</v>
      </c>
      <c r="E3511" t="str">
        <f t="shared" si="640"/>
        <v>1</v>
      </c>
      <c r="F3511" t="str">
        <f t="shared" si="636"/>
        <v>COM</v>
      </c>
      <c r="G3511" t="str">
        <f>"GILNEI MENDES COELHO (195)"</f>
        <v>GILNEI MENDES COELHO (195)</v>
      </c>
      <c r="H3511" t="s">
        <v>981</v>
      </c>
      <c r="I3511" t="str">
        <f t="shared" si="639"/>
        <v>25/09/2025</v>
      </c>
      <c r="J3511" t="str">
        <f t="shared" si="641"/>
        <v>16/09/2025</v>
      </c>
      <c r="K3511">
        <v>45925</v>
      </c>
      <c r="N3511">
        <v>109</v>
      </c>
      <c r="O3511" t="s">
        <v>24</v>
      </c>
      <c r="Q3511">
        <v>1080</v>
      </c>
      <c r="R3511" t="str">
        <f>"FARMÁCIA INDIANA LJ 06 (10006)"</f>
        <v>FARMÁCIA INDIANA LJ 06 (10006)</v>
      </c>
      <c r="S3511" t="s">
        <v>77</v>
      </c>
      <c r="T3511">
        <v>18787</v>
      </c>
      <c r="U3511">
        <v>22089</v>
      </c>
      <c r="V3511" t="s">
        <v>77</v>
      </c>
    </row>
    <row r="3512" spans="1:22">
      <c r="A3512" t="str">
        <f t="shared" si="637"/>
        <v>25/09/2025</v>
      </c>
      <c r="B3512" t="str">
        <f t="shared" si="635"/>
        <v>SAÍDA</v>
      </c>
      <c r="C3512" t="str">
        <f t="shared" si="638"/>
        <v>PIX</v>
      </c>
      <c r="D3512" t="str">
        <f>"22090"</f>
        <v>22090</v>
      </c>
      <c r="E3512" t="str">
        <f t="shared" si="640"/>
        <v>1</v>
      </c>
      <c r="F3512" t="str">
        <f t="shared" si="636"/>
        <v>COM</v>
      </c>
      <c r="G3512" t="str">
        <f>"GUILHERME QUINTINO DA ROCHA (199)"</f>
        <v>GUILHERME QUINTINO DA ROCHA (199)</v>
      </c>
      <c r="H3512" t="str">
        <f>"Serv.Prest. 08/09/2025 a 14/09/2025 - PIX: CELULAR - CHAVE: (33) 99706-4860"</f>
        <v>Serv.Prest. 08/09/2025 a 14/09/2025 - PIX: CELULAR - CHAVE: (33) 99706-4860</v>
      </c>
      <c r="I3512" t="str">
        <f t="shared" si="639"/>
        <v>25/09/2025</v>
      </c>
      <c r="J3512" t="str">
        <f t="shared" si="641"/>
        <v>16/09/2025</v>
      </c>
      <c r="K3512" t="str">
        <f>("25/09/2025")</f>
        <v>25/09/2025</v>
      </c>
      <c r="L3512">
        <v>1104</v>
      </c>
      <c r="M3512">
        <v>1104</v>
      </c>
      <c r="N3512">
        <v>109</v>
      </c>
      <c r="O3512" t="str">
        <f>"PAGAMENTO DE ENTREGADORES"</f>
        <v>PAGAMENTO DE ENTREGADORES</v>
      </c>
      <c r="P3512">
        <v>1104</v>
      </c>
      <c r="S3512" t="str">
        <f>"BANCO C6 (149)"</f>
        <v>BANCO C6 (149)</v>
      </c>
      <c r="T3512">
        <v>18788</v>
      </c>
      <c r="U3512">
        <v>22090</v>
      </c>
      <c r="V3512" t="s">
        <v>77</v>
      </c>
    </row>
    <row r="3513" spans="1:22">
      <c r="A3513" t="str">
        <f t="shared" si="637"/>
        <v>25/09/2025</v>
      </c>
      <c r="B3513" t="str">
        <f t="shared" si="635"/>
        <v>SAÍDA</v>
      </c>
      <c r="C3513" t="str">
        <f t="shared" si="638"/>
        <v>PIX</v>
      </c>
      <c r="D3513" t="str">
        <f>"22090"</f>
        <v>22090</v>
      </c>
      <c r="E3513" t="str">
        <f t="shared" si="640"/>
        <v>1</v>
      </c>
      <c r="F3513" t="str">
        <f t="shared" si="636"/>
        <v>COM</v>
      </c>
      <c r="G3513" t="str">
        <f>"GUILHERME QUINTINO DA ROCHA (199)"</f>
        <v>GUILHERME QUINTINO DA ROCHA (199)</v>
      </c>
      <c r="H3513" t="s">
        <v>982</v>
      </c>
      <c r="I3513" t="str">
        <f t="shared" si="639"/>
        <v>25/09/2025</v>
      </c>
      <c r="J3513" t="str">
        <f t="shared" si="641"/>
        <v>16/09/2025</v>
      </c>
      <c r="K3513">
        <v>45925</v>
      </c>
      <c r="N3513">
        <v>109</v>
      </c>
      <c r="O3513" t="s">
        <v>24</v>
      </c>
      <c r="Q3513">
        <v>1104</v>
      </c>
      <c r="R3513" t="str">
        <f>"FARMÁCIA INDIANA LJ 06 (10006)"</f>
        <v>FARMÁCIA INDIANA LJ 06 (10006)</v>
      </c>
      <c r="S3513" t="s">
        <v>77</v>
      </c>
      <c r="T3513">
        <v>18788</v>
      </c>
      <c r="U3513">
        <v>22090</v>
      </c>
      <c r="V3513" t="s">
        <v>77</v>
      </c>
    </row>
    <row r="3514" spans="1:22">
      <c r="A3514" t="str">
        <f t="shared" si="637"/>
        <v>25/09/2025</v>
      </c>
      <c r="B3514" t="str">
        <f t="shared" si="635"/>
        <v>SAÍDA</v>
      </c>
      <c r="C3514" t="str">
        <f t="shared" si="638"/>
        <v>PIX</v>
      </c>
      <c r="D3514" t="str">
        <f>"22091"</f>
        <v>22091</v>
      </c>
      <c r="E3514" t="str">
        <f t="shared" si="640"/>
        <v>1</v>
      </c>
      <c r="F3514" t="str">
        <f t="shared" si="636"/>
        <v>COM</v>
      </c>
      <c r="G3514" t="str">
        <f>"GUSTAVO ALVES DE ARAÚJO (298)"</f>
        <v>GUSTAVO ALVES DE ARAÚJO (298)</v>
      </c>
      <c r="H3514" t="str">
        <f>"Serv.Prest. 08/09/2025 a 14/09/2025 - PIX: CELULAR - CHAVE: (31) 99816-8965"</f>
        <v>Serv.Prest. 08/09/2025 a 14/09/2025 - PIX: CELULAR - CHAVE: (31) 99816-8965</v>
      </c>
      <c r="I3514" t="str">
        <f t="shared" si="639"/>
        <v>25/09/2025</v>
      </c>
      <c r="J3514" t="str">
        <f t="shared" si="641"/>
        <v>16/09/2025</v>
      </c>
      <c r="K3514" t="str">
        <f>("25/09/2025")</f>
        <v>25/09/2025</v>
      </c>
      <c r="L3514">
        <v>1122</v>
      </c>
      <c r="M3514">
        <v>1122</v>
      </c>
      <c r="N3514">
        <v>109</v>
      </c>
      <c r="O3514" t="str">
        <f>"PAGAMENTO DE ENTREGADORES"</f>
        <v>PAGAMENTO DE ENTREGADORES</v>
      </c>
      <c r="P3514">
        <v>1122</v>
      </c>
      <c r="S3514" t="str">
        <f>"BANCO C6 (149)"</f>
        <v>BANCO C6 (149)</v>
      </c>
      <c r="T3514">
        <v>18789</v>
      </c>
      <c r="U3514">
        <v>22091</v>
      </c>
      <c r="V3514" t="s">
        <v>77</v>
      </c>
    </row>
    <row r="3515" spans="1:22">
      <c r="A3515" t="str">
        <f t="shared" si="637"/>
        <v>25/09/2025</v>
      </c>
      <c r="B3515" t="str">
        <f t="shared" si="635"/>
        <v>SAÍDA</v>
      </c>
      <c r="C3515" t="str">
        <f t="shared" si="638"/>
        <v>PIX</v>
      </c>
      <c r="D3515" t="str">
        <f>"22091"</f>
        <v>22091</v>
      </c>
      <c r="E3515" t="str">
        <f t="shared" si="640"/>
        <v>1</v>
      </c>
      <c r="F3515" t="str">
        <f t="shared" si="636"/>
        <v>COM</v>
      </c>
      <c r="G3515" t="str">
        <f>"GUSTAVO ALVES DE ARAÚJO (298)"</f>
        <v>GUSTAVO ALVES DE ARAÚJO (298)</v>
      </c>
      <c r="H3515" t="s">
        <v>983</v>
      </c>
      <c r="I3515" t="str">
        <f t="shared" si="639"/>
        <v>25/09/2025</v>
      </c>
      <c r="J3515" t="str">
        <f t="shared" si="641"/>
        <v>16/09/2025</v>
      </c>
      <c r="K3515">
        <v>45925</v>
      </c>
      <c r="N3515">
        <v>109</v>
      </c>
      <c r="O3515" t="s">
        <v>24</v>
      </c>
      <c r="Q3515">
        <v>1122</v>
      </c>
      <c r="R3515" t="str">
        <f>"FARMÁCIA INDIANA LJ 172 (10161)"</f>
        <v>FARMÁCIA INDIANA LJ 172 (10161)</v>
      </c>
      <c r="S3515" t="s">
        <v>77</v>
      </c>
      <c r="T3515">
        <v>18789</v>
      </c>
      <c r="U3515">
        <v>22091</v>
      </c>
      <c r="V3515" t="s">
        <v>77</v>
      </c>
    </row>
    <row r="3516" spans="1:22">
      <c r="A3516" t="str">
        <f t="shared" si="637"/>
        <v>25/09/2025</v>
      </c>
      <c r="B3516" t="str">
        <f t="shared" si="635"/>
        <v>SAÍDA</v>
      </c>
      <c r="C3516" t="str">
        <f t="shared" si="638"/>
        <v>PIX</v>
      </c>
      <c r="D3516" t="str">
        <f>"22092"</f>
        <v>22092</v>
      </c>
      <c r="E3516" t="str">
        <f t="shared" si="640"/>
        <v>1</v>
      </c>
      <c r="F3516" t="str">
        <f t="shared" si="636"/>
        <v>COM</v>
      </c>
      <c r="G3516" t="str">
        <f>"GUSTAVO HENRIQUE OLIVEIRA (661)"</f>
        <v>GUSTAVO HENRIQUE OLIVEIRA (661)</v>
      </c>
      <c r="H3516" t="str">
        <f>"Serv.Prest. 08/09/2025 a 14/09/2025 - PIX: CPF - CHAVE: 113.084.266-58"</f>
        <v>Serv.Prest. 08/09/2025 a 14/09/2025 - PIX: CPF - CHAVE: 113.084.266-58</v>
      </c>
      <c r="I3516" t="str">
        <f t="shared" si="639"/>
        <v>25/09/2025</v>
      </c>
      <c r="J3516" t="str">
        <f t="shared" si="641"/>
        <v>16/09/2025</v>
      </c>
      <c r="K3516" t="str">
        <f>("25/09/2025")</f>
        <v>25/09/2025</v>
      </c>
      <c r="L3516">
        <v>702</v>
      </c>
      <c r="M3516">
        <v>702</v>
      </c>
      <c r="N3516">
        <v>109</v>
      </c>
      <c r="O3516" t="str">
        <f>"PAGAMENTO DE ENTREGADORES"</f>
        <v>PAGAMENTO DE ENTREGADORES</v>
      </c>
      <c r="P3516">
        <v>702</v>
      </c>
      <c r="S3516" t="str">
        <f>"BANCO C6 (149)"</f>
        <v>BANCO C6 (149)</v>
      </c>
      <c r="T3516">
        <v>18790</v>
      </c>
      <c r="U3516">
        <v>22092</v>
      </c>
      <c r="V3516" t="s">
        <v>77</v>
      </c>
    </row>
    <row r="3517" spans="1:22">
      <c r="A3517" t="str">
        <f t="shared" si="637"/>
        <v>25/09/2025</v>
      </c>
      <c r="B3517" t="str">
        <f t="shared" ref="B3517:B3580" si="642">"SAÍDA"</f>
        <v>SAÍDA</v>
      </c>
      <c r="C3517" t="str">
        <f t="shared" si="638"/>
        <v>PIX</v>
      </c>
      <c r="D3517" t="str">
        <f>"22092"</f>
        <v>22092</v>
      </c>
      <c r="E3517" t="str">
        <f t="shared" si="640"/>
        <v>1</v>
      </c>
      <c r="F3517" t="str">
        <f t="shared" si="636"/>
        <v>COM</v>
      </c>
      <c r="G3517" t="str">
        <f>"GUSTAVO HENRIQUE OLIVEIRA (661)"</f>
        <v>GUSTAVO HENRIQUE OLIVEIRA (661)</v>
      </c>
      <c r="H3517" t="s">
        <v>984</v>
      </c>
      <c r="I3517" t="str">
        <f t="shared" si="639"/>
        <v>25/09/2025</v>
      </c>
      <c r="J3517" t="str">
        <f t="shared" si="641"/>
        <v>16/09/2025</v>
      </c>
      <c r="K3517">
        <v>45925</v>
      </c>
      <c r="N3517">
        <v>109</v>
      </c>
      <c r="O3517" t="s">
        <v>24</v>
      </c>
      <c r="Q3517">
        <v>702</v>
      </c>
      <c r="R3517" t="str">
        <f>"FARMÁCIA INDIANA LJ 110 (10048)"</f>
        <v>FARMÁCIA INDIANA LJ 110 (10048)</v>
      </c>
      <c r="S3517" t="s">
        <v>77</v>
      </c>
      <c r="T3517">
        <v>18790</v>
      </c>
      <c r="U3517">
        <v>22092</v>
      </c>
      <c r="V3517" t="s">
        <v>77</v>
      </c>
    </row>
    <row r="3518" spans="1:22">
      <c r="A3518" t="str">
        <f t="shared" si="637"/>
        <v>25/09/2025</v>
      </c>
      <c r="B3518" t="str">
        <f t="shared" si="642"/>
        <v>SAÍDA</v>
      </c>
      <c r="C3518" t="str">
        <f t="shared" si="638"/>
        <v>PIX</v>
      </c>
      <c r="D3518" t="str">
        <f>"22094"</f>
        <v>22094</v>
      </c>
      <c r="E3518" t="str">
        <f t="shared" si="640"/>
        <v>1</v>
      </c>
      <c r="F3518" t="str">
        <f t="shared" ref="F3518:F3581" si="643">"COM"</f>
        <v>COM</v>
      </c>
      <c r="G3518" t="str">
        <f>"IVAN SOUZA SANTOS (101)"</f>
        <v>IVAN SOUZA SANTOS (101)</v>
      </c>
      <c r="H3518" t="str">
        <f>"Serv.Prest. 08/09/2025 a 14/09/2025 - PIX: CPF - CHAVE: 067.393.286-92"</f>
        <v>Serv.Prest. 08/09/2025 a 14/09/2025 - PIX: CPF - CHAVE: 067.393.286-92</v>
      </c>
      <c r="I3518" t="str">
        <f t="shared" si="639"/>
        <v>25/09/2025</v>
      </c>
      <c r="J3518" t="str">
        <f t="shared" si="641"/>
        <v>16/09/2025</v>
      </c>
      <c r="K3518" t="str">
        <f>("25/09/2025")</f>
        <v>25/09/2025</v>
      </c>
      <c r="L3518">
        <v>862.4</v>
      </c>
      <c r="M3518">
        <v>862.4</v>
      </c>
      <c r="N3518">
        <v>109</v>
      </c>
      <c r="O3518" t="str">
        <f>"PAGAMENTO DE ENTREGADORES"</f>
        <v>PAGAMENTO DE ENTREGADORES</v>
      </c>
      <c r="P3518">
        <v>862.4</v>
      </c>
      <c r="S3518" t="str">
        <f>"BANCO C6 (149)"</f>
        <v>BANCO C6 (149)</v>
      </c>
      <c r="T3518">
        <v>18791</v>
      </c>
      <c r="U3518">
        <v>22094</v>
      </c>
      <c r="V3518" t="s">
        <v>77</v>
      </c>
    </row>
    <row r="3519" spans="1:22">
      <c r="A3519" t="str">
        <f t="shared" si="637"/>
        <v>25/09/2025</v>
      </c>
      <c r="B3519" t="str">
        <f t="shared" si="642"/>
        <v>SAÍDA</v>
      </c>
      <c r="C3519" t="str">
        <f t="shared" si="638"/>
        <v>PIX</v>
      </c>
      <c r="D3519" t="str">
        <f>"22094"</f>
        <v>22094</v>
      </c>
      <c r="E3519" t="str">
        <f t="shared" si="640"/>
        <v>1</v>
      </c>
      <c r="F3519" t="str">
        <f t="shared" si="643"/>
        <v>COM</v>
      </c>
      <c r="G3519" t="str">
        <f>"IVAN SOUZA SANTOS (101)"</f>
        <v>IVAN SOUZA SANTOS (101)</v>
      </c>
      <c r="H3519" t="s">
        <v>985</v>
      </c>
      <c r="I3519" t="str">
        <f t="shared" si="639"/>
        <v>25/09/2025</v>
      </c>
      <c r="J3519" t="str">
        <f t="shared" si="641"/>
        <v>16/09/2025</v>
      </c>
      <c r="K3519">
        <v>45925</v>
      </c>
      <c r="N3519">
        <v>109</v>
      </c>
      <c r="O3519" t="s">
        <v>24</v>
      </c>
      <c r="Q3519">
        <v>862.4</v>
      </c>
      <c r="R3519" t="str">
        <f>"FARMÁCIA INDIANA LJ 59 (10026)"</f>
        <v>FARMÁCIA INDIANA LJ 59 (10026)</v>
      </c>
      <c r="S3519" t="s">
        <v>77</v>
      </c>
      <c r="T3519">
        <v>18791</v>
      </c>
      <c r="U3519">
        <v>22094</v>
      </c>
      <c r="V3519" t="s">
        <v>77</v>
      </c>
    </row>
    <row r="3520" spans="1:22">
      <c r="A3520" t="str">
        <f t="shared" si="637"/>
        <v>25/09/2025</v>
      </c>
      <c r="B3520" t="str">
        <f t="shared" si="642"/>
        <v>SAÍDA</v>
      </c>
      <c r="C3520" t="str">
        <f t="shared" si="638"/>
        <v>PIX</v>
      </c>
      <c r="D3520" t="str">
        <f>"22095"</f>
        <v>22095</v>
      </c>
      <c r="E3520" t="str">
        <f t="shared" si="640"/>
        <v>1</v>
      </c>
      <c r="F3520" t="str">
        <f t="shared" si="643"/>
        <v>COM</v>
      </c>
      <c r="G3520" t="str">
        <f>"JANDERSON SOUZA ARCANJO (28)"</f>
        <v>JANDERSON SOUZA ARCANJO (28)</v>
      </c>
      <c r="H3520" t="str">
        <f>"Serv.Prest. 08/09/2025 a 14/09/2025 - PIX: CPF - CHAVE: 121.297.376-33"</f>
        <v>Serv.Prest. 08/09/2025 a 14/09/2025 - PIX: CPF - CHAVE: 121.297.376-33</v>
      </c>
      <c r="I3520" t="str">
        <f t="shared" si="639"/>
        <v>25/09/2025</v>
      </c>
      <c r="J3520" t="str">
        <f t="shared" si="641"/>
        <v>16/09/2025</v>
      </c>
      <c r="K3520" t="str">
        <f>("25/09/2025")</f>
        <v>25/09/2025</v>
      </c>
      <c r="L3520">
        <v>2062.5</v>
      </c>
      <c r="M3520">
        <v>2062.5</v>
      </c>
      <c r="N3520">
        <v>109</v>
      </c>
      <c r="O3520" t="str">
        <f>"PAGAMENTO DE ENTREGADORES"</f>
        <v>PAGAMENTO DE ENTREGADORES</v>
      </c>
      <c r="P3520">
        <v>2062.5</v>
      </c>
      <c r="S3520" t="str">
        <f>"BANCO C6 (149)"</f>
        <v>BANCO C6 (149)</v>
      </c>
      <c r="T3520">
        <v>18792</v>
      </c>
      <c r="U3520">
        <v>22095</v>
      </c>
      <c r="V3520" t="s">
        <v>77</v>
      </c>
    </row>
    <row r="3521" spans="1:22">
      <c r="A3521" t="str">
        <f t="shared" si="637"/>
        <v>25/09/2025</v>
      </c>
      <c r="B3521" t="str">
        <f t="shared" si="642"/>
        <v>SAÍDA</v>
      </c>
      <c r="C3521" t="str">
        <f t="shared" si="638"/>
        <v>PIX</v>
      </c>
      <c r="D3521" t="str">
        <f>"22095"</f>
        <v>22095</v>
      </c>
      <c r="E3521" t="str">
        <f t="shared" si="640"/>
        <v>1</v>
      </c>
      <c r="F3521" t="str">
        <f t="shared" si="643"/>
        <v>COM</v>
      </c>
      <c r="G3521" t="str">
        <f>"JANDERSON SOUZA ARCANJO (28)"</f>
        <v>JANDERSON SOUZA ARCANJO (28)</v>
      </c>
      <c r="H3521" t="s">
        <v>986</v>
      </c>
      <c r="I3521" t="str">
        <f t="shared" si="639"/>
        <v>25/09/2025</v>
      </c>
      <c r="J3521" t="str">
        <f t="shared" si="641"/>
        <v>16/09/2025</v>
      </c>
      <c r="K3521">
        <v>45925</v>
      </c>
      <c r="N3521">
        <v>109</v>
      </c>
      <c r="O3521" t="s">
        <v>24</v>
      </c>
      <c r="Q3521">
        <v>2062.5</v>
      </c>
      <c r="R3521" t="str">
        <f>"FARMÁCIA INDIANA LJ 40 (10016)"</f>
        <v>FARMÁCIA INDIANA LJ 40 (10016)</v>
      </c>
      <c r="S3521" t="s">
        <v>77</v>
      </c>
      <c r="T3521">
        <v>18792</v>
      </c>
      <c r="U3521">
        <v>22095</v>
      </c>
      <c r="V3521" t="s">
        <v>77</v>
      </c>
    </row>
    <row r="3522" spans="1:22">
      <c r="A3522" t="str">
        <f t="shared" si="637"/>
        <v>25/09/2025</v>
      </c>
      <c r="B3522" t="str">
        <f t="shared" si="642"/>
        <v>SAÍDA</v>
      </c>
      <c r="C3522" t="str">
        <f t="shared" si="638"/>
        <v>PIX</v>
      </c>
      <c r="D3522" t="str">
        <f>"22096"</f>
        <v>22096</v>
      </c>
      <c r="E3522" t="str">
        <f t="shared" si="640"/>
        <v>1</v>
      </c>
      <c r="F3522" t="str">
        <f t="shared" si="643"/>
        <v>COM</v>
      </c>
      <c r="G3522" t="str">
        <f>"JEFERSON ANDRADE FERREIRA (165)"</f>
        <v>JEFERSON ANDRADE FERREIRA (165)</v>
      </c>
      <c r="H3522" t="str">
        <f>"Serv.Prest. 08/09/2025 a 14/09/2025 - PIX: CPF - CHAVE: 126.873.296-65"</f>
        <v>Serv.Prest. 08/09/2025 a 14/09/2025 - PIX: CPF - CHAVE: 126.873.296-65</v>
      </c>
      <c r="I3522" t="str">
        <f t="shared" si="639"/>
        <v>25/09/2025</v>
      </c>
      <c r="J3522" t="str">
        <f t="shared" si="641"/>
        <v>16/09/2025</v>
      </c>
      <c r="K3522" t="str">
        <f>("25/09/2025")</f>
        <v>25/09/2025</v>
      </c>
      <c r="L3522">
        <v>2220</v>
      </c>
      <c r="M3522">
        <v>2220</v>
      </c>
      <c r="N3522">
        <v>109</v>
      </c>
      <c r="O3522" t="str">
        <f>"PAGAMENTO DE ENTREGADORES"</f>
        <v>PAGAMENTO DE ENTREGADORES</v>
      </c>
      <c r="P3522">
        <v>2220</v>
      </c>
      <c r="S3522" t="str">
        <f>"BANCO C6 (149)"</f>
        <v>BANCO C6 (149)</v>
      </c>
      <c r="T3522">
        <v>18793</v>
      </c>
      <c r="U3522">
        <v>22096</v>
      </c>
      <c r="V3522" t="s">
        <v>77</v>
      </c>
    </row>
    <row r="3523" spans="1:22">
      <c r="A3523" t="str">
        <f t="shared" si="637"/>
        <v>25/09/2025</v>
      </c>
      <c r="B3523" t="str">
        <f t="shared" si="642"/>
        <v>SAÍDA</v>
      </c>
      <c r="C3523" t="str">
        <f t="shared" si="638"/>
        <v>PIX</v>
      </c>
      <c r="D3523" t="str">
        <f>"22096"</f>
        <v>22096</v>
      </c>
      <c r="E3523" t="str">
        <f t="shared" si="640"/>
        <v>1</v>
      </c>
      <c r="F3523" t="str">
        <f t="shared" si="643"/>
        <v>COM</v>
      </c>
      <c r="G3523" t="str">
        <f>"JEFERSON ANDRADE FERREIRA (165)"</f>
        <v>JEFERSON ANDRADE FERREIRA (165)</v>
      </c>
      <c r="H3523" t="s">
        <v>987</v>
      </c>
      <c r="I3523" t="str">
        <f t="shared" si="639"/>
        <v>25/09/2025</v>
      </c>
      <c r="J3523" t="str">
        <f t="shared" si="641"/>
        <v>16/09/2025</v>
      </c>
      <c r="K3523">
        <v>45925</v>
      </c>
      <c r="N3523">
        <v>109</v>
      </c>
      <c r="O3523" t="s">
        <v>24</v>
      </c>
      <c r="Q3523">
        <v>1559.99</v>
      </c>
      <c r="R3523" t="str">
        <f>"FARMÁCIA INDIANA LJ 101 (10043)"</f>
        <v>FARMÁCIA INDIANA LJ 101 (10043)</v>
      </c>
      <c r="S3523" t="s">
        <v>77</v>
      </c>
      <c r="T3523">
        <v>18793</v>
      </c>
      <c r="U3523">
        <v>22096</v>
      </c>
      <c r="V3523" t="s">
        <v>77</v>
      </c>
    </row>
    <row r="3524" spans="1:22">
      <c r="A3524" t="str">
        <f t="shared" si="637"/>
        <v>25/09/2025</v>
      </c>
      <c r="B3524" t="str">
        <f t="shared" si="642"/>
        <v>SAÍDA</v>
      </c>
      <c r="C3524" t="str">
        <f t="shared" si="638"/>
        <v>PIX</v>
      </c>
      <c r="D3524" t="str">
        <f>"22096"</f>
        <v>22096</v>
      </c>
      <c r="E3524" t="str">
        <f t="shared" si="640"/>
        <v>1</v>
      </c>
      <c r="F3524" t="str">
        <f t="shared" si="643"/>
        <v>COM</v>
      </c>
      <c r="G3524" t="str">
        <f>"JEFERSON ANDRADE FERREIRA (165)"</f>
        <v>JEFERSON ANDRADE FERREIRA (165)</v>
      </c>
      <c r="H3524" t="s">
        <v>987</v>
      </c>
      <c r="I3524" t="str">
        <f t="shared" si="639"/>
        <v>25/09/2025</v>
      </c>
      <c r="J3524" t="str">
        <f t="shared" si="641"/>
        <v>16/09/2025</v>
      </c>
      <c r="K3524">
        <v>45925</v>
      </c>
      <c r="N3524">
        <v>109</v>
      </c>
      <c r="O3524" t="s">
        <v>24</v>
      </c>
      <c r="Q3524">
        <v>660.01</v>
      </c>
      <c r="R3524" t="str">
        <f>"FARMÁCIA INDIANA LJ 220 (10092)"</f>
        <v>FARMÁCIA INDIANA LJ 220 (10092)</v>
      </c>
      <c r="S3524" t="s">
        <v>77</v>
      </c>
      <c r="T3524">
        <v>18793</v>
      </c>
      <c r="U3524">
        <v>22096</v>
      </c>
      <c r="V3524" t="s">
        <v>77</v>
      </c>
    </row>
    <row r="3525" spans="1:22">
      <c r="A3525" t="str">
        <f t="shared" si="637"/>
        <v>25/09/2025</v>
      </c>
      <c r="B3525" t="str">
        <f t="shared" si="642"/>
        <v>SAÍDA</v>
      </c>
      <c r="C3525" t="str">
        <f t="shared" si="638"/>
        <v>PIX</v>
      </c>
      <c r="D3525" t="str">
        <f>"22097"</f>
        <v>22097</v>
      </c>
      <c r="E3525" t="str">
        <f t="shared" si="640"/>
        <v>1</v>
      </c>
      <c r="F3525" t="str">
        <f t="shared" si="643"/>
        <v>COM</v>
      </c>
      <c r="G3525" t="str">
        <f>"JEFERSON ARAÚJO SANTOS GERMANO (180)"</f>
        <v>JEFERSON ARAÚJO SANTOS GERMANO (180)</v>
      </c>
      <c r="H3525" t="str">
        <f>"Serv.Prest. 08/09/2025 a 14/09/2025 - PIX: CPF - CHAVE: 023.645.626-19"</f>
        <v>Serv.Prest. 08/09/2025 a 14/09/2025 - PIX: CPF - CHAVE: 023.645.626-19</v>
      </c>
      <c r="I3525" t="str">
        <f t="shared" si="639"/>
        <v>25/09/2025</v>
      </c>
      <c r="J3525" t="str">
        <f t="shared" si="641"/>
        <v>16/09/2025</v>
      </c>
      <c r="K3525" t="str">
        <f>("25/09/2025")</f>
        <v>25/09/2025</v>
      </c>
      <c r="L3525">
        <v>954</v>
      </c>
      <c r="M3525">
        <v>954</v>
      </c>
      <c r="N3525">
        <v>109</v>
      </c>
      <c r="O3525" t="str">
        <f>"PAGAMENTO DE ENTREGADORES"</f>
        <v>PAGAMENTO DE ENTREGADORES</v>
      </c>
      <c r="P3525">
        <v>954</v>
      </c>
      <c r="S3525" t="str">
        <f>"BANCO C6 (149)"</f>
        <v>BANCO C6 (149)</v>
      </c>
      <c r="T3525">
        <v>18794</v>
      </c>
      <c r="U3525">
        <v>22097</v>
      </c>
      <c r="V3525" t="s">
        <v>77</v>
      </c>
    </row>
    <row r="3526" spans="1:22">
      <c r="A3526" t="str">
        <f t="shared" si="637"/>
        <v>25/09/2025</v>
      </c>
      <c r="B3526" t="str">
        <f t="shared" si="642"/>
        <v>SAÍDA</v>
      </c>
      <c r="C3526" t="str">
        <f t="shared" si="638"/>
        <v>PIX</v>
      </c>
      <c r="D3526" t="str">
        <f>"22097"</f>
        <v>22097</v>
      </c>
      <c r="E3526" t="str">
        <f t="shared" si="640"/>
        <v>1</v>
      </c>
      <c r="F3526" t="str">
        <f t="shared" si="643"/>
        <v>COM</v>
      </c>
      <c r="G3526" t="str">
        <f>"JEFERSON ARAÚJO SANTOS GERMANO (180)"</f>
        <v>JEFERSON ARAÚJO SANTOS GERMANO (180)</v>
      </c>
      <c r="H3526" t="s">
        <v>988</v>
      </c>
      <c r="I3526" t="str">
        <f t="shared" si="639"/>
        <v>25/09/2025</v>
      </c>
      <c r="J3526" t="str">
        <f t="shared" si="641"/>
        <v>16/09/2025</v>
      </c>
      <c r="K3526">
        <v>45925</v>
      </c>
      <c r="N3526">
        <v>109</v>
      </c>
      <c r="O3526" t="s">
        <v>24</v>
      </c>
      <c r="Q3526">
        <v>954</v>
      </c>
      <c r="R3526" t="str">
        <f>"FARMÁCIA INDIANA LJ 142 (10066)"</f>
        <v>FARMÁCIA INDIANA LJ 142 (10066)</v>
      </c>
      <c r="S3526" t="s">
        <v>77</v>
      </c>
      <c r="T3526">
        <v>18794</v>
      </c>
      <c r="U3526">
        <v>22097</v>
      </c>
      <c r="V3526" t="s">
        <v>77</v>
      </c>
    </row>
    <row r="3527" spans="1:22">
      <c r="A3527" t="str">
        <f t="shared" si="637"/>
        <v>25/09/2025</v>
      </c>
      <c r="B3527" t="str">
        <f t="shared" si="642"/>
        <v>SAÍDA</v>
      </c>
      <c r="C3527" t="str">
        <f t="shared" si="638"/>
        <v>PIX</v>
      </c>
      <c r="D3527" t="str">
        <f>"22098"</f>
        <v>22098</v>
      </c>
      <c r="E3527" t="str">
        <f t="shared" si="640"/>
        <v>1</v>
      </c>
      <c r="F3527" t="str">
        <f t="shared" si="643"/>
        <v>COM</v>
      </c>
      <c r="G3527" t="str">
        <f>"JEFERSON DE JESUS SANTOS (910)"</f>
        <v>JEFERSON DE JESUS SANTOS (910)</v>
      </c>
      <c r="H3527" t="str">
        <f>"Serv.Prest. 08/09/2025 a 14/09/2025 - PIX: CELULAR - CHAVE: (33) 98836-6015"</f>
        <v>Serv.Prest. 08/09/2025 a 14/09/2025 - PIX: CELULAR - CHAVE: (33) 98836-6015</v>
      </c>
      <c r="I3527" t="str">
        <f t="shared" si="639"/>
        <v>25/09/2025</v>
      </c>
      <c r="J3527" t="str">
        <f t="shared" si="641"/>
        <v>16/09/2025</v>
      </c>
      <c r="K3527" t="str">
        <f>("25/09/2025")</f>
        <v>25/09/2025</v>
      </c>
      <c r="L3527">
        <v>750</v>
      </c>
      <c r="M3527">
        <v>750</v>
      </c>
      <c r="N3527">
        <v>109</v>
      </c>
      <c r="O3527" t="str">
        <f>"PAGAMENTO DE ENTREGADORES"</f>
        <v>PAGAMENTO DE ENTREGADORES</v>
      </c>
      <c r="P3527">
        <v>750</v>
      </c>
      <c r="S3527" t="str">
        <f>"BANCO C6 (149)"</f>
        <v>BANCO C6 (149)</v>
      </c>
      <c r="T3527">
        <v>18795</v>
      </c>
      <c r="U3527">
        <v>22098</v>
      </c>
      <c r="V3527" t="s">
        <v>77</v>
      </c>
    </row>
    <row r="3528" spans="1:22">
      <c r="A3528" t="str">
        <f t="shared" si="637"/>
        <v>25/09/2025</v>
      </c>
      <c r="B3528" t="str">
        <f t="shared" si="642"/>
        <v>SAÍDA</v>
      </c>
      <c r="C3528" t="str">
        <f t="shared" si="638"/>
        <v>PIX</v>
      </c>
      <c r="D3528" t="str">
        <f>"22098"</f>
        <v>22098</v>
      </c>
      <c r="E3528" t="str">
        <f t="shared" si="640"/>
        <v>1</v>
      </c>
      <c r="F3528" t="str">
        <f t="shared" si="643"/>
        <v>COM</v>
      </c>
      <c r="G3528" t="str">
        <f>"JEFERSON DE JESUS SANTOS (910)"</f>
        <v>JEFERSON DE JESUS SANTOS (910)</v>
      </c>
      <c r="H3528" t="s">
        <v>989</v>
      </c>
      <c r="I3528" t="str">
        <f t="shared" si="639"/>
        <v>25/09/2025</v>
      </c>
      <c r="J3528" t="str">
        <f t="shared" si="641"/>
        <v>16/09/2025</v>
      </c>
      <c r="K3528">
        <v>45925</v>
      </c>
      <c r="N3528">
        <v>109</v>
      </c>
      <c r="O3528" t="s">
        <v>24</v>
      </c>
      <c r="Q3528">
        <v>750</v>
      </c>
      <c r="R3528" t="str">
        <f>"FARMÁCIA INDIANA LJ 07 (10007)"</f>
        <v>FARMÁCIA INDIANA LJ 07 (10007)</v>
      </c>
      <c r="S3528" t="s">
        <v>77</v>
      </c>
      <c r="T3528">
        <v>18795</v>
      </c>
      <c r="U3528">
        <v>22098</v>
      </c>
      <c r="V3528" t="s">
        <v>77</v>
      </c>
    </row>
    <row r="3529" spans="1:22">
      <c r="A3529" t="str">
        <f t="shared" si="637"/>
        <v>25/09/2025</v>
      </c>
      <c r="B3529" t="str">
        <f t="shared" si="642"/>
        <v>SAÍDA</v>
      </c>
      <c r="C3529" t="str">
        <f t="shared" si="638"/>
        <v>PIX</v>
      </c>
      <c r="D3529" t="str">
        <f>"22099"</f>
        <v>22099</v>
      </c>
      <c r="E3529" t="str">
        <f t="shared" si="640"/>
        <v>1</v>
      </c>
      <c r="F3529" t="str">
        <f t="shared" si="643"/>
        <v>COM</v>
      </c>
      <c r="G3529" t="str">
        <f>"JHONANTAN LACERDA DE JESUS (142)"</f>
        <v>JHONANTAN LACERDA DE JESUS (142)</v>
      </c>
      <c r="H3529" t="str">
        <f>"Serv.Prest. 08/09/2025 a 14/09/2025 - PIX: E-MAIL - CHAVE: jhonantanlacerda@gmail.com"</f>
        <v>Serv.Prest. 08/09/2025 a 14/09/2025 - PIX: E-MAIL - CHAVE: jhonantanlacerda@gmail.com</v>
      </c>
      <c r="I3529" t="str">
        <f t="shared" si="639"/>
        <v>25/09/2025</v>
      </c>
      <c r="J3529" t="str">
        <f t="shared" si="641"/>
        <v>16/09/2025</v>
      </c>
      <c r="K3529" t="str">
        <f>("25/09/2025")</f>
        <v>25/09/2025</v>
      </c>
      <c r="L3529">
        <v>858</v>
      </c>
      <c r="M3529">
        <v>858</v>
      </c>
      <c r="N3529">
        <v>109</v>
      </c>
      <c r="O3529" t="str">
        <f>"PAGAMENTO DE ENTREGADORES"</f>
        <v>PAGAMENTO DE ENTREGADORES</v>
      </c>
      <c r="P3529">
        <v>858</v>
      </c>
      <c r="S3529" t="str">
        <f>"BANCO C6 (149)"</f>
        <v>BANCO C6 (149)</v>
      </c>
      <c r="T3529">
        <v>18796</v>
      </c>
      <c r="U3529">
        <v>22099</v>
      </c>
      <c r="V3529" t="s">
        <v>77</v>
      </c>
    </row>
    <row r="3530" spans="1:22">
      <c r="A3530" t="str">
        <f t="shared" si="637"/>
        <v>25/09/2025</v>
      </c>
      <c r="B3530" t="str">
        <f t="shared" si="642"/>
        <v>SAÍDA</v>
      </c>
      <c r="C3530" t="str">
        <f t="shared" si="638"/>
        <v>PIX</v>
      </c>
      <c r="D3530" t="str">
        <f>"22099"</f>
        <v>22099</v>
      </c>
      <c r="E3530" t="str">
        <f t="shared" si="640"/>
        <v>1</v>
      </c>
      <c r="F3530" t="str">
        <f t="shared" si="643"/>
        <v>COM</v>
      </c>
      <c r="G3530" t="str">
        <f>"JHONANTAN LACERDA DE JESUS (142)"</f>
        <v>JHONANTAN LACERDA DE JESUS (142)</v>
      </c>
      <c r="H3530" t="s">
        <v>990</v>
      </c>
      <c r="I3530" t="str">
        <f t="shared" si="639"/>
        <v>25/09/2025</v>
      </c>
      <c r="J3530" t="str">
        <f t="shared" si="641"/>
        <v>16/09/2025</v>
      </c>
      <c r="K3530">
        <v>45925</v>
      </c>
      <c r="N3530">
        <v>109</v>
      </c>
      <c r="O3530" t="s">
        <v>24</v>
      </c>
      <c r="Q3530">
        <v>858</v>
      </c>
      <c r="R3530" t="str">
        <f>"FARMÁCIA INDIANA LJ 142 (10066)"</f>
        <v>FARMÁCIA INDIANA LJ 142 (10066)</v>
      </c>
      <c r="S3530" t="s">
        <v>77</v>
      </c>
      <c r="T3530">
        <v>18796</v>
      </c>
      <c r="U3530">
        <v>22099</v>
      </c>
      <c r="V3530" t="s">
        <v>77</v>
      </c>
    </row>
    <row r="3531" spans="1:22">
      <c r="A3531" t="str">
        <f t="shared" si="637"/>
        <v>25/09/2025</v>
      </c>
      <c r="B3531" t="str">
        <f t="shared" si="642"/>
        <v>SAÍDA</v>
      </c>
      <c r="C3531" t="str">
        <f t="shared" si="638"/>
        <v>PIX</v>
      </c>
      <c r="D3531" t="str">
        <f>"22100"</f>
        <v>22100</v>
      </c>
      <c r="E3531" t="str">
        <f t="shared" si="640"/>
        <v>1</v>
      </c>
      <c r="F3531" t="str">
        <f t="shared" si="643"/>
        <v>COM</v>
      </c>
      <c r="G3531" t="str">
        <f>"JOAO PAULO PEREIRA LIMA (821)"</f>
        <v>JOAO PAULO PEREIRA LIMA (821)</v>
      </c>
      <c r="H3531" t="str">
        <f>"Serv.Prest. 08/09/2025 a 14/09/2025 - PIX: CPF - CHAVE: 049.276.546-48"</f>
        <v>Serv.Prest. 08/09/2025 a 14/09/2025 - PIX: CPF - CHAVE: 049.276.546-48</v>
      </c>
      <c r="I3531" t="str">
        <f t="shared" si="639"/>
        <v>25/09/2025</v>
      </c>
      <c r="J3531" t="str">
        <f t="shared" si="641"/>
        <v>16/09/2025</v>
      </c>
      <c r="K3531" t="str">
        <f>("25/09/2025")</f>
        <v>25/09/2025</v>
      </c>
      <c r="L3531">
        <v>27.5</v>
      </c>
      <c r="M3531">
        <v>27.5</v>
      </c>
      <c r="N3531">
        <v>109</v>
      </c>
      <c r="O3531" t="str">
        <f>"PAGAMENTO DE ENTREGADORES"</f>
        <v>PAGAMENTO DE ENTREGADORES</v>
      </c>
      <c r="P3531">
        <v>27.5</v>
      </c>
      <c r="S3531" t="str">
        <f>"BANCO C6 (149)"</f>
        <v>BANCO C6 (149)</v>
      </c>
      <c r="T3531">
        <v>18797</v>
      </c>
      <c r="U3531">
        <v>22100</v>
      </c>
      <c r="V3531" t="s">
        <v>77</v>
      </c>
    </row>
    <row r="3532" spans="1:22">
      <c r="A3532" t="str">
        <f t="shared" si="637"/>
        <v>25/09/2025</v>
      </c>
      <c r="B3532" t="str">
        <f t="shared" si="642"/>
        <v>SAÍDA</v>
      </c>
      <c r="C3532" t="str">
        <f t="shared" si="638"/>
        <v>PIX</v>
      </c>
      <c r="D3532" t="str">
        <f>"22100"</f>
        <v>22100</v>
      </c>
      <c r="E3532" t="str">
        <f t="shared" si="640"/>
        <v>1</v>
      </c>
      <c r="F3532" t="str">
        <f t="shared" si="643"/>
        <v>COM</v>
      </c>
      <c r="G3532" t="str">
        <f>"JOAO PAULO PEREIRA LIMA (821)"</f>
        <v>JOAO PAULO PEREIRA LIMA (821)</v>
      </c>
      <c r="H3532" t="s">
        <v>991</v>
      </c>
      <c r="I3532" t="str">
        <f t="shared" si="639"/>
        <v>25/09/2025</v>
      </c>
      <c r="J3532" t="str">
        <f t="shared" si="641"/>
        <v>16/09/2025</v>
      </c>
      <c r="K3532">
        <v>45925</v>
      </c>
      <c r="N3532">
        <v>109</v>
      </c>
      <c r="O3532" t="s">
        <v>24</v>
      </c>
      <c r="Q3532">
        <v>27.5</v>
      </c>
      <c r="R3532" t="str">
        <f>"FARMÁCIA INDIANA LJ 06 (10006)"</f>
        <v>FARMÁCIA INDIANA LJ 06 (10006)</v>
      </c>
      <c r="S3532" t="s">
        <v>77</v>
      </c>
      <c r="T3532">
        <v>18797</v>
      </c>
      <c r="U3532">
        <v>22100</v>
      </c>
      <c r="V3532" t="s">
        <v>77</v>
      </c>
    </row>
    <row r="3533" spans="1:22">
      <c r="A3533" t="str">
        <f t="shared" si="637"/>
        <v>25/09/2025</v>
      </c>
      <c r="B3533" t="str">
        <f t="shared" si="642"/>
        <v>SAÍDA</v>
      </c>
      <c r="C3533" t="str">
        <f t="shared" si="638"/>
        <v>PIX</v>
      </c>
      <c r="D3533" t="str">
        <f>"22101"</f>
        <v>22101</v>
      </c>
      <c r="E3533" t="str">
        <f t="shared" si="640"/>
        <v>1</v>
      </c>
      <c r="F3533" t="str">
        <f t="shared" si="643"/>
        <v>COM</v>
      </c>
      <c r="G3533" t="str">
        <f>"JOMAR GONÇALVES DIAS (16)"</f>
        <v>JOMAR GONÇALVES DIAS (16)</v>
      </c>
      <c r="H3533" t="str">
        <f>"Serv.Prest. 08/09/2025 a 14/09/2025 - PIX: CPF - CHAVE: 602.838.315-53"</f>
        <v>Serv.Prest. 08/09/2025 a 14/09/2025 - PIX: CPF - CHAVE: 602.838.315-53</v>
      </c>
      <c r="I3533" t="str">
        <f t="shared" si="639"/>
        <v>25/09/2025</v>
      </c>
      <c r="J3533" t="str">
        <f t="shared" si="641"/>
        <v>16/09/2025</v>
      </c>
      <c r="K3533" t="str">
        <f>("25/09/2025")</f>
        <v>25/09/2025</v>
      </c>
      <c r="L3533">
        <v>1100</v>
      </c>
      <c r="M3533">
        <v>1100</v>
      </c>
      <c r="N3533">
        <v>109</v>
      </c>
      <c r="O3533" t="str">
        <f>"PAGAMENTO DE ENTREGADORES"</f>
        <v>PAGAMENTO DE ENTREGADORES</v>
      </c>
      <c r="P3533">
        <v>1100</v>
      </c>
      <c r="S3533" t="str">
        <f>"BANCO C6 (149)"</f>
        <v>BANCO C6 (149)</v>
      </c>
      <c r="T3533">
        <v>18798</v>
      </c>
      <c r="U3533">
        <v>22101</v>
      </c>
      <c r="V3533" t="s">
        <v>77</v>
      </c>
    </row>
    <row r="3534" spans="1:22">
      <c r="A3534" t="str">
        <f t="shared" ref="A3534:A3597" si="644">("25/09/2025")</f>
        <v>25/09/2025</v>
      </c>
      <c r="B3534" t="str">
        <f t="shared" si="642"/>
        <v>SAÍDA</v>
      </c>
      <c r="C3534" t="str">
        <f t="shared" ref="C3534:C3597" si="645">"PIX"</f>
        <v>PIX</v>
      </c>
      <c r="D3534" t="str">
        <f>"22101"</f>
        <v>22101</v>
      </c>
      <c r="E3534" t="str">
        <f t="shared" si="640"/>
        <v>1</v>
      </c>
      <c r="F3534" t="str">
        <f t="shared" si="643"/>
        <v>COM</v>
      </c>
      <c r="G3534" t="str">
        <f>"JOMAR GONÇALVES DIAS (16)"</f>
        <v>JOMAR GONÇALVES DIAS (16)</v>
      </c>
      <c r="H3534" t="s">
        <v>992</v>
      </c>
      <c r="I3534" t="str">
        <f t="shared" si="639"/>
        <v>25/09/2025</v>
      </c>
      <c r="J3534" t="str">
        <f t="shared" si="641"/>
        <v>16/09/2025</v>
      </c>
      <c r="K3534">
        <v>45925</v>
      </c>
      <c r="N3534">
        <v>109</v>
      </c>
      <c r="O3534" t="s">
        <v>24</v>
      </c>
      <c r="Q3534">
        <v>154</v>
      </c>
      <c r="R3534" t="str">
        <f>"FARMÁCIA INDIANA LJ 40 (10016)"</f>
        <v>FARMÁCIA INDIANA LJ 40 (10016)</v>
      </c>
      <c r="S3534" t="s">
        <v>77</v>
      </c>
      <c r="T3534">
        <v>18798</v>
      </c>
      <c r="U3534">
        <v>22101</v>
      </c>
      <c r="V3534" t="s">
        <v>77</v>
      </c>
    </row>
    <row r="3535" spans="1:22">
      <c r="A3535" t="str">
        <f t="shared" si="644"/>
        <v>25/09/2025</v>
      </c>
      <c r="B3535" t="str">
        <f t="shared" si="642"/>
        <v>SAÍDA</v>
      </c>
      <c r="C3535" t="str">
        <f t="shared" si="645"/>
        <v>PIX</v>
      </c>
      <c r="D3535" t="str">
        <f>"22101"</f>
        <v>22101</v>
      </c>
      <c r="E3535" t="str">
        <f t="shared" si="640"/>
        <v>1</v>
      </c>
      <c r="F3535" t="str">
        <f t="shared" si="643"/>
        <v>COM</v>
      </c>
      <c r="G3535" t="str">
        <f>"JOMAR GONÇALVES DIAS (16)"</f>
        <v>JOMAR GONÇALVES DIAS (16)</v>
      </c>
      <c r="H3535" t="s">
        <v>992</v>
      </c>
      <c r="I3535" t="str">
        <f t="shared" si="639"/>
        <v>25/09/2025</v>
      </c>
      <c r="J3535" t="str">
        <f t="shared" si="641"/>
        <v>16/09/2025</v>
      </c>
      <c r="K3535">
        <v>45925</v>
      </c>
      <c r="N3535">
        <v>109</v>
      </c>
      <c r="O3535" t="s">
        <v>24</v>
      </c>
      <c r="Q3535">
        <v>946</v>
      </c>
      <c r="R3535" t="str">
        <f>"FARMÁCIA INDIANA LJ 61 (10027)"</f>
        <v>FARMÁCIA INDIANA LJ 61 (10027)</v>
      </c>
      <c r="S3535" t="s">
        <v>77</v>
      </c>
      <c r="T3535">
        <v>18798</v>
      </c>
      <c r="U3535">
        <v>22101</v>
      </c>
      <c r="V3535" t="s">
        <v>77</v>
      </c>
    </row>
    <row r="3536" spans="1:22">
      <c r="A3536" t="str">
        <f t="shared" si="644"/>
        <v>25/09/2025</v>
      </c>
      <c r="B3536" t="str">
        <f t="shared" si="642"/>
        <v>SAÍDA</v>
      </c>
      <c r="C3536" t="str">
        <f t="shared" si="645"/>
        <v>PIX</v>
      </c>
      <c r="D3536" t="str">
        <f>"22102"</f>
        <v>22102</v>
      </c>
      <c r="E3536" t="str">
        <f t="shared" si="640"/>
        <v>1</v>
      </c>
      <c r="F3536" t="str">
        <f t="shared" si="643"/>
        <v>COM</v>
      </c>
      <c r="G3536" t="str">
        <f>"JOSÉ CARLOS DA COSTA (83)"</f>
        <v>JOSÉ CARLOS DA COSTA (83)</v>
      </c>
      <c r="H3536" t="str">
        <f>"Serv.Prest. 08/09/2025 a 14/09/2025 - PIX: CPF - CHAVE: 043.301.196-33"</f>
        <v>Serv.Prest. 08/09/2025 a 14/09/2025 - PIX: CPF - CHAVE: 043.301.196-33</v>
      </c>
      <c r="I3536" t="str">
        <f t="shared" si="639"/>
        <v>25/09/2025</v>
      </c>
      <c r="J3536" t="str">
        <f t="shared" si="641"/>
        <v>16/09/2025</v>
      </c>
      <c r="K3536" t="str">
        <f>("25/09/2025")</f>
        <v>25/09/2025</v>
      </c>
      <c r="L3536">
        <v>564</v>
      </c>
      <c r="M3536">
        <v>564</v>
      </c>
      <c r="N3536">
        <v>109</v>
      </c>
      <c r="O3536" t="str">
        <f>"PAGAMENTO DE ENTREGADORES"</f>
        <v>PAGAMENTO DE ENTREGADORES</v>
      </c>
      <c r="P3536">
        <v>564</v>
      </c>
      <c r="S3536" t="str">
        <f>"BANCO C6 (149)"</f>
        <v>BANCO C6 (149)</v>
      </c>
      <c r="T3536">
        <v>18799</v>
      </c>
      <c r="U3536">
        <v>22102</v>
      </c>
      <c r="V3536" t="s">
        <v>77</v>
      </c>
    </row>
    <row r="3537" spans="1:22">
      <c r="A3537" t="str">
        <f t="shared" si="644"/>
        <v>25/09/2025</v>
      </c>
      <c r="B3537" t="str">
        <f t="shared" si="642"/>
        <v>SAÍDA</v>
      </c>
      <c r="C3537" t="str">
        <f t="shared" si="645"/>
        <v>PIX</v>
      </c>
      <c r="D3537" t="str">
        <f>"22102"</f>
        <v>22102</v>
      </c>
      <c r="E3537" t="str">
        <f t="shared" si="640"/>
        <v>1</v>
      </c>
      <c r="F3537" t="str">
        <f t="shared" si="643"/>
        <v>COM</v>
      </c>
      <c r="G3537" t="str">
        <f>"JOSÉ CARLOS DA COSTA (83)"</f>
        <v>JOSÉ CARLOS DA COSTA (83)</v>
      </c>
      <c r="H3537" t="s">
        <v>993</v>
      </c>
      <c r="I3537" t="str">
        <f t="shared" si="639"/>
        <v>25/09/2025</v>
      </c>
      <c r="J3537" t="str">
        <f t="shared" si="641"/>
        <v>16/09/2025</v>
      </c>
      <c r="K3537">
        <v>45925</v>
      </c>
      <c r="N3537">
        <v>109</v>
      </c>
      <c r="O3537" t="s">
        <v>24</v>
      </c>
      <c r="Q3537">
        <v>564</v>
      </c>
      <c r="R3537" t="str">
        <f>"FARMÁCIA INDIANA LJ 152 (10069)"</f>
        <v>FARMÁCIA INDIANA LJ 152 (10069)</v>
      </c>
      <c r="S3537" t="s">
        <v>77</v>
      </c>
      <c r="T3537">
        <v>18799</v>
      </c>
      <c r="U3537">
        <v>22102</v>
      </c>
      <c r="V3537" t="s">
        <v>77</v>
      </c>
    </row>
    <row r="3538" spans="1:22">
      <c r="A3538" t="str">
        <f t="shared" si="644"/>
        <v>25/09/2025</v>
      </c>
      <c r="B3538" t="str">
        <f t="shared" si="642"/>
        <v>SAÍDA</v>
      </c>
      <c r="C3538" t="str">
        <f t="shared" si="645"/>
        <v>PIX</v>
      </c>
      <c r="D3538" t="str">
        <f>"22104"</f>
        <v>22104</v>
      </c>
      <c r="E3538" t="str">
        <f t="shared" si="640"/>
        <v>1</v>
      </c>
      <c r="F3538" t="str">
        <f t="shared" si="643"/>
        <v>COM</v>
      </c>
      <c r="G3538" t="str">
        <f>"JUBER FERREIRA SILVA BASTOS (192)"</f>
        <v>JUBER FERREIRA SILVA BASTOS (192)</v>
      </c>
      <c r="H3538" t="str">
        <f>"Serv.Prest. 08/09/2025 a 14/09/2025 - PIX: CPF - CHAVE: 012.459.366-62"</f>
        <v>Serv.Prest. 08/09/2025 a 14/09/2025 - PIX: CPF - CHAVE: 012.459.366-62</v>
      </c>
      <c r="I3538" t="str">
        <f t="shared" si="639"/>
        <v>25/09/2025</v>
      </c>
      <c r="J3538" t="str">
        <f t="shared" si="641"/>
        <v>16/09/2025</v>
      </c>
      <c r="K3538" t="str">
        <f>("25/09/2025")</f>
        <v>25/09/2025</v>
      </c>
      <c r="L3538">
        <v>960</v>
      </c>
      <c r="M3538">
        <v>960</v>
      </c>
      <c r="N3538">
        <v>109</v>
      </c>
      <c r="O3538" t="str">
        <f>"PAGAMENTO DE ENTREGADORES"</f>
        <v>PAGAMENTO DE ENTREGADORES</v>
      </c>
      <c r="P3538">
        <v>960</v>
      </c>
      <c r="S3538" t="str">
        <f>"BANCO C6 (149)"</f>
        <v>BANCO C6 (149)</v>
      </c>
      <c r="T3538">
        <v>18800</v>
      </c>
      <c r="U3538">
        <v>22104</v>
      </c>
      <c r="V3538" t="s">
        <v>77</v>
      </c>
    </row>
    <row r="3539" spans="1:22">
      <c r="A3539" t="str">
        <f t="shared" si="644"/>
        <v>25/09/2025</v>
      </c>
      <c r="B3539" t="str">
        <f t="shared" si="642"/>
        <v>SAÍDA</v>
      </c>
      <c r="C3539" t="str">
        <f t="shared" si="645"/>
        <v>PIX</v>
      </c>
      <c r="D3539" t="str">
        <f>"22104"</f>
        <v>22104</v>
      </c>
      <c r="E3539" t="str">
        <f t="shared" si="640"/>
        <v>1</v>
      </c>
      <c r="F3539" t="str">
        <f t="shared" si="643"/>
        <v>COM</v>
      </c>
      <c r="G3539" t="str">
        <f>"JUBER FERREIRA SILVA BASTOS (192)"</f>
        <v>JUBER FERREIRA SILVA BASTOS (192)</v>
      </c>
      <c r="H3539" t="s">
        <v>994</v>
      </c>
      <c r="I3539" t="str">
        <f t="shared" si="639"/>
        <v>25/09/2025</v>
      </c>
      <c r="J3539" t="str">
        <f t="shared" si="641"/>
        <v>16/09/2025</v>
      </c>
      <c r="K3539">
        <v>45925</v>
      </c>
      <c r="N3539">
        <v>109</v>
      </c>
      <c r="O3539" t="s">
        <v>24</v>
      </c>
      <c r="Q3539">
        <v>960</v>
      </c>
      <c r="R3539" t="str">
        <f>"FARMÁCIA INDIANA LJ 06 (10006)"</f>
        <v>FARMÁCIA INDIANA LJ 06 (10006)</v>
      </c>
      <c r="S3539" t="s">
        <v>77</v>
      </c>
      <c r="T3539">
        <v>18800</v>
      </c>
      <c r="U3539">
        <v>22104</v>
      </c>
      <c r="V3539" t="s">
        <v>77</v>
      </c>
    </row>
    <row r="3540" spans="1:22">
      <c r="A3540" t="str">
        <f t="shared" si="644"/>
        <v>25/09/2025</v>
      </c>
      <c r="B3540" t="str">
        <f t="shared" si="642"/>
        <v>SAÍDA</v>
      </c>
      <c r="C3540" t="str">
        <f t="shared" si="645"/>
        <v>PIX</v>
      </c>
      <c r="D3540" t="str">
        <f>"22105"</f>
        <v>22105</v>
      </c>
      <c r="E3540" t="str">
        <f t="shared" si="640"/>
        <v>1</v>
      </c>
      <c r="F3540" t="str">
        <f t="shared" si="643"/>
        <v>COM</v>
      </c>
      <c r="G3540" t="str">
        <f>"JUNIO DE ANDRADE ARRUDA (145)"</f>
        <v>JUNIO DE ANDRADE ARRUDA (145)</v>
      </c>
      <c r="H3540" t="str">
        <f>"Serv.Prest. 08/09/2025 a 14/09/2025 - PIX: CPF - CHAVE: 077.488.126-75"</f>
        <v>Serv.Prest. 08/09/2025 a 14/09/2025 - PIX: CPF - CHAVE: 077.488.126-75</v>
      </c>
      <c r="I3540" t="str">
        <f t="shared" ref="I3540:I3603" si="646">("25/09/2025")</f>
        <v>25/09/2025</v>
      </c>
      <c r="J3540" t="str">
        <f t="shared" si="641"/>
        <v>16/09/2025</v>
      </c>
      <c r="K3540" t="str">
        <f>("25/09/2025")</f>
        <v>25/09/2025</v>
      </c>
      <c r="L3540">
        <v>1074</v>
      </c>
      <c r="M3540">
        <v>1074</v>
      </c>
      <c r="N3540">
        <v>109</v>
      </c>
      <c r="O3540" t="str">
        <f>"PAGAMENTO DE ENTREGADORES"</f>
        <v>PAGAMENTO DE ENTREGADORES</v>
      </c>
      <c r="P3540">
        <v>1074</v>
      </c>
      <c r="S3540" t="str">
        <f>"BANCO C6 (149)"</f>
        <v>BANCO C6 (149)</v>
      </c>
      <c r="T3540">
        <v>18801</v>
      </c>
      <c r="U3540">
        <v>22105</v>
      </c>
      <c r="V3540" t="s">
        <v>77</v>
      </c>
    </row>
    <row r="3541" spans="1:22">
      <c r="A3541" t="str">
        <f t="shared" si="644"/>
        <v>25/09/2025</v>
      </c>
      <c r="B3541" t="str">
        <f t="shared" si="642"/>
        <v>SAÍDA</v>
      </c>
      <c r="C3541" t="str">
        <f t="shared" si="645"/>
        <v>PIX</v>
      </c>
      <c r="D3541" t="str">
        <f>"22105"</f>
        <v>22105</v>
      </c>
      <c r="E3541" t="str">
        <f t="shared" si="640"/>
        <v>1</v>
      </c>
      <c r="F3541" t="str">
        <f t="shared" si="643"/>
        <v>COM</v>
      </c>
      <c r="G3541" t="str">
        <f>"JUNIO DE ANDRADE ARRUDA (145)"</f>
        <v>JUNIO DE ANDRADE ARRUDA (145)</v>
      </c>
      <c r="H3541" t="s">
        <v>995</v>
      </c>
      <c r="I3541" t="str">
        <f t="shared" si="646"/>
        <v>25/09/2025</v>
      </c>
      <c r="J3541" t="str">
        <f t="shared" si="641"/>
        <v>16/09/2025</v>
      </c>
      <c r="K3541">
        <v>45925</v>
      </c>
      <c r="N3541">
        <v>109</v>
      </c>
      <c r="O3541" t="s">
        <v>24</v>
      </c>
      <c r="Q3541">
        <v>209.97</v>
      </c>
      <c r="R3541" t="str">
        <f>"FARMÁCIA INDIANA LJ 18 (10011)"</f>
        <v>FARMÁCIA INDIANA LJ 18 (10011)</v>
      </c>
      <c r="S3541" t="s">
        <v>77</v>
      </c>
      <c r="T3541">
        <v>18801</v>
      </c>
      <c r="U3541">
        <v>22105</v>
      </c>
      <c r="V3541" t="s">
        <v>77</v>
      </c>
    </row>
    <row r="3542" spans="1:22">
      <c r="A3542" t="str">
        <f t="shared" si="644"/>
        <v>25/09/2025</v>
      </c>
      <c r="B3542" t="str">
        <f t="shared" si="642"/>
        <v>SAÍDA</v>
      </c>
      <c r="C3542" t="str">
        <f t="shared" si="645"/>
        <v>PIX</v>
      </c>
      <c r="D3542" t="str">
        <f>"22105"</f>
        <v>22105</v>
      </c>
      <c r="E3542" t="str">
        <f t="shared" ref="E3542:E3605" si="647">"1"</f>
        <v>1</v>
      </c>
      <c r="F3542" t="str">
        <f t="shared" si="643"/>
        <v>COM</v>
      </c>
      <c r="G3542" t="str">
        <f>"JUNIO DE ANDRADE ARRUDA (145)"</f>
        <v>JUNIO DE ANDRADE ARRUDA (145)</v>
      </c>
      <c r="H3542" t="s">
        <v>995</v>
      </c>
      <c r="I3542" t="str">
        <f t="shared" si="646"/>
        <v>25/09/2025</v>
      </c>
      <c r="J3542" t="str">
        <f t="shared" si="641"/>
        <v>16/09/2025</v>
      </c>
      <c r="K3542">
        <v>45925</v>
      </c>
      <c r="N3542">
        <v>109</v>
      </c>
      <c r="O3542" t="s">
        <v>24</v>
      </c>
      <c r="Q3542">
        <v>864.03</v>
      </c>
      <c r="R3542" t="str">
        <f>"FARMÁCIA INDIANA LJ 19 (10012)"</f>
        <v>FARMÁCIA INDIANA LJ 19 (10012)</v>
      </c>
      <c r="S3542" t="s">
        <v>77</v>
      </c>
      <c r="T3542">
        <v>18801</v>
      </c>
      <c r="U3542">
        <v>22105</v>
      </c>
      <c r="V3542" t="s">
        <v>77</v>
      </c>
    </row>
    <row r="3543" spans="1:22">
      <c r="A3543" t="str">
        <f t="shared" si="644"/>
        <v>25/09/2025</v>
      </c>
      <c r="B3543" t="str">
        <f t="shared" si="642"/>
        <v>SAÍDA</v>
      </c>
      <c r="C3543" t="str">
        <f t="shared" si="645"/>
        <v>PIX</v>
      </c>
      <c r="D3543" t="str">
        <f>"22106"</f>
        <v>22106</v>
      </c>
      <c r="E3543" t="str">
        <f t="shared" si="647"/>
        <v>1</v>
      </c>
      <c r="F3543" t="str">
        <f t="shared" si="643"/>
        <v>COM</v>
      </c>
      <c r="G3543" t="str">
        <f>"JUNIOR DOS SANTOS MACHADO (240)"</f>
        <v>JUNIOR DOS SANTOS MACHADO (240)</v>
      </c>
      <c r="H3543" t="str">
        <f>"Serv.Prest. 08/09/2025 a 14/09/2025 - PIX: CPF - CHAVE: 074.520.456-29"</f>
        <v>Serv.Prest. 08/09/2025 a 14/09/2025 - PIX: CPF - CHAVE: 074.520.456-29</v>
      </c>
      <c r="I3543" t="str">
        <f t="shared" si="646"/>
        <v>25/09/2025</v>
      </c>
      <c r="J3543" t="str">
        <f t="shared" si="641"/>
        <v>16/09/2025</v>
      </c>
      <c r="K3543" t="str">
        <f>("25/09/2025")</f>
        <v>25/09/2025</v>
      </c>
      <c r="L3543">
        <v>632.5</v>
      </c>
      <c r="M3543">
        <v>632.5</v>
      </c>
      <c r="N3543">
        <v>109</v>
      </c>
      <c r="O3543" t="str">
        <f>"PAGAMENTO DE ENTREGADORES"</f>
        <v>PAGAMENTO DE ENTREGADORES</v>
      </c>
      <c r="P3543">
        <v>632.5</v>
      </c>
      <c r="S3543" t="str">
        <f>"BANCO C6 (149)"</f>
        <v>BANCO C6 (149)</v>
      </c>
      <c r="T3543">
        <v>18802</v>
      </c>
      <c r="U3543">
        <v>22106</v>
      </c>
      <c r="V3543" t="s">
        <v>77</v>
      </c>
    </row>
    <row r="3544" spans="1:22">
      <c r="A3544" t="str">
        <f t="shared" si="644"/>
        <v>25/09/2025</v>
      </c>
      <c r="B3544" t="str">
        <f t="shared" si="642"/>
        <v>SAÍDA</v>
      </c>
      <c r="C3544" t="str">
        <f t="shared" si="645"/>
        <v>PIX</v>
      </c>
      <c r="D3544" t="str">
        <f>"22106"</f>
        <v>22106</v>
      </c>
      <c r="E3544" t="str">
        <f t="shared" si="647"/>
        <v>1</v>
      </c>
      <c r="F3544" t="str">
        <f t="shared" si="643"/>
        <v>COM</v>
      </c>
      <c r="G3544" t="str">
        <f>"JUNIOR DOS SANTOS MACHADO (240)"</f>
        <v>JUNIOR DOS SANTOS MACHADO (240)</v>
      </c>
      <c r="H3544" t="s">
        <v>996</v>
      </c>
      <c r="I3544" t="str">
        <f t="shared" si="646"/>
        <v>25/09/2025</v>
      </c>
      <c r="J3544" t="str">
        <f t="shared" si="641"/>
        <v>16/09/2025</v>
      </c>
      <c r="K3544">
        <v>45925</v>
      </c>
      <c r="N3544">
        <v>109</v>
      </c>
      <c r="O3544" t="s">
        <v>24</v>
      </c>
      <c r="Q3544">
        <v>632.5</v>
      </c>
      <c r="R3544" t="str">
        <f>"FARMÁCIA INDIANA LJ 62 (10028)"</f>
        <v>FARMÁCIA INDIANA LJ 62 (10028)</v>
      </c>
      <c r="S3544" t="s">
        <v>77</v>
      </c>
      <c r="T3544">
        <v>18802</v>
      </c>
      <c r="U3544">
        <v>22106</v>
      </c>
      <c r="V3544" t="s">
        <v>77</v>
      </c>
    </row>
    <row r="3545" spans="1:22">
      <c r="A3545" t="str">
        <f t="shared" si="644"/>
        <v>25/09/2025</v>
      </c>
      <c r="B3545" t="str">
        <f t="shared" si="642"/>
        <v>SAÍDA</v>
      </c>
      <c r="C3545" t="str">
        <f t="shared" si="645"/>
        <v>PIX</v>
      </c>
      <c r="D3545" t="str">
        <f>"22108"</f>
        <v>22108</v>
      </c>
      <c r="E3545" t="str">
        <f t="shared" si="647"/>
        <v>1</v>
      </c>
      <c r="F3545" t="str">
        <f t="shared" si="643"/>
        <v>COM</v>
      </c>
      <c r="G3545" t="str">
        <f>"KALESSON BARROSO DIAS (216)"</f>
        <v>KALESSON BARROSO DIAS (216)</v>
      </c>
      <c r="H3545" t="str">
        <f>"Serv.Prest. 08/09/2025 a 14/09/2025 - PIX: CELULAR - CHAVE: (33) 99106-9330"</f>
        <v>Serv.Prest. 08/09/2025 a 14/09/2025 - PIX: CELULAR - CHAVE: (33) 99106-9330</v>
      </c>
      <c r="I3545" t="str">
        <f t="shared" si="646"/>
        <v>25/09/2025</v>
      </c>
      <c r="J3545" t="str">
        <f t="shared" si="641"/>
        <v>16/09/2025</v>
      </c>
      <c r="K3545" t="str">
        <f>("25/09/2025")</f>
        <v>25/09/2025</v>
      </c>
      <c r="L3545">
        <v>1080</v>
      </c>
      <c r="M3545">
        <v>1080</v>
      </c>
      <c r="N3545">
        <v>109</v>
      </c>
      <c r="O3545" t="str">
        <f>"PAGAMENTO DE ENTREGADORES"</f>
        <v>PAGAMENTO DE ENTREGADORES</v>
      </c>
      <c r="P3545">
        <v>1080</v>
      </c>
      <c r="S3545" t="str">
        <f>"BANCO C6 (149)"</f>
        <v>BANCO C6 (149)</v>
      </c>
      <c r="T3545">
        <v>18803</v>
      </c>
      <c r="U3545">
        <v>22108</v>
      </c>
      <c r="V3545" t="s">
        <v>77</v>
      </c>
    </row>
    <row r="3546" spans="1:22">
      <c r="A3546" t="str">
        <f t="shared" si="644"/>
        <v>25/09/2025</v>
      </c>
      <c r="B3546" t="str">
        <f t="shared" si="642"/>
        <v>SAÍDA</v>
      </c>
      <c r="C3546" t="str">
        <f t="shared" si="645"/>
        <v>PIX</v>
      </c>
      <c r="D3546" t="str">
        <f>"22108"</f>
        <v>22108</v>
      </c>
      <c r="E3546" t="str">
        <f t="shared" si="647"/>
        <v>1</v>
      </c>
      <c r="F3546" t="str">
        <f t="shared" si="643"/>
        <v>COM</v>
      </c>
      <c r="G3546" t="str">
        <f>"KALESSON BARROSO DIAS (216)"</f>
        <v>KALESSON BARROSO DIAS (216)</v>
      </c>
      <c r="H3546" t="s">
        <v>997</v>
      </c>
      <c r="I3546" t="str">
        <f t="shared" si="646"/>
        <v>25/09/2025</v>
      </c>
      <c r="J3546" t="str">
        <f t="shared" si="641"/>
        <v>16/09/2025</v>
      </c>
      <c r="K3546">
        <v>45925</v>
      </c>
      <c r="N3546">
        <v>109</v>
      </c>
      <c r="O3546" t="s">
        <v>24</v>
      </c>
      <c r="Q3546">
        <v>1080</v>
      </c>
      <c r="R3546" t="str">
        <f>"FARMÁCIA INDIANA LJ 06 (10006)"</f>
        <v>FARMÁCIA INDIANA LJ 06 (10006)</v>
      </c>
      <c r="S3546" t="s">
        <v>77</v>
      </c>
      <c r="T3546">
        <v>18803</v>
      </c>
      <c r="U3546">
        <v>22108</v>
      </c>
      <c r="V3546" t="s">
        <v>77</v>
      </c>
    </row>
    <row r="3547" spans="1:22">
      <c r="A3547" t="str">
        <f t="shared" si="644"/>
        <v>25/09/2025</v>
      </c>
      <c r="B3547" t="str">
        <f t="shared" si="642"/>
        <v>SAÍDA</v>
      </c>
      <c r="C3547" t="str">
        <f t="shared" si="645"/>
        <v>PIX</v>
      </c>
      <c r="D3547" t="str">
        <f>"22109"</f>
        <v>22109</v>
      </c>
      <c r="E3547" t="str">
        <f t="shared" si="647"/>
        <v>1</v>
      </c>
      <c r="F3547" t="str">
        <f t="shared" si="643"/>
        <v>COM</v>
      </c>
      <c r="G3547" t="str">
        <f>"KELVIN NUBIO DE SOUZA TOLEDO (735)"</f>
        <v>KELVIN NUBIO DE SOUZA TOLEDO (735)</v>
      </c>
      <c r="H3547" t="str">
        <f>"Serv.Prest. 08/09/2025 a 14/09/2025 - PIX: CHAVE ALEATÓRIA - CHAVE: c489bee1-360b-4fa9-86c4-fbb0e9844cb8"</f>
        <v>Serv.Prest. 08/09/2025 a 14/09/2025 - PIX: CHAVE ALEATÓRIA - CHAVE: c489bee1-360b-4fa9-86c4-fbb0e9844cb8</v>
      </c>
      <c r="I3547" t="str">
        <f t="shared" si="646"/>
        <v>25/09/2025</v>
      </c>
      <c r="J3547" t="str">
        <f t="shared" si="641"/>
        <v>16/09/2025</v>
      </c>
      <c r="K3547" t="str">
        <f>("25/09/2025")</f>
        <v>25/09/2025</v>
      </c>
      <c r="L3547">
        <v>276</v>
      </c>
      <c r="M3547">
        <v>276</v>
      </c>
      <c r="N3547">
        <v>109</v>
      </c>
      <c r="O3547" t="str">
        <f>"PAGAMENTO DE ENTREGADORES"</f>
        <v>PAGAMENTO DE ENTREGADORES</v>
      </c>
      <c r="P3547">
        <v>276</v>
      </c>
      <c r="S3547" t="str">
        <f>"BANCO C6 (149)"</f>
        <v>BANCO C6 (149)</v>
      </c>
      <c r="T3547">
        <v>18804</v>
      </c>
      <c r="U3547">
        <v>22109</v>
      </c>
      <c r="V3547" t="s">
        <v>77</v>
      </c>
    </row>
    <row r="3548" spans="1:22">
      <c r="A3548" t="str">
        <f t="shared" si="644"/>
        <v>25/09/2025</v>
      </c>
      <c r="B3548" t="str">
        <f t="shared" si="642"/>
        <v>SAÍDA</v>
      </c>
      <c r="C3548" t="str">
        <f t="shared" si="645"/>
        <v>PIX</v>
      </c>
      <c r="D3548" t="str">
        <f>"22109"</f>
        <v>22109</v>
      </c>
      <c r="E3548" t="str">
        <f t="shared" si="647"/>
        <v>1</v>
      </c>
      <c r="F3548" t="str">
        <f t="shared" si="643"/>
        <v>COM</v>
      </c>
      <c r="G3548" t="str">
        <f>"KELVIN NUBIO DE SOUZA TOLEDO (735)"</f>
        <v>KELVIN NUBIO DE SOUZA TOLEDO (735)</v>
      </c>
      <c r="H3548" t="s">
        <v>998</v>
      </c>
      <c r="I3548" t="str">
        <f t="shared" si="646"/>
        <v>25/09/2025</v>
      </c>
      <c r="J3548" t="str">
        <f t="shared" si="641"/>
        <v>16/09/2025</v>
      </c>
      <c r="K3548">
        <v>45925</v>
      </c>
      <c r="N3548">
        <v>109</v>
      </c>
      <c r="O3548" t="s">
        <v>24</v>
      </c>
      <c r="Q3548">
        <v>276</v>
      </c>
      <c r="R3548" t="str">
        <f>"FARMÁCIA INDIANA LJ 152 (10069)"</f>
        <v>FARMÁCIA INDIANA LJ 152 (10069)</v>
      </c>
      <c r="S3548" t="s">
        <v>77</v>
      </c>
      <c r="T3548">
        <v>18804</v>
      </c>
      <c r="U3548">
        <v>22109</v>
      </c>
      <c r="V3548" t="s">
        <v>77</v>
      </c>
    </row>
    <row r="3549" spans="1:22">
      <c r="A3549" t="str">
        <f t="shared" si="644"/>
        <v>25/09/2025</v>
      </c>
      <c r="B3549" t="str">
        <f t="shared" si="642"/>
        <v>SAÍDA</v>
      </c>
      <c r="C3549" t="str">
        <f t="shared" si="645"/>
        <v>PIX</v>
      </c>
      <c r="D3549" t="str">
        <f>"22111"</f>
        <v>22111</v>
      </c>
      <c r="E3549" t="str">
        <f t="shared" si="647"/>
        <v>1</v>
      </c>
      <c r="F3549" t="str">
        <f t="shared" si="643"/>
        <v>COM</v>
      </c>
      <c r="G3549" t="str">
        <f>"LEONARDO DOS REIS GOMES (23)"</f>
        <v>LEONARDO DOS REIS GOMES (23)</v>
      </c>
      <c r="H3549" t="str">
        <f>"Serv.Prest. 08/09/2025 a 14/09/2025 - PIX: CELULAR - CHAVE: (33) 99860-1035"</f>
        <v>Serv.Prest. 08/09/2025 a 14/09/2025 - PIX: CELULAR - CHAVE: (33) 99860-1035</v>
      </c>
      <c r="I3549" t="str">
        <f t="shared" si="646"/>
        <v>25/09/2025</v>
      </c>
      <c r="J3549" t="str">
        <f t="shared" si="641"/>
        <v>16/09/2025</v>
      </c>
      <c r="K3549" t="str">
        <f>("25/09/2025")</f>
        <v>25/09/2025</v>
      </c>
      <c r="L3549">
        <v>44</v>
      </c>
      <c r="M3549">
        <v>44</v>
      </c>
      <c r="N3549">
        <v>109</v>
      </c>
      <c r="O3549" t="str">
        <f>"PAGAMENTO DE ENTREGADORES"</f>
        <v>PAGAMENTO DE ENTREGADORES</v>
      </c>
      <c r="P3549">
        <v>44</v>
      </c>
      <c r="S3549" t="str">
        <f>"BANCO C6 (149)"</f>
        <v>BANCO C6 (149)</v>
      </c>
      <c r="T3549">
        <v>18805</v>
      </c>
      <c r="U3549">
        <v>22111</v>
      </c>
      <c r="V3549" t="s">
        <v>77</v>
      </c>
    </row>
    <row r="3550" spans="1:22">
      <c r="A3550" t="str">
        <f t="shared" si="644"/>
        <v>25/09/2025</v>
      </c>
      <c r="B3550" t="str">
        <f t="shared" si="642"/>
        <v>SAÍDA</v>
      </c>
      <c r="C3550" t="str">
        <f t="shared" si="645"/>
        <v>PIX</v>
      </c>
      <c r="D3550" t="str">
        <f>"22111"</f>
        <v>22111</v>
      </c>
      <c r="E3550" t="str">
        <f t="shared" si="647"/>
        <v>1</v>
      </c>
      <c r="F3550" t="str">
        <f t="shared" si="643"/>
        <v>COM</v>
      </c>
      <c r="G3550" t="str">
        <f>"LEONARDO DOS REIS GOMES (23)"</f>
        <v>LEONARDO DOS REIS GOMES (23)</v>
      </c>
      <c r="H3550" t="s">
        <v>999</v>
      </c>
      <c r="I3550" t="str">
        <f t="shared" si="646"/>
        <v>25/09/2025</v>
      </c>
      <c r="J3550" t="str">
        <f t="shared" si="641"/>
        <v>16/09/2025</v>
      </c>
      <c r="K3550">
        <v>45925</v>
      </c>
      <c r="N3550">
        <v>109</v>
      </c>
      <c r="O3550" t="s">
        <v>24</v>
      </c>
      <c r="Q3550">
        <v>44</v>
      </c>
      <c r="R3550" t="str">
        <f>"FARMÁCIA INDIANA LJ 40 (10016)"</f>
        <v>FARMÁCIA INDIANA LJ 40 (10016)</v>
      </c>
      <c r="S3550" t="s">
        <v>77</v>
      </c>
      <c r="T3550">
        <v>18805</v>
      </c>
      <c r="U3550">
        <v>22111</v>
      </c>
      <c r="V3550" t="s">
        <v>77</v>
      </c>
    </row>
    <row r="3551" spans="1:22">
      <c r="A3551" t="str">
        <f t="shared" si="644"/>
        <v>25/09/2025</v>
      </c>
      <c r="B3551" t="str">
        <f t="shared" si="642"/>
        <v>SAÍDA</v>
      </c>
      <c r="C3551" t="str">
        <f t="shared" si="645"/>
        <v>PIX</v>
      </c>
      <c r="D3551" t="str">
        <f>"22112"</f>
        <v>22112</v>
      </c>
      <c r="E3551" t="str">
        <f t="shared" si="647"/>
        <v>1</v>
      </c>
      <c r="F3551" t="str">
        <f t="shared" si="643"/>
        <v>COM</v>
      </c>
      <c r="G3551" t="str">
        <f>"LEONARDO VIANA FIGUEIREDO (913)"</f>
        <v>LEONARDO VIANA FIGUEIREDO (913)</v>
      </c>
      <c r="H3551" t="str">
        <f>"Serv.Prest. 08/09/2025 a 14/09/2025 - PIX: CELULAR - CHAVE: (33) 98463-0821"</f>
        <v>Serv.Prest. 08/09/2025 a 14/09/2025 - PIX: CELULAR - CHAVE: (33) 98463-0821</v>
      </c>
      <c r="I3551" t="str">
        <f t="shared" si="646"/>
        <v>25/09/2025</v>
      </c>
      <c r="J3551" t="str">
        <f t="shared" si="641"/>
        <v>16/09/2025</v>
      </c>
      <c r="K3551" t="str">
        <f>("25/09/2025")</f>
        <v>25/09/2025</v>
      </c>
      <c r="L3551">
        <v>1080</v>
      </c>
      <c r="M3551">
        <v>1080</v>
      </c>
      <c r="N3551">
        <v>109</v>
      </c>
      <c r="O3551" t="str">
        <f>"PAGAMENTO DE ENTREGADORES"</f>
        <v>PAGAMENTO DE ENTREGADORES</v>
      </c>
      <c r="P3551">
        <v>1080</v>
      </c>
      <c r="S3551" t="str">
        <f>"BANCO C6 (149)"</f>
        <v>BANCO C6 (149)</v>
      </c>
      <c r="T3551">
        <v>18806</v>
      </c>
      <c r="U3551">
        <v>22112</v>
      </c>
      <c r="V3551" t="s">
        <v>77</v>
      </c>
    </row>
    <row r="3552" spans="1:22">
      <c r="A3552" t="str">
        <f t="shared" si="644"/>
        <v>25/09/2025</v>
      </c>
      <c r="B3552" t="str">
        <f t="shared" si="642"/>
        <v>SAÍDA</v>
      </c>
      <c r="C3552" t="str">
        <f t="shared" si="645"/>
        <v>PIX</v>
      </c>
      <c r="D3552" t="str">
        <f>"22112"</f>
        <v>22112</v>
      </c>
      <c r="E3552" t="str">
        <f t="shared" si="647"/>
        <v>1</v>
      </c>
      <c r="F3552" t="str">
        <f t="shared" si="643"/>
        <v>COM</v>
      </c>
      <c r="G3552" t="str">
        <f>"LEONARDO VIANA FIGUEIREDO (913)"</f>
        <v>LEONARDO VIANA FIGUEIREDO (913)</v>
      </c>
      <c r="H3552" t="s">
        <v>1000</v>
      </c>
      <c r="I3552" t="str">
        <f t="shared" si="646"/>
        <v>25/09/2025</v>
      </c>
      <c r="J3552" t="str">
        <f t="shared" si="641"/>
        <v>16/09/2025</v>
      </c>
      <c r="K3552">
        <v>45925</v>
      </c>
      <c r="N3552">
        <v>109</v>
      </c>
      <c r="O3552" t="s">
        <v>24</v>
      </c>
      <c r="Q3552">
        <v>1080</v>
      </c>
      <c r="R3552" t="str">
        <f>"FARMÁCIA INDIANA LJ 06 (10006)"</f>
        <v>FARMÁCIA INDIANA LJ 06 (10006)</v>
      </c>
      <c r="S3552" t="s">
        <v>77</v>
      </c>
      <c r="T3552">
        <v>18806</v>
      </c>
      <c r="U3552">
        <v>22112</v>
      </c>
      <c r="V3552" t="s">
        <v>77</v>
      </c>
    </row>
    <row r="3553" spans="1:22">
      <c r="A3553" t="str">
        <f t="shared" si="644"/>
        <v>25/09/2025</v>
      </c>
      <c r="B3553" t="str">
        <f t="shared" si="642"/>
        <v>SAÍDA</v>
      </c>
      <c r="C3553" t="str">
        <f t="shared" si="645"/>
        <v>PIX</v>
      </c>
      <c r="D3553" t="str">
        <f>"22113"</f>
        <v>22113</v>
      </c>
      <c r="E3553" t="str">
        <f t="shared" si="647"/>
        <v>1</v>
      </c>
      <c r="F3553" t="str">
        <f t="shared" si="643"/>
        <v>COM</v>
      </c>
      <c r="G3553" t="str">
        <f>"LEVERCI DA SILVA COURA (138)"</f>
        <v>LEVERCI DA SILVA COURA (138)</v>
      </c>
      <c r="H3553" t="str">
        <f>"Serv.Prest. 08/09/2025 a 14/09/2025 - PIX: CELULAR - CHAVE: (31) 99850-4727"</f>
        <v>Serv.Prest. 08/09/2025 a 14/09/2025 - PIX: CELULAR - CHAVE: (31) 99850-4727</v>
      </c>
      <c r="I3553" t="str">
        <f t="shared" si="646"/>
        <v>25/09/2025</v>
      </c>
      <c r="J3553" t="str">
        <f t="shared" si="641"/>
        <v>16/09/2025</v>
      </c>
      <c r="K3553" t="str">
        <f>("25/09/2025")</f>
        <v>25/09/2025</v>
      </c>
      <c r="L3553">
        <v>1092</v>
      </c>
      <c r="M3553">
        <v>1092</v>
      </c>
      <c r="N3553">
        <v>109</v>
      </c>
      <c r="O3553" t="str">
        <f>"PAGAMENTO DE ENTREGADORES"</f>
        <v>PAGAMENTO DE ENTREGADORES</v>
      </c>
      <c r="P3553">
        <v>1092</v>
      </c>
      <c r="S3553" t="str">
        <f>"BANCO C6 (149)"</f>
        <v>BANCO C6 (149)</v>
      </c>
      <c r="T3553">
        <v>18807</v>
      </c>
      <c r="U3553">
        <v>22113</v>
      </c>
      <c r="V3553" t="s">
        <v>77</v>
      </c>
    </row>
    <row r="3554" spans="1:22">
      <c r="A3554" t="str">
        <f t="shared" si="644"/>
        <v>25/09/2025</v>
      </c>
      <c r="B3554" t="str">
        <f t="shared" si="642"/>
        <v>SAÍDA</v>
      </c>
      <c r="C3554" t="str">
        <f t="shared" si="645"/>
        <v>PIX</v>
      </c>
      <c r="D3554" t="str">
        <f>"22113"</f>
        <v>22113</v>
      </c>
      <c r="E3554" t="str">
        <f t="shared" si="647"/>
        <v>1</v>
      </c>
      <c r="F3554" t="str">
        <f t="shared" si="643"/>
        <v>COM</v>
      </c>
      <c r="G3554" t="str">
        <f>"LEVERCI DA SILVA COURA (138)"</f>
        <v>LEVERCI DA SILVA COURA (138)</v>
      </c>
      <c r="H3554" t="s">
        <v>1001</v>
      </c>
      <c r="I3554" t="str">
        <f t="shared" si="646"/>
        <v>25/09/2025</v>
      </c>
      <c r="J3554" t="str">
        <f t="shared" si="641"/>
        <v>16/09/2025</v>
      </c>
      <c r="K3554">
        <v>45925</v>
      </c>
      <c r="N3554">
        <v>109</v>
      </c>
      <c r="O3554" t="s">
        <v>24</v>
      </c>
      <c r="Q3554">
        <v>1092</v>
      </c>
      <c r="R3554" t="str">
        <f>"FARMÁCIA INDIANA LJ 18 (10011)"</f>
        <v>FARMÁCIA INDIANA LJ 18 (10011)</v>
      </c>
      <c r="S3554" t="s">
        <v>77</v>
      </c>
      <c r="T3554">
        <v>18807</v>
      </c>
      <c r="U3554">
        <v>22113</v>
      </c>
      <c r="V3554" t="s">
        <v>77</v>
      </c>
    </row>
    <row r="3555" spans="1:22">
      <c r="A3555" t="str">
        <f t="shared" si="644"/>
        <v>25/09/2025</v>
      </c>
      <c r="B3555" t="str">
        <f t="shared" si="642"/>
        <v>SAÍDA</v>
      </c>
      <c r="C3555" t="str">
        <f t="shared" si="645"/>
        <v>PIX</v>
      </c>
      <c r="D3555" t="str">
        <f>"22114"</f>
        <v>22114</v>
      </c>
      <c r="E3555" t="str">
        <f t="shared" si="647"/>
        <v>1</v>
      </c>
      <c r="F3555" t="str">
        <f t="shared" si="643"/>
        <v>COM</v>
      </c>
      <c r="G3555" t="str">
        <f>"LUAN DOS SANTOS NUNES (719)"</f>
        <v>LUAN DOS SANTOS NUNES (719)</v>
      </c>
      <c r="H3555" t="str">
        <f>"Serv.Prest. 08/09/2025 a 14/09/2025 - PIX: CELULAR - CHAVE: (33) 98749-4693"</f>
        <v>Serv.Prest. 08/09/2025 a 14/09/2025 - PIX: CELULAR - CHAVE: (33) 98749-4693</v>
      </c>
      <c r="I3555" t="str">
        <f t="shared" si="646"/>
        <v>25/09/2025</v>
      </c>
      <c r="J3555" t="str">
        <f t="shared" si="641"/>
        <v>16/09/2025</v>
      </c>
      <c r="K3555" t="str">
        <f>("25/09/2025")</f>
        <v>25/09/2025</v>
      </c>
      <c r="L3555">
        <v>2024</v>
      </c>
      <c r="M3555">
        <v>2024</v>
      </c>
      <c r="N3555">
        <v>109</v>
      </c>
      <c r="O3555" t="str">
        <f>"PAGAMENTO DE ENTREGADORES"</f>
        <v>PAGAMENTO DE ENTREGADORES</v>
      </c>
      <c r="P3555">
        <v>2024</v>
      </c>
      <c r="S3555" t="str">
        <f>"BANCO C6 (149)"</f>
        <v>BANCO C6 (149)</v>
      </c>
      <c r="T3555">
        <v>18808</v>
      </c>
      <c r="U3555">
        <v>22114</v>
      </c>
      <c r="V3555" t="s">
        <v>77</v>
      </c>
    </row>
    <row r="3556" spans="1:22">
      <c r="A3556" t="str">
        <f t="shared" si="644"/>
        <v>25/09/2025</v>
      </c>
      <c r="B3556" t="str">
        <f t="shared" si="642"/>
        <v>SAÍDA</v>
      </c>
      <c r="C3556" t="str">
        <f t="shared" si="645"/>
        <v>PIX</v>
      </c>
      <c r="D3556" t="str">
        <f>"22114"</f>
        <v>22114</v>
      </c>
      <c r="E3556" t="str">
        <f t="shared" si="647"/>
        <v>1</v>
      </c>
      <c r="F3556" t="str">
        <f t="shared" si="643"/>
        <v>COM</v>
      </c>
      <c r="G3556" t="str">
        <f>"LUAN DOS SANTOS NUNES (719)"</f>
        <v>LUAN DOS SANTOS NUNES (719)</v>
      </c>
      <c r="H3556" t="s">
        <v>1002</v>
      </c>
      <c r="I3556" t="str">
        <f t="shared" si="646"/>
        <v>25/09/2025</v>
      </c>
      <c r="J3556" t="str">
        <f t="shared" si="641"/>
        <v>16/09/2025</v>
      </c>
      <c r="K3556">
        <v>45925</v>
      </c>
      <c r="N3556">
        <v>109</v>
      </c>
      <c r="O3556" t="s">
        <v>24</v>
      </c>
      <c r="Q3556">
        <v>649.1</v>
      </c>
      <c r="R3556" t="str">
        <f>"FARMÁCIA INDIANA LJ 40 (10016)"</f>
        <v>FARMÁCIA INDIANA LJ 40 (10016)</v>
      </c>
      <c r="S3556" t="s">
        <v>77</v>
      </c>
      <c r="T3556">
        <v>18808</v>
      </c>
      <c r="U3556">
        <v>22114</v>
      </c>
      <c r="V3556" t="s">
        <v>77</v>
      </c>
    </row>
    <row r="3557" spans="1:22">
      <c r="A3557" t="str">
        <f t="shared" si="644"/>
        <v>25/09/2025</v>
      </c>
      <c r="B3557" t="str">
        <f t="shared" si="642"/>
        <v>SAÍDA</v>
      </c>
      <c r="C3557" t="str">
        <f t="shared" si="645"/>
        <v>PIX</v>
      </c>
      <c r="D3557" t="str">
        <f>"22114"</f>
        <v>22114</v>
      </c>
      <c r="E3557" t="str">
        <f t="shared" si="647"/>
        <v>1</v>
      </c>
      <c r="F3557" t="str">
        <f t="shared" si="643"/>
        <v>COM</v>
      </c>
      <c r="G3557" t="str">
        <f>"LUAN DOS SANTOS NUNES (719)"</f>
        <v>LUAN DOS SANTOS NUNES (719)</v>
      </c>
      <c r="H3557" t="s">
        <v>1002</v>
      </c>
      <c r="I3557" t="str">
        <f t="shared" si="646"/>
        <v>25/09/2025</v>
      </c>
      <c r="J3557" t="str">
        <f t="shared" si="641"/>
        <v>16/09/2025</v>
      </c>
      <c r="K3557">
        <v>45925</v>
      </c>
      <c r="N3557">
        <v>109</v>
      </c>
      <c r="O3557" t="s">
        <v>24</v>
      </c>
      <c r="Q3557">
        <v>1374.9</v>
      </c>
      <c r="R3557" t="str">
        <f>"FARMÁCIA INDIANA LJ 61 (10027)"</f>
        <v>FARMÁCIA INDIANA LJ 61 (10027)</v>
      </c>
      <c r="S3557" t="s">
        <v>77</v>
      </c>
      <c r="T3557">
        <v>18808</v>
      </c>
      <c r="U3557">
        <v>22114</v>
      </c>
      <c r="V3557" t="s">
        <v>77</v>
      </c>
    </row>
    <row r="3558" spans="1:22">
      <c r="A3558" t="str">
        <f t="shared" si="644"/>
        <v>25/09/2025</v>
      </c>
      <c r="B3558" t="str">
        <f t="shared" si="642"/>
        <v>SAÍDA</v>
      </c>
      <c r="C3558" t="str">
        <f t="shared" si="645"/>
        <v>PIX</v>
      </c>
      <c r="D3558" t="str">
        <f>"22115"</f>
        <v>22115</v>
      </c>
      <c r="E3558" t="str">
        <f t="shared" si="647"/>
        <v>1</v>
      </c>
      <c r="F3558" t="str">
        <f t="shared" si="643"/>
        <v>COM</v>
      </c>
      <c r="G3558" t="str">
        <f>"LUAN VICTOR SERQUEIRA DA SILVA (577)"</f>
        <v>LUAN VICTOR SERQUEIRA DA SILVA (577)</v>
      </c>
      <c r="H3558" t="str">
        <f>"Serv.Prest. 08/09/2025 a 14/09/2025 - PIX: CPF - CHAVE: 161.508.516-56"</f>
        <v>Serv.Prest. 08/09/2025 a 14/09/2025 - PIX: CPF - CHAVE: 161.508.516-56</v>
      </c>
      <c r="I3558" t="str">
        <f t="shared" si="646"/>
        <v>25/09/2025</v>
      </c>
      <c r="J3558" t="str">
        <f t="shared" si="641"/>
        <v>16/09/2025</v>
      </c>
      <c r="K3558" t="str">
        <f>("25/09/2025")</f>
        <v>25/09/2025</v>
      </c>
      <c r="L3558">
        <v>698.5</v>
      </c>
      <c r="M3558">
        <v>708.5</v>
      </c>
      <c r="N3558">
        <v>109</v>
      </c>
      <c r="O3558" t="str">
        <f>"PAGAMENTO DE ENTREGADORES"</f>
        <v>PAGAMENTO DE ENTREGADORES</v>
      </c>
      <c r="P3558">
        <v>708.5</v>
      </c>
      <c r="S3558" t="str">
        <f>"BANCO C6 (149)"</f>
        <v>BANCO C6 (149)</v>
      </c>
      <c r="T3558">
        <v>18809</v>
      </c>
      <c r="U3558">
        <v>22115</v>
      </c>
      <c r="V3558" t="s">
        <v>77</v>
      </c>
    </row>
    <row r="3559" spans="1:22">
      <c r="A3559" t="str">
        <f t="shared" si="644"/>
        <v>25/09/2025</v>
      </c>
      <c r="B3559" t="str">
        <f t="shared" si="642"/>
        <v>SAÍDA</v>
      </c>
      <c r="C3559" t="str">
        <f t="shared" si="645"/>
        <v>PIX</v>
      </c>
      <c r="D3559" t="str">
        <f>"22115"</f>
        <v>22115</v>
      </c>
      <c r="E3559" t="str">
        <f t="shared" si="647"/>
        <v>1</v>
      </c>
      <c r="F3559" t="str">
        <f t="shared" si="643"/>
        <v>COM</v>
      </c>
      <c r="G3559" t="str">
        <f>"LUAN VICTOR SERQUEIRA DA SILVA (577)"</f>
        <v>LUAN VICTOR SERQUEIRA DA SILVA (577)</v>
      </c>
      <c r="H3559" t="s">
        <v>1003</v>
      </c>
      <c r="I3559" t="str">
        <f t="shared" si="646"/>
        <v>25/09/2025</v>
      </c>
      <c r="J3559" t="str">
        <f t="shared" si="641"/>
        <v>16/09/2025</v>
      </c>
      <c r="K3559">
        <v>45925</v>
      </c>
      <c r="N3559">
        <v>109</v>
      </c>
      <c r="O3559" t="s">
        <v>24</v>
      </c>
      <c r="Q3559">
        <v>708.5</v>
      </c>
      <c r="R3559" t="str">
        <f>"FARMÁCIA INDIANA LJ 202 (10085)"</f>
        <v>FARMÁCIA INDIANA LJ 202 (10085)</v>
      </c>
      <c r="S3559" t="s">
        <v>77</v>
      </c>
      <c r="T3559">
        <v>18809</v>
      </c>
      <c r="U3559">
        <v>22115</v>
      </c>
      <c r="V3559" t="s">
        <v>77</v>
      </c>
    </row>
    <row r="3560" spans="1:22">
      <c r="A3560" t="str">
        <f t="shared" si="644"/>
        <v>25/09/2025</v>
      </c>
      <c r="B3560" t="str">
        <f t="shared" si="642"/>
        <v>SAÍDA</v>
      </c>
      <c r="C3560" t="str">
        <f t="shared" si="645"/>
        <v>PIX</v>
      </c>
      <c r="D3560" t="str">
        <f>"22116"</f>
        <v>22116</v>
      </c>
      <c r="E3560" t="str">
        <f t="shared" si="647"/>
        <v>1</v>
      </c>
      <c r="F3560" t="str">
        <f t="shared" si="643"/>
        <v>COM</v>
      </c>
      <c r="G3560" t="str">
        <f>"LUCAS FERREIRA DOS SANTOS (868)"</f>
        <v>LUCAS FERREIRA DOS SANTOS (868)</v>
      </c>
      <c r="H3560" t="str">
        <f>"Serv.Prest. 08/09/2025 a 14/09/2025 - PIX: CELULAR - CHAVE: (33) 99172-0627"</f>
        <v>Serv.Prest. 08/09/2025 a 14/09/2025 - PIX: CELULAR - CHAVE: (33) 99172-0627</v>
      </c>
      <c r="I3560" t="str">
        <f t="shared" si="646"/>
        <v>25/09/2025</v>
      </c>
      <c r="J3560" t="str">
        <f t="shared" si="641"/>
        <v>16/09/2025</v>
      </c>
      <c r="K3560" t="str">
        <f>("25/09/2025")</f>
        <v>25/09/2025</v>
      </c>
      <c r="L3560">
        <v>1080</v>
      </c>
      <c r="M3560">
        <v>1080</v>
      </c>
      <c r="N3560">
        <v>109</v>
      </c>
      <c r="O3560" t="str">
        <f>"PAGAMENTO DE ENTREGADORES"</f>
        <v>PAGAMENTO DE ENTREGADORES</v>
      </c>
      <c r="P3560">
        <v>1080</v>
      </c>
      <c r="S3560" t="str">
        <f>"BANCO C6 (149)"</f>
        <v>BANCO C6 (149)</v>
      </c>
      <c r="T3560">
        <v>18810</v>
      </c>
      <c r="U3560">
        <v>22116</v>
      </c>
      <c r="V3560" t="s">
        <v>77</v>
      </c>
    </row>
    <row r="3561" spans="1:22">
      <c r="A3561" t="str">
        <f t="shared" si="644"/>
        <v>25/09/2025</v>
      </c>
      <c r="B3561" t="str">
        <f t="shared" si="642"/>
        <v>SAÍDA</v>
      </c>
      <c r="C3561" t="str">
        <f t="shared" si="645"/>
        <v>PIX</v>
      </c>
      <c r="D3561" t="str">
        <f>"22116"</f>
        <v>22116</v>
      </c>
      <c r="E3561" t="str">
        <f t="shared" si="647"/>
        <v>1</v>
      </c>
      <c r="F3561" t="str">
        <f t="shared" si="643"/>
        <v>COM</v>
      </c>
      <c r="G3561" t="str">
        <f>"LUCAS FERREIRA DOS SANTOS (868)"</f>
        <v>LUCAS FERREIRA DOS SANTOS (868)</v>
      </c>
      <c r="H3561" t="s">
        <v>1004</v>
      </c>
      <c r="I3561" t="str">
        <f t="shared" si="646"/>
        <v>25/09/2025</v>
      </c>
      <c r="J3561" t="str">
        <f t="shared" si="641"/>
        <v>16/09/2025</v>
      </c>
      <c r="K3561">
        <v>45925</v>
      </c>
      <c r="N3561">
        <v>109</v>
      </c>
      <c r="O3561" t="s">
        <v>24</v>
      </c>
      <c r="Q3561">
        <v>1080</v>
      </c>
      <c r="R3561" t="str">
        <f>"FARMÁCIA INDIANA LJ 06 (10006)"</f>
        <v>FARMÁCIA INDIANA LJ 06 (10006)</v>
      </c>
      <c r="S3561" t="s">
        <v>77</v>
      </c>
      <c r="T3561">
        <v>18810</v>
      </c>
      <c r="U3561">
        <v>22116</v>
      </c>
      <c r="V3561" t="s">
        <v>77</v>
      </c>
    </row>
    <row r="3562" spans="1:22">
      <c r="A3562" t="str">
        <f t="shared" si="644"/>
        <v>25/09/2025</v>
      </c>
      <c r="B3562" t="str">
        <f t="shared" si="642"/>
        <v>SAÍDA</v>
      </c>
      <c r="C3562" t="str">
        <f t="shared" si="645"/>
        <v>PIX</v>
      </c>
      <c r="D3562" t="str">
        <f>"22117"</f>
        <v>22117</v>
      </c>
      <c r="E3562" t="str">
        <f t="shared" si="647"/>
        <v>1</v>
      </c>
      <c r="F3562" t="str">
        <f t="shared" si="643"/>
        <v>COM</v>
      </c>
      <c r="G3562" t="str">
        <f>"LUIZ ALVES MARTINS (40)"</f>
        <v>LUIZ ALVES MARTINS (40)</v>
      </c>
      <c r="H3562" t="str">
        <f>"Serv.Prest. 08/09/2025 a 14/09/2025 - PIX: CELULAR - CHAVE: (33) 99981-6650"</f>
        <v>Serv.Prest. 08/09/2025 a 14/09/2025 - PIX: CELULAR - CHAVE: (33) 99981-6650</v>
      </c>
      <c r="I3562" t="str">
        <f t="shared" si="646"/>
        <v>25/09/2025</v>
      </c>
      <c r="J3562" t="str">
        <f t="shared" si="641"/>
        <v>16/09/2025</v>
      </c>
      <c r="K3562" t="str">
        <f>("25/09/2025")</f>
        <v>25/09/2025</v>
      </c>
      <c r="L3562">
        <v>1110</v>
      </c>
      <c r="M3562">
        <v>1110</v>
      </c>
      <c r="N3562">
        <v>109</v>
      </c>
      <c r="O3562" t="str">
        <f>"PAGAMENTO DE ENTREGADORES"</f>
        <v>PAGAMENTO DE ENTREGADORES</v>
      </c>
      <c r="P3562">
        <v>1110</v>
      </c>
      <c r="S3562" t="str">
        <f>"BANCO C6 (149)"</f>
        <v>BANCO C6 (149)</v>
      </c>
      <c r="T3562">
        <v>18811</v>
      </c>
      <c r="U3562">
        <v>22117</v>
      </c>
      <c r="V3562" t="s">
        <v>77</v>
      </c>
    </row>
    <row r="3563" spans="1:22">
      <c r="A3563" t="str">
        <f t="shared" si="644"/>
        <v>25/09/2025</v>
      </c>
      <c r="B3563" t="str">
        <f t="shared" si="642"/>
        <v>SAÍDA</v>
      </c>
      <c r="C3563" t="str">
        <f t="shared" si="645"/>
        <v>PIX</v>
      </c>
      <c r="D3563" t="str">
        <f>"22117"</f>
        <v>22117</v>
      </c>
      <c r="E3563" t="str">
        <f t="shared" si="647"/>
        <v>1</v>
      </c>
      <c r="F3563" t="str">
        <f t="shared" si="643"/>
        <v>COM</v>
      </c>
      <c r="G3563" t="str">
        <f>"LUIZ ALVES MARTINS (40)"</f>
        <v>LUIZ ALVES MARTINS (40)</v>
      </c>
      <c r="H3563" t="s">
        <v>1005</v>
      </c>
      <c r="I3563" t="str">
        <f t="shared" si="646"/>
        <v>25/09/2025</v>
      </c>
      <c r="J3563" t="str">
        <f t="shared" si="641"/>
        <v>16/09/2025</v>
      </c>
      <c r="K3563">
        <v>45925</v>
      </c>
      <c r="N3563">
        <v>109</v>
      </c>
      <c r="O3563" t="s">
        <v>24</v>
      </c>
      <c r="Q3563">
        <v>1110</v>
      </c>
      <c r="R3563" t="str">
        <f>"FARMÁCIA INDIANA LJ 11 (10008)"</f>
        <v>FARMÁCIA INDIANA LJ 11 (10008)</v>
      </c>
      <c r="S3563" t="s">
        <v>77</v>
      </c>
      <c r="T3563">
        <v>18811</v>
      </c>
      <c r="U3563">
        <v>22117</v>
      </c>
      <c r="V3563" t="s">
        <v>77</v>
      </c>
    </row>
    <row r="3564" spans="1:22">
      <c r="A3564" t="str">
        <f t="shared" si="644"/>
        <v>25/09/2025</v>
      </c>
      <c r="B3564" t="str">
        <f t="shared" si="642"/>
        <v>SAÍDA</v>
      </c>
      <c r="C3564" t="str">
        <f t="shared" si="645"/>
        <v>PIX</v>
      </c>
      <c r="D3564" t="str">
        <f>"22118"</f>
        <v>22118</v>
      </c>
      <c r="E3564" t="str">
        <f t="shared" si="647"/>
        <v>1</v>
      </c>
      <c r="F3564" t="str">
        <f t="shared" si="643"/>
        <v>COM</v>
      </c>
      <c r="G3564" t="str">
        <f>"LUIZ EDUARDO VIANA BRITO (878)"</f>
        <v>LUIZ EDUARDO VIANA BRITO (878)</v>
      </c>
      <c r="H3564" t="str">
        <f>"Serv.Prest. 08/09/2025 a 14/09/2025 - PIX: CPF - CHAVE: 101.220.976-88"</f>
        <v>Serv.Prest. 08/09/2025 a 14/09/2025 - PIX: CPF - CHAVE: 101.220.976-88</v>
      </c>
      <c r="I3564" t="str">
        <f t="shared" si="646"/>
        <v>25/09/2025</v>
      </c>
      <c r="J3564" t="str">
        <f t="shared" si="641"/>
        <v>16/09/2025</v>
      </c>
      <c r="K3564" t="str">
        <f>("25/09/2025")</f>
        <v>25/09/2025</v>
      </c>
      <c r="L3564">
        <v>1815</v>
      </c>
      <c r="M3564">
        <v>1815</v>
      </c>
      <c r="N3564">
        <v>109</v>
      </c>
      <c r="O3564" t="str">
        <f>"PAGAMENTO DE ENTREGADORES"</f>
        <v>PAGAMENTO DE ENTREGADORES</v>
      </c>
      <c r="P3564">
        <v>1815</v>
      </c>
      <c r="S3564" t="str">
        <f>"BANCO C6 (149)"</f>
        <v>BANCO C6 (149)</v>
      </c>
      <c r="T3564">
        <v>18812</v>
      </c>
      <c r="U3564">
        <v>22118</v>
      </c>
      <c r="V3564" t="s">
        <v>77</v>
      </c>
    </row>
    <row r="3565" spans="1:22">
      <c r="A3565" t="str">
        <f t="shared" si="644"/>
        <v>25/09/2025</v>
      </c>
      <c r="B3565" t="str">
        <f t="shared" si="642"/>
        <v>SAÍDA</v>
      </c>
      <c r="C3565" t="str">
        <f t="shared" si="645"/>
        <v>PIX</v>
      </c>
      <c r="D3565" t="str">
        <f>"22118"</f>
        <v>22118</v>
      </c>
      <c r="E3565" t="str">
        <f t="shared" si="647"/>
        <v>1</v>
      </c>
      <c r="F3565" t="str">
        <f t="shared" si="643"/>
        <v>COM</v>
      </c>
      <c r="G3565" t="str">
        <f>"LUIZ EDUARDO VIANA BRITO (878)"</f>
        <v>LUIZ EDUARDO VIANA BRITO (878)</v>
      </c>
      <c r="H3565" t="s">
        <v>1006</v>
      </c>
      <c r="I3565" t="str">
        <f t="shared" si="646"/>
        <v>25/09/2025</v>
      </c>
      <c r="J3565" t="str">
        <f t="shared" si="641"/>
        <v>16/09/2025</v>
      </c>
      <c r="K3565">
        <v>45925</v>
      </c>
      <c r="N3565">
        <v>109</v>
      </c>
      <c r="O3565" t="s">
        <v>24</v>
      </c>
      <c r="Q3565">
        <v>1815</v>
      </c>
      <c r="R3565" t="str">
        <f>"FARMÁCIA INDIANA LJ 40 (10016)"</f>
        <v>FARMÁCIA INDIANA LJ 40 (10016)</v>
      </c>
      <c r="S3565" t="s">
        <v>77</v>
      </c>
      <c r="T3565">
        <v>18812</v>
      </c>
      <c r="U3565">
        <v>22118</v>
      </c>
      <c r="V3565" t="s">
        <v>77</v>
      </c>
    </row>
    <row r="3566" spans="1:22">
      <c r="A3566" t="str">
        <f t="shared" si="644"/>
        <v>25/09/2025</v>
      </c>
      <c r="B3566" t="str">
        <f t="shared" si="642"/>
        <v>SAÍDA</v>
      </c>
      <c r="C3566" t="str">
        <f t="shared" si="645"/>
        <v>PIX</v>
      </c>
      <c r="D3566" t="str">
        <f>"22119"</f>
        <v>22119</v>
      </c>
      <c r="E3566" t="str">
        <f t="shared" si="647"/>
        <v>1</v>
      </c>
      <c r="F3566" t="str">
        <f t="shared" si="643"/>
        <v>COM</v>
      </c>
      <c r="G3566" t="str">
        <f>"LUIZ EMANUEL PINHEIRO (870)"</f>
        <v>LUIZ EMANUEL PINHEIRO (870)</v>
      </c>
      <c r="H3566" t="str">
        <f>"Serv.Prest. 08/09/2025 a 14/09/2025 - PIX: CPF - CHAVE: 129.269.326-69"</f>
        <v>Serv.Prest. 08/09/2025 a 14/09/2025 - PIX: CPF - CHAVE: 129.269.326-69</v>
      </c>
      <c r="I3566" t="str">
        <f t="shared" si="646"/>
        <v>25/09/2025</v>
      </c>
      <c r="J3566" t="str">
        <f t="shared" si="641"/>
        <v>16/09/2025</v>
      </c>
      <c r="K3566" t="str">
        <f>("25/09/2025")</f>
        <v>25/09/2025</v>
      </c>
      <c r="L3566">
        <v>700.8</v>
      </c>
      <c r="M3566">
        <v>700.8</v>
      </c>
      <c r="N3566">
        <v>109</v>
      </c>
      <c r="O3566" t="str">
        <f>"PAGAMENTO DE ENTREGADORES"</f>
        <v>PAGAMENTO DE ENTREGADORES</v>
      </c>
      <c r="P3566">
        <v>700.8</v>
      </c>
      <c r="S3566" t="str">
        <f>"BANCO C6 (149)"</f>
        <v>BANCO C6 (149)</v>
      </c>
      <c r="T3566">
        <v>18813</v>
      </c>
      <c r="U3566">
        <v>22119</v>
      </c>
      <c r="V3566" t="s">
        <v>77</v>
      </c>
    </row>
    <row r="3567" spans="1:22">
      <c r="A3567" t="str">
        <f t="shared" si="644"/>
        <v>25/09/2025</v>
      </c>
      <c r="B3567" t="str">
        <f t="shared" si="642"/>
        <v>SAÍDA</v>
      </c>
      <c r="C3567" t="str">
        <f t="shared" si="645"/>
        <v>PIX</v>
      </c>
      <c r="D3567" t="str">
        <f>"22119"</f>
        <v>22119</v>
      </c>
      <c r="E3567" t="str">
        <f t="shared" si="647"/>
        <v>1</v>
      </c>
      <c r="F3567" t="str">
        <f t="shared" si="643"/>
        <v>COM</v>
      </c>
      <c r="G3567" t="str">
        <f>"LUIZ EMANUEL PINHEIRO (870)"</f>
        <v>LUIZ EMANUEL PINHEIRO (870)</v>
      </c>
      <c r="H3567" t="s">
        <v>1007</v>
      </c>
      <c r="I3567" t="str">
        <f t="shared" si="646"/>
        <v>25/09/2025</v>
      </c>
      <c r="J3567" t="str">
        <f t="shared" si="641"/>
        <v>16/09/2025</v>
      </c>
      <c r="K3567">
        <v>45925</v>
      </c>
      <c r="N3567">
        <v>109</v>
      </c>
      <c r="O3567" t="s">
        <v>24</v>
      </c>
      <c r="Q3567">
        <v>71.900000000000006</v>
      </c>
      <c r="R3567" t="str">
        <f>"FARMÁCIA INDIANA LJ 121 (10054)"</f>
        <v>FARMÁCIA INDIANA LJ 121 (10054)</v>
      </c>
      <c r="S3567" t="s">
        <v>77</v>
      </c>
      <c r="T3567">
        <v>18813</v>
      </c>
      <c r="U3567">
        <v>22119</v>
      </c>
      <c r="V3567" t="s">
        <v>77</v>
      </c>
    </row>
    <row r="3568" spans="1:22">
      <c r="A3568" t="str">
        <f t="shared" si="644"/>
        <v>25/09/2025</v>
      </c>
      <c r="B3568" t="str">
        <f t="shared" si="642"/>
        <v>SAÍDA</v>
      </c>
      <c r="C3568" t="str">
        <f t="shared" si="645"/>
        <v>PIX</v>
      </c>
      <c r="D3568" t="str">
        <f>"22119"</f>
        <v>22119</v>
      </c>
      <c r="E3568" t="str">
        <f t="shared" si="647"/>
        <v>1</v>
      </c>
      <c r="F3568" t="str">
        <f t="shared" si="643"/>
        <v>COM</v>
      </c>
      <c r="G3568" t="str">
        <f>"LUIZ EMANUEL PINHEIRO (870)"</f>
        <v>LUIZ EMANUEL PINHEIRO (870)</v>
      </c>
      <c r="H3568" t="s">
        <v>1007</v>
      </c>
      <c r="I3568" t="str">
        <f t="shared" si="646"/>
        <v>25/09/2025</v>
      </c>
      <c r="J3568" t="str">
        <f t="shared" si="641"/>
        <v>16/09/2025</v>
      </c>
      <c r="K3568">
        <v>45925</v>
      </c>
      <c r="N3568">
        <v>109</v>
      </c>
      <c r="O3568" t="s">
        <v>24</v>
      </c>
      <c r="Q3568">
        <v>628.9</v>
      </c>
      <c r="R3568" t="str">
        <f>"FARMÁCIA INDIANA LJ 128 (10057)"</f>
        <v>FARMÁCIA INDIANA LJ 128 (10057)</v>
      </c>
      <c r="S3568" t="s">
        <v>77</v>
      </c>
      <c r="T3568">
        <v>18813</v>
      </c>
      <c r="U3568">
        <v>22119</v>
      </c>
      <c r="V3568" t="s">
        <v>77</v>
      </c>
    </row>
    <row r="3569" spans="1:22">
      <c r="A3569" t="str">
        <f t="shared" si="644"/>
        <v>25/09/2025</v>
      </c>
      <c r="B3569" t="str">
        <f t="shared" si="642"/>
        <v>SAÍDA</v>
      </c>
      <c r="C3569" t="str">
        <f t="shared" si="645"/>
        <v>PIX</v>
      </c>
      <c r="D3569" t="str">
        <f>"22120"</f>
        <v>22120</v>
      </c>
      <c r="E3569" t="str">
        <f t="shared" si="647"/>
        <v>1</v>
      </c>
      <c r="F3569" t="str">
        <f t="shared" si="643"/>
        <v>COM</v>
      </c>
      <c r="G3569" t="str">
        <f>"LUIZ FERNANDO CARVALHO ALVES (198)"</f>
        <v>LUIZ FERNANDO CARVALHO ALVES (198)</v>
      </c>
      <c r="H3569" t="str">
        <f>"Serv.Prest. 08/09/2025 a 14/09/2025 - PIX: CPF - CHAVE: 705.097.186-39"</f>
        <v>Serv.Prest. 08/09/2025 a 14/09/2025 - PIX: CPF - CHAVE: 705.097.186-39</v>
      </c>
      <c r="I3569" t="str">
        <f t="shared" si="646"/>
        <v>25/09/2025</v>
      </c>
      <c r="J3569" t="str">
        <f t="shared" si="641"/>
        <v>16/09/2025</v>
      </c>
      <c r="K3569" t="str">
        <f>("25/09/2025")</f>
        <v>25/09/2025</v>
      </c>
      <c r="L3569">
        <v>750</v>
      </c>
      <c r="M3569">
        <v>750</v>
      </c>
      <c r="N3569">
        <v>109</v>
      </c>
      <c r="O3569" t="str">
        <f>"PAGAMENTO DE ENTREGADORES"</f>
        <v>PAGAMENTO DE ENTREGADORES</v>
      </c>
      <c r="P3569">
        <v>750</v>
      </c>
      <c r="S3569" t="str">
        <f>"BANCO C6 (149)"</f>
        <v>BANCO C6 (149)</v>
      </c>
      <c r="T3569">
        <v>18814</v>
      </c>
      <c r="U3569">
        <v>22120</v>
      </c>
      <c r="V3569" t="s">
        <v>77</v>
      </c>
    </row>
    <row r="3570" spans="1:22">
      <c r="A3570" t="str">
        <f t="shared" si="644"/>
        <v>25/09/2025</v>
      </c>
      <c r="B3570" t="str">
        <f t="shared" si="642"/>
        <v>SAÍDA</v>
      </c>
      <c r="C3570" t="str">
        <f t="shared" si="645"/>
        <v>PIX</v>
      </c>
      <c r="D3570" t="str">
        <f>"22120"</f>
        <v>22120</v>
      </c>
      <c r="E3570" t="str">
        <f t="shared" si="647"/>
        <v>1</v>
      </c>
      <c r="F3570" t="str">
        <f t="shared" si="643"/>
        <v>COM</v>
      </c>
      <c r="G3570" t="str">
        <f>"LUIZ FERNANDO CARVALHO ALVES (198)"</f>
        <v>LUIZ FERNANDO CARVALHO ALVES (198)</v>
      </c>
      <c r="H3570" t="s">
        <v>1008</v>
      </c>
      <c r="I3570" t="str">
        <f t="shared" si="646"/>
        <v>25/09/2025</v>
      </c>
      <c r="J3570" t="str">
        <f t="shared" si="641"/>
        <v>16/09/2025</v>
      </c>
      <c r="K3570">
        <v>45925</v>
      </c>
      <c r="N3570">
        <v>109</v>
      </c>
      <c r="O3570" t="s">
        <v>24</v>
      </c>
      <c r="Q3570">
        <v>750</v>
      </c>
      <c r="R3570" t="str">
        <f>"FARMÁCIA INDIANA LJ 171 (10074)"</f>
        <v>FARMÁCIA INDIANA LJ 171 (10074)</v>
      </c>
      <c r="S3570" t="s">
        <v>77</v>
      </c>
      <c r="T3570">
        <v>18814</v>
      </c>
      <c r="U3570">
        <v>22120</v>
      </c>
      <c r="V3570" t="s">
        <v>77</v>
      </c>
    </row>
    <row r="3571" spans="1:22">
      <c r="A3571" t="str">
        <f t="shared" si="644"/>
        <v>25/09/2025</v>
      </c>
      <c r="B3571" t="str">
        <f t="shared" si="642"/>
        <v>SAÍDA</v>
      </c>
      <c r="C3571" t="str">
        <f t="shared" si="645"/>
        <v>PIX</v>
      </c>
      <c r="D3571" t="str">
        <f>"22121"</f>
        <v>22121</v>
      </c>
      <c r="E3571" t="str">
        <f t="shared" si="647"/>
        <v>1</v>
      </c>
      <c r="F3571" t="str">
        <f t="shared" si="643"/>
        <v>COM</v>
      </c>
      <c r="G3571" t="str">
        <f>"MAICON HENRIQUE FERREIRA DOS SANTOS (759)"</f>
        <v>MAICON HENRIQUE FERREIRA DOS SANTOS (759)</v>
      </c>
      <c r="H3571" t="str">
        <f>"Serv.Prest. 08/09/2025 a 14/09/2025 - PIX: CELULAR - CHAVE: (31) 98412-5118"</f>
        <v>Serv.Prest. 08/09/2025 a 14/09/2025 - PIX: CELULAR - CHAVE: (31) 98412-5118</v>
      </c>
      <c r="I3571" t="str">
        <f t="shared" si="646"/>
        <v>25/09/2025</v>
      </c>
      <c r="J3571" t="str">
        <f t="shared" si="641"/>
        <v>16/09/2025</v>
      </c>
      <c r="K3571" t="str">
        <f>("25/09/2025")</f>
        <v>25/09/2025</v>
      </c>
      <c r="L3571">
        <v>1302</v>
      </c>
      <c r="M3571">
        <v>1302</v>
      </c>
      <c r="N3571">
        <v>109</v>
      </c>
      <c r="O3571" t="str">
        <f>"PAGAMENTO DE ENTREGADORES"</f>
        <v>PAGAMENTO DE ENTREGADORES</v>
      </c>
      <c r="P3571">
        <v>1302</v>
      </c>
      <c r="S3571" t="str">
        <f>"BANCO C6 (149)"</f>
        <v>BANCO C6 (149)</v>
      </c>
      <c r="T3571">
        <v>18815</v>
      </c>
      <c r="U3571">
        <v>22121</v>
      </c>
      <c r="V3571" t="s">
        <v>77</v>
      </c>
    </row>
    <row r="3572" spans="1:22">
      <c r="A3572" t="str">
        <f t="shared" si="644"/>
        <v>25/09/2025</v>
      </c>
      <c r="B3572" t="str">
        <f t="shared" si="642"/>
        <v>SAÍDA</v>
      </c>
      <c r="C3572" t="str">
        <f t="shared" si="645"/>
        <v>PIX</v>
      </c>
      <c r="D3572" t="str">
        <f>"22121"</f>
        <v>22121</v>
      </c>
      <c r="E3572" t="str">
        <f t="shared" si="647"/>
        <v>1</v>
      </c>
      <c r="F3572" t="str">
        <f t="shared" si="643"/>
        <v>COM</v>
      </c>
      <c r="G3572" t="str">
        <f>"MAICON HENRIQUE FERREIRA DOS SANTOS (759)"</f>
        <v>MAICON HENRIQUE FERREIRA DOS SANTOS (759)</v>
      </c>
      <c r="H3572" t="s">
        <v>1009</v>
      </c>
      <c r="I3572" t="str">
        <f t="shared" si="646"/>
        <v>25/09/2025</v>
      </c>
      <c r="J3572" t="str">
        <f t="shared" si="641"/>
        <v>16/09/2025</v>
      </c>
      <c r="K3572">
        <v>45925</v>
      </c>
      <c r="N3572">
        <v>109</v>
      </c>
      <c r="O3572" t="s">
        <v>24</v>
      </c>
      <c r="Q3572">
        <v>1302</v>
      </c>
      <c r="R3572" t="str">
        <f>"FARMÁCIA INDIANA LJ 101 (10043)"</f>
        <v>FARMÁCIA INDIANA LJ 101 (10043)</v>
      </c>
      <c r="S3572" t="s">
        <v>77</v>
      </c>
      <c r="T3572">
        <v>18815</v>
      </c>
      <c r="U3572">
        <v>22121</v>
      </c>
      <c r="V3572" t="s">
        <v>77</v>
      </c>
    </row>
    <row r="3573" spans="1:22">
      <c r="A3573" t="str">
        <f t="shared" si="644"/>
        <v>25/09/2025</v>
      </c>
      <c r="B3573" t="str">
        <f t="shared" si="642"/>
        <v>SAÍDA</v>
      </c>
      <c r="C3573" t="str">
        <f t="shared" si="645"/>
        <v>PIX</v>
      </c>
      <c r="D3573" t="str">
        <f>"22122"</f>
        <v>22122</v>
      </c>
      <c r="E3573" t="str">
        <f t="shared" si="647"/>
        <v>1</v>
      </c>
      <c r="F3573" t="str">
        <f t="shared" si="643"/>
        <v>COM</v>
      </c>
      <c r="G3573" t="str">
        <f>"MARCIO CLAUDIO DE ARAUJO (204)"</f>
        <v>MARCIO CLAUDIO DE ARAUJO (204)</v>
      </c>
      <c r="H3573" t="str">
        <f>"Serv.Prest. 08/09/2025 a 14/09/2025 - PIX: CELULAR - CHAVE: (33) 98427-3872"</f>
        <v>Serv.Prest. 08/09/2025 a 14/09/2025 - PIX: CELULAR - CHAVE: (33) 98427-3872</v>
      </c>
      <c r="I3573" t="str">
        <f t="shared" si="646"/>
        <v>25/09/2025</v>
      </c>
      <c r="J3573" t="str">
        <f t="shared" ref="J3573:J3636" si="648">("16/09/2025")</f>
        <v>16/09/2025</v>
      </c>
      <c r="K3573" t="str">
        <f>("25/09/2025")</f>
        <v>25/09/2025</v>
      </c>
      <c r="L3573">
        <v>918</v>
      </c>
      <c r="M3573">
        <v>918</v>
      </c>
      <c r="N3573">
        <v>109</v>
      </c>
      <c r="O3573" t="str">
        <f>"PAGAMENTO DE ENTREGADORES"</f>
        <v>PAGAMENTO DE ENTREGADORES</v>
      </c>
      <c r="P3573">
        <v>918</v>
      </c>
      <c r="S3573" t="str">
        <f>"BANCO C6 (149)"</f>
        <v>BANCO C6 (149)</v>
      </c>
      <c r="T3573">
        <v>18816</v>
      </c>
      <c r="U3573">
        <v>22122</v>
      </c>
      <c r="V3573" t="s">
        <v>77</v>
      </c>
    </row>
    <row r="3574" spans="1:22">
      <c r="A3574" t="str">
        <f t="shared" si="644"/>
        <v>25/09/2025</v>
      </c>
      <c r="B3574" t="str">
        <f t="shared" si="642"/>
        <v>SAÍDA</v>
      </c>
      <c r="C3574" t="str">
        <f t="shared" si="645"/>
        <v>PIX</v>
      </c>
      <c r="D3574" t="str">
        <f>"22122"</f>
        <v>22122</v>
      </c>
      <c r="E3574" t="str">
        <f t="shared" si="647"/>
        <v>1</v>
      </c>
      <c r="F3574" t="str">
        <f t="shared" si="643"/>
        <v>COM</v>
      </c>
      <c r="G3574" t="str">
        <f>"MARCIO CLAUDIO DE ARAUJO (204)"</f>
        <v>MARCIO CLAUDIO DE ARAUJO (204)</v>
      </c>
      <c r="H3574" t="s">
        <v>1010</v>
      </c>
      <c r="I3574" t="str">
        <f t="shared" si="646"/>
        <v>25/09/2025</v>
      </c>
      <c r="J3574" t="str">
        <f t="shared" si="648"/>
        <v>16/09/2025</v>
      </c>
      <c r="K3574">
        <v>45925</v>
      </c>
      <c r="N3574">
        <v>109</v>
      </c>
      <c r="O3574" t="s">
        <v>24</v>
      </c>
      <c r="Q3574">
        <v>918</v>
      </c>
      <c r="R3574" t="str">
        <f>"FARMÁCIA INDIANA LJ 06 (10006)"</f>
        <v>FARMÁCIA INDIANA LJ 06 (10006)</v>
      </c>
      <c r="S3574" t="s">
        <v>77</v>
      </c>
      <c r="T3574">
        <v>18816</v>
      </c>
      <c r="U3574">
        <v>22122</v>
      </c>
      <c r="V3574" t="s">
        <v>77</v>
      </c>
    </row>
    <row r="3575" spans="1:22">
      <c r="A3575" t="str">
        <f t="shared" si="644"/>
        <v>25/09/2025</v>
      </c>
      <c r="B3575" t="str">
        <f t="shared" si="642"/>
        <v>SAÍDA</v>
      </c>
      <c r="C3575" t="str">
        <f t="shared" si="645"/>
        <v>PIX</v>
      </c>
      <c r="D3575" t="str">
        <f>"22123"</f>
        <v>22123</v>
      </c>
      <c r="E3575" t="str">
        <f t="shared" si="647"/>
        <v>1</v>
      </c>
      <c r="F3575" t="str">
        <f t="shared" si="643"/>
        <v>COM</v>
      </c>
      <c r="G3575" t="str">
        <f>"MARCOS DIONI RODRIGUES GASPAR (506)"</f>
        <v>MARCOS DIONI RODRIGUES GASPAR (506)</v>
      </c>
      <c r="H3575" t="str">
        <f>"Serv.Prest. 08/09/2025 a 14/09/2025 - PIX: CELULAR - CHAVE: (33) 99815-2379"</f>
        <v>Serv.Prest. 08/09/2025 a 14/09/2025 - PIX: CELULAR - CHAVE: (33) 99815-2379</v>
      </c>
      <c r="I3575" t="str">
        <f t="shared" si="646"/>
        <v>25/09/2025</v>
      </c>
      <c r="J3575" t="str">
        <f t="shared" si="648"/>
        <v>16/09/2025</v>
      </c>
      <c r="K3575" t="str">
        <f>("25/09/2025")</f>
        <v>25/09/2025</v>
      </c>
      <c r="L3575">
        <v>1080</v>
      </c>
      <c r="M3575">
        <v>1080</v>
      </c>
      <c r="N3575">
        <v>109</v>
      </c>
      <c r="O3575" t="str">
        <f>"PAGAMENTO DE ENTREGADORES"</f>
        <v>PAGAMENTO DE ENTREGADORES</v>
      </c>
      <c r="P3575">
        <v>1080</v>
      </c>
      <c r="S3575" t="str">
        <f>"BANCO C6 (149)"</f>
        <v>BANCO C6 (149)</v>
      </c>
      <c r="T3575">
        <v>18817</v>
      </c>
      <c r="U3575">
        <v>22123</v>
      </c>
      <c r="V3575" t="s">
        <v>77</v>
      </c>
    </row>
    <row r="3576" spans="1:22">
      <c r="A3576" t="str">
        <f t="shared" si="644"/>
        <v>25/09/2025</v>
      </c>
      <c r="B3576" t="str">
        <f t="shared" si="642"/>
        <v>SAÍDA</v>
      </c>
      <c r="C3576" t="str">
        <f t="shared" si="645"/>
        <v>PIX</v>
      </c>
      <c r="D3576" t="str">
        <f>"22123"</f>
        <v>22123</v>
      </c>
      <c r="E3576" t="str">
        <f t="shared" si="647"/>
        <v>1</v>
      </c>
      <c r="F3576" t="str">
        <f t="shared" si="643"/>
        <v>COM</v>
      </c>
      <c r="G3576" t="str">
        <f>"MARCOS DIONI RODRIGUES GASPAR (506)"</f>
        <v>MARCOS DIONI RODRIGUES GASPAR (506)</v>
      </c>
      <c r="H3576" t="s">
        <v>1011</v>
      </c>
      <c r="I3576" t="str">
        <f t="shared" si="646"/>
        <v>25/09/2025</v>
      </c>
      <c r="J3576" t="str">
        <f t="shared" si="648"/>
        <v>16/09/2025</v>
      </c>
      <c r="K3576">
        <v>45925</v>
      </c>
      <c r="N3576">
        <v>109</v>
      </c>
      <c r="O3576" t="s">
        <v>24</v>
      </c>
      <c r="Q3576">
        <v>1080</v>
      </c>
      <c r="R3576" t="str">
        <f>"FARMÁCIA INDIANA LJ 06 (10006)"</f>
        <v>FARMÁCIA INDIANA LJ 06 (10006)</v>
      </c>
      <c r="S3576" t="s">
        <v>77</v>
      </c>
      <c r="T3576">
        <v>18817</v>
      </c>
      <c r="U3576">
        <v>22123</v>
      </c>
      <c r="V3576" t="s">
        <v>77</v>
      </c>
    </row>
    <row r="3577" spans="1:22">
      <c r="A3577" t="str">
        <f t="shared" si="644"/>
        <v>25/09/2025</v>
      </c>
      <c r="B3577" t="str">
        <f t="shared" si="642"/>
        <v>SAÍDA</v>
      </c>
      <c r="C3577" t="str">
        <f t="shared" si="645"/>
        <v>PIX</v>
      </c>
      <c r="D3577" t="str">
        <f>"22124"</f>
        <v>22124</v>
      </c>
      <c r="E3577" t="str">
        <f t="shared" si="647"/>
        <v>1</v>
      </c>
      <c r="F3577" t="str">
        <f t="shared" si="643"/>
        <v>COM</v>
      </c>
      <c r="G3577" t="str">
        <f>"MARCOS RODRIGUES PENA (64)"</f>
        <v>MARCOS RODRIGUES PENA (64)</v>
      </c>
      <c r="H3577" t="str">
        <f>"Serv.Prest. 08/09/2025 a 14/09/2025 - PIX: CELULAR - CHAVE: (33) 99194-2339"</f>
        <v>Serv.Prest. 08/09/2025 a 14/09/2025 - PIX: CELULAR - CHAVE: (33) 99194-2339</v>
      </c>
      <c r="I3577" t="str">
        <f t="shared" si="646"/>
        <v>25/09/2025</v>
      </c>
      <c r="J3577" t="str">
        <f t="shared" si="648"/>
        <v>16/09/2025</v>
      </c>
      <c r="K3577" t="str">
        <f>("25/09/2025")</f>
        <v>25/09/2025</v>
      </c>
      <c r="L3577">
        <v>602.5</v>
      </c>
      <c r="M3577">
        <v>602.5</v>
      </c>
      <c r="N3577">
        <v>109</v>
      </c>
      <c r="O3577" t="str">
        <f>"PAGAMENTO DE ENTREGADORES"</f>
        <v>PAGAMENTO DE ENTREGADORES</v>
      </c>
      <c r="P3577">
        <v>602.5</v>
      </c>
      <c r="S3577" t="str">
        <f>"BANCO C6 (149)"</f>
        <v>BANCO C6 (149)</v>
      </c>
      <c r="T3577">
        <v>18818</v>
      </c>
      <c r="U3577">
        <v>22124</v>
      </c>
      <c r="V3577" t="s">
        <v>77</v>
      </c>
    </row>
    <row r="3578" spans="1:22">
      <c r="A3578" t="str">
        <f t="shared" si="644"/>
        <v>25/09/2025</v>
      </c>
      <c r="B3578" t="str">
        <f t="shared" si="642"/>
        <v>SAÍDA</v>
      </c>
      <c r="C3578" t="str">
        <f t="shared" si="645"/>
        <v>PIX</v>
      </c>
      <c r="D3578" t="str">
        <f>"22124"</f>
        <v>22124</v>
      </c>
      <c r="E3578" t="str">
        <f t="shared" si="647"/>
        <v>1</v>
      </c>
      <c r="F3578" t="str">
        <f t="shared" si="643"/>
        <v>COM</v>
      </c>
      <c r="G3578" t="str">
        <f>"MARCOS RODRIGUES PENA (64)"</f>
        <v>MARCOS RODRIGUES PENA (64)</v>
      </c>
      <c r="H3578" t="s">
        <v>795</v>
      </c>
      <c r="I3578" t="str">
        <f t="shared" si="646"/>
        <v>25/09/2025</v>
      </c>
      <c r="J3578" t="str">
        <f t="shared" si="648"/>
        <v>16/09/2025</v>
      </c>
      <c r="K3578">
        <v>45925</v>
      </c>
      <c r="N3578">
        <v>109</v>
      </c>
      <c r="O3578" t="s">
        <v>24</v>
      </c>
      <c r="Q3578">
        <v>602.5</v>
      </c>
      <c r="R3578" t="str">
        <f>"FARMÁCIA INDIANA LJ 62 (10028)"</f>
        <v>FARMÁCIA INDIANA LJ 62 (10028)</v>
      </c>
      <c r="S3578" t="s">
        <v>77</v>
      </c>
      <c r="T3578">
        <v>18818</v>
      </c>
      <c r="U3578">
        <v>22124</v>
      </c>
      <c r="V3578" t="s">
        <v>77</v>
      </c>
    </row>
    <row r="3579" spans="1:22">
      <c r="A3579" t="str">
        <f t="shared" si="644"/>
        <v>25/09/2025</v>
      </c>
      <c r="B3579" t="str">
        <f t="shared" si="642"/>
        <v>SAÍDA</v>
      </c>
      <c r="C3579" t="str">
        <f t="shared" si="645"/>
        <v>PIX</v>
      </c>
      <c r="D3579" t="str">
        <f>"22125"</f>
        <v>22125</v>
      </c>
      <c r="E3579" t="str">
        <f t="shared" si="647"/>
        <v>1</v>
      </c>
      <c r="F3579" t="str">
        <f t="shared" si="643"/>
        <v>COM</v>
      </c>
      <c r="G3579" t="str">
        <f>"MATEUS JADSON SANTANA RIBEIRO (769)"</f>
        <v>MATEUS JADSON SANTANA RIBEIRO (769)</v>
      </c>
      <c r="H3579" t="str">
        <f>"Serv.Prest. 08/09/2025 a 14/09/2025 - PIX: CPF - CHAVE: 705.849.816-43"</f>
        <v>Serv.Prest. 08/09/2025 a 14/09/2025 - PIX: CPF - CHAVE: 705.849.816-43</v>
      </c>
      <c r="I3579" t="str">
        <f t="shared" si="646"/>
        <v>25/09/2025</v>
      </c>
      <c r="J3579" t="str">
        <f t="shared" si="648"/>
        <v>16/09/2025</v>
      </c>
      <c r="K3579" t="str">
        <f>("25/09/2025")</f>
        <v>25/09/2025</v>
      </c>
      <c r="L3579">
        <v>30</v>
      </c>
      <c r="M3579">
        <v>30</v>
      </c>
      <c r="N3579">
        <v>109</v>
      </c>
      <c r="O3579" t="str">
        <f>"PAGAMENTO DE ENTREGADORES"</f>
        <v>PAGAMENTO DE ENTREGADORES</v>
      </c>
      <c r="P3579">
        <v>30</v>
      </c>
      <c r="S3579" t="str">
        <f>"BANCO C6 (149)"</f>
        <v>BANCO C6 (149)</v>
      </c>
      <c r="T3579">
        <v>18819</v>
      </c>
      <c r="U3579">
        <v>22125</v>
      </c>
      <c r="V3579" t="s">
        <v>77</v>
      </c>
    </row>
    <row r="3580" spans="1:22">
      <c r="A3580" t="str">
        <f t="shared" si="644"/>
        <v>25/09/2025</v>
      </c>
      <c r="B3580" t="str">
        <f t="shared" si="642"/>
        <v>SAÍDA</v>
      </c>
      <c r="C3580" t="str">
        <f t="shared" si="645"/>
        <v>PIX</v>
      </c>
      <c r="D3580" t="str">
        <f>"22125"</f>
        <v>22125</v>
      </c>
      <c r="E3580" t="str">
        <f t="shared" si="647"/>
        <v>1</v>
      </c>
      <c r="F3580" t="str">
        <f t="shared" si="643"/>
        <v>COM</v>
      </c>
      <c r="G3580" t="str">
        <f>"MATEUS JADSON SANTANA RIBEIRO (769)"</f>
        <v>MATEUS JADSON SANTANA RIBEIRO (769)</v>
      </c>
      <c r="H3580" t="s">
        <v>1012</v>
      </c>
      <c r="I3580" t="str">
        <f t="shared" si="646"/>
        <v>25/09/2025</v>
      </c>
      <c r="J3580" t="str">
        <f t="shared" si="648"/>
        <v>16/09/2025</v>
      </c>
      <c r="K3580">
        <v>45925</v>
      </c>
      <c r="N3580">
        <v>109</v>
      </c>
      <c r="O3580" t="s">
        <v>24</v>
      </c>
      <c r="Q3580">
        <v>30</v>
      </c>
      <c r="R3580" t="str">
        <f>"FARMÁCIA INDIANA LJ 07 (10007)"</f>
        <v>FARMÁCIA INDIANA LJ 07 (10007)</v>
      </c>
      <c r="S3580" t="s">
        <v>77</v>
      </c>
      <c r="T3580">
        <v>18819</v>
      </c>
      <c r="U3580">
        <v>22125</v>
      </c>
      <c r="V3580" t="s">
        <v>77</v>
      </c>
    </row>
    <row r="3581" spans="1:22">
      <c r="A3581" t="str">
        <f t="shared" si="644"/>
        <v>25/09/2025</v>
      </c>
      <c r="B3581" t="str">
        <f t="shared" ref="B3581:B3644" si="649">"SAÍDA"</f>
        <v>SAÍDA</v>
      </c>
      <c r="C3581" t="str">
        <f t="shared" si="645"/>
        <v>PIX</v>
      </c>
      <c r="D3581" t="str">
        <f>"22126"</f>
        <v>22126</v>
      </c>
      <c r="E3581" t="str">
        <f t="shared" si="647"/>
        <v>1</v>
      </c>
      <c r="F3581" t="str">
        <f t="shared" si="643"/>
        <v>COM</v>
      </c>
      <c r="G3581" t="str">
        <f>"MATHEUS ALMEIDA RAMOS (47)"</f>
        <v>MATHEUS ALMEIDA RAMOS (47)</v>
      </c>
      <c r="H3581" t="str">
        <f>"Serv.Prest. 08/09/2025 a 14/09/2025 - PIX: CELULAR - CHAVE: (33) 98884-1637"</f>
        <v>Serv.Prest. 08/09/2025 a 14/09/2025 - PIX: CELULAR - CHAVE: (33) 98884-1637</v>
      </c>
      <c r="I3581" t="str">
        <f t="shared" si="646"/>
        <v>25/09/2025</v>
      </c>
      <c r="J3581" t="str">
        <f t="shared" si="648"/>
        <v>16/09/2025</v>
      </c>
      <c r="K3581" t="str">
        <f>("25/09/2025")</f>
        <v>25/09/2025</v>
      </c>
      <c r="L3581">
        <v>681.67</v>
      </c>
      <c r="M3581">
        <v>681.67</v>
      </c>
      <c r="N3581">
        <v>109</v>
      </c>
      <c r="O3581" t="str">
        <f>"PAGAMENTO DE ENTREGADORES"</f>
        <v>PAGAMENTO DE ENTREGADORES</v>
      </c>
      <c r="P3581">
        <v>681.67</v>
      </c>
      <c r="S3581" t="str">
        <f>"BANCO C6 (149)"</f>
        <v>BANCO C6 (149)</v>
      </c>
      <c r="T3581">
        <v>18820</v>
      </c>
      <c r="U3581">
        <v>22126</v>
      </c>
      <c r="V3581" t="s">
        <v>77</v>
      </c>
    </row>
    <row r="3582" spans="1:22">
      <c r="A3582" t="str">
        <f t="shared" si="644"/>
        <v>25/09/2025</v>
      </c>
      <c r="B3582" t="str">
        <f t="shared" si="649"/>
        <v>SAÍDA</v>
      </c>
      <c r="C3582" t="str">
        <f t="shared" si="645"/>
        <v>PIX</v>
      </c>
      <c r="D3582" t="str">
        <f>"22126"</f>
        <v>22126</v>
      </c>
      <c r="E3582" t="str">
        <f t="shared" si="647"/>
        <v>1</v>
      </c>
      <c r="F3582" t="str">
        <f t="shared" ref="F3582:F3645" si="650">"COM"</f>
        <v>COM</v>
      </c>
      <c r="G3582" t="str">
        <f>"MATHEUS ALMEIDA RAMOS (47)"</f>
        <v>MATHEUS ALMEIDA RAMOS (47)</v>
      </c>
      <c r="H3582" t="s">
        <v>605</v>
      </c>
      <c r="I3582" t="str">
        <f t="shared" si="646"/>
        <v>25/09/2025</v>
      </c>
      <c r="J3582" t="str">
        <f t="shared" si="648"/>
        <v>16/09/2025</v>
      </c>
      <c r="K3582">
        <v>45925</v>
      </c>
      <c r="N3582">
        <v>109</v>
      </c>
      <c r="O3582" t="s">
        <v>24</v>
      </c>
      <c r="Q3582">
        <v>681.67</v>
      </c>
      <c r="R3582" t="str">
        <f>"FARMÁCIA INDIANA LJ 07 (10007)"</f>
        <v>FARMÁCIA INDIANA LJ 07 (10007)</v>
      </c>
      <c r="S3582" t="s">
        <v>77</v>
      </c>
      <c r="T3582">
        <v>18820</v>
      </c>
      <c r="U3582">
        <v>22126</v>
      </c>
      <c r="V3582" t="s">
        <v>77</v>
      </c>
    </row>
    <row r="3583" spans="1:22">
      <c r="A3583" t="str">
        <f t="shared" si="644"/>
        <v>25/09/2025</v>
      </c>
      <c r="B3583" t="str">
        <f t="shared" si="649"/>
        <v>SAÍDA</v>
      </c>
      <c r="C3583" t="str">
        <f t="shared" si="645"/>
        <v>PIX</v>
      </c>
      <c r="D3583" t="str">
        <f>"22127"</f>
        <v>22127</v>
      </c>
      <c r="E3583" t="str">
        <f t="shared" si="647"/>
        <v>1</v>
      </c>
      <c r="F3583" t="str">
        <f t="shared" si="650"/>
        <v>COM</v>
      </c>
      <c r="G3583" t="str">
        <f>"MATHEUS VIEIRA DA SILVA (886)"</f>
        <v>MATHEUS VIEIRA DA SILVA (886)</v>
      </c>
      <c r="H3583" t="str">
        <f>"Serv.Prest. 08/09/2025 a 14/09/2025 - PIX: E-MAIL - CHAVE: meamatheusvieira@gmail.com"</f>
        <v>Serv.Prest. 08/09/2025 a 14/09/2025 - PIX: E-MAIL - CHAVE: meamatheusvieira@gmail.com</v>
      </c>
      <c r="I3583" t="str">
        <f t="shared" si="646"/>
        <v>25/09/2025</v>
      </c>
      <c r="J3583" t="str">
        <f t="shared" si="648"/>
        <v>16/09/2025</v>
      </c>
      <c r="K3583" t="str">
        <f>("25/09/2025")</f>
        <v>25/09/2025</v>
      </c>
      <c r="L3583">
        <v>1158</v>
      </c>
      <c r="M3583">
        <v>1158</v>
      </c>
      <c r="N3583">
        <v>109</v>
      </c>
      <c r="O3583" t="str">
        <f>"PAGAMENTO DE ENTREGADORES"</f>
        <v>PAGAMENTO DE ENTREGADORES</v>
      </c>
      <c r="P3583">
        <v>1158</v>
      </c>
      <c r="S3583" t="str">
        <f>"BANCO C6 (149)"</f>
        <v>BANCO C6 (149)</v>
      </c>
      <c r="T3583">
        <v>18821</v>
      </c>
      <c r="U3583">
        <v>22127</v>
      </c>
      <c r="V3583" t="s">
        <v>77</v>
      </c>
    </row>
    <row r="3584" spans="1:22">
      <c r="A3584" t="str">
        <f t="shared" si="644"/>
        <v>25/09/2025</v>
      </c>
      <c r="B3584" t="str">
        <f t="shared" si="649"/>
        <v>SAÍDA</v>
      </c>
      <c r="C3584" t="str">
        <f t="shared" si="645"/>
        <v>PIX</v>
      </c>
      <c r="D3584" t="str">
        <f>"22127"</f>
        <v>22127</v>
      </c>
      <c r="E3584" t="str">
        <f t="shared" si="647"/>
        <v>1</v>
      </c>
      <c r="F3584" t="str">
        <f t="shared" si="650"/>
        <v>COM</v>
      </c>
      <c r="G3584" t="str">
        <f>"MATHEUS VIEIRA DA SILVA (886)"</f>
        <v>MATHEUS VIEIRA DA SILVA (886)</v>
      </c>
      <c r="H3584" t="s">
        <v>1013</v>
      </c>
      <c r="I3584" t="str">
        <f t="shared" si="646"/>
        <v>25/09/2025</v>
      </c>
      <c r="J3584" t="str">
        <f t="shared" si="648"/>
        <v>16/09/2025</v>
      </c>
      <c r="K3584">
        <v>45925</v>
      </c>
      <c r="N3584">
        <v>109</v>
      </c>
      <c r="O3584" t="s">
        <v>24</v>
      </c>
      <c r="Q3584">
        <v>1158</v>
      </c>
      <c r="R3584" t="str">
        <f>"FARMÁCIA INDIANA LJ 07 (10007)"</f>
        <v>FARMÁCIA INDIANA LJ 07 (10007)</v>
      </c>
      <c r="S3584" t="s">
        <v>77</v>
      </c>
      <c r="T3584">
        <v>18821</v>
      </c>
      <c r="U3584">
        <v>22127</v>
      </c>
      <c r="V3584" t="s">
        <v>77</v>
      </c>
    </row>
    <row r="3585" spans="1:22">
      <c r="A3585" t="str">
        <f t="shared" si="644"/>
        <v>25/09/2025</v>
      </c>
      <c r="B3585" t="str">
        <f t="shared" si="649"/>
        <v>SAÍDA</v>
      </c>
      <c r="C3585" t="str">
        <f t="shared" si="645"/>
        <v>PIX</v>
      </c>
      <c r="D3585" t="str">
        <f>"22128"</f>
        <v>22128</v>
      </c>
      <c r="E3585" t="str">
        <f t="shared" si="647"/>
        <v>1</v>
      </c>
      <c r="F3585" t="str">
        <f t="shared" si="650"/>
        <v>COM</v>
      </c>
      <c r="G3585" t="str">
        <f>"MAURO AUGUSTO MACHADO DE ASSIS (767)"</f>
        <v>MAURO AUGUSTO MACHADO DE ASSIS (767)</v>
      </c>
      <c r="H3585" t="str">
        <f>"Serv.Prest. 08/09/2025 a 14/09/2025 - PIX: CPF - CHAVE: 163.330.766-27"</f>
        <v>Serv.Prest. 08/09/2025 a 14/09/2025 - PIX: CPF - CHAVE: 163.330.766-27</v>
      </c>
      <c r="I3585" t="str">
        <f t="shared" si="646"/>
        <v>25/09/2025</v>
      </c>
      <c r="J3585" t="str">
        <f t="shared" si="648"/>
        <v>16/09/2025</v>
      </c>
      <c r="K3585" t="str">
        <f>("25/09/2025")</f>
        <v>25/09/2025</v>
      </c>
      <c r="L3585">
        <v>1014</v>
      </c>
      <c r="M3585">
        <v>1014</v>
      </c>
      <c r="N3585">
        <v>109</v>
      </c>
      <c r="O3585" t="str">
        <f>"PAGAMENTO DE ENTREGADORES"</f>
        <v>PAGAMENTO DE ENTREGADORES</v>
      </c>
      <c r="P3585">
        <v>1014</v>
      </c>
      <c r="S3585" t="str">
        <f>"BANCO C6 (149)"</f>
        <v>BANCO C6 (149)</v>
      </c>
      <c r="T3585">
        <v>18822</v>
      </c>
      <c r="U3585">
        <v>22128</v>
      </c>
      <c r="V3585" t="s">
        <v>77</v>
      </c>
    </row>
    <row r="3586" spans="1:22">
      <c r="A3586" t="str">
        <f t="shared" si="644"/>
        <v>25/09/2025</v>
      </c>
      <c r="B3586" t="str">
        <f t="shared" si="649"/>
        <v>SAÍDA</v>
      </c>
      <c r="C3586" t="str">
        <f t="shared" si="645"/>
        <v>PIX</v>
      </c>
      <c r="D3586" t="str">
        <f>"22128"</f>
        <v>22128</v>
      </c>
      <c r="E3586" t="str">
        <f t="shared" si="647"/>
        <v>1</v>
      </c>
      <c r="F3586" t="str">
        <f t="shared" si="650"/>
        <v>COM</v>
      </c>
      <c r="G3586" t="str">
        <f>"MAURO AUGUSTO MACHADO DE ASSIS (767)"</f>
        <v>MAURO AUGUSTO MACHADO DE ASSIS (767)</v>
      </c>
      <c r="H3586" t="s">
        <v>1014</v>
      </c>
      <c r="I3586" t="str">
        <f t="shared" si="646"/>
        <v>25/09/2025</v>
      </c>
      <c r="J3586" t="str">
        <f t="shared" si="648"/>
        <v>16/09/2025</v>
      </c>
      <c r="K3586">
        <v>45925</v>
      </c>
      <c r="N3586">
        <v>109</v>
      </c>
      <c r="O3586" t="s">
        <v>24</v>
      </c>
      <c r="Q3586">
        <v>486.01</v>
      </c>
      <c r="R3586" t="str">
        <f>"FARMÁCIA INDIANA LJ 11 (10008)"</f>
        <v>FARMÁCIA INDIANA LJ 11 (10008)</v>
      </c>
      <c r="S3586" t="s">
        <v>77</v>
      </c>
      <c r="T3586">
        <v>18822</v>
      </c>
      <c r="U3586">
        <v>22128</v>
      </c>
      <c r="V3586" t="s">
        <v>77</v>
      </c>
    </row>
    <row r="3587" spans="1:22">
      <c r="A3587" t="str">
        <f t="shared" si="644"/>
        <v>25/09/2025</v>
      </c>
      <c r="B3587" t="str">
        <f t="shared" si="649"/>
        <v>SAÍDA</v>
      </c>
      <c r="C3587" t="str">
        <f t="shared" si="645"/>
        <v>PIX</v>
      </c>
      <c r="D3587" t="str">
        <f>"22128"</f>
        <v>22128</v>
      </c>
      <c r="E3587" t="str">
        <f t="shared" si="647"/>
        <v>1</v>
      </c>
      <c r="F3587" t="str">
        <f t="shared" si="650"/>
        <v>COM</v>
      </c>
      <c r="G3587" t="str">
        <f>"MAURO AUGUSTO MACHADO DE ASSIS (767)"</f>
        <v>MAURO AUGUSTO MACHADO DE ASSIS (767)</v>
      </c>
      <c r="H3587" t="s">
        <v>1014</v>
      </c>
      <c r="I3587" t="str">
        <f t="shared" si="646"/>
        <v>25/09/2025</v>
      </c>
      <c r="J3587" t="str">
        <f t="shared" si="648"/>
        <v>16/09/2025</v>
      </c>
      <c r="K3587">
        <v>45925</v>
      </c>
      <c r="N3587">
        <v>109</v>
      </c>
      <c r="O3587" t="s">
        <v>24</v>
      </c>
      <c r="Q3587">
        <v>527.99</v>
      </c>
      <c r="R3587" t="str">
        <f>"FARMÁCIA INDIANA LJ 172 (10161)"</f>
        <v>FARMÁCIA INDIANA LJ 172 (10161)</v>
      </c>
      <c r="S3587" t="s">
        <v>77</v>
      </c>
      <c r="T3587">
        <v>18822</v>
      </c>
      <c r="U3587">
        <v>22128</v>
      </c>
      <c r="V3587" t="s">
        <v>77</v>
      </c>
    </row>
    <row r="3588" spans="1:22">
      <c r="A3588" t="str">
        <f t="shared" si="644"/>
        <v>25/09/2025</v>
      </c>
      <c r="B3588" t="str">
        <f t="shared" si="649"/>
        <v>SAÍDA</v>
      </c>
      <c r="C3588" t="str">
        <f t="shared" si="645"/>
        <v>PIX</v>
      </c>
      <c r="D3588" t="str">
        <f>"22129"</f>
        <v>22129</v>
      </c>
      <c r="E3588" t="str">
        <f t="shared" si="647"/>
        <v>1</v>
      </c>
      <c r="F3588" t="str">
        <f t="shared" si="650"/>
        <v>COM</v>
      </c>
      <c r="G3588" t="str">
        <f>"MAYCON GUILHERME DUARTE (541)"</f>
        <v>MAYCON GUILHERME DUARTE (541)</v>
      </c>
      <c r="H3588" t="str">
        <f>"Serv.Prest. 08/09/2025 a 14/09/2025 - PIX: CELULAR - CHAVE: (31) 99076-6539"</f>
        <v>Serv.Prest. 08/09/2025 a 14/09/2025 - PIX: CELULAR - CHAVE: (31) 99076-6539</v>
      </c>
      <c r="I3588" t="str">
        <f t="shared" si="646"/>
        <v>25/09/2025</v>
      </c>
      <c r="J3588" t="str">
        <f t="shared" si="648"/>
        <v>16/09/2025</v>
      </c>
      <c r="K3588" t="str">
        <f>("25/09/2025")</f>
        <v>25/09/2025</v>
      </c>
      <c r="L3588">
        <v>1080</v>
      </c>
      <c r="M3588">
        <v>1080</v>
      </c>
      <c r="N3588">
        <v>109</v>
      </c>
      <c r="O3588" t="str">
        <f>"PAGAMENTO DE ENTREGADORES"</f>
        <v>PAGAMENTO DE ENTREGADORES</v>
      </c>
      <c r="P3588">
        <v>1080</v>
      </c>
      <c r="S3588" t="str">
        <f>"BANCO C6 (149)"</f>
        <v>BANCO C6 (149)</v>
      </c>
      <c r="T3588">
        <v>18823</v>
      </c>
      <c r="U3588">
        <v>22129</v>
      </c>
      <c r="V3588" t="s">
        <v>77</v>
      </c>
    </row>
    <row r="3589" spans="1:22">
      <c r="A3589" t="str">
        <f t="shared" si="644"/>
        <v>25/09/2025</v>
      </c>
      <c r="B3589" t="str">
        <f t="shared" si="649"/>
        <v>SAÍDA</v>
      </c>
      <c r="C3589" t="str">
        <f t="shared" si="645"/>
        <v>PIX</v>
      </c>
      <c r="D3589" t="str">
        <f>"22129"</f>
        <v>22129</v>
      </c>
      <c r="E3589" t="str">
        <f t="shared" si="647"/>
        <v>1</v>
      </c>
      <c r="F3589" t="str">
        <f t="shared" si="650"/>
        <v>COM</v>
      </c>
      <c r="G3589" t="str">
        <f>"MAYCON GUILHERME DUARTE (541)"</f>
        <v>MAYCON GUILHERME DUARTE (541)</v>
      </c>
      <c r="H3589" t="s">
        <v>1015</v>
      </c>
      <c r="I3589" t="str">
        <f t="shared" si="646"/>
        <v>25/09/2025</v>
      </c>
      <c r="J3589" t="str">
        <f t="shared" si="648"/>
        <v>16/09/2025</v>
      </c>
      <c r="K3589">
        <v>45925</v>
      </c>
      <c r="N3589">
        <v>109</v>
      </c>
      <c r="O3589" t="s">
        <v>24</v>
      </c>
      <c r="Q3589">
        <v>1080</v>
      </c>
      <c r="R3589" t="str">
        <f>"FARMÁCIA INDIANA LJ 220 (10092)"</f>
        <v>FARMÁCIA INDIANA LJ 220 (10092)</v>
      </c>
      <c r="S3589" t="s">
        <v>77</v>
      </c>
      <c r="T3589">
        <v>18823</v>
      </c>
      <c r="U3589">
        <v>22129</v>
      </c>
      <c r="V3589" t="s">
        <v>77</v>
      </c>
    </row>
    <row r="3590" spans="1:22">
      <c r="A3590" t="str">
        <f t="shared" si="644"/>
        <v>25/09/2025</v>
      </c>
      <c r="B3590" t="str">
        <f t="shared" si="649"/>
        <v>SAÍDA</v>
      </c>
      <c r="C3590" t="str">
        <f t="shared" si="645"/>
        <v>PIX</v>
      </c>
      <c r="D3590" t="str">
        <f>"22130"</f>
        <v>22130</v>
      </c>
      <c r="E3590" t="str">
        <f t="shared" si="647"/>
        <v>1</v>
      </c>
      <c r="F3590" t="str">
        <f t="shared" si="650"/>
        <v>COM</v>
      </c>
      <c r="G3590" t="str">
        <f>"MIGUEL PESSOA RAMOS (68)"</f>
        <v>MIGUEL PESSOA RAMOS (68)</v>
      </c>
      <c r="H3590" t="str">
        <f>"Serv.Prest. 08/09/2025 a 14/09/2025 - PIX: CELULAR - CHAVE: (33) 99845-0493"</f>
        <v>Serv.Prest. 08/09/2025 a 14/09/2025 - PIX: CELULAR - CHAVE: (33) 99845-0493</v>
      </c>
      <c r="I3590" t="str">
        <f t="shared" si="646"/>
        <v>25/09/2025</v>
      </c>
      <c r="J3590" t="str">
        <f t="shared" si="648"/>
        <v>16/09/2025</v>
      </c>
      <c r="K3590" t="str">
        <f>("25/09/2025")</f>
        <v>25/09/2025</v>
      </c>
      <c r="L3590">
        <v>822</v>
      </c>
      <c r="M3590">
        <v>822</v>
      </c>
      <c r="N3590">
        <v>109</v>
      </c>
      <c r="O3590" t="str">
        <f>"PAGAMENTO DE ENTREGADORES"</f>
        <v>PAGAMENTO DE ENTREGADORES</v>
      </c>
      <c r="P3590">
        <v>822</v>
      </c>
      <c r="S3590" t="str">
        <f>"BANCO C6 (149)"</f>
        <v>BANCO C6 (149)</v>
      </c>
      <c r="T3590">
        <v>18824</v>
      </c>
      <c r="U3590">
        <v>22130</v>
      </c>
      <c r="V3590" t="s">
        <v>77</v>
      </c>
    </row>
    <row r="3591" spans="1:22">
      <c r="A3591" t="str">
        <f t="shared" si="644"/>
        <v>25/09/2025</v>
      </c>
      <c r="B3591" t="str">
        <f t="shared" si="649"/>
        <v>SAÍDA</v>
      </c>
      <c r="C3591" t="str">
        <f t="shared" si="645"/>
        <v>PIX</v>
      </c>
      <c r="D3591" t="str">
        <f>"22130"</f>
        <v>22130</v>
      </c>
      <c r="E3591" t="str">
        <f t="shared" si="647"/>
        <v>1</v>
      </c>
      <c r="F3591" t="str">
        <f t="shared" si="650"/>
        <v>COM</v>
      </c>
      <c r="G3591" t="str">
        <f>"MIGUEL PESSOA RAMOS (68)"</f>
        <v>MIGUEL PESSOA RAMOS (68)</v>
      </c>
      <c r="H3591" t="s">
        <v>1016</v>
      </c>
      <c r="I3591" t="str">
        <f t="shared" si="646"/>
        <v>25/09/2025</v>
      </c>
      <c r="J3591" t="str">
        <f t="shared" si="648"/>
        <v>16/09/2025</v>
      </c>
      <c r="K3591">
        <v>45925</v>
      </c>
      <c r="N3591">
        <v>109</v>
      </c>
      <c r="O3591" t="s">
        <v>24</v>
      </c>
      <c r="Q3591">
        <v>822</v>
      </c>
      <c r="R3591" t="str">
        <f>"FARMÁCIA INDIANA LJ 07 (10007)"</f>
        <v>FARMÁCIA INDIANA LJ 07 (10007)</v>
      </c>
      <c r="S3591" t="s">
        <v>77</v>
      </c>
      <c r="T3591">
        <v>18824</v>
      </c>
      <c r="U3591">
        <v>22130</v>
      </c>
      <c r="V3591" t="s">
        <v>77</v>
      </c>
    </row>
    <row r="3592" spans="1:22">
      <c r="A3592" t="str">
        <f t="shared" si="644"/>
        <v>25/09/2025</v>
      </c>
      <c r="B3592" t="str">
        <f t="shared" si="649"/>
        <v>SAÍDA</v>
      </c>
      <c r="C3592" t="str">
        <f t="shared" si="645"/>
        <v>PIX</v>
      </c>
      <c r="D3592" t="str">
        <f>"22131"</f>
        <v>22131</v>
      </c>
      <c r="E3592" t="str">
        <f t="shared" si="647"/>
        <v>1</v>
      </c>
      <c r="F3592" t="str">
        <f t="shared" si="650"/>
        <v>COM</v>
      </c>
      <c r="G3592" t="str">
        <f>"MURILO BARRETO AFONSO (30)"</f>
        <v>MURILO BARRETO AFONSO (30)</v>
      </c>
      <c r="H3592" t="str">
        <f>"Serv.Prest. 08/09/2025 a 14/09/2025 - PIX: CPF - CHAVE: 123.020.026-60"</f>
        <v>Serv.Prest. 08/09/2025 a 14/09/2025 - PIX: CPF - CHAVE: 123.020.026-60</v>
      </c>
      <c r="I3592" t="str">
        <f t="shared" si="646"/>
        <v>25/09/2025</v>
      </c>
      <c r="J3592" t="str">
        <f t="shared" si="648"/>
        <v>16/09/2025</v>
      </c>
      <c r="K3592" t="str">
        <f>("25/09/2025")</f>
        <v>25/09/2025</v>
      </c>
      <c r="L3592">
        <v>1200</v>
      </c>
      <c r="M3592">
        <v>1200</v>
      </c>
      <c r="N3592">
        <v>109</v>
      </c>
      <c r="O3592" t="str">
        <f>"PAGAMENTO DE ENTREGADORES"</f>
        <v>PAGAMENTO DE ENTREGADORES</v>
      </c>
      <c r="P3592">
        <v>1200</v>
      </c>
      <c r="S3592" t="str">
        <f>"BANCO C6 (149)"</f>
        <v>BANCO C6 (149)</v>
      </c>
      <c r="T3592">
        <v>18825</v>
      </c>
      <c r="U3592">
        <v>22131</v>
      </c>
      <c r="V3592" t="s">
        <v>77</v>
      </c>
    </row>
    <row r="3593" spans="1:22">
      <c r="A3593" t="str">
        <f t="shared" si="644"/>
        <v>25/09/2025</v>
      </c>
      <c r="B3593" t="str">
        <f t="shared" si="649"/>
        <v>SAÍDA</v>
      </c>
      <c r="C3593" t="str">
        <f t="shared" si="645"/>
        <v>PIX</v>
      </c>
      <c r="D3593" t="str">
        <f>"22131"</f>
        <v>22131</v>
      </c>
      <c r="E3593" t="str">
        <f t="shared" si="647"/>
        <v>1</v>
      </c>
      <c r="F3593" t="str">
        <f t="shared" si="650"/>
        <v>COM</v>
      </c>
      <c r="G3593" t="str">
        <f>"MURILO BARRETO AFONSO (30)"</f>
        <v>MURILO BARRETO AFONSO (30)</v>
      </c>
      <c r="H3593" t="s">
        <v>1017</v>
      </c>
      <c r="I3593" t="str">
        <f t="shared" si="646"/>
        <v>25/09/2025</v>
      </c>
      <c r="J3593" t="str">
        <f t="shared" si="648"/>
        <v>16/09/2025</v>
      </c>
      <c r="K3593">
        <v>45925</v>
      </c>
      <c r="N3593">
        <v>109</v>
      </c>
      <c r="O3593" t="s">
        <v>24</v>
      </c>
      <c r="Q3593">
        <v>781.08</v>
      </c>
      <c r="R3593" t="str">
        <f>"FARMÁCIA INDIANA LJ 118 (10052)"</f>
        <v>FARMÁCIA INDIANA LJ 118 (10052)</v>
      </c>
      <c r="S3593" t="s">
        <v>77</v>
      </c>
      <c r="T3593">
        <v>18825</v>
      </c>
      <c r="U3593">
        <v>22131</v>
      </c>
      <c r="V3593" t="s">
        <v>77</v>
      </c>
    </row>
    <row r="3594" spans="1:22">
      <c r="A3594" t="str">
        <f t="shared" si="644"/>
        <v>25/09/2025</v>
      </c>
      <c r="B3594" t="str">
        <f t="shared" si="649"/>
        <v>SAÍDA</v>
      </c>
      <c r="C3594" t="str">
        <f t="shared" si="645"/>
        <v>PIX</v>
      </c>
      <c r="D3594" t="str">
        <f>"22131"</f>
        <v>22131</v>
      </c>
      <c r="E3594" t="str">
        <f t="shared" si="647"/>
        <v>1</v>
      </c>
      <c r="F3594" t="str">
        <f t="shared" si="650"/>
        <v>COM</v>
      </c>
      <c r="G3594" t="str">
        <f>"MURILO BARRETO AFONSO (30)"</f>
        <v>MURILO BARRETO AFONSO (30)</v>
      </c>
      <c r="H3594" t="s">
        <v>1017</v>
      </c>
      <c r="I3594" t="str">
        <f t="shared" si="646"/>
        <v>25/09/2025</v>
      </c>
      <c r="J3594" t="str">
        <f t="shared" si="648"/>
        <v>16/09/2025</v>
      </c>
      <c r="K3594">
        <v>45925</v>
      </c>
      <c r="N3594">
        <v>109</v>
      </c>
      <c r="O3594" t="s">
        <v>24</v>
      </c>
      <c r="Q3594">
        <v>418.92</v>
      </c>
      <c r="R3594" t="str">
        <f>"FARMÁCIA INDIANA LJ 192 (10082)"</f>
        <v>FARMÁCIA INDIANA LJ 192 (10082)</v>
      </c>
      <c r="S3594" t="s">
        <v>77</v>
      </c>
      <c r="T3594">
        <v>18825</v>
      </c>
      <c r="U3594">
        <v>22131</v>
      </c>
      <c r="V3594" t="s">
        <v>77</v>
      </c>
    </row>
    <row r="3595" spans="1:22">
      <c r="A3595" t="str">
        <f t="shared" si="644"/>
        <v>25/09/2025</v>
      </c>
      <c r="B3595" t="str">
        <f t="shared" si="649"/>
        <v>SAÍDA</v>
      </c>
      <c r="C3595" t="str">
        <f t="shared" si="645"/>
        <v>PIX</v>
      </c>
      <c r="D3595" t="str">
        <f>"22132"</f>
        <v>22132</v>
      </c>
      <c r="E3595" t="str">
        <f t="shared" si="647"/>
        <v>1</v>
      </c>
      <c r="F3595" t="str">
        <f t="shared" si="650"/>
        <v>COM</v>
      </c>
      <c r="G3595" t="str">
        <f>"NATÁLIA KAROLAINE GOMES BATISTA (936)"</f>
        <v>NATÁLIA KAROLAINE GOMES BATISTA (936)</v>
      </c>
      <c r="H3595" t="str">
        <f>"Serv.Prest. 08/09/2025 a 14/09/2025 - PIX: CELULAR - CHAVE: (33) 98817-9868"</f>
        <v>Serv.Prest. 08/09/2025 a 14/09/2025 - PIX: CELULAR - CHAVE: (33) 98817-9868</v>
      </c>
      <c r="I3595" t="str">
        <f t="shared" si="646"/>
        <v>25/09/2025</v>
      </c>
      <c r="J3595" t="str">
        <f t="shared" si="648"/>
        <v>16/09/2025</v>
      </c>
      <c r="K3595" t="str">
        <f>("25/09/2025")</f>
        <v>25/09/2025</v>
      </c>
      <c r="L3595">
        <v>588</v>
      </c>
      <c r="M3595">
        <v>588</v>
      </c>
      <c r="N3595">
        <v>109</v>
      </c>
      <c r="O3595" t="str">
        <f>"PAGAMENTO DE ENTREGADORES"</f>
        <v>PAGAMENTO DE ENTREGADORES</v>
      </c>
      <c r="P3595">
        <v>588</v>
      </c>
      <c r="S3595" t="str">
        <f>"BANCO C6 (149)"</f>
        <v>BANCO C6 (149)</v>
      </c>
      <c r="T3595">
        <v>18826</v>
      </c>
      <c r="U3595">
        <v>22132</v>
      </c>
      <c r="V3595" t="s">
        <v>77</v>
      </c>
    </row>
    <row r="3596" spans="1:22">
      <c r="A3596" t="str">
        <f t="shared" si="644"/>
        <v>25/09/2025</v>
      </c>
      <c r="B3596" t="str">
        <f t="shared" si="649"/>
        <v>SAÍDA</v>
      </c>
      <c r="C3596" t="str">
        <f t="shared" si="645"/>
        <v>PIX</v>
      </c>
      <c r="D3596" t="str">
        <f>"22132"</f>
        <v>22132</v>
      </c>
      <c r="E3596" t="str">
        <f t="shared" si="647"/>
        <v>1</v>
      </c>
      <c r="F3596" t="str">
        <f t="shared" si="650"/>
        <v>COM</v>
      </c>
      <c r="G3596" t="str">
        <f>"NATÁLIA KAROLAINE GOMES BATISTA (936)"</f>
        <v>NATÁLIA KAROLAINE GOMES BATISTA (936)</v>
      </c>
      <c r="H3596" t="s">
        <v>632</v>
      </c>
      <c r="I3596" t="str">
        <f t="shared" si="646"/>
        <v>25/09/2025</v>
      </c>
      <c r="J3596" t="str">
        <f t="shared" si="648"/>
        <v>16/09/2025</v>
      </c>
      <c r="K3596">
        <v>45925</v>
      </c>
      <c r="N3596">
        <v>109</v>
      </c>
      <c r="O3596" t="s">
        <v>24</v>
      </c>
      <c r="Q3596">
        <v>588</v>
      </c>
      <c r="R3596" t="str">
        <f>"FARMÁCIA INDIANA LJ 07 (10007)"</f>
        <v>FARMÁCIA INDIANA LJ 07 (10007)</v>
      </c>
      <c r="S3596" t="s">
        <v>77</v>
      </c>
      <c r="T3596">
        <v>18826</v>
      </c>
      <c r="U3596">
        <v>22132</v>
      </c>
      <c r="V3596" t="s">
        <v>77</v>
      </c>
    </row>
    <row r="3597" spans="1:22">
      <c r="A3597" t="str">
        <f t="shared" si="644"/>
        <v>25/09/2025</v>
      </c>
      <c r="B3597" t="str">
        <f t="shared" si="649"/>
        <v>SAÍDA</v>
      </c>
      <c r="C3597" t="str">
        <f t="shared" si="645"/>
        <v>PIX</v>
      </c>
      <c r="D3597" t="str">
        <f>"22133"</f>
        <v>22133</v>
      </c>
      <c r="E3597" t="str">
        <f t="shared" si="647"/>
        <v>1</v>
      </c>
      <c r="F3597" t="str">
        <f t="shared" si="650"/>
        <v>COM</v>
      </c>
      <c r="G3597" t="str">
        <f>"NELSON DOS SANTOS RODRIGUES (37)"</f>
        <v>NELSON DOS SANTOS RODRIGUES (37)</v>
      </c>
      <c r="H3597" t="str">
        <f>"Serv.Prest. 08/09/2025 a 14/09/2025 - PIX: CPF - CHAVE: 108.680.396-59"</f>
        <v>Serv.Prest. 08/09/2025 a 14/09/2025 - PIX: CPF - CHAVE: 108.680.396-59</v>
      </c>
      <c r="I3597" t="str">
        <f t="shared" si="646"/>
        <v>25/09/2025</v>
      </c>
      <c r="J3597" t="str">
        <f t="shared" si="648"/>
        <v>16/09/2025</v>
      </c>
      <c r="K3597" t="str">
        <f>("25/09/2025")</f>
        <v>25/09/2025</v>
      </c>
      <c r="L3597">
        <v>1728</v>
      </c>
      <c r="M3597">
        <v>1728</v>
      </c>
      <c r="N3597">
        <v>109</v>
      </c>
      <c r="O3597" t="str">
        <f>"PAGAMENTO DE ENTREGADORES"</f>
        <v>PAGAMENTO DE ENTREGADORES</v>
      </c>
      <c r="P3597">
        <v>1728</v>
      </c>
      <c r="S3597" t="str">
        <f>"BANCO C6 (149)"</f>
        <v>BANCO C6 (149)</v>
      </c>
      <c r="T3597">
        <v>18827</v>
      </c>
      <c r="U3597">
        <v>22133</v>
      </c>
      <c r="V3597" t="s">
        <v>77</v>
      </c>
    </row>
    <row r="3598" spans="1:22">
      <c r="A3598" t="str">
        <f t="shared" ref="A3598:A3661" si="651">("25/09/2025")</f>
        <v>25/09/2025</v>
      </c>
      <c r="B3598" t="str">
        <f t="shared" si="649"/>
        <v>SAÍDA</v>
      </c>
      <c r="C3598" t="str">
        <f t="shared" ref="C3598:C3661" si="652">"PIX"</f>
        <v>PIX</v>
      </c>
      <c r="D3598" t="str">
        <f>"22133"</f>
        <v>22133</v>
      </c>
      <c r="E3598" t="str">
        <f t="shared" si="647"/>
        <v>1</v>
      </c>
      <c r="F3598" t="str">
        <f t="shared" si="650"/>
        <v>COM</v>
      </c>
      <c r="G3598" t="str">
        <f>"NELSON DOS SANTOS RODRIGUES (37)"</f>
        <v>NELSON DOS SANTOS RODRIGUES (37)</v>
      </c>
      <c r="H3598" t="s">
        <v>1018</v>
      </c>
      <c r="I3598" t="str">
        <f t="shared" si="646"/>
        <v>25/09/2025</v>
      </c>
      <c r="J3598" t="str">
        <f t="shared" si="648"/>
        <v>16/09/2025</v>
      </c>
      <c r="K3598">
        <v>45925</v>
      </c>
      <c r="N3598">
        <v>109</v>
      </c>
      <c r="O3598" t="s">
        <v>24</v>
      </c>
      <c r="Q3598">
        <v>1728</v>
      </c>
      <c r="R3598" t="str">
        <f>"FARMÁCIA INDIANA LJ 11 (10008)"</f>
        <v>FARMÁCIA INDIANA LJ 11 (10008)</v>
      </c>
      <c r="S3598" t="s">
        <v>77</v>
      </c>
      <c r="T3598">
        <v>18827</v>
      </c>
      <c r="U3598">
        <v>22133</v>
      </c>
      <c r="V3598" t="s">
        <v>77</v>
      </c>
    </row>
    <row r="3599" spans="1:22">
      <c r="A3599" t="str">
        <f t="shared" si="651"/>
        <v>25/09/2025</v>
      </c>
      <c r="B3599" t="str">
        <f t="shared" si="649"/>
        <v>SAÍDA</v>
      </c>
      <c r="C3599" t="str">
        <f t="shared" si="652"/>
        <v>PIX</v>
      </c>
      <c r="D3599" t="str">
        <f>"22134"</f>
        <v>22134</v>
      </c>
      <c r="E3599" t="str">
        <f t="shared" si="647"/>
        <v>1</v>
      </c>
      <c r="F3599" t="str">
        <f t="shared" si="650"/>
        <v>COM</v>
      </c>
      <c r="G3599" t="str">
        <f>"NILTON RODRIGUES DE SOUZA (136)"</f>
        <v>NILTON RODRIGUES DE SOUZA (136)</v>
      </c>
      <c r="H3599" t="str">
        <f>"Serv.Prest. 08/09/2025 a 14/09/2025 - PIX: CPF - CHAVE: 037.974.316-78"</f>
        <v>Serv.Prest. 08/09/2025 a 14/09/2025 - PIX: CPF - CHAVE: 037.974.316-78</v>
      </c>
      <c r="I3599" t="str">
        <f t="shared" si="646"/>
        <v>25/09/2025</v>
      </c>
      <c r="J3599" t="str">
        <f t="shared" si="648"/>
        <v>16/09/2025</v>
      </c>
      <c r="K3599" t="str">
        <f>("25/09/2025")</f>
        <v>25/09/2025</v>
      </c>
      <c r="L3599">
        <v>1200</v>
      </c>
      <c r="M3599">
        <v>1200</v>
      </c>
      <c r="N3599">
        <v>109</v>
      </c>
      <c r="O3599" t="str">
        <f>"PAGAMENTO DE ENTREGADORES"</f>
        <v>PAGAMENTO DE ENTREGADORES</v>
      </c>
      <c r="P3599">
        <v>1200</v>
      </c>
      <c r="S3599" t="str">
        <f>"BANCO C6 (149)"</f>
        <v>BANCO C6 (149)</v>
      </c>
      <c r="T3599">
        <v>18828</v>
      </c>
      <c r="U3599">
        <v>22134</v>
      </c>
      <c r="V3599" t="s">
        <v>77</v>
      </c>
    </row>
    <row r="3600" spans="1:22">
      <c r="A3600" t="str">
        <f t="shared" si="651"/>
        <v>25/09/2025</v>
      </c>
      <c r="B3600" t="str">
        <f t="shared" si="649"/>
        <v>SAÍDA</v>
      </c>
      <c r="C3600" t="str">
        <f t="shared" si="652"/>
        <v>PIX</v>
      </c>
      <c r="D3600" t="str">
        <f>"22134"</f>
        <v>22134</v>
      </c>
      <c r="E3600" t="str">
        <f t="shared" si="647"/>
        <v>1</v>
      </c>
      <c r="F3600" t="str">
        <f t="shared" si="650"/>
        <v>COM</v>
      </c>
      <c r="G3600" t="str">
        <f>"NILTON RODRIGUES DE SOUZA (136)"</f>
        <v>NILTON RODRIGUES DE SOUZA (136)</v>
      </c>
      <c r="H3600" t="s">
        <v>1019</v>
      </c>
      <c r="I3600" t="str">
        <f t="shared" si="646"/>
        <v>25/09/2025</v>
      </c>
      <c r="J3600" t="str">
        <f t="shared" si="648"/>
        <v>16/09/2025</v>
      </c>
      <c r="K3600">
        <v>45925</v>
      </c>
      <c r="N3600">
        <v>109</v>
      </c>
      <c r="O3600" t="s">
        <v>24</v>
      </c>
      <c r="Q3600">
        <v>1044</v>
      </c>
      <c r="R3600" t="str">
        <f>"FARMÁCIA INDIANA LJ 18 (10011)"</f>
        <v>FARMÁCIA INDIANA LJ 18 (10011)</v>
      </c>
      <c r="S3600" t="s">
        <v>77</v>
      </c>
      <c r="T3600">
        <v>18828</v>
      </c>
      <c r="U3600">
        <v>22134</v>
      </c>
      <c r="V3600" t="s">
        <v>77</v>
      </c>
    </row>
    <row r="3601" spans="1:22">
      <c r="A3601" t="str">
        <f t="shared" si="651"/>
        <v>25/09/2025</v>
      </c>
      <c r="B3601" t="str">
        <f t="shared" si="649"/>
        <v>SAÍDA</v>
      </c>
      <c r="C3601" t="str">
        <f t="shared" si="652"/>
        <v>PIX</v>
      </c>
      <c r="D3601" t="str">
        <f>"22134"</f>
        <v>22134</v>
      </c>
      <c r="E3601" t="str">
        <f t="shared" si="647"/>
        <v>1</v>
      </c>
      <c r="F3601" t="str">
        <f t="shared" si="650"/>
        <v>COM</v>
      </c>
      <c r="G3601" t="str">
        <f>"NILTON RODRIGUES DE SOUZA (136)"</f>
        <v>NILTON RODRIGUES DE SOUZA (136)</v>
      </c>
      <c r="H3601" t="s">
        <v>1019</v>
      </c>
      <c r="I3601" t="str">
        <f t="shared" si="646"/>
        <v>25/09/2025</v>
      </c>
      <c r="J3601" t="str">
        <f t="shared" si="648"/>
        <v>16/09/2025</v>
      </c>
      <c r="K3601">
        <v>45925</v>
      </c>
      <c r="N3601">
        <v>109</v>
      </c>
      <c r="O3601" t="s">
        <v>24</v>
      </c>
      <c r="Q3601">
        <v>156</v>
      </c>
      <c r="R3601" t="str">
        <f>"FARMÁCIA INDIANA LJ 19 (10012)"</f>
        <v>FARMÁCIA INDIANA LJ 19 (10012)</v>
      </c>
      <c r="S3601" t="s">
        <v>77</v>
      </c>
      <c r="T3601">
        <v>18828</v>
      </c>
      <c r="U3601">
        <v>22134</v>
      </c>
      <c r="V3601" t="s">
        <v>77</v>
      </c>
    </row>
    <row r="3602" spans="1:22">
      <c r="A3602" t="str">
        <f t="shared" si="651"/>
        <v>25/09/2025</v>
      </c>
      <c r="B3602" t="str">
        <f t="shared" si="649"/>
        <v>SAÍDA</v>
      </c>
      <c r="C3602" t="str">
        <f t="shared" si="652"/>
        <v>PIX</v>
      </c>
      <c r="D3602" t="str">
        <f>"22135"</f>
        <v>22135</v>
      </c>
      <c r="E3602" t="str">
        <f t="shared" si="647"/>
        <v>1</v>
      </c>
      <c r="F3602" t="str">
        <f t="shared" si="650"/>
        <v>COM</v>
      </c>
      <c r="G3602" t="str">
        <f>"PATRICK DE SOUZA CORREA (92)"</f>
        <v>PATRICK DE SOUZA CORREA (92)</v>
      </c>
      <c r="H3602" t="str">
        <f>"Serv.Prest. 08/09/2025 a 14/09/2025 - PIX: CELULAR - CHAVE: (31) 99216-8711"</f>
        <v>Serv.Prest. 08/09/2025 a 14/09/2025 - PIX: CELULAR - CHAVE: (31) 99216-8711</v>
      </c>
      <c r="I3602" t="str">
        <f t="shared" si="646"/>
        <v>25/09/2025</v>
      </c>
      <c r="J3602" t="str">
        <f t="shared" si="648"/>
        <v>16/09/2025</v>
      </c>
      <c r="K3602" t="str">
        <f>("25/09/2025")</f>
        <v>25/09/2025</v>
      </c>
      <c r="L3602">
        <v>600</v>
      </c>
      <c r="M3602">
        <v>600</v>
      </c>
      <c r="N3602">
        <v>109</v>
      </c>
      <c r="O3602" t="str">
        <f>"PAGAMENTO DE ENTREGADORES"</f>
        <v>PAGAMENTO DE ENTREGADORES</v>
      </c>
      <c r="P3602">
        <v>600</v>
      </c>
      <c r="S3602" t="str">
        <f>"BANCO C6 (149)"</f>
        <v>BANCO C6 (149)</v>
      </c>
      <c r="T3602">
        <v>18829</v>
      </c>
      <c r="U3602">
        <v>22135</v>
      </c>
      <c r="V3602" t="s">
        <v>77</v>
      </c>
    </row>
    <row r="3603" spans="1:22">
      <c r="A3603" t="str">
        <f t="shared" si="651"/>
        <v>25/09/2025</v>
      </c>
      <c r="B3603" t="str">
        <f t="shared" si="649"/>
        <v>SAÍDA</v>
      </c>
      <c r="C3603" t="str">
        <f t="shared" si="652"/>
        <v>PIX</v>
      </c>
      <c r="D3603" t="str">
        <f>"22135"</f>
        <v>22135</v>
      </c>
      <c r="E3603" t="str">
        <f t="shared" si="647"/>
        <v>1</v>
      </c>
      <c r="F3603" t="str">
        <f t="shared" si="650"/>
        <v>COM</v>
      </c>
      <c r="G3603" t="str">
        <f>"PATRICK DE SOUZA CORREA (92)"</f>
        <v>PATRICK DE SOUZA CORREA (92)</v>
      </c>
      <c r="H3603" t="s">
        <v>1020</v>
      </c>
      <c r="I3603" t="str">
        <f t="shared" si="646"/>
        <v>25/09/2025</v>
      </c>
      <c r="J3603" t="str">
        <f t="shared" si="648"/>
        <v>16/09/2025</v>
      </c>
      <c r="K3603">
        <v>45925</v>
      </c>
      <c r="N3603">
        <v>109</v>
      </c>
      <c r="O3603" t="s">
        <v>24</v>
      </c>
      <c r="Q3603">
        <v>300</v>
      </c>
      <c r="R3603" t="str">
        <f>"FARMÁCIA INDIANA LJ 184 (10080)"</f>
        <v>FARMÁCIA INDIANA LJ 184 (10080)</v>
      </c>
      <c r="S3603" t="s">
        <v>77</v>
      </c>
      <c r="T3603">
        <v>18829</v>
      </c>
      <c r="U3603">
        <v>22135</v>
      </c>
      <c r="V3603" t="s">
        <v>77</v>
      </c>
    </row>
    <row r="3604" spans="1:22">
      <c r="A3604" t="str">
        <f t="shared" si="651"/>
        <v>25/09/2025</v>
      </c>
      <c r="B3604" t="str">
        <f t="shared" si="649"/>
        <v>SAÍDA</v>
      </c>
      <c r="C3604" t="str">
        <f t="shared" si="652"/>
        <v>PIX</v>
      </c>
      <c r="D3604" t="str">
        <f>"22135"</f>
        <v>22135</v>
      </c>
      <c r="E3604" t="str">
        <f t="shared" si="647"/>
        <v>1</v>
      </c>
      <c r="F3604" t="str">
        <f t="shared" si="650"/>
        <v>COM</v>
      </c>
      <c r="G3604" t="str">
        <f>"PATRICK DE SOUZA CORREA (92)"</f>
        <v>PATRICK DE SOUZA CORREA (92)</v>
      </c>
      <c r="H3604" t="s">
        <v>1020</v>
      </c>
      <c r="I3604" t="str">
        <f t="shared" ref="I3604:I3667" si="653">("25/09/2025")</f>
        <v>25/09/2025</v>
      </c>
      <c r="J3604" t="str">
        <f t="shared" si="648"/>
        <v>16/09/2025</v>
      </c>
      <c r="K3604">
        <v>45925</v>
      </c>
      <c r="N3604">
        <v>109</v>
      </c>
      <c r="O3604" t="s">
        <v>24</v>
      </c>
      <c r="Q3604">
        <v>300</v>
      </c>
      <c r="R3604" t="str">
        <f>"FARMÁCIA INDIANA LJ 195 (10083)"</f>
        <v>FARMÁCIA INDIANA LJ 195 (10083)</v>
      </c>
      <c r="S3604" t="s">
        <v>77</v>
      </c>
      <c r="T3604">
        <v>18829</v>
      </c>
      <c r="U3604">
        <v>22135</v>
      </c>
      <c r="V3604" t="s">
        <v>77</v>
      </c>
    </row>
    <row r="3605" spans="1:22">
      <c r="A3605" t="str">
        <f t="shared" si="651"/>
        <v>25/09/2025</v>
      </c>
      <c r="B3605" t="str">
        <f t="shared" si="649"/>
        <v>SAÍDA</v>
      </c>
      <c r="C3605" t="str">
        <f t="shared" si="652"/>
        <v>PIX</v>
      </c>
      <c r="D3605" t="str">
        <f>"22136"</f>
        <v>22136</v>
      </c>
      <c r="E3605" t="str">
        <f t="shared" si="647"/>
        <v>1</v>
      </c>
      <c r="F3605" t="str">
        <f t="shared" si="650"/>
        <v>COM</v>
      </c>
      <c r="G3605" t="str">
        <f>"PAULO HENRIQUE OLIVEIRA SILVA (39)"</f>
        <v>PAULO HENRIQUE OLIVEIRA SILVA (39)</v>
      </c>
      <c r="H3605" t="str">
        <f>"Serv.Prest. 08/09/2025 a 14/09/2025 - PIX: CELULAR - CHAVE: (31) 97339-3761"</f>
        <v>Serv.Prest. 08/09/2025 a 14/09/2025 - PIX: CELULAR - CHAVE: (31) 97339-3761</v>
      </c>
      <c r="I3605" t="str">
        <f t="shared" si="653"/>
        <v>25/09/2025</v>
      </c>
      <c r="J3605" t="str">
        <f t="shared" si="648"/>
        <v>16/09/2025</v>
      </c>
      <c r="K3605" t="str">
        <f>("25/09/2025")</f>
        <v>25/09/2025</v>
      </c>
      <c r="L3605">
        <v>1380</v>
      </c>
      <c r="M3605">
        <v>1380</v>
      </c>
      <c r="N3605">
        <v>109</v>
      </c>
      <c r="O3605" t="str">
        <f>"PAGAMENTO DE ENTREGADORES"</f>
        <v>PAGAMENTO DE ENTREGADORES</v>
      </c>
      <c r="P3605">
        <v>1380</v>
      </c>
      <c r="S3605" t="str">
        <f>"BANCO C6 (149)"</f>
        <v>BANCO C6 (149)</v>
      </c>
      <c r="T3605">
        <v>18830</v>
      </c>
      <c r="U3605">
        <v>22136</v>
      </c>
      <c r="V3605" t="s">
        <v>77</v>
      </c>
    </row>
    <row r="3606" spans="1:22">
      <c r="A3606" t="str">
        <f t="shared" si="651"/>
        <v>25/09/2025</v>
      </c>
      <c r="B3606" t="str">
        <f t="shared" si="649"/>
        <v>SAÍDA</v>
      </c>
      <c r="C3606" t="str">
        <f t="shared" si="652"/>
        <v>PIX</v>
      </c>
      <c r="D3606" t="str">
        <f>"22136"</f>
        <v>22136</v>
      </c>
      <c r="E3606" t="str">
        <f t="shared" ref="E3606:E3669" si="654">"1"</f>
        <v>1</v>
      </c>
      <c r="F3606" t="str">
        <f t="shared" si="650"/>
        <v>COM</v>
      </c>
      <c r="G3606" t="str">
        <f>"PAULO HENRIQUE OLIVEIRA SILVA (39)"</f>
        <v>PAULO HENRIQUE OLIVEIRA SILVA (39)</v>
      </c>
      <c r="H3606" t="s">
        <v>1021</v>
      </c>
      <c r="I3606" t="str">
        <f t="shared" si="653"/>
        <v>25/09/2025</v>
      </c>
      <c r="J3606" t="str">
        <f t="shared" si="648"/>
        <v>16/09/2025</v>
      </c>
      <c r="K3606">
        <v>45925</v>
      </c>
      <c r="N3606">
        <v>109</v>
      </c>
      <c r="O3606" t="s">
        <v>24</v>
      </c>
      <c r="Q3606">
        <v>1380</v>
      </c>
      <c r="R3606" t="str">
        <f>"FARMÁCIA INDIANA LJ 11 (10008)"</f>
        <v>FARMÁCIA INDIANA LJ 11 (10008)</v>
      </c>
      <c r="S3606" t="s">
        <v>77</v>
      </c>
      <c r="T3606">
        <v>18830</v>
      </c>
      <c r="U3606">
        <v>22136</v>
      </c>
      <c r="V3606" t="s">
        <v>77</v>
      </c>
    </row>
    <row r="3607" spans="1:22">
      <c r="A3607" t="str">
        <f t="shared" si="651"/>
        <v>25/09/2025</v>
      </c>
      <c r="B3607" t="str">
        <f t="shared" si="649"/>
        <v>SAÍDA</v>
      </c>
      <c r="C3607" t="str">
        <f t="shared" si="652"/>
        <v>PIX</v>
      </c>
      <c r="D3607" t="str">
        <f>"22137"</f>
        <v>22137</v>
      </c>
      <c r="E3607" t="str">
        <f t="shared" si="654"/>
        <v>1</v>
      </c>
      <c r="F3607" t="str">
        <f t="shared" si="650"/>
        <v>COM</v>
      </c>
      <c r="G3607" t="str">
        <f>"PAULO MARCOS FARIA DE SOUZA L (233)"</f>
        <v>PAULO MARCOS FARIA DE SOUZA L (233)</v>
      </c>
      <c r="H3607" t="str">
        <f>"Serv.Prest. 08/09/2025 a 14/09/2025 - PIX: CELULAR - CHAVE: (35) 99264-4504"</f>
        <v>Serv.Prest. 08/09/2025 a 14/09/2025 - PIX: CELULAR - CHAVE: (35) 99264-4504</v>
      </c>
      <c r="I3607" t="str">
        <f t="shared" si="653"/>
        <v>25/09/2025</v>
      </c>
      <c r="J3607" t="str">
        <f t="shared" si="648"/>
        <v>16/09/2025</v>
      </c>
      <c r="K3607" t="str">
        <f>("25/09/2025")</f>
        <v>25/09/2025</v>
      </c>
      <c r="L3607">
        <v>500</v>
      </c>
      <c r="M3607">
        <v>500</v>
      </c>
      <c r="N3607">
        <v>109</v>
      </c>
      <c r="O3607" t="str">
        <f>"PAGAMENTO DE ENTREGADORES"</f>
        <v>PAGAMENTO DE ENTREGADORES</v>
      </c>
      <c r="P3607">
        <v>500</v>
      </c>
      <c r="S3607" t="str">
        <f>"BANCO C6 (149)"</f>
        <v>BANCO C6 (149)</v>
      </c>
      <c r="T3607">
        <v>18831</v>
      </c>
      <c r="U3607">
        <v>22137</v>
      </c>
      <c r="V3607" t="s">
        <v>77</v>
      </c>
    </row>
    <row r="3608" spans="1:22">
      <c r="A3608" t="str">
        <f t="shared" si="651"/>
        <v>25/09/2025</v>
      </c>
      <c r="B3608" t="str">
        <f t="shared" si="649"/>
        <v>SAÍDA</v>
      </c>
      <c r="C3608" t="str">
        <f t="shared" si="652"/>
        <v>PIX</v>
      </c>
      <c r="D3608" t="str">
        <f>"22137"</f>
        <v>22137</v>
      </c>
      <c r="E3608" t="str">
        <f t="shared" si="654"/>
        <v>1</v>
      </c>
      <c r="F3608" t="str">
        <f t="shared" si="650"/>
        <v>COM</v>
      </c>
      <c r="G3608" t="str">
        <f>"PAULO MARCOS FARIA DE SOUZA L (233)"</f>
        <v>PAULO MARCOS FARIA DE SOUZA L (233)</v>
      </c>
      <c r="H3608" t="s">
        <v>1022</v>
      </c>
      <c r="I3608" t="str">
        <f t="shared" si="653"/>
        <v>25/09/2025</v>
      </c>
      <c r="J3608" t="str">
        <f t="shared" si="648"/>
        <v>16/09/2025</v>
      </c>
      <c r="K3608">
        <v>45925</v>
      </c>
      <c r="N3608">
        <v>109</v>
      </c>
      <c r="O3608" t="s">
        <v>24</v>
      </c>
      <c r="Q3608">
        <v>500</v>
      </c>
      <c r="R3608" t="str">
        <f>"FARMÁCIA INDIANA LJ 64 (10029)"</f>
        <v>FARMÁCIA INDIANA LJ 64 (10029)</v>
      </c>
      <c r="S3608" t="s">
        <v>77</v>
      </c>
      <c r="T3608">
        <v>18831</v>
      </c>
      <c r="U3608">
        <v>22137</v>
      </c>
      <c r="V3608" t="s">
        <v>77</v>
      </c>
    </row>
    <row r="3609" spans="1:22">
      <c r="A3609" t="str">
        <f t="shared" si="651"/>
        <v>25/09/2025</v>
      </c>
      <c r="B3609" t="str">
        <f t="shared" si="649"/>
        <v>SAÍDA</v>
      </c>
      <c r="C3609" t="str">
        <f t="shared" si="652"/>
        <v>PIX</v>
      </c>
      <c r="D3609" t="str">
        <f>"22138"</f>
        <v>22138</v>
      </c>
      <c r="E3609" t="str">
        <f t="shared" si="654"/>
        <v>1</v>
      </c>
      <c r="F3609" t="str">
        <f t="shared" si="650"/>
        <v>COM</v>
      </c>
      <c r="G3609" t="str">
        <f>"PEDRO HENRIQUE DA SILVA COSTA OLIVEIRA (852)"</f>
        <v>PEDRO HENRIQUE DA SILVA COSTA OLIVEIRA (852)</v>
      </c>
      <c r="H3609" t="str">
        <f>"Serv.Prest. 08/09/2025 a 14/09/2025 - PIX: E-MAIL - CHAVE: sypedrinho@gmail.com"</f>
        <v>Serv.Prest. 08/09/2025 a 14/09/2025 - PIX: E-MAIL - CHAVE: sypedrinho@gmail.com</v>
      </c>
      <c r="I3609" t="str">
        <f t="shared" si="653"/>
        <v>25/09/2025</v>
      </c>
      <c r="J3609" t="str">
        <f t="shared" si="648"/>
        <v>16/09/2025</v>
      </c>
      <c r="K3609" t="str">
        <f>("25/09/2025")</f>
        <v>25/09/2025</v>
      </c>
      <c r="L3609">
        <v>602</v>
      </c>
      <c r="M3609">
        <v>602</v>
      </c>
      <c r="N3609">
        <v>109</v>
      </c>
      <c r="O3609" t="str">
        <f>"PAGAMENTO DE ENTREGADORES"</f>
        <v>PAGAMENTO DE ENTREGADORES</v>
      </c>
      <c r="P3609">
        <v>602</v>
      </c>
      <c r="S3609" t="str">
        <f>"BANCO C6 (149)"</f>
        <v>BANCO C6 (149)</v>
      </c>
      <c r="T3609">
        <v>18832</v>
      </c>
      <c r="U3609">
        <v>22138</v>
      </c>
      <c r="V3609" t="s">
        <v>77</v>
      </c>
    </row>
    <row r="3610" spans="1:22">
      <c r="A3610" t="str">
        <f t="shared" si="651"/>
        <v>25/09/2025</v>
      </c>
      <c r="B3610" t="str">
        <f t="shared" si="649"/>
        <v>SAÍDA</v>
      </c>
      <c r="C3610" t="str">
        <f t="shared" si="652"/>
        <v>PIX</v>
      </c>
      <c r="D3610" t="str">
        <f>"22138"</f>
        <v>22138</v>
      </c>
      <c r="E3610" t="str">
        <f t="shared" si="654"/>
        <v>1</v>
      </c>
      <c r="F3610" t="str">
        <f t="shared" si="650"/>
        <v>COM</v>
      </c>
      <c r="G3610" t="str">
        <f>"PEDRO HENRIQUE DA SILVA COSTA OLIVEIRA (852)"</f>
        <v>PEDRO HENRIQUE DA SILVA COSTA OLIVEIRA (852)</v>
      </c>
      <c r="H3610" t="s">
        <v>848</v>
      </c>
      <c r="I3610" t="str">
        <f t="shared" si="653"/>
        <v>25/09/2025</v>
      </c>
      <c r="J3610" t="str">
        <f t="shared" si="648"/>
        <v>16/09/2025</v>
      </c>
      <c r="K3610">
        <v>45925</v>
      </c>
      <c r="N3610">
        <v>109</v>
      </c>
      <c r="O3610" t="s">
        <v>24</v>
      </c>
      <c r="Q3610">
        <v>602</v>
      </c>
      <c r="R3610" t="str">
        <f>"FARMÁCIA INDIANA LJ 110 (10048)"</f>
        <v>FARMÁCIA INDIANA LJ 110 (10048)</v>
      </c>
      <c r="S3610" t="s">
        <v>77</v>
      </c>
      <c r="T3610">
        <v>18832</v>
      </c>
      <c r="U3610">
        <v>22138</v>
      </c>
      <c r="V3610" t="s">
        <v>77</v>
      </c>
    </row>
    <row r="3611" spans="1:22">
      <c r="A3611" t="str">
        <f t="shared" si="651"/>
        <v>25/09/2025</v>
      </c>
      <c r="B3611" t="str">
        <f t="shared" si="649"/>
        <v>SAÍDA</v>
      </c>
      <c r="C3611" t="str">
        <f t="shared" si="652"/>
        <v>PIX</v>
      </c>
      <c r="D3611" t="str">
        <f>"22140"</f>
        <v>22140</v>
      </c>
      <c r="E3611" t="str">
        <f t="shared" si="654"/>
        <v>1</v>
      </c>
      <c r="F3611" t="str">
        <f t="shared" si="650"/>
        <v>COM</v>
      </c>
      <c r="G3611" t="str">
        <f>"RAISSON VITOR MENDES DE ABREU (705)"</f>
        <v>RAISSON VITOR MENDES DE ABREU (705)</v>
      </c>
      <c r="H3611" t="str">
        <f>"Serv.Prest. 08/09/2025 a 14/09/2025 - PIX: CELULAR - CHAVE: (31) 99959-5414"</f>
        <v>Serv.Prest. 08/09/2025 a 14/09/2025 - PIX: CELULAR - CHAVE: (31) 99959-5414</v>
      </c>
      <c r="I3611" t="str">
        <f t="shared" si="653"/>
        <v>25/09/2025</v>
      </c>
      <c r="J3611" t="str">
        <f t="shared" si="648"/>
        <v>16/09/2025</v>
      </c>
      <c r="K3611" t="str">
        <f>("25/09/2025")</f>
        <v>25/09/2025</v>
      </c>
      <c r="L3611">
        <v>800</v>
      </c>
      <c r="M3611">
        <v>800</v>
      </c>
      <c r="N3611">
        <v>109</v>
      </c>
      <c r="O3611" t="str">
        <f>"PAGAMENTO DE ENTREGADORES"</f>
        <v>PAGAMENTO DE ENTREGADORES</v>
      </c>
      <c r="P3611">
        <v>800</v>
      </c>
      <c r="S3611" t="str">
        <f>"BANCO C6 (149)"</f>
        <v>BANCO C6 (149)</v>
      </c>
      <c r="T3611">
        <v>18833</v>
      </c>
      <c r="U3611">
        <v>22140</v>
      </c>
      <c r="V3611" t="s">
        <v>77</v>
      </c>
    </row>
    <row r="3612" spans="1:22">
      <c r="A3612" t="str">
        <f t="shared" si="651"/>
        <v>25/09/2025</v>
      </c>
      <c r="B3612" t="str">
        <f t="shared" si="649"/>
        <v>SAÍDA</v>
      </c>
      <c r="C3612" t="str">
        <f t="shared" si="652"/>
        <v>PIX</v>
      </c>
      <c r="D3612" t="str">
        <f>"22140"</f>
        <v>22140</v>
      </c>
      <c r="E3612" t="str">
        <f t="shared" si="654"/>
        <v>1</v>
      </c>
      <c r="F3612" t="str">
        <f t="shared" si="650"/>
        <v>COM</v>
      </c>
      <c r="G3612" t="str">
        <f>"RAISSON VITOR MENDES DE ABREU (705)"</f>
        <v>RAISSON VITOR MENDES DE ABREU (705)</v>
      </c>
      <c r="H3612" t="s">
        <v>1023</v>
      </c>
      <c r="I3612" t="str">
        <f t="shared" si="653"/>
        <v>25/09/2025</v>
      </c>
      <c r="J3612" t="str">
        <f t="shared" si="648"/>
        <v>16/09/2025</v>
      </c>
      <c r="K3612">
        <v>45925</v>
      </c>
      <c r="N3612">
        <v>109</v>
      </c>
      <c r="O3612" t="s">
        <v>24</v>
      </c>
      <c r="Q3612">
        <v>800</v>
      </c>
      <c r="R3612" t="str">
        <f>"FARMÁCIA INDIANA LJ 178 (10077)"</f>
        <v>FARMÁCIA INDIANA LJ 178 (10077)</v>
      </c>
      <c r="S3612" t="s">
        <v>77</v>
      </c>
      <c r="T3612">
        <v>18833</v>
      </c>
      <c r="U3612">
        <v>22140</v>
      </c>
      <c r="V3612" t="s">
        <v>77</v>
      </c>
    </row>
    <row r="3613" spans="1:22">
      <c r="A3613" t="str">
        <f t="shared" si="651"/>
        <v>25/09/2025</v>
      </c>
      <c r="B3613" t="str">
        <f t="shared" si="649"/>
        <v>SAÍDA</v>
      </c>
      <c r="C3613" t="str">
        <f t="shared" si="652"/>
        <v>PIX</v>
      </c>
      <c r="D3613" t="str">
        <f>"22141"</f>
        <v>22141</v>
      </c>
      <c r="E3613" t="str">
        <f t="shared" si="654"/>
        <v>1</v>
      </c>
      <c r="F3613" t="str">
        <f t="shared" si="650"/>
        <v>COM</v>
      </c>
      <c r="G3613" t="str">
        <f>"RENATO GEORGE GONÇALVES (191)"</f>
        <v>RENATO GEORGE GONÇALVES (191)</v>
      </c>
      <c r="H3613" t="str">
        <f>"Serv.Prest. 08/09/2025 a 14/09/2025 - PIX: CPF - CHAVE: 012.783.036-77"</f>
        <v>Serv.Prest. 08/09/2025 a 14/09/2025 - PIX: CPF - CHAVE: 012.783.036-77</v>
      </c>
      <c r="I3613" t="str">
        <f t="shared" si="653"/>
        <v>25/09/2025</v>
      </c>
      <c r="J3613" t="str">
        <f t="shared" si="648"/>
        <v>16/09/2025</v>
      </c>
      <c r="K3613" t="str">
        <f>("25/09/2025")</f>
        <v>25/09/2025</v>
      </c>
      <c r="L3613">
        <v>1104</v>
      </c>
      <c r="M3613">
        <v>1104</v>
      </c>
      <c r="N3613">
        <v>109</v>
      </c>
      <c r="O3613" t="str">
        <f>"PAGAMENTO DE ENTREGADORES"</f>
        <v>PAGAMENTO DE ENTREGADORES</v>
      </c>
      <c r="P3613">
        <v>1104</v>
      </c>
      <c r="S3613" t="str">
        <f>"BANCO C6 (149)"</f>
        <v>BANCO C6 (149)</v>
      </c>
      <c r="T3613">
        <v>18834</v>
      </c>
      <c r="U3613">
        <v>22141</v>
      </c>
      <c r="V3613" t="s">
        <v>77</v>
      </c>
    </row>
    <row r="3614" spans="1:22">
      <c r="A3614" t="str">
        <f t="shared" si="651"/>
        <v>25/09/2025</v>
      </c>
      <c r="B3614" t="str">
        <f t="shared" si="649"/>
        <v>SAÍDA</v>
      </c>
      <c r="C3614" t="str">
        <f t="shared" si="652"/>
        <v>PIX</v>
      </c>
      <c r="D3614" t="str">
        <f>"22141"</f>
        <v>22141</v>
      </c>
      <c r="E3614" t="str">
        <f t="shared" si="654"/>
        <v>1</v>
      </c>
      <c r="F3614" t="str">
        <f t="shared" si="650"/>
        <v>COM</v>
      </c>
      <c r="G3614" t="str">
        <f>"RENATO GEORGE GONÇALVES (191)"</f>
        <v>RENATO GEORGE GONÇALVES (191)</v>
      </c>
      <c r="H3614" t="s">
        <v>1024</v>
      </c>
      <c r="I3614" t="str">
        <f t="shared" si="653"/>
        <v>25/09/2025</v>
      </c>
      <c r="J3614" t="str">
        <f t="shared" si="648"/>
        <v>16/09/2025</v>
      </c>
      <c r="K3614">
        <v>45925</v>
      </c>
      <c r="N3614">
        <v>109</v>
      </c>
      <c r="O3614" t="s">
        <v>24</v>
      </c>
      <c r="Q3614">
        <v>1104</v>
      </c>
      <c r="R3614" t="str">
        <f>"FARMÁCIA INDIANA LJ 06 (10006)"</f>
        <v>FARMÁCIA INDIANA LJ 06 (10006)</v>
      </c>
      <c r="S3614" t="s">
        <v>77</v>
      </c>
      <c r="T3614">
        <v>18834</v>
      </c>
      <c r="U3614">
        <v>22141</v>
      </c>
      <c r="V3614" t="s">
        <v>77</v>
      </c>
    </row>
    <row r="3615" spans="1:22">
      <c r="A3615" t="str">
        <f t="shared" si="651"/>
        <v>25/09/2025</v>
      </c>
      <c r="B3615" t="str">
        <f t="shared" si="649"/>
        <v>SAÍDA</v>
      </c>
      <c r="C3615" t="str">
        <f t="shared" si="652"/>
        <v>PIX</v>
      </c>
      <c r="D3615" t="str">
        <f>"22142"</f>
        <v>22142</v>
      </c>
      <c r="E3615" t="str">
        <f t="shared" si="654"/>
        <v>1</v>
      </c>
      <c r="F3615" t="str">
        <f t="shared" si="650"/>
        <v>COM</v>
      </c>
      <c r="G3615" t="str">
        <f>"RICARDO NASCIMENTO DE SOUZA (146)"</f>
        <v>RICARDO NASCIMENTO DE SOUZA (146)</v>
      </c>
      <c r="H3615" t="str">
        <f>"Serv.Prest. 08/09/2025 a 14/09/2025 - PIX: CELULAR - CHAVE: (31) 98891-8440"</f>
        <v>Serv.Prest. 08/09/2025 a 14/09/2025 - PIX: CELULAR - CHAVE: (31) 98891-8440</v>
      </c>
      <c r="I3615" t="str">
        <f t="shared" si="653"/>
        <v>25/09/2025</v>
      </c>
      <c r="J3615" t="str">
        <f t="shared" si="648"/>
        <v>16/09/2025</v>
      </c>
      <c r="K3615" t="str">
        <f>("25/09/2025")</f>
        <v>25/09/2025</v>
      </c>
      <c r="L3615">
        <v>1050</v>
      </c>
      <c r="M3615">
        <v>1050</v>
      </c>
      <c r="N3615">
        <v>109</v>
      </c>
      <c r="O3615" t="str">
        <f>"PAGAMENTO DE ENTREGADORES"</f>
        <v>PAGAMENTO DE ENTREGADORES</v>
      </c>
      <c r="P3615">
        <v>1050</v>
      </c>
      <c r="S3615" t="str">
        <f>"BANCO C6 (149)"</f>
        <v>BANCO C6 (149)</v>
      </c>
      <c r="T3615">
        <v>18835</v>
      </c>
      <c r="U3615">
        <v>22142</v>
      </c>
      <c r="V3615" t="s">
        <v>77</v>
      </c>
    </row>
    <row r="3616" spans="1:22">
      <c r="A3616" t="str">
        <f t="shared" si="651"/>
        <v>25/09/2025</v>
      </c>
      <c r="B3616" t="str">
        <f t="shared" si="649"/>
        <v>SAÍDA</v>
      </c>
      <c r="C3616" t="str">
        <f t="shared" si="652"/>
        <v>PIX</v>
      </c>
      <c r="D3616" t="str">
        <f>"22142"</f>
        <v>22142</v>
      </c>
      <c r="E3616" t="str">
        <f t="shared" si="654"/>
        <v>1</v>
      </c>
      <c r="F3616" t="str">
        <f t="shared" si="650"/>
        <v>COM</v>
      </c>
      <c r="G3616" t="str">
        <f>"RICARDO NASCIMENTO DE SOUZA (146)"</f>
        <v>RICARDO NASCIMENTO DE SOUZA (146)</v>
      </c>
      <c r="H3616" t="s">
        <v>1025</v>
      </c>
      <c r="I3616" t="str">
        <f t="shared" si="653"/>
        <v>25/09/2025</v>
      </c>
      <c r="J3616" t="str">
        <f t="shared" si="648"/>
        <v>16/09/2025</v>
      </c>
      <c r="K3616">
        <v>45925</v>
      </c>
      <c r="N3616">
        <v>109</v>
      </c>
      <c r="O3616" t="s">
        <v>24</v>
      </c>
      <c r="Q3616">
        <v>1050</v>
      </c>
      <c r="R3616" t="str">
        <f>"FARMÁCIA INDIANA LJ 19 (10012)"</f>
        <v>FARMÁCIA INDIANA LJ 19 (10012)</v>
      </c>
      <c r="S3616" t="s">
        <v>77</v>
      </c>
      <c r="T3616">
        <v>18835</v>
      </c>
      <c r="U3616">
        <v>22142</v>
      </c>
      <c r="V3616" t="s">
        <v>77</v>
      </c>
    </row>
    <row r="3617" spans="1:22">
      <c r="A3617" t="str">
        <f t="shared" si="651"/>
        <v>25/09/2025</v>
      </c>
      <c r="B3617" t="str">
        <f t="shared" si="649"/>
        <v>SAÍDA</v>
      </c>
      <c r="C3617" t="str">
        <f t="shared" si="652"/>
        <v>PIX</v>
      </c>
      <c r="D3617" t="str">
        <f>"22143"</f>
        <v>22143</v>
      </c>
      <c r="E3617" t="str">
        <f t="shared" si="654"/>
        <v>1</v>
      </c>
      <c r="F3617" t="str">
        <f t="shared" si="650"/>
        <v>COM</v>
      </c>
      <c r="G3617" t="str">
        <f>"ROGÉRIO LAURINDO BORGES (176)"</f>
        <v>ROGÉRIO LAURINDO BORGES (176)</v>
      </c>
      <c r="H3617" t="str">
        <f>"Serv.Prest. 08/09/2025 a 14/09/2025 - PIX: E-MAIL - CHAVE: roger.l.borges04@gmail.com"</f>
        <v>Serv.Prest. 08/09/2025 a 14/09/2025 - PIX: E-MAIL - CHAVE: roger.l.borges04@gmail.com</v>
      </c>
      <c r="I3617" t="str">
        <f t="shared" si="653"/>
        <v>25/09/2025</v>
      </c>
      <c r="J3617" t="str">
        <f t="shared" si="648"/>
        <v>16/09/2025</v>
      </c>
      <c r="K3617" t="str">
        <f>("25/09/2025")</f>
        <v>25/09/2025</v>
      </c>
      <c r="L3617">
        <v>1410</v>
      </c>
      <c r="M3617">
        <v>1410</v>
      </c>
      <c r="N3617">
        <v>109</v>
      </c>
      <c r="O3617" t="str">
        <f>"PAGAMENTO DE ENTREGADORES"</f>
        <v>PAGAMENTO DE ENTREGADORES</v>
      </c>
      <c r="P3617">
        <v>1410</v>
      </c>
      <c r="S3617" t="str">
        <f>"BANCO C6 (149)"</f>
        <v>BANCO C6 (149)</v>
      </c>
      <c r="T3617">
        <v>18836</v>
      </c>
      <c r="U3617">
        <v>22143</v>
      </c>
      <c r="V3617" t="s">
        <v>77</v>
      </c>
    </row>
    <row r="3618" spans="1:22">
      <c r="A3618" t="str">
        <f t="shared" si="651"/>
        <v>25/09/2025</v>
      </c>
      <c r="B3618" t="str">
        <f t="shared" si="649"/>
        <v>SAÍDA</v>
      </c>
      <c r="C3618" t="str">
        <f t="shared" si="652"/>
        <v>PIX</v>
      </c>
      <c r="D3618" t="str">
        <f>"22143"</f>
        <v>22143</v>
      </c>
      <c r="E3618" t="str">
        <f t="shared" si="654"/>
        <v>1</v>
      </c>
      <c r="F3618" t="str">
        <f t="shared" si="650"/>
        <v>COM</v>
      </c>
      <c r="G3618" t="str">
        <f>"ROGÉRIO LAURINDO BORGES (176)"</f>
        <v>ROGÉRIO LAURINDO BORGES (176)</v>
      </c>
      <c r="H3618" t="s">
        <v>1026</v>
      </c>
      <c r="I3618" t="str">
        <f t="shared" si="653"/>
        <v>25/09/2025</v>
      </c>
      <c r="J3618" t="str">
        <f t="shared" si="648"/>
        <v>16/09/2025</v>
      </c>
      <c r="K3618">
        <v>45925</v>
      </c>
      <c r="N3618">
        <v>109</v>
      </c>
      <c r="O3618" t="s">
        <v>24</v>
      </c>
      <c r="Q3618">
        <v>1410</v>
      </c>
      <c r="R3618" t="str">
        <f>"FARMÁCIA INDIANA LJ 142 (10066)"</f>
        <v>FARMÁCIA INDIANA LJ 142 (10066)</v>
      </c>
      <c r="S3618" t="s">
        <v>77</v>
      </c>
      <c r="T3618">
        <v>18836</v>
      </c>
      <c r="U3618">
        <v>22143</v>
      </c>
      <c r="V3618" t="s">
        <v>77</v>
      </c>
    </row>
    <row r="3619" spans="1:22">
      <c r="A3619" t="str">
        <f t="shared" si="651"/>
        <v>25/09/2025</v>
      </c>
      <c r="B3619" t="str">
        <f t="shared" si="649"/>
        <v>SAÍDA</v>
      </c>
      <c r="C3619" t="str">
        <f t="shared" si="652"/>
        <v>PIX</v>
      </c>
      <c r="D3619" t="str">
        <f>"22144"</f>
        <v>22144</v>
      </c>
      <c r="E3619" t="str">
        <f t="shared" si="654"/>
        <v>1</v>
      </c>
      <c r="F3619" t="str">
        <f t="shared" si="650"/>
        <v>COM</v>
      </c>
      <c r="G3619" t="str">
        <f>"RÔMULO LEMOS DE SOUZA (59)"</f>
        <v>RÔMULO LEMOS DE SOUZA (59)</v>
      </c>
      <c r="H3619" t="str">
        <f>"Serv.Prest. 08/09/2025 a 14/09/2025 - PIX: CELULAR - CHAVE: (33) 98840-0998"</f>
        <v>Serv.Prest. 08/09/2025 a 14/09/2025 - PIX: CELULAR - CHAVE: (33) 98840-0998</v>
      </c>
      <c r="I3619" t="str">
        <f t="shared" si="653"/>
        <v>25/09/2025</v>
      </c>
      <c r="J3619" t="str">
        <f t="shared" si="648"/>
        <v>16/09/2025</v>
      </c>
      <c r="K3619" t="str">
        <f>("25/09/2025")</f>
        <v>25/09/2025</v>
      </c>
      <c r="L3619">
        <v>984</v>
      </c>
      <c r="M3619">
        <v>984</v>
      </c>
      <c r="N3619">
        <v>109</v>
      </c>
      <c r="O3619" t="str">
        <f>"PAGAMENTO DE ENTREGADORES"</f>
        <v>PAGAMENTO DE ENTREGADORES</v>
      </c>
      <c r="P3619">
        <v>984</v>
      </c>
      <c r="S3619" t="str">
        <f>"BANCO C6 (149)"</f>
        <v>BANCO C6 (149)</v>
      </c>
      <c r="T3619">
        <v>18837</v>
      </c>
      <c r="U3619">
        <v>22144</v>
      </c>
      <c r="V3619" t="s">
        <v>77</v>
      </c>
    </row>
    <row r="3620" spans="1:22">
      <c r="A3620" t="str">
        <f t="shared" si="651"/>
        <v>25/09/2025</v>
      </c>
      <c r="B3620" t="str">
        <f t="shared" si="649"/>
        <v>SAÍDA</v>
      </c>
      <c r="C3620" t="str">
        <f t="shared" si="652"/>
        <v>PIX</v>
      </c>
      <c r="D3620" t="str">
        <f>"22144"</f>
        <v>22144</v>
      </c>
      <c r="E3620" t="str">
        <f t="shared" si="654"/>
        <v>1</v>
      </c>
      <c r="F3620" t="str">
        <f t="shared" si="650"/>
        <v>COM</v>
      </c>
      <c r="G3620" t="str">
        <f>"RÔMULO LEMOS DE SOUZA (59)"</f>
        <v>RÔMULO LEMOS DE SOUZA (59)</v>
      </c>
      <c r="H3620" t="s">
        <v>1027</v>
      </c>
      <c r="I3620" t="str">
        <f t="shared" si="653"/>
        <v>25/09/2025</v>
      </c>
      <c r="J3620" t="str">
        <f t="shared" si="648"/>
        <v>16/09/2025</v>
      </c>
      <c r="K3620">
        <v>45925</v>
      </c>
      <c r="N3620">
        <v>109</v>
      </c>
      <c r="O3620" t="s">
        <v>24</v>
      </c>
      <c r="Q3620">
        <v>984</v>
      </c>
      <c r="R3620" t="str">
        <f>"FARMÁCIA INDIANA LJ 07 (10007)"</f>
        <v>FARMÁCIA INDIANA LJ 07 (10007)</v>
      </c>
      <c r="S3620" t="s">
        <v>77</v>
      </c>
      <c r="T3620">
        <v>18837</v>
      </c>
      <c r="U3620">
        <v>22144</v>
      </c>
      <c r="V3620" t="s">
        <v>77</v>
      </c>
    </row>
    <row r="3621" spans="1:22">
      <c r="A3621" t="str">
        <f t="shared" si="651"/>
        <v>25/09/2025</v>
      </c>
      <c r="B3621" t="str">
        <f t="shared" si="649"/>
        <v>SAÍDA</v>
      </c>
      <c r="C3621" t="str">
        <f t="shared" si="652"/>
        <v>PIX</v>
      </c>
      <c r="D3621" t="str">
        <f>"22146"</f>
        <v>22146</v>
      </c>
      <c r="E3621" t="str">
        <f t="shared" si="654"/>
        <v>1</v>
      </c>
      <c r="F3621" t="str">
        <f t="shared" si="650"/>
        <v>COM</v>
      </c>
      <c r="G3621" t="str">
        <f>"SANRIO OLIVEIRA DO CARMO (579)"</f>
        <v>SANRIO OLIVEIRA DO CARMO (579)</v>
      </c>
      <c r="H3621" t="str">
        <f>"Serv.Prest. 08/09/2025 a 14/09/2025 - PIX: CPF - CHAVE: 118.731.976-75"</f>
        <v>Serv.Prest. 08/09/2025 a 14/09/2025 - PIX: CPF - CHAVE: 118.731.976-75</v>
      </c>
      <c r="I3621" t="str">
        <f t="shared" si="653"/>
        <v>25/09/2025</v>
      </c>
      <c r="J3621" t="str">
        <f t="shared" si="648"/>
        <v>16/09/2025</v>
      </c>
      <c r="K3621" t="str">
        <f>("25/09/2025")</f>
        <v>25/09/2025</v>
      </c>
      <c r="L3621">
        <v>828</v>
      </c>
      <c r="M3621">
        <v>828</v>
      </c>
      <c r="N3621">
        <v>109</v>
      </c>
      <c r="O3621" t="str">
        <f>"PAGAMENTO DE ENTREGADORES"</f>
        <v>PAGAMENTO DE ENTREGADORES</v>
      </c>
      <c r="P3621">
        <v>828</v>
      </c>
      <c r="S3621" t="str">
        <f>"BANCO C6 (149)"</f>
        <v>BANCO C6 (149)</v>
      </c>
      <c r="T3621">
        <v>18838</v>
      </c>
      <c r="U3621">
        <v>22146</v>
      </c>
      <c r="V3621" t="s">
        <v>77</v>
      </c>
    </row>
    <row r="3622" spans="1:22">
      <c r="A3622" t="str">
        <f t="shared" si="651"/>
        <v>25/09/2025</v>
      </c>
      <c r="B3622" t="str">
        <f t="shared" si="649"/>
        <v>SAÍDA</v>
      </c>
      <c r="C3622" t="str">
        <f t="shared" si="652"/>
        <v>PIX</v>
      </c>
      <c r="D3622" t="str">
        <f>"22146"</f>
        <v>22146</v>
      </c>
      <c r="E3622" t="str">
        <f t="shared" si="654"/>
        <v>1</v>
      </c>
      <c r="F3622" t="str">
        <f t="shared" si="650"/>
        <v>COM</v>
      </c>
      <c r="G3622" t="str">
        <f>"SANRIO OLIVEIRA DO CARMO (579)"</f>
        <v>SANRIO OLIVEIRA DO CARMO (579)</v>
      </c>
      <c r="H3622" t="s">
        <v>1028</v>
      </c>
      <c r="I3622" t="str">
        <f t="shared" si="653"/>
        <v>25/09/2025</v>
      </c>
      <c r="J3622" t="str">
        <f t="shared" si="648"/>
        <v>16/09/2025</v>
      </c>
      <c r="K3622">
        <v>45925</v>
      </c>
      <c r="N3622">
        <v>109</v>
      </c>
      <c r="O3622" t="s">
        <v>24</v>
      </c>
      <c r="Q3622">
        <v>828</v>
      </c>
      <c r="R3622" t="str">
        <f>"FARMÁCIA INDIANA LJ 152 (10069)"</f>
        <v>FARMÁCIA INDIANA LJ 152 (10069)</v>
      </c>
      <c r="S3622" t="s">
        <v>77</v>
      </c>
      <c r="T3622">
        <v>18838</v>
      </c>
      <c r="U3622">
        <v>22146</v>
      </c>
      <c r="V3622" t="s">
        <v>77</v>
      </c>
    </row>
    <row r="3623" spans="1:22">
      <c r="A3623" t="str">
        <f t="shared" si="651"/>
        <v>25/09/2025</v>
      </c>
      <c r="B3623" t="str">
        <f t="shared" si="649"/>
        <v>SAÍDA</v>
      </c>
      <c r="C3623" t="str">
        <f t="shared" si="652"/>
        <v>PIX</v>
      </c>
      <c r="D3623" t="str">
        <f>"22147"</f>
        <v>22147</v>
      </c>
      <c r="E3623" t="str">
        <f t="shared" si="654"/>
        <v>1</v>
      </c>
      <c r="F3623" t="str">
        <f t="shared" si="650"/>
        <v>COM</v>
      </c>
      <c r="G3623" t="str">
        <f>"SEDNEY GOMES SOARES (87)"</f>
        <v>SEDNEY GOMES SOARES (87)</v>
      </c>
      <c r="H3623" t="str">
        <f>"Serv.Prest. 08/09/2025 a 14/09/2025 - PIX: CPF - CHAVE: 048.151.276-46"</f>
        <v>Serv.Prest. 08/09/2025 a 14/09/2025 - PIX: CPF - CHAVE: 048.151.276-46</v>
      </c>
      <c r="I3623" t="str">
        <f t="shared" si="653"/>
        <v>25/09/2025</v>
      </c>
      <c r="J3623" t="str">
        <f t="shared" si="648"/>
        <v>16/09/2025</v>
      </c>
      <c r="K3623" t="str">
        <f>("25/09/2025")</f>
        <v>25/09/2025</v>
      </c>
      <c r="L3623">
        <v>750</v>
      </c>
      <c r="M3623">
        <v>750</v>
      </c>
      <c r="N3623">
        <v>109</v>
      </c>
      <c r="O3623" t="str">
        <f>"PAGAMENTO DE ENTREGADORES"</f>
        <v>PAGAMENTO DE ENTREGADORES</v>
      </c>
      <c r="P3623">
        <v>750</v>
      </c>
      <c r="S3623" t="str">
        <f>"BANCO C6 (149)"</f>
        <v>BANCO C6 (149)</v>
      </c>
      <c r="T3623">
        <v>18839</v>
      </c>
      <c r="U3623">
        <v>22147</v>
      </c>
      <c r="V3623" t="s">
        <v>77</v>
      </c>
    </row>
    <row r="3624" spans="1:22">
      <c r="A3624" t="str">
        <f t="shared" si="651"/>
        <v>25/09/2025</v>
      </c>
      <c r="B3624" t="str">
        <f t="shared" si="649"/>
        <v>SAÍDA</v>
      </c>
      <c r="C3624" t="str">
        <f t="shared" si="652"/>
        <v>PIX</v>
      </c>
      <c r="D3624" t="str">
        <f>"22147"</f>
        <v>22147</v>
      </c>
      <c r="E3624" t="str">
        <f t="shared" si="654"/>
        <v>1</v>
      </c>
      <c r="F3624" t="str">
        <f t="shared" si="650"/>
        <v>COM</v>
      </c>
      <c r="G3624" t="str">
        <f>"SEDNEY GOMES SOARES (87)"</f>
        <v>SEDNEY GOMES SOARES (87)</v>
      </c>
      <c r="H3624" t="s">
        <v>1029</v>
      </c>
      <c r="I3624" t="str">
        <f t="shared" si="653"/>
        <v>25/09/2025</v>
      </c>
      <c r="J3624" t="str">
        <f t="shared" si="648"/>
        <v>16/09/2025</v>
      </c>
      <c r="K3624">
        <v>45925</v>
      </c>
      <c r="N3624">
        <v>109</v>
      </c>
      <c r="O3624" t="s">
        <v>24</v>
      </c>
      <c r="Q3624">
        <v>197.39</v>
      </c>
      <c r="R3624" t="str">
        <f>"FARMÁCIA INDIANA LJ 97 (10040)"</f>
        <v>FARMÁCIA INDIANA LJ 97 (10040)</v>
      </c>
      <c r="S3624" t="s">
        <v>77</v>
      </c>
      <c r="T3624">
        <v>18839</v>
      </c>
      <c r="U3624">
        <v>22147</v>
      </c>
      <c r="V3624" t="s">
        <v>77</v>
      </c>
    </row>
    <row r="3625" spans="1:22">
      <c r="A3625" t="str">
        <f t="shared" si="651"/>
        <v>25/09/2025</v>
      </c>
      <c r="B3625" t="str">
        <f t="shared" si="649"/>
        <v>SAÍDA</v>
      </c>
      <c r="C3625" t="str">
        <f t="shared" si="652"/>
        <v>PIX</v>
      </c>
      <c r="D3625" t="str">
        <f>"22147"</f>
        <v>22147</v>
      </c>
      <c r="E3625" t="str">
        <f t="shared" si="654"/>
        <v>1</v>
      </c>
      <c r="F3625" t="str">
        <f t="shared" si="650"/>
        <v>COM</v>
      </c>
      <c r="G3625" t="str">
        <f>"SEDNEY GOMES SOARES (87)"</f>
        <v>SEDNEY GOMES SOARES (87)</v>
      </c>
      <c r="H3625" t="s">
        <v>1029</v>
      </c>
      <c r="I3625" t="str">
        <f t="shared" si="653"/>
        <v>25/09/2025</v>
      </c>
      <c r="J3625" t="str">
        <f t="shared" si="648"/>
        <v>16/09/2025</v>
      </c>
      <c r="K3625">
        <v>45925</v>
      </c>
      <c r="N3625">
        <v>109</v>
      </c>
      <c r="O3625" t="s">
        <v>24</v>
      </c>
      <c r="Q3625">
        <v>493.43</v>
      </c>
      <c r="R3625" t="str">
        <f>"FARMÁCIA INDIANA LJ 111 (10049)"</f>
        <v>FARMÁCIA INDIANA LJ 111 (10049)</v>
      </c>
      <c r="S3625" t="s">
        <v>77</v>
      </c>
      <c r="T3625">
        <v>18839</v>
      </c>
      <c r="U3625">
        <v>22147</v>
      </c>
      <c r="V3625" t="s">
        <v>77</v>
      </c>
    </row>
    <row r="3626" spans="1:22">
      <c r="A3626" t="str">
        <f t="shared" si="651"/>
        <v>25/09/2025</v>
      </c>
      <c r="B3626" t="str">
        <f t="shared" si="649"/>
        <v>SAÍDA</v>
      </c>
      <c r="C3626" t="str">
        <f t="shared" si="652"/>
        <v>PIX</v>
      </c>
      <c r="D3626" t="str">
        <f>"22147"</f>
        <v>22147</v>
      </c>
      <c r="E3626" t="str">
        <f t="shared" si="654"/>
        <v>1</v>
      </c>
      <c r="F3626" t="str">
        <f t="shared" si="650"/>
        <v>COM</v>
      </c>
      <c r="G3626" t="str">
        <f>"SEDNEY GOMES SOARES (87)"</f>
        <v>SEDNEY GOMES SOARES (87)</v>
      </c>
      <c r="H3626" t="s">
        <v>1029</v>
      </c>
      <c r="I3626" t="str">
        <f t="shared" si="653"/>
        <v>25/09/2025</v>
      </c>
      <c r="J3626" t="str">
        <f t="shared" si="648"/>
        <v>16/09/2025</v>
      </c>
      <c r="K3626">
        <v>45925</v>
      </c>
      <c r="N3626">
        <v>109</v>
      </c>
      <c r="O3626" t="s">
        <v>24</v>
      </c>
      <c r="Q3626">
        <v>59.18</v>
      </c>
      <c r="R3626" t="str">
        <f>"FARMÁCIA INDIANA LJ 143 (10067)"</f>
        <v>FARMÁCIA INDIANA LJ 143 (10067)</v>
      </c>
      <c r="S3626" t="s">
        <v>77</v>
      </c>
      <c r="T3626">
        <v>18839</v>
      </c>
      <c r="U3626">
        <v>22147</v>
      </c>
      <c r="V3626" t="s">
        <v>77</v>
      </c>
    </row>
    <row r="3627" spans="1:22">
      <c r="A3627" t="str">
        <f t="shared" si="651"/>
        <v>25/09/2025</v>
      </c>
      <c r="B3627" t="str">
        <f t="shared" si="649"/>
        <v>SAÍDA</v>
      </c>
      <c r="C3627" t="str">
        <f t="shared" si="652"/>
        <v>PIX</v>
      </c>
      <c r="D3627" t="str">
        <f>"22148"</f>
        <v>22148</v>
      </c>
      <c r="E3627" t="str">
        <f t="shared" si="654"/>
        <v>1</v>
      </c>
      <c r="F3627" t="str">
        <f t="shared" si="650"/>
        <v>COM</v>
      </c>
      <c r="G3627" t="str">
        <f>"SILAS ALVES DE FREITAS (35)"</f>
        <v>SILAS ALVES DE FREITAS (35)</v>
      </c>
      <c r="H3627" t="str">
        <f>"Serv.Prest. 08/09/2025 a 14/09/2025 - PIX: CPF - CHAVE: 097.855.786-74"</f>
        <v>Serv.Prest. 08/09/2025 a 14/09/2025 - PIX: CPF - CHAVE: 097.855.786-74</v>
      </c>
      <c r="I3627" t="str">
        <f t="shared" si="653"/>
        <v>25/09/2025</v>
      </c>
      <c r="J3627" t="str">
        <f t="shared" si="648"/>
        <v>16/09/2025</v>
      </c>
      <c r="K3627" t="str">
        <f>("25/09/2025")</f>
        <v>25/09/2025</v>
      </c>
      <c r="L3627">
        <v>1248</v>
      </c>
      <c r="M3627">
        <v>1248</v>
      </c>
      <c r="N3627">
        <v>109</v>
      </c>
      <c r="O3627" t="str">
        <f>"PAGAMENTO DE ENTREGADORES"</f>
        <v>PAGAMENTO DE ENTREGADORES</v>
      </c>
      <c r="P3627">
        <v>1248</v>
      </c>
      <c r="S3627" t="str">
        <f>"BANCO C6 (149)"</f>
        <v>BANCO C6 (149)</v>
      </c>
      <c r="T3627">
        <v>18840</v>
      </c>
      <c r="U3627">
        <v>22148</v>
      </c>
      <c r="V3627" t="s">
        <v>77</v>
      </c>
    </row>
    <row r="3628" spans="1:22">
      <c r="A3628" t="str">
        <f t="shared" si="651"/>
        <v>25/09/2025</v>
      </c>
      <c r="B3628" t="str">
        <f t="shared" si="649"/>
        <v>SAÍDA</v>
      </c>
      <c r="C3628" t="str">
        <f t="shared" si="652"/>
        <v>PIX</v>
      </c>
      <c r="D3628" t="str">
        <f>"22148"</f>
        <v>22148</v>
      </c>
      <c r="E3628" t="str">
        <f t="shared" si="654"/>
        <v>1</v>
      </c>
      <c r="F3628" t="str">
        <f t="shared" si="650"/>
        <v>COM</v>
      </c>
      <c r="G3628" t="str">
        <f>"SILAS ALVES DE FREITAS (35)"</f>
        <v>SILAS ALVES DE FREITAS (35)</v>
      </c>
      <c r="H3628" t="s">
        <v>1030</v>
      </c>
      <c r="I3628" t="str">
        <f t="shared" si="653"/>
        <v>25/09/2025</v>
      </c>
      <c r="J3628" t="str">
        <f t="shared" si="648"/>
        <v>16/09/2025</v>
      </c>
      <c r="K3628">
        <v>45925</v>
      </c>
      <c r="N3628">
        <v>109</v>
      </c>
      <c r="O3628" t="s">
        <v>24</v>
      </c>
      <c r="Q3628">
        <v>1248</v>
      </c>
      <c r="R3628" t="str">
        <f>"FARMÁCIA INDIANA LJ 172 (10161)"</f>
        <v>FARMÁCIA INDIANA LJ 172 (10161)</v>
      </c>
      <c r="S3628" t="s">
        <v>77</v>
      </c>
      <c r="T3628">
        <v>18840</v>
      </c>
      <c r="U3628">
        <v>22148</v>
      </c>
      <c r="V3628" t="s">
        <v>77</v>
      </c>
    </row>
    <row r="3629" spans="1:22">
      <c r="A3629" t="str">
        <f t="shared" si="651"/>
        <v>25/09/2025</v>
      </c>
      <c r="B3629" t="str">
        <f t="shared" si="649"/>
        <v>SAÍDA</v>
      </c>
      <c r="C3629" t="str">
        <f t="shared" si="652"/>
        <v>PIX</v>
      </c>
      <c r="D3629" t="str">
        <f>"22149"</f>
        <v>22149</v>
      </c>
      <c r="E3629" t="str">
        <f t="shared" si="654"/>
        <v>1</v>
      </c>
      <c r="F3629" t="str">
        <f t="shared" si="650"/>
        <v>COM</v>
      </c>
      <c r="G3629" t="str">
        <f>"TAYSON BARBOSA SILVINO (613)"</f>
        <v>TAYSON BARBOSA SILVINO (613)</v>
      </c>
      <c r="H3629" t="str">
        <f>"Serv.Prest. 08/09/2025 a 14/09/2025 - PIX: CHAVE ALEATÓRIA - CHAVE: 1550e869-c9d7-4436-be93-6858fd0cb900"</f>
        <v>Serv.Prest. 08/09/2025 a 14/09/2025 - PIX: CHAVE ALEATÓRIA - CHAVE: 1550e869-c9d7-4436-be93-6858fd0cb900</v>
      </c>
      <c r="I3629" t="str">
        <f t="shared" si="653"/>
        <v>25/09/2025</v>
      </c>
      <c r="J3629" t="str">
        <f t="shared" si="648"/>
        <v>16/09/2025</v>
      </c>
      <c r="K3629" t="str">
        <f>("25/09/2025")</f>
        <v>25/09/2025</v>
      </c>
      <c r="L3629">
        <v>702</v>
      </c>
      <c r="M3629">
        <v>702</v>
      </c>
      <c r="N3629">
        <v>109</v>
      </c>
      <c r="O3629" t="str">
        <f>"PAGAMENTO DE ENTREGADORES"</f>
        <v>PAGAMENTO DE ENTREGADORES</v>
      </c>
      <c r="P3629">
        <v>702</v>
      </c>
      <c r="S3629" t="str">
        <f>"BANCO C6 (149)"</f>
        <v>BANCO C6 (149)</v>
      </c>
      <c r="T3629">
        <v>18841</v>
      </c>
      <c r="U3629">
        <v>22149</v>
      </c>
      <c r="V3629" t="s">
        <v>77</v>
      </c>
    </row>
    <row r="3630" spans="1:22">
      <c r="A3630" t="str">
        <f t="shared" si="651"/>
        <v>25/09/2025</v>
      </c>
      <c r="B3630" t="str">
        <f t="shared" si="649"/>
        <v>SAÍDA</v>
      </c>
      <c r="C3630" t="str">
        <f t="shared" si="652"/>
        <v>PIX</v>
      </c>
      <c r="D3630" t="str">
        <f>"22149"</f>
        <v>22149</v>
      </c>
      <c r="E3630" t="str">
        <f t="shared" si="654"/>
        <v>1</v>
      </c>
      <c r="F3630" t="str">
        <f t="shared" si="650"/>
        <v>COM</v>
      </c>
      <c r="G3630" t="str">
        <f>"TAYSON BARBOSA SILVINO (613)"</f>
        <v>TAYSON BARBOSA SILVINO (613)</v>
      </c>
      <c r="H3630" t="s">
        <v>1031</v>
      </c>
      <c r="I3630" t="str">
        <f t="shared" si="653"/>
        <v>25/09/2025</v>
      </c>
      <c r="J3630" t="str">
        <f t="shared" si="648"/>
        <v>16/09/2025</v>
      </c>
      <c r="K3630">
        <v>45925</v>
      </c>
      <c r="N3630">
        <v>109</v>
      </c>
      <c r="O3630" t="s">
        <v>24</v>
      </c>
      <c r="Q3630">
        <v>702</v>
      </c>
      <c r="R3630" t="str">
        <f>"FARMÁCIA INDIANA LJ 19 (10012)"</f>
        <v>FARMÁCIA INDIANA LJ 19 (10012)</v>
      </c>
      <c r="S3630" t="s">
        <v>77</v>
      </c>
      <c r="T3630">
        <v>18841</v>
      </c>
      <c r="U3630">
        <v>22149</v>
      </c>
      <c r="V3630" t="s">
        <v>77</v>
      </c>
    </row>
    <row r="3631" spans="1:22">
      <c r="A3631" t="str">
        <f t="shared" si="651"/>
        <v>25/09/2025</v>
      </c>
      <c r="B3631" t="str">
        <f t="shared" si="649"/>
        <v>SAÍDA</v>
      </c>
      <c r="C3631" t="str">
        <f t="shared" si="652"/>
        <v>PIX</v>
      </c>
      <c r="D3631" t="str">
        <f>"22151"</f>
        <v>22151</v>
      </c>
      <c r="E3631" t="str">
        <f t="shared" si="654"/>
        <v>1</v>
      </c>
      <c r="F3631" t="str">
        <f t="shared" si="650"/>
        <v>COM</v>
      </c>
      <c r="G3631" t="str">
        <f>"VINICIUS DE SOUZA ISABEL (658)"</f>
        <v>VINICIUS DE SOUZA ISABEL (658)</v>
      </c>
      <c r="H3631" t="str">
        <f>"Serv.Prest. 08/09/2025 a 14/09/2025 - PIX: CPF - CHAVE: 092.566.416-23"</f>
        <v>Serv.Prest. 08/09/2025 a 14/09/2025 - PIX: CPF - CHAVE: 092.566.416-23</v>
      </c>
      <c r="I3631" t="str">
        <f t="shared" si="653"/>
        <v>25/09/2025</v>
      </c>
      <c r="J3631" t="str">
        <f t="shared" si="648"/>
        <v>16/09/2025</v>
      </c>
      <c r="K3631" t="str">
        <f>("25/09/2025")</f>
        <v>25/09/2025</v>
      </c>
      <c r="L3631">
        <v>784</v>
      </c>
      <c r="M3631">
        <v>784</v>
      </c>
      <c r="N3631">
        <v>109</v>
      </c>
      <c r="O3631" t="str">
        <f>"PAGAMENTO DE ENTREGADORES"</f>
        <v>PAGAMENTO DE ENTREGADORES</v>
      </c>
      <c r="P3631">
        <v>784</v>
      </c>
      <c r="S3631" t="str">
        <f>"BANCO C6 (149)"</f>
        <v>BANCO C6 (149)</v>
      </c>
      <c r="T3631">
        <v>18842</v>
      </c>
      <c r="U3631">
        <v>22151</v>
      </c>
      <c r="V3631" t="s">
        <v>77</v>
      </c>
    </row>
    <row r="3632" spans="1:22">
      <c r="A3632" t="str">
        <f t="shared" si="651"/>
        <v>25/09/2025</v>
      </c>
      <c r="B3632" t="str">
        <f t="shared" si="649"/>
        <v>SAÍDA</v>
      </c>
      <c r="C3632" t="str">
        <f t="shared" si="652"/>
        <v>PIX</v>
      </c>
      <c r="D3632" t="str">
        <f>"22151"</f>
        <v>22151</v>
      </c>
      <c r="E3632" t="str">
        <f t="shared" si="654"/>
        <v>1</v>
      </c>
      <c r="F3632" t="str">
        <f t="shared" si="650"/>
        <v>COM</v>
      </c>
      <c r="G3632" t="str">
        <f>"VINICIUS DE SOUZA ISABEL (658)"</f>
        <v>VINICIUS DE SOUZA ISABEL (658)</v>
      </c>
      <c r="H3632" t="s">
        <v>1032</v>
      </c>
      <c r="I3632" t="str">
        <f t="shared" si="653"/>
        <v>25/09/2025</v>
      </c>
      <c r="J3632" t="str">
        <f t="shared" si="648"/>
        <v>16/09/2025</v>
      </c>
      <c r="K3632">
        <v>45925</v>
      </c>
      <c r="N3632">
        <v>109</v>
      </c>
      <c r="O3632" t="s">
        <v>24</v>
      </c>
      <c r="Q3632">
        <v>784</v>
      </c>
      <c r="R3632" t="str">
        <f>"FARMÁCIA INDIANA LJ 219 (10091)"</f>
        <v>FARMÁCIA INDIANA LJ 219 (10091)</v>
      </c>
      <c r="S3632" t="s">
        <v>77</v>
      </c>
      <c r="T3632">
        <v>18842</v>
      </c>
      <c r="U3632">
        <v>22151</v>
      </c>
      <c r="V3632" t="s">
        <v>77</v>
      </c>
    </row>
    <row r="3633" spans="1:22">
      <c r="A3633" t="str">
        <f t="shared" si="651"/>
        <v>25/09/2025</v>
      </c>
      <c r="B3633" t="str">
        <f t="shared" si="649"/>
        <v>SAÍDA</v>
      </c>
      <c r="C3633" t="str">
        <f t="shared" si="652"/>
        <v>PIX</v>
      </c>
      <c r="D3633" t="str">
        <f>"22152"</f>
        <v>22152</v>
      </c>
      <c r="E3633" t="str">
        <f t="shared" si="654"/>
        <v>1</v>
      </c>
      <c r="F3633" t="str">
        <f t="shared" si="650"/>
        <v>COM</v>
      </c>
      <c r="G3633" t="str">
        <f>"VITOR CARDOSO FAUSTINO (257)"</f>
        <v>VITOR CARDOSO FAUSTINO (257)</v>
      </c>
      <c r="H3633" t="str">
        <f>"Serv.Prest. 08/09/2025 a 14/09/2025 - PIX: CPF - CHAVE: 157.874.046-02"</f>
        <v>Serv.Prest. 08/09/2025 a 14/09/2025 - PIX: CPF - CHAVE: 157.874.046-02</v>
      </c>
      <c r="I3633" t="str">
        <f t="shared" si="653"/>
        <v>25/09/2025</v>
      </c>
      <c r="J3633" t="str">
        <f t="shared" si="648"/>
        <v>16/09/2025</v>
      </c>
      <c r="K3633" t="str">
        <f>("25/09/2025")</f>
        <v>25/09/2025</v>
      </c>
      <c r="L3633">
        <v>474</v>
      </c>
      <c r="M3633">
        <v>474</v>
      </c>
      <c r="N3633">
        <v>109</v>
      </c>
      <c r="O3633" t="str">
        <f>"PAGAMENTO DE ENTREGADORES"</f>
        <v>PAGAMENTO DE ENTREGADORES</v>
      </c>
      <c r="P3633">
        <v>474</v>
      </c>
      <c r="S3633" t="str">
        <f>"BANCO C6 (149)"</f>
        <v>BANCO C6 (149)</v>
      </c>
      <c r="T3633">
        <v>18843</v>
      </c>
      <c r="U3633">
        <v>22152</v>
      </c>
      <c r="V3633" t="s">
        <v>77</v>
      </c>
    </row>
    <row r="3634" spans="1:22">
      <c r="A3634" t="str">
        <f t="shared" si="651"/>
        <v>25/09/2025</v>
      </c>
      <c r="B3634" t="str">
        <f t="shared" si="649"/>
        <v>SAÍDA</v>
      </c>
      <c r="C3634" t="str">
        <f t="shared" si="652"/>
        <v>PIX</v>
      </c>
      <c r="D3634" t="str">
        <f>"22152"</f>
        <v>22152</v>
      </c>
      <c r="E3634" t="str">
        <f t="shared" si="654"/>
        <v>1</v>
      </c>
      <c r="F3634" t="str">
        <f t="shared" si="650"/>
        <v>COM</v>
      </c>
      <c r="G3634" t="str">
        <f>"VITOR CARDOSO FAUSTINO (257)"</f>
        <v>VITOR CARDOSO FAUSTINO (257)</v>
      </c>
      <c r="H3634" t="s">
        <v>1033</v>
      </c>
      <c r="I3634" t="str">
        <f t="shared" si="653"/>
        <v>25/09/2025</v>
      </c>
      <c r="J3634" t="str">
        <f t="shared" si="648"/>
        <v>16/09/2025</v>
      </c>
      <c r="K3634">
        <v>45925</v>
      </c>
      <c r="N3634">
        <v>109</v>
      </c>
      <c r="O3634" t="s">
        <v>24</v>
      </c>
      <c r="Q3634">
        <v>474</v>
      </c>
      <c r="R3634" t="str">
        <f>"FARMÁCIA INDIANA LJ 07 (10007)"</f>
        <v>FARMÁCIA INDIANA LJ 07 (10007)</v>
      </c>
      <c r="S3634" t="s">
        <v>77</v>
      </c>
      <c r="T3634">
        <v>18843</v>
      </c>
      <c r="U3634">
        <v>22152</v>
      </c>
      <c r="V3634" t="s">
        <v>77</v>
      </c>
    </row>
    <row r="3635" spans="1:22">
      <c r="A3635" t="str">
        <f t="shared" si="651"/>
        <v>25/09/2025</v>
      </c>
      <c r="B3635" t="str">
        <f t="shared" si="649"/>
        <v>SAÍDA</v>
      </c>
      <c r="C3635" t="str">
        <f t="shared" si="652"/>
        <v>PIX</v>
      </c>
      <c r="D3635" t="str">
        <f>"22153"</f>
        <v>22153</v>
      </c>
      <c r="E3635" t="str">
        <f t="shared" si="654"/>
        <v>1</v>
      </c>
      <c r="F3635" t="str">
        <f t="shared" si="650"/>
        <v>COM</v>
      </c>
      <c r="G3635" t="str">
        <f>"VITOR DE SOUZA SILVA (360)"</f>
        <v>VITOR DE SOUZA SILVA (360)</v>
      </c>
      <c r="H3635" t="str">
        <f>"Serv.Prest. 08/09/2025 a 14/09/2025 - PIX: CPF - CHAVE: 130.194.566-81"</f>
        <v>Serv.Prest. 08/09/2025 a 14/09/2025 - PIX: CPF - CHAVE: 130.194.566-81</v>
      </c>
      <c r="I3635" t="str">
        <f t="shared" si="653"/>
        <v>25/09/2025</v>
      </c>
      <c r="J3635" t="str">
        <f t="shared" si="648"/>
        <v>16/09/2025</v>
      </c>
      <c r="K3635" t="str">
        <f>("25/09/2025")</f>
        <v>25/09/2025</v>
      </c>
      <c r="L3635">
        <v>700.8</v>
      </c>
      <c r="M3635">
        <v>700.8</v>
      </c>
      <c r="N3635">
        <v>109</v>
      </c>
      <c r="O3635" t="str">
        <f>"PAGAMENTO DE ENTREGADORES"</f>
        <v>PAGAMENTO DE ENTREGADORES</v>
      </c>
      <c r="P3635">
        <v>700.8</v>
      </c>
      <c r="S3635" t="str">
        <f>"BANCO C6 (149)"</f>
        <v>BANCO C6 (149)</v>
      </c>
      <c r="T3635">
        <v>18844</v>
      </c>
      <c r="U3635">
        <v>22153</v>
      </c>
      <c r="V3635" t="s">
        <v>77</v>
      </c>
    </row>
    <row r="3636" spans="1:22">
      <c r="A3636" t="str">
        <f t="shared" si="651"/>
        <v>25/09/2025</v>
      </c>
      <c r="B3636" t="str">
        <f t="shared" si="649"/>
        <v>SAÍDA</v>
      </c>
      <c r="C3636" t="str">
        <f t="shared" si="652"/>
        <v>PIX</v>
      </c>
      <c r="D3636" t="str">
        <f>"22153"</f>
        <v>22153</v>
      </c>
      <c r="E3636" t="str">
        <f t="shared" si="654"/>
        <v>1</v>
      </c>
      <c r="F3636" t="str">
        <f t="shared" si="650"/>
        <v>COM</v>
      </c>
      <c r="G3636" t="str">
        <f>"VITOR DE SOUZA SILVA (360)"</f>
        <v>VITOR DE SOUZA SILVA (360)</v>
      </c>
      <c r="H3636" t="s">
        <v>1034</v>
      </c>
      <c r="I3636" t="str">
        <f t="shared" si="653"/>
        <v>25/09/2025</v>
      </c>
      <c r="J3636" t="str">
        <f t="shared" si="648"/>
        <v>16/09/2025</v>
      </c>
      <c r="K3636">
        <v>45925</v>
      </c>
      <c r="N3636">
        <v>109</v>
      </c>
      <c r="O3636" t="s">
        <v>24</v>
      </c>
      <c r="Q3636">
        <v>700.8</v>
      </c>
      <c r="R3636" t="str">
        <f>"FARMÁCIA INDIANA LJ 121 (10054)"</f>
        <v>FARMÁCIA INDIANA LJ 121 (10054)</v>
      </c>
      <c r="S3636" t="s">
        <v>77</v>
      </c>
      <c r="T3636">
        <v>18844</v>
      </c>
      <c r="U3636">
        <v>22153</v>
      </c>
      <c r="V3636" t="s">
        <v>77</v>
      </c>
    </row>
    <row r="3637" spans="1:22">
      <c r="A3637" t="str">
        <f t="shared" si="651"/>
        <v>25/09/2025</v>
      </c>
      <c r="B3637" t="str">
        <f t="shared" si="649"/>
        <v>SAÍDA</v>
      </c>
      <c r="C3637" t="str">
        <f t="shared" si="652"/>
        <v>PIX</v>
      </c>
      <c r="D3637" t="str">
        <f>"22154"</f>
        <v>22154</v>
      </c>
      <c r="E3637" t="str">
        <f t="shared" si="654"/>
        <v>1</v>
      </c>
      <c r="F3637" t="str">
        <f t="shared" si="650"/>
        <v>COM</v>
      </c>
      <c r="G3637" t="str">
        <f>"WAGNER DOS SANTOS LIMA (31)"</f>
        <v>WAGNER DOS SANTOS LIMA (31)</v>
      </c>
      <c r="H3637" t="str">
        <f>"Serv.Prest. 08/09/2025 a 14/09/2025 - PIX: CELULAR - CHAVE: (33) 99118-9032"</f>
        <v>Serv.Prest. 08/09/2025 a 14/09/2025 - PIX: CELULAR - CHAVE: (33) 99118-9032</v>
      </c>
      <c r="I3637" t="str">
        <f t="shared" si="653"/>
        <v>25/09/2025</v>
      </c>
      <c r="J3637" t="str">
        <f t="shared" ref="J3637:J3680" si="655">("16/09/2025")</f>
        <v>16/09/2025</v>
      </c>
      <c r="K3637" t="str">
        <f>("25/09/2025")</f>
        <v>25/09/2025</v>
      </c>
      <c r="L3637">
        <v>990</v>
      </c>
      <c r="M3637">
        <v>990</v>
      </c>
      <c r="N3637">
        <v>109</v>
      </c>
      <c r="O3637" t="str">
        <f>"PAGAMENTO DE ENTREGADORES"</f>
        <v>PAGAMENTO DE ENTREGADORES</v>
      </c>
      <c r="P3637">
        <v>990</v>
      </c>
      <c r="S3637" t="str">
        <f>"BANCO C6 (149)"</f>
        <v>BANCO C6 (149)</v>
      </c>
      <c r="T3637">
        <v>18845</v>
      </c>
      <c r="U3637">
        <v>22154</v>
      </c>
      <c r="V3637" t="s">
        <v>77</v>
      </c>
    </row>
    <row r="3638" spans="1:22">
      <c r="A3638" t="str">
        <f t="shared" si="651"/>
        <v>25/09/2025</v>
      </c>
      <c r="B3638" t="str">
        <f t="shared" si="649"/>
        <v>SAÍDA</v>
      </c>
      <c r="C3638" t="str">
        <f t="shared" si="652"/>
        <v>PIX</v>
      </c>
      <c r="D3638" t="str">
        <f>"22154"</f>
        <v>22154</v>
      </c>
      <c r="E3638" t="str">
        <f t="shared" si="654"/>
        <v>1</v>
      </c>
      <c r="F3638" t="str">
        <f t="shared" si="650"/>
        <v>COM</v>
      </c>
      <c r="G3638" t="str">
        <f>"WAGNER DOS SANTOS LIMA (31)"</f>
        <v>WAGNER DOS SANTOS LIMA (31)</v>
      </c>
      <c r="H3638" t="s">
        <v>1035</v>
      </c>
      <c r="I3638" t="str">
        <f t="shared" si="653"/>
        <v>25/09/2025</v>
      </c>
      <c r="J3638" t="str">
        <f t="shared" si="655"/>
        <v>16/09/2025</v>
      </c>
      <c r="K3638">
        <v>45925</v>
      </c>
      <c r="N3638">
        <v>109</v>
      </c>
      <c r="O3638" t="s">
        <v>24</v>
      </c>
      <c r="Q3638">
        <v>99</v>
      </c>
      <c r="R3638" t="str">
        <f>"FARMÁCIA INDIANA LJ 40 (10016)"</f>
        <v>FARMÁCIA INDIANA LJ 40 (10016)</v>
      </c>
      <c r="S3638" t="s">
        <v>77</v>
      </c>
      <c r="T3638">
        <v>18845</v>
      </c>
      <c r="U3638">
        <v>22154</v>
      </c>
      <c r="V3638" t="s">
        <v>77</v>
      </c>
    </row>
    <row r="3639" spans="1:22">
      <c r="A3639" t="str">
        <f t="shared" si="651"/>
        <v>25/09/2025</v>
      </c>
      <c r="B3639" t="str">
        <f t="shared" si="649"/>
        <v>SAÍDA</v>
      </c>
      <c r="C3639" t="str">
        <f t="shared" si="652"/>
        <v>PIX</v>
      </c>
      <c r="D3639" t="str">
        <f>"22154"</f>
        <v>22154</v>
      </c>
      <c r="E3639" t="str">
        <f t="shared" si="654"/>
        <v>1</v>
      </c>
      <c r="F3639" t="str">
        <f t="shared" si="650"/>
        <v>COM</v>
      </c>
      <c r="G3639" t="str">
        <f>"WAGNER DOS SANTOS LIMA (31)"</f>
        <v>WAGNER DOS SANTOS LIMA (31)</v>
      </c>
      <c r="H3639" t="s">
        <v>1035</v>
      </c>
      <c r="I3639" t="str">
        <f t="shared" si="653"/>
        <v>25/09/2025</v>
      </c>
      <c r="J3639" t="str">
        <f t="shared" si="655"/>
        <v>16/09/2025</v>
      </c>
      <c r="K3639">
        <v>45925</v>
      </c>
      <c r="N3639">
        <v>109</v>
      </c>
      <c r="O3639" t="s">
        <v>24</v>
      </c>
      <c r="Q3639">
        <v>891</v>
      </c>
      <c r="R3639" t="str">
        <f>"FARMÁCIA INDIANA LJ 61 (10027)"</f>
        <v>FARMÁCIA INDIANA LJ 61 (10027)</v>
      </c>
      <c r="S3639" t="s">
        <v>77</v>
      </c>
      <c r="T3639">
        <v>18845</v>
      </c>
      <c r="U3639">
        <v>22154</v>
      </c>
      <c r="V3639" t="s">
        <v>77</v>
      </c>
    </row>
    <row r="3640" spans="1:22">
      <c r="A3640" t="str">
        <f t="shared" si="651"/>
        <v>25/09/2025</v>
      </c>
      <c r="B3640" t="str">
        <f t="shared" si="649"/>
        <v>SAÍDA</v>
      </c>
      <c r="C3640" t="str">
        <f t="shared" si="652"/>
        <v>PIX</v>
      </c>
      <c r="D3640" t="str">
        <f>"22155"</f>
        <v>22155</v>
      </c>
      <c r="E3640" t="str">
        <f t="shared" si="654"/>
        <v>1</v>
      </c>
      <c r="F3640" t="str">
        <f t="shared" si="650"/>
        <v>COM</v>
      </c>
      <c r="G3640" t="str">
        <f>"WANDERSON JÚNIOR SOARES (628)"</f>
        <v>WANDERSON JÚNIOR SOARES (628)</v>
      </c>
      <c r="H3640" t="str">
        <f>"Serv.Prest. 08/09/2025 a 14/09/2025 - PIX: CPF - CHAVE: 170.180.266-01"</f>
        <v>Serv.Prest. 08/09/2025 a 14/09/2025 - PIX: CPF - CHAVE: 170.180.266-01</v>
      </c>
      <c r="I3640" t="str">
        <f t="shared" si="653"/>
        <v>25/09/2025</v>
      </c>
      <c r="J3640" t="str">
        <f t="shared" si="655"/>
        <v>16/09/2025</v>
      </c>
      <c r="K3640" t="str">
        <f>("25/09/2025")</f>
        <v>25/09/2025</v>
      </c>
      <c r="L3640">
        <v>702</v>
      </c>
      <c r="M3640">
        <v>702</v>
      </c>
      <c r="N3640">
        <v>109</v>
      </c>
      <c r="O3640" t="str">
        <f>"PAGAMENTO DE ENTREGADORES"</f>
        <v>PAGAMENTO DE ENTREGADORES</v>
      </c>
      <c r="P3640">
        <v>702</v>
      </c>
      <c r="S3640" t="str">
        <f>"BANCO C6 (149)"</f>
        <v>BANCO C6 (149)</v>
      </c>
      <c r="T3640">
        <v>18846</v>
      </c>
      <c r="U3640">
        <v>22155</v>
      </c>
      <c r="V3640" t="s">
        <v>77</v>
      </c>
    </row>
    <row r="3641" spans="1:22">
      <c r="A3641" t="str">
        <f t="shared" si="651"/>
        <v>25/09/2025</v>
      </c>
      <c r="B3641" t="str">
        <f t="shared" si="649"/>
        <v>SAÍDA</v>
      </c>
      <c r="C3641" t="str">
        <f t="shared" si="652"/>
        <v>PIX</v>
      </c>
      <c r="D3641" t="str">
        <f>"22155"</f>
        <v>22155</v>
      </c>
      <c r="E3641" t="str">
        <f t="shared" si="654"/>
        <v>1</v>
      </c>
      <c r="F3641" t="str">
        <f t="shared" si="650"/>
        <v>COM</v>
      </c>
      <c r="G3641" t="str">
        <f>"WANDERSON JÚNIOR SOARES (628)"</f>
        <v>WANDERSON JÚNIOR SOARES (628)</v>
      </c>
      <c r="H3641" t="s">
        <v>1036</v>
      </c>
      <c r="I3641" t="str">
        <f t="shared" si="653"/>
        <v>25/09/2025</v>
      </c>
      <c r="J3641" t="str">
        <f t="shared" si="655"/>
        <v>16/09/2025</v>
      </c>
      <c r="K3641">
        <v>45925</v>
      </c>
      <c r="N3641">
        <v>109</v>
      </c>
      <c r="O3641" t="s">
        <v>24</v>
      </c>
      <c r="Q3641">
        <v>702</v>
      </c>
      <c r="R3641" t="str">
        <f>"FARMÁCIA INDIANA LJ 110 (10048)"</f>
        <v>FARMÁCIA INDIANA LJ 110 (10048)</v>
      </c>
      <c r="S3641" t="s">
        <v>77</v>
      </c>
      <c r="T3641">
        <v>18846</v>
      </c>
      <c r="U3641">
        <v>22155</v>
      </c>
      <c r="V3641" t="s">
        <v>77</v>
      </c>
    </row>
    <row r="3642" spans="1:22">
      <c r="A3642" t="str">
        <f t="shared" si="651"/>
        <v>25/09/2025</v>
      </c>
      <c r="B3642" t="str">
        <f t="shared" si="649"/>
        <v>SAÍDA</v>
      </c>
      <c r="C3642" t="str">
        <f t="shared" si="652"/>
        <v>PIX</v>
      </c>
      <c r="D3642" t="str">
        <f>"22156"</f>
        <v>22156</v>
      </c>
      <c r="E3642" t="str">
        <f t="shared" si="654"/>
        <v>1</v>
      </c>
      <c r="F3642" t="str">
        <f t="shared" si="650"/>
        <v>COM</v>
      </c>
      <c r="G3642" t="str">
        <f>"WARLEN JUNIO ELIAS DE OLIVEIRA (171)"</f>
        <v>WARLEN JUNIO ELIAS DE OLIVEIRA (171)</v>
      </c>
      <c r="H3642" t="str">
        <f>"Serv.Prest. 08/09/2025 a 14/09/2025 - PIX: CELULAR - CHAVE: (31) 97251-6838"</f>
        <v>Serv.Prest. 08/09/2025 a 14/09/2025 - PIX: CELULAR - CHAVE: (31) 97251-6838</v>
      </c>
      <c r="I3642" t="str">
        <f t="shared" si="653"/>
        <v>25/09/2025</v>
      </c>
      <c r="J3642" t="str">
        <f t="shared" si="655"/>
        <v>16/09/2025</v>
      </c>
      <c r="K3642" t="str">
        <f>("25/09/2025")</f>
        <v>25/09/2025</v>
      </c>
      <c r="L3642">
        <v>575</v>
      </c>
      <c r="M3642">
        <v>575</v>
      </c>
      <c r="N3642">
        <v>109</v>
      </c>
      <c r="O3642" t="str">
        <f>"PAGAMENTO DE ENTREGADORES"</f>
        <v>PAGAMENTO DE ENTREGADORES</v>
      </c>
      <c r="P3642">
        <v>575</v>
      </c>
      <c r="S3642" t="str">
        <f>"BANCO C6 (149)"</f>
        <v>BANCO C6 (149)</v>
      </c>
      <c r="T3642">
        <v>18847</v>
      </c>
      <c r="U3642">
        <v>22156</v>
      </c>
      <c r="V3642" t="s">
        <v>77</v>
      </c>
    </row>
    <row r="3643" spans="1:22">
      <c r="A3643" t="str">
        <f t="shared" si="651"/>
        <v>25/09/2025</v>
      </c>
      <c r="B3643" t="str">
        <f t="shared" si="649"/>
        <v>SAÍDA</v>
      </c>
      <c r="C3643" t="str">
        <f t="shared" si="652"/>
        <v>PIX</v>
      </c>
      <c r="D3643" t="str">
        <f>"22156"</f>
        <v>22156</v>
      </c>
      <c r="E3643" t="str">
        <f t="shared" si="654"/>
        <v>1</v>
      </c>
      <c r="F3643" t="str">
        <f t="shared" si="650"/>
        <v>COM</v>
      </c>
      <c r="G3643" t="str">
        <f>"WARLEN JUNIO ELIAS DE OLIVEIRA (171)"</f>
        <v>WARLEN JUNIO ELIAS DE OLIVEIRA (171)</v>
      </c>
      <c r="H3643" t="s">
        <v>1037</v>
      </c>
      <c r="I3643" t="str">
        <f t="shared" si="653"/>
        <v>25/09/2025</v>
      </c>
      <c r="J3643" t="str">
        <f t="shared" si="655"/>
        <v>16/09/2025</v>
      </c>
      <c r="K3643">
        <v>45925</v>
      </c>
      <c r="N3643">
        <v>109</v>
      </c>
      <c r="O3643" t="s">
        <v>24</v>
      </c>
      <c r="Q3643">
        <v>575</v>
      </c>
      <c r="R3643" t="str">
        <f>"FARMÁCIA INDIANA LJ 175 (10076)"</f>
        <v>FARMÁCIA INDIANA LJ 175 (10076)</v>
      </c>
      <c r="S3643" t="s">
        <v>77</v>
      </c>
      <c r="T3643">
        <v>18847</v>
      </c>
      <c r="U3643">
        <v>22156</v>
      </c>
      <c r="V3643" t="s">
        <v>77</v>
      </c>
    </row>
    <row r="3644" spans="1:22">
      <c r="A3644" t="str">
        <f t="shared" si="651"/>
        <v>25/09/2025</v>
      </c>
      <c r="B3644" t="str">
        <f t="shared" si="649"/>
        <v>SAÍDA</v>
      </c>
      <c r="C3644" t="str">
        <f t="shared" si="652"/>
        <v>PIX</v>
      </c>
      <c r="D3644" t="str">
        <f>"22158"</f>
        <v>22158</v>
      </c>
      <c r="E3644" t="str">
        <f t="shared" si="654"/>
        <v>1</v>
      </c>
      <c r="F3644" t="str">
        <f t="shared" si="650"/>
        <v>COM</v>
      </c>
      <c r="G3644" t="str">
        <f>"WELLINGTON DOS SANTOS ALVES (438)"</f>
        <v>WELLINGTON DOS SANTOS ALVES (438)</v>
      </c>
      <c r="H3644" t="str">
        <f>"Serv.Prest. 08/09/2025 a 14/09/2025 - PIX: CELULAR - CHAVE: (32) 99800-1691"</f>
        <v>Serv.Prest. 08/09/2025 a 14/09/2025 - PIX: CELULAR - CHAVE: (32) 99800-1691</v>
      </c>
      <c r="I3644" t="str">
        <f t="shared" si="653"/>
        <v>25/09/2025</v>
      </c>
      <c r="J3644" t="str">
        <f t="shared" si="655"/>
        <v>16/09/2025</v>
      </c>
      <c r="K3644" t="str">
        <f>("25/09/2025")</f>
        <v>25/09/2025</v>
      </c>
      <c r="L3644">
        <v>500.8</v>
      </c>
      <c r="M3644">
        <v>500.8</v>
      </c>
      <c r="N3644">
        <v>109</v>
      </c>
      <c r="O3644" t="str">
        <f>"PAGAMENTO DE ENTREGADORES"</f>
        <v>PAGAMENTO DE ENTREGADORES</v>
      </c>
      <c r="P3644">
        <v>500.8</v>
      </c>
      <c r="S3644" t="str">
        <f>"BANCO C6 (149)"</f>
        <v>BANCO C6 (149)</v>
      </c>
      <c r="T3644">
        <v>18848</v>
      </c>
      <c r="U3644">
        <v>22158</v>
      </c>
      <c r="V3644" t="s">
        <v>77</v>
      </c>
    </row>
    <row r="3645" spans="1:22">
      <c r="A3645" t="str">
        <f t="shared" si="651"/>
        <v>25/09/2025</v>
      </c>
      <c r="B3645" t="str">
        <f t="shared" ref="B3645:B3682" si="656">"SAÍDA"</f>
        <v>SAÍDA</v>
      </c>
      <c r="C3645" t="str">
        <f t="shared" si="652"/>
        <v>PIX</v>
      </c>
      <c r="D3645" t="str">
        <f>"22158"</f>
        <v>22158</v>
      </c>
      <c r="E3645" t="str">
        <f t="shared" si="654"/>
        <v>1</v>
      </c>
      <c r="F3645" t="str">
        <f t="shared" si="650"/>
        <v>COM</v>
      </c>
      <c r="G3645" t="str">
        <f>"WELLINGTON DOS SANTOS ALVES (438)"</f>
        <v>WELLINGTON DOS SANTOS ALVES (438)</v>
      </c>
      <c r="H3645" t="s">
        <v>611</v>
      </c>
      <c r="I3645" t="str">
        <f t="shared" si="653"/>
        <v>25/09/2025</v>
      </c>
      <c r="J3645" t="str">
        <f t="shared" si="655"/>
        <v>16/09/2025</v>
      </c>
      <c r="K3645">
        <v>45925</v>
      </c>
      <c r="N3645">
        <v>109</v>
      </c>
      <c r="O3645" t="s">
        <v>24</v>
      </c>
      <c r="Q3645">
        <v>244.29</v>
      </c>
      <c r="R3645" t="str">
        <f>"FARMÁCIA INDIANA LJ 112 (10050)"</f>
        <v>FARMÁCIA INDIANA LJ 112 (10050)</v>
      </c>
      <c r="S3645" t="s">
        <v>77</v>
      </c>
      <c r="T3645">
        <v>18848</v>
      </c>
      <c r="U3645">
        <v>22158</v>
      </c>
      <c r="V3645" t="s">
        <v>77</v>
      </c>
    </row>
    <row r="3646" spans="1:22">
      <c r="A3646" t="str">
        <f t="shared" si="651"/>
        <v>25/09/2025</v>
      </c>
      <c r="B3646" t="str">
        <f t="shared" si="656"/>
        <v>SAÍDA</v>
      </c>
      <c r="C3646" t="str">
        <f t="shared" si="652"/>
        <v>PIX</v>
      </c>
      <c r="D3646" t="str">
        <f>"22158"</f>
        <v>22158</v>
      </c>
      <c r="E3646" t="str">
        <f t="shared" si="654"/>
        <v>1</v>
      </c>
      <c r="F3646" t="str">
        <f t="shared" ref="F3646:F3712" si="657">"COM"</f>
        <v>COM</v>
      </c>
      <c r="G3646" t="str">
        <f>"WELLINGTON DOS SANTOS ALVES (438)"</f>
        <v>WELLINGTON DOS SANTOS ALVES (438)</v>
      </c>
      <c r="H3646" t="s">
        <v>611</v>
      </c>
      <c r="I3646" t="str">
        <f t="shared" si="653"/>
        <v>25/09/2025</v>
      </c>
      <c r="J3646" t="str">
        <f t="shared" si="655"/>
        <v>16/09/2025</v>
      </c>
      <c r="K3646">
        <v>45925</v>
      </c>
      <c r="N3646">
        <v>109</v>
      </c>
      <c r="O3646" t="s">
        <v>24</v>
      </c>
      <c r="Q3646">
        <v>134.36000000000001</v>
      </c>
      <c r="R3646" t="str">
        <f>"FARMÁCIA INDIANA LJ 116 (10051)"</f>
        <v>FARMÁCIA INDIANA LJ 116 (10051)</v>
      </c>
      <c r="S3646" t="s">
        <v>77</v>
      </c>
      <c r="T3646">
        <v>18848</v>
      </c>
      <c r="U3646">
        <v>22158</v>
      </c>
      <c r="V3646" t="s">
        <v>77</v>
      </c>
    </row>
    <row r="3647" spans="1:22">
      <c r="A3647" t="str">
        <f t="shared" si="651"/>
        <v>25/09/2025</v>
      </c>
      <c r="B3647" t="str">
        <f t="shared" si="656"/>
        <v>SAÍDA</v>
      </c>
      <c r="C3647" t="str">
        <f t="shared" si="652"/>
        <v>PIX</v>
      </c>
      <c r="D3647" t="str">
        <f>"22158"</f>
        <v>22158</v>
      </c>
      <c r="E3647" t="str">
        <f t="shared" si="654"/>
        <v>1</v>
      </c>
      <c r="F3647" t="str">
        <f t="shared" si="657"/>
        <v>COM</v>
      </c>
      <c r="G3647" t="str">
        <f>"WELLINGTON DOS SANTOS ALVES (438)"</f>
        <v>WELLINGTON DOS SANTOS ALVES (438)</v>
      </c>
      <c r="H3647" t="s">
        <v>611</v>
      </c>
      <c r="I3647" t="str">
        <f t="shared" si="653"/>
        <v>25/09/2025</v>
      </c>
      <c r="J3647" t="str">
        <f t="shared" si="655"/>
        <v>16/09/2025</v>
      </c>
      <c r="K3647">
        <v>45925</v>
      </c>
      <c r="N3647">
        <v>109</v>
      </c>
      <c r="O3647" t="s">
        <v>24</v>
      </c>
      <c r="Q3647">
        <v>122.15</v>
      </c>
      <c r="R3647" t="str">
        <f>"FARMÁCIA INDIANA LJ 128 (10057)"</f>
        <v>FARMÁCIA INDIANA LJ 128 (10057)</v>
      </c>
      <c r="S3647" t="s">
        <v>77</v>
      </c>
      <c r="T3647">
        <v>18848</v>
      </c>
      <c r="U3647">
        <v>22158</v>
      </c>
      <c r="V3647" t="s">
        <v>77</v>
      </c>
    </row>
    <row r="3648" spans="1:22">
      <c r="A3648" t="str">
        <f t="shared" si="651"/>
        <v>25/09/2025</v>
      </c>
      <c r="B3648" t="str">
        <f t="shared" si="656"/>
        <v>SAÍDA</v>
      </c>
      <c r="C3648" t="str">
        <f t="shared" si="652"/>
        <v>PIX</v>
      </c>
      <c r="D3648" t="str">
        <f>"22159"</f>
        <v>22159</v>
      </c>
      <c r="E3648" t="str">
        <f t="shared" si="654"/>
        <v>1</v>
      </c>
      <c r="F3648" t="str">
        <f t="shared" si="657"/>
        <v>COM</v>
      </c>
      <c r="G3648" t="str">
        <f>"WELVES DA SILVA RAMOS (194)"</f>
        <v>WELVES DA SILVA RAMOS (194)</v>
      </c>
      <c r="H3648" t="str">
        <f>"Serv.Prest. 08/09/2025 a 14/09/2025 - PIX: CPF - CHAVE: 700.454.836-80"</f>
        <v>Serv.Prest. 08/09/2025 a 14/09/2025 - PIX: CPF - CHAVE: 700.454.836-80</v>
      </c>
      <c r="I3648" t="str">
        <f t="shared" si="653"/>
        <v>25/09/2025</v>
      </c>
      <c r="J3648" t="str">
        <f t="shared" si="655"/>
        <v>16/09/2025</v>
      </c>
      <c r="K3648" t="str">
        <f>("25/09/2025")</f>
        <v>25/09/2025</v>
      </c>
      <c r="L3648">
        <v>997.5</v>
      </c>
      <c r="M3648">
        <v>997.5</v>
      </c>
      <c r="N3648">
        <v>109</v>
      </c>
      <c r="O3648" t="str">
        <f>"PAGAMENTO DE ENTREGADORES"</f>
        <v>PAGAMENTO DE ENTREGADORES</v>
      </c>
      <c r="P3648">
        <v>997.5</v>
      </c>
      <c r="S3648" t="str">
        <f>"BANCO C6 (149)"</f>
        <v>BANCO C6 (149)</v>
      </c>
      <c r="T3648">
        <v>18849</v>
      </c>
      <c r="U3648">
        <v>22159</v>
      </c>
      <c r="V3648" t="s">
        <v>77</v>
      </c>
    </row>
    <row r="3649" spans="1:22">
      <c r="A3649" t="str">
        <f t="shared" si="651"/>
        <v>25/09/2025</v>
      </c>
      <c r="B3649" t="str">
        <f t="shared" si="656"/>
        <v>SAÍDA</v>
      </c>
      <c r="C3649" t="str">
        <f t="shared" si="652"/>
        <v>PIX</v>
      </c>
      <c r="D3649" t="str">
        <f>"22159"</f>
        <v>22159</v>
      </c>
      <c r="E3649" t="str">
        <f t="shared" si="654"/>
        <v>1</v>
      </c>
      <c r="F3649" t="str">
        <f t="shared" si="657"/>
        <v>COM</v>
      </c>
      <c r="G3649" t="str">
        <f>"WELVES DA SILVA RAMOS (194)"</f>
        <v>WELVES DA SILVA RAMOS (194)</v>
      </c>
      <c r="H3649" t="s">
        <v>613</v>
      </c>
      <c r="I3649" t="str">
        <f t="shared" si="653"/>
        <v>25/09/2025</v>
      </c>
      <c r="J3649" t="str">
        <f t="shared" si="655"/>
        <v>16/09/2025</v>
      </c>
      <c r="K3649">
        <v>45925</v>
      </c>
      <c r="N3649">
        <v>109</v>
      </c>
      <c r="O3649" t="s">
        <v>24</v>
      </c>
      <c r="Q3649">
        <v>997.5</v>
      </c>
      <c r="R3649" t="str">
        <f>"FARMÁCIA INDIANA LJ 06 (10006)"</f>
        <v>FARMÁCIA INDIANA LJ 06 (10006)</v>
      </c>
      <c r="S3649" t="s">
        <v>77</v>
      </c>
      <c r="T3649">
        <v>18849</v>
      </c>
      <c r="U3649">
        <v>22159</v>
      </c>
      <c r="V3649" t="s">
        <v>77</v>
      </c>
    </row>
    <row r="3650" spans="1:22">
      <c r="A3650" t="str">
        <f t="shared" si="651"/>
        <v>25/09/2025</v>
      </c>
      <c r="B3650" t="str">
        <f t="shared" si="656"/>
        <v>SAÍDA</v>
      </c>
      <c r="C3650" t="str">
        <f t="shared" si="652"/>
        <v>PIX</v>
      </c>
      <c r="D3650" t="str">
        <f>"22160"</f>
        <v>22160</v>
      </c>
      <c r="E3650" t="str">
        <f t="shared" si="654"/>
        <v>1</v>
      </c>
      <c r="F3650" t="str">
        <f t="shared" si="657"/>
        <v>COM</v>
      </c>
      <c r="G3650" t="str">
        <f>"WEMERSON FELIPE LOPES (187)"</f>
        <v>WEMERSON FELIPE LOPES (187)</v>
      </c>
      <c r="H3650" t="str">
        <f>"Serv.Prest. 08/09/2025 a 14/09/2025 - PIX: CELULAR - CHAVE: (33) 98806-5772"</f>
        <v>Serv.Prest. 08/09/2025 a 14/09/2025 - PIX: CELULAR - CHAVE: (33) 98806-5772</v>
      </c>
      <c r="I3650" t="str">
        <f t="shared" si="653"/>
        <v>25/09/2025</v>
      </c>
      <c r="J3650" t="str">
        <f t="shared" si="655"/>
        <v>16/09/2025</v>
      </c>
      <c r="K3650" t="str">
        <f>("25/09/2025")</f>
        <v>25/09/2025</v>
      </c>
      <c r="L3650">
        <v>966</v>
      </c>
      <c r="M3650">
        <v>966</v>
      </c>
      <c r="N3650">
        <v>109</v>
      </c>
      <c r="O3650" t="str">
        <f>"PAGAMENTO DE ENTREGADORES"</f>
        <v>PAGAMENTO DE ENTREGADORES</v>
      </c>
      <c r="P3650">
        <v>966</v>
      </c>
      <c r="S3650" t="str">
        <f>"BANCO C6 (149)"</f>
        <v>BANCO C6 (149)</v>
      </c>
      <c r="T3650">
        <v>18850</v>
      </c>
      <c r="U3650">
        <v>22160</v>
      </c>
      <c r="V3650" t="s">
        <v>77</v>
      </c>
    </row>
    <row r="3651" spans="1:22">
      <c r="A3651" t="str">
        <f t="shared" si="651"/>
        <v>25/09/2025</v>
      </c>
      <c r="B3651" t="str">
        <f t="shared" si="656"/>
        <v>SAÍDA</v>
      </c>
      <c r="C3651" t="str">
        <f t="shared" si="652"/>
        <v>PIX</v>
      </c>
      <c r="D3651" t="str">
        <f>"22160"</f>
        <v>22160</v>
      </c>
      <c r="E3651" t="str">
        <f t="shared" si="654"/>
        <v>1</v>
      </c>
      <c r="F3651" t="str">
        <f t="shared" si="657"/>
        <v>COM</v>
      </c>
      <c r="G3651" t="str">
        <f>"WEMERSON FELIPE LOPES (187)"</f>
        <v>WEMERSON FELIPE LOPES (187)</v>
      </c>
      <c r="H3651" t="s">
        <v>1038</v>
      </c>
      <c r="I3651" t="str">
        <f t="shared" si="653"/>
        <v>25/09/2025</v>
      </c>
      <c r="J3651" t="str">
        <f t="shared" si="655"/>
        <v>16/09/2025</v>
      </c>
      <c r="K3651">
        <v>45925</v>
      </c>
      <c r="N3651">
        <v>109</v>
      </c>
      <c r="O3651" t="s">
        <v>24</v>
      </c>
      <c r="Q3651">
        <v>966</v>
      </c>
      <c r="R3651" t="str">
        <f>"FARMÁCIA INDIANA LJ 06 (10006)"</f>
        <v>FARMÁCIA INDIANA LJ 06 (10006)</v>
      </c>
      <c r="S3651" t="s">
        <v>77</v>
      </c>
      <c r="T3651">
        <v>18850</v>
      </c>
      <c r="U3651">
        <v>22160</v>
      </c>
      <c r="V3651" t="s">
        <v>77</v>
      </c>
    </row>
    <row r="3652" spans="1:22">
      <c r="A3652" t="str">
        <f t="shared" si="651"/>
        <v>25/09/2025</v>
      </c>
      <c r="B3652" t="str">
        <f t="shared" si="656"/>
        <v>SAÍDA</v>
      </c>
      <c r="C3652" t="str">
        <f t="shared" si="652"/>
        <v>PIX</v>
      </c>
      <c r="D3652" t="str">
        <f>"22161"</f>
        <v>22161</v>
      </c>
      <c r="E3652" t="str">
        <f t="shared" si="654"/>
        <v>1</v>
      </c>
      <c r="F3652" t="str">
        <f t="shared" si="657"/>
        <v>COM</v>
      </c>
      <c r="G3652" t="str">
        <f>"WEMERSON MOREIRA PESSOA (75)"</f>
        <v>WEMERSON MOREIRA PESSOA (75)</v>
      </c>
      <c r="H3652" t="str">
        <f>"Serv.Prest. 08/09/2025 a 14/09/2025 - PIX: CELULAR - CHAVE: (33) 99996-3668"</f>
        <v>Serv.Prest. 08/09/2025 a 14/09/2025 - PIX: CELULAR - CHAVE: (33) 99996-3668</v>
      </c>
      <c r="I3652" t="str">
        <f t="shared" si="653"/>
        <v>25/09/2025</v>
      </c>
      <c r="J3652" t="str">
        <f t="shared" si="655"/>
        <v>16/09/2025</v>
      </c>
      <c r="K3652" t="str">
        <f>("25/09/2025")</f>
        <v>25/09/2025</v>
      </c>
      <c r="L3652">
        <v>444</v>
      </c>
      <c r="M3652">
        <v>444</v>
      </c>
      <c r="N3652">
        <v>109</v>
      </c>
      <c r="O3652" t="str">
        <f>"PAGAMENTO DE ENTREGADORES"</f>
        <v>PAGAMENTO DE ENTREGADORES</v>
      </c>
      <c r="P3652">
        <v>444</v>
      </c>
      <c r="S3652" t="str">
        <f>"BANCO C6 (149)"</f>
        <v>BANCO C6 (149)</v>
      </c>
      <c r="T3652">
        <v>18851</v>
      </c>
      <c r="U3652">
        <v>22161</v>
      </c>
      <c r="V3652" t="s">
        <v>77</v>
      </c>
    </row>
    <row r="3653" spans="1:22">
      <c r="A3653" t="str">
        <f t="shared" si="651"/>
        <v>25/09/2025</v>
      </c>
      <c r="B3653" t="str">
        <f t="shared" si="656"/>
        <v>SAÍDA</v>
      </c>
      <c r="C3653" t="str">
        <f t="shared" si="652"/>
        <v>PIX</v>
      </c>
      <c r="D3653" t="str">
        <f>"22161"</f>
        <v>22161</v>
      </c>
      <c r="E3653" t="str">
        <f t="shared" si="654"/>
        <v>1</v>
      </c>
      <c r="F3653" t="str">
        <f t="shared" si="657"/>
        <v>COM</v>
      </c>
      <c r="G3653" t="str">
        <f>"WEMERSON MOREIRA PESSOA (75)"</f>
        <v>WEMERSON MOREIRA PESSOA (75)</v>
      </c>
      <c r="H3653" t="s">
        <v>1039</v>
      </c>
      <c r="I3653" t="str">
        <f t="shared" si="653"/>
        <v>25/09/2025</v>
      </c>
      <c r="J3653" t="str">
        <f t="shared" si="655"/>
        <v>16/09/2025</v>
      </c>
      <c r="K3653">
        <v>45925</v>
      </c>
      <c r="N3653">
        <v>109</v>
      </c>
      <c r="O3653" t="s">
        <v>24</v>
      </c>
      <c r="Q3653">
        <v>444</v>
      </c>
      <c r="R3653" t="str">
        <f>"FARMÁCIA INDIANA LJ 07 (10007)"</f>
        <v>FARMÁCIA INDIANA LJ 07 (10007)</v>
      </c>
      <c r="S3653" t="s">
        <v>77</v>
      </c>
      <c r="T3653">
        <v>18851</v>
      </c>
      <c r="U3653">
        <v>22161</v>
      </c>
      <c r="V3653" t="s">
        <v>77</v>
      </c>
    </row>
    <row r="3654" spans="1:22">
      <c r="A3654" t="str">
        <f t="shared" si="651"/>
        <v>25/09/2025</v>
      </c>
      <c r="B3654" t="str">
        <f t="shared" si="656"/>
        <v>SAÍDA</v>
      </c>
      <c r="C3654" t="str">
        <f t="shared" si="652"/>
        <v>PIX</v>
      </c>
      <c r="D3654" t="str">
        <f>"22162"</f>
        <v>22162</v>
      </c>
      <c r="E3654" t="str">
        <f t="shared" si="654"/>
        <v>1</v>
      </c>
      <c r="F3654" t="str">
        <f t="shared" si="657"/>
        <v>COM</v>
      </c>
      <c r="G3654" t="str">
        <f>"WENDEL LIMA DE SOUZA (112)"</f>
        <v>WENDEL LIMA DE SOUZA (112)</v>
      </c>
      <c r="H3654" t="str">
        <f>"Serv.Prest. 08/09/2025 a 14/09/2025 - PIX: CPF - CHAVE: 012.906.122-00"</f>
        <v>Serv.Prest. 08/09/2025 a 14/09/2025 - PIX: CPF - CHAVE: 012.906.122-00</v>
      </c>
      <c r="I3654" t="str">
        <f t="shared" si="653"/>
        <v>25/09/2025</v>
      </c>
      <c r="J3654" t="str">
        <f t="shared" si="655"/>
        <v>16/09/2025</v>
      </c>
      <c r="K3654" t="str">
        <f>("25/09/2025")</f>
        <v>25/09/2025</v>
      </c>
      <c r="L3654">
        <v>1404</v>
      </c>
      <c r="M3654">
        <v>1404</v>
      </c>
      <c r="N3654">
        <v>109</v>
      </c>
      <c r="O3654" t="str">
        <f>"PAGAMENTO DE ENTREGADORES"</f>
        <v>PAGAMENTO DE ENTREGADORES</v>
      </c>
      <c r="P3654">
        <v>1404</v>
      </c>
      <c r="S3654" t="str">
        <f>"BANCO C6 (149)"</f>
        <v>BANCO C6 (149)</v>
      </c>
      <c r="T3654">
        <v>18852</v>
      </c>
      <c r="U3654">
        <v>22162</v>
      </c>
      <c r="V3654" t="s">
        <v>77</v>
      </c>
    </row>
    <row r="3655" spans="1:22">
      <c r="A3655" t="str">
        <f t="shared" si="651"/>
        <v>25/09/2025</v>
      </c>
      <c r="B3655" t="str">
        <f t="shared" si="656"/>
        <v>SAÍDA</v>
      </c>
      <c r="C3655" t="str">
        <f t="shared" si="652"/>
        <v>PIX</v>
      </c>
      <c r="D3655" t="str">
        <f>"22162"</f>
        <v>22162</v>
      </c>
      <c r="E3655" t="str">
        <f t="shared" si="654"/>
        <v>1</v>
      </c>
      <c r="F3655" t="str">
        <f t="shared" si="657"/>
        <v>COM</v>
      </c>
      <c r="G3655" t="str">
        <f>"WENDEL LIMA DE SOUZA (112)"</f>
        <v>WENDEL LIMA DE SOUZA (112)</v>
      </c>
      <c r="H3655" t="s">
        <v>1040</v>
      </c>
      <c r="I3655" t="str">
        <f t="shared" si="653"/>
        <v>25/09/2025</v>
      </c>
      <c r="J3655" t="str">
        <f t="shared" si="655"/>
        <v>16/09/2025</v>
      </c>
      <c r="K3655">
        <v>45925</v>
      </c>
      <c r="N3655">
        <v>109</v>
      </c>
      <c r="O3655" t="s">
        <v>24</v>
      </c>
      <c r="Q3655">
        <v>1404</v>
      </c>
      <c r="R3655" t="str">
        <f>"FARMÁCIA INDIANA LJ 11 (10008)"</f>
        <v>FARMÁCIA INDIANA LJ 11 (10008)</v>
      </c>
      <c r="S3655" t="s">
        <v>77</v>
      </c>
      <c r="T3655">
        <v>18852</v>
      </c>
      <c r="U3655">
        <v>22162</v>
      </c>
      <c r="V3655" t="s">
        <v>77</v>
      </c>
    </row>
    <row r="3656" spans="1:22">
      <c r="A3656" t="str">
        <f t="shared" si="651"/>
        <v>25/09/2025</v>
      </c>
      <c r="B3656" t="str">
        <f t="shared" si="656"/>
        <v>SAÍDA</v>
      </c>
      <c r="C3656" t="str">
        <f t="shared" si="652"/>
        <v>PIX</v>
      </c>
      <c r="D3656" t="str">
        <f>"22163"</f>
        <v>22163</v>
      </c>
      <c r="E3656" t="str">
        <f t="shared" si="654"/>
        <v>1</v>
      </c>
      <c r="F3656" t="str">
        <f t="shared" si="657"/>
        <v>COM</v>
      </c>
      <c r="G3656" t="str">
        <f>"WILIAN ROSA VIEIRA (488)"</f>
        <v>WILIAN ROSA VIEIRA (488)</v>
      </c>
      <c r="H3656" t="str">
        <f>"Serv.Prest. 08/09/2025 a 14/09/2025 - PIX: E-MAIL - CHAVE: wilianvieirawrv3578@gmail.com"</f>
        <v>Serv.Prest. 08/09/2025 a 14/09/2025 - PIX: E-MAIL - CHAVE: wilianvieirawrv3578@gmail.com</v>
      </c>
      <c r="I3656" t="str">
        <f t="shared" si="653"/>
        <v>25/09/2025</v>
      </c>
      <c r="J3656" t="str">
        <f t="shared" si="655"/>
        <v>16/09/2025</v>
      </c>
      <c r="K3656" t="str">
        <f>("25/09/2025")</f>
        <v>25/09/2025</v>
      </c>
      <c r="L3656">
        <v>1272</v>
      </c>
      <c r="M3656">
        <v>1272</v>
      </c>
      <c r="N3656">
        <v>109</v>
      </c>
      <c r="O3656" t="str">
        <f>"PAGAMENTO DE ENTREGADORES"</f>
        <v>PAGAMENTO DE ENTREGADORES</v>
      </c>
      <c r="P3656">
        <v>1272</v>
      </c>
      <c r="S3656" t="str">
        <f>"BANCO C6 (149)"</f>
        <v>BANCO C6 (149)</v>
      </c>
      <c r="T3656">
        <v>18853</v>
      </c>
      <c r="U3656">
        <v>22163</v>
      </c>
      <c r="V3656" t="s">
        <v>77</v>
      </c>
    </row>
    <row r="3657" spans="1:22">
      <c r="A3657" t="str">
        <f t="shared" si="651"/>
        <v>25/09/2025</v>
      </c>
      <c r="B3657" t="str">
        <f t="shared" si="656"/>
        <v>SAÍDA</v>
      </c>
      <c r="C3657" t="str">
        <f t="shared" si="652"/>
        <v>PIX</v>
      </c>
      <c r="D3657" t="str">
        <f>"22163"</f>
        <v>22163</v>
      </c>
      <c r="E3657" t="str">
        <f t="shared" si="654"/>
        <v>1</v>
      </c>
      <c r="F3657" t="str">
        <f t="shared" si="657"/>
        <v>COM</v>
      </c>
      <c r="G3657" t="str">
        <f>"WILIAN ROSA VIEIRA (488)"</f>
        <v>WILIAN ROSA VIEIRA (488)</v>
      </c>
      <c r="H3657" t="s">
        <v>1041</v>
      </c>
      <c r="I3657" t="str">
        <f t="shared" si="653"/>
        <v>25/09/2025</v>
      </c>
      <c r="J3657" t="str">
        <f t="shared" si="655"/>
        <v>16/09/2025</v>
      </c>
      <c r="K3657">
        <v>45925</v>
      </c>
      <c r="N3657">
        <v>109</v>
      </c>
      <c r="O3657" t="s">
        <v>24</v>
      </c>
      <c r="Q3657">
        <v>624.04</v>
      </c>
      <c r="R3657" t="str">
        <f>"FARMÁCIA INDIANA LJ 103 (10044)"</f>
        <v>FARMÁCIA INDIANA LJ 103 (10044)</v>
      </c>
      <c r="S3657" t="s">
        <v>77</v>
      </c>
      <c r="T3657">
        <v>18853</v>
      </c>
      <c r="U3657">
        <v>22163</v>
      </c>
      <c r="V3657" t="s">
        <v>77</v>
      </c>
    </row>
    <row r="3658" spans="1:22">
      <c r="A3658" t="str">
        <f t="shared" si="651"/>
        <v>25/09/2025</v>
      </c>
      <c r="B3658" t="str">
        <f t="shared" si="656"/>
        <v>SAÍDA</v>
      </c>
      <c r="C3658" t="str">
        <f t="shared" si="652"/>
        <v>PIX</v>
      </c>
      <c r="D3658" t="str">
        <f>"22163"</f>
        <v>22163</v>
      </c>
      <c r="E3658" t="str">
        <f t="shared" si="654"/>
        <v>1</v>
      </c>
      <c r="F3658" t="str">
        <f t="shared" si="657"/>
        <v>COM</v>
      </c>
      <c r="G3658" t="str">
        <f>"WILIAN ROSA VIEIRA (488)"</f>
        <v>WILIAN ROSA VIEIRA (488)</v>
      </c>
      <c r="H3658" t="s">
        <v>1041</v>
      </c>
      <c r="I3658" t="str">
        <f t="shared" si="653"/>
        <v>25/09/2025</v>
      </c>
      <c r="J3658" t="str">
        <f t="shared" si="655"/>
        <v>16/09/2025</v>
      </c>
      <c r="K3658">
        <v>45925</v>
      </c>
      <c r="N3658">
        <v>109</v>
      </c>
      <c r="O3658" t="s">
        <v>24</v>
      </c>
      <c r="Q3658">
        <v>215.99</v>
      </c>
      <c r="R3658" t="str">
        <f>"FARMÁCIA INDIANA LJ 140 (10064)"</f>
        <v>FARMÁCIA INDIANA LJ 140 (10064)</v>
      </c>
      <c r="S3658" t="s">
        <v>77</v>
      </c>
      <c r="T3658">
        <v>18853</v>
      </c>
      <c r="U3658">
        <v>22163</v>
      </c>
      <c r="V3658" t="s">
        <v>77</v>
      </c>
    </row>
    <row r="3659" spans="1:22">
      <c r="A3659" t="str">
        <f t="shared" si="651"/>
        <v>25/09/2025</v>
      </c>
      <c r="B3659" t="str">
        <f t="shared" si="656"/>
        <v>SAÍDA</v>
      </c>
      <c r="C3659" t="str">
        <f t="shared" si="652"/>
        <v>PIX</v>
      </c>
      <c r="D3659" t="str">
        <f>"22163"</f>
        <v>22163</v>
      </c>
      <c r="E3659" t="str">
        <f t="shared" si="654"/>
        <v>1</v>
      </c>
      <c r="F3659" t="str">
        <f t="shared" si="657"/>
        <v>COM</v>
      </c>
      <c r="G3659" t="str">
        <f>"WILIAN ROSA VIEIRA (488)"</f>
        <v>WILIAN ROSA VIEIRA (488)</v>
      </c>
      <c r="H3659" t="s">
        <v>1041</v>
      </c>
      <c r="I3659" t="str">
        <f t="shared" si="653"/>
        <v>25/09/2025</v>
      </c>
      <c r="J3659" t="str">
        <f t="shared" si="655"/>
        <v>16/09/2025</v>
      </c>
      <c r="K3659">
        <v>45925</v>
      </c>
      <c r="N3659">
        <v>109</v>
      </c>
      <c r="O3659" t="s">
        <v>24</v>
      </c>
      <c r="Q3659">
        <v>113.97</v>
      </c>
      <c r="R3659" t="str">
        <f>"FARMÁCIA INDIANA LJ 141 (10065)"</f>
        <v>FARMÁCIA INDIANA LJ 141 (10065)</v>
      </c>
      <c r="S3659" t="s">
        <v>77</v>
      </c>
      <c r="T3659">
        <v>18853</v>
      </c>
      <c r="U3659">
        <v>22163</v>
      </c>
      <c r="V3659" t="s">
        <v>77</v>
      </c>
    </row>
    <row r="3660" spans="1:22">
      <c r="A3660" t="str">
        <f t="shared" si="651"/>
        <v>25/09/2025</v>
      </c>
      <c r="B3660" t="str">
        <f t="shared" si="656"/>
        <v>SAÍDA</v>
      </c>
      <c r="C3660" t="str">
        <f t="shared" si="652"/>
        <v>PIX</v>
      </c>
      <c r="D3660" t="str">
        <f>"22163"</f>
        <v>22163</v>
      </c>
      <c r="E3660" t="str">
        <f t="shared" si="654"/>
        <v>1</v>
      </c>
      <c r="F3660" t="str">
        <f t="shared" si="657"/>
        <v>COM</v>
      </c>
      <c r="G3660" t="str">
        <f>"WILIAN ROSA VIEIRA (488)"</f>
        <v>WILIAN ROSA VIEIRA (488)</v>
      </c>
      <c r="H3660" t="s">
        <v>1041</v>
      </c>
      <c r="I3660" t="str">
        <f t="shared" si="653"/>
        <v>25/09/2025</v>
      </c>
      <c r="J3660" t="str">
        <f t="shared" si="655"/>
        <v>16/09/2025</v>
      </c>
      <c r="K3660">
        <v>45925</v>
      </c>
      <c r="N3660">
        <v>109</v>
      </c>
      <c r="O3660" t="s">
        <v>24</v>
      </c>
      <c r="Q3660">
        <v>318</v>
      </c>
      <c r="R3660" t="str">
        <f>"FARMÁCIA INDIANA LJ 154 (10070)"</f>
        <v>FARMÁCIA INDIANA LJ 154 (10070)</v>
      </c>
      <c r="S3660" t="s">
        <v>77</v>
      </c>
      <c r="T3660">
        <v>18853</v>
      </c>
      <c r="U3660">
        <v>22163</v>
      </c>
      <c r="V3660" t="s">
        <v>77</v>
      </c>
    </row>
    <row r="3661" spans="1:22">
      <c r="A3661" t="str">
        <f t="shared" si="651"/>
        <v>25/09/2025</v>
      </c>
      <c r="B3661" t="str">
        <f t="shared" si="656"/>
        <v>SAÍDA</v>
      </c>
      <c r="C3661" t="str">
        <f t="shared" si="652"/>
        <v>PIX</v>
      </c>
      <c r="D3661" t="str">
        <f>"22164"</f>
        <v>22164</v>
      </c>
      <c r="E3661" t="str">
        <f t="shared" si="654"/>
        <v>1</v>
      </c>
      <c r="F3661" t="str">
        <f t="shared" si="657"/>
        <v>COM</v>
      </c>
      <c r="G3661" t="str">
        <f>"YAN EVERTON RODRIGUES DE LIMA (875)"</f>
        <v>YAN EVERTON RODRIGUES DE LIMA (875)</v>
      </c>
      <c r="H3661" t="str">
        <f>"Serv.Prest. 08/09/2025 a 14/09/2025 - PIX: CELULAR - CHAVE: (33) 99859-8751"</f>
        <v>Serv.Prest. 08/09/2025 a 14/09/2025 - PIX: CELULAR - CHAVE: (33) 99859-8751</v>
      </c>
      <c r="I3661" t="str">
        <f t="shared" si="653"/>
        <v>25/09/2025</v>
      </c>
      <c r="J3661" t="str">
        <f t="shared" si="655"/>
        <v>16/09/2025</v>
      </c>
      <c r="K3661" t="str">
        <f>("25/09/2025")</f>
        <v>25/09/2025</v>
      </c>
      <c r="L3661">
        <v>1080</v>
      </c>
      <c r="M3661">
        <v>1080</v>
      </c>
      <c r="N3661">
        <v>109</v>
      </c>
      <c r="O3661" t="str">
        <f>"PAGAMENTO DE ENTREGADORES"</f>
        <v>PAGAMENTO DE ENTREGADORES</v>
      </c>
      <c r="P3661">
        <v>1080</v>
      </c>
      <c r="S3661" t="str">
        <f>"BANCO C6 (149)"</f>
        <v>BANCO C6 (149)</v>
      </c>
      <c r="T3661">
        <v>18854</v>
      </c>
      <c r="U3661">
        <v>22164</v>
      </c>
      <c r="V3661" t="s">
        <v>77</v>
      </c>
    </row>
    <row r="3662" spans="1:22">
      <c r="A3662" t="str">
        <f t="shared" ref="A3662:A3725" si="658">("25/09/2025")</f>
        <v>25/09/2025</v>
      </c>
      <c r="B3662" t="str">
        <f t="shared" si="656"/>
        <v>SAÍDA</v>
      </c>
      <c r="C3662" t="str">
        <f t="shared" ref="C3662:C3682" si="659">"PIX"</f>
        <v>PIX</v>
      </c>
      <c r="D3662" t="str">
        <f>"22164"</f>
        <v>22164</v>
      </c>
      <c r="E3662" t="str">
        <f t="shared" si="654"/>
        <v>1</v>
      </c>
      <c r="F3662" t="str">
        <f t="shared" si="657"/>
        <v>COM</v>
      </c>
      <c r="G3662" t="str">
        <f>"YAN EVERTON RODRIGUES DE LIMA (875)"</f>
        <v>YAN EVERTON RODRIGUES DE LIMA (875)</v>
      </c>
      <c r="H3662" t="s">
        <v>1042</v>
      </c>
      <c r="I3662" t="str">
        <f t="shared" si="653"/>
        <v>25/09/2025</v>
      </c>
      <c r="J3662" t="str">
        <f t="shared" si="655"/>
        <v>16/09/2025</v>
      </c>
      <c r="K3662">
        <v>45925</v>
      </c>
      <c r="N3662">
        <v>109</v>
      </c>
      <c r="O3662" t="s">
        <v>24</v>
      </c>
      <c r="Q3662">
        <v>1080</v>
      </c>
      <c r="R3662" t="str">
        <f>"FARMÁCIA INDIANA LJ 06 (10006)"</f>
        <v>FARMÁCIA INDIANA LJ 06 (10006)</v>
      </c>
      <c r="S3662" t="s">
        <v>77</v>
      </c>
      <c r="T3662">
        <v>18854</v>
      </c>
      <c r="U3662">
        <v>22164</v>
      </c>
      <c r="V3662" t="s">
        <v>77</v>
      </c>
    </row>
    <row r="3663" spans="1:22">
      <c r="A3663" t="str">
        <f t="shared" si="658"/>
        <v>25/09/2025</v>
      </c>
      <c r="B3663" t="str">
        <f t="shared" si="656"/>
        <v>SAÍDA</v>
      </c>
      <c r="C3663" t="str">
        <f t="shared" si="659"/>
        <v>PIX</v>
      </c>
      <c r="D3663" t="str">
        <f>"22183"</f>
        <v>22183</v>
      </c>
      <c r="E3663" t="str">
        <f t="shared" si="654"/>
        <v>1</v>
      </c>
      <c r="F3663" t="str">
        <f t="shared" si="657"/>
        <v>COM</v>
      </c>
      <c r="G3663" t="str">
        <f>"CASSIO DIAS RIBEIRO (32)"</f>
        <v>CASSIO DIAS RIBEIRO (32)</v>
      </c>
      <c r="H3663" t="str">
        <f>"Serv.Prest. 08/09/2025 a 14/09/2025 - PIX: CPF - CHAVE: 091.575.986-14"</f>
        <v>Serv.Prest. 08/09/2025 a 14/09/2025 - PIX: CPF - CHAVE: 091.575.986-14</v>
      </c>
      <c r="I3663" t="str">
        <f t="shared" si="653"/>
        <v>25/09/2025</v>
      </c>
      <c r="J3663" t="str">
        <f t="shared" si="655"/>
        <v>16/09/2025</v>
      </c>
      <c r="K3663" t="str">
        <f>("25/09/2025")</f>
        <v>25/09/2025</v>
      </c>
      <c r="L3663">
        <v>1068</v>
      </c>
      <c r="M3663">
        <v>1068</v>
      </c>
      <c r="N3663">
        <v>109</v>
      </c>
      <c r="O3663" t="str">
        <f>"PAGAMENTO DE ENTREGADORES"</f>
        <v>PAGAMENTO DE ENTREGADORES</v>
      </c>
      <c r="P3663">
        <v>1068</v>
      </c>
      <c r="S3663" t="str">
        <f>"BANCO C6 (149)"</f>
        <v>BANCO C6 (149)</v>
      </c>
      <c r="T3663">
        <v>18855</v>
      </c>
      <c r="U3663">
        <v>22183</v>
      </c>
      <c r="V3663" t="s">
        <v>77</v>
      </c>
    </row>
    <row r="3664" spans="1:22">
      <c r="A3664" t="str">
        <f t="shared" si="658"/>
        <v>25/09/2025</v>
      </c>
      <c r="B3664" t="str">
        <f t="shared" si="656"/>
        <v>SAÍDA</v>
      </c>
      <c r="C3664" t="str">
        <f t="shared" si="659"/>
        <v>PIX</v>
      </c>
      <c r="D3664" t="str">
        <f>"22183"</f>
        <v>22183</v>
      </c>
      <c r="E3664" t="str">
        <f t="shared" si="654"/>
        <v>1</v>
      </c>
      <c r="F3664" t="str">
        <f t="shared" si="657"/>
        <v>COM</v>
      </c>
      <c r="G3664" t="str">
        <f>"CASSIO DIAS RIBEIRO (32)"</f>
        <v>CASSIO DIAS RIBEIRO (32)</v>
      </c>
      <c r="H3664" t="s">
        <v>845</v>
      </c>
      <c r="I3664" t="str">
        <f t="shared" si="653"/>
        <v>25/09/2025</v>
      </c>
      <c r="J3664" t="str">
        <f t="shared" si="655"/>
        <v>16/09/2025</v>
      </c>
      <c r="K3664">
        <v>45925</v>
      </c>
      <c r="N3664">
        <v>109</v>
      </c>
      <c r="O3664" t="s">
        <v>24</v>
      </c>
      <c r="Q3664">
        <v>1068</v>
      </c>
      <c r="R3664" t="str">
        <f>"FARMÁCIA INDIANA LJ 18 (10011)"</f>
        <v>FARMÁCIA INDIANA LJ 18 (10011)</v>
      </c>
      <c r="S3664" t="s">
        <v>77</v>
      </c>
      <c r="T3664">
        <v>18855</v>
      </c>
      <c r="U3664">
        <v>22183</v>
      </c>
      <c r="V3664" t="s">
        <v>77</v>
      </c>
    </row>
    <row r="3665" spans="1:22">
      <c r="A3665" t="str">
        <f t="shared" si="658"/>
        <v>25/09/2025</v>
      </c>
      <c r="B3665" t="str">
        <f t="shared" si="656"/>
        <v>SAÍDA</v>
      </c>
      <c r="C3665" t="str">
        <f t="shared" si="659"/>
        <v>PIX</v>
      </c>
      <c r="D3665" t="str">
        <f>"22189"</f>
        <v>22189</v>
      </c>
      <c r="E3665" t="str">
        <f t="shared" si="654"/>
        <v>1</v>
      </c>
      <c r="F3665" t="str">
        <f t="shared" si="657"/>
        <v>COM</v>
      </c>
      <c r="G3665" t="str">
        <f>"ANDERSON PEREIRA DOS SANTOS (746)"</f>
        <v>ANDERSON PEREIRA DOS SANTOS (746)</v>
      </c>
      <c r="H3665" t="str">
        <f>"Serv.Prest. 08/09/2025 a 14/09/2025 - PIX: CPF - CHAVE: 079.930.865-07"</f>
        <v>Serv.Prest. 08/09/2025 a 14/09/2025 - PIX: CPF - CHAVE: 079.930.865-07</v>
      </c>
      <c r="I3665" t="str">
        <f t="shared" si="653"/>
        <v>25/09/2025</v>
      </c>
      <c r="J3665" t="str">
        <f t="shared" si="655"/>
        <v>16/09/2025</v>
      </c>
      <c r="K3665" t="str">
        <f>("25/09/2025")</f>
        <v>25/09/2025</v>
      </c>
      <c r="L3665">
        <v>804</v>
      </c>
      <c r="M3665">
        <v>804</v>
      </c>
      <c r="N3665">
        <v>109</v>
      </c>
      <c r="O3665" t="str">
        <f>"PAGAMENTO DE ENTREGADORES"</f>
        <v>PAGAMENTO DE ENTREGADORES</v>
      </c>
      <c r="P3665">
        <v>804</v>
      </c>
      <c r="S3665" t="str">
        <f>"BANCO C6 (149)"</f>
        <v>BANCO C6 (149)</v>
      </c>
      <c r="T3665">
        <v>18856</v>
      </c>
      <c r="U3665">
        <v>22189</v>
      </c>
      <c r="V3665" t="s">
        <v>77</v>
      </c>
    </row>
    <row r="3666" spans="1:22">
      <c r="A3666" t="str">
        <f t="shared" si="658"/>
        <v>25/09/2025</v>
      </c>
      <c r="B3666" t="str">
        <f t="shared" si="656"/>
        <v>SAÍDA</v>
      </c>
      <c r="C3666" t="str">
        <f t="shared" si="659"/>
        <v>PIX</v>
      </c>
      <c r="D3666" t="str">
        <f>"22189"</f>
        <v>22189</v>
      </c>
      <c r="E3666" t="str">
        <f t="shared" si="654"/>
        <v>1</v>
      </c>
      <c r="F3666" t="str">
        <f t="shared" si="657"/>
        <v>COM</v>
      </c>
      <c r="G3666" t="str">
        <f>"ANDERSON PEREIRA DOS SANTOS (746)"</f>
        <v>ANDERSON PEREIRA DOS SANTOS (746)</v>
      </c>
      <c r="H3666" t="s">
        <v>1043</v>
      </c>
      <c r="I3666" t="str">
        <f t="shared" si="653"/>
        <v>25/09/2025</v>
      </c>
      <c r="J3666" t="str">
        <f t="shared" si="655"/>
        <v>16/09/2025</v>
      </c>
      <c r="K3666">
        <v>45925</v>
      </c>
      <c r="N3666">
        <v>109</v>
      </c>
      <c r="O3666" t="s">
        <v>24</v>
      </c>
      <c r="Q3666">
        <v>225.12</v>
      </c>
      <c r="R3666" t="str">
        <f>"FARMÁCIA INDIANA LJ 211 (10168)"</f>
        <v>FARMÁCIA INDIANA LJ 211 (10168)</v>
      </c>
      <c r="S3666" t="s">
        <v>77</v>
      </c>
      <c r="T3666">
        <v>18856</v>
      </c>
      <c r="U3666">
        <v>22189</v>
      </c>
      <c r="V3666" t="s">
        <v>77</v>
      </c>
    </row>
    <row r="3667" spans="1:22">
      <c r="A3667" t="str">
        <f t="shared" si="658"/>
        <v>25/09/2025</v>
      </c>
      <c r="B3667" t="str">
        <f t="shared" si="656"/>
        <v>SAÍDA</v>
      </c>
      <c r="C3667" t="str">
        <f t="shared" si="659"/>
        <v>PIX</v>
      </c>
      <c r="D3667" t="str">
        <f>"22189"</f>
        <v>22189</v>
      </c>
      <c r="E3667" t="str">
        <f t="shared" si="654"/>
        <v>1</v>
      </c>
      <c r="F3667" t="str">
        <f t="shared" si="657"/>
        <v>COM</v>
      </c>
      <c r="G3667" t="str">
        <f>"ANDERSON PEREIRA DOS SANTOS (746)"</f>
        <v>ANDERSON PEREIRA DOS SANTOS (746)</v>
      </c>
      <c r="H3667" t="s">
        <v>1043</v>
      </c>
      <c r="I3667" t="str">
        <f t="shared" si="653"/>
        <v>25/09/2025</v>
      </c>
      <c r="J3667" t="str">
        <f t="shared" si="655"/>
        <v>16/09/2025</v>
      </c>
      <c r="K3667">
        <v>45925</v>
      </c>
      <c r="N3667">
        <v>109</v>
      </c>
      <c r="O3667" t="s">
        <v>24</v>
      </c>
      <c r="Q3667">
        <v>578.88</v>
      </c>
      <c r="R3667" t="str">
        <f>"FARMÁCIA INDIANA LJ 236 (10169)"</f>
        <v>FARMÁCIA INDIANA LJ 236 (10169)</v>
      </c>
      <c r="S3667" t="s">
        <v>77</v>
      </c>
      <c r="T3667">
        <v>18856</v>
      </c>
      <c r="U3667">
        <v>22189</v>
      </c>
      <c r="V3667" t="s">
        <v>77</v>
      </c>
    </row>
    <row r="3668" spans="1:22">
      <c r="A3668" t="str">
        <f t="shared" si="658"/>
        <v>25/09/2025</v>
      </c>
      <c r="B3668" t="str">
        <f t="shared" si="656"/>
        <v>SAÍDA</v>
      </c>
      <c r="C3668" t="str">
        <f t="shared" si="659"/>
        <v>PIX</v>
      </c>
      <c r="D3668" t="str">
        <f>"22190"</f>
        <v>22190</v>
      </c>
      <c r="E3668" t="str">
        <f t="shared" si="654"/>
        <v>1</v>
      </c>
      <c r="F3668" t="str">
        <f t="shared" si="657"/>
        <v>COM</v>
      </c>
      <c r="G3668" t="str">
        <f>"DANILO ROCHA SILVA (162)"</f>
        <v>DANILO ROCHA SILVA (162)</v>
      </c>
      <c r="H3668" t="str">
        <f>"Serv.Prest. 08/09/2025 a 14/09/2025 - PIX: CELULAR - CHAVE: (27) 99811-6850"</f>
        <v>Serv.Prest. 08/09/2025 a 14/09/2025 - PIX: CELULAR - CHAVE: (27) 99811-6850</v>
      </c>
      <c r="I3668" t="str">
        <f t="shared" ref="I3668:I3680" si="660">("25/09/2025")</f>
        <v>25/09/2025</v>
      </c>
      <c r="J3668" t="str">
        <f t="shared" si="655"/>
        <v>16/09/2025</v>
      </c>
      <c r="K3668" t="str">
        <f>("25/09/2025")</f>
        <v>25/09/2025</v>
      </c>
      <c r="L3668">
        <v>1174.5</v>
      </c>
      <c r="M3668">
        <v>1174.5</v>
      </c>
      <c r="N3668">
        <v>109</v>
      </c>
      <c r="O3668" t="str">
        <f>"PAGAMENTO DE ENTREGADORES"</f>
        <v>PAGAMENTO DE ENTREGADORES</v>
      </c>
      <c r="P3668">
        <v>1174.5</v>
      </c>
      <c r="S3668" t="str">
        <f>"BANCO C6 (149)"</f>
        <v>BANCO C6 (149)</v>
      </c>
      <c r="T3668">
        <v>18857</v>
      </c>
      <c r="U3668">
        <v>22190</v>
      </c>
      <c r="V3668" t="s">
        <v>77</v>
      </c>
    </row>
    <row r="3669" spans="1:22">
      <c r="A3669" t="str">
        <f t="shared" si="658"/>
        <v>25/09/2025</v>
      </c>
      <c r="B3669" t="str">
        <f t="shared" si="656"/>
        <v>SAÍDA</v>
      </c>
      <c r="C3669" t="str">
        <f t="shared" si="659"/>
        <v>PIX</v>
      </c>
      <c r="D3669" t="str">
        <f>"22190"</f>
        <v>22190</v>
      </c>
      <c r="E3669" t="str">
        <f t="shared" si="654"/>
        <v>1</v>
      </c>
      <c r="F3669" t="str">
        <f t="shared" si="657"/>
        <v>COM</v>
      </c>
      <c r="G3669" t="str">
        <f>"DANILO ROCHA SILVA (162)"</f>
        <v>DANILO ROCHA SILVA (162)</v>
      </c>
      <c r="H3669" t="s">
        <v>1044</v>
      </c>
      <c r="I3669" t="str">
        <f t="shared" si="660"/>
        <v>25/09/2025</v>
      </c>
      <c r="J3669" t="str">
        <f t="shared" si="655"/>
        <v>16/09/2025</v>
      </c>
      <c r="K3669">
        <v>45925</v>
      </c>
      <c r="N3669">
        <v>109</v>
      </c>
      <c r="O3669" t="s">
        <v>24</v>
      </c>
      <c r="Q3669">
        <v>1174.5</v>
      </c>
      <c r="R3669" t="str">
        <f>"FARMÁCIA INDIANA LJ 181 (10078)"</f>
        <v>FARMÁCIA INDIANA LJ 181 (10078)</v>
      </c>
      <c r="S3669" t="s">
        <v>77</v>
      </c>
      <c r="T3669">
        <v>18857</v>
      </c>
      <c r="U3669">
        <v>22190</v>
      </c>
      <c r="V3669" t="s">
        <v>77</v>
      </c>
    </row>
    <row r="3670" spans="1:22">
      <c r="A3670" t="str">
        <f t="shared" si="658"/>
        <v>25/09/2025</v>
      </c>
      <c r="B3670" t="str">
        <f t="shared" si="656"/>
        <v>SAÍDA</v>
      </c>
      <c r="C3670" t="str">
        <f t="shared" si="659"/>
        <v>PIX</v>
      </c>
      <c r="D3670" t="str">
        <f>"22191"</f>
        <v>22191</v>
      </c>
      <c r="E3670" t="str">
        <f t="shared" ref="E3670:E3712" si="661">"1"</f>
        <v>1</v>
      </c>
      <c r="F3670" t="str">
        <f t="shared" si="657"/>
        <v>COM</v>
      </c>
      <c r="G3670" t="str">
        <f>"FABIO SOUZA DE JESUS (637)"</f>
        <v>FABIO SOUZA DE JESUS (637)</v>
      </c>
      <c r="H3670" t="str">
        <f>"Serv.Prest. 08/09/2025 a 14/09/2025 - PIX: CELULAR - CHAVE: (27) 99950-3450"</f>
        <v>Serv.Prest. 08/09/2025 a 14/09/2025 - PIX: CELULAR - CHAVE: (27) 99950-3450</v>
      </c>
      <c r="I3670" t="str">
        <f t="shared" si="660"/>
        <v>25/09/2025</v>
      </c>
      <c r="J3670" t="str">
        <f t="shared" si="655"/>
        <v>16/09/2025</v>
      </c>
      <c r="K3670" t="str">
        <f>("25/09/2025")</f>
        <v>25/09/2025</v>
      </c>
      <c r="L3670">
        <v>1006.5</v>
      </c>
      <c r="M3670">
        <v>1006.5</v>
      </c>
      <c r="N3670">
        <v>109</v>
      </c>
      <c r="O3670" t="str">
        <f>"PAGAMENTO DE ENTREGADORES"</f>
        <v>PAGAMENTO DE ENTREGADORES</v>
      </c>
      <c r="P3670">
        <v>1006.5</v>
      </c>
      <c r="S3670" t="str">
        <f>"BANCO C6 (149)"</f>
        <v>BANCO C6 (149)</v>
      </c>
      <c r="T3670">
        <v>18858</v>
      </c>
      <c r="U3670">
        <v>22191</v>
      </c>
      <c r="V3670" t="s">
        <v>77</v>
      </c>
    </row>
    <row r="3671" spans="1:22">
      <c r="A3671" t="str">
        <f t="shared" si="658"/>
        <v>25/09/2025</v>
      </c>
      <c r="B3671" t="str">
        <f t="shared" si="656"/>
        <v>SAÍDA</v>
      </c>
      <c r="C3671" t="str">
        <f t="shared" si="659"/>
        <v>PIX</v>
      </c>
      <c r="D3671" t="str">
        <f>"22191"</f>
        <v>22191</v>
      </c>
      <c r="E3671" t="str">
        <f t="shared" si="661"/>
        <v>1</v>
      </c>
      <c r="F3671" t="str">
        <f t="shared" si="657"/>
        <v>COM</v>
      </c>
      <c r="G3671" t="str">
        <f>"FABIO SOUZA DE JESUS (637)"</f>
        <v>FABIO SOUZA DE JESUS (637)</v>
      </c>
      <c r="H3671" t="s">
        <v>1045</v>
      </c>
      <c r="I3671" t="str">
        <f t="shared" si="660"/>
        <v>25/09/2025</v>
      </c>
      <c r="J3671" t="str">
        <f t="shared" si="655"/>
        <v>16/09/2025</v>
      </c>
      <c r="K3671">
        <v>45925</v>
      </c>
      <c r="N3671">
        <v>109</v>
      </c>
      <c r="O3671" t="s">
        <v>24</v>
      </c>
      <c r="Q3671">
        <v>671.03</v>
      </c>
      <c r="R3671" t="str">
        <f>"FARMÁCIA INDIANA LJ 243 (10142)"</f>
        <v>FARMÁCIA INDIANA LJ 243 (10142)</v>
      </c>
      <c r="S3671" t="s">
        <v>77</v>
      </c>
      <c r="T3671">
        <v>18858</v>
      </c>
      <c r="U3671">
        <v>22191</v>
      </c>
      <c r="V3671" t="s">
        <v>77</v>
      </c>
    </row>
    <row r="3672" spans="1:22">
      <c r="A3672" t="str">
        <f t="shared" si="658"/>
        <v>25/09/2025</v>
      </c>
      <c r="B3672" t="str">
        <f t="shared" si="656"/>
        <v>SAÍDA</v>
      </c>
      <c r="C3672" t="str">
        <f t="shared" si="659"/>
        <v>PIX</v>
      </c>
      <c r="D3672" t="str">
        <f>"22191"</f>
        <v>22191</v>
      </c>
      <c r="E3672" t="str">
        <f t="shared" si="661"/>
        <v>1</v>
      </c>
      <c r="F3672" t="str">
        <f t="shared" si="657"/>
        <v>COM</v>
      </c>
      <c r="G3672" t="str">
        <f>"FABIO SOUZA DE JESUS (637)"</f>
        <v>FABIO SOUZA DE JESUS (637)</v>
      </c>
      <c r="H3672" t="s">
        <v>1045</v>
      </c>
      <c r="I3672" t="str">
        <f t="shared" si="660"/>
        <v>25/09/2025</v>
      </c>
      <c r="J3672" t="str">
        <f t="shared" si="655"/>
        <v>16/09/2025</v>
      </c>
      <c r="K3672">
        <v>45925</v>
      </c>
      <c r="N3672">
        <v>109</v>
      </c>
      <c r="O3672" t="s">
        <v>24</v>
      </c>
      <c r="Q3672">
        <v>335.47</v>
      </c>
      <c r="R3672" t="str">
        <f>"FARMÁCIA INDIANA LJ 235 (10190)"</f>
        <v>FARMÁCIA INDIANA LJ 235 (10190)</v>
      </c>
      <c r="S3672" t="s">
        <v>77</v>
      </c>
      <c r="T3672">
        <v>18858</v>
      </c>
      <c r="U3672">
        <v>22191</v>
      </c>
      <c r="V3672" t="s">
        <v>77</v>
      </c>
    </row>
    <row r="3673" spans="1:22">
      <c r="A3673" t="str">
        <f t="shared" si="658"/>
        <v>25/09/2025</v>
      </c>
      <c r="B3673" t="str">
        <f t="shared" si="656"/>
        <v>SAÍDA</v>
      </c>
      <c r="C3673" t="str">
        <f t="shared" si="659"/>
        <v>PIX</v>
      </c>
      <c r="D3673" t="str">
        <f>"22192"</f>
        <v>22192</v>
      </c>
      <c r="E3673" t="str">
        <f t="shared" si="661"/>
        <v>1</v>
      </c>
      <c r="F3673" t="str">
        <f t="shared" si="657"/>
        <v>COM</v>
      </c>
      <c r="G3673" t="str">
        <f>"JACQUES SEBIM SANTNA (918)"</f>
        <v>JACQUES SEBIM SANTNA (918)</v>
      </c>
      <c r="H3673" t="str">
        <f>"Serv.Prest. 08/09/2025 a 14/09/2025 - PIX: CNPJ - CHAVE: 40.359.224/0001-09"</f>
        <v>Serv.Prest. 08/09/2025 a 14/09/2025 - PIX: CNPJ - CHAVE: 40.359.224/0001-09</v>
      </c>
      <c r="I3673" t="str">
        <f t="shared" si="660"/>
        <v>25/09/2025</v>
      </c>
      <c r="J3673" t="str">
        <f t="shared" si="655"/>
        <v>16/09/2025</v>
      </c>
      <c r="K3673" t="str">
        <f>("25/09/2025")</f>
        <v>25/09/2025</v>
      </c>
      <c r="L3673">
        <v>804</v>
      </c>
      <c r="M3673">
        <v>804</v>
      </c>
      <c r="N3673">
        <v>109</v>
      </c>
      <c r="O3673" t="str">
        <f>"PAGAMENTO DE ENTREGADORES"</f>
        <v>PAGAMENTO DE ENTREGADORES</v>
      </c>
      <c r="P3673">
        <v>804</v>
      </c>
      <c r="S3673" t="str">
        <f>"BANCO C6 (149)"</f>
        <v>BANCO C6 (149)</v>
      </c>
      <c r="T3673">
        <v>18859</v>
      </c>
      <c r="U3673">
        <v>22192</v>
      </c>
      <c r="V3673" t="s">
        <v>77</v>
      </c>
    </row>
    <row r="3674" spans="1:22">
      <c r="A3674" t="str">
        <f t="shared" si="658"/>
        <v>25/09/2025</v>
      </c>
      <c r="B3674" t="str">
        <f t="shared" si="656"/>
        <v>SAÍDA</v>
      </c>
      <c r="C3674" t="str">
        <f t="shared" si="659"/>
        <v>PIX</v>
      </c>
      <c r="D3674" t="str">
        <f>"22192"</f>
        <v>22192</v>
      </c>
      <c r="E3674" t="str">
        <f t="shared" si="661"/>
        <v>1</v>
      </c>
      <c r="F3674" t="str">
        <f t="shared" si="657"/>
        <v>COM</v>
      </c>
      <c r="G3674" t="str">
        <f>"JACQUES SEBIM SANTNA (918)"</f>
        <v>JACQUES SEBIM SANTNA (918)</v>
      </c>
      <c r="H3674" t="s">
        <v>1046</v>
      </c>
      <c r="I3674" t="str">
        <f t="shared" si="660"/>
        <v>25/09/2025</v>
      </c>
      <c r="J3674" t="str">
        <f t="shared" si="655"/>
        <v>16/09/2025</v>
      </c>
      <c r="K3674">
        <v>45925</v>
      </c>
      <c r="N3674">
        <v>109</v>
      </c>
      <c r="O3674" t="s">
        <v>24</v>
      </c>
      <c r="Q3674">
        <v>804</v>
      </c>
      <c r="R3674" t="str">
        <f>"FARMÁCIA INDIANA LJ 188 (10176)"</f>
        <v>FARMÁCIA INDIANA LJ 188 (10176)</v>
      </c>
      <c r="S3674" t="s">
        <v>77</v>
      </c>
      <c r="T3674">
        <v>18859</v>
      </c>
      <c r="U3674">
        <v>22192</v>
      </c>
      <c r="V3674" t="s">
        <v>77</v>
      </c>
    </row>
    <row r="3675" spans="1:22">
      <c r="A3675" t="str">
        <f t="shared" si="658"/>
        <v>25/09/2025</v>
      </c>
      <c r="B3675" t="str">
        <f t="shared" si="656"/>
        <v>SAÍDA</v>
      </c>
      <c r="C3675" t="str">
        <f t="shared" si="659"/>
        <v>PIX</v>
      </c>
      <c r="D3675" t="str">
        <f>"22193"</f>
        <v>22193</v>
      </c>
      <c r="E3675" t="str">
        <f t="shared" si="661"/>
        <v>1</v>
      </c>
      <c r="F3675" t="str">
        <f t="shared" si="657"/>
        <v>COM</v>
      </c>
      <c r="G3675" t="str">
        <f>"JEAN CHARLES BATISTA FILHO (206)"</f>
        <v>JEAN CHARLES BATISTA FILHO (206)</v>
      </c>
      <c r="H3675" t="str">
        <f>"Serv.Prest. 08/09/2025 a 14/09/2025 - PIX: CELULAR - CHAVE: (27) 99616-4468"</f>
        <v>Serv.Prest. 08/09/2025 a 14/09/2025 - PIX: CELULAR - CHAVE: (27) 99616-4468</v>
      </c>
      <c r="I3675" t="str">
        <f t="shared" si="660"/>
        <v>25/09/2025</v>
      </c>
      <c r="J3675" t="str">
        <f t="shared" si="655"/>
        <v>16/09/2025</v>
      </c>
      <c r="K3675" t="str">
        <f>("25/09/2025")</f>
        <v>25/09/2025</v>
      </c>
      <c r="L3675">
        <v>2526</v>
      </c>
      <c r="M3675">
        <v>2526</v>
      </c>
      <c r="N3675">
        <v>109</v>
      </c>
      <c r="O3675" t="str">
        <f>"PAGAMENTO DE ENTREGADORES"</f>
        <v>PAGAMENTO DE ENTREGADORES</v>
      </c>
      <c r="P3675">
        <v>2526</v>
      </c>
      <c r="S3675" t="str">
        <f>"BANCO C6 (149)"</f>
        <v>BANCO C6 (149)</v>
      </c>
      <c r="T3675">
        <v>18860</v>
      </c>
      <c r="U3675">
        <v>22193</v>
      </c>
      <c r="V3675" t="s">
        <v>77</v>
      </c>
    </row>
    <row r="3676" spans="1:22">
      <c r="A3676" t="str">
        <f t="shared" si="658"/>
        <v>25/09/2025</v>
      </c>
      <c r="B3676" t="str">
        <f t="shared" si="656"/>
        <v>SAÍDA</v>
      </c>
      <c r="C3676" t="str">
        <f t="shared" si="659"/>
        <v>PIX</v>
      </c>
      <c r="D3676" t="str">
        <f>"22193"</f>
        <v>22193</v>
      </c>
      <c r="E3676" t="str">
        <f t="shared" si="661"/>
        <v>1</v>
      </c>
      <c r="F3676" t="str">
        <f t="shared" si="657"/>
        <v>COM</v>
      </c>
      <c r="G3676" t="str">
        <f>"JEAN CHARLES BATISTA FILHO (206)"</f>
        <v>JEAN CHARLES BATISTA FILHO (206)</v>
      </c>
      <c r="H3676" t="s">
        <v>1047</v>
      </c>
      <c r="I3676" t="str">
        <f t="shared" si="660"/>
        <v>25/09/2025</v>
      </c>
      <c r="J3676" t="str">
        <f t="shared" si="655"/>
        <v>16/09/2025</v>
      </c>
      <c r="K3676">
        <v>45925</v>
      </c>
      <c r="N3676">
        <v>109</v>
      </c>
      <c r="O3676" t="s">
        <v>24</v>
      </c>
      <c r="Q3676">
        <v>2526</v>
      </c>
      <c r="R3676" t="str">
        <f>"FARMÁCIA INDIANA LJ 163 (10072)"</f>
        <v>FARMÁCIA INDIANA LJ 163 (10072)</v>
      </c>
      <c r="S3676" t="s">
        <v>77</v>
      </c>
      <c r="T3676">
        <v>18860</v>
      </c>
      <c r="U3676">
        <v>22193</v>
      </c>
      <c r="V3676" t="s">
        <v>77</v>
      </c>
    </row>
    <row r="3677" spans="1:22">
      <c r="A3677" t="str">
        <f t="shared" si="658"/>
        <v>25/09/2025</v>
      </c>
      <c r="B3677" t="str">
        <f t="shared" si="656"/>
        <v>SAÍDA</v>
      </c>
      <c r="C3677" t="str">
        <f t="shared" si="659"/>
        <v>PIX</v>
      </c>
      <c r="D3677" t="str">
        <f>"22194"</f>
        <v>22194</v>
      </c>
      <c r="E3677" t="str">
        <f t="shared" si="661"/>
        <v>1</v>
      </c>
      <c r="F3677" t="str">
        <f t="shared" si="657"/>
        <v>COM</v>
      </c>
      <c r="G3677" t="str">
        <f>"MARCELO SOUZA DE MOURA (924)"</f>
        <v>MARCELO SOUZA DE MOURA (924)</v>
      </c>
      <c r="H3677" t="str">
        <f>"Serv.Prest. 08/09/2025 a 14/09/2025 - PIX: CELULAR - CHAVE: (73) 99167-5954"</f>
        <v>Serv.Prest. 08/09/2025 a 14/09/2025 - PIX: CELULAR - CHAVE: (73) 99167-5954</v>
      </c>
      <c r="I3677" t="str">
        <f t="shared" si="660"/>
        <v>25/09/2025</v>
      </c>
      <c r="J3677" t="str">
        <f t="shared" si="655"/>
        <v>16/09/2025</v>
      </c>
      <c r="K3677" t="str">
        <f>("25/09/2025")</f>
        <v>25/09/2025</v>
      </c>
      <c r="L3677">
        <v>1012.5</v>
      </c>
      <c r="M3677">
        <v>1012.5</v>
      </c>
      <c r="N3677">
        <v>109</v>
      </c>
      <c r="O3677" t="str">
        <f>"PAGAMENTO DE ENTREGADORES"</f>
        <v>PAGAMENTO DE ENTREGADORES</v>
      </c>
      <c r="P3677">
        <v>1012.5</v>
      </c>
      <c r="S3677" t="str">
        <f>"BANCO C6 (149)"</f>
        <v>BANCO C6 (149)</v>
      </c>
      <c r="T3677">
        <v>18861</v>
      </c>
      <c r="U3677">
        <v>22194</v>
      </c>
      <c r="V3677" t="s">
        <v>77</v>
      </c>
    </row>
    <row r="3678" spans="1:22">
      <c r="A3678" t="str">
        <f t="shared" si="658"/>
        <v>25/09/2025</v>
      </c>
      <c r="B3678" t="str">
        <f t="shared" si="656"/>
        <v>SAÍDA</v>
      </c>
      <c r="C3678" t="str">
        <f t="shared" si="659"/>
        <v>PIX</v>
      </c>
      <c r="D3678" t="str">
        <f>"22194"</f>
        <v>22194</v>
      </c>
      <c r="E3678" t="str">
        <f t="shared" si="661"/>
        <v>1</v>
      </c>
      <c r="F3678" t="str">
        <f t="shared" si="657"/>
        <v>COM</v>
      </c>
      <c r="G3678" t="str">
        <f>"MARCELO SOUZA DE MOURA (924)"</f>
        <v>MARCELO SOUZA DE MOURA (924)</v>
      </c>
      <c r="H3678" t="s">
        <v>1048</v>
      </c>
      <c r="I3678" t="str">
        <f t="shared" si="660"/>
        <v>25/09/2025</v>
      </c>
      <c r="J3678" t="str">
        <f t="shared" si="655"/>
        <v>16/09/2025</v>
      </c>
      <c r="K3678">
        <v>45925</v>
      </c>
      <c r="N3678">
        <v>109</v>
      </c>
      <c r="O3678" t="s">
        <v>24</v>
      </c>
      <c r="Q3678">
        <v>1012.5</v>
      </c>
      <c r="R3678" t="str">
        <f>"FARMÁCIA INDIANA LJ 273 (10188)"</f>
        <v>FARMÁCIA INDIANA LJ 273 (10188)</v>
      </c>
      <c r="S3678" t="s">
        <v>77</v>
      </c>
      <c r="T3678">
        <v>18861</v>
      </c>
      <c r="U3678">
        <v>22194</v>
      </c>
      <c r="V3678" t="s">
        <v>77</v>
      </c>
    </row>
    <row r="3679" spans="1:22">
      <c r="A3679" t="str">
        <f t="shared" si="658"/>
        <v>25/09/2025</v>
      </c>
      <c r="B3679" t="str">
        <f t="shared" si="656"/>
        <v>SAÍDA</v>
      </c>
      <c r="C3679" t="str">
        <f t="shared" si="659"/>
        <v>PIX</v>
      </c>
      <c r="D3679" t="str">
        <f>"22196"</f>
        <v>22196</v>
      </c>
      <c r="E3679" t="str">
        <f t="shared" si="661"/>
        <v>1</v>
      </c>
      <c r="F3679" t="str">
        <f t="shared" si="657"/>
        <v>COM</v>
      </c>
      <c r="G3679" t="str">
        <f>"VINÍCIUS NEVES PEREIRA (776)"</f>
        <v>VINÍCIUS NEVES PEREIRA (776)</v>
      </c>
      <c r="H3679" t="str">
        <f>"Serv.Prest. 08/09/2025 a 14/09/2025 - PIX: CPF - CHAVE: 121.963.507-37"</f>
        <v>Serv.Prest. 08/09/2025 a 14/09/2025 - PIX: CPF - CHAVE: 121.963.507-37</v>
      </c>
      <c r="I3679" t="str">
        <f t="shared" si="660"/>
        <v>25/09/2025</v>
      </c>
      <c r="J3679" t="str">
        <f t="shared" si="655"/>
        <v>16/09/2025</v>
      </c>
      <c r="K3679" t="str">
        <f>("25/09/2025")</f>
        <v>25/09/2025</v>
      </c>
      <c r="L3679">
        <v>750.75</v>
      </c>
      <c r="M3679">
        <v>750.75</v>
      </c>
      <c r="N3679">
        <v>109</v>
      </c>
      <c r="O3679" t="str">
        <f>"PAGAMENTO DE ENTREGADORES"</f>
        <v>PAGAMENTO DE ENTREGADORES</v>
      </c>
      <c r="P3679">
        <v>750.75</v>
      </c>
      <c r="S3679" t="str">
        <f>"BANCO C6 (149)"</f>
        <v>BANCO C6 (149)</v>
      </c>
      <c r="T3679">
        <v>18862</v>
      </c>
      <c r="U3679">
        <v>22196</v>
      </c>
      <c r="V3679" t="s">
        <v>77</v>
      </c>
    </row>
    <row r="3680" spans="1:22">
      <c r="A3680" t="str">
        <f t="shared" si="658"/>
        <v>25/09/2025</v>
      </c>
      <c r="B3680" t="str">
        <f t="shared" si="656"/>
        <v>SAÍDA</v>
      </c>
      <c r="C3680" t="str">
        <f t="shared" si="659"/>
        <v>PIX</v>
      </c>
      <c r="D3680" t="str">
        <f>"22196"</f>
        <v>22196</v>
      </c>
      <c r="E3680" t="str">
        <f t="shared" si="661"/>
        <v>1</v>
      </c>
      <c r="F3680" t="str">
        <f t="shared" si="657"/>
        <v>COM</v>
      </c>
      <c r="G3680" t="str">
        <f>"VINÍCIUS NEVES PEREIRA (776)"</f>
        <v>VINÍCIUS NEVES PEREIRA (776)</v>
      </c>
      <c r="H3680" t="s">
        <v>1049</v>
      </c>
      <c r="I3680" t="str">
        <f t="shared" si="660"/>
        <v>25/09/2025</v>
      </c>
      <c r="J3680" t="str">
        <f t="shared" si="655"/>
        <v>16/09/2025</v>
      </c>
      <c r="K3680">
        <v>45925</v>
      </c>
      <c r="N3680">
        <v>109</v>
      </c>
      <c r="O3680" t="s">
        <v>24</v>
      </c>
      <c r="Q3680">
        <v>750.75</v>
      </c>
      <c r="R3680" t="str">
        <f>"FARMÁCIA INDIANA LJ 221 (10093)"</f>
        <v>FARMÁCIA INDIANA LJ 221 (10093)</v>
      </c>
      <c r="S3680" t="s">
        <v>77</v>
      </c>
      <c r="T3680">
        <v>18862</v>
      </c>
      <c r="U3680">
        <v>22196</v>
      </c>
      <c r="V3680" t="s">
        <v>77</v>
      </c>
    </row>
    <row r="3681" spans="1:22">
      <c r="A3681" t="str">
        <f t="shared" si="658"/>
        <v>25/09/2025</v>
      </c>
      <c r="B3681" t="str">
        <f t="shared" si="656"/>
        <v>SAÍDA</v>
      </c>
      <c r="C3681" t="str">
        <f t="shared" si="659"/>
        <v>PIX</v>
      </c>
      <c r="D3681" t="str">
        <f>"22673"</f>
        <v>22673</v>
      </c>
      <c r="E3681" t="str">
        <f t="shared" si="661"/>
        <v>1</v>
      </c>
      <c r="F3681" t="str">
        <f t="shared" si="657"/>
        <v>COM</v>
      </c>
      <c r="G3681" t="str">
        <f>"DIANS APARECIDO RAMOS BERALDO (795)"</f>
        <v>DIANS APARECIDO RAMOS BERALDO (795)</v>
      </c>
      <c r="H3681" t="str">
        <f>"Serv.Prest. 22/09/2025 a 28/09/2025 - PIX: CELULAR - CHAVE: (11) 95530-0331"</f>
        <v>Serv.Prest. 22/09/2025 a 28/09/2025 - PIX: CELULAR - CHAVE: (11) 95530-0331</v>
      </c>
      <c r="I3681" t="str">
        <f>("02/10/2025")</f>
        <v>02/10/2025</v>
      </c>
      <c r="J3681" t="str">
        <f>("29/09/2025")</f>
        <v>29/09/2025</v>
      </c>
      <c r="K3681" t="str">
        <f>("25/09/2025")</f>
        <v>25/09/2025</v>
      </c>
      <c r="L3681">
        <v>133</v>
      </c>
      <c r="M3681">
        <v>130</v>
      </c>
      <c r="N3681">
        <v>109</v>
      </c>
      <c r="O3681" t="str">
        <f>"PAGAMENTO DE ENTREGADORES"</f>
        <v>PAGAMENTO DE ENTREGADORES</v>
      </c>
      <c r="P3681">
        <v>130</v>
      </c>
      <c r="S3681" t="str">
        <f>"BANCO CORA (102)"</f>
        <v>BANCO CORA (102)</v>
      </c>
      <c r="T3681">
        <v>18871</v>
      </c>
      <c r="U3681">
        <v>22673</v>
      </c>
      <c r="V3681" t="s">
        <v>22</v>
      </c>
    </row>
    <row r="3682" spans="1:22">
      <c r="A3682" t="str">
        <f t="shared" si="658"/>
        <v>25/09/2025</v>
      </c>
      <c r="B3682" t="str">
        <f t="shared" si="656"/>
        <v>SAÍDA</v>
      </c>
      <c r="C3682" t="str">
        <f t="shared" si="659"/>
        <v>PIX</v>
      </c>
      <c r="D3682" t="str">
        <f>"22673"</f>
        <v>22673</v>
      </c>
      <c r="E3682" t="str">
        <f t="shared" si="661"/>
        <v>1</v>
      </c>
      <c r="F3682" t="str">
        <f t="shared" si="657"/>
        <v>COM</v>
      </c>
      <c r="G3682" t="str">
        <f>"DIANS APARECIDO RAMOS BERALDO (795)"</f>
        <v>DIANS APARECIDO RAMOS BERALDO (795)</v>
      </c>
      <c r="H3682" t="s">
        <v>1050</v>
      </c>
      <c r="I3682" t="str">
        <f>("02/10/2025")</f>
        <v>02/10/2025</v>
      </c>
      <c r="J3682" t="str">
        <f>("29/09/2025")</f>
        <v>29/09/2025</v>
      </c>
      <c r="K3682">
        <v>45925</v>
      </c>
      <c r="N3682">
        <v>109</v>
      </c>
      <c r="O3682" t="s">
        <v>24</v>
      </c>
      <c r="Q3682">
        <v>130</v>
      </c>
      <c r="R3682" t="str">
        <f>"DROGARIA TOTAL JUNDIAI (10177)"</f>
        <v>DROGARIA TOTAL JUNDIAI (10177)</v>
      </c>
      <c r="S3682" t="s">
        <v>22</v>
      </c>
      <c r="T3682">
        <v>18871</v>
      </c>
      <c r="U3682">
        <v>22673</v>
      </c>
      <c r="V3682" t="s">
        <v>22</v>
      </c>
    </row>
    <row r="3683" spans="1:22">
      <c r="A3683" t="str">
        <f t="shared" si="658"/>
        <v>25/09/2025</v>
      </c>
      <c r="B3683" t="str">
        <f t="shared" ref="B3683:B3712" si="662">"ENTRADA"</f>
        <v>ENTRADA</v>
      </c>
      <c r="C3683" t="str">
        <f t="shared" ref="C3683:C3712" si="663">"NFSE"</f>
        <v>NFSE</v>
      </c>
      <c r="D3683" t="str">
        <f>"3393"</f>
        <v>3393</v>
      </c>
      <c r="E3683" t="str">
        <f t="shared" si="661"/>
        <v>1</v>
      </c>
      <c r="F3683" t="str">
        <f t="shared" si="657"/>
        <v>COM</v>
      </c>
      <c r="G3683" t="str">
        <f>"LBL FARMACIA LTDA FILIAL (10192)"</f>
        <v>LBL FARMACIA LTDA FILIAL (10192)</v>
      </c>
      <c r="H3683" t="str">
        <f>"Serv.Prest. 15/09/2025 a 21/09/2025 - RPS: 1269 - NFSe: 3393"</f>
        <v>Serv.Prest. 15/09/2025 a 21/09/2025 - RPS: 1269 - NFSe: 3393</v>
      </c>
      <c r="I3683" t="str">
        <f t="shared" ref="I3683:I3712" si="664">("24/09/2025")</f>
        <v>24/09/2025</v>
      </c>
      <c r="J3683" t="str">
        <f>("22/09/2025")</f>
        <v>22/09/2025</v>
      </c>
      <c r="K3683" t="str">
        <f>("25/09/2025")</f>
        <v>25/09/2025</v>
      </c>
      <c r="L3683">
        <v>934.15</v>
      </c>
      <c r="M3683">
        <v>934.15</v>
      </c>
      <c r="N3683">
        <v>303</v>
      </c>
      <c r="O3683" t="str">
        <f>"RECEITAS COM ENTREGAS"</f>
        <v>RECEITAS COM ENTREGAS</v>
      </c>
      <c r="P3683">
        <v>934.15</v>
      </c>
      <c r="S3683" t="str">
        <f>"RECEITAS COM ENTREGAS (303)"</f>
        <v>RECEITAS COM ENTREGAS (303)</v>
      </c>
      <c r="T3683">
        <v>22310</v>
      </c>
      <c r="U3683">
        <v>22291</v>
      </c>
      <c r="V3683" t="s">
        <v>22</v>
      </c>
    </row>
    <row r="3684" spans="1:22">
      <c r="A3684" t="str">
        <f t="shared" si="658"/>
        <v>25/09/2025</v>
      </c>
      <c r="B3684" t="str">
        <f t="shared" si="662"/>
        <v>ENTRADA</v>
      </c>
      <c r="C3684" t="str">
        <f t="shared" si="663"/>
        <v>NFSE</v>
      </c>
      <c r="D3684" t="str">
        <f>"3393"</f>
        <v>3393</v>
      </c>
      <c r="E3684" t="str">
        <f t="shared" si="661"/>
        <v>1</v>
      </c>
      <c r="F3684" t="str">
        <f t="shared" si="657"/>
        <v>COM</v>
      </c>
      <c r="G3684" t="str">
        <f>"LBL FARMACIA LTDA FILIAL (10192)"</f>
        <v>LBL FARMACIA LTDA FILIAL (10192)</v>
      </c>
      <c r="H3684" t="s">
        <v>1051</v>
      </c>
      <c r="I3684" t="str">
        <f t="shared" si="664"/>
        <v>24/09/2025</v>
      </c>
      <c r="J3684" t="str">
        <f>("22/09/2025")</f>
        <v>22/09/2025</v>
      </c>
      <c r="K3684">
        <v>45925</v>
      </c>
      <c r="N3684">
        <v>303</v>
      </c>
      <c r="O3684" t="s">
        <v>69</v>
      </c>
      <c r="Q3684">
        <v>934.15</v>
      </c>
      <c r="R3684" t="str">
        <f>"LBL FARMACIA LTDA FILIAL (10192)"</f>
        <v>LBL FARMACIA LTDA FILIAL (10192)</v>
      </c>
      <c r="S3684" t="s">
        <v>70</v>
      </c>
      <c r="T3684">
        <v>22310</v>
      </c>
      <c r="U3684">
        <v>22291</v>
      </c>
      <c r="V3684" t="s">
        <v>22</v>
      </c>
    </row>
    <row r="3685" spans="1:22">
      <c r="A3685" t="str">
        <f t="shared" si="658"/>
        <v>25/09/2025</v>
      </c>
      <c r="B3685" t="str">
        <f t="shared" si="662"/>
        <v>ENTRADA</v>
      </c>
      <c r="C3685" t="str">
        <f t="shared" si="663"/>
        <v>NFSE</v>
      </c>
      <c r="D3685" t="str">
        <f>"3360"</f>
        <v>3360</v>
      </c>
      <c r="E3685" t="str">
        <f t="shared" si="661"/>
        <v>1</v>
      </c>
      <c r="F3685" t="str">
        <f t="shared" si="657"/>
        <v>COM</v>
      </c>
      <c r="G3685" t="str">
        <f>"AC FARMA - FLEMINFARMA (10160)"</f>
        <v>AC FARMA - FLEMINFARMA (10160)</v>
      </c>
      <c r="H3685" t="str">
        <f>"Serv.Prest. 08/09/2025 a 14/09/2025 - RPS: 1236 - NFSe: 3360"</f>
        <v>Serv.Prest. 08/09/2025 a 14/09/2025 - RPS: 1236 - NFSe: 3360</v>
      </c>
      <c r="I3685" t="str">
        <f t="shared" si="664"/>
        <v>24/09/2025</v>
      </c>
      <c r="J3685" t="str">
        <f>("15/09/2025")</f>
        <v>15/09/2025</v>
      </c>
      <c r="K3685" t="str">
        <f>("25/09/2025")</f>
        <v>25/09/2025</v>
      </c>
      <c r="L3685">
        <v>1736.55</v>
      </c>
      <c r="M3685">
        <v>1736.55</v>
      </c>
      <c r="N3685">
        <v>303</v>
      </c>
      <c r="O3685" t="str">
        <f>"RECEITAS COM ENTREGAS"</f>
        <v>RECEITAS COM ENTREGAS</v>
      </c>
      <c r="P3685">
        <v>1736.55</v>
      </c>
      <c r="S3685" t="str">
        <f>"RECEITAS COM ENTREGAS (303)"</f>
        <v>RECEITAS COM ENTREGAS (303)</v>
      </c>
      <c r="T3685">
        <v>22311</v>
      </c>
      <c r="U3685">
        <v>21999</v>
      </c>
      <c r="V3685" t="s">
        <v>22</v>
      </c>
    </row>
    <row r="3686" spans="1:22">
      <c r="A3686" t="str">
        <f t="shared" si="658"/>
        <v>25/09/2025</v>
      </c>
      <c r="B3686" t="str">
        <f t="shared" si="662"/>
        <v>ENTRADA</v>
      </c>
      <c r="C3686" t="str">
        <f t="shared" si="663"/>
        <v>NFSE</v>
      </c>
      <c r="D3686" t="str">
        <f>"3360"</f>
        <v>3360</v>
      </c>
      <c r="E3686" t="str">
        <f t="shared" si="661"/>
        <v>1</v>
      </c>
      <c r="F3686" t="str">
        <f t="shared" si="657"/>
        <v>COM</v>
      </c>
      <c r="G3686" t="str">
        <f>"AC FARMA - FLEMINFARMA (10160)"</f>
        <v>AC FARMA - FLEMINFARMA (10160)</v>
      </c>
      <c r="H3686" t="s">
        <v>1052</v>
      </c>
      <c r="I3686" t="str">
        <f t="shared" si="664"/>
        <v>24/09/2025</v>
      </c>
      <c r="J3686" t="str">
        <f>("15/09/2025")</f>
        <v>15/09/2025</v>
      </c>
      <c r="K3686">
        <v>45925</v>
      </c>
      <c r="N3686">
        <v>303</v>
      </c>
      <c r="O3686" t="s">
        <v>69</v>
      </c>
      <c r="Q3686">
        <v>1659.97</v>
      </c>
      <c r="R3686" t="str">
        <f>"AC FARMA -  FLEMINFARMA (10159)"</f>
        <v>AC FARMA -  FLEMINFARMA (10159)</v>
      </c>
      <c r="S3686" t="s">
        <v>70</v>
      </c>
      <c r="T3686">
        <v>22311</v>
      </c>
      <c r="U3686">
        <v>21999</v>
      </c>
      <c r="V3686" t="s">
        <v>22</v>
      </c>
    </row>
    <row r="3687" spans="1:22">
      <c r="A3687" t="str">
        <f t="shared" si="658"/>
        <v>25/09/2025</v>
      </c>
      <c r="B3687" t="str">
        <f t="shared" si="662"/>
        <v>ENTRADA</v>
      </c>
      <c r="C3687" t="str">
        <f t="shared" si="663"/>
        <v>NFSE</v>
      </c>
      <c r="D3687" t="str">
        <f>"3360"</f>
        <v>3360</v>
      </c>
      <c r="E3687" t="str">
        <f t="shared" si="661"/>
        <v>1</v>
      </c>
      <c r="F3687" t="str">
        <f t="shared" si="657"/>
        <v>COM</v>
      </c>
      <c r="G3687" t="str">
        <f>"AC FARMA - FLEMINFARMA (10160)"</f>
        <v>AC FARMA - FLEMINFARMA (10160)</v>
      </c>
      <c r="H3687" t="s">
        <v>1052</v>
      </c>
      <c r="I3687" t="str">
        <f t="shared" si="664"/>
        <v>24/09/2025</v>
      </c>
      <c r="J3687" t="str">
        <f>("15/09/2025")</f>
        <v>15/09/2025</v>
      </c>
      <c r="K3687">
        <v>45925</v>
      </c>
      <c r="N3687">
        <v>303</v>
      </c>
      <c r="O3687" t="s">
        <v>69</v>
      </c>
      <c r="Q3687">
        <v>76.58</v>
      </c>
      <c r="R3687" t="str">
        <f>"AC FARMA - FLEMINFARMA (10160)"</f>
        <v>AC FARMA - FLEMINFARMA (10160)</v>
      </c>
      <c r="S3687" t="s">
        <v>70</v>
      </c>
      <c r="T3687">
        <v>22311</v>
      </c>
      <c r="U3687">
        <v>21999</v>
      </c>
      <c r="V3687" t="s">
        <v>22</v>
      </c>
    </row>
    <row r="3688" spans="1:22">
      <c r="A3688" t="str">
        <f t="shared" si="658"/>
        <v>25/09/2025</v>
      </c>
      <c r="B3688" t="str">
        <f t="shared" si="662"/>
        <v>ENTRADA</v>
      </c>
      <c r="C3688" t="str">
        <f t="shared" si="663"/>
        <v>NFSE</v>
      </c>
      <c r="D3688" t="str">
        <f>"3394"</f>
        <v>3394</v>
      </c>
      <c r="E3688" t="str">
        <f t="shared" si="661"/>
        <v>1</v>
      </c>
      <c r="F3688" t="str">
        <f t="shared" si="657"/>
        <v>COM</v>
      </c>
      <c r="G3688" t="str">
        <f>"LBL FARMACIA LTDA (10189)"</f>
        <v>LBL FARMACIA LTDA (10189)</v>
      </c>
      <c r="H3688" t="str">
        <f>"Serv.Prest. 15/09/2025 a 21/09/2025 - RPS: 1270 - NFSe: 3394"</f>
        <v>Serv.Prest. 15/09/2025 a 21/09/2025 - RPS: 1270 - NFSe: 3394</v>
      </c>
      <c r="I3688" t="str">
        <f t="shared" si="664"/>
        <v>24/09/2025</v>
      </c>
      <c r="J3688" t="str">
        <f>("22/09/2025")</f>
        <v>22/09/2025</v>
      </c>
      <c r="K3688" t="str">
        <f>("25/09/2025")</f>
        <v>25/09/2025</v>
      </c>
      <c r="L3688">
        <v>767.55</v>
      </c>
      <c r="M3688">
        <v>767.55</v>
      </c>
      <c r="N3688">
        <v>303</v>
      </c>
      <c r="O3688" t="str">
        <f>"RECEITAS COM ENTREGAS"</f>
        <v>RECEITAS COM ENTREGAS</v>
      </c>
      <c r="P3688">
        <v>767.55</v>
      </c>
      <c r="S3688" t="str">
        <f>"RECEITAS COM ENTREGAS (303)"</f>
        <v>RECEITAS COM ENTREGAS (303)</v>
      </c>
      <c r="T3688">
        <v>22312</v>
      </c>
      <c r="U3688">
        <v>22294</v>
      </c>
      <c r="V3688" t="s">
        <v>22</v>
      </c>
    </row>
    <row r="3689" spans="1:22">
      <c r="A3689" t="str">
        <f t="shared" si="658"/>
        <v>25/09/2025</v>
      </c>
      <c r="B3689" t="str">
        <f t="shared" si="662"/>
        <v>ENTRADA</v>
      </c>
      <c r="C3689" t="str">
        <f t="shared" si="663"/>
        <v>NFSE</v>
      </c>
      <c r="D3689" t="str">
        <f>"3394"</f>
        <v>3394</v>
      </c>
      <c r="E3689" t="str">
        <f t="shared" si="661"/>
        <v>1</v>
      </c>
      <c r="F3689" t="str">
        <f t="shared" si="657"/>
        <v>COM</v>
      </c>
      <c r="G3689" t="str">
        <f>"LBL FARMACIA LTDA (10189)"</f>
        <v>LBL FARMACIA LTDA (10189)</v>
      </c>
      <c r="H3689" t="s">
        <v>1053</v>
      </c>
      <c r="I3689" t="str">
        <f t="shared" si="664"/>
        <v>24/09/2025</v>
      </c>
      <c r="J3689" t="str">
        <f>("22/09/2025")</f>
        <v>22/09/2025</v>
      </c>
      <c r="K3689">
        <v>45925</v>
      </c>
      <c r="N3689">
        <v>303</v>
      </c>
      <c r="O3689" t="s">
        <v>69</v>
      </c>
      <c r="Q3689">
        <v>767.55</v>
      </c>
      <c r="R3689" t="str">
        <f>"LBL FARMACIA LTDA (10189)"</f>
        <v>LBL FARMACIA LTDA (10189)</v>
      </c>
      <c r="S3689" t="s">
        <v>70</v>
      </c>
      <c r="T3689">
        <v>22312</v>
      </c>
      <c r="U3689">
        <v>22294</v>
      </c>
      <c r="V3689" t="s">
        <v>22</v>
      </c>
    </row>
    <row r="3690" spans="1:22">
      <c r="A3690" t="str">
        <f t="shared" si="658"/>
        <v>25/09/2025</v>
      </c>
      <c r="B3690" t="str">
        <f t="shared" si="662"/>
        <v>ENTRADA</v>
      </c>
      <c r="C3690" t="str">
        <f t="shared" si="663"/>
        <v>NFSE</v>
      </c>
      <c r="D3690" t="str">
        <f>"3359"</f>
        <v>3359</v>
      </c>
      <c r="E3690" t="str">
        <f t="shared" si="661"/>
        <v>1</v>
      </c>
      <c r="F3690" t="str">
        <f t="shared" si="657"/>
        <v>COM</v>
      </c>
      <c r="G3690" t="str">
        <f>"AC FARMA - CID.ALTA (10166)"</f>
        <v>AC FARMA - CID.ALTA (10166)</v>
      </c>
      <c r="H3690" t="str">
        <f>"Serv.Prest. 08/09/2025 a 14/09/2025 - RPS: 1235 - NFSe: 3359"</f>
        <v>Serv.Prest. 08/09/2025 a 14/09/2025 - RPS: 1235 - NFSe: 3359</v>
      </c>
      <c r="I3690" t="str">
        <f t="shared" si="664"/>
        <v>24/09/2025</v>
      </c>
      <c r="J3690" t="str">
        <f>("15/09/2025")</f>
        <v>15/09/2025</v>
      </c>
      <c r="K3690" t="str">
        <f>("25/09/2025")</f>
        <v>25/09/2025</v>
      </c>
      <c r="L3690">
        <v>5654.88</v>
      </c>
      <c r="M3690">
        <v>5654.88</v>
      </c>
      <c r="N3690">
        <v>303</v>
      </c>
      <c r="O3690" t="str">
        <f>"RECEITAS COM ENTREGAS"</f>
        <v>RECEITAS COM ENTREGAS</v>
      </c>
      <c r="P3690">
        <v>5654.88</v>
      </c>
      <c r="S3690" t="str">
        <f>"RECEITAS COM ENTREGAS (303)"</f>
        <v>RECEITAS COM ENTREGAS (303)</v>
      </c>
      <c r="T3690">
        <v>22313</v>
      </c>
      <c r="U3690">
        <v>21991</v>
      </c>
      <c r="V3690" t="s">
        <v>22</v>
      </c>
    </row>
    <row r="3691" spans="1:22">
      <c r="A3691" t="str">
        <f t="shared" si="658"/>
        <v>25/09/2025</v>
      </c>
      <c r="B3691" t="str">
        <f t="shared" si="662"/>
        <v>ENTRADA</v>
      </c>
      <c r="C3691" t="str">
        <f t="shared" si="663"/>
        <v>NFSE</v>
      </c>
      <c r="D3691" t="str">
        <f>"3359"</f>
        <v>3359</v>
      </c>
      <c r="E3691" t="str">
        <f t="shared" si="661"/>
        <v>1</v>
      </c>
      <c r="F3691" t="str">
        <f t="shared" si="657"/>
        <v>COM</v>
      </c>
      <c r="G3691" t="str">
        <f>"AC FARMA - CID.ALTA (10166)"</f>
        <v>AC FARMA - CID.ALTA (10166)</v>
      </c>
      <c r="H3691" t="s">
        <v>1054</v>
      </c>
      <c r="I3691" t="str">
        <f t="shared" si="664"/>
        <v>24/09/2025</v>
      </c>
      <c r="J3691" t="str">
        <f>("15/09/2025")</f>
        <v>15/09/2025</v>
      </c>
      <c r="K3691">
        <v>45925</v>
      </c>
      <c r="N3691">
        <v>303</v>
      </c>
      <c r="O3691" t="s">
        <v>69</v>
      </c>
      <c r="Q3691">
        <v>5654.88</v>
      </c>
      <c r="R3691" t="str">
        <f>"AC FARMA - CID.ALTA (10166)"</f>
        <v>AC FARMA - CID.ALTA (10166)</v>
      </c>
      <c r="S3691" t="s">
        <v>70</v>
      </c>
      <c r="T3691">
        <v>22313</v>
      </c>
      <c r="U3691">
        <v>21991</v>
      </c>
      <c r="V3691" t="s">
        <v>22</v>
      </c>
    </row>
    <row r="3692" spans="1:22">
      <c r="A3692" t="str">
        <f t="shared" si="658"/>
        <v>25/09/2025</v>
      </c>
      <c r="B3692" t="str">
        <f t="shared" si="662"/>
        <v>ENTRADA</v>
      </c>
      <c r="C3692" t="str">
        <f t="shared" si="663"/>
        <v>NFSE</v>
      </c>
      <c r="D3692" t="str">
        <f>"3401"</f>
        <v>3401</v>
      </c>
      <c r="E3692" t="str">
        <f t="shared" si="661"/>
        <v>1</v>
      </c>
      <c r="F3692" t="str">
        <f t="shared" si="657"/>
        <v>COM</v>
      </c>
      <c r="G3692" t="str">
        <f>"DROGA HONDA (10149)"</f>
        <v>DROGA HONDA (10149)</v>
      </c>
      <c r="H3692" t="str">
        <f>"Serv.Prest. 15/09/2025 a 21/09/2025 - RPS: 1277 - NFSe: 3401"</f>
        <v>Serv.Prest. 15/09/2025 a 21/09/2025 - RPS: 1277 - NFSe: 3401</v>
      </c>
      <c r="I3692" t="str">
        <f t="shared" si="664"/>
        <v>24/09/2025</v>
      </c>
      <c r="J3692" t="str">
        <f>("23/09/2025")</f>
        <v>23/09/2025</v>
      </c>
      <c r="K3692" t="str">
        <f>("25/09/2025")</f>
        <v>25/09/2025</v>
      </c>
      <c r="L3692">
        <v>1680.76</v>
      </c>
      <c r="M3692">
        <v>1680.76</v>
      </c>
      <c r="N3692">
        <v>303</v>
      </c>
      <c r="O3692" t="str">
        <f>"RECEITAS COM ENTREGAS"</f>
        <v>RECEITAS COM ENTREGAS</v>
      </c>
      <c r="P3692">
        <v>1680.76</v>
      </c>
      <c r="S3692" t="str">
        <f>"RECEITAS COM ENTREGAS (303)"</f>
        <v>RECEITAS COM ENTREGAS (303)</v>
      </c>
      <c r="T3692">
        <v>22314</v>
      </c>
      <c r="U3692">
        <v>22463</v>
      </c>
      <c r="V3692" t="s">
        <v>22</v>
      </c>
    </row>
    <row r="3693" spans="1:22">
      <c r="A3693" t="str">
        <f t="shared" si="658"/>
        <v>25/09/2025</v>
      </c>
      <c r="B3693" t="str">
        <f t="shared" si="662"/>
        <v>ENTRADA</v>
      </c>
      <c r="C3693" t="str">
        <f t="shared" si="663"/>
        <v>NFSE</v>
      </c>
      <c r="D3693" t="str">
        <f>"3401"</f>
        <v>3401</v>
      </c>
      <c r="E3693" t="str">
        <f t="shared" si="661"/>
        <v>1</v>
      </c>
      <c r="F3693" t="str">
        <f t="shared" si="657"/>
        <v>COM</v>
      </c>
      <c r="G3693" t="str">
        <f>"DROGA HONDA (10149)"</f>
        <v>DROGA HONDA (10149)</v>
      </c>
      <c r="H3693" t="s">
        <v>1055</v>
      </c>
      <c r="I3693" t="str">
        <f t="shared" si="664"/>
        <v>24/09/2025</v>
      </c>
      <c r="J3693" t="str">
        <f>("23/09/2025")</f>
        <v>23/09/2025</v>
      </c>
      <c r="K3693">
        <v>45925</v>
      </c>
      <c r="N3693">
        <v>303</v>
      </c>
      <c r="O3693" t="s">
        <v>69</v>
      </c>
      <c r="Q3693">
        <v>1680.76</v>
      </c>
      <c r="R3693" t="str">
        <f>"DROGA HONDA (10149)"</f>
        <v>DROGA HONDA (10149)</v>
      </c>
      <c r="S3693" t="s">
        <v>70</v>
      </c>
      <c r="T3693">
        <v>22314</v>
      </c>
      <c r="U3693">
        <v>22463</v>
      </c>
      <c r="V3693" t="s">
        <v>22</v>
      </c>
    </row>
    <row r="3694" spans="1:22">
      <c r="A3694" t="str">
        <f t="shared" si="658"/>
        <v>25/09/2025</v>
      </c>
      <c r="B3694" t="str">
        <f t="shared" si="662"/>
        <v>ENTRADA</v>
      </c>
      <c r="C3694" t="str">
        <f t="shared" si="663"/>
        <v>NFSE</v>
      </c>
      <c r="D3694" t="str">
        <f>"3361"</f>
        <v>3361</v>
      </c>
      <c r="E3694" t="str">
        <f t="shared" si="661"/>
        <v>1</v>
      </c>
      <c r="F3694" t="str">
        <f t="shared" si="657"/>
        <v>COM</v>
      </c>
      <c r="G3694" t="str">
        <f>"AC FARMA - FLEMINFARMA 5 (10183)"</f>
        <v>AC FARMA - FLEMINFARMA 5 (10183)</v>
      </c>
      <c r="H3694" t="str">
        <f>"Serv.Prest. 08/09/2025 a 14/09/2025 - RPS: 1237 - NFSe: 3361"</f>
        <v>Serv.Prest. 08/09/2025 a 14/09/2025 - RPS: 1237 - NFSe: 3361</v>
      </c>
      <c r="I3694" t="str">
        <f t="shared" si="664"/>
        <v>24/09/2025</v>
      </c>
      <c r="J3694" t="str">
        <f>("15/09/2025")</f>
        <v>15/09/2025</v>
      </c>
      <c r="K3694" t="str">
        <f>("25/09/2025")</f>
        <v>25/09/2025</v>
      </c>
      <c r="L3694">
        <v>650.25</v>
      </c>
      <c r="M3694">
        <v>650.25</v>
      </c>
      <c r="N3694">
        <v>303</v>
      </c>
      <c r="O3694" t="str">
        <f>"RECEITAS COM ENTREGAS"</f>
        <v>RECEITAS COM ENTREGAS</v>
      </c>
      <c r="P3694">
        <v>650.25</v>
      </c>
      <c r="S3694" t="str">
        <f>"RECEITAS COM ENTREGAS (303)"</f>
        <v>RECEITAS COM ENTREGAS (303)</v>
      </c>
      <c r="T3694">
        <v>22315</v>
      </c>
      <c r="U3694">
        <v>22006</v>
      </c>
      <c r="V3694" t="s">
        <v>22</v>
      </c>
    </row>
    <row r="3695" spans="1:22">
      <c r="A3695" t="str">
        <f t="shared" si="658"/>
        <v>25/09/2025</v>
      </c>
      <c r="B3695" t="str">
        <f t="shared" si="662"/>
        <v>ENTRADA</v>
      </c>
      <c r="C3695" t="str">
        <f t="shared" si="663"/>
        <v>NFSE</v>
      </c>
      <c r="D3695" t="str">
        <f>"3361"</f>
        <v>3361</v>
      </c>
      <c r="E3695" t="str">
        <f t="shared" si="661"/>
        <v>1</v>
      </c>
      <c r="F3695" t="str">
        <f t="shared" si="657"/>
        <v>COM</v>
      </c>
      <c r="G3695" t="str">
        <f>"AC FARMA - FLEMINFARMA 5 (10183)"</f>
        <v>AC FARMA - FLEMINFARMA 5 (10183)</v>
      </c>
      <c r="H3695" t="s">
        <v>1056</v>
      </c>
      <c r="I3695" t="str">
        <f t="shared" si="664"/>
        <v>24/09/2025</v>
      </c>
      <c r="J3695" t="str">
        <f>("15/09/2025")</f>
        <v>15/09/2025</v>
      </c>
      <c r="K3695">
        <v>45925</v>
      </c>
      <c r="N3695">
        <v>303</v>
      </c>
      <c r="O3695" t="s">
        <v>69</v>
      </c>
      <c r="Q3695">
        <v>634.97</v>
      </c>
      <c r="R3695" t="str">
        <f>"AC FARMA - FLEMINFARMA 5 (10183)"</f>
        <v>AC FARMA - FLEMINFARMA 5 (10183)</v>
      </c>
      <c r="S3695" t="s">
        <v>70</v>
      </c>
      <c r="T3695">
        <v>22315</v>
      </c>
      <c r="U3695">
        <v>22006</v>
      </c>
      <c r="V3695" t="s">
        <v>22</v>
      </c>
    </row>
    <row r="3696" spans="1:22">
      <c r="A3696" t="str">
        <f t="shared" si="658"/>
        <v>25/09/2025</v>
      </c>
      <c r="B3696" t="str">
        <f t="shared" si="662"/>
        <v>ENTRADA</v>
      </c>
      <c r="C3696" t="str">
        <f t="shared" si="663"/>
        <v>NFSE</v>
      </c>
      <c r="D3696" t="str">
        <f>"3361"</f>
        <v>3361</v>
      </c>
      <c r="E3696" t="str">
        <f t="shared" si="661"/>
        <v>1</v>
      </c>
      <c r="F3696" t="str">
        <f t="shared" si="657"/>
        <v>COM</v>
      </c>
      <c r="G3696" t="str">
        <f>"AC FARMA - FLEMINFARMA 5 (10183)"</f>
        <v>AC FARMA - FLEMINFARMA 5 (10183)</v>
      </c>
      <c r="H3696" t="s">
        <v>1056</v>
      </c>
      <c r="I3696" t="str">
        <f t="shared" si="664"/>
        <v>24/09/2025</v>
      </c>
      <c r="J3696" t="str">
        <f>("15/09/2025")</f>
        <v>15/09/2025</v>
      </c>
      <c r="K3696">
        <v>45925</v>
      </c>
      <c r="N3696">
        <v>303</v>
      </c>
      <c r="O3696" t="s">
        <v>69</v>
      </c>
      <c r="Q3696">
        <v>15.28</v>
      </c>
      <c r="R3696" t="str">
        <f>"AC FARMA - FLEMINFARMA 6 (10184)"</f>
        <v>AC FARMA - FLEMINFARMA 6 (10184)</v>
      </c>
      <c r="S3696" t="s">
        <v>70</v>
      </c>
      <c r="T3696">
        <v>22315</v>
      </c>
      <c r="U3696">
        <v>22006</v>
      </c>
      <c r="V3696" t="s">
        <v>22</v>
      </c>
    </row>
    <row r="3697" spans="1:22">
      <c r="A3697" t="str">
        <f t="shared" si="658"/>
        <v>25/09/2025</v>
      </c>
      <c r="B3697" t="str">
        <f t="shared" si="662"/>
        <v>ENTRADA</v>
      </c>
      <c r="C3697" t="str">
        <f t="shared" si="663"/>
        <v>NFSE</v>
      </c>
      <c r="D3697" t="str">
        <f>"3403"</f>
        <v>3403</v>
      </c>
      <c r="E3697" t="str">
        <f t="shared" si="661"/>
        <v>1</v>
      </c>
      <c r="F3697" t="str">
        <f t="shared" si="657"/>
        <v>COM</v>
      </c>
      <c r="G3697" t="str">
        <f>"FARMACIA ECONOMIZE (10103)"</f>
        <v>FARMACIA ECONOMIZE (10103)</v>
      </c>
      <c r="H3697" t="str">
        <f>"Serv.Prest. 15/09/2025 a 21/09/2025 - RPS: 1279 - NFSe: 3403"</f>
        <v>Serv.Prest. 15/09/2025 a 21/09/2025 - RPS: 1279 - NFSe: 3403</v>
      </c>
      <c r="I3697" t="str">
        <f t="shared" si="664"/>
        <v>24/09/2025</v>
      </c>
      <c r="J3697" t="str">
        <f>("23/09/2025")</f>
        <v>23/09/2025</v>
      </c>
      <c r="K3697" t="str">
        <f>("25/09/2025")</f>
        <v>25/09/2025</v>
      </c>
      <c r="L3697">
        <v>2566.08</v>
      </c>
      <c r="M3697">
        <v>2566.08</v>
      </c>
      <c r="N3697">
        <v>303</v>
      </c>
      <c r="O3697" t="str">
        <f>"RECEITAS COM ENTREGAS"</f>
        <v>RECEITAS COM ENTREGAS</v>
      </c>
      <c r="P3697">
        <v>2566.08</v>
      </c>
      <c r="S3697" t="str">
        <f>"RECEITAS COM ENTREGAS (303)"</f>
        <v>RECEITAS COM ENTREGAS (303)</v>
      </c>
      <c r="T3697">
        <v>22316</v>
      </c>
      <c r="U3697">
        <v>22472</v>
      </c>
      <c r="V3697" t="s">
        <v>22</v>
      </c>
    </row>
    <row r="3698" spans="1:22">
      <c r="A3698" t="str">
        <f t="shared" si="658"/>
        <v>25/09/2025</v>
      </c>
      <c r="B3698" t="str">
        <f t="shared" si="662"/>
        <v>ENTRADA</v>
      </c>
      <c r="C3698" t="str">
        <f t="shared" si="663"/>
        <v>NFSE</v>
      </c>
      <c r="D3698" t="str">
        <f>"3403"</f>
        <v>3403</v>
      </c>
      <c r="E3698" t="str">
        <f t="shared" si="661"/>
        <v>1</v>
      </c>
      <c r="F3698" t="str">
        <f t="shared" si="657"/>
        <v>COM</v>
      </c>
      <c r="G3698" t="str">
        <f>"FARMACIA ECONOMIZE (10103)"</f>
        <v>FARMACIA ECONOMIZE (10103)</v>
      </c>
      <c r="H3698" t="s">
        <v>1057</v>
      </c>
      <c r="I3698" t="str">
        <f t="shared" si="664"/>
        <v>24/09/2025</v>
      </c>
      <c r="J3698" t="str">
        <f>("23/09/2025")</f>
        <v>23/09/2025</v>
      </c>
      <c r="K3698">
        <v>45925</v>
      </c>
      <c r="N3698">
        <v>303</v>
      </c>
      <c r="O3698" t="s">
        <v>69</v>
      </c>
      <c r="Q3698">
        <v>2566.08</v>
      </c>
      <c r="R3698" t="str">
        <f>"FARMACIA ECONOMIZE (10103)"</f>
        <v>FARMACIA ECONOMIZE (10103)</v>
      </c>
      <c r="S3698" t="s">
        <v>70</v>
      </c>
      <c r="T3698">
        <v>22316</v>
      </c>
      <c r="U3698">
        <v>22472</v>
      </c>
      <c r="V3698" t="s">
        <v>22</v>
      </c>
    </row>
    <row r="3699" spans="1:22">
      <c r="A3699" t="str">
        <f t="shared" si="658"/>
        <v>25/09/2025</v>
      </c>
      <c r="B3699" t="str">
        <f t="shared" si="662"/>
        <v>ENTRADA</v>
      </c>
      <c r="C3699" t="str">
        <f t="shared" si="663"/>
        <v>NFSE</v>
      </c>
      <c r="D3699" t="str">
        <f>"3396"</f>
        <v>3396</v>
      </c>
      <c r="E3699" t="str">
        <f t="shared" si="661"/>
        <v>1</v>
      </c>
      <c r="F3699" t="str">
        <f t="shared" si="657"/>
        <v>COM</v>
      </c>
      <c r="G3699" t="str">
        <f>"DROGARIA MORENO LTDA (10171)"</f>
        <v>DROGARIA MORENO LTDA (10171)</v>
      </c>
      <c r="H3699" t="str">
        <f>"Serv.Prest. 15/09/2025 a 21/09/2025 - RPS: 1272 - NFSe: 3396"</f>
        <v>Serv.Prest. 15/09/2025 a 21/09/2025 - RPS: 1272 - NFSe: 3396</v>
      </c>
      <c r="I3699" t="str">
        <f t="shared" si="664"/>
        <v>24/09/2025</v>
      </c>
      <c r="J3699" t="str">
        <f t="shared" ref="J3699:J3712" si="665">("22/09/2025")</f>
        <v>22/09/2025</v>
      </c>
      <c r="K3699" t="str">
        <f>("25/09/2025")</f>
        <v>25/09/2025</v>
      </c>
      <c r="L3699">
        <v>3215.7</v>
      </c>
      <c r="M3699">
        <v>3215.7</v>
      </c>
      <c r="N3699">
        <v>303</v>
      </c>
      <c r="O3699" t="str">
        <f>"RECEITAS COM ENTREGAS"</f>
        <v>RECEITAS COM ENTREGAS</v>
      </c>
      <c r="P3699">
        <v>3215.7</v>
      </c>
      <c r="S3699" t="str">
        <f>"RECEITAS COM ENTREGAS (303)"</f>
        <v>RECEITAS COM ENTREGAS (303)</v>
      </c>
      <c r="T3699">
        <v>22317</v>
      </c>
      <c r="U3699">
        <v>22304</v>
      </c>
      <c r="V3699" t="s">
        <v>22</v>
      </c>
    </row>
    <row r="3700" spans="1:22">
      <c r="A3700" t="str">
        <f t="shared" si="658"/>
        <v>25/09/2025</v>
      </c>
      <c r="B3700" t="str">
        <f t="shared" si="662"/>
        <v>ENTRADA</v>
      </c>
      <c r="C3700" t="str">
        <f t="shared" si="663"/>
        <v>NFSE</v>
      </c>
      <c r="D3700" t="str">
        <f>"3396"</f>
        <v>3396</v>
      </c>
      <c r="E3700" t="str">
        <f t="shared" si="661"/>
        <v>1</v>
      </c>
      <c r="F3700" t="str">
        <f t="shared" si="657"/>
        <v>COM</v>
      </c>
      <c r="G3700" t="str">
        <f>"DROGARIA MORENO LTDA (10171)"</f>
        <v>DROGARIA MORENO LTDA (10171)</v>
      </c>
      <c r="H3700" t="s">
        <v>1058</v>
      </c>
      <c r="I3700" t="str">
        <f t="shared" si="664"/>
        <v>24/09/2025</v>
      </c>
      <c r="J3700" t="str">
        <f t="shared" si="665"/>
        <v>22/09/2025</v>
      </c>
      <c r="K3700">
        <v>45925</v>
      </c>
      <c r="N3700">
        <v>303</v>
      </c>
      <c r="O3700" t="s">
        <v>69</v>
      </c>
      <c r="Q3700">
        <v>3215.7</v>
      </c>
      <c r="R3700" t="str">
        <f>"DROGARIA MORENO LTDA (10171)"</f>
        <v>DROGARIA MORENO LTDA (10171)</v>
      </c>
      <c r="S3700" t="s">
        <v>70</v>
      </c>
      <c r="T3700">
        <v>22317</v>
      </c>
      <c r="U3700">
        <v>22304</v>
      </c>
      <c r="V3700" t="s">
        <v>22</v>
      </c>
    </row>
    <row r="3701" spans="1:22">
      <c r="A3701" t="str">
        <f t="shared" si="658"/>
        <v>25/09/2025</v>
      </c>
      <c r="B3701" t="str">
        <f t="shared" si="662"/>
        <v>ENTRADA</v>
      </c>
      <c r="C3701" t="str">
        <f t="shared" si="663"/>
        <v>NFSE</v>
      </c>
      <c r="D3701" t="str">
        <f>"3389"</f>
        <v>3389</v>
      </c>
      <c r="E3701" t="str">
        <f t="shared" si="661"/>
        <v>1</v>
      </c>
      <c r="F3701" t="str">
        <f t="shared" si="657"/>
        <v>COM</v>
      </c>
      <c r="G3701" t="str">
        <f>"DROGARIA MEDIC CENTER LTDA (10172)"</f>
        <v>DROGARIA MEDIC CENTER LTDA (10172)</v>
      </c>
      <c r="H3701" t="str">
        <f>"Serv.Prest. 15/09/2025 a 21/09/2025 - RPS: 1265 - NFSe: 3389"</f>
        <v>Serv.Prest. 15/09/2025 a 21/09/2025 - RPS: 1265 - NFSe: 3389</v>
      </c>
      <c r="I3701" t="str">
        <f t="shared" si="664"/>
        <v>24/09/2025</v>
      </c>
      <c r="J3701" t="str">
        <f t="shared" si="665"/>
        <v>22/09/2025</v>
      </c>
      <c r="K3701" t="str">
        <f>("25/09/2025")</f>
        <v>25/09/2025</v>
      </c>
      <c r="L3701">
        <v>1101.5999999999999</v>
      </c>
      <c r="M3701">
        <v>1101.5999999999999</v>
      </c>
      <c r="N3701">
        <v>303</v>
      </c>
      <c r="O3701" t="str">
        <f>"RECEITAS COM ENTREGAS"</f>
        <v>RECEITAS COM ENTREGAS</v>
      </c>
      <c r="P3701">
        <v>1101.5999999999999</v>
      </c>
      <c r="S3701" t="str">
        <f>"RECEITAS COM ENTREGAS (303)"</f>
        <v>RECEITAS COM ENTREGAS (303)</v>
      </c>
      <c r="T3701">
        <v>22318</v>
      </c>
      <c r="U3701">
        <v>22276</v>
      </c>
      <c r="V3701" t="s">
        <v>22</v>
      </c>
    </row>
    <row r="3702" spans="1:22">
      <c r="A3702" t="str">
        <f t="shared" si="658"/>
        <v>25/09/2025</v>
      </c>
      <c r="B3702" t="str">
        <f t="shared" si="662"/>
        <v>ENTRADA</v>
      </c>
      <c r="C3702" t="str">
        <f t="shared" si="663"/>
        <v>NFSE</v>
      </c>
      <c r="D3702" t="str">
        <f>"3389"</f>
        <v>3389</v>
      </c>
      <c r="E3702" t="str">
        <f t="shared" si="661"/>
        <v>1</v>
      </c>
      <c r="F3702" t="str">
        <f t="shared" si="657"/>
        <v>COM</v>
      </c>
      <c r="G3702" t="str">
        <f>"DROGARIA MEDIC CENTER LTDA (10172)"</f>
        <v>DROGARIA MEDIC CENTER LTDA (10172)</v>
      </c>
      <c r="H3702" t="s">
        <v>1059</v>
      </c>
      <c r="I3702" t="str">
        <f t="shared" si="664"/>
        <v>24/09/2025</v>
      </c>
      <c r="J3702" t="str">
        <f t="shared" si="665"/>
        <v>22/09/2025</v>
      </c>
      <c r="K3702">
        <v>45925</v>
      </c>
      <c r="N3702">
        <v>303</v>
      </c>
      <c r="O3702" t="s">
        <v>69</v>
      </c>
      <c r="Q3702">
        <v>1101.5999999999999</v>
      </c>
      <c r="R3702" t="str">
        <f>"DROGARIA MEDIC CENTER LTDA (10172)"</f>
        <v>DROGARIA MEDIC CENTER LTDA (10172)</v>
      </c>
      <c r="S3702" t="s">
        <v>70</v>
      </c>
      <c r="T3702">
        <v>22318</v>
      </c>
      <c r="U3702">
        <v>22276</v>
      </c>
      <c r="V3702" t="s">
        <v>22</v>
      </c>
    </row>
    <row r="3703" spans="1:22">
      <c r="A3703" t="str">
        <f t="shared" si="658"/>
        <v>25/09/2025</v>
      </c>
      <c r="B3703" t="str">
        <f t="shared" si="662"/>
        <v>ENTRADA</v>
      </c>
      <c r="C3703" t="str">
        <f t="shared" si="663"/>
        <v>NFSE</v>
      </c>
      <c r="D3703" t="str">
        <f>"3382"</f>
        <v>3382</v>
      </c>
      <c r="E3703" t="str">
        <f t="shared" si="661"/>
        <v>1</v>
      </c>
      <c r="F3703" t="str">
        <f t="shared" si="657"/>
        <v>COM</v>
      </c>
      <c r="G3703" t="str">
        <f>"ENTREFARMA (10164)"</f>
        <v>ENTREFARMA (10164)</v>
      </c>
      <c r="H3703" t="str">
        <f>"Serv.Prest. 15/09/2025 a 21/09/2025 - RPS: 1258 - NFSe: 3382"</f>
        <v>Serv.Prest. 15/09/2025 a 21/09/2025 - RPS: 1258 - NFSe: 3382</v>
      </c>
      <c r="I3703" t="str">
        <f t="shared" si="664"/>
        <v>24/09/2025</v>
      </c>
      <c r="J3703" t="str">
        <f t="shared" si="665"/>
        <v>22/09/2025</v>
      </c>
      <c r="K3703" t="str">
        <f>("25/09/2025")</f>
        <v>25/09/2025</v>
      </c>
      <c r="L3703">
        <v>6596.43</v>
      </c>
      <c r="M3703">
        <v>6596.43</v>
      </c>
      <c r="N3703">
        <v>303</v>
      </c>
      <c r="O3703" t="str">
        <f>"RECEITAS COM ENTREGAS"</f>
        <v>RECEITAS COM ENTREGAS</v>
      </c>
      <c r="P3703">
        <v>6596.43</v>
      </c>
      <c r="S3703" t="str">
        <f>"RECEITAS COM ENTREGAS (303)"</f>
        <v>RECEITAS COM ENTREGAS (303)</v>
      </c>
      <c r="T3703">
        <v>22319</v>
      </c>
      <c r="U3703">
        <v>22255</v>
      </c>
      <c r="V3703" t="s">
        <v>22</v>
      </c>
    </row>
    <row r="3704" spans="1:22">
      <c r="A3704" t="str">
        <f t="shared" si="658"/>
        <v>25/09/2025</v>
      </c>
      <c r="B3704" t="str">
        <f t="shared" si="662"/>
        <v>ENTRADA</v>
      </c>
      <c r="C3704" t="str">
        <f t="shared" si="663"/>
        <v>NFSE</v>
      </c>
      <c r="D3704" t="str">
        <f>"3382"</f>
        <v>3382</v>
      </c>
      <c r="E3704" t="str">
        <f t="shared" si="661"/>
        <v>1</v>
      </c>
      <c r="F3704" t="str">
        <f t="shared" si="657"/>
        <v>COM</v>
      </c>
      <c r="G3704" t="str">
        <f>"ENTREFARMA (10164)"</f>
        <v>ENTREFARMA (10164)</v>
      </c>
      <c r="H3704" t="s">
        <v>1060</v>
      </c>
      <c r="I3704" t="str">
        <f t="shared" si="664"/>
        <v>24/09/2025</v>
      </c>
      <c r="J3704" t="str">
        <f t="shared" si="665"/>
        <v>22/09/2025</v>
      </c>
      <c r="K3704">
        <v>45925</v>
      </c>
      <c r="N3704">
        <v>303</v>
      </c>
      <c r="O3704" t="s">
        <v>69</v>
      </c>
      <c r="Q3704">
        <v>6596.43</v>
      </c>
      <c r="R3704" t="str">
        <f>"ENTREFARMA (10164)"</f>
        <v>ENTREFARMA (10164)</v>
      </c>
      <c r="S3704" t="s">
        <v>70</v>
      </c>
      <c r="T3704">
        <v>22319</v>
      </c>
      <c r="U3704">
        <v>22255</v>
      </c>
      <c r="V3704" t="s">
        <v>22</v>
      </c>
    </row>
    <row r="3705" spans="1:22">
      <c r="A3705" t="str">
        <f t="shared" si="658"/>
        <v>25/09/2025</v>
      </c>
      <c r="B3705" t="str">
        <f t="shared" si="662"/>
        <v>ENTRADA</v>
      </c>
      <c r="C3705" t="str">
        <f t="shared" si="663"/>
        <v>NFSE</v>
      </c>
      <c r="D3705" t="str">
        <f>"3384"</f>
        <v>3384</v>
      </c>
      <c r="E3705" t="str">
        <f t="shared" si="661"/>
        <v>1</v>
      </c>
      <c r="F3705" t="str">
        <f t="shared" si="657"/>
        <v>COM</v>
      </c>
      <c r="G3705" t="str">
        <f>"DROGA ELIDA (10121)"</f>
        <v>DROGA ELIDA (10121)</v>
      </c>
      <c r="H3705" t="str">
        <f>"Serv.Prest. 15/09/2025 a 21/09/2025 - RPS: 1260 - NFSe: 3384"</f>
        <v>Serv.Prest. 15/09/2025 a 21/09/2025 - RPS: 1260 - NFSe: 3384</v>
      </c>
      <c r="I3705" t="str">
        <f t="shared" si="664"/>
        <v>24/09/2025</v>
      </c>
      <c r="J3705" t="str">
        <f t="shared" si="665"/>
        <v>22/09/2025</v>
      </c>
      <c r="K3705" t="str">
        <f>("25/09/2025")</f>
        <v>25/09/2025</v>
      </c>
      <c r="L3705">
        <v>1839.6</v>
      </c>
      <c r="M3705">
        <v>1839.6</v>
      </c>
      <c r="N3705">
        <v>303</v>
      </c>
      <c r="O3705" t="str">
        <f>"RECEITAS COM ENTREGAS"</f>
        <v>RECEITAS COM ENTREGAS</v>
      </c>
      <c r="P3705">
        <v>1839.6</v>
      </c>
      <c r="S3705" t="str">
        <f>"RECEITAS COM ENTREGAS (303)"</f>
        <v>RECEITAS COM ENTREGAS (303)</v>
      </c>
      <c r="T3705">
        <v>22320</v>
      </c>
      <c r="U3705">
        <v>22263</v>
      </c>
      <c r="V3705" t="s">
        <v>22</v>
      </c>
    </row>
    <row r="3706" spans="1:22">
      <c r="A3706" t="str">
        <f t="shared" si="658"/>
        <v>25/09/2025</v>
      </c>
      <c r="B3706" t="str">
        <f t="shared" si="662"/>
        <v>ENTRADA</v>
      </c>
      <c r="C3706" t="str">
        <f t="shared" si="663"/>
        <v>NFSE</v>
      </c>
      <c r="D3706" t="str">
        <f>"3384"</f>
        <v>3384</v>
      </c>
      <c r="E3706" t="str">
        <f t="shared" si="661"/>
        <v>1</v>
      </c>
      <c r="F3706" t="str">
        <f t="shared" si="657"/>
        <v>COM</v>
      </c>
      <c r="G3706" t="str">
        <f>"DROGA ELIDA (10121)"</f>
        <v>DROGA ELIDA (10121)</v>
      </c>
      <c r="H3706" t="s">
        <v>1061</v>
      </c>
      <c r="I3706" t="str">
        <f t="shared" si="664"/>
        <v>24/09/2025</v>
      </c>
      <c r="J3706" t="str">
        <f t="shared" si="665"/>
        <v>22/09/2025</v>
      </c>
      <c r="K3706">
        <v>45925</v>
      </c>
      <c r="N3706">
        <v>303</v>
      </c>
      <c r="O3706" t="s">
        <v>69</v>
      </c>
      <c r="Q3706">
        <v>1839.6</v>
      </c>
      <c r="R3706" t="str">
        <f>"DROGA ELIDA (10121)"</f>
        <v>DROGA ELIDA (10121)</v>
      </c>
      <c r="S3706" t="s">
        <v>70</v>
      </c>
      <c r="T3706">
        <v>22320</v>
      </c>
      <c r="U3706">
        <v>22263</v>
      </c>
      <c r="V3706" t="s">
        <v>22</v>
      </c>
    </row>
    <row r="3707" spans="1:22">
      <c r="A3707" t="str">
        <f t="shared" si="658"/>
        <v>25/09/2025</v>
      </c>
      <c r="B3707" t="str">
        <f t="shared" si="662"/>
        <v>ENTRADA</v>
      </c>
      <c r="C3707" t="str">
        <f t="shared" si="663"/>
        <v>NFSE</v>
      </c>
      <c r="D3707" t="str">
        <f>"3377"</f>
        <v>3377</v>
      </c>
      <c r="E3707" t="str">
        <f t="shared" si="661"/>
        <v>1</v>
      </c>
      <c r="F3707" t="str">
        <f t="shared" si="657"/>
        <v>COM</v>
      </c>
      <c r="G3707" t="str">
        <f>"BRASIL FARMA (10173)"</f>
        <v>BRASIL FARMA (10173)</v>
      </c>
      <c r="H3707" t="str">
        <f>"Serv.Prest. 15/09/2025 a 21/09/2025 - RPS: 1253 - NFSe: 3377"</f>
        <v>Serv.Prest. 15/09/2025 a 21/09/2025 - RPS: 1253 - NFSe: 3377</v>
      </c>
      <c r="I3707" t="str">
        <f t="shared" si="664"/>
        <v>24/09/2025</v>
      </c>
      <c r="J3707" t="str">
        <f t="shared" si="665"/>
        <v>22/09/2025</v>
      </c>
      <c r="K3707" t="str">
        <f>("25/09/2025")</f>
        <v>25/09/2025</v>
      </c>
      <c r="L3707">
        <v>1685.04</v>
      </c>
      <c r="M3707">
        <v>1685.04</v>
      </c>
      <c r="N3707">
        <v>303</v>
      </c>
      <c r="O3707" t="str">
        <f>"RECEITAS COM ENTREGAS"</f>
        <v>RECEITAS COM ENTREGAS</v>
      </c>
      <c r="P3707">
        <v>1685.04</v>
      </c>
      <c r="S3707" t="str">
        <f>"RECEITAS COM ENTREGAS (303)"</f>
        <v>RECEITAS COM ENTREGAS (303)</v>
      </c>
      <c r="T3707">
        <v>22321</v>
      </c>
      <c r="U3707">
        <v>22235</v>
      </c>
      <c r="V3707" t="s">
        <v>22</v>
      </c>
    </row>
    <row r="3708" spans="1:22">
      <c r="A3708" t="str">
        <f t="shared" si="658"/>
        <v>25/09/2025</v>
      </c>
      <c r="B3708" t="str">
        <f t="shared" si="662"/>
        <v>ENTRADA</v>
      </c>
      <c r="C3708" t="str">
        <f t="shared" si="663"/>
        <v>NFSE</v>
      </c>
      <c r="D3708" t="str">
        <f>"3377"</f>
        <v>3377</v>
      </c>
      <c r="E3708" t="str">
        <f t="shared" si="661"/>
        <v>1</v>
      </c>
      <c r="F3708" t="str">
        <f t="shared" si="657"/>
        <v>COM</v>
      </c>
      <c r="G3708" t="str">
        <f>"BRASIL FARMA (10173)"</f>
        <v>BRASIL FARMA (10173)</v>
      </c>
      <c r="H3708" t="s">
        <v>1062</v>
      </c>
      <c r="I3708" t="str">
        <f t="shared" si="664"/>
        <v>24/09/2025</v>
      </c>
      <c r="J3708" t="str">
        <f t="shared" si="665"/>
        <v>22/09/2025</v>
      </c>
      <c r="K3708">
        <v>45925</v>
      </c>
      <c r="N3708">
        <v>303</v>
      </c>
      <c r="O3708" t="s">
        <v>69</v>
      </c>
      <c r="Q3708">
        <v>1685.04</v>
      </c>
      <c r="R3708" t="str">
        <f>"BRASIL FARMA (10173)"</f>
        <v>BRASIL FARMA (10173)</v>
      </c>
      <c r="S3708" t="s">
        <v>70</v>
      </c>
      <c r="T3708">
        <v>22321</v>
      </c>
      <c r="U3708">
        <v>22235</v>
      </c>
      <c r="V3708" t="s">
        <v>22</v>
      </c>
    </row>
    <row r="3709" spans="1:22">
      <c r="A3709" t="str">
        <f t="shared" si="658"/>
        <v>25/09/2025</v>
      </c>
      <c r="B3709" t="str">
        <f t="shared" si="662"/>
        <v>ENTRADA</v>
      </c>
      <c r="C3709" t="str">
        <f t="shared" si="663"/>
        <v>NFSE</v>
      </c>
      <c r="D3709" t="str">
        <f>"3385"</f>
        <v>3385</v>
      </c>
      <c r="E3709" t="str">
        <f t="shared" si="661"/>
        <v>1</v>
      </c>
      <c r="F3709" t="str">
        <f t="shared" si="657"/>
        <v>COM</v>
      </c>
      <c r="G3709" t="str">
        <f>"DROGARIA VAZ (10179)"</f>
        <v>DROGARIA VAZ (10179)</v>
      </c>
      <c r="H3709" t="str">
        <f>"Serv.Prest. 15/09/2025 a 21/09/2025 - RPS: 1261 - NFSe: 3385"</f>
        <v>Serv.Prest. 15/09/2025 a 21/09/2025 - RPS: 1261 - NFSe: 3385</v>
      </c>
      <c r="I3709" t="str">
        <f t="shared" si="664"/>
        <v>24/09/2025</v>
      </c>
      <c r="J3709" t="str">
        <f t="shared" si="665"/>
        <v>22/09/2025</v>
      </c>
      <c r="K3709" t="str">
        <f>("25/09/2025")</f>
        <v>25/09/2025</v>
      </c>
      <c r="L3709">
        <v>971.57</v>
      </c>
      <c r="M3709">
        <v>971.57</v>
      </c>
      <c r="N3709">
        <v>303</v>
      </c>
      <c r="O3709" t="str">
        <f>"RECEITAS COM ENTREGAS"</f>
        <v>RECEITAS COM ENTREGAS</v>
      </c>
      <c r="P3709">
        <v>971.57</v>
      </c>
      <c r="S3709" t="str">
        <f>"RECEITAS COM ENTREGAS (303)"</f>
        <v>RECEITAS COM ENTREGAS (303)</v>
      </c>
      <c r="T3709">
        <v>22322</v>
      </c>
      <c r="U3709">
        <v>22265</v>
      </c>
      <c r="V3709" t="s">
        <v>22</v>
      </c>
    </row>
    <row r="3710" spans="1:22">
      <c r="A3710" t="str">
        <f t="shared" si="658"/>
        <v>25/09/2025</v>
      </c>
      <c r="B3710" t="str">
        <f t="shared" si="662"/>
        <v>ENTRADA</v>
      </c>
      <c r="C3710" t="str">
        <f t="shared" si="663"/>
        <v>NFSE</v>
      </c>
      <c r="D3710" t="str">
        <f>"3385"</f>
        <v>3385</v>
      </c>
      <c r="E3710" t="str">
        <f t="shared" si="661"/>
        <v>1</v>
      </c>
      <c r="F3710" t="str">
        <f t="shared" si="657"/>
        <v>COM</v>
      </c>
      <c r="G3710" t="str">
        <f>"DROGARIA VAZ (10179)"</f>
        <v>DROGARIA VAZ (10179)</v>
      </c>
      <c r="H3710" t="s">
        <v>1063</v>
      </c>
      <c r="I3710" t="str">
        <f t="shared" si="664"/>
        <v>24/09/2025</v>
      </c>
      <c r="J3710" t="str">
        <f t="shared" si="665"/>
        <v>22/09/2025</v>
      </c>
      <c r="K3710">
        <v>45925</v>
      </c>
      <c r="N3710">
        <v>303</v>
      </c>
      <c r="O3710" t="s">
        <v>69</v>
      </c>
      <c r="Q3710">
        <v>971.57</v>
      </c>
      <c r="R3710" t="str">
        <f>"DROGARIA VAZ (10179)"</f>
        <v>DROGARIA VAZ (10179)</v>
      </c>
      <c r="S3710" t="s">
        <v>70</v>
      </c>
      <c r="T3710">
        <v>22322</v>
      </c>
      <c r="U3710">
        <v>22265</v>
      </c>
      <c r="V3710" t="s">
        <v>22</v>
      </c>
    </row>
    <row r="3711" spans="1:22">
      <c r="A3711" t="str">
        <f t="shared" si="658"/>
        <v>25/09/2025</v>
      </c>
      <c r="B3711" t="str">
        <f t="shared" si="662"/>
        <v>ENTRADA</v>
      </c>
      <c r="C3711" t="str">
        <f t="shared" si="663"/>
        <v>NFSE</v>
      </c>
      <c r="D3711" t="str">
        <f>"3381"</f>
        <v>3381</v>
      </c>
      <c r="E3711" t="str">
        <f t="shared" si="661"/>
        <v>1</v>
      </c>
      <c r="F3711" t="str">
        <f t="shared" si="657"/>
        <v>COM</v>
      </c>
      <c r="G3711" t="str">
        <f>"DROGARIA TOTAL JUNDIAI (10177)"</f>
        <v>DROGARIA TOTAL JUNDIAI (10177)</v>
      </c>
      <c r="H3711" t="str">
        <f>"Serv.Prest. 15/09/2025 a 21/09/2025 - RPS: 1257 - NFSe: 3381"</f>
        <v>Serv.Prest. 15/09/2025 a 21/09/2025 - RPS: 1257 - NFSe: 3381</v>
      </c>
      <c r="I3711" t="str">
        <f t="shared" si="664"/>
        <v>24/09/2025</v>
      </c>
      <c r="J3711" t="str">
        <f t="shared" si="665"/>
        <v>22/09/2025</v>
      </c>
      <c r="K3711" t="str">
        <f>("25/09/2025")</f>
        <v>25/09/2025</v>
      </c>
      <c r="L3711">
        <v>902.42</v>
      </c>
      <c r="M3711">
        <v>902.42</v>
      </c>
      <c r="N3711">
        <v>303</v>
      </c>
      <c r="O3711" t="str">
        <f>"RECEITAS COM ENTREGAS"</f>
        <v>RECEITAS COM ENTREGAS</v>
      </c>
      <c r="P3711">
        <v>902.42</v>
      </c>
      <c r="S3711" t="str">
        <f>"RECEITAS COM ENTREGAS (303)"</f>
        <v>RECEITAS COM ENTREGAS (303)</v>
      </c>
      <c r="T3711">
        <v>22323</v>
      </c>
      <c r="U3711">
        <v>22251</v>
      </c>
      <c r="V3711" t="s">
        <v>22</v>
      </c>
    </row>
    <row r="3712" spans="1:22">
      <c r="A3712" t="str">
        <f t="shared" si="658"/>
        <v>25/09/2025</v>
      </c>
      <c r="B3712" t="str">
        <f t="shared" si="662"/>
        <v>ENTRADA</v>
      </c>
      <c r="C3712" t="str">
        <f t="shared" si="663"/>
        <v>NFSE</v>
      </c>
      <c r="D3712" t="str">
        <f>"3381"</f>
        <v>3381</v>
      </c>
      <c r="E3712" t="str">
        <f t="shared" si="661"/>
        <v>1</v>
      </c>
      <c r="F3712" t="str">
        <f t="shared" si="657"/>
        <v>COM</v>
      </c>
      <c r="G3712" t="str">
        <f>"DROGARIA TOTAL JUNDIAI (10177)"</f>
        <v>DROGARIA TOTAL JUNDIAI (10177)</v>
      </c>
      <c r="H3712" t="s">
        <v>1064</v>
      </c>
      <c r="I3712" t="str">
        <f t="shared" si="664"/>
        <v>24/09/2025</v>
      </c>
      <c r="J3712" t="str">
        <f t="shared" si="665"/>
        <v>22/09/2025</v>
      </c>
      <c r="K3712">
        <v>45925</v>
      </c>
      <c r="N3712">
        <v>303</v>
      </c>
      <c r="O3712" t="s">
        <v>69</v>
      </c>
      <c r="Q3712">
        <v>902.42</v>
      </c>
      <c r="R3712" t="str">
        <f>"DROGARIA TOTAL JUNDIAI (10177)"</f>
        <v>DROGARIA TOTAL JUNDIAI (10177)</v>
      </c>
      <c r="S3712" t="s">
        <v>70</v>
      </c>
      <c r="T3712">
        <v>22323</v>
      </c>
      <c r="U3712">
        <v>22251</v>
      </c>
      <c r="V3712" t="s">
        <v>22</v>
      </c>
    </row>
    <row r="3713" spans="1:22">
      <c r="A3713" t="str">
        <f t="shared" si="658"/>
        <v>25/09/2025</v>
      </c>
      <c r="B3713" t="str">
        <f>"SAÍDA"</f>
        <v>SAÍDA</v>
      </c>
      <c r="C3713" t="str">
        <f t="shared" ref="C3713:C3718" si="666">"TRANSFERENCIA"</f>
        <v>TRANSFERENCIA</v>
      </c>
      <c r="D3713" t="str">
        <f>""</f>
        <v/>
      </c>
      <c r="F3713" t="str">
        <f t="shared" ref="F3713:F3718" si="667">"TRF"</f>
        <v>TRF</v>
      </c>
      <c r="G3713" t="str">
        <f>""</f>
        <v/>
      </c>
      <c r="H3713" t="str">
        <f>"TRANSFERENCIA ENTRE BANCOS (102-&gt;149)"</f>
        <v>TRANSFERENCIA ENTRE BANCOS (102-&gt;149)</v>
      </c>
      <c r="I3713" t="str">
        <f t="shared" ref="I3713:K3718" si="668">("25/09/2025")</f>
        <v>25/09/2025</v>
      </c>
      <c r="J3713" t="str">
        <f t="shared" si="668"/>
        <v>25/09/2025</v>
      </c>
      <c r="K3713" t="str">
        <f t="shared" si="668"/>
        <v>25/09/2025</v>
      </c>
      <c r="N3713">
        <v>102</v>
      </c>
      <c r="O3713" t="str">
        <f>"BANCO CORA"</f>
        <v>BANCO CORA</v>
      </c>
      <c r="P3713">
        <v>12461.64</v>
      </c>
      <c r="S3713" t="str">
        <f>"BANCO CORA (102)"</f>
        <v>BANCO CORA (102)</v>
      </c>
      <c r="T3713">
        <v>22324</v>
      </c>
      <c r="U3713">
        <v>0</v>
      </c>
      <c r="V3713" t="s">
        <v>22</v>
      </c>
    </row>
    <row r="3714" spans="1:22">
      <c r="A3714" t="str">
        <f t="shared" si="658"/>
        <v>25/09/2025</v>
      </c>
      <c r="B3714" t="str">
        <f>"ENTRADA"</f>
        <v>ENTRADA</v>
      </c>
      <c r="C3714" t="str">
        <f t="shared" si="666"/>
        <v>TRANSFERENCIA</v>
      </c>
      <c r="D3714" t="str">
        <f>""</f>
        <v/>
      </c>
      <c r="F3714" t="str">
        <f t="shared" si="667"/>
        <v>TRF</v>
      </c>
      <c r="G3714" t="str">
        <f>""</f>
        <v/>
      </c>
      <c r="H3714" t="str">
        <f>"TRANSFERENCIA ENTRE BANCOS (102-&gt;149)"</f>
        <v>TRANSFERENCIA ENTRE BANCOS (102-&gt;149)</v>
      </c>
      <c r="I3714" t="str">
        <f t="shared" si="668"/>
        <v>25/09/2025</v>
      </c>
      <c r="J3714" t="str">
        <f t="shared" si="668"/>
        <v>25/09/2025</v>
      </c>
      <c r="K3714" t="str">
        <f t="shared" si="668"/>
        <v>25/09/2025</v>
      </c>
      <c r="N3714">
        <v>149</v>
      </c>
      <c r="O3714" t="str">
        <f>"BANCO C6"</f>
        <v>BANCO C6</v>
      </c>
      <c r="S3714" t="str">
        <f>"BANCO C6 (149)"</f>
        <v>BANCO C6 (149)</v>
      </c>
      <c r="T3714">
        <v>22324</v>
      </c>
      <c r="U3714">
        <v>0</v>
      </c>
      <c r="V3714" t="s">
        <v>77</v>
      </c>
    </row>
    <row r="3715" spans="1:22">
      <c r="A3715" t="str">
        <f t="shared" si="658"/>
        <v>25/09/2025</v>
      </c>
      <c r="B3715" t="str">
        <f>"SAÍDA"</f>
        <v>SAÍDA</v>
      </c>
      <c r="C3715" t="str">
        <f t="shared" si="666"/>
        <v>TRANSFERENCIA</v>
      </c>
      <c r="D3715" t="str">
        <f>""</f>
        <v/>
      </c>
      <c r="F3715" t="str">
        <f t="shared" si="667"/>
        <v>TRF</v>
      </c>
      <c r="G3715" t="str">
        <f>""</f>
        <v/>
      </c>
      <c r="H3715" t="str">
        <f>"TRANSFERENCIA ENTRE BANCOS  (102-&gt;149)"</f>
        <v>TRANSFERENCIA ENTRE BANCOS  (102-&gt;149)</v>
      </c>
      <c r="I3715" t="str">
        <f t="shared" si="668"/>
        <v>25/09/2025</v>
      </c>
      <c r="J3715" t="str">
        <f t="shared" si="668"/>
        <v>25/09/2025</v>
      </c>
      <c r="K3715" t="str">
        <f t="shared" si="668"/>
        <v>25/09/2025</v>
      </c>
      <c r="N3715">
        <v>102</v>
      </c>
      <c r="O3715" t="str">
        <f>"BANCO CORA"</f>
        <v>BANCO CORA</v>
      </c>
      <c r="P3715">
        <v>10000</v>
      </c>
      <c r="S3715" t="str">
        <f>"BANCO CORA (102)"</f>
        <v>BANCO CORA (102)</v>
      </c>
      <c r="T3715">
        <v>22325</v>
      </c>
      <c r="U3715">
        <v>0</v>
      </c>
      <c r="V3715" t="s">
        <v>22</v>
      </c>
    </row>
    <row r="3716" spans="1:22">
      <c r="A3716" t="str">
        <f t="shared" si="658"/>
        <v>25/09/2025</v>
      </c>
      <c r="B3716" t="str">
        <f>"ENTRADA"</f>
        <v>ENTRADA</v>
      </c>
      <c r="C3716" t="str">
        <f t="shared" si="666"/>
        <v>TRANSFERENCIA</v>
      </c>
      <c r="D3716" t="str">
        <f>""</f>
        <v/>
      </c>
      <c r="F3716" t="str">
        <f t="shared" si="667"/>
        <v>TRF</v>
      </c>
      <c r="G3716" t="str">
        <f>""</f>
        <v/>
      </c>
      <c r="H3716" t="str">
        <f>"TRANSFERENCIA ENTRE BANCOS  (102-&gt;149)"</f>
        <v>TRANSFERENCIA ENTRE BANCOS  (102-&gt;149)</v>
      </c>
      <c r="I3716" t="str">
        <f t="shared" si="668"/>
        <v>25/09/2025</v>
      </c>
      <c r="J3716" t="str">
        <f t="shared" si="668"/>
        <v>25/09/2025</v>
      </c>
      <c r="K3716" t="str">
        <f t="shared" si="668"/>
        <v>25/09/2025</v>
      </c>
      <c r="N3716">
        <v>149</v>
      </c>
      <c r="O3716" t="str">
        <f>"BANCO C6"</f>
        <v>BANCO C6</v>
      </c>
      <c r="S3716" t="str">
        <f>"BANCO C6 (149)"</f>
        <v>BANCO C6 (149)</v>
      </c>
      <c r="T3716">
        <v>22325</v>
      </c>
      <c r="U3716">
        <v>0</v>
      </c>
      <c r="V3716" t="s">
        <v>77</v>
      </c>
    </row>
    <row r="3717" spans="1:22">
      <c r="A3717" t="str">
        <f t="shared" si="658"/>
        <v>25/09/2025</v>
      </c>
      <c r="B3717" t="str">
        <f>"SAÍDA"</f>
        <v>SAÍDA</v>
      </c>
      <c r="C3717" t="str">
        <f t="shared" si="666"/>
        <v>TRANSFERENCIA</v>
      </c>
      <c r="D3717" t="str">
        <f>""</f>
        <v/>
      </c>
      <c r="F3717" t="str">
        <f t="shared" si="667"/>
        <v>TRF</v>
      </c>
      <c r="G3717" t="str">
        <f>""</f>
        <v/>
      </c>
      <c r="H3717" t="str">
        <f>"TRANSFERENCIA ENTRE BANCOS (102-&gt;149)"</f>
        <v>TRANSFERENCIA ENTRE BANCOS (102-&gt;149)</v>
      </c>
      <c r="I3717" t="str">
        <f t="shared" si="668"/>
        <v>25/09/2025</v>
      </c>
      <c r="J3717" t="str">
        <f t="shared" si="668"/>
        <v>25/09/2025</v>
      </c>
      <c r="K3717" t="str">
        <f t="shared" si="668"/>
        <v>25/09/2025</v>
      </c>
      <c r="N3717">
        <v>102</v>
      </c>
      <c r="O3717" t="str">
        <f>"BANCO CORA"</f>
        <v>BANCO CORA</v>
      </c>
      <c r="P3717">
        <v>10000</v>
      </c>
      <c r="S3717" t="str">
        <f>"BANCO CORA (102)"</f>
        <v>BANCO CORA (102)</v>
      </c>
      <c r="T3717">
        <v>22326</v>
      </c>
      <c r="U3717">
        <v>0</v>
      </c>
      <c r="V3717" t="s">
        <v>22</v>
      </c>
    </row>
    <row r="3718" spans="1:22">
      <c r="A3718" t="str">
        <f t="shared" si="658"/>
        <v>25/09/2025</v>
      </c>
      <c r="B3718" t="str">
        <f>"ENTRADA"</f>
        <v>ENTRADA</v>
      </c>
      <c r="C3718" t="str">
        <f t="shared" si="666"/>
        <v>TRANSFERENCIA</v>
      </c>
      <c r="D3718" t="str">
        <f>""</f>
        <v/>
      </c>
      <c r="F3718" t="str">
        <f t="shared" si="667"/>
        <v>TRF</v>
      </c>
      <c r="G3718" t="str">
        <f>""</f>
        <v/>
      </c>
      <c r="H3718" t="str">
        <f>"TRANSFERENCIA ENTRE BANCOS (102-&gt;149)"</f>
        <v>TRANSFERENCIA ENTRE BANCOS (102-&gt;149)</v>
      </c>
      <c r="I3718" t="str">
        <f t="shared" si="668"/>
        <v>25/09/2025</v>
      </c>
      <c r="J3718" t="str">
        <f t="shared" si="668"/>
        <v>25/09/2025</v>
      </c>
      <c r="K3718" t="str">
        <f t="shared" si="668"/>
        <v>25/09/2025</v>
      </c>
      <c r="N3718">
        <v>149</v>
      </c>
      <c r="O3718" t="str">
        <f>"BANCO C6"</f>
        <v>BANCO C6</v>
      </c>
      <c r="S3718" t="str">
        <f>"BANCO C6 (149)"</f>
        <v>BANCO C6 (149)</v>
      </c>
      <c r="T3718">
        <v>22326</v>
      </c>
      <c r="U3718">
        <v>0</v>
      </c>
      <c r="V3718" t="s">
        <v>77</v>
      </c>
    </row>
    <row r="3719" spans="1:22">
      <c r="A3719" t="str">
        <f t="shared" si="658"/>
        <v>25/09/2025</v>
      </c>
      <c r="B3719" t="str">
        <f t="shared" ref="B3719:B3748" si="669">"SAÍDA"</f>
        <v>SAÍDA</v>
      </c>
      <c r="C3719" t="str">
        <f t="shared" ref="C3719:C3748" si="670">"CONHECIMENTO"</f>
        <v>CONHECIMENTO</v>
      </c>
      <c r="D3719" t="str">
        <f t="shared" ref="D3719:D3748" si="671">"01092025"</f>
        <v>01092025</v>
      </c>
      <c r="E3719" t="str">
        <f>"2"</f>
        <v>2</v>
      </c>
      <c r="F3719" t="str">
        <f t="shared" ref="F3719:F3762" si="672">"COM"</f>
        <v>COM</v>
      </c>
      <c r="G3719" t="str">
        <f t="shared" ref="G3719:G3748" si="673">"CORA SOCIEDADE DE CREDITO, FINANCIAMENTO E INVESTIMENTO (20035)"</f>
        <v>CORA SOCIEDADE DE CREDITO, FINANCIAMENTO E INVESTIMENTO (20035)</v>
      </c>
      <c r="H3719" t="str">
        <f>"TAXA BOLETO "</f>
        <v xml:space="preserve">TAXA BOLETO </v>
      </c>
      <c r="I3719" t="str">
        <f t="shared" ref="I3719:I3752" si="674">("25/09/2025")</f>
        <v>25/09/2025</v>
      </c>
      <c r="J3719" t="str">
        <f t="shared" ref="J3719:J3748" si="675">("01/09/2025")</f>
        <v>01/09/2025</v>
      </c>
      <c r="K3719" t="str">
        <f>("25/09/2025")</f>
        <v>25/09/2025</v>
      </c>
      <c r="L3719">
        <v>0.3</v>
      </c>
      <c r="M3719">
        <v>0.3</v>
      </c>
      <c r="N3719">
        <v>401</v>
      </c>
      <c r="O3719" t="str">
        <f>"IOF/JUROS/DESP.FINANCEIRA"</f>
        <v>IOF/JUROS/DESP.FINANCEIRA</v>
      </c>
      <c r="P3719">
        <v>0.3</v>
      </c>
      <c r="S3719" t="str">
        <f>"BANCO CORA (102)"</f>
        <v>BANCO CORA (102)</v>
      </c>
      <c r="T3719">
        <v>22327</v>
      </c>
      <c r="U3719">
        <v>26084</v>
      </c>
      <c r="V3719" t="s">
        <v>22</v>
      </c>
    </row>
    <row r="3720" spans="1:22">
      <c r="A3720" t="str">
        <f t="shared" si="658"/>
        <v>25/09/2025</v>
      </c>
      <c r="B3720" t="str">
        <f t="shared" si="669"/>
        <v>SAÍDA</v>
      </c>
      <c r="C3720" t="str">
        <f t="shared" si="670"/>
        <v>CONHECIMENTO</v>
      </c>
      <c r="D3720" t="str">
        <f t="shared" si="671"/>
        <v>01092025</v>
      </c>
      <c r="E3720" t="str">
        <f>"2"</f>
        <v>2</v>
      </c>
      <c r="F3720" t="str">
        <f t="shared" si="672"/>
        <v>COM</v>
      </c>
      <c r="G3720" t="str">
        <f t="shared" si="673"/>
        <v>CORA SOCIEDADE DE CREDITO, FINANCIAMENTO E INVESTIMENTO (20035)</v>
      </c>
      <c r="H3720" t="s">
        <v>75</v>
      </c>
      <c r="I3720" t="str">
        <f t="shared" si="674"/>
        <v>25/09/2025</v>
      </c>
      <c r="J3720" t="str">
        <f t="shared" si="675"/>
        <v>01/09/2025</v>
      </c>
      <c r="K3720">
        <v>45925</v>
      </c>
      <c r="N3720">
        <v>401</v>
      </c>
      <c r="O3720" t="s">
        <v>76</v>
      </c>
      <c r="Q3720">
        <v>0.3</v>
      </c>
      <c r="R3720" t="str">
        <f>"CORA SOCIEDADE DE CREDITO, FINANCIAMENTO E INVESTIMENTO (20035)"</f>
        <v>CORA SOCIEDADE DE CREDITO, FINANCIAMENTO E INVESTIMENTO (20035)</v>
      </c>
      <c r="S3720" t="s">
        <v>22</v>
      </c>
      <c r="T3720">
        <v>22327</v>
      </c>
      <c r="U3720">
        <v>26084</v>
      </c>
      <c r="V3720" t="s">
        <v>22</v>
      </c>
    </row>
    <row r="3721" spans="1:22">
      <c r="A3721" t="str">
        <f t="shared" si="658"/>
        <v>25/09/2025</v>
      </c>
      <c r="B3721" t="str">
        <f t="shared" si="669"/>
        <v>SAÍDA</v>
      </c>
      <c r="C3721" t="str">
        <f t="shared" si="670"/>
        <v>CONHECIMENTO</v>
      </c>
      <c r="D3721" t="str">
        <f t="shared" si="671"/>
        <v>01092025</v>
      </c>
      <c r="E3721" t="str">
        <f>"3"</f>
        <v>3</v>
      </c>
      <c r="F3721" t="str">
        <f t="shared" si="672"/>
        <v>COM</v>
      </c>
      <c r="G3721" t="str">
        <f t="shared" si="673"/>
        <v>CORA SOCIEDADE DE CREDITO, FINANCIAMENTO E INVESTIMENTO (20035)</v>
      </c>
      <c r="H3721" t="str">
        <f>"TAXA BOLETO "</f>
        <v xml:space="preserve">TAXA BOLETO </v>
      </c>
      <c r="I3721" t="str">
        <f t="shared" si="674"/>
        <v>25/09/2025</v>
      </c>
      <c r="J3721" t="str">
        <f t="shared" si="675"/>
        <v>01/09/2025</v>
      </c>
      <c r="K3721" t="str">
        <f>("25/09/2025")</f>
        <v>25/09/2025</v>
      </c>
      <c r="L3721">
        <v>1.7</v>
      </c>
      <c r="M3721">
        <v>1.7</v>
      </c>
      <c r="N3721">
        <v>401</v>
      </c>
      <c r="O3721" t="str">
        <f>"IOF/JUROS/DESP.FINANCEIRA"</f>
        <v>IOF/JUROS/DESP.FINANCEIRA</v>
      </c>
      <c r="P3721">
        <v>1.7</v>
      </c>
      <c r="S3721" t="str">
        <f>"BANCO CORA (102)"</f>
        <v>BANCO CORA (102)</v>
      </c>
      <c r="T3721">
        <v>22328</v>
      </c>
      <c r="U3721">
        <v>26085</v>
      </c>
      <c r="V3721" t="s">
        <v>22</v>
      </c>
    </row>
    <row r="3722" spans="1:22">
      <c r="A3722" t="str">
        <f t="shared" si="658"/>
        <v>25/09/2025</v>
      </c>
      <c r="B3722" t="str">
        <f t="shared" si="669"/>
        <v>SAÍDA</v>
      </c>
      <c r="C3722" t="str">
        <f t="shared" si="670"/>
        <v>CONHECIMENTO</v>
      </c>
      <c r="D3722" t="str">
        <f t="shared" si="671"/>
        <v>01092025</v>
      </c>
      <c r="E3722" t="str">
        <f>"3"</f>
        <v>3</v>
      </c>
      <c r="F3722" t="str">
        <f t="shared" si="672"/>
        <v>COM</v>
      </c>
      <c r="G3722" t="str">
        <f t="shared" si="673"/>
        <v>CORA SOCIEDADE DE CREDITO, FINANCIAMENTO E INVESTIMENTO (20035)</v>
      </c>
      <c r="H3722" t="s">
        <v>75</v>
      </c>
      <c r="I3722" t="str">
        <f t="shared" si="674"/>
        <v>25/09/2025</v>
      </c>
      <c r="J3722" t="str">
        <f t="shared" si="675"/>
        <v>01/09/2025</v>
      </c>
      <c r="K3722">
        <v>45925</v>
      </c>
      <c r="N3722">
        <v>401</v>
      </c>
      <c r="O3722" t="s">
        <v>76</v>
      </c>
      <c r="Q3722">
        <v>1.7</v>
      </c>
      <c r="R3722" t="str">
        <f>"CORA SOCIEDADE DE CREDITO, FINANCIAMENTO E INVESTIMENTO (20035)"</f>
        <v>CORA SOCIEDADE DE CREDITO, FINANCIAMENTO E INVESTIMENTO (20035)</v>
      </c>
      <c r="S3722" t="s">
        <v>22</v>
      </c>
      <c r="T3722">
        <v>22328</v>
      </c>
      <c r="U3722">
        <v>26085</v>
      </c>
      <c r="V3722" t="s">
        <v>22</v>
      </c>
    </row>
    <row r="3723" spans="1:22">
      <c r="A3723" t="str">
        <f t="shared" si="658"/>
        <v>25/09/2025</v>
      </c>
      <c r="B3723" t="str">
        <f t="shared" si="669"/>
        <v>SAÍDA</v>
      </c>
      <c r="C3723" t="str">
        <f t="shared" si="670"/>
        <v>CONHECIMENTO</v>
      </c>
      <c r="D3723" t="str">
        <f t="shared" si="671"/>
        <v>01092025</v>
      </c>
      <c r="E3723" t="str">
        <f>"4"</f>
        <v>4</v>
      </c>
      <c r="F3723" t="str">
        <f t="shared" si="672"/>
        <v>COM</v>
      </c>
      <c r="G3723" t="str">
        <f t="shared" si="673"/>
        <v>CORA SOCIEDADE DE CREDITO, FINANCIAMENTO E INVESTIMENTO (20035)</v>
      </c>
      <c r="H3723" t="str">
        <f>"TAXA BOLETO "</f>
        <v xml:space="preserve">TAXA BOLETO </v>
      </c>
      <c r="I3723" t="str">
        <f t="shared" si="674"/>
        <v>25/09/2025</v>
      </c>
      <c r="J3723" t="str">
        <f t="shared" si="675"/>
        <v>01/09/2025</v>
      </c>
      <c r="K3723" t="str">
        <f>("25/09/2025")</f>
        <v>25/09/2025</v>
      </c>
      <c r="L3723">
        <v>1.7</v>
      </c>
      <c r="M3723">
        <v>1.7</v>
      </c>
      <c r="N3723">
        <v>401</v>
      </c>
      <c r="O3723" t="str">
        <f>"IOF/JUROS/DESP.FINANCEIRA"</f>
        <v>IOF/JUROS/DESP.FINANCEIRA</v>
      </c>
      <c r="P3723">
        <v>1.7</v>
      </c>
      <c r="S3723" t="str">
        <f>"BANCO CORA (102)"</f>
        <v>BANCO CORA (102)</v>
      </c>
      <c r="T3723">
        <v>22329</v>
      </c>
      <c r="U3723">
        <v>26086</v>
      </c>
      <c r="V3723" t="s">
        <v>22</v>
      </c>
    </row>
    <row r="3724" spans="1:22">
      <c r="A3724" t="str">
        <f t="shared" si="658"/>
        <v>25/09/2025</v>
      </c>
      <c r="B3724" t="str">
        <f t="shared" si="669"/>
        <v>SAÍDA</v>
      </c>
      <c r="C3724" t="str">
        <f t="shared" si="670"/>
        <v>CONHECIMENTO</v>
      </c>
      <c r="D3724" t="str">
        <f t="shared" si="671"/>
        <v>01092025</v>
      </c>
      <c r="E3724" t="str">
        <f>"4"</f>
        <v>4</v>
      </c>
      <c r="F3724" t="str">
        <f t="shared" si="672"/>
        <v>COM</v>
      </c>
      <c r="G3724" t="str">
        <f t="shared" si="673"/>
        <v>CORA SOCIEDADE DE CREDITO, FINANCIAMENTO E INVESTIMENTO (20035)</v>
      </c>
      <c r="H3724" t="s">
        <v>75</v>
      </c>
      <c r="I3724" t="str">
        <f t="shared" si="674"/>
        <v>25/09/2025</v>
      </c>
      <c r="J3724" t="str">
        <f t="shared" si="675"/>
        <v>01/09/2025</v>
      </c>
      <c r="K3724">
        <v>45925</v>
      </c>
      <c r="N3724">
        <v>401</v>
      </c>
      <c r="O3724" t="s">
        <v>76</v>
      </c>
      <c r="Q3724">
        <v>1.7</v>
      </c>
      <c r="R3724" t="str">
        <f>"CORA SOCIEDADE DE CREDITO, FINANCIAMENTO E INVESTIMENTO (20035)"</f>
        <v>CORA SOCIEDADE DE CREDITO, FINANCIAMENTO E INVESTIMENTO (20035)</v>
      </c>
      <c r="S3724" t="s">
        <v>22</v>
      </c>
      <c r="T3724">
        <v>22329</v>
      </c>
      <c r="U3724">
        <v>26086</v>
      </c>
      <c r="V3724" t="s">
        <v>22</v>
      </c>
    </row>
    <row r="3725" spans="1:22">
      <c r="A3725" t="str">
        <f t="shared" si="658"/>
        <v>25/09/2025</v>
      </c>
      <c r="B3725" t="str">
        <f t="shared" si="669"/>
        <v>SAÍDA</v>
      </c>
      <c r="C3725" t="str">
        <f t="shared" si="670"/>
        <v>CONHECIMENTO</v>
      </c>
      <c r="D3725" t="str">
        <f t="shared" si="671"/>
        <v>01092025</v>
      </c>
      <c r="E3725" t="str">
        <f>"5"</f>
        <v>5</v>
      </c>
      <c r="F3725" t="str">
        <f t="shared" si="672"/>
        <v>COM</v>
      </c>
      <c r="G3725" t="str">
        <f t="shared" si="673"/>
        <v>CORA SOCIEDADE DE CREDITO, FINANCIAMENTO E INVESTIMENTO (20035)</v>
      </c>
      <c r="H3725" t="str">
        <f>"TAXA BOLETO "</f>
        <v xml:space="preserve">TAXA BOLETO </v>
      </c>
      <c r="I3725" t="str">
        <f t="shared" si="674"/>
        <v>25/09/2025</v>
      </c>
      <c r="J3725" t="str">
        <f t="shared" si="675"/>
        <v>01/09/2025</v>
      </c>
      <c r="K3725" t="str">
        <f>("25/09/2025")</f>
        <v>25/09/2025</v>
      </c>
      <c r="L3725">
        <v>1.7</v>
      </c>
      <c r="M3725">
        <v>1.7</v>
      </c>
      <c r="N3725">
        <v>401</v>
      </c>
      <c r="O3725" t="str">
        <f>"IOF/JUROS/DESP.FINANCEIRA"</f>
        <v>IOF/JUROS/DESP.FINANCEIRA</v>
      </c>
      <c r="P3725">
        <v>1.7</v>
      </c>
      <c r="S3725" t="str">
        <f>"BANCO CORA (102)"</f>
        <v>BANCO CORA (102)</v>
      </c>
      <c r="T3725">
        <v>22330</v>
      </c>
      <c r="U3725">
        <v>26087</v>
      </c>
      <c r="V3725" t="s">
        <v>22</v>
      </c>
    </row>
    <row r="3726" spans="1:22">
      <c r="A3726" t="str">
        <f t="shared" ref="A3726:A3752" si="676">("25/09/2025")</f>
        <v>25/09/2025</v>
      </c>
      <c r="B3726" t="str">
        <f t="shared" si="669"/>
        <v>SAÍDA</v>
      </c>
      <c r="C3726" t="str">
        <f t="shared" si="670"/>
        <v>CONHECIMENTO</v>
      </c>
      <c r="D3726" t="str">
        <f t="shared" si="671"/>
        <v>01092025</v>
      </c>
      <c r="E3726" t="str">
        <f>"5"</f>
        <v>5</v>
      </c>
      <c r="F3726" t="str">
        <f t="shared" si="672"/>
        <v>COM</v>
      </c>
      <c r="G3726" t="str">
        <f t="shared" si="673"/>
        <v>CORA SOCIEDADE DE CREDITO, FINANCIAMENTO E INVESTIMENTO (20035)</v>
      </c>
      <c r="H3726" t="s">
        <v>75</v>
      </c>
      <c r="I3726" t="str">
        <f t="shared" si="674"/>
        <v>25/09/2025</v>
      </c>
      <c r="J3726" t="str">
        <f t="shared" si="675"/>
        <v>01/09/2025</v>
      </c>
      <c r="K3726">
        <v>45925</v>
      </c>
      <c r="N3726">
        <v>401</v>
      </c>
      <c r="O3726" t="s">
        <v>76</v>
      </c>
      <c r="Q3726">
        <v>1.7</v>
      </c>
      <c r="R3726" t="str">
        <f>"CORA SOCIEDADE DE CREDITO, FINANCIAMENTO E INVESTIMENTO (20035)"</f>
        <v>CORA SOCIEDADE DE CREDITO, FINANCIAMENTO E INVESTIMENTO (20035)</v>
      </c>
      <c r="S3726" t="s">
        <v>22</v>
      </c>
      <c r="T3726">
        <v>22330</v>
      </c>
      <c r="U3726">
        <v>26087</v>
      </c>
      <c r="V3726" t="s">
        <v>22</v>
      </c>
    </row>
    <row r="3727" spans="1:22">
      <c r="A3727" t="str">
        <f t="shared" si="676"/>
        <v>25/09/2025</v>
      </c>
      <c r="B3727" t="str">
        <f t="shared" si="669"/>
        <v>SAÍDA</v>
      </c>
      <c r="C3727" t="str">
        <f t="shared" si="670"/>
        <v>CONHECIMENTO</v>
      </c>
      <c r="D3727" t="str">
        <f t="shared" si="671"/>
        <v>01092025</v>
      </c>
      <c r="E3727" t="str">
        <f>"6"</f>
        <v>6</v>
      </c>
      <c r="F3727" t="str">
        <f t="shared" si="672"/>
        <v>COM</v>
      </c>
      <c r="G3727" t="str">
        <f t="shared" si="673"/>
        <v>CORA SOCIEDADE DE CREDITO, FINANCIAMENTO E INVESTIMENTO (20035)</v>
      </c>
      <c r="H3727" t="str">
        <f>"TAXA BOLETO "</f>
        <v xml:space="preserve">TAXA BOLETO </v>
      </c>
      <c r="I3727" t="str">
        <f t="shared" si="674"/>
        <v>25/09/2025</v>
      </c>
      <c r="J3727" t="str">
        <f t="shared" si="675"/>
        <v>01/09/2025</v>
      </c>
      <c r="K3727" t="str">
        <f>("25/09/2025")</f>
        <v>25/09/2025</v>
      </c>
      <c r="L3727">
        <v>1.7</v>
      </c>
      <c r="M3727">
        <v>1.7</v>
      </c>
      <c r="N3727">
        <v>401</v>
      </c>
      <c r="O3727" t="str">
        <f>"IOF/JUROS/DESP.FINANCEIRA"</f>
        <v>IOF/JUROS/DESP.FINANCEIRA</v>
      </c>
      <c r="P3727">
        <v>1.7</v>
      </c>
      <c r="S3727" t="str">
        <f>"BANCO CORA (102)"</f>
        <v>BANCO CORA (102)</v>
      </c>
      <c r="T3727">
        <v>22331</v>
      </c>
      <c r="U3727">
        <v>26088</v>
      </c>
      <c r="V3727" t="s">
        <v>22</v>
      </c>
    </row>
    <row r="3728" spans="1:22">
      <c r="A3728" t="str">
        <f t="shared" si="676"/>
        <v>25/09/2025</v>
      </c>
      <c r="B3728" t="str">
        <f t="shared" si="669"/>
        <v>SAÍDA</v>
      </c>
      <c r="C3728" t="str">
        <f t="shared" si="670"/>
        <v>CONHECIMENTO</v>
      </c>
      <c r="D3728" t="str">
        <f t="shared" si="671"/>
        <v>01092025</v>
      </c>
      <c r="E3728" t="str">
        <f>"6"</f>
        <v>6</v>
      </c>
      <c r="F3728" t="str">
        <f t="shared" si="672"/>
        <v>COM</v>
      </c>
      <c r="G3728" t="str">
        <f t="shared" si="673"/>
        <v>CORA SOCIEDADE DE CREDITO, FINANCIAMENTO E INVESTIMENTO (20035)</v>
      </c>
      <c r="H3728" t="s">
        <v>75</v>
      </c>
      <c r="I3728" t="str">
        <f t="shared" si="674"/>
        <v>25/09/2025</v>
      </c>
      <c r="J3728" t="str">
        <f t="shared" si="675"/>
        <v>01/09/2025</v>
      </c>
      <c r="K3728">
        <v>45925</v>
      </c>
      <c r="N3728">
        <v>401</v>
      </c>
      <c r="O3728" t="s">
        <v>76</v>
      </c>
      <c r="Q3728">
        <v>1.7</v>
      </c>
      <c r="R3728" t="str">
        <f>"CORA SOCIEDADE DE CREDITO, FINANCIAMENTO E INVESTIMENTO (20035)"</f>
        <v>CORA SOCIEDADE DE CREDITO, FINANCIAMENTO E INVESTIMENTO (20035)</v>
      </c>
      <c r="S3728" t="s">
        <v>22</v>
      </c>
      <c r="T3728">
        <v>22331</v>
      </c>
      <c r="U3728">
        <v>26088</v>
      </c>
      <c r="V3728" t="s">
        <v>22</v>
      </c>
    </row>
    <row r="3729" spans="1:22">
      <c r="A3729" t="str">
        <f t="shared" si="676"/>
        <v>25/09/2025</v>
      </c>
      <c r="B3729" t="str">
        <f t="shared" si="669"/>
        <v>SAÍDA</v>
      </c>
      <c r="C3729" t="str">
        <f t="shared" si="670"/>
        <v>CONHECIMENTO</v>
      </c>
      <c r="D3729" t="str">
        <f t="shared" si="671"/>
        <v>01092025</v>
      </c>
      <c r="E3729" t="str">
        <f>"7"</f>
        <v>7</v>
      </c>
      <c r="F3729" t="str">
        <f t="shared" si="672"/>
        <v>COM</v>
      </c>
      <c r="G3729" t="str">
        <f t="shared" si="673"/>
        <v>CORA SOCIEDADE DE CREDITO, FINANCIAMENTO E INVESTIMENTO (20035)</v>
      </c>
      <c r="H3729" t="str">
        <f>"TAXA BOLETO "</f>
        <v xml:space="preserve">TAXA BOLETO </v>
      </c>
      <c r="I3729" t="str">
        <f t="shared" si="674"/>
        <v>25/09/2025</v>
      </c>
      <c r="J3729" t="str">
        <f t="shared" si="675"/>
        <v>01/09/2025</v>
      </c>
      <c r="K3729" t="str">
        <f>("25/09/2025")</f>
        <v>25/09/2025</v>
      </c>
      <c r="L3729">
        <v>1.7</v>
      </c>
      <c r="M3729">
        <v>1.7</v>
      </c>
      <c r="N3729">
        <v>401</v>
      </c>
      <c r="O3729" t="str">
        <f>"IOF/JUROS/DESP.FINANCEIRA"</f>
        <v>IOF/JUROS/DESP.FINANCEIRA</v>
      </c>
      <c r="P3729">
        <v>1.7</v>
      </c>
      <c r="S3729" t="str">
        <f>"BANCO CORA (102)"</f>
        <v>BANCO CORA (102)</v>
      </c>
      <c r="T3729">
        <v>22332</v>
      </c>
      <c r="U3729">
        <v>26089</v>
      </c>
      <c r="V3729" t="s">
        <v>22</v>
      </c>
    </row>
    <row r="3730" spans="1:22">
      <c r="A3730" t="str">
        <f t="shared" si="676"/>
        <v>25/09/2025</v>
      </c>
      <c r="B3730" t="str">
        <f t="shared" si="669"/>
        <v>SAÍDA</v>
      </c>
      <c r="C3730" t="str">
        <f t="shared" si="670"/>
        <v>CONHECIMENTO</v>
      </c>
      <c r="D3730" t="str">
        <f t="shared" si="671"/>
        <v>01092025</v>
      </c>
      <c r="E3730" t="str">
        <f>"7"</f>
        <v>7</v>
      </c>
      <c r="F3730" t="str">
        <f t="shared" si="672"/>
        <v>COM</v>
      </c>
      <c r="G3730" t="str">
        <f t="shared" si="673"/>
        <v>CORA SOCIEDADE DE CREDITO, FINANCIAMENTO E INVESTIMENTO (20035)</v>
      </c>
      <c r="H3730" t="s">
        <v>75</v>
      </c>
      <c r="I3730" t="str">
        <f t="shared" si="674"/>
        <v>25/09/2025</v>
      </c>
      <c r="J3730" t="str">
        <f t="shared" si="675"/>
        <v>01/09/2025</v>
      </c>
      <c r="K3730">
        <v>45925</v>
      </c>
      <c r="N3730">
        <v>401</v>
      </c>
      <c r="O3730" t="s">
        <v>76</v>
      </c>
      <c r="Q3730">
        <v>1.7</v>
      </c>
      <c r="R3730" t="str">
        <f>"CORA SOCIEDADE DE CREDITO, FINANCIAMENTO E INVESTIMENTO (20035)"</f>
        <v>CORA SOCIEDADE DE CREDITO, FINANCIAMENTO E INVESTIMENTO (20035)</v>
      </c>
      <c r="S3730" t="s">
        <v>22</v>
      </c>
      <c r="T3730">
        <v>22332</v>
      </c>
      <c r="U3730">
        <v>26089</v>
      </c>
      <c r="V3730" t="s">
        <v>22</v>
      </c>
    </row>
    <row r="3731" spans="1:22">
      <c r="A3731" t="str">
        <f t="shared" si="676"/>
        <v>25/09/2025</v>
      </c>
      <c r="B3731" t="str">
        <f t="shared" si="669"/>
        <v>SAÍDA</v>
      </c>
      <c r="C3731" t="str">
        <f t="shared" si="670"/>
        <v>CONHECIMENTO</v>
      </c>
      <c r="D3731" t="str">
        <f t="shared" si="671"/>
        <v>01092025</v>
      </c>
      <c r="E3731" t="str">
        <f>"8"</f>
        <v>8</v>
      </c>
      <c r="F3731" t="str">
        <f t="shared" si="672"/>
        <v>COM</v>
      </c>
      <c r="G3731" t="str">
        <f t="shared" si="673"/>
        <v>CORA SOCIEDADE DE CREDITO, FINANCIAMENTO E INVESTIMENTO (20035)</v>
      </c>
      <c r="H3731" t="str">
        <f>"TAXA BOLETO "</f>
        <v xml:space="preserve">TAXA BOLETO </v>
      </c>
      <c r="I3731" t="str">
        <f t="shared" si="674"/>
        <v>25/09/2025</v>
      </c>
      <c r="J3731" t="str">
        <f t="shared" si="675"/>
        <v>01/09/2025</v>
      </c>
      <c r="K3731" t="str">
        <f>("25/09/2025")</f>
        <v>25/09/2025</v>
      </c>
      <c r="L3731">
        <v>1.7</v>
      </c>
      <c r="M3731">
        <v>1.7</v>
      </c>
      <c r="N3731">
        <v>401</v>
      </c>
      <c r="O3731" t="str">
        <f>"IOF/JUROS/DESP.FINANCEIRA"</f>
        <v>IOF/JUROS/DESP.FINANCEIRA</v>
      </c>
      <c r="P3731">
        <v>1.7</v>
      </c>
      <c r="S3731" t="str">
        <f>"BANCO CORA (102)"</f>
        <v>BANCO CORA (102)</v>
      </c>
      <c r="T3731">
        <v>22333</v>
      </c>
      <c r="U3731">
        <v>26090</v>
      </c>
      <c r="V3731" t="s">
        <v>22</v>
      </c>
    </row>
    <row r="3732" spans="1:22">
      <c r="A3732" t="str">
        <f t="shared" si="676"/>
        <v>25/09/2025</v>
      </c>
      <c r="B3732" t="str">
        <f t="shared" si="669"/>
        <v>SAÍDA</v>
      </c>
      <c r="C3732" t="str">
        <f t="shared" si="670"/>
        <v>CONHECIMENTO</v>
      </c>
      <c r="D3732" t="str">
        <f t="shared" si="671"/>
        <v>01092025</v>
      </c>
      <c r="E3732" t="str">
        <f>"8"</f>
        <v>8</v>
      </c>
      <c r="F3732" t="str">
        <f t="shared" si="672"/>
        <v>COM</v>
      </c>
      <c r="G3732" t="str">
        <f t="shared" si="673"/>
        <v>CORA SOCIEDADE DE CREDITO, FINANCIAMENTO E INVESTIMENTO (20035)</v>
      </c>
      <c r="H3732" t="s">
        <v>75</v>
      </c>
      <c r="I3732" t="str">
        <f t="shared" si="674"/>
        <v>25/09/2025</v>
      </c>
      <c r="J3732" t="str">
        <f t="shared" si="675"/>
        <v>01/09/2025</v>
      </c>
      <c r="K3732">
        <v>45925</v>
      </c>
      <c r="N3732">
        <v>401</v>
      </c>
      <c r="O3732" t="s">
        <v>76</v>
      </c>
      <c r="Q3732">
        <v>1.7</v>
      </c>
      <c r="R3732" t="str">
        <f>"CORA SOCIEDADE DE CREDITO, FINANCIAMENTO E INVESTIMENTO (20035)"</f>
        <v>CORA SOCIEDADE DE CREDITO, FINANCIAMENTO E INVESTIMENTO (20035)</v>
      </c>
      <c r="S3732" t="s">
        <v>22</v>
      </c>
      <c r="T3732">
        <v>22333</v>
      </c>
      <c r="U3732">
        <v>26090</v>
      </c>
      <c r="V3732" t="s">
        <v>22</v>
      </c>
    </row>
    <row r="3733" spans="1:22">
      <c r="A3733" t="str">
        <f t="shared" si="676"/>
        <v>25/09/2025</v>
      </c>
      <c r="B3733" t="str">
        <f t="shared" si="669"/>
        <v>SAÍDA</v>
      </c>
      <c r="C3733" t="str">
        <f t="shared" si="670"/>
        <v>CONHECIMENTO</v>
      </c>
      <c r="D3733" t="str">
        <f t="shared" si="671"/>
        <v>01092025</v>
      </c>
      <c r="E3733" t="str">
        <f>"9"</f>
        <v>9</v>
      </c>
      <c r="F3733" t="str">
        <f t="shared" si="672"/>
        <v>COM</v>
      </c>
      <c r="G3733" t="str">
        <f t="shared" si="673"/>
        <v>CORA SOCIEDADE DE CREDITO, FINANCIAMENTO E INVESTIMENTO (20035)</v>
      </c>
      <c r="H3733" t="str">
        <f>"TAXA BOLETO "</f>
        <v xml:space="preserve">TAXA BOLETO </v>
      </c>
      <c r="I3733" t="str">
        <f t="shared" si="674"/>
        <v>25/09/2025</v>
      </c>
      <c r="J3733" t="str">
        <f t="shared" si="675"/>
        <v>01/09/2025</v>
      </c>
      <c r="K3733" t="str">
        <f>("25/09/2025")</f>
        <v>25/09/2025</v>
      </c>
      <c r="L3733">
        <v>1.7</v>
      </c>
      <c r="M3733">
        <v>1.7</v>
      </c>
      <c r="N3733">
        <v>401</v>
      </c>
      <c r="O3733" t="str">
        <f>"IOF/JUROS/DESP.FINANCEIRA"</f>
        <v>IOF/JUROS/DESP.FINANCEIRA</v>
      </c>
      <c r="P3733">
        <v>1.7</v>
      </c>
      <c r="S3733" t="str">
        <f>"BANCO CORA (102)"</f>
        <v>BANCO CORA (102)</v>
      </c>
      <c r="T3733">
        <v>22334</v>
      </c>
      <c r="U3733">
        <v>26091</v>
      </c>
      <c r="V3733" t="s">
        <v>22</v>
      </c>
    </row>
    <row r="3734" spans="1:22">
      <c r="A3734" t="str">
        <f t="shared" si="676"/>
        <v>25/09/2025</v>
      </c>
      <c r="B3734" t="str">
        <f t="shared" si="669"/>
        <v>SAÍDA</v>
      </c>
      <c r="C3734" t="str">
        <f t="shared" si="670"/>
        <v>CONHECIMENTO</v>
      </c>
      <c r="D3734" t="str">
        <f t="shared" si="671"/>
        <v>01092025</v>
      </c>
      <c r="E3734" t="str">
        <f>"9"</f>
        <v>9</v>
      </c>
      <c r="F3734" t="str">
        <f t="shared" si="672"/>
        <v>COM</v>
      </c>
      <c r="G3734" t="str">
        <f t="shared" si="673"/>
        <v>CORA SOCIEDADE DE CREDITO, FINANCIAMENTO E INVESTIMENTO (20035)</v>
      </c>
      <c r="H3734" t="s">
        <v>75</v>
      </c>
      <c r="I3734" t="str">
        <f t="shared" si="674"/>
        <v>25/09/2025</v>
      </c>
      <c r="J3734" t="str">
        <f t="shared" si="675"/>
        <v>01/09/2025</v>
      </c>
      <c r="K3734">
        <v>45925</v>
      </c>
      <c r="N3734">
        <v>401</v>
      </c>
      <c r="O3734" t="s">
        <v>76</v>
      </c>
      <c r="Q3734">
        <v>1.7</v>
      </c>
      <c r="R3734" t="str">
        <f>"CORA SOCIEDADE DE CREDITO, FINANCIAMENTO E INVESTIMENTO (20035)"</f>
        <v>CORA SOCIEDADE DE CREDITO, FINANCIAMENTO E INVESTIMENTO (20035)</v>
      </c>
      <c r="S3734" t="s">
        <v>22</v>
      </c>
      <c r="T3734">
        <v>22334</v>
      </c>
      <c r="U3734">
        <v>26091</v>
      </c>
      <c r="V3734" t="s">
        <v>22</v>
      </c>
    </row>
    <row r="3735" spans="1:22">
      <c r="A3735" t="str">
        <f t="shared" si="676"/>
        <v>25/09/2025</v>
      </c>
      <c r="B3735" t="str">
        <f t="shared" si="669"/>
        <v>SAÍDA</v>
      </c>
      <c r="C3735" t="str">
        <f t="shared" si="670"/>
        <v>CONHECIMENTO</v>
      </c>
      <c r="D3735" t="str">
        <f t="shared" si="671"/>
        <v>01092025</v>
      </c>
      <c r="E3735" t="str">
        <f>"10"</f>
        <v>10</v>
      </c>
      <c r="F3735" t="str">
        <f t="shared" si="672"/>
        <v>COM</v>
      </c>
      <c r="G3735" t="str">
        <f t="shared" si="673"/>
        <v>CORA SOCIEDADE DE CREDITO, FINANCIAMENTO E INVESTIMENTO (20035)</v>
      </c>
      <c r="H3735" t="str">
        <f>"TAXA BOLETO "</f>
        <v xml:space="preserve">TAXA BOLETO </v>
      </c>
      <c r="I3735" t="str">
        <f t="shared" si="674"/>
        <v>25/09/2025</v>
      </c>
      <c r="J3735" t="str">
        <f t="shared" si="675"/>
        <v>01/09/2025</v>
      </c>
      <c r="K3735" t="str">
        <f>("25/09/2025")</f>
        <v>25/09/2025</v>
      </c>
      <c r="L3735">
        <v>1.7</v>
      </c>
      <c r="M3735">
        <v>1.7</v>
      </c>
      <c r="N3735">
        <v>401</v>
      </c>
      <c r="O3735" t="str">
        <f>"IOF/JUROS/DESP.FINANCEIRA"</f>
        <v>IOF/JUROS/DESP.FINANCEIRA</v>
      </c>
      <c r="P3735">
        <v>1.7</v>
      </c>
      <c r="S3735" t="str">
        <f>"BANCO CORA (102)"</f>
        <v>BANCO CORA (102)</v>
      </c>
      <c r="T3735">
        <v>22335</v>
      </c>
      <c r="U3735">
        <v>26092</v>
      </c>
      <c r="V3735" t="s">
        <v>22</v>
      </c>
    </row>
    <row r="3736" spans="1:22">
      <c r="A3736" t="str">
        <f t="shared" si="676"/>
        <v>25/09/2025</v>
      </c>
      <c r="B3736" t="str">
        <f t="shared" si="669"/>
        <v>SAÍDA</v>
      </c>
      <c r="C3736" t="str">
        <f t="shared" si="670"/>
        <v>CONHECIMENTO</v>
      </c>
      <c r="D3736" t="str">
        <f t="shared" si="671"/>
        <v>01092025</v>
      </c>
      <c r="E3736" t="str">
        <f>"10"</f>
        <v>10</v>
      </c>
      <c r="F3736" t="str">
        <f t="shared" si="672"/>
        <v>COM</v>
      </c>
      <c r="G3736" t="str">
        <f t="shared" si="673"/>
        <v>CORA SOCIEDADE DE CREDITO, FINANCIAMENTO E INVESTIMENTO (20035)</v>
      </c>
      <c r="H3736" t="s">
        <v>75</v>
      </c>
      <c r="I3736" t="str">
        <f t="shared" si="674"/>
        <v>25/09/2025</v>
      </c>
      <c r="J3736" t="str">
        <f t="shared" si="675"/>
        <v>01/09/2025</v>
      </c>
      <c r="K3736">
        <v>45925</v>
      </c>
      <c r="N3736">
        <v>401</v>
      </c>
      <c r="O3736" t="s">
        <v>76</v>
      </c>
      <c r="Q3736">
        <v>1.7</v>
      </c>
      <c r="R3736" t="str">
        <f>"CORA SOCIEDADE DE CREDITO, FINANCIAMENTO E INVESTIMENTO (20035)"</f>
        <v>CORA SOCIEDADE DE CREDITO, FINANCIAMENTO E INVESTIMENTO (20035)</v>
      </c>
      <c r="S3736" t="s">
        <v>22</v>
      </c>
      <c r="T3736">
        <v>22335</v>
      </c>
      <c r="U3736">
        <v>26092</v>
      </c>
      <c r="V3736" t="s">
        <v>22</v>
      </c>
    </row>
    <row r="3737" spans="1:22">
      <c r="A3737" t="str">
        <f t="shared" si="676"/>
        <v>25/09/2025</v>
      </c>
      <c r="B3737" t="str">
        <f t="shared" si="669"/>
        <v>SAÍDA</v>
      </c>
      <c r="C3737" t="str">
        <f t="shared" si="670"/>
        <v>CONHECIMENTO</v>
      </c>
      <c r="D3737" t="str">
        <f t="shared" si="671"/>
        <v>01092025</v>
      </c>
      <c r="E3737" t="str">
        <f>"11"</f>
        <v>11</v>
      </c>
      <c r="F3737" t="str">
        <f t="shared" si="672"/>
        <v>COM</v>
      </c>
      <c r="G3737" t="str">
        <f t="shared" si="673"/>
        <v>CORA SOCIEDADE DE CREDITO, FINANCIAMENTO E INVESTIMENTO (20035)</v>
      </c>
      <c r="H3737" t="str">
        <f>"TAXA BOLETO "</f>
        <v xml:space="preserve">TAXA BOLETO </v>
      </c>
      <c r="I3737" t="str">
        <f t="shared" si="674"/>
        <v>25/09/2025</v>
      </c>
      <c r="J3737" t="str">
        <f t="shared" si="675"/>
        <v>01/09/2025</v>
      </c>
      <c r="K3737" t="str">
        <f>("25/09/2025")</f>
        <v>25/09/2025</v>
      </c>
      <c r="L3737">
        <v>1.7</v>
      </c>
      <c r="M3737">
        <v>1.7</v>
      </c>
      <c r="N3737">
        <v>401</v>
      </c>
      <c r="O3737" t="str">
        <f>"IOF/JUROS/DESP.FINANCEIRA"</f>
        <v>IOF/JUROS/DESP.FINANCEIRA</v>
      </c>
      <c r="P3737">
        <v>1.7</v>
      </c>
      <c r="S3737" t="str">
        <f>"BANCO CORA (102)"</f>
        <v>BANCO CORA (102)</v>
      </c>
      <c r="T3737">
        <v>22336</v>
      </c>
      <c r="U3737">
        <v>26093</v>
      </c>
      <c r="V3737" t="s">
        <v>22</v>
      </c>
    </row>
    <row r="3738" spans="1:22">
      <c r="A3738" t="str">
        <f t="shared" si="676"/>
        <v>25/09/2025</v>
      </c>
      <c r="B3738" t="str">
        <f t="shared" si="669"/>
        <v>SAÍDA</v>
      </c>
      <c r="C3738" t="str">
        <f t="shared" si="670"/>
        <v>CONHECIMENTO</v>
      </c>
      <c r="D3738" t="str">
        <f t="shared" si="671"/>
        <v>01092025</v>
      </c>
      <c r="E3738" t="str">
        <f>"11"</f>
        <v>11</v>
      </c>
      <c r="F3738" t="str">
        <f t="shared" si="672"/>
        <v>COM</v>
      </c>
      <c r="G3738" t="str">
        <f t="shared" si="673"/>
        <v>CORA SOCIEDADE DE CREDITO, FINANCIAMENTO E INVESTIMENTO (20035)</v>
      </c>
      <c r="H3738" t="s">
        <v>75</v>
      </c>
      <c r="I3738" t="str">
        <f t="shared" si="674"/>
        <v>25/09/2025</v>
      </c>
      <c r="J3738" t="str">
        <f t="shared" si="675"/>
        <v>01/09/2025</v>
      </c>
      <c r="K3738">
        <v>45925</v>
      </c>
      <c r="N3738">
        <v>401</v>
      </c>
      <c r="O3738" t="s">
        <v>76</v>
      </c>
      <c r="Q3738">
        <v>1.7</v>
      </c>
      <c r="R3738" t="str">
        <f>"CORA SOCIEDADE DE CREDITO, FINANCIAMENTO E INVESTIMENTO (20035)"</f>
        <v>CORA SOCIEDADE DE CREDITO, FINANCIAMENTO E INVESTIMENTO (20035)</v>
      </c>
      <c r="S3738" t="s">
        <v>22</v>
      </c>
      <c r="T3738">
        <v>22336</v>
      </c>
      <c r="U3738">
        <v>26093</v>
      </c>
      <c r="V3738" t="s">
        <v>22</v>
      </c>
    </row>
    <row r="3739" spans="1:22">
      <c r="A3739" t="str">
        <f t="shared" si="676"/>
        <v>25/09/2025</v>
      </c>
      <c r="B3739" t="str">
        <f t="shared" si="669"/>
        <v>SAÍDA</v>
      </c>
      <c r="C3739" t="str">
        <f t="shared" si="670"/>
        <v>CONHECIMENTO</v>
      </c>
      <c r="D3739" t="str">
        <f t="shared" si="671"/>
        <v>01092025</v>
      </c>
      <c r="E3739" t="str">
        <f>"12"</f>
        <v>12</v>
      </c>
      <c r="F3739" t="str">
        <f t="shared" si="672"/>
        <v>COM</v>
      </c>
      <c r="G3739" t="str">
        <f t="shared" si="673"/>
        <v>CORA SOCIEDADE DE CREDITO, FINANCIAMENTO E INVESTIMENTO (20035)</v>
      </c>
      <c r="H3739" t="str">
        <f>"TAXA BOLETO "</f>
        <v xml:space="preserve">TAXA BOLETO </v>
      </c>
      <c r="I3739" t="str">
        <f t="shared" si="674"/>
        <v>25/09/2025</v>
      </c>
      <c r="J3739" t="str">
        <f t="shared" si="675"/>
        <v>01/09/2025</v>
      </c>
      <c r="K3739" t="str">
        <f>("25/09/2025")</f>
        <v>25/09/2025</v>
      </c>
      <c r="L3739">
        <v>1.7</v>
      </c>
      <c r="M3739">
        <v>1.7</v>
      </c>
      <c r="N3739">
        <v>401</v>
      </c>
      <c r="O3739" t="str">
        <f>"IOF/JUROS/DESP.FINANCEIRA"</f>
        <v>IOF/JUROS/DESP.FINANCEIRA</v>
      </c>
      <c r="P3739">
        <v>1.7</v>
      </c>
      <c r="S3739" t="str">
        <f>"BANCO CORA (102)"</f>
        <v>BANCO CORA (102)</v>
      </c>
      <c r="T3739">
        <v>22337</v>
      </c>
      <c r="U3739">
        <v>26094</v>
      </c>
      <c r="V3739" t="s">
        <v>22</v>
      </c>
    </row>
    <row r="3740" spans="1:22">
      <c r="A3740" t="str">
        <f t="shared" si="676"/>
        <v>25/09/2025</v>
      </c>
      <c r="B3740" t="str">
        <f t="shared" si="669"/>
        <v>SAÍDA</v>
      </c>
      <c r="C3740" t="str">
        <f t="shared" si="670"/>
        <v>CONHECIMENTO</v>
      </c>
      <c r="D3740" t="str">
        <f t="shared" si="671"/>
        <v>01092025</v>
      </c>
      <c r="E3740" t="str">
        <f>"12"</f>
        <v>12</v>
      </c>
      <c r="F3740" t="str">
        <f t="shared" si="672"/>
        <v>COM</v>
      </c>
      <c r="G3740" t="str">
        <f t="shared" si="673"/>
        <v>CORA SOCIEDADE DE CREDITO, FINANCIAMENTO E INVESTIMENTO (20035)</v>
      </c>
      <c r="H3740" t="s">
        <v>75</v>
      </c>
      <c r="I3740" t="str">
        <f t="shared" si="674"/>
        <v>25/09/2025</v>
      </c>
      <c r="J3740" t="str">
        <f t="shared" si="675"/>
        <v>01/09/2025</v>
      </c>
      <c r="K3740">
        <v>45925</v>
      </c>
      <c r="N3740">
        <v>401</v>
      </c>
      <c r="O3740" t="s">
        <v>76</v>
      </c>
      <c r="Q3740">
        <v>1.7</v>
      </c>
      <c r="R3740" t="str">
        <f>"CORA SOCIEDADE DE CREDITO, FINANCIAMENTO E INVESTIMENTO (20035)"</f>
        <v>CORA SOCIEDADE DE CREDITO, FINANCIAMENTO E INVESTIMENTO (20035)</v>
      </c>
      <c r="S3740" t="s">
        <v>22</v>
      </c>
      <c r="T3740">
        <v>22337</v>
      </c>
      <c r="U3740">
        <v>26094</v>
      </c>
      <c r="V3740" t="s">
        <v>22</v>
      </c>
    </row>
    <row r="3741" spans="1:22">
      <c r="A3741" t="str">
        <f t="shared" si="676"/>
        <v>25/09/2025</v>
      </c>
      <c r="B3741" t="str">
        <f t="shared" si="669"/>
        <v>SAÍDA</v>
      </c>
      <c r="C3741" t="str">
        <f t="shared" si="670"/>
        <v>CONHECIMENTO</v>
      </c>
      <c r="D3741" t="str">
        <f t="shared" si="671"/>
        <v>01092025</v>
      </c>
      <c r="E3741" t="str">
        <f>"13"</f>
        <v>13</v>
      </c>
      <c r="F3741" t="str">
        <f t="shared" si="672"/>
        <v>COM</v>
      </c>
      <c r="G3741" t="str">
        <f t="shared" si="673"/>
        <v>CORA SOCIEDADE DE CREDITO, FINANCIAMENTO E INVESTIMENTO (20035)</v>
      </c>
      <c r="H3741" t="str">
        <f>"TAXA BOLETO "</f>
        <v xml:space="preserve">TAXA BOLETO </v>
      </c>
      <c r="I3741" t="str">
        <f t="shared" si="674"/>
        <v>25/09/2025</v>
      </c>
      <c r="J3741" t="str">
        <f t="shared" si="675"/>
        <v>01/09/2025</v>
      </c>
      <c r="K3741" t="str">
        <f>("25/09/2025")</f>
        <v>25/09/2025</v>
      </c>
      <c r="L3741">
        <v>1.7</v>
      </c>
      <c r="M3741">
        <v>1.7</v>
      </c>
      <c r="N3741">
        <v>401</v>
      </c>
      <c r="O3741" t="str">
        <f>"IOF/JUROS/DESP.FINANCEIRA"</f>
        <v>IOF/JUROS/DESP.FINANCEIRA</v>
      </c>
      <c r="P3741">
        <v>1.7</v>
      </c>
      <c r="S3741" t="str">
        <f>"BANCO CORA (102)"</f>
        <v>BANCO CORA (102)</v>
      </c>
      <c r="T3741">
        <v>22338</v>
      </c>
      <c r="U3741">
        <v>26095</v>
      </c>
      <c r="V3741" t="s">
        <v>22</v>
      </c>
    </row>
    <row r="3742" spans="1:22">
      <c r="A3742" t="str">
        <f t="shared" si="676"/>
        <v>25/09/2025</v>
      </c>
      <c r="B3742" t="str">
        <f t="shared" si="669"/>
        <v>SAÍDA</v>
      </c>
      <c r="C3742" t="str">
        <f t="shared" si="670"/>
        <v>CONHECIMENTO</v>
      </c>
      <c r="D3742" t="str">
        <f t="shared" si="671"/>
        <v>01092025</v>
      </c>
      <c r="E3742" t="str">
        <f>"13"</f>
        <v>13</v>
      </c>
      <c r="F3742" t="str">
        <f t="shared" si="672"/>
        <v>COM</v>
      </c>
      <c r="G3742" t="str">
        <f t="shared" si="673"/>
        <v>CORA SOCIEDADE DE CREDITO, FINANCIAMENTO E INVESTIMENTO (20035)</v>
      </c>
      <c r="H3742" t="s">
        <v>75</v>
      </c>
      <c r="I3742" t="str">
        <f t="shared" si="674"/>
        <v>25/09/2025</v>
      </c>
      <c r="J3742" t="str">
        <f t="shared" si="675"/>
        <v>01/09/2025</v>
      </c>
      <c r="K3742">
        <v>45925</v>
      </c>
      <c r="N3742">
        <v>401</v>
      </c>
      <c r="O3742" t="s">
        <v>76</v>
      </c>
      <c r="Q3742">
        <v>1.7</v>
      </c>
      <c r="R3742" t="str">
        <f>"CORA SOCIEDADE DE CREDITO, FINANCIAMENTO E INVESTIMENTO (20035)"</f>
        <v>CORA SOCIEDADE DE CREDITO, FINANCIAMENTO E INVESTIMENTO (20035)</v>
      </c>
      <c r="S3742" t="s">
        <v>22</v>
      </c>
      <c r="T3742">
        <v>22338</v>
      </c>
      <c r="U3742">
        <v>26095</v>
      </c>
      <c r="V3742" t="s">
        <v>22</v>
      </c>
    </row>
    <row r="3743" spans="1:22">
      <c r="A3743" t="str">
        <f t="shared" si="676"/>
        <v>25/09/2025</v>
      </c>
      <c r="B3743" t="str">
        <f t="shared" si="669"/>
        <v>SAÍDA</v>
      </c>
      <c r="C3743" t="str">
        <f t="shared" si="670"/>
        <v>CONHECIMENTO</v>
      </c>
      <c r="D3743" t="str">
        <f t="shared" si="671"/>
        <v>01092025</v>
      </c>
      <c r="E3743" t="str">
        <f>"14"</f>
        <v>14</v>
      </c>
      <c r="F3743" t="str">
        <f t="shared" si="672"/>
        <v>COM</v>
      </c>
      <c r="G3743" t="str">
        <f t="shared" si="673"/>
        <v>CORA SOCIEDADE DE CREDITO, FINANCIAMENTO E INVESTIMENTO (20035)</v>
      </c>
      <c r="H3743" t="str">
        <f>"TAXA BOLETO "</f>
        <v xml:space="preserve">TAXA BOLETO </v>
      </c>
      <c r="I3743" t="str">
        <f t="shared" si="674"/>
        <v>25/09/2025</v>
      </c>
      <c r="J3743" t="str">
        <f t="shared" si="675"/>
        <v>01/09/2025</v>
      </c>
      <c r="K3743" t="str">
        <f>("25/09/2025")</f>
        <v>25/09/2025</v>
      </c>
      <c r="L3743">
        <v>1.7</v>
      </c>
      <c r="M3743">
        <v>1.7</v>
      </c>
      <c r="N3743">
        <v>401</v>
      </c>
      <c r="O3743" t="str">
        <f>"IOF/JUROS/DESP.FINANCEIRA"</f>
        <v>IOF/JUROS/DESP.FINANCEIRA</v>
      </c>
      <c r="P3743">
        <v>1.7</v>
      </c>
      <c r="S3743" t="str">
        <f>"BANCO CORA (102)"</f>
        <v>BANCO CORA (102)</v>
      </c>
      <c r="T3743">
        <v>22339</v>
      </c>
      <c r="U3743">
        <v>26096</v>
      </c>
      <c r="V3743" t="s">
        <v>22</v>
      </c>
    </row>
    <row r="3744" spans="1:22">
      <c r="A3744" t="str">
        <f t="shared" si="676"/>
        <v>25/09/2025</v>
      </c>
      <c r="B3744" t="str">
        <f t="shared" si="669"/>
        <v>SAÍDA</v>
      </c>
      <c r="C3744" t="str">
        <f t="shared" si="670"/>
        <v>CONHECIMENTO</v>
      </c>
      <c r="D3744" t="str">
        <f t="shared" si="671"/>
        <v>01092025</v>
      </c>
      <c r="E3744" t="str">
        <f>"14"</f>
        <v>14</v>
      </c>
      <c r="F3744" t="str">
        <f t="shared" si="672"/>
        <v>COM</v>
      </c>
      <c r="G3744" t="str">
        <f t="shared" si="673"/>
        <v>CORA SOCIEDADE DE CREDITO, FINANCIAMENTO E INVESTIMENTO (20035)</v>
      </c>
      <c r="H3744" t="s">
        <v>75</v>
      </c>
      <c r="I3744" t="str">
        <f t="shared" si="674"/>
        <v>25/09/2025</v>
      </c>
      <c r="J3744" t="str">
        <f t="shared" si="675"/>
        <v>01/09/2025</v>
      </c>
      <c r="K3744">
        <v>45925</v>
      </c>
      <c r="N3744">
        <v>401</v>
      </c>
      <c r="O3744" t="s">
        <v>76</v>
      </c>
      <c r="Q3744">
        <v>1.7</v>
      </c>
      <c r="R3744" t="str">
        <f>"CORA SOCIEDADE DE CREDITO, FINANCIAMENTO E INVESTIMENTO (20035)"</f>
        <v>CORA SOCIEDADE DE CREDITO, FINANCIAMENTO E INVESTIMENTO (20035)</v>
      </c>
      <c r="S3744" t="s">
        <v>22</v>
      </c>
      <c r="T3744">
        <v>22339</v>
      </c>
      <c r="U3744">
        <v>26096</v>
      </c>
      <c r="V3744" t="s">
        <v>22</v>
      </c>
    </row>
    <row r="3745" spans="1:22">
      <c r="A3745" t="str">
        <f t="shared" si="676"/>
        <v>25/09/2025</v>
      </c>
      <c r="B3745" t="str">
        <f t="shared" si="669"/>
        <v>SAÍDA</v>
      </c>
      <c r="C3745" t="str">
        <f t="shared" si="670"/>
        <v>CONHECIMENTO</v>
      </c>
      <c r="D3745" t="str">
        <f t="shared" si="671"/>
        <v>01092025</v>
      </c>
      <c r="E3745" t="str">
        <f>"15"</f>
        <v>15</v>
      </c>
      <c r="F3745" t="str">
        <f t="shared" si="672"/>
        <v>COM</v>
      </c>
      <c r="G3745" t="str">
        <f t="shared" si="673"/>
        <v>CORA SOCIEDADE DE CREDITO, FINANCIAMENTO E INVESTIMENTO (20035)</v>
      </c>
      <c r="H3745" t="str">
        <f>"TAXA BOLETO "</f>
        <v xml:space="preserve">TAXA BOLETO </v>
      </c>
      <c r="I3745" t="str">
        <f t="shared" si="674"/>
        <v>25/09/2025</v>
      </c>
      <c r="J3745" t="str">
        <f t="shared" si="675"/>
        <v>01/09/2025</v>
      </c>
      <c r="K3745" t="str">
        <f>("25/09/2025")</f>
        <v>25/09/2025</v>
      </c>
      <c r="L3745">
        <v>1.7</v>
      </c>
      <c r="M3745">
        <v>1.7</v>
      </c>
      <c r="N3745">
        <v>401</v>
      </c>
      <c r="O3745" t="str">
        <f>"IOF/JUROS/DESP.FINANCEIRA"</f>
        <v>IOF/JUROS/DESP.FINANCEIRA</v>
      </c>
      <c r="P3745">
        <v>1.7</v>
      </c>
      <c r="S3745" t="str">
        <f>"BANCO CORA (102)"</f>
        <v>BANCO CORA (102)</v>
      </c>
      <c r="T3745">
        <v>22340</v>
      </c>
      <c r="U3745">
        <v>26097</v>
      </c>
      <c r="V3745" t="s">
        <v>22</v>
      </c>
    </row>
    <row r="3746" spans="1:22">
      <c r="A3746" t="str">
        <f t="shared" si="676"/>
        <v>25/09/2025</v>
      </c>
      <c r="B3746" t="str">
        <f t="shared" si="669"/>
        <v>SAÍDA</v>
      </c>
      <c r="C3746" t="str">
        <f t="shared" si="670"/>
        <v>CONHECIMENTO</v>
      </c>
      <c r="D3746" t="str">
        <f t="shared" si="671"/>
        <v>01092025</v>
      </c>
      <c r="E3746" t="str">
        <f>"15"</f>
        <v>15</v>
      </c>
      <c r="F3746" t="str">
        <f t="shared" si="672"/>
        <v>COM</v>
      </c>
      <c r="G3746" t="str">
        <f t="shared" si="673"/>
        <v>CORA SOCIEDADE DE CREDITO, FINANCIAMENTO E INVESTIMENTO (20035)</v>
      </c>
      <c r="H3746" t="s">
        <v>75</v>
      </c>
      <c r="I3746" t="str">
        <f t="shared" si="674"/>
        <v>25/09/2025</v>
      </c>
      <c r="J3746" t="str">
        <f t="shared" si="675"/>
        <v>01/09/2025</v>
      </c>
      <c r="K3746">
        <v>45925</v>
      </c>
      <c r="N3746">
        <v>401</v>
      </c>
      <c r="O3746" t="s">
        <v>76</v>
      </c>
      <c r="Q3746">
        <v>1.7</v>
      </c>
      <c r="R3746" t="str">
        <f>"CORA SOCIEDADE DE CREDITO, FINANCIAMENTO E INVESTIMENTO (20035)"</f>
        <v>CORA SOCIEDADE DE CREDITO, FINANCIAMENTO E INVESTIMENTO (20035)</v>
      </c>
      <c r="S3746" t="s">
        <v>22</v>
      </c>
      <c r="T3746">
        <v>22340</v>
      </c>
      <c r="U3746">
        <v>26097</v>
      </c>
      <c r="V3746" t="s">
        <v>22</v>
      </c>
    </row>
    <row r="3747" spans="1:22">
      <c r="A3747" t="str">
        <f t="shared" si="676"/>
        <v>25/09/2025</v>
      </c>
      <c r="B3747" t="str">
        <f t="shared" si="669"/>
        <v>SAÍDA</v>
      </c>
      <c r="C3747" t="str">
        <f t="shared" si="670"/>
        <v>CONHECIMENTO</v>
      </c>
      <c r="D3747" t="str">
        <f t="shared" si="671"/>
        <v>01092025</v>
      </c>
      <c r="E3747" t="str">
        <f>"16"</f>
        <v>16</v>
      </c>
      <c r="F3747" t="str">
        <f t="shared" si="672"/>
        <v>COM</v>
      </c>
      <c r="G3747" t="str">
        <f t="shared" si="673"/>
        <v>CORA SOCIEDADE DE CREDITO, FINANCIAMENTO E INVESTIMENTO (20035)</v>
      </c>
      <c r="H3747" t="str">
        <f>"TAXA BOLETO "</f>
        <v xml:space="preserve">TAXA BOLETO </v>
      </c>
      <c r="I3747" t="str">
        <f t="shared" si="674"/>
        <v>25/09/2025</v>
      </c>
      <c r="J3747" t="str">
        <f t="shared" si="675"/>
        <v>01/09/2025</v>
      </c>
      <c r="K3747" t="str">
        <f>("25/09/2025")</f>
        <v>25/09/2025</v>
      </c>
      <c r="L3747">
        <v>1.7</v>
      </c>
      <c r="M3747">
        <v>1.7</v>
      </c>
      <c r="N3747">
        <v>401</v>
      </c>
      <c r="O3747" t="str">
        <f>"IOF/JUROS/DESP.FINANCEIRA"</f>
        <v>IOF/JUROS/DESP.FINANCEIRA</v>
      </c>
      <c r="P3747">
        <v>1.7</v>
      </c>
      <c r="S3747" t="str">
        <f>"BANCO CORA (102)"</f>
        <v>BANCO CORA (102)</v>
      </c>
      <c r="T3747">
        <v>22341</v>
      </c>
      <c r="U3747">
        <v>26098</v>
      </c>
      <c r="V3747" t="s">
        <v>22</v>
      </c>
    </row>
    <row r="3748" spans="1:22">
      <c r="A3748" t="str">
        <f t="shared" si="676"/>
        <v>25/09/2025</v>
      </c>
      <c r="B3748" t="str">
        <f t="shared" si="669"/>
        <v>SAÍDA</v>
      </c>
      <c r="C3748" t="str">
        <f t="shared" si="670"/>
        <v>CONHECIMENTO</v>
      </c>
      <c r="D3748" t="str">
        <f t="shared" si="671"/>
        <v>01092025</v>
      </c>
      <c r="E3748" t="str">
        <f>"16"</f>
        <v>16</v>
      </c>
      <c r="F3748" t="str">
        <f t="shared" si="672"/>
        <v>COM</v>
      </c>
      <c r="G3748" t="str">
        <f t="shared" si="673"/>
        <v>CORA SOCIEDADE DE CREDITO, FINANCIAMENTO E INVESTIMENTO (20035)</v>
      </c>
      <c r="H3748" t="s">
        <v>75</v>
      </c>
      <c r="I3748" t="str">
        <f t="shared" si="674"/>
        <v>25/09/2025</v>
      </c>
      <c r="J3748" t="str">
        <f t="shared" si="675"/>
        <v>01/09/2025</v>
      </c>
      <c r="K3748">
        <v>45925</v>
      </c>
      <c r="N3748">
        <v>401</v>
      </c>
      <c r="O3748" t="s">
        <v>76</v>
      </c>
      <c r="Q3748">
        <v>1.7</v>
      </c>
      <c r="R3748" t="str">
        <f>"CORA SOCIEDADE DE CREDITO, FINANCIAMENTO E INVESTIMENTO (20035)"</f>
        <v>CORA SOCIEDADE DE CREDITO, FINANCIAMENTO E INVESTIMENTO (20035)</v>
      </c>
      <c r="S3748" t="s">
        <v>22</v>
      </c>
      <c r="T3748">
        <v>22341</v>
      </c>
      <c r="U3748">
        <v>26098</v>
      </c>
      <c r="V3748" t="s">
        <v>22</v>
      </c>
    </row>
    <row r="3749" spans="1:22">
      <c r="A3749" t="str">
        <f t="shared" si="676"/>
        <v>25/09/2025</v>
      </c>
      <c r="B3749" t="str">
        <f t="shared" ref="B3749:B3754" si="677">"ENTRADA"</f>
        <v>ENTRADA</v>
      </c>
      <c r="C3749" t="str">
        <f>"NFSE"</f>
        <v>NFSE</v>
      </c>
      <c r="D3749" t="str">
        <f>"3354"</f>
        <v>3354</v>
      </c>
      <c r="E3749" t="str">
        <f t="shared" ref="E3749:E3754" si="678">"1"</f>
        <v>1</v>
      </c>
      <c r="F3749" t="str">
        <f t="shared" si="672"/>
        <v>COM</v>
      </c>
      <c r="G3749" t="str">
        <f>"PAGMENOS - LJ 608 (10135)"</f>
        <v>PAGMENOS - LJ 608 (10135)</v>
      </c>
      <c r="H3749" t="str">
        <f>"Serv.Prest. 08/09/2025 a 14/09/2025 - RPS: 1230 - NFSe: 3354"</f>
        <v>Serv.Prest. 08/09/2025 a 14/09/2025 - RPS: 1230 - NFSe: 3354</v>
      </c>
      <c r="I3749" t="str">
        <f t="shared" si="674"/>
        <v>25/09/2025</v>
      </c>
      <c r="J3749" t="str">
        <f>("15/09/2025")</f>
        <v>15/09/2025</v>
      </c>
      <c r="K3749" t="str">
        <f>("25/09/2025")</f>
        <v>25/09/2025</v>
      </c>
      <c r="L3749">
        <v>1922.28</v>
      </c>
      <c r="M3749">
        <v>1922.28</v>
      </c>
      <c r="N3749">
        <v>303</v>
      </c>
      <c r="O3749" t="str">
        <f>"RECEITAS COM ENTREGAS"</f>
        <v>RECEITAS COM ENTREGAS</v>
      </c>
      <c r="P3749">
        <v>1922.28</v>
      </c>
      <c r="S3749" t="str">
        <f>"RECEITAS COM ENTREGAS (303)"</f>
        <v>RECEITAS COM ENTREGAS (303)</v>
      </c>
      <c r="T3749">
        <v>22342</v>
      </c>
      <c r="U3749">
        <v>21975</v>
      </c>
      <c r="V3749" t="s">
        <v>22</v>
      </c>
    </row>
    <row r="3750" spans="1:22">
      <c r="A3750" t="str">
        <f t="shared" si="676"/>
        <v>25/09/2025</v>
      </c>
      <c r="B3750" t="str">
        <f t="shared" si="677"/>
        <v>ENTRADA</v>
      </c>
      <c r="C3750" t="str">
        <f>"NFSE"</f>
        <v>NFSE</v>
      </c>
      <c r="D3750" t="str">
        <f>"3354"</f>
        <v>3354</v>
      </c>
      <c r="E3750" t="str">
        <f t="shared" si="678"/>
        <v>1</v>
      </c>
      <c r="F3750" t="str">
        <f t="shared" si="672"/>
        <v>COM</v>
      </c>
      <c r="G3750" t="str">
        <f>"PAGMENOS - LJ 608 (10135)"</f>
        <v>PAGMENOS - LJ 608 (10135)</v>
      </c>
      <c r="H3750" t="s">
        <v>1065</v>
      </c>
      <c r="I3750" t="str">
        <f t="shared" si="674"/>
        <v>25/09/2025</v>
      </c>
      <c r="J3750" t="str">
        <f>("15/09/2025")</f>
        <v>15/09/2025</v>
      </c>
      <c r="K3750">
        <v>45925</v>
      </c>
      <c r="N3750">
        <v>303</v>
      </c>
      <c r="O3750" t="s">
        <v>69</v>
      </c>
      <c r="Q3750">
        <v>1922.28</v>
      </c>
      <c r="R3750" t="str">
        <f>"PAGMENOS - LJ 608 (10135)"</f>
        <v>PAGMENOS - LJ 608 (10135)</v>
      </c>
      <c r="S3750" t="s">
        <v>70</v>
      </c>
      <c r="T3750">
        <v>22342</v>
      </c>
      <c r="U3750">
        <v>21975</v>
      </c>
      <c r="V3750" t="s">
        <v>22</v>
      </c>
    </row>
    <row r="3751" spans="1:22">
      <c r="A3751" t="str">
        <f t="shared" si="676"/>
        <v>25/09/2025</v>
      </c>
      <c r="B3751" t="str">
        <f t="shared" si="677"/>
        <v>ENTRADA</v>
      </c>
      <c r="C3751" t="str">
        <f>"NFSE"</f>
        <v>NFSE</v>
      </c>
      <c r="D3751" t="str">
        <f>"3355"</f>
        <v>3355</v>
      </c>
      <c r="E3751" t="str">
        <f t="shared" si="678"/>
        <v>1</v>
      </c>
      <c r="F3751" t="str">
        <f t="shared" si="672"/>
        <v>COM</v>
      </c>
      <c r="G3751" t="str">
        <f>"PAGMENOS - LJ 657 (10136)"</f>
        <v>PAGMENOS - LJ 657 (10136)</v>
      </c>
      <c r="H3751" t="str">
        <f>"Serv.Prest. 08/09/2025 a 14/09/2025 - RPS: 1231 - NFSe: 3355"</f>
        <v>Serv.Prest. 08/09/2025 a 14/09/2025 - RPS: 1231 - NFSe: 3355</v>
      </c>
      <c r="I3751" t="str">
        <f t="shared" si="674"/>
        <v>25/09/2025</v>
      </c>
      <c r="J3751" t="str">
        <f>("15/09/2025")</f>
        <v>15/09/2025</v>
      </c>
      <c r="K3751" t="str">
        <f>("25/09/2025")</f>
        <v>25/09/2025</v>
      </c>
      <c r="L3751">
        <v>1605.89</v>
      </c>
      <c r="M3751">
        <v>1605.89</v>
      </c>
      <c r="N3751">
        <v>303</v>
      </c>
      <c r="O3751" t="str">
        <f>"RECEITAS COM ENTREGAS"</f>
        <v>RECEITAS COM ENTREGAS</v>
      </c>
      <c r="P3751">
        <v>1605.89</v>
      </c>
      <c r="S3751" t="str">
        <f>"RECEITAS COM ENTREGAS (303)"</f>
        <v>RECEITAS COM ENTREGAS (303)</v>
      </c>
      <c r="T3751">
        <v>22343</v>
      </c>
      <c r="U3751">
        <v>21978</v>
      </c>
      <c r="V3751" t="s">
        <v>22</v>
      </c>
    </row>
    <row r="3752" spans="1:22">
      <c r="A3752" t="str">
        <f t="shared" si="676"/>
        <v>25/09/2025</v>
      </c>
      <c r="B3752" t="str">
        <f t="shared" si="677"/>
        <v>ENTRADA</v>
      </c>
      <c r="C3752" t="str">
        <f>"NFSE"</f>
        <v>NFSE</v>
      </c>
      <c r="D3752" t="str">
        <f>"3355"</f>
        <v>3355</v>
      </c>
      <c r="E3752" t="str">
        <f t="shared" si="678"/>
        <v>1</v>
      </c>
      <c r="F3752" t="str">
        <f t="shared" si="672"/>
        <v>COM</v>
      </c>
      <c r="G3752" t="str">
        <f>"PAGMENOS - LJ 657 (10136)"</f>
        <v>PAGMENOS - LJ 657 (10136)</v>
      </c>
      <c r="H3752" t="s">
        <v>1066</v>
      </c>
      <c r="I3752" t="str">
        <f t="shared" si="674"/>
        <v>25/09/2025</v>
      </c>
      <c r="J3752" t="str">
        <f>("15/09/2025")</f>
        <v>15/09/2025</v>
      </c>
      <c r="K3752">
        <v>45925</v>
      </c>
      <c r="N3752">
        <v>303</v>
      </c>
      <c r="O3752" t="s">
        <v>69</v>
      </c>
      <c r="Q3752">
        <v>1605.89</v>
      </c>
      <c r="R3752" t="str">
        <f>"PAGMENOS - LJ 657 (10136)"</f>
        <v>PAGMENOS - LJ 657 (10136)</v>
      </c>
      <c r="S3752" t="s">
        <v>70</v>
      </c>
      <c r="T3752">
        <v>22343</v>
      </c>
      <c r="U3752">
        <v>21978</v>
      </c>
      <c r="V3752" t="s">
        <v>22</v>
      </c>
    </row>
    <row r="3753" spans="1:22">
      <c r="A3753" t="str">
        <f t="shared" ref="A3753:A3779" si="679">("26/09/2025")</f>
        <v>26/09/2025</v>
      </c>
      <c r="B3753" t="str">
        <f t="shared" si="677"/>
        <v>ENTRADA</v>
      </c>
      <c r="C3753" t="str">
        <f>"PIX"</f>
        <v>PIX</v>
      </c>
      <c r="D3753" t="str">
        <f>"22329"</f>
        <v>22329</v>
      </c>
      <c r="E3753" t="str">
        <f t="shared" si="678"/>
        <v>1</v>
      </c>
      <c r="F3753" t="str">
        <f t="shared" si="672"/>
        <v>COM</v>
      </c>
      <c r="G3753" t="str">
        <f>"DHIONATAN BARBOSA SANGY CARVALHO (667)"</f>
        <v>DHIONATAN BARBOSA SANGY CARVALHO (667)</v>
      </c>
      <c r="H3753" t="str">
        <f>"DEVOLUCAO VALOR RECEBIDO Serv.Prest. 08/09/2025 a 14/09/2025"</f>
        <v>DEVOLUCAO VALOR RECEBIDO Serv.Prest. 08/09/2025 a 14/09/2025</v>
      </c>
      <c r="I3753" t="str">
        <f>("02/10/2025")</f>
        <v>02/10/2025</v>
      </c>
      <c r="J3753" t="str">
        <f>("23/09/2025")</f>
        <v>23/09/2025</v>
      </c>
      <c r="K3753" t="str">
        <f>("26/09/2025")</f>
        <v>26/09/2025</v>
      </c>
      <c r="L3753">
        <v>120</v>
      </c>
      <c r="M3753">
        <v>120</v>
      </c>
      <c r="N3753">
        <v>108</v>
      </c>
      <c r="O3753" t="str">
        <f>"RECEITAS COM REEMBOLSOS"</f>
        <v>RECEITAS COM REEMBOLSOS</v>
      </c>
      <c r="P3753">
        <v>120</v>
      </c>
      <c r="S3753" t="str">
        <f>"RECEITAS COM REEMBOLSOS (108)"</f>
        <v>RECEITAS COM REEMBOLSOS (108)</v>
      </c>
      <c r="T3753">
        <v>18863</v>
      </c>
      <c r="U3753">
        <v>22329</v>
      </c>
      <c r="V3753" t="s">
        <v>77</v>
      </c>
    </row>
    <row r="3754" spans="1:22">
      <c r="A3754" t="str">
        <f t="shared" si="679"/>
        <v>26/09/2025</v>
      </c>
      <c r="B3754" t="str">
        <f t="shared" si="677"/>
        <v>ENTRADA</v>
      </c>
      <c r="C3754" t="str">
        <f>"PIX"</f>
        <v>PIX</v>
      </c>
      <c r="D3754" t="str">
        <f>"22329"</f>
        <v>22329</v>
      </c>
      <c r="E3754" t="str">
        <f t="shared" si="678"/>
        <v>1</v>
      </c>
      <c r="F3754" t="str">
        <f t="shared" si="672"/>
        <v>COM</v>
      </c>
      <c r="G3754" t="str">
        <f>"DHIONATAN BARBOSA SANGY CARVALHO (667)"</f>
        <v>DHIONATAN BARBOSA SANGY CARVALHO (667)</v>
      </c>
      <c r="H3754" t="s">
        <v>1067</v>
      </c>
      <c r="I3754" t="str">
        <f>("02/10/2025")</f>
        <v>02/10/2025</v>
      </c>
      <c r="J3754" t="str">
        <f>("23/09/2025")</f>
        <v>23/09/2025</v>
      </c>
      <c r="K3754">
        <v>45926</v>
      </c>
      <c r="N3754">
        <v>108</v>
      </c>
      <c r="O3754" t="s">
        <v>54</v>
      </c>
      <c r="Q3754">
        <v>120</v>
      </c>
      <c r="R3754" t="str">
        <f>"DHIONATAN BARBOSA SANGY CARVALHO (667)"</f>
        <v>DHIONATAN BARBOSA SANGY CARVALHO (667)</v>
      </c>
      <c r="S3754" t="s">
        <v>55</v>
      </c>
      <c r="T3754">
        <v>18863</v>
      </c>
      <c r="U3754">
        <v>22329</v>
      </c>
      <c r="V3754" t="s">
        <v>77</v>
      </c>
    </row>
    <row r="3755" spans="1:22">
      <c r="A3755" t="str">
        <f t="shared" si="679"/>
        <v>26/09/2025</v>
      </c>
      <c r="B3755" t="str">
        <f t="shared" ref="B3755:B3762" si="680">"SAÍDA"</f>
        <v>SAÍDA</v>
      </c>
      <c r="C3755" t="str">
        <f>"BOLETO"</f>
        <v>BOLETO</v>
      </c>
      <c r="D3755" t="str">
        <f>"2605"</f>
        <v>2605</v>
      </c>
      <c r="E3755" t="str">
        <f>"29"</f>
        <v>29</v>
      </c>
      <c r="F3755" t="str">
        <f t="shared" si="672"/>
        <v>COM</v>
      </c>
      <c r="G3755" t="str">
        <f>"FLUX TELEMEDICINA (20076)"</f>
        <v>FLUX TELEMEDICINA (20076)</v>
      </c>
      <c r="H3755" t="str">
        <f>"PLANO TELEMEDICINA COOPERADOS"</f>
        <v>PLANO TELEMEDICINA COOPERADOS</v>
      </c>
      <c r="I3755" t="str">
        <f t="shared" ref="I3755:I3760" si="681">("26/09/2025")</f>
        <v>26/09/2025</v>
      </c>
      <c r="J3755" t="str">
        <f>("01/05/2025")</f>
        <v>01/05/2025</v>
      </c>
      <c r="K3755" t="str">
        <f>("26/09/2025")</f>
        <v>26/09/2025</v>
      </c>
      <c r="L3755">
        <v>2005.26</v>
      </c>
      <c r="M3755">
        <v>2005.26</v>
      </c>
      <c r="N3755">
        <v>192</v>
      </c>
      <c r="O3755" t="str">
        <f>"PLANOS E SEGUROS"</f>
        <v>PLANOS E SEGUROS</v>
      </c>
      <c r="P3755">
        <v>2005.26</v>
      </c>
      <c r="S3755" t="str">
        <f>"BANCO CORA (102)"</f>
        <v>BANCO CORA (102)</v>
      </c>
      <c r="T3755">
        <v>18864</v>
      </c>
      <c r="U3755">
        <v>22517</v>
      </c>
      <c r="V3755" t="s">
        <v>22</v>
      </c>
    </row>
    <row r="3756" spans="1:22">
      <c r="A3756" t="str">
        <f t="shared" si="679"/>
        <v>26/09/2025</v>
      </c>
      <c r="B3756" t="str">
        <f t="shared" si="680"/>
        <v>SAÍDA</v>
      </c>
      <c r="C3756" t="str">
        <f>"BOLETO"</f>
        <v>BOLETO</v>
      </c>
      <c r="D3756" t="str">
        <f>"2605"</f>
        <v>2605</v>
      </c>
      <c r="E3756" t="str">
        <f>"29"</f>
        <v>29</v>
      </c>
      <c r="F3756" t="str">
        <f t="shared" si="672"/>
        <v>COM</v>
      </c>
      <c r="G3756" t="str">
        <f>"FLUX TELEMEDICINA (20076)"</f>
        <v>FLUX TELEMEDICINA (20076)</v>
      </c>
      <c r="H3756" t="s">
        <v>1068</v>
      </c>
      <c r="I3756" t="str">
        <f t="shared" si="681"/>
        <v>26/09/2025</v>
      </c>
      <c r="J3756" t="str">
        <f>("01/05/2025")</f>
        <v>01/05/2025</v>
      </c>
      <c r="K3756">
        <v>45926</v>
      </c>
      <c r="N3756">
        <v>192</v>
      </c>
      <c r="O3756" t="s">
        <v>38</v>
      </c>
      <c r="Q3756">
        <v>2005.26</v>
      </c>
      <c r="R3756" t="str">
        <f>"FLUX TELEMEDICINA (20076)"</f>
        <v>FLUX TELEMEDICINA (20076)</v>
      </c>
      <c r="S3756" t="s">
        <v>22</v>
      </c>
      <c r="T3756">
        <v>18864</v>
      </c>
      <c r="U3756">
        <v>22517</v>
      </c>
      <c r="V3756" t="s">
        <v>22</v>
      </c>
    </row>
    <row r="3757" spans="1:22">
      <c r="A3757" t="str">
        <f t="shared" si="679"/>
        <v>26/09/2025</v>
      </c>
      <c r="B3757" t="str">
        <f t="shared" si="680"/>
        <v>SAÍDA</v>
      </c>
      <c r="C3757" t="str">
        <f>"BOLETO"</f>
        <v>BOLETO</v>
      </c>
      <c r="D3757" t="str">
        <f>"2605"</f>
        <v>2605</v>
      </c>
      <c r="E3757" t="str">
        <f>"29"</f>
        <v>29</v>
      </c>
      <c r="F3757" t="str">
        <f t="shared" si="672"/>
        <v>COM</v>
      </c>
      <c r="G3757" t="str">
        <f>"FLUX TELEMEDICINA (20076)"</f>
        <v>FLUX TELEMEDICINA (20076)</v>
      </c>
      <c r="H3757" t="str">
        <f>"PLANO TELEMEDICINA COOPERADOS"</f>
        <v>PLANO TELEMEDICINA COOPERADOS</v>
      </c>
      <c r="I3757" t="str">
        <f t="shared" si="681"/>
        <v>26/09/2025</v>
      </c>
      <c r="J3757" t="str">
        <f>("01/05/2025")</f>
        <v>01/05/2025</v>
      </c>
      <c r="K3757" t="str">
        <f>("26/09/2025")</f>
        <v>26/09/2025</v>
      </c>
      <c r="L3757">
        <v>1500.7</v>
      </c>
      <c r="M3757">
        <v>1479.54</v>
      </c>
      <c r="N3757">
        <v>192</v>
      </c>
      <c r="O3757" t="str">
        <f>"PLANOS E SEGUROS"</f>
        <v>PLANOS E SEGUROS</v>
      </c>
      <c r="P3757">
        <v>1479.54</v>
      </c>
      <c r="S3757" t="str">
        <f>"BANCO CORA (102)"</f>
        <v>BANCO CORA (102)</v>
      </c>
      <c r="T3757">
        <v>18865</v>
      </c>
      <c r="U3757">
        <v>15464</v>
      </c>
      <c r="V3757" t="s">
        <v>22</v>
      </c>
    </row>
    <row r="3758" spans="1:22">
      <c r="A3758" t="str">
        <f t="shared" si="679"/>
        <v>26/09/2025</v>
      </c>
      <c r="B3758" t="str">
        <f t="shared" si="680"/>
        <v>SAÍDA</v>
      </c>
      <c r="C3758" t="str">
        <f>"BOLETO"</f>
        <v>BOLETO</v>
      </c>
      <c r="D3758" t="str">
        <f>"2605"</f>
        <v>2605</v>
      </c>
      <c r="E3758" t="str">
        <f>"29"</f>
        <v>29</v>
      </c>
      <c r="F3758" t="str">
        <f t="shared" si="672"/>
        <v>COM</v>
      </c>
      <c r="G3758" t="str">
        <f>"FLUX TELEMEDICINA (20076)"</f>
        <v>FLUX TELEMEDICINA (20076)</v>
      </c>
      <c r="H3758" t="s">
        <v>1068</v>
      </c>
      <c r="I3758" t="str">
        <f t="shared" si="681"/>
        <v>26/09/2025</v>
      </c>
      <c r="J3758" t="str">
        <f>("01/05/2025")</f>
        <v>01/05/2025</v>
      </c>
      <c r="K3758">
        <v>45926</v>
      </c>
      <c r="N3758">
        <v>192</v>
      </c>
      <c r="O3758" t="s">
        <v>38</v>
      </c>
      <c r="Q3758">
        <v>1479.54</v>
      </c>
      <c r="R3758" t="str">
        <f>"FLUX TELEMEDICINA (20076)"</f>
        <v>FLUX TELEMEDICINA (20076)</v>
      </c>
      <c r="S3758" t="s">
        <v>22</v>
      </c>
      <c r="T3758">
        <v>18865</v>
      </c>
      <c r="U3758">
        <v>15464</v>
      </c>
      <c r="V3758" t="s">
        <v>22</v>
      </c>
    </row>
    <row r="3759" spans="1:22">
      <c r="A3759" t="str">
        <f t="shared" si="679"/>
        <v>26/09/2025</v>
      </c>
      <c r="B3759" t="str">
        <f t="shared" si="680"/>
        <v>SAÍDA</v>
      </c>
      <c r="C3759" t="str">
        <f>"DINHEIRO"</f>
        <v>DINHEIRO</v>
      </c>
      <c r="D3759" t="str">
        <f>"2609"</f>
        <v>2609</v>
      </c>
      <c r="E3759" t="str">
        <f>"25"</f>
        <v>25</v>
      </c>
      <c r="F3759" t="str">
        <f t="shared" si="672"/>
        <v>COM</v>
      </c>
      <c r="G3759" t="str">
        <f>"ELIENAI ROSA DO NASCIMENTO (343)"</f>
        <v>ELIENAI ROSA DO NASCIMENTO (343)</v>
      </c>
      <c r="H3759" t="str">
        <f>"DIARIA 21/09/2025 - CANDEIAS - PIX: CPF - CHAVE: 048.672.645-20"</f>
        <v>DIARIA 21/09/2025 - CANDEIAS - PIX: CPF - CHAVE: 048.672.645-20</v>
      </c>
      <c r="I3759" t="str">
        <f t="shared" si="681"/>
        <v>26/09/2025</v>
      </c>
      <c r="J3759" t="str">
        <f>("21/09/2025")</f>
        <v>21/09/2025</v>
      </c>
      <c r="K3759" t="str">
        <f>("26/09/2025")</f>
        <v>26/09/2025</v>
      </c>
      <c r="L3759">
        <v>140</v>
      </c>
      <c r="M3759">
        <v>140</v>
      </c>
      <c r="N3759">
        <v>109</v>
      </c>
      <c r="O3759" t="str">
        <f>"PAGAMENTO DE ENTREGADORES"</f>
        <v>PAGAMENTO DE ENTREGADORES</v>
      </c>
      <c r="P3759">
        <v>140</v>
      </c>
      <c r="S3759" t="str">
        <f>"BANCO CORA (102)"</f>
        <v>BANCO CORA (102)</v>
      </c>
      <c r="T3759">
        <v>18866</v>
      </c>
      <c r="U3759">
        <v>22519</v>
      </c>
      <c r="V3759" t="s">
        <v>22</v>
      </c>
    </row>
    <row r="3760" spans="1:22">
      <c r="A3760" t="str">
        <f t="shared" si="679"/>
        <v>26/09/2025</v>
      </c>
      <c r="B3760" t="str">
        <f t="shared" si="680"/>
        <v>SAÍDA</v>
      </c>
      <c r="C3760" t="str">
        <f>"DINHEIRO"</f>
        <v>DINHEIRO</v>
      </c>
      <c r="D3760" t="str">
        <f>"2609"</f>
        <v>2609</v>
      </c>
      <c r="E3760" t="str">
        <f>"25"</f>
        <v>25</v>
      </c>
      <c r="F3760" t="str">
        <f t="shared" si="672"/>
        <v>COM</v>
      </c>
      <c r="G3760" t="str">
        <f>"ELIENAI ROSA DO NASCIMENTO (343)"</f>
        <v>ELIENAI ROSA DO NASCIMENTO (343)</v>
      </c>
      <c r="H3760" t="s">
        <v>1069</v>
      </c>
      <c r="I3760" t="str">
        <f t="shared" si="681"/>
        <v>26/09/2025</v>
      </c>
      <c r="J3760" t="str">
        <f>("21/09/2025")</f>
        <v>21/09/2025</v>
      </c>
      <c r="K3760">
        <v>45926</v>
      </c>
      <c r="N3760">
        <v>109</v>
      </c>
      <c r="O3760" t="s">
        <v>24</v>
      </c>
      <c r="Q3760">
        <v>140</v>
      </c>
      <c r="R3760" t="str">
        <f>"DELTA LOJA 2 (10123)"</f>
        <v>DELTA LOJA 2 (10123)</v>
      </c>
      <c r="S3760" t="s">
        <v>22</v>
      </c>
      <c r="T3760">
        <v>18866</v>
      </c>
      <c r="U3760">
        <v>22519</v>
      </c>
      <c r="V3760" t="s">
        <v>22</v>
      </c>
    </row>
    <row r="3761" spans="1:22">
      <c r="A3761" t="str">
        <f t="shared" si="679"/>
        <v>26/09/2025</v>
      </c>
      <c r="B3761" t="str">
        <f t="shared" si="680"/>
        <v>SAÍDA</v>
      </c>
      <c r="C3761" t="str">
        <f>"PIX"</f>
        <v>PIX</v>
      </c>
      <c r="D3761" t="str">
        <f>"22704"</f>
        <v>22704</v>
      </c>
      <c r="E3761" t="str">
        <f>"1"</f>
        <v>1</v>
      </c>
      <c r="F3761" t="str">
        <f t="shared" si="672"/>
        <v>COM</v>
      </c>
      <c r="G3761" t="str">
        <f>"JOEL ARAGAO SALES (864)"</f>
        <v>JOEL ARAGAO SALES (864)</v>
      </c>
      <c r="H3761" t="str">
        <f>"Serv.Prest. 22/09/2025 a 28/09/2025 - PIX: CPF - CHAVE: 052.353.883-99"</f>
        <v>Serv.Prest. 22/09/2025 a 28/09/2025 - PIX: CPF - CHAVE: 052.353.883-99</v>
      </c>
      <c r="I3761" t="str">
        <f>("02/10/2025")</f>
        <v>02/10/2025</v>
      </c>
      <c r="J3761" t="str">
        <f>("29/09/2025")</f>
        <v>29/09/2025</v>
      </c>
      <c r="K3761" t="str">
        <f>("26/09/2025")</f>
        <v>26/09/2025</v>
      </c>
      <c r="L3761">
        <v>52</v>
      </c>
      <c r="M3761">
        <v>130</v>
      </c>
      <c r="N3761">
        <v>109</v>
      </c>
      <c r="O3761" t="str">
        <f>"PAGAMENTO DE ENTREGADORES"</f>
        <v>PAGAMENTO DE ENTREGADORES</v>
      </c>
      <c r="P3761">
        <v>130</v>
      </c>
      <c r="S3761" t="str">
        <f>"BANCO CORA (102)"</f>
        <v>BANCO CORA (102)</v>
      </c>
      <c r="T3761">
        <v>18872</v>
      </c>
      <c r="U3761">
        <v>22704</v>
      </c>
      <c r="V3761" t="s">
        <v>22</v>
      </c>
    </row>
    <row r="3762" spans="1:22">
      <c r="A3762" t="str">
        <f t="shared" si="679"/>
        <v>26/09/2025</v>
      </c>
      <c r="B3762" t="str">
        <f t="shared" si="680"/>
        <v>SAÍDA</v>
      </c>
      <c r="C3762" t="str">
        <f>"PIX"</f>
        <v>PIX</v>
      </c>
      <c r="D3762" t="str">
        <f>"22704"</f>
        <v>22704</v>
      </c>
      <c r="E3762" t="str">
        <f>"1"</f>
        <v>1</v>
      </c>
      <c r="F3762" t="str">
        <f t="shared" si="672"/>
        <v>COM</v>
      </c>
      <c r="G3762" t="str">
        <f>"JOEL ARAGAO SALES (864)"</f>
        <v>JOEL ARAGAO SALES (864)</v>
      </c>
      <c r="H3762" t="s">
        <v>1070</v>
      </c>
      <c r="I3762" t="str">
        <f>("02/10/2025")</f>
        <v>02/10/2025</v>
      </c>
      <c r="J3762" t="str">
        <f>("29/09/2025")</f>
        <v>29/09/2025</v>
      </c>
      <c r="K3762">
        <v>45926</v>
      </c>
      <c r="N3762">
        <v>109</v>
      </c>
      <c r="O3762" t="s">
        <v>24</v>
      </c>
      <c r="Q3762">
        <v>130</v>
      </c>
      <c r="R3762" t="str">
        <f>"DROGARIA MEDIC CENTER LTDA (10172)"</f>
        <v>DROGARIA MEDIC CENTER LTDA (10172)</v>
      </c>
      <c r="S3762" t="s">
        <v>22</v>
      </c>
      <c r="T3762">
        <v>18872</v>
      </c>
      <c r="U3762">
        <v>22704</v>
      </c>
      <c r="V3762" t="s">
        <v>22</v>
      </c>
    </row>
    <row r="3763" spans="1:22">
      <c r="A3763" t="str">
        <f t="shared" si="679"/>
        <v>26/09/2025</v>
      </c>
      <c r="B3763" t="str">
        <f>"ENTRADA"</f>
        <v>ENTRADA</v>
      </c>
      <c r="C3763" t="str">
        <f>"APLICACAO"</f>
        <v>APLICACAO</v>
      </c>
      <c r="D3763" t="str">
        <f>""</f>
        <v/>
      </c>
      <c r="F3763" t="str">
        <f>"APL"</f>
        <v>APL</v>
      </c>
      <c r="G3763" t="str">
        <f>""</f>
        <v/>
      </c>
      <c r="H3763" t="str">
        <f>"APLICAÇÃO EM CDB C6"</f>
        <v>APLICAÇÃO EM CDB C6</v>
      </c>
      <c r="I3763" t="str">
        <f t="shared" ref="I3763:K3771" si="682">("26/09/2025")</f>
        <v>26/09/2025</v>
      </c>
      <c r="J3763" t="str">
        <f t="shared" si="682"/>
        <v>26/09/2025</v>
      </c>
      <c r="K3763" t="str">
        <f t="shared" si="682"/>
        <v>26/09/2025</v>
      </c>
      <c r="N3763">
        <v>121</v>
      </c>
      <c r="O3763" t="str">
        <f>"APLICAÇÃO BANCO A"</f>
        <v>APLICAÇÃO BANCO A</v>
      </c>
      <c r="P3763">
        <v>5444</v>
      </c>
      <c r="S3763" t="str">
        <f>"APLICAÇÃO BANCO A (121)"</f>
        <v>APLICAÇÃO BANCO A (121)</v>
      </c>
      <c r="T3763">
        <v>22189</v>
      </c>
      <c r="U3763">
        <v>0</v>
      </c>
      <c r="V3763" t="s">
        <v>1071</v>
      </c>
    </row>
    <row r="3764" spans="1:22">
      <c r="A3764" t="str">
        <f t="shared" si="679"/>
        <v>26/09/2025</v>
      </c>
      <c r="B3764" t="str">
        <f>"SAÍDA"</f>
        <v>SAÍDA</v>
      </c>
      <c r="C3764" t="str">
        <f>"APLICACAO"</f>
        <v>APLICACAO</v>
      </c>
      <c r="D3764" t="str">
        <f>""</f>
        <v/>
      </c>
      <c r="F3764" t="str">
        <f>"APL"</f>
        <v>APL</v>
      </c>
      <c r="G3764" t="str">
        <f>""</f>
        <v/>
      </c>
      <c r="H3764" t="str">
        <f>"APLICAÇÃO EM CDB C6"</f>
        <v>APLICAÇÃO EM CDB C6</v>
      </c>
      <c r="I3764" t="str">
        <f t="shared" si="682"/>
        <v>26/09/2025</v>
      </c>
      <c r="J3764" t="str">
        <f t="shared" si="682"/>
        <v>26/09/2025</v>
      </c>
      <c r="K3764" t="str">
        <f t="shared" si="682"/>
        <v>26/09/2025</v>
      </c>
      <c r="N3764">
        <v>149</v>
      </c>
      <c r="O3764" t="str">
        <f>"BANCO C6"</f>
        <v>BANCO C6</v>
      </c>
      <c r="S3764" t="str">
        <f>"BANCO C6 (149)"</f>
        <v>BANCO C6 (149)</v>
      </c>
      <c r="T3764">
        <v>22189</v>
      </c>
      <c r="U3764">
        <v>0</v>
      </c>
      <c r="V3764" t="s">
        <v>77</v>
      </c>
    </row>
    <row r="3765" spans="1:22">
      <c r="A3765" t="str">
        <f t="shared" si="679"/>
        <v>26/09/2025</v>
      </c>
      <c r="B3765" t="str">
        <f>"SAÍDA"</f>
        <v>SAÍDA</v>
      </c>
      <c r="C3765" t="str">
        <f t="shared" ref="C3765:C3770" si="683">"TRANSFERENCIA"</f>
        <v>TRANSFERENCIA</v>
      </c>
      <c r="D3765" t="str">
        <f>""</f>
        <v/>
      </c>
      <c r="F3765" t="str">
        <f t="shared" ref="F3765:F3770" si="684">"TRF"</f>
        <v>TRF</v>
      </c>
      <c r="G3765" t="str">
        <f>""</f>
        <v/>
      </c>
      <c r="H3765" t="str">
        <f>"TRANSFERENCIA ENTRE BANCOS  (102-&gt;149)"</f>
        <v>TRANSFERENCIA ENTRE BANCOS  (102-&gt;149)</v>
      </c>
      <c r="I3765" t="str">
        <f t="shared" si="682"/>
        <v>26/09/2025</v>
      </c>
      <c r="J3765" t="str">
        <f t="shared" si="682"/>
        <v>26/09/2025</v>
      </c>
      <c r="K3765" t="str">
        <f t="shared" si="682"/>
        <v>26/09/2025</v>
      </c>
      <c r="N3765">
        <v>102</v>
      </c>
      <c r="O3765" t="str">
        <f>"BANCO CORA"</f>
        <v>BANCO CORA</v>
      </c>
      <c r="P3765">
        <v>5324.46</v>
      </c>
      <c r="S3765" t="str">
        <f>"BANCO CORA (102)"</f>
        <v>BANCO CORA (102)</v>
      </c>
      <c r="T3765">
        <v>22349</v>
      </c>
      <c r="U3765">
        <v>0</v>
      </c>
      <c r="V3765" t="s">
        <v>22</v>
      </c>
    </row>
    <row r="3766" spans="1:22">
      <c r="A3766" t="str">
        <f t="shared" si="679"/>
        <v>26/09/2025</v>
      </c>
      <c r="B3766" t="str">
        <f>"ENTRADA"</f>
        <v>ENTRADA</v>
      </c>
      <c r="C3766" t="str">
        <f t="shared" si="683"/>
        <v>TRANSFERENCIA</v>
      </c>
      <c r="D3766" t="str">
        <f>""</f>
        <v/>
      </c>
      <c r="F3766" t="str">
        <f t="shared" si="684"/>
        <v>TRF</v>
      </c>
      <c r="G3766" t="str">
        <f>""</f>
        <v/>
      </c>
      <c r="H3766" t="str">
        <f>"TRANSFERENCIA ENTRE BANCOS  (102-&gt;149)"</f>
        <v>TRANSFERENCIA ENTRE BANCOS  (102-&gt;149)</v>
      </c>
      <c r="I3766" t="str">
        <f t="shared" si="682"/>
        <v>26/09/2025</v>
      </c>
      <c r="J3766" t="str">
        <f t="shared" si="682"/>
        <v>26/09/2025</v>
      </c>
      <c r="K3766" t="str">
        <f t="shared" si="682"/>
        <v>26/09/2025</v>
      </c>
      <c r="N3766">
        <v>149</v>
      </c>
      <c r="O3766" t="str">
        <f>"BANCO C6"</f>
        <v>BANCO C6</v>
      </c>
      <c r="S3766" t="str">
        <f>"BANCO C6 (149)"</f>
        <v>BANCO C6 (149)</v>
      </c>
      <c r="T3766">
        <v>22349</v>
      </c>
      <c r="U3766">
        <v>0</v>
      </c>
      <c r="V3766" t="s">
        <v>77</v>
      </c>
    </row>
    <row r="3767" spans="1:22">
      <c r="A3767" t="str">
        <f t="shared" si="679"/>
        <v>26/09/2025</v>
      </c>
      <c r="B3767" t="str">
        <f>"SAÍDA"</f>
        <v>SAÍDA</v>
      </c>
      <c r="C3767" t="str">
        <f t="shared" si="683"/>
        <v>TRANSFERENCIA</v>
      </c>
      <c r="D3767" t="str">
        <f>""</f>
        <v/>
      </c>
      <c r="F3767" t="str">
        <f t="shared" si="684"/>
        <v>TRF</v>
      </c>
      <c r="G3767" t="str">
        <f>""</f>
        <v/>
      </c>
      <c r="H3767" t="str">
        <f>"RESERVA DE CREDITO CORA (102-&gt;138)"</f>
        <v>RESERVA DE CREDITO CORA (102-&gt;138)</v>
      </c>
      <c r="I3767" t="str">
        <f t="shared" si="682"/>
        <v>26/09/2025</v>
      </c>
      <c r="J3767" t="str">
        <f t="shared" si="682"/>
        <v>26/09/2025</v>
      </c>
      <c r="K3767" t="str">
        <f t="shared" si="682"/>
        <v>26/09/2025</v>
      </c>
      <c r="N3767">
        <v>102</v>
      </c>
      <c r="O3767" t="str">
        <f>"BANCO CORA"</f>
        <v>BANCO CORA</v>
      </c>
      <c r="P3767">
        <v>3000</v>
      </c>
      <c r="S3767" t="str">
        <f>"BANCO CORA (102)"</f>
        <v>BANCO CORA (102)</v>
      </c>
      <c r="T3767">
        <v>22350</v>
      </c>
      <c r="U3767">
        <v>0</v>
      </c>
      <c r="V3767" t="s">
        <v>22</v>
      </c>
    </row>
    <row r="3768" spans="1:22">
      <c r="A3768" t="str">
        <f t="shared" si="679"/>
        <v>26/09/2025</v>
      </c>
      <c r="B3768" t="str">
        <f>"ENTRADA"</f>
        <v>ENTRADA</v>
      </c>
      <c r="C3768" t="str">
        <f t="shared" si="683"/>
        <v>TRANSFERENCIA</v>
      </c>
      <c r="D3768" t="str">
        <f>""</f>
        <v/>
      </c>
      <c r="F3768" t="str">
        <f t="shared" si="684"/>
        <v>TRF</v>
      </c>
      <c r="G3768" t="str">
        <f>""</f>
        <v/>
      </c>
      <c r="H3768" t="str">
        <f>"RESERVA DE CREDITO CORA (102-&gt;138)"</f>
        <v>RESERVA DE CREDITO CORA (102-&gt;138)</v>
      </c>
      <c r="I3768" t="str">
        <f t="shared" si="682"/>
        <v>26/09/2025</v>
      </c>
      <c r="J3768" t="str">
        <f t="shared" si="682"/>
        <v>26/09/2025</v>
      </c>
      <c r="K3768" t="str">
        <f t="shared" si="682"/>
        <v>26/09/2025</v>
      </c>
      <c r="N3768">
        <v>138</v>
      </c>
      <c r="O3768" t="str">
        <f>"CARTÃO CREDITO COOPMOB"</f>
        <v>CARTÃO CREDITO COOPMOB</v>
      </c>
      <c r="S3768" t="str">
        <f>"CARTÃO CREDITO COOPMOB (138)"</f>
        <v>CARTÃO CREDITO COOPMOB (138)</v>
      </c>
      <c r="T3768">
        <v>22350</v>
      </c>
      <c r="U3768">
        <v>0</v>
      </c>
      <c r="V3768" t="s">
        <v>544</v>
      </c>
    </row>
    <row r="3769" spans="1:22">
      <c r="A3769" t="str">
        <f t="shared" si="679"/>
        <v>26/09/2025</v>
      </c>
      <c r="B3769" t="str">
        <f>"SAÍDA"</f>
        <v>SAÍDA</v>
      </c>
      <c r="C3769" t="str">
        <f t="shared" si="683"/>
        <v>TRANSFERENCIA</v>
      </c>
      <c r="D3769" t="str">
        <f>""</f>
        <v/>
      </c>
      <c r="F3769" t="str">
        <f t="shared" si="684"/>
        <v>TRF</v>
      </c>
      <c r="G3769" t="str">
        <f>""</f>
        <v/>
      </c>
      <c r="H3769" t="str">
        <f>"DEVOLUÇÃO DA AJUDA DE CAIXA  (102-&gt;131)"</f>
        <v>DEVOLUÇÃO DA AJUDA DE CAIXA  (102-&gt;131)</v>
      </c>
      <c r="I3769" t="str">
        <f t="shared" si="682"/>
        <v>26/09/2025</v>
      </c>
      <c r="J3769" t="str">
        <f t="shared" si="682"/>
        <v>26/09/2025</v>
      </c>
      <c r="K3769" t="str">
        <f t="shared" si="682"/>
        <v>26/09/2025</v>
      </c>
      <c r="N3769">
        <v>102</v>
      </c>
      <c r="O3769" t="str">
        <f>"BANCO CORA"</f>
        <v>BANCO CORA</v>
      </c>
      <c r="P3769">
        <v>10000</v>
      </c>
      <c r="S3769" t="str">
        <f>"BANCO CORA (102)"</f>
        <v>BANCO CORA (102)</v>
      </c>
      <c r="T3769">
        <v>22351</v>
      </c>
      <c r="U3769">
        <v>0</v>
      </c>
      <c r="V3769" t="s">
        <v>22</v>
      </c>
    </row>
    <row r="3770" spans="1:22">
      <c r="A3770" t="str">
        <f t="shared" si="679"/>
        <v>26/09/2025</v>
      </c>
      <c r="B3770" t="str">
        <f>"ENTRADA"</f>
        <v>ENTRADA</v>
      </c>
      <c r="C3770" t="str">
        <f t="shared" si="683"/>
        <v>TRANSFERENCIA</v>
      </c>
      <c r="D3770" t="str">
        <f>""</f>
        <v/>
      </c>
      <c r="F3770" t="str">
        <f t="shared" si="684"/>
        <v>TRF</v>
      </c>
      <c r="G3770" t="str">
        <f>""</f>
        <v/>
      </c>
      <c r="H3770" t="str">
        <f>"DEVOLUÇÃO DA AJUDA DE CAIXA  (102-&gt;131)"</f>
        <v>DEVOLUÇÃO DA AJUDA DE CAIXA  (102-&gt;131)</v>
      </c>
      <c r="I3770" t="str">
        <f t="shared" si="682"/>
        <v>26/09/2025</v>
      </c>
      <c r="J3770" t="str">
        <f t="shared" si="682"/>
        <v>26/09/2025</v>
      </c>
      <c r="K3770" t="str">
        <f t="shared" si="682"/>
        <v>26/09/2025</v>
      </c>
      <c r="N3770">
        <v>131</v>
      </c>
      <c r="O3770" t="str">
        <f>"CAIXA - FLUX"</f>
        <v>CAIXA - FLUX</v>
      </c>
      <c r="S3770" t="str">
        <f>"CAIXA - FLUX (131)"</f>
        <v>CAIXA - FLUX (131)</v>
      </c>
      <c r="T3770">
        <v>22351</v>
      </c>
      <c r="U3770">
        <v>0</v>
      </c>
      <c r="V3770" t="s">
        <v>577</v>
      </c>
    </row>
    <row r="3771" spans="1:22">
      <c r="A3771" t="str">
        <f t="shared" si="679"/>
        <v>26/09/2025</v>
      </c>
      <c r="B3771" t="str">
        <f>"SAÍDA"</f>
        <v>SAÍDA</v>
      </c>
      <c r="C3771" t="str">
        <f>""</f>
        <v/>
      </c>
      <c r="D3771" t="str">
        <f>""</f>
        <v/>
      </c>
      <c r="F3771" t="str">
        <f>"CXA"</f>
        <v>CXA</v>
      </c>
      <c r="G3771" t="str">
        <f>"CORA SOCIEDADE DE CREDITO, FINANCIAMENTO E INVESTIMENTO (20035)"</f>
        <v>CORA SOCIEDADE DE CREDITO, FINANCIAMENTO E INVESTIMENTO (20035)</v>
      </c>
      <c r="H3771" t="str">
        <f>"BOLETO DESESPAS DE VIAGEM CORA"</f>
        <v>BOLETO DESESPAS DE VIAGEM CORA</v>
      </c>
      <c r="I3771" t="str">
        <f t="shared" si="682"/>
        <v>26/09/2025</v>
      </c>
      <c r="J3771" t="str">
        <f t="shared" si="682"/>
        <v>26/09/2025</v>
      </c>
      <c r="K3771" t="str">
        <f t="shared" si="682"/>
        <v>26/09/2025</v>
      </c>
      <c r="L3771">
        <v>1986.57</v>
      </c>
      <c r="M3771">
        <v>1986.57</v>
      </c>
      <c r="N3771">
        <v>117</v>
      </c>
      <c r="O3771" t="str">
        <f>"DESPESAS COM VIAGENS COMERCIAIS"</f>
        <v>DESPESAS COM VIAGENS COMERCIAIS</v>
      </c>
      <c r="P3771">
        <v>1986.57</v>
      </c>
      <c r="S3771" t="str">
        <f>"BANCO CORA (102)"</f>
        <v>BANCO CORA (102)</v>
      </c>
      <c r="T3771">
        <v>22352</v>
      </c>
      <c r="U3771">
        <v>0</v>
      </c>
      <c r="V3771" t="s">
        <v>1072</v>
      </c>
    </row>
    <row r="3772" spans="1:22">
      <c r="A3772" t="str">
        <f t="shared" si="679"/>
        <v>26/09/2025</v>
      </c>
      <c r="B3772" t="str">
        <f>"ENTRADA"</f>
        <v>ENTRADA</v>
      </c>
      <c r="C3772" t="str">
        <f>"NFSE"</f>
        <v>NFSE</v>
      </c>
      <c r="D3772" t="str">
        <f>"3380"</f>
        <v>3380</v>
      </c>
      <c r="E3772" t="str">
        <f>"1"</f>
        <v>1</v>
      </c>
      <c r="F3772" t="str">
        <f t="shared" ref="F3772:F3803" si="685">"COM"</f>
        <v>COM</v>
      </c>
      <c r="G3772" t="str">
        <f>"DROGARIA POUPA MINAS (ULTRAMINAS) 3 (10129)"</f>
        <v>DROGARIA POUPA MINAS (ULTRAMINAS) 3 (10129)</v>
      </c>
      <c r="H3772" t="str">
        <f>"Serv.Prest. 15/09/2025 a 21/09/2025 - RPS: 1256 - NFSe: 3380"</f>
        <v>Serv.Prest. 15/09/2025 a 21/09/2025 - RPS: 1256 - NFSe: 3380</v>
      </c>
      <c r="I3772" t="str">
        <f>("25/09/2025")</f>
        <v>25/09/2025</v>
      </c>
      <c r="J3772" t="str">
        <f>("22/09/2025")</f>
        <v>22/09/2025</v>
      </c>
      <c r="K3772" t="str">
        <f>("26/09/2025")</f>
        <v>26/09/2025</v>
      </c>
      <c r="L3772">
        <v>1544.4</v>
      </c>
      <c r="M3772">
        <v>1544.4</v>
      </c>
      <c r="N3772">
        <v>303</v>
      </c>
      <c r="O3772" t="str">
        <f>"RECEITAS COM ENTREGAS"</f>
        <v>RECEITAS COM ENTREGAS</v>
      </c>
      <c r="P3772">
        <v>1544.4</v>
      </c>
      <c r="S3772" t="str">
        <f>"RECEITAS COM ENTREGAS (303)"</f>
        <v>RECEITAS COM ENTREGAS (303)</v>
      </c>
      <c r="T3772">
        <v>22353</v>
      </c>
      <c r="U3772">
        <v>22249</v>
      </c>
      <c r="V3772" t="s">
        <v>22</v>
      </c>
    </row>
    <row r="3773" spans="1:22">
      <c r="A3773" t="str">
        <f t="shared" si="679"/>
        <v>26/09/2025</v>
      </c>
      <c r="B3773" t="str">
        <f>"ENTRADA"</f>
        <v>ENTRADA</v>
      </c>
      <c r="C3773" t="str">
        <f>"NFSE"</f>
        <v>NFSE</v>
      </c>
      <c r="D3773" t="str">
        <f>"3380"</f>
        <v>3380</v>
      </c>
      <c r="E3773" t="str">
        <f>"1"</f>
        <v>1</v>
      </c>
      <c r="F3773" t="str">
        <f t="shared" si="685"/>
        <v>COM</v>
      </c>
      <c r="G3773" t="str">
        <f>"DROGARIA POUPA MINAS (ULTRAMINAS) 3 (10129)"</f>
        <v>DROGARIA POUPA MINAS (ULTRAMINAS) 3 (10129)</v>
      </c>
      <c r="H3773" t="s">
        <v>1073</v>
      </c>
      <c r="I3773" t="str">
        <f>("25/09/2025")</f>
        <v>25/09/2025</v>
      </c>
      <c r="J3773" t="str">
        <f>("22/09/2025")</f>
        <v>22/09/2025</v>
      </c>
      <c r="K3773">
        <v>45926</v>
      </c>
      <c r="N3773">
        <v>303</v>
      </c>
      <c r="O3773" t="s">
        <v>69</v>
      </c>
      <c r="Q3773">
        <v>1544.4</v>
      </c>
      <c r="R3773" t="str">
        <f>"DROGARIA POUPA MINAS (ULTRAMINAS) 3 (10129)"</f>
        <v>DROGARIA POUPA MINAS (ULTRAMINAS) 3 (10129)</v>
      </c>
      <c r="S3773" t="s">
        <v>70</v>
      </c>
      <c r="T3773">
        <v>22353</v>
      </c>
      <c r="U3773">
        <v>22249</v>
      </c>
      <c r="V3773" t="s">
        <v>22</v>
      </c>
    </row>
    <row r="3774" spans="1:22">
      <c r="A3774" t="str">
        <f t="shared" si="679"/>
        <v>26/09/2025</v>
      </c>
      <c r="B3774" t="str">
        <f>"ENTRADA"</f>
        <v>ENTRADA</v>
      </c>
      <c r="C3774" t="str">
        <f>"NFSE"</f>
        <v>NFSE</v>
      </c>
      <c r="D3774" t="str">
        <f>"3395"</f>
        <v>3395</v>
      </c>
      <c r="E3774" t="str">
        <f>"1"</f>
        <v>1</v>
      </c>
      <c r="F3774" t="str">
        <f t="shared" si="685"/>
        <v>COM</v>
      </c>
      <c r="G3774" t="str">
        <f>"DROGARIA POUPA MINAS (DOIS AMIGOS) 5 (10140)"</f>
        <v>DROGARIA POUPA MINAS (DOIS AMIGOS) 5 (10140)</v>
      </c>
      <c r="H3774" t="str">
        <f>"Serv.Prest. 15/09/2025 a 21/09/2025 - RPS: 1271 - NFSe: 3395"</f>
        <v>Serv.Prest. 15/09/2025 a 21/09/2025 - RPS: 1271 - NFSe: 3395</v>
      </c>
      <c r="I3774" t="str">
        <f>("25/09/2025")</f>
        <v>25/09/2025</v>
      </c>
      <c r="J3774" t="str">
        <f>("22/09/2025")</f>
        <v>22/09/2025</v>
      </c>
      <c r="K3774" t="str">
        <f>("26/09/2025")</f>
        <v>26/09/2025</v>
      </c>
      <c r="L3774">
        <v>7730.32</v>
      </c>
      <c r="M3774">
        <v>7730.32</v>
      </c>
      <c r="N3774">
        <v>303</v>
      </c>
      <c r="O3774" t="str">
        <f>"RECEITAS COM ENTREGAS"</f>
        <v>RECEITAS COM ENTREGAS</v>
      </c>
      <c r="P3774">
        <v>7730.32</v>
      </c>
      <c r="S3774" t="str">
        <f>"RECEITAS COM ENTREGAS (303)"</f>
        <v>RECEITAS COM ENTREGAS (303)</v>
      </c>
      <c r="T3774">
        <v>22354</v>
      </c>
      <c r="U3774">
        <v>22297</v>
      </c>
      <c r="V3774" t="s">
        <v>22</v>
      </c>
    </row>
    <row r="3775" spans="1:22">
      <c r="A3775" t="str">
        <f t="shared" si="679"/>
        <v>26/09/2025</v>
      </c>
      <c r="B3775" t="str">
        <f>"ENTRADA"</f>
        <v>ENTRADA</v>
      </c>
      <c r="C3775" t="str">
        <f>"NFSE"</f>
        <v>NFSE</v>
      </c>
      <c r="D3775" t="str">
        <f>"3395"</f>
        <v>3395</v>
      </c>
      <c r="E3775" t="str">
        <f>"1"</f>
        <v>1</v>
      </c>
      <c r="F3775" t="str">
        <f t="shared" si="685"/>
        <v>COM</v>
      </c>
      <c r="G3775" t="str">
        <f>"DROGARIA POUPA MINAS (DOIS AMIGOS) 5 (10140)"</f>
        <v>DROGARIA POUPA MINAS (DOIS AMIGOS) 5 (10140)</v>
      </c>
      <c r="H3775" t="s">
        <v>1074</v>
      </c>
      <c r="I3775" t="str">
        <f>("25/09/2025")</f>
        <v>25/09/2025</v>
      </c>
      <c r="J3775" t="str">
        <f>("22/09/2025")</f>
        <v>22/09/2025</v>
      </c>
      <c r="K3775">
        <v>45926</v>
      </c>
      <c r="N3775">
        <v>303</v>
      </c>
      <c r="O3775" t="s">
        <v>69</v>
      </c>
      <c r="Q3775">
        <v>7730.32</v>
      </c>
      <c r="R3775" t="str">
        <f>"DROGARIA POUPA MINAS (ULTRAMINAS) 1 (10181)"</f>
        <v>DROGARIA POUPA MINAS (ULTRAMINAS) 1 (10181)</v>
      </c>
      <c r="S3775" t="s">
        <v>70</v>
      </c>
      <c r="T3775">
        <v>22354</v>
      </c>
      <c r="U3775">
        <v>22297</v>
      </c>
      <c r="V3775" t="s">
        <v>22</v>
      </c>
    </row>
    <row r="3776" spans="1:22">
      <c r="A3776" t="str">
        <f t="shared" si="679"/>
        <v>26/09/2025</v>
      </c>
      <c r="B3776" t="str">
        <f t="shared" ref="B3776:B3791" si="686">"SAÍDA"</f>
        <v>SAÍDA</v>
      </c>
      <c r="C3776" t="str">
        <f>"CONHECIMENTO"</f>
        <v>CONHECIMENTO</v>
      </c>
      <c r="D3776" t="str">
        <f>"01092025"</f>
        <v>01092025</v>
      </c>
      <c r="E3776" t="str">
        <f>"2"</f>
        <v>2</v>
      </c>
      <c r="F3776" t="str">
        <f t="shared" si="685"/>
        <v>COM</v>
      </c>
      <c r="G3776" t="str">
        <f>"CORA SOCIEDADE DE CREDITO, FINANCIAMENTO E INVESTIMENTO (20035)"</f>
        <v>CORA SOCIEDADE DE CREDITO, FINANCIAMENTO E INVESTIMENTO (20035)</v>
      </c>
      <c r="H3776" t="str">
        <f>"TAXA BOLETO "</f>
        <v xml:space="preserve">TAXA BOLETO </v>
      </c>
      <c r="I3776" t="str">
        <f>("26/09/2025")</f>
        <v>26/09/2025</v>
      </c>
      <c r="J3776" t="str">
        <f>("01/09/2025")</f>
        <v>01/09/2025</v>
      </c>
      <c r="K3776" t="str">
        <f>("26/09/2025")</f>
        <v>26/09/2025</v>
      </c>
      <c r="L3776">
        <v>1.7</v>
      </c>
      <c r="M3776">
        <v>1.7</v>
      </c>
      <c r="N3776">
        <v>401</v>
      </c>
      <c r="O3776" t="str">
        <f>"IOF/JUROS/DESP.FINANCEIRA"</f>
        <v>IOF/JUROS/DESP.FINANCEIRA</v>
      </c>
      <c r="P3776">
        <v>1.7</v>
      </c>
      <c r="S3776" t="str">
        <f>"BANCO CORA (102)"</f>
        <v>BANCO CORA (102)</v>
      </c>
      <c r="T3776">
        <v>22355</v>
      </c>
      <c r="U3776">
        <v>26106</v>
      </c>
      <c r="V3776" t="s">
        <v>22</v>
      </c>
    </row>
    <row r="3777" spans="1:22">
      <c r="A3777" t="str">
        <f t="shared" si="679"/>
        <v>26/09/2025</v>
      </c>
      <c r="B3777" t="str">
        <f t="shared" si="686"/>
        <v>SAÍDA</v>
      </c>
      <c r="C3777" t="str">
        <f>"CONHECIMENTO"</f>
        <v>CONHECIMENTO</v>
      </c>
      <c r="D3777" t="str">
        <f>"01092025"</f>
        <v>01092025</v>
      </c>
      <c r="E3777" t="str">
        <f>"2"</f>
        <v>2</v>
      </c>
      <c r="F3777" t="str">
        <f t="shared" si="685"/>
        <v>COM</v>
      </c>
      <c r="G3777" t="str">
        <f>"CORA SOCIEDADE DE CREDITO, FINANCIAMENTO E INVESTIMENTO (20035)"</f>
        <v>CORA SOCIEDADE DE CREDITO, FINANCIAMENTO E INVESTIMENTO (20035)</v>
      </c>
      <c r="H3777" t="s">
        <v>75</v>
      </c>
      <c r="I3777" t="str">
        <f>("26/09/2025")</f>
        <v>26/09/2025</v>
      </c>
      <c r="J3777" t="str">
        <f>("01/09/2025")</f>
        <v>01/09/2025</v>
      </c>
      <c r="K3777">
        <v>45926</v>
      </c>
      <c r="N3777">
        <v>401</v>
      </c>
      <c r="O3777" t="s">
        <v>76</v>
      </c>
      <c r="Q3777">
        <v>1.7</v>
      </c>
      <c r="R3777" t="str">
        <f>"CORA SOCIEDADE DE CREDITO, FINANCIAMENTO E INVESTIMENTO (20035)"</f>
        <v>CORA SOCIEDADE DE CREDITO, FINANCIAMENTO E INVESTIMENTO (20035)</v>
      </c>
      <c r="S3777" t="s">
        <v>22</v>
      </c>
      <c r="T3777">
        <v>22355</v>
      </c>
      <c r="U3777">
        <v>26106</v>
      </c>
      <c r="V3777" t="s">
        <v>22</v>
      </c>
    </row>
    <row r="3778" spans="1:22">
      <c r="A3778" t="str">
        <f t="shared" si="679"/>
        <v>26/09/2025</v>
      </c>
      <c r="B3778" t="str">
        <f t="shared" si="686"/>
        <v>SAÍDA</v>
      </c>
      <c r="C3778" t="str">
        <f>"CONHECIMENTO"</f>
        <v>CONHECIMENTO</v>
      </c>
      <c r="D3778" t="str">
        <f>"01092025"</f>
        <v>01092025</v>
      </c>
      <c r="E3778" t="str">
        <f>"3"</f>
        <v>3</v>
      </c>
      <c r="F3778" t="str">
        <f t="shared" si="685"/>
        <v>COM</v>
      </c>
      <c r="G3778" t="str">
        <f>"CORA SOCIEDADE DE CREDITO, FINANCIAMENTO E INVESTIMENTO (20035)"</f>
        <v>CORA SOCIEDADE DE CREDITO, FINANCIAMENTO E INVESTIMENTO (20035)</v>
      </c>
      <c r="H3778" t="str">
        <f>"TAXA BOLETO "</f>
        <v xml:space="preserve">TAXA BOLETO </v>
      </c>
      <c r="I3778" t="str">
        <f>("26/09/2025")</f>
        <v>26/09/2025</v>
      </c>
      <c r="J3778" t="str">
        <f>("01/09/2025")</f>
        <v>01/09/2025</v>
      </c>
      <c r="K3778" t="str">
        <f>("26/09/2025")</f>
        <v>26/09/2025</v>
      </c>
      <c r="L3778">
        <v>1.7</v>
      </c>
      <c r="M3778">
        <v>1.7</v>
      </c>
      <c r="N3778">
        <v>401</v>
      </c>
      <c r="O3778" t="str">
        <f>"IOF/JUROS/DESP.FINANCEIRA"</f>
        <v>IOF/JUROS/DESP.FINANCEIRA</v>
      </c>
      <c r="P3778">
        <v>1.7</v>
      </c>
      <c r="S3778" t="str">
        <f>"BANCO CORA (102)"</f>
        <v>BANCO CORA (102)</v>
      </c>
      <c r="T3778">
        <v>22356</v>
      </c>
      <c r="U3778">
        <v>26107</v>
      </c>
      <c r="V3778" t="s">
        <v>22</v>
      </c>
    </row>
    <row r="3779" spans="1:22">
      <c r="A3779" t="str">
        <f t="shared" si="679"/>
        <v>26/09/2025</v>
      </c>
      <c r="B3779" t="str">
        <f t="shared" si="686"/>
        <v>SAÍDA</v>
      </c>
      <c r="C3779" t="str">
        <f>"CONHECIMENTO"</f>
        <v>CONHECIMENTO</v>
      </c>
      <c r="D3779" t="str">
        <f>"01092025"</f>
        <v>01092025</v>
      </c>
      <c r="E3779" t="str">
        <f>"3"</f>
        <v>3</v>
      </c>
      <c r="F3779" t="str">
        <f t="shared" si="685"/>
        <v>COM</v>
      </c>
      <c r="G3779" t="str">
        <f>"CORA SOCIEDADE DE CREDITO, FINANCIAMENTO E INVESTIMENTO (20035)"</f>
        <v>CORA SOCIEDADE DE CREDITO, FINANCIAMENTO E INVESTIMENTO (20035)</v>
      </c>
      <c r="H3779" t="s">
        <v>75</v>
      </c>
      <c r="I3779" t="str">
        <f>("26/09/2025")</f>
        <v>26/09/2025</v>
      </c>
      <c r="J3779" t="str">
        <f>("01/09/2025")</f>
        <v>01/09/2025</v>
      </c>
      <c r="K3779">
        <v>45926</v>
      </c>
      <c r="N3779">
        <v>401</v>
      </c>
      <c r="O3779" t="s">
        <v>76</v>
      </c>
      <c r="Q3779">
        <v>1.7</v>
      </c>
      <c r="R3779" t="str">
        <f>"CORA SOCIEDADE DE CREDITO, FINANCIAMENTO E INVESTIMENTO (20035)"</f>
        <v>CORA SOCIEDADE DE CREDITO, FINANCIAMENTO E INVESTIMENTO (20035)</v>
      </c>
      <c r="S3779" t="s">
        <v>22</v>
      </c>
      <c r="T3779">
        <v>22356</v>
      </c>
      <c r="U3779">
        <v>26107</v>
      </c>
      <c r="V3779" t="s">
        <v>22</v>
      </c>
    </row>
    <row r="3780" spans="1:22">
      <c r="A3780" t="str">
        <f t="shared" ref="A3780:A3787" si="687">("27/09/2025")</f>
        <v>27/09/2025</v>
      </c>
      <c r="B3780" t="str">
        <f t="shared" si="686"/>
        <v>SAÍDA</v>
      </c>
      <c r="C3780" t="str">
        <f t="shared" ref="C3780:C3791" si="688">"PIX"</f>
        <v>PIX</v>
      </c>
      <c r="D3780" t="str">
        <f>"22744"</f>
        <v>22744</v>
      </c>
      <c r="E3780" t="str">
        <f t="shared" ref="E3780:E3791" si="689">"1"</f>
        <v>1</v>
      </c>
      <c r="F3780" t="str">
        <f t="shared" si="685"/>
        <v>COM</v>
      </c>
      <c r="G3780" t="str">
        <f>"NATAN ALVES (8)"</f>
        <v>NATAN ALVES (8)</v>
      </c>
      <c r="H3780" t="str">
        <f>"Serv.Prest. 22/09/2025 a 28/09/2025 - PIX: E-MAIL - CHAVE: natanlogin@outlook.com"</f>
        <v>Serv.Prest. 22/09/2025 a 28/09/2025 - PIX: E-MAIL - CHAVE: natanlogin@outlook.com</v>
      </c>
      <c r="I3780" t="str">
        <f t="shared" ref="I3780:I3785" si="690">("02/10/2025")</f>
        <v>02/10/2025</v>
      </c>
      <c r="J3780" t="str">
        <f t="shared" ref="J3780:J3785" si="691">("30/09/2025")</f>
        <v>30/09/2025</v>
      </c>
      <c r="K3780" t="str">
        <f>("27/09/2025")</f>
        <v>27/09/2025</v>
      </c>
      <c r="L3780">
        <v>120</v>
      </c>
      <c r="M3780">
        <v>120</v>
      </c>
      <c r="N3780">
        <v>109</v>
      </c>
      <c r="O3780" t="str">
        <f>"PAGAMENTO DE ENTREGADORES"</f>
        <v>PAGAMENTO DE ENTREGADORES</v>
      </c>
      <c r="P3780">
        <v>120</v>
      </c>
      <c r="S3780" t="str">
        <f>"BANCO CORA (102)"</f>
        <v>BANCO CORA (102)</v>
      </c>
      <c r="T3780">
        <v>18873</v>
      </c>
      <c r="U3780">
        <v>22753</v>
      </c>
      <c r="V3780" t="s">
        <v>22</v>
      </c>
    </row>
    <row r="3781" spans="1:22">
      <c r="A3781" t="str">
        <f t="shared" si="687"/>
        <v>27/09/2025</v>
      </c>
      <c r="B3781" t="str">
        <f t="shared" si="686"/>
        <v>SAÍDA</v>
      </c>
      <c r="C3781" t="str">
        <f t="shared" si="688"/>
        <v>PIX</v>
      </c>
      <c r="D3781" t="str">
        <f>"22744"</f>
        <v>22744</v>
      </c>
      <c r="E3781" t="str">
        <f t="shared" si="689"/>
        <v>1</v>
      </c>
      <c r="F3781" t="str">
        <f t="shared" si="685"/>
        <v>COM</v>
      </c>
      <c r="G3781" t="str">
        <f>"NATAN ALVES (8)"</f>
        <v>NATAN ALVES (8)</v>
      </c>
      <c r="H3781" t="s">
        <v>1075</v>
      </c>
      <c r="I3781" t="str">
        <f t="shared" si="690"/>
        <v>02/10/2025</v>
      </c>
      <c r="J3781" t="str">
        <f t="shared" si="691"/>
        <v>30/09/2025</v>
      </c>
      <c r="K3781">
        <v>45927</v>
      </c>
      <c r="N3781">
        <v>109</v>
      </c>
      <c r="O3781" t="s">
        <v>24</v>
      </c>
      <c r="Q3781">
        <v>120</v>
      </c>
      <c r="R3781" t="str">
        <f>"PENSE FARMA 22 (10198)"</f>
        <v>PENSE FARMA 22 (10198)</v>
      </c>
      <c r="S3781" t="s">
        <v>22</v>
      </c>
      <c r="T3781">
        <v>18873</v>
      </c>
      <c r="U3781">
        <v>22753</v>
      </c>
      <c r="V3781" t="s">
        <v>22</v>
      </c>
    </row>
    <row r="3782" spans="1:22">
      <c r="A3782" t="str">
        <f t="shared" si="687"/>
        <v>27/09/2025</v>
      </c>
      <c r="B3782" t="str">
        <f t="shared" si="686"/>
        <v>SAÍDA</v>
      </c>
      <c r="C3782" t="str">
        <f t="shared" si="688"/>
        <v>PIX</v>
      </c>
      <c r="D3782" t="str">
        <f>"22744"</f>
        <v>22744</v>
      </c>
      <c r="E3782" t="str">
        <f t="shared" si="689"/>
        <v>1</v>
      </c>
      <c r="F3782" t="str">
        <f t="shared" si="685"/>
        <v>COM</v>
      </c>
      <c r="G3782" t="str">
        <f>"NATAN ALVES (8)"</f>
        <v>NATAN ALVES (8)</v>
      </c>
      <c r="H3782" t="str">
        <f>"Serv.Prest. 22/09/2025 a 28/09/2025 - PIX: E-MAIL - CHAVE: natanlogin@outlook.com"</f>
        <v>Serv.Prest. 22/09/2025 a 28/09/2025 - PIX: E-MAIL - CHAVE: natanlogin@outlook.com</v>
      </c>
      <c r="I3782" t="str">
        <f t="shared" si="690"/>
        <v>02/10/2025</v>
      </c>
      <c r="J3782" t="str">
        <f t="shared" si="691"/>
        <v>30/09/2025</v>
      </c>
      <c r="K3782" t="str">
        <f>("27/09/2025")</f>
        <v>27/09/2025</v>
      </c>
      <c r="L3782">
        <v>170</v>
      </c>
      <c r="M3782">
        <v>170</v>
      </c>
      <c r="N3782">
        <v>109</v>
      </c>
      <c r="O3782" t="str">
        <f>"PAGAMENTO DE ENTREGADORES"</f>
        <v>PAGAMENTO DE ENTREGADORES</v>
      </c>
      <c r="P3782">
        <v>170</v>
      </c>
      <c r="S3782" t="str">
        <f>"BANCO CORA (102)"</f>
        <v>BANCO CORA (102)</v>
      </c>
      <c r="T3782">
        <v>18874</v>
      </c>
      <c r="U3782">
        <v>22744</v>
      </c>
      <c r="V3782" t="s">
        <v>22</v>
      </c>
    </row>
    <row r="3783" spans="1:22">
      <c r="A3783" t="str">
        <f t="shared" si="687"/>
        <v>27/09/2025</v>
      </c>
      <c r="B3783" t="str">
        <f t="shared" si="686"/>
        <v>SAÍDA</v>
      </c>
      <c r="C3783" t="str">
        <f t="shared" si="688"/>
        <v>PIX</v>
      </c>
      <c r="D3783" t="str">
        <f>"22744"</f>
        <v>22744</v>
      </c>
      <c r="E3783" t="str">
        <f t="shared" si="689"/>
        <v>1</v>
      </c>
      <c r="F3783" t="str">
        <f t="shared" si="685"/>
        <v>COM</v>
      </c>
      <c r="G3783" t="str">
        <f>"NATAN ALVES (8)"</f>
        <v>NATAN ALVES (8)</v>
      </c>
      <c r="H3783" t="s">
        <v>1075</v>
      </c>
      <c r="I3783" t="str">
        <f t="shared" si="690"/>
        <v>02/10/2025</v>
      </c>
      <c r="J3783" t="str">
        <f t="shared" si="691"/>
        <v>30/09/2025</v>
      </c>
      <c r="K3783">
        <v>45927</v>
      </c>
      <c r="N3783">
        <v>109</v>
      </c>
      <c r="O3783" t="s">
        <v>24</v>
      </c>
      <c r="Q3783">
        <v>170</v>
      </c>
      <c r="R3783" t="str">
        <f>"PENSE FARMA 22 (10198)"</f>
        <v>PENSE FARMA 22 (10198)</v>
      </c>
      <c r="S3783" t="s">
        <v>22</v>
      </c>
      <c r="T3783">
        <v>18874</v>
      </c>
      <c r="U3783">
        <v>22744</v>
      </c>
      <c r="V3783" t="s">
        <v>22</v>
      </c>
    </row>
    <row r="3784" spans="1:22">
      <c r="A3784" t="str">
        <f t="shared" si="687"/>
        <v>27/09/2025</v>
      </c>
      <c r="B3784" t="str">
        <f t="shared" si="686"/>
        <v>SAÍDA</v>
      </c>
      <c r="C3784" t="str">
        <f t="shared" si="688"/>
        <v>PIX</v>
      </c>
      <c r="D3784" t="str">
        <f>"22759"</f>
        <v>22759</v>
      </c>
      <c r="E3784" t="str">
        <f t="shared" si="689"/>
        <v>1</v>
      </c>
      <c r="F3784" t="str">
        <f t="shared" si="685"/>
        <v>COM</v>
      </c>
      <c r="G3784" t="str">
        <f>"JOSE EDVAI PESSOA BORGES (961)"</f>
        <v>JOSE EDVAI PESSOA BORGES (961)</v>
      </c>
      <c r="H3784" t="str">
        <f>"Serv.Prest. 22/09/2025 a 28/09/2025 - PIX: CPF - CHAVE: 135.353.446-46"</f>
        <v>Serv.Prest. 22/09/2025 a 28/09/2025 - PIX: CPF - CHAVE: 135.353.446-46</v>
      </c>
      <c r="I3784" t="str">
        <f t="shared" si="690"/>
        <v>02/10/2025</v>
      </c>
      <c r="J3784" t="str">
        <f t="shared" si="691"/>
        <v>30/09/2025</v>
      </c>
      <c r="K3784" t="str">
        <f>("27/09/2025")</f>
        <v>27/09/2025</v>
      </c>
      <c r="L3784">
        <v>120</v>
      </c>
      <c r="M3784">
        <v>120</v>
      </c>
      <c r="N3784">
        <v>109</v>
      </c>
      <c r="O3784" t="str">
        <f>"PAGAMENTO DE ENTREGADORES"</f>
        <v>PAGAMENTO DE ENTREGADORES</v>
      </c>
      <c r="P3784">
        <v>120</v>
      </c>
      <c r="S3784" t="str">
        <f>"BANCO CORA (102)"</f>
        <v>BANCO CORA (102)</v>
      </c>
      <c r="T3784">
        <v>18879</v>
      </c>
      <c r="U3784">
        <v>22764</v>
      </c>
      <c r="V3784" t="s">
        <v>22</v>
      </c>
    </row>
    <row r="3785" spans="1:22">
      <c r="A3785" t="str">
        <f t="shared" si="687"/>
        <v>27/09/2025</v>
      </c>
      <c r="B3785" t="str">
        <f t="shared" si="686"/>
        <v>SAÍDA</v>
      </c>
      <c r="C3785" t="str">
        <f t="shared" si="688"/>
        <v>PIX</v>
      </c>
      <c r="D3785" t="str">
        <f>"22759"</f>
        <v>22759</v>
      </c>
      <c r="E3785" t="str">
        <f t="shared" si="689"/>
        <v>1</v>
      </c>
      <c r="F3785" t="str">
        <f t="shared" si="685"/>
        <v>COM</v>
      </c>
      <c r="G3785" t="str">
        <f>"JOSE EDVAI PESSOA BORGES (961)"</f>
        <v>JOSE EDVAI PESSOA BORGES (961)</v>
      </c>
      <c r="H3785" t="s">
        <v>1076</v>
      </c>
      <c r="I3785" t="str">
        <f t="shared" si="690"/>
        <v>02/10/2025</v>
      </c>
      <c r="J3785" t="str">
        <f t="shared" si="691"/>
        <v>30/09/2025</v>
      </c>
      <c r="K3785">
        <v>45927</v>
      </c>
      <c r="N3785">
        <v>109</v>
      </c>
      <c r="O3785" t="s">
        <v>24</v>
      </c>
      <c r="Q3785">
        <v>120</v>
      </c>
      <c r="R3785" t="str">
        <f>"DROGA HONDA (10149)"</f>
        <v>DROGA HONDA (10149)</v>
      </c>
      <c r="S3785" t="s">
        <v>22</v>
      </c>
      <c r="T3785">
        <v>18879</v>
      </c>
      <c r="U3785">
        <v>22764</v>
      </c>
      <c r="V3785" t="s">
        <v>22</v>
      </c>
    </row>
    <row r="3786" spans="1:22">
      <c r="A3786" t="str">
        <f t="shared" si="687"/>
        <v>27/09/2025</v>
      </c>
      <c r="B3786" t="str">
        <f t="shared" si="686"/>
        <v>SAÍDA</v>
      </c>
      <c r="C3786" t="str">
        <f t="shared" si="688"/>
        <v>PIX</v>
      </c>
      <c r="D3786" t="str">
        <f>"27092025"</f>
        <v>27092025</v>
      </c>
      <c r="E3786" t="str">
        <f t="shared" si="689"/>
        <v>1</v>
      </c>
      <c r="F3786" t="str">
        <f t="shared" si="685"/>
        <v>COM</v>
      </c>
      <c r="G3786" t="str">
        <f>"LILIANE DE FATIMA REZENDE JUSTINO (20013)"</f>
        <v>LILIANE DE FATIMA REZENDE JUSTINO (20013)</v>
      </c>
      <c r="H3786" t="str">
        <f>"DESPESAS DE VIAGEM RECIFE"</f>
        <v>DESPESAS DE VIAGEM RECIFE</v>
      </c>
      <c r="I3786" t="str">
        <f>("27/09/2025")</f>
        <v>27/09/2025</v>
      </c>
      <c r="J3786" t="str">
        <f>("27/09/2025")</f>
        <v>27/09/2025</v>
      </c>
      <c r="K3786" t="str">
        <f>("27/09/2025")</f>
        <v>27/09/2025</v>
      </c>
      <c r="L3786">
        <v>500</v>
      </c>
      <c r="M3786">
        <v>500</v>
      </c>
      <c r="N3786">
        <v>117</v>
      </c>
      <c r="O3786" t="str">
        <f>"DESPESAS COM VIAGENS COMERCIAIS"</f>
        <v>DESPESAS COM VIAGENS COMERCIAIS</v>
      </c>
      <c r="P3786">
        <v>500</v>
      </c>
      <c r="S3786" t="str">
        <f>"BANCO CORA (102)"</f>
        <v>BANCO CORA (102)</v>
      </c>
      <c r="T3786">
        <v>22357</v>
      </c>
      <c r="U3786">
        <v>26108</v>
      </c>
      <c r="V3786" t="s">
        <v>22</v>
      </c>
    </row>
    <row r="3787" spans="1:22">
      <c r="A3787" t="str">
        <f t="shared" si="687"/>
        <v>27/09/2025</v>
      </c>
      <c r="B3787" t="str">
        <f t="shared" si="686"/>
        <v>SAÍDA</v>
      </c>
      <c r="C3787" t="str">
        <f t="shared" si="688"/>
        <v>PIX</v>
      </c>
      <c r="D3787" t="str">
        <f>"27092025"</f>
        <v>27092025</v>
      </c>
      <c r="E3787" t="str">
        <f t="shared" si="689"/>
        <v>1</v>
      </c>
      <c r="F3787" t="str">
        <f t="shared" si="685"/>
        <v>COM</v>
      </c>
      <c r="G3787" t="str">
        <f>"LILIANE DE FATIMA REZENDE JUSTINO (20013)"</f>
        <v>LILIANE DE FATIMA REZENDE JUSTINO (20013)</v>
      </c>
      <c r="H3787" t="s">
        <v>1077</v>
      </c>
      <c r="I3787" t="str">
        <f>("27/09/2025")</f>
        <v>27/09/2025</v>
      </c>
      <c r="J3787" t="str">
        <f>("27/09/2025")</f>
        <v>27/09/2025</v>
      </c>
      <c r="K3787">
        <v>45927</v>
      </c>
      <c r="N3787">
        <v>117</v>
      </c>
      <c r="O3787" t="s">
        <v>822</v>
      </c>
      <c r="Q3787">
        <v>500</v>
      </c>
      <c r="R3787" t="str">
        <f>"LILIANE DE FATIMA REZENDE JUSTINO (20013)"</f>
        <v>LILIANE DE FATIMA REZENDE JUSTINO (20013)</v>
      </c>
      <c r="S3787" t="s">
        <v>22</v>
      </c>
      <c r="T3787">
        <v>22357</v>
      </c>
      <c r="U3787">
        <v>26108</v>
      </c>
      <c r="V3787" t="s">
        <v>22</v>
      </c>
    </row>
    <row r="3788" spans="1:22">
      <c r="A3788" t="str">
        <f>("28/09/2025")</f>
        <v>28/09/2025</v>
      </c>
      <c r="B3788" t="str">
        <f t="shared" si="686"/>
        <v>SAÍDA</v>
      </c>
      <c r="C3788" t="str">
        <f t="shared" si="688"/>
        <v>PIX</v>
      </c>
      <c r="D3788" t="str">
        <f>"22692"</f>
        <v>22692</v>
      </c>
      <c r="E3788" t="str">
        <f t="shared" si="689"/>
        <v>1</v>
      </c>
      <c r="F3788" t="str">
        <f t="shared" si="685"/>
        <v>COM</v>
      </c>
      <c r="G3788" t="str">
        <f>"RENAN KEVIN MOURA ASSUNCAO (538)"</f>
        <v>RENAN KEVIN MOURA ASSUNCAO (538)</v>
      </c>
      <c r="H3788" t="str">
        <f>"Serv.Prest. 22/09/2025 a 28/09/2025 - PIX: CELULAR - CHAVE: (11) 99111-0464"</f>
        <v>Serv.Prest. 22/09/2025 a 28/09/2025 - PIX: CELULAR - CHAVE: (11) 99111-0464</v>
      </c>
      <c r="I3788" t="str">
        <f>("02/10/2025")</f>
        <v>02/10/2025</v>
      </c>
      <c r="J3788" t="str">
        <f>("29/09/2025")</f>
        <v>29/09/2025</v>
      </c>
      <c r="K3788" t="str">
        <f>("28/09/2025")</f>
        <v>28/09/2025</v>
      </c>
      <c r="L3788">
        <v>140</v>
      </c>
      <c r="M3788">
        <v>140</v>
      </c>
      <c r="N3788">
        <v>109</v>
      </c>
      <c r="O3788" t="str">
        <f>"PAGAMENTO DE ENTREGADORES"</f>
        <v>PAGAMENTO DE ENTREGADORES</v>
      </c>
      <c r="P3788">
        <v>140</v>
      </c>
      <c r="S3788" t="str">
        <f>"BANCO CORA (102)"</f>
        <v>BANCO CORA (102)</v>
      </c>
      <c r="T3788">
        <v>18867</v>
      </c>
      <c r="U3788">
        <v>22692</v>
      </c>
      <c r="V3788" t="s">
        <v>22</v>
      </c>
    </row>
    <row r="3789" spans="1:22">
      <c r="A3789" t="str">
        <f>("28/09/2025")</f>
        <v>28/09/2025</v>
      </c>
      <c r="B3789" t="str">
        <f t="shared" si="686"/>
        <v>SAÍDA</v>
      </c>
      <c r="C3789" t="str">
        <f t="shared" si="688"/>
        <v>PIX</v>
      </c>
      <c r="D3789" t="str">
        <f>"22692"</f>
        <v>22692</v>
      </c>
      <c r="E3789" t="str">
        <f t="shared" si="689"/>
        <v>1</v>
      </c>
      <c r="F3789" t="str">
        <f t="shared" si="685"/>
        <v>COM</v>
      </c>
      <c r="G3789" t="str">
        <f>"RENAN KEVIN MOURA ASSUNCAO (538)"</f>
        <v>RENAN KEVIN MOURA ASSUNCAO (538)</v>
      </c>
      <c r="H3789" t="s">
        <v>1078</v>
      </c>
      <c r="I3789" t="str">
        <f>("02/10/2025")</f>
        <v>02/10/2025</v>
      </c>
      <c r="J3789" t="str">
        <f>("29/09/2025")</f>
        <v>29/09/2025</v>
      </c>
      <c r="K3789">
        <v>45928</v>
      </c>
      <c r="N3789">
        <v>109</v>
      </c>
      <c r="O3789" t="s">
        <v>24</v>
      </c>
      <c r="Q3789">
        <v>140</v>
      </c>
      <c r="R3789" t="str">
        <f>"DROGA ELIDA (10121)"</f>
        <v>DROGA ELIDA (10121)</v>
      </c>
      <c r="S3789" t="s">
        <v>22</v>
      </c>
      <c r="T3789">
        <v>18867</v>
      </c>
      <c r="U3789">
        <v>22692</v>
      </c>
      <c r="V3789" t="s">
        <v>22</v>
      </c>
    </row>
    <row r="3790" spans="1:22">
      <c r="A3790" t="str">
        <f>("29/09/2025")</f>
        <v>29/09/2025</v>
      </c>
      <c r="B3790" t="str">
        <f t="shared" si="686"/>
        <v>SAÍDA</v>
      </c>
      <c r="C3790" t="str">
        <f t="shared" si="688"/>
        <v>PIX</v>
      </c>
      <c r="D3790" t="str">
        <f>"29092025"</f>
        <v>29092025</v>
      </c>
      <c r="E3790" t="str">
        <f t="shared" si="689"/>
        <v>1</v>
      </c>
      <c r="F3790" t="str">
        <f t="shared" si="685"/>
        <v>COM</v>
      </c>
      <c r="G3790" t="str">
        <f>"ZARU RIBEIRO EMBALAGENS LTDA (20074)"</f>
        <v>ZARU RIBEIRO EMBALAGENS LTDA (20074)</v>
      </c>
      <c r="H3790" t="str">
        <f>"COMPRA DE FORNECEDOR EMBALAGENS"</f>
        <v>COMPRA DE FORNECEDOR EMBALAGENS</v>
      </c>
      <c r="I3790" t="str">
        <f>("29/09/2025")</f>
        <v>29/09/2025</v>
      </c>
      <c r="J3790" t="str">
        <f>("29/09/2025")</f>
        <v>29/09/2025</v>
      </c>
      <c r="K3790" t="str">
        <f>("29/09/2025")</f>
        <v>29/09/2025</v>
      </c>
      <c r="L3790">
        <v>206.62</v>
      </c>
      <c r="M3790">
        <v>206.62</v>
      </c>
      <c r="N3790">
        <v>400</v>
      </c>
      <c r="O3790" t="str">
        <f>"COMPRA DE FORNECEDORES"</f>
        <v>COMPRA DE FORNECEDORES</v>
      </c>
      <c r="P3790">
        <v>206.62</v>
      </c>
      <c r="S3790" t="str">
        <f>"BANCO CORA (102)"</f>
        <v>BANCO CORA (102)</v>
      </c>
      <c r="T3790">
        <v>22358</v>
      </c>
      <c r="U3790">
        <v>26109</v>
      </c>
      <c r="V3790" t="s">
        <v>22</v>
      </c>
    </row>
    <row r="3791" spans="1:22">
      <c r="A3791" t="str">
        <f>("29/09/2025")</f>
        <v>29/09/2025</v>
      </c>
      <c r="B3791" t="str">
        <f t="shared" si="686"/>
        <v>SAÍDA</v>
      </c>
      <c r="C3791" t="str">
        <f t="shared" si="688"/>
        <v>PIX</v>
      </c>
      <c r="D3791" t="str">
        <f>"29092025"</f>
        <v>29092025</v>
      </c>
      <c r="E3791" t="str">
        <f t="shared" si="689"/>
        <v>1</v>
      </c>
      <c r="F3791" t="str">
        <f t="shared" si="685"/>
        <v>COM</v>
      </c>
      <c r="G3791" t="str">
        <f>"ZARU RIBEIRO EMBALAGENS LTDA (20074)"</f>
        <v>ZARU RIBEIRO EMBALAGENS LTDA (20074)</v>
      </c>
      <c r="H3791" t="s">
        <v>1079</v>
      </c>
      <c r="I3791" t="str">
        <f>("29/09/2025")</f>
        <v>29/09/2025</v>
      </c>
      <c r="J3791" t="str">
        <f>("29/09/2025")</f>
        <v>29/09/2025</v>
      </c>
      <c r="K3791">
        <v>45929</v>
      </c>
      <c r="N3791">
        <v>400</v>
      </c>
      <c r="O3791" t="s">
        <v>861</v>
      </c>
      <c r="Q3791">
        <v>206.62</v>
      </c>
      <c r="R3791" t="str">
        <f>"ZARU RIBEIRO EMBALAGENS LTDA (20074)"</f>
        <v>ZARU RIBEIRO EMBALAGENS LTDA (20074)</v>
      </c>
      <c r="S3791" t="s">
        <v>22</v>
      </c>
      <c r="T3791">
        <v>22358</v>
      </c>
      <c r="U3791">
        <v>26109</v>
      </c>
      <c r="V3791" t="s">
        <v>22</v>
      </c>
    </row>
    <row r="3792" spans="1:22">
      <c r="A3792" t="str">
        <f t="shared" ref="A3792:A3823" si="692">("30/09/2025")</f>
        <v>30/09/2025</v>
      </c>
      <c r="B3792" t="str">
        <f>"ENTRADA"</f>
        <v>ENTRADA</v>
      </c>
      <c r="C3792" t="str">
        <f>"DINHEIRO"</f>
        <v>DINHEIRO</v>
      </c>
      <c r="D3792" t="str">
        <f>"0210"</f>
        <v>0210</v>
      </c>
      <c r="E3792" t="str">
        <f>"25"</f>
        <v>25</v>
      </c>
      <c r="F3792" t="str">
        <f t="shared" si="685"/>
        <v>COM</v>
      </c>
      <c r="G3792" t="str">
        <f>"SAMMY TOMAS HAMDAN (950)"</f>
        <v>SAMMY TOMAS HAMDAN (950)</v>
      </c>
      <c r="H3792" t="str">
        <f>"REEMBOLSO ADIANTAMENTO"</f>
        <v>REEMBOLSO ADIANTAMENTO</v>
      </c>
      <c r="I3792" t="str">
        <f>("02/10/2025")</f>
        <v>02/10/2025</v>
      </c>
      <c r="J3792" t="str">
        <f>("19/09/2025")</f>
        <v>19/09/2025</v>
      </c>
      <c r="K3792" t="str">
        <f>("30/09/2025")</f>
        <v>30/09/2025</v>
      </c>
      <c r="L3792">
        <v>120</v>
      </c>
      <c r="M3792">
        <v>120</v>
      </c>
      <c r="N3792">
        <v>129</v>
      </c>
      <c r="O3792" t="str">
        <f>"ENTRADA DE REEMBOLSO ADIANTAMENTO"</f>
        <v>ENTRADA DE REEMBOLSO ADIANTAMENTO</v>
      </c>
      <c r="P3792">
        <v>120</v>
      </c>
      <c r="S3792" t="str">
        <f>"ENTRADA DE REEMBOLSO ADIANTAMENTO (129)"</f>
        <v>ENTRADA DE REEMBOLSO ADIANTAMENTO (129)</v>
      </c>
      <c r="T3792">
        <v>18875</v>
      </c>
      <c r="U3792">
        <v>22483</v>
      </c>
      <c r="V3792" t="s">
        <v>48</v>
      </c>
    </row>
    <row r="3793" spans="1:22">
      <c r="A3793" t="str">
        <f t="shared" si="692"/>
        <v>30/09/2025</v>
      </c>
      <c r="B3793" t="str">
        <f>"ENTRADA"</f>
        <v>ENTRADA</v>
      </c>
      <c r="C3793" t="str">
        <f>"DINHEIRO"</f>
        <v>DINHEIRO</v>
      </c>
      <c r="D3793" t="str">
        <f>"0210"</f>
        <v>0210</v>
      </c>
      <c r="E3793" t="str">
        <f>"25"</f>
        <v>25</v>
      </c>
      <c r="F3793" t="str">
        <f t="shared" si="685"/>
        <v>COM</v>
      </c>
      <c r="G3793" t="str">
        <f>"SAMMY TOMAS HAMDAN (950)"</f>
        <v>SAMMY TOMAS HAMDAN (950)</v>
      </c>
      <c r="H3793" t="s">
        <v>57</v>
      </c>
      <c r="I3793" t="str">
        <f>("02/10/2025")</f>
        <v>02/10/2025</v>
      </c>
      <c r="J3793" t="str">
        <f>("19/09/2025")</f>
        <v>19/09/2025</v>
      </c>
      <c r="K3793">
        <v>45930</v>
      </c>
      <c r="N3793">
        <v>129</v>
      </c>
      <c r="O3793" t="s">
        <v>58</v>
      </c>
      <c r="Q3793">
        <v>120</v>
      </c>
      <c r="R3793" t="str">
        <f>"SAMMY TOMAS HAMDAN (950)"</f>
        <v>SAMMY TOMAS HAMDAN (950)</v>
      </c>
      <c r="S3793" t="s">
        <v>59</v>
      </c>
      <c r="T3793">
        <v>18875</v>
      </c>
      <c r="U3793">
        <v>22483</v>
      </c>
      <c r="V3793" t="s">
        <v>48</v>
      </c>
    </row>
    <row r="3794" spans="1:22">
      <c r="A3794" t="str">
        <f t="shared" si="692"/>
        <v>30/09/2025</v>
      </c>
      <c r="B3794" t="str">
        <f>"SAÍDA"</f>
        <v>SAÍDA</v>
      </c>
      <c r="C3794" t="str">
        <f>"PIX"</f>
        <v>PIX</v>
      </c>
      <c r="D3794" t="str">
        <f>"22761"</f>
        <v>22761</v>
      </c>
      <c r="E3794" t="str">
        <f>"1"</f>
        <v>1</v>
      </c>
      <c r="F3794" t="str">
        <f t="shared" si="685"/>
        <v>COM</v>
      </c>
      <c r="G3794" t="str">
        <f>"SAMMY TOMAS HAMDAN (950)"</f>
        <v>SAMMY TOMAS HAMDAN (950)</v>
      </c>
      <c r="H3794" t="str">
        <f>"Serv.Prest. 22/09/2025 a 28/09/2025 - PIX: CPF - CHAVE: 133.055.616-02"</f>
        <v>Serv.Prest. 22/09/2025 a 28/09/2025 - PIX: CPF - CHAVE: 133.055.616-02</v>
      </c>
      <c r="I3794" t="str">
        <f>("02/10/2025")</f>
        <v>02/10/2025</v>
      </c>
      <c r="J3794" t="str">
        <f>("30/09/2025")</f>
        <v>30/09/2025</v>
      </c>
      <c r="K3794" t="str">
        <f>("30/09/2025")</f>
        <v>30/09/2025</v>
      </c>
      <c r="L3794">
        <v>117.5</v>
      </c>
      <c r="M3794">
        <v>120</v>
      </c>
      <c r="N3794">
        <v>109</v>
      </c>
      <c r="O3794" t="str">
        <f>"PAGAMENTO DE ENTREGADORES"</f>
        <v>PAGAMENTO DE ENTREGADORES</v>
      </c>
      <c r="P3794">
        <v>120</v>
      </c>
      <c r="S3794" t="str">
        <f>"CAIXA MOVIMENTAÇÃO OPERACIONAL (132)"</f>
        <v>CAIXA MOVIMENTAÇÃO OPERACIONAL (132)</v>
      </c>
      <c r="T3794">
        <v>18878</v>
      </c>
      <c r="U3794">
        <v>22763</v>
      </c>
      <c r="V3794" t="s">
        <v>48</v>
      </c>
    </row>
    <row r="3795" spans="1:22">
      <c r="A3795" t="str">
        <f t="shared" si="692"/>
        <v>30/09/2025</v>
      </c>
      <c r="B3795" t="str">
        <f>"SAÍDA"</f>
        <v>SAÍDA</v>
      </c>
      <c r="C3795" t="str">
        <f>"PIX"</f>
        <v>PIX</v>
      </c>
      <c r="D3795" t="str">
        <f>"22761"</f>
        <v>22761</v>
      </c>
      <c r="E3795" t="str">
        <f>"1"</f>
        <v>1</v>
      </c>
      <c r="F3795" t="str">
        <f t="shared" si="685"/>
        <v>COM</v>
      </c>
      <c r="G3795" t="str">
        <f>"SAMMY TOMAS HAMDAN (950)"</f>
        <v>SAMMY TOMAS HAMDAN (950)</v>
      </c>
      <c r="H3795" t="s">
        <v>1080</v>
      </c>
      <c r="I3795" t="str">
        <f>("02/10/2025")</f>
        <v>02/10/2025</v>
      </c>
      <c r="J3795" t="str">
        <f>("30/09/2025")</f>
        <v>30/09/2025</v>
      </c>
      <c r="K3795">
        <v>45930</v>
      </c>
      <c r="N3795">
        <v>109</v>
      </c>
      <c r="O3795" t="s">
        <v>24</v>
      </c>
      <c r="Q3795">
        <v>120</v>
      </c>
      <c r="R3795" t="str">
        <f>"DROGA HONDA (10149)"</f>
        <v>DROGA HONDA (10149)</v>
      </c>
      <c r="S3795" t="s">
        <v>48</v>
      </c>
      <c r="T3795">
        <v>18878</v>
      </c>
      <c r="U3795">
        <v>22763</v>
      </c>
      <c r="V3795" t="s">
        <v>48</v>
      </c>
    </row>
    <row r="3796" spans="1:22">
      <c r="A3796" t="str">
        <f t="shared" si="692"/>
        <v>30/09/2025</v>
      </c>
      <c r="B3796" t="str">
        <f>"ENTRADA"</f>
        <v>ENTRADA</v>
      </c>
      <c r="C3796" t="str">
        <f>"DINHEIRO"</f>
        <v>DINHEIRO</v>
      </c>
      <c r="D3796" t="str">
        <f>"02"</f>
        <v>02</v>
      </c>
      <c r="E3796" t="str">
        <f>"32"</f>
        <v>32</v>
      </c>
      <c r="F3796" t="str">
        <f t="shared" si="685"/>
        <v>COM</v>
      </c>
      <c r="G3796" t="str">
        <f t="shared" ref="G3796:G3805" si="693">"JEAN ARAÚJO SANTOS GERMANO (551)"</f>
        <v>JEAN ARAÚJO SANTOS GERMANO (551)</v>
      </c>
      <c r="H3796" t="str">
        <f>"DESCONTO COTA COOPERADO"</f>
        <v>DESCONTO COTA COOPERADO</v>
      </c>
      <c r="I3796" t="str">
        <f>("16/08/2025")</f>
        <v>16/08/2025</v>
      </c>
      <c r="J3796" t="str">
        <f>("16/01/2025")</f>
        <v>16/01/2025</v>
      </c>
      <c r="K3796" t="str">
        <f>("30/09/2025")</f>
        <v>30/09/2025</v>
      </c>
      <c r="L3796">
        <v>20</v>
      </c>
      <c r="M3796">
        <v>20</v>
      </c>
      <c r="N3796">
        <v>106</v>
      </c>
      <c r="O3796" t="str">
        <f>"ENTRADA DE CAPITAL"</f>
        <v>ENTRADA DE CAPITAL</v>
      </c>
      <c r="P3796">
        <v>20</v>
      </c>
      <c r="S3796" t="str">
        <f>"ENTRADA DE CAPITAL (106)"</f>
        <v>ENTRADA DE CAPITAL (106)</v>
      </c>
      <c r="T3796">
        <v>18880</v>
      </c>
      <c r="U3796">
        <v>6580</v>
      </c>
      <c r="V3796" t="s">
        <v>48</v>
      </c>
    </row>
    <row r="3797" spans="1:22">
      <c r="A3797" t="str">
        <f t="shared" si="692"/>
        <v>30/09/2025</v>
      </c>
      <c r="B3797" t="str">
        <f>"ENTRADA"</f>
        <v>ENTRADA</v>
      </c>
      <c r="C3797" t="str">
        <f>"DINHEIRO"</f>
        <v>DINHEIRO</v>
      </c>
      <c r="D3797" t="str">
        <f>"02"</f>
        <v>02</v>
      </c>
      <c r="E3797" t="str">
        <f>"32"</f>
        <v>32</v>
      </c>
      <c r="F3797" t="str">
        <f t="shared" si="685"/>
        <v>COM</v>
      </c>
      <c r="G3797" t="str">
        <f t="shared" si="693"/>
        <v>JEAN ARAÚJO SANTOS GERMANO (551)</v>
      </c>
      <c r="H3797" t="s">
        <v>309</v>
      </c>
      <c r="I3797" t="str">
        <f>("16/08/2025")</f>
        <v>16/08/2025</v>
      </c>
      <c r="J3797" t="str">
        <f>("16/01/2025")</f>
        <v>16/01/2025</v>
      </c>
      <c r="K3797">
        <v>45930</v>
      </c>
      <c r="N3797">
        <v>106</v>
      </c>
      <c r="O3797" t="s">
        <v>51</v>
      </c>
      <c r="Q3797">
        <v>20</v>
      </c>
      <c r="R3797" t="str">
        <f>"JEAN ARAÚJO SANTOS GERMANO (551)"</f>
        <v>JEAN ARAÚJO SANTOS GERMANO (551)</v>
      </c>
      <c r="S3797" t="s">
        <v>52</v>
      </c>
      <c r="T3797">
        <v>18880</v>
      </c>
      <c r="U3797">
        <v>6580</v>
      </c>
      <c r="V3797" t="s">
        <v>48</v>
      </c>
    </row>
    <row r="3798" spans="1:22">
      <c r="A3798" t="str">
        <f t="shared" si="692"/>
        <v>30/09/2025</v>
      </c>
      <c r="B3798" t="str">
        <f>"ENTRADA"</f>
        <v>ENTRADA</v>
      </c>
      <c r="C3798" t="str">
        <f>"DINHEIRO"</f>
        <v>DINHEIRO</v>
      </c>
      <c r="D3798" t="str">
        <f>"02"</f>
        <v>02</v>
      </c>
      <c r="E3798" t="str">
        <f>"33"</f>
        <v>33</v>
      </c>
      <c r="F3798" t="str">
        <f t="shared" si="685"/>
        <v>COM</v>
      </c>
      <c r="G3798" t="str">
        <f t="shared" si="693"/>
        <v>JEAN ARAÚJO SANTOS GERMANO (551)</v>
      </c>
      <c r="H3798" t="str">
        <f>"DESCONTO COTA COOPERADO"</f>
        <v>DESCONTO COTA COOPERADO</v>
      </c>
      <c r="I3798" t="str">
        <f>("16/09/2025")</f>
        <v>16/09/2025</v>
      </c>
      <c r="J3798" t="str">
        <f>("16/01/2025")</f>
        <v>16/01/2025</v>
      </c>
      <c r="K3798" t="str">
        <f>("30/09/2025")</f>
        <v>30/09/2025</v>
      </c>
      <c r="L3798">
        <v>20</v>
      </c>
      <c r="M3798">
        <v>20</v>
      </c>
      <c r="N3798">
        <v>106</v>
      </c>
      <c r="O3798" t="str">
        <f>"ENTRADA DE CAPITAL"</f>
        <v>ENTRADA DE CAPITAL</v>
      </c>
      <c r="P3798">
        <v>20</v>
      </c>
      <c r="S3798" t="str">
        <f>"ENTRADA DE CAPITAL (106)"</f>
        <v>ENTRADA DE CAPITAL (106)</v>
      </c>
      <c r="T3798">
        <v>18881</v>
      </c>
      <c r="U3798">
        <v>6581</v>
      </c>
      <c r="V3798" t="s">
        <v>48</v>
      </c>
    </row>
    <row r="3799" spans="1:22">
      <c r="A3799" t="str">
        <f t="shared" si="692"/>
        <v>30/09/2025</v>
      </c>
      <c r="B3799" t="str">
        <f>"ENTRADA"</f>
        <v>ENTRADA</v>
      </c>
      <c r="C3799" t="str">
        <f>"DINHEIRO"</f>
        <v>DINHEIRO</v>
      </c>
      <c r="D3799" t="str">
        <f>"02"</f>
        <v>02</v>
      </c>
      <c r="E3799" t="str">
        <f>"33"</f>
        <v>33</v>
      </c>
      <c r="F3799" t="str">
        <f t="shared" si="685"/>
        <v>COM</v>
      </c>
      <c r="G3799" t="str">
        <f t="shared" si="693"/>
        <v>JEAN ARAÚJO SANTOS GERMANO (551)</v>
      </c>
      <c r="H3799" t="s">
        <v>309</v>
      </c>
      <c r="I3799" t="str">
        <f>("16/09/2025")</f>
        <v>16/09/2025</v>
      </c>
      <c r="J3799" t="str">
        <f>("16/01/2025")</f>
        <v>16/01/2025</v>
      </c>
      <c r="K3799">
        <v>45930</v>
      </c>
      <c r="N3799">
        <v>106</v>
      </c>
      <c r="O3799" t="s">
        <v>51</v>
      </c>
      <c r="Q3799">
        <v>20</v>
      </c>
      <c r="R3799" t="str">
        <f>"JEAN ARAÚJO SANTOS GERMANO (551)"</f>
        <v>JEAN ARAÚJO SANTOS GERMANO (551)</v>
      </c>
      <c r="S3799" t="s">
        <v>52</v>
      </c>
      <c r="T3799">
        <v>18881</v>
      </c>
      <c r="U3799">
        <v>6581</v>
      </c>
      <c r="V3799" t="s">
        <v>48</v>
      </c>
    </row>
    <row r="3800" spans="1:22">
      <c r="A3800" t="str">
        <f t="shared" si="692"/>
        <v>30/09/2025</v>
      </c>
      <c r="B3800" t="str">
        <f>"SAÍDA"</f>
        <v>SAÍDA</v>
      </c>
      <c r="C3800" t="str">
        <f>"PIX"</f>
        <v>PIX</v>
      </c>
      <c r="D3800" t="str">
        <f>"22347"</f>
        <v>22347</v>
      </c>
      <c r="E3800" t="str">
        <f>"1"</f>
        <v>1</v>
      </c>
      <c r="F3800" t="str">
        <f t="shared" si="685"/>
        <v>COM</v>
      </c>
      <c r="G3800" t="str">
        <f t="shared" si="693"/>
        <v>JEAN ARAÚJO SANTOS GERMANO (551)</v>
      </c>
      <c r="H3800" t="str">
        <f>"Serv.Prest. 15/09/2025 a 21/09/2025 - PIX: CELULAR - CHAVE: (31) 99812-7173"</f>
        <v>Serv.Prest. 15/09/2025 a 21/09/2025 - PIX: CELULAR - CHAVE: (31) 99812-7173</v>
      </c>
      <c r="I3800" t="str">
        <f>("02/10/2025")</f>
        <v>02/10/2025</v>
      </c>
      <c r="J3800" t="str">
        <f>("23/09/2025")</f>
        <v>23/09/2025</v>
      </c>
      <c r="K3800" t="str">
        <f>("30/09/2025")</f>
        <v>30/09/2025</v>
      </c>
      <c r="L3800">
        <v>40</v>
      </c>
      <c r="M3800">
        <v>40</v>
      </c>
      <c r="N3800">
        <v>109</v>
      </c>
      <c r="O3800" t="str">
        <f>"PAGAMENTO DE ENTREGADORES"</f>
        <v>PAGAMENTO DE ENTREGADORES</v>
      </c>
      <c r="P3800">
        <v>40</v>
      </c>
      <c r="S3800" t="str">
        <f>"CAIXA MOVIMENTAÇÃO OPERACIONAL (132)"</f>
        <v>CAIXA MOVIMENTAÇÃO OPERACIONAL (132)</v>
      </c>
      <c r="T3800">
        <v>18882</v>
      </c>
      <c r="U3800">
        <v>22785</v>
      </c>
      <c r="V3800" t="s">
        <v>48</v>
      </c>
    </row>
    <row r="3801" spans="1:22">
      <c r="A3801" t="str">
        <f t="shared" si="692"/>
        <v>30/09/2025</v>
      </c>
      <c r="B3801" t="str">
        <f>"SAÍDA"</f>
        <v>SAÍDA</v>
      </c>
      <c r="C3801" t="str">
        <f>"PIX"</f>
        <v>PIX</v>
      </c>
      <c r="D3801" t="str">
        <f>"22347"</f>
        <v>22347</v>
      </c>
      <c r="E3801" t="str">
        <f>"1"</f>
        <v>1</v>
      </c>
      <c r="F3801" t="str">
        <f t="shared" si="685"/>
        <v>COM</v>
      </c>
      <c r="G3801" t="str">
        <f t="shared" si="693"/>
        <v>JEAN ARAÚJO SANTOS GERMANO (551)</v>
      </c>
      <c r="H3801" t="s">
        <v>1081</v>
      </c>
      <c r="I3801" t="str">
        <f>("02/10/2025")</f>
        <v>02/10/2025</v>
      </c>
      <c r="J3801" t="str">
        <f>("23/09/2025")</f>
        <v>23/09/2025</v>
      </c>
      <c r="K3801">
        <v>45930</v>
      </c>
      <c r="N3801">
        <v>109</v>
      </c>
      <c r="O3801" t="s">
        <v>24</v>
      </c>
      <c r="Q3801">
        <v>40</v>
      </c>
      <c r="R3801" t="str">
        <f>"FARMÁCIA INDIANA LJ 142 (10066)"</f>
        <v>FARMÁCIA INDIANA LJ 142 (10066)</v>
      </c>
      <c r="S3801" t="s">
        <v>48</v>
      </c>
      <c r="T3801">
        <v>18882</v>
      </c>
      <c r="U3801">
        <v>22785</v>
      </c>
      <c r="V3801" t="s">
        <v>48</v>
      </c>
    </row>
    <row r="3802" spans="1:22">
      <c r="A3802" t="str">
        <f t="shared" si="692"/>
        <v>30/09/2025</v>
      </c>
      <c r="B3802" t="str">
        <f>"SAÍDA"</f>
        <v>SAÍDA</v>
      </c>
      <c r="C3802" t="str">
        <f>"PIX"</f>
        <v>PIX</v>
      </c>
      <c r="D3802" t="str">
        <f>"22347"</f>
        <v>22347</v>
      </c>
      <c r="E3802" t="str">
        <f>"1"</f>
        <v>1</v>
      </c>
      <c r="F3802" t="str">
        <f t="shared" si="685"/>
        <v>COM</v>
      </c>
      <c r="G3802" t="str">
        <f t="shared" si="693"/>
        <v>JEAN ARAÚJO SANTOS GERMANO (551)</v>
      </c>
      <c r="H3802" t="str">
        <f>"Serv.Prest. 15/09/2025 a 21/09/2025 - PIX: CELULAR - CHAVE: (31) 99812-7173"</f>
        <v>Serv.Prest. 15/09/2025 a 21/09/2025 - PIX: CELULAR - CHAVE: (31) 99812-7173</v>
      </c>
      <c r="I3802" t="str">
        <f>("02/10/2025")</f>
        <v>02/10/2025</v>
      </c>
      <c r="J3802" t="str">
        <f>("23/09/2025")</f>
        <v>23/09/2025</v>
      </c>
      <c r="K3802" t="str">
        <f>("30/09/2025")</f>
        <v>30/09/2025</v>
      </c>
      <c r="L3802">
        <v>20</v>
      </c>
      <c r="M3802">
        <v>20</v>
      </c>
      <c r="N3802">
        <v>109</v>
      </c>
      <c r="O3802" t="str">
        <f>"PAGAMENTO DE ENTREGADORES"</f>
        <v>PAGAMENTO DE ENTREGADORES</v>
      </c>
      <c r="P3802">
        <v>20</v>
      </c>
      <c r="S3802" t="str">
        <f>"CAIXA MOVIMENTAÇÃO OPERACIONAL (132)"</f>
        <v>CAIXA MOVIMENTAÇÃO OPERACIONAL (132)</v>
      </c>
      <c r="T3802">
        <v>18883</v>
      </c>
      <c r="U3802">
        <v>22786</v>
      </c>
      <c r="V3802" t="s">
        <v>48</v>
      </c>
    </row>
    <row r="3803" spans="1:22">
      <c r="A3803" t="str">
        <f t="shared" si="692"/>
        <v>30/09/2025</v>
      </c>
      <c r="B3803" t="str">
        <f>"SAÍDA"</f>
        <v>SAÍDA</v>
      </c>
      <c r="C3803" t="str">
        <f>"PIX"</f>
        <v>PIX</v>
      </c>
      <c r="D3803" t="str">
        <f>"22347"</f>
        <v>22347</v>
      </c>
      <c r="E3803" t="str">
        <f>"1"</f>
        <v>1</v>
      </c>
      <c r="F3803" t="str">
        <f t="shared" si="685"/>
        <v>COM</v>
      </c>
      <c r="G3803" t="str">
        <f t="shared" si="693"/>
        <v>JEAN ARAÚJO SANTOS GERMANO (551)</v>
      </c>
      <c r="H3803" t="s">
        <v>1081</v>
      </c>
      <c r="I3803" t="str">
        <f>("02/10/2025")</f>
        <v>02/10/2025</v>
      </c>
      <c r="J3803" t="str">
        <f>("23/09/2025")</f>
        <v>23/09/2025</v>
      </c>
      <c r="K3803">
        <v>45930</v>
      </c>
      <c r="N3803">
        <v>109</v>
      </c>
      <c r="O3803" t="s">
        <v>24</v>
      </c>
      <c r="Q3803">
        <v>20</v>
      </c>
      <c r="R3803" t="str">
        <f>"FARMÁCIA INDIANA LJ 142 (10066)"</f>
        <v>FARMÁCIA INDIANA LJ 142 (10066)</v>
      </c>
      <c r="S3803" t="s">
        <v>48</v>
      </c>
      <c r="T3803">
        <v>18883</v>
      </c>
      <c r="U3803">
        <v>22786</v>
      </c>
      <c r="V3803" t="s">
        <v>48</v>
      </c>
    </row>
    <row r="3804" spans="1:22">
      <c r="A3804" t="str">
        <f t="shared" si="692"/>
        <v>30/09/2025</v>
      </c>
      <c r="B3804" t="str">
        <f>"ENTRADA"</f>
        <v>ENTRADA</v>
      </c>
      <c r="C3804" t="str">
        <f>"DINHEIRO"</f>
        <v>DINHEIRO</v>
      </c>
      <c r="D3804" t="str">
        <f>"02"</f>
        <v>02</v>
      </c>
      <c r="E3804" t="str">
        <f>"34"</f>
        <v>34</v>
      </c>
      <c r="F3804" t="str">
        <f t="shared" ref="F3804:F3835" si="694">"COM"</f>
        <v>COM</v>
      </c>
      <c r="G3804" t="str">
        <f t="shared" si="693"/>
        <v>JEAN ARAÚJO SANTOS GERMANO (551)</v>
      </c>
      <c r="H3804" t="str">
        <f>"DESCONTO COTA COOPERADO"</f>
        <v>DESCONTO COTA COOPERADO</v>
      </c>
      <c r="I3804" t="str">
        <f>("16/10/2025")</f>
        <v>16/10/2025</v>
      </c>
      <c r="J3804" t="str">
        <f>("16/01/2025")</f>
        <v>16/01/2025</v>
      </c>
      <c r="K3804" t="str">
        <f>("30/09/2025")</f>
        <v>30/09/2025</v>
      </c>
      <c r="L3804">
        <v>20</v>
      </c>
      <c r="M3804">
        <v>20</v>
      </c>
      <c r="N3804">
        <v>106</v>
      </c>
      <c r="O3804" t="str">
        <f>"ENTRADA DE CAPITAL"</f>
        <v>ENTRADA DE CAPITAL</v>
      </c>
      <c r="P3804">
        <v>20</v>
      </c>
      <c r="S3804" t="str">
        <f>"ENTRADA DE CAPITAL (106)"</f>
        <v>ENTRADA DE CAPITAL (106)</v>
      </c>
      <c r="T3804">
        <v>18884</v>
      </c>
      <c r="U3804">
        <v>6582</v>
      </c>
      <c r="V3804" t="s">
        <v>48</v>
      </c>
    </row>
    <row r="3805" spans="1:22">
      <c r="A3805" t="str">
        <f t="shared" si="692"/>
        <v>30/09/2025</v>
      </c>
      <c r="B3805" t="str">
        <f>"ENTRADA"</f>
        <v>ENTRADA</v>
      </c>
      <c r="C3805" t="str">
        <f>"DINHEIRO"</f>
        <v>DINHEIRO</v>
      </c>
      <c r="D3805" t="str">
        <f>"02"</f>
        <v>02</v>
      </c>
      <c r="E3805" t="str">
        <f>"34"</f>
        <v>34</v>
      </c>
      <c r="F3805" t="str">
        <f t="shared" si="694"/>
        <v>COM</v>
      </c>
      <c r="G3805" t="str">
        <f t="shared" si="693"/>
        <v>JEAN ARAÚJO SANTOS GERMANO (551)</v>
      </c>
      <c r="H3805" t="s">
        <v>309</v>
      </c>
      <c r="I3805" t="str">
        <f>("16/10/2025")</f>
        <v>16/10/2025</v>
      </c>
      <c r="J3805" t="str">
        <f>("16/01/2025")</f>
        <v>16/01/2025</v>
      </c>
      <c r="K3805">
        <v>45930</v>
      </c>
      <c r="N3805">
        <v>106</v>
      </c>
      <c r="O3805" t="s">
        <v>51</v>
      </c>
      <c r="Q3805">
        <v>20</v>
      </c>
      <c r="R3805" t="str">
        <f>"JEAN ARAÚJO SANTOS GERMANO (551)"</f>
        <v>JEAN ARAÚJO SANTOS GERMANO (551)</v>
      </c>
      <c r="S3805" t="s">
        <v>52</v>
      </c>
      <c r="T3805">
        <v>18884</v>
      </c>
      <c r="U3805">
        <v>6582</v>
      </c>
      <c r="V3805" t="s">
        <v>48</v>
      </c>
    </row>
    <row r="3806" spans="1:22">
      <c r="A3806" t="str">
        <f t="shared" si="692"/>
        <v>30/09/2025</v>
      </c>
      <c r="B3806" t="str">
        <f>"SAÍDA"</f>
        <v>SAÍDA</v>
      </c>
      <c r="C3806" t="str">
        <f>"PIX"</f>
        <v>PIX</v>
      </c>
      <c r="D3806" t="str">
        <f>"22706"</f>
        <v>22706</v>
      </c>
      <c r="E3806" t="str">
        <f>"1"</f>
        <v>1</v>
      </c>
      <c r="F3806" t="str">
        <f t="shared" si="694"/>
        <v>COM</v>
      </c>
      <c r="G3806" t="str">
        <f>"ALLAN SILVA DAMACENA (790)"</f>
        <v>ALLAN SILVA DAMACENA (790)</v>
      </c>
      <c r="H3806" t="str">
        <f>"Serv.Prest. 22/09/2025 a 28/09/2025 - PIX: CELULAR - CHAVE: (19) 98944-4977"</f>
        <v>Serv.Prest. 22/09/2025 a 28/09/2025 - PIX: CELULAR - CHAVE: (19) 98944-4977</v>
      </c>
      <c r="I3806" t="str">
        <f t="shared" ref="I3806:I3825" si="695">("02/10/2025")</f>
        <v>02/10/2025</v>
      </c>
      <c r="J3806" t="str">
        <f>("29/09/2025")</f>
        <v>29/09/2025</v>
      </c>
      <c r="K3806" t="str">
        <f>("30/09/2025")</f>
        <v>30/09/2025</v>
      </c>
      <c r="L3806">
        <v>100</v>
      </c>
      <c r="M3806">
        <v>100</v>
      </c>
      <c r="N3806">
        <v>109</v>
      </c>
      <c r="O3806" t="str">
        <f>"PAGAMENTO DE ENTREGADORES"</f>
        <v>PAGAMENTO DE ENTREGADORES</v>
      </c>
      <c r="P3806">
        <v>100</v>
      </c>
      <c r="S3806" t="str">
        <f>"CAIXA MOVIMENTAÇÃO OPERACIONAL (132)"</f>
        <v>CAIXA MOVIMENTAÇÃO OPERACIONAL (132)</v>
      </c>
      <c r="T3806">
        <v>18885</v>
      </c>
      <c r="U3806">
        <v>22787</v>
      </c>
      <c r="V3806" t="s">
        <v>48</v>
      </c>
    </row>
    <row r="3807" spans="1:22">
      <c r="A3807" t="str">
        <f t="shared" si="692"/>
        <v>30/09/2025</v>
      </c>
      <c r="B3807" t="str">
        <f>"SAÍDA"</f>
        <v>SAÍDA</v>
      </c>
      <c r="C3807" t="str">
        <f>"PIX"</f>
        <v>PIX</v>
      </c>
      <c r="D3807" t="str">
        <f>"22706"</f>
        <v>22706</v>
      </c>
      <c r="E3807" t="str">
        <f>"1"</f>
        <v>1</v>
      </c>
      <c r="F3807" t="str">
        <f t="shared" si="694"/>
        <v>COM</v>
      </c>
      <c r="G3807" t="str">
        <f>"ALLAN SILVA DAMACENA (790)"</f>
        <v>ALLAN SILVA DAMACENA (790)</v>
      </c>
      <c r="H3807" t="s">
        <v>1082</v>
      </c>
      <c r="I3807" t="str">
        <f t="shared" si="695"/>
        <v>02/10/2025</v>
      </c>
      <c r="J3807" t="str">
        <f>("29/09/2025")</f>
        <v>29/09/2025</v>
      </c>
      <c r="K3807">
        <v>45930</v>
      </c>
      <c r="N3807">
        <v>109</v>
      </c>
      <c r="O3807" t="s">
        <v>24</v>
      </c>
      <c r="Q3807">
        <v>100</v>
      </c>
      <c r="R3807" t="str">
        <f>"DROGARIA MORENO LTDA (10171)"</f>
        <v>DROGARIA MORENO LTDA (10171)</v>
      </c>
      <c r="S3807" t="s">
        <v>48</v>
      </c>
      <c r="T3807">
        <v>18885</v>
      </c>
      <c r="U3807">
        <v>22787</v>
      </c>
      <c r="V3807" t="s">
        <v>48</v>
      </c>
    </row>
    <row r="3808" spans="1:22">
      <c r="A3808" t="str">
        <f t="shared" si="692"/>
        <v>30/09/2025</v>
      </c>
      <c r="B3808" t="str">
        <f>"ENTRADA"</f>
        <v>ENTRADA</v>
      </c>
      <c r="C3808" t="str">
        <f>"DINHEIRO"</f>
        <v>DINHEIRO</v>
      </c>
      <c r="D3808" t="str">
        <f>"0210"</f>
        <v>0210</v>
      </c>
      <c r="E3808" t="str">
        <f>"25"</f>
        <v>25</v>
      </c>
      <c r="F3808" t="str">
        <f t="shared" si="694"/>
        <v>COM</v>
      </c>
      <c r="G3808" t="str">
        <f>"ALLAN SILVA DAMACENA (790)"</f>
        <v>ALLAN SILVA DAMACENA (790)</v>
      </c>
      <c r="H3808" t="str">
        <f>"REEMBOLSO ADIANTAMENTO"</f>
        <v>REEMBOLSO ADIANTAMENTO</v>
      </c>
      <c r="I3808" t="str">
        <f t="shared" si="695"/>
        <v>02/10/2025</v>
      </c>
      <c r="J3808" t="str">
        <f>("11/09/2025")</f>
        <v>11/09/2025</v>
      </c>
      <c r="K3808" t="str">
        <f>("30/09/2025")</f>
        <v>30/09/2025</v>
      </c>
      <c r="L3808">
        <v>100</v>
      </c>
      <c r="M3808">
        <v>100</v>
      </c>
      <c r="N3808">
        <v>129</v>
      </c>
      <c r="O3808" t="str">
        <f>"ENTRADA DE REEMBOLSO ADIANTAMENTO"</f>
        <v>ENTRADA DE REEMBOLSO ADIANTAMENTO</v>
      </c>
      <c r="P3808">
        <v>100</v>
      </c>
      <c r="S3808" t="str">
        <f>"ENTRADA DE REEMBOLSO ADIANTAMENTO (129)"</f>
        <v>ENTRADA DE REEMBOLSO ADIANTAMENTO (129)</v>
      </c>
      <c r="T3808">
        <v>18886</v>
      </c>
      <c r="U3808">
        <v>21711</v>
      </c>
      <c r="V3808" t="s">
        <v>48</v>
      </c>
    </row>
    <row r="3809" spans="1:22">
      <c r="A3809" t="str">
        <f t="shared" si="692"/>
        <v>30/09/2025</v>
      </c>
      <c r="B3809" t="str">
        <f>"ENTRADA"</f>
        <v>ENTRADA</v>
      </c>
      <c r="C3809" t="str">
        <f>"DINHEIRO"</f>
        <v>DINHEIRO</v>
      </c>
      <c r="D3809" t="str">
        <f>"0210"</f>
        <v>0210</v>
      </c>
      <c r="E3809" t="str">
        <f>"25"</f>
        <v>25</v>
      </c>
      <c r="F3809" t="str">
        <f t="shared" si="694"/>
        <v>COM</v>
      </c>
      <c r="G3809" t="str">
        <f>"ALLAN SILVA DAMACENA (790)"</f>
        <v>ALLAN SILVA DAMACENA (790)</v>
      </c>
      <c r="H3809" t="s">
        <v>57</v>
      </c>
      <c r="I3809" t="str">
        <f t="shared" si="695"/>
        <v>02/10/2025</v>
      </c>
      <c r="J3809" t="str">
        <f>("11/09/2025")</f>
        <v>11/09/2025</v>
      </c>
      <c r="K3809">
        <v>45930</v>
      </c>
      <c r="N3809">
        <v>129</v>
      </c>
      <c r="O3809" t="s">
        <v>58</v>
      </c>
      <c r="Q3809">
        <v>100</v>
      </c>
      <c r="R3809" t="str">
        <f>"ALLAN SILVA DAMACENA (790)"</f>
        <v>ALLAN SILVA DAMACENA (790)</v>
      </c>
      <c r="S3809" t="s">
        <v>59</v>
      </c>
      <c r="T3809">
        <v>18886</v>
      </c>
      <c r="U3809">
        <v>21711</v>
      </c>
      <c r="V3809" t="s">
        <v>48</v>
      </c>
    </row>
    <row r="3810" spans="1:22">
      <c r="A3810" t="str">
        <f t="shared" si="692"/>
        <v>30/09/2025</v>
      </c>
      <c r="B3810" t="str">
        <f>"SAÍDA"</f>
        <v>SAÍDA</v>
      </c>
      <c r="C3810" t="str">
        <f>"PIX"</f>
        <v>PIX</v>
      </c>
      <c r="D3810" t="str">
        <f>"22462"</f>
        <v>22462</v>
      </c>
      <c r="E3810" t="str">
        <f>"1"</f>
        <v>1</v>
      </c>
      <c r="F3810" t="str">
        <f t="shared" si="694"/>
        <v>COM</v>
      </c>
      <c r="G3810" t="str">
        <f>"CASSIO DIAS RIBEIRO (32)"</f>
        <v>CASSIO DIAS RIBEIRO (32)</v>
      </c>
      <c r="H3810" t="str">
        <f>"Serv.Prest. 15/09/2025 a 21/09/2025 - PIX: CPF - CHAVE: 091.575.986-14"</f>
        <v>Serv.Prest. 15/09/2025 a 21/09/2025 - PIX: CPF - CHAVE: 091.575.986-14</v>
      </c>
      <c r="I3810" t="str">
        <f t="shared" si="695"/>
        <v>02/10/2025</v>
      </c>
      <c r="J3810" t="str">
        <f>("23/09/2025")</f>
        <v>23/09/2025</v>
      </c>
      <c r="K3810" t="str">
        <f>("30/09/2025")</f>
        <v>30/09/2025</v>
      </c>
      <c r="L3810">
        <v>150</v>
      </c>
      <c r="M3810">
        <v>150</v>
      </c>
      <c r="N3810">
        <v>109</v>
      </c>
      <c r="O3810" t="str">
        <f>"PAGAMENTO DE ENTREGADORES"</f>
        <v>PAGAMENTO DE ENTREGADORES</v>
      </c>
      <c r="P3810">
        <v>150</v>
      </c>
      <c r="S3810" t="str">
        <f>"CAIXA MOVIMENTAÇÃO OPERACIONAL (132)"</f>
        <v>CAIXA MOVIMENTAÇÃO OPERACIONAL (132)</v>
      </c>
      <c r="T3810">
        <v>18887</v>
      </c>
      <c r="U3810">
        <v>22788</v>
      </c>
      <c r="V3810" t="s">
        <v>48</v>
      </c>
    </row>
    <row r="3811" spans="1:22">
      <c r="A3811" t="str">
        <f t="shared" si="692"/>
        <v>30/09/2025</v>
      </c>
      <c r="B3811" t="str">
        <f>"SAÍDA"</f>
        <v>SAÍDA</v>
      </c>
      <c r="C3811" t="str">
        <f>"PIX"</f>
        <v>PIX</v>
      </c>
      <c r="D3811" t="str">
        <f>"22462"</f>
        <v>22462</v>
      </c>
      <c r="E3811" t="str">
        <f>"1"</f>
        <v>1</v>
      </c>
      <c r="F3811" t="str">
        <f t="shared" si="694"/>
        <v>COM</v>
      </c>
      <c r="G3811" t="str">
        <f>"CASSIO DIAS RIBEIRO (32)"</f>
        <v>CASSIO DIAS RIBEIRO (32)</v>
      </c>
      <c r="H3811" t="s">
        <v>1083</v>
      </c>
      <c r="I3811" t="str">
        <f t="shared" si="695"/>
        <v>02/10/2025</v>
      </c>
      <c r="J3811" t="str">
        <f>("23/09/2025")</f>
        <v>23/09/2025</v>
      </c>
      <c r="K3811">
        <v>45930</v>
      </c>
      <c r="N3811">
        <v>109</v>
      </c>
      <c r="O3811" t="s">
        <v>24</v>
      </c>
      <c r="Q3811">
        <v>150</v>
      </c>
      <c r="R3811" t="str">
        <f>"FARMÁCIA INDIANA LJ 18 (10011)"</f>
        <v>FARMÁCIA INDIANA LJ 18 (10011)</v>
      </c>
      <c r="S3811" t="s">
        <v>48</v>
      </c>
      <c r="T3811">
        <v>18887</v>
      </c>
      <c r="U3811">
        <v>22788</v>
      </c>
      <c r="V3811" t="s">
        <v>48</v>
      </c>
    </row>
    <row r="3812" spans="1:22">
      <c r="A3812" t="str">
        <f t="shared" si="692"/>
        <v>30/09/2025</v>
      </c>
      <c r="B3812" t="str">
        <f>"ENTRADA"</f>
        <v>ENTRADA</v>
      </c>
      <c r="C3812" t="str">
        <f>"DINHEIRO"</f>
        <v>DINHEIRO</v>
      </c>
      <c r="D3812" t="str">
        <f>"0210"</f>
        <v>0210</v>
      </c>
      <c r="E3812" t="str">
        <f>"25"</f>
        <v>25</v>
      </c>
      <c r="F3812" t="str">
        <f t="shared" si="694"/>
        <v>COM</v>
      </c>
      <c r="G3812" t="str">
        <f>"CASSIO DIAS RIBEIRO (32)"</f>
        <v>CASSIO DIAS RIBEIRO (32)</v>
      </c>
      <c r="H3812" t="str">
        <f>"REEMBOLSO ADIANTAMENTO"</f>
        <v>REEMBOLSO ADIANTAMENTO</v>
      </c>
      <c r="I3812" t="str">
        <f t="shared" si="695"/>
        <v>02/10/2025</v>
      </c>
      <c r="J3812" t="str">
        <f>("21/08/2025")</f>
        <v>21/08/2025</v>
      </c>
      <c r="K3812" t="str">
        <f>("30/09/2025")</f>
        <v>30/09/2025</v>
      </c>
      <c r="L3812">
        <v>150</v>
      </c>
      <c r="M3812">
        <v>150</v>
      </c>
      <c r="N3812">
        <v>129</v>
      </c>
      <c r="O3812" t="str">
        <f>"ENTRADA DE REEMBOLSO ADIANTAMENTO"</f>
        <v>ENTRADA DE REEMBOLSO ADIANTAMENTO</v>
      </c>
      <c r="P3812">
        <v>150</v>
      </c>
      <c r="S3812" t="str">
        <f>"ENTRADA DE REEMBOLSO ADIANTAMENTO (129)"</f>
        <v>ENTRADA DE REEMBOLSO ADIANTAMENTO (129)</v>
      </c>
      <c r="T3812">
        <v>18888</v>
      </c>
      <c r="U3812">
        <v>20772</v>
      </c>
      <c r="V3812" t="s">
        <v>48</v>
      </c>
    </row>
    <row r="3813" spans="1:22">
      <c r="A3813" t="str">
        <f t="shared" si="692"/>
        <v>30/09/2025</v>
      </c>
      <c r="B3813" t="str">
        <f>"ENTRADA"</f>
        <v>ENTRADA</v>
      </c>
      <c r="C3813" t="str">
        <f>"DINHEIRO"</f>
        <v>DINHEIRO</v>
      </c>
      <c r="D3813" t="str">
        <f>"0210"</f>
        <v>0210</v>
      </c>
      <c r="E3813" t="str">
        <f>"25"</f>
        <v>25</v>
      </c>
      <c r="F3813" t="str">
        <f t="shared" si="694"/>
        <v>COM</v>
      </c>
      <c r="G3813" t="str">
        <f>"CASSIO DIAS RIBEIRO (32)"</f>
        <v>CASSIO DIAS RIBEIRO (32)</v>
      </c>
      <c r="H3813" t="s">
        <v>57</v>
      </c>
      <c r="I3813" t="str">
        <f t="shared" si="695"/>
        <v>02/10/2025</v>
      </c>
      <c r="J3813" t="str">
        <f>("21/08/2025")</f>
        <v>21/08/2025</v>
      </c>
      <c r="K3813">
        <v>45930</v>
      </c>
      <c r="N3813">
        <v>129</v>
      </c>
      <c r="O3813" t="s">
        <v>58</v>
      </c>
      <c r="Q3813">
        <v>150</v>
      </c>
      <c r="R3813" t="str">
        <f>"CASSIO DIAS RIBEIRO (32)"</f>
        <v>CASSIO DIAS RIBEIRO (32)</v>
      </c>
      <c r="S3813" t="s">
        <v>59</v>
      </c>
      <c r="T3813">
        <v>18888</v>
      </c>
      <c r="U3813">
        <v>20772</v>
      </c>
      <c r="V3813" t="s">
        <v>48</v>
      </c>
    </row>
    <row r="3814" spans="1:22">
      <c r="A3814" t="str">
        <f t="shared" si="692"/>
        <v>30/09/2025</v>
      </c>
      <c r="B3814" t="str">
        <f>"ENTRADA"</f>
        <v>ENTRADA</v>
      </c>
      <c r="C3814" t="str">
        <f>"DINHEIRO"</f>
        <v>DINHEIRO</v>
      </c>
      <c r="D3814" t="str">
        <f>"0210"</f>
        <v>0210</v>
      </c>
      <c r="E3814" t="str">
        <f>"25"</f>
        <v>25</v>
      </c>
      <c r="F3814" t="str">
        <f t="shared" si="694"/>
        <v>COM</v>
      </c>
      <c r="G3814" t="str">
        <f>"EDNUBIA RAMOS ALVES OLIVEIRA (899)"</f>
        <v>EDNUBIA RAMOS ALVES OLIVEIRA (899)</v>
      </c>
      <c r="H3814" t="str">
        <f>"REEMBOLSO FALTA DIA 21/09/2025"</f>
        <v>REEMBOLSO FALTA DIA 21/09/2025</v>
      </c>
      <c r="I3814" t="str">
        <f t="shared" si="695"/>
        <v>02/10/2025</v>
      </c>
      <c r="J3814" t="str">
        <f>("26/09/2025")</f>
        <v>26/09/2025</v>
      </c>
      <c r="K3814" t="str">
        <f>("30/09/2025")</f>
        <v>30/09/2025</v>
      </c>
      <c r="L3814">
        <v>100</v>
      </c>
      <c r="M3814">
        <v>100</v>
      </c>
      <c r="N3814">
        <v>129</v>
      </c>
      <c r="O3814" t="str">
        <f>"ENTRADA DE REEMBOLSO ADIANTAMENTO"</f>
        <v>ENTRADA DE REEMBOLSO ADIANTAMENTO</v>
      </c>
      <c r="P3814">
        <v>100</v>
      </c>
      <c r="S3814" t="str">
        <f>"ENTRADA DE REEMBOLSO ADIANTAMENTO (129)"</f>
        <v>ENTRADA DE REEMBOLSO ADIANTAMENTO (129)</v>
      </c>
      <c r="T3814">
        <v>18889</v>
      </c>
      <c r="U3814">
        <v>22518</v>
      </c>
      <c r="V3814" t="s">
        <v>48</v>
      </c>
    </row>
    <row r="3815" spans="1:22">
      <c r="A3815" t="str">
        <f t="shared" si="692"/>
        <v>30/09/2025</v>
      </c>
      <c r="B3815" t="str">
        <f>"ENTRADA"</f>
        <v>ENTRADA</v>
      </c>
      <c r="C3815" t="str">
        <f>"DINHEIRO"</f>
        <v>DINHEIRO</v>
      </c>
      <c r="D3815" t="str">
        <f>"0210"</f>
        <v>0210</v>
      </c>
      <c r="E3815" t="str">
        <f>"25"</f>
        <v>25</v>
      </c>
      <c r="F3815" t="str">
        <f t="shared" si="694"/>
        <v>COM</v>
      </c>
      <c r="G3815" t="str">
        <f>"EDNUBIA RAMOS ALVES OLIVEIRA (899)"</f>
        <v>EDNUBIA RAMOS ALVES OLIVEIRA (899)</v>
      </c>
      <c r="H3815" t="s">
        <v>1084</v>
      </c>
      <c r="I3815" t="str">
        <f t="shared" si="695"/>
        <v>02/10/2025</v>
      </c>
      <c r="J3815" t="str">
        <f>("26/09/2025")</f>
        <v>26/09/2025</v>
      </c>
      <c r="K3815">
        <v>45930</v>
      </c>
      <c r="N3815">
        <v>129</v>
      </c>
      <c r="O3815" t="s">
        <v>58</v>
      </c>
      <c r="Q3815">
        <v>100</v>
      </c>
      <c r="R3815" t="str">
        <f>"EDNUBIA RAMOS ALVES OLIVEIRA (899)"</f>
        <v>EDNUBIA RAMOS ALVES OLIVEIRA (899)</v>
      </c>
      <c r="S3815" t="s">
        <v>59</v>
      </c>
      <c r="T3815">
        <v>18889</v>
      </c>
      <c r="U3815">
        <v>22518</v>
      </c>
      <c r="V3815" t="s">
        <v>48</v>
      </c>
    </row>
    <row r="3816" spans="1:22">
      <c r="A3816" t="str">
        <f t="shared" si="692"/>
        <v>30/09/2025</v>
      </c>
      <c r="B3816" t="str">
        <f>"SAÍDA"</f>
        <v>SAÍDA</v>
      </c>
      <c r="C3816" t="str">
        <f>"PIX"</f>
        <v>PIX</v>
      </c>
      <c r="D3816" t="str">
        <f>"22747"</f>
        <v>22747</v>
      </c>
      <c r="E3816" t="str">
        <f>"1"</f>
        <v>1</v>
      </c>
      <c r="F3816" t="str">
        <f t="shared" si="694"/>
        <v>COM</v>
      </c>
      <c r="G3816" t="str">
        <f>"EDNUBIA RAMOS ALVES OLIVEIRA (899)"</f>
        <v>EDNUBIA RAMOS ALVES OLIVEIRA (899)</v>
      </c>
      <c r="H3816" t="str">
        <f>"Serv.Prest. 22/09/2025 a 28/09/2025 - PIX: CELULAR - CHAVE: (71) 99214-9256"</f>
        <v>Serv.Prest. 22/09/2025 a 28/09/2025 - PIX: CELULAR - CHAVE: (71) 99214-9256</v>
      </c>
      <c r="I3816" t="str">
        <f t="shared" si="695"/>
        <v>02/10/2025</v>
      </c>
      <c r="J3816" t="str">
        <f>("30/09/2025")</f>
        <v>30/09/2025</v>
      </c>
      <c r="K3816" t="str">
        <f>("30/09/2025")</f>
        <v>30/09/2025</v>
      </c>
      <c r="L3816">
        <v>100</v>
      </c>
      <c r="M3816">
        <v>100</v>
      </c>
      <c r="N3816">
        <v>109</v>
      </c>
      <c r="O3816" t="str">
        <f>"PAGAMENTO DE ENTREGADORES"</f>
        <v>PAGAMENTO DE ENTREGADORES</v>
      </c>
      <c r="P3816">
        <v>100</v>
      </c>
      <c r="S3816" t="str">
        <f>"CAIXA MOVIMENTAÇÃO OPERACIONAL (132)"</f>
        <v>CAIXA MOVIMENTAÇÃO OPERACIONAL (132)</v>
      </c>
      <c r="T3816">
        <v>18890</v>
      </c>
      <c r="U3816">
        <v>22789</v>
      </c>
      <c r="V3816" t="s">
        <v>48</v>
      </c>
    </row>
    <row r="3817" spans="1:22">
      <c r="A3817" t="str">
        <f t="shared" si="692"/>
        <v>30/09/2025</v>
      </c>
      <c r="B3817" t="str">
        <f>"SAÍDA"</f>
        <v>SAÍDA</v>
      </c>
      <c r="C3817" t="str">
        <f>"PIX"</f>
        <v>PIX</v>
      </c>
      <c r="D3817" t="str">
        <f>"22747"</f>
        <v>22747</v>
      </c>
      <c r="E3817" t="str">
        <f>"1"</f>
        <v>1</v>
      </c>
      <c r="F3817" t="str">
        <f t="shared" si="694"/>
        <v>COM</v>
      </c>
      <c r="G3817" t="str">
        <f>"EDNUBIA RAMOS ALVES OLIVEIRA (899)"</f>
        <v>EDNUBIA RAMOS ALVES OLIVEIRA (899)</v>
      </c>
      <c r="H3817" t="s">
        <v>1085</v>
      </c>
      <c r="I3817" t="str">
        <f t="shared" si="695"/>
        <v>02/10/2025</v>
      </c>
      <c r="J3817" t="str">
        <f>("30/09/2025")</f>
        <v>30/09/2025</v>
      </c>
      <c r="K3817">
        <v>45930</v>
      </c>
      <c r="N3817">
        <v>109</v>
      </c>
      <c r="O3817" t="s">
        <v>24</v>
      </c>
      <c r="Q3817">
        <v>100</v>
      </c>
      <c r="R3817" t="str">
        <f>"DELTA LOJA 2 (10123)"</f>
        <v>DELTA LOJA 2 (10123)</v>
      </c>
      <c r="S3817" t="s">
        <v>48</v>
      </c>
      <c r="T3817">
        <v>18890</v>
      </c>
      <c r="U3817">
        <v>22789</v>
      </c>
      <c r="V3817" t="s">
        <v>48</v>
      </c>
    </row>
    <row r="3818" spans="1:22">
      <c r="A3818" t="str">
        <f t="shared" si="692"/>
        <v>30/09/2025</v>
      </c>
      <c r="B3818" t="str">
        <f>"SAÍDA"</f>
        <v>SAÍDA</v>
      </c>
      <c r="C3818" t="str">
        <f>"PIX"</f>
        <v>PIX</v>
      </c>
      <c r="D3818" t="str">
        <f>"22664"</f>
        <v>22664</v>
      </c>
      <c r="E3818" t="str">
        <f>"1"</f>
        <v>1</v>
      </c>
      <c r="F3818" t="str">
        <f t="shared" si="694"/>
        <v>COM</v>
      </c>
      <c r="G3818" t="str">
        <f>"MAYKON LOPES DE MENEZES (781)"</f>
        <v>MAYKON LOPES DE MENEZES (781)</v>
      </c>
      <c r="H3818" t="str">
        <f>"Serv.Prest. 22/09/2025 a 28/09/2025 - PIX: CPF - CHAVE: 012.600.851-55"</f>
        <v>Serv.Prest. 22/09/2025 a 28/09/2025 - PIX: CPF - CHAVE: 012.600.851-55</v>
      </c>
      <c r="I3818" t="str">
        <f t="shared" si="695"/>
        <v>02/10/2025</v>
      </c>
      <c r="J3818" t="str">
        <f>("29/09/2025")</f>
        <v>29/09/2025</v>
      </c>
      <c r="K3818" t="str">
        <f>("30/09/2025")</f>
        <v>30/09/2025</v>
      </c>
      <c r="L3818">
        <v>175</v>
      </c>
      <c r="M3818">
        <v>175</v>
      </c>
      <c r="N3818">
        <v>109</v>
      </c>
      <c r="O3818" t="str">
        <f>"PAGAMENTO DE ENTREGADORES"</f>
        <v>PAGAMENTO DE ENTREGADORES</v>
      </c>
      <c r="P3818">
        <v>175</v>
      </c>
      <c r="S3818" t="str">
        <f>"CAIXA MOVIMENTAÇÃO OPERACIONAL (132)"</f>
        <v>CAIXA MOVIMENTAÇÃO OPERACIONAL (132)</v>
      </c>
      <c r="T3818">
        <v>18891</v>
      </c>
      <c r="U3818">
        <v>22790</v>
      </c>
      <c r="V3818" t="s">
        <v>48</v>
      </c>
    </row>
    <row r="3819" spans="1:22">
      <c r="A3819" t="str">
        <f t="shared" si="692"/>
        <v>30/09/2025</v>
      </c>
      <c r="B3819" t="str">
        <f>"SAÍDA"</f>
        <v>SAÍDA</v>
      </c>
      <c r="C3819" t="str">
        <f>"PIX"</f>
        <v>PIX</v>
      </c>
      <c r="D3819" t="str">
        <f>"22664"</f>
        <v>22664</v>
      </c>
      <c r="E3819" t="str">
        <f>"1"</f>
        <v>1</v>
      </c>
      <c r="F3819" t="str">
        <f t="shared" si="694"/>
        <v>COM</v>
      </c>
      <c r="G3819" t="str">
        <f>"MAYKON LOPES DE MENEZES (781)"</f>
        <v>MAYKON LOPES DE MENEZES (781)</v>
      </c>
      <c r="H3819" t="s">
        <v>1086</v>
      </c>
      <c r="I3819" t="str">
        <f t="shared" si="695"/>
        <v>02/10/2025</v>
      </c>
      <c r="J3819" t="str">
        <f>("29/09/2025")</f>
        <v>29/09/2025</v>
      </c>
      <c r="K3819">
        <v>45930</v>
      </c>
      <c r="N3819">
        <v>109</v>
      </c>
      <c r="O3819" t="s">
        <v>24</v>
      </c>
      <c r="Q3819">
        <v>175</v>
      </c>
      <c r="R3819" t="str">
        <f>"BRASIL FARMA (10173)"</f>
        <v>BRASIL FARMA (10173)</v>
      </c>
      <c r="S3819" t="s">
        <v>48</v>
      </c>
      <c r="T3819">
        <v>18891</v>
      </c>
      <c r="U3819">
        <v>22790</v>
      </c>
      <c r="V3819" t="s">
        <v>48</v>
      </c>
    </row>
    <row r="3820" spans="1:22">
      <c r="A3820" t="str">
        <f t="shared" si="692"/>
        <v>30/09/2025</v>
      </c>
      <c r="B3820" t="str">
        <f>"ENTRADA"</f>
        <v>ENTRADA</v>
      </c>
      <c r="C3820" t="str">
        <f>"DINHEIRO"</f>
        <v>DINHEIRO</v>
      </c>
      <c r="D3820" t="str">
        <f>"1809"</f>
        <v>1809</v>
      </c>
      <c r="E3820" t="str">
        <f>"25"</f>
        <v>25</v>
      </c>
      <c r="F3820" t="str">
        <f t="shared" si="694"/>
        <v>COM</v>
      </c>
      <c r="G3820" t="str">
        <f>"MAYKON LOPES DE MENEZES (781)"</f>
        <v>MAYKON LOPES DE MENEZES (781)</v>
      </c>
      <c r="H3820" t="str">
        <f>"REEMBOLSO ADIANTAMENTO"</f>
        <v>REEMBOLSO ADIANTAMENTO</v>
      </c>
      <c r="I3820" t="str">
        <f t="shared" si="695"/>
        <v>02/10/2025</v>
      </c>
      <c r="J3820" t="str">
        <f>("11/09/2025")</f>
        <v>11/09/2025</v>
      </c>
      <c r="K3820" t="str">
        <f>("30/09/2025")</f>
        <v>30/09/2025</v>
      </c>
      <c r="L3820">
        <v>175</v>
      </c>
      <c r="M3820">
        <v>175</v>
      </c>
      <c r="N3820">
        <v>129</v>
      </c>
      <c r="O3820" t="str">
        <f>"ENTRADA DE REEMBOLSO ADIANTAMENTO"</f>
        <v>ENTRADA DE REEMBOLSO ADIANTAMENTO</v>
      </c>
      <c r="P3820">
        <v>175</v>
      </c>
      <c r="S3820" t="str">
        <f>"ENTRADA DE REEMBOLSO ADIANTAMENTO (129)"</f>
        <v>ENTRADA DE REEMBOLSO ADIANTAMENTO (129)</v>
      </c>
      <c r="T3820">
        <v>18892</v>
      </c>
      <c r="U3820">
        <v>21855</v>
      </c>
      <c r="V3820" t="s">
        <v>48</v>
      </c>
    </row>
    <row r="3821" spans="1:22">
      <c r="A3821" t="str">
        <f t="shared" si="692"/>
        <v>30/09/2025</v>
      </c>
      <c r="B3821" t="str">
        <f>"ENTRADA"</f>
        <v>ENTRADA</v>
      </c>
      <c r="C3821" t="str">
        <f>"DINHEIRO"</f>
        <v>DINHEIRO</v>
      </c>
      <c r="D3821" t="str">
        <f>"1809"</f>
        <v>1809</v>
      </c>
      <c r="E3821" t="str">
        <f>"25"</f>
        <v>25</v>
      </c>
      <c r="F3821" t="str">
        <f t="shared" si="694"/>
        <v>COM</v>
      </c>
      <c r="G3821" t="str">
        <f>"MAYKON LOPES DE MENEZES (781)"</f>
        <v>MAYKON LOPES DE MENEZES (781)</v>
      </c>
      <c r="H3821" t="s">
        <v>57</v>
      </c>
      <c r="I3821" t="str">
        <f t="shared" si="695"/>
        <v>02/10/2025</v>
      </c>
      <c r="J3821" t="str">
        <f>("11/09/2025")</f>
        <v>11/09/2025</v>
      </c>
      <c r="K3821">
        <v>45930</v>
      </c>
      <c r="N3821">
        <v>129</v>
      </c>
      <c r="O3821" t="s">
        <v>58</v>
      </c>
      <c r="Q3821">
        <v>175</v>
      </c>
      <c r="R3821" t="str">
        <f>"MAYKON LOPES DE MENEZES (781)"</f>
        <v>MAYKON LOPES DE MENEZES (781)</v>
      </c>
      <c r="S3821" t="s">
        <v>59</v>
      </c>
      <c r="T3821">
        <v>18892</v>
      </c>
      <c r="U3821">
        <v>21855</v>
      </c>
      <c r="V3821" t="s">
        <v>48</v>
      </c>
    </row>
    <row r="3822" spans="1:22">
      <c r="A3822" t="str">
        <f t="shared" si="692"/>
        <v>30/09/2025</v>
      </c>
      <c r="B3822" t="str">
        <f>"ENTRADA"</f>
        <v>ENTRADA</v>
      </c>
      <c r="C3822" t="str">
        <f>"DINHEIRO"</f>
        <v>DINHEIRO</v>
      </c>
      <c r="D3822" t="str">
        <f>"0210"</f>
        <v>0210</v>
      </c>
      <c r="E3822" t="str">
        <f>"25"</f>
        <v>25</v>
      </c>
      <c r="F3822" t="str">
        <f t="shared" si="694"/>
        <v>COM</v>
      </c>
      <c r="G3822" t="str">
        <f>"PEDRO HENRIQUE DA SILVA COSTA OLIVEIRA (852)"</f>
        <v>PEDRO HENRIQUE DA SILVA COSTA OLIVEIRA (852)</v>
      </c>
      <c r="H3822" t="str">
        <f>"REEMBOLSO ADIANTAMENTO"</f>
        <v>REEMBOLSO ADIANTAMENTO</v>
      </c>
      <c r="I3822" t="str">
        <f t="shared" si="695"/>
        <v>02/10/2025</v>
      </c>
      <c r="J3822" t="str">
        <f>("12/09/2025")</f>
        <v>12/09/2025</v>
      </c>
      <c r="K3822" t="str">
        <f>("30/09/2025")</f>
        <v>30/09/2025</v>
      </c>
      <c r="L3822">
        <v>100</v>
      </c>
      <c r="M3822">
        <v>100</v>
      </c>
      <c r="N3822">
        <v>129</v>
      </c>
      <c r="O3822" t="str">
        <f>"ENTRADA DE REEMBOLSO ADIANTAMENTO"</f>
        <v>ENTRADA DE REEMBOLSO ADIANTAMENTO</v>
      </c>
      <c r="P3822">
        <v>100</v>
      </c>
      <c r="S3822" t="str">
        <f>"ENTRADA DE REEMBOLSO ADIANTAMENTO (129)"</f>
        <v>ENTRADA DE REEMBOLSO ADIANTAMENTO (129)</v>
      </c>
      <c r="T3822">
        <v>18893</v>
      </c>
      <c r="U3822">
        <v>21946</v>
      </c>
      <c r="V3822" t="s">
        <v>48</v>
      </c>
    </row>
    <row r="3823" spans="1:22">
      <c r="A3823" t="str">
        <f t="shared" si="692"/>
        <v>30/09/2025</v>
      </c>
      <c r="B3823" t="str">
        <f>"ENTRADA"</f>
        <v>ENTRADA</v>
      </c>
      <c r="C3823" t="str">
        <f>"DINHEIRO"</f>
        <v>DINHEIRO</v>
      </c>
      <c r="D3823" t="str">
        <f>"0210"</f>
        <v>0210</v>
      </c>
      <c r="E3823" t="str">
        <f>"25"</f>
        <v>25</v>
      </c>
      <c r="F3823" t="str">
        <f t="shared" si="694"/>
        <v>COM</v>
      </c>
      <c r="G3823" t="str">
        <f>"PEDRO HENRIQUE DA SILVA COSTA OLIVEIRA (852)"</f>
        <v>PEDRO HENRIQUE DA SILVA COSTA OLIVEIRA (852)</v>
      </c>
      <c r="H3823" t="s">
        <v>57</v>
      </c>
      <c r="I3823" t="str">
        <f t="shared" si="695"/>
        <v>02/10/2025</v>
      </c>
      <c r="J3823" t="str">
        <f>("12/09/2025")</f>
        <v>12/09/2025</v>
      </c>
      <c r="K3823">
        <v>45930</v>
      </c>
      <c r="N3823">
        <v>129</v>
      </c>
      <c r="O3823" t="s">
        <v>58</v>
      </c>
      <c r="Q3823">
        <v>100</v>
      </c>
      <c r="R3823" t="str">
        <f>"PEDRO HENRIQUE DA SILVA COSTA OLIVEIRA (852)"</f>
        <v>PEDRO HENRIQUE DA SILVA COSTA OLIVEIRA (852)</v>
      </c>
      <c r="S3823" t="s">
        <v>59</v>
      </c>
      <c r="T3823">
        <v>18893</v>
      </c>
      <c r="U3823">
        <v>21946</v>
      </c>
      <c r="V3823" t="s">
        <v>48</v>
      </c>
    </row>
    <row r="3824" spans="1:22">
      <c r="A3824" t="str">
        <f t="shared" ref="A3824:A3855" si="696">("30/09/2025")</f>
        <v>30/09/2025</v>
      </c>
      <c r="B3824" t="str">
        <f t="shared" ref="B3824:B3864" si="697">"SAÍDA"</f>
        <v>SAÍDA</v>
      </c>
      <c r="C3824" t="str">
        <f t="shared" ref="C3824:C3845" si="698">"PIX"</f>
        <v>PIX</v>
      </c>
      <c r="D3824" t="str">
        <f>"22388"</f>
        <v>22388</v>
      </c>
      <c r="E3824" t="str">
        <f t="shared" ref="E3824:E3845" si="699">"1"</f>
        <v>1</v>
      </c>
      <c r="F3824" t="str">
        <f t="shared" si="694"/>
        <v>COM</v>
      </c>
      <c r="G3824" t="str">
        <f>"PEDRO HENRIQUE DA SILVA COSTA OLIVEIRA (852)"</f>
        <v>PEDRO HENRIQUE DA SILVA COSTA OLIVEIRA (852)</v>
      </c>
      <c r="H3824" t="str">
        <f>"Serv.Prest. 15/09/2025 a 21/09/2025 - PIX: E-MAIL - CHAVE: sypedrinho@gmail.com"</f>
        <v>Serv.Prest. 15/09/2025 a 21/09/2025 - PIX: E-MAIL - CHAVE: sypedrinho@gmail.com</v>
      </c>
      <c r="I3824" t="str">
        <f t="shared" si="695"/>
        <v>02/10/2025</v>
      </c>
      <c r="J3824" t="str">
        <f>("23/09/2025")</f>
        <v>23/09/2025</v>
      </c>
      <c r="K3824" t="str">
        <f>("30/09/2025")</f>
        <v>30/09/2025</v>
      </c>
      <c r="L3824">
        <v>100</v>
      </c>
      <c r="M3824">
        <v>100</v>
      </c>
      <c r="N3824">
        <v>109</v>
      </c>
      <c r="O3824" t="str">
        <f>"PAGAMENTO DE ENTREGADORES"</f>
        <v>PAGAMENTO DE ENTREGADORES</v>
      </c>
      <c r="P3824">
        <v>100</v>
      </c>
      <c r="S3824" t="str">
        <f>"CAIXA MOVIMENTAÇÃO OPERACIONAL (132)"</f>
        <v>CAIXA MOVIMENTAÇÃO OPERACIONAL (132)</v>
      </c>
      <c r="T3824">
        <v>18894</v>
      </c>
      <c r="U3824">
        <v>22791</v>
      </c>
      <c r="V3824" t="s">
        <v>48</v>
      </c>
    </row>
    <row r="3825" spans="1:22">
      <c r="A3825" t="str">
        <f t="shared" si="696"/>
        <v>30/09/2025</v>
      </c>
      <c r="B3825" t="str">
        <f t="shared" si="697"/>
        <v>SAÍDA</v>
      </c>
      <c r="C3825" t="str">
        <f t="shared" si="698"/>
        <v>PIX</v>
      </c>
      <c r="D3825" t="str">
        <f>"22388"</f>
        <v>22388</v>
      </c>
      <c r="E3825" t="str">
        <f t="shared" si="699"/>
        <v>1</v>
      </c>
      <c r="F3825" t="str">
        <f t="shared" si="694"/>
        <v>COM</v>
      </c>
      <c r="G3825" t="str">
        <f>"PEDRO HENRIQUE DA SILVA COSTA OLIVEIRA (852)"</f>
        <v>PEDRO HENRIQUE DA SILVA COSTA OLIVEIRA (852)</v>
      </c>
      <c r="H3825" t="s">
        <v>1087</v>
      </c>
      <c r="I3825" t="str">
        <f t="shared" si="695"/>
        <v>02/10/2025</v>
      </c>
      <c r="J3825" t="str">
        <f>("23/09/2025")</f>
        <v>23/09/2025</v>
      </c>
      <c r="K3825">
        <v>45930</v>
      </c>
      <c r="N3825">
        <v>109</v>
      </c>
      <c r="O3825" t="s">
        <v>24</v>
      </c>
      <c r="Q3825">
        <v>100</v>
      </c>
      <c r="R3825" t="str">
        <f>"FARMÁCIA INDIANA LJ 110 (10048)"</f>
        <v>FARMÁCIA INDIANA LJ 110 (10048)</v>
      </c>
      <c r="S3825" t="s">
        <v>48</v>
      </c>
      <c r="T3825">
        <v>18894</v>
      </c>
      <c r="U3825">
        <v>22791</v>
      </c>
      <c r="V3825" t="s">
        <v>48</v>
      </c>
    </row>
    <row r="3826" spans="1:22">
      <c r="A3826" t="str">
        <f t="shared" si="696"/>
        <v>30/09/2025</v>
      </c>
      <c r="B3826" t="str">
        <f t="shared" si="697"/>
        <v>SAÍDA</v>
      </c>
      <c r="C3826" t="str">
        <f t="shared" si="698"/>
        <v>PIX</v>
      </c>
      <c r="D3826" t="str">
        <f>"22845"</f>
        <v>22845</v>
      </c>
      <c r="E3826" t="str">
        <f t="shared" si="699"/>
        <v>1</v>
      </c>
      <c r="F3826" t="str">
        <f t="shared" si="694"/>
        <v>COM</v>
      </c>
      <c r="G3826" t="str">
        <f>"ALESSANDRO SILVA DOS SANTOS (966)"</f>
        <v>ALESSANDRO SILVA DOS SANTOS (966)</v>
      </c>
      <c r="H3826" t="str">
        <f>"Serv.Prest. 29/09/2025 a 05/10/2025 - PIX: E-MAIL - CHAVE: silvaalessandro3909@gmail.com"</f>
        <v>Serv.Prest. 29/09/2025 a 05/10/2025 - PIX: E-MAIL - CHAVE: silvaalessandro3909@gmail.com</v>
      </c>
      <c r="I3826" t="str">
        <f t="shared" ref="I3826:I3831" si="700">("07/10/2025")</f>
        <v>07/10/2025</v>
      </c>
      <c r="J3826" t="str">
        <f>("06/10/2025")</f>
        <v>06/10/2025</v>
      </c>
      <c r="K3826" t="str">
        <f>("30/09/2025")</f>
        <v>30/09/2025</v>
      </c>
      <c r="L3826">
        <v>140</v>
      </c>
      <c r="M3826">
        <v>140</v>
      </c>
      <c r="N3826">
        <v>134</v>
      </c>
      <c r="O3826" t="str">
        <f>"DIARIA DE MOTOBOY"</f>
        <v>DIARIA DE MOTOBOY</v>
      </c>
      <c r="P3826">
        <v>140</v>
      </c>
      <c r="S3826" t="str">
        <f>"BANCO CORA (102)"</f>
        <v>BANCO CORA (102)</v>
      </c>
      <c r="T3826">
        <v>19201</v>
      </c>
      <c r="U3826">
        <v>23096</v>
      </c>
      <c r="V3826" t="s">
        <v>22</v>
      </c>
    </row>
    <row r="3827" spans="1:22">
      <c r="A3827" t="str">
        <f t="shared" si="696"/>
        <v>30/09/2025</v>
      </c>
      <c r="B3827" t="str">
        <f t="shared" si="697"/>
        <v>SAÍDA</v>
      </c>
      <c r="C3827" t="str">
        <f t="shared" si="698"/>
        <v>PIX</v>
      </c>
      <c r="D3827" t="str">
        <f>"22845"</f>
        <v>22845</v>
      </c>
      <c r="E3827" t="str">
        <f t="shared" si="699"/>
        <v>1</v>
      </c>
      <c r="F3827" t="str">
        <f t="shared" si="694"/>
        <v>COM</v>
      </c>
      <c r="G3827" t="str">
        <f>"ALESSANDRO SILVA DOS SANTOS (966)"</f>
        <v>ALESSANDRO SILVA DOS SANTOS (966)</v>
      </c>
      <c r="H3827" t="s">
        <v>1088</v>
      </c>
      <c r="I3827" t="str">
        <f t="shared" si="700"/>
        <v>07/10/2025</v>
      </c>
      <c r="J3827" t="str">
        <f>("06/10/2025")</f>
        <v>06/10/2025</v>
      </c>
      <c r="K3827">
        <v>45930</v>
      </c>
      <c r="N3827">
        <v>134</v>
      </c>
      <c r="O3827" t="s">
        <v>41</v>
      </c>
      <c r="Q3827">
        <v>140</v>
      </c>
      <c r="R3827" t="str">
        <f>"PENSE FARMA 22 (10198)"</f>
        <v>PENSE FARMA 22 (10198)</v>
      </c>
      <c r="S3827" t="s">
        <v>22</v>
      </c>
      <c r="T3827">
        <v>19201</v>
      </c>
      <c r="U3827">
        <v>23096</v>
      </c>
      <c r="V3827" t="s">
        <v>22</v>
      </c>
    </row>
    <row r="3828" spans="1:22">
      <c r="A3828" t="str">
        <f t="shared" si="696"/>
        <v>30/09/2025</v>
      </c>
      <c r="B3828" t="str">
        <f t="shared" si="697"/>
        <v>SAÍDA</v>
      </c>
      <c r="C3828" t="str">
        <f t="shared" si="698"/>
        <v>PIX</v>
      </c>
      <c r="D3828" t="str">
        <f>"22845"</f>
        <v>22845</v>
      </c>
      <c r="E3828" t="str">
        <f t="shared" si="699"/>
        <v>1</v>
      </c>
      <c r="F3828" t="str">
        <f t="shared" si="694"/>
        <v>COM</v>
      </c>
      <c r="G3828" t="str">
        <f>"ALESSANDRO SILVA DOS SANTOS (966)"</f>
        <v>ALESSANDRO SILVA DOS SANTOS (966)</v>
      </c>
      <c r="H3828" t="str">
        <f>"Serv.Prest. 29/09/2025 a 05/10/2025 - PIX: E-MAIL - CHAVE: silvaalessandro3909@gmail.com"</f>
        <v>Serv.Prest. 29/09/2025 a 05/10/2025 - PIX: E-MAIL - CHAVE: silvaalessandro3909@gmail.com</v>
      </c>
      <c r="I3828" t="str">
        <f t="shared" si="700"/>
        <v>07/10/2025</v>
      </c>
      <c r="J3828" t="str">
        <f>("06/10/2025")</f>
        <v>06/10/2025</v>
      </c>
      <c r="K3828" t="str">
        <f>("30/09/2025")</f>
        <v>30/09/2025</v>
      </c>
      <c r="L3828">
        <v>170</v>
      </c>
      <c r="M3828">
        <v>170</v>
      </c>
      <c r="N3828">
        <v>134</v>
      </c>
      <c r="O3828" t="str">
        <f>"DIARIA DE MOTOBOY"</f>
        <v>DIARIA DE MOTOBOY</v>
      </c>
      <c r="P3828">
        <v>170</v>
      </c>
      <c r="S3828" t="str">
        <f>"BANCO CORA (102)"</f>
        <v>BANCO CORA (102)</v>
      </c>
      <c r="T3828">
        <v>19202</v>
      </c>
      <c r="U3828">
        <v>23097</v>
      </c>
      <c r="V3828" t="s">
        <v>22</v>
      </c>
    </row>
    <row r="3829" spans="1:22">
      <c r="A3829" t="str">
        <f t="shared" si="696"/>
        <v>30/09/2025</v>
      </c>
      <c r="B3829" t="str">
        <f t="shared" si="697"/>
        <v>SAÍDA</v>
      </c>
      <c r="C3829" t="str">
        <f t="shared" si="698"/>
        <v>PIX</v>
      </c>
      <c r="D3829" t="str">
        <f>"22845"</f>
        <v>22845</v>
      </c>
      <c r="E3829" t="str">
        <f t="shared" si="699"/>
        <v>1</v>
      </c>
      <c r="F3829" t="str">
        <f t="shared" si="694"/>
        <v>COM</v>
      </c>
      <c r="G3829" t="str">
        <f>"ALESSANDRO SILVA DOS SANTOS (966)"</f>
        <v>ALESSANDRO SILVA DOS SANTOS (966)</v>
      </c>
      <c r="H3829" t="s">
        <v>1088</v>
      </c>
      <c r="I3829" t="str">
        <f t="shared" si="700"/>
        <v>07/10/2025</v>
      </c>
      <c r="J3829" t="str">
        <f>("06/10/2025")</f>
        <v>06/10/2025</v>
      </c>
      <c r="K3829">
        <v>45930</v>
      </c>
      <c r="N3829">
        <v>134</v>
      </c>
      <c r="O3829" t="s">
        <v>41</v>
      </c>
      <c r="Q3829">
        <v>170</v>
      </c>
      <c r="R3829" t="str">
        <f>"PENSE FARMA 22 (10198)"</f>
        <v>PENSE FARMA 22 (10198)</v>
      </c>
      <c r="S3829" t="s">
        <v>22</v>
      </c>
      <c r="T3829">
        <v>19202</v>
      </c>
      <c r="U3829">
        <v>23097</v>
      </c>
      <c r="V3829" t="s">
        <v>22</v>
      </c>
    </row>
    <row r="3830" spans="1:22">
      <c r="A3830" t="str">
        <f t="shared" si="696"/>
        <v>30/09/2025</v>
      </c>
      <c r="B3830" t="str">
        <f t="shared" si="697"/>
        <v>SAÍDA</v>
      </c>
      <c r="C3830" t="str">
        <f t="shared" si="698"/>
        <v>PIX</v>
      </c>
      <c r="D3830" t="str">
        <f>"23055"</f>
        <v>23055</v>
      </c>
      <c r="E3830" t="str">
        <f t="shared" si="699"/>
        <v>1</v>
      </c>
      <c r="F3830" t="str">
        <f t="shared" si="694"/>
        <v>COM</v>
      </c>
      <c r="G3830" t="str">
        <f>"KAYQUE FRANCISCO ROSA DOS SANTOS (965)"</f>
        <v>KAYQUE FRANCISCO ROSA DOS SANTOS (965)</v>
      </c>
      <c r="H3830" t="str">
        <f>"Serv.Prest. 29/09/2025 a 05/10/2025 - PIX: CPF - CHAVE: 700.687.936-18"</f>
        <v>Serv.Prest. 29/09/2025 a 05/10/2025 - PIX: CPF - CHAVE: 700.687.936-18</v>
      </c>
      <c r="I3830" t="str">
        <f t="shared" si="700"/>
        <v>07/10/2025</v>
      </c>
      <c r="J3830" t="str">
        <f>("07/10/2025")</f>
        <v>07/10/2025</v>
      </c>
      <c r="K3830" t="str">
        <f>("30/09/2025")</f>
        <v>30/09/2025</v>
      </c>
      <c r="L3830">
        <v>120</v>
      </c>
      <c r="M3830">
        <v>120</v>
      </c>
      <c r="N3830">
        <v>109</v>
      </c>
      <c r="O3830" t="str">
        <f>"PAGAMENTO DE ENTREGADORES"</f>
        <v>PAGAMENTO DE ENTREGADORES</v>
      </c>
      <c r="P3830">
        <v>120</v>
      </c>
      <c r="S3830" t="str">
        <f>"BANCO CORA (102)"</f>
        <v>BANCO CORA (102)</v>
      </c>
      <c r="T3830">
        <v>19206</v>
      </c>
      <c r="U3830">
        <v>23100</v>
      </c>
      <c r="V3830" t="s">
        <v>22</v>
      </c>
    </row>
    <row r="3831" spans="1:22">
      <c r="A3831" t="str">
        <f t="shared" si="696"/>
        <v>30/09/2025</v>
      </c>
      <c r="B3831" t="str">
        <f t="shared" si="697"/>
        <v>SAÍDA</v>
      </c>
      <c r="C3831" t="str">
        <f t="shared" si="698"/>
        <v>PIX</v>
      </c>
      <c r="D3831" t="str">
        <f>"23055"</f>
        <v>23055</v>
      </c>
      <c r="E3831" t="str">
        <f t="shared" si="699"/>
        <v>1</v>
      </c>
      <c r="F3831" t="str">
        <f t="shared" si="694"/>
        <v>COM</v>
      </c>
      <c r="G3831" t="str">
        <f>"KAYQUE FRANCISCO ROSA DOS SANTOS (965)"</f>
        <v>KAYQUE FRANCISCO ROSA DOS SANTOS (965)</v>
      </c>
      <c r="H3831" t="s">
        <v>1089</v>
      </c>
      <c r="I3831" t="str">
        <f t="shared" si="700"/>
        <v>07/10/2025</v>
      </c>
      <c r="J3831" t="str">
        <f>("07/10/2025")</f>
        <v>07/10/2025</v>
      </c>
      <c r="K3831">
        <v>45930</v>
      </c>
      <c r="N3831">
        <v>109</v>
      </c>
      <c r="O3831" t="s">
        <v>24</v>
      </c>
      <c r="Q3831">
        <v>120</v>
      </c>
      <c r="R3831" t="str">
        <f>"DROGA HONDA (10149)"</f>
        <v>DROGA HONDA (10149)</v>
      </c>
      <c r="S3831" t="s">
        <v>22</v>
      </c>
      <c r="T3831">
        <v>19206</v>
      </c>
      <c r="U3831">
        <v>23100</v>
      </c>
      <c r="V3831" t="s">
        <v>22</v>
      </c>
    </row>
    <row r="3832" spans="1:22">
      <c r="A3832" t="str">
        <f t="shared" si="696"/>
        <v>30/09/2025</v>
      </c>
      <c r="B3832" t="str">
        <f t="shared" si="697"/>
        <v>SAÍDA</v>
      </c>
      <c r="C3832" t="str">
        <f t="shared" si="698"/>
        <v>PIX</v>
      </c>
      <c r="D3832" t="str">
        <f>"22658"</f>
        <v>22658</v>
      </c>
      <c r="E3832" t="str">
        <f t="shared" si="699"/>
        <v>1</v>
      </c>
      <c r="F3832" t="str">
        <f t="shared" si="694"/>
        <v>COM</v>
      </c>
      <c r="G3832" t="str">
        <f>"VANDERLEI PEREIRA CARVALHO (929)"</f>
        <v>VANDERLEI PEREIRA CARVALHO (929)</v>
      </c>
      <c r="H3832" t="str">
        <f>"Serv.Prest. 22/09/2025 a 25/09/2025 - PIX: CELULAR - CHAVE: (27) 99650-9691"</f>
        <v>Serv.Prest. 22/09/2025 a 25/09/2025 - PIX: CELULAR - CHAVE: (27) 99650-9691</v>
      </c>
      <c r="I3832" t="str">
        <f t="shared" ref="I3832:I3851" si="701">("30/09/2025")</f>
        <v>30/09/2025</v>
      </c>
      <c r="J3832" t="str">
        <f t="shared" ref="J3832:J3839" si="702">("26/09/2025")</f>
        <v>26/09/2025</v>
      </c>
      <c r="K3832" t="str">
        <f>("30/09/2025")</f>
        <v>30/09/2025</v>
      </c>
      <c r="L3832">
        <v>900</v>
      </c>
      <c r="M3832">
        <v>900</v>
      </c>
      <c r="N3832">
        <v>134</v>
      </c>
      <c r="O3832" t="str">
        <f>"DIARIA DE MOTOBOY"</f>
        <v>DIARIA DE MOTOBOY</v>
      </c>
      <c r="P3832">
        <v>900</v>
      </c>
      <c r="S3832" t="str">
        <f>"BANCO CORA (102)"</f>
        <v>BANCO CORA (102)</v>
      </c>
      <c r="T3832">
        <v>19209</v>
      </c>
      <c r="U3832">
        <v>22658</v>
      </c>
      <c r="V3832" t="s">
        <v>22</v>
      </c>
    </row>
    <row r="3833" spans="1:22">
      <c r="A3833" t="str">
        <f t="shared" si="696"/>
        <v>30/09/2025</v>
      </c>
      <c r="B3833" t="str">
        <f t="shared" si="697"/>
        <v>SAÍDA</v>
      </c>
      <c r="C3833" t="str">
        <f t="shared" si="698"/>
        <v>PIX</v>
      </c>
      <c r="D3833" t="str">
        <f>"22658"</f>
        <v>22658</v>
      </c>
      <c r="E3833" t="str">
        <f t="shared" si="699"/>
        <v>1</v>
      </c>
      <c r="F3833" t="str">
        <f t="shared" si="694"/>
        <v>COM</v>
      </c>
      <c r="G3833" t="str">
        <f>"VANDERLEI PEREIRA CARVALHO (929)"</f>
        <v>VANDERLEI PEREIRA CARVALHO (929)</v>
      </c>
      <c r="H3833" t="s">
        <v>1090</v>
      </c>
      <c r="I3833" t="str">
        <f t="shared" si="701"/>
        <v>30/09/2025</v>
      </c>
      <c r="J3833" t="str">
        <f t="shared" si="702"/>
        <v>26/09/2025</v>
      </c>
      <c r="K3833">
        <v>45930</v>
      </c>
      <c r="N3833">
        <v>134</v>
      </c>
      <c r="O3833" t="s">
        <v>41</v>
      </c>
      <c r="Q3833">
        <v>900</v>
      </c>
      <c r="R3833" t="str">
        <f>"FARMÁCIA INDIANA LJ 119 (10053)"</f>
        <v>FARMÁCIA INDIANA LJ 119 (10053)</v>
      </c>
      <c r="S3833" t="s">
        <v>22</v>
      </c>
      <c r="T3833">
        <v>19209</v>
      </c>
      <c r="U3833">
        <v>22658</v>
      </c>
      <c r="V3833" t="s">
        <v>22</v>
      </c>
    </row>
    <row r="3834" spans="1:22">
      <c r="A3834" t="str">
        <f t="shared" si="696"/>
        <v>30/09/2025</v>
      </c>
      <c r="B3834" t="str">
        <f t="shared" si="697"/>
        <v>SAÍDA</v>
      </c>
      <c r="C3834" t="str">
        <f t="shared" si="698"/>
        <v>PIX</v>
      </c>
      <c r="D3834" t="str">
        <f>"22591"</f>
        <v>22591</v>
      </c>
      <c r="E3834" t="str">
        <f t="shared" si="699"/>
        <v>1</v>
      </c>
      <c r="F3834" t="str">
        <f t="shared" si="694"/>
        <v>COM</v>
      </c>
      <c r="G3834" t="str">
        <f>"JOSE ERIC SILVA MACENA (854)"</f>
        <v>JOSE ERIC SILVA MACENA (854)</v>
      </c>
      <c r="H3834" t="str">
        <f>"Serv.Prest. 22/09/2025 a 25/09/2025 - PIX: E-MAIL - CHAVE: ericsilva8marcena@gmail.com"</f>
        <v>Serv.Prest. 22/09/2025 a 25/09/2025 - PIX: E-MAIL - CHAVE: ericsilva8marcena@gmail.com</v>
      </c>
      <c r="I3834" t="str">
        <f t="shared" si="701"/>
        <v>30/09/2025</v>
      </c>
      <c r="J3834" t="str">
        <f t="shared" si="702"/>
        <v>26/09/2025</v>
      </c>
      <c r="K3834" t="str">
        <f>("30/09/2025")</f>
        <v>30/09/2025</v>
      </c>
      <c r="L3834">
        <v>180</v>
      </c>
      <c r="M3834">
        <v>180</v>
      </c>
      <c r="N3834">
        <v>134</v>
      </c>
      <c r="O3834" t="str">
        <f>"DIARIA DE MOTOBOY"</f>
        <v>DIARIA DE MOTOBOY</v>
      </c>
      <c r="P3834">
        <v>180</v>
      </c>
      <c r="S3834" t="str">
        <f>"BANCO CORA (102)"</f>
        <v>BANCO CORA (102)</v>
      </c>
      <c r="T3834">
        <v>19211</v>
      </c>
      <c r="U3834">
        <v>22591</v>
      </c>
      <c r="V3834" t="s">
        <v>22</v>
      </c>
    </row>
    <row r="3835" spans="1:22">
      <c r="A3835" t="str">
        <f t="shared" si="696"/>
        <v>30/09/2025</v>
      </c>
      <c r="B3835" t="str">
        <f t="shared" si="697"/>
        <v>SAÍDA</v>
      </c>
      <c r="C3835" t="str">
        <f t="shared" si="698"/>
        <v>PIX</v>
      </c>
      <c r="D3835" t="str">
        <f>"22591"</f>
        <v>22591</v>
      </c>
      <c r="E3835" t="str">
        <f t="shared" si="699"/>
        <v>1</v>
      </c>
      <c r="F3835" t="str">
        <f t="shared" si="694"/>
        <v>COM</v>
      </c>
      <c r="G3835" t="str">
        <f>"JOSE ERIC SILVA MACENA (854)"</f>
        <v>JOSE ERIC SILVA MACENA (854)</v>
      </c>
      <c r="H3835" t="s">
        <v>1091</v>
      </c>
      <c r="I3835" t="str">
        <f t="shared" si="701"/>
        <v>30/09/2025</v>
      </c>
      <c r="J3835" t="str">
        <f t="shared" si="702"/>
        <v>26/09/2025</v>
      </c>
      <c r="K3835">
        <v>45930</v>
      </c>
      <c r="N3835">
        <v>134</v>
      </c>
      <c r="O3835" t="s">
        <v>41</v>
      </c>
      <c r="Q3835">
        <v>180</v>
      </c>
      <c r="R3835" t="str">
        <f>"FARMÁCIA INDIANA LJ 101 (10043)"</f>
        <v>FARMÁCIA INDIANA LJ 101 (10043)</v>
      </c>
      <c r="S3835" t="s">
        <v>22</v>
      </c>
      <c r="T3835">
        <v>19211</v>
      </c>
      <c r="U3835">
        <v>22591</v>
      </c>
      <c r="V3835" t="s">
        <v>22</v>
      </c>
    </row>
    <row r="3836" spans="1:22">
      <c r="A3836" t="str">
        <f t="shared" si="696"/>
        <v>30/09/2025</v>
      </c>
      <c r="B3836" t="str">
        <f t="shared" si="697"/>
        <v>SAÍDA</v>
      </c>
      <c r="C3836" t="str">
        <f t="shared" si="698"/>
        <v>PIX</v>
      </c>
      <c r="D3836" t="str">
        <f>"22595"</f>
        <v>22595</v>
      </c>
      <c r="E3836" t="str">
        <f t="shared" si="699"/>
        <v>1</v>
      </c>
      <c r="F3836" t="str">
        <f t="shared" ref="F3836:F3867" si="703">"COM"</f>
        <v>COM</v>
      </c>
      <c r="G3836" t="str">
        <f>"JUSSARA CRISTINA FARIA (783)"</f>
        <v>JUSSARA CRISTINA FARIA (783)</v>
      </c>
      <c r="H3836" t="str">
        <f>"Serv.Prest. 22/09/2025 a 25/09/2025 - PIX: CELULAR - CHAVE: (31) 99373-5678"</f>
        <v>Serv.Prest. 22/09/2025 a 25/09/2025 - PIX: CELULAR - CHAVE: (31) 99373-5678</v>
      </c>
      <c r="I3836" t="str">
        <f t="shared" si="701"/>
        <v>30/09/2025</v>
      </c>
      <c r="J3836" t="str">
        <f t="shared" si="702"/>
        <v>26/09/2025</v>
      </c>
      <c r="K3836" t="str">
        <f>("30/09/2025")</f>
        <v>30/09/2025</v>
      </c>
      <c r="L3836">
        <v>450</v>
      </c>
      <c r="M3836">
        <v>450</v>
      </c>
      <c r="N3836">
        <v>134</v>
      </c>
      <c r="O3836" t="str">
        <f>"DIARIA DE MOTOBOY"</f>
        <v>DIARIA DE MOTOBOY</v>
      </c>
      <c r="P3836">
        <v>450</v>
      </c>
      <c r="S3836" t="str">
        <f>"BANCO CORA (102)"</f>
        <v>BANCO CORA (102)</v>
      </c>
      <c r="T3836">
        <v>19212</v>
      </c>
      <c r="U3836">
        <v>22595</v>
      </c>
      <c r="V3836" t="s">
        <v>22</v>
      </c>
    </row>
    <row r="3837" spans="1:22">
      <c r="A3837" t="str">
        <f t="shared" si="696"/>
        <v>30/09/2025</v>
      </c>
      <c r="B3837" t="str">
        <f t="shared" si="697"/>
        <v>SAÍDA</v>
      </c>
      <c r="C3837" t="str">
        <f t="shared" si="698"/>
        <v>PIX</v>
      </c>
      <c r="D3837" t="str">
        <f>"22595"</f>
        <v>22595</v>
      </c>
      <c r="E3837" t="str">
        <f t="shared" si="699"/>
        <v>1</v>
      </c>
      <c r="F3837" t="str">
        <f t="shared" si="703"/>
        <v>COM</v>
      </c>
      <c r="G3837" t="str">
        <f>"JUSSARA CRISTINA FARIA (783)"</f>
        <v>JUSSARA CRISTINA FARIA (783)</v>
      </c>
      <c r="H3837" t="s">
        <v>1092</v>
      </c>
      <c r="I3837" t="str">
        <f t="shared" si="701"/>
        <v>30/09/2025</v>
      </c>
      <c r="J3837" t="str">
        <f t="shared" si="702"/>
        <v>26/09/2025</v>
      </c>
      <c r="K3837">
        <v>45930</v>
      </c>
      <c r="N3837">
        <v>134</v>
      </c>
      <c r="O3837" t="s">
        <v>41</v>
      </c>
      <c r="Q3837">
        <v>450</v>
      </c>
      <c r="R3837" t="str">
        <f>"FARMÁCIA INDIANA LJ 110 (10048)"</f>
        <v>FARMÁCIA INDIANA LJ 110 (10048)</v>
      </c>
      <c r="S3837" t="s">
        <v>22</v>
      </c>
      <c r="T3837">
        <v>19212</v>
      </c>
      <c r="U3837">
        <v>22595</v>
      </c>
      <c r="V3837" t="s">
        <v>22</v>
      </c>
    </row>
    <row r="3838" spans="1:22">
      <c r="A3838" t="str">
        <f t="shared" si="696"/>
        <v>30/09/2025</v>
      </c>
      <c r="B3838" t="str">
        <f t="shared" si="697"/>
        <v>SAÍDA</v>
      </c>
      <c r="C3838" t="str">
        <f t="shared" si="698"/>
        <v>PIX</v>
      </c>
      <c r="D3838" t="str">
        <f>"22530"</f>
        <v>22530</v>
      </c>
      <c r="E3838" t="str">
        <f t="shared" si="699"/>
        <v>1</v>
      </c>
      <c r="F3838" t="str">
        <f t="shared" si="703"/>
        <v>COM</v>
      </c>
      <c r="G3838" t="str">
        <f>"GILSON OLIVEIRA CAMPINHO JUNIOR (132)"</f>
        <v>GILSON OLIVEIRA CAMPINHO JUNIOR (132)</v>
      </c>
      <c r="H3838" t="str">
        <f>"Serv.Prest. 22/09/2025 a 25/09/2025 - PIX: CELULAR - CHAVE: (73) 988381077"</f>
        <v>Serv.Prest. 22/09/2025 a 25/09/2025 - PIX: CELULAR - CHAVE: (73) 988381077</v>
      </c>
      <c r="I3838" t="str">
        <f t="shared" si="701"/>
        <v>30/09/2025</v>
      </c>
      <c r="J3838" t="str">
        <f t="shared" si="702"/>
        <v>26/09/2025</v>
      </c>
      <c r="K3838" t="str">
        <f>("30/09/2025")</f>
        <v>30/09/2025</v>
      </c>
      <c r="L3838">
        <v>552</v>
      </c>
      <c r="M3838">
        <v>552</v>
      </c>
      <c r="N3838">
        <v>109</v>
      </c>
      <c r="O3838" t="str">
        <f>"PAGAMENTO DE ENTREGADORES"</f>
        <v>PAGAMENTO DE ENTREGADORES</v>
      </c>
      <c r="P3838">
        <v>552</v>
      </c>
      <c r="S3838" t="str">
        <f>"BANCO CORA (102)"</f>
        <v>BANCO CORA (102)</v>
      </c>
      <c r="T3838">
        <v>19227</v>
      </c>
      <c r="U3838">
        <v>22530</v>
      </c>
      <c r="V3838" t="s">
        <v>22</v>
      </c>
    </row>
    <row r="3839" spans="1:22">
      <c r="A3839" t="str">
        <f t="shared" si="696"/>
        <v>30/09/2025</v>
      </c>
      <c r="B3839" t="str">
        <f t="shared" si="697"/>
        <v>SAÍDA</v>
      </c>
      <c r="C3839" t="str">
        <f t="shared" si="698"/>
        <v>PIX</v>
      </c>
      <c r="D3839" t="str">
        <f>"22530"</f>
        <v>22530</v>
      </c>
      <c r="E3839" t="str">
        <f t="shared" si="699"/>
        <v>1</v>
      </c>
      <c r="F3839" t="str">
        <f t="shared" si="703"/>
        <v>COM</v>
      </c>
      <c r="G3839" t="str">
        <f>"GILSON OLIVEIRA CAMPINHO JUNIOR (132)"</f>
        <v>GILSON OLIVEIRA CAMPINHO JUNIOR (132)</v>
      </c>
      <c r="H3839" t="s">
        <v>1093</v>
      </c>
      <c r="I3839" t="str">
        <f t="shared" si="701"/>
        <v>30/09/2025</v>
      </c>
      <c r="J3839" t="str">
        <f t="shared" si="702"/>
        <v>26/09/2025</v>
      </c>
      <c r="K3839">
        <v>45930</v>
      </c>
      <c r="N3839">
        <v>109</v>
      </c>
      <c r="O3839" t="s">
        <v>24</v>
      </c>
      <c r="Q3839">
        <v>552</v>
      </c>
      <c r="R3839" t="str">
        <f>"FARMÁCIA INDIANA LJ 91 (10037)"</f>
        <v>FARMÁCIA INDIANA LJ 91 (10037)</v>
      </c>
      <c r="S3839" t="s">
        <v>22</v>
      </c>
      <c r="T3839">
        <v>19227</v>
      </c>
      <c r="U3839">
        <v>22530</v>
      </c>
      <c r="V3839" t="s">
        <v>22</v>
      </c>
    </row>
    <row r="3840" spans="1:22">
      <c r="A3840" t="str">
        <f t="shared" si="696"/>
        <v>30/09/2025</v>
      </c>
      <c r="B3840" t="str">
        <f t="shared" si="697"/>
        <v>SAÍDA</v>
      </c>
      <c r="C3840" t="str">
        <f t="shared" si="698"/>
        <v>PIX</v>
      </c>
      <c r="D3840" t="str">
        <f>"22704"</f>
        <v>22704</v>
      </c>
      <c r="E3840" t="str">
        <f t="shared" si="699"/>
        <v>1</v>
      </c>
      <c r="F3840" t="str">
        <f t="shared" si="703"/>
        <v>COM</v>
      </c>
      <c r="G3840" t="str">
        <f>"JOEL ARAGAO SALES (864)"</f>
        <v>JOEL ARAGAO SALES (864)</v>
      </c>
      <c r="H3840" t="str">
        <f>"Serv.Prest. 22/09/2025 a 28/09/2025 - PIX: CPF - CHAVE: 052.353.883-99"</f>
        <v>Serv.Prest. 22/09/2025 a 28/09/2025 - PIX: CPF - CHAVE: 052.353.883-99</v>
      </c>
      <c r="I3840" t="str">
        <f t="shared" si="701"/>
        <v>30/09/2025</v>
      </c>
      <c r="J3840" t="str">
        <f>("29/09/2025")</f>
        <v>29/09/2025</v>
      </c>
      <c r="K3840" t="str">
        <f>("30/09/2025")</f>
        <v>30/09/2025</v>
      </c>
      <c r="L3840">
        <v>130</v>
      </c>
      <c r="M3840">
        <v>130</v>
      </c>
      <c r="N3840">
        <v>134</v>
      </c>
      <c r="O3840" t="str">
        <f>"DIARIA DE MOTOBOY"</f>
        <v>DIARIA DE MOTOBOY</v>
      </c>
      <c r="P3840">
        <v>130</v>
      </c>
      <c r="S3840" t="str">
        <f>"BANCO CORA (102)"</f>
        <v>BANCO CORA (102)</v>
      </c>
      <c r="T3840">
        <v>22359</v>
      </c>
      <c r="U3840">
        <v>22752</v>
      </c>
      <c r="V3840" t="s">
        <v>22</v>
      </c>
    </row>
    <row r="3841" spans="1:22">
      <c r="A3841" t="str">
        <f t="shared" si="696"/>
        <v>30/09/2025</v>
      </c>
      <c r="B3841" t="str">
        <f t="shared" si="697"/>
        <v>SAÍDA</v>
      </c>
      <c r="C3841" t="str">
        <f t="shared" si="698"/>
        <v>PIX</v>
      </c>
      <c r="D3841" t="str">
        <f>"22704"</f>
        <v>22704</v>
      </c>
      <c r="E3841" t="str">
        <f t="shared" si="699"/>
        <v>1</v>
      </c>
      <c r="F3841" t="str">
        <f t="shared" si="703"/>
        <v>COM</v>
      </c>
      <c r="G3841" t="str">
        <f>"JOEL ARAGAO SALES (864)"</f>
        <v>JOEL ARAGAO SALES (864)</v>
      </c>
      <c r="H3841" t="s">
        <v>1070</v>
      </c>
      <c r="I3841" t="str">
        <f t="shared" si="701"/>
        <v>30/09/2025</v>
      </c>
      <c r="J3841" t="str">
        <f>("29/09/2025")</f>
        <v>29/09/2025</v>
      </c>
      <c r="K3841">
        <v>45930</v>
      </c>
      <c r="N3841">
        <v>134</v>
      </c>
      <c r="O3841" t="s">
        <v>41</v>
      </c>
      <c r="Q3841">
        <v>130</v>
      </c>
      <c r="R3841" t="str">
        <f>"DROGARIA MEDIC CENTER LTDA (10172)"</f>
        <v>DROGARIA MEDIC CENTER LTDA (10172)</v>
      </c>
      <c r="S3841" t="s">
        <v>22</v>
      </c>
      <c r="T3841">
        <v>22359</v>
      </c>
      <c r="U3841">
        <v>22752</v>
      </c>
      <c r="V3841" t="s">
        <v>22</v>
      </c>
    </row>
    <row r="3842" spans="1:22">
      <c r="A3842" t="str">
        <f t="shared" si="696"/>
        <v>30/09/2025</v>
      </c>
      <c r="B3842" t="str">
        <f t="shared" si="697"/>
        <v>SAÍDA</v>
      </c>
      <c r="C3842" t="str">
        <f t="shared" si="698"/>
        <v>PIX</v>
      </c>
      <c r="D3842" t="str">
        <f>"22598"</f>
        <v>22598</v>
      </c>
      <c r="E3842" t="str">
        <f t="shared" si="699"/>
        <v>1</v>
      </c>
      <c r="F3842" t="str">
        <f t="shared" si="703"/>
        <v>COM</v>
      </c>
      <c r="G3842" t="str">
        <f>"LAUAN ROCHA DE MELO (914)"</f>
        <v>LAUAN ROCHA DE MELO (914)</v>
      </c>
      <c r="H3842" t="str">
        <f>"Serv.Prest. 22/09/2025 a 25/09/2025 - PIX: CELULAR - CHAVE: (32) 99913-0476"</f>
        <v>Serv.Prest. 22/09/2025 a 25/09/2025 - PIX: CELULAR - CHAVE: (32) 99913-0476</v>
      </c>
      <c r="I3842" t="str">
        <f t="shared" si="701"/>
        <v>30/09/2025</v>
      </c>
      <c r="J3842" t="str">
        <f>("26/09/2025")</f>
        <v>26/09/2025</v>
      </c>
      <c r="K3842" t="str">
        <f>("30/09/2025")</f>
        <v>30/09/2025</v>
      </c>
      <c r="L3842">
        <v>120</v>
      </c>
      <c r="M3842">
        <v>120</v>
      </c>
      <c r="N3842">
        <v>134</v>
      </c>
      <c r="O3842" t="str">
        <f>"DIARIA DE MOTOBOY"</f>
        <v>DIARIA DE MOTOBOY</v>
      </c>
      <c r="P3842">
        <v>120</v>
      </c>
      <c r="S3842" t="str">
        <f>"BANCO CORA (102)"</f>
        <v>BANCO CORA (102)</v>
      </c>
      <c r="T3842">
        <v>22360</v>
      </c>
      <c r="U3842">
        <v>22598</v>
      </c>
      <c r="V3842" t="s">
        <v>22</v>
      </c>
    </row>
    <row r="3843" spans="1:22">
      <c r="A3843" t="str">
        <f t="shared" si="696"/>
        <v>30/09/2025</v>
      </c>
      <c r="B3843" t="str">
        <f t="shared" si="697"/>
        <v>SAÍDA</v>
      </c>
      <c r="C3843" t="str">
        <f t="shared" si="698"/>
        <v>PIX</v>
      </c>
      <c r="D3843" t="str">
        <f>"22598"</f>
        <v>22598</v>
      </c>
      <c r="E3843" t="str">
        <f t="shared" si="699"/>
        <v>1</v>
      </c>
      <c r="F3843" t="str">
        <f t="shared" si="703"/>
        <v>COM</v>
      </c>
      <c r="G3843" t="str">
        <f>"LAUAN ROCHA DE MELO (914)"</f>
        <v>LAUAN ROCHA DE MELO (914)</v>
      </c>
      <c r="H3843" t="s">
        <v>1094</v>
      </c>
      <c r="I3843" t="str">
        <f t="shared" si="701"/>
        <v>30/09/2025</v>
      </c>
      <c r="J3843" t="str">
        <f>("26/09/2025")</f>
        <v>26/09/2025</v>
      </c>
      <c r="K3843">
        <v>45930</v>
      </c>
      <c r="N3843">
        <v>134</v>
      </c>
      <c r="O3843" t="s">
        <v>41</v>
      </c>
      <c r="Q3843">
        <v>120</v>
      </c>
      <c r="R3843" t="str">
        <f>"FARMÁCIA INDIANA LJ 109 (10047)"</f>
        <v>FARMÁCIA INDIANA LJ 109 (10047)</v>
      </c>
      <c r="S3843" t="s">
        <v>22</v>
      </c>
      <c r="T3843">
        <v>22360</v>
      </c>
      <c r="U3843">
        <v>22598</v>
      </c>
      <c r="V3843" t="s">
        <v>22</v>
      </c>
    </row>
    <row r="3844" spans="1:22">
      <c r="A3844" t="str">
        <f t="shared" si="696"/>
        <v>30/09/2025</v>
      </c>
      <c r="B3844" t="str">
        <f t="shared" si="697"/>
        <v>SAÍDA</v>
      </c>
      <c r="C3844" t="str">
        <f t="shared" si="698"/>
        <v>PIX</v>
      </c>
      <c r="D3844" t="str">
        <f>"22665"</f>
        <v>22665</v>
      </c>
      <c r="E3844" t="str">
        <f t="shared" si="699"/>
        <v>1</v>
      </c>
      <c r="F3844" t="str">
        <f t="shared" si="703"/>
        <v>COM</v>
      </c>
      <c r="G3844" t="str">
        <f>"SIMAO DOS SANTOS MEIRA (896)"</f>
        <v>SIMAO DOS SANTOS MEIRA (896)</v>
      </c>
      <c r="H3844" t="str">
        <f>"Serv.Prest. 22/09/2025 a 28/09/2025 - PIX: CNPJ - CHAVE: 49.607.413/0001-28"</f>
        <v>Serv.Prest. 22/09/2025 a 28/09/2025 - PIX: CNPJ - CHAVE: 49.607.413/0001-28</v>
      </c>
      <c r="I3844" t="str">
        <f t="shared" si="701"/>
        <v>30/09/2025</v>
      </c>
      <c r="J3844" t="str">
        <f>("29/09/2025")</f>
        <v>29/09/2025</v>
      </c>
      <c r="K3844" t="str">
        <f>("30/09/2025")</f>
        <v>30/09/2025</v>
      </c>
      <c r="L3844">
        <v>150</v>
      </c>
      <c r="M3844">
        <v>150</v>
      </c>
      <c r="N3844">
        <v>109</v>
      </c>
      <c r="O3844" t="str">
        <f>"PAGAMENTO DE ENTREGADORES"</f>
        <v>PAGAMENTO DE ENTREGADORES</v>
      </c>
      <c r="P3844">
        <v>150</v>
      </c>
      <c r="S3844" t="str">
        <f>"BANCO CORA (102)"</f>
        <v>BANCO CORA (102)</v>
      </c>
      <c r="T3844">
        <v>22361</v>
      </c>
      <c r="U3844">
        <v>22665</v>
      </c>
      <c r="V3844" t="s">
        <v>22</v>
      </c>
    </row>
    <row r="3845" spans="1:22">
      <c r="A3845" t="str">
        <f t="shared" si="696"/>
        <v>30/09/2025</v>
      </c>
      <c r="B3845" t="str">
        <f t="shared" si="697"/>
        <v>SAÍDA</v>
      </c>
      <c r="C3845" t="str">
        <f t="shared" si="698"/>
        <v>PIX</v>
      </c>
      <c r="D3845" t="str">
        <f>"22665"</f>
        <v>22665</v>
      </c>
      <c r="E3845" t="str">
        <f t="shared" si="699"/>
        <v>1</v>
      </c>
      <c r="F3845" t="str">
        <f t="shared" si="703"/>
        <v>COM</v>
      </c>
      <c r="G3845" t="str">
        <f>"SIMAO DOS SANTOS MEIRA (896)"</f>
        <v>SIMAO DOS SANTOS MEIRA (896)</v>
      </c>
      <c r="H3845" t="s">
        <v>1095</v>
      </c>
      <c r="I3845" t="str">
        <f t="shared" si="701"/>
        <v>30/09/2025</v>
      </c>
      <c r="J3845" t="str">
        <f>("29/09/2025")</f>
        <v>29/09/2025</v>
      </c>
      <c r="K3845">
        <v>45930</v>
      </c>
      <c r="N3845">
        <v>109</v>
      </c>
      <c r="O3845" t="s">
        <v>24</v>
      </c>
      <c r="Q3845">
        <v>150</v>
      </c>
      <c r="R3845" t="str">
        <f>"BRASIL FARMA (10173)"</f>
        <v>BRASIL FARMA (10173)</v>
      </c>
      <c r="S3845" t="s">
        <v>22</v>
      </c>
      <c r="T3845">
        <v>22361</v>
      </c>
      <c r="U3845">
        <v>22665</v>
      </c>
      <c r="V3845" t="s">
        <v>22</v>
      </c>
    </row>
    <row r="3846" spans="1:22">
      <c r="A3846" t="str">
        <f t="shared" si="696"/>
        <v>30/09/2025</v>
      </c>
      <c r="B3846" t="str">
        <f t="shared" si="697"/>
        <v>SAÍDA</v>
      </c>
      <c r="C3846" t="str">
        <f>"BOLETO"</f>
        <v>BOLETO</v>
      </c>
      <c r="D3846" t="str">
        <f>"0"</f>
        <v>0</v>
      </c>
      <c r="E3846" t="str">
        <f>""</f>
        <v/>
      </c>
      <c r="F3846" t="str">
        <f t="shared" si="703"/>
        <v>COM</v>
      </c>
      <c r="G3846" t="str">
        <f>"SYSTEM DESIGN INFORMATICA LTDA (20039)"</f>
        <v>SYSTEM DESIGN INFORMATICA LTDA (20039)</v>
      </c>
      <c r="H3846" t="str">
        <f>"MANUTENCAO SISTEMA SD"</f>
        <v>MANUTENCAO SISTEMA SD</v>
      </c>
      <c r="I3846" t="str">
        <f t="shared" si="701"/>
        <v>30/09/2025</v>
      </c>
      <c r="J3846" t="str">
        <f>("12/05/2025")</f>
        <v>12/05/2025</v>
      </c>
      <c r="K3846" t="str">
        <f>("30/09/2025")</f>
        <v>30/09/2025</v>
      </c>
      <c r="L3846">
        <v>863</v>
      </c>
      <c r="M3846">
        <v>863</v>
      </c>
      <c r="N3846">
        <v>104</v>
      </c>
      <c r="O3846" t="str">
        <f>"SOFTWARE / LICENÇAS"</f>
        <v>SOFTWARE / LICENÇAS</v>
      </c>
      <c r="P3846">
        <v>863</v>
      </c>
      <c r="S3846" t="str">
        <f>"BANCO CORA (102)"</f>
        <v>BANCO CORA (102)</v>
      </c>
      <c r="T3846">
        <v>22362</v>
      </c>
      <c r="U3846">
        <v>14960</v>
      </c>
      <c r="V3846" t="s">
        <v>22</v>
      </c>
    </row>
    <row r="3847" spans="1:22">
      <c r="A3847" t="str">
        <f t="shared" si="696"/>
        <v>30/09/2025</v>
      </c>
      <c r="B3847" t="str">
        <f t="shared" si="697"/>
        <v>SAÍDA</v>
      </c>
      <c r="C3847" t="str">
        <f>"BOLETO"</f>
        <v>BOLETO</v>
      </c>
      <c r="D3847" t="str">
        <f>"0"</f>
        <v>0</v>
      </c>
      <c r="E3847" t="str">
        <f>""</f>
        <v/>
      </c>
      <c r="F3847" t="str">
        <f t="shared" si="703"/>
        <v>COM</v>
      </c>
      <c r="G3847" t="str">
        <f>"SYSTEM DESIGN INFORMATICA LTDA (20039)"</f>
        <v>SYSTEM DESIGN INFORMATICA LTDA (20039)</v>
      </c>
      <c r="H3847" t="s">
        <v>33</v>
      </c>
      <c r="I3847" t="str">
        <f t="shared" si="701"/>
        <v>30/09/2025</v>
      </c>
      <c r="J3847" t="str">
        <f>("12/05/2025")</f>
        <v>12/05/2025</v>
      </c>
      <c r="K3847">
        <v>45930</v>
      </c>
      <c r="N3847">
        <v>104</v>
      </c>
      <c r="O3847" t="s">
        <v>34</v>
      </c>
      <c r="Q3847">
        <v>863</v>
      </c>
      <c r="R3847" t="str">
        <f>"SYSTEM DESIGN INFORMATICA LTDA (20039)"</f>
        <v>SYSTEM DESIGN INFORMATICA LTDA (20039)</v>
      </c>
      <c r="S3847" t="s">
        <v>22</v>
      </c>
      <c r="T3847">
        <v>22362</v>
      </c>
      <c r="U3847">
        <v>14960</v>
      </c>
      <c r="V3847" t="s">
        <v>22</v>
      </c>
    </row>
    <row r="3848" spans="1:22">
      <c r="A3848" t="str">
        <f t="shared" si="696"/>
        <v>30/09/2025</v>
      </c>
      <c r="B3848" t="str">
        <f t="shared" si="697"/>
        <v>SAÍDA</v>
      </c>
      <c r="C3848" t="str">
        <f t="shared" ref="C3848:C3864" si="704">"PIX"</f>
        <v>PIX</v>
      </c>
      <c r="D3848" t="str">
        <f>"22549"</f>
        <v>22549</v>
      </c>
      <c r="E3848" t="str">
        <f>"1"</f>
        <v>1</v>
      </c>
      <c r="F3848" t="str">
        <f t="shared" si="703"/>
        <v>COM</v>
      </c>
      <c r="G3848" t="str">
        <f>"YAN BRENDO CORREIA VIEIRA (861)"</f>
        <v>YAN BRENDO CORREIA VIEIRA (861)</v>
      </c>
      <c r="H3848" t="str">
        <f>"Serv.Prest. 22/09/2025 a 25/09/2025 - PIX: CPF - CHAVE: 096.891.935-97"</f>
        <v>Serv.Prest. 22/09/2025 a 25/09/2025 - PIX: CPF - CHAVE: 096.891.935-97</v>
      </c>
      <c r="I3848" t="str">
        <f t="shared" si="701"/>
        <v>30/09/2025</v>
      </c>
      <c r="J3848" t="str">
        <f>("26/09/2025")</f>
        <v>26/09/2025</v>
      </c>
      <c r="K3848" t="str">
        <f>("30/09/2025")</f>
        <v>30/09/2025</v>
      </c>
      <c r="L3848">
        <v>150</v>
      </c>
      <c r="M3848">
        <v>150</v>
      </c>
      <c r="N3848">
        <v>109</v>
      </c>
      <c r="O3848" t="str">
        <f>"PAGAMENTO DE ENTREGADORES"</f>
        <v>PAGAMENTO DE ENTREGADORES</v>
      </c>
      <c r="P3848">
        <v>150</v>
      </c>
      <c r="S3848" t="str">
        <f>"BANCO CORA (102)"</f>
        <v>BANCO CORA (102)</v>
      </c>
      <c r="T3848">
        <v>22363</v>
      </c>
      <c r="U3848">
        <v>22661</v>
      </c>
      <c r="V3848" t="s">
        <v>22</v>
      </c>
    </row>
    <row r="3849" spans="1:22">
      <c r="A3849" t="str">
        <f t="shared" si="696"/>
        <v>30/09/2025</v>
      </c>
      <c r="B3849" t="str">
        <f t="shared" si="697"/>
        <v>SAÍDA</v>
      </c>
      <c r="C3849" t="str">
        <f t="shared" si="704"/>
        <v>PIX</v>
      </c>
      <c r="D3849" t="str">
        <f>"22549"</f>
        <v>22549</v>
      </c>
      <c r="E3849" t="str">
        <f>"1"</f>
        <v>1</v>
      </c>
      <c r="F3849" t="str">
        <f t="shared" si="703"/>
        <v>COM</v>
      </c>
      <c r="G3849" t="str">
        <f>"YAN BRENDO CORREIA VIEIRA (861)"</f>
        <v>YAN BRENDO CORREIA VIEIRA (861)</v>
      </c>
      <c r="H3849" t="s">
        <v>1096</v>
      </c>
      <c r="I3849" t="str">
        <f t="shared" si="701"/>
        <v>30/09/2025</v>
      </c>
      <c r="J3849" t="str">
        <f>("26/09/2025")</f>
        <v>26/09/2025</v>
      </c>
      <c r="K3849">
        <v>45930</v>
      </c>
      <c r="N3849">
        <v>109</v>
      </c>
      <c r="O3849" t="s">
        <v>24</v>
      </c>
      <c r="Q3849">
        <v>150</v>
      </c>
      <c r="R3849" t="str">
        <f>"FARMÁCIA INDIANA LJ 200 (10155)"</f>
        <v>FARMÁCIA INDIANA LJ 200 (10155)</v>
      </c>
      <c r="S3849" t="s">
        <v>22</v>
      </c>
      <c r="T3849">
        <v>22363</v>
      </c>
      <c r="U3849">
        <v>22661</v>
      </c>
      <c r="V3849" t="s">
        <v>22</v>
      </c>
    </row>
    <row r="3850" spans="1:22">
      <c r="A3850" t="str">
        <f t="shared" si="696"/>
        <v>30/09/2025</v>
      </c>
      <c r="B3850" t="str">
        <f t="shared" si="697"/>
        <v>SAÍDA</v>
      </c>
      <c r="C3850" t="str">
        <f t="shared" si="704"/>
        <v>PIX</v>
      </c>
      <c r="D3850" t="str">
        <f>"3009"</f>
        <v>3009</v>
      </c>
      <c r="E3850" t="str">
        <f>"25"</f>
        <v>25</v>
      </c>
      <c r="F3850" t="str">
        <f t="shared" si="703"/>
        <v>COM</v>
      </c>
      <c r="G3850" t="str">
        <f>"PEDRO LUCAS MACIEL LIMA (962)"</f>
        <v>PEDRO LUCAS MACIEL LIMA (962)</v>
      </c>
      <c r="H3850" t="str">
        <f>"DIARIA 28/09/2025 - MATIPO - PIX CELULAR - CHAVE: (31) 9 9206-7115"</f>
        <v>DIARIA 28/09/2025 - MATIPO - PIX CELULAR - CHAVE: (31) 9 9206-7115</v>
      </c>
      <c r="I3850" t="str">
        <f t="shared" si="701"/>
        <v>30/09/2025</v>
      </c>
      <c r="J3850" t="str">
        <f>("28/09/2025")</f>
        <v>28/09/2025</v>
      </c>
      <c r="K3850" t="str">
        <f>("30/09/2025")</f>
        <v>30/09/2025</v>
      </c>
      <c r="L3850">
        <v>150</v>
      </c>
      <c r="M3850">
        <v>150</v>
      </c>
      <c r="N3850">
        <v>5000</v>
      </c>
      <c r="O3850" t="str">
        <f>"SOLICITACAO DE ADIANTAMENTO"</f>
        <v>SOLICITACAO DE ADIANTAMENTO</v>
      </c>
      <c r="P3850">
        <v>150</v>
      </c>
      <c r="S3850" t="str">
        <f>"BANCO CORA (102)"</f>
        <v>BANCO CORA (102)</v>
      </c>
      <c r="T3850">
        <v>22364</v>
      </c>
      <c r="U3850">
        <v>22756</v>
      </c>
      <c r="V3850" t="s">
        <v>22</v>
      </c>
    </row>
    <row r="3851" spans="1:22">
      <c r="A3851" t="str">
        <f t="shared" si="696"/>
        <v>30/09/2025</v>
      </c>
      <c r="B3851" t="str">
        <f t="shared" si="697"/>
        <v>SAÍDA</v>
      </c>
      <c r="C3851" t="str">
        <f t="shared" si="704"/>
        <v>PIX</v>
      </c>
      <c r="D3851" t="str">
        <f>"3009"</f>
        <v>3009</v>
      </c>
      <c r="E3851" t="str">
        <f>"25"</f>
        <v>25</v>
      </c>
      <c r="F3851" t="str">
        <f t="shared" si="703"/>
        <v>COM</v>
      </c>
      <c r="G3851" t="str">
        <f>"PEDRO LUCAS MACIEL LIMA (962)"</f>
        <v>PEDRO LUCAS MACIEL LIMA (962)</v>
      </c>
      <c r="H3851" t="s">
        <v>1097</v>
      </c>
      <c r="I3851" t="str">
        <f t="shared" si="701"/>
        <v>30/09/2025</v>
      </c>
      <c r="J3851" t="str">
        <f>("28/09/2025")</f>
        <v>28/09/2025</v>
      </c>
      <c r="K3851">
        <v>45930</v>
      </c>
      <c r="N3851">
        <v>5000</v>
      </c>
      <c r="O3851" t="s">
        <v>86</v>
      </c>
      <c r="Q3851">
        <v>150</v>
      </c>
      <c r="R3851" t="str">
        <f>"PEDRO LUCAS MACIEL LIMA (962)"</f>
        <v>PEDRO LUCAS MACIEL LIMA (962)</v>
      </c>
      <c r="S3851" t="s">
        <v>22</v>
      </c>
      <c r="T3851">
        <v>22364</v>
      </c>
      <c r="U3851">
        <v>22756</v>
      </c>
      <c r="V3851" t="s">
        <v>22</v>
      </c>
    </row>
    <row r="3852" spans="1:22">
      <c r="A3852" t="str">
        <f t="shared" si="696"/>
        <v>30/09/2025</v>
      </c>
      <c r="B3852" t="str">
        <f t="shared" si="697"/>
        <v>SAÍDA</v>
      </c>
      <c r="C3852" t="str">
        <f t="shared" si="704"/>
        <v>PIX</v>
      </c>
      <c r="D3852" t="str">
        <f>"22992"</f>
        <v>22992</v>
      </c>
      <c r="E3852" t="str">
        <f t="shared" ref="E3852:E3883" si="705">"1"</f>
        <v>1</v>
      </c>
      <c r="F3852" t="str">
        <f t="shared" si="703"/>
        <v>COM</v>
      </c>
      <c r="G3852" t="str">
        <f>"RAFAEL PEDRO MENDES (944)"</f>
        <v>RAFAEL PEDRO MENDES (944)</v>
      </c>
      <c r="H3852" t="str">
        <f>"Serv.Prest. 26/09/2025 a 05/10/2025 - PIX: CELULAR - CHAVE: (31) 99680-9634"</f>
        <v>Serv.Prest. 26/09/2025 a 05/10/2025 - PIX: CELULAR - CHAVE: (31) 99680-9634</v>
      </c>
      <c r="I3852" t="str">
        <f t="shared" ref="I3852:J3854" si="706">("07/10/2025")</f>
        <v>07/10/2025</v>
      </c>
      <c r="J3852" t="str">
        <f t="shared" si="706"/>
        <v>07/10/2025</v>
      </c>
      <c r="K3852" t="str">
        <f>("30/09/2025")</f>
        <v>30/09/2025</v>
      </c>
      <c r="L3852">
        <v>362</v>
      </c>
      <c r="M3852">
        <v>360</v>
      </c>
      <c r="N3852">
        <v>134</v>
      </c>
      <c r="O3852" t="str">
        <f>"DIARIA DE MOTOBOY"</f>
        <v>DIARIA DE MOTOBOY</v>
      </c>
      <c r="P3852">
        <v>360</v>
      </c>
      <c r="S3852" t="str">
        <f>"BANCO CORA (102)"</f>
        <v>BANCO CORA (102)</v>
      </c>
      <c r="T3852">
        <v>22365</v>
      </c>
      <c r="U3852">
        <v>22992</v>
      </c>
      <c r="V3852" t="s">
        <v>22</v>
      </c>
    </row>
    <row r="3853" spans="1:22">
      <c r="A3853" t="str">
        <f t="shared" si="696"/>
        <v>30/09/2025</v>
      </c>
      <c r="B3853" t="str">
        <f t="shared" si="697"/>
        <v>SAÍDA</v>
      </c>
      <c r="C3853" t="str">
        <f t="shared" si="704"/>
        <v>PIX</v>
      </c>
      <c r="D3853" t="str">
        <f>"22992"</f>
        <v>22992</v>
      </c>
      <c r="E3853" t="str">
        <f t="shared" si="705"/>
        <v>1</v>
      </c>
      <c r="F3853" t="str">
        <f t="shared" si="703"/>
        <v>COM</v>
      </c>
      <c r="G3853" t="str">
        <f>"RAFAEL PEDRO MENDES (944)"</f>
        <v>RAFAEL PEDRO MENDES (944)</v>
      </c>
      <c r="H3853" t="s">
        <v>1098</v>
      </c>
      <c r="I3853" t="str">
        <f t="shared" si="706"/>
        <v>07/10/2025</v>
      </c>
      <c r="J3853" t="str">
        <f t="shared" si="706"/>
        <v>07/10/2025</v>
      </c>
      <c r="K3853">
        <v>45930</v>
      </c>
      <c r="N3853">
        <v>134</v>
      </c>
      <c r="O3853" t="s">
        <v>41</v>
      </c>
      <c r="Q3853">
        <v>234.79</v>
      </c>
      <c r="R3853" t="str">
        <f>"FARMÁCIA INDIANA LJ 101 (10043)"</f>
        <v>FARMÁCIA INDIANA LJ 101 (10043)</v>
      </c>
      <c r="S3853" t="s">
        <v>22</v>
      </c>
      <c r="T3853">
        <v>22365</v>
      </c>
      <c r="U3853">
        <v>22992</v>
      </c>
      <c r="V3853" t="s">
        <v>22</v>
      </c>
    </row>
    <row r="3854" spans="1:22">
      <c r="A3854" t="str">
        <f t="shared" si="696"/>
        <v>30/09/2025</v>
      </c>
      <c r="B3854" t="str">
        <f t="shared" si="697"/>
        <v>SAÍDA</v>
      </c>
      <c r="C3854" t="str">
        <f t="shared" si="704"/>
        <v>PIX</v>
      </c>
      <c r="D3854" t="str">
        <f>"22992"</f>
        <v>22992</v>
      </c>
      <c r="E3854" t="str">
        <f t="shared" si="705"/>
        <v>1</v>
      </c>
      <c r="F3854" t="str">
        <f t="shared" si="703"/>
        <v>COM</v>
      </c>
      <c r="G3854" t="str">
        <f>"RAFAEL PEDRO MENDES (944)"</f>
        <v>RAFAEL PEDRO MENDES (944)</v>
      </c>
      <c r="H3854" t="s">
        <v>1098</v>
      </c>
      <c r="I3854" t="str">
        <f t="shared" si="706"/>
        <v>07/10/2025</v>
      </c>
      <c r="J3854" t="str">
        <f t="shared" si="706"/>
        <v>07/10/2025</v>
      </c>
      <c r="K3854">
        <v>45930</v>
      </c>
      <c r="N3854">
        <v>134</v>
      </c>
      <c r="O3854" t="s">
        <v>41</v>
      </c>
      <c r="Q3854">
        <v>125.21</v>
      </c>
      <c r="R3854" t="str">
        <f>"FARMÁCIA INDIANA LJ 220 (10092)"</f>
        <v>FARMÁCIA INDIANA LJ 220 (10092)</v>
      </c>
      <c r="S3854" t="s">
        <v>22</v>
      </c>
      <c r="T3854">
        <v>22365</v>
      </c>
      <c r="U3854">
        <v>22992</v>
      </c>
      <c r="V3854" t="s">
        <v>22</v>
      </c>
    </row>
    <row r="3855" spans="1:22">
      <c r="A3855" t="str">
        <f t="shared" si="696"/>
        <v>30/09/2025</v>
      </c>
      <c r="B3855" t="str">
        <f t="shared" si="697"/>
        <v>SAÍDA</v>
      </c>
      <c r="C3855" t="str">
        <f t="shared" si="704"/>
        <v>PIX</v>
      </c>
      <c r="D3855" t="str">
        <f>"24324"</f>
        <v>24324</v>
      </c>
      <c r="E3855" t="str">
        <f t="shared" si="705"/>
        <v>1</v>
      </c>
      <c r="F3855" t="str">
        <f t="shared" si="703"/>
        <v>COM</v>
      </c>
      <c r="G3855" t="str">
        <f>"SYSTEM DESIGN INFORMATICA LTDA (20039)"</f>
        <v>SYSTEM DESIGN INFORMATICA LTDA (20039)</v>
      </c>
      <c r="H3855" t="str">
        <f>"DESENVOLVIMENTO MODULO ALTERACAO CONTA/COMPETENCIA - PIX - CNPJ: 21.866.827/0001-52"</f>
        <v>DESENVOLVIMENTO MODULO ALTERACAO CONTA/COMPETENCIA - PIX - CNPJ: 21.866.827/0001-52</v>
      </c>
      <c r="I3855" t="str">
        <f t="shared" ref="I3855:I3862" si="707">("30/09/2025")</f>
        <v>30/09/2025</v>
      </c>
      <c r="J3855" t="str">
        <f>("04/09/2025")</f>
        <v>04/09/2025</v>
      </c>
      <c r="K3855" t="str">
        <f>("30/09/2025")</f>
        <v>30/09/2025</v>
      </c>
      <c r="L3855">
        <v>350</v>
      </c>
      <c r="M3855">
        <v>350</v>
      </c>
      <c r="N3855">
        <v>104</v>
      </c>
      <c r="O3855" t="str">
        <f>"SOFTWARE / LICENÇAS"</f>
        <v>SOFTWARE / LICENÇAS</v>
      </c>
      <c r="P3855">
        <v>350</v>
      </c>
      <c r="S3855" t="str">
        <f>"BANCO CORA (102)"</f>
        <v>BANCO CORA (102)</v>
      </c>
      <c r="T3855">
        <v>22366</v>
      </c>
      <c r="U3855">
        <v>22762</v>
      </c>
      <c r="V3855" t="s">
        <v>22</v>
      </c>
    </row>
    <row r="3856" spans="1:22">
      <c r="A3856" t="str">
        <f t="shared" ref="A3856:A3862" si="708">("30/09/2025")</f>
        <v>30/09/2025</v>
      </c>
      <c r="B3856" t="str">
        <f t="shared" si="697"/>
        <v>SAÍDA</v>
      </c>
      <c r="C3856" t="str">
        <f t="shared" si="704"/>
        <v>PIX</v>
      </c>
      <c r="D3856" t="str">
        <f>"24324"</f>
        <v>24324</v>
      </c>
      <c r="E3856" t="str">
        <f t="shared" si="705"/>
        <v>1</v>
      </c>
      <c r="F3856" t="str">
        <f t="shared" si="703"/>
        <v>COM</v>
      </c>
      <c r="G3856" t="str">
        <f>"SYSTEM DESIGN INFORMATICA LTDA (20039)"</f>
        <v>SYSTEM DESIGN INFORMATICA LTDA (20039)</v>
      </c>
      <c r="H3856" t="s">
        <v>1099</v>
      </c>
      <c r="I3856" t="str">
        <f t="shared" si="707"/>
        <v>30/09/2025</v>
      </c>
      <c r="J3856" t="str">
        <f>("04/09/2025")</f>
        <v>04/09/2025</v>
      </c>
      <c r="K3856">
        <v>45930</v>
      </c>
      <c r="N3856">
        <v>104</v>
      </c>
      <c r="O3856" t="s">
        <v>34</v>
      </c>
      <c r="Q3856">
        <v>350</v>
      </c>
      <c r="R3856" t="str">
        <f>"SYSTEM DESIGN INFORMATICA LTDA (20039)"</f>
        <v>SYSTEM DESIGN INFORMATICA LTDA (20039)</v>
      </c>
      <c r="S3856" t="s">
        <v>22</v>
      </c>
      <c r="T3856">
        <v>22366</v>
      </c>
      <c r="U3856">
        <v>22762</v>
      </c>
      <c r="V3856" t="s">
        <v>22</v>
      </c>
    </row>
    <row r="3857" spans="1:22">
      <c r="A3857" t="str">
        <f t="shared" si="708"/>
        <v>30/09/2025</v>
      </c>
      <c r="B3857" t="str">
        <f t="shared" si="697"/>
        <v>SAÍDA</v>
      </c>
      <c r="C3857" t="str">
        <f t="shared" si="704"/>
        <v>PIX</v>
      </c>
      <c r="D3857" t="str">
        <f t="shared" ref="D3857:D3862" si="709">"30092025"</f>
        <v>30092025</v>
      </c>
      <c r="E3857" t="str">
        <f t="shared" si="705"/>
        <v>1</v>
      </c>
      <c r="F3857" t="str">
        <f t="shared" si="703"/>
        <v>COM</v>
      </c>
      <c r="G3857" t="str">
        <f>"WILLIAM DA SILVA COSTA (655)"</f>
        <v>WILLIAM DA SILVA COSTA (655)</v>
      </c>
      <c r="H3857" t="str">
        <f>"DIARIA MOTOBOY "</f>
        <v xml:space="preserve">DIARIA MOTOBOY </v>
      </c>
      <c r="I3857" t="str">
        <f t="shared" si="707"/>
        <v>30/09/2025</v>
      </c>
      <c r="J3857" t="str">
        <f>("30/09/2025")</f>
        <v>30/09/2025</v>
      </c>
      <c r="K3857" t="str">
        <f>("30/09/2025")</f>
        <v>30/09/2025</v>
      </c>
      <c r="L3857">
        <v>150</v>
      </c>
      <c r="M3857">
        <v>150</v>
      </c>
      <c r="N3857">
        <v>134</v>
      </c>
      <c r="O3857" t="str">
        <f>"DIARIA DE MOTOBOY"</f>
        <v>DIARIA DE MOTOBOY</v>
      </c>
      <c r="P3857">
        <v>150</v>
      </c>
      <c r="S3857" t="str">
        <f>"BANCO CORA (102)"</f>
        <v>BANCO CORA (102)</v>
      </c>
      <c r="T3857">
        <v>22367</v>
      </c>
      <c r="U3857">
        <v>26116</v>
      </c>
      <c r="V3857" t="s">
        <v>22</v>
      </c>
    </row>
    <row r="3858" spans="1:22">
      <c r="A3858" t="str">
        <f t="shared" si="708"/>
        <v>30/09/2025</v>
      </c>
      <c r="B3858" t="str">
        <f t="shared" si="697"/>
        <v>SAÍDA</v>
      </c>
      <c r="C3858" t="str">
        <f t="shared" si="704"/>
        <v>PIX</v>
      </c>
      <c r="D3858" t="str">
        <f t="shared" si="709"/>
        <v>30092025</v>
      </c>
      <c r="E3858" t="str">
        <f t="shared" si="705"/>
        <v>1</v>
      </c>
      <c r="F3858" t="str">
        <f t="shared" si="703"/>
        <v>COM</v>
      </c>
      <c r="G3858" t="str">
        <f>"WILLIAM DA SILVA COSTA (655)"</f>
        <v>WILLIAM DA SILVA COSTA (655)</v>
      </c>
      <c r="H3858" t="s">
        <v>1100</v>
      </c>
      <c r="I3858" t="str">
        <f t="shared" si="707"/>
        <v>30/09/2025</v>
      </c>
      <c r="J3858" t="str">
        <f>("30/09/2025")</f>
        <v>30/09/2025</v>
      </c>
      <c r="K3858">
        <v>45930</v>
      </c>
      <c r="N3858">
        <v>134</v>
      </c>
      <c r="O3858" t="s">
        <v>41</v>
      </c>
      <c r="Q3858">
        <v>150</v>
      </c>
      <c r="R3858" t="str">
        <f>"WILLIAM DA SILVA COSTA (655)"</f>
        <v>WILLIAM DA SILVA COSTA (655)</v>
      </c>
      <c r="S3858" t="s">
        <v>22</v>
      </c>
      <c r="T3858">
        <v>22367</v>
      </c>
      <c r="U3858">
        <v>26116</v>
      </c>
      <c r="V3858" t="s">
        <v>22</v>
      </c>
    </row>
    <row r="3859" spans="1:22">
      <c r="A3859" t="str">
        <f t="shared" si="708"/>
        <v>30/09/2025</v>
      </c>
      <c r="B3859" t="str">
        <f t="shared" si="697"/>
        <v>SAÍDA</v>
      </c>
      <c r="C3859" t="str">
        <f t="shared" si="704"/>
        <v>PIX</v>
      </c>
      <c r="D3859" t="str">
        <f t="shared" si="709"/>
        <v>30092025</v>
      </c>
      <c r="E3859" t="str">
        <f t="shared" si="705"/>
        <v>1</v>
      </c>
      <c r="F3859" t="str">
        <f t="shared" si="703"/>
        <v>COM</v>
      </c>
      <c r="G3859" t="str">
        <f>"LILIANE DE FATIMA REZENDE JUSTINO (20013)"</f>
        <v>LILIANE DE FATIMA REZENDE JUSTINO (20013)</v>
      </c>
      <c r="H3859" t="str">
        <f>"DESESPESAS VIAGEM RECIFE"</f>
        <v>DESESPESAS VIAGEM RECIFE</v>
      </c>
      <c r="I3859" t="str">
        <f t="shared" si="707"/>
        <v>30/09/2025</v>
      </c>
      <c r="J3859" t="str">
        <f>("30/09/2025")</f>
        <v>30/09/2025</v>
      </c>
      <c r="K3859" t="str">
        <f>("30/09/2025")</f>
        <v>30/09/2025</v>
      </c>
      <c r="L3859">
        <v>500</v>
      </c>
      <c r="M3859">
        <v>500</v>
      </c>
      <c r="N3859">
        <v>117</v>
      </c>
      <c r="O3859" t="str">
        <f>"DESPESAS COM VIAGENS COMERCIAIS"</f>
        <v>DESPESAS COM VIAGENS COMERCIAIS</v>
      </c>
      <c r="P3859">
        <v>500</v>
      </c>
      <c r="S3859" t="str">
        <f>"BANCO CORA (102)"</f>
        <v>BANCO CORA (102)</v>
      </c>
      <c r="T3859">
        <v>22368</v>
      </c>
      <c r="U3859">
        <v>26117</v>
      </c>
      <c r="V3859" t="s">
        <v>22</v>
      </c>
    </row>
    <row r="3860" spans="1:22">
      <c r="A3860" t="str">
        <f t="shared" si="708"/>
        <v>30/09/2025</v>
      </c>
      <c r="B3860" t="str">
        <f t="shared" si="697"/>
        <v>SAÍDA</v>
      </c>
      <c r="C3860" t="str">
        <f t="shared" si="704"/>
        <v>PIX</v>
      </c>
      <c r="D3860" t="str">
        <f t="shared" si="709"/>
        <v>30092025</v>
      </c>
      <c r="E3860" t="str">
        <f t="shared" si="705"/>
        <v>1</v>
      </c>
      <c r="F3860" t="str">
        <f t="shared" si="703"/>
        <v>COM</v>
      </c>
      <c r="G3860" t="str">
        <f>"LILIANE DE FATIMA REZENDE JUSTINO (20013)"</f>
        <v>LILIANE DE FATIMA REZENDE JUSTINO (20013)</v>
      </c>
      <c r="H3860" t="s">
        <v>1101</v>
      </c>
      <c r="I3860" t="str">
        <f t="shared" si="707"/>
        <v>30/09/2025</v>
      </c>
      <c r="J3860" t="str">
        <f>("30/09/2025")</f>
        <v>30/09/2025</v>
      </c>
      <c r="K3860">
        <v>45930</v>
      </c>
      <c r="N3860">
        <v>117</v>
      </c>
      <c r="O3860" t="s">
        <v>822</v>
      </c>
      <c r="Q3860">
        <v>500</v>
      </c>
      <c r="R3860" t="str">
        <f>"LILIANE DE FATIMA REZENDE JUSTINO (20013)"</f>
        <v>LILIANE DE FATIMA REZENDE JUSTINO (20013)</v>
      </c>
      <c r="S3860" t="s">
        <v>22</v>
      </c>
      <c r="T3860">
        <v>22368</v>
      </c>
      <c r="U3860">
        <v>26117</v>
      </c>
      <c r="V3860" t="s">
        <v>22</v>
      </c>
    </row>
    <row r="3861" spans="1:22">
      <c r="A3861" t="str">
        <f t="shared" si="708"/>
        <v>30/09/2025</v>
      </c>
      <c r="B3861" t="str">
        <f t="shared" si="697"/>
        <v>SAÍDA</v>
      </c>
      <c r="C3861" t="str">
        <f t="shared" si="704"/>
        <v>PIX</v>
      </c>
      <c r="D3861" t="str">
        <f t="shared" si="709"/>
        <v>30092025</v>
      </c>
      <c r="E3861" t="str">
        <f t="shared" si="705"/>
        <v>1</v>
      </c>
      <c r="F3861" t="str">
        <f t="shared" si="703"/>
        <v>COM</v>
      </c>
      <c r="G3861" t="str">
        <f>"JAIR BRISON JUNIOR (964)"</f>
        <v>JAIR BRISON JUNIOR (964)</v>
      </c>
      <c r="H3861" t="str">
        <f>"Serv.Prest. 26/09/2025 a 05/10/2025 - PIX: CPF - CHAVE: 096.116.707-61 "</f>
        <v xml:space="preserve">Serv.Prest. 26/09/2025 a 05/10/2025 - PIX: CPF - CHAVE: 096.116.707-61 </v>
      </c>
      <c r="I3861" t="str">
        <f t="shared" si="707"/>
        <v>30/09/2025</v>
      </c>
      <c r="J3861" t="str">
        <f>("30/09/2025")</f>
        <v>30/09/2025</v>
      </c>
      <c r="K3861" t="str">
        <f>("30/09/2025")</f>
        <v>30/09/2025</v>
      </c>
      <c r="L3861">
        <v>150</v>
      </c>
      <c r="M3861">
        <v>150</v>
      </c>
      <c r="N3861">
        <v>134</v>
      </c>
      <c r="O3861" t="str">
        <f>"DIARIA DE MOTOBOY"</f>
        <v>DIARIA DE MOTOBOY</v>
      </c>
      <c r="P3861">
        <v>150</v>
      </c>
      <c r="S3861" t="str">
        <f>"BANCO CORA (102)"</f>
        <v>BANCO CORA (102)</v>
      </c>
      <c r="T3861">
        <v>22369</v>
      </c>
      <c r="U3861">
        <v>26163</v>
      </c>
      <c r="V3861" t="s">
        <v>22</v>
      </c>
    </row>
    <row r="3862" spans="1:22">
      <c r="A3862" t="str">
        <f t="shared" si="708"/>
        <v>30/09/2025</v>
      </c>
      <c r="B3862" t="str">
        <f t="shared" si="697"/>
        <v>SAÍDA</v>
      </c>
      <c r="C3862" t="str">
        <f t="shared" si="704"/>
        <v>PIX</v>
      </c>
      <c r="D3862" t="str">
        <f t="shared" si="709"/>
        <v>30092025</v>
      </c>
      <c r="E3862" t="str">
        <f t="shared" si="705"/>
        <v>1</v>
      </c>
      <c r="F3862" t="str">
        <f t="shared" si="703"/>
        <v>COM</v>
      </c>
      <c r="G3862" t="str">
        <f>"JAIR BRISON JUNIOR (964)"</f>
        <v>JAIR BRISON JUNIOR (964)</v>
      </c>
      <c r="H3862" t="s">
        <v>1102</v>
      </c>
      <c r="I3862" t="str">
        <f t="shared" si="707"/>
        <v>30/09/2025</v>
      </c>
      <c r="J3862" t="str">
        <f>("30/09/2025")</f>
        <v>30/09/2025</v>
      </c>
      <c r="K3862">
        <v>45930</v>
      </c>
      <c r="N3862">
        <v>134</v>
      </c>
      <c r="O3862" t="s">
        <v>41</v>
      </c>
      <c r="Q3862">
        <v>150</v>
      </c>
      <c r="R3862" t="str">
        <f>"FARMÁCIA INDIANA LJ 119 (10053)"</f>
        <v>FARMÁCIA INDIANA LJ 119 (10053)</v>
      </c>
      <c r="S3862" t="s">
        <v>22</v>
      </c>
      <c r="T3862">
        <v>22369</v>
      </c>
      <c r="U3862">
        <v>26163</v>
      </c>
      <c r="V3862" t="s">
        <v>22</v>
      </c>
    </row>
    <row r="3863" spans="1:22">
      <c r="A3863" t="str">
        <f t="shared" ref="A3863:A3894" si="710">("01/10/2025")</f>
        <v>01/10/2025</v>
      </c>
      <c r="B3863" t="str">
        <f t="shared" si="697"/>
        <v>SAÍDA</v>
      </c>
      <c r="C3863" t="str">
        <f t="shared" si="704"/>
        <v>PIX</v>
      </c>
      <c r="D3863" t="str">
        <f>"22462"</f>
        <v>22462</v>
      </c>
      <c r="E3863" t="str">
        <f t="shared" si="705"/>
        <v>1</v>
      </c>
      <c r="F3863" t="str">
        <f t="shared" si="703"/>
        <v>COM</v>
      </c>
      <c r="G3863" t="str">
        <f>"CASSIO DIAS RIBEIRO (32)"</f>
        <v>CASSIO DIAS RIBEIRO (32)</v>
      </c>
      <c r="H3863" t="str">
        <f>"Serv.Prest. 15/09/2025 a 21/09/2025 - PIX: CPF - CHAVE: 091.575.986-14"</f>
        <v>Serv.Prest. 15/09/2025 a 21/09/2025 - PIX: CPF - CHAVE: 091.575.986-14</v>
      </c>
      <c r="I3863" t="str">
        <f>("02/10/2025")</f>
        <v>02/10/2025</v>
      </c>
      <c r="J3863" t="str">
        <f>("23/09/2025")</f>
        <v>23/09/2025</v>
      </c>
      <c r="K3863" t="str">
        <f>("01/10/2025")</f>
        <v>01/10/2025</v>
      </c>
      <c r="L3863">
        <v>500</v>
      </c>
      <c r="M3863">
        <v>500</v>
      </c>
      <c r="N3863">
        <v>109</v>
      </c>
      <c r="O3863" t="str">
        <f>"PAGAMENTO DE ENTREGADORES"</f>
        <v>PAGAMENTO DE ENTREGADORES</v>
      </c>
      <c r="P3863">
        <v>500</v>
      </c>
      <c r="S3863" t="str">
        <f>"BANCO CORA (102)"</f>
        <v>BANCO CORA (102)</v>
      </c>
      <c r="T3863">
        <v>18897</v>
      </c>
      <c r="U3863">
        <v>22795</v>
      </c>
      <c r="V3863" t="s">
        <v>22</v>
      </c>
    </row>
    <row r="3864" spans="1:22">
      <c r="A3864" t="str">
        <f t="shared" si="710"/>
        <v>01/10/2025</v>
      </c>
      <c r="B3864" t="str">
        <f t="shared" si="697"/>
        <v>SAÍDA</v>
      </c>
      <c r="C3864" t="str">
        <f t="shared" si="704"/>
        <v>PIX</v>
      </c>
      <c r="D3864" t="str">
        <f>"22462"</f>
        <v>22462</v>
      </c>
      <c r="E3864" t="str">
        <f t="shared" si="705"/>
        <v>1</v>
      </c>
      <c r="F3864" t="str">
        <f t="shared" si="703"/>
        <v>COM</v>
      </c>
      <c r="G3864" t="str">
        <f>"CASSIO DIAS RIBEIRO (32)"</f>
        <v>CASSIO DIAS RIBEIRO (32)</v>
      </c>
      <c r="H3864" t="s">
        <v>1083</v>
      </c>
      <c r="I3864" t="str">
        <f>("02/10/2025")</f>
        <v>02/10/2025</v>
      </c>
      <c r="J3864" t="str">
        <f>("23/09/2025")</f>
        <v>23/09/2025</v>
      </c>
      <c r="K3864">
        <v>45931</v>
      </c>
      <c r="N3864">
        <v>109</v>
      </c>
      <c r="O3864" t="s">
        <v>24</v>
      </c>
      <c r="Q3864">
        <v>500</v>
      </c>
      <c r="R3864" t="str">
        <f>"FARMÁCIA INDIANA LJ 18 (10011)"</f>
        <v>FARMÁCIA INDIANA LJ 18 (10011)</v>
      </c>
      <c r="S3864" t="s">
        <v>22</v>
      </c>
      <c r="T3864">
        <v>18897</v>
      </c>
      <c r="U3864">
        <v>22795</v>
      </c>
      <c r="V3864" t="s">
        <v>22</v>
      </c>
    </row>
    <row r="3865" spans="1:22">
      <c r="A3865" t="str">
        <f t="shared" si="710"/>
        <v>01/10/2025</v>
      </c>
      <c r="B3865" t="str">
        <f t="shared" ref="B3865:B3896" si="711">"ENTRADA"</f>
        <v>ENTRADA</v>
      </c>
      <c r="C3865" t="str">
        <f t="shared" ref="C3865:C3896" si="712">"NFSE"</f>
        <v>NFSE</v>
      </c>
      <c r="D3865" t="str">
        <f>"3413"</f>
        <v>3413</v>
      </c>
      <c r="E3865" t="str">
        <f t="shared" si="705"/>
        <v>1</v>
      </c>
      <c r="F3865" t="str">
        <f t="shared" si="703"/>
        <v>COM</v>
      </c>
      <c r="G3865" t="str">
        <f>"DROGARIA AGAPEAMA (10167)"</f>
        <v>DROGARIA AGAPEAMA (10167)</v>
      </c>
      <c r="H3865" t="str">
        <f>"Serv.Prest. 22/09/2025 a 28/09/2025 - RPS: 1289 - NFSe: 3413"</f>
        <v>Serv.Prest. 22/09/2025 a 28/09/2025 - RPS: 1289 - NFSe: 3413</v>
      </c>
      <c r="I3865" t="str">
        <f t="shared" ref="I3865:I3896" si="713">("01/10/2025")</f>
        <v>01/10/2025</v>
      </c>
      <c r="J3865" t="str">
        <f t="shared" ref="J3865:J3874" si="714">("29/09/2025")</f>
        <v>29/09/2025</v>
      </c>
      <c r="K3865" t="str">
        <f>("01/10/2025")</f>
        <v>01/10/2025</v>
      </c>
      <c r="L3865">
        <v>3225.6</v>
      </c>
      <c r="M3865">
        <v>3225.6</v>
      </c>
      <c r="N3865">
        <v>303</v>
      </c>
      <c r="O3865" t="str">
        <f>"RECEITAS COM ENTREGAS"</f>
        <v>RECEITAS COM ENTREGAS</v>
      </c>
      <c r="P3865">
        <v>3225.6</v>
      </c>
      <c r="S3865" t="str">
        <f>"RECEITAS COM ENTREGAS (303)"</f>
        <v>RECEITAS COM ENTREGAS (303)</v>
      </c>
      <c r="T3865">
        <v>18900</v>
      </c>
      <c r="U3865">
        <v>22666</v>
      </c>
      <c r="V3865" t="s">
        <v>22</v>
      </c>
    </row>
    <row r="3866" spans="1:22">
      <c r="A3866" t="str">
        <f t="shared" si="710"/>
        <v>01/10/2025</v>
      </c>
      <c r="B3866" t="str">
        <f t="shared" si="711"/>
        <v>ENTRADA</v>
      </c>
      <c r="C3866" t="str">
        <f t="shared" si="712"/>
        <v>NFSE</v>
      </c>
      <c r="D3866" t="str">
        <f>"3413"</f>
        <v>3413</v>
      </c>
      <c r="E3866" t="str">
        <f t="shared" si="705"/>
        <v>1</v>
      </c>
      <c r="F3866" t="str">
        <f t="shared" si="703"/>
        <v>COM</v>
      </c>
      <c r="G3866" t="str">
        <f>"DROGARIA AGAPEAMA (10167)"</f>
        <v>DROGARIA AGAPEAMA (10167)</v>
      </c>
      <c r="H3866" t="s">
        <v>1103</v>
      </c>
      <c r="I3866" t="str">
        <f t="shared" si="713"/>
        <v>01/10/2025</v>
      </c>
      <c r="J3866" t="str">
        <f t="shared" si="714"/>
        <v>29/09/2025</v>
      </c>
      <c r="K3866">
        <v>45931</v>
      </c>
      <c r="N3866">
        <v>303</v>
      </c>
      <c r="O3866" t="s">
        <v>69</v>
      </c>
      <c r="Q3866">
        <v>3225.6</v>
      </c>
      <c r="R3866" t="str">
        <f>"DROGARIA AGAPEAMA (10167)"</f>
        <v>DROGARIA AGAPEAMA (10167)</v>
      </c>
      <c r="S3866" t="s">
        <v>70</v>
      </c>
      <c r="T3866">
        <v>18900</v>
      </c>
      <c r="U3866">
        <v>22666</v>
      </c>
      <c r="V3866" t="s">
        <v>22</v>
      </c>
    </row>
    <row r="3867" spans="1:22">
      <c r="A3867" t="str">
        <f t="shared" si="710"/>
        <v>01/10/2025</v>
      </c>
      <c r="B3867" t="str">
        <f t="shared" si="711"/>
        <v>ENTRADA</v>
      </c>
      <c r="C3867" t="str">
        <f t="shared" si="712"/>
        <v>NFSE</v>
      </c>
      <c r="D3867" t="str">
        <f>"3416"</f>
        <v>3416</v>
      </c>
      <c r="E3867" t="str">
        <f t="shared" si="705"/>
        <v>1</v>
      </c>
      <c r="F3867" t="str">
        <f t="shared" si="703"/>
        <v>COM</v>
      </c>
      <c r="G3867" t="str">
        <f>"ENTREFARMA (10164)"</f>
        <v>ENTREFARMA (10164)</v>
      </c>
      <c r="H3867" t="str">
        <f>"Serv.Prest. 22/09/2025 a 28/09/2025 - RPS: 1292 - NFSe: 3416"</f>
        <v>Serv.Prest. 22/09/2025 a 28/09/2025 - RPS: 1292 - NFSe: 3416</v>
      </c>
      <c r="I3867" t="str">
        <f t="shared" si="713"/>
        <v>01/10/2025</v>
      </c>
      <c r="J3867" t="str">
        <f t="shared" si="714"/>
        <v>29/09/2025</v>
      </c>
      <c r="K3867" t="str">
        <f>("01/10/2025")</f>
        <v>01/10/2025</v>
      </c>
      <c r="L3867">
        <v>6003.98</v>
      </c>
      <c r="M3867">
        <v>6003.98</v>
      </c>
      <c r="N3867">
        <v>303</v>
      </c>
      <c r="O3867" t="str">
        <f>"RECEITAS COM ENTREGAS"</f>
        <v>RECEITAS COM ENTREGAS</v>
      </c>
      <c r="P3867">
        <v>6003.98</v>
      </c>
      <c r="S3867" t="str">
        <f>"RECEITAS COM ENTREGAS (303)"</f>
        <v>RECEITAS COM ENTREGAS (303)</v>
      </c>
      <c r="T3867">
        <v>18901</v>
      </c>
      <c r="U3867">
        <v>22675</v>
      </c>
      <c r="V3867" t="s">
        <v>22</v>
      </c>
    </row>
    <row r="3868" spans="1:22">
      <c r="A3868" t="str">
        <f t="shared" si="710"/>
        <v>01/10/2025</v>
      </c>
      <c r="B3868" t="str">
        <f t="shared" si="711"/>
        <v>ENTRADA</v>
      </c>
      <c r="C3868" t="str">
        <f t="shared" si="712"/>
        <v>NFSE</v>
      </c>
      <c r="D3868" t="str">
        <f>"3416"</f>
        <v>3416</v>
      </c>
      <c r="E3868" t="str">
        <f t="shared" si="705"/>
        <v>1</v>
      </c>
      <c r="F3868" t="str">
        <f t="shared" ref="F3868:F3899" si="715">"COM"</f>
        <v>COM</v>
      </c>
      <c r="G3868" t="str">
        <f>"ENTREFARMA (10164)"</f>
        <v>ENTREFARMA (10164)</v>
      </c>
      <c r="H3868" t="s">
        <v>1104</v>
      </c>
      <c r="I3868" t="str">
        <f t="shared" si="713"/>
        <v>01/10/2025</v>
      </c>
      <c r="J3868" t="str">
        <f t="shared" si="714"/>
        <v>29/09/2025</v>
      </c>
      <c r="K3868">
        <v>45931</v>
      </c>
      <c r="N3868">
        <v>303</v>
      </c>
      <c r="O3868" t="s">
        <v>69</v>
      </c>
      <c r="Q3868">
        <v>6003.98</v>
      </c>
      <c r="R3868" t="str">
        <f>"ENTREFARMA (10164)"</f>
        <v>ENTREFARMA (10164)</v>
      </c>
      <c r="S3868" t="s">
        <v>70</v>
      </c>
      <c r="T3868">
        <v>18901</v>
      </c>
      <c r="U3868">
        <v>22675</v>
      </c>
      <c r="V3868" t="s">
        <v>22</v>
      </c>
    </row>
    <row r="3869" spans="1:22">
      <c r="A3869" t="str">
        <f t="shared" si="710"/>
        <v>01/10/2025</v>
      </c>
      <c r="B3869" t="str">
        <f t="shared" si="711"/>
        <v>ENTRADA</v>
      </c>
      <c r="C3869" t="str">
        <f t="shared" si="712"/>
        <v>NFSE</v>
      </c>
      <c r="D3869" t="str">
        <f>"3417"</f>
        <v>3417</v>
      </c>
      <c r="E3869" t="str">
        <f t="shared" si="705"/>
        <v>1</v>
      </c>
      <c r="F3869" t="str">
        <f t="shared" si="715"/>
        <v>COM</v>
      </c>
      <c r="G3869" t="str">
        <f>"FRAN FARMA (10124)"</f>
        <v>FRAN FARMA (10124)</v>
      </c>
      <c r="H3869" t="str">
        <f>"Serv.Prest. 22/09/2025 a 28/09/2025 - RPS: 1293 - NFSe: 3417"</f>
        <v>Serv.Prest. 22/09/2025 a 28/09/2025 - RPS: 1293 - NFSe: 3417</v>
      </c>
      <c r="I3869" t="str">
        <f t="shared" si="713"/>
        <v>01/10/2025</v>
      </c>
      <c r="J3869" t="str">
        <f t="shared" si="714"/>
        <v>29/09/2025</v>
      </c>
      <c r="K3869" t="str">
        <f>("01/10/2025")</f>
        <v>01/10/2025</v>
      </c>
      <c r="L3869">
        <v>840</v>
      </c>
      <c r="M3869">
        <v>840</v>
      </c>
      <c r="N3869">
        <v>303</v>
      </c>
      <c r="O3869" t="str">
        <f>"RECEITAS COM ENTREGAS"</f>
        <v>RECEITAS COM ENTREGAS</v>
      </c>
      <c r="P3869">
        <v>840</v>
      </c>
      <c r="S3869" t="str">
        <f>"RECEITAS COM ENTREGAS (303)"</f>
        <v>RECEITAS COM ENTREGAS (303)</v>
      </c>
      <c r="T3869">
        <v>18902</v>
      </c>
      <c r="U3869">
        <v>22680</v>
      </c>
      <c r="V3869" t="s">
        <v>22</v>
      </c>
    </row>
    <row r="3870" spans="1:22">
      <c r="A3870" t="str">
        <f t="shared" si="710"/>
        <v>01/10/2025</v>
      </c>
      <c r="B3870" t="str">
        <f t="shared" si="711"/>
        <v>ENTRADA</v>
      </c>
      <c r="C3870" t="str">
        <f t="shared" si="712"/>
        <v>NFSE</v>
      </c>
      <c r="D3870" t="str">
        <f>"3417"</f>
        <v>3417</v>
      </c>
      <c r="E3870" t="str">
        <f t="shared" si="705"/>
        <v>1</v>
      </c>
      <c r="F3870" t="str">
        <f t="shared" si="715"/>
        <v>COM</v>
      </c>
      <c r="G3870" t="str">
        <f>"FRAN FARMA (10124)"</f>
        <v>FRAN FARMA (10124)</v>
      </c>
      <c r="H3870" t="s">
        <v>1105</v>
      </c>
      <c r="I3870" t="str">
        <f t="shared" si="713"/>
        <v>01/10/2025</v>
      </c>
      <c r="J3870" t="str">
        <f t="shared" si="714"/>
        <v>29/09/2025</v>
      </c>
      <c r="K3870">
        <v>45931</v>
      </c>
      <c r="N3870">
        <v>303</v>
      </c>
      <c r="O3870" t="s">
        <v>69</v>
      </c>
      <c r="Q3870">
        <v>33.6</v>
      </c>
      <c r="R3870" t="str">
        <f>"FRAN FARMA (10124)"</f>
        <v>FRAN FARMA (10124)</v>
      </c>
      <c r="S3870" t="s">
        <v>70</v>
      </c>
      <c r="T3870">
        <v>18902</v>
      </c>
      <c r="U3870">
        <v>22680</v>
      </c>
      <c r="V3870" t="s">
        <v>22</v>
      </c>
    </row>
    <row r="3871" spans="1:22">
      <c r="A3871" t="str">
        <f t="shared" si="710"/>
        <v>01/10/2025</v>
      </c>
      <c r="B3871" t="str">
        <f t="shared" si="711"/>
        <v>ENTRADA</v>
      </c>
      <c r="C3871" t="str">
        <f t="shared" si="712"/>
        <v>NFSE</v>
      </c>
      <c r="D3871" t="str">
        <f>"3417"</f>
        <v>3417</v>
      </c>
      <c r="E3871" t="str">
        <f t="shared" si="705"/>
        <v>1</v>
      </c>
      <c r="F3871" t="str">
        <f t="shared" si="715"/>
        <v>COM</v>
      </c>
      <c r="G3871" t="str">
        <f>"FRAN FARMA (10124)"</f>
        <v>FRAN FARMA (10124)</v>
      </c>
      <c r="H3871" t="s">
        <v>1105</v>
      </c>
      <c r="I3871" t="str">
        <f t="shared" si="713"/>
        <v>01/10/2025</v>
      </c>
      <c r="J3871" t="str">
        <f t="shared" si="714"/>
        <v>29/09/2025</v>
      </c>
      <c r="K3871">
        <v>45931</v>
      </c>
      <c r="N3871">
        <v>303</v>
      </c>
      <c r="O3871" t="s">
        <v>69</v>
      </c>
      <c r="Q3871">
        <v>470.4</v>
      </c>
      <c r="R3871" t="str">
        <f>"FRAN FARMA LJ 2 (10131)"</f>
        <v>FRAN FARMA LJ 2 (10131)</v>
      </c>
      <c r="S3871" t="s">
        <v>70</v>
      </c>
      <c r="T3871">
        <v>18902</v>
      </c>
      <c r="U3871">
        <v>22680</v>
      </c>
      <c r="V3871" t="s">
        <v>22</v>
      </c>
    </row>
    <row r="3872" spans="1:22">
      <c r="A3872" t="str">
        <f t="shared" si="710"/>
        <v>01/10/2025</v>
      </c>
      <c r="B3872" t="str">
        <f t="shared" si="711"/>
        <v>ENTRADA</v>
      </c>
      <c r="C3872" t="str">
        <f t="shared" si="712"/>
        <v>NFSE</v>
      </c>
      <c r="D3872" t="str">
        <f>"3417"</f>
        <v>3417</v>
      </c>
      <c r="E3872" t="str">
        <f t="shared" si="705"/>
        <v>1</v>
      </c>
      <c r="F3872" t="str">
        <f t="shared" si="715"/>
        <v>COM</v>
      </c>
      <c r="G3872" t="str">
        <f>"FRAN FARMA (10124)"</f>
        <v>FRAN FARMA (10124)</v>
      </c>
      <c r="H3872" t="s">
        <v>1105</v>
      </c>
      <c r="I3872" t="str">
        <f t="shared" si="713"/>
        <v>01/10/2025</v>
      </c>
      <c r="J3872" t="str">
        <f t="shared" si="714"/>
        <v>29/09/2025</v>
      </c>
      <c r="K3872">
        <v>45931</v>
      </c>
      <c r="N3872">
        <v>303</v>
      </c>
      <c r="O3872" t="s">
        <v>69</v>
      </c>
      <c r="Q3872">
        <v>336</v>
      </c>
      <c r="R3872" t="str">
        <f>"FRAN FARMA LJ 3 (10132)"</f>
        <v>FRAN FARMA LJ 3 (10132)</v>
      </c>
      <c r="S3872" t="s">
        <v>70</v>
      </c>
      <c r="T3872">
        <v>18902</v>
      </c>
      <c r="U3872">
        <v>22680</v>
      </c>
      <c r="V3872" t="s">
        <v>22</v>
      </c>
    </row>
    <row r="3873" spans="1:22">
      <c r="A3873" t="str">
        <f t="shared" si="710"/>
        <v>01/10/2025</v>
      </c>
      <c r="B3873" t="str">
        <f t="shared" si="711"/>
        <v>ENTRADA</v>
      </c>
      <c r="C3873" t="str">
        <f t="shared" si="712"/>
        <v>NFSE</v>
      </c>
      <c r="D3873" t="str">
        <f>"3427"</f>
        <v>3427</v>
      </c>
      <c r="E3873" t="str">
        <f t="shared" si="705"/>
        <v>1</v>
      </c>
      <c r="F3873" t="str">
        <f t="shared" si="715"/>
        <v>COM</v>
      </c>
      <c r="G3873" t="str">
        <f>"JAL FARMACIA E DROGARIA LJ 2 (10138)"</f>
        <v>JAL FARMACIA E DROGARIA LJ 2 (10138)</v>
      </c>
      <c r="H3873" t="str">
        <f>"Serv.Prest. 22/09/2025 a 28/09/2025 - RPS: 1303 - NFSe: 3427"</f>
        <v>Serv.Prest. 22/09/2025 a 28/09/2025 - RPS: 1303 - NFSe: 3427</v>
      </c>
      <c r="I3873" t="str">
        <f t="shared" si="713"/>
        <v>01/10/2025</v>
      </c>
      <c r="J3873" t="str">
        <f t="shared" si="714"/>
        <v>29/09/2025</v>
      </c>
      <c r="K3873" t="str">
        <f>("01/10/2025")</f>
        <v>01/10/2025</v>
      </c>
      <c r="L3873">
        <v>1621.2</v>
      </c>
      <c r="M3873">
        <v>1621.2</v>
      </c>
      <c r="N3873">
        <v>303</v>
      </c>
      <c r="O3873" t="str">
        <f>"RECEITAS COM ENTREGAS"</f>
        <v>RECEITAS COM ENTREGAS</v>
      </c>
      <c r="P3873">
        <v>1621.2</v>
      </c>
      <c r="S3873" t="str">
        <f>"RECEITAS COM ENTREGAS (303)"</f>
        <v>RECEITAS COM ENTREGAS (303)</v>
      </c>
      <c r="T3873">
        <v>18903</v>
      </c>
      <c r="U3873">
        <v>22717</v>
      </c>
      <c r="V3873" t="s">
        <v>22</v>
      </c>
    </row>
    <row r="3874" spans="1:22">
      <c r="A3874" t="str">
        <f t="shared" si="710"/>
        <v>01/10/2025</v>
      </c>
      <c r="B3874" t="str">
        <f t="shared" si="711"/>
        <v>ENTRADA</v>
      </c>
      <c r="C3874" t="str">
        <f t="shared" si="712"/>
        <v>NFSE</v>
      </c>
      <c r="D3874" t="str">
        <f>"3427"</f>
        <v>3427</v>
      </c>
      <c r="E3874" t="str">
        <f t="shared" si="705"/>
        <v>1</v>
      </c>
      <c r="F3874" t="str">
        <f t="shared" si="715"/>
        <v>COM</v>
      </c>
      <c r="G3874" t="str">
        <f>"JAL FARMACIA E DROGARIA LJ 2 (10138)"</f>
        <v>JAL FARMACIA E DROGARIA LJ 2 (10138)</v>
      </c>
      <c r="H3874" t="s">
        <v>1106</v>
      </c>
      <c r="I3874" t="str">
        <f t="shared" si="713"/>
        <v>01/10/2025</v>
      </c>
      <c r="J3874" t="str">
        <f t="shared" si="714"/>
        <v>29/09/2025</v>
      </c>
      <c r="K3874">
        <v>45931</v>
      </c>
      <c r="N3874">
        <v>303</v>
      </c>
      <c r="O3874" t="s">
        <v>69</v>
      </c>
      <c r="Q3874">
        <v>1621.2</v>
      </c>
      <c r="R3874" t="str">
        <f>"JAL FARMACIA E DROGARIA LJ 2 (10138)"</f>
        <v>JAL FARMACIA E DROGARIA LJ 2 (10138)</v>
      </c>
      <c r="S3874" t="s">
        <v>70</v>
      </c>
      <c r="T3874">
        <v>18903</v>
      </c>
      <c r="U3874">
        <v>22717</v>
      </c>
      <c r="V3874" t="s">
        <v>22</v>
      </c>
    </row>
    <row r="3875" spans="1:22">
      <c r="A3875" t="str">
        <f t="shared" si="710"/>
        <v>01/10/2025</v>
      </c>
      <c r="B3875" t="str">
        <f t="shared" si="711"/>
        <v>ENTRADA</v>
      </c>
      <c r="C3875" t="str">
        <f t="shared" si="712"/>
        <v>NFSE</v>
      </c>
      <c r="D3875" t="str">
        <f>"3435"</f>
        <v>3435</v>
      </c>
      <c r="E3875" t="str">
        <f t="shared" si="705"/>
        <v>1</v>
      </c>
      <c r="F3875" t="str">
        <f t="shared" si="715"/>
        <v>COM</v>
      </c>
      <c r="G3875" t="str">
        <f>"DELTA LOJA 2 (10123)"</f>
        <v>DELTA LOJA 2 (10123)</v>
      </c>
      <c r="H3875" t="str">
        <f>"Serv.Prest. 22/09/2025 a 28/09/2025 - RPS: 1311 - NFSe: 3435"</f>
        <v>Serv.Prest. 22/09/2025 a 28/09/2025 - RPS: 1311 - NFSe: 3435</v>
      </c>
      <c r="I3875" t="str">
        <f t="shared" si="713"/>
        <v>01/10/2025</v>
      </c>
      <c r="J3875" t="str">
        <f>("30/09/2025")</f>
        <v>30/09/2025</v>
      </c>
      <c r="K3875" t="str">
        <f>("01/10/2025")</f>
        <v>01/10/2025</v>
      </c>
      <c r="L3875">
        <v>3891.3</v>
      </c>
      <c r="M3875">
        <v>3891.3</v>
      </c>
      <c r="N3875">
        <v>303</v>
      </c>
      <c r="O3875" t="str">
        <f>"RECEITAS COM ENTREGAS"</f>
        <v>RECEITAS COM ENTREGAS</v>
      </c>
      <c r="P3875">
        <v>3891.3</v>
      </c>
      <c r="S3875" t="str">
        <f>"RECEITAS COM ENTREGAS (303)"</f>
        <v>RECEITAS COM ENTREGAS (303)</v>
      </c>
      <c r="T3875">
        <v>18904</v>
      </c>
      <c r="U3875">
        <v>22745</v>
      </c>
      <c r="V3875" t="s">
        <v>22</v>
      </c>
    </row>
    <row r="3876" spans="1:22">
      <c r="A3876" t="str">
        <f t="shared" si="710"/>
        <v>01/10/2025</v>
      </c>
      <c r="B3876" t="str">
        <f t="shared" si="711"/>
        <v>ENTRADA</v>
      </c>
      <c r="C3876" t="str">
        <f t="shared" si="712"/>
        <v>NFSE</v>
      </c>
      <c r="D3876" t="str">
        <f>"3435"</f>
        <v>3435</v>
      </c>
      <c r="E3876" t="str">
        <f t="shared" si="705"/>
        <v>1</v>
      </c>
      <c r="F3876" t="str">
        <f t="shared" si="715"/>
        <v>COM</v>
      </c>
      <c r="G3876" t="str">
        <f>"DELTA LOJA 2 (10123)"</f>
        <v>DELTA LOJA 2 (10123)</v>
      </c>
      <c r="H3876" t="s">
        <v>1107</v>
      </c>
      <c r="I3876" t="str">
        <f t="shared" si="713"/>
        <v>01/10/2025</v>
      </c>
      <c r="J3876" t="str">
        <f>("30/09/2025")</f>
        <v>30/09/2025</v>
      </c>
      <c r="K3876">
        <v>45931</v>
      </c>
      <c r="N3876">
        <v>303</v>
      </c>
      <c r="O3876" t="s">
        <v>69</v>
      </c>
      <c r="Q3876">
        <v>3891.3</v>
      </c>
      <c r="R3876" t="str">
        <f>"DELTA LOJA 2 (10123)"</f>
        <v>DELTA LOJA 2 (10123)</v>
      </c>
      <c r="S3876" t="s">
        <v>70</v>
      </c>
      <c r="T3876">
        <v>18904</v>
      </c>
      <c r="U3876">
        <v>22745</v>
      </c>
      <c r="V3876" t="s">
        <v>22</v>
      </c>
    </row>
    <row r="3877" spans="1:22">
      <c r="A3877" t="str">
        <f t="shared" si="710"/>
        <v>01/10/2025</v>
      </c>
      <c r="B3877" t="str">
        <f t="shared" si="711"/>
        <v>ENTRADA</v>
      </c>
      <c r="C3877" t="str">
        <f t="shared" si="712"/>
        <v>NFSE</v>
      </c>
      <c r="D3877" t="str">
        <f t="shared" ref="D3877:D3924" si="716">"3397"</f>
        <v>3397</v>
      </c>
      <c r="E3877" t="str">
        <f t="shared" si="705"/>
        <v>1</v>
      </c>
      <c r="F3877" t="str">
        <f t="shared" si="715"/>
        <v>COM</v>
      </c>
      <c r="G3877" t="str">
        <f t="shared" ref="G3877:G3924" si="717">"FARMÁCIA INDIANA LJ 1 (10126)"</f>
        <v>FARMÁCIA INDIANA LJ 1 (10126)</v>
      </c>
      <c r="H3877" t="str">
        <f>"Serv.Prest. 15/09/2025 a 21/09/2025 - RPS: 1273 - NFSe: 3397"</f>
        <v>Serv.Prest. 15/09/2025 a 21/09/2025 - RPS: 1273 - NFSe: 3397</v>
      </c>
      <c r="I3877" t="str">
        <f t="shared" si="713"/>
        <v>01/10/2025</v>
      </c>
      <c r="J3877" t="str">
        <f t="shared" ref="J3877:J3908" si="718">("23/09/2025")</f>
        <v>23/09/2025</v>
      </c>
      <c r="K3877" t="str">
        <f>("01/10/2025")</f>
        <v>01/10/2025</v>
      </c>
      <c r="L3877">
        <v>120368.57</v>
      </c>
      <c r="M3877">
        <v>120368.57</v>
      </c>
      <c r="N3877">
        <v>303</v>
      </c>
      <c r="O3877" t="str">
        <f>"RECEITAS COM ENTREGAS"</f>
        <v>RECEITAS COM ENTREGAS</v>
      </c>
      <c r="P3877">
        <v>120368.57</v>
      </c>
      <c r="S3877" t="str">
        <f>"RECEITAS COM ENTREGAS (303)"</f>
        <v>RECEITAS COM ENTREGAS (303)</v>
      </c>
      <c r="T3877">
        <v>18905</v>
      </c>
      <c r="U3877">
        <v>22311</v>
      </c>
      <c r="V3877" t="s">
        <v>77</v>
      </c>
    </row>
    <row r="3878" spans="1:22">
      <c r="A3878" t="str">
        <f t="shared" si="710"/>
        <v>01/10/2025</v>
      </c>
      <c r="B3878" t="str">
        <f t="shared" si="711"/>
        <v>ENTRADA</v>
      </c>
      <c r="C3878" t="str">
        <f t="shared" si="712"/>
        <v>NFSE</v>
      </c>
      <c r="D3878" t="str">
        <f t="shared" si="716"/>
        <v>3397</v>
      </c>
      <c r="E3878" t="str">
        <f t="shared" si="705"/>
        <v>1</v>
      </c>
      <c r="F3878" t="str">
        <f t="shared" si="715"/>
        <v>COM</v>
      </c>
      <c r="G3878" t="str">
        <f t="shared" si="717"/>
        <v>FARMÁCIA INDIANA LJ 1 (10126)</v>
      </c>
      <c r="H3878" t="s">
        <v>1108</v>
      </c>
      <c r="I3878" t="str">
        <f t="shared" si="713"/>
        <v>01/10/2025</v>
      </c>
      <c r="J3878" t="str">
        <f t="shared" si="718"/>
        <v>23/09/2025</v>
      </c>
      <c r="K3878">
        <v>45931</v>
      </c>
      <c r="N3878">
        <v>303</v>
      </c>
      <c r="O3878" t="s">
        <v>69</v>
      </c>
      <c r="Q3878">
        <v>18007.11</v>
      </c>
      <c r="R3878" t="str">
        <f>"FARMÁCIA INDIANA LJ 06 (10006)"</f>
        <v>FARMÁCIA INDIANA LJ 06 (10006)</v>
      </c>
      <c r="S3878" t="s">
        <v>70</v>
      </c>
      <c r="T3878">
        <v>18905</v>
      </c>
      <c r="U3878">
        <v>22311</v>
      </c>
      <c r="V3878" t="s">
        <v>77</v>
      </c>
    </row>
    <row r="3879" spans="1:22">
      <c r="A3879" t="str">
        <f t="shared" si="710"/>
        <v>01/10/2025</v>
      </c>
      <c r="B3879" t="str">
        <f t="shared" si="711"/>
        <v>ENTRADA</v>
      </c>
      <c r="C3879" t="str">
        <f t="shared" si="712"/>
        <v>NFSE</v>
      </c>
      <c r="D3879" t="str">
        <f t="shared" si="716"/>
        <v>3397</v>
      </c>
      <c r="E3879" t="str">
        <f t="shared" si="705"/>
        <v>1</v>
      </c>
      <c r="F3879" t="str">
        <f t="shared" si="715"/>
        <v>COM</v>
      </c>
      <c r="G3879" t="str">
        <f t="shared" si="717"/>
        <v>FARMÁCIA INDIANA LJ 1 (10126)</v>
      </c>
      <c r="H3879" t="s">
        <v>1108</v>
      </c>
      <c r="I3879" t="str">
        <f t="shared" si="713"/>
        <v>01/10/2025</v>
      </c>
      <c r="J3879" t="str">
        <f t="shared" si="718"/>
        <v>23/09/2025</v>
      </c>
      <c r="K3879">
        <v>45931</v>
      </c>
      <c r="N3879">
        <v>303</v>
      </c>
      <c r="O3879" t="s">
        <v>69</v>
      </c>
      <c r="Q3879">
        <v>12109.08</v>
      </c>
      <c r="R3879" t="str">
        <f>"FARMÁCIA INDIANA LJ 07 (10007)"</f>
        <v>FARMÁCIA INDIANA LJ 07 (10007)</v>
      </c>
      <c r="S3879" t="s">
        <v>70</v>
      </c>
      <c r="T3879">
        <v>18905</v>
      </c>
      <c r="U3879">
        <v>22311</v>
      </c>
      <c r="V3879" t="s">
        <v>77</v>
      </c>
    </row>
    <row r="3880" spans="1:22">
      <c r="A3880" t="str">
        <f t="shared" si="710"/>
        <v>01/10/2025</v>
      </c>
      <c r="B3880" t="str">
        <f t="shared" si="711"/>
        <v>ENTRADA</v>
      </c>
      <c r="C3880" t="str">
        <f t="shared" si="712"/>
        <v>NFSE</v>
      </c>
      <c r="D3880" t="str">
        <f t="shared" si="716"/>
        <v>3397</v>
      </c>
      <c r="E3880" t="str">
        <f t="shared" si="705"/>
        <v>1</v>
      </c>
      <c r="F3880" t="str">
        <f t="shared" si="715"/>
        <v>COM</v>
      </c>
      <c r="G3880" t="str">
        <f t="shared" si="717"/>
        <v>FARMÁCIA INDIANA LJ 1 (10126)</v>
      </c>
      <c r="H3880" t="s">
        <v>1108</v>
      </c>
      <c r="I3880" t="str">
        <f t="shared" si="713"/>
        <v>01/10/2025</v>
      </c>
      <c r="J3880" t="str">
        <f t="shared" si="718"/>
        <v>23/09/2025</v>
      </c>
      <c r="K3880">
        <v>45931</v>
      </c>
      <c r="N3880">
        <v>303</v>
      </c>
      <c r="O3880" t="s">
        <v>69</v>
      </c>
      <c r="Q3880">
        <v>9822.08</v>
      </c>
      <c r="R3880" t="str">
        <f>"FARMÁCIA INDIANA LJ 11 (10008)"</f>
        <v>FARMÁCIA INDIANA LJ 11 (10008)</v>
      </c>
      <c r="S3880" t="s">
        <v>70</v>
      </c>
      <c r="T3880">
        <v>18905</v>
      </c>
      <c r="U3880">
        <v>22311</v>
      </c>
      <c r="V3880" t="s">
        <v>77</v>
      </c>
    </row>
    <row r="3881" spans="1:22">
      <c r="A3881" t="str">
        <f t="shared" si="710"/>
        <v>01/10/2025</v>
      </c>
      <c r="B3881" t="str">
        <f t="shared" si="711"/>
        <v>ENTRADA</v>
      </c>
      <c r="C3881" t="str">
        <f t="shared" si="712"/>
        <v>NFSE</v>
      </c>
      <c r="D3881" t="str">
        <f t="shared" si="716"/>
        <v>3397</v>
      </c>
      <c r="E3881" t="str">
        <f t="shared" si="705"/>
        <v>1</v>
      </c>
      <c r="F3881" t="str">
        <f t="shared" si="715"/>
        <v>COM</v>
      </c>
      <c r="G3881" t="str">
        <f t="shared" si="717"/>
        <v>FARMÁCIA INDIANA LJ 1 (10126)</v>
      </c>
      <c r="H3881" t="s">
        <v>1108</v>
      </c>
      <c r="I3881" t="str">
        <f t="shared" si="713"/>
        <v>01/10/2025</v>
      </c>
      <c r="J3881" t="str">
        <f t="shared" si="718"/>
        <v>23/09/2025</v>
      </c>
      <c r="K3881">
        <v>45931</v>
      </c>
      <c r="N3881">
        <v>303</v>
      </c>
      <c r="O3881" t="s">
        <v>69</v>
      </c>
      <c r="Q3881">
        <v>3984.2</v>
      </c>
      <c r="R3881" t="str">
        <f>"FARMÁCIA INDIANA LJ 14 (10009)"</f>
        <v>FARMÁCIA INDIANA LJ 14 (10009)</v>
      </c>
      <c r="S3881" t="s">
        <v>70</v>
      </c>
      <c r="T3881">
        <v>18905</v>
      </c>
      <c r="U3881">
        <v>22311</v>
      </c>
      <c r="V3881" t="s">
        <v>77</v>
      </c>
    </row>
    <row r="3882" spans="1:22">
      <c r="A3882" t="str">
        <f t="shared" si="710"/>
        <v>01/10/2025</v>
      </c>
      <c r="B3882" t="str">
        <f t="shared" si="711"/>
        <v>ENTRADA</v>
      </c>
      <c r="C3882" t="str">
        <f t="shared" si="712"/>
        <v>NFSE</v>
      </c>
      <c r="D3882" t="str">
        <f t="shared" si="716"/>
        <v>3397</v>
      </c>
      <c r="E3882" t="str">
        <f t="shared" si="705"/>
        <v>1</v>
      </c>
      <c r="F3882" t="str">
        <f t="shared" si="715"/>
        <v>COM</v>
      </c>
      <c r="G3882" t="str">
        <f t="shared" si="717"/>
        <v>FARMÁCIA INDIANA LJ 1 (10126)</v>
      </c>
      <c r="H3882" t="s">
        <v>1108</v>
      </c>
      <c r="I3882" t="str">
        <f t="shared" si="713"/>
        <v>01/10/2025</v>
      </c>
      <c r="J3882" t="str">
        <f t="shared" si="718"/>
        <v>23/09/2025</v>
      </c>
      <c r="K3882">
        <v>45931</v>
      </c>
      <c r="N3882">
        <v>303</v>
      </c>
      <c r="O3882" t="s">
        <v>69</v>
      </c>
      <c r="Q3882">
        <v>3454.58</v>
      </c>
      <c r="R3882" t="str">
        <f>"FARMÁCIA INDIANA LJ 18 (10011)"</f>
        <v>FARMÁCIA INDIANA LJ 18 (10011)</v>
      </c>
      <c r="S3882" t="s">
        <v>70</v>
      </c>
      <c r="T3882">
        <v>18905</v>
      </c>
      <c r="U3882">
        <v>22311</v>
      </c>
      <c r="V3882" t="s">
        <v>77</v>
      </c>
    </row>
    <row r="3883" spans="1:22">
      <c r="A3883" t="str">
        <f t="shared" si="710"/>
        <v>01/10/2025</v>
      </c>
      <c r="B3883" t="str">
        <f t="shared" si="711"/>
        <v>ENTRADA</v>
      </c>
      <c r="C3883" t="str">
        <f t="shared" si="712"/>
        <v>NFSE</v>
      </c>
      <c r="D3883" t="str">
        <f t="shared" si="716"/>
        <v>3397</v>
      </c>
      <c r="E3883" t="str">
        <f t="shared" si="705"/>
        <v>1</v>
      </c>
      <c r="F3883" t="str">
        <f t="shared" si="715"/>
        <v>COM</v>
      </c>
      <c r="G3883" t="str">
        <f t="shared" si="717"/>
        <v>FARMÁCIA INDIANA LJ 1 (10126)</v>
      </c>
      <c r="H3883" t="s">
        <v>1108</v>
      </c>
      <c r="I3883" t="str">
        <f t="shared" si="713"/>
        <v>01/10/2025</v>
      </c>
      <c r="J3883" t="str">
        <f t="shared" si="718"/>
        <v>23/09/2025</v>
      </c>
      <c r="K3883">
        <v>45931</v>
      </c>
      <c r="N3883">
        <v>303</v>
      </c>
      <c r="O3883" t="s">
        <v>69</v>
      </c>
      <c r="Q3883">
        <v>3466.61</v>
      </c>
      <c r="R3883" t="str">
        <f>"FARMÁCIA INDIANA LJ 19 (10012)"</f>
        <v>FARMÁCIA INDIANA LJ 19 (10012)</v>
      </c>
      <c r="S3883" t="s">
        <v>70</v>
      </c>
      <c r="T3883">
        <v>18905</v>
      </c>
      <c r="U3883">
        <v>22311</v>
      </c>
      <c r="V3883" t="s">
        <v>77</v>
      </c>
    </row>
    <row r="3884" spans="1:22">
      <c r="A3884" t="str">
        <f t="shared" si="710"/>
        <v>01/10/2025</v>
      </c>
      <c r="B3884" t="str">
        <f t="shared" si="711"/>
        <v>ENTRADA</v>
      </c>
      <c r="C3884" t="str">
        <f t="shared" si="712"/>
        <v>NFSE</v>
      </c>
      <c r="D3884" t="str">
        <f t="shared" si="716"/>
        <v>3397</v>
      </c>
      <c r="E3884" t="str">
        <f t="shared" ref="E3884:E3915" si="719">"1"</f>
        <v>1</v>
      </c>
      <c r="F3884" t="str">
        <f t="shared" si="715"/>
        <v>COM</v>
      </c>
      <c r="G3884" t="str">
        <f t="shared" si="717"/>
        <v>FARMÁCIA INDIANA LJ 1 (10126)</v>
      </c>
      <c r="H3884" t="s">
        <v>1108</v>
      </c>
      <c r="I3884" t="str">
        <f t="shared" si="713"/>
        <v>01/10/2025</v>
      </c>
      <c r="J3884" t="str">
        <f t="shared" si="718"/>
        <v>23/09/2025</v>
      </c>
      <c r="K3884">
        <v>45931</v>
      </c>
      <c r="N3884">
        <v>303</v>
      </c>
      <c r="O3884" t="s">
        <v>69</v>
      </c>
      <c r="Q3884">
        <v>8690.61</v>
      </c>
      <c r="R3884" t="str">
        <f>"FARMÁCIA INDIANA LJ 40 (10016)"</f>
        <v>FARMÁCIA INDIANA LJ 40 (10016)</v>
      </c>
      <c r="S3884" t="s">
        <v>70</v>
      </c>
      <c r="T3884">
        <v>18905</v>
      </c>
      <c r="U3884">
        <v>22311</v>
      </c>
      <c r="V3884" t="s">
        <v>77</v>
      </c>
    </row>
    <row r="3885" spans="1:22">
      <c r="A3885" t="str">
        <f t="shared" si="710"/>
        <v>01/10/2025</v>
      </c>
      <c r="B3885" t="str">
        <f t="shared" si="711"/>
        <v>ENTRADA</v>
      </c>
      <c r="C3885" t="str">
        <f t="shared" si="712"/>
        <v>NFSE</v>
      </c>
      <c r="D3885" t="str">
        <f t="shared" si="716"/>
        <v>3397</v>
      </c>
      <c r="E3885" t="str">
        <f t="shared" si="719"/>
        <v>1</v>
      </c>
      <c r="F3885" t="str">
        <f t="shared" si="715"/>
        <v>COM</v>
      </c>
      <c r="G3885" t="str">
        <f t="shared" si="717"/>
        <v>FARMÁCIA INDIANA LJ 1 (10126)</v>
      </c>
      <c r="H3885" t="s">
        <v>1108</v>
      </c>
      <c r="I3885" t="str">
        <f t="shared" si="713"/>
        <v>01/10/2025</v>
      </c>
      <c r="J3885" t="str">
        <f t="shared" si="718"/>
        <v>23/09/2025</v>
      </c>
      <c r="K3885">
        <v>45931</v>
      </c>
      <c r="N3885">
        <v>303</v>
      </c>
      <c r="O3885" t="s">
        <v>69</v>
      </c>
      <c r="Q3885">
        <v>1829.6</v>
      </c>
      <c r="R3885" t="str">
        <f>"FARMÁCIA INDIANA LJ 59 (10026)"</f>
        <v>FARMÁCIA INDIANA LJ 59 (10026)</v>
      </c>
      <c r="S3885" t="s">
        <v>70</v>
      </c>
      <c r="T3885">
        <v>18905</v>
      </c>
      <c r="U3885">
        <v>22311</v>
      </c>
      <c r="V3885" t="s">
        <v>77</v>
      </c>
    </row>
    <row r="3886" spans="1:22">
      <c r="A3886" t="str">
        <f t="shared" si="710"/>
        <v>01/10/2025</v>
      </c>
      <c r="B3886" t="str">
        <f t="shared" si="711"/>
        <v>ENTRADA</v>
      </c>
      <c r="C3886" t="str">
        <f t="shared" si="712"/>
        <v>NFSE</v>
      </c>
      <c r="D3886" t="str">
        <f t="shared" si="716"/>
        <v>3397</v>
      </c>
      <c r="E3886" t="str">
        <f t="shared" si="719"/>
        <v>1</v>
      </c>
      <c r="F3886" t="str">
        <f t="shared" si="715"/>
        <v>COM</v>
      </c>
      <c r="G3886" t="str">
        <f t="shared" si="717"/>
        <v>FARMÁCIA INDIANA LJ 1 (10126)</v>
      </c>
      <c r="H3886" t="s">
        <v>1108</v>
      </c>
      <c r="I3886" t="str">
        <f t="shared" si="713"/>
        <v>01/10/2025</v>
      </c>
      <c r="J3886" t="str">
        <f t="shared" si="718"/>
        <v>23/09/2025</v>
      </c>
      <c r="K3886">
        <v>45931</v>
      </c>
      <c r="N3886">
        <v>303</v>
      </c>
      <c r="O3886" t="s">
        <v>69</v>
      </c>
      <c r="Q3886">
        <v>3911.98</v>
      </c>
      <c r="R3886" t="str">
        <f>"FARMÁCIA INDIANA LJ 61 (10027)"</f>
        <v>FARMÁCIA INDIANA LJ 61 (10027)</v>
      </c>
      <c r="S3886" t="s">
        <v>70</v>
      </c>
      <c r="T3886">
        <v>18905</v>
      </c>
      <c r="U3886">
        <v>22311</v>
      </c>
      <c r="V3886" t="s">
        <v>77</v>
      </c>
    </row>
    <row r="3887" spans="1:22">
      <c r="A3887" t="str">
        <f t="shared" si="710"/>
        <v>01/10/2025</v>
      </c>
      <c r="B3887" t="str">
        <f t="shared" si="711"/>
        <v>ENTRADA</v>
      </c>
      <c r="C3887" t="str">
        <f t="shared" si="712"/>
        <v>NFSE</v>
      </c>
      <c r="D3887" t="str">
        <f t="shared" si="716"/>
        <v>3397</v>
      </c>
      <c r="E3887" t="str">
        <f t="shared" si="719"/>
        <v>1</v>
      </c>
      <c r="F3887" t="str">
        <f t="shared" si="715"/>
        <v>COM</v>
      </c>
      <c r="G3887" t="str">
        <f t="shared" si="717"/>
        <v>FARMÁCIA INDIANA LJ 1 (10126)</v>
      </c>
      <c r="H3887" t="s">
        <v>1108</v>
      </c>
      <c r="I3887" t="str">
        <f t="shared" si="713"/>
        <v>01/10/2025</v>
      </c>
      <c r="J3887" t="str">
        <f t="shared" si="718"/>
        <v>23/09/2025</v>
      </c>
      <c r="K3887">
        <v>45931</v>
      </c>
      <c r="N3887">
        <v>303</v>
      </c>
      <c r="O3887" t="s">
        <v>69</v>
      </c>
      <c r="Q3887">
        <v>1793.49</v>
      </c>
      <c r="R3887" t="str">
        <f>"FARMÁCIA INDIANA LJ 62 (10028)"</f>
        <v>FARMÁCIA INDIANA LJ 62 (10028)</v>
      </c>
      <c r="S3887" t="s">
        <v>70</v>
      </c>
      <c r="T3887">
        <v>18905</v>
      </c>
      <c r="U3887">
        <v>22311</v>
      </c>
      <c r="V3887" t="s">
        <v>77</v>
      </c>
    </row>
    <row r="3888" spans="1:22">
      <c r="A3888" t="str">
        <f t="shared" si="710"/>
        <v>01/10/2025</v>
      </c>
      <c r="B3888" t="str">
        <f t="shared" si="711"/>
        <v>ENTRADA</v>
      </c>
      <c r="C3888" t="str">
        <f t="shared" si="712"/>
        <v>NFSE</v>
      </c>
      <c r="D3888" t="str">
        <f t="shared" si="716"/>
        <v>3397</v>
      </c>
      <c r="E3888" t="str">
        <f t="shared" si="719"/>
        <v>1</v>
      </c>
      <c r="F3888" t="str">
        <f t="shared" si="715"/>
        <v>COM</v>
      </c>
      <c r="G3888" t="str">
        <f t="shared" si="717"/>
        <v>FARMÁCIA INDIANA LJ 1 (10126)</v>
      </c>
      <c r="H3888" t="s">
        <v>1108</v>
      </c>
      <c r="I3888" t="str">
        <f t="shared" si="713"/>
        <v>01/10/2025</v>
      </c>
      <c r="J3888" t="str">
        <f t="shared" si="718"/>
        <v>23/09/2025</v>
      </c>
      <c r="K3888">
        <v>45931</v>
      </c>
      <c r="N3888">
        <v>303</v>
      </c>
      <c r="O3888" t="s">
        <v>69</v>
      </c>
      <c r="Q3888">
        <v>601.84</v>
      </c>
      <c r="R3888" t="str">
        <f>"FARMÁCIA INDIANA LJ 64 (10029)"</f>
        <v>FARMÁCIA INDIANA LJ 64 (10029)</v>
      </c>
      <c r="S3888" t="s">
        <v>70</v>
      </c>
      <c r="T3888">
        <v>18905</v>
      </c>
      <c r="U3888">
        <v>22311</v>
      </c>
      <c r="V3888" t="s">
        <v>77</v>
      </c>
    </row>
    <row r="3889" spans="1:22">
      <c r="A3889" t="str">
        <f t="shared" si="710"/>
        <v>01/10/2025</v>
      </c>
      <c r="B3889" t="str">
        <f t="shared" si="711"/>
        <v>ENTRADA</v>
      </c>
      <c r="C3889" t="str">
        <f t="shared" si="712"/>
        <v>NFSE</v>
      </c>
      <c r="D3889" t="str">
        <f t="shared" si="716"/>
        <v>3397</v>
      </c>
      <c r="E3889" t="str">
        <f t="shared" si="719"/>
        <v>1</v>
      </c>
      <c r="F3889" t="str">
        <f t="shared" si="715"/>
        <v>COM</v>
      </c>
      <c r="G3889" t="str">
        <f t="shared" si="717"/>
        <v>FARMÁCIA INDIANA LJ 1 (10126)</v>
      </c>
      <c r="H3889" t="s">
        <v>1108</v>
      </c>
      <c r="I3889" t="str">
        <f t="shared" si="713"/>
        <v>01/10/2025</v>
      </c>
      <c r="J3889" t="str">
        <f t="shared" si="718"/>
        <v>23/09/2025</v>
      </c>
      <c r="K3889">
        <v>45931</v>
      </c>
      <c r="N3889">
        <v>303</v>
      </c>
      <c r="O3889" t="s">
        <v>69</v>
      </c>
      <c r="Q3889">
        <v>601.84</v>
      </c>
      <c r="R3889" t="str">
        <f>"FARMÁCIA INDIANA LJ 97 (10040)"</f>
        <v>FARMÁCIA INDIANA LJ 97 (10040)</v>
      </c>
      <c r="S3889" t="s">
        <v>70</v>
      </c>
      <c r="T3889">
        <v>18905</v>
      </c>
      <c r="U3889">
        <v>22311</v>
      </c>
      <c r="V3889" t="s">
        <v>77</v>
      </c>
    </row>
    <row r="3890" spans="1:22">
      <c r="A3890" t="str">
        <f t="shared" si="710"/>
        <v>01/10/2025</v>
      </c>
      <c r="B3890" t="str">
        <f t="shared" si="711"/>
        <v>ENTRADA</v>
      </c>
      <c r="C3890" t="str">
        <f t="shared" si="712"/>
        <v>NFSE</v>
      </c>
      <c r="D3890" t="str">
        <f t="shared" si="716"/>
        <v>3397</v>
      </c>
      <c r="E3890" t="str">
        <f t="shared" si="719"/>
        <v>1</v>
      </c>
      <c r="F3890" t="str">
        <f t="shared" si="715"/>
        <v>COM</v>
      </c>
      <c r="G3890" t="str">
        <f t="shared" si="717"/>
        <v>FARMÁCIA INDIANA LJ 1 (10126)</v>
      </c>
      <c r="H3890" t="s">
        <v>1108</v>
      </c>
      <c r="I3890" t="str">
        <f t="shared" si="713"/>
        <v>01/10/2025</v>
      </c>
      <c r="J3890" t="str">
        <f t="shared" si="718"/>
        <v>23/09/2025</v>
      </c>
      <c r="K3890">
        <v>45931</v>
      </c>
      <c r="N3890">
        <v>303</v>
      </c>
      <c r="O3890" t="s">
        <v>69</v>
      </c>
      <c r="Q3890">
        <v>1697.2</v>
      </c>
      <c r="R3890" t="str">
        <f>"FARMÁCIA INDIANA LJ 100 (10042)"</f>
        <v>FARMÁCIA INDIANA LJ 100 (10042)</v>
      </c>
      <c r="S3890" t="s">
        <v>70</v>
      </c>
      <c r="T3890">
        <v>18905</v>
      </c>
      <c r="U3890">
        <v>22311</v>
      </c>
      <c r="V3890" t="s">
        <v>77</v>
      </c>
    </row>
    <row r="3891" spans="1:22">
      <c r="A3891" t="str">
        <f t="shared" si="710"/>
        <v>01/10/2025</v>
      </c>
      <c r="B3891" t="str">
        <f t="shared" si="711"/>
        <v>ENTRADA</v>
      </c>
      <c r="C3891" t="str">
        <f t="shared" si="712"/>
        <v>NFSE</v>
      </c>
      <c r="D3891" t="str">
        <f t="shared" si="716"/>
        <v>3397</v>
      </c>
      <c r="E3891" t="str">
        <f t="shared" si="719"/>
        <v>1</v>
      </c>
      <c r="F3891" t="str">
        <f t="shared" si="715"/>
        <v>COM</v>
      </c>
      <c r="G3891" t="str">
        <f t="shared" si="717"/>
        <v>FARMÁCIA INDIANA LJ 1 (10126)</v>
      </c>
      <c r="H3891" t="s">
        <v>1108</v>
      </c>
      <c r="I3891" t="str">
        <f t="shared" si="713"/>
        <v>01/10/2025</v>
      </c>
      <c r="J3891" t="str">
        <f t="shared" si="718"/>
        <v>23/09/2025</v>
      </c>
      <c r="K3891">
        <v>45931</v>
      </c>
      <c r="N3891">
        <v>303</v>
      </c>
      <c r="O3891" t="s">
        <v>69</v>
      </c>
      <c r="Q3891">
        <v>5777.69</v>
      </c>
      <c r="R3891" t="str">
        <f>"FARMÁCIA INDIANA LJ 101 (10043)"</f>
        <v>FARMÁCIA INDIANA LJ 101 (10043)</v>
      </c>
      <c r="S3891" t="s">
        <v>70</v>
      </c>
      <c r="T3891">
        <v>18905</v>
      </c>
      <c r="U3891">
        <v>22311</v>
      </c>
      <c r="V3891" t="s">
        <v>77</v>
      </c>
    </row>
    <row r="3892" spans="1:22">
      <c r="A3892" t="str">
        <f t="shared" si="710"/>
        <v>01/10/2025</v>
      </c>
      <c r="B3892" t="str">
        <f t="shared" si="711"/>
        <v>ENTRADA</v>
      </c>
      <c r="C3892" t="str">
        <f t="shared" si="712"/>
        <v>NFSE</v>
      </c>
      <c r="D3892" t="str">
        <f t="shared" si="716"/>
        <v>3397</v>
      </c>
      <c r="E3892" t="str">
        <f t="shared" si="719"/>
        <v>1</v>
      </c>
      <c r="F3892" t="str">
        <f t="shared" si="715"/>
        <v>COM</v>
      </c>
      <c r="G3892" t="str">
        <f t="shared" si="717"/>
        <v>FARMÁCIA INDIANA LJ 1 (10126)</v>
      </c>
      <c r="H3892" t="s">
        <v>1108</v>
      </c>
      <c r="I3892" t="str">
        <f t="shared" si="713"/>
        <v>01/10/2025</v>
      </c>
      <c r="J3892" t="str">
        <f t="shared" si="718"/>
        <v>23/09/2025</v>
      </c>
      <c r="K3892">
        <v>45931</v>
      </c>
      <c r="N3892">
        <v>303</v>
      </c>
      <c r="O3892" t="s">
        <v>69</v>
      </c>
      <c r="Q3892">
        <v>553.70000000000005</v>
      </c>
      <c r="R3892" t="str">
        <f>"FARMÁCIA INDIANA LJ 103 (10044)"</f>
        <v>FARMÁCIA INDIANA LJ 103 (10044)</v>
      </c>
      <c r="S3892" t="s">
        <v>70</v>
      </c>
      <c r="T3892">
        <v>18905</v>
      </c>
      <c r="U3892">
        <v>22311</v>
      </c>
      <c r="V3892" t="s">
        <v>77</v>
      </c>
    </row>
    <row r="3893" spans="1:22">
      <c r="A3893" t="str">
        <f t="shared" si="710"/>
        <v>01/10/2025</v>
      </c>
      <c r="B3893" t="str">
        <f t="shared" si="711"/>
        <v>ENTRADA</v>
      </c>
      <c r="C3893" t="str">
        <f t="shared" si="712"/>
        <v>NFSE</v>
      </c>
      <c r="D3893" t="str">
        <f t="shared" si="716"/>
        <v>3397</v>
      </c>
      <c r="E3893" t="str">
        <f t="shared" si="719"/>
        <v>1</v>
      </c>
      <c r="F3893" t="str">
        <f t="shared" si="715"/>
        <v>COM</v>
      </c>
      <c r="G3893" t="str">
        <f t="shared" si="717"/>
        <v>FARMÁCIA INDIANA LJ 1 (10126)</v>
      </c>
      <c r="H3893" t="s">
        <v>1108</v>
      </c>
      <c r="I3893" t="str">
        <f t="shared" si="713"/>
        <v>01/10/2025</v>
      </c>
      <c r="J3893" t="str">
        <f t="shared" si="718"/>
        <v>23/09/2025</v>
      </c>
      <c r="K3893">
        <v>45931</v>
      </c>
      <c r="N3893">
        <v>303</v>
      </c>
      <c r="O3893" t="s">
        <v>69</v>
      </c>
      <c r="Q3893">
        <v>1962.01</v>
      </c>
      <c r="R3893" t="str">
        <f>"FARMÁCIA INDIANA LJ 109 (10047)"</f>
        <v>FARMÁCIA INDIANA LJ 109 (10047)</v>
      </c>
      <c r="S3893" t="s">
        <v>70</v>
      </c>
      <c r="T3893">
        <v>18905</v>
      </c>
      <c r="U3893">
        <v>22311</v>
      </c>
      <c r="V3893" t="s">
        <v>77</v>
      </c>
    </row>
    <row r="3894" spans="1:22">
      <c r="A3894" t="str">
        <f t="shared" si="710"/>
        <v>01/10/2025</v>
      </c>
      <c r="B3894" t="str">
        <f t="shared" si="711"/>
        <v>ENTRADA</v>
      </c>
      <c r="C3894" t="str">
        <f t="shared" si="712"/>
        <v>NFSE</v>
      </c>
      <c r="D3894" t="str">
        <f t="shared" si="716"/>
        <v>3397</v>
      </c>
      <c r="E3894" t="str">
        <f t="shared" si="719"/>
        <v>1</v>
      </c>
      <c r="F3894" t="str">
        <f t="shared" si="715"/>
        <v>COM</v>
      </c>
      <c r="G3894" t="str">
        <f t="shared" si="717"/>
        <v>FARMÁCIA INDIANA LJ 1 (10126)</v>
      </c>
      <c r="H3894" t="s">
        <v>1108</v>
      </c>
      <c r="I3894" t="str">
        <f t="shared" si="713"/>
        <v>01/10/2025</v>
      </c>
      <c r="J3894" t="str">
        <f t="shared" si="718"/>
        <v>23/09/2025</v>
      </c>
      <c r="K3894">
        <v>45931</v>
      </c>
      <c r="N3894">
        <v>303</v>
      </c>
      <c r="O3894" t="s">
        <v>69</v>
      </c>
      <c r="Q3894">
        <v>3394.39</v>
      </c>
      <c r="R3894" t="str">
        <f>"FARMÁCIA INDIANA LJ 110 (10048)"</f>
        <v>FARMÁCIA INDIANA LJ 110 (10048)</v>
      </c>
      <c r="S3894" t="s">
        <v>70</v>
      </c>
      <c r="T3894">
        <v>18905</v>
      </c>
      <c r="U3894">
        <v>22311</v>
      </c>
      <c r="V3894" t="s">
        <v>77</v>
      </c>
    </row>
    <row r="3895" spans="1:22">
      <c r="A3895" t="str">
        <f t="shared" ref="A3895:A3926" si="720">("01/10/2025")</f>
        <v>01/10/2025</v>
      </c>
      <c r="B3895" t="str">
        <f t="shared" si="711"/>
        <v>ENTRADA</v>
      </c>
      <c r="C3895" t="str">
        <f t="shared" si="712"/>
        <v>NFSE</v>
      </c>
      <c r="D3895" t="str">
        <f t="shared" si="716"/>
        <v>3397</v>
      </c>
      <c r="E3895" t="str">
        <f t="shared" si="719"/>
        <v>1</v>
      </c>
      <c r="F3895" t="str">
        <f t="shared" si="715"/>
        <v>COM</v>
      </c>
      <c r="G3895" t="str">
        <f t="shared" si="717"/>
        <v>FARMÁCIA INDIANA LJ 1 (10126)</v>
      </c>
      <c r="H3895" t="s">
        <v>1108</v>
      </c>
      <c r="I3895" t="str">
        <f t="shared" si="713"/>
        <v>01/10/2025</v>
      </c>
      <c r="J3895" t="str">
        <f t="shared" si="718"/>
        <v>23/09/2025</v>
      </c>
      <c r="K3895">
        <v>45931</v>
      </c>
      <c r="N3895">
        <v>303</v>
      </c>
      <c r="O3895" t="s">
        <v>69</v>
      </c>
      <c r="Q3895">
        <v>589.80999999999995</v>
      </c>
      <c r="R3895" t="str">
        <f>"FARMÁCIA INDIANA LJ 111 (10049)"</f>
        <v>FARMÁCIA INDIANA LJ 111 (10049)</v>
      </c>
      <c r="S3895" t="s">
        <v>70</v>
      </c>
      <c r="T3895">
        <v>18905</v>
      </c>
      <c r="U3895">
        <v>22311</v>
      </c>
      <c r="V3895" t="s">
        <v>77</v>
      </c>
    </row>
    <row r="3896" spans="1:22">
      <c r="A3896" t="str">
        <f t="shared" si="720"/>
        <v>01/10/2025</v>
      </c>
      <c r="B3896" t="str">
        <f t="shared" si="711"/>
        <v>ENTRADA</v>
      </c>
      <c r="C3896" t="str">
        <f t="shared" si="712"/>
        <v>NFSE</v>
      </c>
      <c r="D3896" t="str">
        <f t="shared" si="716"/>
        <v>3397</v>
      </c>
      <c r="E3896" t="str">
        <f t="shared" si="719"/>
        <v>1</v>
      </c>
      <c r="F3896" t="str">
        <f t="shared" si="715"/>
        <v>COM</v>
      </c>
      <c r="G3896" t="str">
        <f t="shared" si="717"/>
        <v>FARMÁCIA INDIANA LJ 1 (10126)</v>
      </c>
      <c r="H3896" t="s">
        <v>1108</v>
      </c>
      <c r="I3896" t="str">
        <f t="shared" si="713"/>
        <v>01/10/2025</v>
      </c>
      <c r="J3896" t="str">
        <f t="shared" si="718"/>
        <v>23/09/2025</v>
      </c>
      <c r="K3896">
        <v>45931</v>
      </c>
      <c r="N3896">
        <v>303</v>
      </c>
      <c r="O3896" t="s">
        <v>69</v>
      </c>
      <c r="Q3896">
        <v>854.62</v>
      </c>
      <c r="R3896" t="str">
        <f>"FARMÁCIA INDIANA LJ 112 (10050)"</f>
        <v>FARMÁCIA INDIANA LJ 112 (10050)</v>
      </c>
      <c r="S3896" t="s">
        <v>70</v>
      </c>
      <c r="T3896">
        <v>18905</v>
      </c>
      <c r="U3896">
        <v>22311</v>
      </c>
      <c r="V3896" t="s">
        <v>77</v>
      </c>
    </row>
    <row r="3897" spans="1:22">
      <c r="A3897" t="str">
        <f t="shared" si="720"/>
        <v>01/10/2025</v>
      </c>
      <c r="B3897" t="str">
        <f t="shared" ref="B3897:B3928" si="721">"ENTRADA"</f>
        <v>ENTRADA</v>
      </c>
      <c r="C3897" t="str">
        <f t="shared" ref="C3897:C3928" si="722">"NFSE"</f>
        <v>NFSE</v>
      </c>
      <c r="D3897" t="str">
        <f t="shared" si="716"/>
        <v>3397</v>
      </c>
      <c r="E3897" t="str">
        <f t="shared" si="719"/>
        <v>1</v>
      </c>
      <c r="F3897" t="str">
        <f t="shared" si="715"/>
        <v>COM</v>
      </c>
      <c r="G3897" t="str">
        <f t="shared" si="717"/>
        <v>FARMÁCIA INDIANA LJ 1 (10126)</v>
      </c>
      <c r="H3897" t="s">
        <v>1108</v>
      </c>
      <c r="I3897" t="str">
        <f t="shared" ref="I3897:I3928" si="723">("01/10/2025")</f>
        <v>01/10/2025</v>
      </c>
      <c r="J3897" t="str">
        <f t="shared" si="718"/>
        <v>23/09/2025</v>
      </c>
      <c r="K3897">
        <v>45931</v>
      </c>
      <c r="N3897">
        <v>303</v>
      </c>
      <c r="O3897" t="s">
        <v>69</v>
      </c>
      <c r="Q3897">
        <v>854.62</v>
      </c>
      <c r="R3897" t="str">
        <f>"FARMÁCIA INDIANA LJ 116 (10051)"</f>
        <v>FARMÁCIA INDIANA LJ 116 (10051)</v>
      </c>
      <c r="S3897" t="s">
        <v>70</v>
      </c>
      <c r="T3897">
        <v>18905</v>
      </c>
      <c r="U3897">
        <v>22311</v>
      </c>
      <c r="V3897" t="s">
        <v>77</v>
      </c>
    </row>
    <row r="3898" spans="1:22">
      <c r="A3898" t="str">
        <f t="shared" si="720"/>
        <v>01/10/2025</v>
      </c>
      <c r="B3898" t="str">
        <f t="shared" si="721"/>
        <v>ENTRADA</v>
      </c>
      <c r="C3898" t="str">
        <f t="shared" si="722"/>
        <v>NFSE</v>
      </c>
      <c r="D3898" t="str">
        <f t="shared" si="716"/>
        <v>3397</v>
      </c>
      <c r="E3898" t="str">
        <f t="shared" si="719"/>
        <v>1</v>
      </c>
      <c r="F3898" t="str">
        <f t="shared" si="715"/>
        <v>COM</v>
      </c>
      <c r="G3898" t="str">
        <f t="shared" si="717"/>
        <v>FARMÁCIA INDIANA LJ 1 (10126)</v>
      </c>
      <c r="H3898" t="s">
        <v>1108</v>
      </c>
      <c r="I3898" t="str">
        <f t="shared" si="723"/>
        <v>01/10/2025</v>
      </c>
      <c r="J3898" t="str">
        <f t="shared" si="718"/>
        <v>23/09/2025</v>
      </c>
      <c r="K3898">
        <v>45931</v>
      </c>
      <c r="N3898">
        <v>303</v>
      </c>
      <c r="O3898" t="s">
        <v>69</v>
      </c>
      <c r="Q3898">
        <v>1299.98</v>
      </c>
      <c r="R3898" t="str">
        <f>"FARMÁCIA INDIANA LJ 118 (10052)"</f>
        <v>FARMÁCIA INDIANA LJ 118 (10052)</v>
      </c>
      <c r="S3898" t="s">
        <v>70</v>
      </c>
      <c r="T3898">
        <v>18905</v>
      </c>
      <c r="U3898">
        <v>22311</v>
      </c>
      <c r="V3898" t="s">
        <v>77</v>
      </c>
    </row>
    <row r="3899" spans="1:22">
      <c r="A3899" t="str">
        <f t="shared" si="720"/>
        <v>01/10/2025</v>
      </c>
      <c r="B3899" t="str">
        <f t="shared" si="721"/>
        <v>ENTRADA</v>
      </c>
      <c r="C3899" t="str">
        <f t="shared" si="722"/>
        <v>NFSE</v>
      </c>
      <c r="D3899" t="str">
        <f t="shared" si="716"/>
        <v>3397</v>
      </c>
      <c r="E3899" t="str">
        <f t="shared" si="719"/>
        <v>1</v>
      </c>
      <c r="F3899" t="str">
        <f t="shared" si="715"/>
        <v>COM</v>
      </c>
      <c r="G3899" t="str">
        <f t="shared" si="717"/>
        <v>FARMÁCIA INDIANA LJ 1 (10126)</v>
      </c>
      <c r="H3899" t="s">
        <v>1108</v>
      </c>
      <c r="I3899" t="str">
        <f t="shared" si="723"/>
        <v>01/10/2025</v>
      </c>
      <c r="J3899" t="str">
        <f t="shared" si="718"/>
        <v>23/09/2025</v>
      </c>
      <c r="K3899">
        <v>45931</v>
      </c>
      <c r="N3899">
        <v>303</v>
      </c>
      <c r="O3899" t="s">
        <v>69</v>
      </c>
      <c r="Q3899">
        <v>854.62</v>
      </c>
      <c r="R3899" t="str">
        <f>"FARMÁCIA INDIANA LJ 121 (10054)"</f>
        <v>FARMÁCIA INDIANA LJ 121 (10054)</v>
      </c>
      <c r="S3899" t="s">
        <v>70</v>
      </c>
      <c r="T3899">
        <v>18905</v>
      </c>
      <c r="U3899">
        <v>22311</v>
      </c>
      <c r="V3899" t="s">
        <v>77</v>
      </c>
    </row>
    <row r="3900" spans="1:22">
      <c r="A3900" t="str">
        <f t="shared" si="720"/>
        <v>01/10/2025</v>
      </c>
      <c r="B3900" t="str">
        <f t="shared" si="721"/>
        <v>ENTRADA</v>
      </c>
      <c r="C3900" t="str">
        <f t="shared" si="722"/>
        <v>NFSE</v>
      </c>
      <c r="D3900" t="str">
        <f t="shared" si="716"/>
        <v>3397</v>
      </c>
      <c r="E3900" t="str">
        <f t="shared" si="719"/>
        <v>1</v>
      </c>
      <c r="F3900" t="str">
        <f t="shared" ref="F3900:F3931" si="724">"COM"</f>
        <v>COM</v>
      </c>
      <c r="G3900" t="str">
        <f t="shared" si="717"/>
        <v>FARMÁCIA INDIANA LJ 1 (10126)</v>
      </c>
      <c r="H3900" t="s">
        <v>1108</v>
      </c>
      <c r="I3900" t="str">
        <f t="shared" si="723"/>
        <v>01/10/2025</v>
      </c>
      <c r="J3900" t="str">
        <f t="shared" si="718"/>
        <v>23/09/2025</v>
      </c>
      <c r="K3900">
        <v>45931</v>
      </c>
      <c r="N3900">
        <v>303</v>
      </c>
      <c r="O3900" t="s">
        <v>69</v>
      </c>
      <c r="Q3900">
        <v>854.62</v>
      </c>
      <c r="R3900" t="str">
        <f>"FARMÁCIA INDIANA LJ 128 (10057)"</f>
        <v>FARMÁCIA INDIANA LJ 128 (10057)</v>
      </c>
      <c r="S3900" t="s">
        <v>70</v>
      </c>
      <c r="T3900">
        <v>18905</v>
      </c>
      <c r="U3900">
        <v>22311</v>
      </c>
      <c r="V3900" t="s">
        <v>77</v>
      </c>
    </row>
    <row r="3901" spans="1:22">
      <c r="A3901" t="str">
        <f t="shared" si="720"/>
        <v>01/10/2025</v>
      </c>
      <c r="B3901" t="str">
        <f t="shared" si="721"/>
        <v>ENTRADA</v>
      </c>
      <c r="C3901" t="str">
        <f t="shared" si="722"/>
        <v>NFSE</v>
      </c>
      <c r="D3901" t="str">
        <f t="shared" si="716"/>
        <v>3397</v>
      </c>
      <c r="E3901" t="str">
        <f t="shared" si="719"/>
        <v>1</v>
      </c>
      <c r="F3901" t="str">
        <f t="shared" si="724"/>
        <v>COM</v>
      </c>
      <c r="G3901" t="str">
        <f t="shared" si="717"/>
        <v>FARMÁCIA INDIANA LJ 1 (10126)</v>
      </c>
      <c r="H3901" t="s">
        <v>1108</v>
      </c>
      <c r="I3901" t="str">
        <f t="shared" si="723"/>
        <v>01/10/2025</v>
      </c>
      <c r="J3901" t="str">
        <f t="shared" si="718"/>
        <v>23/09/2025</v>
      </c>
      <c r="K3901">
        <v>45931</v>
      </c>
      <c r="N3901">
        <v>303</v>
      </c>
      <c r="O3901" t="s">
        <v>69</v>
      </c>
      <c r="Q3901">
        <v>337.03</v>
      </c>
      <c r="R3901" t="str">
        <f>"FARMÁCIA INDIANA LJ 140 (10064)"</f>
        <v>FARMÁCIA INDIANA LJ 140 (10064)</v>
      </c>
      <c r="S3901" t="s">
        <v>70</v>
      </c>
      <c r="T3901">
        <v>18905</v>
      </c>
      <c r="U3901">
        <v>22311</v>
      </c>
      <c r="V3901" t="s">
        <v>77</v>
      </c>
    </row>
    <row r="3902" spans="1:22">
      <c r="A3902" t="str">
        <f t="shared" si="720"/>
        <v>01/10/2025</v>
      </c>
      <c r="B3902" t="str">
        <f t="shared" si="721"/>
        <v>ENTRADA</v>
      </c>
      <c r="C3902" t="str">
        <f t="shared" si="722"/>
        <v>NFSE</v>
      </c>
      <c r="D3902" t="str">
        <f t="shared" si="716"/>
        <v>3397</v>
      </c>
      <c r="E3902" t="str">
        <f t="shared" si="719"/>
        <v>1</v>
      </c>
      <c r="F3902" t="str">
        <f t="shared" si="724"/>
        <v>COM</v>
      </c>
      <c r="G3902" t="str">
        <f t="shared" si="717"/>
        <v>FARMÁCIA INDIANA LJ 1 (10126)</v>
      </c>
      <c r="H3902" t="s">
        <v>1108</v>
      </c>
      <c r="I3902" t="str">
        <f t="shared" si="723"/>
        <v>01/10/2025</v>
      </c>
      <c r="J3902" t="str">
        <f t="shared" si="718"/>
        <v>23/09/2025</v>
      </c>
      <c r="K3902">
        <v>45931</v>
      </c>
      <c r="N3902">
        <v>303</v>
      </c>
      <c r="O3902" t="s">
        <v>69</v>
      </c>
      <c r="Q3902">
        <v>108.33</v>
      </c>
      <c r="R3902" t="str">
        <f>"FARMÁCIA INDIANA LJ 141 (10065)"</f>
        <v>FARMÁCIA INDIANA LJ 141 (10065)</v>
      </c>
      <c r="S3902" t="s">
        <v>70</v>
      </c>
      <c r="T3902">
        <v>18905</v>
      </c>
      <c r="U3902">
        <v>22311</v>
      </c>
      <c r="V3902" t="s">
        <v>77</v>
      </c>
    </row>
    <row r="3903" spans="1:22">
      <c r="A3903" t="str">
        <f t="shared" si="720"/>
        <v>01/10/2025</v>
      </c>
      <c r="B3903" t="str">
        <f t="shared" si="721"/>
        <v>ENTRADA</v>
      </c>
      <c r="C3903" t="str">
        <f t="shared" si="722"/>
        <v>NFSE</v>
      </c>
      <c r="D3903" t="str">
        <f t="shared" si="716"/>
        <v>3397</v>
      </c>
      <c r="E3903" t="str">
        <f t="shared" si="719"/>
        <v>1</v>
      </c>
      <c r="F3903" t="str">
        <f t="shared" si="724"/>
        <v>COM</v>
      </c>
      <c r="G3903" t="str">
        <f t="shared" si="717"/>
        <v>FARMÁCIA INDIANA LJ 1 (10126)</v>
      </c>
      <c r="H3903" t="s">
        <v>1108</v>
      </c>
      <c r="I3903" t="str">
        <f t="shared" si="723"/>
        <v>01/10/2025</v>
      </c>
      <c r="J3903" t="str">
        <f t="shared" si="718"/>
        <v>23/09/2025</v>
      </c>
      <c r="K3903">
        <v>45931</v>
      </c>
      <c r="N3903">
        <v>303</v>
      </c>
      <c r="O3903" t="s">
        <v>69</v>
      </c>
      <c r="Q3903">
        <v>6776.75</v>
      </c>
      <c r="R3903" t="str">
        <f>"FARMÁCIA INDIANA LJ 142 (10066)"</f>
        <v>FARMÁCIA INDIANA LJ 142 (10066)</v>
      </c>
      <c r="S3903" t="s">
        <v>70</v>
      </c>
      <c r="T3903">
        <v>18905</v>
      </c>
      <c r="U3903">
        <v>22311</v>
      </c>
      <c r="V3903" t="s">
        <v>77</v>
      </c>
    </row>
    <row r="3904" spans="1:22">
      <c r="A3904" t="str">
        <f t="shared" si="720"/>
        <v>01/10/2025</v>
      </c>
      <c r="B3904" t="str">
        <f t="shared" si="721"/>
        <v>ENTRADA</v>
      </c>
      <c r="C3904" t="str">
        <f t="shared" si="722"/>
        <v>NFSE</v>
      </c>
      <c r="D3904" t="str">
        <f t="shared" si="716"/>
        <v>3397</v>
      </c>
      <c r="E3904" t="str">
        <f t="shared" si="719"/>
        <v>1</v>
      </c>
      <c r="F3904" t="str">
        <f t="shared" si="724"/>
        <v>COM</v>
      </c>
      <c r="G3904" t="str">
        <f t="shared" si="717"/>
        <v>FARMÁCIA INDIANA LJ 1 (10126)</v>
      </c>
      <c r="H3904" t="s">
        <v>1108</v>
      </c>
      <c r="I3904" t="str">
        <f t="shared" si="723"/>
        <v>01/10/2025</v>
      </c>
      <c r="J3904" t="str">
        <f t="shared" si="718"/>
        <v>23/09/2025</v>
      </c>
      <c r="K3904">
        <v>45931</v>
      </c>
      <c r="N3904">
        <v>303</v>
      </c>
      <c r="O3904" t="s">
        <v>69</v>
      </c>
      <c r="Q3904">
        <v>601.84</v>
      </c>
      <c r="R3904" t="str">
        <f>"FARMÁCIA INDIANA LJ 143 (10067)"</f>
        <v>FARMÁCIA INDIANA LJ 143 (10067)</v>
      </c>
      <c r="S3904" t="s">
        <v>70</v>
      </c>
      <c r="T3904">
        <v>18905</v>
      </c>
      <c r="U3904">
        <v>22311</v>
      </c>
      <c r="V3904" t="s">
        <v>77</v>
      </c>
    </row>
    <row r="3905" spans="1:22">
      <c r="A3905" t="str">
        <f t="shared" si="720"/>
        <v>01/10/2025</v>
      </c>
      <c r="B3905" t="str">
        <f t="shared" si="721"/>
        <v>ENTRADA</v>
      </c>
      <c r="C3905" t="str">
        <f t="shared" si="722"/>
        <v>NFSE</v>
      </c>
      <c r="D3905" t="str">
        <f t="shared" si="716"/>
        <v>3397</v>
      </c>
      <c r="E3905" t="str">
        <f t="shared" si="719"/>
        <v>1</v>
      </c>
      <c r="F3905" t="str">
        <f t="shared" si="724"/>
        <v>COM</v>
      </c>
      <c r="G3905" t="str">
        <f t="shared" si="717"/>
        <v>FARMÁCIA INDIANA LJ 1 (10126)</v>
      </c>
      <c r="H3905" t="s">
        <v>1108</v>
      </c>
      <c r="I3905" t="str">
        <f t="shared" si="723"/>
        <v>01/10/2025</v>
      </c>
      <c r="J3905" t="str">
        <f t="shared" si="718"/>
        <v>23/09/2025</v>
      </c>
      <c r="K3905">
        <v>45931</v>
      </c>
      <c r="N3905">
        <v>303</v>
      </c>
      <c r="O3905" t="s">
        <v>69</v>
      </c>
      <c r="Q3905">
        <v>3647.17</v>
      </c>
      <c r="R3905" t="str">
        <f>"FARMÁCIA INDIANA LJ 152 (10069)"</f>
        <v>FARMÁCIA INDIANA LJ 152 (10069)</v>
      </c>
      <c r="S3905" t="s">
        <v>70</v>
      </c>
      <c r="T3905">
        <v>18905</v>
      </c>
      <c r="U3905">
        <v>22311</v>
      </c>
      <c r="V3905" t="s">
        <v>77</v>
      </c>
    </row>
    <row r="3906" spans="1:22">
      <c r="A3906" t="str">
        <f t="shared" si="720"/>
        <v>01/10/2025</v>
      </c>
      <c r="B3906" t="str">
        <f t="shared" si="721"/>
        <v>ENTRADA</v>
      </c>
      <c r="C3906" t="str">
        <f t="shared" si="722"/>
        <v>NFSE</v>
      </c>
      <c r="D3906" t="str">
        <f t="shared" si="716"/>
        <v>3397</v>
      </c>
      <c r="E3906" t="str">
        <f t="shared" si="719"/>
        <v>1</v>
      </c>
      <c r="F3906" t="str">
        <f t="shared" si="724"/>
        <v>COM</v>
      </c>
      <c r="G3906" t="str">
        <f t="shared" si="717"/>
        <v>FARMÁCIA INDIANA LJ 1 (10126)</v>
      </c>
      <c r="H3906" t="s">
        <v>1108</v>
      </c>
      <c r="I3906" t="str">
        <f t="shared" si="723"/>
        <v>01/10/2025</v>
      </c>
      <c r="J3906" t="str">
        <f t="shared" si="718"/>
        <v>23/09/2025</v>
      </c>
      <c r="K3906">
        <v>45931</v>
      </c>
      <c r="N3906">
        <v>303</v>
      </c>
      <c r="O3906" t="s">
        <v>69</v>
      </c>
      <c r="Q3906">
        <v>228.7</v>
      </c>
      <c r="R3906" t="str">
        <f>"FARMÁCIA INDIANA LJ 154 (10070)"</f>
        <v>FARMÁCIA INDIANA LJ 154 (10070)</v>
      </c>
      <c r="S3906" t="s">
        <v>70</v>
      </c>
      <c r="T3906">
        <v>18905</v>
      </c>
      <c r="U3906">
        <v>22311</v>
      </c>
      <c r="V3906" t="s">
        <v>77</v>
      </c>
    </row>
    <row r="3907" spans="1:22">
      <c r="A3907" t="str">
        <f t="shared" si="720"/>
        <v>01/10/2025</v>
      </c>
      <c r="B3907" t="str">
        <f t="shared" si="721"/>
        <v>ENTRADA</v>
      </c>
      <c r="C3907" t="str">
        <f t="shared" si="722"/>
        <v>NFSE</v>
      </c>
      <c r="D3907" t="str">
        <f t="shared" si="716"/>
        <v>3397</v>
      </c>
      <c r="E3907" t="str">
        <f t="shared" si="719"/>
        <v>1</v>
      </c>
      <c r="F3907" t="str">
        <f t="shared" si="724"/>
        <v>COM</v>
      </c>
      <c r="G3907" t="str">
        <f t="shared" si="717"/>
        <v>FARMÁCIA INDIANA LJ 1 (10126)</v>
      </c>
      <c r="H3907" t="s">
        <v>1108</v>
      </c>
      <c r="I3907" t="str">
        <f t="shared" si="723"/>
        <v>01/10/2025</v>
      </c>
      <c r="J3907" t="str">
        <f t="shared" si="718"/>
        <v>23/09/2025</v>
      </c>
      <c r="K3907">
        <v>45931</v>
      </c>
      <c r="N3907">
        <v>303</v>
      </c>
      <c r="O3907" t="s">
        <v>69</v>
      </c>
      <c r="Q3907">
        <v>1817.57</v>
      </c>
      <c r="R3907" t="str">
        <f>"FARMÁCIA INDIANA LJ 171 (10074)"</f>
        <v>FARMÁCIA INDIANA LJ 171 (10074)</v>
      </c>
      <c r="S3907" t="s">
        <v>70</v>
      </c>
      <c r="T3907">
        <v>18905</v>
      </c>
      <c r="U3907">
        <v>22311</v>
      </c>
      <c r="V3907" t="s">
        <v>77</v>
      </c>
    </row>
    <row r="3908" spans="1:22">
      <c r="A3908" t="str">
        <f t="shared" si="720"/>
        <v>01/10/2025</v>
      </c>
      <c r="B3908" t="str">
        <f t="shared" si="721"/>
        <v>ENTRADA</v>
      </c>
      <c r="C3908" t="str">
        <f t="shared" si="722"/>
        <v>NFSE</v>
      </c>
      <c r="D3908" t="str">
        <f t="shared" si="716"/>
        <v>3397</v>
      </c>
      <c r="E3908" t="str">
        <f t="shared" si="719"/>
        <v>1</v>
      </c>
      <c r="F3908" t="str">
        <f t="shared" si="724"/>
        <v>COM</v>
      </c>
      <c r="G3908" t="str">
        <f t="shared" si="717"/>
        <v>FARMÁCIA INDIANA LJ 1 (10126)</v>
      </c>
      <c r="H3908" t="s">
        <v>1108</v>
      </c>
      <c r="I3908" t="str">
        <f t="shared" si="723"/>
        <v>01/10/2025</v>
      </c>
      <c r="J3908" t="str">
        <f t="shared" si="718"/>
        <v>23/09/2025</v>
      </c>
      <c r="K3908">
        <v>45931</v>
      </c>
      <c r="N3908">
        <v>303</v>
      </c>
      <c r="O3908" t="s">
        <v>69</v>
      </c>
      <c r="Q3908">
        <v>698.14</v>
      </c>
      <c r="R3908" t="str">
        <f>"FARMÁCIA INDIANA LJ 175 (10076)"</f>
        <v>FARMÁCIA INDIANA LJ 175 (10076)</v>
      </c>
      <c r="S3908" t="s">
        <v>70</v>
      </c>
      <c r="T3908">
        <v>18905</v>
      </c>
      <c r="U3908">
        <v>22311</v>
      </c>
      <c r="V3908" t="s">
        <v>77</v>
      </c>
    </row>
    <row r="3909" spans="1:22">
      <c r="A3909" t="str">
        <f t="shared" si="720"/>
        <v>01/10/2025</v>
      </c>
      <c r="B3909" t="str">
        <f t="shared" si="721"/>
        <v>ENTRADA</v>
      </c>
      <c r="C3909" t="str">
        <f t="shared" si="722"/>
        <v>NFSE</v>
      </c>
      <c r="D3909" t="str">
        <f t="shared" si="716"/>
        <v>3397</v>
      </c>
      <c r="E3909" t="str">
        <f t="shared" si="719"/>
        <v>1</v>
      </c>
      <c r="F3909" t="str">
        <f t="shared" si="724"/>
        <v>COM</v>
      </c>
      <c r="G3909" t="str">
        <f t="shared" si="717"/>
        <v>FARMÁCIA INDIANA LJ 1 (10126)</v>
      </c>
      <c r="H3909" t="s">
        <v>1108</v>
      </c>
      <c r="I3909" t="str">
        <f t="shared" si="723"/>
        <v>01/10/2025</v>
      </c>
      <c r="J3909" t="str">
        <f t="shared" ref="J3909:J3940" si="725">("23/09/2025")</f>
        <v>23/09/2025</v>
      </c>
      <c r="K3909">
        <v>45931</v>
      </c>
      <c r="N3909">
        <v>303</v>
      </c>
      <c r="O3909" t="s">
        <v>69</v>
      </c>
      <c r="Q3909">
        <v>999.06</v>
      </c>
      <c r="R3909" t="str">
        <f>"FARMÁCIA INDIANA LJ 178 (10077)"</f>
        <v>FARMÁCIA INDIANA LJ 178 (10077)</v>
      </c>
      <c r="S3909" t="s">
        <v>70</v>
      </c>
      <c r="T3909">
        <v>18905</v>
      </c>
      <c r="U3909">
        <v>22311</v>
      </c>
      <c r="V3909" t="s">
        <v>77</v>
      </c>
    </row>
    <row r="3910" spans="1:22">
      <c r="A3910" t="str">
        <f t="shared" si="720"/>
        <v>01/10/2025</v>
      </c>
      <c r="B3910" t="str">
        <f t="shared" si="721"/>
        <v>ENTRADA</v>
      </c>
      <c r="C3910" t="str">
        <f t="shared" si="722"/>
        <v>NFSE</v>
      </c>
      <c r="D3910" t="str">
        <f t="shared" si="716"/>
        <v>3397</v>
      </c>
      <c r="E3910" t="str">
        <f t="shared" si="719"/>
        <v>1</v>
      </c>
      <c r="F3910" t="str">
        <f t="shared" si="724"/>
        <v>COM</v>
      </c>
      <c r="G3910" t="str">
        <f t="shared" si="717"/>
        <v>FARMÁCIA INDIANA LJ 1 (10126)</v>
      </c>
      <c r="H3910" t="s">
        <v>1108</v>
      </c>
      <c r="I3910" t="str">
        <f t="shared" si="723"/>
        <v>01/10/2025</v>
      </c>
      <c r="J3910" t="str">
        <f t="shared" si="725"/>
        <v>23/09/2025</v>
      </c>
      <c r="K3910">
        <v>45931</v>
      </c>
      <c r="N3910">
        <v>303</v>
      </c>
      <c r="O3910" t="s">
        <v>69</v>
      </c>
      <c r="Q3910">
        <v>421.29</v>
      </c>
      <c r="R3910" t="str">
        <f>"FARMÁCIA INDIANA LJ 182 (10079)"</f>
        <v>FARMÁCIA INDIANA LJ 182 (10079)</v>
      </c>
      <c r="S3910" t="s">
        <v>70</v>
      </c>
      <c r="T3910">
        <v>18905</v>
      </c>
      <c r="U3910">
        <v>22311</v>
      </c>
      <c r="V3910" t="s">
        <v>77</v>
      </c>
    </row>
    <row r="3911" spans="1:22">
      <c r="A3911" t="str">
        <f t="shared" si="720"/>
        <v>01/10/2025</v>
      </c>
      <c r="B3911" t="str">
        <f t="shared" si="721"/>
        <v>ENTRADA</v>
      </c>
      <c r="C3911" t="str">
        <f t="shared" si="722"/>
        <v>NFSE</v>
      </c>
      <c r="D3911" t="str">
        <f t="shared" si="716"/>
        <v>3397</v>
      </c>
      <c r="E3911" t="str">
        <f t="shared" si="719"/>
        <v>1</v>
      </c>
      <c r="F3911" t="str">
        <f t="shared" si="724"/>
        <v>COM</v>
      </c>
      <c r="G3911" t="str">
        <f t="shared" si="717"/>
        <v>FARMÁCIA INDIANA LJ 1 (10126)</v>
      </c>
      <c r="H3911" t="s">
        <v>1108</v>
      </c>
      <c r="I3911" t="str">
        <f t="shared" si="723"/>
        <v>01/10/2025</v>
      </c>
      <c r="J3911" t="str">
        <f t="shared" si="725"/>
        <v>23/09/2025</v>
      </c>
      <c r="K3911">
        <v>45931</v>
      </c>
      <c r="N3911">
        <v>303</v>
      </c>
      <c r="O3911" t="s">
        <v>69</v>
      </c>
      <c r="Q3911">
        <v>361.11</v>
      </c>
      <c r="R3911" t="str">
        <f>"FARMÁCIA INDIANA LJ 184 (10080)"</f>
        <v>FARMÁCIA INDIANA LJ 184 (10080)</v>
      </c>
      <c r="S3911" t="s">
        <v>70</v>
      </c>
      <c r="T3911">
        <v>18905</v>
      </c>
      <c r="U3911">
        <v>22311</v>
      </c>
      <c r="V3911" t="s">
        <v>77</v>
      </c>
    </row>
    <row r="3912" spans="1:22">
      <c r="A3912" t="str">
        <f t="shared" si="720"/>
        <v>01/10/2025</v>
      </c>
      <c r="B3912" t="str">
        <f t="shared" si="721"/>
        <v>ENTRADA</v>
      </c>
      <c r="C3912" t="str">
        <f t="shared" si="722"/>
        <v>NFSE</v>
      </c>
      <c r="D3912" t="str">
        <f t="shared" si="716"/>
        <v>3397</v>
      </c>
      <c r="E3912" t="str">
        <f t="shared" si="719"/>
        <v>1</v>
      </c>
      <c r="F3912" t="str">
        <f t="shared" si="724"/>
        <v>COM</v>
      </c>
      <c r="G3912" t="str">
        <f t="shared" si="717"/>
        <v>FARMÁCIA INDIANA LJ 1 (10126)</v>
      </c>
      <c r="H3912" t="s">
        <v>1108</v>
      </c>
      <c r="I3912" t="str">
        <f t="shared" si="723"/>
        <v>01/10/2025</v>
      </c>
      <c r="J3912" t="str">
        <f t="shared" si="725"/>
        <v>23/09/2025</v>
      </c>
      <c r="K3912">
        <v>45931</v>
      </c>
      <c r="N3912">
        <v>303</v>
      </c>
      <c r="O3912" t="s">
        <v>69</v>
      </c>
      <c r="Q3912">
        <v>421.29</v>
      </c>
      <c r="R3912" t="str">
        <f>"FARMÁCIA INDIANA LJ 186 (10081)"</f>
        <v>FARMÁCIA INDIANA LJ 186 (10081)</v>
      </c>
      <c r="S3912" t="s">
        <v>70</v>
      </c>
      <c r="T3912">
        <v>18905</v>
      </c>
      <c r="U3912">
        <v>22311</v>
      </c>
      <c r="V3912" t="s">
        <v>77</v>
      </c>
    </row>
    <row r="3913" spans="1:22">
      <c r="A3913" t="str">
        <f t="shared" si="720"/>
        <v>01/10/2025</v>
      </c>
      <c r="B3913" t="str">
        <f t="shared" si="721"/>
        <v>ENTRADA</v>
      </c>
      <c r="C3913" t="str">
        <f t="shared" si="722"/>
        <v>NFSE</v>
      </c>
      <c r="D3913" t="str">
        <f t="shared" si="716"/>
        <v>3397</v>
      </c>
      <c r="E3913" t="str">
        <f t="shared" si="719"/>
        <v>1</v>
      </c>
      <c r="F3913" t="str">
        <f t="shared" si="724"/>
        <v>COM</v>
      </c>
      <c r="G3913" t="str">
        <f t="shared" si="717"/>
        <v>FARMÁCIA INDIANA LJ 1 (10126)</v>
      </c>
      <c r="H3913" t="s">
        <v>1108</v>
      </c>
      <c r="I3913" t="str">
        <f t="shared" si="723"/>
        <v>01/10/2025</v>
      </c>
      <c r="J3913" t="str">
        <f t="shared" si="725"/>
        <v>23/09/2025</v>
      </c>
      <c r="K3913">
        <v>45931</v>
      </c>
      <c r="N3913">
        <v>303</v>
      </c>
      <c r="O3913" t="s">
        <v>69</v>
      </c>
      <c r="Q3913">
        <v>1131.46</v>
      </c>
      <c r="R3913" t="str">
        <f>"FARMÁCIA INDIANA LJ 192 (10082)"</f>
        <v>FARMÁCIA INDIANA LJ 192 (10082)</v>
      </c>
      <c r="S3913" t="s">
        <v>70</v>
      </c>
      <c r="T3913">
        <v>18905</v>
      </c>
      <c r="U3913">
        <v>22311</v>
      </c>
      <c r="V3913" t="s">
        <v>77</v>
      </c>
    </row>
    <row r="3914" spans="1:22">
      <c r="A3914" t="str">
        <f t="shared" si="720"/>
        <v>01/10/2025</v>
      </c>
      <c r="B3914" t="str">
        <f t="shared" si="721"/>
        <v>ENTRADA</v>
      </c>
      <c r="C3914" t="str">
        <f t="shared" si="722"/>
        <v>NFSE</v>
      </c>
      <c r="D3914" t="str">
        <f t="shared" si="716"/>
        <v>3397</v>
      </c>
      <c r="E3914" t="str">
        <f t="shared" si="719"/>
        <v>1</v>
      </c>
      <c r="F3914" t="str">
        <f t="shared" si="724"/>
        <v>COM</v>
      </c>
      <c r="G3914" t="str">
        <f t="shared" si="717"/>
        <v>FARMÁCIA INDIANA LJ 1 (10126)</v>
      </c>
      <c r="H3914" t="s">
        <v>1108</v>
      </c>
      <c r="I3914" t="str">
        <f t="shared" si="723"/>
        <v>01/10/2025</v>
      </c>
      <c r="J3914" t="str">
        <f t="shared" si="725"/>
        <v>23/09/2025</v>
      </c>
      <c r="K3914">
        <v>45931</v>
      </c>
      <c r="N3914">
        <v>303</v>
      </c>
      <c r="O3914" t="s">
        <v>69</v>
      </c>
      <c r="Q3914">
        <v>361.11</v>
      </c>
      <c r="R3914" t="str">
        <f>"FARMÁCIA INDIANA LJ 195 (10083)"</f>
        <v>FARMÁCIA INDIANA LJ 195 (10083)</v>
      </c>
      <c r="S3914" t="s">
        <v>70</v>
      </c>
      <c r="T3914">
        <v>18905</v>
      </c>
      <c r="U3914">
        <v>22311</v>
      </c>
      <c r="V3914" t="s">
        <v>77</v>
      </c>
    </row>
    <row r="3915" spans="1:22">
      <c r="A3915" t="str">
        <f t="shared" si="720"/>
        <v>01/10/2025</v>
      </c>
      <c r="B3915" t="str">
        <f t="shared" si="721"/>
        <v>ENTRADA</v>
      </c>
      <c r="C3915" t="str">
        <f t="shared" si="722"/>
        <v>NFSE</v>
      </c>
      <c r="D3915" t="str">
        <f t="shared" si="716"/>
        <v>3397</v>
      </c>
      <c r="E3915" t="str">
        <f t="shared" si="719"/>
        <v>1</v>
      </c>
      <c r="F3915" t="str">
        <f t="shared" si="724"/>
        <v>COM</v>
      </c>
      <c r="G3915" t="str">
        <f t="shared" si="717"/>
        <v>FARMÁCIA INDIANA LJ 1 (10126)</v>
      </c>
      <c r="H3915" t="s">
        <v>1108</v>
      </c>
      <c r="I3915" t="str">
        <f t="shared" si="723"/>
        <v>01/10/2025</v>
      </c>
      <c r="J3915" t="str">
        <f t="shared" si="725"/>
        <v>23/09/2025</v>
      </c>
      <c r="K3915">
        <v>45931</v>
      </c>
      <c r="N3915">
        <v>303</v>
      </c>
      <c r="O3915" t="s">
        <v>69</v>
      </c>
      <c r="Q3915">
        <v>842.58</v>
      </c>
      <c r="R3915" t="str">
        <f>"FARMÁCIA INDIANA LJ 202 (10085)"</f>
        <v>FARMÁCIA INDIANA LJ 202 (10085)</v>
      </c>
      <c r="S3915" t="s">
        <v>70</v>
      </c>
      <c r="T3915">
        <v>18905</v>
      </c>
      <c r="U3915">
        <v>22311</v>
      </c>
      <c r="V3915" t="s">
        <v>77</v>
      </c>
    </row>
    <row r="3916" spans="1:22">
      <c r="A3916" t="str">
        <f t="shared" si="720"/>
        <v>01/10/2025</v>
      </c>
      <c r="B3916" t="str">
        <f t="shared" si="721"/>
        <v>ENTRADA</v>
      </c>
      <c r="C3916" t="str">
        <f t="shared" si="722"/>
        <v>NFSE</v>
      </c>
      <c r="D3916" t="str">
        <f t="shared" si="716"/>
        <v>3397</v>
      </c>
      <c r="E3916" t="str">
        <f t="shared" ref="E3916:E3950" si="726">"1"</f>
        <v>1</v>
      </c>
      <c r="F3916" t="str">
        <f t="shared" si="724"/>
        <v>COM</v>
      </c>
      <c r="G3916" t="str">
        <f t="shared" si="717"/>
        <v>FARMÁCIA INDIANA LJ 1 (10126)</v>
      </c>
      <c r="H3916" t="s">
        <v>1108</v>
      </c>
      <c r="I3916" t="str">
        <f t="shared" si="723"/>
        <v>01/10/2025</v>
      </c>
      <c r="J3916" t="str">
        <f t="shared" si="725"/>
        <v>23/09/2025</v>
      </c>
      <c r="K3916">
        <v>45931</v>
      </c>
      <c r="N3916">
        <v>303</v>
      </c>
      <c r="O3916" t="s">
        <v>69</v>
      </c>
      <c r="Q3916">
        <v>722.21</v>
      </c>
      <c r="R3916" t="str">
        <f>"FARMÁCIA INDIANA LJ 204 (10087)"</f>
        <v>FARMÁCIA INDIANA LJ 204 (10087)</v>
      </c>
      <c r="S3916" t="s">
        <v>70</v>
      </c>
      <c r="T3916">
        <v>18905</v>
      </c>
      <c r="U3916">
        <v>22311</v>
      </c>
      <c r="V3916" t="s">
        <v>77</v>
      </c>
    </row>
    <row r="3917" spans="1:22">
      <c r="A3917" t="str">
        <f t="shared" si="720"/>
        <v>01/10/2025</v>
      </c>
      <c r="B3917" t="str">
        <f t="shared" si="721"/>
        <v>ENTRADA</v>
      </c>
      <c r="C3917" t="str">
        <f t="shared" si="722"/>
        <v>NFSE</v>
      </c>
      <c r="D3917" t="str">
        <f t="shared" si="716"/>
        <v>3397</v>
      </c>
      <c r="E3917" t="str">
        <f t="shared" si="726"/>
        <v>1</v>
      </c>
      <c r="F3917" t="str">
        <f t="shared" si="724"/>
        <v>COM</v>
      </c>
      <c r="G3917" t="str">
        <f t="shared" si="717"/>
        <v>FARMÁCIA INDIANA LJ 1 (10126)</v>
      </c>
      <c r="H3917" t="s">
        <v>1108</v>
      </c>
      <c r="I3917" t="str">
        <f t="shared" si="723"/>
        <v>01/10/2025</v>
      </c>
      <c r="J3917" t="str">
        <f t="shared" si="725"/>
        <v>23/09/2025</v>
      </c>
      <c r="K3917">
        <v>45931</v>
      </c>
      <c r="N3917">
        <v>303</v>
      </c>
      <c r="O3917" t="s">
        <v>69</v>
      </c>
      <c r="Q3917">
        <v>962.95</v>
      </c>
      <c r="R3917" t="str">
        <f>"FARMÁCIA INDIANA LJ 207 (10088)"</f>
        <v>FARMÁCIA INDIANA LJ 207 (10088)</v>
      </c>
      <c r="S3917" t="s">
        <v>70</v>
      </c>
      <c r="T3917">
        <v>18905</v>
      </c>
      <c r="U3917">
        <v>22311</v>
      </c>
      <c r="V3917" t="s">
        <v>77</v>
      </c>
    </row>
    <row r="3918" spans="1:22">
      <c r="A3918" t="str">
        <f t="shared" si="720"/>
        <v>01/10/2025</v>
      </c>
      <c r="B3918" t="str">
        <f t="shared" si="721"/>
        <v>ENTRADA</v>
      </c>
      <c r="C3918" t="str">
        <f t="shared" si="722"/>
        <v>NFSE</v>
      </c>
      <c r="D3918" t="str">
        <f t="shared" si="716"/>
        <v>3397</v>
      </c>
      <c r="E3918" t="str">
        <f t="shared" si="726"/>
        <v>1</v>
      </c>
      <c r="F3918" t="str">
        <f t="shared" si="724"/>
        <v>COM</v>
      </c>
      <c r="G3918" t="str">
        <f t="shared" si="717"/>
        <v>FARMÁCIA INDIANA LJ 1 (10126)</v>
      </c>
      <c r="H3918" t="s">
        <v>1108</v>
      </c>
      <c r="I3918" t="str">
        <f t="shared" si="723"/>
        <v>01/10/2025</v>
      </c>
      <c r="J3918" t="str">
        <f t="shared" si="725"/>
        <v>23/09/2025</v>
      </c>
      <c r="K3918">
        <v>45931</v>
      </c>
      <c r="N3918">
        <v>303</v>
      </c>
      <c r="O3918" t="s">
        <v>69</v>
      </c>
      <c r="Q3918">
        <v>1131.46</v>
      </c>
      <c r="R3918" t="str">
        <f>"FARMÁCIA INDIANA LJ 209 (10089)"</f>
        <v>FARMÁCIA INDIANA LJ 209 (10089)</v>
      </c>
      <c r="S3918" t="s">
        <v>70</v>
      </c>
      <c r="T3918">
        <v>18905</v>
      </c>
      <c r="U3918">
        <v>22311</v>
      </c>
      <c r="V3918" t="s">
        <v>77</v>
      </c>
    </row>
    <row r="3919" spans="1:22">
      <c r="A3919" t="str">
        <f t="shared" si="720"/>
        <v>01/10/2025</v>
      </c>
      <c r="B3919" t="str">
        <f t="shared" si="721"/>
        <v>ENTRADA</v>
      </c>
      <c r="C3919" t="str">
        <f t="shared" si="722"/>
        <v>NFSE</v>
      </c>
      <c r="D3919" t="str">
        <f t="shared" si="716"/>
        <v>3397</v>
      </c>
      <c r="E3919" t="str">
        <f t="shared" si="726"/>
        <v>1</v>
      </c>
      <c r="F3919" t="str">
        <f t="shared" si="724"/>
        <v>COM</v>
      </c>
      <c r="G3919" t="str">
        <f t="shared" si="717"/>
        <v>FARMÁCIA INDIANA LJ 1 (10126)</v>
      </c>
      <c r="H3919" t="s">
        <v>1108</v>
      </c>
      <c r="I3919" t="str">
        <f t="shared" si="723"/>
        <v>01/10/2025</v>
      </c>
      <c r="J3919" t="str">
        <f t="shared" si="725"/>
        <v>23/09/2025</v>
      </c>
      <c r="K3919">
        <v>45931</v>
      </c>
      <c r="N3919">
        <v>303</v>
      </c>
      <c r="O3919" t="s">
        <v>69</v>
      </c>
      <c r="Q3919">
        <v>1336.09</v>
      </c>
      <c r="R3919" t="str">
        <f>"FARMÁCIA INDIANA LJ 219 (10091)"</f>
        <v>FARMÁCIA INDIANA LJ 219 (10091)</v>
      </c>
      <c r="S3919" t="s">
        <v>70</v>
      </c>
      <c r="T3919">
        <v>18905</v>
      </c>
      <c r="U3919">
        <v>22311</v>
      </c>
      <c r="V3919" t="s">
        <v>77</v>
      </c>
    </row>
    <row r="3920" spans="1:22">
      <c r="A3920" t="str">
        <f t="shared" si="720"/>
        <v>01/10/2025</v>
      </c>
      <c r="B3920" t="str">
        <f t="shared" si="721"/>
        <v>ENTRADA</v>
      </c>
      <c r="C3920" t="str">
        <f t="shared" si="722"/>
        <v>NFSE</v>
      </c>
      <c r="D3920" t="str">
        <f t="shared" si="716"/>
        <v>3397</v>
      </c>
      <c r="E3920" t="str">
        <f t="shared" si="726"/>
        <v>1</v>
      </c>
      <c r="F3920" t="str">
        <f t="shared" si="724"/>
        <v>COM</v>
      </c>
      <c r="G3920" t="str">
        <f t="shared" si="717"/>
        <v>FARMÁCIA INDIANA LJ 1 (10126)</v>
      </c>
      <c r="H3920" t="s">
        <v>1108</v>
      </c>
      <c r="I3920" t="str">
        <f t="shared" si="723"/>
        <v>01/10/2025</v>
      </c>
      <c r="J3920" t="str">
        <f t="shared" si="725"/>
        <v>23/09/2025</v>
      </c>
      <c r="K3920">
        <v>45931</v>
      </c>
      <c r="N3920">
        <v>303</v>
      </c>
      <c r="O3920" t="s">
        <v>69</v>
      </c>
      <c r="Q3920">
        <v>2274.9699999999998</v>
      </c>
      <c r="R3920" t="str">
        <f>"FARMÁCIA INDIANA LJ 220 (10092)"</f>
        <v>FARMÁCIA INDIANA LJ 220 (10092)</v>
      </c>
      <c r="S3920" t="s">
        <v>70</v>
      </c>
      <c r="T3920">
        <v>18905</v>
      </c>
      <c r="U3920">
        <v>22311</v>
      </c>
      <c r="V3920" t="s">
        <v>77</v>
      </c>
    </row>
    <row r="3921" spans="1:22">
      <c r="A3921" t="str">
        <f t="shared" si="720"/>
        <v>01/10/2025</v>
      </c>
      <c r="B3921" t="str">
        <f t="shared" si="721"/>
        <v>ENTRADA</v>
      </c>
      <c r="C3921" t="str">
        <f t="shared" si="722"/>
        <v>NFSE</v>
      </c>
      <c r="D3921" t="str">
        <f t="shared" si="716"/>
        <v>3397</v>
      </c>
      <c r="E3921" t="str">
        <f t="shared" si="726"/>
        <v>1</v>
      </c>
      <c r="F3921" t="str">
        <f t="shared" si="724"/>
        <v>COM</v>
      </c>
      <c r="G3921" t="str">
        <f t="shared" si="717"/>
        <v>FARMÁCIA INDIANA LJ 1 (10126)</v>
      </c>
      <c r="H3921" t="s">
        <v>1108</v>
      </c>
      <c r="I3921" t="str">
        <f t="shared" si="723"/>
        <v>01/10/2025</v>
      </c>
      <c r="J3921" t="str">
        <f t="shared" si="725"/>
        <v>23/09/2025</v>
      </c>
      <c r="K3921">
        <v>45931</v>
      </c>
      <c r="N3921">
        <v>303</v>
      </c>
      <c r="O3921" t="s">
        <v>69</v>
      </c>
      <c r="Q3921">
        <v>974.99</v>
      </c>
      <c r="R3921" t="str">
        <f>"FARMÁCIA INDIANA LJ 185 (10141)"</f>
        <v>FARMÁCIA INDIANA LJ 185 (10141)</v>
      </c>
      <c r="S3921" t="s">
        <v>70</v>
      </c>
      <c r="T3921">
        <v>18905</v>
      </c>
      <c r="U3921">
        <v>22311</v>
      </c>
      <c r="V3921" t="s">
        <v>77</v>
      </c>
    </row>
    <row r="3922" spans="1:22">
      <c r="A3922" t="str">
        <f t="shared" si="720"/>
        <v>01/10/2025</v>
      </c>
      <c r="B3922" t="str">
        <f t="shared" si="721"/>
        <v>ENTRADA</v>
      </c>
      <c r="C3922" t="str">
        <f t="shared" si="722"/>
        <v>NFSE</v>
      </c>
      <c r="D3922" t="str">
        <f t="shared" si="716"/>
        <v>3397</v>
      </c>
      <c r="E3922" t="str">
        <f t="shared" si="726"/>
        <v>1</v>
      </c>
      <c r="F3922" t="str">
        <f t="shared" si="724"/>
        <v>COM</v>
      </c>
      <c r="G3922" t="str">
        <f t="shared" si="717"/>
        <v>FARMÁCIA INDIANA LJ 1 (10126)</v>
      </c>
      <c r="H3922" t="s">
        <v>1108</v>
      </c>
      <c r="I3922" t="str">
        <f t="shared" si="723"/>
        <v>01/10/2025</v>
      </c>
      <c r="J3922" t="str">
        <f t="shared" si="725"/>
        <v>23/09/2025</v>
      </c>
      <c r="K3922">
        <v>45931</v>
      </c>
      <c r="N3922">
        <v>303</v>
      </c>
      <c r="O3922" t="s">
        <v>69</v>
      </c>
      <c r="Q3922">
        <v>962.95</v>
      </c>
      <c r="R3922" t="str">
        <f>"FARMÁCIA INDIANA LJ 205 (10150)"</f>
        <v>FARMÁCIA INDIANA LJ 205 (10150)</v>
      </c>
      <c r="S3922" t="s">
        <v>70</v>
      </c>
      <c r="T3922">
        <v>18905</v>
      </c>
      <c r="U3922">
        <v>22311</v>
      </c>
      <c r="V3922" t="s">
        <v>77</v>
      </c>
    </row>
    <row r="3923" spans="1:22">
      <c r="A3923" t="str">
        <f t="shared" si="720"/>
        <v>01/10/2025</v>
      </c>
      <c r="B3923" t="str">
        <f t="shared" si="721"/>
        <v>ENTRADA</v>
      </c>
      <c r="C3923" t="str">
        <f t="shared" si="722"/>
        <v>NFSE</v>
      </c>
      <c r="D3923" t="str">
        <f t="shared" si="716"/>
        <v>3397</v>
      </c>
      <c r="E3923" t="str">
        <f t="shared" si="726"/>
        <v>1</v>
      </c>
      <c r="F3923" t="str">
        <f t="shared" si="724"/>
        <v>COM</v>
      </c>
      <c r="G3923" t="str">
        <f t="shared" si="717"/>
        <v>FARMÁCIA INDIANA LJ 1 (10126)</v>
      </c>
      <c r="H3923" t="s">
        <v>1108</v>
      </c>
      <c r="I3923" t="str">
        <f t="shared" si="723"/>
        <v>01/10/2025</v>
      </c>
      <c r="J3923" t="str">
        <f t="shared" si="725"/>
        <v>23/09/2025</v>
      </c>
      <c r="K3923">
        <v>45931</v>
      </c>
      <c r="N3923">
        <v>303</v>
      </c>
      <c r="O3923" t="s">
        <v>69</v>
      </c>
      <c r="Q3923">
        <v>5585.1</v>
      </c>
      <c r="R3923" t="str">
        <f>"FARMÁCIA INDIANA LJ 172 (10161)"</f>
        <v>FARMÁCIA INDIANA LJ 172 (10161)</v>
      </c>
      <c r="S3923" t="s">
        <v>70</v>
      </c>
      <c r="T3923">
        <v>18905</v>
      </c>
      <c r="U3923">
        <v>22311</v>
      </c>
      <c r="V3923" t="s">
        <v>77</v>
      </c>
    </row>
    <row r="3924" spans="1:22">
      <c r="A3924" t="str">
        <f t="shared" si="720"/>
        <v>01/10/2025</v>
      </c>
      <c r="B3924" t="str">
        <f t="shared" si="721"/>
        <v>ENTRADA</v>
      </c>
      <c r="C3924" t="str">
        <f t="shared" si="722"/>
        <v>NFSE</v>
      </c>
      <c r="D3924" t="str">
        <f t="shared" si="716"/>
        <v>3397</v>
      </c>
      <c r="E3924" t="str">
        <f t="shared" si="726"/>
        <v>1</v>
      </c>
      <c r="F3924" t="str">
        <f t="shared" si="724"/>
        <v>COM</v>
      </c>
      <c r="G3924" t="str">
        <f t="shared" si="717"/>
        <v>FARMÁCIA INDIANA LJ 1 (10126)</v>
      </c>
      <c r="H3924" t="s">
        <v>1108</v>
      </c>
      <c r="I3924" t="str">
        <f t="shared" si="723"/>
        <v>01/10/2025</v>
      </c>
      <c r="J3924" t="str">
        <f t="shared" si="725"/>
        <v>23/09/2025</v>
      </c>
      <c r="K3924">
        <v>45931</v>
      </c>
      <c r="N3924">
        <v>303</v>
      </c>
      <c r="O3924" t="s">
        <v>69</v>
      </c>
      <c r="Q3924">
        <v>698.14</v>
      </c>
      <c r="R3924" t="str">
        <f>"FARMÁCIA INDIANA LJ 266 (10186)"</f>
        <v>FARMÁCIA INDIANA LJ 266 (10186)</v>
      </c>
      <c r="S3924" t="s">
        <v>70</v>
      </c>
      <c r="T3924">
        <v>18905</v>
      </c>
      <c r="U3924">
        <v>22311</v>
      </c>
      <c r="V3924" t="s">
        <v>77</v>
      </c>
    </row>
    <row r="3925" spans="1:22">
      <c r="A3925" t="str">
        <f t="shared" si="720"/>
        <v>01/10/2025</v>
      </c>
      <c r="B3925" t="str">
        <f t="shared" si="721"/>
        <v>ENTRADA</v>
      </c>
      <c r="C3925" t="str">
        <f t="shared" si="722"/>
        <v>NFSE</v>
      </c>
      <c r="D3925" t="str">
        <f t="shared" ref="D3925:D3935" si="727">"3399"</f>
        <v>3399</v>
      </c>
      <c r="E3925" t="str">
        <f t="shared" si="726"/>
        <v>1</v>
      </c>
      <c r="F3925" t="str">
        <f t="shared" si="724"/>
        <v>COM</v>
      </c>
      <c r="G3925" t="str">
        <f t="shared" ref="G3925:G3935" si="728">"FARMÁCIA INDIANA LJ 85 (10128)"</f>
        <v>FARMÁCIA INDIANA LJ 85 (10128)</v>
      </c>
      <c r="H3925" t="str">
        <f>"Serv.Prest. 15/09/2025 a 21/09/2025 - RPS: 1275 - NFSe: 3399"</f>
        <v>Serv.Prest. 15/09/2025 a 21/09/2025 - RPS: 1275 - NFSe: 3399</v>
      </c>
      <c r="I3925" t="str">
        <f t="shared" si="723"/>
        <v>01/10/2025</v>
      </c>
      <c r="J3925" t="str">
        <f t="shared" si="725"/>
        <v>23/09/2025</v>
      </c>
      <c r="K3925" t="str">
        <f>("01/10/2025")</f>
        <v>01/10/2025</v>
      </c>
      <c r="L3925">
        <v>10373.5</v>
      </c>
      <c r="M3925">
        <v>10373.5</v>
      </c>
      <c r="N3925">
        <v>303</v>
      </c>
      <c r="O3925" t="str">
        <f>"RECEITAS COM ENTREGAS"</f>
        <v>RECEITAS COM ENTREGAS</v>
      </c>
      <c r="P3925">
        <v>10373.5</v>
      </c>
      <c r="S3925" t="str">
        <f>"RECEITAS COM ENTREGAS (303)"</f>
        <v>RECEITAS COM ENTREGAS (303)</v>
      </c>
      <c r="T3925">
        <v>18906</v>
      </c>
      <c r="U3925">
        <v>22452</v>
      </c>
      <c r="V3925" t="s">
        <v>77</v>
      </c>
    </row>
    <row r="3926" spans="1:22">
      <c r="A3926" t="str">
        <f t="shared" si="720"/>
        <v>01/10/2025</v>
      </c>
      <c r="B3926" t="str">
        <f t="shared" si="721"/>
        <v>ENTRADA</v>
      </c>
      <c r="C3926" t="str">
        <f t="shared" si="722"/>
        <v>NFSE</v>
      </c>
      <c r="D3926" t="str">
        <f t="shared" si="727"/>
        <v>3399</v>
      </c>
      <c r="E3926" t="str">
        <f t="shared" si="726"/>
        <v>1</v>
      </c>
      <c r="F3926" t="str">
        <f t="shared" si="724"/>
        <v>COM</v>
      </c>
      <c r="G3926" t="str">
        <f t="shared" si="728"/>
        <v>FARMÁCIA INDIANA LJ 85 (10128)</v>
      </c>
      <c r="H3926" t="s">
        <v>1109</v>
      </c>
      <c r="I3926" t="str">
        <f t="shared" si="723"/>
        <v>01/10/2025</v>
      </c>
      <c r="J3926" t="str">
        <f t="shared" si="725"/>
        <v>23/09/2025</v>
      </c>
      <c r="K3926">
        <v>45931</v>
      </c>
      <c r="N3926">
        <v>303</v>
      </c>
      <c r="O3926" t="s">
        <v>69</v>
      </c>
      <c r="Q3926">
        <v>918.06</v>
      </c>
      <c r="R3926" t="str">
        <f>"FARMÁCIA INDIANA LJ 119 (10053)"</f>
        <v>FARMÁCIA INDIANA LJ 119 (10053)</v>
      </c>
      <c r="S3926" t="s">
        <v>70</v>
      </c>
      <c r="T3926">
        <v>18906</v>
      </c>
      <c r="U3926">
        <v>22452</v>
      </c>
      <c r="V3926" t="s">
        <v>77</v>
      </c>
    </row>
    <row r="3927" spans="1:22">
      <c r="A3927" t="str">
        <f t="shared" ref="A3927:A3963" si="729">("01/10/2025")</f>
        <v>01/10/2025</v>
      </c>
      <c r="B3927" t="str">
        <f t="shared" si="721"/>
        <v>ENTRADA</v>
      </c>
      <c r="C3927" t="str">
        <f t="shared" si="722"/>
        <v>NFSE</v>
      </c>
      <c r="D3927" t="str">
        <f t="shared" si="727"/>
        <v>3399</v>
      </c>
      <c r="E3927" t="str">
        <f t="shared" si="726"/>
        <v>1</v>
      </c>
      <c r="F3927" t="str">
        <f t="shared" si="724"/>
        <v>COM</v>
      </c>
      <c r="G3927" t="str">
        <f t="shared" si="728"/>
        <v>FARMÁCIA INDIANA LJ 85 (10128)</v>
      </c>
      <c r="H3927" t="s">
        <v>1109</v>
      </c>
      <c r="I3927" t="str">
        <f t="shared" si="723"/>
        <v>01/10/2025</v>
      </c>
      <c r="J3927" t="str">
        <f t="shared" si="725"/>
        <v>23/09/2025</v>
      </c>
      <c r="K3927">
        <v>45931</v>
      </c>
      <c r="N3927">
        <v>303</v>
      </c>
      <c r="O3927" t="s">
        <v>69</v>
      </c>
      <c r="Q3927">
        <v>2987.57</v>
      </c>
      <c r="R3927" t="str">
        <f>"FARMÁCIA INDIANA LJ 163 (10072)"</f>
        <v>FARMÁCIA INDIANA LJ 163 (10072)</v>
      </c>
      <c r="S3927" t="s">
        <v>70</v>
      </c>
      <c r="T3927">
        <v>18906</v>
      </c>
      <c r="U3927">
        <v>22452</v>
      </c>
      <c r="V3927" t="s">
        <v>77</v>
      </c>
    </row>
    <row r="3928" spans="1:22">
      <c r="A3928" t="str">
        <f t="shared" si="729"/>
        <v>01/10/2025</v>
      </c>
      <c r="B3928" t="str">
        <f t="shared" si="721"/>
        <v>ENTRADA</v>
      </c>
      <c r="C3928" t="str">
        <f t="shared" si="722"/>
        <v>NFSE</v>
      </c>
      <c r="D3928" t="str">
        <f t="shared" si="727"/>
        <v>3399</v>
      </c>
      <c r="E3928" t="str">
        <f t="shared" si="726"/>
        <v>1</v>
      </c>
      <c r="F3928" t="str">
        <f t="shared" si="724"/>
        <v>COM</v>
      </c>
      <c r="G3928" t="str">
        <f t="shared" si="728"/>
        <v>FARMÁCIA INDIANA LJ 85 (10128)</v>
      </c>
      <c r="H3928" t="s">
        <v>1109</v>
      </c>
      <c r="I3928" t="str">
        <f t="shared" si="723"/>
        <v>01/10/2025</v>
      </c>
      <c r="J3928" t="str">
        <f t="shared" si="725"/>
        <v>23/09/2025</v>
      </c>
      <c r="K3928">
        <v>45931</v>
      </c>
      <c r="N3928">
        <v>303</v>
      </c>
      <c r="O3928" t="s">
        <v>69</v>
      </c>
      <c r="Q3928">
        <v>1209.55</v>
      </c>
      <c r="R3928" t="str">
        <f>"FARMÁCIA INDIANA LJ 181 (10078)"</f>
        <v>FARMÁCIA INDIANA LJ 181 (10078)</v>
      </c>
      <c r="S3928" t="s">
        <v>70</v>
      </c>
      <c r="T3928">
        <v>18906</v>
      </c>
      <c r="U3928">
        <v>22452</v>
      </c>
      <c r="V3928" t="s">
        <v>77</v>
      </c>
    </row>
    <row r="3929" spans="1:22">
      <c r="A3929" t="str">
        <f t="shared" si="729"/>
        <v>01/10/2025</v>
      </c>
      <c r="B3929" t="str">
        <f t="shared" ref="B3929:B3950" si="730">"ENTRADA"</f>
        <v>ENTRADA</v>
      </c>
      <c r="C3929" t="str">
        <f t="shared" ref="C3929:C3950" si="731">"NFSE"</f>
        <v>NFSE</v>
      </c>
      <c r="D3929" t="str">
        <f t="shared" si="727"/>
        <v>3399</v>
      </c>
      <c r="E3929" t="str">
        <f t="shared" si="726"/>
        <v>1</v>
      </c>
      <c r="F3929" t="str">
        <f t="shared" si="724"/>
        <v>COM</v>
      </c>
      <c r="G3929" t="str">
        <f t="shared" si="728"/>
        <v>FARMÁCIA INDIANA LJ 85 (10128)</v>
      </c>
      <c r="H3929" t="s">
        <v>1109</v>
      </c>
      <c r="I3929" t="str">
        <f t="shared" ref="I3929:I3955" si="732">("01/10/2025")</f>
        <v>01/10/2025</v>
      </c>
      <c r="J3929" t="str">
        <f t="shared" si="725"/>
        <v>23/09/2025</v>
      </c>
      <c r="K3929">
        <v>45931</v>
      </c>
      <c r="N3929">
        <v>303</v>
      </c>
      <c r="O3929" t="s">
        <v>69</v>
      </c>
      <c r="Q3929">
        <v>915.98</v>
      </c>
      <c r="R3929" t="str">
        <f>"FARMÁCIA INDIANA LJ 221 (10093)"</f>
        <v>FARMÁCIA INDIANA LJ 221 (10093)</v>
      </c>
      <c r="S3929" t="s">
        <v>70</v>
      </c>
      <c r="T3929">
        <v>18906</v>
      </c>
      <c r="U3929">
        <v>22452</v>
      </c>
      <c r="V3929" t="s">
        <v>77</v>
      </c>
    </row>
    <row r="3930" spans="1:22">
      <c r="A3930" t="str">
        <f t="shared" si="729"/>
        <v>01/10/2025</v>
      </c>
      <c r="B3930" t="str">
        <f t="shared" si="730"/>
        <v>ENTRADA</v>
      </c>
      <c r="C3930" t="str">
        <f t="shared" si="731"/>
        <v>NFSE</v>
      </c>
      <c r="D3930" t="str">
        <f t="shared" si="727"/>
        <v>3399</v>
      </c>
      <c r="E3930" t="str">
        <f t="shared" si="726"/>
        <v>1</v>
      </c>
      <c r="F3930" t="str">
        <f t="shared" si="724"/>
        <v>COM</v>
      </c>
      <c r="G3930" t="str">
        <f t="shared" si="728"/>
        <v>FARMÁCIA INDIANA LJ 85 (10128)</v>
      </c>
      <c r="H3930" t="s">
        <v>1109</v>
      </c>
      <c r="I3930" t="str">
        <f t="shared" si="732"/>
        <v>01/10/2025</v>
      </c>
      <c r="J3930" t="str">
        <f t="shared" si="725"/>
        <v>23/09/2025</v>
      </c>
      <c r="K3930">
        <v>45931</v>
      </c>
      <c r="N3930">
        <v>303</v>
      </c>
      <c r="O3930" t="s">
        <v>69</v>
      </c>
      <c r="Q3930">
        <v>1020.75</v>
      </c>
      <c r="R3930" t="str">
        <f>"FARMÁCIA INDIANA LJ 243 (10142)"</f>
        <v>FARMÁCIA INDIANA LJ 243 (10142)</v>
      </c>
      <c r="S3930" t="s">
        <v>70</v>
      </c>
      <c r="T3930">
        <v>18906</v>
      </c>
      <c r="U3930">
        <v>22452</v>
      </c>
      <c r="V3930" t="s">
        <v>77</v>
      </c>
    </row>
    <row r="3931" spans="1:22">
      <c r="A3931" t="str">
        <f t="shared" si="729"/>
        <v>01/10/2025</v>
      </c>
      <c r="B3931" t="str">
        <f t="shared" si="730"/>
        <v>ENTRADA</v>
      </c>
      <c r="C3931" t="str">
        <f t="shared" si="731"/>
        <v>NFSE</v>
      </c>
      <c r="D3931" t="str">
        <f t="shared" si="727"/>
        <v>3399</v>
      </c>
      <c r="E3931" t="str">
        <f t="shared" si="726"/>
        <v>1</v>
      </c>
      <c r="F3931" t="str">
        <f t="shared" si="724"/>
        <v>COM</v>
      </c>
      <c r="G3931" t="str">
        <f t="shared" si="728"/>
        <v>FARMÁCIA INDIANA LJ 85 (10128)</v>
      </c>
      <c r="H3931" t="s">
        <v>1109</v>
      </c>
      <c r="I3931" t="str">
        <f t="shared" si="732"/>
        <v>01/10/2025</v>
      </c>
      <c r="J3931" t="str">
        <f t="shared" si="725"/>
        <v>23/09/2025</v>
      </c>
      <c r="K3931">
        <v>45931</v>
      </c>
      <c r="N3931">
        <v>303</v>
      </c>
      <c r="O3931" t="s">
        <v>69</v>
      </c>
      <c r="Q3931">
        <v>487.55</v>
      </c>
      <c r="R3931" t="str">
        <f>"FARMÁCIA INDIANA LJ 211 (10168)"</f>
        <v>FARMÁCIA INDIANA LJ 211 (10168)</v>
      </c>
      <c r="S3931" t="s">
        <v>70</v>
      </c>
      <c r="T3931">
        <v>18906</v>
      </c>
      <c r="U3931">
        <v>22452</v>
      </c>
      <c r="V3931" t="s">
        <v>77</v>
      </c>
    </row>
    <row r="3932" spans="1:22">
      <c r="A3932" t="str">
        <f t="shared" si="729"/>
        <v>01/10/2025</v>
      </c>
      <c r="B3932" t="str">
        <f t="shared" si="730"/>
        <v>ENTRADA</v>
      </c>
      <c r="C3932" t="str">
        <f t="shared" si="731"/>
        <v>NFSE</v>
      </c>
      <c r="D3932" t="str">
        <f t="shared" si="727"/>
        <v>3399</v>
      </c>
      <c r="E3932" t="str">
        <f t="shared" si="726"/>
        <v>1</v>
      </c>
      <c r="F3932" t="str">
        <f t="shared" ref="F3932:F3954" si="733">"COM"</f>
        <v>COM</v>
      </c>
      <c r="G3932" t="str">
        <f t="shared" si="728"/>
        <v>FARMÁCIA INDIANA LJ 85 (10128)</v>
      </c>
      <c r="H3932" t="s">
        <v>1109</v>
      </c>
      <c r="I3932" t="str">
        <f t="shared" si="732"/>
        <v>01/10/2025</v>
      </c>
      <c r="J3932" t="str">
        <f t="shared" si="725"/>
        <v>23/09/2025</v>
      </c>
      <c r="K3932">
        <v>45931</v>
      </c>
      <c r="N3932">
        <v>303</v>
      </c>
      <c r="O3932" t="s">
        <v>69</v>
      </c>
      <c r="Q3932">
        <v>487.55</v>
      </c>
      <c r="R3932" t="str">
        <f>"FARMÁCIA INDIANA LJ 236 (10169)"</f>
        <v>FARMÁCIA INDIANA LJ 236 (10169)</v>
      </c>
      <c r="S3932" t="s">
        <v>70</v>
      </c>
      <c r="T3932">
        <v>18906</v>
      </c>
      <c r="U3932">
        <v>22452</v>
      </c>
      <c r="V3932" t="s">
        <v>77</v>
      </c>
    </row>
    <row r="3933" spans="1:22">
      <c r="A3933" t="str">
        <f t="shared" si="729"/>
        <v>01/10/2025</v>
      </c>
      <c r="B3933" t="str">
        <f t="shared" si="730"/>
        <v>ENTRADA</v>
      </c>
      <c r="C3933" t="str">
        <f t="shared" si="731"/>
        <v>NFSE</v>
      </c>
      <c r="D3933" t="str">
        <f t="shared" si="727"/>
        <v>3399</v>
      </c>
      <c r="E3933" t="str">
        <f t="shared" si="726"/>
        <v>1</v>
      </c>
      <c r="F3933" t="str">
        <f t="shared" si="733"/>
        <v>COM</v>
      </c>
      <c r="G3933" t="str">
        <f t="shared" si="728"/>
        <v>FARMÁCIA INDIANA LJ 85 (10128)</v>
      </c>
      <c r="H3933" t="s">
        <v>1109</v>
      </c>
      <c r="I3933" t="str">
        <f t="shared" si="732"/>
        <v>01/10/2025</v>
      </c>
      <c r="J3933" t="str">
        <f t="shared" si="725"/>
        <v>23/09/2025</v>
      </c>
      <c r="K3933">
        <v>45931</v>
      </c>
      <c r="N3933">
        <v>303</v>
      </c>
      <c r="O3933" t="s">
        <v>69</v>
      </c>
      <c r="Q3933">
        <v>976.15</v>
      </c>
      <c r="R3933" t="str">
        <f>"FARMÁCIA INDIANA LJ 188 (10176)"</f>
        <v>FARMÁCIA INDIANA LJ 188 (10176)</v>
      </c>
      <c r="S3933" t="s">
        <v>70</v>
      </c>
      <c r="T3933">
        <v>18906</v>
      </c>
      <c r="U3933">
        <v>22452</v>
      </c>
      <c r="V3933" t="s">
        <v>77</v>
      </c>
    </row>
    <row r="3934" spans="1:22">
      <c r="A3934" t="str">
        <f t="shared" si="729"/>
        <v>01/10/2025</v>
      </c>
      <c r="B3934" t="str">
        <f t="shared" si="730"/>
        <v>ENTRADA</v>
      </c>
      <c r="C3934" t="str">
        <f t="shared" si="731"/>
        <v>NFSE</v>
      </c>
      <c r="D3934" t="str">
        <f t="shared" si="727"/>
        <v>3399</v>
      </c>
      <c r="E3934" t="str">
        <f t="shared" si="726"/>
        <v>1</v>
      </c>
      <c r="F3934" t="str">
        <f t="shared" si="733"/>
        <v>COM</v>
      </c>
      <c r="G3934" t="str">
        <f t="shared" si="728"/>
        <v>FARMÁCIA INDIANA LJ 85 (10128)</v>
      </c>
      <c r="H3934" t="s">
        <v>1109</v>
      </c>
      <c r="I3934" t="str">
        <f t="shared" si="732"/>
        <v>01/10/2025</v>
      </c>
      <c r="J3934" t="str">
        <f t="shared" si="725"/>
        <v>23/09/2025</v>
      </c>
      <c r="K3934">
        <v>45931</v>
      </c>
      <c r="N3934">
        <v>303</v>
      </c>
      <c r="O3934" t="s">
        <v>69</v>
      </c>
      <c r="Q3934">
        <v>1214.74</v>
      </c>
      <c r="R3934" t="str">
        <f>"FARMÁCIA INDIANA LJ 273 (10188)"</f>
        <v>FARMÁCIA INDIANA LJ 273 (10188)</v>
      </c>
      <c r="S3934" t="s">
        <v>70</v>
      </c>
      <c r="T3934">
        <v>18906</v>
      </c>
      <c r="U3934">
        <v>22452</v>
      </c>
      <c r="V3934" t="s">
        <v>77</v>
      </c>
    </row>
    <row r="3935" spans="1:22">
      <c r="A3935" t="str">
        <f t="shared" si="729"/>
        <v>01/10/2025</v>
      </c>
      <c r="B3935" t="str">
        <f t="shared" si="730"/>
        <v>ENTRADA</v>
      </c>
      <c r="C3935" t="str">
        <f t="shared" si="731"/>
        <v>NFSE</v>
      </c>
      <c r="D3935" t="str">
        <f t="shared" si="727"/>
        <v>3399</v>
      </c>
      <c r="E3935" t="str">
        <f t="shared" si="726"/>
        <v>1</v>
      </c>
      <c r="F3935" t="str">
        <f t="shared" si="733"/>
        <v>COM</v>
      </c>
      <c r="G3935" t="str">
        <f t="shared" si="728"/>
        <v>FARMÁCIA INDIANA LJ 85 (10128)</v>
      </c>
      <c r="H3935" t="s">
        <v>1109</v>
      </c>
      <c r="I3935" t="str">
        <f t="shared" si="732"/>
        <v>01/10/2025</v>
      </c>
      <c r="J3935" t="str">
        <f t="shared" si="725"/>
        <v>23/09/2025</v>
      </c>
      <c r="K3935">
        <v>45931</v>
      </c>
      <c r="N3935">
        <v>303</v>
      </c>
      <c r="O3935" t="s">
        <v>69</v>
      </c>
      <c r="Q3935">
        <v>155.6</v>
      </c>
      <c r="R3935" t="str">
        <f>"FARMÁCIA INDIANA LJ 235 (10190)"</f>
        <v>FARMÁCIA INDIANA LJ 235 (10190)</v>
      </c>
      <c r="S3935" t="s">
        <v>70</v>
      </c>
      <c r="T3935">
        <v>18906</v>
      </c>
      <c r="U3935">
        <v>22452</v>
      </c>
      <c r="V3935" t="s">
        <v>77</v>
      </c>
    </row>
    <row r="3936" spans="1:22">
      <c r="A3936" t="str">
        <f t="shared" si="729"/>
        <v>01/10/2025</v>
      </c>
      <c r="B3936" t="str">
        <f t="shared" si="730"/>
        <v>ENTRADA</v>
      </c>
      <c r="C3936" t="str">
        <f t="shared" si="731"/>
        <v>NFSE</v>
      </c>
      <c r="D3936" t="str">
        <f t="shared" ref="D3936:D3948" si="734">"3398"</f>
        <v>3398</v>
      </c>
      <c r="E3936" t="str">
        <f t="shared" si="726"/>
        <v>1</v>
      </c>
      <c r="F3936" t="str">
        <f t="shared" si="733"/>
        <v>COM</v>
      </c>
      <c r="G3936" t="str">
        <f t="shared" ref="G3936:G3948" si="735">"FARMÁCIA INDIANA LJ 30 (10127)"</f>
        <v>FARMÁCIA INDIANA LJ 30 (10127)</v>
      </c>
      <c r="H3936" t="str">
        <f>"Serv.Prest. 15/09/2025 a 21/09/2025 - RPS: 1274 - NFSe: 3398"</f>
        <v>Serv.Prest. 15/09/2025 a 21/09/2025 - RPS: 1274 - NFSe: 3398</v>
      </c>
      <c r="I3936" t="str">
        <f t="shared" si="732"/>
        <v>01/10/2025</v>
      </c>
      <c r="J3936" t="str">
        <f t="shared" si="725"/>
        <v>23/09/2025</v>
      </c>
      <c r="K3936" t="str">
        <f>("01/10/2025")</f>
        <v>01/10/2025</v>
      </c>
      <c r="L3936">
        <v>24753.75</v>
      </c>
      <c r="M3936">
        <v>24753.75</v>
      </c>
      <c r="N3936">
        <v>303</v>
      </c>
      <c r="O3936" t="str">
        <f>"RECEITAS COM ENTREGAS"</f>
        <v>RECEITAS COM ENTREGAS</v>
      </c>
      <c r="P3936">
        <v>24753.75</v>
      </c>
      <c r="S3936" t="str">
        <f>"RECEITAS COM ENTREGAS (303)"</f>
        <v>RECEITAS COM ENTREGAS (303)</v>
      </c>
      <c r="T3936">
        <v>18907</v>
      </c>
      <c r="U3936">
        <v>22415</v>
      </c>
      <c r="V3936" t="s">
        <v>77</v>
      </c>
    </row>
    <row r="3937" spans="1:22">
      <c r="A3937" t="str">
        <f t="shared" si="729"/>
        <v>01/10/2025</v>
      </c>
      <c r="B3937" t="str">
        <f t="shared" si="730"/>
        <v>ENTRADA</v>
      </c>
      <c r="C3937" t="str">
        <f t="shared" si="731"/>
        <v>NFSE</v>
      </c>
      <c r="D3937" t="str">
        <f t="shared" si="734"/>
        <v>3398</v>
      </c>
      <c r="E3937" t="str">
        <f t="shared" si="726"/>
        <v>1</v>
      </c>
      <c r="F3937" t="str">
        <f t="shared" si="733"/>
        <v>COM</v>
      </c>
      <c r="G3937" t="str">
        <f t="shared" si="735"/>
        <v>FARMÁCIA INDIANA LJ 30 (10127)</v>
      </c>
      <c r="H3937" t="s">
        <v>1110</v>
      </c>
      <c r="I3937" t="str">
        <f t="shared" si="732"/>
        <v>01/10/2025</v>
      </c>
      <c r="J3937" t="str">
        <f t="shared" si="725"/>
        <v>23/09/2025</v>
      </c>
      <c r="K3937">
        <v>45931</v>
      </c>
      <c r="N3937">
        <v>303</v>
      </c>
      <c r="O3937" t="s">
        <v>69</v>
      </c>
      <c r="Q3937">
        <v>2542.1999999999998</v>
      </c>
      <c r="R3937" t="str">
        <f>"FARMÁCIA INDIANA LJ 34 (10014)"</f>
        <v>FARMÁCIA INDIANA LJ 34 (10014)</v>
      </c>
      <c r="S3937" t="s">
        <v>70</v>
      </c>
      <c r="T3937">
        <v>18907</v>
      </c>
      <c r="U3937">
        <v>22415</v>
      </c>
      <c r="V3937" t="s">
        <v>77</v>
      </c>
    </row>
    <row r="3938" spans="1:22">
      <c r="A3938" t="str">
        <f t="shared" si="729"/>
        <v>01/10/2025</v>
      </c>
      <c r="B3938" t="str">
        <f t="shared" si="730"/>
        <v>ENTRADA</v>
      </c>
      <c r="C3938" t="str">
        <f t="shared" si="731"/>
        <v>NFSE</v>
      </c>
      <c r="D3938" t="str">
        <f t="shared" si="734"/>
        <v>3398</v>
      </c>
      <c r="E3938" t="str">
        <f t="shared" si="726"/>
        <v>1</v>
      </c>
      <c r="F3938" t="str">
        <f t="shared" si="733"/>
        <v>COM</v>
      </c>
      <c r="G3938" t="str">
        <f t="shared" si="735"/>
        <v>FARMÁCIA INDIANA LJ 30 (10127)</v>
      </c>
      <c r="H3938" t="s">
        <v>1110</v>
      </c>
      <c r="I3938" t="str">
        <f t="shared" si="732"/>
        <v>01/10/2025</v>
      </c>
      <c r="J3938" t="str">
        <f t="shared" si="725"/>
        <v>23/09/2025</v>
      </c>
      <c r="K3938">
        <v>45931</v>
      </c>
      <c r="N3938">
        <v>303</v>
      </c>
      <c r="O3938" t="s">
        <v>69</v>
      </c>
      <c r="Q3938">
        <v>1428.29</v>
      </c>
      <c r="R3938" t="str">
        <f>"FARMÁCIA INDIANA LJ 35 (10015)"</f>
        <v>FARMÁCIA INDIANA LJ 35 (10015)</v>
      </c>
      <c r="S3938" t="s">
        <v>70</v>
      </c>
      <c r="T3938">
        <v>18907</v>
      </c>
      <c r="U3938">
        <v>22415</v>
      </c>
      <c r="V3938" t="s">
        <v>77</v>
      </c>
    </row>
    <row r="3939" spans="1:22">
      <c r="A3939" t="str">
        <f t="shared" si="729"/>
        <v>01/10/2025</v>
      </c>
      <c r="B3939" t="str">
        <f t="shared" si="730"/>
        <v>ENTRADA</v>
      </c>
      <c r="C3939" t="str">
        <f t="shared" si="731"/>
        <v>NFSE</v>
      </c>
      <c r="D3939" t="str">
        <f t="shared" si="734"/>
        <v>3398</v>
      </c>
      <c r="E3939" t="str">
        <f t="shared" si="726"/>
        <v>1</v>
      </c>
      <c r="F3939" t="str">
        <f t="shared" si="733"/>
        <v>COM</v>
      </c>
      <c r="G3939" t="str">
        <f t="shared" si="735"/>
        <v>FARMÁCIA INDIANA LJ 30 (10127)</v>
      </c>
      <c r="H3939" t="s">
        <v>1110</v>
      </c>
      <c r="I3939" t="str">
        <f t="shared" si="732"/>
        <v>01/10/2025</v>
      </c>
      <c r="J3939" t="str">
        <f t="shared" si="725"/>
        <v>23/09/2025</v>
      </c>
      <c r="K3939">
        <v>45931</v>
      </c>
      <c r="N3939">
        <v>303</v>
      </c>
      <c r="O3939" t="s">
        <v>69</v>
      </c>
      <c r="Q3939">
        <v>2376.36</v>
      </c>
      <c r="R3939" t="str">
        <f>"FARMÁCIA INDIANA LJ 48 (10018)"</f>
        <v>FARMÁCIA INDIANA LJ 48 (10018)</v>
      </c>
      <c r="S3939" t="s">
        <v>70</v>
      </c>
      <c r="T3939">
        <v>18907</v>
      </c>
      <c r="U3939">
        <v>22415</v>
      </c>
      <c r="V3939" t="s">
        <v>77</v>
      </c>
    </row>
    <row r="3940" spans="1:22">
      <c r="A3940" t="str">
        <f t="shared" si="729"/>
        <v>01/10/2025</v>
      </c>
      <c r="B3940" t="str">
        <f t="shared" si="730"/>
        <v>ENTRADA</v>
      </c>
      <c r="C3940" t="str">
        <f t="shared" si="731"/>
        <v>NFSE</v>
      </c>
      <c r="D3940" t="str">
        <f t="shared" si="734"/>
        <v>3398</v>
      </c>
      <c r="E3940" t="str">
        <f t="shared" si="726"/>
        <v>1</v>
      </c>
      <c r="F3940" t="str">
        <f t="shared" si="733"/>
        <v>COM</v>
      </c>
      <c r="G3940" t="str">
        <f t="shared" si="735"/>
        <v>FARMÁCIA INDIANA LJ 30 (10127)</v>
      </c>
      <c r="H3940" t="s">
        <v>1110</v>
      </c>
      <c r="I3940" t="str">
        <f t="shared" si="732"/>
        <v>01/10/2025</v>
      </c>
      <c r="J3940" t="str">
        <f t="shared" si="725"/>
        <v>23/09/2025</v>
      </c>
      <c r="K3940">
        <v>45931</v>
      </c>
      <c r="N3940">
        <v>303</v>
      </c>
      <c r="O3940" t="s">
        <v>69</v>
      </c>
      <c r="Q3940">
        <v>3138.78</v>
      </c>
      <c r="R3940" t="str">
        <f>"FARMÁCIA INDIANA LJ 65 (10030)"</f>
        <v>FARMÁCIA INDIANA LJ 65 (10030)</v>
      </c>
      <c r="S3940" t="s">
        <v>70</v>
      </c>
      <c r="T3940">
        <v>18907</v>
      </c>
      <c r="U3940">
        <v>22415</v>
      </c>
      <c r="V3940" t="s">
        <v>77</v>
      </c>
    </row>
    <row r="3941" spans="1:22">
      <c r="A3941" t="str">
        <f t="shared" si="729"/>
        <v>01/10/2025</v>
      </c>
      <c r="B3941" t="str">
        <f t="shared" si="730"/>
        <v>ENTRADA</v>
      </c>
      <c r="C3941" t="str">
        <f t="shared" si="731"/>
        <v>NFSE</v>
      </c>
      <c r="D3941" t="str">
        <f t="shared" si="734"/>
        <v>3398</v>
      </c>
      <c r="E3941" t="str">
        <f t="shared" si="726"/>
        <v>1</v>
      </c>
      <c r="F3941" t="str">
        <f t="shared" si="733"/>
        <v>COM</v>
      </c>
      <c r="G3941" t="str">
        <f t="shared" si="735"/>
        <v>FARMÁCIA INDIANA LJ 30 (10127)</v>
      </c>
      <c r="H3941" t="s">
        <v>1110</v>
      </c>
      <c r="I3941" t="str">
        <f t="shared" si="732"/>
        <v>01/10/2025</v>
      </c>
      <c r="J3941" t="str">
        <f t="shared" ref="J3941:J3952" si="736">("23/09/2025")</f>
        <v>23/09/2025</v>
      </c>
      <c r="K3941">
        <v>45931</v>
      </c>
      <c r="N3941">
        <v>303</v>
      </c>
      <c r="O3941" t="s">
        <v>69</v>
      </c>
      <c r="Q3941">
        <v>727.76</v>
      </c>
      <c r="R3941" t="str">
        <f>"FARMÁCIA INDIANA LJ 77 (10034)"</f>
        <v>FARMÁCIA INDIANA LJ 77 (10034)</v>
      </c>
      <c r="S3941" t="s">
        <v>70</v>
      </c>
      <c r="T3941">
        <v>18907</v>
      </c>
      <c r="U3941">
        <v>22415</v>
      </c>
      <c r="V3941" t="s">
        <v>77</v>
      </c>
    </row>
    <row r="3942" spans="1:22">
      <c r="A3942" t="str">
        <f t="shared" si="729"/>
        <v>01/10/2025</v>
      </c>
      <c r="B3942" t="str">
        <f t="shared" si="730"/>
        <v>ENTRADA</v>
      </c>
      <c r="C3942" t="str">
        <f t="shared" si="731"/>
        <v>NFSE</v>
      </c>
      <c r="D3942" t="str">
        <f t="shared" si="734"/>
        <v>3398</v>
      </c>
      <c r="E3942" t="str">
        <f t="shared" si="726"/>
        <v>1</v>
      </c>
      <c r="F3942" t="str">
        <f t="shared" si="733"/>
        <v>COM</v>
      </c>
      <c r="G3942" t="str">
        <f t="shared" si="735"/>
        <v>FARMÁCIA INDIANA LJ 30 (10127)</v>
      </c>
      <c r="H3942" t="s">
        <v>1110</v>
      </c>
      <c r="I3942" t="str">
        <f t="shared" si="732"/>
        <v>01/10/2025</v>
      </c>
      <c r="J3942" t="str">
        <f t="shared" si="736"/>
        <v>23/09/2025</v>
      </c>
      <c r="K3942">
        <v>45931</v>
      </c>
      <c r="N3942">
        <v>303</v>
      </c>
      <c r="O3942" t="s">
        <v>69</v>
      </c>
      <c r="Q3942">
        <v>5636.43</v>
      </c>
      <c r="R3942" t="str">
        <f>"FARMÁCIA INDIANA LJ 91 (10037)"</f>
        <v>FARMÁCIA INDIANA LJ 91 (10037)</v>
      </c>
      <c r="S3942" t="s">
        <v>70</v>
      </c>
      <c r="T3942">
        <v>18907</v>
      </c>
      <c r="U3942">
        <v>22415</v>
      </c>
      <c r="V3942" t="s">
        <v>77</v>
      </c>
    </row>
    <row r="3943" spans="1:22">
      <c r="A3943" t="str">
        <f t="shared" si="729"/>
        <v>01/10/2025</v>
      </c>
      <c r="B3943" t="str">
        <f t="shared" si="730"/>
        <v>ENTRADA</v>
      </c>
      <c r="C3943" t="str">
        <f t="shared" si="731"/>
        <v>NFSE</v>
      </c>
      <c r="D3943" t="str">
        <f t="shared" si="734"/>
        <v>3398</v>
      </c>
      <c r="E3943" t="str">
        <f t="shared" si="726"/>
        <v>1</v>
      </c>
      <c r="F3943" t="str">
        <f t="shared" si="733"/>
        <v>COM</v>
      </c>
      <c r="G3943" t="str">
        <f t="shared" si="735"/>
        <v>FARMÁCIA INDIANA LJ 30 (10127)</v>
      </c>
      <c r="H3943" t="s">
        <v>1110</v>
      </c>
      <c r="I3943" t="str">
        <f t="shared" si="732"/>
        <v>01/10/2025</v>
      </c>
      <c r="J3943" t="str">
        <f t="shared" si="736"/>
        <v>23/09/2025</v>
      </c>
      <c r="K3943">
        <v>45931</v>
      </c>
      <c r="N3943">
        <v>303</v>
      </c>
      <c r="O3943" t="s">
        <v>69</v>
      </c>
      <c r="Q3943">
        <v>1722.86</v>
      </c>
      <c r="R3943" t="str">
        <f>"FARMÁCIA INDIANA LJ 95 (10039)"</f>
        <v>FARMÁCIA INDIANA LJ 95 (10039)</v>
      </c>
      <c r="S3943" t="s">
        <v>70</v>
      </c>
      <c r="T3943">
        <v>18907</v>
      </c>
      <c r="U3943">
        <v>22415</v>
      </c>
      <c r="V3943" t="s">
        <v>77</v>
      </c>
    </row>
    <row r="3944" spans="1:22">
      <c r="A3944" t="str">
        <f t="shared" si="729"/>
        <v>01/10/2025</v>
      </c>
      <c r="B3944" t="str">
        <f t="shared" si="730"/>
        <v>ENTRADA</v>
      </c>
      <c r="C3944" t="str">
        <f t="shared" si="731"/>
        <v>NFSE</v>
      </c>
      <c r="D3944" t="str">
        <f t="shared" si="734"/>
        <v>3398</v>
      </c>
      <c r="E3944" t="str">
        <f t="shared" si="726"/>
        <v>1</v>
      </c>
      <c r="F3944" t="str">
        <f t="shared" si="733"/>
        <v>COM</v>
      </c>
      <c r="G3944" t="str">
        <f t="shared" si="735"/>
        <v>FARMÁCIA INDIANA LJ 30 (10127)</v>
      </c>
      <c r="H3944" t="s">
        <v>1110</v>
      </c>
      <c r="I3944" t="str">
        <f t="shared" si="732"/>
        <v>01/10/2025</v>
      </c>
      <c r="J3944" t="str">
        <f t="shared" si="736"/>
        <v>23/09/2025</v>
      </c>
      <c r="K3944">
        <v>45931</v>
      </c>
      <c r="N3944">
        <v>303</v>
      </c>
      <c r="O3944" t="s">
        <v>69</v>
      </c>
      <c r="Q3944">
        <v>2527.36</v>
      </c>
      <c r="R3944" t="str">
        <f>"FARMÁCIA INDIANA LJ 145 (10068)"</f>
        <v>FARMÁCIA INDIANA LJ 145 (10068)</v>
      </c>
      <c r="S3944" t="s">
        <v>70</v>
      </c>
      <c r="T3944">
        <v>18907</v>
      </c>
      <c r="U3944">
        <v>22415</v>
      </c>
      <c r="V3944" t="s">
        <v>77</v>
      </c>
    </row>
    <row r="3945" spans="1:22">
      <c r="A3945" t="str">
        <f t="shared" si="729"/>
        <v>01/10/2025</v>
      </c>
      <c r="B3945" t="str">
        <f t="shared" si="730"/>
        <v>ENTRADA</v>
      </c>
      <c r="C3945" t="str">
        <f t="shared" si="731"/>
        <v>NFSE</v>
      </c>
      <c r="D3945" t="str">
        <f t="shared" si="734"/>
        <v>3398</v>
      </c>
      <c r="E3945" t="str">
        <f t="shared" si="726"/>
        <v>1</v>
      </c>
      <c r="F3945" t="str">
        <f t="shared" si="733"/>
        <v>COM</v>
      </c>
      <c r="G3945" t="str">
        <f t="shared" si="735"/>
        <v>FARMÁCIA INDIANA LJ 30 (10127)</v>
      </c>
      <c r="H3945" t="s">
        <v>1110</v>
      </c>
      <c r="I3945" t="str">
        <f t="shared" si="732"/>
        <v>01/10/2025</v>
      </c>
      <c r="J3945" t="str">
        <f t="shared" si="736"/>
        <v>23/09/2025</v>
      </c>
      <c r="K3945">
        <v>45931</v>
      </c>
      <c r="N3945">
        <v>303</v>
      </c>
      <c r="O3945" t="s">
        <v>69</v>
      </c>
      <c r="Q3945">
        <v>873.81</v>
      </c>
      <c r="R3945" t="str">
        <f>"FARMÁCIA INDIANA LJ 169 (10073)"</f>
        <v>FARMÁCIA INDIANA LJ 169 (10073)</v>
      </c>
      <c r="S3945" t="s">
        <v>70</v>
      </c>
      <c r="T3945">
        <v>18907</v>
      </c>
      <c r="U3945">
        <v>22415</v>
      </c>
      <c r="V3945" t="s">
        <v>77</v>
      </c>
    </row>
    <row r="3946" spans="1:22">
      <c r="A3946" t="str">
        <f t="shared" si="729"/>
        <v>01/10/2025</v>
      </c>
      <c r="B3946" t="str">
        <f t="shared" si="730"/>
        <v>ENTRADA</v>
      </c>
      <c r="C3946" t="str">
        <f t="shared" si="731"/>
        <v>NFSE</v>
      </c>
      <c r="D3946" t="str">
        <f t="shared" si="734"/>
        <v>3398</v>
      </c>
      <c r="E3946" t="str">
        <f t="shared" si="726"/>
        <v>1</v>
      </c>
      <c r="F3946" t="str">
        <f t="shared" si="733"/>
        <v>COM</v>
      </c>
      <c r="G3946" t="str">
        <f t="shared" si="735"/>
        <v>FARMÁCIA INDIANA LJ 30 (10127)</v>
      </c>
      <c r="H3946" t="s">
        <v>1110</v>
      </c>
      <c r="I3946" t="str">
        <f t="shared" si="732"/>
        <v>01/10/2025</v>
      </c>
      <c r="J3946" t="str">
        <f t="shared" si="736"/>
        <v>23/09/2025</v>
      </c>
      <c r="K3946">
        <v>45931</v>
      </c>
      <c r="N3946">
        <v>303</v>
      </c>
      <c r="O3946" t="s">
        <v>69</v>
      </c>
      <c r="Q3946">
        <v>1569.39</v>
      </c>
      <c r="R3946" t="str">
        <f>"FARMÁCIA INDIANA LJ 173 (10075)"</f>
        <v>FARMÁCIA INDIANA LJ 173 (10075)</v>
      </c>
      <c r="S3946" t="s">
        <v>70</v>
      </c>
      <c r="T3946">
        <v>18907</v>
      </c>
      <c r="U3946">
        <v>22415</v>
      </c>
      <c r="V3946" t="s">
        <v>77</v>
      </c>
    </row>
    <row r="3947" spans="1:22">
      <c r="A3947" t="str">
        <f t="shared" si="729"/>
        <v>01/10/2025</v>
      </c>
      <c r="B3947" t="str">
        <f t="shared" si="730"/>
        <v>ENTRADA</v>
      </c>
      <c r="C3947" t="str">
        <f t="shared" si="731"/>
        <v>NFSE</v>
      </c>
      <c r="D3947" t="str">
        <f t="shared" si="734"/>
        <v>3398</v>
      </c>
      <c r="E3947" t="str">
        <f t="shared" si="726"/>
        <v>1</v>
      </c>
      <c r="F3947" t="str">
        <f t="shared" si="733"/>
        <v>COM</v>
      </c>
      <c r="G3947" t="str">
        <f t="shared" si="735"/>
        <v>FARMÁCIA INDIANA LJ 30 (10127)</v>
      </c>
      <c r="H3947" t="s">
        <v>1110</v>
      </c>
      <c r="I3947" t="str">
        <f t="shared" si="732"/>
        <v>01/10/2025</v>
      </c>
      <c r="J3947" t="str">
        <f t="shared" si="736"/>
        <v>23/09/2025</v>
      </c>
      <c r="K3947">
        <v>45931</v>
      </c>
      <c r="N3947">
        <v>303</v>
      </c>
      <c r="O3947" t="s">
        <v>69</v>
      </c>
      <c r="Q3947">
        <v>1153.52</v>
      </c>
      <c r="R3947" t="str">
        <f>"FARMÁCIA INDIANA LJ 200 (10155)"</f>
        <v>FARMÁCIA INDIANA LJ 200 (10155)</v>
      </c>
      <c r="S3947" t="s">
        <v>70</v>
      </c>
      <c r="T3947">
        <v>18907</v>
      </c>
      <c r="U3947">
        <v>22415</v>
      </c>
      <c r="V3947" t="s">
        <v>77</v>
      </c>
    </row>
    <row r="3948" spans="1:22">
      <c r="A3948" t="str">
        <f t="shared" si="729"/>
        <v>01/10/2025</v>
      </c>
      <c r="B3948" t="str">
        <f t="shared" si="730"/>
        <v>ENTRADA</v>
      </c>
      <c r="C3948" t="str">
        <f t="shared" si="731"/>
        <v>NFSE</v>
      </c>
      <c r="D3948" t="str">
        <f t="shared" si="734"/>
        <v>3398</v>
      </c>
      <c r="E3948" t="str">
        <f t="shared" si="726"/>
        <v>1</v>
      </c>
      <c r="F3948" t="str">
        <f t="shared" si="733"/>
        <v>COM</v>
      </c>
      <c r="G3948" t="str">
        <f t="shared" si="735"/>
        <v>FARMÁCIA INDIANA LJ 30 (10127)</v>
      </c>
      <c r="H3948" t="s">
        <v>1110</v>
      </c>
      <c r="I3948" t="str">
        <f t="shared" si="732"/>
        <v>01/10/2025</v>
      </c>
      <c r="J3948" t="str">
        <f t="shared" si="736"/>
        <v>23/09/2025</v>
      </c>
      <c r="K3948">
        <v>45931</v>
      </c>
      <c r="N3948">
        <v>303</v>
      </c>
      <c r="O3948" t="s">
        <v>69</v>
      </c>
      <c r="Q3948">
        <v>1056.99</v>
      </c>
      <c r="R3948" t="str">
        <f>"FARMÁCIA INDIANA LJ 33 (10187)"</f>
        <v>FARMÁCIA INDIANA LJ 33 (10187)</v>
      </c>
      <c r="S3948" t="s">
        <v>70</v>
      </c>
      <c r="T3948">
        <v>18907</v>
      </c>
      <c r="U3948">
        <v>22415</v>
      </c>
      <c r="V3948" t="s">
        <v>77</v>
      </c>
    </row>
    <row r="3949" spans="1:22">
      <c r="A3949" t="str">
        <f t="shared" si="729"/>
        <v>01/10/2025</v>
      </c>
      <c r="B3949" t="str">
        <f t="shared" si="730"/>
        <v>ENTRADA</v>
      </c>
      <c r="C3949" t="str">
        <f t="shared" si="731"/>
        <v>NFSE</v>
      </c>
      <c r="D3949" t="str">
        <f>"3400"</f>
        <v>3400</v>
      </c>
      <c r="E3949" t="str">
        <f t="shared" si="726"/>
        <v>1</v>
      </c>
      <c r="F3949" t="str">
        <f t="shared" si="733"/>
        <v>COM</v>
      </c>
      <c r="G3949" t="str">
        <f>"FARMÁCIA INDIANA LJ 1 (10126)"</f>
        <v>FARMÁCIA INDIANA LJ 1 (10126)</v>
      </c>
      <c r="H3949" t="str">
        <f>"Serv.Prest. 15/09/2025 a 21/09/2025 - RPS: 1276 - NFSe: 3400"</f>
        <v>Serv.Prest. 15/09/2025 a 21/09/2025 - RPS: 1276 - NFSe: 3400</v>
      </c>
      <c r="I3949" t="str">
        <f t="shared" si="732"/>
        <v>01/10/2025</v>
      </c>
      <c r="J3949" t="str">
        <f t="shared" si="736"/>
        <v>23/09/2025</v>
      </c>
      <c r="K3949" t="str">
        <f>("01/10/2025")</f>
        <v>01/10/2025</v>
      </c>
      <c r="L3949">
        <v>1461.6</v>
      </c>
      <c r="M3949">
        <v>1461.6</v>
      </c>
      <c r="N3949">
        <v>303</v>
      </c>
      <c r="O3949" t="str">
        <f>"RECEITAS COM ENTREGAS"</f>
        <v>RECEITAS COM ENTREGAS</v>
      </c>
      <c r="P3949">
        <v>1461.6</v>
      </c>
      <c r="S3949" t="str">
        <f>"RECEITAS COM ENTREGAS (303)"</f>
        <v>RECEITAS COM ENTREGAS (303)</v>
      </c>
      <c r="T3949">
        <v>18908</v>
      </c>
      <c r="U3949">
        <v>22461</v>
      </c>
      <c r="V3949" t="s">
        <v>77</v>
      </c>
    </row>
    <row r="3950" spans="1:22">
      <c r="A3950" t="str">
        <f t="shared" si="729"/>
        <v>01/10/2025</v>
      </c>
      <c r="B3950" t="str">
        <f t="shared" si="730"/>
        <v>ENTRADA</v>
      </c>
      <c r="C3950" t="str">
        <f t="shared" si="731"/>
        <v>NFSE</v>
      </c>
      <c r="D3950" t="str">
        <f>"3400"</f>
        <v>3400</v>
      </c>
      <c r="E3950" t="str">
        <f t="shared" si="726"/>
        <v>1</v>
      </c>
      <c r="F3950" t="str">
        <f t="shared" si="733"/>
        <v>COM</v>
      </c>
      <c r="G3950" t="str">
        <f>"FARMÁCIA INDIANA LJ 1 (10126)"</f>
        <v>FARMÁCIA INDIANA LJ 1 (10126)</v>
      </c>
      <c r="H3950" t="s">
        <v>1111</v>
      </c>
      <c r="I3950" t="str">
        <f t="shared" si="732"/>
        <v>01/10/2025</v>
      </c>
      <c r="J3950" t="str">
        <f t="shared" si="736"/>
        <v>23/09/2025</v>
      </c>
      <c r="K3950">
        <v>45931</v>
      </c>
      <c r="N3950">
        <v>303</v>
      </c>
      <c r="O3950" t="s">
        <v>69</v>
      </c>
      <c r="Q3950">
        <v>1461.6</v>
      </c>
      <c r="R3950" t="str">
        <f>"FARMÁCIA INDIANA LJ 18 (10011)"</f>
        <v>FARMÁCIA INDIANA LJ 18 (10011)</v>
      </c>
      <c r="S3950" t="s">
        <v>70</v>
      </c>
      <c r="T3950">
        <v>18908</v>
      </c>
      <c r="U3950">
        <v>22461</v>
      </c>
      <c r="V3950" t="s">
        <v>77</v>
      </c>
    </row>
    <row r="3951" spans="1:22">
      <c r="A3951" t="str">
        <f t="shared" si="729"/>
        <v>01/10/2025</v>
      </c>
      <c r="B3951" t="str">
        <f t="shared" ref="B3951:B3978" si="737">"SAÍDA"</f>
        <v>SAÍDA</v>
      </c>
      <c r="C3951" t="str">
        <f>"BOLETO"</f>
        <v>BOLETO</v>
      </c>
      <c r="D3951" t="str">
        <f>"2743058"</f>
        <v>2743058</v>
      </c>
      <c r="E3951" t="str">
        <f>""</f>
        <v/>
      </c>
      <c r="F3951" t="str">
        <f t="shared" si="733"/>
        <v>COM</v>
      </c>
      <c r="G3951" t="str">
        <f>"FUNCIONAL HEALTH TECH SOLUCOES EM SAUDE S.A. (20075)"</f>
        <v>FUNCIONAL HEALTH TECH SOLUCOES EM SAUDE S.A. (20075)</v>
      </c>
      <c r="H3951" t="str">
        <f>"PLANO FARMACIA PARA COOPERADOS"</f>
        <v>PLANO FARMACIA PARA COOPERADOS</v>
      </c>
      <c r="I3951" t="str">
        <f t="shared" si="732"/>
        <v>01/10/2025</v>
      </c>
      <c r="J3951" t="str">
        <f t="shared" si="736"/>
        <v>23/09/2025</v>
      </c>
      <c r="K3951" t="str">
        <f>("01/10/2025")</f>
        <v>01/10/2025</v>
      </c>
      <c r="L3951">
        <v>528</v>
      </c>
      <c r="M3951">
        <v>528</v>
      </c>
      <c r="N3951">
        <v>192</v>
      </c>
      <c r="O3951" t="str">
        <f>"PLANOS E SEGUROS"</f>
        <v>PLANOS E SEGUROS</v>
      </c>
      <c r="P3951">
        <v>528</v>
      </c>
      <c r="S3951" t="str">
        <f>"BANCO CORA (102)"</f>
        <v>BANCO CORA (102)</v>
      </c>
      <c r="T3951">
        <v>18909</v>
      </c>
      <c r="U3951">
        <v>13401</v>
      </c>
      <c r="V3951" t="s">
        <v>22</v>
      </c>
    </row>
    <row r="3952" spans="1:22">
      <c r="A3952" t="str">
        <f t="shared" si="729"/>
        <v>01/10/2025</v>
      </c>
      <c r="B3952" t="str">
        <f t="shared" si="737"/>
        <v>SAÍDA</v>
      </c>
      <c r="C3952" t="str">
        <f>"BOLETO"</f>
        <v>BOLETO</v>
      </c>
      <c r="D3952" t="str">
        <f>"2743058"</f>
        <v>2743058</v>
      </c>
      <c r="E3952" t="str">
        <f>""</f>
        <v/>
      </c>
      <c r="F3952" t="str">
        <f t="shared" si="733"/>
        <v>COM</v>
      </c>
      <c r="G3952" t="str">
        <f>"FUNCIONAL HEALTH TECH SOLUCOES EM SAUDE S.A. (20075)"</f>
        <v>FUNCIONAL HEALTH TECH SOLUCOES EM SAUDE S.A. (20075)</v>
      </c>
      <c r="H3952" t="s">
        <v>37</v>
      </c>
      <c r="I3952" t="str">
        <f t="shared" si="732"/>
        <v>01/10/2025</v>
      </c>
      <c r="J3952" t="str">
        <f t="shared" si="736"/>
        <v>23/09/2025</v>
      </c>
      <c r="K3952">
        <v>45931</v>
      </c>
      <c r="N3952">
        <v>192</v>
      </c>
      <c r="O3952" t="s">
        <v>38</v>
      </c>
      <c r="Q3952">
        <v>528</v>
      </c>
      <c r="R3952" t="str">
        <f>"FUNCIONAL HEALTH TECH SOLUCOES EM SAUDE S.A. (20075)"</f>
        <v>FUNCIONAL HEALTH TECH SOLUCOES EM SAUDE S.A. (20075)</v>
      </c>
      <c r="S3952" t="s">
        <v>22</v>
      </c>
      <c r="T3952">
        <v>18909</v>
      </c>
      <c r="U3952">
        <v>13401</v>
      </c>
      <c r="V3952" t="s">
        <v>22</v>
      </c>
    </row>
    <row r="3953" spans="1:22">
      <c r="A3953" t="str">
        <f t="shared" si="729"/>
        <v>01/10/2025</v>
      </c>
      <c r="B3953" t="str">
        <f t="shared" si="737"/>
        <v>SAÍDA</v>
      </c>
      <c r="C3953" t="str">
        <f>"PIX"</f>
        <v>PIX</v>
      </c>
      <c r="D3953" t="str">
        <f>"01082513049"</f>
        <v>01082513049</v>
      </c>
      <c r="E3953" t="str">
        <f>"10"</f>
        <v>10</v>
      </c>
      <c r="F3953" t="str">
        <f t="shared" si="733"/>
        <v>COM</v>
      </c>
      <c r="G3953" t="str">
        <f>"54.235.509 ROBERT MAGDIEL DE CARVALHO (20004)"</f>
        <v>54.235.509 ROBERT MAGDIEL DE CARVALHO (20004)</v>
      </c>
      <c r="H3953" t="str">
        <f>"CHAT GPT"</f>
        <v>CHAT GPT</v>
      </c>
      <c r="I3953" t="str">
        <f t="shared" si="732"/>
        <v>01/10/2025</v>
      </c>
      <c r="J3953" t="str">
        <f>("01/08/2025")</f>
        <v>01/08/2025</v>
      </c>
      <c r="K3953" t="str">
        <f>("01/10/2025")</f>
        <v>01/10/2025</v>
      </c>
      <c r="L3953">
        <v>130.49</v>
      </c>
      <c r="M3953">
        <v>130.49</v>
      </c>
      <c r="N3953">
        <v>104</v>
      </c>
      <c r="O3953" t="str">
        <f>"SOFTWARE / LICENÇAS"</f>
        <v>SOFTWARE / LICENÇAS</v>
      </c>
      <c r="P3953">
        <v>130.49</v>
      </c>
      <c r="S3953" t="str">
        <f>"BANCO CORA (102)"</f>
        <v>BANCO CORA (102)</v>
      </c>
      <c r="T3953">
        <v>18910</v>
      </c>
      <c r="U3953">
        <v>19904</v>
      </c>
      <c r="V3953" t="s">
        <v>22</v>
      </c>
    </row>
    <row r="3954" spans="1:22">
      <c r="A3954" t="str">
        <f t="shared" si="729"/>
        <v>01/10/2025</v>
      </c>
      <c r="B3954" t="str">
        <f t="shared" si="737"/>
        <v>SAÍDA</v>
      </c>
      <c r="C3954" t="str">
        <f>"PIX"</f>
        <v>PIX</v>
      </c>
      <c r="D3954" t="str">
        <f>"01082513049"</f>
        <v>01082513049</v>
      </c>
      <c r="E3954" t="str">
        <f>"10"</f>
        <v>10</v>
      </c>
      <c r="F3954" t="str">
        <f t="shared" si="733"/>
        <v>COM</v>
      </c>
      <c r="G3954" t="str">
        <f>"54.235.509 ROBERT MAGDIEL DE CARVALHO (20004)"</f>
        <v>54.235.509 ROBERT MAGDIEL DE CARVALHO (20004)</v>
      </c>
      <c r="H3954" t="s">
        <v>39</v>
      </c>
      <c r="I3954" t="str">
        <f t="shared" si="732"/>
        <v>01/10/2025</v>
      </c>
      <c r="J3954" t="str">
        <f>("01/08/2025")</f>
        <v>01/08/2025</v>
      </c>
      <c r="K3954">
        <v>45931</v>
      </c>
      <c r="N3954">
        <v>104</v>
      </c>
      <c r="O3954" t="s">
        <v>34</v>
      </c>
      <c r="Q3954">
        <v>130.49</v>
      </c>
      <c r="R3954" t="str">
        <f>"54.235.509 ROBERT MAGDIEL DE CARVALHO (20004)"</f>
        <v>54.235.509 ROBERT MAGDIEL DE CARVALHO (20004)</v>
      </c>
      <c r="S3954" t="s">
        <v>22</v>
      </c>
      <c r="T3954">
        <v>18910</v>
      </c>
      <c r="U3954">
        <v>19904</v>
      </c>
      <c r="V3954" t="s">
        <v>22</v>
      </c>
    </row>
    <row r="3955" spans="1:22">
      <c r="A3955" t="str">
        <f t="shared" si="729"/>
        <v>01/10/2025</v>
      </c>
      <c r="B3955" t="str">
        <f t="shared" si="737"/>
        <v>SAÍDA</v>
      </c>
      <c r="C3955" t="str">
        <f>"JUROS"</f>
        <v>JUROS</v>
      </c>
      <c r="D3955" t="str">
        <f>""</f>
        <v/>
      </c>
      <c r="F3955" t="str">
        <f>"CXA"</f>
        <v>CXA</v>
      </c>
      <c r="G3955" t="str">
        <f>""</f>
        <v/>
      </c>
      <c r="H3955" t="str">
        <f>"TARIFA BANCÁRIA BANCO CORA"</f>
        <v>TARIFA BANCÁRIA BANCO CORA</v>
      </c>
      <c r="I3955" t="str">
        <f t="shared" si="732"/>
        <v>01/10/2025</v>
      </c>
      <c r="J3955" t="str">
        <f>("01/10/2025")</f>
        <v>01/10/2025</v>
      </c>
      <c r="K3955" t="str">
        <f>("01/10/2025")</f>
        <v>01/10/2025</v>
      </c>
      <c r="L3955">
        <v>8.5</v>
      </c>
      <c r="M3955">
        <v>8.5</v>
      </c>
      <c r="N3955">
        <v>401</v>
      </c>
      <c r="O3955" t="str">
        <f>"IOF/JUROS/DESP.FINANCEIRA"</f>
        <v>IOF/JUROS/DESP.FINANCEIRA</v>
      </c>
      <c r="P3955">
        <v>8.5</v>
      </c>
      <c r="S3955" t="str">
        <f>"BANCO CORA (102)"</f>
        <v>BANCO CORA (102)</v>
      </c>
      <c r="T3955">
        <v>18911</v>
      </c>
      <c r="U3955">
        <v>0</v>
      </c>
      <c r="V3955" t="s">
        <v>1112</v>
      </c>
    </row>
    <row r="3956" spans="1:22">
      <c r="A3956" t="str">
        <f t="shared" si="729"/>
        <v>01/10/2025</v>
      </c>
      <c r="B3956" t="str">
        <f t="shared" si="737"/>
        <v>SAÍDA</v>
      </c>
      <c r="C3956" t="str">
        <f t="shared" ref="C3956:C3961" si="738">"PIX"</f>
        <v>PIX</v>
      </c>
      <c r="D3956" t="str">
        <f>"23062"</f>
        <v>23062</v>
      </c>
      <c r="E3956" t="str">
        <f t="shared" ref="E3956:E3961" si="739">"1"</f>
        <v>1</v>
      </c>
      <c r="F3956" t="str">
        <f t="shared" ref="F3956:F4019" si="740">"COM"</f>
        <v>COM</v>
      </c>
      <c r="G3956" t="str">
        <f>"WILLIAM DA SILVA COSTA (655)"</f>
        <v>WILLIAM DA SILVA COSTA (655)</v>
      </c>
      <c r="H3956" t="str">
        <f>"Serv.Prest. 29/09/2025 a 05/10/2025 - PIX: CELULAR - CHAVE: (64) 97400-9101"</f>
        <v>Serv.Prest. 29/09/2025 a 05/10/2025 - PIX: CELULAR - CHAVE: (64) 97400-9101</v>
      </c>
      <c r="I3956" t="str">
        <f>("09/10/2025")</f>
        <v>09/10/2025</v>
      </c>
      <c r="J3956" t="str">
        <f>("08/10/2025")</f>
        <v>08/10/2025</v>
      </c>
      <c r="K3956" t="str">
        <f>("01/10/2025")</f>
        <v>01/10/2025</v>
      </c>
      <c r="L3956">
        <v>119</v>
      </c>
      <c r="M3956">
        <v>150</v>
      </c>
      <c r="N3956">
        <v>109</v>
      </c>
      <c r="O3956" t="str">
        <f>"PAGAMENTO DE ENTREGADORES"</f>
        <v>PAGAMENTO DE ENTREGADORES</v>
      </c>
      <c r="P3956">
        <v>150</v>
      </c>
      <c r="S3956" t="str">
        <f>"BANCO CORA (102)"</f>
        <v>BANCO CORA (102)</v>
      </c>
      <c r="T3956">
        <v>19171</v>
      </c>
      <c r="U3956">
        <v>23067</v>
      </c>
      <c r="V3956" t="s">
        <v>22</v>
      </c>
    </row>
    <row r="3957" spans="1:22">
      <c r="A3957" t="str">
        <f t="shared" si="729"/>
        <v>01/10/2025</v>
      </c>
      <c r="B3957" t="str">
        <f t="shared" si="737"/>
        <v>SAÍDA</v>
      </c>
      <c r="C3957" t="str">
        <f t="shared" si="738"/>
        <v>PIX</v>
      </c>
      <c r="D3957" t="str">
        <f>"23062"</f>
        <v>23062</v>
      </c>
      <c r="E3957" t="str">
        <f t="shared" si="739"/>
        <v>1</v>
      </c>
      <c r="F3957" t="str">
        <f t="shared" si="740"/>
        <v>COM</v>
      </c>
      <c r="G3957" t="str">
        <f>"WILLIAM DA SILVA COSTA (655)"</f>
        <v>WILLIAM DA SILVA COSTA (655)</v>
      </c>
      <c r="H3957" t="s">
        <v>1113</v>
      </c>
      <c r="I3957" t="str">
        <f>("09/10/2025")</f>
        <v>09/10/2025</v>
      </c>
      <c r="J3957" t="str">
        <f>("08/10/2025")</f>
        <v>08/10/2025</v>
      </c>
      <c r="K3957">
        <v>45931</v>
      </c>
      <c r="N3957">
        <v>109</v>
      </c>
      <c r="O3957" t="s">
        <v>24</v>
      </c>
      <c r="Q3957">
        <v>150</v>
      </c>
      <c r="R3957" t="str">
        <f>"FARMACIA ECONOMIZE (10103)"</f>
        <v>FARMACIA ECONOMIZE (10103)</v>
      </c>
      <c r="S3957" t="s">
        <v>22</v>
      </c>
      <c r="T3957">
        <v>19171</v>
      </c>
      <c r="U3957">
        <v>23067</v>
      </c>
      <c r="V3957" t="s">
        <v>22</v>
      </c>
    </row>
    <row r="3958" spans="1:22">
      <c r="A3958" t="str">
        <f t="shared" si="729"/>
        <v>01/10/2025</v>
      </c>
      <c r="B3958" t="str">
        <f t="shared" si="737"/>
        <v>SAÍDA</v>
      </c>
      <c r="C3958" t="str">
        <f t="shared" si="738"/>
        <v>PIX</v>
      </c>
      <c r="D3958" t="str">
        <f>"22829"</f>
        <v>22829</v>
      </c>
      <c r="E3958" t="str">
        <f t="shared" si="739"/>
        <v>1</v>
      </c>
      <c r="F3958" t="str">
        <f t="shared" si="740"/>
        <v>COM</v>
      </c>
      <c r="G3958" t="str">
        <f>"RENAN KEVIN MOURA ASSUNCAO (538)"</f>
        <v>RENAN KEVIN MOURA ASSUNCAO (538)</v>
      </c>
      <c r="H3958" t="str">
        <f>"Serv.Prest. 29/09/2025 a 05/10/2025 - PIX: CELULAR - CHAVE: (11) 99111-0464"</f>
        <v>Serv.Prest. 29/09/2025 a 05/10/2025 - PIX: CELULAR - CHAVE: (11) 99111-0464</v>
      </c>
      <c r="I3958" t="str">
        <f>("07/10/2025")</f>
        <v>07/10/2025</v>
      </c>
      <c r="J3958" t="str">
        <f>("06/10/2025")</f>
        <v>06/10/2025</v>
      </c>
      <c r="K3958" t="str">
        <f>("01/10/2025")</f>
        <v>01/10/2025</v>
      </c>
      <c r="L3958">
        <v>280</v>
      </c>
      <c r="M3958">
        <v>280</v>
      </c>
      <c r="N3958">
        <v>109</v>
      </c>
      <c r="O3958" t="str">
        <f>"PAGAMENTO DE ENTREGADORES"</f>
        <v>PAGAMENTO DE ENTREGADORES</v>
      </c>
      <c r="P3958">
        <v>280</v>
      </c>
      <c r="S3958" t="str">
        <f>"BANCO CORA (102)"</f>
        <v>BANCO CORA (102)</v>
      </c>
      <c r="T3958">
        <v>19195</v>
      </c>
      <c r="U3958">
        <v>23093</v>
      </c>
      <c r="V3958" t="s">
        <v>22</v>
      </c>
    </row>
    <row r="3959" spans="1:22">
      <c r="A3959" t="str">
        <f t="shared" si="729"/>
        <v>01/10/2025</v>
      </c>
      <c r="B3959" t="str">
        <f t="shared" si="737"/>
        <v>SAÍDA</v>
      </c>
      <c r="C3959" t="str">
        <f t="shared" si="738"/>
        <v>PIX</v>
      </c>
      <c r="D3959" t="str">
        <f>"22829"</f>
        <v>22829</v>
      </c>
      <c r="E3959" t="str">
        <f t="shared" si="739"/>
        <v>1</v>
      </c>
      <c r="F3959" t="str">
        <f t="shared" si="740"/>
        <v>COM</v>
      </c>
      <c r="G3959" t="str">
        <f>"RENAN KEVIN MOURA ASSUNCAO (538)"</f>
        <v>RENAN KEVIN MOURA ASSUNCAO (538)</v>
      </c>
      <c r="H3959" t="s">
        <v>1114</v>
      </c>
      <c r="I3959" t="str">
        <f>("07/10/2025")</f>
        <v>07/10/2025</v>
      </c>
      <c r="J3959" t="str">
        <f>("06/10/2025")</f>
        <v>06/10/2025</v>
      </c>
      <c r="K3959">
        <v>45931</v>
      </c>
      <c r="N3959">
        <v>109</v>
      </c>
      <c r="O3959" t="s">
        <v>24</v>
      </c>
      <c r="Q3959">
        <v>280</v>
      </c>
      <c r="R3959" t="str">
        <f>"DROGA ELIDA (10121)"</f>
        <v>DROGA ELIDA (10121)</v>
      </c>
      <c r="S3959" t="s">
        <v>22</v>
      </c>
      <c r="T3959">
        <v>19195</v>
      </c>
      <c r="U3959">
        <v>23093</v>
      </c>
      <c r="V3959" t="s">
        <v>22</v>
      </c>
    </row>
    <row r="3960" spans="1:22">
      <c r="A3960" t="str">
        <f t="shared" si="729"/>
        <v>01/10/2025</v>
      </c>
      <c r="B3960" t="str">
        <f t="shared" si="737"/>
        <v>SAÍDA</v>
      </c>
      <c r="C3960" t="str">
        <f t="shared" si="738"/>
        <v>PIX</v>
      </c>
      <c r="D3960" t="str">
        <f>"22845"</f>
        <v>22845</v>
      </c>
      <c r="E3960" t="str">
        <f t="shared" si="739"/>
        <v>1</v>
      </c>
      <c r="F3960" t="str">
        <f t="shared" si="740"/>
        <v>COM</v>
      </c>
      <c r="G3960" t="str">
        <f>"ALESSANDRO SILVA DOS SANTOS (966)"</f>
        <v>ALESSANDRO SILVA DOS SANTOS (966)</v>
      </c>
      <c r="H3960" t="str">
        <f>"Serv.Prest. 29/09/2025 a 05/10/2025 - PIX: E-MAIL - CHAVE: silvaalessandro3909@gmail.com"</f>
        <v>Serv.Prest. 29/09/2025 a 05/10/2025 - PIX: E-MAIL - CHAVE: silvaalessandro3909@gmail.com</v>
      </c>
      <c r="I3960" t="str">
        <f>("07/10/2025")</f>
        <v>07/10/2025</v>
      </c>
      <c r="J3960" t="str">
        <f>("06/10/2025")</f>
        <v>06/10/2025</v>
      </c>
      <c r="K3960" t="str">
        <f>("01/10/2025")</f>
        <v>01/10/2025</v>
      </c>
      <c r="L3960">
        <v>140</v>
      </c>
      <c r="M3960">
        <v>140</v>
      </c>
      <c r="N3960">
        <v>134</v>
      </c>
      <c r="O3960" t="str">
        <f>"DIARIA DE MOTOBOY"</f>
        <v>DIARIA DE MOTOBOY</v>
      </c>
      <c r="P3960">
        <v>140</v>
      </c>
      <c r="S3960" t="str">
        <f>"BANCO CORA (102)"</f>
        <v>BANCO CORA (102)</v>
      </c>
      <c r="T3960">
        <v>19203</v>
      </c>
      <c r="U3960">
        <v>23098</v>
      </c>
      <c r="V3960" t="s">
        <v>22</v>
      </c>
    </row>
    <row r="3961" spans="1:22">
      <c r="A3961" t="str">
        <f t="shared" si="729"/>
        <v>01/10/2025</v>
      </c>
      <c r="B3961" t="str">
        <f t="shared" si="737"/>
        <v>SAÍDA</v>
      </c>
      <c r="C3961" t="str">
        <f t="shared" si="738"/>
        <v>PIX</v>
      </c>
      <c r="D3961" t="str">
        <f>"22845"</f>
        <v>22845</v>
      </c>
      <c r="E3961" t="str">
        <f t="shared" si="739"/>
        <v>1</v>
      </c>
      <c r="F3961" t="str">
        <f t="shared" si="740"/>
        <v>COM</v>
      </c>
      <c r="G3961" t="str">
        <f>"ALESSANDRO SILVA DOS SANTOS (966)"</f>
        <v>ALESSANDRO SILVA DOS SANTOS (966)</v>
      </c>
      <c r="H3961" t="s">
        <v>1088</v>
      </c>
      <c r="I3961" t="str">
        <f>("07/10/2025")</f>
        <v>07/10/2025</v>
      </c>
      <c r="J3961" t="str">
        <f>("06/10/2025")</f>
        <v>06/10/2025</v>
      </c>
      <c r="K3961">
        <v>45931</v>
      </c>
      <c r="N3961">
        <v>134</v>
      </c>
      <c r="O3961" t="s">
        <v>41</v>
      </c>
      <c r="Q3961">
        <v>140</v>
      </c>
      <c r="R3961" t="str">
        <f>"PENSE FARMA 22 (10198)"</f>
        <v>PENSE FARMA 22 (10198)</v>
      </c>
      <c r="S3961" t="s">
        <v>22</v>
      </c>
      <c r="T3961">
        <v>19203</v>
      </c>
      <c r="U3961">
        <v>23098</v>
      </c>
      <c r="V3961" t="s">
        <v>22</v>
      </c>
    </row>
    <row r="3962" spans="1:22">
      <c r="A3962" t="str">
        <f t="shared" si="729"/>
        <v>01/10/2025</v>
      </c>
      <c r="B3962" t="str">
        <f t="shared" si="737"/>
        <v>SAÍDA</v>
      </c>
      <c r="C3962" t="str">
        <f>"BOLETO"</f>
        <v>BOLETO</v>
      </c>
      <c r="D3962" t="str">
        <f>"16093"</f>
        <v>16093</v>
      </c>
      <c r="E3962" t="str">
        <f>"6"</f>
        <v>6</v>
      </c>
      <c r="F3962" t="str">
        <f t="shared" si="740"/>
        <v>COM</v>
      </c>
      <c r="G3962" t="str">
        <f>"OPEN DATACENTER BRASIL LTDA (20044)"</f>
        <v>OPEN DATACENTER BRASIL LTDA (20044)</v>
      </c>
      <c r="H3962" t="str">
        <f>"01/08 PROPOSTA 075527/2024 Máquina Dedicada Virtual – BR 2 vCPU Licenciadas com Windows Server 2019"</f>
        <v>01/08 PROPOSTA 075527/2024 Máquina Dedicada Virtual – BR 2 vCPU Licenciadas com Windows Server 2019</v>
      </c>
      <c r="I3962" t="str">
        <f>("01/10/2025")</f>
        <v>01/10/2025</v>
      </c>
      <c r="J3962" t="str">
        <f>("22/04/2025")</f>
        <v>22/04/2025</v>
      </c>
      <c r="K3962" t="str">
        <f>("01/10/2025")</f>
        <v>01/10/2025</v>
      </c>
      <c r="L3962">
        <v>400.13</v>
      </c>
      <c r="M3962">
        <v>400.13</v>
      </c>
      <c r="N3962">
        <v>104</v>
      </c>
      <c r="O3962" t="str">
        <f>"SOFTWARE / LICENÇAS"</f>
        <v>SOFTWARE / LICENÇAS</v>
      </c>
      <c r="P3962">
        <v>400.13</v>
      </c>
      <c r="S3962" t="str">
        <f>"BANCO CORA (102)"</f>
        <v>BANCO CORA (102)</v>
      </c>
      <c r="T3962">
        <v>19544</v>
      </c>
      <c r="U3962">
        <v>13392</v>
      </c>
      <c r="V3962" t="s">
        <v>22</v>
      </c>
    </row>
    <row r="3963" spans="1:22">
      <c r="A3963" t="str">
        <f t="shared" si="729"/>
        <v>01/10/2025</v>
      </c>
      <c r="B3963" t="str">
        <f t="shared" si="737"/>
        <v>SAÍDA</v>
      </c>
      <c r="C3963" t="str">
        <f>"BOLETO"</f>
        <v>BOLETO</v>
      </c>
      <c r="D3963" t="str">
        <f>"16093"</f>
        <v>16093</v>
      </c>
      <c r="E3963" t="str">
        <f>"6"</f>
        <v>6</v>
      </c>
      <c r="F3963" t="str">
        <f t="shared" si="740"/>
        <v>COM</v>
      </c>
      <c r="G3963" t="str">
        <f>"OPEN DATACENTER BRASIL LTDA (20044)"</f>
        <v>OPEN DATACENTER BRASIL LTDA (20044)</v>
      </c>
      <c r="H3963" t="s">
        <v>36</v>
      </c>
      <c r="I3963" t="str">
        <f>("01/10/2025")</f>
        <v>01/10/2025</v>
      </c>
      <c r="J3963" t="str">
        <f>("22/04/2025")</f>
        <v>22/04/2025</v>
      </c>
      <c r="K3963">
        <v>45931</v>
      </c>
      <c r="N3963">
        <v>104</v>
      </c>
      <c r="O3963" t="s">
        <v>34</v>
      </c>
      <c r="Q3963">
        <v>400.13</v>
      </c>
      <c r="R3963" t="str">
        <f>"OPEN DATACENTER BRASIL LTDA (20044)"</f>
        <v>OPEN DATACENTER BRASIL LTDA (20044)</v>
      </c>
      <c r="S3963" t="s">
        <v>22</v>
      </c>
      <c r="T3963">
        <v>19544</v>
      </c>
      <c r="U3963">
        <v>13392</v>
      </c>
      <c r="V3963" t="s">
        <v>22</v>
      </c>
    </row>
    <row r="3964" spans="1:22">
      <c r="A3964" t="str">
        <f t="shared" ref="A3964:A4027" si="741">("02/10/2025")</f>
        <v>02/10/2025</v>
      </c>
      <c r="B3964" t="str">
        <f t="shared" si="737"/>
        <v>SAÍDA</v>
      </c>
      <c r="C3964" t="str">
        <f t="shared" ref="C3964:C4027" si="742">"PIX"</f>
        <v>PIX</v>
      </c>
      <c r="D3964" t="str">
        <f>"0210"</f>
        <v>0210</v>
      </c>
      <c r="E3964" t="str">
        <f>"25"</f>
        <v>25</v>
      </c>
      <c r="F3964" t="str">
        <f t="shared" si="740"/>
        <v>COM</v>
      </c>
      <c r="G3964" t="str">
        <f>"MATEUS JADSON SANTANA RIBEIRO (769)"</f>
        <v>MATEUS JADSON SANTANA RIBEIRO (769)</v>
      </c>
      <c r="H3964" t="str">
        <f>"DEVOLUCAO 5 COTAS COOPERATIVA"</f>
        <v>DEVOLUCAO 5 COTAS COOPERATIVA</v>
      </c>
      <c r="I3964" t="str">
        <f t="shared" ref="I3964:I4027" si="743">("02/10/2025")</f>
        <v>02/10/2025</v>
      </c>
      <c r="J3964" t="str">
        <f>("26/09/2025")</f>
        <v>26/09/2025</v>
      </c>
      <c r="K3964" t="str">
        <f>("02/10/2025")</f>
        <v>02/10/2025</v>
      </c>
      <c r="L3964">
        <v>100</v>
      </c>
      <c r="M3964">
        <v>100</v>
      </c>
      <c r="N3964">
        <v>130</v>
      </c>
      <c r="O3964" t="str">
        <f>"DEVOLUÇÃO COTA COOPERATIVA"</f>
        <v>DEVOLUÇÃO COTA COOPERATIVA</v>
      </c>
      <c r="P3964">
        <v>100</v>
      </c>
      <c r="S3964" t="str">
        <f>"BANCO CORA (102)"</f>
        <v>BANCO CORA (102)</v>
      </c>
      <c r="T3964">
        <v>18898</v>
      </c>
      <c r="U3964">
        <v>22798</v>
      </c>
      <c r="V3964" t="s">
        <v>22</v>
      </c>
    </row>
    <row r="3965" spans="1:22">
      <c r="A3965" t="str">
        <f t="shared" si="741"/>
        <v>02/10/2025</v>
      </c>
      <c r="B3965" t="str">
        <f t="shared" si="737"/>
        <v>SAÍDA</v>
      </c>
      <c r="C3965" t="str">
        <f t="shared" si="742"/>
        <v>PIX</v>
      </c>
      <c r="D3965" t="str">
        <f>"0210"</f>
        <v>0210</v>
      </c>
      <c r="E3965" t="str">
        <f>"25"</f>
        <v>25</v>
      </c>
      <c r="F3965" t="str">
        <f t="shared" si="740"/>
        <v>COM</v>
      </c>
      <c r="G3965" t="str">
        <f>"MATEUS JADSON SANTANA RIBEIRO (769)"</f>
        <v>MATEUS JADSON SANTANA RIBEIRO (769)</v>
      </c>
      <c r="H3965" t="s">
        <v>1115</v>
      </c>
      <c r="I3965" t="str">
        <f t="shared" si="743"/>
        <v>02/10/2025</v>
      </c>
      <c r="J3965" t="str">
        <f>("26/09/2025")</f>
        <v>26/09/2025</v>
      </c>
      <c r="K3965">
        <v>45932</v>
      </c>
      <c r="N3965">
        <v>130</v>
      </c>
      <c r="O3965" t="s">
        <v>291</v>
      </c>
      <c r="Q3965">
        <v>100</v>
      </c>
      <c r="R3965" t="str">
        <f>"MATEUS JADSON SANTANA RIBEIRO (769)"</f>
        <v>MATEUS JADSON SANTANA RIBEIRO (769)</v>
      </c>
      <c r="S3965" t="s">
        <v>22</v>
      </c>
      <c r="T3965">
        <v>18898</v>
      </c>
      <c r="U3965">
        <v>22798</v>
      </c>
      <c r="V3965" t="s">
        <v>22</v>
      </c>
    </row>
    <row r="3966" spans="1:22">
      <c r="A3966" t="str">
        <f t="shared" si="741"/>
        <v>02/10/2025</v>
      </c>
      <c r="B3966" t="str">
        <f t="shared" si="737"/>
        <v>SAÍDA</v>
      </c>
      <c r="C3966" t="str">
        <f t="shared" si="742"/>
        <v>PIX</v>
      </c>
      <c r="D3966" t="str">
        <f>"0210"</f>
        <v>0210</v>
      </c>
      <c r="E3966" t="str">
        <f>"25"</f>
        <v>25</v>
      </c>
      <c r="F3966" t="str">
        <f t="shared" si="740"/>
        <v>COM</v>
      </c>
      <c r="G3966" t="str">
        <f>"MURILO BARRETO AFONSO (30)"</f>
        <v>MURILO BARRETO AFONSO (30)</v>
      </c>
      <c r="H3966" t="str">
        <f>"Serv.Prest. 22/09/2025 a 28/09/2025 - PIX: CPF - CHAVE: 123.020.026-60"</f>
        <v>Serv.Prest. 22/09/2025 a 28/09/2025 - PIX: CPF - CHAVE: 123.020.026-60</v>
      </c>
      <c r="I3966" t="str">
        <f t="shared" si="743"/>
        <v>02/10/2025</v>
      </c>
      <c r="J3966" t="str">
        <f>("27/09/2025")</f>
        <v>27/09/2025</v>
      </c>
      <c r="K3966" t="str">
        <f>("02/10/2025")</f>
        <v>02/10/2025</v>
      </c>
      <c r="L3966">
        <v>30</v>
      </c>
      <c r="M3966">
        <v>30</v>
      </c>
      <c r="N3966">
        <v>109</v>
      </c>
      <c r="O3966" t="str">
        <f>"PAGAMENTO DE ENTREGADORES"</f>
        <v>PAGAMENTO DE ENTREGADORES</v>
      </c>
      <c r="P3966">
        <v>30</v>
      </c>
      <c r="S3966" t="str">
        <f>"BANCO CORA (102)"</f>
        <v>BANCO CORA (102)</v>
      </c>
      <c r="T3966">
        <v>18899</v>
      </c>
      <c r="U3966">
        <v>22660</v>
      </c>
      <c r="V3966" t="s">
        <v>22</v>
      </c>
    </row>
    <row r="3967" spans="1:22">
      <c r="A3967" t="str">
        <f t="shared" si="741"/>
        <v>02/10/2025</v>
      </c>
      <c r="B3967" t="str">
        <f t="shared" si="737"/>
        <v>SAÍDA</v>
      </c>
      <c r="C3967" t="str">
        <f t="shared" si="742"/>
        <v>PIX</v>
      </c>
      <c r="D3967" t="str">
        <f>"0210"</f>
        <v>0210</v>
      </c>
      <c r="E3967" t="str">
        <f>"25"</f>
        <v>25</v>
      </c>
      <c r="F3967" t="str">
        <f t="shared" si="740"/>
        <v>COM</v>
      </c>
      <c r="G3967" t="str">
        <f>"MURILO BARRETO AFONSO (30)"</f>
        <v>MURILO BARRETO AFONSO (30)</v>
      </c>
      <c r="H3967" t="s">
        <v>1116</v>
      </c>
      <c r="I3967" t="str">
        <f t="shared" si="743"/>
        <v>02/10/2025</v>
      </c>
      <c r="J3967" t="str">
        <f>("27/09/2025")</f>
        <v>27/09/2025</v>
      </c>
      <c r="K3967">
        <v>45932</v>
      </c>
      <c r="N3967">
        <v>109</v>
      </c>
      <c r="O3967" t="s">
        <v>24</v>
      </c>
      <c r="Q3967">
        <v>16.170000000000002</v>
      </c>
      <c r="R3967" t="str">
        <f>"FARMÁCIA INDIANA LJ 118 (10052)"</f>
        <v>FARMÁCIA INDIANA LJ 118 (10052)</v>
      </c>
      <c r="S3967" t="s">
        <v>22</v>
      </c>
      <c r="T3967">
        <v>18899</v>
      </c>
      <c r="U3967">
        <v>22660</v>
      </c>
      <c r="V3967" t="s">
        <v>22</v>
      </c>
    </row>
    <row r="3968" spans="1:22">
      <c r="A3968" t="str">
        <f t="shared" si="741"/>
        <v>02/10/2025</v>
      </c>
      <c r="B3968" t="str">
        <f t="shared" si="737"/>
        <v>SAÍDA</v>
      </c>
      <c r="C3968" t="str">
        <f t="shared" si="742"/>
        <v>PIX</v>
      </c>
      <c r="D3968" t="str">
        <f>"0210"</f>
        <v>0210</v>
      </c>
      <c r="E3968" t="str">
        <f>"25"</f>
        <v>25</v>
      </c>
      <c r="F3968" t="str">
        <f t="shared" si="740"/>
        <v>COM</v>
      </c>
      <c r="G3968" t="str">
        <f>"MURILO BARRETO AFONSO (30)"</f>
        <v>MURILO BARRETO AFONSO (30)</v>
      </c>
      <c r="H3968" t="s">
        <v>1116</v>
      </c>
      <c r="I3968" t="str">
        <f t="shared" si="743"/>
        <v>02/10/2025</v>
      </c>
      <c r="J3968" t="str">
        <f>("27/09/2025")</f>
        <v>27/09/2025</v>
      </c>
      <c r="K3968">
        <v>45932</v>
      </c>
      <c r="N3968">
        <v>109</v>
      </c>
      <c r="O3968" t="s">
        <v>24</v>
      </c>
      <c r="Q3968">
        <v>13.83</v>
      </c>
      <c r="R3968" t="str">
        <f>"FARMÁCIA INDIANA LJ 192 (10082)"</f>
        <v>FARMÁCIA INDIANA LJ 192 (10082)</v>
      </c>
      <c r="S3968" t="s">
        <v>22</v>
      </c>
      <c r="T3968">
        <v>18899</v>
      </c>
      <c r="U3968">
        <v>22660</v>
      </c>
      <c r="V3968" t="s">
        <v>22</v>
      </c>
    </row>
    <row r="3969" spans="1:22">
      <c r="A3969" t="str">
        <f t="shared" si="741"/>
        <v>02/10/2025</v>
      </c>
      <c r="B3969" t="str">
        <f t="shared" si="737"/>
        <v>SAÍDA</v>
      </c>
      <c r="C3969" t="str">
        <f t="shared" si="742"/>
        <v>PIX</v>
      </c>
      <c r="D3969" t="str">
        <f>"22512"</f>
        <v>22512</v>
      </c>
      <c r="E3969" t="str">
        <f t="shared" ref="E3969:E4000" si="744">"1"</f>
        <v>1</v>
      </c>
      <c r="F3969" t="str">
        <f t="shared" si="740"/>
        <v>COM</v>
      </c>
      <c r="G3969" t="str">
        <f>"HELITON DE OLIVEIRA RAMOS BARBOSA (724)"</f>
        <v>HELITON DE OLIVEIRA RAMOS BARBOSA (724)</v>
      </c>
      <c r="H3969" t="str">
        <f>"Serv.Prest. 15/09/2025 a 21/09/2025 - PIX: CPF - CHAVE: 074.604.219-10"</f>
        <v>Serv.Prest. 15/09/2025 a 21/09/2025 - PIX: CPF - CHAVE: 074.604.219-10</v>
      </c>
      <c r="I3969" t="str">
        <f t="shared" si="743"/>
        <v>02/10/2025</v>
      </c>
      <c r="J3969" t="str">
        <f>("24/09/2025")</f>
        <v>24/09/2025</v>
      </c>
      <c r="K3969" t="str">
        <f>("02/10/2025")</f>
        <v>02/10/2025</v>
      </c>
      <c r="L3969">
        <v>81.900000000000006</v>
      </c>
      <c r="M3969">
        <v>81.900000000000006</v>
      </c>
      <c r="N3969">
        <v>109</v>
      </c>
      <c r="O3969" t="str">
        <f>"PAGAMENTO DE ENTREGADORES"</f>
        <v>PAGAMENTO DE ENTREGADORES</v>
      </c>
      <c r="P3969">
        <v>81.900000000000006</v>
      </c>
      <c r="S3969" t="str">
        <f>"BANCO C6 (149)"</f>
        <v>BANCO C6 (149)</v>
      </c>
      <c r="T3969">
        <v>18919</v>
      </c>
      <c r="U3969">
        <v>22512</v>
      </c>
      <c r="V3969" t="s">
        <v>77</v>
      </c>
    </row>
    <row r="3970" spans="1:22">
      <c r="A3970" t="str">
        <f t="shared" si="741"/>
        <v>02/10/2025</v>
      </c>
      <c r="B3970" t="str">
        <f t="shared" si="737"/>
        <v>SAÍDA</v>
      </c>
      <c r="C3970" t="str">
        <f t="shared" si="742"/>
        <v>PIX</v>
      </c>
      <c r="D3970" t="str">
        <f>"22512"</f>
        <v>22512</v>
      </c>
      <c r="E3970" t="str">
        <f t="shared" si="744"/>
        <v>1</v>
      </c>
      <c r="F3970" t="str">
        <f t="shared" si="740"/>
        <v>COM</v>
      </c>
      <c r="G3970" t="str">
        <f>"HELITON DE OLIVEIRA RAMOS BARBOSA (724)"</f>
        <v>HELITON DE OLIVEIRA RAMOS BARBOSA (724)</v>
      </c>
      <c r="H3970" t="s">
        <v>1117</v>
      </c>
      <c r="I3970" t="str">
        <f t="shared" si="743"/>
        <v>02/10/2025</v>
      </c>
      <c r="J3970" t="str">
        <f>("24/09/2025")</f>
        <v>24/09/2025</v>
      </c>
      <c r="K3970">
        <v>45932</v>
      </c>
      <c r="N3970">
        <v>109</v>
      </c>
      <c r="O3970" t="s">
        <v>24</v>
      </c>
      <c r="Q3970">
        <v>81.900000000000006</v>
      </c>
      <c r="R3970" t="str">
        <f>"AC FARMA - FLEMINFARMA 5 (10183)"</f>
        <v>AC FARMA - FLEMINFARMA 5 (10183)</v>
      </c>
      <c r="S3970" t="s">
        <v>77</v>
      </c>
      <c r="T3970">
        <v>18919</v>
      </c>
      <c r="U3970">
        <v>22512</v>
      </c>
      <c r="V3970" t="s">
        <v>77</v>
      </c>
    </row>
    <row r="3971" spans="1:22">
      <c r="A3971" t="str">
        <f t="shared" si="741"/>
        <v>02/10/2025</v>
      </c>
      <c r="B3971" t="str">
        <f t="shared" si="737"/>
        <v>SAÍDA</v>
      </c>
      <c r="C3971" t="str">
        <f t="shared" si="742"/>
        <v>PIX</v>
      </c>
      <c r="D3971" t="str">
        <f>"22511"</f>
        <v>22511</v>
      </c>
      <c r="E3971" t="str">
        <f t="shared" si="744"/>
        <v>1</v>
      </c>
      <c r="F3971" t="str">
        <f t="shared" si="740"/>
        <v>COM</v>
      </c>
      <c r="G3971" t="str">
        <f>"GERALDO SEVERINO DE SANTANA (729)"</f>
        <v>GERALDO SEVERINO DE SANTANA (729)</v>
      </c>
      <c r="H3971" t="str">
        <f>"Serv.Prest. 15/09/2025 a 21/09/2025 - PIX: CELULAR - CHAVE: (43) 99934-1696"</f>
        <v>Serv.Prest. 15/09/2025 a 21/09/2025 - PIX: CELULAR - CHAVE: (43) 99934-1696</v>
      </c>
      <c r="I3971" t="str">
        <f t="shared" si="743"/>
        <v>02/10/2025</v>
      </c>
      <c r="J3971" t="str">
        <f>("24/09/2025")</f>
        <v>24/09/2025</v>
      </c>
      <c r="K3971" t="str">
        <f>("02/10/2025")</f>
        <v>02/10/2025</v>
      </c>
      <c r="L3971">
        <v>157.5</v>
      </c>
      <c r="M3971">
        <v>157.5</v>
      </c>
      <c r="N3971">
        <v>109</v>
      </c>
      <c r="O3971" t="str">
        <f>"PAGAMENTO DE ENTREGADORES"</f>
        <v>PAGAMENTO DE ENTREGADORES</v>
      </c>
      <c r="P3971">
        <v>157.5</v>
      </c>
      <c r="S3971" t="str">
        <f>"BANCO C6 (149)"</f>
        <v>BANCO C6 (149)</v>
      </c>
      <c r="T3971">
        <v>18920</v>
      </c>
      <c r="U3971">
        <v>22511</v>
      </c>
      <c r="V3971" t="s">
        <v>77</v>
      </c>
    </row>
    <row r="3972" spans="1:22">
      <c r="A3972" t="str">
        <f t="shared" si="741"/>
        <v>02/10/2025</v>
      </c>
      <c r="B3972" t="str">
        <f t="shared" si="737"/>
        <v>SAÍDA</v>
      </c>
      <c r="C3972" t="str">
        <f t="shared" si="742"/>
        <v>PIX</v>
      </c>
      <c r="D3972" t="str">
        <f>"22511"</f>
        <v>22511</v>
      </c>
      <c r="E3972" t="str">
        <f t="shared" si="744"/>
        <v>1</v>
      </c>
      <c r="F3972" t="str">
        <f t="shared" si="740"/>
        <v>COM</v>
      </c>
      <c r="G3972" t="str">
        <f>"GERALDO SEVERINO DE SANTANA (729)"</f>
        <v>GERALDO SEVERINO DE SANTANA (729)</v>
      </c>
      <c r="H3972" t="s">
        <v>1118</v>
      </c>
      <c r="I3972" t="str">
        <f t="shared" si="743"/>
        <v>02/10/2025</v>
      </c>
      <c r="J3972" t="str">
        <f>("24/09/2025")</f>
        <v>24/09/2025</v>
      </c>
      <c r="K3972">
        <v>45932</v>
      </c>
      <c r="N3972">
        <v>109</v>
      </c>
      <c r="O3972" t="s">
        <v>24</v>
      </c>
      <c r="Q3972">
        <v>157.5</v>
      </c>
      <c r="R3972" t="str">
        <f>"AC FARMA - FLEMINFARMA 5 (10183)"</f>
        <v>AC FARMA - FLEMINFARMA 5 (10183)</v>
      </c>
      <c r="S3972" t="s">
        <v>77</v>
      </c>
      <c r="T3972">
        <v>18920</v>
      </c>
      <c r="U3972">
        <v>22511</v>
      </c>
      <c r="V3972" t="s">
        <v>77</v>
      </c>
    </row>
    <row r="3973" spans="1:22">
      <c r="A3973" t="str">
        <f t="shared" si="741"/>
        <v>02/10/2025</v>
      </c>
      <c r="B3973" t="str">
        <f t="shared" si="737"/>
        <v>SAÍDA</v>
      </c>
      <c r="C3973" t="str">
        <f t="shared" si="742"/>
        <v>PIX</v>
      </c>
      <c r="D3973" t="str">
        <f>"22391"</f>
        <v>22391</v>
      </c>
      <c r="E3973" t="str">
        <f t="shared" si="744"/>
        <v>1</v>
      </c>
      <c r="F3973" t="str">
        <f t="shared" si="740"/>
        <v>COM</v>
      </c>
      <c r="G3973" t="str">
        <f>"RENATO GEORGE GONÇALVES (191)"</f>
        <v>RENATO GEORGE GONÇALVES (191)</v>
      </c>
      <c r="H3973" t="str">
        <f>"Serv.Prest. 15/09/2025 a 21/09/2025 - PIX: CPF - CHAVE: 012.783.036-77"</f>
        <v>Serv.Prest. 15/09/2025 a 21/09/2025 - PIX: CPF - CHAVE: 012.783.036-77</v>
      </c>
      <c r="I3973" t="str">
        <f t="shared" si="743"/>
        <v>02/10/2025</v>
      </c>
      <c r="J3973" t="str">
        <f t="shared" ref="J3973:J4004" si="745">("23/09/2025")</f>
        <v>23/09/2025</v>
      </c>
      <c r="K3973" t="str">
        <f>("02/10/2025")</f>
        <v>02/10/2025</v>
      </c>
      <c r="L3973">
        <v>1080</v>
      </c>
      <c r="M3973">
        <v>1080</v>
      </c>
      <c r="N3973">
        <v>109</v>
      </c>
      <c r="O3973" t="str">
        <f>"PAGAMENTO DE ENTREGADORES"</f>
        <v>PAGAMENTO DE ENTREGADORES</v>
      </c>
      <c r="P3973">
        <v>1080</v>
      </c>
      <c r="S3973" t="str">
        <f>"BANCO C6 (149)"</f>
        <v>BANCO C6 (149)</v>
      </c>
      <c r="T3973">
        <v>18921</v>
      </c>
      <c r="U3973">
        <v>22391</v>
      </c>
      <c r="V3973" t="s">
        <v>77</v>
      </c>
    </row>
    <row r="3974" spans="1:22">
      <c r="A3974" t="str">
        <f t="shared" si="741"/>
        <v>02/10/2025</v>
      </c>
      <c r="B3974" t="str">
        <f t="shared" si="737"/>
        <v>SAÍDA</v>
      </c>
      <c r="C3974" t="str">
        <f t="shared" si="742"/>
        <v>PIX</v>
      </c>
      <c r="D3974" t="str">
        <f>"22391"</f>
        <v>22391</v>
      </c>
      <c r="E3974" t="str">
        <f t="shared" si="744"/>
        <v>1</v>
      </c>
      <c r="F3974" t="str">
        <f t="shared" si="740"/>
        <v>COM</v>
      </c>
      <c r="G3974" t="str">
        <f>"RENATO GEORGE GONÇALVES (191)"</f>
        <v>RENATO GEORGE GONÇALVES (191)</v>
      </c>
      <c r="H3974" t="s">
        <v>1119</v>
      </c>
      <c r="I3974" t="str">
        <f t="shared" si="743"/>
        <v>02/10/2025</v>
      </c>
      <c r="J3974" t="str">
        <f t="shared" si="745"/>
        <v>23/09/2025</v>
      </c>
      <c r="K3974">
        <v>45932</v>
      </c>
      <c r="N3974">
        <v>109</v>
      </c>
      <c r="O3974" t="s">
        <v>24</v>
      </c>
      <c r="Q3974">
        <v>1080</v>
      </c>
      <c r="R3974" t="str">
        <f>"FARMÁCIA INDIANA LJ 06 (10006)"</f>
        <v>FARMÁCIA INDIANA LJ 06 (10006)</v>
      </c>
      <c r="S3974" t="s">
        <v>77</v>
      </c>
      <c r="T3974">
        <v>18921</v>
      </c>
      <c r="U3974">
        <v>22391</v>
      </c>
      <c r="V3974" t="s">
        <v>77</v>
      </c>
    </row>
    <row r="3975" spans="1:22">
      <c r="A3975" t="str">
        <f t="shared" si="741"/>
        <v>02/10/2025</v>
      </c>
      <c r="B3975" t="str">
        <f t="shared" si="737"/>
        <v>SAÍDA</v>
      </c>
      <c r="C3975" t="str">
        <f t="shared" si="742"/>
        <v>PIX</v>
      </c>
      <c r="D3975" t="str">
        <f>"22390"</f>
        <v>22390</v>
      </c>
      <c r="E3975" t="str">
        <f t="shared" si="744"/>
        <v>1</v>
      </c>
      <c r="F3975" t="str">
        <f t="shared" si="740"/>
        <v>COM</v>
      </c>
      <c r="G3975" t="str">
        <f>"RAISSON VITOR MENDES DE ABREU (705)"</f>
        <v>RAISSON VITOR MENDES DE ABREU (705)</v>
      </c>
      <c r="H3975" t="str">
        <f>"Serv.Prest. 15/09/2025 a 21/09/2025 - PIX: CELULAR - CHAVE: (31) 99959-5414"</f>
        <v>Serv.Prest. 15/09/2025 a 21/09/2025 - PIX: CELULAR - CHAVE: (31) 99959-5414</v>
      </c>
      <c r="I3975" t="str">
        <f t="shared" si="743"/>
        <v>02/10/2025</v>
      </c>
      <c r="J3975" t="str">
        <f t="shared" si="745"/>
        <v>23/09/2025</v>
      </c>
      <c r="K3975" t="str">
        <f>("02/10/2025")</f>
        <v>02/10/2025</v>
      </c>
      <c r="L3975">
        <v>800</v>
      </c>
      <c r="M3975">
        <v>800</v>
      </c>
      <c r="N3975">
        <v>109</v>
      </c>
      <c r="O3975" t="str">
        <f>"PAGAMENTO DE ENTREGADORES"</f>
        <v>PAGAMENTO DE ENTREGADORES</v>
      </c>
      <c r="P3975">
        <v>800</v>
      </c>
      <c r="S3975" t="str">
        <f>"BANCO C6 (149)"</f>
        <v>BANCO C6 (149)</v>
      </c>
      <c r="T3975">
        <v>18922</v>
      </c>
      <c r="U3975">
        <v>22390</v>
      </c>
      <c r="V3975" t="s">
        <v>77</v>
      </c>
    </row>
    <row r="3976" spans="1:22">
      <c r="A3976" t="str">
        <f t="shared" si="741"/>
        <v>02/10/2025</v>
      </c>
      <c r="B3976" t="str">
        <f t="shared" si="737"/>
        <v>SAÍDA</v>
      </c>
      <c r="C3976" t="str">
        <f t="shared" si="742"/>
        <v>PIX</v>
      </c>
      <c r="D3976" t="str">
        <f>"22390"</f>
        <v>22390</v>
      </c>
      <c r="E3976" t="str">
        <f t="shared" si="744"/>
        <v>1</v>
      </c>
      <c r="F3976" t="str">
        <f t="shared" si="740"/>
        <v>COM</v>
      </c>
      <c r="G3976" t="str">
        <f>"RAISSON VITOR MENDES DE ABREU (705)"</f>
        <v>RAISSON VITOR MENDES DE ABREU (705)</v>
      </c>
      <c r="H3976" t="s">
        <v>1120</v>
      </c>
      <c r="I3976" t="str">
        <f t="shared" si="743"/>
        <v>02/10/2025</v>
      </c>
      <c r="J3976" t="str">
        <f t="shared" si="745"/>
        <v>23/09/2025</v>
      </c>
      <c r="K3976">
        <v>45932</v>
      </c>
      <c r="N3976">
        <v>109</v>
      </c>
      <c r="O3976" t="s">
        <v>24</v>
      </c>
      <c r="Q3976">
        <v>800</v>
      </c>
      <c r="R3976" t="str">
        <f>"FARMÁCIA INDIANA LJ 178 (10077)"</f>
        <v>FARMÁCIA INDIANA LJ 178 (10077)</v>
      </c>
      <c r="S3976" t="s">
        <v>77</v>
      </c>
      <c r="T3976">
        <v>18922</v>
      </c>
      <c r="U3976">
        <v>22390</v>
      </c>
      <c r="V3976" t="s">
        <v>77</v>
      </c>
    </row>
    <row r="3977" spans="1:22">
      <c r="A3977" t="str">
        <f t="shared" si="741"/>
        <v>02/10/2025</v>
      </c>
      <c r="B3977" t="str">
        <f t="shared" si="737"/>
        <v>SAÍDA</v>
      </c>
      <c r="C3977" t="str">
        <f t="shared" si="742"/>
        <v>PIX</v>
      </c>
      <c r="D3977" t="str">
        <f>"22388"</f>
        <v>22388</v>
      </c>
      <c r="E3977" t="str">
        <f t="shared" si="744"/>
        <v>1</v>
      </c>
      <c r="F3977" t="str">
        <f t="shared" si="740"/>
        <v>COM</v>
      </c>
      <c r="G3977" t="str">
        <f>"PEDRO HENRIQUE DA SILVA COSTA OLIVEIRA (852)"</f>
        <v>PEDRO HENRIQUE DA SILVA COSTA OLIVEIRA (852)</v>
      </c>
      <c r="H3977" t="str">
        <f>"Serv.Prest. 15/09/2025 a 21/09/2025 - PIX: E-MAIL - CHAVE: sypedrinho@gmail.com"</f>
        <v>Serv.Prest. 15/09/2025 a 21/09/2025 - PIX: E-MAIL - CHAVE: sypedrinho@gmail.com</v>
      </c>
      <c r="I3977" t="str">
        <f t="shared" si="743"/>
        <v>02/10/2025</v>
      </c>
      <c r="J3977" t="str">
        <f t="shared" si="745"/>
        <v>23/09/2025</v>
      </c>
      <c r="K3977" t="str">
        <f>("02/10/2025")</f>
        <v>02/10/2025</v>
      </c>
      <c r="L3977">
        <v>602</v>
      </c>
      <c r="M3977">
        <v>602</v>
      </c>
      <c r="N3977">
        <v>109</v>
      </c>
      <c r="O3977" t="str">
        <f>"PAGAMENTO DE ENTREGADORES"</f>
        <v>PAGAMENTO DE ENTREGADORES</v>
      </c>
      <c r="P3977">
        <v>602</v>
      </c>
      <c r="S3977" t="str">
        <f>"BANCO C6 (149)"</f>
        <v>BANCO C6 (149)</v>
      </c>
      <c r="T3977">
        <v>18923</v>
      </c>
      <c r="U3977">
        <v>22388</v>
      </c>
      <c r="V3977" t="s">
        <v>77</v>
      </c>
    </row>
    <row r="3978" spans="1:22">
      <c r="A3978" t="str">
        <f t="shared" si="741"/>
        <v>02/10/2025</v>
      </c>
      <c r="B3978" t="str">
        <f t="shared" si="737"/>
        <v>SAÍDA</v>
      </c>
      <c r="C3978" t="str">
        <f t="shared" si="742"/>
        <v>PIX</v>
      </c>
      <c r="D3978" t="str">
        <f>"22388"</f>
        <v>22388</v>
      </c>
      <c r="E3978" t="str">
        <f t="shared" si="744"/>
        <v>1</v>
      </c>
      <c r="F3978" t="str">
        <f t="shared" si="740"/>
        <v>COM</v>
      </c>
      <c r="G3978" t="str">
        <f>"PEDRO HENRIQUE DA SILVA COSTA OLIVEIRA (852)"</f>
        <v>PEDRO HENRIQUE DA SILVA COSTA OLIVEIRA (852)</v>
      </c>
      <c r="H3978" t="s">
        <v>1087</v>
      </c>
      <c r="I3978" t="str">
        <f t="shared" si="743"/>
        <v>02/10/2025</v>
      </c>
      <c r="J3978" t="str">
        <f t="shared" si="745"/>
        <v>23/09/2025</v>
      </c>
      <c r="K3978">
        <v>45932</v>
      </c>
      <c r="N3978">
        <v>109</v>
      </c>
      <c r="O3978" t="s">
        <v>24</v>
      </c>
      <c r="Q3978">
        <v>602</v>
      </c>
      <c r="R3978" t="str">
        <f>"FARMÁCIA INDIANA LJ 110 (10048)"</f>
        <v>FARMÁCIA INDIANA LJ 110 (10048)</v>
      </c>
      <c r="S3978" t="s">
        <v>77</v>
      </c>
      <c r="T3978">
        <v>18923</v>
      </c>
      <c r="U3978">
        <v>22388</v>
      </c>
      <c r="V3978" t="s">
        <v>77</v>
      </c>
    </row>
    <row r="3979" spans="1:22">
      <c r="A3979" t="str">
        <f t="shared" si="741"/>
        <v>02/10/2025</v>
      </c>
      <c r="B3979" t="str">
        <f>"ENTRADA"</f>
        <v>ENTRADA</v>
      </c>
      <c r="C3979" t="str">
        <f t="shared" si="742"/>
        <v>PIX</v>
      </c>
      <c r="D3979" t="str">
        <f>"22387"</f>
        <v>22387</v>
      </c>
      <c r="E3979" t="str">
        <f t="shared" si="744"/>
        <v>1</v>
      </c>
      <c r="F3979" t="str">
        <f t="shared" si="740"/>
        <v>COM</v>
      </c>
      <c r="G3979" t="str">
        <f>"PAULO MARCOS FARIA DE SOUZA L (233)"</f>
        <v>PAULO MARCOS FARIA DE SOUZA L (233)</v>
      </c>
      <c r="H3979" t="str">
        <f>"DESC DE BAG, UNIFORME, PLANOS Serv.Prest. 15/09/2025 a 21/09/2025 - PIX: CELULAR - CHAVE: (35) 99264-4504"</f>
        <v>DESC DE BAG, UNIFORME, PLANOS Serv.Prest. 15/09/2025 a 21/09/2025 - PIX: CELULAR - CHAVE: (35) 99264-4504</v>
      </c>
      <c r="I3979" t="str">
        <f t="shared" si="743"/>
        <v>02/10/2025</v>
      </c>
      <c r="J3979" t="str">
        <f t="shared" si="745"/>
        <v>23/09/2025</v>
      </c>
      <c r="K3979" t="str">
        <f>("02/10/2025")</f>
        <v>02/10/2025</v>
      </c>
      <c r="N3979">
        <v>108</v>
      </c>
      <c r="O3979" t="str">
        <f>"RECEITAS COM REEMBOLSOS"</f>
        <v>RECEITAS COM REEMBOLSOS</v>
      </c>
      <c r="P3979">
        <v>30</v>
      </c>
      <c r="S3979" t="str">
        <f>"BANCO C6 (149)"</f>
        <v>BANCO C6 (149)</v>
      </c>
      <c r="T3979">
        <v>18924</v>
      </c>
      <c r="U3979">
        <v>22387</v>
      </c>
      <c r="V3979" t="s">
        <v>77</v>
      </c>
    </row>
    <row r="3980" spans="1:22">
      <c r="A3980" t="str">
        <f t="shared" si="741"/>
        <v>02/10/2025</v>
      </c>
      <c r="B3980" t="str">
        <f t="shared" ref="B3980:B4011" si="746">"SAÍDA"</f>
        <v>SAÍDA</v>
      </c>
      <c r="C3980" t="str">
        <f t="shared" si="742"/>
        <v>PIX</v>
      </c>
      <c r="D3980" t="str">
        <f>"22387"</f>
        <v>22387</v>
      </c>
      <c r="E3980" t="str">
        <f t="shared" si="744"/>
        <v>1</v>
      </c>
      <c r="F3980" t="str">
        <f t="shared" si="740"/>
        <v>COM</v>
      </c>
      <c r="G3980" t="str">
        <f>"PAULO MARCOS FARIA DE SOUZA L (233)"</f>
        <v>PAULO MARCOS FARIA DE SOUZA L (233)</v>
      </c>
      <c r="H3980" t="str">
        <f>"Serv.Prest. 15/09/2025 a 21/09/2025 - PIX: CELULAR - CHAVE: (35) 99264-4504"</f>
        <v>Serv.Prest. 15/09/2025 a 21/09/2025 - PIX: CELULAR - CHAVE: (35) 99264-4504</v>
      </c>
      <c r="I3980" t="str">
        <f t="shared" si="743"/>
        <v>02/10/2025</v>
      </c>
      <c r="J3980" t="str">
        <f t="shared" si="745"/>
        <v>23/09/2025</v>
      </c>
      <c r="K3980" t="str">
        <f>("02/10/2025")</f>
        <v>02/10/2025</v>
      </c>
      <c r="L3980">
        <v>500</v>
      </c>
      <c r="M3980">
        <v>470</v>
      </c>
      <c r="N3980">
        <v>109</v>
      </c>
      <c r="O3980" t="str">
        <f>"PAGAMENTO DE ENTREGADORES"</f>
        <v>PAGAMENTO DE ENTREGADORES</v>
      </c>
      <c r="P3980">
        <v>500</v>
      </c>
      <c r="S3980" t="str">
        <f>"BANCO C6 (149)"</f>
        <v>BANCO C6 (149)</v>
      </c>
      <c r="T3980">
        <v>18924</v>
      </c>
      <c r="U3980">
        <v>22387</v>
      </c>
      <c r="V3980" t="s">
        <v>77</v>
      </c>
    </row>
    <row r="3981" spans="1:22">
      <c r="A3981" t="str">
        <f t="shared" si="741"/>
        <v>02/10/2025</v>
      </c>
      <c r="B3981" t="str">
        <f t="shared" si="746"/>
        <v>SAÍDA</v>
      </c>
      <c r="C3981" t="str">
        <f t="shared" si="742"/>
        <v>PIX</v>
      </c>
      <c r="D3981" t="str">
        <f>"22387"</f>
        <v>22387</v>
      </c>
      <c r="E3981" t="str">
        <f t="shared" si="744"/>
        <v>1</v>
      </c>
      <c r="F3981" t="str">
        <f t="shared" si="740"/>
        <v>COM</v>
      </c>
      <c r="G3981" t="str">
        <f>"PAULO MARCOS FARIA DE SOUZA L (233)"</f>
        <v>PAULO MARCOS FARIA DE SOUZA L (233)</v>
      </c>
      <c r="H3981" t="s">
        <v>1121</v>
      </c>
      <c r="I3981" t="str">
        <f t="shared" si="743"/>
        <v>02/10/2025</v>
      </c>
      <c r="J3981" t="str">
        <f t="shared" si="745"/>
        <v>23/09/2025</v>
      </c>
      <c r="K3981">
        <v>45932</v>
      </c>
      <c r="N3981">
        <v>108</v>
      </c>
      <c r="O3981" t="s">
        <v>54</v>
      </c>
      <c r="Q3981">
        <v>470</v>
      </c>
      <c r="R3981" t="str">
        <f>"FARMÁCIA INDIANA LJ 64 (10029)"</f>
        <v>FARMÁCIA INDIANA LJ 64 (10029)</v>
      </c>
      <c r="S3981" t="s">
        <v>77</v>
      </c>
      <c r="T3981">
        <v>18924</v>
      </c>
      <c r="U3981">
        <v>22387</v>
      </c>
      <c r="V3981" t="s">
        <v>77</v>
      </c>
    </row>
    <row r="3982" spans="1:22">
      <c r="A3982" t="str">
        <f t="shared" si="741"/>
        <v>02/10/2025</v>
      </c>
      <c r="B3982" t="str">
        <f t="shared" si="746"/>
        <v>SAÍDA</v>
      </c>
      <c r="C3982" t="str">
        <f t="shared" si="742"/>
        <v>PIX</v>
      </c>
      <c r="D3982" t="str">
        <f>"22386"</f>
        <v>22386</v>
      </c>
      <c r="E3982" t="str">
        <f t="shared" si="744"/>
        <v>1</v>
      </c>
      <c r="F3982" t="str">
        <f t="shared" si="740"/>
        <v>COM</v>
      </c>
      <c r="G3982" t="str">
        <f>"PAULO HENRIQUE OLIVEIRA SILVA (39)"</f>
        <v>PAULO HENRIQUE OLIVEIRA SILVA (39)</v>
      </c>
      <c r="H3982" t="str">
        <f>"Serv.Prest. 15/09/2025 a 21/09/2025 - PIX: CELULAR - CHAVE: (31) 97339-3761"</f>
        <v>Serv.Prest. 15/09/2025 a 21/09/2025 - PIX: CELULAR - CHAVE: (31) 97339-3761</v>
      </c>
      <c r="I3982" t="str">
        <f t="shared" si="743"/>
        <v>02/10/2025</v>
      </c>
      <c r="J3982" t="str">
        <f t="shared" si="745"/>
        <v>23/09/2025</v>
      </c>
      <c r="K3982" t="str">
        <f>("02/10/2025")</f>
        <v>02/10/2025</v>
      </c>
      <c r="L3982">
        <v>1806</v>
      </c>
      <c r="M3982">
        <v>1806</v>
      </c>
      <c r="N3982">
        <v>109</v>
      </c>
      <c r="O3982" t="str">
        <f>"PAGAMENTO DE ENTREGADORES"</f>
        <v>PAGAMENTO DE ENTREGADORES</v>
      </c>
      <c r="P3982">
        <v>1806</v>
      </c>
      <c r="S3982" t="str">
        <f>"BANCO C6 (149)"</f>
        <v>BANCO C6 (149)</v>
      </c>
      <c r="T3982">
        <v>18925</v>
      </c>
      <c r="U3982">
        <v>22386</v>
      </c>
      <c r="V3982" t="s">
        <v>77</v>
      </c>
    </row>
    <row r="3983" spans="1:22">
      <c r="A3983" t="str">
        <f t="shared" si="741"/>
        <v>02/10/2025</v>
      </c>
      <c r="B3983" t="str">
        <f t="shared" si="746"/>
        <v>SAÍDA</v>
      </c>
      <c r="C3983" t="str">
        <f t="shared" si="742"/>
        <v>PIX</v>
      </c>
      <c r="D3983" t="str">
        <f>"22386"</f>
        <v>22386</v>
      </c>
      <c r="E3983" t="str">
        <f t="shared" si="744"/>
        <v>1</v>
      </c>
      <c r="F3983" t="str">
        <f t="shared" si="740"/>
        <v>COM</v>
      </c>
      <c r="G3983" t="str">
        <f>"PAULO HENRIQUE OLIVEIRA SILVA (39)"</f>
        <v>PAULO HENRIQUE OLIVEIRA SILVA (39)</v>
      </c>
      <c r="H3983" t="s">
        <v>1122</v>
      </c>
      <c r="I3983" t="str">
        <f t="shared" si="743"/>
        <v>02/10/2025</v>
      </c>
      <c r="J3983" t="str">
        <f t="shared" si="745"/>
        <v>23/09/2025</v>
      </c>
      <c r="K3983">
        <v>45932</v>
      </c>
      <c r="N3983">
        <v>109</v>
      </c>
      <c r="O3983" t="s">
        <v>24</v>
      </c>
      <c r="Q3983">
        <v>1806</v>
      </c>
      <c r="R3983" t="str">
        <f>"FARMÁCIA INDIANA LJ 11 (10008)"</f>
        <v>FARMÁCIA INDIANA LJ 11 (10008)</v>
      </c>
      <c r="S3983" t="s">
        <v>77</v>
      </c>
      <c r="T3983">
        <v>18925</v>
      </c>
      <c r="U3983">
        <v>22386</v>
      </c>
      <c r="V3983" t="s">
        <v>77</v>
      </c>
    </row>
    <row r="3984" spans="1:22">
      <c r="A3984" t="str">
        <f t="shared" si="741"/>
        <v>02/10/2025</v>
      </c>
      <c r="B3984" t="str">
        <f t="shared" si="746"/>
        <v>SAÍDA</v>
      </c>
      <c r="C3984" t="str">
        <f t="shared" si="742"/>
        <v>PIX</v>
      </c>
      <c r="D3984" t="str">
        <f>"22385"</f>
        <v>22385</v>
      </c>
      <c r="E3984" t="str">
        <f t="shared" si="744"/>
        <v>1</v>
      </c>
      <c r="F3984" t="str">
        <f t="shared" si="740"/>
        <v>COM</v>
      </c>
      <c r="G3984" t="str">
        <f>"PATRICK DE SOUZA CORREA (92)"</f>
        <v>PATRICK DE SOUZA CORREA (92)</v>
      </c>
      <c r="H3984" t="str">
        <f>"Serv.Prest. 15/09/2025 a 21/09/2025 - PIX: CELULAR - CHAVE: (31) 99216-8711"</f>
        <v>Serv.Prest. 15/09/2025 a 21/09/2025 - PIX: CELULAR - CHAVE: (31) 99216-8711</v>
      </c>
      <c r="I3984" t="str">
        <f t="shared" si="743"/>
        <v>02/10/2025</v>
      </c>
      <c r="J3984" t="str">
        <f t="shared" si="745"/>
        <v>23/09/2025</v>
      </c>
      <c r="K3984" t="str">
        <f>("02/10/2025")</f>
        <v>02/10/2025</v>
      </c>
      <c r="L3984">
        <v>600</v>
      </c>
      <c r="M3984">
        <v>600</v>
      </c>
      <c r="N3984">
        <v>109</v>
      </c>
      <c r="O3984" t="str">
        <f>"PAGAMENTO DE ENTREGADORES"</f>
        <v>PAGAMENTO DE ENTREGADORES</v>
      </c>
      <c r="P3984">
        <v>600</v>
      </c>
      <c r="S3984" t="str">
        <f>"BANCO C6 (149)"</f>
        <v>BANCO C6 (149)</v>
      </c>
      <c r="T3984">
        <v>18926</v>
      </c>
      <c r="U3984">
        <v>22385</v>
      </c>
      <c r="V3984" t="s">
        <v>77</v>
      </c>
    </row>
    <row r="3985" spans="1:22">
      <c r="A3985" t="str">
        <f t="shared" si="741"/>
        <v>02/10/2025</v>
      </c>
      <c r="B3985" t="str">
        <f t="shared" si="746"/>
        <v>SAÍDA</v>
      </c>
      <c r="C3985" t="str">
        <f t="shared" si="742"/>
        <v>PIX</v>
      </c>
      <c r="D3985" t="str">
        <f>"22385"</f>
        <v>22385</v>
      </c>
      <c r="E3985" t="str">
        <f t="shared" si="744"/>
        <v>1</v>
      </c>
      <c r="F3985" t="str">
        <f t="shared" si="740"/>
        <v>COM</v>
      </c>
      <c r="G3985" t="str">
        <f>"PATRICK DE SOUZA CORREA (92)"</f>
        <v>PATRICK DE SOUZA CORREA (92)</v>
      </c>
      <c r="H3985" t="s">
        <v>1123</v>
      </c>
      <c r="I3985" t="str">
        <f t="shared" si="743"/>
        <v>02/10/2025</v>
      </c>
      <c r="J3985" t="str">
        <f t="shared" si="745"/>
        <v>23/09/2025</v>
      </c>
      <c r="K3985">
        <v>45932</v>
      </c>
      <c r="N3985">
        <v>109</v>
      </c>
      <c r="O3985" t="s">
        <v>24</v>
      </c>
      <c r="Q3985">
        <v>199.98</v>
      </c>
      <c r="R3985" t="str">
        <f>"FARMÁCIA INDIANA LJ 184 (10080)"</f>
        <v>FARMÁCIA INDIANA LJ 184 (10080)</v>
      </c>
      <c r="S3985" t="s">
        <v>77</v>
      </c>
      <c r="T3985">
        <v>18926</v>
      </c>
      <c r="U3985">
        <v>22385</v>
      </c>
      <c r="V3985" t="s">
        <v>77</v>
      </c>
    </row>
    <row r="3986" spans="1:22">
      <c r="A3986" t="str">
        <f t="shared" si="741"/>
        <v>02/10/2025</v>
      </c>
      <c r="B3986" t="str">
        <f t="shared" si="746"/>
        <v>SAÍDA</v>
      </c>
      <c r="C3986" t="str">
        <f t="shared" si="742"/>
        <v>PIX</v>
      </c>
      <c r="D3986" t="str">
        <f>"22385"</f>
        <v>22385</v>
      </c>
      <c r="E3986" t="str">
        <f t="shared" si="744"/>
        <v>1</v>
      </c>
      <c r="F3986" t="str">
        <f t="shared" si="740"/>
        <v>COM</v>
      </c>
      <c r="G3986" t="str">
        <f>"PATRICK DE SOUZA CORREA (92)"</f>
        <v>PATRICK DE SOUZA CORREA (92)</v>
      </c>
      <c r="H3986" t="s">
        <v>1123</v>
      </c>
      <c r="I3986" t="str">
        <f t="shared" si="743"/>
        <v>02/10/2025</v>
      </c>
      <c r="J3986" t="str">
        <f t="shared" si="745"/>
        <v>23/09/2025</v>
      </c>
      <c r="K3986">
        <v>45932</v>
      </c>
      <c r="N3986">
        <v>109</v>
      </c>
      <c r="O3986" t="s">
        <v>24</v>
      </c>
      <c r="Q3986">
        <v>400.02</v>
      </c>
      <c r="R3986" t="str">
        <f>"FARMÁCIA INDIANA LJ 195 (10083)"</f>
        <v>FARMÁCIA INDIANA LJ 195 (10083)</v>
      </c>
      <c r="S3986" t="s">
        <v>77</v>
      </c>
      <c r="T3986">
        <v>18926</v>
      </c>
      <c r="U3986">
        <v>22385</v>
      </c>
      <c r="V3986" t="s">
        <v>77</v>
      </c>
    </row>
    <row r="3987" spans="1:22">
      <c r="A3987" t="str">
        <f t="shared" si="741"/>
        <v>02/10/2025</v>
      </c>
      <c r="B3987" t="str">
        <f t="shared" si="746"/>
        <v>SAÍDA</v>
      </c>
      <c r="C3987" t="str">
        <f t="shared" si="742"/>
        <v>PIX</v>
      </c>
      <c r="D3987" t="str">
        <f>"22384"</f>
        <v>22384</v>
      </c>
      <c r="E3987" t="str">
        <f t="shared" si="744"/>
        <v>1</v>
      </c>
      <c r="F3987" t="str">
        <f t="shared" si="740"/>
        <v>COM</v>
      </c>
      <c r="G3987" t="str">
        <f>"NILTON RODRIGUES DE SOUZA (136)"</f>
        <v>NILTON RODRIGUES DE SOUZA (136)</v>
      </c>
      <c r="H3987" t="str">
        <f>"Serv.Prest. 15/09/2025 a 21/09/2025 - PIX: CPF - CHAVE: 037.974.316-78"</f>
        <v>Serv.Prest. 15/09/2025 a 21/09/2025 - PIX: CPF - CHAVE: 037.974.316-78</v>
      </c>
      <c r="I3987" t="str">
        <f t="shared" si="743"/>
        <v>02/10/2025</v>
      </c>
      <c r="J3987" t="str">
        <f t="shared" si="745"/>
        <v>23/09/2025</v>
      </c>
      <c r="K3987" t="str">
        <f>("02/10/2025")</f>
        <v>02/10/2025</v>
      </c>
      <c r="L3987">
        <v>1182</v>
      </c>
      <c r="M3987">
        <v>1182</v>
      </c>
      <c r="N3987">
        <v>109</v>
      </c>
      <c r="O3987" t="str">
        <f>"PAGAMENTO DE ENTREGADORES"</f>
        <v>PAGAMENTO DE ENTREGADORES</v>
      </c>
      <c r="P3987">
        <v>1182</v>
      </c>
      <c r="S3987" t="str">
        <f>"BANCO C6 (149)"</f>
        <v>BANCO C6 (149)</v>
      </c>
      <c r="T3987">
        <v>18927</v>
      </c>
      <c r="U3987">
        <v>22384</v>
      </c>
      <c r="V3987" t="s">
        <v>77</v>
      </c>
    </row>
    <row r="3988" spans="1:22">
      <c r="A3988" t="str">
        <f t="shared" si="741"/>
        <v>02/10/2025</v>
      </c>
      <c r="B3988" t="str">
        <f t="shared" si="746"/>
        <v>SAÍDA</v>
      </c>
      <c r="C3988" t="str">
        <f t="shared" si="742"/>
        <v>PIX</v>
      </c>
      <c r="D3988" t="str">
        <f>"22384"</f>
        <v>22384</v>
      </c>
      <c r="E3988" t="str">
        <f t="shared" si="744"/>
        <v>1</v>
      </c>
      <c r="F3988" t="str">
        <f t="shared" si="740"/>
        <v>COM</v>
      </c>
      <c r="G3988" t="str">
        <f>"NILTON RODRIGUES DE SOUZA (136)"</f>
        <v>NILTON RODRIGUES DE SOUZA (136)</v>
      </c>
      <c r="H3988" t="s">
        <v>1124</v>
      </c>
      <c r="I3988" t="str">
        <f t="shared" si="743"/>
        <v>02/10/2025</v>
      </c>
      <c r="J3988" t="str">
        <f t="shared" si="745"/>
        <v>23/09/2025</v>
      </c>
      <c r="K3988">
        <v>45932</v>
      </c>
      <c r="N3988">
        <v>109</v>
      </c>
      <c r="O3988" t="s">
        <v>24</v>
      </c>
      <c r="Q3988">
        <v>792.06</v>
      </c>
      <c r="R3988" t="str">
        <f>"FARMÁCIA INDIANA LJ 18 (10011)"</f>
        <v>FARMÁCIA INDIANA LJ 18 (10011)</v>
      </c>
      <c r="S3988" t="s">
        <v>77</v>
      </c>
      <c r="T3988">
        <v>18927</v>
      </c>
      <c r="U3988">
        <v>22384</v>
      </c>
      <c r="V3988" t="s">
        <v>77</v>
      </c>
    </row>
    <row r="3989" spans="1:22">
      <c r="A3989" t="str">
        <f t="shared" si="741"/>
        <v>02/10/2025</v>
      </c>
      <c r="B3989" t="str">
        <f t="shared" si="746"/>
        <v>SAÍDA</v>
      </c>
      <c r="C3989" t="str">
        <f t="shared" si="742"/>
        <v>PIX</v>
      </c>
      <c r="D3989" t="str">
        <f>"22384"</f>
        <v>22384</v>
      </c>
      <c r="E3989" t="str">
        <f t="shared" si="744"/>
        <v>1</v>
      </c>
      <c r="F3989" t="str">
        <f t="shared" si="740"/>
        <v>COM</v>
      </c>
      <c r="G3989" t="str">
        <f>"NILTON RODRIGUES DE SOUZA (136)"</f>
        <v>NILTON RODRIGUES DE SOUZA (136)</v>
      </c>
      <c r="H3989" t="s">
        <v>1124</v>
      </c>
      <c r="I3989" t="str">
        <f t="shared" si="743"/>
        <v>02/10/2025</v>
      </c>
      <c r="J3989" t="str">
        <f t="shared" si="745"/>
        <v>23/09/2025</v>
      </c>
      <c r="K3989">
        <v>45932</v>
      </c>
      <c r="N3989">
        <v>109</v>
      </c>
      <c r="O3989" t="s">
        <v>24</v>
      </c>
      <c r="Q3989">
        <v>389.94</v>
      </c>
      <c r="R3989" t="str">
        <f>"FARMÁCIA INDIANA LJ 19 (10012)"</f>
        <v>FARMÁCIA INDIANA LJ 19 (10012)</v>
      </c>
      <c r="S3989" t="s">
        <v>77</v>
      </c>
      <c r="T3989">
        <v>18927</v>
      </c>
      <c r="U3989">
        <v>22384</v>
      </c>
      <c r="V3989" t="s">
        <v>77</v>
      </c>
    </row>
    <row r="3990" spans="1:22">
      <c r="A3990" t="str">
        <f t="shared" si="741"/>
        <v>02/10/2025</v>
      </c>
      <c r="B3990" t="str">
        <f t="shared" si="746"/>
        <v>SAÍDA</v>
      </c>
      <c r="C3990" t="str">
        <f t="shared" si="742"/>
        <v>PIX</v>
      </c>
      <c r="D3990" t="str">
        <f>"22383"</f>
        <v>22383</v>
      </c>
      <c r="E3990" t="str">
        <f t="shared" si="744"/>
        <v>1</v>
      </c>
      <c r="F3990" t="str">
        <f t="shared" si="740"/>
        <v>COM</v>
      </c>
      <c r="G3990" t="str">
        <f>"NELSON DOS SANTOS RODRIGUES (37)"</f>
        <v>NELSON DOS SANTOS RODRIGUES (37)</v>
      </c>
      <c r="H3990" t="str">
        <f>"Serv.Prest. 15/09/2025 a 21/09/2025 - PIX: CPF - CHAVE: 108.680.396-59"</f>
        <v>Serv.Prest. 15/09/2025 a 21/09/2025 - PIX: CPF - CHAVE: 108.680.396-59</v>
      </c>
      <c r="I3990" t="str">
        <f t="shared" si="743"/>
        <v>02/10/2025</v>
      </c>
      <c r="J3990" t="str">
        <f t="shared" si="745"/>
        <v>23/09/2025</v>
      </c>
      <c r="K3990" t="str">
        <f>("02/10/2025")</f>
        <v>02/10/2025</v>
      </c>
      <c r="L3990">
        <v>1488</v>
      </c>
      <c r="M3990">
        <v>1488</v>
      </c>
      <c r="N3990">
        <v>109</v>
      </c>
      <c r="O3990" t="str">
        <f>"PAGAMENTO DE ENTREGADORES"</f>
        <v>PAGAMENTO DE ENTREGADORES</v>
      </c>
      <c r="P3990">
        <v>1488</v>
      </c>
      <c r="S3990" t="str">
        <f>"BANCO C6 (149)"</f>
        <v>BANCO C6 (149)</v>
      </c>
      <c r="T3990">
        <v>18928</v>
      </c>
      <c r="U3990">
        <v>22383</v>
      </c>
      <c r="V3990" t="s">
        <v>77</v>
      </c>
    </row>
    <row r="3991" spans="1:22">
      <c r="A3991" t="str">
        <f t="shared" si="741"/>
        <v>02/10/2025</v>
      </c>
      <c r="B3991" t="str">
        <f t="shared" si="746"/>
        <v>SAÍDA</v>
      </c>
      <c r="C3991" t="str">
        <f t="shared" si="742"/>
        <v>PIX</v>
      </c>
      <c r="D3991" t="str">
        <f>"22383"</f>
        <v>22383</v>
      </c>
      <c r="E3991" t="str">
        <f t="shared" si="744"/>
        <v>1</v>
      </c>
      <c r="F3991" t="str">
        <f t="shared" si="740"/>
        <v>COM</v>
      </c>
      <c r="G3991" t="str">
        <f>"NELSON DOS SANTOS RODRIGUES (37)"</f>
        <v>NELSON DOS SANTOS RODRIGUES (37)</v>
      </c>
      <c r="H3991" t="s">
        <v>1125</v>
      </c>
      <c r="I3991" t="str">
        <f t="shared" si="743"/>
        <v>02/10/2025</v>
      </c>
      <c r="J3991" t="str">
        <f t="shared" si="745"/>
        <v>23/09/2025</v>
      </c>
      <c r="K3991">
        <v>45932</v>
      </c>
      <c r="N3991">
        <v>109</v>
      </c>
      <c r="O3991" t="s">
        <v>24</v>
      </c>
      <c r="Q3991">
        <v>1488</v>
      </c>
      <c r="R3991" t="str">
        <f>"FARMÁCIA INDIANA LJ 11 (10008)"</f>
        <v>FARMÁCIA INDIANA LJ 11 (10008)</v>
      </c>
      <c r="S3991" t="s">
        <v>77</v>
      </c>
      <c r="T3991">
        <v>18928</v>
      </c>
      <c r="U3991">
        <v>22383</v>
      </c>
      <c r="V3991" t="s">
        <v>77</v>
      </c>
    </row>
    <row r="3992" spans="1:22">
      <c r="A3992" t="str">
        <f t="shared" si="741"/>
        <v>02/10/2025</v>
      </c>
      <c r="B3992" t="str">
        <f t="shared" si="746"/>
        <v>SAÍDA</v>
      </c>
      <c r="C3992" t="str">
        <f t="shared" si="742"/>
        <v>PIX</v>
      </c>
      <c r="D3992" t="str">
        <f>"22373"</f>
        <v>22373</v>
      </c>
      <c r="E3992" t="str">
        <f t="shared" si="744"/>
        <v>1</v>
      </c>
      <c r="F3992" t="str">
        <f t="shared" si="740"/>
        <v>COM</v>
      </c>
      <c r="G3992" t="str">
        <f>"MARCIO CLAUDIO DE ARAUJO (204)"</f>
        <v>MARCIO CLAUDIO DE ARAUJO (204)</v>
      </c>
      <c r="H3992" t="str">
        <f>"Serv.Prest. 15/09/2025 a 21/09/2025 - PIX: CELULAR - CHAVE: (33) 98427-3872"</f>
        <v>Serv.Prest. 15/09/2025 a 21/09/2025 - PIX: CELULAR - CHAVE: (33) 98427-3872</v>
      </c>
      <c r="I3992" t="str">
        <f t="shared" si="743"/>
        <v>02/10/2025</v>
      </c>
      <c r="J3992" t="str">
        <f t="shared" si="745"/>
        <v>23/09/2025</v>
      </c>
      <c r="K3992" t="str">
        <f>("02/10/2025")</f>
        <v>02/10/2025</v>
      </c>
      <c r="L3992">
        <v>1218</v>
      </c>
      <c r="M3992">
        <v>1218</v>
      </c>
      <c r="N3992">
        <v>109</v>
      </c>
      <c r="O3992" t="str">
        <f>"PAGAMENTO DE ENTREGADORES"</f>
        <v>PAGAMENTO DE ENTREGADORES</v>
      </c>
      <c r="P3992">
        <v>1218</v>
      </c>
      <c r="S3992" t="str">
        <f>"BANCO C6 (149)"</f>
        <v>BANCO C6 (149)</v>
      </c>
      <c r="T3992">
        <v>18929</v>
      </c>
      <c r="U3992">
        <v>22373</v>
      </c>
      <c r="V3992" t="s">
        <v>77</v>
      </c>
    </row>
    <row r="3993" spans="1:22">
      <c r="A3993" t="str">
        <f t="shared" si="741"/>
        <v>02/10/2025</v>
      </c>
      <c r="B3993" t="str">
        <f t="shared" si="746"/>
        <v>SAÍDA</v>
      </c>
      <c r="C3993" t="str">
        <f t="shared" si="742"/>
        <v>PIX</v>
      </c>
      <c r="D3993" t="str">
        <f>"22373"</f>
        <v>22373</v>
      </c>
      <c r="E3993" t="str">
        <f t="shared" si="744"/>
        <v>1</v>
      </c>
      <c r="F3993" t="str">
        <f t="shared" si="740"/>
        <v>COM</v>
      </c>
      <c r="G3993" t="str">
        <f>"MARCIO CLAUDIO DE ARAUJO (204)"</f>
        <v>MARCIO CLAUDIO DE ARAUJO (204)</v>
      </c>
      <c r="H3993" t="s">
        <v>1126</v>
      </c>
      <c r="I3993" t="str">
        <f t="shared" si="743"/>
        <v>02/10/2025</v>
      </c>
      <c r="J3993" t="str">
        <f t="shared" si="745"/>
        <v>23/09/2025</v>
      </c>
      <c r="K3993">
        <v>45932</v>
      </c>
      <c r="N3993">
        <v>109</v>
      </c>
      <c r="O3993" t="s">
        <v>24</v>
      </c>
      <c r="Q3993">
        <v>1218</v>
      </c>
      <c r="R3993" t="str">
        <f>"FARMÁCIA INDIANA LJ 06 (10006)"</f>
        <v>FARMÁCIA INDIANA LJ 06 (10006)</v>
      </c>
      <c r="S3993" t="s">
        <v>77</v>
      </c>
      <c r="T3993">
        <v>18929</v>
      </c>
      <c r="U3993">
        <v>22373</v>
      </c>
      <c r="V3993" t="s">
        <v>77</v>
      </c>
    </row>
    <row r="3994" spans="1:22">
      <c r="A3994" t="str">
        <f t="shared" si="741"/>
        <v>02/10/2025</v>
      </c>
      <c r="B3994" t="str">
        <f t="shared" si="746"/>
        <v>SAÍDA</v>
      </c>
      <c r="C3994" t="str">
        <f t="shared" si="742"/>
        <v>PIX</v>
      </c>
      <c r="D3994" t="str">
        <f>"22372"</f>
        <v>22372</v>
      </c>
      <c r="E3994" t="str">
        <f t="shared" si="744"/>
        <v>1</v>
      </c>
      <c r="F3994" t="str">
        <f t="shared" si="740"/>
        <v>COM</v>
      </c>
      <c r="G3994" t="str">
        <f>"MAICON HENRIQUE FERREIRA DOS SANTOS (759)"</f>
        <v>MAICON HENRIQUE FERREIRA DOS SANTOS (759)</v>
      </c>
      <c r="H3994" t="str">
        <f>"Serv.Prest. 15/09/2025 a 21/09/2025 - PIX: CELULAR - CHAVE: (31) 98412-5118"</f>
        <v>Serv.Prest. 15/09/2025 a 21/09/2025 - PIX: CELULAR - CHAVE: (31) 98412-5118</v>
      </c>
      <c r="I3994" t="str">
        <f t="shared" si="743"/>
        <v>02/10/2025</v>
      </c>
      <c r="J3994" t="str">
        <f t="shared" si="745"/>
        <v>23/09/2025</v>
      </c>
      <c r="K3994" t="str">
        <f>("02/10/2025")</f>
        <v>02/10/2025</v>
      </c>
      <c r="L3994">
        <v>504</v>
      </c>
      <c r="M3994">
        <v>504</v>
      </c>
      <c r="N3994">
        <v>109</v>
      </c>
      <c r="O3994" t="str">
        <f>"PAGAMENTO DE ENTREGADORES"</f>
        <v>PAGAMENTO DE ENTREGADORES</v>
      </c>
      <c r="P3994">
        <v>504</v>
      </c>
      <c r="S3994" t="str">
        <f>"BANCO C6 (149)"</f>
        <v>BANCO C6 (149)</v>
      </c>
      <c r="T3994">
        <v>18930</v>
      </c>
      <c r="U3994">
        <v>22372</v>
      </c>
      <c r="V3994" t="s">
        <v>77</v>
      </c>
    </row>
    <row r="3995" spans="1:22">
      <c r="A3995" t="str">
        <f t="shared" si="741"/>
        <v>02/10/2025</v>
      </c>
      <c r="B3995" t="str">
        <f t="shared" si="746"/>
        <v>SAÍDA</v>
      </c>
      <c r="C3995" t="str">
        <f t="shared" si="742"/>
        <v>PIX</v>
      </c>
      <c r="D3995" t="str">
        <f>"22372"</f>
        <v>22372</v>
      </c>
      <c r="E3995" t="str">
        <f t="shared" si="744"/>
        <v>1</v>
      </c>
      <c r="F3995" t="str">
        <f t="shared" si="740"/>
        <v>COM</v>
      </c>
      <c r="G3995" t="str">
        <f>"MAICON HENRIQUE FERREIRA DOS SANTOS (759)"</f>
        <v>MAICON HENRIQUE FERREIRA DOS SANTOS (759)</v>
      </c>
      <c r="H3995" t="s">
        <v>1127</v>
      </c>
      <c r="I3995" t="str">
        <f t="shared" si="743"/>
        <v>02/10/2025</v>
      </c>
      <c r="J3995" t="str">
        <f t="shared" si="745"/>
        <v>23/09/2025</v>
      </c>
      <c r="K3995">
        <v>45932</v>
      </c>
      <c r="N3995">
        <v>109</v>
      </c>
      <c r="O3995" t="s">
        <v>24</v>
      </c>
      <c r="Q3995">
        <v>504</v>
      </c>
      <c r="R3995" t="str">
        <f>"FARMÁCIA INDIANA LJ 101 (10043)"</f>
        <v>FARMÁCIA INDIANA LJ 101 (10043)</v>
      </c>
      <c r="S3995" t="s">
        <v>77</v>
      </c>
      <c r="T3995">
        <v>18930</v>
      </c>
      <c r="U3995">
        <v>22372</v>
      </c>
      <c r="V3995" t="s">
        <v>77</v>
      </c>
    </row>
    <row r="3996" spans="1:22">
      <c r="A3996" t="str">
        <f t="shared" si="741"/>
        <v>02/10/2025</v>
      </c>
      <c r="B3996" t="str">
        <f t="shared" si="746"/>
        <v>SAÍDA</v>
      </c>
      <c r="C3996" t="str">
        <f t="shared" si="742"/>
        <v>PIX</v>
      </c>
      <c r="D3996" t="str">
        <f>"22371"</f>
        <v>22371</v>
      </c>
      <c r="E3996" t="str">
        <f t="shared" si="744"/>
        <v>1</v>
      </c>
      <c r="F3996" t="str">
        <f t="shared" si="740"/>
        <v>COM</v>
      </c>
      <c r="G3996" t="str">
        <f>"LUIZ FERNANDO CARVALHO ALVES (198)"</f>
        <v>LUIZ FERNANDO CARVALHO ALVES (198)</v>
      </c>
      <c r="H3996" t="str">
        <f>"Serv.Prest. 15/09/2025 a 21/09/2025 - PIX: CPF - CHAVE: 705.097.186-39"</f>
        <v>Serv.Prest. 15/09/2025 a 21/09/2025 - PIX: CPF - CHAVE: 705.097.186-39</v>
      </c>
      <c r="I3996" t="str">
        <f t="shared" si="743"/>
        <v>02/10/2025</v>
      </c>
      <c r="J3996" t="str">
        <f t="shared" si="745"/>
        <v>23/09/2025</v>
      </c>
      <c r="K3996" t="str">
        <f>("02/10/2025")</f>
        <v>02/10/2025</v>
      </c>
      <c r="L3996">
        <v>645</v>
      </c>
      <c r="M3996">
        <v>645</v>
      </c>
      <c r="N3996">
        <v>109</v>
      </c>
      <c r="O3996" t="str">
        <f>"PAGAMENTO DE ENTREGADORES"</f>
        <v>PAGAMENTO DE ENTREGADORES</v>
      </c>
      <c r="P3996">
        <v>645</v>
      </c>
      <c r="S3996" t="str">
        <f>"BANCO C6 (149)"</f>
        <v>BANCO C6 (149)</v>
      </c>
      <c r="T3996">
        <v>18931</v>
      </c>
      <c r="U3996">
        <v>22371</v>
      </c>
      <c r="V3996" t="s">
        <v>77</v>
      </c>
    </row>
    <row r="3997" spans="1:22">
      <c r="A3997" t="str">
        <f t="shared" si="741"/>
        <v>02/10/2025</v>
      </c>
      <c r="B3997" t="str">
        <f t="shared" si="746"/>
        <v>SAÍDA</v>
      </c>
      <c r="C3997" t="str">
        <f t="shared" si="742"/>
        <v>PIX</v>
      </c>
      <c r="D3997" t="str">
        <f>"22371"</f>
        <v>22371</v>
      </c>
      <c r="E3997" t="str">
        <f t="shared" si="744"/>
        <v>1</v>
      </c>
      <c r="F3997" t="str">
        <f t="shared" si="740"/>
        <v>COM</v>
      </c>
      <c r="G3997" t="str">
        <f>"LUIZ FERNANDO CARVALHO ALVES (198)"</f>
        <v>LUIZ FERNANDO CARVALHO ALVES (198)</v>
      </c>
      <c r="H3997" t="s">
        <v>1128</v>
      </c>
      <c r="I3997" t="str">
        <f t="shared" si="743"/>
        <v>02/10/2025</v>
      </c>
      <c r="J3997" t="str">
        <f t="shared" si="745"/>
        <v>23/09/2025</v>
      </c>
      <c r="K3997">
        <v>45932</v>
      </c>
      <c r="N3997">
        <v>109</v>
      </c>
      <c r="O3997" t="s">
        <v>24</v>
      </c>
      <c r="Q3997">
        <v>645</v>
      </c>
      <c r="R3997" t="str">
        <f>"FARMÁCIA INDIANA LJ 171 (10074)"</f>
        <v>FARMÁCIA INDIANA LJ 171 (10074)</v>
      </c>
      <c r="S3997" t="s">
        <v>77</v>
      </c>
      <c r="T3997">
        <v>18931</v>
      </c>
      <c r="U3997">
        <v>22371</v>
      </c>
      <c r="V3997" t="s">
        <v>77</v>
      </c>
    </row>
    <row r="3998" spans="1:22">
      <c r="A3998" t="str">
        <f t="shared" si="741"/>
        <v>02/10/2025</v>
      </c>
      <c r="B3998" t="str">
        <f t="shared" si="746"/>
        <v>SAÍDA</v>
      </c>
      <c r="C3998" t="str">
        <f t="shared" si="742"/>
        <v>PIX</v>
      </c>
      <c r="D3998" t="str">
        <f>"22382"</f>
        <v>22382</v>
      </c>
      <c r="E3998" t="str">
        <f t="shared" si="744"/>
        <v>1</v>
      </c>
      <c r="F3998" t="str">
        <f t="shared" si="740"/>
        <v>COM</v>
      </c>
      <c r="G3998" t="str">
        <f>"NATÁLIA KAROLAINE GOMES BATISTA (936)"</f>
        <v>NATÁLIA KAROLAINE GOMES BATISTA (936)</v>
      </c>
      <c r="H3998" t="str">
        <f>"Serv.Prest. 15/09/2025 a 21/09/2025 - PIX: CELULAR - CHAVE: (33) 98817-9868"</f>
        <v>Serv.Prest. 15/09/2025 a 21/09/2025 - PIX: CELULAR - CHAVE: (33) 98817-9868</v>
      </c>
      <c r="I3998" t="str">
        <f t="shared" si="743"/>
        <v>02/10/2025</v>
      </c>
      <c r="J3998" t="str">
        <f t="shared" si="745"/>
        <v>23/09/2025</v>
      </c>
      <c r="K3998" t="str">
        <f>("02/10/2025")</f>
        <v>02/10/2025</v>
      </c>
      <c r="L3998">
        <v>942</v>
      </c>
      <c r="M3998">
        <v>942</v>
      </c>
      <c r="N3998">
        <v>109</v>
      </c>
      <c r="O3998" t="str">
        <f>"PAGAMENTO DE ENTREGADORES"</f>
        <v>PAGAMENTO DE ENTREGADORES</v>
      </c>
      <c r="P3998">
        <v>942</v>
      </c>
      <c r="S3998" t="str">
        <f>"BANCO C6 (149)"</f>
        <v>BANCO C6 (149)</v>
      </c>
      <c r="T3998">
        <v>18932</v>
      </c>
      <c r="U3998">
        <v>22382</v>
      </c>
      <c r="V3998" t="s">
        <v>77</v>
      </c>
    </row>
    <row r="3999" spans="1:22">
      <c r="A3999" t="str">
        <f t="shared" si="741"/>
        <v>02/10/2025</v>
      </c>
      <c r="B3999" t="str">
        <f t="shared" si="746"/>
        <v>SAÍDA</v>
      </c>
      <c r="C3999" t="str">
        <f t="shared" si="742"/>
        <v>PIX</v>
      </c>
      <c r="D3999" t="str">
        <f>"22382"</f>
        <v>22382</v>
      </c>
      <c r="E3999" t="str">
        <f t="shared" si="744"/>
        <v>1</v>
      </c>
      <c r="F3999" t="str">
        <f t="shared" si="740"/>
        <v>COM</v>
      </c>
      <c r="G3999" t="str">
        <f>"NATÁLIA KAROLAINE GOMES BATISTA (936)"</f>
        <v>NATÁLIA KAROLAINE GOMES BATISTA (936)</v>
      </c>
      <c r="H3999" t="s">
        <v>1129</v>
      </c>
      <c r="I3999" t="str">
        <f t="shared" si="743"/>
        <v>02/10/2025</v>
      </c>
      <c r="J3999" t="str">
        <f t="shared" si="745"/>
        <v>23/09/2025</v>
      </c>
      <c r="K3999">
        <v>45932</v>
      </c>
      <c r="N3999">
        <v>109</v>
      </c>
      <c r="O3999" t="s">
        <v>24</v>
      </c>
      <c r="Q3999">
        <v>942</v>
      </c>
      <c r="R3999" t="str">
        <f>"FARMÁCIA INDIANA LJ 07 (10007)"</f>
        <v>FARMÁCIA INDIANA LJ 07 (10007)</v>
      </c>
      <c r="S3999" t="s">
        <v>77</v>
      </c>
      <c r="T3999">
        <v>18932</v>
      </c>
      <c r="U3999">
        <v>22382</v>
      </c>
      <c r="V3999" t="s">
        <v>77</v>
      </c>
    </row>
    <row r="4000" spans="1:22">
      <c r="A4000" t="str">
        <f t="shared" si="741"/>
        <v>02/10/2025</v>
      </c>
      <c r="B4000" t="str">
        <f t="shared" si="746"/>
        <v>SAÍDA</v>
      </c>
      <c r="C4000" t="str">
        <f t="shared" si="742"/>
        <v>PIX</v>
      </c>
      <c r="D4000" t="str">
        <f>"22381"</f>
        <v>22381</v>
      </c>
      <c r="E4000" t="str">
        <f t="shared" si="744"/>
        <v>1</v>
      </c>
      <c r="F4000" t="str">
        <f t="shared" si="740"/>
        <v>COM</v>
      </c>
      <c r="G4000" t="str">
        <f>"MURILO BARRETO AFONSO (30)"</f>
        <v>MURILO BARRETO AFONSO (30)</v>
      </c>
      <c r="H4000" t="str">
        <f>"Serv.Prest. 15/09/2025 a 21/09/2025 - PIX: CPF - CHAVE: 123.020.026-60"</f>
        <v>Serv.Prest. 15/09/2025 a 21/09/2025 - PIX: CPF - CHAVE: 123.020.026-60</v>
      </c>
      <c r="I4000" t="str">
        <f t="shared" si="743"/>
        <v>02/10/2025</v>
      </c>
      <c r="J4000" t="str">
        <f t="shared" si="745"/>
        <v>23/09/2025</v>
      </c>
      <c r="K4000" t="str">
        <f>("02/10/2025")</f>
        <v>02/10/2025</v>
      </c>
      <c r="L4000">
        <v>1848</v>
      </c>
      <c r="M4000">
        <v>1848</v>
      </c>
      <c r="N4000">
        <v>109</v>
      </c>
      <c r="O4000" t="str">
        <f>"PAGAMENTO DE ENTREGADORES"</f>
        <v>PAGAMENTO DE ENTREGADORES</v>
      </c>
      <c r="P4000">
        <v>1848</v>
      </c>
      <c r="S4000" t="str">
        <f>"BANCO C6 (149)"</f>
        <v>BANCO C6 (149)</v>
      </c>
      <c r="T4000">
        <v>18933</v>
      </c>
      <c r="U4000">
        <v>22381</v>
      </c>
      <c r="V4000" t="s">
        <v>77</v>
      </c>
    </row>
    <row r="4001" spans="1:22">
      <c r="A4001" t="str">
        <f t="shared" si="741"/>
        <v>02/10/2025</v>
      </c>
      <c r="B4001" t="str">
        <f t="shared" si="746"/>
        <v>SAÍDA</v>
      </c>
      <c r="C4001" t="str">
        <f t="shared" si="742"/>
        <v>PIX</v>
      </c>
      <c r="D4001" t="str">
        <f>"22381"</f>
        <v>22381</v>
      </c>
      <c r="E4001" t="str">
        <f t="shared" ref="E4001:E4032" si="747">"1"</f>
        <v>1</v>
      </c>
      <c r="F4001" t="str">
        <f t="shared" si="740"/>
        <v>COM</v>
      </c>
      <c r="G4001" t="str">
        <f>"MURILO BARRETO AFONSO (30)"</f>
        <v>MURILO BARRETO AFONSO (30)</v>
      </c>
      <c r="H4001" t="s">
        <v>1130</v>
      </c>
      <c r="I4001" t="str">
        <f t="shared" si="743"/>
        <v>02/10/2025</v>
      </c>
      <c r="J4001" t="str">
        <f t="shared" si="745"/>
        <v>23/09/2025</v>
      </c>
      <c r="K4001">
        <v>45932</v>
      </c>
      <c r="N4001">
        <v>109</v>
      </c>
      <c r="O4001" t="s">
        <v>24</v>
      </c>
      <c r="Q4001">
        <v>996.07</v>
      </c>
      <c r="R4001" t="str">
        <f>"FARMÁCIA INDIANA LJ 118 (10052)"</f>
        <v>FARMÁCIA INDIANA LJ 118 (10052)</v>
      </c>
      <c r="S4001" t="s">
        <v>77</v>
      </c>
      <c r="T4001">
        <v>18933</v>
      </c>
      <c r="U4001">
        <v>22381</v>
      </c>
      <c r="V4001" t="s">
        <v>77</v>
      </c>
    </row>
    <row r="4002" spans="1:22">
      <c r="A4002" t="str">
        <f t="shared" si="741"/>
        <v>02/10/2025</v>
      </c>
      <c r="B4002" t="str">
        <f t="shared" si="746"/>
        <v>SAÍDA</v>
      </c>
      <c r="C4002" t="str">
        <f t="shared" si="742"/>
        <v>PIX</v>
      </c>
      <c r="D4002" t="str">
        <f>"22381"</f>
        <v>22381</v>
      </c>
      <c r="E4002" t="str">
        <f t="shared" si="747"/>
        <v>1</v>
      </c>
      <c r="F4002" t="str">
        <f t="shared" si="740"/>
        <v>COM</v>
      </c>
      <c r="G4002" t="str">
        <f>"MURILO BARRETO AFONSO (30)"</f>
        <v>MURILO BARRETO AFONSO (30)</v>
      </c>
      <c r="H4002" t="s">
        <v>1130</v>
      </c>
      <c r="I4002" t="str">
        <f t="shared" si="743"/>
        <v>02/10/2025</v>
      </c>
      <c r="J4002" t="str">
        <f t="shared" si="745"/>
        <v>23/09/2025</v>
      </c>
      <c r="K4002">
        <v>45932</v>
      </c>
      <c r="N4002">
        <v>109</v>
      </c>
      <c r="O4002" t="s">
        <v>24</v>
      </c>
      <c r="Q4002">
        <v>851.93</v>
      </c>
      <c r="R4002" t="str">
        <f>"FARMÁCIA INDIANA LJ 192 (10082)"</f>
        <v>FARMÁCIA INDIANA LJ 192 (10082)</v>
      </c>
      <c r="S4002" t="s">
        <v>77</v>
      </c>
      <c r="T4002">
        <v>18933</v>
      </c>
      <c r="U4002">
        <v>22381</v>
      </c>
      <c r="V4002" t="s">
        <v>77</v>
      </c>
    </row>
    <row r="4003" spans="1:22">
      <c r="A4003" t="str">
        <f t="shared" si="741"/>
        <v>02/10/2025</v>
      </c>
      <c r="B4003" t="str">
        <f t="shared" si="746"/>
        <v>SAÍDA</v>
      </c>
      <c r="C4003" t="str">
        <f t="shared" si="742"/>
        <v>PIX</v>
      </c>
      <c r="D4003" t="str">
        <f>"22380"</f>
        <v>22380</v>
      </c>
      <c r="E4003" t="str">
        <f t="shared" si="747"/>
        <v>1</v>
      </c>
      <c r="F4003" t="str">
        <f t="shared" si="740"/>
        <v>COM</v>
      </c>
      <c r="G4003" t="str">
        <f>"MIGUEL PESSOA RAMOS (68)"</f>
        <v>MIGUEL PESSOA RAMOS (68)</v>
      </c>
      <c r="H4003" t="str">
        <f>"Serv.Prest. 15/09/2025 a 21/09/2025 - PIX: CELULAR - CHAVE: (33) 99845-0493"</f>
        <v>Serv.Prest. 15/09/2025 a 21/09/2025 - PIX: CELULAR - CHAVE: (33) 99845-0493</v>
      </c>
      <c r="I4003" t="str">
        <f t="shared" si="743"/>
        <v>02/10/2025</v>
      </c>
      <c r="J4003" t="str">
        <f t="shared" si="745"/>
        <v>23/09/2025</v>
      </c>
      <c r="K4003" t="str">
        <f>("02/10/2025")</f>
        <v>02/10/2025</v>
      </c>
      <c r="L4003">
        <v>894</v>
      </c>
      <c r="M4003">
        <v>894</v>
      </c>
      <c r="N4003">
        <v>109</v>
      </c>
      <c r="O4003" t="str">
        <f>"PAGAMENTO DE ENTREGADORES"</f>
        <v>PAGAMENTO DE ENTREGADORES</v>
      </c>
      <c r="P4003">
        <v>894</v>
      </c>
      <c r="S4003" t="str">
        <f>"BANCO C6 (149)"</f>
        <v>BANCO C6 (149)</v>
      </c>
      <c r="T4003">
        <v>18934</v>
      </c>
      <c r="U4003">
        <v>22380</v>
      </c>
      <c r="V4003" t="s">
        <v>77</v>
      </c>
    </row>
    <row r="4004" spans="1:22">
      <c r="A4004" t="str">
        <f t="shared" si="741"/>
        <v>02/10/2025</v>
      </c>
      <c r="B4004" t="str">
        <f t="shared" si="746"/>
        <v>SAÍDA</v>
      </c>
      <c r="C4004" t="str">
        <f t="shared" si="742"/>
        <v>PIX</v>
      </c>
      <c r="D4004" t="str">
        <f>"22380"</f>
        <v>22380</v>
      </c>
      <c r="E4004" t="str">
        <f t="shared" si="747"/>
        <v>1</v>
      </c>
      <c r="F4004" t="str">
        <f t="shared" si="740"/>
        <v>COM</v>
      </c>
      <c r="G4004" t="str">
        <f>"MIGUEL PESSOA RAMOS (68)"</f>
        <v>MIGUEL PESSOA RAMOS (68)</v>
      </c>
      <c r="H4004" t="s">
        <v>1131</v>
      </c>
      <c r="I4004" t="str">
        <f t="shared" si="743"/>
        <v>02/10/2025</v>
      </c>
      <c r="J4004" t="str">
        <f t="shared" si="745"/>
        <v>23/09/2025</v>
      </c>
      <c r="K4004">
        <v>45932</v>
      </c>
      <c r="N4004">
        <v>109</v>
      </c>
      <c r="O4004" t="s">
        <v>24</v>
      </c>
      <c r="Q4004">
        <v>894</v>
      </c>
      <c r="R4004" t="str">
        <f>"FARMÁCIA INDIANA LJ 07 (10007)"</f>
        <v>FARMÁCIA INDIANA LJ 07 (10007)</v>
      </c>
      <c r="S4004" t="s">
        <v>77</v>
      </c>
      <c r="T4004">
        <v>18934</v>
      </c>
      <c r="U4004">
        <v>22380</v>
      </c>
      <c r="V4004" t="s">
        <v>77</v>
      </c>
    </row>
    <row r="4005" spans="1:22">
      <c r="A4005" t="str">
        <f t="shared" si="741"/>
        <v>02/10/2025</v>
      </c>
      <c r="B4005" t="str">
        <f t="shared" si="746"/>
        <v>SAÍDA</v>
      </c>
      <c r="C4005" t="str">
        <f t="shared" si="742"/>
        <v>PIX</v>
      </c>
      <c r="D4005" t="str">
        <f>"22379"</f>
        <v>22379</v>
      </c>
      <c r="E4005" t="str">
        <f t="shared" si="747"/>
        <v>1</v>
      </c>
      <c r="F4005" t="str">
        <f t="shared" si="740"/>
        <v>COM</v>
      </c>
      <c r="G4005" t="str">
        <f>"MAYCON GUILHERME DUARTE (541)"</f>
        <v>MAYCON GUILHERME DUARTE (541)</v>
      </c>
      <c r="H4005" t="str">
        <f>"Serv.Prest. 15/09/2025 a 21/09/2025 - PIX: CELULAR - CHAVE: (31) 99076-6539"</f>
        <v>Serv.Prest. 15/09/2025 a 21/09/2025 - PIX: CELULAR - CHAVE: (31) 99076-6539</v>
      </c>
      <c r="I4005" t="str">
        <f t="shared" si="743"/>
        <v>02/10/2025</v>
      </c>
      <c r="J4005" t="str">
        <f t="shared" ref="J4005:J4036" si="748">("23/09/2025")</f>
        <v>23/09/2025</v>
      </c>
      <c r="K4005" t="str">
        <f>("02/10/2025")</f>
        <v>02/10/2025</v>
      </c>
      <c r="L4005">
        <v>1158</v>
      </c>
      <c r="M4005">
        <v>1158</v>
      </c>
      <c r="N4005">
        <v>109</v>
      </c>
      <c r="O4005" t="str">
        <f>"PAGAMENTO DE ENTREGADORES"</f>
        <v>PAGAMENTO DE ENTREGADORES</v>
      </c>
      <c r="P4005">
        <v>1158</v>
      </c>
      <c r="S4005" t="str">
        <f>"BANCO C6 (149)"</f>
        <v>BANCO C6 (149)</v>
      </c>
      <c r="T4005">
        <v>18935</v>
      </c>
      <c r="U4005">
        <v>22379</v>
      </c>
      <c r="V4005" t="s">
        <v>77</v>
      </c>
    </row>
    <row r="4006" spans="1:22">
      <c r="A4006" t="str">
        <f t="shared" si="741"/>
        <v>02/10/2025</v>
      </c>
      <c r="B4006" t="str">
        <f t="shared" si="746"/>
        <v>SAÍDA</v>
      </c>
      <c r="C4006" t="str">
        <f t="shared" si="742"/>
        <v>PIX</v>
      </c>
      <c r="D4006" t="str">
        <f>"22379"</f>
        <v>22379</v>
      </c>
      <c r="E4006" t="str">
        <f t="shared" si="747"/>
        <v>1</v>
      </c>
      <c r="F4006" t="str">
        <f t="shared" si="740"/>
        <v>COM</v>
      </c>
      <c r="G4006" t="str">
        <f>"MAYCON GUILHERME DUARTE (541)"</f>
        <v>MAYCON GUILHERME DUARTE (541)</v>
      </c>
      <c r="H4006" t="s">
        <v>1132</v>
      </c>
      <c r="I4006" t="str">
        <f t="shared" si="743"/>
        <v>02/10/2025</v>
      </c>
      <c r="J4006" t="str">
        <f t="shared" si="748"/>
        <v>23/09/2025</v>
      </c>
      <c r="K4006">
        <v>45932</v>
      </c>
      <c r="N4006">
        <v>109</v>
      </c>
      <c r="O4006" t="s">
        <v>24</v>
      </c>
      <c r="Q4006">
        <v>1158</v>
      </c>
      <c r="R4006" t="str">
        <f>"FARMÁCIA INDIANA LJ 220 (10092)"</f>
        <v>FARMÁCIA INDIANA LJ 220 (10092)</v>
      </c>
      <c r="S4006" t="s">
        <v>77</v>
      </c>
      <c r="T4006">
        <v>18935</v>
      </c>
      <c r="U4006">
        <v>22379</v>
      </c>
      <c r="V4006" t="s">
        <v>77</v>
      </c>
    </row>
    <row r="4007" spans="1:22">
      <c r="A4007" t="str">
        <f t="shared" si="741"/>
        <v>02/10/2025</v>
      </c>
      <c r="B4007" t="str">
        <f t="shared" si="746"/>
        <v>SAÍDA</v>
      </c>
      <c r="C4007" t="str">
        <f t="shared" si="742"/>
        <v>PIX</v>
      </c>
      <c r="D4007" t="str">
        <f>"22378"</f>
        <v>22378</v>
      </c>
      <c r="E4007" t="str">
        <f t="shared" si="747"/>
        <v>1</v>
      </c>
      <c r="F4007" t="str">
        <f t="shared" si="740"/>
        <v>COM</v>
      </c>
      <c r="G4007" t="str">
        <f>"MAURO AUGUSTO MACHADO DE ASSIS (767)"</f>
        <v>MAURO AUGUSTO MACHADO DE ASSIS (767)</v>
      </c>
      <c r="H4007" t="str">
        <f>"Serv.Prest. 15/09/2025 a 21/09/2025 - PIX: CPF - CHAVE: 163.330.766-27"</f>
        <v>Serv.Prest. 15/09/2025 a 21/09/2025 - PIX: CPF - CHAVE: 163.330.766-27</v>
      </c>
      <c r="I4007" t="str">
        <f t="shared" si="743"/>
        <v>02/10/2025</v>
      </c>
      <c r="J4007" t="str">
        <f t="shared" si="748"/>
        <v>23/09/2025</v>
      </c>
      <c r="K4007" t="str">
        <f>("02/10/2025")</f>
        <v>02/10/2025</v>
      </c>
      <c r="L4007">
        <v>1212</v>
      </c>
      <c r="M4007">
        <v>1212</v>
      </c>
      <c r="N4007">
        <v>109</v>
      </c>
      <c r="O4007" t="str">
        <f>"PAGAMENTO DE ENTREGADORES"</f>
        <v>PAGAMENTO DE ENTREGADORES</v>
      </c>
      <c r="P4007">
        <v>1212</v>
      </c>
      <c r="S4007" t="str">
        <f>"BANCO C6 (149)"</f>
        <v>BANCO C6 (149)</v>
      </c>
      <c r="T4007">
        <v>18936</v>
      </c>
      <c r="U4007">
        <v>22378</v>
      </c>
      <c r="V4007" t="s">
        <v>77</v>
      </c>
    </row>
    <row r="4008" spans="1:22">
      <c r="A4008" t="str">
        <f t="shared" si="741"/>
        <v>02/10/2025</v>
      </c>
      <c r="B4008" t="str">
        <f t="shared" si="746"/>
        <v>SAÍDA</v>
      </c>
      <c r="C4008" t="str">
        <f t="shared" si="742"/>
        <v>PIX</v>
      </c>
      <c r="D4008" t="str">
        <f>"22378"</f>
        <v>22378</v>
      </c>
      <c r="E4008" t="str">
        <f t="shared" si="747"/>
        <v>1</v>
      </c>
      <c r="F4008" t="str">
        <f t="shared" si="740"/>
        <v>COM</v>
      </c>
      <c r="G4008" t="str">
        <f>"MAURO AUGUSTO MACHADO DE ASSIS (767)"</f>
        <v>MAURO AUGUSTO MACHADO DE ASSIS (767)</v>
      </c>
      <c r="H4008" t="s">
        <v>1133</v>
      </c>
      <c r="I4008" t="str">
        <f t="shared" si="743"/>
        <v>02/10/2025</v>
      </c>
      <c r="J4008" t="str">
        <f t="shared" si="748"/>
        <v>23/09/2025</v>
      </c>
      <c r="K4008">
        <v>45932</v>
      </c>
      <c r="N4008">
        <v>109</v>
      </c>
      <c r="O4008" t="s">
        <v>24</v>
      </c>
      <c r="Q4008">
        <v>665.99</v>
      </c>
      <c r="R4008" t="str">
        <f>"FARMÁCIA INDIANA LJ 11 (10008)"</f>
        <v>FARMÁCIA INDIANA LJ 11 (10008)</v>
      </c>
      <c r="S4008" t="s">
        <v>77</v>
      </c>
      <c r="T4008">
        <v>18936</v>
      </c>
      <c r="U4008">
        <v>22378</v>
      </c>
      <c r="V4008" t="s">
        <v>77</v>
      </c>
    </row>
    <row r="4009" spans="1:22">
      <c r="A4009" t="str">
        <f t="shared" si="741"/>
        <v>02/10/2025</v>
      </c>
      <c r="B4009" t="str">
        <f t="shared" si="746"/>
        <v>SAÍDA</v>
      </c>
      <c r="C4009" t="str">
        <f t="shared" si="742"/>
        <v>PIX</v>
      </c>
      <c r="D4009" t="str">
        <f>"22378"</f>
        <v>22378</v>
      </c>
      <c r="E4009" t="str">
        <f t="shared" si="747"/>
        <v>1</v>
      </c>
      <c r="F4009" t="str">
        <f t="shared" si="740"/>
        <v>COM</v>
      </c>
      <c r="G4009" t="str">
        <f>"MAURO AUGUSTO MACHADO DE ASSIS (767)"</f>
        <v>MAURO AUGUSTO MACHADO DE ASSIS (767)</v>
      </c>
      <c r="H4009" t="s">
        <v>1133</v>
      </c>
      <c r="I4009" t="str">
        <f t="shared" si="743"/>
        <v>02/10/2025</v>
      </c>
      <c r="J4009" t="str">
        <f t="shared" si="748"/>
        <v>23/09/2025</v>
      </c>
      <c r="K4009">
        <v>45932</v>
      </c>
      <c r="N4009">
        <v>109</v>
      </c>
      <c r="O4009" t="s">
        <v>24</v>
      </c>
      <c r="Q4009">
        <v>546.01</v>
      </c>
      <c r="R4009" t="str">
        <f>"FARMÁCIA INDIANA LJ 172 (10161)"</f>
        <v>FARMÁCIA INDIANA LJ 172 (10161)</v>
      </c>
      <c r="S4009" t="s">
        <v>77</v>
      </c>
      <c r="T4009">
        <v>18936</v>
      </c>
      <c r="U4009">
        <v>22378</v>
      </c>
      <c r="V4009" t="s">
        <v>77</v>
      </c>
    </row>
    <row r="4010" spans="1:22">
      <c r="A4010" t="str">
        <f t="shared" si="741"/>
        <v>02/10/2025</v>
      </c>
      <c r="B4010" t="str">
        <f t="shared" si="746"/>
        <v>SAÍDA</v>
      </c>
      <c r="C4010" t="str">
        <f t="shared" si="742"/>
        <v>PIX</v>
      </c>
      <c r="D4010" t="str">
        <f>"22377"</f>
        <v>22377</v>
      </c>
      <c r="E4010" t="str">
        <f t="shared" si="747"/>
        <v>1</v>
      </c>
      <c r="F4010" t="str">
        <f t="shared" si="740"/>
        <v>COM</v>
      </c>
      <c r="G4010" t="str">
        <f>"MATHEUS VIEIRA DA SILVA (886)"</f>
        <v>MATHEUS VIEIRA DA SILVA (886)</v>
      </c>
      <c r="H4010" t="str">
        <f>"Serv.Prest. 15/09/2025 a 21/09/2025 - PIX: E-MAIL - CHAVE: meamatheusvieira@gmail.com"</f>
        <v>Serv.Prest. 15/09/2025 a 21/09/2025 - PIX: E-MAIL - CHAVE: meamatheusvieira@gmail.com</v>
      </c>
      <c r="I4010" t="str">
        <f t="shared" si="743"/>
        <v>02/10/2025</v>
      </c>
      <c r="J4010" t="str">
        <f t="shared" si="748"/>
        <v>23/09/2025</v>
      </c>
      <c r="K4010" t="str">
        <f>("02/10/2025")</f>
        <v>02/10/2025</v>
      </c>
      <c r="L4010">
        <v>1104</v>
      </c>
      <c r="M4010">
        <v>1104</v>
      </c>
      <c r="N4010">
        <v>109</v>
      </c>
      <c r="O4010" t="str">
        <f>"PAGAMENTO DE ENTREGADORES"</f>
        <v>PAGAMENTO DE ENTREGADORES</v>
      </c>
      <c r="P4010">
        <v>1104</v>
      </c>
      <c r="S4010" t="str">
        <f>"BANCO C6 (149)"</f>
        <v>BANCO C6 (149)</v>
      </c>
      <c r="T4010">
        <v>18937</v>
      </c>
      <c r="U4010">
        <v>22377</v>
      </c>
      <c r="V4010" t="s">
        <v>77</v>
      </c>
    </row>
    <row r="4011" spans="1:22">
      <c r="A4011" t="str">
        <f t="shared" si="741"/>
        <v>02/10/2025</v>
      </c>
      <c r="B4011" t="str">
        <f t="shared" si="746"/>
        <v>SAÍDA</v>
      </c>
      <c r="C4011" t="str">
        <f t="shared" si="742"/>
        <v>PIX</v>
      </c>
      <c r="D4011" t="str">
        <f>"22377"</f>
        <v>22377</v>
      </c>
      <c r="E4011" t="str">
        <f t="shared" si="747"/>
        <v>1</v>
      </c>
      <c r="F4011" t="str">
        <f t="shared" si="740"/>
        <v>COM</v>
      </c>
      <c r="G4011" t="str">
        <f>"MATHEUS VIEIRA DA SILVA (886)"</f>
        <v>MATHEUS VIEIRA DA SILVA (886)</v>
      </c>
      <c r="H4011" t="s">
        <v>1134</v>
      </c>
      <c r="I4011" t="str">
        <f t="shared" si="743"/>
        <v>02/10/2025</v>
      </c>
      <c r="J4011" t="str">
        <f t="shared" si="748"/>
        <v>23/09/2025</v>
      </c>
      <c r="K4011">
        <v>45932</v>
      </c>
      <c r="N4011">
        <v>109</v>
      </c>
      <c r="O4011" t="s">
        <v>24</v>
      </c>
      <c r="Q4011">
        <v>1104</v>
      </c>
      <c r="R4011" t="str">
        <f>"FARMÁCIA INDIANA LJ 07 (10007)"</f>
        <v>FARMÁCIA INDIANA LJ 07 (10007)</v>
      </c>
      <c r="S4011" t="s">
        <v>77</v>
      </c>
      <c r="T4011">
        <v>18937</v>
      </c>
      <c r="U4011">
        <v>22377</v>
      </c>
      <c r="V4011" t="s">
        <v>77</v>
      </c>
    </row>
    <row r="4012" spans="1:22">
      <c r="A4012" t="str">
        <f t="shared" si="741"/>
        <v>02/10/2025</v>
      </c>
      <c r="B4012" t="str">
        <f t="shared" ref="B4012:B4028" si="749">"SAÍDA"</f>
        <v>SAÍDA</v>
      </c>
      <c r="C4012" t="str">
        <f t="shared" si="742"/>
        <v>PIX</v>
      </c>
      <c r="D4012" t="str">
        <f>"22376"</f>
        <v>22376</v>
      </c>
      <c r="E4012" t="str">
        <f t="shared" si="747"/>
        <v>1</v>
      </c>
      <c r="F4012" t="str">
        <f t="shared" si="740"/>
        <v>COM</v>
      </c>
      <c r="G4012" t="str">
        <f>"MATHEUS ALMEIDA RAMOS (47)"</f>
        <v>MATHEUS ALMEIDA RAMOS (47)</v>
      </c>
      <c r="H4012" t="str">
        <f>"Serv.Prest. 15/09/2025 a 21/09/2025 - PIX: CELULAR - CHAVE: (33) 98884-1637"</f>
        <v>Serv.Prest. 15/09/2025 a 21/09/2025 - PIX: CELULAR - CHAVE: (33) 98884-1637</v>
      </c>
      <c r="I4012" t="str">
        <f t="shared" si="743"/>
        <v>02/10/2025</v>
      </c>
      <c r="J4012" t="str">
        <f t="shared" si="748"/>
        <v>23/09/2025</v>
      </c>
      <c r="K4012" t="str">
        <f>("02/10/2025")</f>
        <v>02/10/2025</v>
      </c>
      <c r="L4012">
        <v>156</v>
      </c>
      <c r="M4012">
        <v>156</v>
      </c>
      <c r="N4012">
        <v>109</v>
      </c>
      <c r="O4012" t="str">
        <f>"PAGAMENTO DE ENTREGADORES"</f>
        <v>PAGAMENTO DE ENTREGADORES</v>
      </c>
      <c r="P4012">
        <v>156</v>
      </c>
      <c r="S4012" t="str">
        <f>"BANCO C6 (149)"</f>
        <v>BANCO C6 (149)</v>
      </c>
      <c r="T4012">
        <v>18938</v>
      </c>
      <c r="U4012">
        <v>22376</v>
      </c>
      <c r="V4012" t="s">
        <v>77</v>
      </c>
    </row>
    <row r="4013" spans="1:22">
      <c r="A4013" t="str">
        <f t="shared" si="741"/>
        <v>02/10/2025</v>
      </c>
      <c r="B4013" t="str">
        <f t="shared" si="749"/>
        <v>SAÍDA</v>
      </c>
      <c r="C4013" t="str">
        <f t="shared" si="742"/>
        <v>PIX</v>
      </c>
      <c r="D4013" t="str">
        <f>"22376"</f>
        <v>22376</v>
      </c>
      <c r="E4013" t="str">
        <f t="shared" si="747"/>
        <v>1</v>
      </c>
      <c r="F4013" t="str">
        <f t="shared" si="740"/>
        <v>COM</v>
      </c>
      <c r="G4013" t="str">
        <f>"MATHEUS ALMEIDA RAMOS (47)"</f>
        <v>MATHEUS ALMEIDA RAMOS (47)</v>
      </c>
      <c r="H4013" t="s">
        <v>1135</v>
      </c>
      <c r="I4013" t="str">
        <f t="shared" si="743"/>
        <v>02/10/2025</v>
      </c>
      <c r="J4013" t="str">
        <f t="shared" si="748"/>
        <v>23/09/2025</v>
      </c>
      <c r="K4013">
        <v>45932</v>
      </c>
      <c r="N4013">
        <v>109</v>
      </c>
      <c r="O4013" t="s">
        <v>24</v>
      </c>
      <c r="Q4013">
        <v>156</v>
      </c>
      <c r="R4013" t="str">
        <f>"FARMÁCIA INDIANA LJ 07 (10007)"</f>
        <v>FARMÁCIA INDIANA LJ 07 (10007)</v>
      </c>
      <c r="S4013" t="s">
        <v>77</v>
      </c>
      <c r="T4013">
        <v>18938</v>
      </c>
      <c r="U4013">
        <v>22376</v>
      </c>
      <c r="V4013" t="s">
        <v>77</v>
      </c>
    </row>
    <row r="4014" spans="1:22">
      <c r="A4014" t="str">
        <f t="shared" si="741"/>
        <v>02/10/2025</v>
      </c>
      <c r="B4014" t="str">
        <f t="shared" si="749"/>
        <v>SAÍDA</v>
      </c>
      <c r="C4014" t="str">
        <f t="shared" si="742"/>
        <v>PIX</v>
      </c>
      <c r="D4014" t="str">
        <f>"22375"</f>
        <v>22375</v>
      </c>
      <c r="E4014" t="str">
        <f t="shared" si="747"/>
        <v>1</v>
      </c>
      <c r="F4014" t="str">
        <f t="shared" si="740"/>
        <v>COM</v>
      </c>
      <c r="G4014" t="str">
        <f>"MARCOS RODRIGUES PENA (64)"</f>
        <v>MARCOS RODRIGUES PENA (64)</v>
      </c>
      <c r="H4014" t="str">
        <f>"Serv.Prest. 15/09/2025 a 21/09/2025 - PIX: CELULAR - CHAVE: (33) 99194-2339"</f>
        <v>Serv.Prest. 15/09/2025 a 21/09/2025 - PIX: CELULAR - CHAVE: (33) 99194-2339</v>
      </c>
      <c r="I4014" t="str">
        <f t="shared" si="743"/>
        <v>02/10/2025</v>
      </c>
      <c r="J4014" t="str">
        <f t="shared" si="748"/>
        <v>23/09/2025</v>
      </c>
      <c r="K4014" t="str">
        <f>("02/10/2025")</f>
        <v>02/10/2025</v>
      </c>
      <c r="L4014">
        <v>605</v>
      </c>
      <c r="M4014">
        <v>745</v>
      </c>
      <c r="N4014">
        <v>109</v>
      </c>
      <c r="O4014" t="str">
        <f>"PAGAMENTO DE ENTREGADORES"</f>
        <v>PAGAMENTO DE ENTREGADORES</v>
      </c>
      <c r="P4014">
        <v>745</v>
      </c>
      <c r="S4014" t="str">
        <f>"BANCO C6 (149)"</f>
        <v>BANCO C6 (149)</v>
      </c>
      <c r="T4014">
        <v>18939</v>
      </c>
      <c r="U4014">
        <v>22375</v>
      </c>
      <c r="V4014" t="s">
        <v>77</v>
      </c>
    </row>
    <row r="4015" spans="1:22">
      <c r="A4015" t="str">
        <f t="shared" si="741"/>
        <v>02/10/2025</v>
      </c>
      <c r="B4015" t="str">
        <f t="shared" si="749"/>
        <v>SAÍDA</v>
      </c>
      <c r="C4015" t="str">
        <f t="shared" si="742"/>
        <v>PIX</v>
      </c>
      <c r="D4015" t="str">
        <f>"22375"</f>
        <v>22375</v>
      </c>
      <c r="E4015" t="str">
        <f t="shared" si="747"/>
        <v>1</v>
      </c>
      <c r="F4015" t="str">
        <f t="shared" si="740"/>
        <v>COM</v>
      </c>
      <c r="G4015" t="str">
        <f>"MARCOS RODRIGUES PENA (64)"</f>
        <v>MARCOS RODRIGUES PENA (64)</v>
      </c>
      <c r="H4015" t="s">
        <v>1136</v>
      </c>
      <c r="I4015" t="str">
        <f t="shared" si="743"/>
        <v>02/10/2025</v>
      </c>
      <c r="J4015" t="str">
        <f t="shared" si="748"/>
        <v>23/09/2025</v>
      </c>
      <c r="K4015">
        <v>45932</v>
      </c>
      <c r="N4015">
        <v>109</v>
      </c>
      <c r="O4015" t="s">
        <v>24</v>
      </c>
      <c r="Q4015">
        <v>745</v>
      </c>
      <c r="R4015" t="str">
        <f>"FARMÁCIA INDIANA LJ 62 (10028)"</f>
        <v>FARMÁCIA INDIANA LJ 62 (10028)</v>
      </c>
      <c r="S4015" t="s">
        <v>77</v>
      </c>
      <c r="T4015">
        <v>18939</v>
      </c>
      <c r="U4015">
        <v>22375</v>
      </c>
      <c r="V4015" t="s">
        <v>77</v>
      </c>
    </row>
    <row r="4016" spans="1:22">
      <c r="A4016" t="str">
        <f t="shared" si="741"/>
        <v>02/10/2025</v>
      </c>
      <c r="B4016" t="str">
        <f t="shared" si="749"/>
        <v>SAÍDA</v>
      </c>
      <c r="C4016" t="str">
        <f t="shared" si="742"/>
        <v>PIX</v>
      </c>
      <c r="D4016" t="str">
        <f>"22374"</f>
        <v>22374</v>
      </c>
      <c r="E4016" t="str">
        <f t="shared" si="747"/>
        <v>1</v>
      </c>
      <c r="F4016" t="str">
        <f t="shared" si="740"/>
        <v>COM</v>
      </c>
      <c r="G4016" t="str">
        <f>"MARCOS DIONI RODRIGUES GASPAR (506)"</f>
        <v>MARCOS DIONI RODRIGUES GASPAR (506)</v>
      </c>
      <c r="H4016" t="str">
        <f>"Serv.Prest. 15/09/2025 a 21/09/2025 - PIX: CELULAR - CHAVE: (33) 99815-2379"</f>
        <v>Serv.Prest. 15/09/2025 a 21/09/2025 - PIX: CELULAR - CHAVE: (33) 99815-2379</v>
      </c>
      <c r="I4016" t="str">
        <f t="shared" si="743"/>
        <v>02/10/2025</v>
      </c>
      <c r="J4016" t="str">
        <f t="shared" si="748"/>
        <v>23/09/2025</v>
      </c>
      <c r="K4016" t="str">
        <f>("02/10/2025")</f>
        <v>02/10/2025</v>
      </c>
      <c r="L4016">
        <v>1080</v>
      </c>
      <c r="M4016">
        <v>1080</v>
      </c>
      <c r="N4016">
        <v>109</v>
      </c>
      <c r="O4016" t="str">
        <f>"PAGAMENTO DE ENTREGADORES"</f>
        <v>PAGAMENTO DE ENTREGADORES</v>
      </c>
      <c r="P4016">
        <v>1080</v>
      </c>
      <c r="S4016" t="str">
        <f>"BANCO C6 (149)"</f>
        <v>BANCO C6 (149)</v>
      </c>
      <c r="T4016">
        <v>18940</v>
      </c>
      <c r="U4016">
        <v>22374</v>
      </c>
      <c r="V4016" t="s">
        <v>77</v>
      </c>
    </row>
    <row r="4017" spans="1:22">
      <c r="A4017" t="str">
        <f t="shared" si="741"/>
        <v>02/10/2025</v>
      </c>
      <c r="B4017" t="str">
        <f t="shared" si="749"/>
        <v>SAÍDA</v>
      </c>
      <c r="C4017" t="str">
        <f t="shared" si="742"/>
        <v>PIX</v>
      </c>
      <c r="D4017" t="str">
        <f>"22374"</f>
        <v>22374</v>
      </c>
      <c r="E4017" t="str">
        <f t="shared" si="747"/>
        <v>1</v>
      </c>
      <c r="F4017" t="str">
        <f t="shared" si="740"/>
        <v>COM</v>
      </c>
      <c r="G4017" t="str">
        <f>"MARCOS DIONI RODRIGUES GASPAR (506)"</f>
        <v>MARCOS DIONI RODRIGUES GASPAR (506)</v>
      </c>
      <c r="H4017" t="s">
        <v>1137</v>
      </c>
      <c r="I4017" t="str">
        <f t="shared" si="743"/>
        <v>02/10/2025</v>
      </c>
      <c r="J4017" t="str">
        <f t="shared" si="748"/>
        <v>23/09/2025</v>
      </c>
      <c r="K4017">
        <v>45932</v>
      </c>
      <c r="N4017">
        <v>109</v>
      </c>
      <c r="O4017" t="s">
        <v>24</v>
      </c>
      <c r="Q4017">
        <v>1080</v>
      </c>
      <c r="R4017" t="str">
        <f>"FARMÁCIA INDIANA LJ 06 (10006)"</f>
        <v>FARMÁCIA INDIANA LJ 06 (10006)</v>
      </c>
      <c r="S4017" t="s">
        <v>77</v>
      </c>
      <c r="T4017">
        <v>18940</v>
      </c>
      <c r="U4017">
        <v>22374</v>
      </c>
      <c r="V4017" t="s">
        <v>77</v>
      </c>
    </row>
    <row r="4018" spans="1:22">
      <c r="A4018" t="str">
        <f t="shared" si="741"/>
        <v>02/10/2025</v>
      </c>
      <c r="B4018" t="str">
        <f t="shared" si="749"/>
        <v>SAÍDA</v>
      </c>
      <c r="C4018" t="str">
        <f t="shared" si="742"/>
        <v>PIX</v>
      </c>
      <c r="D4018" t="str">
        <f>"22370"</f>
        <v>22370</v>
      </c>
      <c r="E4018" t="str">
        <f t="shared" si="747"/>
        <v>1</v>
      </c>
      <c r="F4018" t="str">
        <f t="shared" si="740"/>
        <v>COM</v>
      </c>
      <c r="G4018" t="str">
        <f>"LUIZ EMANUEL PINHEIRO (870)"</f>
        <v>LUIZ EMANUEL PINHEIRO (870)</v>
      </c>
      <c r="H4018" t="str">
        <f>"Serv.Prest. 15/09/2025 a 21/09/2025 - PIX: CPF - CHAVE: 129.269.326-69"</f>
        <v>Serv.Prest. 15/09/2025 a 21/09/2025 - PIX: CPF - CHAVE: 129.269.326-69</v>
      </c>
      <c r="I4018" t="str">
        <f t="shared" si="743"/>
        <v>02/10/2025</v>
      </c>
      <c r="J4018" t="str">
        <f t="shared" si="748"/>
        <v>23/09/2025</v>
      </c>
      <c r="K4018" t="str">
        <f>("02/10/2025")</f>
        <v>02/10/2025</v>
      </c>
      <c r="L4018">
        <v>700.8</v>
      </c>
      <c r="M4018">
        <v>700.8</v>
      </c>
      <c r="N4018">
        <v>109</v>
      </c>
      <c r="O4018" t="str">
        <f>"PAGAMENTO DE ENTREGADORES"</f>
        <v>PAGAMENTO DE ENTREGADORES</v>
      </c>
      <c r="P4018">
        <v>700.8</v>
      </c>
      <c r="S4018" t="str">
        <f>"BANCO C6 (149)"</f>
        <v>BANCO C6 (149)</v>
      </c>
      <c r="T4018">
        <v>18941</v>
      </c>
      <c r="U4018">
        <v>22370</v>
      </c>
      <c r="V4018" t="s">
        <v>77</v>
      </c>
    </row>
    <row r="4019" spans="1:22">
      <c r="A4019" t="str">
        <f t="shared" si="741"/>
        <v>02/10/2025</v>
      </c>
      <c r="B4019" t="str">
        <f t="shared" si="749"/>
        <v>SAÍDA</v>
      </c>
      <c r="C4019" t="str">
        <f t="shared" si="742"/>
        <v>PIX</v>
      </c>
      <c r="D4019" t="str">
        <f>"22370"</f>
        <v>22370</v>
      </c>
      <c r="E4019" t="str">
        <f t="shared" si="747"/>
        <v>1</v>
      </c>
      <c r="F4019" t="str">
        <f t="shared" si="740"/>
        <v>COM</v>
      </c>
      <c r="G4019" t="str">
        <f>"LUIZ EMANUEL PINHEIRO (870)"</f>
        <v>LUIZ EMANUEL PINHEIRO (870)</v>
      </c>
      <c r="H4019" t="s">
        <v>1138</v>
      </c>
      <c r="I4019" t="str">
        <f t="shared" si="743"/>
        <v>02/10/2025</v>
      </c>
      <c r="J4019" t="str">
        <f t="shared" si="748"/>
        <v>23/09/2025</v>
      </c>
      <c r="K4019">
        <v>45932</v>
      </c>
      <c r="N4019">
        <v>109</v>
      </c>
      <c r="O4019" t="s">
        <v>24</v>
      </c>
      <c r="Q4019">
        <v>116.83</v>
      </c>
      <c r="R4019" t="str">
        <f>"FARMÁCIA INDIANA LJ 116 (10051)"</f>
        <v>FARMÁCIA INDIANA LJ 116 (10051)</v>
      </c>
      <c r="S4019" t="s">
        <v>77</v>
      </c>
      <c r="T4019">
        <v>18941</v>
      </c>
      <c r="U4019">
        <v>22370</v>
      </c>
      <c r="V4019" t="s">
        <v>77</v>
      </c>
    </row>
    <row r="4020" spans="1:22">
      <c r="A4020" t="str">
        <f t="shared" si="741"/>
        <v>02/10/2025</v>
      </c>
      <c r="B4020" t="str">
        <f t="shared" si="749"/>
        <v>SAÍDA</v>
      </c>
      <c r="C4020" t="str">
        <f t="shared" si="742"/>
        <v>PIX</v>
      </c>
      <c r="D4020" t="str">
        <f>"22370"</f>
        <v>22370</v>
      </c>
      <c r="E4020" t="str">
        <f t="shared" si="747"/>
        <v>1</v>
      </c>
      <c r="F4020" t="str">
        <f t="shared" ref="F4020:F4083" si="750">"COM"</f>
        <v>COM</v>
      </c>
      <c r="G4020" t="str">
        <f>"LUIZ EMANUEL PINHEIRO (870)"</f>
        <v>LUIZ EMANUEL PINHEIRO (870)</v>
      </c>
      <c r="H4020" t="s">
        <v>1138</v>
      </c>
      <c r="I4020" t="str">
        <f t="shared" si="743"/>
        <v>02/10/2025</v>
      </c>
      <c r="J4020" t="str">
        <f t="shared" si="748"/>
        <v>23/09/2025</v>
      </c>
      <c r="K4020">
        <v>45932</v>
      </c>
      <c r="N4020">
        <v>109</v>
      </c>
      <c r="O4020" t="s">
        <v>24</v>
      </c>
      <c r="Q4020">
        <v>467.22</v>
      </c>
      <c r="R4020" t="str">
        <f>"FARMÁCIA INDIANA LJ 121 (10054)"</f>
        <v>FARMÁCIA INDIANA LJ 121 (10054)</v>
      </c>
      <c r="S4020" t="s">
        <v>77</v>
      </c>
      <c r="T4020">
        <v>18941</v>
      </c>
      <c r="U4020">
        <v>22370</v>
      </c>
      <c r="V4020" t="s">
        <v>77</v>
      </c>
    </row>
    <row r="4021" spans="1:22">
      <c r="A4021" t="str">
        <f t="shared" si="741"/>
        <v>02/10/2025</v>
      </c>
      <c r="B4021" t="str">
        <f t="shared" si="749"/>
        <v>SAÍDA</v>
      </c>
      <c r="C4021" t="str">
        <f t="shared" si="742"/>
        <v>PIX</v>
      </c>
      <c r="D4021" t="str">
        <f>"22370"</f>
        <v>22370</v>
      </c>
      <c r="E4021" t="str">
        <f t="shared" si="747"/>
        <v>1</v>
      </c>
      <c r="F4021" t="str">
        <f t="shared" si="750"/>
        <v>COM</v>
      </c>
      <c r="G4021" t="str">
        <f>"LUIZ EMANUEL PINHEIRO (870)"</f>
        <v>LUIZ EMANUEL PINHEIRO (870)</v>
      </c>
      <c r="H4021" t="s">
        <v>1138</v>
      </c>
      <c r="I4021" t="str">
        <f t="shared" si="743"/>
        <v>02/10/2025</v>
      </c>
      <c r="J4021" t="str">
        <f t="shared" si="748"/>
        <v>23/09/2025</v>
      </c>
      <c r="K4021">
        <v>45932</v>
      </c>
      <c r="N4021">
        <v>109</v>
      </c>
      <c r="O4021" t="s">
        <v>24</v>
      </c>
      <c r="Q4021">
        <v>116.75</v>
      </c>
      <c r="R4021" t="str">
        <f>"FARMÁCIA INDIANA LJ 128 (10057)"</f>
        <v>FARMÁCIA INDIANA LJ 128 (10057)</v>
      </c>
      <c r="S4021" t="s">
        <v>77</v>
      </c>
      <c r="T4021">
        <v>18941</v>
      </c>
      <c r="U4021">
        <v>22370</v>
      </c>
      <c r="V4021" t="s">
        <v>77</v>
      </c>
    </row>
    <row r="4022" spans="1:22">
      <c r="A4022" t="str">
        <f t="shared" si="741"/>
        <v>02/10/2025</v>
      </c>
      <c r="B4022" t="str">
        <f t="shared" si="749"/>
        <v>SAÍDA</v>
      </c>
      <c r="C4022" t="str">
        <f t="shared" si="742"/>
        <v>PIX</v>
      </c>
      <c r="D4022" t="str">
        <f>"22369"</f>
        <v>22369</v>
      </c>
      <c r="E4022" t="str">
        <f t="shared" si="747"/>
        <v>1</v>
      </c>
      <c r="F4022" t="str">
        <f t="shared" si="750"/>
        <v>COM</v>
      </c>
      <c r="G4022" t="str">
        <f>"LUIZ EDUARDO VIANA BRITO (878)"</f>
        <v>LUIZ EDUARDO VIANA BRITO (878)</v>
      </c>
      <c r="H4022" t="str">
        <f>"Serv.Prest. 15/09/2025 a 21/09/2025 - PIX: CPF - CHAVE: 101.220.976-88"</f>
        <v>Serv.Prest. 15/09/2025 a 21/09/2025 - PIX: CPF - CHAVE: 101.220.976-88</v>
      </c>
      <c r="I4022" t="str">
        <f t="shared" si="743"/>
        <v>02/10/2025</v>
      </c>
      <c r="J4022" t="str">
        <f t="shared" si="748"/>
        <v>23/09/2025</v>
      </c>
      <c r="K4022" t="str">
        <f>("02/10/2025")</f>
        <v>02/10/2025</v>
      </c>
      <c r="L4022">
        <v>1529</v>
      </c>
      <c r="M4022">
        <v>1529</v>
      </c>
      <c r="N4022">
        <v>109</v>
      </c>
      <c r="O4022" t="str">
        <f>"PAGAMENTO DE ENTREGADORES"</f>
        <v>PAGAMENTO DE ENTREGADORES</v>
      </c>
      <c r="P4022">
        <v>1529</v>
      </c>
      <c r="S4022" t="str">
        <f>"BANCO C6 (149)"</f>
        <v>BANCO C6 (149)</v>
      </c>
      <c r="T4022">
        <v>18942</v>
      </c>
      <c r="U4022">
        <v>22369</v>
      </c>
      <c r="V4022" t="s">
        <v>77</v>
      </c>
    </row>
    <row r="4023" spans="1:22">
      <c r="A4023" t="str">
        <f t="shared" si="741"/>
        <v>02/10/2025</v>
      </c>
      <c r="B4023" t="str">
        <f t="shared" si="749"/>
        <v>SAÍDA</v>
      </c>
      <c r="C4023" t="str">
        <f t="shared" si="742"/>
        <v>PIX</v>
      </c>
      <c r="D4023" t="str">
        <f>"22369"</f>
        <v>22369</v>
      </c>
      <c r="E4023" t="str">
        <f t="shared" si="747"/>
        <v>1</v>
      </c>
      <c r="F4023" t="str">
        <f t="shared" si="750"/>
        <v>COM</v>
      </c>
      <c r="G4023" t="str">
        <f>"LUIZ EDUARDO VIANA BRITO (878)"</f>
        <v>LUIZ EDUARDO VIANA BRITO (878)</v>
      </c>
      <c r="H4023" t="s">
        <v>1139</v>
      </c>
      <c r="I4023" t="str">
        <f t="shared" si="743"/>
        <v>02/10/2025</v>
      </c>
      <c r="J4023" t="str">
        <f t="shared" si="748"/>
        <v>23/09/2025</v>
      </c>
      <c r="K4023">
        <v>45932</v>
      </c>
      <c r="N4023">
        <v>109</v>
      </c>
      <c r="O4023" t="s">
        <v>24</v>
      </c>
      <c r="Q4023">
        <v>1529</v>
      </c>
      <c r="R4023" t="str">
        <f>"FARMÁCIA INDIANA LJ 40 (10016)"</f>
        <v>FARMÁCIA INDIANA LJ 40 (10016)</v>
      </c>
      <c r="S4023" t="s">
        <v>77</v>
      </c>
      <c r="T4023">
        <v>18942</v>
      </c>
      <c r="U4023">
        <v>22369</v>
      </c>
      <c r="V4023" t="s">
        <v>77</v>
      </c>
    </row>
    <row r="4024" spans="1:22">
      <c r="A4024" t="str">
        <f t="shared" si="741"/>
        <v>02/10/2025</v>
      </c>
      <c r="B4024" t="str">
        <f t="shared" si="749"/>
        <v>SAÍDA</v>
      </c>
      <c r="C4024" t="str">
        <f t="shared" si="742"/>
        <v>PIX</v>
      </c>
      <c r="D4024" t="str">
        <f>"22368"</f>
        <v>22368</v>
      </c>
      <c r="E4024" t="str">
        <f t="shared" si="747"/>
        <v>1</v>
      </c>
      <c r="F4024" t="str">
        <f t="shared" si="750"/>
        <v>COM</v>
      </c>
      <c r="G4024" t="str">
        <f>"LUIZ ALVES MARTINS (40)"</f>
        <v>LUIZ ALVES MARTINS (40)</v>
      </c>
      <c r="H4024" t="str">
        <f>"Serv.Prest. 15/09/2025 a 21/09/2025 - PIX: CELULAR - CHAVE: (33) 99981-6650"</f>
        <v>Serv.Prest. 15/09/2025 a 21/09/2025 - PIX: CELULAR - CHAVE: (33) 99981-6650</v>
      </c>
      <c r="I4024" t="str">
        <f t="shared" si="743"/>
        <v>02/10/2025</v>
      </c>
      <c r="J4024" t="str">
        <f t="shared" si="748"/>
        <v>23/09/2025</v>
      </c>
      <c r="K4024" t="str">
        <f>("02/10/2025")</f>
        <v>02/10/2025</v>
      </c>
      <c r="L4024">
        <v>1380</v>
      </c>
      <c r="M4024">
        <v>1380</v>
      </c>
      <c r="N4024">
        <v>109</v>
      </c>
      <c r="O4024" t="str">
        <f>"PAGAMENTO DE ENTREGADORES"</f>
        <v>PAGAMENTO DE ENTREGADORES</v>
      </c>
      <c r="P4024">
        <v>1380</v>
      </c>
      <c r="S4024" t="str">
        <f>"BANCO C6 (149)"</f>
        <v>BANCO C6 (149)</v>
      </c>
      <c r="T4024">
        <v>18943</v>
      </c>
      <c r="U4024">
        <v>22368</v>
      </c>
      <c r="V4024" t="s">
        <v>77</v>
      </c>
    </row>
    <row r="4025" spans="1:22">
      <c r="A4025" t="str">
        <f t="shared" si="741"/>
        <v>02/10/2025</v>
      </c>
      <c r="B4025" t="str">
        <f t="shared" si="749"/>
        <v>SAÍDA</v>
      </c>
      <c r="C4025" t="str">
        <f t="shared" si="742"/>
        <v>PIX</v>
      </c>
      <c r="D4025" t="str">
        <f>"22368"</f>
        <v>22368</v>
      </c>
      <c r="E4025" t="str">
        <f t="shared" si="747"/>
        <v>1</v>
      </c>
      <c r="F4025" t="str">
        <f t="shared" si="750"/>
        <v>COM</v>
      </c>
      <c r="G4025" t="str">
        <f>"LUIZ ALVES MARTINS (40)"</f>
        <v>LUIZ ALVES MARTINS (40)</v>
      </c>
      <c r="H4025" t="s">
        <v>1140</v>
      </c>
      <c r="I4025" t="str">
        <f t="shared" si="743"/>
        <v>02/10/2025</v>
      </c>
      <c r="J4025" t="str">
        <f t="shared" si="748"/>
        <v>23/09/2025</v>
      </c>
      <c r="K4025">
        <v>45932</v>
      </c>
      <c r="N4025">
        <v>109</v>
      </c>
      <c r="O4025" t="s">
        <v>24</v>
      </c>
      <c r="Q4025">
        <v>1374.07</v>
      </c>
      <c r="R4025" t="str">
        <f>"FARMÁCIA INDIANA LJ 11 (10008)"</f>
        <v>FARMÁCIA INDIANA LJ 11 (10008)</v>
      </c>
      <c r="S4025" t="s">
        <v>77</v>
      </c>
      <c r="T4025">
        <v>18943</v>
      </c>
      <c r="U4025">
        <v>22368</v>
      </c>
      <c r="V4025" t="s">
        <v>77</v>
      </c>
    </row>
    <row r="4026" spans="1:22">
      <c r="A4026" t="str">
        <f t="shared" si="741"/>
        <v>02/10/2025</v>
      </c>
      <c r="B4026" t="str">
        <f t="shared" si="749"/>
        <v>SAÍDA</v>
      </c>
      <c r="C4026" t="str">
        <f t="shared" si="742"/>
        <v>PIX</v>
      </c>
      <c r="D4026" t="str">
        <f>"22368"</f>
        <v>22368</v>
      </c>
      <c r="E4026" t="str">
        <f t="shared" si="747"/>
        <v>1</v>
      </c>
      <c r="F4026" t="str">
        <f t="shared" si="750"/>
        <v>COM</v>
      </c>
      <c r="G4026" t="str">
        <f>"LUIZ ALVES MARTINS (40)"</f>
        <v>LUIZ ALVES MARTINS (40)</v>
      </c>
      <c r="H4026" t="s">
        <v>1140</v>
      </c>
      <c r="I4026" t="str">
        <f t="shared" si="743"/>
        <v>02/10/2025</v>
      </c>
      <c r="J4026" t="str">
        <f t="shared" si="748"/>
        <v>23/09/2025</v>
      </c>
      <c r="K4026">
        <v>45932</v>
      </c>
      <c r="N4026">
        <v>109</v>
      </c>
      <c r="O4026" t="s">
        <v>24</v>
      </c>
      <c r="Q4026">
        <v>5.93</v>
      </c>
      <c r="R4026" t="str">
        <f>"FARMÁCIA INDIANA LJ 172 (10161)"</f>
        <v>FARMÁCIA INDIANA LJ 172 (10161)</v>
      </c>
      <c r="S4026" t="s">
        <v>77</v>
      </c>
      <c r="T4026">
        <v>18943</v>
      </c>
      <c r="U4026">
        <v>22368</v>
      </c>
      <c r="V4026" t="s">
        <v>77</v>
      </c>
    </row>
    <row r="4027" spans="1:22">
      <c r="A4027" t="str">
        <f t="shared" si="741"/>
        <v>02/10/2025</v>
      </c>
      <c r="B4027" t="str">
        <f t="shared" si="749"/>
        <v>SAÍDA</v>
      </c>
      <c r="C4027" t="str">
        <f t="shared" si="742"/>
        <v>PIX</v>
      </c>
      <c r="D4027" t="str">
        <f>"22367"</f>
        <v>22367</v>
      </c>
      <c r="E4027" t="str">
        <f t="shared" si="747"/>
        <v>1</v>
      </c>
      <c r="F4027" t="str">
        <f t="shared" si="750"/>
        <v>COM</v>
      </c>
      <c r="G4027" t="str">
        <f>"LUCAS FERREIRA DOS SANTOS (868)"</f>
        <v>LUCAS FERREIRA DOS SANTOS (868)</v>
      </c>
      <c r="H4027" t="str">
        <f>"Serv.Prest. 15/09/2025 a 21/09/2025 - PIX: CELULAR - CHAVE: (33) 99172-0627"</f>
        <v>Serv.Prest. 15/09/2025 a 21/09/2025 - PIX: CELULAR - CHAVE: (33) 99172-0627</v>
      </c>
      <c r="I4027" t="str">
        <f t="shared" si="743"/>
        <v>02/10/2025</v>
      </c>
      <c r="J4027" t="str">
        <f t="shared" si="748"/>
        <v>23/09/2025</v>
      </c>
      <c r="K4027" t="str">
        <f>("02/10/2025")</f>
        <v>02/10/2025</v>
      </c>
      <c r="L4027">
        <v>1080</v>
      </c>
      <c r="M4027">
        <v>1080</v>
      </c>
      <c r="N4027">
        <v>109</v>
      </c>
      <c r="O4027" t="str">
        <f>"PAGAMENTO DE ENTREGADORES"</f>
        <v>PAGAMENTO DE ENTREGADORES</v>
      </c>
      <c r="P4027">
        <v>1080</v>
      </c>
      <c r="S4027" t="str">
        <f>"BANCO C6 (149)"</f>
        <v>BANCO C6 (149)</v>
      </c>
      <c r="T4027">
        <v>18944</v>
      </c>
      <c r="U4027">
        <v>22367</v>
      </c>
      <c r="V4027" t="s">
        <v>77</v>
      </c>
    </row>
    <row r="4028" spans="1:22">
      <c r="A4028" t="str">
        <f t="shared" ref="A4028:A4091" si="751">("02/10/2025")</f>
        <v>02/10/2025</v>
      </c>
      <c r="B4028" t="str">
        <f t="shared" si="749"/>
        <v>SAÍDA</v>
      </c>
      <c r="C4028" t="str">
        <f t="shared" ref="C4028:C4091" si="752">"PIX"</f>
        <v>PIX</v>
      </c>
      <c r="D4028" t="str">
        <f>"22367"</f>
        <v>22367</v>
      </c>
      <c r="E4028" t="str">
        <f t="shared" si="747"/>
        <v>1</v>
      </c>
      <c r="F4028" t="str">
        <f t="shared" si="750"/>
        <v>COM</v>
      </c>
      <c r="G4028" t="str">
        <f>"LUCAS FERREIRA DOS SANTOS (868)"</f>
        <v>LUCAS FERREIRA DOS SANTOS (868)</v>
      </c>
      <c r="H4028" t="s">
        <v>1141</v>
      </c>
      <c r="I4028" t="str">
        <f t="shared" ref="I4028:I4091" si="753">("02/10/2025")</f>
        <v>02/10/2025</v>
      </c>
      <c r="J4028" t="str">
        <f t="shared" si="748"/>
        <v>23/09/2025</v>
      </c>
      <c r="K4028">
        <v>45932</v>
      </c>
      <c r="N4028">
        <v>109</v>
      </c>
      <c r="O4028" t="s">
        <v>24</v>
      </c>
      <c r="Q4028">
        <v>1080</v>
      </c>
      <c r="R4028" t="str">
        <f>"FARMÁCIA INDIANA LJ 06 (10006)"</f>
        <v>FARMÁCIA INDIANA LJ 06 (10006)</v>
      </c>
      <c r="S4028" t="s">
        <v>77</v>
      </c>
      <c r="T4028">
        <v>18944</v>
      </c>
      <c r="U4028">
        <v>22367</v>
      </c>
      <c r="V4028" t="s">
        <v>77</v>
      </c>
    </row>
    <row r="4029" spans="1:22">
      <c r="A4029" t="str">
        <f t="shared" si="751"/>
        <v>02/10/2025</v>
      </c>
      <c r="B4029" t="str">
        <f>"ENTRADA"</f>
        <v>ENTRADA</v>
      </c>
      <c r="C4029" t="str">
        <f t="shared" si="752"/>
        <v>PIX</v>
      </c>
      <c r="D4029" t="str">
        <f>"22366"</f>
        <v>22366</v>
      </c>
      <c r="E4029" t="str">
        <f t="shared" si="747"/>
        <v>1</v>
      </c>
      <c r="F4029" t="str">
        <f t="shared" si="750"/>
        <v>COM</v>
      </c>
      <c r="G4029" t="str">
        <f>"LUAN VICTOR SERQUEIRA DA SILVA (577)"</f>
        <v>LUAN VICTOR SERQUEIRA DA SILVA (577)</v>
      </c>
      <c r="H4029" t="str">
        <f>"DESC DE BAG, UNIFORME, PLANOS Serv.Prest. 15/09/2025 a 21/09/2025 - PIX: CPF - CHAVE: 161.508.516-56"</f>
        <v>DESC DE BAG, UNIFORME, PLANOS Serv.Prest. 15/09/2025 a 21/09/2025 - PIX: CPF - CHAVE: 161.508.516-56</v>
      </c>
      <c r="I4029" t="str">
        <f t="shared" si="753"/>
        <v>02/10/2025</v>
      </c>
      <c r="J4029" t="str">
        <f t="shared" si="748"/>
        <v>23/09/2025</v>
      </c>
      <c r="K4029" t="str">
        <f>("02/10/2025")</f>
        <v>02/10/2025</v>
      </c>
      <c r="N4029">
        <v>108</v>
      </c>
      <c r="O4029" t="str">
        <f>"RECEITAS COM REEMBOLSOS"</f>
        <v>RECEITAS COM REEMBOLSOS</v>
      </c>
      <c r="P4029">
        <v>30</v>
      </c>
      <c r="S4029" t="str">
        <f>"BANCO C6 (149)"</f>
        <v>BANCO C6 (149)</v>
      </c>
      <c r="T4029">
        <v>18945</v>
      </c>
      <c r="U4029">
        <v>22366</v>
      </c>
      <c r="V4029" t="s">
        <v>77</v>
      </c>
    </row>
    <row r="4030" spans="1:22">
      <c r="A4030" t="str">
        <f t="shared" si="751"/>
        <v>02/10/2025</v>
      </c>
      <c r="B4030" t="str">
        <f t="shared" ref="B4030:B4061" si="754">"SAÍDA"</f>
        <v>SAÍDA</v>
      </c>
      <c r="C4030" t="str">
        <f t="shared" si="752"/>
        <v>PIX</v>
      </c>
      <c r="D4030" t="str">
        <f>"22366"</f>
        <v>22366</v>
      </c>
      <c r="E4030" t="str">
        <f t="shared" si="747"/>
        <v>1</v>
      </c>
      <c r="F4030" t="str">
        <f t="shared" si="750"/>
        <v>COM</v>
      </c>
      <c r="G4030" t="str">
        <f>"LUAN VICTOR SERQUEIRA DA SILVA (577)"</f>
        <v>LUAN VICTOR SERQUEIRA DA SILVA (577)</v>
      </c>
      <c r="H4030" t="str">
        <f>"Serv.Prest. 15/09/2025 a 21/09/2025 - PIX: CPF - CHAVE: 161.508.516-56"</f>
        <v>Serv.Prest. 15/09/2025 a 21/09/2025 - PIX: CPF - CHAVE: 161.508.516-56</v>
      </c>
      <c r="I4030" t="str">
        <f t="shared" si="753"/>
        <v>02/10/2025</v>
      </c>
      <c r="J4030" t="str">
        <f t="shared" si="748"/>
        <v>23/09/2025</v>
      </c>
      <c r="K4030" t="str">
        <f>("02/10/2025")</f>
        <v>02/10/2025</v>
      </c>
      <c r="L4030">
        <v>698.5</v>
      </c>
      <c r="M4030">
        <v>688.5</v>
      </c>
      <c r="N4030">
        <v>109</v>
      </c>
      <c r="O4030" t="str">
        <f>"PAGAMENTO DE ENTREGADORES"</f>
        <v>PAGAMENTO DE ENTREGADORES</v>
      </c>
      <c r="P4030">
        <v>718.5</v>
      </c>
      <c r="S4030" t="str">
        <f>"BANCO C6 (149)"</f>
        <v>BANCO C6 (149)</v>
      </c>
      <c r="T4030">
        <v>18945</v>
      </c>
      <c r="U4030">
        <v>22366</v>
      </c>
      <c r="V4030" t="s">
        <v>77</v>
      </c>
    </row>
    <row r="4031" spans="1:22">
      <c r="A4031" t="str">
        <f t="shared" si="751"/>
        <v>02/10/2025</v>
      </c>
      <c r="B4031" t="str">
        <f t="shared" si="754"/>
        <v>SAÍDA</v>
      </c>
      <c r="C4031" t="str">
        <f t="shared" si="752"/>
        <v>PIX</v>
      </c>
      <c r="D4031" t="str">
        <f>"22366"</f>
        <v>22366</v>
      </c>
      <c r="E4031" t="str">
        <f t="shared" si="747"/>
        <v>1</v>
      </c>
      <c r="F4031" t="str">
        <f t="shared" si="750"/>
        <v>COM</v>
      </c>
      <c r="G4031" t="str">
        <f>"LUAN VICTOR SERQUEIRA DA SILVA (577)"</f>
        <v>LUAN VICTOR SERQUEIRA DA SILVA (577)</v>
      </c>
      <c r="H4031" t="s">
        <v>1142</v>
      </c>
      <c r="I4031" t="str">
        <f t="shared" si="753"/>
        <v>02/10/2025</v>
      </c>
      <c r="J4031" t="str">
        <f t="shared" si="748"/>
        <v>23/09/2025</v>
      </c>
      <c r="K4031">
        <v>45932</v>
      </c>
      <c r="N4031">
        <v>108</v>
      </c>
      <c r="O4031" t="s">
        <v>54</v>
      </c>
      <c r="Q4031">
        <v>688.5</v>
      </c>
      <c r="R4031" t="str">
        <f>"FARMÁCIA INDIANA LJ 202 (10085)"</f>
        <v>FARMÁCIA INDIANA LJ 202 (10085)</v>
      </c>
      <c r="S4031" t="s">
        <v>77</v>
      </c>
      <c r="T4031">
        <v>18945</v>
      </c>
      <c r="U4031">
        <v>22366</v>
      </c>
      <c r="V4031" t="s">
        <v>77</v>
      </c>
    </row>
    <row r="4032" spans="1:22">
      <c r="A4032" t="str">
        <f t="shared" si="751"/>
        <v>02/10/2025</v>
      </c>
      <c r="B4032" t="str">
        <f t="shared" si="754"/>
        <v>SAÍDA</v>
      </c>
      <c r="C4032" t="str">
        <f t="shared" si="752"/>
        <v>PIX</v>
      </c>
      <c r="D4032" t="str">
        <f>"22365"</f>
        <v>22365</v>
      </c>
      <c r="E4032" t="str">
        <f t="shared" si="747"/>
        <v>1</v>
      </c>
      <c r="F4032" t="str">
        <f t="shared" si="750"/>
        <v>COM</v>
      </c>
      <c r="G4032" t="str">
        <f>"LUAN DOS SANTOS NUNES (719)"</f>
        <v>LUAN DOS SANTOS NUNES (719)</v>
      </c>
      <c r="H4032" t="str">
        <f>"Serv.Prest. 15/09/2025 a 21/09/2025 - PIX: CELULAR - CHAVE: (33) 98749-4693"</f>
        <v>Serv.Prest. 15/09/2025 a 21/09/2025 - PIX: CELULAR - CHAVE: (33) 98749-4693</v>
      </c>
      <c r="I4032" t="str">
        <f t="shared" si="753"/>
        <v>02/10/2025</v>
      </c>
      <c r="J4032" t="str">
        <f t="shared" si="748"/>
        <v>23/09/2025</v>
      </c>
      <c r="K4032" t="str">
        <f>("02/10/2025")</f>
        <v>02/10/2025</v>
      </c>
      <c r="L4032">
        <v>2128.5</v>
      </c>
      <c r="M4032">
        <v>2128.5</v>
      </c>
      <c r="N4032">
        <v>109</v>
      </c>
      <c r="O4032" t="str">
        <f>"PAGAMENTO DE ENTREGADORES"</f>
        <v>PAGAMENTO DE ENTREGADORES</v>
      </c>
      <c r="P4032">
        <v>2128.5</v>
      </c>
      <c r="S4032" t="str">
        <f>"BANCO C6 (149)"</f>
        <v>BANCO C6 (149)</v>
      </c>
      <c r="T4032">
        <v>18946</v>
      </c>
      <c r="U4032">
        <v>22365</v>
      </c>
      <c r="V4032" t="s">
        <v>77</v>
      </c>
    </row>
    <row r="4033" spans="1:22">
      <c r="A4033" t="str">
        <f t="shared" si="751"/>
        <v>02/10/2025</v>
      </c>
      <c r="B4033" t="str">
        <f t="shared" si="754"/>
        <v>SAÍDA</v>
      </c>
      <c r="C4033" t="str">
        <f t="shared" si="752"/>
        <v>PIX</v>
      </c>
      <c r="D4033" t="str">
        <f>"22365"</f>
        <v>22365</v>
      </c>
      <c r="E4033" t="str">
        <f t="shared" ref="E4033:E4064" si="755">"1"</f>
        <v>1</v>
      </c>
      <c r="F4033" t="str">
        <f t="shared" si="750"/>
        <v>COM</v>
      </c>
      <c r="G4033" t="str">
        <f>"LUAN DOS SANTOS NUNES (719)"</f>
        <v>LUAN DOS SANTOS NUNES (719)</v>
      </c>
      <c r="H4033" t="s">
        <v>1143</v>
      </c>
      <c r="I4033" t="str">
        <f t="shared" si="753"/>
        <v>02/10/2025</v>
      </c>
      <c r="J4033" t="str">
        <f t="shared" si="748"/>
        <v>23/09/2025</v>
      </c>
      <c r="K4033">
        <v>45932</v>
      </c>
      <c r="N4033">
        <v>109</v>
      </c>
      <c r="O4033" t="s">
        <v>24</v>
      </c>
      <c r="Q4033">
        <v>803.08</v>
      </c>
      <c r="R4033" t="str">
        <f>"FARMÁCIA INDIANA LJ 40 (10016)"</f>
        <v>FARMÁCIA INDIANA LJ 40 (10016)</v>
      </c>
      <c r="S4033" t="s">
        <v>77</v>
      </c>
      <c r="T4033">
        <v>18946</v>
      </c>
      <c r="U4033">
        <v>22365</v>
      </c>
      <c r="V4033" t="s">
        <v>77</v>
      </c>
    </row>
    <row r="4034" spans="1:22">
      <c r="A4034" t="str">
        <f t="shared" si="751"/>
        <v>02/10/2025</v>
      </c>
      <c r="B4034" t="str">
        <f t="shared" si="754"/>
        <v>SAÍDA</v>
      </c>
      <c r="C4034" t="str">
        <f t="shared" si="752"/>
        <v>PIX</v>
      </c>
      <c r="D4034" t="str">
        <f>"22365"</f>
        <v>22365</v>
      </c>
      <c r="E4034" t="str">
        <f t="shared" si="755"/>
        <v>1</v>
      </c>
      <c r="F4034" t="str">
        <f t="shared" si="750"/>
        <v>COM</v>
      </c>
      <c r="G4034" t="str">
        <f>"LUAN DOS SANTOS NUNES (719)"</f>
        <v>LUAN DOS SANTOS NUNES (719)</v>
      </c>
      <c r="H4034" t="s">
        <v>1143</v>
      </c>
      <c r="I4034" t="str">
        <f t="shared" si="753"/>
        <v>02/10/2025</v>
      </c>
      <c r="J4034" t="str">
        <f t="shared" si="748"/>
        <v>23/09/2025</v>
      </c>
      <c r="K4034">
        <v>45932</v>
      </c>
      <c r="N4034">
        <v>109</v>
      </c>
      <c r="O4034" t="s">
        <v>24</v>
      </c>
      <c r="Q4034">
        <v>1325.42</v>
      </c>
      <c r="R4034" t="str">
        <f>"FARMÁCIA INDIANA LJ 61 (10027)"</f>
        <v>FARMÁCIA INDIANA LJ 61 (10027)</v>
      </c>
      <c r="S4034" t="s">
        <v>77</v>
      </c>
      <c r="T4034">
        <v>18946</v>
      </c>
      <c r="U4034">
        <v>22365</v>
      </c>
      <c r="V4034" t="s">
        <v>77</v>
      </c>
    </row>
    <row r="4035" spans="1:22">
      <c r="A4035" t="str">
        <f t="shared" si="751"/>
        <v>02/10/2025</v>
      </c>
      <c r="B4035" t="str">
        <f t="shared" si="754"/>
        <v>SAÍDA</v>
      </c>
      <c r="C4035" t="str">
        <f t="shared" si="752"/>
        <v>PIX</v>
      </c>
      <c r="D4035" t="str">
        <f>"22364"</f>
        <v>22364</v>
      </c>
      <c r="E4035" t="str">
        <f t="shared" si="755"/>
        <v>1</v>
      </c>
      <c r="F4035" t="str">
        <f t="shared" si="750"/>
        <v>COM</v>
      </c>
      <c r="G4035" t="str">
        <f>"LEVERCI DA SILVA COURA (138)"</f>
        <v>LEVERCI DA SILVA COURA (138)</v>
      </c>
      <c r="H4035" t="str">
        <f>"Serv.Prest. 15/09/2025 a 21/09/2025 - PIX: CELULAR - CHAVE: (31) 99850-4727"</f>
        <v>Serv.Prest. 15/09/2025 a 21/09/2025 - PIX: CELULAR - CHAVE: (31) 99850-4727</v>
      </c>
      <c r="I4035" t="str">
        <f t="shared" si="753"/>
        <v>02/10/2025</v>
      </c>
      <c r="J4035" t="str">
        <f t="shared" si="748"/>
        <v>23/09/2025</v>
      </c>
      <c r="K4035" t="str">
        <f>("02/10/2025")</f>
        <v>02/10/2025</v>
      </c>
      <c r="L4035">
        <v>828</v>
      </c>
      <c r="M4035">
        <v>828</v>
      </c>
      <c r="N4035">
        <v>109</v>
      </c>
      <c r="O4035" t="str">
        <f>"PAGAMENTO DE ENTREGADORES"</f>
        <v>PAGAMENTO DE ENTREGADORES</v>
      </c>
      <c r="P4035">
        <v>828</v>
      </c>
      <c r="S4035" t="str">
        <f>"BANCO C6 (149)"</f>
        <v>BANCO C6 (149)</v>
      </c>
      <c r="T4035">
        <v>18947</v>
      </c>
      <c r="U4035">
        <v>22364</v>
      </c>
      <c r="V4035" t="s">
        <v>77</v>
      </c>
    </row>
    <row r="4036" spans="1:22">
      <c r="A4036" t="str">
        <f t="shared" si="751"/>
        <v>02/10/2025</v>
      </c>
      <c r="B4036" t="str">
        <f t="shared" si="754"/>
        <v>SAÍDA</v>
      </c>
      <c r="C4036" t="str">
        <f t="shared" si="752"/>
        <v>PIX</v>
      </c>
      <c r="D4036" t="str">
        <f>"22364"</f>
        <v>22364</v>
      </c>
      <c r="E4036" t="str">
        <f t="shared" si="755"/>
        <v>1</v>
      </c>
      <c r="F4036" t="str">
        <f t="shared" si="750"/>
        <v>COM</v>
      </c>
      <c r="G4036" t="str">
        <f>"LEVERCI DA SILVA COURA (138)"</f>
        <v>LEVERCI DA SILVA COURA (138)</v>
      </c>
      <c r="H4036" t="s">
        <v>1144</v>
      </c>
      <c r="I4036" t="str">
        <f t="shared" si="753"/>
        <v>02/10/2025</v>
      </c>
      <c r="J4036" t="str">
        <f t="shared" si="748"/>
        <v>23/09/2025</v>
      </c>
      <c r="K4036">
        <v>45932</v>
      </c>
      <c r="N4036">
        <v>109</v>
      </c>
      <c r="O4036" t="s">
        <v>24</v>
      </c>
      <c r="Q4036">
        <v>828</v>
      </c>
      <c r="R4036" t="str">
        <f>"FARMÁCIA INDIANA LJ 18 (10011)"</f>
        <v>FARMÁCIA INDIANA LJ 18 (10011)</v>
      </c>
      <c r="S4036" t="s">
        <v>77</v>
      </c>
      <c r="T4036">
        <v>18947</v>
      </c>
      <c r="U4036">
        <v>22364</v>
      </c>
      <c r="V4036" t="s">
        <v>77</v>
      </c>
    </row>
    <row r="4037" spans="1:22">
      <c r="A4037" t="str">
        <f t="shared" si="751"/>
        <v>02/10/2025</v>
      </c>
      <c r="B4037" t="str">
        <f t="shared" si="754"/>
        <v>SAÍDA</v>
      </c>
      <c r="C4037" t="str">
        <f t="shared" si="752"/>
        <v>PIX</v>
      </c>
      <c r="D4037" t="str">
        <f>"22363"</f>
        <v>22363</v>
      </c>
      <c r="E4037" t="str">
        <f t="shared" si="755"/>
        <v>1</v>
      </c>
      <c r="F4037" t="str">
        <f t="shared" si="750"/>
        <v>COM</v>
      </c>
      <c r="G4037" t="str">
        <f>"LEONARDO VIANA FIGUEIREDO (913)"</f>
        <v>LEONARDO VIANA FIGUEIREDO (913)</v>
      </c>
      <c r="H4037" t="str">
        <f>"Serv.Prest. 15/09/2025 a 21/09/2025 - PIX: CELULAR - CHAVE: (33) 98463-0821"</f>
        <v>Serv.Prest. 15/09/2025 a 21/09/2025 - PIX: CELULAR - CHAVE: (33) 98463-0821</v>
      </c>
      <c r="I4037" t="str">
        <f t="shared" si="753"/>
        <v>02/10/2025</v>
      </c>
      <c r="J4037" t="str">
        <f t="shared" ref="J4037:J4068" si="756">("23/09/2025")</f>
        <v>23/09/2025</v>
      </c>
      <c r="K4037" t="str">
        <f>("02/10/2025")</f>
        <v>02/10/2025</v>
      </c>
      <c r="L4037">
        <v>1080</v>
      </c>
      <c r="M4037">
        <v>1080</v>
      </c>
      <c r="N4037">
        <v>109</v>
      </c>
      <c r="O4037" t="str">
        <f>"PAGAMENTO DE ENTREGADORES"</f>
        <v>PAGAMENTO DE ENTREGADORES</v>
      </c>
      <c r="P4037">
        <v>1080</v>
      </c>
      <c r="S4037" t="str">
        <f>"BANCO C6 (149)"</f>
        <v>BANCO C6 (149)</v>
      </c>
      <c r="T4037">
        <v>18948</v>
      </c>
      <c r="U4037">
        <v>22363</v>
      </c>
      <c r="V4037" t="s">
        <v>77</v>
      </c>
    </row>
    <row r="4038" spans="1:22">
      <c r="A4038" t="str">
        <f t="shared" si="751"/>
        <v>02/10/2025</v>
      </c>
      <c r="B4038" t="str">
        <f t="shared" si="754"/>
        <v>SAÍDA</v>
      </c>
      <c r="C4038" t="str">
        <f t="shared" si="752"/>
        <v>PIX</v>
      </c>
      <c r="D4038" t="str">
        <f>"22363"</f>
        <v>22363</v>
      </c>
      <c r="E4038" t="str">
        <f t="shared" si="755"/>
        <v>1</v>
      </c>
      <c r="F4038" t="str">
        <f t="shared" si="750"/>
        <v>COM</v>
      </c>
      <c r="G4038" t="str">
        <f>"LEONARDO VIANA FIGUEIREDO (913)"</f>
        <v>LEONARDO VIANA FIGUEIREDO (913)</v>
      </c>
      <c r="H4038" t="s">
        <v>1145</v>
      </c>
      <c r="I4038" t="str">
        <f t="shared" si="753"/>
        <v>02/10/2025</v>
      </c>
      <c r="J4038" t="str">
        <f t="shared" si="756"/>
        <v>23/09/2025</v>
      </c>
      <c r="K4038">
        <v>45932</v>
      </c>
      <c r="N4038">
        <v>109</v>
      </c>
      <c r="O4038" t="s">
        <v>24</v>
      </c>
      <c r="Q4038">
        <v>1080</v>
      </c>
      <c r="R4038" t="str">
        <f>"FARMÁCIA INDIANA LJ 06 (10006)"</f>
        <v>FARMÁCIA INDIANA LJ 06 (10006)</v>
      </c>
      <c r="S4038" t="s">
        <v>77</v>
      </c>
      <c r="T4038">
        <v>18948</v>
      </c>
      <c r="U4038">
        <v>22363</v>
      </c>
      <c r="V4038" t="s">
        <v>77</v>
      </c>
    </row>
    <row r="4039" spans="1:22">
      <c r="A4039" t="str">
        <f t="shared" si="751"/>
        <v>02/10/2025</v>
      </c>
      <c r="B4039" t="str">
        <f t="shared" si="754"/>
        <v>SAÍDA</v>
      </c>
      <c r="C4039" t="str">
        <f t="shared" si="752"/>
        <v>PIX</v>
      </c>
      <c r="D4039" t="str">
        <f>"22361"</f>
        <v>22361</v>
      </c>
      <c r="E4039" t="str">
        <f t="shared" si="755"/>
        <v>1</v>
      </c>
      <c r="F4039" t="str">
        <f t="shared" si="750"/>
        <v>COM</v>
      </c>
      <c r="G4039" t="str">
        <f>"KELVIN NUBIO DE SOUZA TOLEDO (735)"</f>
        <v>KELVIN NUBIO DE SOUZA TOLEDO (735)</v>
      </c>
      <c r="H4039" t="str">
        <f>"Serv.Prest. 15/09/2025 a 21/09/2025 - PIX: CHAVE ALEATÓRIA - CHAVE: c489bee1-360b-4fa9-86c4-fbb0e9844cb8"</f>
        <v>Serv.Prest. 15/09/2025 a 21/09/2025 - PIX: CHAVE ALEATÓRIA - CHAVE: c489bee1-360b-4fa9-86c4-fbb0e9844cb8</v>
      </c>
      <c r="I4039" t="str">
        <f t="shared" si="753"/>
        <v>02/10/2025</v>
      </c>
      <c r="J4039" t="str">
        <f t="shared" si="756"/>
        <v>23/09/2025</v>
      </c>
      <c r="K4039" t="str">
        <f>("02/10/2025")</f>
        <v>02/10/2025</v>
      </c>
      <c r="L4039">
        <v>264</v>
      </c>
      <c r="M4039">
        <v>264</v>
      </c>
      <c r="N4039">
        <v>109</v>
      </c>
      <c r="O4039" t="str">
        <f>"PAGAMENTO DE ENTREGADORES"</f>
        <v>PAGAMENTO DE ENTREGADORES</v>
      </c>
      <c r="P4039">
        <v>264</v>
      </c>
      <c r="S4039" t="str">
        <f>"BANCO C6 (149)"</f>
        <v>BANCO C6 (149)</v>
      </c>
      <c r="T4039">
        <v>18949</v>
      </c>
      <c r="U4039">
        <v>22361</v>
      </c>
      <c r="V4039" t="s">
        <v>77</v>
      </c>
    </row>
    <row r="4040" spans="1:22">
      <c r="A4040" t="str">
        <f t="shared" si="751"/>
        <v>02/10/2025</v>
      </c>
      <c r="B4040" t="str">
        <f t="shared" si="754"/>
        <v>SAÍDA</v>
      </c>
      <c r="C4040" t="str">
        <f t="shared" si="752"/>
        <v>PIX</v>
      </c>
      <c r="D4040" t="str">
        <f>"22361"</f>
        <v>22361</v>
      </c>
      <c r="E4040" t="str">
        <f t="shared" si="755"/>
        <v>1</v>
      </c>
      <c r="F4040" t="str">
        <f t="shared" si="750"/>
        <v>COM</v>
      </c>
      <c r="G4040" t="str">
        <f>"KELVIN NUBIO DE SOUZA TOLEDO (735)"</f>
        <v>KELVIN NUBIO DE SOUZA TOLEDO (735)</v>
      </c>
      <c r="H4040" t="s">
        <v>1146</v>
      </c>
      <c r="I4040" t="str">
        <f t="shared" si="753"/>
        <v>02/10/2025</v>
      </c>
      <c r="J4040" t="str">
        <f t="shared" si="756"/>
        <v>23/09/2025</v>
      </c>
      <c r="K4040">
        <v>45932</v>
      </c>
      <c r="N4040">
        <v>109</v>
      </c>
      <c r="O4040" t="s">
        <v>24</v>
      </c>
      <c r="Q4040">
        <v>264</v>
      </c>
      <c r="R4040" t="str">
        <f>"FARMÁCIA INDIANA LJ 152 (10069)"</f>
        <v>FARMÁCIA INDIANA LJ 152 (10069)</v>
      </c>
      <c r="S4040" t="s">
        <v>77</v>
      </c>
      <c r="T4040">
        <v>18949</v>
      </c>
      <c r="U4040">
        <v>22361</v>
      </c>
      <c r="V4040" t="s">
        <v>77</v>
      </c>
    </row>
    <row r="4041" spans="1:22">
      <c r="A4041" t="str">
        <f t="shared" si="751"/>
        <v>02/10/2025</v>
      </c>
      <c r="B4041" t="str">
        <f t="shared" si="754"/>
        <v>SAÍDA</v>
      </c>
      <c r="C4041" t="str">
        <f t="shared" si="752"/>
        <v>PIX</v>
      </c>
      <c r="D4041" t="str">
        <f>"22360"</f>
        <v>22360</v>
      </c>
      <c r="E4041" t="str">
        <f t="shared" si="755"/>
        <v>1</v>
      </c>
      <c r="F4041" t="str">
        <f t="shared" si="750"/>
        <v>COM</v>
      </c>
      <c r="G4041" t="str">
        <f>"KALESSON BARROSO DIAS (216)"</f>
        <v>KALESSON BARROSO DIAS (216)</v>
      </c>
      <c r="H4041" t="str">
        <f>"Serv.Prest. 15/09/2025 a 21/09/2025 - PIX: CELULAR - CHAVE: (33) 99106-9330"</f>
        <v>Serv.Prest. 15/09/2025 a 21/09/2025 - PIX: CELULAR - CHAVE: (33) 99106-9330</v>
      </c>
      <c r="I4041" t="str">
        <f t="shared" si="753"/>
        <v>02/10/2025</v>
      </c>
      <c r="J4041" t="str">
        <f t="shared" si="756"/>
        <v>23/09/2025</v>
      </c>
      <c r="K4041" t="str">
        <f>("02/10/2025")</f>
        <v>02/10/2025</v>
      </c>
      <c r="L4041">
        <v>1080</v>
      </c>
      <c r="M4041">
        <v>1080</v>
      </c>
      <c r="N4041">
        <v>109</v>
      </c>
      <c r="O4041" t="str">
        <f>"PAGAMENTO DE ENTREGADORES"</f>
        <v>PAGAMENTO DE ENTREGADORES</v>
      </c>
      <c r="P4041">
        <v>1080</v>
      </c>
      <c r="S4041" t="str">
        <f>"BANCO C6 (149)"</f>
        <v>BANCO C6 (149)</v>
      </c>
      <c r="T4041">
        <v>18950</v>
      </c>
      <c r="U4041">
        <v>22360</v>
      </c>
      <c r="V4041" t="s">
        <v>77</v>
      </c>
    </row>
    <row r="4042" spans="1:22">
      <c r="A4042" t="str">
        <f t="shared" si="751"/>
        <v>02/10/2025</v>
      </c>
      <c r="B4042" t="str">
        <f t="shared" si="754"/>
        <v>SAÍDA</v>
      </c>
      <c r="C4042" t="str">
        <f t="shared" si="752"/>
        <v>PIX</v>
      </c>
      <c r="D4042" t="str">
        <f>"22360"</f>
        <v>22360</v>
      </c>
      <c r="E4042" t="str">
        <f t="shared" si="755"/>
        <v>1</v>
      </c>
      <c r="F4042" t="str">
        <f t="shared" si="750"/>
        <v>COM</v>
      </c>
      <c r="G4042" t="str">
        <f>"KALESSON BARROSO DIAS (216)"</f>
        <v>KALESSON BARROSO DIAS (216)</v>
      </c>
      <c r="H4042" t="s">
        <v>1147</v>
      </c>
      <c r="I4042" t="str">
        <f t="shared" si="753"/>
        <v>02/10/2025</v>
      </c>
      <c r="J4042" t="str">
        <f t="shared" si="756"/>
        <v>23/09/2025</v>
      </c>
      <c r="K4042">
        <v>45932</v>
      </c>
      <c r="N4042">
        <v>109</v>
      </c>
      <c r="O4042" t="s">
        <v>24</v>
      </c>
      <c r="Q4042">
        <v>1080</v>
      </c>
      <c r="R4042" t="str">
        <f>"FARMÁCIA INDIANA LJ 06 (10006)"</f>
        <v>FARMÁCIA INDIANA LJ 06 (10006)</v>
      </c>
      <c r="S4042" t="s">
        <v>77</v>
      </c>
      <c r="T4042">
        <v>18950</v>
      </c>
      <c r="U4042">
        <v>22360</v>
      </c>
      <c r="V4042" t="s">
        <v>77</v>
      </c>
    </row>
    <row r="4043" spans="1:22">
      <c r="A4043" t="str">
        <f t="shared" si="751"/>
        <v>02/10/2025</v>
      </c>
      <c r="B4043" t="str">
        <f t="shared" si="754"/>
        <v>SAÍDA</v>
      </c>
      <c r="C4043" t="str">
        <f t="shared" si="752"/>
        <v>PIX</v>
      </c>
      <c r="D4043" t="str">
        <f>"22358"</f>
        <v>22358</v>
      </c>
      <c r="E4043" t="str">
        <f t="shared" si="755"/>
        <v>1</v>
      </c>
      <c r="F4043" t="str">
        <f t="shared" si="750"/>
        <v>COM</v>
      </c>
      <c r="G4043" t="str">
        <f>"JUNIOR DOS SANTOS MACHADO (240)"</f>
        <v>JUNIOR DOS SANTOS MACHADO (240)</v>
      </c>
      <c r="H4043" t="str">
        <f>"Serv.Prest. 15/09/2025 a 21/09/2025 - PIX: CPF - CHAVE: 074.520.456-29"</f>
        <v>Serv.Prest. 15/09/2025 a 21/09/2025 - PIX: CPF - CHAVE: 074.520.456-29</v>
      </c>
      <c r="I4043" t="str">
        <f t="shared" si="753"/>
        <v>02/10/2025</v>
      </c>
      <c r="J4043" t="str">
        <f t="shared" si="756"/>
        <v>23/09/2025</v>
      </c>
      <c r="K4043" t="str">
        <f>("02/10/2025")</f>
        <v>02/10/2025</v>
      </c>
      <c r="L4043">
        <v>756.5</v>
      </c>
      <c r="M4043">
        <v>756.5</v>
      </c>
      <c r="N4043">
        <v>109</v>
      </c>
      <c r="O4043" t="str">
        <f>"PAGAMENTO DE ENTREGADORES"</f>
        <v>PAGAMENTO DE ENTREGADORES</v>
      </c>
      <c r="P4043">
        <v>756.5</v>
      </c>
      <c r="S4043" t="str">
        <f>"BANCO C6 (149)"</f>
        <v>BANCO C6 (149)</v>
      </c>
      <c r="T4043">
        <v>18951</v>
      </c>
      <c r="U4043">
        <v>22358</v>
      </c>
      <c r="V4043" t="s">
        <v>77</v>
      </c>
    </row>
    <row r="4044" spans="1:22">
      <c r="A4044" t="str">
        <f t="shared" si="751"/>
        <v>02/10/2025</v>
      </c>
      <c r="B4044" t="str">
        <f t="shared" si="754"/>
        <v>SAÍDA</v>
      </c>
      <c r="C4044" t="str">
        <f t="shared" si="752"/>
        <v>PIX</v>
      </c>
      <c r="D4044" t="str">
        <f>"22358"</f>
        <v>22358</v>
      </c>
      <c r="E4044" t="str">
        <f t="shared" si="755"/>
        <v>1</v>
      </c>
      <c r="F4044" t="str">
        <f t="shared" si="750"/>
        <v>COM</v>
      </c>
      <c r="G4044" t="str">
        <f>"JUNIOR DOS SANTOS MACHADO (240)"</f>
        <v>JUNIOR DOS SANTOS MACHADO (240)</v>
      </c>
      <c r="H4044" t="s">
        <v>915</v>
      </c>
      <c r="I4044" t="str">
        <f t="shared" si="753"/>
        <v>02/10/2025</v>
      </c>
      <c r="J4044" t="str">
        <f t="shared" si="756"/>
        <v>23/09/2025</v>
      </c>
      <c r="K4044">
        <v>45932</v>
      </c>
      <c r="N4044">
        <v>109</v>
      </c>
      <c r="O4044" t="s">
        <v>24</v>
      </c>
      <c r="Q4044">
        <v>756.5</v>
      </c>
      <c r="R4044" t="str">
        <f>"FARMÁCIA INDIANA LJ 62 (10028)"</f>
        <v>FARMÁCIA INDIANA LJ 62 (10028)</v>
      </c>
      <c r="S4044" t="s">
        <v>77</v>
      </c>
      <c r="T4044">
        <v>18951</v>
      </c>
      <c r="U4044">
        <v>22358</v>
      </c>
      <c r="V4044" t="s">
        <v>77</v>
      </c>
    </row>
    <row r="4045" spans="1:22">
      <c r="A4045" t="str">
        <f t="shared" si="751"/>
        <v>02/10/2025</v>
      </c>
      <c r="B4045" t="str">
        <f t="shared" si="754"/>
        <v>SAÍDA</v>
      </c>
      <c r="C4045" t="str">
        <f t="shared" si="752"/>
        <v>PIX</v>
      </c>
      <c r="D4045" t="str">
        <f>"22357"</f>
        <v>22357</v>
      </c>
      <c r="E4045" t="str">
        <f t="shared" si="755"/>
        <v>1</v>
      </c>
      <c r="F4045" t="str">
        <f t="shared" si="750"/>
        <v>COM</v>
      </c>
      <c r="G4045" t="str">
        <f>"JUNIO DE ANDRADE ARRUDA (145)"</f>
        <v>JUNIO DE ANDRADE ARRUDA (145)</v>
      </c>
      <c r="H4045" t="str">
        <f>"Serv.Prest. 15/09/2025 a 21/09/2025 - PIX: CPF - CHAVE: 077.488.126-75"</f>
        <v>Serv.Prest. 15/09/2025 a 21/09/2025 - PIX: CPF - CHAVE: 077.488.126-75</v>
      </c>
      <c r="I4045" t="str">
        <f t="shared" si="753"/>
        <v>02/10/2025</v>
      </c>
      <c r="J4045" t="str">
        <f t="shared" si="756"/>
        <v>23/09/2025</v>
      </c>
      <c r="K4045" t="str">
        <f>("02/10/2025")</f>
        <v>02/10/2025</v>
      </c>
      <c r="L4045">
        <v>1020</v>
      </c>
      <c r="M4045">
        <v>1020</v>
      </c>
      <c r="N4045">
        <v>109</v>
      </c>
      <c r="O4045" t="str">
        <f>"PAGAMENTO DE ENTREGADORES"</f>
        <v>PAGAMENTO DE ENTREGADORES</v>
      </c>
      <c r="P4045">
        <v>1020</v>
      </c>
      <c r="S4045" t="str">
        <f>"BANCO C6 (149)"</f>
        <v>BANCO C6 (149)</v>
      </c>
      <c r="T4045">
        <v>18952</v>
      </c>
      <c r="U4045">
        <v>22357</v>
      </c>
      <c r="V4045" t="s">
        <v>77</v>
      </c>
    </row>
    <row r="4046" spans="1:22">
      <c r="A4046" t="str">
        <f t="shared" si="751"/>
        <v>02/10/2025</v>
      </c>
      <c r="B4046" t="str">
        <f t="shared" si="754"/>
        <v>SAÍDA</v>
      </c>
      <c r="C4046" t="str">
        <f t="shared" si="752"/>
        <v>PIX</v>
      </c>
      <c r="D4046" t="str">
        <f>"22357"</f>
        <v>22357</v>
      </c>
      <c r="E4046" t="str">
        <f t="shared" si="755"/>
        <v>1</v>
      </c>
      <c r="F4046" t="str">
        <f t="shared" si="750"/>
        <v>COM</v>
      </c>
      <c r="G4046" t="str">
        <f>"JUNIO DE ANDRADE ARRUDA (145)"</f>
        <v>JUNIO DE ANDRADE ARRUDA (145)</v>
      </c>
      <c r="H4046" t="s">
        <v>1148</v>
      </c>
      <c r="I4046" t="str">
        <f t="shared" si="753"/>
        <v>02/10/2025</v>
      </c>
      <c r="J4046" t="str">
        <f t="shared" si="756"/>
        <v>23/09/2025</v>
      </c>
      <c r="K4046">
        <v>45932</v>
      </c>
      <c r="N4046">
        <v>109</v>
      </c>
      <c r="O4046" t="s">
        <v>24</v>
      </c>
      <c r="Q4046">
        <v>420.03</v>
      </c>
      <c r="R4046" t="str">
        <f>"FARMÁCIA INDIANA LJ 18 (10011)"</f>
        <v>FARMÁCIA INDIANA LJ 18 (10011)</v>
      </c>
      <c r="S4046" t="s">
        <v>77</v>
      </c>
      <c r="T4046">
        <v>18952</v>
      </c>
      <c r="U4046">
        <v>22357</v>
      </c>
      <c r="V4046" t="s">
        <v>77</v>
      </c>
    </row>
    <row r="4047" spans="1:22">
      <c r="A4047" t="str">
        <f t="shared" si="751"/>
        <v>02/10/2025</v>
      </c>
      <c r="B4047" t="str">
        <f t="shared" si="754"/>
        <v>SAÍDA</v>
      </c>
      <c r="C4047" t="str">
        <f t="shared" si="752"/>
        <v>PIX</v>
      </c>
      <c r="D4047" t="str">
        <f>"22357"</f>
        <v>22357</v>
      </c>
      <c r="E4047" t="str">
        <f t="shared" si="755"/>
        <v>1</v>
      </c>
      <c r="F4047" t="str">
        <f t="shared" si="750"/>
        <v>COM</v>
      </c>
      <c r="G4047" t="str">
        <f>"JUNIO DE ANDRADE ARRUDA (145)"</f>
        <v>JUNIO DE ANDRADE ARRUDA (145)</v>
      </c>
      <c r="H4047" t="s">
        <v>1148</v>
      </c>
      <c r="I4047" t="str">
        <f t="shared" si="753"/>
        <v>02/10/2025</v>
      </c>
      <c r="J4047" t="str">
        <f t="shared" si="756"/>
        <v>23/09/2025</v>
      </c>
      <c r="K4047">
        <v>45932</v>
      </c>
      <c r="N4047">
        <v>109</v>
      </c>
      <c r="O4047" t="s">
        <v>24</v>
      </c>
      <c r="Q4047">
        <v>546.01</v>
      </c>
      <c r="R4047" t="str">
        <f>"FARMÁCIA INDIANA LJ 19 (10012)"</f>
        <v>FARMÁCIA INDIANA LJ 19 (10012)</v>
      </c>
      <c r="S4047" t="s">
        <v>77</v>
      </c>
      <c r="T4047">
        <v>18952</v>
      </c>
      <c r="U4047">
        <v>22357</v>
      </c>
      <c r="V4047" t="s">
        <v>77</v>
      </c>
    </row>
    <row r="4048" spans="1:22">
      <c r="A4048" t="str">
        <f t="shared" si="751"/>
        <v>02/10/2025</v>
      </c>
      <c r="B4048" t="str">
        <f t="shared" si="754"/>
        <v>SAÍDA</v>
      </c>
      <c r="C4048" t="str">
        <f t="shared" si="752"/>
        <v>PIX</v>
      </c>
      <c r="D4048" t="str">
        <f>"22357"</f>
        <v>22357</v>
      </c>
      <c r="E4048" t="str">
        <f t="shared" si="755"/>
        <v>1</v>
      </c>
      <c r="F4048" t="str">
        <f t="shared" si="750"/>
        <v>COM</v>
      </c>
      <c r="G4048" t="str">
        <f>"JUNIO DE ANDRADE ARRUDA (145)"</f>
        <v>JUNIO DE ANDRADE ARRUDA (145)</v>
      </c>
      <c r="H4048" t="s">
        <v>1148</v>
      </c>
      <c r="I4048" t="str">
        <f t="shared" si="753"/>
        <v>02/10/2025</v>
      </c>
      <c r="J4048" t="str">
        <f t="shared" si="756"/>
        <v>23/09/2025</v>
      </c>
      <c r="K4048">
        <v>45932</v>
      </c>
      <c r="N4048">
        <v>109</v>
      </c>
      <c r="O4048" t="s">
        <v>24</v>
      </c>
      <c r="Q4048">
        <v>53.96</v>
      </c>
      <c r="R4048" t="str">
        <f>"FARMÁCIA INDIANA LJ 142 (10066)"</f>
        <v>FARMÁCIA INDIANA LJ 142 (10066)</v>
      </c>
      <c r="S4048" t="s">
        <v>77</v>
      </c>
      <c r="T4048">
        <v>18952</v>
      </c>
      <c r="U4048">
        <v>22357</v>
      </c>
      <c r="V4048" t="s">
        <v>77</v>
      </c>
    </row>
    <row r="4049" spans="1:22">
      <c r="A4049" t="str">
        <f t="shared" si="751"/>
        <v>02/10/2025</v>
      </c>
      <c r="B4049" t="str">
        <f t="shared" si="754"/>
        <v>SAÍDA</v>
      </c>
      <c r="C4049" t="str">
        <f t="shared" si="752"/>
        <v>PIX</v>
      </c>
      <c r="D4049" t="str">
        <f>"22356"</f>
        <v>22356</v>
      </c>
      <c r="E4049" t="str">
        <f t="shared" si="755"/>
        <v>1</v>
      </c>
      <c r="F4049" t="str">
        <f t="shared" si="750"/>
        <v>COM</v>
      </c>
      <c r="G4049" t="str">
        <f>"JUBER FERREIRA SILVA BASTOS (192)"</f>
        <v>JUBER FERREIRA SILVA BASTOS (192)</v>
      </c>
      <c r="H4049" t="str">
        <f>"Serv.Prest. 15/09/2025 a 21/09/2025 - PIX: CPF - CHAVE: 012.459.366-62"</f>
        <v>Serv.Prest. 15/09/2025 a 21/09/2025 - PIX: CPF - CHAVE: 012.459.366-62</v>
      </c>
      <c r="I4049" t="str">
        <f t="shared" si="753"/>
        <v>02/10/2025</v>
      </c>
      <c r="J4049" t="str">
        <f t="shared" si="756"/>
        <v>23/09/2025</v>
      </c>
      <c r="K4049" t="str">
        <f>("02/10/2025")</f>
        <v>02/10/2025</v>
      </c>
      <c r="L4049">
        <v>1200</v>
      </c>
      <c r="M4049">
        <v>1200</v>
      </c>
      <c r="N4049">
        <v>109</v>
      </c>
      <c r="O4049" t="str">
        <f>"PAGAMENTO DE ENTREGADORES"</f>
        <v>PAGAMENTO DE ENTREGADORES</v>
      </c>
      <c r="P4049">
        <v>1200</v>
      </c>
      <c r="S4049" t="str">
        <f>"BANCO C6 (149)"</f>
        <v>BANCO C6 (149)</v>
      </c>
      <c r="T4049">
        <v>18953</v>
      </c>
      <c r="U4049">
        <v>22356</v>
      </c>
      <c r="V4049" t="s">
        <v>77</v>
      </c>
    </row>
    <row r="4050" spans="1:22">
      <c r="A4050" t="str">
        <f t="shared" si="751"/>
        <v>02/10/2025</v>
      </c>
      <c r="B4050" t="str">
        <f t="shared" si="754"/>
        <v>SAÍDA</v>
      </c>
      <c r="C4050" t="str">
        <f t="shared" si="752"/>
        <v>PIX</v>
      </c>
      <c r="D4050" t="str">
        <f>"22356"</f>
        <v>22356</v>
      </c>
      <c r="E4050" t="str">
        <f t="shared" si="755"/>
        <v>1</v>
      </c>
      <c r="F4050" t="str">
        <f t="shared" si="750"/>
        <v>COM</v>
      </c>
      <c r="G4050" t="str">
        <f>"JUBER FERREIRA SILVA BASTOS (192)"</f>
        <v>JUBER FERREIRA SILVA BASTOS (192)</v>
      </c>
      <c r="H4050" t="s">
        <v>1149</v>
      </c>
      <c r="I4050" t="str">
        <f t="shared" si="753"/>
        <v>02/10/2025</v>
      </c>
      <c r="J4050" t="str">
        <f t="shared" si="756"/>
        <v>23/09/2025</v>
      </c>
      <c r="K4050">
        <v>45932</v>
      </c>
      <c r="N4050">
        <v>109</v>
      </c>
      <c r="O4050" t="s">
        <v>24</v>
      </c>
      <c r="Q4050">
        <v>1200</v>
      </c>
      <c r="R4050" t="str">
        <f>"FARMÁCIA INDIANA LJ 06 (10006)"</f>
        <v>FARMÁCIA INDIANA LJ 06 (10006)</v>
      </c>
      <c r="S4050" t="s">
        <v>77</v>
      </c>
      <c r="T4050">
        <v>18953</v>
      </c>
      <c r="U4050">
        <v>22356</v>
      </c>
      <c r="V4050" t="s">
        <v>77</v>
      </c>
    </row>
    <row r="4051" spans="1:22">
      <c r="A4051" t="str">
        <f t="shared" si="751"/>
        <v>02/10/2025</v>
      </c>
      <c r="B4051" t="str">
        <f t="shared" si="754"/>
        <v>SAÍDA</v>
      </c>
      <c r="C4051" t="str">
        <f t="shared" si="752"/>
        <v>PIX</v>
      </c>
      <c r="D4051" t="str">
        <f>"22354"</f>
        <v>22354</v>
      </c>
      <c r="E4051" t="str">
        <f t="shared" si="755"/>
        <v>1</v>
      </c>
      <c r="F4051" t="str">
        <f t="shared" si="750"/>
        <v>COM</v>
      </c>
      <c r="G4051" t="str">
        <f>"JOSÉ CARLOS DA COSTA (83)"</f>
        <v>JOSÉ CARLOS DA COSTA (83)</v>
      </c>
      <c r="H4051" t="str">
        <f>"Serv.Prest. 15/09/2025 a 21/09/2025 - PIX: CPF - CHAVE: 043.301.196-33"</f>
        <v>Serv.Prest. 15/09/2025 a 21/09/2025 - PIX: CPF - CHAVE: 043.301.196-33</v>
      </c>
      <c r="I4051" t="str">
        <f t="shared" si="753"/>
        <v>02/10/2025</v>
      </c>
      <c r="J4051" t="str">
        <f t="shared" si="756"/>
        <v>23/09/2025</v>
      </c>
      <c r="K4051" t="str">
        <f>("02/10/2025")</f>
        <v>02/10/2025</v>
      </c>
      <c r="L4051">
        <v>588</v>
      </c>
      <c r="M4051">
        <v>588</v>
      </c>
      <c r="N4051">
        <v>109</v>
      </c>
      <c r="O4051" t="str">
        <f>"PAGAMENTO DE ENTREGADORES"</f>
        <v>PAGAMENTO DE ENTREGADORES</v>
      </c>
      <c r="P4051">
        <v>588</v>
      </c>
      <c r="S4051" t="str">
        <f>"BANCO C6 (149)"</f>
        <v>BANCO C6 (149)</v>
      </c>
      <c r="T4051">
        <v>18954</v>
      </c>
      <c r="U4051">
        <v>22354</v>
      </c>
      <c r="V4051" t="s">
        <v>77</v>
      </c>
    </row>
    <row r="4052" spans="1:22">
      <c r="A4052" t="str">
        <f t="shared" si="751"/>
        <v>02/10/2025</v>
      </c>
      <c r="B4052" t="str">
        <f t="shared" si="754"/>
        <v>SAÍDA</v>
      </c>
      <c r="C4052" t="str">
        <f t="shared" si="752"/>
        <v>PIX</v>
      </c>
      <c r="D4052" t="str">
        <f>"22354"</f>
        <v>22354</v>
      </c>
      <c r="E4052" t="str">
        <f t="shared" si="755"/>
        <v>1</v>
      </c>
      <c r="F4052" t="str">
        <f t="shared" si="750"/>
        <v>COM</v>
      </c>
      <c r="G4052" t="str">
        <f>"JOSÉ CARLOS DA COSTA (83)"</f>
        <v>JOSÉ CARLOS DA COSTA (83)</v>
      </c>
      <c r="H4052" t="s">
        <v>1150</v>
      </c>
      <c r="I4052" t="str">
        <f t="shared" si="753"/>
        <v>02/10/2025</v>
      </c>
      <c r="J4052" t="str">
        <f t="shared" si="756"/>
        <v>23/09/2025</v>
      </c>
      <c r="K4052">
        <v>45932</v>
      </c>
      <c r="N4052">
        <v>109</v>
      </c>
      <c r="O4052" t="s">
        <v>24</v>
      </c>
      <c r="Q4052">
        <v>588</v>
      </c>
      <c r="R4052" t="str">
        <f>"FARMÁCIA INDIANA LJ 152 (10069)"</f>
        <v>FARMÁCIA INDIANA LJ 152 (10069)</v>
      </c>
      <c r="S4052" t="s">
        <v>77</v>
      </c>
      <c r="T4052">
        <v>18954</v>
      </c>
      <c r="U4052">
        <v>22354</v>
      </c>
      <c r="V4052" t="s">
        <v>77</v>
      </c>
    </row>
    <row r="4053" spans="1:22">
      <c r="A4053" t="str">
        <f t="shared" si="751"/>
        <v>02/10/2025</v>
      </c>
      <c r="B4053" t="str">
        <f t="shared" si="754"/>
        <v>SAÍDA</v>
      </c>
      <c r="C4053" t="str">
        <f t="shared" si="752"/>
        <v>PIX</v>
      </c>
      <c r="D4053" t="str">
        <f>"22352"</f>
        <v>22352</v>
      </c>
      <c r="E4053" t="str">
        <f t="shared" si="755"/>
        <v>1</v>
      </c>
      <c r="F4053" t="str">
        <f t="shared" si="750"/>
        <v>COM</v>
      </c>
      <c r="G4053" t="str">
        <f>"JOMAR GONÇALVES DIAS (16)"</f>
        <v>JOMAR GONÇALVES DIAS (16)</v>
      </c>
      <c r="H4053" t="str">
        <f>"Serv.Prest. 15/09/2025 a 21/09/2025 - PIX: CPF - CHAVE: 602.838.315-53"</f>
        <v>Serv.Prest. 15/09/2025 a 21/09/2025 - PIX: CPF - CHAVE: 602.838.315-53</v>
      </c>
      <c r="I4053" t="str">
        <f t="shared" si="753"/>
        <v>02/10/2025</v>
      </c>
      <c r="J4053" t="str">
        <f t="shared" si="756"/>
        <v>23/09/2025</v>
      </c>
      <c r="K4053" t="str">
        <f>("02/10/2025")</f>
        <v>02/10/2025</v>
      </c>
      <c r="L4053">
        <v>907.5</v>
      </c>
      <c r="M4053">
        <v>907.5</v>
      </c>
      <c r="N4053">
        <v>109</v>
      </c>
      <c r="O4053" t="str">
        <f>"PAGAMENTO DE ENTREGADORES"</f>
        <v>PAGAMENTO DE ENTREGADORES</v>
      </c>
      <c r="P4053">
        <v>907.5</v>
      </c>
      <c r="S4053" t="str">
        <f>"BANCO C6 (149)"</f>
        <v>BANCO C6 (149)</v>
      </c>
      <c r="T4053">
        <v>18955</v>
      </c>
      <c r="U4053">
        <v>22352</v>
      </c>
      <c r="V4053" t="s">
        <v>77</v>
      </c>
    </row>
    <row r="4054" spans="1:22">
      <c r="A4054" t="str">
        <f t="shared" si="751"/>
        <v>02/10/2025</v>
      </c>
      <c r="B4054" t="str">
        <f t="shared" si="754"/>
        <v>SAÍDA</v>
      </c>
      <c r="C4054" t="str">
        <f t="shared" si="752"/>
        <v>PIX</v>
      </c>
      <c r="D4054" t="str">
        <f>"22352"</f>
        <v>22352</v>
      </c>
      <c r="E4054" t="str">
        <f t="shared" si="755"/>
        <v>1</v>
      </c>
      <c r="F4054" t="str">
        <f t="shared" si="750"/>
        <v>COM</v>
      </c>
      <c r="G4054" t="str">
        <f>"JOMAR GONÇALVES DIAS (16)"</f>
        <v>JOMAR GONÇALVES DIAS (16)</v>
      </c>
      <c r="H4054" t="s">
        <v>1151</v>
      </c>
      <c r="I4054" t="str">
        <f t="shared" si="753"/>
        <v>02/10/2025</v>
      </c>
      <c r="J4054" t="str">
        <f t="shared" si="756"/>
        <v>23/09/2025</v>
      </c>
      <c r="K4054">
        <v>45932</v>
      </c>
      <c r="N4054">
        <v>109</v>
      </c>
      <c r="O4054" t="s">
        <v>24</v>
      </c>
      <c r="Q4054">
        <v>27.5</v>
      </c>
      <c r="R4054" t="str">
        <f>"FARMÁCIA INDIANA LJ 40 (10016)"</f>
        <v>FARMÁCIA INDIANA LJ 40 (10016)</v>
      </c>
      <c r="S4054" t="s">
        <v>77</v>
      </c>
      <c r="T4054">
        <v>18955</v>
      </c>
      <c r="U4054">
        <v>22352</v>
      </c>
      <c r="V4054" t="s">
        <v>77</v>
      </c>
    </row>
    <row r="4055" spans="1:22">
      <c r="A4055" t="str">
        <f t="shared" si="751"/>
        <v>02/10/2025</v>
      </c>
      <c r="B4055" t="str">
        <f t="shared" si="754"/>
        <v>SAÍDA</v>
      </c>
      <c r="C4055" t="str">
        <f t="shared" si="752"/>
        <v>PIX</v>
      </c>
      <c r="D4055" t="str">
        <f>"22352"</f>
        <v>22352</v>
      </c>
      <c r="E4055" t="str">
        <f t="shared" si="755"/>
        <v>1</v>
      </c>
      <c r="F4055" t="str">
        <f t="shared" si="750"/>
        <v>COM</v>
      </c>
      <c r="G4055" t="str">
        <f>"JOMAR GONÇALVES DIAS (16)"</f>
        <v>JOMAR GONÇALVES DIAS (16)</v>
      </c>
      <c r="H4055" t="s">
        <v>1151</v>
      </c>
      <c r="I4055" t="str">
        <f t="shared" si="753"/>
        <v>02/10/2025</v>
      </c>
      <c r="J4055" t="str">
        <f t="shared" si="756"/>
        <v>23/09/2025</v>
      </c>
      <c r="K4055">
        <v>45932</v>
      </c>
      <c r="N4055">
        <v>109</v>
      </c>
      <c r="O4055" t="s">
        <v>24</v>
      </c>
      <c r="Q4055">
        <v>880</v>
      </c>
      <c r="R4055" t="str">
        <f>"FARMÁCIA INDIANA LJ 61 (10027)"</f>
        <v>FARMÁCIA INDIANA LJ 61 (10027)</v>
      </c>
      <c r="S4055" t="s">
        <v>77</v>
      </c>
      <c r="T4055">
        <v>18955</v>
      </c>
      <c r="U4055">
        <v>22352</v>
      </c>
      <c r="V4055" t="s">
        <v>77</v>
      </c>
    </row>
    <row r="4056" spans="1:22">
      <c r="A4056" t="str">
        <f t="shared" si="751"/>
        <v>02/10/2025</v>
      </c>
      <c r="B4056" t="str">
        <f t="shared" si="754"/>
        <v>SAÍDA</v>
      </c>
      <c r="C4056" t="str">
        <f t="shared" si="752"/>
        <v>PIX</v>
      </c>
      <c r="D4056" t="str">
        <f>"22351"</f>
        <v>22351</v>
      </c>
      <c r="E4056" t="str">
        <f t="shared" si="755"/>
        <v>1</v>
      </c>
      <c r="F4056" t="str">
        <f t="shared" si="750"/>
        <v>COM</v>
      </c>
      <c r="G4056" t="str">
        <f>"JHONANTAN LACERDA DE JESUS (142)"</f>
        <v>JHONANTAN LACERDA DE JESUS (142)</v>
      </c>
      <c r="H4056" t="str">
        <f>"Serv.Prest. 15/09/2025 a 21/09/2025 - PIX: E-MAIL - CHAVE: jhonantanlacerda@gmail.com"</f>
        <v>Serv.Prest. 15/09/2025 a 21/09/2025 - PIX: E-MAIL - CHAVE: jhonantanlacerda@gmail.com</v>
      </c>
      <c r="I4056" t="str">
        <f t="shared" si="753"/>
        <v>02/10/2025</v>
      </c>
      <c r="J4056" t="str">
        <f t="shared" si="756"/>
        <v>23/09/2025</v>
      </c>
      <c r="K4056" t="str">
        <f>("02/10/2025")</f>
        <v>02/10/2025</v>
      </c>
      <c r="L4056">
        <v>864</v>
      </c>
      <c r="M4056">
        <v>864</v>
      </c>
      <c r="N4056">
        <v>109</v>
      </c>
      <c r="O4056" t="str">
        <f>"PAGAMENTO DE ENTREGADORES"</f>
        <v>PAGAMENTO DE ENTREGADORES</v>
      </c>
      <c r="P4056">
        <v>864</v>
      </c>
      <c r="S4056" t="str">
        <f>"BANCO C6 (149)"</f>
        <v>BANCO C6 (149)</v>
      </c>
      <c r="T4056">
        <v>18956</v>
      </c>
      <c r="U4056">
        <v>22351</v>
      </c>
      <c r="V4056" t="s">
        <v>77</v>
      </c>
    </row>
    <row r="4057" spans="1:22">
      <c r="A4057" t="str">
        <f t="shared" si="751"/>
        <v>02/10/2025</v>
      </c>
      <c r="B4057" t="str">
        <f t="shared" si="754"/>
        <v>SAÍDA</v>
      </c>
      <c r="C4057" t="str">
        <f t="shared" si="752"/>
        <v>PIX</v>
      </c>
      <c r="D4057" t="str">
        <f>"22351"</f>
        <v>22351</v>
      </c>
      <c r="E4057" t="str">
        <f t="shared" si="755"/>
        <v>1</v>
      </c>
      <c r="F4057" t="str">
        <f t="shared" si="750"/>
        <v>COM</v>
      </c>
      <c r="G4057" t="str">
        <f>"JHONANTAN LACERDA DE JESUS (142)"</f>
        <v>JHONANTAN LACERDA DE JESUS (142)</v>
      </c>
      <c r="H4057" t="s">
        <v>1152</v>
      </c>
      <c r="I4057" t="str">
        <f t="shared" si="753"/>
        <v>02/10/2025</v>
      </c>
      <c r="J4057" t="str">
        <f t="shared" si="756"/>
        <v>23/09/2025</v>
      </c>
      <c r="K4057">
        <v>45932</v>
      </c>
      <c r="N4057">
        <v>109</v>
      </c>
      <c r="O4057" t="s">
        <v>24</v>
      </c>
      <c r="Q4057">
        <v>864</v>
      </c>
      <c r="R4057" t="str">
        <f>"FARMÁCIA INDIANA LJ 142 (10066)"</f>
        <v>FARMÁCIA INDIANA LJ 142 (10066)</v>
      </c>
      <c r="S4057" t="s">
        <v>77</v>
      </c>
      <c r="T4057">
        <v>18956</v>
      </c>
      <c r="U4057">
        <v>22351</v>
      </c>
      <c r="V4057" t="s">
        <v>77</v>
      </c>
    </row>
    <row r="4058" spans="1:22">
      <c r="A4058" t="str">
        <f t="shared" si="751"/>
        <v>02/10/2025</v>
      </c>
      <c r="B4058" t="str">
        <f t="shared" si="754"/>
        <v>SAÍDA</v>
      </c>
      <c r="C4058" t="str">
        <f t="shared" si="752"/>
        <v>PIX</v>
      </c>
      <c r="D4058" t="str">
        <f>"22350"</f>
        <v>22350</v>
      </c>
      <c r="E4058" t="str">
        <f t="shared" si="755"/>
        <v>1</v>
      </c>
      <c r="F4058" t="str">
        <f t="shared" si="750"/>
        <v>COM</v>
      </c>
      <c r="G4058" t="str">
        <f>"JEFERSON DE JESUS SANTOS (910)"</f>
        <v>JEFERSON DE JESUS SANTOS (910)</v>
      </c>
      <c r="H4058" t="str">
        <f>"Serv.Prest. 15/09/2025 a 21/09/2025 - PIX: CELULAR - CHAVE: (33) 98836-6015"</f>
        <v>Serv.Prest. 15/09/2025 a 21/09/2025 - PIX: CELULAR - CHAVE: (33) 98836-6015</v>
      </c>
      <c r="I4058" t="str">
        <f t="shared" si="753"/>
        <v>02/10/2025</v>
      </c>
      <c r="J4058" t="str">
        <f t="shared" si="756"/>
        <v>23/09/2025</v>
      </c>
      <c r="K4058" t="str">
        <f>("02/10/2025")</f>
        <v>02/10/2025</v>
      </c>
      <c r="L4058">
        <v>834</v>
      </c>
      <c r="M4058">
        <v>834</v>
      </c>
      <c r="N4058">
        <v>109</v>
      </c>
      <c r="O4058" t="str">
        <f>"PAGAMENTO DE ENTREGADORES"</f>
        <v>PAGAMENTO DE ENTREGADORES</v>
      </c>
      <c r="P4058">
        <v>834</v>
      </c>
      <c r="S4058" t="str">
        <f>"BANCO C6 (149)"</f>
        <v>BANCO C6 (149)</v>
      </c>
      <c r="T4058">
        <v>18957</v>
      </c>
      <c r="U4058">
        <v>22350</v>
      </c>
      <c r="V4058" t="s">
        <v>77</v>
      </c>
    </row>
    <row r="4059" spans="1:22">
      <c r="A4059" t="str">
        <f t="shared" si="751"/>
        <v>02/10/2025</v>
      </c>
      <c r="B4059" t="str">
        <f t="shared" si="754"/>
        <v>SAÍDA</v>
      </c>
      <c r="C4059" t="str">
        <f t="shared" si="752"/>
        <v>PIX</v>
      </c>
      <c r="D4059" t="str">
        <f>"22350"</f>
        <v>22350</v>
      </c>
      <c r="E4059" t="str">
        <f t="shared" si="755"/>
        <v>1</v>
      </c>
      <c r="F4059" t="str">
        <f t="shared" si="750"/>
        <v>COM</v>
      </c>
      <c r="G4059" t="str">
        <f>"JEFERSON DE JESUS SANTOS (910)"</f>
        <v>JEFERSON DE JESUS SANTOS (910)</v>
      </c>
      <c r="H4059" t="s">
        <v>1153</v>
      </c>
      <c r="I4059" t="str">
        <f t="shared" si="753"/>
        <v>02/10/2025</v>
      </c>
      <c r="J4059" t="str">
        <f t="shared" si="756"/>
        <v>23/09/2025</v>
      </c>
      <c r="K4059">
        <v>45932</v>
      </c>
      <c r="N4059">
        <v>109</v>
      </c>
      <c r="O4059" t="s">
        <v>24</v>
      </c>
      <c r="Q4059">
        <v>834</v>
      </c>
      <c r="R4059" t="str">
        <f>"FARMÁCIA INDIANA LJ 07 (10007)"</f>
        <v>FARMÁCIA INDIANA LJ 07 (10007)</v>
      </c>
      <c r="S4059" t="s">
        <v>77</v>
      </c>
      <c r="T4059">
        <v>18957</v>
      </c>
      <c r="U4059">
        <v>22350</v>
      </c>
      <c r="V4059" t="s">
        <v>77</v>
      </c>
    </row>
    <row r="4060" spans="1:22">
      <c r="A4060" t="str">
        <f t="shared" si="751"/>
        <v>02/10/2025</v>
      </c>
      <c r="B4060" t="str">
        <f t="shared" si="754"/>
        <v>SAÍDA</v>
      </c>
      <c r="C4060" t="str">
        <f t="shared" si="752"/>
        <v>PIX</v>
      </c>
      <c r="D4060" t="str">
        <f>"22349"</f>
        <v>22349</v>
      </c>
      <c r="E4060" t="str">
        <f t="shared" si="755"/>
        <v>1</v>
      </c>
      <c r="F4060" t="str">
        <f t="shared" si="750"/>
        <v>COM</v>
      </c>
      <c r="G4060" t="str">
        <f>"JEFERSON ARAÚJO SANTOS GERMANO (180)"</f>
        <v>JEFERSON ARAÚJO SANTOS GERMANO (180)</v>
      </c>
      <c r="H4060" t="str">
        <f>"Serv.Prest. 15/09/2025 a 21/09/2025 - PIX: CPF - CHAVE: 023.645.626-19"</f>
        <v>Serv.Prest. 15/09/2025 a 21/09/2025 - PIX: CPF - CHAVE: 023.645.626-19</v>
      </c>
      <c r="I4060" t="str">
        <f t="shared" si="753"/>
        <v>02/10/2025</v>
      </c>
      <c r="J4060" t="str">
        <f t="shared" si="756"/>
        <v>23/09/2025</v>
      </c>
      <c r="K4060" t="str">
        <f>("02/10/2025")</f>
        <v>02/10/2025</v>
      </c>
      <c r="L4060">
        <v>978</v>
      </c>
      <c r="M4060">
        <v>978</v>
      </c>
      <c r="N4060">
        <v>109</v>
      </c>
      <c r="O4060" t="str">
        <f>"PAGAMENTO DE ENTREGADORES"</f>
        <v>PAGAMENTO DE ENTREGADORES</v>
      </c>
      <c r="P4060">
        <v>978</v>
      </c>
      <c r="S4060" t="str">
        <f>"BANCO C6 (149)"</f>
        <v>BANCO C6 (149)</v>
      </c>
      <c r="T4060">
        <v>18958</v>
      </c>
      <c r="U4060">
        <v>22349</v>
      </c>
      <c r="V4060" t="s">
        <v>77</v>
      </c>
    </row>
    <row r="4061" spans="1:22">
      <c r="A4061" t="str">
        <f t="shared" si="751"/>
        <v>02/10/2025</v>
      </c>
      <c r="B4061" t="str">
        <f t="shared" si="754"/>
        <v>SAÍDA</v>
      </c>
      <c r="C4061" t="str">
        <f t="shared" si="752"/>
        <v>PIX</v>
      </c>
      <c r="D4061" t="str">
        <f>"22349"</f>
        <v>22349</v>
      </c>
      <c r="E4061" t="str">
        <f t="shared" si="755"/>
        <v>1</v>
      </c>
      <c r="F4061" t="str">
        <f t="shared" si="750"/>
        <v>COM</v>
      </c>
      <c r="G4061" t="str">
        <f>"JEFERSON ARAÚJO SANTOS GERMANO (180)"</f>
        <v>JEFERSON ARAÚJO SANTOS GERMANO (180)</v>
      </c>
      <c r="H4061" t="s">
        <v>1154</v>
      </c>
      <c r="I4061" t="str">
        <f t="shared" si="753"/>
        <v>02/10/2025</v>
      </c>
      <c r="J4061" t="str">
        <f t="shared" si="756"/>
        <v>23/09/2025</v>
      </c>
      <c r="K4061">
        <v>45932</v>
      </c>
      <c r="N4061">
        <v>109</v>
      </c>
      <c r="O4061" t="s">
        <v>24</v>
      </c>
      <c r="Q4061">
        <v>978</v>
      </c>
      <c r="R4061" t="str">
        <f>"FARMÁCIA INDIANA LJ 142 (10066)"</f>
        <v>FARMÁCIA INDIANA LJ 142 (10066)</v>
      </c>
      <c r="S4061" t="s">
        <v>77</v>
      </c>
      <c r="T4061">
        <v>18958</v>
      </c>
      <c r="U4061">
        <v>22349</v>
      </c>
      <c r="V4061" t="s">
        <v>77</v>
      </c>
    </row>
    <row r="4062" spans="1:22">
      <c r="A4062" t="str">
        <f t="shared" si="751"/>
        <v>02/10/2025</v>
      </c>
      <c r="B4062" t="str">
        <f t="shared" ref="B4062:B4093" si="757">"SAÍDA"</f>
        <v>SAÍDA</v>
      </c>
      <c r="C4062" t="str">
        <f t="shared" si="752"/>
        <v>PIX</v>
      </c>
      <c r="D4062" t="str">
        <f>"22348"</f>
        <v>22348</v>
      </c>
      <c r="E4062" t="str">
        <f t="shared" si="755"/>
        <v>1</v>
      </c>
      <c r="F4062" t="str">
        <f t="shared" si="750"/>
        <v>COM</v>
      </c>
      <c r="G4062" t="str">
        <f>"JEFERSON ANDRADE FERREIRA (165)"</f>
        <v>JEFERSON ANDRADE FERREIRA (165)</v>
      </c>
      <c r="H4062" t="str">
        <f>"Serv.Prest. 15/09/2025 a 21/09/2025 - PIX: CPF - CHAVE: 126.873.296-65"</f>
        <v>Serv.Prest. 15/09/2025 a 21/09/2025 - PIX: CPF - CHAVE: 126.873.296-65</v>
      </c>
      <c r="I4062" t="str">
        <f t="shared" si="753"/>
        <v>02/10/2025</v>
      </c>
      <c r="J4062" t="str">
        <f t="shared" si="756"/>
        <v>23/09/2025</v>
      </c>
      <c r="K4062" t="str">
        <f>("02/10/2025")</f>
        <v>02/10/2025</v>
      </c>
      <c r="L4062">
        <v>1818</v>
      </c>
      <c r="M4062">
        <v>1818</v>
      </c>
      <c r="N4062">
        <v>109</v>
      </c>
      <c r="O4062" t="str">
        <f>"PAGAMENTO DE ENTREGADORES"</f>
        <v>PAGAMENTO DE ENTREGADORES</v>
      </c>
      <c r="P4062">
        <v>1818</v>
      </c>
      <c r="S4062" t="str">
        <f>"BANCO C6 (149)"</f>
        <v>BANCO C6 (149)</v>
      </c>
      <c r="T4062">
        <v>18959</v>
      </c>
      <c r="U4062">
        <v>22348</v>
      </c>
      <c r="V4062" t="s">
        <v>77</v>
      </c>
    </row>
    <row r="4063" spans="1:22">
      <c r="A4063" t="str">
        <f t="shared" si="751"/>
        <v>02/10/2025</v>
      </c>
      <c r="B4063" t="str">
        <f t="shared" si="757"/>
        <v>SAÍDA</v>
      </c>
      <c r="C4063" t="str">
        <f t="shared" si="752"/>
        <v>PIX</v>
      </c>
      <c r="D4063" t="str">
        <f>"22348"</f>
        <v>22348</v>
      </c>
      <c r="E4063" t="str">
        <f t="shared" si="755"/>
        <v>1</v>
      </c>
      <c r="F4063" t="str">
        <f t="shared" si="750"/>
        <v>COM</v>
      </c>
      <c r="G4063" t="str">
        <f>"JEFERSON ANDRADE FERREIRA (165)"</f>
        <v>JEFERSON ANDRADE FERREIRA (165)</v>
      </c>
      <c r="H4063" t="s">
        <v>1155</v>
      </c>
      <c r="I4063" t="str">
        <f t="shared" si="753"/>
        <v>02/10/2025</v>
      </c>
      <c r="J4063" t="str">
        <f t="shared" si="756"/>
        <v>23/09/2025</v>
      </c>
      <c r="K4063">
        <v>45932</v>
      </c>
      <c r="N4063">
        <v>109</v>
      </c>
      <c r="O4063" t="s">
        <v>24</v>
      </c>
      <c r="Q4063">
        <v>1158.07</v>
      </c>
      <c r="R4063" t="str">
        <f>"FARMÁCIA INDIANA LJ 101 (10043)"</f>
        <v>FARMÁCIA INDIANA LJ 101 (10043)</v>
      </c>
      <c r="S4063" t="s">
        <v>77</v>
      </c>
      <c r="T4063">
        <v>18959</v>
      </c>
      <c r="U4063">
        <v>22348</v>
      </c>
      <c r="V4063" t="s">
        <v>77</v>
      </c>
    </row>
    <row r="4064" spans="1:22">
      <c r="A4064" t="str">
        <f t="shared" si="751"/>
        <v>02/10/2025</v>
      </c>
      <c r="B4064" t="str">
        <f t="shared" si="757"/>
        <v>SAÍDA</v>
      </c>
      <c r="C4064" t="str">
        <f t="shared" si="752"/>
        <v>PIX</v>
      </c>
      <c r="D4064" t="str">
        <f>"22348"</f>
        <v>22348</v>
      </c>
      <c r="E4064" t="str">
        <f t="shared" si="755"/>
        <v>1</v>
      </c>
      <c r="F4064" t="str">
        <f t="shared" si="750"/>
        <v>COM</v>
      </c>
      <c r="G4064" t="str">
        <f>"JEFERSON ANDRADE FERREIRA (165)"</f>
        <v>JEFERSON ANDRADE FERREIRA (165)</v>
      </c>
      <c r="H4064" t="s">
        <v>1155</v>
      </c>
      <c r="I4064" t="str">
        <f t="shared" si="753"/>
        <v>02/10/2025</v>
      </c>
      <c r="J4064" t="str">
        <f t="shared" si="756"/>
        <v>23/09/2025</v>
      </c>
      <c r="K4064">
        <v>45932</v>
      </c>
      <c r="N4064">
        <v>109</v>
      </c>
      <c r="O4064" t="s">
        <v>24</v>
      </c>
      <c r="Q4064">
        <v>659.93</v>
      </c>
      <c r="R4064" t="str">
        <f>"FARMÁCIA INDIANA LJ 220 (10092)"</f>
        <v>FARMÁCIA INDIANA LJ 220 (10092)</v>
      </c>
      <c r="S4064" t="s">
        <v>77</v>
      </c>
      <c r="T4064">
        <v>18959</v>
      </c>
      <c r="U4064">
        <v>22348</v>
      </c>
      <c r="V4064" t="s">
        <v>77</v>
      </c>
    </row>
    <row r="4065" spans="1:22">
      <c r="A4065" t="str">
        <f t="shared" si="751"/>
        <v>02/10/2025</v>
      </c>
      <c r="B4065" t="str">
        <f t="shared" si="757"/>
        <v>SAÍDA</v>
      </c>
      <c r="C4065" t="str">
        <f t="shared" si="752"/>
        <v>PIX</v>
      </c>
      <c r="D4065" t="str">
        <f>"22347"</f>
        <v>22347</v>
      </c>
      <c r="E4065" t="str">
        <f t="shared" ref="E4065:E4096" si="758">"1"</f>
        <v>1</v>
      </c>
      <c r="F4065" t="str">
        <f t="shared" si="750"/>
        <v>COM</v>
      </c>
      <c r="G4065" t="str">
        <f>"JEAN ARAÚJO SANTOS GERMANO (551)"</f>
        <v>JEAN ARAÚJO SANTOS GERMANO (551)</v>
      </c>
      <c r="H4065" t="str">
        <f>"Serv.Prest. 15/09/2025 a 21/09/2025 - PIX: CELULAR - CHAVE: (31) 99812-7173"</f>
        <v>Serv.Prest. 15/09/2025 a 21/09/2025 - PIX: CELULAR - CHAVE: (31) 99812-7173</v>
      </c>
      <c r="I4065" t="str">
        <f t="shared" si="753"/>
        <v>02/10/2025</v>
      </c>
      <c r="J4065" t="str">
        <f t="shared" si="756"/>
        <v>23/09/2025</v>
      </c>
      <c r="K4065" t="str">
        <f>("02/10/2025")</f>
        <v>02/10/2025</v>
      </c>
      <c r="L4065">
        <v>48</v>
      </c>
      <c r="M4065">
        <v>48</v>
      </c>
      <c r="N4065">
        <v>109</v>
      </c>
      <c r="O4065" t="str">
        <f>"PAGAMENTO DE ENTREGADORES"</f>
        <v>PAGAMENTO DE ENTREGADORES</v>
      </c>
      <c r="P4065">
        <v>48</v>
      </c>
      <c r="S4065" t="str">
        <f>"BANCO C6 (149)"</f>
        <v>BANCO C6 (149)</v>
      </c>
      <c r="T4065">
        <v>18960</v>
      </c>
      <c r="U4065">
        <v>22347</v>
      </c>
      <c r="V4065" t="s">
        <v>77</v>
      </c>
    </row>
    <row r="4066" spans="1:22">
      <c r="A4066" t="str">
        <f t="shared" si="751"/>
        <v>02/10/2025</v>
      </c>
      <c r="B4066" t="str">
        <f t="shared" si="757"/>
        <v>SAÍDA</v>
      </c>
      <c r="C4066" t="str">
        <f t="shared" si="752"/>
        <v>PIX</v>
      </c>
      <c r="D4066" t="str">
        <f>"22347"</f>
        <v>22347</v>
      </c>
      <c r="E4066" t="str">
        <f t="shared" si="758"/>
        <v>1</v>
      </c>
      <c r="F4066" t="str">
        <f t="shared" si="750"/>
        <v>COM</v>
      </c>
      <c r="G4066" t="str">
        <f>"JEAN ARAÚJO SANTOS GERMANO (551)"</f>
        <v>JEAN ARAÚJO SANTOS GERMANO (551)</v>
      </c>
      <c r="H4066" t="s">
        <v>1081</v>
      </c>
      <c r="I4066" t="str">
        <f t="shared" si="753"/>
        <v>02/10/2025</v>
      </c>
      <c r="J4066" t="str">
        <f t="shared" si="756"/>
        <v>23/09/2025</v>
      </c>
      <c r="K4066">
        <v>45932</v>
      </c>
      <c r="N4066">
        <v>109</v>
      </c>
      <c r="O4066" t="s">
        <v>24</v>
      </c>
      <c r="Q4066">
        <v>48</v>
      </c>
      <c r="R4066" t="str">
        <f>"FARMÁCIA INDIANA LJ 142 (10066)"</f>
        <v>FARMÁCIA INDIANA LJ 142 (10066)</v>
      </c>
      <c r="S4066" t="s">
        <v>77</v>
      </c>
      <c r="T4066">
        <v>18960</v>
      </c>
      <c r="U4066">
        <v>22347</v>
      </c>
      <c r="V4066" t="s">
        <v>77</v>
      </c>
    </row>
    <row r="4067" spans="1:22">
      <c r="A4067" t="str">
        <f t="shared" si="751"/>
        <v>02/10/2025</v>
      </c>
      <c r="B4067" t="str">
        <f t="shared" si="757"/>
        <v>SAÍDA</v>
      </c>
      <c r="C4067" t="str">
        <f t="shared" si="752"/>
        <v>PIX</v>
      </c>
      <c r="D4067" t="str">
        <f>"22346"</f>
        <v>22346</v>
      </c>
      <c r="E4067" t="str">
        <f t="shared" si="758"/>
        <v>1</v>
      </c>
      <c r="F4067" t="str">
        <f t="shared" si="750"/>
        <v>COM</v>
      </c>
      <c r="G4067" t="str">
        <f>"JANDERSON SOUZA ARCANJO (28)"</f>
        <v>JANDERSON SOUZA ARCANJO (28)</v>
      </c>
      <c r="H4067" t="str">
        <f>"Serv.Prest. 15/09/2025 a 21/09/2025 - PIX: CPF - CHAVE: 121.297.376-33"</f>
        <v>Serv.Prest. 15/09/2025 a 21/09/2025 - PIX: CPF - CHAVE: 121.297.376-33</v>
      </c>
      <c r="I4067" t="str">
        <f t="shared" si="753"/>
        <v>02/10/2025</v>
      </c>
      <c r="J4067" t="str">
        <f t="shared" si="756"/>
        <v>23/09/2025</v>
      </c>
      <c r="K4067" t="str">
        <f>("02/10/2025")</f>
        <v>02/10/2025</v>
      </c>
      <c r="L4067">
        <v>1551</v>
      </c>
      <c r="M4067">
        <v>1551</v>
      </c>
      <c r="N4067">
        <v>109</v>
      </c>
      <c r="O4067" t="str">
        <f>"PAGAMENTO DE ENTREGADORES"</f>
        <v>PAGAMENTO DE ENTREGADORES</v>
      </c>
      <c r="P4067">
        <v>1551</v>
      </c>
      <c r="S4067" t="str">
        <f>"BANCO C6 (149)"</f>
        <v>BANCO C6 (149)</v>
      </c>
      <c r="T4067">
        <v>18961</v>
      </c>
      <c r="U4067">
        <v>22346</v>
      </c>
      <c r="V4067" t="s">
        <v>77</v>
      </c>
    </row>
    <row r="4068" spans="1:22">
      <c r="A4068" t="str">
        <f t="shared" si="751"/>
        <v>02/10/2025</v>
      </c>
      <c r="B4068" t="str">
        <f t="shared" si="757"/>
        <v>SAÍDA</v>
      </c>
      <c r="C4068" t="str">
        <f t="shared" si="752"/>
        <v>PIX</v>
      </c>
      <c r="D4068" t="str">
        <f>"22346"</f>
        <v>22346</v>
      </c>
      <c r="E4068" t="str">
        <f t="shared" si="758"/>
        <v>1</v>
      </c>
      <c r="F4068" t="str">
        <f t="shared" si="750"/>
        <v>COM</v>
      </c>
      <c r="G4068" t="str">
        <f>"JANDERSON SOUZA ARCANJO (28)"</f>
        <v>JANDERSON SOUZA ARCANJO (28)</v>
      </c>
      <c r="H4068" t="s">
        <v>1156</v>
      </c>
      <c r="I4068" t="str">
        <f t="shared" si="753"/>
        <v>02/10/2025</v>
      </c>
      <c r="J4068" t="str">
        <f t="shared" si="756"/>
        <v>23/09/2025</v>
      </c>
      <c r="K4068">
        <v>45932</v>
      </c>
      <c r="N4068">
        <v>109</v>
      </c>
      <c r="O4068" t="s">
        <v>24</v>
      </c>
      <c r="Q4068">
        <v>1551</v>
      </c>
      <c r="R4068" t="str">
        <f>"FARMÁCIA INDIANA LJ 40 (10016)"</f>
        <v>FARMÁCIA INDIANA LJ 40 (10016)</v>
      </c>
      <c r="S4068" t="s">
        <v>77</v>
      </c>
      <c r="T4068">
        <v>18961</v>
      </c>
      <c r="U4068">
        <v>22346</v>
      </c>
      <c r="V4068" t="s">
        <v>77</v>
      </c>
    </row>
    <row r="4069" spans="1:22">
      <c r="A4069" t="str">
        <f t="shared" si="751"/>
        <v>02/10/2025</v>
      </c>
      <c r="B4069" t="str">
        <f t="shared" si="757"/>
        <v>SAÍDA</v>
      </c>
      <c r="C4069" t="str">
        <f t="shared" si="752"/>
        <v>PIX</v>
      </c>
      <c r="D4069" t="str">
        <f>"22345"</f>
        <v>22345</v>
      </c>
      <c r="E4069" t="str">
        <f t="shared" si="758"/>
        <v>1</v>
      </c>
      <c r="F4069" t="str">
        <f t="shared" si="750"/>
        <v>COM</v>
      </c>
      <c r="G4069" t="str">
        <f>"IVAN SOUZA SANTOS (101)"</f>
        <v>IVAN SOUZA SANTOS (101)</v>
      </c>
      <c r="H4069" t="str">
        <f>"Serv.Prest. 15/09/2025 a 21/09/2025 - PIX: CPF - CHAVE: 067.393.286-92"</f>
        <v>Serv.Prest. 15/09/2025 a 21/09/2025 - PIX: CPF - CHAVE: 067.393.286-92</v>
      </c>
      <c r="I4069" t="str">
        <f t="shared" si="753"/>
        <v>02/10/2025</v>
      </c>
      <c r="J4069" t="str">
        <f t="shared" ref="J4069:J4100" si="759">("23/09/2025")</f>
        <v>23/09/2025</v>
      </c>
      <c r="K4069" t="str">
        <f>("02/10/2025")</f>
        <v>02/10/2025</v>
      </c>
      <c r="L4069">
        <v>808.5</v>
      </c>
      <c r="M4069">
        <v>808.5</v>
      </c>
      <c r="N4069">
        <v>109</v>
      </c>
      <c r="O4069" t="str">
        <f>"PAGAMENTO DE ENTREGADORES"</f>
        <v>PAGAMENTO DE ENTREGADORES</v>
      </c>
      <c r="P4069">
        <v>808.5</v>
      </c>
      <c r="S4069" t="str">
        <f>"BANCO C6 (149)"</f>
        <v>BANCO C6 (149)</v>
      </c>
      <c r="T4069">
        <v>18962</v>
      </c>
      <c r="U4069">
        <v>22345</v>
      </c>
      <c r="V4069" t="s">
        <v>77</v>
      </c>
    </row>
    <row r="4070" spans="1:22">
      <c r="A4070" t="str">
        <f t="shared" si="751"/>
        <v>02/10/2025</v>
      </c>
      <c r="B4070" t="str">
        <f t="shared" si="757"/>
        <v>SAÍDA</v>
      </c>
      <c r="C4070" t="str">
        <f t="shared" si="752"/>
        <v>PIX</v>
      </c>
      <c r="D4070" t="str">
        <f>"22345"</f>
        <v>22345</v>
      </c>
      <c r="E4070" t="str">
        <f t="shared" si="758"/>
        <v>1</v>
      </c>
      <c r="F4070" t="str">
        <f t="shared" si="750"/>
        <v>COM</v>
      </c>
      <c r="G4070" t="str">
        <f>"IVAN SOUZA SANTOS (101)"</f>
        <v>IVAN SOUZA SANTOS (101)</v>
      </c>
      <c r="H4070" t="s">
        <v>1157</v>
      </c>
      <c r="I4070" t="str">
        <f t="shared" si="753"/>
        <v>02/10/2025</v>
      </c>
      <c r="J4070" t="str">
        <f t="shared" si="759"/>
        <v>23/09/2025</v>
      </c>
      <c r="K4070">
        <v>45932</v>
      </c>
      <c r="N4070">
        <v>109</v>
      </c>
      <c r="O4070" t="s">
        <v>24</v>
      </c>
      <c r="Q4070">
        <v>808.5</v>
      </c>
      <c r="R4070" t="str">
        <f>"FARMÁCIA INDIANA LJ 59 (10026)"</f>
        <v>FARMÁCIA INDIANA LJ 59 (10026)</v>
      </c>
      <c r="S4070" t="s">
        <v>77</v>
      </c>
      <c r="T4070">
        <v>18962</v>
      </c>
      <c r="U4070">
        <v>22345</v>
      </c>
      <c r="V4070" t="s">
        <v>77</v>
      </c>
    </row>
    <row r="4071" spans="1:22">
      <c r="A4071" t="str">
        <f t="shared" si="751"/>
        <v>02/10/2025</v>
      </c>
      <c r="B4071" t="str">
        <f t="shared" si="757"/>
        <v>SAÍDA</v>
      </c>
      <c r="C4071" t="str">
        <f t="shared" si="752"/>
        <v>PIX</v>
      </c>
      <c r="D4071" t="str">
        <f>"22344"</f>
        <v>22344</v>
      </c>
      <c r="E4071" t="str">
        <f t="shared" si="758"/>
        <v>1</v>
      </c>
      <c r="F4071" t="str">
        <f t="shared" si="750"/>
        <v>COM</v>
      </c>
      <c r="G4071" t="str">
        <f>"GUSTAVO HENRIQUE OLIVEIRA (661)"</f>
        <v>GUSTAVO HENRIQUE OLIVEIRA (661)</v>
      </c>
      <c r="H4071" t="str">
        <f>"Serv.Prest. 15/09/2025 a 21/09/2025 - PIX: CPF - CHAVE: 113.084.266-58"</f>
        <v>Serv.Prest. 15/09/2025 a 21/09/2025 - PIX: CPF - CHAVE: 113.084.266-58</v>
      </c>
      <c r="I4071" t="str">
        <f t="shared" si="753"/>
        <v>02/10/2025</v>
      </c>
      <c r="J4071" t="str">
        <f t="shared" si="759"/>
        <v>23/09/2025</v>
      </c>
      <c r="K4071" t="str">
        <f>("02/10/2025")</f>
        <v>02/10/2025</v>
      </c>
      <c r="L4071">
        <v>702</v>
      </c>
      <c r="M4071">
        <v>702</v>
      </c>
      <c r="N4071">
        <v>109</v>
      </c>
      <c r="O4071" t="str">
        <f>"PAGAMENTO DE ENTREGADORES"</f>
        <v>PAGAMENTO DE ENTREGADORES</v>
      </c>
      <c r="P4071">
        <v>702</v>
      </c>
      <c r="S4071" t="str">
        <f>"BANCO C6 (149)"</f>
        <v>BANCO C6 (149)</v>
      </c>
      <c r="T4071">
        <v>18963</v>
      </c>
      <c r="U4071">
        <v>22344</v>
      </c>
      <c r="V4071" t="s">
        <v>77</v>
      </c>
    </row>
    <row r="4072" spans="1:22">
      <c r="A4072" t="str">
        <f t="shared" si="751"/>
        <v>02/10/2025</v>
      </c>
      <c r="B4072" t="str">
        <f t="shared" si="757"/>
        <v>SAÍDA</v>
      </c>
      <c r="C4072" t="str">
        <f t="shared" si="752"/>
        <v>PIX</v>
      </c>
      <c r="D4072" t="str">
        <f>"22344"</f>
        <v>22344</v>
      </c>
      <c r="E4072" t="str">
        <f t="shared" si="758"/>
        <v>1</v>
      </c>
      <c r="F4072" t="str">
        <f t="shared" si="750"/>
        <v>COM</v>
      </c>
      <c r="G4072" t="str">
        <f>"GUSTAVO HENRIQUE OLIVEIRA (661)"</f>
        <v>GUSTAVO HENRIQUE OLIVEIRA (661)</v>
      </c>
      <c r="H4072" t="s">
        <v>1158</v>
      </c>
      <c r="I4072" t="str">
        <f t="shared" si="753"/>
        <v>02/10/2025</v>
      </c>
      <c r="J4072" t="str">
        <f t="shared" si="759"/>
        <v>23/09/2025</v>
      </c>
      <c r="K4072">
        <v>45932</v>
      </c>
      <c r="N4072">
        <v>109</v>
      </c>
      <c r="O4072" t="s">
        <v>24</v>
      </c>
      <c r="Q4072">
        <v>702</v>
      </c>
      <c r="R4072" t="str">
        <f>"FARMÁCIA INDIANA LJ 110 (10048)"</f>
        <v>FARMÁCIA INDIANA LJ 110 (10048)</v>
      </c>
      <c r="S4072" t="s">
        <v>77</v>
      </c>
      <c r="T4072">
        <v>18963</v>
      </c>
      <c r="U4072">
        <v>22344</v>
      </c>
      <c r="V4072" t="s">
        <v>77</v>
      </c>
    </row>
    <row r="4073" spans="1:22">
      <c r="A4073" t="str">
        <f t="shared" si="751"/>
        <v>02/10/2025</v>
      </c>
      <c r="B4073" t="str">
        <f t="shared" si="757"/>
        <v>SAÍDA</v>
      </c>
      <c r="C4073" t="str">
        <f t="shared" si="752"/>
        <v>PIX</v>
      </c>
      <c r="D4073" t="str">
        <f>"22343"</f>
        <v>22343</v>
      </c>
      <c r="E4073" t="str">
        <f t="shared" si="758"/>
        <v>1</v>
      </c>
      <c r="F4073" t="str">
        <f t="shared" si="750"/>
        <v>COM</v>
      </c>
      <c r="G4073" t="str">
        <f>"GUSTAVO ALVES DE ARAÚJO (298)"</f>
        <v>GUSTAVO ALVES DE ARAÚJO (298)</v>
      </c>
      <c r="H4073" t="str">
        <f>"Serv.Prest. 15/09/2025 a 21/09/2025 - PIX: CELULAR - CHAVE: (31) 99816-8965"</f>
        <v>Serv.Prest. 15/09/2025 a 21/09/2025 - PIX: CELULAR - CHAVE: (31) 99816-8965</v>
      </c>
      <c r="I4073" t="str">
        <f t="shared" si="753"/>
        <v>02/10/2025</v>
      </c>
      <c r="J4073" t="str">
        <f t="shared" si="759"/>
        <v>23/09/2025</v>
      </c>
      <c r="K4073" t="str">
        <f>("02/10/2025")</f>
        <v>02/10/2025</v>
      </c>
      <c r="L4073">
        <v>1218</v>
      </c>
      <c r="M4073">
        <v>1218</v>
      </c>
      <c r="N4073">
        <v>109</v>
      </c>
      <c r="O4073" t="str">
        <f>"PAGAMENTO DE ENTREGADORES"</f>
        <v>PAGAMENTO DE ENTREGADORES</v>
      </c>
      <c r="P4073">
        <v>1218</v>
      </c>
      <c r="S4073" t="str">
        <f>"BANCO C6 (149)"</f>
        <v>BANCO C6 (149)</v>
      </c>
      <c r="T4073">
        <v>18964</v>
      </c>
      <c r="U4073">
        <v>22343</v>
      </c>
      <c r="V4073" t="s">
        <v>77</v>
      </c>
    </row>
    <row r="4074" spans="1:22">
      <c r="A4074" t="str">
        <f t="shared" si="751"/>
        <v>02/10/2025</v>
      </c>
      <c r="B4074" t="str">
        <f t="shared" si="757"/>
        <v>SAÍDA</v>
      </c>
      <c r="C4074" t="str">
        <f t="shared" si="752"/>
        <v>PIX</v>
      </c>
      <c r="D4074" t="str">
        <f>"22343"</f>
        <v>22343</v>
      </c>
      <c r="E4074" t="str">
        <f t="shared" si="758"/>
        <v>1</v>
      </c>
      <c r="F4074" t="str">
        <f t="shared" si="750"/>
        <v>COM</v>
      </c>
      <c r="G4074" t="str">
        <f>"GUSTAVO ALVES DE ARAÚJO (298)"</f>
        <v>GUSTAVO ALVES DE ARAÚJO (298)</v>
      </c>
      <c r="H4074" t="s">
        <v>1159</v>
      </c>
      <c r="I4074" t="str">
        <f t="shared" si="753"/>
        <v>02/10/2025</v>
      </c>
      <c r="J4074" t="str">
        <f t="shared" si="759"/>
        <v>23/09/2025</v>
      </c>
      <c r="K4074">
        <v>45932</v>
      </c>
      <c r="N4074">
        <v>109</v>
      </c>
      <c r="O4074" t="s">
        <v>24</v>
      </c>
      <c r="Q4074">
        <v>1218</v>
      </c>
      <c r="R4074" t="str">
        <f>"FARMÁCIA INDIANA LJ 172 (10161)"</f>
        <v>FARMÁCIA INDIANA LJ 172 (10161)</v>
      </c>
      <c r="S4074" t="s">
        <v>77</v>
      </c>
      <c r="T4074">
        <v>18964</v>
      </c>
      <c r="U4074">
        <v>22343</v>
      </c>
      <c r="V4074" t="s">
        <v>77</v>
      </c>
    </row>
    <row r="4075" spans="1:22">
      <c r="A4075" t="str">
        <f t="shared" si="751"/>
        <v>02/10/2025</v>
      </c>
      <c r="B4075" t="str">
        <f t="shared" si="757"/>
        <v>SAÍDA</v>
      </c>
      <c r="C4075" t="str">
        <f t="shared" si="752"/>
        <v>PIX</v>
      </c>
      <c r="D4075" t="str">
        <f>"22342"</f>
        <v>22342</v>
      </c>
      <c r="E4075" t="str">
        <f t="shared" si="758"/>
        <v>1</v>
      </c>
      <c r="F4075" t="str">
        <f t="shared" si="750"/>
        <v>COM</v>
      </c>
      <c r="G4075" t="str">
        <f>"GUILHERME QUINTINO DA ROCHA (199)"</f>
        <v>GUILHERME QUINTINO DA ROCHA (199)</v>
      </c>
      <c r="H4075" t="str">
        <f>"Serv.Prest. 15/09/2025 a 21/09/2025 - PIX: CELULAR - CHAVE: (33) 99706-4860"</f>
        <v>Serv.Prest. 15/09/2025 a 21/09/2025 - PIX: CELULAR - CHAVE: (33) 99706-4860</v>
      </c>
      <c r="I4075" t="str">
        <f t="shared" si="753"/>
        <v>02/10/2025</v>
      </c>
      <c r="J4075" t="str">
        <f t="shared" si="759"/>
        <v>23/09/2025</v>
      </c>
      <c r="K4075" t="str">
        <f>("02/10/2025")</f>
        <v>02/10/2025</v>
      </c>
      <c r="L4075">
        <v>990</v>
      </c>
      <c r="M4075">
        <v>990</v>
      </c>
      <c r="N4075">
        <v>109</v>
      </c>
      <c r="O4075" t="str">
        <f>"PAGAMENTO DE ENTREGADORES"</f>
        <v>PAGAMENTO DE ENTREGADORES</v>
      </c>
      <c r="P4075">
        <v>990</v>
      </c>
      <c r="S4075" t="str">
        <f>"BANCO C6 (149)"</f>
        <v>BANCO C6 (149)</v>
      </c>
      <c r="T4075">
        <v>18965</v>
      </c>
      <c r="U4075">
        <v>22342</v>
      </c>
      <c r="V4075" t="s">
        <v>77</v>
      </c>
    </row>
    <row r="4076" spans="1:22">
      <c r="A4076" t="str">
        <f t="shared" si="751"/>
        <v>02/10/2025</v>
      </c>
      <c r="B4076" t="str">
        <f t="shared" si="757"/>
        <v>SAÍDA</v>
      </c>
      <c r="C4076" t="str">
        <f t="shared" si="752"/>
        <v>PIX</v>
      </c>
      <c r="D4076" t="str">
        <f>"22342"</f>
        <v>22342</v>
      </c>
      <c r="E4076" t="str">
        <f t="shared" si="758"/>
        <v>1</v>
      </c>
      <c r="F4076" t="str">
        <f t="shared" si="750"/>
        <v>COM</v>
      </c>
      <c r="G4076" t="str">
        <f>"GUILHERME QUINTINO DA ROCHA (199)"</f>
        <v>GUILHERME QUINTINO DA ROCHA (199)</v>
      </c>
      <c r="H4076" t="s">
        <v>1160</v>
      </c>
      <c r="I4076" t="str">
        <f t="shared" si="753"/>
        <v>02/10/2025</v>
      </c>
      <c r="J4076" t="str">
        <f t="shared" si="759"/>
        <v>23/09/2025</v>
      </c>
      <c r="K4076">
        <v>45932</v>
      </c>
      <c r="N4076">
        <v>109</v>
      </c>
      <c r="O4076" t="s">
        <v>24</v>
      </c>
      <c r="Q4076">
        <v>990</v>
      </c>
      <c r="R4076" t="str">
        <f>"FARMÁCIA INDIANA LJ 06 (10006)"</f>
        <v>FARMÁCIA INDIANA LJ 06 (10006)</v>
      </c>
      <c r="S4076" t="s">
        <v>77</v>
      </c>
      <c r="T4076">
        <v>18965</v>
      </c>
      <c r="U4076">
        <v>22342</v>
      </c>
      <c r="V4076" t="s">
        <v>77</v>
      </c>
    </row>
    <row r="4077" spans="1:22">
      <c r="A4077" t="str">
        <f t="shared" si="751"/>
        <v>02/10/2025</v>
      </c>
      <c r="B4077" t="str">
        <f t="shared" si="757"/>
        <v>SAÍDA</v>
      </c>
      <c r="C4077" t="str">
        <f t="shared" si="752"/>
        <v>PIX</v>
      </c>
      <c r="D4077" t="str">
        <f>"22341"</f>
        <v>22341</v>
      </c>
      <c r="E4077" t="str">
        <f t="shared" si="758"/>
        <v>1</v>
      </c>
      <c r="F4077" t="str">
        <f t="shared" si="750"/>
        <v>COM</v>
      </c>
      <c r="G4077" t="str">
        <f>"GILNEI MENDES COELHO (195)"</f>
        <v>GILNEI MENDES COELHO (195)</v>
      </c>
      <c r="H4077" t="str">
        <f>"Serv.Prest. 15/09/2025 a 21/09/2025 - PIX: CPF - CHAVE: 386.313.426-53"</f>
        <v>Serv.Prest. 15/09/2025 a 21/09/2025 - PIX: CPF - CHAVE: 386.313.426-53</v>
      </c>
      <c r="I4077" t="str">
        <f t="shared" si="753"/>
        <v>02/10/2025</v>
      </c>
      <c r="J4077" t="str">
        <f t="shared" si="759"/>
        <v>23/09/2025</v>
      </c>
      <c r="K4077" t="str">
        <f>("02/10/2025")</f>
        <v>02/10/2025</v>
      </c>
      <c r="L4077">
        <v>930</v>
      </c>
      <c r="M4077">
        <v>930</v>
      </c>
      <c r="N4077">
        <v>109</v>
      </c>
      <c r="O4077" t="str">
        <f>"PAGAMENTO DE ENTREGADORES"</f>
        <v>PAGAMENTO DE ENTREGADORES</v>
      </c>
      <c r="P4077">
        <v>930</v>
      </c>
      <c r="S4077" t="str">
        <f>"BANCO C6 (149)"</f>
        <v>BANCO C6 (149)</v>
      </c>
      <c r="T4077">
        <v>18966</v>
      </c>
      <c r="U4077">
        <v>22341</v>
      </c>
      <c r="V4077" t="s">
        <v>77</v>
      </c>
    </row>
    <row r="4078" spans="1:22">
      <c r="A4078" t="str">
        <f t="shared" si="751"/>
        <v>02/10/2025</v>
      </c>
      <c r="B4078" t="str">
        <f t="shared" si="757"/>
        <v>SAÍDA</v>
      </c>
      <c r="C4078" t="str">
        <f t="shared" si="752"/>
        <v>PIX</v>
      </c>
      <c r="D4078" t="str">
        <f>"22341"</f>
        <v>22341</v>
      </c>
      <c r="E4078" t="str">
        <f t="shared" si="758"/>
        <v>1</v>
      </c>
      <c r="F4078" t="str">
        <f t="shared" si="750"/>
        <v>COM</v>
      </c>
      <c r="G4078" t="str">
        <f>"GILNEI MENDES COELHO (195)"</f>
        <v>GILNEI MENDES COELHO (195)</v>
      </c>
      <c r="H4078" t="s">
        <v>1161</v>
      </c>
      <c r="I4078" t="str">
        <f t="shared" si="753"/>
        <v>02/10/2025</v>
      </c>
      <c r="J4078" t="str">
        <f t="shared" si="759"/>
        <v>23/09/2025</v>
      </c>
      <c r="K4078">
        <v>45932</v>
      </c>
      <c r="N4078">
        <v>109</v>
      </c>
      <c r="O4078" t="s">
        <v>24</v>
      </c>
      <c r="Q4078">
        <v>930</v>
      </c>
      <c r="R4078" t="str">
        <f>"FARMÁCIA INDIANA LJ 06 (10006)"</f>
        <v>FARMÁCIA INDIANA LJ 06 (10006)</v>
      </c>
      <c r="S4078" t="s">
        <v>77</v>
      </c>
      <c r="T4078">
        <v>18966</v>
      </c>
      <c r="U4078">
        <v>22341</v>
      </c>
      <c r="V4078" t="s">
        <v>77</v>
      </c>
    </row>
    <row r="4079" spans="1:22">
      <c r="A4079" t="str">
        <f t="shared" si="751"/>
        <v>02/10/2025</v>
      </c>
      <c r="B4079" t="str">
        <f t="shared" si="757"/>
        <v>SAÍDA</v>
      </c>
      <c r="C4079" t="str">
        <f t="shared" si="752"/>
        <v>PIX</v>
      </c>
      <c r="D4079" t="str">
        <f>"22339"</f>
        <v>22339</v>
      </c>
      <c r="E4079" t="str">
        <f t="shared" si="758"/>
        <v>1</v>
      </c>
      <c r="F4079" t="str">
        <f t="shared" si="750"/>
        <v>COM</v>
      </c>
      <c r="G4079" t="str">
        <f>"GABRIEL SOARES VIEIRA (18)"</f>
        <v>GABRIEL SOARES VIEIRA (18)</v>
      </c>
      <c r="H4079" t="str">
        <f>"Serv.Prest. 15/09/2025 a 21/09/2025 - PIX: CPF - CHAVE: 179.800.027-09"</f>
        <v>Serv.Prest. 15/09/2025 a 21/09/2025 - PIX: CPF - CHAVE: 179.800.027-09</v>
      </c>
      <c r="I4079" t="str">
        <f t="shared" si="753"/>
        <v>02/10/2025</v>
      </c>
      <c r="J4079" t="str">
        <f t="shared" si="759"/>
        <v>23/09/2025</v>
      </c>
      <c r="K4079" t="str">
        <f>("02/10/2025")</f>
        <v>02/10/2025</v>
      </c>
      <c r="L4079">
        <v>1721.5</v>
      </c>
      <c r="M4079">
        <v>1721.5</v>
      </c>
      <c r="N4079">
        <v>109</v>
      </c>
      <c r="O4079" t="str">
        <f>"PAGAMENTO DE ENTREGADORES"</f>
        <v>PAGAMENTO DE ENTREGADORES</v>
      </c>
      <c r="P4079">
        <v>1721.5</v>
      </c>
      <c r="S4079" t="str">
        <f>"BANCO C6 (149)"</f>
        <v>BANCO C6 (149)</v>
      </c>
      <c r="T4079">
        <v>18967</v>
      </c>
      <c r="U4079">
        <v>22339</v>
      </c>
      <c r="V4079" t="s">
        <v>77</v>
      </c>
    </row>
    <row r="4080" spans="1:22">
      <c r="A4080" t="str">
        <f t="shared" si="751"/>
        <v>02/10/2025</v>
      </c>
      <c r="B4080" t="str">
        <f t="shared" si="757"/>
        <v>SAÍDA</v>
      </c>
      <c r="C4080" t="str">
        <f t="shared" si="752"/>
        <v>PIX</v>
      </c>
      <c r="D4080" t="str">
        <f>"22339"</f>
        <v>22339</v>
      </c>
      <c r="E4080" t="str">
        <f t="shared" si="758"/>
        <v>1</v>
      </c>
      <c r="F4080" t="str">
        <f t="shared" si="750"/>
        <v>COM</v>
      </c>
      <c r="G4080" t="str">
        <f>"GABRIEL SOARES VIEIRA (18)"</f>
        <v>GABRIEL SOARES VIEIRA (18)</v>
      </c>
      <c r="H4080" t="s">
        <v>1162</v>
      </c>
      <c r="I4080" t="str">
        <f t="shared" si="753"/>
        <v>02/10/2025</v>
      </c>
      <c r="J4080" t="str">
        <f t="shared" si="759"/>
        <v>23/09/2025</v>
      </c>
      <c r="K4080">
        <v>45932</v>
      </c>
      <c r="N4080">
        <v>109</v>
      </c>
      <c r="O4080" t="s">
        <v>24</v>
      </c>
      <c r="Q4080">
        <v>1721.5</v>
      </c>
      <c r="R4080" t="str">
        <f>"FARMÁCIA INDIANA LJ 40 (10016)"</f>
        <v>FARMÁCIA INDIANA LJ 40 (10016)</v>
      </c>
      <c r="S4080" t="s">
        <v>77</v>
      </c>
      <c r="T4080">
        <v>18967</v>
      </c>
      <c r="U4080">
        <v>22339</v>
      </c>
      <c r="V4080" t="s">
        <v>77</v>
      </c>
    </row>
    <row r="4081" spans="1:22">
      <c r="A4081" t="str">
        <f t="shared" si="751"/>
        <v>02/10/2025</v>
      </c>
      <c r="B4081" t="str">
        <f t="shared" si="757"/>
        <v>SAÍDA</v>
      </c>
      <c r="C4081" t="str">
        <f t="shared" si="752"/>
        <v>PIX</v>
      </c>
      <c r="D4081" t="str">
        <f>"22338"</f>
        <v>22338</v>
      </c>
      <c r="E4081" t="str">
        <f t="shared" si="758"/>
        <v>1</v>
      </c>
      <c r="F4081" t="str">
        <f t="shared" si="750"/>
        <v>COM</v>
      </c>
      <c r="G4081" t="str">
        <f>"GABRIEL DA SILVA REIS (824)"</f>
        <v>GABRIEL DA SILVA REIS (824)</v>
      </c>
      <c r="H4081" t="str">
        <f>"Serv.Prest. 15/09/2025 a 21/09/2025 - PIX: CPF - CHAVE: 160.160.216-28"</f>
        <v>Serv.Prest. 15/09/2025 a 21/09/2025 - PIX: CPF - CHAVE: 160.160.216-28</v>
      </c>
      <c r="I4081" t="str">
        <f t="shared" si="753"/>
        <v>02/10/2025</v>
      </c>
      <c r="J4081" t="str">
        <f t="shared" si="759"/>
        <v>23/09/2025</v>
      </c>
      <c r="K4081" t="str">
        <f>("02/10/2025")</f>
        <v>02/10/2025</v>
      </c>
      <c r="L4081">
        <v>700.7</v>
      </c>
      <c r="M4081">
        <v>700.7</v>
      </c>
      <c r="N4081">
        <v>109</v>
      </c>
      <c r="O4081" t="str">
        <f>"PAGAMENTO DE ENTREGADORES"</f>
        <v>PAGAMENTO DE ENTREGADORES</v>
      </c>
      <c r="P4081">
        <v>700.7</v>
      </c>
      <c r="S4081" t="str">
        <f>"BANCO C6 (149)"</f>
        <v>BANCO C6 (149)</v>
      </c>
      <c r="T4081">
        <v>18968</v>
      </c>
      <c r="U4081">
        <v>22338</v>
      </c>
      <c r="V4081" t="s">
        <v>77</v>
      </c>
    </row>
    <row r="4082" spans="1:22">
      <c r="A4082" t="str">
        <f t="shared" si="751"/>
        <v>02/10/2025</v>
      </c>
      <c r="B4082" t="str">
        <f t="shared" si="757"/>
        <v>SAÍDA</v>
      </c>
      <c r="C4082" t="str">
        <f t="shared" si="752"/>
        <v>PIX</v>
      </c>
      <c r="D4082" t="str">
        <f>"22338"</f>
        <v>22338</v>
      </c>
      <c r="E4082" t="str">
        <f t="shared" si="758"/>
        <v>1</v>
      </c>
      <c r="F4082" t="str">
        <f t="shared" si="750"/>
        <v>COM</v>
      </c>
      <c r="G4082" t="str">
        <f>"GABRIEL DA SILVA REIS (824)"</f>
        <v>GABRIEL DA SILVA REIS (824)</v>
      </c>
      <c r="H4082" t="s">
        <v>1163</v>
      </c>
      <c r="I4082" t="str">
        <f t="shared" si="753"/>
        <v>02/10/2025</v>
      </c>
      <c r="J4082" t="str">
        <f t="shared" si="759"/>
        <v>23/09/2025</v>
      </c>
      <c r="K4082">
        <v>45932</v>
      </c>
      <c r="N4082">
        <v>109</v>
      </c>
      <c r="O4082" t="s">
        <v>24</v>
      </c>
      <c r="Q4082">
        <v>700.7</v>
      </c>
      <c r="R4082" t="str">
        <f>"FARMÁCIA INDIANA LJ 100 (10042)"</f>
        <v>FARMÁCIA INDIANA LJ 100 (10042)</v>
      </c>
      <c r="S4082" t="s">
        <v>77</v>
      </c>
      <c r="T4082">
        <v>18968</v>
      </c>
      <c r="U4082">
        <v>22338</v>
      </c>
      <c r="V4082" t="s">
        <v>77</v>
      </c>
    </row>
    <row r="4083" spans="1:22">
      <c r="A4083" t="str">
        <f t="shared" si="751"/>
        <v>02/10/2025</v>
      </c>
      <c r="B4083" t="str">
        <f t="shared" si="757"/>
        <v>SAÍDA</v>
      </c>
      <c r="C4083" t="str">
        <f t="shared" si="752"/>
        <v>PIX</v>
      </c>
      <c r="D4083" t="str">
        <f>"22337"</f>
        <v>22337</v>
      </c>
      <c r="E4083" t="str">
        <f t="shared" si="758"/>
        <v>1</v>
      </c>
      <c r="F4083" t="str">
        <f t="shared" si="750"/>
        <v>COM</v>
      </c>
      <c r="G4083" t="str">
        <f>"FABRICIO RAMON SOARES SANTOS (645)"</f>
        <v>FABRICIO RAMON SOARES SANTOS (645)</v>
      </c>
      <c r="H4083" t="str">
        <f>"Serv.Prest. 15/09/2025 a 21/09/2025 - PIX: CELULAR - CHAVE: (31) 98483-3242"</f>
        <v>Serv.Prest. 15/09/2025 a 21/09/2025 - PIX: CELULAR - CHAVE: (31) 98483-3242</v>
      </c>
      <c r="I4083" t="str">
        <f t="shared" si="753"/>
        <v>02/10/2025</v>
      </c>
      <c r="J4083" t="str">
        <f t="shared" si="759"/>
        <v>23/09/2025</v>
      </c>
      <c r="K4083" t="str">
        <f>("02/10/2025")</f>
        <v>02/10/2025</v>
      </c>
      <c r="L4083">
        <v>1326</v>
      </c>
      <c r="M4083">
        <v>1326</v>
      </c>
      <c r="N4083">
        <v>109</v>
      </c>
      <c r="O4083" t="str">
        <f>"PAGAMENTO DE ENTREGADORES"</f>
        <v>PAGAMENTO DE ENTREGADORES</v>
      </c>
      <c r="P4083">
        <v>1326</v>
      </c>
      <c r="S4083" t="str">
        <f>"BANCO C6 (149)"</f>
        <v>BANCO C6 (149)</v>
      </c>
      <c r="T4083">
        <v>18969</v>
      </c>
      <c r="U4083">
        <v>22337</v>
      </c>
      <c r="V4083" t="s">
        <v>77</v>
      </c>
    </row>
    <row r="4084" spans="1:22">
      <c r="A4084" t="str">
        <f t="shared" si="751"/>
        <v>02/10/2025</v>
      </c>
      <c r="B4084" t="str">
        <f t="shared" si="757"/>
        <v>SAÍDA</v>
      </c>
      <c r="C4084" t="str">
        <f t="shared" si="752"/>
        <v>PIX</v>
      </c>
      <c r="D4084" t="str">
        <f>"22337"</f>
        <v>22337</v>
      </c>
      <c r="E4084" t="str">
        <f t="shared" si="758"/>
        <v>1</v>
      </c>
      <c r="F4084" t="str">
        <f t="shared" ref="F4084:F4147" si="760">"COM"</f>
        <v>COM</v>
      </c>
      <c r="G4084" t="str">
        <f>"FABRICIO RAMON SOARES SANTOS (645)"</f>
        <v>FABRICIO RAMON SOARES SANTOS (645)</v>
      </c>
      <c r="H4084" t="s">
        <v>1164</v>
      </c>
      <c r="I4084" t="str">
        <f t="shared" si="753"/>
        <v>02/10/2025</v>
      </c>
      <c r="J4084" t="str">
        <f t="shared" si="759"/>
        <v>23/09/2025</v>
      </c>
      <c r="K4084">
        <v>45932</v>
      </c>
      <c r="N4084">
        <v>109</v>
      </c>
      <c r="O4084" t="s">
        <v>24</v>
      </c>
      <c r="Q4084">
        <v>1326</v>
      </c>
      <c r="R4084" t="str">
        <f>"FARMÁCIA INDIANA LJ 101 (10043)"</f>
        <v>FARMÁCIA INDIANA LJ 101 (10043)</v>
      </c>
      <c r="S4084" t="s">
        <v>77</v>
      </c>
      <c r="T4084">
        <v>18969</v>
      </c>
      <c r="U4084">
        <v>22337</v>
      </c>
      <c r="V4084" t="s">
        <v>77</v>
      </c>
    </row>
    <row r="4085" spans="1:22">
      <c r="A4085" t="str">
        <f t="shared" si="751"/>
        <v>02/10/2025</v>
      </c>
      <c r="B4085" t="str">
        <f t="shared" si="757"/>
        <v>SAÍDA</v>
      </c>
      <c r="C4085" t="str">
        <f t="shared" si="752"/>
        <v>PIX</v>
      </c>
      <c r="D4085" t="str">
        <f>"22335"</f>
        <v>22335</v>
      </c>
      <c r="E4085" t="str">
        <f t="shared" si="758"/>
        <v>1</v>
      </c>
      <c r="F4085" t="str">
        <f t="shared" si="760"/>
        <v>COM</v>
      </c>
      <c r="G4085" t="str">
        <f>"EUDES PIMENTA (368)"</f>
        <v>EUDES PIMENTA (368)</v>
      </c>
      <c r="H4085" t="str">
        <f>"Serv.Prest. 15/09/2025 a 21/09/2025 - PIX: CPF - CHAVE: 070.073.316-70"</f>
        <v>Serv.Prest. 15/09/2025 a 21/09/2025 - PIX: CPF - CHAVE: 070.073.316-70</v>
      </c>
      <c r="I4085" t="str">
        <f t="shared" si="753"/>
        <v>02/10/2025</v>
      </c>
      <c r="J4085" t="str">
        <f t="shared" si="759"/>
        <v>23/09/2025</v>
      </c>
      <c r="K4085" t="str">
        <f>("02/10/2025")</f>
        <v>02/10/2025</v>
      </c>
      <c r="L4085">
        <v>1110</v>
      </c>
      <c r="M4085">
        <v>1110</v>
      </c>
      <c r="N4085">
        <v>109</v>
      </c>
      <c r="O4085" t="str">
        <f>"PAGAMENTO DE ENTREGADORES"</f>
        <v>PAGAMENTO DE ENTREGADORES</v>
      </c>
      <c r="P4085">
        <v>1110</v>
      </c>
      <c r="S4085" t="str">
        <f>"BANCO C6 (149)"</f>
        <v>BANCO C6 (149)</v>
      </c>
      <c r="T4085">
        <v>18970</v>
      </c>
      <c r="U4085">
        <v>22335</v>
      </c>
      <c r="V4085" t="s">
        <v>77</v>
      </c>
    </row>
    <row r="4086" spans="1:22">
      <c r="A4086" t="str">
        <f t="shared" si="751"/>
        <v>02/10/2025</v>
      </c>
      <c r="B4086" t="str">
        <f t="shared" si="757"/>
        <v>SAÍDA</v>
      </c>
      <c r="C4086" t="str">
        <f t="shared" si="752"/>
        <v>PIX</v>
      </c>
      <c r="D4086" t="str">
        <f>"22335"</f>
        <v>22335</v>
      </c>
      <c r="E4086" t="str">
        <f t="shared" si="758"/>
        <v>1</v>
      </c>
      <c r="F4086" t="str">
        <f t="shared" si="760"/>
        <v>COM</v>
      </c>
      <c r="G4086" t="str">
        <f>"EUDES PIMENTA (368)"</f>
        <v>EUDES PIMENTA (368)</v>
      </c>
      <c r="H4086" t="s">
        <v>1165</v>
      </c>
      <c r="I4086" t="str">
        <f t="shared" si="753"/>
        <v>02/10/2025</v>
      </c>
      <c r="J4086" t="str">
        <f t="shared" si="759"/>
        <v>23/09/2025</v>
      </c>
      <c r="K4086">
        <v>45932</v>
      </c>
      <c r="N4086">
        <v>109</v>
      </c>
      <c r="O4086" t="s">
        <v>24</v>
      </c>
      <c r="Q4086">
        <v>1110</v>
      </c>
      <c r="R4086" t="str">
        <f>"FARMÁCIA INDIANA LJ 06 (10006)"</f>
        <v>FARMÁCIA INDIANA LJ 06 (10006)</v>
      </c>
      <c r="S4086" t="s">
        <v>77</v>
      </c>
      <c r="T4086">
        <v>18970</v>
      </c>
      <c r="U4086">
        <v>22335</v>
      </c>
      <c r="V4086" t="s">
        <v>77</v>
      </c>
    </row>
    <row r="4087" spans="1:22">
      <c r="A4087" t="str">
        <f t="shared" si="751"/>
        <v>02/10/2025</v>
      </c>
      <c r="B4087" t="str">
        <f t="shared" si="757"/>
        <v>SAÍDA</v>
      </c>
      <c r="C4087" t="str">
        <f t="shared" si="752"/>
        <v>PIX</v>
      </c>
      <c r="D4087" t="str">
        <f>"22334"</f>
        <v>22334</v>
      </c>
      <c r="E4087" t="str">
        <f t="shared" si="758"/>
        <v>1</v>
      </c>
      <c r="F4087" t="str">
        <f t="shared" si="760"/>
        <v>COM</v>
      </c>
      <c r="G4087" t="str">
        <f>"EDSON JUNIOR FERREIRA DA SILVA (99)"</f>
        <v>EDSON JUNIOR FERREIRA DA SILVA (99)</v>
      </c>
      <c r="H4087" t="str">
        <f>"Serv.Prest. 15/09/2025 a 21/09/2025 - PIX: CPF - CHAVE: 141.134.256-98"</f>
        <v>Serv.Prest. 15/09/2025 a 21/09/2025 - PIX: CPF - CHAVE: 141.134.256-98</v>
      </c>
      <c r="I4087" t="str">
        <f t="shared" si="753"/>
        <v>02/10/2025</v>
      </c>
      <c r="J4087" t="str">
        <f t="shared" si="759"/>
        <v>23/09/2025</v>
      </c>
      <c r="K4087" t="str">
        <f>("02/10/2025")</f>
        <v>02/10/2025</v>
      </c>
      <c r="L4087">
        <v>700.7</v>
      </c>
      <c r="M4087">
        <v>700.7</v>
      </c>
      <c r="N4087">
        <v>109</v>
      </c>
      <c r="O4087" t="str">
        <f>"PAGAMENTO DE ENTREGADORES"</f>
        <v>PAGAMENTO DE ENTREGADORES</v>
      </c>
      <c r="P4087">
        <v>700.7</v>
      </c>
      <c r="S4087" t="str">
        <f>"BANCO C6 (149)"</f>
        <v>BANCO C6 (149)</v>
      </c>
      <c r="T4087">
        <v>18971</v>
      </c>
      <c r="U4087">
        <v>22334</v>
      </c>
      <c r="V4087" t="s">
        <v>77</v>
      </c>
    </row>
    <row r="4088" spans="1:22">
      <c r="A4088" t="str">
        <f t="shared" si="751"/>
        <v>02/10/2025</v>
      </c>
      <c r="B4088" t="str">
        <f t="shared" si="757"/>
        <v>SAÍDA</v>
      </c>
      <c r="C4088" t="str">
        <f t="shared" si="752"/>
        <v>PIX</v>
      </c>
      <c r="D4088" t="str">
        <f>"22334"</f>
        <v>22334</v>
      </c>
      <c r="E4088" t="str">
        <f t="shared" si="758"/>
        <v>1</v>
      </c>
      <c r="F4088" t="str">
        <f t="shared" si="760"/>
        <v>COM</v>
      </c>
      <c r="G4088" t="str">
        <f>"EDSON JUNIOR FERREIRA DA SILVA (99)"</f>
        <v>EDSON JUNIOR FERREIRA DA SILVA (99)</v>
      </c>
      <c r="H4088" t="s">
        <v>1166</v>
      </c>
      <c r="I4088" t="str">
        <f t="shared" si="753"/>
        <v>02/10/2025</v>
      </c>
      <c r="J4088" t="str">
        <f t="shared" si="759"/>
        <v>23/09/2025</v>
      </c>
      <c r="K4088">
        <v>45932</v>
      </c>
      <c r="N4088">
        <v>109</v>
      </c>
      <c r="O4088" t="s">
        <v>24</v>
      </c>
      <c r="Q4088">
        <v>700.7</v>
      </c>
      <c r="R4088" t="str">
        <f>"FARMÁCIA INDIANA LJ 100 (10042)"</f>
        <v>FARMÁCIA INDIANA LJ 100 (10042)</v>
      </c>
      <c r="S4088" t="s">
        <v>77</v>
      </c>
      <c r="T4088">
        <v>18971</v>
      </c>
      <c r="U4088">
        <v>22334</v>
      </c>
      <c r="V4088" t="s">
        <v>77</v>
      </c>
    </row>
    <row r="4089" spans="1:22">
      <c r="A4089" t="str">
        <f t="shared" si="751"/>
        <v>02/10/2025</v>
      </c>
      <c r="B4089" t="str">
        <f t="shared" si="757"/>
        <v>SAÍDA</v>
      </c>
      <c r="C4089" t="str">
        <f t="shared" si="752"/>
        <v>PIX</v>
      </c>
      <c r="D4089" t="str">
        <f>"22333"</f>
        <v>22333</v>
      </c>
      <c r="E4089" t="str">
        <f t="shared" si="758"/>
        <v>1</v>
      </c>
      <c r="F4089" t="str">
        <f t="shared" si="760"/>
        <v>COM</v>
      </c>
      <c r="G4089" t="str">
        <f>"EDIONIO CARVALHO DA SILVA (920)"</f>
        <v>EDIONIO CARVALHO DA SILVA (920)</v>
      </c>
      <c r="H4089" t="str">
        <f>"Serv.Prest. 15/09/2025 a 21/09/2025 - PIX: CELULAR - CHAVE: (33) 99199-7983"</f>
        <v>Serv.Prest. 15/09/2025 a 21/09/2025 - PIX: CELULAR - CHAVE: (33) 99199-7983</v>
      </c>
      <c r="I4089" t="str">
        <f t="shared" si="753"/>
        <v>02/10/2025</v>
      </c>
      <c r="J4089" t="str">
        <f t="shared" si="759"/>
        <v>23/09/2025</v>
      </c>
      <c r="K4089" t="str">
        <f>("02/10/2025")</f>
        <v>02/10/2025</v>
      </c>
      <c r="L4089">
        <v>750</v>
      </c>
      <c r="M4089">
        <v>750</v>
      </c>
      <c r="N4089">
        <v>109</v>
      </c>
      <c r="O4089" t="str">
        <f>"PAGAMENTO DE ENTREGADORES"</f>
        <v>PAGAMENTO DE ENTREGADORES</v>
      </c>
      <c r="P4089">
        <v>750</v>
      </c>
      <c r="S4089" t="str">
        <f>"BANCO C6 (149)"</f>
        <v>BANCO C6 (149)</v>
      </c>
      <c r="T4089">
        <v>18972</v>
      </c>
      <c r="U4089">
        <v>22333</v>
      </c>
      <c r="V4089" t="s">
        <v>77</v>
      </c>
    </row>
    <row r="4090" spans="1:22">
      <c r="A4090" t="str">
        <f t="shared" si="751"/>
        <v>02/10/2025</v>
      </c>
      <c r="B4090" t="str">
        <f t="shared" si="757"/>
        <v>SAÍDA</v>
      </c>
      <c r="C4090" t="str">
        <f t="shared" si="752"/>
        <v>PIX</v>
      </c>
      <c r="D4090" t="str">
        <f>"22333"</f>
        <v>22333</v>
      </c>
      <c r="E4090" t="str">
        <f t="shared" si="758"/>
        <v>1</v>
      </c>
      <c r="F4090" t="str">
        <f t="shared" si="760"/>
        <v>COM</v>
      </c>
      <c r="G4090" t="str">
        <f>"EDIONIO CARVALHO DA SILVA (920)"</f>
        <v>EDIONIO CARVALHO DA SILVA (920)</v>
      </c>
      <c r="H4090" t="s">
        <v>1167</v>
      </c>
      <c r="I4090" t="str">
        <f t="shared" si="753"/>
        <v>02/10/2025</v>
      </c>
      <c r="J4090" t="str">
        <f t="shared" si="759"/>
        <v>23/09/2025</v>
      </c>
      <c r="K4090">
        <v>45932</v>
      </c>
      <c r="N4090">
        <v>109</v>
      </c>
      <c r="O4090" t="s">
        <v>24</v>
      </c>
      <c r="Q4090">
        <v>750</v>
      </c>
      <c r="R4090" t="str">
        <f>"FARMÁCIA INDIANA LJ 171 (10074)"</f>
        <v>FARMÁCIA INDIANA LJ 171 (10074)</v>
      </c>
      <c r="S4090" t="s">
        <v>77</v>
      </c>
      <c r="T4090">
        <v>18972</v>
      </c>
      <c r="U4090">
        <v>22333</v>
      </c>
      <c r="V4090" t="s">
        <v>77</v>
      </c>
    </row>
    <row r="4091" spans="1:22">
      <c r="A4091" t="str">
        <f t="shared" si="751"/>
        <v>02/10/2025</v>
      </c>
      <c r="B4091" t="str">
        <f t="shared" si="757"/>
        <v>SAÍDA</v>
      </c>
      <c r="C4091" t="str">
        <f t="shared" si="752"/>
        <v>PIX</v>
      </c>
      <c r="D4091" t="str">
        <f>"22332"</f>
        <v>22332</v>
      </c>
      <c r="E4091" t="str">
        <f t="shared" si="758"/>
        <v>1</v>
      </c>
      <c r="F4091" t="str">
        <f t="shared" si="760"/>
        <v>COM</v>
      </c>
      <c r="G4091" t="str">
        <f>"DIONE OLIVEIRA SILVA (214)"</f>
        <v>DIONE OLIVEIRA SILVA (214)</v>
      </c>
      <c r="H4091" t="str">
        <f>"Serv.Prest. 15/09/2025 a 21/09/2025 - PIX: CELULAR - CHAVE: (33) 98890-5095"</f>
        <v>Serv.Prest. 15/09/2025 a 21/09/2025 - PIX: CELULAR - CHAVE: (33) 98890-5095</v>
      </c>
      <c r="I4091" t="str">
        <f t="shared" si="753"/>
        <v>02/10/2025</v>
      </c>
      <c r="J4091" t="str">
        <f t="shared" si="759"/>
        <v>23/09/2025</v>
      </c>
      <c r="K4091" t="str">
        <f>("02/10/2025")</f>
        <v>02/10/2025</v>
      </c>
      <c r="L4091">
        <v>1614</v>
      </c>
      <c r="M4091">
        <v>1614</v>
      </c>
      <c r="N4091">
        <v>109</v>
      </c>
      <c r="O4091" t="str">
        <f>"PAGAMENTO DE ENTREGADORES"</f>
        <v>PAGAMENTO DE ENTREGADORES</v>
      </c>
      <c r="P4091">
        <v>1614</v>
      </c>
      <c r="S4091" t="str">
        <f>"BANCO C6 (149)"</f>
        <v>BANCO C6 (149)</v>
      </c>
      <c r="T4091">
        <v>18973</v>
      </c>
      <c r="U4091">
        <v>22332</v>
      </c>
      <c r="V4091" t="s">
        <v>77</v>
      </c>
    </row>
    <row r="4092" spans="1:22">
      <c r="A4092" t="str">
        <f t="shared" ref="A4092:A4155" si="761">("02/10/2025")</f>
        <v>02/10/2025</v>
      </c>
      <c r="B4092" t="str">
        <f t="shared" si="757"/>
        <v>SAÍDA</v>
      </c>
      <c r="C4092" t="str">
        <f t="shared" ref="C4092:C4155" si="762">"PIX"</f>
        <v>PIX</v>
      </c>
      <c r="D4092" t="str">
        <f>"22332"</f>
        <v>22332</v>
      </c>
      <c r="E4092" t="str">
        <f t="shared" si="758"/>
        <v>1</v>
      </c>
      <c r="F4092" t="str">
        <f t="shared" si="760"/>
        <v>COM</v>
      </c>
      <c r="G4092" t="str">
        <f>"DIONE OLIVEIRA SILVA (214)"</f>
        <v>DIONE OLIVEIRA SILVA (214)</v>
      </c>
      <c r="H4092" t="s">
        <v>1168</v>
      </c>
      <c r="I4092" t="str">
        <f t="shared" ref="I4092:I4155" si="763">("02/10/2025")</f>
        <v>02/10/2025</v>
      </c>
      <c r="J4092" t="str">
        <f t="shared" si="759"/>
        <v>23/09/2025</v>
      </c>
      <c r="K4092">
        <v>45932</v>
      </c>
      <c r="N4092">
        <v>109</v>
      </c>
      <c r="O4092" t="s">
        <v>24</v>
      </c>
      <c r="Q4092">
        <v>1614</v>
      </c>
      <c r="R4092" t="str">
        <f>"FARMÁCIA INDIANA LJ 14 (10009)"</f>
        <v>FARMÁCIA INDIANA LJ 14 (10009)</v>
      </c>
      <c r="S4092" t="s">
        <v>77</v>
      </c>
      <c r="T4092">
        <v>18973</v>
      </c>
      <c r="U4092">
        <v>22332</v>
      </c>
      <c r="V4092" t="s">
        <v>77</v>
      </c>
    </row>
    <row r="4093" spans="1:22">
      <c r="A4093" t="str">
        <f t="shared" si="761"/>
        <v>02/10/2025</v>
      </c>
      <c r="B4093" t="str">
        <f t="shared" si="757"/>
        <v>SAÍDA</v>
      </c>
      <c r="C4093" t="str">
        <f t="shared" si="762"/>
        <v>PIX</v>
      </c>
      <c r="D4093" t="str">
        <f>"22331"</f>
        <v>22331</v>
      </c>
      <c r="E4093" t="str">
        <f t="shared" si="758"/>
        <v>1</v>
      </c>
      <c r="F4093" t="str">
        <f t="shared" si="760"/>
        <v>COM</v>
      </c>
      <c r="G4093" t="str">
        <f>"DIEGO DIRLEY RIBEIRO (38)"</f>
        <v>DIEGO DIRLEY RIBEIRO (38)</v>
      </c>
      <c r="H4093" t="str">
        <f>"Serv.Prest. 15/09/2025 a 21/09/2025 - PIX: CPF - CHAVE: 102.023.716-38"</f>
        <v>Serv.Prest. 15/09/2025 a 21/09/2025 - PIX: CPF - CHAVE: 102.023.716-38</v>
      </c>
      <c r="I4093" t="str">
        <f t="shared" si="763"/>
        <v>02/10/2025</v>
      </c>
      <c r="J4093" t="str">
        <f t="shared" si="759"/>
        <v>23/09/2025</v>
      </c>
      <c r="K4093" t="str">
        <f>("02/10/2025")</f>
        <v>02/10/2025</v>
      </c>
      <c r="L4093">
        <v>1506</v>
      </c>
      <c r="M4093">
        <v>1506</v>
      </c>
      <c r="N4093">
        <v>109</v>
      </c>
      <c r="O4093" t="str">
        <f>"PAGAMENTO DE ENTREGADORES"</f>
        <v>PAGAMENTO DE ENTREGADORES</v>
      </c>
      <c r="P4093">
        <v>1506</v>
      </c>
      <c r="S4093" t="str">
        <f>"BANCO C6 (149)"</f>
        <v>BANCO C6 (149)</v>
      </c>
      <c r="T4093">
        <v>18974</v>
      </c>
      <c r="U4093">
        <v>22331</v>
      </c>
      <c r="V4093" t="s">
        <v>77</v>
      </c>
    </row>
    <row r="4094" spans="1:22">
      <c r="A4094" t="str">
        <f t="shared" si="761"/>
        <v>02/10/2025</v>
      </c>
      <c r="B4094" t="str">
        <f t="shared" ref="B4094:B4111" si="764">"SAÍDA"</f>
        <v>SAÍDA</v>
      </c>
      <c r="C4094" t="str">
        <f t="shared" si="762"/>
        <v>PIX</v>
      </c>
      <c r="D4094" t="str">
        <f>"22331"</f>
        <v>22331</v>
      </c>
      <c r="E4094" t="str">
        <f t="shared" si="758"/>
        <v>1</v>
      </c>
      <c r="F4094" t="str">
        <f t="shared" si="760"/>
        <v>COM</v>
      </c>
      <c r="G4094" t="str">
        <f>"DIEGO DIRLEY RIBEIRO (38)"</f>
        <v>DIEGO DIRLEY RIBEIRO (38)</v>
      </c>
      <c r="H4094" t="s">
        <v>1169</v>
      </c>
      <c r="I4094" t="str">
        <f t="shared" si="763"/>
        <v>02/10/2025</v>
      </c>
      <c r="J4094" t="str">
        <f t="shared" si="759"/>
        <v>23/09/2025</v>
      </c>
      <c r="K4094">
        <v>45932</v>
      </c>
      <c r="N4094">
        <v>109</v>
      </c>
      <c r="O4094" t="s">
        <v>24</v>
      </c>
      <c r="Q4094">
        <v>1506</v>
      </c>
      <c r="R4094" t="str">
        <f>"FARMÁCIA INDIANA LJ 172 (10161)"</f>
        <v>FARMÁCIA INDIANA LJ 172 (10161)</v>
      </c>
      <c r="S4094" t="s">
        <v>77</v>
      </c>
      <c r="T4094">
        <v>18974</v>
      </c>
      <c r="U4094">
        <v>22331</v>
      </c>
      <c r="V4094" t="s">
        <v>77</v>
      </c>
    </row>
    <row r="4095" spans="1:22">
      <c r="A4095" t="str">
        <f t="shared" si="761"/>
        <v>02/10/2025</v>
      </c>
      <c r="B4095" t="str">
        <f t="shared" si="764"/>
        <v>SAÍDA</v>
      </c>
      <c r="C4095" t="str">
        <f t="shared" si="762"/>
        <v>PIX</v>
      </c>
      <c r="D4095" t="str">
        <f>"22330"</f>
        <v>22330</v>
      </c>
      <c r="E4095" t="str">
        <f t="shared" si="758"/>
        <v>1</v>
      </c>
      <c r="F4095" t="str">
        <f t="shared" si="760"/>
        <v>COM</v>
      </c>
      <c r="G4095" t="str">
        <f>"DIEGO DAYSON FERNANDES VIEIRA (893)"</f>
        <v>DIEGO DAYSON FERNANDES VIEIRA (893)</v>
      </c>
      <c r="H4095" t="str">
        <f>"Serv.Prest. 15/09/2025 a 21/09/2025 - PIX: E-MAIL - CHAVE: turano296801@gmail.com"</f>
        <v>Serv.Prest. 15/09/2025 a 21/09/2025 - PIX: E-MAIL - CHAVE: turano296801@gmail.com</v>
      </c>
      <c r="I4095" t="str">
        <f t="shared" si="763"/>
        <v>02/10/2025</v>
      </c>
      <c r="J4095" t="str">
        <f t="shared" si="759"/>
        <v>23/09/2025</v>
      </c>
      <c r="K4095" t="str">
        <f>("02/10/2025")</f>
        <v>02/10/2025</v>
      </c>
      <c r="L4095">
        <v>800</v>
      </c>
      <c r="M4095">
        <v>800</v>
      </c>
      <c r="N4095">
        <v>109</v>
      </c>
      <c r="O4095" t="str">
        <f>"PAGAMENTO DE ENTREGADORES"</f>
        <v>PAGAMENTO DE ENTREGADORES</v>
      </c>
      <c r="P4095">
        <v>800</v>
      </c>
      <c r="S4095" t="str">
        <f>"BANCO C6 (149)"</f>
        <v>BANCO C6 (149)</v>
      </c>
      <c r="T4095">
        <v>18975</v>
      </c>
      <c r="U4095">
        <v>22330</v>
      </c>
      <c r="V4095" t="s">
        <v>77</v>
      </c>
    </row>
    <row r="4096" spans="1:22">
      <c r="A4096" t="str">
        <f t="shared" si="761"/>
        <v>02/10/2025</v>
      </c>
      <c r="B4096" t="str">
        <f t="shared" si="764"/>
        <v>SAÍDA</v>
      </c>
      <c r="C4096" t="str">
        <f t="shared" si="762"/>
        <v>PIX</v>
      </c>
      <c r="D4096" t="str">
        <f>"22330"</f>
        <v>22330</v>
      </c>
      <c r="E4096" t="str">
        <f t="shared" si="758"/>
        <v>1</v>
      </c>
      <c r="F4096" t="str">
        <f t="shared" si="760"/>
        <v>COM</v>
      </c>
      <c r="G4096" t="str">
        <f>"DIEGO DAYSON FERNANDES VIEIRA (893)"</f>
        <v>DIEGO DAYSON FERNANDES VIEIRA (893)</v>
      </c>
      <c r="H4096" t="s">
        <v>1170</v>
      </c>
      <c r="I4096" t="str">
        <f t="shared" si="763"/>
        <v>02/10/2025</v>
      </c>
      <c r="J4096" t="str">
        <f t="shared" si="759"/>
        <v>23/09/2025</v>
      </c>
      <c r="K4096">
        <v>45932</v>
      </c>
      <c r="N4096">
        <v>109</v>
      </c>
      <c r="O4096" t="s">
        <v>24</v>
      </c>
      <c r="Q4096">
        <v>800</v>
      </c>
      <c r="R4096" t="str">
        <f>"FARMÁCIA INDIANA LJ 205 (10150)"</f>
        <v>FARMÁCIA INDIANA LJ 205 (10150)</v>
      </c>
      <c r="S4096" t="s">
        <v>77</v>
      </c>
      <c r="T4096">
        <v>18975</v>
      </c>
      <c r="U4096">
        <v>22330</v>
      </c>
      <c r="V4096" t="s">
        <v>77</v>
      </c>
    </row>
    <row r="4097" spans="1:22">
      <c r="A4097" t="str">
        <f t="shared" si="761"/>
        <v>02/10/2025</v>
      </c>
      <c r="B4097" t="str">
        <f t="shared" si="764"/>
        <v>SAÍDA</v>
      </c>
      <c r="C4097" t="str">
        <f t="shared" si="762"/>
        <v>PIX</v>
      </c>
      <c r="D4097" t="str">
        <f>"22328"</f>
        <v>22328</v>
      </c>
      <c r="E4097" t="str">
        <f t="shared" ref="E4097:E4128" si="765">"1"</f>
        <v>1</v>
      </c>
      <c r="F4097" t="str">
        <f t="shared" si="760"/>
        <v>COM</v>
      </c>
      <c r="G4097" t="str">
        <f>"DEVANILDO PONTES CASAGRANDE (179)"</f>
        <v>DEVANILDO PONTES CASAGRANDE (179)</v>
      </c>
      <c r="H4097" t="str">
        <f>"Serv.Prest. 15/09/2025 a 21/09/2025 - PIX: CELULAR - CHAVE: (31) 99610-7049"</f>
        <v>Serv.Prest. 15/09/2025 a 21/09/2025 - PIX: CELULAR - CHAVE: (31) 99610-7049</v>
      </c>
      <c r="I4097" t="str">
        <f t="shared" si="763"/>
        <v>02/10/2025</v>
      </c>
      <c r="J4097" t="str">
        <f t="shared" si="759"/>
        <v>23/09/2025</v>
      </c>
      <c r="K4097" t="str">
        <f>("02/10/2025")</f>
        <v>02/10/2025</v>
      </c>
      <c r="L4097">
        <v>786</v>
      </c>
      <c r="M4097">
        <v>786</v>
      </c>
      <c r="N4097">
        <v>109</v>
      </c>
      <c r="O4097" t="str">
        <f>"PAGAMENTO DE ENTREGADORES"</f>
        <v>PAGAMENTO DE ENTREGADORES</v>
      </c>
      <c r="P4097">
        <v>786</v>
      </c>
      <c r="S4097" t="str">
        <f>"BANCO C6 (149)"</f>
        <v>BANCO C6 (149)</v>
      </c>
      <c r="T4097">
        <v>18976</v>
      </c>
      <c r="U4097">
        <v>22328</v>
      </c>
      <c r="V4097" t="s">
        <v>77</v>
      </c>
    </row>
    <row r="4098" spans="1:22">
      <c r="A4098" t="str">
        <f t="shared" si="761"/>
        <v>02/10/2025</v>
      </c>
      <c r="B4098" t="str">
        <f t="shared" si="764"/>
        <v>SAÍDA</v>
      </c>
      <c r="C4098" t="str">
        <f t="shared" si="762"/>
        <v>PIX</v>
      </c>
      <c r="D4098" t="str">
        <f>"22328"</f>
        <v>22328</v>
      </c>
      <c r="E4098" t="str">
        <f t="shared" si="765"/>
        <v>1</v>
      </c>
      <c r="F4098" t="str">
        <f t="shared" si="760"/>
        <v>COM</v>
      </c>
      <c r="G4098" t="str">
        <f>"DEVANILDO PONTES CASAGRANDE (179)"</f>
        <v>DEVANILDO PONTES CASAGRANDE (179)</v>
      </c>
      <c r="H4098" t="s">
        <v>1171</v>
      </c>
      <c r="I4098" t="str">
        <f t="shared" si="763"/>
        <v>02/10/2025</v>
      </c>
      <c r="J4098" t="str">
        <f t="shared" si="759"/>
        <v>23/09/2025</v>
      </c>
      <c r="K4098">
        <v>45932</v>
      </c>
      <c r="N4098">
        <v>109</v>
      </c>
      <c r="O4098" t="s">
        <v>24</v>
      </c>
      <c r="Q4098">
        <v>786</v>
      </c>
      <c r="R4098" t="str">
        <f>"FARMÁCIA INDIANA LJ 142 (10066)"</f>
        <v>FARMÁCIA INDIANA LJ 142 (10066)</v>
      </c>
      <c r="S4098" t="s">
        <v>77</v>
      </c>
      <c r="T4098">
        <v>18976</v>
      </c>
      <c r="U4098">
        <v>22328</v>
      </c>
      <c r="V4098" t="s">
        <v>77</v>
      </c>
    </row>
    <row r="4099" spans="1:22">
      <c r="A4099" t="str">
        <f t="shared" si="761"/>
        <v>02/10/2025</v>
      </c>
      <c r="B4099" t="str">
        <f t="shared" si="764"/>
        <v>SAÍDA</v>
      </c>
      <c r="C4099" t="str">
        <f t="shared" si="762"/>
        <v>PIX</v>
      </c>
      <c r="D4099" t="str">
        <f>"22327"</f>
        <v>22327</v>
      </c>
      <c r="E4099" t="str">
        <f t="shared" si="765"/>
        <v>1</v>
      </c>
      <c r="F4099" t="str">
        <f t="shared" si="760"/>
        <v>COM</v>
      </c>
      <c r="G4099" t="str">
        <f>"DANTE SOARES DA SILVA (416)"</f>
        <v>DANTE SOARES DA SILVA (416)</v>
      </c>
      <c r="H4099" t="str">
        <f>"Serv.Prest. 15/09/2025 a 21/09/2025 - PIX: CELULAR - CHAVE: (33) 99802-1883"</f>
        <v>Serv.Prest. 15/09/2025 a 21/09/2025 - PIX: CELULAR - CHAVE: (33) 99802-1883</v>
      </c>
      <c r="I4099" t="str">
        <f t="shared" si="763"/>
        <v>02/10/2025</v>
      </c>
      <c r="J4099" t="str">
        <f t="shared" si="759"/>
        <v>23/09/2025</v>
      </c>
      <c r="K4099" t="str">
        <f>("02/10/2025")</f>
        <v>02/10/2025</v>
      </c>
      <c r="L4099">
        <v>695.8</v>
      </c>
      <c r="M4099">
        <v>695.8</v>
      </c>
      <c r="N4099">
        <v>109</v>
      </c>
      <c r="O4099" t="str">
        <f>"PAGAMENTO DE ENTREGADORES"</f>
        <v>PAGAMENTO DE ENTREGADORES</v>
      </c>
      <c r="P4099">
        <v>695.8</v>
      </c>
      <c r="S4099" t="str">
        <f>"BANCO C6 (149)"</f>
        <v>BANCO C6 (149)</v>
      </c>
      <c r="T4099">
        <v>18977</v>
      </c>
      <c r="U4099">
        <v>22327</v>
      </c>
      <c r="V4099" t="s">
        <v>77</v>
      </c>
    </row>
    <row r="4100" spans="1:22">
      <c r="A4100" t="str">
        <f t="shared" si="761"/>
        <v>02/10/2025</v>
      </c>
      <c r="B4100" t="str">
        <f t="shared" si="764"/>
        <v>SAÍDA</v>
      </c>
      <c r="C4100" t="str">
        <f t="shared" si="762"/>
        <v>PIX</v>
      </c>
      <c r="D4100" t="str">
        <f>"22327"</f>
        <v>22327</v>
      </c>
      <c r="E4100" t="str">
        <f t="shared" si="765"/>
        <v>1</v>
      </c>
      <c r="F4100" t="str">
        <f t="shared" si="760"/>
        <v>COM</v>
      </c>
      <c r="G4100" t="str">
        <f>"DANTE SOARES DA SILVA (416)"</f>
        <v>DANTE SOARES DA SILVA (416)</v>
      </c>
      <c r="H4100" t="s">
        <v>1172</v>
      </c>
      <c r="I4100" t="str">
        <f t="shared" si="763"/>
        <v>02/10/2025</v>
      </c>
      <c r="J4100" t="str">
        <f t="shared" si="759"/>
        <v>23/09/2025</v>
      </c>
      <c r="K4100">
        <v>45932</v>
      </c>
      <c r="N4100">
        <v>109</v>
      </c>
      <c r="O4100" t="s">
        <v>24</v>
      </c>
      <c r="Q4100">
        <v>695.8</v>
      </c>
      <c r="R4100" t="str">
        <f>"FARMÁCIA INDIANA LJ 59 (10026)"</f>
        <v>FARMÁCIA INDIANA LJ 59 (10026)</v>
      </c>
      <c r="S4100" t="s">
        <v>77</v>
      </c>
      <c r="T4100">
        <v>18977</v>
      </c>
      <c r="U4100">
        <v>22327</v>
      </c>
      <c r="V4100" t="s">
        <v>77</v>
      </c>
    </row>
    <row r="4101" spans="1:22">
      <c r="A4101" t="str">
        <f t="shared" si="761"/>
        <v>02/10/2025</v>
      </c>
      <c r="B4101" t="str">
        <f t="shared" si="764"/>
        <v>SAÍDA</v>
      </c>
      <c r="C4101" t="str">
        <f t="shared" si="762"/>
        <v>PIX</v>
      </c>
      <c r="D4101" t="str">
        <f>"22326"</f>
        <v>22326</v>
      </c>
      <c r="E4101" t="str">
        <f t="shared" si="765"/>
        <v>1</v>
      </c>
      <c r="F4101" t="str">
        <f t="shared" si="760"/>
        <v>COM</v>
      </c>
      <c r="G4101" t="str">
        <f>"DANILO WASHINGTON DOS SANTOS (770)"</f>
        <v>DANILO WASHINGTON DOS SANTOS (770)</v>
      </c>
      <c r="H4101" t="str">
        <f>"Serv.Prest. 15/09/2025 a 21/09/2025 - PIX: CELULAR - CHAVE: (33) 98749-5105"</f>
        <v>Serv.Prest. 15/09/2025 a 21/09/2025 - PIX: CELULAR - CHAVE: (33) 98749-5105</v>
      </c>
      <c r="I4101" t="str">
        <f t="shared" si="763"/>
        <v>02/10/2025</v>
      </c>
      <c r="J4101" t="str">
        <f t="shared" ref="J4101:J4136" si="766">("23/09/2025")</f>
        <v>23/09/2025</v>
      </c>
      <c r="K4101" t="str">
        <f>("02/10/2025")</f>
        <v>02/10/2025</v>
      </c>
      <c r="L4101">
        <v>732</v>
      </c>
      <c r="M4101">
        <v>732</v>
      </c>
      <c r="N4101">
        <v>109</v>
      </c>
      <c r="O4101" t="str">
        <f>"PAGAMENTO DE ENTREGADORES"</f>
        <v>PAGAMENTO DE ENTREGADORES</v>
      </c>
      <c r="P4101">
        <v>732</v>
      </c>
      <c r="S4101" t="str">
        <f>"BANCO C6 (149)"</f>
        <v>BANCO C6 (149)</v>
      </c>
      <c r="T4101">
        <v>18978</v>
      </c>
      <c r="U4101">
        <v>22326</v>
      </c>
      <c r="V4101" t="s">
        <v>77</v>
      </c>
    </row>
    <row r="4102" spans="1:22">
      <c r="A4102" t="str">
        <f t="shared" si="761"/>
        <v>02/10/2025</v>
      </c>
      <c r="B4102" t="str">
        <f t="shared" si="764"/>
        <v>SAÍDA</v>
      </c>
      <c r="C4102" t="str">
        <f t="shared" si="762"/>
        <v>PIX</v>
      </c>
      <c r="D4102" t="str">
        <f>"22326"</f>
        <v>22326</v>
      </c>
      <c r="E4102" t="str">
        <f t="shared" si="765"/>
        <v>1</v>
      </c>
      <c r="F4102" t="str">
        <f t="shared" si="760"/>
        <v>COM</v>
      </c>
      <c r="G4102" t="str">
        <f>"DANILO WASHINGTON DOS SANTOS (770)"</f>
        <v>DANILO WASHINGTON DOS SANTOS (770)</v>
      </c>
      <c r="H4102" t="s">
        <v>1173</v>
      </c>
      <c r="I4102" t="str">
        <f t="shared" si="763"/>
        <v>02/10/2025</v>
      </c>
      <c r="J4102" t="str">
        <f t="shared" si="766"/>
        <v>23/09/2025</v>
      </c>
      <c r="K4102">
        <v>45932</v>
      </c>
      <c r="N4102">
        <v>109</v>
      </c>
      <c r="O4102" t="s">
        <v>24</v>
      </c>
      <c r="Q4102">
        <v>732</v>
      </c>
      <c r="R4102" t="str">
        <f>"FARMÁCIA INDIANA LJ 07 (10007)"</f>
        <v>FARMÁCIA INDIANA LJ 07 (10007)</v>
      </c>
      <c r="S4102" t="s">
        <v>77</v>
      </c>
      <c r="T4102">
        <v>18978</v>
      </c>
      <c r="U4102">
        <v>22326</v>
      </c>
      <c r="V4102" t="s">
        <v>77</v>
      </c>
    </row>
    <row r="4103" spans="1:22">
      <c r="A4103" t="str">
        <f t="shared" si="761"/>
        <v>02/10/2025</v>
      </c>
      <c r="B4103" t="str">
        <f t="shared" si="764"/>
        <v>SAÍDA</v>
      </c>
      <c r="C4103" t="str">
        <f t="shared" si="762"/>
        <v>PIX</v>
      </c>
      <c r="D4103" t="str">
        <f>"22325"</f>
        <v>22325</v>
      </c>
      <c r="E4103" t="str">
        <f t="shared" si="765"/>
        <v>1</v>
      </c>
      <c r="F4103" t="str">
        <f t="shared" si="760"/>
        <v>COM</v>
      </c>
      <c r="G4103" t="str">
        <f>"DAMÁSIO JOSÉ DO NASCIMENTO NETO (147)"</f>
        <v>DAMÁSIO JOSÉ DO NASCIMENTO NETO (147)</v>
      </c>
      <c r="H4103" t="str">
        <f>"Serv.Prest. 15/09/2025 a 21/09/2025 - PIX: CPF - CHAVE: 110.483.296-82"</f>
        <v>Serv.Prest. 15/09/2025 a 21/09/2025 - PIX: CPF - CHAVE: 110.483.296-82</v>
      </c>
      <c r="I4103" t="str">
        <f t="shared" si="763"/>
        <v>02/10/2025</v>
      </c>
      <c r="J4103" t="str">
        <f t="shared" si="766"/>
        <v>23/09/2025</v>
      </c>
      <c r="K4103" t="str">
        <f>("02/10/2025")</f>
        <v>02/10/2025</v>
      </c>
      <c r="L4103">
        <v>1278</v>
      </c>
      <c r="M4103">
        <v>1278</v>
      </c>
      <c r="N4103">
        <v>109</v>
      </c>
      <c r="O4103" t="str">
        <f>"PAGAMENTO DE ENTREGADORES"</f>
        <v>PAGAMENTO DE ENTREGADORES</v>
      </c>
      <c r="P4103">
        <v>1278</v>
      </c>
      <c r="S4103" t="str">
        <f>"BANCO C6 (149)"</f>
        <v>BANCO C6 (149)</v>
      </c>
      <c r="T4103">
        <v>18979</v>
      </c>
      <c r="U4103">
        <v>22325</v>
      </c>
      <c r="V4103" t="s">
        <v>77</v>
      </c>
    </row>
    <row r="4104" spans="1:22">
      <c r="A4104" t="str">
        <f t="shared" si="761"/>
        <v>02/10/2025</v>
      </c>
      <c r="B4104" t="str">
        <f t="shared" si="764"/>
        <v>SAÍDA</v>
      </c>
      <c r="C4104" t="str">
        <f t="shared" si="762"/>
        <v>PIX</v>
      </c>
      <c r="D4104" t="str">
        <f>"22325"</f>
        <v>22325</v>
      </c>
      <c r="E4104" t="str">
        <f t="shared" si="765"/>
        <v>1</v>
      </c>
      <c r="F4104" t="str">
        <f t="shared" si="760"/>
        <v>COM</v>
      </c>
      <c r="G4104" t="str">
        <f>"DAMÁSIO JOSÉ DO NASCIMENTO NETO (147)"</f>
        <v>DAMÁSIO JOSÉ DO NASCIMENTO NETO (147)</v>
      </c>
      <c r="H4104" t="s">
        <v>1174</v>
      </c>
      <c r="I4104" t="str">
        <f t="shared" si="763"/>
        <v>02/10/2025</v>
      </c>
      <c r="J4104" t="str">
        <f t="shared" si="766"/>
        <v>23/09/2025</v>
      </c>
      <c r="K4104">
        <v>45932</v>
      </c>
      <c r="N4104">
        <v>109</v>
      </c>
      <c r="O4104" t="s">
        <v>24</v>
      </c>
      <c r="Q4104">
        <v>1278</v>
      </c>
      <c r="R4104" t="str">
        <f>"FARMÁCIA INDIANA LJ 142 (10066)"</f>
        <v>FARMÁCIA INDIANA LJ 142 (10066)</v>
      </c>
      <c r="S4104" t="s">
        <v>77</v>
      </c>
      <c r="T4104">
        <v>18979</v>
      </c>
      <c r="U4104">
        <v>22325</v>
      </c>
      <c r="V4104" t="s">
        <v>77</v>
      </c>
    </row>
    <row r="4105" spans="1:22">
      <c r="A4105" t="str">
        <f t="shared" si="761"/>
        <v>02/10/2025</v>
      </c>
      <c r="B4105" t="str">
        <f t="shared" si="764"/>
        <v>SAÍDA</v>
      </c>
      <c r="C4105" t="str">
        <f t="shared" si="762"/>
        <v>PIX</v>
      </c>
      <c r="D4105" t="str">
        <f>"22324"</f>
        <v>22324</v>
      </c>
      <c r="E4105" t="str">
        <f t="shared" si="765"/>
        <v>1</v>
      </c>
      <c r="F4105" t="str">
        <f t="shared" si="760"/>
        <v>COM</v>
      </c>
      <c r="G4105" t="str">
        <f>"CRISTIANO XAVIER DA COSTA (269)"</f>
        <v>CRISTIANO XAVIER DA COSTA (269)</v>
      </c>
      <c r="H4105" t="str">
        <f>"Serv.Prest. 15/09/2025 a 21/09/2025 - PIX: CELULAR - CHAVE: (32) 99177-6167"</f>
        <v>Serv.Prest. 15/09/2025 a 21/09/2025 - PIX: CELULAR - CHAVE: (32) 99177-6167</v>
      </c>
      <c r="I4105" t="str">
        <f t="shared" si="763"/>
        <v>02/10/2025</v>
      </c>
      <c r="J4105" t="str">
        <f t="shared" si="766"/>
        <v>23/09/2025</v>
      </c>
      <c r="K4105" t="str">
        <f>("02/10/2025")</f>
        <v>02/10/2025</v>
      </c>
      <c r="L4105">
        <v>1740</v>
      </c>
      <c r="M4105">
        <v>1740</v>
      </c>
      <c r="N4105">
        <v>109</v>
      </c>
      <c r="O4105" t="str">
        <f>"PAGAMENTO DE ENTREGADORES"</f>
        <v>PAGAMENTO DE ENTREGADORES</v>
      </c>
      <c r="P4105">
        <v>1740</v>
      </c>
      <c r="S4105" t="str">
        <f>"BANCO C6 (149)"</f>
        <v>BANCO C6 (149)</v>
      </c>
      <c r="T4105">
        <v>18980</v>
      </c>
      <c r="U4105">
        <v>22324</v>
      </c>
      <c r="V4105" t="s">
        <v>77</v>
      </c>
    </row>
    <row r="4106" spans="1:22">
      <c r="A4106" t="str">
        <f t="shared" si="761"/>
        <v>02/10/2025</v>
      </c>
      <c r="B4106" t="str">
        <f t="shared" si="764"/>
        <v>SAÍDA</v>
      </c>
      <c r="C4106" t="str">
        <f t="shared" si="762"/>
        <v>PIX</v>
      </c>
      <c r="D4106" t="str">
        <f>"22324"</f>
        <v>22324</v>
      </c>
      <c r="E4106" t="str">
        <f t="shared" si="765"/>
        <v>1</v>
      </c>
      <c r="F4106" t="str">
        <f t="shared" si="760"/>
        <v>COM</v>
      </c>
      <c r="G4106" t="str">
        <f>"CRISTIANO XAVIER DA COSTA (269)"</f>
        <v>CRISTIANO XAVIER DA COSTA (269)</v>
      </c>
      <c r="H4106" t="s">
        <v>1175</v>
      </c>
      <c r="I4106" t="str">
        <f t="shared" si="763"/>
        <v>02/10/2025</v>
      </c>
      <c r="J4106" t="str">
        <f t="shared" si="766"/>
        <v>23/09/2025</v>
      </c>
      <c r="K4106">
        <v>45932</v>
      </c>
      <c r="N4106">
        <v>109</v>
      </c>
      <c r="O4106" t="s">
        <v>24</v>
      </c>
      <c r="Q4106">
        <v>794.83</v>
      </c>
      <c r="R4106" t="str">
        <f>"FARMÁCIA INDIANA LJ 207 (10088)"</f>
        <v>FARMÁCIA INDIANA LJ 207 (10088)</v>
      </c>
      <c r="S4106" t="s">
        <v>77</v>
      </c>
      <c r="T4106">
        <v>18980</v>
      </c>
      <c r="U4106">
        <v>22324</v>
      </c>
      <c r="V4106" t="s">
        <v>77</v>
      </c>
    </row>
    <row r="4107" spans="1:22">
      <c r="A4107" t="str">
        <f t="shared" si="761"/>
        <v>02/10/2025</v>
      </c>
      <c r="B4107" t="str">
        <f t="shared" si="764"/>
        <v>SAÍDA</v>
      </c>
      <c r="C4107" t="str">
        <f t="shared" si="762"/>
        <v>PIX</v>
      </c>
      <c r="D4107" t="str">
        <f>"22324"</f>
        <v>22324</v>
      </c>
      <c r="E4107" t="str">
        <f t="shared" si="765"/>
        <v>1</v>
      </c>
      <c r="F4107" t="str">
        <f t="shared" si="760"/>
        <v>COM</v>
      </c>
      <c r="G4107" t="str">
        <f>"CRISTIANO XAVIER DA COSTA (269)"</f>
        <v>CRISTIANO XAVIER DA COSTA (269)</v>
      </c>
      <c r="H4107" t="s">
        <v>1175</v>
      </c>
      <c r="I4107" t="str">
        <f t="shared" si="763"/>
        <v>02/10/2025</v>
      </c>
      <c r="J4107" t="str">
        <f t="shared" si="766"/>
        <v>23/09/2025</v>
      </c>
      <c r="K4107">
        <v>45932</v>
      </c>
      <c r="N4107">
        <v>109</v>
      </c>
      <c r="O4107" t="s">
        <v>24</v>
      </c>
      <c r="Q4107">
        <v>945.17</v>
      </c>
      <c r="R4107" t="str">
        <f>"FARMÁCIA INDIANA LJ 209 (10089)"</f>
        <v>FARMÁCIA INDIANA LJ 209 (10089)</v>
      </c>
      <c r="S4107" t="s">
        <v>77</v>
      </c>
      <c r="T4107">
        <v>18980</v>
      </c>
      <c r="U4107">
        <v>22324</v>
      </c>
      <c r="V4107" t="s">
        <v>77</v>
      </c>
    </row>
    <row r="4108" spans="1:22">
      <c r="A4108" t="str">
        <f t="shared" si="761"/>
        <v>02/10/2025</v>
      </c>
      <c r="B4108" t="str">
        <f t="shared" si="764"/>
        <v>SAÍDA</v>
      </c>
      <c r="C4108" t="str">
        <f t="shared" si="762"/>
        <v>PIX</v>
      </c>
      <c r="D4108" t="str">
        <f>"22323"</f>
        <v>22323</v>
      </c>
      <c r="E4108" t="str">
        <f t="shared" si="765"/>
        <v>1</v>
      </c>
      <c r="F4108" t="str">
        <f t="shared" si="760"/>
        <v>COM</v>
      </c>
      <c r="G4108" t="str">
        <f>"CLEIDIOMAR RIBEIRO FERREIRA (34)"</f>
        <v>CLEIDIOMAR RIBEIRO FERREIRA (34)</v>
      </c>
      <c r="H4108" t="str">
        <f>"Serv.Prest. 15/09/2025 a 21/09/2025 - PIX: CELULAR - CHAVE: (31) 98511-2851"</f>
        <v>Serv.Prest. 15/09/2025 a 21/09/2025 - PIX: CELULAR - CHAVE: (31) 98511-2851</v>
      </c>
      <c r="I4108" t="str">
        <f t="shared" si="763"/>
        <v>02/10/2025</v>
      </c>
      <c r="J4108" t="str">
        <f t="shared" si="766"/>
        <v>23/09/2025</v>
      </c>
      <c r="K4108" t="str">
        <f>("02/10/2025")</f>
        <v>02/10/2025</v>
      </c>
      <c r="L4108">
        <v>1416</v>
      </c>
      <c r="M4108">
        <v>1416</v>
      </c>
      <c r="N4108">
        <v>109</v>
      </c>
      <c r="O4108" t="str">
        <f>"PAGAMENTO DE ENTREGADORES"</f>
        <v>PAGAMENTO DE ENTREGADORES</v>
      </c>
      <c r="P4108">
        <v>1416</v>
      </c>
      <c r="S4108" t="str">
        <f>"BANCO C6 (149)"</f>
        <v>BANCO C6 (149)</v>
      </c>
      <c r="T4108">
        <v>18981</v>
      </c>
      <c r="U4108">
        <v>22323</v>
      </c>
      <c r="V4108" t="s">
        <v>77</v>
      </c>
    </row>
    <row r="4109" spans="1:22">
      <c r="A4109" t="str">
        <f t="shared" si="761"/>
        <v>02/10/2025</v>
      </c>
      <c r="B4109" t="str">
        <f t="shared" si="764"/>
        <v>SAÍDA</v>
      </c>
      <c r="C4109" t="str">
        <f t="shared" si="762"/>
        <v>PIX</v>
      </c>
      <c r="D4109" t="str">
        <f>"22323"</f>
        <v>22323</v>
      </c>
      <c r="E4109" t="str">
        <f t="shared" si="765"/>
        <v>1</v>
      </c>
      <c r="F4109" t="str">
        <f t="shared" si="760"/>
        <v>COM</v>
      </c>
      <c r="G4109" t="str">
        <f>"CLEIDIOMAR RIBEIRO FERREIRA (34)"</f>
        <v>CLEIDIOMAR RIBEIRO FERREIRA (34)</v>
      </c>
      <c r="H4109" t="s">
        <v>1176</v>
      </c>
      <c r="I4109" t="str">
        <f t="shared" si="763"/>
        <v>02/10/2025</v>
      </c>
      <c r="J4109" t="str">
        <f t="shared" si="766"/>
        <v>23/09/2025</v>
      </c>
      <c r="K4109">
        <v>45932</v>
      </c>
      <c r="N4109">
        <v>109</v>
      </c>
      <c r="O4109" t="s">
        <v>24</v>
      </c>
      <c r="Q4109">
        <v>1416</v>
      </c>
      <c r="R4109" t="str">
        <f>"FARMÁCIA INDIANA LJ 11 (10008)"</f>
        <v>FARMÁCIA INDIANA LJ 11 (10008)</v>
      </c>
      <c r="S4109" t="s">
        <v>77</v>
      </c>
      <c r="T4109">
        <v>18981</v>
      </c>
      <c r="U4109">
        <v>22323</v>
      </c>
      <c r="V4109" t="s">
        <v>77</v>
      </c>
    </row>
    <row r="4110" spans="1:22">
      <c r="A4110" t="str">
        <f t="shared" si="761"/>
        <v>02/10/2025</v>
      </c>
      <c r="B4110" t="str">
        <f t="shared" si="764"/>
        <v>SAÍDA</v>
      </c>
      <c r="C4110" t="str">
        <f t="shared" si="762"/>
        <v>PIX</v>
      </c>
      <c r="D4110" t="str">
        <f>"22322"</f>
        <v>22322</v>
      </c>
      <c r="E4110" t="str">
        <f t="shared" si="765"/>
        <v>1</v>
      </c>
      <c r="F4110" t="str">
        <f t="shared" si="760"/>
        <v>COM</v>
      </c>
      <c r="G4110" t="str">
        <f>"CELIO JOSÉ RIBEIRO (189)"</f>
        <v>CELIO JOSÉ RIBEIRO (189)</v>
      </c>
      <c r="H4110" t="str">
        <f>"Serv.Prest. 15/09/2025 a 21/09/2025 - PIX: CELULAR - CHAVE: (33) 98845-4528"</f>
        <v>Serv.Prest. 15/09/2025 a 21/09/2025 - PIX: CELULAR - CHAVE: (33) 98845-4528</v>
      </c>
      <c r="I4110" t="str">
        <f t="shared" si="763"/>
        <v>02/10/2025</v>
      </c>
      <c r="J4110" t="str">
        <f t="shared" si="766"/>
        <v>23/09/2025</v>
      </c>
      <c r="K4110" t="str">
        <f>("02/10/2025")</f>
        <v>02/10/2025</v>
      </c>
      <c r="L4110">
        <v>1092</v>
      </c>
      <c r="M4110">
        <v>1092</v>
      </c>
      <c r="N4110">
        <v>109</v>
      </c>
      <c r="O4110" t="str">
        <f>"PAGAMENTO DE ENTREGADORES"</f>
        <v>PAGAMENTO DE ENTREGADORES</v>
      </c>
      <c r="P4110">
        <v>1092</v>
      </c>
      <c r="S4110" t="str">
        <f>"BANCO C6 (149)"</f>
        <v>BANCO C6 (149)</v>
      </c>
      <c r="T4110">
        <v>18982</v>
      </c>
      <c r="U4110">
        <v>22322</v>
      </c>
      <c r="V4110" t="s">
        <v>77</v>
      </c>
    </row>
    <row r="4111" spans="1:22">
      <c r="A4111" t="str">
        <f t="shared" si="761"/>
        <v>02/10/2025</v>
      </c>
      <c r="B4111" t="str">
        <f t="shared" si="764"/>
        <v>SAÍDA</v>
      </c>
      <c r="C4111" t="str">
        <f t="shared" si="762"/>
        <v>PIX</v>
      </c>
      <c r="D4111" t="str">
        <f>"22322"</f>
        <v>22322</v>
      </c>
      <c r="E4111" t="str">
        <f t="shared" si="765"/>
        <v>1</v>
      </c>
      <c r="F4111" t="str">
        <f t="shared" si="760"/>
        <v>COM</v>
      </c>
      <c r="G4111" t="str">
        <f>"CELIO JOSÉ RIBEIRO (189)"</f>
        <v>CELIO JOSÉ RIBEIRO (189)</v>
      </c>
      <c r="H4111" t="s">
        <v>1177</v>
      </c>
      <c r="I4111" t="str">
        <f t="shared" si="763"/>
        <v>02/10/2025</v>
      </c>
      <c r="J4111" t="str">
        <f t="shared" si="766"/>
        <v>23/09/2025</v>
      </c>
      <c r="K4111">
        <v>45932</v>
      </c>
      <c r="N4111">
        <v>109</v>
      </c>
      <c r="O4111" t="s">
        <v>24</v>
      </c>
      <c r="Q4111">
        <v>1092</v>
      </c>
      <c r="R4111" t="str">
        <f>"FARMÁCIA INDIANA LJ 06 (10006)"</f>
        <v>FARMÁCIA INDIANA LJ 06 (10006)</v>
      </c>
      <c r="S4111" t="s">
        <v>77</v>
      </c>
      <c r="T4111">
        <v>18982</v>
      </c>
      <c r="U4111">
        <v>22322</v>
      </c>
      <c r="V4111" t="s">
        <v>77</v>
      </c>
    </row>
    <row r="4112" spans="1:22">
      <c r="A4112" t="str">
        <f t="shared" si="761"/>
        <v>02/10/2025</v>
      </c>
      <c r="B4112" t="str">
        <f>"ENTRADA"</f>
        <v>ENTRADA</v>
      </c>
      <c r="C4112" t="str">
        <f t="shared" si="762"/>
        <v>PIX</v>
      </c>
      <c r="D4112" t="str">
        <f>"22321"</f>
        <v>22321</v>
      </c>
      <c r="E4112" t="str">
        <f t="shared" si="765"/>
        <v>1</v>
      </c>
      <c r="F4112" t="str">
        <f t="shared" si="760"/>
        <v>COM</v>
      </c>
      <c r="G4112" t="str">
        <f>"CARLOS ROBERTO BADARÓ MACHADO (78)"</f>
        <v>CARLOS ROBERTO BADARÓ MACHADO (78)</v>
      </c>
      <c r="H4112" t="str">
        <f>"DESC DE BAG, UNIFORME, PLANOS Serv.Prest. 15/09/2025 a 21/09/2025 - PIX: CELULAR - CHAVE: (32) 99166-8238"</f>
        <v>DESC DE BAG, UNIFORME, PLANOS Serv.Prest. 15/09/2025 a 21/09/2025 - PIX: CELULAR - CHAVE: (32) 99166-8238</v>
      </c>
      <c r="I4112" t="str">
        <f t="shared" si="763"/>
        <v>02/10/2025</v>
      </c>
      <c r="J4112" t="str">
        <f t="shared" si="766"/>
        <v>23/09/2025</v>
      </c>
      <c r="K4112" t="str">
        <f>("02/10/2025")</f>
        <v>02/10/2025</v>
      </c>
      <c r="N4112">
        <v>108</v>
      </c>
      <c r="O4112" t="str">
        <f>"RECEITAS COM REEMBOLSOS"</f>
        <v>RECEITAS COM REEMBOLSOS</v>
      </c>
      <c r="P4112">
        <v>30</v>
      </c>
      <c r="S4112" t="str">
        <f>"BANCO C6 (149)"</f>
        <v>BANCO C6 (149)</v>
      </c>
      <c r="T4112">
        <v>18983</v>
      </c>
      <c r="U4112">
        <v>22321</v>
      </c>
      <c r="V4112" t="s">
        <v>77</v>
      </c>
    </row>
    <row r="4113" spans="1:22">
      <c r="A4113" t="str">
        <f t="shared" si="761"/>
        <v>02/10/2025</v>
      </c>
      <c r="B4113" t="str">
        <f t="shared" ref="B4113:B4148" si="767">"SAÍDA"</f>
        <v>SAÍDA</v>
      </c>
      <c r="C4113" t="str">
        <f t="shared" si="762"/>
        <v>PIX</v>
      </c>
      <c r="D4113" t="str">
        <f>"22321"</f>
        <v>22321</v>
      </c>
      <c r="E4113" t="str">
        <f t="shared" si="765"/>
        <v>1</v>
      </c>
      <c r="F4113" t="str">
        <f t="shared" si="760"/>
        <v>COM</v>
      </c>
      <c r="G4113" t="str">
        <f>"CARLOS ROBERTO BADARÓ MACHADO (78)"</f>
        <v>CARLOS ROBERTO BADARÓ MACHADO (78)</v>
      </c>
      <c r="H4113" t="str">
        <f>"Serv.Prest. 15/09/2025 a 21/09/2025 - PIX: CELULAR - CHAVE: (32) 99166-8238"</f>
        <v>Serv.Prest. 15/09/2025 a 21/09/2025 - PIX: CELULAR - CHAVE: (32) 99166-8238</v>
      </c>
      <c r="I4113" t="str">
        <f t="shared" si="763"/>
        <v>02/10/2025</v>
      </c>
      <c r="J4113" t="str">
        <f t="shared" si="766"/>
        <v>23/09/2025</v>
      </c>
      <c r="K4113" t="str">
        <f>("02/10/2025")</f>
        <v>02/10/2025</v>
      </c>
      <c r="L4113">
        <v>1512</v>
      </c>
      <c r="M4113">
        <v>1482</v>
      </c>
      <c r="N4113">
        <v>109</v>
      </c>
      <c r="O4113" t="str">
        <f>"PAGAMENTO DE ENTREGADORES"</f>
        <v>PAGAMENTO DE ENTREGADORES</v>
      </c>
      <c r="P4113">
        <v>1512</v>
      </c>
      <c r="S4113" t="str">
        <f>"BANCO C6 (149)"</f>
        <v>BANCO C6 (149)</v>
      </c>
      <c r="T4113">
        <v>18983</v>
      </c>
      <c r="U4113">
        <v>22321</v>
      </c>
      <c r="V4113" t="s">
        <v>77</v>
      </c>
    </row>
    <row r="4114" spans="1:22">
      <c r="A4114" t="str">
        <f t="shared" si="761"/>
        <v>02/10/2025</v>
      </c>
      <c r="B4114" t="str">
        <f t="shared" si="767"/>
        <v>SAÍDA</v>
      </c>
      <c r="C4114" t="str">
        <f t="shared" si="762"/>
        <v>PIX</v>
      </c>
      <c r="D4114" t="str">
        <f>"22321"</f>
        <v>22321</v>
      </c>
      <c r="E4114" t="str">
        <f t="shared" si="765"/>
        <v>1</v>
      </c>
      <c r="F4114" t="str">
        <f t="shared" si="760"/>
        <v>COM</v>
      </c>
      <c r="G4114" t="str">
        <f>"CARLOS ROBERTO BADARÓ MACHADO (78)"</f>
        <v>CARLOS ROBERTO BADARÓ MACHADO (78)</v>
      </c>
      <c r="H4114" t="s">
        <v>1178</v>
      </c>
      <c r="I4114" t="str">
        <f t="shared" si="763"/>
        <v>02/10/2025</v>
      </c>
      <c r="J4114" t="str">
        <f t="shared" si="766"/>
        <v>23/09/2025</v>
      </c>
      <c r="K4114">
        <v>45932</v>
      </c>
      <c r="N4114">
        <v>108</v>
      </c>
      <c r="O4114" t="s">
        <v>54</v>
      </c>
      <c r="Q4114">
        <v>1482</v>
      </c>
      <c r="R4114" t="str">
        <f>"FARMÁCIA INDIANA LJ 109 (10047)"</f>
        <v>FARMÁCIA INDIANA LJ 109 (10047)</v>
      </c>
      <c r="S4114" t="s">
        <v>77</v>
      </c>
      <c r="T4114">
        <v>18983</v>
      </c>
      <c r="U4114">
        <v>22321</v>
      </c>
      <c r="V4114" t="s">
        <v>77</v>
      </c>
    </row>
    <row r="4115" spans="1:22">
      <c r="A4115" t="str">
        <f t="shared" si="761"/>
        <v>02/10/2025</v>
      </c>
      <c r="B4115" t="str">
        <f t="shared" si="767"/>
        <v>SAÍDA</v>
      </c>
      <c r="C4115" t="str">
        <f t="shared" si="762"/>
        <v>PIX</v>
      </c>
      <c r="D4115" t="str">
        <f>"22320"</f>
        <v>22320</v>
      </c>
      <c r="E4115" t="str">
        <f t="shared" si="765"/>
        <v>1</v>
      </c>
      <c r="F4115" t="str">
        <f t="shared" si="760"/>
        <v>COM</v>
      </c>
      <c r="G4115" t="str">
        <f>"BRUNO WAGNER DE CARVALHO OLIVEIRA (84)"</f>
        <v>BRUNO WAGNER DE CARVALHO OLIVEIRA (84)</v>
      </c>
      <c r="H4115" t="str">
        <f>"Serv.Prest. 15/09/2025 a 21/09/2025 - PIX: CELULAR - CHAVE: (32) 98896-0708"</f>
        <v>Serv.Prest. 15/09/2025 a 21/09/2025 - PIX: CELULAR - CHAVE: (32) 98896-0708</v>
      </c>
      <c r="I4115" t="str">
        <f t="shared" si="763"/>
        <v>02/10/2025</v>
      </c>
      <c r="J4115" t="str">
        <f t="shared" si="766"/>
        <v>23/09/2025</v>
      </c>
      <c r="K4115" t="str">
        <f>("02/10/2025")</f>
        <v>02/10/2025</v>
      </c>
      <c r="L4115">
        <v>700</v>
      </c>
      <c r="M4115">
        <v>700</v>
      </c>
      <c r="N4115">
        <v>109</v>
      </c>
      <c r="O4115" t="str">
        <f>"PAGAMENTO DE ENTREGADORES"</f>
        <v>PAGAMENTO DE ENTREGADORES</v>
      </c>
      <c r="P4115">
        <v>700</v>
      </c>
      <c r="S4115" t="str">
        <f>"BANCO C6 (149)"</f>
        <v>BANCO C6 (149)</v>
      </c>
      <c r="T4115">
        <v>18984</v>
      </c>
      <c r="U4115">
        <v>22320</v>
      </c>
      <c r="V4115" t="s">
        <v>77</v>
      </c>
    </row>
    <row r="4116" spans="1:22">
      <c r="A4116" t="str">
        <f t="shared" si="761"/>
        <v>02/10/2025</v>
      </c>
      <c r="B4116" t="str">
        <f t="shared" si="767"/>
        <v>SAÍDA</v>
      </c>
      <c r="C4116" t="str">
        <f t="shared" si="762"/>
        <v>PIX</v>
      </c>
      <c r="D4116" t="str">
        <f>"22320"</f>
        <v>22320</v>
      </c>
      <c r="E4116" t="str">
        <f t="shared" si="765"/>
        <v>1</v>
      </c>
      <c r="F4116" t="str">
        <f t="shared" si="760"/>
        <v>COM</v>
      </c>
      <c r="G4116" t="str">
        <f>"BRUNO WAGNER DE CARVALHO OLIVEIRA (84)"</f>
        <v>BRUNO WAGNER DE CARVALHO OLIVEIRA (84)</v>
      </c>
      <c r="H4116" t="s">
        <v>1179</v>
      </c>
      <c r="I4116" t="str">
        <f t="shared" si="763"/>
        <v>02/10/2025</v>
      </c>
      <c r="J4116" t="str">
        <f t="shared" si="766"/>
        <v>23/09/2025</v>
      </c>
      <c r="K4116">
        <v>45932</v>
      </c>
      <c r="N4116">
        <v>109</v>
      </c>
      <c r="O4116" t="s">
        <v>24</v>
      </c>
      <c r="Q4116">
        <v>67.34</v>
      </c>
      <c r="R4116" t="str">
        <f>"FARMÁCIA INDIANA LJ 182 (10079)"</f>
        <v>FARMÁCIA INDIANA LJ 182 (10079)</v>
      </c>
      <c r="S4116" t="s">
        <v>77</v>
      </c>
      <c r="T4116">
        <v>18984</v>
      </c>
      <c r="U4116">
        <v>22320</v>
      </c>
      <c r="V4116" t="s">
        <v>77</v>
      </c>
    </row>
    <row r="4117" spans="1:22">
      <c r="A4117" t="str">
        <f t="shared" si="761"/>
        <v>02/10/2025</v>
      </c>
      <c r="B4117" t="str">
        <f t="shared" si="767"/>
        <v>SAÍDA</v>
      </c>
      <c r="C4117" t="str">
        <f t="shared" si="762"/>
        <v>PIX</v>
      </c>
      <c r="D4117" t="str">
        <f>"22320"</f>
        <v>22320</v>
      </c>
      <c r="E4117" t="str">
        <f t="shared" si="765"/>
        <v>1</v>
      </c>
      <c r="F4117" t="str">
        <f t="shared" si="760"/>
        <v>COM</v>
      </c>
      <c r="G4117" t="str">
        <f>"BRUNO WAGNER DE CARVALHO OLIVEIRA (84)"</f>
        <v>BRUNO WAGNER DE CARVALHO OLIVEIRA (84)</v>
      </c>
      <c r="H4117" t="s">
        <v>1179</v>
      </c>
      <c r="I4117" t="str">
        <f t="shared" si="763"/>
        <v>02/10/2025</v>
      </c>
      <c r="J4117" t="str">
        <f t="shared" si="766"/>
        <v>23/09/2025</v>
      </c>
      <c r="K4117">
        <v>45932</v>
      </c>
      <c r="N4117">
        <v>109</v>
      </c>
      <c r="O4117" t="s">
        <v>24</v>
      </c>
      <c r="Q4117">
        <v>632.66</v>
      </c>
      <c r="R4117" t="str">
        <f>"FARMÁCIA INDIANA LJ 186 (10081)"</f>
        <v>FARMÁCIA INDIANA LJ 186 (10081)</v>
      </c>
      <c r="S4117" t="s">
        <v>77</v>
      </c>
      <c r="T4117">
        <v>18984</v>
      </c>
      <c r="U4117">
        <v>22320</v>
      </c>
      <c r="V4117" t="s">
        <v>77</v>
      </c>
    </row>
    <row r="4118" spans="1:22">
      <c r="A4118" t="str">
        <f t="shared" si="761"/>
        <v>02/10/2025</v>
      </c>
      <c r="B4118" t="str">
        <f t="shared" si="767"/>
        <v>SAÍDA</v>
      </c>
      <c r="C4118" t="str">
        <f t="shared" si="762"/>
        <v>PIX</v>
      </c>
      <c r="D4118" t="str">
        <f>"22319"</f>
        <v>22319</v>
      </c>
      <c r="E4118" t="str">
        <f t="shared" si="765"/>
        <v>1</v>
      </c>
      <c r="F4118" t="str">
        <f t="shared" si="760"/>
        <v>COM</v>
      </c>
      <c r="G4118" t="str">
        <f>"BRUNO DOS SANTOS MACHADO (702)"</f>
        <v>BRUNO DOS SANTOS MACHADO (702)</v>
      </c>
      <c r="H4118" t="str">
        <f>"Serv.Prest. 15/09/2025 a 21/09/2025 - PIX: CPF - CHAVE: 155.328.666-94"</f>
        <v>Serv.Prest. 15/09/2025 a 21/09/2025 - PIX: CPF - CHAVE: 155.328.666-94</v>
      </c>
      <c r="I4118" t="str">
        <f t="shared" si="763"/>
        <v>02/10/2025</v>
      </c>
      <c r="J4118" t="str">
        <f t="shared" si="766"/>
        <v>23/09/2025</v>
      </c>
      <c r="K4118" t="str">
        <f>("02/10/2025")</f>
        <v>02/10/2025</v>
      </c>
      <c r="L4118">
        <v>1200</v>
      </c>
      <c r="M4118">
        <v>1200</v>
      </c>
      <c r="N4118">
        <v>109</v>
      </c>
      <c r="O4118" t="str">
        <f>"PAGAMENTO DE ENTREGADORES"</f>
        <v>PAGAMENTO DE ENTREGADORES</v>
      </c>
      <c r="P4118">
        <v>1200</v>
      </c>
      <c r="S4118" t="str">
        <f>"BANCO C6 (149)"</f>
        <v>BANCO C6 (149)</v>
      </c>
      <c r="T4118">
        <v>18985</v>
      </c>
      <c r="U4118">
        <v>22319</v>
      </c>
      <c r="V4118" t="s">
        <v>77</v>
      </c>
    </row>
    <row r="4119" spans="1:22">
      <c r="A4119" t="str">
        <f t="shared" si="761"/>
        <v>02/10/2025</v>
      </c>
      <c r="B4119" t="str">
        <f t="shared" si="767"/>
        <v>SAÍDA</v>
      </c>
      <c r="C4119" t="str">
        <f t="shared" si="762"/>
        <v>PIX</v>
      </c>
      <c r="D4119" t="str">
        <f>"22319"</f>
        <v>22319</v>
      </c>
      <c r="E4119" t="str">
        <f t="shared" si="765"/>
        <v>1</v>
      </c>
      <c r="F4119" t="str">
        <f t="shared" si="760"/>
        <v>COM</v>
      </c>
      <c r="G4119" t="str">
        <f>"BRUNO DOS SANTOS MACHADO (702)"</f>
        <v>BRUNO DOS SANTOS MACHADO (702)</v>
      </c>
      <c r="H4119" t="s">
        <v>1180</v>
      </c>
      <c r="I4119" t="str">
        <f t="shared" si="763"/>
        <v>02/10/2025</v>
      </c>
      <c r="J4119" t="str">
        <f t="shared" si="766"/>
        <v>23/09/2025</v>
      </c>
      <c r="K4119">
        <v>45932</v>
      </c>
      <c r="N4119">
        <v>109</v>
      </c>
      <c r="O4119" t="s">
        <v>24</v>
      </c>
      <c r="Q4119">
        <v>600</v>
      </c>
      <c r="R4119" t="str">
        <f>"FARMÁCIA INDIANA LJ 204 (10087)"</f>
        <v>FARMÁCIA INDIANA LJ 204 (10087)</v>
      </c>
      <c r="S4119" t="s">
        <v>77</v>
      </c>
      <c r="T4119">
        <v>18985</v>
      </c>
      <c r="U4119">
        <v>22319</v>
      </c>
      <c r="V4119" t="s">
        <v>77</v>
      </c>
    </row>
    <row r="4120" spans="1:22">
      <c r="A4120" t="str">
        <f t="shared" si="761"/>
        <v>02/10/2025</v>
      </c>
      <c r="B4120" t="str">
        <f t="shared" si="767"/>
        <v>SAÍDA</v>
      </c>
      <c r="C4120" t="str">
        <f t="shared" si="762"/>
        <v>PIX</v>
      </c>
      <c r="D4120" t="str">
        <f>"22319"</f>
        <v>22319</v>
      </c>
      <c r="E4120" t="str">
        <f t="shared" si="765"/>
        <v>1</v>
      </c>
      <c r="F4120" t="str">
        <f t="shared" si="760"/>
        <v>COM</v>
      </c>
      <c r="G4120" t="str">
        <f>"BRUNO DOS SANTOS MACHADO (702)"</f>
        <v>BRUNO DOS SANTOS MACHADO (702)</v>
      </c>
      <c r="H4120" t="s">
        <v>1180</v>
      </c>
      <c r="I4120" t="str">
        <f t="shared" si="763"/>
        <v>02/10/2025</v>
      </c>
      <c r="J4120" t="str">
        <f t="shared" si="766"/>
        <v>23/09/2025</v>
      </c>
      <c r="K4120">
        <v>45932</v>
      </c>
      <c r="N4120">
        <v>109</v>
      </c>
      <c r="O4120" t="s">
        <v>24</v>
      </c>
      <c r="Q4120">
        <v>600</v>
      </c>
      <c r="R4120" t="str">
        <f>"FARMÁCIA INDIANA LJ 266 (10186)"</f>
        <v>FARMÁCIA INDIANA LJ 266 (10186)</v>
      </c>
      <c r="S4120" t="s">
        <v>77</v>
      </c>
      <c r="T4120">
        <v>18985</v>
      </c>
      <c r="U4120">
        <v>22319</v>
      </c>
      <c r="V4120" t="s">
        <v>77</v>
      </c>
    </row>
    <row r="4121" spans="1:22">
      <c r="A4121" t="str">
        <f t="shared" si="761"/>
        <v>02/10/2025</v>
      </c>
      <c r="B4121" t="str">
        <f t="shared" si="767"/>
        <v>SAÍDA</v>
      </c>
      <c r="C4121" t="str">
        <f t="shared" si="762"/>
        <v>PIX</v>
      </c>
      <c r="D4121" t="str">
        <f>"22318"</f>
        <v>22318</v>
      </c>
      <c r="E4121" t="str">
        <f t="shared" si="765"/>
        <v>1</v>
      </c>
      <c r="F4121" t="str">
        <f t="shared" si="760"/>
        <v>COM</v>
      </c>
      <c r="G4121" t="str">
        <f>"BRUNO BARBOSA DE MATOS (82)"</f>
        <v>BRUNO BARBOSA DE MATOS (82)</v>
      </c>
      <c r="H4121" t="str">
        <f>"Serv.Prest. 15/09/2025 a 21/09/2025 - PIX: CPF - CHAVE: 137.446.146-62"</f>
        <v>Serv.Prest. 15/09/2025 a 21/09/2025 - PIX: CPF - CHAVE: 137.446.146-62</v>
      </c>
      <c r="I4121" t="str">
        <f t="shared" si="763"/>
        <v>02/10/2025</v>
      </c>
      <c r="J4121" t="str">
        <f t="shared" si="766"/>
        <v>23/09/2025</v>
      </c>
      <c r="K4121" t="str">
        <f>("02/10/2025")</f>
        <v>02/10/2025</v>
      </c>
      <c r="L4121">
        <v>1242</v>
      </c>
      <c r="M4121">
        <v>1242</v>
      </c>
      <c r="N4121">
        <v>109</v>
      </c>
      <c r="O4121" t="str">
        <f>"PAGAMENTO DE ENTREGADORES"</f>
        <v>PAGAMENTO DE ENTREGADORES</v>
      </c>
      <c r="P4121">
        <v>1242</v>
      </c>
      <c r="S4121" t="str">
        <f>"BANCO C6 (149)"</f>
        <v>BANCO C6 (149)</v>
      </c>
      <c r="T4121">
        <v>18986</v>
      </c>
      <c r="U4121">
        <v>22318</v>
      </c>
      <c r="V4121" t="s">
        <v>77</v>
      </c>
    </row>
    <row r="4122" spans="1:22">
      <c r="A4122" t="str">
        <f t="shared" si="761"/>
        <v>02/10/2025</v>
      </c>
      <c r="B4122" t="str">
        <f t="shared" si="767"/>
        <v>SAÍDA</v>
      </c>
      <c r="C4122" t="str">
        <f t="shared" si="762"/>
        <v>PIX</v>
      </c>
      <c r="D4122" t="str">
        <f>"22318"</f>
        <v>22318</v>
      </c>
      <c r="E4122" t="str">
        <f t="shared" si="765"/>
        <v>1</v>
      </c>
      <c r="F4122" t="str">
        <f t="shared" si="760"/>
        <v>COM</v>
      </c>
      <c r="G4122" t="str">
        <f>"BRUNO BARBOSA DE MATOS (82)"</f>
        <v>BRUNO BARBOSA DE MATOS (82)</v>
      </c>
      <c r="H4122" t="s">
        <v>1181</v>
      </c>
      <c r="I4122" t="str">
        <f t="shared" si="763"/>
        <v>02/10/2025</v>
      </c>
      <c r="J4122" t="str">
        <f t="shared" si="766"/>
        <v>23/09/2025</v>
      </c>
      <c r="K4122">
        <v>45932</v>
      </c>
      <c r="N4122">
        <v>109</v>
      </c>
      <c r="O4122" t="s">
        <v>24</v>
      </c>
      <c r="Q4122">
        <v>1242</v>
      </c>
      <c r="R4122" t="str">
        <f>"FARMÁCIA INDIANA LJ 152 (10069)"</f>
        <v>FARMÁCIA INDIANA LJ 152 (10069)</v>
      </c>
      <c r="S4122" t="s">
        <v>77</v>
      </c>
      <c r="T4122">
        <v>18986</v>
      </c>
      <c r="U4122">
        <v>22318</v>
      </c>
      <c r="V4122" t="s">
        <v>77</v>
      </c>
    </row>
    <row r="4123" spans="1:22">
      <c r="A4123" t="str">
        <f t="shared" si="761"/>
        <v>02/10/2025</v>
      </c>
      <c r="B4123" t="str">
        <f t="shared" si="767"/>
        <v>SAÍDA</v>
      </c>
      <c r="C4123" t="str">
        <f t="shared" si="762"/>
        <v>PIX</v>
      </c>
      <c r="D4123" t="str">
        <f>"22316"</f>
        <v>22316</v>
      </c>
      <c r="E4123" t="str">
        <f t="shared" si="765"/>
        <v>1</v>
      </c>
      <c r="F4123" t="str">
        <f t="shared" si="760"/>
        <v>COM</v>
      </c>
      <c r="G4123" t="str">
        <f>"ARLINDO JOSE MARTINS (909)"</f>
        <v>ARLINDO JOSE MARTINS (909)</v>
      </c>
      <c r="H4123" t="str">
        <f>"Serv.Prest. 15/09/2025 a 21/09/2025 - PIX: CPF - CHAVE: 037.192.076-09"</f>
        <v>Serv.Prest. 15/09/2025 a 21/09/2025 - PIX: CPF - CHAVE: 037.192.076-09</v>
      </c>
      <c r="I4123" t="str">
        <f t="shared" si="763"/>
        <v>02/10/2025</v>
      </c>
      <c r="J4123" t="str">
        <f t="shared" si="766"/>
        <v>23/09/2025</v>
      </c>
      <c r="K4123" t="str">
        <f>("02/10/2025")</f>
        <v>02/10/2025</v>
      </c>
      <c r="L4123">
        <v>803</v>
      </c>
      <c r="M4123">
        <v>803</v>
      </c>
      <c r="N4123">
        <v>109</v>
      </c>
      <c r="O4123" t="str">
        <f>"PAGAMENTO DE ENTREGADORES"</f>
        <v>PAGAMENTO DE ENTREGADORES</v>
      </c>
      <c r="P4123">
        <v>803</v>
      </c>
      <c r="S4123" t="str">
        <f>"BANCO C6 (149)"</f>
        <v>BANCO C6 (149)</v>
      </c>
      <c r="T4123">
        <v>18987</v>
      </c>
      <c r="U4123">
        <v>22316</v>
      </c>
      <c r="V4123" t="s">
        <v>77</v>
      </c>
    </row>
    <row r="4124" spans="1:22">
      <c r="A4124" t="str">
        <f t="shared" si="761"/>
        <v>02/10/2025</v>
      </c>
      <c r="B4124" t="str">
        <f t="shared" si="767"/>
        <v>SAÍDA</v>
      </c>
      <c r="C4124" t="str">
        <f t="shared" si="762"/>
        <v>PIX</v>
      </c>
      <c r="D4124" t="str">
        <f>"22316"</f>
        <v>22316</v>
      </c>
      <c r="E4124" t="str">
        <f t="shared" si="765"/>
        <v>1</v>
      </c>
      <c r="F4124" t="str">
        <f t="shared" si="760"/>
        <v>COM</v>
      </c>
      <c r="G4124" t="str">
        <f>"ARLINDO JOSE MARTINS (909)"</f>
        <v>ARLINDO JOSE MARTINS (909)</v>
      </c>
      <c r="H4124" t="s">
        <v>1182</v>
      </c>
      <c r="I4124" t="str">
        <f t="shared" si="763"/>
        <v>02/10/2025</v>
      </c>
      <c r="J4124" t="str">
        <f t="shared" si="766"/>
        <v>23/09/2025</v>
      </c>
      <c r="K4124">
        <v>45932</v>
      </c>
      <c r="N4124">
        <v>109</v>
      </c>
      <c r="O4124" t="s">
        <v>24</v>
      </c>
      <c r="Q4124">
        <v>803</v>
      </c>
      <c r="R4124" t="str">
        <f>"FARMÁCIA INDIANA LJ 185 (10141)"</f>
        <v>FARMÁCIA INDIANA LJ 185 (10141)</v>
      </c>
      <c r="S4124" t="s">
        <v>77</v>
      </c>
      <c r="T4124">
        <v>18987</v>
      </c>
      <c r="U4124">
        <v>22316</v>
      </c>
      <c r="V4124" t="s">
        <v>77</v>
      </c>
    </row>
    <row r="4125" spans="1:22">
      <c r="A4125" t="str">
        <f t="shared" si="761"/>
        <v>02/10/2025</v>
      </c>
      <c r="B4125" t="str">
        <f t="shared" si="767"/>
        <v>SAÍDA</v>
      </c>
      <c r="C4125" t="str">
        <f t="shared" si="762"/>
        <v>PIX</v>
      </c>
      <c r="D4125" t="str">
        <f>"22315"</f>
        <v>22315</v>
      </c>
      <c r="E4125" t="str">
        <f t="shared" si="765"/>
        <v>1</v>
      </c>
      <c r="F4125" t="str">
        <f t="shared" si="760"/>
        <v>COM</v>
      </c>
      <c r="G4125" t="str">
        <f>"ANISSO ANIDAL DE PAULA (161)"</f>
        <v>ANISSO ANIDAL DE PAULA (161)</v>
      </c>
      <c r="H4125" t="str">
        <f>"Serv.Prest. 15/09/2025 a 21/09/2025 - PIX: E-MAIL - CHAVE: anissoanidaldepaula@gmail.com"</f>
        <v>Serv.Prest. 15/09/2025 a 21/09/2025 - PIX: E-MAIL - CHAVE: anissoanidaldepaula@gmail.com</v>
      </c>
      <c r="I4125" t="str">
        <f t="shared" si="763"/>
        <v>02/10/2025</v>
      </c>
      <c r="J4125" t="str">
        <f t="shared" si="766"/>
        <v>23/09/2025</v>
      </c>
      <c r="K4125" t="str">
        <f>("02/10/2025")</f>
        <v>02/10/2025</v>
      </c>
      <c r="L4125">
        <v>954</v>
      </c>
      <c r="M4125">
        <v>954</v>
      </c>
      <c r="N4125">
        <v>109</v>
      </c>
      <c r="O4125" t="str">
        <f>"PAGAMENTO DE ENTREGADORES"</f>
        <v>PAGAMENTO DE ENTREGADORES</v>
      </c>
      <c r="P4125">
        <v>954</v>
      </c>
      <c r="S4125" t="str">
        <f>"BANCO C6 (149)"</f>
        <v>BANCO C6 (149)</v>
      </c>
      <c r="T4125">
        <v>18988</v>
      </c>
      <c r="U4125">
        <v>22315</v>
      </c>
      <c r="V4125" t="s">
        <v>77</v>
      </c>
    </row>
    <row r="4126" spans="1:22">
      <c r="A4126" t="str">
        <f t="shared" si="761"/>
        <v>02/10/2025</v>
      </c>
      <c r="B4126" t="str">
        <f t="shared" si="767"/>
        <v>SAÍDA</v>
      </c>
      <c r="C4126" t="str">
        <f t="shared" si="762"/>
        <v>PIX</v>
      </c>
      <c r="D4126" t="str">
        <f>"22315"</f>
        <v>22315</v>
      </c>
      <c r="E4126" t="str">
        <f t="shared" si="765"/>
        <v>1</v>
      </c>
      <c r="F4126" t="str">
        <f t="shared" si="760"/>
        <v>COM</v>
      </c>
      <c r="G4126" t="str">
        <f>"ANISSO ANIDAL DE PAULA (161)"</f>
        <v>ANISSO ANIDAL DE PAULA (161)</v>
      </c>
      <c r="H4126" t="s">
        <v>1183</v>
      </c>
      <c r="I4126" t="str">
        <f t="shared" si="763"/>
        <v>02/10/2025</v>
      </c>
      <c r="J4126" t="str">
        <f t="shared" si="766"/>
        <v>23/09/2025</v>
      </c>
      <c r="K4126">
        <v>45932</v>
      </c>
      <c r="N4126">
        <v>109</v>
      </c>
      <c r="O4126" t="s">
        <v>24</v>
      </c>
      <c r="Q4126">
        <v>833.99</v>
      </c>
      <c r="R4126" t="str">
        <f>"FARMÁCIA INDIANA LJ 18 (10011)"</f>
        <v>FARMÁCIA INDIANA LJ 18 (10011)</v>
      </c>
      <c r="S4126" t="s">
        <v>77</v>
      </c>
      <c r="T4126">
        <v>18988</v>
      </c>
      <c r="U4126">
        <v>22315</v>
      </c>
      <c r="V4126" t="s">
        <v>77</v>
      </c>
    </row>
    <row r="4127" spans="1:22">
      <c r="A4127" t="str">
        <f t="shared" si="761"/>
        <v>02/10/2025</v>
      </c>
      <c r="B4127" t="str">
        <f t="shared" si="767"/>
        <v>SAÍDA</v>
      </c>
      <c r="C4127" t="str">
        <f t="shared" si="762"/>
        <v>PIX</v>
      </c>
      <c r="D4127" t="str">
        <f>"22315"</f>
        <v>22315</v>
      </c>
      <c r="E4127" t="str">
        <f t="shared" si="765"/>
        <v>1</v>
      </c>
      <c r="F4127" t="str">
        <f t="shared" si="760"/>
        <v>COM</v>
      </c>
      <c r="G4127" t="str">
        <f>"ANISSO ANIDAL DE PAULA (161)"</f>
        <v>ANISSO ANIDAL DE PAULA (161)</v>
      </c>
      <c r="H4127" t="s">
        <v>1183</v>
      </c>
      <c r="I4127" t="str">
        <f t="shared" si="763"/>
        <v>02/10/2025</v>
      </c>
      <c r="J4127" t="str">
        <f t="shared" si="766"/>
        <v>23/09/2025</v>
      </c>
      <c r="K4127">
        <v>45932</v>
      </c>
      <c r="N4127">
        <v>109</v>
      </c>
      <c r="O4127" t="s">
        <v>24</v>
      </c>
      <c r="Q4127">
        <v>120.01</v>
      </c>
      <c r="R4127" t="str">
        <f>"FARMÁCIA INDIANA LJ 19 (10012)"</f>
        <v>FARMÁCIA INDIANA LJ 19 (10012)</v>
      </c>
      <c r="S4127" t="s">
        <v>77</v>
      </c>
      <c r="T4127">
        <v>18988</v>
      </c>
      <c r="U4127">
        <v>22315</v>
      </c>
      <c r="V4127" t="s">
        <v>77</v>
      </c>
    </row>
    <row r="4128" spans="1:22">
      <c r="A4128" t="str">
        <f t="shared" si="761"/>
        <v>02/10/2025</v>
      </c>
      <c r="B4128" t="str">
        <f t="shared" si="767"/>
        <v>SAÍDA</v>
      </c>
      <c r="C4128" t="str">
        <f t="shared" si="762"/>
        <v>PIX</v>
      </c>
      <c r="D4128" t="str">
        <f>"22314"</f>
        <v>22314</v>
      </c>
      <c r="E4128" t="str">
        <f t="shared" si="765"/>
        <v>1</v>
      </c>
      <c r="F4128" t="str">
        <f t="shared" si="760"/>
        <v>COM</v>
      </c>
      <c r="G4128" t="str">
        <f>"AMANDA VERÍSSIMO FERREIRA (794)"</f>
        <v>AMANDA VERÍSSIMO FERREIRA (794)</v>
      </c>
      <c r="H4128" t="str">
        <f>"Serv.Prest. 15/09/2025 a 21/09/2025 - PIX: CPF - CHAVE: 099.626.666-60"</f>
        <v>Serv.Prest. 15/09/2025 a 21/09/2025 - PIX: CPF - CHAVE: 099.626.666-60</v>
      </c>
      <c r="I4128" t="str">
        <f t="shared" si="763"/>
        <v>02/10/2025</v>
      </c>
      <c r="J4128" t="str">
        <f t="shared" si="766"/>
        <v>23/09/2025</v>
      </c>
      <c r="K4128" t="str">
        <f>("02/10/2025")</f>
        <v>02/10/2025</v>
      </c>
      <c r="L4128">
        <v>750</v>
      </c>
      <c r="M4128">
        <v>750</v>
      </c>
      <c r="N4128">
        <v>109</v>
      </c>
      <c r="O4128" t="str">
        <f>"PAGAMENTO DE ENTREGADORES"</f>
        <v>PAGAMENTO DE ENTREGADORES</v>
      </c>
      <c r="P4128">
        <v>750</v>
      </c>
      <c r="S4128" t="str">
        <f>"BANCO C6 (149)"</f>
        <v>BANCO C6 (149)</v>
      </c>
      <c r="T4128">
        <v>18989</v>
      </c>
      <c r="U4128">
        <v>22314</v>
      </c>
      <c r="V4128" t="s">
        <v>77</v>
      </c>
    </row>
    <row r="4129" spans="1:22">
      <c r="A4129" t="str">
        <f t="shared" si="761"/>
        <v>02/10/2025</v>
      </c>
      <c r="B4129" t="str">
        <f t="shared" si="767"/>
        <v>SAÍDA</v>
      </c>
      <c r="C4129" t="str">
        <f t="shared" si="762"/>
        <v>PIX</v>
      </c>
      <c r="D4129" t="str">
        <f>"22314"</f>
        <v>22314</v>
      </c>
      <c r="E4129" t="str">
        <f t="shared" ref="E4129:E4136" si="768">"1"</f>
        <v>1</v>
      </c>
      <c r="F4129" t="str">
        <f t="shared" si="760"/>
        <v>COM</v>
      </c>
      <c r="G4129" t="str">
        <f>"AMANDA VERÍSSIMO FERREIRA (794)"</f>
        <v>AMANDA VERÍSSIMO FERREIRA (794)</v>
      </c>
      <c r="H4129" t="s">
        <v>1184</v>
      </c>
      <c r="I4129" t="str">
        <f t="shared" si="763"/>
        <v>02/10/2025</v>
      </c>
      <c r="J4129" t="str">
        <f t="shared" si="766"/>
        <v>23/09/2025</v>
      </c>
      <c r="K4129">
        <v>45932</v>
      </c>
      <c r="N4129">
        <v>109</v>
      </c>
      <c r="O4129" t="s">
        <v>24</v>
      </c>
      <c r="Q4129">
        <v>45.45</v>
      </c>
      <c r="R4129" t="str">
        <f>"FARMÁCIA INDIANA LJ 97 (10040)"</f>
        <v>FARMÁCIA INDIANA LJ 97 (10040)</v>
      </c>
      <c r="S4129" t="s">
        <v>77</v>
      </c>
      <c r="T4129">
        <v>18989</v>
      </c>
      <c r="U4129">
        <v>22314</v>
      </c>
      <c r="V4129" t="s">
        <v>77</v>
      </c>
    </row>
    <row r="4130" spans="1:22">
      <c r="A4130" t="str">
        <f t="shared" si="761"/>
        <v>02/10/2025</v>
      </c>
      <c r="B4130" t="str">
        <f t="shared" si="767"/>
        <v>SAÍDA</v>
      </c>
      <c r="C4130" t="str">
        <f t="shared" si="762"/>
        <v>PIX</v>
      </c>
      <c r="D4130" t="str">
        <f>"22314"</f>
        <v>22314</v>
      </c>
      <c r="E4130" t="str">
        <f t="shared" si="768"/>
        <v>1</v>
      </c>
      <c r="F4130" t="str">
        <f t="shared" si="760"/>
        <v>COM</v>
      </c>
      <c r="G4130" t="str">
        <f>"AMANDA VERÍSSIMO FERREIRA (794)"</f>
        <v>AMANDA VERÍSSIMO FERREIRA (794)</v>
      </c>
      <c r="H4130" t="s">
        <v>1184</v>
      </c>
      <c r="I4130" t="str">
        <f t="shared" si="763"/>
        <v>02/10/2025</v>
      </c>
      <c r="J4130" t="str">
        <f t="shared" si="766"/>
        <v>23/09/2025</v>
      </c>
      <c r="K4130">
        <v>45932</v>
      </c>
      <c r="N4130">
        <v>109</v>
      </c>
      <c r="O4130" t="s">
        <v>24</v>
      </c>
      <c r="Q4130">
        <v>477.3</v>
      </c>
      <c r="R4130" t="str">
        <f>"FARMÁCIA INDIANA LJ 111 (10049)"</f>
        <v>FARMÁCIA INDIANA LJ 111 (10049)</v>
      </c>
      <c r="S4130" t="s">
        <v>77</v>
      </c>
      <c r="T4130">
        <v>18989</v>
      </c>
      <c r="U4130">
        <v>22314</v>
      </c>
      <c r="V4130" t="s">
        <v>77</v>
      </c>
    </row>
    <row r="4131" spans="1:22">
      <c r="A4131" t="str">
        <f t="shared" si="761"/>
        <v>02/10/2025</v>
      </c>
      <c r="B4131" t="str">
        <f t="shared" si="767"/>
        <v>SAÍDA</v>
      </c>
      <c r="C4131" t="str">
        <f t="shared" si="762"/>
        <v>PIX</v>
      </c>
      <c r="D4131" t="str">
        <f>"22314"</f>
        <v>22314</v>
      </c>
      <c r="E4131" t="str">
        <f t="shared" si="768"/>
        <v>1</v>
      </c>
      <c r="F4131" t="str">
        <f t="shared" si="760"/>
        <v>COM</v>
      </c>
      <c r="G4131" t="str">
        <f>"AMANDA VERÍSSIMO FERREIRA (794)"</f>
        <v>AMANDA VERÍSSIMO FERREIRA (794)</v>
      </c>
      <c r="H4131" t="s">
        <v>1184</v>
      </c>
      <c r="I4131" t="str">
        <f t="shared" si="763"/>
        <v>02/10/2025</v>
      </c>
      <c r="J4131" t="str">
        <f t="shared" si="766"/>
        <v>23/09/2025</v>
      </c>
      <c r="K4131">
        <v>45932</v>
      </c>
      <c r="N4131">
        <v>109</v>
      </c>
      <c r="O4131" t="s">
        <v>24</v>
      </c>
      <c r="Q4131">
        <v>227.25</v>
      </c>
      <c r="R4131" t="str">
        <f>"FARMÁCIA INDIANA LJ 143 (10067)"</f>
        <v>FARMÁCIA INDIANA LJ 143 (10067)</v>
      </c>
      <c r="S4131" t="s">
        <v>77</v>
      </c>
      <c r="T4131">
        <v>18989</v>
      </c>
      <c r="U4131">
        <v>22314</v>
      </c>
      <c r="V4131" t="s">
        <v>77</v>
      </c>
    </row>
    <row r="4132" spans="1:22">
      <c r="A4132" t="str">
        <f t="shared" si="761"/>
        <v>02/10/2025</v>
      </c>
      <c r="B4132" t="str">
        <f t="shared" si="767"/>
        <v>SAÍDA</v>
      </c>
      <c r="C4132" t="str">
        <f t="shared" si="762"/>
        <v>PIX</v>
      </c>
      <c r="D4132" t="str">
        <f>"22313"</f>
        <v>22313</v>
      </c>
      <c r="E4132" t="str">
        <f t="shared" si="768"/>
        <v>1</v>
      </c>
      <c r="F4132" t="str">
        <f t="shared" si="760"/>
        <v>COM</v>
      </c>
      <c r="G4132" t="str">
        <f>"ALISSON FELIPE GODINHO (219)"</f>
        <v>ALISSON FELIPE GODINHO (219)</v>
      </c>
      <c r="H4132" t="str">
        <f>"Serv.Prest. 15/09/2025 a 21/09/2025 - PIX: CELULAR - CHAVE: (33) 99877-0415"</f>
        <v>Serv.Prest. 15/09/2025 a 21/09/2025 - PIX: CELULAR - CHAVE: (33) 99877-0415</v>
      </c>
      <c r="I4132" t="str">
        <f t="shared" si="763"/>
        <v>02/10/2025</v>
      </c>
      <c r="J4132" t="str">
        <f t="shared" si="766"/>
        <v>23/09/2025</v>
      </c>
      <c r="K4132" t="str">
        <f>("02/10/2025")</f>
        <v>02/10/2025</v>
      </c>
      <c r="L4132">
        <v>1770</v>
      </c>
      <c r="M4132">
        <v>1770</v>
      </c>
      <c r="N4132">
        <v>109</v>
      </c>
      <c r="O4132" t="str">
        <f>"PAGAMENTO DE ENTREGADORES"</f>
        <v>PAGAMENTO DE ENTREGADORES</v>
      </c>
      <c r="P4132">
        <v>1770</v>
      </c>
      <c r="S4132" t="str">
        <f>"BANCO C6 (149)"</f>
        <v>BANCO C6 (149)</v>
      </c>
      <c r="T4132">
        <v>18990</v>
      </c>
      <c r="U4132">
        <v>22313</v>
      </c>
      <c r="V4132" t="s">
        <v>77</v>
      </c>
    </row>
    <row r="4133" spans="1:22">
      <c r="A4133" t="str">
        <f t="shared" si="761"/>
        <v>02/10/2025</v>
      </c>
      <c r="B4133" t="str">
        <f t="shared" si="767"/>
        <v>SAÍDA</v>
      </c>
      <c r="C4133" t="str">
        <f t="shared" si="762"/>
        <v>PIX</v>
      </c>
      <c r="D4133" t="str">
        <f>"22313"</f>
        <v>22313</v>
      </c>
      <c r="E4133" t="str">
        <f t="shared" si="768"/>
        <v>1</v>
      </c>
      <c r="F4133" t="str">
        <f t="shared" si="760"/>
        <v>COM</v>
      </c>
      <c r="G4133" t="str">
        <f>"ALISSON FELIPE GODINHO (219)"</f>
        <v>ALISSON FELIPE GODINHO (219)</v>
      </c>
      <c r="H4133" t="s">
        <v>1185</v>
      </c>
      <c r="I4133" t="str">
        <f t="shared" si="763"/>
        <v>02/10/2025</v>
      </c>
      <c r="J4133" t="str">
        <f t="shared" si="766"/>
        <v>23/09/2025</v>
      </c>
      <c r="K4133">
        <v>45932</v>
      </c>
      <c r="N4133">
        <v>109</v>
      </c>
      <c r="O4133" t="s">
        <v>24</v>
      </c>
      <c r="Q4133">
        <v>1770</v>
      </c>
      <c r="R4133" t="str">
        <f>"FARMÁCIA INDIANA LJ 14 (10009)"</f>
        <v>FARMÁCIA INDIANA LJ 14 (10009)</v>
      </c>
      <c r="S4133" t="s">
        <v>77</v>
      </c>
      <c r="T4133">
        <v>18990</v>
      </c>
      <c r="U4133">
        <v>22313</v>
      </c>
      <c r="V4133" t="s">
        <v>77</v>
      </c>
    </row>
    <row r="4134" spans="1:22">
      <c r="A4134" t="str">
        <f t="shared" si="761"/>
        <v>02/10/2025</v>
      </c>
      <c r="B4134" t="str">
        <f t="shared" si="767"/>
        <v>SAÍDA</v>
      </c>
      <c r="C4134" t="str">
        <f t="shared" si="762"/>
        <v>PIX</v>
      </c>
      <c r="D4134" t="str">
        <f>"22312"</f>
        <v>22312</v>
      </c>
      <c r="E4134" t="str">
        <f t="shared" si="768"/>
        <v>1</v>
      </c>
      <c r="F4134" t="str">
        <f t="shared" si="760"/>
        <v>COM</v>
      </c>
      <c r="G4134" t="str">
        <f>"ADRYAN NUNES MARTINS (857)"</f>
        <v>ADRYAN NUNES MARTINS (857)</v>
      </c>
      <c r="H4134" t="str">
        <f>"Serv.Prest. 15/09/2025 a 21/09/2025 - PIX: CPF - CHAVE: 021.178.446-00"</f>
        <v>Serv.Prest. 15/09/2025 a 21/09/2025 - PIX: CPF - CHAVE: 021.178.446-00</v>
      </c>
      <c r="I4134" t="str">
        <f t="shared" si="763"/>
        <v>02/10/2025</v>
      </c>
      <c r="J4134" t="str">
        <f t="shared" si="766"/>
        <v>23/09/2025</v>
      </c>
      <c r="K4134" t="str">
        <f>("02/10/2025")</f>
        <v>02/10/2025</v>
      </c>
      <c r="L4134">
        <v>700.8</v>
      </c>
      <c r="M4134">
        <v>700.8</v>
      </c>
      <c r="N4134">
        <v>109</v>
      </c>
      <c r="O4134" t="str">
        <f>"PAGAMENTO DE ENTREGADORES"</f>
        <v>PAGAMENTO DE ENTREGADORES</v>
      </c>
      <c r="P4134">
        <v>700.8</v>
      </c>
      <c r="S4134" t="str">
        <f>"BANCO C6 (149)"</f>
        <v>BANCO C6 (149)</v>
      </c>
      <c r="T4134">
        <v>18991</v>
      </c>
      <c r="U4134">
        <v>22312</v>
      </c>
      <c r="V4134" t="s">
        <v>77</v>
      </c>
    </row>
    <row r="4135" spans="1:22">
      <c r="A4135" t="str">
        <f t="shared" si="761"/>
        <v>02/10/2025</v>
      </c>
      <c r="B4135" t="str">
        <f t="shared" si="767"/>
        <v>SAÍDA</v>
      </c>
      <c r="C4135" t="str">
        <f t="shared" si="762"/>
        <v>PIX</v>
      </c>
      <c r="D4135" t="str">
        <f>"22312"</f>
        <v>22312</v>
      </c>
      <c r="E4135" t="str">
        <f t="shared" si="768"/>
        <v>1</v>
      </c>
      <c r="F4135" t="str">
        <f t="shared" si="760"/>
        <v>COM</v>
      </c>
      <c r="G4135" t="str">
        <f>"ADRYAN NUNES MARTINS (857)"</f>
        <v>ADRYAN NUNES MARTINS (857)</v>
      </c>
      <c r="H4135" t="s">
        <v>1186</v>
      </c>
      <c r="I4135" t="str">
        <f t="shared" si="763"/>
        <v>02/10/2025</v>
      </c>
      <c r="J4135" t="str">
        <f t="shared" si="766"/>
        <v>23/09/2025</v>
      </c>
      <c r="K4135">
        <v>45932</v>
      </c>
      <c r="N4135">
        <v>109</v>
      </c>
      <c r="O4135" t="s">
        <v>24</v>
      </c>
      <c r="Q4135">
        <v>431.27</v>
      </c>
      <c r="R4135" t="str">
        <f>"FARMÁCIA INDIANA LJ 112 (10050)"</f>
        <v>FARMÁCIA INDIANA LJ 112 (10050)</v>
      </c>
      <c r="S4135" t="s">
        <v>77</v>
      </c>
      <c r="T4135">
        <v>18991</v>
      </c>
      <c r="U4135">
        <v>22312</v>
      </c>
      <c r="V4135" t="s">
        <v>77</v>
      </c>
    </row>
    <row r="4136" spans="1:22">
      <c r="A4136" t="str">
        <f t="shared" si="761"/>
        <v>02/10/2025</v>
      </c>
      <c r="B4136" t="str">
        <f t="shared" si="767"/>
        <v>SAÍDA</v>
      </c>
      <c r="C4136" t="str">
        <f t="shared" si="762"/>
        <v>PIX</v>
      </c>
      <c r="D4136" t="str">
        <f>"22312"</f>
        <v>22312</v>
      </c>
      <c r="E4136" t="str">
        <f t="shared" si="768"/>
        <v>1</v>
      </c>
      <c r="F4136" t="str">
        <f t="shared" si="760"/>
        <v>COM</v>
      </c>
      <c r="G4136" t="str">
        <f>"ADRYAN NUNES MARTINS (857)"</f>
        <v>ADRYAN NUNES MARTINS (857)</v>
      </c>
      <c r="H4136" t="s">
        <v>1186</v>
      </c>
      <c r="I4136" t="str">
        <f t="shared" si="763"/>
        <v>02/10/2025</v>
      </c>
      <c r="J4136" t="str">
        <f t="shared" si="766"/>
        <v>23/09/2025</v>
      </c>
      <c r="K4136">
        <v>45932</v>
      </c>
      <c r="N4136">
        <v>109</v>
      </c>
      <c r="O4136" t="s">
        <v>24</v>
      </c>
      <c r="Q4136">
        <v>269.52999999999997</v>
      </c>
      <c r="R4136" t="str">
        <f>"FARMÁCIA INDIANA LJ 121 (10054)"</f>
        <v>FARMÁCIA INDIANA LJ 121 (10054)</v>
      </c>
      <c r="S4136" t="s">
        <v>77</v>
      </c>
      <c r="T4136">
        <v>18991</v>
      </c>
      <c r="U4136">
        <v>22312</v>
      </c>
      <c r="V4136" t="s">
        <v>77</v>
      </c>
    </row>
    <row r="4137" spans="1:22">
      <c r="A4137" t="str">
        <f t="shared" si="761"/>
        <v>02/10/2025</v>
      </c>
      <c r="B4137" t="str">
        <f t="shared" si="767"/>
        <v>SAÍDA</v>
      </c>
      <c r="C4137" t="str">
        <f t="shared" si="762"/>
        <v>PIX</v>
      </c>
      <c r="D4137" t="str">
        <f>"0210"</f>
        <v>0210</v>
      </c>
      <c r="E4137" t="str">
        <f>"25"</f>
        <v>25</v>
      </c>
      <c r="F4137" t="str">
        <f t="shared" si="760"/>
        <v>COM</v>
      </c>
      <c r="G4137" t="str">
        <f>"CASSIO DIAS RIBEIRO (32)"</f>
        <v>CASSIO DIAS RIBEIRO (32)</v>
      </c>
      <c r="H4137" t="str">
        <f>"ADIANTAMENTO LIDERANÇA"</f>
        <v>ADIANTAMENTO LIDERANÇA</v>
      </c>
      <c r="I4137" t="str">
        <f t="shared" si="763"/>
        <v>02/10/2025</v>
      </c>
      <c r="J4137" t="str">
        <f>("20/08/2025")</f>
        <v>20/08/2025</v>
      </c>
      <c r="K4137" t="str">
        <f>("02/10/2025")</f>
        <v>02/10/2025</v>
      </c>
      <c r="L4137">
        <v>4000</v>
      </c>
      <c r="M4137">
        <v>4000</v>
      </c>
      <c r="N4137">
        <v>5000</v>
      </c>
      <c r="O4137" t="str">
        <f>"SOLICITACAO DE ADIANTAMENTO"</f>
        <v>SOLICITACAO DE ADIANTAMENTO</v>
      </c>
      <c r="P4137">
        <v>4000</v>
      </c>
      <c r="S4137" t="str">
        <f>"BANCO C6 (149)"</f>
        <v>BANCO C6 (149)</v>
      </c>
      <c r="T4137">
        <v>18992</v>
      </c>
      <c r="U4137">
        <v>20688</v>
      </c>
      <c r="V4137" t="s">
        <v>77</v>
      </c>
    </row>
    <row r="4138" spans="1:22">
      <c r="A4138" t="str">
        <f t="shared" si="761"/>
        <v>02/10/2025</v>
      </c>
      <c r="B4138" t="str">
        <f t="shared" si="767"/>
        <v>SAÍDA</v>
      </c>
      <c r="C4138" t="str">
        <f t="shared" si="762"/>
        <v>PIX</v>
      </c>
      <c r="D4138" t="str">
        <f>"0210"</f>
        <v>0210</v>
      </c>
      <c r="E4138" t="str">
        <f>"25"</f>
        <v>25</v>
      </c>
      <c r="F4138" t="str">
        <f t="shared" si="760"/>
        <v>COM</v>
      </c>
      <c r="G4138" t="str">
        <f>"CASSIO DIAS RIBEIRO (32)"</f>
        <v>CASSIO DIAS RIBEIRO (32)</v>
      </c>
      <c r="H4138" t="s">
        <v>1187</v>
      </c>
      <c r="I4138" t="str">
        <f t="shared" si="763"/>
        <v>02/10/2025</v>
      </c>
      <c r="J4138" t="str">
        <f>("20/08/2025")</f>
        <v>20/08/2025</v>
      </c>
      <c r="K4138">
        <v>45932</v>
      </c>
      <c r="N4138">
        <v>5000</v>
      </c>
      <c r="O4138" t="s">
        <v>86</v>
      </c>
      <c r="Q4138">
        <v>4000</v>
      </c>
      <c r="R4138" t="str">
        <f>"CASSIO DIAS RIBEIRO (32)"</f>
        <v>CASSIO DIAS RIBEIRO (32)</v>
      </c>
      <c r="S4138" t="s">
        <v>77</v>
      </c>
      <c r="T4138">
        <v>18992</v>
      </c>
      <c r="U4138">
        <v>20688</v>
      </c>
      <c r="V4138" t="s">
        <v>77</v>
      </c>
    </row>
    <row r="4139" spans="1:22">
      <c r="A4139" t="str">
        <f t="shared" si="761"/>
        <v>02/10/2025</v>
      </c>
      <c r="B4139" t="str">
        <f t="shared" si="767"/>
        <v>SAÍDA</v>
      </c>
      <c r="C4139" t="str">
        <f t="shared" si="762"/>
        <v>PIX</v>
      </c>
      <c r="D4139" t="str">
        <f>"22443"</f>
        <v>22443</v>
      </c>
      <c r="E4139" t="str">
        <f t="shared" ref="E4139:E4170" si="769">"1"</f>
        <v>1</v>
      </c>
      <c r="F4139" t="str">
        <f t="shared" si="760"/>
        <v>COM</v>
      </c>
      <c r="G4139" t="str">
        <f>"YAN BRENDO CORREIA VIEIRA (861)"</f>
        <v>YAN BRENDO CORREIA VIEIRA (861)</v>
      </c>
      <c r="H4139" t="str">
        <f>"Serv.Prest. 15/09/2025 a 21/09/2025 - PIX: CPF - CHAVE: 096.891.935-97"</f>
        <v>Serv.Prest. 15/09/2025 a 21/09/2025 - PIX: CPF - CHAVE: 096.891.935-97</v>
      </c>
      <c r="I4139" t="str">
        <f t="shared" si="763"/>
        <v>02/10/2025</v>
      </c>
      <c r="J4139" t="str">
        <f>("23/09/2025")</f>
        <v>23/09/2025</v>
      </c>
      <c r="K4139" t="str">
        <f>("02/10/2025")</f>
        <v>02/10/2025</v>
      </c>
      <c r="L4139">
        <v>800</v>
      </c>
      <c r="M4139">
        <v>800</v>
      </c>
      <c r="N4139">
        <v>109</v>
      </c>
      <c r="O4139" t="str">
        <f>"PAGAMENTO DE ENTREGADORES"</f>
        <v>PAGAMENTO DE ENTREGADORES</v>
      </c>
      <c r="P4139">
        <v>800</v>
      </c>
      <c r="S4139" t="str">
        <f>"BANCO C6 (149)"</f>
        <v>BANCO C6 (149)</v>
      </c>
      <c r="T4139">
        <v>18993</v>
      </c>
      <c r="U4139">
        <v>22443</v>
      </c>
      <c r="V4139" t="s">
        <v>77</v>
      </c>
    </row>
    <row r="4140" spans="1:22">
      <c r="A4140" t="str">
        <f t="shared" si="761"/>
        <v>02/10/2025</v>
      </c>
      <c r="B4140" t="str">
        <f t="shared" si="767"/>
        <v>SAÍDA</v>
      </c>
      <c r="C4140" t="str">
        <f t="shared" si="762"/>
        <v>PIX</v>
      </c>
      <c r="D4140" t="str">
        <f>"22443"</f>
        <v>22443</v>
      </c>
      <c r="E4140" t="str">
        <f t="shared" si="769"/>
        <v>1</v>
      </c>
      <c r="F4140" t="str">
        <f t="shared" si="760"/>
        <v>COM</v>
      </c>
      <c r="G4140" t="str">
        <f>"YAN BRENDO CORREIA VIEIRA (861)"</f>
        <v>YAN BRENDO CORREIA VIEIRA (861)</v>
      </c>
      <c r="H4140" t="s">
        <v>830</v>
      </c>
      <c r="I4140" t="str">
        <f t="shared" si="763"/>
        <v>02/10/2025</v>
      </c>
      <c r="J4140" t="str">
        <f>("23/09/2025")</f>
        <v>23/09/2025</v>
      </c>
      <c r="K4140">
        <v>45932</v>
      </c>
      <c r="N4140">
        <v>109</v>
      </c>
      <c r="O4140" t="s">
        <v>24</v>
      </c>
      <c r="Q4140">
        <v>800</v>
      </c>
      <c r="R4140" t="str">
        <f>"FARMÁCIA INDIANA LJ 200 (10155)"</f>
        <v>FARMÁCIA INDIANA LJ 200 (10155)</v>
      </c>
      <c r="S4140" t="s">
        <v>77</v>
      </c>
      <c r="T4140">
        <v>18993</v>
      </c>
      <c r="U4140">
        <v>22443</v>
      </c>
      <c r="V4140" t="s">
        <v>77</v>
      </c>
    </row>
    <row r="4141" spans="1:22">
      <c r="A4141" t="str">
        <f t="shared" si="761"/>
        <v>02/10/2025</v>
      </c>
      <c r="B4141" t="str">
        <f t="shared" si="767"/>
        <v>SAÍDA</v>
      </c>
      <c r="C4141" t="str">
        <f t="shared" si="762"/>
        <v>PIX</v>
      </c>
      <c r="D4141" t="str">
        <f>"22494"</f>
        <v>22494</v>
      </c>
      <c r="E4141" t="str">
        <f t="shared" si="769"/>
        <v>1</v>
      </c>
      <c r="F4141" t="str">
        <f t="shared" si="760"/>
        <v>COM</v>
      </c>
      <c r="G4141" t="str">
        <f>"ALEXANDRE DA CONCEICAO (714)"</f>
        <v>ALEXANDRE DA CONCEICAO (714)</v>
      </c>
      <c r="H4141" t="str">
        <f>"Serv.Prest. 15/09/2025 a 21/09/2025 - PIX: CPF - CHAVE: 975.425.989-53"</f>
        <v>Serv.Prest. 15/09/2025 a 21/09/2025 - PIX: CPF - CHAVE: 975.425.989-53</v>
      </c>
      <c r="I4141" t="str">
        <f t="shared" si="763"/>
        <v>02/10/2025</v>
      </c>
      <c r="J4141" t="str">
        <f>("24/09/2025")</f>
        <v>24/09/2025</v>
      </c>
      <c r="K4141" t="str">
        <f>("02/10/2025")</f>
        <v>02/10/2025</v>
      </c>
      <c r="L4141">
        <v>485.1</v>
      </c>
      <c r="M4141">
        <v>485.1</v>
      </c>
      <c r="N4141">
        <v>109</v>
      </c>
      <c r="O4141" t="str">
        <f>"PAGAMENTO DE ENTREGADORES"</f>
        <v>PAGAMENTO DE ENTREGADORES</v>
      </c>
      <c r="P4141">
        <v>485.1</v>
      </c>
      <c r="S4141" t="str">
        <f>"BANCO C6 (149)"</f>
        <v>BANCO C6 (149)</v>
      </c>
      <c r="T4141">
        <v>18994</v>
      </c>
      <c r="U4141">
        <v>22494</v>
      </c>
      <c r="V4141" t="s">
        <v>77</v>
      </c>
    </row>
    <row r="4142" spans="1:22">
      <c r="A4142" t="str">
        <f t="shared" si="761"/>
        <v>02/10/2025</v>
      </c>
      <c r="B4142" t="str">
        <f t="shared" si="767"/>
        <v>SAÍDA</v>
      </c>
      <c r="C4142" t="str">
        <f t="shared" si="762"/>
        <v>PIX</v>
      </c>
      <c r="D4142" t="str">
        <f>"22494"</f>
        <v>22494</v>
      </c>
      <c r="E4142" t="str">
        <f t="shared" si="769"/>
        <v>1</v>
      </c>
      <c r="F4142" t="str">
        <f t="shared" si="760"/>
        <v>COM</v>
      </c>
      <c r="G4142" t="str">
        <f>"ALEXANDRE DA CONCEICAO (714)"</f>
        <v>ALEXANDRE DA CONCEICAO (714)</v>
      </c>
      <c r="H4142" t="s">
        <v>1188</v>
      </c>
      <c r="I4142" t="str">
        <f t="shared" si="763"/>
        <v>02/10/2025</v>
      </c>
      <c r="J4142" t="str">
        <f>("24/09/2025")</f>
        <v>24/09/2025</v>
      </c>
      <c r="K4142">
        <v>45932</v>
      </c>
      <c r="N4142">
        <v>109</v>
      </c>
      <c r="O4142" t="s">
        <v>24</v>
      </c>
      <c r="Q4142">
        <v>485.1</v>
      </c>
      <c r="R4142" t="str">
        <f>"AC FARMA - CID.ALTA (10166)"</f>
        <v>AC FARMA - CID.ALTA (10166)</v>
      </c>
      <c r="S4142" t="s">
        <v>77</v>
      </c>
      <c r="T4142">
        <v>18994</v>
      </c>
      <c r="U4142">
        <v>22494</v>
      </c>
      <c r="V4142" t="s">
        <v>77</v>
      </c>
    </row>
    <row r="4143" spans="1:22">
      <c r="A4143" t="str">
        <f t="shared" si="761"/>
        <v>02/10/2025</v>
      </c>
      <c r="B4143" t="str">
        <f t="shared" si="767"/>
        <v>SAÍDA</v>
      </c>
      <c r="C4143" t="str">
        <f t="shared" si="762"/>
        <v>PIX</v>
      </c>
      <c r="D4143" t="str">
        <f>"22493"</f>
        <v>22493</v>
      </c>
      <c r="E4143" t="str">
        <f t="shared" si="769"/>
        <v>1</v>
      </c>
      <c r="F4143" t="str">
        <f t="shared" si="760"/>
        <v>COM</v>
      </c>
      <c r="G4143" t="str">
        <f>"ALAN ACOSTA (897)"</f>
        <v>ALAN ACOSTA (897)</v>
      </c>
      <c r="H4143" t="str">
        <f>"Serv.Prest. 15/09/2025 a 21/09/2025 - PIX: E-MAIL - CHAVE: alanacosta1999@gmail.com"</f>
        <v>Serv.Prest. 15/09/2025 a 21/09/2025 - PIX: E-MAIL - CHAVE: alanacosta1999@gmail.com</v>
      </c>
      <c r="I4143" t="str">
        <f t="shared" si="763"/>
        <v>02/10/2025</v>
      </c>
      <c r="J4143" t="str">
        <f>("24/09/2025")</f>
        <v>24/09/2025</v>
      </c>
      <c r="K4143" t="str">
        <f>("02/10/2025")</f>
        <v>02/10/2025</v>
      </c>
      <c r="L4143">
        <v>648.9</v>
      </c>
      <c r="M4143">
        <v>648.9</v>
      </c>
      <c r="N4143">
        <v>109</v>
      </c>
      <c r="O4143" t="str">
        <f>"PAGAMENTO DE ENTREGADORES"</f>
        <v>PAGAMENTO DE ENTREGADORES</v>
      </c>
      <c r="P4143">
        <v>648.9</v>
      </c>
      <c r="S4143" t="str">
        <f>"BANCO C6 (149)"</f>
        <v>BANCO C6 (149)</v>
      </c>
      <c r="T4143">
        <v>18995</v>
      </c>
      <c r="U4143">
        <v>22493</v>
      </c>
      <c r="V4143" t="s">
        <v>77</v>
      </c>
    </row>
    <row r="4144" spans="1:22">
      <c r="A4144" t="str">
        <f t="shared" si="761"/>
        <v>02/10/2025</v>
      </c>
      <c r="B4144" t="str">
        <f t="shared" si="767"/>
        <v>SAÍDA</v>
      </c>
      <c r="C4144" t="str">
        <f t="shared" si="762"/>
        <v>PIX</v>
      </c>
      <c r="D4144" t="str">
        <f>"22493"</f>
        <v>22493</v>
      </c>
      <c r="E4144" t="str">
        <f t="shared" si="769"/>
        <v>1</v>
      </c>
      <c r="F4144" t="str">
        <f t="shared" si="760"/>
        <v>COM</v>
      </c>
      <c r="G4144" t="str">
        <f>"ALAN ACOSTA (897)"</f>
        <v>ALAN ACOSTA (897)</v>
      </c>
      <c r="H4144" t="s">
        <v>1189</v>
      </c>
      <c r="I4144" t="str">
        <f t="shared" si="763"/>
        <v>02/10/2025</v>
      </c>
      <c r="J4144" t="str">
        <f>("24/09/2025")</f>
        <v>24/09/2025</v>
      </c>
      <c r="K4144">
        <v>45932</v>
      </c>
      <c r="N4144">
        <v>109</v>
      </c>
      <c r="O4144" t="s">
        <v>24</v>
      </c>
      <c r="Q4144">
        <v>648.9</v>
      </c>
      <c r="R4144" t="str">
        <f>"AC FARMA - CID.ALTA (10166)"</f>
        <v>AC FARMA - CID.ALTA (10166)</v>
      </c>
      <c r="S4144" t="s">
        <v>77</v>
      </c>
      <c r="T4144">
        <v>18995</v>
      </c>
      <c r="U4144">
        <v>22493</v>
      </c>
      <c r="V4144" t="s">
        <v>77</v>
      </c>
    </row>
    <row r="4145" spans="1:22">
      <c r="A4145" t="str">
        <f t="shared" si="761"/>
        <v>02/10/2025</v>
      </c>
      <c r="B4145" t="str">
        <f t="shared" si="767"/>
        <v>SAÍDA</v>
      </c>
      <c r="C4145" t="str">
        <f t="shared" si="762"/>
        <v>PIX</v>
      </c>
      <c r="D4145" t="str">
        <f>"22421"</f>
        <v>22421</v>
      </c>
      <c r="E4145" t="str">
        <f t="shared" si="769"/>
        <v>1</v>
      </c>
      <c r="F4145" t="str">
        <f t="shared" si="760"/>
        <v>COM</v>
      </c>
      <c r="G4145" t="str">
        <f>"GABRIEL SOUZA RIBEIRO (425)"</f>
        <v>GABRIEL SOUZA RIBEIRO (425)</v>
      </c>
      <c r="H4145" t="str">
        <f>"Serv.Prest. 15/09/2025 a 21/09/2025 - PIX: CPF - CHAVE: 087.398.185-51"</f>
        <v>Serv.Prest. 15/09/2025 a 21/09/2025 - PIX: CPF - CHAVE: 087.398.185-51</v>
      </c>
      <c r="I4145" t="str">
        <f t="shared" si="763"/>
        <v>02/10/2025</v>
      </c>
      <c r="J4145" t="str">
        <f t="shared" ref="J4145:J4176" si="770">("23/09/2025")</f>
        <v>23/09/2025</v>
      </c>
      <c r="K4145" t="str">
        <f>("02/10/2025")</f>
        <v>02/10/2025</v>
      </c>
      <c r="L4145">
        <v>327</v>
      </c>
      <c r="M4145">
        <v>327</v>
      </c>
      <c r="N4145">
        <v>109</v>
      </c>
      <c r="O4145" t="str">
        <f>"PAGAMENTO DE ENTREGADORES"</f>
        <v>PAGAMENTO DE ENTREGADORES</v>
      </c>
      <c r="P4145">
        <v>327</v>
      </c>
      <c r="S4145" t="str">
        <f>"BANCO C6 (149)"</f>
        <v>BANCO C6 (149)</v>
      </c>
      <c r="T4145">
        <v>18996</v>
      </c>
      <c r="U4145">
        <v>22515</v>
      </c>
      <c r="V4145" t="s">
        <v>77</v>
      </c>
    </row>
    <row r="4146" spans="1:22">
      <c r="A4146" t="str">
        <f t="shared" si="761"/>
        <v>02/10/2025</v>
      </c>
      <c r="B4146" t="str">
        <f t="shared" si="767"/>
        <v>SAÍDA</v>
      </c>
      <c r="C4146" t="str">
        <f t="shared" si="762"/>
        <v>PIX</v>
      </c>
      <c r="D4146" t="str">
        <f>"22421"</f>
        <v>22421</v>
      </c>
      <c r="E4146" t="str">
        <f t="shared" si="769"/>
        <v>1</v>
      </c>
      <c r="F4146" t="str">
        <f t="shared" si="760"/>
        <v>COM</v>
      </c>
      <c r="G4146" t="str">
        <f>"GABRIEL SOUZA RIBEIRO (425)"</f>
        <v>GABRIEL SOUZA RIBEIRO (425)</v>
      </c>
      <c r="H4146" t="s">
        <v>875</v>
      </c>
      <c r="I4146" t="str">
        <f t="shared" si="763"/>
        <v>02/10/2025</v>
      </c>
      <c r="J4146" t="str">
        <f t="shared" si="770"/>
        <v>23/09/2025</v>
      </c>
      <c r="K4146">
        <v>45932</v>
      </c>
      <c r="N4146">
        <v>109</v>
      </c>
      <c r="O4146" t="s">
        <v>24</v>
      </c>
      <c r="Q4146">
        <v>327</v>
      </c>
      <c r="R4146" t="str">
        <f>"FARMÁCIA INDIANA LJ 65 (10030)"</f>
        <v>FARMÁCIA INDIANA LJ 65 (10030)</v>
      </c>
      <c r="S4146" t="s">
        <v>77</v>
      </c>
      <c r="T4146">
        <v>18996</v>
      </c>
      <c r="U4146">
        <v>22515</v>
      </c>
      <c r="V4146" t="s">
        <v>77</v>
      </c>
    </row>
    <row r="4147" spans="1:22">
      <c r="A4147" t="str">
        <f t="shared" si="761"/>
        <v>02/10/2025</v>
      </c>
      <c r="B4147" t="str">
        <f t="shared" si="767"/>
        <v>SAÍDA</v>
      </c>
      <c r="C4147" t="str">
        <f t="shared" si="762"/>
        <v>PIX</v>
      </c>
      <c r="D4147" t="str">
        <f>"22441"</f>
        <v>22441</v>
      </c>
      <c r="E4147" t="str">
        <f t="shared" si="769"/>
        <v>1</v>
      </c>
      <c r="F4147" t="str">
        <f t="shared" si="760"/>
        <v>COM</v>
      </c>
      <c r="G4147" t="str">
        <f>"WESLEI GONÇALVES SANTOS (154)"</f>
        <v>WESLEI GONÇALVES SANTOS (154)</v>
      </c>
      <c r="H4147" t="str">
        <f>"Serv.Prest. 15/09/2025 a 21/09/2025 - PIX: CPF - CHAVE: 079.068.045-97"</f>
        <v>Serv.Prest. 15/09/2025 a 21/09/2025 - PIX: CPF - CHAVE: 079.068.045-97</v>
      </c>
      <c r="I4147" t="str">
        <f t="shared" si="763"/>
        <v>02/10/2025</v>
      </c>
      <c r="J4147" t="str">
        <f t="shared" si="770"/>
        <v>23/09/2025</v>
      </c>
      <c r="K4147" t="str">
        <f>("02/10/2025")</f>
        <v>02/10/2025</v>
      </c>
      <c r="L4147">
        <v>600.66</v>
      </c>
      <c r="M4147">
        <v>600.66</v>
      </c>
      <c r="N4147">
        <v>109</v>
      </c>
      <c r="O4147" t="str">
        <f>"PAGAMENTO DE ENTREGADORES"</f>
        <v>PAGAMENTO DE ENTREGADORES</v>
      </c>
      <c r="P4147">
        <v>600.66</v>
      </c>
      <c r="S4147" t="str">
        <f>"BANCO C6 (149)"</f>
        <v>BANCO C6 (149)</v>
      </c>
      <c r="T4147">
        <v>18997</v>
      </c>
      <c r="U4147">
        <v>22441</v>
      </c>
      <c r="V4147" t="s">
        <v>77</v>
      </c>
    </row>
    <row r="4148" spans="1:22">
      <c r="A4148" t="str">
        <f t="shared" si="761"/>
        <v>02/10/2025</v>
      </c>
      <c r="B4148" t="str">
        <f t="shared" si="767"/>
        <v>SAÍDA</v>
      </c>
      <c r="C4148" t="str">
        <f t="shared" si="762"/>
        <v>PIX</v>
      </c>
      <c r="D4148" t="str">
        <f>"22441"</f>
        <v>22441</v>
      </c>
      <c r="E4148" t="str">
        <f t="shared" si="769"/>
        <v>1</v>
      </c>
      <c r="F4148" t="str">
        <f t="shared" ref="F4148:F4211" si="771">"COM"</f>
        <v>COM</v>
      </c>
      <c r="G4148" t="str">
        <f>"WESLEI GONÇALVES SANTOS (154)"</f>
        <v>WESLEI GONÇALVES SANTOS (154)</v>
      </c>
      <c r="H4148" t="s">
        <v>1190</v>
      </c>
      <c r="I4148" t="str">
        <f t="shared" si="763"/>
        <v>02/10/2025</v>
      </c>
      <c r="J4148" t="str">
        <f t="shared" si="770"/>
        <v>23/09/2025</v>
      </c>
      <c r="K4148">
        <v>45932</v>
      </c>
      <c r="N4148">
        <v>109</v>
      </c>
      <c r="O4148" t="s">
        <v>24</v>
      </c>
      <c r="Q4148">
        <v>600.66</v>
      </c>
      <c r="R4148" t="str">
        <f>"FARMÁCIA INDIANA LJ 34 (10014)"</f>
        <v>FARMÁCIA INDIANA LJ 34 (10014)</v>
      </c>
      <c r="S4148" t="s">
        <v>77</v>
      </c>
      <c r="T4148">
        <v>18997</v>
      </c>
      <c r="U4148">
        <v>22441</v>
      </c>
      <c r="V4148" t="s">
        <v>77</v>
      </c>
    </row>
    <row r="4149" spans="1:22">
      <c r="A4149" t="str">
        <f t="shared" si="761"/>
        <v>02/10/2025</v>
      </c>
      <c r="B4149" t="str">
        <f>"ENTRADA"</f>
        <v>ENTRADA</v>
      </c>
      <c r="C4149" t="str">
        <f t="shared" si="762"/>
        <v>PIX</v>
      </c>
      <c r="D4149" t="str">
        <f>"22440"</f>
        <v>22440</v>
      </c>
      <c r="E4149" t="str">
        <f t="shared" si="769"/>
        <v>1</v>
      </c>
      <c r="F4149" t="str">
        <f t="shared" si="771"/>
        <v>COM</v>
      </c>
      <c r="G4149" t="str">
        <f>"VINICIUS SANTOS PEREIRA (633)"</f>
        <v>VINICIUS SANTOS PEREIRA (633)</v>
      </c>
      <c r="H4149" t="str">
        <f>"DESC DE BAG, UNIFORME, PLANOS Serv.Prest. 15/09/2025 a 21/09/2025 - PIX: CELULAR - CHAVE: (73) 99818-9718"</f>
        <v>DESC DE BAG, UNIFORME, PLANOS Serv.Prest. 15/09/2025 a 21/09/2025 - PIX: CELULAR - CHAVE: (73) 99818-9718</v>
      </c>
      <c r="I4149" t="str">
        <f t="shared" si="763"/>
        <v>02/10/2025</v>
      </c>
      <c r="J4149" t="str">
        <f t="shared" si="770"/>
        <v>23/09/2025</v>
      </c>
      <c r="K4149" t="str">
        <f>("02/10/2025")</f>
        <v>02/10/2025</v>
      </c>
      <c r="N4149">
        <v>108</v>
      </c>
      <c r="O4149" t="str">
        <f>"RECEITAS COM REEMBOLSOS"</f>
        <v>RECEITAS COM REEMBOLSOS</v>
      </c>
      <c r="P4149">
        <v>30</v>
      </c>
      <c r="S4149" t="str">
        <f>"BANCO C6 (149)"</f>
        <v>BANCO C6 (149)</v>
      </c>
      <c r="T4149">
        <v>18998</v>
      </c>
      <c r="U4149">
        <v>22440</v>
      </c>
      <c r="V4149" t="s">
        <v>77</v>
      </c>
    </row>
    <row r="4150" spans="1:22">
      <c r="A4150" t="str">
        <f t="shared" si="761"/>
        <v>02/10/2025</v>
      </c>
      <c r="B4150" t="str">
        <f t="shared" ref="B4150:B4181" si="772">"SAÍDA"</f>
        <v>SAÍDA</v>
      </c>
      <c r="C4150" t="str">
        <f t="shared" si="762"/>
        <v>PIX</v>
      </c>
      <c r="D4150" t="str">
        <f>"22440"</f>
        <v>22440</v>
      </c>
      <c r="E4150" t="str">
        <f t="shared" si="769"/>
        <v>1</v>
      </c>
      <c r="F4150" t="str">
        <f t="shared" si="771"/>
        <v>COM</v>
      </c>
      <c r="G4150" t="str">
        <f>"VINICIUS SANTOS PEREIRA (633)"</f>
        <v>VINICIUS SANTOS PEREIRA (633)</v>
      </c>
      <c r="H4150" t="str">
        <f>"Serv.Prest. 15/09/2025 a 21/09/2025 - PIX: CELULAR - CHAVE: (73) 99818-9718"</f>
        <v>Serv.Prest. 15/09/2025 a 21/09/2025 - PIX: CELULAR - CHAVE: (73) 99818-9718</v>
      </c>
      <c r="I4150" t="str">
        <f t="shared" si="763"/>
        <v>02/10/2025</v>
      </c>
      <c r="J4150" t="str">
        <f t="shared" si="770"/>
        <v>23/09/2025</v>
      </c>
      <c r="K4150" t="str">
        <f>("02/10/2025")</f>
        <v>02/10/2025</v>
      </c>
      <c r="L4150">
        <v>692.75</v>
      </c>
      <c r="M4150">
        <v>662.75</v>
      </c>
      <c r="N4150">
        <v>109</v>
      </c>
      <c r="O4150" t="str">
        <f>"PAGAMENTO DE ENTREGADORES"</f>
        <v>PAGAMENTO DE ENTREGADORES</v>
      </c>
      <c r="P4150">
        <v>692.75</v>
      </c>
      <c r="S4150" t="str">
        <f>"BANCO C6 (149)"</f>
        <v>BANCO C6 (149)</v>
      </c>
      <c r="T4150">
        <v>18998</v>
      </c>
      <c r="U4150">
        <v>22440</v>
      </c>
      <c r="V4150" t="s">
        <v>77</v>
      </c>
    </row>
    <row r="4151" spans="1:22">
      <c r="A4151" t="str">
        <f t="shared" si="761"/>
        <v>02/10/2025</v>
      </c>
      <c r="B4151" t="str">
        <f t="shared" si="772"/>
        <v>SAÍDA</v>
      </c>
      <c r="C4151" t="str">
        <f t="shared" si="762"/>
        <v>PIX</v>
      </c>
      <c r="D4151" t="str">
        <f>"22440"</f>
        <v>22440</v>
      </c>
      <c r="E4151" t="str">
        <f t="shared" si="769"/>
        <v>1</v>
      </c>
      <c r="F4151" t="str">
        <f t="shared" si="771"/>
        <v>COM</v>
      </c>
      <c r="G4151" t="str">
        <f>"VINICIUS SANTOS PEREIRA (633)"</f>
        <v>VINICIUS SANTOS PEREIRA (633)</v>
      </c>
      <c r="H4151" t="s">
        <v>1191</v>
      </c>
      <c r="I4151" t="str">
        <f t="shared" si="763"/>
        <v>02/10/2025</v>
      </c>
      <c r="J4151" t="str">
        <f t="shared" si="770"/>
        <v>23/09/2025</v>
      </c>
      <c r="K4151">
        <v>45932</v>
      </c>
      <c r="N4151">
        <v>108</v>
      </c>
      <c r="O4151" t="s">
        <v>54</v>
      </c>
      <c r="Q4151">
        <v>662.75</v>
      </c>
      <c r="R4151" t="str">
        <f>"FARMÁCIA INDIANA LJ 95 (10039)"</f>
        <v>FARMÁCIA INDIANA LJ 95 (10039)</v>
      </c>
      <c r="S4151" t="s">
        <v>77</v>
      </c>
      <c r="T4151">
        <v>18998</v>
      </c>
      <c r="U4151">
        <v>22440</v>
      </c>
      <c r="V4151" t="s">
        <v>77</v>
      </c>
    </row>
    <row r="4152" spans="1:22">
      <c r="A4152" t="str">
        <f t="shared" si="761"/>
        <v>02/10/2025</v>
      </c>
      <c r="B4152" t="str">
        <f t="shared" si="772"/>
        <v>SAÍDA</v>
      </c>
      <c r="C4152" t="str">
        <f t="shared" si="762"/>
        <v>PIX</v>
      </c>
      <c r="D4152" t="str">
        <f>"22437"</f>
        <v>22437</v>
      </c>
      <c r="E4152" t="str">
        <f t="shared" si="769"/>
        <v>1</v>
      </c>
      <c r="F4152" t="str">
        <f t="shared" si="771"/>
        <v>COM</v>
      </c>
      <c r="G4152" t="str">
        <f>"OSVALDO DOS SANTOS (163)"</f>
        <v>OSVALDO DOS SANTOS (163)</v>
      </c>
      <c r="H4152" t="str">
        <f>"Serv.Prest. 15/09/2025 a 21/09/2025 - PIX: CELULAR - CHAVE: (73) 99977-2721"</f>
        <v>Serv.Prest. 15/09/2025 a 21/09/2025 - PIX: CELULAR - CHAVE: (73) 99977-2721</v>
      </c>
      <c r="I4152" t="str">
        <f t="shared" si="763"/>
        <v>02/10/2025</v>
      </c>
      <c r="J4152" t="str">
        <f t="shared" si="770"/>
        <v>23/09/2025</v>
      </c>
      <c r="K4152" t="str">
        <f>("02/10/2025")</f>
        <v>02/10/2025</v>
      </c>
      <c r="L4152">
        <v>600</v>
      </c>
      <c r="M4152">
        <v>600</v>
      </c>
      <c r="N4152">
        <v>109</v>
      </c>
      <c r="O4152" t="str">
        <f>"PAGAMENTO DE ENTREGADORES"</f>
        <v>PAGAMENTO DE ENTREGADORES</v>
      </c>
      <c r="P4152">
        <v>600</v>
      </c>
      <c r="S4152" t="str">
        <f>"BANCO C6 (149)"</f>
        <v>BANCO C6 (149)</v>
      </c>
      <c r="T4152">
        <v>18999</v>
      </c>
      <c r="U4152">
        <v>22437</v>
      </c>
      <c r="V4152" t="s">
        <v>77</v>
      </c>
    </row>
    <row r="4153" spans="1:22">
      <c r="A4153" t="str">
        <f t="shared" si="761"/>
        <v>02/10/2025</v>
      </c>
      <c r="B4153" t="str">
        <f t="shared" si="772"/>
        <v>SAÍDA</v>
      </c>
      <c r="C4153" t="str">
        <f t="shared" si="762"/>
        <v>PIX</v>
      </c>
      <c r="D4153" t="str">
        <f>"22437"</f>
        <v>22437</v>
      </c>
      <c r="E4153" t="str">
        <f t="shared" si="769"/>
        <v>1</v>
      </c>
      <c r="F4153" t="str">
        <f t="shared" si="771"/>
        <v>COM</v>
      </c>
      <c r="G4153" t="str">
        <f>"OSVALDO DOS SANTOS (163)"</f>
        <v>OSVALDO DOS SANTOS (163)</v>
      </c>
      <c r="H4153" t="s">
        <v>1192</v>
      </c>
      <c r="I4153" t="str">
        <f t="shared" si="763"/>
        <v>02/10/2025</v>
      </c>
      <c r="J4153" t="str">
        <f t="shared" si="770"/>
        <v>23/09/2025</v>
      </c>
      <c r="K4153">
        <v>45932</v>
      </c>
      <c r="N4153">
        <v>109</v>
      </c>
      <c r="O4153" t="s">
        <v>24</v>
      </c>
      <c r="Q4153">
        <v>600</v>
      </c>
      <c r="R4153" t="str">
        <f>"FARMÁCIA INDIANA LJ 35 (10015)"</f>
        <v>FARMÁCIA INDIANA LJ 35 (10015)</v>
      </c>
      <c r="S4153" t="s">
        <v>77</v>
      </c>
      <c r="T4153">
        <v>18999</v>
      </c>
      <c r="U4153">
        <v>22437</v>
      </c>
      <c r="V4153" t="s">
        <v>77</v>
      </c>
    </row>
    <row r="4154" spans="1:22">
      <c r="A4154" t="str">
        <f t="shared" si="761"/>
        <v>02/10/2025</v>
      </c>
      <c r="B4154" t="str">
        <f t="shared" si="772"/>
        <v>SAÍDA</v>
      </c>
      <c r="C4154" t="str">
        <f t="shared" si="762"/>
        <v>PIX</v>
      </c>
      <c r="D4154" t="str">
        <f>"22436"</f>
        <v>22436</v>
      </c>
      <c r="E4154" t="str">
        <f t="shared" si="769"/>
        <v>1</v>
      </c>
      <c r="F4154" t="str">
        <f t="shared" si="771"/>
        <v>COM</v>
      </c>
      <c r="G4154" t="str">
        <f>"NATANAEL AZEVEDO DOS SANTOS (765)"</f>
        <v>NATANAEL AZEVEDO DOS SANTOS (765)</v>
      </c>
      <c r="H4154" t="str">
        <f>"Serv.Prest. 15/09/2025 a 21/09/2025 - PIX: CPF - CHAVE: 007.842.745-25"</f>
        <v>Serv.Prest. 15/09/2025 a 21/09/2025 - PIX: CPF - CHAVE: 007.842.745-25</v>
      </c>
      <c r="I4154" t="str">
        <f t="shared" si="763"/>
        <v>02/10/2025</v>
      </c>
      <c r="J4154" t="str">
        <f t="shared" si="770"/>
        <v>23/09/2025</v>
      </c>
      <c r="K4154" t="str">
        <f>("02/10/2025")</f>
        <v>02/10/2025</v>
      </c>
      <c r="L4154">
        <v>102</v>
      </c>
      <c r="M4154">
        <v>102</v>
      </c>
      <c r="N4154">
        <v>109</v>
      </c>
      <c r="O4154" t="str">
        <f>"PAGAMENTO DE ENTREGADORES"</f>
        <v>PAGAMENTO DE ENTREGADORES</v>
      </c>
      <c r="P4154">
        <v>102</v>
      </c>
      <c r="S4154" t="str">
        <f>"BANCO C6 (149)"</f>
        <v>BANCO C6 (149)</v>
      </c>
      <c r="T4154">
        <v>19000</v>
      </c>
      <c r="U4154">
        <v>22436</v>
      </c>
      <c r="V4154" t="s">
        <v>77</v>
      </c>
    </row>
    <row r="4155" spans="1:22">
      <c r="A4155" t="str">
        <f t="shared" si="761"/>
        <v>02/10/2025</v>
      </c>
      <c r="B4155" t="str">
        <f t="shared" si="772"/>
        <v>SAÍDA</v>
      </c>
      <c r="C4155" t="str">
        <f t="shared" si="762"/>
        <v>PIX</v>
      </c>
      <c r="D4155" t="str">
        <f>"22436"</f>
        <v>22436</v>
      </c>
      <c r="E4155" t="str">
        <f t="shared" si="769"/>
        <v>1</v>
      </c>
      <c r="F4155" t="str">
        <f t="shared" si="771"/>
        <v>COM</v>
      </c>
      <c r="G4155" t="str">
        <f>"NATANAEL AZEVEDO DOS SANTOS (765)"</f>
        <v>NATANAEL AZEVEDO DOS SANTOS (765)</v>
      </c>
      <c r="H4155" t="s">
        <v>1193</v>
      </c>
      <c r="I4155" t="str">
        <f t="shared" si="763"/>
        <v>02/10/2025</v>
      </c>
      <c r="J4155" t="str">
        <f t="shared" si="770"/>
        <v>23/09/2025</v>
      </c>
      <c r="K4155">
        <v>45932</v>
      </c>
      <c r="N4155">
        <v>109</v>
      </c>
      <c r="O4155" t="s">
        <v>24</v>
      </c>
      <c r="Q4155">
        <v>102</v>
      </c>
      <c r="R4155" t="str">
        <f>"FARMÁCIA INDIANA LJ 91 (10037)"</f>
        <v>FARMÁCIA INDIANA LJ 91 (10037)</v>
      </c>
      <c r="S4155" t="s">
        <v>77</v>
      </c>
      <c r="T4155">
        <v>19000</v>
      </c>
      <c r="U4155">
        <v>22436</v>
      </c>
      <c r="V4155" t="s">
        <v>77</v>
      </c>
    </row>
    <row r="4156" spans="1:22">
      <c r="A4156" t="str">
        <f t="shared" ref="A4156:A4219" si="773">("02/10/2025")</f>
        <v>02/10/2025</v>
      </c>
      <c r="B4156" t="str">
        <f t="shared" si="772"/>
        <v>SAÍDA</v>
      </c>
      <c r="C4156" t="str">
        <f t="shared" ref="C4156:C4219" si="774">"PIX"</f>
        <v>PIX</v>
      </c>
      <c r="D4156" t="str">
        <f>"22435"</f>
        <v>22435</v>
      </c>
      <c r="E4156" t="str">
        <f t="shared" si="769"/>
        <v>1</v>
      </c>
      <c r="F4156" t="str">
        <f t="shared" si="771"/>
        <v>COM</v>
      </c>
      <c r="G4156" t="str">
        <f>"MOABIO AZEVEDO DOS SANTOS (131)"</f>
        <v>MOABIO AZEVEDO DOS SANTOS (131)</v>
      </c>
      <c r="H4156" t="str">
        <f>"Serv.Prest. 15/09/2025 a 21/09/2025 - PIX: CNPJ - CHAVE: 33.412.676/0001-41"</f>
        <v>Serv.Prest. 15/09/2025 a 21/09/2025 - PIX: CNPJ - CHAVE: 33.412.676/0001-41</v>
      </c>
      <c r="I4156" t="str">
        <f t="shared" ref="I4156:I4219" si="775">("02/10/2025")</f>
        <v>02/10/2025</v>
      </c>
      <c r="J4156" t="str">
        <f t="shared" si="770"/>
        <v>23/09/2025</v>
      </c>
      <c r="K4156" t="str">
        <f>("02/10/2025")</f>
        <v>02/10/2025</v>
      </c>
      <c r="L4156">
        <v>1224</v>
      </c>
      <c r="M4156">
        <v>1224</v>
      </c>
      <c r="N4156">
        <v>109</v>
      </c>
      <c r="O4156" t="str">
        <f>"PAGAMENTO DE ENTREGADORES"</f>
        <v>PAGAMENTO DE ENTREGADORES</v>
      </c>
      <c r="P4156">
        <v>1224</v>
      </c>
      <c r="S4156" t="str">
        <f>"BANCO C6 (149)"</f>
        <v>BANCO C6 (149)</v>
      </c>
      <c r="T4156">
        <v>19001</v>
      </c>
      <c r="U4156">
        <v>22435</v>
      </c>
      <c r="V4156" t="s">
        <v>77</v>
      </c>
    </row>
    <row r="4157" spans="1:22">
      <c r="A4157" t="str">
        <f t="shared" si="773"/>
        <v>02/10/2025</v>
      </c>
      <c r="B4157" t="str">
        <f t="shared" si="772"/>
        <v>SAÍDA</v>
      </c>
      <c r="C4157" t="str">
        <f t="shared" si="774"/>
        <v>PIX</v>
      </c>
      <c r="D4157" t="str">
        <f>"22435"</f>
        <v>22435</v>
      </c>
      <c r="E4157" t="str">
        <f t="shared" si="769"/>
        <v>1</v>
      </c>
      <c r="F4157" t="str">
        <f t="shared" si="771"/>
        <v>COM</v>
      </c>
      <c r="G4157" t="str">
        <f>"MOABIO AZEVEDO DOS SANTOS (131)"</f>
        <v>MOABIO AZEVEDO DOS SANTOS (131)</v>
      </c>
      <c r="H4157" t="s">
        <v>1194</v>
      </c>
      <c r="I4157" t="str">
        <f t="shared" si="775"/>
        <v>02/10/2025</v>
      </c>
      <c r="J4157" t="str">
        <f t="shared" si="770"/>
        <v>23/09/2025</v>
      </c>
      <c r="K4157">
        <v>45932</v>
      </c>
      <c r="N4157">
        <v>109</v>
      </c>
      <c r="O4157" t="s">
        <v>24</v>
      </c>
      <c r="Q4157">
        <v>1224</v>
      </c>
      <c r="R4157" t="str">
        <f>"FARMÁCIA INDIANA LJ 91 (10037)"</f>
        <v>FARMÁCIA INDIANA LJ 91 (10037)</v>
      </c>
      <c r="S4157" t="s">
        <v>77</v>
      </c>
      <c r="T4157">
        <v>19001</v>
      </c>
      <c r="U4157">
        <v>22435</v>
      </c>
      <c r="V4157" t="s">
        <v>77</v>
      </c>
    </row>
    <row r="4158" spans="1:22">
      <c r="A4158" t="str">
        <f t="shared" si="773"/>
        <v>02/10/2025</v>
      </c>
      <c r="B4158" t="str">
        <f t="shared" si="772"/>
        <v>SAÍDA</v>
      </c>
      <c r="C4158" t="str">
        <f t="shared" si="774"/>
        <v>PIX</v>
      </c>
      <c r="D4158" t="str">
        <f>"22434"</f>
        <v>22434</v>
      </c>
      <c r="E4158" t="str">
        <f t="shared" si="769"/>
        <v>1</v>
      </c>
      <c r="F4158" t="str">
        <f t="shared" si="771"/>
        <v>COM</v>
      </c>
      <c r="G4158" t="str">
        <f>"MARIA ILZA PEREIRA DOS SANTOS (618)"</f>
        <v>MARIA ILZA PEREIRA DOS SANTOS (618)</v>
      </c>
      <c r="H4158" t="str">
        <f>"Serv.Prest. 15/09/2025 a 21/09/2025 - PIX: CPF - CHAVE: 003.157.195-67"</f>
        <v>Serv.Prest. 15/09/2025 a 21/09/2025 - PIX: CPF - CHAVE: 003.157.195-67</v>
      </c>
      <c r="I4158" t="str">
        <f t="shared" si="775"/>
        <v>02/10/2025</v>
      </c>
      <c r="J4158" t="str">
        <f t="shared" si="770"/>
        <v>23/09/2025</v>
      </c>
      <c r="K4158" t="str">
        <f>("02/10/2025")</f>
        <v>02/10/2025</v>
      </c>
      <c r="L4158">
        <v>654</v>
      </c>
      <c r="M4158">
        <v>654</v>
      </c>
      <c r="N4158">
        <v>109</v>
      </c>
      <c r="O4158" t="str">
        <f>"PAGAMENTO DE ENTREGADORES"</f>
        <v>PAGAMENTO DE ENTREGADORES</v>
      </c>
      <c r="P4158">
        <v>654</v>
      </c>
      <c r="S4158" t="str">
        <f>"BANCO C6 (149)"</f>
        <v>BANCO C6 (149)</v>
      </c>
      <c r="T4158">
        <v>19002</v>
      </c>
      <c r="U4158">
        <v>22434</v>
      </c>
      <c r="V4158" t="s">
        <v>77</v>
      </c>
    </row>
    <row r="4159" spans="1:22">
      <c r="A4159" t="str">
        <f t="shared" si="773"/>
        <v>02/10/2025</v>
      </c>
      <c r="B4159" t="str">
        <f t="shared" si="772"/>
        <v>SAÍDA</v>
      </c>
      <c r="C4159" t="str">
        <f t="shared" si="774"/>
        <v>PIX</v>
      </c>
      <c r="D4159" t="str">
        <f>"22434"</f>
        <v>22434</v>
      </c>
      <c r="E4159" t="str">
        <f t="shared" si="769"/>
        <v>1</v>
      </c>
      <c r="F4159" t="str">
        <f t="shared" si="771"/>
        <v>COM</v>
      </c>
      <c r="G4159" t="str">
        <f>"MARIA ILZA PEREIRA DOS SANTOS (618)"</f>
        <v>MARIA ILZA PEREIRA DOS SANTOS (618)</v>
      </c>
      <c r="H4159" t="s">
        <v>1195</v>
      </c>
      <c r="I4159" t="str">
        <f t="shared" si="775"/>
        <v>02/10/2025</v>
      </c>
      <c r="J4159" t="str">
        <f t="shared" si="770"/>
        <v>23/09/2025</v>
      </c>
      <c r="K4159">
        <v>45932</v>
      </c>
      <c r="N4159">
        <v>109</v>
      </c>
      <c r="O4159" t="s">
        <v>24</v>
      </c>
      <c r="Q4159">
        <v>523.20000000000005</v>
      </c>
      <c r="R4159" t="str">
        <f>"FARMÁCIA INDIANA LJ 65 (10030)"</f>
        <v>FARMÁCIA INDIANA LJ 65 (10030)</v>
      </c>
      <c r="S4159" t="s">
        <v>77</v>
      </c>
      <c r="T4159">
        <v>19002</v>
      </c>
      <c r="U4159">
        <v>22434</v>
      </c>
      <c r="V4159" t="s">
        <v>77</v>
      </c>
    </row>
    <row r="4160" spans="1:22">
      <c r="A4160" t="str">
        <f t="shared" si="773"/>
        <v>02/10/2025</v>
      </c>
      <c r="B4160" t="str">
        <f t="shared" si="772"/>
        <v>SAÍDA</v>
      </c>
      <c r="C4160" t="str">
        <f t="shared" si="774"/>
        <v>PIX</v>
      </c>
      <c r="D4160" t="str">
        <f>"22434"</f>
        <v>22434</v>
      </c>
      <c r="E4160" t="str">
        <f t="shared" si="769"/>
        <v>1</v>
      </c>
      <c r="F4160" t="str">
        <f t="shared" si="771"/>
        <v>COM</v>
      </c>
      <c r="G4160" t="str">
        <f>"MARIA ILZA PEREIRA DOS SANTOS (618)"</f>
        <v>MARIA ILZA PEREIRA DOS SANTOS (618)</v>
      </c>
      <c r="H4160" t="s">
        <v>1195</v>
      </c>
      <c r="I4160" t="str">
        <f t="shared" si="775"/>
        <v>02/10/2025</v>
      </c>
      <c r="J4160" t="str">
        <f t="shared" si="770"/>
        <v>23/09/2025</v>
      </c>
      <c r="K4160">
        <v>45932</v>
      </c>
      <c r="N4160">
        <v>109</v>
      </c>
      <c r="O4160" t="s">
        <v>24</v>
      </c>
      <c r="Q4160">
        <v>130.80000000000001</v>
      </c>
      <c r="R4160" t="str">
        <f>"FARMÁCIA INDIANA LJ 173 (10075)"</f>
        <v>FARMÁCIA INDIANA LJ 173 (10075)</v>
      </c>
      <c r="S4160" t="s">
        <v>77</v>
      </c>
      <c r="T4160">
        <v>19002</v>
      </c>
      <c r="U4160">
        <v>22434</v>
      </c>
      <c r="V4160" t="s">
        <v>77</v>
      </c>
    </row>
    <row r="4161" spans="1:22">
      <c r="A4161" t="str">
        <f t="shared" si="773"/>
        <v>02/10/2025</v>
      </c>
      <c r="B4161" t="str">
        <f t="shared" si="772"/>
        <v>SAÍDA</v>
      </c>
      <c r="C4161" t="str">
        <f t="shared" si="774"/>
        <v>PIX</v>
      </c>
      <c r="D4161" t="str">
        <f>"22433"</f>
        <v>22433</v>
      </c>
      <c r="E4161" t="str">
        <f t="shared" si="769"/>
        <v>1</v>
      </c>
      <c r="F4161" t="str">
        <f t="shared" si="771"/>
        <v>COM</v>
      </c>
      <c r="G4161" t="str">
        <f>"LUCAS MOREIRA PEREIRA (153)"</f>
        <v>LUCAS MOREIRA PEREIRA (153)</v>
      </c>
      <c r="H4161" t="str">
        <f>"Serv.Prest. 15/09/2025 a 21/09/2025 - PIX: CELULAR - CHAVE: (73) 99967-3239"</f>
        <v>Serv.Prest. 15/09/2025 a 21/09/2025 - PIX: CELULAR - CHAVE: (73) 99967-3239</v>
      </c>
      <c r="I4161" t="str">
        <f t="shared" si="775"/>
        <v>02/10/2025</v>
      </c>
      <c r="J4161" t="str">
        <f t="shared" si="770"/>
        <v>23/09/2025</v>
      </c>
      <c r="K4161" t="str">
        <f>("02/10/2025")</f>
        <v>02/10/2025</v>
      </c>
      <c r="L4161">
        <v>1525</v>
      </c>
      <c r="M4161">
        <v>1525</v>
      </c>
      <c r="N4161">
        <v>109</v>
      </c>
      <c r="O4161" t="str">
        <f>"PAGAMENTO DE ENTREGADORES"</f>
        <v>PAGAMENTO DE ENTREGADORES</v>
      </c>
      <c r="P4161">
        <v>1525</v>
      </c>
      <c r="S4161" t="str">
        <f>"BANCO C6 (149)"</f>
        <v>BANCO C6 (149)</v>
      </c>
      <c r="T4161">
        <v>19003</v>
      </c>
      <c r="U4161">
        <v>22433</v>
      </c>
      <c r="V4161" t="s">
        <v>77</v>
      </c>
    </row>
    <row r="4162" spans="1:22">
      <c r="A4162" t="str">
        <f t="shared" si="773"/>
        <v>02/10/2025</v>
      </c>
      <c r="B4162" t="str">
        <f t="shared" si="772"/>
        <v>SAÍDA</v>
      </c>
      <c r="C4162" t="str">
        <f t="shared" si="774"/>
        <v>PIX</v>
      </c>
      <c r="D4162" t="str">
        <f>"22433"</f>
        <v>22433</v>
      </c>
      <c r="E4162" t="str">
        <f t="shared" si="769"/>
        <v>1</v>
      </c>
      <c r="F4162" t="str">
        <f t="shared" si="771"/>
        <v>COM</v>
      </c>
      <c r="G4162" t="str">
        <f>"LUCAS MOREIRA PEREIRA (153)"</f>
        <v>LUCAS MOREIRA PEREIRA (153)</v>
      </c>
      <c r="H4162" t="s">
        <v>1196</v>
      </c>
      <c r="I4162" t="str">
        <f t="shared" si="775"/>
        <v>02/10/2025</v>
      </c>
      <c r="J4162" t="str">
        <f t="shared" si="770"/>
        <v>23/09/2025</v>
      </c>
      <c r="K4162">
        <v>45932</v>
      </c>
      <c r="N4162">
        <v>109</v>
      </c>
      <c r="O4162" t="s">
        <v>24</v>
      </c>
      <c r="Q4162">
        <v>1124.99</v>
      </c>
      <c r="R4162" t="str">
        <f>"FARMÁCIA INDIANA LJ 48 (10018)"</f>
        <v>FARMÁCIA INDIANA LJ 48 (10018)</v>
      </c>
      <c r="S4162" t="s">
        <v>77</v>
      </c>
      <c r="T4162">
        <v>19003</v>
      </c>
      <c r="U4162">
        <v>22433</v>
      </c>
      <c r="V4162" t="s">
        <v>77</v>
      </c>
    </row>
    <row r="4163" spans="1:22">
      <c r="A4163" t="str">
        <f t="shared" si="773"/>
        <v>02/10/2025</v>
      </c>
      <c r="B4163" t="str">
        <f t="shared" si="772"/>
        <v>SAÍDA</v>
      </c>
      <c r="C4163" t="str">
        <f t="shared" si="774"/>
        <v>PIX</v>
      </c>
      <c r="D4163" t="str">
        <f>"22433"</f>
        <v>22433</v>
      </c>
      <c r="E4163" t="str">
        <f t="shared" si="769"/>
        <v>1</v>
      </c>
      <c r="F4163" t="str">
        <f t="shared" si="771"/>
        <v>COM</v>
      </c>
      <c r="G4163" t="str">
        <f>"LUCAS MOREIRA PEREIRA (153)"</f>
        <v>LUCAS MOREIRA PEREIRA (153)</v>
      </c>
      <c r="H4163" t="s">
        <v>1196</v>
      </c>
      <c r="I4163" t="str">
        <f t="shared" si="775"/>
        <v>02/10/2025</v>
      </c>
      <c r="J4163" t="str">
        <f t="shared" si="770"/>
        <v>23/09/2025</v>
      </c>
      <c r="K4163">
        <v>45932</v>
      </c>
      <c r="N4163">
        <v>109</v>
      </c>
      <c r="O4163" t="s">
        <v>24</v>
      </c>
      <c r="Q4163">
        <v>400.01</v>
      </c>
      <c r="R4163" t="str">
        <f>"FARMÁCIA INDIANA LJ 169 (10073)"</f>
        <v>FARMÁCIA INDIANA LJ 169 (10073)</v>
      </c>
      <c r="S4163" t="s">
        <v>77</v>
      </c>
      <c r="T4163">
        <v>19003</v>
      </c>
      <c r="U4163">
        <v>22433</v>
      </c>
      <c r="V4163" t="s">
        <v>77</v>
      </c>
    </row>
    <row r="4164" spans="1:22">
      <c r="A4164" t="str">
        <f t="shared" si="773"/>
        <v>02/10/2025</v>
      </c>
      <c r="B4164" t="str">
        <f t="shared" si="772"/>
        <v>SAÍDA</v>
      </c>
      <c r="C4164" t="str">
        <f t="shared" si="774"/>
        <v>PIX</v>
      </c>
      <c r="D4164" t="str">
        <f>"22432"</f>
        <v>22432</v>
      </c>
      <c r="E4164" t="str">
        <f t="shared" si="769"/>
        <v>1</v>
      </c>
      <c r="F4164" t="str">
        <f t="shared" si="771"/>
        <v>COM</v>
      </c>
      <c r="G4164" t="str">
        <f>"LEONARDO MERCÊS CAJAZEIRAS (235)"</f>
        <v>LEONARDO MERCÊS CAJAZEIRAS (235)</v>
      </c>
      <c r="H4164" t="str">
        <f>"Serv.Prest. 15/09/2025 a 21/09/2025 - PIX: CELULAR - CHAVE: (73) 99803-0715"</f>
        <v>Serv.Prest. 15/09/2025 a 21/09/2025 - PIX: CELULAR - CHAVE: (73) 99803-0715</v>
      </c>
      <c r="I4164" t="str">
        <f t="shared" si="775"/>
        <v>02/10/2025</v>
      </c>
      <c r="J4164" t="str">
        <f t="shared" si="770"/>
        <v>23/09/2025</v>
      </c>
      <c r="K4164" t="str">
        <f>("02/10/2025")</f>
        <v>02/10/2025</v>
      </c>
      <c r="L4164">
        <v>600</v>
      </c>
      <c r="M4164">
        <v>600</v>
      </c>
      <c r="N4164">
        <v>109</v>
      </c>
      <c r="O4164" t="str">
        <f>"PAGAMENTO DE ENTREGADORES"</f>
        <v>PAGAMENTO DE ENTREGADORES</v>
      </c>
      <c r="P4164">
        <v>600</v>
      </c>
      <c r="S4164" t="str">
        <f>"BANCO C6 (149)"</f>
        <v>BANCO C6 (149)</v>
      </c>
      <c r="T4164">
        <v>19004</v>
      </c>
      <c r="U4164">
        <v>22432</v>
      </c>
      <c r="V4164" t="s">
        <v>77</v>
      </c>
    </row>
    <row r="4165" spans="1:22">
      <c r="A4165" t="str">
        <f t="shared" si="773"/>
        <v>02/10/2025</v>
      </c>
      <c r="B4165" t="str">
        <f t="shared" si="772"/>
        <v>SAÍDA</v>
      </c>
      <c r="C4165" t="str">
        <f t="shared" si="774"/>
        <v>PIX</v>
      </c>
      <c r="D4165" t="str">
        <f>"22432"</f>
        <v>22432</v>
      </c>
      <c r="E4165" t="str">
        <f t="shared" si="769"/>
        <v>1</v>
      </c>
      <c r="F4165" t="str">
        <f t="shared" si="771"/>
        <v>COM</v>
      </c>
      <c r="G4165" t="str">
        <f>"LEONARDO MERCÊS CAJAZEIRAS (235)"</f>
        <v>LEONARDO MERCÊS CAJAZEIRAS (235)</v>
      </c>
      <c r="H4165" t="s">
        <v>1197</v>
      </c>
      <c r="I4165" t="str">
        <f t="shared" si="775"/>
        <v>02/10/2025</v>
      </c>
      <c r="J4165" t="str">
        <f t="shared" si="770"/>
        <v>23/09/2025</v>
      </c>
      <c r="K4165">
        <v>45932</v>
      </c>
      <c r="N4165">
        <v>109</v>
      </c>
      <c r="O4165" t="s">
        <v>24</v>
      </c>
      <c r="Q4165">
        <v>600</v>
      </c>
      <c r="R4165" t="str">
        <f>"FARMÁCIA INDIANA LJ 35 (10015)"</f>
        <v>FARMÁCIA INDIANA LJ 35 (10015)</v>
      </c>
      <c r="S4165" t="s">
        <v>77</v>
      </c>
      <c r="T4165">
        <v>19004</v>
      </c>
      <c r="U4165">
        <v>22432</v>
      </c>
      <c r="V4165" t="s">
        <v>77</v>
      </c>
    </row>
    <row r="4166" spans="1:22">
      <c r="A4166" t="str">
        <f t="shared" si="773"/>
        <v>02/10/2025</v>
      </c>
      <c r="B4166" t="str">
        <f t="shared" si="772"/>
        <v>SAÍDA</v>
      </c>
      <c r="C4166" t="str">
        <f t="shared" si="774"/>
        <v>PIX</v>
      </c>
      <c r="D4166" t="str">
        <f>"22431"</f>
        <v>22431</v>
      </c>
      <c r="E4166" t="str">
        <f t="shared" si="769"/>
        <v>1</v>
      </c>
      <c r="F4166" t="str">
        <f t="shared" si="771"/>
        <v>COM</v>
      </c>
      <c r="G4166" t="str">
        <f>"KHENNEDY DAVY DOS SANTOS SILVA (692)"</f>
        <v>KHENNEDY DAVY DOS SANTOS SILVA (692)</v>
      </c>
      <c r="H4166" t="str">
        <f>"Serv.Prest. 15/09/2025 a 21/09/2025 - PIX: CPF - CHAVE: 094.700.685-05"</f>
        <v>Serv.Prest. 15/09/2025 a 21/09/2025 - PIX: CPF - CHAVE: 094.700.685-05</v>
      </c>
      <c r="I4166" t="str">
        <f t="shared" si="775"/>
        <v>02/10/2025</v>
      </c>
      <c r="J4166" t="str">
        <f t="shared" si="770"/>
        <v>23/09/2025</v>
      </c>
      <c r="K4166" t="str">
        <f>("02/10/2025")</f>
        <v>02/10/2025</v>
      </c>
      <c r="L4166">
        <v>654</v>
      </c>
      <c r="M4166">
        <v>654</v>
      </c>
      <c r="N4166">
        <v>109</v>
      </c>
      <c r="O4166" t="str">
        <f>"PAGAMENTO DE ENTREGADORES"</f>
        <v>PAGAMENTO DE ENTREGADORES</v>
      </c>
      <c r="P4166">
        <v>654</v>
      </c>
      <c r="S4166" t="str">
        <f>"BANCO C6 (149)"</f>
        <v>BANCO C6 (149)</v>
      </c>
      <c r="T4166">
        <v>19005</v>
      </c>
      <c r="U4166">
        <v>22431</v>
      </c>
      <c r="V4166" t="s">
        <v>77</v>
      </c>
    </row>
    <row r="4167" spans="1:22">
      <c r="A4167" t="str">
        <f t="shared" si="773"/>
        <v>02/10/2025</v>
      </c>
      <c r="B4167" t="str">
        <f t="shared" si="772"/>
        <v>SAÍDA</v>
      </c>
      <c r="C4167" t="str">
        <f t="shared" si="774"/>
        <v>PIX</v>
      </c>
      <c r="D4167" t="str">
        <f>"22431"</f>
        <v>22431</v>
      </c>
      <c r="E4167" t="str">
        <f t="shared" si="769"/>
        <v>1</v>
      </c>
      <c r="F4167" t="str">
        <f t="shared" si="771"/>
        <v>COM</v>
      </c>
      <c r="G4167" t="str">
        <f>"KHENNEDY DAVY DOS SANTOS SILVA (692)"</f>
        <v>KHENNEDY DAVY DOS SANTOS SILVA (692)</v>
      </c>
      <c r="H4167" t="s">
        <v>1198</v>
      </c>
      <c r="I4167" t="str">
        <f t="shared" si="775"/>
        <v>02/10/2025</v>
      </c>
      <c r="J4167" t="str">
        <f t="shared" si="770"/>
        <v>23/09/2025</v>
      </c>
      <c r="K4167">
        <v>45932</v>
      </c>
      <c r="N4167">
        <v>109</v>
      </c>
      <c r="O4167" t="s">
        <v>24</v>
      </c>
      <c r="Q4167">
        <v>654</v>
      </c>
      <c r="R4167" t="str">
        <f>"FARMÁCIA INDIANA LJ 65 (10030)"</f>
        <v>FARMÁCIA INDIANA LJ 65 (10030)</v>
      </c>
      <c r="S4167" t="s">
        <v>77</v>
      </c>
      <c r="T4167">
        <v>19005</v>
      </c>
      <c r="U4167">
        <v>22431</v>
      </c>
      <c r="V4167" t="s">
        <v>77</v>
      </c>
    </row>
    <row r="4168" spans="1:22">
      <c r="A4168" t="str">
        <f t="shared" si="773"/>
        <v>02/10/2025</v>
      </c>
      <c r="B4168" t="str">
        <f t="shared" si="772"/>
        <v>SAÍDA</v>
      </c>
      <c r="C4168" t="str">
        <f t="shared" si="774"/>
        <v>PIX</v>
      </c>
      <c r="D4168" t="str">
        <f>"22430"</f>
        <v>22430</v>
      </c>
      <c r="E4168" t="str">
        <f t="shared" si="769"/>
        <v>1</v>
      </c>
      <c r="F4168" t="str">
        <f t="shared" si="771"/>
        <v>COM</v>
      </c>
      <c r="G4168" t="str">
        <f>"JUNIO SOUZA SILVA (610)"</f>
        <v>JUNIO SOUZA SILVA (610)</v>
      </c>
      <c r="H4168" t="str">
        <f>"Serv.Prest. 15/09/2025 a 21/09/2025 - PIX: CELULAR - CHAVE: (73) 98105-2187"</f>
        <v>Serv.Prest. 15/09/2025 a 21/09/2025 - PIX: CELULAR - CHAVE: (73) 98105-2187</v>
      </c>
      <c r="I4168" t="str">
        <f t="shared" si="775"/>
        <v>02/10/2025</v>
      </c>
      <c r="J4168" t="str">
        <f t="shared" si="770"/>
        <v>23/09/2025</v>
      </c>
      <c r="K4168" t="str">
        <f>("02/10/2025")</f>
        <v>02/10/2025</v>
      </c>
      <c r="L4168">
        <v>600</v>
      </c>
      <c r="M4168">
        <v>600</v>
      </c>
      <c r="N4168">
        <v>109</v>
      </c>
      <c r="O4168" t="str">
        <f>"PAGAMENTO DE ENTREGADORES"</f>
        <v>PAGAMENTO DE ENTREGADORES</v>
      </c>
      <c r="P4168">
        <v>600</v>
      </c>
      <c r="S4168" t="str">
        <f>"BANCO C6 (149)"</f>
        <v>BANCO C6 (149)</v>
      </c>
      <c r="T4168">
        <v>19006</v>
      </c>
      <c r="U4168">
        <v>22430</v>
      </c>
      <c r="V4168" t="s">
        <v>77</v>
      </c>
    </row>
    <row r="4169" spans="1:22">
      <c r="A4169" t="str">
        <f t="shared" si="773"/>
        <v>02/10/2025</v>
      </c>
      <c r="B4169" t="str">
        <f t="shared" si="772"/>
        <v>SAÍDA</v>
      </c>
      <c r="C4169" t="str">
        <f t="shared" si="774"/>
        <v>PIX</v>
      </c>
      <c r="D4169" t="str">
        <f>"22430"</f>
        <v>22430</v>
      </c>
      <c r="E4169" t="str">
        <f t="shared" si="769"/>
        <v>1</v>
      </c>
      <c r="F4169" t="str">
        <f t="shared" si="771"/>
        <v>COM</v>
      </c>
      <c r="G4169" t="str">
        <f>"JUNIO SOUZA SILVA (610)"</f>
        <v>JUNIO SOUZA SILVA (610)</v>
      </c>
      <c r="H4169" t="s">
        <v>1199</v>
      </c>
      <c r="I4169" t="str">
        <f t="shared" si="775"/>
        <v>02/10/2025</v>
      </c>
      <c r="J4169" t="str">
        <f t="shared" si="770"/>
        <v>23/09/2025</v>
      </c>
      <c r="K4169">
        <v>45932</v>
      </c>
      <c r="N4169">
        <v>109</v>
      </c>
      <c r="O4169" t="s">
        <v>24</v>
      </c>
      <c r="Q4169">
        <v>600</v>
      </c>
      <c r="R4169" t="str">
        <f>"FARMÁCIA INDIANA LJ 77 (10034)"</f>
        <v>FARMÁCIA INDIANA LJ 77 (10034)</v>
      </c>
      <c r="S4169" t="s">
        <v>77</v>
      </c>
      <c r="T4169">
        <v>19006</v>
      </c>
      <c r="U4169">
        <v>22430</v>
      </c>
      <c r="V4169" t="s">
        <v>77</v>
      </c>
    </row>
    <row r="4170" spans="1:22">
      <c r="A4170" t="str">
        <f t="shared" si="773"/>
        <v>02/10/2025</v>
      </c>
      <c r="B4170" t="str">
        <f t="shared" si="772"/>
        <v>SAÍDA</v>
      </c>
      <c r="C4170" t="str">
        <f t="shared" si="774"/>
        <v>PIX</v>
      </c>
      <c r="D4170" t="str">
        <f>"22428"</f>
        <v>22428</v>
      </c>
      <c r="E4170" t="str">
        <f t="shared" si="769"/>
        <v>1</v>
      </c>
      <c r="F4170" t="str">
        <f t="shared" si="771"/>
        <v>COM</v>
      </c>
      <c r="G4170" t="str">
        <f>"JOAO PEDRO BRITO DE SOUZA (876)"</f>
        <v>JOAO PEDRO BRITO DE SOUZA (876)</v>
      </c>
      <c r="H4170" t="str">
        <f>"Serv.Prest. 15/09/2025 a 21/09/2025 - PIX: CPF - CHAVE: 860.305.455-07"</f>
        <v>Serv.Prest. 15/09/2025 a 21/09/2025 - PIX: CPF - CHAVE: 860.305.455-07</v>
      </c>
      <c r="I4170" t="str">
        <f t="shared" si="775"/>
        <v>02/10/2025</v>
      </c>
      <c r="J4170" t="str">
        <f t="shared" si="770"/>
        <v>23/09/2025</v>
      </c>
      <c r="K4170" t="str">
        <f>("02/10/2025")</f>
        <v>02/10/2025</v>
      </c>
      <c r="L4170">
        <v>1150</v>
      </c>
      <c r="M4170">
        <v>1150</v>
      </c>
      <c r="N4170">
        <v>109</v>
      </c>
      <c r="O4170" t="str">
        <f>"PAGAMENTO DE ENTREGADORES"</f>
        <v>PAGAMENTO DE ENTREGADORES</v>
      </c>
      <c r="P4170">
        <v>1150</v>
      </c>
      <c r="S4170" t="str">
        <f>"BANCO C6 (149)"</f>
        <v>BANCO C6 (149)</v>
      </c>
      <c r="T4170">
        <v>19007</v>
      </c>
      <c r="U4170">
        <v>22428</v>
      </c>
      <c r="V4170" t="s">
        <v>77</v>
      </c>
    </row>
    <row r="4171" spans="1:22">
      <c r="A4171" t="str">
        <f t="shared" si="773"/>
        <v>02/10/2025</v>
      </c>
      <c r="B4171" t="str">
        <f t="shared" si="772"/>
        <v>SAÍDA</v>
      </c>
      <c r="C4171" t="str">
        <f t="shared" si="774"/>
        <v>PIX</v>
      </c>
      <c r="D4171" t="str">
        <f>"22428"</f>
        <v>22428</v>
      </c>
      <c r="E4171" t="str">
        <f t="shared" ref="E4171:E4202" si="776">"1"</f>
        <v>1</v>
      </c>
      <c r="F4171" t="str">
        <f t="shared" si="771"/>
        <v>COM</v>
      </c>
      <c r="G4171" t="str">
        <f>"JOAO PEDRO BRITO DE SOUZA (876)"</f>
        <v>JOAO PEDRO BRITO DE SOUZA (876)</v>
      </c>
      <c r="H4171" t="s">
        <v>1200</v>
      </c>
      <c r="I4171" t="str">
        <f t="shared" si="775"/>
        <v>02/10/2025</v>
      </c>
      <c r="J4171" t="str">
        <f t="shared" si="770"/>
        <v>23/09/2025</v>
      </c>
      <c r="K4171">
        <v>45932</v>
      </c>
      <c r="N4171">
        <v>109</v>
      </c>
      <c r="O4171" t="s">
        <v>24</v>
      </c>
      <c r="Q4171">
        <v>829.96</v>
      </c>
      <c r="R4171" t="str">
        <f>"FARMÁCIA INDIANA LJ 48 (10018)"</f>
        <v>FARMÁCIA INDIANA LJ 48 (10018)</v>
      </c>
      <c r="S4171" t="s">
        <v>77</v>
      </c>
      <c r="T4171">
        <v>19007</v>
      </c>
      <c r="U4171">
        <v>22428</v>
      </c>
      <c r="V4171" t="s">
        <v>77</v>
      </c>
    </row>
    <row r="4172" spans="1:22">
      <c r="A4172" t="str">
        <f t="shared" si="773"/>
        <v>02/10/2025</v>
      </c>
      <c r="B4172" t="str">
        <f t="shared" si="772"/>
        <v>SAÍDA</v>
      </c>
      <c r="C4172" t="str">
        <f t="shared" si="774"/>
        <v>PIX</v>
      </c>
      <c r="D4172" t="str">
        <f>"22428"</f>
        <v>22428</v>
      </c>
      <c r="E4172" t="str">
        <f t="shared" si="776"/>
        <v>1</v>
      </c>
      <c r="F4172" t="str">
        <f t="shared" si="771"/>
        <v>COM</v>
      </c>
      <c r="G4172" t="str">
        <f>"JOAO PEDRO BRITO DE SOUZA (876)"</f>
        <v>JOAO PEDRO BRITO DE SOUZA (876)</v>
      </c>
      <c r="H4172" t="s">
        <v>1200</v>
      </c>
      <c r="I4172" t="str">
        <f t="shared" si="775"/>
        <v>02/10/2025</v>
      </c>
      <c r="J4172" t="str">
        <f t="shared" si="770"/>
        <v>23/09/2025</v>
      </c>
      <c r="K4172">
        <v>45932</v>
      </c>
      <c r="N4172">
        <v>109</v>
      </c>
      <c r="O4172" t="s">
        <v>24</v>
      </c>
      <c r="Q4172">
        <v>320.04000000000002</v>
      </c>
      <c r="R4172" t="str">
        <f>"FARMÁCIA INDIANA LJ 169 (10073)"</f>
        <v>FARMÁCIA INDIANA LJ 169 (10073)</v>
      </c>
      <c r="S4172" t="s">
        <v>77</v>
      </c>
      <c r="T4172">
        <v>19007</v>
      </c>
      <c r="U4172">
        <v>22428</v>
      </c>
      <c r="V4172" t="s">
        <v>77</v>
      </c>
    </row>
    <row r="4173" spans="1:22">
      <c r="A4173" t="str">
        <f t="shared" si="773"/>
        <v>02/10/2025</v>
      </c>
      <c r="B4173" t="str">
        <f t="shared" si="772"/>
        <v>SAÍDA</v>
      </c>
      <c r="C4173" t="str">
        <f t="shared" si="774"/>
        <v>PIX</v>
      </c>
      <c r="D4173" t="str">
        <f>"22427"</f>
        <v>22427</v>
      </c>
      <c r="E4173" t="str">
        <f t="shared" si="776"/>
        <v>1</v>
      </c>
      <c r="F4173" t="str">
        <f t="shared" si="771"/>
        <v>COM</v>
      </c>
      <c r="G4173" t="str">
        <f>"JIRLANIA RODRIGUES DOS SANTOS (152)"</f>
        <v>JIRLANIA RODRIGUES DOS SANTOS (152)</v>
      </c>
      <c r="H4173" t="str">
        <f>"Serv.Prest. 15/09/2025 a 21/09/2025 - PIX: CPF - CHAVE: 035.018.455-02"</f>
        <v>Serv.Prest. 15/09/2025 a 21/09/2025 - PIX: CPF - CHAVE: 035.018.455-02</v>
      </c>
      <c r="I4173" t="str">
        <f t="shared" si="775"/>
        <v>02/10/2025</v>
      </c>
      <c r="J4173" t="str">
        <f t="shared" si="770"/>
        <v>23/09/2025</v>
      </c>
      <c r="K4173" t="str">
        <f>("02/10/2025")</f>
        <v>02/10/2025</v>
      </c>
      <c r="L4173">
        <v>743.75</v>
      </c>
      <c r="M4173">
        <v>743.75</v>
      </c>
      <c r="N4173">
        <v>109</v>
      </c>
      <c r="O4173" t="str">
        <f>"PAGAMENTO DE ENTREGADORES"</f>
        <v>PAGAMENTO DE ENTREGADORES</v>
      </c>
      <c r="P4173">
        <v>743.75</v>
      </c>
      <c r="S4173" t="str">
        <f>"BANCO C6 (149)"</f>
        <v>BANCO C6 (149)</v>
      </c>
      <c r="T4173">
        <v>19008</v>
      </c>
      <c r="U4173">
        <v>22427</v>
      </c>
      <c r="V4173" t="s">
        <v>77</v>
      </c>
    </row>
    <row r="4174" spans="1:22">
      <c r="A4174" t="str">
        <f t="shared" si="773"/>
        <v>02/10/2025</v>
      </c>
      <c r="B4174" t="str">
        <f t="shared" si="772"/>
        <v>SAÍDA</v>
      </c>
      <c r="C4174" t="str">
        <f t="shared" si="774"/>
        <v>PIX</v>
      </c>
      <c r="D4174" t="str">
        <f>"22427"</f>
        <v>22427</v>
      </c>
      <c r="E4174" t="str">
        <f t="shared" si="776"/>
        <v>1</v>
      </c>
      <c r="F4174" t="str">
        <f t="shared" si="771"/>
        <v>COM</v>
      </c>
      <c r="G4174" t="str">
        <f>"JIRLANIA RODRIGUES DOS SANTOS (152)"</f>
        <v>JIRLANIA RODRIGUES DOS SANTOS (152)</v>
      </c>
      <c r="H4174" t="s">
        <v>1201</v>
      </c>
      <c r="I4174" t="str">
        <f t="shared" si="775"/>
        <v>02/10/2025</v>
      </c>
      <c r="J4174" t="str">
        <f t="shared" si="770"/>
        <v>23/09/2025</v>
      </c>
      <c r="K4174">
        <v>45932</v>
      </c>
      <c r="N4174">
        <v>109</v>
      </c>
      <c r="O4174" t="s">
        <v>24</v>
      </c>
      <c r="Q4174">
        <v>743.75</v>
      </c>
      <c r="R4174" t="str">
        <f>"FARMÁCIA INDIANA LJ 95 (10039)"</f>
        <v>FARMÁCIA INDIANA LJ 95 (10039)</v>
      </c>
      <c r="S4174" t="s">
        <v>77</v>
      </c>
      <c r="T4174">
        <v>19008</v>
      </c>
      <c r="U4174">
        <v>22427</v>
      </c>
      <c r="V4174" t="s">
        <v>77</v>
      </c>
    </row>
    <row r="4175" spans="1:22">
      <c r="A4175" t="str">
        <f t="shared" si="773"/>
        <v>02/10/2025</v>
      </c>
      <c r="B4175" t="str">
        <f t="shared" si="772"/>
        <v>SAÍDA</v>
      </c>
      <c r="C4175" t="str">
        <f t="shared" si="774"/>
        <v>PIX</v>
      </c>
      <c r="D4175" t="str">
        <f>"22426"</f>
        <v>22426</v>
      </c>
      <c r="E4175" t="str">
        <f t="shared" si="776"/>
        <v>1</v>
      </c>
      <c r="F4175" t="str">
        <f t="shared" si="771"/>
        <v>COM</v>
      </c>
      <c r="G4175" t="str">
        <f>"JARLES DE SOUZA PEREIRA (109)"</f>
        <v>JARLES DE SOUZA PEREIRA (109)</v>
      </c>
      <c r="H4175" t="str">
        <f>"Serv.Prest. 15/09/2025 a 21/09/2025 - PIX: CELULAR - CHAVE: (73) 99115-9602"</f>
        <v>Serv.Prest. 15/09/2025 a 21/09/2025 - PIX: CELULAR - CHAVE: (73) 99115-9602</v>
      </c>
      <c r="I4175" t="str">
        <f t="shared" si="775"/>
        <v>02/10/2025</v>
      </c>
      <c r="J4175" t="str">
        <f t="shared" si="770"/>
        <v>23/09/2025</v>
      </c>
      <c r="K4175" t="str">
        <f>("02/10/2025")</f>
        <v>02/10/2025</v>
      </c>
      <c r="L4175">
        <v>654</v>
      </c>
      <c r="M4175">
        <v>654</v>
      </c>
      <c r="N4175">
        <v>109</v>
      </c>
      <c r="O4175" t="str">
        <f>"PAGAMENTO DE ENTREGADORES"</f>
        <v>PAGAMENTO DE ENTREGADORES</v>
      </c>
      <c r="P4175">
        <v>654</v>
      </c>
      <c r="S4175" t="str">
        <f>"BANCO C6 (149)"</f>
        <v>BANCO C6 (149)</v>
      </c>
      <c r="T4175">
        <v>19009</v>
      </c>
      <c r="U4175">
        <v>22426</v>
      </c>
      <c r="V4175" t="s">
        <v>77</v>
      </c>
    </row>
    <row r="4176" spans="1:22">
      <c r="A4176" t="str">
        <f t="shared" si="773"/>
        <v>02/10/2025</v>
      </c>
      <c r="B4176" t="str">
        <f t="shared" si="772"/>
        <v>SAÍDA</v>
      </c>
      <c r="C4176" t="str">
        <f t="shared" si="774"/>
        <v>PIX</v>
      </c>
      <c r="D4176" t="str">
        <f>"22426"</f>
        <v>22426</v>
      </c>
      <c r="E4176" t="str">
        <f t="shared" si="776"/>
        <v>1</v>
      </c>
      <c r="F4176" t="str">
        <f t="shared" si="771"/>
        <v>COM</v>
      </c>
      <c r="G4176" t="str">
        <f>"JARLES DE SOUZA PEREIRA (109)"</f>
        <v>JARLES DE SOUZA PEREIRA (109)</v>
      </c>
      <c r="H4176" t="s">
        <v>1202</v>
      </c>
      <c r="I4176" t="str">
        <f t="shared" si="775"/>
        <v>02/10/2025</v>
      </c>
      <c r="J4176" t="str">
        <f t="shared" si="770"/>
        <v>23/09/2025</v>
      </c>
      <c r="K4176">
        <v>45932</v>
      </c>
      <c r="N4176">
        <v>109</v>
      </c>
      <c r="O4176" t="s">
        <v>24</v>
      </c>
      <c r="Q4176">
        <v>654</v>
      </c>
      <c r="R4176" t="str">
        <f>"FARMÁCIA INDIANA LJ 173 (10075)"</f>
        <v>FARMÁCIA INDIANA LJ 173 (10075)</v>
      </c>
      <c r="S4176" t="s">
        <v>77</v>
      </c>
      <c r="T4176">
        <v>19009</v>
      </c>
      <c r="U4176">
        <v>22426</v>
      </c>
      <c r="V4176" t="s">
        <v>77</v>
      </c>
    </row>
    <row r="4177" spans="1:22">
      <c r="A4177" t="str">
        <f t="shared" si="773"/>
        <v>02/10/2025</v>
      </c>
      <c r="B4177" t="str">
        <f t="shared" si="772"/>
        <v>SAÍDA</v>
      </c>
      <c r="C4177" t="str">
        <f t="shared" si="774"/>
        <v>PIX</v>
      </c>
      <c r="D4177" t="str">
        <f>"22425"</f>
        <v>22425</v>
      </c>
      <c r="E4177" t="str">
        <f t="shared" si="776"/>
        <v>1</v>
      </c>
      <c r="F4177" t="str">
        <f t="shared" si="771"/>
        <v>COM</v>
      </c>
      <c r="G4177" t="str">
        <f>"JALDENIR MENDES DOS SANTOS (167)"</f>
        <v>JALDENIR MENDES DOS SANTOS (167)</v>
      </c>
      <c r="H4177" t="str">
        <f>"Serv.Prest. 15/09/2025 a 21/09/2025 - PIX: CPF - CHAVE: 439.169.103-53"</f>
        <v>Serv.Prest. 15/09/2025 a 21/09/2025 - PIX: CPF - CHAVE: 439.169.103-53</v>
      </c>
      <c r="I4177" t="str">
        <f t="shared" si="775"/>
        <v>02/10/2025</v>
      </c>
      <c r="J4177" t="str">
        <f t="shared" ref="J4177:J4208" si="777">("23/09/2025")</f>
        <v>23/09/2025</v>
      </c>
      <c r="K4177" t="str">
        <f>("02/10/2025")</f>
        <v>02/10/2025</v>
      </c>
      <c r="L4177">
        <v>786.25</v>
      </c>
      <c r="M4177">
        <v>786.25</v>
      </c>
      <c r="N4177">
        <v>109</v>
      </c>
      <c r="O4177" t="str">
        <f>"PAGAMENTO DE ENTREGADORES"</f>
        <v>PAGAMENTO DE ENTREGADORES</v>
      </c>
      <c r="P4177">
        <v>786.25</v>
      </c>
      <c r="S4177" t="str">
        <f>"BANCO C6 (149)"</f>
        <v>BANCO C6 (149)</v>
      </c>
      <c r="T4177">
        <v>19010</v>
      </c>
      <c r="U4177">
        <v>22425</v>
      </c>
      <c r="V4177" t="s">
        <v>77</v>
      </c>
    </row>
    <row r="4178" spans="1:22">
      <c r="A4178" t="str">
        <f t="shared" si="773"/>
        <v>02/10/2025</v>
      </c>
      <c r="B4178" t="str">
        <f t="shared" si="772"/>
        <v>SAÍDA</v>
      </c>
      <c r="C4178" t="str">
        <f t="shared" si="774"/>
        <v>PIX</v>
      </c>
      <c r="D4178" t="str">
        <f>"22425"</f>
        <v>22425</v>
      </c>
      <c r="E4178" t="str">
        <f t="shared" si="776"/>
        <v>1</v>
      </c>
      <c r="F4178" t="str">
        <f t="shared" si="771"/>
        <v>COM</v>
      </c>
      <c r="G4178" t="str">
        <f>"JALDENIR MENDES DOS SANTOS (167)"</f>
        <v>JALDENIR MENDES DOS SANTOS (167)</v>
      </c>
      <c r="H4178" t="s">
        <v>1203</v>
      </c>
      <c r="I4178" t="str">
        <f t="shared" si="775"/>
        <v>02/10/2025</v>
      </c>
      <c r="J4178" t="str">
        <f t="shared" si="777"/>
        <v>23/09/2025</v>
      </c>
      <c r="K4178">
        <v>45932</v>
      </c>
      <c r="N4178">
        <v>109</v>
      </c>
      <c r="O4178" t="s">
        <v>24</v>
      </c>
      <c r="Q4178">
        <v>786.25</v>
      </c>
      <c r="R4178" t="str">
        <f>"FARMÁCIA INDIANA LJ 34 (10014)"</f>
        <v>FARMÁCIA INDIANA LJ 34 (10014)</v>
      </c>
      <c r="S4178" t="s">
        <v>77</v>
      </c>
      <c r="T4178">
        <v>19010</v>
      </c>
      <c r="U4178">
        <v>22425</v>
      </c>
      <c r="V4178" t="s">
        <v>77</v>
      </c>
    </row>
    <row r="4179" spans="1:22">
      <c r="A4179" t="str">
        <f t="shared" si="773"/>
        <v>02/10/2025</v>
      </c>
      <c r="B4179" t="str">
        <f t="shared" si="772"/>
        <v>SAÍDA</v>
      </c>
      <c r="C4179" t="str">
        <f t="shared" si="774"/>
        <v>PIX</v>
      </c>
      <c r="D4179" t="str">
        <f>"22424"</f>
        <v>22424</v>
      </c>
      <c r="E4179" t="str">
        <f t="shared" si="776"/>
        <v>1</v>
      </c>
      <c r="F4179" t="str">
        <f t="shared" si="771"/>
        <v>COM</v>
      </c>
      <c r="G4179" t="str">
        <f>"GUSTAVO SILVA LIMA (771)"</f>
        <v>GUSTAVO SILVA LIMA (771)</v>
      </c>
      <c r="H4179" t="str">
        <f>"Serv.Prest. 15/09/2025 a 21/09/2025 - PIX: CELULAR - CHAVE: (73) 98888-3793"</f>
        <v>Serv.Prest. 15/09/2025 a 21/09/2025 - PIX: CELULAR - CHAVE: (73) 98888-3793</v>
      </c>
      <c r="I4179" t="str">
        <f t="shared" si="775"/>
        <v>02/10/2025</v>
      </c>
      <c r="J4179" t="str">
        <f t="shared" si="777"/>
        <v>23/09/2025</v>
      </c>
      <c r="K4179" t="str">
        <f>("02/10/2025")</f>
        <v>02/10/2025</v>
      </c>
      <c r="L4179">
        <v>654</v>
      </c>
      <c r="M4179">
        <v>654</v>
      </c>
      <c r="N4179">
        <v>109</v>
      </c>
      <c r="O4179" t="str">
        <f>"PAGAMENTO DE ENTREGADORES"</f>
        <v>PAGAMENTO DE ENTREGADORES</v>
      </c>
      <c r="P4179">
        <v>654</v>
      </c>
      <c r="S4179" t="str">
        <f>"BANCO C6 (149)"</f>
        <v>BANCO C6 (149)</v>
      </c>
      <c r="T4179">
        <v>19011</v>
      </c>
      <c r="U4179">
        <v>22424</v>
      </c>
      <c r="V4179" t="s">
        <v>77</v>
      </c>
    </row>
    <row r="4180" spans="1:22">
      <c r="A4180" t="str">
        <f t="shared" si="773"/>
        <v>02/10/2025</v>
      </c>
      <c r="B4180" t="str">
        <f t="shared" si="772"/>
        <v>SAÍDA</v>
      </c>
      <c r="C4180" t="str">
        <f t="shared" si="774"/>
        <v>PIX</v>
      </c>
      <c r="D4180" t="str">
        <f>"22424"</f>
        <v>22424</v>
      </c>
      <c r="E4180" t="str">
        <f t="shared" si="776"/>
        <v>1</v>
      </c>
      <c r="F4180" t="str">
        <f t="shared" si="771"/>
        <v>COM</v>
      </c>
      <c r="G4180" t="str">
        <f>"GUSTAVO SILVA LIMA (771)"</f>
        <v>GUSTAVO SILVA LIMA (771)</v>
      </c>
      <c r="H4180" t="s">
        <v>1204</v>
      </c>
      <c r="I4180" t="str">
        <f t="shared" si="775"/>
        <v>02/10/2025</v>
      </c>
      <c r="J4180" t="str">
        <f t="shared" si="777"/>
        <v>23/09/2025</v>
      </c>
      <c r="K4180">
        <v>45932</v>
      </c>
      <c r="N4180">
        <v>109</v>
      </c>
      <c r="O4180" t="s">
        <v>24</v>
      </c>
      <c r="Q4180">
        <v>611.82000000000005</v>
      </c>
      <c r="R4180" t="str">
        <f>"FARMÁCIA INDIANA LJ 65 (10030)"</f>
        <v>FARMÁCIA INDIANA LJ 65 (10030)</v>
      </c>
      <c r="S4180" t="s">
        <v>77</v>
      </c>
      <c r="T4180">
        <v>19011</v>
      </c>
      <c r="U4180">
        <v>22424</v>
      </c>
      <c r="V4180" t="s">
        <v>77</v>
      </c>
    </row>
    <row r="4181" spans="1:22">
      <c r="A4181" t="str">
        <f t="shared" si="773"/>
        <v>02/10/2025</v>
      </c>
      <c r="B4181" t="str">
        <f t="shared" si="772"/>
        <v>SAÍDA</v>
      </c>
      <c r="C4181" t="str">
        <f t="shared" si="774"/>
        <v>PIX</v>
      </c>
      <c r="D4181" t="str">
        <f>"22424"</f>
        <v>22424</v>
      </c>
      <c r="E4181" t="str">
        <f t="shared" si="776"/>
        <v>1</v>
      </c>
      <c r="F4181" t="str">
        <f t="shared" si="771"/>
        <v>COM</v>
      </c>
      <c r="G4181" t="str">
        <f>"GUSTAVO SILVA LIMA (771)"</f>
        <v>GUSTAVO SILVA LIMA (771)</v>
      </c>
      <c r="H4181" t="s">
        <v>1204</v>
      </c>
      <c r="I4181" t="str">
        <f t="shared" si="775"/>
        <v>02/10/2025</v>
      </c>
      <c r="J4181" t="str">
        <f t="shared" si="777"/>
        <v>23/09/2025</v>
      </c>
      <c r="K4181">
        <v>45932</v>
      </c>
      <c r="N4181">
        <v>109</v>
      </c>
      <c r="O4181" t="s">
        <v>24</v>
      </c>
      <c r="Q4181">
        <v>42.18</v>
      </c>
      <c r="R4181" t="str">
        <f>"FARMÁCIA INDIANA LJ 173 (10075)"</f>
        <v>FARMÁCIA INDIANA LJ 173 (10075)</v>
      </c>
      <c r="S4181" t="s">
        <v>77</v>
      </c>
      <c r="T4181">
        <v>19011</v>
      </c>
      <c r="U4181">
        <v>22424</v>
      </c>
      <c r="V4181" t="s">
        <v>77</v>
      </c>
    </row>
    <row r="4182" spans="1:22">
      <c r="A4182" t="str">
        <f t="shared" si="773"/>
        <v>02/10/2025</v>
      </c>
      <c r="B4182" t="str">
        <f t="shared" ref="B4182:B4213" si="778">"SAÍDA"</f>
        <v>SAÍDA</v>
      </c>
      <c r="C4182" t="str">
        <f t="shared" si="774"/>
        <v>PIX</v>
      </c>
      <c r="D4182" t="str">
        <f>"22422"</f>
        <v>22422</v>
      </c>
      <c r="E4182" t="str">
        <f t="shared" si="776"/>
        <v>1</v>
      </c>
      <c r="F4182" t="str">
        <f t="shared" si="771"/>
        <v>COM</v>
      </c>
      <c r="G4182" t="str">
        <f>"GILBERTO PINHEIRO DA ROCHA (155)"</f>
        <v>GILBERTO PINHEIRO DA ROCHA (155)</v>
      </c>
      <c r="H4182" t="str">
        <f>"Serv.Prest. 15/09/2025 a 21/09/2025 - PIX: CELULAR - CHAVE: (73) 99941-8352"</f>
        <v>Serv.Prest. 15/09/2025 a 21/09/2025 - PIX: CELULAR - CHAVE: (73) 99941-8352</v>
      </c>
      <c r="I4182" t="str">
        <f t="shared" si="775"/>
        <v>02/10/2025</v>
      </c>
      <c r="J4182" t="str">
        <f t="shared" si="777"/>
        <v>23/09/2025</v>
      </c>
      <c r="K4182" t="str">
        <f>("02/10/2025")</f>
        <v>02/10/2025</v>
      </c>
      <c r="L4182">
        <v>739.5</v>
      </c>
      <c r="M4182">
        <v>739.5</v>
      </c>
      <c r="N4182">
        <v>109</v>
      </c>
      <c r="O4182" t="str">
        <f>"PAGAMENTO DE ENTREGADORES"</f>
        <v>PAGAMENTO DE ENTREGADORES</v>
      </c>
      <c r="P4182">
        <v>739.5</v>
      </c>
      <c r="S4182" t="str">
        <f>"BANCO C6 (149)"</f>
        <v>BANCO C6 (149)</v>
      </c>
      <c r="T4182">
        <v>19012</v>
      </c>
      <c r="U4182">
        <v>22422</v>
      </c>
      <c r="V4182" t="s">
        <v>77</v>
      </c>
    </row>
    <row r="4183" spans="1:22">
      <c r="A4183" t="str">
        <f t="shared" si="773"/>
        <v>02/10/2025</v>
      </c>
      <c r="B4183" t="str">
        <f t="shared" si="778"/>
        <v>SAÍDA</v>
      </c>
      <c r="C4183" t="str">
        <f t="shared" si="774"/>
        <v>PIX</v>
      </c>
      <c r="D4183" t="str">
        <f>"22422"</f>
        <v>22422</v>
      </c>
      <c r="E4183" t="str">
        <f t="shared" si="776"/>
        <v>1</v>
      </c>
      <c r="F4183" t="str">
        <f t="shared" si="771"/>
        <v>COM</v>
      </c>
      <c r="G4183" t="str">
        <f>"GILBERTO PINHEIRO DA ROCHA (155)"</f>
        <v>GILBERTO PINHEIRO DA ROCHA (155)</v>
      </c>
      <c r="H4183" t="s">
        <v>1205</v>
      </c>
      <c r="I4183" t="str">
        <f t="shared" si="775"/>
        <v>02/10/2025</v>
      </c>
      <c r="J4183" t="str">
        <f t="shared" si="777"/>
        <v>23/09/2025</v>
      </c>
      <c r="K4183">
        <v>45932</v>
      </c>
      <c r="N4183">
        <v>109</v>
      </c>
      <c r="O4183" t="s">
        <v>24</v>
      </c>
      <c r="Q4183">
        <v>739.5</v>
      </c>
      <c r="R4183" t="str">
        <f>"FARMÁCIA INDIANA LJ 34 (10014)"</f>
        <v>FARMÁCIA INDIANA LJ 34 (10014)</v>
      </c>
      <c r="S4183" t="s">
        <v>77</v>
      </c>
      <c r="T4183">
        <v>19012</v>
      </c>
      <c r="U4183">
        <v>22422</v>
      </c>
      <c r="V4183" t="s">
        <v>77</v>
      </c>
    </row>
    <row r="4184" spans="1:22">
      <c r="A4184" t="str">
        <f t="shared" si="773"/>
        <v>02/10/2025</v>
      </c>
      <c r="B4184" t="str">
        <f t="shared" si="778"/>
        <v>SAÍDA</v>
      </c>
      <c r="C4184" t="str">
        <f t="shared" si="774"/>
        <v>PIX</v>
      </c>
      <c r="D4184" t="str">
        <f>"22420"</f>
        <v>22420</v>
      </c>
      <c r="E4184" t="str">
        <f t="shared" si="776"/>
        <v>1</v>
      </c>
      <c r="F4184" t="str">
        <f t="shared" si="771"/>
        <v>COM</v>
      </c>
      <c r="G4184" t="str">
        <f>"ERIC DE RAMOS GOMES (606)"</f>
        <v>ERIC DE RAMOS GOMES (606)</v>
      </c>
      <c r="H4184" t="str">
        <f>"Serv.Prest. 15/09/2025 a 21/09/2025 - PIX: E-MAIL - CHAVE: ericgomes508@gmail.com"</f>
        <v>Serv.Prest. 15/09/2025 a 21/09/2025 - PIX: E-MAIL - CHAVE: ericgomes508@gmail.com</v>
      </c>
      <c r="I4184" t="str">
        <f t="shared" si="775"/>
        <v>02/10/2025</v>
      </c>
      <c r="J4184" t="str">
        <f t="shared" si="777"/>
        <v>23/09/2025</v>
      </c>
      <c r="K4184" t="str">
        <f>("02/10/2025")</f>
        <v>02/10/2025</v>
      </c>
      <c r="L4184">
        <v>600</v>
      </c>
      <c r="M4184">
        <v>600</v>
      </c>
      <c r="N4184">
        <v>109</v>
      </c>
      <c r="O4184" t="str">
        <f>"PAGAMENTO DE ENTREGADORES"</f>
        <v>PAGAMENTO DE ENTREGADORES</v>
      </c>
      <c r="P4184">
        <v>600</v>
      </c>
      <c r="S4184" t="str">
        <f>"BANCO C6 (149)"</f>
        <v>BANCO C6 (149)</v>
      </c>
      <c r="T4184">
        <v>19013</v>
      </c>
      <c r="U4184">
        <v>22420</v>
      </c>
      <c r="V4184" t="s">
        <v>77</v>
      </c>
    </row>
    <row r="4185" spans="1:22">
      <c r="A4185" t="str">
        <f t="shared" si="773"/>
        <v>02/10/2025</v>
      </c>
      <c r="B4185" t="str">
        <f t="shared" si="778"/>
        <v>SAÍDA</v>
      </c>
      <c r="C4185" t="str">
        <f t="shared" si="774"/>
        <v>PIX</v>
      </c>
      <c r="D4185" t="str">
        <f>"22420"</f>
        <v>22420</v>
      </c>
      <c r="E4185" t="str">
        <f t="shared" si="776"/>
        <v>1</v>
      </c>
      <c r="F4185" t="str">
        <f t="shared" si="771"/>
        <v>COM</v>
      </c>
      <c r="G4185" t="str">
        <f>"ERIC DE RAMOS GOMES (606)"</f>
        <v>ERIC DE RAMOS GOMES (606)</v>
      </c>
      <c r="H4185" t="s">
        <v>1206</v>
      </c>
      <c r="I4185" t="str">
        <f t="shared" si="775"/>
        <v>02/10/2025</v>
      </c>
      <c r="J4185" t="str">
        <f t="shared" si="777"/>
        <v>23/09/2025</v>
      </c>
      <c r="K4185">
        <v>45932</v>
      </c>
      <c r="N4185">
        <v>109</v>
      </c>
      <c r="O4185" t="s">
        <v>24</v>
      </c>
      <c r="Q4185">
        <v>600</v>
      </c>
      <c r="R4185" t="str">
        <f>"FARMÁCIA INDIANA LJ 91 (10037)"</f>
        <v>FARMÁCIA INDIANA LJ 91 (10037)</v>
      </c>
      <c r="S4185" t="s">
        <v>77</v>
      </c>
      <c r="T4185">
        <v>19013</v>
      </c>
      <c r="U4185">
        <v>22420</v>
      </c>
      <c r="V4185" t="s">
        <v>77</v>
      </c>
    </row>
    <row r="4186" spans="1:22">
      <c r="A4186" t="str">
        <f t="shared" si="773"/>
        <v>02/10/2025</v>
      </c>
      <c r="B4186" t="str">
        <f t="shared" si="778"/>
        <v>SAÍDA</v>
      </c>
      <c r="C4186" t="str">
        <f t="shared" si="774"/>
        <v>PIX</v>
      </c>
      <c r="D4186" t="str">
        <f>"22419"</f>
        <v>22419</v>
      </c>
      <c r="E4186" t="str">
        <f t="shared" si="776"/>
        <v>1</v>
      </c>
      <c r="F4186" t="str">
        <f t="shared" si="771"/>
        <v>COM</v>
      </c>
      <c r="G4186" t="str">
        <f>"EDUARDO SILVA DE JESUS (143)"</f>
        <v>EDUARDO SILVA DE JESUS (143)</v>
      </c>
      <c r="H4186" t="str">
        <f>"Serv.Prest. 15/09/2025 a 21/09/2025 - PIX: CPF - CHAVE: 094.947.395-23"</f>
        <v>Serv.Prest. 15/09/2025 a 21/09/2025 - PIX: CPF - CHAVE: 094.947.395-23</v>
      </c>
      <c r="I4186" t="str">
        <f t="shared" si="775"/>
        <v>02/10/2025</v>
      </c>
      <c r="J4186" t="str">
        <f t="shared" si="777"/>
        <v>23/09/2025</v>
      </c>
      <c r="K4186" t="str">
        <f>("02/10/2025")</f>
        <v>02/10/2025</v>
      </c>
      <c r="L4186">
        <v>864</v>
      </c>
      <c r="M4186">
        <v>864</v>
      </c>
      <c r="N4186">
        <v>109</v>
      </c>
      <c r="O4186" t="str">
        <f>"PAGAMENTO DE ENTREGADORES"</f>
        <v>PAGAMENTO DE ENTREGADORES</v>
      </c>
      <c r="P4186">
        <v>864</v>
      </c>
      <c r="S4186" t="str">
        <f>"BANCO C6 (149)"</f>
        <v>BANCO C6 (149)</v>
      </c>
      <c r="T4186">
        <v>19014</v>
      </c>
      <c r="U4186">
        <v>22419</v>
      </c>
      <c r="V4186" t="s">
        <v>77</v>
      </c>
    </row>
    <row r="4187" spans="1:22">
      <c r="A4187" t="str">
        <f t="shared" si="773"/>
        <v>02/10/2025</v>
      </c>
      <c r="B4187" t="str">
        <f t="shared" si="778"/>
        <v>SAÍDA</v>
      </c>
      <c r="C4187" t="str">
        <f t="shared" si="774"/>
        <v>PIX</v>
      </c>
      <c r="D4187" t="str">
        <f>"22419"</f>
        <v>22419</v>
      </c>
      <c r="E4187" t="str">
        <f t="shared" si="776"/>
        <v>1</v>
      </c>
      <c r="F4187" t="str">
        <f t="shared" si="771"/>
        <v>COM</v>
      </c>
      <c r="G4187" t="str">
        <f>"EDUARDO SILVA DE JESUS (143)"</f>
        <v>EDUARDO SILVA DE JESUS (143)</v>
      </c>
      <c r="H4187" t="s">
        <v>1207</v>
      </c>
      <c r="I4187" t="str">
        <f t="shared" si="775"/>
        <v>02/10/2025</v>
      </c>
      <c r="J4187" t="str">
        <f t="shared" si="777"/>
        <v>23/09/2025</v>
      </c>
      <c r="K4187">
        <v>45932</v>
      </c>
      <c r="N4187">
        <v>109</v>
      </c>
      <c r="O4187" t="s">
        <v>24</v>
      </c>
      <c r="Q4187">
        <v>864</v>
      </c>
      <c r="R4187" t="str">
        <f>"FARMÁCIA INDIANA LJ 91 (10037)"</f>
        <v>FARMÁCIA INDIANA LJ 91 (10037)</v>
      </c>
      <c r="S4187" t="s">
        <v>77</v>
      </c>
      <c r="T4187">
        <v>19014</v>
      </c>
      <c r="U4187">
        <v>22419</v>
      </c>
      <c r="V4187" t="s">
        <v>77</v>
      </c>
    </row>
    <row r="4188" spans="1:22">
      <c r="A4188" t="str">
        <f t="shared" si="773"/>
        <v>02/10/2025</v>
      </c>
      <c r="B4188" t="str">
        <f t="shared" si="778"/>
        <v>SAÍDA</v>
      </c>
      <c r="C4188" t="str">
        <f t="shared" si="774"/>
        <v>PIX</v>
      </c>
      <c r="D4188" t="str">
        <f>"22418"</f>
        <v>22418</v>
      </c>
      <c r="E4188" t="str">
        <f t="shared" si="776"/>
        <v>1</v>
      </c>
      <c r="F4188" t="str">
        <f t="shared" si="771"/>
        <v>COM</v>
      </c>
      <c r="G4188" t="str">
        <f>"DIOCLECIO SANDES JOTA (135)"</f>
        <v>DIOCLECIO SANDES JOTA (135)</v>
      </c>
      <c r="H4188" t="str">
        <f>"Serv.Prest. 15/09/2025 a 21/09/2025 - PIX: CELULAR - CHAVE: (73) 99966-7211"</f>
        <v>Serv.Prest. 15/09/2025 a 21/09/2025 - PIX: CELULAR - CHAVE: (73) 99966-7211</v>
      </c>
      <c r="I4188" t="str">
        <f t="shared" si="775"/>
        <v>02/10/2025</v>
      </c>
      <c r="J4188" t="str">
        <f t="shared" si="777"/>
        <v>23/09/2025</v>
      </c>
      <c r="K4188" t="str">
        <f>("02/10/2025")</f>
        <v>02/10/2025</v>
      </c>
      <c r="L4188">
        <v>1188</v>
      </c>
      <c r="M4188">
        <v>1188</v>
      </c>
      <c r="N4188">
        <v>109</v>
      </c>
      <c r="O4188" t="str">
        <f>"PAGAMENTO DE ENTREGADORES"</f>
        <v>PAGAMENTO DE ENTREGADORES</v>
      </c>
      <c r="P4188">
        <v>1188</v>
      </c>
      <c r="S4188" t="str">
        <f>"BANCO C6 (149)"</f>
        <v>BANCO C6 (149)</v>
      </c>
      <c r="T4188">
        <v>19015</v>
      </c>
      <c r="U4188">
        <v>22418</v>
      </c>
      <c r="V4188" t="s">
        <v>77</v>
      </c>
    </row>
    <row r="4189" spans="1:22">
      <c r="A4189" t="str">
        <f t="shared" si="773"/>
        <v>02/10/2025</v>
      </c>
      <c r="B4189" t="str">
        <f t="shared" si="778"/>
        <v>SAÍDA</v>
      </c>
      <c r="C4189" t="str">
        <f t="shared" si="774"/>
        <v>PIX</v>
      </c>
      <c r="D4189" t="str">
        <f>"22418"</f>
        <v>22418</v>
      </c>
      <c r="E4189" t="str">
        <f t="shared" si="776"/>
        <v>1</v>
      </c>
      <c r="F4189" t="str">
        <f t="shared" si="771"/>
        <v>COM</v>
      </c>
      <c r="G4189" t="str">
        <f>"DIOCLECIO SANDES JOTA (135)"</f>
        <v>DIOCLECIO SANDES JOTA (135)</v>
      </c>
      <c r="H4189" t="s">
        <v>1208</v>
      </c>
      <c r="I4189" t="str">
        <f t="shared" si="775"/>
        <v>02/10/2025</v>
      </c>
      <c r="J4189" t="str">
        <f t="shared" si="777"/>
        <v>23/09/2025</v>
      </c>
      <c r="K4189">
        <v>45932</v>
      </c>
      <c r="N4189">
        <v>109</v>
      </c>
      <c r="O4189" t="s">
        <v>24</v>
      </c>
      <c r="Q4189">
        <v>1188</v>
      </c>
      <c r="R4189" t="str">
        <f>"FARMÁCIA INDIANA LJ 91 (10037)"</f>
        <v>FARMÁCIA INDIANA LJ 91 (10037)</v>
      </c>
      <c r="S4189" t="s">
        <v>77</v>
      </c>
      <c r="T4189">
        <v>19015</v>
      </c>
      <c r="U4189">
        <v>22418</v>
      </c>
      <c r="V4189" t="s">
        <v>77</v>
      </c>
    </row>
    <row r="4190" spans="1:22">
      <c r="A4190" t="str">
        <f t="shared" si="773"/>
        <v>02/10/2025</v>
      </c>
      <c r="B4190" t="str">
        <f t="shared" si="778"/>
        <v>SAÍDA</v>
      </c>
      <c r="C4190" t="str">
        <f t="shared" si="774"/>
        <v>PIX</v>
      </c>
      <c r="D4190" t="str">
        <f>"22416"</f>
        <v>22416</v>
      </c>
      <c r="E4190" t="str">
        <f t="shared" si="776"/>
        <v>1</v>
      </c>
      <c r="F4190" t="str">
        <f t="shared" si="771"/>
        <v>COM</v>
      </c>
      <c r="G4190" t="str">
        <f>"CARLOS ALBERTO DE JESUS SANTOS (110)"</f>
        <v>CARLOS ALBERTO DE JESUS SANTOS (110)</v>
      </c>
      <c r="H4190" t="str">
        <f>"Serv.Prest. 15/09/2025 a 21/09/2025 - PIX: CPF - CHAVE: 036.875.515-04"</f>
        <v>Serv.Prest. 15/09/2025 a 21/09/2025 - PIX: CPF - CHAVE: 036.875.515-04</v>
      </c>
      <c r="I4190" t="str">
        <f t="shared" si="775"/>
        <v>02/10/2025</v>
      </c>
      <c r="J4190" t="str">
        <f t="shared" si="777"/>
        <v>23/09/2025</v>
      </c>
      <c r="K4190" t="str">
        <f>("02/10/2025")</f>
        <v>02/10/2025</v>
      </c>
      <c r="L4190">
        <v>654</v>
      </c>
      <c r="M4190">
        <v>654</v>
      </c>
      <c r="N4190">
        <v>109</v>
      </c>
      <c r="O4190" t="str">
        <f>"PAGAMENTO DE ENTREGADORES"</f>
        <v>PAGAMENTO DE ENTREGADORES</v>
      </c>
      <c r="P4190">
        <v>654</v>
      </c>
      <c r="S4190" t="str">
        <f>"BANCO C6 (149)"</f>
        <v>BANCO C6 (149)</v>
      </c>
      <c r="T4190">
        <v>19016</v>
      </c>
      <c r="U4190">
        <v>22416</v>
      </c>
      <c r="V4190" t="s">
        <v>77</v>
      </c>
    </row>
    <row r="4191" spans="1:22">
      <c r="A4191" t="str">
        <f t="shared" si="773"/>
        <v>02/10/2025</v>
      </c>
      <c r="B4191" t="str">
        <f t="shared" si="778"/>
        <v>SAÍDA</v>
      </c>
      <c r="C4191" t="str">
        <f t="shared" si="774"/>
        <v>PIX</v>
      </c>
      <c r="D4191" t="str">
        <f>"22416"</f>
        <v>22416</v>
      </c>
      <c r="E4191" t="str">
        <f t="shared" si="776"/>
        <v>1</v>
      </c>
      <c r="F4191" t="str">
        <f t="shared" si="771"/>
        <v>COM</v>
      </c>
      <c r="G4191" t="str">
        <f>"CARLOS ALBERTO DE JESUS SANTOS (110)"</f>
        <v>CARLOS ALBERTO DE JESUS SANTOS (110)</v>
      </c>
      <c r="H4191" t="s">
        <v>1209</v>
      </c>
      <c r="I4191" t="str">
        <f t="shared" si="775"/>
        <v>02/10/2025</v>
      </c>
      <c r="J4191" t="str">
        <f t="shared" si="777"/>
        <v>23/09/2025</v>
      </c>
      <c r="K4191">
        <v>45932</v>
      </c>
      <c r="N4191">
        <v>109</v>
      </c>
      <c r="O4191" t="s">
        <v>24</v>
      </c>
      <c r="Q4191">
        <v>365.46</v>
      </c>
      <c r="R4191" t="str">
        <f>"FARMÁCIA INDIANA LJ 65 (10030)"</f>
        <v>FARMÁCIA INDIANA LJ 65 (10030)</v>
      </c>
      <c r="S4191" t="s">
        <v>77</v>
      </c>
      <c r="T4191">
        <v>19016</v>
      </c>
      <c r="U4191">
        <v>22416</v>
      </c>
      <c r="V4191" t="s">
        <v>77</v>
      </c>
    </row>
    <row r="4192" spans="1:22">
      <c r="A4192" t="str">
        <f t="shared" si="773"/>
        <v>02/10/2025</v>
      </c>
      <c r="B4192" t="str">
        <f t="shared" si="778"/>
        <v>SAÍDA</v>
      </c>
      <c r="C4192" t="str">
        <f t="shared" si="774"/>
        <v>PIX</v>
      </c>
      <c r="D4192" t="str">
        <f>"22416"</f>
        <v>22416</v>
      </c>
      <c r="E4192" t="str">
        <f t="shared" si="776"/>
        <v>1</v>
      </c>
      <c r="F4192" t="str">
        <f t="shared" si="771"/>
        <v>COM</v>
      </c>
      <c r="G4192" t="str">
        <f>"CARLOS ALBERTO DE JESUS SANTOS (110)"</f>
        <v>CARLOS ALBERTO DE JESUS SANTOS (110)</v>
      </c>
      <c r="H4192" t="s">
        <v>1209</v>
      </c>
      <c r="I4192" t="str">
        <f t="shared" si="775"/>
        <v>02/10/2025</v>
      </c>
      <c r="J4192" t="str">
        <f t="shared" si="777"/>
        <v>23/09/2025</v>
      </c>
      <c r="K4192">
        <v>45932</v>
      </c>
      <c r="N4192">
        <v>109</v>
      </c>
      <c r="O4192" t="s">
        <v>24</v>
      </c>
      <c r="Q4192">
        <v>288.54000000000002</v>
      </c>
      <c r="R4192" t="str">
        <f>"FARMÁCIA INDIANA LJ 173 (10075)"</f>
        <v>FARMÁCIA INDIANA LJ 173 (10075)</v>
      </c>
      <c r="S4192" t="s">
        <v>77</v>
      </c>
      <c r="T4192">
        <v>19016</v>
      </c>
      <c r="U4192">
        <v>22416</v>
      </c>
      <c r="V4192" t="s">
        <v>77</v>
      </c>
    </row>
    <row r="4193" spans="1:22">
      <c r="A4193" t="str">
        <f t="shared" si="773"/>
        <v>02/10/2025</v>
      </c>
      <c r="B4193" t="str">
        <f t="shared" si="778"/>
        <v>SAÍDA</v>
      </c>
      <c r="C4193" t="str">
        <f t="shared" si="774"/>
        <v>PIX</v>
      </c>
      <c r="D4193" t="str">
        <f>"22414"</f>
        <v>22414</v>
      </c>
      <c r="E4193" t="str">
        <f t="shared" si="776"/>
        <v>1</v>
      </c>
      <c r="F4193" t="str">
        <f t="shared" si="771"/>
        <v>COM</v>
      </c>
      <c r="G4193" t="str">
        <f>"YAN EVERTON RODRIGUES DE LIMA (875)"</f>
        <v>YAN EVERTON RODRIGUES DE LIMA (875)</v>
      </c>
      <c r="H4193" t="str">
        <f>"Serv.Prest. 15/09/2025 a 21/09/2025 - PIX: CELULAR - CHAVE: (33) 99859-8751"</f>
        <v>Serv.Prest. 15/09/2025 a 21/09/2025 - PIX: CELULAR - CHAVE: (33) 99859-8751</v>
      </c>
      <c r="I4193" t="str">
        <f t="shared" si="775"/>
        <v>02/10/2025</v>
      </c>
      <c r="J4193" t="str">
        <f t="shared" si="777"/>
        <v>23/09/2025</v>
      </c>
      <c r="K4193" t="str">
        <f>("02/10/2025")</f>
        <v>02/10/2025</v>
      </c>
      <c r="L4193">
        <v>1080</v>
      </c>
      <c r="M4193">
        <v>1080</v>
      </c>
      <c r="N4193">
        <v>109</v>
      </c>
      <c r="O4193" t="str">
        <f>"PAGAMENTO DE ENTREGADORES"</f>
        <v>PAGAMENTO DE ENTREGADORES</v>
      </c>
      <c r="P4193">
        <v>1080</v>
      </c>
      <c r="S4193" t="str">
        <f>"BANCO C6 (149)"</f>
        <v>BANCO C6 (149)</v>
      </c>
      <c r="T4193">
        <v>19017</v>
      </c>
      <c r="U4193">
        <v>22414</v>
      </c>
      <c r="V4193" t="s">
        <v>77</v>
      </c>
    </row>
    <row r="4194" spans="1:22">
      <c r="A4194" t="str">
        <f t="shared" si="773"/>
        <v>02/10/2025</v>
      </c>
      <c r="B4194" t="str">
        <f t="shared" si="778"/>
        <v>SAÍDA</v>
      </c>
      <c r="C4194" t="str">
        <f t="shared" si="774"/>
        <v>PIX</v>
      </c>
      <c r="D4194" t="str">
        <f>"22414"</f>
        <v>22414</v>
      </c>
      <c r="E4194" t="str">
        <f t="shared" si="776"/>
        <v>1</v>
      </c>
      <c r="F4194" t="str">
        <f t="shared" si="771"/>
        <v>COM</v>
      </c>
      <c r="G4194" t="str">
        <f>"YAN EVERTON RODRIGUES DE LIMA (875)"</f>
        <v>YAN EVERTON RODRIGUES DE LIMA (875)</v>
      </c>
      <c r="H4194" t="s">
        <v>1210</v>
      </c>
      <c r="I4194" t="str">
        <f t="shared" si="775"/>
        <v>02/10/2025</v>
      </c>
      <c r="J4194" t="str">
        <f t="shared" si="777"/>
        <v>23/09/2025</v>
      </c>
      <c r="K4194">
        <v>45932</v>
      </c>
      <c r="N4194">
        <v>109</v>
      </c>
      <c r="O4194" t="s">
        <v>24</v>
      </c>
      <c r="Q4194">
        <v>1080</v>
      </c>
      <c r="R4194" t="str">
        <f>"FARMÁCIA INDIANA LJ 06 (10006)"</f>
        <v>FARMÁCIA INDIANA LJ 06 (10006)</v>
      </c>
      <c r="S4194" t="s">
        <v>77</v>
      </c>
      <c r="T4194">
        <v>19017</v>
      </c>
      <c r="U4194">
        <v>22414</v>
      </c>
      <c r="V4194" t="s">
        <v>77</v>
      </c>
    </row>
    <row r="4195" spans="1:22">
      <c r="A4195" t="str">
        <f t="shared" si="773"/>
        <v>02/10/2025</v>
      </c>
      <c r="B4195" t="str">
        <f t="shared" si="778"/>
        <v>SAÍDA</v>
      </c>
      <c r="C4195" t="str">
        <f t="shared" si="774"/>
        <v>PIX</v>
      </c>
      <c r="D4195" t="str">
        <f>"22413"</f>
        <v>22413</v>
      </c>
      <c r="E4195" t="str">
        <f t="shared" si="776"/>
        <v>1</v>
      </c>
      <c r="F4195" t="str">
        <f t="shared" si="771"/>
        <v>COM</v>
      </c>
      <c r="G4195" t="str">
        <f>"WILIAN ROSA VIEIRA (488)"</f>
        <v>WILIAN ROSA VIEIRA (488)</v>
      </c>
      <c r="H4195" t="str">
        <f>"Serv.Prest. 15/09/2025 a 21/09/2025 - PIX: E-MAIL - CHAVE: wilianvieirawrv3578@gmail.com"</f>
        <v>Serv.Prest. 15/09/2025 a 21/09/2025 - PIX: E-MAIL - CHAVE: wilianvieirawrv3578@gmail.com</v>
      </c>
      <c r="I4195" t="str">
        <f t="shared" si="775"/>
        <v>02/10/2025</v>
      </c>
      <c r="J4195" t="str">
        <f t="shared" si="777"/>
        <v>23/09/2025</v>
      </c>
      <c r="K4195" t="str">
        <f>("02/10/2025")</f>
        <v>02/10/2025</v>
      </c>
      <c r="L4195">
        <v>984</v>
      </c>
      <c r="M4195">
        <v>984</v>
      </c>
      <c r="N4195">
        <v>109</v>
      </c>
      <c r="O4195" t="str">
        <f>"PAGAMENTO DE ENTREGADORES"</f>
        <v>PAGAMENTO DE ENTREGADORES</v>
      </c>
      <c r="P4195">
        <v>984</v>
      </c>
      <c r="S4195" t="str">
        <f>"BANCO C6 (149)"</f>
        <v>BANCO C6 (149)</v>
      </c>
      <c r="T4195">
        <v>19018</v>
      </c>
      <c r="U4195">
        <v>22413</v>
      </c>
      <c r="V4195" t="s">
        <v>77</v>
      </c>
    </row>
    <row r="4196" spans="1:22">
      <c r="A4196" t="str">
        <f t="shared" si="773"/>
        <v>02/10/2025</v>
      </c>
      <c r="B4196" t="str">
        <f t="shared" si="778"/>
        <v>SAÍDA</v>
      </c>
      <c r="C4196" t="str">
        <f t="shared" si="774"/>
        <v>PIX</v>
      </c>
      <c r="D4196" t="str">
        <f>"22413"</f>
        <v>22413</v>
      </c>
      <c r="E4196" t="str">
        <f t="shared" si="776"/>
        <v>1</v>
      </c>
      <c r="F4196" t="str">
        <f t="shared" si="771"/>
        <v>COM</v>
      </c>
      <c r="G4196" t="str">
        <f>"WILIAN ROSA VIEIRA (488)"</f>
        <v>WILIAN ROSA VIEIRA (488)</v>
      </c>
      <c r="H4196" t="s">
        <v>1211</v>
      </c>
      <c r="I4196" t="str">
        <f t="shared" si="775"/>
        <v>02/10/2025</v>
      </c>
      <c r="J4196" t="str">
        <f t="shared" si="777"/>
        <v>23/09/2025</v>
      </c>
      <c r="K4196">
        <v>45932</v>
      </c>
      <c r="N4196">
        <v>109</v>
      </c>
      <c r="O4196" t="s">
        <v>24</v>
      </c>
      <c r="Q4196">
        <v>455.99</v>
      </c>
      <c r="R4196" t="str">
        <f>"FARMÁCIA INDIANA LJ 103 (10044)"</f>
        <v>FARMÁCIA INDIANA LJ 103 (10044)</v>
      </c>
      <c r="S4196" t="s">
        <v>77</v>
      </c>
      <c r="T4196">
        <v>19018</v>
      </c>
      <c r="U4196">
        <v>22413</v>
      </c>
      <c r="V4196" t="s">
        <v>77</v>
      </c>
    </row>
    <row r="4197" spans="1:22">
      <c r="A4197" t="str">
        <f t="shared" si="773"/>
        <v>02/10/2025</v>
      </c>
      <c r="B4197" t="str">
        <f t="shared" si="778"/>
        <v>SAÍDA</v>
      </c>
      <c r="C4197" t="str">
        <f t="shared" si="774"/>
        <v>PIX</v>
      </c>
      <c r="D4197" t="str">
        <f>"22413"</f>
        <v>22413</v>
      </c>
      <c r="E4197" t="str">
        <f t="shared" si="776"/>
        <v>1</v>
      </c>
      <c r="F4197" t="str">
        <f t="shared" si="771"/>
        <v>COM</v>
      </c>
      <c r="G4197" t="str">
        <f>"WILIAN ROSA VIEIRA (488)"</f>
        <v>WILIAN ROSA VIEIRA (488)</v>
      </c>
      <c r="H4197" t="s">
        <v>1211</v>
      </c>
      <c r="I4197" t="str">
        <f t="shared" si="775"/>
        <v>02/10/2025</v>
      </c>
      <c r="J4197" t="str">
        <f t="shared" si="777"/>
        <v>23/09/2025</v>
      </c>
      <c r="K4197">
        <v>45932</v>
      </c>
      <c r="N4197">
        <v>109</v>
      </c>
      <c r="O4197" t="s">
        <v>24</v>
      </c>
      <c r="Q4197">
        <v>282.01</v>
      </c>
      <c r="R4197" t="str">
        <f>"FARMÁCIA INDIANA LJ 140 (10064)"</f>
        <v>FARMÁCIA INDIANA LJ 140 (10064)</v>
      </c>
      <c r="S4197" t="s">
        <v>77</v>
      </c>
      <c r="T4197">
        <v>19018</v>
      </c>
      <c r="U4197">
        <v>22413</v>
      </c>
      <c r="V4197" t="s">
        <v>77</v>
      </c>
    </row>
    <row r="4198" spans="1:22">
      <c r="A4198" t="str">
        <f t="shared" si="773"/>
        <v>02/10/2025</v>
      </c>
      <c r="B4198" t="str">
        <f t="shared" si="778"/>
        <v>SAÍDA</v>
      </c>
      <c r="C4198" t="str">
        <f t="shared" si="774"/>
        <v>PIX</v>
      </c>
      <c r="D4198" t="str">
        <f>"22413"</f>
        <v>22413</v>
      </c>
      <c r="E4198" t="str">
        <f t="shared" si="776"/>
        <v>1</v>
      </c>
      <c r="F4198" t="str">
        <f t="shared" si="771"/>
        <v>COM</v>
      </c>
      <c r="G4198" t="str">
        <f>"WILIAN ROSA VIEIRA (488)"</f>
        <v>WILIAN ROSA VIEIRA (488)</v>
      </c>
      <c r="H4198" t="s">
        <v>1211</v>
      </c>
      <c r="I4198" t="str">
        <f t="shared" si="775"/>
        <v>02/10/2025</v>
      </c>
      <c r="J4198" t="str">
        <f t="shared" si="777"/>
        <v>23/09/2025</v>
      </c>
      <c r="K4198">
        <v>45932</v>
      </c>
      <c r="N4198">
        <v>109</v>
      </c>
      <c r="O4198" t="s">
        <v>24</v>
      </c>
      <c r="Q4198">
        <v>60.02</v>
      </c>
      <c r="R4198" t="str">
        <f>"FARMÁCIA INDIANA LJ 141 (10065)"</f>
        <v>FARMÁCIA INDIANA LJ 141 (10065)</v>
      </c>
      <c r="S4198" t="s">
        <v>77</v>
      </c>
      <c r="T4198">
        <v>19018</v>
      </c>
      <c r="U4198">
        <v>22413</v>
      </c>
      <c r="V4198" t="s">
        <v>77</v>
      </c>
    </row>
    <row r="4199" spans="1:22">
      <c r="A4199" t="str">
        <f t="shared" si="773"/>
        <v>02/10/2025</v>
      </c>
      <c r="B4199" t="str">
        <f t="shared" si="778"/>
        <v>SAÍDA</v>
      </c>
      <c r="C4199" t="str">
        <f t="shared" si="774"/>
        <v>PIX</v>
      </c>
      <c r="D4199" t="str">
        <f>"22413"</f>
        <v>22413</v>
      </c>
      <c r="E4199" t="str">
        <f t="shared" si="776"/>
        <v>1</v>
      </c>
      <c r="F4199" t="str">
        <f t="shared" si="771"/>
        <v>COM</v>
      </c>
      <c r="G4199" t="str">
        <f>"WILIAN ROSA VIEIRA (488)"</f>
        <v>WILIAN ROSA VIEIRA (488)</v>
      </c>
      <c r="H4199" t="s">
        <v>1211</v>
      </c>
      <c r="I4199" t="str">
        <f t="shared" si="775"/>
        <v>02/10/2025</v>
      </c>
      <c r="J4199" t="str">
        <f t="shared" si="777"/>
        <v>23/09/2025</v>
      </c>
      <c r="K4199">
        <v>45932</v>
      </c>
      <c r="N4199">
        <v>109</v>
      </c>
      <c r="O4199" t="s">
        <v>24</v>
      </c>
      <c r="Q4199">
        <v>185.98</v>
      </c>
      <c r="R4199" t="str">
        <f>"FARMÁCIA INDIANA LJ 154 (10070)"</f>
        <v>FARMÁCIA INDIANA LJ 154 (10070)</v>
      </c>
      <c r="S4199" t="s">
        <v>77</v>
      </c>
      <c r="T4199">
        <v>19018</v>
      </c>
      <c r="U4199">
        <v>22413</v>
      </c>
      <c r="V4199" t="s">
        <v>77</v>
      </c>
    </row>
    <row r="4200" spans="1:22">
      <c r="A4200" t="str">
        <f t="shared" si="773"/>
        <v>02/10/2025</v>
      </c>
      <c r="B4200" t="str">
        <f t="shared" si="778"/>
        <v>SAÍDA</v>
      </c>
      <c r="C4200" t="str">
        <f t="shared" si="774"/>
        <v>PIX</v>
      </c>
      <c r="D4200" t="str">
        <f>"22412"</f>
        <v>22412</v>
      </c>
      <c r="E4200" t="str">
        <f t="shared" si="776"/>
        <v>1</v>
      </c>
      <c r="F4200" t="str">
        <f t="shared" si="771"/>
        <v>COM</v>
      </c>
      <c r="G4200" t="str">
        <f>"WENDEL LIMA DE SOUZA (112)"</f>
        <v>WENDEL LIMA DE SOUZA (112)</v>
      </c>
      <c r="H4200" t="str">
        <f>"Serv.Prest. 15/09/2025 a 21/09/2025 - PIX: CPF - CHAVE: 012.906.122-00"</f>
        <v>Serv.Prest. 15/09/2025 a 21/09/2025 - PIX: CPF - CHAVE: 012.906.122-00</v>
      </c>
      <c r="I4200" t="str">
        <f t="shared" si="775"/>
        <v>02/10/2025</v>
      </c>
      <c r="J4200" t="str">
        <f t="shared" si="777"/>
        <v>23/09/2025</v>
      </c>
      <c r="K4200" t="str">
        <f>("02/10/2025")</f>
        <v>02/10/2025</v>
      </c>
      <c r="L4200">
        <v>1440</v>
      </c>
      <c r="M4200">
        <v>1440</v>
      </c>
      <c r="N4200">
        <v>109</v>
      </c>
      <c r="O4200" t="str">
        <f>"PAGAMENTO DE ENTREGADORES"</f>
        <v>PAGAMENTO DE ENTREGADORES</v>
      </c>
      <c r="P4200">
        <v>1440</v>
      </c>
      <c r="S4200" t="str">
        <f>"BANCO C6 (149)"</f>
        <v>BANCO C6 (149)</v>
      </c>
      <c r="T4200">
        <v>19019</v>
      </c>
      <c r="U4200">
        <v>22412</v>
      </c>
      <c r="V4200" t="s">
        <v>77</v>
      </c>
    </row>
    <row r="4201" spans="1:22">
      <c r="A4201" t="str">
        <f t="shared" si="773"/>
        <v>02/10/2025</v>
      </c>
      <c r="B4201" t="str">
        <f t="shared" si="778"/>
        <v>SAÍDA</v>
      </c>
      <c r="C4201" t="str">
        <f t="shared" si="774"/>
        <v>PIX</v>
      </c>
      <c r="D4201" t="str">
        <f>"22412"</f>
        <v>22412</v>
      </c>
      <c r="E4201" t="str">
        <f t="shared" si="776"/>
        <v>1</v>
      </c>
      <c r="F4201" t="str">
        <f t="shared" si="771"/>
        <v>COM</v>
      </c>
      <c r="G4201" t="str">
        <f>"WENDEL LIMA DE SOUZA (112)"</f>
        <v>WENDEL LIMA DE SOUZA (112)</v>
      </c>
      <c r="H4201" t="s">
        <v>1212</v>
      </c>
      <c r="I4201" t="str">
        <f t="shared" si="775"/>
        <v>02/10/2025</v>
      </c>
      <c r="J4201" t="str">
        <f t="shared" si="777"/>
        <v>23/09/2025</v>
      </c>
      <c r="K4201">
        <v>45932</v>
      </c>
      <c r="N4201">
        <v>109</v>
      </c>
      <c r="O4201" t="s">
        <v>24</v>
      </c>
      <c r="Q4201">
        <v>1440</v>
      </c>
      <c r="R4201" t="str">
        <f>"FARMÁCIA INDIANA LJ 11 (10008)"</f>
        <v>FARMÁCIA INDIANA LJ 11 (10008)</v>
      </c>
      <c r="S4201" t="s">
        <v>77</v>
      </c>
      <c r="T4201">
        <v>19019</v>
      </c>
      <c r="U4201">
        <v>22412</v>
      </c>
      <c r="V4201" t="s">
        <v>77</v>
      </c>
    </row>
    <row r="4202" spans="1:22">
      <c r="A4202" t="str">
        <f t="shared" si="773"/>
        <v>02/10/2025</v>
      </c>
      <c r="B4202" t="str">
        <f t="shared" si="778"/>
        <v>SAÍDA</v>
      </c>
      <c r="C4202" t="str">
        <f t="shared" si="774"/>
        <v>PIX</v>
      </c>
      <c r="D4202" t="str">
        <f>"22411"</f>
        <v>22411</v>
      </c>
      <c r="E4202" t="str">
        <f t="shared" si="776"/>
        <v>1</v>
      </c>
      <c r="F4202" t="str">
        <f t="shared" si="771"/>
        <v>COM</v>
      </c>
      <c r="G4202" t="str">
        <f>"WEMERSON MOREIRA PESSOA (75)"</f>
        <v>WEMERSON MOREIRA PESSOA (75)</v>
      </c>
      <c r="H4202" t="str">
        <f>"Serv.Prest. 15/09/2025 a 21/09/2025 - PIX: CELULAR - CHAVE: (33) 99996-3668"</f>
        <v>Serv.Prest. 15/09/2025 a 21/09/2025 - PIX: CELULAR - CHAVE: (33) 99996-3668</v>
      </c>
      <c r="I4202" t="str">
        <f t="shared" si="775"/>
        <v>02/10/2025</v>
      </c>
      <c r="J4202" t="str">
        <f t="shared" si="777"/>
        <v>23/09/2025</v>
      </c>
      <c r="K4202" t="str">
        <f>("02/10/2025")</f>
        <v>02/10/2025</v>
      </c>
      <c r="L4202">
        <v>684</v>
      </c>
      <c r="M4202">
        <v>684</v>
      </c>
      <c r="N4202">
        <v>109</v>
      </c>
      <c r="O4202" t="str">
        <f>"PAGAMENTO DE ENTREGADORES"</f>
        <v>PAGAMENTO DE ENTREGADORES</v>
      </c>
      <c r="P4202">
        <v>684</v>
      </c>
      <c r="S4202" t="str">
        <f>"BANCO C6 (149)"</f>
        <v>BANCO C6 (149)</v>
      </c>
      <c r="T4202">
        <v>19020</v>
      </c>
      <c r="U4202">
        <v>22411</v>
      </c>
      <c r="V4202" t="s">
        <v>77</v>
      </c>
    </row>
    <row r="4203" spans="1:22">
      <c r="A4203" t="str">
        <f t="shared" si="773"/>
        <v>02/10/2025</v>
      </c>
      <c r="B4203" t="str">
        <f t="shared" si="778"/>
        <v>SAÍDA</v>
      </c>
      <c r="C4203" t="str">
        <f t="shared" si="774"/>
        <v>PIX</v>
      </c>
      <c r="D4203" t="str">
        <f>"22411"</f>
        <v>22411</v>
      </c>
      <c r="E4203" t="str">
        <f t="shared" ref="E4203:E4234" si="779">"1"</f>
        <v>1</v>
      </c>
      <c r="F4203" t="str">
        <f t="shared" si="771"/>
        <v>COM</v>
      </c>
      <c r="G4203" t="str">
        <f>"WEMERSON MOREIRA PESSOA (75)"</f>
        <v>WEMERSON MOREIRA PESSOA (75)</v>
      </c>
      <c r="H4203" t="s">
        <v>1213</v>
      </c>
      <c r="I4203" t="str">
        <f t="shared" si="775"/>
        <v>02/10/2025</v>
      </c>
      <c r="J4203" t="str">
        <f t="shared" si="777"/>
        <v>23/09/2025</v>
      </c>
      <c r="K4203">
        <v>45932</v>
      </c>
      <c r="N4203">
        <v>109</v>
      </c>
      <c r="O4203" t="s">
        <v>24</v>
      </c>
      <c r="Q4203">
        <v>684</v>
      </c>
      <c r="R4203" t="str">
        <f>"FARMÁCIA INDIANA LJ 07 (10007)"</f>
        <v>FARMÁCIA INDIANA LJ 07 (10007)</v>
      </c>
      <c r="S4203" t="s">
        <v>77</v>
      </c>
      <c r="T4203">
        <v>19020</v>
      </c>
      <c r="U4203">
        <v>22411</v>
      </c>
      <c r="V4203" t="s">
        <v>77</v>
      </c>
    </row>
    <row r="4204" spans="1:22">
      <c r="A4204" t="str">
        <f t="shared" si="773"/>
        <v>02/10/2025</v>
      </c>
      <c r="B4204" t="str">
        <f t="shared" si="778"/>
        <v>SAÍDA</v>
      </c>
      <c r="C4204" t="str">
        <f t="shared" si="774"/>
        <v>PIX</v>
      </c>
      <c r="D4204" t="str">
        <f>"22410"</f>
        <v>22410</v>
      </c>
      <c r="E4204" t="str">
        <f t="shared" si="779"/>
        <v>1</v>
      </c>
      <c r="F4204" t="str">
        <f t="shared" si="771"/>
        <v>COM</v>
      </c>
      <c r="G4204" t="str">
        <f>"WEMERSON FELIPE LOPES (187)"</f>
        <v>WEMERSON FELIPE LOPES (187)</v>
      </c>
      <c r="H4204" t="str">
        <f>"Serv.Prest. 15/09/2025 a 21/09/2025 - PIX: CELULAR - CHAVE: (33) 98806-5772"</f>
        <v>Serv.Prest. 15/09/2025 a 21/09/2025 - PIX: CELULAR - CHAVE: (33) 98806-5772</v>
      </c>
      <c r="I4204" t="str">
        <f t="shared" si="775"/>
        <v>02/10/2025</v>
      </c>
      <c r="J4204" t="str">
        <f t="shared" si="777"/>
        <v>23/09/2025</v>
      </c>
      <c r="K4204" t="str">
        <f>("02/10/2025")</f>
        <v>02/10/2025</v>
      </c>
      <c r="L4204">
        <v>1194</v>
      </c>
      <c r="M4204">
        <v>1194</v>
      </c>
      <c r="N4204">
        <v>109</v>
      </c>
      <c r="O4204" t="str">
        <f>"PAGAMENTO DE ENTREGADORES"</f>
        <v>PAGAMENTO DE ENTREGADORES</v>
      </c>
      <c r="P4204">
        <v>1194</v>
      </c>
      <c r="S4204" t="str">
        <f>"BANCO C6 (149)"</f>
        <v>BANCO C6 (149)</v>
      </c>
      <c r="T4204">
        <v>19021</v>
      </c>
      <c r="U4204">
        <v>22410</v>
      </c>
      <c r="V4204" t="s">
        <v>77</v>
      </c>
    </row>
    <row r="4205" spans="1:22">
      <c r="A4205" t="str">
        <f t="shared" si="773"/>
        <v>02/10/2025</v>
      </c>
      <c r="B4205" t="str">
        <f t="shared" si="778"/>
        <v>SAÍDA</v>
      </c>
      <c r="C4205" t="str">
        <f t="shared" si="774"/>
        <v>PIX</v>
      </c>
      <c r="D4205" t="str">
        <f>"22410"</f>
        <v>22410</v>
      </c>
      <c r="E4205" t="str">
        <f t="shared" si="779"/>
        <v>1</v>
      </c>
      <c r="F4205" t="str">
        <f t="shared" si="771"/>
        <v>COM</v>
      </c>
      <c r="G4205" t="str">
        <f>"WEMERSON FELIPE LOPES (187)"</f>
        <v>WEMERSON FELIPE LOPES (187)</v>
      </c>
      <c r="H4205" t="s">
        <v>1214</v>
      </c>
      <c r="I4205" t="str">
        <f t="shared" si="775"/>
        <v>02/10/2025</v>
      </c>
      <c r="J4205" t="str">
        <f t="shared" si="777"/>
        <v>23/09/2025</v>
      </c>
      <c r="K4205">
        <v>45932</v>
      </c>
      <c r="N4205">
        <v>109</v>
      </c>
      <c r="O4205" t="s">
        <v>24</v>
      </c>
      <c r="Q4205">
        <v>1194</v>
      </c>
      <c r="R4205" t="str">
        <f>"FARMÁCIA INDIANA LJ 06 (10006)"</f>
        <v>FARMÁCIA INDIANA LJ 06 (10006)</v>
      </c>
      <c r="S4205" t="s">
        <v>77</v>
      </c>
      <c r="T4205">
        <v>19021</v>
      </c>
      <c r="U4205">
        <v>22410</v>
      </c>
      <c r="V4205" t="s">
        <v>77</v>
      </c>
    </row>
    <row r="4206" spans="1:22">
      <c r="A4206" t="str">
        <f t="shared" si="773"/>
        <v>02/10/2025</v>
      </c>
      <c r="B4206" t="str">
        <f t="shared" si="778"/>
        <v>SAÍDA</v>
      </c>
      <c r="C4206" t="str">
        <f t="shared" si="774"/>
        <v>PIX</v>
      </c>
      <c r="D4206" t="str">
        <f>"22409"</f>
        <v>22409</v>
      </c>
      <c r="E4206" t="str">
        <f t="shared" si="779"/>
        <v>1</v>
      </c>
      <c r="F4206" t="str">
        <f t="shared" si="771"/>
        <v>COM</v>
      </c>
      <c r="G4206" t="str">
        <f>"WELVES DA SILVA RAMOS (194)"</f>
        <v>WELVES DA SILVA RAMOS (194)</v>
      </c>
      <c r="H4206" t="str">
        <f>"Serv.Prest. 15/09/2025 a 21/09/2025 - PIX: CPF - CHAVE: 700.454.836-80"</f>
        <v>Serv.Prest. 15/09/2025 a 21/09/2025 - PIX: CPF - CHAVE: 700.454.836-80</v>
      </c>
      <c r="I4206" t="str">
        <f t="shared" si="775"/>
        <v>02/10/2025</v>
      </c>
      <c r="J4206" t="str">
        <f t="shared" si="777"/>
        <v>23/09/2025</v>
      </c>
      <c r="K4206" t="str">
        <f>("02/10/2025")</f>
        <v>02/10/2025</v>
      </c>
      <c r="L4206">
        <v>1080</v>
      </c>
      <c r="M4206">
        <v>1080</v>
      </c>
      <c r="N4206">
        <v>109</v>
      </c>
      <c r="O4206" t="str">
        <f>"PAGAMENTO DE ENTREGADORES"</f>
        <v>PAGAMENTO DE ENTREGADORES</v>
      </c>
      <c r="P4206">
        <v>1080</v>
      </c>
      <c r="S4206" t="str">
        <f>"BANCO C6 (149)"</f>
        <v>BANCO C6 (149)</v>
      </c>
      <c r="T4206">
        <v>19022</v>
      </c>
      <c r="U4206">
        <v>22409</v>
      </c>
      <c r="V4206" t="s">
        <v>77</v>
      </c>
    </row>
    <row r="4207" spans="1:22">
      <c r="A4207" t="str">
        <f t="shared" si="773"/>
        <v>02/10/2025</v>
      </c>
      <c r="B4207" t="str">
        <f t="shared" si="778"/>
        <v>SAÍDA</v>
      </c>
      <c r="C4207" t="str">
        <f t="shared" si="774"/>
        <v>PIX</v>
      </c>
      <c r="D4207" t="str">
        <f>"22409"</f>
        <v>22409</v>
      </c>
      <c r="E4207" t="str">
        <f t="shared" si="779"/>
        <v>1</v>
      </c>
      <c r="F4207" t="str">
        <f t="shared" si="771"/>
        <v>COM</v>
      </c>
      <c r="G4207" t="str">
        <f>"WELVES DA SILVA RAMOS (194)"</f>
        <v>WELVES DA SILVA RAMOS (194)</v>
      </c>
      <c r="H4207" t="s">
        <v>1215</v>
      </c>
      <c r="I4207" t="str">
        <f t="shared" si="775"/>
        <v>02/10/2025</v>
      </c>
      <c r="J4207" t="str">
        <f t="shared" si="777"/>
        <v>23/09/2025</v>
      </c>
      <c r="K4207">
        <v>45932</v>
      </c>
      <c r="N4207">
        <v>109</v>
      </c>
      <c r="O4207" t="s">
        <v>24</v>
      </c>
      <c r="Q4207">
        <v>1080</v>
      </c>
      <c r="R4207" t="str">
        <f>"FARMÁCIA INDIANA LJ 06 (10006)"</f>
        <v>FARMÁCIA INDIANA LJ 06 (10006)</v>
      </c>
      <c r="S4207" t="s">
        <v>77</v>
      </c>
      <c r="T4207">
        <v>19022</v>
      </c>
      <c r="U4207">
        <v>22409</v>
      </c>
      <c r="V4207" t="s">
        <v>77</v>
      </c>
    </row>
    <row r="4208" spans="1:22">
      <c r="A4208" t="str">
        <f t="shared" si="773"/>
        <v>02/10/2025</v>
      </c>
      <c r="B4208" t="str">
        <f t="shared" si="778"/>
        <v>SAÍDA</v>
      </c>
      <c r="C4208" t="str">
        <f t="shared" si="774"/>
        <v>PIX</v>
      </c>
      <c r="D4208" t="str">
        <f>"22408"</f>
        <v>22408</v>
      </c>
      <c r="E4208" t="str">
        <f t="shared" si="779"/>
        <v>1</v>
      </c>
      <c r="F4208" t="str">
        <f t="shared" si="771"/>
        <v>COM</v>
      </c>
      <c r="G4208" t="str">
        <f>"WELLINGTON DOS SANTOS ALVES (438)"</f>
        <v>WELLINGTON DOS SANTOS ALVES (438)</v>
      </c>
      <c r="H4208" t="str">
        <f>"Serv.Prest. 15/09/2025 a 21/09/2025 - PIX: CELULAR - CHAVE: (32) 99800-1691"</f>
        <v>Serv.Prest. 15/09/2025 a 21/09/2025 - PIX: CELULAR - CHAVE: (32) 99800-1691</v>
      </c>
      <c r="I4208" t="str">
        <f t="shared" si="775"/>
        <v>02/10/2025</v>
      </c>
      <c r="J4208" t="str">
        <f t="shared" si="777"/>
        <v>23/09/2025</v>
      </c>
      <c r="K4208" t="str">
        <f>("02/10/2025")</f>
        <v>02/10/2025</v>
      </c>
      <c r="L4208">
        <v>700.8</v>
      </c>
      <c r="M4208">
        <v>700.8</v>
      </c>
      <c r="N4208">
        <v>109</v>
      </c>
      <c r="O4208" t="str">
        <f>"PAGAMENTO DE ENTREGADORES"</f>
        <v>PAGAMENTO DE ENTREGADORES</v>
      </c>
      <c r="P4208">
        <v>700.8</v>
      </c>
      <c r="S4208" t="str">
        <f>"BANCO C6 (149)"</f>
        <v>BANCO C6 (149)</v>
      </c>
      <c r="T4208">
        <v>19023</v>
      </c>
      <c r="U4208">
        <v>22408</v>
      </c>
      <c r="V4208" t="s">
        <v>77</v>
      </c>
    </row>
    <row r="4209" spans="1:22">
      <c r="A4209" t="str">
        <f t="shared" si="773"/>
        <v>02/10/2025</v>
      </c>
      <c r="B4209" t="str">
        <f t="shared" si="778"/>
        <v>SAÍDA</v>
      </c>
      <c r="C4209" t="str">
        <f t="shared" si="774"/>
        <v>PIX</v>
      </c>
      <c r="D4209" t="str">
        <f>"22408"</f>
        <v>22408</v>
      </c>
      <c r="E4209" t="str">
        <f t="shared" si="779"/>
        <v>1</v>
      </c>
      <c r="F4209" t="str">
        <f t="shared" si="771"/>
        <v>COM</v>
      </c>
      <c r="G4209" t="str">
        <f>"WELLINGTON DOS SANTOS ALVES (438)"</f>
        <v>WELLINGTON DOS SANTOS ALVES (438)</v>
      </c>
      <c r="H4209" t="s">
        <v>1216</v>
      </c>
      <c r="I4209" t="str">
        <f t="shared" si="775"/>
        <v>02/10/2025</v>
      </c>
      <c r="J4209" t="str">
        <f t="shared" ref="J4209:J4240" si="780">("23/09/2025")</f>
        <v>23/09/2025</v>
      </c>
      <c r="K4209">
        <v>45932</v>
      </c>
      <c r="N4209">
        <v>109</v>
      </c>
      <c r="O4209" t="s">
        <v>24</v>
      </c>
      <c r="Q4209">
        <v>670.95</v>
      </c>
      <c r="R4209" t="str">
        <f>"FARMÁCIA INDIANA LJ 112 (10050)"</f>
        <v>FARMÁCIA INDIANA LJ 112 (10050)</v>
      </c>
      <c r="S4209" t="s">
        <v>77</v>
      </c>
      <c r="T4209">
        <v>19023</v>
      </c>
      <c r="U4209">
        <v>22408</v>
      </c>
      <c r="V4209" t="s">
        <v>77</v>
      </c>
    </row>
    <row r="4210" spans="1:22">
      <c r="A4210" t="str">
        <f t="shared" si="773"/>
        <v>02/10/2025</v>
      </c>
      <c r="B4210" t="str">
        <f t="shared" si="778"/>
        <v>SAÍDA</v>
      </c>
      <c r="C4210" t="str">
        <f t="shared" si="774"/>
        <v>PIX</v>
      </c>
      <c r="D4210" t="str">
        <f>"22408"</f>
        <v>22408</v>
      </c>
      <c r="E4210" t="str">
        <f t="shared" si="779"/>
        <v>1</v>
      </c>
      <c r="F4210" t="str">
        <f t="shared" si="771"/>
        <v>COM</v>
      </c>
      <c r="G4210" t="str">
        <f>"WELLINGTON DOS SANTOS ALVES (438)"</f>
        <v>WELLINGTON DOS SANTOS ALVES (438)</v>
      </c>
      <c r="H4210" t="s">
        <v>1216</v>
      </c>
      <c r="I4210" t="str">
        <f t="shared" si="775"/>
        <v>02/10/2025</v>
      </c>
      <c r="J4210" t="str">
        <f t="shared" si="780"/>
        <v>23/09/2025</v>
      </c>
      <c r="K4210">
        <v>45932</v>
      </c>
      <c r="N4210">
        <v>109</v>
      </c>
      <c r="O4210" t="s">
        <v>24</v>
      </c>
      <c r="Q4210">
        <v>29.85</v>
      </c>
      <c r="R4210" t="str">
        <f>"FARMÁCIA INDIANA LJ 121 (10054)"</f>
        <v>FARMÁCIA INDIANA LJ 121 (10054)</v>
      </c>
      <c r="S4210" t="s">
        <v>77</v>
      </c>
      <c r="T4210">
        <v>19023</v>
      </c>
      <c r="U4210">
        <v>22408</v>
      </c>
      <c r="V4210" t="s">
        <v>77</v>
      </c>
    </row>
    <row r="4211" spans="1:22">
      <c r="A4211" t="str">
        <f t="shared" si="773"/>
        <v>02/10/2025</v>
      </c>
      <c r="B4211" t="str">
        <f t="shared" si="778"/>
        <v>SAÍDA</v>
      </c>
      <c r="C4211" t="str">
        <f t="shared" si="774"/>
        <v>PIX</v>
      </c>
      <c r="D4211" t="str">
        <f>"22406"</f>
        <v>22406</v>
      </c>
      <c r="E4211" t="str">
        <f t="shared" si="779"/>
        <v>1</v>
      </c>
      <c r="F4211" t="str">
        <f t="shared" si="771"/>
        <v>COM</v>
      </c>
      <c r="G4211" t="str">
        <f>"WARLEN JUNIO ELIAS DE OLIVEIRA (171)"</f>
        <v>WARLEN JUNIO ELIAS DE OLIVEIRA (171)</v>
      </c>
      <c r="H4211" t="str">
        <f>"Serv.Prest. 15/09/2025 a 21/09/2025 - PIX: CELULAR - CHAVE: (31) 97251-6838"</f>
        <v>Serv.Prest. 15/09/2025 a 21/09/2025 - PIX: CELULAR - CHAVE: (31) 97251-6838</v>
      </c>
      <c r="I4211" t="str">
        <f t="shared" si="775"/>
        <v>02/10/2025</v>
      </c>
      <c r="J4211" t="str">
        <f t="shared" si="780"/>
        <v>23/09/2025</v>
      </c>
      <c r="K4211" t="str">
        <f>("02/10/2025")</f>
        <v>02/10/2025</v>
      </c>
      <c r="L4211">
        <v>575</v>
      </c>
      <c r="M4211">
        <v>575</v>
      </c>
      <c r="N4211">
        <v>109</v>
      </c>
      <c r="O4211" t="str">
        <f>"PAGAMENTO DE ENTREGADORES"</f>
        <v>PAGAMENTO DE ENTREGADORES</v>
      </c>
      <c r="P4211">
        <v>575</v>
      </c>
      <c r="S4211" t="str">
        <f>"BANCO C6 (149)"</f>
        <v>BANCO C6 (149)</v>
      </c>
      <c r="T4211">
        <v>19024</v>
      </c>
      <c r="U4211">
        <v>22406</v>
      </c>
      <c r="V4211" t="s">
        <v>77</v>
      </c>
    </row>
    <row r="4212" spans="1:22">
      <c r="A4212" t="str">
        <f t="shared" si="773"/>
        <v>02/10/2025</v>
      </c>
      <c r="B4212" t="str">
        <f t="shared" si="778"/>
        <v>SAÍDA</v>
      </c>
      <c r="C4212" t="str">
        <f t="shared" si="774"/>
        <v>PIX</v>
      </c>
      <c r="D4212" t="str">
        <f>"22406"</f>
        <v>22406</v>
      </c>
      <c r="E4212" t="str">
        <f t="shared" si="779"/>
        <v>1</v>
      </c>
      <c r="F4212" t="str">
        <f t="shared" ref="F4212:F4275" si="781">"COM"</f>
        <v>COM</v>
      </c>
      <c r="G4212" t="str">
        <f>"WARLEN JUNIO ELIAS DE OLIVEIRA (171)"</f>
        <v>WARLEN JUNIO ELIAS DE OLIVEIRA (171)</v>
      </c>
      <c r="H4212" t="s">
        <v>1217</v>
      </c>
      <c r="I4212" t="str">
        <f t="shared" si="775"/>
        <v>02/10/2025</v>
      </c>
      <c r="J4212" t="str">
        <f t="shared" si="780"/>
        <v>23/09/2025</v>
      </c>
      <c r="K4212">
        <v>45932</v>
      </c>
      <c r="N4212">
        <v>109</v>
      </c>
      <c r="O4212" t="s">
        <v>24</v>
      </c>
      <c r="Q4212">
        <v>575</v>
      </c>
      <c r="R4212" t="str">
        <f>"FARMÁCIA INDIANA LJ 175 (10076)"</f>
        <v>FARMÁCIA INDIANA LJ 175 (10076)</v>
      </c>
      <c r="S4212" t="s">
        <v>77</v>
      </c>
      <c r="T4212">
        <v>19024</v>
      </c>
      <c r="U4212">
        <v>22406</v>
      </c>
      <c r="V4212" t="s">
        <v>77</v>
      </c>
    </row>
    <row r="4213" spans="1:22">
      <c r="A4213" t="str">
        <f t="shared" si="773"/>
        <v>02/10/2025</v>
      </c>
      <c r="B4213" t="str">
        <f t="shared" si="778"/>
        <v>SAÍDA</v>
      </c>
      <c r="C4213" t="str">
        <f t="shared" si="774"/>
        <v>PIX</v>
      </c>
      <c r="D4213" t="str">
        <f>"22405"</f>
        <v>22405</v>
      </c>
      <c r="E4213" t="str">
        <f t="shared" si="779"/>
        <v>1</v>
      </c>
      <c r="F4213" t="str">
        <f t="shared" si="781"/>
        <v>COM</v>
      </c>
      <c r="G4213" t="str">
        <f>"WAGNER DOS SANTOS LIMA (31)"</f>
        <v>WAGNER DOS SANTOS LIMA (31)</v>
      </c>
      <c r="H4213" t="str">
        <f>"Serv.Prest. 15/09/2025 a 21/09/2025 - PIX: CELULAR - CHAVE: (33) 99118-9032"</f>
        <v>Serv.Prest. 15/09/2025 a 21/09/2025 - PIX: CELULAR - CHAVE: (33) 99118-9032</v>
      </c>
      <c r="I4213" t="str">
        <f t="shared" si="775"/>
        <v>02/10/2025</v>
      </c>
      <c r="J4213" t="str">
        <f t="shared" si="780"/>
        <v>23/09/2025</v>
      </c>
      <c r="K4213" t="str">
        <f>("02/10/2025")</f>
        <v>02/10/2025</v>
      </c>
      <c r="L4213">
        <v>1089</v>
      </c>
      <c r="M4213">
        <v>1089</v>
      </c>
      <c r="N4213">
        <v>109</v>
      </c>
      <c r="O4213" t="str">
        <f>"PAGAMENTO DE ENTREGADORES"</f>
        <v>PAGAMENTO DE ENTREGADORES</v>
      </c>
      <c r="P4213">
        <v>1089</v>
      </c>
      <c r="S4213" t="str">
        <f>"BANCO C6 (149)"</f>
        <v>BANCO C6 (149)</v>
      </c>
      <c r="T4213">
        <v>19025</v>
      </c>
      <c r="U4213">
        <v>22405</v>
      </c>
      <c r="V4213" t="s">
        <v>77</v>
      </c>
    </row>
    <row r="4214" spans="1:22">
      <c r="A4214" t="str">
        <f t="shared" si="773"/>
        <v>02/10/2025</v>
      </c>
      <c r="B4214" t="str">
        <f t="shared" ref="B4214:B4245" si="782">"SAÍDA"</f>
        <v>SAÍDA</v>
      </c>
      <c r="C4214" t="str">
        <f t="shared" si="774"/>
        <v>PIX</v>
      </c>
      <c r="D4214" t="str">
        <f>"22405"</f>
        <v>22405</v>
      </c>
      <c r="E4214" t="str">
        <f t="shared" si="779"/>
        <v>1</v>
      </c>
      <c r="F4214" t="str">
        <f t="shared" si="781"/>
        <v>COM</v>
      </c>
      <c r="G4214" t="str">
        <f>"WAGNER DOS SANTOS LIMA (31)"</f>
        <v>WAGNER DOS SANTOS LIMA (31)</v>
      </c>
      <c r="H4214" t="s">
        <v>1218</v>
      </c>
      <c r="I4214" t="str">
        <f t="shared" si="775"/>
        <v>02/10/2025</v>
      </c>
      <c r="J4214" t="str">
        <f t="shared" si="780"/>
        <v>23/09/2025</v>
      </c>
      <c r="K4214">
        <v>45932</v>
      </c>
      <c r="N4214">
        <v>109</v>
      </c>
      <c r="O4214" t="s">
        <v>24</v>
      </c>
      <c r="Q4214">
        <v>54.99</v>
      </c>
      <c r="R4214" t="str">
        <f>"FARMÁCIA INDIANA LJ 40 (10016)"</f>
        <v>FARMÁCIA INDIANA LJ 40 (10016)</v>
      </c>
      <c r="S4214" t="s">
        <v>77</v>
      </c>
      <c r="T4214">
        <v>19025</v>
      </c>
      <c r="U4214">
        <v>22405</v>
      </c>
      <c r="V4214" t="s">
        <v>77</v>
      </c>
    </row>
    <row r="4215" spans="1:22">
      <c r="A4215" t="str">
        <f t="shared" si="773"/>
        <v>02/10/2025</v>
      </c>
      <c r="B4215" t="str">
        <f t="shared" si="782"/>
        <v>SAÍDA</v>
      </c>
      <c r="C4215" t="str">
        <f t="shared" si="774"/>
        <v>PIX</v>
      </c>
      <c r="D4215" t="str">
        <f>"22405"</f>
        <v>22405</v>
      </c>
      <c r="E4215" t="str">
        <f t="shared" si="779"/>
        <v>1</v>
      </c>
      <c r="F4215" t="str">
        <f t="shared" si="781"/>
        <v>COM</v>
      </c>
      <c r="G4215" t="str">
        <f>"WAGNER DOS SANTOS LIMA (31)"</f>
        <v>WAGNER DOS SANTOS LIMA (31)</v>
      </c>
      <c r="H4215" t="s">
        <v>1218</v>
      </c>
      <c r="I4215" t="str">
        <f t="shared" si="775"/>
        <v>02/10/2025</v>
      </c>
      <c r="J4215" t="str">
        <f t="shared" si="780"/>
        <v>23/09/2025</v>
      </c>
      <c r="K4215">
        <v>45932</v>
      </c>
      <c r="N4215">
        <v>109</v>
      </c>
      <c r="O4215" t="s">
        <v>24</v>
      </c>
      <c r="Q4215">
        <v>1034.01</v>
      </c>
      <c r="R4215" t="str">
        <f>"FARMÁCIA INDIANA LJ 61 (10027)"</f>
        <v>FARMÁCIA INDIANA LJ 61 (10027)</v>
      </c>
      <c r="S4215" t="s">
        <v>77</v>
      </c>
      <c r="T4215">
        <v>19025</v>
      </c>
      <c r="U4215">
        <v>22405</v>
      </c>
      <c r="V4215" t="s">
        <v>77</v>
      </c>
    </row>
    <row r="4216" spans="1:22">
      <c r="A4216" t="str">
        <f t="shared" si="773"/>
        <v>02/10/2025</v>
      </c>
      <c r="B4216" t="str">
        <f t="shared" si="782"/>
        <v>SAÍDA</v>
      </c>
      <c r="C4216" t="str">
        <f t="shared" si="774"/>
        <v>PIX</v>
      </c>
      <c r="D4216" t="str">
        <f>"22404"</f>
        <v>22404</v>
      </c>
      <c r="E4216" t="str">
        <f t="shared" si="779"/>
        <v>1</v>
      </c>
      <c r="F4216" t="str">
        <f t="shared" si="781"/>
        <v>COM</v>
      </c>
      <c r="G4216" t="str">
        <f>"VITOR DE SOUZA SILVA (360)"</f>
        <v>VITOR DE SOUZA SILVA (360)</v>
      </c>
      <c r="H4216" t="str">
        <f>"Serv.Prest. 15/09/2025 a 21/09/2025 - PIX: CPF - CHAVE: 130.194.566-81"</f>
        <v>Serv.Prest. 15/09/2025 a 21/09/2025 - PIX: CPF - CHAVE: 130.194.566-81</v>
      </c>
      <c r="I4216" t="str">
        <f t="shared" si="775"/>
        <v>02/10/2025</v>
      </c>
      <c r="J4216" t="str">
        <f t="shared" si="780"/>
        <v>23/09/2025</v>
      </c>
      <c r="K4216" t="str">
        <f>("02/10/2025")</f>
        <v>02/10/2025</v>
      </c>
      <c r="L4216">
        <v>700.8</v>
      </c>
      <c r="M4216">
        <v>700.8</v>
      </c>
      <c r="N4216">
        <v>109</v>
      </c>
      <c r="O4216" t="str">
        <f>"PAGAMENTO DE ENTREGADORES"</f>
        <v>PAGAMENTO DE ENTREGADORES</v>
      </c>
      <c r="P4216">
        <v>700.8</v>
      </c>
      <c r="S4216" t="str">
        <f>"BANCO C6 (149)"</f>
        <v>BANCO C6 (149)</v>
      </c>
      <c r="T4216">
        <v>19026</v>
      </c>
      <c r="U4216">
        <v>22404</v>
      </c>
      <c r="V4216" t="s">
        <v>77</v>
      </c>
    </row>
    <row r="4217" spans="1:22">
      <c r="A4217" t="str">
        <f t="shared" si="773"/>
        <v>02/10/2025</v>
      </c>
      <c r="B4217" t="str">
        <f t="shared" si="782"/>
        <v>SAÍDA</v>
      </c>
      <c r="C4217" t="str">
        <f t="shared" si="774"/>
        <v>PIX</v>
      </c>
      <c r="D4217" t="str">
        <f>"22404"</f>
        <v>22404</v>
      </c>
      <c r="E4217" t="str">
        <f t="shared" si="779"/>
        <v>1</v>
      </c>
      <c r="F4217" t="str">
        <f t="shared" si="781"/>
        <v>COM</v>
      </c>
      <c r="G4217" t="str">
        <f>"VITOR DE SOUZA SILVA (360)"</f>
        <v>VITOR DE SOUZA SILVA (360)</v>
      </c>
      <c r="H4217" t="s">
        <v>1219</v>
      </c>
      <c r="I4217" t="str">
        <f t="shared" si="775"/>
        <v>02/10/2025</v>
      </c>
      <c r="J4217" t="str">
        <f t="shared" si="780"/>
        <v>23/09/2025</v>
      </c>
      <c r="K4217">
        <v>45932</v>
      </c>
      <c r="N4217">
        <v>109</v>
      </c>
      <c r="O4217" t="s">
        <v>24</v>
      </c>
      <c r="Q4217">
        <v>700.8</v>
      </c>
      <c r="R4217" t="str">
        <f>"FARMÁCIA INDIANA LJ 121 (10054)"</f>
        <v>FARMÁCIA INDIANA LJ 121 (10054)</v>
      </c>
      <c r="S4217" t="s">
        <v>77</v>
      </c>
      <c r="T4217">
        <v>19026</v>
      </c>
      <c r="U4217">
        <v>22404</v>
      </c>
      <c r="V4217" t="s">
        <v>77</v>
      </c>
    </row>
    <row r="4218" spans="1:22">
      <c r="A4218" t="str">
        <f t="shared" si="773"/>
        <v>02/10/2025</v>
      </c>
      <c r="B4218" t="str">
        <f t="shared" si="782"/>
        <v>SAÍDA</v>
      </c>
      <c r="C4218" t="str">
        <f t="shared" si="774"/>
        <v>PIX</v>
      </c>
      <c r="D4218" t="str">
        <f>"22402"</f>
        <v>22402</v>
      </c>
      <c r="E4218" t="str">
        <f t="shared" si="779"/>
        <v>1</v>
      </c>
      <c r="F4218" t="str">
        <f t="shared" si="781"/>
        <v>COM</v>
      </c>
      <c r="G4218" t="str">
        <f>"VINICIUS DE SOUZA ISABEL (658)"</f>
        <v>VINICIUS DE SOUZA ISABEL (658)</v>
      </c>
      <c r="H4218" t="str">
        <f>"Serv.Prest. 15/09/2025 a 21/09/2025 - PIX: CPF - CHAVE: 092.566.416-23"</f>
        <v>Serv.Prest. 15/09/2025 a 21/09/2025 - PIX: CPF - CHAVE: 092.566.416-23</v>
      </c>
      <c r="I4218" t="str">
        <f t="shared" si="775"/>
        <v>02/10/2025</v>
      </c>
      <c r="J4218" t="str">
        <f t="shared" si="780"/>
        <v>23/09/2025</v>
      </c>
      <c r="K4218" t="str">
        <f>("02/10/2025")</f>
        <v>02/10/2025</v>
      </c>
      <c r="L4218">
        <v>712.5</v>
      </c>
      <c r="M4218">
        <v>712.5</v>
      </c>
      <c r="N4218">
        <v>109</v>
      </c>
      <c r="O4218" t="str">
        <f>"PAGAMENTO DE ENTREGADORES"</f>
        <v>PAGAMENTO DE ENTREGADORES</v>
      </c>
      <c r="P4218">
        <v>712.5</v>
      </c>
      <c r="S4218" t="str">
        <f>"BANCO C6 (149)"</f>
        <v>BANCO C6 (149)</v>
      </c>
      <c r="T4218">
        <v>19027</v>
      </c>
      <c r="U4218">
        <v>22402</v>
      </c>
      <c r="V4218" t="s">
        <v>77</v>
      </c>
    </row>
    <row r="4219" spans="1:22">
      <c r="A4219" t="str">
        <f t="shared" si="773"/>
        <v>02/10/2025</v>
      </c>
      <c r="B4219" t="str">
        <f t="shared" si="782"/>
        <v>SAÍDA</v>
      </c>
      <c r="C4219" t="str">
        <f t="shared" si="774"/>
        <v>PIX</v>
      </c>
      <c r="D4219" t="str">
        <f>"22402"</f>
        <v>22402</v>
      </c>
      <c r="E4219" t="str">
        <f t="shared" si="779"/>
        <v>1</v>
      </c>
      <c r="F4219" t="str">
        <f t="shared" si="781"/>
        <v>COM</v>
      </c>
      <c r="G4219" t="str">
        <f>"VINICIUS DE SOUZA ISABEL (658)"</f>
        <v>VINICIUS DE SOUZA ISABEL (658)</v>
      </c>
      <c r="H4219" t="s">
        <v>823</v>
      </c>
      <c r="I4219" t="str">
        <f t="shared" si="775"/>
        <v>02/10/2025</v>
      </c>
      <c r="J4219" t="str">
        <f t="shared" si="780"/>
        <v>23/09/2025</v>
      </c>
      <c r="K4219">
        <v>45932</v>
      </c>
      <c r="N4219">
        <v>109</v>
      </c>
      <c r="O4219" t="s">
        <v>24</v>
      </c>
      <c r="Q4219">
        <v>712.5</v>
      </c>
      <c r="R4219" t="str">
        <f>"FARMÁCIA INDIANA LJ 219 (10091)"</f>
        <v>FARMÁCIA INDIANA LJ 219 (10091)</v>
      </c>
      <c r="S4219" t="s">
        <v>77</v>
      </c>
      <c r="T4219">
        <v>19027</v>
      </c>
      <c r="U4219">
        <v>22402</v>
      </c>
      <c r="V4219" t="s">
        <v>77</v>
      </c>
    </row>
    <row r="4220" spans="1:22">
      <c r="A4220" t="str">
        <f t="shared" ref="A4220:A4283" si="783">("02/10/2025")</f>
        <v>02/10/2025</v>
      </c>
      <c r="B4220" t="str">
        <f t="shared" si="782"/>
        <v>SAÍDA</v>
      </c>
      <c r="C4220" t="str">
        <f t="shared" ref="C4220:C4283" si="784">"PIX"</f>
        <v>PIX</v>
      </c>
      <c r="D4220" t="str">
        <f>"22399"</f>
        <v>22399</v>
      </c>
      <c r="E4220" t="str">
        <f t="shared" si="779"/>
        <v>1</v>
      </c>
      <c r="F4220" t="str">
        <f t="shared" si="781"/>
        <v>COM</v>
      </c>
      <c r="G4220" t="str">
        <f>"TAYSON BARBOSA SILVINO (613)"</f>
        <v>TAYSON BARBOSA SILVINO (613)</v>
      </c>
      <c r="H4220" t="str">
        <f>"Serv.Prest. 15/09/2025 a 21/09/2025 - PIX: CHAVE ALEATÓRIA - CHAVE: 1550e869-c9d7-4436-be93-6858fd0cb900"</f>
        <v>Serv.Prest. 15/09/2025 a 21/09/2025 - PIX: CHAVE ALEATÓRIA - CHAVE: 1550e869-c9d7-4436-be93-6858fd0cb900</v>
      </c>
      <c r="I4220" t="str">
        <f t="shared" ref="I4220:I4283" si="785">("02/10/2025")</f>
        <v>02/10/2025</v>
      </c>
      <c r="J4220" t="str">
        <f t="shared" si="780"/>
        <v>23/09/2025</v>
      </c>
      <c r="K4220" t="str">
        <f>("02/10/2025")</f>
        <v>02/10/2025</v>
      </c>
      <c r="L4220">
        <v>1158</v>
      </c>
      <c r="M4220">
        <v>1158</v>
      </c>
      <c r="N4220">
        <v>109</v>
      </c>
      <c r="O4220" t="str">
        <f>"PAGAMENTO DE ENTREGADORES"</f>
        <v>PAGAMENTO DE ENTREGADORES</v>
      </c>
      <c r="P4220">
        <v>1158</v>
      </c>
      <c r="S4220" t="str">
        <f>"BANCO C6 (149)"</f>
        <v>BANCO C6 (149)</v>
      </c>
      <c r="T4220">
        <v>19028</v>
      </c>
      <c r="U4220">
        <v>22399</v>
      </c>
      <c r="V4220" t="s">
        <v>77</v>
      </c>
    </row>
    <row r="4221" spans="1:22">
      <c r="A4221" t="str">
        <f t="shared" si="783"/>
        <v>02/10/2025</v>
      </c>
      <c r="B4221" t="str">
        <f t="shared" si="782"/>
        <v>SAÍDA</v>
      </c>
      <c r="C4221" t="str">
        <f t="shared" si="784"/>
        <v>PIX</v>
      </c>
      <c r="D4221" t="str">
        <f>"22399"</f>
        <v>22399</v>
      </c>
      <c r="E4221" t="str">
        <f t="shared" si="779"/>
        <v>1</v>
      </c>
      <c r="F4221" t="str">
        <f t="shared" si="781"/>
        <v>COM</v>
      </c>
      <c r="G4221" t="str">
        <f>"TAYSON BARBOSA SILVINO (613)"</f>
        <v>TAYSON BARBOSA SILVINO (613)</v>
      </c>
      <c r="H4221" t="s">
        <v>1220</v>
      </c>
      <c r="I4221" t="str">
        <f t="shared" si="785"/>
        <v>02/10/2025</v>
      </c>
      <c r="J4221" t="str">
        <f t="shared" si="780"/>
        <v>23/09/2025</v>
      </c>
      <c r="K4221">
        <v>45932</v>
      </c>
      <c r="N4221">
        <v>109</v>
      </c>
      <c r="O4221" t="s">
        <v>24</v>
      </c>
      <c r="Q4221">
        <v>1158</v>
      </c>
      <c r="R4221" t="str">
        <f>"FARMÁCIA INDIANA LJ 19 (10012)"</f>
        <v>FARMÁCIA INDIANA LJ 19 (10012)</v>
      </c>
      <c r="S4221" t="s">
        <v>77</v>
      </c>
      <c r="T4221">
        <v>19028</v>
      </c>
      <c r="U4221">
        <v>22399</v>
      </c>
      <c r="V4221" t="s">
        <v>77</v>
      </c>
    </row>
    <row r="4222" spans="1:22">
      <c r="A4222" t="str">
        <f t="shared" si="783"/>
        <v>02/10/2025</v>
      </c>
      <c r="B4222" t="str">
        <f t="shared" si="782"/>
        <v>SAÍDA</v>
      </c>
      <c r="C4222" t="str">
        <f t="shared" si="784"/>
        <v>PIX</v>
      </c>
      <c r="D4222" t="str">
        <f>"22398"</f>
        <v>22398</v>
      </c>
      <c r="E4222" t="str">
        <f t="shared" si="779"/>
        <v>1</v>
      </c>
      <c r="F4222" t="str">
        <f t="shared" si="781"/>
        <v>COM</v>
      </c>
      <c r="G4222" t="str">
        <f>"SILAS ALVES DE FREITAS (35)"</f>
        <v>SILAS ALVES DE FREITAS (35)</v>
      </c>
      <c r="H4222" t="str">
        <f>"Serv.Prest. 15/09/2025 a 21/09/2025 - PIX: CPF - CHAVE: 097.855.786-74"</f>
        <v>Serv.Prest. 15/09/2025 a 21/09/2025 - PIX: CPF - CHAVE: 097.855.786-74</v>
      </c>
      <c r="I4222" t="str">
        <f t="shared" si="785"/>
        <v>02/10/2025</v>
      </c>
      <c r="J4222" t="str">
        <f t="shared" si="780"/>
        <v>23/09/2025</v>
      </c>
      <c r="K4222" t="str">
        <f>("02/10/2025")</f>
        <v>02/10/2025</v>
      </c>
      <c r="L4222">
        <v>1380</v>
      </c>
      <c r="M4222">
        <v>1380</v>
      </c>
      <c r="N4222">
        <v>109</v>
      </c>
      <c r="O4222" t="str">
        <f>"PAGAMENTO DE ENTREGADORES"</f>
        <v>PAGAMENTO DE ENTREGADORES</v>
      </c>
      <c r="P4222">
        <v>1380</v>
      </c>
      <c r="S4222" t="str">
        <f>"BANCO C6 (149)"</f>
        <v>BANCO C6 (149)</v>
      </c>
      <c r="T4222">
        <v>19029</v>
      </c>
      <c r="U4222">
        <v>22398</v>
      </c>
      <c r="V4222" t="s">
        <v>77</v>
      </c>
    </row>
    <row r="4223" spans="1:22">
      <c r="A4223" t="str">
        <f t="shared" si="783"/>
        <v>02/10/2025</v>
      </c>
      <c r="B4223" t="str">
        <f t="shared" si="782"/>
        <v>SAÍDA</v>
      </c>
      <c r="C4223" t="str">
        <f t="shared" si="784"/>
        <v>PIX</v>
      </c>
      <c r="D4223" t="str">
        <f>"22398"</f>
        <v>22398</v>
      </c>
      <c r="E4223" t="str">
        <f t="shared" si="779"/>
        <v>1</v>
      </c>
      <c r="F4223" t="str">
        <f t="shared" si="781"/>
        <v>COM</v>
      </c>
      <c r="G4223" t="str">
        <f>"SILAS ALVES DE FREITAS (35)"</f>
        <v>SILAS ALVES DE FREITAS (35)</v>
      </c>
      <c r="H4223" t="s">
        <v>1221</v>
      </c>
      <c r="I4223" t="str">
        <f t="shared" si="785"/>
        <v>02/10/2025</v>
      </c>
      <c r="J4223" t="str">
        <f t="shared" si="780"/>
        <v>23/09/2025</v>
      </c>
      <c r="K4223">
        <v>45932</v>
      </c>
      <c r="N4223">
        <v>109</v>
      </c>
      <c r="O4223" t="s">
        <v>24</v>
      </c>
      <c r="Q4223">
        <v>1380</v>
      </c>
      <c r="R4223" t="str">
        <f>"FARMÁCIA INDIANA LJ 172 (10161)"</f>
        <v>FARMÁCIA INDIANA LJ 172 (10161)</v>
      </c>
      <c r="S4223" t="s">
        <v>77</v>
      </c>
      <c r="T4223">
        <v>19029</v>
      </c>
      <c r="U4223">
        <v>22398</v>
      </c>
      <c r="V4223" t="s">
        <v>77</v>
      </c>
    </row>
    <row r="4224" spans="1:22">
      <c r="A4224" t="str">
        <f t="shared" si="783"/>
        <v>02/10/2025</v>
      </c>
      <c r="B4224" t="str">
        <f t="shared" si="782"/>
        <v>SAÍDA</v>
      </c>
      <c r="C4224" t="str">
        <f t="shared" si="784"/>
        <v>PIX</v>
      </c>
      <c r="D4224" t="str">
        <f>"22397"</f>
        <v>22397</v>
      </c>
      <c r="E4224" t="str">
        <f t="shared" si="779"/>
        <v>1</v>
      </c>
      <c r="F4224" t="str">
        <f t="shared" si="781"/>
        <v>COM</v>
      </c>
      <c r="G4224" t="str">
        <f>"SEDNEY GOMES SOARES (87)"</f>
        <v>SEDNEY GOMES SOARES (87)</v>
      </c>
      <c r="H4224" t="str">
        <f>"Serv.Prest. 15/09/2025 a 21/09/2025 - PIX: CPF - CHAVE: 048.151.276-46"</f>
        <v>Serv.Prest. 15/09/2025 a 21/09/2025 - PIX: CPF - CHAVE: 048.151.276-46</v>
      </c>
      <c r="I4224" t="str">
        <f t="shared" si="785"/>
        <v>02/10/2025</v>
      </c>
      <c r="J4224" t="str">
        <f t="shared" si="780"/>
        <v>23/09/2025</v>
      </c>
      <c r="K4224" t="str">
        <f>("02/10/2025")</f>
        <v>02/10/2025</v>
      </c>
      <c r="L4224">
        <v>750</v>
      </c>
      <c r="M4224">
        <v>750</v>
      </c>
      <c r="N4224">
        <v>109</v>
      </c>
      <c r="O4224" t="str">
        <f>"PAGAMENTO DE ENTREGADORES"</f>
        <v>PAGAMENTO DE ENTREGADORES</v>
      </c>
      <c r="P4224">
        <v>750</v>
      </c>
      <c r="S4224" t="str">
        <f>"BANCO C6 (149)"</f>
        <v>BANCO C6 (149)</v>
      </c>
      <c r="T4224">
        <v>19030</v>
      </c>
      <c r="U4224">
        <v>22397</v>
      </c>
      <c r="V4224" t="s">
        <v>77</v>
      </c>
    </row>
    <row r="4225" spans="1:22">
      <c r="A4225" t="str">
        <f t="shared" si="783"/>
        <v>02/10/2025</v>
      </c>
      <c r="B4225" t="str">
        <f t="shared" si="782"/>
        <v>SAÍDA</v>
      </c>
      <c r="C4225" t="str">
        <f t="shared" si="784"/>
        <v>PIX</v>
      </c>
      <c r="D4225" t="str">
        <f>"22397"</f>
        <v>22397</v>
      </c>
      <c r="E4225" t="str">
        <f t="shared" si="779"/>
        <v>1</v>
      </c>
      <c r="F4225" t="str">
        <f t="shared" si="781"/>
        <v>COM</v>
      </c>
      <c r="G4225" t="str">
        <f>"SEDNEY GOMES SOARES (87)"</f>
        <v>SEDNEY GOMES SOARES (87)</v>
      </c>
      <c r="H4225" t="s">
        <v>1222</v>
      </c>
      <c r="I4225" t="str">
        <f t="shared" si="785"/>
        <v>02/10/2025</v>
      </c>
      <c r="J4225" t="str">
        <f t="shared" si="780"/>
        <v>23/09/2025</v>
      </c>
      <c r="K4225">
        <v>45932</v>
      </c>
      <c r="N4225">
        <v>109</v>
      </c>
      <c r="O4225" t="s">
        <v>24</v>
      </c>
      <c r="Q4225">
        <v>391.27</v>
      </c>
      <c r="R4225" t="str">
        <f>"FARMÁCIA INDIANA LJ 97 (10040)"</f>
        <v>FARMÁCIA INDIANA LJ 97 (10040)</v>
      </c>
      <c r="S4225" t="s">
        <v>77</v>
      </c>
      <c r="T4225">
        <v>19030</v>
      </c>
      <c r="U4225">
        <v>22397</v>
      </c>
      <c r="V4225" t="s">
        <v>77</v>
      </c>
    </row>
    <row r="4226" spans="1:22">
      <c r="A4226" t="str">
        <f t="shared" si="783"/>
        <v>02/10/2025</v>
      </c>
      <c r="B4226" t="str">
        <f t="shared" si="782"/>
        <v>SAÍDA</v>
      </c>
      <c r="C4226" t="str">
        <f t="shared" si="784"/>
        <v>PIX</v>
      </c>
      <c r="D4226" t="str">
        <f>"22397"</f>
        <v>22397</v>
      </c>
      <c r="E4226" t="str">
        <f t="shared" si="779"/>
        <v>1</v>
      </c>
      <c r="F4226" t="str">
        <f t="shared" si="781"/>
        <v>COM</v>
      </c>
      <c r="G4226" t="str">
        <f>"SEDNEY GOMES SOARES (87)"</f>
        <v>SEDNEY GOMES SOARES (87)</v>
      </c>
      <c r="H4226" t="s">
        <v>1222</v>
      </c>
      <c r="I4226" t="str">
        <f t="shared" si="785"/>
        <v>02/10/2025</v>
      </c>
      <c r="J4226" t="str">
        <f t="shared" si="780"/>
        <v>23/09/2025</v>
      </c>
      <c r="K4226">
        <v>45932</v>
      </c>
      <c r="N4226">
        <v>109</v>
      </c>
      <c r="O4226" t="s">
        <v>24</v>
      </c>
      <c r="Q4226">
        <v>130.43</v>
      </c>
      <c r="R4226" t="str">
        <f>"FARMÁCIA INDIANA LJ 111 (10049)"</f>
        <v>FARMÁCIA INDIANA LJ 111 (10049)</v>
      </c>
      <c r="S4226" t="s">
        <v>77</v>
      </c>
      <c r="T4226">
        <v>19030</v>
      </c>
      <c r="U4226">
        <v>22397</v>
      </c>
      <c r="V4226" t="s">
        <v>77</v>
      </c>
    </row>
    <row r="4227" spans="1:22">
      <c r="A4227" t="str">
        <f t="shared" si="783"/>
        <v>02/10/2025</v>
      </c>
      <c r="B4227" t="str">
        <f t="shared" si="782"/>
        <v>SAÍDA</v>
      </c>
      <c r="C4227" t="str">
        <f t="shared" si="784"/>
        <v>PIX</v>
      </c>
      <c r="D4227" t="str">
        <f>"22397"</f>
        <v>22397</v>
      </c>
      <c r="E4227" t="str">
        <f t="shared" si="779"/>
        <v>1</v>
      </c>
      <c r="F4227" t="str">
        <f t="shared" si="781"/>
        <v>COM</v>
      </c>
      <c r="G4227" t="str">
        <f>"SEDNEY GOMES SOARES (87)"</f>
        <v>SEDNEY GOMES SOARES (87)</v>
      </c>
      <c r="H4227" t="s">
        <v>1222</v>
      </c>
      <c r="I4227" t="str">
        <f t="shared" si="785"/>
        <v>02/10/2025</v>
      </c>
      <c r="J4227" t="str">
        <f t="shared" si="780"/>
        <v>23/09/2025</v>
      </c>
      <c r="K4227">
        <v>45932</v>
      </c>
      <c r="N4227">
        <v>109</v>
      </c>
      <c r="O4227" t="s">
        <v>24</v>
      </c>
      <c r="Q4227">
        <v>228.3</v>
      </c>
      <c r="R4227" t="str">
        <f>"FARMÁCIA INDIANA LJ 143 (10067)"</f>
        <v>FARMÁCIA INDIANA LJ 143 (10067)</v>
      </c>
      <c r="S4227" t="s">
        <v>77</v>
      </c>
      <c r="T4227">
        <v>19030</v>
      </c>
      <c r="U4227">
        <v>22397</v>
      </c>
      <c r="V4227" t="s">
        <v>77</v>
      </c>
    </row>
    <row r="4228" spans="1:22">
      <c r="A4228" t="str">
        <f t="shared" si="783"/>
        <v>02/10/2025</v>
      </c>
      <c r="B4228" t="str">
        <f t="shared" si="782"/>
        <v>SAÍDA</v>
      </c>
      <c r="C4228" t="str">
        <f t="shared" si="784"/>
        <v>PIX</v>
      </c>
      <c r="D4228" t="str">
        <f>"22396"</f>
        <v>22396</v>
      </c>
      <c r="E4228" t="str">
        <f t="shared" si="779"/>
        <v>1</v>
      </c>
      <c r="F4228" t="str">
        <f t="shared" si="781"/>
        <v>COM</v>
      </c>
      <c r="G4228" t="str">
        <f>"SANRIO OLIVEIRA DO CARMO (579)"</f>
        <v>SANRIO OLIVEIRA DO CARMO (579)</v>
      </c>
      <c r="H4228" t="str">
        <f>"Serv.Prest. 15/09/2025 a 21/09/2025 - PIX: CPF - CHAVE: 118.731.976-75"</f>
        <v>Serv.Prest. 15/09/2025 a 21/09/2025 - PIX: CPF - CHAVE: 118.731.976-75</v>
      </c>
      <c r="I4228" t="str">
        <f t="shared" si="785"/>
        <v>02/10/2025</v>
      </c>
      <c r="J4228" t="str">
        <f t="shared" si="780"/>
        <v>23/09/2025</v>
      </c>
      <c r="K4228" t="str">
        <f>("02/10/2025")</f>
        <v>02/10/2025</v>
      </c>
      <c r="L4228">
        <v>942</v>
      </c>
      <c r="M4228">
        <v>942</v>
      </c>
      <c r="N4228">
        <v>109</v>
      </c>
      <c r="O4228" t="str">
        <f>"PAGAMENTO DE ENTREGADORES"</f>
        <v>PAGAMENTO DE ENTREGADORES</v>
      </c>
      <c r="P4228">
        <v>942</v>
      </c>
      <c r="S4228" t="str">
        <f>"BANCO C6 (149)"</f>
        <v>BANCO C6 (149)</v>
      </c>
      <c r="T4228">
        <v>19031</v>
      </c>
      <c r="U4228">
        <v>22396</v>
      </c>
      <c r="V4228" t="s">
        <v>77</v>
      </c>
    </row>
    <row r="4229" spans="1:22">
      <c r="A4229" t="str">
        <f t="shared" si="783"/>
        <v>02/10/2025</v>
      </c>
      <c r="B4229" t="str">
        <f t="shared" si="782"/>
        <v>SAÍDA</v>
      </c>
      <c r="C4229" t="str">
        <f t="shared" si="784"/>
        <v>PIX</v>
      </c>
      <c r="D4229" t="str">
        <f>"22396"</f>
        <v>22396</v>
      </c>
      <c r="E4229" t="str">
        <f t="shared" si="779"/>
        <v>1</v>
      </c>
      <c r="F4229" t="str">
        <f t="shared" si="781"/>
        <v>COM</v>
      </c>
      <c r="G4229" t="str">
        <f>"SANRIO OLIVEIRA DO CARMO (579)"</f>
        <v>SANRIO OLIVEIRA DO CARMO (579)</v>
      </c>
      <c r="H4229" t="s">
        <v>1223</v>
      </c>
      <c r="I4229" t="str">
        <f t="shared" si="785"/>
        <v>02/10/2025</v>
      </c>
      <c r="J4229" t="str">
        <f t="shared" si="780"/>
        <v>23/09/2025</v>
      </c>
      <c r="K4229">
        <v>45932</v>
      </c>
      <c r="N4229">
        <v>109</v>
      </c>
      <c r="O4229" t="s">
        <v>24</v>
      </c>
      <c r="Q4229">
        <v>942</v>
      </c>
      <c r="R4229" t="str">
        <f>"FARMÁCIA INDIANA LJ 152 (10069)"</f>
        <v>FARMÁCIA INDIANA LJ 152 (10069)</v>
      </c>
      <c r="S4229" t="s">
        <v>77</v>
      </c>
      <c r="T4229">
        <v>19031</v>
      </c>
      <c r="U4229">
        <v>22396</v>
      </c>
      <c r="V4229" t="s">
        <v>77</v>
      </c>
    </row>
    <row r="4230" spans="1:22">
      <c r="A4230" t="str">
        <f t="shared" si="783"/>
        <v>02/10/2025</v>
      </c>
      <c r="B4230" t="str">
        <f t="shared" si="782"/>
        <v>SAÍDA</v>
      </c>
      <c r="C4230" t="str">
        <f t="shared" si="784"/>
        <v>PIX</v>
      </c>
      <c r="D4230" t="str">
        <f>"22394"</f>
        <v>22394</v>
      </c>
      <c r="E4230" t="str">
        <f t="shared" si="779"/>
        <v>1</v>
      </c>
      <c r="F4230" t="str">
        <f t="shared" si="781"/>
        <v>COM</v>
      </c>
      <c r="G4230" t="str">
        <f>"RÔMULO LEMOS DE SOUZA (59)"</f>
        <v>RÔMULO LEMOS DE SOUZA (59)</v>
      </c>
      <c r="H4230" t="str">
        <f>"Serv.Prest. 15/09/2025 a 21/09/2025 - PIX: CELULAR - CHAVE: (33) 98840-0998"</f>
        <v>Serv.Prest. 15/09/2025 a 21/09/2025 - PIX: CELULAR - CHAVE: (33) 98840-0998</v>
      </c>
      <c r="I4230" t="str">
        <f t="shared" si="785"/>
        <v>02/10/2025</v>
      </c>
      <c r="J4230" t="str">
        <f t="shared" si="780"/>
        <v>23/09/2025</v>
      </c>
      <c r="K4230" t="str">
        <f>("02/10/2025")</f>
        <v>02/10/2025</v>
      </c>
      <c r="L4230">
        <v>1014</v>
      </c>
      <c r="M4230">
        <v>1014</v>
      </c>
      <c r="N4230">
        <v>109</v>
      </c>
      <c r="O4230" t="str">
        <f>"PAGAMENTO DE ENTREGADORES"</f>
        <v>PAGAMENTO DE ENTREGADORES</v>
      </c>
      <c r="P4230">
        <v>1014</v>
      </c>
      <c r="S4230" t="str">
        <f>"BANCO C6 (149)"</f>
        <v>BANCO C6 (149)</v>
      </c>
      <c r="T4230">
        <v>19032</v>
      </c>
      <c r="U4230">
        <v>22394</v>
      </c>
      <c r="V4230" t="s">
        <v>77</v>
      </c>
    </row>
    <row r="4231" spans="1:22">
      <c r="A4231" t="str">
        <f t="shared" si="783"/>
        <v>02/10/2025</v>
      </c>
      <c r="B4231" t="str">
        <f t="shared" si="782"/>
        <v>SAÍDA</v>
      </c>
      <c r="C4231" t="str">
        <f t="shared" si="784"/>
        <v>PIX</v>
      </c>
      <c r="D4231" t="str">
        <f>"22394"</f>
        <v>22394</v>
      </c>
      <c r="E4231" t="str">
        <f t="shared" si="779"/>
        <v>1</v>
      </c>
      <c r="F4231" t="str">
        <f t="shared" si="781"/>
        <v>COM</v>
      </c>
      <c r="G4231" t="str">
        <f>"RÔMULO LEMOS DE SOUZA (59)"</f>
        <v>RÔMULO LEMOS DE SOUZA (59)</v>
      </c>
      <c r="H4231" t="s">
        <v>1224</v>
      </c>
      <c r="I4231" t="str">
        <f t="shared" si="785"/>
        <v>02/10/2025</v>
      </c>
      <c r="J4231" t="str">
        <f t="shared" si="780"/>
        <v>23/09/2025</v>
      </c>
      <c r="K4231">
        <v>45932</v>
      </c>
      <c r="N4231">
        <v>109</v>
      </c>
      <c r="O4231" t="s">
        <v>24</v>
      </c>
      <c r="Q4231">
        <v>1014</v>
      </c>
      <c r="R4231" t="str">
        <f>"FARMÁCIA INDIANA LJ 07 (10007)"</f>
        <v>FARMÁCIA INDIANA LJ 07 (10007)</v>
      </c>
      <c r="S4231" t="s">
        <v>77</v>
      </c>
      <c r="T4231">
        <v>19032</v>
      </c>
      <c r="U4231">
        <v>22394</v>
      </c>
      <c r="V4231" t="s">
        <v>77</v>
      </c>
    </row>
    <row r="4232" spans="1:22">
      <c r="A4232" t="str">
        <f t="shared" si="783"/>
        <v>02/10/2025</v>
      </c>
      <c r="B4232" t="str">
        <f t="shared" si="782"/>
        <v>SAÍDA</v>
      </c>
      <c r="C4232" t="str">
        <f t="shared" si="784"/>
        <v>PIX</v>
      </c>
      <c r="D4232" t="str">
        <f>"22393"</f>
        <v>22393</v>
      </c>
      <c r="E4232" t="str">
        <f t="shared" si="779"/>
        <v>1</v>
      </c>
      <c r="F4232" t="str">
        <f t="shared" si="781"/>
        <v>COM</v>
      </c>
      <c r="G4232" t="str">
        <f>"ROGÉRIO LAURINDO BORGES (176)"</f>
        <v>ROGÉRIO LAURINDO BORGES (176)</v>
      </c>
      <c r="H4232" t="str">
        <f>"Serv.Prest. 15/09/2025 a 21/09/2025 - PIX: E-MAIL - CHAVE: roger.l.borges04@gmail.com"</f>
        <v>Serv.Prest. 15/09/2025 a 21/09/2025 - PIX: E-MAIL - CHAVE: roger.l.borges04@gmail.com</v>
      </c>
      <c r="I4232" t="str">
        <f t="shared" si="785"/>
        <v>02/10/2025</v>
      </c>
      <c r="J4232" t="str">
        <f t="shared" si="780"/>
        <v>23/09/2025</v>
      </c>
      <c r="K4232" t="str">
        <f>("02/10/2025")</f>
        <v>02/10/2025</v>
      </c>
      <c r="L4232">
        <v>1584</v>
      </c>
      <c r="M4232">
        <v>1584</v>
      </c>
      <c r="N4232">
        <v>109</v>
      </c>
      <c r="O4232" t="str">
        <f>"PAGAMENTO DE ENTREGADORES"</f>
        <v>PAGAMENTO DE ENTREGADORES</v>
      </c>
      <c r="P4232">
        <v>1584</v>
      </c>
      <c r="S4232" t="str">
        <f>"BANCO C6 (149)"</f>
        <v>BANCO C6 (149)</v>
      </c>
      <c r="T4232">
        <v>19033</v>
      </c>
      <c r="U4232">
        <v>22393</v>
      </c>
      <c r="V4232" t="s">
        <v>77</v>
      </c>
    </row>
    <row r="4233" spans="1:22">
      <c r="A4233" t="str">
        <f t="shared" si="783"/>
        <v>02/10/2025</v>
      </c>
      <c r="B4233" t="str">
        <f t="shared" si="782"/>
        <v>SAÍDA</v>
      </c>
      <c r="C4233" t="str">
        <f t="shared" si="784"/>
        <v>PIX</v>
      </c>
      <c r="D4233" t="str">
        <f>"22393"</f>
        <v>22393</v>
      </c>
      <c r="E4233" t="str">
        <f t="shared" si="779"/>
        <v>1</v>
      </c>
      <c r="F4233" t="str">
        <f t="shared" si="781"/>
        <v>COM</v>
      </c>
      <c r="G4233" t="str">
        <f>"ROGÉRIO LAURINDO BORGES (176)"</f>
        <v>ROGÉRIO LAURINDO BORGES (176)</v>
      </c>
      <c r="H4233" t="s">
        <v>1225</v>
      </c>
      <c r="I4233" t="str">
        <f t="shared" si="785"/>
        <v>02/10/2025</v>
      </c>
      <c r="J4233" t="str">
        <f t="shared" si="780"/>
        <v>23/09/2025</v>
      </c>
      <c r="K4233">
        <v>45932</v>
      </c>
      <c r="N4233">
        <v>109</v>
      </c>
      <c r="O4233" t="s">
        <v>24</v>
      </c>
      <c r="Q4233">
        <v>1584</v>
      </c>
      <c r="R4233" t="str">
        <f>"FARMÁCIA INDIANA LJ 142 (10066)"</f>
        <v>FARMÁCIA INDIANA LJ 142 (10066)</v>
      </c>
      <c r="S4233" t="s">
        <v>77</v>
      </c>
      <c r="T4233">
        <v>19033</v>
      </c>
      <c r="U4233">
        <v>22393</v>
      </c>
      <c r="V4233" t="s">
        <v>77</v>
      </c>
    </row>
    <row r="4234" spans="1:22">
      <c r="A4234" t="str">
        <f t="shared" si="783"/>
        <v>02/10/2025</v>
      </c>
      <c r="B4234" t="str">
        <f t="shared" si="782"/>
        <v>SAÍDA</v>
      </c>
      <c r="C4234" t="str">
        <f t="shared" si="784"/>
        <v>PIX</v>
      </c>
      <c r="D4234" t="str">
        <f>"22392"</f>
        <v>22392</v>
      </c>
      <c r="E4234" t="str">
        <f t="shared" si="779"/>
        <v>1</v>
      </c>
      <c r="F4234" t="str">
        <f t="shared" si="781"/>
        <v>COM</v>
      </c>
      <c r="G4234" t="str">
        <f>"RICARDO NASCIMENTO DE SOUZA (146)"</f>
        <v>RICARDO NASCIMENTO DE SOUZA (146)</v>
      </c>
      <c r="H4234" t="str">
        <f>"Serv.Prest. 15/09/2025 a 21/09/2025 - PIX: CELULAR - CHAVE: (31) 98891-8440"</f>
        <v>Serv.Prest. 15/09/2025 a 21/09/2025 - PIX: CELULAR - CHAVE: (31) 98891-8440</v>
      </c>
      <c r="I4234" t="str">
        <f t="shared" si="785"/>
        <v>02/10/2025</v>
      </c>
      <c r="J4234" t="str">
        <f t="shared" si="780"/>
        <v>23/09/2025</v>
      </c>
      <c r="K4234" t="str">
        <f>("02/10/2025")</f>
        <v>02/10/2025</v>
      </c>
      <c r="L4234">
        <v>672</v>
      </c>
      <c r="M4234">
        <v>672</v>
      </c>
      <c r="N4234">
        <v>109</v>
      </c>
      <c r="O4234" t="str">
        <f>"PAGAMENTO DE ENTREGADORES"</f>
        <v>PAGAMENTO DE ENTREGADORES</v>
      </c>
      <c r="P4234">
        <v>672</v>
      </c>
      <c r="S4234" t="str">
        <f>"BANCO C6 (149)"</f>
        <v>BANCO C6 (149)</v>
      </c>
      <c r="T4234">
        <v>19034</v>
      </c>
      <c r="U4234">
        <v>22392</v>
      </c>
      <c r="V4234" t="s">
        <v>77</v>
      </c>
    </row>
    <row r="4235" spans="1:22">
      <c r="A4235" t="str">
        <f t="shared" si="783"/>
        <v>02/10/2025</v>
      </c>
      <c r="B4235" t="str">
        <f t="shared" si="782"/>
        <v>SAÍDA</v>
      </c>
      <c r="C4235" t="str">
        <f t="shared" si="784"/>
        <v>PIX</v>
      </c>
      <c r="D4235" t="str">
        <f>"22392"</f>
        <v>22392</v>
      </c>
      <c r="E4235" t="str">
        <f t="shared" ref="E4235:E4261" si="786">"1"</f>
        <v>1</v>
      </c>
      <c r="F4235" t="str">
        <f t="shared" si="781"/>
        <v>COM</v>
      </c>
      <c r="G4235" t="str">
        <f>"RICARDO NASCIMENTO DE SOUZA (146)"</f>
        <v>RICARDO NASCIMENTO DE SOUZA (146)</v>
      </c>
      <c r="H4235" t="s">
        <v>1226</v>
      </c>
      <c r="I4235" t="str">
        <f t="shared" si="785"/>
        <v>02/10/2025</v>
      </c>
      <c r="J4235" t="str">
        <f t="shared" si="780"/>
        <v>23/09/2025</v>
      </c>
      <c r="K4235">
        <v>45932</v>
      </c>
      <c r="N4235">
        <v>109</v>
      </c>
      <c r="O4235" t="s">
        <v>24</v>
      </c>
      <c r="Q4235">
        <v>672</v>
      </c>
      <c r="R4235" t="str">
        <f>"FARMÁCIA INDIANA LJ 19 (10012)"</f>
        <v>FARMÁCIA INDIANA LJ 19 (10012)</v>
      </c>
      <c r="S4235" t="s">
        <v>77</v>
      </c>
      <c r="T4235">
        <v>19034</v>
      </c>
      <c r="U4235">
        <v>22392</v>
      </c>
      <c r="V4235" t="s">
        <v>77</v>
      </c>
    </row>
    <row r="4236" spans="1:22">
      <c r="A4236" t="str">
        <f t="shared" si="783"/>
        <v>02/10/2025</v>
      </c>
      <c r="B4236" t="str">
        <f t="shared" si="782"/>
        <v>SAÍDA</v>
      </c>
      <c r="C4236" t="str">
        <f t="shared" si="784"/>
        <v>PIX</v>
      </c>
      <c r="D4236" t="str">
        <f>"22462"</f>
        <v>22462</v>
      </c>
      <c r="E4236" t="str">
        <f t="shared" si="786"/>
        <v>1</v>
      </c>
      <c r="F4236" t="str">
        <f t="shared" si="781"/>
        <v>COM</v>
      </c>
      <c r="G4236" t="str">
        <f>"CASSIO DIAS RIBEIRO (32)"</f>
        <v>CASSIO DIAS RIBEIRO (32)</v>
      </c>
      <c r="H4236" t="str">
        <f>"Serv.Prest. 15/09/2025 a 21/09/2025 - PIX: CPF - CHAVE: 091.575.986-14"</f>
        <v>Serv.Prest. 15/09/2025 a 21/09/2025 - PIX: CPF - CHAVE: 091.575.986-14</v>
      </c>
      <c r="I4236" t="str">
        <f t="shared" si="785"/>
        <v>02/10/2025</v>
      </c>
      <c r="J4236" t="str">
        <f t="shared" si="780"/>
        <v>23/09/2025</v>
      </c>
      <c r="K4236" t="str">
        <f>("02/10/2025")</f>
        <v>02/10/2025</v>
      </c>
      <c r="L4236">
        <v>1068</v>
      </c>
      <c r="M4236">
        <v>1068</v>
      </c>
      <c r="N4236">
        <v>109</v>
      </c>
      <c r="O4236" t="str">
        <f>"PAGAMENTO DE ENTREGADORES"</f>
        <v>PAGAMENTO DE ENTREGADORES</v>
      </c>
      <c r="P4236">
        <v>1068</v>
      </c>
      <c r="S4236" t="str">
        <f>"BANCO C6 (149)"</f>
        <v>BANCO C6 (149)</v>
      </c>
      <c r="T4236">
        <v>19035</v>
      </c>
      <c r="U4236">
        <v>22462</v>
      </c>
      <c r="V4236" t="s">
        <v>77</v>
      </c>
    </row>
    <row r="4237" spans="1:22">
      <c r="A4237" t="str">
        <f t="shared" si="783"/>
        <v>02/10/2025</v>
      </c>
      <c r="B4237" t="str">
        <f t="shared" si="782"/>
        <v>SAÍDA</v>
      </c>
      <c r="C4237" t="str">
        <f t="shared" si="784"/>
        <v>PIX</v>
      </c>
      <c r="D4237" t="str">
        <f>"22462"</f>
        <v>22462</v>
      </c>
      <c r="E4237" t="str">
        <f t="shared" si="786"/>
        <v>1</v>
      </c>
      <c r="F4237" t="str">
        <f t="shared" si="781"/>
        <v>COM</v>
      </c>
      <c r="G4237" t="str">
        <f>"CASSIO DIAS RIBEIRO (32)"</f>
        <v>CASSIO DIAS RIBEIRO (32)</v>
      </c>
      <c r="H4237" t="s">
        <v>1083</v>
      </c>
      <c r="I4237" t="str">
        <f t="shared" si="785"/>
        <v>02/10/2025</v>
      </c>
      <c r="J4237" t="str">
        <f t="shared" si="780"/>
        <v>23/09/2025</v>
      </c>
      <c r="K4237">
        <v>45932</v>
      </c>
      <c r="N4237">
        <v>109</v>
      </c>
      <c r="O4237" t="s">
        <v>24</v>
      </c>
      <c r="Q4237">
        <v>1068</v>
      </c>
      <c r="R4237" t="str">
        <f>"FARMÁCIA INDIANA LJ 18 (10011)"</f>
        <v>FARMÁCIA INDIANA LJ 18 (10011)</v>
      </c>
      <c r="S4237" t="s">
        <v>77</v>
      </c>
      <c r="T4237">
        <v>19035</v>
      </c>
      <c r="U4237">
        <v>22462</v>
      </c>
      <c r="V4237" t="s">
        <v>77</v>
      </c>
    </row>
    <row r="4238" spans="1:22">
      <c r="A4238" t="str">
        <f t="shared" si="783"/>
        <v>02/10/2025</v>
      </c>
      <c r="B4238" t="str">
        <f t="shared" si="782"/>
        <v>SAÍDA</v>
      </c>
      <c r="C4238" t="str">
        <f t="shared" si="784"/>
        <v>PIX</v>
      </c>
      <c r="D4238" t="str">
        <f>"22460"</f>
        <v>22460</v>
      </c>
      <c r="E4238" t="str">
        <f t="shared" si="786"/>
        <v>1</v>
      </c>
      <c r="F4238" t="str">
        <f t="shared" si="781"/>
        <v>COM</v>
      </c>
      <c r="G4238" t="str">
        <f>"VINÍCIUS NEVES PEREIRA (776)"</f>
        <v>VINÍCIUS NEVES PEREIRA (776)</v>
      </c>
      <c r="H4238" t="str">
        <f>"Serv.Prest. 15/09/2025 a 21/09/2025 - PIX: CPF - CHAVE: 121.963.507-37"</f>
        <v>Serv.Prest. 15/09/2025 a 21/09/2025 - PIX: CPF - CHAVE: 121.963.507-37</v>
      </c>
      <c r="I4238" t="str">
        <f t="shared" si="785"/>
        <v>02/10/2025</v>
      </c>
      <c r="J4238" t="str">
        <f t="shared" si="780"/>
        <v>23/09/2025</v>
      </c>
      <c r="K4238" t="str">
        <f>("02/10/2025")</f>
        <v>02/10/2025</v>
      </c>
      <c r="L4238">
        <v>750.75</v>
      </c>
      <c r="M4238">
        <v>750.75</v>
      </c>
      <c r="N4238">
        <v>109</v>
      </c>
      <c r="O4238" t="str">
        <f>"PAGAMENTO DE ENTREGADORES"</f>
        <v>PAGAMENTO DE ENTREGADORES</v>
      </c>
      <c r="P4238">
        <v>750.75</v>
      </c>
      <c r="S4238" t="str">
        <f>"BANCO C6 (149)"</f>
        <v>BANCO C6 (149)</v>
      </c>
      <c r="T4238">
        <v>19036</v>
      </c>
      <c r="U4238">
        <v>22460</v>
      </c>
      <c r="V4238" t="s">
        <v>77</v>
      </c>
    </row>
    <row r="4239" spans="1:22">
      <c r="A4239" t="str">
        <f t="shared" si="783"/>
        <v>02/10/2025</v>
      </c>
      <c r="B4239" t="str">
        <f t="shared" si="782"/>
        <v>SAÍDA</v>
      </c>
      <c r="C4239" t="str">
        <f t="shared" si="784"/>
        <v>PIX</v>
      </c>
      <c r="D4239" t="str">
        <f>"22460"</f>
        <v>22460</v>
      </c>
      <c r="E4239" t="str">
        <f t="shared" si="786"/>
        <v>1</v>
      </c>
      <c r="F4239" t="str">
        <f t="shared" si="781"/>
        <v>COM</v>
      </c>
      <c r="G4239" t="str">
        <f>"VINÍCIUS NEVES PEREIRA (776)"</f>
        <v>VINÍCIUS NEVES PEREIRA (776)</v>
      </c>
      <c r="H4239" t="s">
        <v>1227</v>
      </c>
      <c r="I4239" t="str">
        <f t="shared" si="785"/>
        <v>02/10/2025</v>
      </c>
      <c r="J4239" t="str">
        <f t="shared" si="780"/>
        <v>23/09/2025</v>
      </c>
      <c r="K4239">
        <v>45932</v>
      </c>
      <c r="N4239">
        <v>109</v>
      </c>
      <c r="O4239" t="s">
        <v>24</v>
      </c>
      <c r="Q4239">
        <v>750.75</v>
      </c>
      <c r="R4239" t="str">
        <f>"FARMÁCIA INDIANA LJ 221 (10093)"</f>
        <v>FARMÁCIA INDIANA LJ 221 (10093)</v>
      </c>
      <c r="S4239" t="s">
        <v>77</v>
      </c>
      <c r="T4239">
        <v>19036</v>
      </c>
      <c r="U4239">
        <v>22460</v>
      </c>
      <c r="V4239" t="s">
        <v>77</v>
      </c>
    </row>
    <row r="4240" spans="1:22">
      <c r="A4240" t="str">
        <f t="shared" si="783"/>
        <v>02/10/2025</v>
      </c>
      <c r="B4240" t="str">
        <f t="shared" si="782"/>
        <v>SAÍDA</v>
      </c>
      <c r="C4240" t="str">
        <f t="shared" si="784"/>
        <v>PIX</v>
      </c>
      <c r="D4240" t="str">
        <f>"22458"</f>
        <v>22458</v>
      </c>
      <c r="E4240" t="str">
        <f t="shared" si="786"/>
        <v>1</v>
      </c>
      <c r="F4240" t="str">
        <f t="shared" si="781"/>
        <v>COM</v>
      </c>
      <c r="G4240" t="str">
        <f>"MARCELO SOUZA DE MOURA (924)"</f>
        <v>MARCELO SOUZA DE MOURA (924)</v>
      </c>
      <c r="H4240" t="str">
        <f>"Serv.Prest. 15/09/2025 a 21/09/2025 - PIX: CELULAR - CHAVE: (73) 99167-5954"</f>
        <v>Serv.Prest. 15/09/2025 a 21/09/2025 - PIX: CELULAR - CHAVE: (73) 99167-5954</v>
      </c>
      <c r="I4240" t="str">
        <f t="shared" si="785"/>
        <v>02/10/2025</v>
      </c>
      <c r="J4240" t="str">
        <f t="shared" si="780"/>
        <v>23/09/2025</v>
      </c>
      <c r="K4240" t="str">
        <f>("02/10/2025")</f>
        <v>02/10/2025</v>
      </c>
      <c r="L4240">
        <v>1012.5</v>
      </c>
      <c r="M4240">
        <v>1012.5</v>
      </c>
      <c r="N4240">
        <v>109</v>
      </c>
      <c r="O4240" t="str">
        <f>"PAGAMENTO DE ENTREGADORES"</f>
        <v>PAGAMENTO DE ENTREGADORES</v>
      </c>
      <c r="P4240">
        <v>1012.5</v>
      </c>
      <c r="S4240" t="str">
        <f>"BANCO C6 (149)"</f>
        <v>BANCO C6 (149)</v>
      </c>
      <c r="T4240">
        <v>19037</v>
      </c>
      <c r="U4240">
        <v>22458</v>
      </c>
      <c r="V4240" t="s">
        <v>77</v>
      </c>
    </row>
    <row r="4241" spans="1:22">
      <c r="A4241" t="str">
        <f t="shared" si="783"/>
        <v>02/10/2025</v>
      </c>
      <c r="B4241" t="str">
        <f t="shared" si="782"/>
        <v>SAÍDA</v>
      </c>
      <c r="C4241" t="str">
        <f t="shared" si="784"/>
        <v>PIX</v>
      </c>
      <c r="D4241" t="str">
        <f>"22458"</f>
        <v>22458</v>
      </c>
      <c r="E4241" t="str">
        <f t="shared" si="786"/>
        <v>1</v>
      </c>
      <c r="F4241" t="str">
        <f t="shared" si="781"/>
        <v>COM</v>
      </c>
      <c r="G4241" t="str">
        <f>"MARCELO SOUZA DE MOURA (924)"</f>
        <v>MARCELO SOUZA DE MOURA (924)</v>
      </c>
      <c r="H4241" t="s">
        <v>1228</v>
      </c>
      <c r="I4241" t="str">
        <f t="shared" si="785"/>
        <v>02/10/2025</v>
      </c>
      <c r="J4241" t="str">
        <f t="shared" ref="J4241:J4253" si="787">("23/09/2025")</f>
        <v>23/09/2025</v>
      </c>
      <c r="K4241">
        <v>45932</v>
      </c>
      <c r="N4241">
        <v>109</v>
      </c>
      <c r="O4241" t="s">
        <v>24</v>
      </c>
      <c r="Q4241">
        <v>1012.5</v>
      </c>
      <c r="R4241" t="str">
        <f>"FARMÁCIA INDIANA LJ 273 (10188)"</f>
        <v>FARMÁCIA INDIANA LJ 273 (10188)</v>
      </c>
      <c r="S4241" t="s">
        <v>77</v>
      </c>
      <c r="T4241">
        <v>19037</v>
      </c>
      <c r="U4241">
        <v>22458</v>
      </c>
      <c r="V4241" t="s">
        <v>77</v>
      </c>
    </row>
    <row r="4242" spans="1:22">
      <c r="A4242" t="str">
        <f t="shared" si="783"/>
        <v>02/10/2025</v>
      </c>
      <c r="B4242" t="str">
        <f t="shared" si="782"/>
        <v>SAÍDA</v>
      </c>
      <c r="C4242" t="str">
        <f t="shared" si="784"/>
        <v>PIX</v>
      </c>
      <c r="D4242" t="str">
        <f>"22457"</f>
        <v>22457</v>
      </c>
      <c r="E4242" t="str">
        <f t="shared" si="786"/>
        <v>1</v>
      </c>
      <c r="F4242" t="str">
        <f t="shared" si="781"/>
        <v>COM</v>
      </c>
      <c r="G4242" t="str">
        <f>"JEAN CHARLES BATISTA FILHO (206)"</f>
        <v>JEAN CHARLES BATISTA FILHO (206)</v>
      </c>
      <c r="H4242" t="str">
        <f>"Serv.Prest. 15/09/2025 a 21/09/2025 - PIX: CELULAR - CHAVE: (27) 99616-4468"</f>
        <v>Serv.Prest. 15/09/2025 a 21/09/2025 - PIX: CELULAR - CHAVE: (27) 99616-4468</v>
      </c>
      <c r="I4242" t="str">
        <f t="shared" si="785"/>
        <v>02/10/2025</v>
      </c>
      <c r="J4242" t="str">
        <f t="shared" si="787"/>
        <v>23/09/2025</v>
      </c>
      <c r="K4242" t="str">
        <f>("02/10/2025")</f>
        <v>02/10/2025</v>
      </c>
      <c r="L4242">
        <v>2490</v>
      </c>
      <c r="M4242">
        <v>2490</v>
      </c>
      <c r="N4242">
        <v>109</v>
      </c>
      <c r="O4242" t="str">
        <f>"PAGAMENTO DE ENTREGADORES"</f>
        <v>PAGAMENTO DE ENTREGADORES</v>
      </c>
      <c r="P4242">
        <v>2490</v>
      </c>
      <c r="S4242" t="str">
        <f>"BANCO C6 (149)"</f>
        <v>BANCO C6 (149)</v>
      </c>
      <c r="T4242">
        <v>19038</v>
      </c>
      <c r="U4242">
        <v>22457</v>
      </c>
      <c r="V4242" t="s">
        <v>77</v>
      </c>
    </row>
    <row r="4243" spans="1:22">
      <c r="A4243" t="str">
        <f t="shared" si="783"/>
        <v>02/10/2025</v>
      </c>
      <c r="B4243" t="str">
        <f t="shared" si="782"/>
        <v>SAÍDA</v>
      </c>
      <c r="C4243" t="str">
        <f t="shared" si="784"/>
        <v>PIX</v>
      </c>
      <c r="D4243" t="str">
        <f>"22457"</f>
        <v>22457</v>
      </c>
      <c r="E4243" t="str">
        <f t="shared" si="786"/>
        <v>1</v>
      </c>
      <c r="F4243" t="str">
        <f t="shared" si="781"/>
        <v>COM</v>
      </c>
      <c r="G4243" t="str">
        <f>"JEAN CHARLES BATISTA FILHO (206)"</f>
        <v>JEAN CHARLES BATISTA FILHO (206)</v>
      </c>
      <c r="H4243" t="s">
        <v>1229</v>
      </c>
      <c r="I4243" t="str">
        <f t="shared" si="785"/>
        <v>02/10/2025</v>
      </c>
      <c r="J4243" t="str">
        <f t="shared" si="787"/>
        <v>23/09/2025</v>
      </c>
      <c r="K4243">
        <v>45932</v>
      </c>
      <c r="N4243">
        <v>109</v>
      </c>
      <c r="O4243" t="s">
        <v>24</v>
      </c>
      <c r="Q4243">
        <v>2490</v>
      </c>
      <c r="R4243" t="str">
        <f>"FARMÁCIA INDIANA LJ 163 (10072)"</f>
        <v>FARMÁCIA INDIANA LJ 163 (10072)</v>
      </c>
      <c r="S4243" t="s">
        <v>77</v>
      </c>
      <c r="T4243">
        <v>19038</v>
      </c>
      <c r="U4243">
        <v>22457</v>
      </c>
      <c r="V4243" t="s">
        <v>77</v>
      </c>
    </row>
    <row r="4244" spans="1:22">
      <c r="A4244" t="str">
        <f t="shared" si="783"/>
        <v>02/10/2025</v>
      </c>
      <c r="B4244" t="str">
        <f t="shared" si="782"/>
        <v>SAÍDA</v>
      </c>
      <c r="C4244" t="str">
        <f t="shared" si="784"/>
        <v>PIX</v>
      </c>
      <c r="D4244" t="str">
        <f>"22456"</f>
        <v>22456</v>
      </c>
      <c r="E4244" t="str">
        <f t="shared" si="786"/>
        <v>1</v>
      </c>
      <c r="F4244" t="str">
        <f t="shared" si="781"/>
        <v>COM</v>
      </c>
      <c r="G4244" t="str">
        <f>"JACQUES SEBIM SANTNA (918)"</f>
        <v>JACQUES SEBIM SANTNA (918)</v>
      </c>
      <c r="H4244" t="str">
        <f>"Serv.Prest. 15/09/2025 a 21/09/2025 - PIX: CNPJ - CHAVE: 40.359.224/0001-09"</f>
        <v>Serv.Prest. 15/09/2025 a 21/09/2025 - PIX: CNPJ - CHAVE: 40.359.224/0001-09</v>
      </c>
      <c r="I4244" t="str">
        <f t="shared" si="785"/>
        <v>02/10/2025</v>
      </c>
      <c r="J4244" t="str">
        <f t="shared" si="787"/>
        <v>23/09/2025</v>
      </c>
      <c r="K4244" t="str">
        <f>("02/10/2025")</f>
        <v>02/10/2025</v>
      </c>
      <c r="L4244">
        <v>804</v>
      </c>
      <c r="M4244">
        <v>804</v>
      </c>
      <c r="N4244">
        <v>109</v>
      </c>
      <c r="O4244" t="str">
        <f>"PAGAMENTO DE ENTREGADORES"</f>
        <v>PAGAMENTO DE ENTREGADORES</v>
      </c>
      <c r="P4244">
        <v>804</v>
      </c>
      <c r="S4244" t="str">
        <f>"BANCO C6 (149)"</f>
        <v>BANCO C6 (149)</v>
      </c>
      <c r="T4244">
        <v>19039</v>
      </c>
      <c r="U4244">
        <v>22456</v>
      </c>
      <c r="V4244" t="s">
        <v>77</v>
      </c>
    </row>
    <row r="4245" spans="1:22">
      <c r="A4245" t="str">
        <f t="shared" si="783"/>
        <v>02/10/2025</v>
      </c>
      <c r="B4245" t="str">
        <f t="shared" si="782"/>
        <v>SAÍDA</v>
      </c>
      <c r="C4245" t="str">
        <f t="shared" si="784"/>
        <v>PIX</v>
      </c>
      <c r="D4245" t="str">
        <f>"22456"</f>
        <v>22456</v>
      </c>
      <c r="E4245" t="str">
        <f t="shared" si="786"/>
        <v>1</v>
      </c>
      <c r="F4245" t="str">
        <f t="shared" si="781"/>
        <v>COM</v>
      </c>
      <c r="G4245" t="str">
        <f>"JACQUES SEBIM SANTNA (918)"</f>
        <v>JACQUES SEBIM SANTNA (918)</v>
      </c>
      <c r="H4245" t="s">
        <v>1230</v>
      </c>
      <c r="I4245" t="str">
        <f t="shared" si="785"/>
        <v>02/10/2025</v>
      </c>
      <c r="J4245" t="str">
        <f t="shared" si="787"/>
        <v>23/09/2025</v>
      </c>
      <c r="K4245">
        <v>45932</v>
      </c>
      <c r="N4245">
        <v>109</v>
      </c>
      <c r="O4245" t="s">
        <v>24</v>
      </c>
      <c r="Q4245">
        <v>804</v>
      </c>
      <c r="R4245" t="str">
        <f>"FARMÁCIA INDIANA LJ 188 (10176)"</f>
        <v>FARMÁCIA INDIANA LJ 188 (10176)</v>
      </c>
      <c r="S4245" t="s">
        <v>77</v>
      </c>
      <c r="T4245">
        <v>19039</v>
      </c>
      <c r="U4245">
        <v>22456</v>
      </c>
      <c r="V4245" t="s">
        <v>77</v>
      </c>
    </row>
    <row r="4246" spans="1:22">
      <c r="A4246" t="str">
        <f t="shared" si="783"/>
        <v>02/10/2025</v>
      </c>
      <c r="B4246" t="str">
        <f t="shared" ref="B4246:B4253" si="788">"SAÍDA"</f>
        <v>SAÍDA</v>
      </c>
      <c r="C4246" t="str">
        <f t="shared" si="784"/>
        <v>PIX</v>
      </c>
      <c r="D4246" t="str">
        <f>"22455"</f>
        <v>22455</v>
      </c>
      <c r="E4246" t="str">
        <f t="shared" si="786"/>
        <v>1</v>
      </c>
      <c r="F4246" t="str">
        <f t="shared" si="781"/>
        <v>COM</v>
      </c>
      <c r="G4246" t="str">
        <f>"FABIO SOUZA DE JESUS (637)"</f>
        <v>FABIO SOUZA DE JESUS (637)</v>
      </c>
      <c r="H4246" t="str">
        <f>"Serv.Prest. 15/09/2025 a 21/09/2025 - PIX: CELULAR - CHAVE: (27) 99950-3450"</f>
        <v>Serv.Prest. 15/09/2025 a 21/09/2025 - PIX: CELULAR - CHAVE: (27) 99950-3450</v>
      </c>
      <c r="I4246" t="str">
        <f t="shared" si="785"/>
        <v>02/10/2025</v>
      </c>
      <c r="J4246" t="str">
        <f t="shared" si="787"/>
        <v>23/09/2025</v>
      </c>
      <c r="K4246" t="str">
        <f>("02/10/2025")</f>
        <v>02/10/2025</v>
      </c>
      <c r="L4246">
        <v>968</v>
      </c>
      <c r="M4246">
        <v>968</v>
      </c>
      <c r="N4246">
        <v>109</v>
      </c>
      <c r="O4246" t="str">
        <f>"PAGAMENTO DE ENTREGADORES"</f>
        <v>PAGAMENTO DE ENTREGADORES</v>
      </c>
      <c r="P4246">
        <v>968</v>
      </c>
      <c r="S4246" t="str">
        <f>"BANCO C6 (149)"</f>
        <v>BANCO C6 (149)</v>
      </c>
      <c r="T4246">
        <v>19040</v>
      </c>
      <c r="U4246">
        <v>22455</v>
      </c>
      <c r="V4246" t="s">
        <v>77</v>
      </c>
    </row>
    <row r="4247" spans="1:22">
      <c r="A4247" t="str">
        <f t="shared" si="783"/>
        <v>02/10/2025</v>
      </c>
      <c r="B4247" t="str">
        <f t="shared" si="788"/>
        <v>SAÍDA</v>
      </c>
      <c r="C4247" t="str">
        <f t="shared" si="784"/>
        <v>PIX</v>
      </c>
      <c r="D4247" t="str">
        <f>"22455"</f>
        <v>22455</v>
      </c>
      <c r="E4247" t="str">
        <f t="shared" si="786"/>
        <v>1</v>
      </c>
      <c r="F4247" t="str">
        <f t="shared" si="781"/>
        <v>COM</v>
      </c>
      <c r="G4247" t="str">
        <f>"FABIO SOUZA DE JESUS (637)"</f>
        <v>FABIO SOUZA DE JESUS (637)</v>
      </c>
      <c r="H4247" t="s">
        <v>1231</v>
      </c>
      <c r="I4247" t="str">
        <f t="shared" si="785"/>
        <v>02/10/2025</v>
      </c>
      <c r="J4247" t="str">
        <f t="shared" si="787"/>
        <v>23/09/2025</v>
      </c>
      <c r="K4247">
        <v>45932</v>
      </c>
      <c r="N4247">
        <v>109</v>
      </c>
      <c r="O4247" t="s">
        <v>24</v>
      </c>
      <c r="Q4247">
        <v>860.46</v>
      </c>
      <c r="R4247" t="str">
        <f>"FARMÁCIA INDIANA LJ 243 (10142)"</f>
        <v>FARMÁCIA INDIANA LJ 243 (10142)</v>
      </c>
      <c r="S4247" t="s">
        <v>77</v>
      </c>
      <c r="T4247">
        <v>19040</v>
      </c>
      <c r="U4247">
        <v>22455</v>
      </c>
      <c r="V4247" t="s">
        <v>77</v>
      </c>
    </row>
    <row r="4248" spans="1:22">
      <c r="A4248" t="str">
        <f t="shared" si="783"/>
        <v>02/10/2025</v>
      </c>
      <c r="B4248" t="str">
        <f t="shared" si="788"/>
        <v>SAÍDA</v>
      </c>
      <c r="C4248" t="str">
        <f t="shared" si="784"/>
        <v>PIX</v>
      </c>
      <c r="D4248" t="str">
        <f>"22455"</f>
        <v>22455</v>
      </c>
      <c r="E4248" t="str">
        <f t="shared" si="786"/>
        <v>1</v>
      </c>
      <c r="F4248" t="str">
        <f t="shared" si="781"/>
        <v>COM</v>
      </c>
      <c r="G4248" t="str">
        <f>"FABIO SOUZA DE JESUS (637)"</f>
        <v>FABIO SOUZA DE JESUS (637)</v>
      </c>
      <c r="H4248" t="s">
        <v>1231</v>
      </c>
      <c r="I4248" t="str">
        <f t="shared" si="785"/>
        <v>02/10/2025</v>
      </c>
      <c r="J4248" t="str">
        <f t="shared" si="787"/>
        <v>23/09/2025</v>
      </c>
      <c r="K4248">
        <v>45932</v>
      </c>
      <c r="N4248">
        <v>109</v>
      </c>
      <c r="O4248" t="s">
        <v>24</v>
      </c>
      <c r="Q4248">
        <v>107.54</v>
      </c>
      <c r="R4248" t="str">
        <f>"FARMÁCIA INDIANA LJ 235 (10190)"</f>
        <v>FARMÁCIA INDIANA LJ 235 (10190)</v>
      </c>
      <c r="S4248" t="s">
        <v>77</v>
      </c>
      <c r="T4248">
        <v>19040</v>
      </c>
      <c r="U4248">
        <v>22455</v>
      </c>
      <c r="V4248" t="s">
        <v>77</v>
      </c>
    </row>
    <row r="4249" spans="1:22">
      <c r="A4249" t="str">
        <f t="shared" si="783"/>
        <v>02/10/2025</v>
      </c>
      <c r="B4249" t="str">
        <f t="shared" si="788"/>
        <v>SAÍDA</v>
      </c>
      <c r="C4249" t="str">
        <f t="shared" si="784"/>
        <v>PIX</v>
      </c>
      <c r="D4249" t="str">
        <f>"22454"</f>
        <v>22454</v>
      </c>
      <c r="E4249" t="str">
        <f t="shared" si="786"/>
        <v>1</v>
      </c>
      <c r="F4249" t="str">
        <f t="shared" si="781"/>
        <v>COM</v>
      </c>
      <c r="G4249" t="str">
        <f>"DANILO ROCHA SILVA (162)"</f>
        <v>DANILO ROCHA SILVA (162)</v>
      </c>
      <c r="H4249" t="str">
        <f>"Serv.Prest. 15/09/2025 a 21/09/2025 - PIX: CELULAR - CHAVE: (27) 99811-6850"</f>
        <v>Serv.Prest. 15/09/2025 a 21/09/2025 - PIX: CELULAR - CHAVE: (27) 99811-6850</v>
      </c>
      <c r="I4249" t="str">
        <f t="shared" si="785"/>
        <v>02/10/2025</v>
      </c>
      <c r="J4249" t="str">
        <f t="shared" si="787"/>
        <v>23/09/2025</v>
      </c>
      <c r="K4249" t="str">
        <f>("02/10/2025")</f>
        <v>02/10/2025</v>
      </c>
      <c r="L4249">
        <v>1008</v>
      </c>
      <c r="M4249">
        <v>1008</v>
      </c>
      <c r="N4249">
        <v>109</v>
      </c>
      <c r="O4249" t="str">
        <f>"PAGAMENTO DE ENTREGADORES"</f>
        <v>PAGAMENTO DE ENTREGADORES</v>
      </c>
      <c r="P4249">
        <v>1008</v>
      </c>
      <c r="S4249" t="str">
        <f>"BANCO C6 (149)"</f>
        <v>BANCO C6 (149)</v>
      </c>
      <c r="T4249">
        <v>19041</v>
      </c>
      <c r="U4249">
        <v>22454</v>
      </c>
      <c r="V4249" t="s">
        <v>77</v>
      </c>
    </row>
    <row r="4250" spans="1:22">
      <c r="A4250" t="str">
        <f t="shared" si="783"/>
        <v>02/10/2025</v>
      </c>
      <c r="B4250" t="str">
        <f t="shared" si="788"/>
        <v>SAÍDA</v>
      </c>
      <c r="C4250" t="str">
        <f t="shared" si="784"/>
        <v>PIX</v>
      </c>
      <c r="D4250" t="str">
        <f>"22454"</f>
        <v>22454</v>
      </c>
      <c r="E4250" t="str">
        <f t="shared" si="786"/>
        <v>1</v>
      </c>
      <c r="F4250" t="str">
        <f t="shared" si="781"/>
        <v>COM</v>
      </c>
      <c r="G4250" t="str">
        <f>"DANILO ROCHA SILVA (162)"</f>
        <v>DANILO ROCHA SILVA (162)</v>
      </c>
      <c r="H4250" t="s">
        <v>1232</v>
      </c>
      <c r="I4250" t="str">
        <f t="shared" si="785"/>
        <v>02/10/2025</v>
      </c>
      <c r="J4250" t="str">
        <f t="shared" si="787"/>
        <v>23/09/2025</v>
      </c>
      <c r="K4250">
        <v>45932</v>
      </c>
      <c r="N4250">
        <v>109</v>
      </c>
      <c r="O4250" t="s">
        <v>24</v>
      </c>
      <c r="Q4250">
        <v>1008</v>
      </c>
      <c r="R4250" t="str">
        <f>"FARMÁCIA INDIANA LJ 181 (10078)"</f>
        <v>FARMÁCIA INDIANA LJ 181 (10078)</v>
      </c>
      <c r="S4250" t="s">
        <v>77</v>
      </c>
      <c r="T4250">
        <v>19041</v>
      </c>
      <c r="U4250">
        <v>22454</v>
      </c>
      <c r="V4250" t="s">
        <v>77</v>
      </c>
    </row>
    <row r="4251" spans="1:22">
      <c r="A4251" t="str">
        <f t="shared" si="783"/>
        <v>02/10/2025</v>
      </c>
      <c r="B4251" t="str">
        <f t="shared" si="788"/>
        <v>SAÍDA</v>
      </c>
      <c r="C4251" t="str">
        <f t="shared" si="784"/>
        <v>PIX</v>
      </c>
      <c r="D4251" t="str">
        <f>"22453"</f>
        <v>22453</v>
      </c>
      <c r="E4251" t="str">
        <f t="shared" si="786"/>
        <v>1</v>
      </c>
      <c r="F4251" t="str">
        <f t="shared" si="781"/>
        <v>COM</v>
      </c>
      <c r="G4251" t="str">
        <f>"ANDERSON PEREIRA DOS SANTOS (746)"</f>
        <v>ANDERSON PEREIRA DOS SANTOS (746)</v>
      </c>
      <c r="H4251" t="str">
        <f>"Serv.Prest. 15/09/2025 a 21/09/2025 - PIX: CPF - CHAVE: 079.930.865-07"</f>
        <v>Serv.Prest. 15/09/2025 a 21/09/2025 - PIX: CPF - CHAVE: 079.930.865-07</v>
      </c>
      <c r="I4251" t="str">
        <f t="shared" si="785"/>
        <v>02/10/2025</v>
      </c>
      <c r="J4251" t="str">
        <f t="shared" si="787"/>
        <v>23/09/2025</v>
      </c>
      <c r="K4251" t="str">
        <f>("02/10/2025")</f>
        <v>02/10/2025</v>
      </c>
      <c r="L4251">
        <v>804</v>
      </c>
      <c r="M4251">
        <v>804</v>
      </c>
      <c r="N4251">
        <v>109</v>
      </c>
      <c r="O4251" t="str">
        <f>"PAGAMENTO DE ENTREGADORES"</f>
        <v>PAGAMENTO DE ENTREGADORES</v>
      </c>
      <c r="P4251">
        <v>804</v>
      </c>
      <c r="S4251" t="str">
        <f>"BANCO C6 (149)"</f>
        <v>BANCO C6 (149)</v>
      </c>
      <c r="T4251">
        <v>19042</v>
      </c>
      <c r="U4251">
        <v>22453</v>
      </c>
      <c r="V4251" t="s">
        <v>77</v>
      </c>
    </row>
    <row r="4252" spans="1:22">
      <c r="A4252" t="str">
        <f t="shared" si="783"/>
        <v>02/10/2025</v>
      </c>
      <c r="B4252" t="str">
        <f t="shared" si="788"/>
        <v>SAÍDA</v>
      </c>
      <c r="C4252" t="str">
        <f t="shared" si="784"/>
        <v>PIX</v>
      </c>
      <c r="D4252" t="str">
        <f>"22453"</f>
        <v>22453</v>
      </c>
      <c r="E4252" t="str">
        <f t="shared" si="786"/>
        <v>1</v>
      </c>
      <c r="F4252" t="str">
        <f t="shared" si="781"/>
        <v>COM</v>
      </c>
      <c r="G4252" t="str">
        <f>"ANDERSON PEREIRA DOS SANTOS (746)"</f>
        <v>ANDERSON PEREIRA DOS SANTOS (746)</v>
      </c>
      <c r="H4252" t="s">
        <v>1233</v>
      </c>
      <c r="I4252" t="str">
        <f t="shared" si="785"/>
        <v>02/10/2025</v>
      </c>
      <c r="J4252" t="str">
        <f t="shared" si="787"/>
        <v>23/09/2025</v>
      </c>
      <c r="K4252">
        <v>45932</v>
      </c>
      <c r="N4252">
        <v>109</v>
      </c>
      <c r="O4252" t="s">
        <v>24</v>
      </c>
      <c r="Q4252">
        <v>368.47</v>
      </c>
      <c r="R4252" t="str">
        <f>"FARMÁCIA INDIANA LJ 211 (10168)"</f>
        <v>FARMÁCIA INDIANA LJ 211 (10168)</v>
      </c>
      <c r="S4252" t="s">
        <v>77</v>
      </c>
      <c r="T4252">
        <v>19042</v>
      </c>
      <c r="U4252">
        <v>22453</v>
      </c>
      <c r="V4252" t="s">
        <v>77</v>
      </c>
    </row>
    <row r="4253" spans="1:22">
      <c r="A4253" t="str">
        <f t="shared" si="783"/>
        <v>02/10/2025</v>
      </c>
      <c r="B4253" t="str">
        <f t="shared" si="788"/>
        <v>SAÍDA</v>
      </c>
      <c r="C4253" t="str">
        <f t="shared" si="784"/>
        <v>PIX</v>
      </c>
      <c r="D4253" t="str">
        <f>"22453"</f>
        <v>22453</v>
      </c>
      <c r="E4253" t="str">
        <f t="shared" si="786"/>
        <v>1</v>
      </c>
      <c r="F4253" t="str">
        <f t="shared" si="781"/>
        <v>COM</v>
      </c>
      <c r="G4253" t="str">
        <f>"ANDERSON PEREIRA DOS SANTOS (746)"</f>
        <v>ANDERSON PEREIRA DOS SANTOS (746)</v>
      </c>
      <c r="H4253" t="s">
        <v>1233</v>
      </c>
      <c r="I4253" t="str">
        <f t="shared" si="785"/>
        <v>02/10/2025</v>
      </c>
      <c r="J4253" t="str">
        <f t="shared" si="787"/>
        <v>23/09/2025</v>
      </c>
      <c r="K4253">
        <v>45932</v>
      </c>
      <c r="N4253">
        <v>109</v>
      </c>
      <c r="O4253" t="s">
        <v>24</v>
      </c>
      <c r="Q4253">
        <v>435.53</v>
      </c>
      <c r="R4253" t="str">
        <f>"FARMÁCIA INDIANA LJ 236 (10169)"</f>
        <v>FARMÁCIA INDIANA LJ 236 (10169)</v>
      </c>
      <c r="S4253" t="s">
        <v>77</v>
      </c>
      <c r="T4253">
        <v>19042</v>
      </c>
      <c r="U4253">
        <v>22453</v>
      </c>
      <c r="V4253" t="s">
        <v>77</v>
      </c>
    </row>
    <row r="4254" spans="1:22">
      <c r="A4254" t="str">
        <f t="shared" si="783"/>
        <v>02/10/2025</v>
      </c>
      <c r="B4254" t="str">
        <f>"ENTRADA"</f>
        <v>ENTRADA</v>
      </c>
      <c r="C4254" t="str">
        <f t="shared" si="784"/>
        <v>PIX</v>
      </c>
      <c r="D4254" t="str">
        <f>"22524"</f>
        <v>22524</v>
      </c>
      <c r="E4254" t="str">
        <f t="shared" si="786"/>
        <v>1</v>
      </c>
      <c r="F4254" t="str">
        <f t="shared" si="781"/>
        <v>COM</v>
      </c>
      <c r="G4254" t="str">
        <f>"DANILO DE JESUS SANTOS (490)"</f>
        <v>DANILO DE JESUS SANTOS (490)</v>
      </c>
      <c r="H4254" t="str">
        <f>"DESC DE BAG, UNIFORME, PLANOS Serv.Prest. 22/09/2025 a 25/09/2025 - PIX: CELULAR - CHAVE: (73) 98191-0061"</f>
        <v>DESC DE BAG, UNIFORME, PLANOS Serv.Prest. 22/09/2025 a 25/09/2025 - PIX: CELULAR - CHAVE: (73) 98191-0061</v>
      </c>
      <c r="I4254" t="str">
        <f t="shared" si="785"/>
        <v>02/10/2025</v>
      </c>
      <c r="J4254" t="str">
        <f t="shared" ref="J4254:J4261" si="789">("26/09/2025")</f>
        <v>26/09/2025</v>
      </c>
      <c r="K4254" t="str">
        <f>("02/10/2025")</f>
        <v>02/10/2025</v>
      </c>
      <c r="N4254">
        <v>108</v>
      </c>
      <c r="O4254" t="str">
        <f>"RECEITAS COM REEMBOLSOS"</f>
        <v>RECEITAS COM REEMBOLSOS</v>
      </c>
      <c r="P4254">
        <v>30</v>
      </c>
      <c r="S4254" t="str">
        <f>"BANCO C6 (149)"</f>
        <v>BANCO C6 (149)</v>
      </c>
      <c r="T4254">
        <v>19043</v>
      </c>
      <c r="U4254">
        <v>22524</v>
      </c>
      <c r="V4254" t="s">
        <v>77</v>
      </c>
    </row>
    <row r="4255" spans="1:22">
      <c r="A4255" t="str">
        <f t="shared" si="783"/>
        <v>02/10/2025</v>
      </c>
      <c r="B4255" t="str">
        <f t="shared" ref="B4255:B4286" si="790">"SAÍDA"</f>
        <v>SAÍDA</v>
      </c>
      <c r="C4255" t="str">
        <f t="shared" si="784"/>
        <v>PIX</v>
      </c>
      <c r="D4255" t="str">
        <f>"22524"</f>
        <v>22524</v>
      </c>
      <c r="E4255" t="str">
        <f t="shared" si="786"/>
        <v>1</v>
      </c>
      <c r="F4255" t="str">
        <f t="shared" si="781"/>
        <v>COM</v>
      </c>
      <c r="G4255" t="str">
        <f>"DANILO DE JESUS SANTOS (490)"</f>
        <v>DANILO DE JESUS SANTOS (490)</v>
      </c>
      <c r="H4255" t="str">
        <f>"Serv.Prest. 22/09/2025 a 25/09/2025 - PIX: CELULAR - CHAVE: (73) 98191-0061"</f>
        <v>Serv.Prest. 22/09/2025 a 25/09/2025 - PIX: CELULAR - CHAVE: (73) 98191-0061</v>
      </c>
      <c r="I4255" t="str">
        <f t="shared" si="785"/>
        <v>02/10/2025</v>
      </c>
      <c r="J4255" t="str">
        <f t="shared" si="789"/>
        <v>26/09/2025</v>
      </c>
      <c r="K4255" t="str">
        <f>("02/10/2025")</f>
        <v>02/10/2025</v>
      </c>
      <c r="L4255">
        <v>702</v>
      </c>
      <c r="M4255">
        <v>672</v>
      </c>
      <c r="N4255">
        <v>109</v>
      </c>
      <c r="O4255" t="str">
        <f>"PAGAMENTO DE ENTREGADORES"</f>
        <v>PAGAMENTO DE ENTREGADORES</v>
      </c>
      <c r="P4255">
        <v>702</v>
      </c>
      <c r="S4255" t="str">
        <f>"BANCO C6 (149)"</f>
        <v>BANCO C6 (149)</v>
      </c>
      <c r="T4255">
        <v>19043</v>
      </c>
      <c r="U4255">
        <v>22524</v>
      </c>
      <c r="V4255" t="s">
        <v>77</v>
      </c>
    </row>
    <row r="4256" spans="1:22">
      <c r="A4256" t="str">
        <f t="shared" si="783"/>
        <v>02/10/2025</v>
      </c>
      <c r="B4256" t="str">
        <f t="shared" si="790"/>
        <v>SAÍDA</v>
      </c>
      <c r="C4256" t="str">
        <f t="shared" si="784"/>
        <v>PIX</v>
      </c>
      <c r="D4256" t="str">
        <f>"22524"</f>
        <v>22524</v>
      </c>
      <c r="E4256" t="str">
        <f t="shared" si="786"/>
        <v>1</v>
      </c>
      <c r="F4256" t="str">
        <f t="shared" si="781"/>
        <v>COM</v>
      </c>
      <c r="G4256" t="str">
        <f>"DANILO DE JESUS SANTOS (490)"</f>
        <v>DANILO DE JESUS SANTOS (490)</v>
      </c>
      <c r="H4256" t="s">
        <v>1234</v>
      </c>
      <c r="I4256" t="str">
        <f t="shared" si="785"/>
        <v>02/10/2025</v>
      </c>
      <c r="J4256" t="str">
        <f t="shared" si="789"/>
        <v>26/09/2025</v>
      </c>
      <c r="K4256">
        <v>45932</v>
      </c>
      <c r="N4256">
        <v>108</v>
      </c>
      <c r="O4256" t="s">
        <v>54</v>
      </c>
      <c r="Q4256">
        <v>672</v>
      </c>
      <c r="R4256" t="str">
        <f>"FARMÁCIA INDIANA LJ 145 (10068)"</f>
        <v>FARMÁCIA INDIANA LJ 145 (10068)</v>
      </c>
      <c r="S4256" t="s">
        <v>77</v>
      </c>
      <c r="T4256">
        <v>19043</v>
      </c>
      <c r="U4256">
        <v>22524</v>
      </c>
      <c r="V4256" t="s">
        <v>77</v>
      </c>
    </row>
    <row r="4257" spans="1:22">
      <c r="A4257" t="str">
        <f t="shared" si="783"/>
        <v>02/10/2025</v>
      </c>
      <c r="B4257" t="str">
        <f t="shared" si="790"/>
        <v>SAÍDA</v>
      </c>
      <c r="C4257" t="str">
        <f t="shared" si="784"/>
        <v>PIX</v>
      </c>
      <c r="D4257" t="str">
        <f>"22578"</f>
        <v>22578</v>
      </c>
      <c r="E4257" t="str">
        <f t="shared" si="786"/>
        <v>1</v>
      </c>
      <c r="F4257" t="str">
        <f t="shared" si="781"/>
        <v>COM</v>
      </c>
      <c r="G4257" t="str">
        <f>"GILDASIO DOMINGOS DOS SANTOS (54)"</f>
        <v>GILDASIO DOMINGOS DOS SANTOS (54)</v>
      </c>
      <c r="H4257" t="str">
        <f>"Serv.Prest. 22/09/2025 a 25/09/2025 - PIX: CELULAR - CHAVE: (33) 98857-0494"</f>
        <v>Serv.Prest. 22/09/2025 a 25/09/2025 - PIX: CELULAR - CHAVE: (33) 98857-0494</v>
      </c>
      <c r="I4257" t="str">
        <f t="shared" si="785"/>
        <v>02/10/2025</v>
      </c>
      <c r="J4257" t="str">
        <f t="shared" si="789"/>
        <v>26/09/2025</v>
      </c>
      <c r="K4257" t="str">
        <f>("02/10/2025")</f>
        <v>02/10/2025</v>
      </c>
      <c r="L4257">
        <v>576</v>
      </c>
      <c r="M4257">
        <v>576</v>
      </c>
      <c r="N4257">
        <v>109</v>
      </c>
      <c r="O4257" t="str">
        <f>"PAGAMENTO DE ENTREGADORES"</f>
        <v>PAGAMENTO DE ENTREGADORES</v>
      </c>
      <c r="P4257">
        <v>576</v>
      </c>
      <c r="S4257" t="str">
        <f>"BANCO C6 (149)"</f>
        <v>BANCO C6 (149)</v>
      </c>
      <c r="T4257">
        <v>19044</v>
      </c>
      <c r="U4257">
        <v>22578</v>
      </c>
      <c r="V4257" t="s">
        <v>77</v>
      </c>
    </row>
    <row r="4258" spans="1:22">
      <c r="A4258" t="str">
        <f t="shared" si="783"/>
        <v>02/10/2025</v>
      </c>
      <c r="B4258" t="str">
        <f t="shared" si="790"/>
        <v>SAÍDA</v>
      </c>
      <c r="C4258" t="str">
        <f t="shared" si="784"/>
        <v>PIX</v>
      </c>
      <c r="D4258" t="str">
        <f>"22578"</f>
        <v>22578</v>
      </c>
      <c r="E4258" t="str">
        <f t="shared" si="786"/>
        <v>1</v>
      </c>
      <c r="F4258" t="str">
        <f t="shared" si="781"/>
        <v>COM</v>
      </c>
      <c r="G4258" t="str">
        <f>"GILDASIO DOMINGOS DOS SANTOS (54)"</f>
        <v>GILDASIO DOMINGOS DOS SANTOS (54)</v>
      </c>
      <c r="H4258" t="s">
        <v>1235</v>
      </c>
      <c r="I4258" t="str">
        <f t="shared" si="785"/>
        <v>02/10/2025</v>
      </c>
      <c r="J4258" t="str">
        <f t="shared" si="789"/>
        <v>26/09/2025</v>
      </c>
      <c r="K4258">
        <v>45932</v>
      </c>
      <c r="N4258">
        <v>109</v>
      </c>
      <c r="O4258" t="s">
        <v>24</v>
      </c>
      <c r="Q4258">
        <v>576</v>
      </c>
      <c r="R4258" t="str">
        <f>"FARMÁCIA INDIANA LJ 07 (10007)"</f>
        <v>FARMÁCIA INDIANA LJ 07 (10007)</v>
      </c>
      <c r="S4258" t="s">
        <v>77</v>
      </c>
      <c r="T4258">
        <v>19044</v>
      </c>
      <c r="U4258">
        <v>22578</v>
      </c>
      <c r="V4258" t="s">
        <v>77</v>
      </c>
    </row>
    <row r="4259" spans="1:22">
      <c r="A4259" t="str">
        <f t="shared" si="783"/>
        <v>02/10/2025</v>
      </c>
      <c r="B4259" t="str">
        <f t="shared" si="790"/>
        <v>SAÍDA</v>
      </c>
      <c r="C4259" t="str">
        <f t="shared" si="784"/>
        <v>PIX</v>
      </c>
      <c r="D4259" t="str">
        <f>"22551"</f>
        <v>22551</v>
      </c>
      <c r="E4259" t="str">
        <f t="shared" si="786"/>
        <v>1</v>
      </c>
      <c r="F4259" t="str">
        <f t="shared" si="781"/>
        <v>COM</v>
      </c>
      <c r="G4259" t="str">
        <f>"ADRYAN NUNES MARTINS (857)"</f>
        <v>ADRYAN NUNES MARTINS (857)</v>
      </c>
      <c r="H4259" t="str">
        <f>"Serv.Prest. 22/09/2025 a 25/09/2025 - PIX: CPF - CHAVE: 021.178.446-00"</f>
        <v>Serv.Prest. 22/09/2025 a 25/09/2025 - PIX: CPF - CHAVE: 021.178.446-00</v>
      </c>
      <c r="I4259" t="str">
        <f t="shared" si="785"/>
        <v>02/10/2025</v>
      </c>
      <c r="J4259" t="str">
        <f t="shared" si="789"/>
        <v>26/09/2025</v>
      </c>
      <c r="K4259" t="str">
        <f>("02/10/2025")</f>
        <v>02/10/2025</v>
      </c>
      <c r="L4259">
        <v>700.8</v>
      </c>
      <c r="M4259">
        <v>700.8</v>
      </c>
      <c r="N4259">
        <v>109</v>
      </c>
      <c r="O4259" t="str">
        <f>"PAGAMENTO DE ENTREGADORES"</f>
        <v>PAGAMENTO DE ENTREGADORES</v>
      </c>
      <c r="P4259">
        <v>700.8</v>
      </c>
      <c r="S4259" t="str">
        <f>"BANCO C6 (149)"</f>
        <v>BANCO C6 (149)</v>
      </c>
      <c r="T4259">
        <v>19045</v>
      </c>
      <c r="U4259">
        <v>22551</v>
      </c>
      <c r="V4259" t="s">
        <v>77</v>
      </c>
    </row>
    <row r="4260" spans="1:22">
      <c r="A4260" t="str">
        <f t="shared" si="783"/>
        <v>02/10/2025</v>
      </c>
      <c r="B4260" t="str">
        <f t="shared" si="790"/>
        <v>SAÍDA</v>
      </c>
      <c r="C4260" t="str">
        <f t="shared" si="784"/>
        <v>PIX</v>
      </c>
      <c r="D4260" t="str">
        <f>"22551"</f>
        <v>22551</v>
      </c>
      <c r="E4260" t="str">
        <f t="shared" si="786"/>
        <v>1</v>
      </c>
      <c r="F4260" t="str">
        <f t="shared" si="781"/>
        <v>COM</v>
      </c>
      <c r="G4260" t="str">
        <f>"ADRYAN NUNES MARTINS (857)"</f>
        <v>ADRYAN NUNES MARTINS (857)</v>
      </c>
      <c r="H4260" t="s">
        <v>1236</v>
      </c>
      <c r="I4260" t="str">
        <f t="shared" si="785"/>
        <v>02/10/2025</v>
      </c>
      <c r="J4260" t="str">
        <f t="shared" si="789"/>
        <v>26/09/2025</v>
      </c>
      <c r="K4260">
        <v>45932</v>
      </c>
      <c r="N4260">
        <v>109</v>
      </c>
      <c r="O4260" t="s">
        <v>24</v>
      </c>
      <c r="Q4260">
        <v>79.61</v>
      </c>
      <c r="R4260" t="str">
        <f>"FARMÁCIA INDIANA LJ 116 (10051)"</f>
        <v>FARMÁCIA INDIANA LJ 116 (10051)</v>
      </c>
      <c r="S4260" t="s">
        <v>77</v>
      </c>
      <c r="T4260">
        <v>19045</v>
      </c>
      <c r="U4260">
        <v>22551</v>
      </c>
      <c r="V4260" t="s">
        <v>77</v>
      </c>
    </row>
    <row r="4261" spans="1:22">
      <c r="A4261" t="str">
        <f t="shared" si="783"/>
        <v>02/10/2025</v>
      </c>
      <c r="B4261" t="str">
        <f t="shared" si="790"/>
        <v>SAÍDA</v>
      </c>
      <c r="C4261" t="str">
        <f t="shared" si="784"/>
        <v>PIX</v>
      </c>
      <c r="D4261" t="str">
        <f>"22551"</f>
        <v>22551</v>
      </c>
      <c r="E4261" t="str">
        <f t="shared" si="786"/>
        <v>1</v>
      </c>
      <c r="F4261" t="str">
        <f t="shared" si="781"/>
        <v>COM</v>
      </c>
      <c r="G4261" t="str">
        <f>"ADRYAN NUNES MARTINS (857)"</f>
        <v>ADRYAN NUNES MARTINS (857)</v>
      </c>
      <c r="H4261" t="s">
        <v>1236</v>
      </c>
      <c r="I4261" t="str">
        <f t="shared" si="785"/>
        <v>02/10/2025</v>
      </c>
      <c r="J4261" t="str">
        <f t="shared" si="789"/>
        <v>26/09/2025</v>
      </c>
      <c r="K4261">
        <v>45932</v>
      </c>
      <c r="N4261">
        <v>109</v>
      </c>
      <c r="O4261" t="s">
        <v>24</v>
      </c>
      <c r="Q4261">
        <v>621.19000000000005</v>
      </c>
      <c r="R4261" t="str">
        <f>"FARMÁCIA INDIANA LJ 128 (10057)"</f>
        <v>FARMÁCIA INDIANA LJ 128 (10057)</v>
      </c>
      <c r="S4261" t="s">
        <v>77</v>
      </c>
      <c r="T4261">
        <v>19045</v>
      </c>
      <c r="U4261">
        <v>22551</v>
      </c>
      <c r="V4261" t="s">
        <v>77</v>
      </c>
    </row>
    <row r="4262" spans="1:22">
      <c r="A4262" t="str">
        <f t="shared" si="783"/>
        <v>02/10/2025</v>
      </c>
      <c r="B4262" t="str">
        <f t="shared" si="790"/>
        <v>SAÍDA</v>
      </c>
      <c r="C4262" t="str">
        <f t="shared" si="784"/>
        <v>PIX</v>
      </c>
      <c r="D4262" t="str">
        <f>"0210"</f>
        <v>0210</v>
      </c>
      <c r="E4262" t="str">
        <f>"25"</f>
        <v>25</v>
      </c>
      <c r="F4262" t="str">
        <f t="shared" si="781"/>
        <v>COM</v>
      </c>
      <c r="G4262" t="str">
        <f>"MURILO BARRETO AFONSO (30)"</f>
        <v>MURILO BARRETO AFONSO (30)</v>
      </c>
      <c r="H4262" t="str">
        <f>"Serv.Prest. 22/09/2025 a 28/09/2025 - PIX: CPF - CHAVE: 123.020.026-60"</f>
        <v>Serv.Prest. 22/09/2025 a 28/09/2025 - PIX: CPF - CHAVE: 123.020.026-60</v>
      </c>
      <c r="I4262" t="str">
        <f t="shared" si="785"/>
        <v>02/10/2025</v>
      </c>
      <c r="J4262" t="str">
        <f>("27/09/2025")</f>
        <v>27/09/2025</v>
      </c>
      <c r="K4262" t="str">
        <f>("02/10/2025")</f>
        <v>02/10/2025</v>
      </c>
      <c r="L4262">
        <v>140</v>
      </c>
      <c r="M4262">
        <v>140</v>
      </c>
      <c r="N4262">
        <v>109</v>
      </c>
      <c r="O4262" t="str">
        <f>"PAGAMENTO DE ENTREGADORES"</f>
        <v>PAGAMENTO DE ENTREGADORES</v>
      </c>
      <c r="P4262">
        <v>140</v>
      </c>
      <c r="S4262" t="str">
        <f>"BANCO C6 (149)"</f>
        <v>BANCO C6 (149)</v>
      </c>
      <c r="T4262">
        <v>19046</v>
      </c>
      <c r="U4262">
        <v>22799</v>
      </c>
      <c r="V4262" t="s">
        <v>77</v>
      </c>
    </row>
    <row r="4263" spans="1:22">
      <c r="A4263" t="str">
        <f t="shared" si="783"/>
        <v>02/10/2025</v>
      </c>
      <c r="B4263" t="str">
        <f t="shared" si="790"/>
        <v>SAÍDA</v>
      </c>
      <c r="C4263" t="str">
        <f t="shared" si="784"/>
        <v>PIX</v>
      </c>
      <c r="D4263" t="str">
        <f>"0210"</f>
        <v>0210</v>
      </c>
      <c r="E4263" t="str">
        <f>"25"</f>
        <v>25</v>
      </c>
      <c r="F4263" t="str">
        <f t="shared" si="781"/>
        <v>COM</v>
      </c>
      <c r="G4263" t="str">
        <f>"MURILO BARRETO AFONSO (30)"</f>
        <v>MURILO BARRETO AFONSO (30)</v>
      </c>
      <c r="H4263" t="s">
        <v>1116</v>
      </c>
      <c r="I4263" t="str">
        <f t="shared" si="785"/>
        <v>02/10/2025</v>
      </c>
      <c r="J4263" t="str">
        <f>("27/09/2025")</f>
        <v>27/09/2025</v>
      </c>
      <c r="K4263">
        <v>45932</v>
      </c>
      <c r="N4263">
        <v>109</v>
      </c>
      <c r="O4263" t="s">
        <v>24</v>
      </c>
      <c r="Q4263">
        <v>75.459999999999994</v>
      </c>
      <c r="R4263" t="str">
        <f>"FARMÁCIA INDIANA LJ 118 (10052)"</f>
        <v>FARMÁCIA INDIANA LJ 118 (10052)</v>
      </c>
      <c r="S4263" t="s">
        <v>77</v>
      </c>
      <c r="T4263">
        <v>19046</v>
      </c>
      <c r="U4263">
        <v>22799</v>
      </c>
      <c r="V4263" t="s">
        <v>77</v>
      </c>
    </row>
    <row r="4264" spans="1:22">
      <c r="A4264" t="str">
        <f t="shared" si="783"/>
        <v>02/10/2025</v>
      </c>
      <c r="B4264" t="str">
        <f t="shared" si="790"/>
        <v>SAÍDA</v>
      </c>
      <c r="C4264" t="str">
        <f t="shared" si="784"/>
        <v>PIX</v>
      </c>
      <c r="D4264" t="str">
        <f>"0210"</f>
        <v>0210</v>
      </c>
      <c r="E4264" t="str">
        <f>"25"</f>
        <v>25</v>
      </c>
      <c r="F4264" t="str">
        <f t="shared" si="781"/>
        <v>COM</v>
      </c>
      <c r="G4264" t="str">
        <f>"MURILO BARRETO AFONSO (30)"</f>
        <v>MURILO BARRETO AFONSO (30)</v>
      </c>
      <c r="H4264" t="s">
        <v>1116</v>
      </c>
      <c r="I4264" t="str">
        <f t="shared" si="785"/>
        <v>02/10/2025</v>
      </c>
      <c r="J4264" t="str">
        <f>("27/09/2025")</f>
        <v>27/09/2025</v>
      </c>
      <c r="K4264">
        <v>45932</v>
      </c>
      <c r="N4264">
        <v>109</v>
      </c>
      <c r="O4264" t="s">
        <v>24</v>
      </c>
      <c r="Q4264">
        <v>64.540000000000006</v>
      </c>
      <c r="R4264" t="str">
        <f>"FARMÁCIA INDIANA LJ 192 (10082)"</f>
        <v>FARMÁCIA INDIANA LJ 192 (10082)</v>
      </c>
      <c r="S4264" t="s">
        <v>77</v>
      </c>
      <c r="T4264">
        <v>19046</v>
      </c>
      <c r="U4264">
        <v>22799</v>
      </c>
      <c r="V4264" t="s">
        <v>77</v>
      </c>
    </row>
    <row r="4265" spans="1:22">
      <c r="A4265" t="str">
        <f t="shared" si="783"/>
        <v>02/10/2025</v>
      </c>
      <c r="B4265" t="str">
        <f t="shared" si="790"/>
        <v>SAÍDA</v>
      </c>
      <c r="C4265" t="str">
        <f t="shared" si="784"/>
        <v>PIX</v>
      </c>
      <c r="D4265" t="str">
        <f>"22546"</f>
        <v>22546</v>
      </c>
      <c r="E4265" t="str">
        <f t="shared" ref="E4265:E4296" si="791">"1"</f>
        <v>1</v>
      </c>
      <c r="F4265" t="str">
        <f t="shared" si="781"/>
        <v>COM</v>
      </c>
      <c r="G4265" t="str">
        <f>"TALES DE JESUS OLIVEIRA (318)"</f>
        <v>TALES DE JESUS OLIVEIRA (318)</v>
      </c>
      <c r="H4265" t="str">
        <f>"Serv.Prest. 22/09/2025 a 25/09/2025 - PIX: CPF - CHAVE: 378.223.888-51"</f>
        <v>Serv.Prest. 22/09/2025 a 25/09/2025 - PIX: CPF - CHAVE: 378.223.888-51</v>
      </c>
      <c r="I4265" t="str">
        <f t="shared" si="785"/>
        <v>02/10/2025</v>
      </c>
      <c r="J4265" t="str">
        <f t="shared" ref="J4265:J4270" si="792">("26/09/2025")</f>
        <v>26/09/2025</v>
      </c>
      <c r="K4265" t="str">
        <f>("02/10/2025")</f>
        <v>02/10/2025</v>
      </c>
      <c r="L4265">
        <v>702</v>
      </c>
      <c r="M4265">
        <v>702</v>
      </c>
      <c r="N4265">
        <v>109</v>
      </c>
      <c r="O4265" t="str">
        <f>"PAGAMENTO DE ENTREGADORES"</f>
        <v>PAGAMENTO DE ENTREGADORES</v>
      </c>
      <c r="P4265">
        <v>702</v>
      </c>
      <c r="S4265" t="str">
        <f>"BANCO C6 (149)"</f>
        <v>BANCO C6 (149)</v>
      </c>
      <c r="T4265">
        <v>19047</v>
      </c>
      <c r="U4265">
        <v>22546</v>
      </c>
      <c r="V4265" t="s">
        <v>77</v>
      </c>
    </row>
    <row r="4266" spans="1:22">
      <c r="A4266" t="str">
        <f t="shared" si="783"/>
        <v>02/10/2025</v>
      </c>
      <c r="B4266" t="str">
        <f t="shared" si="790"/>
        <v>SAÍDA</v>
      </c>
      <c r="C4266" t="str">
        <f t="shared" si="784"/>
        <v>PIX</v>
      </c>
      <c r="D4266" t="str">
        <f>"22546"</f>
        <v>22546</v>
      </c>
      <c r="E4266" t="str">
        <f t="shared" si="791"/>
        <v>1</v>
      </c>
      <c r="F4266" t="str">
        <f t="shared" si="781"/>
        <v>COM</v>
      </c>
      <c r="G4266" t="str">
        <f>"TALES DE JESUS OLIVEIRA (318)"</f>
        <v>TALES DE JESUS OLIVEIRA (318)</v>
      </c>
      <c r="H4266" t="s">
        <v>1237</v>
      </c>
      <c r="I4266" t="str">
        <f t="shared" si="785"/>
        <v>02/10/2025</v>
      </c>
      <c r="J4266" t="str">
        <f t="shared" si="792"/>
        <v>26/09/2025</v>
      </c>
      <c r="K4266">
        <v>45932</v>
      </c>
      <c r="N4266">
        <v>109</v>
      </c>
      <c r="O4266" t="s">
        <v>24</v>
      </c>
      <c r="Q4266">
        <v>702</v>
      </c>
      <c r="R4266" t="str">
        <f>"FARMÁCIA INDIANA LJ 145 (10068)"</f>
        <v>FARMÁCIA INDIANA LJ 145 (10068)</v>
      </c>
      <c r="S4266" t="s">
        <v>77</v>
      </c>
      <c r="T4266">
        <v>19047</v>
      </c>
      <c r="U4266">
        <v>22546</v>
      </c>
      <c r="V4266" t="s">
        <v>77</v>
      </c>
    </row>
    <row r="4267" spans="1:22">
      <c r="A4267" t="str">
        <f t="shared" si="783"/>
        <v>02/10/2025</v>
      </c>
      <c r="B4267" t="str">
        <f t="shared" si="790"/>
        <v>SAÍDA</v>
      </c>
      <c r="C4267" t="str">
        <f t="shared" si="784"/>
        <v>PIX</v>
      </c>
      <c r="D4267" t="str">
        <f>"22545"</f>
        <v>22545</v>
      </c>
      <c r="E4267" t="str">
        <f t="shared" si="791"/>
        <v>1</v>
      </c>
      <c r="F4267" t="str">
        <f t="shared" si="781"/>
        <v>COM</v>
      </c>
      <c r="G4267" t="str">
        <f>"ROBSON OLIVEIRA DE JESUS (623)"</f>
        <v>ROBSON OLIVEIRA DE JESUS (623)</v>
      </c>
      <c r="H4267" t="str">
        <f>"Serv.Prest. 22/09/2025 a 25/09/2025 - PIX: CPF - CHAVE: 009.265.655-24"</f>
        <v>Serv.Prest. 22/09/2025 a 25/09/2025 - PIX: CPF - CHAVE: 009.265.655-24</v>
      </c>
      <c r="I4267" t="str">
        <f t="shared" si="785"/>
        <v>02/10/2025</v>
      </c>
      <c r="J4267" t="str">
        <f t="shared" si="792"/>
        <v>26/09/2025</v>
      </c>
      <c r="K4267" t="str">
        <f>("02/10/2025")</f>
        <v>02/10/2025</v>
      </c>
      <c r="L4267">
        <v>702</v>
      </c>
      <c r="M4267">
        <v>702</v>
      </c>
      <c r="N4267">
        <v>109</v>
      </c>
      <c r="O4267" t="str">
        <f>"PAGAMENTO DE ENTREGADORES"</f>
        <v>PAGAMENTO DE ENTREGADORES</v>
      </c>
      <c r="P4267">
        <v>702</v>
      </c>
      <c r="S4267" t="str">
        <f>"BANCO C6 (149)"</f>
        <v>BANCO C6 (149)</v>
      </c>
      <c r="T4267">
        <v>19048</v>
      </c>
      <c r="U4267">
        <v>22545</v>
      </c>
      <c r="V4267" t="s">
        <v>77</v>
      </c>
    </row>
    <row r="4268" spans="1:22">
      <c r="A4268" t="str">
        <f t="shared" si="783"/>
        <v>02/10/2025</v>
      </c>
      <c r="B4268" t="str">
        <f t="shared" si="790"/>
        <v>SAÍDA</v>
      </c>
      <c r="C4268" t="str">
        <f t="shared" si="784"/>
        <v>PIX</v>
      </c>
      <c r="D4268" t="str">
        <f>"22545"</f>
        <v>22545</v>
      </c>
      <c r="E4268" t="str">
        <f t="shared" si="791"/>
        <v>1</v>
      </c>
      <c r="F4268" t="str">
        <f t="shared" si="781"/>
        <v>COM</v>
      </c>
      <c r="G4268" t="str">
        <f>"ROBSON OLIVEIRA DE JESUS (623)"</f>
        <v>ROBSON OLIVEIRA DE JESUS (623)</v>
      </c>
      <c r="H4268" t="s">
        <v>1238</v>
      </c>
      <c r="I4268" t="str">
        <f t="shared" si="785"/>
        <v>02/10/2025</v>
      </c>
      <c r="J4268" t="str">
        <f t="shared" si="792"/>
        <v>26/09/2025</v>
      </c>
      <c r="K4268">
        <v>45932</v>
      </c>
      <c r="N4268">
        <v>109</v>
      </c>
      <c r="O4268" t="s">
        <v>24</v>
      </c>
      <c r="Q4268">
        <v>702</v>
      </c>
      <c r="R4268" t="str">
        <f>"FARMÁCIA INDIANA LJ 145 (10068)"</f>
        <v>FARMÁCIA INDIANA LJ 145 (10068)</v>
      </c>
      <c r="S4268" t="s">
        <v>77</v>
      </c>
      <c r="T4268">
        <v>19048</v>
      </c>
      <c r="U4268">
        <v>22545</v>
      </c>
      <c r="V4268" t="s">
        <v>77</v>
      </c>
    </row>
    <row r="4269" spans="1:22">
      <c r="A4269" t="str">
        <f t="shared" si="783"/>
        <v>02/10/2025</v>
      </c>
      <c r="B4269" t="str">
        <f t="shared" si="790"/>
        <v>SAÍDA</v>
      </c>
      <c r="C4269" t="str">
        <f t="shared" si="784"/>
        <v>PIX</v>
      </c>
      <c r="D4269" t="str">
        <f>"22543"</f>
        <v>22543</v>
      </c>
      <c r="E4269" t="str">
        <f t="shared" si="791"/>
        <v>1</v>
      </c>
      <c r="F4269" t="str">
        <f t="shared" si="781"/>
        <v>COM</v>
      </c>
      <c r="G4269" t="str">
        <f>"NATANAEL AZEVEDO DOS SANTOS (765)"</f>
        <v>NATANAEL AZEVEDO DOS SANTOS (765)</v>
      </c>
      <c r="H4269" t="str">
        <f>"Serv.Prest. 22/09/2025 a 25/09/2025 - PIX: CPF - CHAVE: 007.842.745-25"</f>
        <v>Serv.Prest. 22/09/2025 a 25/09/2025 - PIX: CPF - CHAVE: 007.842.745-25</v>
      </c>
      <c r="I4269" t="str">
        <f t="shared" si="785"/>
        <v>02/10/2025</v>
      </c>
      <c r="J4269" t="str">
        <f t="shared" si="792"/>
        <v>26/09/2025</v>
      </c>
      <c r="K4269" t="str">
        <f>("02/10/2025")</f>
        <v>02/10/2025</v>
      </c>
      <c r="L4269">
        <v>102</v>
      </c>
      <c r="M4269">
        <v>102</v>
      </c>
      <c r="N4269">
        <v>109</v>
      </c>
      <c r="O4269" t="str">
        <f>"PAGAMENTO DE ENTREGADORES"</f>
        <v>PAGAMENTO DE ENTREGADORES</v>
      </c>
      <c r="P4269">
        <v>102</v>
      </c>
      <c r="S4269" t="str">
        <f>"BANCO C6 (149)"</f>
        <v>BANCO C6 (149)</v>
      </c>
      <c r="T4269">
        <v>19049</v>
      </c>
      <c r="U4269">
        <v>22543</v>
      </c>
      <c r="V4269" t="s">
        <v>77</v>
      </c>
    </row>
    <row r="4270" spans="1:22">
      <c r="A4270" t="str">
        <f t="shared" si="783"/>
        <v>02/10/2025</v>
      </c>
      <c r="B4270" t="str">
        <f t="shared" si="790"/>
        <v>SAÍDA</v>
      </c>
      <c r="C4270" t="str">
        <f t="shared" si="784"/>
        <v>PIX</v>
      </c>
      <c r="D4270" t="str">
        <f>"22543"</f>
        <v>22543</v>
      </c>
      <c r="E4270" t="str">
        <f t="shared" si="791"/>
        <v>1</v>
      </c>
      <c r="F4270" t="str">
        <f t="shared" si="781"/>
        <v>COM</v>
      </c>
      <c r="G4270" t="str">
        <f>"NATANAEL AZEVEDO DOS SANTOS (765)"</f>
        <v>NATANAEL AZEVEDO DOS SANTOS (765)</v>
      </c>
      <c r="H4270" t="s">
        <v>1239</v>
      </c>
      <c r="I4270" t="str">
        <f t="shared" si="785"/>
        <v>02/10/2025</v>
      </c>
      <c r="J4270" t="str">
        <f t="shared" si="792"/>
        <v>26/09/2025</v>
      </c>
      <c r="K4270">
        <v>45932</v>
      </c>
      <c r="N4270">
        <v>109</v>
      </c>
      <c r="O4270" t="s">
        <v>24</v>
      </c>
      <c r="Q4270">
        <v>102</v>
      </c>
      <c r="R4270" t="str">
        <f>"FARMÁCIA INDIANA LJ 91 (10037)"</f>
        <v>FARMÁCIA INDIANA LJ 91 (10037)</v>
      </c>
      <c r="S4270" t="s">
        <v>77</v>
      </c>
      <c r="T4270">
        <v>19049</v>
      </c>
      <c r="U4270">
        <v>22543</v>
      </c>
      <c r="V4270" t="s">
        <v>77</v>
      </c>
    </row>
    <row r="4271" spans="1:22">
      <c r="A4271" t="str">
        <f t="shared" si="783"/>
        <v>02/10/2025</v>
      </c>
      <c r="B4271" t="str">
        <f t="shared" si="790"/>
        <v>SAÍDA</v>
      </c>
      <c r="C4271" t="str">
        <f t="shared" si="784"/>
        <v>PIX</v>
      </c>
      <c r="D4271" t="str">
        <f>"22510"</f>
        <v>22510</v>
      </c>
      <c r="E4271" t="str">
        <f t="shared" si="791"/>
        <v>1</v>
      </c>
      <c r="F4271" t="str">
        <f t="shared" si="781"/>
        <v>COM</v>
      </c>
      <c r="G4271" t="str">
        <f>"FERNANDO MARTINS DA SILVA (701)"</f>
        <v>FERNANDO MARTINS DA SILVA (701)</v>
      </c>
      <c r="H4271" t="str">
        <f>"Serv.Prest. 15/09/2025 a 21/09/2025 - PIX: CPF - CHAVE: 004.682.359-06"</f>
        <v>Serv.Prest. 15/09/2025 a 21/09/2025 - PIX: CPF - CHAVE: 004.682.359-06</v>
      </c>
      <c r="I4271" t="str">
        <f t="shared" si="785"/>
        <v>02/10/2025</v>
      </c>
      <c r="J4271" t="str">
        <f t="shared" ref="J4271:J4303" si="793">("24/09/2025")</f>
        <v>24/09/2025</v>
      </c>
      <c r="K4271" t="str">
        <f>("02/10/2025")</f>
        <v>02/10/2025</v>
      </c>
      <c r="L4271">
        <v>189</v>
      </c>
      <c r="M4271">
        <v>189</v>
      </c>
      <c r="N4271">
        <v>109</v>
      </c>
      <c r="O4271" t="str">
        <f>"PAGAMENTO DE ENTREGADORES"</f>
        <v>PAGAMENTO DE ENTREGADORES</v>
      </c>
      <c r="P4271">
        <v>189</v>
      </c>
      <c r="S4271" t="str">
        <f>"BANCO C6 (149)"</f>
        <v>BANCO C6 (149)</v>
      </c>
      <c r="T4271">
        <v>19050</v>
      </c>
      <c r="U4271">
        <v>22510</v>
      </c>
      <c r="V4271" t="s">
        <v>77</v>
      </c>
    </row>
    <row r="4272" spans="1:22">
      <c r="A4272" t="str">
        <f t="shared" si="783"/>
        <v>02/10/2025</v>
      </c>
      <c r="B4272" t="str">
        <f t="shared" si="790"/>
        <v>SAÍDA</v>
      </c>
      <c r="C4272" t="str">
        <f t="shared" si="784"/>
        <v>PIX</v>
      </c>
      <c r="D4272" t="str">
        <f>"22510"</f>
        <v>22510</v>
      </c>
      <c r="E4272" t="str">
        <f t="shared" si="791"/>
        <v>1</v>
      </c>
      <c r="F4272" t="str">
        <f t="shared" si="781"/>
        <v>COM</v>
      </c>
      <c r="G4272" t="str">
        <f>"FERNANDO MARTINS DA SILVA (701)"</f>
        <v>FERNANDO MARTINS DA SILVA (701)</v>
      </c>
      <c r="H4272" t="s">
        <v>1240</v>
      </c>
      <c r="I4272" t="str">
        <f t="shared" si="785"/>
        <v>02/10/2025</v>
      </c>
      <c r="J4272" t="str">
        <f t="shared" si="793"/>
        <v>24/09/2025</v>
      </c>
      <c r="K4272">
        <v>45932</v>
      </c>
      <c r="N4272">
        <v>109</v>
      </c>
      <c r="O4272" t="s">
        <v>24</v>
      </c>
      <c r="Q4272">
        <v>132.30000000000001</v>
      </c>
      <c r="R4272" t="str">
        <f>"AC FARMA - FLEMINFARMA 5 (10183)"</f>
        <v>AC FARMA - FLEMINFARMA 5 (10183)</v>
      </c>
      <c r="S4272" t="s">
        <v>77</v>
      </c>
      <c r="T4272">
        <v>19050</v>
      </c>
      <c r="U4272">
        <v>22510</v>
      </c>
      <c r="V4272" t="s">
        <v>77</v>
      </c>
    </row>
    <row r="4273" spans="1:22">
      <c r="A4273" t="str">
        <f t="shared" si="783"/>
        <v>02/10/2025</v>
      </c>
      <c r="B4273" t="str">
        <f t="shared" si="790"/>
        <v>SAÍDA</v>
      </c>
      <c r="C4273" t="str">
        <f t="shared" si="784"/>
        <v>PIX</v>
      </c>
      <c r="D4273" t="str">
        <f>"22510"</f>
        <v>22510</v>
      </c>
      <c r="E4273" t="str">
        <f t="shared" si="791"/>
        <v>1</v>
      </c>
      <c r="F4273" t="str">
        <f t="shared" si="781"/>
        <v>COM</v>
      </c>
      <c r="G4273" t="str">
        <f>"FERNANDO MARTINS DA SILVA (701)"</f>
        <v>FERNANDO MARTINS DA SILVA (701)</v>
      </c>
      <c r="H4273" t="s">
        <v>1240</v>
      </c>
      <c r="I4273" t="str">
        <f t="shared" si="785"/>
        <v>02/10/2025</v>
      </c>
      <c r="J4273" t="str">
        <f t="shared" si="793"/>
        <v>24/09/2025</v>
      </c>
      <c r="K4273">
        <v>45932</v>
      </c>
      <c r="N4273">
        <v>109</v>
      </c>
      <c r="O4273" t="s">
        <v>24</v>
      </c>
      <c r="Q4273">
        <v>56.7</v>
      </c>
      <c r="R4273" t="str">
        <f>"AC FARMA - FLEMINFARMA 6 (10184)"</f>
        <v>AC FARMA - FLEMINFARMA 6 (10184)</v>
      </c>
      <c r="S4273" t="s">
        <v>77</v>
      </c>
      <c r="T4273">
        <v>19050</v>
      </c>
      <c r="U4273">
        <v>22510</v>
      </c>
      <c r="V4273" t="s">
        <v>77</v>
      </c>
    </row>
    <row r="4274" spans="1:22">
      <c r="A4274" t="str">
        <f t="shared" si="783"/>
        <v>02/10/2025</v>
      </c>
      <c r="B4274" t="str">
        <f t="shared" si="790"/>
        <v>SAÍDA</v>
      </c>
      <c r="C4274" t="str">
        <f t="shared" si="784"/>
        <v>PIX</v>
      </c>
      <c r="D4274" t="str">
        <f>"22509"</f>
        <v>22509</v>
      </c>
      <c r="E4274" t="str">
        <f t="shared" si="791"/>
        <v>1</v>
      </c>
      <c r="F4274" t="str">
        <f t="shared" si="781"/>
        <v>COM</v>
      </c>
      <c r="G4274" t="str">
        <f>"CLAUDINEI RIBEIRO VALERIO (681)"</f>
        <v>CLAUDINEI RIBEIRO VALERIO (681)</v>
      </c>
      <c r="H4274" t="str">
        <f>"Serv.Prest. 15/09/2025 a 21/09/2025 - PIX: CELULAR - CHAVE: (43) 99630-7532"</f>
        <v>Serv.Prest. 15/09/2025 a 21/09/2025 - PIX: CELULAR - CHAVE: (43) 99630-7532</v>
      </c>
      <c r="I4274" t="str">
        <f t="shared" si="785"/>
        <v>02/10/2025</v>
      </c>
      <c r="J4274" t="str">
        <f t="shared" si="793"/>
        <v>24/09/2025</v>
      </c>
      <c r="K4274" t="str">
        <f>("02/10/2025")</f>
        <v>02/10/2025</v>
      </c>
      <c r="L4274">
        <v>12.6</v>
      </c>
      <c r="M4274">
        <v>12.6</v>
      </c>
      <c r="N4274">
        <v>109</v>
      </c>
      <c r="O4274" t="str">
        <f>"PAGAMENTO DE ENTREGADORES"</f>
        <v>PAGAMENTO DE ENTREGADORES</v>
      </c>
      <c r="P4274">
        <v>12.6</v>
      </c>
      <c r="S4274" t="str">
        <f>"BANCO C6 (149)"</f>
        <v>BANCO C6 (149)</v>
      </c>
      <c r="T4274">
        <v>19051</v>
      </c>
      <c r="U4274">
        <v>22509</v>
      </c>
      <c r="V4274" t="s">
        <v>77</v>
      </c>
    </row>
    <row r="4275" spans="1:22">
      <c r="A4275" t="str">
        <f t="shared" si="783"/>
        <v>02/10/2025</v>
      </c>
      <c r="B4275" t="str">
        <f t="shared" si="790"/>
        <v>SAÍDA</v>
      </c>
      <c r="C4275" t="str">
        <f t="shared" si="784"/>
        <v>PIX</v>
      </c>
      <c r="D4275" t="str">
        <f>"22509"</f>
        <v>22509</v>
      </c>
      <c r="E4275" t="str">
        <f t="shared" si="791"/>
        <v>1</v>
      </c>
      <c r="F4275" t="str">
        <f t="shared" si="781"/>
        <v>COM</v>
      </c>
      <c r="G4275" t="str">
        <f>"CLAUDINEI RIBEIRO VALERIO (681)"</f>
        <v>CLAUDINEI RIBEIRO VALERIO (681)</v>
      </c>
      <c r="H4275" t="s">
        <v>1241</v>
      </c>
      <c r="I4275" t="str">
        <f t="shared" si="785"/>
        <v>02/10/2025</v>
      </c>
      <c r="J4275" t="str">
        <f t="shared" si="793"/>
        <v>24/09/2025</v>
      </c>
      <c r="K4275">
        <v>45932</v>
      </c>
      <c r="N4275">
        <v>109</v>
      </c>
      <c r="O4275" t="s">
        <v>24</v>
      </c>
      <c r="Q4275">
        <v>12.6</v>
      </c>
      <c r="R4275" t="str">
        <f>"AC FARMA - FLEMINFARMA 5 (10183)"</f>
        <v>AC FARMA - FLEMINFARMA 5 (10183)</v>
      </c>
      <c r="S4275" t="s">
        <v>77</v>
      </c>
      <c r="T4275">
        <v>19051</v>
      </c>
      <c r="U4275">
        <v>22509</v>
      </c>
      <c r="V4275" t="s">
        <v>77</v>
      </c>
    </row>
    <row r="4276" spans="1:22">
      <c r="A4276" t="str">
        <f t="shared" si="783"/>
        <v>02/10/2025</v>
      </c>
      <c r="B4276" t="str">
        <f t="shared" si="790"/>
        <v>SAÍDA</v>
      </c>
      <c r="C4276" t="str">
        <f t="shared" si="784"/>
        <v>PIX</v>
      </c>
      <c r="D4276" t="str">
        <f>"22508"</f>
        <v>22508</v>
      </c>
      <c r="E4276" t="str">
        <f t="shared" si="791"/>
        <v>1</v>
      </c>
      <c r="F4276" t="str">
        <f t="shared" ref="F4276:F4339" si="794">"COM"</f>
        <v>COM</v>
      </c>
      <c r="G4276" t="str">
        <f>"ALAN ACOSTA (897)"</f>
        <v>ALAN ACOSTA (897)</v>
      </c>
      <c r="H4276" t="str">
        <f>"Serv.Prest. 15/09/2025 a 21/09/2025 - PIX: E-MAIL - CHAVE: alanacosta1999@gmail.com"</f>
        <v>Serv.Prest. 15/09/2025 a 21/09/2025 - PIX: E-MAIL - CHAVE: alanacosta1999@gmail.com</v>
      </c>
      <c r="I4276" t="str">
        <f t="shared" si="785"/>
        <v>02/10/2025</v>
      </c>
      <c r="J4276" t="str">
        <f t="shared" si="793"/>
        <v>24/09/2025</v>
      </c>
      <c r="K4276" t="str">
        <f>("02/10/2025")</f>
        <v>02/10/2025</v>
      </c>
      <c r="L4276">
        <v>100.8</v>
      </c>
      <c r="M4276">
        <v>100.8</v>
      </c>
      <c r="N4276">
        <v>109</v>
      </c>
      <c r="O4276" t="str">
        <f>"PAGAMENTO DE ENTREGADORES"</f>
        <v>PAGAMENTO DE ENTREGADORES</v>
      </c>
      <c r="P4276">
        <v>100.8</v>
      </c>
      <c r="S4276" t="str">
        <f>"BANCO C6 (149)"</f>
        <v>BANCO C6 (149)</v>
      </c>
      <c r="T4276">
        <v>19052</v>
      </c>
      <c r="U4276">
        <v>22508</v>
      </c>
      <c r="V4276" t="s">
        <v>77</v>
      </c>
    </row>
    <row r="4277" spans="1:22">
      <c r="A4277" t="str">
        <f t="shared" si="783"/>
        <v>02/10/2025</v>
      </c>
      <c r="B4277" t="str">
        <f t="shared" si="790"/>
        <v>SAÍDA</v>
      </c>
      <c r="C4277" t="str">
        <f t="shared" si="784"/>
        <v>PIX</v>
      </c>
      <c r="D4277" t="str">
        <f>"22508"</f>
        <v>22508</v>
      </c>
      <c r="E4277" t="str">
        <f t="shared" si="791"/>
        <v>1</v>
      </c>
      <c r="F4277" t="str">
        <f t="shared" si="794"/>
        <v>COM</v>
      </c>
      <c r="G4277" t="str">
        <f>"ALAN ACOSTA (897)"</f>
        <v>ALAN ACOSTA (897)</v>
      </c>
      <c r="H4277" t="s">
        <v>1189</v>
      </c>
      <c r="I4277" t="str">
        <f t="shared" si="785"/>
        <v>02/10/2025</v>
      </c>
      <c r="J4277" t="str">
        <f t="shared" si="793"/>
        <v>24/09/2025</v>
      </c>
      <c r="K4277">
        <v>45932</v>
      </c>
      <c r="N4277">
        <v>109</v>
      </c>
      <c r="O4277" t="s">
        <v>24</v>
      </c>
      <c r="Q4277">
        <v>100.8</v>
      </c>
      <c r="R4277" t="str">
        <f>"AC FARMA - FLEMINFARMA 5 (10183)"</f>
        <v>AC FARMA - FLEMINFARMA 5 (10183)</v>
      </c>
      <c r="S4277" t="s">
        <v>77</v>
      </c>
      <c r="T4277">
        <v>19052</v>
      </c>
      <c r="U4277">
        <v>22508</v>
      </c>
      <c r="V4277" t="s">
        <v>77</v>
      </c>
    </row>
    <row r="4278" spans="1:22">
      <c r="A4278" t="str">
        <f t="shared" si="783"/>
        <v>02/10/2025</v>
      </c>
      <c r="B4278" t="str">
        <f t="shared" si="790"/>
        <v>SAÍDA</v>
      </c>
      <c r="C4278" t="str">
        <f t="shared" si="784"/>
        <v>PIX</v>
      </c>
      <c r="D4278" t="str">
        <f>"22506"</f>
        <v>22506</v>
      </c>
      <c r="E4278" t="str">
        <f t="shared" si="791"/>
        <v>1</v>
      </c>
      <c r="F4278" t="str">
        <f t="shared" si="794"/>
        <v>COM</v>
      </c>
      <c r="G4278" t="str">
        <f>"HELITON DE OLIVEIRA RAMOS BARBOSA (724)"</f>
        <v>HELITON DE OLIVEIRA RAMOS BARBOSA (724)</v>
      </c>
      <c r="H4278" t="str">
        <f>"Serv.Prest. 15/09/2025 a 21/09/2025 - PIX: CPF - CHAVE: 074.604.219-10"</f>
        <v>Serv.Prest. 15/09/2025 a 21/09/2025 - PIX: CPF - CHAVE: 074.604.219-10</v>
      </c>
      <c r="I4278" t="str">
        <f t="shared" si="785"/>
        <v>02/10/2025</v>
      </c>
      <c r="J4278" t="str">
        <f t="shared" si="793"/>
        <v>24/09/2025</v>
      </c>
      <c r="K4278" t="str">
        <f>("02/10/2025")</f>
        <v>02/10/2025</v>
      </c>
      <c r="L4278">
        <v>163.80000000000001</v>
      </c>
      <c r="M4278">
        <v>163.80000000000001</v>
      </c>
      <c r="N4278">
        <v>109</v>
      </c>
      <c r="O4278" t="str">
        <f>"PAGAMENTO DE ENTREGADORES"</f>
        <v>PAGAMENTO DE ENTREGADORES</v>
      </c>
      <c r="P4278">
        <v>163.80000000000001</v>
      </c>
      <c r="S4278" t="str">
        <f>"BANCO C6 (149)"</f>
        <v>BANCO C6 (149)</v>
      </c>
      <c r="T4278">
        <v>19053</v>
      </c>
      <c r="U4278">
        <v>22506</v>
      </c>
      <c r="V4278" t="s">
        <v>77</v>
      </c>
    </row>
    <row r="4279" spans="1:22">
      <c r="A4279" t="str">
        <f t="shared" si="783"/>
        <v>02/10/2025</v>
      </c>
      <c r="B4279" t="str">
        <f t="shared" si="790"/>
        <v>SAÍDA</v>
      </c>
      <c r="C4279" t="str">
        <f t="shared" si="784"/>
        <v>PIX</v>
      </c>
      <c r="D4279" t="str">
        <f>"22506"</f>
        <v>22506</v>
      </c>
      <c r="E4279" t="str">
        <f t="shared" si="791"/>
        <v>1</v>
      </c>
      <c r="F4279" t="str">
        <f t="shared" si="794"/>
        <v>COM</v>
      </c>
      <c r="G4279" t="str">
        <f>"HELITON DE OLIVEIRA RAMOS BARBOSA (724)"</f>
        <v>HELITON DE OLIVEIRA RAMOS BARBOSA (724)</v>
      </c>
      <c r="H4279" t="s">
        <v>1117</v>
      </c>
      <c r="I4279" t="str">
        <f t="shared" si="785"/>
        <v>02/10/2025</v>
      </c>
      <c r="J4279" t="str">
        <f t="shared" si="793"/>
        <v>24/09/2025</v>
      </c>
      <c r="K4279">
        <v>45932</v>
      </c>
      <c r="N4279">
        <v>109</v>
      </c>
      <c r="O4279" t="s">
        <v>24</v>
      </c>
      <c r="Q4279">
        <v>157.49</v>
      </c>
      <c r="R4279" t="str">
        <f>"AC FARMA -  FLEMINFARMA (10159)"</f>
        <v>AC FARMA -  FLEMINFARMA (10159)</v>
      </c>
      <c r="S4279" t="s">
        <v>77</v>
      </c>
      <c r="T4279">
        <v>19053</v>
      </c>
      <c r="U4279">
        <v>22506</v>
      </c>
      <c r="V4279" t="s">
        <v>77</v>
      </c>
    </row>
    <row r="4280" spans="1:22">
      <c r="A4280" t="str">
        <f t="shared" si="783"/>
        <v>02/10/2025</v>
      </c>
      <c r="B4280" t="str">
        <f t="shared" si="790"/>
        <v>SAÍDA</v>
      </c>
      <c r="C4280" t="str">
        <f t="shared" si="784"/>
        <v>PIX</v>
      </c>
      <c r="D4280" t="str">
        <f>"22506"</f>
        <v>22506</v>
      </c>
      <c r="E4280" t="str">
        <f t="shared" si="791"/>
        <v>1</v>
      </c>
      <c r="F4280" t="str">
        <f t="shared" si="794"/>
        <v>COM</v>
      </c>
      <c r="G4280" t="str">
        <f>"HELITON DE OLIVEIRA RAMOS BARBOSA (724)"</f>
        <v>HELITON DE OLIVEIRA RAMOS BARBOSA (724)</v>
      </c>
      <c r="H4280" t="s">
        <v>1117</v>
      </c>
      <c r="I4280" t="str">
        <f t="shared" si="785"/>
        <v>02/10/2025</v>
      </c>
      <c r="J4280" t="str">
        <f t="shared" si="793"/>
        <v>24/09/2025</v>
      </c>
      <c r="K4280">
        <v>45932</v>
      </c>
      <c r="N4280">
        <v>109</v>
      </c>
      <c r="O4280" t="s">
        <v>24</v>
      </c>
      <c r="Q4280">
        <v>6.31</v>
      </c>
      <c r="R4280" t="str">
        <f>"AC FARMA - FLEMINFARMA (10160)"</f>
        <v>AC FARMA - FLEMINFARMA (10160)</v>
      </c>
      <c r="S4280" t="s">
        <v>77</v>
      </c>
      <c r="T4280">
        <v>19053</v>
      </c>
      <c r="U4280">
        <v>22506</v>
      </c>
      <c r="V4280" t="s">
        <v>77</v>
      </c>
    </row>
    <row r="4281" spans="1:22">
      <c r="A4281" t="str">
        <f t="shared" si="783"/>
        <v>02/10/2025</v>
      </c>
      <c r="B4281" t="str">
        <f t="shared" si="790"/>
        <v>SAÍDA</v>
      </c>
      <c r="C4281" t="str">
        <f t="shared" si="784"/>
        <v>PIX</v>
      </c>
      <c r="D4281" t="str">
        <f>"22505"</f>
        <v>22505</v>
      </c>
      <c r="E4281" t="str">
        <f t="shared" si="791"/>
        <v>1</v>
      </c>
      <c r="F4281" t="str">
        <f t="shared" si="794"/>
        <v>COM</v>
      </c>
      <c r="G4281" t="str">
        <f>"GERALDO SEVERINO DE SANTANA (729)"</f>
        <v>GERALDO SEVERINO DE SANTANA (729)</v>
      </c>
      <c r="H4281" t="str">
        <f>"Serv.Prest. 15/09/2025 a 21/09/2025 - PIX: CELULAR - CHAVE: (43) 99934-1696"</f>
        <v>Serv.Prest. 15/09/2025 a 21/09/2025 - PIX: CELULAR - CHAVE: (43) 99934-1696</v>
      </c>
      <c r="I4281" t="str">
        <f t="shared" si="785"/>
        <v>02/10/2025</v>
      </c>
      <c r="J4281" t="str">
        <f t="shared" si="793"/>
        <v>24/09/2025</v>
      </c>
      <c r="K4281" t="str">
        <f>("02/10/2025")</f>
        <v>02/10/2025</v>
      </c>
      <c r="L4281">
        <v>296.10000000000002</v>
      </c>
      <c r="M4281">
        <v>296.10000000000002</v>
      </c>
      <c r="N4281">
        <v>109</v>
      </c>
      <c r="O4281" t="str">
        <f>"PAGAMENTO DE ENTREGADORES"</f>
        <v>PAGAMENTO DE ENTREGADORES</v>
      </c>
      <c r="P4281">
        <v>296.10000000000002</v>
      </c>
      <c r="S4281" t="str">
        <f>"BANCO C6 (149)"</f>
        <v>BANCO C6 (149)</v>
      </c>
      <c r="T4281">
        <v>19054</v>
      </c>
      <c r="U4281">
        <v>22505</v>
      </c>
      <c r="V4281" t="s">
        <v>77</v>
      </c>
    </row>
    <row r="4282" spans="1:22">
      <c r="A4282" t="str">
        <f t="shared" si="783"/>
        <v>02/10/2025</v>
      </c>
      <c r="B4282" t="str">
        <f t="shared" si="790"/>
        <v>SAÍDA</v>
      </c>
      <c r="C4282" t="str">
        <f t="shared" si="784"/>
        <v>PIX</v>
      </c>
      <c r="D4282" t="str">
        <f>"22505"</f>
        <v>22505</v>
      </c>
      <c r="E4282" t="str">
        <f t="shared" si="791"/>
        <v>1</v>
      </c>
      <c r="F4282" t="str">
        <f t="shared" si="794"/>
        <v>COM</v>
      </c>
      <c r="G4282" t="str">
        <f>"GERALDO SEVERINO DE SANTANA (729)"</f>
        <v>GERALDO SEVERINO DE SANTANA (729)</v>
      </c>
      <c r="H4282" t="s">
        <v>1118</v>
      </c>
      <c r="I4282" t="str">
        <f t="shared" si="785"/>
        <v>02/10/2025</v>
      </c>
      <c r="J4282" t="str">
        <f t="shared" si="793"/>
        <v>24/09/2025</v>
      </c>
      <c r="K4282">
        <v>45932</v>
      </c>
      <c r="N4282">
        <v>109</v>
      </c>
      <c r="O4282" t="s">
        <v>24</v>
      </c>
      <c r="Q4282">
        <v>283.49</v>
      </c>
      <c r="R4282" t="str">
        <f>"AC FARMA -  FLEMINFARMA (10159)"</f>
        <v>AC FARMA -  FLEMINFARMA (10159)</v>
      </c>
      <c r="S4282" t="s">
        <v>77</v>
      </c>
      <c r="T4282">
        <v>19054</v>
      </c>
      <c r="U4282">
        <v>22505</v>
      </c>
      <c r="V4282" t="s">
        <v>77</v>
      </c>
    </row>
    <row r="4283" spans="1:22">
      <c r="A4283" t="str">
        <f t="shared" si="783"/>
        <v>02/10/2025</v>
      </c>
      <c r="B4283" t="str">
        <f t="shared" si="790"/>
        <v>SAÍDA</v>
      </c>
      <c r="C4283" t="str">
        <f t="shared" si="784"/>
        <v>PIX</v>
      </c>
      <c r="D4283" t="str">
        <f>"22505"</f>
        <v>22505</v>
      </c>
      <c r="E4283" t="str">
        <f t="shared" si="791"/>
        <v>1</v>
      </c>
      <c r="F4283" t="str">
        <f t="shared" si="794"/>
        <v>COM</v>
      </c>
      <c r="G4283" t="str">
        <f>"GERALDO SEVERINO DE SANTANA (729)"</f>
        <v>GERALDO SEVERINO DE SANTANA (729)</v>
      </c>
      <c r="H4283" t="s">
        <v>1118</v>
      </c>
      <c r="I4283" t="str">
        <f t="shared" si="785"/>
        <v>02/10/2025</v>
      </c>
      <c r="J4283" t="str">
        <f t="shared" si="793"/>
        <v>24/09/2025</v>
      </c>
      <c r="K4283">
        <v>45932</v>
      </c>
      <c r="N4283">
        <v>109</v>
      </c>
      <c r="O4283" t="s">
        <v>24</v>
      </c>
      <c r="Q4283">
        <v>12.61</v>
      </c>
      <c r="R4283" t="str">
        <f>"AC FARMA - FLEMINFARMA (10160)"</f>
        <v>AC FARMA - FLEMINFARMA (10160)</v>
      </c>
      <c r="S4283" t="s">
        <v>77</v>
      </c>
      <c r="T4283">
        <v>19054</v>
      </c>
      <c r="U4283">
        <v>22505</v>
      </c>
      <c r="V4283" t="s">
        <v>77</v>
      </c>
    </row>
    <row r="4284" spans="1:22">
      <c r="A4284" t="str">
        <f t="shared" ref="A4284:A4347" si="795">("02/10/2025")</f>
        <v>02/10/2025</v>
      </c>
      <c r="B4284" t="str">
        <f t="shared" si="790"/>
        <v>SAÍDA</v>
      </c>
      <c r="C4284" t="str">
        <f t="shared" ref="C4284:C4347" si="796">"PIX"</f>
        <v>PIX</v>
      </c>
      <c r="D4284" t="str">
        <f>"22504"</f>
        <v>22504</v>
      </c>
      <c r="E4284" t="str">
        <f t="shared" si="791"/>
        <v>1</v>
      </c>
      <c r="F4284" t="str">
        <f t="shared" si="794"/>
        <v>COM</v>
      </c>
      <c r="G4284" t="str">
        <f>"FERNANDO MARTINS DA SILVA (701)"</f>
        <v>FERNANDO MARTINS DA SILVA (701)</v>
      </c>
      <c r="H4284" t="str">
        <f>"Serv.Prest. 15/09/2025 a 21/09/2025 - PIX: CPF - CHAVE: 004.682.359-06"</f>
        <v>Serv.Prest. 15/09/2025 a 21/09/2025 - PIX: CPF - CHAVE: 004.682.359-06</v>
      </c>
      <c r="I4284" t="str">
        <f t="shared" ref="I4284:I4347" si="797">("02/10/2025")</f>
        <v>02/10/2025</v>
      </c>
      <c r="J4284" t="str">
        <f t="shared" si="793"/>
        <v>24/09/2025</v>
      </c>
      <c r="K4284" t="str">
        <f>("02/10/2025")</f>
        <v>02/10/2025</v>
      </c>
      <c r="L4284">
        <v>466.2</v>
      </c>
      <c r="M4284">
        <v>466.2</v>
      </c>
      <c r="N4284">
        <v>109</v>
      </c>
      <c r="O4284" t="str">
        <f>"PAGAMENTO DE ENTREGADORES"</f>
        <v>PAGAMENTO DE ENTREGADORES</v>
      </c>
      <c r="P4284">
        <v>466.2</v>
      </c>
      <c r="S4284" t="str">
        <f>"BANCO C6 (149)"</f>
        <v>BANCO C6 (149)</v>
      </c>
      <c r="T4284">
        <v>19055</v>
      </c>
      <c r="U4284">
        <v>22504</v>
      </c>
      <c r="V4284" t="s">
        <v>77</v>
      </c>
    </row>
    <row r="4285" spans="1:22">
      <c r="A4285" t="str">
        <f t="shared" si="795"/>
        <v>02/10/2025</v>
      </c>
      <c r="B4285" t="str">
        <f t="shared" si="790"/>
        <v>SAÍDA</v>
      </c>
      <c r="C4285" t="str">
        <f t="shared" si="796"/>
        <v>PIX</v>
      </c>
      <c r="D4285" t="str">
        <f>"22504"</f>
        <v>22504</v>
      </c>
      <c r="E4285" t="str">
        <f t="shared" si="791"/>
        <v>1</v>
      </c>
      <c r="F4285" t="str">
        <f t="shared" si="794"/>
        <v>COM</v>
      </c>
      <c r="G4285" t="str">
        <f>"FERNANDO MARTINS DA SILVA (701)"</f>
        <v>FERNANDO MARTINS DA SILVA (701)</v>
      </c>
      <c r="H4285" t="s">
        <v>1240</v>
      </c>
      <c r="I4285" t="str">
        <f t="shared" si="797"/>
        <v>02/10/2025</v>
      </c>
      <c r="J4285" t="str">
        <f t="shared" si="793"/>
        <v>24/09/2025</v>
      </c>
      <c r="K4285">
        <v>45932</v>
      </c>
      <c r="N4285">
        <v>109</v>
      </c>
      <c r="O4285" t="s">
        <v>24</v>
      </c>
      <c r="Q4285">
        <v>447.32</v>
      </c>
      <c r="R4285" t="str">
        <f>"AC FARMA -  FLEMINFARMA (10159)"</f>
        <v>AC FARMA -  FLEMINFARMA (10159)</v>
      </c>
      <c r="S4285" t="s">
        <v>77</v>
      </c>
      <c r="T4285">
        <v>19055</v>
      </c>
      <c r="U4285">
        <v>22504</v>
      </c>
      <c r="V4285" t="s">
        <v>77</v>
      </c>
    </row>
    <row r="4286" spans="1:22">
      <c r="A4286" t="str">
        <f t="shared" si="795"/>
        <v>02/10/2025</v>
      </c>
      <c r="B4286" t="str">
        <f t="shared" si="790"/>
        <v>SAÍDA</v>
      </c>
      <c r="C4286" t="str">
        <f t="shared" si="796"/>
        <v>PIX</v>
      </c>
      <c r="D4286" t="str">
        <f>"22504"</f>
        <v>22504</v>
      </c>
      <c r="E4286" t="str">
        <f t="shared" si="791"/>
        <v>1</v>
      </c>
      <c r="F4286" t="str">
        <f t="shared" si="794"/>
        <v>COM</v>
      </c>
      <c r="G4286" t="str">
        <f>"FERNANDO MARTINS DA SILVA (701)"</f>
        <v>FERNANDO MARTINS DA SILVA (701)</v>
      </c>
      <c r="H4286" t="s">
        <v>1240</v>
      </c>
      <c r="I4286" t="str">
        <f t="shared" si="797"/>
        <v>02/10/2025</v>
      </c>
      <c r="J4286" t="str">
        <f t="shared" si="793"/>
        <v>24/09/2025</v>
      </c>
      <c r="K4286">
        <v>45932</v>
      </c>
      <c r="N4286">
        <v>109</v>
      </c>
      <c r="O4286" t="s">
        <v>24</v>
      </c>
      <c r="Q4286">
        <v>18.88</v>
      </c>
      <c r="R4286" t="str">
        <f>"AC FARMA - FLEMINFARMA (10160)"</f>
        <v>AC FARMA - FLEMINFARMA (10160)</v>
      </c>
      <c r="S4286" t="s">
        <v>77</v>
      </c>
      <c r="T4286">
        <v>19055</v>
      </c>
      <c r="U4286">
        <v>22504</v>
      </c>
      <c r="V4286" t="s">
        <v>77</v>
      </c>
    </row>
    <row r="4287" spans="1:22">
      <c r="A4287" t="str">
        <f t="shared" si="795"/>
        <v>02/10/2025</v>
      </c>
      <c r="B4287" t="str">
        <f t="shared" ref="B4287:B4318" si="798">"SAÍDA"</f>
        <v>SAÍDA</v>
      </c>
      <c r="C4287" t="str">
        <f t="shared" si="796"/>
        <v>PIX</v>
      </c>
      <c r="D4287" t="str">
        <f>"22503"</f>
        <v>22503</v>
      </c>
      <c r="E4287" t="str">
        <f t="shared" si="791"/>
        <v>1</v>
      </c>
      <c r="F4287" t="str">
        <f t="shared" si="794"/>
        <v>COM</v>
      </c>
      <c r="G4287" t="str">
        <f>"CLAUDINEI RIBEIRO VALERIO (681)"</f>
        <v>CLAUDINEI RIBEIRO VALERIO (681)</v>
      </c>
      <c r="H4287" t="str">
        <f>"Serv.Prest. 15/09/2025 a 21/09/2025 - PIX: CELULAR - CHAVE: (43) 99630-7532"</f>
        <v>Serv.Prest. 15/09/2025 a 21/09/2025 - PIX: CELULAR - CHAVE: (43) 99630-7532</v>
      </c>
      <c r="I4287" t="str">
        <f t="shared" si="797"/>
        <v>02/10/2025</v>
      </c>
      <c r="J4287" t="str">
        <f t="shared" si="793"/>
        <v>24/09/2025</v>
      </c>
      <c r="K4287" t="str">
        <f>("02/10/2025")</f>
        <v>02/10/2025</v>
      </c>
      <c r="L4287">
        <v>37.799999999999997</v>
      </c>
      <c r="M4287">
        <v>37.799999999999997</v>
      </c>
      <c r="N4287">
        <v>109</v>
      </c>
      <c r="O4287" t="str">
        <f>"PAGAMENTO DE ENTREGADORES"</f>
        <v>PAGAMENTO DE ENTREGADORES</v>
      </c>
      <c r="P4287">
        <v>37.799999999999997</v>
      </c>
      <c r="S4287" t="str">
        <f>"BANCO C6 (149)"</f>
        <v>BANCO C6 (149)</v>
      </c>
      <c r="T4287">
        <v>19056</v>
      </c>
      <c r="U4287">
        <v>22503</v>
      </c>
      <c r="V4287" t="s">
        <v>77</v>
      </c>
    </row>
    <row r="4288" spans="1:22">
      <c r="A4288" t="str">
        <f t="shared" si="795"/>
        <v>02/10/2025</v>
      </c>
      <c r="B4288" t="str">
        <f t="shared" si="798"/>
        <v>SAÍDA</v>
      </c>
      <c r="C4288" t="str">
        <f t="shared" si="796"/>
        <v>PIX</v>
      </c>
      <c r="D4288" t="str">
        <f>"22503"</f>
        <v>22503</v>
      </c>
      <c r="E4288" t="str">
        <f t="shared" si="791"/>
        <v>1</v>
      </c>
      <c r="F4288" t="str">
        <f t="shared" si="794"/>
        <v>COM</v>
      </c>
      <c r="G4288" t="str">
        <f>"CLAUDINEI RIBEIRO VALERIO (681)"</f>
        <v>CLAUDINEI RIBEIRO VALERIO (681)</v>
      </c>
      <c r="H4288" t="s">
        <v>1241</v>
      </c>
      <c r="I4288" t="str">
        <f t="shared" si="797"/>
        <v>02/10/2025</v>
      </c>
      <c r="J4288" t="str">
        <f t="shared" si="793"/>
        <v>24/09/2025</v>
      </c>
      <c r="K4288">
        <v>45932</v>
      </c>
      <c r="N4288">
        <v>109</v>
      </c>
      <c r="O4288" t="s">
        <v>24</v>
      </c>
      <c r="Q4288">
        <v>37.799999999999997</v>
      </c>
      <c r="R4288" t="str">
        <f>"AC FARMA -  FLEMINFARMA (10159)"</f>
        <v>AC FARMA -  FLEMINFARMA (10159)</v>
      </c>
      <c r="S4288" t="s">
        <v>77</v>
      </c>
      <c r="T4288">
        <v>19056</v>
      </c>
      <c r="U4288">
        <v>22503</v>
      </c>
      <c r="V4288" t="s">
        <v>77</v>
      </c>
    </row>
    <row r="4289" spans="1:22">
      <c r="A4289" t="str">
        <f t="shared" si="795"/>
        <v>02/10/2025</v>
      </c>
      <c r="B4289" t="str">
        <f t="shared" si="798"/>
        <v>SAÍDA</v>
      </c>
      <c r="C4289" t="str">
        <f t="shared" si="796"/>
        <v>PIX</v>
      </c>
      <c r="D4289" t="str">
        <f>"22502"</f>
        <v>22502</v>
      </c>
      <c r="E4289" t="str">
        <f t="shared" si="791"/>
        <v>1</v>
      </c>
      <c r="F4289" t="str">
        <f t="shared" si="794"/>
        <v>COM</v>
      </c>
      <c r="G4289" t="str">
        <f>"ALEXANDRE DA CONCEICAO (714)"</f>
        <v>ALEXANDRE DA CONCEICAO (714)</v>
      </c>
      <c r="H4289" t="str">
        <f>"Serv.Prest. 15/09/2025 a 21/09/2025 - PIX: CPF - CHAVE: 975.425.989-53"</f>
        <v>Serv.Prest. 15/09/2025 a 21/09/2025 - PIX: CPF - CHAVE: 975.425.989-53</v>
      </c>
      <c r="I4289" t="str">
        <f t="shared" si="797"/>
        <v>02/10/2025</v>
      </c>
      <c r="J4289" t="str">
        <f t="shared" si="793"/>
        <v>24/09/2025</v>
      </c>
      <c r="K4289" t="str">
        <f>("02/10/2025")</f>
        <v>02/10/2025</v>
      </c>
      <c r="L4289">
        <v>31.5</v>
      </c>
      <c r="M4289">
        <v>31.5</v>
      </c>
      <c r="N4289">
        <v>109</v>
      </c>
      <c r="O4289" t="str">
        <f>"PAGAMENTO DE ENTREGADORES"</f>
        <v>PAGAMENTO DE ENTREGADORES</v>
      </c>
      <c r="P4289">
        <v>31.5</v>
      </c>
      <c r="S4289" t="str">
        <f>"BANCO C6 (149)"</f>
        <v>BANCO C6 (149)</v>
      </c>
      <c r="T4289">
        <v>19057</v>
      </c>
      <c r="U4289">
        <v>22502</v>
      </c>
      <c r="V4289" t="s">
        <v>77</v>
      </c>
    </row>
    <row r="4290" spans="1:22">
      <c r="A4290" t="str">
        <f t="shared" si="795"/>
        <v>02/10/2025</v>
      </c>
      <c r="B4290" t="str">
        <f t="shared" si="798"/>
        <v>SAÍDA</v>
      </c>
      <c r="C4290" t="str">
        <f t="shared" si="796"/>
        <v>PIX</v>
      </c>
      <c r="D4290" t="str">
        <f>"22502"</f>
        <v>22502</v>
      </c>
      <c r="E4290" t="str">
        <f t="shared" si="791"/>
        <v>1</v>
      </c>
      <c r="F4290" t="str">
        <f t="shared" si="794"/>
        <v>COM</v>
      </c>
      <c r="G4290" t="str">
        <f>"ALEXANDRE DA CONCEICAO (714)"</f>
        <v>ALEXANDRE DA CONCEICAO (714)</v>
      </c>
      <c r="H4290" t="s">
        <v>1188</v>
      </c>
      <c r="I4290" t="str">
        <f t="shared" si="797"/>
        <v>02/10/2025</v>
      </c>
      <c r="J4290" t="str">
        <f t="shared" si="793"/>
        <v>24/09/2025</v>
      </c>
      <c r="K4290">
        <v>45932</v>
      </c>
      <c r="N4290">
        <v>109</v>
      </c>
      <c r="O4290" t="s">
        <v>24</v>
      </c>
      <c r="Q4290">
        <v>31.5</v>
      </c>
      <c r="R4290" t="str">
        <f>"AC FARMA -  FLEMINFARMA (10159)"</f>
        <v>AC FARMA -  FLEMINFARMA (10159)</v>
      </c>
      <c r="S4290" t="s">
        <v>77</v>
      </c>
      <c r="T4290">
        <v>19057</v>
      </c>
      <c r="U4290">
        <v>22502</v>
      </c>
      <c r="V4290" t="s">
        <v>77</v>
      </c>
    </row>
    <row r="4291" spans="1:22">
      <c r="A4291" t="str">
        <f t="shared" si="795"/>
        <v>02/10/2025</v>
      </c>
      <c r="B4291" t="str">
        <f t="shared" si="798"/>
        <v>SAÍDA</v>
      </c>
      <c r="C4291" t="str">
        <f t="shared" si="796"/>
        <v>PIX</v>
      </c>
      <c r="D4291" t="str">
        <f>"22501"</f>
        <v>22501</v>
      </c>
      <c r="E4291" t="str">
        <f t="shared" si="791"/>
        <v>1</v>
      </c>
      <c r="F4291" t="str">
        <f t="shared" si="794"/>
        <v>COM</v>
      </c>
      <c r="G4291" t="str">
        <f>"ALAN ACOSTA (897)"</f>
        <v>ALAN ACOSTA (897)</v>
      </c>
      <c r="H4291" t="str">
        <f>"Serv.Prest. 15/09/2025 a 21/09/2025 - PIX: E-MAIL - CHAVE: alanacosta1999@gmail.com"</f>
        <v>Serv.Prest. 15/09/2025 a 21/09/2025 - PIX: E-MAIL - CHAVE: alanacosta1999@gmail.com</v>
      </c>
      <c r="I4291" t="str">
        <f t="shared" si="797"/>
        <v>02/10/2025</v>
      </c>
      <c r="J4291" t="str">
        <f t="shared" si="793"/>
        <v>24/09/2025</v>
      </c>
      <c r="K4291" t="str">
        <f>("02/10/2025")</f>
        <v>02/10/2025</v>
      </c>
      <c r="L4291">
        <v>189</v>
      </c>
      <c r="M4291">
        <v>189</v>
      </c>
      <c r="N4291">
        <v>109</v>
      </c>
      <c r="O4291" t="str">
        <f>"PAGAMENTO DE ENTREGADORES"</f>
        <v>PAGAMENTO DE ENTREGADORES</v>
      </c>
      <c r="P4291">
        <v>189</v>
      </c>
      <c r="S4291" t="str">
        <f>"BANCO C6 (149)"</f>
        <v>BANCO C6 (149)</v>
      </c>
      <c r="T4291">
        <v>19058</v>
      </c>
      <c r="U4291">
        <v>22501</v>
      </c>
      <c r="V4291" t="s">
        <v>77</v>
      </c>
    </row>
    <row r="4292" spans="1:22">
      <c r="A4292" t="str">
        <f t="shared" si="795"/>
        <v>02/10/2025</v>
      </c>
      <c r="B4292" t="str">
        <f t="shared" si="798"/>
        <v>SAÍDA</v>
      </c>
      <c r="C4292" t="str">
        <f t="shared" si="796"/>
        <v>PIX</v>
      </c>
      <c r="D4292" t="str">
        <f>"22501"</f>
        <v>22501</v>
      </c>
      <c r="E4292" t="str">
        <f t="shared" si="791"/>
        <v>1</v>
      </c>
      <c r="F4292" t="str">
        <f t="shared" si="794"/>
        <v>COM</v>
      </c>
      <c r="G4292" t="str">
        <f>"ALAN ACOSTA (897)"</f>
        <v>ALAN ACOSTA (897)</v>
      </c>
      <c r="H4292" t="s">
        <v>1189</v>
      </c>
      <c r="I4292" t="str">
        <f t="shared" si="797"/>
        <v>02/10/2025</v>
      </c>
      <c r="J4292" t="str">
        <f t="shared" si="793"/>
        <v>24/09/2025</v>
      </c>
      <c r="K4292">
        <v>45932</v>
      </c>
      <c r="N4292">
        <v>109</v>
      </c>
      <c r="O4292" t="s">
        <v>24</v>
      </c>
      <c r="Q4292">
        <v>182.71</v>
      </c>
      <c r="R4292" t="str">
        <f>"AC FARMA -  FLEMINFARMA (10159)"</f>
        <v>AC FARMA -  FLEMINFARMA (10159)</v>
      </c>
      <c r="S4292" t="s">
        <v>77</v>
      </c>
      <c r="T4292">
        <v>19058</v>
      </c>
      <c r="U4292">
        <v>22501</v>
      </c>
      <c r="V4292" t="s">
        <v>77</v>
      </c>
    </row>
    <row r="4293" spans="1:22">
      <c r="A4293" t="str">
        <f t="shared" si="795"/>
        <v>02/10/2025</v>
      </c>
      <c r="B4293" t="str">
        <f t="shared" si="798"/>
        <v>SAÍDA</v>
      </c>
      <c r="C4293" t="str">
        <f t="shared" si="796"/>
        <v>PIX</v>
      </c>
      <c r="D4293" t="str">
        <f>"22501"</f>
        <v>22501</v>
      </c>
      <c r="E4293" t="str">
        <f t="shared" si="791"/>
        <v>1</v>
      </c>
      <c r="F4293" t="str">
        <f t="shared" si="794"/>
        <v>COM</v>
      </c>
      <c r="G4293" t="str">
        <f>"ALAN ACOSTA (897)"</f>
        <v>ALAN ACOSTA (897)</v>
      </c>
      <c r="H4293" t="s">
        <v>1189</v>
      </c>
      <c r="I4293" t="str">
        <f t="shared" si="797"/>
        <v>02/10/2025</v>
      </c>
      <c r="J4293" t="str">
        <f t="shared" si="793"/>
        <v>24/09/2025</v>
      </c>
      <c r="K4293">
        <v>45932</v>
      </c>
      <c r="N4293">
        <v>109</v>
      </c>
      <c r="O4293" t="s">
        <v>24</v>
      </c>
      <c r="Q4293">
        <v>6.29</v>
      </c>
      <c r="R4293" t="str">
        <f>"AC FARMA - FLEMINFARMA (10160)"</f>
        <v>AC FARMA - FLEMINFARMA (10160)</v>
      </c>
      <c r="S4293" t="s">
        <v>77</v>
      </c>
      <c r="T4293">
        <v>19058</v>
      </c>
      <c r="U4293">
        <v>22501</v>
      </c>
      <c r="V4293" t="s">
        <v>77</v>
      </c>
    </row>
    <row r="4294" spans="1:22">
      <c r="A4294" t="str">
        <f t="shared" si="795"/>
        <v>02/10/2025</v>
      </c>
      <c r="B4294" t="str">
        <f t="shared" si="798"/>
        <v>SAÍDA</v>
      </c>
      <c r="C4294" t="str">
        <f t="shared" si="796"/>
        <v>PIX</v>
      </c>
      <c r="D4294" t="str">
        <f>"22499"</f>
        <v>22499</v>
      </c>
      <c r="E4294" t="str">
        <f t="shared" si="791"/>
        <v>1</v>
      </c>
      <c r="F4294" t="str">
        <f t="shared" si="794"/>
        <v>COM</v>
      </c>
      <c r="G4294" t="str">
        <f>"RAUL SILVA ROMAO (727)"</f>
        <v>RAUL SILVA ROMAO (727)</v>
      </c>
      <c r="H4294" t="str">
        <f>"Serv.Prest. 15/09/2025 a 21/09/2025 - PIX: CPF - CHAVE: 878.196.869-87"</f>
        <v>Serv.Prest. 15/09/2025 a 21/09/2025 - PIX: CPF - CHAVE: 878.196.869-87</v>
      </c>
      <c r="I4294" t="str">
        <f t="shared" si="797"/>
        <v>02/10/2025</v>
      </c>
      <c r="J4294" t="str">
        <f t="shared" si="793"/>
        <v>24/09/2025</v>
      </c>
      <c r="K4294" t="str">
        <f>("02/10/2025")</f>
        <v>02/10/2025</v>
      </c>
      <c r="L4294">
        <v>548.1</v>
      </c>
      <c r="M4294">
        <v>548.1</v>
      </c>
      <c r="N4294">
        <v>109</v>
      </c>
      <c r="O4294" t="str">
        <f>"PAGAMENTO DE ENTREGADORES"</f>
        <v>PAGAMENTO DE ENTREGADORES</v>
      </c>
      <c r="P4294">
        <v>548.1</v>
      </c>
      <c r="S4294" t="str">
        <f>"BANCO C6 (149)"</f>
        <v>BANCO C6 (149)</v>
      </c>
      <c r="T4294">
        <v>19059</v>
      </c>
      <c r="U4294">
        <v>22499</v>
      </c>
      <c r="V4294" t="s">
        <v>77</v>
      </c>
    </row>
    <row r="4295" spans="1:22">
      <c r="A4295" t="str">
        <f t="shared" si="795"/>
        <v>02/10/2025</v>
      </c>
      <c r="B4295" t="str">
        <f t="shared" si="798"/>
        <v>SAÍDA</v>
      </c>
      <c r="C4295" t="str">
        <f t="shared" si="796"/>
        <v>PIX</v>
      </c>
      <c r="D4295" t="str">
        <f>"22499"</f>
        <v>22499</v>
      </c>
      <c r="E4295" t="str">
        <f t="shared" si="791"/>
        <v>1</v>
      </c>
      <c r="F4295" t="str">
        <f t="shared" si="794"/>
        <v>COM</v>
      </c>
      <c r="G4295" t="str">
        <f>"RAUL SILVA ROMAO (727)"</f>
        <v>RAUL SILVA ROMAO (727)</v>
      </c>
      <c r="H4295" t="s">
        <v>1242</v>
      </c>
      <c r="I4295" t="str">
        <f t="shared" si="797"/>
        <v>02/10/2025</v>
      </c>
      <c r="J4295" t="str">
        <f t="shared" si="793"/>
        <v>24/09/2025</v>
      </c>
      <c r="K4295">
        <v>45932</v>
      </c>
      <c r="N4295">
        <v>109</v>
      </c>
      <c r="O4295" t="s">
        <v>24</v>
      </c>
      <c r="Q4295">
        <v>548.1</v>
      </c>
      <c r="R4295" t="str">
        <f>"AC FARMA - CID.ALTA (10166)"</f>
        <v>AC FARMA - CID.ALTA (10166)</v>
      </c>
      <c r="S4295" t="s">
        <v>77</v>
      </c>
      <c r="T4295">
        <v>19059</v>
      </c>
      <c r="U4295">
        <v>22499</v>
      </c>
      <c r="V4295" t="s">
        <v>77</v>
      </c>
    </row>
    <row r="4296" spans="1:22">
      <c r="A4296" t="str">
        <f t="shared" si="795"/>
        <v>02/10/2025</v>
      </c>
      <c r="B4296" t="str">
        <f t="shared" si="798"/>
        <v>SAÍDA</v>
      </c>
      <c r="C4296" t="str">
        <f t="shared" si="796"/>
        <v>PIX</v>
      </c>
      <c r="D4296" t="str">
        <f>"22498"</f>
        <v>22498</v>
      </c>
      <c r="E4296" t="str">
        <f t="shared" si="791"/>
        <v>1</v>
      </c>
      <c r="F4296" t="str">
        <f t="shared" si="794"/>
        <v>COM</v>
      </c>
      <c r="G4296" t="str">
        <f>"HELITON DE OLIVEIRA RAMOS BARBOSA (724)"</f>
        <v>HELITON DE OLIVEIRA RAMOS BARBOSA (724)</v>
      </c>
      <c r="H4296" t="str">
        <f>"Serv.Prest. 15/09/2025 a 21/09/2025 - PIX: CPF - CHAVE: 074.604.219-10"</f>
        <v>Serv.Prest. 15/09/2025 a 21/09/2025 - PIX: CPF - CHAVE: 074.604.219-10</v>
      </c>
      <c r="I4296" t="str">
        <f t="shared" si="797"/>
        <v>02/10/2025</v>
      </c>
      <c r="J4296" t="str">
        <f t="shared" si="793"/>
        <v>24/09/2025</v>
      </c>
      <c r="K4296" t="str">
        <f>("02/10/2025")</f>
        <v>02/10/2025</v>
      </c>
      <c r="L4296">
        <v>541.79999999999995</v>
      </c>
      <c r="M4296">
        <v>541.79999999999995</v>
      </c>
      <c r="N4296">
        <v>109</v>
      </c>
      <c r="O4296" t="str">
        <f>"PAGAMENTO DE ENTREGADORES"</f>
        <v>PAGAMENTO DE ENTREGADORES</v>
      </c>
      <c r="P4296">
        <v>541.79999999999995</v>
      </c>
      <c r="S4296" t="str">
        <f>"BANCO C6 (149)"</f>
        <v>BANCO C6 (149)</v>
      </c>
      <c r="T4296">
        <v>19060</v>
      </c>
      <c r="U4296">
        <v>22498</v>
      </c>
      <c r="V4296" t="s">
        <v>77</v>
      </c>
    </row>
    <row r="4297" spans="1:22">
      <c r="A4297" t="str">
        <f t="shared" si="795"/>
        <v>02/10/2025</v>
      </c>
      <c r="B4297" t="str">
        <f t="shared" si="798"/>
        <v>SAÍDA</v>
      </c>
      <c r="C4297" t="str">
        <f t="shared" si="796"/>
        <v>PIX</v>
      </c>
      <c r="D4297" t="str">
        <f>"22498"</f>
        <v>22498</v>
      </c>
      <c r="E4297" t="str">
        <f t="shared" ref="E4297:E4328" si="799">"1"</f>
        <v>1</v>
      </c>
      <c r="F4297" t="str">
        <f t="shared" si="794"/>
        <v>COM</v>
      </c>
      <c r="G4297" t="str">
        <f>"HELITON DE OLIVEIRA RAMOS BARBOSA (724)"</f>
        <v>HELITON DE OLIVEIRA RAMOS BARBOSA (724)</v>
      </c>
      <c r="H4297" t="s">
        <v>1117</v>
      </c>
      <c r="I4297" t="str">
        <f t="shared" si="797"/>
        <v>02/10/2025</v>
      </c>
      <c r="J4297" t="str">
        <f t="shared" si="793"/>
        <v>24/09/2025</v>
      </c>
      <c r="K4297">
        <v>45932</v>
      </c>
      <c r="N4297">
        <v>109</v>
      </c>
      <c r="O4297" t="s">
        <v>24</v>
      </c>
      <c r="Q4297">
        <v>541.79999999999995</v>
      </c>
      <c r="R4297" t="str">
        <f>"AC FARMA - CID.ALTA (10166)"</f>
        <v>AC FARMA - CID.ALTA (10166)</v>
      </c>
      <c r="S4297" t="s">
        <v>77</v>
      </c>
      <c r="T4297">
        <v>19060</v>
      </c>
      <c r="U4297">
        <v>22498</v>
      </c>
      <c r="V4297" t="s">
        <v>77</v>
      </c>
    </row>
    <row r="4298" spans="1:22">
      <c r="A4298" t="str">
        <f t="shared" si="795"/>
        <v>02/10/2025</v>
      </c>
      <c r="B4298" t="str">
        <f t="shared" si="798"/>
        <v>SAÍDA</v>
      </c>
      <c r="C4298" t="str">
        <f t="shared" si="796"/>
        <v>PIX</v>
      </c>
      <c r="D4298" t="str">
        <f>"22497"</f>
        <v>22497</v>
      </c>
      <c r="E4298" t="str">
        <f t="shared" si="799"/>
        <v>1</v>
      </c>
      <c r="F4298" t="str">
        <f t="shared" si="794"/>
        <v>COM</v>
      </c>
      <c r="G4298" t="str">
        <f>"GERALDO SEVERINO DE SANTANA (729)"</f>
        <v>GERALDO SEVERINO DE SANTANA (729)</v>
      </c>
      <c r="H4298" t="str">
        <f>"Serv.Prest. 15/09/2025 a 21/09/2025 - PIX: CELULAR - CHAVE: (43) 99934-1696"</f>
        <v>Serv.Prest. 15/09/2025 a 21/09/2025 - PIX: CELULAR - CHAVE: (43) 99934-1696</v>
      </c>
      <c r="I4298" t="str">
        <f t="shared" si="797"/>
        <v>02/10/2025</v>
      </c>
      <c r="J4298" t="str">
        <f t="shared" si="793"/>
        <v>24/09/2025</v>
      </c>
      <c r="K4298" t="str">
        <f>("02/10/2025")</f>
        <v>02/10/2025</v>
      </c>
      <c r="L4298">
        <v>611.1</v>
      </c>
      <c r="M4298">
        <v>611.1</v>
      </c>
      <c r="N4298">
        <v>109</v>
      </c>
      <c r="O4298" t="str">
        <f>"PAGAMENTO DE ENTREGADORES"</f>
        <v>PAGAMENTO DE ENTREGADORES</v>
      </c>
      <c r="P4298">
        <v>611.1</v>
      </c>
      <c r="S4298" t="str">
        <f>"BANCO C6 (149)"</f>
        <v>BANCO C6 (149)</v>
      </c>
      <c r="T4298">
        <v>19061</v>
      </c>
      <c r="U4298">
        <v>22497</v>
      </c>
      <c r="V4298" t="s">
        <v>77</v>
      </c>
    </row>
    <row r="4299" spans="1:22">
      <c r="A4299" t="str">
        <f t="shared" si="795"/>
        <v>02/10/2025</v>
      </c>
      <c r="B4299" t="str">
        <f t="shared" si="798"/>
        <v>SAÍDA</v>
      </c>
      <c r="C4299" t="str">
        <f t="shared" si="796"/>
        <v>PIX</v>
      </c>
      <c r="D4299" t="str">
        <f>"22497"</f>
        <v>22497</v>
      </c>
      <c r="E4299" t="str">
        <f t="shared" si="799"/>
        <v>1</v>
      </c>
      <c r="F4299" t="str">
        <f t="shared" si="794"/>
        <v>COM</v>
      </c>
      <c r="G4299" t="str">
        <f>"GERALDO SEVERINO DE SANTANA (729)"</f>
        <v>GERALDO SEVERINO DE SANTANA (729)</v>
      </c>
      <c r="H4299" t="s">
        <v>1118</v>
      </c>
      <c r="I4299" t="str">
        <f t="shared" si="797"/>
        <v>02/10/2025</v>
      </c>
      <c r="J4299" t="str">
        <f t="shared" si="793"/>
        <v>24/09/2025</v>
      </c>
      <c r="K4299">
        <v>45932</v>
      </c>
      <c r="N4299">
        <v>109</v>
      </c>
      <c r="O4299" t="s">
        <v>24</v>
      </c>
      <c r="Q4299">
        <v>611.1</v>
      </c>
      <c r="R4299" t="str">
        <f>"AC FARMA - CID.ALTA (10166)"</f>
        <v>AC FARMA - CID.ALTA (10166)</v>
      </c>
      <c r="S4299" t="s">
        <v>77</v>
      </c>
      <c r="T4299">
        <v>19061</v>
      </c>
      <c r="U4299">
        <v>22497</v>
      </c>
      <c r="V4299" t="s">
        <v>77</v>
      </c>
    </row>
    <row r="4300" spans="1:22">
      <c r="A4300" t="str">
        <f t="shared" si="795"/>
        <v>02/10/2025</v>
      </c>
      <c r="B4300" t="str">
        <f t="shared" si="798"/>
        <v>SAÍDA</v>
      </c>
      <c r="C4300" t="str">
        <f t="shared" si="796"/>
        <v>PIX</v>
      </c>
      <c r="D4300" t="str">
        <f>"22496"</f>
        <v>22496</v>
      </c>
      <c r="E4300" t="str">
        <f t="shared" si="799"/>
        <v>1</v>
      </c>
      <c r="F4300" t="str">
        <f t="shared" si="794"/>
        <v>COM</v>
      </c>
      <c r="G4300" t="str">
        <f>"FERNANDO MARTINS DA SILVA (701)"</f>
        <v>FERNANDO MARTINS DA SILVA (701)</v>
      </c>
      <c r="H4300" t="str">
        <f>"Serv.Prest. 15/09/2025 a 21/09/2025 - PIX: CPF - CHAVE: 004.682.359-06"</f>
        <v>Serv.Prest. 15/09/2025 a 21/09/2025 - PIX: CPF - CHAVE: 004.682.359-06</v>
      </c>
      <c r="I4300" t="str">
        <f t="shared" si="797"/>
        <v>02/10/2025</v>
      </c>
      <c r="J4300" t="str">
        <f t="shared" si="793"/>
        <v>24/09/2025</v>
      </c>
      <c r="K4300" t="str">
        <f>("02/10/2025")</f>
        <v>02/10/2025</v>
      </c>
      <c r="L4300">
        <v>1064.7</v>
      </c>
      <c r="M4300">
        <v>1064.7</v>
      </c>
      <c r="N4300">
        <v>109</v>
      </c>
      <c r="O4300" t="str">
        <f>"PAGAMENTO DE ENTREGADORES"</f>
        <v>PAGAMENTO DE ENTREGADORES</v>
      </c>
      <c r="P4300">
        <v>1064.7</v>
      </c>
      <c r="S4300" t="str">
        <f>"BANCO C6 (149)"</f>
        <v>BANCO C6 (149)</v>
      </c>
      <c r="T4300">
        <v>19062</v>
      </c>
      <c r="U4300">
        <v>22496</v>
      </c>
      <c r="V4300" t="s">
        <v>77</v>
      </c>
    </row>
    <row r="4301" spans="1:22">
      <c r="A4301" t="str">
        <f t="shared" si="795"/>
        <v>02/10/2025</v>
      </c>
      <c r="B4301" t="str">
        <f t="shared" si="798"/>
        <v>SAÍDA</v>
      </c>
      <c r="C4301" t="str">
        <f t="shared" si="796"/>
        <v>PIX</v>
      </c>
      <c r="D4301" t="str">
        <f>"22496"</f>
        <v>22496</v>
      </c>
      <c r="E4301" t="str">
        <f t="shared" si="799"/>
        <v>1</v>
      </c>
      <c r="F4301" t="str">
        <f t="shared" si="794"/>
        <v>COM</v>
      </c>
      <c r="G4301" t="str">
        <f>"FERNANDO MARTINS DA SILVA (701)"</f>
        <v>FERNANDO MARTINS DA SILVA (701)</v>
      </c>
      <c r="H4301" t="s">
        <v>1240</v>
      </c>
      <c r="I4301" t="str">
        <f t="shared" si="797"/>
        <v>02/10/2025</v>
      </c>
      <c r="J4301" t="str">
        <f t="shared" si="793"/>
        <v>24/09/2025</v>
      </c>
      <c r="K4301">
        <v>45932</v>
      </c>
      <c r="N4301">
        <v>109</v>
      </c>
      <c r="O4301" t="s">
        <v>24</v>
      </c>
      <c r="Q4301">
        <v>1064.7</v>
      </c>
      <c r="R4301" t="str">
        <f>"AC FARMA - CID.ALTA (10166)"</f>
        <v>AC FARMA - CID.ALTA (10166)</v>
      </c>
      <c r="S4301" t="s">
        <v>77</v>
      </c>
      <c r="T4301">
        <v>19062</v>
      </c>
      <c r="U4301">
        <v>22496</v>
      </c>
      <c r="V4301" t="s">
        <v>77</v>
      </c>
    </row>
    <row r="4302" spans="1:22">
      <c r="A4302" t="str">
        <f t="shared" si="795"/>
        <v>02/10/2025</v>
      </c>
      <c r="B4302" t="str">
        <f t="shared" si="798"/>
        <v>SAÍDA</v>
      </c>
      <c r="C4302" t="str">
        <f t="shared" si="796"/>
        <v>PIX</v>
      </c>
      <c r="D4302" t="str">
        <f>"22495"</f>
        <v>22495</v>
      </c>
      <c r="E4302" t="str">
        <f t="shared" si="799"/>
        <v>1</v>
      </c>
      <c r="F4302" t="str">
        <f t="shared" si="794"/>
        <v>COM</v>
      </c>
      <c r="G4302" t="str">
        <f>"CLAUDINEI RIBEIRO VALERIO (681)"</f>
        <v>CLAUDINEI RIBEIRO VALERIO (681)</v>
      </c>
      <c r="H4302" t="str">
        <f>"Serv.Prest. 15/09/2025 a 21/09/2025 - PIX: CELULAR - CHAVE: (43) 99630-7532"</f>
        <v>Serv.Prest. 15/09/2025 a 21/09/2025 - PIX: CELULAR - CHAVE: (43) 99630-7532</v>
      </c>
      <c r="I4302" t="str">
        <f t="shared" si="797"/>
        <v>02/10/2025</v>
      </c>
      <c r="J4302" t="str">
        <f t="shared" si="793"/>
        <v>24/09/2025</v>
      </c>
      <c r="K4302" t="str">
        <f>("02/10/2025")</f>
        <v>02/10/2025</v>
      </c>
      <c r="L4302">
        <v>730.8</v>
      </c>
      <c r="M4302">
        <v>730.8</v>
      </c>
      <c r="N4302">
        <v>109</v>
      </c>
      <c r="O4302" t="str">
        <f>"PAGAMENTO DE ENTREGADORES"</f>
        <v>PAGAMENTO DE ENTREGADORES</v>
      </c>
      <c r="P4302">
        <v>730.8</v>
      </c>
      <c r="S4302" t="str">
        <f>"BANCO C6 (149)"</f>
        <v>BANCO C6 (149)</v>
      </c>
      <c r="T4302">
        <v>19063</v>
      </c>
      <c r="U4302">
        <v>22495</v>
      </c>
      <c r="V4302" t="s">
        <v>77</v>
      </c>
    </row>
    <row r="4303" spans="1:22">
      <c r="A4303" t="str">
        <f t="shared" si="795"/>
        <v>02/10/2025</v>
      </c>
      <c r="B4303" t="str">
        <f t="shared" si="798"/>
        <v>SAÍDA</v>
      </c>
      <c r="C4303" t="str">
        <f t="shared" si="796"/>
        <v>PIX</v>
      </c>
      <c r="D4303" t="str">
        <f>"22495"</f>
        <v>22495</v>
      </c>
      <c r="E4303" t="str">
        <f t="shared" si="799"/>
        <v>1</v>
      </c>
      <c r="F4303" t="str">
        <f t="shared" si="794"/>
        <v>COM</v>
      </c>
      <c r="G4303" t="str">
        <f>"CLAUDINEI RIBEIRO VALERIO (681)"</f>
        <v>CLAUDINEI RIBEIRO VALERIO (681)</v>
      </c>
      <c r="H4303" t="s">
        <v>1241</v>
      </c>
      <c r="I4303" t="str">
        <f t="shared" si="797"/>
        <v>02/10/2025</v>
      </c>
      <c r="J4303" t="str">
        <f t="shared" si="793"/>
        <v>24/09/2025</v>
      </c>
      <c r="K4303">
        <v>45932</v>
      </c>
      <c r="N4303">
        <v>109</v>
      </c>
      <c r="O4303" t="s">
        <v>24</v>
      </c>
      <c r="Q4303">
        <v>730.8</v>
      </c>
      <c r="R4303" t="str">
        <f>"AC FARMA - CID.ALTA (10166)"</f>
        <v>AC FARMA - CID.ALTA (10166)</v>
      </c>
      <c r="S4303" t="s">
        <v>77</v>
      </c>
      <c r="T4303">
        <v>19063</v>
      </c>
      <c r="U4303">
        <v>22495</v>
      </c>
      <c r="V4303" t="s">
        <v>77</v>
      </c>
    </row>
    <row r="4304" spans="1:22">
      <c r="A4304" t="str">
        <f t="shared" si="795"/>
        <v>02/10/2025</v>
      </c>
      <c r="B4304" t="str">
        <f t="shared" si="798"/>
        <v>SAÍDA</v>
      </c>
      <c r="C4304" t="str">
        <f t="shared" si="796"/>
        <v>PIX</v>
      </c>
      <c r="D4304" t="str">
        <f>"22631"</f>
        <v>22631</v>
      </c>
      <c r="E4304" t="str">
        <f t="shared" si="799"/>
        <v>1</v>
      </c>
      <c r="F4304" t="str">
        <f t="shared" si="794"/>
        <v>COM</v>
      </c>
      <c r="G4304" t="str">
        <f>"SAMUEL JADSON SANTANA RIBEIRO (55)"</f>
        <v>SAMUEL JADSON SANTANA RIBEIRO (55)</v>
      </c>
      <c r="H4304" t="str">
        <f>"Serv.Prest. 22/09/2025 a 25/09/2025 - PIX: CPF - CHAVE: 701.955.866-62"</f>
        <v>Serv.Prest. 22/09/2025 a 25/09/2025 - PIX: CPF - CHAVE: 701.955.866-62</v>
      </c>
      <c r="I4304" t="str">
        <f t="shared" si="797"/>
        <v>02/10/2025</v>
      </c>
      <c r="J4304" t="str">
        <f t="shared" ref="J4304:J4309" si="800">("26/09/2025")</f>
        <v>26/09/2025</v>
      </c>
      <c r="K4304" t="str">
        <f>("02/10/2025")</f>
        <v>02/10/2025</v>
      </c>
      <c r="L4304">
        <v>366</v>
      </c>
      <c r="M4304">
        <v>366</v>
      </c>
      <c r="N4304">
        <v>109</v>
      </c>
      <c r="O4304" t="str">
        <f>"PAGAMENTO DE ENTREGADORES"</f>
        <v>PAGAMENTO DE ENTREGADORES</v>
      </c>
      <c r="P4304">
        <v>366</v>
      </c>
      <c r="S4304" t="str">
        <f>"BANCO C6 (149)"</f>
        <v>BANCO C6 (149)</v>
      </c>
      <c r="T4304">
        <v>19064</v>
      </c>
      <c r="U4304">
        <v>22631</v>
      </c>
      <c r="V4304" t="s">
        <v>77</v>
      </c>
    </row>
    <row r="4305" spans="1:22">
      <c r="A4305" t="str">
        <f t="shared" si="795"/>
        <v>02/10/2025</v>
      </c>
      <c r="B4305" t="str">
        <f t="shared" si="798"/>
        <v>SAÍDA</v>
      </c>
      <c r="C4305" t="str">
        <f t="shared" si="796"/>
        <v>PIX</v>
      </c>
      <c r="D4305" t="str">
        <f>"22631"</f>
        <v>22631</v>
      </c>
      <c r="E4305" t="str">
        <f t="shared" si="799"/>
        <v>1</v>
      </c>
      <c r="F4305" t="str">
        <f t="shared" si="794"/>
        <v>COM</v>
      </c>
      <c r="G4305" t="str">
        <f>"SAMUEL JADSON SANTANA RIBEIRO (55)"</f>
        <v>SAMUEL JADSON SANTANA RIBEIRO (55)</v>
      </c>
      <c r="H4305" t="s">
        <v>1243</v>
      </c>
      <c r="I4305" t="str">
        <f t="shared" si="797"/>
        <v>02/10/2025</v>
      </c>
      <c r="J4305" t="str">
        <f t="shared" si="800"/>
        <v>26/09/2025</v>
      </c>
      <c r="K4305">
        <v>45932</v>
      </c>
      <c r="N4305">
        <v>109</v>
      </c>
      <c r="O4305" t="s">
        <v>24</v>
      </c>
      <c r="Q4305">
        <v>366</v>
      </c>
      <c r="R4305" t="str">
        <f>"FARMÁCIA INDIANA LJ 07 (10007)"</f>
        <v>FARMÁCIA INDIANA LJ 07 (10007)</v>
      </c>
      <c r="S4305" t="s">
        <v>77</v>
      </c>
      <c r="T4305">
        <v>19064</v>
      </c>
      <c r="U4305">
        <v>22631</v>
      </c>
      <c r="V4305" t="s">
        <v>77</v>
      </c>
    </row>
    <row r="4306" spans="1:22">
      <c r="A4306" t="str">
        <f t="shared" si="795"/>
        <v>02/10/2025</v>
      </c>
      <c r="B4306" t="str">
        <f t="shared" si="798"/>
        <v>SAÍDA</v>
      </c>
      <c r="C4306" t="str">
        <f t="shared" si="796"/>
        <v>PIX</v>
      </c>
      <c r="D4306" t="str">
        <f>"22636"</f>
        <v>22636</v>
      </c>
      <c r="E4306" t="str">
        <f t="shared" si="799"/>
        <v>1</v>
      </c>
      <c r="F4306" t="str">
        <f t="shared" si="794"/>
        <v>COM</v>
      </c>
      <c r="G4306" t="str">
        <f>"THALES VIANA DOS SANTOS (63)"</f>
        <v>THALES VIANA DOS SANTOS (63)</v>
      </c>
      <c r="H4306" t="str">
        <f>"Serv.Prest. 22/09/2025 a 25/09/2025 - PIX: CELULAR - CHAVE: (33) 99880-7941"</f>
        <v>Serv.Prest. 22/09/2025 a 25/09/2025 - PIX: CELULAR - CHAVE: (33) 99880-7941</v>
      </c>
      <c r="I4306" t="str">
        <f t="shared" si="797"/>
        <v>02/10/2025</v>
      </c>
      <c r="J4306" t="str">
        <f t="shared" si="800"/>
        <v>26/09/2025</v>
      </c>
      <c r="K4306" t="str">
        <f>("02/10/2025")</f>
        <v>02/10/2025</v>
      </c>
      <c r="L4306">
        <v>468</v>
      </c>
      <c r="M4306">
        <v>468</v>
      </c>
      <c r="N4306">
        <v>109</v>
      </c>
      <c r="O4306" t="str">
        <f>"PAGAMENTO DE ENTREGADORES"</f>
        <v>PAGAMENTO DE ENTREGADORES</v>
      </c>
      <c r="P4306">
        <v>468</v>
      </c>
      <c r="S4306" t="str">
        <f>"BANCO C6 (149)"</f>
        <v>BANCO C6 (149)</v>
      </c>
      <c r="T4306">
        <v>19065</v>
      </c>
      <c r="U4306">
        <v>22636</v>
      </c>
      <c r="V4306" t="s">
        <v>77</v>
      </c>
    </row>
    <row r="4307" spans="1:22">
      <c r="A4307" t="str">
        <f t="shared" si="795"/>
        <v>02/10/2025</v>
      </c>
      <c r="B4307" t="str">
        <f t="shared" si="798"/>
        <v>SAÍDA</v>
      </c>
      <c r="C4307" t="str">
        <f t="shared" si="796"/>
        <v>PIX</v>
      </c>
      <c r="D4307" t="str">
        <f>"22636"</f>
        <v>22636</v>
      </c>
      <c r="E4307" t="str">
        <f t="shared" si="799"/>
        <v>1</v>
      </c>
      <c r="F4307" t="str">
        <f t="shared" si="794"/>
        <v>COM</v>
      </c>
      <c r="G4307" t="str">
        <f>"THALES VIANA DOS SANTOS (63)"</f>
        <v>THALES VIANA DOS SANTOS (63)</v>
      </c>
      <c r="H4307" t="s">
        <v>1244</v>
      </c>
      <c r="I4307" t="str">
        <f t="shared" si="797"/>
        <v>02/10/2025</v>
      </c>
      <c r="J4307" t="str">
        <f t="shared" si="800"/>
        <v>26/09/2025</v>
      </c>
      <c r="K4307">
        <v>45932</v>
      </c>
      <c r="N4307">
        <v>109</v>
      </c>
      <c r="O4307" t="s">
        <v>24</v>
      </c>
      <c r="Q4307">
        <v>468</v>
      </c>
      <c r="R4307" t="str">
        <f>"FARMÁCIA INDIANA LJ 07 (10007)"</f>
        <v>FARMÁCIA INDIANA LJ 07 (10007)</v>
      </c>
      <c r="S4307" t="s">
        <v>77</v>
      </c>
      <c r="T4307">
        <v>19065</v>
      </c>
      <c r="U4307">
        <v>22636</v>
      </c>
      <c r="V4307" t="s">
        <v>77</v>
      </c>
    </row>
    <row r="4308" spans="1:22">
      <c r="A4308" t="str">
        <f t="shared" si="795"/>
        <v>02/10/2025</v>
      </c>
      <c r="B4308" t="str">
        <f t="shared" si="798"/>
        <v>SAÍDA</v>
      </c>
      <c r="C4308" t="str">
        <f t="shared" si="796"/>
        <v>PIX</v>
      </c>
      <c r="D4308" t="str">
        <f>"22642"</f>
        <v>22642</v>
      </c>
      <c r="E4308" t="str">
        <f t="shared" si="799"/>
        <v>1</v>
      </c>
      <c r="F4308" t="str">
        <f t="shared" si="794"/>
        <v>COM</v>
      </c>
      <c r="G4308" t="str">
        <f>"WEIGNE SENA CARDOSO (53)"</f>
        <v>WEIGNE SENA CARDOSO (53)</v>
      </c>
      <c r="H4308" t="str">
        <f>"Serv.Prest. 22/09/2025 a 25/09/2025 - PIX: CPF - CHAVE: 097.245.586-81"</f>
        <v>Serv.Prest. 22/09/2025 a 25/09/2025 - PIX: CPF - CHAVE: 097.245.586-81</v>
      </c>
      <c r="I4308" t="str">
        <f t="shared" si="797"/>
        <v>02/10/2025</v>
      </c>
      <c r="J4308" t="str">
        <f t="shared" si="800"/>
        <v>26/09/2025</v>
      </c>
      <c r="K4308" t="str">
        <f>("02/10/2025")</f>
        <v>02/10/2025</v>
      </c>
      <c r="L4308">
        <v>438</v>
      </c>
      <c r="M4308">
        <v>438</v>
      </c>
      <c r="N4308">
        <v>109</v>
      </c>
      <c r="O4308" t="str">
        <f>"PAGAMENTO DE ENTREGADORES"</f>
        <v>PAGAMENTO DE ENTREGADORES</v>
      </c>
      <c r="P4308">
        <v>438</v>
      </c>
      <c r="S4308" t="str">
        <f>"BANCO C6 (149)"</f>
        <v>BANCO C6 (149)</v>
      </c>
      <c r="T4308">
        <v>19066</v>
      </c>
      <c r="U4308">
        <v>22642</v>
      </c>
      <c r="V4308" t="s">
        <v>77</v>
      </c>
    </row>
    <row r="4309" spans="1:22">
      <c r="A4309" t="str">
        <f t="shared" si="795"/>
        <v>02/10/2025</v>
      </c>
      <c r="B4309" t="str">
        <f t="shared" si="798"/>
        <v>SAÍDA</v>
      </c>
      <c r="C4309" t="str">
        <f t="shared" si="796"/>
        <v>PIX</v>
      </c>
      <c r="D4309" t="str">
        <f>"22642"</f>
        <v>22642</v>
      </c>
      <c r="E4309" t="str">
        <f t="shared" si="799"/>
        <v>1</v>
      </c>
      <c r="F4309" t="str">
        <f t="shared" si="794"/>
        <v>COM</v>
      </c>
      <c r="G4309" t="str">
        <f>"WEIGNE SENA CARDOSO (53)"</f>
        <v>WEIGNE SENA CARDOSO (53)</v>
      </c>
      <c r="H4309" t="s">
        <v>1245</v>
      </c>
      <c r="I4309" t="str">
        <f t="shared" si="797"/>
        <v>02/10/2025</v>
      </c>
      <c r="J4309" t="str">
        <f t="shared" si="800"/>
        <v>26/09/2025</v>
      </c>
      <c r="K4309">
        <v>45932</v>
      </c>
      <c r="N4309">
        <v>109</v>
      </c>
      <c r="O4309" t="s">
        <v>24</v>
      </c>
      <c r="Q4309">
        <v>438</v>
      </c>
      <c r="R4309" t="str">
        <f>"FARMÁCIA INDIANA LJ 07 (10007)"</f>
        <v>FARMÁCIA INDIANA LJ 07 (10007)</v>
      </c>
      <c r="S4309" t="s">
        <v>77</v>
      </c>
      <c r="T4309">
        <v>19066</v>
      </c>
      <c r="U4309">
        <v>22642</v>
      </c>
      <c r="V4309" t="s">
        <v>77</v>
      </c>
    </row>
    <row r="4310" spans="1:22">
      <c r="A4310" t="str">
        <f t="shared" si="795"/>
        <v>02/10/2025</v>
      </c>
      <c r="B4310" t="str">
        <f t="shared" si="798"/>
        <v>SAÍDA</v>
      </c>
      <c r="C4310" t="str">
        <f t="shared" si="796"/>
        <v>PIX</v>
      </c>
      <c r="D4310" t="str">
        <f>"22663"</f>
        <v>22663</v>
      </c>
      <c r="E4310" t="str">
        <f t="shared" si="799"/>
        <v>1</v>
      </c>
      <c r="F4310" t="str">
        <f t="shared" si="794"/>
        <v>COM</v>
      </c>
      <c r="G4310" t="str">
        <f>"DEIVID FERNANDES COSTA (828)"</f>
        <v>DEIVID FERNANDES COSTA (828)</v>
      </c>
      <c r="H4310" t="str">
        <f>"Serv.Prest. 22/09/2025 a 28/09/2025 - PIX: CELULAR - CHAVE: (62) 99550-3226"</f>
        <v>Serv.Prest. 22/09/2025 a 28/09/2025 - PIX: CELULAR - CHAVE: (62) 99550-3226</v>
      </c>
      <c r="I4310" t="str">
        <f t="shared" si="797"/>
        <v>02/10/2025</v>
      </c>
      <c r="J4310" t="str">
        <f t="shared" ref="J4310:J4341" si="801">("29/09/2025")</f>
        <v>29/09/2025</v>
      </c>
      <c r="K4310" t="str">
        <f>("02/10/2025")</f>
        <v>02/10/2025</v>
      </c>
      <c r="L4310">
        <v>702.1</v>
      </c>
      <c r="M4310">
        <v>702.1</v>
      </c>
      <c r="N4310">
        <v>109</v>
      </c>
      <c r="O4310" t="str">
        <f>"PAGAMENTO DE ENTREGADORES"</f>
        <v>PAGAMENTO DE ENTREGADORES</v>
      </c>
      <c r="P4310">
        <v>702.1</v>
      </c>
      <c r="S4310" t="str">
        <f>"BANCO C6 (149)"</f>
        <v>BANCO C6 (149)</v>
      </c>
      <c r="T4310">
        <v>19067</v>
      </c>
      <c r="U4310">
        <v>22663</v>
      </c>
      <c r="V4310" t="s">
        <v>77</v>
      </c>
    </row>
    <row r="4311" spans="1:22">
      <c r="A4311" t="str">
        <f t="shared" si="795"/>
        <v>02/10/2025</v>
      </c>
      <c r="B4311" t="str">
        <f t="shared" si="798"/>
        <v>SAÍDA</v>
      </c>
      <c r="C4311" t="str">
        <f t="shared" si="796"/>
        <v>PIX</v>
      </c>
      <c r="D4311" t="str">
        <f>"22663"</f>
        <v>22663</v>
      </c>
      <c r="E4311" t="str">
        <f t="shared" si="799"/>
        <v>1</v>
      </c>
      <c r="F4311" t="str">
        <f t="shared" si="794"/>
        <v>COM</v>
      </c>
      <c r="G4311" t="str">
        <f>"DEIVID FERNANDES COSTA (828)"</f>
        <v>DEIVID FERNANDES COSTA (828)</v>
      </c>
      <c r="H4311" t="s">
        <v>1246</v>
      </c>
      <c r="I4311" t="str">
        <f t="shared" si="797"/>
        <v>02/10/2025</v>
      </c>
      <c r="J4311" t="str">
        <f t="shared" si="801"/>
        <v>29/09/2025</v>
      </c>
      <c r="K4311">
        <v>45932</v>
      </c>
      <c r="N4311">
        <v>109</v>
      </c>
      <c r="O4311" t="s">
        <v>24</v>
      </c>
      <c r="Q4311">
        <v>702.1</v>
      </c>
      <c r="R4311" t="str">
        <f>"BRASIL FARMA (10173)"</f>
        <v>BRASIL FARMA (10173)</v>
      </c>
      <c r="S4311" t="s">
        <v>77</v>
      </c>
      <c r="T4311">
        <v>19067</v>
      </c>
      <c r="U4311">
        <v>22663</v>
      </c>
      <c r="V4311" t="s">
        <v>77</v>
      </c>
    </row>
    <row r="4312" spans="1:22">
      <c r="A4312" t="str">
        <f t="shared" si="795"/>
        <v>02/10/2025</v>
      </c>
      <c r="B4312" t="str">
        <f t="shared" si="798"/>
        <v>SAÍDA</v>
      </c>
      <c r="C4312" t="str">
        <f t="shared" si="796"/>
        <v>PIX</v>
      </c>
      <c r="D4312" t="str">
        <f>"22664"</f>
        <v>22664</v>
      </c>
      <c r="E4312" t="str">
        <f t="shared" si="799"/>
        <v>1</v>
      </c>
      <c r="F4312" t="str">
        <f t="shared" si="794"/>
        <v>COM</v>
      </c>
      <c r="G4312" t="str">
        <f>"MAYKON LOPES DE MENEZES (781)"</f>
        <v>MAYKON LOPES DE MENEZES (781)</v>
      </c>
      <c r="H4312" t="str">
        <f>"Serv.Prest. 22/09/2025 a 28/09/2025 - PIX: CPF - CHAVE: 012.600.851-55"</f>
        <v>Serv.Prest. 22/09/2025 a 28/09/2025 - PIX: CPF - CHAVE: 012.600.851-55</v>
      </c>
      <c r="I4312" t="str">
        <f t="shared" si="797"/>
        <v>02/10/2025</v>
      </c>
      <c r="J4312" t="str">
        <f t="shared" si="801"/>
        <v>29/09/2025</v>
      </c>
      <c r="K4312" t="str">
        <f>("02/10/2025")</f>
        <v>02/10/2025</v>
      </c>
      <c r="L4312">
        <v>431.9</v>
      </c>
      <c r="M4312">
        <v>431.9</v>
      </c>
      <c r="N4312">
        <v>109</v>
      </c>
      <c r="O4312" t="str">
        <f>"PAGAMENTO DE ENTREGADORES"</f>
        <v>PAGAMENTO DE ENTREGADORES</v>
      </c>
      <c r="P4312">
        <v>431.9</v>
      </c>
      <c r="S4312" t="str">
        <f>"BANCO C6 (149)"</f>
        <v>BANCO C6 (149)</v>
      </c>
      <c r="T4312">
        <v>19068</v>
      </c>
      <c r="U4312">
        <v>22664</v>
      </c>
      <c r="V4312" t="s">
        <v>77</v>
      </c>
    </row>
    <row r="4313" spans="1:22">
      <c r="A4313" t="str">
        <f t="shared" si="795"/>
        <v>02/10/2025</v>
      </c>
      <c r="B4313" t="str">
        <f t="shared" si="798"/>
        <v>SAÍDA</v>
      </c>
      <c r="C4313" t="str">
        <f t="shared" si="796"/>
        <v>PIX</v>
      </c>
      <c r="D4313" t="str">
        <f>"22664"</f>
        <v>22664</v>
      </c>
      <c r="E4313" t="str">
        <f t="shared" si="799"/>
        <v>1</v>
      </c>
      <c r="F4313" t="str">
        <f t="shared" si="794"/>
        <v>COM</v>
      </c>
      <c r="G4313" t="str">
        <f>"MAYKON LOPES DE MENEZES (781)"</f>
        <v>MAYKON LOPES DE MENEZES (781)</v>
      </c>
      <c r="H4313" t="s">
        <v>1086</v>
      </c>
      <c r="I4313" t="str">
        <f t="shared" si="797"/>
        <v>02/10/2025</v>
      </c>
      <c r="J4313" t="str">
        <f t="shared" si="801"/>
        <v>29/09/2025</v>
      </c>
      <c r="K4313">
        <v>45932</v>
      </c>
      <c r="N4313">
        <v>109</v>
      </c>
      <c r="O4313" t="s">
        <v>24</v>
      </c>
      <c r="Q4313">
        <v>431.9</v>
      </c>
      <c r="R4313" t="str">
        <f>"BRASIL FARMA (10173)"</f>
        <v>BRASIL FARMA (10173)</v>
      </c>
      <c r="S4313" t="s">
        <v>77</v>
      </c>
      <c r="T4313">
        <v>19068</v>
      </c>
      <c r="U4313">
        <v>22664</v>
      </c>
      <c r="V4313" t="s">
        <v>77</v>
      </c>
    </row>
    <row r="4314" spans="1:22">
      <c r="A4314" t="str">
        <f t="shared" si="795"/>
        <v>02/10/2025</v>
      </c>
      <c r="B4314" t="str">
        <f t="shared" si="798"/>
        <v>SAÍDA</v>
      </c>
      <c r="C4314" t="str">
        <f t="shared" si="796"/>
        <v>PIX</v>
      </c>
      <c r="D4314" t="str">
        <f>"22667"</f>
        <v>22667</v>
      </c>
      <c r="E4314" t="str">
        <f t="shared" si="799"/>
        <v>1</v>
      </c>
      <c r="F4314" t="str">
        <f t="shared" si="794"/>
        <v>COM</v>
      </c>
      <c r="G4314" t="str">
        <f>"EDUARDO COSTA DA SILVA (721)"</f>
        <v>EDUARDO COSTA DA SILVA (721)</v>
      </c>
      <c r="H4314" t="str">
        <f>"Serv.Prest. 22/09/2025 a 28/09/2025 - PIX: CELULAR - CHAVE: (11) 95552-9905"</f>
        <v>Serv.Prest. 22/09/2025 a 28/09/2025 - PIX: CELULAR - CHAVE: (11) 95552-9905</v>
      </c>
      <c r="I4314" t="str">
        <f t="shared" si="797"/>
        <v>02/10/2025</v>
      </c>
      <c r="J4314" t="str">
        <f t="shared" si="801"/>
        <v>29/09/2025</v>
      </c>
      <c r="K4314" t="str">
        <f>("02/10/2025")</f>
        <v>02/10/2025</v>
      </c>
      <c r="L4314">
        <v>844.2</v>
      </c>
      <c r="M4314">
        <v>844.2</v>
      </c>
      <c r="N4314">
        <v>109</v>
      </c>
      <c r="O4314" t="str">
        <f>"PAGAMENTO DE ENTREGADORES"</f>
        <v>PAGAMENTO DE ENTREGADORES</v>
      </c>
      <c r="P4314">
        <v>844.2</v>
      </c>
      <c r="S4314" t="str">
        <f>"BANCO C6 (149)"</f>
        <v>BANCO C6 (149)</v>
      </c>
      <c r="T4314">
        <v>19069</v>
      </c>
      <c r="U4314">
        <v>22667</v>
      </c>
      <c r="V4314" t="s">
        <v>77</v>
      </c>
    </row>
    <row r="4315" spans="1:22">
      <c r="A4315" t="str">
        <f t="shared" si="795"/>
        <v>02/10/2025</v>
      </c>
      <c r="B4315" t="str">
        <f t="shared" si="798"/>
        <v>SAÍDA</v>
      </c>
      <c r="C4315" t="str">
        <f t="shared" si="796"/>
        <v>PIX</v>
      </c>
      <c r="D4315" t="str">
        <f>"22667"</f>
        <v>22667</v>
      </c>
      <c r="E4315" t="str">
        <f t="shared" si="799"/>
        <v>1</v>
      </c>
      <c r="F4315" t="str">
        <f t="shared" si="794"/>
        <v>COM</v>
      </c>
      <c r="G4315" t="str">
        <f>"EDUARDO COSTA DA SILVA (721)"</f>
        <v>EDUARDO COSTA DA SILVA (721)</v>
      </c>
      <c r="H4315" t="s">
        <v>1247</v>
      </c>
      <c r="I4315" t="str">
        <f t="shared" si="797"/>
        <v>02/10/2025</v>
      </c>
      <c r="J4315" t="str">
        <f t="shared" si="801"/>
        <v>29/09/2025</v>
      </c>
      <c r="K4315">
        <v>45932</v>
      </c>
      <c r="N4315">
        <v>109</v>
      </c>
      <c r="O4315" t="s">
        <v>24</v>
      </c>
      <c r="Q4315">
        <v>844.2</v>
      </c>
      <c r="R4315" t="str">
        <f>"DROGARIA AGAPEAMA (10167)"</f>
        <v>DROGARIA AGAPEAMA (10167)</v>
      </c>
      <c r="S4315" t="s">
        <v>77</v>
      </c>
      <c r="T4315">
        <v>19069</v>
      </c>
      <c r="U4315">
        <v>22667</v>
      </c>
      <c r="V4315" t="s">
        <v>77</v>
      </c>
    </row>
    <row r="4316" spans="1:22">
      <c r="A4316" t="str">
        <f t="shared" si="795"/>
        <v>02/10/2025</v>
      </c>
      <c r="B4316" t="str">
        <f t="shared" si="798"/>
        <v>SAÍDA</v>
      </c>
      <c r="C4316" t="str">
        <f t="shared" si="796"/>
        <v>PIX</v>
      </c>
      <c r="D4316" t="str">
        <f>"22668"</f>
        <v>22668</v>
      </c>
      <c r="E4316" t="str">
        <f t="shared" si="799"/>
        <v>1</v>
      </c>
      <c r="F4316" t="str">
        <f t="shared" si="794"/>
        <v>COM</v>
      </c>
      <c r="G4316" t="str">
        <f>"GUILHERME DA SILVA GOMES (901)"</f>
        <v>GUILHERME DA SILVA GOMES (901)</v>
      </c>
      <c r="H4316" t="str">
        <f>"Serv.Prest. 22/09/2025 a 28/09/2025 - PIX: CPF - CHAVE: 505.341.528-56"</f>
        <v>Serv.Prest. 22/09/2025 a 28/09/2025 - PIX: CPF - CHAVE: 505.341.528-56</v>
      </c>
      <c r="I4316" t="str">
        <f t="shared" si="797"/>
        <v>02/10/2025</v>
      </c>
      <c r="J4316" t="str">
        <f t="shared" si="801"/>
        <v>29/09/2025</v>
      </c>
      <c r="K4316" t="str">
        <f>("02/10/2025")</f>
        <v>02/10/2025</v>
      </c>
      <c r="L4316">
        <v>1329.3</v>
      </c>
      <c r="M4316">
        <v>1329.3</v>
      </c>
      <c r="N4316">
        <v>109</v>
      </c>
      <c r="O4316" t="str">
        <f>"PAGAMENTO DE ENTREGADORES"</f>
        <v>PAGAMENTO DE ENTREGADORES</v>
      </c>
      <c r="P4316">
        <v>1329.3</v>
      </c>
      <c r="S4316" t="str">
        <f>"BANCO C6 (149)"</f>
        <v>BANCO C6 (149)</v>
      </c>
      <c r="T4316">
        <v>19070</v>
      </c>
      <c r="U4316">
        <v>22668</v>
      </c>
      <c r="V4316" t="s">
        <v>77</v>
      </c>
    </row>
    <row r="4317" spans="1:22">
      <c r="A4317" t="str">
        <f t="shared" si="795"/>
        <v>02/10/2025</v>
      </c>
      <c r="B4317" t="str">
        <f t="shared" si="798"/>
        <v>SAÍDA</v>
      </c>
      <c r="C4317" t="str">
        <f t="shared" si="796"/>
        <v>PIX</v>
      </c>
      <c r="D4317" t="str">
        <f>"22668"</f>
        <v>22668</v>
      </c>
      <c r="E4317" t="str">
        <f t="shared" si="799"/>
        <v>1</v>
      </c>
      <c r="F4317" t="str">
        <f t="shared" si="794"/>
        <v>COM</v>
      </c>
      <c r="G4317" t="str">
        <f>"GUILHERME DA SILVA GOMES (901)"</f>
        <v>GUILHERME DA SILVA GOMES (901)</v>
      </c>
      <c r="H4317" t="s">
        <v>1248</v>
      </c>
      <c r="I4317" t="str">
        <f t="shared" si="797"/>
        <v>02/10/2025</v>
      </c>
      <c r="J4317" t="str">
        <f t="shared" si="801"/>
        <v>29/09/2025</v>
      </c>
      <c r="K4317">
        <v>45932</v>
      </c>
      <c r="N4317">
        <v>109</v>
      </c>
      <c r="O4317" t="s">
        <v>24</v>
      </c>
      <c r="Q4317">
        <v>1329.3</v>
      </c>
      <c r="R4317" t="str">
        <f>"DROGARIA AGAPEAMA (10167)"</f>
        <v>DROGARIA AGAPEAMA (10167)</v>
      </c>
      <c r="S4317" t="s">
        <v>77</v>
      </c>
      <c r="T4317">
        <v>19070</v>
      </c>
      <c r="U4317">
        <v>22668</v>
      </c>
      <c r="V4317" t="s">
        <v>77</v>
      </c>
    </row>
    <row r="4318" spans="1:22">
      <c r="A4318" t="str">
        <f t="shared" si="795"/>
        <v>02/10/2025</v>
      </c>
      <c r="B4318" t="str">
        <f t="shared" si="798"/>
        <v>SAÍDA</v>
      </c>
      <c r="C4318" t="str">
        <f t="shared" si="796"/>
        <v>PIX</v>
      </c>
      <c r="D4318" t="str">
        <f>"22669"</f>
        <v>22669</v>
      </c>
      <c r="E4318" t="str">
        <f t="shared" si="799"/>
        <v>1</v>
      </c>
      <c r="F4318" t="str">
        <f t="shared" si="794"/>
        <v>COM</v>
      </c>
      <c r="G4318" t="str">
        <f>"WESLEY RICARDO DE OLIVEIRA (722)"</f>
        <v>WESLEY RICARDO DE OLIVEIRA (722)</v>
      </c>
      <c r="H4318" t="str">
        <f>"Serv.Prest. 22/09/2025 a 28/09/2025 - PIX: CELULAR - CHAVE: (11) 91214-6176"</f>
        <v>Serv.Prest. 22/09/2025 a 28/09/2025 - PIX: CELULAR - CHAVE: (11) 91214-6176</v>
      </c>
      <c r="I4318" t="str">
        <f t="shared" si="797"/>
        <v>02/10/2025</v>
      </c>
      <c r="J4318" t="str">
        <f t="shared" si="801"/>
        <v>29/09/2025</v>
      </c>
      <c r="K4318" t="str">
        <f>("02/10/2025")</f>
        <v>02/10/2025</v>
      </c>
      <c r="L4318">
        <v>648.9</v>
      </c>
      <c r="M4318">
        <v>648.9</v>
      </c>
      <c r="N4318">
        <v>109</v>
      </c>
      <c r="O4318" t="str">
        <f>"PAGAMENTO DE ENTREGADORES"</f>
        <v>PAGAMENTO DE ENTREGADORES</v>
      </c>
      <c r="P4318">
        <v>648.9</v>
      </c>
      <c r="S4318" t="str">
        <f>"BANCO C6 (149)"</f>
        <v>BANCO C6 (149)</v>
      </c>
      <c r="T4318">
        <v>19071</v>
      </c>
      <c r="U4318">
        <v>22669</v>
      </c>
      <c r="V4318" t="s">
        <v>77</v>
      </c>
    </row>
    <row r="4319" spans="1:22">
      <c r="A4319" t="str">
        <f t="shared" si="795"/>
        <v>02/10/2025</v>
      </c>
      <c r="B4319" t="str">
        <f t="shared" ref="B4319:B4350" si="802">"SAÍDA"</f>
        <v>SAÍDA</v>
      </c>
      <c r="C4319" t="str">
        <f t="shared" si="796"/>
        <v>PIX</v>
      </c>
      <c r="D4319" t="str">
        <f>"22669"</f>
        <v>22669</v>
      </c>
      <c r="E4319" t="str">
        <f t="shared" si="799"/>
        <v>1</v>
      </c>
      <c r="F4319" t="str">
        <f t="shared" si="794"/>
        <v>COM</v>
      </c>
      <c r="G4319" t="str">
        <f>"WESLEY RICARDO DE OLIVEIRA (722)"</f>
        <v>WESLEY RICARDO DE OLIVEIRA (722)</v>
      </c>
      <c r="H4319" t="s">
        <v>1249</v>
      </c>
      <c r="I4319" t="str">
        <f t="shared" si="797"/>
        <v>02/10/2025</v>
      </c>
      <c r="J4319" t="str">
        <f t="shared" si="801"/>
        <v>29/09/2025</v>
      </c>
      <c r="K4319">
        <v>45932</v>
      </c>
      <c r="N4319">
        <v>109</v>
      </c>
      <c r="O4319" t="s">
        <v>24</v>
      </c>
      <c r="Q4319">
        <v>648.9</v>
      </c>
      <c r="R4319" t="str">
        <f>"DROGARIA AGAPEAMA (10167)"</f>
        <v>DROGARIA AGAPEAMA (10167)</v>
      </c>
      <c r="S4319" t="s">
        <v>77</v>
      </c>
      <c r="T4319">
        <v>19071</v>
      </c>
      <c r="U4319">
        <v>22669</v>
      </c>
      <c r="V4319" t="s">
        <v>77</v>
      </c>
    </row>
    <row r="4320" spans="1:22">
      <c r="A4320" t="str">
        <f t="shared" si="795"/>
        <v>02/10/2025</v>
      </c>
      <c r="B4320" t="str">
        <f t="shared" si="802"/>
        <v>SAÍDA</v>
      </c>
      <c r="C4320" t="str">
        <f t="shared" si="796"/>
        <v>PIX</v>
      </c>
      <c r="D4320" t="str">
        <f>"22671"</f>
        <v>22671</v>
      </c>
      <c r="E4320" t="str">
        <f t="shared" si="799"/>
        <v>1</v>
      </c>
      <c r="F4320" t="str">
        <f t="shared" si="794"/>
        <v>COM</v>
      </c>
      <c r="G4320" t="str">
        <f>"ISAEL SANTOS ROSA (642)"</f>
        <v>ISAEL SANTOS ROSA (642)</v>
      </c>
      <c r="H4320" t="str">
        <f>"Serv.Prest. 22/09/2025 a 28/09/2025 - PIX: CELULAR - CHAVE: (31) 99376-7989"</f>
        <v>Serv.Prest. 22/09/2025 a 28/09/2025 - PIX: CELULAR - CHAVE: (31) 99376-7989</v>
      </c>
      <c r="I4320" t="str">
        <f t="shared" si="797"/>
        <v>02/10/2025</v>
      </c>
      <c r="J4320" t="str">
        <f t="shared" si="801"/>
        <v>29/09/2025</v>
      </c>
      <c r="K4320" t="str">
        <f>("02/10/2025")</f>
        <v>02/10/2025</v>
      </c>
      <c r="L4320">
        <v>1400</v>
      </c>
      <c r="M4320">
        <v>1400</v>
      </c>
      <c r="N4320">
        <v>109</v>
      </c>
      <c r="O4320" t="str">
        <f>"PAGAMENTO DE ENTREGADORES"</f>
        <v>PAGAMENTO DE ENTREGADORES</v>
      </c>
      <c r="P4320">
        <v>1400</v>
      </c>
      <c r="S4320" t="str">
        <f>"BANCO C6 (149)"</f>
        <v>BANCO C6 (149)</v>
      </c>
      <c r="T4320">
        <v>19072</v>
      </c>
      <c r="U4320">
        <v>22671</v>
      </c>
      <c r="V4320" t="s">
        <v>77</v>
      </c>
    </row>
    <row r="4321" spans="1:22">
      <c r="A4321" t="str">
        <f t="shared" si="795"/>
        <v>02/10/2025</v>
      </c>
      <c r="B4321" t="str">
        <f t="shared" si="802"/>
        <v>SAÍDA</v>
      </c>
      <c r="C4321" t="str">
        <f t="shared" si="796"/>
        <v>PIX</v>
      </c>
      <c r="D4321" t="str">
        <f>"22671"</f>
        <v>22671</v>
      </c>
      <c r="E4321" t="str">
        <f t="shared" si="799"/>
        <v>1</v>
      </c>
      <c r="F4321" t="str">
        <f t="shared" si="794"/>
        <v>COM</v>
      </c>
      <c r="G4321" t="str">
        <f>"ISAEL SANTOS ROSA (642)"</f>
        <v>ISAEL SANTOS ROSA (642)</v>
      </c>
      <c r="H4321" t="s">
        <v>1250</v>
      </c>
      <c r="I4321" t="str">
        <f t="shared" si="797"/>
        <v>02/10/2025</v>
      </c>
      <c r="J4321" t="str">
        <f t="shared" si="801"/>
        <v>29/09/2025</v>
      </c>
      <c r="K4321">
        <v>45932</v>
      </c>
      <c r="N4321">
        <v>109</v>
      </c>
      <c r="O4321" t="s">
        <v>24</v>
      </c>
      <c r="Q4321">
        <v>1400</v>
      </c>
      <c r="R4321" t="str">
        <f>"DROGARIA POUPA MINAS (ULTRAMINAS) 3 (10129)"</f>
        <v>DROGARIA POUPA MINAS (ULTRAMINAS) 3 (10129)</v>
      </c>
      <c r="S4321" t="s">
        <v>77</v>
      </c>
      <c r="T4321">
        <v>19072</v>
      </c>
      <c r="U4321">
        <v>22671</v>
      </c>
      <c r="V4321" t="s">
        <v>77</v>
      </c>
    </row>
    <row r="4322" spans="1:22">
      <c r="A4322" t="str">
        <f t="shared" si="795"/>
        <v>02/10/2025</v>
      </c>
      <c r="B4322" t="str">
        <f t="shared" si="802"/>
        <v>SAÍDA</v>
      </c>
      <c r="C4322" t="str">
        <f t="shared" si="796"/>
        <v>PIX</v>
      </c>
      <c r="D4322" t="str">
        <f>"22674"</f>
        <v>22674</v>
      </c>
      <c r="E4322" t="str">
        <f t="shared" si="799"/>
        <v>1</v>
      </c>
      <c r="F4322" t="str">
        <f t="shared" si="794"/>
        <v>COM</v>
      </c>
      <c r="G4322" t="str">
        <f>"JAMERSON SOUZA LOPES (749)"</f>
        <v>JAMERSON SOUZA LOPES (749)</v>
      </c>
      <c r="H4322" t="str">
        <f>"Serv.Prest. 22/09/2025 a 28/09/2025 - PIX: CPF - CHAVE: 423.098.018-36"</f>
        <v>Serv.Prest. 22/09/2025 a 28/09/2025 - PIX: CPF - CHAVE: 423.098.018-36</v>
      </c>
      <c r="I4322" t="str">
        <f t="shared" si="797"/>
        <v>02/10/2025</v>
      </c>
      <c r="J4322" t="str">
        <f t="shared" si="801"/>
        <v>29/09/2025</v>
      </c>
      <c r="K4322" t="str">
        <f>("02/10/2025")</f>
        <v>02/10/2025</v>
      </c>
      <c r="L4322">
        <v>800</v>
      </c>
      <c r="M4322">
        <v>800</v>
      </c>
      <c r="N4322">
        <v>109</v>
      </c>
      <c r="O4322" t="str">
        <f>"PAGAMENTO DE ENTREGADORES"</f>
        <v>PAGAMENTO DE ENTREGADORES</v>
      </c>
      <c r="P4322">
        <v>800</v>
      </c>
      <c r="S4322" t="str">
        <f>"BANCO C6 (149)"</f>
        <v>BANCO C6 (149)</v>
      </c>
      <c r="T4322">
        <v>19073</v>
      </c>
      <c r="U4322">
        <v>22674</v>
      </c>
      <c r="V4322" t="s">
        <v>77</v>
      </c>
    </row>
    <row r="4323" spans="1:22">
      <c r="A4323" t="str">
        <f t="shared" si="795"/>
        <v>02/10/2025</v>
      </c>
      <c r="B4323" t="str">
        <f t="shared" si="802"/>
        <v>SAÍDA</v>
      </c>
      <c r="C4323" t="str">
        <f t="shared" si="796"/>
        <v>PIX</v>
      </c>
      <c r="D4323" t="str">
        <f>"22674"</f>
        <v>22674</v>
      </c>
      <c r="E4323" t="str">
        <f t="shared" si="799"/>
        <v>1</v>
      </c>
      <c r="F4323" t="str">
        <f t="shared" si="794"/>
        <v>COM</v>
      </c>
      <c r="G4323" t="str">
        <f>"JAMERSON SOUZA LOPES (749)"</f>
        <v>JAMERSON SOUZA LOPES (749)</v>
      </c>
      <c r="H4323" t="s">
        <v>839</v>
      </c>
      <c r="I4323" t="str">
        <f t="shared" si="797"/>
        <v>02/10/2025</v>
      </c>
      <c r="J4323" t="str">
        <f t="shared" si="801"/>
        <v>29/09/2025</v>
      </c>
      <c r="K4323">
        <v>45932</v>
      </c>
      <c r="N4323">
        <v>109</v>
      </c>
      <c r="O4323" t="s">
        <v>24</v>
      </c>
      <c r="Q4323">
        <v>800</v>
      </c>
      <c r="R4323" t="str">
        <f>"DROGARIA TOTAL JUNDIAI (10177)"</f>
        <v>DROGARIA TOTAL JUNDIAI (10177)</v>
      </c>
      <c r="S4323" t="s">
        <v>77</v>
      </c>
      <c r="T4323">
        <v>19073</v>
      </c>
      <c r="U4323">
        <v>22674</v>
      </c>
      <c r="V4323" t="s">
        <v>77</v>
      </c>
    </row>
    <row r="4324" spans="1:22">
      <c r="A4324" t="str">
        <f t="shared" si="795"/>
        <v>02/10/2025</v>
      </c>
      <c r="B4324" t="str">
        <f t="shared" si="802"/>
        <v>SAÍDA</v>
      </c>
      <c r="C4324" t="str">
        <f t="shared" si="796"/>
        <v>PIX</v>
      </c>
      <c r="D4324" t="str">
        <f>"22676"</f>
        <v>22676</v>
      </c>
      <c r="E4324" t="str">
        <f t="shared" si="799"/>
        <v>1</v>
      </c>
      <c r="F4324" t="str">
        <f t="shared" si="794"/>
        <v>COM</v>
      </c>
      <c r="G4324" t="str">
        <f>"ARLINDO COSTA FELIX (754)"</f>
        <v>ARLINDO COSTA FELIX (754)</v>
      </c>
      <c r="H4324" t="str">
        <f>"Serv.Prest. 22/09/2025 a 28/09/2025 - PIX: CPF - CHAVE: 103.983.366-79"</f>
        <v>Serv.Prest. 22/09/2025 a 28/09/2025 - PIX: CPF - CHAVE: 103.983.366-79</v>
      </c>
      <c r="I4324" t="str">
        <f t="shared" si="797"/>
        <v>02/10/2025</v>
      </c>
      <c r="J4324" t="str">
        <f t="shared" si="801"/>
        <v>29/09/2025</v>
      </c>
      <c r="K4324" t="str">
        <f>("02/10/2025")</f>
        <v>02/10/2025</v>
      </c>
      <c r="L4324">
        <v>1170</v>
      </c>
      <c r="M4324">
        <v>1170</v>
      </c>
      <c r="N4324">
        <v>109</v>
      </c>
      <c r="O4324" t="str">
        <f>"PAGAMENTO DE ENTREGADORES"</f>
        <v>PAGAMENTO DE ENTREGADORES</v>
      </c>
      <c r="P4324">
        <v>1170</v>
      </c>
      <c r="S4324" t="str">
        <f>"BANCO C6 (149)"</f>
        <v>BANCO C6 (149)</v>
      </c>
      <c r="T4324">
        <v>19074</v>
      </c>
      <c r="U4324">
        <v>22676</v>
      </c>
      <c r="V4324" t="s">
        <v>77</v>
      </c>
    </row>
    <row r="4325" spans="1:22">
      <c r="A4325" t="str">
        <f t="shared" si="795"/>
        <v>02/10/2025</v>
      </c>
      <c r="B4325" t="str">
        <f t="shared" si="802"/>
        <v>SAÍDA</v>
      </c>
      <c r="C4325" t="str">
        <f t="shared" si="796"/>
        <v>PIX</v>
      </c>
      <c r="D4325" t="str">
        <f>"22676"</f>
        <v>22676</v>
      </c>
      <c r="E4325" t="str">
        <f t="shared" si="799"/>
        <v>1</v>
      </c>
      <c r="F4325" t="str">
        <f t="shared" si="794"/>
        <v>COM</v>
      </c>
      <c r="G4325" t="str">
        <f>"ARLINDO COSTA FELIX (754)"</f>
        <v>ARLINDO COSTA FELIX (754)</v>
      </c>
      <c r="H4325" t="s">
        <v>1251</v>
      </c>
      <c r="I4325" t="str">
        <f t="shared" si="797"/>
        <v>02/10/2025</v>
      </c>
      <c r="J4325" t="str">
        <f t="shared" si="801"/>
        <v>29/09/2025</v>
      </c>
      <c r="K4325">
        <v>45932</v>
      </c>
      <c r="N4325">
        <v>109</v>
      </c>
      <c r="O4325" t="s">
        <v>24</v>
      </c>
      <c r="Q4325">
        <v>1170</v>
      </c>
      <c r="R4325" t="str">
        <f>"ENTREFARMA (10164)"</f>
        <v>ENTREFARMA (10164)</v>
      </c>
      <c r="S4325" t="s">
        <v>77</v>
      </c>
      <c r="T4325">
        <v>19074</v>
      </c>
      <c r="U4325">
        <v>22676</v>
      </c>
      <c r="V4325" t="s">
        <v>77</v>
      </c>
    </row>
    <row r="4326" spans="1:22">
      <c r="A4326" t="str">
        <f t="shared" si="795"/>
        <v>02/10/2025</v>
      </c>
      <c r="B4326" t="str">
        <f t="shared" si="802"/>
        <v>SAÍDA</v>
      </c>
      <c r="C4326" t="str">
        <f t="shared" si="796"/>
        <v>PIX</v>
      </c>
      <c r="D4326" t="str">
        <f>"22677"</f>
        <v>22677</v>
      </c>
      <c r="E4326" t="str">
        <f t="shared" si="799"/>
        <v>1</v>
      </c>
      <c r="F4326" t="str">
        <f t="shared" si="794"/>
        <v>COM</v>
      </c>
      <c r="G4326" t="str">
        <f>"LEONICIO CORREA DA SILVA (716)"</f>
        <v>LEONICIO CORREA DA SILVA (716)</v>
      </c>
      <c r="H4326" t="str">
        <f>"Serv.Prest. 22/09/2025 a 28/09/2025 - PIX: CPF - CHAVE: 138.263.636-98"</f>
        <v>Serv.Prest. 22/09/2025 a 28/09/2025 - PIX: CPF - CHAVE: 138.263.636-98</v>
      </c>
      <c r="I4326" t="str">
        <f t="shared" si="797"/>
        <v>02/10/2025</v>
      </c>
      <c r="J4326" t="str">
        <f t="shared" si="801"/>
        <v>29/09/2025</v>
      </c>
      <c r="K4326" t="str">
        <f>("02/10/2025")</f>
        <v>02/10/2025</v>
      </c>
      <c r="L4326">
        <v>972</v>
      </c>
      <c r="M4326">
        <v>972</v>
      </c>
      <c r="N4326">
        <v>109</v>
      </c>
      <c r="O4326" t="str">
        <f>"PAGAMENTO DE ENTREGADORES"</f>
        <v>PAGAMENTO DE ENTREGADORES</v>
      </c>
      <c r="P4326">
        <v>972</v>
      </c>
      <c r="S4326" t="str">
        <f>"BANCO C6 (149)"</f>
        <v>BANCO C6 (149)</v>
      </c>
      <c r="T4326">
        <v>19075</v>
      </c>
      <c r="U4326">
        <v>22677</v>
      </c>
      <c r="V4326" t="s">
        <v>77</v>
      </c>
    </row>
    <row r="4327" spans="1:22">
      <c r="A4327" t="str">
        <f t="shared" si="795"/>
        <v>02/10/2025</v>
      </c>
      <c r="B4327" t="str">
        <f t="shared" si="802"/>
        <v>SAÍDA</v>
      </c>
      <c r="C4327" t="str">
        <f t="shared" si="796"/>
        <v>PIX</v>
      </c>
      <c r="D4327" t="str">
        <f>"22677"</f>
        <v>22677</v>
      </c>
      <c r="E4327" t="str">
        <f t="shared" si="799"/>
        <v>1</v>
      </c>
      <c r="F4327" t="str">
        <f t="shared" si="794"/>
        <v>COM</v>
      </c>
      <c r="G4327" t="str">
        <f>"LEONICIO CORREA DA SILVA (716)"</f>
        <v>LEONICIO CORREA DA SILVA (716)</v>
      </c>
      <c r="H4327" t="s">
        <v>1252</v>
      </c>
      <c r="I4327" t="str">
        <f t="shared" si="797"/>
        <v>02/10/2025</v>
      </c>
      <c r="J4327" t="str">
        <f t="shared" si="801"/>
        <v>29/09/2025</v>
      </c>
      <c r="K4327">
        <v>45932</v>
      </c>
      <c r="N4327">
        <v>109</v>
      </c>
      <c r="O4327" t="s">
        <v>24</v>
      </c>
      <c r="Q4327">
        <v>972</v>
      </c>
      <c r="R4327" t="str">
        <f>"ENTREFARMA (10164)"</f>
        <v>ENTREFARMA (10164)</v>
      </c>
      <c r="S4327" t="s">
        <v>77</v>
      </c>
      <c r="T4327">
        <v>19075</v>
      </c>
      <c r="U4327">
        <v>22677</v>
      </c>
      <c r="V4327" t="s">
        <v>77</v>
      </c>
    </row>
    <row r="4328" spans="1:22">
      <c r="A4328" t="str">
        <f t="shared" si="795"/>
        <v>02/10/2025</v>
      </c>
      <c r="B4328" t="str">
        <f t="shared" si="802"/>
        <v>SAÍDA</v>
      </c>
      <c r="C4328" t="str">
        <f t="shared" si="796"/>
        <v>PIX</v>
      </c>
      <c r="D4328" t="str">
        <f>"22678"</f>
        <v>22678</v>
      </c>
      <c r="E4328" t="str">
        <f t="shared" si="799"/>
        <v>1</v>
      </c>
      <c r="F4328" t="str">
        <f t="shared" si="794"/>
        <v>COM</v>
      </c>
      <c r="G4328" t="str">
        <f>"SADRAK ENOKES BORGES (725)"</f>
        <v>SADRAK ENOKES BORGES (725)</v>
      </c>
      <c r="H4328" t="str">
        <f>"Serv.Prest. 22/09/2025 a 28/09/2025 - PIX: CPF - CHAVE: 128.367.756-37"</f>
        <v>Serv.Prest. 22/09/2025 a 28/09/2025 - PIX: CPF - CHAVE: 128.367.756-37</v>
      </c>
      <c r="I4328" t="str">
        <f t="shared" si="797"/>
        <v>02/10/2025</v>
      </c>
      <c r="J4328" t="str">
        <f t="shared" si="801"/>
        <v>29/09/2025</v>
      </c>
      <c r="K4328" t="str">
        <f>("02/10/2025")</f>
        <v>02/10/2025</v>
      </c>
      <c r="L4328">
        <v>906</v>
      </c>
      <c r="M4328">
        <v>906</v>
      </c>
      <c r="N4328">
        <v>109</v>
      </c>
      <c r="O4328" t="str">
        <f>"PAGAMENTO DE ENTREGADORES"</f>
        <v>PAGAMENTO DE ENTREGADORES</v>
      </c>
      <c r="P4328">
        <v>906</v>
      </c>
      <c r="S4328" t="str">
        <f>"BANCO C6 (149)"</f>
        <v>BANCO C6 (149)</v>
      </c>
      <c r="T4328">
        <v>19076</v>
      </c>
      <c r="U4328">
        <v>22678</v>
      </c>
      <c r="V4328" t="s">
        <v>77</v>
      </c>
    </row>
    <row r="4329" spans="1:22">
      <c r="A4329" t="str">
        <f t="shared" si="795"/>
        <v>02/10/2025</v>
      </c>
      <c r="B4329" t="str">
        <f t="shared" si="802"/>
        <v>SAÍDA</v>
      </c>
      <c r="C4329" t="str">
        <f t="shared" si="796"/>
        <v>PIX</v>
      </c>
      <c r="D4329" t="str">
        <f>"22678"</f>
        <v>22678</v>
      </c>
      <c r="E4329" t="str">
        <f t="shared" ref="E4329:E4360" si="803">"1"</f>
        <v>1</v>
      </c>
      <c r="F4329" t="str">
        <f t="shared" si="794"/>
        <v>COM</v>
      </c>
      <c r="G4329" t="str">
        <f>"SADRAK ENOKES BORGES (725)"</f>
        <v>SADRAK ENOKES BORGES (725)</v>
      </c>
      <c r="H4329" t="s">
        <v>1253</v>
      </c>
      <c r="I4329" t="str">
        <f t="shared" si="797"/>
        <v>02/10/2025</v>
      </c>
      <c r="J4329" t="str">
        <f t="shared" si="801"/>
        <v>29/09/2025</v>
      </c>
      <c r="K4329">
        <v>45932</v>
      </c>
      <c r="N4329">
        <v>109</v>
      </c>
      <c r="O4329" t="s">
        <v>24</v>
      </c>
      <c r="Q4329">
        <v>906</v>
      </c>
      <c r="R4329" t="str">
        <f>"ENTREFARMA (10164)"</f>
        <v>ENTREFARMA (10164)</v>
      </c>
      <c r="S4329" t="s">
        <v>77</v>
      </c>
      <c r="T4329">
        <v>19076</v>
      </c>
      <c r="U4329">
        <v>22678</v>
      </c>
      <c r="V4329" t="s">
        <v>77</v>
      </c>
    </row>
    <row r="4330" spans="1:22">
      <c r="A4330" t="str">
        <f t="shared" si="795"/>
        <v>02/10/2025</v>
      </c>
      <c r="B4330" t="str">
        <f t="shared" si="802"/>
        <v>SAÍDA</v>
      </c>
      <c r="C4330" t="str">
        <f t="shared" si="796"/>
        <v>PIX</v>
      </c>
      <c r="D4330" t="str">
        <f>"22679"</f>
        <v>22679</v>
      </c>
      <c r="E4330" t="str">
        <f t="shared" si="803"/>
        <v>1</v>
      </c>
      <c r="F4330" t="str">
        <f t="shared" si="794"/>
        <v>COM</v>
      </c>
      <c r="G4330" t="str">
        <f>"WENDERSON GOMES (708)"</f>
        <v>WENDERSON GOMES (708)</v>
      </c>
      <c r="H4330" t="str">
        <f>"Serv.Prest. 22/09/2025 a 28/09/2025 - PIX: CPF - CHAVE: 147.592.156-03"</f>
        <v>Serv.Prest. 22/09/2025 a 28/09/2025 - PIX: CPF - CHAVE: 147.592.156-03</v>
      </c>
      <c r="I4330" t="str">
        <f t="shared" si="797"/>
        <v>02/10/2025</v>
      </c>
      <c r="J4330" t="str">
        <f t="shared" si="801"/>
        <v>29/09/2025</v>
      </c>
      <c r="K4330" t="str">
        <f>("02/10/2025")</f>
        <v>02/10/2025</v>
      </c>
      <c r="L4330">
        <v>1938</v>
      </c>
      <c r="M4330">
        <v>1938</v>
      </c>
      <c r="N4330">
        <v>109</v>
      </c>
      <c r="O4330" t="str">
        <f>"PAGAMENTO DE ENTREGADORES"</f>
        <v>PAGAMENTO DE ENTREGADORES</v>
      </c>
      <c r="P4330">
        <v>1938</v>
      </c>
      <c r="S4330" t="str">
        <f>"BANCO C6 (149)"</f>
        <v>BANCO C6 (149)</v>
      </c>
      <c r="T4330">
        <v>19077</v>
      </c>
      <c r="U4330">
        <v>22679</v>
      </c>
      <c r="V4330" t="s">
        <v>77</v>
      </c>
    </row>
    <row r="4331" spans="1:22">
      <c r="A4331" t="str">
        <f t="shared" si="795"/>
        <v>02/10/2025</v>
      </c>
      <c r="B4331" t="str">
        <f t="shared" si="802"/>
        <v>SAÍDA</v>
      </c>
      <c r="C4331" t="str">
        <f t="shared" si="796"/>
        <v>PIX</v>
      </c>
      <c r="D4331" t="str">
        <f>"22679"</f>
        <v>22679</v>
      </c>
      <c r="E4331" t="str">
        <f t="shared" si="803"/>
        <v>1</v>
      </c>
      <c r="F4331" t="str">
        <f t="shared" si="794"/>
        <v>COM</v>
      </c>
      <c r="G4331" t="str">
        <f>"WENDERSON GOMES (708)"</f>
        <v>WENDERSON GOMES (708)</v>
      </c>
      <c r="H4331" t="s">
        <v>1254</v>
      </c>
      <c r="I4331" t="str">
        <f t="shared" si="797"/>
        <v>02/10/2025</v>
      </c>
      <c r="J4331" t="str">
        <f t="shared" si="801"/>
        <v>29/09/2025</v>
      </c>
      <c r="K4331">
        <v>45932</v>
      </c>
      <c r="N4331">
        <v>109</v>
      </c>
      <c r="O4331" t="s">
        <v>24</v>
      </c>
      <c r="Q4331">
        <v>1938</v>
      </c>
      <c r="R4331" t="str">
        <f>"ENTREFARMA (10164)"</f>
        <v>ENTREFARMA (10164)</v>
      </c>
      <c r="S4331" t="s">
        <v>77</v>
      </c>
      <c r="T4331">
        <v>19077</v>
      </c>
      <c r="U4331">
        <v>22679</v>
      </c>
      <c r="V4331" t="s">
        <v>77</v>
      </c>
    </row>
    <row r="4332" spans="1:22">
      <c r="A4332" t="str">
        <f t="shared" si="795"/>
        <v>02/10/2025</v>
      </c>
      <c r="B4332" t="str">
        <f t="shared" si="802"/>
        <v>SAÍDA</v>
      </c>
      <c r="C4332" t="str">
        <f t="shared" si="796"/>
        <v>PIX</v>
      </c>
      <c r="D4332" t="str">
        <f>"22681"</f>
        <v>22681</v>
      </c>
      <c r="E4332" t="str">
        <f t="shared" si="803"/>
        <v>1</v>
      </c>
      <c r="F4332" t="str">
        <f t="shared" si="794"/>
        <v>COM</v>
      </c>
      <c r="G4332" t="str">
        <f>"FABRICIO QUEIROZ DE OLIVEIRA (788)"</f>
        <v>FABRICIO QUEIROZ DE OLIVEIRA (788)</v>
      </c>
      <c r="H4332" t="str">
        <f>"Serv.Prest. 22/09/2025 a 28/09/2025 - PIX: CPF - CHAVE: 138.798.486-10"</f>
        <v>Serv.Prest. 22/09/2025 a 28/09/2025 - PIX: CPF - CHAVE: 138.798.486-10</v>
      </c>
      <c r="I4332" t="str">
        <f t="shared" si="797"/>
        <v>02/10/2025</v>
      </c>
      <c r="J4332" t="str">
        <f t="shared" si="801"/>
        <v>29/09/2025</v>
      </c>
      <c r="K4332" t="str">
        <f>("02/10/2025")</f>
        <v>02/10/2025</v>
      </c>
      <c r="L4332">
        <v>700</v>
      </c>
      <c r="M4332">
        <v>700</v>
      </c>
      <c r="N4332">
        <v>109</v>
      </c>
      <c r="O4332" t="str">
        <f>"PAGAMENTO DE ENTREGADORES"</f>
        <v>PAGAMENTO DE ENTREGADORES</v>
      </c>
      <c r="P4332">
        <v>700</v>
      </c>
      <c r="S4332" t="str">
        <f>"BANCO C6 (149)"</f>
        <v>BANCO C6 (149)</v>
      </c>
      <c r="T4332">
        <v>19078</v>
      </c>
      <c r="U4332">
        <v>22681</v>
      </c>
      <c r="V4332" t="s">
        <v>77</v>
      </c>
    </row>
    <row r="4333" spans="1:22">
      <c r="A4333" t="str">
        <f t="shared" si="795"/>
        <v>02/10/2025</v>
      </c>
      <c r="B4333" t="str">
        <f t="shared" si="802"/>
        <v>SAÍDA</v>
      </c>
      <c r="C4333" t="str">
        <f t="shared" si="796"/>
        <v>PIX</v>
      </c>
      <c r="D4333" t="str">
        <f>"22681"</f>
        <v>22681</v>
      </c>
      <c r="E4333" t="str">
        <f t="shared" si="803"/>
        <v>1</v>
      </c>
      <c r="F4333" t="str">
        <f t="shared" si="794"/>
        <v>COM</v>
      </c>
      <c r="G4333" t="str">
        <f>"FABRICIO QUEIROZ DE OLIVEIRA (788)"</f>
        <v>FABRICIO QUEIROZ DE OLIVEIRA (788)</v>
      </c>
      <c r="H4333" t="s">
        <v>1255</v>
      </c>
      <c r="I4333" t="str">
        <f t="shared" si="797"/>
        <v>02/10/2025</v>
      </c>
      <c r="J4333" t="str">
        <f t="shared" si="801"/>
        <v>29/09/2025</v>
      </c>
      <c r="K4333">
        <v>45932</v>
      </c>
      <c r="N4333">
        <v>109</v>
      </c>
      <c r="O4333" t="s">
        <v>24</v>
      </c>
      <c r="Q4333">
        <v>18.13</v>
      </c>
      <c r="R4333" t="str">
        <f>"FRAN FARMA (10124)"</f>
        <v>FRAN FARMA (10124)</v>
      </c>
      <c r="S4333" t="s">
        <v>77</v>
      </c>
      <c r="T4333">
        <v>19078</v>
      </c>
      <c r="U4333">
        <v>22681</v>
      </c>
      <c r="V4333" t="s">
        <v>77</v>
      </c>
    </row>
    <row r="4334" spans="1:22">
      <c r="A4334" t="str">
        <f t="shared" si="795"/>
        <v>02/10/2025</v>
      </c>
      <c r="B4334" t="str">
        <f t="shared" si="802"/>
        <v>SAÍDA</v>
      </c>
      <c r="C4334" t="str">
        <f t="shared" si="796"/>
        <v>PIX</v>
      </c>
      <c r="D4334" t="str">
        <f>"22681"</f>
        <v>22681</v>
      </c>
      <c r="E4334" t="str">
        <f t="shared" si="803"/>
        <v>1</v>
      </c>
      <c r="F4334" t="str">
        <f t="shared" si="794"/>
        <v>COM</v>
      </c>
      <c r="G4334" t="str">
        <f>"FABRICIO QUEIROZ DE OLIVEIRA (788)"</f>
        <v>FABRICIO QUEIROZ DE OLIVEIRA (788)</v>
      </c>
      <c r="H4334" t="s">
        <v>1255</v>
      </c>
      <c r="I4334" t="str">
        <f t="shared" si="797"/>
        <v>02/10/2025</v>
      </c>
      <c r="J4334" t="str">
        <f t="shared" si="801"/>
        <v>29/09/2025</v>
      </c>
      <c r="K4334">
        <v>45932</v>
      </c>
      <c r="N4334">
        <v>109</v>
      </c>
      <c r="O4334" t="s">
        <v>24</v>
      </c>
      <c r="Q4334">
        <v>639.66</v>
      </c>
      <c r="R4334" t="str">
        <f>"FRAN FARMA LJ 2 (10131)"</f>
        <v>FRAN FARMA LJ 2 (10131)</v>
      </c>
      <c r="S4334" t="s">
        <v>77</v>
      </c>
      <c r="T4334">
        <v>19078</v>
      </c>
      <c r="U4334">
        <v>22681</v>
      </c>
      <c r="V4334" t="s">
        <v>77</v>
      </c>
    </row>
    <row r="4335" spans="1:22">
      <c r="A4335" t="str">
        <f t="shared" si="795"/>
        <v>02/10/2025</v>
      </c>
      <c r="B4335" t="str">
        <f t="shared" si="802"/>
        <v>SAÍDA</v>
      </c>
      <c r="C4335" t="str">
        <f t="shared" si="796"/>
        <v>PIX</v>
      </c>
      <c r="D4335" t="str">
        <f>"22681"</f>
        <v>22681</v>
      </c>
      <c r="E4335" t="str">
        <f t="shared" si="803"/>
        <v>1</v>
      </c>
      <c r="F4335" t="str">
        <f t="shared" si="794"/>
        <v>COM</v>
      </c>
      <c r="G4335" t="str">
        <f>"FABRICIO QUEIROZ DE OLIVEIRA (788)"</f>
        <v>FABRICIO QUEIROZ DE OLIVEIRA (788)</v>
      </c>
      <c r="H4335" t="s">
        <v>1255</v>
      </c>
      <c r="I4335" t="str">
        <f t="shared" si="797"/>
        <v>02/10/2025</v>
      </c>
      <c r="J4335" t="str">
        <f t="shared" si="801"/>
        <v>29/09/2025</v>
      </c>
      <c r="K4335">
        <v>45932</v>
      </c>
      <c r="N4335">
        <v>109</v>
      </c>
      <c r="O4335" t="s">
        <v>24</v>
      </c>
      <c r="Q4335">
        <v>42.21</v>
      </c>
      <c r="R4335" t="str">
        <f>"FRAN FARMA LJ 3 (10132)"</f>
        <v>FRAN FARMA LJ 3 (10132)</v>
      </c>
      <c r="S4335" t="s">
        <v>77</v>
      </c>
      <c r="T4335">
        <v>19078</v>
      </c>
      <c r="U4335">
        <v>22681</v>
      </c>
      <c r="V4335" t="s">
        <v>77</v>
      </c>
    </row>
    <row r="4336" spans="1:22">
      <c r="A4336" t="str">
        <f t="shared" si="795"/>
        <v>02/10/2025</v>
      </c>
      <c r="B4336" t="str">
        <f t="shared" si="802"/>
        <v>SAÍDA</v>
      </c>
      <c r="C4336" t="str">
        <f t="shared" si="796"/>
        <v>PIX</v>
      </c>
      <c r="D4336" t="str">
        <f>"22683"</f>
        <v>22683</v>
      </c>
      <c r="E4336" t="str">
        <f t="shared" si="803"/>
        <v>1</v>
      </c>
      <c r="F4336" t="str">
        <f t="shared" si="794"/>
        <v>COM</v>
      </c>
      <c r="G4336" t="str">
        <f>"LUIZ FERNANDO OLIVEIRA DE JESUS (932)"</f>
        <v>LUIZ FERNANDO OLIVEIRA DE JESUS (932)</v>
      </c>
      <c r="H4336" t="str">
        <f>"Serv.Prest. 22/09/2025 a 28/09/2025 - PIX: CPF - CHAVE: 707.468.161-03"</f>
        <v>Serv.Prest. 22/09/2025 a 28/09/2025 - PIX: CPF - CHAVE: 707.468.161-03</v>
      </c>
      <c r="I4336" t="str">
        <f t="shared" si="797"/>
        <v>02/10/2025</v>
      </c>
      <c r="J4336" t="str">
        <f t="shared" si="801"/>
        <v>29/09/2025</v>
      </c>
      <c r="K4336" t="str">
        <f>("02/10/2025")</f>
        <v>02/10/2025</v>
      </c>
      <c r="L4336">
        <v>154</v>
      </c>
      <c r="M4336">
        <v>154</v>
      </c>
      <c r="N4336">
        <v>109</v>
      </c>
      <c r="O4336" t="str">
        <f>"PAGAMENTO DE ENTREGADORES"</f>
        <v>PAGAMENTO DE ENTREGADORES</v>
      </c>
      <c r="P4336">
        <v>154</v>
      </c>
      <c r="S4336" t="str">
        <f>"BANCO C6 (149)"</f>
        <v>BANCO C6 (149)</v>
      </c>
      <c r="T4336">
        <v>19079</v>
      </c>
      <c r="U4336">
        <v>22683</v>
      </c>
      <c r="V4336" t="s">
        <v>77</v>
      </c>
    </row>
    <row r="4337" spans="1:22">
      <c r="A4337" t="str">
        <f t="shared" si="795"/>
        <v>02/10/2025</v>
      </c>
      <c r="B4337" t="str">
        <f t="shared" si="802"/>
        <v>SAÍDA</v>
      </c>
      <c r="C4337" t="str">
        <f t="shared" si="796"/>
        <v>PIX</v>
      </c>
      <c r="D4337" t="str">
        <f>"22683"</f>
        <v>22683</v>
      </c>
      <c r="E4337" t="str">
        <f t="shared" si="803"/>
        <v>1</v>
      </c>
      <c r="F4337" t="str">
        <f t="shared" si="794"/>
        <v>COM</v>
      </c>
      <c r="G4337" t="str">
        <f>"LUIZ FERNANDO OLIVEIRA DE JESUS (932)"</f>
        <v>LUIZ FERNANDO OLIVEIRA DE JESUS (932)</v>
      </c>
      <c r="H4337" t="s">
        <v>1256</v>
      </c>
      <c r="I4337" t="str">
        <f t="shared" si="797"/>
        <v>02/10/2025</v>
      </c>
      <c r="J4337" t="str">
        <f t="shared" si="801"/>
        <v>29/09/2025</v>
      </c>
      <c r="K4337">
        <v>45932</v>
      </c>
      <c r="N4337">
        <v>109</v>
      </c>
      <c r="O4337" t="s">
        <v>24</v>
      </c>
      <c r="Q4337">
        <v>154</v>
      </c>
      <c r="R4337" t="str">
        <f>"FARMACIA ECONOMIZE (10103)"</f>
        <v>FARMACIA ECONOMIZE (10103)</v>
      </c>
      <c r="S4337" t="s">
        <v>77</v>
      </c>
      <c r="T4337">
        <v>19079</v>
      </c>
      <c r="U4337">
        <v>22683</v>
      </c>
      <c r="V4337" t="s">
        <v>77</v>
      </c>
    </row>
    <row r="4338" spans="1:22">
      <c r="A4338" t="str">
        <f t="shared" si="795"/>
        <v>02/10/2025</v>
      </c>
      <c r="B4338" t="str">
        <f t="shared" si="802"/>
        <v>SAÍDA</v>
      </c>
      <c r="C4338" t="str">
        <f t="shared" si="796"/>
        <v>PIX</v>
      </c>
      <c r="D4338" t="str">
        <f>"22686"</f>
        <v>22686</v>
      </c>
      <c r="E4338" t="str">
        <f t="shared" si="803"/>
        <v>1</v>
      </c>
      <c r="F4338" t="str">
        <f t="shared" si="794"/>
        <v>COM</v>
      </c>
      <c r="G4338" t="str">
        <f>"ALEXSANDRO HENRIQUE FERREIRA (808)"</f>
        <v>ALEXSANDRO HENRIQUE FERREIRA (808)</v>
      </c>
      <c r="H4338" t="str">
        <f>"Serv.Prest. 22/09/2025 a 28/09/2025 - PIX: CPF - CHAVE: 157.591.436-03"</f>
        <v>Serv.Prest. 22/09/2025 a 28/09/2025 - PIX: CPF - CHAVE: 157.591.436-03</v>
      </c>
      <c r="I4338" t="str">
        <f t="shared" si="797"/>
        <v>02/10/2025</v>
      </c>
      <c r="J4338" t="str">
        <f t="shared" si="801"/>
        <v>29/09/2025</v>
      </c>
      <c r="K4338" t="str">
        <f>("02/10/2025")</f>
        <v>02/10/2025</v>
      </c>
      <c r="L4338">
        <v>904.05</v>
      </c>
      <c r="M4338">
        <v>904.05</v>
      </c>
      <c r="N4338">
        <v>109</v>
      </c>
      <c r="O4338" t="str">
        <f>"PAGAMENTO DE ENTREGADORES"</f>
        <v>PAGAMENTO DE ENTREGADORES</v>
      </c>
      <c r="P4338">
        <v>904.05</v>
      </c>
      <c r="S4338" t="str">
        <f>"BANCO C6 (149)"</f>
        <v>BANCO C6 (149)</v>
      </c>
      <c r="T4338">
        <v>19080</v>
      </c>
      <c r="U4338">
        <v>22686</v>
      </c>
      <c r="V4338" t="s">
        <v>77</v>
      </c>
    </row>
    <row r="4339" spans="1:22">
      <c r="A4339" t="str">
        <f t="shared" si="795"/>
        <v>02/10/2025</v>
      </c>
      <c r="B4339" t="str">
        <f t="shared" si="802"/>
        <v>SAÍDA</v>
      </c>
      <c r="C4339" t="str">
        <f t="shared" si="796"/>
        <v>PIX</v>
      </c>
      <c r="D4339" t="str">
        <f>"22686"</f>
        <v>22686</v>
      </c>
      <c r="E4339" t="str">
        <f t="shared" si="803"/>
        <v>1</v>
      </c>
      <c r="F4339" t="str">
        <f t="shared" si="794"/>
        <v>COM</v>
      </c>
      <c r="G4339" t="str">
        <f>"ALEXSANDRO HENRIQUE FERREIRA (808)"</f>
        <v>ALEXSANDRO HENRIQUE FERREIRA (808)</v>
      </c>
      <c r="H4339" t="s">
        <v>1257</v>
      </c>
      <c r="I4339" t="str">
        <f t="shared" si="797"/>
        <v>02/10/2025</v>
      </c>
      <c r="J4339" t="str">
        <f t="shared" si="801"/>
        <v>29/09/2025</v>
      </c>
      <c r="K4339">
        <v>45932</v>
      </c>
      <c r="N4339">
        <v>109</v>
      </c>
      <c r="O4339" t="s">
        <v>24</v>
      </c>
      <c r="Q4339">
        <v>904.05</v>
      </c>
      <c r="R4339" t="str">
        <f>"DROGARIA ANA VISCONDE DO RIO BRANCO (10182)"</f>
        <v>DROGARIA ANA VISCONDE DO RIO BRANCO (10182)</v>
      </c>
      <c r="S4339" t="s">
        <v>77</v>
      </c>
      <c r="T4339">
        <v>19080</v>
      </c>
      <c r="U4339">
        <v>22686</v>
      </c>
      <c r="V4339" t="s">
        <v>77</v>
      </c>
    </row>
    <row r="4340" spans="1:22">
      <c r="A4340" t="str">
        <f t="shared" si="795"/>
        <v>02/10/2025</v>
      </c>
      <c r="B4340" t="str">
        <f t="shared" si="802"/>
        <v>SAÍDA</v>
      </c>
      <c r="C4340" t="str">
        <f t="shared" si="796"/>
        <v>PIX</v>
      </c>
      <c r="D4340" t="str">
        <f>"22687"</f>
        <v>22687</v>
      </c>
      <c r="E4340" t="str">
        <f t="shared" si="803"/>
        <v>1</v>
      </c>
      <c r="F4340" t="str">
        <f t="shared" ref="F4340:F4403" si="804">"COM"</f>
        <v>COM</v>
      </c>
      <c r="G4340" t="str">
        <f>"ANDERSON LUIZ SOARES (807)"</f>
        <v>ANDERSON LUIZ SOARES (807)</v>
      </c>
      <c r="H4340" t="str">
        <f>"Serv.Prest. 22/09/2025 a 28/09/2025 - PIX: CELULAR - CHAVE: (32) 99920-0416"</f>
        <v>Serv.Prest. 22/09/2025 a 28/09/2025 - PIX: CELULAR - CHAVE: (32) 99920-0416</v>
      </c>
      <c r="I4340" t="str">
        <f t="shared" si="797"/>
        <v>02/10/2025</v>
      </c>
      <c r="J4340" t="str">
        <f t="shared" si="801"/>
        <v>29/09/2025</v>
      </c>
      <c r="K4340" t="str">
        <f>("02/10/2025")</f>
        <v>02/10/2025</v>
      </c>
      <c r="L4340">
        <v>702.45</v>
      </c>
      <c r="M4340">
        <v>702.45</v>
      </c>
      <c r="N4340">
        <v>109</v>
      </c>
      <c r="O4340" t="str">
        <f>"PAGAMENTO DE ENTREGADORES"</f>
        <v>PAGAMENTO DE ENTREGADORES</v>
      </c>
      <c r="P4340">
        <v>702.45</v>
      </c>
      <c r="S4340" t="str">
        <f>"BANCO C6 (149)"</f>
        <v>BANCO C6 (149)</v>
      </c>
      <c r="T4340">
        <v>19081</v>
      </c>
      <c r="U4340">
        <v>22687</v>
      </c>
      <c r="V4340" t="s">
        <v>77</v>
      </c>
    </row>
    <row r="4341" spans="1:22">
      <c r="A4341" t="str">
        <f t="shared" si="795"/>
        <v>02/10/2025</v>
      </c>
      <c r="B4341" t="str">
        <f t="shared" si="802"/>
        <v>SAÍDA</v>
      </c>
      <c r="C4341" t="str">
        <f t="shared" si="796"/>
        <v>PIX</v>
      </c>
      <c r="D4341" t="str">
        <f>"22687"</f>
        <v>22687</v>
      </c>
      <c r="E4341" t="str">
        <f t="shared" si="803"/>
        <v>1</v>
      </c>
      <c r="F4341" t="str">
        <f t="shared" si="804"/>
        <v>COM</v>
      </c>
      <c r="G4341" t="str">
        <f>"ANDERSON LUIZ SOARES (807)"</f>
        <v>ANDERSON LUIZ SOARES (807)</v>
      </c>
      <c r="H4341" t="s">
        <v>1258</v>
      </c>
      <c r="I4341" t="str">
        <f t="shared" si="797"/>
        <v>02/10/2025</v>
      </c>
      <c r="J4341" t="str">
        <f t="shared" si="801"/>
        <v>29/09/2025</v>
      </c>
      <c r="K4341">
        <v>45932</v>
      </c>
      <c r="N4341">
        <v>109</v>
      </c>
      <c r="O4341" t="s">
        <v>24</v>
      </c>
      <c r="Q4341">
        <v>702.45</v>
      </c>
      <c r="R4341" t="str">
        <f>"DROGARIA ANA VISCONDE DO RIO BRANCO (10182)"</f>
        <v>DROGARIA ANA VISCONDE DO RIO BRANCO (10182)</v>
      </c>
      <c r="S4341" t="s">
        <v>77</v>
      </c>
      <c r="T4341">
        <v>19081</v>
      </c>
      <c r="U4341">
        <v>22687</v>
      </c>
      <c r="V4341" t="s">
        <v>77</v>
      </c>
    </row>
    <row r="4342" spans="1:22">
      <c r="A4342" t="str">
        <f t="shared" si="795"/>
        <v>02/10/2025</v>
      </c>
      <c r="B4342" t="str">
        <f t="shared" si="802"/>
        <v>SAÍDA</v>
      </c>
      <c r="C4342" t="str">
        <f t="shared" si="796"/>
        <v>PIX</v>
      </c>
      <c r="D4342" t="str">
        <f>"22688"</f>
        <v>22688</v>
      </c>
      <c r="E4342" t="str">
        <f t="shared" si="803"/>
        <v>1</v>
      </c>
      <c r="F4342" t="str">
        <f t="shared" si="804"/>
        <v>COM</v>
      </c>
      <c r="G4342" t="str">
        <f>"BRENO VIANA MONTEIRO RODRIGUES (811)"</f>
        <v>BRENO VIANA MONTEIRO RODRIGUES (811)</v>
      </c>
      <c r="H4342" t="str">
        <f>"Serv.Prest. 22/09/2025 a 28/09/2025 - PIX: CNPJ - CHAVE: 51.676.704/0001-10"</f>
        <v>Serv.Prest. 22/09/2025 a 28/09/2025 - PIX: CNPJ - CHAVE: 51.676.704/0001-10</v>
      </c>
      <c r="I4342" t="str">
        <f t="shared" si="797"/>
        <v>02/10/2025</v>
      </c>
      <c r="J4342" t="str">
        <f t="shared" ref="J4342:J4373" si="805">("29/09/2025")</f>
        <v>29/09/2025</v>
      </c>
      <c r="K4342" t="str">
        <f>("02/10/2025")</f>
        <v>02/10/2025</v>
      </c>
      <c r="L4342">
        <v>702.45</v>
      </c>
      <c r="M4342">
        <v>702.45</v>
      </c>
      <c r="N4342">
        <v>109</v>
      </c>
      <c r="O4342" t="str">
        <f>"PAGAMENTO DE ENTREGADORES"</f>
        <v>PAGAMENTO DE ENTREGADORES</v>
      </c>
      <c r="P4342">
        <v>702.45</v>
      </c>
      <c r="S4342" t="str">
        <f>"BANCO C6 (149)"</f>
        <v>BANCO C6 (149)</v>
      </c>
      <c r="T4342">
        <v>19082</v>
      </c>
      <c r="U4342">
        <v>22688</v>
      </c>
      <c r="V4342" t="s">
        <v>77</v>
      </c>
    </row>
    <row r="4343" spans="1:22">
      <c r="A4343" t="str">
        <f t="shared" si="795"/>
        <v>02/10/2025</v>
      </c>
      <c r="B4343" t="str">
        <f t="shared" si="802"/>
        <v>SAÍDA</v>
      </c>
      <c r="C4343" t="str">
        <f t="shared" si="796"/>
        <v>PIX</v>
      </c>
      <c r="D4343" t="str">
        <f>"22688"</f>
        <v>22688</v>
      </c>
      <c r="E4343" t="str">
        <f t="shared" si="803"/>
        <v>1</v>
      </c>
      <c r="F4343" t="str">
        <f t="shared" si="804"/>
        <v>COM</v>
      </c>
      <c r="G4343" t="str">
        <f>"BRENO VIANA MONTEIRO RODRIGUES (811)"</f>
        <v>BRENO VIANA MONTEIRO RODRIGUES (811)</v>
      </c>
      <c r="H4343" t="s">
        <v>1259</v>
      </c>
      <c r="I4343" t="str">
        <f t="shared" si="797"/>
        <v>02/10/2025</v>
      </c>
      <c r="J4343" t="str">
        <f t="shared" si="805"/>
        <v>29/09/2025</v>
      </c>
      <c r="K4343">
        <v>45932</v>
      </c>
      <c r="N4343">
        <v>109</v>
      </c>
      <c r="O4343" t="s">
        <v>24</v>
      </c>
      <c r="Q4343">
        <v>702.45</v>
      </c>
      <c r="R4343" t="str">
        <f>"DROGARIA ANA VISCONDE DO RIO BRANCO (10182)"</f>
        <v>DROGARIA ANA VISCONDE DO RIO BRANCO (10182)</v>
      </c>
      <c r="S4343" t="s">
        <v>77</v>
      </c>
      <c r="T4343">
        <v>19082</v>
      </c>
      <c r="U4343">
        <v>22688</v>
      </c>
      <c r="V4343" t="s">
        <v>77</v>
      </c>
    </row>
    <row r="4344" spans="1:22">
      <c r="A4344" t="str">
        <f t="shared" si="795"/>
        <v>02/10/2025</v>
      </c>
      <c r="B4344" t="str">
        <f t="shared" si="802"/>
        <v>SAÍDA</v>
      </c>
      <c r="C4344" t="str">
        <f t="shared" si="796"/>
        <v>PIX</v>
      </c>
      <c r="D4344" t="str">
        <f>"22689"</f>
        <v>22689</v>
      </c>
      <c r="E4344" t="str">
        <f t="shared" si="803"/>
        <v>1</v>
      </c>
      <c r="F4344" t="str">
        <f t="shared" si="804"/>
        <v>COM</v>
      </c>
      <c r="G4344" t="str">
        <f>"GABRIEL PACHECO DE QUEIROZ NARCISO (812)"</f>
        <v>GABRIEL PACHECO DE QUEIROZ NARCISO (812)</v>
      </c>
      <c r="H4344" t="str">
        <f>"Serv.Prest. 22/09/2025 a 28/09/2025 - PIX: CPF - CHAVE: 140.108.466-40"</f>
        <v>Serv.Prest. 22/09/2025 a 28/09/2025 - PIX: CPF - CHAVE: 140.108.466-40</v>
      </c>
      <c r="I4344" t="str">
        <f t="shared" si="797"/>
        <v>02/10/2025</v>
      </c>
      <c r="J4344" t="str">
        <f t="shared" si="805"/>
        <v>29/09/2025</v>
      </c>
      <c r="K4344" t="str">
        <f>("02/10/2025")</f>
        <v>02/10/2025</v>
      </c>
      <c r="L4344">
        <v>702.45</v>
      </c>
      <c r="M4344">
        <v>702.45</v>
      </c>
      <c r="N4344">
        <v>109</v>
      </c>
      <c r="O4344" t="str">
        <f>"PAGAMENTO DE ENTREGADORES"</f>
        <v>PAGAMENTO DE ENTREGADORES</v>
      </c>
      <c r="P4344">
        <v>702.45</v>
      </c>
      <c r="S4344" t="str">
        <f>"BANCO C6 (149)"</f>
        <v>BANCO C6 (149)</v>
      </c>
      <c r="T4344">
        <v>19083</v>
      </c>
      <c r="U4344">
        <v>22689</v>
      </c>
      <c r="V4344" t="s">
        <v>77</v>
      </c>
    </row>
    <row r="4345" spans="1:22">
      <c r="A4345" t="str">
        <f t="shared" si="795"/>
        <v>02/10/2025</v>
      </c>
      <c r="B4345" t="str">
        <f t="shared" si="802"/>
        <v>SAÍDA</v>
      </c>
      <c r="C4345" t="str">
        <f t="shared" si="796"/>
        <v>PIX</v>
      </c>
      <c r="D4345" t="str">
        <f>"22689"</f>
        <v>22689</v>
      </c>
      <c r="E4345" t="str">
        <f t="shared" si="803"/>
        <v>1</v>
      </c>
      <c r="F4345" t="str">
        <f t="shared" si="804"/>
        <v>COM</v>
      </c>
      <c r="G4345" t="str">
        <f>"GABRIEL PACHECO DE QUEIROZ NARCISO (812)"</f>
        <v>GABRIEL PACHECO DE QUEIROZ NARCISO (812)</v>
      </c>
      <c r="H4345" t="s">
        <v>1260</v>
      </c>
      <c r="I4345" t="str">
        <f t="shared" si="797"/>
        <v>02/10/2025</v>
      </c>
      <c r="J4345" t="str">
        <f t="shared" si="805"/>
        <v>29/09/2025</v>
      </c>
      <c r="K4345">
        <v>45932</v>
      </c>
      <c r="N4345">
        <v>109</v>
      </c>
      <c r="O4345" t="s">
        <v>24</v>
      </c>
      <c r="Q4345">
        <v>702.45</v>
      </c>
      <c r="R4345" t="str">
        <f>"DROGARIA ANA VISCONDE DO RIO BRANCO (10182)"</f>
        <v>DROGARIA ANA VISCONDE DO RIO BRANCO (10182)</v>
      </c>
      <c r="S4345" t="s">
        <v>77</v>
      </c>
      <c r="T4345">
        <v>19083</v>
      </c>
      <c r="U4345">
        <v>22689</v>
      </c>
      <c r="V4345" t="s">
        <v>77</v>
      </c>
    </row>
    <row r="4346" spans="1:22">
      <c r="A4346" t="str">
        <f t="shared" si="795"/>
        <v>02/10/2025</v>
      </c>
      <c r="B4346" t="str">
        <f t="shared" si="802"/>
        <v>SAÍDA</v>
      </c>
      <c r="C4346" t="str">
        <f t="shared" si="796"/>
        <v>PIX</v>
      </c>
      <c r="D4346" t="str">
        <f>"22690"</f>
        <v>22690</v>
      </c>
      <c r="E4346" t="str">
        <f t="shared" si="803"/>
        <v>1</v>
      </c>
      <c r="F4346" t="str">
        <f t="shared" si="804"/>
        <v>COM</v>
      </c>
      <c r="G4346" t="str">
        <f>"WASHINGTON VALERIO DE SOUZA (888)"</f>
        <v>WASHINGTON VALERIO DE SOUZA (888)</v>
      </c>
      <c r="H4346" t="str">
        <f>"Serv.Prest. 22/09/2025 a 28/09/2025 - PIX: CPF - CHAVE: 080.965.696-51"</f>
        <v>Serv.Prest. 22/09/2025 a 28/09/2025 - PIX: CPF - CHAVE: 080.965.696-51</v>
      </c>
      <c r="I4346" t="str">
        <f t="shared" si="797"/>
        <v>02/10/2025</v>
      </c>
      <c r="J4346" t="str">
        <f t="shared" si="805"/>
        <v>29/09/2025</v>
      </c>
      <c r="K4346" t="str">
        <f>("02/10/2025")</f>
        <v>02/10/2025</v>
      </c>
      <c r="L4346">
        <v>702.45</v>
      </c>
      <c r="M4346">
        <v>702.45</v>
      </c>
      <c r="N4346">
        <v>109</v>
      </c>
      <c r="O4346" t="str">
        <f>"PAGAMENTO DE ENTREGADORES"</f>
        <v>PAGAMENTO DE ENTREGADORES</v>
      </c>
      <c r="P4346">
        <v>702.45</v>
      </c>
      <c r="S4346" t="str">
        <f>"BANCO C6 (149)"</f>
        <v>BANCO C6 (149)</v>
      </c>
      <c r="T4346">
        <v>19084</v>
      </c>
      <c r="U4346">
        <v>22690</v>
      </c>
      <c r="V4346" t="s">
        <v>77</v>
      </c>
    </row>
    <row r="4347" spans="1:22">
      <c r="A4347" t="str">
        <f t="shared" si="795"/>
        <v>02/10/2025</v>
      </c>
      <c r="B4347" t="str">
        <f t="shared" si="802"/>
        <v>SAÍDA</v>
      </c>
      <c r="C4347" t="str">
        <f t="shared" si="796"/>
        <v>PIX</v>
      </c>
      <c r="D4347" t="str">
        <f>"22690"</f>
        <v>22690</v>
      </c>
      <c r="E4347" t="str">
        <f t="shared" si="803"/>
        <v>1</v>
      </c>
      <c r="F4347" t="str">
        <f t="shared" si="804"/>
        <v>COM</v>
      </c>
      <c r="G4347" t="str">
        <f>"WASHINGTON VALERIO DE SOUZA (888)"</f>
        <v>WASHINGTON VALERIO DE SOUZA (888)</v>
      </c>
      <c r="H4347" t="s">
        <v>1261</v>
      </c>
      <c r="I4347" t="str">
        <f t="shared" si="797"/>
        <v>02/10/2025</v>
      </c>
      <c r="J4347" t="str">
        <f t="shared" si="805"/>
        <v>29/09/2025</v>
      </c>
      <c r="K4347">
        <v>45932</v>
      </c>
      <c r="N4347">
        <v>109</v>
      </c>
      <c r="O4347" t="s">
        <v>24</v>
      </c>
      <c r="Q4347">
        <v>702.45</v>
      </c>
      <c r="R4347" t="str">
        <f>"DROGARIA ANA VISCONDE DO RIO BRANCO (10182)"</f>
        <v>DROGARIA ANA VISCONDE DO RIO BRANCO (10182)</v>
      </c>
      <c r="S4347" t="s">
        <v>77</v>
      </c>
      <c r="T4347">
        <v>19084</v>
      </c>
      <c r="U4347">
        <v>22690</v>
      </c>
      <c r="V4347" t="s">
        <v>77</v>
      </c>
    </row>
    <row r="4348" spans="1:22">
      <c r="A4348" t="str">
        <f t="shared" ref="A4348:A4411" si="806">("02/10/2025")</f>
        <v>02/10/2025</v>
      </c>
      <c r="B4348" t="str">
        <f t="shared" si="802"/>
        <v>SAÍDA</v>
      </c>
      <c r="C4348" t="str">
        <f t="shared" ref="C4348:C4411" si="807">"PIX"</f>
        <v>PIX</v>
      </c>
      <c r="D4348" t="str">
        <f>"22693"</f>
        <v>22693</v>
      </c>
      <c r="E4348" t="str">
        <f t="shared" si="803"/>
        <v>1</v>
      </c>
      <c r="F4348" t="str">
        <f t="shared" si="804"/>
        <v>COM</v>
      </c>
      <c r="G4348" t="str">
        <f>"SAMUEL SOARES DA SILVA (867)"</f>
        <v>SAMUEL SOARES DA SILVA (867)</v>
      </c>
      <c r="H4348" t="str">
        <f>"Serv.Prest. 22/09/2025 a 28/09/2025 - PIX: CPF - CHAVE: 396.124.108-28"</f>
        <v>Serv.Prest. 22/09/2025 a 28/09/2025 - PIX: CPF - CHAVE: 396.124.108-28</v>
      </c>
      <c r="I4348" t="str">
        <f t="shared" ref="I4348:I4411" si="808">("02/10/2025")</f>
        <v>02/10/2025</v>
      </c>
      <c r="J4348" t="str">
        <f t="shared" si="805"/>
        <v>29/09/2025</v>
      </c>
      <c r="K4348" t="str">
        <f>("02/10/2025")</f>
        <v>02/10/2025</v>
      </c>
      <c r="L4348">
        <v>1407</v>
      </c>
      <c r="M4348">
        <v>1407</v>
      </c>
      <c r="N4348">
        <v>109</v>
      </c>
      <c r="O4348" t="str">
        <f>"PAGAMENTO DE ENTREGADORES"</f>
        <v>PAGAMENTO DE ENTREGADORES</v>
      </c>
      <c r="P4348">
        <v>1407</v>
      </c>
      <c r="S4348" t="str">
        <f>"BANCO C6 (149)"</f>
        <v>BANCO C6 (149)</v>
      </c>
      <c r="T4348">
        <v>19085</v>
      </c>
      <c r="U4348">
        <v>22693</v>
      </c>
      <c r="V4348" t="s">
        <v>77</v>
      </c>
    </row>
    <row r="4349" spans="1:22">
      <c r="A4349" t="str">
        <f t="shared" si="806"/>
        <v>02/10/2025</v>
      </c>
      <c r="B4349" t="str">
        <f t="shared" si="802"/>
        <v>SAÍDA</v>
      </c>
      <c r="C4349" t="str">
        <f t="shared" si="807"/>
        <v>PIX</v>
      </c>
      <c r="D4349" t="str">
        <f>"22693"</f>
        <v>22693</v>
      </c>
      <c r="E4349" t="str">
        <f t="shared" si="803"/>
        <v>1</v>
      </c>
      <c r="F4349" t="str">
        <f t="shared" si="804"/>
        <v>COM</v>
      </c>
      <c r="G4349" t="str">
        <f>"SAMUEL SOARES DA SILVA (867)"</f>
        <v>SAMUEL SOARES DA SILVA (867)</v>
      </c>
      <c r="H4349" t="s">
        <v>1262</v>
      </c>
      <c r="I4349" t="str">
        <f t="shared" si="808"/>
        <v>02/10/2025</v>
      </c>
      <c r="J4349" t="str">
        <f t="shared" si="805"/>
        <v>29/09/2025</v>
      </c>
      <c r="K4349">
        <v>45932</v>
      </c>
      <c r="N4349">
        <v>109</v>
      </c>
      <c r="O4349" t="s">
        <v>24</v>
      </c>
      <c r="Q4349">
        <v>1407</v>
      </c>
      <c r="R4349" t="str">
        <f>"DROGA ELIDA (10121)"</f>
        <v>DROGA ELIDA (10121)</v>
      </c>
      <c r="S4349" t="s">
        <v>77</v>
      </c>
      <c r="T4349">
        <v>19085</v>
      </c>
      <c r="U4349">
        <v>22693</v>
      </c>
      <c r="V4349" t="s">
        <v>77</v>
      </c>
    </row>
    <row r="4350" spans="1:22">
      <c r="A4350" t="str">
        <f t="shared" si="806"/>
        <v>02/10/2025</v>
      </c>
      <c r="B4350" t="str">
        <f t="shared" si="802"/>
        <v>SAÍDA</v>
      </c>
      <c r="C4350" t="str">
        <f t="shared" si="807"/>
        <v>PIX</v>
      </c>
      <c r="D4350" t="str">
        <f>"22695"</f>
        <v>22695</v>
      </c>
      <c r="E4350" t="str">
        <f t="shared" si="803"/>
        <v>1</v>
      </c>
      <c r="F4350" t="str">
        <f t="shared" si="804"/>
        <v>COM</v>
      </c>
      <c r="G4350" t="str">
        <f>"BRENO HENRIQUE DE SOUSA (596)"</f>
        <v>BRENO HENRIQUE DE SOUSA (596)</v>
      </c>
      <c r="H4350" t="str">
        <f>"Serv.Prest. 22/09/2025 a 28/09/2025 - PIX: CELULAR - CHAVE: (37) 99146-2630"</f>
        <v>Serv.Prest. 22/09/2025 a 28/09/2025 - PIX: CELULAR - CHAVE: (37) 99146-2630</v>
      </c>
      <c r="I4350" t="str">
        <f t="shared" si="808"/>
        <v>02/10/2025</v>
      </c>
      <c r="J4350" t="str">
        <f t="shared" si="805"/>
        <v>29/09/2025</v>
      </c>
      <c r="K4350" t="str">
        <f>("02/10/2025")</f>
        <v>02/10/2025</v>
      </c>
      <c r="L4350">
        <v>1080</v>
      </c>
      <c r="M4350">
        <v>1080</v>
      </c>
      <c r="N4350">
        <v>109</v>
      </c>
      <c r="O4350" t="str">
        <f>"PAGAMENTO DE ENTREGADORES"</f>
        <v>PAGAMENTO DE ENTREGADORES</v>
      </c>
      <c r="P4350">
        <v>1080</v>
      </c>
      <c r="S4350" t="str">
        <f>"BANCO C6 (149)"</f>
        <v>BANCO C6 (149)</v>
      </c>
      <c r="T4350">
        <v>19086</v>
      </c>
      <c r="U4350">
        <v>22695</v>
      </c>
      <c r="V4350" t="s">
        <v>77</v>
      </c>
    </row>
    <row r="4351" spans="1:22">
      <c r="A4351" t="str">
        <f t="shared" si="806"/>
        <v>02/10/2025</v>
      </c>
      <c r="B4351" t="str">
        <f t="shared" ref="B4351:B4382" si="809">"SAÍDA"</f>
        <v>SAÍDA</v>
      </c>
      <c r="C4351" t="str">
        <f t="shared" si="807"/>
        <v>PIX</v>
      </c>
      <c r="D4351" t="str">
        <f>"22695"</f>
        <v>22695</v>
      </c>
      <c r="E4351" t="str">
        <f t="shared" si="803"/>
        <v>1</v>
      </c>
      <c r="F4351" t="str">
        <f t="shared" si="804"/>
        <v>COM</v>
      </c>
      <c r="G4351" t="str">
        <f>"BRENO HENRIQUE DE SOUSA (596)"</f>
        <v>BRENO HENRIQUE DE SOUSA (596)</v>
      </c>
      <c r="H4351" t="s">
        <v>1263</v>
      </c>
      <c r="I4351" t="str">
        <f t="shared" si="808"/>
        <v>02/10/2025</v>
      </c>
      <c r="J4351" t="str">
        <f t="shared" si="805"/>
        <v>29/09/2025</v>
      </c>
      <c r="K4351">
        <v>45932</v>
      </c>
      <c r="N4351">
        <v>109</v>
      </c>
      <c r="O4351" t="s">
        <v>24</v>
      </c>
      <c r="Q4351">
        <v>1080</v>
      </c>
      <c r="R4351" t="str">
        <f>"DROGARIA POUPA MINAS (ULTRAMINAS) 1 (10181)"</f>
        <v>DROGARIA POUPA MINAS (ULTRAMINAS) 1 (10181)</v>
      </c>
      <c r="S4351" t="s">
        <v>77</v>
      </c>
      <c r="T4351">
        <v>19086</v>
      </c>
      <c r="U4351">
        <v>22695</v>
      </c>
      <c r="V4351" t="s">
        <v>77</v>
      </c>
    </row>
    <row r="4352" spans="1:22">
      <c r="A4352" t="str">
        <f t="shared" si="806"/>
        <v>02/10/2025</v>
      </c>
      <c r="B4352" t="str">
        <f t="shared" si="809"/>
        <v>SAÍDA</v>
      </c>
      <c r="C4352" t="str">
        <f t="shared" si="807"/>
        <v>PIX</v>
      </c>
      <c r="D4352" t="str">
        <f>"22696"</f>
        <v>22696</v>
      </c>
      <c r="E4352" t="str">
        <f t="shared" si="803"/>
        <v>1</v>
      </c>
      <c r="F4352" t="str">
        <f t="shared" si="804"/>
        <v>COM</v>
      </c>
      <c r="G4352" t="str">
        <f>"LUIZ PAULO DE OLIVEIRA (712)"</f>
        <v>LUIZ PAULO DE OLIVEIRA (712)</v>
      </c>
      <c r="H4352" t="str">
        <f>"Serv.Prest. 22/09/2025 a 28/09/2025 - PIX: CPF - CHAVE: 090.332.006-19"</f>
        <v>Serv.Prest. 22/09/2025 a 28/09/2025 - PIX: CPF - CHAVE: 090.332.006-19</v>
      </c>
      <c r="I4352" t="str">
        <f t="shared" si="808"/>
        <v>02/10/2025</v>
      </c>
      <c r="J4352" t="str">
        <f t="shared" si="805"/>
        <v>29/09/2025</v>
      </c>
      <c r="K4352" t="str">
        <f>("02/10/2025")</f>
        <v>02/10/2025</v>
      </c>
      <c r="L4352">
        <v>1080</v>
      </c>
      <c r="M4352">
        <v>1080</v>
      </c>
      <c r="N4352">
        <v>109</v>
      </c>
      <c r="O4352" t="str">
        <f>"PAGAMENTO DE ENTREGADORES"</f>
        <v>PAGAMENTO DE ENTREGADORES</v>
      </c>
      <c r="P4352">
        <v>1080</v>
      </c>
      <c r="S4352" t="str">
        <f>"BANCO C6 (149)"</f>
        <v>BANCO C6 (149)</v>
      </c>
      <c r="T4352">
        <v>19087</v>
      </c>
      <c r="U4352">
        <v>22696</v>
      </c>
      <c r="V4352" t="s">
        <v>77</v>
      </c>
    </row>
    <row r="4353" spans="1:22">
      <c r="A4353" t="str">
        <f t="shared" si="806"/>
        <v>02/10/2025</v>
      </c>
      <c r="B4353" t="str">
        <f t="shared" si="809"/>
        <v>SAÍDA</v>
      </c>
      <c r="C4353" t="str">
        <f t="shared" si="807"/>
        <v>PIX</v>
      </c>
      <c r="D4353" t="str">
        <f>"22696"</f>
        <v>22696</v>
      </c>
      <c r="E4353" t="str">
        <f t="shared" si="803"/>
        <v>1</v>
      </c>
      <c r="F4353" t="str">
        <f t="shared" si="804"/>
        <v>COM</v>
      </c>
      <c r="G4353" t="str">
        <f>"LUIZ PAULO DE OLIVEIRA (712)"</f>
        <v>LUIZ PAULO DE OLIVEIRA (712)</v>
      </c>
      <c r="H4353" t="s">
        <v>1264</v>
      </c>
      <c r="I4353" t="str">
        <f t="shared" si="808"/>
        <v>02/10/2025</v>
      </c>
      <c r="J4353" t="str">
        <f t="shared" si="805"/>
        <v>29/09/2025</v>
      </c>
      <c r="K4353">
        <v>45932</v>
      </c>
      <c r="N4353">
        <v>109</v>
      </c>
      <c r="O4353" t="s">
        <v>24</v>
      </c>
      <c r="Q4353">
        <v>1080</v>
      </c>
      <c r="R4353" t="str">
        <f>"DROGARIA POUPA MINAS (ULTRAMINAS) 1 (10181)"</f>
        <v>DROGARIA POUPA MINAS (ULTRAMINAS) 1 (10181)</v>
      </c>
      <c r="S4353" t="s">
        <v>77</v>
      </c>
      <c r="T4353">
        <v>19087</v>
      </c>
      <c r="U4353">
        <v>22696</v>
      </c>
      <c r="V4353" t="s">
        <v>77</v>
      </c>
    </row>
    <row r="4354" spans="1:22">
      <c r="A4354" t="str">
        <f t="shared" si="806"/>
        <v>02/10/2025</v>
      </c>
      <c r="B4354" t="str">
        <f t="shared" si="809"/>
        <v>SAÍDA</v>
      </c>
      <c r="C4354" t="str">
        <f t="shared" si="807"/>
        <v>PIX</v>
      </c>
      <c r="D4354" t="str">
        <f>"22697"</f>
        <v>22697</v>
      </c>
      <c r="E4354" t="str">
        <f t="shared" si="803"/>
        <v>1</v>
      </c>
      <c r="F4354" t="str">
        <f t="shared" si="804"/>
        <v>COM</v>
      </c>
      <c r="G4354" t="str">
        <f>"RICHARD HENRIQUE DA SILVA (244)"</f>
        <v>RICHARD HENRIQUE DA SILVA (244)</v>
      </c>
      <c r="H4354" t="str">
        <f>"Serv.Prest. 22/09/2025 a 28/09/2025 - PIX: CELULAR - CHAVE: (37) 99197-6834"</f>
        <v>Serv.Prest. 22/09/2025 a 28/09/2025 - PIX: CELULAR - CHAVE: (37) 99197-6834</v>
      </c>
      <c r="I4354" t="str">
        <f t="shared" si="808"/>
        <v>02/10/2025</v>
      </c>
      <c r="J4354" t="str">
        <f t="shared" si="805"/>
        <v>29/09/2025</v>
      </c>
      <c r="K4354" t="str">
        <f>("02/10/2025")</f>
        <v>02/10/2025</v>
      </c>
      <c r="L4354">
        <v>1668</v>
      </c>
      <c r="M4354">
        <v>1668</v>
      </c>
      <c r="N4354">
        <v>109</v>
      </c>
      <c r="O4354" t="str">
        <f>"PAGAMENTO DE ENTREGADORES"</f>
        <v>PAGAMENTO DE ENTREGADORES</v>
      </c>
      <c r="P4354">
        <v>1668</v>
      </c>
      <c r="S4354" t="str">
        <f>"BANCO C6 (149)"</f>
        <v>BANCO C6 (149)</v>
      </c>
      <c r="T4354">
        <v>19088</v>
      </c>
      <c r="U4354">
        <v>22697</v>
      </c>
      <c r="V4354" t="s">
        <v>77</v>
      </c>
    </row>
    <row r="4355" spans="1:22">
      <c r="A4355" t="str">
        <f t="shared" si="806"/>
        <v>02/10/2025</v>
      </c>
      <c r="B4355" t="str">
        <f t="shared" si="809"/>
        <v>SAÍDA</v>
      </c>
      <c r="C4355" t="str">
        <f t="shared" si="807"/>
        <v>PIX</v>
      </c>
      <c r="D4355" t="str">
        <f>"22697"</f>
        <v>22697</v>
      </c>
      <c r="E4355" t="str">
        <f t="shared" si="803"/>
        <v>1</v>
      </c>
      <c r="F4355" t="str">
        <f t="shared" si="804"/>
        <v>COM</v>
      </c>
      <c r="G4355" t="str">
        <f>"RICHARD HENRIQUE DA SILVA (244)"</f>
        <v>RICHARD HENRIQUE DA SILVA (244)</v>
      </c>
      <c r="H4355" t="s">
        <v>1265</v>
      </c>
      <c r="I4355" t="str">
        <f t="shared" si="808"/>
        <v>02/10/2025</v>
      </c>
      <c r="J4355" t="str">
        <f t="shared" si="805"/>
        <v>29/09/2025</v>
      </c>
      <c r="K4355">
        <v>45932</v>
      </c>
      <c r="N4355">
        <v>109</v>
      </c>
      <c r="O4355" t="s">
        <v>24</v>
      </c>
      <c r="Q4355">
        <v>1668</v>
      </c>
      <c r="R4355" t="str">
        <f>"DROGARIA POUPA MINAS (ULTRAMINAS) 1 (10181)"</f>
        <v>DROGARIA POUPA MINAS (ULTRAMINAS) 1 (10181)</v>
      </c>
      <c r="S4355" t="s">
        <v>77</v>
      </c>
      <c r="T4355">
        <v>19088</v>
      </c>
      <c r="U4355">
        <v>22697</v>
      </c>
      <c r="V4355" t="s">
        <v>77</v>
      </c>
    </row>
    <row r="4356" spans="1:22">
      <c r="A4356" t="str">
        <f t="shared" si="806"/>
        <v>02/10/2025</v>
      </c>
      <c r="B4356" t="str">
        <f t="shared" si="809"/>
        <v>SAÍDA</v>
      </c>
      <c r="C4356" t="str">
        <f t="shared" si="807"/>
        <v>PIX</v>
      </c>
      <c r="D4356" t="str">
        <f>"22698"</f>
        <v>22698</v>
      </c>
      <c r="E4356" t="str">
        <f t="shared" si="803"/>
        <v>1</v>
      </c>
      <c r="F4356" t="str">
        <f t="shared" si="804"/>
        <v>COM</v>
      </c>
      <c r="G4356" t="str">
        <f>"ROGERIO AUGUSTO FERREIRA (649)"</f>
        <v>ROGERIO AUGUSTO FERREIRA (649)</v>
      </c>
      <c r="H4356" t="str">
        <f>"Serv.Prest. 22/09/2025 a 28/09/2025 - PIX: CPF - CHAVE: 950.176.406-06"</f>
        <v>Serv.Prest. 22/09/2025 a 28/09/2025 - PIX: CPF - CHAVE: 950.176.406-06</v>
      </c>
      <c r="I4356" t="str">
        <f t="shared" si="808"/>
        <v>02/10/2025</v>
      </c>
      <c r="J4356" t="str">
        <f t="shared" si="805"/>
        <v>29/09/2025</v>
      </c>
      <c r="K4356" t="str">
        <f>("02/10/2025")</f>
        <v>02/10/2025</v>
      </c>
      <c r="L4356">
        <v>1080</v>
      </c>
      <c r="M4356">
        <v>1080</v>
      </c>
      <c r="N4356">
        <v>109</v>
      </c>
      <c r="O4356" t="str">
        <f>"PAGAMENTO DE ENTREGADORES"</f>
        <v>PAGAMENTO DE ENTREGADORES</v>
      </c>
      <c r="P4356">
        <v>1080</v>
      </c>
      <c r="S4356" t="str">
        <f>"BANCO C6 (149)"</f>
        <v>BANCO C6 (149)</v>
      </c>
      <c r="T4356">
        <v>19089</v>
      </c>
      <c r="U4356">
        <v>22698</v>
      </c>
      <c r="V4356" t="s">
        <v>77</v>
      </c>
    </row>
    <row r="4357" spans="1:22">
      <c r="A4357" t="str">
        <f t="shared" si="806"/>
        <v>02/10/2025</v>
      </c>
      <c r="B4357" t="str">
        <f t="shared" si="809"/>
        <v>SAÍDA</v>
      </c>
      <c r="C4357" t="str">
        <f t="shared" si="807"/>
        <v>PIX</v>
      </c>
      <c r="D4357" t="str">
        <f>"22698"</f>
        <v>22698</v>
      </c>
      <c r="E4357" t="str">
        <f t="shared" si="803"/>
        <v>1</v>
      </c>
      <c r="F4357" t="str">
        <f t="shared" si="804"/>
        <v>COM</v>
      </c>
      <c r="G4357" t="str">
        <f>"ROGERIO AUGUSTO FERREIRA (649)"</f>
        <v>ROGERIO AUGUSTO FERREIRA (649)</v>
      </c>
      <c r="H4357" t="s">
        <v>1266</v>
      </c>
      <c r="I4357" t="str">
        <f t="shared" si="808"/>
        <v>02/10/2025</v>
      </c>
      <c r="J4357" t="str">
        <f t="shared" si="805"/>
        <v>29/09/2025</v>
      </c>
      <c r="K4357">
        <v>45932</v>
      </c>
      <c r="N4357">
        <v>109</v>
      </c>
      <c r="O4357" t="s">
        <v>24</v>
      </c>
      <c r="Q4357">
        <v>1080</v>
      </c>
      <c r="R4357" t="str">
        <f>"DROGARIA POUPA MINAS (ULTRAMINAS) 1 (10181)"</f>
        <v>DROGARIA POUPA MINAS (ULTRAMINAS) 1 (10181)</v>
      </c>
      <c r="S4357" t="s">
        <v>77</v>
      </c>
      <c r="T4357">
        <v>19089</v>
      </c>
      <c r="U4357">
        <v>22698</v>
      </c>
      <c r="V4357" t="s">
        <v>77</v>
      </c>
    </row>
    <row r="4358" spans="1:22">
      <c r="A4358" t="str">
        <f t="shared" si="806"/>
        <v>02/10/2025</v>
      </c>
      <c r="B4358" t="str">
        <f t="shared" si="809"/>
        <v>SAÍDA</v>
      </c>
      <c r="C4358" t="str">
        <f t="shared" si="807"/>
        <v>PIX</v>
      </c>
      <c r="D4358" t="str">
        <f>"22699"</f>
        <v>22699</v>
      </c>
      <c r="E4358" t="str">
        <f t="shared" si="803"/>
        <v>1</v>
      </c>
      <c r="F4358" t="str">
        <f t="shared" si="804"/>
        <v>COM</v>
      </c>
      <c r="G4358" t="str">
        <f>"THALES VINÍCIUS RODRIGUES DE OLIVEIRA (704)"</f>
        <v>THALES VINÍCIUS RODRIGUES DE OLIVEIRA (704)</v>
      </c>
      <c r="H4358" t="str">
        <f>"Serv.Prest. 22/09/2025 a 28/09/2025 - PIX: CELULAR - CHAVE: (37) 99138-1777"</f>
        <v>Serv.Prest. 22/09/2025 a 28/09/2025 - PIX: CELULAR - CHAVE: (37) 99138-1777</v>
      </c>
      <c r="I4358" t="str">
        <f t="shared" si="808"/>
        <v>02/10/2025</v>
      </c>
      <c r="J4358" t="str">
        <f t="shared" si="805"/>
        <v>29/09/2025</v>
      </c>
      <c r="K4358" t="str">
        <f>("02/10/2025")</f>
        <v>02/10/2025</v>
      </c>
      <c r="L4358">
        <v>1104</v>
      </c>
      <c r="M4358">
        <v>1104</v>
      </c>
      <c r="N4358">
        <v>109</v>
      </c>
      <c r="O4358" t="str">
        <f>"PAGAMENTO DE ENTREGADORES"</f>
        <v>PAGAMENTO DE ENTREGADORES</v>
      </c>
      <c r="P4358">
        <v>1104</v>
      </c>
      <c r="S4358" t="str">
        <f>"BANCO C6 (149)"</f>
        <v>BANCO C6 (149)</v>
      </c>
      <c r="T4358">
        <v>19090</v>
      </c>
      <c r="U4358">
        <v>22699</v>
      </c>
      <c r="V4358" t="s">
        <v>77</v>
      </c>
    </row>
    <row r="4359" spans="1:22">
      <c r="A4359" t="str">
        <f t="shared" si="806"/>
        <v>02/10/2025</v>
      </c>
      <c r="B4359" t="str">
        <f t="shared" si="809"/>
        <v>SAÍDA</v>
      </c>
      <c r="C4359" t="str">
        <f t="shared" si="807"/>
        <v>PIX</v>
      </c>
      <c r="D4359" t="str">
        <f>"22699"</f>
        <v>22699</v>
      </c>
      <c r="E4359" t="str">
        <f t="shared" si="803"/>
        <v>1</v>
      </c>
      <c r="F4359" t="str">
        <f t="shared" si="804"/>
        <v>COM</v>
      </c>
      <c r="G4359" t="str">
        <f>"THALES VINÍCIUS RODRIGUES DE OLIVEIRA (704)"</f>
        <v>THALES VINÍCIUS RODRIGUES DE OLIVEIRA (704)</v>
      </c>
      <c r="H4359" t="s">
        <v>1267</v>
      </c>
      <c r="I4359" t="str">
        <f t="shared" si="808"/>
        <v>02/10/2025</v>
      </c>
      <c r="J4359" t="str">
        <f t="shared" si="805"/>
        <v>29/09/2025</v>
      </c>
      <c r="K4359">
        <v>45932</v>
      </c>
      <c r="N4359">
        <v>109</v>
      </c>
      <c r="O4359" t="s">
        <v>24</v>
      </c>
      <c r="Q4359">
        <v>1104</v>
      </c>
      <c r="R4359" t="str">
        <f>"DROGARIA POUPA MINAS (ULTRAMINAS) 1 (10181)"</f>
        <v>DROGARIA POUPA MINAS (ULTRAMINAS) 1 (10181)</v>
      </c>
      <c r="S4359" t="s">
        <v>77</v>
      </c>
      <c r="T4359">
        <v>19090</v>
      </c>
      <c r="U4359">
        <v>22699</v>
      </c>
      <c r="V4359" t="s">
        <v>77</v>
      </c>
    </row>
    <row r="4360" spans="1:22">
      <c r="A4360" t="str">
        <f t="shared" si="806"/>
        <v>02/10/2025</v>
      </c>
      <c r="B4360" t="str">
        <f t="shared" si="809"/>
        <v>SAÍDA</v>
      </c>
      <c r="C4360" t="str">
        <f t="shared" si="807"/>
        <v>PIX</v>
      </c>
      <c r="D4360" t="str">
        <f>"22700"</f>
        <v>22700</v>
      </c>
      <c r="E4360" t="str">
        <f t="shared" si="803"/>
        <v>1</v>
      </c>
      <c r="F4360" t="str">
        <f t="shared" si="804"/>
        <v>COM</v>
      </c>
      <c r="G4360" t="str">
        <f>"TIAGO VIEIRA (372)"</f>
        <v>TIAGO VIEIRA (372)</v>
      </c>
      <c r="H4360" t="str">
        <f>"Serv.Prest. 22/09/2025 a 28/09/2025 - PIX: CELULAR - CHAVE: (37) 98841-8571"</f>
        <v>Serv.Prest. 22/09/2025 a 28/09/2025 - PIX: CELULAR - CHAVE: (37) 98841-8571</v>
      </c>
      <c r="I4360" t="str">
        <f t="shared" si="808"/>
        <v>02/10/2025</v>
      </c>
      <c r="J4360" t="str">
        <f t="shared" si="805"/>
        <v>29/09/2025</v>
      </c>
      <c r="K4360" t="str">
        <f>("02/10/2025")</f>
        <v>02/10/2025</v>
      </c>
      <c r="L4360">
        <v>540</v>
      </c>
      <c r="M4360">
        <v>540</v>
      </c>
      <c r="N4360">
        <v>109</v>
      </c>
      <c r="O4360" t="str">
        <f>"PAGAMENTO DE ENTREGADORES"</f>
        <v>PAGAMENTO DE ENTREGADORES</v>
      </c>
      <c r="P4360">
        <v>540</v>
      </c>
      <c r="S4360" t="str">
        <f>"BANCO C6 (149)"</f>
        <v>BANCO C6 (149)</v>
      </c>
      <c r="T4360">
        <v>19091</v>
      </c>
      <c r="U4360">
        <v>22700</v>
      </c>
      <c r="V4360" t="s">
        <v>77</v>
      </c>
    </row>
    <row r="4361" spans="1:22">
      <c r="A4361" t="str">
        <f t="shared" si="806"/>
        <v>02/10/2025</v>
      </c>
      <c r="B4361" t="str">
        <f t="shared" si="809"/>
        <v>SAÍDA</v>
      </c>
      <c r="C4361" t="str">
        <f t="shared" si="807"/>
        <v>PIX</v>
      </c>
      <c r="D4361" t="str">
        <f>"22700"</f>
        <v>22700</v>
      </c>
      <c r="E4361" t="str">
        <f t="shared" ref="E4361:E4392" si="810">"1"</f>
        <v>1</v>
      </c>
      <c r="F4361" t="str">
        <f t="shared" si="804"/>
        <v>COM</v>
      </c>
      <c r="G4361" t="str">
        <f>"TIAGO VIEIRA (372)"</f>
        <v>TIAGO VIEIRA (372)</v>
      </c>
      <c r="H4361" t="s">
        <v>1268</v>
      </c>
      <c r="I4361" t="str">
        <f t="shared" si="808"/>
        <v>02/10/2025</v>
      </c>
      <c r="J4361" t="str">
        <f t="shared" si="805"/>
        <v>29/09/2025</v>
      </c>
      <c r="K4361">
        <v>45932</v>
      </c>
      <c r="N4361">
        <v>109</v>
      </c>
      <c r="O4361" t="s">
        <v>24</v>
      </c>
      <c r="Q4361">
        <v>540</v>
      </c>
      <c r="R4361" t="str">
        <f>"DROGARIA POUPA MINAS (ULTRAMINAS) 1 (10181)"</f>
        <v>DROGARIA POUPA MINAS (ULTRAMINAS) 1 (10181)</v>
      </c>
      <c r="S4361" t="s">
        <v>77</v>
      </c>
      <c r="T4361">
        <v>19091</v>
      </c>
      <c r="U4361">
        <v>22700</v>
      </c>
      <c r="V4361" t="s">
        <v>77</v>
      </c>
    </row>
    <row r="4362" spans="1:22">
      <c r="A4362" t="str">
        <f t="shared" si="806"/>
        <v>02/10/2025</v>
      </c>
      <c r="B4362" t="str">
        <f t="shared" si="809"/>
        <v>SAÍDA</v>
      </c>
      <c r="C4362" t="str">
        <f t="shared" si="807"/>
        <v>PIX</v>
      </c>
      <c r="D4362" t="str">
        <f>"22702"</f>
        <v>22702</v>
      </c>
      <c r="E4362" t="str">
        <f t="shared" si="810"/>
        <v>1</v>
      </c>
      <c r="F4362" t="str">
        <f t="shared" si="804"/>
        <v>COM</v>
      </c>
      <c r="G4362" t="str">
        <f>"ELIO CALDEIRA RIBEIRO JUNIOR (840)"</f>
        <v>ELIO CALDEIRA RIBEIRO JUNIOR (840)</v>
      </c>
      <c r="H4362" t="str">
        <f>"Serv.Prest. 22/09/2025 a 28/09/2025 - PIX: CPF - CHAVE: 463.491.858-70"</f>
        <v>Serv.Prest. 22/09/2025 a 28/09/2025 - PIX: CPF - CHAVE: 463.491.858-70</v>
      </c>
      <c r="I4362" t="str">
        <f t="shared" si="808"/>
        <v>02/10/2025</v>
      </c>
      <c r="J4362" t="str">
        <f t="shared" si="805"/>
        <v>29/09/2025</v>
      </c>
      <c r="K4362" t="str">
        <f>("02/10/2025")</f>
        <v>02/10/2025</v>
      </c>
      <c r="L4362">
        <v>861</v>
      </c>
      <c r="M4362">
        <v>861</v>
      </c>
      <c r="N4362">
        <v>109</v>
      </c>
      <c r="O4362" t="str">
        <f>"PAGAMENTO DE ENTREGADORES"</f>
        <v>PAGAMENTO DE ENTREGADORES</v>
      </c>
      <c r="P4362">
        <v>861</v>
      </c>
      <c r="S4362" t="str">
        <f>"BANCO C6 (149)"</f>
        <v>BANCO C6 (149)</v>
      </c>
      <c r="T4362">
        <v>19092</v>
      </c>
      <c r="U4362">
        <v>22702</v>
      </c>
      <c r="V4362" t="s">
        <v>77</v>
      </c>
    </row>
    <row r="4363" spans="1:22">
      <c r="A4363" t="str">
        <f t="shared" si="806"/>
        <v>02/10/2025</v>
      </c>
      <c r="B4363" t="str">
        <f t="shared" si="809"/>
        <v>SAÍDA</v>
      </c>
      <c r="C4363" t="str">
        <f t="shared" si="807"/>
        <v>PIX</v>
      </c>
      <c r="D4363" t="str">
        <f>"22702"</f>
        <v>22702</v>
      </c>
      <c r="E4363" t="str">
        <f t="shared" si="810"/>
        <v>1</v>
      </c>
      <c r="F4363" t="str">
        <f t="shared" si="804"/>
        <v>COM</v>
      </c>
      <c r="G4363" t="str">
        <f>"ELIO CALDEIRA RIBEIRO JUNIOR (840)"</f>
        <v>ELIO CALDEIRA RIBEIRO JUNIOR (840)</v>
      </c>
      <c r="H4363" t="s">
        <v>1269</v>
      </c>
      <c r="I4363" t="str">
        <f t="shared" si="808"/>
        <v>02/10/2025</v>
      </c>
      <c r="J4363" t="str">
        <f t="shared" si="805"/>
        <v>29/09/2025</v>
      </c>
      <c r="K4363">
        <v>45932</v>
      </c>
      <c r="N4363">
        <v>109</v>
      </c>
      <c r="O4363" t="s">
        <v>24</v>
      </c>
      <c r="Q4363">
        <v>861</v>
      </c>
      <c r="R4363" t="str">
        <f>"DROGARIA MEDIC CENTER LTDA (10172)"</f>
        <v>DROGARIA MEDIC CENTER LTDA (10172)</v>
      </c>
      <c r="S4363" t="s">
        <v>77</v>
      </c>
      <c r="T4363">
        <v>19092</v>
      </c>
      <c r="U4363">
        <v>22702</v>
      </c>
      <c r="V4363" t="s">
        <v>77</v>
      </c>
    </row>
    <row r="4364" spans="1:22">
      <c r="A4364" t="str">
        <f t="shared" si="806"/>
        <v>02/10/2025</v>
      </c>
      <c r="B4364" t="str">
        <f t="shared" si="809"/>
        <v>SAÍDA</v>
      </c>
      <c r="C4364" t="str">
        <f t="shared" si="807"/>
        <v>PIX</v>
      </c>
      <c r="D4364" t="str">
        <f>"22706"</f>
        <v>22706</v>
      </c>
      <c r="E4364" t="str">
        <f t="shared" si="810"/>
        <v>1</v>
      </c>
      <c r="F4364" t="str">
        <f t="shared" si="804"/>
        <v>COM</v>
      </c>
      <c r="G4364" t="str">
        <f>"ALLAN SILVA DAMACENA (790)"</f>
        <v>ALLAN SILVA DAMACENA (790)</v>
      </c>
      <c r="H4364" t="str">
        <f>"Serv.Prest. 22/09/2025 a 28/09/2025 - PIX: CELULAR - CHAVE: (19) 98944-4977"</f>
        <v>Serv.Prest. 22/09/2025 a 28/09/2025 - PIX: CELULAR - CHAVE: (19) 98944-4977</v>
      </c>
      <c r="I4364" t="str">
        <f t="shared" si="808"/>
        <v>02/10/2025</v>
      </c>
      <c r="J4364" t="str">
        <f t="shared" si="805"/>
        <v>29/09/2025</v>
      </c>
      <c r="K4364" t="str">
        <f>("02/10/2025")</f>
        <v>02/10/2025</v>
      </c>
      <c r="L4364">
        <v>691</v>
      </c>
      <c r="M4364">
        <v>691</v>
      </c>
      <c r="N4364">
        <v>109</v>
      </c>
      <c r="O4364" t="str">
        <f>"PAGAMENTO DE ENTREGADORES"</f>
        <v>PAGAMENTO DE ENTREGADORES</v>
      </c>
      <c r="P4364">
        <v>691</v>
      </c>
      <c r="S4364" t="str">
        <f>"BANCO C6 (149)"</f>
        <v>BANCO C6 (149)</v>
      </c>
      <c r="T4364">
        <v>19093</v>
      </c>
      <c r="U4364">
        <v>22706</v>
      </c>
      <c r="V4364" t="s">
        <v>77</v>
      </c>
    </row>
    <row r="4365" spans="1:22">
      <c r="A4365" t="str">
        <f t="shared" si="806"/>
        <v>02/10/2025</v>
      </c>
      <c r="B4365" t="str">
        <f t="shared" si="809"/>
        <v>SAÍDA</v>
      </c>
      <c r="C4365" t="str">
        <f t="shared" si="807"/>
        <v>PIX</v>
      </c>
      <c r="D4365" t="str">
        <f>"22706"</f>
        <v>22706</v>
      </c>
      <c r="E4365" t="str">
        <f t="shared" si="810"/>
        <v>1</v>
      </c>
      <c r="F4365" t="str">
        <f t="shared" si="804"/>
        <v>COM</v>
      </c>
      <c r="G4365" t="str">
        <f>"ALLAN SILVA DAMACENA (790)"</f>
        <v>ALLAN SILVA DAMACENA (790)</v>
      </c>
      <c r="H4365" t="s">
        <v>1082</v>
      </c>
      <c r="I4365" t="str">
        <f t="shared" si="808"/>
        <v>02/10/2025</v>
      </c>
      <c r="J4365" t="str">
        <f t="shared" si="805"/>
        <v>29/09/2025</v>
      </c>
      <c r="K4365">
        <v>45932</v>
      </c>
      <c r="N4365">
        <v>109</v>
      </c>
      <c r="O4365" t="s">
        <v>24</v>
      </c>
      <c r="Q4365">
        <v>691</v>
      </c>
      <c r="R4365" t="str">
        <f>"DROGARIA MORENO LTDA (10171)"</f>
        <v>DROGARIA MORENO LTDA (10171)</v>
      </c>
      <c r="S4365" t="s">
        <v>77</v>
      </c>
      <c r="T4365">
        <v>19093</v>
      </c>
      <c r="U4365">
        <v>22706</v>
      </c>
      <c r="V4365" t="s">
        <v>77</v>
      </c>
    </row>
    <row r="4366" spans="1:22">
      <c r="A4366" t="str">
        <f t="shared" si="806"/>
        <v>02/10/2025</v>
      </c>
      <c r="B4366" t="str">
        <f t="shared" si="809"/>
        <v>SAÍDA</v>
      </c>
      <c r="C4366" t="str">
        <f t="shared" si="807"/>
        <v>PIX</v>
      </c>
      <c r="D4366" t="str">
        <f>"22707"</f>
        <v>22707</v>
      </c>
      <c r="E4366" t="str">
        <f t="shared" si="810"/>
        <v>1</v>
      </c>
      <c r="F4366" t="str">
        <f t="shared" si="804"/>
        <v>COM</v>
      </c>
      <c r="G4366" t="str">
        <f>"EDUARDO MARQUES DOS SANTOS (787)"</f>
        <v>EDUARDO MARQUES DOS SANTOS (787)</v>
      </c>
      <c r="H4366" t="str">
        <f>"Serv.Prest. 22/09/2025 a 28/09/2025 - PIX: CELULAR - CHAVE: (11) 97402-1586"</f>
        <v>Serv.Prest. 22/09/2025 a 28/09/2025 - PIX: CELULAR - CHAVE: (11) 97402-1586</v>
      </c>
      <c r="I4366" t="str">
        <f t="shared" si="808"/>
        <v>02/10/2025</v>
      </c>
      <c r="J4366" t="str">
        <f t="shared" si="805"/>
        <v>29/09/2025</v>
      </c>
      <c r="K4366" t="str">
        <f>("02/10/2025")</f>
        <v>02/10/2025</v>
      </c>
      <c r="L4366">
        <v>889</v>
      </c>
      <c r="M4366">
        <v>889</v>
      </c>
      <c r="N4366">
        <v>109</v>
      </c>
      <c r="O4366" t="str">
        <f>"PAGAMENTO DE ENTREGADORES"</f>
        <v>PAGAMENTO DE ENTREGADORES</v>
      </c>
      <c r="P4366">
        <v>889</v>
      </c>
      <c r="S4366" t="str">
        <f>"BANCO C6 (149)"</f>
        <v>BANCO C6 (149)</v>
      </c>
      <c r="T4366">
        <v>19094</v>
      </c>
      <c r="U4366">
        <v>22707</v>
      </c>
      <c r="V4366" t="s">
        <v>77</v>
      </c>
    </row>
    <row r="4367" spans="1:22">
      <c r="A4367" t="str">
        <f t="shared" si="806"/>
        <v>02/10/2025</v>
      </c>
      <c r="B4367" t="str">
        <f t="shared" si="809"/>
        <v>SAÍDA</v>
      </c>
      <c r="C4367" t="str">
        <f t="shared" si="807"/>
        <v>PIX</v>
      </c>
      <c r="D4367" t="str">
        <f>"22707"</f>
        <v>22707</v>
      </c>
      <c r="E4367" t="str">
        <f t="shared" si="810"/>
        <v>1</v>
      </c>
      <c r="F4367" t="str">
        <f t="shared" si="804"/>
        <v>COM</v>
      </c>
      <c r="G4367" t="str">
        <f>"EDUARDO MARQUES DOS SANTOS (787)"</f>
        <v>EDUARDO MARQUES DOS SANTOS (787)</v>
      </c>
      <c r="H4367" t="s">
        <v>1270</v>
      </c>
      <c r="I4367" t="str">
        <f t="shared" si="808"/>
        <v>02/10/2025</v>
      </c>
      <c r="J4367" t="str">
        <f t="shared" si="805"/>
        <v>29/09/2025</v>
      </c>
      <c r="K4367">
        <v>45932</v>
      </c>
      <c r="N4367">
        <v>109</v>
      </c>
      <c r="O4367" t="s">
        <v>24</v>
      </c>
      <c r="Q4367">
        <v>889</v>
      </c>
      <c r="R4367" t="str">
        <f>"DROGARIA MORENO LTDA (10171)"</f>
        <v>DROGARIA MORENO LTDA (10171)</v>
      </c>
      <c r="S4367" t="s">
        <v>77</v>
      </c>
      <c r="T4367">
        <v>19094</v>
      </c>
      <c r="U4367">
        <v>22707</v>
      </c>
      <c r="V4367" t="s">
        <v>77</v>
      </c>
    </row>
    <row r="4368" spans="1:22">
      <c r="A4368" t="str">
        <f t="shared" si="806"/>
        <v>02/10/2025</v>
      </c>
      <c r="B4368" t="str">
        <f t="shared" si="809"/>
        <v>SAÍDA</v>
      </c>
      <c r="C4368" t="str">
        <f t="shared" si="807"/>
        <v>PIX</v>
      </c>
      <c r="D4368" t="str">
        <f>"22709"</f>
        <v>22709</v>
      </c>
      <c r="E4368" t="str">
        <f t="shared" si="810"/>
        <v>1</v>
      </c>
      <c r="F4368" t="str">
        <f t="shared" si="804"/>
        <v>COM</v>
      </c>
      <c r="G4368" t="str">
        <f>"PAULO CESAR DE FARIA (865)"</f>
        <v>PAULO CESAR DE FARIA (865)</v>
      </c>
      <c r="H4368" t="str">
        <f>"Serv.Prest. 22/09/2025 a 28/09/2025 - PIX: CELULAR - CHAVE: (11) 99992-0816"</f>
        <v>Serv.Prest. 22/09/2025 a 28/09/2025 - PIX: CELULAR - CHAVE: (11) 99992-0816</v>
      </c>
      <c r="I4368" t="str">
        <f t="shared" si="808"/>
        <v>02/10/2025</v>
      </c>
      <c r="J4368" t="str">
        <f t="shared" si="805"/>
        <v>29/09/2025</v>
      </c>
      <c r="K4368" t="str">
        <f>("02/10/2025")</f>
        <v>02/10/2025</v>
      </c>
      <c r="L4368">
        <v>1057</v>
      </c>
      <c r="M4368">
        <v>1057</v>
      </c>
      <c r="N4368">
        <v>109</v>
      </c>
      <c r="O4368" t="str">
        <f>"PAGAMENTO DE ENTREGADORES"</f>
        <v>PAGAMENTO DE ENTREGADORES</v>
      </c>
      <c r="P4368">
        <v>1057</v>
      </c>
      <c r="S4368" t="str">
        <f>"BANCO C6 (149)"</f>
        <v>BANCO C6 (149)</v>
      </c>
      <c r="T4368">
        <v>19095</v>
      </c>
      <c r="U4368">
        <v>22709</v>
      </c>
      <c r="V4368" t="s">
        <v>77</v>
      </c>
    </row>
    <row r="4369" spans="1:22">
      <c r="A4369" t="str">
        <f t="shared" si="806"/>
        <v>02/10/2025</v>
      </c>
      <c r="B4369" t="str">
        <f t="shared" si="809"/>
        <v>SAÍDA</v>
      </c>
      <c r="C4369" t="str">
        <f t="shared" si="807"/>
        <v>PIX</v>
      </c>
      <c r="D4369" t="str">
        <f>"22709"</f>
        <v>22709</v>
      </c>
      <c r="E4369" t="str">
        <f t="shared" si="810"/>
        <v>1</v>
      </c>
      <c r="F4369" t="str">
        <f t="shared" si="804"/>
        <v>COM</v>
      </c>
      <c r="G4369" t="str">
        <f>"PAULO CESAR DE FARIA (865)"</f>
        <v>PAULO CESAR DE FARIA (865)</v>
      </c>
      <c r="H4369" t="s">
        <v>1271</v>
      </c>
      <c r="I4369" t="str">
        <f t="shared" si="808"/>
        <v>02/10/2025</v>
      </c>
      <c r="J4369" t="str">
        <f t="shared" si="805"/>
        <v>29/09/2025</v>
      </c>
      <c r="K4369">
        <v>45932</v>
      </c>
      <c r="N4369">
        <v>109</v>
      </c>
      <c r="O4369" t="s">
        <v>24</v>
      </c>
      <c r="Q4369">
        <v>1057</v>
      </c>
      <c r="R4369" t="str">
        <f>"DROGARIA MORENO LTDA (10171)"</f>
        <v>DROGARIA MORENO LTDA (10171)</v>
      </c>
      <c r="S4369" t="s">
        <v>77</v>
      </c>
      <c r="T4369">
        <v>19095</v>
      </c>
      <c r="U4369">
        <v>22709</v>
      </c>
      <c r="V4369" t="s">
        <v>77</v>
      </c>
    </row>
    <row r="4370" spans="1:22">
      <c r="A4370" t="str">
        <f t="shared" si="806"/>
        <v>02/10/2025</v>
      </c>
      <c r="B4370" t="str">
        <f t="shared" si="809"/>
        <v>SAÍDA</v>
      </c>
      <c r="C4370" t="str">
        <f t="shared" si="807"/>
        <v>PIX</v>
      </c>
      <c r="D4370" t="str">
        <f>"22711"</f>
        <v>22711</v>
      </c>
      <c r="E4370" t="str">
        <f t="shared" si="810"/>
        <v>1</v>
      </c>
      <c r="F4370" t="str">
        <f t="shared" si="804"/>
        <v>COM</v>
      </c>
      <c r="G4370" t="str">
        <f>"JOCIMAR VAZ FERREIRA (197)"</f>
        <v>JOCIMAR VAZ FERREIRA (197)</v>
      </c>
      <c r="H4370" t="str">
        <f>"Serv.Prest. 22/09/2025 a 28/09/2025 - PIX: CELULAR - CHAVE: (33) 99924-7557"</f>
        <v>Serv.Prest. 22/09/2025 a 28/09/2025 - PIX: CELULAR - CHAVE: (33) 99924-7557</v>
      </c>
      <c r="I4370" t="str">
        <f t="shared" si="808"/>
        <v>02/10/2025</v>
      </c>
      <c r="J4370" t="str">
        <f t="shared" si="805"/>
        <v>29/09/2025</v>
      </c>
      <c r="K4370" t="str">
        <f>("02/10/2025")</f>
        <v>02/10/2025</v>
      </c>
      <c r="L4370">
        <v>1032</v>
      </c>
      <c r="M4370">
        <v>1032</v>
      </c>
      <c r="N4370">
        <v>109</v>
      </c>
      <c r="O4370" t="str">
        <f>"PAGAMENTO DE ENTREGADORES"</f>
        <v>PAGAMENTO DE ENTREGADORES</v>
      </c>
      <c r="P4370">
        <v>1032</v>
      </c>
      <c r="S4370" t="str">
        <f>"BANCO C6 (149)"</f>
        <v>BANCO C6 (149)</v>
      </c>
      <c r="T4370">
        <v>19096</v>
      </c>
      <c r="U4370">
        <v>22711</v>
      </c>
      <c r="V4370" t="s">
        <v>77</v>
      </c>
    </row>
    <row r="4371" spans="1:22">
      <c r="A4371" t="str">
        <f t="shared" si="806"/>
        <v>02/10/2025</v>
      </c>
      <c r="B4371" t="str">
        <f t="shared" si="809"/>
        <v>SAÍDA</v>
      </c>
      <c r="C4371" t="str">
        <f t="shared" si="807"/>
        <v>PIX</v>
      </c>
      <c r="D4371" t="str">
        <f>"22711"</f>
        <v>22711</v>
      </c>
      <c r="E4371" t="str">
        <f t="shared" si="810"/>
        <v>1</v>
      </c>
      <c r="F4371" t="str">
        <f t="shared" si="804"/>
        <v>COM</v>
      </c>
      <c r="G4371" t="str">
        <f>"JOCIMAR VAZ FERREIRA (197)"</f>
        <v>JOCIMAR VAZ FERREIRA (197)</v>
      </c>
      <c r="H4371" t="s">
        <v>1272</v>
      </c>
      <c r="I4371" t="str">
        <f t="shared" si="808"/>
        <v>02/10/2025</v>
      </c>
      <c r="J4371" t="str">
        <f t="shared" si="805"/>
        <v>29/09/2025</v>
      </c>
      <c r="K4371">
        <v>45932</v>
      </c>
      <c r="N4371">
        <v>109</v>
      </c>
      <c r="O4371" t="s">
        <v>24</v>
      </c>
      <c r="Q4371">
        <v>1032</v>
      </c>
      <c r="R4371" t="str">
        <f>"DROGARIA VAZ (10179)"</f>
        <v>DROGARIA VAZ (10179)</v>
      </c>
      <c r="S4371" t="s">
        <v>77</v>
      </c>
      <c r="T4371">
        <v>19096</v>
      </c>
      <c r="U4371">
        <v>22711</v>
      </c>
      <c r="V4371" t="s">
        <v>77</v>
      </c>
    </row>
    <row r="4372" spans="1:22">
      <c r="A4372" t="str">
        <f t="shared" si="806"/>
        <v>02/10/2025</v>
      </c>
      <c r="B4372" t="str">
        <f t="shared" si="809"/>
        <v>SAÍDA</v>
      </c>
      <c r="C4372" t="str">
        <f t="shared" si="807"/>
        <v>PIX</v>
      </c>
      <c r="D4372" t="str">
        <f>"22713"</f>
        <v>22713</v>
      </c>
      <c r="E4372" t="str">
        <f t="shared" si="810"/>
        <v>1</v>
      </c>
      <c r="F4372" t="str">
        <f t="shared" si="804"/>
        <v>COM</v>
      </c>
      <c r="G4372" t="str">
        <f>"JOSÉ HENRIQUE RODRIGUES (430)"</f>
        <v>JOSÉ HENRIQUE RODRIGUES (430)</v>
      </c>
      <c r="H4372" t="str">
        <f>"Serv.Prest. 22/09/2025 a 28/09/2025 - PIX: CPF - CHAVE: 100.826.516-04"</f>
        <v>Serv.Prest. 22/09/2025 a 28/09/2025 - PIX: CPF - CHAVE: 100.826.516-04</v>
      </c>
      <c r="I4372" t="str">
        <f t="shared" si="808"/>
        <v>02/10/2025</v>
      </c>
      <c r="J4372" t="str">
        <f t="shared" si="805"/>
        <v>29/09/2025</v>
      </c>
      <c r="K4372" t="str">
        <f>("02/10/2025")</f>
        <v>02/10/2025</v>
      </c>
      <c r="L4372">
        <v>900</v>
      </c>
      <c r="M4372">
        <v>900</v>
      </c>
      <c r="N4372">
        <v>109</v>
      </c>
      <c r="O4372" t="str">
        <f>"PAGAMENTO DE ENTREGADORES"</f>
        <v>PAGAMENTO DE ENTREGADORES</v>
      </c>
      <c r="P4372">
        <v>900</v>
      </c>
      <c r="S4372" t="str">
        <f>"BANCO C6 (149)"</f>
        <v>BANCO C6 (149)</v>
      </c>
      <c r="T4372">
        <v>19097</v>
      </c>
      <c r="U4372">
        <v>22713</v>
      </c>
      <c r="V4372" t="s">
        <v>77</v>
      </c>
    </row>
    <row r="4373" spans="1:22">
      <c r="A4373" t="str">
        <f t="shared" si="806"/>
        <v>02/10/2025</v>
      </c>
      <c r="B4373" t="str">
        <f t="shared" si="809"/>
        <v>SAÍDA</v>
      </c>
      <c r="C4373" t="str">
        <f t="shared" si="807"/>
        <v>PIX</v>
      </c>
      <c r="D4373" t="str">
        <f>"22713"</f>
        <v>22713</v>
      </c>
      <c r="E4373" t="str">
        <f t="shared" si="810"/>
        <v>1</v>
      </c>
      <c r="F4373" t="str">
        <f t="shared" si="804"/>
        <v>COM</v>
      </c>
      <c r="G4373" t="str">
        <f>"JOSÉ HENRIQUE RODRIGUES (430)"</f>
        <v>JOSÉ HENRIQUE RODRIGUES (430)</v>
      </c>
      <c r="H4373" t="s">
        <v>1273</v>
      </c>
      <c r="I4373" t="str">
        <f t="shared" si="808"/>
        <v>02/10/2025</v>
      </c>
      <c r="J4373" t="str">
        <f t="shared" si="805"/>
        <v>29/09/2025</v>
      </c>
      <c r="K4373">
        <v>45932</v>
      </c>
      <c r="N4373">
        <v>109</v>
      </c>
      <c r="O4373" t="s">
        <v>24</v>
      </c>
      <c r="Q4373">
        <v>900</v>
      </c>
      <c r="R4373" t="str">
        <f>"PAGMENOS - LJ 608 (10135)"</f>
        <v>PAGMENOS - LJ 608 (10135)</v>
      </c>
      <c r="S4373" t="s">
        <v>77</v>
      </c>
      <c r="T4373">
        <v>19097</v>
      </c>
      <c r="U4373">
        <v>22713</v>
      </c>
      <c r="V4373" t="s">
        <v>77</v>
      </c>
    </row>
    <row r="4374" spans="1:22">
      <c r="A4374" t="str">
        <f t="shared" si="806"/>
        <v>02/10/2025</v>
      </c>
      <c r="B4374" t="str">
        <f t="shared" si="809"/>
        <v>SAÍDA</v>
      </c>
      <c r="C4374" t="str">
        <f t="shared" si="807"/>
        <v>PIX</v>
      </c>
      <c r="D4374" t="str">
        <f>"22714"</f>
        <v>22714</v>
      </c>
      <c r="E4374" t="str">
        <f t="shared" si="810"/>
        <v>1</v>
      </c>
      <c r="F4374" t="str">
        <f t="shared" si="804"/>
        <v>COM</v>
      </c>
      <c r="G4374" t="str">
        <f>"TALES SILVA MARIANO (431)"</f>
        <v>TALES SILVA MARIANO (431)</v>
      </c>
      <c r="H4374" t="str">
        <f>"Serv.Prest. 22/09/2025 a 28/09/2025 - PIX: CPF - CHAVE: 126.686.406-79"</f>
        <v>Serv.Prest. 22/09/2025 a 28/09/2025 - PIX: CPF - CHAVE: 126.686.406-79</v>
      </c>
      <c r="I4374" t="str">
        <f t="shared" si="808"/>
        <v>02/10/2025</v>
      </c>
      <c r="J4374" t="str">
        <f t="shared" ref="J4374:J4397" si="811">("29/09/2025")</f>
        <v>29/09/2025</v>
      </c>
      <c r="K4374" t="str">
        <f>("02/10/2025")</f>
        <v>02/10/2025</v>
      </c>
      <c r="L4374">
        <v>900</v>
      </c>
      <c r="M4374">
        <v>900</v>
      </c>
      <c r="N4374">
        <v>109</v>
      </c>
      <c r="O4374" t="str">
        <f>"PAGAMENTO DE ENTREGADORES"</f>
        <v>PAGAMENTO DE ENTREGADORES</v>
      </c>
      <c r="P4374">
        <v>900</v>
      </c>
      <c r="S4374" t="str">
        <f>"BANCO C6 (149)"</f>
        <v>BANCO C6 (149)</v>
      </c>
      <c r="T4374">
        <v>19098</v>
      </c>
      <c r="U4374">
        <v>22714</v>
      </c>
      <c r="V4374" t="s">
        <v>77</v>
      </c>
    </row>
    <row r="4375" spans="1:22">
      <c r="A4375" t="str">
        <f t="shared" si="806"/>
        <v>02/10/2025</v>
      </c>
      <c r="B4375" t="str">
        <f t="shared" si="809"/>
        <v>SAÍDA</v>
      </c>
      <c r="C4375" t="str">
        <f t="shared" si="807"/>
        <v>PIX</v>
      </c>
      <c r="D4375" t="str">
        <f>"22714"</f>
        <v>22714</v>
      </c>
      <c r="E4375" t="str">
        <f t="shared" si="810"/>
        <v>1</v>
      </c>
      <c r="F4375" t="str">
        <f t="shared" si="804"/>
        <v>COM</v>
      </c>
      <c r="G4375" t="str">
        <f>"TALES SILVA MARIANO (431)"</f>
        <v>TALES SILVA MARIANO (431)</v>
      </c>
      <c r="H4375" t="s">
        <v>1274</v>
      </c>
      <c r="I4375" t="str">
        <f t="shared" si="808"/>
        <v>02/10/2025</v>
      </c>
      <c r="J4375" t="str">
        <f t="shared" si="811"/>
        <v>29/09/2025</v>
      </c>
      <c r="K4375">
        <v>45932</v>
      </c>
      <c r="N4375">
        <v>109</v>
      </c>
      <c r="O4375" t="s">
        <v>24</v>
      </c>
      <c r="Q4375">
        <v>900</v>
      </c>
      <c r="R4375" t="str">
        <f>"PAGMENOS - LJ 608 (10135)"</f>
        <v>PAGMENOS - LJ 608 (10135)</v>
      </c>
      <c r="S4375" t="s">
        <v>77</v>
      </c>
      <c r="T4375">
        <v>19098</v>
      </c>
      <c r="U4375">
        <v>22714</v>
      </c>
      <c r="V4375" t="s">
        <v>77</v>
      </c>
    </row>
    <row r="4376" spans="1:22">
      <c r="A4376" t="str">
        <f t="shared" si="806"/>
        <v>02/10/2025</v>
      </c>
      <c r="B4376" t="str">
        <f t="shared" si="809"/>
        <v>SAÍDA</v>
      </c>
      <c r="C4376" t="str">
        <f t="shared" si="807"/>
        <v>PIX</v>
      </c>
      <c r="D4376" t="str">
        <f>"22716"</f>
        <v>22716</v>
      </c>
      <c r="E4376" t="str">
        <f t="shared" si="810"/>
        <v>1</v>
      </c>
      <c r="F4376" t="str">
        <f t="shared" si="804"/>
        <v>COM</v>
      </c>
      <c r="G4376" t="str">
        <f>"WILIANA RODRIGUES E RODRIGUES (398)"</f>
        <v>WILIANA RODRIGUES E RODRIGUES (398)</v>
      </c>
      <c r="H4376" t="str">
        <f>"Serv.Prest. 22/09/2025 a 28/09/2025 - PIX: CPF - CHAVE: 016.203.336-27"</f>
        <v>Serv.Prest. 22/09/2025 a 28/09/2025 - PIX: CPF - CHAVE: 016.203.336-27</v>
      </c>
      <c r="I4376" t="str">
        <f t="shared" si="808"/>
        <v>02/10/2025</v>
      </c>
      <c r="J4376" t="str">
        <f t="shared" si="811"/>
        <v>29/09/2025</v>
      </c>
      <c r="K4376" t="str">
        <f>("02/10/2025")</f>
        <v>02/10/2025</v>
      </c>
      <c r="L4376">
        <v>1204</v>
      </c>
      <c r="M4376">
        <v>1204</v>
      </c>
      <c r="N4376">
        <v>109</v>
      </c>
      <c r="O4376" t="str">
        <f>"PAGAMENTO DE ENTREGADORES"</f>
        <v>PAGAMENTO DE ENTREGADORES</v>
      </c>
      <c r="P4376">
        <v>1204</v>
      </c>
      <c r="S4376" t="str">
        <f>"BANCO C6 (149)"</f>
        <v>BANCO C6 (149)</v>
      </c>
      <c r="T4376">
        <v>19099</v>
      </c>
      <c r="U4376">
        <v>22716</v>
      </c>
      <c r="V4376" t="s">
        <v>77</v>
      </c>
    </row>
    <row r="4377" spans="1:22">
      <c r="A4377" t="str">
        <f t="shared" si="806"/>
        <v>02/10/2025</v>
      </c>
      <c r="B4377" t="str">
        <f t="shared" si="809"/>
        <v>SAÍDA</v>
      </c>
      <c r="C4377" t="str">
        <f t="shared" si="807"/>
        <v>PIX</v>
      </c>
      <c r="D4377" t="str">
        <f>"22716"</f>
        <v>22716</v>
      </c>
      <c r="E4377" t="str">
        <f t="shared" si="810"/>
        <v>1</v>
      </c>
      <c r="F4377" t="str">
        <f t="shared" si="804"/>
        <v>COM</v>
      </c>
      <c r="G4377" t="str">
        <f>"WILIANA RODRIGUES E RODRIGUES (398)"</f>
        <v>WILIANA RODRIGUES E RODRIGUES (398)</v>
      </c>
      <c r="H4377" t="s">
        <v>1275</v>
      </c>
      <c r="I4377" t="str">
        <f t="shared" si="808"/>
        <v>02/10/2025</v>
      </c>
      <c r="J4377" t="str">
        <f t="shared" si="811"/>
        <v>29/09/2025</v>
      </c>
      <c r="K4377">
        <v>45932</v>
      </c>
      <c r="N4377">
        <v>109</v>
      </c>
      <c r="O4377" t="s">
        <v>24</v>
      </c>
      <c r="Q4377">
        <v>1204</v>
      </c>
      <c r="R4377" t="str">
        <f>"PAGMENOS - LJ 657 (10136)"</f>
        <v>PAGMENOS - LJ 657 (10136)</v>
      </c>
      <c r="S4377" t="s">
        <v>77</v>
      </c>
      <c r="T4377">
        <v>19099</v>
      </c>
      <c r="U4377">
        <v>22716</v>
      </c>
      <c r="V4377" t="s">
        <v>77</v>
      </c>
    </row>
    <row r="4378" spans="1:22">
      <c r="A4378" t="str">
        <f t="shared" si="806"/>
        <v>02/10/2025</v>
      </c>
      <c r="B4378" t="str">
        <f t="shared" si="809"/>
        <v>SAÍDA</v>
      </c>
      <c r="C4378" t="str">
        <f t="shared" si="807"/>
        <v>PIX</v>
      </c>
      <c r="D4378" t="str">
        <f>"22718"</f>
        <v>22718</v>
      </c>
      <c r="E4378" t="str">
        <f t="shared" si="810"/>
        <v>1</v>
      </c>
      <c r="F4378" t="str">
        <f t="shared" si="804"/>
        <v>COM</v>
      </c>
      <c r="G4378" t="str">
        <f>"CLAUDIO DOS SANTOS (507)"</f>
        <v>CLAUDIO DOS SANTOS (507)</v>
      </c>
      <c r="H4378" t="str">
        <f>"Serv.Prest. 22/09/2025 a 28/09/2025 - PIX: E-MAIL - CHAVE: claudioverdinho2009@hotmail.com"</f>
        <v>Serv.Prest. 22/09/2025 a 28/09/2025 - PIX: E-MAIL - CHAVE: claudioverdinho2009@hotmail.com</v>
      </c>
      <c r="I4378" t="str">
        <f t="shared" si="808"/>
        <v>02/10/2025</v>
      </c>
      <c r="J4378" t="str">
        <f t="shared" si="811"/>
        <v>29/09/2025</v>
      </c>
      <c r="K4378" t="str">
        <f>("02/10/2025")</f>
        <v>02/10/2025</v>
      </c>
      <c r="L4378">
        <v>135</v>
      </c>
      <c r="M4378">
        <v>135</v>
      </c>
      <c r="N4378">
        <v>109</v>
      </c>
      <c r="O4378" t="str">
        <f>"PAGAMENTO DE ENTREGADORES"</f>
        <v>PAGAMENTO DE ENTREGADORES</v>
      </c>
      <c r="P4378">
        <v>135</v>
      </c>
      <c r="S4378" t="str">
        <f>"BANCO C6 (149)"</f>
        <v>BANCO C6 (149)</v>
      </c>
      <c r="T4378">
        <v>19100</v>
      </c>
      <c r="U4378">
        <v>22718</v>
      </c>
      <c r="V4378" t="s">
        <v>77</v>
      </c>
    </row>
    <row r="4379" spans="1:22">
      <c r="A4379" t="str">
        <f t="shared" si="806"/>
        <v>02/10/2025</v>
      </c>
      <c r="B4379" t="str">
        <f t="shared" si="809"/>
        <v>SAÍDA</v>
      </c>
      <c r="C4379" t="str">
        <f t="shared" si="807"/>
        <v>PIX</v>
      </c>
      <c r="D4379" t="str">
        <f>"22718"</f>
        <v>22718</v>
      </c>
      <c r="E4379" t="str">
        <f t="shared" si="810"/>
        <v>1</v>
      </c>
      <c r="F4379" t="str">
        <f t="shared" si="804"/>
        <v>COM</v>
      </c>
      <c r="G4379" t="str">
        <f>"CLAUDIO DOS SANTOS (507)"</f>
        <v>CLAUDIO DOS SANTOS (507)</v>
      </c>
      <c r="H4379" t="s">
        <v>1276</v>
      </c>
      <c r="I4379" t="str">
        <f t="shared" si="808"/>
        <v>02/10/2025</v>
      </c>
      <c r="J4379" t="str">
        <f t="shared" si="811"/>
        <v>29/09/2025</v>
      </c>
      <c r="K4379">
        <v>45932</v>
      </c>
      <c r="N4379">
        <v>109</v>
      </c>
      <c r="O4379" t="s">
        <v>24</v>
      </c>
      <c r="Q4379">
        <v>135</v>
      </c>
      <c r="R4379" t="str">
        <f>"JAL FARMACIA E DROGARIA LJ 2 (10138)"</f>
        <v>JAL FARMACIA E DROGARIA LJ 2 (10138)</v>
      </c>
      <c r="S4379" t="s">
        <v>77</v>
      </c>
      <c r="T4379">
        <v>19100</v>
      </c>
      <c r="U4379">
        <v>22718</v>
      </c>
      <c r="V4379" t="s">
        <v>77</v>
      </c>
    </row>
    <row r="4380" spans="1:22">
      <c r="A4380" t="str">
        <f t="shared" si="806"/>
        <v>02/10/2025</v>
      </c>
      <c r="B4380" t="str">
        <f t="shared" si="809"/>
        <v>SAÍDA</v>
      </c>
      <c r="C4380" t="str">
        <f t="shared" si="807"/>
        <v>PIX</v>
      </c>
      <c r="D4380" t="str">
        <f>"22719"</f>
        <v>22719</v>
      </c>
      <c r="E4380" t="str">
        <f t="shared" si="810"/>
        <v>1</v>
      </c>
      <c r="F4380" t="str">
        <f t="shared" si="804"/>
        <v>COM</v>
      </c>
      <c r="G4380" t="str">
        <f>"HECTOR LUIS YANEZ QUEZADA (718)"</f>
        <v>HECTOR LUIS YANEZ QUEZADA (718)</v>
      </c>
      <c r="H4380" t="str">
        <f>"Serv.Prest. 22/09/2025 a 28/09/2025 - PIX: CELULAR - CHAVE: (41) 98421-2278"</f>
        <v>Serv.Prest. 22/09/2025 a 28/09/2025 - PIX: CELULAR - CHAVE: (41) 98421-2278</v>
      </c>
      <c r="I4380" t="str">
        <f t="shared" si="808"/>
        <v>02/10/2025</v>
      </c>
      <c r="J4380" t="str">
        <f t="shared" si="811"/>
        <v>29/09/2025</v>
      </c>
      <c r="K4380" t="str">
        <f>("02/10/2025")</f>
        <v>02/10/2025</v>
      </c>
      <c r="L4380">
        <v>583</v>
      </c>
      <c r="M4380">
        <v>583</v>
      </c>
      <c r="N4380">
        <v>109</v>
      </c>
      <c r="O4380" t="str">
        <f>"PAGAMENTO DE ENTREGADORES"</f>
        <v>PAGAMENTO DE ENTREGADORES</v>
      </c>
      <c r="P4380">
        <v>583</v>
      </c>
      <c r="S4380" t="str">
        <f>"BANCO C6 (149)"</f>
        <v>BANCO C6 (149)</v>
      </c>
      <c r="T4380">
        <v>19101</v>
      </c>
      <c r="U4380">
        <v>22719</v>
      </c>
      <c r="V4380" t="s">
        <v>77</v>
      </c>
    </row>
    <row r="4381" spans="1:22">
      <c r="A4381" t="str">
        <f t="shared" si="806"/>
        <v>02/10/2025</v>
      </c>
      <c r="B4381" t="str">
        <f t="shared" si="809"/>
        <v>SAÍDA</v>
      </c>
      <c r="C4381" t="str">
        <f t="shared" si="807"/>
        <v>PIX</v>
      </c>
      <c r="D4381" t="str">
        <f>"22719"</f>
        <v>22719</v>
      </c>
      <c r="E4381" t="str">
        <f t="shared" si="810"/>
        <v>1</v>
      </c>
      <c r="F4381" t="str">
        <f t="shared" si="804"/>
        <v>COM</v>
      </c>
      <c r="G4381" t="str">
        <f>"HECTOR LUIS YANEZ QUEZADA (718)"</f>
        <v>HECTOR LUIS YANEZ QUEZADA (718)</v>
      </c>
      <c r="H4381" t="s">
        <v>1277</v>
      </c>
      <c r="I4381" t="str">
        <f t="shared" si="808"/>
        <v>02/10/2025</v>
      </c>
      <c r="J4381" t="str">
        <f t="shared" si="811"/>
        <v>29/09/2025</v>
      </c>
      <c r="K4381">
        <v>45932</v>
      </c>
      <c r="N4381">
        <v>109</v>
      </c>
      <c r="O4381" t="s">
        <v>24</v>
      </c>
      <c r="Q4381">
        <v>583</v>
      </c>
      <c r="R4381" t="str">
        <f>"JAL FARMACIA E DROGARIA LJ 2 (10138)"</f>
        <v>JAL FARMACIA E DROGARIA LJ 2 (10138)</v>
      </c>
      <c r="S4381" t="s">
        <v>77</v>
      </c>
      <c r="T4381">
        <v>19101</v>
      </c>
      <c r="U4381">
        <v>22719</v>
      </c>
      <c r="V4381" t="s">
        <v>77</v>
      </c>
    </row>
    <row r="4382" spans="1:22">
      <c r="A4382" t="str">
        <f t="shared" si="806"/>
        <v>02/10/2025</v>
      </c>
      <c r="B4382" t="str">
        <f t="shared" si="809"/>
        <v>SAÍDA</v>
      </c>
      <c r="C4382" t="str">
        <f t="shared" si="807"/>
        <v>PIX</v>
      </c>
      <c r="D4382" t="str">
        <f>"22720"</f>
        <v>22720</v>
      </c>
      <c r="E4382" t="str">
        <f t="shared" si="810"/>
        <v>1</v>
      </c>
      <c r="F4382" t="str">
        <f t="shared" si="804"/>
        <v>COM</v>
      </c>
      <c r="G4382" t="str">
        <f>"JESSICA BRAHOLKA (837)"</f>
        <v>JESSICA BRAHOLKA (837)</v>
      </c>
      <c r="H4382" t="str">
        <f>"Serv.Prest. 22/09/2025 a 28/09/2025 - PIX: CPF - CHAVE: 124.575.099-20"</f>
        <v>Serv.Prest. 22/09/2025 a 28/09/2025 - PIX: CPF - CHAVE: 124.575.099-20</v>
      </c>
      <c r="I4382" t="str">
        <f t="shared" si="808"/>
        <v>02/10/2025</v>
      </c>
      <c r="J4382" t="str">
        <f t="shared" si="811"/>
        <v>29/09/2025</v>
      </c>
      <c r="K4382" t="str">
        <f>("02/10/2025")</f>
        <v>02/10/2025</v>
      </c>
      <c r="L4382">
        <v>639</v>
      </c>
      <c r="M4382">
        <v>639</v>
      </c>
      <c r="N4382">
        <v>109</v>
      </c>
      <c r="O4382" t="str">
        <f>"PAGAMENTO DE ENTREGADORES"</f>
        <v>PAGAMENTO DE ENTREGADORES</v>
      </c>
      <c r="P4382">
        <v>639</v>
      </c>
      <c r="S4382" t="str">
        <f>"BANCO C6 (149)"</f>
        <v>BANCO C6 (149)</v>
      </c>
      <c r="T4382">
        <v>19102</v>
      </c>
      <c r="U4382">
        <v>22720</v>
      </c>
      <c r="V4382" t="s">
        <v>77</v>
      </c>
    </row>
    <row r="4383" spans="1:22">
      <c r="A4383" t="str">
        <f t="shared" si="806"/>
        <v>02/10/2025</v>
      </c>
      <c r="B4383" t="str">
        <f t="shared" ref="B4383:B4414" si="812">"SAÍDA"</f>
        <v>SAÍDA</v>
      </c>
      <c r="C4383" t="str">
        <f t="shared" si="807"/>
        <v>PIX</v>
      </c>
      <c r="D4383" t="str">
        <f>"22720"</f>
        <v>22720</v>
      </c>
      <c r="E4383" t="str">
        <f t="shared" si="810"/>
        <v>1</v>
      </c>
      <c r="F4383" t="str">
        <f t="shared" si="804"/>
        <v>COM</v>
      </c>
      <c r="G4383" t="str">
        <f>"JESSICA BRAHOLKA (837)"</f>
        <v>JESSICA BRAHOLKA (837)</v>
      </c>
      <c r="H4383" t="s">
        <v>1278</v>
      </c>
      <c r="I4383" t="str">
        <f t="shared" si="808"/>
        <v>02/10/2025</v>
      </c>
      <c r="J4383" t="str">
        <f t="shared" si="811"/>
        <v>29/09/2025</v>
      </c>
      <c r="K4383">
        <v>45932</v>
      </c>
      <c r="N4383">
        <v>109</v>
      </c>
      <c r="O4383" t="s">
        <v>24</v>
      </c>
      <c r="Q4383">
        <v>639</v>
      </c>
      <c r="R4383" t="str">
        <f>"JAL FARMACIA E DROGARIA LJ 2 (10138)"</f>
        <v>JAL FARMACIA E DROGARIA LJ 2 (10138)</v>
      </c>
      <c r="S4383" t="s">
        <v>77</v>
      </c>
      <c r="T4383">
        <v>19102</v>
      </c>
      <c r="U4383">
        <v>22720</v>
      </c>
      <c r="V4383" t="s">
        <v>77</v>
      </c>
    </row>
    <row r="4384" spans="1:22">
      <c r="A4384" t="str">
        <f t="shared" si="806"/>
        <v>02/10/2025</v>
      </c>
      <c r="B4384" t="str">
        <f t="shared" si="812"/>
        <v>SAÍDA</v>
      </c>
      <c r="C4384" t="str">
        <f t="shared" si="807"/>
        <v>PIX</v>
      </c>
      <c r="D4384" t="str">
        <f>"22722"</f>
        <v>22722</v>
      </c>
      <c r="E4384" t="str">
        <f t="shared" si="810"/>
        <v>1</v>
      </c>
      <c r="F4384" t="str">
        <f t="shared" si="804"/>
        <v>COM</v>
      </c>
      <c r="G4384" t="str">
        <f>"CLAUDIO DOS SANTOS (507)"</f>
        <v>CLAUDIO DOS SANTOS (507)</v>
      </c>
      <c r="H4384" t="str">
        <f>"Serv.Prest. 22/09/2025 a 28/09/2025 - PIX: E-MAIL - CHAVE: claudioverdinho2009@hotmail.com"</f>
        <v>Serv.Prest. 22/09/2025 a 28/09/2025 - PIX: E-MAIL - CHAVE: claudioverdinho2009@hotmail.com</v>
      </c>
      <c r="I4384" t="str">
        <f t="shared" si="808"/>
        <v>02/10/2025</v>
      </c>
      <c r="J4384" t="str">
        <f t="shared" si="811"/>
        <v>29/09/2025</v>
      </c>
      <c r="K4384" t="str">
        <f>("02/10/2025")</f>
        <v>02/10/2025</v>
      </c>
      <c r="L4384">
        <v>1176</v>
      </c>
      <c r="M4384">
        <v>1176</v>
      </c>
      <c r="N4384">
        <v>109</v>
      </c>
      <c r="O4384" t="str">
        <f>"PAGAMENTO DE ENTREGADORES"</f>
        <v>PAGAMENTO DE ENTREGADORES</v>
      </c>
      <c r="P4384">
        <v>1176</v>
      </c>
      <c r="S4384" t="str">
        <f>"BANCO C6 (149)"</f>
        <v>BANCO C6 (149)</v>
      </c>
      <c r="T4384">
        <v>19103</v>
      </c>
      <c r="U4384">
        <v>22722</v>
      </c>
      <c r="V4384" t="s">
        <v>77</v>
      </c>
    </row>
    <row r="4385" spans="1:22">
      <c r="A4385" t="str">
        <f t="shared" si="806"/>
        <v>02/10/2025</v>
      </c>
      <c r="B4385" t="str">
        <f t="shared" si="812"/>
        <v>SAÍDA</v>
      </c>
      <c r="C4385" t="str">
        <f t="shared" si="807"/>
        <v>PIX</v>
      </c>
      <c r="D4385" t="str">
        <f>"22722"</f>
        <v>22722</v>
      </c>
      <c r="E4385" t="str">
        <f t="shared" si="810"/>
        <v>1</v>
      </c>
      <c r="F4385" t="str">
        <f t="shared" si="804"/>
        <v>COM</v>
      </c>
      <c r="G4385" t="str">
        <f>"CLAUDIO DOS SANTOS (507)"</f>
        <v>CLAUDIO DOS SANTOS (507)</v>
      </c>
      <c r="H4385" t="s">
        <v>1276</v>
      </c>
      <c r="I4385" t="str">
        <f t="shared" si="808"/>
        <v>02/10/2025</v>
      </c>
      <c r="J4385" t="str">
        <f t="shared" si="811"/>
        <v>29/09/2025</v>
      </c>
      <c r="K4385">
        <v>45932</v>
      </c>
      <c r="N4385">
        <v>109</v>
      </c>
      <c r="O4385" t="s">
        <v>24</v>
      </c>
      <c r="Q4385">
        <v>1176</v>
      </c>
      <c r="R4385" t="str">
        <f>"JAL FARMACIA E DROGARIA LJ 1 (10137)"</f>
        <v>JAL FARMACIA E DROGARIA LJ 1 (10137)</v>
      </c>
      <c r="S4385" t="s">
        <v>77</v>
      </c>
      <c r="T4385">
        <v>19103</v>
      </c>
      <c r="U4385">
        <v>22722</v>
      </c>
      <c r="V4385" t="s">
        <v>77</v>
      </c>
    </row>
    <row r="4386" spans="1:22">
      <c r="A4386" t="str">
        <f t="shared" si="806"/>
        <v>02/10/2025</v>
      </c>
      <c r="B4386" t="str">
        <f t="shared" si="812"/>
        <v>SAÍDA</v>
      </c>
      <c r="C4386" t="str">
        <f t="shared" si="807"/>
        <v>PIX</v>
      </c>
      <c r="D4386" t="str">
        <f>"22723"</f>
        <v>22723</v>
      </c>
      <c r="E4386" t="str">
        <f t="shared" si="810"/>
        <v>1</v>
      </c>
      <c r="F4386" t="str">
        <f t="shared" si="804"/>
        <v>COM</v>
      </c>
      <c r="G4386" t="str">
        <f>"HECTOR LUIS YANEZ QUEZADA (718)"</f>
        <v>HECTOR LUIS YANEZ QUEZADA (718)</v>
      </c>
      <c r="H4386" t="str">
        <f>"Serv.Prest. 22/09/2025 a 28/09/2025 - PIX: CELULAR - CHAVE: (41) 98421-2278"</f>
        <v>Serv.Prest. 22/09/2025 a 28/09/2025 - PIX: CELULAR - CHAVE: (41) 98421-2278</v>
      </c>
      <c r="I4386" t="str">
        <f t="shared" si="808"/>
        <v>02/10/2025</v>
      </c>
      <c r="J4386" t="str">
        <f t="shared" si="811"/>
        <v>29/09/2025</v>
      </c>
      <c r="K4386" t="str">
        <f>("02/10/2025")</f>
        <v>02/10/2025</v>
      </c>
      <c r="L4386">
        <v>217</v>
      </c>
      <c r="M4386">
        <v>217</v>
      </c>
      <c r="N4386">
        <v>109</v>
      </c>
      <c r="O4386" t="str">
        <f>"PAGAMENTO DE ENTREGADORES"</f>
        <v>PAGAMENTO DE ENTREGADORES</v>
      </c>
      <c r="P4386">
        <v>217</v>
      </c>
      <c r="S4386" t="str">
        <f>"BANCO C6 (149)"</f>
        <v>BANCO C6 (149)</v>
      </c>
      <c r="T4386">
        <v>19104</v>
      </c>
      <c r="U4386">
        <v>22723</v>
      </c>
      <c r="V4386" t="s">
        <v>77</v>
      </c>
    </row>
    <row r="4387" spans="1:22">
      <c r="A4387" t="str">
        <f t="shared" si="806"/>
        <v>02/10/2025</v>
      </c>
      <c r="B4387" t="str">
        <f t="shared" si="812"/>
        <v>SAÍDA</v>
      </c>
      <c r="C4387" t="str">
        <f t="shared" si="807"/>
        <v>PIX</v>
      </c>
      <c r="D4387" t="str">
        <f>"22723"</f>
        <v>22723</v>
      </c>
      <c r="E4387" t="str">
        <f t="shared" si="810"/>
        <v>1</v>
      </c>
      <c r="F4387" t="str">
        <f t="shared" si="804"/>
        <v>COM</v>
      </c>
      <c r="G4387" t="str">
        <f>"HECTOR LUIS YANEZ QUEZADA (718)"</f>
        <v>HECTOR LUIS YANEZ QUEZADA (718)</v>
      </c>
      <c r="H4387" t="s">
        <v>1277</v>
      </c>
      <c r="I4387" t="str">
        <f t="shared" si="808"/>
        <v>02/10/2025</v>
      </c>
      <c r="J4387" t="str">
        <f t="shared" si="811"/>
        <v>29/09/2025</v>
      </c>
      <c r="K4387">
        <v>45932</v>
      </c>
      <c r="N4387">
        <v>109</v>
      </c>
      <c r="O4387" t="s">
        <v>24</v>
      </c>
      <c r="Q4387">
        <v>217</v>
      </c>
      <c r="R4387" t="str">
        <f>"JAL FARMACIA E DROGARIA LJ 1 (10137)"</f>
        <v>JAL FARMACIA E DROGARIA LJ 1 (10137)</v>
      </c>
      <c r="S4387" t="s">
        <v>77</v>
      </c>
      <c r="T4387">
        <v>19104</v>
      </c>
      <c r="U4387">
        <v>22723</v>
      </c>
      <c r="V4387" t="s">
        <v>77</v>
      </c>
    </row>
    <row r="4388" spans="1:22">
      <c r="A4388" t="str">
        <f t="shared" si="806"/>
        <v>02/10/2025</v>
      </c>
      <c r="B4388" t="str">
        <f t="shared" si="812"/>
        <v>SAÍDA</v>
      </c>
      <c r="C4388" t="str">
        <f t="shared" si="807"/>
        <v>PIX</v>
      </c>
      <c r="D4388" t="str">
        <f>"22724"</f>
        <v>22724</v>
      </c>
      <c r="E4388" t="str">
        <f t="shared" si="810"/>
        <v>1</v>
      </c>
      <c r="F4388" t="str">
        <f t="shared" si="804"/>
        <v>COM</v>
      </c>
      <c r="G4388" t="str">
        <f>"JESSICA BRAHOLKA (837)"</f>
        <v>JESSICA BRAHOLKA (837)</v>
      </c>
      <c r="H4388" t="str">
        <f>"Serv.Prest. 22/09/2025 a 28/09/2025 - PIX: CPF - CHAVE: 124.575.099-20"</f>
        <v>Serv.Prest. 22/09/2025 a 28/09/2025 - PIX: CPF - CHAVE: 124.575.099-20</v>
      </c>
      <c r="I4388" t="str">
        <f t="shared" si="808"/>
        <v>02/10/2025</v>
      </c>
      <c r="J4388" t="str">
        <f t="shared" si="811"/>
        <v>29/09/2025</v>
      </c>
      <c r="K4388" t="str">
        <f>("02/10/2025")</f>
        <v>02/10/2025</v>
      </c>
      <c r="L4388">
        <v>588</v>
      </c>
      <c r="M4388">
        <v>588</v>
      </c>
      <c r="N4388">
        <v>109</v>
      </c>
      <c r="O4388" t="str">
        <f>"PAGAMENTO DE ENTREGADORES"</f>
        <v>PAGAMENTO DE ENTREGADORES</v>
      </c>
      <c r="P4388">
        <v>588</v>
      </c>
      <c r="S4388" t="str">
        <f>"BANCO C6 (149)"</f>
        <v>BANCO C6 (149)</v>
      </c>
      <c r="T4388">
        <v>19105</v>
      </c>
      <c r="U4388">
        <v>22724</v>
      </c>
      <c r="V4388" t="s">
        <v>77</v>
      </c>
    </row>
    <row r="4389" spans="1:22">
      <c r="A4389" t="str">
        <f t="shared" si="806"/>
        <v>02/10/2025</v>
      </c>
      <c r="B4389" t="str">
        <f t="shared" si="812"/>
        <v>SAÍDA</v>
      </c>
      <c r="C4389" t="str">
        <f t="shared" si="807"/>
        <v>PIX</v>
      </c>
      <c r="D4389" t="str">
        <f>"22724"</f>
        <v>22724</v>
      </c>
      <c r="E4389" t="str">
        <f t="shared" si="810"/>
        <v>1</v>
      </c>
      <c r="F4389" t="str">
        <f t="shared" si="804"/>
        <v>COM</v>
      </c>
      <c r="G4389" t="str">
        <f>"JESSICA BRAHOLKA (837)"</f>
        <v>JESSICA BRAHOLKA (837)</v>
      </c>
      <c r="H4389" t="s">
        <v>1278</v>
      </c>
      <c r="I4389" t="str">
        <f t="shared" si="808"/>
        <v>02/10/2025</v>
      </c>
      <c r="J4389" t="str">
        <f t="shared" si="811"/>
        <v>29/09/2025</v>
      </c>
      <c r="K4389">
        <v>45932</v>
      </c>
      <c r="N4389">
        <v>109</v>
      </c>
      <c r="O4389" t="s">
        <v>24</v>
      </c>
      <c r="Q4389">
        <v>588</v>
      </c>
      <c r="R4389" t="str">
        <f>"JAL FARMACIA E DROGARIA LJ 1 (10137)"</f>
        <v>JAL FARMACIA E DROGARIA LJ 1 (10137)</v>
      </c>
      <c r="S4389" t="s">
        <v>77</v>
      </c>
      <c r="T4389">
        <v>19105</v>
      </c>
      <c r="U4389">
        <v>22724</v>
      </c>
      <c r="V4389" t="s">
        <v>77</v>
      </c>
    </row>
    <row r="4390" spans="1:22">
      <c r="A4390" t="str">
        <f t="shared" si="806"/>
        <v>02/10/2025</v>
      </c>
      <c r="B4390" t="str">
        <f t="shared" si="812"/>
        <v>SAÍDA</v>
      </c>
      <c r="C4390" t="str">
        <f t="shared" si="807"/>
        <v>PIX</v>
      </c>
      <c r="D4390" t="str">
        <f>"22726"</f>
        <v>22726</v>
      </c>
      <c r="E4390" t="str">
        <f t="shared" si="810"/>
        <v>1</v>
      </c>
      <c r="F4390" t="str">
        <f t="shared" si="804"/>
        <v>COM</v>
      </c>
      <c r="G4390" t="str">
        <f>"BRUNO ANDRADE LESSA (952)"</f>
        <v>BRUNO ANDRADE LESSA (952)</v>
      </c>
      <c r="H4390" t="str">
        <f>"Serv.Prest. 22/09/2025 a 28/09/2025 - PIX: CELULAR - CHAVE: (28) 99988-2177"</f>
        <v>Serv.Prest. 22/09/2025 a 28/09/2025 - PIX: CELULAR - CHAVE: (28) 99988-2177</v>
      </c>
      <c r="I4390" t="str">
        <f t="shared" si="808"/>
        <v>02/10/2025</v>
      </c>
      <c r="J4390" t="str">
        <f t="shared" si="811"/>
        <v>29/09/2025</v>
      </c>
      <c r="K4390" t="str">
        <f>("02/10/2025")</f>
        <v>02/10/2025</v>
      </c>
      <c r="L4390">
        <v>260</v>
      </c>
      <c r="M4390">
        <v>260</v>
      </c>
      <c r="N4390">
        <v>109</v>
      </c>
      <c r="O4390" t="str">
        <f>"PAGAMENTO DE ENTREGADORES"</f>
        <v>PAGAMENTO DE ENTREGADORES</v>
      </c>
      <c r="P4390">
        <v>260</v>
      </c>
      <c r="S4390" t="str">
        <f>"BANCO C6 (149)"</f>
        <v>BANCO C6 (149)</v>
      </c>
      <c r="T4390">
        <v>19106</v>
      </c>
      <c r="U4390">
        <v>22726</v>
      </c>
      <c r="V4390" t="s">
        <v>77</v>
      </c>
    </row>
    <row r="4391" spans="1:22">
      <c r="A4391" t="str">
        <f t="shared" si="806"/>
        <v>02/10/2025</v>
      </c>
      <c r="B4391" t="str">
        <f t="shared" si="812"/>
        <v>SAÍDA</v>
      </c>
      <c r="C4391" t="str">
        <f t="shared" si="807"/>
        <v>PIX</v>
      </c>
      <c r="D4391" t="str">
        <f>"22726"</f>
        <v>22726</v>
      </c>
      <c r="E4391" t="str">
        <f t="shared" si="810"/>
        <v>1</v>
      </c>
      <c r="F4391" t="str">
        <f t="shared" si="804"/>
        <v>COM</v>
      </c>
      <c r="G4391" t="str">
        <f>"BRUNO ANDRADE LESSA (952)"</f>
        <v>BRUNO ANDRADE LESSA (952)</v>
      </c>
      <c r="H4391" t="s">
        <v>1279</v>
      </c>
      <c r="I4391" t="str">
        <f t="shared" si="808"/>
        <v>02/10/2025</v>
      </c>
      <c r="J4391" t="str">
        <f t="shared" si="811"/>
        <v>29/09/2025</v>
      </c>
      <c r="K4391">
        <v>45932</v>
      </c>
      <c r="N4391">
        <v>109</v>
      </c>
      <c r="O4391" t="s">
        <v>24</v>
      </c>
      <c r="Q4391">
        <v>260</v>
      </c>
      <c r="R4391" t="str">
        <f>"LBL FARMACIA LTDA (10189)"</f>
        <v>LBL FARMACIA LTDA (10189)</v>
      </c>
      <c r="S4391" t="s">
        <v>77</v>
      </c>
      <c r="T4391">
        <v>19106</v>
      </c>
      <c r="U4391">
        <v>22726</v>
      </c>
      <c r="V4391" t="s">
        <v>77</v>
      </c>
    </row>
    <row r="4392" spans="1:22">
      <c r="A4392" t="str">
        <f t="shared" si="806"/>
        <v>02/10/2025</v>
      </c>
      <c r="B4392" t="str">
        <f t="shared" si="812"/>
        <v>SAÍDA</v>
      </c>
      <c r="C4392" t="str">
        <f t="shared" si="807"/>
        <v>PIX</v>
      </c>
      <c r="D4392" t="str">
        <f>"22727"</f>
        <v>22727</v>
      </c>
      <c r="E4392" t="str">
        <f t="shared" si="810"/>
        <v>1</v>
      </c>
      <c r="F4392" t="str">
        <f t="shared" si="804"/>
        <v>COM</v>
      </c>
      <c r="G4392" t="str">
        <f>"YAN FILIPUTI CORA (926)"</f>
        <v>YAN FILIPUTI CORA (926)</v>
      </c>
      <c r="H4392" t="str">
        <f>"Serv.Prest. 22/09/2025 a 28/09/2025 - PIX: CELULAR - CHAVE: (28) 98816-4170"</f>
        <v>Serv.Prest. 22/09/2025 a 28/09/2025 - PIX: CELULAR - CHAVE: (28) 98816-4170</v>
      </c>
      <c r="I4392" t="str">
        <f t="shared" si="808"/>
        <v>02/10/2025</v>
      </c>
      <c r="J4392" t="str">
        <f t="shared" si="811"/>
        <v>29/09/2025</v>
      </c>
      <c r="K4392" t="str">
        <f>("02/10/2025")</f>
        <v>02/10/2025</v>
      </c>
      <c r="L4392">
        <v>375</v>
      </c>
      <c r="M4392">
        <v>375</v>
      </c>
      <c r="N4392">
        <v>109</v>
      </c>
      <c r="O4392" t="str">
        <f>"PAGAMENTO DE ENTREGADORES"</f>
        <v>PAGAMENTO DE ENTREGADORES</v>
      </c>
      <c r="P4392">
        <v>375</v>
      </c>
      <c r="S4392" t="str">
        <f>"BANCO C6 (149)"</f>
        <v>BANCO C6 (149)</v>
      </c>
      <c r="T4392">
        <v>19107</v>
      </c>
      <c r="U4392">
        <v>22727</v>
      </c>
      <c r="V4392" t="s">
        <v>77</v>
      </c>
    </row>
    <row r="4393" spans="1:22">
      <c r="A4393" t="str">
        <f t="shared" si="806"/>
        <v>02/10/2025</v>
      </c>
      <c r="B4393" t="str">
        <f t="shared" si="812"/>
        <v>SAÍDA</v>
      </c>
      <c r="C4393" t="str">
        <f t="shared" si="807"/>
        <v>PIX</v>
      </c>
      <c r="D4393" t="str">
        <f>"22727"</f>
        <v>22727</v>
      </c>
      <c r="E4393" t="str">
        <f t="shared" ref="E4393:E4424" si="813">"1"</f>
        <v>1</v>
      </c>
      <c r="F4393" t="str">
        <f t="shared" si="804"/>
        <v>COM</v>
      </c>
      <c r="G4393" t="str">
        <f>"YAN FILIPUTI CORA (926)"</f>
        <v>YAN FILIPUTI CORA (926)</v>
      </c>
      <c r="H4393" t="s">
        <v>1280</v>
      </c>
      <c r="I4393" t="str">
        <f t="shared" si="808"/>
        <v>02/10/2025</v>
      </c>
      <c r="J4393" t="str">
        <f t="shared" si="811"/>
        <v>29/09/2025</v>
      </c>
      <c r="K4393">
        <v>45932</v>
      </c>
      <c r="N4393">
        <v>109</v>
      </c>
      <c r="O4393" t="s">
        <v>24</v>
      </c>
      <c r="Q4393">
        <v>375</v>
      </c>
      <c r="R4393" t="str">
        <f>"LBL FARMACIA LTDA (10189)"</f>
        <v>LBL FARMACIA LTDA (10189)</v>
      </c>
      <c r="S4393" t="s">
        <v>77</v>
      </c>
      <c r="T4393">
        <v>19107</v>
      </c>
      <c r="U4393">
        <v>22727</v>
      </c>
      <c r="V4393" t="s">
        <v>77</v>
      </c>
    </row>
    <row r="4394" spans="1:22">
      <c r="A4394" t="str">
        <f t="shared" si="806"/>
        <v>02/10/2025</v>
      </c>
      <c r="B4394" t="str">
        <f t="shared" si="812"/>
        <v>SAÍDA</v>
      </c>
      <c r="C4394" t="str">
        <f t="shared" si="807"/>
        <v>PIX</v>
      </c>
      <c r="D4394" t="str">
        <f>"22729"</f>
        <v>22729</v>
      </c>
      <c r="E4394" t="str">
        <f t="shared" si="813"/>
        <v>1</v>
      </c>
      <c r="F4394" t="str">
        <f t="shared" si="804"/>
        <v>COM</v>
      </c>
      <c r="G4394" t="str">
        <f>"BRUNO ANDRADE LESSA (952)"</f>
        <v>BRUNO ANDRADE LESSA (952)</v>
      </c>
      <c r="H4394" t="str">
        <f>"Serv.Prest. 22/09/2025 a 28/09/2025 - PIX: CELULAR - CHAVE: (28) 99988-2177"</f>
        <v>Serv.Prest. 22/09/2025 a 28/09/2025 - PIX: CELULAR - CHAVE: (28) 99988-2177</v>
      </c>
      <c r="I4394" t="str">
        <f t="shared" si="808"/>
        <v>02/10/2025</v>
      </c>
      <c r="J4394" t="str">
        <f t="shared" si="811"/>
        <v>29/09/2025</v>
      </c>
      <c r="K4394" t="str">
        <f>("02/10/2025")</f>
        <v>02/10/2025</v>
      </c>
      <c r="L4394">
        <v>545</v>
      </c>
      <c r="M4394">
        <v>545</v>
      </c>
      <c r="N4394">
        <v>109</v>
      </c>
      <c r="O4394" t="str">
        <f>"PAGAMENTO DE ENTREGADORES"</f>
        <v>PAGAMENTO DE ENTREGADORES</v>
      </c>
      <c r="P4394">
        <v>545</v>
      </c>
      <c r="S4394" t="str">
        <f>"BANCO C6 (149)"</f>
        <v>BANCO C6 (149)</v>
      </c>
      <c r="T4394">
        <v>19108</v>
      </c>
      <c r="U4394">
        <v>22729</v>
      </c>
      <c r="V4394" t="s">
        <v>77</v>
      </c>
    </row>
    <row r="4395" spans="1:22">
      <c r="A4395" t="str">
        <f t="shared" si="806"/>
        <v>02/10/2025</v>
      </c>
      <c r="B4395" t="str">
        <f t="shared" si="812"/>
        <v>SAÍDA</v>
      </c>
      <c r="C4395" t="str">
        <f t="shared" si="807"/>
        <v>PIX</v>
      </c>
      <c r="D4395" t="str">
        <f>"22729"</f>
        <v>22729</v>
      </c>
      <c r="E4395" t="str">
        <f t="shared" si="813"/>
        <v>1</v>
      </c>
      <c r="F4395" t="str">
        <f t="shared" si="804"/>
        <v>COM</v>
      </c>
      <c r="G4395" t="str">
        <f>"BRUNO ANDRADE LESSA (952)"</f>
        <v>BRUNO ANDRADE LESSA (952)</v>
      </c>
      <c r="H4395" t="s">
        <v>1279</v>
      </c>
      <c r="I4395" t="str">
        <f t="shared" si="808"/>
        <v>02/10/2025</v>
      </c>
      <c r="J4395" t="str">
        <f t="shared" si="811"/>
        <v>29/09/2025</v>
      </c>
      <c r="K4395">
        <v>45932</v>
      </c>
      <c r="N4395">
        <v>109</v>
      </c>
      <c r="O4395" t="s">
        <v>24</v>
      </c>
      <c r="Q4395">
        <v>545</v>
      </c>
      <c r="R4395" t="str">
        <f>"LBL FARMACIA LTDA FILIAL (10192)"</f>
        <v>LBL FARMACIA LTDA FILIAL (10192)</v>
      </c>
      <c r="S4395" t="s">
        <v>77</v>
      </c>
      <c r="T4395">
        <v>19108</v>
      </c>
      <c r="U4395">
        <v>22729</v>
      </c>
      <c r="V4395" t="s">
        <v>77</v>
      </c>
    </row>
    <row r="4396" spans="1:22">
      <c r="A4396" t="str">
        <f t="shared" si="806"/>
        <v>02/10/2025</v>
      </c>
      <c r="B4396" t="str">
        <f t="shared" si="812"/>
        <v>SAÍDA</v>
      </c>
      <c r="C4396" t="str">
        <f t="shared" si="807"/>
        <v>PIX</v>
      </c>
      <c r="D4396" t="str">
        <f>"22730"</f>
        <v>22730</v>
      </c>
      <c r="E4396" t="str">
        <f t="shared" si="813"/>
        <v>1</v>
      </c>
      <c r="F4396" t="str">
        <f t="shared" si="804"/>
        <v>COM</v>
      </c>
      <c r="G4396" t="str">
        <f>"YAN FILIPUTI CORA (926)"</f>
        <v>YAN FILIPUTI CORA (926)</v>
      </c>
      <c r="H4396" t="str">
        <f>"Serv.Prest. 22/09/2025 a 28/09/2025 - PIX: CELULAR - CHAVE: (28) 98816-4170"</f>
        <v>Serv.Prest. 22/09/2025 a 28/09/2025 - PIX: CELULAR - CHAVE: (28) 98816-4170</v>
      </c>
      <c r="I4396" t="str">
        <f t="shared" si="808"/>
        <v>02/10/2025</v>
      </c>
      <c r="J4396" t="str">
        <f t="shared" si="811"/>
        <v>29/09/2025</v>
      </c>
      <c r="K4396" t="str">
        <f>("02/10/2025")</f>
        <v>02/10/2025</v>
      </c>
      <c r="L4396">
        <v>425</v>
      </c>
      <c r="M4396">
        <v>425</v>
      </c>
      <c r="N4396">
        <v>109</v>
      </c>
      <c r="O4396" t="str">
        <f>"PAGAMENTO DE ENTREGADORES"</f>
        <v>PAGAMENTO DE ENTREGADORES</v>
      </c>
      <c r="P4396">
        <v>425</v>
      </c>
      <c r="S4396" t="str">
        <f>"BANCO C6 (149)"</f>
        <v>BANCO C6 (149)</v>
      </c>
      <c r="T4396">
        <v>19109</v>
      </c>
      <c r="U4396">
        <v>22730</v>
      </c>
      <c r="V4396" t="s">
        <v>77</v>
      </c>
    </row>
    <row r="4397" spans="1:22">
      <c r="A4397" t="str">
        <f t="shared" si="806"/>
        <v>02/10/2025</v>
      </c>
      <c r="B4397" t="str">
        <f t="shared" si="812"/>
        <v>SAÍDA</v>
      </c>
      <c r="C4397" t="str">
        <f t="shared" si="807"/>
        <v>PIX</v>
      </c>
      <c r="D4397" t="str">
        <f>"22730"</f>
        <v>22730</v>
      </c>
      <c r="E4397" t="str">
        <f t="shared" si="813"/>
        <v>1</v>
      </c>
      <c r="F4397" t="str">
        <f t="shared" si="804"/>
        <v>COM</v>
      </c>
      <c r="G4397" t="str">
        <f>"YAN FILIPUTI CORA (926)"</f>
        <v>YAN FILIPUTI CORA (926)</v>
      </c>
      <c r="H4397" t="s">
        <v>1280</v>
      </c>
      <c r="I4397" t="str">
        <f t="shared" si="808"/>
        <v>02/10/2025</v>
      </c>
      <c r="J4397" t="str">
        <f t="shared" si="811"/>
        <v>29/09/2025</v>
      </c>
      <c r="K4397">
        <v>45932</v>
      </c>
      <c r="N4397">
        <v>109</v>
      </c>
      <c r="O4397" t="s">
        <v>24</v>
      </c>
      <c r="Q4397">
        <v>425</v>
      </c>
      <c r="R4397" t="str">
        <f>"LBL FARMACIA LTDA FILIAL (10192)"</f>
        <v>LBL FARMACIA LTDA FILIAL (10192)</v>
      </c>
      <c r="S4397" t="s">
        <v>77</v>
      </c>
      <c r="T4397">
        <v>19109</v>
      </c>
      <c r="U4397">
        <v>22730</v>
      </c>
      <c r="V4397" t="s">
        <v>77</v>
      </c>
    </row>
    <row r="4398" spans="1:22">
      <c r="A4398" t="str">
        <f t="shared" si="806"/>
        <v>02/10/2025</v>
      </c>
      <c r="B4398" t="str">
        <f t="shared" si="812"/>
        <v>SAÍDA</v>
      </c>
      <c r="C4398" t="str">
        <f t="shared" si="807"/>
        <v>PIX</v>
      </c>
      <c r="D4398" t="str">
        <f>"22759"</f>
        <v>22759</v>
      </c>
      <c r="E4398" t="str">
        <f t="shared" si="813"/>
        <v>1</v>
      </c>
      <c r="F4398" t="str">
        <f t="shared" si="804"/>
        <v>COM</v>
      </c>
      <c r="G4398" t="str">
        <f>"JOSE EDVAI PESSOA BORGES (961)"</f>
        <v>JOSE EDVAI PESSOA BORGES (961)</v>
      </c>
      <c r="H4398" t="str">
        <f>"Serv.Prest. 22/09/2025 a 28/09/2025 - PIX: CPF - CHAVE: 135.353.446-46"</f>
        <v>Serv.Prest. 22/09/2025 a 28/09/2025 - PIX: CPF - CHAVE: 135.353.446-46</v>
      </c>
      <c r="I4398" t="str">
        <f t="shared" si="808"/>
        <v>02/10/2025</v>
      </c>
      <c r="J4398" t="str">
        <f t="shared" ref="J4398:J4427" si="814">("30/09/2025")</f>
        <v>30/09/2025</v>
      </c>
      <c r="K4398" t="str">
        <f>("02/10/2025")</f>
        <v>02/10/2025</v>
      </c>
      <c r="L4398">
        <v>19.5</v>
      </c>
      <c r="M4398">
        <v>19.5</v>
      </c>
      <c r="N4398">
        <v>109</v>
      </c>
      <c r="O4398" t="str">
        <f>"PAGAMENTO DE ENTREGADORES"</f>
        <v>PAGAMENTO DE ENTREGADORES</v>
      </c>
      <c r="P4398">
        <v>19.5</v>
      </c>
      <c r="S4398" t="str">
        <f>"BANCO C6 (149)"</f>
        <v>BANCO C6 (149)</v>
      </c>
      <c r="T4398">
        <v>19110</v>
      </c>
      <c r="U4398">
        <v>22759</v>
      </c>
      <c r="V4398" t="s">
        <v>77</v>
      </c>
    </row>
    <row r="4399" spans="1:22">
      <c r="A4399" t="str">
        <f t="shared" si="806"/>
        <v>02/10/2025</v>
      </c>
      <c r="B4399" t="str">
        <f t="shared" si="812"/>
        <v>SAÍDA</v>
      </c>
      <c r="C4399" t="str">
        <f t="shared" si="807"/>
        <v>PIX</v>
      </c>
      <c r="D4399" t="str">
        <f>"22759"</f>
        <v>22759</v>
      </c>
      <c r="E4399" t="str">
        <f t="shared" si="813"/>
        <v>1</v>
      </c>
      <c r="F4399" t="str">
        <f t="shared" si="804"/>
        <v>COM</v>
      </c>
      <c r="G4399" t="str">
        <f>"JOSE EDVAI PESSOA BORGES (961)"</f>
        <v>JOSE EDVAI PESSOA BORGES (961)</v>
      </c>
      <c r="H4399" t="s">
        <v>1076</v>
      </c>
      <c r="I4399" t="str">
        <f t="shared" si="808"/>
        <v>02/10/2025</v>
      </c>
      <c r="J4399" t="str">
        <f t="shared" si="814"/>
        <v>30/09/2025</v>
      </c>
      <c r="K4399">
        <v>45932</v>
      </c>
      <c r="N4399">
        <v>109</v>
      </c>
      <c r="O4399" t="s">
        <v>24</v>
      </c>
      <c r="Q4399">
        <v>19.5</v>
      </c>
      <c r="R4399" t="str">
        <f>"DROGA HONDA (10149)"</f>
        <v>DROGA HONDA (10149)</v>
      </c>
      <c r="S4399" t="s">
        <v>77</v>
      </c>
      <c r="T4399">
        <v>19110</v>
      </c>
      <c r="U4399">
        <v>22759</v>
      </c>
      <c r="V4399" t="s">
        <v>77</v>
      </c>
    </row>
    <row r="4400" spans="1:22">
      <c r="A4400" t="str">
        <f t="shared" si="806"/>
        <v>02/10/2025</v>
      </c>
      <c r="B4400" t="str">
        <f t="shared" si="812"/>
        <v>SAÍDA</v>
      </c>
      <c r="C4400" t="str">
        <f t="shared" si="807"/>
        <v>PIX</v>
      </c>
      <c r="D4400" t="str">
        <f>"22761"</f>
        <v>22761</v>
      </c>
      <c r="E4400" t="str">
        <f t="shared" si="813"/>
        <v>1</v>
      </c>
      <c r="F4400" t="str">
        <f t="shared" si="804"/>
        <v>COM</v>
      </c>
      <c r="G4400" t="str">
        <f>"SAMMY TOMAS HAMDAN (950)"</f>
        <v>SAMMY TOMAS HAMDAN (950)</v>
      </c>
      <c r="H4400" t="str">
        <f>"Serv.Prest. 22/09/2025 a 28/09/2025 - PIX: CPF - CHAVE: 133.055.616-02"</f>
        <v>Serv.Prest. 22/09/2025 a 28/09/2025 - PIX: CPF - CHAVE: 133.055.616-02</v>
      </c>
      <c r="I4400" t="str">
        <f t="shared" si="808"/>
        <v>02/10/2025</v>
      </c>
      <c r="J4400" t="str">
        <f t="shared" si="814"/>
        <v>30/09/2025</v>
      </c>
      <c r="K4400" t="str">
        <f>("02/10/2025")</f>
        <v>02/10/2025</v>
      </c>
      <c r="L4400">
        <v>580</v>
      </c>
      <c r="M4400">
        <v>580</v>
      </c>
      <c r="N4400">
        <v>109</v>
      </c>
      <c r="O4400" t="str">
        <f>"PAGAMENTO DE ENTREGADORES"</f>
        <v>PAGAMENTO DE ENTREGADORES</v>
      </c>
      <c r="P4400">
        <v>580</v>
      </c>
      <c r="S4400" t="str">
        <f>"BANCO C6 (149)"</f>
        <v>BANCO C6 (149)</v>
      </c>
      <c r="T4400">
        <v>19111</v>
      </c>
      <c r="U4400">
        <v>22761</v>
      </c>
      <c r="V4400" t="s">
        <v>77</v>
      </c>
    </row>
    <row r="4401" spans="1:22">
      <c r="A4401" t="str">
        <f t="shared" si="806"/>
        <v>02/10/2025</v>
      </c>
      <c r="B4401" t="str">
        <f t="shared" si="812"/>
        <v>SAÍDA</v>
      </c>
      <c r="C4401" t="str">
        <f t="shared" si="807"/>
        <v>PIX</v>
      </c>
      <c r="D4401" t="str">
        <f>"22761"</f>
        <v>22761</v>
      </c>
      <c r="E4401" t="str">
        <f t="shared" si="813"/>
        <v>1</v>
      </c>
      <c r="F4401" t="str">
        <f t="shared" si="804"/>
        <v>COM</v>
      </c>
      <c r="G4401" t="str">
        <f>"SAMMY TOMAS HAMDAN (950)"</f>
        <v>SAMMY TOMAS HAMDAN (950)</v>
      </c>
      <c r="H4401" t="s">
        <v>1080</v>
      </c>
      <c r="I4401" t="str">
        <f t="shared" si="808"/>
        <v>02/10/2025</v>
      </c>
      <c r="J4401" t="str">
        <f t="shared" si="814"/>
        <v>30/09/2025</v>
      </c>
      <c r="K4401">
        <v>45932</v>
      </c>
      <c r="N4401">
        <v>109</v>
      </c>
      <c r="O4401" t="s">
        <v>24</v>
      </c>
      <c r="Q4401">
        <v>580</v>
      </c>
      <c r="R4401" t="str">
        <f>"DROGA HONDA (10149)"</f>
        <v>DROGA HONDA (10149)</v>
      </c>
      <c r="S4401" t="s">
        <v>77</v>
      </c>
      <c r="T4401">
        <v>19111</v>
      </c>
      <c r="U4401">
        <v>22761</v>
      </c>
      <c r="V4401" t="s">
        <v>77</v>
      </c>
    </row>
    <row r="4402" spans="1:22">
      <c r="A4402" t="str">
        <f t="shared" si="806"/>
        <v>02/10/2025</v>
      </c>
      <c r="B4402" t="str">
        <f t="shared" si="812"/>
        <v>SAÍDA</v>
      </c>
      <c r="C4402" t="str">
        <f t="shared" si="807"/>
        <v>PIX</v>
      </c>
      <c r="D4402" t="str">
        <f>"22760"</f>
        <v>22760</v>
      </c>
      <c r="E4402" t="str">
        <f t="shared" si="813"/>
        <v>1</v>
      </c>
      <c r="F4402" t="str">
        <f t="shared" si="804"/>
        <v>COM</v>
      </c>
      <c r="G4402" t="str">
        <f>"NILTON ADRIANO SILVA DE JESUS (943)"</f>
        <v>NILTON ADRIANO SILVA DE JESUS (943)</v>
      </c>
      <c r="H4402" t="str">
        <f>"Serv.Prest. 22/09/2025 a 28/09/2025 - PIX: CELULAR - CHAVE: (34) 99772-2954"</f>
        <v>Serv.Prest. 22/09/2025 a 28/09/2025 - PIX: CELULAR - CHAVE: (34) 99772-2954</v>
      </c>
      <c r="I4402" t="str">
        <f t="shared" si="808"/>
        <v>02/10/2025</v>
      </c>
      <c r="J4402" t="str">
        <f t="shared" si="814"/>
        <v>30/09/2025</v>
      </c>
      <c r="K4402" t="str">
        <f>("02/10/2025")</f>
        <v>02/10/2025</v>
      </c>
      <c r="L4402">
        <v>994.5</v>
      </c>
      <c r="M4402">
        <v>994.5</v>
      </c>
      <c r="N4402">
        <v>109</v>
      </c>
      <c r="O4402" t="str">
        <f>"PAGAMENTO DE ENTREGADORES"</f>
        <v>PAGAMENTO DE ENTREGADORES</v>
      </c>
      <c r="P4402">
        <v>994.5</v>
      </c>
      <c r="S4402" t="str">
        <f>"BANCO C6 (149)"</f>
        <v>BANCO C6 (149)</v>
      </c>
      <c r="T4402">
        <v>19112</v>
      </c>
      <c r="U4402">
        <v>22760</v>
      </c>
      <c r="V4402" t="s">
        <v>77</v>
      </c>
    </row>
    <row r="4403" spans="1:22">
      <c r="A4403" t="str">
        <f t="shared" si="806"/>
        <v>02/10/2025</v>
      </c>
      <c r="B4403" t="str">
        <f t="shared" si="812"/>
        <v>SAÍDA</v>
      </c>
      <c r="C4403" t="str">
        <f t="shared" si="807"/>
        <v>PIX</v>
      </c>
      <c r="D4403" t="str">
        <f>"22760"</f>
        <v>22760</v>
      </c>
      <c r="E4403" t="str">
        <f t="shared" si="813"/>
        <v>1</v>
      </c>
      <c r="F4403" t="str">
        <f t="shared" si="804"/>
        <v>COM</v>
      </c>
      <c r="G4403" t="str">
        <f>"NILTON ADRIANO SILVA DE JESUS (943)"</f>
        <v>NILTON ADRIANO SILVA DE JESUS (943)</v>
      </c>
      <c r="H4403" t="s">
        <v>1281</v>
      </c>
      <c r="I4403" t="str">
        <f t="shared" si="808"/>
        <v>02/10/2025</v>
      </c>
      <c r="J4403" t="str">
        <f t="shared" si="814"/>
        <v>30/09/2025</v>
      </c>
      <c r="K4403">
        <v>45932</v>
      </c>
      <c r="N4403">
        <v>109</v>
      </c>
      <c r="O4403" t="s">
        <v>24</v>
      </c>
      <c r="Q4403">
        <v>994.5</v>
      </c>
      <c r="R4403" t="str">
        <f>"DROGA HONDA (10149)"</f>
        <v>DROGA HONDA (10149)</v>
      </c>
      <c r="S4403" t="s">
        <v>77</v>
      </c>
      <c r="T4403">
        <v>19112</v>
      </c>
      <c r="U4403">
        <v>22760</v>
      </c>
      <c r="V4403" t="s">
        <v>77</v>
      </c>
    </row>
    <row r="4404" spans="1:22">
      <c r="A4404" t="str">
        <f t="shared" si="806"/>
        <v>02/10/2025</v>
      </c>
      <c r="B4404" t="str">
        <f t="shared" si="812"/>
        <v>SAÍDA</v>
      </c>
      <c r="C4404" t="str">
        <f t="shared" si="807"/>
        <v>PIX</v>
      </c>
      <c r="D4404" t="str">
        <f>"22736"</f>
        <v>22736</v>
      </c>
      <c r="E4404" t="str">
        <f t="shared" si="813"/>
        <v>1</v>
      </c>
      <c r="F4404" t="str">
        <f t="shared" ref="F4404:F4431" si="815">"COM"</f>
        <v>COM</v>
      </c>
      <c r="G4404" t="str">
        <f>"HERICK KUSSYOYADA CAMARA (937)"</f>
        <v>HERICK KUSSYOYADA CAMARA (937)</v>
      </c>
      <c r="H4404" t="str">
        <f>"Serv.Prest. 22/09/2025 a 28/09/2025 - PIX: CPF - CHAVE: 427.090.718-51"</f>
        <v>Serv.Prest. 22/09/2025 a 28/09/2025 - PIX: CPF - CHAVE: 427.090.718-51</v>
      </c>
      <c r="I4404" t="str">
        <f t="shared" si="808"/>
        <v>02/10/2025</v>
      </c>
      <c r="J4404" t="str">
        <f t="shared" si="814"/>
        <v>30/09/2025</v>
      </c>
      <c r="K4404" t="str">
        <f>("02/10/2025")</f>
        <v>02/10/2025</v>
      </c>
      <c r="L4404">
        <v>1400</v>
      </c>
      <c r="M4404">
        <v>1400</v>
      </c>
      <c r="N4404">
        <v>109</v>
      </c>
      <c r="O4404" t="str">
        <f>"PAGAMENTO DE ENTREGADORES"</f>
        <v>PAGAMENTO DE ENTREGADORES</v>
      </c>
      <c r="P4404">
        <v>1400</v>
      </c>
      <c r="S4404" t="str">
        <f>"BANCO C6 (149)"</f>
        <v>BANCO C6 (149)</v>
      </c>
      <c r="T4404">
        <v>19113</v>
      </c>
      <c r="U4404">
        <v>22736</v>
      </c>
      <c r="V4404" t="s">
        <v>77</v>
      </c>
    </row>
    <row r="4405" spans="1:22">
      <c r="A4405" t="str">
        <f t="shared" si="806"/>
        <v>02/10/2025</v>
      </c>
      <c r="B4405" t="str">
        <f t="shared" si="812"/>
        <v>SAÍDA</v>
      </c>
      <c r="C4405" t="str">
        <f t="shared" si="807"/>
        <v>PIX</v>
      </c>
      <c r="D4405" t="str">
        <f>"22736"</f>
        <v>22736</v>
      </c>
      <c r="E4405" t="str">
        <f t="shared" si="813"/>
        <v>1</v>
      </c>
      <c r="F4405" t="str">
        <f t="shared" si="815"/>
        <v>COM</v>
      </c>
      <c r="G4405" t="str">
        <f>"HERICK KUSSYOYADA CAMARA (937)"</f>
        <v>HERICK KUSSYOYADA CAMARA (937)</v>
      </c>
      <c r="H4405" t="s">
        <v>1282</v>
      </c>
      <c r="I4405" t="str">
        <f t="shared" si="808"/>
        <v>02/10/2025</v>
      </c>
      <c r="J4405" t="str">
        <f t="shared" si="814"/>
        <v>30/09/2025</v>
      </c>
      <c r="K4405">
        <v>45932</v>
      </c>
      <c r="N4405">
        <v>109</v>
      </c>
      <c r="O4405" t="s">
        <v>24</v>
      </c>
      <c r="Q4405">
        <v>1400</v>
      </c>
      <c r="R4405" t="str">
        <f>"PENSE FARMA 46 (10194)"</f>
        <v>PENSE FARMA 46 (10194)</v>
      </c>
      <c r="S4405" t="s">
        <v>77</v>
      </c>
      <c r="T4405">
        <v>19113</v>
      </c>
      <c r="U4405">
        <v>22736</v>
      </c>
      <c r="V4405" t="s">
        <v>77</v>
      </c>
    </row>
    <row r="4406" spans="1:22">
      <c r="A4406" t="str">
        <f t="shared" si="806"/>
        <v>02/10/2025</v>
      </c>
      <c r="B4406" t="str">
        <f t="shared" si="812"/>
        <v>SAÍDA</v>
      </c>
      <c r="C4406" t="str">
        <f t="shared" si="807"/>
        <v>PIX</v>
      </c>
      <c r="D4406" t="str">
        <f>"22738"</f>
        <v>22738</v>
      </c>
      <c r="E4406" t="str">
        <f t="shared" si="813"/>
        <v>1</v>
      </c>
      <c r="F4406" t="str">
        <f t="shared" si="815"/>
        <v>COM</v>
      </c>
      <c r="G4406" t="str">
        <f>"ERIC RODRIGUES TEIXEIRA (939)"</f>
        <v>ERIC RODRIGUES TEIXEIRA (939)</v>
      </c>
      <c r="H4406" t="str">
        <f>"Serv.Prest. 22/09/2025 a 28/09/2025 - PIX: CELULAR - CHAVE: (11) 95038-0621"</f>
        <v>Serv.Prest. 22/09/2025 a 28/09/2025 - PIX: CELULAR - CHAVE: (11) 95038-0621</v>
      </c>
      <c r="I4406" t="str">
        <f t="shared" si="808"/>
        <v>02/10/2025</v>
      </c>
      <c r="J4406" t="str">
        <f t="shared" si="814"/>
        <v>30/09/2025</v>
      </c>
      <c r="K4406" t="str">
        <f>("02/10/2025")</f>
        <v>02/10/2025</v>
      </c>
      <c r="L4406">
        <v>1400</v>
      </c>
      <c r="M4406">
        <v>1400</v>
      </c>
      <c r="N4406">
        <v>109</v>
      </c>
      <c r="O4406" t="str">
        <f>"PAGAMENTO DE ENTREGADORES"</f>
        <v>PAGAMENTO DE ENTREGADORES</v>
      </c>
      <c r="P4406">
        <v>1400</v>
      </c>
      <c r="S4406" t="str">
        <f>"BANCO C6 (149)"</f>
        <v>BANCO C6 (149)</v>
      </c>
      <c r="T4406">
        <v>19114</v>
      </c>
      <c r="U4406">
        <v>22738</v>
      </c>
      <c r="V4406" t="s">
        <v>77</v>
      </c>
    </row>
    <row r="4407" spans="1:22">
      <c r="A4407" t="str">
        <f t="shared" si="806"/>
        <v>02/10/2025</v>
      </c>
      <c r="B4407" t="str">
        <f t="shared" si="812"/>
        <v>SAÍDA</v>
      </c>
      <c r="C4407" t="str">
        <f t="shared" si="807"/>
        <v>PIX</v>
      </c>
      <c r="D4407" t="str">
        <f>"22738"</f>
        <v>22738</v>
      </c>
      <c r="E4407" t="str">
        <f t="shared" si="813"/>
        <v>1</v>
      </c>
      <c r="F4407" t="str">
        <f t="shared" si="815"/>
        <v>COM</v>
      </c>
      <c r="G4407" t="str">
        <f>"ERIC RODRIGUES TEIXEIRA (939)"</f>
        <v>ERIC RODRIGUES TEIXEIRA (939)</v>
      </c>
      <c r="H4407" t="s">
        <v>1283</v>
      </c>
      <c r="I4407" t="str">
        <f t="shared" si="808"/>
        <v>02/10/2025</v>
      </c>
      <c r="J4407" t="str">
        <f t="shared" si="814"/>
        <v>30/09/2025</v>
      </c>
      <c r="K4407">
        <v>45932</v>
      </c>
      <c r="N4407">
        <v>109</v>
      </c>
      <c r="O4407" t="s">
        <v>24</v>
      </c>
      <c r="Q4407">
        <v>890.96</v>
      </c>
      <c r="R4407" t="str">
        <f>"PENSE FARMA 15 (10195)"</f>
        <v>PENSE FARMA 15 (10195)</v>
      </c>
      <c r="S4407" t="s">
        <v>77</v>
      </c>
      <c r="T4407">
        <v>19114</v>
      </c>
      <c r="U4407">
        <v>22738</v>
      </c>
      <c r="V4407" t="s">
        <v>77</v>
      </c>
    </row>
    <row r="4408" spans="1:22">
      <c r="A4408" t="str">
        <f t="shared" si="806"/>
        <v>02/10/2025</v>
      </c>
      <c r="B4408" t="str">
        <f t="shared" si="812"/>
        <v>SAÍDA</v>
      </c>
      <c r="C4408" t="str">
        <f t="shared" si="807"/>
        <v>PIX</v>
      </c>
      <c r="D4408" t="str">
        <f>"22738"</f>
        <v>22738</v>
      </c>
      <c r="E4408" t="str">
        <f t="shared" si="813"/>
        <v>1</v>
      </c>
      <c r="F4408" t="str">
        <f t="shared" si="815"/>
        <v>COM</v>
      </c>
      <c r="G4408" t="str">
        <f>"ERIC RODRIGUES TEIXEIRA (939)"</f>
        <v>ERIC RODRIGUES TEIXEIRA (939)</v>
      </c>
      <c r="H4408" t="s">
        <v>1283</v>
      </c>
      <c r="I4408" t="str">
        <f t="shared" si="808"/>
        <v>02/10/2025</v>
      </c>
      <c r="J4408" t="str">
        <f t="shared" si="814"/>
        <v>30/09/2025</v>
      </c>
      <c r="K4408">
        <v>45932</v>
      </c>
      <c r="N4408">
        <v>109</v>
      </c>
      <c r="O4408" t="s">
        <v>24</v>
      </c>
      <c r="Q4408">
        <v>84.84</v>
      </c>
      <c r="R4408" t="str">
        <f>"PENSE FARMA 26 (10196)"</f>
        <v>PENSE FARMA 26 (10196)</v>
      </c>
      <c r="S4408" t="s">
        <v>77</v>
      </c>
      <c r="T4408">
        <v>19114</v>
      </c>
      <c r="U4408">
        <v>22738</v>
      </c>
      <c r="V4408" t="s">
        <v>77</v>
      </c>
    </row>
    <row r="4409" spans="1:22">
      <c r="A4409" t="str">
        <f t="shared" si="806"/>
        <v>02/10/2025</v>
      </c>
      <c r="B4409" t="str">
        <f t="shared" si="812"/>
        <v>SAÍDA</v>
      </c>
      <c r="C4409" t="str">
        <f t="shared" si="807"/>
        <v>PIX</v>
      </c>
      <c r="D4409" t="str">
        <f>"22738"</f>
        <v>22738</v>
      </c>
      <c r="E4409" t="str">
        <f t="shared" si="813"/>
        <v>1</v>
      </c>
      <c r="F4409" t="str">
        <f t="shared" si="815"/>
        <v>COM</v>
      </c>
      <c r="G4409" t="str">
        <f>"ERIC RODRIGUES TEIXEIRA (939)"</f>
        <v>ERIC RODRIGUES TEIXEIRA (939)</v>
      </c>
      <c r="H4409" t="s">
        <v>1283</v>
      </c>
      <c r="I4409" t="str">
        <f t="shared" si="808"/>
        <v>02/10/2025</v>
      </c>
      <c r="J4409" t="str">
        <f t="shared" si="814"/>
        <v>30/09/2025</v>
      </c>
      <c r="K4409">
        <v>45932</v>
      </c>
      <c r="N4409">
        <v>109</v>
      </c>
      <c r="O4409" t="s">
        <v>24</v>
      </c>
      <c r="Q4409">
        <v>424.2</v>
      </c>
      <c r="R4409" t="str">
        <f>"PENSE FARMA 60 (10197)"</f>
        <v>PENSE FARMA 60 (10197)</v>
      </c>
      <c r="S4409" t="s">
        <v>77</v>
      </c>
      <c r="T4409">
        <v>19114</v>
      </c>
      <c r="U4409">
        <v>22738</v>
      </c>
      <c r="V4409" t="s">
        <v>77</v>
      </c>
    </row>
    <row r="4410" spans="1:22">
      <c r="A4410" t="str">
        <f t="shared" si="806"/>
        <v>02/10/2025</v>
      </c>
      <c r="B4410" t="str">
        <f t="shared" si="812"/>
        <v>SAÍDA</v>
      </c>
      <c r="C4410" t="str">
        <f t="shared" si="807"/>
        <v>PIX</v>
      </c>
      <c r="D4410" t="str">
        <f>"22739"</f>
        <v>22739</v>
      </c>
      <c r="E4410" t="str">
        <f t="shared" si="813"/>
        <v>1</v>
      </c>
      <c r="F4410" t="str">
        <f t="shared" si="815"/>
        <v>COM</v>
      </c>
      <c r="G4410" t="str">
        <f>"JEFFERSON AMORIM DA SILVA (940)"</f>
        <v>JEFFERSON AMORIM DA SILVA (940)</v>
      </c>
      <c r="H4410" t="str">
        <f>"Serv.Prest. 22/09/2025 a 28/09/2025 - PIX: CELULAR - CHAVE: (11) 98447-6954"</f>
        <v>Serv.Prest. 22/09/2025 a 28/09/2025 - PIX: CELULAR - CHAVE: (11) 98447-6954</v>
      </c>
      <c r="I4410" t="str">
        <f t="shared" si="808"/>
        <v>02/10/2025</v>
      </c>
      <c r="J4410" t="str">
        <f t="shared" si="814"/>
        <v>30/09/2025</v>
      </c>
      <c r="K4410" t="str">
        <f>("02/10/2025")</f>
        <v>02/10/2025</v>
      </c>
      <c r="L4410">
        <v>700</v>
      </c>
      <c r="M4410">
        <v>700</v>
      </c>
      <c r="N4410">
        <v>109</v>
      </c>
      <c r="O4410" t="str">
        <f>"PAGAMENTO DE ENTREGADORES"</f>
        <v>PAGAMENTO DE ENTREGADORES</v>
      </c>
      <c r="P4410">
        <v>700</v>
      </c>
      <c r="S4410" t="str">
        <f>"BANCO C6 (149)"</f>
        <v>BANCO C6 (149)</v>
      </c>
      <c r="T4410">
        <v>19115</v>
      </c>
      <c r="U4410">
        <v>22739</v>
      </c>
      <c r="V4410" t="s">
        <v>77</v>
      </c>
    </row>
    <row r="4411" spans="1:22">
      <c r="A4411" t="str">
        <f t="shared" si="806"/>
        <v>02/10/2025</v>
      </c>
      <c r="B4411" t="str">
        <f t="shared" si="812"/>
        <v>SAÍDA</v>
      </c>
      <c r="C4411" t="str">
        <f t="shared" si="807"/>
        <v>PIX</v>
      </c>
      <c r="D4411" t="str">
        <f>"22739"</f>
        <v>22739</v>
      </c>
      <c r="E4411" t="str">
        <f t="shared" si="813"/>
        <v>1</v>
      </c>
      <c r="F4411" t="str">
        <f t="shared" si="815"/>
        <v>COM</v>
      </c>
      <c r="G4411" t="str">
        <f>"JEFFERSON AMORIM DA SILVA (940)"</f>
        <v>JEFFERSON AMORIM DA SILVA (940)</v>
      </c>
      <c r="H4411" t="s">
        <v>1284</v>
      </c>
      <c r="I4411" t="str">
        <f t="shared" si="808"/>
        <v>02/10/2025</v>
      </c>
      <c r="J4411" t="str">
        <f t="shared" si="814"/>
        <v>30/09/2025</v>
      </c>
      <c r="K4411">
        <v>45932</v>
      </c>
      <c r="N4411">
        <v>109</v>
      </c>
      <c r="O4411" t="s">
        <v>24</v>
      </c>
      <c r="Q4411">
        <v>426.09</v>
      </c>
      <c r="R4411" t="str">
        <f>"PENSE FARMA 15 (10195)"</f>
        <v>PENSE FARMA 15 (10195)</v>
      </c>
      <c r="S4411" t="s">
        <v>77</v>
      </c>
      <c r="T4411">
        <v>19115</v>
      </c>
      <c r="U4411">
        <v>22739</v>
      </c>
      <c r="V4411" t="s">
        <v>77</v>
      </c>
    </row>
    <row r="4412" spans="1:22">
      <c r="A4412" t="str">
        <f t="shared" ref="A4412:A4475" si="816">("02/10/2025")</f>
        <v>02/10/2025</v>
      </c>
      <c r="B4412" t="str">
        <f t="shared" si="812"/>
        <v>SAÍDA</v>
      </c>
      <c r="C4412" t="str">
        <f t="shared" ref="C4412:C4431" si="817">"PIX"</f>
        <v>PIX</v>
      </c>
      <c r="D4412" t="str">
        <f>"22739"</f>
        <v>22739</v>
      </c>
      <c r="E4412" t="str">
        <f t="shared" si="813"/>
        <v>1</v>
      </c>
      <c r="F4412" t="str">
        <f t="shared" si="815"/>
        <v>COM</v>
      </c>
      <c r="G4412" t="str">
        <f>"JEFFERSON AMORIM DA SILVA (940)"</f>
        <v>JEFFERSON AMORIM DA SILVA (940)</v>
      </c>
      <c r="H4412" t="s">
        <v>1284</v>
      </c>
      <c r="I4412" t="str">
        <f t="shared" ref="I4412:I4435" si="818">("02/10/2025")</f>
        <v>02/10/2025</v>
      </c>
      <c r="J4412" t="str">
        <f t="shared" si="814"/>
        <v>30/09/2025</v>
      </c>
      <c r="K4412">
        <v>45932</v>
      </c>
      <c r="N4412">
        <v>109</v>
      </c>
      <c r="O4412" t="s">
        <v>24</v>
      </c>
      <c r="Q4412">
        <v>91.28</v>
      </c>
      <c r="R4412" t="str">
        <f>"PENSE FARMA 26 (10196)"</f>
        <v>PENSE FARMA 26 (10196)</v>
      </c>
      <c r="S4412" t="s">
        <v>77</v>
      </c>
      <c r="T4412">
        <v>19115</v>
      </c>
      <c r="U4412">
        <v>22739</v>
      </c>
      <c r="V4412" t="s">
        <v>77</v>
      </c>
    </row>
    <row r="4413" spans="1:22">
      <c r="A4413" t="str">
        <f t="shared" si="816"/>
        <v>02/10/2025</v>
      </c>
      <c r="B4413" t="str">
        <f t="shared" si="812"/>
        <v>SAÍDA</v>
      </c>
      <c r="C4413" t="str">
        <f t="shared" si="817"/>
        <v>PIX</v>
      </c>
      <c r="D4413" t="str">
        <f>"22739"</f>
        <v>22739</v>
      </c>
      <c r="E4413" t="str">
        <f t="shared" si="813"/>
        <v>1</v>
      </c>
      <c r="F4413" t="str">
        <f t="shared" si="815"/>
        <v>COM</v>
      </c>
      <c r="G4413" t="str">
        <f>"JEFFERSON AMORIM DA SILVA (940)"</f>
        <v>JEFFERSON AMORIM DA SILVA (940)</v>
      </c>
      <c r="H4413" t="s">
        <v>1284</v>
      </c>
      <c r="I4413" t="str">
        <f t="shared" si="818"/>
        <v>02/10/2025</v>
      </c>
      <c r="J4413" t="str">
        <f t="shared" si="814"/>
        <v>30/09/2025</v>
      </c>
      <c r="K4413">
        <v>45932</v>
      </c>
      <c r="N4413">
        <v>109</v>
      </c>
      <c r="O4413" t="s">
        <v>24</v>
      </c>
      <c r="Q4413">
        <v>182.63</v>
      </c>
      <c r="R4413" t="str">
        <f>"PENSE FARMA 60 (10197)"</f>
        <v>PENSE FARMA 60 (10197)</v>
      </c>
      <c r="S4413" t="s">
        <v>77</v>
      </c>
      <c r="T4413">
        <v>19115</v>
      </c>
      <c r="U4413">
        <v>22739</v>
      </c>
      <c r="V4413" t="s">
        <v>77</v>
      </c>
    </row>
    <row r="4414" spans="1:22">
      <c r="A4414" t="str">
        <f t="shared" si="816"/>
        <v>02/10/2025</v>
      </c>
      <c r="B4414" t="str">
        <f t="shared" si="812"/>
        <v>SAÍDA</v>
      </c>
      <c r="C4414" t="str">
        <f t="shared" si="817"/>
        <v>PIX</v>
      </c>
      <c r="D4414" t="str">
        <f>"22741"</f>
        <v>22741</v>
      </c>
      <c r="E4414" t="str">
        <f t="shared" si="813"/>
        <v>1</v>
      </c>
      <c r="F4414" t="str">
        <f t="shared" si="815"/>
        <v>COM</v>
      </c>
      <c r="G4414" t="str">
        <f>"JULIEDERSON AGUIAR SANTOS (946)"</f>
        <v>JULIEDERSON AGUIAR SANTOS (946)</v>
      </c>
      <c r="H4414" t="str">
        <f>"Serv.Prest. 22/09/2025 a 28/09/2025 - PIX: CPF - CHAVE: 383.328.968-60"</f>
        <v>Serv.Prest. 22/09/2025 a 28/09/2025 - PIX: CPF - CHAVE: 383.328.968-60</v>
      </c>
      <c r="I4414" t="str">
        <f t="shared" si="818"/>
        <v>02/10/2025</v>
      </c>
      <c r="J4414" t="str">
        <f t="shared" si="814"/>
        <v>30/09/2025</v>
      </c>
      <c r="K4414" t="str">
        <f>("02/10/2025")</f>
        <v>02/10/2025</v>
      </c>
      <c r="L4414">
        <v>600</v>
      </c>
      <c r="M4414">
        <v>600</v>
      </c>
      <c r="N4414">
        <v>109</v>
      </c>
      <c r="O4414" t="str">
        <f>"PAGAMENTO DE ENTREGADORES"</f>
        <v>PAGAMENTO DE ENTREGADORES</v>
      </c>
      <c r="P4414">
        <v>600</v>
      </c>
      <c r="S4414" t="str">
        <f>"BANCO C6 (149)"</f>
        <v>BANCO C6 (149)</v>
      </c>
      <c r="T4414">
        <v>19116</v>
      </c>
      <c r="U4414">
        <v>22741</v>
      </c>
      <c r="V4414" t="s">
        <v>77</v>
      </c>
    </row>
    <row r="4415" spans="1:22">
      <c r="A4415" t="str">
        <f t="shared" si="816"/>
        <v>02/10/2025</v>
      </c>
      <c r="B4415" t="str">
        <f t="shared" ref="B4415:B4432" si="819">"SAÍDA"</f>
        <v>SAÍDA</v>
      </c>
      <c r="C4415" t="str">
        <f t="shared" si="817"/>
        <v>PIX</v>
      </c>
      <c r="D4415" t="str">
        <f>"22741"</f>
        <v>22741</v>
      </c>
      <c r="E4415" t="str">
        <f t="shared" si="813"/>
        <v>1</v>
      </c>
      <c r="F4415" t="str">
        <f t="shared" si="815"/>
        <v>COM</v>
      </c>
      <c r="G4415" t="str">
        <f>"JULIEDERSON AGUIAR SANTOS (946)"</f>
        <v>JULIEDERSON AGUIAR SANTOS (946)</v>
      </c>
      <c r="H4415" t="s">
        <v>1285</v>
      </c>
      <c r="I4415" t="str">
        <f t="shared" si="818"/>
        <v>02/10/2025</v>
      </c>
      <c r="J4415" t="str">
        <f t="shared" si="814"/>
        <v>30/09/2025</v>
      </c>
      <c r="K4415">
        <v>45932</v>
      </c>
      <c r="N4415">
        <v>109</v>
      </c>
      <c r="O4415" t="s">
        <v>24</v>
      </c>
      <c r="Q4415">
        <v>600</v>
      </c>
      <c r="R4415" t="str">
        <f>"PENSE FARMA 22 (10198)"</f>
        <v>PENSE FARMA 22 (10198)</v>
      </c>
      <c r="S4415" t="s">
        <v>77</v>
      </c>
      <c r="T4415">
        <v>19116</v>
      </c>
      <c r="U4415">
        <v>22741</v>
      </c>
      <c r="V4415" t="s">
        <v>77</v>
      </c>
    </row>
    <row r="4416" spans="1:22">
      <c r="A4416" t="str">
        <f t="shared" si="816"/>
        <v>02/10/2025</v>
      </c>
      <c r="B4416" t="str">
        <f t="shared" si="819"/>
        <v>SAÍDA</v>
      </c>
      <c r="C4416" t="str">
        <f t="shared" si="817"/>
        <v>PIX</v>
      </c>
      <c r="D4416" t="str">
        <f>"22742"</f>
        <v>22742</v>
      </c>
      <c r="E4416" t="str">
        <f t="shared" si="813"/>
        <v>1</v>
      </c>
      <c r="F4416" t="str">
        <f t="shared" si="815"/>
        <v>COM</v>
      </c>
      <c r="G4416" t="str">
        <f>"MARCIO DA CONCEICAO (953)"</f>
        <v>MARCIO DA CONCEICAO (953)</v>
      </c>
      <c r="H4416" t="str">
        <f>"Serv.Prest. 22/09/2025 a 28/09/2025 - PIX: CELULAR - CHAVE: (11) 95202-7513"</f>
        <v>Serv.Prest. 22/09/2025 a 28/09/2025 - PIX: CELULAR - CHAVE: (11) 95202-7513</v>
      </c>
      <c r="I4416" t="str">
        <f t="shared" si="818"/>
        <v>02/10/2025</v>
      </c>
      <c r="J4416" t="str">
        <f t="shared" si="814"/>
        <v>30/09/2025</v>
      </c>
      <c r="K4416" t="str">
        <f>("02/10/2025")</f>
        <v>02/10/2025</v>
      </c>
      <c r="L4416">
        <v>300</v>
      </c>
      <c r="M4416">
        <v>300</v>
      </c>
      <c r="N4416">
        <v>109</v>
      </c>
      <c r="O4416" t="str">
        <f>"PAGAMENTO DE ENTREGADORES"</f>
        <v>PAGAMENTO DE ENTREGADORES</v>
      </c>
      <c r="P4416">
        <v>300</v>
      </c>
      <c r="S4416" t="str">
        <f>"BANCO C6 (149)"</f>
        <v>BANCO C6 (149)</v>
      </c>
      <c r="T4416">
        <v>19117</v>
      </c>
      <c r="U4416">
        <v>22742</v>
      </c>
      <c r="V4416" t="s">
        <v>77</v>
      </c>
    </row>
    <row r="4417" spans="1:22">
      <c r="A4417" t="str">
        <f t="shared" si="816"/>
        <v>02/10/2025</v>
      </c>
      <c r="B4417" t="str">
        <f t="shared" si="819"/>
        <v>SAÍDA</v>
      </c>
      <c r="C4417" t="str">
        <f t="shared" si="817"/>
        <v>PIX</v>
      </c>
      <c r="D4417" t="str">
        <f>"22742"</f>
        <v>22742</v>
      </c>
      <c r="E4417" t="str">
        <f t="shared" si="813"/>
        <v>1</v>
      </c>
      <c r="F4417" t="str">
        <f t="shared" si="815"/>
        <v>COM</v>
      </c>
      <c r="G4417" t="str">
        <f>"MARCIO DA CONCEICAO (953)"</f>
        <v>MARCIO DA CONCEICAO (953)</v>
      </c>
      <c r="H4417" t="s">
        <v>1286</v>
      </c>
      <c r="I4417" t="str">
        <f t="shared" si="818"/>
        <v>02/10/2025</v>
      </c>
      <c r="J4417" t="str">
        <f t="shared" si="814"/>
        <v>30/09/2025</v>
      </c>
      <c r="K4417">
        <v>45932</v>
      </c>
      <c r="N4417">
        <v>109</v>
      </c>
      <c r="O4417" t="s">
        <v>24</v>
      </c>
      <c r="Q4417">
        <v>300</v>
      </c>
      <c r="R4417" t="str">
        <f>"PENSE FARMA 22 (10198)"</f>
        <v>PENSE FARMA 22 (10198)</v>
      </c>
      <c r="S4417" t="s">
        <v>77</v>
      </c>
      <c r="T4417">
        <v>19117</v>
      </c>
      <c r="U4417">
        <v>22742</v>
      </c>
      <c r="V4417" t="s">
        <v>77</v>
      </c>
    </row>
    <row r="4418" spans="1:22">
      <c r="A4418" t="str">
        <f t="shared" si="816"/>
        <v>02/10/2025</v>
      </c>
      <c r="B4418" t="str">
        <f t="shared" si="819"/>
        <v>SAÍDA</v>
      </c>
      <c r="C4418" t="str">
        <f t="shared" si="817"/>
        <v>PIX</v>
      </c>
      <c r="D4418" t="str">
        <f>"22743"</f>
        <v>22743</v>
      </c>
      <c r="E4418" t="str">
        <f t="shared" si="813"/>
        <v>1</v>
      </c>
      <c r="F4418" t="str">
        <f t="shared" si="815"/>
        <v>COM</v>
      </c>
      <c r="G4418" t="str">
        <f>"MAURICIO APARECIDO DOS SANTOS (951)"</f>
        <v>MAURICIO APARECIDO DOS SANTOS (951)</v>
      </c>
      <c r="H4418" t="str">
        <f>"Serv.Prest. 22/09/2025 a 28/09/2025 - PIX: CPF - CHAVE: 325.815.008-75"</f>
        <v>Serv.Prest. 22/09/2025 a 28/09/2025 - PIX: CPF - CHAVE: 325.815.008-75</v>
      </c>
      <c r="I4418" t="str">
        <f t="shared" si="818"/>
        <v>02/10/2025</v>
      </c>
      <c r="J4418" t="str">
        <f t="shared" si="814"/>
        <v>30/09/2025</v>
      </c>
      <c r="K4418" t="str">
        <f>("02/10/2025")</f>
        <v>02/10/2025</v>
      </c>
      <c r="L4418">
        <v>100</v>
      </c>
      <c r="M4418">
        <v>100</v>
      </c>
      <c r="N4418">
        <v>109</v>
      </c>
      <c r="O4418" t="str">
        <f>"PAGAMENTO DE ENTREGADORES"</f>
        <v>PAGAMENTO DE ENTREGADORES</v>
      </c>
      <c r="P4418">
        <v>100</v>
      </c>
      <c r="S4418" t="str">
        <f>"BANCO C6 (149)"</f>
        <v>BANCO C6 (149)</v>
      </c>
      <c r="T4418">
        <v>19118</v>
      </c>
      <c r="U4418">
        <v>22743</v>
      </c>
      <c r="V4418" t="s">
        <v>77</v>
      </c>
    </row>
    <row r="4419" spans="1:22">
      <c r="A4419" t="str">
        <f t="shared" si="816"/>
        <v>02/10/2025</v>
      </c>
      <c r="B4419" t="str">
        <f t="shared" si="819"/>
        <v>SAÍDA</v>
      </c>
      <c r="C4419" t="str">
        <f t="shared" si="817"/>
        <v>PIX</v>
      </c>
      <c r="D4419" t="str">
        <f>"22743"</f>
        <v>22743</v>
      </c>
      <c r="E4419" t="str">
        <f t="shared" si="813"/>
        <v>1</v>
      </c>
      <c r="F4419" t="str">
        <f t="shared" si="815"/>
        <v>COM</v>
      </c>
      <c r="G4419" t="str">
        <f>"MAURICIO APARECIDO DOS SANTOS (951)"</f>
        <v>MAURICIO APARECIDO DOS SANTOS (951)</v>
      </c>
      <c r="H4419" t="s">
        <v>1287</v>
      </c>
      <c r="I4419" t="str">
        <f t="shared" si="818"/>
        <v>02/10/2025</v>
      </c>
      <c r="J4419" t="str">
        <f t="shared" si="814"/>
        <v>30/09/2025</v>
      </c>
      <c r="K4419">
        <v>45932</v>
      </c>
      <c r="N4419">
        <v>109</v>
      </c>
      <c r="O4419" t="s">
        <v>24</v>
      </c>
      <c r="Q4419">
        <v>100</v>
      </c>
      <c r="R4419" t="str">
        <f>"PENSE FARMA 22 (10198)"</f>
        <v>PENSE FARMA 22 (10198)</v>
      </c>
      <c r="S4419" t="s">
        <v>77</v>
      </c>
      <c r="T4419">
        <v>19118</v>
      </c>
      <c r="U4419">
        <v>22743</v>
      </c>
      <c r="V4419" t="s">
        <v>77</v>
      </c>
    </row>
    <row r="4420" spans="1:22">
      <c r="A4420" t="str">
        <f t="shared" si="816"/>
        <v>02/10/2025</v>
      </c>
      <c r="B4420" t="str">
        <f t="shared" si="819"/>
        <v>SAÍDA</v>
      </c>
      <c r="C4420" t="str">
        <f t="shared" si="817"/>
        <v>PIX</v>
      </c>
      <c r="D4420" t="str">
        <f>"22746"</f>
        <v>22746</v>
      </c>
      <c r="E4420" t="str">
        <f t="shared" si="813"/>
        <v>1</v>
      </c>
      <c r="F4420" t="str">
        <f t="shared" si="815"/>
        <v>COM</v>
      </c>
      <c r="G4420" t="str">
        <f>"ALBERTO FARIAS DOS SANTOS JUNIOR (800)"</f>
        <v>ALBERTO FARIAS DOS SANTOS JUNIOR (800)</v>
      </c>
      <c r="H4420" t="str">
        <f>"Serv.Prest. 22/09/2025 a 28/09/2025 - PIX: CELULAR - CHAVE: (71) 99696-7530"</f>
        <v>Serv.Prest. 22/09/2025 a 28/09/2025 - PIX: CELULAR - CHAVE: (71) 99696-7530</v>
      </c>
      <c r="I4420" t="str">
        <f t="shared" si="818"/>
        <v>02/10/2025</v>
      </c>
      <c r="J4420" t="str">
        <f t="shared" si="814"/>
        <v>30/09/2025</v>
      </c>
      <c r="K4420" t="str">
        <f>("02/10/2025")</f>
        <v>02/10/2025</v>
      </c>
      <c r="L4420">
        <v>810</v>
      </c>
      <c r="M4420">
        <v>810</v>
      </c>
      <c r="N4420">
        <v>109</v>
      </c>
      <c r="O4420" t="str">
        <f>"PAGAMENTO DE ENTREGADORES"</f>
        <v>PAGAMENTO DE ENTREGADORES</v>
      </c>
      <c r="P4420">
        <v>810</v>
      </c>
      <c r="S4420" t="str">
        <f>"BANCO C6 (149)"</f>
        <v>BANCO C6 (149)</v>
      </c>
      <c r="T4420">
        <v>19119</v>
      </c>
      <c r="U4420">
        <v>22746</v>
      </c>
      <c r="V4420" t="s">
        <v>77</v>
      </c>
    </row>
    <row r="4421" spans="1:22">
      <c r="A4421" t="str">
        <f t="shared" si="816"/>
        <v>02/10/2025</v>
      </c>
      <c r="B4421" t="str">
        <f t="shared" si="819"/>
        <v>SAÍDA</v>
      </c>
      <c r="C4421" t="str">
        <f t="shared" si="817"/>
        <v>PIX</v>
      </c>
      <c r="D4421" t="str">
        <f>"22746"</f>
        <v>22746</v>
      </c>
      <c r="E4421" t="str">
        <f t="shared" si="813"/>
        <v>1</v>
      </c>
      <c r="F4421" t="str">
        <f t="shared" si="815"/>
        <v>COM</v>
      </c>
      <c r="G4421" t="str">
        <f>"ALBERTO FARIAS DOS SANTOS JUNIOR (800)"</f>
        <v>ALBERTO FARIAS DOS SANTOS JUNIOR (800)</v>
      </c>
      <c r="H4421" t="s">
        <v>1288</v>
      </c>
      <c r="I4421" t="str">
        <f t="shared" si="818"/>
        <v>02/10/2025</v>
      </c>
      <c r="J4421" t="str">
        <f t="shared" si="814"/>
        <v>30/09/2025</v>
      </c>
      <c r="K4421">
        <v>45932</v>
      </c>
      <c r="N4421">
        <v>109</v>
      </c>
      <c r="O4421" t="s">
        <v>24</v>
      </c>
      <c r="Q4421">
        <v>810</v>
      </c>
      <c r="R4421" t="str">
        <f>"DELTA LOJA 2 (10123)"</f>
        <v>DELTA LOJA 2 (10123)</v>
      </c>
      <c r="S4421" t="s">
        <v>77</v>
      </c>
      <c r="T4421">
        <v>19119</v>
      </c>
      <c r="U4421">
        <v>22746</v>
      </c>
      <c r="V4421" t="s">
        <v>77</v>
      </c>
    </row>
    <row r="4422" spans="1:22">
      <c r="A4422" t="str">
        <f t="shared" si="816"/>
        <v>02/10/2025</v>
      </c>
      <c r="B4422" t="str">
        <f t="shared" si="819"/>
        <v>SAÍDA</v>
      </c>
      <c r="C4422" t="str">
        <f t="shared" si="817"/>
        <v>PIX</v>
      </c>
      <c r="D4422" t="str">
        <f>"22747"</f>
        <v>22747</v>
      </c>
      <c r="E4422" t="str">
        <f t="shared" si="813"/>
        <v>1</v>
      </c>
      <c r="F4422" t="str">
        <f t="shared" si="815"/>
        <v>COM</v>
      </c>
      <c r="G4422" t="str">
        <f>"EDNUBIA RAMOS ALVES OLIVEIRA (899)"</f>
        <v>EDNUBIA RAMOS ALVES OLIVEIRA (899)</v>
      </c>
      <c r="H4422" t="str">
        <f>"Serv.Prest. 22/09/2025 a 28/09/2025 - PIX: CELULAR - CHAVE: (71) 99214-9256"</f>
        <v>Serv.Prest. 22/09/2025 a 28/09/2025 - PIX: CELULAR - CHAVE: (71) 99214-9256</v>
      </c>
      <c r="I4422" t="str">
        <f t="shared" si="818"/>
        <v>02/10/2025</v>
      </c>
      <c r="J4422" t="str">
        <f t="shared" si="814"/>
        <v>30/09/2025</v>
      </c>
      <c r="K4422" t="str">
        <f>("02/10/2025")</f>
        <v>02/10/2025</v>
      </c>
      <c r="L4422">
        <v>750</v>
      </c>
      <c r="M4422">
        <v>750</v>
      </c>
      <c r="N4422">
        <v>109</v>
      </c>
      <c r="O4422" t="str">
        <f>"PAGAMENTO DE ENTREGADORES"</f>
        <v>PAGAMENTO DE ENTREGADORES</v>
      </c>
      <c r="P4422">
        <v>750</v>
      </c>
      <c r="S4422" t="str">
        <f>"BANCO C6 (149)"</f>
        <v>BANCO C6 (149)</v>
      </c>
      <c r="T4422">
        <v>19120</v>
      </c>
      <c r="U4422">
        <v>22747</v>
      </c>
      <c r="V4422" t="s">
        <v>77</v>
      </c>
    </row>
    <row r="4423" spans="1:22">
      <c r="A4423" t="str">
        <f t="shared" si="816"/>
        <v>02/10/2025</v>
      </c>
      <c r="B4423" t="str">
        <f t="shared" si="819"/>
        <v>SAÍDA</v>
      </c>
      <c r="C4423" t="str">
        <f t="shared" si="817"/>
        <v>PIX</v>
      </c>
      <c r="D4423" t="str">
        <f>"22747"</f>
        <v>22747</v>
      </c>
      <c r="E4423" t="str">
        <f t="shared" si="813"/>
        <v>1</v>
      </c>
      <c r="F4423" t="str">
        <f t="shared" si="815"/>
        <v>COM</v>
      </c>
      <c r="G4423" t="str">
        <f>"EDNUBIA RAMOS ALVES OLIVEIRA (899)"</f>
        <v>EDNUBIA RAMOS ALVES OLIVEIRA (899)</v>
      </c>
      <c r="H4423" t="s">
        <v>1085</v>
      </c>
      <c r="I4423" t="str">
        <f t="shared" si="818"/>
        <v>02/10/2025</v>
      </c>
      <c r="J4423" t="str">
        <f t="shared" si="814"/>
        <v>30/09/2025</v>
      </c>
      <c r="K4423">
        <v>45932</v>
      </c>
      <c r="N4423">
        <v>109</v>
      </c>
      <c r="O4423" t="s">
        <v>24</v>
      </c>
      <c r="Q4423">
        <v>750</v>
      </c>
      <c r="R4423" t="str">
        <f>"DELTA LOJA 2 (10123)"</f>
        <v>DELTA LOJA 2 (10123)</v>
      </c>
      <c r="S4423" t="s">
        <v>77</v>
      </c>
      <c r="T4423">
        <v>19120</v>
      </c>
      <c r="U4423">
        <v>22747</v>
      </c>
      <c r="V4423" t="s">
        <v>77</v>
      </c>
    </row>
    <row r="4424" spans="1:22">
      <c r="A4424" t="str">
        <f t="shared" si="816"/>
        <v>02/10/2025</v>
      </c>
      <c r="B4424" t="str">
        <f t="shared" si="819"/>
        <v>SAÍDA</v>
      </c>
      <c r="C4424" t="str">
        <f t="shared" si="817"/>
        <v>PIX</v>
      </c>
      <c r="D4424" t="str">
        <f>"22748"</f>
        <v>22748</v>
      </c>
      <c r="E4424" t="str">
        <f t="shared" si="813"/>
        <v>1</v>
      </c>
      <c r="F4424" t="str">
        <f t="shared" si="815"/>
        <v>COM</v>
      </c>
      <c r="G4424" t="str">
        <f>"EDVAN DA SILVA ALVES (934)"</f>
        <v>EDVAN DA SILVA ALVES (934)</v>
      </c>
      <c r="H4424" t="str">
        <f>"Serv.Prest. 22/09/2025 a 28/09/2025 - PIX: E-MAIL - CHAVE: edvam18.alves@gmail.com"</f>
        <v>Serv.Prest. 22/09/2025 a 28/09/2025 - PIX: E-MAIL - CHAVE: edvam18.alves@gmail.com</v>
      </c>
      <c r="I4424" t="str">
        <f t="shared" si="818"/>
        <v>02/10/2025</v>
      </c>
      <c r="J4424" t="str">
        <f t="shared" si="814"/>
        <v>30/09/2025</v>
      </c>
      <c r="K4424" t="str">
        <f>("02/10/2025")</f>
        <v>02/10/2025</v>
      </c>
      <c r="L4424">
        <v>750</v>
      </c>
      <c r="M4424">
        <v>750</v>
      </c>
      <c r="N4424">
        <v>109</v>
      </c>
      <c r="O4424" t="str">
        <f>"PAGAMENTO DE ENTREGADORES"</f>
        <v>PAGAMENTO DE ENTREGADORES</v>
      </c>
      <c r="P4424">
        <v>750</v>
      </c>
      <c r="S4424" t="str">
        <f>"BANCO C6 (149)"</f>
        <v>BANCO C6 (149)</v>
      </c>
      <c r="T4424">
        <v>19121</v>
      </c>
      <c r="U4424">
        <v>22748</v>
      </c>
      <c r="V4424" t="s">
        <v>77</v>
      </c>
    </row>
    <row r="4425" spans="1:22">
      <c r="A4425" t="str">
        <f t="shared" si="816"/>
        <v>02/10/2025</v>
      </c>
      <c r="B4425" t="str">
        <f t="shared" si="819"/>
        <v>SAÍDA</v>
      </c>
      <c r="C4425" t="str">
        <f t="shared" si="817"/>
        <v>PIX</v>
      </c>
      <c r="D4425" t="str">
        <f>"22748"</f>
        <v>22748</v>
      </c>
      <c r="E4425" t="str">
        <f t="shared" ref="E4425:E4431" si="820">"1"</f>
        <v>1</v>
      </c>
      <c r="F4425" t="str">
        <f t="shared" si="815"/>
        <v>COM</v>
      </c>
      <c r="G4425" t="str">
        <f>"EDVAN DA SILVA ALVES (934)"</f>
        <v>EDVAN DA SILVA ALVES (934)</v>
      </c>
      <c r="H4425" t="s">
        <v>1289</v>
      </c>
      <c r="I4425" t="str">
        <f t="shared" si="818"/>
        <v>02/10/2025</v>
      </c>
      <c r="J4425" t="str">
        <f t="shared" si="814"/>
        <v>30/09/2025</v>
      </c>
      <c r="K4425">
        <v>45932</v>
      </c>
      <c r="N4425">
        <v>109</v>
      </c>
      <c r="O4425" t="s">
        <v>24</v>
      </c>
      <c r="Q4425">
        <v>750</v>
      </c>
      <c r="R4425" t="str">
        <f>"DELTA LOJA 2 (10123)"</f>
        <v>DELTA LOJA 2 (10123)</v>
      </c>
      <c r="S4425" t="s">
        <v>77</v>
      </c>
      <c r="T4425">
        <v>19121</v>
      </c>
      <c r="U4425">
        <v>22748</v>
      </c>
      <c r="V4425" t="s">
        <v>77</v>
      </c>
    </row>
    <row r="4426" spans="1:22">
      <c r="A4426" t="str">
        <f t="shared" si="816"/>
        <v>02/10/2025</v>
      </c>
      <c r="B4426" t="str">
        <f t="shared" si="819"/>
        <v>SAÍDA</v>
      </c>
      <c r="C4426" t="str">
        <f t="shared" si="817"/>
        <v>PIX</v>
      </c>
      <c r="D4426" t="str">
        <f>"22749"</f>
        <v>22749</v>
      </c>
      <c r="E4426" t="str">
        <f t="shared" si="820"/>
        <v>1</v>
      </c>
      <c r="F4426" t="str">
        <f t="shared" si="815"/>
        <v>COM</v>
      </c>
      <c r="G4426" t="str">
        <f>"ELIENAI ROSA DO NASCIMENTO (343)"</f>
        <v>ELIENAI ROSA DO NASCIMENTO (343)</v>
      </c>
      <c r="H4426" t="str">
        <f>"Serv.Prest. 22/09/2025 a 28/09/2025 - PIX: CPF - CHAVE: 048.672.645-20"</f>
        <v>Serv.Prest. 22/09/2025 a 28/09/2025 - PIX: CPF - CHAVE: 048.672.645-20</v>
      </c>
      <c r="I4426" t="str">
        <f t="shared" si="818"/>
        <v>02/10/2025</v>
      </c>
      <c r="J4426" t="str">
        <f t="shared" si="814"/>
        <v>30/09/2025</v>
      </c>
      <c r="K4426" t="str">
        <f>("02/10/2025")</f>
        <v>02/10/2025</v>
      </c>
      <c r="L4426">
        <v>800</v>
      </c>
      <c r="M4426">
        <v>800</v>
      </c>
      <c r="N4426">
        <v>109</v>
      </c>
      <c r="O4426" t="str">
        <f>"PAGAMENTO DE ENTREGADORES"</f>
        <v>PAGAMENTO DE ENTREGADORES</v>
      </c>
      <c r="P4426">
        <v>800</v>
      </c>
      <c r="S4426" t="str">
        <f>"BANCO C6 (149)"</f>
        <v>BANCO C6 (149)</v>
      </c>
      <c r="T4426">
        <v>19122</v>
      </c>
      <c r="U4426">
        <v>22749</v>
      </c>
      <c r="V4426" t="s">
        <v>77</v>
      </c>
    </row>
    <row r="4427" spans="1:22">
      <c r="A4427" t="str">
        <f t="shared" si="816"/>
        <v>02/10/2025</v>
      </c>
      <c r="B4427" t="str">
        <f t="shared" si="819"/>
        <v>SAÍDA</v>
      </c>
      <c r="C4427" t="str">
        <f t="shared" si="817"/>
        <v>PIX</v>
      </c>
      <c r="D4427" t="str">
        <f>"22749"</f>
        <v>22749</v>
      </c>
      <c r="E4427" t="str">
        <f t="shared" si="820"/>
        <v>1</v>
      </c>
      <c r="F4427" t="str">
        <f t="shared" si="815"/>
        <v>COM</v>
      </c>
      <c r="G4427" t="str">
        <f>"ELIENAI ROSA DO NASCIMENTO (343)"</f>
        <v>ELIENAI ROSA DO NASCIMENTO (343)</v>
      </c>
      <c r="H4427" t="s">
        <v>1290</v>
      </c>
      <c r="I4427" t="str">
        <f t="shared" si="818"/>
        <v>02/10/2025</v>
      </c>
      <c r="J4427" t="str">
        <f t="shared" si="814"/>
        <v>30/09/2025</v>
      </c>
      <c r="K4427">
        <v>45932</v>
      </c>
      <c r="N4427">
        <v>109</v>
      </c>
      <c r="O4427" t="s">
        <v>24</v>
      </c>
      <c r="Q4427">
        <v>800</v>
      </c>
      <c r="R4427" t="str">
        <f>"DELTA LOJA 2 (10123)"</f>
        <v>DELTA LOJA 2 (10123)</v>
      </c>
      <c r="S4427" t="s">
        <v>77</v>
      </c>
      <c r="T4427">
        <v>19122</v>
      </c>
      <c r="U4427">
        <v>22749</v>
      </c>
      <c r="V4427" t="s">
        <v>77</v>
      </c>
    </row>
    <row r="4428" spans="1:22">
      <c r="A4428" t="str">
        <f t="shared" si="816"/>
        <v>02/10/2025</v>
      </c>
      <c r="B4428" t="str">
        <f t="shared" si="819"/>
        <v>SAÍDA</v>
      </c>
      <c r="C4428" t="str">
        <f t="shared" si="817"/>
        <v>PIX</v>
      </c>
      <c r="D4428" t="str">
        <f>"22716"</f>
        <v>22716</v>
      </c>
      <c r="E4428" t="str">
        <f t="shared" si="820"/>
        <v>1</v>
      </c>
      <c r="F4428" t="str">
        <f t="shared" si="815"/>
        <v>COM</v>
      </c>
      <c r="G4428" t="str">
        <f>"WILIANA RODRIGUES E RODRIGUES (398)"</f>
        <v>WILIANA RODRIGUES E RODRIGUES (398)</v>
      </c>
      <c r="H4428" t="str">
        <f>"Serv.Prest. 22/09/2025 a 28/09/2025 - PIX: CPF - CHAVE: 016.203.336-27"</f>
        <v>Serv.Prest. 22/09/2025 a 28/09/2025 - PIX: CPF - CHAVE: 016.203.336-27</v>
      </c>
      <c r="I4428" t="str">
        <f t="shared" si="818"/>
        <v>02/10/2025</v>
      </c>
      <c r="J4428" t="str">
        <f>("29/09/2025")</f>
        <v>29/09/2025</v>
      </c>
      <c r="K4428" t="str">
        <f>("02/10/2025")</f>
        <v>02/10/2025</v>
      </c>
      <c r="L4428">
        <v>140</v>
      </c>
      <c r="M4428">
        <v>140</v>
      </c>
      <c r="N4428">
        <v>109</v>
      </c>
      <c r="O4428" t="str">
        <f>"PAGAMENTO DE ENTREGADORES"</f>
        <v>PAGAMENTO DE ENTREGADORES</v>
      </c>
      <c r="P4428">
        <v>140</v>
      </c>
      <c r="S4428" t="str">
        <f>"BANCO C6 (149)"</f>
        <v>BANCO C6 (149)</v>
      </c>
      <c r="T4428">
        <v>19123</v>
      </c>
      <c r="U4428">
        <v>22750</v>
      </c>
      <c r="V4428" t="s">
        <v>77</v>
      </c>
    </row>
    <row r="4429" spans="1:22">
      <c r="A4429" t="str">
        <f t="shared" si="816"/>
        <v>02/10/2025</v>
      </c>
      <c r="B4429" t="str">
        <f t="shared" si="819"/>
        <v>SAÍDA</v>
      </c>
      <c r="C4429" t="str">
        <f t="shared" si="817"/>
        <v>PIX</v>
      </c>
      <c r="D4429" t="str">
        <f>"22716"</f>
        <v>22716</v>
      </c>
      <c r="E4429" t="str">
        <f t="shared" si="820"/>
        <v>1</v>
      </c>
      <c r="F4429" t="str">
        <f t="shared" si="815"/>
        <v>COM</v>
      </c>
      <c r="G4429" t="str">
        <f>"WILIANA RODRIGUES E RODRIGUES (398)"</f>
        <v>WILIANA RODRIGUES E RODRIGUES (398)</v>
      </c>
      <c r="H4429" t="s">
        <v>1275</v>
      </c>
      <c r="I4429" t="str">
        <f t="shared" si="818"/>
        <v>02/10/2025</v>
      </c>
      <c r="J4429" t="str">
        <f>("29/09/2025")</f>
        <v>29/09/2025</v>
      </c>
      <c r="K4429">
        <v>45932</v>
      </c>
      <c r="N4429">
        <v>109</v>
      </c>
      <c r="O4429" t="s">
        <v>24</v>
      </c>
      <c r="Q4429">
        <v>140</v>
      </c>
      <c r="R4429" t="str">
        <f>"PAGMENOS - LJ 657 (10136)"</f>
        <v>PAGMENOS - LJ 657 (10136)</v>
      </c>
      <c r="S4429" t="s">
        <v>77</v>
      </c>
      <c r="T4429">
        <v>19123</v>
      </c>
      <c r="U4429">
        <v>22750</v>
      </c>
      <c r="V4429" t="s">
        <v>77</v>
      </c>
    </row>
    <row r="4430" spans="1:22">
      <c r="A4430" t="str">
        <f t="shared" si="816"/>
        <v>02/10/2025</v>
      </c>
      <c r="B4430" t="str">
        <f t="shared" si="819"/>
        <v>SAÍDA</v>
      </c>
      <c r="C4430" t="str">
        <f t="shared" si="817"/>
        <v>PIX</v>
      </c>
      <c r="D4430" t="str">
        <f>"22684"</f>
        <v>22684</v>
      </c>
      <c r="E4430" t="str">
        <f t="shared" si="820"/>
        <v>1</v>
      </c>
      <c r="F4430" t="str">
        <f t="shared" si="815"/>
        <v>COM</v>
      </c>
      <c r="G4430" t="str">
        <f>"WILLIAM DA SILVA COSTA (655)"</f>
        <v>WILLIAM DA SILVA COSTA (655)</v>
      </c>
      <c r="H4430" t="str">
        <f>"Serv.Prest. 22/09/2025 a 28/09/2025 - PIX: CELULAR - CHAVE: (64) 97400-9101"</f>
        <v>Serv.Prest. 22/09/2025 a 28/09/2025 - PIX: CELULAR - CHAVE: (64) 97400-9101</v>
      </c>
      <c r="I4430" t="str">
        <f t="shared" si="818"/>
        <v>02/10/2025</v>
      </c>
      <c r="J4430" t="str">
        <f>("29/09/2025")</f>
        <v>29/09/2025</v>
      </c>
      <c r="K4430" t="str">
        <f>("02/10/2025")</f>
        <v>02/10/2025</v>
      </c>
      <c r="L4430">
        <v>1708</v>
      </c>
      <c r="M4430">
        <v>1708</v>
      </c>
      <c r="N4430">
        <v>109</v>
      </c>
      <c r="O4430" t="str">
        <f>"PAGAMENTO DE ENTREGADORES"</f>
        <v>PAGAMENTO DE ENTREGADORES</v>
      </c>
      <c r="P4430">
        <v>1708</v>
      </c>
      <c r="S4430" t="str">
        <f>"BANCO C6 (149)"</f>
        <v>BANCO C6 (149)</v>
      </c>
      <c r="T4430">
        <v>19124</v>
      </c>
      <c r="U4430">
        <v>22751</v>
      </c>
      <c r="V4430" t="s">
        <v>77</v>
      </c>
    </row>
    <row r="4431" spans="1:22">
      <c r="A4431" t="str">
        <f t="shared" si="816"/>
        <v>02/10/2025</v>
      </c>
      <c r="B4431" t="str">
        <f t="shared" si="819"/>
        <v>SAÍDA</v>
      </c>
      <c r="C4431" t="str">
        <f t="shared" si="817"/>
        <v>PIX</v>
      </c>
      <c r="D4431" t="str">
        <f>"22684"</f>
        <v>22684</v>
      </c>
      <c r="E4431" t="str">
        <f t="shared" si="820"/>
        <v>1</v>
      </c>
      <c r="F4431" t="str">
        <f t="shared" si="815"/>
        <v>COM</v>
      </c>
      <c r="G4431" t="str">
        <f>"WILLIAM DA SILVA COSTA (655)"</f>
        <v>WILLIAM DA SILVA COSTA (655)</v>
      </c>
      <c r="H4431" t="s">
        <v>855</v>
      </c>
      <c r="I4431" t="str">
        <f t="shared" si="818"/>
        <v>02/10/2025</v>
      </c>
      <c r="J4431" t="str">
        <f>("29/09/2025")</f>
        <v>29/09/2025</v>
      </c>
      <c r="K4431">
        <v>45932</v>
      </c>
      <c r="N4431">
        <v>109</v>
      </c>
      <c r="O4431" t="s">
        <v>24</v>
      </c>
      <c r="Q4431">
        <v>1708</v>
      </c>
      <c r="R4431" t="str">
        <f>"FARMACIA ECONOMIZE (10103)"</f>
        <v>FARMACIA ECONOMIZE (10103)</v>
      </c>
      <c r="S4431" t="s">
        <v>77</v>
      </c>
      <c r="T4431">
        <v>19124</v>
      </c>
      <c r="U4431">
        <v>22751</v>
      </c>
      <c r="V4431" t="s">
        <v>77</v>
      </c>
    </row>
    <row r="4432" spans="1:22">
      <c r="A4432" t="str">
        <f t="shared" si="816"/>
        <v>02/10/2025</v>
      </c>
      <c r="B4432" t="str">
        <f t="shared" si="819"/>
        <v>SAÍDA</v>
      </c>
      <c r="C4432" t="str">
        <f>"TRANSFERENCIA"</f>
        <v>TRANSFERENCIA</v>
      </c>
      <c r="D4432" t="str">
        <f>""</f>
        <v/>
      </c>
      <c r="F4432" t="str">
        <f>"TRF"</f>
        <v>TRF</v>
      </c>
      <c r="G4432" t="str">
        <f>""</f>
        <v/>
      </c>
      <c r="H4432" t="str">
        <f>"TRANSFERENCIA CORA PARA C6 (102-&gt;149)"</f>
        <v>TRANSFERENCIA CORA PARA C6 (102-&gt;149)</v>
      </c>
      <c r="I4432" t="str">
        <f t="shared" si="818"/>
        <v>02/10/2025</v>
      </c>
      <c r="J4432" t="str">
        <f t="shared" ref="J4432:K4435" si="821">("02/10/2025")</f>
        <v>02/10/2025</v>
      </c>
      <c r="K4432" t="str">
        <f t="shared" si="821"/>
        <v>02/10/2025</v>
      </c>
      <c r="N4432">
        <v>102</v>
      </c>
      <c r="O4432" t="str">
        <f>"BANCO CORA"</f>
        <v>BANCO CORA</v>
      </c>
      <c r="P4432">
        <v>11568.93</v>
      </c>
      <c r="S4432" t="str">
        <f>"BANCO CORA (102)"</f>
        <v>BANCO CORA (102)</v>
      </c>
      <c r="T4432">
        <v>19125</v>
      </c>
      <c r="U4432">
        <v>0</v>
      </c>
      <c r="V4432" t="s">
        <v>22</v>
      </c>
    </row>
    <row r="4433" spans="1:22">
      <c r="A4433" t="str">
        <f t="shared" si="816"/>
        <v>02/10/2025</v>
      </c>
      <c r="B4433" t="str">
        <f>"ENTRADA"</f>
        <v>ENTRADA</v>
      </c>
      <c r="C4433" t="str">
        <f>"TRANSFERENCIA"</f>
        <v>TRANSFERENCIA</v>
      </c>
      <c r="D4433" t="str">
        <f>""</f>
        <v/>
      </c>
      <c r="F4433" t="str">
        <f>"TRF"</f>
        <v>TRF</v>
      </c>
      <c r="G4433" t="str">
        <f>""</f>
        <v/>
      </c>
      <c r="H4433" t="str">
        <f>"TRANSFERENCIA CORA PARA C6 (102-&gt;149)"</f>
        <v>TRANSFERENCIA CORA PARA C6 (102-&gt;149)</v>
      </c>
      <c r="I4433" t="str">
        <f t="shared" si="818"/>
        <v>02/10/2025</v>
      </c>
      <c r="J4433" t="str">
        <f t="shared" si="821"/>
        <v>02/10/2025</v>
      </c>
      <c r="K4433" t="str">
        <f t="shared" si="821"/>
        <v>02/10/2025</v>
      </c>
      <c r="N4433">
        <v>149</v>
      </c>
      <c r="O4433" t="str">
        <f>"BANCO C6"</f>
        <v>BANCO C6</v>
      </c>
      <c r="S4433" t="str">
        <f>"BANCO C6 (149)"</f>
        <v>BANCO C6 (149)</v>
      </c>
      <c r="T4433">
        <v>19125</v>
      </c>
      <c r="U4433">
        <v>0</v>
      </c>
      <c r="V4433" t="s">
        <v>77</v>
      </c>
    </row>
    <row r="4434" spans="1:22">
      <c r="A4434" t="str">
        <f t="shared" si="816"/>
        <v>02/10/2025</v>
      </c>
      <c r="B4434" t="str">
        <f>"SAÍDA"</f>
        <v>SAÍDA</v>
      </c>
      <c r="C4434" t="str">
        <f>"TRANSFERENCIA"</f>
        <v>TRANSFERENCIA</v>
      </c>
      <c r="D4434" t="str">
        <f>""</f>
        <v/>
      </c>
      <c r="F4434" t="str">
        <f>"TRF"</f>
        <v>TRF</v>
      </c>
      <c r="G4434" t="str">
        <f>""</f>
        <v/>
      </c>
      <c r="H4434" t="str">
        <f>"TRANSFENCIA CORA PARA C6 (102-&gt;149)"</f>
        <v>TRANSFENCIA CORA PARA C6 (102-&gt;149)</v>
      </c>
      <c r="I4434" t="str">
        <f t="shared" si="818"/>
        <v>02/10/2025</v>
      </c>
      <c r="J4434" t="str">
        <f t="shared" si="821"/>
        <v>02/10/2025</v>
      </c>
      <c r="K4434" t="str">
        <f t="shared" si="821"/>
        <v>02/10/2025</v>
      </c>
      <c r="N4434">
        <v>102</v>
      </c>
      <c r="O4434" t="str">
        <f>"BANCO CORA"</f>
        <v>BANCO CORA</v>
      </c>
      <c r="P4434">
        <v>10000</v>
      </c>
      <c r="S4434" t="str">
        <f>"BANCO CORA (102)"</f>
        <v>BANCO CORA (102)</v>
      </c>
      <c r="T4434">
        <v>19126</v>
      </c>
      <c r="U4434">
        <v>0</v>
      </c>
      <c r="V4434" t="s">
        <v>22</v>
      </c>
    </row>
    <row r="4435" spans="1:22">
      <c r="A4435" t="str">
        <f t="shared" si="816"/>
        <v>02/10/2025</v>
      </c>
      <c r="B4435" t="str">
        <f t="shared" ref="B4435:B4473" si="822">"ENTRADA"</f>
        <v>ENTRADA</v>
      </c>
      <c r="C4435" t="str">
        <f>"TRANSFERENCIA"</f>
        <v>TRANSFERENCIA</v>
      </c>
      <c r="D4435" t="str">
        <f>""</f>
        <v/>
      </c>
      <c r="F4435" t="str">
        <f>"TRF"</f>
        <v>TRF</v>
      </c>
      <c r="G4435" t="str">
        <f>""</f>
        <v/>
      </c>
      <c r="H4435" t="str">
        <f>"TRANSFENCIA CORA PARA C6 (102-&gt;149)"</f>
        <v>TRANSFENCIA CORA PARA C6 (102-&gt;149)</v>
      </c>
      <c r="I4435" t="str">
        <f t="shared" si="818"/>
        <v>02/10/2025</v>
      </c>
      <c r="J4435" t="str">
        <f t="shared" si="821"/>
        <v>02/10/2025</v>
      </c>
      <c r="K4435" t="str">
        <f t="shared" si="821"/>
        <v>02/10/2025</v>
      </c>
      <c r="N4435">
        <v>149</v>
      </c>
      <c r="O4435" t="str">
        <f>"BANCO C6"</f>
        <v>BANCO C6</v>
      </c>
      <c r="S4435" t="str">
        <f>"BANCO C6 (149)"</f>
        <v>BANCO C6 (149)</v>
      </c>
      <c r="T4435">
        <v>19126</v>
      </c>
      <c r="U4435">
        <v>0</v>
      </c>
      <c r="V4435" t="s">
        <v>77</v>
      </c>
    </row>
    <row r="4436" spans="1:22">
      <c r="A4436" t="str">
        <f t="shared" si="816"/>
        <v>02/10/2025</v>
      </c>
      <c r="B4436" t="str">
        <f t="shared" si="822"/>
        <v>ENTRADA</v>
      </c>
      <c r="C4436" t="str">
        <f t="shared" ref="C4436:C4473" si="823">"NFSE"</f>
        <v>NFSE</v>
      </c>
      <c r="D4436" t="str">
        <f>"3407"</f>
        <v>3407</v>
      </c>
      <c r="E4436" t="str">
        <f t="shared" ref="E4436:E4473" si="824">"1"</f>
        <v>1</v>
      </c>
      <c r="F4436" t="str">
        <f t="shared" ref="F4436:F4473" si="825">"COM"</f>
        <v>COM</v>
      </c>
      <c r="G4436" t="str">
        <f>"AC FARMA - FLEMINFARMA 5 (10183)"</f>
        <v>AC FARMA - FLEMINFARMA 5 (10183)</v>
      </c>
      <c r="H4436" t="str">
        <f>"Serv.Prest. 15/09/2025 a 21/09/2025 - RPS: 1283 - NFSe: 3407"</f>
        <v>Serv.Prest. 15/09/2025 a 21/09/2025 - RPS: 1283 - NFSe: 3407</v>
      </c>
      <c r="I4436" t="str">
        <f t="shared" ref="I4436:I4465" si="826">("01/10/2025")</f>
        <v>01/10/2025</v>
      </c>
      <c r="J4436" t="str">
        <f t="shared" ref="J4436:J4443" si="827">("24/09/2025")</f>
        <v>24/09/2025</v>
      </c>
      <c r="K4436" t="str">
        <f>("02/10/2025")</f>
        <v>02/10/2025</v>
      </c>
      <c r="L4436">
        <v>657.9</v>
      </c>
      <c r="M4436">
        <v>657.9</v>
      </c>
      <c r="N4436">
        <v>303</v>
      </c>
      <c r="O4436" t="str">
        <f>"RECEITAS COM ENTREGAS"</f>
        <v>RECEITAS COM ENTREGAS</v>
      </c>
      <c r="P4436">
        <v>657.9</v>
      </c>
      <c r="S4436" t="str">
        <f>"RECEITAS COM ENTREGAS (303)"</f>
        <v>RECEITAS COM ENTREGAS (303)</v>
      </c>
      <c r="T4436">
        <v>19127</v>
      </c>
      <c r="U4436">
        <v>22507</v>
      </c>
      <c r="V4436" t="s">
        <v>22</v>
      </c>
    </row>
    <row r="4437" spans="1:22">
      <c r="A4437" t="str">
        <f t="shared" si="816"/>
        <v>02/10/2025</v>
      </c>
      <c r="B4437" t="str">
        <f t="shared" si="822"/>
        <v>ENTRADA</v>
      </c>
      <c r="C4437" t="str">
        <f t="shared" si="823"/>
        <v>NFSE</v>
      </c>
      <c r="D4437" t="str">
        <f>"3407"</f>
        <v>3407</v>
      </c>
      <c r="E4437" t="str">
        <f t="shared" si="824"/>
        <v>1</v>
      </c>
      <c r="F4437" t="str">
        <f t="shared" si="825"/>
        <v>COM</v>
      </c>
      <c r="G4437" t="str">
        <f>"AC FARMA - FLEMINFARMA 5 (10183)"</f>
        <v>AC FARMA - FLEMINFARMA 5 (10183)</v>
      </c>
      <c r="H4437" t="s">
        <v>1291</v>
      </c>
      <c r="I4437" t="str">
        <f t="shared" si="826"/>
        <v>01/10/2025</v>
      </c>
      <c r="J4437" t="str">
        <f t="shared" si="827"/>
        <v>24/09/2025</v>
      </c>
      <c r="K4437">
        <v>45932</v>
      </c>
      <c r="N4437">
        <v>303</v>
      </c>
      <c r="O4437" t="s">
        <v>69</v>
      </c>
      <c r="Q4437">
        <v>589.02</v>
      </c>
      <c r="R4437" t="str">
        <f>"AC FARMA - FLEMINFARMA 5 (10183)"</f>
        <v>AC FARMA - FLEMINFARMA 5 (10183)</v>
      </c>
      <c r="S4437" t="s">
        <v>70</v>
      </c>
      <c r="T4437">
        <v>19127</v>
      </c>
      <c r="U4437">
        <v>22507</v>
      </c>
      <c r="V4437" t="s">
        <v>22</v>
      </c>
    </row>
    <row r="4438" spans="1:22">
      <c r="A4438" t="str">
        <f t="shared" si="816"/>
        <v>02/10/2025</v>
      </c>
      <c r="B4438" t="str">
        <f t="shared" si="822"/>
        <v>ENTRADA</v>
      </c>
      <c r="C4438" t="str">
        <f t="shared" si="823"/>
        <v>NFSE</v>
      </c>
      <c r="D4438" t="str">
        <f>"3407"</f>
        <v>3407</v>
      </c>
      <c r="E4438" t="str">
        <f t="shared" si="824"/>
        <v>1</v>
      </c>
      <c r="F4438" t="str">
        <f t="shared" si="825"/>
        <v>COM</v>
      </c>
      <c r="G4438" t="str">
        <f>"AC FARMA - FLEMINFARMA 5 (10183)"</f>
        <v>AC FARMA - FLEMINFARMA 5 (10183)</v>
      </c>
      <c r="H4438" t="s">
        <v>1291</v>
      </c>
      <c r="I4438" t="str">
        <f t="shared" si="826"/>
        <v>01/10/2025</v>
      </c>
      <c r="J4438" t="str">
        <f t="shared" si="827"/>
        <v>24/09/2025</v>
      </c>
      <c r="K4438">
        <v>45932</v>
      </c>
      <c r="N4438">
        <v>303</v>
      </c>
      <c r="O4438" t="s">
        <v>69</v>
      </c>
      <c r="Q4438">
        <v>68.88</v>
      </c>
      <c r="R4438" t="str">
        <f>"AC FARMA - FLEMINFARMA 6 (10184)"</f>
        <v>AC FARMA - FLEMINFARMA 6 (10184)</v>
      </c>
      <c r="S4438" t="s">
        <v>70</v>
      </c>
      <c r="T4438">
        <v>19127</v>
      </c>
      <c r="U4438">
        <v>22507</v>
      </c>
      <c r="V4438" t="s">
        <v>22</v>
      </c>
    </row>
    <row r="4439" spans="1:22">
      <c r="A4439" t="str">
        <f t="shared" si="816"/>
        <v>02/10/2025</v>
      </c>
      <c r="B4439" t="str">
        <f t="shared" si="822"/>
        <v>ENTRADA</v>
      </c>
      <c r="C4439" t="str">
        <f t="shared" si="823"/>
        <v>NFSE</v>
      </c>
      <c r="D4439" t="str">
        <f>"3406"</f>
        <v>3406</v>
      </c>
      <c r="E4439" t="str">
        <f t="shared" si="824"/>
        <v>1</v>
      </c>
      <c r="F4439" t="str">
        <f t="shared" si="825"/>
        <v>COM</v>
      </c>
      <c r="G4439" t="str">
        <f>"AC FARMA - FLEMINFARMA (10160)"</f>
        <v>AC FARMA - FLEMINFARMA (10160)</v>
      </c>
      <c r="H4439" t="str">
        <f>"Serv.Prest. 15/09/2025 a 21/09/2025 - RPS: 1282 - NFSe: 3406"</f>
        <v>Serv.Prest. 15/09/2025 a 21/09/2025 - RPS: 1282 - NFSe: 3406</v>
      </c>
      <c r="I4439" t="str">
        <f t="shared" si="826"/>
        <v>01/10/2025</v>
      </c>
      <c r="J4439" t="str">
        <f t="shared" si="827"/>
        <v>24/09/2025</v>
      </c>
      <c r="K4439" t="str">
        <f>("02/10/2025")</f>
        <v>02/10/2025</v>
      </c>
      <c r="L4439">
        <v>1438.2</v>
      </c>
      <c r="M4439">
        <v>1438.2</v>
      </c>
      <c r="N4439">
        <v>303</v>
      </c>
      <c r="O4439" t="str">
        <f>"RECEITAS COM ENTREGAS"</f>
        <v>RECEITAS COM ENTREGAS</v>
      </c>
      <c r="P4439">
        <v>1438.2</v>
      </c>
      <c r="S4439" t="str">
        <f>"RECEITAS COM ENTREGAS (303)"</f>
        <v>RECEITAS COM ENTREGAS (303)</v>
      </c>
      <c r="T4439">
        <v>19128</v>
      </c>
      <c r="U4439">
        <v>22500</v>
      </c>
      <c r="V4439" t="s">
        <v>22</v>
      </c>
    </row>
    <row r="4440" spans="1:22">
      <c r="A4440" t="str">
        <f t="shared" si="816"/>
        <v>02/10/2025</v>
      </c>
      <c r="B4440" t="str">
        <f t="shared" si="822"/>
        <v>ENTRADA</v>
      </c>
      <c r="C4440" t="str">
        <f t="shared" si="823"/>
        <v>NFSE</v>
      </c>
      <c r="D4440" t="str">
        <f>"3406"</f>
        <v>3406</v>
      </c>
      <c r="E4440" t="str">
        <f t="shared" si="824"/>
        <v>1</v>
      </c>
      <c r="F4440" t="str">
        <f t="shared" si="825"/>
        <v>COM</v>
      </c>
      <c r="G4440" t="str">
        <f>"AC FARMA - FLEMINFARMA (10160)"</f>
        <v>AC FARMA - FLEMINFARMA (10160)</v>
      </c>
      <c r="H4440" t="s">
        <v>1292</v>
      </c>
      <c r="I4440" t="str">
        <f t="shared" si="826"/>
        <v>01/10/2025</v>
      </c>
      <c r="J4440" t="str">
        <f t="shared" si="827"/>
        <v>24/09/2025</v>
      </c>
      <c r="K4440">
        <v>45932</v>
      </c>
      <c r="N4440">
        <v>303</v>
      </c>
      <c r="O4440" t="s">
        <v>69</v>
      </c>
      <c r="Q4440">
        <v>1384.7</v>
      </c>
      <c r="R4440" t="str">
        <f>"AC FARMA -  FLEMINFARMA (10159)"</f>
        <v>AC FARMA -  FLEMINFARMA (10159)</v>
      </c>
      <c r="S4440" t="s">
        <v>70</v>
      </c>
      <c r="T4440">
        <v>19128</v>
      </c>
      <c r="U4440">
        <v>22500</v>
      </c>
      <c r="V4440" t="s">
        <v>22</v>
      </c>
    </row>
    <row r="4441" spans="1:22">
      <c r="A4441" t="str">
        <f t="shared" si="816"/>
        <v>02/10/2025</v>
      </c>
      <c r="B4441" t="str">
        <f t="shared" si="822"/>
        <v>ENTRADA</v>
      </c>
      <c r="C4441" t="str">
        <f t="shared" si="823"/>
        <v>NFSE</v>
      </c>
      <c r="D4441" t="str">
        <f>"3406"</f>
        <v>3406</v>
      </c>
      <c r="E4441" t="str">
        <f t="shared" si="824"/>
        <v>1</v>
      </c>
      <c r="F4441" t="str">
        <f t="shared" si="825"/>
        <v>COM</v>
      </c>
      <c r="G4441" t="str">
        <f>"AC FARMA - FLEMINFARMA (10160)"</f>
        <v>AC FARMA - FLEMINFARMA (10160)</v>
      </c>
      <c r="H4441" t="s">
        <v>1292</v>
      </c>
      <c r="I4441" t="str">
        <f t="shared" si="826"/>
        <v>01/10/2025</v>
      </c>
      <c r="J4441" t="str">
        <f t="shared" si="827"/>
        <v>24/09/2025</v>
      </c>
      <c r="K4441">
        <v>45932</v>
      </c>
      <c r="N4441">
        <v>303</v>
      </c>
      <c r="O4441" t="s">
        <v>69</v>
      </c>
      <c r="Q4441">
        <v>53.5</v>
      </c>
      <c r="R4441" t="str">
        <f>"AC FARMA - FLEMINFARMA (10160)"</f>
        <v>AC FARMA - FLEMINFARMA (10160)</v>
      </c>
      <c r="S4441" t="s">
        <v>70</v>
      </c>
      <c r="T4441">
        <v>19128</v>
      </c>
      <c r="U4441">
        <v>22500</v>
      </c>
      <c r="V4441" t="s">
        <v>22</v>
      </c>
    </row>
    <row r="4442" spans="1:22">
      <c r="A4442" t="str">
        <f t="shared" si="816"/>
        <v>02/10/2025</v>
      </c>
      <c r="B4442" t="str">
        <f t="shared" si="822"/>
        <v>ENTRADA</v>
      </c>
      <c r="C4442" t="str">
        <f t="shared" si="823"/>
        <v>NFSE</v>
      </c>
      <c r="D4442" t="str">
        <f>"3405"</f>
        <v>3405</v>
      </c>
      <c r="E4442" t="str">
        <f t="shared" si="824"/>
        <v>1</v>
      </c>
      <c r="F4442" t="str">
        <f t="shared" si="825"/>
        <v>COM</v>
      </c>
      <c r="G4442" t="str">
        <f>"AC FARMA - CID.ALTA (10166)"</f>
        <v>AC FARMA - CID.ALTA (10166)</v>
      </c>
      <c r="H4442" t="str">
        <f>"Serv.Prest. 15/09/2025 a 21/09/2025 - RPS: 1281 - NFSe: 3405"</f>
        <v>Serv.Prest. 15/09/2025 a 21/09/2025 - RPS: 1281 - NFSe: 3405</v>
      </c>
      <c r="I4442" t="str">
        <f t="shared" si="826"/>
        <v>01/10/2025</v>
      </c>
      <c r="J4442" t="str">
        <f t="shared" si="827"/>
        <v>24/09/2025</v>
      </c>
      <c r="K4442" t="str">
        <f>("02/10/2025")</f>
        <v>02/10/2025</v>
      </c>
      <c r="L4442">
        <v>5556.6</v>
      </c>
      <c r="M4442">
        <v>5556.6</v>
      </c>
      <c r="N4442">
        <v>303</v>
      </c>
      <c r="O4442" t="str">
        <f>"RECEITAS COM ENTREGAS"</f>
        <v>RECEITAS COM ENTREGAS</v>
      </c>
      <c r="P4442">
        <v>5556.6</v>
      </c>
      <c r="S4442" t="str">
        <f>"RECEITAS COM ENTREGAS (303)"</f>
        <v>RECEITAS COM ENTREGAS (303)</v>
      </c>
      <c r="T4442">
        <v>19129</v>
      </c>
      <c r="U4442">
        <v>22492</v>
      </c>
      <c r="V4442" t="s">
        <v>22</v>
      </c>
    </row>
    <row r="4443" spans="1:22">
      <c r="A4443" t="str">
        <f t="shared" si="816"/>
        <v>02/10/2025</v>
      </c>
      <c r="B4443" t="str">
        <f t="shared" si="822"/>
        <v>ENTRADA</v>
      </c>
      <c r="C4443" t="str">
        <f t="shared" si="823"/>
        <v>NFSE</v>
      </c>
      <c r="D4443" t="str">
        <f>"3405"</f>
        <v>3405</v>
      </c>
      <c r="E4443" t="str">
        <f t="shared" si="824"/>
        <v>1</v>
      </c>
      <c r="F4443" t="str">
        <f t="shared" si="825"/>
        <v>COM</v>
      </c>
      <c r="G4443" t="str">
        <f>"AC FARMA - CID.ALTA (10166)"</f>
        <v>AC FARMA - CID.ALTA (10166)</v>
      </c>
      <c r="H4443" t="s">
        <v>1293</v>
      </c>
      <c r="I4443" t="str">
        <f t="shared" si="826"/>
        <v>01/10/2025</v>
      </c>
      <c r="J4443" t="str">
        <f t="shared" si="827"/>
        <v>24/09/2025</v>
      </c>
      <c r="K4443">
        <v>45932</v>
      </c>
      <c r="N4443">
        <v>303</v>
      </c>
      <c r="O4443" t="s">
        <v>69</v>
      </c>
      <c r="Q4443">
        <v>5556.6</v>
      </c>
      <c r="R4443" t="str">
        <f>"AC FARMA - CID.ALTA (10166)"</f>
        <v>AC FARMA - CID.ALTA (10166)</v>
      </c>
      <c r="S4443" t="s">
        <v>70</v>
      </c>
      <c r="T4443">
        <v>19129</v>
      </c>
      <c r="U4443">
        <v>22492</v>
      </c>
      <c r="V4443" t="s">
        <v>22</v>
      </c>
    </row>
    <row r="4444" spans="1:22">
      <c r="A4444" t="str">
        <f t="shared" si="816"/>
        <v>02/10/2025</v>
      </c>
      <c r="B4444" t="str">
        <f t="shared" si="822"/>
        <v>ENTRADA</v>
      </c>
      <c r="C4444" t="str">
        <f t="shared" si="823"/>
        <v>NFSE</v>
      </c>
      <c r="D4444" t="str">
        <f>"3412"</f>
        <v>3412</v>
      </c>
      <c r="E4444" t="str">
        <f t="shared" si="824"/>
        <v>1</v>
      </c>
      <c r="F4444" t="str">
        <f t="shared" si="825"/>
        <v>COM</v>
      </c>
      <c r="G4444" t="str">
        <f>"BRASIL FARMA (10173)"</f>
        <v>BRASIL FARMA (10173)</v>
      </c>
      <c r="H4444" t="str">
        <f>"Serv.Prest. 22/09/2025 a 28/09/2025 - RPS: 1288 - NFSe: 3412"</f>
        <v>Serv.Prest. 22/09/2025 a 28/09/2025 - RPS: 1288 - NFSe: 3412</v>
      </c>
      <c r="I4444" t="str">
        <f t="shared" si="826"/>
        <v>01/10/2025</v>
      </c>
      <c r="J4444" t="str">
        <f t="shared" ref="J4444:J4463" si="828">("29/09/2025")</f>
        <v>29/09/2025</v>
      </c>
      <c r="K4444" t="str">
        <f>("02/10/2025")</f>
        <v>02/10/2025</v>
      </c>
      <c r="L4444">
        <v>1685.04</v>
      </c>
      <c r="M4444">
        <v>1685.04</v>
      </c>
      <c r="N4444">
        <v>303</v>
      </c>
      <c r="O4444" t="str">
        <f>"RECEITAS COM ENTREGAS"</f>
        <v>RECEITAS COM ENTREGAS</v>
      </c>
      <c r="P4444">
        <v>1685.04</v>
      </c>
      <c r="S4444" t="str">
        <f>"RECEITAS COM ENTREGAS (303)"</f>
        <v>RECEITAS COM ENTREGAS (303)</v>
      </c>
      <c r="T4444">
        <v>19130</v>
      </c>
      <c r="U4444">
        <v>22662</v>
      </c>
      <c r="V4444" t="s">
        <v>22</v>
      </c>
    </row>
    <row r="4445" spans="1:22">
      <c r="A4445" t="str">
        <f t="shared" si="816"/>
        <v>02/10/2025</v>
      </c>
      <c r="B4445" t="str">
        <f t="shared" si="822"/>
        <v>ENTRADA</v>
      </c>
      <c r="C4445" t="str">
        <f t="shared" si="823"/>
        <v>NFSE</v>
      </c>
      <c r="D4445" t="str">
        <f>"3412"</f>
        <v>3412</v>
      </c>
      <c r="E4445" t="str">
        <f t="shared" si="824"/>
        <v>1</v>
      </c>
      <c r="F4445" t="str">
        <f t="shared" si="825"/>
        <v>COM</v>
      </c>
      <c r="G4445" t="str">
        <f>"BRASIL FARMA (10173)"</f>
        <v>BRASIL FARMA (10173)</v>
      </c>
      <c r="H4445" t="s">
        <v>1294</v>
      </c>
      <c r="I4445" t="str">
        <f t="shared" si="826"/>
        <v>01/10/2025</v>
      </c>
      <c r="J4445" t="str">
        <f t="shared" si="828"/>
        <v>29/09/2025</v>
      </c>
      <c r="K4445">
        <v>45932</v>
      </c>
      <c r="N4445">
        <v>303</v>
      </c>
      <c r="O4445" t="s">
        <v>69</v>
      </c>
      <c r="Q4445">
        <v>1685.04</v>
      </c>
      <c r="R4445" t="str">
        <f>"BRASIL FARMA (10173)"</f>
        <v>BRASIL FARMA (10173)</v>
      </c>
      <c r="S4445" t="s">
        <v>70</v>
      </c>
      <c r="T4445">
        <v>19130</v>
      </c>
      <c r="U4445">
        <v>22662</v>
      </c>
      <c r="V4445" t="s">
        <v>22</v>
      </c>
    </row>
    <row r="4446" spans="1:22">
      <c r="A4446" t="str">
        <f t="shared" si="816"/>
        <v>02/10/2025</v>
      </c>
      <c r="B4446" t="str">
        <f t="shared" si="822"/>
        <v>ENTRADA</v>
      </c>
      <c r="C4446" t="str">
        <f t="shared" si="823"/>
        <v>NFSE</v>
      </c>
      <c r="D4446" t="str">
        <f>"3415"</f>
        <v>3415</v>
      </c>
      <c r="E4446" t="str">
        <f t="shared" si="824"/>
        <v>1</v>
      </c>
      <c r="F4446" t="str">
        <f t="shared" si="825"/>
        <v>COM</v>
      </c>
      <c r="G4446" t="str">
        <f>"DROGARIA TOTAL JUNDIAI (10177)"</f>
        <v>DROGARIA TOTAL JUNDIAI (10177)</v>
      </c>
      <c r="H4446" t="str">
        <f>"Serv.Prest. 22/09/2025 a 28/09/2025 - RPS: 1291 - NFSe: 3415"</f>
        <v>Serv.Prest. 22/09/2025 a 28/09/2025 - RPS: 1291 - NFSe: 3415</v>
      </c>
      <c r="I4446" t="str">
        <f t="shared" si="826"/>
        <v>01/10/2025</v>
      </c>
      <c r="J4446" t="str">
        <f t="shared" si="828"/>
        <v>29/09/2025</v>
      </c>
      <c r="K4446" t="str">
        <f>("02/10/2025")</f>
        <v>02/10/2025</v>
      </c>
      <c r="L4446">
        <v>902.42</v>
      </c>
      <c r="M4446">
        <v>902.42</v>
      </c>
      <c r="N4446">
        <v>303</v>
      </c>
      <c r="O4446" t="str">
        <f>"RECEITAS COM ENTREGAS"</f>
        <v>RECEITAS COM ENTREGAS</v>
      </c>
      <c r="P4446">
        <v>902.42</v>
      </c>
      <c r="S4446" t="str">
        <f>"RECEITAS COM ENTREGAS (303)"</f>
        <v>RECEITAS COM ENTREGAS (303)</v>
      </c>
      <c r="T4446">
        <v>19131</v>
      </c>
      <c r="U4446">
        <v>22672</v>
      </c>
      <c r="V4446" t="s">
        <v>22</v>
      </c>
    </row>
    <row r="4447" spans="1:22">
      <c r="A4447" t="str">
        <f t="shared" si="816"/>
        <v>02/10/2025</v>
      </c>
      <c r="B4447" t="str">
        <f t="shared" si="822"/>
        <v>ENTRADA</v>
      </c>
      <c r="C4447" t="str">
        <f t="shared" si="823"/>
        <v>NFSE</v>
      </c>
      <c r="D4447" t="str">
        <f>"3415"</f>
        <v>3415</v>
      </c>
      <c r="E4447" t="str">
        <f t="shared" si="824"/>
        <v>1</v>
      </c>
      <c r="F4447" t="str">
        <f t="shared" si="825"/>
        <v>COM</v>
      </c>
      <c r="G4447" t="str">
        <f>"DROGARIA TOTAL JUNDIAI (10177)"</f>
        <v>DROGARIA TOTAL JUNDIAI (10177)</v>
      </c>
      <c r="H4447" t="s">
        <v>1295</v>
      </c>
      <c r="I4447" t="str">
        <f t="shared" si="826"/>
        <v>01/10/2025</v>
      </c>
      <c r="J4447" t="str">
        <f t="shared" si="828"/>
        <v>29/09/2025</v>
      </c>
      <c r="K4447">
        <v>45932</v>
      </c>
      <c r="N4447">
        <v>303</v>
      </c>
      <c r="O4447" t="s">
        <v>69</v>
      </c>
      <c r="Q4447">
        <v>902.42</v>
      </c>
      <c r="R4447" t="str">
        <f>"DROGARIA TOTAL JUNDIAI (10177)"</f>
        <v>DROGARIA TOTAL JUNDIAI (10177)</v>
      </c>
      <c r="S4447" t="s">
        <v>70</v>
      </c>
      <c r="T4447">
        <v>19131</v>
      </c>
      <c r="U4447">
        <v>22672</v>
      </c>
      <c r="V4447" t="s">
        <v>22</v>
      </c>
    </row>
    <row r="4448" spans="1:22">
      <c r="A4448" t="str">
        <f t="shared" si="816"/>
        <v>02/10/2025</v>
      </c>
      <c r="B4448" t="str">
        <f t="shared" si="822"/>
        <v>ENTRADA</v>
      </c>
      <c r="C4448" t="str">
        <f t="shared" si="823"/>
        <v>NFSE</v>
      </c>
      <c r="D4448" t="str">
        <f>"3418"</f>
        <v>3418</v>
      </c>
      <c r="E4448" t="str">
        <f t="shared" si="824"/>
        <v>1</v>
      </c>
      <c r="F4448" t="str">
        <f t="shared" si="825"/>
        <v>COM</v>
      </c>
      <c r="G4448" t="str">
        <f>"FARMACIA ECONOMIZE (10103)"</f>
        <v>FARMACIA ECONOMIZE (10103)</v>
      </c>
      <c r="H4448" t="str">
        <f>"Serv.Prest. 22/09/2025 a 28/09/2025 - RPS: 1294 - NFSe: 3418"</f>
        <v>Serv.Prest. 22/09/2025 a 28/09/2025 - RPS: 1294 - NFSe: 3418</v>
      </c>
      <c r="I4448" t="str">
        <f t="shared" si="826"/>
        <v>01/10/2025</v>
      </c>
      <c r="J4448" t="str">
        <f t="shared" si="828"/>
        <v>29/09/2025</v>
      </c>
      <c r="K4448" t="str">
        <f>("02/10/2025")</f>
        <v>02/10/2025</v>
      </c>
      <c r="L4448">
        <v>2185.92</v>
      </c>
      <c r="M4448">
        <v>2185.92</v>
      </c>
      <c r="N4448">
        <v>303</v>
      </c>
      <c r="O4448" t="str">
        <f>"RECEITAS COM ENTREGAS"</f>
        <v>RECEITAS COM ENTREGAS</v>
      </c>
      <c r="P4448">
        <v>2185.92</v>
      </c>
      <c r="S4448" t="str">
        <f>"RECEITAS COM ENTREGAS (303)"</f>
        <v>RECEITAS COM ENTREGAS (303)</v>
      </c>
      <c r="T4448">
        <v>19132</v>
      </c>
      <c r="U4448">
        <v>22682</v>
      </c>
      <c r="V4448" t="s">
        <v>22</v>
      </c>
    </row>
    <row r="4449" spans="1:22">
      <c r="A4449" t="str">
        <f t="shared" si="816"/>
        <v>02/10/2025</v>
      </c>
      <c r="B4449" t="str">
        <f t="shared" si="822"/>
        <v>ENTRADA</v>
      </c>
      <c r="C4449" t="str">
        <f t="shared" si="823"/>
        <v>NFSE</v>
      </c>
      <c r="D4449" t="str">
        <f>"3418"</f>
        <v>3418</v>
      </c>
      <c r="E4449" t="str">
        <f t="shared" si="824"/>
        <v>1</v>
      </c>
      <c r="F4449" t="str">
        <f t="shared" si="825"/>
        <v>COM</v>
      </c>
      <c r="G4449" t="str">
        <f>"FARMACIA ECONOMIZE (10103)"</f>
        <v>FARMACIA ECONOMIZE (10103)</v>
      </c>
      <c r="H4449" t="s">
        <v>1296</v>
      </c>
      <c r="I4449" t="str">
        <f t="shared" si="826"/>
        <v>01/10/2025</v>
      </c>
      <c r="J4449" t="str">
        <f t="shared" si="828"/>
        <v>29/09/2025</v>
      </c>
      <c r="K4449">
        <v>45932</v>
      </c>
      <c r="N4449">
        <v>303</v>
      </c>
      <c r="O4449" t="s">
        <v>69</v>
      </c>
      <c r="Q4449">
        <v>2185.92</v>
      </c>
      <c r="R4449" t="str">
        <f>"FARMACIA ECONOMIZE (10103)"</f>
        <v>FARMACIA ECONOMIZE (10103)</v>
      </c>
      <c r="S4449" t="s">
        <v>70</v>
      </c>
      <c r="T4449">
        <v>19132</v>
      </c>
      <c r="U4449">
        <v>22682</v>
      </c>
      <c r="V4449" t="s">
        <v>22</v>
      </c>
    </row>
    <row r="4450" spans="1:22">
      <c r="A4450" t="str">
        <f t="shared" si="816"/>
        <v>02/10/2025</v>
      </c>
      <c r="B4450" t="str">
        <f t="shared" si="822"/>
        <v>ENTRADA</v>
      </c>
      <c r="C4450" t="str">
        <f t="shared" si="823"/>
        <v>NFSE</v>
      </c>
      <c r="D4450" t="str">
        <f>"3419"</f>
        <v>3419</v>
      </c>
      <c r="E4450" t="str">
        <f t="shared" si="824"/>
        <v>1</v>
      </c>
      <c r="F4450" t="str">
        <f t="shared" si="825"/>
        <v>COM</v>
      </c>
      <c r="G4450" t="str">
        <f>"DROGARIA ANA VISCONDE DO RIO BRANCO (10182)"</f>
        <v>DROGARIA ANA VISCONDE DO RIO BRANCO (10182)</v>
      </c>
      <c r="H4450" t="str">
        <f>"Serv.Prest. 22/09/2025 a 28/09/2025 - RPS: 1295 - NFSe: 3419"</f>
        <v>Serv.Prest. 22/09/2025 a 28/09/2025 - RPS: 1295 - NFSe: 3419</v>
      </c>
      <c r="I4450" t="str">
        <f t="shared" si="826"/>
        <v>01/10/2025</v>
      </c>
      <c r="J4450" t="str">
        <f t="shared" si="828"/>
        <v>29/09/2025</v>
      </c>
      <c r="K4450" t="str">
        <f>("02/10/2025")</f>
        <v>02/10/2025</v>
      </c>
      <c r="L4450">
        <v>4437.72</v>
      </c>
      <c r="M4450">
        <v>4437.72</v>
      </c>
      <c r="N4450">
        <v>303</v>
      </c>
      <c r="O4450" t="str">
        <f>"RECEITAS COM ENTREGAS"</f>
        <v>RECEITAS COM ENTREGAS</v>
      </c>
      <c r="P4450">
        <v>4437.72</v>
      </c>
      <c r="S4450" t="str">
        <f>"RECEITAS COM ENTREGAS (303)"</f>
        <v>RECEITAS COM ENTREGAS (303)</v>
      </c>
      <c r="T4450">
        <v>19133</v>
      </c>
      <c r="U4450">
        <v>22685</v>
      </c>
      <c r="V4450" t="s">
        <v>22</v>
      </c>
    </row>
    <row r="4451" spans="1:22">
      <c r="A4451" t="str">
        <f t="shared" si="816"/>
        <v>02/10/2025</v>
      </c>
      <c r="B4451" t="str">
        <f t="shared" si="822"/>
        <v>ENTRADA</v>
      </c>
      <c r="C4451" t="str">
        <f t="shared" si="823"/>
        <v>NFSE</v>
      </c>
      <c r="D4451" t="str">
        <f>"3419"</f>
        <v>3419</v>
      </c>
      <c r="E4451" t="str">
        <f t="shared" si="824"/>
        <v>1</v>
      </c>
      <c r="F4451" t="str">
        <f t="shared" si="825"/>
        <v>COM</v>
      </c>
      <c r="G4451" t="str">
        <f>"DROGARIA ANA VISCONDE DO RIO BRANCO (10182)"</f>
        <v>DROGARIA ANA VISCONDE DO RIO BRANCO (10182)</v>
      </c>
      <c r="H4451" t="s">
        <v>1297</v>
      </c>
      <c r="I4451" t="str">
        <f t="shared" si="826"/>
        <v>01/10/2025</v>
      </c>
      <c r="J4451" t="str">
        <f t="shared" si="828"/>
        <v>29/09/2025</v>
      </c>
      <c r="K4451">
        <v>45932</v>
      </c>
      <c r="N4451">
        <v>303</v>
      </c>
      <c r="O4451" t="s">
        <v>69</v>
      </c>
      <c r="Q4451">
        <v>4437.72</v>
      </c>
      <c r="R4451" t="str">
        <f>"DROGARIA ANA VISCONDE DO RIO BRANCO (10182)"</f>
        <v>DROGARIA ANA VISCONDE DO RIO BRANCO (10182)</v>
      </c>
      <c r="S4451" t="s">
        <v>70</v>
      </c>
      <c r="T4451">
        <v>19133</v>
      </c>
      <c r="U4451">
        <v>22685</v>
      </c>
      <c r="V4451" t="s">
        <v>22</v>
      </c>
    </row>
    <row r="4452" spans="1:22">
      <c r="A4452" t="str">
        <f t="shared" si="816"/>
        <v>02/10/2025</v>
      </c>
      <c r="B4452" t="str">
        <f t="shared" si="822"/>
        <v>ENTRADA</v>
      </c>
      <c r="C4452" t="str">
        <f t="shared" si="823"/>
        <v>NFSE</v>
      </c>
      <c r="D4452" t="str">
        <f>"3420"</f>
        <v>3420</v>
      </c>
      <c r="E4452" t="str">
        <f t="shared" si="824"/>
        <v>1</v>
      </c>
      <c r="F4452" t="str">
        <f t="shared" si="825"/>
        <v>COM</v>
      </c>
      <c r="G4452" t="str">
        <f>"DROGA ELIDA (10121)"</f>
        <v>DROGA ELIDA (10121)</v>
      </c>
      <c r="H4452" t="str">
        <f>"Serv.Prest. 22/09/2025 a 28/09/2025 - RPS: 1296 - NFSe: 3420"</f>
        <v>Serv.Prest. 22/09/2025 a 28/09/2025 - RPS: 1296 - NFSe: 3420</v>
      </c>
      <c r="I4452" t="str">
        <f t="shared" si="826"/>
        <v>01/10/2025</v>
      </c>
      <c r="J4452" t="str">
        <f t="shared" si="828"/>
        <v>29/09/2025</v>
      </c>
      <c r="K4452" t="str">
        <f>("02/10/2025")</f>
        <v>02/10/2025</v>
      </c>
      <c r="L4452">
        <v>1839.6</v>
      </c>
      <c r="M4452">
        <v>1839.6</v>
      </c>
      <c r="N4452">
        <v>303</v>
      </c>
      <c r="O4452" t="str">
        <f>"RECEITAS COM ENTREGAS"</f>
        <v>RECEITAS COM ENTREGAS</v>
      </c>
      <c r="P4452">
        <v>1839.6</v>
      </c>
      <c r="S4452" t="str">
        <f>"RECEITAS COM ENTREGAS (303)"</f>
        <v>RECEITAS COM ENTREGAS (303)</v>
      </c>
      <c r="T4452">
        <v>19134</v>
      </c>
      <c r="U4452">
        <v>22691</v>
      </c>
      <c r="V4452" t="s">
        <v>22</v>
      </c>
    </row>
    <row r="4453" spans="1:22">
      <c r="A4453" t="str">
        <f t="shared" si="816"/>
        <v>02/10/2025</v>
      </c>
      <c r="B4453" t="str">
        <f t="shared" si="822"/>
        <v>ENTRADA</v>
      </c>
      <c r="C4453" t="str">
        <f t="shared" si="823"/>
        <v>NFSE</v>
      </c>
      <c r="D4453" t="str">
        <f>"3420"</f>
        <v>3420</v>
      </c>
      <c r="E4453" t="str">
        <f t="shared" si="824"/>
        <v>1</v>
      </c>
      <c r="F4453" t="str">
        <f t="shared" si="825"/>
        <v>COM</v>
      </c>
      <c r="G4453" t="str">
        <f>"DROGA ELIDA (10121)"</f>
        <v>DROGA ELIDA (10121)</v>
      </c>
      <c r="H4453" t="s">
        <v>1298</v>
      </c>
      <c r="I4453" t="str">
        <f t="shared" si="826"/>
        <v>01/10/2025</v>
      </c>
      <c r="J4453" t="str">
        <f t="shared" si="828"/>
        <v>29/09/2025</v>
      </c>
      <c r="K4453">
        <v>45932</v>
      </c>
      <c r="N4453">
        <v>303</v>
      </c>
      <c r="O4453" t="s">
        <v>69</v>
      </c>
      <c r="Q4453">
        <v>1839.6</v>
      </c>
      <c r="R4453" t="str">
        <f>"DROGA ELIDA (10121)"</f>
        <v>DROGA ELIDA (10121)</v>
      </c>
      <c r="S4453" t="s">
        <v>70</v>
      </c>
      <c r="T4453">
        <v>19134</v>
      </c>
      <c r="U4453">
        <v>22691</v>
      </c>
      <c r="V4453" t="s">
        <v>22</v>
      </c>
    </row>
    <row r="4454" spans="1:22">
      <c r="A4454" t="str">
        <f t="shared" si="816"/>
        <v>02/10/2025</v>
      </c>
      <c r="B4454" t="str">
        <f t="shared" si="822"/>
        <v>ENTRADA</v>
      </c>
      <c r="C4454" t="str">
        <f t="shared" si="823"/>
        <v>NFSE</v>
      </c>
      <c r="D4454" t="str">
        <f>"3422"</f>
        <v>3422</v>
      </c>
      <c r="E4454" t="str">
        <f t="shared" si="824"/>
        <v>1</v>
      </c>
      <c r="F4454" t="str">
        <f t="shared" si="825"/>
        <v>COM</v>
      </c>
      <c r="G4454" t="str">
        <f>"DROGARIA MEDIC CENTER LTDA (10172)"</f>
        <v>DROGARIA MEDIC CENTER LTDA (10172)</v>
      </c>
      <c r="H4454" t="str">
        <f>"Serv.Prest. 22/09/2025 a 28/09/2025 - RPS: 1298 - NFSe: 3422"</f>
        <v>Serv.Prest. 22/09/2025 a 28/09/2025 - RPS: 1298 - NFSe: 3422</v>
      </c>
      <c r="I4454" t="str">
        <f t="shared" si="826"/>
        <v>01/10/2025</v>
      </c>
      <c r="J4454" t="str">
        <f t="shared" si="828"/>
        <v>29/09/2025</v>
      </c>
      <c r="K4454" t="str">
        <f>("02/10/2025")</f>
        <v>02/10/2025</v>
      </c>
      <c r="L4454">
        <v>1393.2</v>
      </c>
      <c r="M4454">
        <v>1393.2</v>
      </c>
      <c r="N4454">
        <v>303</v>
      </c>
      <c r="O4454" t="str">
        <f>"RECEITAS COM ENTREGAS"</f>
        <v>RECEITAS COM ENTREGAS</v>
      </c>
      <c r="P4454">
        <v>1393.2</v>
      </c>
      <c r="S4454" t="str">
        <f>"RECEITAS COM ENTREGAS (303)"</f>
        <v>RECEITAS COM ENTREGAS (303)</v>
      </c>
      <c r="T4454">
        <v>19135</v>
      </c>
      <c r="U4454">
        <v>22701</v>
      </c>
      <c r="V4454" t="s">
        <v>22</v>
      </c>
    </row>
    <row r="4455" spans="1:22">
      <c r="A4455" t="str">
        <f t="shared" si="816"/>
        <v>02/10/2025</v>
      </c>
      <c r="B4455" t="str">
        <f t="shared" si="822"/>
        <v>ENTRADA</v>
      </c>
      <c r="C4455" t="str">
        <f t="shared" si="823"/>
        <v>NFSE</v>
      </c>
      <c r="D4455" t="str">
        <f>"3422"</f>
        <v>3422</v>
      </c>
      <c r="E4455" t="str">
        <f t="shared" si="824"/>
        <v>1</v>
      </c>
      <c r="F4455" t="str">
        <f t="shared" si="825"/>
        <v>COM</v>
      </c>
      <c r="G4455" t="str">
        <f>"DROGARIA MEDIC CENTER LTDA (10172)"</f>
        <v>DROGARIA MEDIC CENTER LTDA (10172)</v>
      </c>
      <c r="H4455" t="s">
        <v>1299</v>
      </c>
      <c r="I4455" t="str">
        <f t="shared" si="826"/>
        <v>01/10/2025</v>
      </c>
      <c r="J4455" t="str">
        <f t="shared" si="828"/>
        <v>29/09/2025</v>
      </c>
      <c r="K4455">
        <v>45932</v>
      </c>
      <c r="N4455">
        <v>303</v>
      </c>
      <c r="O4455" t="s">
        <v>69</v>
      </c>
      <c r="Q4455">
        <v>1393.2</v>
      </c>
      <c r="R4455" t="str">
        <f>"DROGARIA MEDIC CENTER LTDA (10172)"</f>
        <v>DROGARIA MEDIC CENTER LTDA (10172)</v>
      </c>
      <c r="S4455" t="s">
        <v>70</v>
      </c>
      <c r="T4455">
        <v>19135</v>
      </c>
      <c r="U4455">
        <v>22701</v>
      </c>
      <c r="V4455" t="s">
        <v>22</v>
      </c>
    </row>
    <row r="4456" spans="1:22">
      <c r="A4456" t="str">
        <f t="shared" si="816"/>
        <v>02/10/2025</v>
      </c>
      <c r="B4456" t="str">
        <f t="shared" si="822"/>
        <v>ENTRADA</v>
      </c>
      <c r="C4456" t="str">
        <f t="shared" si="823"/>
        <v>NFSE</v>
      </c>
      <c r="D4456" t="str">
        <f>"3423"</f>
        <v>3423</v>
      </c>
      <c r="E4456" t="str">
        <f t="shared" si="824"/>
        <v>1</v>
      </c>
      <c r="F4456" t="str">
        <f t="shared" si="825"/>
        <v>COM</v>
      </c>
      <c r="G4456" t="str">
        <f>"DROGARIA MORENO LTDA (10171)"</f>
        <v>DROGARIA MORENO LTDA (10171)</v>
      </c>
      <c r="H4456" t="str">
        <f>"Serv.Prest. 22/09/2025 a 28/09/2025 - RPS: 1299 - NFSe: 3423"</f>
        <v>Serv.Prest. 22/09/2025 a 28/09/2025 - RPS: 1299 - NFSe: 3423</v>
      </c>
      <c r="I4456" t="str">
        <f t="shared" si="826"/>
        <v>01/10/2025</v>
      </c>
      <c r="J4456" t="str">
        <f t="shared" si="828"/>
        <v>29/09/2025</v>
      </c>
      <c r="K4456" t="str">
        <f>("02/10/2025")</f>
        <v>02/10/2025</v>
      </c>
      <c r="L4456">
        <v>3191.4</v>
      </c>
      <c r="M4456">
        <v>3191.4</v>
      </c>
      <c r="N4456">
        <v>303</v>
      </c>
      <c r="O4456" t="str">
        <f>"RECEITAS COM ENTREGAS"</f>
        <v>RECEITAS COM ENTREGAS</v>
      </c>
      <c r="P4456">
        <v>3191.4</v>
      </c>
      <c r="S4456" t="str">
        <f>"RECEITAS COM ENTREGAS (303)"</f>
        <v>RECEITAS COM ENTREGAS (303)</v>
      </c>
      <c r="T4456">
        <v>19136</v>
      </c>
      <c r="U4456">
        <v>22705</v>
      </c>
      <c r="V4456" t="s">
        <v>22</v>
      </c>
    </row>
    <row r="4457" spans="1:22">
      <c r="A4457" t="str">
        <f t="shared" si="816"/>
        <v>02/10/2025</v>
      </c>
      <c r="B4457" t="str">
        <f t="shared" si="822"/>
        <v>ENTRADA</v>
      </c>
      <c r="C4457" t="str">
        <f t="shared" si="823"/>
        <v>NFSE</v>
      </c>
      <c r="D4457" t="str">
        <f>"3423"</f>
        <v>3423</v>
      </c>
      <c r="E4457" t="str">
        <f t="shared" si="824"/>
        <v>1</v>
      </c>
      <c r="F4457" t="str">
        <f t="shared" si="825"/>
        <v>COM</v>
      </c>
      <c r="G4457" t="str">
        <f>"DROGARIA MORENO LTDA (10171)"</f>
        <v>DROGARIA MORENO LTDA (10171)</v>
      </c>
      <c r="H4457" t="s">
        <v>1300</v>
      </c>
      <c r="I4457" t="str">
        <f t="shared" si="826"/>
        <v>01/10/2025</v>
      </c>
      <c r="J4457" t="str">
        <f t="shared" si="828"/>
        <v>29/09/2025</v>
      </c>
      <c r="K4457">
        <v>45932</v>
      </c>
      <c r="N4457">
        <v>303</v>
      </c>
      <c r="O4457" t="s">
        <v>69</v>
      </c>
      <c r="Q4457">
        <v>3191.4</v>
      </c>
      <c r="R4457" t="str">
        <f>"DROGARIA MORENO LTDA (10171)"</f>
        <v>DROGARIA MORENO LTDA (10171)</v>
      </c>
      <c r="S4457" t="s">
        <v>70</v>
      </c>
      <c r="T4457">
        <v>19136</v>
      </c>
      <c r="U4457">
        <v>22705</v>
      </c>
      <c r="V4457" t="s">
        <v>22</v>
      </c>
    </row>
    <row r="4458" spans="1:22">
      <c r="A4458" t="str">
        <f t="shared" si="816"/>
        <v>02/10/2025</v>
      </c>
      <c r="B4458" t="str">
        <f t="shared" si="822"/>
        <v>ENTRADA</v>
      </c>
      <c r="C4458" t="str">
        <f t="shared" si="823"/>
        <v>NFSE</v>
      </c>
      <c r="D4458" t="str">
        <f>"3428"</f>
        <v>3428</v>
      </c>
      <c r="E4458" t="str">
        <f t="shared" si="824"/>
        <v>1</v>
      </c>
      <c r="F4458" t="str">
        <f t="shared" si="825"/>
        <v>COM</v>
      </c>
      <c r="G4458" t="str">
        <f>"JAL FARMACIA E DROGARIA LJ 1 (10137)"</f>
        <v>JAL FARMACIA E DROGARIA LJ 1 (10137)</v>
      </c>
      <c r="H4458" t="str">
        <f>"Serv.Prest. 22/09/2025 a 28/09/2025 - RPS: 1304 - NFSe: 3428"</f>
        <v>Serv.Prest. 22/09/2025 a 28/09/2025 - RPS: 1304 - NFSe: 3428</v>
      </c>
      <c r="I4458" t="str">
        <f t="shared" si="826"/>
        <v>01/10/2025</v>
      </c>
      <c r="J4458" t="str">
        <f t="shared" si="828"/>
        <v>29/09/2025</v>
      </c>
      <c r="K4458" t="str">
        <f>("02/10/2025")</f>
        <v>02/10/2025</v>
      </c>
      <c r="L4458">
        <v>2377.1999999999998</v>
      </c>
      <c r="M4458">
        <v>2377.1999999999998</v>
      </c>
      <c r="N4458">
        <v>303</v>
      </c>
      <c r="O4458" t="str">
        <f>"RECEITAS COM ENTREGAS"</f>
        <v>RECEITAS COM ENTREGAS</v>
      </c>
      <c r="P4458">
        <v>2377.1999999999998</v>
      </c>
      <c r="S4458" t="str">
        <f>"RECEITAS COM ENTREGAS (303)"</f>
        <v>RECEITAS COM ENTREGAS (303)</v>
      </c>
      <c r="T4458">
        <v>19137</v>
      </c>
      <c r="U4458">
        <v>22721</v>
      </c>
      <c r="V4458" t="s">
        <v>22</v>
      </c>
    </row>
    <row r="4459" spans="1:22">
      <c r="A4459" t="str">
        <f t="shared" si="816"/>
        <v>02/10/2025</v>
      </c>
      <c r="B4459" t="str">
        <f t="shared" si="822"/>
        <v>ENTRADA</v>
      </c>
      <c r="C4459" t="str">
        <f t="shared" si="823"/>
        <v>NFSE</v>
      </c>
      <c r="D4459" t="str">
        <f>"3428"</f>
        <v>3428</v>
      </c>
      <c r="E4459" t="str">
        <f t="shared" si="824"/>
        <v>1</v>
      </c>
      <c r="F4459" t="str">
        <f t="shared" si="825"/>
        <v>COM</v>
      </c>
      <c r="G4459" t="str">
        <f>"JAL FARMACIA E DROGARIA LJ 1 (10137)"</f>
        <v>JAL FARMACIA E DROGARIA LJ 1 (10137)</v>
      </c>
      <c r="H4459" t="s">
        <v>1301</v>
      </c>
      <c r="I4459" t="str">
        <f t="shared" si="826"/>
        <v>01/10/2025</v>
      </c>
      <c r="J4459" t="str">
        <f t="shared" si="828"/>
        <v>29/09/2025</v>
      </c>
      <c r="K4459">
        <v>45932</v>
      </c>
      <c r="N4459">
        <v>303</v>
      </c>
      <c r="O4459" t="s">
        <v>69</v>
      </c>
      <c r="Q4459">
        <v>2377.1999999999998</v>
      </c>
      <c r="R4459" t="str">
        <f>"JAL FARMACIA E DROGARIA LJ 1 (10137)"</f>
        <v>JAL FARMACIA E DROGARIA LJ 1 (10137)</v>
      </c>
      <c r="S4459" t="s">
        <v>70</v>
      </c>
      <c r="T4459">
        <v>19137</v>
      </c>
      <c r="U4459">
        <v>22721</v>
      </c>
      <c r="V4459" t="s">
        <v>22</v>
      </c>
    </row>
    <row r="4460" spans="1:22">
      <c r="A4460" t="str">
        <f t="shared" si="816"/>
        <v>02/10/2025</v>
      </c>
      <c r="B4460" t="str">
        <f t="shared" si="822"/>
        <v>ENTRADA</v>
      </c>
      <c r="C4460" t="str">
        <f t="shared" si="823"/>
        <v>NFSE</v>
      </c>
      <c r="D4460" t="str">
        <f>"3429"</f>
        <v>3429</v>
      </c>
      <c r="E4460" t="str">
        <f t="shared" si="824"/>
        <v>1</v>
      </c>
      <c r="F4460" t="str">
        <f t="shared" si="825"/>
        <v>COM</v>
      </c>
      <c r="G4460" t="str">
        <f>"LBL FARMACIA LTDA (10189)"</f>
        <v>LBL FARMACIA LTDA (10189)</v>
      </c>
      <c r="H4460" t="str">
        <f>"Serv.Prest. 22/09/2025 a 28/09/2025 - RPS: 1305 - NFSe: 3429"</f>
        <v>Serv.Prest. 22/09/2025 a 28/09/2025 - RPS: 1305 - NFSe: 3429</v>
      </c>
      <c r="I4460" t="str">
        <f t="shared" si="826"/>
        <v>01/10/2025</v>
      </c>
      <c r="J4460" t="str">
        <f t="shared" si="828"/>
        <v>29/09/2025</v>
      </c>
      <c r="K4460" t="str">
        <f>("02/10/2025")</f>
        <v>02/10/2025</v>
      </c>
      <c r="L4460">
        <v>547.4</v>
      </c>
      <c r="M4460">
        <v>547.4</v>
      </c>
      <c r="N4460">
        <v>303</v>
      </c>
      <c r="O4460" t="str">
        <f>"RECEITAS COM ENTREGAS"</f>
        <v>RECEITAS COM ENTREGAS</v>
      </c>
      <c r="P4460">
        <v>547.4</v>
      </c>
      <c r="S4460" t="str">
        <f>"RECEITAS COM ENTREGAS (303)"</f>
        <v>RECEITAS COM ENTREGAS (303)</v>
      </c>
      <c r="T4460">
        <v>19138</v>
      </c>
      <c r="U4460">
        <v>22725</v>
      </c>
      <c r="V4460" t="s">
        <v>22</v>
      </c>
    </row>
    <row r="4461" spans="1:22">
      <c r="A4461" t="str">
        <f t="shared" si="816"/>
        <v>02/10/2025</v>
      </c>
      <c r="B4461" t="str">
        <f t="shared" si="822"/>
        <v>ENTRADA</v>
      </c>
      <c r="C4461" t="str">
        <f t="shared" si="823"/>
        <v>NFSE</v>
      </c>
      <c r="D4461" t="str">
        <f>"3429"</f>
        <v>3429</v>
      </c>
      <c r="E4461" t="str">
        <f t="shared" si="824"/>
        <v>1</v>
      </c>
      <c r="F4461" t="str">
        <f t="shared" si="825"/>
        <v>COM</v>
      </c>
      <c r="G4461" t="str">
        <f>"LBL FARMACIA LTDA (10189)"</f>
        <v>LBL FARMACIA LTDA (10189)</v>
      </c>
      <c r="H4461" t="s">
        <v>1302</v>
      </c>
      <c r="I4461" t="str">
        <f t="shared" si="826"/>
        <v>01/10/2025</v>
      </c>
      <c r="J4461" t="str">
        <f t="shared" si="828"/>
        <v>29/09/2025</v>
      </c>
      <c r="K4461">
        <v>45932</v>
      </c>
      <c r="N4461">
        <v>303</v>
      </c>
      <c r="O4461" t="s">
        <v>69</v>
      </c>
      <c r="Q4461">
        <v>547.4</v>
      </c>
      <c r="R4461" t="str">
        <f>"LBL FARMACIA LTDA (10189)"</f>
        <v>LBL FARMACIA LTDA (10189)</v>
      </c>
      <c r="S4461" t="s">
        <v>70</v>
      </c>
      <c r="T4461">
        <v>19138</v>
      </c>
      <c r="U4461">
        <v>22725</v>
      </c>
      <c r="V4461" t="s">
        <v>22</v>
      </c>
    </row>
    <row r="4462" spans="1:22">
      <c r="A4462" t="str">
        <f t="shared" si="816"/>
        <v>02/10/2025</v>
      </c>
      <c r="B4462" t="str">
        <f t="shared" si="822"/>
        <v>ENTRADA</v>
      </c>
      <c r="C4462" t="str">
        <f t="shared" si="823"/>
        <v>NFSE</v>
      </c>
      <c r="D4462" t="str">
        <f>"3430"</f>
        <v>3430</v>
      </c>
      <c r="E4462" t="str">
        <f t="shared" si="824"/>
        <v>1</v>
      </c>
      <c r="F4462" t="str">
        <f t="shared" si="825"/>
        <v>COM</v>
      </c>
      <c r="G4462" t="str">
        <f>"LBL FARMACIA LTDA FILIAL (10192)"</f>
        <v>LBL FARMACIA LTDA FILIAL (10192)</v>
      </c>
      <c r="H4462" t="str">
        <f>"Serv.Prest. 22/09/2025 a 28/09/2025 - RPS: 1306 - NFSe: 3430"</f>
        <v>Serv.Prest. 22/09/2025 a 28/09/2025 - RPS: 1306 - NFSe: 3430</v>
      </c>
      <c r="I4462" t="str">
        <f t="shared" si="826"/>
        <v>01/10/2025</v>
      </c>
      <c r="J4462" t="str">
        <f t="shared" si="828"/>
        <v>29/09/2025</v>
      </c>
      <c r="K4462" t="str">
        <f>("02/10/2025")</f>
        <v>02/10/2025</v>
      </c>
      <c r="L4462">
        <v>1154.3</v>
      </c>
      <c r="M4462">
        <v>1154.3</v>
      </c>
      <c r="N4462">
        <v>303</v>
      </c>
      <c r="O4462" t="str">
        <f>"RECEITAS COM ENTREGAS"</f>
        <v>RECEITAS COM ENTREGAS</v>
      </c>
      <c r="P4462">
        <v>1154.3</v>
      </c>
      <c r="S4462" t="str">
        <f>"RECEITAS COM ENTREGAS (303)"</f>
        <v>RECEITAS COM ENTREGAS (303)</v>
      </c>
      <c r="T4462">
        <v>19139</v>
      </c>
      <c r="U4462">
        <v>22728</v>
      </c>
      <c r="V4462" t="s">
        <v>22</v>
      </c>
    </row>
    <row r="4463" spans="1:22">
      <c r="A4463" t="str">
        <f t="shared" si="816"/>
        <v>02/10/2025</v>
      </c>
      <c r="B4463" t="str">
        <f t="shared" si="822"/>
        <v>ENTRADA</v>
      </c>
      <c r="C4463" t="str">
        <f t="shared" si="823"/>
        <v>NFSE</v>
      </c>
      <c r="D4463" t="str">
        <f>"3430"</f>
        <v>3430</v>
      </c>
      <c r="E4463" t="str">
        <f t="shared" si="824"/>
        <v>1</v>
      </c>
      <c r="F4463" t="str">
        <f t="shared" si="825"/>
        <v>COM</v>
      </c>
      <c r="G4463" t="str">
        <f>"LBL FARMACIA LTDA FILIAL (10192)"</f>
        <v>LBL FARMACIA LTDA FILIAL (10192)</v>
      </c>
      <c r="H4463" t="s">
        <v>1303</v>
      </c>
      <c r="I4463" t="str">
        <f t="shared" si="826"/>
        <v>01/10/2025</v>
      </c>
      <c r="J4463" t="str">
        <f t="shared" si="828"/>
        <v>29/09/2025</v>
      </c>
      <c r="K4463">
        <v>45932</v>
      </c>
      <c r="N4463">
        <v>303</v>
      </c>
      <c r="O4463" t="s">
        <v>69</v>
      </c>
      <c r="Q4463">
        <v>1154.3</v>
      </c>
      <c r="R4463" t="str">
        <f>"LBL FARMACIA LTDA FILIAL (10192)"</f>
        <v>LBL FARMACIA LTDA FILIAL (10192)</v>
      </c>
      <c r="S4463" t="s">
        <v>70</v>
      </c>
      <c r="T4463">
        <v>19139</v>
      </c>
      <c r="U4463">
        <v>22728</v>
      </c>
      <c r="V4463" t="s">
        <v>22</v>
      </c>
    </row>
    <row r="4464" spans="1:22">
      <c r="A4464" t="str">
        <f t="shared" si="816"/>
        <v>02/10/2025</v>
      </c>
      <c r="B4464" t="str">
        <f t="shared" si="822"/>
        <v>ENTRADA</v>
      </c>
      <c r="C4464" t="str">
        <f t="shared" si="823"/>
        <v>NFSE</v>
      </c>
      <c r="D4464" t="str">
        <f>"3436"</f>
        <v>3436</v>
      </c>
      <c r="E4464" t="str">
        <f t="shared" si="824"/>
        <v>1</v>
      </c>
      <c r="F4464" t="str">
        <f t="shared" si="825"/>
        <v>COM</v>
      </c>
      <c r="G4464" t="str">
        <f>"DROGA HONDA (10149)"</f>
        <v>DROGA HONDA (10149)</v>
      </c>
      <c r="H4464" t="str">
        <f>"Serv.Prest. 22/09/2025 a 28/09/2025 - RPS: 1312 - NFSe: 3436"</f>
        <v>Serv.Prest. 22/09/2025 a 28/09/2025 - RPS: 1312 - NFSe: 3436</v>
      </c>
      <c r="I4464" t="str">
        <f t="shared" si="826"/>
        <v>01/10/2025</v>
      </c>
      <c r="J4464" t="str">
        <f t="shared" ref="J4464:J4473" si="829">("30/09/2025")</f>
        <v>30/09/2025</v>
      </c>
      <c r="K4464" t="str">
        <f>("02/10/2025")</f>
        <v>02/10/2025</v>
      </c>
      <c r="L4464">
        <v>2103.19</v>
      </c>
      <c r="M4464">
        <v>2035.78</v>
      </c>
      <c r="N4464">
        <v>303</v>
      </c>
      <c r="O4464" t="str">
        <f>"RECEITAS COM ENTREGAS"</f>
        <v>RECEITAS COM ENTREGAS</v>
      </c>
      <c r="P4464">
        <v>2035.78</v>
      </c>
      <c r="S4464" t="str">
        <f>"RECEITAS COM ENTREGAS (303)"</f>
        <v>RECEITAS COM ENTREGAS (303)</v>
      </c>
      <c r="T4464">
        <v>19140</v>
      </c>
      <c r="U4464">
        <v>22758</v>
      </c>
      <c r="V4464" t="s">
        <v>22</v>
      </c>
    </row>
    <row r="4465" spans="1:22">
      <c r="A4465" t="str">
        <f t="shared" si="816"/>
        <v>02/10/2025</v>
      </c>
      <c r="B4465" t="str">
        <f t="shared" si="822"/>
        <v>ENTRADA</v>
      </c>
      <c r="C4465" t="str">
        <f t="shared" si="823"/>
        <v>NFSE</v>
      </c>
      <c r="D4465" t="str">
        <f>"3436"</f>
        <v>3436</v>
      </c>
      <c r="E4465" t="str">
        <f t="shared" si="824"/>
        <v>1</v>
      </c>
      <c r="F4465" t="str">
        <f t="shared" si="825"/>
        <v>COM</v>
      </c>
      <c r="G4465" t="str">
        <f>"DROGA HONDA (10149)"</f>
        <v>DROGA HONDA (10149)</v>
      </c>
      <c r="H4465" t="s">
        <v>1304</v>
      </c>
      <c r="I4465" t="str">
        <f t="shared" si="826"/>
        <v>01/10/2025</v>
      </c>
      <c r="J4465" t="str">
        <f t="shared" si="829"/>
        <v>30/09/2025</v>
      </c>
      <c r="K4465">
        <v>45932</v>
      </c>
      <c r="N4465">
        <v>303</v>
      </c>
      <c r="O4465" t="s">
        <v>69</v>
      </c>
      <c r="Q4465">
        <v>2035.78</v>
      </c>
      <c r="R4465" t="str">
        <f>"DROGA HONDA (10149)"</f>
        <v>DROGA HONDA (10149)</v>
      </c>
      <c r="S4465" t="s">
        <v>70</v>
      </c>
      <c r="T4465">
        <v>19140</v>
      </c>
      <c r="U4465">
        <v>22758</v>
      </c>
      <c r="V4465" t="s">
        <v>22</v>
      </c>
    </row>
    <row r="4466" spans="1:22">
      <c r="A4466" t="str">
        <f t="shared" si="816"/>
        <v>02/10/2025</v>
      </c>
      <c r="B4466" t="str">
        <f t="shared" si="822"/>
        <v>ENTRADA</v>
      </c>
      <c r="C4466" t="str">
        <f t="shared" si="823"/>
        <v>NFSE</v>
      </c>
      <c r="D4466" t="str">
        <f>"3432"</f>
        <v>3432</v>
      </c>
      <c r="E4466" t="str">
        <f t="shared" si="824"/>
        <v>1</v>
      </c>
      <c r="F4466" t="str">
        <f t="shared" si="825"/>
        <v>COM</v>
      </c>
      <c r="G4466" t="str">
        <f>"PENSE FARMA 46 (10194)"</f>
        <v>PENSE FARMA 46 (10194)</v>
      </c>
      <c r="H4466" t="str">
        <f>"Serv.Prest. 22/09/2025 a 28/09/2025 - RPS: 1308 - NFSe: 3432"</f>
        <v>Serv.Prest. 22/09/2025 a 28/09/2025 - RPS: 1308 - NFSe: 3432</v>
      </c>
      <c r="I4466" t="str">
        <f t="shared" ref="I4466:I4474" si="830">("02/10/2025")</f>
        <v>02/10/2025</v>
      </c>
      <c r="J4466" t="str">
        <f t="shared" si="829"/>
        <v>30/09/2025</v>
      </c>
      <c r="K4466" t="str">
        <f>("02/10/2025")</f>
        <v>02/10/2025</v>
      </c>
      <c r="L4466">
        <v>1700</v>
      </c>
      <c r="M4466">
        <v>1700</v>
      </c>
      <c r="N4466">
        <v>303</v>
      </c>
      <c r="O4466" t="str">
        <f>"RECEITAS COM ENTREGAS"</f>
        <v>RECEITAS COM ENTREGAS</v>
      </c>
      <c r="P4466">
        <v>1700</v>
      </c>
      <c r="S4466" t="str">
        <f>"RECEITAS COM ENTREGAS (303)"</f>
        <v>RECEITAS COM ENTREGAS (303)</v>
      </c>
      <c r="T4466">
        <v>19141</v>
      </c>
      <c r="U4466">
        <v>22735</v>
      </c>
      <c r="V4466" t="s">
        <v>22</v>
      </c>
    </row>
    <row r="4467" spans="1:22">
      <c r="A4467" t="str">
        <f t="shared" si="816"/>
        <v>02/10/2025</v>
      </c>
      <c r="B4467" t="str">
        <f t="shared" si="822"/>
        <v>ENTRADA</v>
      </c>
      <c r="C4467" t="str">
        <f t="shared" si="823"/>
        <v>NFSE</v>
      </c>
      <c r="D4467" t="str">
        <f>"3432"</f>
        <v>3432</v>
      </c>
      <c r="E4467" t="str">
        <f t="shared" si="824"/>
        <v>1</v>
      </c>
      <c r="F4467" t="str">
        <f t="shared" si="825"/>
        <v>COM</v>
      </c>
      <c r="G4467" t="str">
        <f>"PENSE FARMA 46 (10194)"</f>
        <v>PENSE FARMA 46 (10194)</v>
      </c>
      <c r="H4467" t="s">
        <v>1305</v>
      </c>
      <c r="I4467" t="str">
        <f t="shared" si="830"/>
        <v>02/10/2025</v>
      </c>
      <c r="J4467" t="str">
        <f t="shared" si="829"/>
        <v>30/09/2025</v>
      </c>
      <c r="K4467">
        <v>45932</v>
      </c>
      <c r="N4467">
        <v>303</v>
      </c>
      <c r="O4467" t="s">
        <v>69</v>
      </c>
      <c r="Q4467">
        <v>1700</v>
      </c>
      <c r="R4467" t="str">
        <f>"PENSE FARMA 46 (10194)"</f>
        <v>PENSE FARMA 46 (10194)</v>
      </c>
      <c r="S4467" t="s">
        <v>70</v>
      </c>
      <c r="T4467">
        <v>19141</v>
      </c>
      <c r="U4467">
        <v>22735</v>
      </c>
      <c r="V4467" t="s">
        <v>22</v>
      </c>
    </row>
    <row r="4468" spans="1:22">
      <c r="A4468" t="str">
        <f t="shared" si="816"/>
        <v>02/10/2025</v>
      </c>
      <c r="B4468" t="str">
        <f t="shared" si="822"/>
        <v>ENTRADA</v>
      </c>
      <c r="C4468" t="str">
        <f t="shared" si="823"/>
        <v>NFSE</v>
      </c>
      <c r="D4468" t="str">
        <f>"3433"</f>
        <v>3433</v>
      </c>
      <c r="E4468" t="str">
        <f t="shared" si="824"/>
        <v>1</v>
      </c>
      <c r="F4468" t="str">
        <f t="shared" si="825"/>
        <v>COM</v>
      </c>
      <c r="G4468" t="str">
        <f>"PENSE FARMA 15 (10195)"</f>
        <v>PENSE FARMA 15 (10195)</v>
      </c>
      <c r="H4468" t="str">
        <f>"Serv.Prest. 22/09/2025 a 28/09/2025 - RPS: 1309 - NFSe: 3433"</f>
        <v>Serv.Prest. 22/09/2025 a 28/09/2025 - RPS: 1309 - NFSe: 3433</v>
      </c>
      <c r="I4468" t="str">
        <f t="shared" si="830"/>
        <v>02/10/2025</v>
      </c>
      <c r="J4468" t="str">
        <f t="shared" si="829"/>
        <v>30/09/2025</v>
      </c>
      <c r="K4468" t="str">
        <f>("02/10/2025")</f>
        <v>02/10/2025</v>
      </c>
      <c r="L4468">
        <v>2550</v>
      </c>
      <c r="M4468">
        <v>2550</v>
      </c>
      <c r="N4468">
        <v>303</v>
      </c>
      <c r="O4468" t="str">
        <f>"RECEITAS COM ENTREGAS"</f>
        <v>RECEITAS COM ENTREGAS</v>
      </c>
      <c r="P4468">
        <v>2550</v>
      </c>
      <c r="S4468" t="str">
        <f>"RECEITAS COM ENTREGAS (303)"</f>
        <v>RECEITAS COM ENTREGAS (303)</v>
      </c>
      <c r="T4468">
        <v>19142</v>
      </c>
      <c r="U4468">
        <v>22737</v>
      </c>
      <c r="V4468" t="s">
        <v>22</v>
      </c>
    </row>
    <row r="4469" spans="1:22">
      <c r="A4469" t="str">
        <f t="shared" si="816"/>
        <v>02/10/2025</v>
      </c>
      <c r="B4469" t="str">
        <f t="shared" si="822"/>
        <v>ENTRADA</v>
      </c>
      <c r="C4469" t="str">
        <f t="shared" si="823"/>
        <v>NFSE</v>
      </c>
      <c r="D4469" t="str">
        <f>"3433"</f>
        <v>3433</v>
      </c>
      <c r="E4469" t="str">
        <f t="shared" si="824"/>
        <v>1</v>
      </c>
      <c r="F4469" t="str">
        <f t="shared" si="825"/>
        <v>COM</v>
      </c>
      <c r="G4469" t="str">
        <f>"PENSE FARMA 15 (10195)"</f>
        <v>PENSE FARMA 15 (10195)</v>
      </c>
      <c r="H4469" t="s">
        <v>1306</v>
      </c>
      <c r="I4469" t="str">
        <f t="shared" si="830"/>
        <v>02/10/2025</v>
      </c>
      <c r="J4469" t="str">
        <f t="shared" si="829"/>
        <v>30/09/2025</v>
      </c>
      <c r="K4469">
        <v>45932</v>
      </c>
      <c r="N4469">
        <v>303</v>
      </c>
      <c r="O4469" t="s">
        <v>69</v>
      </c>
      <c r="Q4469">
        <v>849.91</v>
      </c>
      <c r="R4469" t="str">
        <f>"PENSE FARMA 15 (10195)"</f>
        <v>PENSE FARMA 15 (10195)</v>
      </c>
      <c r="S4469" t="s">
        <v>70</v>
      </c>
      <c r="T4469">
        <v>19142</v>
      </c>
      <c r="U4469">
        <v>22737</v>
      </c>
      <c r="V4469" t="s">
        <v>22</v>
      </c>
    </row>
    <row r="4470" spans="1:22">
      <c r="A4470" t="str">
        <f t="shared" si="816"/>
        <v>02/10/2025</v>
      </c>
      <c r="B4470" t="str">
        <f t="shared" si="822"/>
        <v>ENTRADA</v>
      </c>
      <c r="C4470" t="str">
        <f t="shared" si="823"/>
        <v>NFSE</v>
      </c>
      <c r="D4470" t="str">
        <f>"3433"</f>
        <v>3433</v>
      </c>
      <c r="E4470" t="str">
        <f t="shared" si="824"/>
        <v>1</v>
      </c>
      <c r="F4470" t="str">
        <f t="shared" si="825"/>
        <v>COM</v>
      </c>
      <c r="G4470" t="str">
        <f>"PENSE FARMA 15 (10195)"</f>
        <v>PENSE FARMA 15 (10195)</v>
      </c>
      <c r="H4470" t="s">
        <v>1306</v>
      </c>
      <c r="I4470" t="str">
        <f t="shared" si="830"/>
        <v>02/10/2025</v>
      </c>
      <c r="J4470" t="str">
        <f t="shared" si="829"/>
        <v>30/09/2025</v>
      </c>
      <c r="K4470">
        <v>45932</v>
      </c>
      <c r="N4470">
        <v>303</v>
      </c>
      <c r="O4470" t="s">
        <v>69</v>
      </c>
      <c r="Q4470">
        <v>849.92</v>
      </c>
      <c r="R4470" t="str">
        <f>"PENSE FARMA 26 (10196)"</f>
        <v>PENSE FARMA 26 (10196)</v>
      </c>
      <c r="S4470" t="s">
        <v>70</v>
      </c>
      <c r="T4470">
        <v>19142</v>
      </c>
      <c r="U4470">
        <v>22737</v>
      </c>
      <c r="V4470" t="s">
        <v>22</v>
      </c>
    </row>
    <row r="4471" spans="1:22">
      <c r="A4471" t="str">
        <f t="shared" si="816"/>
        <v>02/10/2025</v>
      </c>
      <c r="B4471" t="str">
        <f t="shared" si="822"/>
        <v>ENTRADA</v>
      </c>
      <c r="C4471" t="str">
        <f t="shared" si="823"/>
        <v>NFSE</v>
      </c>
      <c r="D4471" t="str">
        <f>"3433"</f>
        <v>3433</v>
      </c>
      <c r="E4471" t="str">
        <f t="shared" si="824"/>
        <v>1</v>
      </c>
      <c r="F4471" t="str">
        <f t="shared" si="825"/>
        <v>COM</v>
      </c>
      <c r="G4471" t="str">
        <f>"PENSE FARMA 15 (10195)"</f>
        <v>PENSE FARMA 15 (10195)</v>
      </c>
      <c r="H4471" t="s">
        <v>1306</v>
      </c>
      <c r="I4471" t="str">
        <f t="shared" si="830"/>
        <v>02/10/2025</v>
      </c>
      <c r="J4471" t="str">
        <f t="shared" si="829"/>
        <v>30/09/2025</v>
      </c>
      <c r="K4471">
        <v>45932</v>
      </c>
      <c r="N4471">
        <v>303</v>
      </c>
      <c r="O4471" t="s">
        <v>69</v>
      </c>
      <c r="Q4471">
        <v>850.17</v>
      </c>
      <c r="R4471" t="str">
        <f>"PENSE FARMA 60 (10197)"</f>
        <v>PENSE FARMA 60 (10197)</v>
      </c>
      <c r="S4471" t="s">
        <v>70</v>
      </c>
      <c r="T4471">
        <v>19142</v>
      </c>
      <c r="U4471">
        <v>22737</v>
      </c>
      <c r="V4471" t="s">
        <v>22</v>
      </c>
    </row>
    <row r="4472" spans="1:22">
      <c r="A4472" t="str">
        <f t="shared" si="816"/>
        <v>02/10/2025</v>
      </c>
      <c r="B4472" t="str">
        <f t="shared" si="822"/>
        <v>ENTRADA</v>
      </c>
      <c r="C4472" t="str">
        <f t="shared" si="823"/>
        <v>NFSE</v>
      </c>
      <c r="D4472" t="str">
        <f>"3434"</f>
        <v>3434</v>
      </c>
      <c r="E4472" t="str">
        <f t="shared" si="824"/>
        <v>1</v>
      </c>
      <c r="F4472" t="str">
        <f t="shared" si="825"/>
        <v>COM</v>
      </c>
      <c r="G4472" t="str">
        <f>"PENSE FARMA 22 (10198)"</f>
        <v>PENSE FARMA 22 (10198)</v>
      </c>
      <c r="H4472" t="str">
        <f>"Serv.Prest. 22/09/2025 a 28/09/2025 - RPS: 1310 - NFSe: 3434"</f>
        <v>Serv.Prest. 22/09/2025 a 28/09/2025 - RPS: 1310 - NFSe: 3434</v>
      </c>
      <c r="I4472" t="str">
        <f t="shared" si="830"/>
        <v>02/10/2025</v>
      </c>
      <c r="J4472" t="str">
        <f t="shared" si="829"/>
        <v>30/09/2025</v>
      </c>
      <c r="K4472" t="str">
        <f>("02/10/2025")</f>
        <v>02/10/2025</v>
      </c>
      <c r="L4472">
        <v>1360</v>
      </c>
      <c r="M4472">
        <v>1360</v>
      </c>
      <c r="N4472">
        <v>303</v>
      </c>
      <c r="O4472" t="str">
        <f>"RECEITAS COM ENTREGAS"</f>
        <v>RECEITAS COM ENTREGAS</v>
      </c>
      <c r="P4472">
        <v>1360</v>
      </c>
      <c r="S4472" t="str">
        <f>"RECEITAS COM ENTREGAS (303)"</f>
        <v>RECEITAS COM ENTREGAS (303)</v>
      </c>
      <c r="T4472">
        <v>19143</v>
      </c>
      <c r="U4472">
        <v>22740</v>
      </c>
      <c r="V4472" t="s">
        <v>22</v>
      </c>
    </row>
    <row r="4473" spans="1:22">
      <c r="A4473" t="str">
        <f t="shared" si="816"/>
        <v>02/10/2025</v>
      </c>
      <c r="B4473" t="str">
        <f t="shared" si="822"/>
        <v>ENTRADA</v>
      </c>
      <c r="C4473" t="str">
        <f t="shared" si="823"/>
        <v>NFSE</v>
      </c>
      <c r="D4473" t="str">
        <f>"3434"</f>
        <v>3434</v>
      </c>
      <c r="E4473" t="str">
        <f t="shared" si="824"/>
        <v>1</v>
      </c>
      <c r="F4473" t="str">
        <f t="shared" si="825"/>
        <v>COM</v>
      </c>
      <c r="G4473" t="str">
        <f>"PENSE FARMA 22 (10198)"</f>
        <v>PENSE FARMA 22 (10198)</v>
      </c>
      <c r="H4473" t="s">
        <v>1307</v>
      </c>
      <c r="I4473" t="str">
        <f t="shared" si="830"/>
        <v>02/10/2025</v>
      </c>
      <c r="J4473" t="str">
        <f t="shared" si="829"/>
        <v>30/09/2025</v>
      </c>
      <c r="K4473">
        <v>45932</v>
      </c>
      <c r="N4473">
        <v>303</v>
      </c>
      <c r="O4473" t="s">
        <v>69</v>
      </c>
      <c r="Q4473">
        <v>1360</v>
      </c>
      <c r="R4473" t="str">
        <f>"PENSE FARMA 22 (10198)"</f>
        <v>PENSE FARMA 22 (10198)</v>
      </c>
      <c r="S4473" t="s">
        <v>70</v>
      </c>
      <c r="T4473">
        <v>19143</v>
      </c>
      <c r="U4473">
        <v>22740</v>
      </c>
      <c r="V4473" t="s">
        <v>22</v>
      </c>
    </row>
    <row r="4474" spans="1:22">
      <c r="A4474" t="str">
        <f t="shared" si="816"/>
        <v>02/10/2025</v>
      </c>
      <c r="B4474" t="str">
        <f t="shared" ref="B4474:B4481" si="831">"SAÍDA"</f>
        <v>SAÍDA</v>
      </c>
      <c r="C4474" t="str">
        <f>"JUROS"</f>
        <v>JUROS</v>
      </c>
      <c r="D4474" t="str">
        <f>""</f>
        <v/>
      </c>
      <c r="F4474" t="str">
        <f>"CXA"</f>
        <v>CXA</v>
      </c>
      <c r="G4474" t="str">
        <f>""</f>
        <v/>
      </c>
      <c r="H4474" t="str">
        <f>"TARIFAS BANCÁRIAS BANCO CORA"</f>
        <v>TARIFAS BANCÁRIAS BANCO CORA</v>
      </c>
      <c r="I4474" t="str">
        <f t="shared" si="830"/>
        <v>02/10/2025</v>
      </c>
      <c r="J4474" t="str">
        <f>("02/10/2025")</f>
        <v>02/10/2025</v>
      </c>
      <c r="K4474" t="str">
        <f>("02/10/2025")</f>
        <v>02/10/2025</v>
      </c>
      <c r="L4474">
        <v>29.2</v>
      </c>
      <c r="M4474">
        <v>29.2</v>
      </c>
      <c r="N4474">
        <v>401</v>
      </c>
      <c r="O4474" t="str">
        <f>"IOF/JUROS/DESP.FINANCEIRA"</f>
        <v>IOF/JUROS/DESP.FINANCEIRA</v>
      </c>
      <c r="P4474">
        <v>29.2</v>
      </c>
      <c r="S4474" t="str">
        <f>"BANCO CORA (102)"</f>
        <v>BANCO CORA (102)</v>
      </c>
      <c r="T4474">
        <v>19144</v>
      </c>
      <c r="U4474">
        <v>0</v>
      </c>
      <c r="V4474" t="s">
        <v>1112</v>
      </c>
    </row>
    <row r="4475" spans="1:22">
      <c r="A4475" t="str">
        <f t="shared" si="816"/>
        <v>02/10/2025</v>
      </c>
      <c r="B4475" t="str">
        <f t="shared" si="831"/>
        <v>SAÍDA</v>
      </c>
      <c r="C4475" t="str">
        <f t="shared" ref="C4475:C4495" si="832">"PIX"</f>
        <v>PIX</v>
      </c>
      <c r="D4475" t="str">
        <f>"22992"</f>
        <v>22992</v>
      </c>
      <c r="E4475" t="str">
        <f t="shared" ref="E4475:E4481" si="833">"1"</f>
        <v>1</v>
      </c>
      <c r="F4475" t="str">
        <f t="shared" ref="F4475:F4506" si="834">"COM"</f>
        <v>COM</v>
      </c>
      <c r="G4475" t="str">
        <f>"RAFAEL PEDRO MENDES (944)"</f>
        <v>RAFAEL PEDRO MENDES (944)</v>
      </c>
      <c r="H4475" t="str">
        <f>"Serv.Prest. 26/09/2025 a 05/10/2025 - PIX: CELULAR - CHAVE: (31) 99680-9634"</f>
        <v>Serv.Prest. 26/09/2025 a 05/10/2025 - PIX: CELULAR - CHAVE: (31) 99680-9634</v>
      </c>
      <c r="I4475" t="str">
        <f>("16/10/2025")</f>
        <v>16/10/2025</v>
      </c>
      <c r="J4475" t="str">
        <f>("07/10/2025")</f>
        <v>07/10/2025</v>
      </c>
      <c r="K4475" t="str">
        <f>("02/10/2025")</f>
        <v>02/10/2025</v>
      </c>
      <c r="L4475">
        <v>190</v>
      </c>
      <c r="M4475">
        <v>190</v>
      </c>
      <c r="N4475">
        <v>134</v>
      </c>
      <c r="O4475" t="str">
        <f>"DIARIA DE MOTOBOY"</f>
        <v>DIARIA DE MOTOBOY</v>
      </c>
      <c r="P4475">
        <v>190</v>
      </c>
      <c r="S4475" t="str">
        <f>"BANCO CORA (102)"</f>
        <v>BANCO CORA (102)</v>
      </c>
      <c r="T4475">
        <v>19167</v>
      </c>
      <c r="U4475">
        <v>23030</v>
      </c>
      <c r="V4475" t="s">
        <v>22</v>
      </c>
    </row>
    <row r="4476" spans="1:22">
      <c r="A4476" t="str">
        <f t="shared" ref="A4476:A4481" si="835">("02/10/2025")</f>
        <v>02/10/2025</v>
      </c>
      <c r="B4476" t="str">
        <f t="shared" si="831"/>
        <v>SAÍDA</v>
      </c>
      <c r="C4476" t="str">
        <f t="shared" si="832"/>
        <v>PIX</v>
      </c>
      <c r="D4476" t="str">
        <f>"22992"</f>
        <v>22992</v>
      </c>
      <c r="E4476" t="str">
        <f t="shared" si="833"/>
        <v>1</v>
      </c>
      <c r="F4476" t="str">
        <f t="shared" si="834"/>
        <v>COM</v>
      </c>
      <c r="G4476" t="str">
        <f>"RAFAEL PEDRO MENDES (944)"</f>
        <v>RAFAEL PEDRO MENDES (944)</v>
      </c>
      <c r="H4476" t="s">
        <v>1098</v>
      </c>
      <c r="I4476" t="str">
        <f>("16/10/2025")</f>
        <v>16/10/2025</v>
      </c>
      <c r="J4476" t="str">
        <f>("07/10/2025")</f>
        <v>07/10/2025</v>
      </c>
      <c r="K4476">
        <v>45932</v>
      </c>
      <c r="N4476">
        <v>134</v>
      </c>
      <c r="O4476" t="s">
        <v>41</v>
      </c>
      <c r="Q4476">
        <v>123.92</v>
      </c>
      <c r="R4476" t="str">
        <f>"FARMÁCIA INDIANA LJ 101 (10043)"</f>
        <v>FARMÁCIA INDIANA LJ 101 (10043)</v>
      </c>
      <c r="S4476" t="s">
        <v>22</v>
      </c>
      <c r="T4476">
        <v>19167</v>
      </c>
      <c r="U4476">
        <v>23030</v>
      </c>
      <c r="V4476" t="s">
        <v>22</v>
      </c>
    </row>
    <row r="4477" spans="1:22">
      <c r="A4477" t="str">
        <f t="shared" si="835"/>
        <v>02/10/2025</v>
      </c>
      <c r="B4477" t="str">
        <f t="shared" si="831"/>
        <v>SAÍDA</v>
      </c>
      <c r="C4477" t="str">
        <f t="shared" si="832"/>
        <v>PIX</v>
      </c>
      <c r="D4477" t="str">
        <f>"22992"</f>
        <v>22992</v>
      </c>
      <c r="E4477" t="str">
        <f t="shared" si="833"/>
        <v>1</v>
      </c>
      <c r="F4477" t="str">
        <f t="shared" si="834"/>
        <v>COM</v>
      </c>
      <c r="G4477" t="str">
        <f>"RAFAEL PEDRO MENDES (944)"</f>
        <v>RAFAEL PEDRO MENDES (944)</v>
      </c>
      <c r="H4477" t="s">
        <v>1098</v>
      </c>
      <c r="I4477" t="str">
        <f>("16/10/2025")</f>
        <v>16/10/2025</v>
      </c>
      <c r="J4477" t="str">
        <f>("07/10/2025")</f>
        <v>07/10/2025</v>
      </c>
      <c r="K4477">
        <v>45932</v>
      </c>
      <c r="N4477">
        <v>134</v>
      </c>
      <c r="O4477" t="s">
        <v>41</v>
      </c>
      <c r="Q4477">
        <v>66.08</v>
      </c>
      <c r="R4477" t="str">
        <f>"FARMÁCIA INDIANA LJ 220 (10092)"</f>
        <v>FARMÁCIA INDIANA LJ 220 (10092)</v>
      </c>
      <c r="S4477" t="s">
        <v>22</v>
      </c>
      <c r="T4477">
        <v>19167</v>
      </c>
      <c r="U4477">
        <v>23030</v>
      </c>
      <c r="V4477" t="s">
        <v>22</v>
      </c>
    </row>
    <row r="4478" spans="1:22">
      <c r="A4478" t="str">
        <f t="shared" si="835"/>
        <v>02/10/2025</v>
      </c>
      <c r="B4478" t="str">
        <f t="shared" si="831"/>
        <v>SAÍDA</v>
      </c>
      <c r="C4478" t="str">
        <f t="shared" si="832"/>
        <v>PIX</v>
      </c>
      <c r="D4478" t="str">
        <f>"22861"</f>
        <v>22861</v>
      </c>
      <c r="E4478" t="str">
        <f t="shared" si="833"/>
        <v>1</v>
      </c>
      <c r="F4478" t="str">
        <f t="shared" si="834"/>
        <v>COM</v>
      </c>
      <c r="G4478" t="str">
        <f>"ALLAN SILVA DAMACENA (790)"</f>
        <v>ALLAN SILVA DAMACENA (790)</v>
      </c>
      <c r="H4478" t="str">
        <f>"Serv.Prest. 29/09/2025 a 05/10/2025 - PIX: CELULAR - CHAVE: (19) 98944-4977"</f>
        <v>Serv.Prest. 29/09/2025 a 05/10/2025 - PIX: CELULAR - CHAVE: (19) 98944-4977</v>
      </c>
      <c r="I4478" t="str">
        <f>("09/10/2025")</f>
        <v>09/10/2025</v>
      </c>
      <c r="J4478" t="str">
        <f>("06/10/2025")</f>
        <v>06/10/2025</v>
      </c>
      <c r="K4478" t="str">
        <f>("02/10/2025")</f>
        <v>02/10/2025</v>
      </c>
      <c r="L4478">
        <v>91</v>
      </c>
      <c r="M4478">
        <v>130</v>
      </c>
      <c r="N4478">
        <v>109</v>
      </c>
      <c r="O4478" t="str">
        <f>"PAGAMENTO DE ENTREGADORES"</f>
        <v>PAGAMENTO DE ENTREGADORES</v>
      </c>
      <c r="P4478">
        <v>130</v>
      </c>
      <c r="S4478" t="str">
        <f>"BANCO CORA (102)"</f>
        <v>BANCO CORA (102)</v>
      </c>
      <c r="T4478">
        <v>19198</v>
      </c>
      <c r="U4478">
        <v>23094</v>
      </c>
      <c r="V4478" t="s">
        <v>22</v>
      </c>
    </row>
    <row r="4479" spans="1:22">
      <c r="A4479" t="str">
        <f t="shared" si="835"/>
        <v>02/10/2025</v>
      </c>
      <c r="B4479" t="str">
        <f t="shared" si="831"/>
        <v>SAÍDA</v>
      </c>
      <c r="C4479" t="str">
        <f t="shared" si="832"/>
        <v>PIX</v>
      </c>
      <c r="D4479" t="str">
        <f>"22861"</f>
        <v>22861</v>
      </c>
      <c r="E4479" t="str">
        <f t="shared" si="833"/>
        <v>1</v>
      </c>
      <c r="F4479" t="str">
        <f t="shared" si="834"/>
        <v>COM</v>
      </c>
      <c r="G4479" t="str">
        <f>"ALLAN SILVA DAMACENA (790)"</f>
        <v>ALLAN SILVA DAMACENA (790)</v>
      </c>
      <c r="H4479" t="s">
        <v>1308</v>
      </c>
      <c r="I4479" t="str">
        <f>("09/10/2025")</f>
        <v>09/10/2025</v>
      </c>
      <c r="J4479" t="str">
        <f>("06/10/2025")</f>
        <v>06/10/2025</v>
      </c>
      <c r="K4479">
        <v>45932</v>
      </c>
      <c r="N4479">
        <v>109</v>
      </c>
      <c r="O4479" t="s">
        <v>24</v>
      </c>
      <c r="Q4479">
        <v>130</v>
      </c>
      <c r="R4479" t="str">
        <f>"DROGARIA MORENO LTDA (10171)"</f>
        <v>DROGARIA MORENO LTDA (10171)</v>
      </c>
      <c r="S4479" t="s">
        <v>22</v>
      </c>
      <c r="T4479">
        <v>19198</v>
      </c>
      <c r="U4479">
        <v>23094</v>
      </c>
      <c r="V4479" t="s">
        <v>22</v>
      </c>
    </row>
    <row r="4480" spans="1:22">
      <c r="A4480" t="str">
        <f t="shared" si="835"/>
        <v>02/10/2025</v>
      </c>
      <c r="B4480" t="str">
        <f t="shared" si="831"/>
        <v>SAÍDA</v>
      </c>
      <c r="C4480" t="str">
        <f t="shared" si="832"/>
        <v>PIX</v>
      </c>
      <c r="D4480" t="str">
        <f>"22840"</f>
        <v>22840</v>
      </c>
      <c r="E4480" t="str">
        <f t="shared" si="833"/>
        <v>1</v>
      </c>
      <c r="F4480" t="str">
        <f t="shared" si="834"/>
        <v>COM</v>
      </c>
      <c r="G4480" t="str">
        <f>"ALEXSANDRO APARECIDO MIRANDA (971)"</f>
        <v>ALEXSANDRO APARECIDO MIRANDA (971)</v>
      </c>
      <c r="H4480" t="str">
        <f>"Serv.Prest. 29/09/2025 a 05/10/2025 - PIX: CPF - CHAVE: 343.022.318-07"</f>
        <v>Serv.Prest. 29/09/2025 a 05/10/2025 - PIX: CPF - CHAVE: 343.022.318-07</v>
      </c>
      <c r="I4480" t="str">
        <f>("07/10/2025")</f>
        <v>07/10/2025</v>
      </c>
      <c r="J4480" t="str">
        <f>("06/10/2025")</f>
        <v>06/10/2025</v>
      </c>
      <c r="K4480" t="str">
        <f>("02/10/2025")</f>
        <v>02/10/2025</v>
      </c>
      <c r="L4480">
        <v>150</v>
      </c>
      <c r="M4480">
        <v>150</v>
      </c>
      <c r="N4480">
        <v>134</v>
      </c>
      <c r="O4480" t="str">
        <f>"DIARIA DE MOTOBOY"</f>
        <v>DIARIA DE MOTOBOY</v>
      </c>
      <c r="P4480">
        <v>150</v>
      </c>
      <c r="S4480" t="str">
        <f>"BANCO CORA (102)"</f>
        <v>BANCO CORA (102)</v>
      </c>
      <c r="T4480">
        <v>22370</v>
      </c>
      <c r="U4480">
        <v>22840</v>
      </c>
      <c r="V4480" t="s">
        <v>22</v>
      </c>
    </row>
    <row r="4481" spans="1:22">
      <c r="A4481" t="str">
        <f t="shared" si="835"/>
        <v>02/10/2025</v>
      </c>
      <c r="B4481" t="str">
        <f t="shared" si="831"/>
        <v>SAÍDA</v>
      </c>
      <c r="C4481" t="str">
        <f t="shared" si="832"/>
        <v>PIX</v>
      </c>
      <c r="D4481" t="str">
        <f>"22840"</f>
        <v>22840</v>
      </c>
      <c r="E4481" t="str">
        <f t="shared" si="833"/>
        <v>1</v>
      </c>
      <c r="F4481" t="str">
        <f t="shared" si="834"/>
        <v>COM</v>
      </c>
      <c r="G4481" t="str">
        <f>"ALEXSANDRO APARECIDO MIRANDA (971)"</f>
        <v>ALEXSANDRO APARECIDO MIRANDA (971)</v>
      </c>
      <c r="H4481" t="s">
        <v>1309</v>
      </c>
      <c r="I4481" t="str">
        <f>("07/10/2025")</f>
        <v>07/10/2025</v>
      </c>
      <c r="J4481" t="str">
        <f>("06/10/2025")</f>
        <v>06/10/2025</v>
      </c>
      <c r="K4481">
        <v>45932</v>
      </c>
      <c r="N4481">
        <v>134</v>
      </c>
      <c r="O4481" t="s">
        <v>41</v>
      </c>
      <c r="Q4481">
        <v>150</v>
      </c>
      <c r="R4481" t="str">
        <f>"PENSE FARMA 60 (10197)"</f>
        <v>PENSE FARMA 60 (10197)</v>
      </c>
      <c r="S4481" t="s">
        <v>22</v>
      </c>
      <c r="T4481">
        <v>22370</v>
      </c>
      <c r="U4481">
        <v>22840</v>
      </c>
      <c r="V4481" t="s">
        <v>22</v>
      </c>
    </row>
    <row r="4482" spans="1:22">
      <c r="A4482" t="str">
        <f t="shared" ref="A4482:A4513" si="836">("03/10/2025")</f>
        <v>03/10/2025</v>
      </c>
      <c r="B4482" t="str">
        <f t="shared" ref="B4482:B4491" si="837">"ENTRADA"</f>
        <v>ENTRADA</v>
      </c>
      <c r="C4482" t="str">
        <f t="shared" si="832"/>
        <v>PIX</v>
      </c>
      <c r="D4482" t="str">
        <f t="shared" ref="D4482:D4491" si="838">"060625500"</f>
        <v>060625500</v>
      </c>
      <c r="E4482" t="str">
        <f>"6"</f>
        <v>6</v>
      </c>
      <c r="F4482" t="str">
        <f t="shared" si="834"/>
        <v>COM</v>
      </c>
      <c r="G4482" t="str">
        <f t="shared" ref="G4482:G4493" si="839">"54.235.509 ROBERT MAGDIEL DE CARVALHO (20004)"</f>
        <v>54.235.509 ROBERT MAGDIEL DE CARVALHO (20004)</v>
      </c>
      <c r="H4482" t="str">
        <f>"REEMBOLSO ADIANTAMENTO"</f>
        <v>REEMBOLSO ADIANTAMENTO</v>
      </c>
      <c r="I4482" t="str">
        <f>("06/10/2025")</f>
        <v>06/10/2025</v>
      </c>
      <c r="J4482" t="str">
        <f t="shared" ref="J4482:J4491" si="840">("01/05/2025")</f>
        <v>01/05/2025</v>
      </c>
      <c r="K4482" t="str">
        <f>("03/10/2025")</f>
        <v>03/10/2025</v>
      </c>
      <c r="L4482">
        <v>500</v>
      </c>
      <c r="M4482">
        <v>500</v>
      </c>
      <c r="N4482">
        <v>129</v>
      </c>
      <c r="O4482" t="str">
        <f>"ENTRADA DE REEMBOLSO ADIANTAMENTO"</f>
        <v>ENTRADA DE REEMBOLSO ADIANTAMENTO</v>
      </c>
      <c r="P4482">
        <v>500</v>
      </c>
      <c r="S4482" t="str">
        <f>"ENTRADA DE REEMBOLSO ADIANTAMENTO (129)"</f>
        <v>ENTRADA DE REEMBOLSO ADIANTAMENTO (129)</v>
      </c>
      <c r="T4482">
        <v>18912</v>
      </c>
      <c r="U4482">
        <v>15853</v>
      </c>
      <c r="V4482" t="s">
        <v>48</v>
      </c>
    </row>
    <row r="4483" spans="1:22">
      <c r="A4483" t="str">
        <f t="shared" si="836"/>
        <v>03/10/2025</v>
      </c>
      <c r="B4483" t="str">
        <f t="shared" si="837"/>
        <v>ENTRADA</v>
      </c>
      <c r="C4483" t="str">
        <f t="shared" si="832"/>
        <v>PIX</v>
      </c>
      <c r="D4483" t="str">
        <f t="shared" si="838"/>
        <v>060625500</v>
      </c>
      <c r="E4483" t="str">
        <f>"6"</f>
        <v>6</v>
      </c>
      <c r="F4483" t="str">
        <f t="shared" si="834"/>
        <v>COM</v>
      </c>
      <c r="G4483" t="str">
        <f t="shared" si="839"/>
        <v>54.235.509 ROBERT MAGDIEL DE CARVALHO (20004)</v>
      </c>
      <c r="H4483" t="s">
        <v>57</v>
      </c>
      <c r="I4483" t="str">
        <f>("06/10/2025")</f>
        <v>06/10/2025</v>
      </c>
      <c r="J4483" t="str">
        <f t="shared" si="840"/>
        <v>01/05/2025</v>
      </c>
      <c r="K4483">
        <v>45933</v>
      </c>
      <c r="N4483">
        <v>129</v>
      </c>
      <c r="O4483" t="s">
        <v>58</v>
      </c>
      <c r="Q4483">
        <v>500</v>
      </c>
      <c r="R4483" t="str">
        <f>"54.235.509 ROBERT MAGDIEL DE CARVALHO (20004)"</f>
        <v>54.235.509 ROBERT MAGDIEL DE CARVALHO (20004)</v>
      </c>
      <c r="S4483" t="s">
        <v>59</v>
      </c>
      <c r="T4483">
        <v>18912</v>
      </c>
      <c r="U4483">
        <v>15853</v>
      </c>
      <c r="V4483" t="s">
        <v>48</v>
      </c>
    </row>
    <row r="4484" spans="1:22">
      <c r="A4484" t="str">
        <f t="shared" si="836"/>
        <v>03/10/2025</v>
      </c>
      <c r="B4484" t="str">
        <f t="shared" si="837"/>
        <v>ENTRADA</v>
      </c>
      <c r="C4484" t="str">
        <f t="shared" si="832"/>
        <v>PIX</v>
      </c>
      <c r="D4484" t="str">
        <f t="shared" si="838"/>
        <v>060625500</v>
      </c>
      <c r="E4484" t="str">
        <f>"7"</f>
        <v>7</v>
      </c>
      <c r="F4484" t="str">
        <f t="shared" si="834"/>
        <v>COM</v>
      </c>
      <c r="G4484" t="str">
        <f t="shared" si="839"/>
        <v>54.235.509 ROBERT MAGDIEL DE CARVALHO (20004)</v>
      </c>
      <c r="H4484" t="str">
        <f>"REEMBOLSO ADIANTAMENTO"</f>
        <v>REEMBOLSO ADIANTAMENTO</v>
      </c>
      <c r="I4484" t="str">
        <f>("06/11/2025")</f>
        <v>06/11/2025</v>
      </c>
      <c r="J4484" t="str">
        <f t="shared" si="840"/>
        <v>01/05/2025</v>
      </c>
      <c r="K4484" t="str">
        <f>("03/10/2025")</f>
        <v>03/10/2025</v>
      </c>
      <c r="L4484">
        <v>500</v>
      </c>
      <c r="M4484">
        <v>500</v>
      </c>
      <c r="N4484">
        <v>129</v>
      </c>
      <c r="O4484" t="str">
        <f>"ENTRADA DE REEMBOLSO ADIANTAMENTO"</f>
        <v>ENTRADA DE REEMBOLSO ADIANTAMENTO</v>
      </c>
      <c r="P4484">
        <v>500</v>
      </c>
      <c r="S4484" t="str">
        <f>"ENTRADA DE REEMBOLSO ADIANTAMENTO (129)"</f>
        <v>ENTRADA DE REEMBOLSO ADIANTAMENTO (129)</v>
      </c>
      <c r="T4484">
        <v>18913</v>
      </c>
      <c r="U4484">
        <v>15854</v>
      </c>
      <c r="V4484" t="s">
        <v>48</v>
      </c>
    </row>
    <row r="4485" spans="1:22">
      <c r="A4485" t="str">
        <f t="shared" si="836"/>
        <v>03/10/2025</v>
      </c>
      <c r="B4485" t="str">
        <f t="shared" si="837"/>
        <v>ENTRADA</v>
      </c>
      <c r="C4485" t="str">
        <f t="shared" si="832"/>
        <v>PIX</v>
      </c>
      <c r="D4485" t="str">
        <f t="shared" si="838"/>
        <v>060625500</v>
      </c>
      <c r="E4485" t="str">
        <f>"7"</f>
        <v>7</v>
      </c>
      <c r="F4485" t="str">
        <f t="shared" si="834"/>
        <v>COM</v>
      </c>
      <c r="G4485" t="str">
        <f t="shared" si="839"/>
        <v>54.235.509 ROBERT MAGDIEL DE CARVALHO (20004)</v>
      </c>
      <c r="H4485" t="s">
        <v>57</v>
      </c>
      <c r="I4485" t="str">
        <f>("06/11/2025")</f>
        <v>06/11/2025</v>
      </c>
      <c r="J4485" t="str">
        <f t="shared" si="840"/>
        <v>01/05/2025</v>
      </c>
      <c r="K4485">
        <v>45933</v>
      </c>
      <c r="N4485">
        <v>129</v>
      </c>
      <c r="O4485" t="s">
        <v>58</v>
      </c>
      <c r="Q4485">
        <v>500</v>
      </c>
      <c r="R4485" t="str">
        <f>"54.235.509 ROBERT MAGDIEL DE CARVALHO (20004)"</f>
        <v>54.235.509 ROBERT MAGDIEL DE CARVALHO (20004)</v>
      </c>
      <c r="S4485" t="s">
        <v>59</v>
      </c>
      <c r="T4485">
        <v>18913</v>
      </c>
      <c r="U4485">
        <v>15854</v>
      </c>
      <c r="V4485" t="s">
        <v>48</v>
      </c>
    </row>
    <row r="4486" spans="1:22">
      <c r="A4486" t="str">
        <f t="shared" si="836"/>
        <v>03/10/2025</v>
      </c>
      <c r="B4486" t="str">
        <f t="shared" si="837"/>
        <v>ENTRADA</v>
      </c>
      <c r="C4486" t="str">
        <f t="shared" si="832"/>
        <v>PIX</v>
      </c>
      <c r="D4486" t="str">
        <f t="shared" si="838"/>
        <v>060625500</v>
      </c>
      <c r="E4486" t="str">
        <f>"8"</f>
        <v>8</v>
      </c>
      <c r="F4486" t="str">
        <f t="shared" si="834"/>
        <v>COM</v>
      </c>
      <c r="G4486" t="str">
        <f t="shared" si="839"/>
        <v>54.235.509 ROBERT MAGDIEL DE CARVALHO (20004)</v>
      </c>
      <c r="H4486" t="str">
        <f>"REEMBOLSO ADIANTAMENTO"</f>
        <v>REEMBOLSO ADIANTAMENTO</v>
      </c>
      <c r="I4486" t="str">
        <f>("06/12/2025")</f>
        <v>06/12/2025</v>
      </c>
      <c r="J4486" t="str">
        <f t="shared" si="840"/>
        <v>01/05/2025</v>
      </c>
      <c r="K4486" t="str">
        <f>("03/10/2025")</f>
        <v>03/10/2025</v>
      </c>
      <c r="L4486">
        <v>500</v>
      </c>
      <c r="M4486">
        <v>500</v>
      </c>
      <c r="N4486">
        <v>129</v>
      </c>
      <c r="O4486" t="str">
        <f>"ENTRADA DE REEMBOLSO ADIANTAMENTO"</f>
        <v>ENTRADA DE REEMBOLSO ADIANTAMENTO</v>
      </c>
      <c r="P4486">
        <v>500</v>
      </c>
      <c r="S4486" t="str">
        <f>"ENTRADA DE REEMBOLSO ADIANTAMENTO (129)"</f>
        <v>ENTRADA DE REEMBOLSO ADIANTAMENTO (129)</v>
      </c>
      <c r="T4486">
        <v>18914</v>
      </c>
      <c r="U4486">
        <v>15855</v>
      </c>
      <c r="V4486" t="s">
        <v>48</v>
      </c>
    </row>
    <row r="4487" spans="1:22">
      <c r="A4487" t="str">
        <f t="shared" si="836"/>
        <v>03/10/2025</v>
      </c>
      <c r="B4487" t="str">
        <f t="shared" si="837"/>
        <v>ENTRADA</v>
      </c>
      <c r="C4487" t="str">
        <f t="shared" si="832"/>
        <v>PIX</v>
      </c>
      <c r="D4487" t="str">
        <f t="shared" si="838"/>
        <v>060625500</v>
      </c>
      <c r="E4487" t="str">
        <f>"8"</f>
        <v>8</v>
      </c>
      <c r="F4487" t="str">
        <f t="shared" si="834"/>
        <v>COM</v>
      </c>
      <c r="G4487" t="str">
        <f t="shared" si="839"/>
        <v>54.235.509 ROBERT MAGDIEL DE CARVALHO (20004)</v>
      </c>
      <c r="H4487" t="s">
        <v>57</v>
      </c>
      <c r="I4487" t="str">
        <f>("06/12/2025")</f>
        <v>06/12/2025</v>
      </c>
      <c r="J4487" t="str">
        <f t="shared" si="840"/>
        <v>01/05/2025</v>
      </c>
      <c r="K4487">
        <v>45933</v>
      </c>
      <c r="N4487">
        <v>129</v>
      </c>
      <c r="O4487" t="s">
        <v>58</v>
      </c>
      <c r="Q4487">
        <v>500</v>
      </c>
      <c r="R4487" t="str">
        <f>"54.235.509 ROBERT MAGDIEL DE CARVALHO (20004)"</f>
        <v>54.235.509 ROBERT MAGDIEL DE CARVALHO (20004)</v>
      </c>
      <c r="S4487" t="s">
        <v>59</v>
      </c>
      <c r="T4487">
        <v>18914</v>
      </c>
      <c r="U4487">
        <v>15855</v>
      </c>
      <c r="V4487" t="s">
        <v>48</v>
      </c>
    </row>
    <row r="4488" spans="1:22">
      <c r="A4488" t="str">
        <f t="shared" si="836"/>
        <v>03/10/2025</v>
      </c>
      <c r="B4488" t="str">
        <f t="shared" si="837"/>
        <v>ENTRADA</v>
      </c>
      <c r="C4488" t="str">
        <f t="shared" si="832"/>
        <v>PIX</v>
      </c>
      <c r="D4488" t="str">
        <f t="shared" si="838"/>
        <v>060625500</v>
      </c>
      <c r="E4488" t="str">
        <f>"9"</f>
        <v>9</v>
      </c>
      <c r="F4488" t="str">
        <f t="shared" si="834"/>
        <v>COM</v>
      </c>
      <c r="G4488" t="str">
        <f t="shared" si="839"/>
        <v>54.235.509 ROBERT MAGDIEL DE CARVALHO (20004)</v>
      </c>
      <c r="H4488" t="str">
        <f>"REEMBOLSO ADIANTAMENTO"</f>
        <v>REEMBOLSO ADIANTAMENTO</v>
      </c>
      <c r="I4488" t="str">
        <f>("06/01/2026")</f>
        <v>06/01/2026</v>
      </c>
      <c r="J4488" t="str">
        <f t="shared" si="840"/>
        <v>01/05/2025</v>
      </c>
      <c r="K4488" t="str">
        <f>("03/10/2025")</f>
        <v>03/10/2025</v>
      </c>
      <c r="L4488">
        <v>500</v>
      </c>
      <c r="M4488">
        <v>500</v>
      </c>
      <c r="N4488">
        <v>129</v>
      </c>
      <c r="O4488" t="str">
        <f>"ENTRADA DE REEMBOLSO ADIANTAMENTO"</f>
        <v>ENTRADA DE REEMBOLSO ADIANTAMENTO</v>
      </c>
      <c r="P4488">
        <v>500</v>
      </c>
      <c r="S4488" t="str">
        <f>"ENTRADA DE REEMBOLSO ADIANTAMENTO (129)"</f>
        <v>ENTRADA DE REEMBOLSO ADIANTAMENTO (129)</v>
      </c>
      <c r="T4488">
        <v>18915</v>
      </c>
      <c r="U4488">
        <v>15856</v>
      </c>
      <c r="V4488" t="s">
        <v>48</v>
      </c>
    </row>
    <row r="4489" spans="1:22">
      <c r="A4489" t="str">
        <f t="shared" si="836"/>
        <v>03/10/2025</v>
      </c>
      <c r="B4489" t="str">
        <f t="shared" si="837"/>
        <v>ENTRADA</v>
      </c>
      <c r="C4489" t="str">
        <f t="shared" si="832"/>
        <v>PIX</v>
      </c>
      <c r="D4489" t="str">
        <f t="shared" si="838"/>
        <v>060625500</v>
      </c>
      <c r="E4489" t="str">
        <f>"9"</f>
        <v>9</v>
      </c>
      <c r="F4489" t="str">
        <f t="shared" si="834"/>
        <v>COM</v>
      </c>
      <c r="G4489" t="str">
        <f t="shared" si="839"/>
        <v>54.235.509 ROBERT MAGDIEL DE CARVALHO (20004)</v>
      </c>
      <c r="H4489" t="s">
        <v>57</v>
      </c>
      <c r="I4489" t="str">
        <f>("06/01/2026")</f>
        <v>06/01/2026</v>
      </c>
      <c r="J4489" t="str">
        <f t="shared" si="840"/>
        <v>01/05/2025</v>
      </c>
      <c r="K4489">
        <v>45933</v>
      </c>
      <c r="N4489">
        <v>129</v>
      </c>
      <c r="O4489" t="s">
        <v>58</v>
      </c>
      <c r="Q4489">
        <v>500</v>
      </c>
      <c r="R4489" t="str">
        <f>"54.235.509 ROBERT MAGDIEL DE CARVALHO (20004)"</f>
        <v>54.235.509 ROBERT MAGDIEL DE CARVALHO (20004)</v>
      </c>
      <c r="S4489" t="s">
        <v>59</v>
      </c>
      <c r="T4489">
        <v>18915</v>
      </c>
      <c r="U4489">
        <v>15856</v>
      </c>
      <c r="V4489" t="s">
        <v>48</v>
      </c>
    </row>
    <row r="4490" spans="1:22">
      <c r="A4490" t="str">
        <f t="shared" si="836"/>
        <v>03/10/2025</v>
      </c>
      <c r="B4490" t="str">
        <f t="shared" si="837"/>
        <v>ENTRADA</v>
      </c>
      <c r="C4490" t="str">
        <f t="shared" si="832"/>
        <v>PIX</v>
      </c>
      <c r="D4490" t="str">
        <f t="shared" si="838"/>
        <v>060625500</v>
      </c>
      <c r="E4490" t="str">
        <f>"10"</f>
        <v>10</v>
      </c>
      <c r="F4490" t="str">
        <f t="shared" si="834"/>
        <v>COM</v>
      </c>
      <c r="G4490" t="str">
        <f t="shared" si="839"/>
        <v>54.235.509 ROBERT MAGDIEL DE CARVALHO (20004)</v>
      </c>
      <c r="H4490" t="str">
        <f>"REEMBOLSO ADIANTAMENTO"</f>
        <v>REEMBOLSO ADIANTAMENTO</v>
      </c>
      <c r="I4490" t="str">
        <f>("06/02/2026")</f>
        <v>06/02/2026</v>
      </c>
      <c r="J4490" t="str">
        <f t="shared" si="840"/>
        <v>01/05/2025</v>
      </c>
      <c r="K4490" t="str">
        <f>("03/10/2025")</f>
        <v>03/10/2025</v>
      </c>
      <c r="L4490">
        <v>500</v>
      </c>
      <c r="M4490">
        <v>500</v>
      </c>
      <c r="N4490">
        <v>129</v>
      </c>
      <c r="O4490" t="str">
        <f>"ENTRADA DE REEMBOLSO ADIANTAMENTO"</f>
        <v>ENTRADA DE REEMBOLSO ADIANTAMENTO</v>
      </c>
      <c r="P4490">
        <v>500</v>
      </c>
      <c r="S4490" t="str">
        <f>"ENTRADA DE REEMBOLSO ADIANTAMENTO (129)"</f>
        <v>ENTRADA DE REEMBOLSO ADIANTAMENTO (129)</v>
      </c>
      <c r="T4490">
        <v>18916</v>
      </c>
      <c r="U4490">
        <v>15857</v>
      </c>
      <c r="V4490" t="s">
        <v>48</v>
      </c>
    </row>
    <row r="4491" spans="1:22">
      <c r="A4491" t="str">
        <f t="shared" si="836"/>
        <v>03/10/2025</v>
      </c>
      <c r="B4491" t="str">
        <f t="shared" si="837"/>
        <v>ENTRADA</v>
      </c>
      <c r="C4491" t="str">
        <f t="shared" si="832"/>
        <v>PIX</v>
      </c>
      <c r="D4491" t="str">
        <f t="shared" si="838"/>
        <v>060625500</v>
      </c>
      <c r="E4491" t="str">
        <f>"10"</f>
        <v>10</v>
      </c>
      <c r="F4491" t="str">
        <f t="shared" si="834"/>
        <v>COM</v>
      </c>
      <c r="G4491" t="str">
        <f t="shared" si="839"/>
        <v>54.235.509 ROBERT MAGDIEL DE CARVALHO (20004)</v>
      </c>
      <c r="H4491" t="s">
        <v>57</v>
      </c>
      <c r="I4491" t="str">
        <f>("06/02/2026")</f>
        <v>06/02/2026</v>
      </c>
      <c r="J4491" t="str">
        <f t="shared" si="840"/>
        <v>01/05/2025</v>
      </c>
      <c r="K4491">
        <v>45933</v>
      </c>
      <c r="N4491">
        <v>129</v>
      </c>
      <c r="O4491" t="s">
        <v>58</v>
      </c>
      <c r="Q4491">
        <v>500</v>
      </c>
      <c r="R4491" t="str">
        <f>"54.235.509 ROBERT MAGDIEL DE CARVALHO (20004)"</f>
        <v>54.235.509 ROBERT MAGDIEL DE CARVALHO (20004)</v>
      </c>
      <c r="S4491" t="s">
        <v>59</v>
      </c>
      <c r="T4491">
        <v>18916</v>
      </c>
      <c r="U4491">
        <v>15857</v>
      </c>
      <c r="V4491" t="s">
        <v>48</v>
      </c>
    </row>
    <row r="4492" spans="1:22">
      <c r="A4492" t="str">
        <f t="shared" si="836"/>
        <v>03/10/2025</v>
      </c>
      <c r="B4492" t="str">
        <f>"SAÍDA"</f>
        <v>SAÍDA</v>
      </c>
      <c r="C4492" t="str">
        <f t="shared" si="832"/>
        <v>PIX</v>
      </c>
      <c r="D4492" t="str">
        <f>"1109258000"</f>
        <v>1109258000</v>
      </c>
      <c r="E4492" t="str">
        <f>""</f>
        <v/>
      </c>
      <c r="F4492" t="str">
        <f t="shared" si="834"/>
        <v>COM</v>
      </c>
      <c r="G4492" t="str">
        <f t="shared" si="839"/>
        <v>54.235.509 ROBERT MAGDIEL DE CARVALHO (20004)</v>
      </c>
      <c r="H4492" t="str">
        <f>"DESENVOLVIMENTO FERRAMENTA DE IA - ANALISE DE PERFIL"</f>
        <v>DESENVOLVIMENTO FERRAMENTA DE IA - ANALISE DE PERFIL</v>
      </c>
      <c r="I4492" t="str">
        <f>("06/10/2025")</f>
        <v>06/10/2025</v>
      </c>
      <c r="J4492" t="str">
        <f>("11/09/2025")</f>
        <v>11/09/2025</v>
      </c>
      <c r="K4492" t="str">
        <f>("03/10/2025")</f>
        <v>03/10/2025</v>
      </c>
      <c r="L4492">
        <v>2500</v>
      </c>
      <c r="M4492">
        <v>2500</v>
      </c>
      <c r="N4492">
        <v>104</v>
      </c>
      <c r="O4492" t="str">
        <f>"SOFTWARE / LICENÇAS"</f>
        <v>SOFTWARE / LICENÇAS</v>
      </c>
      <c r="P4492">
        <v>2500</v>
      </c>
      <c r="S4492" t="str">
        <f>"CAIXA MOVIMENTAÇÃO OPERACIONAL (132)"</f>
        <v>CAIXA MOVIMENTAÇÃO OPERACIONAL (132)</v>
      </c>
      <c r="T4492">
        <v>18917</v>
      </c>
      <c r="U4492">
        <v>21923</v>
      </c>
      <c r="V4492" t="s">
        <v>48</v>
      </c>
    </row>
    <row r="4493" spans="1:22">
      <c r="A4493" t="str">
        <f t="shared" si="836"/>
        <v>03/10/2025</v>
      </c>
      <c r="B4493" t="str">
        <f>"SAÍDA"</f>
        <v>SAÍDA</v>
      </c>
      <c r="C4493" t="str">
        <f t="shared" si="832"/>
        <v>PIX</v>
      </c>
      <c r="D4493" t="str">
        <f>"1109258000"</f>
        <v>1109258000</v>
      </c>
      <c r="E4493" t="str">
        <f>""</f>
        <v/>
      </c>
      <c r="F4493" t="str">
        <f t="shared" si="834"/>
        <v>COM</v>
      </c>
      <c r="G4493" t="str">
        <f t="shared" si="839"/>
        <v>54.235.509 ROBERT MAGDIEL DE CARVALHO (20004)</v>
      </c>
      <c r="H4493" t="s">
        <v>543</v>
      </c>
      <c r="I4493" t="str">
        <f>("06/10/2025")</f>
        <v>06/10/2025</v>
      </c>
      <c r="J4493" t="str">
        <f>("11/09/2025")</f>
        <v>11/09/2025</v>
      </c>
      <c r="K4493">
        <v>45933</v>
      </c>
      <c r="N4493">
        <v>104</v>
      </c>
      <c r="O4493" t="s">
        <v>34</v>
      </c>
      <c r="Q4493">
        <v>2500</v>
      </c>
      <c r="R4493" t="str">
        <f>"54.235.509 ROBERT MAGDIEL DE CARVALHO (20004)"</f>
        <v>54.235.509 ROBERT MAGDIEL DE CARVALHO (20004)</v>
      </c>
      <c r="S4493" t="s">
        <v>48</v>
      </c>
      <c r="T4493">
        <v>18917</v>
      </c>
      <c r="U4493">
        <v>21923</v>
      </c>
      <c r="V4493" t="s">
        <v>48</v>
      </c>
    </row>
    <row r="4494" spans="1:22">
      <c r="A4494" t="str">
        <f t="shared" si="836"/>
        <v>03/10/2025</v>
      </c>
      <c r="B4494" t="str">
        <f>"SAÍDA"</f>
        <v>SAÍDA</v>
      </c>
      <c r="C4494" t="str">
        <f t="shared" si="832"/>
        <v>PIX</v>
      </c>
      <c r="D4494" t="str">
        <f>"0310"</f>
        <v>0310</v>
      </c>
      <c r="E4494" t="str">
        <f>"25"</f>
        <v>25</v>
      </c>
      <c r="F4494" t="str">
        <f t="shared" si="834"/>
        <v>COM</v>
      </c>
      <c r="G4494" t="str">
        <f>"WANDERSON JÚNIOR SOARES (628)"</f>
        <v>WANDERSON JÚNIOR SOARES (628)</v>
      </c>
      <c r="H4494" t="str">
        <f>"Serv.Prest. 15/09/2025 a 21/09/2025 - PIX: CPF - CHAVE: 170.180.266-01"</f>
        <v>Serv.Prest. 15/09/2025 a 21/09/2025 - PIX: CPF - CHAVE: 170.180.266-01</v>
      </c>
      <c r="I4494" t="str">
        <f>("03/10/2025")</f>
        <v>03/10/2025</v>
      </c>
      <c r="J4494" t="str">
        <f>("22/09/2025")</f>
        <v>22/09/2025</v>
      </c>
      <c r="K4494" t="str">
        <f>("03/10/2025")</f>
        <v>03/10/2025</v>
      </c>
      <c r="L4494">
        <v>700</v>
      </c>
      <c r="M4494">
        <v>700</v>
      </c>
      <c r="N4494">
        <v>109</v>
      </c>
      <c r="O4494" t="str">
        <f>"PAGAMENTO DE ENTREGADORES"</f>
        <v>PAGAMENTO DE ENTREGADORES</v>
      </c>
      <c r="P4494">
        <v>700</v>
      </c>
      <c r="S4494" t="str">
        <f>"BANCO CORA (102)"</f>
        <v>BANCO CORA (102)</v>
      </c>
      <c r="T4494">
        <v>19145</v>
      </c>
      <c r="U4494">
        <v>22801</v>
      </c>
      <c r="V4494" t="s">
        <v>22</v>
      </c>
    </row>
    <row r="4495" spans="1:22">
      <c r="A4495" t="str">
        <f t="shared" si="836"/>
        <v>03/10/2025</v>
      </c>
      <c r="B4495" t="str">
        <f>"SAÍDA"</f>
        <v>SAÍDA</v>
      </c>
      <c r="C4495" t="str">
        <f t="shared" si="832"/>
        <v>PIX</v>
      </c>
      <c r="D4495" t="str">
        <f>"0310"</f>
        <v>0310</v>
      </c>
      <c r="E4495" t="str">
        <f>"25"</f>
        <v>25</v>
      </c>
      <c r="F4495" t="str">
        <f t="shared" si="834"/>
        <v>COM</v>
      </c>
      <c r="G4495" t="str">
        <f>"WANDERSON JÚNIOR SOARES (628)"</f>
        <v>WANDERSON JÚNIOR SOARES (628)</v>
      </c>
      <c r="H4495" t="s">
        <v>1310</v>
      </c>
      <c r="I4495" t="str">
        <f>("03/10/2025")</f>
        <v>03/10/2025</v>
      </c>
      <c r="J4495" t="str">
        <f>("22/09/2025")</f>
        <v>22/09/2025</v>
      </c>
      <c r="K4495">
        <v>45933</v>
      </c>
      <c r="N4495">
        <v>109</v>
      </c>
      <c r="O4495" t="s">
        <v>24</v>
      </c>
      <c r="Q4495">
        <v>700</v>
      </c>
      <c r="R4495" t="str">
        <f>"FARMÁCIA INDIANA LJ 110 (10048)"</f>
        <v>FARMÁCIA INDIANA LJ 110 (10048)</v>
      </c>
      <c r="S4495" t="s">
        <v>22</v>
      </c>
      <c r="T4495">
        <v>19145</v>
      </c>
      <c r="U4495">
        <v>22801</v>
      </c>
      <c r="V4495" t="s">
        <v>22</v>
      </c>
    </row>
    <row r="4496" spans="1:22">
      <c r="A4496" t="str">
        <f t="shared" si="836"/>
        <v>03/10/2025</v>
      </c>
      <c r="B4496" t="str">
        <f>"ENTRADA"</f>
        <v>ENTRADA</v>
      </c>
      <c r="C4496" t="str">
        <f>"NFSE"</f>
        <v>NFSE</v>
      </c>
      <c r="D4496" t="str">
        <f>"3414"</f>
        <v>3414</v>
      </c>
      <c r="E4496" t="str">
        <f>"1"</f>
        <v>1</v>
      </c>
      <c r="F4496" t="str">
        <f t="shared" si="834"/>
        <v>COM</v>
      </c>
      <c r="G4496" t="str">
        <f>"DROGARIA POUPA MINAS (ULTRAMINAS) 3 (10129)"</f>
        <v>DROGARIA POUPA MINAS (ULTRAMINAS) 3 (10129)</v>
      </c>
      <c r="H4496" t="str">
        <f>"Serv.Prest. 22/09/2025 a 28/09/2025 - RPS: 1290 - NFSe: 3414"</f>
        <v>Serv.Prest. 22/09/2025 a 28/09/2025 - RPS: 1290 - NFSe: 3414</v>
      </c>
      <c r="I4496" t="str">
        <f>("02/10/2025")</f>
        <v>02/10/2025</v>
      </c>
      <c r="J4496" t="str">
        <f>("29/09/2025")</f>
        <v>29/09/2025</v>
      </c>
      <c r="K4496" t="str">
        <f>("03/10/2025")</f>
        <v>03/10/2025</v>
      </c>
      <c r="L4496">
        <v>1544.4</v>
      </c>
      <c r="M4496">
        <v>1544.4</v>
      </c>
      <c r="N4496">
        <v>303</v>
      </c>
      <c r="O4496" t="str">
        <f>"RECEITAS COM ENTREGAS"</f>
        <v>RECEITAS COM ENTREGAS</v>
      </c>
      <c r="P4496">
        <v>1544.4</v>
      </c>
      <c r="S4496" t="str">
        <f>"RECEITAS COM ENTREGAS (303)"</f>
        <v>RECEITAS COM ENTREGAS (303)</v>
      </c>
      <c r="T4496">
        <v>19146</v>
      </c>
      <c r="U4496">
        <v>22670</v>
      </c>
      <c r="V4496" t="s">
        <v>22</v>
      </c>
    </row>
    <row r="4497" spans="1:22">
      <c r="A4497" t="str">
        <f t="shared" si="836"/>
        <v>03/10/2025</v>
      </c>
      <c r="B4497" t="str">
        <f>"ENTRADA"</f>
        <v>ENTRADA</v>
      </c>
      <c r="C4497" t="str">
        <f>"NFSE"</f>
        <v>NFSE</v>
      </c>
      <c r="D4497" t="str">
        <f>"3414"</f>
        <v>3414</v>
      </c>
      <c r="E4497" t="str">
        <f>"1"</f>
        <v>1</v>
      </c>
      <c r="F4497" t="str">
        <f t="shared" si="834"/>
        <v>COM</v>
      </c>
      <c r="G4497" t="str">
        <f>"DROGARIA POUPA MINAS (ULTRAMINAS) 3 (10129)"</f>
        <v>DROGARIA POUPA MINAS (ULTRAMINAS) 3 (10129)</v>
      </c>
      <c r="H4497" t="s">
        <v>1311</v>
      </c>
      <c r="I4497" t="str">
        <f>("02/10/2025")</f>
        <v>02/10/2025</v>
      </c>
      <c r="J4497" t="str">
        <f>("29/09/2025")</f>
        <v>29/09/2025</v>
      </c>
      <c r="K4497">
        <v>45933</v>
      </c>
      <c r="N4497">
        <v>303</v>
      </c>
      <c r="O4497" t="s">
        <v>69</v>
      </c>
      <c r="Q4497">
        <v>1544.4</v>
      </c>
      <c r="R4497" t="str">
        <f>"DROGARIA POUPA MINAS (ULTRAMINAS) 3 (10129)"</f>
        <v>DROGARIA POUPA MINAS (ULTRAMINAS) 3 (10129)</v>
      </c>
      <c r="S4497" t="s">
        <v>70</v>
      </c>
      <c r="T4497">
        <v>19146</v>
      </c>
      <c r="U4497">
        <v>22670</v>
      </c>
      <c r="V4497" t="s">
        <v>22</v>
      </c>
    </row>
    <row r="4498" spans="1:22">
      <c r="A4498" t="str">
        <f t="shared" si="836"/>
        <v>03/10/2025</v>
      </c>
      <c r="B4498" t="str">
        <f>"ENTRADA"</f>
        <v>ENTRADA</v>
      </c>
      <c r="C4498" t="str">
        <f>"NFSE"</f>
        <v>NFSE</v>
      </c>
      <c r="D4498" t="str">
        <f>"3421"</f>
        <v>3421</v>
      </c>
      <c r="E4498" t="str">
        <f>"1"</f>
        <v>1</v>
      </c>
      <c r="F4498" t="str">
        <f t="shared" si="834"/>
        <v>COM</v>
      </c>
      <c r="G4498" t="str">
        <f>"DROGARIA POUPA MINAS (DOIS AMIGOS) 5 (10140)"</f>
        <v>DROGARIA POUPA MINAS (DOIS AMIGOS) 5 (10140)</v>
      </c>
      <c r="H4498" t="str">
        <f>"Serv.Prest. 22/09/2025 a 28/09/2025 - RPS: 1297 - NFSe: 3421"</f>
        <v>Serv.Prest. 22/09/2025 a 28/09/2025 - RPS: 1297 - NFSe: 3421</v>
      </c>
      <c r="I4498" t="str">
        <f>("02/10/2025")</f>
        <v>02/10/2025</v>
      </c>
      <c r="J4498" t="str">
        <f>("29/09/2025")</f>
        <v>29/09/2025</v>
      </c>
      <c r="K4498" t="str">
        <f>("03/10/2025")</f>
        <v>03/10/2025</v>
      </c>
      <c r="L4498">
        <v>7442.69</v>
      </c>
      <c r="M4498">
        <v>7442.69</v>
      </c>
      <c r="N4498">
        <v>303</v>
      </c>
      <c r="O4498" t="str">
        <f>"RECEITAS COM ENTREGAS"</f>
        <v>RECEITAS COM ENTREGAS</v>
      </c>
      <c r="P4498">
        <v>7442.69</v>
      </c>
      <c r="S4498" t="str">
        <f>"RECEITAS COM ENTREGAS (303)"</f>
        <v>RECEITAS COM ENTREGAS (303)</v>
      </c>
      <c r="T4498">
        <v>19147</v>
      </c>
      <c r="U4498">
        <v>22694</v>
      </c>
      <c r="V4498" t="s">
        <v>22</v>
      </c>
    </row>
    <row r="4499" spans="1:22">
      <c r="A4499" t="str">
        <f t="shared" si="836"/>
        <v>03/10/2025</v>
      </c>
      <c r="B4499" t="str">
        <f>"ENTRADA"</f>
        <v>ENTRADA</v>
      </c>
      <c r="C4499" t="str">
        <f>"NFSE"</f>
        <v>NFSE</v>
      </c>
      <c r="D4499" t="str">
        <f>"3421"</f>
        <v>3421</v>
      </c>
      <c r="E4499" t="str">
        <f>"1"</f>
        <v>1</v>
      </c>
      <c r="F4499" t="str">
        <f t="shared" si="834"/>
        <v>COM</v>
      </c>
      <c r="G4499" t="str">
        <f>"DROGARIA POUPA MINAS (DOIS AMIGOS) 5 (10140)"</f>
        <v>DROGARIA POUPA MINAS (DOIS AMIGOS) 5 (10140)</v>
      </c>
      <c r="H4499" t="s">
        <v>1312</v>
      </c>
      <c r="I4499" t="str">
        <f>("02/10/2025")</f>
        <v>02/10/2025</v>
      </c>
      <c r="J4499" t="str">
        <f>("29/09/2025")</f>
        <v>29/09/2025</v>
      </c>
      <c r="K4499">
        <v>45933</v>
      </c>
      <c r="N4499">
        <v>303</v>
      </c>
      <c r="O4499" t="s">
        <v>69</v>
      </c>
      <c r="Q4499">
        <v>7442.69</v>
      </c>
      <c r="R4499" t="str">
        <f>"DROGARIA POUPA MINAS (ULTRAMINAS) 1 (10181)"</f>
        <v>DROGARIA POUPA MINAS (ULTRAMINAS) 1 (10181)</v>
      </c>
      <c r="S4499" t="s">
        <v>70</v>
      </c>
      <c r="T4499">
        <v>19147</v>
      </c>
      <c r="U4499">
        <v>22694</v>
      </c>
      <c r="V4499" t="s">
        <v>22</v>
      </c>
    </row>
    <row r="4500" spans="1:22">
      <c r="A4500" t="str">
        <f t="shared" si="836"/>
        <v>03/10/2025</v>
      </c>
      <c r="B4500" t="str">
        <f t="shared" ref="B4500:B4531" si="841">"SAÍDA"</f>
        <v>SAÍDA</v>
      </c>
      <c r="C4500" t="str">
        <f t="shared" ref="C4500:C4526" si="842">"PIX"</f>
        <v>PIX</v>
      </c>
      <c r="D4500" t="str">
        <f t="shared" ref="D4500:D4513" si="843">"2025"</f>
        <v>2025</v>
      </c>
      <c r="E4500" t="str">
        <f t="shared" ref="E4500:E4511" si="844">"09"</f>
        <v>09</v>
      </c>
      <c r="F4500" t="str">
        <f t="shared" si="834"/>
        <v>COM</v>
      </c>
      <c r="G4500" t="str">
        <f>"28.804.647 KAUE EDUARDO FIGUEIREDO GAUDINO (20003)"</f>
        <v>28.804.647 KAUE EDUARDO FIGUEIREDO GAUDINO (20003)</v>
      </c>
      <c r="H4500" t="str">
        <f>"Prestação de Serviço Mensal"</f>
        <v>Prestação de Serviço Mensal</v>
      </c>
      <c r="I4500" t="str">
        <f t="shared" ref="I4500:I4527" si="845">("03/10/2025")</f>
        <v>03/10/2025</v>
      </c>
      <c r="J4500" t="str">
        <f t="shared" ref="J4500:J4505" si="846">("01/01/2025")</f>
        <v>01/01/2025</v>
      </c>
      <c r="K4500" t="str">
        <f>("03/10/2025")</f>
        <v>03/10/2025</v>
      </c>
      <c r="L4500">
        <v>600</v>
      </c>
      <c r="M4500">
        <v>600</v>
      </c>
      <c r="N4500">
        <v>114</v>
      </c>
      <c r="O4500" t="str">
        <f>"PRESTADORES DE SERVIÇOS"</f>
        <v>PRESTADORES DE SERVIÇOS</v>
      </c>
      <c r="P4500">
        <v>600</v>
      </c>
      <c r="S4500" t="str">
        <f>"BANCO CORA (102)"</f>
        <v>BANCO CORA (102)</v>
      </c>
      <c r="T4500">
        <v>19148</v>
      </c>
      <c r="U4500">
        <v>4080</v>
      </c>
      <c r="V4500" t="s">
        <v>22</v>
      </c>
    </row>
    <row r="4501" spans="1:22">
      <c r="A4501" t="str">
        <f t="shared" si="836"/>
        <v>03/10/2025</v>
      </c>
      <c r="B4501" t="str">
        <f t="shared" si="841"/>
        <v>SAÍDA</v>
      </c>
      <c r="C4501" t="str">
        <f t="shared" si="842"/>
        <v>PIX</v>
      </c>
      <c r="D4501" t="str">
        <f t="shared" si="843"/>
        <v>2025</v>
      </c>
      <c r="E4501" t="str">
        <f t="shared" si="844"/>
        <v>09</v>
      </c>
      <c r="F4501" t="str">
        <f t="shared" si="834"/>
        <v>COM</v>
      </c>
      <c r="G4501" t="str">
        <f>"28.804.647 KAUE EDUARDO FIGUEIREDO GAUDINO (20003)"</f>
        <v>28.804.647 KAUE EDUARDO FIGUEIREDO GAUDINO (20003)</v>
      </c>
      <c r="H4501" t="s">
        <v>1313</v>
      </c>
      <c r="I4501" t="str">
        <f t="shared" si="845"/>
        <v>03/10/2025</v>
      </c>
      <c r="J4501" t="str">
        <f t="shared" si="846"/>
        <v>01/01/2025</v>
      </c>
      <c r="K4501">
        <v>45933</v>
      </c>
      <c r="N4501">
        <v>114</v>
      </c>
      <c r="O4501" t="s">
        <v>260</v>
      </c>
      <c r="Q4501">
        <v>600</v>
      </c>
      <c r="R4501" t="str">
        <f>"28.804.647 KAUE EDUARDO FIGUEIREDO GAUDINO (20003)"</f>
        <v>28.804.647 KAUE EDUARDO FIGUEIREDO GAUDINO (20003)</v>
      </c>
      <c r="S4501" t="s">
        <v>22</v>
      </c>
      <c r="T4501">
        <v>19148</v>
      </c>
      <c r="U4501">
        <v>4080</v>
      </c>
      <c r="V4501" t="s">
        <v>22</v>
      </c>
    </row>
    <row r="4502" spans="1:22">
      <c r="A4502" t="str">
        <f t="shared" si="836"/>
        <v>03/10/2025</v>
      </c>
      <c r="B4502" t="str">
        <f t="shared" si="841"/>
        <v>SAÍDA</v>
      </c>
      <c r="C4502" t="str">
        <f t="shared" si="842"/>
        <v>PIX</v>
      </c>
      <c r="D4502" t="str">
        <f t="shared" si="843"/>
        <v>2025</v>
      </c>
      <c r="E4502" t="str">
        <f t="shared" si="844"/>
        <v>09</v>
      </c>
      <c r="F4502" t="str">
        <f t="shared" si="834"/>
        <v>COM</v>
      </c>
      <c r="G4502" t="str">
        <f>"54.235.509 ROBERT MAGDIEL DE CARVALHO (20004)"</f>
        <v>54.235.509 ROBERT MAGDIEL DE CARVALHO (20004)</v>
      </c>
      <c r="H4502" t="str">
        <f>"Prestação de Serviço Mensal"</f>
        <v>Prestação de Serviço Mensal</v>
      </c>
      <c r="I4502" t="str">
        <f t="shared" si="845"/>
        <v>03/10/2025</v>
      </c>
      <c r="J4502" t="str">
        <f t="shared" si="846"/>
        <v>01/01/2025</v>
      </c>
      <c r="K4502" t="str">
        <f>("03/10/2025")</f>
        <v>03/10/2025</v>
      </c>
      <c r="L4502">
        <v>5370</v>
      </c>
      <c r="M4502">
        <v>5370</v>
      </c>
      <c r="N4502">
        <v>114</v>
      </c>
      <c r="O4502" t="str">
        <f>"PRESTADORES DE SERVIÇOS"</f>
        <v>PRESTADORES DE SERVIÇOS</v>
      </c>
      <c r="P4502">
        <v>5370</v>
      </c>
      <c r="S4502" t="str">
        <f>"BANCO CORA (102)"</f>
        <v>BANCO CORA (102)</v>
      </c>
      <c r="T4502">
        <v>19149</v>
      </c>
      <c r="U4502">
        <v>4092</v>
      </c>
      <c r="V4502" t="s">
        <v>22</v>
      </c>
    </row>
    <row r="4503" spans="1:22">
      <c r="A4503" t="str">
        <f t="shared" si="836"/>
        <v>03/10/2025</v>
      </c>
      <c r="B4503" t="str">
        <f t="shared" si="841"/>
        <v>SAÍDA</v>
      </c>
      <c r="C4503" t="str">
        <f t="shared" si="842"/>
        <v>PIX</v>
      </c>
      <c r="D4503" t="str">
        <f t="shared" si="843"/>
        <v>2025</v>
      </c>
      <c r="E4503" t="str">
        <f t="shared" si="844"/>
        <v>09</v>
      </c>
      <c r="F4503" t="str">
        <f t="shared" si="834"/>
        <v>COM</v>
      </c>
      <c r="G4503" t="str">
        <f>"54.235.509 ROBERT MAGDIEL DE CARVALHO (20004)"</f>
        <v>54.235.509 ROBERT MAGDIEL DE CARVALHO (20004)</v>
      </c>
      <c r="H4503" t="s">
        <v>1313</v>
      </c>
      <c r="I4503" t="str">
        <f t="shared" si="845"/>
        <v>03/10/2025</v>
      </c>
      <c r="J4503" t="str">
        <f t="shared" si="846"/>
        <v>01/01/2025</v>
      </c>
      <c r="K4503">
        <v>45933</v>
      </c>
      <c r="N4503">
        <v>114</v>
      </c>
      <c r="O4503" t="s">
        <v>260</v>
      </c>
      <c r="Q4503">
        <v>5370</v>
      </c>
      <c r="R4503" t="str">
        <f>"54.235.509 ROBERT MAGDIEL DE CARVALHO (20004)"</f>
        <v>54.235.509 ROBERT MAGDIEL DE CARVALHO (20004)</v>
      </c>
      <c r="S4503" t="s">
        <v>22</v>
      </c>
      <c r="T4503">
        <v>19149</v>
      </c>
      <c r="U4503">
        <v>4092</v>
      </c>
      <c r="V4503" t="s">
        <v>22</v>
      </c>
    </row>
    <row r="4504" spans="1:22">
      <c r="A4504" t="str">
        <f t="shared" si="836"/>
        <v>03/10/2025</v>
      </c>
      <c r="B4504" t="str">
        <f t="shared" si="841"/>
        <v>SAÍDA</v>
      </c>
      <c r="C4504" t="str">
        <f t="shared" si="842"/>
        <v>PIX</v>
      </c>
      <c r="D4504" t="str">
        <f t="shared" si="843"/>
        <v>2025</v>
      </c>
      <c r="E4504" t="str">
        <f t="shared" si="844"/>
        <v>09</v>
      </c>
      <c r="F4504" t="str">
        <f t="shared" si="834"/>
        <v>COM</v>
      </c>
      <c r="G4504" t="str">
        <f>"NATAN ALVES DA SILVA SA (20005)"</f>
        <v>NATAN ALVES DA SILVA SA (20005)</v>
      </c>
      <c r="H4504" t="str">
        <f>"PRESTAÇÃO DE SERVIÇO MENSAL"</f>
        <v>PRESTAÇÃO DE SERVIÇO MENSAL</v>
      </c>
      <c r="I4504" t="str">
        <f t="shared" si="845"/>
        <v>03/10/2025</v>
      </c>
      <c r="J4504" t="str">
        <f t="shared" si="846"/>
        <v>01/01/2025</v>
      </c>
      <c r="K4504" t="str">
        <f>("03/10/2025")</f>
        <v>03/10/2025</v>
      </c>
      <c r="L4504">
        <v>5230</v>
      </c>
      <c r="M4504">
        <v>5230</v>
      </c>
      <c r="N4504">
        <v>114</v>
      </c>
      <c r="O4504" t="str">
        <f>"PRESTADORES DE SERVIÇOS"</f>
        <v>PRESTADORES DE SERVIÇOS</v>
      </c>
      <c r="P4504">
        <v>5230</v>
      </c>
      <c r="S4504" t="str">
        <f>"BANCO CORA (102)"</f>
        <v>BANCO CORA (102)</v>
      </c>
      <c r="T4504">
        <v>19150</v>
      </c>
      <c r="U4504">
        <v>4105</v>
      </c>
      <c r="V4504" t="s">
        <v>22</v>
      </c>
    </row>
    <row r="4505" spans="1:22">
      <c r="A4505" t="str">
        <f t="shared" si="836"/>
        <v>03/10/2025</v>
      </c>
      <c r="B4505" t="str">
        <f t="shared" si="841"/>
        <v>SAÍDA</v>
      </c>
      <c r="C4505" t="str">
        <f t="shared" si="842"/>
        <v>PIX</v>
      </c>
      <c r="D4505" t="str">
        <f t="shared" si="843"/>
        <v>2025</v>
      </c>
      <c r="E4505" t="str">
        <f t="shared" si="844"/>
        <v>09</v>
      </c>
      <c r="F4505" t="str">
        <f t="shared" si="834"/>
        <v>COM</v>
      </c>
      <c r="G4505" t="str">
        <f>"NATAN ALVES DA SILVA SA (20005)"</f>
        <v>NATAN ALVES DA SILVA SA (20005)</v>
      </c>
      <c r="H4505" t="s">
        <v>1314</v>
      </c>
      <c r="I4505" t="str">
        <f t="shared" si="845"/>
        <v>03/10/2025</v>
      </c>
      <c r="J4505" t="str">
        <f t="shared" si="846"/>
        <v>01/01/2025</v>
      </c>
      <c r="K4505">
        <v>45933</v>
      </c>
      <c r="N4505">
        <v>114</v>
      </c>
      <c r="O4505" t="s">
        <v>260</v>
      </c>
      <c r="Q4505">
        <v>5230</v>
      </c>
      <c r="R4505" t="str">
        <f>"55.656.401 NATAN ALVES DA SILVA SA (20005)"</f>
        <v>55.656.401 NATAN ALVES DA SILVA SA (20005)</v>
      </c>
      <c r="S4505" t="s">
        <v>22</v>
      </c>
      <c r="T4505">
        <v>19150</v>
      </c>
      <c r="U4505">
        <v>4105</v>
      </c>
      <c r="V4505" t="s">
        <v>22</v>
      </c>
    </row>
    <row r="4506" spans="1:22">
      <c r="A4506" t="str">
        <f t="shared" si="836"/>
        <v>03/10/2025</v>
      </c>
      <c r="B4506" t="str">
        <f t="shared" si="841"/>
        <v>SAÍDA</v>
      </c>
      <c r="C4506" t="str">
        <f t="shared" si="842"/>
        <v>PIX</v>
      </c>
      <c r="D4506" t="str">
        <f t="shared" si="843"/>
        <v>2025</v>
      </c>
      <c r="E4506" t="str">
        <f t="shared" si="844"/>
        <v>09</v>
      </c>
      <c r="F4506" t="str">
        <f t="shared" si="834"/>
        <v>COM</v>
      </c>
      <c r="G4506" t="str">
        <f>"ADRIELLE APARECIDA PALOMINO (20029)"</f>
        <v>ADRIELLE APARECIDA PALOMINO (20029)</v>
      </c>
      <c r="H4506" t="str">
        <f>"PAGAMENTO SERVIÇO MENSAL REF. 09/2025"</f>
        <v>PAGAMENTO SERVIÇO MENSAL REF. 09/2025</v>
      </c>
      <c r="I4506" t="str">
        <f t="shared" si="845"/>
        <v>03/10/2025</v>
      </c>
      <c r="J4506" t="str">
        <f>("01/01/2024")</f>
        <v>01/01/2024</v>
      </c>
      <c r="K4506" t="str">
        <f>("03/10/2025")</f>
        <v>03/10/2025</v>
      </c>
      <c r="L4506">
        <v>1200</v>
      </c>
      <c r="M4506">
        <v>1200</v>
      </c>
      <c r="N4506">
        <v>103</v>
      </c>
      <c r="O4506" t="str">
        <f>"PAGAMENTO DE FUNCIONÁRIOS"</f>
        <v>PAGAMENTO DE FUNCIONÁRIOS</v>
      </c>
      <c r="P4506">
        <v>1200</v>
      </c>
      <c r="S4506" t="str">
        <f>"BANCO CORA (102)"</f>
        <v>BANCO CORA (102)</v>
      </c>
      <c r="T4506">
        <v>19151</v>
      </c>
      <c r="U4506">
        <v>4117</v>
      </c>
      <c r="V4506" t="s">
        <v>22</v>
      </c>
    </row>
    <row r="4507" spans="1:22">
      <c r="A4507" t="str">
        <f t="shared" si="836"/>
        <v>03/10/2025</v>
      </c>
      <c r="B4507" t="str">
        <f t="shared" si="841"/>
        <v>SAÍDA</v>
      </c>
      <c r="C4507" t="str">
        <f t="shared" si="842"/>
        <v>PIX</v>
      </c>
      <c r="D4507" t="str">
        <f t="shared" si="843"/>
        <v>2025</v>
      </c>
      <c r="E4507" t="str">
        <f t="shared" si="844"/>
        <v>09</v>
      </c>
      <c r="F4507" t="str">
        <f t="shared" ref="F4507:F4526" si="847">"COM"</f>
        <v>COM</v>
      </c>
      <c r="G4507" t="str">
        <f>"ADRIELLE APARECIDA PALOMINO (20029)"</f>
        <v>ADRIELLE APARECIDA PALOMINO (20029)</v>
      </c>
      <c r="H4507" t="s">
        <v>1315</v>
      </c>
      <c r="I4507" t="str">
        <f t="shared" si="845"/>
        <v>03/10/2025</v>
      </c>
      <c r="J4507" t="str">
        <f>("01/01/2024")</f>
        <v>01/01/2024</v>
      </c>
      <c r="K4507">
        <v>45933</v>
      </c>
      <c r="N4507">
        <v>103</v>
      </c>
      <c r="O4507" t="s">
        <v>267</v>
      </c>
      <c r="Q4507">
        <v>1200</v>
      </c>
      <c r="R4507" t="str">
        <f>"ADRIELLE APARECIDA PALOMINO (20029)"</f>
        <v>ADRIELLE APARECIDA PALOMINO (20029)</v>
      </c>
      <c r="S4507" t="s">
        <v>22</v>
      </c>
      <c r="T4507">
        <v>19151</v>
      </c>
      <c r="U4507">
        <v>4117</v>
      </c>
      <c r="V4507" t="s">
        <v>22</v>
      </c>
    </row>
    <row r="4508" spans="1:22">
      <c r="A4508" t="str">
        <f t="shared" si="836"/>
        <v>03/10/2025</v>
      </c>
      <c r="B4508" t="str">
        <f t="shared" si="841"/>
        <v>SAÍDA</v>
      </c>
      <c r="C4508" t="str">
        <f t="shared" si="842"/>
        <v>PIX</v>
      </c>
      <c r="D4508" t="str">
        <f t="shared" si="843"/>
        <v>2025</v>
      </c>
      <c r="E4508" t="str">
        <f t="shared" si="844"/>
        <v>09</v>
      </c>
      <c r="F4508" t="str">
        <f t="shared" si="847"/>
        <v>COM</v>
      </c>
      <c r="G4508" t="str">
        <f>"ANA JULIA REZENDE JUSTINO (20027)"</f>
        <v>ANA JULIA REZENDE JUSTINO (20027)</v>
      </c>
      <c r="H4508" t="str">
        <f>"PAGAMENTO PRESTACAO DE SERVIÇOS MARKETING 09/2025"</f>
        <v>PAGAMENTO PRESTACAO DE SERVIÇOS MARKETING 09/2025</v>
      </c>
      <c r="I4508" t="str">
        <f t="shared" si="845"/>
        <v>03/10/2025</v>
      </c>
      <c r="J4508" t="str">
        <f>("01/01/2025")</f>
        <v>01/01/2025</v>
      </c>
      <c r="K4508" t="str">
        <f>("03/10/2025")</f>
        <v>03/10/2025</v>
      </c>
      <c r="L4508">
        <v>2700</v>
      </c>
      <c r="M4508">
        <v>2700</v>
      </c>
      <c r="N4508">
        <v>103</v>
      </c>
      <c r="O4508" t="str">
        <f>"PAGAMENTO DE FUNCIONÁRIOS"</f>
        <v>PAGAMENTO DE FUNCIONÁRIOS</v>
      </c>
      <c r="P4508">
        <v>2700</v>
      </c>
      <c r="S4508" t="str">
        <f>"BANCO CORA (102)"</f>
        <v>BANCO CORA (102)</v>
      </c>
      <c r="T4508">
        <v>19152</v>
      </c>
      <c r="U4508">
        <v>4141</v>
      </c>
      <c r="V4508" t="s">
        <v>22</v>
      </c>
    </row>
    <row r="4509" spans="1:22">
      <c r="A4509" t="str">
        <f t="shared" si="836"/>
        <v>03/10/2025</v>
      </c>
      <c r="B4509" t="str">
        <f t="shared" si="841"/>
        <v>SAÍDA</v>
      </c>
      <c r="C4509" t="str">
        <f t="shared" si="842"/>
        <v>PIX</v>
      </c>
      <c r="D4509" t="str">
        <f t="shared" si="843"/>
        <v>2025</v>
      </c>
      <c r="E4509" t="str">
        <f t="shared" si="844"/>
        <v>09</v>
      </c>
      <c r="F4509" t="str">
        <f t="shared" si="847"/>
        <v>COM</v>
      </c>
      <c r="G4509" t="str">
        <f>"ANA JULIA REZENDE JUSTINO (20027)"</f>
        <v>ANA JULIA REZENDE JUSTINO (20027)</v>
      </c>
      <c r="H4509" t="s">
        <v>1316</v>
      </c>
      <c r="I4509" t="str">
        <f t="shared" si="845"/>
        <v>03/10/2025</v>
      </c>
      <c r="J4509" t="str">
        <f>("01/01/2025")</f>
        <v>01/01/2025</v>
      </c>
      <c r="K4509">
        <v>45933</v>
      </c>
      <c r="N4509">
        <v>103</v>
      </c>
      <c r="O4509" t="s">
        <v>267</v>
      </c>
      <c r="Q4509">
        <v>2700</v>
      </c>
      <c r="R4509" t="str">
        <f>"ANA JULIA REZENDE JUSTINO (20027)"</f>
        <v>ANA JULIA REZENDE JUSTINO (20027)</v>
      </c>
      <c r="S4509" t="s">
        <v>22</v>
      </c>
      <c r="T4509">
        <v>19152</v>
      </c>
      <c r="U4509">
        <v>4141</v>
      </c>
      <c r="V4509" t="s">
        <v>22</v>
      </c>
    </row>
    <row r="4510" spans="1:22">
      <c r="A4510" t="str">
        <f t="shared" si="836"/>
        <v>03/10/2025</v>
      </c>
      <c r="B4510" t="str">
        <f t="shared" si="841"/>
        <v>SAÍDA</v>
      </c>
      <c r="C4510" t="str">
        <f t="shared" si="842"/>
        <v>PIX</v>
      </c>
      <c r="D4510" t="str">
        <f t="shared" si="843"/>
        <v>2025</v>
      </c>
      <c r="E4510" t="str">
        <f t="shared" si="844"/>
        <v>09</v>
      </c>
      <c r="F4510" t="str">
        <f t="shared" si="847"/>
        <v>COM</v>
      </c>
      <c r="G4510" t="str">
        <f>"EDSON BARROS DOS SANTOS 10882852604 (20025)"</f>
        <v>EDSON BARROS DOS SANTOS 10882852604 (20025)</v>
      </c>
      <c r="H4510" t="str">
        <f>"PRESTACAO DE SERVICOS MES 09/2025"</f>
        <v>PRESTACAO DE SERVICOS MES 09/2025</v>
      </c>
      <c r="I4510" t="str">
        <f t="shared" si="845"/>
        <v>03/10/2025</v>
      </c>
      <c r="J4510" t="str">
        <f>("01/01/2025")</f>
        <v>01/01/2025</v>
      </c>
      <c r="K4510" t="str">
        <f>("03/10/2025")</f>
        <v>03/10/2025</v>
      </c>
      <c r="L4510">
        <v>5150</v>
      </c>
      <c r="M4510">
        <v>5150</v>
      </c>
      <c r="N4510">
        <v>103</v>
      </c>
      <c r="O4510" t="str">
        <f>"PAGAMENTO DE FUNCIONÁRIOS"</f>
        <v>PAGAMENTO DE FUNCIONÁRIOS</v>
      </c>
      <c r="P4510">
        <v>5150</v>
      </c>
      <c r="S4510" t="str">
        <f>"BANCO CORA (102)"</f>
        <v>BANCO CORA (102)</v>
      </c>
      <c r="T4510">
        <v>19153</v>
      </c>
      <c r="U4510">
        <v>5308</v>
      </c>
      <c r="V4510" t="s">
        <v>22</v>
      </c>
    </row>
    <row r="4511" spans="1:22">
      <c r="A4511" t="str">
        <f t="shared" si="836"/>
        <v>03/10/2025</v>
      </c>
      <c r="B4511" t="str">
        <f t="shared" si="841"/>
        <v>SAÍDA</v>
      </c>
      <c r="C4511" t="str">
        <f t="shared" si="842"/>
        <v>PIX</v>
      </c>
      <c r="D4511" t="str">
        <f t="shared" si="843"/>
        <v>2025</v>
      </c>
      <c r="E4511" t="str">
        <f t="shared" si="844"/>
        <v>09</v>
      </c>
      <c r="F4511" t="str">
        <f t="shared" si="847"/>
        <v>COM</v>
      </c>
      <c r="G4511" t="str">
        <f>"EDSON BARROS DOS SANTOS 10882852604 (20025)"</f>
        <v>EDSON BARROS DOS SANTOS 10882852604 (20025)</v>
      </c>
      <c r="H4511" t="s">
        <v>1317</v>
      </c>
      <c r="I4511" t="str">
        <f t="shared" si="845"/>
        <v>03/10/2025</v>
      </c>
      <c r="J4511" t="str">
        <f>("01/01/2025")</f>
        <v>01/01/2025</v>
      </c>
      <c r="K4511">
        <v>45933</v>
      </c>
      <c r="N4511">
        <v>103</v>
      </c>
      <c r="O4511" t="s">
        <v>267</v>
      </c>
      <c r="Q4511">
        <v>5150</v>
      </c>
      <c r="R4511" t="str">
        <f>"EDSON BARROS DOS SANTOS 10882852604 (20025)"</f>
        <v>EDSON BARROS DOS SANTOS 10882852604 (20025)</v>
      </c>
      <c r="S4511" t="s">
        <v>22</v>
      </c>
      <c r="T4511">
        <v>19153</v>
      </c>
      <c r="U4511">
        <v>5308</v>
      </c>
      <c r="V4511" t="s">
        <v>22</v>
      </c>
    </row>
    <row r="4512" spans="1:22">
      <c r="A4512" t="str">
        <f t="shared" si="836"/>
        <v>03/10/2025</v>
      </c>
      <c r="B4512" t="str">
        <f t="shared" si="841"/>
        <v>SAÍDA</v>
      </c>
      <c r="C4512" t="str">
        <f t="shared" si="842"/>
        <v>PIX</v>
      </c>
      <c r="D4512" t="str">
        <f t="shared" si="843"/>
        <v>2025</v>
      </c>
      <c r="E4512" t="str">
        <f>"10"</f>
        <v>10</v>
      </c>
      <c r="F4512" t="str">
        <f t="shared" si="847"/>
        <v>COM</v>
      </c>
      <c r="G4512" t="str">
        <f>"GUSTAVO CESAR DE REZENDE (20060)"</f>
        <v>GUSTAVO CESAR DE REZENDE (20060)</v>
      </c>
      <c r="H4512" t="str">
        <f>"PRESTACAO DE SERVICOS 09/2025"</f>
        <v>PRESTACAO DE SERVICOS 09/2025</v>
      </c>
      <c r="I4512" t="str">
        <f t="shared" si="845"/>
        <v>03/10/2025</v>
      </c>
      <c r="J4512" t="str">
        <f>("03/10/2025")</f>
        <v>03/10/2025</v>
      </c>
      <c r="K4512" t="str">
        <f>("03/10/2025")</f>
        <v>03/10/2025</v>
      </c>
      <c r="L4512">
        <v>3500</v>
      </c>
      <c r="M4512">
        <v>3500</v>
      </c>
      <c r="N4512">
        <v>103</v>
      </c>
      <c r="O4512" t="str">
        <f>"PAGAMENTO DE FUNCIONÁRIOS"</f>
        <v>PAGAMENTO DE FUNCIONÁRIOS</v>
      </c>
      <c r="P4512">
        <v>3500</v>
      </c>
      <c r="S4512" t="str">
        <f>"BANCO CORA (102)"</f>
        <v>BANCO CORA (102)</v>
      </c>
      <c r="T4512">
        <v>19154</v>
      </c>
      <c r="U4512">
        <v>5321</v>
      </c>
      <c r="V4512" t="s">
        <v>22</v>
      </c>
    </row>
    <row r="4513" spans="1:22">
      <c r="A4513" t="str">
        <f t="shared" si="836"/>
        <v>03/10/2025</v>
      </c>
      <c r="B4513" t="str">
        <f t="shared" si="841"/>
        <v>SAÍDA</v>
      </c>
      <c r="C4513" t="str">
        <f t="shared" si="842"/>
        <v>PIX</v>
      </c>
      <c r="D4513" t="str">
        <f t="shared" si="843"/>
        <v>2025</v>
      </c>
      <c r="E4513" t="str">
        <f>"10"</f>
        <v>10</v>
      </c>
      <c r="F4513" t="str">
        <f t="shared" si="847"/>
        <v>COM</v>
      </c>
      <c r="G4513" t="str">
        <f>"GUSTAVO CESAR DE REZENDE (20060)"</f>
        <v>GUSTAVO CESAR DE REZENDE (20060)</v>
      </c>
      <c r="H4513" t="s">
        <v>1318</v>
      </c>
      <c r="I4513" t="str">
        <f t="shared" si="845"/>
        <v>03/10/2025</v>
      </c>
      <c r="J4513" t="str">
        <f>("03/10/2025")</f>
        <v>03/10/2025</v>
      </c>
      <c r="K4513">
        <v>45933</v>
      </c>
      <c r="N4513">
        <v>103</v>
      </c>
      <c r="O4513" t="s">
        <v>267</v>
      </c>
      <c r="Q4513">
        <v>3500</v>
      </c>
      <c r="R4513" t="str">
        <f>"GUSTAVO CESAR DE REZENDE (20060)"</f>
        <v>GUSTAVO CESAR DE REZENDE (20060)</v>
      </c>
      <c r="S4513" t="s">
        <v>22</v>
      </c>
      <c r="T4513">
        <v>19154</v>
      </c>
      <c r="U4513">
        <v>5321</v>
      </c>
      <c r="V4513" t="s">
        <v>22</v>
      </c>
    </row>
    <row r="4514" spans="1:22">
      <c r="A4514" t="str">
        <f t="shared" ref="A4514:A4535" si="848">("03/10/2025")</f>
        <v>03/10/2025</v>
      </c>
      <c r="B4514" t="str">
        <f t="shared" si="841"/>
        <v>SAÍDA</v>
      </c>
      <c r="C4514" t="str">
        <f t="shared" si="842"/>
        <v>PIX</v>
      </c>
      <c r="D4514" t="str">
        <f>"802207"</f>
        <v>802207</v>
      </c>
      <c r="E4514" t="str">
        <f>"1"</f>
        <v>1</v>
      </c>
      <c r="F4514" t="str">
        <f t="shared" si="847"/>
        <v>COM</v>
      </c>
      <c r="G4514" t="str">
        <f>"NUCLEO BRASIL SERVIDORES LTDA (20090)"</f>
        <v>NUCLEO BRASIL SERVIDORES LTDA (20090)</v>
      </c>
      <c r="H4514" t="str">
        <f>"SERVIDOR SITE COOPERATIVA - coopmob.com.br (03/10/2025 - 02/11/2025)"</f>
        <v>SERVIDOR SITE COOPERATIVA - coopmob.com.br (03/10/2025 - 02/11/2025)</v>
      </c>
      <c r="I4514" t="str">
        <f t="shared" si="845"/>
        <v>03/10/2025</v>
      </c>
      <c r="J4514" t="str">
        <f>("23/09/2025")</f>
        <v>23/09/2025</v>
      </c>
      <c r="K4514" t="str">
        <f>("03/10/2025")</f>
        <v>03/10/2025</v>
      </c>
      <c r="L4514">
        <v>35.9</v>
      </c>
      <c r="M4514">
        <v>35.9</v>
      </c>
      <c r="N4514">
        <v>104</v>
      </c>
      <c r="O4514" t="str">
        <f>"SOFTWARE / LICENÇAS"</f>
        <v>SOFTWARE / LICENÇAS</v>
      </c>
      <c r="P4514">
        <v>35.9</v>
      </c>
      <c r="S4514" t="str">
        <f>"BANCO CORA (102)"</f>
        <v>BANCO CORA (102)</v>
      </c>
      <c r="T4514">
        <v>19155</v>
      </c>
      <c r="U4514">
        <v>15963</v>
      </c>
      <c r="V4514" t="s">
        <v>22</v>
      </c>
    </row>
    <row r="4515" spans="1:22">
      <c r="A4515" t="str">
        <f t="shared" si="848"/>
        <v>03/10/2025</v>
      </c>
      <c r="B4515" t="str">
        <f t="shared" si="841"/>
        <v>SAÍDA</v>
      </c>
      <c r="C4515" t="str">
        <f t="shared" si="842"/>
        <v>PIX</v>
      </c>
      <c r="D4515" t="str">
        <f>"802207"</f>
        <v>802207</v>
      </c>
      <c r="E4515" t="str">
        <f>"1"</f>
        <v>1</v>
      </c>
      <c r="F4515" t="str">
        <f t="shared" si="847"/>
        <v>COM</v>
      </c>
      <c r="G4515" t="str">
        <f>"NUCLEO BRASIL SERVIDORES LTDA (20090)"</f>
        <v>NUCLEO BRASIL SERVIDORES LTDA (20090)</v>
      </c>
      <c r="H4515" t="s">
        <v>1319</v>
      </c>
      <c r="I4515" t="str">
        <f t="shared" si="845"/>
        <v>03/10/2025</v>
      </c>
      <c r="J4515" t="str">
        <f>("23/09/2025")</f>
        <v>23/09/2025</v>
      </c>
      <c r="K4515">
        <v>45933</v>
      </c>
      <c r="N4515">
        <v>104</v>
      </c>
      <c r="O4515" t="s">
        <v>34</v>
      </c>
      <c r="Q4515">
        <v>35.9</v>
      </c>
      <c r="R4515" t="str">
        <f>"NUCLEO BRASIL SERVIDORES LTDA (20090)"</f>
        <v>NUCLEO BRASIL SERVIDORES LTDA (20090)</v>
      </c>
      <c r="S4515" t="s">
        <v>22</v>
      </c>
      <c r="T4515">
        <v>19155</v>
      </c>
      <c r="U4515">
        <v>15963</v>
      </c>
      <c r="V4515" t="s">
        <v>22</v>
      </c>
    </row>
    <row r="4516" spans="1:22">
      <c r="A4516" t="str">
        <f t="shared" si="848"/>
        <v>03/10/2025</v>
      </c>
      <c r="B4516" t="str">
        <f t="shared" si="841"/>
        <v>SAÍDA</v>
      </c>
      <c r="C4516" t="str">
        <f t="shared" si="842"/>
        <v>PIX</v>
      </c>
      <c r="D4516" t="str">
        <f t="shared" ref="D4516:D4526" si="849">"2025"</f>
        <v>2025</v>
      </c>
      <c r="E4516" t="str">
        <f t="shared" ref="E4516:E4523" si="850">"10"</f>
        <v>10</v>
      </c>
      <c r="F4516" t="str">
        <f t="shared" si="847"/>
        <v>COM</v>
      </c>
      <c r="G4516" t="str">
        <f>"GIOVANA CECCON MARTINS DE SA (20091)"</f>
        <v>GIOVANA CECCON MARTINS DE SA (20091)</v>
      </c>
      <c r="H4516" t="str">
        <f>"BOLSA ESTAGIO SETEMBRO/2025"</f>
        <v>BOLSA ESTAGIO SETEMBRO/2025</v>
      </c>
      <c r="I4516" t="str">
        <f t="shared" si="845"/>
        <v>03/10/2025</v>
      </c>
      <c r="J4516" t="str">
        <f>("03/10/2025")</f>
        <v>03/10/2025</v>
      </c>
      <c r="K4516" t="str">
        <f>("03/10/2025")</f>
        <v>03/10/2025</v>
      </c>
      <c r="L4516">
        <v>1200</v>
      </c>
      <c r="M4516">
        <v>1200</v>
      </c>
      <c r="N4516">
        <v>103</v>
      </c>
      <c r="O4516" t="str">
        <f>"PAGAMENTO DE FUNCIONÁRIOS"</f>
        <v>PAGAMENTO DE FUNCIONÁRIOS</v>
      </c>
      <c r="P4516">
        <v>1200</v>
      </c>
      <c r="S4516" t="str">
        <f>"BANCO CORA (102)"</f>
        <v>BANCO CORA (102)</v>
      </c>
      <c r="T4516">
        <v>19156</v>
      </c>
      <c r="U4516">
        <v>16170</v>
      </c>
      <c r="V4516" t="s">
        <v>22</v>
      </c>
    </row>
    <row r="4517" spans="1:22">
      <c r="A4517" t="str">
        <f t="shared" si="848"/>
        <v>03/10/2025</v>
      </c>
      <c r="B4517" t="str">
        <f t="shared" si="841"/>
        <v>SAÍDA</v>
      </c>
      <c r="C4517" t="str">
        <f t="shared" si="842"/>
        <v>PIX</v>
      </c>
      <c r="D4517" t="str">
        <f t="shared" si="849"/>
        <v>2025</v>
      </c>
      <c r="E4517" t="str">
        <f t="shared" si="850"/>
        <v>10</v>
      </c>
      <c r="F4517" t="str">
        <f t="shared" si="847"/>
        <v>COM</v>
      </c>
      <c r="G4517" t="str">
        <f>"GIOVANA CECCON MARTINS DE SA (20091)"</f>
        <v>GIOVANA CECCON MARTINS DE SA (20091)</v>
      </c>
      <c r="H4517" t="s">
        <v>1320</v>
      </c>
      <c r="I4517" t="str">
        <f t="shared" si="845"/>
        <v>03/10/2025</v>
      </c>
      <c r="J4517" t="str">
        <f>("03/10/2025")</f>
        <v>03/10/2025</v>
      </c>
      <c r="K4517">
        <v>45933</v>
      </c>
      <c r="N4517">
        <v>103</v>
      </c>
      <c r="O4517" t="s">
        <v>267</v>
      </c>
      <c r="Q4517">
        <v>1200</v>
      </c>
      <c r="R4517" t="str">
        <f>"GIOVANA CECCON MARTINS DE SA (20091)"</f>
        <v>GIOVANA CECCON MARTINS DE SA (20091)</v>
      </c>
      <c r="S4517" t="s">
        <v>22</v>
      </c>
      <c r="T4517">
        <v>19156</v>
      </c>
      <c r="U4517">
        <v>16170</v>
      </c>
      <c r="V4517" t="s">
        <v>22</v>
      </c>
    </row>
    <row r="4518" spans="1:22">
      <c r="A4518" t="str">
        <f t="shared" si="848"/>
        <v>03/10/2025</v>
      </c>
      <c r="B4518" t="str">
        <f t="shared" si="841"/>
        <v>SAÍDA</v>
      </c>
      <c r="C4518" t="str">
        <f t="shared" si="842"/>
        <v>PIX</v>
      </c>
      <c r="D4518" t="str">
        <f t="shared" si="849"/>
        <v>2025</v>
      </c>
      <c r="E4518" t="str">
        <f t="shared" si="850"/>
        <v>10</v>
      </c>
      <c r="F4518" t="str">
        <f t="shared" si="847"/>
        <v>COM</v>
      </c>
      <c r="G4518" t="str">
        <f>"GIOVANA CECCON MARTINS DE SA (20091)"</f>
        <v>GIOVANA CECCON MARTINS DE SA (20091)</v>
      </c>
      <c r="H4518" t="str">
        <f>"VALE TRANSPORTE OUTUBRO/2025 04 DIAS"</f>
        <v>VALE TRANSPORTE OUTUBRO/2025 04 DIAS</v>
      </c>
      <c r="I4518" t="str">
        <f t="shared" si="845"/>
        <v>03/10/2025</v>
      </c>
      <c r="J4518" t="str">
        <f>("03/10/2025")</f>
        <v>03/10/2025</v>
      </c>
      <c r="K4518" t="str">
        <f>("03/10/2025")</f>
        <v>03/10/2025</v>
      </c>
      <c r="L4518">
        <v>45.6</v>
      </c>
      <c r="M4518">
        <v>45.6</v>
      </c>
      <c r="N4518">
        <v>107</v>
      </c>
      <c r="O4518" t="str">
        <f>"VALE TRANSPORTE"</f>
        <v>VALE TRANSPORTE</v>
      </c>
      <c r="P4518">
        <v>45.6</v>
      </c>
      <c r="S4518" t="str">
        <f>"BANCO CORA (102)"</f>
        <v>BANCO CORA (102)</v>
      </c>
      <c r="T4518">
        <v>19157</v>
      </c>
      <c r="U4518">
        <v>16178</v>
      </c>
      <c r="V4518" t="s">
        <v>22</v>
      </c>
    </row>
    <row r="4519" spans="1:22">
      <c r="A4519" t="str">
        <f t="shared" si="848"/>
        <v>03/10/2025</v>
      </c>
      <c r="B4519" t="str">
        <f t="shared" si="841"/>
        <v>SAÍDA</v>
      </c>
      <c r="C4519" t="str">
        <f t="shared" si="842"/>
        <v>PIX</v>
      </c>
      <c r="D4519" t="str">
        <f t="shared" si="849"/>
        <v>2025</v>
      </c>
      <c r="E4519" t="str">
        <f t="shared" si="850"/>
        <v>10</v>
      </c>
      <c r="F4519" t="str">
        <f t="shared" si="847"/>
        <v>COM</v>
      </c>
      <c r="G4519" t="str">
        <f>"GIOVANA CECCON MARTINS DE SA (20091)"</f>
        <v>GIOVANA CECCON MARTINS DE SA (20091)</v>
      </c>
      <c r="H4519" t="s">
        <v>1321</v>
      </c>
      <c r="I4519" t="str">
        <f t="shared" si="845"/>
        <v>03/10/2025</v>
      </c>
      <c r="J4519" t="str">
        <f>("03/10/2025")</f>
        <v>03/10/2025</v>
      </c>
      <c r="K4519">
        <v>45933</v>
      </c>
      <c r="N4519">
        <v>107</v>
      </c>
      <c r="O4519" t="s">
        <v>289</v>
      </c>
      <c r="Q4519">
        <v>45.6</v>
      </c>
      <c r="R4519" t="str">
        <f>"GIOVANA CECCON MARTINS DE SA (20091)"</f>
        <v>GIOVANA CECCON MARTINS DE SA (20091)</v>
      </c>
      <c r="S4519" t="s">
        <v>22</v>
      </c>
      <c r="T4519">
        <v>19157</v>
      </c>
      <c r="U4519">
        <v>16178</v>
      </c>
      <c r="V4519" t="s">
        <v>22</v>
      </c>
    </row>
    <row r="4520" spans="1:22">
      <c r="A4520" t="str">
        <f t="shared" si="848"/>
        <v>03/10/2025</v>
      </c>
      <c r="B4520" t="str">
        <f t="shared" si="841"/>
        <v>SAÍDA</v>
      </c>
      <c r="C4520" t="str">
        <f t="shared" si="842"/>
        <v>PIX</v>
      </c>
      <c r="D4520" t="str">
        <f t="shared" si="849"/>
        <v>2025</v>
      </c>
      <c r="E4520" t="str">
        <f t="shared" si="850"/>
        <v>10</v>
      </c>
      <c r="F4520" t="str">
        <f t="shared" si="847"/>
        <v>COM</v>
      </c>
      <c r="G4520" t="str">
        <f>"BRUNO NATO DOS SANTOS (20045)"</f>
        <v>BRUNO NATO DOS SANTOS (20045)</v>
      </c>
      <c r="H4520" t="str">
        <f>"VALE TRANSPORTE - OUTUBRO/2025 - 04 DIAS"</f>
        <v>VALE TRANSPORTE - OUTUBRO/2025 - 04 DIAS</v>
      </c>
      <c r="I4520" t="str">
        <f t="shared" si="845"/>
        <v>03/10/2025</v>
      </c>
      <c r="J4520" t="str">
        <f>("03/10/2025")</f>
        <v>03/10/2025</v>
      </c>
      <c r="K4520" t="str">
        <f>("03/10/2025")</f>
        <v>03/10/2025</v>
      </c>
      <c r="L4520">
        <v>45.6</v>
      </c>
      <c r="M4520">
        <v>45.6</v>
      </c>
      <c r="N4520">
        <v>107</v>
      </c>
      <c r="O4520" t="str">
        <f>"VALE TRANSPORTE"</f>
        <v>VALE TRANSPORTE</v>
      </c>
      <c r="P4520">
        <v>45.6</v>
      </c>
      <c r="S4520" t="str">
        <f>"BANCO CORA (102)"</f>
        <v>BANCO CORA (102)</v>
      </c>
      <c r="T4520">
        <v>19158</v>
      </c>
      <c r="U4520">
        <v>16195</v>
      </c>
      <c r="V4520" t="s">
        <v>22</v>
      </c>
    </row>
    <row r="4521" spans="1:22">
      <c r="A4521" t="str">
        <f t="shared" si="848"/>
        <v>03/10/2025</v>
      </c>
      <c r="B4521" t="str">
        <f t="shared" si="841"/>
        <v>SAÍDA</v>
      </c>
      <c r="C4521" t="str">
        <f t="shared" si="842"/>
        <v>PIX</v>
      </c>
      <c r="D4521" t="str">
        <f t="shared" si="849"/>
        <v>2025</v>
      </c>
      <c r="E4521" t="str">
        <f t="shared" si="850"/>
        <v>10</v>
      </c>
      <c r="F4521" t="str">
        <f t="shared" si="847"/>
        <v>COM</v>
      </c>
      <c r="G4521" t="str">
        <f>"BRUNO NATO DOS SANTOS (20045)"</f>
        <v>BRUNO NATO DOS SANTOS (20045)</v>
      </c>
      <c r="H4521" t="s">
        <v>1322</v>
      </c>
      <c r="I4521" t="str">
        <f t="shared" si="845"/>
        <v>03/10/2025</v>
      </c>
      <c r="J4521" t="str">
        <f>("03/10/2025")</f>
        <v>03/10/2025</v>
      </c>
      <c r="K4521">
        <v>45933</v>
      </c>
      <c r="N4521">
        <v>107</v>
      </c>
      <c r="O4521" t="s">
        <v>289</v>
      </c>
      <c r="Q4521">
        <v>45.6</v>
      </c>
      <c r="R4521" t="str">
        <f>"BRUNO NATO DOS SANTOS (20045)"</f>
        <v>BRUNO NATO DOS SANTOS (20045)</v>
      </c>
      <c r="S4521" t="s">
        <v>22</v>
      </c>
      <c r="T4521">
        <v>19158</v>
      </c>
      <c r="U4521">
        <v>16195</v>
      </c>
      <c r="V4521" t="s">
        <v>22</v>
      </c>
    </row>
    <row r="4522" spans="1:22">
      <c r="A4522" t="str">
        <f t="shared" si="848"/>
        <v>03/10/2025</v>
      </c>
      <c r="B4522" t="str">
        <f t="shared" si="841"/>
        <v>SAÍDA</v>
      </c>
      <c r="C4522" t="str">
        <f t="shared" si="842"/>
        <v>PIX</v>
      </c>
      <c r="D4522" t="str">
        <f t="shared" si="849"/>
        <v>2025</v>
      </c>
      <c r="E4522" t="str">
        <f t="shared" si="850"/>
        <v>10</v>
      </c>
      <c r="F4522" t="str">
        <f t="shared" si="847"/>
        <v>COM</v>
      </c>
      <c r="G4522" t="str">
        <f>"ADRIELLE APARECIDA PALOMINO (20029)"</f>
        <v>ADRIELLE APARECIDA PALOMINO (20029)</v>
      </c>
      <c r="H4522" t="str">
        <f>"VALE TRANSPORTE - OUTUBRO/25 - 04 DIAS"</f>
        <v>VALE TRANSPORTE - OUTUBRO/25 - 04 DIAS</v>
      </c>
      <c r="I4522" t="str">
        <f t="shared" si="845"/>
        <v>03/10/2025</v>
      </c>
      <c r="J4522" t="str">
        <f>("01/06/2025")</f>
        <v>01/06/2025</v>
      </c>
      <c r="K4522" t="str">
        <f>("03/10/2025")</f>
        <v>03/10/2025</v>
      </c>
      <c r="L4522">
        <v>45.6</v>
      </c>
      <c r="M4522">
        <v>45.6</v>
      </c>
      <c r="N4522">
        <v>107</v>
      </c>
      <c r="O4522" t="str">
        <f>"VALE TRANSPORTE"</f>
        <v>VALE TRANSPORTE</v>
      </c>
      <c r="P4522">
        <v>45.6</v>
      </c>
      <c r="S4522" t="str">
        <f>"BANCO CORA (102)"</f>
        <v>BANCO CORA (102)</v>
      </c>
      <c r="T4522">
        <v>19159</v>
      </c>
      <c r="U4522">
        <v>16203</v>
      </c>
      <c r="V4522" t="s">
        <v>22</v>
      </c>
    </row>
    <row r="4523" spans="1:22">
      <c r="A4523" t="str">
        <f t="shared" si="848"/>
        <v>03/10/2025</v>
      </c>
      <c r="B4523" t="str">
        <f t="shared" si="841"/>
        <v>SAÍDA</v>
      </c>
      <c r="C4523" t="str">
        <f t="shared" si="842"/>
        <v>PIX</v>
      </c>
      <c r="D4523" t="str">
        <f t="shared" si="849"/>
        <v>2025</v>
      </c>
      <c r="E4523" t="str">
        <f t="shared" si="850"/>
        <v>10</v>
      </c>
      <c r="F4523" t="str">
        <f t="shared" si="847"/>
        <v>COM</v>
      </c>
      <c r="G4523" t="str">
        <f>"ADRIELLE APARECIDA PALOMINO (20029)"</f>
        <v>ADRIELLE APARECIDA PALOMINO (20029)</v>
      </c>
      <c r="H4523" t="s">
        <v>1323</v>
      </c>
      <c r="I4523" t="str">
        <f t="shared" si="845"/>
        <v>03/10/2025</v>
      </c>
      <c r="J4523" t="str">
        <f>("01/06/2025")</f>
        <v>01/06/2025</v>
      </c>
      <c r="K4523">
        <v>45933</v>
      </c>
      <c r="N4523">
        <v>107</v>
      </c>
      <c r="O4523" t="s">
        <v>289</v>
      </c>
      <c r="Q4523">
        <v>45.6</v>
      </c>
      <c r="R4523" t="str">
        <f>"ADRIELLE APARECIDA PALOMINO (20029)"</f>
        <v>ADRIELLE APARECIDA PALOMINO (20029)</v>
      </c>
      <c r="S4523" t="s">
        <v>22</v>
      </c>
      <c r="T4523">
        <v>19159</v>
      </c>
      <c r="U4523">
        <v>16203</v>
      </c>
      <c r="V4523" t="s">
        <v>22</v>
      </c>
    </row>
    <row r="4524" spans="1:22">
      <c r="A4524" t="str">
        <f t="shared" si="848"/>
        <v>03/10/2025</v>
      </c>
      <c r="B4524" t="str">
        <f t="shared" si="841"/>
        <v>SAÍDA</v>
      </c>
      <c r="C4524" t="str">
        <f t="shared" si="842"/>
        <v>PIX</v>
      </c>
      <c r="D4524" t="str">
        <f t="shared" si="849"/>
        <v>2025</v>
      </c>
      <c r="E4524" t="str">
        <f>"09"</f>
        <v>09</v>
      </c>
      <c r="F4524" t="str">
        <f t="shared" si="847"/>
        <v>COM</v>
      </c>
      <c r="G4524" t="str">
        <f>"BRUNO NATO DOS SANTOS (20045)"</f>
        <v>BRUNO NATO DOS SANTOS (20045)</v>
      </c>
      <c r="H4524" t="str">
        <f>"PAGAMENTO PRESTACAO SERVICOS MENSAL 09/2025"</f>
        <v>PAGAMENTO PRESTACAO SERVICOS MENSAL 09/2025</v>
      </c>
      <c r="I4524" t="str">
        <f t="shared" si="845"/>
        <v>03/10/2025</v>
      </c>
      <c r="J4524" t="str">
        <f>("03/10/2025")</f>
        <v>03/10/2025</v>
      </c>
      <c r="K4524" t="str">
        <f>("03/10/2025")</f>
        <v>03/10/2025</v>
      </c>
      <c r="N4524">
        <v>103</v>
      </c>
      <c r="O4524" t="str">
        <f>"PAGAMENTO DE FUNCIONÁRIOS"</f>
        <v>PAGAMENTO DE FUNCIONÁRIOS</v>
      </c>
      <c r="P4524">
        <v>1877.49</v>
      </c>
      <c r="S4524" t="str">
        <f>"BANCO CORA (102)"</f>
        <v>BANCO CORA (102)</v>
      </c>
      <c r="T4524">
        <v>19160</v>
      </c>
      <c r="U4524">
        <v>19247</v>
      </c>
      <c r="V4524" t="s">
        <v>22</v>
      </c>
    </row>
    <row r="4525" spans="1:22">
      <c r="A4525" t="str">
        <f t="shared" si="848"/>
        <v>03/10/2025</v>
      </c>
      <c r="B4525" t="str">
        <f t="shared" si="841"/>
        <v>SAÍDA</v>
      </c>
      <c r="C4525" t="str">
        <f t="shared" si="842"/>
        <v>PIX</v>
      </c>
      <c r="D4525" t="str">
        <f t="shared" si="849"/>
        <v>2025</v>
      </c>
      <c r="E4525" t="str">
        <f>"09"</f>
        <v>09</v>
      </c>
      <c r="F4525" t="str">
        <f t="shared" si="847"/>
        <v>COM</v>
      </c>
      <c r="G4525" t="str">
        <f>"BRUNO NATO DOS SANTOS (20045)"</f>
        <v>BRUNO NATO DOS SANTOS (20045)</v>
      </c>
      <c r="H4525" t="str">
        <f>"PAGAMENTO PRESTACAO SERVICOS MENSAL 09/2025 - BRUNO NATO DOS SANTOS"</f>
        <v>PAGAMENTO PRESTACAO SERVICOS MENSAL 09/2025 - BRUNO NATO DOS SANTOS</v>
      </c>
      <c r="I4525" t="str">
        <f t="shared" si="845"/>
        <v>03/10/2025</v>
      </c>
      <c r="J4525" t="str">
        <f>("03/10/2025")</f>
        <v>03/10/2025</v>
      </c>
      <c r="K4525" t="str">
        <f>("03/10/2025")</f>
        <v>03/10/2025</v>
      </c>
      <c r="L4525">
        <v>2300</v>
      </c>
      <c r="M4525">
        <v>2300</v>
      </c>
      <c r="N4525">
        <v>107</v>
      </c>
      <c r="O4525" t="str">
        <f>"VALE TRANSPORTE"</f>
        <v>VALE TRANSPORTE</v>
      </c>
      <c r="P4525">
        <v>422.51</v>
      </c>
      <c r="S4525" t="str">
        <f>"BANCO CORA (102)"</f>
        <v>BANCO CORA (102)</v>
      </c>
      <c r="T4525">
        <v>19160</v>
      </c>
      <c r="U4525">
        <v>19247</v>
      </c>
      <c r="V4525" t="s">
        <v>22</v>
      </c>
    </row>
    <row r="4526" spans="1:22">
      <c r="A4526" t="str">
        <f t="shared" si="848"/>
        <v>03/10/2025</v>
      </c>
      <c r="B4526" t="str">
        <f t="shared" si="841"/>
        <v>SAÍDA</v>
      </c>
      <c r="C4526" t="str">
        <f t="shared" si="842"/>
        <v>PIX</v>
      </c>
      <c r="D4526" t="str">
        <f t="shared" si="849"/>
        <v>2025</v>
      </c>
      <c r="E4526" t="str">
        <f>"09"</f>
        <v>09</v>
      </c>
      <c r="F4526" t="str">
        <f t="shared" si="847"/>
        <v>COM</v>
      </c>
      <c r="G4526" t="str">
        <f>"BRUNO NATO DOS SANTOS (20045)"</f>
        <v>BRUNO NATO DOS SANTOS (20045)</v>
      </c>
      <c r="H4526" t="s">
        <v>1324</v>
      </c>
      <c r="I4526" t="str">
        <f t="shared" si="845"/>
        <v>03/10/2025</v>
      </c>
      <c r="J4526" t="str">
        <f>("03/10/2025")</f>
        <v>03/10/2025</v>
      </c>
      <c r="K4526">
        <v>45933</v>
      </c>
      <c r="N4526">
        <v>103</v>
      </c>
      <c r="O4526" t="s">
        <v>267</v>
      </c>
      <c r="Q4526">
        <v>2300</v>
      </c>
      <c r="R4526" t="str">
        <f>"BRUNO NATO DOS SANTOS (20045)"</f>
        <v>BRUNO NATO DOS SANTOS (20045)</v>
      </c>
      <c r="S4526" t="s">
        <v>22</v>
      </c>
      <c r="T4526">
        <v>19160</v>
      </c>
      <c r="U4526">
        <v>19247</v>
      </c>
      <c r="V4526" t="s">
        <v>22</v>
      </c>
    </row>
    <row r="4527" spans="1:22">
      <c r="A4527" t="str">
        <f t="shared" si="848"/>
        <v>03/10/2025</v>
      </c>
      <c r="B4527" t="str">
        <f t="shared" si="841"/>
        <v>SAÍDA</v>
      </c>
      <c r="C4527" t="str">
        <f>"JUROS"</f>
        <v>JUROS</v>
      </c>
      <c r="D4527" t="str">
        <f>""</f>
        <v/>
      </c>
      <c r="F4527" t="str">
        <f>"CXA"</f>
        <v>CXA</v>
      </c>
      <c r="G4527" t="str">
        <f>""</f>
        <v/>
      </c>
      <c r="H4527" t="str">
        <f>"TARIFAS BANCARIAS BANCO CORA"</f>
        <v>TARIFAS BANCARIAS BANCO CORA</v>
      </c>
      <c r="I4527" t="str">
        <f t="shared" si="845"/>
        <v>03/10/2025</v>
      </c>
      <c r="J4527" t="str">
        <f>("03/10/2025")</f>
        <v>03/10/2025</v>
      </c>
      <c r="K4527" t="str">
        <f>("03/10/2025")</f>
        <v>03/10/2025</v>
      </c>
      <c r="L4527">
        <v>3.9</v>
      </c>
      <c r="M4527">
        <v>3.9</v>
      </c>
      <c r="N4527">
        <v>401</v>
      </c>
      <c r="O4527" t="str">
        <f>"IOF/JUROS/DESP.FINANCEIRA"</f>
        <v>IOF/JUROS/DESP.FINANCEIRA</v>
      </c>
      <c r="P4527">
        <v>3.9</v>
      </c>
      <c r="S4527" t="str">
        <f>"BANCO CORA (102)"</f>
        <v>BANCO CORA (102)</v>
      </c>
      <c r="T4527">
        <v>19161</v>
      </c>
      <c r="U4527">
        <v>0</v>
      </c>
      <c r="V4527" t="s">
        <v>1112</v>
      </c>
    </row>
    <row r="4528" spans="1:22">
      <c r="A4528" t="str">
        <f t="shared" si="848"/>
        <v>03/10/2025</v>
      </c>
      <c r="B4528" t="str">
        <f t="shared" si="841"/>
        <v>SAÍDA</v>
      </c>
      <c r="C4528" t="str">
        <f>"PIX"</f>
        <v>PIX</v>
      </c>
      <c r="D4528" t="str">
        <f>"23062"</f>
        <v>23062</v>
      </c>
      <c r="E4528" t="str">
        <f t="shared" ref="E4528:E4559" si="851">"1"</f>
        <v>1</v>
      </c>
      <c r="F4528" t="str">
        <f t="shared" ref="F4528:F4559" si="852">"COM"</f>
        <v>COM</v>
      </c>
      <c r="G4528" t="str">
        <f>"WILLIAM DA SILVA COSTA (655)"</f>
        <v>WILLIAM DA SILVA COSTA (655)</v>
      </c>
      <c r="H4528" t="str">
        <f>"Serv.Prest. 29/09/2025 a 05/10/2025 - PIX: CELULAR - CHAVE: (64) 97400-9101"</f>
        <v>Serv.Prest. 29/09/2025 a 05/10/2025 - PIX: CELULAR - CHAVE: (64) 97400-9101</v>
      </c>
      <c r="I4528" t="str">
        <f>("09/10/2025")</f>
        <v>09/10/2025</v>
      </c>
      <c r="J4528" t="str">
        <f>("08/10/2025")</f>
        <v>08/10/2025</v>
      </c>
      <c r="K4528" t="str">
        <f>("03/10/2025")</f>
        <v>03/10/2025</v>
      </c>
      <c r="L4528">
        <v>119</v>
      </c>
      <c r="M4528">
        <v>150</v>
      </c>
      <c r="N4528">
        <v>109</v>
      </c>
      <c r="O4528" t="str">
        <f>"PAGAMENTO DE ENTREGADORES"</f>
        <v>PAGAMENTO DE ENTREGADORES</v>
      </c>
      <c r="P4528">
        <v>150</v>
      </c>
      <c r="S4528" t="str">
        <f>"BANCO CORA (102)"</f>
        <v>BANCO CORA (102)</v>
      </c>
      <c r="T4528">
        <v>19172</v>
      </c>
      <c r="U4528">
        <v>23066</v>
      </c>
      <c r="V4528" t="s">
        <v>22</v>
      </c>
    </row>
    <row r="4529" spans="1:22">
      <c r="A4529" t="str">
        <f t="shared" si="848"/>
        <v>03/10/2025</v>
      </c>
      <c r="B4529" t="str">
        <f t="shared" si="841"/>
        <v>SAÍDA</v>
      </c>
      <c r="C4529" t="str">
        <f>"PIX"</f>
        <v>PIX</v>
      </c>
      <c r="D4529" t="str">
        <f>"23062"</f>
        <v>23062</v>
      </c>
      <c r="E4529" t="str">
        <f t="shared" si="851"/>
        <v>1</v>
      </c>
      <c r="F4529" t="str">
        <f t="shared" si="852"/>
        <v>COM</v>
      </c>
      <c r="G4529" t="str">
        <f>"WILLIAM DA SILVA COSTA (655)"</f>
        <v>WILLIAM DA SILVA COSTA (655)</v>
      </c>
      <c r="H4529" t="s">
        <v>1113</v>
      </c>
      <c r="I4529" t="str">
        <f>("09/10/2025")</f>
        <v>09/10/2025</v>
      </c>
      <c r="J4529" t="str">
        <f>("08/10/2025")</f>
        <v>08/10/2025</v>
      </c>
      <c r="K4529">
        <v>45933</v>
      </c>
      <c r="N4529">
        <v>109</v>
      </c>
      <c r="O4529" t="s">
        <v>24</v>
      </c>
      <c r="Q4529">
        <v>150</v>
      </c>
      <c r="R4529" t="str">
        <f>"FARMACIA ECONOMIZE (10103)"</f>
        <v>FARMACIA ECONOMIZE (10103)</v>
      </c>
      <c r="S4529" t="s">
        <v>22</v>
      </c>
      <c r="T4529">
        <v>19172</v>
      </c>
      <c r="U4529">
        <v>23066</v>
      </c>
      <c r="V4529" t="s">
        <v>22</v>
      </c>
    </row>
    <row r="4530" spans="1:22">
      <c r="A4530" t="str">
        <f t="shared" si="848"/>
        <v>03/10/2025</v>
      </c>
      <c r="B4530" t="str">
        <f t="shared" si="841"/>
        <v>SAÍDA</v>
      </c>
      <c r="C4530" t="str">
        <f>"PIX"</f>
        <v>PIX</v>
      </c>
      <c r="D4530" t="str">
        <f>"22845"</f>
        <v>22845</v>
      </c>
      <c r="E4530" t="str">
        <f t="shared" si="851"/>
        <v>1</v>
      </c>
      <c r="F4530" t="str">
        <f t="shared" si="852"/>
        <v>COM</v>
      </c>
      <c r="G4530" t="str">
        <f>"ALESSANDRO SILVA DOS SANTOS (966)"</f>
        <v>ALESSANDRO SILVA DOS SANTOS (966)</v>
      </c>
      <c r="H4530" t="str">
        <f>"Serv.Prest. 29/09/2025 a 05/10/2025 - PIX: E-MAIL - CHAVE: silvaalessandro3909@gmail.com"</f>
        <v>Serv.Prest. 29/09/2025 a 05/10/2025 - PIX: E-MAIL - CHAVE: silvaalessandro3909@gmail.com</v>
      </c>
      <c r="I4530" t="str">
        <f>("07/10/2025")</f>
        <v>07/10/2025</v>
      </c>
      <c r="J4530" t="str">
        <f>("06/10/2025")</f>
        <v>06/10/2025</v>
      </c>
      <c r="K4530" t="str">
        <f>("03/10/2025")</f>
        <v>03/10/2025</v>
      </c>
      <c r="L4530">
        <v>120</v>
      </c>
      <c r="M4530">
        <v>120</v>
      </c>
      <c r="N4530">
        <v>134</v>
      </c>
      <c r="O4530" t="str">
        <f>"DIARIA DE MOTOBOY"</f>
        <v>DIARIA DE MOTOBOY</v>
      </c>
      <c r="P4530">
        <v>120</v>
      </c>
      <c r="S4530" t="str">
        <f>"BANCO CORA (102)"</f>
        <v>BANCO CORA (102)</v>
      </c>
      <c r="T4530">
        <v>19204</v>
      </c>
      <c r="U4530">
        <v>23099</v>
      </c>
      <c r="V4530" t="s">
        <v>22</v>
      </c>
    </row>
    <row r="4531" spans="1:22">
      <c r="A4531" t="str">
        <f t="shared" si="848"/>
        <v>03/10/2025</v>
      </c>
      <c r="B4531" t="str">
        <f t="shared" si="841"/>
        <v>SAÍDA</v>
      </c>
      <c r="C4531" t="str">
        <f>"PIX"</f>
        <v>PIX</v>
      </c>
      <c r="D4531" t="str">
        <f>"22845"</f>
        <v>22845</v>
      </c>
      <c r="E4531" t="str">
        <f t="shared" si="851"/>
        <v>1</v>
      </c>
      <c r="F4531" t="str">
        <f t="shared" si="852"/>
        <v>COM</v>
      </c>
      <c r="G4531" t="str">
        <f>"ALESSANDRO SILVA DOS SANTOS (966)"</f>
        <v>ALESSANDRO SILVA DOS SANTOS (966)</v>
      </c>
      <c r="H4531" t="s">
        <v>1088</v>
      </c>
      <c r="I4531" t="str">
        <f>("07/10/2025")</f>
        <v>07/10/2025</v>
      </c>
      <c r="J4531" t="str">
        <f>("06/10/2025")</f>
        <v>06/10/2025</v>
      </c>
      <c r="K4531">
        <v>45933</v>
      </c>
      <c r="N4531">
        <v>134</v>
      </c>
      <c r="O4531" t="s">
        <v>41</v>
      </c>
      <c r="Q4531">
        <v>120</v>
      </c>
      <c r="R4531" t="str">
        <f>"PENSE FARMA 22 (10198)"</f>
        <v>PENSE FARMA 22 (10198)</v>
      </c>
      <c r="S4531" t="s">
        <v>22</v>
      </c>
      <c r="T4531">
        <v>19204</v>
      </c>
      <c r="U4531">
        <v>23099</v>
      </c>
      <c r="V4531" t="s">
        <v>22</v>
      </c>
    </row>
    <row r="4532" spans="1:22">
      <c r="A4532" t="str">
        <f t="shared" si="848"/>
        <v>03/10/2025</v>
      </c>
      <c r="B4532" t="str">
        <f>"ENTRADA"</f>
        <v>ENTRADA</v>
      </c>
      <c r="C4532" t="str">
        <f>"NFSE"</f>
        <v>NFSE</v>
      </c>
      <c r="D4532" t="str">
        <f>"3424"</f>
        <v>3424</v>
      </c>
      <c r="E4532" t="str">
        <f t="shared" si="851"/>
        <v>1</v>
      </c>
      <c r="F4532" t="str">
        <f t="shared" si="852"/>
        <v>COM</v>
      </c>
      <c r="G4532" t="str">
        <f>"DROGARIA VAZ (10179)"</f>
        <v>DROGARIA VAZ (10179)</v>
      </c>
      <c r="H4532" t="str">
        <f>"Serv.Prest. 22/09/2025 a 28/09/2025 - RPS: 1300 - NFSe: 3424"</f>
        <v>Serv.Prest. 22/09/2025 a 28/09/2025 - RPS: 1300 - NFSe: 3424</v>
      </c>
      <c r="I4532" t="str">
        <f>("01/10/2025")</f>
        <v>01/10/2025</v>
      </c>
      <c r="J4532" t="str">
        <f>("29/09/2025")</f>
        <v>29/09/2025</v>
      </c>
      <c r="K4532" t="str">
        <f>("03/10/2025")</f>
        <v>03/10/2025</v>
      </c>
      <c r="L4532">
        <v>1247.0899999999999</v>
      </c>
      <c r="M4532">
        <v>1272.8599999999999</v>
      </c>
      <c r="N4532">
        <v>303</v>
      </c>
      <c r="O4532" t="str">
        <f>"RECEITAS COM ENTREGAS"</f>
        <v>RECEITAS COM ENTREGAS</v>
      </c>
      <c r="P4532">
        <v>1272.8599999999999</v>
      </c>
      <c r="S4532" t="str">
        <f>"RECEITAS COM ENTREGAS (303)"</f>
        <v>RECEITAS COM ENTREGAS (303)</v>
      </c>
      <c r="T4532">
        <v>22371</v>
      </c>
      <c r="U4532">
        <v>22710</v>
      </c>
      <c r="V4532" t="s">
        <v>22</v>
      </c>
    </row>
    <row r="4533" spans="1:22">
      <c r="A4533" t="str">
        <f t="shared" si="848"/>
        <v>03/10/2025</v>
      </c>
      <c r="B4533" t="str">
        <f>"ENTRADA"</f>
        <v>ENTRADA</v>
      </c>
      <c r="C4533" t="str">
        <f>"NFSE"</f>
        <v>NFSE</v>
      </c>
      <c r="D4533" t="str">
        <f>"3424"</f>
        <v>3424</v>
      </c>
      <c r="E4533" t="str">
        <f t="shared" si="851"/>
        <v>1</v>
      </c>
      <c r="F4533" t="str">
        <f t="shared" si="852"/>
        <v>COM</v>
      </c>
      <c r="G4533" t="str">
        <f>"DROGARIA VAZ (10179)"</f>
        <v>DROGARIA VAZ (10179)</v>
      </c>
      <c r="H4533" t="s">
        <v>1325</v>
      </c>
      <c r="I4533" t="str">
        <f>("01/10/2025")</f>
        <v>01/10/2025</v>
      </c>
      <c r="J4533" t="str">
        <f>("29/09/2025")</f>
        <v>29/09/2025</v>
      </c>
      <c r="K4533">
        <v>45933</v>
      </c>
      <c r="N4533">
        <v>303</v>
      </c>
      <c r="O4533" t="s">
        <v>69</v>
      </c>
      <c r="Q4533">
        <v>1272.8599999999999</v>
      </c>
      <c r="R4533" t="str">
        <f>"DROGARIA VAZ (10179)"</f>
        <v>DROGARIA VAZ (10179)</v>
      </c>
      <c r="S4533" t="s">
        <v>70</v>
      </c>
      <c r="T4533">
        <v>22371</v>
      </c>
      <c r="U4533">
        <v>22710</v>
      </c>
      <c r="V4533" t="s">
        <v>22</v>
      </c>
    </row>
    <row r="4534" spans="1:22">
      <c r="A4534" t="str">
        <f t="shared" si="848"/>
        <v>03/10/2025</v>
      </c>
      <c r="B4534" t="str">
        <f t="shared" ref="B4534:B4565" si="853">"SAÍDA"</f>
        <v>SAÍDA</v>
      </c>
      <c r="C4534" t="str">
        <f t="shared" ref="C4534:C4565" si="854">"PIX"</f>
        <v>PIX</v>
      </c>
      <c r="D4534" t="str">
        <f>"03102025"</f>
        <v>03102025</v>
      </c>
      <c r="E4534" t="str">
        <f t="shared" si="851"/>
        <v>1</v>
      </c>
      <c r="F4534" t="str">
        <f t="shared" si="852"/>
        <v>COM</v>
      </c>
      <c r="G4534" t="str">
        <f>"ZARU RIBEIRO EMBALAGENS LTDA (20074)"</f>
        <v>ZARU RIBEIRO EMBALAGENS LTDA (20074)</v>
      </c>
      <c r="H4534" t="str">
        <f>"COMPRA DE EMBALAGENS "</f>
        <v xml:space="preserve">COMPRA DE EMBALAGENS </v>
      </c>
      <c r="I4534" t="str">
        <f>("03/10/2025")</f>
        <v>03/10/2025</v>
      </c>
      <c r="J4534" t="str">
        <f>("03/10/2025")</f>
        <v>03/10/2025</v>
      </c>
      <c r="K4534" t="str">
        <f>("03/10/2025")</f>
        <v>03/10/2025</v>
      </c>
      <c r="L4534">
        <v>206.62</v>
      </c>
      <c r="M4534">
        <v>206.62</v>
      </c>
      <c r="N4534">
        <v>111</v>
      </c>
      <c r="O4534" t="str">
        <f>"OUTRAS DESPESAS / TAXAS"</f>
        <v>OUTRAS DESPESAS / TAXAS</v>
      </c>
      <c r="P4534">
        <v>206.62</v>
      </c>
      <c r="S4534" t="str">
        <f>"BANCO CORA (102)"</f>
        <v>BANCO CORA (102)</v>
      </c>
      <c r="T4534">
        <v>22372</v>
      </c>
      <c r="U4534">
        <v>26164</v>
      </c>
      <c r="V4534" t="s">
        <v>22</v>
      </c>
    </row>
    <row r="4535" spans="1:22">
      <c r="A4535" t="str">
        <f t="shared" si="848"/>
        <v>03/10/2025</v>
      </c>
      <c r="B4535" t="str">
        <f t="shared" si="853"/>
        <v>SAÍDA</v>
      </c>
      <c r="C4535" t="str">
        <f t="shared" si="854"/>
        <v>PIX</v>
      </c>
      <c r="D4535" t="str">
        <f>"03102025"</f>
        <v>03102025</v>
      </c>
      <c r="E4535" t="str">
        <f t="shared" si="851"/>
        <v>1</v>
      </c>
      <c r="F4535" t="str">
        <f t="shared" si="852"/>
        <v>COM</v>
      </c>
      <c r="G4535" t="str">
        <f>"ZARU RIBEIRO EMBALAGENS LTDA (20074)"</f>
        <v>ZARU RIBEIRO EMBALAGENS LTDA (20074)</v>
      </c>
      <c r="H4535" t="s">
        <v>1326</v>
      </c>
      <c r="I4535" t="str">
        <f>("03/10/2025")</f>
        <v>03/10/2025</v>
      </c>
      <c r="J4535" t="str">
        <f>("03/10/2025")</f>
        <v>03/10/2025</v>
      </c>
      <c r="K4535">
        <v>45933</v>
      </c>
      <c r="N4535">
        <v>111</v>
      </c>
      <c r="O4535" t="s">
        <v>1327</v>
      </c>
      <c r="Q4535">
        <v>206.62</v>
      </c>
      <c r="R4535" t="str">
        <f>"ZARU RIBEIRO EMBALAGENS LTDA (20074)"</f>
        <v>ZARU RIBEIRO EMBALAGENS LTDA (20074)</v>
      </c>
      <c r="S4535" t="s">
        <v>22</v>
      </c>
      <c r="T4535">
        <v>22372</v>
      </c>
      <c r="U4535">
        <v>26164</v>
      </c>
      <c r="V4535" t="s">
        <v>22</v>
      </c>
    </row>
    <row r="4536" spans="1:22">
      <c r="A4536" t="str">
        <f t="shared" ref="A4536:A4545" si="855">("04/10/2025")</f>
        <v>04/10/2025</v>
      </c>
      <c r="B4536" t="str">
        <f t="shared" si="853"/>
        <v>SAÍDA</v>
      </c>
      <c r="C4536" t="str">
        <f t="shared" si="854"/>
        <v>PIX</v>
      </c>
      <c r="D4536" t="str">
        <f>"23062"</f>
        <v>23062</v>
      </c>
      <c r="E4536" t="str">
        <f t="shared" si="851"/>
        <v>1</v>
      </c>
      <c r="F4536" t="str">
        <f t="shared" si="852"/>
        <v>COM</v>
      </c>
      <c r="G4536" t="str">
        <f>"WILLIAM DA SILVA COSTA (655)"</f>
        <v>WILLIAM DA SILVA COSTA (655)</v>
      </c>
      <c r="H4536" t="str">
        <f>"Serv.Prest. 29/09/2025 a 05/10/2025 - PIX: CELULAR - CHAVE: (64) 97400-9101"</f>
        <v>Serv.Prest. 29/09/2025 a 05/10/2025 - PIX: CELULAR - CHAVE: (64) 97400-9101</v>
      </c>
      <c r="I4536" t="str">
        <f>("09/10/2025")</f>
        <v>09/10/2025</v>
      </c>
      <c r="J4536" t="str">
        <f>("08/10/2025")</f>
        <v>08/10/2025</v>
      </c>
      <c r="K4536" t="str">
        <f>("04/10/2025")</f>
        <v>04/10/2025</v>
      </c>
      <c r="L4536">
        <v>119</v>
      </c>
      <c r="M4536">
        <v>150</v>
      </c>
      <c r="N4536">
        <v>109</v>
      </c>
      <c r="O4536" t="str">
        <f>"PAGAMENTO DE ENTREGADORES"</f>
        <v>PAGAMENTO DE ENTREGADORES</v>
      </c>
      <c r="P4536">
        <v>150</v>
      </c>
      <c r="S4536" t="str">
        <f>"BANCO CORA (102)"</f>
        <v>BANCO CORA (102)</v>
      </c>
      <c r="T4536">
        <v>19173</v>
      </c>
      <c r="U4536">
        <v>23065</v>
      </c>
      <c r="V4536" t="s">
        <v>22</v>
      </c>
    </row>
    <row r="4537" spans="1:22">
      <c r="A4537" t="str">
        <f t="shared" si="855"/>
        <v>04/10/2025</v>
      </c>
      <c r="B4537" t="str">
        <f t="shared" si="853"/>
        <v>SAÍDA</v>
      </c>
      <c r="C4537" t="str">
        <f t="shared" si="854"/>
        <v>PIX</v>
      </c>
      <c r="D4537" t="str">
        <f>"23062"</f>
        <v>23062</v>
      </c>
      <c r="E4537" t="str">
        <f t="shared" si="851"/>
        <v>1</v>
      </c>
      <c r="F4537" t="str">
        <f t="shared" si="852"/>
        <v>COM</v>
      </c>
      <c r="G4537" t="str">
        <f>"WILLIAM DA SILVA COSTA (655)"</f>
        <v>WILLIAM DA SILVA COSTA (655)</v>
      </c>
      <c r="H4537" t="s">
        <v>1113</v>
      </c>
      <c r="I4537" t="str">
        <f>("09/10/2025")</f>
        <v>09/10/2025</v>
      </c>
      <c r="J4537" t="str">
        <f>("08/10/2025")</f>
        <v>08/10/2025</v>
      </c>
      <c r="K4537">
        <v>45934</v>
      </c>
      <c r="N4537">
        <v>109</v>
      </c>
      <c r="O4537" t="s">
        <v>24</v>
      </c>
      <c r="Q4537">
        <v>150</v>
      </c>
      <c r="R4537" t="str">
        <f>"FARMACIA ECONOMIZE (10103)"</f>
        <v>FARMACIA ECONOMIZE (10103)</v>
      </c>
      <c r="S4537" t="s">
        <v>22</v>
      </c>
      <c r="T4537">
        <v>19173</v>
      </c>
      <c r="U4537">
        <v>23065</v>
      </c>
      <c r="V4537" t="s">
        <v>22</v>
      </c>
    </row>
    <row r="4538" spans="1:22">
      <c r="A4538" t="str">
        <f t="shared" si="855"/>
        <v>04/10/2025</v>
      </c>
      <c r="B4538" t="str">
        <f t="shared" si="853"/>
        <v>SAÍDA</v>
      </c>
      <c r="C4538" t="str">
        <f t="shared" si="854"/>
        <v>PIX</v>
      </c>
      <c r="D4538" t="str">
        <f>"23062"</f>
        <v>23062</v>
      </c>
      <c r="E4538" t="str">
        <f t="shared" si="851"/>
        <v>1</v>
      </c>
      <c r="F4538" t="str">
        <f t="shared" si="852"/>
        <v>COM</v>
      </c>
      <c r="G4538" t="str">
        <f>"WILLIAM DA SILVA COSTA (655)"</f>
        <v>WILLIAM DA SILVA COSTA (655)</v>
      </c>
      <c r="H4538" t="str">
        <f>"Serv.Prest. 29/09/2025 a 05/10/2025 - PIX: CELULAR - CHAVE: (64) 97400-9101"</f>
        <v>Serv.Prest. 29/09/2025 a 05/10/2025 - PIX: CELULAR - CHAVE: (64) 97400-9101</v>
      </c>
      <c r="I4538" t="str">
        <f>("09/10/2025")</f>
        <v>09/10/2025</v>
      </c>
      <c r="J4538" t="str">
        <f>("08/10/2025")</f>
        <v>08/10/2025</v>
      </c>
      <c r="K4538" t="str">
        <f>("04/10/2025")</f>
        <v>04/10/2025</v>
      </c>
      <c r="L4538">
        <v>77</v>
      </c>
      <c r="M4538">
        <v>150</v>
      </c>
      <c r="N4538">
        <v>109</v>
      </c>
      <c r="O4538" t="str">
        <f>"PAGAMENTO DE ENTREGADORES"</f>
        <v>PAGAMENTO DE ENTREGADORES</v>
      </c>
      <c r="P4538">
        <v>150</v>
      </c>
      <c r="S4538" t="str">
        <f>"BANCO CORA (102)"</f>
        <v>BANCO CORA (102)</v>
      </c>
      <c r="T4538">
        <v>19174</v>
      </c>
      <c r="U4538">
        <v>23068</v>
      </c>
      <c r="V4538" t="s">
        <v>22</v>
      </c>
    </row>
    <row r="4539" spans="1:22">
      <c r="A4539" t="str">
        <f t="shared" si="855"/>
        <v>04/10/2025</v>
      </c>
      <c r="B4539" t="str">
        <f t="shared" si="853"/>
        <v>SAÍDA</v>
      </c>
      <c r="C4539" t="str">
        <f t="shared" si="854"/>
        <v>PIX</v>
      </c>
      <c r="D4539" t="str">
        <f>"23062"</f>
        <v>23062</v>
      </c>
      <c r="E4539" t="str">
        <f t="shared" si="851"/>
        <v>1</v>
      </c>
      <c r="F4539" t="str">
        <f t="shared" si="852"/>
        <v>COM</v>
      </c>
      <c r="G4539" t="str">
        <f>"WILLIAM DA SILVA COSTA (655)"</f>
        <v>WILLIAM DA SILVA COSTA (655)</v>
      </c>
      <c r="H4539" t="s">
        <v>1113</v>
      </c>
      <c r="I4539" t="str">
        <f>("09/10/2025")</f>
        <v>09/10/2025</v>
      </c>
      <c r="J4539" t="str">
        <f>("08/10/2025")</f>
        <v>08/10/2025</v>
      </c>
      <c r="K4539">
        <v>45934</v>
      </c>
      <c r="N4539">
        <v>109</v>
      </c>
      <c r="O4539" t="s">
        <v>24</v>
      </c>
      <c r="Q4539">
        <v>150</v>
      </c>
      <c r="R4539" t="str">
        <f>"FARMACIA ECONOMIZE (10103)"</f>
        <v>FARMACIA ECONOMIZE (10103)</v>
      </c>
      <c r="S4539" t="s">
        <v>22</v>
      </c>
      <c r="T4539">
        <v>19174</v>
      </c>
      <c r="U4539">
        <v>23068</v>
      </c>
      <c r="V4539" t="s">
        <v>22</v>
      </c>
    </row>
    <row r="4540" spans="1:22">
      <c r="A4540" t="str">
        <f t="shared" si="855"/>
        <v>04/10/2025</v>
      </c>
      <c r="B4540" t="str">
        <f t="shared" si="853"/>
        <v>SAÍDA</v>
      </c>
      <c r="C4540" t="str">
        <f t="shared" si="854"/>
        <v>PIX</v>
      </c>
      <c r="D4540" t="str">
        <f>"22829"</f>
        <v>22829</v>
      </c>
      <c r="E4540" t="str">
        <f t="shared" si="851"/>
        <v>1</v>
      </c>
      <c r="F4540" t="str">
        <f t="shared" si="852"/>
        <v>COM</v>
      </c>
      <c r="G4540" t="str">
        <f>"RENAN KEVIN MOURA ASSUNCAO (538)"</f>
        <v>RENAN KEVIN MOURA ASSUNCAO (538)</v>
      </c>
      <c r="H4540" t="str">
        <f>"Serv.Prest. 29/09/2025 a 05/10/2025 - PIX: CELULAR - CHAVE: (11) 99111-0464"</f>
        <v>Serv.Prest. 29/09/2025 a 05/10/2025 - PIX: CELULAR - CHAVE: (11) 99111-0464</v>
      </c>
      <c r="I4540" t="str">
        <f t="shared" ref="I4540:I4551" si="856">("07/10/2025")</f>
        <v>07/10/2025</v>
      </c>
      <c r="J4540" t="str">
        <f t="shared" ref="J4540:J4549" si="857">("06/10/2025")</f>
        <v>06/10/2025</v>
      </c>
      <c r="K4540" t="str">
        <f>("04/10/2025")</f>
        <v>04/10/2025</v>
      </c>
      <c r="L4540">
        <v>280</v>
      </c>
      <c r="M4540">
        <v>280</v>
      </c>
      <c r="N4540">
        <v>109</v>
      </c>
      <c r="O4540" t="str">
        <f>"PAGAMENTO DE ENTREGADORES"</f>
        <v>PAGAMENTO DE ENTREGADORES</v>
      </c>
      <c r="P4540">
        <v>280</v>
      </c>
      <c r="S4540" t="str">
        <f>"BANCO CORA (102)"</f>
        <v>BANCO CORA (102)</v>
      </c>
      <c r="T4540">
        <v>19196</v>
      </c>
      <c r="U4540">
        <v>23092</v>
      </c>
      <c r="V4540" t="s">
        <v>22</v>
      </c>
    </row>
    <row r="4541" spans="1:22">
      <c r="A4541" t="str">
        <f t="shared" si="855"/>
        <v>04/10/2025</v>
      </c>
      <c r="B4541" t="str">
        <f t="shared" si="853"/>
        <v>SAÍDA</v>
      </c>
      <c r="C4541" t="str">
        <f t="shared" si="854"/>
        <v>PIX</v>
      </c>
      <c r="D4541" t="str">
        <f>"22829"</f>
        <v>22829</v>
      </c>
      <c r="E4541" t="str">
        <f t="shared" si="851"/>
        <v>1</v>
      </c>
      <c r="F4541" t="str">
        <f t="shared" si="852"/>
        <v>COM</v>
      </c>
      <c r="G4541" t="str">
        <f>"RENAN KEVIN MOURA ASSUNCAO (538)"</f>
        <v>RENAN KEVIN MOURA ASSUNCAO (538)</v>
      </c>
      <c r="H4541" t="s">
        <v>1114</v>
      </c>
      <c r="I4541" t="str">
        <f t="shared" si="856"/>
        <v>07/10/2025</v>
      </c>
      <c r="J4541" t="str">
        <f t="shared" si="857"/>
        <v>06/10/2025</v>
      </c>
      <c r="K4541">
        <v>45934</v>
      </c>
      <c r="N4541">
        <v>109</v>
      </c>
      <c r="O4541" t="s">
        <v>24</v>
      </c>
      <c r="Q4541">
        <v>280</v>
      </c>
      <c r="R4541" t="str">
        <f>"DROGA ELIDA (10121)"</f>
        <v>DROGA ELIDA (10121)</v>
      </c>
      <c r="S4541" t="s">
        <v>22</v>
      </c>
      <c r="T4541">
        <v>19196</v>
      </c>
      <c r="U4541">
        <v>23092</v>
      </c>
      <c r="V4541" t="s">
        <v>22</v>
      </c>
    </row>
    <row r="4542" spans="1:22">
      <c r="A4542" t="str">
        <f t="shared" si="855"/>
        <v>04/10/2025</v>
      </c>
      <c r="B4542" t="str">
        <f t="shared" si="853"/>
        <v>SAÍDA</v>
      </c>
      <c r="C4542" t="str">
        <f t="shared" si="854"/>
        <v>PIX</v>
      </c>
      <c r="D4542" t="str">
        <f>"22845"</f>
        <v>22845</v>
      </c>
      <c r="E4542" t="str">
        <f t="shared" si="851"/>
        <v>1</v>
      </c>
      <c r="F4542" t="str">
        <f t="shared" si="852"/>
        <v>COM</v>
      </c>
      <c r="G4542" t="str">
        <f>"ALESSANDRO SILVA DOS SANTOS (966)"</f>
        <v>ALESSANDRO SILVA DOS SANTOS (966)</v>
      </c>
      <c r="H4542" t="str">
        <f>"Serv.Prest. 29/09/2025 a 05/10/2025 - PIX: E-MAIL - CHAVE: silvaalessandro3909@gmail.com"</f>
        <v>Serv.Prest. 29/09/2025 a 05/10/2025 - PIX: E-MAIL - CHAVE: silvaalessandro3909@gmail.com</v>
      </c>
      <c r="I4542" t="str">
        <f t="shared" si="856"/>
        <v>07/10/2025</v>
      </c>
      <c r="J4542" t="str">
        <f t="shared" si="857"/>
        <v>06/10/2025</v>
      </c>
      <c r="K4542" t="str">
        <f>("04/10/2025")</f>
        <v>04/10/2025</v>
      </c>
      <c r="L4542">
        <v>230</v>
      </c>
      <c r="M4542">
        <v>230</v>
      </c>
      <c r="N4542">
        <v>134</v>
      </c>
      <c r="O4542" t="str">
        <f>"DIARIA DE MOTOBOY"</f>
        <v>DIARIA DE MOTOBOY</v>
      </c>
      <c r="P4542">
        <v>230</v>
      </c>
      <c r="S4542" t="str">
        <f>"BANCO CORA (102)"</f>
        <v>BANCO CORA (102)</v>
      </c>
      <c r="T4542">
        <v>19205</v>
      </c>
      <c r="U4542">
        <v>22845</v>
      </c>
      <c r="V4542" t="s">
        <v>22</v>
      </c>
    </row>
    <row r="4543" spans="1:22">
      <c r="A4543" t="str">
        <f t="shared" si="855"/>
        <v>04/10/2025</v>
      </c>
      <c r="B4543" t="str">
        <f t="shared" si="853"/>
        <v>SAÍDA</v>
      </c>
      <c r="C4543" t="str">
        <f t="shared" si="854"/>
        <v>PIX</v>
      </c>
      <c r="D4543" t="str">
        <f>"22845"</f>
        <v>22845</v>
      </c>
      <c r="E4543" t="str">
        <f t="shared" si="851"/>
        <v>1</v>
      </c>
      <c r="F4543" t="str">
        <f t="shared" si="852"/>
        <v>COM</v>
      </c>
      <c r="G4543" t="str">
        <f>"ALESSANDRO SILVA DOS SANTOS (966)"</f>
        <v>ALESSANDRO SILVA DOS SANTOS (966)</v>
      </c>
      <c r="H4543" t="s">
        <v>1088</v>
      </c>
      <c r="I4543" t="str">
        <f t="shared" si="856"/>
        <v>07/10/2025</v>
      </c>
      <c r="J4543" t="str">
        <f t="shared" si="857"/>
        <v>06/10/2025</v>
      </c>
      <c r="K4543">
        <v>45934</v>
      </c>
      <c r="N4543">
        <v>134</v>
      </c>
      <c r="O4543" t="s">
        <v>41</v>
      </c>
      <c r="Q4543">
        <v>230</v>
      </c>
      <c r="R4543" t="str">
        <f>"PENSE FARMA 22 (10198)"</f>
        <v>PENSE FARMA 22 (10198)</v>
      </c>
      <c r="S4543" t="s">
        <v>22</v>
      </c>
      <c r="T4543">
        <v>19205</v>
      </c>
      <c r="U4543">
        <v>22845</v>
      </c>
      <c r="V4543" t="s">
        <v>22</v>
      </c>
    </row>
    <row r="4544" spans="1:22">
      <c r="A4544" t="str">
        <f t="shared" si="855"/>
        <v>04/10/2025</v>
      </c>
      <c r="B4544" t="str">
        <f t="shared" si="853"/>
        <v>SAÍDA</v>
      </c>
      <c r="C4544" t="str">
        <f t="shared" si="854"/>
        <v>PIX</v>
      </c>
      <c r="D4544" t="str">
        <f>"22847"</f>
        <v>22847</v>
      </c>
      <c r="E4544" t="str">
        <f t="shared" si="851"/>
        <v>1</v>
      </c>
      <c r="F4544" t="str">
        <f t="shared" si="852"/>
        <v>COM</v>
      </c>
      <c r="G4544" t="str">
        <f>"NATAN ALVES (8)"</f>
        <v>NATAN ALVES (8)</v>
      </c>
      <c r="H4544" t="str">
        <f>"PAGO PARA NATHANAEL "</f>
        <v xml:space="preserve">PAGO PARA NATHANAEL </v>
      </c>
      <c r="I4544" t="str">
        <f t="shared" si="856"/>
        <v>07/10/2025</v>
      </c>
      <c r="J4544" t="str">
        <f t="shared" si="857"/>
        <v>06/10/2025</v>
      </c>
      <c r="K4544" t="str">
        <f>("04/10/2025")</f>
        <v>04/10/2025</v>
      </c>
      <c r="L4544">
        <v>170</v>
      </c>
      <c r="M4544">
        <v>170</v>
      </c>
      <c r="N4544">
        <v>134</v>
      </c>
      <c r="O4544" t="str">
        <f>"DIARIA DE MOTOBOY"</f>
        <v>DIARIA DE MOTOBOY</v>
      </c>
      <c r="P4544">
        <v>170</v>
      </c>
      <c r="S4544" t="str">
        <f>"BANCO CORA (102)"</f>
        <v>BANCO CORA (102)</v>
      </c>
      <c r="T4544">
        <v>22373</v>
      </c>
      <c r="U4544">
        <v>22885</v>
      </c>
      <c r="V4544" t="s">
        <v>22</v>
      </c>
    </row>
    <row r="4545" spans="1:22">
      <c r="A4545" t="str">
        <f t="shared" si="855"/>
        <v>04/10/2025</v>
      </c>
      <c r="B4545" t="str">
        <f t="shared" si="853"/>
        <v>SAÍDA</v>
      </c>
      <c r="C4545" t="str">
        <f t="shared" si="854"/>
        <v>PIX</v>
      </c>
      <c r="D4545" t="str">
        <f>"22847"</f>
        <v>22847</v>
      </c>
      <c r="E4545" t="str">
        <f t="shared" si="851"/>
        <v>1</v>
      </c>
      <c r="F4545" t="str">
        <f t="shared" si="852"/>
        <v>COM</v>
      </c>
      <c r="G4545" t="str">
        <f>"NATAN ALVES (8)"</f>
        <v>NATAN ALVES (8)</v>
      </c>
      <c r="H4545" t="s">
        <v>1328</v>
      </c>
      <c r="I4545" t="str">
        <f t="shared" si="856"/>
        <v>07/10/2025</v>
      </c>
      <c r="J4545" t="str">
        <f t="shared" si="857"/>
        <v>06/10/2025</v>
      </c>
      <c r="K4545">
        <v>45934</v>
      </c>
      <c r="N4545">
        <v>134</v>
      </c>
      <c r="O4545" t="s">
        <v>41</v>
      </c>
      <c r="Q4545">
        <v>170</v>
      </c>
      <c r="R4545" t="str">
        <f>"PENSE FARMA 22 (10198)"</f>
        <v>PENSE FARMA 22 (10198)</v>
      </c>
      <c r="S4545" t="s">
        <v>22</v>
      </c>
      <c r="T4545">
        <v>22373</v>
      </c>
      <c r="U4545">
        <v>22885</v>
      </c>
      <c r="V4545" t="s">
        <v>22</v>
      </c>
    </row>
    <row r="4546" spans="1:22">
      <c r="A4546" t="str">
        <f t="shared" ref="A4546:A4551" si="858">("05/10/2025")</f>
        <v>05/10/2025</v>
      </c>
      <c r="B4546" t="str">
        <f t="shared" si="853"/>
        <v>SAÍDA</v>
      </c>
      <c r="C4546" t="str">
        <f t="shared" si="854"/>
        <v>PIX</v>
      </c>
      <c r="D4546" t="str">
        <f>"22850"</f>
        <v>22850</v>
      </c>
      <c r="E4546" t="str">
        <f t="shared" si="851"/>
        <v>1</v>
      </c>
      <c r="F4546" t="str">
        <f t="shared" si="852"/>
        <v>COM</v>
      </c>
      <c r="G4546" t="str">
        <f>"MAURÍCIO MARTINS MACIEL (972)"</f>
        <v>MAURÍCIO MARTINS MACIEL (972)</v>
      </c>
      <c r="H4546" t="str">
        <f>"Serv.Prest. 29/09/2025 a 05/10/2025 - PIX: CPF - CHAVE: 483.814.568-35"</f>
        <v>Serv.Prest. 29/09/2025 a 05/10/2025 - PIX: CPF - CHAVE: 483.814.568-35</v>
      </c>
      <c r="I4546" t="str">
        <f t="shared" si="856"/>
        <v>07/10/2025</v>
      </c>
      <c r="J4546" t="str">
        <f t="shared" si="857"/>
        <v>06/10/2025</v>
      </c>
      <c r="K4546" t="str">
        <f>("05/10/2025")</f>
        <v>05/10/2025</v>
      </c>
      <c r="L4546">
        <v>170</v>
      </c>
      <c r="M4546">
        <v>170</v>
      </c>
      <c r="N4546">
        <v>134</v>
      </c>
      <c r="O4546" t="str">
        <f>"DIARIA DE MOTOBOY"</f>
        <v>DIARIA DE MOTOBOY</v>
      </c>
      <c r="P4546">
        <v>170</v>
      </c>
      <c r="S4546" t="str">
        <f>"BANCO CORA (102)"</f>
        <v>BANCO CORA (102)</v>
      </c>
      <c r="T4546">
        <v>19193</v>
      </c>
      <c r="U4546">
        <v>22850</v>
      </c>
      <c r="V4546" t="s">
        <v>22</v>
      </c>
    </row>
    <row r="4547" spans="1:22">
      <c r="A4547" t="str">
        <f t="shared" si="858"/>
        <v>05/10/2025</v>
      </c>
      <c r="B4547" t="str">
        <f t="shared" si="853"/>
        <v>SAÍDA</v>
      </c>
      <c r="C4547" t="str">
        <f t="shared" si="854"/>
        <v>PIX</v>
      </c>
      <c r="D4547" t="str">
        <f>"22850"</f>
        <v>22850</v>
      </c>
      <c r="E4547" t="str">
        <f t="shared" si="851"/>
        <v>1</v>
      </c>
      <c r="F4547" t="str">
        <f t="shared" si="852"/>
        <v>COM</v>
      </c>
      <c r="G4547" t="str">
        <f>"MAURÍCIO MARTINS MACIEL (972)"</f>
        <v>MAURÍCIO MARTINS MACIEL (972)</v>
      </c>
      <c r="H4547" t="s">
        <v>1329</v>
      </c>
      <c r="I4547" t="str">
        <f t="shared" si="856"/>
        <v>07/10/2025</v>
      </c>
      <c r="J4547" t="str">
        <f t="shared" si="857"/>
        <v>06/10/2025</v>
      </c>
      <c r="K4547">
        <v>45935</v>
      </c>
      <c r="N4547">
        <v>134</v>
      </c>
      <c r="O4547" t="s">
        <v>41</v>
      </c>
      <c r="Q4547">
        <v>170</v>
      </c>
      <c r="R4547" t="str">
        <f>"PENSE FARMA 46 (10194)"</f>
        <v>PENSE FARMA 46 (10194)</v>
      </c>
      <c r="S4547" t="s">
        <v>22</v>
      </c>
      <c r="T4547">
        <v>19193</v>
      </c>
      <c r="U4547">
        <v>22850</v>
      </c>
      <c r="V4547" t="s">
        <v>22</v>
      </c>
    </row>
    <row r="4548" spans="1:22">
      <c r="A4548" t="str">
        <f t="shared" si="858"/>
        <v>05/10/2025</v>
      </c>
      <c r="B4548" t="str">
        <f t="shared" si="853"/>
        <v>SAÍDA</v>
      </c>
      <c r="C4548" t="str">
        <f t="shared" si="854"/>
        <v>PIX</v>
      </c>
      <c r="D4548" t="str">
        <f>"22829"</f>
        <v>22829</v>
      </c>
      <c r="E4548" t="str">
        <f t="shared" si="851"/>
        <v>1</v>
      </c>
      <c r="F4548" t="str">
        <f t="shared" si="852"/>
        <v>COM</v>
      </c>
      <c r="G4548" t="str">
        <f>"RENAN KEVIN MOURA ASSUNCAO (538)"</f>
        <v>RENAN KEVIN MOURA ASSUNCAO (538)</v>
      </c>
      <c r="H4548" t="str">
        <f>"Serv.Prest. 29/09/2025 a 05/10/2025 - PIX: CELULAR - CHAVE: (11) 99111-0464"</f>
        <v>Serv.Prest. 29/09/2025 a 05/10/2025 - PIX: CELULAR - CHAVE: (11) 99111-0464</v>
      </c>
      <c r="I4548" t="str">
        <f t="shared" si="856"/>
        <v>07/10/2025</v>
      </c>
      <c r="J4548" t="str">
        <f t="shared" si="857"/>
        <v>06/10/2025</v>
      </c>
      <c r="K4548" t="str">
        <f>("05/10/2025")</f>
        <v>05/10/2025</v>
      </c>
      <c r="L4548">
        <v>140</v>
      </c>
      <c r="M4548">
        <v>140</v>
      </c>
      <c r="N4548">
        <v>109</v>
      </c>
      <c r="O4548" t="str">
        <f>"PAGAMENTO DE ENTREGADORES"</f>
        <v>PAGAMENTO DE ENTREGADORES</v>
      </c>
      <c r="P4548">
        <v>140</v>
      </c>
      <c r="S4548" t="str">
        <f>"BANCO CORA (102)"</f>
        <v>BANCO CORA (102)</v>
      </c>
      <c r="T4548">
        <v>19197</v>
      </c>
      <c r="U4548">
        <v>22829</v>
      </c>
      <c r="V4548" t="s">
        <v>22</v>
      </c>
    </row>
    <row r="4549" spans="1:22">
      <c r="A4549" t="str">
        <f t="shared" si="858"/>
        <v>05/10/2025</v>
      </c>
      <c r="B4549" t="str">
        <f t="shared" si="853"/>
        <v>SAÍDA</v>
      </c>
      <c r="C4549" t="str">
        <f t="shared" si="854"/>
        <v>PIX</v>
      </c>
      <c r="D4549" t="str">
        <f>"22829"</f>
        <v>22829</v>
      </c>
      <c r="E4549" t="str">
        <f t="shared" si="851"/>
        <v>1</v>
      </c>
      <c r="F4549" t="str">
        <f t="shared" si="852"/>
        <v>COM</v>
      </c>
      <c r="G4549" t="str">
        <f>"RENAN KEVIN MOURA ASSUNCAO (538)"</f>
        <v>RENAN KEVIN MOURA ASSUNCAO (538)</v>
      </c>
      <c r="H4549" t="s">
        <v>1114</v>
      </c>
      <c r="I4549" t="str">
        <f t="shared" si="856"/>
        <v>07/10/2025</v>
      </c>
      <c r="J4549" t="str">
        <f t="shared" si="857"/>
        <v>06/10/2025</v>
      </c>
      <c r="K4549">
        <v>45935</v>
      </c>
      <c r="N4549">
        <v>109</v>
      </c>
      <c r="O4549" t="s">
        <v>24</v>
      </c>
      <c r="Q4549">
        <v>140</v>
      </c>
      <c r="R4549" t="str">
        <f>"DROGA ELIDA (10121)"</f>
        <v>DROGA ELIDA (10121)</v>
      </c>
      <c r="S4549" t="s">
        <v>22</v>
      </c>
      <c r="T4549">
        <v>19197</v>
      </c>
      <c r="U4549">
        <v>22829</v>
      </c>
      <c r="V4549" t="s">
        <v>22</v>
      </c>
    </row>
    <row r="4550" spans="1:22">
      <c r="A4550" t="str">
        <f t="shared" si="858"/>
        <v>05/10/2025</v>
      </c>
      <c r="B4550" t="str">
        <f t="shared" si="853"/>
        <v>SAÍDA</v>
      </c>
      <c r="C4550" t="str">
        <f t="shared" si="854"/>
        <v>PIX</v>
      </c>
      <c r="D4550" t="str">
        <f>"23057"</f>
        <v>23057</v>
      </c>
      <c r="E4550" t="str">
        <f t="shared" si="851"/>
        <v>1</v>
      </c>
      <c r="F4550" t="str">
        <f t="shared" si="852"/>
        <v>COM</v>
      </c>
      <c r="G4550" t="str">
        <f>"WILLIAM DE MORAIS MILITAO (973)"</f>
        <v>WILLIAM DE MORAIS MILITAO (973)</v>
      </c>
      <c r="H4550" t="str">
        <f>"Serv.Prest. 29/09/2025 a 05/10/2025 - PIX: CPF - CHAVE: 073.042.759-52"</f>
        <v>Serv.Prest. 29/09/2025 a 05/10/2025 - PIX: CPF - CHAVE: 073.042.759-52</v>
      </c>
      <c r="I4550" t="str">
        <f t="shared" si="856"/>
        <v>07/10/2025</v>
      </c>
      <c r="J4550" t="str">
        <f>("07/10/2025")</f>
        <v>07/10/2025</v>
      </c>
      <c r="K4550" t="str">
        <f>("05/10/2025")</f>
        <v>05/10/2025</v>
      </c>
      <c r="L4550">
        <v>148.5</v>
      </c>
      <c r="M4550">
        <v>150</v>
      </c>
      <c r="N4550">
        <v>134</v>
      </c>
      <c r="O4550" t="str">
        <f>"DIARIA DE MOTOBOY"</f>
        <v>DIARIA DE MOTOBOY</v>
      </c>
      <c r="P4550">
        <v>150</v>
      </c>
      <c r="S4550" t="str">
        <f>"BANCO CORA (102)"</f>
        <v>BANCO CORA (102)</v>
      </c>
      <c r="T4550">
        <v>19208</v>
      </c>
      <c r="U4550">
        <v>23057</v>
      </c>
      <c r="V4550" t="s">
        <v>22</v>
      </c>
    </row>
    <row r="4551" spans="1:22">
      <c r="A4551" t="str">
        <f t="shared" si="858"/>
        <v>05/10/2025</v>
      </c>
      <c r="B4551" t="str">
        <f t="shared" si="853"/>
        <v>SAÍDA</v>
      </c>
      <c r="C4551" t="str">
        <f t="shared" si="854"/>
        <v>PIX</v>
      </c>
      <c r="D4551" t="str">
        <f>"23057"</f>
        <v>23057</v>
      </c>
      <c r="E4551" t="str">
        <f t="shared" si="851"/>
        <v>1</v>
      </c>
      <c r="F4551" t="str">
        <f t="shared" si="852"/>
        <v>COM</v>
      </c>
      <c r="G4551" t="str">
        <f>"WILLIAM DE MORAIS MILITAO (973)"</f>
        <v>WILLIAM DE MORAIS MILITAO (973)</v>
      </c>
      <c r="H4551" t="s">
        <v>1330</v>
      </c>
      <c r="I4551" t="str">
        <f t="shared" si="856"/>
        <v>07/10/2025</v>
      </c>
      <c r="J4551" t="str">
        <f>("07/10/2025")</f>
        <v>07/10/2025</v>
      </c>
      <c r="K4551">
        <v>45935</v>
      </c>
      <c r="N4551">
        <v>134</v>
      </c>
      <c r="O4551" t="s">
        <v>41</v>
      </c>
      <c r="Q4551">
        <v>150</v>
      </c>
      <c r="R4551" t="str">
        <f>"DROGA HONDA (10149)"</f>
        <v>DROGA HONDA (10149)</v>
      </c>
      <c r="S4551" t="s">
        <v>22</v>
      </c>
      <c r="T4551">
        <v>19208</v>
      </c>
      <c r="U4551">
        <v>23057</v>
      </c>
      <c r="V4551" t="s">
        <v>22</v>
      </c>
    </row>
    <row r="4552" spans="1:22">
      <c r="A4552" t="str">
        <f t="shared" ref="A4552:A4561" si="859">("06/10/2025")</f>
        <v>06/10/2025</v>
      </c>
      <c r="B4552" t="str">
        <f t="shared" si="853"/>
        <v>SAÍDA</v>
      </c>
      <c r="C4552" t="str">
        <f t="shared" si="854"/>
        <v>PIX</v>
      </c>
      <c r="D4552" t="str">
        <f>"22847"</f>
        <v>22847</v>
      </c>
      <c r="E4552" t="str">
        <f t="shared" si="851"/>
        <v>1</v>
      </c>
      <c r="F4552" t="str">
        <f t="shared" si="852"/>
        <v>COM</v>
      </c>
      <c r="G4552" t="str">
        <f>"NATAN ALVES (8)"</f>
        <v>NATAN ALVES (8)</v>
      </c>
      <c r="H4552" t="str">
        <f>"PAGO PARA Leandro Ribeiro da Silva - PIX CPF 308.540.658-14"</f>
        <v>PAGO PARA Leandro Ribeiro da Silva - PIX CPF 308.540.658-14</v>
      </c>
      <c r="I4552" t="str">
        <f>("09/10/2025")</f>
        <v>09/10/2025</v>
      </c>
      <c r="J4552" t="str">
        <f>("06/10/2025")</f>
        <v>06/10/2025</v>
      </c>
      <c r="K4552" t="str">
        <f>("06/10/2025")</f>
        <v>06/10/2025</v>
      </c>
      <c r="L4552">
        <v>170</v>
      </c>
      <c r="M4552">
        <v>170</v>
      </c>
      <c r="N4552">
        <v>134</v>
      </c>
      <c r="O4552" t="str">
        <f>"DIARIA DE MOTOBOY"</f>
        <v>DIARIA DE MOTOBOY</v>
      </c>
      <c r="P4552">
        <v>170</v>
      </c>
      <c r="S4552" t="str">
        <f>"BANCO CORA (102)"</f>
        <v>BANCO CORA (102)</v>
      </c>
      <c r="T4552">
        <v>19166</v>
      </c>
      <c r="U4552">
        <v>22847</v>
      </c>
      <c r="V4552" t="s">
        <v>22</v>
      </c>
    </row>
    <row r="4553" spans="1:22">
      <c r="A4553" t="str">
        <f t="shared" si="859"/>
        <v>06/10/2025</v>
      </c>
      <c r="B4553" t="str">
        <f t="shared" si="853"/>
        <v>SAÍDA</v>
      </c>
      <c r="C4553" t="str">
        <f t="shared" si="854"/>
        <v>PIX</v>
      </c>
      <c r="D4553" t="str">
        <f>"22847"</f>
        <v>22847</v>
      </c>
      <c r="E4553" t="str">
        <f t="shared" si="851"/>
        <v>1</v>
      </c>
      <c r="F4553" t="str">
        <f t="shared" si="852"/>
        <v>COM</v>
      </c>
      <c r="G4553" t="str">
        <f>"NATAN ALVES (8)"</f>
        <v>NATAN ALVES (8)</v>
      </c>
      <c r="H4553" t="s">
        <v>1331</v>
      </c>
      <c r="I4553" t="str">
        <f>("09/10/2025")</f>
        <v>09/10/2025</v>
      </c>
      <c r="J4553" t="str">
        <f>("06/10/2025")</f>
        <v>06/10/2025</v>
      </c>
      <c r="K4553">
        <v>45936</v>
      </c>
      <c r="N4553">
        <v>134</v>
      </c>
      <c r="O4553" t="s">
        <v>41</v>
      </c>
      <c r="Q4553">
        <v>170</v>
      </c>
      <c r="R4553" t="str">
        <f>"PENSE FARMA 22 (10198)"</f>
        <v>PENSE FARMA 22 (10198)</v>
      </c>
      <c r="S4553" t="s">
        <v>22</v>
      </c>
      <c r="T4553">
        <v>19166</v>
      </c>
      <c r="U4553">
        <v>22847</v>
      </c>
      <c r="V4553" t="s">
        <v>22</v>
      </c>
    </row>
    <row r="4554" spans="1:22">
      <c r="A4554" t="str">
        <f t="shared" si="859"/>
        <v>06/10/2025</v>
      </c>
      <c r="B4554" t="str">
        <f t="shared" si="853"/>
        <v>SAÍDA</v>
      </c>
      <c r="C4554" t="str">
        <f t="shared" si="854"/>
        <v>PIX</v>
      </c>
      <c r="D4554" t="str">
        <f>"22913"</f>
        <v>22913</v>
      </c>
      <c r="E4554" t="str">
        <f t="shared" si="851"/>
        <v>1</v>
      </c>
      <c r="F4554" t="str">
        <f t="shared" si="852"/>
        <v>COM</v>
      </c>
      <c r="G4554" t="str">
        <f>"YAN BRENDO CORREIA VIEIRA (861)"</f>
        <v>YAN BRENDO CORREIA VIEIRA (861)</v>
      </c>
      <c r="H4554" t="str">
        <f>"Serv.Prest. 26/09/2025 a 05/10/2025 - PIX: CPF - CHAVE: 096.891.935-97"</f>
        <v>Serv.Prest. 26/09/2025 a 05/10/2025 - PIX: CPF - CHAVE: 096.891.935-97</v>
      </c>
      <c r="I4554" t="str">
        <f>("16/10/2025")</f>
        <v>16/10/2025</v>
      </c>
      <c r="J4554" t="str">
        <f>("07/10/2025")</f>
        <v>07/10/2025</v>
      </c>
      <c r="K4554" t="str">
        <f>("06/10/2025")</f>
        <v>06/10/2025</v>
      </c>
      <c r="L4554">
        <v>150</v>
      </c>
      <c r="M4554">
        <v>150</v>
      </c>
      <c r="N4554">
        <v>109</v>
      </c>
      <c r="O4554" t="str">
        <f>"PAGAMENTO DE ENTREGADORES"</f>
        <v>PAGAMENTO DE ENTREGADORES</v>
      </c>
      <c r="P4554">
        <v>150</v>
      </c>
      <c r="S4554" t="str">
        <f>"BANCO CORA (102)"</f>
        <v>BANCO CORA (102)</v>
      </c>
      <c r="T4554">
        <v>19168</v>
      </c>
      <c r="U4554">
        <v>23031</v>
      </c>
      <c r="V4554" t="s">
        <v>22</v>
      </c>
    </row>
    <row r="4555" spans="1:22">
      <c r="A4555" t="str">
        <f t="shared" si="859"/>
        <v>06/10/2025</v>
      </c>
      <c r="B4555" t="str">
        <f t="shared" si="853"/>
        <v>SAÍDA</v>
      </c>
      <c r="C4555" t="str">
        <f t="shared" si="854"/>
        <v>PIX</v>
      </c>
      <c r="D4555" t="str">
        <f>"22913"</f>
        <v>22913</v>
      </c>
      <c r="E4555" t="str">
        <f t="shared" si="851"/>
        <v>1</v>
      </c>
      <c r="F4555" t="str">
        <f t="shared" si="852"/>
        <v>COM</v>
      </c>
      <c r="G4555" t="str">
        <f>"YAN BRENDO CORREIA VIEIRA (861)"</f>
        <v>YAN BRENDO CORREIA VIEIRA (861)</v>
      </c>
      <c r="H4555" t="s">
        <v>1332</v>
      </c>
      <c r="I4555" t="str">
        <f>("16/10/2025")</f>
        <v>16/10/2025</v>
      </c>
      <c r="J4555" t="str">
        <f>("07/10/2025")</f>
        <v>07/10/2025</v>
      </c>
      <c r="K4555">
        <v>45936</v>
      </c>
      <c r="N4555">
        <v>109</v>
      </c>
      <c r="O4555" t="s">
        <v>24</v>
      </c>
      <c r="Q4555">
        <v>150</v>
      </c>
      <c r="R4555" t="str">
        <f>"FARMÁCIA INDIANA LJ 200 (10155)"</f>
        <v>FARMÁCIA INDIANA LJ 200 (10155)</v>
      </c>
      <c r="S4555" t="s">
        <v>22</v>
      </c>
      <c r="T4555">
        <v>19168</v>
      </c>
      <c r="U4555">
        <v>23031</v>
      </c>
      <c r="V4555" t="s">
        <v>22</v>
      </c>
    </row>
    <row r="4556" spans="1:22">
      <c r="A4556" t="str">
        <f t="shared" si="859"/>
        <v>06/10/2025</v>
      </c>
      <c r="B4556" t="str">
        <f t="shared" si="853"/>
        <v>SAÍDA</v>
      </c>
      <c r="C4556" t="str">
        <f t="shared" si="854"/>
        <v>PIX</v>
      </c>
      <c r="D4556" t="str">
        <f>"23062"</f>
        <v>23062</v>
      </c>
      <c r="E4556" t="str">
        <f t="shared" si="851"/>
        <v>1</v>
      </c>
      <c r="F4556" t="str">
        <f t="shared" si="852"/>
        <v>COM</v>
      </c>
      <c r="G4556" t="str">
        <f>"WILLIAM DA SILVA COSTA (655)"</f>
        <v>WILLIAM DA SILVA COSTA (655)</v>
      </c>
      <c r="H4556" t="str">
        <f>"Serv.Prest. 29/09/2025 a 05/10/2025 - PIX: CELULAR - CHAVE: (64) 97400-9101"</f>
        <v>Serv.Prest. 29/09/2025 a 05/10/2025 - PIX: CELULAR - CHAVE: (64) 97400-9101</v>
      </c>
      <c r="I4556" t="str">
        <f>("09/10/2025")</f>
        <v>09/10/2025</v>
      </c>
      <c r="J4556" t="str">
        <f>("08/10/2025")</f>
        <v>08/10/2025</v>
      </c>
      <c r="K4556" t="str">
        <f>("06/10/2025")</f>
        <v>06/10/2025</v>
      </c>
      <c r="L4556">
        <v>77</v>
      </c>
      <c r="M4556">
        <v>150</v>
      </c>
      <c r="N4556">
        <v>109</v>
      </c>
      <c r="O4556" t="str">
        <f>"PAGAMENTO DE ENTREGADORES"</f>
        <v>PAGAMENTO DE ENTREGADORES</v>
      </c>
      <c r="P4556">
        <v>150</v>
      </c>
      <c r="S4556" t="str">
        <f>"BANCO CORA (102)"</f>
        <v>BANCO CORA (102)</v>
      </c>
      <c r="T4556">
        <v>19175</v>
      </c>
      <c r="U4556">
        <v>23064</v>
      </c>
      <c r="V4556" t="s">
        <v>22</v>
      </c>
    </row>
    <row r="4557" spans="1:22">
      <c r="A4557" t="str">
        <f t="shared" si="859"/>
        <v>06/10/2025</v>
      </c>
      <c r="B4557" t="str">
        <f t="shared" si="853"/>
        <v>SAÍDA</v>
      </c>
      <c r="C4557" t="str">
        <f t="shared" si="854"/>
        <v>PIX</v>
      </c>
      <c r="D4557" t="str">
        <f>"23062"</f>
        <v>23062</v>
      </c>
      <c r="E4557" t="str">
        <f t="shared" si="851"/>
        <v>1</v>
      </c>
      <c r="F4557" t="str">
        <f t="shared" si="852"/>
        <v>COM</v>
      </c>
      <c r="G4557" t="str">
        <f>"WILLIAM DA SILVA COSTA (655)"</f>
        <v>WILLIAM DA SILVA COSTA (655)</v>
      </c>
      <c r="H4557" t="s">
        <v>1113</v>
      </c>
      <c r="I4557" t="str">
        <f>("09/10/2025")</f>
        <v>09/10/2025</v>
      </c>
      <c r="J4557" t="str">
        <f>("08/10/2025")</f>
        <v>08/10/2025</v>
      </c>
      <c r="K4557">
        <v>45936</v>
      </c>
      <c r="N4557">
        <v>109</v>
      </c>
      <c r="O4557" t="s">
        <v>24</v>
      </c>
      <c r="Q4557">
        <v>150</v>
      </c>
      <c r="R4557" t="str">
        <f>"FARMACIA ECONOMIZE (10103)"</f>
        <v>FARMACIA ECONOMIZE (10103)</v>
      </c>
      <c r="S4557" t="s">
        <v>22</v>
      </c>
      <c r="T4557">
        <v>19175</v>
      </c>
      <c r="U4557">
        <v>23064</v>
      </c>
      <c r="V4557" t="s">
        <v>22</v>
      </c>
    </row>
    <row r="4558" spans="1:22">
      <c r="A4558" t="str">
        <f t="shared" si="859"/>
        <v>06/10/2025</v>
      </c>
      <c r="B4558" t="str">
        <f t="shared" si="853"/>
        <v>SAÍDA</v>
      </c>
      <c r="C4558" t="str">
        <f t="shared" si="854"/>
        <v>PIX</v>
      </c>
      <c r="D4558" t="str">
        <f>"22842"</f>
        <v>22842</v>
      </c>
      <c r="E4558" t="str">
        <f t="shared" si="851"/>
        <v>1</v>
      </c>
      <c r="F4558" t="str">
        <f t="shared" si="852"/>
        <v>COM</v>
      </c>
      <c r="G4558" t="str">
        <f>"ITALO GONÇALVES (974)"</f>
        <v>ITALO GONÇALVES (974)</v>
      </c>
      <c r="H4558" t="str">
        <f>"Serv.Prest. 29/09/2025 a 05/10/2025 - PIX: CELULAR - CHAVE: (11) 99220-4018"</f>
        <v>Serv.Prest. 29/09/2025 a 05/10/2025 - PIX: CELULAR - CHAVE: (11) 99220-4018</v>
      </c>
      <c r="I4558" t="str">
        <f>("07/10/2025")</f>
        <v>07/10/2025</v>
      </c>
      <c r="J4558" t="str">
        <f>("06/10/2025")</f>
        <v>06/10/2025</v>
      </c>
      <c r="K4558" t="str">
        <f>("06/10/2025")</f>
        <v>06/10/2025</v>
      </c>
      <c r="L4558">
        <v>170</v>
      </c>
      <c r="M4558">
        <v>170</v>
      </c>
      <c r="N4558">
        <v>134</v>
      </c>
      <c r="O4558" t="str">
        <f>"DIARIA DE MOTOBOY"</f>
        <v>DIARIA DE MOTOBOY</v>
      </c>
      <c r="P4558">
        <v>170</v>
      </c>
      <c r="S4558" t="str">
        <f>"BANCO CORA (102)"</f>
        <v>BANCO CORA (102)</v>
      </c>
      <c r="T4558">
        <v>19200</v>
      </c>
      <c r="U4558">
        <v>22842</v>
      </c>
      <c r="V4558" t="s">
        <v>22</v>
      </c>
    </row>
    <row r="4559" spans="1:22">
      <c r="A4559" t="str">
        <f t="shared" si="859"/>
        <v>06/10/2025</v>
      </c>
      <c r="B4559" t="str">
        <f t="shared" si="853"/>
        <v>SAÍDA</v>
      </c>
      <c r="C4559" t="str">
        <f t="shared" si="854"/>
        <v>PIX</v>
      </c>
      <c r="D4559" t="str">
        <f>"22842"</f>
        <v>22842</v>
      </c>
      <c r="E4559" t="str">
        <f t="shared" si="851"/>
        <v>1</v>
      </c>
      <c r="F4559" t="str">
        <f t="shared" si="852"/>
        <v>COM</v>
      </c>
      <c r="G4559" t="str">
        <f>"ITALO GONÇALVES (974)"</f>
        <v>ITALO GONÇALVES (974)</v>
      </c>
      <c r="H4559" t="s">
        <v>1333</v>
      </c>
      <c r="I4559" t="str">
        <f>("07/10/2025")</f>
        <v>07/10/2025</v>
      </c>
      <c r="J4559" t="str">
        <f t="shared" ref="J4559:J4569" si="860">("06/10/2025")</f>
        <v>06/10/2025</v>
      </c>
      <c r="K4559">
        <v>45936</v>
      </c>
      <c r="N4559">
        <v>134</v>
      </c>
      <c r="O4559" t="s">
        <v>41</v>
      </c>
      <c r="Q4559">
        <v>170</v>
      </c>
      <c r="R4559" t="str">
        <f>"PENSE FARMA 15 (10195)"</f>
        <v>PENSE FARMA 15 (10195)</v>
      </c>
      <c r="S4559" t="s">
        <v>22</v>
      </c>
      <c r="T4559">
        <v>19200</v>
      </c>
      <c r="U4559">
        <v>22842</v>
      </c>
      <c r="V4559" t="s">
        <v>22</v>
      </c>
    </row>
    <row r="4560" spans="1:22">
      <c r="A4560" t="str">
        <f t="shared" si="859"/>
        <v>06/10/2025</v>
      </c>
      <c r="B4560" t="str">
        <f t="shared" si="853"/>
        <v>SAÍDA</v>
      </c>
      <c r="C4560" t="str">
        <f t="shared" si="854"/>
        <v>PIX</v>
      </c>
      <c r="D4560" t="str">
        <f>"0610"</f>
        <v>0610</v>
      </c>
      <c r="E4560" t="str">
        <f>"25"</f>
        <v>25</v>
      </c>
      <c r="F4560" t="str">
        <f t="shared" ref="F4560:F4591" si="861">"COM"</f>
        <v>COM</v>
      </c>
      <c r="G4560" t="str">
        <f>"WEIGNE SENA CARDOSO (53)"</f>
        <v>WEIGNE SENA CARDOSO (53)</v>
      </c>
      <c r="H4560" t="str">
        <f>"ADIANTAMENTO"</f>
        <v>ADIANTAMENTO</v>
      </c>
      <c r="I4560" t="str">
        <f>("06/10/2025")</f>
        <v>06/10/2025</v>
      </c>
      <c r="J4560" t="str">
        <f t="shared" si="860"/>
        <v>06/10/2025</v>
      </c>
      <c r="K4560" t="str">
        <f>("06/10/2025")</f>
        <v>06/10/2025</v>
      </c>
      <c r="L4560">
        <v>600</v>
      </c>
      <c r="M4560">
        <v>600</v>
      </c>
      <c r="N4560">
        <v>5000</v>
      </c>
      <c r="O4560" t="str">
        <f>"SOLICITACAO DE ADIANTAMENTO"</f>
        <v>SOLICITACAO DE ADIANTAMENTO</v>
      </c>
      <c r="P4560">
        <v>600</v>
      </c>
      <c r="S4560" t="str">
        <f>"BANCO CORA (102)"</f>
        <v>BANCO CORA (102)</v>
      </c>
      <c r="T4560">
        <v>19217</v>
      </c>
      <c r="U4560">
        <v>23101</v>
      </c>
      <c r="V4560" t="s">
        <v>22</v>
      </c>
    </row>
    <row r="4561" spans="1:22">
      <c r="A4561" t="str">
        <f t="shared" si="859"/>
        <v>06/10/2025</v>
      </c>
      <c r="B4561" t="str">
        <f t="shared" si="853"/>
        <v>SAÍDA</v>
      </c>
      <c r="C4561" t="str">
        <f t="shared" si="854"/>
        <v>PIX</v>
      </c>
      <c r="D4561" t="str">
        <f>"0610"</f>
        <v>0610</v>
      </c>
      <c r="E4561" t="str">
        <f>"25"</f>
        <v>25</v>
      </c>
      <c r="F4561" t="str">
        <f t="shared" si="861"/>
        <v>COM</v>
      </c>
      <c r="G4561" t="str">
        <f>"WEIGNE SENA CARDOSO (53)"</f>
        <v>WEIGNE SENA CARDOSO (53)</v>
      </c>
      <c r="H4561" t="s">
        <v>85</v>
      </c>
      <c r="I4561" t="str">
        <f>("06/10/2025")</f>
        <v>06/10/2025</v>
      </c>
      <c r="J4561" t="str">
        <f t="shared" si="860"/>
        <v>06/10/2025</v>
      </c>
      <c r="K4561">
        <v>45936</v>
      </c>
      <c r="N4561">
        <v>5000</v>
      </c>
      <c r="O4561" t="s">
        <v>86</v>
      </c>
      <c r="Q4561">
        <v>600</v>
      </c>
      <c r="R4561" t="str">
        <f>"WEIGNE SENA CARDOSO (53)"</f>
        <v>WEIGNE SENA CARDOSO (53)</v>
      </c>
      <c r="S4561" t="s">
        <v>22</v>
      </c>
      <c r="T4561">
        <v>19217</v>
      </c>
      <c r="U4561">
        <v>23101</v>
      </c>
      <c r="V4561" t="s">
        <v>22</v>
      </c>
    </row>
    <row r="4562" spans="1:22">
      <c r="A4562" t="str">
        <f t="shared" ref="A4562:A4593" si="862">("07/10/2025")</f>
        <v>07/10/2025</v>
      </c>
      <c r="B4562" t="str">
        <f t="shared" si="853"/>
        <v>SAÍDA</v>
      </c>
      <c r="C4562" t="str">
        <f t="shared" si="854"/>
        <v>PIX</v>
      </c>
      <c r="D4562" t="str">
        <f>"22859"</f>
        <v>22859</v>
      </c>
      <c r="E4562" t="str">
        <f t="shared" ref="E4562:E4594" si="863">"1"</f>
        <v>1</v>
      </c>
      <c r="F4562" t="str">
        <f t="shared" si="861"/>
        <v>COM</v>
      </c>
      <c r="G4562" t="str">
        <f t="shared" ref="G4562:G4567" si="864">"JOEL ARAGAO SALES (864)"</f>
        <v>JOEL ARAGAO SALES (864)</v>
      </c>
      <c r="H4562" t="str">
        <f>"Serv.Prest. 29/09/2025 a 05/10/2025 - PIX: CPF - CHAVE: 052.353.883-99"</f>
        <v>Serv.Prest. 29/09/2025 a 05/10/2025 - PIX: CPF - CHAVE: 052.353.883-99</v>
      </c>
      <c r="I4562" t="str">
        <f t="shared" ref="I4562:I4567" si="865">("07/10/2025")</f>
        <v>07/10/2025</v>
      </c>
      <c r="J4562" t="str">
        <f t="shared" si="860"/>
        <v>06/10/2025</v>
      </c>
      <c r="K4562" t="str">
        <f>("07/10/2025")</f>
        <v>07/10/2025</v>
      </c>
      <c r="L4562">
        <v>175</v>
      </c>
      <c r="M4562">
        <v>130</v>
      </c>
      <c r="N4562">
        <v>134</v>
      </c>
      <c r="O4562" t="str">
        <f>"DIARIA DE MOTOBOY"</f>
        <v>DIARIA DE MOTOBOY</v>
      </c>
      <c r="P4562">
        <v>130</v>
      </c>
      <c r="S4562" t="str">
        <f>"BANCO CORA (102)"</f>
        <v>BANCO CORA (102)</v>
      </c>
      <c r="T4562">
        <v>19169</v>
      </c>
      <c r="U4562">
        <v>22859</v>
      </c>
      <c r="V4562" t="s">
        <v>22</v>
      </c>
    </row>
    <row r="4563" spans="1:22">
      <c r="A4563" t="str">
        <f t="shared" si="862"/>
        <v>07/10/2025</v>
      </c>
      <c r="B4563" t="str">
        <f t="shared" si="853"/>
        <v>SAÍDA</v>
      </c>
      <c r="C4563" t="str">
        <f t="shared" si="854"/>
        <v>PIX</v>
      </c>
      <c r="D4563" t="str">
        <f>"22859"</f>
        <v>22859</v>
      </c>
      <c r="E4563" t="str">
        <f t="shared" si="863"/>
        <v>1</v>
      </c>
      <c r="F4563" t="str">
        <f t="shared" si="861"/>
        <v>COM</v>
      </c>
      <c r="G4563" t="str">
        <f t="shared" si="864"/>
        <v>JOEL ARAGAO SALES (864)</v>
      </c>
      <c r="H4563" t="s">
        <v>1334</v>
      </c>
      <c r="I4563" t="str">
        <f t="shared" si="865"/>
        <v>07/10/2025</v>
      </c>
      <c r="J4563" t="str">
        <f t="shared" si="860"/>
        <v>06/10/2025</v>
      </c>
      <c r="K4563">
        <v>45937</v>
      </c>
      <c r="N4563">
        <v>134</v>
      </c>
      <c r="O4563" t="s">
        <v>41</v>
      </c>
      <c r="Q4563">
        <v>130</v>
      </c>
      <c r="R4563" t="str">
        <f>"DROGARIA MEDIC CENTER LTDA (10172)"</f>
        <v>DROGARIA MEDIC CENTER LTDA (10172)</v>
      </c>
      <c r="S4563" t="s">
        <v>22</v>
      </c>
      <c r="T4563">
        <v>19169</v>
      </c>
      <c r="U4563">
        <v>22859</v>
      </c>
      <c r="V4563" t="s">
        <v>22</v>
      </c>
    </row>
    <row r="4564" spans="1:22">
      <c r="A4564" t="str">
        <f t="shared" si="862"/>
        <v>07/10/2025</v>
      </c>
      <c r="B4564" t="str">
        <f t="shared" si="853"/>
        <v>SAÍDA</v>
      </c>
      <c r="C4564" t="str">
        <f t="shared" si="854"/>
        <v>PIX</v>
      </c>
      <c r="D4564" t="str">
        <f>"22863"</f>
        <v>22863</v>
      </c>
      <c r="E4564" t="str">
        <f t="shared" si="863"/>
        <v>1</v>
      </c>
      <c r="F4564" t="str">
        <f t="shared" si="861"/>
        <v>COM</v>
      </c>
      <c r="G4564" t="str">
        <f t="shared" si="864"/>
        <v>JOEL ARAGAO SALES (864)</v>
      </c>
      <c r="H4564" t="str">
        <f>"Serv.Prest. 29/09/2025 a 05/10/2025 - PIX: CPF - CHAVE: 052.353.883-99"</f>
        <v>Serv.Prest. 29/09/2025 a 05/10/2025 - PIX: CPF - CHAVE: 052.353.883-99</v>
      </c>
      <c r="I4564" t="str">
        <f t="shared" si="865"/>
        <v>07/10/2025</v>
      </c>
      <c r="J4564" t="str">
        <f t="shared" si="860"/>
        <v>06/10/2025</v>
      </c>
      <c r="K4564" t="str">
        <f>("07/10/2025")</f>
        <v>07/10/2025</v>
      </c>
      <c r="L4564">
        <v>133</v>
      </c>
      <c r="M4564">
        <v>130</v>
      </c>
      <c r="N4564">
        <v>134</v>
      </c>
      <c r="O4564" t="str">
        <f>"DIARIA DE MOTOBOY"</f>
        <v>DIARIA DE MOTOBOY</v>
      </c>
      <c r="S4564" t="str">
        <f>"BANCO CORA (102)"</f>
        <v>BANCO CORA (102)</v>
      </c>
      <c r="T4564">
        <v>19169</v>
      </c>
      <c r="U4564">
        <v>22863</v>
      </c>
      <c r="V4564" t="s">
        <v>22</v>
      </c>
    </row>
    <row r="4565" spans="1:22">
      <c r="A4565" t="str">
        <f t="shared" si="862"/>
        <v>07/10/2025</v>
      </c>
      <c r="B4565" t="str">
        <f t="shared" si="853"/>
        <v>SAÍDA</v>
      </c>
      <c r="C4565" t="str">
        <f t="shared" si="854"/>
        <v>PIX</v>
      </c>
      <c r="D4565" t="str">
        <f>"22863"</f>
        <v>22863</v>
      </c>
      <c r="E4565" t="str">
        <f t="shared" si="863"/>
        <v>1</v>
      </c>
      <c r="F4565" t="str">
        <f t="shared" si="861"/>
        <v>COM</v>
      </c>
      <c r="G4565" t="str">
        <f t="shared" si="864"/>
        <v>JOEL ARAGAO SALES (864)</v>
      </c>
      <c r="H4565" t="s">
        <v>1334</v>
      </c>
      <c r="I4565" t="str">
        <f t="shared" si="865"/>
        <v>07/10/2025</v>
      </c>
      <c r="J4565" t="str">
        <f t="shared" si="860"/>
        <v>06/10/2025</v>
      </c>
      <c r="K4565">
        <v>45937</v>
      </c>
      <c r="N4565">
        <v>134</v>
      </c>
      <c r="O4565" t="s">
        <v>41</v>
      </c>
      <c r="Q4565">
        <v>130</v>
      </c>
      <c r="R4565" t="str">
        <f>"DROGARIA MORENO LTDA (10171)"</f>
        <v>DROGARIA MORENO LTDA (10171)</v>
      </c>
      <c r="S4565" t="s">
        <v>22</v>
      </c>
      <c r="T4565">
        <v>19169</v>
      </c>
      <c r="U4565">
        <v>22863</v>
      </c>
      <c r="V4565" t="s">
        <v>22</v>
      </c>
    </row>
    <row r="4566" spans="1:22">
      <c r="A4566" t="str">
        <f t="shared" si="862"/>
        <v>07/10/2025</v>
      </c>
      <c r="B4566" t="str">
        <f t="shared" ref="B4566:B4597" si="866">"SAÍDA"</f>
        <v>SAÍDA</v>
      </c>
      <c r="C4566" t="str">
        <f t="shared" ref="C4566:C4597" si="867">"PIX"</f>
        <v>PIX</v>
      </c>
      <c r="D4566" t="str">
        <f>"22867"</f>
        <v>22867</v>
      </c>
      <c r="E4566" t="str">
        <f t="shared" si="863"/>
        <v>1</v>
      </c>
      <c r="F4566" t="str">
        <f t="shared" si="861"/>
        <v>COM</v>
      </c>
      <c r="G4566" t="str">
        <f t="shared" si="864"/>
        <v>JOEL ARAGAO SALES (864)</v>
      </c>
      <c r="H4566" t="str">
        <f>"Serv.Prest. 29/09/2025 a 05/10/2025 - PIX: CPF - CHAVE: 052.353.883-99"</f>
        <v>Serv.Prest. 29/09/2025 a 05/10/2025 - PIX: CPF - CHAVE: 052.353.883-99</v>
      </c>
      <c r="I4566" t="str">
        <f t="shared" si="865"/>
        <v>07/10/2025</v>
      </c>
      <c r="J4566" t="str">
        <f t="shared" si="860"/>
        <v>06/10/2025</v>
      </c>
      <c r="K4566" t="str">
        <f>("07/10/2025")</f>
        <v>07/10/2025</v>
      </c>
      <c r="L4566">
        <v>77</v>
      </c>
      <c r="M4566">
        <v>80</v>
      </c>
      <c r="N4566">
        <v>134</v>
      </c>
      <c r="O4566" t="str">
        <f>"DIARIA DE MOTOBOY"</f>
        <v>DIARIA DE MOTOBOY</v>
      </c>
      <c r="S4566" t="str">
        <f>"BANCO CORA (102)"</f>
        <v>BANCO CORA (102)</v>
      </c>
      <c r="T4566">
        <v>19169</v>
      </c>
      <c r="U4566">
        <v>22867</v>
      </c>
      <c r="V4566" t="s">
        <v>22</v>
      </c>
    </row>
    <row r="4567" spans="1:22">
      <c r="A4567" t="str">
        <f t="shared" si="862"/>
        <v>07/10/2025</v>
      </c>
      <c r="B4567" t="str">
        <f t="shared" si="866"/>
        <v>SAÍDA</v>
      </c>
      <c r="C4567" t="str">
        <f t="shared" si="867"/>
        <v>PIX</v>
      </c>
      <c r="D4567" t="str">
        <f>"22867"</f>
        <v>22867</v>
      </c>
      <c r="E4567" t="str">
        <f t="shared" si="863"/>
        <v>1</v>
      </c>
      <c r="F4567" t="str">
        <f t="shared" si="861"/>
        <v>COM</v>
      </c>
      <c r="G4567" t="str">
        <f t="shared" si="864"/>
        <v>JOEL ARAGAO SALES (864)</v>
      </c>
      <c r="H4567" t="s">
        <v>1334</v>
      </c>
      <c r="I4567" t="str">
        <f t="shared" si="865"/>
        <v>07/10/2025</v>
      </c>
      <c r="J4567" t="str">
        <f t="shared" si="860"/>
        <v>06/10/2025</v>
      </c>
      <c r="K4567">
        <v>45937</v>
      </c>
      <c r="N4567">
        <v>134</v>
      </c>
      <c r="O4567" t="s">
        <v>41</v>
      </c>
      <c r="Q4567">
        <v>80</v>
      </c>
      <c r="R4567" t="str">
        <f>"DROGARIA TOTAL JUNDIAI (10177)"</f>
        <v>DROGARIA TOTAL JUNDIAI (10177)</v>
      </c>
      <c r="S4567" t="s">
        <v>22</v>
      </c>
      <c r="T4567">
        <v>19169</v>
      </c>
      <c r="U4567">
        <v>22867</v>
      </c>
      <c r="V4567" t="s">
        <v>22</v>
      </c>
    </row>
    <row r="4568" spans="1:22">
      <c r="A4568" t="str">
        <f t="shared" si="862"/>
        <v>07/10/2025</v>
      </c>
      <c r="B4568" t="str">
        <f t="shared" si="866"/>
        <v>SAÍDA</v>
      </c>
      <c r="C4568" t="str">
        <f t="shared" si="867"/>
        <v>PIX</v>
      </c>
      <c r="D4568" t="str">
        <f>"22813"</f>
        <v>22813</v>
      </c>
      <c r="E4568" t="str">
        <f t="shared" si="863"/>
        <v>1</v>
      </c>
      <c r="F4568" t="str">
        <f t="shared" si="861"/>
        <v>COM</v>
      </c>
      <c r="G4568" t="str">
        <f>"ALEXSANDRO HENRIQUE FERREIRA (808)"</f>
        <v>ALEXSANDRO HENRIQUE FERREIRA (808)</v>
      </c>
      <c r="H4568" t="str">
        <f>"Serv.Prest. 29/09/2025 a 05/10/2025 - PIX: CPF - CHAVE: 157.591.436-03"</f>
        <v>Serv.Prest. 29/09/2025 a 05/10/2025 - PIX: CPF - CHAVE: 157.591.436-03</v>
      </c>
      <c r="I4568" t="str">
        <f>("09/10/2025")</f>
        <v>09/10/2025</v>
      </c>
      <c r="J4568" t="str">
        <f t="shared" si="860"/>
        <v>06/10/2025</v>
      </c>
      <c r="K4568" t="str">
        <f>("07/10/2025")</f>
        <v>07/10/2025</v>
      </c>
      <c r="L4568">
        <v>150</v>
      </c>
      <c r="M4568">
        <v>150</v>
      </c>
      <c r="N4568">
        <v>109</v>
      </c>
      <c r="O4568" t="str">
        <f>"PAGAMENTO DE ENTREGADORES"</f>
        <v>PAGAMENTO DE ENTREGADORES</v>
      </c>
      <c r="P4568">
        <v>150</v>
      </c>
      <c r="S4568" t="str">
        <f>"BANCO CORA (102)"</f>
        <v>BANCO CORA (102)</v>
      </c>
      <c r="T4568">
        <v>19170</v>
      </c>
      <c r="U4568">
        <v>23038</v>
      </c>
      <c r="V4568" t="s">
        <v>22</v>
      </c>
    </row>
    <row r="4569" spans="1:22">
      <c r="A4569" t="str">
        <f t="shared" si="862"/>
        <v>07/10/2025</v>
      </c>
      <c r="B4569" t="str">
        <f t="shared" si="866"/>
        <v>SAÍDA</v>
      </c>
      <c r="C4569" t="str">
        <f t="shared" si="867"/>
        <v>PIX</v>
      </c>
      <c r="D4569" t="str">
        <f>"22813"</f>
        <v>22813</v>
      </c>
      <c r="E4569" t="str">
        <f t="shared" si="863"/>
        <v>1</v>
      </c>
      <c r="F4569" t="str">
        <f t="shared" si="861"/>
        <v>COM</v>
      </c>
      <c r="G4569" t="str">
        <f>"ALEXSANDRO HENRIQUE FERREIRA (808)"</f>
        <v>ALEXSANDRO HENRIQUE FERREIRA (808)</v>
      </c>
      <c r="H4569" t="s">
        <v>1335</v>
      </c>
      <c r="I4569" t="str">
        <f>("09/10/2025")</f>
        <v>09/10/2025</v>
      </c>
      <c r="J4569" t="str">
        <f t="shared" si="860"/>
        <v>06/10/2025</v>
      </c>
      <c r="K4569">
        <v>45937</v>
      </c>
      <c r="N4569">
        <v>109</v>
      </c>
      <c r="O4569" t="s">
        <v>24</v>
      </c>
      <c r="Q4569">
        <v>150</v>
      </c>
      <c r="R4569" t="str">
        <f>"DROGARIA ANA VISCONDE DO RIO BRANCO (10182)"</f>
        <v>DROGARIA ANA VISCONDE DO RIO BRANCO (10182)</v>
      </c>
      <c r="S4569" t="s">
        <v>22</v>
      </c>
      <c r="T4569">
        <v>19170</v>
      </c>
      <c r="U4569">
        <v>23038</v>
      </c>
      <c r="V4569" t="s">
        <v>22</v>
      </c>
    </row>
    <row r="4570" spans="1:22">
      <c r="A4570" t="str">
        <f t="shared" si="862"/>
        <v>07/10/2025</v>
      </c>
      <c r="B4570" t="str">
        <f t="shared" si="866"/>
        <v>SAÍDA</v>
      </c>
      <c r="C4570" t="str">
        <f t="shared" si="867"/>
        <v>PIX</v>
      </c>
      <c r="D4570" t="str">
        <f>"22890"</f>
        <v>22890</v>
      </c>
      <c r="E4570" t="str">
        <f t="shared" si="863"/>
        <v>1</v>
      </c>
      <c r="F4570" t="str">
        <f t="shared" si="861"/>
        <v>COM</v>
      </c>
      <c r="G4570" t="str">
        <f>"EDUARDO SILVA DE JESUS (143)"</f>
        <v>EDUARDO SILVA DE JESUS (143)</v>
      </c>
      <c r="H4570" t="str">
        <f>"Serv.Prest. 26/09/2025 a 05/10/2025 - PIX: CPF - CHAVE: 094.947.395-23"</f>
        <v>Serv.Prest. 26/09/2025 a 05/10/2025 - PIX: CPF - CHAVE: 094.947.395-23</v>
      </c>
      <c r="I4570" t="str">
        <f>("07/10/2025")</f>
        <v>07/10/2025</v>
      </c>
      <c r="J4570" t="str">
        <f>("07/10/2025")</f>
        <v>07/10/2025</v>
      </c>
      <c r="K4570" t="str">
        <f>("07/10/2025")</f>
        <v>07/10/2025</v>
      </c>
      <c r="L4570">
        <v>100</v>
      </c>
      <c r="M4570">
        <v>100</v>
      </c>
      <c r="N4570">
        <v>109</v>
      </c>
      <c r="O4570" t="str">
        <f>"PAGAMENTO DE ENTREGADORES"</f>
        <v>PAGAMENTO DE ENTREGADORES</v>
      </c>
      <c r="P4570">
        <v>100</v>
      </c>
      <c r="S4570" t="str">
        <f>"BANCO CORA (102)"</f>
        <v>BANCO CORA (102)</v>
      </c>
      <c r="T4570">
        <v>19176</v>
      </c>
      <c r="U4570">
        <v>23035</v>
      </c>
      <c r="V4570" t="s">
        <v>22</v>
      </c>
    </row>
    <row r="4571" spans="1:22">
      <c r="A4571" t="str">
        <f t="shared" si="862"/>
        <v>07/10/2025</v>
      </c>
      <c r="B4571" t="str">
        <f t="shared" si="866"/>
        <v>SAÍDA</v>
      </c>
      <c r="C4571" t="str">
        <f t="shared" si="867"/>
        <v>PIX</v>
      </c>
      <c r="D4571" t="str">
        <f>"22890"</f>
        <v>22890</v>
      </c>
      <c r="E4571" t="str">
        <f t="shared" si="863"/>
        <v>1</v>
      </c>
      <c r="F4571" t="str">
        <f t="shared" si="861"/>
        <v>COM</v>
      </c>
      <c r="G4571" t="str">
        <f>"EDUARDO SILVA DE JESUS (143)"</f>
        <v>EDUARDO SILVA DE JESUS (143)</v>
      </c>
      <c r="H4571" t="s">
        <v>1336</v>
      </c>
      <c r="I4571" t="str">
        <f t="shared" ref="I4571:J4588" si="868">("07/10/2025")</f>
        <v>07/10/2025</v>
      </c>
      <c r="J4571" t="str">
        <f t="shared" si="868"/>
        <v>07/10/2025</v>
      </c>
      <c r="K4571">
        <v>45937</v>
      </c>
      <c r="N4571">
        <v>109</v>
      </c>
      <c r="O4571" t="s">
        <v>24</v>
      </c>
      <c r="Q4571">
        <v>100</v>
      </c>
      <c r="R4571" t="str">
        <f>"FARMÁCIA INDIANA LJ 91 (10037)"</f>
        <v>FARMÁCIA INDIANA LJ 91 (10037)</v>
      </c>
      <c r="S4571" t="s">
        <v>22</v>
      </c>
      <c r="T4571">
        <v>19176</v>
      </c>
      <c r="U4571">
        <v>23035</v>
      </c>
      <c r="V4571" t="s">
        <v>22</v>
      </c>
    </row>
    <row r="4572" spans="1:22">
      <c r="A4572" t="str">
        <f t="shared" si="862"/>
        <v>07/10/2025</v>
      </c>
      <c r="B4572" t="str">
        <f t="shared" si="866"/>
        <v>SAÍDA</v>
      </c>
      <c r="C4572" t="str">
        <f t="shared" si="867"/>
        <v>PIX</v>
      </c>
      <c r="D4572" t="str">
        <f>"22939"</f>
        <v>22939</v>
      </c>
      <c r="E4572" t="str">
        <f t="shared" si="863"/>
        <v>1</v>
      </c>
      <c r="F4572" t="str">
        <f t="shared" si="861"/>
        <v>COM</v>
      </c>
      <c r="G4572" t="str">
        <f>"EZEQUIEL MATHEUS SOUSA MAXIMIANO ROSA (931)"</f>
        <v>EZEQUIEL MATHEUS SOUSA MAXIMIANO ROSA (931)</v>
      </c>
      <c r="H4572" t="str">
        <f>"Serv.Prest. 26/09/2025 a 05/10/2025 - PIX: CPF - CHAVE: 141.994.266-20"</f>
        <v>Serv.Prest. 26/09/2025 a 05/10/2025 - PIX: CPF - CHAVE: 141.994.266-20</v>
      </c>
      <c r="I4572" t="str">
        <f t="shared" si="868"/>
        <v>07/10/2025</v>
      </c>
      <c r="J4572" t="str">
        <f t="shared" si="868"/>
        <v>07/10/2025</v>
      </c>
      <c r="K4572" t="str">
        <f>("07/10/2025")</f>
        <v>07/10/2025</v>
      </c>
      <c r="L4572">
        <v>168</v>
      </c>
      <c r="M4572">
        <v>170</v>
      </c>
      <c r="N4572">
        <v>134</v>
      </c>
      <c r="O4572" t="str">
        <f>"DIARIA DE MOTOBOY"</f>
        <v>DIARIA DE MOTOBOY</v>
      </c>
      <c r="P4572">
        <v>170</v>
      </c>
      <c r="S4572" t="str">
        <f>"BANCO CORA (102)"</f>
        <v>BANCO CORA (102)</v>
      </c>
      <c r="T4572">
        <v>19178</v>
      </c>
      <c r="U4572">
        <v>22939</v>
      </c>
      <c r="V4572" t="s">
        <v>22</v>
      </c>
    </row>
    <row r="4573" spans="1:22">
      <c r="A4573" t="str">
        <f t="shared" si="862"/>
        <v>07/10/2025</v>
      </c>
      <c r="B4573" t="str">
        <f t="shared" si="866"/>
        <v>SAÍDA</v>
      </c>
      <c r="C4573" t="str">
        <f t="shared" si="867"/>
        <v>PIX</v>
      </c>
      <c r="D4573" t="str">
        <f>"22939"</f>
        <v>22939</v>
      </c>
      <c r="E4573" t="str">
        <f t="shared" si="863"/>
        <v>1</v>
      </c>
      <c r="F4573" t="str">
        <f t="shared" si="861"/>
        <v>COM</v>
      </c>
      <c r="G4573" t="str">
        <f>"EZEQUIEL MATHEUS SOUSA MAXIMIANO ROSA (931)"</f>
        <v>EZEQUIEL MATHEUS SOUSA MAXIMIANO ROSA (931)</v>
      </c>
      <c r="H4573" t="s">
        <v>1337</v>
      </c>
      <c r="I4573" t="str">
        <f t="shared" si="868"/>
        <v>07/10/2025</v>
      </c>
      <c r="J4573" t="str">
        <f t="shared" si="868"/>
        <v>07/10/2025</v>
      </c>
      <c r="K4573">
        <v>45937</v>
      </c>
      <c r="N4573">
        <v>134</v>
      </c>
      <c r="O4573" t="s">
        <v>41</v>
      </c>
      <c r="Q4573">
        <v>85</v>
      </c>
      <c r="R4573" t="str">
        <f>"FARMÁCIA INDIANA LJ 118 (10052)"</f>
        <v>FARMÁCIA INDIANA LJ 118 (10052)</v>
      </c>
      <c r="S4573" t="s">
        <v>22</v>
      </c>
      <c r="T4573">
        <v>19178</v>
      </c>
      <c r="U4573">
        <v>22939</v>
      </c>
      <c r="V4573" t="s">
        <v>22</v>
      </c>
    </row>
    <row r="4574" spans="1:22">
      <c r="A4574" t="str">
        <f t="shared" si="862"/>
        <v>07/10/2025</v>
      </c>
      <c r="B4574" t="str">
        <f t="shared" si="866"/>
        <v>SAÍDA</v>
      </c>
      <c r="C4574" t="str">
        <f t="shared" si="867"/>
        <v>PIX</v>
      </c>
      <c r="D4574" t="str">
        <f>"22939"</f>
        <v>22939</v>
      </c>
      <c r="E4574" t="str">
        <f t="shared" si="863"/>
        <v>1</v>
      </c>
      <c r="F4574" t="str">
        <f t="shared" si="861"/>
        <v>COM</v>
      </c>
      <c r="G4574" t="str">
        <f>"EZEQUIEL MATHEUS SOUSA MAXIMIANO ROSA (931)"</f>
        <v>EZEQUIEL MATHEUS SOUSA MAXIMIANO ROSA (931)</v>
      </c>
      <c r="H4574" t="s">
        <v>1337</v>
      </c>
      <c r="I4574" t="str">
        <f t="shared" si="868"/>
        <v>07/10/2025</v>
      </c>
      <c r="J4574" t="str">
        <f t="shared" si="868"/>
        <v>07/10/2025</v>
      </c>
      <c r="K4574">
        <v>45937</v>
      </c>
      <c r="N4574">
        <v>134</v>
      </c>
      <c r="O4574" t="s">
        <v>41</v>
      </c>
      <c r="Q4574">
        <v>85</v>
      </c>
      <c r="R4574" t="str">
        <f>"FARMÁCIA INDIANA LJ 192 (10082)"</f>
        <v>FARMÁCIA INDIANA LJ 192 (10082)</v>
      </c>
      <c r="S4574" t="s">
        <v>22</v>
      </c>
      <c r="T4574">
        <v>19178</v>
      </c>
      <c r="U4574">
        <v>22939</v>
      </c>
      <c r="V4574" t="s">
        <v>22</v>
      </c>
    </row>
    <row r="4575" spans="1:22">
      <c r="A4575" t="str">
        <f t="shared" si="862"/>
        <v>07/10/2025</v>
      </c>
      <c r="B4575" t="str">
        <f t="shared" si="866"/>
        <v>SAÍDA</v>
      </c>
      <c r="C4575" t="str">
        <f t="shared" si="867"/>
        <v>PIX</v>
      </c>
      <c r="D4575" t="str">
        <f>"22957"</f>
        <v>22957</v>
      </c>
      <c r="E4575" t="str">
        <f t="shared" si="863"/>
        <v>1</v>
      </c>
      <c r="F4575" t="str">
        <f t="shared" si="861"/>
        <v>COM</v>
      </c>
      <c r="G4575" t="str">
        <f>"JOSE ERIC SILVA MACENA (854)"</f>
        <v>JOSE ERIC SILVA MACENA (854)</v>
      </c>
      <c r="H4575" t="str">
        <f>"Serv.Prest. 26/09/2025 a 05/10/2025 - PIX: E-MAIL - CHAVE: ericsilva8marcena@gmail.com"</f>
        <v>Serv.Prest. 26/09/2025 a 05/10/2025 - PIX: E-MAIL - CHAVE: ericsilva8marcena@gmail.com</v>
      </c>
      <c r="I4575" t="str">
        <f t="shared" si="868"/>
        <v>07/10/2025</v>
      </c>
      <c r="J4575" t="str">
        <f t="shared" si="868"/>
        <v>07/10/2025</v>
      </c>
      <c r="K4575" t="str">
        <f>("07/10/2025")</f>
        <v>07/10/2025</v>
      </c>
      <c r="L4575">
        <v>180</v>
      </c>
      <c r="M4575">
        <v>180</v>
      </c>
      <c r="N4575">
        <v>134</v>
      </c>
      <c r="O4575" t="str">
        <f>"DIARIA DE MOTOBOY"</f>
        <v>DIARIA DE MOTOBOY</v>
      </c>
      <c r="P4575">
        <v>180</v>
      </c>
      <c r="S4575" t="str">
        <f>"BANCO CORA (102)"</f>
        <v>BANCO CORA (102)</v>
      </c>
      <c r="T4575">
        <v>19179</v>
      </c>
      <c r="U4575">
        <v>22957</v>
      </c>
      <c r="V4575" t="s">
        <v>22</v>
      </c>
    </row>
    <row r="4576" spans="1:22">
      <c r="A4576" t="str">
        <f t="shared" si="862"/>
        <v>07/10/2025</v>
      </c>
      <c r="B4576" t="str">
        <f t="shared" si="866"/>
        <v>SAÍDA</v>
      </c>
      <c r="C4576" t="str">
        <f t="shared" si="867"/>
        <v>PIX</v>
      </c>
      <c r="D4576" t="str">
        <f>"22957"</f>
        <v>22957</v>
      </c>
      <c r="E4576" t="str">
        <f t="shared" si="863"/>
        <v>1</v>
      </c>
      <c r="F4576" t="str">
        <f t="shared" si="861"/>
        <v>COM</v>
      </c>
      <c r="G4576" t="str">
        <f>"JOSE ERIC SILVA MACENA (854)"</f>
        <v>JOSE ERIC SILVA MACENA (854)</v>
      </c>
      <c r="H4576" t="s">
        <v>1338</v>
      </c>
      <c r="I4576" t="str">
        <f t="shared" si="868"/>
        <v>07/10/2025</v>
      </c>
      <c r="J4576" t="str">
        <f t="shared" si="868"/>
        <v>07/10/2025</v>
      </c>
      <c r="K4576">
        <v>45937</v>
      </c>
      <c r="N4576">
        <v>134</v>
      </c>
      <c r="O4576" t="s">
        <v>41</v>
      </c>
      <c r="Q4576">
        <v>180</v>
      </c>
      <c r="R4576" t="str">
        <f>"FARMÁCIA INDIANA LJ 101 (10043)"</f>
        <v>FARMÁCIA INDIANA LJ 101 (10043)</v>
      </c>
      <c r="S4576" t="s">
        <v>22</v>
      </c>
      <c r="T4576">
        <v>19179</v>
      </c>
      <c r="U4576">
        <v>22957</v>
      </c>
      <c r="V4576" t="s">
        <v>22</v>
      </c>
    </row>
    <row r="4577" spans="1:22">
      <c r="A4577" t="str">
        <f t="shared" si="862"/>
        <v>07/10/2025</v>
      </c>
      <c r="B4577" t="str">
        <f t="shared" si="866"/>
        <v>SAÍDA</v>
      </c>
      <c r="C4577" t="str">
        <f t="shared" si="867"/>
        <v>PIX</v>
      </c>
      <c r="D4577" t="str">
        <f>"22961"</f>
        <v>22961</v>
      </c>
      <c r="E4577" t="str">
        <f t="shared" si="863"/>
        <v>1</v>
      </c>
      <c r="F4577" t="str">
        <f t="shared" si="861"/>
        <v>COM</v>
      </c>
      <c r="G4577" t="str">
        <f>"JUSSARA CRISTINA FARIA (783)"</f>
        <v>JUSSARA CRISTINA FARIA (783)</v>
      </c>
      <c r="H4577" t="str">
        <f>"Serv.Prest. 26/09/2025 a 05/10/2025 - PIX: CELULAR - CHAVE: (31) 99373-5678"</f>
        <v>Serv.Prest. 26/09/2025 a 05/10/2025 - PIX: CELULAR - CHAVE: (31) 99373-5678</v>
      </c>
      <c r="I4577" t="str">
        <f t="shared" si="868"/>
        <v>07/10/2025</v>
      </c>
      <c r="J4577" t="str">
        <f t="shared" si="868"/>
        <v>07/10/2025</v>
      </c>
      <c r="K4577" t="str">
        <f>("07/10/2025")</f>
        <v>07/10/2025</v>
      </c>
      <c r="L4577">
        <v>600</v>
      </c>
      <c r="M4577">
        <v>600</v>
      </c>
      <c r="N4577">
        <v>134</v>
      </c>
      <c r="O4577" t="str">
        <f>"DIARIA DE MOTOBOY"</f>
        <v>DIARIA DE MOTOBOY</v>
      </c>
      <c r="P4577">
        <v>600</v>
      </c>
      <c r="S4577" t="str">
        <f>"BANCO CORA (102)"</f>
        <v>BANCO CORA (102)</v>
      </c>
      <c r="T4577">
        <v>19180</v>
      </c>
      <c r="U4577">
        <v>22961</v>
      </c>
      <c r="V4577" t="s">
        <v>22</v>
      </c>
    </row>
    <row r="4578" spans="1:22">
      <c r="A4578" t="str">
        <f t="shared" si="862"/>
        <v>07/10/2025</v>
      </c>
      <c r="B4578" t="str">
        <f t="shared" si="866"/>
        <v>SAÍDA</v>
      </c>
      <c r="C4578" t="str">
        <f t="shared" si="867"/>
        <v>PIX</v>
      </c>
      <c r="D4578" t="str">
        <f>"22961"</f>
        <v>22961</v>
      </c>
      <c r="E4578" t="str">
        <f t="shared" si="863"/>
        <v>1</v>
      </c>
      <c r="F4578" t="str">
        <f t="shared" si="861"/>
        <v>COM</v>
      </c>
      <c r="G4578" t="str">
        <f>"JUSSARA CRISTINA FARIA (783)"</f>
        <v>JUSSARA CRISTINA FARIA (783)</v>
      </c>
      <c r="H4578" t="s">
        <v>1339</v>
      </c>
      <c r="I4578" t="str">
        <f t="shared" si="868"/>
        <v>07/10/2025</v>
      </c>
      <c r="J4578" t="str">
        <f t="shared" si="868"/>
        <v>07/10/2025</v>
      </c>
      <c r="K4578">
        <v>45937</v>
      </c>
      <c r="N4578">
        <v>134</v>
      </c>
      <c r="O4578" t="s">
        <v>41</v>
      </c>
      <c r="Q4578">
        <v>600</v>
      </c>
      <c r="R4578" t="str">
        <f>"FARMÁCIA INDIANA LJ 110 (10048)"</f>
        <v>FARMÁCIA INDIANA LJ 110 (10048)</v>
      </c>
      <c r="S4578" t="s">
        <v>22</v>
      </c>
      <c r="T4578">
        <v>19180</v>
      </c>
      <c r="U4578">
        <v>22961</v>
      </c>
      <c r="V4578" t="s">
        <v>22</v>
      </c>
    </row>
    <row r="4579" spans="1:22">
      <c r="A4579" t="str">
        <f t="shared" si="862"/>
        <v>07/10/2025</v>
      </c>
      <c r="B4579" t="str">
        <f t="shared" si="866"/>
        <v>SAÍDA</v>
      </c>
      <c r="C4579" t="str">
        <f t="shared" si="867"/>
        <v>PIX</v>
      </c>
      <c r="D4579" t="str">
        <f>"22964"</f>
        <v>22964</v>
      </c>
      <c r="E4579" t="str">
        <f t="shared" si="863"/>
        <v>1</v>
      </c>
      <c r="F4579" t="str">
        <f t="shared" si="861"/>
        <v>COM</v>
      </c>
      <c r="G4579" t="str">
        <f>"LAUAN ROCHA DE MELO (914)"</f>
        <v>LAUAN ROCHA DE MELO (914)</v>
      </c>
      <c r="H4579" t="str">
        <f>"Serv.Prest. 26/09/2025 a 05/10/2025 - PIX: CELULAR - CHAVE: (32) 99913-0476"</f>
        <v>Serv.Prest. 26/09/2025 a 05/10/2025 - PIX: CELULAR - CHAVE: (32) 99913-0476</v>
      </c>
      <c r="I4579" t="str">
        <f t="shared" si="868"/>
        <v>07/10/2025</v>
      </c>
      <c r="J4579" t="str">
        <f t="shared" si="868"/>
        <v>07/10/2025</v>
      </c>
      <c r="K4579" t="str">
        <f>("07/10/2025")</f>
        <v>07/10/2025</v>
      </c>
      <c r="L4579">
        <v>120</v>
      </c>
      <c r="M4579">
        <v>120</v>
      </c>
      <c r="N4579">
        <v>134</v>
      </c>
      <c r="O4579" t="str">
        <f>"DIARIA DE MOTOBOY"</f>
        <v>DIARIA DE MOTOBOY</v>
      </c>
      <c r="P4579">
        <v>120</v>
      </c>
      <c r="S4579" t="str">
        <f>"BANCO CORA (102)"</f>
        <v>BANCO CORA (102)</v>
      </c>
      <c r="T4579">
        <v>19181</v>
      </c>
      <c r="U4579">
        <v>22964</v>
      </c>
      <c r="V4579" t="s">
        <v>22</v>
      </c>
    </row>
    <row r="4580" spans="1:22">
      <c r="A4580" t="str">
        <f t="shared" si="862"/>
        <v>07/10/2025</v>
      </c>
      <c r="B4580" t="str">
        <f t="shared" si="866"/>
        <v>SAÍDA</v>
      </c>
      <c r="C4580" t="str">
        <f t="shared" si="867"/>
        <v>PIX</v>
      </c>
      <c r="D4580" t="str">
        <f>"22964"</f>
        <v>22964</v>
      </c>
      <c r="E4580" t="str">
        <f t="shared" si="863"/>
        <v>1</v>
      </c>
      <c r="F4580" t="str">
        <f t="shared" si="861"/>
        <v>COM</v>
      </c>
      <c r="G4580" t="str">
        <f>"LAUAN ROCHA DE MELO (914)"</f>
        <v>LAUAN ROCHA DE MELO (914)</v>
      </c>
      <c r="H4580" t="s">
        <v>1340</v>
      </c>
      <c r="I4580" t="str">
        <f t="shared" si="868"/>
        <v>07/10/2025</v>
      </c>
      <c r="J4580" t="str">
        <f t="shared" si="868"/>
        <v>07/10/2025</v>
      </c>
      <c r="K4580">
        <v>45937</v>
      </c>
      <c r="N4580">
        <v>134</v>
      </c>
      <c r="O4580" t="s">
        <v>41</v>
      </c>
      <c r="Q4580">
        <v>120</v>
      </c>
      <c r="R4580" t="str">
        <f>"FARMÁCIA INDIANA LJ 109 (10047)"</f>
        <v>FARMÁCIA INDIANA LJ 109 (10047)</v>
      </c>
      <c r="S4580" t="s">
        <v>22</v>
      </c>
      <c r="T4580">
        <v>19181</v>
      </c>
      <c r="U4580">
        <v>22964</v>
      </c>
      <c r="V4580" t="s">
        <v>22</v>
      </c>
    </row>
    <row r="4581" spans="1:22">
      <c r="A4581" t="str">
        <f t="shared" si="862"/>
        <v>07/10/2025</v>
      </c>
      <c r="B4581" t="str">
        <f t="shared" si="866"/>
        <v>SAÍDA</v>
      </c>
      <c r="C4581" t="str">
        <f t="shared" si="867"/>
        <v>PIX</v>
      </c>
      <c r="D4581" t="str">
        <f>"23040"</f>
        <v>23040</v>
      </c>
      <c r="E4581" t="str">
        <f t="shared" si="863"/>
        <v>1</v>
      </c>
      <c r="F4581" t="str">
        <f t="shared" si="861"/>
        <v>COM</v>
      </c>
      <c r="G4581" t="str">
        <f>"LUAN DOS REIS SILVA (954)"</f>
        <v>LUAN DOS REIS SILVA (954)</v>
      </c>
      <c r="H4581" t="str">
        <f>"Serv.Prest. 29/09/2025 a 05/10/2025 - PIX: CELULAR - CHAVE: (11) 95906-5439"</f>
        <v>Serv.Prest. 29/09/2025 a 05/10/2025 - PIX: CELULAR - CHAVE: (11) 95906-5439</v>
      </c>
      <c r="I4581" t="str">
        <f t="shared" si="868"/>
        <v>07/10/2025</v>
      </c>
      <c r="J4581" t="str">
        <f t="shared" si="868"/>
        <v>07/10/2025</v>
      </c>
      <c r="K4581" t="str">
        <f>("07/10/2025")</f>
        <v>07/10/2025</v>
      </c>
      <c r="L4581">
        <v>170</v>
      </c>
      <c r="M4581">
        <v>170</v>
      </c>
      <c r="N4581">
        <v>109</v>
      </c>
      <c r="O4581" t="str">
        <f>"PAGAMENTO DE ENTREGADORES"</f>
        <v>PAGAMENTO DE ENTREGADORES</v>
      </c>
      <c r="P4581">
        <v>170</v>
      </c>
      <c r="S4581" t="str">
        <f>"BANCO CORA (102)"</f>
        <v>BANCO CORA (102)</v>
      </c>
      <c r="T4581">
        <v>19182</v>
      </c>
      <c r="U4581">
        <v>23063</v>
      </c>
      <c r="V4581" t="s">
        <v>22</v>
      </c>
    </row>
    <row r="4582" spans="1:22">
      <c r="A4582" t="str">
        <f t="shared" si="862"/>
        <v>07/10/2025</v>
      </c>
      <c r="B4582" t="str">
        <f t="shared" si="866"/>
        <v>SAÍDA</v>
      </c>
      <c r="C4582" t="str">
        <f t="shared" si="867"/>
        <v>PIX</v>
      </c>
      <c r="D4582" t="str">
        <f>"23040"</f>
        <v>23040</v>
      </c>
      <c r="E4582" t="str">
        <f t="shared" si="863"/>
        <v>1</v>
      </c>
      <c r="F4582" t="str">
        <f t="shared" si="861"/>
        <v>COM</v>
      </c>
      <c r="G4582" t="str">
        <f>"LUAN DOS REIS SILVA (954)"</f>
        <v>LUAN DOS REIS SILVA (954)</v>
      </c>
      <c r="H4582" t="s">
        <v>1341</v>
      </c>
      <c r="I4582" t="str">
        <f t="shared" si="868"/>
        <v>07/10/2025</v>
      </c>
      <c r="J4582" t="str">
        <f t="shared" si="868"/>
        <v>07/10/2025</v>
      </c>
      <c r="K4582">
        <v>45937</v>
      </c>
      <c r="N4582">
        <v>109</v>
      </c>
      <c r="O4582" t="s">
        <v>24</v>
      </c>
      <c r="Q4582">
        <v>32.21</v>
      </c>
      <c r="R4582" t="str">
        <f>"PENSE FARMA 05 (10200)"</f>
        <v>PENSE FARMA 05 (10200)</v>
      </c>
      <c r="S4582" t="s">
        <v>22</v>
      </c>
      <c r="T4582">
        <v>19182</v>
      </c>
      <c r="U4582">
        <v>23063</v>
      </c>
      <c r="V4582" t="s">
        <v>22</v>
      </c>
    </row>
    <row r="4583" spans="1:22">
      <c r="A4583" t="str">
        <f t="shared" si="862"/>
        <v>07/10/2025</v>
      </c>
      <c r="B4583" t="str">
        <f t="shared" si="866"/>
        <v>SAÍDA</v>
      </c>
      <c r="C4583" t="str">
        <f t="shared" si="867"/>
        <v>PIX</v>
      </c>
      <c r="D4583" t="str">
        <f>"23040"</f>
        <v>23040</v>
      </c>
      <c r="E4583" t="str">
        <f t="shared" si="863"/>
        <v>1</v>
      </c>
      <c r="F4583" t="str">
        <f t="shared" si="861"/>
        <v>COM</v>
      </c>
      <c r="G4583" t="str">
        <f>"LUAN DOS REIS SILVA (954)"</f>
        <v>LUAN DOS REIS SILVA (954)</v>
      </c>
      <c r="H4583" t="s">
        <v>1341</v>
      </c>
      <c r="I4583" t="str">
        <f t="shared" si="868"/>
        <v>07/10/2025</v>
      </c>
      <c r="J4583" t="str">
        <f t="shared" si="868"/>
        <v>07/10/2025</v>
      </c>
      <c r="K4583">
        <v>45937</v>
      </c>
      <c r="N4583">
        <v>109</v>
      </c>
      <c r="O4583" t="s">
        <v>24</v>
      </c>
      <c r="Q4583">
        <v>26.76</v>
      </c>
      <c r="R4583" t="str">
        <f>"PENSE FARMA 13 (10202)"</f>
        <v>PENSE FARMA 13 (10202)</v>
      </c>
      <c r="S4583" t="s">
        <v>22</v>
      </c>
      <c r="T4583">
        <v>19182</v>
      </c>
      <c r="U4583">
        <v>23063</v>
      </c>
      <c r="V4583" t="s">
        <v>22</v>
      </c>
    </row>
    <row r="4584" spans="1:22">
      <c r="A4584" t="str">
        <f t="shared" si="862"/>
        <v>07/10/2025</v>
      </c>
      <c r="B4584" t="str">
        <f t="shared" si="866"/>
        <v>SAÍDA</v>
      </c>
      <c r="C4584" t="str">
        <f t="shared" si="867"/>
        <v>PIX</v>
      </c>
      <c r="D4584" t="str">
        <f>"23040"</f>
        <v>23040</v>
      </c>
      <c r="E4584" t="str">
        <f t="shared" si="863"/>
        <v>1</v>
      </c>
      <c r="F4584" t="str">
        <f t="shared" si="861"/>
        <v>COM</v>
      </c>
      <c r="G4584" t="str">
        <f>"LUAN DOS REIS SILVA (954)"</f>
        <v>LUAN DOS REIS SILVA (954)</v>
      </c>
      <c r="H4584" t="s">
        <v>1341</v>
      </c>
      <c r="I4584" t="str">
        <f t="shared" si="868"/>
        <v>07/10/2025</v>
      </c>
      <c r="J4584" t="str">
        <f t="shared" si="868"/>
        <v>07/10/2025</v>
      </c>
      <c r="K4584">
        <v>45937</v>
      </c>
      <c r="N4584">
        <v>109</v>
      </c>
      <c r="O4584" t="s">
        <v>24</v>
      </c>
      <c r="Q4584">
        <v>111.03</v>
      </c>
      <c r="R4584" t="str">
        <f>"PENSE FARMA 27 (10204)"</f>
        <v>PENSE FARMA 27 (10204)</v>
      </c>
      <c r="S4584" t="s">
        <v>22</v>
      </c>
      <c r="T4584">
        <v>19182</v>
      </c>
      <c r="U4584">
        <v>23063</v>
      </c>
      <c r="V4584" t="s">
        <v>22</v>
      </c>
    </row>
    <row r="4585" spans="1:22">
      <c r="A4585" t="str">
        <f t="shared" si="862"/>
        <v>07/10/2025</v>
      </c>
      <c r="B4585" t="str">
        <f t="shared" si="866"/>
        <v>SAÍDA</v>
      </c>
      <c r="C4585" t="str">
        <f t="shared" si="867"/>
        <v>PIX</v>
      </c>
      <c r="D4585" t="str">
        <f>"23043"</f>
        <v>23043</v>
      </c>
      <c r="E4585" t="str">
        <f t="shared" si="863"/>
        <v>1</v>
      </c>
      <c r="F4585" t="str">
        <f t="shared" si="861"/>
        <v>COM</v>
      </c>
      <c r="G4585" t="str">
        <f>"LUCAS MANOEL DA SILVA (978)"</f>
        <v>LUCAS MANOEL DA SILVA (978)</v>
      </c>
      <c r="H4585" t="str">
        <f>"Serv.Prest. 29/09/2025 a 05/10/2025 - PIX: CELULAR - CHAVE: (11) 94212-6784"</f>
        <v>Serv.Prest. 29/09/2025 a 05/10/2025 - PIX: CELULAR - CHAVE: (11) 94212-6784</v>
      </c>
      <c r="I4585" t="str">
        <f t="shared" si="868"/>
        <v>07/10/2025</v>
      </c>
      <c r="J4585" t="str">
        <f t="shared" si="868"/>
        <v>07/10/2025</v>
      </c>
      <c r="K4585" t="str">
        <f>("07/10/2025")</f>
        <v>07/10/2025</v>
      </c>
      <c r="L4585">
        <v>170</v>
      </c>
      <c r="M4585">
        <v>170</v>
      </c>
      <c r="N4585">
        <v>109</v>
      </c>
      <c r="O4585" t="str">
        <f>"PAGAMENTO DE ENTREGADORES"</f>
        <v>PAGAMENTO DE ENTREGADORES</v>
      </c>
      <c r="P4585">
        <v>170</v>
      </c>
      <c r="S4585" t="str">
        <f>"BANCO CORA (102)"</f>
        <v>BANCO CORA (102)</v>
      </c>
      <c r="T4585">
        <v>19183</v>
      </c>
      <c r="U4585">
        <v>23069</v>
      </c>
      <c r="V4585" t="s">
        <v>22</v>
      </c>
    </row>
    <row r="4586" spans="1:22">
      <c r="A4586" t="str">
        <f t="shared" si="862"/>
        <v>07/10/2025</v>
      </c>
      <c r="B4586" t="str">
        <f t="shared" si="866"/>
        <v>SAÍDA</v>
      </c>
      <c r="C4586" t="str">
        <f t="shared" si="867"/>
        <v>PIX</v>
      </c>
      <c r="D4586" t="str">
        <f>"23043"</f>
        <v>23043</v>
      </c>
      <c r="E4586" t="str">
        <f t="shared" si="863"/>
        <v>1</v>
      </c>
      <c r="F4586" t="str">
        <f t="shared" si="861"/>
        <v>COM</v>
      </c>
      <c r="G4586" t="str">
        <f>"LUCAS MANOEL DA SILVA (978)"</f>
        <v>LUCAS MANOEL DA SILVA (978)</v>
      </c>
      <c r="H4586" t="s">
        <v>1342</v>
      </c>
      <c r="I4586" t="str">
        <f t="shared" si="868"/>
        <v>07/10/2025</v>
      </c>
      <c r="J4586" t="str">
        <f t="shared" si="868"/>
        <v>07/10/2025</v>
      </c>
      <c r="K4586">
        <v>45937</v>
      </c>
      <c r="N4586">
        <v>109</v>
      </c>
      <c r="O4586" t="s">
        <v>24</v>
      </c>
      <c r="Q4586">
        <v>76.28</v>
      </c>
      <c r="R4586" t="str">
        <f>"PENSE FARMA 07 (10201)"</f>
        <v>PENSE FARMA 07 (10201)</v>
      </c>
      <c r="S4586" t="s">
        <v>22</v>
      </c>
      <c r="T4586">
        <v>19183</v>
      </c>
      <c r="U4586">
        <v>23069</v>
      </c>
      <c r="V4586" t="s">
        <v>22</v>
      </c>
    </row>
    <row r="4587" spans="1:22">
      <c r="A4587" t="str">
        <f t="shared" si="862"/>
        <v>07/10/2025</v>
      </c>
      <c r="B4587" t="str">
        <f t="shared" si="866"/>
        <v>SAÍDA</v>
      </c>
      <c r="C4587" t="str">
        <f t="shared" si="867"/>
        <v>PIX</v>
      </c>
      <c r="D4587" t="str">
        <f>"23043"</f>
        <v>23043</v>
      </c>
      <c r="E4587" t="str">
        <f t="shared" si="863"/>
        <v>1</v>
      </c>
      <c r="F4587" t="str">
        <f t="shared" si="861"/>
        <v>COM</v>
      </c>
      <c r="G4587" t="str">
        <f>"LUCAS MANOEL DA SILVA (978)"</f>
        <v>LUCAS MANOEL DA SILVA (978)</v>
      </c>
      <c r="H4587" t="s">
        <v>1342</v>
      </c>
      <c r="I4587" t="str">
        <f t="shared" si="868"/>
        <v>07/10/2025</v>
      </c>
      <c r="J4587" t="str">
        <f t="shared" si="868"/>
        <v>07/10/2025</v>
      </c>
      <c r="K4587">
        <v>45937</v>
      </c>
      <c r="N4587">
        <v>109</v>
      </c>
      <c r="O4587" t="s">
        <v>24</v>
      </c>
      <c r="Q4587">
        <v>52.31</v>
      </c>
      <c r="R4587" t="str">
        <f>"PENSE FARMA 45 (10209)"</f>
        <v>PENSE FARMA 45 (10209)</v>
      </c>
      <c r="S4587" t="s">
        <v>22</v>
      </c>
      <c r="T4587">
        <v>19183</v>
      </c>
      <c r="U4587">
        <v>23069</v>
      </c>
      <c r="V4587" t="s">
        <v>22</v>
      </c>
    </row>
    <row r="4588" spans="1:22">
      <c r="A4588" t="str">
        <f t="shared" si="862"/>
        <v>07/10/2025</v>
      </c>
      <c r="B4588" t="str">
        <f t="shared" si="866"/>
        <v>SAÍDA</v>
      </c>
      <c r="C4588" t="str">
        <f t="shared" si="867"/>
        <v>PIX</v>
      </c>
      <c r="D4588" t="str">
        <f>"23043"</f>
        <v>23043</v>
      </c>
      <c r="E4588" t="str">
        <f t="shared" si="863"/>
        <v>1</v>
      </c>
      <c r="F4588" t="str">
        <f t="shared" si="861"/>
        <v>COM</v>
      </c>
      <c r="G4588" t="str">
        <f>"LUCAS MANOEL DA SILVA (978)"</f>
        <v>LUCAS MANOEL DA SILVA (978)</v>
      </c>
      <c r="H4588" t="s">
        <v>1342</v>
      </c>
      <c r="I4588" t="str">
        <f t="shared" si="868"/>
        <v>07/10/2025</v>
      </c>
      <c r="J4588" t="str">
        <f t="shared" si="868"/>
        <v>07/10/2025</v>
      </c>
      <c r="K4588">
        <v>45937</v>
      </c>
      <c r="N4588">
        <v>109</v>
      </c>
      <c r="O4588" t="s">
        <v>24</v>
      </c>
      <c r="Q4588">
        <v>41.41</v>
      </c>
      <c r="R4588" t="str">
        <f>"PENSE FARMA 50 (10210)"</f>
        <v>PENSE FARMA 50 (10210)</v>
      </c>
      <c r="S4588" t="s">
        <v>22</v>
      </c>
      <c r="T4588">
        <v>19183</v>
      </c>
      <c r="U4588">
        <v>23069</v>
      </c>
      <c r="V4588" t="s">
        <v>22</v>
      </c>
    </row>
    <row r="4589" spans="1:22">
      <c r="A4589" t="str">
        <f t="shared" si="862"/>
        <v>07/10/2025</v>
      </c>
      <c r="B4589" t="str">
        <f t="shared" si="866"/>
        <v>SAÍDA</v>
      </c>
      <c r="C4589" t="str">
        <f t="shared" si="867"/>
        <v>PIX</v>
      </c>
      <c r="D4589" t="str">
        <f>"22838"</f>
        <v>22838</v>
      </c>
      <c r="E4589" t="str">
        <f t="shared" si="863"/>
        <v>1</v>
      </c>
      <c r="F4589" t="str">
        <f t="shared" si="861"/>
        <v>COM</v>
      </c>
      <c r="G4589" t="str">
        <f>"WILLIAM FERREIRA DE OLIVEIRA (900)"</f>
        <v>WILLIAM FERREIRA DE OLIVEIRA (900)</v>
      </c>
      <c r="H4589" t="str">
        <f>"Serv.Prest. 29/09/2025 a 05/10/2025 - PIX: CPF - CHAVE: 106.393.056-10"</f>
        <v>Serv.Prest. 29/09/2025 a 05/10/2025 - PIX: CPF - CHAVE: 106.393.056-10</v>
      </c>
      <c r="I4589" t="str">
        <f t="shared" ref="I4589:I4594" si="869">("07/10/2025")</f>
        <v>07/10/2025</v>
      </c>
      <c r="J4589" t="str">
        <f>("06/10/2025")</f>
        <v>06/10/2025</v>
      </c>
      <c r="K4589" t="str">
        <f>("07/10/2025")</f>
        <v>07/10/2025</v>
      </c>
      <c r="L4589">
        <v>144</v>
      </c>
      <c r="M4589">
        <v>140</v>
      </c>
      <c r="N4589">
        <v>134</v>
      </c>
      <c r="O4589" t="str">
        <f>"DIARIA DE MOTOBOY"</f>
        <v>DIARIA DE MOTOBOY</v>
      </c>
      <c r="P4589">
        <v>140</v>
      </c>
      <c r="S4589" t="str">
        <f>"BANCO CORA (102)"</f>
        <v>BANCO CORA (102)</v>
      </c>
      <c r="T4589">
        <v>19184</v>
      </c>
      <c r="U4589">
        <v>22838</v>
      </c>
      <c r="V4589" t="s">
        <v>22</v>
      </c>
    </row>
    <row r="4590" spans="1:22">
      <c r="A4590" t="str">
        <f t="shared" si="862"/>
        <v>07/10/2025</v>
      </c>
      <c r="B4590" t="str">
        <f t="shared" si="866"/>
        <v>SAÍDA</v>
      </c>
      <c r="C4590" t="str">
        <f t="shared" si="867"/>
        <v>PIX</v>
      </c>
      <c r="D4590" t="str">
        <f>"22838"</f>
        <v>22838</v>
      </c>
      <c r="E4590" t="str">
        <f t="shared" si="863"/>
        <v>1</v>
      </c>
      <c r="F4590" t="str">
        <f t="shared" si="861"/>
        <v>COM</v>
      </c>
      <c r="G4590" t="str">
        <f>"WILLIAM FERREIRA DE OLIVEIRA (900)"</f>
        <v>WILLIAM FERREIRA DE OLIVEIRA (900)</v>
      </c>
      <c r="H4590" t="s">
        <v>1343</v>
      </c>
      <c r="I4590" t="str">
        <f t="shared" si="869"/>
        <v>07/10/2025</v>
      </c>
      <c r="J4590" t="str">
        <f>("06/10/2025")</f>
        <v>06/10/2025</v>
      </c>
      <c r="K4590">
        <v>45937</v>
      </c>
      <c r="N4590">
        <v>134</v>
      </c>
      <c r="O4590" t="s">
        <v>41</v>
      </c>
      <c r="Q4590">
        <v>140</v>
      </c>
      <c r="R4590" t="str">
        <f>"PAGMENOS - LJ 657 (10136)"</f>
        <v>PAGMENOS - LJ 657 (10136)</v>
      </c>
      <c r="S4590" t="s">
        <v>22</v>
      </c>
      <c r="T4590">
        <v>19184</v>
      </c>
      <c r="U4590">
        <v>22838</v>
      </c>
      <c r="V4590" t="s">
        <v>22</v>
      </c>
    </row>
    <row r="4591" spans="1:22">
      <c r="A4591" t="str">
        <f t="shared" si="862"/>
        <v>07/10/2025</v>
      </c>
      <c r="B4591" t="str">
        <f t="shared" si="866"/>
        <v>SAÍDA</v>
      </c>
      <c r="C4591" t="str">
        <f t="shared" si="867"/>
        <v>PIX</v>
      </c>
      <c r="D4591" t="str">
        <f>"22894"</f>
        <v>22894</v>
      </c>
      <c r="E4591" t="str">
        <f t="shared" si="863"/>
        <v>1</v>
      </c>
      <c r="F4591" t="str">
        <f t="shared" si="861"/>
        <v>COM</v>
      </c>
      <c r="G4591" t="str">
        <f>"GILSON OLIVEIRA CAMPINHO JUNIOR (132)"</f>
        <v>GILSON OLIVEIRA CAMPINHO JUNIOR (132)</v>
      </c>
      <c r="H4591" t="str">
        <f>"Serv.Prest. 26/09/2025 a 05/10/2025 - PIX: CELULAR - CHAVE: (73) 988381077"</f>
        <v>Serv.Prest. 26/09/2025 a 05/10/2025 - PIX: CELULAR - CHAVE: (73) 988381077</v>
      </c>
      <c r="I4591" t="str">
        <f t="shared" si="869"/>
        <v>07/10/2025</v>
      </c>
      <c r="J4591" t="str">
        <f>("07/10/2025")</f>
        <v>07/10/2025</v>
      </c>
      <c r="K4591" t="str">
        <f>("07/10/2025")</f>
        <v>07/10/2025</v>
      </c>
      <c r="L4591">
        <v>624</v>
      </c>
      <c r="M4591">
        <v>624</v>
      </c>
      <c r="N4591">
        <v>109</v>
      </c>
      <c r="O4591" t="str">
        <f>"PAGAMENTO DE ENTREGADORES"</f>
        <v>PAGAMENTO DE ENTREGADORES</v>
      </c>
      <c r="P4591">
        <v>624</v>
      </c>
      <c r="S4591" t="str">
        <f>"BANCO CORA (102)"</f>
        <v>BANCO CORA (102)</v>
      </c>
      <c r="T4591">
        <v>19185</v>
      </c>
      <c r="U4591">
        <v>23033</v>
      </c>
      <c r="V4591" t="s">
        <v>22</v>
      </c>
    </row>
    <row r="4592" spans="1:22">
      <c r="A4592" t="str">
        <f t="shared" si="862"/>
        <v>07/10/2025</v>
      </c>
      <c r="B4592" t="str">
        <f t="shared" si="866"/>
        <v>SAÍDA</v>
      </c>
      <c r="C4592" t="str">
        <f t="shared" si="867"/>
        <v>PIX</v>
      </c>
      <c r="D4592" t="str">
        <f>"22894"</f>
        <v>22894</v>
      </c>
      <c r="E4592" t="str">
        <f t="shared" si="863"/>
        <v>1</v>
      </c>
      <c r="F4592" t="str">
        <f t="shared" ref="F4592:F4618" si="870">"COM"</f>
        <v>COM</v>
      </c>
      <c r="G4592" t="str">
        <f>"GILSON OLIVEIRA CAMPINHO JUNIOR (132)"</f>
        <v>GILSON OLIVEIRA CAMPINHO JUNIOR (132)</v>
      </c>
      <c r="H4592" t="s">
        <v>1344</v>
      </c>
      <c r="I4592" t="str">
        <f t="shared" si="869"/>
        <v>07/10/2025</v>
      </c>
      <c r="J4592" t="str">
        <f>("07/10/2025")</f>
        <v>07/10/2025</v>
      </c>
      <c r="K4592">
        <v>45937</v>
      </c>
      <c r="N4592">
        <v>109</v>
      </c>
      <c r="O4592" t="s">
        <v>24</v>
      </c>
      <c r="Q4592">
        <v>624</v>
      </c>
      <c r="R4592" t="str">
        <f>"FARMÁCIA INDIANA LJ 91 (10037)"</f>
        <v>FARMÁCIA INDIANA LJ 91 (10037)</v>
      </c>
      <c r="S4592" t="s">
        <v>22</v>
      </c>
      <c r="T4592">
        <v>19185</v>
      </c>
      <c r="U4592">
        <v>23033</v>
      </c>
      <c r="V4592" t="s">
        <v>22</v>
      </c>
    </row>
    <row r="4593" spans="1:22">
      <c r="A4593" t="str">
        <f t="shared" si="862"/>
        <v>07/10/2025</v>
      </c>
      <c r="B4593" t="str">
        <f t="shared" si="866"/>
        <v>SAÍDA</v>
      </c>
      <c r="C4593" t="str">
        <f t="shared" si="867"/>
        <v>PIX</v>
      </c>
      <c r="D4593" t="str">
        <f>"23027"</f>
        <v>23027</v>
      </c>
      <c r="E4593" t="str">
        <f t="shared" si="863"/>
        <v>1</v>
      </c>
      <c r="F4593" t="str">
        <f t="shared" si="870"/>
        <v>COM</v>
      </c>
      <c r="G4593" t="str">
        <f>"VANDERLEI PEREIRA CARVALHO (929)"</f>
        <v>VANDERLEI PEREIRA CARVALHO (929)</v>
      </c>
      <c r="H4593" t="str">
        <f>"Serv.Prest. 26/09/2025 a 05/10/2025 - PIX: CELULAR - CHAVE: (27) 99650-9691"</f>
        <v>Serv.Prest. 26/09/2025 a 05/10/2025 - PIX: CELULAR - CHAVE: (27) 99650-9691</v>
      </c>
      <c r="I4593" t="str">
        <f t="shared" si="869"/>
        <v>07/10/2025</v>
      </c>
      <c r="J4593" t="str">
        <f>("07/10/2025")</f>
        <v>07/10/2025</v>
      </c>
      <c r="K4593" t="str">
        <f>("07/10/2025")</f>
        <v>07/10/2025</v>
      </c>
      <c r="L4593">
        <v>600</v>
      </c>
      <c r="M4593">
        <v>600</v>
      </c>
      <c r="N4593">
        <v>134</v>
      </c>
      <c r="O4593" t="str">
        <f>"DIARIA DE MOTOBOY"</f>
        <v>DIARIA DE MOTOBOY</v>
      </c>
      <c r="P4593">
        <v>600</v>
      </c>
      <c r="S4593" t="str">
        <f>"BANCO CORA (102)"</f>
        <v>BANCO CORA (102)</v>
      </c>
      <c r="T4593">
        <v>19187</v>
      </c>
      <c r="U4593">
        <v>23027</v>
      </c>
      <c r="V4593" t="s">
        <v>22</v>
      </c>
    </row>
    <row r="4594" spans="1:22">
      <c r="A4594" t="str">
        <f t="shared" ref="A4594:A4622" si="871">("07/10/2025")</f>
        <v>07/10/2025</v>
      </c>
      <c r="B4594" t="str">
        <f t="shared" si="866"/>
        <v>SAÍDA</v>
      </c>
      <c r="C4594" t="str">
        <f t="shared" si="867"/>
        <v>PIX</v>
      </c>
      <c r="D4594" t="str">
        <f>"23027"</f>
        <v>23027</v>
      </c>
      <c r="E4594" t="str">
        <f t="shared" si="863"/>
        <v>1</v>
      </c>
      <c r="F4594" t="str">
        <f t="shared" si="870"/>
        <v>COM</v>
      </c>
      <c r="G4594" t="str">
        <f>"VANDERLEI PEREIRA CARVALHO (929)"</f>
        <v>VANDERLEI PEREIRA CARVALHO (929)</v>
      </c>
      <c r="H4594" t="s">
        <v>1345</v>
      </c>
      <c r="I4594" t="str">
        <f t="shared" si="869"/>
        <v>07/10/2025</v>
      </c>
      <c r="J4594" t="str">
        <f>("07/10/2025")</f>
        <v>07/10/2025</v>
      </c>
      <c r="K4594">
        <v>45937</v>
      </c>
      <c r="N4594">
        <v>134</v>
      </c>
      <c r="O4594" t="s">
        <v>41</v>
      </c>
      <c r="Q4594">
        <v>600</v>
      </c>
      <c r="R4594" t="str">
        <f>"FARMÁCIA INDIANA LJ 119 (10053)"</f>
        <v>FARMÁCIA INDIANA LJ 119 (10053)</v>
      </c>
      <c r="S4594" t="s">
        <v>22</v>
      </c>
      <c r="T4594">
        <v>19187</v>
      </c>
      <c r="U4594">
        <v>23027</v>
      </c>
      <c r="V4594" t="s">
        <v>22</v>
      </c>
    </row>
    <row r="4595" spans="1:22">
      <c r="A4595" t="str">
        <f t="shared" si="871"/>
        <v>07/10/2025</v>
      </c>
      <c r="B4595" t="str">
        <f t="shared" si="866"/>
        <v>SAÍDA</v>
      </c>
      <c r="C4595" t="str">
        <f t="shared" si="867"/>
        <v>PIX</v>
      </c>
      <c r="D4595" t="str">
        <f>"0610"</f>
        <v>0610</v>
      </c>
      <c r="E4595" t="str">
        <f>"25"</f>
        <v>25</v>
      </c>
      <c r="F4595" t="str">
        <f t="shared" si="870"/>
        <v>COM</v>
      </c>
      <c r="G4595" t="str">
        <f>"ADRYAN NUNES MARTINS (857)"</f>
        <v>ADRYAN NUNES MARTINS (857)</v>
      </c>
      <c r="H4595" t="str">
        <f>"DEVOLUCAO 2 COTAS COOPERATIVA - PIX: CPF - CHAVE: 021.178.446-00"</f>
        <v>DEVOLUCAO 2 COTAS COOPERATIVA - PIX: CPF - CHAVE: 021.178.446-00</v>
      </c>
      <c r="I4595" t="str">
        <f t="shared" ref="I4595:J4600" si="872">("06/10/2025")</f>
        <v>06/10/2025</v>
      </c>
      <c r="J4595" t="str">
        <f t="shared" si="872"/>
        <v>06/10/2025</v>
      </c>
      <c r="K4595" t="str">
        <f>("07/10/2025")</f>
        <v>07/10/2025</v>
      </c>
      <c r="L4595">
        <v>40</v>
      </c>
      <c r="M4595">
        <v>40</v>
      </c>
      <c r="N4595">
        <v>130</v>
      </c>
      <c r="O4595" t="str">
        <f>"DEVOLUÇÃO COTA COOPERATIVA"</f>
        <v>DEVOLUÇÃO COTA COOPERATIVA</v>
      </c>
      <c r="P4595">
        <v>40</v>
      </c>
      <c r="S4595" t="str">
        <f>"BANCO CORA (102)"</f>
        <v>BANCO CORA (102)</v>
      </c>
      <c r="T4595">
        <v>19189</v>
      </c>
      <c r="U4595">
        <v>22802</v>
      </c>
      <c r="V4595" t="s">
        <v>22</v>
      </c>
    </row>
    <row r="4596" spans="1:22">
      <c r="A4596" t="str">
        <f t="shared" si="871"/>
        <v>07/10/2025</v>
      </c>
      <c r="B4596" t="str">
        <f t="shared" si="866"/>
        <v>SAÍDA</v>
      </c>
      <c r="C4596" t="str">
        <f t="shared" si="867"/>
        <v>PIX</v>
      </c>
      <c r="D4596" t="str">
        <f>"0610"</f>
        <v>0610</v>
      </c>
      <c r="E4596" t="str">
        <f>"25"</f>
        <v>25</v>
      </c>
      <c r="F4596" t="str">
        <f t="shared" si="870"/>
        <v>COM</v>
      </c>
      <c r="G4596" t="str">
        <f>"ADRYAN NUNES MARTINS (857)"</f>
        <v>ADRYAN NUNES MARTINS (857)</v>
      </c>
      <c r="H4596" t="s">
        <v>1346</v>
      </c>
      <c r="I4596" t="str">
        <f t="shared" si="872"/>
        <v>06/10/2025</v>
      </c>
      <c r="J4596" t="str">
        <f t="shared" si="872"/>
        <v>06/10/2025</v>
      </c>
      <c r="K4596">
        <v>45937</v>
      </c>
      <c r="N4596">
        <v>130</v>
      </c>
      <c r="O4596" t="s">
        <v>291</v>
      </c>
      <c r="Q4596">
        <v>40</v>
      </c>
      <c r="R4596" t="str">
        <f>"ADRYAN NUNES MARTINS (857)"</f>
        <v>ADRYAN NUNES MARTINS (857)</v>
      </c>
      <c r="S4596" t="s">
        <v>22</v>
      </c>
      <c r="T4596">
        <v>19189</v>
      </c>
      <c r="U4596">
        <v>22802</v>
      </c>
      <c r="V4596" t="s">
        <v>22</v>
      </c>
    </row>
    <row r="4597" spans="1:22">
      <c r="A4597" t="str">
        <f t="shared" si="871"/>
        <v>07/10/2025</v>
      </c>
      <c r="B4597" t="str">
        <f t="shared" si="866"/>
        <v>SAÍDA</v>
      </c>
      <c r="C4597" t="str">
        <f t="shared" si="867"/>
        <v>PIX</v>
      </c>
      <c r="D4597" t="str">
        <f>"0610252000"</f>
        <v>0610252000</v>
      </c>
      <c r="E4597" t="str">
        <f>""</f>
        <v/>
      </c>
      <c r="F4597" t="str">
        <f t="shared" si="870"/>
        <v>COM</v>
      </c>
      <c r="G4597" t="str">
        <f>"ANA JULIA REZENDE JUSTINO (20027)"</f>
        <v>ANA JULIA REZENDE JUSTINO (20027)</v>
      </c>
      <c r="H4597" t="str">
        <f>"PREMIO SOBRE VENDAS 09/2025"</f>
        <v>PREMIO SOBRE VENDAS 09/2025</v>
      </c>
      <c r="I4597" t="str">
        <f t="shared" si="872"/>
        <v>06/10/2025</v>
      </c>
      <c r="J4597" t="str">
        <f t="shared" si="872"/>
        <v>06/10/2025</v>
      </c>
      <c r="K4597" t="str">
        <f>("07/10/2025")</f>
        <v>07/10/2025</v>
      </c>
      <c r="L4597">
        <v>2000</v>
      </c>
      <c r="M4597">
        <v>2000</v>
      </c>
      <c r="N4597">
        <v>125</v>
      </c>
      <c r="O4597" t="str">
        <f>"COMISSÃO DE REPRESENTANTES"</f>
        <v>COMISSÃO DE REPRESENTANTES</v>
      </c>
      <c r="P4597">
        <v>2000</v>
      </c>
      <c r="S4597" t="str">
        <f>"BANCO CORA (102)"</f>
        <v>BANCO CORA (102)</v>
      </c>
      <c r="T4597">
        <v>19190</v>
      </c>
      <c r="U4597">
        <v>22803</v>
      </c>
      <c r="V4597" t="s">
        <v>22</v>
      </c>
    </row>
    <row r="4598" spans="1:22">
      <c r="A4598" t="str">
        <f t="shared" si="871"/>
        <v>07/10/2025</v>
      </c>
      <c r="B4598" t="str">
        <f t="shared" ref="B4598:B4619" si="873">"SAÍDA"</f>
        <v>SAÍDA</v>
      </c>
      <c r="C4598" t="str">
        <f t="shared" ref="C4598:C4618" si="874">"PIX"</f>
        <v>PIX</v>
      </c>
      <c r="D4598" t="str">
        <f>"0610252000"</f>
        <v>0610252000</v>
      </c>
      <c r="E4598" t="str">
        <f>""</f>
        <v/>
      </c>
      <c r="F4598" t="str">
        <f t="shared" si="870"/>
        <v>COM</v>
      </c>
      <c r="G4598" t="str">
        <f>"ANA JULIA REZENDE JUSTINO (20027)"</f>
        <v>ANA JULIA REZENDE JUSTINO (20027)</v>
      </c>
      <c r="H4598" t="s">
        <v>1347</v>
      </c>
      <c r="I4598" t="str">
        <f t="shared" si="872"/>
        <v>06/10/2025</v>
      </c>
      <c r="J4598" t="str">
        <f t="shared" si="872"/>
        <v>06/10/2025</v>
      </c>
      <c r="K4598">
        <v>45937</v>
      </c>
      <c r="N4598">
        <v>125</v>
      </c>
      <c r="O4598" t="s">
        <v>1348</v>
      </c>
      <c r="Q4598">
        <v>2000</v>
      </c>
      <c r="R4598" t="str">
        <f>"ANA JULIA REZENDE JUSTINO (20027)"</f>
        <v>ANA JULIA REZENDE JUSTINO (20027)</v>
      </c>
      <c r="S4598" t="s">
        <v>22</v>
      </c>
      <c r="T4598">
        <v>19190</v>
      </c>
      <c r="U4598">
        <v>22803</v>
      </c>
      <c r="V4598" t="s">
        <v>22</v>
      </c>
    </row>
    <row r="4599" spans="1:22">
      <c r="A4599" t="str">
        <f t="shared" si="871"/>
        <v>07/10/2025</v>
      </c>
      <c r="B4599" t="str">
        <f t="shared" si="873"/>
        <v>SAÍDA</v>
      </c>
      <c r="C4599" t="str">
        <f t="shared" si="874"/>
        <v>PIX</v>
      </c>
      <c r="D4599" t="str">
        <f>"0610252000"</f>
        <v>0610252000</v>
      </c>
      <c r="E4599" t="str">
        <f>""</f>
        <v/>
      </c>
      <c r="F4599" t="str">
        <f t="shared" si="870"/>
        <v>COM</v>
      </c>
      <c r="G4599" t="str">
        <f>"ADRIELLE APARECIDA PALOMINO (20029)"</f>
        <v>ADRIELLE APARECIDA PALOMINO (20029)</v>
      </c>
      <c r="H4599" t="str">
        <f>"PREMIO SOBRE VENDAS 09/2025"</f>
        <v>PREMIO SOBRE VENDAS 09/2025</v>
      </c>
      <c r="I4599" t="str">
        <f t="shared" si="872"/>
        <v>06/10/2025</v>
      </c>
      <c r="J4599" t="str">
        <f t="shared" si="872"/>
        <v>06/10/2025</v>
      </c>
      <c r="K4599" t="str">
        <f>("07/10/2025")</f>
        <v>07/10/2025</v>
      </c>
      <c r="L4599">
        <v>2000</v>
      </c>
      <c r="M4599">
        <v>2000</v>
      </c>
      <c r="N4599">
        <v>125</v>
      </c>
      <c r="O4599" t="str">
        <f>"COMISSÃO DE REPRESENTANTES"</f>
        <v>COMISSÃO DE REPRESENTANTES</v>
      </c>
      <c r="P4599">
        <v>2000</v>
      </c>
      <c r="S4599" t="str">
        <f>"BANCO CORA (102)"</f>
        <v>BANCO CORA (102)</v>
      </c>
      <c r="T4599">
        <v>19191</v>
      </c>
      <c r="U4599">
        <v>22807</v>
      </c>
      <c r="V4599" t="s">
        <v>22</v>
      </c>
    </row>
    <row r="4600" spans="1:22">
      <c r="A4600" t="str">
        <f t="shared" si="871"/>
        <v>07/10/2025</v>
      </c>
      <c r="B4600" t="str">
        <f t="shared" si="873"/>
        <v>SAÍDA</v>
      </c>
      <c r="C4600" t="str">
        <f t="shared" si="874"/>
        <v>PIX</v>
      </c>
      <c r="D4600" t="str">
        <f>"0610252000"</f>
        <v>0610252000</v>
      </c>
      <c r="E4600" t="str">
        <f>""</f>
        <v/>
      </c>
      <c r="F4600" t="str">
        <f t="shared" si="870"/>
        <v>COM</v>
      </c>
      <c r="G4600" t="str">
        <f>"ADRIELLE APARECIDA PALOMINO (20029)"</f>
        <v>ADRIELLE APARECIDA PALOMINO (20029)</v>
      </c>
      <c r="H4600" t="s">
        <v>1347</v>
      </c>
      <c r="I4600" t="str">
        <f t="shared" si="872"/>
        <v>06/10/2025</v>
      </c>
      <c r="J4600" t="str">
        <f t="shared" si="872"/>
        <v>06/10/2025</v>
      </c>
      <c r="K4600">
        <v>45937</v>
      </c>
      <c r="N4600">
        <v>125</v>
      </c>
      <c r="O4600" t="s">
        <v>1348</v>
      </c>
      <c r="Q4600">
        <v>2000</v>
      </c>
      <c r="R4600" t="str">
        <f>"ADRIELLE APARECIDA PALOMINO (20029)"</f>
        <v>ADRIELLE APARECIDA PALOMINO (20029)</v>
      </c>
      <c r="S4600" t="s">
        <v>22</v>
      </c>
      <c r="T4600">
        <v>19191</v>
      </c>
      <c r="U4600">
        <v>22807</v>
      </c>
      <c r="V4600" t="s">
        <v>22</v>
      </c>
    </row>
    <row r="4601" spans="1:22">
      <c r="A4601" t="str">
        <f t="shared" si="871"/>
        <v>07/10/2025</v>
      </c>
      <c r="B4601" t="str">
        <f t="shared" si="873"/>
        <v>SAÍDA</v>
      </c>
      <c r="C4601" t="str">
        <f t="shared" si="874"/>
        <v>PIX</v>
      </c>
      <c r="D4601" t="str">
        <f>"23046"</f>
        <v>23046</v>
      </c>
      <c r="E4601" t="str">
        <f>"1"</f>
        <v>1</v>
      </c>
      <c r="F4601" t="str">
        <f t="shared" si="870"/>
        <v>COM</v>
      </c>
      <c r="G4601" t="str">
        <f>"GABRIEL CESAR RIBEIRO (980)"</f>
        <v>GABRIEL CESAR RIBEIRO (980)</v>
      </c>
      <c r="H4601" t="str">
        <f>"Serv.Prest. 29/09/2025 a 05/10/2025 - PIX: CELULAR - CHAVE: (11) 97493-2917"</f>
        <v>Serv.Prest. 29/09/2025 a 05/10/2025 - PIX: CELULAR - CHAVE: (11) 97493-2917</v>
      </c>
      <c r="I4601" t="str">
        <f>("07/10/2025")</f>
        <v>07/10/2025</v>
      </c>
      <c r="J4601" t="str">
        <f>("07/10/2025")</f>
        <v>07/10/2025</v>
      </c>
      <c r="K4601" t="str">
        <f>("07/10/2025")</f>
        <v>07/10/2025</v>
      </c>
      <c r="L4601">
        <v>170</v>
      </c>
      <c r="M4601">
        <v>170</v>
      </c>
      <c r="N4601">
        <v>134</v>
      </c>
      <c r="O4601" t="str">
        <f>"DIARIA DE MOTOBOY"</f>
        <v>DIARIA DE MOTOBOY</v>
      </c>
      <c r="P4601">
        <v>170</v>
      </c>
      <c r="S4601" t="str">
        <f>"BANCO CORA (102)"</f>
        <v>BANCO CORA (102)</v>
      </c>
      <c r="T4601">
        <v>19194</v>
      </c>
      <c r="U4601">
        <v>23046</v>
      </c>
      <c r="V4601" t="s">
        <v>22</v>
      </c>
    </row>
    <row r="4602" spans="1:22">
      <c r="A4602" t="str">
        <f t="shared" si="871"/>
        <v>07/10/2025</v>
      </c>
      <c r="B4602" t="str">
        <f t="shared" si="873"/>
        <v>SAÍDA</v>
      </c>
      <c r="C4602" t="str">
        <f t="shared" si="874"/>
        <v>PIX</v>
      </c>
      <c r="D4602" t="str">
        <f>"23046"</f>
        <v>23046</v>
      </c>
      <c r="E4602" t="str">
        <f>"1"</f>
        <v>1</v>
      </c>
      <c r="F4602" t="str">
        <f t="shared" si="870"/>
        <v>COM</v>
      </c>
      <c r="G4602" t="str">
        <f>"GABRIEL CESAR RIBEIRO (980)"</f>
        <v>GABRIEL CESAR RIBEIRO (980)</v>
      </c>
      <c r="H4602" t="s">
        <v>1349</v>
      </c>
      <c r="I4602" t="str">
        <f>("07/10/2025")</f>
        <v>07/10/2025</v>
      </c>
      <c r="J4602" t="str">
        <f>("07/10/2025")</f>
        <v>07/10/2025</v>
      </c>
      <c r="K4602">
        <v>45937</v>
      </c>
      <c r="N4602">
        <v>134</v>
      </c>
      <c r="O4602" t="s">
        <v>41</v>
      </c>
      <c r="Q4602">
        <v>170</v>
      </c>
      <c r="R4602" t="str">
        <f>"PENSE FARMA 20 (10203)"</f>
        <v>PENSE FARMA 20 (10203)</v>
      </c>
      <c r="S4602" t="s">
        <v>22</v>
      </c>
      <c r="T4602">
        <v>19194</v>
      </c>
      <c r="U4602">
        <v>23046</v>
      </c>
      <c r="V4602" t="s">
        <v>22</v>
      </c>
    </row>
    <row r="4603" spans="1:22">
      <c r="A4603" t="str">
        <f t="shared" si="871"/>
        <v>07/10/2025</v>
      </c>
      <c r="B4603" t="str">
        <f t="shared" si="873"/>
        <v>SAÍDA</v>
      </c>
      <c r="C4603" t="str">
        <f t="shared" si="874"/>
        <v>PIX</v>
      </c>
      <c r="D4603" t="str">
        <f>"0710"</f>
        <v>0710</v>
      </c>
      <c r="E4603" t="str">
        <f>"25"</f>
        <v>25</v>
      </c>
      <c r="F4603" t="str">
        <f t="shared" si="870"/>
        <v>COM</v>
      </c>
      <c r="G4603" t="str">
        <f>"JOEL ARAGAO SALES (864)"</f>
        <v>JOEL ARAGAO SALES (864)</v>
      </c>
      <c r="H4603" t="str">
        <f>"Serv.Prest. 29/09/2025 a 05/10/2025 - PIX: CPF - CHAVE: 052.353.883-99"</f>
        <v>Serv.Prest. 29/09/2025 a 05/10/2025 - PIX: CPF - CHAVE: 052.353.883-99</v>
      </c>
      <c r="I4603" t="str">
        <f>("07/10/2025")</f>
        <v>07/10/2025</v>
      </c>
      <c r="J4603" t="str">
        <f>("04/10/2025")</f>
        <v>04/10/2025</v>
      </c>
      <c r="K4603" t="str">
        <f>("07/10/2025")</f>
        <v>07/10/2025</v>
      </c>
      <c r="L4603">
        <v>130</v>
      </c>
      <c r="M4603">
        <v>130</v>
      </c>
      <c r="N4603">
        <v>134</v>
      </c>
      <c r="O4603" t="str">
        <f>"DIARIA DE MOTOBOY"</f>
        <v>DIARIA DE MOTOBOY</v>
      </c>
      <c r="P4603">
        <v>130</v>
      </c>
      <c r="S4603" t="str">
        <f>"BANCO CORA (102)"</f>
        <v>BANCO CORA (102)</v>
      </c>
      <c r="T4603">
        <v>19199</v>
      </c>
      <c r="U4603">
        <v>23095</v>
      </c>
      <c r="V4603" t="s">
        <v>22</v>
      </c>
    </row>
    <row r="4604" spans="1:22">
      <c r="A4604" t="str">
        <f t="shared" si="871"/>
        <v>07/10/2025</v>
      </c>
      <c r="B4604" t="str">
        <f t="shared" si="873"/>
        <v>SAÍDA</v>
      </c>
      <c r="C4604" t="str">
        <f t="shared" si="874"/>
        <v>PIX</v>
      </c>
      <c r="D4604" t="str">
        <f>"0710"</f>
        <v>0710</v>
      </c>
      <c r="E4604" t="str">
        <f>"25"</f>
        <v>25</v>
      </c>
      <c r="F4604" t="str">
        <f t="shared" si="870"/>
        <v>COM</v>
      </c>
      <c r="G4604" t="str">
        <f>"JOEL ARAGAO SALES (864)"</f>
        <v>JOEL ARAGAO SALES (864)</v>
      </c>
      <c r="H4604" t="s">
        <v>1334</v>
      </c>
      <c r="I4604" t="str">
        <f>("07/10/2025")</f>
        <v>07/10/2025</v>
      </c>
      <c r="J4604" t="str">
        <f>("04/10/2025")</f>
        <v>04/10/2025</v>
      </c>
      <c r="K4604">
        <v>45937</v>
      </c>
      <c r="N4604">
        <v>134</v>
      </c>
      <c r="O4604" t="s">
        <v>41</v>
      </c>
      <c r="Q4604">
        <v>130</v>
      </c>
      <c r="R4604" t="str">
        <f>"DROGARIA MORENO LTDA (10171)"</f>
        <v>DROGARIA MORENO LTDA (10171)</v>
      </c>
      <c r="S4604" t="s">
        <v>22</v>
      </c>
      <c r="T4604">
        <v>19199</v>
      </c>
      <c r="U4604">
        <v>23095</v>
      </c>
      <c r="V4604" t="s">
        <v>22</v>
      </c>
    </row>
    <row r="4605" spans="1:22">
      <c r="A4605" t="str">
        <f t="shared" si="871"/>
        <v>07/10/2025</v>
      </c>
      <c r="B4605" t="str">
        <f t="shared" si="873"/>
        <v>SAÍDA</v>
      </c>
      <c r="C4605" t="str">
        <f t="shared" si="874"/>
        <v>PIX</v>
      </c>
      <c r="D4605" t="str">
        <f>"23055"</f>
        <v>23055</v>
      </c>
      <c r="E4605" t="str">
        <f t="shared" ref="E4605:E4618" si="875">"1"</f>
        <v>1</v>
      </c>
      <c r="F4605" t="str">
        <f t="shared" si="870"/>
        <v>COM</v>
      </c>
      <c r="G4605" t="str">
        <f>"KAYQUE FRANCISCO ROSA DOS SANTOS (965)"</f>
        <v>KAYQUE FRANCISCO ROSA DOS SANTOS (965)</v>
      </c>
      <c r="H4605" t="str">
        <f>"Serv.Prest. 29/09/2025 a 05/10/2025 - PIX: CPF - CHAVE: 700.687.936-18"</f>
        <v>Serv.Prest. 29/09/2025 a 05/10/2025 - PIX: CPF - CHAVE: 700.687.936-18</v>
      </c>
      <c r="I4605" t="str">
        <f>("07/10/2025")</f>
        <v>07/10/2025</v>
      </c>
      <c r="J4605" t="str">
        <f>("07/10/2025")</f>
        <v>07/10/2025</v>
      </c>
      <c r="K4605" t="str">
        <f>("07/10/2025")</f>
        <v>07/10/2025</v>
      </c>
      <c r="L4605">
        <v>87</v>
      </c>
      <c r="M4605">
        <v>80</v>
      </c>
      <c r="N4605">
        <v>109</v>
      </c>
      <c r="O4605" t="str">
        <f>"PAGAMENTO DE ENTREGADORES"</f>
        <v>PAGAMENTO DE ENTREGADORES</v>
      </c>
      <c r="P4605">
        <v>80</v>
      </c>
      <c r="S4605" t="str">
        <f>"BANCO CORA (102)"</f>
        <v>BANCO CORA (102)</v>
      </c>
      <c r="T4605">
        <v>19207</v>
      </c>
      <c r="U4605">
        <v>23055</v>
      </c>
      <c r="V4605" t="s">
        <v>22</v>
      </c>
    </row>
    <row r="4606" spans="1:22">
      <c r="A4606" t="str">
        <f t="shared" si="871"/>
        <v>07/10/2025</v>
      </c>
      <c r="B4606" t="str">
        <f t="shared" si="873"/>
        <v>SAÍDA</v>
      </c>
      <c r="C4606" t="str">
        <f t="shared" si="874"/>
        <v>PIX</v>
      </c>
      <c r="D4606" t="str">
        <f>"23055"</f>
        <v>23055</v>
      </c>
      <c r="E4606" t="str">
        <f t="shared" si="875"/>
        <v>1</v>
      </c>
      <c r="F4606" t="str">
        <f t="shared" si="870"/>
        <v>COM</v>
      </c>
      <c r="G4606" t="str">
        <f>"KAYQUE FRANCISCO ROSA DOS SANTOS (965)"</f>
        <v>KAYQUE FRANCISCO ROSA DOS SANTOS (965)</v>
      </c>
      <c r="H4606" t="s">
        <v>1089</v>
      </c>
      <c r="I4606" t="str">
        <f>("07/10/2025")</f>
        <v>07/10/2025</v>
      </c>
      <c r="J4606" t="str">
        <f>("07/10/2025")</f>
        <v>07/10/2025</v>
      </c>
      <c r="K4606">
        <v>45937</v>
      </c>
      <c r="N4606">
        <v>109</v>
      </c>
      <c r="O4606" t="s">
        <v>24</v>
      </c>
      <c r="Q4606">
        <v>80</v>
      </c>
      <c r="R4606" t="str">
        <f>"DROGA HONDA (10149)"</f>
        <v>DROGA HONDA (10149)</v>
      </c>
      <c r="S4606" t="s">
        <v>22</v>
      </c>
      <c r="T4606">
        <v>19207</v>
      </c>
      <c r="U4606">
        <v>23055</v>
      </c>
      <c r="V4606" t="s">
        <v>22</v>
      </c>
    </row>
    <row r="4607" spans="1:22">
      <c r="A4607" t="str">
        <f t="shared" si="871"/>
        <v>07/10/2025</v>
      </c>
      <c r="B4607" t="str">
        <f t="shared" si="873"/>
        <v>SAÍDA</v>
      </c>
      <c r="C4607" t="str">
        <f t="shared" si="874"/>
        <v>PIX</v>
      </c>
      <c r="D4607" t="str">
        <f>"22625"</f>
        <v>22625</v>
      </c>
      <c r="E4607" t="str">
        <f t="shared" si="875"/>
        <v>1</v>
      </c>
      <c r="F4607" t="str">
        <f t="shared" si="870"/>
        <v>COM</v>
      </c>
      <c r="G4607" t="str">
        <f>"RAFAEL PEDRO MENDES (944)"</f>
        <v>RAFAEL PEDRO MENDES (944)</v>
      </c>
      <c r="H4607" t="str">
        <f>"Serv.Prest. 22/09/2025 a 25/09/2025 - PIX: CELULAR - CHAVE: (31) 99680-9634"</f>
        <v>Serv.Prest. 22/09/2025 a 25/09/2025 - PIX: CELULAR - CHAVE: (31) 99680-9634</v>
      </c>
      <c r="I4607" t="str">
        <f>("30/09/2025")</f>
        <v>30/09/2025</v>
      </c>
      <c r="J4607" t="str">
        <f>("26/09/2025")</f>
        <v>26/09/2025</v>
      </c>
      <c r="K4607" t="str">
        <f>("07/10/2025")</f>
        <v>07/10/2025</v>
      </c>
      <c r="L4607">
        <v>360</v>
      </c>
      <c r="M4607">
        <v>360</v>
      </c>
      <c r="N4607">
        <v>134</v>
      </c>
      <c r="O4607" t="str">
        <f>"DIARIA DE MOTOBOY"</f>
        <v>DIARIA DE MOTOBOY</v>
      </c>
      <c r="P4607">
        <v>360</v>
      </c>
      <c r="S4607" t="str">
        <f>"BANCO CORA (102)"</f>
        <v>BANCO CORA (102)</v>
      </c>
      <c r="T4607">
        <v>19210</v>
      </c>
      <c r="U4607">
        <v>22625</v>
      </c>
      <c r="V4607" t="s">
        <v>22</v>
      </c>
    </row>
    <row r="4608" spans="1:22">
      <c r="A4608" t="str">
        <f t="shared" si="871"/>
        <v>07/10/2025</v>
      </c>
      <c r="B4608" t="str">
        <f t="shared" si="873"/>
        <v>SAÍDA</v>
      </c>
      <c r="C4608" t="str">
        <f t="shared" si="874"/>
        <v>PIX</v>
      </c>
      <c r="D4608" t="str">
        <f>"22625"</f>
        <v>22625</v>
      </c>
      <c r="E4608" t="str">
        <f t="shared" si="875"/>
        <v>1</v>
      </c>
      <c r="F4608" t="str">
        <f t="shared" si="870"/>
        <v>COM</v>
      </c>
      <c r="G4608" t="str">
        <f>"RAFAEL PEDRO MENDES (944)"</f>
        <v>RAFAEL PEDRO MENDES (944)</v>
      </c>
      <c r="H4608" t="s">
        <v>1350</v>
      </c>
      <c r="I4608" t="str">
        <f>("30/09/2025")</f>
        <v>30/09/2025</v>
      </c>
      <c r="J4608" t="str">
        <f>("26/09/2025")</f>
        <v>26/09/2025</v>
      </c>
      <c r="K4608">
        <v>45937</v>
      </c>
      <c r="N4608">
        <v>134</v>
      </c>
      <c r="O4608" t="s">
        <v>41</v>
      </c>
      <c r="Q4608">
        <v>360</v>
      </c>
      <c r="R4608" t="str">
        <f>"FARMÁCIA INDIANA LJ 101 (10043)"</f>
        <v>FARMÁCIA INDIANA LJ 101 (10043)</v>
      </c>
      <c r="S4608" t="s">
        <v>22</v>
      </c>
      <c r="T4608">
        <v>19210</v>
      </c>
      <c r="U4608">
        <v>22625</v>
      </c>
      <c r="V4608" t="s">
        <v>22</v>
      </c>
    </row>
    <row r="4609" spans="1:22">
      <c r="A4609" t="str">
        <f t="shared" si="871"/>
        <v>07/10/2025</v>
      </c>
      <c r="B4609" t="str">
        <f t="shared" si="873"/>
        <v>SAÍDA</v>
      </c>
      <c r="C4609" t="str">
        <f t="shared" si="874"/>
        <v>PIX</v>
      </c>
      <c r="D4609" t="str">
        <f>"23543"</f>
        <v>23543</v>
      </c>
      <c r="E4609" t="str">
        <f t="shared" si="875"/>
        <v>1</v>
      </c>
      <c r="F4609" t="str">
        <f t="shared" si="870"/>
        <v>COM</v>
      </c>
      <c r="G4609" t="str">
        <f>"DEIVID FERNANDES COSTA (828)"</f>
        <v>DEIVID FERNANDES COSTA (828)</v>
      </c>
      <c r="H4609" t="str">
        <f>"Serv.Prest. 06/10/2025 a 12/10/2025 - PIX: CELULAR - CHAVE: (62) 99550-3226"</f>
        <v>Serv.Prest. 06/10/2025 a 12/10/2025 - PIX: CELULAR - CHAVE: (62) 99550-3226</v>
      </c>
      <c r="I4609" t="str">
        <f t="shared" ref="I4609:I4618" si="876">("16/10/2025")</f>
        <v>16/10/2025</v>
      </c>
      <c r="J4609" t="str">
        <f>("13/10/2025")</f>
        <v>13/10/2025</v>
      </c>
      <c r="K4609" t="str">
        <f>("07/10/2025")</f>
        <v>07/10/2025</v>
      </c>
      <c r="L4609">
        <v>150</v>
      </c>
      <c r="M4609">
        <v>150</v>
      </c>
      <c r="N4609">
        <v>109</v>
      </c>
      <c r="O4609" t="str">
        <f>"PAGAMENTO DE ENTREGADORES"</f>
        <v>PAGAMENTO DE ENTREGADORES</v>
      </c>
      <c r="P4609">
        <v>150</v>
      </c>
      <c r="S4609" t="str">
        <f>"BANCO CORA (102)"</f>
        <v>BANCO CORA (102)</v>
      </c>
      <c r="T4609">
        <v>19564</v>
      </c>
      <c r="U4609">
        <v>23776</v>
      </c>
      <c r="V4609" t="s">
        <v>22</v>
      </c>
    </row>
    <row r="4610" spans="1:22">
      <c r="A4610" t="str">
        <f t="shared" si="871"/>
        <v>07/10/2025</v>
      </c>
      <c r="B4610" t="str">
        <f t="shared" si="873"/>
        <v>SAÍDA</v>
      </c>
      <c r="C4610" t="str">
        <f t="shared" si="874"/>
        <v>PIX</v>
      </c>
      <c r="D4610" t="str">
        <f>"23543"</f>
        <v>23543</v>
      </c>
      <c r="E4610" t="str">
        <f t="shared" si="875"/>
        <v>1</v>
      </c>
      <c r="F4610" t="str">
        <f t="shared" si="870"/>
        <v>COM</v>
      </c>
      <c r="G4610" t="str">
        <f>"DEIVID FERNANDES COSTA (828)"</f>
        <v>DEIVID FERNANDES COSTA (828)</v>
      </c>
      <c r="H4610" t="s">
        <v>1351</v>
      </c>
      <c r="I4610" t="str">
        <f t="shared" si="876"/>
        <v>16/10/2025</v>
      </c>
      <c r="J4610" t="str">
        <f>("13/10/2025")</f>
        <v>13/10/2025</v>
      </c>
      <c r="K4610">
        <v>45937</v>
      </c>
      <c r="N4610">
        <v>109</v>
      </c>
      <c r="O4610" t="s">
        <v>24</v>
      </c>
      <c r="Q4610">
        <v>150</v>
      </c>
      <c r="R4610" t="str">
        <f>"BRASIL FARMA (10173)"</f>
        <v>BRASIL FARMA (10173)</v>
      </c>
      <c r="S4610" t="s">
        <v>22</v>
      </c>
      <c r="T4610">
        <v>19564</v>
      </c>
      <c r="U4610">
        <v>23776</v>
      </c>
      <c r="V4610" t="s">
        <v>22</v>
      </c>
    </row>
    <row r="4611" spans="1:22">
      <c r="A4611" t="str">
        <f t="shared" si="871"/>
        <v>07/10/2025</v>
      </c>
      <c r="B4611" t="str">
        <f t="shared" si="873"/>
        <v>SAÍDA</v>
      </c>
      <c r="C4611" t="str">
        <f t="shared" si="874"/>
        <v>PIX</v>
      </c>
      <c r="D4611" t="str">
        <f>"23600"</f>
        <v>23600</v>
      </c>
      <c r="E4611" t="str">
        <f t="shared" si="875"/>
        <v>1</v>
      </c>
      <c r="F4611" t="str">
        <f t="shared" si="870"/>
        <v>COM</v>
      </c>
      <c r="G4611" t="str">
        <f>"JAMERSON SOUZA LOPES (749)"</f>
        <v>JAMERSON SOUZA LOPES (749)</v>
      </c>
      <c r="H4611" t="str">
        <f>"Serv.Prest. 06/10/2025 a 12/10/2025 - PIX: CPF - CHAVE: 423.098.018-36"</f>
        <v>Serv.Prest. 06/10/2025 a 12/10/2025 - PIX: CPF - CHAVE: 423.098.018-36</v>
      </c>
      <c r="I4611" t="str">
        <f t="shared" si="876"/>
        <v>16/10/2025</v>
      </c>
      <c r="J4611" t="str">
        <f t="shared" ref="J4611:J4618" si="877">("14/10/2025")</f>
        <v>14/10/2025</v>
      </c>
      <c r="K4611" t="str">
        <f>("07/10/2025")</f>
        <v>07/10/2025</v>
      </c>
      <c r="L4611">
        <v>133</v>
      </c>
      <c r="M4611">
        <v>130</v>
      </c>
      <c r="N4611">
        <v>109</v>
      </c>
      <c r="O4611" t="str">
        <f>"PAGAMENTO DE ENTREGADORES"</f>
        <v>PAGAMENTO DE ENTREGADORES</v>
      </c>
      <c r="P4611">
        <v>130</v>
      </c>
      <c r="S4611" t="str">
        <f>"BANCO CORA (102)"</f>
        <v>BANCO CORA (102)</v>
      </c>
      <c r="T4611">
        <v>19565</v>
      </c>
      <c r="U4611">
        <v>23600</v>
      </c>
      <c r="V4611" t="s">
        <v>22</v>
      </c>
    </row>
    <row r="4612" spans="1:22">
      <c r="A4612" t="str">
        <f t="shared" si="871"/>
        <v>07/10/2025</v>
      </c>
      <c r="B4612" t="str">
        <f t="shared" si="873"/>
        <v>SAÍDA</v>
      </c>
      <c r="C4612" t="str">
        <f t="shared" si="874"/>
        <v>PIX</v>
      </c>
      <c r="D4612" t="str">
        <f>"23600"</f>
        <v>23600</v>
      </c>
      <c r="E4612" t="str">
        <f t="shared" si="875"/>
        <v>1</v>
      </c>
      <c r="F4612" t="str">
        <f t="shared" si="870"/>
        <v>COM</v>
      </c>
      <c r="G4612" t="str">
        <f>"JAMERSON SOUZA LOPES (749)"</f>
        <v>JAMERSON SOUZA LOPES (749)</v>
      </c>
      <c r="H4612" t="s">
        <v>1352</v>
      </c>
      <c r="I4612" t="str">
        <f t="shared" si="876"/>
        <v>16/10/2025</v>
      </c>
      <c r="J4612" t="str">
        <f t="shared" si="877"/>
        <v>14/10/2025</v>
      </c>
      <c r="K4612">
        <v>45937</v>
      </c>
      <c r="N4612">
        <v>109</v>
      </c>
      <c r="O4612" t="s">
        <v>24</v>
      </c>
      <c r="Q4612">
        <v>130</v>
      </c>
      <c r="R4612" t="str">
        <f>"DROGARIA MORENO LTDA (10171)"</f>
        <v>DROGARIA MORENO LTDA (10171)</v>
      </c>
      <c r="S4612" t="s">
        <v>22</v>
      </c>
      <c r="T4612">
        <v>19565</v>
      </c>
      <c r="U4612">
        <v>23600</v>
      </c>
      <c r="V4612" t="s">
        <v>22</v>
      </c>
    </row>
    <row r="4613" spans="1:22">
      <c r="A4613" t="str">
        <f t="shared" si="871"/>
        <v>07/10/2025</v>
      </c>
      <c r="B4613" t="str">
        <f t="shared" si="873"/>
        <v>SAÍDA</v>
      </c>
      <c r="C4613" t="str">
        <f t="shared" si="874"/>
        <v>PIX</v>
      </c>
      <c r="D4613" t="str">
        <f>"23602"</f>
        <v>23602</v>
      </c>
      <c r="E4613" t="str">
        <f t="shared" si="875"/>
        <v>1</v>
      </c>
      <c r="F4613" t="str">
        <f t="shared" si="870"/>
        <v>COM</v>
      </c>
      <c r="G4613" t="str">
        <f>"REGINALDO ANDRE BORTOLETTO (802)"</f>
        <v>REGINALDO ANDRE BORTOLETTO (802)</v>
      </c>
      <c r="H4613" t="str">
        <f>"Serv.Prest. 06/10/2025 a 12/10/2025 - PIX: CELULAR - CHAVE: (11) 94281-7123"</f>
        <v>Serv.Prest. 06/10/2025 a 12/10/2025 - PIX: CELULAR - CHAVE: (11) 94281-7123</v>
      </c>
      <c r="I4613" t="str">
        <f t="shared" si="876"/>
        <v>16/10/2025</v>
      </c>
      <c r="J4613" t="str">
        <f t="shared" si="877"/>
        <v>14/10/2025</v>
      </c>
      <c r="K4613" t="str">
        <f>("07/10/2025")</f>
        <v>07/10/2025</v>
      </c>
      <c r="L4613">
        <v>133</v>
      </c>
      <c r="M4613">
        <v>130</v>
      </c>
      <c r="N4613">
        <v>109</v>
      </c>
      <c r="O4613" t="str">
        <f>"PAGAMENTO DE ENTREGADORES"</f>
        <v>PAGAMENTO DE ENTREGADORES</v>
      </c>
      <c r="P4613">
        <v>130</v>
      </c>
      <c r="S4613" t="str">
        <f>"BANCO CORA (102)"</f>
        <v>BANCO CORA (102)</v>
      </c>
      <c r="T4613">
        <v>19566</v>
      </c>
      <c r="U4613">
        <v>23602</v>
      </c>
      <c r="V4613" t="s">
        <v>22</v>
      </c>
    </row>
    <row r="4614" spans="1:22">
      <c r="A4614" t="str">
        <f t="shared" si="871"/>
        <v>07/10/2025</v>
      </c>
      <c r="B4614" t="str">
        <f t="shared" si="873"/>
        <v>SAÍDA</v>
      </c>
      <c r="C4614" t="str">
        <f t="shared" si="874"/>
        <v>PIX</v>
      </c>
      <c r="D4614" t="str">
        <f>"23602"</f>
        <v>23602</v>
      </c>
      <c r="E4614" t="str">
        <f t="shared" si="875"/>
        <v>1</v>
      </c>
      <c r="F4614" t="str">
        <f t="shared" si="870"/>
        <v>COM</v>
      </c>
      <c r="G4614" t="str">
        <f>"REGINALDO ANDRE BORTOLETTO (802)"</f>
        <v>REGINALDO ANDRE BORTOLETTO (802)</v>
      </c>
      <c r="H4614" t="s">
        <v>1353</v>
      </c>
      <c r="I4614" t="str">
        <f t="shared" si="876"/>
        <v>16/10/2025</v>
      </c>
      <c r="J4614" t="str">
        <f t="shared" si="877"/>
        <v>14/10/2025</v>
      </c>
      <c r="K4614">
        <v>45937</v>
      </c>
      <c r="N4614">
        <v>109</v>
      </c>
      <c r="O4614" t="s">
        <v>24</v>
      </c>
      <c r="Q4614">
        <v>130</v>
      </c>
      <c r="R4614" t="str">
        <f>"DROGARIA MORENO LTDA (10171)"</f>
        <v>DROGARIA MORENO LTDA (10171)</v>
      </c>
      <c r="S4614" t="s">
        <v>22</v>
      </c>
      <c r="T4614">
        <v>19566</v>
      </c>
      <c r="U4614">
        <v>23602</v>
      </c>
      <c r="V4614" t="s">
        <v>22</v>
      </c>
    </row>
    <row r="4615" spans="1:22">
      <c r="A4615" t="str">
        <f t="shared" si="871"/>
        <v>07/10/2025</v>
      </c>
      <c r="B4615" t="str">
        <f t="shared" si="873"/>
        <v>SAÍDA</v>
      </c>
      <c r="C4615" t="str">
        <f t="shared" si="874"/>
        <v>PIX</v>
      </c>
      <c r="D4615" t="str">
        <f>"23613"</f>
        <v>23613</v>
      </c>
      <c r="E4615" t="str">
        <f t="shared" si="875"/>
        <v>1</v>
      </c>
      <c r="F4615" t="str">
        <f t="shared" si="870"/>
        <v>COM</v>
      </c>
      <c r="G4615" t="str">
        <f>"CASSIO DOS SANTOS ALVES (981)"</f>
        <v>CASSIO DOS SANTOS ALVES (981)</v>
      </c>
      <c r="H4615" t="str">
        <f>"Serv.Prest. 06/10/2025 a 12/10/2025 - PIX: CPF - CHAVE: 410.623.498-06"</f>
        <v>Serv.Prest. 06/10/2025 a 12/10/2025 - PIX: CPF - CHAVE: 410.623.498-06</v>
      </c>
      <c r="I4615" t="str">
        <f t="shared" si="876"/>
        <v>16/10/2025</v>
      </c>
      <c r="J4615" t="str">
        <f t="shared" si="877"/>
        <v>14/10/2025</v>
      </c>
      <c r="K4615" t="str">
        <f>("07/10/2025")</f>
        <v>07/10/2025</v>
      </c>
      <c r="L4615">
        <v>90</v>
      </c>
      <c r="M4615">
        <v>90</v>
      </c>
      <c r="N4615">
        <v>109</v>
      </c>
      <c r="O4615" t="str">
        <f>"PAGAMENTO DE ENTREGADORES"</f>
        <v>PAGAMENTO DE ENTREGADORES</v>
      </c>
      <c r="P4615">
        <v>90</v>
      </c>
      <c r="S4615" t="str">
        <f>"BANCO CORA (102)"</f>
        <v>BANCO CORA (102)</v>
      </c>
      <c r="T4615">
        <v>19571</v>
      </c>
      <c r="U4615">
        <v>23613</v>
      </c>
      <c r="V4615" t="s">
        <v>22</v>
      </c>
    </row>
    <row r="4616" spans="1:22">
      <c r="A4616" t="str">
        <f t="shared" si="871"/>
        <v>07/10/2025</v>
      </c>
      <c r="B4616" t="str">
        <f t="shared" si="873"/>
        <v>SAÍDA</v>
      </c>
      <c r="C4616" t="str">
        <f t="shared" si="874"/>
        <v>PIX</v>
      </c>
      <c r="D4616" t="str">
        <f>"23613"</f>
        <v>23613</v>
      </c>
      <c r="E4616" t="str">
        <f t="shared" si="875"/>
        <v>1</v>
      </c>
      <c r="F4616" t="str">
        <f t="shared" si="870"/>
        <v>COM</v>
      </c>
      <c r="G4616" t="str">
        <f>"CASSIO DOS SANTOS ALVES (981)"</f>
        <v>CASSIO DOS SANTOS ALVES (981)</v>
      </c>
      <c r="H4616" t="s">
        <v>1354</v>
      </c>
      <c r="I4616" t="str">
        <f t="shared" si="876"/>
        <v>16/10/2025</v>
      </c>
      <c r="J4616" t="str">
        <f t="shared" si="877"/>
        <v>14/10/2025</v>
      </c>
      <c r="K4616">
        <v>45937</v>
      </c>
      <c r="N4616">
        <v>109</v>
      </c>
      <c r="O4616" t="s">
        <v>24</v>
      </c>
      <c r="Q4616">
        <v>90</v>
      </c>
      <c r="R4616" t="str">
        <f>"PENSE FARMA 22 (10198)"</f>
        <v>PENSE FARMA 22 (10198)</v>
      </c>
      <c r="S4616" t="s">
        <v>22</v>
      </c>
      <c r="T4616">
        <v>19571</v>
      </c>
      <c r="U4616">
        <v>23613</v>
      </c>
      <c r="V4616" t="s">
        <v>22</v>
      </c>
    </row>
    <row r="4617" spans="1:22">
      <c r="A4617" t="str">
        <f t="shared" si="871"/>
        <v>07/10/2025</v>
      </c>
      <c r="B4617" t="str">
        <f t="shared" si="873"/>
        <v>SAÍDA</v>
      </c>
      <c r="C4617" t="str">
        <f t="shared" si="874"/>
        <v>PIX</v>
      </c>
      <c r="D4617" t="str">
        <f>"23787"</f>
        <v>23787</v>
      </c>
      <c r="E4617" t="str">
        <f t="shared" si="875"/>
        <v>1</v>
      </c>
      <c r="F4617" t="str">
        <f t="shared" si="870"/>
        <v>COM</v>
      </c>
      <c r="G4617" t="str">
        <f>"WILLIAM DA SILVA COSTA (655)"</f>
        <v>WILLIAM DA SILVA COSTA (655)</v>
      </c>
      <c r="H4617" t="str">
        <f>"Serv.Prest. 06/10/2025 a 12/10/2025 - PIX: CELULAR - CHAVE: (64) 97400-9101"</f>
        <v>Serv.Prest. 06/10/2025 a 12/10/2025 - PIX: CELULAR - CHAVE: (64) 97400-9101</v>
      </c>
      <c r="I4617" t="str">
        <f t="shared" si="876"/>
        <v>16/10/2025</v>
      </c>
      <c r="J4617" t="str">
        <f t="shared" si="877"/>
        <v>14/10/2025</v>
      </c>
      <c r="K4617" t="str">
        <f>("07/10/2025")</f>
        <v>07/10/2025</v>
      </c>
      <c r="L4617">
        <v>86</v>
      </c>
      <c r="M4617">
        <v>150</v>
      </c>
      <c r="N4617">
        <v>109</v>
      </c>
      <c r="O4617" t="str">
        <f>"PAGAMENTO DE ENTREGADORES"</f>
        <v>PAGAMENTO DE ENTREGADORES</v>
      </c>
      <c r="P4617">
        <v>150</v>
      </c>
      <c r="S4617" t="str">
        <f>"BANCO CORA (102)"</f>
        <v>BANCO CORA (102)</v>
      </c>
      <c r="T4617">
        <v>19605</v>
      </c>
      <c r="U4617">
        <v>23832</v>
      </c>
      <c r="V4617" t="s">
        <v>22</v>
      </c>
    </row>
    <row r="4618" spans="1:22">
      <c r="A4618" t="str">
        <f t="shared" si="871"/>
        <v>07/10/2025</v>
      </c>
      <c r="B4618" t="str">
        <f t="shared" si="873"/>
        <v>SAÍDA</v>
      </c>
      <c r="C4618" t="str">
        <f t="shared" si="874"/>
        <v>PIX</v>
      </c>
      <c r="D4618" t="str">
        <f>"23787"</f>
        <v>23787</v>
      </c>
      <c r="E4618" t="str">
        <f t="shared" si="875"/>
        <v>1</v>
      </c>
      <c r="F4618" t="str">
        <f t="shared" si="870"/>
        <v>COM</v>
      </c>
      <c r="G4618" t="str">
        <f>"WILLIAM DA SILVA COSTA (655)"</f>
        <v>WILLIAM DA SILVA COSTA (655)</v>
      </c>
      <c r="H4618" t="s">
        <v>1355</v>
      </c>
      <c r="I4618" t="str">
        <f t="shared" si="876"/>
        <v>16/10/2025</v>
      </c>
      <c r="J4618" t="str">
        <f t="shared" si="877"/>
        <v>14/10/2025</v>
      </c>
      <c r="K4618">
        <v>45937</v>
      </c>
      <c r="N4618">
        <v>109</v>
      </c>
      <c r="O4618" t="s">
        <v>24</v>
      </c>
      <c r="Q4618">
        <v>150</v>
      </c>
      <c r="R4618" t="str">
        <f>"FARMACIA ECONOMIZE (10103)"</f>
        <v>FARMACIA ECONOMIZE (10103)</v>
      </c>
      <c r="S4618" t="s">
        <v>22</v>
      </c>
      <c r="T4618">
        <v>19605</v>
      </c>
      <c r="U4618">
        <v>23832</v>
      </c>
      <c r="V4618" t="s">
        <v>22</v>
      </c>
    </row>
    <row r="4619" spans="1:22">
      <c r="A4619" t="str">
        <f t="shared" si="871"/>
        <v>07/10/2025</v>
      </c>
      <c r="B4619" t="str">
        <f t="shared" si="873"/>
        <v>SAÍDA</v>
      </c>
      <c r="C4619" t="str">
        <f>"RESGATE"</f>
        <v>RESGATE</v>
      </c>
      <c r="D4619" t="str">
        <f>""</f>
        <v/>
      </c>
      <c r="F4619" t="str">
        <f>"RES"</f>
        <v>RES</v>
      </c>
      <c r="G4619" t="str">
        <f>""</f>
        <v/>
      </c>
      <c r="H4619" t="str">
        <f>"RESGATE APLICAÇÃO CDB C6"</f>
        <v>RESGATE APLICAÇÃO CDB C6</v>
      </c>
      <c r="I4619" t="str">
        <f t="shared" ref="I4619:K4622" si="878">("07/10/2025")</f>
        <v>07/10/2025</v>
      </c>
      <c r="J4619" t="str">
        <f t="shared" si="878"/>
        <v>07/10/2025</v>
      </c>
      <c r="K4619" t="str">
        <f t="shared" si="878"/>
        <v>07/10/2025</v>
      </c>
      <c r="N4619">
        <v>121</v>
      </c>
      <c r="O4619" t="str">
        <f>"APLICAÇÃO BANCO A"</f>
        <v>APLICAÇÃO BANCO A</v>
      </c>
      <c r="P4619">
        <v>1000.11</v>
      </c>
      <c r="S4619" t="str">
        <f>"APLICAÇÃO BANCO A (121)"</f>
        <v>APLICAÇÃO BANCO A (121)</v>
      </c>
      <c r="T4619">
        <v>22185</v>
      </c>
      <c r="U4619">
        <v>0</v>
      </c>
      <c r="V4619" t="s">
        <v>1071</v>
      </c>
    </row>
    <row r="4620" spans="1:22">
      <c r="A4620" t="str">
        <f t="shared" si="871"/>
        <v>07/10/2025</v>
      </c>
      <c r="B4620" t="str">
        <f>"ENTRADA"</f>
        <v>ENTRADA</v>
      </c>
      <c r="C4620" t="str">
        <f>"RESGATE"</f>
        <v>RESGATE</v>
      </c>
      <c r="D4620" t="str">
        <f>""</f>
        <v/>
      </c>
      <c r="F4620" t="str">
        <f>"RES"</f>
        <v>RES</v>
      </c>
      <c r="G4620" t="str">
        <f>""</f>
        <v/>
      </c>
      <c r="H4620" t="str">
        <f>"RESGATE APLICAÇÃO CDB C6"</f>
        <v>RESGATE APLICAÇÃO CDB C6</v>
      </c>
      <c r="I4620" t="str">
        <f t="shared" si="878"/>
        <v>07/10/2025</v>
      </c>
      <c r="J4620" t="str">
        <f t="shared" si="878"/>
        <v>07/10/2025</v>
      </c>
      <c r="K4620" t="str">
        <f t="shared" si="878"/>
        <v>07/10/2025</v>
      </c>
      <c r="N4620">
        <v>149</v>
      </c>
      <c r="O4620" t="str">
        <f>"BANCO C6"</f>
        <v>BANCO C6</v>
      </c>
      <c r="S4620" t="str">
        <f>"BANCO C6 (149)"</f>
        <v>BANCO C6 (149)</v>
      </c>
      <c r="T4620">
        <v>22185</v>
      </c>
      <c r="U4620">
        <v>0</v>
      </c>
      <c r="V4620" t="s">
        <v>77</v>
      </c>
    </row>
    <row r="4621" spans="1:22">
      <c r="A4621" t="str">
        <f t="shared" si="871"/>
        <v>07/10/2025</v>
      </c>
      <c r="B4621" t="str">
        <f>"ENTRADA"</f>
        <v>ENTRADA</v>
      </c>
      <c r="C4621" t="str">
        <f>"TRANSFERENCIA"</f>
        <v>TRANSFERENCIA</v>
      </c>
      <c r="D4621" t="str">
        <f>""</f>
        <v/>
      </c>
      <c r="F4621" t="str">
        <f>"TRF"</f>
        <v>TRF</v>
      </c>
      <c r="G4621" t="str">
        <f>""</f>
        <v/>
      </c>
      <c r="H4621" t="str">
        <f>"TRANSFERENCIA ENTRE BANCOS (149-&gt;102)"</f>
        <v>TRANSFERENCIA ENTRE BANCOS (149-&gt;102)</v>
      </c>
      <c r="I4621" t="str">
        <f t="shared" si="878"/>
        <v>07/10/2025</v>
      </c>
      <c r="J4621" t="str">
        <f t="shared" si="878"/>
        <v>07/10/2025</v>
      </c>
      <c r="K4621" t="str">
        <f t="shared" si="878"/>
        <v>07/10/2025</v>
      </c>
      <c r="N4621">
        <v>102</v>
      </c>
      <c r="O4621" t="str">
        <f>"BANCO CORA"</f>
        <v>BANCO CORA</v>
      </c>
      <c r="P4621">
        <v>1000.11</v>
      </c>
      <c r="S4621" t="str">
        <f>"BANCO CORA (102)"</f>
        <v>BANCO CORA (102)</v>
      </c>
      <c r="T4621">
        <v>22374</v>
      </c>
      <c r="U4621">
        <v>0</v>
      </c>
      <c r="V4621" t="s">
        <v>22</v>
      </c>
    </row>
    <row r="4622" spans="1:22">
      <c r="A4622" t="str">
        <f t="shared" si="871"/>
        <v>07/10/2025</v>
      </c>
      <c r="B4622" t="str">
        <f>"SAÍDA"</f>
        <v>SAÍDA</v>
      </c>
      <c r="C4622" t="str">
        <f>"TRANSFERENCIA"</f>
        <v>TRANSFERENCIA</v>
      </c>
      <c r="D4622" t="str">
        <f>""</f>
        <v/>
      </c>
      <c r="F4622" t="str">
        <f>"TRF"</f>
        <v>TRF</v>
      </c>
      <c r="G4622" t="str">
        <f>""</f>
        <v/>
      </c>
      <c r="H4622" t="str">
        <f>"TRANSFERENCIA ENTRE BANCOS (149-&gt;102)"</f>
        <v>TRANSFERENCIA ENTRE BANCOS (149-&gt;102)</v>
      </c>
      <c r="I4622" t="str">
        <f t="shared" si="878"/>
        <v>07/10/2025</v>
      </c>
      <c r="J4622" t="str">
        <f t="shared" si="878"/>
        <v>07/10/2025</v>
      </c>
      <c r="K4622" t="str">
        <f t="shared" si="878"/>
        <v>07/10/2025</v>
      </c>
      <c r="N4622">
        <v>149</v>
      </c>
      <c r="O4622" t="str">
        <f>"BANCO C6"</f>
        <v>BANCO C6</v>
      </c>
      <c r="S4622" t="str">
        <f>"BANCO C6 (149)"</f>
        <v>BANCO C6 (149)</v>
      </c>
      <c r="T4622">
        <v>22374</v>
      </c>
      <c r="U4622">
        <v>0</v>
      </c>
      <c r="V4622" t="s">
        <v>77</v>
      </c>
    </row>
    <row r="4623" spans="1:22">
      <c r="A4623" t="str">
        <f t="shared" ref="A4623:A4686" si="879">("08/10/2025")</f>
        <v>08/10/2025</v>
      </c>
      <c r="B4623" t="str">
        <f>"SAÍDA"</f>
        <v>SAÍDA</v>
      </c>
      <c r="C4623" t="str">
        <f>"PIX"</f>
        <v>PIX</v>
      </c>
      <c r="D4623" t="str">
        <f>"22656"</f>
        <v>22656</v>
      </c>
      <c r="E4623" t="str">
        <f>"1"</f>
        <v>1</v>
      </c>
      <c r="F4623" t="str">
        <f t="shared" ref="F4623:F4686" si="880">"COM"</f>
        <v>COM</v>
      </c>
      <c r="G4623" t="str">
        <f>"JOAO ALEXANDRE DE SOUZA ARAUJO (698)"</f>
        <v>JOAO ALEXANDRE DE SOUZA ARAUJO (698)</v>
      </c>
      <c r="H4623" t="str">
        <f>"Serv.Prest. 22/09/2025 a 25/09/2025 - PIX: CPF - CHAVE: 174.029.607-90"</f>
        <v>Serv.Prest. 22/09/2025 a 25/09/2025 - PIX: CPF - CHAVE: 174.029.607-90</v>
      </c>
      <c r="I4623" t="str">
        <f>("27/10/2025")</f>
        <v>27/10/2025</v>
      </c>
      <c r="J4623" t="str">
        <f>("26/09/2025")</f>
        <v>26/09/2025</v>
      </c>
      <c r="K4623" t="str">
        <f>("08/10/2025")</f>
        <v>08/10/2025</v>
      </c>
      <c r="L4623">
        <v>50</v>
      </c>
      <c r="M4623">
        <v>50</v>
      </c>
      <c r="N4623">
        <v>134</v>
      </c>
      <c r="O4623" t="str">
        <f>"DIARIA DE MOTOBOY"</f>
        <v>DIARIA DE MOTOBOY</v>
      </c>
      <c r="P4623">
        <v>50</v>
      </c>
      <c r="S4623" t="str">
        <f>"BANCO CORA (102)"</f>
        <v>BANCO CORA (102)</v>
      </c>
      <c r="T4623">
        <v>19192</v>
      </c>
      <c r="U4623">
        <v>23091</v>
      </c>
      <c r="V4623" t="s">
        <v>22</v>
      </c>
    </row>
    <row r="4624" spans="1:22">
      <c r="A4624" t="str">
        <f t="shared" si="879"/>
        <v>08/10/2025</v>
      </c>
      <c r="B4624" t="str">
        <f>"SAÍDA"</f>
        <v>SAÍDA</v>
      </c>
      <c r="C4624" t="str">
        <f>"PIX"</f>
        <v>PIX</v>
      </c>
      <c r="D4624" t="str">
        <f>"22656"</f>
        <v>22656</v>
      </c>
      <c r="E4624" t="str">
        <f>"1"</f>
        <v>1</v>
      </c>
      <c r="F4624" t="str">
        <f t="shared" si="880"/>
        <v>COM</v>
      </c>
      <c r="G4624" t="str">
        <f>"JOAO ALEXANDRE DE SOUZA ARAUJO (698)"</f>
        <v>JOAO ALEXANDRE DE SOUZA ARAUJO (698)</v>
      </c>
      <c r="H4624" t="s">
        <v>1356</v>
      </c>
      <c r="I4624" t="str">
        <f>("27/10/2025")</f>
        <v>27/10/2025</v>
      </c>
      <c r="J4624" t="str">
        <f>("26/09/2025")</f>
        <v>26/09/2025</v>
      </c>
      <c r="K4624">
        <v>45938</v>
      </c>
      <c r="N4624">
        <v>134</v>
      </c>
      <c r="O4624" t="s">
        <v>41</v>
      </c>
      <c r="Q4624">
        <v>50</v>
      </c>
      <c r="R4624" t="str">
        <f>"FARMÁCIA INDIANA LJ 188 (10176)"</f>
        <v>FARMÁCIA INDIANA LJ 188 (10176)</v>
      </c>
      <c r="S4624" t="s">
        <v>22</v>
      </c>
      <c r="T4624">
        <v>19192</v>
      </c>
      <c r="U4624">
        <v>23091</v>
      </c>
      <c r="V4624" t="s">
        <v>22</v>
      </c>
    </row>
    <row r="4625" spans="1:22">
      <c r="A4625" t="str">
        <f t="shared" si="879"/>
        <v>08/10/2025</v>
      </c>
      <c r="B4625" t="str">
        <f>"ENTRADA"</f>
        <v>ENTRADA</v>
      </c>
      <c r="C4625" t="str">
        <f>"DINHEIRO"</f>
        <v>DINHEIRO</v>
      </c>
      <c r="D4625" t="str">
        <f>"1610"</f>
        <v>1610</v>
      </c>
      <c r="E4625" t="str">
        <f>"25"</f>
        <v>25</v>
      </c>
      <c r="F4625" t="str">
        <f t="shared" si="880"/>
        <v>COM</v>
      </c>
      <c r="G4625" t="str">
        <f>"PEDRO LUCAS MACIEL LIMA (962)"</f>
        <v>PEDRO LUCAS MACIEL LIMA (962)</v>
      </c>
      <c r="H4625" t="str">
        <f>"REEMBOLSO ADIANTAMENTO DIARIA"</f>
        <v>REEMBOLSO ADIANTAMENTO DIARIA</v>
      </c>
      <c r="I4625" t="str">
        <f>("16/10/2025")</f>
        <v>16/10/2025</v>
      </c>
      <c r="J4625" t="str">
        <f>("30/09/2025")</f>
        <v>30/09/2025</v>
      </c>
      <c r="K4625" t="str">
        <f>("08/10/2025")</f>
        <v>08/10/2025</v>
      </c>
      <c r="L4625">
        <v>150</v>
      </c>
      <c r="M4625">
        <v>150</v>
      </c>
      <c r="N4625">
        <v>129</v>
      </c>
      <c r="O4625" t="str">
        <f>"ENTRADA DE REEMBOLSO ADIANTAMENTO"</f>
        <v>ENTRADA DE REEMBOLSO ADIANTAMENTO</v>
      </c>
      <c r="P4625">
        <v>150</v>
      </c>
      <c r="S4625" t="str">
        <f>"ENTRADA DE REEMBOLSO ADIANTAMENTO (129)"</f>
        <v>ENTRADA DE REEMBOLSO ADIANTAMENTO (129)</v>
      </c>
      <c r="T4625">
        <v>19215</v>
      </c>
      <c r="U4625">
        <v>22757</v>
      </c>
      <c r="V4625" t="s">
        <v>48</v>
      </c>
    </row>
    <row r="4626" spans="1:22">
      <c r="A4626" t="str">
        <f t="shared" si="879"/>
        <v>08/10/2025</v>
      </c>
      <c r="B4626" t="str">
        <f>"ENTRADA"</f>
        <v>ENTRADA</v>
      </c>
      <c r="C4626" t="str">
        <f>"DINHEIRO"</f>
        <v>DINHEIRO</v>
      </c>
      <c r="D4626" t="str">
        <f>"1610"</f>
        <v>1610</v>
      </c>
      <c r="E4626" t="str">
        <f>"25"</f>
        <v>25</v>
      </c>
      <c r="F4626" t="str">
        <f t="shared" si="880"/>
        <v>COM</v>
      </c>
      <c r="G4626" t="str">
        <f>"PEDRO LUCAS MACIEL LIMA (962)"</f>
        <v>PEDRO LUCAS MACIEL LIMA (962)</v>
      </c>
      <c r="H4626" t="s">
        <v>1357</v>
      </c>
      <c r="I4626" t="str">
        <f>("16/10/2025")</f>
        <v>16/10/2025</v>
      </c>
      <c r="J4626" t="str">
        <f>("30/09/2025")</f>
        <v>30/09/2025</v>
      </c>
      <c r="K4626">
        <v>45938</v>
      </c>
      <c r="N4626">
        <v>129</v>
      </c>
      <c r="O4626" t="s">
        <v>58</v>
      </c>
      <c r="Q4626">
        <v>150</v>
      </c>
      <c r="R4626" t="str">
        <f>"PEDRO LUCAS MACIEL LIMA (962)"</f>
        <v>PEDRO LUCAS MACIEL LIMA (962)</v>
      </c>
      <c r="S4626" t="s">
        <v>59</v>
      </c>
      <c r="T4626">
        <v>19215</v>
      </c>
      <c r="U4626">
        <v>22757</v>
      </c>
      <c r="V4626" t="s">
        <v>48</v>
      </c>
    </row>
    <row r="4627" spans="1:22">
      <c r="A4627" t="str">
        <f t="shared" si="879"/>
        <v>08/10/2025</v>
      </c>
      <c r="B4627" t="str">
        <f>"SAÍDA"</f>
        <v>SAÍDA</v>
      </c>
      <c r="C4627" t="str">
        <f>"PIX"</f>
        <v>PIX</v>
      </c>
      <c r="D4627" t="str">
        <f>"22991"</f>
        <v>22991</v>
      </c>
      <c r="E4627" t="str">
        <f>"1"</f>
        <v>1</v>
      </c>
      <c r="F4627" t="str">
        <f t="shared" si="880"/>
        <v>COM</v>
      </c>
      <c r="G4627" t="str">
        <f>"PEDRO LUCAS MACIEL LIMA (962)"</f>
        <v>PEDRO LUCAS MACIEL LIMA (962)</v>
      </c>
      <c r="H4627" t="str">
        <f>"Serv.Prest. 26/09/2025 a 05/10/2025 - PIX: CELULAR - CHAVE: (31) 99206-7115"</f>
        <v>Serv.Prest. 26/09/2025 a 05/10/2025 - PIX: CELULAR - CHAVE: (31) 99206-7115</v>
      </c>
      <c r="I4627" t="str">
        <f>("16/10/2025")</f>
        <v>16/10/2025</v>
      </c>
      <c r="J4627" t="str">
        <f>("07/10/2025")</f>
        <v>07/10/2025</v>
      </c>
      <c r="K4627" t="str">
        <f>("08/10/2025")</f>
        <v>08/10/2025</v>
      </c>
      <c r="L4627">
        <v>150</v>
      </c>
      <c r="M4627">
        <v>150</v>
      </c>
      <c r="N4627">
        <v>109</v>
      </c>
      <c r="O4627" t="str">
        <f>"PAGAMENTO DE ENTREGADORES"</f>
        <v>PAGAMENTO DE ENTREGADORES</v>
      </c>
      <c r="P4627">
        <v>150</v>
      </c>
      <c r="S4627" t="str">
        <f>"CAIXA MOVIMENTAÇÃO OPERACIONAL (132)"</f>
        <v>CAIXA MOVIMENTAÇÃO OPERACIONAL (132)</v>
      </c>
      <c r="T4627">
        <v>19216</v>
      </c>
      <c r="U4627">
        <v>22991</v>
      </c>
      <c r="V4627" t="s">
        <v>48</v>
      </c>
    </row>
    <row r="4628" spans="1:22">
      <c r="A4628" t="str">
        <f t="shared" si="879"/>
        <v>08/10/2025</v>
      </c>
      <c r="B4628" t="str">
        <f>"SAÍDA"</f>
        <v>SAÍDA</v>
      </c>
      <c r="C4628" t="str">
        <f>"PIX"</f>
        <v>PIX</v>
      </c>
      <c r="D4628" t="str">
        <f>"22991"</f>
        <v>22991</v>
      </c>
      <c r="E4628" t="str">
        <f>"1"</f>
        <v>1</v>
      </c>
      <c r="F4628" t="str">
        <f t="shared" si="880"/>
        <v>COM</v>
      </c>
      <c r="G4628" t="str">
        <f>"PEDRO LUCAS MACIEL LIMA (962)"</f>
        <v>PEDRO LUCAS MACIEL LIMA (962)</v>
      </c>
      <c r="H4628" t="s">
        <v>1358</v>
      </c>
      <c r="I4628" t="str">
        <f>("16/10/2025")</f>
        <v>16/10/2025</v>
      </c>
      <c r="J4628" t="str">
        <f>("07/10/2025")</f>
        <v>07/10/2025</v>
      </c>
      <c r="K4628">
        <v>45938</v>
      </c>
      <c r="N4628">
        <v>109</v>
      </c>
      <c r="O4628" t="s">
        <v>24</v>
      </c>
      <c r="Q4628">
        <v>150</v>
      </c>
      <c r="R4628" t="str">
        <f>"FARMÁCIA INDIANA LJ 178 (10077)"</f>
        <v>FARMÁCIA INDIANA LJ 178 (10077)</v>
      </c>
      <c r="S4628" t="s">
        <v>48</v>
      </c>
      <c r="T4628">
        <v>19216</v>
      </c>
      <c r="U4628">
        <v>22991</v>
      </c>
      <c r="V4628" t="s">
        <v>48</v>
      </c>
    </row>
    <row r="4629" spans="1:22">
      <c r="A4629" t="str">
        <f t="shared" si="879"/>
        <v>08/10/2025</v>
      </c>
      <c r="B4629" t="str">
        <f>"ENTRADA"</f>
        <v>ENTRADA</v>
      </c>
      <c r="C4629" t="str">
        <f>"DINHEIRO"</f>
        <v>DINHEIRO</v>
      </c>
      <c r="D4629" t="str">
        <f>"318"</f>
        <v>318</v>
      </c>
      <c r="E4629" t="str">
        <f>"10"</f>
        <v>10</v>
      </c>
      <c r="F4629" t="str">
        <f t="shared" si="880"/>
        <v>COM</v>
      </c>
      <c r="G4629" t="str">
        <f>"TALES DE JESUS OLIVEIRA (318)"</f>
        <v>TALES DE JESUS OLIVEIRA (318)</v>
      </c>
      <c r="H4629" t="str">
        <f>"COTAS COOPERATIVA"</f>
        <v>COTAS COOPERATIVA</v>
      </c>
      <c r="I4629" t="str">
        <f>("13/10/2025")</f>
        <v>13/10/2025</v>
      </c>
      <c r="J4629" t="str">
        <f>("13/02/2025")</f>
        <v>13/02/2025</v>
      </c>
      <c r="K4629" t="str">
        <f>("08/10/2025")</f>
        <v>08/10/2025</v>
      </c>
      <c r="L4629">
        <v>20</v>
      </c>
      <c r="M4629">
        <v>20</v>
      </c>
      <c r="N4629">
        <v>106</v>
      </c>
      <c r="O4629" t="str">
        <f>"ENTRADA DE CAPITAL"</f>
        <v>ENTRADA DE CAPITAL</v>
      </c>
      <c r="P4629">
        <v>20</v>
      </c>
      <c r="S4629" t="str">
        <f>"ENTRADA DE CAPITAL (106)"</f>
        <v>ENTRADA DE CAPITAL (106)</v>
      </c>
      <c r="T4629">
        <v>19219</v>
      </c>
      <c r="U4629">
        <v>9828</v>
      </c>
      <c r="V4629" t="s">
        <v>48</v>
      </c>
    </row>
    <row r="4630" spans="1:22">
      <c r="A4630" t="str">
        <f t="shared" si="879"/>
        <v>08/10/2025</v>
      </c>
      <c r="B4630" t="str">
        <f>"ENTRADA"</f>
        <v>ENTRADA</v>
      </c>
      <c r="C4630" t="str">
        <f>"DINHEIRO"</f>
        <v>DINHEIRO</v>
      </c>
      <c r="D4630" t="str">
        <f>"318"</f>
        <v>318</v>
      </c>
      <c r="E4630" t="str">
        <f>"10"</f>
        <v>10</v>
      </c>
      <c r="F4630" t="str">
        <f t="shared" si="880"/>
        <v>COM</v>
      </c>
      <c r="G4630" t="str">
        <f>"TALES DE JESUS OLIVEIRA (318)"</f>
        <v>TALES DE JESUS OLIVEIRA (318)</v>
      </c>
      <c r="H4630" t="s">
        <v>318</v>
      </c>
      <c r="I4630" t="str">
        <f>("13/10/2025")</f>
        <v>13/10/2025</v>
      </c>
      <c r="J4630" t="str">
        <f>("13/02/2025")</f>
        <v>13/02/2025</v>
      </c>
      <c r="K4630">
        <v>45938</v>
      </c>
      <c r="N4630">
        <v>106</v>
      </c>
      <c r="O4630" t="s">
        <v>51</v>
      </c>
      <c r="Q4630">
        <v>20</v>
      </c>
      <c r="R4630" t="str">
        <f>"TALES DE JESUS OLIVEIRA (318)"</f>
        <v>TALES DE JESUS OLIVEIRA (318)</v>
      </c>
      <c r="S4630" t="s">
        <v>52</v>
      </c>
      <c r="T4630">
        <v>19219</v>
      </c>
      <c r="U4630">
        <v>9828</v>
      </c>
      <c r="V4630" t="s">
        <v>48</v>
      </c>
    </row>
    <row r="4631" spans="1:22">
      <c r="A4631" t="str">
        <f t="shared" si="879"/>
        <v>08/10/2025</v>
      </c>
      <c r="B4631" t="str">
        <f>"SAÍDA"</f>
        <v>SAÍDA</v>
      </c>
      <c r="C4631" t="str">
        <f>"PIX"</f>
        <v>PIX</v>
      </c>
      <c r="D4631" t="str">
        <f>"22910"</f>
        <v>22910</v>
      </c>
      <c r="E4631" t="str">
        <f>"1"</f>
        <v>1</v>
      </c>
      <c r="F4631" t="str">
        <f t="shared" si="880"/>
        <v>COM</v>
      </c>
      <c r="G4631" t="str">
        <f>"TALES DE JESUS OLIVEIRA (318)"</f>
        <v>TALES DE JESUS OLIVEIRA (318)</v>
      </c>
      <c r="H4631" t="str">
        <f>"Serv.Prest. 26/09/2025 a 05/10/2025 - PIX: CPF - CHAVE: 378.223.888-51"</f>
        <v>Serv.Prest. 26/09/2025 a 05/10/2025 - PIX: CPF - CHAVE: 378.223.888-51</v>
      </c>
      <c r="I4631" t="str">
        <f t="shared" ref="I4631:I4636" si="881">("16/10/2025")</f>
        <v>16/10/2025</v>
      </c>
      <c r="J4631" t="str">
        <f>("07/10/2025")</f>
        <v>07/10/2025</v>
      </c>
      <c r="K4631" t="str">
        <f>("08/10/2025")</f>
        <v>08/10/2025</v>
      </c>
      <c r="L4631">
        <v>20</v>
      </c>
      <c r="M4631">
        <v>20</v>
      </c>
      <c r="N4631">
        <v>109</v>
      </c>
      <c r="O4631" t="str">
        <f>"PAGAMENTO DE ENTREGADORES"</f>
        <v>PAGAMENTO DE ENTREGADORES</v>
      </c>
      <c r="P4631">
        <v>20</v>
      </c>
      <c r="S4631" t="str">
        <f>"CAIXA MOVIMENTAÇÃO OPERACIONAL (132)"</f>
        <v>CAIXA MOVIMENTAÇÃO OPERACIONAL (132)</v>
      </c>
      <c r="T4631">
        <v>19220</v>
      </c>
      <c r="U4631">
        <v>23103</v>
      </c>
      <c r="V4631" t="s">
        <v>48</v>
      </c>
    </row>
    <row r="4632" spans="1:22">
      <c r="A4632" t="str">
        <f t="shared" si="879"/>
        <v>08/10/2025</v>
      </c>
      <c r="B4632" t="str">
        <f>"SAÍDA"</f>
        <v>SAÍDA</v>
      </c>
      <c r="C4632" t="str">
        <f>"PIX"</f>
        <v>PIX</v>
      </c>
      <c r="D4632" t="str">
        <f>"22910"</f>
        <v>22910</v>
      </c>
      <c r="E4632" t="str">
        <f>"1"</f>
        <v>1</v>
      </c>
      <c r="F4632" t="str">
        <f t="shared" si="880"/>
        <v>COM</v>
      </c>
      <c r="G4632" t="str">
        <f>"TALES DE JESUS OLIVEIRA (318)"</f>
        <v>TALES DE JESUS OLIVEIRA (318)</v>
      </c>
      <c r="H4632" t="s">
        <v>1359</v>
      </c>
      <c r="I4632" t="str">
        <f t="shared" si="881"/>
        <v>16/10/2025</v>
      </c>
      <c r="J4632" t="str">
        <f>("07/10/2025")</f>
        <v>07/10/2025</v>
      </c>
      <c r="K4632">
        <v>45938</v>
      </c>
      <c r="N4632">
        <v>109</v>
      </c>
      <c r="O4632" t="s">
        <v>24</v>
      </c>
      <c r="Q4632">
        <v>20</v>
      </c>
      <c r="R4632" t="str">
        <f>"FARMÁCIA INDIANA LJ 145 (10068)"</f>
        <v>FARMÁCIA INDIANA LJ 145 (10068)</v>
      </c>
      <c r="S4632" t="s">
        <v>48</v>
      </c>
      <c r="T4632">
        <v>19220</v>
      </c>
      <c r="U4632">
        <v>23103</v>
      </c>
      <c r="V4632" t="s">
        <v>48</v>
      </c>
    </row>
    <row r="4633" spans="1:22">
      <c r="A4633" t="str">
        <f t="shared" si="879"/>
        <v>08/10/2025</v>
      </c>
      <c r="B4633" t="str">
        <f>"ENTRADA"</f>
        <v>ENTRADA</v>
      </c>
      <c r="C4633" t="str">
        <f>"DINHEIRO"</f>
        <v>DINHEIRO</v>
      </c>
      <c r="D4633" t="str">
        <f>"03"</f>
        <v>03</v>
      </c>
      <c r="E4633" t="str">
        <f>"34"</f>
        <v>34</v>
      </c>
      <c r="F4633" t="str">
        <f t="shared" si="880"/>
        <v>COM</v>
      </c>
      <c r="G4633" t="str">
        <f>"DANILO DE JESUS SANTOS (490)"</f>
        <v>DANILO DE JESUS SANTOS (490)</v>
      </c>
      <c r="H4633" t="str">
        <f>"DESCONTO COTA COOPERADO"</f>
        <v>DESCONTO COTA COOPERADO</v>
      </c>
      <c r="I4633" t="str">
        <f t="shared" si="881"/>
        <v>16/10/2025</v>
      </c>
      <c r="J4633" t="str">
        <f>("14/01/2025")</f>
        <v>14/01/2025</v>
      </c>
      <c r="K4633" t="str">
        <f>("08/10/2025")</f>
        <v>08/10/2025</v>
      </c>
      <c r="L4633">
        <v>20</v>
      </c>
      <c r="M4633">
        <v>20</v>
      </c>
      <c r="N4633">
        <v>106</v>
      </c>
      <c r="O4633" t="str">
        <f>"ENTRADA DE CAPITAL"</f>
        <v>ENTRADA DE CAPITAL</v>
      </c>
      <c r="P4633">
        <v>20</v>
      </c>
      <c r="S4633" t="str">
        <f>"ENTRADA DE CAPITAL (106)"</f>
        <v>ENTRADA DE CAPITAL (106)</v>
      </c>
      <c r="T4633">
        <v>19221</v>
      </c>
      <c r="U4633">
        <v>5817</v>
      </c>
      <c r="V4633" t="s">
        <v>48</v>
      </c>
    </row>
    <row r="4634" spans="1:22">
      <c r="A4634" t="str">
        <f t="shared" si="879"/>
        <v>08/10/2025</v>
      </c>
      <c r="B4634" t="str">
        <f>"ENTRADA"</f>
        <v>ENTRADA</v>
      </c>
      <c r="C4634" t="str">
        <f>"DINHEIRO"</f>
        <v>DINHEIRO</v>
      </c>
      <c r="D4634" t="str">
        <f>"03"</f>
        <v>03</v>
      </c>
      <c r="E4634" t="str">
        <f>"34"</f>
        <v>34</v>
      </c>
      <c r="F4634" t="str">
        <f t="shared" si="880"/>
        <v>COM</v>
      </c>
      <c r="G4634" t="str">
        <f>"DANILO DE JESUS SANTOS (490)"</f>
        <v>DANILO DE JESUS SANTOS (490)</v>
      </c>
      <c r="H4634" t="s">
        <v>309</v>
      </c>
      <c r="I4634" t="str">
        <f t="shared" si="881"/>
        <v>16/10/2025</v>
      </c>
      <c r="J4634" t="str">
        <f>("14/01/2025")</f>
        <v>14/01/2025</v>
      </c>
      <c r="K4634">
        <v>45938</v>
      </c>
      <c r="N4634">
        <v>106</v>
      </c>
      <c r="O4634" t="s">
        <v>51</v>
      </c>
      <c r="Q4634">
        <v>20</v>
      </c>
      <c r="R4634" t="str">
        <f>"DANILO DE JESUS SANTOS (490)"</f>
        <v>DANILO DE JESUS SANTOS (490)</v>
      </c>
      <c r="S4634" t="s">
        <v>52</v>
      </c>
      <c r="T4634">
        <v>19221</v>
      </c>
      <c r="U4634">
        <v>5817</v>
      </c>
      <c r="V4634" t="s">
        <v>48</v>
      </c>
    </row>
    <row r="4635" spans="1:22">
      <c r="A4635" t="str">
        <f t="shared" si="879"/>
        <v>08/10/2025</v>
      </c>
      <c r="B4635" t="str">
        <f>"SAÍDA"</f>
        <v>SAÍDA</v>
      </c>
      <c r="C4635" t="str">
        <f>"PIX"</f>
        <v>PIX</v>
      </c>
      <c r="D4635" t="str">
        <f>"22888"</f>
        <v>22888</v>
      </c>
      <c r="E4635" t="str">
        <f>"1"</f>
        <v>1</v>
      </c>
      <c r="F4635" t="str">
        <f t="shared" si="880"/>
        <v>COM</v>
      </c>
      <c r="G4635" t="str">
        <f>"DANILO DE JESUS SANTOS (490)"</f>
        <v>DANILO DE JESUS SANTOS (490)</v>
      </c>
      <c r="H4635" t="str">
        <f>"Serv.Prest. 26/09/2025 a 05/10/2025 - PIX: CELULAR - CHAVE: (73) 98191-0061"</f>
        <v>Serv.Prest. 26/09/2025 a 05/10/2025 - PIX: CELULAR - CHAVE: (73) 98191-0061</v>
      </c>
      <c r="I4635" t="str">
        <f t="shared" si="881"/>
        <v>16/10/2025</v>
      </c>
      <c r="J4635" t="str">
        <f>("07/10/2025")</f>
        <v>07/10/2025</v>
      </c>
      <c r="K4635" t="str">
        <f>("08/10/2025")</f>
        <v>08/10/2025</v>
      </c>
      <c r="L4635">
        <v>20</v>
      </c>
      <c r="M4635">
        <v>20</v>
      </c>
      <c r="N4635">
        <v>109</v>
      </c>
      <c r="O4635" t="str">
        <f>"PAGAMENTO DE ENTREGADORES"</f>
        <v>PAGAMENTO DE ENTREGADORES</v>
      </c>
      <c r="P4635">
        <v>20</v>
      </c>
      <c r="S4635" t="str">
        <f>"CAIXA MOVIMENTAÇÃO OPERACIONAL (132)"</f>
        <v>CAIXA MOVIMENTAÇÃO OPERACIONAL (132)</v>
      </c>
      <c r="T4635">
        <v>19222</v>
      </c>
      <c r="U4635">
        <v>23104</v>
      </c>
      <c r="V4635" t="s">
        <v>48</v>
      </c>
    </row>
    <row r="4636" spans="1:22">
      <c r="A4636" t="str">
        <f t="shared" si="879"/>
        <v>08/10/2025</v>
      </c>
      <c r="B4636" t="str">
        <f>"SAÍDA"</f>
        <v>SAÍDA</v>
      </c>
      <c r="C4636" t="str">
        <f>"PIX"</f>
        <v>PIX</v>
      </c>
      <c r="D4636" t="str">
        <f>"22888"</f>
        <v>22888</v>
      </c>
      <c r="E4636" t="str">
        <f>"1"</f>
        <v>1</v>
      </c>
      <c r="F4636" t="str">
        <f t="shared" si="880"/>
        <v>COM</v>
      </c>
      <c r="G4636" t="str">
        <f>"DANILO DE JESUS SANTOS (490)"</f>
        <v>DANILO DE JESUS SANTOS (490)</v>
      </c>
      <c r="H4636" t="s">
        <v>1360</v>
      </c>
      <c r="I4636" t="str">
        <f t="shared" si="881"/>
        <v>16/10/2025</v>
      </c>
      <c r="J4636" t="str">
        <f>("07/10/2025")</f>
        <v>07/10/2025</v>
      </c>
      <c r="K4636">
        <v>45938</v>
      </c>
      <c r="N4636">
        <v>109</v>
      </c>
      <c r="O4636" t="s">
        <v>24</v>
      </c>
      <c r="Q4636">
        <v>20</v>
      </c>
      <c r="R4636" t="str">
        <f>"FARMÁCIA INDIANA LJ 145 (10068)"</f>
        <v>FARMÁCIA INDIANA LJ 145 (10068)</v>
      </c>
      <c r="S4636" t="s">
        <v>48</v>
      </c>
      <c r="T4636">
        <v>19222</v>
      </c>
      <c r="U4636">
        <v>23104</v>
      </c>
      <c r="V4636" t="s">
        <v>48</v>
      </c>
    </row>
    <row r="4637" spans="1:22">
      <c r="A4637" t="str">
        <f t="shared" si="879"/>
        <v>08/10/2025</v>
      </c>
      <c r="B4637" t="str">
        <f>"ENTRADA"</f>
        <v>ENTRADA</v>
      </c>
      <c r="C4637" t="str">
        <f>"DINHEIRO"</f>
        <v>DINHEIRO</v>
      </c>
      <c r="D4637" t="str">
        <f>"623"</f>
        <v>623</v>
      </c>
      <c r="E4637" t="str">
        <f>"9"</f>
        <v>9</v>
      </c>
      <c r="F4637" t="str">
        <f t="shared" si="880"/>
        <v>COM</v>
      </c>
      <c r="G4637" t="str">
        <f>"ROBSON OLIVEIRA DE JESUS (623)"</f>
        <v>ROBSON OLIVEIRA DE JESUS (623)</v>
      </c>
      <c r="H4637" t="str">
        <f>"COTAS COOPERATIVA"</f>
        <v>COTAS COOPERATIVA</v>
      </c>
      <c r="I4637" t="str">
        <f>("13/10/2025")</f>
        <v>13/10/2025</v>
      </c>
      <c r="J4637" t="str">
        <f>("13/02/2025")</f>
        <v>13/02/2025</v>
      </c>
      <c r="K4637" t="str">
        <f>("08/10/2025")</f>
        <v>08/10/2025</v>
      </c>
      <c r="L4637">
        <v>20</v>
      </c>
      <c r="M4637">
        <v>20</v>
      </c>
      <c r="N4637">
        <v>106</v>
      </c>
      <c r="O4637" t="str">
        <f>"ENTRADA DE CAPITAL"</f>
        <v>ENTRADA DE CAPITAL</v>
      </c>
      <c r="P4637">
        <v>20</v>
      </c>
      <c r="S4637" t="str">
        <f>"ENTRADA DE CAPITAL (106)"</f>
        <v>ENTRADA DE CAPITAL (106)</v>
      </c>
      <c r="T4637">
        <v>19223</v>
      </c>
      <c r="U4637">
        <v>9852</v>
      </c>
      <c r="V4637" t="s">
        <v>48</v>
      </c>
    </row>
    <row r="4638" spans="1:22">
      <c r="A4638" t="str">
        <f t="shared" si="879"/>
        <v>08/10/2025</v>
      </c>
      <c r="B4638" t="str">
        <f>"ENTRADA"</f>
        <v>ENTRADA</v>
      </c>
      <c r="C4638" t="str">
        <f>"DINHEIRO"</f>
        <v>DINHEIRO</v>
      </c>
      <c r="D4638" t="str">
        <f>"623"</f>
        <v>623</v>
      </c>
      <c r="E4638" t="str">
        <f>"9"</f>
        <v>9</v>
      </c>
      <c r="F4638" t="str">
        <f t="shared" si="880"/>
        <v>COM</v>
      </c>
      <c r="G4638" t="str">
        <f>"ROBSON OLIVEIRA DE JESUS (623)"</f>
        <v>ROBSON OLIVEIRA DE JESUS (623)</v>
      </c>
      <c r="H4638" t="s">
        <v>318</v>
      </c>
      <c r="I4638" t="str">
        <f>("13/10/2025")</f>
        <v>13/10/2025</v>
      </c>
      <c r="J4638" t="str">
        <f>("13/02/2025")</f>
        <v>13/02/2025</v>
      </c>
      <c r="K4638">
        <v>45938</v>
      </c>
      <c r="N4638">
        <v>106</v>
      </c>
      <c r="O4638" t="s">
        <v>51</v>
      </c>
      <c r="Q4638">
        <v>20</v>
      </c>
      <c r="R4638" t="str">
        <f>"ROBSON OLIVEIRA DE JESUS (623)"</f>
        <v>ROBSON OLIVEIRA DE JESUS (623)</v>
      </c>
      <c r="S4638" t="s">
        <v>52</v>
      </c>
      <c r="T4638">
        <v>19223</v>
      </c>
      <c r="U4638">
        <v>9852</v>
      </c>
      <c r="V4638" t="s">
        <v>48</v>
      </c>
    </row>
    <row r="4639" spans="1:22">
      <c r="A4639" t="str">
        <f t="shared" si="879"/>
        <v>08/10/2025</v>
      </c>
      <c r="B4639" t="str">
        <f>"SAÍDA"</f>
        <v>SAÍDA</v>
      </c>
      <c r="C4639" t="str">
        <f>"PIX"</f>
        <v>PIX</v>
      </c>
      <c r="D4639" t="str">
        <f>"22909"</f>
        <v>22909</v>
      </c>
      <c r="E4639" t="str">
        <f>"1"</f>
        <v>1</v>
      </c>
      <c r="F4639" t="str">
        <f t="shared" si="880"/>
        <v>COM</v>
      </c>
      <c r="G4639" t="str">
        <f>"ROBSON OLIVEIRA DE JESUS (623)"</f>
        <v>ROBSON OLIVEIRA DE JESUS (623)</v>
      </c>
      <c r="H4639" t="str">
        <f>"Serv.Prest. 26/09/2025 a 05/10/2025 - PIX: CPF - CHAVE: 009.265.655-24"</f>
        <v>Serv.Prest. 26/09/2025 a 05/10/2025 - PIX: CPF - CHAVE: 009.265.655-24</v>
      </c>
      <c r="I4639" t="str">
        <f>("16/10/2025")</f>
        <v>16/10/2025</v>
      </c>
      <c r="J4639" t="str">
        <f>("07/10/2025")</f>
        <v>07/10/2025</v>
      </c>
      <c r="K4639" t="str">
        <f>("08/10/2025")</f>
        <v>08/10/2025</v>
      </c>
      <c r="L4639">
        <v>20</v>
      </c>
      <c r="M4639">
        <v>20</v>
      </c>
      <c r="N4639">
        <v>109</v>
      </c>
      <c r="O4639" t="str">
        <f>"PAGAMENTO DE ENTREGADORES"</f>
        <v>PAGAMENTO DE ENTREGADORES</v>
      </c>
      <c r="P4639">
        <v>20</v>
      </c>
      <c r="S4639" t="str">
        <f>"CAIXA MOVIMENTAÇÃO OPERACIONAL (132)"</f>
        <v>CAIXA MOVIMENTAÇÃO OPERACIONAL (132)</v>
      </c>
      <c r="T4639">
        <v>19224</v>
      </c>
      <c r="U4639">
        <v>23105</v>
      </c>
      <c r="V4639" t="s">
        <v>48</v>
      </c>
    </row>
    <row r="4640" spans="1:22">
      <c r="A4640" t="str">
        <f t="shared" si="879"/>
        <v>08/10/2025</v>
      </c>
      <c r="B4640" t="str">
        <f>"SAÍDA"</f>
        <v>SAÍDA</v>
      </c>
      <c r="C4640" t="str">
        <f>"PIX"</f>
        <v>PIX</v>
      </c>
      <c r="D4640" t="str">
        <f>"22909"</f>
        <v>22909</v>
      </c>
      <c r="E4640" t="str">
        <f>"1"</f>
        <v>1</v>
      </c>
      <c r="F4640" t="str">
        <f t="shared" si="880"/>
        <v>COM</v>
      </c>
      <c r="G4640" t="str">
        <f>"ROBSON OLIVEIRA DE JESUS (623)"</f>
        <v>ROBSON OLIVEIRA DE JESUS (623)</v>
      </c>
      <c r="H4640" t="s">
        <v>1361</v>
      </c>
      <c r="I4640" t="str">
        <f>("16/10/2025")</f>
        <v>16/10/2025</v>
      </c>
      <c r="J4640" t="str">
        <f>("07/10/2025")</f>
        <v>07/10/2025</v>
      </c>
      <c r="K4640">
        <v>45938</v>
      </c>
      <c r="N4640">
        <v>109</v>
      </c>
      <c r="O4640" t="s">
        <v>24</v>
      </c>
      <c r="Q4640">
        <v>20</v>
      </c>
      <c r="R4640" t="str">
        <f>"FARMÁCIA INDIANA LJ 145 (10068)"</f>
        <v>FARMÁCIA INDIANA LJ 145 (10068)</v>
      </c>
      <c r="S4640" t="s">
        <v>48</v>
      </c>
      <c r="T4640">
        <v>19224</v>
      </c>
      <c r="U4640">
        <v>23105</v>
      </c>
      <c r="V4640" t="s">
        <v>48</v>
      </c>
    </row>
    <row r="4641" spans="1:22">
      <c r="A4641" t="str">
        <f t="shared" si="879"/>
        <v>08/10/2025</v>
      </c>
      <c r="B4641" t="str">
        <f>"ENTRADA"</f>
        <v>ENTRADA</v>
      </c>
      <c r="C4641" t="str">
        <f>"DINHEIRO"</f>
        <v>DINHEIRO</v>
      </c>
      <c r="D4641" t="str">
        <f>"243"</f>
        <v>243</v>
      </c>
      <c r="E4641" t="str">
        <f>"12"</f>
        <v>12</v>
      </c>
      <c r="F4641" t="str">
        <f t="shared" si="880"/>
        <v>COM</v>
      </c>
      <c r="G4641" t="str">
        <f>"ELENICIO ALVES DOS SANTOS (243)"</f>
        <v>ELENICIO ALVES DOS SANTOS (243)</v>
      </c>
      <c r="H4641" t="str">
        <f>"COTA COOPERATIVA"</f>
        <v>COTA COOPERATIVA</v>
      </c>
      <c r="I4641" t="str">
        <f>("05/10/2025")</f>
        <v>05/10/2025</v>
      </c>
      <c r="J4641" t="str">
        <f>("01/04/2025")</f>
        <v>01/04/2025</v>
      </c>
      <c r="K4641" t="str">
        <f>("08/10/2025")</f>
        <v>08/10/2025</v>
      </c>
      <c r="L4641">
        <v>20</v>
      </c>
      <c r="M4641">
        <v>20</v>
      </c>
      <c r="N4641">
        <v>106</v>
      </c>
      <c r="O4641" t="str">
        <f>"ENTRADA DE CAPITAL"</f>
        <v>ENTRADA DE CAPITAL</v>
      </c>
      <c r="P4641">
        <v>20</v>
      </c>
      <c r="S4641" t="str">
        <f>"ENTRADA DE CAPITAL (106)"</f>
        <v>ENTRADA DE CAPITAL (106)</v>
      </c>
      <c r="T4641">
        <v>19225</v>
      </c>
      <c r="U4641">
        <v>11765</v>
      </c>
      <c r="V4641" t="s">
        <v>48</v>
      </c>
    </row>
    <row r="4642" spans="1:22">
      <c r="A4642" t="str">
        <f t="shared" si="879"/>
        <v>08/10/2025</v>
      </c>
      <c r="B4642" t="str">
        <f>"ENTRADA"</f>
        <v>ENTRADA</v>
      </c>
      <c r="C4642" t="str">
        <f>"DINHEIRO"</f>
        <v>DINHEIRO</v>
      </c>
      <c r="D4642" t="str">
        <f>"243"</f>
        <v>243</v>
      </c>
      <c r="E4642" t="str">
        <f>"12"</f>
        <v>12</v>
      </c>
      <c r="F4642" t="str">
        <f t="shared" si="880"/>
        <v>COM</v>
      </c>
      <c r="G4642" t="str">
        <f>"ELENICIO ALVES DOS SANTOS (243)"</f>
        <v>ELENICIO ALVES DOS SANTOS (243)</v>
      </c>
      <c r="H4642" t="s">
        <v>50</v>
      </c>
      <c r="I4642" t="str">
        <f>("05/10/2025")</f>
        <v>05/10/2025</v>
      </c>
      <c r="J4642" t="str">
        <f>("01/04/2025")</f>
        <v>01/04/2025</v>
      </c>
      <c r="K4642">
        <v>45938</v>
      </c>
      <c r="N4642">
        <v>106</v>
      </c>
      <c r="O4642" t="s">
        <v>51</v>
      </c>
      <c r="Q4642">
        <v>20</v>
      </c>
      <c r="R4642" t="str">
        <f>"ELENICIO ALVES DOS SANTOS (243)"</f>
        <v>ELENICIO ALVES DOS SANTOS (243)</v>
      </c>
      <c r="S4642" t="s">
        <v>52</v>
      </c>
      <c r="T4642">
        <v>19225</v>
      </c>
      <c r="U4642">
        <v>11765</v>
      </c>
      <c r="V4642" t="s">
        <v>48</v>
      </c>
    </row>
    <row r="4643" spans="1:22">
      <c r="A4643" t="str">
        <f t="shared" si="879"/>
        <v>08/10/2025</v>
      </c>
      <c r="B4643" t="str">
        <f>"SAÍDA"</f>
        <v>SAÍDA</v>
      </c>
      <c r="C4643" t="str">
        <f>"PIX"</f>
        <v>PIX</v>
      </c>
      <c r="D4643" t="str">
        <f>"22794"</f>
        <v>22794</v>
      </c>
      <c r="E4643" t="str">
        <f>"1"</f>
        <v>1</v>
      </c>
      <c r="F4643" t="str">
        <f t="shared" si="880"/>
        <v>COM</v>
      </c>
      <c r="G4643" t="str">
        <f>"ELENICIO ALVES DOS SANTOS (243)"</f>
        <v>ELENICIO ALVES DOS SANTOS (243)</v>
      </c>
      <c r="H4643" t="str">
        <f>"Serv.Prest. 01/09/2025 a 30/09/2025 - PIX: NÃO CADASTRADO - CHAVE: CEF AG 2986 CONTA 2292-5 POUPANÇA"</f>
        <v>Serv.Prest. 01/09/2025 a 30/09/2025 - PIX: NÃO CADASTRADO - CHAVE: CEF AG 2986 CONTA 2292-5 POUPANÇA</v>
      </c>
      <c r="I4643" t="str">
        <f>("09/10/2025")</f>
        <v>09/10/2025</v>
      </c>
      <c r="J4643" t="str">
        <f>("01/10/2025")</f>
        <v>01/10/2025</v>
      </c>
      <c r="K4643" t="str">
        <f>("08/10/2025")</f>
        <v>08/10/2025</v>
      </c>
      <c r="L4643">
        <v>20</v>
      </c>
      <c r="M4643">
        <v>20</v>
      </c>
      <c r="N4643">
        <v>109</v>
      </c>
      <c r="O4643" t="str">
        <f>"PAGAMENTO DE ENTREGADORES"</f>
        <v>PAGAMENTO DE ENTREGADORES</v>
      </c>
      <c r="P4643">
        <v>20</v>
      </c>
      <c r="S4643" t="str">
        <f>"CAIXA MOVIMENTAÇÃO OPERACIONAL (132)"</f>
        <v>CAIXA MOVIMENTAÇÃO OPERACIONAL (132)</v>
      </c>
      <c r="T4643">
        <v>19226</v>
      </c>
      <c r="U4643">
        <v>23106</v>
      </c>
      <c r="V4643" t="s">
        <v>48</v>
      </c>
    </row>
    <row r="4644" spans="1:22">
      <c r="A4644" t="str">
        <f t="shared" si="879"/>
        <v>08/10/2025</v>
      </c>
      <c r="B4644" t="str">
        <f>"SAÍDA"</f>
        <v>SAÍDA</v>
      </c>
      <c r="C4644" t="str">
        <f>"PIX"</f>
        <v>PIX</v>
      </c>
      <c r="D4644" t="str">
        <f>"22794"</f>
        <v>22794</v>
      </c>
      <c r="E4644" t="str">
        <f>"1"</f>
        <v>1</v>
      </c>
      <c r="F4644" t="str">
        <f t="shared" si="880"/>
        <v>COM</v>
      </c>
      <c r="G4644" t="str">
        <f>"ELENICIO ALVES DOS SANTOS (243)"</f>
        <v>ELENICIO ALVES DOS SANTOS (243)</v>
      </c>
      <c r="H4644" t="s">
        <v>1362</v>
      </c>
      <c r="I4644" t="str">
        <f>("09/10/2025")</f>
        <v>09/10/2025</v>
      </c>
      <c r="J4644" t="str">
        <f>("01/10/2025")</f>
        <v>01/10/2025</v>
      </c>
      <c r="K4644">
        <v>45938</v>
      </c>
      <c r="N4644">
        <v>109</v>
      </c>
      <c r="O4644" t="s">
        <v>24</v>
      </c>
      <c r="Q4644">
        <v>20</v>
      </c>
      <c r="R4644" t="str">
        <f>"DROGARIA POUPA MINAS (ULTRAMINAS) 1 (10181)"</f>
        <v>DROGARIA POUPA MINAS (ULTRAMINAS) 1 (10181)</v>
      </c>
      <c r="S4644" t="s">
        <v>48</v>
      </c>
      <c r="T4644">
        <v>19226</v>
      </c>
      <c r="U4644">
        <v>23106</v>
      </c>
      <c r="V4644" t="s">
        <v>48</v>
      </c>
    </row>
    <row r="4645" spans="1:22">
      <c r="A4645" t="str">
        <f t="shared" si="879"/>
        <v>08/10/2025</v>
      </c>
      <c r="B4645" t="str">
        <f>"ENTRADA"</f>
        <v>ENTRADA</v>
      </c>
      <c r="C4645" t="str">
        <f>"DINHEIRO"</f>
        <v>DINHEIRO</v>
      </c>
      <c r="D4645" t="str">
        <f>"897"</f>
        <v>897</v>
      </c>
      <c r="E4645" t="str">
        <f>"01"</f>
        <v>01</v>
      </c>
      <c r="F4645" t="str">
        <f t="shared" si="880"/>
        <v>COM</v>
      </c>
      <c r="G4645" t="str">
        <f>"ALAN ACOSTA (897)"</f>
        <v>ALAN ACOSTA (897)</v>
      </c>
      <c r="H4645" t="str">
        <f>"COTA COOPERATIVA"</f>
        <v>COTA COOPERATIVA</v>
      </c>
      <c r="I4645" t="str">
        <f>("10/10/2025")</f>
        <v>10/10/2025</v>
      </c>
      <c r="J4645" t="str">
        <f>("11/09/2025")</f>
        <v>11/09/2025</v>
      </c>
      <c r="K4645" t="str">
        <f>("08/10/2025")</f>
        <v>08/10/2025</v>
      </c>
      <c r="L4645">
        <v>20</v>
      </c>
      <c r="M4645">
        <v>20</v>
      </c>
      <c r="N4645">
        <v>106</v>
      </c>
      <c r="O4645" t="str">
        <f>"ENTRADA DE CAPITAL"</f>
        <v>ENTRADA DE CAPITAL</v>
      </c>
      <c r="P4645">
        <v>20</v>
      </c>
      <c r="S4645" t="str">
        <f>"ENTRADA DE CAPITAL (106)"</f>
        <v>ENTRADA DE CAPITAL (106)</v>
      </c>
      <c r="T4645">
        <v>19228</v>
      </c>
      <c r="U4645">
        <v>23107</v>
      </c>
      <c r="V4645" t="s">
        <v>48</v>
      </c>
    </row>
    <row r="4646" spans="1:22">
      <c r="A4646" t="str">
        <f t="shared" si="879"/>
        <v>08/10/2025</v>
      </c>
      <c r="B4646" t="str">
        <f>"ENTRADA"</f>
        <v>ENTRADA</v>
      </c>
      <c r="C4646" t="str">
        <f>"DINHEIRO"</f>
        <v>DINHEIRO</v>
      </c>
      <c r="D4646" t="str">
        <f>"897"</f>
        <v>897</v>
      </c>
      <c r="E4646" t="str">
        <f>"01"</f>
        <v>01</v>
      </c>
      <c r="F4646" t="str">
        <f t="shared" si="880"/>
        <v>COM</v>
      </c>
      <c r="G4646" t="str">
        <f>"ALAN ACOSTA (897)"</f>
        <v>ALAN ACOSTA (897)</v>
      </c>
      <c r="H4646" t="s">
        <v>50</v>
      </c>
      <c r="I4646" t="str">
        <f>("10/10/2025")</f>
        <v>10/10/2025</v>
      </c>
      <c r="J4646" t="str">
        <f>("11/09/2025")</f>
        <v>11/09/2025</v>
      </c>
      <c r="K4646">
        <v>45938</v>
      </c>
      <c r="N4646">
        <v>106</v>
      </c>
      <c r="O4646" t="s">
        <v>51</v>
      </c>
      <c r="Q4646">
        <v>20</v>
      </c>
      <c r="R4646" t="str">
        <f>"ALAN ACOSTA (897)"</f>
        <v>ALAN ACOSTA (897)</v>
      </c>
      <c r="S4646" t="s">
        <v>52</v>
      </c>
      <c r="T4646">
        <v>19228</v>
      </c>
      <c r="U4646">
        <v>23107</v>
      </c>
      <c r="V4646" t="s">
        <v>48</v>
      </c>
    </row>
    <row r="4647" spans="1:22">
      <c r="A4647" t="str">
        <f t="shared" si="879"/>
        <v>08/10/2025</v>
      </c>
      <c r="B4647" t="str">
        <f>"SAÍDA"</f>
        <v>SAÍDA</v>
      </c>
      <c r="C4647" t="str">
        <f>"PIX"</f>
        <v>PIX</v>
      </c>
      <c r="D4647" t="str">
        <f>"22766"</f>
        <v>22766</v>
      </c>
      <c r="E4647" t="str">
        <f>"1"</f>
        <v>1</v>
      </c>
      <c r="F4647" t="str">
        <f t="shared" si="880"/>
        <v>COM</v>
      </c>
      <c r="G4647" t="str">
        <f>"ALAN ACOSTA (897)"</f>
        <v>ALAN ACOSTA (897)</v>
      </c>
      <c r="H4647" t="str">
        <f>"Serv.Prest. 22/09/2025 a 28/09/2025 - PIX: E-MAIL - CHAVE: alanacosta1999@gmail.com"</f>
        <v>Serv.Prest. 22/09/2025 a 28/09/2025 - PIX: E-MAIL - CHAVE: alanacosta1999@gmail.com</v>
      </c>
      <c r="I4647" t="str">
        <f>("09/10/2025")</f>
        <v>09/10/2025</v>
      </c>
      <c r="J4647" t="str">
        <f>("30/09/2025")</f>
        <v>30/09/2025</v>
      </c>
      <c r="K4647" t="str">
        <f>("08/10/2025")</f>
        <v>08/10/2025</v>
      </c>
      <c r="L4647">
        <v>20</v>
      </c>
      <c r="M4647">
        <v>20</v>
      </c>
      <c r="N4647">
        <v>109</v>
      </c>
      <c r="O4647" t="str">
        <f>"PAGAMENTO DE ENTREGADORES"</f>
        <v>PAGAMENTO DE ENTREGADORES</v>
      </c>
      <c r="P4647">
        <v>20</v>
      </c>
      <c r="S4647" t="str">
        <f>"CAIXA MOVIMENTAÇÃO OPERACIONAL (132)"</f>
        <v>CAIXA MOVIMENTAÇÃO OPERACIONAL (132)</v>
      </c>
      <c r="T4647">
        <v>19229</v>
      </c>
      <c r="U4647">
        <v>23132</v>
      </c>
      <c r="V4647" t="s">
        <v>48</v>
      </c>
    </row>
    <row r="4648" spans="1:22">
      <c r="A4648" t="str">
        <f t="shared" si="879"/>
        <v>08/10/2025</v>
      </c>
      <c r="B4648" t="str">
        <f>"SAÍDA"</f>
        <v>SAÍDA</v>
      </c>
      <c r="C4648" t="str">
        <f>"PIX"</f>
        <v>PIX</v>
      </c>
      <c r="D4648" t="str">
        <f>"22766"</f>
        <v>22766</v>
      </c>
      <c r="E4648" t="str">
        <f>"1"</f>
        <v>1</v>
      </c>
      <c r="F4648" t="str">
        <f t="shared" si="880"/>
        <v>COM</v>
      </c>
      <c r="G4648" t="str">
        <f>"ALAN ACOSTA (897)"</f>
        <v>ALAN ACOSTA (897)</v>
      </c>
      <c r="H4648" t="s">
        <v>1363</v>
      </c>
      <c r="I4648" t="str">
        <f>("09/10/2025")</f>
        <v>09/10/2025</v>
      </c>
      <c r="J4648" t="str">
        <f>("30/09/2025")</f>
        <v>30/09/2025</v>
      </c>
      <c r="K4648">
        <v>45938</v>
      </c>
      <c r="N4648">
        <v>109</v>
      </c>
      <c r="O4648" t="s">
        <v>24</v>
      </c>
      <c r="Q4648">
        <v>20</v>
      </c>
      <c r="R4648" t="str">
        <f>"AC FARMA - CID.ALTA (10166)"</f>
        <v>AC FARMA - CID.ALTA (10166)</v>
      </c>
      <c r="S4648" t="s">
        <v>48</v>
      </c>
      <c r="T4648">
        <v>19229</v>
      </c>
      <c r="U4648">
        <v>23132</v>
      </c>
      <c r="V4648" t="s">
        <v>48</v>
      </c>
    </row>
    <row r="4649" spans="1:22">
      <c r="A4649" t="str">
        <f t="shared" si="879"/>
        <v>08/10/2025</v>
      </c>
      <c r="B4649" t="str">
        <f>"SAÍDA"</f>
        <v>SAÍDA</v>
      </c>
      <c r="C4649" t="str">
        <f>"PIX"</f>
        <v>PIX</v>
      </c>
      <c r="D4649" t="str">
        <f>"23050"</f>
        <v>23050</v>
      </c>
      <c r="E4649" t="str">
        <f>"1"</f>
        <v>1</v>
      </c>
      <c r="F4649" t="str">
        <f t="shared" si="880"/>
        <v>COM</v>
      </c>
      <c r="G4649" t="str">
        <f>"ALBERTO FARIAS DOS SANTOS JUNIOR (800)"</f>
        <v>ALBERTO FARIAS DOS SANTOS JUNIOR (800)</v>
      </c>
      <c r="H4649" t="str">
        <f>"Serv.Prest. 29/09/2025 a 05/10/2025 - PIX: CELULAR - CHAVE: (71) 99696-7530"</f>
        <v>Serv.Prest. 29/09/2025 a 05/10/2025 - PIX: CELULAR - CHAVE: (71) 99696-7530</v>
      </c>
      <c r="I4649" t="str">
        <f>("09/10/2025")</f>
        <v>09/10/2025</v>
      </c>
      <c r="J4649" t="str">
        <f>("07/10/2025")</f>
        <v>07/10/2025</v>
      </c>
      <c r="K4649" t="str">
        <f>("08/10/2025")</f>
        <v>08/10/2025</v>
      </c>
      <c r="L4649">
        <v>20</v>
      </c>
      <c r="M4649">
        <v>20</v>
      </c>
      <c r="N4649">
        <v>109</v>
      </c>
      <c r="O4649" t="str">
        <f>"PAGAMENTO DE ENTREGADORES"</f>
        <v>PAGAMENTO DE ENTREGADORES</v>
      </c>
      <c r="P4649">
        <v>20</v>
      </c>
      <c r="S4649" t="str">
        <f>"CAIXA MOVIMENTAÇÃO OPERACIONAL (132)"</f>
        <v>CAIXA MOVIMENTAÇÃO OPERACIONAL (132)</v>
      </c>
      <c r="T4649">
        <v>19230</v>
      </c>
      <c r="U4649">
        <v>23133</v>
      </c>
      <c r="V4649" t="s">
        <v>48</v>
      </c>
    </row>
    <row r="4650" spans="1:22">
      <c r="A4650" t="str">
        <f t="shared" si="879"/>
        <v>08/10/2025</v>
      </c>
      <c r="B4650" t="str">
        <f>"SAÍDA"</f>
        <v>SAÍDA</v>
      </c>
      <c r="C4650" t="str">
        <f>"PIX"</f>
        <v>PIX</v>
      </c>
      <c r="D4650" t="str">
        <f>"23050"</f>
        <v>23050</v>
      </c>
      <c r="E4650" t="str">
        <f>"1"</f>
        <v>1</v>
      </c>
      <c r="F4650" t="str">
        <f t="shared" si="880"/>
        <v>COM</v>
      </c>
      <c r="G4650" t="str">
        <f>"ALBERTO FARIAS DOS SANTOS JUNIOR (800)"</f>
        <v>ALBERTO FARIAS DOS SANTOS JUNIOR (800)</v>
      </c>
      <c r="H4650" t="s">
        <v>1364</v>
      </c>
      <c r="I4650" t="str">
        <f>("09/10/2025")</f>
        <v>09/10/2025</v>
      </c>
      <c r="J4650" t="str">
        <f>("07/10/2025")</f>
        <v>07/10/2025</v>
      </c>
      <c r="K4650">
        <v>45938</v>
      </c>
      <c r="N4650">
        <v>109</v>
      </c>
      <c r="O4650" t="s">
        <v>24</v>
      </c>
      <c r="Q4650">
        <v>20</v>
      </c>
      <c r="R4650" t="str">
        <f>"DELTA LOJA 2 (10123)"</f>
        <v>DELTA LOJA 2 (10123)</v>
      </c>
      <c r="S4650" t="s">
        <v>48</v>
      </c>
      <c r="T4650">
        <v>19230</v>
      </c>
      <c r="U4650">
        <v>23133</v>
      </c>
      <c r="V4650" t="s">
        <v>48</v>
      </c>
    </row>
    <row r="4651" spans="1:22">
      <c r="A4651" t="str">
        <f t="shared" si="879"/>
        <v>08/10/2025</v>
      </c>
      <c r="B4651" t="str">
        <f>"ENTRADA"</f>
        <v>ENTRADA</v>
      </c>
      <c r="C4651" t="str">
        <f>"DINHEIRO"</f>
        <v>DINHEIRO</v>
      </c>
      <c r="D4651" t="str">
        <f>"800"</f>
        <v>800</v>
      </c>
      <c r="E4651" t="str">
        <f>"5"</f>
        <v>5</v>
      </c>
      <c r="F4651" t="str">
        <f t="shared" si="880"/>
        <v>COM</v>
      </c>
      <c r="G4651" t="str">
        <f>"ALBERTO FARIAS DOS SANTOS JUNIOR (800)"</f>
        <v>ALBERTO FARIAS DOS SANTOS JUNIOR (800)</v>
      </c>
      <c r="H4651" t="str">
        <f>"COTA COOPERATIVA"</f>
        <v>COTA COOPERATIVA</v>
      </c>
      <c r="I4651" t="str">
        <f>("12/10/2025")</f>
        <v>12/10/2025</v>
      </c>
      <c r="J4651" t="str">
        <f>("10/05/2025")</f>
        <v>10/05/2025</v>
      </c>
      <c r="K4651" t="str">
        <f>("08/10/2025")</f>
        <v>08/10/2025</v>
      </c>
      <c r="L4651">
        <v>20</v>
      </c>
      <c r="M4651">
        <v>20</v>
      </c>
      <c r="N4651">
        <v>106</v>
      </c>
      <c r="O4651" t="str">
        <f>"ENTRADA DE CAPITAL"</f>
        <v>ENTRADA DE CAPITAL</v>
      </c>
      <c r="P4651">
        <v>20</v>
      </c>
      <c r="S4651" t="str">
        <f>"ENTRADA DE CAPITAL (106)"</f>
        <v>ENTRADA DE CAPITAL (106)</v>
      </c>
      <c r="T4651">
        <v>19231</v>
      </c>
      <c r="U4651">
        <v>16404</v>
      </c>
      <c r="V4651" t="s">
        <v>48</v>
      </c>
    </row>
    <row r="4652" spans="1:22">
      <c r="A4652" t="str">
        <f t="shared" si="879"/>
        <v>08/10/2025</v>
      </c>
      <c r="B4652" t="str">
        <f>"ENTRADA"</f>
        <v>ENTRADA</v>
      </c>
      <c r="C4652" t="str">
        <f>"DINHEIRO"</f>
        <v>DINHEIRO</v>
      </c>
      <c r="D4652" t="str">
        <f>"800"</f>
        <v>800</v>
      </c>
      <c r="E4652" t="str">
        <f>"5"</f>
        <v>5</v>
      </c>
      <c r="F4652" t="str">
        <f t="shared" si="880"/>
        <v>COM</v>
      </c>
      <c r="G4652" t="str">
        <f>"ALBERTO FARIAS DOS SANTOS JUNIOR (800)"</f>
        <v>ALBERTO FARIAS DOS SANTOS JUNIOR (800)</v>
      </c>
      <c r="H4652" t="s">
        <v>50</v>
      </c>
      <c r="I4652" t="str">
        <f>("12/10/2025")</f>
        <v>12/10/2025</v>
      </c>
      <c r="J4652" t="str">
        <f>("10/05/2025")</f>
        <v>10/05/2025</v>
      </c>
      <c r="K4652">
        <v>45938</v>
      </c>
      <c r="N4652">
        <v>106</v>
      </c>
      <c r="O4652" t="s">
        <v>51</v>
      </c>
      <c r="Q4652">
        <v>20</v>
      </c>
      <c r="R4652" t="str">
        <f>"ALBERTO FARIAS DOS SANTOS JUNIOR (800)"</f>
        <v>ALBERTO FARIAS DOS SANTOS JUNIOR (800)</v>
      </c>
      <c r="S4652" t="s">
        <v>52</v>
      </c>
      <c r="T4652">
        <v>19231</v>
      </c>
      <c r="U4652">
        <v>16404</v>
      </c>
      <c r="V4652" t="s">
        <v>48</v>
      </c>
    </row>
    <row r="4653" spans="1:22">
      <c r="A4653" t="str">
        <f t="shared" si="879"/>
        <v>08/10/2025</v>
      </c>
      <c r="B4653" t="str">
        <f>"ENTRADA"</f>
        <v>ENTRADA</v>
      </c>
      <c r="C4653" t="str">
        <f>"DINHEIRO"</f>
        <v>DINHEIRO</v>
      </c>
      <c r="D4653" t="str">
        <f>"714"</f>
        <v>714</v>
      </c>
      <c r="E4653" t="str">
        <f>"6"</f>
        <v>6</v>
      </c>
      <c r="F4653" t="str">
        <f t="shared" si="880"/>
        <v>COM</v>
      </c>
      <c r="G4653" t="str">
        <f>"ALEXANDRE DA CONCEI????O (714)"</f>
        <v>ALEXANDRE DA CONCEI????O (714)</v>
      </c>
      <c r="H4653" t="str">
        <f>"COTA COOPERATIVA"</f>
        <v>COTA COOPERATIVA</v>
      </c>
      <c r="I4653" t="str">
        <f>("08/10/2025")</f>
        <v>08/10/2025</v>
      </c>
      <c r="J4653" t="str">
        <f>("10/04/2025")</f>
        <v>10/04/2025</v>
      </c>
      <c r="K4653" t="str">
        <f>("08/10/2025")</f>
        <v>08/10/2025</v>
      </c>
      <c r="L4653">
        <v>20</v>
      </c>
      <c r="M4653">
        <v>20</v>
      </c>
      <c r="N4653">
        <v>106</v>
      </c>
      <c r="O4653" t="str">
        <f>"ENTRADA DE CAPITAL"</f>
        <v>ENTRADA DE CAPITAL</v>
      </c>
      <c r="P4653">
        <v>20</v>
      </c>
      <c r="S4653" t="str">
        <f>"ENTRADA DE CAPITAL (106)"</f>
        <v>ENTRADA DE CAPITAL (106)</v>
      </c>
      <c r="T4653">
        <v>19232</v>
      </c>
      <c r="U4653">
        <v>13663</v>
      </c>
      <c r="V4653" t="s">
        <v>48</v>
      </c>
    </row>
    <row r="4654" spans="1:22">
      <c r="A4654" t="str">
        <f t="shared" si="879"/>
        <v>08/10/2025</v>
      </c>
      <c r="B4654" t="str">
        <f>"ENTRADA"</f>
        <v>ENTRADA</v>
      </c>
      <c r="C4654" t="str">
        <f>"DINHEIRO"</f>
        <v>DINHEIRO</v>
      </c>
      <c r="D4654" t="str">
        <f>"714"</f>
        <v>714</v>
      </c>
      <c r="E4654" t="str">
        <f>"6"</f>
        <v>6</v>
      </c>
      <c r="F4654" t="str">
        <f t="shared" si="880"/>
        <v>COM</v>
      </c>
      <c r="G4654" t="str">
        <f>"ALEXANDRE DA CONCEI????O (714)"</f>
        <v>ALEXANDRE DA CONCEI????O (714)</v>
      </c>
      <c r="H4654" t="s">
        <v>50</v>
      </c>
      <c r="I4654" t="str">
        <f>("08/10/2025")</f>
        <v>08/10/2025</v>
      </c>
      <c r="J4654" t="str">
        <f>("10/04/2025")</f>
        <v>10/04/2025</v>
      </c>
      <c r="K4654">
        <v>45938</v>
      </c>
      <c r="N4654">
        <v>106</v>
      </c>
      <c r="O4654" t="s">
        <v>51</v>
      </c>
      <c r="Q4654">
        <v>20</v>
      </c>
      <c r="R4654" t="str">
        <f>"ALEXANDRE DA CONCEI????O (714)"</f>
        <v>ALEXANDRE DA CONCEI????O (714)</v>
      </c>
      <c r="S4654" t="s">
        <v>52</v>
      </c>
      <c r="T4654">
        <v>19232</v>
      </c>
      <c r="U4654">
        <v>13663</v>
      </c>
      <c r="V4654" t="s">
        <v>48</v>
      </c>
    </row>
    <row r="4655" spans="1:22">
      <c r="A4655" t="str">
        <f t="shared" si="879"/>
        <v>08/10/2025</v>
      </c>
      <c r="B4655" t="str">
        <f>"SAÍDA"</f>
        <v>SAÍDA</v>
      </c>
      <c r="C4655" t="str">
        <f>"PIX"</f>
        <v>PIX</v>
      </c>
      <c r="D4655" t="str">
        <f>"22775"</f>
        <v>22775</v>
      </c>
      <c r="E4655" t="str">
        <f>"1"</f>
        <v>1</v>
      </c>
      <c r="F4655" t="str">
        <f t="shared" si="880"/>
        <v>COM</v>
      </c>
      <c r="G4655" t="str">
        <f>"ALEXANDRE DA CONCEICAO (714)"</f>
        <v>ALEXANDRE DA CONCEICAO (714)</v>
      </c>
      <c r="H4655" t="str">
        <f>"Serv.Prest. 22/09/2025 a 28/09/2025 - PIX: CPF - CHAVE: 975.425.989-53"</f>
        <v>Serv.Prest. 22/09/2025 a 28/09/2025 - PIX: CPF - CHAVE: 975.425.989-53</v>
      </c>
      <c r="I4655" t="str">
        <f>("09/10/2025")</f>
        <v>09/10/2025</v>
      </c>
      <c r="J4655" t="str">
        <f>("30/09/2025")</f>
        <v>30/09/2025</v>
      </c>
      <c r="K4655" t="str">
        <f>("08/10/2025")</f>
        <v>08/10/2025</v>
      </c>
      <c r="L4655">
        <v>20</v>
      </c>
      <c r="M4655">
        <v>20</v>
      </c>
      <c r="N4655">
        <v>109</v>
      </c>
      <c r="O4655" t="str">
        <f>"PAGAMENTO DE ENTREGADORES"</f>
        <v>PAGAMENTO DE ENTREGADORES</v>
      </c>
      <c r="P4655">
        <v>20</v>
      </c>
      <c r="S4655" t="str">
        <f>"CAIXA MOVIMENTAÇÃO OPERACIONAL (132)"</f>
        <v>CAIXA MOVIMENTAÇÃO OPERACIONAL (132)</v>
      </c>
      <c r="T4655">
        <v>19233</v>
      </c>
      <c r="U4655">
        <v>23134</v>
      </c>
      <c r="V4655" t="s">
        <v>48</v>
      </c>
    </row>
    <row r="4656" spans="1:22">
      <c r="A4656" t="str">
        <f t="shared" si="879"/>
        <v>08/10/2025</v>
      </c>
      <c r="B4656" t="str">
        <f>"SAÍDA"</f>
        <v>SAÍDA</v>
      </c>
      <c r="C4656" t="str">
        <f>"PIX"</f>
        <v>PIX</v>
      </c>
      <c r="D4656" t="str">
        <f>"22775"</f>
        <v>22775</v>
      </c>
      <c r="E4656" t="str">
        <f>"1"</f>
        <v>1</v>
      </c>
      <c r="F4656" t="str">
        <f t="shared" si="880"/>
        <v>COM</v>
      </c>
      <c r="G4656" t="str">
        <f>"ALEXANDRE DA CONCEICAO (714)"</f>
        <v>ALEXANDRE DA CONCEICAO (714)</v>
      </c>
      <c r="H4656" t="s">
        <v>1365</v>
      </c>
      <c r="I4656" t="str">
        <f>("09/10/2025")</f>
        <v>09/10/2025</v>
      </c>
      <c r="J4656" t="str">
        <f>("30/09/2025")</f>
        <v>30/09/2025</v>
      </c>
      <c r="K4656">
        <v>45938</v>
      </c>
      <c r="N4656">
        <v>109</v>
      </c>
      <c r="O4656" t="s">
        <v>24</v>
      </c>
      <c r="Q4656">
        <v>18.329999999999998</v>
      </c>
      <c r="R4656" t="str">
        <f>"AC FARMA -  FLEMINFARMA (10159)"</f>
        <v>AC FARMA -  FLEMINFARMA (10159)</v>
      </c>
      <c r="S4656" t="s">
        <v>48</v>
      </c>
      <c r="T4656">
        <v>19233</v>
      </c>
      <c r="U4656">
        <v>23134</v>
      </c>
      <c r="V4656" t="s">
        <v>48</v>
      </c>
    </row>
    <row r="4657" spans="1:22">
      <c r="A4657" t="str">
        <f t="shared" si="879"/>
        <v>08/10/2025</v>
      </c>
      <c r="B4657" t="str">
        <f>"SAÍDA"</f>
        <v>SAÍDA</v>
      </c>
      <c r="C4657" t="str">
        <f>"PIX"</f>
        <v>PIX</v>
      </c>
      <c r="D4657" t="str">
        <f>"22775"</f>
        <v>22775</v>
      </c>
      <c r="E4657" t="str">
        <f>"1"</f>
        <v>1</v>
      </c>
      <c r="F4657" t="str">
        <f t="shared" si="880"/>
        <v>COM</v>
      </c>
      <c r="G4657" t="str">
        <f>"ALEXANDRE DA CONCEICAO (714)"</f>
        <v>ALEXANDRE DA CONCEICAO (714)</v>
      </c>
      <c r="H4657" t="s">
        <v>1365</v>
      </c>
      <c r="I4657" t="str">
        <f>("09/10/2025")</f>
        <v>09/10/2025</v>
      </c>
      <c r="J4657" t="str">
        <f>("30/09/2025")</f>
        <v>30/09/2025</v>
      </c>
      <c r="K4657">
        <v>45938</v>
      </c>
      <c r="N4657">
        <v>109</v>
      </c>
      <c r="O4657" t="s">
        <v>24</v>
      </c>
      <c r="Q4657">
        <v>1.67</v>
      </c>
      <c r="R4657" t="str">
        <f>"AC FARMA - FLEMINFARMA (10160)"</f>
        <v>AC FARMA - FLEMINFARMA (10160)</v>
      </c>
      <c r="S4657" t="s">
        <v>48</v>
      </c>
      <c r="T4657">
        <v>19233</v>
      </c>
      <c r="U4657">
        <v>23134</v>
      </c>
      <c r="V4657" t="s">
        <v>48</v>
      </c>
    </row>
    <row r="4658" spans="1:22">
      <c r="A4658" t="str">
        <f t="shared" si="879"/>
        <v>08/10/2025</v>
      </c>
      <c r="B4658" t="str">
        <f>"SAÍDA"</f>
        <v>SAÍDA</v>
      </c>
      <c r="C4658" t="str">
        <f>"PIX"</f>
        <v>PIX</v>
      </c>
      <c r="D4658" t="str">
        <f>"22813"</f>
        <v>22813</v>
      </c>
      <c r="E4658" t="str">
        <f>"1"</f>
        <v>1</v>
      </c>
      <c r="F4658" t="str">
        <f t="shared" si="880"/>
        <v>COM</v>
      </c>
      <c r="G4658" t="str">
        <f>"ALEXSANDRO HENRIQUE FERREIRA (808)"</f>
        <v>ALEXSANDRO HENRIQUE FERREIRA (808)</v>
      </c>
      <c r="H4658" t="str">
        <f>"Serv.Prest. 29/09/2025 a 05/10/2025 - PIX: CPF - CHAVE: 157.591.436-03"</f>
        <v>Serv.Prest. 29/09/2025 a 05/10/2025 - PIX: CPF - CHAVE: 157.591.436-03</v>
      </c>
      <c r="I4658" t="str">
        <f>("09/10/2025")</f>
        <v>09/10/2025</v>
      </c>
      <c r="J4658" t="str">
        <f>("06/10/2025")</f>
        <v>06/10/2025</v>
      </c>
      <c r="K4658" t="str">
        <f>("08/10/2025")</f>
        <v>08/10/2025</v>
      </c>
      <c r="L4658">
        <v>20</v>
      </c>
      <c r="M4658">
        <v>20</v>
      </c>
      <c r="N4658">
        <v>109</v>
      </c>
      <c r="O4658" t="str">
        <f>"PAGAMENTO DE ENTREGADORES"</f>
        <v>PAGAMENTO DE ENTREGADORES</v>
      </c>
      <c r="P4658">
        <v>20</v>
      </c>
      <c r="S4658" t="str">
        <f>"CAIXA MOVIMENTAÇÃO OPERACIONAL (132)"</f>
        <v>CAIXA MOVIMENTAÇÃO OPERACIONAL (132)</v>
      </c>
      <c r="T4658">
        <v>19234</v>
      </c>
      <c r="U4658">
        <v>23135</v>
      </c>
      <c r="V4658" t="s">
        <v>48</v>
      </c>
    </row>
    <row r="4659" spans="1:22">
      <c r="A4659" t="str">
        <f t="shared" si="879"/>
        <v>08/10/2025</v>
      </c>
      <c r="B4659" t="str">
        <f>"SAÍDA"</f>
        <v>SAÍDA</v>
      </c>
      <c r="C4659" t="str">
        <f>"PIX"</f>
        <v>PIX</v>
      </c>
      <c r="D4659" t="str">
        <f>"22813"</f>
        <v>22813</v>
      </c>
      <c r="E4659" t="str">
        <f>"1"</f>
        <v>1</v>
      </c>
      <c r="F4659" t="str">
        <f t="shared" si="880"/>
        <v>COM</v>
      </c>
      <c r="G4659" t="str">
        <f>"ALEXSANDRO HENRIQUE FERREIRA (808)"</f>
        <v>ALEXSANDRO HENRIQUE FERREIRA (808)</v>
      </c>
      <c r="H4659" t="s">
        <v>1335</v>
      </c>
      <c r="I4659" t="str">
        <f>("09/10/2025")</f>
        <v>09/10/2025</v>
      </c>
      <c r="J4659" t="str">
        <f>("06/10/2025")</f>
        <v>06/10/2025</v>
      </c>
      <c r="K4659">
        <v>45938</v>
      </c>
      <c r="N4659">
        <v>109</v>
      </c>
      <c r="O4659" t="s">
        <v>24</v>
      </c>
      <c r="Q4659">
        <v>20</v>
      </c>
      <c r="R4659" t="str">
        <f>"DROGARIA ANA VISCONDE DO RIO BRANCO (10182)"</f>
        <v>DROGARIA ANA VISCONDE DO RIO BRANCO (10182)</v>
      </c>
      <c r="S4659" t="s">
        <v>48</v>
      </c>
      <c r="T4659">
        <v>19234</v>
      </c>
      <c r="U4659">
        <v>23135</v>
      </c>
      <c r="V4659" t="s">
        <v>48</v>
      </c>
    </row>
    <row r="4660" spans="1:22">
      <c r="A4660" t="str">
        <f t="shared" si="879"/>
        <v>08/10/2025</v>
      </c>
      <c r="B4660" t="str">
        <f>"ENTRADA"</f>
        <v>ENTRADA</v>
      </c>
      <c r="C4660" t="str">
        <f>"DINHEIRO"</f>
        <v>DINHEIRO</v>
      </c>
      <c r="D4660" t="str">
        <f>"808"</f>
        <v>808</v>
      </c>
      <c r="E4660" t="str">
        <f>"4"</f>
        <v>4</v>
      </c>
      <c r="F4660" t="str">
        <f t="shared" si="880"/>
        <v>COM</v>
      </c>
      <c r="G4660" t="str">
        <f>"ALEXSANDRO HENRIQUE FERREIRA (808)"</f>
        <v>ALEXSANDRO HENRIQUE FERREIRA (808)</v>
      </c>
      <c r="H4660" t="str">
        <f>"COTA COOPERATIVA"</f>
        <v>COTA COOPERATIVA</v>
      </c>
      <c r="I4660" t="str">
        <f>("10/10/2025")</f>
        <v>10/10/2025</v>
      </c>
      <c r="J4660" t="str">
        <f>("19/05/2025")</f>
        <v>19/05/2025</v>
      </c>
      <c r="K4660" t="str">
        <f>("08/10/2025")</f>
        <v>08/10/2025</v>
      </c>
      <c r="L4660">
        <v>20</v>
      </c>
      <c r="M4660">
        <v>20</v>
      </c>
      <c r="N4660">
        <v>106</v>
      </c>
      <c r="O4660" t="str">
        <f>"ENTRADA DE CAPITAL"</f>
        <v>ENTRADA DE CAPITAL</v>
      </c>
      <c r="P4660">
        <v>20</v>
      </c>
      <c r="S4660" t="str">
        <f>"ENTRADA DE CAPITAL (106)"</f>
        <v>ENTRADA DE CAPITAL (106)</v>
      </c>
      <c r="T4660">
        <v>19235</v>
      </c>
      <c r="U4660">
        <v>18085</v>
      </c>
      <c r="V4660" t="s">
        <v>48</v>
      </c>
    </row>
    <row r="4661" spans="1:22">
      <c r="A4661" t="str">
        <f t="shared" si="879"/>
        <v>08/10/2025</v>
      </c>
      <c r="B4661" t="str">
        <f>"ENTRADA"</f>
        <v>ENTRADA</v>
      </c>
      <c r="C4661" t="str">
        <f>"DINHEIRO"</f>
        <v>DINHEIRO</v>
      </c>
      <c r="D4661" t="str">
        <f>"808"</f>
        <v>808</v>
      </c>
      <c r="E4661" t="str">
        <f>"4"</f>
        <v>4</v>
      </c>
      <c r="F4661" t="str">
        <f t="shared" si="880"/>
        <v>COM</v>
      </c>
      <c r="G4661" t="str">
        <f>"ALEXSANDRO HENRIQUE FERREIRA (808)"</f>
        <v>ALEXSANDRO HENRIQUE FERREIRA (808)</v>
      </c>
      <c r="H4661" t="s">
        <v>50</v>
      </c>
      <c r="I4661" t="str">
        <f>("10/10/2025")</f>
        <v>10/10/2025</v>
      </c>
      <c r="J4661" t="str">
        <f>("19/05/2025")</f>
        <v>19/05/2025</v>
      </c>
      <c r="K4661">
        <v>45938</v>
      </c>
      <c r="N4661">
        <v>106</v>
      </c>
      <c r="O4661" t="s">
        <v>51</v>
      </c>
      <c r="Q4661">
        <v>20</v>
      </c>
      <c r="R4661" t="str">
        <f>"ALEXSANDRO HENRIQUE FERREIRA (808)"</f>
        <v>ALEXSANDRO HENRIQUE FERREIRA (808)</v>
      </c>
      <c r="S4661" t="s">
        <v>52</v>
      </c>
      <c r="T4661">
        <v>19235</v>
      </c>
      <c r="U4661">
        <v>18085</v>
      </c>
      <c r="V4661" t="s">
        <v>48</v>
      </c>
    </row>
    <row r="4662" spans="1:22">
      <c r="A4662" t="str">
        <f t="shared" si="879"/>
        <v>08/10/2025</v>
      </c>
      <c r="B4662" t="str">
        <f>"ENTRADA"</f>
        <v>ENTRADA</v>
      </c>
      <c r="C4662" t="str">
        <f>"DINHEIRO"</f>
        <v>DINHEIRO</v>
      </c>
      <c r="D4662" t="str">
        <f>"790"</f>
        <v>790</v>
      </c>
      <c r="E4662" t="str">
        <f>"6"</f>
        <v>6</v>
      </c>
      <c r="F4662" t="str">
        <f t="shared" si="880"/>
        <v>COM</v>
      </c>
      <c r="G4662" t="str">
        <f t="shared" ref="G4662:G4667" si="882">"ALLAN SILVA DAMACENA (790)"</f>
        <v>ALLAN SILVA DAMACENA (790)</v>
      </c>
      <c r="H4662" t="str">
        <f>"COTA COOPERATIVA"</f>
        <v>COTA COOPERATIVA</v>
      </c>
      <c r="I4662" t="str">
        <f>("08/10/2025")</f>
        <v>08/10/2025</v>
      </c>
      <c r="J4662" t="str">
        <f>("01/04/2025")</f>
        <v>01/04/2025</v>
      </c>
      <c r="K4662" t="str">
        <f>("08/10/2025")</f>
        <v>08/10/2025</v>
      </c>
      <c r="L4662">
        <v>20</v>
      </c>
      <c r="M4662">
        <v>20</v>
      </c>
      <c r="N4662">
        <v>106</v>
      </c>
      <c r="O4662" t="str">
        <f>"ENTRADA DE CAPITAL"</f>
        <v>ENTRADA DE CAPITAL</v>
      </c>
      <c r="P4662">
        <v>20</v>
      </c>
      <c r="S4662" t="str">
        <f>"ENTRADA DE CAPITAL (106)"</f>
        <v>ENTRADA DE CAPITAL (106)</v>
      </c>
      <c r="T4662">
        <v>19236</v>
      </c>
      <c r="U4662">
        <v>13691</v>
      </c>
      <c r="V4662" t="s">
        <v>48</v>
      </c>
    </row>
    <row r="4663" spans="1:22">
      <c r="A4663" t="str">
        <f t="shared" si="879"/>
        <v>08/10/2025</v>
      </c>
      <c r="B4663" t="str">
        <f>"ENTRADA"</f>
        <v>ENTRADA</v>
      </c>
      <c r="C4663" t="str">
        <f>"DINHEIRO"</f>
        <v>DINHEIRO</v>
      </c>
      <c r="D4663" t="str">
        <f>"790"</f>
        <v>790</v>
      </c>
      <c r="E4663" t="str">
        <f>"6"</f>
        <v>6</v>
      </c>
      <c r="F4663" t="str">
        <f t="shared" si="880"/>
        <v>COM</v>
      </c>
      <c r="G4663" t="str">
        <f t="shared" si="882"/>
        <v>ALLAN SILVA DAMACENA (790)</v>
      </c>
      <c r="H4663" t="s">
        <v>50</v>
      </c>
      <c r="I4663" t="str">
        <f>("08/10/2025")</f>
        <v>08/10/2025</v>
      </c>
      <c r="J4663" t="str">
        <f>("01/04/2025")</f>
        <v>01/04/2025</v>
      </c>
      <c r="K4663">
        <v>45938</v>
      </c>
      <c r="N4663">
        <v>106</v>
      </c>
      <c r="O4663" t="s">
        <v>51</v>
      </c>
      <c r="Q4663">
        <v>20</v>
      </c>
      <c r="R4663" t="str">
        <f>"ALLAN SILVA DAMACENA (790)"</f>
        <v>ALLAN SILVA DAMACENA (790)</v>
      </c>
      <c r="S4663" t="s">
        <v>52</v>
      </c>
      <c r="T4663">
        <v>19236</v>
      </c>
      <c r="U4663">
        <v>13691</v>
      </c>
      <c r="V4663" t="s">
        <v>48</v>
      </c>
    </row>
    <row r="4664" spans="1:22">
      <c r="A4664" t="str">
        <f t="shared" si="879"/>
        <v>08/10/2025</v>
      </c>
      <c r="B4664" t="str">
        <f>"SAÍDA"</f>
        <v>SAÍDA</v>
      </c>
      <c r="C4664" t="str">
        <f>"PIX"</f>
        <v>PIX</v>
      </c>
      <c r="D4664" t="str">
        <f>"22861"</f>
        <v>22861</v>
      </c>
      <c r="E4664" t="str">
        <f>"1"</f>
        <v>1</v>
      </c>
      <c r="F4664" t="str">
        <f t="shared" si="880"/>
        <v>COM</v>
      </c>
      <c r="G4664" t="str">
        <f t="shared" si="882"/>
        <v>ALLAN SILVA DAMACENA (790)</v>
      </c>
      <c r="H4664" t="str">
        <f>"Serv.Prest. 29/09/2025 a 05/10/2025 - PIX: CELULAR - CHAVE: (19) 98944-4977"</f>
        <v>Serv.Prest. 29/09/2025 a 05/10/2025 - PIX: CELULAR - CHAVE: (19) 98944-4977</v>
      </c>
      <c r="I4664" t="str">
        <f t="shared" ref="I4664:I4671" si="883">("09/10/2025")</f>
        <v>09/10/2025</v>
      </c>
      <c r="J4664" t="str">
        <f>("06/10/2025")</f>
        <v>06/10/2025</v>
      </c>
      <c r="K4664" t="str">
        <f>("08/10/2025")</f>
        <v>08/10/2025</v>
      </c>
      <c r="L4664">
        <v>120</v>
      </c>
      <c r="M4664">
        <v>120</v>
      </c>
      <c r="N4664">
        <v>109</v>
      </c>
      <c r="O4664" t="str">
        <f>"PAGAMENTO DE ENTREGADORES"</f>
        <v>PAGAMENTO DE ENTREGADORES</v>
      </c>
      <c r="P4664">
        <v>120</v>
      </c>
      <c r="S4664" t="str">
        <f>"CAIXA MOVIMENTAÇÃO OPERACIONAL (132)"</f>
        <v>CAIXA MOVIMENTAÇÃO OPERACIONAL (132)</v>
      </c>
      <c r="T4664">
        <v>19237</v>
      </c>
      <c r="U4664">
        <v>23136</v>
      </c>
      <c r="V4664" t="s">
        <v>48</v>
      </c>
    </row>
    <row r="4665" spans="1:22">
      <c r="A4665" t="str">
        <f t="shared" si="879"/>
        <v>08/10/2025</v>
      </c>
      <c r="B4665" t="str">
        <f>"SAÍDA"</f>
        <v>SAÍDA</v>
      </c>
      <c r="C4665" t="str">
        <f>"PIX"</f>
        <v>PIX</v>
      </c>
      <c r="D4665" t="str">
        <f>"22861"</f>
        <v>22861</v>
      </c>
      <c r="E4665" t="str">
        <f>"1"</f>
        <v>1</v>
      </c>
      <c r="F4665" t="str">
        <f t="shared" si="880"/>
        <v>COM</v>
      </c>
      <c r="G4665" t="str">
        <f t="shared" si="882"/>
        <v>ALLAN SILVA DAMACENA (790)</v>
      </c>
      <c r="H4665" t="s">
        <v>1308</v>
      </c>
      <c r="I4665" t="str">
        <f t="shared" si="883"/>
        <v>09/10/2025</v>
      </c>
      <c r="J4665" t="str">
        <f>("06/10/2025")</f>
        <v>06/10/2025</v>
      </c>
      <c r="K4665">
        <v>45938</v>
      </c>
      <c r="N4665">
        <v>109</v>
      </c>
      <c r="O4665" t="s">
        <v>24</v>
      </c>
      <c r="Q4665">
        <v>120</v>
      </c>
      <c r="R4665" t="str">
        <f>"DROGARIA MORENO LTDA (10171)"</f>
        <v>DROGARIA MORENO LTDA (10171)</v>
      </c>
      <c r="S4665" t="s">
        <v>48</v>
      </c>
      <c r="T4665">
        <v>19237</v>
      </c>
      <c r="U4665">
        <v>23136</v>
      </c>
      <c r="V4665" t="s">
        <v>48</v>
      </c>
    </row>
    <row r="4666" spans="1:22">
      <c r="A4666" t="str">
        <f t="shared" si="879"/>
        <v>08/10/2025</v>
      </c>
      <c r="B4666" t="str">
        <f>"ENTRADA"</f>
        <v>ENTRADA</v>
      </c>
      <c r="C4666" t="str">
        <f>"DINHEIRO"</f>
        <v>DINHEIRO</v>
      </c>
      <c r="D4666" t="str">
        <f>"0910"</f>
        <v>0910</v>
      </c>
      <c r="E4666" t="str">
        <f>"25"</f>
        <v>25</v>
      </c>
      <c r="F4666" t="str">
        <f t="shared" si="880"/>
        <v>COM</v>
      </c>
      <c r="G4666" t="str">
        <f t="shared" si="882"/>
        <v>ALLAN SILVA DAMACENA (790)</v>
      </c>
      <c r="H4666" t="str">
        <f>"REEMBOLSO ADIANTAMENTO"</f>
        <v>REEMBOLSO ADIANTAMENTO</v>
      </c>
      <c r="I4666" t="str">
        <f t="shared" si="883"/>
        <v>09/10/2025</v>
      </c>
      <c r="J4666" t="str">
        <f>("11/09/2025")</f>
        <v>11/09/2025</v>
      </c>
      <c r="K4666" t="str">
        <f>("08/10/2025")</f>
        <v>08/10/2025</v>
      </c>
      <c r="L4666">
        <v>100</v>
      </c>
      <c r="M4666">
        <v>100</v>
      </c>
      <c r="N4666">
        <v>129</v>
      </c>
      <c r="O4666" t="str">
        <f>"ENTRADA DE REEMBOLSO ADIANTAMENTO"</f>
        <v>ENTRADA DE REEMBOLSO ADIANTAMENTO</v>
      </c>
      <c r="P4666">
        <v>100</v>
      </c>
      <c r="S4666" t="str">
        <f>"ENTRADA DE REEMBOLSO ADIANTAMENTO (129)"</f>
        <v>ENTRADA DE REEMBOLSO ADIANTAMENTO (129)</v>
      </c>
      <c r="T4666">
        <v>19238</v>
      </c>
      <c r="U4666">
        <v>21712</v>
      </c>
      <c r="V4666" t="s">
        <v>48</v>
      </c>
    </row>
    <row r="4667" spans="1:22">
      <c r="A4667" t="str">
        <f t="shared" si="879"/>
        <v>08/10/2025</v>
      </c>
      <c r="B4667" t="str">
        <f>"ENTRADA"</f>
        <v>ENTRADA</v>
      </c>
      <c r="C4667" t="str">
        <f>"DINHEIRO"</f>
        <v>DINHEIRO</v>
      </c>
      <c r="D4667" t="str">
        <f>"0910"</f>
        <v>0910</v>
      </c>
      <c r="E4667" t="str">
        <f>"25"</f>
        <v>25</v>
      </c>
      <c r="F4667" t="str">
        <f t="shared" si="880"/>
        <v>COM</v>
      </c>
      <c r="G4667" t="str">
        <f t="shared" si="882"/>
        <v>ALLAN SILVA DAMACENA (790)</v>
      </c>
      <c r="H4667" t="s">
        <v>57</v>
      </c>
      <c r="I4667" t="str">
        <f t="shared" si="883"/>
        <v>09/10/2025</v>
      </c>
      <c r="J4667" t="str">
        <f>("11/09/2025")</f>
        <v>11/09/2025</v>
      </c>
      <c r="K4667">
        <v>45938</v>
      </c>
      <c r="N4667">
        <v>129</v>
      </c>
      <c r="O4667" t="s">
        <v>58</v>
      </c>
      <c r="Q4667">
        <v>100</v>
      </c>
      <c r="R4667" t="str">
        <f>"ALLAN SILVA DAMACENA (790)"</f>
        <v>ALLAN SILVA DAMACENA (790)</v>
      </c>
      <c r="S4667" t="s">
        <v>59</v>
      </c>
      <c r="T4667">
        <v>19238</v>
      </c>
      <c r="U4667">
        <v>21712</v>
      </c>
      <c r="V4667" t="s">
        <v>48</v>
      </c>
    </row>
    <row r="4668" spans="1:22">
      <c r="A4668" t="str">
        <f t="shared" si="879"/>
        <v>08/10/2025</v>
      </c>
      <c r="B4668" t="str">
        <f>"SAÍDA"</f>
        <v>SAÍDA</v>
      </c>
      <c r="C4668" t="str">
        <f>"PIX"</f>
        <v>PIX</v>
      </c>
      <c r="D4668" t="str">
        <f>"22553"</f>
        <v>22553</v>
      </c>
      <c r="E4668" t="str">
        <f>"1"</f>
        <v>1</v>
      </c>
      <c r="F4668" t="str">
        <f t="shared" si="880"/>
        <v>COM</v>
      </c>
      <c r="G4668" t="str">
        <f t="shared" ref="G4668:G4673" si="884">"AMANDA VERÍSSIMO FERREIRA (794)"</f>
        <v>AMANDA VERÍSSIMO FERREIRA (794)</v>
      </c>
      <c r="H4668" t="str">
        <f>"Serv.Prest. 22/09/2025 a 25/09/2025 - PIX: CPF - CHAVE: 099.626.666-60"</f>
        <v>Serv.Prest. 22/09/2025 a 25/09/2025 - PIX: CPF - CHAVE: 099.626.666-60</v>
      </c>
      <c r="I4668" t="str">
        <f t="shared" si="883"/>
        <v>09/10/2025</v>
      </c>
      <c r="J4668" t="str">
        <f>("26/09/2025")</f>
        <v>26/09/2025</v>
      </c>
      <c r="K4668" t="str">
        <f>("08/10/2025")</f>
        <v>08/10/2025</v>
      </c>
      <c r="L4668">
        <v>20</v>
      </c>
      <c r="M4668">
        <v>20</v>
      </c>
      <c r="N4668">
        <v>109</v>
      </c>
      <c r="O4668" t="str">
        <f>"PAGAMENTO DE ENTREGADORES"</f>
        <v>PAGAMENTO DE ENTREGADORES</v>
      </c>
      <c r="P4668">
        <v>20</v>
      </c>
      <c r="S4668" t="str">
        <f>"CAIXA MOVIMENTAÇÃO OPERACIONAL (132)"</f>
        <v>CAIXA MOVIMENTAÇÃO OPERACIONAL (132)</v>
      </c>
      <c r="T4668">
        <v>19239</v>
      </c>
      <c r="U4668">
        <v>23137</v>
      </c>
      <c r="V4668" t="s">
        <v>48</v>
      </c>
    </row>
    <row r="4669" spans="1:22">
      <c r="A4669" t="str">
        <f t="shared" si="879"/>
        <v>08/10/2025</v>
      </c>
      <c r="B4669" t="str">
        <f>"SAÍDA"</f>
        <v>SAÍDA</v>
      </c>
      <c r="C4669" t="str">
        <f>"PIX"</f>
        <v>PIX</v>
      </c>
      <c r="D4669" t="str">
        <f>"22553"</f>
        <v>22553</v>
      </c>
      <c r="E4669" t="str">
        <f>"1"</f>
        <v>1</v>
      </c>
      <c r="F4669" t="str">
        <f t="shared" si="880"/>
        <v>COM</v>
      </c>
      <c r="G4669" t="str">
        <f t="shared" si="884"/>
        <v>AMANDA VERÍSSIMO FERREIRA (794)</v>
      </c>
      <c r="H4669" t="s">
        <v>1366</v>
      </c>
      <c r="I4669" t="str">
        <f t="shared" si="883"/>
        <v>09/10/2025</v>
      </c>
      <c r="J4669" t="str">
        <f>("26/09/2025")</f>
        <v>26/09/2025</v>
      </c>
      <c r="K4669">
        <v>45938</v>
      </c>
      <c r="N4669">
        <v>109</v>
      </c>
      <c r="O4669" t="s">
        <v>24</v>
      </c>
      <c r="Q4669">
        <v>5.6</v>
      </c>
      <c r="R4669" t="str">
        <f>"FARMÁCIA INDIANA LJ 97 (10040)"</f>
        <v>FARMÁCIA INDIANA LJ 97 (10040)</v>
      </c>
      <c r="S4669" t="s">
        <v>48</v>
      </c>
      <c r="T4669">
        <v>19239</v>
      </c>
      <c r="U4669">
        <v>23137</v>
      </c>
      <c r="V4669" t="s">
        <v>48</v>
      </c>
    </row>
    <row r="4670" spans="1:22">
      <c r="A4670" t="str">
        <f t="shared" si="879"/>
        <v>08/10/2025</v>
      </c>
      <c r="B4670" t="str">
        <f>"SAÍDA"</f>
        <v>SAÍDA</v>
      </c>
      <c r="C4670" t="str">
        <f>"PIX"</f>
        <v>PIX</v>
      </c>
      <c r="D4670" t="str">
        <f>"22553"</f>
        <v>22553</v>
      </c>
      <c r="E4670" t="str">
        <f>"1"</f>
        <v>1</v>
      </c>
      <c r="F4670" t="str">
        <f t="shared" si="880"/>
        <v>COM</v>
      </c>
      <c r="G4670" t="str">
        <f t="shared" si="884"/>
        <v>AMANDA VERÍSSIMO FERREIRA (794)</v>
      </c>
      <c r="H4670" t="s">
        <v>1366</v>
      </c>
      <c r="I4670" t="str">
        <f t="shared" si="883"/>
        <v>09/10/2025</v>
      </c>
      <c r="J4670" t="str">
        <f>("26/09/2025")</f>
        <v>26/09/2025</v>
      </c>
      <c r="K4670">
        <v>45938</v>
      </c>
      <c r="N4670">
        <v>109</v>
      </c>
      <c r="O4670" t="s">
        <v>24</v>
      </c>
      <c r="Q4670">
        <v>5.6</v>
      </c>
      <c r="R4670" t="str">
        <f>"FARMÁCIA INDIANA LJ 111 (10049)"</f>
        <v>FARMÁCIA INDIANA LJ 111 (10049)</v>
      </c>
      <c r="S4670" t="s">
        <v>48</v>
      </c>
      <c r="T4670">
        <v>19239</v>
      </c>
      <c r="U4670">
        <v>23137</v>
      </c>
      <c r="V4670" t="s">
        <v>48</v>
      </c>
    </row>
    <row r="4671" spans="1:22">
      <c r="A4671" t="str">
        <f t="shared" si="879"/>
        <v>08/10/2025</v>
      </c>
      <c r="B4671" t="str">
        <f>"SAÍDA"</f>
        <v>SAÍDA</v>
      </c>
      <c r="C4671" t="str">
        <f>"PIX"</f>
        <v>PIX</v>
      </c>
      <c r="D4671" t="str">
        <f>"22553"</f>
        <v>22553</v>
      </c>
      <c r="E4671" t="str">
        <f>"1"</f>
        <v>1</v>
      </c>
      <c r="F4671" t="str">
        <f t="shared" si="880"/>
        <v>COM</v>
      </c>
      <c r="G4671" t="str">
        <f t="shared" si="884"/>
        <v>AMANDA VERÍSSIMO FERREIRA (794)</v>
      </c>
      <c r="H4671" t="s">
        <v>1366</v>
      </c>
      <c r="I4671" t="str">
        <f t="shared" si="883"/>
        <v>09/10/2025</v>
      </c>
      <c r="J4671" t="str">
        <f>("26/09/2025")</f>
        <v>26/09/2025</v>
      </c>
      <c r="K4671">
        <v>45938</v>
      </c>
      <c r="N4671">
        <v>109</v>
      </c>
      <c r="O4671" t="s">
        <v>24</v>
      </c>
      <c r="Q4671">
        <v>8.8000000000000007</v>
      </c>
      <c r="R4671" t="str">
        <f>"FARMÁCIA INDIANA LJ 143 (10067)"</f>
        <v>FARMÁCIA INDIANA LJ 143 (10067)</v>
      </c>
      <c r="S4671" t="s">
        <v>48</v>
      </c>
      <c r="T4671">
        <v>19239</v>
      </c>
      <c r="U4671">
        <v>23137</v>
      </c>
      <c r="V4671" t="s">
        <v>48</v>
      </c>
    </row>
    <row r="4672" spans="1:22">
      <c r="A4672" t="str">
        <f t="shared" si="879"/>
        <v>08/10/2025</v>
      </c>
      <c r="B4672" t="str">
        <f>"ENTRADA"</f>
        <v>ENTRADA</v>
      </c>
      <c r="C4672" t="str">
        <f>"DINHEIRO"</f>
        <v>DINHEIRO</v>
      </c>
      <c r="D4672" t="str">
        <f>"794"</f>
        <v>794</v>
      </c>
      <c r="E4672" t="str">
        <f>"5"</f>
        <v>5</v>
      </c>
      <c r="F4672" t="str">
        <f t="shared" si="880"/>
        <v>COM</v>
      </c>
      <c r="G4672" t="str">
        <f t="shared" si="884"/>
        <v>AMANDA VERÍSSIMO FERREIRA (794)</v>
      </c>
      <c r="H4672" t="str">
        <f>"COTA COOPERATIVA"</f>
        <v>COTA COOPERATIVA</v>
      </c>
      <c r="I4672" t="str">
        <f>("12/10/2025")</f>
        <v>12/10/2025</v>
      </c>
      <c r="J4672" t="str">
        <f>("05/05/2025")</f>
        <v>05/05/2025</v>
      </c>
      <c r="K4672" t="str">
        <f>("08/10/2025")</f>
        <v>08/10/2025</v>
      </c>
      <c r="L4672">
        <v>20</v>
      </c>
      <c r="M4672">
        <v>20</v>
      </c>
      <c r="N4672">
        <v>106</v>
      </c>
      <c r="O4672" t="str">
        <f>"ENTRADA DE CAPITAL"</f>
        <v>ENTRADA DE CAPITAL</v>
      </c>
      <c r="P4672">
        <v>20</v>
      </c>
      <c r="S4672" t="str">
        <f>"ENTRADA DE CAPITAL (106)"</f>
        <v>ENTRADA DE CAPITAL (106)</v>
      </c>
      <c r="T4672">
        <v>19240</v>
      </c>
      <c r="U4672">
        <v>16456</v>
      </c>
      <c r="V4672" t="s">
        <v>48</v>
      </c>
    </row>
    <row r="4673" spans="1:22">
      <c r="A4673" t="str">
        <f t="shared" si="879"/>
        <v>08/10/2025</v>
      </c>
      <c r="B4673" t="str">
        <f>"ENTRADA"</f>
        <v>ENTRADA</v>
      </c>
      <c r="C4673" t="str">
        <f>"DINHEIRO"</f>
        <v>DINHEIRO</v>
      </c>
      <c r="D4673" t="str">
        <f>"794"</f>
        <v>794</v>
      </c>
      <c r="E4673" t="str">
        <f>"5"</f>
        <v>5</v>
      </c>
      <c r="F4673" t="str">
        <f t="shared" si="880"/>
        <v>COM</v>
      </c>
      <c r="G4673" t="str">
        <f t="shared" si="884"/>
        <v>AMANDA VERÍSSIMO FERREIRA (794)</v>
      </c>
      <c r="H4673" t="s">
        <v>50</v>
      </c>
      <c r="I4673" t="str">
        <f>("12/10/2025")</f>
        <v>12/10/2025</v>
      </c>
      <c r="J4673" t="str">
        <f>("05/05/2025")</f>
        <v>05/05/2025</v>
      </c>
      <c r="K4673">
        <v>45938</v>
      </c>
      <c r="N4673">
        <v>106</v>
      </c>
      <c r="O4673" t="s">
        <v>51</v>
      </c>
      <c r="Q4673">
        <v>20</v>
      </c>
      <c r="R4673" t="str">
        <f>"AMANDA VERÍSSIMO FERREIRA (794)"</f>
        <v>AMANDA VERÍSSIMO FERREIRA (794)</v>
      </c>
      <c r="S4673" t="s">
        <v>52</v>
      </c>
      <c r="T4673">
        <v>19240</v>
      </c>
      <c r="U4673">
        <v>16456</v>
      </c>
      <c r="V4673" t="s">
        <v>48</v>
      </c>
    </row>
    <row r="4674" spans="1:22">
      <c r="A4674" t="str">
        <f t="shared" si="879"/>
        <v>08/10/2025</v>
      </c>
      <c r="B4674" t="str">
        <f>"SAÍDA"</f>
        <v>SAÍDA</v>
      </c>
      <c r="C4674" t="str">
        <f>"PIX"</f>
        <v>PIX</v>
      </c>
      <c r="D4674" t="str">
        <f>"22814"</f>
        <v>22814</v>
      </c>
      <c r="E4674" t="str">
        <f>"1"</f>
        <v>1</v>
      </c>
      <c r="F4674" t="str">
        <f t="shared" si="880"/>
        <v>COM</v>
      </c>
      <c r="G4674" t="str">
        <f>"ANDERSON LUIZ SOARES (807)"</f>
        <v>ANDERSON LUIZ SOARES (807)</v>
      </c>
      <c r="H4674" t="str">
        <f>"Serv.Prest. 29/09/2025 a 05/10/2025 - PIX: CELULAR - CHAVE: (32) 99920-0416"</f>
        <v>Serv.Prest. 29/09/2025 a 05/10/2025 - PIX: CELULAR - CHAVE: (32) 99920-0416</v>
      </c>
      <c r="I4674" t="str">
        <f>("09/10/2025")</f>
        <v>09/10/2025</v>
      </c>
      <c r="J4674" t="str">
        <f>("06/10/2025")</f>
        <v>06/10/2025</v>
      </c>
      <c r="K4674" t="str">
        <f>("08/10/2025")</f>
        <v>08/10/2025</v>
      </c>
      <c r="L4674">
        <v>20</v>
      </c>
      <c r="M4674">
        <v>20</v>
      </c>
      <c r="N4674">
        <v>109</v>
      </c>
      <c r="O4674" t="str">
        <f>"PAGAMENTO DE ENTREGADORES"</f>
        <v>PAGAMENTO DE ENTREGADORES</v>
      </c>
      <c r="P4674">
        <v>20</v>
      </c>
      <c r="S4674" t="str">
        <f>"CAIXA MOVIMENTAÇÃO OPERACIONAL (132)"</f>
        <v>CAIXA MOVIMENTAÇÃO OPERACIONAL (132)</v>
      </c>
      <c r="T4674">
        <v>19241</v>
      </c>
      <c r="U4674">
        <v>23138</v>
      </c>
      <c r="V4674" t="s">
        <v>48</v>
      </c>
    </row>
    <row r="4675" spans="1:22">
      <c r="A4675" t="str">
        <f t="shared" si="879"/>
        <v>08/10/2025</v>
      </c>
      <c r="B4675" t="str">
        <f>"SAÍDA"</f>
        <v>SAÍDA</v>
      </c>
      <c r="C4675" t="str">
        <f>"PIX"</f>
        <v>PIX</v>
      </c>
      <c r="D4675" t="str">
        <f>"22814"</f>
        <v>22814</v>
      </c>
      <c r="E4675" t="str">
        <f>"1"</f>
        <v>1</v>
      </c>
      <c r="F4675" t="str">
        <f t="shared" si="880"/>
        <v>COM</v>
      </c>
      <c r="G4675" t="str">
        <f>"ANDERSON LUIZ SOARES (807)"</f>
        <v>ANDERSON LUIZ SOARES (807)</v>
      </c>
      <c r="H4675" t="s">
        <v>1367</v>
      </c>
      <c r="I4675" t="str">
        <f>("09/10/2025")</f>
        <v>09/10/2025</v>
      </c>
      <c r="J4675" t="str">
        <f>("06/10/2025")</f>
        <v>06/10/2025</v>
      </c>
      <c r="K4675">
        <v>45938</v>
      </c>
      <c r="N4675">
        <v>109</v>
      </c>
      <c r="O4675" t="s">
        <v>24</v>
      </c>
      <c r="Q4675">
        <v>20</v>
      </c>
      <c r="R4675" t="str">
        <f>"DROGARIA ANA VISCONDE DO RIO BRANCO (10182)"</f>
        <v>DROGARIA ANA VISCONDE DO RIO BRANCO (10182)</v>
      </c>
      <c r="S4675" t="s">
        <v>48</v>
      </c>
      <c r="T4675">
        <v>19241</v>
      </c>
      <c r="U4675">
        <v>23138</v>
      </c>
      <c r="V4675" t="s">
        <v>48</v>
      </c>
    </row>
    <row r="4676" spans="1:22">
      <c r="A4676" t="str">
        <f t="shared" si="879"/>
        <v>08/10/2025</v>
      </c>
      <c r="B4676" t="str">
        <f>"ENTRADA"</f>
        <v>ENTRADA</v>
      </c>
      <c r="C4676" t="str">
        <f>"DINHEIRO"</f>
        <v>DINHEIRO</v>
      </c>
      <c r="D4676" t="str">
        <f>"807"</f>
        <v>807</v>
      </c>
      <c r="E4676" t="str">
        <f>"5"</f>
        <v>5</v>
      </c>
      <c r="F4676" t="str">
        <f t="shared" si="880"/>
        <v>COM</v>
      </c>
      <c r="G4676" t="str">
        <f>"ANDERSON LUIZ SOARES (807)"</f>
        <v>ANDERSON LUIZ SOARES (807)</v>
      </c>
      <c r="H4676" t="str">
        <f>"COTA COOPERATIVA"</f>
        <v>COTA COOPERATIVA</v>
      </c>
      <c r="I4676" t="str">
        <f>("12/10/2025")</f>
        <v>12/10/2025</v>
      </c>
      <c r="J4676" t="str">
        <f>("15/05/2025")</f>
        <v>15/05/2025</v>
      </c>
      <c r="K4676" t="str">
        <f>("08/10/2025")</f>
        <v>08/10/2025</v>
      </c>
      <c r="L4676">
        <v>20</v>
      </c>
      <c r="M4676">
        <v>20</v>
      </c>
      <c r="N4676">
        <v>106</v>
      </c>
      <c r="O4676" t="str">
        <f>"ENTRADA DE CAPITAL"</f>
        <v>ENTRADA DE CAPITAL</v>
      </c>
      <c r="P4676">
        <v>20</v>
      </c>
      <c r="S4676" t="str">
        <f>"ENTRADA DE CAPITAL (106)"</f>
        <v>ENTRADA DE CAPITAL (106)</v>
      </c>
      <c r="T4676">
        <v>19242</v>
      </c>
      <c r="U4676">
        <v>16482</v>
      </c>
      <c r="V4676" t="s">
        <v>48</v>
      </c>
    </row>
    <row r="4677" spans="1:22">
      <c r="A4677" t="str">
        <f t="shared" si="879"/>
        <v>08/10/2025</v>
      </c>
      <c r="B4677" t="str">
        <f>"ENTRADA"</f>
        <v>ENTRADA</v>
      </c>
      <c r="C4677" t="str">
        <f>"DINHEIRO"</f>
        <v>DINHEIRO</v>
      </c>
      <c r="D4677" t="str">
        <f>"807"</f>
        <v>807</v>
      </c>
      <c r="E4677" t="str">
        <f>"5"</f>
        <v>5</v>
      </c>
      <c r="F4677" t="str">
        <f t="shared" si="880"/>
        <v>COM</v>
      </c>
      <c r="G4677" t="str">
        <f>"ANDERSON LUIZ SOARES (807)"</f>
        <v>ANDERSON LUIZ SOARES (807)</v>
      </c>
      <c r="H4677" t="s">
        <v>50</v>
      </c>
      <c r="I4677" t="str">
        <f>("12/10/2025")</f>
        <v>12/10/2025</v>
      </c>
      <c r="J4677" t="str">
        <f>("15/05/2025")</f>
        <v>15/05/2025</v>
      </c>
      <c r="K4677">
        <v>45938</v>
      </c>
      <c r="N4677">
        <v>106</v>
      </c>
      <c r="O4677" t="s">
        <v>51</v>
      </c>
      <c r="Q4677">
        <v>20</v>
      </c>
      <c r="R4677" t="str">
        <f>"ANDERSON LUIZ SOARES (807)"</f>
        <v>ANDERSON LUIZ SOARES (807)</v>
      </c>
      <c r="S4677" t="s">
        <v>52</v>
      </c>
      <c r="T4677">
        <v>19242</v>
      </c>
      <c r="U4677">
        <v>16482</v>
      </c>
      <c r="V4677" t="s">
        <v>48</v>
      </c>
    </row>
    <row r="4678" spans="1:22">
      <c r="A4678" t="str">
        <f t="shared" si="879"/>
        <v>08/10/2025</v>
      </c>
      <c r="B4678" t="str">
        <f>"ENTRADA"</f>
        <v>ENTRADA</v>
      </c>
      <c r="C4678" t="str">
        <f>"DINHEIRO"</f>
        <v>DINHEIRO</v>
      </c>
      <c r="D4678" t="str">
        <f>"746"</f>
        <v>746</v>
      </c>
      <c r="E4678" t="str">
        <f>"6"</f>
        <v>6</v>
      </c>
      <c r="F4678" t="str">
        <f t="shared" si="880"/>
        <v>COM</v>
      </c>
      <c r="G4678" t="str">
        <f>"ANDERSON PEREIRA DOS SANTOS (746)"</f>
        <v>ANDERSON PEREIRA DOS SANTOS (746)</v>
      </c>
      <c r="H4678" t="str">
        <f>"COTA COOPERATIVA"</f>
        <v>COTA COOPERATIVA</v>
      </c>
      <c r="I4678" t="str">
        <f>("08/10/2025")</f>
        <v>08/10/2025</v>
      </c>
      <c r="J4678" t="str">
        <f>("11/04/2025")</f>
        <v>11/04/2025</v>
      </c>
      <c r="K4678" t="str">
        <f>("08/10/2025")</f>
        <v>08/10/2025</v>
      </c>
      <c r="L4678">
        <v>20</v>
      </c>
      <c r="M4678">
        <v>20</v>
      </c>
      <c r="N4678">
        <v>106</v>
      </c>
      <c r="O4678" t="str">
        <f>"ENTRADA DE CAPITAL"</f>
        <v>ENTRADA DE CAPITAL</v>
      </c>
      <c r="P4678">
        <v>20</v>
      </c>
      <c r="S4678" t="str">
        <f>"ENTRADA DE CAPITAL (106)"</f>
        <v>ENTRADA DE CAPITAL (106)</v>
      </c>
      <c r="T4678">
        <v>19243</v>
      </c>
      <c r="U4678">
        <v>13718</v>
      </c>
      <c r="V4678" t="s">
        <v>48</v>
      </c>
    </row>
    <row r="4679" spans="1:22">
      <c r="A4679" t="str">
        <f t="shared" si="879"/>
        <v>08/10/2025</v>
      </c>
      <c r="B4679" t="str">
        <f>"ENTRADA"</f>
        <v>ENTRADA</v>
      </c>
      <c r="C4679" t="str">
        <f>"DINHEIRO"</f>
        <v>DINHEIRO</v>
      </c>
      <c r="D4679" t="str">
        <f>"746"</f>
        <v>746</v>
      </c>
      <c r="E4679" t="str">
        <f>"6"</f>
        <v>6</v>
      </c>
      <c r="F4679" t="str">
        <f t="shared" si="880"/>
        <v>COM</v>
      </c>
      <c r="G4679" t="str">
        <f>"ANDERSON PEREIRA DOS SANTOS (746)"</f>
        <v>ANDERSON PEREIRA DOS SANTOS (746)</v>
      </c>
      <c r="H4679" t="s">
        <v>50</v>
      </c>
      <c r="I4679" t="str">
        <f>("08/10/2025")</f>
        <v>08/10/2025</v>
      </c>
      <c r="J4679" t="str">
        <f>("11/04/2025")</f>
        <v>11/04/2025</v>
      </c>
      <c r="K4679">
        <v>45938</v>
      </c>
      <c r="N4679">
        <v>106</v>
      </c>
      <c r="O4679" t="s">
        <v>51</v>
      </c>
      <c r="Q4679">
        <v>20</v>
      </c>
      <c r="R4679" t="str">
        <f>"ANDERSON PEREIRA DOS SANTOS (746)"</f>
        <v>ANDERSON PEREIRA DOS SANTOS (746)</v>
      </c>
      <c r="S4679" t="s">
        <v>52</v>
      </c>
      <c r="T4679">
        <v>19243</v>
      </c>
      <c r="U4679">
        <v>13718</v>
      </c>
      <c r="V4679" t="s">
        <v>48</v>
      </c>
    </row>
    <row r="4680" spans="1:22">
      <c r="A4680" t="str">
        <f t="shared" si="879"/>
        <v>08/10/2025</v>
      </c>
      <c r="B4680" t="str">
        <f>"SAÍDA"</f>
        <v>SAÍDA</v>
      </c>
      <c r="C4680" t="str">
        <f>"PIX"</f>
        <v>PIX</v>
      </c>
      <c r="D4680" t="str">
        <f>"22651"</f>
        <v>22651</v>
      </c>
      <c r="E4680" t="str">
        <f>"1"</f>
        <v>1</v>
      </c>
      <c r="F4680" t="str">
        <f t="shared" si="880"/>
        <v>COM</v>
      </c>
      <c r="G4680" t="str">
        <f>"ANDERSON PEREIRA DOS SANTOS (746)"</f>
        <v>ANDERSON PEREIRA DOS SANTOS (746)</v>
      </c>
      <c r="H4680" t="str">
        <f>"Serv.Prest. 22/09/2025 a 25/09/2025 - PIX: CPF - CHAVE: 079.930.865-07"</f>
        <v>Serv.Prest. 22/09/2025 a 25/09/2025 - PIX: CPF - CHAVE: 079.930.865-07</v>
      </c>
      <c r="I4680" t="str">
        <f>("09/10/2025")</f>
        <v>09/10/2025</v>
      </c>
      <c r="J4680" t="str">
        <f>("26/09/2025")</f>
        <v>26/09/2025</v>
      </c>
      <c r="K4680" t="str">
        <f>("08/10/2025")</f>
        <v>08/10/2025</v>
      </c>
      <c r="L4680">
        <v>20</v>
      </c>
      <c r="M4680">
        <v>20</v>
      </c>
      <c r="N4680">
        <v>109</v>
      </c>
      <c r="O4680" t="str">
        <f>"PAGAMENTO DE ENTREGADORES"</f>
        <v>PAGAMENTO DE ENTREGADORES</v>
      </c>
      <c r="P4680">
        <v>20</v>
      </c>
      <c r="S4680" t="str">
        <f>"CAIXA MOVIMENTAÇÃO OPERACIONAL (132)"</f>
        <v>CAIXA MOVIMENTAÇÃO OPERACIONAL (132)</v>
      </c>
      <c r="T4680">
        <v>19244</v>
      </c>
      <c r="U4680">
        <v>23139</v>
      </c>
      <c r="V4680" t="s">
        <v>48</v>
      </c>
    </row>
    <row r="4681" spans="1:22">
      <c r="A4681" t="str">
        <f t="shared" si="879"/>
        <v>08/10/2025</v>
      </c>
      <c r="B4681" t="str">
        <f>"SAÍDA"</f>
        <v>SAÍDA</v>
      </c>
      <c r="C4681" t="str">
        <f>"PIX"</f>
        <v>PIX</v>
      </c>
      <c r="D4681" t="str">
        <f>"22651"</f>
        <v>22651</v>
      </c>
      <c r="E4681" t="str">
        <f>"1"</f>
        <v>1</v>
      </c>
      <c r="F4681" t="str">
        <f t="shared" si="880"/>
        <v>COM</v>
      </c>
      <c r="G4681" t="str">
        <f>"ANDERSON PEREIRA DOS SANTOS (746)"</f>
        <v>ANDERSON PEREIRA DOS SANTOS (746)</v>
      </c>
      <c r="H4681" t="s">
        <v>1368</v>
      </c>
      <c r="I4681" t="str">
        <f>("09/10/2025")</f>
        <v>09/10/2025</v>
      </c>
      <c r="J4681" t="str">
        <f>("26/09/2025")</f>
        <v>26/09/2025</v>
      </c>
      <c r="K4681">
        <v>45938</v>
      </c>
      <c r="N4681">
        <v>109</v>
      </c>
      <c r="O4681" t="s">
        <v>24</v>
      </c>
      <c r="Q4681">
        <v>11.25</v>
      </c>
      <c r="R4681" t="str">
        <f>"FARMÁCIA INDIANA LJ 211 (10168)"</f>
        <v>FARMÁCIA INDIANA LJ 211 (10168)</v>
      </c>
      <c r="S4681" t="s">
        <v>48</v>
      </c>
      <c r="T4681">
        <v>19244</v>
      </c>
      <c r="U4681">
        <v>23139</v>
      </c>
      <c r="V4681" t="s">
        <v>48</v>
      </c>
    </row>
    <row r="4682" spans="1:22">
      <c r="A4682" t="str">
        <f t="shared" si="879"/>
        <v>08/10/2025</v>
      </c>
      <c r="B4682" t="str">
        <f>"SAÍDA"</f>
        <v>SAÍDA</v>
      </c>
      <c r="C4682" t="str">
        <f>"PIX"</f>
        <v>PIX</v>
      </c>
      <c r="D4682" t="str">
        <f>"22651"</f>
        <v>22651</v>
      </c>
      <c r="E4682" t="str">
        <f>"1"</f>
        <v>1</v>
      </c>
      <c r="F4682" t="str">
        <f t="shared" si="880"/>
        <v>COM</v>
      </c>
      <c r="G4682" t="str">
        <f>"ANDERSON PEREIRA DOS SANTOS (746)"</f>
        <v>ANDERSON PEREIRA DOS SANTOS (746)</v>
      </c>
      <c r="H4682" t="s">
        <v>1368</v>
      </c>
      <c r="I4682" t="str">
        <f>("09/10/2025")</f>
        <v>09/10/2025</v>
      </c>
      <c r="J4682" t="str">
        <f>("26/09/2025")</f>
        <v>26/09/2025</v>
      </c>
      <c r="K4682">
        <v>45938</v>
      </c>
      <c r="N4682">
        <v>109</v>
      </c>
      <c r="O4682" t="s">
        <v>24</v>
      </c>
      <c r="Q4682">
        <v>8.75</v>
      </c>
      <c r="R4682" t="str">
        <f>"FARMÁCIA INDIANA LJ 236 (10169)"</f>
        <v>FARMÁCIA INDIANA LJ 236 (10169)</v>
      </c>
      <c r="S4682" t="s">
        <v>48</v>
      </c>
      <c r="T4682">
        <v>19244</v>
      </c>
      <c r="U4682">
        <v>23139</v>
      </c>
      <c r="V4682" t="s">
        <v>48</v>
      </c>
    </row>
    <row r="4683" spans="1:22">
      <c r="A4683" t="str">
        <f t="shared" si="879"/>
        <v>08/10/2025</v>
      </c>
      <c r="B4683" t="str">
        <f>"ENTRADA"</f>
        <v>ENTRADA</v>
      </c>
      <c r="C4683" t="str">
        <f>"DINHEIRO"</f>
        <v>DINHEIRO</v>
      </c>
      <c r="D4683" t="str">
        <f>"16"</f>
        <v>16</v>
      </c>
      <c r="E4683" t="str">
        <f>"34"</f>
        <v>34</v>
      </c>
      <c r="F4683" t="str">
        <f t="shared" si="880"/>
        <v>COM</v>
      </c>
      <c r="G4683" t="str">
        <f>"ANISSO ANIDAL DE PAULA (161)"</f>
        <v>ANISSO ANIDAL DE PAULA (161)</v>
      </c>
      <c r="H4683" t="str">
        <f>"DESCONTO COTA COOPERADO"</f>
        <v>DESCONTO COTA COOPERADO</v>
      </c>
      <c r="I4683" t="str">
        <f>("15/10/2025")</f>
        <v>15/10/2025</v>
      </c>
      <c r="J4683" t="str">
        <f>("15/01/2025")</f>
        <v>15/01/2025</v>
      </c>
      <c r="K4683" t="str">
        <f>("08/10/2025")</f>
        <v>08/10/2025</v>
      </c>
      <c r="L4683">
        <v>20</v>
      </c>
      <c r="M4683">
        <v>20</v>
      </c>
      <c r="N4683">
        <v>106</v>
      </c>
      <c r="O4683" t="str">
        <f>"ENTRADA DE CAPITAL"</f>
        <v>ENTRADA DE CAPITAL</v>
      </c>
      <c r="P4683">
        <v>20</v>
      </c>
      <c r="S4683" t="str">
        <f>"ENTRADA DE CAPITAL (106)"</f>
        <v>ENTRADA DE CAPITAL (106)</v>
      </c>
      <c r="T4683">
        <v>19245</v>
      </c>
      <c r="U4683">
        <v>5881</v>
      </c>
      <c r="V4683" t="s">
        <v>48</v>
      </c>
    </row>
    <row r="4684" spans="1:22">
      <c r="A4684" t="str">
        <f t="shared" si="879"/>
        <v>08/10/2025</v>
      </c>
      <c r="B4684" t="str">
        <f>"ENTRADA"</f>
        <v>ENTRADA</v>
      </c>
      <c r="C4684" t="str">
        <f>"DINHEIRO"</f>
        <v>DINHEIRO</v>
      </c>
      <c r="D4684" t="str">
        <f>"16"</f>
        <v>16</v>
      </c>
      <c r="E4684" t="str">
        <f>"34"</f>
        <v>34</v>
      </c>
      <c r="F4684" t="str">
        <f t="shared" si="880"/>
        <v>COM</v>
      </c>
      <c r="G4684" t="str">
        <f>"ANISSO ANIDAL DE PAULA (161)"</f>
        <v>ANISSO ANIDAL DE PAULA (161)</v>
      </c>
      <c r="H4684" t="s">
        <v>309</v>
      </c>
      <c r="I4684" t="str">
        <f>("15/10/2025")</f>
        <v>15/10/2025</v>
      </c>
      <c r="J4684" t="str">
        <f>("15/01/2025")</f>
        <v>15/01/2025</v>
      </c>
      <c r="K4684">
        <v>45938</v>
      </c>
      <c r="N4684">
        <v>106</v>
      </c>
      <c r="O4684" t="s">
        <v>51</v>
      </c>
      <c r="Q4684">
        <v>20</v>
      </c>
      <c r="R4684" t="str">
        <f>"ANISSO ANIDAL DE PAULA (161)"</f>
        <v>ANISSO ANIDAL DE PAULA (161)</v>
      </c>
      <c r="S4684" t="s">
        <v>52</v>
      </c>
      <c r="T4684">
        <v>19245</v>
      </c>
      <c r="U4684">
        <v>5881</v>
      </c>
      <c r="V4684" t="s">
        <v>48</v>
      </c>
    </row>
    <row r="4685" spans="1:22">
      <c r="A4685" t="str">
        <f t="shared" si="879"/>
        <v>08/10/2025</v>
      </c>
      <c r="B4685" t="str">
        <f>"SAÍDA"</f>
        <v>SAÍDA</v>
      </c>
      <c r="C4685" t="str">
        <f>"PIX"</f>
        <v>PIX</v>
      </c>
      <c r="D4685" t="str">
        <f>"22918"</f>
        <v>22918</v>
      </c>
      <c r="E4685" t="str">
        <f>"1"</f>
        <v>1</v>
      </c>
      <c r="F4685" t="str">
        <f t="shared" si="880"/>
        <v>COM</v>
      </c>
      <c r="G4685" t="str">
        <f>"ANISSO ANIDAL DE PAULA (161)"</f>
        <v>ANISSO ANIDAL DE PAULA (161)</v>
      </c>
      <c r="H4685" t="str">
        <f>"Serv.Prest. 26/09/2025 a 05/10/2025 - PIX: E-MAIL - CHAVE: anissoanidaldepaula@gmail.com"</f>
        <v>Serv.Prest. 26/09/2025 a 05/10/2025 - PIX: E-MAIL - CHAVE: anissoanidaldepaula@gmail.com</v>
      </c>
      <c r="I4685" t="str">
        <f>("16/10/2025")</f>
        <v>16/10/2025</v>
      </c>
      <c r="J4685" t="str">
        <f>("07/10/2025")</f>
        <v>07/10/2025</v>
      </c>
      <c r="K4685" t="str">
        <f>("08/10/2025")</f>
        <v>08/10/2025</v>
      </c>
      <c r="L4685">
        <v>20</v>
      </c>
      <c r="M4685">
        <v>20</v>
      </c>
      <c r="N4685">
        <v>109</v>
      </c>
      <c r="O4685" t="str">
        <f>"PAGAMENTO DE ENTREGADORES"</f>
        <v>PAGAMENTO DE ENTREGADORES</v>
      </c>
      <c r="P4685">
        <v>20</v>
      </c>
      <c r="S4685" t="str">
        <f>"CAIXA MOVIMENTAÇÃO OPERACIONAL (132)"</f>
        <v>CAIXA MOVIMENTAÇÃO OPERACIONAL (132)</v>
      </c>
      <c r="T4685">
        <v>19246</v>
      </c>
      <c r="U4685">
        <v>23140</v>
      </c>
      <c r="V4685" t="s">
        <v>48</v>
      </c>
    </row>
    <row r="4686" spans="1:22">
      <c r="A4686" t="str">
        <f t="shared" si="879"/>
        <v>08/10/2025</v>
      </c>
      <c r="B4686" t="str">
        <f>"SAÍDA"</f>
        <v>SAÍDA</v>
      </c>
      <c r="C4686" t="str">
        <f>"PIX"</f>
        <v>PIX</v>
      </c>
      <c r="D4686" t="str">
        <f>"22918"</f>
        <v>22918</v>
      </c>
      <c r="E4686" t="str">
        <f>"1"</f>
        <v>1</v>
      </c>
      <c r="F4686" t="str">
        <f t="shared" si="880"/>
        <v>COM</v>
      </c>
      <c r="G4686" t="str">
        <f>"ANISSO ANIDAL DE PAULA (161)"</f>
        <v>ANISSO ANIDAL DE PAULA (161)</v>
      </c>
      <c r="H4686" t="s">
        <v>1369</v>
      </c>
      <c r="I4686" t="str">
        <f>("16/10/2025")</f>
        <v>16/10/2025</v>
      </c>
      <c r="J4686" t="str">
        <f>("07/10/2025")</f>
        <v>07/10/2025</v>
      </c>
      <c r="K4686">
        <v>45938</v>
      </c>
      <c r="N4686">
        <v>109</v>
      </c>
      <c r="O4686" t="s">
        <v>24</v>
      </c>
      <c r="Q4686">
        <v>15.92</v>
      </c>
      <c r="R4686" t="str">
        <f>"FARMÁCIA INDIANA LJ 18 (10011)"</f>
        <v>FARMÁCIA INDIANA LJ 18 (10011)</v>
      </c>
      <c r="S4686" t="s">
        <v>48</v>
      </c>
      <c r="T4686">
        <v>19246</v>
      </c>
      <c r="U4686">
        <v>23140</v>
      </c>
      <c r="V4686" t="s">
        <v>48</v>
      </c>
    </row>
    <row r="4687" spans="1:22">
      <c r="A4687" t="str">
        <f t="shared" ref="A4687:A4750" si="885">("08/10/2025")</f>
        <v>08/10/2025</v>
      </c>
      <c r="B4687" t="str">
        <f>"SAÍDA"</f>
        <v>SAÍDA</v>
      </c>
      <c r="C4687" t="str">
        <f>"PIX"</f>
        <v>PIX</v>
      </c>
      <c r="D4687" t="str">
        <f>"22918"</f>
        <v>22918</v>
      </c>
      <c r="E4687" t="str">
        <f>"1"</f>
        <v>1</v>
      </c>
      <c r="F4687" t="str">
        <f t="shared" ref="F4687:F4750" si="886">"COM"</f>
        <v>COM</v>
      </c>
      <c r="G4687" t="str">
        <f>"ANISSO ANIDAL DE PAULA (161)"</f>
        <v>ANISSO ANIDAL DE PAULA (161)</v>
      </c>
      <c r="H4687" t="s">
        <v>1369</v>
      </c>
      <c r="I4687" t="str">
        <f>("16/10/2025")</f>
        <v>16/10/2025</v>
      </c>
      <c r="J4687" t="str">
        <f>("07/10/2025")</f>
        <v>07/10/2025</v>
      </c>
      <c r="K4687">
        <v>45938</v>
      </c>
      <c r="N4687">
        <v>109</v>
      </c>
      <c r="O4687" t="s">
        <v>24</v>
      </c>
      <c r="Q4687">
        <v>4.08</v>
      </c>
      <c r="R4687" t="str">
        <f>"FARMÁCIA INDIANA LJ 19 (10012)"</f>
        <v>FARMÁCIA INDIANA LJ 19 (10012)</v>
      </c>
      <c r="S4687" t="s">
        <v>48</v>
      </c>
      <c r="T4687">
        <v>19246</v>
      </c>
      <c r="U4687">
        <v>23140</v>
      </c>
      <c r="V4687" t="s">
        <v>48</v>
      </c>
    </row>
    <row r="4688" spans="1:22">
      <c r="A4688" t="str">
        <f t="shared" si="885"/>
        <v>08/10/2025</v>
      </c>
      <c r="B4688" t="str">
        <f>"ENTRADA"</f>
        <v>ENTRADA</v>
      </c>
      <c r="C4688" t="str">
        <f>"DINHEIRO"</f>
        <v>DINHEIRO</v>
      </c>
      <c r="D4688" t="str">
        <f>"754"</f>
        <v>754</v>
      </c>
      <c r="E4688" t="str">
        <f>"6"</f>
        <v>6</v>
      </c>
      <c r="F4688" t="str">
        <f t="shared" si="886"/>
        <v>COM</v>
      </c>
      <c r="G4688" t="str">
        <f>"ARLINDO COSTA FELIX (754)"</f>
        <v>ARLINDO COSTA FELIX (754)</v>
      </c>
      <c r="H4688" t="str">
        <f>"COTA COOPERATIVA"</f>
        <v>COTA COOPERATIVA</v>
      </c>
      <c r="I4688" t="str">
        <f>("08/10/2025")</f>
        <v>08/10/2025</v>
      </c>
      <c r="J4688" t="str">
        <f>("16/04/2025")</f>
        <v>16/04/2025</v>
      </c>
      <c r="K4688" t="str">
        <f>("08/10/2025")</f>
        <v>08/10/2025</v>
      </c>
      <c r="L4688">
        <v>20</v>
      </c>
      <c r="M4688">
        <v>20</v>
      </c>
      <c r="N4688">
        <v>106</v>
      </c>
      <c r="O4688" t="str">
        <f>"ENTRADA DE CAPITAL"</f>
        <v>ENTRADA DE CAPITAL</v>
      </c>
      <c r="P4688">
        <v>20</v>
      </c>
      <c r="S4688" t="str">
        <f>"ENTRADA DE CAPITAL (106)"</f>
        <v>ENTRADA DE CAPITAL (106)</v>
      </c>
      <c r="T4688">
        <v>19247</v>
      </c>
      <c r="U4688">
        <v>13749</v>
      </c>
      <c r="V4688" t="s">
        <v>48</v>
      </c>
    </row>
    <row r="4689" spans="1:22">
      <c r="A4689" t="str">
        <f t="shared" si="885"/>
        <v>08/10/2025</v>
      </c>
      <c r="B4689" t="str">
        <f>"ENTRADA"</f>
        <v>ENTRADA</v>
      </c>
      <c r="C4689" t="str">
        <f>"DINHEIRO"</f>
        <v>DINHEIRO</v>
      </c>
      <c r="D4689" t="str">
        <f>"754"</f>
        <v>754</v>
      </c>
      <c r="E4689" t="str">
        <f>"6"</f>
        <v>6</v>
      </c>
      <c r="F4689" t="str">
        <f t="shared" si="886"/>
        <v>COM</v>
      </c>
      <c r="G4689" t="str">
        <f>"ARLINDO COSTA FELIX (754)"</f>
        <v>ARLINDO COSTA FELIX (754)</v>
      </c>
      <c r="H4689" t="s">
        <v>50</v>
      </c>
      <c r="I4689" t="str">
        <f>("08/10/2025")</f>
        <v>08/10/2025</v>
      </c>
      <c r="J4689" t="str">
        <f>("16/04/2025")</f>
        <v>16/04/2025</v>
      </c>
      <c r="K4689">
        <v>45938</v>
      </c>
      <c r="N4689">
        <v>106</v>
      </c>
      <c r="O4689" t="s">
        <v>51</v>
      </c>
      <c r="Q4689">
        <v>20</v>
      </c>
      <c r="R4689" t="str">
        <f>"ARLINDO COSTA FELIX (754)"</f>
        <v>ARLINDO COSTA FELIX (754)</v>
      </c>
      <c r="S4689" t="s">
        <v>52</v>
      </c>
      <c r="T4689">
        <v>19247</v>
      </c>
      <c r="U4689">
        <v>13749</v>
      </c>
      <c r="V4689" t="s">
        <v>48</v>
      </c>
    </row>
    <row r="4690" spans="1:22">
      <c r="A4690" t="str">
        <f t="shared" si="885"/>
        <v>08/10/2025</v>
      </c>
      <c r="B4690" t="str">
        <f>"SAÍDA"</f>
        <v>SAÍDA</v>
      </c>
      <c r="C4690" t="str">
        <f>"PIX"</f>
        <v>PIX</v>
      </c>
      <c r="D4690" t="str">
        <f>"22822"</f>
        <v>22822</v>
      </c>
      <c r="E4690" t="str">
        <f>"1"</f>
        <v>1</v>
      </c>
      <c r="F4690" t="str">
        <f t="shared" si="886"/>
        <v>COM</v>
      </c>
      <c r="G4690" t="str">
        <f>"ARLINDO COSTA FELIX (754)"</f>
        <v>ARLINDO COSTA FELIX (754)</v>
      </c>
      <c r="H4690" t="str">
        <f>"Serv.Prest. 29/09/2025 a 05/10/2025 - PIX: CPF - CHAVE: 103.983.366-79"</f>
        <v>Serv.Prest. 29/09/2025 a 05/10/2025 - PIX: CPF - CHAVE: 103.983.366-79</v>
      </c>
      <c r="I4690" t="str">
        <f>("09/10/2025")</f>
        <v>09/10/2025</v>
      </c>
      <c r="J4690" t="str">
        <f>("06/10/2025")</f>
        <v>06/10/2025</v>
      </c>
      <c r="K4690" t="str">
        <f>("08/10/2025")</f>
        <v>08/10/2025</v>
      </c>
      <c r="L4690">
        <v>20</v>
      </c>
      <c r="M4690">
        <v>20</v>
      </c>
      <c r="N4690">
        <v>109</v>
      </c>
      <c r="O4690" t="str">
        <f>"PAGAMENTO DE ENTREGADORES"</f>
        <v>PAGAMENTO DE ENTREGADORES</v>
      </c>
      <c r="P4690">
        <v>20</v>
      </c>
      <c r="S4690" t="str">
        <f>"CAIXA MOVIMENTAÇÃO OPERACIONAL (132)"</f>
        <v>CAIXA MOVIMENTAÇÃO OPERACIONAL (132)</v>
      </c>
      <c r="T4690">
        <v>19248</v>
      </c>
      <c r="U4690">
        <v>23141</v>
      </c>
      <c r="V4690" t="s">
        <v>48</v>
      </c>
    </row>
    <row r="4691" spans="1:22">
      <c r="A4691" t="str">
        <f t="shared" si="885"/>
        <v>08/10/2025</v>
      </c>
      <c r="B4691" t="str">
        <f>"SAÍDA"</f>
        <v>SAÍDA</v>
      </c>
      <c r="C4691" t="str">
        <f>"PIX"</f>
        <v>PIX</v>
      </c>
      <c r="D4691" t="str">
        <f>"22822"</f>
        <v>22822</v>
      </c>
      <c r="E4691" t="str">
        <f>"1"</f>
        <v>1</v>
      </c>
      <c r="F4691" t="str">
        <f t="shared" si="886"/>
        <v>COM</v>
      </c>
      <c r="G4691" t="str">
        <f>"ARLINDO COSTA FELIX (754)"</f>
        <v>ARLINDO COSTA FELIX (754)</v>
      </c>
      <c r="H4691" t="s">
        <v>1370</v>
      </c>
      <c r="I4691" t="str">
        <f>("09/10/2025")</f>
        <v>09/10/2025</v>
      </c>
      <c r="J4691" t="str">
        <f>("06/10/2025")</f>
        <v>06/10/2025</v>
      </c>
      <c r="K4691">
        <v>45938</v>
      </c>
      <c r="N4691">
        <v>109</v>
      </c>
      <c r="O4691" t="s">
        <v>24</v>
      </c>
      <c r="Q4691">
        <v>20</v>
      </c>
      <c r="R4691" t="str">
        <f>"ENTREFARMA (10164)"</f>
        <v>ENTREFARMA (10164)</v>
      </c>
      <c r="S4691" t="s">
        <v>48</v>
      </c>
      <c r="T4691">
        <v>19248</v>
      </c>
      <c r="U4691">
        <v>23141</v>
      </c>
      <c r="V4691" t="s">
        <v>48</v>
      </c>
    </row>
    <row r="4692" spans="1:22">
      <c r="A4692" t="str">
        <f t="shared" si="885"/>
        <v>08/10/2025</v>
      </c>
      <c r="B4692" t="str">
        <f>"SAÍDA"</f>
        <v>SAÍDA</v>
      </c>
      <c r="C4692" t="str">
        <f>"PIX"</f>
        <v>PIX</v>
      </c>
      <c r="D4692" t="str">
        <f>"22555"</f>
        <v>22555</v>
      </c>
      <c r="E4692" t="str">
        <f>"1"</f>
        <v>1</v>
      </c>
      <c r="F4692" t="str">
        <f t="shared" si="886"/>
        <v>COM</v>
      </c>
      <c r="G4692" t="str">
        <f>"ARLINDO JOSE MARTINS (909)"</f>
        <v>ARLINDO JOSE MARTINS (909)</v>
      </c>
      <c r="H4692" t="str">
        <f>"Serv.Prest. 22/09/2025 a 25/09/2025 - PIX: CPF - CHAVE: 037.192.076-09"</f>
        <v>Serv.Prest. 22/09/2025 a 25/09/2025 - PIX: CPF - CHAVE: 037.192.076-09</v>
      </c>
      <c r="I4692" t="str">
        <f>("09/10/2025")</f>
        <v>09/10/2025</v>
      </c>
      <c r="J4692" t="str">
        <f>("26/09/2025")</f>
        <v>26/09/2025</v>
      </c>
      <c r="K4692" t="str">
        <f>("08/10/2025")</f>
        <v>08/10/2025</v>
      </c>
      <c r="L4692">
        <v>20</v>
      </c>
      <c r="M4692">
        <v>20</v>
      </c>
      <c r="N4692">
        <v>109</v>
      </c>
      <c r="O4692" t="str">
        <f>"PAGAMENTO DE ENTREGADORES"</f>
        <v>PAGAMENTO DE ENTREGADORES</v>
      </c>
      <c r="P4692">
        <v>20</v>
      </c>
      <c r="S4692" t="str">
        <f>"CAIXA MOVIMENTAÇÃO OPERACIONAL (132)"</f>
        <v>CAIXA MOVIMENTAÇÃO OPERACIONAL (132)</v>
      </c>
      <c r="T4692">
        <v>19249</v>
      </c>
      <c r="U4692">
        <v>23142</v>
      </c>
      <c r="V4692" t="s">
        <v>48</v>
      </c>
    </row>
    <row r="4693" spans="1:22">
      <c r="A4693" t="str">
        <f t="shared" si="885"/>
        <v>08/10/2025</v>
      </c>
      <c r="B4693" t="str">
        <f>"SAÍDA"</f>
        <v>SAÍDA</v>
      </c>
      <c r="C4693" t="str">
        <f>"PIX"</f>
        <v>PIX</v>
      </c>
      <c r="D4693" t="str">
        <f>"22555"</f>
        <v>22555</v>
      </c>
      <c r="E4693" t="str">
        <f>"1"</f>
        <v>1</v>
      </c>
      <c r="F4693" t="str">
        <f t="shared" si="886"/>
        <v>COM</v>
      </c>
      <c r="G4693" t="str">
        <f>"ARLINDO JOSE MARTINS (909)"</f>
        <v>ARLINDO JOSE MARTINS (909)</v>
      </c>
      <c r="H4693" t="s">
        <v>1371</v>
      </c>
      <c r="I4693" t="str">
        <f>("09/10/2025")</f>
        <v>09/10/2025</v>
      </c>
      <c r="J4693" t="str">
        <f>("26/09/2025")</f>
        <v>26/09/2025</v>
      </c>
      <c r="K4693">
        <v>45938</v>
      </c>
      <c r="N4693">
        <v>109</v>
      </c>
      <c r="O4693" t="s">
        <v>24</v>
      </c>
      <c r="Q4693">
        <v>20</v>
      </c>
      <c r="R4693" t="str">
        <f>"FARMÁCIA INDIANA LJ 185 (10141)"</f>
        <v>FARMÁCIA INDIANA LJ 185 (10141)</v>
      </c>
      <c r="S4693" t="s">
        <v>48</v>
      </c>
      <c r="T4693">
        <v>19249</v>
      </c>
      <c r="U4693">
        <v>23142</v>
      </c>
      <c r="V4693" t="s">
        <v>48</v>
      </c>
    </row>
    <row r="4694" spans="1:22">
      <c r="A4694" t="str">
        <f t="shared" si="885"/>
        <v>08/10/2025</v>
      </c>
      <c r="B4694" t="str">
        <f>"ENTRADA"</f>
        <v>ENTRADA</v>
      </c>
      <c r="C4694" t="str">
        <f>"DINHEIRO"</f>
        <v>DINHEIRO</v>
      </c>
      <c r="D4694" t="str">
        <f>"909"</f>
        <v>909</v>
      </c>
      <c r="E4694" t="str">
        <f>"2"</f>
        <v>2</v>
      </c>
      <c r="F4694" t="str">
        <f t="shared" si="886"/>
        <v>COM</v>
      </c>
      <c r="G4694" t="str">
        <f>"ARLINDO JOSE MARTINS (909)"</f>
        <v>ARLINDO JOSE MARTINS (909)</v>
      </c>
      <c r="H4694" t="str">
        <f>"COTA COOPERATIVA"</f>
        <v>COTA COOPERATIVA</v>
      </c>
      <c r="I4694" t="str">
        <f>("10/10/2025")</f>
        <v>10/10/2025</v>
      </c>
      <c r="J4694" t="str">
        <f>("12/08/2025")</f>
        <v>12/08/2025</v>
      </c>
      <c r="K4694" t="str">
        <f>("08/10/2025")</f>
        <v>08/10/2025</v>
      </c>
      <c r="L4694">
        <v>20</v>
      </c>
      <c r="M4694">
        <v>20</v>
      </c>
      <c r="N4694">
        <v>106</v>
      </c>
      <c r="O4694" t="str">
        <f>"ENTRADA DE CAPITAL"</f>
        <v>ENTRADA DE CAPITAL</v>
      </c>
      <c r="P4694">
        <v>20</v>
      </c>
      <c r="S4694" t="str">
        <f>"ENTRADA DE CAPITAL (106)"</f>
        <v>ENTRADA DE CAPITAL (106)</v>
      </c>
      <c r="T4694">
        <v>19250</v>
      </c>
      <c r="U4694">
        <v>21724</v>
      </c>
      <c r="V4694" t="s">
        <v>48</v>
      </c>
    </row>
    <row r="4695" spans="1:22">
      <c r="A4695" t="str">
        <f t="shared" si="885"/>
        <v>08/10/2025</v>
      </c>
      <c r="B4695" t="str">
        <f>"ENTRADA"</f>
        <v>ENTRADA</v>
      </c>
      <c r="C4695" t="str">
        <f>"DINHEIRO"</f>
        <v>DINHEIRO</v>
      </c>
      <c r="D4695" t="str">
        <f>"909"</f>
        <v>909</v>
      </c>
      <c r="E4695" t="str">
        <f>"2"</f>
        <v>2</v>
      </c>
      <c r="F4695" t="str">
        <f t="shared" si="886"/>
        <v>COM</v>
      </c>
      <c r="G4695" t="str">
        <f>"ARLINDO JOSE MARTINS (909)"</f>
        <v>ARLINDO JOSE MARTINS (909)</v>
      </c>
      <c r="H4695" t="s">
        <v>50</v>
      </c>
      <c r="I4695" t="str">
        <f>("10/10/2025")</f>
        <v>10/10/2025</v>
      </c>
      <c r="J4695" t="str">
        <f>("12/08/2025")</f>
        <v>12/08/2025</v>
      </c>
      <c r="K4695">
        <v>45938</v>
      </c>
      <c r="N4695">
        <v>106</v>
      </c>
      <c r="O4695" t="s">
        <v>51</v>
      </c>
      <c r="Q4695">
        <v>20</v>
      </c>
      <c r="R4695" t="str">
        <f>"ARLINDO JOSE MARTINS (909)"</f>
        <v>ARLINDO JOSE MARTINS (909)</v>
      </c>
      <c r="S4695" t="s">
        <v>52</v>
      </c>
      <c r="T4695">
        <v>19250</v>
      </c>
      <c r="U4695">
        <v>21724</v>
      </c>
      <c r="V4695" t="s">
        <v>48</v>
      </c>
    </row>
    <row r="4696" spans="1:22">
      <c r="A4696" t="str">
        <f t="shared" si="885"/>
        <v>08/10/2025</v>
      </c>
      <c r="B4696" t="str">
        <f>"SAÍDA"</f>
        <v>SAÍDA</v>
      </c>
      <c r="C4696" t="str">
        <f>"PIX"</f>
        <v>PIX</v>
      </c>
      <c r="D4696" t="str">
        <f>"22556"</f>
        <v>22556</v>
      </c>
      <c r="E4696" t="str">
        <f>"1"</f>
        <v>1</v>
      </c>
      <c r="F4696" t="str">
        <f t="shared" si="886"/>
        <v>COM</v>
      </c>
      <c r="G4696" t="str">
        <f>"ARTHUR DANTAS PACHECO (928)"</f>
        <v>ARTHUR DANTAS PACHECO (928)</v>
      </c>
      <c r="H4696" t="str">
        <f>"Serv.Prest. 22/09/2025 a 25/09/2025 - PIX: CELULAR - CHAVE: (33) 99110-6940"</f>
        <v>Serv.Prest. 22/09/2025 a 25/09/2025 - PIX: CELULAR - CHAVE: (33) 99110-6940</v>
      </c>
      <c r="I4696" t="str">
        <f>("09/10/2025")</f>
        <v>09/10/2025</v>
      </c>
      <c r="J4696" t="str">
        <f>("26/09/2025")</f>
        <v>26/09/2025</v>
      </c>
      <c r="K4696" t="str">
        <f>("08/10/2025")</f>
        <v>08/10/2025</v>
      </c>
      <c r="L4696">
        <v>20</v>
      </c>
      <c r="M4696">
        <v>20</v>
      </c>
      <c r="N4696">
        <v>109</v>
      </c>
      <c r="O4696" t="str">
        <f>"PAGAMENTO DE ENTREGADORES"</f>
        <v>PAGAMENTO DE ENTREGADORES</v>
      </c>
      <c r="P4696">
        <v>20</v>
      </c>
      <c r="S4696" t="str">
        <f>"CAIXA MOVIMENTAÇÃO OPERACIONAL (132)"</f>
        <v>CAIXA MOVIMENTAÇÃO OPERACIONAL (132)</v>
      </c>
      <c r="T4696">
        <v>19251</v>
      </c>
      <c r="U4696">
        <v>23168</v>
      </c>
      <c r="V4696" t="s">
        <v>48</v>
      </c>
    </row>
    <row r="4697" spans="1:22">
      <c r="A4697" t="str">
        <f t="shared" si="885"/>
        <v>08/10/2025</v>
      </c>
      <c r="B4697" t="str">
        <f>"SAÍDA"</f>
        <v>SAÍDA</v>
      </c>
      <c r="C4697" t="str">
        <f>"PIX"</f>
        <v>PIX</v>
      </c>
      <c r="D4697" t="str">
        <f>"22556"</f>
        <v>22556</v>
      </c>
      <c r="E4697" t="str">
        <f>"1"</f>
        <v>1</v>
      </c>
      <c r="F4697" t="str">
        <f t="shared" si="886"/>
        <v>COM</v>
      </c>
      <c r="G4697" t="str">
        <f>"ARTHUR DANTAS PACHECO (928)"</f>
        <v>ARTHUR DANTAS PACHECO (928)</v>
      </c>
      <c r="H4697" t="s">
        <v>1372</v>
      </c>
      <c r="I4697" t="str">
        <f>("09/10/2025")</f>
        <v>09/10/2025</v>
      </c>
      <c r="J4697" t="str">
        <f>("26/09/2025")</f>
        <v>26/09/2025</v>
      </c>
      <c r="K4697">
        <v>45938</v>
      </c>
      <c r="N4697">
        <v>109</v>
      </c>
      <c r="O4697" t="s">
        <v>24</v>
      </c>
      <c r="Q4697">
        <v>20</v>
      </c>
      <c r="R4697" t="str">
        <f>"FARMÁCIA INDIANA LJ 40 (10016)"</f>
        <v>FARMÁCIA INDIANA LJ 40 (10016)</v>
      </c>
      <c r="S4697" t="s">
        <v>48</v>
      </c>
      <c r="T4697">
        <v>19251</v>
      </c>
      <c r="U4697">
        <v>23168</v>
      </c>
      <c r="V4697" t="s">
        <v>48</v>
      </c>
    </row>
    <row r="4698" spans="1:22">
      <c r="A4698" t="str">
        <f t="shared" si="885"/>
        <v>08/10/2025</v>
      </c>
      <c r="B4698" t="str">
        <f>"ENTRADA"</f>
        <v>ENTRADA</v>
      </c>
      <c r="C4698" t="str">
        <f>"DINHEIRO"</f>
        <v>DINHEIRO</v>
      </c>
      <c r="D4698" t="str">
        <f>"928"</f>
        <v>928</v>
      </c>
      <c r="E4698" t="str">
        <f>"01"</f>
        <v>01</v>
      </c>
      <c r="F4698" t="str">
        <f t="shared" si="886"/>
        <v>COM</v>
      </c>
      <c r="G4698" t="str">
        <f>"ARTHUR DANTAS PACHECO (928)"</f>
        <v>ARTHUR DANTAS PACHECO (928)</v>
      </c>
      <c r="H4698" t="str">
        <f>"COTAS COOPERATIVA"</f>
        <v>COTAS COOPERATIVA</v>
      </c>
      <c r="I4698" t="str">
        <f>("10/10/2025")</f>
        <v>10/10/2025</v>
      </c>
      <c r="J4698" t="str">
        <f>("29/09/2025")</f>
        <v>29/09/2025</v>
      </c>
      <c r="K4698" t="str">
        <f>("08/10/2025")</f>
        <v>08/10/2025</v>
      </c>
      <c r="L4698">
        <v>20</v>
      </c>
      <c r="M4698">
        <v>20</v>
      </c>
      <c r="N4698">
        <v>106</v>
      </c>
      <c r="O4698" t="str">
        <f>"ENTRADA DE CAPITAL"</f>
        <v>ENTRADA DE CAPITAL</v>
      </c>
      <c r="P4698">
        <v>20</v>
      </c>
      <c r="S4698" t="str">
        <f>"ENTRADA DE CAPITAL (106)"</f>
        <v>ENTRADA DE CAPITAL (106)</v>
      </c>
      <c r="T4698">
        <v>19252</v>
      </c>
      <c r="U4698">
        <v>23143</v>
      </c>
      <c r="V4698" t="s">
        <v>48</v>
      </c>
    </row>
    <row r="4699" spans="1:22">
      <c r="A4699" t="str">
        <f t="shared" si="885"/>
        <v>08/10/2025</v>
      </c>
      <c r="B4699" t="str">
        <f>"ENTRADA"</f>
        <v>ENTRADA</v>
      </c>
      <c r="C4699" t="str">
        <f>"DINHEIRO"</f>
        <v>DINHEIRO</v>
      </c>
      <c r="D4699" t="str">
        <f>"928"</f>
        <v>928</v>
      </c>
      <c r="E4699" t="str">
        <f>"01"</f>
        <v>01</v>
      </c>
      <c r="F4699" t="str">
        <f t="shared" si="886"/>
        <v>COM</v>
      </c>
      <c r="G4699" t="str">
        <f>"ARTHUR DANTAS PACHECO (928)"</f>
        <v>ARTHUR DANTAS PACHECO (928)</v>
      </c>
      <c r="H4699" t="s">
        <v>318</v>
      </c>
      <c r="I4699" t="str">
        <f>("10/10/2025")</f>
        <v>10/10/2025</v>
      </c>
      <c r="J4699" t="str">
        <f>("29/09/2025")</f>
        <v>29/09/2025</v>
      </c>
      <c r="K4699">
        <v>45938</v>
      </c>
      <c r="N4699">
        <v>106</v>
      </c>
      <c r="O4699" t="s">
        <v>51</v>
      </c>
      <c r="Q4699">
        <v>20</v>
      </c>
      <c r="R4699" t="str">
        <f>"ARTHUR DANTAS PACHECO (928)"</f>
        <v>ARTHUR DANTAS PACHECO (928)</v>
      </c>
      <c r="S4699" t="s">
        <v>52</v>
      </c>
      <c r="T4699">
        <v>19252</v>
      </c>
      <c r="U4699">
        <v>23143</v>
      </c>
      <c r="V4699" t="s">
        <v>48</v>
      </c>
    </row>
    <row r="4700" spans="1:22">
      <c r="A4700" t="str">
        <f t="shared" si="885"/>
        <v>08/10/2025</v>
      </c>
      <c r="B4700" t="str">
        <f>"SAÍDA"</f>
        <v>SAÍDA</v>
      </c>
      <c r="C4700" t="str">
        <f>"PIX"</f>
        <v>PIX</v>
      </c>
      <c r="D4700" t="str">
        <f>"22869"</f>
        <v>22869</v>
      </c>
      <c r="E4700" t="str">
        <f>"1"</f>
        <v>1</v>
      </c>
      <c r="F4700" t="str">
        <f t="shared" si="886"/>
        <v>COM</v>
      </c>
      <c r="G4700" t="str">
        <f>"BRENO HENRIQUE DE SOUSA (596)"</f>
        <v>BRENO HENRIQUE DE SOUSA (596)</v>
      </c>
      <c r="H4700" t="str">
        <f>"Serv.Prest. 29/09/2025 a 05/10/2025 - PIX: CELULAR - CHAVE: (37) 99146-2630"</f>
        <v>Serv.Prest. 29/09/2025 a 05/10/2025 - PIX: CELULAR - CHAVE: (37) 99146-2630</v>
      </c>
      <c r="I4700" t="str">
        <f>("09/10/2025")</f>
        <v>09/10/2025</v>
      </c>
      <c r="J4700" t="str">
        <f>("06/10/2025")</f>
        <v>06/10/2025</v>
      </c>
      <c r="K4700" t="str">
        <f>("08/10/2025")</f>
        <v>08/10/2025</v>
      </c>
      <c r="L4700">
        <v>20</v>
      </c>
      <c r="M4700">
        <v>20</v>
      </c>
      <c r="N4700">
        <v>109</v>
      </c>
      <c r="O4700" t="str">
        <f>"PAGAMENTO DE ENTREGADORES"</f>
        <v>PAGAMENTO DE ENTREGADORES</v>
      </c>
      <c r="P4700">
        <v>20</v>
      </c>
      <c r="S4700" t="str">
        <f>"CAIXA MOVIMENTAÇÃO OPERACIONAL (132)"</f>
        <v>CAIXA MOVIMENTAÇÃO OPERACIONAL (132)</v>
      </c>
      <c r="T4700">
        <v>19253</v>
      </c>
      <c r="U4700">
        <v>23169</v>
      </c>
      <c r="V4700" t="s">
        <v>48</v>
      </c>
    </row>
    <row r="4701" spans="1:22">
      <c r="A4701" t="str">
        <f t="shared" si="885"/>
        <v>08/10/2025</v>
      </c>
      <c r="B4701" t="str">
        <f>"SAÍDA"</f>
        <v>SAÍDA</v>
      </c>
      <c r="C4701" t="str">
        <f>"PIX"</f>
        <v>PIX</v>
      </c>
      <c r="D4701" t="str">
        <f>"22869"</f>
        <v>22869</v>
      </c>
      <c r="E4701" t="str">
        <f>"1"</f>
        <v>1</v>
      </c>
      <c r="F4701" t="str">
        <f t="shared" si="886"/>
        <v>COM</v>
      </c>
      <c r="G4701" t="str">
        <f>"BRENO HENRIQUE DE SOUSA (596)"</f>
        <v>BRENO HENRIQUE DE SOUSA (596)</v>
      </c>
      <c r="H4701" t="s">
        <v>1373</v>
      </c>
      <c r="I4701" t="str">
        <f>("09/10/2025")</f>
        <v>09/10/2025</v>
      </c>
      <c r="J4701" t="str">
        <f>("06/10/2025")</f>
        <v>06/10/2025</v>
      </c>
      <c r="K4701">
        <v>45938</v>
      </c>
      <c r="N4701">
        <v>109</v>
      </c>
      <c r="O4701" t="s">
        <v>24</v>
      </c>
      <c r="Q4701">
        <v>20</v>
      </c>
      <c r="R4701" t="str">
        <f>"DROGARIA POUPA MINAS (ULTRAMINAS) 1 (10181)"</f>
        <v>DROGARIA POUPA MINAS (ULTRAMINAS) 1 (10181)</v>
      </c>
      <c r="S4701" t="s">
        <v>48</v>
      </c>
      <c r="T4701">
        <v>19253</v>
      </c>
      <c r="U4701">
        <v>23169</v>
      </c>
      <c r="V4701" t="s">
        <v>48</v>
      </c>
    </row>
    <row r="4702" spans="1:22">
      <c r="A4702" t="str">
        <f t="shared" si="885"/>
        <v>08/10/2025</v>
      </c>
      <c r="B4702" t="str">
        <f>"ENTRADA"</f>
        <v>ENTRADA</v>
      </c>
      <c r="C4702" t="str">
        <f>"DINHEIRO"</f>
        <v>DINHEIRO</v>
      </c>
      <c r="D4702" t="str">
        <f>"596"</f>
        <v>596</v>
      </c>
      <c r="E4702" t="str">
        <f>"9"</f>
        <v>9</v>
      </c>
      <c r="F4702" t="str">
        <f t="shared" si="886"/>
        <v>COM</v>
      </c>
      <c r="G4702" t="str">
        <f>"BRENO HENRIQUE DE SOUSA (596)"</f>
        <v>BRENO HENRIQUE DE SOUSA (596)</v>
      </c>
      <c r="H4702" t="str">
        <f>"COTAS COOPERATIVA"</f>
        <v>COTAS COOPERATIVA</v>
      </c>
      <c r="I4702" t="str">
        <f>("13/10/2025")</f>
        <v>13/10/2025</v>
      </c>
      <c r="J4702" t="str">
        <f>("12/02/2025")</f>
        <v>12/02/2025</v>
      </c>
      <c r="K4702" t="str">
        <f>("08/10/2025")</f>
        <v>08/10/2025</v>
      </c>
      <c r="L4702">
        <v>20</v>
      </c>
      <c r="M4702">
        <v>20</v>
      </c>
      <c r="N4702">
        <v>106</v>
      </c>
      <c r="O4702" t="str">
        <f>"ENTRADA DE CAPITAL"</f>
        <v>ENTRADA DE CAPITAL</v>
      </c>
      <c r="P4702">
        <v>20</v>
      </c>
      <c r="S4702" t="str">
        <f>"ENTRADA DE CAPITAL (106)"</f>
        <v>ENTRADA DE CAPITAL (106)</v>
      </c>
      <c r="T4702">
        <v>19254</v>
      </c>
      <c r="U4702">
        <v>9052</v>
      </c>
      <c r="V4702" t="s">
        <v>48</v>
      </c>
    </row>
    <row r="4703" spans="1:22">
      <c r="A4703" t="str">
        <f t="shared" si="885"/>
        <v>08/10/2025</v>
      </c>
      <c r="B4703" t="str">
        <f>"ENTRADA"</f>
        <v>ENTRADA</v>
      </c>
      <c r="C4703" t="str">
        <f>"DINHEIRO"</f>
        <v>DINHEIRO</v>
      </c>
      <c r="D4703" t="str">
        <f>"596"</f>
        <v>596</v>
      </c>
      <c r="E4703" t="str">
        <f>"9"</f>
        <v>9</v>
      </c>
      <c r="F4703" t="str">
        <f t="shared" si="886"/>
        <v>COM</v>
      </c>
      <c r="G4703" t="str">
        <f>"BRENO HENRIQUE DE SOUSA (596)"</f>
        <v>BRENO HENRIQUE DE SOUSA (596)</v>
      </c>
      <c r="H4703" t="s">
        <v>318</v>
      </c>
      <c r="I4703" t="str">
        <f>("13/10/2025")</f>
        <v>13/10/2025</v>
      </c>
      <c r="J4703" t="str">
        <f>("12/02/2025")</f>
        <v>12/02/2025</v>
      </c>
      <c r="K4703">
        <v>45938</v>
      </c>
      <c r="N4703">
        <v>106</v>
      </c>
      <c r="O4703" t="s">
        <v>51</v>
      </c>
      <c r="Q4703">
        <v>20</v>
      </c>
      <c r="R4703" t="str">
        <f>"BRENO HENRIQUE DE SOUSA (596)"</f>
        <v>BRENO HENRIQUE DE SOUSA (596)</v>
      </c>
      <c r="S4703" t="s">
        <v>52</v>
      </c>
      <c r="T4703">
        <v>19254</v>
      </c>
      <c r="U4703">
        <v>9052</v>
      </c>
      <c r="V4703" t="s">
        <v>48</v>
      </c>
    </row>
    <row r="4704" spans="1:22">
      <c r="A4704" t="str">
        <f t="shared" si="885"/>
        <v>08/10/2025</v>
      </c>
      <c r="B4704" t="str">
        <f>"SAÍDA"</f>
        <v>SAÍDA</v>
      </c>
      <c r="C4704" t="str">
        <f>"PIX"</f>
        <v>PIX</v>
      </c>
      <c r="D4704" t="str">
        <f>"22815"</f>
        <v>22815</v>
      </c>
      <c r="E4704" t="str">
        <f>"1"</f>
        <v>1</v>
      </c>
      <c r="F4704" t="str">
        <f t="shared" si="886"/>
        <v>COM</v>
      </c>
      <c r="G4704" t="str">
        <f>"BRENO VIANA MONTEIRO RODRIGUES (811)"</f>
        <v>BRENO VIANA MONTEIRO RODRIGUES (811)</v>
      </c>
      <c r="H4704" t="str">
        <f>"Serv.Prest. 29/09/2025 a 05/10/2025 - PIX: CNPJ - CHAVE: 51.676.704/0001-10"</f>
        <v>Serv.Prest. 29/09/2025 a 05/10/2025 - PIX: CNPJ - CHAVE: 51.676.704/0001-10</v>
      </c>
      <c r="I4704" t="str">
        <f>("09/10/2025")</f>
        <v>09/10/2025</v>
      </c>
      <c r="J4704" t="str">
        <f>("06/10/2025")</f>
        <v>06/10/2025</v>
      </c>
      <c r="K4704" t="str">
        <f>("08/10/2025")</f>
        <v>08/10/2025</v>
      </c>
      <c r="L4704">
        <v>20</v>
      </c>
      <c r="M4704">
        <v>20</v>
      </c>
      <c r="N4704">
        <v>109</v>
      </c>
      <c r="O4704" t="str">
        <f>"PAGAMENTO DE ENTREGADORES"</f>
        <v>PAGAMENTO DE ENTREGADORES</v>
      </c>
      <c r="P4704">
        <v>20</v>
      </c>
      <c r="S4704" t="str">
        <f>"CAIXA MOVIMENTAÇÃO OPERACIONAL (132)"</f>
        <v>CAIXA MOVIMENTAÇÃO OPERACIONAL (132)</v>
      </c>
      <c r="T4704">
        <v>19255</v>
      </c>
      <c r="U4704">
        <v>23174</v>
      </c>
      <c r="V4704" t="s">
        <v>48</v>
      </c>
    </row>
    <row r="4705" spans="1:22">
      <c r="A4705" t="str">
        <f t="shared" si="885"/>
        <v>08/10/2025</v>
      </c>
      <c r="B4705" t="str">
        <f>"SAÍDA"</f>
        <v>SAÍDA</v>
      </c>
      <c r="C4705" t="str">
        <f>"PIX"</f>
        <v>PIX</v>
      </c>
      <c r="D4705" t="str">
        <f>"22815"</f>
        <v>22815</v>
      </c>
      <c r="E4705" t="str">
        <f>"1"</f>
        <v>1</v>
      </c>
      <c r="F4705" t="str">
        <f t="shared" si="886"/>
        <v>COM</v>
      </c>
      <c r="G4705" t="str">
        <f>"BRENO VIANA MONTEIRO RODRIGUES (811)"</f>
        <v>BRENO VIANA MONTEIRO RODRIGUES (811)</v>
      </c>
      <c r="H4705" t="s">
        <v>1374</v>
      </c>
      <c r="I4705" t="str">
        <f>("09/10/2025")</f>
        <v>09/10/2025</v>
      </c>
      <c r="J4705" t="str">
        <f>("06/10/2025")</f>
        <v>06/10/2025</v>
      </c>
      <c r="K4705">
        <v>45938</v>
      </c>
      <c r="N4705">
        <v>109</v>
      </c>
      <c r="O4705" t="s">
        <v>24</v>
      </c>
      <c r="Q4705">
        <v>20</v>
      </c>
      <c r="R4705" t="str">
        <f>"DROGARIA ANA VISCONDE DO RIO BRANCO (10182)"</f>
        <v>DROGARIA ANA VISCONDE DO RIO BRANCO (10182)</v>
      </c>
      <c r="S4705" t="s">
        <v>48</v>
      </c>
      <c r="T4705">
        <v>19255</v>
      </c>
      <c r="U4705">
        <v>23174</v>
      </c>
      <c r="V4705" t="s">
        <v>48</v>
      </c>
    </row>
    <row r="4706" spans="1:22">
      <c r="A4706" t="str">
        <f t="shared" si="885"/>
        <v>08/10/2025</v>
      </c>
      <c r="B4706" t="str">
        <f>"ENTRADA"</f>
        <v>ENTRADA</v>
      </c>
      <c r="C4706" t="str">
        <f>"DINHEIRO"</f>
        <v>DINHEIRO</v>
      </c>
      <c r="D4706" t="str">
        <f>"811"</f>
        <v>811</v>
      </c>
      <c r="E4706" t="str">
        <f>"5"</f>
        <v>5</v>
      </c>
      <c r="F4706" t="str">
        <f t="shared" si="886"/>
        <v>COM</v>
      </c>
      <c r="G4706" t="str">
        <f>"BRENO VIANA MONTEIRO RODRIGUES (811)"</f>
        <v>BRENO VIANA MONTEIRO RODRIGUES (811)</v>
      </c>
      <c r="H4706" t="str">
        <f>"COTA COOPERATIVA"</f>
        <v>COTA COOPERATIVA</v>
      </c>
      <c r="I4706" t="str">
        <f>("12/10/2025")</f>
        <v>12/10/2025</v>
      </c>
      <c r="J4706" t="str">
        <f>("16/05/2025")</f>
        <v>16/05/2025</v>
      </c>
      <c r="K4706" t="str">
        <f>("08/10/2025")</f>
        <v>08/10/2025</v>
      </c>
      <c r="L4706">
        <v>20</v>
      </c>
      <c r="M4706">
        <v>20</v>
      </c>
      <c r="N4706">
        <v>106</v>
      </c>
      <c r="O4706" t="str">
        <f>"ENTRADA DE CAPITAL"</f>
        <v>ENTRADA DE CAPITAL</v>
      </c>
      <c r="P4706">
        <v>20</v>
      </c>
      <c r="S4706" t="str">
        <f>"ENTRADA DE CAPITAL (106)"</f>
        <v>ENTRADA DE CAPITAL (106)</v>
      </c>
      <c r="T4706">
        <v>19256</v>
      </c>
      <c r="U4706">
        <v>16508</v>
      </c>
      <c r="V4706" t="s">
        <v>48</v>
      </c>
    </row>
    <row r="4707" spans="1:22">
      <c r="A4707" t="str">
        <f t="shared" si="885"/>
        <v>08/10/2025</v>
      </c>
      <c r="B4707" t="str">
        <f>"ENTRADA"</f>
        <v>ENTRADA</v>
      </c>
      <c r="C4707" t="str">
        <f>"DINHEIRO"</f>
        <v>DINHEIRO</v>
      </c>
      <c r="D4707" t="str">
        <f>"811"</f>
        <v>811</v>
      </c>
      <c r="E4707" t="str">
        <f>"5"</f>
        <v>5</v>
      </c>
      <c r="F4707" t="str">
        <f t="shared" si="886"/>
        <v>COM</v>
      </c>
      <c r="G4707" t="str">
        <f>"BRENO VIANA MONTEIRO RODRIGUES (811)"</f>
        <v>BRENO VIANA MONTEIRO RODRIGUES (811)</v>
      </c>
      <c r="H4707" t="s">
        <v>50</v>
      </c>
      <c r="I4707" t="str">
        <f>("12/10/2025")</f>
        <v>12/10/2025</v>
      </c>
      <c r="J4707" t="str">
        <f>("16/05/2025")</f>
        <v>16/05/2025</v>
      </c>
      <c r="K4707">
        <v>45938</v>
      </c>
      <c r="N4707">
        <v>106</v>
      </c>
      <c r="O4707" t="s">
        <v>51</v>
      </c>
      <c r="Q4707">
        <v>20</v>
      </c>
      <c r="R4707" t="str">
        <f>"BRENO VIANA MONTEIRO RODRIGUES (811)"</f>
        <v>BRENO VIANA MONTEIRO RODRIGUES (811)</v>
      </c>
      <c r="S4707" t="s">
        <v>52</v>
      </c>
      <c r="T4707">
        <v>19256</v>
      </c>
      <c r="U4707">
        <v>16508</v>
      </c>
      <c r="V4707" t="s">
        <v>48</v>
      </c>
    </row>
    <row r="4708" spans="1:22">
      <c r="A4708" t="str">
        <f t="shared" si="885"/>
        <v>08/10/2025</v>
      </c>
      <c r="B4708" t="str">
        <f>"SAÍDA"</f>
        <v>SAÍDA</v>
      </c>
      <c r="C4708" t="str">
        <f>"PIX"</f>
        <v>PIX</v>
      </c>
      <c r="D4708" t="str">
        <f>"22855"</f>
        <v>22855</v>
      </c>
      <c r="E4708" t="str">
        <f>"1"</f>
        <v>1</v>
      </c>
      <c r="F4708" t="str">
        <f t="shared" si="886"/>
        <v>COM</v>
      </c>
      <c r="G4708" t="str">
        <f>"BRUNO ANDRADE LESSA (952)"</f>
        <v>BRUNO ANDRADE LESSA (952)</v>
      </c>
      <c r="H4708" t="str">
        <f>"Serv.Prest. 29/09/2025 a 05/10/2025 - PIX: CELULAR - CHAVE: (28) 99988-2177"</f>
        <v>Serv.Prest. 29/09/2025 a 05/10/2025 - PIX: CELULAR - CHAVE: (28) 99988-2177</v>
      </c>
      <c r="I4708" t="str">
        <f>("09/10/2025")</f>
        <v>09/10/2025</v>
      </c>
      <c r="J4708" t="str">
        <f>("06/10/2025")</f>
        <v>06/10/2025</v>
      </c>
      <c r="K4708" t="str">
        <f>("08/10/2025")</f>
        <v>08/10/2025</v>
      </c>
      <c r="L4708">
        <v>20</v>
      </c>
      <c r="M4708">
        <v>20</v>
      </c>
      <c r="N4708">
        <v>109</v>
      </c>
      <c r="O4708" t="str">
        <f>"PAGAMENTO DE ENTREGADORES"</f>
        <v>PAGAMENTO DE ENTREGADORES</v>
      </c>
      <c r="P4708">
        <v>20</v>
      </c>
      <c r="S4708" t="str">
        <f>"CAIXA MOVIMENTAÇÃO OPERACIONAL (132)"</f>
        <v>CAIXA MOVIMENTAÇÃO OPERACIONAL (132)</v>
      </c>
      <c r="T4708">
        <v>19257</v>
      </c>
      <c r="U4708">
        <v>23200</v>
      </c>
      <c r="V4708" t="s">
        <v>48</v>
      </c>
    </row>
    <row r="4709" spans="1:22">
      <c r="A4709" t="str">
        <f t="shared" si="885"/>
        <v>08/10/2025</v>
      </c>
      <c r="B4709" t="str">
        <f>"SAÍDA"</f>
        <v>SAÍDA</v>
      </c>
      <c r="C4709" t="str">
        <f>"PIX"</f>
        <v>PIX</v>
      </c>
      <c r="D4709" t="str">
        <f>"22855"</f>
        <v>22855</v>
      </c>
      <c r="E4709" t="str">
        <f>"1"</f>
        <v>1</v>
      </c>
      <c r="F4709" t="str">
        <f t="shared" si="886"/>
        <v>COM</v>
      </c>
      <c r="G4709" t="str">
        <f>"BRUNO ANDRADE LESSA (952)"</f>
        <v>BRUNO ANDRADE LESSA (952)</v>
      </c>
      <c r="H4709" t="s">
        <v>1375</v>
      </c>
      <c r="I4709" t="str">
        <f>("09/10/2025")</f>
        <v>09/10/2025</v>
      </c>
      <c r="J4709" t="str">
        <f>("06/10/2025")</f>
        <v>06/10/2025</v>
      </c>
      <c r="K4709">
        <v>45938</v>
      </c>
      <c r="N4709">
        <v>109</v>
      </c>
      <c r="O4709" t="s">
        <v>24</v>
      </c>
      <c r="Q4709">
        <v>20</v>
      </c>
      <c r="R4709" t="str">
        <f>"LBL FARMACIA LTDA (10189)"</f>
        <v>LBL FARMACIA LTDA (10189)</v>
      </c>
      <c r="S4709" t="s">
        <v>48</v>
      </c>
      <c r="T4709">
        <v>19257</v>
      </c>
      <c r="U4709">
        <v>23200</v>
      </c>
      <c r="V4709" t="s">
        <v>48</v>
      </c>
    </row>
    <row r="4710" spans="1:22">
      <c r="A4710" t="str">
        <f t="shared" si="885"/>
        <v>08/10/2025</v>
      </c>
      <c r="B4710" t="str">
        <f>"ENTRADA"</f>
        <v>ENTRADA</v>
      </c>
      <c r="C4710" t="str">
        <f>"DINHEIRO"</f>
        <v>DINHEIRO</v>
      </c>
      <c r="D4710" t="str">
        <f>"952"</f>
        <v>952</v>
      </c>
      <c r="E4710" t="str">
        <f>"01"</f>
        <v>01</v>
      </c>
      <c r="F4710" t="str">
        <f t="shared" si="886"/>
        <v>COM</v>
      </c>
      <c r="G4710" t="str">
        <f>"BRUNO ANDRADE LESSA (952)"</f>
        <v>BRUNO ANDRADE LESSA (952)</v>
      </c>
      <c r="H4710" t="str">
        <f>"COTA COOPERATIVA"</f>
        <v>COTA COOPERATIVA</v>
      </c>
      <c r="I4710" t="str">
        <f>("10/10/2025")</f>
        <v>10/10/2025</v>
      </c>
      <c r="J4710" t="str">
        <f>("22/09/2025")</f>
        <v>22/09/2025</v>
      </c>
      <c r="K4710" t="str">
        <f>("08/10/2025")</f>
        <v>08/10/2025</v>
      </c>
      <c r="L4710">
        <v>20</v>
      </c>
      <c r="M4710">
        <v>20</v>
      </c>
      <c r="N4710">
        <v>106</v>
      </c>
      <c r="O4710" t="str">
        <f>"ENTRADA DE CAPITAL"</f>
        <v>ENTRADA DE CAPITAL</v>
      </c>
      <c r="P4710">
        <v>20</v>
      </c>
      <c r="S4710" t="str">
        <f>"ENTRADA DE CAPITAL (106)"</f>
        <v>ENTRADA DE CAPITAL (106)</v>
      </c>
      <c r="T4710">
        <v>19258</v>
      </c>
      <c r="U4710">
        <v>23175</v>
      </c>
      <c r="V4710" t="s">
        <v>48</v>
      </c>
    </row>
    <row r="4711" spans="1:22">
      <c r="A4711" t="str">
        <f t="shared" si="885"/>
        <v>08/10/2025</v>
      </c>
      <c r="B4711" t="str">
        <f>"ENTRADA"</f>
        <v>ENTRADA</v>
      </c>
      <c r="C4711" t="str">
        <f>"DINHEIRO"</f>
        <v>DINHEIRO</v>
      </c>
      <c r="D4711" t="str">
        <f>"952"</f>
        <v>952</v>
      </c>
      <c r="E4711" t="str">
        <f>"01"</f>
        <v>01</v>
      </c>
      <c r="F4711" t="str">
        <f t="shared" si="886"/>
        <v>COM</v>
      </c>
      <c r="G4711" t="str">
        <f>"BRUNO ANDRADE LESSA (952)"</f>
        <v>BRUNO ANDRADE LESSA (952)</v>
      </c>
      <c r="H4711" t="s">
        <v>50</v>
      </c>
      <c r="I4711" t="str">
        <f>("10/10/2025")</f>
        <v>10/10/2025</v>
      </c>
      <c r="J4711" t="str">
        <f>("22/09/2025")</f>
        <v>22/09/2025</v>
      </c>
      <c r="K4711">
        <v>45938</v>
      </c>
      <c r="N4711">
        <v>106</v>
      </c>
      <c r="O4711" t="s">
        <v>51</v>
      </c>
      <c r="Q4711">
        <v>20</v>
      </c>
      <c r="R4711" t="str">
        <f>"BRUNO ANDRADE LESSA (952)"</f>
        <v>BRUNO ANDRADE LESSA (952)</v>
      </c>
      <c r="S4711" t="s">
        <v>52</v>
      </c>
      <c r="T4711">
        <v>19258</v>
      </c>
      <c r="U4711">
        <v>23175</v>
      </c>
      <c r="V4711" t="s">
        <v>48</v>
      </c>
    </row>
    <row r="4712" spans="1:22">
      <c r="A4712" t="str">
        <f t="shared" si="885"/>
        <v>08/10/2025</v>
      </c>
      <c r="B4712" t="str">
        <f>"SAÍDA"</f>
        <v>SAÍDA</v>
      </c>
      <c r="C4712" t="str">
        <f>"PIX"</f>
        <v>PIX</v>
      </c>
      <c r="D4712" t="str">
        <f>"22558"</f>
        <v>22558</v>
      </c>
      <c r="E4712" t="str">
        <f>"1"</f>
        <v>1</v>
      </c>
      <c r="F4712" t="str">
        <f t="shared" si="886"/>
        <v>COM</v>
      </c>
      <c r="G4712" t="str">
        <f t="shared" ref="G4712:G4717" si="887">"BRUNO DOS SANTOS MACHADO (702)"</f>
        <v>BRUNO DOS SANTOS MACHADO (702)</v>
      </c>
      <c r="H4712" t="str">
        <f>"Serv.Prest. 22/09/2025 a 25/09/2025 - PIX: CPF - CHAVE: 155.328.666-94"</f>
        <v>Serv.Prest. 22/09/2025 a 25/09/2025 - PIX: CPF - CHAVE: 155.328.666-94</v>
      </c>
      <c r="I4712" t="str">
        <f>("09/10/2025")</f>
        <v>09/10/2025</v>
      </c>
      <c r="J4712" t="str">
        <f>("26/09/2025")</f>
        <v>26/09/2025</v>
      </c>
      <c r="K4712" t="str">
        <f>("08/10/2025")</f>
        <v>08/10/2025</v>
      </c>
      <c r="L4712">
        <v>20</v>
      </c>
      <c r="M4712">
        <v>20</v>
      </c>
      <c r="N4712">
        <v>109</v>
      </c>
      <c r="O4712" t="str">
        <f>"PAGAMENTO DE ENTREGADORES"</f>
        <v>PAGAMENTO DE ENTREGADORES</v>
      </c>
      <c r="P4712">
        <v>20</v>
      </c>
      <c r="S4712" t="str">
        <f>"CAIXA MOVIMENTAÇÃO OPERACIONAL (132)"</f>
        <v>CAIXA MOVIMENTAÇÃO OPERACIONAL (132)</v>
      </c>
      <c r="T4712">
        <v>19259</v>
      </c>
      <c r="U4712">
        <v>23201</v>
      </c>
      <c r="V4712" t="s">
        <v>48</v>
      </c>
    </row>
    <row r="4713" spans="1:22">
      <c r="A4713" t="str">
        <f t="shared" si="885"/>
        <v>08/10/2025</v>
      </c>
      <c r="B4713" t="str">
        <f>"SAÍDA"</f>
        <v>SAÍDA</v>
      </c>
      <c r="C4713" t="str">
        <f>"PIX"</f>
        <v>PIX</v>
      </c>
      <c r="D4713" t="str">
        <f>"22558"</f>
        <v>22558</v>
      </c>
      <c r="E4713" t="str">
        <f>"1"</f>
        <v>1</v>
      </c>
      <c r="F4713" t="str">
        <f t="shared" si="886"/>
        <v>COM</v>
      </c>
      <c r="G4713" t="str">
        <f t="shared" si="887"/>
        <v>BRUNO DOS SANTOS MACHADO (702)</v>
      </c>
      <c r="H4713" t="s">
        <v>1376</v>
      </c>
      <c r="I4713" t="str">
        <f>("09/10/2025")</f>
        <v>09/10/2025</v>
      </c>
      <c r="J4713" t="str">
        <f>("26/09/2025")</f>
        <v>26/09/2025</v>
      </c>
      <c r="K4713">
        <v>45938</v>
      </c>
      <c r="N4713">
        <v>109</v>
      </c>
      <c r="O4713" t="s">
        <v>24</v>
      </c>
      <c r="Q4713">
        <v>5</v>
      </c>
      <c r="R4713" t="str">
        <f>"FARMÁCIA INDIANA LJ 195 (10083)"</f>
        <v>FARMÁCIA INDIANA LJ 195 (10083)</v>
      </c>
      <c r="S4713" t="s">
        <v>48</v>
      </c>
      <c r="T4713">
        <v>19259</v>
      </c>
      <c r="U4713">
        <v>23201</v>
      </c>
      <c r="V4713" t="s">
        <v>48</v>
      </c>
    </row>
    <row r="4714" spans="1:22">
      <c r="A4714" t="str">
        <f t="shared" si="885"/>
        <v>08/10/2025</v>
      </c>
      <c r="B4714" t="str">
        <f>"SAÍDA"</f>
        <v>SAÍDA</v>
      </c>
      <c r="C4714" t="str">
        <f>"PIX"</f>
        <v>PIX</v>
      </c>
      <c r="D4714" t="str">
        <f>"22558"</f>
        <v>22558</v>
      </c>
      <c r="E4714" t="str">
        <f>"1"</f>
        <v>1</v>
      </c>
      <c r="F4714" t="str">
        <f t="shared" si="886"/>
        <v>COM</v>
      </c>
      <c r="G4714" t="str">
        <f t="shared" si="887"/>
        <v>BRUNO DOS SANTOS MACHADO (702)</v>
      </c>
      <c r="H4714" t="s">
        <v>1376</v>
      </c>
      <c r="I4714" t="str">
        <f>("09/10/2025")</f>
        <v>09/10/2025</v>
      </c>
      <c r="J4714" t="str">
        <f>("26/09/2025")</f>
        <v>26/09/2025</v>
      </c>
      <c r="K4714">
        <v>45938</v>
      </c>
      <c r="N4714">
        <v>109</v>
      </c>
      <c r="O4714" t="s">
        <v>24</v>
      </c>
      <c r="Q4714">
        <v>10</v>
      </c>
      <c r="R4714" t="str">
        <f>"FARMÁCIA INDIANA LJ 204 (10087)"</f>
        <v>FARMÁCIA INDIANA LJ 204 (10087)</v>
      </c>
      <c r="S4714" t="s">
        <v>48</v>
      </c>
      <c r="T4714">
        <v>19259</v>
      </c>
      <c r="U4714">
        <v>23201</v>
      </c>
      <c r="V4714" t="s">
        <v>48</v>
      </c>
    </row>
    <row r="4715" spans="1:22">
      <c r="A4715" t="str">
        <f t="shared" si="885"/>
        <v>08/10/2025</v>
      </c>
      <c r="B4715" t="str">
        <f>"SAÍDA"</f>
        <v>SAÍDA</v>
      </c>
      <c r="C4715" t="str">
        <f>"PIX"</f>
        <v>PIX</v>
      </c>
      <c r="D4715" t="str">
        <f>"22558"</f>
        <v>22558</v>
      </c>
      <c r="E4715" t="str">
        <f>"1"</f>
        <v>1</v>
      </c>
      <c r="F4715" t="str">
        <f t="shared" si="886"/>
        <v>COM</v>
      </c>
      <c r="G4715" t="str">
        <f t="shared" si="887"/>
        <v>BRUNO DOS SANTOS MACHADO (702)</v>
      </c>
      <c r="H4715" t="s">
        <v>1376</v>
      </c>
      <c r="I4715" t="str">
        <f>("09/10/2025")</f>
        <v>09/10/2025</v>
      </c>
      <c r="J4715" t="str">
        <f>("26/09/2025")</f>
        <v>26/09/2025</v>
      </c>
      <c r="K4715">
        <v>45938</v>
      </c>
      <c r="N4715">
        <v>109</v>
      </c>
      <c r="O4715" t="s">
        <v>24</v>
      </c>
      <c r="Q4715">
        <v>5</v>
      </c>
      <c r="R4715" t="str">
        <f>"FARMÁCIA INDIANA LJ 266 (10186)"</f>
        <v>FARMÁCIA INDIANA LJ 266 (10186)</v>
      </c>
      <c r="S4715" t="s">
        <v>48</v>
      </c>
      <c r="T4715">
        <v>19259</v>
      </c>
      <c r="U4715">
        <v>23201</v>
      </c>
      <c r="V4715" t="s">
        <v>48</v>
      </c>
    </row>
    <row r="4716" spans="1:22">
      <c r="A4716" t="str">
        <f t="shared" si="885"/>
        <v>08/10/2025</v>
      </c>
      <c r="B4716" t="str">
        <f>"ENTRADA"</f>
        <v>ENTRADA</v>
      </c>
      <c r="C4716" t="str">
        <f>"DINHEIRO"</f>
        <v>DINHEIRO</v>
      </c>
      <c r="D4716" t="str">
        <f>"702"</f>
        <v>702</v>
      </c>
      <c r="E4716" t="str">
        <f>"7"</f>
        <v>7</v>
      </c>
      <c r="F4716" t="str">
        <f t="shared" si="886"/>
        <v>COM</v>
      </c>
      <c r="G4716" t="str">
        <f t="shared" si="887"/>
        <v>BRUNO DOS SANTOS MACHADO (702)</v>
      </c>
      <c r="H4716" t="str">
        <f>"COTA COOPERATIVA"</f>
        <v>COTA COOPERATIVA</v>
      </c>
      <c r="I4716" t="str">
        <f>("10/10/2025")</f>
        <v>10/10/2025</v>
      </c>
      <c r="J4716" t="str">
        <f>("17/03/2025")</f>
        <v>17/03/2025</v>
      </c>
      <c r="K4716" t="str">
        <f>("08/10/2025")</f>
        <v>08/10/2025</v>
      </c>
      <c r="L4716">
        <v>20</v>
      </c>
      <c r="M4716">
        <v>20</v>
      </c>
      <c r="N4716">
        <v>106</v>
      </c>
      <c r="O4716" t="str">
        <f>"ENTRADA DE CAPITAL"</f>
        <v>ENTRADA DE CAPITAL</v>
      </c>
      <c r="P4716">
        <v>20</v>
      </c>
      <c r="S4716" t="str">
        <f>"ENTRADA DE CAPITAL (106)"</f>
        <v>ENTRADA DE CAPITAL (106)</v>
      </c>
      <c r="T4716">
        <v>19260</v>
      </c>
      <c r="U4716">
        <v>11787</v>
      </c>
      <c r="V4716" t="s">
        <v>48</v>
      </c>
    </row>
    <row r="4717" spans="1:22">
      <c r="A4717" t="str">
        <f t="shared" si="885"/>
        <v>08/10/2025</v>
      </c>
      <c r="B4717" t="str">
        <f>"ENTRADA"</f>
        <v>ENTRADA</v>
      </c>
      <c r="C4717" t="str">
        <f>"DINHEIRO"</f>
        <v>DINHEIRO</v>
      </c>
      <c r="D4717" t="str">
        <f>"702"</f>
        <v>702</v>
      </c>
      <c r="E4717" t="str">
        <f>"7"</f>
        <v>7</v>
      </c>
      <c r="F4717" t="str">
        <f t="shared" si="886"/>
        <v>COM</v>
      </c>
      <c r="G4717" t="str">
        <f t="shared" si="887"/>
        <v>BRUNO DOS SANTOS MACHADO (702)</v>
      </c>
      <c r="H4717" t="s">
        <v>50</v>
      </c>
      <c r="I4717" t="str">
        <f>("10/10/2025")</f>
        <v>10/10/2025</v>
      </c>
      <c r="J4717" t="str">
        <f>("17/03/2025")</f>
        <v>17/03/2025</v>
      </c>
      <c r="K4717">
        <v>45938</v>
      </c>
      <c r="N4717">
        <v>106</v>
      </c>
      <c r="O4717" t="s">
        <v>51</v>
      </c>
      <c r="Q4717">
        <v>20</v>
      </c>
      <c r="R4717" t="str">
        <f>"BRUNO DOS SANTOS MACHADO (702)"</f>
        <v>BRUNO DOS SANTOS MACHADO (702)</v>
      </c>
      <c r="S4717" t="s">
        <v>52</v>
      </c>
      <c r="T4717">
        <v>19260</v>
      </c>
      <c r="U4717">
        <v>11787</v>
      </c>
      <c r="V4717" t="s">
        <v>48</v>
      </c>
    </row>
    <row r="4718" spans="1:22">
      <c r="A4718" t="str">
        <f t="shared" si="885"/>
        <v>08/10/2025</v>
      </c>
      <c r="B4718" t="str">
        <f>"SAÍDA"</f>
        <v>SAÍDA</v>
      </c>
      <c r="C4718" t="str">
        <f>"PIX"</f>
        <v>PIX</v>
      </c>
      <c r="D4718" t="str">
        <f>"22559"</f>
        <v>22559</v>
      </c>
      <c r="E4718" t="str">
        <f>"1"</f>
        <v>1</v>
      </c>
      <c r="F4718" t="str">
        <f t="shared" si="886"/>
        <v>COM</v>
      </c>
      <c r="G4718" t="str">
        <f>"BRUNO WAGNER DE CARVALHO OLIVEIRA (84)"</f>
        <v>BRUNO WAGNER DE CARVALHO OLIVEIRA (84)</v>
      </c>
      <c r="H4718" t="str">
        <f>"Serv.Prest. 22/09/2025 a 25/09/2025 - PIX: CELULAR - CHAVE: (32) 98896-0708"</f>
        <v>Serv.Prest. 22/09/2025 a 25/09/2025 - PIX: CELULAR - CHAVE: (32) 98896-0708</v>
      </c>
      <c r="I4718" t="str">
        <f>("09/10/2025")</f>
        <v>09/10/2025</v>
      </c>
      <c r="J4718" t="str">
        <f>("26/09/2025")</f>
        <v>26/09/2025</v>
      </c>
      <c r="K4718" t="str">
        <f>("08/10/2025")</f>
        <v>08/10/2025</v>
      </c>
      <c r="L4718">
        <v>20</v>
      </c>
      <c r="M4718">
        <v>20</v>
      </c>
      <c r="N4718">
        <v>109</v>
      </c>
      <c r="O4718" t="str">
        <f>"PAGAMENTO DE ENTREGADORES"</f>
        <v>PAGAMENTO DE ENTREGADORES</v>
      </c>
      <c r="P4718">
        <v>20</v>
      </c>
      <c r="S4718" t="str">
        <f>"CAIXA MOVIMENTAÇÃO OPERACIONAL (132)"</f>
        <v>CAIXA MOVIMENTAÇÃO OPERACIONAL (132)</v>
      </c>
      <c r="T4718">
        <v>19261</v>
      </c>
      <c r="U4718">
        <v>23202</v>
      </c>
      <c r="V4718" t="s">
        <v>48</v>
      </c>
    </row>
    <row r="4719" spans="1:22">
      <c r="A4719" t="str">
        <f t="shared" si="885"/>
        <v>08/10/2025</v>
      </c>
      <c r="B4719" t="str">
        <f>"SAÍDA"</f>
        <v>SAÍDA</v>
      </c>
      <c r="C4719" t="str">
        <f>"PIX"</f>
        <v>PIX</v>
      </c>
      <c r="D4719" t="str">
        <f>"22559"</f>
        <v>22559</v>
      </c>
      <c r="E4719" t="str">
        <f>"1"</f>
        <v>1</v>
      </c>
      <c r="F4719" t="str">
        <f t="shared" si="886"/>
        <v>COM</v>
      </c>
      <c r="G4719" t="str">
        <f>"BRUNO WAGNER DE CARVALHO OLIVEIRA (84)"</f>
        <v>BRUNO WAGNER DE CARVALHO OLIVEIRA (84)</v>
      </c>
      <c r="H4719" t="s">
        <v>1377</v>
      </c>
      <c r="I4719" t="str">
        <f>("09/10/2025")</f>
        <v>09/10/2025</v>
      </c>
      <c r="J4719" t="str">
        <f>("26/09/2025")</f>
        <v>26/09/2025</v>
      </c>
      <c r="K4719">
        <v>45938</v>
      </c>
      <c r="N4719">
        <v>109</v>
      </c>
      <c r="O4719" t="s">
        <v>24</v>
      </c>
      <c r="Q4719">
        <v>9.7799999999999994</v>
      </c>
      <c r="R4719" t="str">
        <f>"FARMÁCIA INDIANA LJ 182 (10079)"</f>
        <v>FARMÁCIA INDIANA LJ 182 (10079)</v>
      </c>
      <c r="S4719" t="s">
        <v>48</v>
      </c>
      <c r="T4719">
        <v>19261</v>
      </c>
      <c r="U4719">
        <v>23202</v>
      </c>
      <c r="V4719" t="s">
        <v>48</v>
      </c>
    </row>
    <row r="4720" spans="1:22">
      <c r="A4720" t="str">
        <f t="shared" si="885"/>
        <v>08/10/2025</v>
      </c>
      <c r="B4720" t="str">
        <f>"SAÍDA"</f>
        <v>SAÍDA</v>
      </c>
      <c r="C4720" t="str">
        <f>"PIX"</f>
        <v>PIX</v>
      </c>
      <c r="D4720" t="str">
        <f>"22559"</f>
        <v>22559</v>
      </c>
      <c r="E4720" t="str">
        <f>"1"</f>
        <v>1</v>
      </c>
      <c r="F4720" t="str">
        <f t="shared" si="886"/>
        <v>COM</v>
      </c>
      <c r="G4720" t="str">
        <f>"BRUNO WAGNER DE CARVALHO OLIVEIRA (84)"</f>
        <v>BRUNO WAGNER DE CARVALHO OLIVEIRA (84)</v>
      </c>
      <c r="H4720" t="s">
        <v>1377</v>
      </c>
      <c r="I4720" t="str">
        <f>("09/10/2025")</f>
        <v>09/10/2025</v>
      </c>
      <c r="J4720" t="str">
        <f>("26/09/2025")</f>
        <v>26/09/2025</v>
      </c>
      <c r="K4720">
        <v>45938</v>
      </c>
      <c r="N4720">
        <v>109</v>
      </c>
      <c r="O4720" t="s">
        <v>24</v>
      </c>
      <c r="Q4720">
        <v>10.220000000000001</v>
      </c>
      <c r="R4720" t="str">
        <f>"FARMÁCIA INDIANA LJ 186 (10081)"</f>
        <v>FARMÁCIA INDIANA LJ 186 (10081)</v>
      </c>
      <c r="S4720" t="s">
        <v>48</v>
      </c>
      <c r="T4720">
        <v>19261</v>
      </c>
      <c r="U4720">
        <v>23202</v>
      </c>
      <c r="V4720" t="s">
        <v>48</v>
      </c>
    </row>
    <row r="4721" spans="1:22">
      <c r="A4721" t="str">
        <f t="shared" si="885"/>
        <v>08/10/2025</v>
      </c>
      <c r="B4721" t="str">
        <f>"ENTRADA"</f>
        <v>ENTRADA</v>
      </c>
      <c r="C4721" t="str">
        <f>"DINHEIRO"</f>
        <v>DINHEIRO</v>
      </c>
      <c r="D4721" t="str">
        <f>"10"</f>
        <v>10</v>
      </c>
      <c r="E4721" t="str">
        <f>"34"</f>
        <v>34</v>
      </c>
      <c r="F4721" t="str">
        <f t="shared" si="886"/>
        <v>COM</v>
      </c>
      <c r="G4721" t="str">
        <f>"BRUNO WAGNER DE CARVALHO OLIVEIRA (84)"</f>
        <v>BRUNO WAGNER DE CARVALHO OLIVEIRA (84)</v>
      </c>
      <c r="H4721" t="str">
        <f>"DESCONTO COTA COOPERADO"</f>
        <v>DESCONTO COTA COOPERADO</v>
      </c>
      <c r="I4721" t="str">
        <f>("16/10/2025")</f>
        <v>16/10/2025</v>
      </c>
      <c r="J4721" t="str">
        <f>("15/01/2025")</f>
        <v>15/01/2025</v>
      </c>
      <c r="K4721" t="str">
        <f>("08/10/2025")</f>
        <v>08/10/2025</v>
      </c>
      <c r="L4721">
        <v>20</v>
      </c>
      <c r="M4721">
        <v>20</v>
      </c>
      <c r="N4721">
        <v>106</v>
      </c>
      <c r="O4721" t="str">
        <f>"ENTRADA DE CAPITAL"</f>
        <v>ENTRADA DE CAPITAL</v>
      </c>
      <c r="P4721">
        <v>20</v>
      </c>
      <c r="S4721" t="str">
        <f>"ENTRADA DE CAPITAL (106)"</f>
        <v>ENTRADA DE CAPITAL (106)</v>
      </c>
      <c r="T4721">
        <v>19262</v>
      </c>
      <c r="U4721">
        <v>5899</v>
      </c>
      <c r="V4721" t="s">
        <v>48</v>
      </c>
    </row>
    <row r="4722" spans="1:22">
      <c r="A4722" t="str">
        <f t="shared" si="885"/>
        <v>08/10/2025</v>
      </c>
      <c r="B4722" t="str">
        <f>"ENTRADA"</f>
        <v>ENTRADA</v>
      </c>
      <c r="C4722" t="str">
        <f>"DINHEIRO"</f>
        <v>DINHEIRO</v>
      </c>
      <c r="D4722" t="str">
        <f>"10"</f>
        <v>10</v>
      </c>
      <c r="E4722" t="str">
        <f>"34"</f>
        <v>34</v>
      </c>
      <c r="F4722" t="str">
        <f t="shared" si="886"/>
        <v>COM</v>
      </c>
      <c r="G4722" t="str">
        <f>"BRUNO WAGNER DE CARVALHO OLIVEIRA (84)"</f>
        <v>BRUNO WAGNER DE CARVALHO OLIVEIRA (84)</v>
      </c>
      <c r="H4722" t="s">
        <v>309</v>
      </c>
      <c r="I4722" t="str">
        <f>("16/10/2025")</f>
        <v>16/10/2025</v>
      </c>
      <c r="J4722" t="str">
        <f>("15/01/2025")</f>
        <v>15/01/2025</v>
      </c>
      <c r="K4722">
        <v>45938</v>
      </c>
      <c r="N4722">
        <v>106</v>
      </c>
      <c r="O4722" t="s">
        <v>51</v>
      </c>
      <c r="Q4722">
        <v>20</v>
      </c>
      <c r="R4722" t="str">
        <f>"BRUNO WAGNER DE CARVALHO OLIVEIRA (84)"</f>
        <v>BRUNO WAGNER DE CARVALHO OLIVEIRA (84)</v>
      </c>
      <c r="S4722" t="s">
        <v>52</v>
      </c>
      <c r="T4722">
        <v>19262</v>
      </c>
      <c r="U4722">
        <v>5899</v>
      </c>
      <c r="V4722" t="s">
        <v>48</v>
      </c>
    </row>
    <row r="4723" spans="1:22">
      <c r="A4723" t="str">
        <f t="shared" si="885"/>
        <v>08/10/2025</v>
      </c>
      <c r="B4723" t="str">
        <f>"SAÍDA"</f>
        <v>SAÍDA</v>
      </c>
      <c r="C4723" t="str">
        <f>"PIX"</f>
        <v>PIX</v>
      </c>
      <c r="D4723" t="str">
        <f>"22560"</f>
        <v>22560</v>
      </c>
      <c r="E4723" t="str">
        <f>"1"</f>
        <v>1</v>
      </c>
      <c r="F4723" t="str">
        <f t="shared" si="886"/>
        <v>COM</v>
      </c>
      <c r="G4723" t="str">
        <f>"CARLOS ROBERTO BADARÓ MACHADO (78)"</f>
        <v>CARLOS ROBERTO BADARÓ MACHADO (78)</v>
      </c>
      <c r="H4723" t="str">
        <f>"Serv.Prest. 22/09/2025 a 25/09/2025 - PIX: CELULAR - CHAVE: (32) 99166-8238"</f>
        <v>Serv.Prest. 22/09/2025 a 25/09/2025 - PIX: CELULAR - CHAVE: (32) 99166-8238</v>
      </c>
      <c r="I4723" t="str">
        <f>("09/10/2025")</f>
        <v>09/10/2025</v>
      </c>
      <c r="J4723" t="str">
        <f>("26/09/2025")</f>
        <v>26/09/2025</v>
      </c>
      <c r="K4723" t="str">
        <f>("08/10/2025")</f>
        <v>08/10/2025</v>
      </c>
      <c r="L4723">
        <v>20</v>
      </c>
      <c r="M4723">
        <v>20</v>
      </c>
      <c r="N4723">
        <v>109</v>
      </c>
      <c r="O4723" t="str">
        <f>"PAGAMENTO DE ENTREGADORES"</f>
        <v>PAGAMENTO DE ENTREGADORES</v>
      </c>
      <c r="P4723">
        <v>20</v>
      </c>
      <c r="S4723" t="str">
        <f>"CAIXA MOVIMENTAÇÃO OPERACIONAL (132)"</f>
        <v>CAIXA MOVIMENTAÇÃO OPERACIONAL (132)</v>
      </c>
      <c r="T4723">
        <v>19263</v>
      </c>
      <c r="U4723">
        <v>23203</v>
      </c>
      <c r="V4723" t="s">
        <v>48</v>
      </c>
    </row>
    <row r="4724" spans="1:22">
      <c r="A4724" t="str">
        <f t="shared" si="885"/>
        <v>08/10/2025</v>
      </c>
      <c r="B4724" t="str">
        <f>"SAÍDA"</f>
        <v>SAÍDA</v>
      </c>
      <c r="C4724" t="str">
        <f>"PIX"</f>
        <v>PIX</v>
      </c>
      <c r="D4724" t="str">
        <f>"22560"</f>
        <v>22560</v>
      </c>
      <c r="E4724" t="str">
        <f>"1"</f>
        <v>1</v>
      </c>
      <c r="F4724" t="str">
        <f t="shared" si="886"/>
        <v>COM</v>
      </c>
      <c r="G4724" t="str">
        <f>"CARLOS ROBERTO BADARÓ MACHADO (78)"</f>
        <v>CARLOS ROBERTO BADARÓ MACHADO (78)</v>
      </c>
      <c r="H4724" t="s">
        <v>1378</v>
      </c>
      <c r="I4724" t="str">
        <f>("09/10/2025")</f>
        <v>09/10/2025</v>
      </c>
      <c r="J4724" t="str">
        <f>("26/09/2025")</f>
        <v>26/09/2025</v>
      </c>
      <c r="K4724">
        <v>45938</v>
      </c>
      <c r="N4724">
        <v>109</v>
      </c>
      <c r="O4724" t="s">
        <v>24</v>
      </c>
      <c r="Q4724">
        <v>20</v>
      </c>
      <c r="R4724" t="str">
        <f>"FARMÁCIA INDIANA LJ 109 (10047)"</f>
        <v>FARMÁCIA INDIANA LJ 109 (10047)</v>
      </c>
      <c r="S4724" t="s">
        <v>48</v>
      </c>
      <c r="T4724">
        <v>19263</v>
      </c>
      <c r="U4724">
        <v>23203</v>
      </c>
      <c r="V4724" t="s">
        <v>48</v>
      </c>
    </row>
    <row r="4725" spans="1:22">
      <c r="A4725" t="str">
        <f t="shared" si="885"/>
        <v>08/10/2025</v>
      </c>
      <c r="B4725" t="str">
        <f>"ENTRADA"</f>
        <v>ENTRADA</v>
      </c>
      <c r="C4725" t="str">
        <f>"DINHEIRO"</f>
        <v>DINHEIRO</v>
      </c>
      <c r="D4725" t="str">
        <f>"16"</f>
        <v>16</v>
      </c>
      <c r="E4725" t="str">
        <f>"33"</f>
        <v>33</v>
      </c>
      <c r="F4725" t="str">
        <f t="shared" si="886"/>
        <v>COM</v>
      </c>
      <c r="G4725" t="str">
        <f>"CARLOS ROBERTO BADARÓ MACHADO (78)"</f>
        <v>CARLOS ROBERTO BADARÓ MACHADO (78)</v>
      </c>
      <c r="H4725" t="str">
        <f>"DESCONTO COTA COOPERADO"</f>
        <v>DESCONTO COTA COOPERADO</v>
      </c>
      <c r="I4725" t="str">
        <f>("16/10/2025")</f>
        <v>16/10/2025</v>
      </c>
      <c r="J4725" t="str">
        <f>("15/01/2025")</f>
        <v>15/01/2025</v>
      </c>
      <c r="K4725" t="str">
        <f>("08/10/2025")</f>
        <v>08/10/2025</v>
      </c>
      <c r="L4725">
        <v>20</v>
      </c>
      <c r="M4725">
        <v>20</v>
      </c>
      <c r="N4725">
        <v>106</v>
      </c>
      <c r="O4725" t="str">
        <f>"ENTRADA DE CAPITAL"</f>
        <v>ENTRADA DE CAPITAL</v>
      </c>
      <c r="P4725">
        <v>20</v>
      </c>
      <c r="S4725" t="str">
        <f>"ENTRADA DE CAPITAL (106)"</f>
        <v>ENTRADA DE CAPITAL (106)</v>
      </c>
      <c r="T4725">
        <v>19264</v>
      </c>
      <c r="U4725">
        <v>5948</v>
      </c>
      <c r="V4725" t="s">
        <v>48</v>
      </c>
    </row>
    <row r="4726" spans="1:22">
      <c r="A4726" t="str">
        <f t="shared" si="885"/>
        <v>08/10/2025</v>
      </c>
      <c r="B4726" t="str">
        <f>"ENTRADA"</f>
        <v>ENTRADA</v>
      </c>
      <c r="C4726" t="str">
        <f>"DINHEIRO"</f>
        <v>DINHEIRO</v>
      </c>
      <c r="D4726" t="str">
        <f>"16"</f>
        <v>16</v>
      </c>
      <c r="E4726" t="str">
        <f>"33"</f>
        <v>33</v>
      </c>
      <c r="F4726" t="str">
        <f t="shared" si="886"/>
        <v>COM</v>
      </c>
      <c r="G4726" t="str">
        <f>"CARLOS ROBERTO BADARÓ MACHADO (78)"</f>
        <v>CARLOS ROBERTO BADARÓ MACHADO (78)</v>
      </c>
      <c r="H4726" t="s">
        <v>309</v>
      </c>
      <c r="I4726" t="str">
        <f>("16/10/2025")</f>
        <v>16/10/2025</v>
      </c>
      <c r="J4726" t="str">
        <f>("15/01/2025")</f>
        <v>15/01/2025</v>
      </c>
      <c r="K4726">
        <v>45938</v>
      </c>
      <c r="N4726">
        <v>106</v>
      </c>
      <c r="O4726" t="s">
        <v>51</v>
      </c>
      <c r="Q4726">
        <v>20</v>
      </c>
      <c r="R4726" t="str">
        <f>"CARLOS ROBERTO BADARÓ MACHADO (78)"</f>
        <v>CARLOS ROBERTO BADARÓ MACHADO (78)</v>
      </c>
      <c r="S4726" t="s">
        <v>52</v>
      </c>
      <c r="T4726">
        <v>19264</v>
      </c>
      <c r="U4726">
        <v>5948</v>
      </c>
      <c r="V4726" t="s">
        <v>48</v>
      </c>
    </row>
    <row r="4727" spans="1:22">
      <c r="A4727" t="str">
        <f t="shared" si="885"/>
        <v>08/10/2025</v>
      </c>
      <c r="B4727" t="str">
        <f>"ENTRADA"</f>
        <v>ENTRADA</v>
      </c>
      <c r="C4727" t="str">
        <f>"DINHEIRO"</f>
        <v>DINHEIRO</v>
      </c>
      <c r="D4727" t="str">
        <f>"681"</f>
        <v>681</v>
      </c>
      <c r="E4727" t="str">
        <f>"6"</f>
        <v>6</v>
      </c>
      <c r="F4727" t="str">
        <f t="shared" si="886"/>
        <v>COM</v>
      </c>
      <c r="G4727" t="str">
        <f>"CLAUDINEI RIBEIRO VAL??RIO (681)"</f>
        <v>CLAUDINEI RIBEIRO VAL??RIO (681)</v>
      </c>
      <c r="H4727" t="str">
        <f>"COTA COOPERATIVA"</f>
        <v>COTA COOPERATIVA</v>
      </c>
      <c r="I4727" t="str">
        <f>("08/10/2025")</f>
        <v>08/10/2025</v>
      </c>
      <c r="J4727" t="str">
        <f>("31/03/2025")</f>
        <v>31/03/2025</v>
      </c>
      <c r="K4727" t="str">
        <f>("08/10/2025")</f>
        <v>08/10/2025</v>
      </c>
      <c r="L4727">
        <v>20</v>
      </c>
      <c r="M4727">
        <v>20</v>
      </c>
      <c r="N4727">
        <v>106</v>
      </c>
      <c r="O4727" t="str">
        <f>"ENTRADA DE CAPITAL"</f>
        <v>ENTRADA DE CAPITAL</v>
      </c>
      <c r="P4727">
        <v>20</v>
      </c>
      <c r="S4727" t="str">
        <f>"ENTRADA DE CAPITAL (106)"</f>
        <v>ENTRADA DE CAPITAL (106)</v>
      </c>
      <c r="T4727">
        <v>19265</v>
      </c>
      <c r="U4727">
        <v>13786</v>
      </c>
      <c r="V4727" t="s">
        <v>48</v>
      </c>
    </row>
    <row r="4728" spans="1:22">
      <c r="A4728" t="str">
        <f t="shared" si="885"/>
        <v>08/10/2025</v>
      </c>
      <c r="B4728" t="str">
        <f>"ENTRADA"</f>
        <v>ENTRADA</v>
      </c>
      <c r="C4728" t="str">
        <f>"DINHEIRO"</f>
        <v>DINHEIRO</v>
      </c>
      <c r="D4728" t="str">
        <f>"681"</f>
        <v>681</v>
      </c>
      <c r="E4728" t="str">
        <f>"6"</f>
        <v>6</v>
      </c>
      <c r="F4728" t="str">
        <f t="shared" si="886"/>
        <v>COM</v>
      </c>
      <c r="G4728" t="str">
        <f>"CLAUDINEI RIBEIRO VAL??RIO (681)"</f>
        <v>CLAUDINEI RIBEIRO VAL??RIO (681)</v>
      </c>
      <c r="H4728" t="s">
        <v>50</v>
      </c>
      <c r="I4728" t="str">
        <f>("08/10/2025")</f>
        <v>08/10/2025</v>
      </c>
      <c r="J4728" t="str">
        <f>("31/03/2025")</f>
        <v>31/03/2025</v>
      </c>
      <c r="K4728">
        <v>45938</v>
      </c>
      <c r="N4728">
        <v>106</v>
      </c>
      <c r="O4728" t="s">
        <v>51</v>
      </c>
      <c r="Q4728">
        <v>20</v>
      </c>
      <c r="R4728" t="str">
        <f>"CLAUDINEI RIBEIRO VAL??RIO (681)"</f>
        <v>CLAUDINEI RIBEIRO VAL??RIO (681)</v>
      </c>
      <c r="S4728" t="s">
        <v>52</v>
      </c>
      <c r="T4728">
        <v>19265</v>
      </c>
      <c r="U4728">
        <v>13786</v>
      </c>
      <c r="V4728" t="s">
        <v>48</v>
      </c>
    </row>
    <row r="4729" spans="1:22">
      <c r="A4729" t="str">
        <f t="shared" si="885"/>
        <v>08/10/2025</v>
      </c>
      <c r="B4729" t="str">
        <f>"SAÍDA"</f>
        <v>SAÍDA</v>
      </c>
      <c r="C4729" t="str">
        <f>"PIX"</f>
        <v>PIX</v>
      </c>
      <c r="D4729" t="str">
        <f>"22768"</f>
        <v>22768</v>
      </c>
      <c r="E4729" t="str">
        <f>"1"</f>
        <v>1</v>
      </c>
      <c r="F4729" t="str">
        <f t="shared" si="886"/>
        <v>COM</v>
      </c>
      <c r="G4729" t="str">
        <f>"CLAUDINEI RIBEIRO VALERIO (681)"</f>
        <v>CLAUDINEI RIBEIRO VALERIO (681)</v>
      </c>
      <c r="H4729" t="str">
        <f>"Serv.Prest. 22/09/2025 a 28/09/2025 - PIX: CELULAR - CHAVE: (43) 99630-7532"</f>
        <v>Serv.Prest. 22/09/2025 a 28/09/2025 - PIX: CELULAR - CHAVE: (43) 99630-7532</v>
      </c>
      <c r="I4729" t="str">
        <f>("09/10/2025")</f>
        <v>09/10/2025</v>
      </c>
      <c r="J4729" t="str">
        <f>("30/09/2025")</f>
        <v>30/09/2025</v>
      </c>
      <c r="K4729" t="str">
        <f>("08/10/2025")</f>
        <v>08/10/2025</v>
      </c>
      <c r="L4729">
        <v>20</v>
      </c>
      <c r="M4729">
        <v>20</v>
      </c>
      <c r="N4729">
        <v>109</v>
      </c>
      <c r="O4729" t="str">
        <f>"PAGAMENTO DE ENTREGADORES"</f>
        <v>PAGAMENTO DE ENTREGADORES</v>
      </c>
      <c r="P4729">
        <v>20</v>
      </c>
      <c r="S4729" t="str">
        <f>"CAIXA MOVIMENTAÇÃO OPERACIONAL (132)"</f>
        <v>CAIXA MOVIMENTAÇÃO OPERACIONAL (132)</v>
      </c>
      <c r="T4729">
        <v>19266</v>
      </c>
      <c r="U4729">
        <v>23204</v>
      </c>
      <c r="V4729" t="s">
        <v>48</v>
      </c>
    </row>
    <row r="4730" spans="1:22">
      <c r="A4730" t="str">
        <f t="shared" si="885"/>
        <v>08/10/2025</v>
      </c>
      <c r="B4730" t="str">
        <f>"SAÍDA"</f>
        <v>SAÍDA</v>
      </c>
      <c r="C4730" t="str">
        <f>"PIX"</f>
        <v>PIX</v>
      </c>
      <c r="D4730" t="str">
        <f>"22768"</f>
        <v>22768</v>
      </c>
      <c r="E4730" t="str">
        <f>"1"</f>
        <v>1</v>
      </c>
      <c r="F4730" t="str">
        <f t="shared" si="886"/>
        <v>COM</v>
      </c>
      <c r="G4730" t="str">
        <f>"CLAUDINEI RIBEIRO VALERIO (681)"</f>
        <v>CLAUDINEI RIBEIRO VALERIO (681)</v>
      </c>
      <c r="H4730" t="s">
        <v>1379</v>
      </c>
      <c r="I4730" t="str">
        <f>("09/10/2025")</f>
        <v>09/10/2025</v>
      </c>
      <c r="J4730" t="str">
        <f>("30/09/2025")</f>
        <v>30/09/2025</v>
      </c>
      <c r="K4730">
        <v>45938</v>
      </c>
      <c r="N4730">
        <v>109</v>
      </c>
      <c r="O4730" t="s">
        <v>24</v>
      </c>
      <c r="Q4730">
        <v>20</v>
      </c>
      <c r="R4730" t="str">
        <f>"AC FARMA - CID.ALTA (10166)"</f>
        <v>AC FARMA - CID.ALTA (10166)</v>
      </c>
      <c r="S4730" t="s">
        <v>48</v>
      </c>
      <c r="T4730">
        <v>19266</v>
      </c>
      <c r="U4730">
        <v>23204</v>
      </c>
      <c r="V4730" t="s">
        <v>48</v>
      </c>
    </row>
    <row r="4731" spans="1:22">
      <c r="A4731" t="str">
        <f t="shared" si="885"/>
        <v>08/10/2025</v>
      </c>
      <c r="B4731" t="str">
        <f>"SAÍDA"</f>
        <v>SAÍDA</v>
      </c>
      <c r="C4731" t="str">
        <f>"PIX"</f>
        <v>PIX</v>
      </c>
      <c r="D4731" t="str">
        <f>"22882"</f>
        <v>22882</v>
      </c>
      <c r="E4731" t="str">
        <f>"1"</f>
        <v>1</v>
      </c>
      <c r="F4731" t="str">
        <f t="shared" si="886"/>
        <v>COM</v>
      </c>
      <c r="G4731" t="str">
        <f>"CLAUDIO DOS SANTOS (507)"</f>
        <v>CLAUDIO DOS SANTOS (507)</v>
      </c>
      <c r="H4731" t="str">
        <f>"Serv.Prest. 29/09/2025 a 05/10/2025 - PIX: E-MAIL - CHAVE: claudioverdinho2009@hotmail.com"</f>
        <v>Serv.Prest. 29/09/2025 a 05/10/2025 - PIX: E-MAIL - CHAVE: claudioverdinho2009@hotmail.com</v>
      </c>
      <c r="I4731" t="str">
        <f>("09/10/2025")</f>
        <v>09/10/2025</v>
      </c>
      <c r="J4731" t="str">
        <f>("06/10/2025")</f>
        <v>06/10/2025</v>
      </c>
      <c r="K4731" t="str">
        <f>("08/10/2025")</f>
        <v>08/10/2025</v>
      </c>
      <c r="L4731">
        <v>20</v>
      </c>
      <c r="M4731">
        <v>20</v>
      </c>
      <c r="N4731">
        <v>109</v>
      </c>
      <c r="O4731" t="str">
        <f>"PAGAMENTO DE ENTREGADORES"</f>
        <v>PAGAMENTO DE ENTREGADORES</v>
      </c>
      <c r="P4731">
        <v>20</v>
      </c>
      <c r="S4731" t="str">
        <f>"CAIXA MOVIMENTAÇÃO OPERACIONAL (132)"</f>
        <v>CAIXA MOVIMENTAÇÃO OPERACIONAL (132)</v>
      </c>
      <c r="T4731">
        <v>19267</v>
      </c>
      <c r="U4731">
        <v>23205</v>
      </c>
      <c r="V4731" t="s">
        <v>48</v>
      </c>
    </row>
    <row r="4732" spans="1:22">
      <c r="A4732" t="str">
        <f t="shared" si="885"/>
        <v>08/10/2025</v>
      </c>
      <c r="B4732" t="str">
        <f>"SAÍDA"</f>
        <v>SAÍDA</v>
      </c>
      <c r="C4732" t="str">
        <f>"PIX"</f>
        <v>PIX</v>
      </c>
      <c r="D4732" t="str">
        <f>"22882"</f>
        <v>22882</v>
      </c>
      <c r="E4732" t="str">
        <f>"1"</f>
        <v>1</v>
      </c>
      <c r="F4732" t="str">
        <f t="shared" si="886"/>
        <v>COM</v>
      </c>
      <c r="G4732" t="str">
        <f>"CLAUDIO DOS SANTOS (507)"</f>
        <v>CLAUDIO DOS SANTOS (507)</v>
      </c>
      <c r="H4732" t="s">
        <v>1380</v>
      </c>
      <c r="I4732" t="str">
        <f>("09/10/2025")</f>
        <v>09/10/2025</v>
      </c>
      <c r="J4732" t="str">
        <f>("06/10/2025")</f>
        <v>06/10/2025</v>
      </c>
      <c r="K4732">
        <v>45938</v>
      </c>
      <c r="N4732">
        <v>109</v>
      </c>
      <c r="O4732" t="s">
        <v>24</v>
      </c>
      <c r="Q4732">
        <v>20</v>
      </c>
      <c r="R4732" t="str">
        <f>"JAL FARMACIA E DROGARIA LJ 1 (10137)"</f>
        <v>JAL FARMACIA E DROGARIA LJ 1 (10137)</v>
      </c>
      <c r="S4732" t="s">
        <v>48</v>
      </c>
      <c r="T4732">
        <v>19267</v>
      </c>
      <c r="U4732">
        <v>23205</v>
      </c>
      <c r="V4732" t="s">
        <v>48</v>
      </c>
    </row>
    <row r="4733" spans="1:22">
      <c r="A4733" t="str">
        <f t="shared" si="885"/>
        <v>08/10/2025</v>
      </c>
      <c r="B4733" t="str">
        <f>"ENTRADA"</f>
        <v>ENTRADA</v>
      </c>
      <c r="C4733" t="str">
        <f>"DINHEIRO"</f>
        <v>DINHEIRO</v>
      </c>
      <c r="D4733" t="str">
        <f>"3"</f>
        <v>3</v>
      </c>
      <c r="E4733" t="str">
        <f>"34"</f>
        <v>34</v>
      </c>
      <c r="F4733" t="str">
        <f t="shared" si="886"/>
        <v>COM</v>
      </c>
      <c r="G4733" t="str">
        <f>"CLAUDIO DOS SANTOS (507)"</f>
        <v>CLAUDIO DOS SANTOS (507)</v>
      </c>
      <c r="H4733" t="str">
        <f>"DESCONTO COTA COOPERADO"</f>
        <v>DESCONTO COTA COOPERADO</v>
      </c>
      <c r="I4733" t="str">
        <f>("16/10/2025")</f>
        <v>16/10/2025</v>
      </c>
      <c r="J4733" t="str">
        <f>("15/01/2025")</f>
        <v>15/01/2025</v>
      </c>
      <c r="K4733" t="str">
        <f>("08/10/2025")</f>
        <v>08/10/2025</v>
      </c>
      <c r="L4733">
        <v>20</v>
      </c>
      <c r="M4733">
        <v>20</v>
      </c>
      <c r="N4733">
        <v>106</v>
      </c>
      <c r="O4733" t="str">
        <f>"ENTRADA DE CAPITAL"</f>
        <v>ENTRADA DE CAPITAL</v>
      </c>
      <c r="P4733">
        <v>20</v>
      </c>
      <c r="S4733" t="str">
        <f>"ENTRADA DE CAPITAL (106)"</f>
        <v>ENTRADA DE CAPITAL (106)</v>
      </c>
      <c r="T4733">
        <v>19268</v>
      </c>
      <c r="U4733">
        <v>5968</v>
      </c>
      <c r="V4733" t="s">
        <v>48</v>
      </c>
    </row>
    <row r="4734" spans="1:22">
      <c r="A4734" t="str">
        <f t="shared" si="885"/>
        <v>08/10/2025</v>
      </c>
      <c r="B4734" t="str">
        <f>"ENTRADA"</f>
        <v>ENTRADA</v>
      </c>
      <c r="C4734" t="str">
        <f>"DINHEIRO"</f>
        <v>DINHEIRO</v>
      </c>
      <c r="D4734" t="str">
        <f>"3"</f>
        <v>3</v>
      </c>
      <c r="E4734" t="str">
        <f>"34"</f>
        <v>34</v>
      </c>
      <c r="F4734" t="str">
        <f t="shared" si="886"/>
        <v>COM</v>
      </c>
      <c r="G4734" t="str">
        <f>"CLAUDIO DOS SANTOS (507)"</f>
        <v>CLAUDIO DOS SANTOS (507)</v>
      </c>
      <c r="H4734" t="s">
        <v>309</v>
      </c>
      <c r="I4734" t="str">
        <f>("16/10/2025")</f>
        <v>16/10/2025</v>
      </c>
      <c r="J4734" t="str">
        <f>("15/01/2025")</f>
        <v>15/01/2025</v>
      </c>
      <c r="K4734">
        <v>45938</v>
      </c>
      <c r="N4734">
        <v>106</v>
      </c>
      <c r="O4734" t="s">
        <v>51</v>
      </c>
      <c r="Q4734">
        <v>20</v>
      </c>
      <c r="R4734" t="str">
        <f>"CLAUDIO DOS SANTOS (507)"</f>
        <v>CLAUDIO DOS SANTOS (507)</v>
      </c>
      <c r="S4734" t="s">
        <v>52</v>
      </c>
      <c r="T4734">
        <v>19268</v>
      </c>
      <c r="U4734">
        <v>5968</v>
      </c>
      <c r="V4734" t="s">
        <v>48</v>
      </c>
    </row>
    <row r="4735" spans="1:22">
      <c r="A4735" t="str">
        <f t="shared" si="885"/>
        <v>08/10/2025</v>
      </c>
      <c r="B4735" t="str">
        <f>"SAÍDA"</f>
        <v>SAÍDA</v>
      </c>
      <c r="C4735" t="str">
        <f>"PIX"</f>
        <v>PIX</v>
      </c>
      <c r="D4735" t="str">
        <f>"22563"</f>
        <v>22563</v>
      </c>
      <c r="E4735" t="str">
        <f>"1"</f>
        <v>1</v>
      </c>
      <c r="F4735" t="str">
        <f t="shared" si="886"/>
        <v>COM</v>
      </c>
      <c r="G4735" t="str">
        <f>"CRISTIANO XAVIER DA COSTA (269)"</f>
        <v>CRISTIANO XAVIER DA COSTA (269)</v>
      </c>
      <c r="H4735" t="str">
        <f>"Serv.Prest. 22/09/2025 a 25/09/2025 - PIX: CELULAR - CHAVE: (32) 99177-6167"</f>
        <v>Serv.Prest. 22/09/2025 a 25/09/2025 - PIX: CELULAR - CHAVE: (32) 99177-6167</v>
      </c>
      <c r="I4735" t="str">
        <f>("09/10/2025")</f>
        <v>09/10/2025</v>
      </c>
      <c r="J4735" t="str">
        <f>("26/09/2025")</f>
        <v>26/09/2025</v>
      </c>
      <c r="K4735" t="str">
        <f>("08/10/2025")</f>
        <v>08/10/2025</v>
      </c>
      <c r="L4735">
        <v>20</v>
      </c>
      <c r="M4735">
        <v>20</v>
      </c>
      <c r="N4735">
        <v>109</v>
      </c>
      <c r="O4735" t="str">
        <f>"PAGAMENTO DE ENTREGADORES"</f>
        <v>PAGAMENTO DE ENTREGADORES</v>
      </c>
      <c r="P4735">
        <v>20</v>
      </c>
      <c r="S4735" t="str">
        <f>"CAIXA MOVIMENTAÇÃO OPERACIONAL (132)"</f>
        <v>CAIXA MOVIMENTAÇÃO OPERACIONAL (132)</v>
      </c>
      <c r="T4735">
        <v>19269</v>
      </c>
      <c r="U4735">
        <v>23206</v>
      </c>
      <c r="V4735" t="s">
        <v>48</v>
      </c>
    </row>
    <row r="4736" spans="1:22">
      <c r="A4736" t="str">
        <f t="shared" si="885"/>
        <v>08/10/2025</v>
      </c>
      <c r="B4736" t="str">
        <f>"SAÍDA"</f>
        <v>SAÍDA</v>
      </c>
      <c r="C4736" t="str">
        <f>"PIX"</f>
        <v>PIX</v>
      </c>
      <c r="D4736" t="str">
        <f>"22563"</f>
        <v>22563</v>
      </c>
      <c r="E4736" t="str">
        <f>"1"</f>
        <v>1</v>
      </c>
      <c r="F4736" t="str">
        <f t="shared" si="886"/>
        <v>COM</v>
      </c>
      <c r="G4736" t="str">
        <f>"CRISTIANO XAVIER DA COSTA (269)"</f>
        <v>CRISTIANO XAVIER DA COSTA (269)</v>
      </c>
      <c r="H4736" t="s">
        <v>1381</v>
      </c>
      <c r="I4736" t="str">
        <f>("09/10/2025")</f>
        <v>09/10/2025</v>
      </c>
      <c r="J4736" t="str">
        <f>("26/09/2025")</f>
        <v>26/09/2025</v>
      </c>
      <c r="K4736">
        <v>45938</v>
      </c>
      <c r="N4736">
        <v>109</v>
      </c>
      <c r="O4736" t="s">
        <v>24</v>
      </c>
      <c r="Q4736">
        <v>9.6300000000000008</v>
      </c>
      <c r="R4736" t="str">
        <f>"FARMÁCIA INDIANA LJ 207 (10088)"</f>
        <v>FARMÁCIA INDIANA LJ 207 (10088)</v>
      </c>
      <c r="S4736" t="s">
        <v>48</v>
      </c>
      <c r="T4736">
        <v>19269</v>
      </c>
      <c r="U4736">
        <v>23206</v>
      </c>
      <c r="V4736" t="s">
        <v>48</v>
      </c>
    </row>
    <row r="4737" spans="1:22">
      <c r="A4737" t="str">
        <f t="shared" si="885"/>
        <v>08/10/2025</v>
      </c>
      <c r="B4737" t="str">
        <f>"SAÍDA"</f>
        <v>SAÍDA</v>
      </c>
      <c r="C4737" t="str">
        <f>"PIX"</f>
        <v>PIX</v>
      </c>
      <c r="D4737" t="str">
        <f>"22563"</f>
        <v>22563</v>
      </c>
      <c r="E4737" t="str">
        <f>"1"</f>
        <v>1</v>
      </c>
      <c r="F4737" t="str">
        <f t="shared" si="886"/>
        <v>COM</v>
      </c>
      <c r="G4737" t="str">
        <f>"CRISTIANO XAVIER DA COSTA (269)"</f>
        <v>CRISTIANO XAVIER DA COSTA (269)</v>
      </c>
      <c r="H4737" t="s">
        <v>1381</v>
      </c>
      <c r="I4737" t="str">
        <f>("09/10/2025")</f>
        <v>09/10/2025</v>
      </c>
      <c r="J4737" t="str">
        <f>("26/09/2025")</f>
        <v>26/09/2025</v>
      </c>
      <c r="K4737">
        <v>45938</v>
      </c>
      <c r="N4737">
        <v>109</v>
      </c>
      <c r="O4737" t="s">
        <v>24</v>
      </c>
      <c r="Q4737">
        <v>10.37</v>
      </c>
      <c r="R4737" t="str">
        <f>"FARMÁCIA INDIANA LJ 209 (10089)"</f>
        <v>FARMÁCIA INDIANA LJ 209 (10089)</v>
      </c>
      <c r="S4737" t="s">
        <v>48</v>
      </c>
      <c r="T4737">
        <v>19269</v>
      </c>
      <c r="U4737">
        <v>23206</v>
      </c>
      <c r="V4737" t="s">
        <v>48</v>
      </c>
    </row>
    <row r="4738" spans="1:22">
      <c r="A4738" t="str">
        <f t="shared" si="885"/>
        <v>08/10/2025</v>
      </c>
      <c r="B4738" t="str">
        <f>"ENTRADA"</f>
        <v>ENTRADA</v>
      </c>
      <c r="C4738" t="str">
        <f>"DINHEIRO"</f>
        <v>DINHEIRO</v>
      </c>
      <c r="D4738" t="str">
        <f>"10"</f>
        <v>10</v>
      </c>
      <c r="E4738" t="str">
        <f>"34"</f>
        <v>34</v>
      </c>
      <c r="F4738" t="str">
        <f t="shared" si="886"/>
        <v>COM</v>
      </c>
      <c r="G4738" t="str">
        <f>"CRISTIANO XAVIER DA COSTA (269)"</f>
        <v>CRISTIANO XAVIER DA COSTA (269)</v>
      </c>
      <c r="H4738" t="str">
        <f>"DESCONTO COTA COOPERADO"</f>
        <v>DESCONTO COTA COOPERADO</v>
      </c>
      <c r="I4738" t="str">
        <f>("16/10/2025")</f>
        <v>16/10/2025</v>
      </c>
      <c r="J4738" t="str">
        <f>("16/01/2025")</f>
        <v>16/01/2025</v>
      </c>
      <c r="K4738" t="str">
        <f>("08/10/2025")</f>
        <v>08/10/2025</v>
      </c>
      <c r="L4738">
        <v>20</v>
      </c>
      <c r="M4738">
        <v>20</v>
      </c>
      <c r="N4738">
        <v>106</v>
      </c>
      <c r="O4738" t="str">
        <f>"ENTRADA DE CAPITAL"</f>
        <v>ENTRADA DE CAPITAL</v>
      </c>
      <c r="P4738">
        <v>20</v>
      </c>
      <c r="S4738" t="str">
        <f>"ENTRADA DE CAPITAL (106)"</f>
        <v>ENTRADA DE CAPITAL (106)</v>
      </c>
      <c r="T4738">
        <v>19270</v>
      </c>
      <c r="U4738">
        <v>5999</v>
      </c>
      <c r="V4738" t="s">
        <v>48</v>
      </c>
    </row>
    <row r="4739" spans="1:22">
      <c r="A4739" t="str">
        <f t="shared" si="885"/>
        <v>08/10/2025</v>
      </c>
      <c r="B4739" t="str">
        <f>"ENTRADA"</f>
        <v>ENTRADA</v>
      </c>
      <c r="C4739" t="str">
        <f>"DINHEIRO"</f>
        <v>DINHEIRO</v>
      </c>
      <c r="D4739" t="str">
        <f>"10"</f>
        <v>10</v>
      </c>
      <c r="E4739" t="str">
        <f>"34"</f>
        <v>34</v>
      </c>
      <c r="F4739" t="str">
        <f t="shared" si="886"/>
        <v>COM</v>
      </c>
      <c r="G4739" t="str">
        <f>"CRISTIANO XAVIER DA COSTA (269)"</f>
        <v>CRISTIANO XAVIER DA COSTA (269)</v>
      </c>
      <c r="H4739" t="s">
        <v>309</v>
      </c>
      <c r="I4739" t="str">
        <f>("16/10/2025")</f>
        <v>16/10/2025</v>
      </c>
      <c r="J4739" t="str">
        <f>("16/01/2025")</f>
        <v>16/01/2025</v>
      </c>
      <c r="K4739">
        <v>45938</v>
      </c>
      <c r="N4739">
        <v>106</v>
      </c>
      <c r="O4739" t="s">
        <v>51</v>
      </c>
      <c r="Q4739">
        <v>20</v>
      </c>
      <c r="R4739" t="str">
        <f>"CRISTIANO XAVIER DA COSTA (269)"</f>
        <v>CRISTIANO XAVIER DA COSTA (269)</v>
      </c>
      <c r="S4739" t="s">
        <v>52</v>
      </c>
      <c r="T4739">
        <v>19270</v>
      </c>
      <c r="U4739">
        <v>5999</v>
      </c>
      <c r="V4739" t="s">
        <v>48</v>
      </c>
    </row>
    <row r="4740" spans="1:22">
      <c r="A4740" t="str">
        <f t="shared" si="885"/>
        <v>08/10/2025</v>
      </c>
      <c r="B4740" t="str">
        <f>"SAÍDA"</f>
        <v>SAÍDA</v>
      </c>
      <c r="C4740" t="str">
        <f>"PIX"</f>
        <v>PIX</v>
      </c>
      <c r="D4740" t="str">
        <f>"22652"</f>
        <v>22652</v>
      </c>
      <c r="E4740" t="str">
        <f>"1"</f>
        <v>1</v>
      </c>
      <c r="F4740" t="str">
        <f t="shared" si="886"/>
        <v>COM</v>
      </c>
      <c r="G4740" t="str">
        <f>"DANILO ROCHA SILVA (162)"</f>
        <v>DANILO ROCHA SILVA (162)</v>
      </c>
      <c r="H4740" t="str">
        <f>"Serv.Prest. 22/09/2025 a 25/09/2025 - PIX: CELULAR - CHAVE: (27) 99811-6850"</f>
        <v>Serv.Prest. 22/09/2025 a 25/09/2025 - PIX: CELULAR - CHAVE: (27) 99811-6850</v>
      </c>
      <c r="I4740" t="str">
        <f>("09/10/2025")</f>
        <v>09/10/2025</v>
      </c>
      <c r="J4740" t="str">
        <f>("26/09/2025")</f>
        <v>26/09/2025</v>
      </c>
      <c r="K4740" t="str">
        <f>("08/10/2025")</f>
        <v>08/10/2025</v>
      </c>
      <c r="L4740">
        <v>20</v>
      </c>
      <c r="M4740">
        <v>20</v>
      </c>
      <c r="N4740">
        <v>109</v>
      </c>
      <c r="O4740" t="str">
        <f>"PAGAMENTO DE ENTREGADORES"</f>
        <v>PAGAMENTO DE ENTREGADORES</v>
      </c>
      <c r="P4740">
        <v>20</v>
      </c>
      <c r="S4740" t="str">
        <f>"CAIXA MOVIMENTAÇÃO OPERACIONAL (132)"</f>
        <v>CAIXA MOVIMENTAÇÃO OPERACIONAL (132)</v>
      </c>
      <c r="T4740">
        <v>19271</v>
      </c>
      <c r="U4740">
        <v>23207</v>
      </c>
      <c r="V4740" t="s">
        <v>48</v>
      </c>
    </row>
    <row r="4741" spans="1:22">
      <c r="A4741" t="str">
        <f t="shared" si="885"/>
        <v>08/10/2025</v>
      </c>
      <c r="B4741" t="str">
        <f>"SAÍDA"</f>
        <v>SAÍDA</v>
      </c>
      <c r="C4741" t="str">
        <f>"PIX"</f>
        <v>PIX</v>
      </c>
      <c r="D4741" t="str">
        <f>"22652"</f>
        <v>22652</v>
      </c>
      <c r="E4741" t="str">
        <f>"1"</f>
        <v>1</v>
      </c>
      <c r="F4741" t="str">
        <f t="shared" si="886"/>
        <v>COM</v>
      </c>
      <c r="G4741" t="str">
        <f>"DANILO ROCHA SILVA (162)"</f>
        <v>DANILO ROCHA SILVA (162)</v>
      </c>
      <c r="H4741" t="s">
        <v>1382</v>
      </c>
      <c r="I4741" t="str">
        <f>("09/10/2025")</f>
        <v>09/10/2025</v>
      </c>
      <c r="J4741" t="str">
        <f>("26/09/2025")</f>
        <v>26/09/2025</v>
      </c>
      <c r="K4741">
        <v>45938</v>
      </c>
      <c r="N4741">
        <v>109</v>
      </c>
      <c r="O4741" t="s">
        <v>24</v>
      </c>
      <c r="Q4741">
        <v>20</v>
      </c>
      <c r="R4741" t="str">
        <f>"FARMÁCIA INDIANA LJ 181 (10078)"</f>
        <v>FARMÁCIA INDIANA LJ 181 (10078)</v>
      </c>
      <c r="S4741" t="s">
        <v>48</v>
      </c>
      <c r="T4741">
        <v>19271</v>
      </c>
      <c r="U4741">
        <v>23207</v>
      </c>
      <c r="V4741" t="s">
        <v>48</v>
      </c>
    </row>
    <row r="4742" spans="1:22">
      <c r="A4742" t="str">
        <f t="shared" si="885"/>
        <v>08/10/2025</v>
      </c>
      <c r="B4742" t="str">
        <f>"ENTRADA"</f>
        <v>ENTRADA</v>
      </c>
      <c r="C4742" t="str">
        <f>"DINHEIRO"</f>
        <v>DINHEIRO</v>
      </c>
      <c r="D4742" t="str">
        <f>"16"</f>
        <v>16</v>
      </c>
      <c r="E4742" t="str">
        <f>"34"</f>
        <v>34</v>
      </c>
      <c r="F4742" t="str">
        <f t="shared" si="886"/>
        <v>COM</v>
      </c>
      <c r="G4742" t="str">
        <f>"DANILO ROCHA SILVA (162)"</f>
        <v>DANILO ROCHA SILVA (162)</v>
      </c>
      <c r="H4742" t="str">
        <f>"DESCONTO COTA COOPERADO"</f>
        <v>DESCONTO COTA COOPERADO</v>
      </c>
      <c r="I4742" t="str">
        <f>("16/10/2025")</f>
        <v>16/10/2025</v>
      </c>
      <c r="J4742" t="str">
        <f>("16/01/2025")</f>
        <v>16/01/2025</v>
      </c>
      <c r="K4742" t="str">
        <f>("08/10/2025")</f>
        <v>08/10/2025</v>
      </c>
      <c r="L4742">
        <v>20</v>
      </c>
      <c r="M4742">
        <v>20</v>
      </c>
      <c r="N4742">
        <v>106</v>
      </c>
      <c r="O4742" t="str">
        <f>"ENTRADA DE CAPITAL"</f>
        <v>ENTRADA DE CAPITAL</v>
      </c>
      <c r="P4742">
        <v>20</v>
      </c>
      <c r="S4742" t="str">
        <f>"ENTRADA DE CAPITAL (106)"</f>
        <v>ENTRADA DE CAPITAL (106)</v>
      </c>
      <c r="T4742">
        <v>19272</v>
      </c>
      <c r="U4742">
        <v>6023</v>
      </c>
      <c r="V4742" t="s">
        <v>48</v>
      </c>
    </row>
    <row r="4743" spans="1:22">
      <c r="A4743" t="str">
        <f t="shared" si="885"/>
        <v>08/10/2025</v>
      </c>
      <c r="B4743" t="str">
        <f>"ENTRADA"</f>
        <v>ENTRADA</v>
      </c>
      <c r="C4743" t="str">
        <f>"DINHEIRO"</f>
        <v>DINHEIRO</v>
      </c>
      <c r="D4743" t="str">
        <f>"16"</f>
        <v>16</v>
      </c>
      <c r="E4743" t="str">
        <f>"34"</f>
        <v>34</v>
      </c>
      <c r="F4743" t="str">
        <f t="shared" si="886"/>
        <v>COM</v>
      </c>
      <c r="G4743" t="str">
        <f>"DANILO ROCHA SILVA (162)"</f>
        <v>DANILO ROCHA SILVA (162)</v>
      </c>
      <c r="H4743" t="s">
        <v>309</v>
      </c>
      <c r="I4743" t="str">
        <f>("16/10/2025")</f>
        <v>16/10/2025</v>
      </c>
      <c r="J4743" t="str">
        <f>("16/01/2025")</f>
        <v>16/01/2025</v>
      </c>
      <c r="K4743">
        <v>45938</v>
      </c>
      <c r="N4743">
        <v>106</v>
      </c>
      <c r="O4743" t="s">
        <v>51</v>
      </c>
      <c r="Q4743">
        <v>20</v>
      </c>
      <c r="R4743" t="str">
        <f>"DANILO ROCHA SILVA (162)"</f>
        <v>DANILO ROCHA SILVA (162)</v>
      </c>
      <c r="S4743" t="s">
        <v>52</v>
      </c>
      <c r="T4743">
        <v>19272</v>
      </c>
      <c r="U4743">
        <v>6023</v>
      </c>
      <c r="V4743" t="s">
        <v>48</v>
      </c>
    </row>
    <row r="4744" spans="1:22">
      <c r="A4744" t="str">
        <f t="shared" si="885"/>
        <v>08/10/2025</v>
      </c>
      <c r="B4744" t="str">
        <f>"ENTRADA"</f>
        <v>ENTRADA</v>
      </c>
      <c r="C4744" t="str">
        <f>"DINHEIRO"</f>
        <v>DINHEIRO</v>
      </c>
      <c r="D4744" t="str">
        <f>"770"</f>
        <v>770</v>
      </c>
      <c r="E4744" t="str">
        <f>"6"</f>
        <v>6</v>
      </c>
      <c r="F4744" t="str">
        <f t="shared" si="886"/>
        <v>COM</v>
      </c>
      <c r="G4744" t="str">
        <f>"DANILO WASHINGTON DOS SANTOS (770)"</f>
        <v>DANILO WASHINGTON DOS SANTOS (770)</v>
      </c>
      <c r="H4744" t="str">
        <f>"COTAS COOPERATIVA"</f>
        <v>COTAS COOPERATIVA</v>
      </c>
      <c r="I4744" t="str">
        <f>("08/10/2025")</f>
        <v>08/10/2025</v>
      </c>
      <c r="J4744" t="str">
        <f>("21/04/2025")</f>
        <v>21/04/2025</v>
      </c>
      <c r="K4744" t="str">
        <f>("08/10/2025")</f>
        <v>08/10/2025</v>
      </c>
      <c r="L4744">
        <v>20</v>
      </c>
      <c r="M4744">
        <v>20</v>
      </c>
      <c r="N4744">
        <v>106</v>
      </c>
      <c r="O4744" t="str">
        <f>"ENTRADA DE CAPITAL"</f>
        <v>ENTRADA DE CAPITAL</v>
      </c>
      <c r="P4744">
        <v>20</v>
      </c>
      <c r="S4744" t="str">
        <f>"ENTRADA DE CAPITAL (106)"</f>
        <v>ENTRADA DE CAPITAL (106)</v>
      </c>
      <c r="T4744">
        <v>19273</v>
      </c>
      <c r="U4744">
        <v>13817</v>
      </c>
      <c r="V4744" t="s">
        <v>48</v>
      </c>
    </row>
    <row r="4745" spans="1:22">
      <c r="A4745" t="str">
        <f t="shared" si="885"/>
        <v>08/10/2025</v>
      </c>
      <c r="B4745" t="str">
        <f>"ENTRADA"</f>
        <v>ENTRADA</v>
      </c>
      <c r="C4745" t="str">
        <f>"DINHEIRO"</f>
        <v>DINHEIRO</v>
      </c>
      <c r="D4745" t="str">
        <f>"770"</f>
        <v>770</v>
      </c>
      <c r="E4745" t="str">
        <f>"6"</f>
        <v>6</v>
      </c>
      <c r="F4745" t="str">
        <f t="shared" si="886"/>
        <v>COM</v>
      </c>
      <c r="G4745" t="str">
        <f>"DANILO WASHINGTON DOS SANTOS (770)"</f>
        <v>DANILO WASHINGTON DOS SANTOS (770)</v>
      </c>
      <c r="H4745" t="s">
        <v>318</v>
      </c>
      <c r="I4745" t="str">
        <f>("08/10/2025")</f>
        <v>08/10/2025</v>
      </c>
      <c r="J4745" t="str">
        <f>("21/04/2025")</f>
        <v>21/04/2025</v>
      </c>
      <c r="K4745">
        <v>45938</v>
      </c>
      <c r="N4745">
        <v>106</v>
      </c>
      <c r="O4745" t="s">
        <v>51</v>
      </c>
      <c r="Q4745">
        <v>20</v>
      </c>
      <c r="R4745" t="str">
        <f>"DANILO WASHINGTON DOS SANTOS (770)"</f>
        <v>DANILO WASHINGTON DOS SANTOS (770)</v>
      </c>
      <c r="S4745" t="s">
        <v>52</v>
      </c>
      <c r="T4745">
        <v>19273</v>
      </c>
      <c r="U4745">
        <v>13817</v>
      </c>
      <c r="V4745" t="s">
        <v>48</v>
      </c>
    </row>
    <row r="4746" spans="1:22">
      <c r="A4746" t="str">
        <f t="shared" si="885"/>
        <v>08/10/2025</v>
      </c>
      <c r="B4746" t="str">
        <f>"SAÍDA"</f>
        <v>SAÍDA</v>
      </c>
      <c r="C4746" t="str">
        <f>"PIX"</f>
        <v>PIX</v>
      </c>
      <c r="D4746" t="str">
        <f>"22565"</f>
        <v>22565</v>
      </c>
      <c r="E4746" t="str">
        <f>"1"</f>
        <v>1</v>
      </c>
      <c r="F4746" t="str">
        <f t="shared" si="886"/>
        <v>COM</v>
      </c>
      <c r="G4746" t="str">
        <f>"DANILO WASHINGTON DOS SANTOS (770)"</f>
        <v>DANILO WASHINGTON DOS SANTOS (770)</v>
      </c>
      <c r="H4746" t="str">
        <f>"Serv.Prest. 22/09/2025 a 25/09/2025 - PIX: CELULAR - CHAVE: (33) 98749-5105"</f>
        <v>Serv.Prest. 22/09/2025 a 25/09/2025 - PIX: CELULAR - CHAVE: (33) 98749-5105</v>
      </c>
      <c r="I4746" t="str">
        <f>("09/10/2025")</f>
        <v>09/10/2025</v>
      </c>
      <c r="J4746" t="str">
        <f>("26/09/2025")</f>
        <v>26/09/2025</v>
      </c>
      <c r="K4746" t="str">
        <f>("08/10/2025")</f>
        <v>08/10/2025</v>
      </c>
      <c r="L4746">
        <v>20</v>
      </c>
      <c r="M4746">
        <v>20</v>
      </c>
      <c r="N4746">
        <v>109</v>
      </c>
      <c r="O4746" t="str">
        <f>"PAGAMENTO DE ENTREGADORES"</f>
        <v>PAGAMENTO DE ENTREGADORES</v>
      </c>
      <c r="P4746">
        <v>20</v>
      </c>
      <c r="S4746" t="str">
        <f>"CAIXA MOVIMENTAÇÃO OPERACIONAL (132)"</f>
        <v>CAIXA MOVIMENTAÇÃO OPERACIONAL (132)</v>
      </c>
      <c r="T4746">
        <v>19274</v>
      </c>
      <c r="U4746">
        <v>23208</v>
      </c>
      <c r="V4746" t="s">
        <v>48</v>
      </c>
    </row>
    <row r="4747" spans="1:22">
      <c r="A4747" t="str">
        <f t="shared" si="885"/>
        <v>08/10/2025</v>
      </c>
      <c r="B4747" t="str">
        <f>"SAÍDA"</f>
        <v>SAÍDA</v>
      </c>
      <c r="C4747" t="str">
        <f>"PIX"</f>
        <v>PIX</v>
      </c>
      <c r="D4747" t="str">
        <f>"22565"</f>
        <v>22565</v>
      </c>
      <c r="E4747" t="str">
        <f>"1"</f>
        <v>1</v>
      </c>
      <c r="F4747" t="str">
        <f t="shared" si="886"/>
        <v>COM</v>
      </c>
      <c r="G4747" t="str">
        <f>"DANILO WASHINGTON DOS SANTOS (770)"</f>
        <v>DANILO WASHINGTON DOS SANTOS (770)</v>
      </c>
      <c r="H4747" t="s">
        <v>1383</v>
      </c>
      <c r="I4747" t="str">
        <f>("09/10/2025")</f>
        <v>09/10/2025</v>
      </c>
      <c r="J4747" t="str">
        <f>("26/09/2025")</f>
        <v>26/09/2025</v>
      </c>
      <c r="K4747">
        <v>45938</v>
      </c>
      <c r="N4747">
        <v>109</v>
      </c>
      <c r="O4747" t="s">
        <v>24</v>
      </c>
      <c r="Q4747">
        <v>20</v>
      </c>
      <c r="R4747" t="str">
        <f>"FARMÁCIA INDIANA LJ 07 (10007)"</f>
        <v>FARMÁCIA INDIANA LJ 07 (10007)</v>
      </c>
      <c r="S4747" t="s">
        <v>48</v>
      </c>
      <c r="T4747">
        <v>19274</v>
      </c>
      <c r="U4747">
        <v>23208</v>
      </c>
      <c r="V4747" t="s">
        <v>48</v>
      </c>
    </row>
    <row r="4748" spans="1:22">
      <c r="A4748" t="str">
        <f t="shared" si="885"/>
        <v>08/10/2025</v>
      </c>
      <c r="B4748" t="str">
        <f>"ENTRADA"</f>
        <v>ENTRADA</v>
      </c>
      <c r="C4748" t="str">
        <f>"DINHEIRO"</f>
        <v>DINHEIRO</v>
      </c>
      <c r="D4748" t="str">
        <f>"09"</f>
        <v>09</v>
      </c>
      <c r="E4748" t="str">
        <f>"34"</f>
        <v>34</v>
      </c>
      <c r="F4748" t="str">
        <f t="shared" si="886"/>
        <v>COM</v>
      </c>
      <c r="G4748" t="str">
        <f>"DANTE SOARES DA SILVA (416)"</f>
        <v>DANTE SOARES DA SILVA (416)</v>
      </c>
      <c r="H4748" t="str">
        <f>"DESCONTO COTA COOPERADO"</f>
        <v>DESCONTO COTA COOPERADO</v>
      </c>
      <c r="I4748" t="str">
        <f>("16/10/2025")</f>
        <v>16/10/2025</v>
      </c>
      <c r="J4748" t="str">
        <f>("16/01/2025")</f>
        <v>16/01/2025</v>
      </c>
      <c r="K4748" t="str">
        <f>("08/10/2025")</f>
        <v>08/10/2025</v>
      </c>
      <c r="L4748">
        <v>20</v>
      </c>
      <c r="M4748">
        <v>20</v>
      </c>
      <c r="N4748">
        <v>106</v>
      </c>
      <c r="O4748" t="str">
        <f>"ENTRADA DE CAPITAL"</f>
        <v>ENTRADA DE CAPITAL</v>
      </c>
      <c r="P4748">
        <v>20</v>
      </c>
      <c r="S4748" t="str">
        <f>"ENTRADA DE CAPITAL (106)"</f>
        <v>ENTRADA DE CAPITAL (106)</v>
      </c>
      <c r="T4748">
        <v>19275</v>
      </c>
      <c r="U4748">
        <v>6034</v>
      </c>
      <c r="V4748" t="s">
        <v>48</v>
      </c>
    </row>
    <row r="4749" spans="1:22">
      <c r="A4749" t="str">
        <f t="shared" si="885"/>
        <v>08/10/2025</v>
      </c>
      <c r="B4749" t="str">
        <f>"ENTRADA"</f>
        <v>ENTRADA</v>
      </c>
      <c r="C4749" t="str">
        <f>"DINHEIRO"</f>
        <v>DINHEIRO</v>
      </c>
      <c r="D4749" t="str">
        <f>"09"</f>
        <v>09</v>
      </c>
      <c r="E4749" t="str">
        <f>"34"</f>
        <v>34</v>
      </c>
      <c r="F4749" t="str">
        <f t="shared" si="886"/>
        <v>COM</v>
      </c>
      <c r="G4749" t="str">
        <f>"DANTE SOARES DA SILVA (416)"</f>
        <v>DANTE SOARES DA SILVA (416)</v>
      </c>
      <c r="H4749" t="s">
        <v>309</v>
      </c>
      <c r="I4749" t="str">
        <f>("16/10/2025")</f>
        <v>16/10/2025</v>
      </c>
      <c r="J4749" t="str">
        <f>("16/01/2025")</f>
        <v>16/01/2025</v>
      </c>
      <c r="K4749">
        <v>45938</v>
      </c>
      <c r="N4749">
        <v>106</v>
      </c>
      <c r="O4749" t="s">
        <v>51</v>
      </c>
      <c r="Q4749">
        <v>20</v>
      </c>
      <c r="R4749" t="str">
        <f>"DANTE SOARES DA SILVA (416)"</f>
        <v>DANTE SOARES DA SILVA (416)</v>
      </c>
      <c r="S4749" t="s">
        <v>52</v>
      </c>
      <c r="T4749">
        <v>19275</v>
      </c>
      <c r="U4749">
        <v>6034</v>
      </c>
      <c r="V4749" t="s">
        <v>48</v>
      </c>
    </row>
    <row r="4750" spans="1:22">
      <c r="A4750" t="str">
        <f t="shared" si="885"/>
        <v>08/10/2025</v>
      </c>
      <c r="B4750" t="str">
        <f>"SAÍDA"</f>
        <v>SAÍDA</v>
      </c>
      <c r="C4750" t="str">
        <f>"PIX"</f>
        <v>PIX</v>
      </c>
      <c r="D4750" t="str">
        <f>"22931"</f>
        <v>22931</v>
      </c>
      <c r="E4750" t="str">
        <f>"1"</f>
        <v>1</v>
      </c>
      <c r="F4750" t="str">
        <f t="shared" si="886"/>
        <v>COM</v>
      </c>
      <c r="G4750" t="str">
        <f>"DANTE SOARES DA SILVA (416)"</f>
        <v>DANTE SOARES DA SILVA (416)</v>
      </c>
      <c r="H4750" t="str">
        <f>"Serv.Prest. 26/09/2025 a 05/10/2025 - PIX: CELULAR - CHAVE: (33) 99802-1883"</f>
        <v>Serv.Prest. 26/09/2025 a 05/10/2025 - PIX: CELULAR - CHAVE: (33) 99802-1883</v>
      </c>
      <c r="I4750" t="str">
        <f>("16/10/2025")</f>
        <v>16/10/2025</v>
      </c>
      <c r="J4750" t="str">
        <f>("07/10/2025")</f>
        <v>07/10/2025</v>
      </c>
      <c r="K4750" t="str">
        <f>("08/10/2025")</f>
        <v>08/10/2025</v>
      </c>
      <c r="L4750">
        <v>20</v>
      </c>
      <c r="M4750">
        <v>20</v>
      </c>
      <c r="N4750">
        <v>109</v>
      </c>
      <c r="O4750" t="str">
        <f>"PAGAMENTO DE ENTREGADORES"</f>
        <v>PAGAMENTO DE ENTREGADORES</v>
      </c>
      <c r="P4750">
        <v>20</v>
      </c>
      <c r="S4750" t="str">
        <f>"CAIXA MOVIMENTAÇÃO OPERACIONAL (132)"</f>
        <v>CAIXA MOVIMENTAÇÃO OPERACIONAL (132)</v>
      </c>
      <c r="T4750">
        <v>19276</v>
      </c>
      <c r="U4750">
        <v>23209</v>
      </c>
      <c r="V4750" t="s">
        <v>48</v>
      </c>
    </row>
    <row r="4751" spans="1:22">
      <c r="A4751" t="str">
        <f t="shared" ref="A4751:A4814" si="888">("08/10/2025")</f>
        <v>08/10/2025</v>
      </c>
      <c r="B4751" t="str">
        <f>"SAÍDA"</f>
        <v>SAÍDA</v>
      </c>
      <c r="C4751" t="str">
        <f>"PIX"</f>
        <v>PIX</v>
      </c>
      <c r="D4751" t="str">
        <f>"22931"</f>
        <v>22931</v>
      </c>
      <c r="E4751" t="str">
        <f>"1"</f>
        <v>1</v>
      </c>
      <c r="F4751" t="str">
        <f t="shared" ref="F4751:F4814" si="889">"COM"</f>
        <v>COM</v>
      </c>
      <c r="G4751" t="str">
        <f>"DANTE SOARES DA SILVA (416)"</f>
        <v>DANTE SOARES DA SILVA (416)</v>
      </c>
      <c r="H4751" t="s">
        <v>1384</v>
      </c>
      <c r="I4751" t="str">
        <f>("16/10/2025")</f>
        <v>16/10/2025</v>
      </c>
      <c r="J4751" t="str">
        <f>("07/10/2025")</f>
        <v>07/10/2025</v>
      </c>
      <c r="K4751">
        <v>45938</v>
      </c>
      <c r="N4751">
        <v>109</v>
      </c>
      <c r="O4751" t="s">
        <v>24</v>
      </c>
      <c r="Q4751">
        <v>20</v>
      </c>
      <c r="R4751" t="str">
        <f>"FARMÁCIA INDIANA LJ 59 (10026)"</f>
        <v>FARMÁCIA INDIANA LJ 59 (10026)</v>
      </c>
      <c r="S4751" t="s">
        <v>48</v>
      </c>
      <c r="T4751">
        <v>19276</v>
      </c>
      <c r="U4751">
        <v>23209</v>
      </c>
      <c r="V4751" t="s">
        <v>48</v>
      </c>
    </row>
    <row r="4752" spans="1:22">
      <c r="A4752" t="str">
        <f t="shared" si="888"/>
        <v>08/10/2025</v>
      </c>
      <c r="B4752" t="str">
        <f>"SAÍDA"</f>
        <v>SAÍDA</v>
      </c>
      <c r="C4752" t="str">
        <f>"PIX"</f>
        <v>PIX</v>
      </c>
      <c r="D4752" t="str">
        <f>"22805"</f>
        <v>22805</v>
      </c>
      <c r="E4752" t="str">
        <f>"1"</f>
        <v>1</v>
      </c>
      <c r="F4752" t="str">
        <f t="shared" si="889"/>
        <v>COM</v>
      </c>
      <c r="G4752" t="str">
        <f>"DEIVID FERNANDES COSTA (828)"</f>
        <v>DEIVID FERNANDES COSTA (828)</v>
      </c>
      <c r="H4752" t="str">
        <f>"Serv.Prest. 29/09/2025 a 05/10/2025 - PIX: CELULAR - CHAVE: (62) 99550-3226"</f>
        <v>Serv.Prest. 29/09/2025 a 05/10/2025 - PIX: CELULAR - CHAVE: (62) 99550-3226</v>
      </c>
      <c r="I4752" t="str">
        <f>("09/10/2025")</f>
        <v>09/10/2025</v>
      </c>
      <c r="J4752" t="str">
        <f>("06/10/2025")</f>
        <v>06/10/2025</v>
      </c>
      <c r="K4752" t="str">
        <f>("08/10/2025")</f>
        <v>08/10/2025</v>
      </c>
      <c r="L4752">
        <v>20</v>
      </c>
      <c r="M4752">
        <v>20</v>
      </c>
      <c r="N4752">
        <v>109</v>
      </c>
      <c r="O4752" t="str">
        <f>"PAGAMENTO DE ENTREGADORES"</f>
        <v>PAGAMENTO DE ENTREGADORES</v>
      </c>
      <c r="P4752">
        <v>20</v>
      </c>
      <c r="S4752" t="str">
        <f>"CAIXA MOVIMENTAÇÃO OPERACIONAL (132)"</f>
        <v>CAIXA MOVIMENTAÇÃO OPERACIONAL (132)</v>
      </c>
      <c r="T4752">
        <v>19277</v>
      </c>
      <c r="U4752">
        <v>23210</v>
      </c>
      <c r="V4752" t="s">
        <v>48</v>
      </c>
    </row>
    <row r="4753" spans="1:22">
      <c r="A4753" t="str">
        <f t="shared" si="888"/>
        <v>08/10/2025</v>
      </c>
      <c r="B4753" t="str">
        <f>"SAÍDA"</f>
        <v>SAÍDA</v>
      </c>
      <c r="C4753" t="str">
        <f>"PIX"</f>
        <v>PIX</v>
      </c>
      <c r="D4753" t="str">
        <f>"22805"</f>
        <v>22805</v>
      </c>
      <c r="E4753" t="str">
        <f>"1"</f>
        <v>1</v>
      </c>
      <c r="F4753" t="str">
        <f t="shared" si="889"/>
        <v>COM</v>
      </c>
      <c r="G4753" t="str">
        <f>"DEIVID FERNANDES COSTA (828)"</f>
        <v>DEIVID FERNANDES COSTA (828)</v>
      </c>
      <c r="H4753" t="s">
        <v>1385</v>
      </c>
      <c r="I4753" t="str">
        <f>("09/10/2025")</f>
        <v>09/10/2025</v>
      </c>
      <c r="J4753" t="str">
        <f>("06/10/2025")</f>
        <v>06/10/2025</v>
      </c>
      <c r="K4753">
        <v>45938</v>
      </c>
      <c r="N4753">
        <v>109</v>
      </c>
      <c r="O4753" t="s">
        <v>24</v>
      </c>
      <c r="Q4753">
        <v>20</v>
      </c>
      <c r="R4753" t="str">
        <f>"BRASIL FARMA (10173)"</f>
        <v>BRASIL FARMA (10173)</v>
      </c>
      <c r="S4753" t="s">
        <v>48</v>
      </c>
      <c r="T4753">
        <v>19277</v>
      </c>
      <c r="U4753">
        <v>23210</v>
      </c>
      <c r="V4753" t="s">
        <v>48</v>
      </c>
    </row>
    <row r="4754" spans="1:22">
      <c r="A4754" t="str">
        <f t="shared" si="888"/>
        <v>08/10/2025</v>
      </c>
      <c r="B4754" t="str">
        <f>"ENTRADA"</f>
        <v>ENTRADA</v>
      </c>
      <c r="C4754" t="str">
        <f>"DINHEIRO"</f>
        <v>DINHEIRO</v>
      </c>
      <c r="D4754" t="str">
        <f>"828"</f>
        <v>828</v>
      </c>
      <c r="E4754" t="str">
        <f>"5"</f>
        <v>5</v>
      </c>
      <c r="F4754" t="str">
        <f t="shared" si="889"/>
        <v>COM</v>
      </c>
      <c r="G4754" t="str">
        <f>"DEIVID FERNANDES COSTA (828)"</f>
        <v>DEIVID FERNANDES COSTA (828)</v>
      </c>
      <c r="H4754" t="str">
        <f>"COTA COOPERATIVA"</f>
        <v>COTA COOPERATIVA</v>
      </c>
      <c r="I4754" t="str">
        <f>("12/10/2025")</f>
        <v>12/10/2025</v>
      </c>
      <c r="J4754" t="str">
        <f>("27/05/2025")</f>
        <v>27/05/2025</v>
      </c>
      <c r="K4754" t="str">
        <f>("08/10/2025")</f>
        <v>08/10/2025</v>
      </c>
      <c r="L4754">
        <v>20</v>
      </c>
      <c r="M4754">
        <v>20</v>
      </c>
      <c r="N4754">
        <v>106</v>
      </c>
      <c r="O4754" t="str">
        <f>"ENTRADA DE CAPITAL"</f>
        <v>ENTRADA DE CAPITAL</v>
      </c>
      <c r="P4754">
        <v>20</v>
      </c>
      <c r="S4754" t="str">
        <f>"ENTRADA DE CAPITAL (106)"</f>
        <v>ENTRADA DE CAPITAL (106)</v>
      </c>
      <c r="T4754">
        <v>19278</v>
      </c>
      <c r="U4754">
        <v>17035</v>
      </c>
      <c r="V4754" t="s">
        <v>48</v>
      </c>
    </row>
    <row r="4755" spans="1:22">
      <c r="A4755" t="str">
        <f t="shared" si="888"/>
        <v>08/10/2025</v>
      </c>
      <c r="B4755" t="str">
        <f>"ENTRADA"</f>
        <v>ENTRADA</v>
      </c>
      <c r="C4755" t="str">
        <f>"DINHEIRO"</f>
        <v>DINHEIRO</v>
      </c>
      <c r="D4755" t="str">
        <f>"828"</f>
        <v>828</v>
      </c>
      <c r="E4755" t="str">
        <f>"5"</f>
        <v>5</v>
      </c>
      <c r="F4755" t="str">
        <f t="shared" si="889"/>
        <v>COM</v>
      </c>
      <c r="G4755" t="str">
        <f>"DEIVID FERNANDES COSTA (828)"</f>
        <v>DEIVID FERNANDES COSTA (828)</v>
      </c>
      <c r="H4755" t="s">
        <v>50</v>
      </c>
      <c r="I4755" t="str">
        <f>("12/10/2025")</f>
        <v>12/10/2025</v>
      </c>
      <c r="J4755" t="str">
        <f>("27/05/2025")</f>
        <v>27/05/2025</v>
      </c>
      <c r="K4755">
        <v>45938</v>
      </c>
      <c r="N4755">
        <v>106</v>
      </c>
      <c r="O4755" t="s">
        <v>51</v>
      </c>
      <c r="Q4755">
        <v>20</v>
      </c>
      <c r="R4755" t="str">
        <f>"DEIVID FERNANDES COSTA (828)"</f>
        <v>DEIVID FERNANDES COSTA (828)</v>
      </c>
      <c r="S4755" t="s">
        <v>52</v>
      </c>
      <c r="T4755">
        <v>19278</v>
      </c>
      <c r="U4755">
        <v>17035</v>
      </c>
      <c r="V4755" t="s">
        <v>48</v>
      </c>
    </row>
    <row r="4756" spans="1:22">
      <c r="A4756" t="str">
        <f t="shared" si="888"/>
        <v>08/10/2025</v>
      </c>
      <c r="B4756" t="str">
        <f>"SAÍDA"</f>
        <v>SAÍDA</v>
      </c>
      <c r="C4756" t="str">
        <f>"PIX"</f>
        <v>PIX</v>
      </c>
      <c r="D4756" t="str">
        <f>"22567"</f>
        <v>22567</v>
      </c>
      <c r="E4756" t="str">
        <f>"1"</f>
        <v>1</v>
      </c>
      <c r="F4756" t="str">
        <f t="shared" si="889"/>
        <v>COM</v>
      </c>
      <c r="G4756" t="str">
        <f>"DEVANILDO PONTES CASAGRANDE (179)"</f>
        <v>DEVANILDO PONTES CASAGRANDE (179)</v>
      </c>
      <c r="H4756" t="str">
        <f>"Serv.Prest. 22/09/2025 a 25/09/2025 - PIX: CELULAR - CHAVE: (31) 99610-7049"</f>
        <v>Serv.Prest. 22/09/2025 a 25/09/2025 - PIX: CELULAR - CHAVE: (31) 99610-7049</v>
      </c>
      <c r="I4756" t="str">
        <f>("09/10/2025")</f>
        <v>09/10/2025</v>
      </c>
      <c r="J4756" t="str">
        <f>("26/09/2025")</f>
        <v>26/09/2025</v>
      </c>
      <c r="K4756" t="str">
        <f>("08/10/2025")</f>
        <v>08/10/2025</v>
      </c>
      <c r="L4756">
        <v>20</v>
      </c>
      <c r="M4756">
        <v>20</v>
      </c>
      <c r="N4756">
        <v>109</v>
      </c>
      <c r="O4756" t="str">
        <f>"PAGAMENTO DE ENTREGADORES"</f>
        <v>PAGAMENTO DE ENTREGADORES</v>
      </c>
      <c r="P4756">
        <v>20</v>
      </c>
      <c r="S4756" t="str">
        <f>"CAIXA MOVIMENTAÇÃO OPERACIONAL (132)"</f>
        <v>CAIXA MOVIMENTAÇÃO OPERACIONAL (132)</v>
      </c>
      <c r="T4756">
        <v>19279</v>
      </c>
      <c r="U4756">
        <v>23211</v>
      </c>
      <c r="V4756" t="s">
        <v>48</v>
      </c>
    </row>
    <row r="4757" spans="1:22">
      <c r="A4757" t="str">
        <f t="shared" si="888"/>
        <v>08/10/2025</v>
      </c>
      <c r="B4757" t="str">
        <f>"SAÍDA"</f>
        <v>SAÍDA</v>
      </c>
      <c r="C4757" t="str">
        <f>"PIX"</f>
        <v>PIX</v>
      </c>
      <c r="D4757" t="str">
        <f>"22567"</f>
        <v>22567</v>
      </c>
      <c r="E4757" t="str">
        <f>"1"</f>
        <v>1</v>
      </c>
      <c r="F4757" t="str">
        <f t="shared" si="889"/>
        <v>COM</v>
      </c>
      <c r="G4757" t="str">
        <f>"DEVANILDO PONTES CASAGRANDE (179)"</f>
        <v>DEVANILDO PONTES CASAGRANDE (179)</v>
      </c>
      <c r="H4757" t="s">
        <v>1386</v>
      </c>
      <c r="I4757" t="str">
        <f>("09/10/2025")</f>
        <v>09/10/2025</v>
      </c>
      <c r="J4757" t="str">
        <f>("26/09/2025")</f>
        <v>26/09/2025</v>
      </c>
      <c r="K4757">
        <v>45938</v>
      </c>
      <c r="N4757">
        <v>109</v>
      </c>
      <c r="O4757" t="s">
        <v>24</v>
      </c>
      <c r="Q4757">
        <v>20</v>
      </c>
      <c r="R4757" t="str">
        <f>"FARMÁCIA INDIANA LJ 142 (10066)"</f>
        <v>FARMÁCIA INDIANA LJ 142 (10066)</v>
      </c>
      <c r="S4757" t="s">
        <v>48</v>
      </c>
      <c r="T4757">
        <v>19279</v>
      </c>
      <c r="U4757">
        <v>23211</v>
      </c>
      <c r="V4757" t="s">
        <v>48</v>
      </c>
    </row>
    <row r="4758" spans="1:22">
      <c r="A4758" t="str">
        <f t="shared" si="888"/>
        <v>08/10/2025</v>
      </c>
      <c r="B4758" t="str">
        <f>"ENTRADA"</f>
        <v>ENTRADA</v>
      </c>
      <c r="C4758" t="str">
        <f>"DINHEIRO"</f>
        <v>DINHEIRO</v>
      </c>
      <c r="D4758" t="str">
        <f>"09"</f>
        <v>09</v>
      </c>
      <c r="E4758" t="str">
        <f>"34"</f>
        <v>34</v>
      </c>
      <c r="F4758" t="str">
        <f t="shared" si="889"/>
        <v>COM</v>
      </c>
      <c r="G4758" t="str">
        <f>"DEVANILDO PONTES CASAGRANDE (179)"</f>
        <v>DEVANILDO PONTES CASAGRANDE (179)</v>
      </c>
      <c r="H4758" t="str">
        <f>"DESCONTO COTA COOPERADO"</f>
        <v>DESCONTO COTA COOPERADO</v>
      </c>
      <c r="I4758" t="str">
        <f>("16/10/2025")</f>
        <v>16/10/2025</v>
      </c>
      <c r="J4758" t="str">
        <f>("16/01/2025")</f>
        <v>16/01/2025</v>
      </c>
      <c r="K4758" t="str">
        <f>("08/10/2025")</f>
        <v>08/10/2025</v>
      </c>
      <c r="L4758">
        <v>20</v>
      </c>
      <c r="M4758">
        <v>20</v>
      </c>
      <c r="N4758">
        <v>106</v>
      </c>
      <c r="O4758" t="str">
        <f>"ENTRADA DE CAPITAL"</f>
        <v>ENTRADA DE CAPITAL</v>
      </c>
      <c r="P4758">
        <v>20</v>
      </c>
      <c r="S4758" t="str">
        <f>"ENTRADA DE CAPITAL (106)"</f>
        <v>ENTRADA DE CAPITAL (106)</v>
      </c>
      <c r="T4758">
        <v>19280</v>
      </c>
      <c r="U4758">
        <v>6073</v>
      </c>
      <c r="V4758" t="s">
        <v>48</v>
      </c>
    </row>
    <row r="4759" spans="1:22">
      <c r="A4759" t="str">
        <f t="shared" si="888"/>
        <v>08/10/2025</v>
      </c>
      <c r="B4759" t="str">
        <f>"ENTRADA"</f>
        <v>ENTRADA</v>
      </c>
      <c r="C4759" t="str">
        <f>"DINHEIRO"</f>
        <v>DINHEIRO</v>
      </c>
      <c r="D4759" t="str">
        <f>"09"</f>
        <v>09</v>
      </c>
      <c r="E4759" t="str">
        <f>"34"</f>
        <v>34</v>
      </c>
      <c r="F4759" t="str">
        <f t="shared" si="889"/>
        <v>COM</v>
      </c>
      <c r="G4759" t="str">
        <f>"DEVANILDO PONTES CASAGRANDE (179)"</f>
        <v>DEVANILDO PONTES CASAGRANDE (179)</v>
      </c>
      <c r="H4759" t="s">
        <v>309</v>
      </c>
      <c r="I4759" t="str">
        <f>("16/10/2025")</f>
        <v>16/10/2025</v>
      </c>
      <c r="J4759" t="str">
        <f>("16/01/2025")</f>
        <v>16/01/2025</v>
      </c>
      <c r="K4759">
        <v>45938</v>
      </c>
      <c r="N4759">
        <v>106</v>
      </c>
      <c r="O4759" t="s">
        <v>51</v>
      </c>
      <c r="Q4759">
        <v>20</v>
      </c>
      <c r="R4759" t="str">
        <f>"DEVANILDO PONTES CASAGRANDE (179)"</f>
        <v>DEVANILDO PONTES CASAGRANDE (179)</v>
      </c>
      <c r="S4759" t="s">
        <v>52</v>
      </c>
      <c r="T4759">
        <v>19280</v>
      </c>
      <c r="U4759">
        <v>6073</v>
      </c>
      <c r="V4759" t="s">
        <v>48</v>
      </c>
    </row>
    <row r="4760" spans="1:22">
      <c r="A4760" t="str">
        <f t="shared" si="888"/>
        <v>08/10/2025</v>
      </c>
      <c r="B4760" t="str">
        <f>"SAÍDA"</f>
        <v>SAÍDA</v>
      </c>
      <c r="C4760" t="str">
        <f>"PIX"</f>
        <v>PIX</v>
      </c>
      <c r="D4760" t="str">
        <f>"22568"</f>
        <v>22568</v>
      </c>
      <c r="E4760" t="str">
        <f>"1"</f>
        <v>1</v>
      </c>
      <c r="F4760" t="str">
        <f t="shared" si="889"/>
        <v>COM</v>
      </c>
      <c r="G4760" t="str">
        <f>"DIEGO DAYSON FERNANDES VIEIRA (893)"</f>
        <v>DIEGO DAYSON FERNANDES VIEIRA (893)</v>
      </c>
      <c r="H4760" t="str">
        <f>"Serv.Prest. 22/09/2025 a 25/09/2025 - PIX: E-MAIL - CHAVE: turano296801@gmail.com"</f>
        <v>Serv.Prest. 22/09/2025 a 25/09/2025 - PIX: E-MAIL - CHAVE: turano296801@gmail.com</v>
      </c>
      <c r="I4760" t="str">
        <f>("09/10/2025")</f>
        <v>09/10/2025</v>
      </c>
      <c r="J4760" t="str">
        <f>("26/09/2025")</f>
        <v>26/09/2025</v>
      </c>
      <c r="K4760" t="str">
        <f>("08/10/2025")</f>
        <v>08/10/2025</v>
      </c>
      <c r="L4760">
        <v>20</v>
      </c>
      <c r="M4760">
        <v>20</v>
      </c>
      <c r="N4760">
        <v>109</v>
      </c>
      <c r="O4760" t="str">
        <f>"PAGAMENTO DE ENTREGADORES"</f>
        <v>PAGAMENTO DE ENTREGADORES</v>
      </c>
      <c r="P4760">
        <v>20</v>
      </c>
      <c r="S4760" t="str">
        <f>"CAIXA MOVIMENTAÇÃO OPERACIONAL (132)"</f>
        <v>CAIXA MOVIMENTAÇÃO OPERACIONAL (132)</v>
      </c>
      <c r="T4760">
        <v>19281</v>
      </c>
      <c r="U4760">
        <v>23237</v>
      </c>
      <c r="V4760" t="s">
        <v>48</v>
      </c>
    </row>
    <row r="4761" spans="1:22">
      <c r="A4761" t="str">
        <f t="shared" si="888"/>
        <v>08/10/2025</v>
      </c>
      <c r="B4761" t="str">
        <f>"SAÍDA"</f>
        <v>SAÍDA</v>
      </c>
      <c r="C4761" t="str">
        <f>"PIX"</f>
        <v>PIX</v>
      </c>
      <c r="D4761" t="str">
        <f>"22568"</f>
        <v>22568</v>
      </c>
      <c r="E4761" t="str">
        <f>"1"</f>
        <v>1</v>
      </c>
      <c r="F4761" t="str">
        <f t="shared" si="889"/>
        <v>COM</v>
      </c>
      <c r="G4761" t="str">
        <f>"DIEGO DAYSON FERNANDES VIEIRA (893)"</f>
        <v>DIEGO DAYSON FERNANDES VIEIRA (893)</v>
      </c>
      <c r="H4761" t="s">
        <v>1387</v>
      </c>
      <c r="I4761" t="str">
        <f>("09/10/2025")</f>
        <v>09/10/2025</v>
      </c>
      <c r="J4761" t="str">
        <f>("26/09/2025")</f>
        <v>26/09/2025</v>
      </c>
      <c r="K4761">
        <v>45938</v>
      </c>
      <c r="N4761">
        <v>109</v>
      </c>
      <c r="O4761" t="s">
        <v>24</v>
      </c>
      <c r="Q4761">
        <v>20</v>
      </c>
      <c r="R4761" t="str">
        <f>"FARMÁCIA INDIANA LJ 205 (10150)"</f>
        <v>FARMÁCIA INDIANA LJ 205 (10150)</v>
      </c>
      <c r="S4761" t="s">
        <v>48</v>
      </c>
      <c r="T4761">
        <v>19281</v>
      </c>
      <c r="U4761">
        <v>23237</v>
      </c>
      <c r="V4761" t="s">
        <v>48</v>
      </c>
    </row>
    <row r="4762" spans="1:22">
      <c r="A4762" t="str">
        <f t="shared" si="888"/>
        <v>08/10/2025</v>
      </c>
      <c r="B4762" t="str">
        <f>"ENTRADA"</f>
        <v>ENTRADA</v>
      </c>
      <c r="C4762" t="str">
        <f>"DINHEIRO"</f>
        <v>DINHEIRO</v>
      </c>
      <c r="D4762" t="str">
        <f>"893"</f>
        <v>893</v>
      </c>
      <c r="E4762" t="str">
        <f>"01"</f>
        <v>01</v>
      </c>
      <c r="F4762" t="str">
        <f t="shared" si="889"/>
        <v>COM</v>
      </c>
      <c r="G4762" t="str">
        <f>"DIEGO DAYSON FERNANDES VIEIRA (893)"</f>
        <v>DIEGO DAYSON FERNANDES VIEIRA (893)</v>
      </c>
      <c r="H4762" t="str">
        <f>"COTA COOPERATIVA"</f>
        <v>COTA COOPERATIVA</v>
      </c>
      <c r="I4762" t="str">
        <f>("10/10/2025")</f>
        <v>10/10/2025</v>
      </c>
      <c r="J4762" t="str">
        <f>("11/09/2025")</f>
        <v>11/09/2025</v>
      </c>
      <c r="K4762" t="str">
        <f>("08/10/2025")</f>
        <v>08/10/2025</v>
      </c>
      <c r="L4762">
        <v>20</v>
      </c>
      <c r="M4762">
        <v>20</v>
      </c>
      <c r="N4762">
        <v>106</v>
      </c>
      <c r="O4762" t="str">
        <f>"ENTRADA DE CAPITAL"</f>
        <v>ENTRADA DE CAPITAL</v>
      </c>
      <c r="P4762">
        <v>20</v>
      </c>
      <c r="S4762" t="str">
        <f>"ENTRADA DE CAPITAL (106)"</f>
        <v>ENTRADA DE CAPITAL (106)</v>
      </c>
      <c r="T4762">
        <v>19282</v>
      </c>
      <c r="U4762">
        <v>23212</v>
      </c>
      <c r="V4762" t="s">
        <v>48</v>
      </c>
    </row>
    <row r="4763" spans="1:22">
      <c r="A4763" t="str">
        <f t="shared" si="888"/>
        <v>08/10/2025</v>
      </c>
      <c r="B4763" t="str">
        <f>"ENTRADA"</f>
        <v>ENTRADA</v>
      </c>
      <c r="C4763" t="str">
        <f>"DINHEIRO"</f>
        <v>DINHEIRO</v>
      </c>
      <c r="D4763" t="str">
        <f>"893"</f>
        <v>893</v>
      </c>
      <c r="E4763" t="str">
        <f>"01"</f>
        <v>01</v>
      </c>
      <c r="F4763" t="str">
        <f t="shared" si="889"/>
        <v>COM</v>
      </c>
      <c r="G4763" t="str">
        <f>"DIEGO DAYSON FERNANDES VIEIRA (893)"</f>
        <v>DIEGO DAYSON FERNANDES VIEIRA (893)</v>
      </c>
      <c r="H4763" t="s">
        <v>50</v>
      </c>
      <c r="I4763" t="str">
        <f>("10/10/2025")</f>
        <v>10/10/2025</v>
      </c>
      <c r="J4763" t="str">
        <f>("11/09/2025")</f>
        <v>11/09/2025</v>
      </c>
      <c r="K4763">
        <v>45938</v>
      </c>
      <c r="N4763">
        <v>106</v>
      </c>
      <c r="O4763" t="s">
        <v>51</v>
      </c>
      <c r="Q4763">
        <v>20</v>
      </c>
      <c r="R4763" t="str">
        <f>"DIEGO DAYSON FERNANDES VIEIRA (893)"</f>
        <v>DIEGO DAYSON FERNANDES VIEIRA (893)</v>
      </c>
      <c r="S4763" t="s">
        <v>52</v>
      </c>
      <c r="T4763">
        <v>19282</v>
      </c>
      <c r="U4763">
        <v>23212</v>
      </c>
      <c r="V4763" t="s">
        <v>48</v>
      </c>
    </row>
    <row r="4764" spans="1:22">
      <c r="A4764" t="str">
        <f t="shared" si="888"/>
        <v>08/10/2025</v>
      </c>
      <c r="B4764" t="str">
        <f>"SAÍDA"</f>
        <v>SAÍDA</v>
      </c>
      <c r="C4764" t="str">
        <f>"PIX"</f>
        <v>PIX</v>
      </c>
      <c r="D4764" t="str">
        <f>"23051"</f>
        <v>23051</v>
      </c>
      <c r="E4764" t="str">
        <f>"1"</f>
        <v>1</v>
      </c>
      <c r="F4764" t="str">
        <f t="shared" si="889"/>
        <v>COM</v>
      </c>
      <c r="G4764" t="str">
        <f>"EDNUBIA RAMOS ALVES OLIVEIRA (899)"</f>
        <v>EDNUBIA RAMOS ALVES OLIVEIRA (899)</v>
      </c>
      <c r="H4764" t="str">
        <f>"Serv.Prest. 29/09/2025 a 05/10/2025 - PIX: CELULAR - CHAVE: (71) 99214-9256"</f>
        <v>Serv.Prest. 29/09/2025 a 05/10/2025 - PIX: CELULAR - CHAVE: (71) 99214-9256</v>
      </c>
      <c r="I4764" t="str">
        <f>("09/10/2025")</f>
        <v>09/10/2025</v>
      </c>
      <c r="J4764" t="str">
        <f>("07/10/2025")</f>
        <v>07/10/2025</v>
      </c>
      <c r="K4764" t="str">
        <f>("08/10/2025")</f>
        <v>08/10/2025</v>
      </c>
      <c r="L4764">
        <v>20</v>
      </c>
      <c r="M4764">
        <v>20</v>
      </c>
      <c r="N4764">
        <v>109</v>
      </c>
      <c r="O4764" t="str">
        <f>"PAGAMENTO DE ENTREGADORES"</f>
        <v>PAGAMENTO DE ENTREGADORES</v>
      </c>
      <c r="P4764">
        <v>20</v>
      </c>
      <c r="S4764" t="str">
        <f>"CAIXA MOVIMENTAÇÃO OPERACIONAL (132)"</f>
        <v>CAIXA MOVIMENTAÇÃO OPERACIONAL (132)</v>
      </c>
      <c r="T4764">
        <v>19283</v>
      </c>
      <c r="U4764">
        <v>23238</v>
      </c>
      <c r="V4764" t="s">
        <v>48</v>
      </c>
    </row>
    <row r="4765" spans="1:22">
      <c r="A4765" t="str">
        <f t="shared" si="888"/>
        <v>08/10/2025</v>
      </c>
      <c r="B4765" t="str">
        <f>"SAÍDA"</f>
        <v>SAÍDA</v>
      </c>
      <c r="C4765" t="str">
        <f>"PIX"</f>
        <v>PIX</v>
      </c>
      <c r="D4765" t="str">
        <f>"23051"</f>
        <v>23051</v>
      </c>
      <c r="E4765" t="str">
        <f>"1"</f>
        <v>1</v>
      </c>
      <c r="F4765" t="str">
        <f t="shared" si="889"/>
        <v>COM</v>
      </c>
      <c r="G4765" t="str">
        <f>"EDNUBIA RAMOS ALVES OLIVEIRA (899)"</f>
        <v>EDNUBIA RAMOS ALVES OLIVEIRA (899)</v>
      </c>
      <c r="H4765" t="s">
        <v>1388</v>
      </c>
      <c r="I4765" t="str">
        <f>("09/10/2025")</f>
        <v>09/10/2025</v>
      </c>
      <c r="J4765" t="str">
        <f>("07/10/2025")</f>
        <v>07/10/2025</v>
      </c>
      <c r="K4765">
        <v>45938</v>
      </c>
      <c r="N4765">
        <v>109</v>
      </c>
      <c r="O4765" t="s">
        <v>24</v>
      </c>
      <c r="Q4765">
        <v>20</v>
      </c>
      <c r="R4765" t="str">
        <f>"DELTA LOJA 2 (10123)"</f>
        <v>DELTA LOJA 2 (10123)</v>
      </c>
      <c r="S4765" t="s">
        <v>48</v>
      </c>
      <c r="T4765">
        <v>19283</v>
      </c>
      <c r="U4765">
        <v>23238</v>
      </c>
      <c r="V4765" t="s">
        <v>48</v>
      </c>
    </row>
    <row r="4766" spans="1:22">
      <c r="A4766" t="str">
        <f t="shared" si="888"/>
        <v>08/10/2025</v>
      </c>
      <c r="B4766" t="str">
        <f>"ENTRADA"</f>
        <v>ENTRADA</v>
      </c>
      <c r="C4766" t="str">
        <f>"DINHEIRO"</f>
        <v>DINHEIRO</v>
      </c>
      <c r="D4766" t="str">
        <f>"899"</f>
        <v>899</v>
      </c>
      <c r="E4766" t="str">
        <f>"2"</f>
        <v>2</v>
      </c>
      <c r="F4766" t="str">
        <f t="shared" si="889"/>
        <v>COM</v>
      </c>
      <c r="G4766" t="str">
        <f>"EDNUBIA RAMOS ALVES OLIVEIRA (899)"</f>
        <v>EDNUBIA RAMOS ALVES OLIVEIRA (899)</v>
      </c>
      <c r="H4766" t="str">
        <f>"COTA COOPERATIVA"</f>
        <v>COTA COOPERATIVA</v>
      </c>
      <c r="I4766" t="str">
        <f>("10/10/2025")</f>
        <v>10/10/2025</v>
      </c>
      <c r="J4766" t="str">
        <f>("04/08/2025")</f>
        <v>04/08/2025</v>
      </c>
      <c r="K4766" t="str">
        <f>("08/10/2025")</f>
        <v>08/10/2025</v>
      </c>
      <c r="L4766">
        <v>20</v>
      </c>
      <c r="M4766">
        <v>20</v>
      </c>
      <c r="N4766">
        <v>106</v>
      </c>
      <c r="O4766" t="str">
        <f>"ENTRADA DE CAPITAL"</f>
        <v>ENTRADA DE CAPITAL</v>
      </c>
      <c r="P4766">
        <v>20</v>
      </c>
      <c r="S4766" t="str">
        <f>"ENTRADA DE CAPITAL (106)"</f>
        <v>ENTRADA DE CAPITAL (106)</v>
      </c>
      <c r="T4766">
        <v>19284</v>
      </c>
      <c r="U4766">
        <v>21765</v>
      </c>
      <c r="V4766" t="s">
        <v>48</v>
      </c>
    </row>
    <row r="4767" spans="1:22">
      <c r="A4767" t="str">
        <f t="shared" si="888"/>
        <v>08/10/2025</v>
      </c>
      <c r="B4767" t="str">
        <f>"ENTRADA"</f>
        <v>ENTRADA</v>
      </c>
      <c r="C4767" t="str">
        <f>"DINHEIRO"</f>
        <v>DINHEIRO</v>
      </c>
      <c r="D4767" t="str">
        <f>"899"</f>
        <v>899</v>
      </c>
      <c r="E4767" t="str">
        <f>"2"</f>
        <v>2</v>
      </c>
      <c r="F4767" t="str">
        <f t="shared" si="889"/>
        <v>COM</v>
      </c>
      <c r="G4767" t="str">
        <f>"EDNUBIA RAMOS ALVES OLIVEIRA (899)"</f>
        <v>EDNUBIA RAMOS ALVES OLIVEIRA (899)</v>
      </c>
      <c r="H4767" t="s">
        <v>50</v>
      </c>
      <c r="I4767" t="str">
        <f>("10/10/2025")</f>
        <v>10/10/2025</v>
      </c>
      <c r="J4767" t="str">
        <f>("04/08/2025")</f>
        <v>04/08/2025</v>
      </c>
      <c r="K4767">
        <v>45938</v>
      </c>
      <c r="N4767">
        <v>106</v>
      </c>
      <c r="O4767" t="s">
        <v>51</v>
      </c>
      <c r="Q4767">
        <v>20</v>
      </c>
      <c r="R4767" t="str">
        <f>"EDNUBIA RAMOS ALVES OLIVEIRA (899)"</f>
        <v>EDNUBIA RAMOS ALVES OLIVEIRA (899)</v>
      </c>
      <c r="S4767" t="s">
        <v>52</v>
      </c>
      <c r="T4767">
        <v>19284</v>
      </c>
      <c r="U4767">
        <v>21765</v>
      </c>
      <c r="V4767" t="s">
        <v>48</v>
      </c>
    </row>
    <row r="4768" spans="1:22">
      <c r="A4768" t="str">
        <f t="shared" si="888"/>
        <v>08/10/2025</v>
      </c>
      <c r="B4768" t="str">
        <f>"SAÍDA"</f>
        <v>SAÍDA</v>
      </c>
      <c r="C4768" t="str">
        <f>"PIX"</f>
        <v>PIX</v>
      </c>
      <c r="D4768" t="str">
        <f>"22572"</f>
        <v>22572</v>
      </c>
      <c r="E4768" t="str">
        <f>"1"</f>
        <v>1</v>
      </c>
      <c r="F4768" t="str">
        <f t="shared" si="889"/>
        <v>COM</v>
      </c>
      <c r="G4768" t="str">
        <f>"EDSON JUNIOR FERREIRA DA SILVA (99)"</f>
        <v>EDSON JUNIOR FERREIRA DA SILVA (99)</v>
      </c>
      <c r="H4768" t="str">
        <f>"Serv.Prest. 22/09/2025 a 25/09/2025 - PIX: CPF - CHAVE: 141.134.256-98"</f>
        <v>Serv.Prest. 22/09/2025 a 25/09/2025 - PIX: CPF - CHAVE: 141.134.256-98</v>
      </c>
      <c r="I4768" t="str">
        <f>("09/10/2025")</f>
        <v>09/10/2025</v>
      </c>
      <c r="J4768" t="str">
        <f>("26/09/2025")</f>
        <v>26/09/2025</v>
      </c>
      <c r="K4768" t="str">
        <f>("08/10/2025")</f>
        <v>08/10/2025</v>
      </c>
      <c r="L4768">
        <v>20</v>
      </c>
      <c r="M4768">
        <v>20</v>
      </c>
      <c r="N4768">
        <v>109</v>
      </c>
      <c r="O4768" t="str">
        <f>"PAGAMENTO DE ENTREGADORES"</f>
        <v>PAGAMENTO DE ENTREGADORES</v>
      </c>
      <c r="P4768">
        <v>20</v>
      </c>
      <c r="S4768" t="str">
        <f>"CAIXA MOVIMENTAÇÃO OPERACIONAL (132)"</f>
        <v>CAIXA MOVIMENTAÇÃO OPERACIONAL (132)</v>
      </c>
      <c r="T4768">
        <v>19285</v>
      </c>
      <c r="U4768">
        <v>23239</v>
      </c>
      <c r="V4768" t="s">
        <v>48</v>
      </c>
    </row>
    <row r="4769" spans="1:22">
      <c r="A4769" t="str">
        <f t="shared" si="888"/>
        <v>08/10/2025</v>
      </c>
      <c r="B4769" t="str">
        <f>"SAÍDA"</f>
        <v>SAÍDA</v>
      </c>
      <c r="C4769" t="str">
        <f>"PIX"</f>
        <v>PIX</v>
      </c>
      <c r="D4769" t="str">
        <f>"22572"</f>
        <v>22572</v>
      </c>
      <c r="E4769" t="str">
        <f>"1"</f>
        <v>1</v>
      </c>
      <c r="F4769" t="str">
        <f t="shared" si="889"/>
        <v>COM</v>
      </c>
      <c r="G4769" t="str">
        <f>"EDSON JUNIOR FERREIRA DA SILVA (99)"</f>
        <v>EDSON JUNIOR FERREIRA DA SILVA (99)</v>
      </c>
      <c r="H4769" t="s">
        <v>1389</v>
      </c>
      <c r="I4769" t="str">
        <f>("09/10/2025")</f>
        <v>09/10/2025</v>
      </c>
      <c r="J4769" t="str">
        <f>("26/09/2025")</f>
        <v>26/09/2025</v>
      </c>
      <c r="K4769">
        <v>45938</v>
      </c>
      <c r="N4769">
        <v>109</v>
      </c>
      <c r="O4769" t="s">
        <v>24</v>
      </c>
      <c r="Q4769">
        <v>20</v>
      </c>
      <c r="R4769" t="str">
        <f>"FARMÁCIA INDIANA LJ 100 (10042)"</f>
        <v>FARMÁCIA INDIANA LJ 100 (10042)</v>
      </c>
      <c r="S4769" t="s">
        <v>48</v>
      </c>
      <c r="T4769">
        <v>19285</v>
      </c>
      <c r="U4769">
        <v>23239</v>
      </c>
      <c r="V4769" t="s">
        <v>48</v>
      </c>
    </row>
    <row r="4770" spans="1:22">
      <c r="A4770" t="str">
        <f t="shared" si="888"/>
        <v>08/10/2025</v>
      </c>
      <c r="B4770" t="str">
        <f>"ENTRADA"</f>
        <v>ENTRADA</v>
      </c>
      <c r="C4770" t="str">
        <f>"DINHEIRO"</f>
        <v>DINHEIRO</v>
      </c>
      <c r="D4770" t="str">
        <f>"09"</f>
        <v>09</v>
      </c>
      <c r="E4770" t="str">
        <f>"34"</f>
        <v>34</v>
      </c>
      <c r="F4770" t="str">
        <f t="shared" si="889"/>
        <v>COM</v>
      </c>
      <c r="G4770" t="str">
        <f>"EDSON JUNIOR FERREIRA DA SILVA (99)"</f>
        <v>EDSON JUNIOR FERREIRA DA SILVA (99)</v>
      </c>
      <c r="H4770" t="str">
        <f>"DESCONTO COTA COOPERADO"</f>
        <v>DESCONTO COTA COOPERADO</v>
      </c>
      <c r="I4770" t="str">
        <f>("16/10/2025")</f>
        <v>16/10/2025</v>
      </c>
      <c r="J4770" t="str">
        <f>("16/01/2025")</f>
        <v>16/01/2025</v>
      </c>
      <c r="K4770" t="str">
        <f>("08/10/2025")</f>
        <v>08/10/2025</v>
      </c>
      <c r="L4770">
        <v>20</v>
      </c>
      <c r="M4770">
        <v>20</v>
      </c>
      <c r="N4770">
        <v>106</v>
      </c>
      <c r="O4770" t="str">
        <f>"ENTRADA DE CAPITAL"</f>
        <v>ENTRADA DE CAPITAL</v>
      </c>
      <c r="P4770">
        <v>20</v>
      </c>
      <c r="S4770" t="str">
        <f>"ENTRADA DE CAPITAL (106)"</f>
        <v>ENTRADA DE CAPITAL (106)</v>
      </c>
      <c r="T4770">
        <v>19286</v>
      </c>
      <c r="U4770">
        <v>6123</v>
      </c>
      <c r="V4770" t="s">
        <v>48</v>
      </c>
    </row>
    <row r="4771" spans="1:22">
      <c r="A4771" t="str">
        <f t="shared" si="888"/>
        <v>08/10/2025</v>
      </c>
      <c r="B4771" t="str">
        <f>"ENTRADA"</f>
        <v>ENTRADA</v>
      </c>
      <c r="C4771" t="str">
        <f>"DINHEIRO"</f>
        <v>DINHEIRO</v>
      </c>
      <c r="D4771" t="str">
        <f>"09"</f>
        <v>09</v>
      </c>
      <c r="E4771" t="str">
        <f>"34"</f>
        <v>34</v>
      </c>
      <c r="F4771" t="str">
        <f t="shared" si="889"/>
        <v>COM</v>
      </c>
      <c r="G4771" t="str">
        <f>"EDSON JUNIOR FERREIRA DA SILVA (99)"</f>
        <v>EDSON JUNIOR FERREIRA DA SILVA (99)</v>
      </c>
      <c r="H4771" t="s">
        <v>309</v>
      </c>
      <c r="I4771" t="str">
        <f>("16/10/2025")</f>
        <v>16/10/2025</v>
      </c>
      <c r="J4771" t="str">
        <f>("16/01/2025")</f>
        <v>16/01/2025</v>
      </c>
      <c r="K4771">
        <v>45938</v>
      </c>
      <c r="N4771">
        <v>106</v>
      </c>
      <c r="O4771" t="s">
        <v>51</v>
      </c>
      <c r="Q4771">
        <v>20</v>
      </c>
      <c r="R4771" t="str">
        <f>"EDSON JUNIOR FERREIRA DA SILVA (99)"</f>
        <v>EDSON JUNIOR FERREIRA DA SILVA (99)</v>
      </c>
      <c r="S4771" t="s">
        <v>52</v>
      </c>
      <c r="T4771">
        <v>19286</v>
      </c>
      <c r="U4771">
        <v>6123</v>
      </c>
      <c r="V4771" t="s">
        <v>48</v>
      </c>
    </row>
    <row r="4772" spans="1:22">
      <c r="A4772" t="str">
        <f t="shared" si="888"/>
        <v>08/10/2025</v>
      </c>
      <c r="B4772" t="str">
        <f>"SAÍDA"</f>
        <v>SAÍDA</v>
      </c>
      <c r="C4772" t="str">
        <f>"PIX"</f>
        <v>PIX</v>
      </c>
      <c r="D4772" t="str">
        <f>"22809"</f>
        <v>22809</v>
      </c>
      <c r="E4772" t="str">
        <f>"1"</f>
        <v>1</v>
      </c>
      <c r="F4772" t="str">
        <f t="shared" si="889"/>
        <v>COM</v>
      </c>
      <c r="G4772" t="str">
        <f>"EDUARDO COSTA DA SILVA (721)"</f>
        <v>EDUARDO COSTA DA SILVA (721)</v>
      </c>
      <c r="H4772" t="str">
        <f>"Serv.Prest. 29/09/2025 a 05/10/2025 - PIX: CELULAR - CHAVE: (11) 95552-9905"</f>
        <v>Serv.Prest. 29/09/2025 a 05/10/2025 - PIX: CELULAR - CHAVE: (11) 95552-9905</v>
      </c>
      <c r="I4772" t="str">
        <f>("09/10/2025")</f>
        <v>09/10/2025</v>
      </c>
      <c r="J4772" t="str">
        <f>("06/10/2025")</f>
        <v>06/10/2025</v>
      </c>
      <c r="K4772" t="str">
        <f>("08/10/2025")</f>
        <v>08/10/2025</v>
      </c>
      <c r="L4772">
        <v>20</v>
      </c>
      <c r="M4772">
        <v>20</v>
      </c>
      <c r="N4772">
        <v>109</v>
      </c>
      <c r="O4772" t="str">
        <f>"PAGAMENTO DE ENTREGADORES"</f>
        <v>PAGAMENTO DE ENTREGADORES</v>
      </c>
      <c r="P4772">
        <v>20</v>
      </c>
      <c r="S4772" t="str">
        <f>"CAIXA MOVIMENTAÇÃO OPERACIONAL (132)"</f>
        <v>CAIXA MOVIMENTAÇÃO OPERACIONAL (132)</v>
      </c>
      <c r="T4772">
        <v>19287</v>
      </c>
      <c r="U4772">
        <v>23240</v>
      </c>
      <c r="V4772" t="s">
        <v>48</v>
      </c>
    </row>
    <row r="4773" spans="1:22">
      <c r="A4773" t="str">
        <f t="shared" si="888"/>
        <v>08/10/2025</v>
      </c>
      <c r="B4773" t="str">
        <f>"SAÍDA"</f>
        <v>SAÍDA</v>
      </c>
      <c r="C4773" t="str">
        <f>"PIX"</f>
        <v>PIX</v>
      </c>
      <c r="D4773" t="str">
        <f>"22809"</f>
        <v>22809</v>
      </c>
      <c r="E4773" t="str">
        <f>"1"</f>
        <v>1</v>
      </c>
      <c r="F4773" t="str">
        <f t="shared" si="889"/>
        <v>COM</v>
      </c>
      <c r="G4773" t="str">
        <f>"EDUARDO COSTA DA SILVA (721)"</f>
        <v>EDUARDO COSTA DA SILVA (721)</v>
      </c>
      <c r="H4773" t="s">
        <v>1390</v>
      </c>
      <c r="I4773" t="str">
        <f>("09/10/2025")</f>
        <v>09/10/2025</v>
      </c>
      <c r="J4773" t="str">
        <f>("06/10/2025")</f>
        <v>06/10/2025</v>
      </c>
      <c r="K4773">
        <v>45938</v>
      </c>
      <c r="N4773">
        <v>109</v>
      </c>
      <c r="O4773" t="s">
        <v>24</v>
      </c>
      <c r="Q4773">
        <v>20</v>
      </c>
      <c r="R4773" t="str">
        <f>"DROGARIA AGAPEAMA (10167)"</f>
        <v>DROGARIA AGAPEAMA (10167)</v>
      </c>
      <c r="S4773" t="s">
        <v>48</v>
      </c>
      <c r="T4773">
        <v>19287</v>
      </c>
      <c r="U4773">
        <v>23240</v>
      </c>
      <c r="V4773" t="s">
        <v>48</v>
      </c>
    </row>
    <row r="4774" spans="1:22">
      <c r="A4774" t="str">
        <f t="shared" si="888"/>
        <v>08/10/2025</v>
      </c>
      <c r="B4774" t="str">
        <f>"ENTRADA"</f>
        <v>ENTRADA</v>
      </c>
      <c r="C4774" t="str">
        <f>"DINHEIRO"</f>
        <v>DINHEIRO</v>
      </c>
      <c r="D4774" t="str">
        <f>"721"</f>
        <v>721</v>
      </c>
      <c r="E4774" t="str">
        <f>"4"</f>
        <v>4</v>
      </c>
      <c r="F4774" t="str">
        <f t="shared" si="889"/>
        <v>COM</v>
      </c>
      <c r="G4774" t="str">
        <f>"EDUARDO COSTA DA SILVA (721)"</f>
        <v>EDUARDO COSTA DA SILVA (721)</v>
      </c>
      <c r="H4774" t="str">
        <f>"COTA COOPERATIVA"</f>
        <v>COTA COOPERATIVA</v>
      </c>
      <c r="I4774" t="str">
        <f>("10/10/2025")</f>
        <v>10/10/2025</v>
      </c>
      <c r="J4774" t="str">
        <f>("01/04/2025")</f>
        <v>01/04/2025</v>
      </c>
      <c r="K4774" t="str">
        <f>("08/10/2025")</f>
        <v>08/10/2025</v>
      </c>
      <c r="L4774">
        <v>20</v>
      </c>
      <c r="M4774">
        <v>20</v>
      </c>
      <c r="N4774">
        <v>106</v>
      </c>
      <c r="O4774" t="str">
        <f>"ENTRADA DE CAPITAL"</f>
        <v>ENTRADA DE CAPITAL</v>
      </c>
      <c r="P4774">
        <v>20</v>
      </c>
      <c r="S4774" t="str">
        <f>"ENTRADA DE CAPITAL (106)"</f>
        <v>ENTRADA DE CAPITAL (106)</v>
      </c>
      <c r="T4774">
        <v>19288</v>
      </c>
      <c r="U4774">
        <v>18137</v>
      </c>
      <c r="V4774" t="s">
        <v>48</v>
      </c>
    </row>
    <row r="4775" spans="1:22">
      <c r="A4775" t="str">
        <f t="shared" si="888"/>
        <v>08/10/2025</v>
      </c>
      <c r="B4775" t="str">
        <f>"ENTRADA"</f>
        <v>ENTRADA</v>
      </c>
      <c r="C4775" t="str">
        <f>"DINHEIRO"</f>
        <v>DINHEIRO</v>
      </c>
      <c r="D4775" t="str">
        <f>"721"</f>
        <v>721</v>
      </c>
      <c r="E4775" t="str">
        <f>"4"</f>
        <v>4</v>
      </c>
      <c r="F4775" t="str">
        <f t="shared" si="889"/>
        <v>COM</v>
      </c>
      <c r="G4775" t="str">
        <f>"EDUARDO COSTA DA SILVA (721)"</f>
        <v>EDUARDO COSTA DA SILVA (721)</v>
      </c>
      <c r="H4775" t="s">
        <v>50</v>
      </c>
      <c r="I4775" t="str">
        <f>("10/10/2025")</f>
        <v>10/10/2025</v>
      </c>
      <c r="J4775" t="str">
        <f>("01/04/2025")</f>
        <v>01/04/2025</v>
      </c>
      <c r="K4775">
        <v>45938</v>
      </c>
      <c r="N4775">
        <v>106</v>
      </c>
      <c r="O4775" t="s">
        <v>51</v>
      </c>
      <c r="Q4775">
        <v>20</v>
      </c>
      <c r="R4775" t="str">
        <f>"EDUARDO COSTA DA SILVA (721)"</f>
        <v>EDUARDO COSTA DA SILVA (721)</v>
      </c>
      <c r="S4775" t="s">
        <v>52</v>
      </c>
      <c r="T4775">
        <v>19288</v>
      </c>
      <c r="U4775">
        <v>18137</v>
      </c>
      <c r="V4775" t="s">
        <v>48</v>
      </c>
    </row>
    <row r="4776" spans="1:22">
      <c r="A4776" t="str">
        <f t="shared" si="888"/>
        <v>08/10/2025</v>
      </c>
      <c r="B4776" t="str">
        <f>"ENTRADA"</f>
        <v>ENTRADA</v>
      </c>
      <c r="C4776" t="str">
        <f>"DINHEIRO"</f>
        <v>DINHEIRO</v>
      </c>
      <c r="D4776" t="str">
        <f>"787"</f>
        <v>787</v>
      </c>
      <c r="E4776" t="str">
        <f>"6"</f>
        <v>6</v>
      </c>
      <c r="F4776" t="str">
        <f t="shared" si="889"/>
        <v>COM</v>
      </c>
      <c r="G4776" t="str">
        <f>"EDUARDO MARQUES DOS SANTOS (787)"</f>
        <v>EDUARDO MARQUES DOS SANTOS (787)</v>
      </c>
      <c r="H4776" t="str">
        <f>"COTAS COOPERATIVA"</f>
        <v>COTAS COOPERATIVA</v>
      </c>
      <c r="I4776" t="str">
        <f>("08/10/2025")</f>
        <v>08/10/2025</v>
      </c>
      <c r="J4776" t="str">
        <f>("28/04/2025")</f>
        <v>28/04/2025</v>
      </c>
      <c r="K4776" t="str">
        <f>("08/10/2025")</f>
        <v>08/10/2025</v>
      </c>
      <c r="L4776">
        <v>20</v>
      </c>
      <c r="M4776">
        <v>20</v>
      </c>
      <c r="N4776">
        <v>106</v>
      </c>
      <c r="O4776" t="str">
        <f>"ENTRADA DE CAPITAL"</f>
        <v>ENTRADA DE CAPITAL</v>
      </c>
      <c r="P4776">
        <v>20</v>
      </c>
      <c r="S4776" t="str">
        <f>"ENTRADA DE CAPITAL (106)"</f>
        <v>ENTRADA DE CAPITAL (106)</v>
      </c>
      <c r="T4776">
        <v>19289</v>
      </c>
      <c r="U4776">
        <v>13876</v>
      </c>
      <c r="V4776" t="s">
        <v>48</v>
      </c>
    </row>
    <row r="4777" spans="1:22">
      <c r="A4777" t="str">
        <f t="shared" si="888"/>
        <v>08/10/2025</v>
      </c>
      <c r="B4777" t="str">
        <f>"ENTRADA"</f>
        <v>ENTRADA</v>
      </c>
      <c r="C4777" t="str">
        <f>"DINHEIRO"</f>
        <v>DINHEIRO</v>
      </c>
      <c r="D4777" t="str">
        <f>"787"</f>
        <v>787</v>
      </c>
      <c r="E4777" t="str">
        <f>"6"</f>
        <v>6</v>
      </c>
      <c r="F4777" t="str">
        <f t="shared" si="889"/>
        <v>COM</v>
      </c>
      <c r="G4777" t="str">
        <f>"EDUARDO MARQUES DOS SANTOS (787)"</f>
        <v>EDUARDO MARQUES DOS SANTOS (787)</v>
      </c>
      <c r="H4777" t="s">
        <v>318</v>
      </c>
      <c r="I4777" t="str">
        <f>("08/10/2025")</f>
        <v>08/10/2025</v>
      </c>
      <c r="J4777" t="str">
        <f>("28/04/2025")</f>
        <v>28/04/2025</v>
      </c>
      <c r="K4777">
        <v>45938</v>
      </c>
      <c r="N4777">
        <v>106</v>
      </c>
      <c r="O4777" t="s">
        <v>51</v>
      </c>
      <c r="Q4777">
        <v>20</v>
      </c>
      <c r="R4777" t="str">
        <f>"EDUARDO MARQUES DOS SANTOS (787)"</f>
        <v>EDUARDO MARQUES DOS SANTOS (787)</v>
      </c>
      <c r="S4777" t="s">
        <v>52</v>
      </c>
      <c r="T4777">
        <v>19289</v>
      </c>
      <c r="U4777">
        <v>13876</v>
      </c>
      <c r="V4777" t="s">
        <v>48</v>
      </c>
    </row>
    <row r="4778" spans="1:22">
      <c r="A4778" t="str">
        <f t="shared" si="888"/>
        <v>08/10/2025</v>
      </c>
      <c r="B4778" t="str">
        <f>"SAÍDA"</f>
        <v>SAÍDA</v>
      </c>
      <c r="C4778" t="str">
        <f>"PIX"</f>
        <v>PIX</v>
      </c>
      <c r="D4778" t="str">
        <f>"22862"</f>
        <v>22862</v>
      </c>
      <c r="E4778" t="str">
        <f>"1"</f>
        <v>1</v>
      </c>
      <c r="F4778" t="str">
        <f t="shared" si="889"/>
        <v>COM</v>
      </c>
      <c r="G4778" t="str">
        <f>"EDUARDO MARQUES DOS SANTOS (787)"</f>
        <v>EDUARDO MARQUES DOS SANTOS (787)</v>
      </c>
      <c r="H4778" t="str">
        <f>"Serv.Prest. 29/09/2025 a 05/10/2025 - PIX: CELULAR - CHAVE: (11) 97402-1586"</f>
        <v>Serv.Prest. 29/09/2025 a 05/10/2025 - PIX: CELULAR - CHAVE: (11) 97402-1586</v>
      </c>
      <c r="I4778" t="str">
        <f>("09/10/2025")</f>
        <v>09/10/2025</v>
      </c>
      <c r="J4778" t="str">
        <f>("06/10/2025")</f>
        <v>06/10/2025</v>
      </c>
      <c r="K4778" t="str">
        <f>("08/10/2025")</f>
        <v>08/10/2025</v>
      </c>
      <c r="L4778">
        <v>20</v>
      </c>
      <c r="M4778">
        <v>20</v>
      </c>
      <c r="N4778">
        <v>109</v>
      </c>
      <c r="O4778" t="str">
        <f>"PAGAMENTO DE ENTREGADORES"</f>
        <v>PAGAMENTO DE ENTREGADORES</v>
      </c>
      <c r="P4778">
        <v>20</v>
      </c>
      <c r="S4778" t="str">
        <f>"CAIXA MOVIMENTAÇÃO OPERACIONAL (132)"</f>
        <v>CAIXA MOVIMENTAÇÃO OPERACIONAL (132)</v>
      </c>
      <c r="T4778">
        <v>19290</v>
      </c>
      <c r="U4778">
        <v>23241</v>
      </c>
      <c r="V4778" t="s">
        <v>48</v>
      </c>
    </row>
    <row r="4779" spans="1:22">
      <c r="A4779" t="str">
        <f t="shared" si="888"/>
        <v>08/10/2025</v>
      </c>
      <c r="B4779" t="str">
        <f>"SAÍDA"</f>
        <v>SAÍDA</v>
      </c>
      <c r="C4779" t="str">
        <f>"PIX"</f>
        <v>PIX</v>
      </c>
      <c r="D4779" t="str">
        <f>"22862"</f>
        <v>22862</v>
      </c>
      <c r="E4779" t="str">
        <f>"1"</f>
        <v>1</v>
      </c>
      <c r="F4779" t="str">
        <f t="shared" si="889"/>
        <v>COM</v>
      </c>
      <c r="G4779" t="str">
        <f>"EDUARDO MARQUES DOS SANTOS (787)"</f>
        <v>EDUARDO MARQUES DOS SANTOS (787)</v>
      </c>
      <c r="H4779" t="s">
        <v>1391</v>
      </c>
      <c r="I4779" t="str">
        <f>("09/10/2025")</f>
        <v>09/10/2025</v>
      </c>
      <c r="J4779" t="str">
        <f>("06/10/2025")</f>
        <v>06/10/2025</v>
      </c>
      <c r="K4779">
        <v>45938</v>
      </c>
      <c r="N4779">
        <v>109</v>
      </c>
      <c r="O4779" t="s">
        <v>24</v>
      </c>
      <c r="Q4779">
        <v>20</v>
      </c>
      <c r="R4779" t="str">
        <f>"DROGARIA MORENO LTDA (10171)"</f>
        <v>DROGARIA MORENO LTDA (10171)</v>
      </c>
      <c r="S4779" t="s">
        <v>48</v>
      </c>
      <c r="T4779">
        <v>19290</v>
      </c>
      <c r="U4779">
        <v>23241</v>
      </c>
      <c r="V4779" t="s">
        <v>48</v>
      </c>
    </row>
    <row r="4780" spans="1:22">
      <c r="A4780" t="str">
        <f t="shared" si="888"/>
        <v>08/10/2025</v>
      </c>
      <c r="B4780" t="str">
        <f>"ENTRADA"</f>
        <v>ENTRADA</v>
      </c>
      <c r="C4780" t="str">
        <f>"DINHEIRO"</f>
        <v>DINHEIRO</v>
      </c>
      <c r="D4780" t="str">
        <f>"25"</f>
        <v>25</v>
      </c>
      <c r="E4780" t="str">
        <f>"7"</f>
        <v>7</v>
      </c>
      <c r="F4780" t="str">
        <f t="shared" si="889"/>
        <v>COM</v>
      </c>
      <c r="G4780" t="str">
        <f>"EDUARDO SILVA DE JESUS (143)"</f>
        <v>EDUARDO SILVA DE JESUS (143)</v>
      </c>
      <c r="H4780" t="str">
        <f>"COTA COOPERATIVA"</f>
        <v>COTA COOPERATIVA</v>
      </c>
      <c r="I4780" t="str">
        <f>("10/10/2025")</f>
        <v>10/10/2025</v>
      </c>
      <c r="J4780" t="str">
        <f>("10/04/2025")</f>
        <v>10/04/2025</v>
      </c>
      <c r="K4780" t="str">
        <f>("08/10/2025")</f>
        <v>08/10/2025</v>
      </c>
      <c r="L4780">
        <v>20</v>
      </c>
      <c r="M4780">
        <v>20</v>
      </c>
      <c r="N4780">
        <v>106</v>
      </c>
      <c r="O4780" t="str">
        <f>"ENTRADA DE CAPITAL"</f>
        <v>ENTRADA DE CAPITAL</v>
      </c>
      <c r="P4780">
        <v>20</v>
      </c>
      <c r="S4780" t="str">
        <f>"ENTRADA DE CAPITAL (106)"</f>
        <v>ENTRADA DE CAPITAL (106)</v>
      </c>
      <c r="T4780">
        <v>19291</v>
      </c>
      <c r="U4780">
        <v>12227</v>
      </c>
      <c r="V4780" t="s">
        <v>48</v>
      </c>
    </row>
    <row r="4781" spans="1:22">
      <c r="A4781" t="str">
        <f t="shared" si="888"/>
        <v>08/10/2025</v>
      </c>
      <c r="B4781" t="str">
        <f>"ENTRADA"</f>
        <v>ENTRADA</v>
      </c>
      <c r="C4781" t="str">
        <f>"DINHEIRO"</f>
        <v>DINHEIRO</v>
      </c>
      <c r="D4781" t="str">
        <f>"25"</f>
        <v>25</v>
      </c>
      <c r="E4781" t="str">
        <f>"7"</f>
        <v>7</v>
      </c>
      <c r="F4781" t="str">
        <f t="shared" si="889"/>
        <v>COM</v>
      </c>
      <c r="G4781" t="str">
        <f>"EDUARDO SILVA DE JESUS (143)"</f>
        <v>EDUARDO SILVA DE JESUS (143)</v>
      </c>
      <c r="H4781" t="s">
        <v>50</v>
      </c>
      <c r="I4781" t="str">
        <f>("10/10/2025")</f>
        <v>10/10/2025</v>
      </c>
      <c r="J4781" t="str">
        <f>("10/04/2025")</f>
        <v>10/04/2025</v>
      </c>
      <c r="K4781">
        <v>45938</v>
      </c>
      <c r="N4781">
        <v>106</v>
      </c>
      <c r="O4781" t="s">
        <v>51</v>
      </c>
      <c r="Q4781">
        <v>20</v>
      </c>
      <c r="R4781" t="str">
        <f>"EDUARDO SILVA DE JESUS (143)"</f>
        <v>EDUARDO SILVA DE JESUS (143)</v>
      </c>
      <c r="S4781" t="s">
        <v>52</v>
      </c>
      <c r="T4781">
        <v>19291</v>
      </c>
      <c r="U4781">
        <v>12227</v>
      </c>
      <c r="V4781" t="s">
        <v>48</v>
      </c>
    </row>
    <row r="4782" spans="1:22">
      <c r="A4782" t="str">
        <f t="shared" si="888"/>
        <v>08/10/2025</v>
      </c>
      <c r="B4782" t="str">
        <f>"SAÍDA"</f>
        <v>SAÍDA</v>
      </c>
      <c r="C4782" t="str">
        <f>"PIX"</f>
        <v>PIX</v>
      </c>
      <c r="D4782" t="str">
        <f>"22890"</f>
        <v>22890</v>
      </c>
      <c r="E4782" t="str">
        <f>"1"</f>
        <v>1</v>
      </c>
      <c r="F4782" t="str">
        <f t="shared" si="889"/>
        <v>COM</v>
      </c>
      <c r="G4782" t="str">
        <f>"EDUARDO SILVA DE JESUS (143)"</f>
        <v>EDUARDO SILVA DE JESUS (143)</v>
      </c>
      <c r="H4782" t="str">
        <f>"Serv.Prest. 26/09/2025 a 05/10/2025 - PIX: CPF - CHAVE: 094.947.395-23"</f>
        <v>Serv.Prest. 26/09/2025 a 05/10/2025 - PIX: CPF - CHAVE: 094.947.395-23</v>
      </c>
      <c r="I4782" t="str">
        <f>("16/10/2025")</f>
        <v>16/10/2025</v>
      </c>
      <c r="J4782" t="str">
        <f>("07/10/2025")</f>
        <v>07/10/2025</v>
      </c>
      <c r="K4782" t="str">
        <f>("08/10/2025")</f>
        <v>08/10/2025</v>
      </c>
      <c r="L4782">
        <v>20</v>
      </c>
      <c r="M4782">
        <v>20</v>
      </c>
      <c r="N4782">
        <v>109</v>
      </c>
      <c r="O4782" t="str">
        <f>"PAGAMENTO DE ENTREGADORES"</f>
        <v>PAGAMENTO DE ENTREGADORES</v>
      </c>
      <c r="P4782">
        <v>20</v>
      </c>
      <c r="S4782" t="str">
        <f>"CAIXA MOVIMENTAÇÃO OPERACIONAL (132)"</f>
        <v>CAIXA MOVIMENTAÇÃO OPERACIONAL (132)</v>
      </c>
      <c r="T4782">
        <v>19292</v>
      </c>
      <c r="U4782">
        <v>23242</v>
      </c>
      <c r="V4782" t="s">
        <v>48</v>
      </c>
    </row>
    <row r="4783" spans="1:22">
      <c r="A4783" t="str">
        <f t="shared" si="888"/>
        <v>08/10/2025</v>
      </c>
      <c r="B4783" t="str">
        <f>"SAÍDA"</f>
        <v>SAÍDA</v>
      </c>
      <c r="C4783" t="str">
        <f>"PIX"</f>
        <v>PIX</v>
      </c>
      <c r="D4783" t="str">
        <f>"22890"</f>
        <v>22890</v>
      </c>
      <c r="E4783" t="str">
        <f>"1"</f>
        <v>1</v>
      </c>
      <c r="F4783" t="str">
        <f t="shared" si="889"/>
        <v>COM</v>
      </c>
      <c r="G4783" t="str">
        <f>"EDUARDO SILVA DE JESUS (143)"</f>
        <v>EDUARDO SILVA DE JESUS (143)</v>
      </c>
      <c r="H4783" t="s">
        <v>1336</v>
      </c>
      <c r="I4783" t="str">
        <f>("16/10/2025")</f>
        <v>16/10/2025</v>
      </c>
      <c r="J4783" t="str">
        <f>("07/10/2025")</f>
        <v>07/10/2025</v>
      </c>
      <c r="K4783">
        <v>45938</v>
      </c>
      <c r="N4783">
        <v>109</v>
      </c>
      <c r="O4783" t="s">
        <v>24</v>
      </c>
      <c r="Q4783">
        <v>20</v>
      </c>
      <c r="R4783" t="str">
        <f>"FARMÁCIA INDIANA LJ 91 (10037)"</f>
        <v>FARMÁCIA INDIANA LJ 91 (10037)</v>
      </c>
      <c r="S4783" t="s">
        <v>48</v>
      </c>
      <c r="T4783">
        <v>19292</v>
      </c>
      <c r="U4783">
        <v>23242</v>
      </c>
      <c r="V4783" t="s">
        <v>48</v>
      </c>
    </row>
    <row r="4784" spans="1:22">
      <c r="A4784" t="str">
        <f t="shared" si="888"/>
        <v>08/10/2025</v>
      </c>
      <c r="B4784" t="str">
        <f>"SAÍDA"</f>
        <v>SAÍDA</v>
      </c>
      <c r="C4784" t="str">
        <f>"PIX"</f>
        <v>PIX</v>
      </c>
      <c r="D4784" t="str">
        <f>"23052"</f>
        <v>23052</v>
      </c>
      <c r="E4784" t="str">
        <f>"1"</f>
        <v>1</v>
      </c>
      <c r="F4784" t="str">
        <f t="shared" si="889"/>
        <v>COM</v>
      </c>
      <c r="G4784" t="str">
        <f>"EDVAN DA SILVA ALVES (934)"</f>
        <v>EDVAN DA SILVA ALVES (934)</v>
      </c>
      <c r="H4784" t="str">
        <f>"Serv.Prest. 29/09/2025 a 05/10/2025 - PIX: E-MAIL - CHAVE: edvam18.alves@gmail.com"</f>
        <v>Serv.Prest. 29/09/2025 a 05/10/2025 - PIX: E-MAIL - CHAVE: edvam18.alves@gmail.com</v>
      </c>
      <c r="I4784" t="str">
        <f>("09/10/2025")</f>
        <v>09/10/2025</v>
      </c>
      <c r="J4784" t="str">
        <f>("07/10/2025")</f>
        <v>07/10/2025</v>
      </c>
      <c r="K4784" t="str">
        <f>("08/10/2025")</f>
        <v>08/10/2025</v>
      </c>
      <c r="L4784">
        <v>20</v>
      </c>
      <c r="M4784">
        <v>20</v>
      </c>
      <c r="N4784">
        <v>109</v>
      </c>
      <c r="O4784" t="str">
        <f>"PAGAMENTO DE ENTREGADORES"</f>
        <v>PAGAMENTO DE ENTREGADORES</v>
      </c>
      <c r="P4784">
        <v>20</v>
      </c>
      <c r="S4784" t="str">
        <f>"CAIXA MOVIMENTAÇÃO OPERACIONAL (132)"</f>
        <v>CAIXA MOVIMENTAÇÃO OPERACIONAL (132)</v>
      </c>
      <c r="T4784">
        <v>19293</v>
      </c>
      <c r="U4784">
        <v>23268</v>
      </c>
      <c r="V4784" t="s">
        <v>48</v>
      </c>
    </row>
    <row r="4785" spans="1:22">
      <c r="A4785" t="str">
        <f t="shared" si="888"/>
        <v>08/10/2025</v>
      </c>
      <c r="B4785" t="str">
        <f>"SAÍDA"</f>
        <v>SAÍDA</v>
      </c>
      <c r="C4785" t="str">
        <f>"PIX"</f>
        <v>PIX</v>
      </c>
      <c r="D4785" t="str">
        <f>"23052"</f>
        <v>23052</v>
      </c>
      <c r="E4785" t="str">
        <f>"1"</f>
        <v>1</v>
      </c>
      <c r="F4785" t="str">
        <f t="shared" si="889"/>
        <v>COM</v>
      </c>
      <c r="G4785" t="str">
        <f>"EDVAN DA SILVA ALVES (934)"</f>
        <v>EDVAN DA SILVA ALVES (934)</v>
      </c>
      <c r="H4785" t="s">
        <v>1392</v>
      </c>
      <c r="I4785" t="str">
        <f>("09/10/2025")</f>
        <v>09/10/2025</v>
      </c>
      <c r="J4785" t="str">
        <f>("07/10/2025")</f>
        <v>07/10/2025</v>
      </c>
      <c r="K4785">
        <v>45938</v>
      </c>
      <c r="N4785">
        <v>109</v>
      </c>
      <c r="O4785" t="s">
        <v>24</v>
      </c>
      <c r="Q4785">
        <v>20</v>
      </c>
      <c r="R4785" t="str">
        <f>"DELTA LOJA 2 (10123)"</f>
        <v>DELTA LOJA 2 (10123)</v>
      </c>
      <c r="S4785" t="s">
        <v>48</v>
      </c>
      <c r="T4785">
        <v>19293</v>
      </c>
      <c r="U4785">
        <v>23268</v>
      </c>
      <c r="V4785" t="s">
        <v>48</v>
      </c>
    </row>
    <row r="4786" spans="1:22">
      <c r="A4786" t="str">
        <f t="shared" si="888"/>
        <v>08/10/2025</v>
      </c>
      <c r="B4786" t="str">
        <f>"ENTRADA"</f>
        <v>ENTRADA</v>
      </c>
      <c r="C4786" t="str">
        <f>"DINHEIRO"</f>
        <v>DINHEIRO</v>
      </c>
      <c r="D4786" t="str">
        <f>"934"</f>
        <v>934</v>
      </c>
      <c r="E4786" t="str">
        <f>"01"</f>
        <v>01</v>
      </c>
      <c r="F4786" t="str">
        <f t="shared" si="889"/>
        <v>COM</v>
      </c>
      <c r="G4786" t="str">
        <f>"EDVAN DA SILVA ALVES (934)"</f>
        <v>EDVAN DA SILVA ALVES (934)</v>
      </c>
      <c r="H4786" t="str">
        <f>"COTAS COOPERATIVA"</f>
        <v>COTAS COOPERATIVA</v>
      </c>
      <c r="I4786" t="str">
        <f>("10/10/2025")</f>
        <v>10/10/2025</v>
      </c>
      <c r="J4786" t="str">
        <f>("09/09/2025")</f>
        <v>09/09/2025</v>
      </c>
      <c r="K4786" t="str">
        <f>("08/10/2025")</f>
        <v>08/10/2025</v>
      </c>
      <c r="L4786">
        <v>20</v>
      </c>
      <c r="M4786">
        <v>20</v>
      </c>
      <c r="N4786">
        <v>106</v>
      </c>
      <c r="O4786" t="str">
        <f>"ENTRADA DE CAPITAL"</f>
        <v>ENTRADA DE CAPITAL</v>
      </c>
      <c r="P4786">
        <v>20</v>
      </c>
      <c r="S4786" t="str">
        <f>"ENTRADA DE CAPITAL (106)"</f>
        <v>ENTRADA DE CAPITAL (106)</v>
      </c>
      <c r="T4786">
        <v>19294</v>
      </c>
      <c r="U4786">
        <v>23243</v>
      </c>
      <c r="V4786" t="s">
        <v>48</v>
      </c>
    </row>
    <row r="4787" spans="1:22">
      <c r="A4787" t="str">
        <f t="shared" si="888"/>
        <v>08/10/2025</v>
      </c>
      <c r="B4787" t="str">
        <f>"ENTRADA"</f>
        <v>ENTRADA</v>
      </c>
      <c r="C4787" t="str">
        <f>"DINHEIRO"</f>
        <v>DINHEIRO</v>
      </c>
      <c r="D4787" t="str">
        <f>"934"</f>
        <v>934</v>
      </c>
      <c r="E4787" t="str">
        <f>"01"</f>
        <v>01</v>
      </c>
      <c r="F4787" t="str">
        <f t="shared" si="889"/>
        <v>COM</v>
      </c>
      <c r="G4787" t="str">
        <f>"EDVAN DA SILVA ALVES (934)"</f>
        <v>EDVAN DA SILVA ALVES (934)</v>
      </c>
      <c r="H4787" t="s">
        <v>318</v>
      </c>
      <c r="I4787" t="str">
        <f>("10/10/2025")</f>
        <v>10/10/2025</v>
      </c>
      <c r="J4787" t="str">
        <f>("09/09/2025")</f>
        <v>09/09/2025</v>
      </c>
      <c r="K4787">
        <v>45938</v>
      </c>
      <c r="N4787">
        <v>106</v>
      </c>
      <c r="O4787" t="s">
        <v>51</v>
      </c>
      <c r="Q4787">
        <v>20</v>
      </c>
      <c r="R4787" t="str">
        <f>"EDVAN DA SILVA ALVES (934)"</f>
        <v>EDVAN DA SILVA ALVES (934)</v>
      </c>
      <c r="S4787" t="s">
        <v>52</v>
      </c>
      <c r="T4787">
        <v>19294</v>
      </c>
      <c r="U4787">
        <v>23243</v>
      </c>
      <c r="V4787" t="s">
        <v>48</v>
      </c>
    </row>
    <row r="4788" spans="1:22">
      <c r="A4788" t="str">
        <f t="shared" si="888"/>
        <v>08/10/2025</v>
      </c>
      <c r="B4788" t="str">
        <f>"SAÍDA"</f>
        <v>SAÍDA</v>
      </c>
      <c r="C4788" t="str">
        <f>"PIX"</f>
        <v>PIX</v>
      </c>
      <c r="D4788" t="str">
        <f>"23053"</f>
        <v>23053</v>
      </c>
      <c r="E4788" t="str">
        <f>"1"</f>
        <v>1</v>
      </c>
      <c r="F4788" t="str">
        <f t="shared" si="889"/>
        <v>COM</v>
      </c>
      <c r="G4788" t="str">
        <f>"ELIENAI ROSA DO NASCIMENTO (343)"</f>
        <v>ELIENAI ROSA DO NASCIMENTO (343)</v>
      </c>
      <c r="H4788" t="str">
        <f>"Serv.Prest. 29/09/2025 a 05/10/2025 - PIX: CPF - CHAVE: 048.672.645-20"</f>
        <v>Serv.Prest. 29/09/2025 a 05/10/2025 - PIX: CPF - CHAVE: 048.672.645-20</v>
      </c>
      <c r="I4788" t="str">
        <f>("09/10/2025")</f>
        <v>09/10/2025</v>
      </c>
      <c r="J4788" t="str">
        <f>("07/10/2025")</f>
        <v>07/10/2025</v>
      </c>
      <c r="K4788" t="str">
        <f>("08/10/2025")</f>
        <v>08/10/2025</v>
      </c>
      <c r="L4788">
        <v>20</v>
      </c>
      <c r="M4788">
        <v>20</v>
      </c>
      <c r="N4788">
        <v>109</v>
      </c>
      <c r="O4788" t="str">
        <f>"PAGAMENTO DE ENTREGADORES"</f>
        <v>PAGAMENTO DE ENTREGADORES</v>
      </c>
      <c r="P4788">
        <v>20</v>
      </c>
      <c r="S4788" t="str">
        <f>"CAIXA MOVIMENTAÇÃO OPERACIONAL (132)"</f>
        <v>CAIXA MOVIMENTAÇÃO OPERACIONAL (132)</v>
      </c>
      <c r="T4788">
        <v>19295</v>
      </c>
      <c r="U4788">
        <v>23269</v>
      </c>
      <c r="V4788" t="s">
        <v>48</v>
      </c>
    </row>
    <row r="4789" spans="1:22">
      <c r="A4789" t="str">
        <f t="shared" si="888"/>
        <v>08/10/2025</v>
      </c>
      <c r="B4789" t="str">
        <f>"SAÍDA"</f>
        <v>SAÍDA</v>
      </c>
      <c r="C4789" t="str">
        <f>"PIX"</f>
        <v>PIX</v>
      </c>
      <c r="D4789" t="str">
        <f>"23053"</f>
        <v>23053</v>
      </c>
      <c r="E4789" t="str">
        <f>"1"</f>
        <v>1</v>
      </c>
      <c r="F4789" t="str">
        <f t="shared" si="889"/>
        <v>COM</v>
      </c>
      <c r="G4789" t="str">
        <f>"ELIENAI ROSA DO NASCIMENTO (343)"</f>
        <v>ELIENAI ROSA DO NASCIMENTO (343)</v>
      </c>
      <c r="H4789" t="s">
        <v>1393</v>
      </c>
      <c r="I4789" t="str">
        <f>("09/10/2025")</f>
        <v>09/10/2025</v>
      </c>
      <c r="J4789" t="str">
        <f>("07/10/2025")</f>
        <v>07/10/2025</v>
      </c>
      <c r="K4789">
        <v>45938</v>
      </c>
      <c r="N4789">
        <v>109</v>
      </c>
      <c r="O4789" t="s">
        <v>24</v>
      </c>
      <c r="Q4789">
        <v>20</v>
      </c>
      <c r="R4789" t="str">
        <f>"DELTA LOJA 2 (10123)"</f>
        <v>DELTA LOJA 2 (10123)</v>
      </c>
      <c r="S4789" t="s">
        <v>48</v>
      </c>
      <c r="T4789">
        <v>19295</v>
      </c>
      <c r="U4789">
        <v>23269</v>
      </c>
      <c r="V4789" t="s">
        <v>48</v>
      </c>
    </row>
    <row r="4790" spans="1:22">
      <c r="A4790" t="str">
        <f t="shared" si="888"/>
        <v>08/10/2025</v>
      </c>
      <c r="B4790" t="str">
        <f>"ENTRADA"</f>
        <v>ENTRADA</v>
      </c>
      <c r="C4790" t="str">
        <f>"DINHEIRO"</f>
        <v>DINHEIRO</v>
      </c>
      <c r="D4790" t="str">
        <f>"04"</f>
        <v>04</v>
      </c>
      <c r="E4790" t="str">
        <f>"34"</f>
        <v>34</v>
      </c>
      <c r="F4790" t="str">
        <f t="shared" si="889"/>
        <v>COM</v>
      </c>
      <c r="G4790" t="str">
        <f>"ELIENAI ROSA DO NASCIMENTO (343)"</f>
        <v>ELIENAI ROSA DO NASCIMENTO (343)</v>
      </c>
      <c r="H4790" t="str">
        <f>"DESCONTO COTA COOPERADO"</f>
        <v>DESCONTO COTA COOPERADO</v>
      </c>
      <c r="I4790" t="str">
        <f>("16/10/2025")</f>
        <v>16/10/2025</v>
      </c>
      <c r="J4790" t="str">
        <f>("16/01/2025")</f>
        <v>16/01/2025</v>
      </c>
      <c r="K4790" t="str">
        <f>("08/10/2025")</f>
        <v>08/10/2025</v>
      </c>
      <c r="L4790">
        <v>20</v>
      </c>
      <c r="M4790">
        <v>20</v>
      </c>
      <c r="N4790">
        <v>106</v>
      </c>
      <c r="O4790" t="str">
        <f>"ENTRADA DE CAPITAL"</f>
        <v>ENTRADA DE CAPITAL</v>
      </c>
      <c r="P4790">
        <v>20</v>
      </c>
      <c r="S4790" t="str">
        <f>"ENTRADA DE CAPITAL (106)"</f>
        <v>ENTRADA DE CAPITAL (106)</v>
      </c>
      <c r="T4790">
        <v>19296</v>
      </c>
      <c r="U4790">
        <v>6155</v>
      </c>
      <c r="V4790" t="s">
        <v>48</v>
      </c>
    </row>
    <row r="4791" spans="1:22">
      <c r="A4791" t="str">
        <f t="shared" si="888"/>
        <v>08/10/2025</v>
      </c>
      <c r="B4791" t="str">
        <f>"ENTRADA"</f>
        <v>ENTRADA</v>
      </c>
      <c r="C4791" t="str">
        <f>"DINHEIRO"</f>
        <v>DINHEIRO</v>
      </c>
      <c r="D4791" t="str">
        <f>"04"</f>
        <v>04</v>
      </c>
      <c r="E4791" t="str">
        <f>"34"</f>
        <v>34</v>
      </c>
      <c r="F4791" t="str">
        <f t="shared" si="889"/>
        <v>COM</v>
      </c>
      <c r="G4791" t="str">
        <f>"ELIENAI ROSA DO NASCIMENTO (343)"</f>
        <v>ELIENAI ROSA DO NASCIMENTO (343)</v>
      </c>
      <c r="H4791" t="s">
        <v>309</v>
      </c>
      <c r="I4791" t="str">
        <f>("16/10/2025")</f>
        <v>16/10/2025</v>
      </c>
      <c r="J4791" t="str">
        <f>("16/01/2025")</f>
        <v>16/01/2025</v>
      </c>
      <c r="K4791">
        <v>45938</v>
      </c>
      <c r="N4791">
        <v>106</v>
      </c>
      <c r="O4791" t="s">
        <v>51</v>
      </c>
      <c r="Q4791">
        <v>20</v>
      </c>
      <c r="R4791" t="str">
        <f>"ELIENAI ROSA DO NASCIMENTO (343)"</f>
        <v>ELIENAI ROSA DO NASCIMENTO (343)</v>
      </c>
      <c r="S4791" t="s">
        <v>52</v>
      </c>
      <c r="T4791">
        <v>19296</v>
      </c>
      <c r="U4791">
        <v>6155</v>
      </c>
      <c r="V4791" t="s">
        <v>48</v>
      </c>
    </row>
    <row r="4792" spans="1:22">
      <c r="A4792" t="str">
        <f t="shared" si="888"/>
        <v>08/10/2025</v>
      </c>
      <c r="B4792" t="str">
        <f>"SAÍDA"</f>
        <v>SAÍDA</v>
      </c>
      <c r="C4792" t="str">
        <f>"PIX"</f>
        <v>PIX</v>
      </c>
      <c r="D4792" t="str">
        <f>"22858"</f>
        <v>22858</v>
      </c>
      <c r="E4792" t="str">
        <f>"1"</f>
        <v>1</v>
      </c>
      <c r="F4792" t="str">
        <f t="shared" si="889"/>
        <v>COM</v>
      </c>
      <c r="G4792" t="str">
        <f>"ELIO CALDEIRA RIBEIRO JUNIOR (840)"</f>
        <v>ELIO CALDEIRA RIBEIRO JUNIOR (840)</v>
      </c>
      <c r="H4792" t="str">
        <f>"Serv.Prest. 29/09/2025 a 05/10/2025 - PIX: CPF - CHAVE: 463.491.858-70"</f>
        <v>Serv.Prest. 29/09/2025 a 05/10/2025 - PIX: CPF - CHAVE: 463.491.858-70</v>
      </c>
      <c r="I4792" t="str">
        <f>("09/10/2025")</f>
        <v>09/10/2025</v>
      </c>
      <c r="J4792" t="str">
        <f>("06/10/2025")</f>
        <v>06/10/2025</v>
      </c>
      <c r="K4792" t="str">
        <f>("08/10/2025")</f>
        <v>08/10/2025</v>
      </c>
      <c r="L4792">
        <v>20</v>
      </c>
      <c r="M4792">
        <v>20</v>
      </c>
      <c r="N4792">
        <v>109</v>
      </c>
      <c r="O4792" t="str">
        <f>"PAGAMENTO DE ENTREGADORES"</f>
        <v>PAGAMENTO DE ENTREGADORES</v>
      </c>
      <c r="P4792">
        <v>20</v>
      </c>
      <c r="S4792" t="str">
        <f>"CAIXA MOVIMENTAÇÃO OPERACIONAL (132)"</f>
        <v>CAIXA MOVIMENTAÇÃO OPERACIONAL (132)</v>
      </c>
      <c r="T4792">
        <v>19297</v>
      </c>
      <c r="U4792">
        <v>23270</v>
      </c>
      <c r="V4792" t="s">
        <v>48</v>
      </c>
    </row>
    <row r="4793" spans="1:22">
      <c r="A4793" t="str">
        <f t="shared" si="888"/>
        <v>08/10/2025</v>
      </c>
      <c r="B4793" t="str">
        <f>"SAÍDA"</f>
        <v>SAÍDA</v>
      </c>
      <c r="C4793" t="str">
        <f>"PIX"</f>
        <v>PIX</v>
      </c>
      <c r="D4793" t="str">
        <f>"22858"</f>
        <v>22858</v>
      </c>
      <c r="E4793" t="str">
        <f>"1"</f>
        <v>1</v>
      </c>
      <c r="F4793" t="str">
        <f t="shared" si="889"/>
        <v>COM</v>
      </c>
      <c r="G4793" t="str">
        <f>"ELIO CALDEIRA RIBEIRO JUNIOR (840)"</f>
        <v>ELIO CALDEIRA RIBEIRO JUNIOR (840)</v>
      </c>
      <c r="H4793" t="s">
        <v>1394</v>
      </c>
      <c r="I4793" t="str">
        <f>("09/10/2025")</f>
        <v>09/10/2025</v>
      </c>
      <c r="J4793" t="str">
        <f>("06/10/2025")</f>
        <v>06/10/2025</v>
      </c>
      <c r="K4793">
        <v>45938</v>
      </c>
      <c r="N4793">
        <v>109</v>
      </c>
      <c r="O4793" t="s">
        <v>24</v>
      </c>
      <c r="Q4793">
        <v>20</v>
      </c>
      <c r="R4793" t="str">
        <f>"DROGARIA MEDIC CENTER LTDA (10172)"</f>
        <v>DROGARIA MEDIC CENTER LTDA (10172)</v>
      </c>
      <c r="S4793" t="s">
        <v>48</v>
      </c>
      <c r="T4793">
        <v>19297</v>
      </c>
      <c r="U4793">
        <v>23270</v>
      </c>
      <c r="V4793" t="s">
        <v>48</v>
      </c>
    </row>
    <row r="4794" spans="1:22">
      <c r="A4794" t="str">
        <f t="shared" si="888"/>
        <v>08/10/2025</v>
      </c>
      <c r="B4794" t="str">
        <f>"ENTRADA"</f>
        <v>ENTRADA</v>
      </c>
      <c r="C4794" t="str">
        <f>"DINHEIRO"</f>
        <v>DINHEIRO</v>
      </c>
      <c r="D4794" t="str">
        <f>"840"</f>
        <v>840</v>
      </c>
      <c r="E4794" t="str">
        <f>"4"</f>
        <v>4</v>
      </c>
      <c r="F4794" t="str">
        <f t="shared" si="889"/>
        <v>COM</v>
      </c>
      <c r="G4794" t="str">
        <f>"ELIO CALDEIRA RIBEIRO JUNIOR (840)"</f>
        <v>ELIO CALDEIRA RIBEIRO JUNIOR (840)</v>
      </c>
      <c r="H4794" t="str">
        <f>"COTA COOPERATIVA"</f>
        <v>COTA COOPERATIVA</v>
      </c>
      <c r="I4794" t="str">
        <f>("10/10/2025")</f>
        <v>10/10/2025</v>
      </c>
      <c r="J4794" t="str">
        <f>("31/05/2025")</f>
        <v>31/05/2025</v>
      </c>
      <c r="K4794" t="str">
        <f>("08/10/2025")</f>
        <v>08/10/2025</v>
      </c>
      <c r="L4794">
        <v>20</v>
      </c>
      <c r="M4794">
        <v>20</v>
      </c>
      <c r="N4794">
        <v>106</v>
      </c>
      <c r="O4794" t="str">
        <f>"ENTRADA DE CAPITAL"</f>
        <v>ENTRADA DE CAPITAL</v>
      </c>
      <c r="P4794">
        <v>20</v>
      </c>
      <c r="S4794" t="str">
        <f>"ENTRADA DE CAPITAL (106)"</f>
        <v>ENTRADA DE CAPITAL (106)</v>
      </c>
      <c r="T4794">
        <v>19298</v>
      </c>
      <c r="U4794">
        <v>18165</v>
      </c>
      <c r="V4794" t="s">
        <v>48</v>
      </c>
    </row>
    <row r="4795" spans="1:22">
      <c r="A4795" t="str">
        <f t="shared" si="888"/>
        <v>08/10/2025</v>
      </c>
      <c r="B4795" t="str">
        <f>"ENTRADA"</f>
        <v>ENTRADA</v>
      </c>
      <c r="C4795" t="str">
        <f>"DINHEIRO"</f>
        <v>DINHEIRO</v>
      </c>
      <c r="D4795" t="str">
        <f>"840"</f>
        <v>840</v>
      </c>
      <c r="E4795" t="str">
        <f>"4"</f>
        <v>4</v>
      </c>
      <c r="F4795" t="str">
        <f t="shared" si="889"/>
        <v>COM</v>
      </c>
      <c r="G4795" t="str">
        <f>"ELIO CALDEIRA RIBEIRO JUNIOR (840)"</f>
        <v>ELIO CALDEIRA RIBEIRO JUNIOR (840)</v>
      </c>
      <c r="H4795" t="s">
        <v>50</v>
      </c>
      <c r="I4795" t="str">
        <f>("10/10/2025")</f>
        <v>10/10/2025</v>
      </c>
      <c r="J4795" t="str">
        <f>("31/05/2025")</f>
        <v>31/05/2025</v>
      </c>
      <c r="K4795">
        <v>45938</v>
      </c>
      <c r="N4795">
        <v>106</v>
      </c>
      <c r="O4795" t="s">
        <v>51</v>
      </c>
      <c r="Q4795">
        <v>20</v>
      </c>
      <c r="R4795" t="str">
        <f>"ELIO CALDEIRA RIBEIRO JUNIOR (840)"</f>
        <v>ELIO CALDEIRA RIBEIRO JUNIOR (840)</v>
      </c>
      <c r="S4795" t="s">
        <v>52</v>
      </c>
      <c r="T4795">
        <v>19298</v>
      </c>
      <c r="U4795">
        <v>18165</v>
      </c>
      <c r="V4795" t="s">
        <v>48</v>
      </c>
    </row>
    <row r="4796" spans="1:22">
      <c r="A4796" t="str">
        <f t="shared" si="888"/>
        <v>08/10/2025</v>
      </c>
      <c r="B4796" t="str">
        <f>"SAÍDA"</f>
        <v>SAÍDA</v>
      </c>
      <c r="C4796" t="str">
        <f>"PIX"</f>
        <v>PIX</v>
      </c>
      <c r="D4796" t="str">
        <f>"22527"</f>
        <v>22527</v>
      </c>
      <c r="E4796" t="str">
        <f>"1"</f>
        <v>1</v>
      </c>
      <c r="F4796" t="str">
        <f t="shared" si="889"/>
        <v>COM</v>
      </c>
      <c r="G4796" t="str">
        <f>"ERIC DE RAMOS GOMES (606)"</f>
        <v>ERIC DE RAMOS GOMES (606)</v>
      </c>
      <c r="H4796" t="str">
        <f>"Serv.Prest. 22/09/2025 a 25/09/2025 - PIX: E-MAIL - CHAVE: ericgomes508@gmail.com"</f>
        <v>Serv.Prest. 22/09/2025 a 25/09/2025 - PIX: E-MAIL - CHAVE: ericgomes508@gmail.com</v>
      </c>
      <c r="I4796" t="str">
        <f>("09/10/2025")</f>
        <v>09/10/2025</v>
      </c>
      <c r="J4796" t="str">
        <f>("26/09/2025")</f>
        <v>26/09/2025</v>
      </c>
      <c r="K4796" t="str">
        <f>("08/10/2025")</f>
        <v>08/10/2025</v>
      </c>
      <c r="L4796">
        <v>20</v>
      </c>
      <c r="M4796">
        <v>20</v>
      </c>
      <c r="N4796">
        <v>109</v>
      </c>
      <c r="O4796" t="str">
        <f>"PAGAMENTO DE ENTREGADORES"</f>
        <v>PAGAMENTO DE ENTREGADORES</v>
      </c>
      <c r="P4796">
        <v>20</v>
      </c>
      <c r="S4796" t="str">
        <f>"CAIXA MOVIMENTAÇÃO OPERACIONAL (132)"</f>
        <v>CAIXA MOVIMENTAÇÃO OPERACIONAL (132)</v>
      </c>
      <c r="T4796">
        <v>19299</v>
      </c>
      <c r="U4796">
        <v>23271</v>
      </c>
      <c r="V4796" t="s">
        <v>48</v>
      </c>
    </row>
    <row r="4797" spans="1:22">
      <c r="A4797" t="str">
        <f t="shared" si="888"/>
        <v>08/10/2025</v>
      </c>
      <c r="B4797" t="str">
        <f>"SAÍDA"</f>
        <v>SAÍDA</v>
      </c>
      <c r="C4797" t="str">
        <f>"PIX"</f>
        <v>PIX</v>
      </c>
      <c r="D4797" t="str">
        <f>"22527"</f>
        <v>22527</v>
      </c>
      <c r="E4797" t="str">
        <f>"1"</f>
        <v>1</v>
      </c>
      <c r="F4797" t="str">
        <f t="shared" si="889"/>
        <v>COM</v>
      </c>
      <c r="G4797" t="str">
        <f>"ERIC DE RAMOS GOMES (606)"</f>
        <v>ERIC DE RAMOS GOMES (606)</v>
      </c>
      <c r="H4797" t="s">
        <v>1395</v>
      </c>
      <c r="I4797" t="str">
        <f>("09/10/2025")</f>
        <v>09/10/2025</v>
      </c>
      <c r="J4797" t="str">
        <f>("26/09/2025")</f>
        <v>26/09/2025</v>
      </c>
      <c r="K4797">
        <v>45938</v>
      </c>
      <c r="N4797">
        <v>109</v>
      </c>
      <c r="O4797" t="s">
        <v>24</v>
      </c>
      <c r="Q4797">
        <v>20</v>
      </c>
      <c r="R4797" t="str">
        <f>"FARMÁCIA INDIANA LJ 91 (10037)"</f>
        <v>FARMÁCIA INDIANA LJ 91 (10037)</v>
      </c>
      <c r="S4797" t="s">
        <v>48</v>
      </c>
      <c r="T4797">
        <v>19299</v>
      </c>
      <c r="U4797">
        <v>23271</v>
      </c>
      <c r="V4797" t="s">
        <v>48</v>
      </c>
    </row>
    <row r="4798" spans="1:22">
      <c r="A4798" t="str">
        <f t="shared" si="888"/>
        <v>08/10/2025</v>
      </c>
      <c r="B4798" t="str">
        <f>"ENTRADA"</f>
        <v>ENTRADA</v>
      </c>
      <c r="C4798" t="str">
        <f>"DINHEIRO"</f>
        <v>DINHEIRO</v>
      </c>
      <c r="D4798" t="str">
        <f>"606"</f>
        <v>606</v>
      </c>
      <c r="E4798" t="str">
        <f>"9"</f>
        <v>9</v>
      </c>
      <c r="F4798" t="str">
        <f t="shared" si="889"/>
        <v>COM</v>
      </c>
      <c r="G4798" t="str">
        <f>"ERIC DE RAMOS GOMES (606)"</f>
        <v>ERIC DE RAMOS GOMES (606)</v>
      </c>
      <c r="H4798" t="str">
        <f>"COTAS COOPERATIVA"</f>
        <v>COTAS COOPERATIVA</v>
      </c>
      <c r="I4798" t="str">
        <f>("13/10/2025")</f>
        <v>13/10/2025</v>
      </c>
      <c r="J4798" t="str">
        <f>("12/02/2025")</f>
        <v>12/02/2025</v>
      </c>
      <c r="K4798" t="str">
        <f>("08/10/2025")</f>
        <v>08/10/2025</v>
      </c>
      <c r="L4798">
        <v>20</v>
      </c>
      <c r="M4798">
        <v>20</v>
      </c>
      <c r="N4798">
        <v>106</v>
      </c>
      <c r="O4798" t="str">
        <f>"ENTRADA DE CAPITAL"</f>
        <v>ENTRADA DE CAPITAL</v>
      </c>
      <c r="P4798">
        <v>20</v>
      </c>
      <c r="S4798" t="str">
        <f>"ENTRADA DE CAPITAL (106)"</f>
        <v>ENTRADA DE CAPITAL (106)</v>
      </c>
      <c r="T4798">
        <v>19300</v>
      </c>
      <c r="U4798">
        <v>9125</v>
      </c>
      <c r="V4798" t="s">
        <v>48</v>
      </c>
    </row>
    <row r="4799" spans="1:22">
      <c r="A4799" t="str">
        <f t="shared" si="888"/>
        <v>08/10/2025</v>
      </c>
      <c r="B4799" t="str">
        <f>"ENTRADA"</f>
        <v>ENTRADA</v>
      </c>
      <c r="C4799" t="str">
        <f>"DINHEIRO"</f>
        <v>DINHEIRO</v>
      </c>
      <c r="D4799" t="str">
        <f>"606"</f>
        <v>606</v>
      </c>
      <c r="E4799" t="str">
        <f>"9"</f>
        <v>9</v>
      </c>
      <c r="F4799" t="str">
        <f t="shared" si="889"/>
        <v>COM</v>
      </c>
      <c r="G4799" t="str">
        <f>"ERIC DE RAMOS GOMES (606)"</f>
        <v>ERIC DE RAMOS GOMES (606)</v>
      </c>
      <c r="H4799" t="s">
        <v>318</v>
      </c>
      <c r="I4799" t="str">
        <f>("13/10/2025")</f>
        <v>13/10/2025</v>
      </c>
      <c r="J4799" t="str">
        <f>("12/02/2025")</f>
        <v>12/02/2025</v>
      </c>
      <c r="K4799">
        <v>45938</v>
      </c>
      <c r="N4799">
        <v>106</v>
      </c>
      <c r="O4799" t="s">
        <v>51</v>
      </c>
      <c r="Q4799">
        <v>20</v>
      </c>
      <c r="R4799" t="str">
        <f>"ERIC DE RAMOS GOMES (606)"</f>
        <v>ERIC DE RAMOS GOMES (606)</v>
      </c>
      <c r="S4799" t="s">
        <v>52</v>
      </c>
      <c r="T4799">
        <v>19300</v>
      </c>
      <c r="U4799">
        <v>9125</v>
      </c>
      <c r="V4799" t="s">
        <v>48</v>
      </c>
    </row>
    <row r="4800" spans="1:22">
      <c r="A4800" t="str">
        <f t="shared" si="888"/>
        <v>08/10/2025</v>
      </c>
      <c r="B4800" t="str">
        <f>"SAÍDA"</f>
        <v>SAÍDA</v>
      </c>
      <c r="C4800" t="str">
        <f>"PIX"</f>
        <v>PIX</v>
      </c>
      <c r="D4800" t="str">
        <f>"22573"</f>
        <v>22573</v>
      </c>
      <c r="E4800" t="str">
        <f>"1"</f>
        <v>1</v>
      </c>
      <c r="F4800" t="str">
        <f t="shared" si="889"/>
        <v>COM</v>
      </c>
      <c r="G4800" t="str">
        <f>"EUDES PIMENTA (368)"</f>
        <v>EUDES PIMENTA (368)</v>
      </c>
      <c r="H4800" t="str">
        <f>"Serv.Prest. 22/09/2025 a 25/09/2025 - PIX: CPF - CHAVE: 070.073.316-70"</f>
        <v>Serv.Prest. 22/09/2025 a 25/09/2025 - PIX: CPF - CHAVE: 070.073.316-70</v>
      </c>
      <c r="I4800" t="str">
        <f>("09/10/2025")</f>
        <v>09/10/2025</v>
      </c>
      <c r="J4800" t="str">
        <f>("26/09/2025")</f>
        <v>26/09/2025</v>
      </c>
      <c r="K4800" t="str">
        <f>("08/10/2025")</f>
        <v>08/10/2025</v>
      </c>
      <c r="L4800">
        <v>20</v>
      </c>
      <c r="M4800">
        <v>20</v>
      </c>
      <c r="N4800">
        <v>109</v>
      </c>
      <c r="O4800" t="str">
        <f>"PAGAMENTO DE ENTREGADORES"</f>
        <v>PAGAMENTO DE ENTREGADORES</v>
      </c>
      <c r="P4800">
        <v>20</v>
      </c>
      <c r="S4800" t="str">
        <f>"CAIXA MOVIMENTAÇÃO OPERACIONAL (132)"</f>
        <v>CAIXA MOVIMENTAÇÃO OPERACIONAL (132)</v>
      </c>
      <c r="T4800">
        <v>19301</v>
      </c>
      <c r="U4800">
        <v>23272</v>
      </c>
      <c r="V4800" t="s">
        <v>48</v>
      </c>
    </row>
    <row r="4801" spans="1:22">
      <c r="A4801" t="str">
        <f t="shared" si="888"/>
        <v>08/10/2025</v>
      </c>
      <c r="B4801" t="str">
        <f>"SAÍDA"</f>
        <v>SAÍDA</v>
      </c>
      <c r="C4801" t="str">
        <f>"PIX"</f>
        <v>PIX</v>
      </c>
      <c r="D4801" t="str">
        <f>"22573"</f>
        <v>22573</v>
      </c>
      <c r="E4801" t="str">
        <f>"1"</f>
        <v>1</v>
      </c>
      <c r="F4801" t="str">
        <f t="shared" si="889"/>
        <v>COM</v>
      </c>
      <c r="G4801" t="str">
        <f>"EUDES PIMENTA (368)"</f>
        <v>EUDES PIMENTA (368)</v>
      </c>
      <c r="H4801" t="s">
        <v>1396</v>
      </c>
      <c r="I4801" t="str">
        <f>("09/10/2025")</f>
        <v>09/10/2025</v>
      </c>
      <c r="J4801" t="str">
        <f>("26/09/2025")</f>
        <v>26/09/2025</v>
      </c>
      <c r="K4801">
        <v>45938</v>
      </c>
      <c r="N4801">
        <v>109</v>
      </c>
      <c r="O4801" t="s">
        <v>24</v>
      </c>
      <c r="Q4801">
        <v>20</v>
      </c>
      <c r="R4801" t="str">
        <f>"FARMÁCIA INDIANA LJ 06 (10006)"</f>
        <v>FARMÁCIA INDIANA LJ 06 (10006)</v>
      </c>
      <c r="S4801" t="s">
        <v>48</v>
      </c>
      <c r="T4801">
        <v>19301</v>
      </c>
      <c r="U4801">
        <v>23272</v>
      </c>
      <c r="V4801" t="s">
        <v>48</v>
      </c>
    </row>
    <row r="4802" spans="1:22">
      <c r="A4802" t="str">
        <f t="shared" si="888"/>
        <v>08/10/2025</v>
      </c>
      <c r="B4802" t="str">
        <f>"ENTRADA"</f>
        <v>ENTRADA</v>
      </c>
      <c r="C4802" t="str">
        <f>"DINHEIRO"</f>
        <v>DINHEIRO</v>
      </c>
      <c r="D4802" t="str">
        <f>"06"</f>
        <v>06</v>
      </c>
      <c r="E4802" t="str">
        <f>"34"</f>
        <v>34</v>
      </c>
      <c r="F4802" t="str">
        <f t="shared" si="889"/>
        <v>COM</v>
      </c>
      <c r="G4802" t="str">
        <f>"EUDES PIMENTA (368)"</f>
        <v>EUDES PIMENTA (368)</v>
      </c>
      <c r="H4802" t="str">
        <f>"DESCONTO COTA COOPERADO"</f>
        <v>DESCONTO COTA COOPERADO</v>
      </c>
      <c r="I4802" t="str">
        <f>("16/10/2025")</f>
        <v>16/10/2025</v>
      </c>
      <c r="J4802" t="str">
        <f>("16/01/2025")</f>
        <v>16/01/2025</v>
      </c>
      <c r="K4802" t="str">
        <f>("08/10/2025")</f>
        <v>08/10/2025</v>
      </c>
      <c r="L4802">
        <v>20</v>
      </c>
      <c r="M4802">
        <v>20</v>
      </c>
      <c r="N4802">
        <v>106</v>
      </c>
      <c r="O4802" t="str">
        <f>"ENTRADA DE CAPITAL"</f>
        <v>ENTRADA DE CAPITAL</v>
      </c>
      <c r="P4802">
        <v>20</v>
      </c>
      <c r="S4802" t="str">
        <f>"ENTRADA DE CAPITAL (106)"</f>
        <v>ENTRADA DE CAPITAL (106)</v>
      </c>
      <c r="T4802">
        <v>19302</v>
      </c>
      <c r="U4802">
        <v>6178</v>
      </c>
      <c r="V4802" t="s">
        <v>48</v>
      </c>
    </row>
    <row r="4803" spans="1:22">
      <c r="A4803" t="str">
        <f t="shared" si="888"/>
        <v>08/10/2025</v>
      </c>
      <c r="B4803" t="str">
        <f>"ENTRADA"</f>
        <v>ENTRADA</v>
      </c>
      <c r="C4803" t="str">
        <f>"DINHEIRO"</f>
        <v>DINHEIRO</v>
      </c>
      <c r="D4803" t="str">
        <f>"06"</f>
        <v>06</v>
      </c>
      <c r="E4803" t="str">
        <f>"34"</f>
        <v>34</v>
      </c>
      <c r="F4803" t="str">
        <f t="shared" si="889"/>
        <v>COM</v>
      </c>
      <c r="G4803" t="str">
        <f>"EUDES PIMENTA (368)"</f>
        <v>EUDES PIMENTA (368)</v>
      </c>
      <c r="H4803" t="s">
        <v>309</v>
      </c>
      <c r="I4803" t="str">
        <f>("16/10/2025")</f>
        <v>16/10/2025</v>
      </c>
      <c r="J4803" t="str">
        <f>("16/01/2025")</f>
        <v>16/01/2025</v>
      </c>
      <c r="K4803">
        <v>45938</v>
      </c>
      <c r="N4803">
        <v>106</v>
      </c>
      <c r="O4803" t="s">
        <v>51</v>
      </c>
      <c r="Q4803">
        <v>20</v>
      </c>
      <c r="R4803" t="str">
        <f>"EUDES PIMENTA (368)"</f>
        <v>EUDES PIMENTA (368)</v>
      </c>
      <c r="S4803" t="s">
        <v>52</v>
      </c>
      <c r="T4803">
        <v>19302</v>
      </c>
      <c r="U4803">
        <v>6178</v>
      </c>
      <c r="V4803" t="s">
        <v>48</v>
      </c>
    </row>
    <row r="4804" spans="1:22">
      <c r="A4804" t="str">
        <f t="shared" si="888"/>
        <v>08/10/2025</v>
      </c>
      <c r="B4804" t="str">
        <f>"SAÍDA"</f>
        <v>SAÍDA</v>
      </c>
      <c r="C4804" t="str">
        <f>"PIX"</f>
        <v>PIX</v>
      </c>
      <c r="D4804" t="str">
        <f>"22653"</f>
        <v>22653</v>
      </c>
      <c r="E4804" t="str">
        <f>"1"</f>
        <v>1</v>
      </c>
      <c r="F4804" t="str">
        <f t="shared" si="889"/>
        <v>COM</v>
      </c>
      <c r="G4804" t="str">
        <f>"FABIO SOUZA DE JESUS (637)"</f>
        <v>FABIO SOUZA DE JESUS (637)</v>
      </c>
      <c r="H4804" t="str">
        <f>"Serv.Prest. 22/09/2025 a 25/09/2025 - PIX: CELULAR - CHAVE: (27) 99950-3450"</f>
        <v>Serv.Prest. 22/09/2025 a 25/09/2025 - PIX: CELULAR - CHAVE: (27) 99950-3450</v>
      </c>
      <c r="I4804" t="str">
        <f>("09/10/2025")</f>
        <v>09/10/2025</v>
      </c>
      <c r="J4804" t="str">
        <f>("26/09/2025")</f>
        <v>26/09/2025</v>
      </c>
      <c r="K4804" t="str">
        <f>("08/10/2025")</f>
        <v>08/10/2025</v>
      </c>
      <c r="L4804">
        <v>20</v>
      </c>
      <c r="M4804">
        <v>20</v>
      </c>
      <c r="N4804">
        <v>109</v>
      </c>
      <c r="O4804" t="str">
        <f>"PAGAMENTO DE ENTREGADORES"</f>
        <v>PAGAMENTO DE ENTREGADORES</v>
      </c>
      <c r="P4804">
        <v>20</v>
      </c>
      <c r="S4804" t="str">
        <f>"CAIXA MOVIMENTAÇÃO OPERACIONAL (132)"</f>
        <v>CAIXA MOVIMENTAÇÃO OPERACIONAL (132)</v>
      </c>
      <c r="T4804">
        <v>19303</v>
      </c>
      <c r="U4804">
        <v>23273</v>
      </c>
      <c r="V4804" t="s">
        <v>48</v>
      </c>
    </row>
    <row r="4805" spans="1:22">
      <c r="A4805" t="str">
        <f t="shared" si="888"/>
        <v>08/10/2025</v>
      </c>
      <c r="B4805" t="str">
        <f>"SAÍDA"</f>
        <v>SAÍDA</v>
      </c>
      <c r="C4805" t="str">
        <f>"PIX"</f>
        <v>PIX</v>
      </c>
      <c r="D4805" t="str">
        <f>"22653"</f>
        <v>22653</v>
      </c>
      <c r="E4805" t="str">
        <f>"1"</f>
        <v>1</v>
      </c>
      <c r="F4805" t="str">
        <f t="shared" si="889"/>
        <v>COM</v>
      </c>
      <c r="G4805" t="str">
        <f>"FABIO SOUZA DE JESUS (637)"</f>
        <v>FABIO SOUZA DE JESUS (637)</v>
      </c>
      <c r="H4805" t="s">
        <v>1397</v>
      </c>
      <c r="I4805" t="str">
        <f>("09/10/2025")</f>
        <v>09/10/2025</v>
      </c>
      <c r="J4805" t="str">
        <f>("26/09/2025")</f>
        <v>26/09/2025</v>
      </c>
      <c r="K4805">
        <v>45938</v>
      </c>
      <c r="N4805">
        <v>109</v>
      </c>
      <c r="O4805" t="s">
        <v>24</v>
      </c>
      <c r="Q4805">
        <v>6.67</v>
      </c>
      <c r="R4805" t="str">
        <f>"FARMÁCIA INDIANA LJ 243 (10142)"</f>
        <v>FARMÁCIA INDIANA LJ 243 (10142)</v>
      </c>
      <c r="S4805" t="s">
        <v>48</v>
      </c>
      <c r="T4805">
        <v>19303</v>
      </c>
      <c r="U4805">
        <v>23273</v>
      </c>
      <c r="V4805" t="s">
        <v>48</v>
      </c>
    </row>
    <row r="4806" spans="1:22">
      <c r="A4806" t="str">
        <f t="shared" si="888"/>
        <v>08/10/2025</v>
      </c>
      <c r="B4806" t="str">
        <f>"SAÍDA"</f>
        <v>SAÍDA</v>
      </c>
      <c r="C4806" t="str">
        <f>"PIX"</f>
        <v>PIX</v>
      </c>
      <c r="D4806" t="str">
        <f>"22653"</f>
        <v>22653</v>
      </c>
      <c r="E4806" t="str">
        <f>"1"</f>
        <v>1</v>
      </c>
      <c r="F4806" t="str">
        <f t="shared" si="889"/>
        <v>COM</v>
      </c>
      <c r="G4806" t="str">
        <f>"FABIO SOUZA DE JESUS (637)"</f>
        <v>FABIO SOUZA DE JESUS (637)</v>
      </c>
      <c r="H4806" t="s">
        <v>1397</v>
      </c>
      <c r="I4806" t="str">
        <f>("09/10/2025")</f>
        <v>09/10/2025</v>
      </c>
      <c r="J4806" t="str">
        <f>("26/09/2025")</f>
        <v>26/09/2025</v>
      </c>
      <c r="K4806">
        <v>45938</v>
      </c>
      <c r="N4806">
        <v>109</v>
      </c>
      <c r="O4806" t="s">
        <v>24</v>
      </c>
      <c r="Q4806">
        <v>13.33</v>
      </c>
      <c r="R4806" t="str">
        <f>"FARMÁCIA INDIANA LJ 235 (10190)"</f>
        <v>FARMÁCIA INDIANA LJ 235 (10190)</v>
      </c>
      <c r="S4806" t="s">
        <v>48</v>
      </c>
      <c r="T4806">
        <v>19303</v>
      </c>
      <c r="U4806">
        <v>23273</v>
      </c>
      <c r="V4806" t="s">
        <v>48</v>
      </c>
    </row>
    <row r="4807" spans="1:22">
      <c r="A4807" t="str">
        <f t="shared" si="888"/>
        <v>08/10/2025</v>
      </c>
      <c r="B4807" t="str">
        <f>"ENTRADA"</f>
        <v>ENTRADA</v>
      </c>
      <c r="C4807" t="str">
        <f>"DINHEIRO"</f>
        <v>DINHEIRO</v>
      </c>
      <c r="D4807" t="str">
        <f>"637"</f>
        <v>637</v>
      </c>
      <c r="E4807" t="str">
        <f>"9"</f>
        <v>9</v>
      </c>
      <c r="F4807" t="str">
        <f t="shared" si="889"/>
        <v>COM</v>
      </c>
      <c r="G4807" t="str">
        <f>"FABIO SOUZA DE JESUS (637)"</f>
        <v>FABIO SOUZA DE JESUS (637)</v>
      </c>
      <c r="H4807" t="str">
        <f>"COTAS COOPERATIVA"</f>
        <v>COTAS COOPERATIVA</v>
      </c>
      <c r="I4807" t="str">
        <f>("13/10/2025")</f>
        <v>13/10/2025</v>
      </c>
      <c r="J4807" t="str">
        <f>("12/02/2025")</f>
        <v>12/02/2025</v>
      </c>
      <c r="K4807" t="str">
        <f>("08/10/2025")</f>
        <v>08/10/2025</v>
      </c>
      <c r="L4807">
        <v>20</v>
      </c>
      <c r="M4807">
        <v>20</v>
      </c>
      <c r="N4807">
        <v>106</v>
      </c>
      <c r="O4807" t="str">
        <f>"ENTRADA DE CAPITAL"</f>
        <v>ENTRADA DE CAPITAL</v>
      </c>
      <c r="P4807">
        <v>20</v>
      </c>
      <c r="S4807" t="str">
        <f>"ENTRADA DE CAPITAL (106)"</f>
        <v>ENTRADA DE CAPITAL (106)</v>
      </c>
      <c r="T4807">
        <v>19304</v>
      </c>
      <c r="U4807">
        <v>9173</v>
      </c>
      <c r="V4807" t="s">
        <v>48</v>
      </c>
    </row>
    <row r="4808" spans="1:22">
      <c r="A4808" t="str">
        <f t="shared" si="888"/>
        <v>08/10/2025</v>
      </c>
      <c r="B4808" t="str">
        <f>"ENTRADA"</f>
        <v>ENTRADA</v>
      </c>
      <c r="C4808" t="str">
        <f>"DINHEIRO"</f>
        <v>DINHEIRO</v>
      </c>
      <c r="D4808" t="str">
        <f>"637"</f>
        <v>637</v>
      </c>
      <c r="E4808" t="str">
        <f>"9"</f>
        <v>9</v>
      </c>
      <c r="F4808" t="str">
        <f t="shared" si="889"/>
        <v>COM</v>
      </c>
      <c r="G4808" t="str">
        <f>"FABIO SOUZA DE JESUS (637)"</f>
        <v>FABIO SOUZA DE JESUS (637)</v>
      </c>
      <c r="H4808" t="s">
        <v>318</v>
      </c>
      <c r="I4808" t="str">
        <f>("13/10/2025")</f>
        <v>13/10/2025</v>
      </c>
      <c r="J4808" t="str">
        <f>("12/02/2025")</f>
        <v>12/02/2025</v>
      </c>
      <c r="K4808">
        <v>45938</v>
      </c>
      <c r="N4808">
        <v>106</v>
      </c>
      <c r="O4808" t="s">
        <v>51</v>
      </c>
      <c r="Q4808">
        <v>20</v>
      </c>
      <c r="R4808" t="str">
        <f>"FABIO SOUZA DE JESUS (637)"</f>
        <v>FABIO SOUZA DE JESUS (637)</v>
      </c>
      <c r="S4808" t="s">
        <v>52</v>
      </c>
      <c r="T4808">
        <v>19304</v>
      </c>
      <c r="U4808">
        <v>9173</v>
      </c>
      <c r="V4808" t="s">
        <v>48</v>
      </c>
    </row>
    <row r="4809" spans="1:22">
      <c r="A4809" t="str">
        <f t="shared" si="888"/>
        <v>08/10/2025</v>
      </c>
      <c r="B4809" t="str">
        <f>"ENTRADA"</f>
        <v>ENTRADA</v>
      </c>
      <c r="C4809" t="str">
        <f>"DINHEIRO"</f>
        <v>DINHEIRO</v>
      </c>
      <c r="D4809" t="str">
        <f>"788"</f>
        <v>788</v>
      </c>
      <c r="E4809" t="str">
        <f>"6"</f>
        <v>6</v>
      </c>
      <c r="F4809" t="str">
        <f t="shared" si="889"/>
        <v>COM</v>
      </c>
      <c r="G4809" t="str">
        <f>"FABRICIO QUEIROZ DE OLIVEIRA (788)"</f>
        <v>FABRICIO QUEIROZ DE OLIVEIRA (788)</v>
      </c>
      <c r="H4809" t="str">
        <f>"COTAS COOPERATIVA"</f>
        <v>COTAS COOPERATIVA</v>
      </c>
      <c r="I4809" t="str">
        <f>("08/10/2025")</f>
        <v>08/10/2025</v>
      </c>
      <c r="J4809" t="str">
        <f>("27/04/2025")</f>
        <v>27/04/2025</v>
      </c>
      <c r="K4809" t="str">
        <f>("08/10/2025")</f>
        <v>08/10/2025</v>
      </c>
      <c r="L4809">
        <v>20</v>
      </c>
      <c r="M4809">
        <v>20</v>
      </c>
      <c r="N4809">
        <v>106</v>
      </c>
      <c r="O4809" t="str">
        <f>"ENTRADA DE CAPITAL"</f>
        <v>ENTRADA DE CAPITAL</v>
      </c>
      <c r="P4809">
        <v>20</v>
      </c>
      <c r="S4809" t="str">
        <f>"ENTRADA DE CAPITAL (106)"</f>
        <v>ENTRADA DE CAPITAL (106)</v>
      </c>
      <c r="T4809">
        <v>19305</v>
      </c>
      <c r="U4809">
        <v>13908</v>
      </c>
      <c r="V4809" t="s">
        <v>48</v>
      </c>
    </row>
    <row r="4810" spans="1:22">
      <c r="A4810" t="str">
        <f t="shared" si="888"/>
        <v>08/10/2025</v>
      </c>
      <c r="B4810" t="str">
        <f>"ENTRADA"</f>
        <v>ENTRADA</v>
      </c>
      <c r="C4810" t="str">
        <f>"DINHEIRO"</f>
        <v>DINHEIRO</v>
      </c>
      <c r="D4810" t="str">
        <f>"788"</f>
        <v>788</v>
      </c>
      <c r="E4810" t="str">
        <f>"6"</f>
        <v>6</v>
      </c>
      <c r="F4810" t="str">
        <f t="shared" si="889"/>
        <v>COM</v>
      </c>
      <c r="G4810" t="str">
        <f>"FABRICIO QUEIROZ DE OLIVEIRA (788)"</f>
        <v>FABRICIO QUEIROZ DE OLIVEIRA (788)</v>
      </c>
      <c r="H4810" t="s">
        <v>318</v>
      </c>
      <c r="I4810" t="str">
        <f>("08/10/2025")</f>
        <v>08/10/2025</v>
      </c>
      <c r="J4810" t="str">
        <f>("27/04/2025")</f>
        <v>27/04/2025</v>
      </c>
      <c r="K4810">
        <v>45938</v>
      </c>
      <c r="N4810">
        <v>106</v>
      </c>
      <c r="O4810" t="s">
        <v>51</v>
      </c>
      <c r="Q4810">
        <v>20</v>
      </c>
      <c r="R4810" t="str">
        <f>"FABRICIO QUEIROZ DE OLIVEIRA (788)"</f>
        <v>FABRICIO QUEIROZ DE OLIVEIRA (788)</v>
      </c>
      <c r="S4810" t="s">
        <v>52</v>
      </c>
      <c r="T4810">
        <v>19305</v>
      </c>
      <c r="U4810">
        <v>13908</v>
      </c>
      <c r="V4810" t="s">
        <v>48</v>
      </c>
    </row>
    <row r="4811" spans="1:22">
      <c r="A4811" t="str">
        <f t="shared" si="888"/>
        <v>08/10/2025</v>
      </c>
      <c r="B4811" t="str">
        <f>"SAÍDA"</f>
        <v>SAÍDA</v>
      </c>
      <c r="C4811" t="str">
        <f>"PIX"</f>
        <v>PIX</v>
      </c>
      <c r="D4811" t="str">
        <f>"22827"</f>
        <v>22827</v>
      </c>
      <c r="E4811" t="str">
        <f>"1"</f>
        <v>1</v>
      </c>
      <c r="F4811" t="str">
        <f t="shared" si="889"/>
        <v>COM</v>
      </c>
      <c r="G4811" t="str">
        <f>"FABRICIO QUEIROZ DE OLIVEIRA (788)"</f>
        <v>FABRICIO QUEIROZ DE OLIVEIRA (788)</v>
      </c>
      <c r="H4811" t="str">
        <f>"Serv.Prest. 29/09/2025 a 05/10/2025 - PIX: CPF - CHAVE: 138.798.486-10"</f>
        <v>Serv.Prest. 29/09/2025 a 05/10/2025 - PIX: CPF - CHAVE: 138.798.486-10</v>
      </c>
      <c r="I4811" t="str">
        <f>("09/10/2025")</f>
        <v>09/10/2025</v>
      </c>
      <c r="J4811" t="str">
        <f>("06/10/2025")</f>
        <v>06/10/2025</v>
      </c>
      <c r="K4811" t="str">
        <f>("08/10/2025")</f>
        <v>08/10/2025</v>
      </c>
      <c r="L4811">
        <v>20</v>
      </c>
      <c r="M4811">
        <v>20</v>
      </c>
      <c r="N4811">
        <v>109</v>
      </c>
      <c r="O4811" t="str">
        <f>"PAGAMENTO DE ENTREGADORES"</f>
        <v>PAGAMENTO DE ENTREGADORES</v>
      </c>
      <c r="P4811">
        <v>20</v>
      </c>
      <c r="S4811" t="str">
        <f>"CAIXA MOVIMENTAÇÃO OPERACIONAL (132)"</f>
        <v>CAIXA MOVIMENTAÇÃO OPERACIONAL (132)</v>
      </c>
      <c r="T4811">
        <v>19306</v>
      </c>
      <c r="U4811">
        <v>23274</v>
      </c>
      <c r="V4811" t="s">
        <v>48</v>
      </c>
    </row>
    <row r="4812" spans="1:22">
      <c r="A4812" t="str">
        <f t="shared" si="888"/>
        <v>08/10/2025</v>
      </c>
      <c r="B4812" t="str">
        <f>"SAÍDA"</f>
        <v>SAÍDA</v>
      </c>
      <c r="C4812" t="str">
        <f>"PIX"</f>
        <v>PIX</v>
      </c>
      <c r="D4812" t="str">
        <f>"22827"</f>
        <v>22827</v>
      </c>
      <c r="E4812" t="str">
        <f>"1"</f>
        <v>1</v>
      </c>
      <c r="F4812" t="str">
        <f t="shared" si="889"/>
        <v>COM</v>
      </c>
      <c r="G4812" t="str">
        <f>"FABRICIO QUEIROZ DE OLIVEIRA (788)"</f>
        <v>FABRICIO QUEIROZ DE OLIVEIRA (788)</v>
      </c>
      <c r="H4812" t="s">
        <v>1398</v>
      </c>
      <c r="I4812" t="str">
        <f>("09/10/2025")</f>
        <v>09/10/2025</v>
      </c>
      <c r="J4812" t="str">
        <f>("06/10/2025")</f>
        <v>06/10/2025</v>
      </c>
      <c r="K4812">
        <v>45938</v>
      </c>
      <c r="N4812">
        <v>109</v>
      </c>
      <c r="O4812" t="s">
        <v>24</v>
      </c>
      <c r="Q4812">
        <v>17.62</v>
      </c>
      <c r="R4812" t="str">
        <f>"FRAN FARMA LJ 2 (10131)"</f>
        <v>FRAN FARMA LJ 2 (10131)</v>
      </c>
      <c r="S4812" t="s">
        <v>48</v>
      </c>
      <c r="T4812">
        <v>19306</v>
      </c>
      <c r="U4812">
        <v>23274</v>
      </c>
      <c r="V4812" t="s">
        <v>48</v>
      </c>
    </row>
    <row r="4813" spans="1:22">
      <c r="A4813" t="str">
        <f t="shared" si="888"/>
        <v>08/10/2025</v>
      </c>
      <c r="B4813" t="str">
        <f>"SAÍDA"</f>
        <v>SAÍDA</v>
      </c>
      <c r="C4813" t="str">
        <f>"PIX"</f>
        <v>PIX</v>
      </c>
      <c r="D4813" t="str">
        <f>"22827"</f>
        <v>22827</v>
      </c>
      <c r="E4813" t="str">
        <f>"1"</f>
        <v>1</v>
      </c>
      <c r="F4813" t="str">
        <f t="shared" si="889"/>
        <v>COM</v>
      </c>
      <c r="G4813" t="str">
        <f>"FABRICIO QUEIROZ DE OLIVEIRA (788)"</f>
        <v>FABRICIO QUEIROZ DE OLIVEIRA (788)</v>
      </c>
      <c r="H4813" t="s">
        <v>1398</v>
      </c>
      <c r="I4813" t="str">
        <f>("09/10/2025")</f>
        <v>09/10/2025</v>
      </c>
      <c r="J4813" t="str">
        <f>("06/10/2025")</f>
        <v>06/10/2025</v>
      </c>
      <c r="K4813">
        <v>45938</v>
      </c>
      <c r="N4813">
        <v>109</v>
      </c>
      <c r="O4813" t="s">
        <v>24</v>
      </c>
      <c r="Q4813">
        <v>2.38</v>
      </c>
      <c r="R4813" t="str">
        <f>"FRAN FARMA LJ 3 (10132)"</f>
        <v>FRAN FARMA LJ 3 (10132)</v>
      </c>
      <c r="S4813" t="s">
        <v>48</v>
      </c>
      <c r="T4813">
        <v>19306</v>
      </c>
      <c r="U4813">
        <v>23274</v>
      </c>
      <c r="V4813" t="s">
        <v>48</v>
      </c>
    </row>
    <row r="4814" spans="1:22">
      <c r="A4814" t="str">
        <f t="shared" si="888"/>
        <v>08/10/2025</v>
      </c>
      <c r="B4814" t="str">
        <f>"SAÍDA"</f>
        <v>SAÍDA</v>
      </c>
      <c r="C4814" t="str">
        <f>"PIX"</f>
        <v>PIX</v>
      </c>
      <c r="D4814" t="str">
        <f>"22575"</f>
        <v>22575</v>
      </c>
      <c r="E4814" t="str">
        <f>"1"</f>
        <v>1</v>
      </c>
      <c r="F4814" t="str">
        <f t="shared" si="889"/>
        <v>COM</v>
      </c>
      <c r="G4814" t="str">
        <f>"FABRICIO RAMON SOARES SANTOS (645)"</f>
        <v>FABRICIO RAMON SOARES SANTOS (645)</v>
      </c>
      <c r="H4814" t="str">
        <f>"Serv.Prest. 22/09/2025 a 25/09/2025 - PIX: CELULAR - CHAVE: (31) 98483-3242"</f>
        <v>Serv.Prest. 22/09/2025 a 25/09/2025 - PIX: CELULAR - CHAVE: (31) 98483-3242</v>
      </c>
      <c r="I4814" t="str">
        <f>("09/10/2025")</f>
        <v>09/10/2025</v>
      </c>
      <c r="J4814" t="str">
        <f>("26/09/2025")</f>
        <v>26/09/2025</v>
      </c>
      <c r="K4814" t="str">
        <f>("08/10/2025")</f>
        <v>08/10/2025</v>
      </c>
      <c r="L4814">
        <v>20</v>
      </c>
      <c r="M4814">
        <v>20</v>
      </c>
      <c r="N4814">
        <v>109</v>
      </c>
      <c r="O4814" t="str">
        <f>"PAGAMENTO DE ENTREGADORES"</f>
        <v>PAGAMENTO DE ENTREGADORES</v>
      </c>
      <c r="P4814">
        <v>20</v>
      </c>
      <c r="S4814" t="str">
        <f>"CAIXA MOVIMENTAÇÃO OPERACIONAL (132)"</f>
        <v>CAIXA MOVIMENTAÇÃO OPERACIONAL (132)</v>
      </c>
      <c r="T4814">
        <v>19307</v>
      </c>
      <c r="U4814">
        <v>23275</v>
      </c>
      <c r="V4814" t="s">
        <v>48</v>
      </c>
    </row>
    <row r="4815" spans="1:22">
      <c r="A4815" t="str">
        <f t="shared" ref="A4815:A4878" si="890">("08/10/2025")</f>
        <v>08/10/2025</v>
      </c>
      <c r="B4815" t="str">
        <f>"SAÍDA"</f>
        <v>SAÍDA</v>
      </c>
      <c r="C4815" t="str">
        <f>"PIX"</f>
        <v>PIX</v>
      </c>
      <c r="D4815" t="str">
        <f>"22575"</f>
        <v>22575</v>
      </c>
      <c r="E4815" t="str">
        <f>"1"</f>
        <v>1</v>
      </c>
      <c r="F4815" t="str">
        <f t="shared" ref="F4815:F4878" si="891">"COM"</f>
        <v>COM</v>
      </c>
      <c r="G4815" t="str">
        <f>"FABRICIO RAMON SOARES SANTOS (645)"</f>
        <v>FABRICIO RAMON SOARES SANTOS (645)</v>
      </c>
      <c r="H4815" t="s">
        <v>1399</v>
      </c>
      <c r="I4815" t="str">
        <f>("09/10/2025")</f>
        <v>09/10/2025</v>
      </c>
      <c r="J4815" t="str">
        <f>("26/09/2025")</f>
        <v>26/09/2025</v>
      </c>
      <c r="K4815">
        <v>45938</v>
      </c>
      <c r="N4815">
        <v>109</v>
      </c>
      <c r="O4815" t="s">
        <v>24</v>
      </c>
      <c r="Q4815">
        <v>20</v>
      </c>
      <c r="R4815" t="str">
        <f>"FARMÁCIA INDIANA LJ 101 (10043)"</f>
        <v>FARMÁCIA INDIANA LJ 101 (10043)</v>
      </c>
      <c r="S4815" t="s">
        <v>48</v>
      </c>
      <c r="T4815">
        <v>19307</v>
      </c>
      <c r="U4815">
        <v>23275</v>
      </c>
      <c r="V4815" t="s">
        <v>48</v>
      </c>
    </row>
    <row r="4816" spans="1:22">
      <c r="A4816" t="str">
        <f t="shared" si="890"/>
        <v>08/10/2025</v>
      </c>
      <c r="B4816" t="str">
        <f>"ENTRADA"</f>
        <v>ENTRADA</v>
      </c>
      <c r="C4816" t="str">
        <f>"DINHEIRO"</f>
        <v>DINHEIRO</v>
      </c>
      <c r="D4816" t="str">
        <f>"25"</f>
        <v>25</v>
      </c>
      <c r="E4816" t="str">
        <f>"8"</f>
        <v>8</v>
      </c>
      <c r="F4816" t="str">
        <f t="shared" si="891"/>
        <v>COM</v>
      </c>
      <c r="G4816" t="str">
        <f>"FABRICIO RAMON SOARES SANTOS (645)"</f>
        <v>FABRICIO RAMON SOARES SANTOS (645)</v>
      </c>
      <c r="H4816" t="str">
        <f>"DESCONTO COTA COOPERATIVA"</f>
        <v>DESCONTO COTA COOPERATIVA</v>
      </c>
      <c r="I4816" t="str">
        <f>("13/10/2025")</f>
        <v>13/10/2025</v>
      </c>
      <c r="J4816" t="str">
        <f>("13/03/2025")</f>
        <v>13/03/2025</v>
      </c>
      <c r="K4816" t="str">
        <f>("08/10/2025")</f>
        <v>08/10/2025</v>
      </c>
      <c r="L4816">
        <v>20</v>
      </c>
      <c r="M4816">
        <v>20</v>
      </c>
      <c r="N4816">
        <v>106</v>
      </c>
      <c r="O4816" t="str">
        <f>"ENTRADA DE CAPITAL"</f>
        <v>ENTRADA DE CAPITAL</v>
      </c>
      <c r="P4816">
        <v>20</v>
      </c>
      <c r="S4816" t="str">
        <f>"ENTRADA DE CAPITAL (106)"</f>
        <v>ENTRADA DE CAPITAL (106)</v>
      </c>
      <c r="T4816">
        <v>19308</v>
      </c>
      <c r="U4816">
        <v>10898</v>
      </c>
      <c r="V4816" t="s">
        <v>48</v>
      </c>
    </row>
    <row r="4817" spans="1:22">
      <c r="A4817" t="str">
        <f t="shared" si="890"/>
        <v>08/10/2025</v>
      </c>
      <c r="B4817" t="str">
        <f>"ENTRADA"</f>
        <v>ENTRADA</v>
      </c>
      <c r="C4817" t="str">
        <f>"DINHEIRO"</f>
        <v>DINHEIRO</v>
      </c>
      <c r="D4817" t="str">
        <f>"25"</f>
        <v>25</v>
      </c>
      <c r="E4817" t="str">
        <f>"8"</f>
        <v>8</v>
      </c>
      <c r="F4817" t="str">
        <f t="shared" si="891"/>
        <v>COM</v>
      </c>
      <c r="G4817" t="str">
        <f>"FABRICIO RAMON SOARES SANTOS (645)"</f>
        <v>FABRICIO RAMON SOARES SANTOS (645)</v>
      </c>
      <c r="H4817" t="s">
        <v>360</v>
      </c>
      <c r="I4817" t="str">
        <f>("13/10/2025")</f>
        <v>13/10/2025</v>
      </c>
      <c r="J4817" t="str">
        <f>("13/03/2025")</f>
        <v>13/03/2025</v>
      </c>
      <c r="K4817">
        <v>45938</v>
      </c>
      <c r="N4817">
        <v>106</v>
      </c>
      <c r="O4817" t="s">
        <v>51</v>
      </c>
      <c r="Q4817">
        <v>20</v>
      </c>
      <c r="R4817" t="str">
        <f>"FABRICIO RAMON SOARES SANTOS (645)"</f>
        <v>FABRICIO RAMON SOARES SANTOS (645)</v>
      </c>
      <c r="S4817" t="s">
        <v>52</v>
      </c>
      <c r="T4817">
        <v>19308</v>
      </c>
      <c r="U4817">
        <v>10898</v>
      </c>
      <c r="V4817" t="s">
        <v>48</v>
      </c>
    </row>
    <row r="4818" spans="1:22">
      <c r="A4818" t="str">
        <f t="shared" si="890"/>
        <v>08/10/2025</v>
      </c>
      <c r="B4818" t="str">
        <f>"ENTRADA"</f>
        <v>ENTRADA</v>
      </c>
      <c r="C4818" t="str">
        <f>"DINHEIRO"</f>
        <v>DINHEIRO</v>
      </c>
      <c r="D4818" t="str">
        <f>"701"</f>
        <v>701</v>
      </c>
      <c r="E4818" t="str">
        <f>"6"</f>
        <v>6</v>
      </c>
      <c r="F4818" t="str">
        <f t="shared" si="891"/>
        <v>COM</v>
      </c>
      <c r="G4818" t="str">
        <f>"FERNANDO MARTINS DA SILVA (701)"</f>
        <v>FERNANDO MARTINS DA SILVA (701)</v>
      </c>
      <c r="H4818" t="str">
        <f>"COTA COOPERATIVA"</f>
        <v>COTA COOPERATIVA</v>
      </c>
      <c r="I4818" t="str">
        <f>("08/10/2025")</f>
        <v>08/10/2025</v>
      </c>
      <c r="J4818" t="str">
        <f>("31/03/2025")</f>
        <v>31/03/2025</v>
      </c>
      <c r="K4818" t="str">
        <f>("08/10/2025")</f>
        <v>08/10/2025</v>
      </c>
      <c r="L4818">
        <v>20</v>
      </c>
      <c r="M4818">
        <v>20</v>
      </c>
      <c r="N4818">
        <v>106</v>
      </c>
      <c r="O4818" t="str">
        <f>"ENTRADA DE CAPITAL"</f>
        <v>ENTRADA DE CAPITAL</v>
      </c>
      <c r="P4818">
        <v>20</v>
      </c>
      <c r="S4818" t="str">
        <f>"ENTRADA DE CAPITAL (106)"</f>
        <v>ENTRADA DE CAPITAL (106)</v>
      </c>
      <c r="T4818">
        <v>19309</v>
      </c>
      <c r="U4818">
        <v>13936</v>
      </c>
      <c r="V4818" t="s">
        <v>48</v>
      </c>
    </row>
    <row r="4819" spans="1:22">
      <c r="A4819" t="str">
        <f t="shared" si="890"/>
        <v>08/10/2025</v>
      </c>
      <c r="B4819" t="str">
        <f>"ENTRADA"</f>
        <v>ENTRADA</v>
      </c>
      <c r="C4819" t="str">
        <f>"DINHEIRO"</f>
        <v>DINHEIRO</v>
      </c>
      <c r="D4819" t="str">
        <f>"701"</f>
        <v>701</v>
      </c>
      <c r="E4819" t="str">
        <f>"6"</f>
        <v>6</v>
      </c>
      <c r="F4819" t="str">
        <f t="shared" si="891"/>
        <v>COM</v>
      </c>
      <c r="G4819" t="str">
        <f>"FERNANDO MARTINS DA SILVA (701)"</f>
        <v>FERNANDO MARTINS DA SILVA (701)</v>
      </c>
      <c r="H4819" t="s">
        <v>50</v>
      </c>
      <c r="I4819" t="str">
        <f>("08/10/2025")</f>
        <v>08/10/2025</v>
      </c>
      <c r="J4819" t="str">
        <f>("31/03/2025")</f>
        <v>31/03/2025</v>
      </c>
      <c r="K4819">
        <v>45938</v>
      </c>
      <c r="N4819">
        <v>106</v>
      </c>
      <c r="O4819" t="s">
        <v>51</v>
      </c>
      <c r="Q4819">
        <v>20</v>
      </c>
      <c r="R4819" t="str">
        <f>"FERNANDO MARTINS DA SILVA (701)"</f>
        <v>FERNANDO MARTINS DA SILVA (701)</v>
      </c>
      <c r="S4819" t="s">
        <v>52</v>
      </c>
      <c r="T4819">
        <v>19309</v>
      </c>
      <c r="U4819">
        <v>13936</v>
      </c>
      <c r="V4819" t="s">
        <v>48</v>
      </c>
    </row>
    <row r="4820" spans="1:22">
      <c r="A4820" t="str">
        <f t="shared" si="890"/>
        <v>08/10/2025</v>
      </c>
      <c r="B4820" t="str">
        <f>"SAÍDA"</f>
        <v>SAÍDA</v>
      </c>
      <c r="C4820" t="str">
        <f>"PIX"</f>
        <v>PIX</v>
      </c>
      <c r="D4820" t="str">
        <f>"22769"</f>
        <v>22769</v>
      </c>
      <c r="E4820" t="str">
        <f>"1"</f>
        <v>1</v>
      </c>
      <c r="F4820" t="str">
        <f t="shared" si="891"/>
        <v>COM</v>
      </c>
      <c r="G4820" t="str">
        <f>"FERNANDO MARTINS DA SILVA (701)"</f>
        <v>FERNANDO MARTINS DA SILVA (701)</v>
      </c>
      <c r="H4820" t="str">
        <f>"Serv.Prest. 22/09/2025 a 28/09/2025 - PIX: CPF - CHAVE: 004.682.359-06"</f>
        <v>Serv.Prest. 22/09/2025 a 28/09/2025 - PIX: CPF - CHAVE: 004.682.359-06</v>
      </c>
      <c r="I4820" t="str">
        <f>("09/10/2025")</f>
        <v>09/10/2025</v>
      </c>
      <c r="J4820" t="str">
        <f>("30/09/2025")</f>
        <v>30/09/2025</v>
      </c>
      <c r="K4820" t="str">
        <f>("08/10/2025")</f>
        <v>08/10/2025</v>
      </c>
      <c r="L4820">
        <v>20</v>
      </c>
      <c r="M4820">
        <v>20</v>
      </c>
      <c r="N4820">
        <v>109</v>
      </c>
      <c r="O4820" t="str">
        <f>"PAGAMENTO DE ENTREGADORES"</f>
        <v>PAGAMENTO DE ENTREGADORES</v>
      </c>
      <c r="P4820">
        <v>20</v>
      </c>
      <c r="S4820" t="str">
        <f>"CAIXA MOVIMENTAÇÃO OPERACIONAL (132)"</f>
        <v>CAIXA MOVIMENTAÇÃO OPERACIONAL (132)</v>
      </c>
      <c r="T4820">
        <v>19310</v>
      </c>
      <c r="U4820">
        <v>23276</v>
      </c>
      <c r="V4820" t="s">
        <v>48</v>
      </c>
    </row>
    <row r="4821" spans="1:22">
      <c r="A4821" t="str">
        <f t="shared" si="890"/>
        <v>08/10/2025</v>
      </c>
      <c r="B4821" t="str">
        <f>"SAÍDA"</f>
        <v>SAÍDA</v>
      </c>
      <c r="C4821" t="str">
        <f>"PIX"</f>
        <v>PIX</v>
      </c>
      <c r="D4821" t="str">
        <f>"22769"</f>
        <v>22769</v>
      </c>
      <c r="E4821" t="str">
        <f>"1"</f>
        <v>1</v>
      </c>
      <c r="F4821" t="str">
        <f t="shared" si="891"/>
        <v>COM</v>
      </c>
      <c r="G4821" t="str">
        <f>"FERNANDO MARTINS DA SILVA (701)"</f>
        <v>FERNANDO MARTINS DA SILVA (701)</v>
      </c>
      <c r="H4821" t="s">
        <v>1400</v>
      </c>
      <c r="I4821" t="str">
        <f>("09/10/2025")</f>
        <v>09/10/2025</v>
      </c>
      <c r="J4821" t="str">
        <f>("30/09/2025")</f>
        <v>30/09/2025</v>
      </c>
      <c r="K4821">
        <v>45938</v>
      </c>
      <c r="N4821">
        <v>109</v>
      </c>
      <c r="O4821" t="s">
        <v>24</v>
      </c>
      <c r="Q4821">
        <v>20</v>
      </c>
      <c r="R4821" t="str">
        <f>"AC FARMA - CID.ALTA (10166)"</f>
        <v>AC FARMA - CID.ALTA (10166)</v>
      </c>
      <c r="S4821" t="s">
        <v>48</v>
      </c>
      <c r="T4821">
        <v>19310</v>
      </c>
      <c r="U4821">
        <v>23276</v>
      </c>
      <c r="V4821" t="s">
        <v>48</v>
      </c>
    </row>
    <row r="4822" spans="1:22">
      <c r="A4822" t="str">
        <f t="shared" si="890"/>
        <v>08/10/2025</v>
      </c>
      <c r="B4822" t="str">
        <f>"SAÍDA"</f>
        <v>SAÍDA</v>
      </c>
      <c r="C4822" t="str">
        <f>"PIX"</f>
        <v>PIX</v>
      </c>
      <c r="D4822" t="str">
        <f>"22576"</f>
        <v>22576</v>
      </c>
      <c r="E4822" t="str">
        <f>"1"</f>
        <v>1</v>
      </c>
      <c r="F4822" t="str">
        <f t="shared" si="891"/>
        <v>COM</v>
      </c>
      <c r="G4822" t="str">
        <f>"GABRIEL DA SILVA REIS (824)"</f>
        <v>GABRIEL DA SILVA REIS (824)</v>
      </c>
      <c r="H4822" t="str">
        <f>"Serv.Prest. 22/09/2025 a 25/09/2025 - PIX: CPF - CHAVE: 160.160.216-28"</f>
        <v>Serv.Prest. 22/09/2025 a 25/09/2025 - PIX: CPF - CHAVE: 160.160.216-28</v>
      </c>
      <c r="I4822" t="str">
        <f>("09/10/2025")</f>
        <v>09/10/2025</v>
      </c>
      <c r="J4822" t="str">
        <f>("26/09/2025")</f>
        <v>26/09/2025</v>
      </c>
      <c r="K4822" t="str">
        <f>("08/10/2025")</f>
        <v>08/10/2025</v>
      </c>
      <c r="L4822">
        <v>20</v>
      </c>
      <c r="M4822">
        <v>20</v>
      </c>
      <c r="N4822">
        <v>109</v>
      </c>
      <c r="O4822" t="str">
        <f>"PAGAMENTO DE ENTREGADORES"</f>
        <v>PAGAMENTO DE ENTREGADORES</v>
      </c>
      <c r="P4822">
        <v>20</v>
      </c>
      <c r="S4822" t="str">
        <f>"CAIXA MOVIMENTAÇÃO OPERACIONAL (132)"</f>
        <v>CAIXA MOVIMENTAÇÃO OPERACIONAL (132)</v>
      </c>
      <c r="T4822">
        <v>19311</v>
      </c>
      <c r="U4822">
        <v>23277</v>
      </c>
      <c r="V4822" t="s">
        <v>48</v>
      </c>
    </row>
    <row r="4823" spans="1:22">
      <c r="A4823" t="str">
        <f t="shared" si="890"/>
        <v>08/10/2025</v>
      </c>
      <c r="B4823" t="str">
        <f>"SAÍDA"</f>
        <v>SAÍDA</v>
      </c>
      <c r="C4823" t="str">
        <f>"PIX"</f>
        <v>PIX</v>
      </c>
      <c r="D4823" t="str">
        <f>"22576"</f>
        <v>22576</v>
      </c>
      <c r="E4823" t="str">
        <f>"1"</f>
        <v>1</v>
      </c>
      <c r="F4823" t="str">
        <f t="shared" si="891"/>
        <v>COM</v>
      </c>
      <c r="G4823" t="str">
        <f>"GABRIEL DA SILVA REIS (824)"</f>
        <v>GABRIEL DA SILVA REIS (824)</v>
      </c>
      <c r="H4823" t="s">
        <v>1401</v>
      </c>
      <c r="I4823" t="str">
        <f>("09/10/2025")</f>
        <v>09/10/2025</v>
      </c>
      <c r="J4823" t="str">
        <f>("26/09/2025")</f>
        <v>26/09/2025</v>
      </c>
      <c r="K4823">
        <v>45938</v>
      </c>
      <c r="N4823">
        <v>109</v>
      </c>
      <c r="O4823" t="s">
        <v>24</v>
      </c>
      <c r="Q4823">
        <v>20</v>
      </c>
      <c r="R4823" t="str">
        <f>"FARMÁCIA INDIANA LJ 100 (10042)"</f>
        <v>FARMÁCIA INDIANA LJ 100 (10042)</v>
      </c>
      <c r="S4823" t="s">
        <v>48</v>
      </c>
      <c r="T4823">
        <v>19311</v>
      </c>
      <c r="U4823">
        <v>23277</v>
      </c>
      <c r="V4823" t="s">
        <v>48</v>
      </c>
    </row>
    <row r="4824" spans="1:22">
      <c r="A4824" t="str">
        <f t="shared" si="890"/>
        <v>08/10/2025</v>
      </c>
      <c r="B4824" t="str">
        <f>"ENTRADA"</f>
        <v>ENTRADA</v>
      </c>
      <c r="C4824" t="str">
        <f>"DINHEIRO"</f>
        <v>DINHEIRO</v>
      </c>
      <c r="D4824" t="str">
        <f>"824"</f>
        <v>824</v>
      </c>
      <c r="E4824" t="str">
        <f>"4"</f>
        <v>4</v>
      </c>
      <c r="F4824" t="str">
        <f t="shared" si="891"/>
        <v>COM</v>
      </c>
      <c r="G4824" t="str">
        <f>"GABRIEL DA SILVA REIS (824)"</f>
        <v>GABRIEL DA SILVA REIS (824)</v>
      </c>
      <c r="H4824" t="str">
        <f>"COTA COOPERATIVA"</f>
        <v>COTA COOPERATIVA</v>
      </c>
      <c r="I4824" t="str">
        <f>("10/10/2025")</f>
        <v>10/10/2025</v>
      </c>
      <c r="J4824" t="str">
        <f>("01/06/2025")</f>
        <v>01/06/2025</v>
      </c>
      <c r="K4824" t="str">
        <f>("08/10/2025")</f>
        <v>08/10/2025</v>
      </c>
      <c r="L4824">
        <v>20</v>
      </c>
      <c r="M4824">
        <v>20</v>
      </c>
      <c r="N4824">
        <v>106</v>
      </c>
      <c r="O4824" t="str">
        <f>"ENTRADA DE CAPITAL"</f>
        <v>ENTRADA DE CAPITAL</v>
      </c>
      <c r="P4824">
        <v>20</v>
      </c>
      <c r="S4824" t="str">
        <f>"ENTRADA DE CAPITAL (106)"</f>
        <v>ENTRADA DE CAPITAL (106)</v>
      </c>
      <c r="T4824">
        <v>19312</v>
      </c>
      <c r="U4824">
        <v>18198</v>
      </c>
      <c r="V4824" t="s">
        <v>48</v>
      </c>
    </row>
    <row r="4825" spans="1:22">
      <c r="A4825" t="str">
        <f t="shared" si="890"/>
        <v>08/10/2025</v>
      </c>
      <c r="B4825" t="str">
        <f>"ENTRADA"</f>
        <v>ENTRADA</v>
      </c>
      <c r="C4825" t="str">
        <f>"DINHEIRO"</f>
        <v>DINHEIRO</v>
      </c>
      <c r="D4825" t="str">
        <f>"824"</f>
        <v>824</v>
      </c>
      <c r="E4825" t="str">
        <f>"4"</f>
        <v>4</v>
      </c>
      <c r="F4825" t="str">
        <f t="shared" si="891"/>
        <v>COM</v>
      </c>
      <c r="G4825" t="str">
        <f>"GABRIEL DA SILVA REIS (824)"</f>
        <v>GABRIEL DA SILVA REIS (824)</v>
      </c>
      <c r="H4825" t="s">
        <v>50</v>
      </c>
      <c r="I4825" t="str">
        <f>("10/10/2025")</f>
        <v>10/10/2025</v>
      </c>
      <c r="J4825" t="str">
        <f>("01/06/2025")</f>
        <v>01/06/2025</v>
      </c>
      <c r="K4825">
        <v>45938</v>
      </c>
      <c r="N4825">
        <v>106</v>
      </c>
      <c r="O4825" t="s">
        <v>51</v>
      </c>
      <c r="Q4825">
        <v>20</v>
      </c>
      <c r="R4825" t="str">
        <f>"GABRIEL DA SILVA REIS (824)"</f>
        <v>GABRIEL DA SILVA REIS (824)</v>
      </c>
      <c r="S4825" t="s">
        <v>52</v>
      </c>
      <c r="T4825">
        <v>19312</v>
      </c>
      <c r="U4825">
        <v>18198</v>
      </c>
      <c r="V4825" t="s">
        <v>48</v>
      </c>
    </row>
    <row r="4826" spans="1:22">
      <c r="A4826" t="str">
        <f t="shared" si="890"/>
        <v>08/10/2025</v>
      </c>
      <c r="B4826" t="str">
        <f>"SAÍDA"</f>
        <v>SAÍDA</v>
      </c>
      <c r="C4826" t="str">
        <f>"PIX"</f>
        <v>PIX</v>
      </c>
      <c r="D4826" t="str">
        <f>"22816"</f>
        <v>22816</v>
      </c>
      <c r="E4826" t="str">
        <f>"1"</f>
        <v>1</v>
      </c>
      <c r="F4826" t="str">
        <f t="shared" si="891"/>
        <v>COM</v>
      </c>
      <c r="G4826" t="str">
        <f>"GABRIEL PACHECO DE QUEIROZ NARCISO (812)"</f>
        <v>GABRIEL PACHECO DE QUEIROZ NARCISO (812)</v>
      </c>
      <c r="H4826" t="str">
        <f>"Serv.Prest. 29/09/2025 a 05/10/2025 - PIX: CPF - CHAVE: 140.108.466-40"</f>
        <v>Serv.Prest. 29/09/2025 a 05/10/2025 - PIX: CPF - CHAVE: 140.108.466-40</v>
      </c>
      <c r="I4826" t="str">
        <f>("09/10/2025")</f>
        <v>09/10/2025</v>
      </c>
      <c r="J4826" t="str">
        <f>("06/10/2025")</f>
        <v>06/10/2025</v>
      </c>
      <c r="K4826" t="str">
        <f>("08/10/2025")</f>
        <v>08/10/2025</v>
      </c>
      <c r="L4826">
        <v>20</v>
      </c>
      <c r="M4826">
        <v>20</v>
      </c>
      <c r="N4826">
        <v>109</v>
      </c>
      <c r="O4826" t="str">
        <f>"PAGAMENTO DE ENTREGADORES"</f>
        <v>PAGAMENTO DE ENTREGADORES</v>
      </c>
      <c r="P4826">
        <v>20</v>
      </c>
      <c r="S4826" t="str">
        <f>"CAIXA MOVIMENTAÇÃO OPERACIONAL (132)"</f>
        <v>CAIXA MOVIMENTAÇÃO OPERACIONAL (132)</v>
      </c>
      <c r="T4826">
        <v>19313</v>
      </c>
      <c r="U4826">
        <v>23278</v>
      </c>
      <c r="V4826" t="s">
        <v>48</v>
      </c>
    </row>
    <row r="4827" spans="1:22">
      <c r="A4827" t="str">
        <f t="shared" si="890"/>
        <v>08/10/2025</v>
      </c>
      <c r="B4827" t="str">
        <f>"SAÍDA"</f>
        <v>SAÍDA</v>
      </c>
      <c r="C4827" t="str">
        <f>"PIX"</f>
        <v>PIX</v>
      </c>
      <c r="D4827" t="str">
        <f>"22816"</f>
        <v>22816</v>
      </c>
      <c r="E4827" t="str">
        <f>"1"</f>
        <v>1</v>
      </c>
      <c r="F4827" t="str">
        <f t="shared" si="891"/>
        <v>COM</v>
      </c>
      <c r="G4827" t="str">
        <f>"GABRIEL PACHECO DE QUEIROZ NARCISO (812)"</f>
        <v>GABRIEL PACHECO DE QUEIROZ NARCISO (812)</v>
      </c>
      <c r="H4827" t="s">
        <v>1402</v>
      </c>
      <c r="I4827" t="str">
        <f>("09/10/2025")</f>
        <v>09/10/2025</v>
      </c>
      <c r="J4827" t="str">
        <f>("06/10/2025")</f>
        <v>06/10/2025</v>
      </c>
      <c r="K4827">
        <v>45938</v>
      </c>
      <c r="N4827">
        <v>109</v>
      </c>
      <c r="O4827" t="s">
        <v>24</v>
      </c>
      <c r="Q4827">
        <v>20</v>
      </c>
      <c r="R4827" t="str">
        <f>"DROGARIA ANA VISCONDE DO RIO BRANCO (10182)"</f>
        <v>DROGARIA ANA VISCONDE DO RIO BRANCO (10182)</v>
      </c>
      <c r="S4827" t="s">
        <v>48</v>
      </c>
      <c r="T4827">
        <v>19313</v>
      </c>
      <c r="U4827">
        <v>23278</v>
      </c>
      <c r="V4827" t="s">
        <v>48</v>
      </c>
    </row>
    <row r="4828" spans="1:22">
      <c r="A4828" t="str">
        <f t="shared" si="890"/>
        <v>08/10/2025</v>
      </c>
      <c r="B4828" t="str">
        <f>"ENTRADA"</f>
        <v>ENTRADA</v>
      </c>
      <c r="C4828" t="str">
        <f>"DINHEIRO"</f>
        <v>DINHEIRO</v>
      </c>
      <c r="D4828" t="str">
        <f>"812"</f>
        <v>812</v>
      </c>
      <c r="E4828" t="str">
        <f>"5"</f>
        <v>5</v>
      </c>
      <c r="F4828" t="str">
        <f t="shared" si="891"/>
        <v>COM</v>
      </c>
      <c r="G4828" t="str">
        <f>"GABRIEL PACHECO DE QUEIROZ NARCISO (812)"</f>
        <v>GABRIEL PACHECO DE QUEIROZ NARCISO (812)</v>
      </c>
      <c r="H4828" t="str">
        <f>"COTA COOPERATIVA"</f>
        <v>COTA COOPERATIVA</v>
      </c>
      <c r="I4828" t="str">
        <f>("12/10/2025")</f>
        <v>12/10/2025</v>
      </c>
      <c r="J4828" t="str">
        <f>("16/05/2025")</f>
        <v>16/05/2025</v>
      </c>
      <c r="K4828" t="str">
        <f>("08/10/2025")</f>
        <v>08/10/2025</v>
      </c>
      <c r="L4828">
        <v>20</v>
      </c>
      <c r="M4828">
        <v>20</v>
      </c>
      <c r="N4828">
        <v>106</v>
      </c>
      <c r="O4828" t="str">
        <f>"ENTRADA DE CAPITAL"</f>
        <v>ENTRADA DE CAPITAL</v>
      </c>
      <c r="P4828">
        <v>20</v>
      </c>
      <c r="S4828" t="str">
        <f>"ENTRADA DE CAPITAL (106)"</f>
        <v>ENTRADA DE CAPITAL (106)</v>
      </c>
      <c r="T4828">
        <v>19314</v>
      </c>
      <c r="U4828">
        <v>16560</v>
      </c>
      <c r="V4828" t="s">
        <v>48</v>
      </c>
    </row>
    <row r="4829" spans="1:22">
      <c r="A4829" t="str">
        <f t="shared" si="890"/>
        <v>08/10/2025</v>
      </c>
      <c r="B4829" t="str">
        <f>"ENTRADA"</f>
        <v>ENTRADA</v>
      </c>
      <c r="C4829" t="str">
        <f>"DINHEIRO"</f>
        <v>DINHEIRO</v>
      </c>
      <c r="D4829" t="str">
        <f>"812"</f>
        <v>812</v>
      </c>
      <c r="E4829" t="str">
        <f>"5"</f>
        <v>5</v>
      </c>
      <c r="F4829" t="str">
        <f t="shared" si="891"/>
        <v>COM</v>
      </c>
      <c r="G4829" t="str">
        <f>"GABRIEL PACHECO DE QUEIROZ NARCISO (812)"</f>
        <v>GABRIEL PACHECO DE QUEIROZ NARCISO (812)</v>
      </c>
      <c r="H4829" t="s">
        <v>50</v>
      </c>
      <c r="I4829" t="str">
        <f>("12/10/2025")</f>
        <v>12/10/2025</v>
      </c>
      <c r="J4829" t="str">
        <f>("16/05/2025")</f>
        <v>16/05/2025</v>
      </c>
      <c r="K4829">
        <v>45938</v>
      </c>
      <c r="N4829">
        <v>106</v>
      </c>
      <c r="O4829" t="s">
        <v>51</v>
      </c>
      <c r="Q4829">
        <v>20</v>
      </c>
      <c r="R4829" t="str">
        <f>"GABRIEL PACHECO DE QUEIROZ NARCISO (812)"</f>
        <v>GABRIEL PACHECO DE QUEIROZ NARCISO (812)</v>
      </c>
      <c r="S4829" t="s">
        <v>52</v>
      </c>
      <c r="T4829">
        <v>19314</v>
      </c>
      <c r="U4829">
        <v>16560</v>
      </c>
      <c r="V4829" t="s">
        <v>48</v>
      </c>
    </row>
    <row r="4830" spans="1:22">
      <c r="A4830" t="str">
        <f t="shared" si="890"/>
        <v>08/10/2025</v>
      </c>
      <c r="B4830" t="str">
        <f>"SAÍDA"</f>
        <v>SAÍDA</v>
      </c>
      <c r="C4830" t="str">
        <f>"PIX"</f>
        <v>PIX</v>
      </c>
      <c r="D4830" t="str">
        <f>"22528"</f>
        <v>22528</v>
      </c>
      <c r="E4830" t="str">
        <f>"1"</f>
        <v>1</v>
      </c>
      <c r="F4830" t="str">
        <f t="shared" si="891"/>
        <v>COM</v>
      </c>
      <c r="G4830" t="str">
        <f>"GABRIEL SOUZA RIBEIRO (425)"</f>
        <v>GABRIEL SOUZA RIBEIRO (425)</v>
      </c>
      <c r="H4830" t="str">
        <f>"Serv.Prest. 22/09/2025 a 25/09/2025 - PIX: CPF - CHAVE: 087.398.185-51"</f>
        <v>Serv.Prest. 22/09/2025 a 25/09/2025 - PIX: CPF - CHAVE: 087.398.185-51</v>
      </c>
      <c r="I4830" t="str">
        <f>("09/10/2025")</f>
        <v>09/10/2025</v>
      </c>
      <c r="J4830" t="str">
        <f>("26/09/2025")</f>
        <v>26/09/2025</v>
      </c>
      <c r="K4830" t="str">
        <f>("08/10/2025")</f>
        <v>08/10/2025</v>
      </c>
      <c r="L4830">
        <v>20</v>
      </c>
      <c r="M4830">
        <v>20</v>
      </c>
      <c r="N4830">
        <v>109</v>
      </c>
      <c r="O4830" t="str">
        <f>"PAGAMENTO DE ENTREGADORES"</f>
        <v>PAGAMENTO DE ENTREGADORES</v>
      </c>
      <c r="P4830">
        <v>20</v>
      </c>
      <c r="S4830" t="str">
        <f>"CAIXA MOVIMENTAÇÃO OPERACIONAL (132)"</f>
        <v>CAIXA MOVIMENTAÇÃO OPERACIONAL (132)</v>
      </c>
      <c r="T4830">
        <v>19315</v>
      </c>
      <c r="U4830">
        <v>23279</v>
      </c>
      <c r="V4830" t="s">
        <v>48</v>
      </c>
    </row>
    <row r="4831" spans="1:22">
      <c r="A4831" t="str">
        <f t="shared" si="890"/>
        <v>08/10/2025</v>
      </c>
      <c r="B4831" t="str">
        <f>"SAÍDA"</f>
        <v>SAÍDA</v>
      </c>
      <c r="C4831" t="str">
        <f>"PIX"</f>
        <v>PIX</v>
      </c>
      <c r="D4831" t="str">
        <f>"22528"</f>
        <v>22528</v>
      </c>
      <c r="E4831" t="str">
        <f>"1"</f>
        <v>1</v>
      </c>
      <c r="F4831" t="str">
        <f t="shared" si="891"/>
        <v>COM</v>
      </c>
      <c r="G4831" t="str">
        <f>"GABRIEL SOUZA RIBEIRO (425)"</f>
        <v>GABRIEL SOUZA RIBEIRO (425)</v>
      </c>
      <c r="H4831" t="s">
        <v>1403</v>
      </c>
      <c r="I4831" t="str">
        <f>("09/10/2025")</f>
        <v>09/10/2025</v>
      </c>
      <c r="J4831" t="str">
        <f>("26/09/2025")</f>
        <v>26/09/2025</v>
      </c>
      <c r="K4831">
        <v>45938</v>
      </c>
      <c r="N4831">
        <v>109</v>
      </c>
      <c r="O4831" t="s">
        <v>24</v>
      </c>
      <c r="Q4831">
        <v>20</v>
      </c>
      <c r="R4831" t="str">
        <f>"FARMÁCIA INDIANA LJ 65 (10030)"</f>
        <v>FARMÁCIA INDIANA LJ 65 (10030)</v>
      </c>
      <c r="S4831" t="s">
        <v>48</v>
      </c>
      <c r="T4831">
        <v>19315</v>
      </c>
      <c r="U4831">
        <v>23279</v>
      </c>
      <c r="V4831" t="s">
        <v>48</v>
      </c>
    </row>
    <row r="4832" spans="1:22">
      <c r="A4832" t="str">
        <f t="shared" si="890"/>
        <v>08/10/2025</v>
      </c>
      <c r="B4832" t="str">
        <f>"ENTRADA"</f>
        <v>ENTRADA</v>
      </c>
      <c r="C4832" t="str">
        <f>"DINHEIRO"</f>
        <v>DINHEIRO</v>
      </c>
      <c r="D4832" t="str">
        <f>"05"</f>
        <v>05</v>
      </c>
      <c r="E4832" t="str">
        <f>"34"</f>
        <v>34</v>
      </c>
      <c r="F4832" t="str">
        <f t="shared" si="891"/>
        <v>COM</v>
      </c>
      <c r="G4832" t="str">
        <f>"GABRIEL SOUZA RIBEIRO (425)"</f>
        <v>GABRIEL SOUZA RIBEIRO (425)</v>
      </c>
      <c r="H4832" t="str">
        <f>"DESCONTO COTA COOPERADO"</f>
        <v>DESCONTO COTA COOPERADO</v>
      </c>
      <c r="I4832" t="str">
        <f>("16/10/2025")</f>
        <v>16/10/2025</v>
      </c>
      <c r="J4832" t="str">
        <f>("16/01/2025")</f>
        <v>16/01/2025</v>
      </c>
      <c r="K4832" t="str">
        <f>("08/10/2025")</f>
        <v>08/10/2025</v>
      </c>
      <c r="L4832">
        <v>20</v>
      </c>
      <c r="M4832">
        <v>20</v>
      </c>
      <c r="N4832">
        <v>106</v>
      </c>
      <c r="O4832" t="str">
        <f>"ENTRADA DE CAPITAL"</f>
        <v>ENTRADA DE CAPITAL</v>
      </c>
      <c r="P4832">
        <v>20</v>
      </c>
      <c r="S4832" t="str">
        <f>"ENTRADA DE CAPITAL (106)"</f>
        <v>ENTRADA DE CAPITAL (106)</v>
      </c>
      <c r="T4832">
        <v>19316</v>
      </c>
      <c r="U4832">
        <v>6306</v>
      </c>
      <c r="V4832" t="s">
        <v>48</v>
      </c>
    </row>
    <row r="4833" spans="1:22">
      <c r="A4833" t="str">
        <f t="shared" si="890"/>
        <v>08/10/2025</v>
      </c>
      <c r="B4833" t="str">
        <f>"ENTRADA"</f>
        <v>ENTRADA</v>
      </c>
      <c r="C4833" t="str">
        <f>"DINHEIRO"</f>
        <v>DINHEIRO</v>
      </c>
      <c r="D4833" t="str">
        <f>"05"</f>
        <v>05</v>
      </c>
      <c r="E4833" t="str">
        <f>"34"</f>
        <v>34</v>
      </c>
      <c r="F4833" t="str">
        <f t="shared" si="891"/>
        <v>COM</v>
      </c>
      <c r="G4833" t="str">
        <f>"GABRIEL SOUZA RIBEIRO (425)"</f>
        <v>GABRIEL SOUZA RIBEIRO (425)</v>
      </c>
      <c r="H4833" t="s">
        <v>309</v>
      </c>
      <c r="I4833" t="str">
        <f>("16/10/2025")</f>
        <v>16/10/2025</v>
      </c>
      <c r="J4833" t="str">
        <f>("16/01/2025")</f>
        <v>16/01/2025</v>
      </c>
      <c r="K4833">
        <v>45938</v>
      </c>
      <c r="N4833">
        <v>106</v>
      </c>
      <c r="O4833" t="s">
        <v>51</v>
      </c>
      <c r="Q4833">
        <v>20</v>
      </c>
      <c r="R4833" t="str">
        <f>"GABRIEL SOUZA RIBEIRO (425)"</f>
        <v>GABRIEL SOUZA RIBEIRO (425)</v>
      </c>
      <c r="S4833" t="s">
        <v>52</v>
      </c>
      <c r="T4833">
        <v>19316</v>
      </c>
      <c r="U4833">
        <v>6306</v>
      </c>
      <c r="V4833" t="s">
        <v>48</v>
      </c>
    </row>
    <row r="4834" spans="1:22">
      <c r="A4834" t="str">
        <f t="shared" si="890"/>
        <v>08/10/2025</v>
      </c>
      <c r="B4834" t="str">
        <f>"ENTRADA"</f>
        <v>ENTRADA</v>
      </c>
      <c r="C4834" t="str">
        <f>"DINHEIRO"</f>
        <v>DINHEIRO</v>
      </c>
      <c r="D4834" t="str">
        <f>"729"</f>
        <v>729</v>
      </c>
      <c r="E4834" t="str">
        <f>"6"</f>
        <v>6</v>
      </c>
      <c r="F4834" t="str">
        <f t="shared" si="891"/>
        <v>COM</v>
      </c>
      <c r="G4834" t="str">
        <f>"GERALDO SEVERINO DE SANTANA (729)"</f>
        <v>GERALDO SEVERINO DE SANTANA (729)</v>
      </c>
      <c r="H4834" t="str">
        <f>"COTA COOPERATIVA"</f>
        <v>COTA COOPERATIVA</v>
      </c>
      <c r="I4834" t="str">
        <f>("08/10/2025")</f>
        <v>08/10/2025</v>
      </c>
      <c r="J4834" t="str">
        <f>("07/04/2025")</f>
        <v>07/04/2025</v>
      </c>
      <c r="K4834" t="str">
        <f>("08/10/2025")</f>
        <v>08/10/2025</v>
      </c>
      <c r="L4834">
        <v>20</v>
      </c>
      <c r="M4834">
        <v>20</v>
      </c>
      <c r="N4834">
        <v>106</v>
      </c>
      <c r="O4834" t="str">
        <f>"ENTRADA DE CAPITAL"</f>
        <v>ENTRADA DE CAPITAL</v>
      </c>
      <c r="P4834">
        <v>20</v>
      </c>
      <c r="S4834" t="str">
        <f>"ENTRADA DE CAPITAL (106)"</f>
        <v>ENTRADA DE CAPITAL (106)</v>
      </c>
      <c r="T4834">
        <v>19317</v>
      </c>
      <c r="U4834">
        <v>13966</v>
      </c>
      <c r="V4834" t="s">
        <v>48</v>
      </c>
    </row>
    <row r="4835" spans="1:22">
      <c r="A4835" t="str">
        <f t="shared" si="890"/>
        <v>08/10/2025</v>
      </c>
      <c r="B4835" t="str">
        <f>"ENTRADA"</f>
        <v>ENTRADA</v>
      </c>
      <c r="C4835" t="str">
        <f>"DINHEIRO"</f>
        <v>DINHEIRO</v>
      </c>
      <c r="D4835" t="str">
        <f>"729"</f>
        <v>729</v>
      </c>
      <c r="E4835" t="str">
        <f>"6"</f>
        <v>6</v>
      </c>
      <c r="F4835" t="str">
        <f t="shared" si="891"/>
        <v>COM</v>
      </c>
      <c r="G4835" t="str">
        <f>"GERALDO SEVERINO DE SANTANA (729)"</f>
        <v>GERALDO SEVERINO DE SANTANA (729)</v>
      </c>
      <c r="H4835" t="s">
        <v>50</v>
      </c>
      <c r="I4835" t="str">
        <f>("08/10/2025")</f>
        <v>08/10/2025</v>
      </c>
      <c r="J4835" t="str">
        <f>("07/04/2025")</f>
        <v>07/04/2025</v>
      </c>
      <c r="K4835">
        <v>45938</v>
      </c>
      <c r="N4835">
        <v>106</v>
      </c>
      <c r="O4835" t="s">
        <v>51</v>
      </c>
      <c r="Q4835">
        <v>20</v>
      </c>
      <c r="R4835" t="str">
        <f>"GERALDO SEVERINO DE SANTANA (729)"</f>
        <v>GERALDO SEVERINO DE SANTANA (729)</v>
      </c>
      <c r="S4835" t="s">
        <v>52</v>
      </c>
      <c r="T4835">
        <v>19317</v>
      </c>
      <c r="U4835">
        <v>13966</v>
      </c>
      <c r="V4835" t="s">
        <v>48</v>
      </c>
    </row>
    <row r="4836" spans="1:22">
      <c r="A4836" t="str">
        <f t="shared" si="890"/>
        <v>08/10/2025</v>
      </c>
      <c r="B4836" t="str">
        <f>"SAÍDA"</f>
        <v>SAÍDA</v>
      </c>
      <c r="C4836" t="str">
        <f>"PIX"</f>
        <v>PIX</v>
      </c>
      <c r="D4836" t="str">
        <f>"22778"</f>
        <v>22778</v>
      </c>
      <c r="E4836" t="str">
        <f>"1"</f>
        <v>1</v>
      </c>
      <c r="F4836" t="str">
        <f t="shared" si="891"/>
        <v>COM</v>
      </c>
      <c r="G4836" t="str">
        <f>"GERALDO SEVERINO DE SANTANA (729)"</f>
        <v>GERALDO SEVERINO DE SANTANA (729)</v>
      </c>
      <c r="H4836" t="str">
        <f>"Serv.Prest. 22/09/2025 a 28/09/2025 - PIX: CELULAR - CHAVE: (43) 99934-1696"</f>
        <v>Serv.Prest. 22/09/2025 a 28/09/2025 - PIX: CELULAR - CHAVE: (43) 99934-1696</v>
      </c>
      <c r="I4836" t="str">
        <f>("09/10/2025")</f>
        <v>09/10/2025</v>
      </c>
      <c r="J4836" t="str">
        <f>("30/09/2025")</f>
        <v>30/09/2025</v>
      </c>
      <c r="K4836" t="str">
        <f>("08/10/2025")</f>
        <v>08/10/2025</v>
      </c>
      <c r="L4836">
        <v>20</v>
      </c>
      <c r="M4836">
        <v>20</v>
      </c>
      <c r="N4836">
        <v>109</v>
      </c>
      <c r="O4836" t="str">
        <f>"PAGAMENTO DE ENTREGADORES"</f>
        <v>PAGAMENTO DE ENTREGADORES</v>
      </c>
      <c r="P4836">
        <v>20</v>
      </c>
      <c r="S4836" t="str">
        <f>"CAIXA MOVIMENTAÇÃO OPERACIONAL (132)"</f>
        <v>CAIXA MOVIMENTAÇÃO OPERACIONAL (132)</v>
      </c>
      <c r="T4836">
        <v>19318</v>
      </c>
      <c r="U4836">
        <v>23280</v>
      </c>
      <c r="V4836" t="s">
        <v>48</v>
      </c>
    </row>
    <row r="4837" spans="1:22">
      <c r="A4837" t="str">
        <f t="shared" si="890"/>
        <v>08/10/2025</v>
      </c>
      <c r="B4837" t="str">
        <f>"SAÍDA"</f>
        <v>SAÍDA</v>
      </c>
      <c r="C4837" t="str">
        <f>"PIX"</f>
        <v>PIX</v>
      </c>
      <c r="D4837" t="str">
        <f>"22778"</f>
        <v>22778</v>
      </c>
      <c r="E4837" t="str">
        <f>"1"</f>
        <v>1</v>
      </c>
      <c r="F4837" t="str">
        <f t="shared" si="891"/>
        <v>COM</v>
      </c>
      <c r="G4837" t="str">
        <f>"GERALDO SEVERINO DE SANTANA (729)"</f>
        <v>GERALDO SEVERINO DE SANTANA (729)</v>
      </c>
      <c r="H4837" t="s">
        <v>1404</v>
      </c>
      <c r="I4837" t="str">
        <f>("09/10/2025")</f>
        <v>09/10/2025</v>
      </c>
      <c r="J4837" t="str">
        <f>("30/09/2025")</f>
        <v>30/09/2025</v>
      </c>
      <c r="K4837">
        <v>45938</v>
      </c>
      <c r="N4837">
        <v>109</v>
      </c>
      <c r="O4837" t="s">
        <v>24</v>
      </c>
      <c r="Q4837">
        <v>20</v>
      </c>
      <c r="R4837" t="str">
        <f>"AC FARMA -  FLEMINFARMA (10159)"</f>
        <v>AC FARMA -  FLEMINFARMA (10159)</v>
      </c>
      <c r="S4837" t="s">
        <v>48</v>
      </c>
      <c r="T4837">
        <v>19318</v>
      </c>
      <c r="U4837">
        <v>23280</v>
      </c>
      <c r="V4837" t="s">
        <v>48</v>
      </c>
    </row>
    <row r="4838" spans="1:22">
      <c r="A4838" t="str">
        <f t="shared" si="890"/>
        <v>08/10/2025</v>
      </c>
      <c r="B4838" t="str">
        <f>"ENTRADA"</f>
        <v>ENTRADA</v>
      </c>
      <c r="C4838" t="str">
        <f>"DINHEIRO"</f>
        <v>DINHEIRO</v>
      </c>
      <c r="D4838" t="str">
        <f>"15"</f>
        <v>15</v>
      </c>
      <c r="E4838" t="str">
        <f>"34"</f>
        <v>34</v>
      </c>
      <c r="F4838" t="str">
        <f t="shared" si="891"/>
        <v>COM</v>
      </c>
      <c r="G4838" t="str">
        <f>"GILBERTO PINHEIRO DA ROCHA (155)"</f>
        <v>GILBERTO PINHEIRO DA ROCHA (155)</v>
      </c>
      <c r="H4838" t="str">
        <f>"DESCONTO COTA COOPERADO"</f>
        <v>DESCONTO COTA COOPERADO</v>
      </c>
      <c r="I4838" t="str">
        <f>("16/10/2025")</f>
        <v>16/10/2025</v>
      </c>
      <c r="J4838" t="str">
        <f>("16/01/2025")</f>
        <v>16/01/2025</v>
      </c>
      <c r="K4838" t="str">
        <f>("08/10/2025")</f>
        <v>08/10/2025</v>
      </c>
      <c r="L4838">
        <v>20</v>
      </c>
      <c r="M4838">
        <v>20</v>
      </c>
      <c r="N4838">
        <v>106</v>
      </c>
      <c r="O4838" t="str">
        <f>"ENTRADA DE CAPITAL"</f>
        <v>ENTRADA DE CAPITAL</v>
      </c>
      <c r="P4838">
        <v>20</v>
      </c>
      <c r="S4838" t="str">
        <f>"ENTRADA DE CAPITAL (106)"</f>
        <v>ENTRADA DE CAPITAL (106)</v>
      </c>
      <c r="T4838">
        <v>19319</v>
      </c>
      <c r="U4838">
        <v>6378</v>
      </c>
      <c r="V4838" t="s">
        <v>48</v>
      </c>
    </row>
    <row r="4839" spans="1:22">
      <c r="A4839" t="str">
        <f t="shared" si="890"/>
        <v>08/10/2025</v>
      </c>
      <c r="B4839" t="str">
        <f>"ENTRADA"</f>
        <v>ENTRADA</v>
      </c>
      <c r="C4839" t="str">
        <f>"DINHEIRO"</f>
        <v>DINHEIRO</v>
      </c>
      <c r="D4839" t="str">
        <f>"15"</f>
        <v>15</v>
      </c>
      <c r="E4839" t="str">
        <f>"34"</f>
        <v>34</v>
      </c>
      <c r="F4839" t="str">
        <f t="shared" si="891"/>
        <v>COM</v>
      </c>
      <c r="G4839" t="str">
        <f>"GILBERTO PINHEIRO DA ROCHA (155)"</f>
        <v>GILBERTO PINHEIRO DA ROCHA (155)</v>
      </c>
      <c r="H4839" t="s">
        <v>309</v>
      </c>
      <c r="I4839" t="str">
        <f>("16/10/2025")</f>
        <v>16/10/2025</v>
      </c>
      <c r="J4839" t="str">
        <f>("16/01/2025")</f>
        <v>16/01/2025</v>
      </c>
      <c r="K4839">
        <v>45938</v>
      </c>
      <c r="N4839">
        <v>106</v>
      </c>
      <c r="O4839" t="s">
        <v>51</v>
      </c>
      <c r="Q4839">
        <v>20</v>
      </c>
      <c r="R4839" t="str">
        <f>"GILBERTO PINHEIRO DA ROCHA (155)"</f>
        <v>GILBERTO PINHEIRO DA ROCHA (155)</v>
      </c>
      <c r="S4839" t="s">
        <v>52</v>
      </c>
      <c r="T4839">
        <v>19319</v>
      </c>
      <c r="U4839">
        <v>6378</v>
      </c>
      <c r="V4839" t="s">
        <v>48</v>
      </c>
    </row>
    <row r="4840" spans="1:22">
      <c r="A4840" t="str">
        <f t="shared" si="890"/>
        <v>08/10/2025</v>
      </c>
      <c r="B4840" t="str">
        <f>"SAÍDA"</f>
        <v>SAÍDA</v>
      </c>
      <c r="C4840" t="str">
        <f>"PIX"</f>
        <v>PIX</v>
      </c>
      <c r="D4840" t="str">
        <f>"22893"</f>
        <v>22893</v>
      </c>
      <c r="E4840" t="str">
        <f>"1"</f>
        <v>1</v>
      </c>
      <c r="F4840" t="str">
        <f t="shared" si="891"/>
        <v>COM</v>
      </c>
      <c r="G4840" t="str">
        <f>"GILBERTO PINHEIRO DA ROCHA (155)"</f>
        <v>GILBERTO PINHEIRO DA ROCHA (155)</v>
      </c>
      <c r="H4840" t="str">
        <f>"Serv.Prest. 26/09/2025 a 05/10/2025 - PIX: CELULAR - CHAVE: (73) 99941-8352"</f>
        <v>Serv.Prest. 26/09/2025 a 05/10/2025 - PIX: CELULAR - CHAVE: (73) 99941-8352</v>
      </c>
      <c r="I4840" t="str">
        <f>("16/10/2025")</f>
        <v>16/10/2025</v>
      </c>
      <c r="J4840" t="str">
        <f>("07/10/2025")</f>
        <v>07/10/2025</v>
      </c>
      <c r="K4840" t="str">
        <f>("08/10/2025")</f>
        <v>08/10/2025</v>
      </c>
      <c r="L4840">
        <v>20</v>
      </c>
      <c r="M4840">
        <v>20</v>
      </c>
      <c r="N4840">
        <v>109</v>
      </c>
      <c r="O4840" t="str">
        <f>"PAGAMENTO DE ENTREGADORES"</f>
        <v>PAGAMENTO DE ENTREGADORES</v>
      </c>
      <c r="P4840">
        <v>20</v>
      </c>
      <c r="S4840" t="str">
        <f>"CAIXA MOVIMENTAÇÃO OPERACIONAL (132)"</f>
        <v>CAIXA MOVIMENTAÇÃO OPERACIONAL (132)</v>
      </c>
      <c r="T4840">
        <v>19320</v>
      </c>
      <c r="U4840">
        <v>23281</v>
      </c>
      <c r="V4840" t="s">
        <v>48</v>
      </c>
    </row>
    <row r="4841" spans="1:22">
      <c r="A4841" t="str">
        <f t="shared" si="890"/>
        <v>08/10/2025</v>
      </c>
      <c r="B4841" t="str">
        <f>"SAÍDA"</f>
        <v>SAÍDA</v>
      </c>
      <c r="C4841" t="str">
        <f>"PIX"</f>
        <v>PIX</v>
      </c>
      <c r="D4841" t="str">
        <f>"22893"</f>
        <v>22893</v>
      </c>
      <c r="E4841" t="str">
        <f>"1"</f>
        <v>1</v>
      </c>
      <c r="F4841" t="str">
        <f t="shared" si="891"/>
        <v>COM</v>
      </c>
      <c r="G4841" t="str">
        <f>"GILBERTO PINHEIRO DA ROCHA (155)"</f>
        <v>GILBERTO PINHEIRO DA ROCHA (155)</v>
      </c>
      <c r="H4841" t="s">
        <v>1405</v>
      </c>
      <c r="I4841" t="str">
        <f>("16/10/2025")</f>
        <v>16/10/2025</v>
      </c>
      <c r="J4841" t="str">
        <f>("07/10/2025")</f>
        <v>07/10/2025</v>
      </c>
      <c r="K4841">
        <v>45938</v>
      </c>
      <c r="N4841">
        <v>109</v>
      </c>
      <c r="O4841" t="s">
        <v>24</v>
      </c>
      <c r="Q4841">
        <v>20</v>
      </c>
      <c r="R4841" t="str">
        <f>"FARMÁCIA INDIANA LJ 34 (10014)"</f>
        <v>FARMÁCIA INDIANA LJ 34 (10014)</v>
      </c>
      <c r="S4841" t="s">
        <v>48</v>
      </c>
      <c r="T4841">
        <v>19320</v>
      </c>
      <c r="U4841">
        <v>23281</v>
      </c>
      <c r="V4841" t="s">
        <v>48</v>
      </c>
    </row>
    <row r="4842" spans="1:22">
      <c r="A4842" t="str">
        <f t="shared" si="890"/>
        <v>08/10/2025</v>
      </c>
      <c r="B4842" t="str">
        <f>"SAÍDA"</f>
        <v>SAÍDA</v>
      </c>
      <c r="C4842" t="str">
        <f>"PIX"</f>
        <v>PIX</v>
      </c>
      <c r="D4842" t="str">
        <f>"22810"</f>
        <v>22810</v>
      </c>
      <c r="E4842" t="str">
        <f>"1"</f>
        <v>1</v>
      </c>
      <c r="F4842" t="str">
        <f t="shared" si="891"/>
        <v>COM</v>
      </c>
      <c r="G4842" t="str">
        <f>"GUILHERME DA SILVA GOMES (901)"</f>
        <v>GUILHERME DA SILVA GOMES (901)</v>
      </c>
      <c r="H4842" t="str">
        <f>"Serv.Prest. 29/09/2025 a 05/10/2025 - PIX: CPF - CHAVE: 505.341.528-56"</f>
        <v>Serv.Prest. 29/09/2025 a 05/10/2025 - PIX: CPF - CHAVE: 505.341.528-56</v>
      </c>
      <c r="I4842" t="str">
        <f>("09/10/2025")</f>
        <v>09/10/2025</v>
      </c>
      <c r="J4842" t="str">
        <f>("06/10/2025")</f>
        <v>06/10/2025</v>
      </c>
      <c r="K4842" t="str">
        <f>("08/10/2025")</f>
        <v>08/10/2025</v>
      </c>
      <c r="L4842">
        <v>20</v>
      </c>
      <c r="M4842">
        <v>20</v>
      </c>
      <c r="N4842">
        <v>109</v>
      </c>
      <c r="O4842" t="str">
        <f>"PAGAMENTO DE ENTREGADORES"</f>
        <v>PAGAMENTO DE ENTREGADORES</v>
      </c>
      <c r="P4842">
        <v>20</v>
      </c>
      <c r="S4842" t="str">
        <f>"CAIXA MOVIMENTAÇÃO OPERACIONAL (132)"</f>
        <v>CAIXA MOVIMENTAÇÃO OPERACIONAL (132)</v>
      </c>
      <c r="T4842">
        <v>19321</v>
      </c>
      <c r="U4842">
        <v>23307</v>
      </c>
      <c r="V4842" t="s">
        <v>48</v>
      </c>
    </row>
    <row r="4843" spans="1:22">
      <c r="A4843" t="str">
        <f t="shared" si="890"/>
        <v>08/10/2025</v>
      </c>
      <c r="B4843" t="str">
        <f>"SAÍDA"</f>
        <v>SAÍDA</v>
      </c>
      <c r="C4843" t="str">
        <f>"PIX"</f>
        <v>PIX</v>
      </c>
      <c r="D4843" t="str">
        <f>"22810"</f>
        <v>22810</v>
      </c>
      <c r="E4843" t="str">
        <f>"1"</f>
        <v>1</v>
      </c>
      <c r="F4843" t="str">
        <f t="shared" si="891"/>
        <v>COM</v>
      </c>
      <c r="G4843" t="str">
        <f>"GUILHERME DA SILVA GOMES (901)"</f>
        <v>GUILHERME DA SILVA GOMES (901)</v>
      </c>
      <c r="H4843" t="s">
        <v>1406</v>
      </c>
      <c r="I4843" t="str">
        <f>("09/10/2025")</f>
        <v>09/10/2025</v>
      </c>
      <c r="J4843" t="str">
        <f>("06/10/2025")</f>
        <v>06/10/2025</v>
      </c>
      <c r="K4843">
        <v>45938</v>
      </c>
      <c r="N4843">
        <v>109</v>
      </c>
      <c r="O4843" t="s">
        <v>24</v>
      </c>
      <c r="Q4843">
        <v>20</v>
      </c>
      <c r="R4843" t="str">
        <f>"DROGARIA AGAPEAMA (10167)"</f>
        <v>DROGARIA AGAPEAMA (10167)</v>
      </c>
      <c r="S4843" t="s">
        <v>48</v>
      </c>
      <c r="T4843">
        <v>19321</v>
      </c>
      <c r="U4843">
        <v>23307</v>
      </c>
      <c r="V4843" t="s">
        <v>48</v>
      </c>
    </row>
    <row r="4844" spans="1:22">
      <c r="A4844" t="str">
        <f t="shared" si="890"/>
        <v>08/10/2025</v>
      </c>
      <c r="B4844" t="str">
        <f>"ENTRADA"</f>
        <v>ENTRADA</v>
      </c>
      <c r="C4844" t="str">
        <f>"DINHEIRO"</f>
        <v>DINHEIRO</v>
      </c>
      <c r="D4844" t="str">
        <f>"901"</f>
        <v>901</v>
      </c>
      <c r="E4844" t="str">
        <f>"01"</f>
        <v>01</v>
      </c>
      <c r="F4844" t="str">
        <f t="shared" si="891"/>
        <v>COM</v>
      </c>
      <c r="G4844" t="str">
        <f>"GUILHERME DA SILVA GOMES (901)"</f>
        <v>GUILHERME DA SILVA GOMES (901)</v>
      </c>
      <c r="H4844" t="str">
        <f>"COTAS COOPERATIVA"</f>
        <v>COTAS COOPERATIVA</v>
      </c>
      <c r="I4844" t="str">
        <f>("10/10/2025")</f>
        <v>10/10/2025</v>
      </c>
      <c r="J4844" t="str">
        <f>("11/09/2025")</f>
        <v>11/09/2025</v>
      </c>
      <c r="K4844" t="str">
        <f>("08/10/2025")</f>
        <v>08/10/2025</v>
      </c>
      <c r="L4844">
        <v>20</v>
      </c>
      <c r="M4844">
        <v>20</v>
      </c>
      <c r="N4844">
        <v>106</v>
      </c>
      <c r="O4844" t="str">
        <f>"ENTRADA DE CAPITAL"</f>
        <v>ENTRADA DE CAPITAL</v>
      </c>
      <c r="P4844">
        <v>20</v>
      </c>
      <c r="S4844" t="str">
        <f>"ENTRADA DE CAPITAL (106)"</f>
        <v>ENTRADA DE CAPITAL (106)</v>
      </c>
      <c r="T4844">
        <v>19322</v>
      </c>
      <c r="U4844">
        <v>23282</v>
      </c>
      <c r="V4844" t="s">
        <v>48</v>
      </c>
    </row>
    <row r="4845" spans="1:22">
      <c r="A4845" t="str">
        <f t="shared" si="890"/>
        <v>08/10/2025</v>
      </c>
      <c r="B4845" t="str">
        <f>"ENTRADA"</f>
        <v>ENTRADA</v>
      </c>
      <c r="C4845" t="str">
        <f>"DINHEIRO"</f>
        <v>DINHEIRO</v>
      </c>
      <c r="D4845" t="str">
        <f>"901"</f>
        <v>901</v>
      </c>
      <c r="E4845" t="str">
        <f>"01"</f>
        <v>01</v>
      </c>
      <c r="F4845" t="str">
        <f t="shared" si="891"/>
        <v>COM</v>
      </c>
      <c r="G4845" t="str">
        <f>"GUILHERME DA SILVA GOMES (901)"</f>
        <v>GUILHERME DA SILVA GOMES (901)</v>
      </c>
      <c r="H4845" t="s">
        <v>318</v>
      </c>
      <c r="I4845" t="str">
        <f>("10/10/2025")</f>
        <v>10/10/2025</v>
      </c>
      <c r="J4845" t="str">
        <f>("11/09/2025")</f>
        <v>11/09/2025</v>
      </c>
      <c r="K4845">
        <v>45938</v>
      </c>
      <c r="N4845">
        <v>106</v>
      </c>
      <c r="O4845" t="s">
        <v>51</v>
      </c>
      <c r="Q4845">
        <v>20</v>
      </c>
      <c r="R4845" t="str">
        <f>"GUILHERME DA SILVA GOMES (901)"</f>
        <v>GUILHERME DA SILVA GOMES (901)</v>
      </c>
      <c r="S4845" t="s">
        <v>52</v>
      </c>
      <c r="T4845">
        <v>19322</v>
      </c>
      <c r="U4845">
        <v>23282</v>
      </c>
      <c r="V4845" t="s">
        <v>48</v>
      </c>
    </row>
    <row r="4846" spans="1:22">
      <c r="A4846" t="str">
        <f t="shared" si="890"/>
        <v>08/10/2025</v>
      </c>
      <c r="B4846" t="str">
        <f>"SAÍDA"</f>
        <v>SAÍDA</v>
      </c>
      <c r="C4846" t="str">
        <f>"PIX"</f>
        <v>PIX</v>
      </c>
      <c r="D4846" t="str">
        <f>"22580"</f>
        <v>22580</v>
      </c>
      <c r="E4846" t="str">
        <f>"1"</f>
        <v>1</v>
      </c>
      <c r="F4846" t="str">
        <f t="shared" si="891"/>
        <v>COM</v>
      </c>
      <c r="G4846" t="str">
        <f>"GUILHERME QUINTINO DA ROCHA (199)"</f>
        <v>GUILHERME QUINTINO DA ROCHA (199)</v>
      </c>
      <c r="H4846" t="str">
        <f>"Serv.Prest. 22/09/2025 a 25/09/2025 - PIX: CELULAR - CHAVE: (33) 99706-4860"</f>
        <v>Serv.Prest. 22/09/2025 a 25/09/2025 - PIX: CELULAR - CHAVE: (33) 99706-4860</v>
      </c>
      <c r="I4846" t="str">
        <f>("09/10/2025")</f>
        <v>09/10/2025</v>
      </c>
      <c r="J4846" t="str">
        <f>("26/09/2025")</f>
        <v>26/09/2025</v>
      </c>
      <c r="K4846" t="str">
        <f>("08/10/2025")</f>
        <v>08/10/2025</v>
      </c>
      <c r="L4846">
        <v>20</v>
      </c>
      <c r="M4846">
        <v>20</v>
      </c>
      <c r="N4846">
        <v>109</v>
      </c>
      <c r="O4846" t="str">
        <f>"PAGAMENTO DE ENTREGADORES"</f>
        <v>PAGAMENTO DE ENTREGADORES</v>
      </c>
      <c r="P4846">
        <v>20</v>
      </c>
      <c r="S4846" t="str">
        <f>"CAIXA MOVIMENTAÇÃO OPERACIONAL (132)"</f>
        <v>CAIXA MOVIMENTAÇÃO OPERACIONAL (132)</v>
      </c>
      <c r="T4846">
        <v>19323</v>
      </c>
      <c r="U4846">
        <v>23308</v>
      </c>
      <c r="V4846" t="s">
        <v>48</v>
      </c>
    </row>
    <row r="4847" spans="1:22">
      <c r="A4847" t="str">
        <f t="shared" si="890"/>
        <v>08/10/2025</v>
      </c>
      <c r="B4847" t="str">
        <f>"SAÍDA"</f>
        <v>SAÍDA</v>
      </c>
      <c r="C4847" t="str">
        <f>"PIX"</f>
        <v>PIX</v>
      </c>
      <c r="D4847" t="str">
        <f>"22580"</f>
        <v>22580</v>
      </c>
      <c r="E4847" t="str">
        <f>"1"</f>
        <v>1</v>
      </c>
      <c r="F4847" t="str">
        <f t="shared" si="891"/>
        <v>COM</v>
      </c>
      <c r="G4847" t="str">
        <f>"GUILHERME QUINTINO DA ROCHA (199)"</f>
        <v>GUILHERME QUINTINO DA ROCHA (199)</v>
      </c>
      <c r="H4847" t="s">
        <v>1407</v>
      </c>
      <c r="I4847" t="str">
        <f>("09/10/2025")</f>
        <v>09/10/2025</v>
      </c>
      <c r="J4847" t="str">
        <f>("26/09/2025")</f>
        <v>26/09/2025</v>
      </c>
      <c r="K4847">
        <v>45938</v>
      </c>
      <c r="N4847">
        <v>109</v>
      </c>
      <c r="O4847" t="s">
        <v>24</v>
      </c>
      <c r="Q4847">
        <v>20</v>
      </c>
      <c r="R4847" t="str">
        <f>"FARMÁCIA INDIANA LJ 06 (10006)"</f>
        <v>FARMÁCIA INDIANA LJ 06 (10006)</v>
      </c>
      <c r="S4847" t="s">
        <v>48</v>
      </c>
      <c r="T4847">
        <v>19323</v>
      </c>
      <c r="U4847">
        <v>23308</v>
      </c>
      <c r="V4847" t="s">
        <v>48</v>
      </c>
    </row>
    <row r="4848" spans="1:22">
      <c r="A4848" t="str">
        <f t="shared" si="890"/>
        <v>08/10/2025</v>
      </c>
      <c r="B4848" t="str">
        <f>"ENTRADA"</f>
        <v>ENTRADA</v>
      </c>
      <c r="C4848" t="str">
        <f>"DINHEIRO"</f>
        <v>DINHEIRO</v>
      </c>
      <c r="D4848" t="str">
        <f>"10"</f>
        <v>10</v>
      </c>
      <c r="E4848" t="str">
        <f>"34"</f>
        <v>34</v>
      </c>
      <c r="F4848" t="str">
        <f t="shared" si="891"/>
        <v>COM</v>
      </c>
      <c r="G4848" t="str">
        <f>"GUILHERME QUINTINO DA ROCHA (199)"</f>
        <v>GUILHERME QUINTINO DA ROCHA (199)</v>
      </c>
      <c r="H4848" t="str">
        <f>"DESCONTO COTA COOPERADO"</f>
        <v>DESCONTO COTA COOPERADO</v>
      </c>
      <c r="I4848" t="str">
        <f>("16/10/2025")</f>
        <v>16/10/2025</v>
      </c>
      <c r="J4848" t="str">
        <f>("16/01/2025")</f>
        <v>16/01/2025</v>
      </c>
      <c r="K4848" t="str">
        <f>("08/10/2025")</f>
        <v>08/10/2025</v>
      </c>
      <c r="L4848">
        <v>20</v>
      </c>
      <c r="M4848">
        <v>20</v>
      </c>
      <c r="N4848">
        <v>106</v>
      </c>
      <c r="O4848" t="str">
        <f>"ENTRADA DE CAPITAL"</f>
        <v>ENTRADA DE CAPITAL</v>
      </c>
      <c r="P4848">
        <v>20</v>
      </c>
      <c r="S4848" t="str">
        <f>"ENTRADA DE CAPITAL (106)"</f>
        <v>ENTRADA DE CAPITAL (106)</v>
      </c>
      <c r="T4848">
        <v>19324</v>
      </c>
      <c r="U4848">
        <v>6412</v>
      </c>
      <c r="V4848" t="s">
        <v>48</v>
      </c>
    </row>
    <row r="4849" spans="1:22">
      <c r="A4849" t="str">
        <f t="shared" si="890"/>
        <v>08/10/2025</v>
      </c>
      <c r="B4849" t="str">
        <f>"ENTRADA"</f>
        <v>ENTRADA</v>
      </c>
      <c r="C4849" t="str">
        <f>"DINHEIRO"</f>
        <v>DINHEIRO</v>
      </c>
      <c r="D4849" t="str">
        <f>"10"</f>
        <v>10</v>
      </c>
      <c r="E4849" t="str">
        <f>"34"</f>
        <v>34</v>
      </c>
      <c r="F4849" t="str">
        <f t="shared" si="891"/>
        <v>COM</v>
      </c>
      <c r="G4849" t="str">
        <f>"GUILHERME QUINTINO DA ROCHA (199)"</f>
        <v>GUILHERME QUINTINO DA ROCHA (199)</v>
      </c>
      <c r="H4849" t="s">
        <v>309</v>
      </c>
      <c r="I4849" t="str">
        <f>("16/10/2025")</f>
        <v>16/10/2025</v>
      </c>
      <c r="J4849" t="str">
        <f>("16/01/2025")</f>
        <v>16/01/2025</v>
      </c>
      <c r="K4849">
        <v>45938</v>
      </c>
      <c r="N4849">
        <v>106</v>
      </c>
      <c r="O4849" t="s">
        <v>51</v>
      </c>
      <c r="Q4849">
        <v>20</v>
      </c>
      <c r="R4849" t="str">
        <f>"GUILHERME QUINTINO DA ROCHA (199)"</f>
        <v>GUILHERME QUINTINO DA ROCHA (199)</v>
      </c>
      <c r="S4849" t="s">
        <v>52</v>
      </c>
      <c r="T4849">
        <v>19324</v>
      </c>
      <c r="U4849">
        <v>6412</v>
      </c>
      <c r="V4849" t="s">
        <v>48</v>
      </c>
    </row>
    <row r="4850" spans="1:22">
      <c r="A4850" t="str">
        <f t="shared" si="890"/>
        <v>08/10/2025</v>
      </c>
      <c r="B4850" t="str">
        <f>"SAÍDA"</f>
        <v>SAÍDA</v>
      </c>
      <c r="C4850" t="str">
        <f>"PIX"</f>
        <v>PIX</v>
      </c>
      <c r="D4850" t="str">
        <f>"22581"</f>
        <v>22581</v>
      </c>
      <c r="E4850" t="str">
        <f>"1"</f>
        <v>1</v>
      </c>
      <c r="F4850" t="str">
        <f t="shared" si="891"/>
        <v>COM</v>
      </c>
      <c r="G4850" t="str">
        <f>"GUSTAVO ALVES DE ARAÚJO (298)"</f>
        <v>GUSTAVO ALVES DE ARAÚJO (298)</v>
      </c>
      <c r="H4850" t="str">
        <f>"Serv.Prest. 22/09/2025 a 25/09/2025 - PIX: CELULAR - CHAVE: (31) 99816-8965"</f>
        <v>Serv.Prest. 22/09/2025 a 25/09/2025 - PIX: CELULAR - CHAVE: (31) 99816-8965</v>
      </c>
      <c r="I4850" t="str">
        <f>("09/10/2025")</f>
        <v>09/10/2025</v>
      </c>
      <c r="J4850" t="str">
        <f>("26/09/2025")</f>
        <v>26/09/2025</v>
      </c>
      <c r="K4850" t="str">
        <f>("08/10/2025")</f>
        <v>08/10/2025</v>
      </c>
      <c r="L4850">
        <v>20</v>
      </c>
      <c r="M4850">
        <v>20</v>
      </c>
      <c r="N4850">
        <v>109</v>
      </c>
      <c r="O4850" t="str">
        <f>"PAGAMENTO DE ENTREGADORES"</f>
        <v>PAGAMENTO DE ENTREGADORES</v>
      </c>
      <c r="P4850">
        <v>20</v>
      </c>
      <c r="S4850" t="str">
        <f>"CAIXA MOVIMENTAÇÃO OPERACIONAL (132)"</f>
        <v>CAIXA MOVIMENTAÇÃO OPERACIONAL (132)</v>
      </c>
      <c r="T4850">
        <v>19325</v>
      </c>
      <c r="U4850">
        <v>23309</v>
      </c>
      <c r="V4850" t="s">
        <v>48</v>
      </c>
    </row>
    <row r="4851" spans="1:22">
      <c r="A4851" t="str">
        <f t="shared" si="890"/>
        <v>08/10/2025</v>
      </c>
      <c r="B4851" t="str">
        <f>"SAÍDA"</f>
        <v>SAÍDA</v>
      </c>
      <c r="C4851" t="str">
        <f>"PIX"</f>
        <v>PIX</v>
      </c>
      <c r="D4851" t="str">
        <f>"22581"</f>
        <v>22581</v>
      </c>
      <c r="E4851" t="str">
        <f>"1"</f>
        <v>1</v>
      </c>
      <c r="F4851" t="str">
        <f t="shared" si="891"/>
        <v>COM</v>
      </c>
      <c r="G4851" t="str">
        <f>"GUSTAVO ALVES DE ARAÚJO (298)"</f>
        <v>GUSTAVO ALVES DE ARAÚJO (298)</v>
      </c>
      <c r="H4851" t="s">
        <v>1408</v>
      </c>
      <c r="I4851" t="str">
        <f>("09/10/2025")</f>
        <v>09/10/2025</v>
      </c>
      <c r="J4851" t="str">
        <f>("26/09/2025")</f>
        <v>26/09/2025</v>
      </c>
      <c r="K4851">
        <v>45938</v>
      </c>
      <c r="N4851">
        <v>109</v>
      </c>
      <c r="O4851" t="s">
        <v>24</v>
      </c>
      <c r="Q4851">
        <v>20</v>
      </c>
      <c r="R4851" t="str">
        <f>"FARMÁCIA INDIANA LJ 172 (10161)"</f>
        <v>FARMÁCIA INDIANA LJ 172 (10161)</v>
      </c>
      <c r="S4851" t="s">
        <v>48</v>
      </c>
      <c r="T4851">
        <v>19325</v>
      </c>
      <c r="U4851">
        <v>23309</v>
      </c>
      <c r="V4851" t="s">
        <v>48</v>
      </c>
    </row>
    <row r="4852" spans="1:22">
      <c r="A4852" t="str">
        <f t="shared" si="890"/>
        <v>08/10/2025</v>
      </c>
      <c r="B4852" t="str">
        <f>"ENTRADA"</f>
        <v>ENTRADA</v>
      </c>
      <c r="C4852" t="str">
        <f>"DINHEIRO"</f>
        <v>DINHEIRO</v>
      </c>
      <c r="D4852" t="str">
        <f>"06"</f>
        <v>06</v>
      </c>
      <c r="E4852" t="str">
        <f>"34"</f>
        <v>34</v>
      </c>
      <c r="F4852" t="str">
        <f t="shared" si="891"/>
        <v>COM</v>
      </c>
      <c r="G4852" t="str">
        <f>"GUSTAVO ALVES DE ARAÚJO (298)"</f>
        <v>GUSTAVO ALVES DE ARAÚJO (298)</v>
      </c>
      <c r="H4852" t="str">
        <f>"DESCONTO COTA COOPERADO"</f>
        <v>DESCONTO COTA COOPERADO</v>
      </c>
      <c r="I4852" t="str">
        <f>("16/10/2025")</f>
        <v>16/10/2025</v>
      </c>
      <c r="J4852" t="str">
        <f>("16/01/2025")</f>
        <v>16/01/2025</v>
      </c>
      <c r="K4852" t="str">
        <f>("08/10/2025")</f>
        <v>08/10/2025</v>
      </c>
      <c r="L4852">
        <v>20</v>
      </c>
      <c r="M4852">
        <v>20</v>
      </c>
      <c r="N4852">
        <v>106</v>
      </c>
      <c r="O4852" t="str">
        <f>"ENTRADA DE CAPITAL"</f>
        <v>ENTRADA DE CAPITAL</v>
      </c>
      <c r="P4852">
        <v>20</v>
      </c>
      <c r="S4852" t="str">
        <f>"ENTRADA DE CAPITAL (106)"</f>
        <v>ENTRADA DE CAPITAL (106)</v>
      </c>
      <c r="T4852">
        <v>19326</v>
      </c>
      <c r="U4852">
        <v>6454</v>
      </c>
      <c r="V4852" t="s">
        <v>48</v>
      </c>
    </row>
    <row r="4853" spans="1:22">
      <c r="A4853" t="str">
        <f t="shared" si="890"/>
        <v>08/10/2025</v>
      </c>
      <c r="B4853" t="str">
        <f>"ENTRADA"</f>
        <v>ENTRADA</v>
      </c>
      <c r="C4853" t="str">
        <f>"DINHEIRO"</f>
        <v>DINHEIRO</v>
      </c>
      <c r="D4853" t="str">
        <f>"06"</f>
        <v>06</v>
      </c>
      <c r="E4853" t="str">
        <f>"34"</f>
        <v>34</v>
      </c>
      <c r="F4853" t="str">
        <f t="shared" si="891"/>
        <v>COM</v>
      </c>
      <c r="G4853" t="str">
        <f>"GUSTAVO ALVES DE ARAÚJO (298)"</f>
        <v>GUSTAVO ALVES DE ARAÚJO (298)</v>
      </c>
      <c r="H4853" t="s">
        <v>309</v>
      </c>
      <c r="I4853" t="str">
        <f>("16/10/2025")</f>
        <v>16/10/2025</v>
      </c>
      <c r="J4853" t="str">
        <f>("16/01/2025")</f>
        <v>16/01/2025</v>
      </c>
      <c r="K4853">
        <v>45938</v>
      </c>
      <c r="N4853">
        <v>106</v>
      </c>
      <c r="O4853" t="s">
        <v>51</v>
      </c>
      <c r="Q4853">
        <v>20</v>
      </c>
      <c r="R4853" t="str">
        <f>"GUSTAVO ALVES DE ARAÚJO (298)"</f>
        <v>GUSTAVO ALVES DE ARAÚJO (298)</v>
      </c>
      <c r="S4853" t="s">
        <v>52</v>
      </c>
      <c r="T4853">
        <v>19326</v>
      </c>
      <c r="U4853">
        <v>6454</v>
      </c>
      <c r="V4853" t="s">
        <v>48</v>
      </c>
    </row>
    <row r="4854" spans="1:22">
      <c r="A4854" t="str">
        <f t="shared" si="890"/>
        <v>08/10/2025</v>
      </c>
      <c r="B4854" t="str">
        <f>"SAÍDA"</f>
        <v>SAÍDA</v>
      </c>
      <c r="C4854" t="str">
        <f>"PIX"</f>
        <v>PIX</v>
      </c>
      <c r="D4854" t="str">
        <f>"22582"</f>
        <v>22582</v>
      </c>
      <c r="E4854" t="str">
        <f>"1"</f>
        <v>1</v>
      </c>
      <c r="F4854" t="str">
        <f t="shared" si="891"/>
        <v>COM</v>
      </c>
      <c r="G4854" t="str">
        <f>"GUSTAVO HENRIQUE OLIVEIRA (661)"</f>
        <v>GUSTAVO HENRIQUE OLIVEIRA (661)</v>
      </c>
      <c r="H4854" t="str">
        <f>"Serv.Prest. 22/09/2025 a 25/09/2025 - PIX: CPF - CHAVE: 113.084.266-58"</f>
        <v>Serv.Prest. 22/09/2025 a 25/09/2025 - PIX: CPF - CHAVE: 113.084.266-58</v>
      </c>
      <c r="I4854" t="str">
        <f>("09/10/2025")</f>
        <v>09/10/2025</v>
      </c>
      <c r="J4854" t="str">
        <f>("26/09/2025")</f>
        <v>26/09/2025</v>
      </c>
      <c r="K4854" t="str">
        <f>("08/10/2025")</f>
        <v>08/10/2025</v>
      </c>
      <c r="L4854">
        <v>20</v>
      </c>
      <c r="M4854">
        <v>20</v>
      </c>
      <c r="N4854">
        <v>109</v>
      </c>
      <c r="O4854" t="str">
        <f>"PAGAMENTO DE ENTREGADORES"</f>
        <v>PAGAMENTO DE ENTREGADORES</v>
      </c>
      <c r="P4854">
        <v>20</v>
      </c>
      <c r="S4854" t="str">
        <f>"CAIXA MOVIMENTAÇÃO OPERACIONAL (132)"</f>
        <v>CAIXA MOVIMENTAÇÃO OPERACIONAL (132)</v>
      </c>
      <c r="T4854">
        <v>19327</v>
      </c>
      <c r="U4854">
        <v>23310</v>
      </c>
      <c r="V4854" t="s">
        <v>48</v>
      </c>
    </row>
    <row r="4855" spans="1:22">
      <c r="A4855" t="str">
        <f t="shared" si="890"/>
        <v>08/10/2025</v>
      </c>
      <c r="B4855" t="str">
        <f>"SAÍDA"</f>
        <v>SAÍDA</v>
      </c>
      <c r="C4855" t="str">
        <f>"PIX"</f>
        <v>PIX</v>
      </c>
      <c r="D4855" t="str">
        <f>"22582"</f>
        <v>22582</v>
      </c>
      <c r="E4855" t="str">
        <f>"1"</f>
        <v>1</v>
      </c>
      <c r="F4855" t="str">
        <f t="shared" si="891"/>
        <v>COM</v>
      </c>
      <c r="G4855" t="str">
        <f>"GUSTAVO HENRIQUE OLIVEIRA (661)"</f>
        <v>GUSTAVO HENRIQUE OLIVEIRA (661)</v>
      </c>
      <c r="H4855" t="s">
        <v>1409</v>
      </c>
      <c r="I4855" t="str">
        <f>("09/10/2025")</f>
        <v>09/10/2025</v>
      </c>
      <c r="J4855" t="str">
        <f>("26/09/2025")</f>
        <v>26/09/2025</v>
      </c>
      <c r="K4855">
        <v>45938</v>
      </c>
      <c r="N4855">
        <v>109</v>
      </c>
      <c r="O4855" t="s">
        <v>24</v>
      </c>
      <c r="Q4855">
        <v>20</v>
      </c>
      <c r="R4855" t="str">
        <f>"FARMÁCIA INDIANA LJ 110 (10048)"</f>
        <v>FARMÁCIA INDIANA LJ 110 (10048)</v>
      </c>
      <c r="S4855" t="s">
        <v>48</v>
      </c>
      <c r="T4855">
        <v>19327</v>
      </c>
      <c r="U4855">
        <v>23310</v>
      </c>
      <c r="V4855" t="s">
        <v>48</v>
      </c>
    </row>
    <row r="4856" spans="1:22">
      <c r="A4856" t="str">
        <f t="shared" si="890"/>
        <v>08/10/2025</v>
      </c>
      <c r="B4856" t="str">
        <f>"ENTRADA"</f>
        <v>ENTRADA</v>
      </c>
      <c r="C4856" t="str">
        <f>"DINHEIRO"</f>
        <v>DINHEIRO</v>
      </c>
      <c r="D4856" t="str">
        <f>"25"</f>
        <v>25</v>
      </c>
      <c r="E4856" t="str">
        <f>"8"</f>
        <v>8</v>
      </c>
      <c r="F4856" t="str">
        <f t="shared" si="891"/>
        <v>COM</v>
      </c>
      <c r="G4856" t="str">
        <f>"GUSTAVO HENRIQUE OLIVEIRA (661)"</f>
        <v>GUSTAVO HENRIQUE OLIVEIRA (661)</v>
      </c>
      <c r="H4856" t="str">
        <f>"DESCONTO COTA COOPERADO"</f>
        <v>DESCONTO COTA COOPERADO</v>
      </c>
      <c r="I4856" t="str">
        <f>("13/10/2025")</f>
        <v>13/10/2025</v>
      </c>
      <c r="J4856" t="str">
        <f>("13/03/2025")</f>
        <v>13/03/2025</v>
      </c>
      <c r="K4856" t="str">
        <f>("08/10/2025")</f>
        <v>08/10/2025</v>
      </c>
      <c r="L4856">
        <v>20</v>
      </c>
      <c r="M4856">
        <v>20</v>
      </c>
      <c r="N4856">
        <v>106</v>
      </c>
      <c r="O4856" t="str">
        <f>"ENTRADA DE CAPITAL"</f>
        <v>ENTRADA DE CAPITAL</v>
      </c>
      <c r="P4856">
        <v>20</v>
      </c>
      <c r="S4856" t="str">
        <f>"ENTRADA DE CAPITAL (106)"</f>
        <v>ENTRADA DE CAPITAL (106)</v>
      </c>
      <c r="T4856">
        <v>19328</v>
      </c>
      <c r="U4856">
        <v>10937</v>
      </c>
      <c r="V4856" t="s">
        <v>48</v>
      </c>
    </row>
    <row r="4857" spans="1:22">
      <c r="A4857" t="str">
        <f t="shared" si="890"/>
        <v>08/10/2025</v>
      </c>
      <c r="B4857" t="str">
        <f>"ENTRADA"</f>
        <v>ENTRADA</v>
      </c>
      <c r="C4857" t="str">
        <f>"DINHEIRO"</f>
        <v>DINHEIRO</v>
      </c>
      <c r="D4857" t="str">
        <f>"25"</f>
        <v>25</v>
      </c>
      <c r="E4857" t="str">
        <f>"8"</f>
        <v>8</v>
      </c>
      <c r="F4857" t="str">
        <f t="shared" si="891"/>
        <v>COM</v>
      </c>
      <c r="G4857" t="str">
        <f>"GUSTAVO HENRIQUE OLIVEIRA (661)"</f>
        <v>GUSTAVO HENRIQUE OLIVEIRA (661)</v>
      </c>
      <c r="H4857" t="s">
        <v>309</v>
      </c>
      <c r="I4857" t="str">
        <f>("13/10/2025")</f>
        <v>13/10/2025</v>
      </c>
      <c r="J4857" t="str">
        <f>("13/03/2025")</f>
        <v>13/03/2025</v>
      </c>
      <c r="K4857">
        <v>45938</v>
      </c>
      <c r="N4857">
        <v>106</v>
      </c>
      <c r="O4857" t="s">
        <v>51</v>
      </c>
      <c r="Q4857">
        <v>20</v>
      </c>
      <c r="R4857" t="str">
        <f>"GUSTAVO HENRIQUE OLIVEIRA (661)"</f>
        <v>GUSTAVO HENRIQUE OLIVEIRA (661)</v>
      </c>
      <c r="S4857" t="s">
        <v>52</v>
      </c>
      <c r="T4857">
        <v>19328</v>
      </c>
      <c r="U4857">
        <v>10937</v>
      </c>
      <c r="V4857" t="s">
        <v>48</v>
      </c>
    </row>
    <row r="4858" spans="1:22">
      <c r="A4858" t="str">
        <f t="shared" si="890"/>
        <v>08/10/2025</v>
      </c>
      <c r="B4858" t="str">
        <f>"ENTRADA"</f>
        <v>ENTRADA</v>
      </c>
      <c r="C4858" t="str">
        <f>"DINHEIRO"</f>
        <v>DINHEIRO</v>
      </c>
      <c r="D4858" t="str">
        <f>"771"</f>
        <v>771</v>
      </c>
      <c r="E4858" t="str">
        <f>"6"</f>
        <v>6</v>
      </c>
      <c r="F4858" t="str">
        <f t="shared" si="891"/>
        <v>COM</v>
      </c>
      <c r="G4858" t="str">
        <f>"GUSTAVO SILVA LIMA (771)"</f>
        <v>GUSTAVO SILVA LIMA (771)</v>
      </c>
      <c r="H4858" t="str">
        <f>"COTA COOPERATIVA"</f>
        <v>COTA COOPERATIVA</v>
      </c>
      <c r="I4858" t="str">
        <f>("09/10/2025")</f>
        <v>09/10/2025</v>
      </c>
      <c r="J4858" t="str">
        <f>("23/04/2025")</f>
        <v>23/04/2025</v>
      </c>
      <c r="K4858" t="str">
        <f>("08/10/2025")</f>
        <v>08/10/2025</v>
      </c>
      <c r="L4858">
        <v>20</v>
      </c>
      <c r="M4858">
        <v>20</v>
      </c>
      <c r="N4858">
        <v>106</v>
      </c>
      <c r="O4858" t="str">
        <f>"ENTRADA DE CAPITAL"</f>
        <v>ENTRADA DE CAPITAL</v>
      </c>
      <c r="P4858">
        <v>20</v>
      </c>
      <c r="S4858" t="str">
        <f>"ENTRADA DE CAPITAL (106)"</f>
        <v>ENTRADA DE CAPITAL (106)</v>
      </c>
      <c r="T4858">
        <v>19329</v>
      </c>
      <c r="U4858">
        <v>21658</v>
      </c>
      <c r="V4858" t="s">
        <v>48</v>
      </c>
    </row>
    <row r="4859" spans="1:22">
      <c r="A4859" t="str">
        <f t="shared" si="890"/>
        <v>08/10/2025</v>
      </c>
      <c r="B4859" t="str">
        <f>"ENTRADA"</f>
        <v>ENTRADA</v>
      </c>
      <c r="C4859" t="str">
        <f>"DINHEIRO"</f>
        <v>DINHEIRO</v>
      </c>
      <c r="D4859" t="str">
        <f>"771"</f>
        <v>771</v>
      </c>
      <c r="E4859" t="str">
        <f>"6"</f>
        <v>6</v>
      </c>
      <c r="F4859" t="str">
        <f t="shared" si="891"/>
        <v>COM</v>
      </c>
      <c r="G4859" t="str">
        <f>"GUSTAVO SILVA LIMA (771)"</f>
        <v>GUSTAVO SILVA LIMA (771)</v>
      </c>
      <c r="H4859" t="s">
        <v>50</v>
      </c>
      <c r="I4859" t="str">
        <f>("09/10/2025")</f>
        <v>09/10/2025</v>
      </c>
      <c r="J4859" t="str">
        <f>("23/04/2025")</f>
        <v>23/04/2025</v>
      </c>
      <c r="K4859">
        <v>45938</v>
      </c>
      <c r="N4859">
        <v>106</v>
      </c>
      <c r="O4859" t="s">
        <v>51</v>
      </c>
      <c r="Q4859">
        <v>20</v>
      </c>
      <c r="R4859" t="str">
        <f>"GUSTAVO SILVA LIMA (771)"</f>
        <v>GUSTAVO SILVA LIMA (771)</v>
      </c>
      <c r="S4859" t="s">
        <v>52</v>
      </c>
      <c r="T4859">
        <v>19329</v>
      </c>
      <c r="U4859">
        <v>21658</v>
      </c>
      <c r="V4859" t="s">
        <v>48</v>
      </c>
    </row>
    <row r="4860" spans="1:22">
      <c r="A4860" t="str">
        <f t="shared" si="890"/>
        <v>08/10/2025</v>
      </c>
      <c r="B4860" t="str">
        <f>"SAÍDA"</f>
        <v>SAÍDA</v>
      </c>
      <c r="C4860" t="str">
        <f>"PIX"</f>
        <v>PIX</v>
      </c>
      <c r="D4860" t="str">
        <f>"22531"</f>
        <v>22531</v>
      </c>
      <c r="E4860" t="str">
        <f>"1"</f>
        <v>1</v>
      </c>
      <c r="F4860" t="str">
        <f t="shared" si="891"/>
        <v>COM</v>
      </c>
      <c r="G4860" t="str">
        <f>"GUSTAVO SILVA LIMA (771)"</f>
        <v>GUSTAVO SILVA LIMA (771)</v>
      </c>
      <c r="H4860" t="str">
        <f>"Serv.Prest. 22/09/2025 a 25/09/2025 - PIX: CELULAR - CHAVE: (73) 98888-3793"</f>
        <v>Serv.Prest. 22/09/2025 a 25/09/2025 - PIX: CELULAR - CHAVE: (73) 98888-3793</v>
      </c>
      <c r="I4860" t="str">
        <f>("09/10/2025")</f>
        <v>09/10/2025</v>
      </c>
      <c r="J4860" t="str">
        <f>("26/09/2025")</f>
        <v>26/09/2025</v>
      </c>
      <c r="K4860" t="str">
        <f>("08/10/2025")</f>
        <v>08/10/2025</v>
      </c>
      <c r="L4860">
        <v>20</v>
      </c>
      <c r="M4860">
        <v>20</v>
      </c>
      <c r="N4860">
        <v>109</v>
      </c>
      <c r="O4860" t="str">
        <f>"PAGAMENTO DE ENTREGADORES"</f>
        <v>PAGAMENTO DE ENTREGADORES</v>
      </c>
      <c r="P4860">
        <v>20</v>
      </c>
      <c r="S4860" t="str">
        <f>"CAIXA MOVIMENTAÇÃO OPERACIONAL (132)"</f>
        <v>CAIXA MOVIMENTAÇÃO OPERACIONAL (132)</v>
      </c>
      <c r="T4860">
        <v>19330</v>
      </c>
      <c r="U4860">
        <v>23311</v>
      </c>
      <c r="V4860" t="s">
        <v>48</v>
      </c>
    </row>
    <row r="4861" spans="1:22">
      <c r="A4861" t="str">
        <f t="shared" si="890"/>
        <v>08/10/2025</v>
      </c>
      <c r="B4861" t="str">
        <f>"SAÍDA"</f>
        <v>SAÍDA</v>
      </c>
      <c r="C4861" t="str">
        <f>"PIX"</f>
        <v>PIX</v>
      </c>
      <c r="D4861" t="str">
        <f>"22531"</f>
        <v>22531</v>
      </c>
      <c r="E4861" t="str">
        <f>"1"</f>
        <v>1</v>
      </c>
      <c r="F4861" t="str">
        <f t="shared" si="891"/>
        <v>COM</v>
      </c>
      <c r="G4861" t="str">
        <f>"GUSTAVO SILVA LIMA (771)"</f>
        <v>GUSTAVO SILVA LIMA (771)</v>
      </c>
      <c r="H4861" t="s">
        <v>1410</v>
      </c>
      <c r="I4861" t="str">
        <f>("09/10/2025")</f>
        <v>09/10/2025</v>
      </c>
      <c r="J4861" t="str">
        <f>("26/09/2025")</f>
        <v>26/09/2025</v>
      </c>
      <c r="K4861">
        <v>45938</v>
      </c>
      <c r="N4861">
        <v>109</v>
      </c>
      <c r="O4861" t="s">
        <v>24</v>
      </c>
      <c r="Q4861">
        <v>20</v>
      </c>
      <c r="R4861" t="str">
        <f>"FARMÁCIA INDIANA LJ 65 (10030)"</f>
        <v>FARMÁCIA INDIANA LJ 65 (10030)</v>
      </c>
      <c r="S4861" t="s">
        <v>48</v>
      </c>
      <c r="T4861">
        <v>19330</v>
      </c>
      <c r="U4861">
        <v>23311</v>
      </c>
      <c r="V4861" t="s">
        <v>48</v>
      </c>
    </row>
    <row r="4862" spans="1:22">
      <c r="A4862" t="str">
        <f t="shared" si="890"/>
        <v>08/10/2025</v>
      </c>
      <c r="B4862" t="str">
        <f>"ENTRADA"</f>
        <v>ENTRADA</v>
      </c>
      <c r="C4862" t="str">
        <f>"DINHEIRO"</f>
        <v>DINHEIRO</v>
      </c>
      <c r="D4862" t="str">
        <f>"718"</f>
        <v>718</v>
      </c>
      <c r="E4862" t="str">
        <f>"7"</f>
        <v>7</v>
      </c>
      <c r="F4862" t="str">
        <f t="shared" si="891"/>
        <v>COM</v>
      </c>
      <c r="G4862" t="str">
        <f>"HECTOR LUIS YANEZ QUEZADA (718)"</f>
        <v>HECTOR LUIS YANEZ QUEZADA (718)</v>
      </c>
      <c r="H4862" t="str">
        <f>"COTAS COOPERATIVA"</f>
        <v>COTAS COOPERATIVA</v>
      </c>
      <c r="I4862" t="str">
        <f>("10/10/2025")</f>
        <v>10/10/2025</v>
      </c>
      <c r="J4862" t="str">
        <f>("24/03/2025")</f>
        <v>24/03/2025</v>
      </c>
      <c r="K4862" t="str">
        <f>("08/10/2025")</f>
        <v>08/10/2025</v>
      </c>
      <c r="L4862">
        <v>20</v>
      </c>
      <c r="M4862">
        <v>20</v>
      </c>
      <c r="N4862">
        <v>106</v>
      </c>
      <c r="O4862" t="str">
        <f>"ENTRADA DE CAPITAL"</f>
        <v>ENTRADA DE CAPITAL</v>
      </c>
      <c r="P4862">
        <v>20</v>
      </c>
      <c r="S4862" t="str">
        <f>"ENTRADA DE CAPITAL (106)"</f>
        <v>ENTRADA DE CAPITAL (106)</v>
      </c>
      <c r="T4862">
        <v>19331</v>
      </c>
      <c r="U4862">
        <v>11812</v>
      </c>
      <c r="V4862" t="s">
        <v>48</v>
      </c>
    </row>
    <row r="4863" spans="1:22">
      <c r="A4863" t="str">
        <f t="shared" si="890"/>
        <v>08/10/2025</v>
      </c>
      <c r="B4863" t="str">
        <f>"ENTRADA"</f>
        <v>ENTRADA</v>
      </c>
      <c r="C4863" t="str">
        <f>"DINHEIRO"</f>
        <v>DINHEIRO</v>
      </c>
      <c r="D4863" t="str">
        <f>"718"</f>
        <v>718</v>
      </c>
      <c r="E4863" t="str">
        <f>"7"</f>
        <v>7</v>
      </c>
      <c r="F4863" t="str">
        <f t="shared" si="891"/>
        <v>COM</v>
      </c>
      <c r="G4863" t="str">
        <f>"HECTOR LUIS YANEZ QUEZADA (718)"</f>
        <v>HECTOR LUIS YANEZ QUEZADA (718)</v>
      </c>
      <c r="H4863" t="s">
        <v>318</v>
      </c>
      <c r="I4863" t="str">
        <f>("10/10/2025")</f>
        <v>10/10/2025</v>
      </c>
      <c r="J4863" t="str">
        <f>("24/03/2025")</f>
        <v>24/03/2025</v>
      </c>
      <c r="K4863">
        <v>45938</v>
      </c>
      <c r="N4863">
        <v>106</v>
      </c>
      <c r="O4863" t="s">
        <v>51</v>
      </c>
      <c r="Q4863">
        <v>20</v>
      </c>
      <c r="R4863" t="str">
        <f>"HECTOR LUIS YANEZ QUEZADA (718)"</f>
        <v>HECTOR LUIS YANEZ QUEZADA (718)</v>
      </c>
      <c r="S4863" t="s">
        <v>52</v>
      </c>
      <c r="T4863">
        <v>19331</v>
      </c>
      <c r="U4863">
        <v>11812</v>
      </c>
      <c r="V4863" t="s">
        <v>48</v>
      </c>
    </row>
    <row r="4864" spans="1:22">
      <c r="A4864" t="str">
        <f t="shared" si="890"/>
        <v>08/10/2025</v>
      </c>
      <c r="B4864" t="str">
        <f>"SAÍDA"</f>
        <v>SAÍDA</v>
      </c>
      <c r="C4864" t="str">
        <f>"PIX"</f>
        <v>PIX</v>
      </c>
      <c r="D4864" t="str">
        <f>"22879"</f>
        <v>22879</v>
      </c>
      <c r="E4864" t="str">
        <f>"1"</f>
        <v>1</v>
      </c>
      <c r="F4864" t="str">
        <f t="shared" si="891"/>
        <v>COM</v>
      </c>
      <c r="G4864" t="str">
        <f>"HECTOR LUIS YANEZ QUEZADA (718)"</f>
        <v>HECTOR LUIS YANEZ QUEZADA (718)</v>
      </c>
      <c r="H4864" t="str">
        <f>"Serv.Prest. 29/09/2025 a 05/10/2025 - PIX: CELULAR - CHAVE: (41) 98421-2278"</f>
        <v>Serv.Prest. 29/09/2025 a 05/10/2025 - PIX: CELULAR - CHAVE: (41) 98421-2278</v>
      </c>
      <c r="I4864" t="str">
        <f>("09/10/2025")</f>
        <v>09/10/2025</v>
      </c>
      <c r="J4864" t="str">
        <f>("06/10/2025")</f>
        <v>06/10/2025</v>
      </c>
      <c r="K4864" t="str">
        <f>("08/10/2025")</f>
        <v>08/10/2025</v>
      </c>
      <c r="L4864">
        <v>20</v>
      </c>
      <c r="M4864">
        <v>20</v>
      </c>
      <c r="N4864">
        <v>109</v>
      </c>
      <c r="O4864" t="str">
        <f>"PAGAMENTO DE ENTREGADORES"</f>
        <v>PAGAMENTO DE ENTREGADORES</v>
      </c>
      <c r="P4864">
        <v>20</v>
      </c>
      <c r="S4864" t="str">
        <f>"CAIXA MOVIMENTAÇÃO OPERACIONAL (132)"</f>
        <v>CAIXA MOVIMENTAÇÃO OPERACIONAL (132)</v>
      </c>
      <c r="T4864">
        <v>19332</v>
      </c>
      <c r="U4864">
        <v>23312</v>
      </c>
      <c r="V4864" t="s">
        <v>48</v>
      </c>
    </row>
    <row r="4865" spans="1:22">
      <c r="A4865" t="str">
        <f t="shared" si="890"/>
        <v>08/10/2025</v>
      </c>
      <c r="B4865" t="str">
        <f>"SAÍDA"</f>
        <v>SAÍDA</v>
      </c>
      <c r="C4865" t="str">
        <f>"PIX"</f>
        <v>PIX</v>
      </c>
      <c r="D4865" t="str">
        <f>"22879"</f>
        <v>22879</v>
      </c>
      <c r="E4865" t="str">
        <f>"1"</f>
        <v>1</v>
      </c>
      <c r="F4865" t="str">
        <f t="shared" si="891"/>
        <v>COM</v>
      </c>
      <c r="G4865" t="str">
        <f>"HECTOR LUIS YANEZ QUEZADA (718)"</f>
        <v>HECTOR LUIS YANEZ QUEZADA (718)</v>
      </c>
      <c r="H4865" t="s">
        <v>1411</v>
      </c>
      <c r="I4865" t="str">
        <f>("09/10/2025")</f>
        <v>09/10/2025</v>
      </c>
      <c r="J4865" t="str">
        <f>("06/10/2025")</f>
        <v>06/10/2025</v>
      </c>
      <c r="K4865">
        <v>45938</v>
      </c>
      <c r="N4865">
        <v>109</v>
      </c>
      <c r="O4865" t="s">
        <v>24</v>
      </c>
      <c r="Q4865">
        <v>20</v>
      </c>
      <c r="R4865" t="str">
        <f>"JAL FARMACIA E DROGARIA LJ 2 (10138)"</f>
        <v>JAL FARMACIA E DROGARIA LJ 2 (10138)</v>
      </c>
      <c r="S4865" t="s">
        <v>48</v>
      </c>
      <c r="T4865">
        <v>19332</v>
      </c>
      <c r="U4865">
        <v>23312</v>
      </c>
      <c r="V4865" t="s">
        <v>48</v>
      </c>
    </row>
    <row r="4866" spans="1:22">
      <c r="A4866" t="str">
        <f t="shared" si="890"/>
        <v>08/10/2025</v>
      </c>
      <c r="B4866" t="str">
        <f>"ENTRADA"</f>
        <v>ENTRADA</v>
      </c>
      <c r="C4866" t="str">
        <f>"DINHEIRO"</f>
        <v>DINHEIRO</v>
      </c>
      <c r="D4866" t="str">
        <f>"724"</f>
        <v>724</v>
      </c>
      <c r="E4866" t="str">
        <f>"6"</f>
        <v>6</v>
      </c>
      <c r="F4866" t="str">
        <f t="shared" si="891"/>
        <v>COM</v>
      </c>
      <c r="G4866" t="str">
        <f>"HELITON DE OLIVEIRA RAMOS BARBOSA (724)"</f>
        <v>HELITON DE OLIVEIRA RAMOS BARBOSA (724)</v>
      </c>
      <c r="H4866" t="str">
        <f>"COTA COOPERATIVA"</f>
        <v>COTA COOPERATIVA</v>
      </c>
      <c r="I4866" t="str">
        <f>("08/10/2025")</f>
        <v>08/10/2025</v>
      </c>
      <c r="J4866" t="str">
        <f>("01/04/2025")</f>
        <v>01/04/2025</v>
      </c>
      <c r="K4866" t="str">
        <f>("08/10/2025")</f>
        <v>08/10/2025</v>
      </c>
      <c r="L4866">
        <v>20</v>
      </c>
      <c r="M4866">
        <v>20</v>
      </c>
      <c r="N4866">
        <v>106</v>
      </c>
      <c r="O4866" t="str">
        <f>"ENTRADA DE CAPITAL"</f>
        <v>ENTRADA DE CAPITAL</v>
      </c>
      <c r="P4866">
        <v>20</v>
      </c>
      <c r="S4866" t="str">
        <f>"ENTRADA DE CAPITAL (106)"</f>
        <v>ENTRADA DE CAPITAL (106)</v>
      </c>
      <c r="T4866">
        <v>19333</v>
      </c>
      <c r="U4866">
        <v>13999</v>
      </c>
      <c r="V4866" t="s">
        <v>48</v>
      </c>
    </row>
    <row r="4867" spans="1:22">
      <c r="A4867" t="str">
        <f t="shared" si="890"/>
        <v>08/10/2025</v>
      </c>
      <c r="B4867" t="str">
        <f>"ENTRADA"</f>
        <v>ENTRADA</v>
      </c>
      <c r="C4867" t="str">
        <f>"DINHEIRO"</f>
        <v>DINHEIRO</v>
      </c>
      <c r="D4867" t="str">
        <f>"724"</f>
        <v>724</v>
      </c>
      <c r="E4867" t="str">
        <f>"6"</f>
        <v>6</v>
      </c>
      <c r="F4867" t="str">
        <f t="shared" si="891"/>
        <v>COM</v>
      </c>
      <c r="G4867" t="str">
        <f>"HELITON DE OLIVEIRA RAMOS BARBOSA (724)"</f>
        <v>HELITON DE OLIVEIRA RAMOS BARBOSA (724)</v>
      </c>
      <c r="H4867" t="s">
        <v>50</v>
      </c>
      <c r="I4867" t="str">
        <f>("08/10/2025")</f>
        <v>08/10/2025</v>
      </c>
      <c r="J4867" t="str">
        <f>("01/04/2025")</f>
        <v>01/04/2025</v>
      </c>
      <c r="K4867">
        <v>45938</v>
      </c>
      <c r="N4867">
        <v>106</v>
      </c>
      <c r="O4867" t="s">
        <v>51</v>
      </c>
      <c r="Q4867">
        <v>20</v>
      </c>
      <c r="R4867" t="str">
        <f>"HELITON DE OLIVEIRA RAMOS BARBOSA (724)"</f>
        <v>HELITON DE OLIVEIRA RAMOS BARBOSA (724)</v>
      </c>
      <c r="S4867" t="s">
        <v>52</v>
      </c>
      <c r="T4867">
        <v>19333</v>
      </c>
      <c r="U4867">
        <v>13999</v>
      </c>
      <c r="V4867" t="s">
        <v>48</v>
      </c>
    </row>
    <row r="4868" spans="1:22">
      <c r="A4868" t="str">
        <f t="shared" si="890"/>
        <v>08/10/2025</v>
      </c>
      <c r="B4868" t="str">
        <f>"SAÍDA"</f>
        <v>SAÍDA</v>
      </c>
      <c r="C4868" t="str">
        <f>"PIX"</f>
        <v>PIX</v>
      </c>
      <c r="D4868" t="str">
        <f>"22771"</f>
        <v>22771</v>
      </c>
      <c r="E4868" t="str">
        <f>"1"</f>
        <v>1</v>
      </c>
      <c r="F4868" t="str">
        <f t="shared" si="891"/>
        <v>COM</v>
      </c>
      <c r="G4868" t="str">
        <f>"HELITON DE OLIVEIRA RAMOS BARBOSA (724)"</f>
        <v>HELITON DE OLIVEIRA RAMOS BARBOSA (724)</v>
      </c>
      <c r="H4868" t="str">
        <f>"Serv.Prest. 22/09/2025 a 28/09/2025 - PIX: CPF - CHAVE: 074.604.219-10"</f>
        <v>Serv.Prest. 22/09/2025 a 28/09/2025 - PIX: CPF - CHAVE: 074.604.219-10</v>
      </c>
      <c r="I4868" t="str">
        <f>("09/10/2025")</f>
        <v>09/10/2025</v>
      </c>
      <c r="J4868" t="str">
        <f>("30/09/2025")</f>
        <v>30/09/2025</v>
      </c>
      <c r="K4868" t="str">
        <f>("08/10/2025")</f>
        <v>08/10/2025</v>
      </c>
      <c r="L4868">
        <v>20</v>
      </c>
      <c r="M4868">
        <v>20</v>
      </c>
      <c r="N4868">
        <v>109</v>
      </c>
      <c r="O4868" t="str">
        <f>"PAGAMENTO DE ENTREGADORES"</f>
        <v>PAGAMENTO DE ENTREGADORES</v>
      </c>
      <c r="P4868">
        <v>20</v>
      </c>
      <c r="S4868" t="str">
        <f>"CAIXA MOVIMENTAÇÃO OPERACIONAL (132)"</f>
        <v>CAIXA MOVIMENTAÇÃO OPERACIONAL (132)</v>
      </c>
      <c r="T4868">
        <v>19334</v>
      </c>
      <c r="U4868">
        <v>23313</v>
      </c>
      <c r="V4868" t="s">
        <v>48</v>
      </c>
    </row>
    <row r="4869" spans="1:22">
      <c r="A4869" t="str">
        <f t="shared" si="890"/>
        <v>08/10/2025</v>
      </c>
      <c r="B4869" t="str">
        <f>"SAÍDA"</f>
        <v>SAÍDA</v>
      </c>
      <c r="C4869" t="str">
        <f>"PIX"</f>
        <v>PIX</v>
      </c>
      <c r="D4869" t="str">
        <f>"22771"</f>
        <v>22771</v>
      </c>
      <c r="E4869" t="str">
        <f>"1"</f>
        <v>1</v>
      </c>
      <c r="F4869" t="str">
        <f t="shared" si="891"/>
        <v>COM</v>
      </c>
      <c r="G4869" t="str">
        <f>"HELITON DE OLIVEIRA RAMOS BARBOSA (724)"</f>
        <v>HELITON DE OLIVEIRA RAMOS BARBOSA (724)</v>
      </c>
      <c r="H4869" t="s">
        <v>1412</v>
      </c>
      <c r="I4869" t="str">
        <f>("09/10/2025")</f>
        <v>09/10/2025</v>
      </c>
      <c r="J4869" t="str">
        <f>("30/09/2025")</f>
        <v>30/09/2025</v>
      </c>
      <c r="K4869">
        <v>45938</v>
      </c>
      <c r="N4869">
        <v>109</v>
      </c>
      <c r="O4869" t="s">
        <v>24</v>
      </c>
      <c r="Q4869">
        <v>20</v>
      </c>
      <c r="R4869" t="str">
        <f>"AC FARMA - CID.ALTA (10166)"</f>
        <v>AC FARMA - CID.ALTA (10166)</v>
      </c>
      <c r="S4869" t="s">
        <v>48</v>
      </c>
      <c r="T4869">
        <v>19334</v>
      </c>
      <c r="U4869">
        <v>23313</v>
      </c>
      <c r="V4869" t="s">
        <v>48</v>
      </c>
    </row>
    <row r="4870" spans="1:22">
      <c r="A4870" t="str">
        <f t="shared" si="890"/>
        <v>08/10/2025</v>
      </c>
      <c r="B4870" t="str">
        <f>"SAÍDA"</f>
        <v>SAÍDA</v>
      </c>
      <c r="C4870" t="str">
        <f>"PIX"</f>
        <v>PIX</v>
      </c>
      <c r="D4870" t="str">
        <f>"22820"</f>
        <v>22820</v>
      </c>
      <c r="E4870" t="str">
        <f>"1"</f>
        <v>1</v>
      </c>
      <c r="F4870" t="str">
        <f t="shared" si="891"/>
        <v>COM</v>
      </c>
      <c r="G4870" t="str">
        <f>"ISAEL SANTOS ROSA (642)"</f>
        <v>ISAEL SANTOS ROSA (642)</v>
      </c>
      <c r="H4870" t="str">
        <f>"Serv.Prest. 29/09/2025 a 05/10/2025 - PIX: CELULAR - CHAVE: (31) 99376-7989"</f>
        <v>Serv.Prest. 29/09/2025 a 05/10/2025 - PIX: CELULAR - CHAVE: (31) 99376-7989</v>
      </c>
      <c r="I4870" t="str">
        <f>("09/10/2025")</f>
        <v>09/10/2025</v>
      </c>
      <c r="J4870" t="str">
        <f>("06/10/2025")</f>
        <v>06/10/2025</v>
      </c>
      <c r="K4870" t="str">
        <f>("08/10/2025")</f>
        <v>08/10/2025</v>
      </c>
      <c r="L4870">
        <v>20</v>
      </c>
      <c r="M4870">
        <v>20</v>
      </c>
      <c r="N4870">
        <v>109</v>
      </c>
      <c r="O4870" t="str">
        <f>"PAGAMENTO DE ENTREGADORES"</f>
        <v>PAGAMENTO DE ENTREGADORES</v>
      </c>
      <c r="P4870">
        <v>20</v>
      </c>
      <c r="S4870" t="str">
        <f>"CAIXA MOVIMENTAÇÃO OPERACIONAL (132)"</f>
        <v>CAIXA MOVIMENTAÇÃO OPERACIONAL (132)</v>
      </c>
      <c r="T4870">
        <v>19335</v>
      </c>
      <c r="U4870">
        <v>23314</v>
      </c>
      <c r="V4870" t="s">
        <v>48</v>
      </c>
    </row>
    <row r="4871" spans="1:22">
      <c r="A4871" t="str">
        <f t="shared" si="890"/>
        <v>08/10/2025</v>
      </c>
      <c r="B4871" t="str">
        <f>"SAÍDA"</f>
        <v>SAÍDA</v>
      </c>
      <c r="C4871" t="str">
        <f>"PIX"</f>
        <v>PIX</v>
      </c>
      <c r="D4871" t="str">
        <f>"22820"</f>
        <v>22820</v>
      </c>
      <c r="E4871" t="str">
        <f>"1"</f>
        <v>1</v>
      </c>
      <c r="F4871" t="str">
        <f t="shared" si="891"/>
        <v>COM</v>
      </c>
      <c r="G4871" t="str">
        <f>"ISAEL SANTOS ROSA (642)"</f>
        <v>ISAEL SANTOS ROSA (642)</v>
      </c>
      <c r="H4871" t="s">
        <v>1413</v>
      </c>
      <c r="I4871" t="str">
        <f>("09/10/2025")</f>
        <v>09/10/2025</v>
      </c>
      <c r="J4871" t="str">
        <f>("06/10/2025")</f>
        <v>06/10/2025</v>
      </c>
      <c r="K4871">
        <v>45938</v>
      </c>
      <c r="N4871">
        <v>109</v>
      </c>
      <c r="O4871" t="s">
        <v>24</v>
      </c>
      <c r="Q4871">
        <v>20</v>
      </c>
      <c r="R4871" t="str">
        <f>"DROGARIA POUPA MINAS (ULTRAMINAS) 3 (10129)"</f>
        <v>DROGARIA POUPA MINAS (ULTRAMINAS) 3 (10129)</v>
      </c>
      <c r="S4871" t="s">
        <v>48</v>
      </c>
      <c r="T4871">
        <v>19335</v>
      </c>
      <c r="U4871">
        <v>23314</v>
      </c>
      <c r="V4871" t="s">
        <v>48</v>
      </c>
    </row>
    <row r="4872" spans="1:22">
      <c r="A4872" t="str">
        <f t="shared" si="890"/>
        <v>08/10/2025</v>
      </c>
      <c r="B4872" t="str">
        <f>"ENTRADA"</f>
        <v>ENTRADA</v>
      </c>
      <c r="C4872" t="str">
        <f>"DINHEIRO"</f>
        <v>DINHEIRO</v>
      </c>
      <c r="D4872" t="str">
        <f>"642"</f>
        <v>642</v>
      </c>
      <c r="E4872" t="str">
        <f>"9"</f>
        <v>9</v>
      </c>
      <c r="F4872" t="str">
        <f t="shared" si="891"/>
        <v>COM</v>
      </c>
      <c r="G4872" t="str">
        <f>"ISAEL SANTOS ROSA (642)"</f>
        <v>ISAEL SANTOS ROSA (642)</v>
      </c>
      <c r="H4872" t="str">
        <f>"COTAS COOPERATIVA"</f>
        <v>COTAS COOPERATIVA</v>
      </c>
      <c r="I4872" t="str">
        <f>("13/10/2025")</f>
        <v>13/10/2025</v>
      </c>
      <c r="J4872" t="str">
        <f>("12/02/2025")</f>
        <v>12/02/2025</v>
      </c>
      <c r="K4872" t="str">
        <f>("08/10/2025")</f>
        <v>08/10/2025</v>
      </c>
      <c r="L4872">
        <v>20</v>
      </c>
      <c r="M4872">
        <v>20</v>
      </c>
      <c r="N4872">
        <v>106</v>
      </c>
      <c r="O4872" t="str">
        <f>"ENTRADA DE CAPITAL"</f>
        <v>ENTRADA DE CAPITAL</v>
      </c>
      <c r="P4872">
        <v>20</v>
      </c>
      <c r="S4872" t="str">
        <f>"ENTRADA DE CAPITAL (106)"</f>
        <v>ENTRADA DE CAPITAL (106)</v>
      </c>
      <c r="T4872">
        <v>19336</v>
      </c>
      <c r="U4872">
        <v>9284</v>
      </c>
      <c r="V4872" t="s">
        <v>48</v>
      </c>
    </row>
    <row r="4873" spans="1:22">
      <c r="A4873" t="str">
        <f t="shared" si="890"/>
        <v>08/10/2025</v>
      </c>
      <c r="B4873" t="str">
        <f>"ENTRADA"</f>
        <v>ENTRADA</v>
      </c>
      <c r="C4873" t="str">
        <f>"DINHEIRO"</f>
        <v>DINHEIRO</v>
      </c>
      <c r="D4873" t="str">
        <f>"642"</f>
        <v>642</v>
      </c>
      <c r="E4873" t="str">
        <f>"9"</f>
        <v>9</v>
      </c>
      <c r="F4873" t="str">
        <f t="shared" si="891"/>
        <v>COM</v>
      </c>
      <c r="G4873" t="str">
        <f>"ISAEL SANTOS ROSA (642)"</f>
        <v>ISAEL SANTOS ROSA (642)</v>
      </c>
      <c r="H4873" t="s">
        <v>318</v>
      </c>
      <c r="I4873" t="str">
        <f>("13/10/2025")</f>
        <v>13/10/2025</v>
      </c>
      <c r="J4873" t="str">
        <f>("12/02/2025")</f>
        <v>12/02/2025</v>
      </c>
      <c r="K4873">
        <v>45938</v>
      </c>
      <c r="N4873">
        <v>106</v>
      </c>
      <c r="O4873" t="s">
        <v>51</v>
      </c>
      <c r="Q4873">
        <v>20</v>
      </c>
      <c r="R4873" t="str">
        <f>"ISAEL SANTOS ROSA (642)"</f>
        <v>ISAEL SANTOS ROSA (642)</v>
      </c>
      <c r="S4873" t="s">
        <v>52</v>
      </c>
      <c r="T4873">
        <v>19336</v>
      </c>
      <c r="U4873">
        <v>9284</v>
      </c>
      <c r="V4873" t="s">
        <v>48</v>
      </c>
    </row>
    <row r="4874" spans="1:22">
      <c r="A4874" t="str">
        <f t="shared" si="890"/>
        <v>08/10/2025</v>
      </c>
      <c r="B4874" t="str">
        <f>"ENTRADA"</f>
        <v>ENTRADA</v>
      </c>
      <c r="C4874" t="str">
        <f>"DINHEIRO"</f>
        <v>DINHEIRO</v>
      </c>
      <c r="D4874" t="str">
        <f>"09"</f>
        <v>09</v>
      </c>
      <c r="E4874" t="str">
        <f>"34"</f>
        <v>34</v>
      </c>
      <c r="F4874" t="str">
        <f t="shared" si="891"/>
        <v>COM</v>
      </c>
      <c r="G4874" t="str">
        <f>"IVAN SOUZA SANTOS (101)"</f>
        <v>IVAN SOUZA SANTOS (101)</v>
      </c>
      <c r="H4874" t="str">
        <f>"DESCONTO COTA COOPERADO"</f>
        <v>DESCONTO COTA COOPERADO</v>
      </c>
      <c r="I4874" t="str">
        <f>("16/10/2025")</f>
        <v>16/10/2025</v>
      </c>
      <c r="J4874" t="str">
        <f>("16/01/2025")</f>
        <v>16/01/2025</v>
      </c>
      <c r="K4874" t="str">
        <f>("08/10/2025")</f>
        <v>08/10/2025</v>
      </c>
      <c r="L4874">
        <v>20</v>
      </c>
      <c r="M4874">
        <v>20</v>
      </c>
      <c r="N4874">
        <v>106</v>
      </c>
      <c r="O4874" t="str">
        <f>"ENTRADA DE CAPITAL"</f>
        <v>ENTRADA DE CAPITAL</v>
      </c>
      <c r="P4874">
        <v>20</v>
      </c>
      <c r="S4874" t="str">
        <f>"ENTRADA DE CAPITAL (106)"</f>
        <v>ENTRADA DE CAPITAL (106)</v>
      </c>
      <c r="T4874">
        <v>19337</v>
      </c>
      <c r="U4874">
        <v>6524</v>
      </c>
      <c r="V4874" t="s">
        <v>48</v>
      </c>
    </row>
    <row r="4875" spans="1:22">
      <c r="A4875" t="str">
        <f t="shared" si="890"/>
        <v>08/10/2025</v>
      </c>
      <c r="B4875" t="str">
        <f>"ENTRADA"</f>
        <v>ENTRADA</v>
      </c>
      <c r="C4875" t="str">
        <f>"DINHEIRO"</f>
        <v>DINHEIRO</v>
      </c>
      <c r="D4875" t="str">
        <f>"09"</f>
        <v>09</v>
      </c>
      <c r="E4875" t="str">
        <f>"34"</f>
        <v>34</v>
      </c>
      <c r="F4875" t="str">
        <f t="shared" si="891"/>
        <v>COM</v>
      </c>
      <c r="G4875" t="str">
        <f>"IVAN SOUZA SANTOS (101)"</f>
        <v>IVAN SOUZA SANTOS (101)</v>
      </c>
      <c r="H4875" t="s">
        <v>309</v>
      </c>
      <c r="I4875" t="str">
        <f>("16/10/2025")</f>
        <v>16/10/2025</v>
      </c>
      <c r="J4875" t="str">
        <f>("16/01/2025")</f>
        <v>16/01/2025</v>
      </c>
      <c r="K4875">
        <v>45938</v>
      </c>
      <c r="N4875">
        <v>106</v>
      </c>
      <c r="O4875" t="s">
        <v>51</v>
      </c>
      <c r="Q4875">
        <v>20</v>
      </c>
      <c r="R4875" t="str">
        <f>"IVAN SOUZA SANTOS (101)"</f>
        <v>IVAN SOUZA SANTOS (101)</v>
      </c>
      <c r="S4875" t="s">
        <v>52</v>
      </c>
      <c r="T4875">
        <v>19337</v>
      </c>
      <c r="U4875">
        <v>6524</v>
      </c>
      <c r="V4875" t="s">
        <v>48</v>
      </c>
    </row>
    <row r="4876" spans="1:22">
      <c r="A4876" t="str">
        <f t="shared" si="890"/>
        <v>08/10/2025</v>
      </c>
      <c r="B4876" t="str">
        <f>"SAÍDA"</f>
        <v>SAÍDA</v>
      </c>
      <c r="C4876" t="str">
        <f>"PIX"</f>
        <v>PIX</v>
      </c>
      <c r="D4876" t="str">
        <f>"22583"</f>
        <v>22583</v>
      </c>
      <c r="E4876" t="str">
        <f>"1"</f>
        <v>1</v>
      </c>
      <c r="F4876" t="str">
        <f t="shared" si="891"/>
        <v>COM</v>
      </c>
      <c r="G4876" t="str">
        <f>"IVAN SOUZA SANTOS (101)"</f>
        <v>IVAN SOUZA SANTOS (101)</v>
      </c>
      <c r="H4876" t="str">
        <f>"Serv.Prest. 22/09/2025 a 25/09/2025 - PIX: CPF - CHAVE: 067.393.286-92"</f>
        <v>Serv.Prest. 22/09/2025 a 25/09/2025 - PIX: CPF - CHAVE: 067.393.286-92</v>
      </c>
      <c r="I4876" t="str">
        <f>("09/10/2025")</f>
        <v>09/10/2025</v>
      </c>
      <c r="J4876" t="str">
        <f>("26/09/2025")</f>
        <v>26/09/2025</v>
      </c>
      <c r="K4876" t="str">
        <f>("08/10/2025")</f>
        <v>08/10/2025</v>
      </c>
      <c r="L4876">
        <v>20</v>
      </c>
      <c r="M4876">
        <v>20</v>
      </c>
      <c r="N4876">
        <v>109</v>
      </c>
      <c r="O4876" t="str">
        <f>"PAGAMENTO DE ENTREGADORES"</f>
        <v>PAGAMENTO DE ENTREGADORES</v>
      </c>
      <c r="P4876">
        <v>20</v>
      </c>
      <c r="S4876" t="str">
        <f>"CAIXA MOVIMENTAÇÃO OPERACIONAL (132)"</f>
        <v>CAIXA MOVIMENTAÇÃO OPERACIONAL (132)</v>
      </c>
      <c r="T4876">
        <v>19338</v>
      </c>
      <c r="U4876">
        <v>23315</v>
      </c>
      <c r="V4876" t="s">
        <v>48</v>
      </c>
    </row>
    <row r="4877" spans="1:22">
      <c r="A4877" t="str">
        <f t="shared" si="890"/>
        <v>08/10/2025</v>
      </c>
      <c r="B4877" t="str">
        <f>"SAÍDA"</f>
        <v>SAÍDA</v>
      </c>
      <c r="C4877" t="str">
        <f>"PIX"</f>
        <v>PIX</v>
      </c>
      <c r="D4877" t="str">
        <f>"22583"</f>
        <v>22583</v>
      </c>
      <c r="E4877" t="str">
        <f>"1"</f>
        <v>1</v>
      </c>
      <c r="F4877" t="str">
        <f t="shared" si="891"/>
        <v>COM</v>
      </c>
      <c r="G4877" t="str">
        <f>"IVAN SOUZA SANTOS (101)"</f>
        <v>IVAN SOUZA SANTOS (101)</v>
      </c>
      <c r="H4877" t="s">
        <v>1414</v>
      </c>
      <c r="I4877" t="str">
        <f>("09/10/2025")</f>
        <v>09/10/2025</v>
      </c>
      <c r="J4877" t="str">
        <f>("26/09/2025")</f>
        <v>26/09/2025</v>
      </c>
      <c r="K4877">
        <v>45938</v>
      </c>
      <c r="N4877">
        <v>109</v>
      </c>
      <c r="O4877" t="s">
        <v>24</v>
      </c>
      <c r="Q4877">
        <v>20</v>
      </c>
      <c r="R4877" t="str">
        <f>"FARMÁCIA INDIANA LJ 59 (10026)"</f>
        <v>FARMÁCIA INDIANA LJ 59 (10026)</v>
      </c>
      <c r="S4877" t="s">
        <v>48</v>
      </c>
      <c r="T4877">
        <v>19338</v>
      </c>
      <c r="U4877">
        <v>23315</v>
      </c>
      <c r="V4877" t="s">
        <v>48</v>
      </c>
    </row>
    <row r="4878" spans="1:22">
      <c r="A4878" t="str">
        <f t="shared" si="890"/>
        <v>08/10/2025</v>
      </c>
      <c r="B4878" t="str">
        <f>"SAÍDA"</f>
        <v>SAÍDA</v>
      </c>
      <c r="C4878" t="str">
        <f>"PIX"</f>
        <v>PIX</v>
      </c>
      <c r="D4878" t="str">
        <f>"22532"</f>
        <v>22532</v>
      </c>
      <c r="E4878" t="str">
        <f>"1"</f>
        <v>1</v>
      </c>
      <c r="F4878" t="str">
        <f t="shared" si="891"/>
        <v>COM</v>
      </c>
      <c r="G4878" t="str">
        <f>"JALDENIR MENDES DOS SANTOS (167)"</f>
        <v>JALDENIR MENDES DOS SANTOS (167)</v>
      </c>
      <c r="H4878" t="str">
        <f>"Serv.Prest. 22/09/2025 a 25/09/2025 - PIX: CPF - CHAVE: 439.169.103-53"</f>
        <v>Serv.Prest. 22/09/2025 a 25/09/2025 - PIX: CPF - CHAVE: 439.169.103-53</v>
      </c>
      <c r="I4878" t="str">
        <f>("09/10/2025")</f>
        <v>09/10/2025</v>
      </c>
      <c r="J4878" t="str">
        <f>("26/09/2025")</f>
        <v>26/09/2025</v>
      </c>
      <c r="K4878" t="str">
        <f>("08/10/2025")</f>
        <v>08/10/2025</v>
      </c>
      <c r="L4878">
        <v>20</v>
      </c>
      <c r="M4878">
        <v>20</v>
      </c>
      <c r="N4878">
        <v>109</v>
      </c>
      <c r="O4878" t="str">
        <f>"PAGAMENTO DE ENTREGADORES"</f>
        <v>PAGAMENTO DE ENTREGADORES</v>
      </c>
      <c r="P4878">
        <v>20</v>
      </c>
      <c r="S4878" t="str">
        <f>"CAIXA MOVIMENTAÇÃO OPERACIONAL (132)"</f>
        <v>CAIXA MOVIMENTAÇÃO OPERACIONAL (132)</v>
      </c>
      <c r="T4878">
        <v>19339</v>
      </c>
      <c r="U4878">
        <v>23316</v>
      </c>
      <c r="V4878" t="s">
        <v>48</v>
      </c>
    </row>
    <row r="4879" spans="1:22">
      <c r="A4879" t="str">
        <f t="shared" ref="A4879:A4942" si="892">("08/10/2025")</f>
        <v>08/10/2025</v>
      </c>
      <c r="B4879" t="str">
        <f>"SAÍDA"</f>
        <v>SAÍDA</v>
      </c>
      <c r="C4879" t="str">
        <f>"PIX"</f>
        <v>PIX</v>
      </c>
      <c r="D4879" t="str">
        <f>"22532"</f>
        <v>22532</v>
      </c>
      <c r="E4879" t="str">
        <f>"1"</f>
        <v>1</v>
      </c>
      <c r="F4879" t="str">
        <f t="shared" ref="F4879:F4942" si="893">"COM"</f>
        <v>COM</v>
      </c>
      <c r="G4879" t="str">
        <f>"JALDENIR MENDES DOS SANTOS (167)"</f>
        <v>JALDENIR MENDES DOS SANTOS (167)</v>
      </c>
      <c r="H4879" t="s">
        <v>1415</v>
      </c>
      <c r="I4879" t="str">
        <f>("09/10/2025")</f>
        <v>09/10/2025</v>
      </c>
      <c r="J4879" t="str">
        <f>("26/09/2025")</f>
        <v>26/09/2025</v>
      </c>
      <c r="K4879">
        <v>45938</v>
      </c>
      <c r="N4879">
        <v>109</v>
      </c>
      <c r="O4879" t="s">
        <v>24</v>
      </c>
      <c r="Q4879">
        <v>20</v>
      </c>
      <c r="R4879" t="str">
        <f>"FARMÁCIA INDIANA LJ 34 (10014)"</f>
        <v>FARMÁCIA INDIANA LJ 34 (10014)</v>
      </c>
      <c r="S4879" t="s">
        <v>48</v>
      </c>
      <c r="T4879">
        <v>19339</v>
      </c>
      <c r="U4879">
        <v>23316</v>
      </c>
      <c r="V4879" t="s">
        <v>48</v>
      </c>
    </row>
    <row r="4880" spans="1:22">
      <c r="A4880" t="str">
        <f t="shared" si="892"/>
        <v>08/10/2025</v>
      </c>
      <c r="B4880" t="str">
        <f>"ENTRADA"</f>
        <v>ENTRADA</v>
      </c>
      <c r="C4880" t="str">
        <f>"DINHEIRO"</f>
        <v>DINHEIRO</v>
      </c>
      <c r="D4880" t="str">
        <f>"11"</f>
        <v>11</v>
      </c>
      <c r="E4880" t="str">
        <f>"34"</f>
        <v>34</v>
      </c>
      <c r="F4880" t="str">
        <f t="shared" si="893"/>
        <v>COM</v>
      </c>
      <c r="G4880" t="str">
        <f>"JALDENIR MENDES DOS SANTOS (167)"</f>
        <v>JALDENIR MENDES DOS SANTOS (167)</v>
      </c>
      <c r="H4880" t="str">
        <f>"DESCONTO COTA COOPERADO"</f>
        <v>DESCONTO COTA COOPERADO</v>
      </c>
      <c r="I4880" t="str">
        <f>("16/10/2025")</f>
        <v>16/10/2025</v>
      </c>
      <c r="J4880" t="str">
        <f>("16/01/2025")</f>
        <v>16/01/2025</v>
      </c>
      <c r="K4880" t="str">
        <f>("08/10/2025")</f>
        <v>08/10/2025</v>
      </c>
      <c r="L4880">
        <v>20</v>
      </c>
      <c r="M4880">
        <v>20</v>
      </c>
      <c r="N4880">
        <v>106</v>
      </c>
      <c r="O4880" t="str">
        <f>"ENTRADA DE CAPITAL"</f>
        <v>ENTRADA DE CAPITAL</v>
      </c>
      <c r="P4880">
        <v>20</v>
      </c>
      <c r="S4880" t="str">
        <f>"ENTRADA DE CAPITAL (106)"</f>
        <v>ENTRADA DE CAPITAL (106)</v>
      </c>
      <c r="T4880">
        <v>19340</v>
      </c>
      <c r="U4880">
        <v>6542</v>
      </c>
      <c r="V4880" t="s">
        <v>48</v>
      </c>
    </row>
    <row r="4881" spans="1:22">
      <c r="A4881" t="str">
        <f t="shared" si="892"/>
        <v>08/10/2025</v>
      </c>
      <c r="B4881" t="str">
        <f>"ENTRADA"</f>
        <v>ENTRADA</v>
      </c>
      <c r="C4881" t="str">
        <f>"DINHEIRO"</f>
        <v>DINHEIRO</v>
      </c>
      <c r="D4881" t="str">
        <f>"11"</f>
        <v>11</v>
      </c>
      <c r="E4881" t="str">
        <f>"34"</f>
        <v>34</v>
      </c>
      <c r="F4881" t="str">
        <f t="shared" si="893"/>
        <v>COM</v>
      </c>
      <c r="G4881" t="str">
        <f>"JALDENIR MENDES DOS SANTOS (167)"</f>
        <v>JALDENIR MENDES DOS SANTOS (167)</v>
      </c>
      <c r="H4881" t="s">
        <v>309</v>
      </c>
      <c r="I4881" t="str">
        <f>("16/10/2025")</f>
        <v>16/10/2025</v>
      </c>
      <c r="J4881" t="str">
        <f>("16/01/2025")</f>
        <v>16/01/2025</v>
      </c>
      <c r="K4881">
        <v>45938</v>
      </c>
      <c r="N4881">
        <v>106</v>
      </c>
      <c r="O4881" t="s">
        <v>51</v>
      </c>
      <c r="Q4881">
        <v>20</v>
      </c>
      <c r="R4881" t="str">
        <f>"JALDENIR MENDES DOS SANTOS (167)"</f>
        <v>JALDENIR MENDES DOS SANTOS (167)</v>
      </c>
      <c r="S4881" t="s">
        <v>52</v>
      </c>
      <c r="T4881">
        <v>19340</v>
      </c>
      <c r="U4881">
        <v>6542</v>
      </c>
      <c r="V4881" t="s">
        <v>48</v>
      </c>
    </row>
    <row r="4882" spans="1:22">
      <c r="A4882" t="str">
        <f t="shared" si="892"/>
        <v>08/10/2025</v>
      </c>
      <c r="B4882" t="str">
        <f>"ENTRADA"</f>
        <v>ENTRADA</v>
      </c>
      <c r="C4882" t="str">
        <f>"DINHEIRO"</f>
        <v>DINHEIRO</v>
      </c>
      <c r="D4882" t="str">
        <f>"749"</f>
        <v>749</v>
      </c>
      <c r="E4882" t="str">
        <f>"6"</f>
        <v>6</v>
      </c>
      <c r="F4882" t="str">
        <f t="shared" si="893"/>
        <v>COM</v>
      </c>
      <c r="G4882" t="str">
        <f t="shared" ref="G4882:G4887" si="894">"JAMERSON SOUZA LOPES (749)"</f>
        <v>JAMERSON SOUZA LOPES (749)</v>
      </c>
      <c r="H4882" t="str">
        <f>"COTA COOPERATIVA"</f>
        <v>COTA COOPERATIVA</v>
      </c>
      <c r="I4882" t="str">
        <f>("08/10/2025")</f>
        <v>08/10/2025</v>
      </c>
      <c r="J4882" t="str">
        <f>("16/04/2025")</f>
        <v>16/04/2025</v>
      </c>
      <c r="K4882" t="str">
        <f>("08/10/2025")</f>
        <v>08/10/2025</v>
      </c>
      <c r="L4882">
        <v>20</v>
      </c>
      <c r="M4882">
        <v>20</v>
      </c>
      <c r="N4882">
        <v>106</v>
      </c>
      <c r="O4882" t="str">
        <f>"ENTRADA DE CAPITAL"</f>
        <v>ENTRADA DE CAPITAL</v>
      </c>
      <c r="P4882">
        <v>20</v>
      </c>
      <c r="S4882" t="str">
        <f>"ENTRADA DE CAPITAL (106)"</f>
        <v>ENTRADA DE CAPITAL (106)</v>
      </c>
      <c r="T4882">
        <v>19341</v>
      </c>
      <c r="U4882">
        <v>14060</v>
      </c>
      <c r="V4882" t="s">
        <v>48</v>
      </c>
    </row>
    <row r="4883" spans="1:22">
      <c r="A4883" t="str">
        <f t="shared" si="892"/>
        <v>08/10/2025</v>
      </c>
      <c r="B4883" t="str">
        <f>"ENTRADA"</f>
        <v>ENTRADA</v>
      </c>
      <c r="C4883" t="str">
        <f>"DINHEIRO"</f>
        <v>DINHEIRO</v>
      </c>
      <c r="D4883" t="str">
        <f>"749"</f>
        <v>749</v>
      </c>
      <c r="E4883" t="str">
        <f>"6"</f>
        <v>6</v>
      </c>
      <c r="F4883" t="str">
        <f t="shared" si="893"/>
        <v>COM</v>
      </c>
      <c r="G4883" t="str">
        <f t="shared" si="894"/>
        <v>JAMERSON SOUZA LOPES (749)</v>
      </c>
      <c r="H4883" t="s">
        <v>50</v>
      </c>
      <c r="I4883" t="str">
        <f>("08/10/2025")</f>
        <v>08/10/2025</v>
      </c>
      <c r="J4883" t="str">
        <f>("16/04/2025")</f>
        <v>16/04/2025</v>
      </c>
      <c r="K4883">
        <v>45938</v>
      </c>
      <c r="N4883">
        <v>106</v>
      </c>
      <c r="O4883" t="s">
        <v>51</v>
      </c>
      <c r="Q4883">
        <v>20</v>
      </c>
      <c r="R4883" t="str">
        <f>"JAMERSON SOUZA LOPES (749)"</f>
        <v>JAMERSON SOUZA LOPES (749)</v>
      </c>
      <c r="S4883" t="s">
        <v>52</v>
      </c>
      <c r="T4883">
        <v>19341</v>
      </c>
      <c r="U4883">
        <v>14060</v>
      </c>
      <c r="V4883" t="s">
        <v>48</v>
      </c>
    </row>
    <row r="4884" spans="1:22">
      <c r="A4884" t="str">
        <f t="shared" si="892"/>
        <v>08/10/2025</v>
      </c>
      <c r="B4884" t="str">
        <f>"SAÍDA"</f>
        <v>SAÍDA</v>
      </c>
      <c r="C4884" t="str">
        <f>"PIX"</f>
        <v>PIX</v>
      </c>
      <c r="D4884" t="str">
        <f>"22866"</f>
        <v>22866</v>
      </c>
      <c r="E4884" t="str">
        <f>"1"</f>
        <v>1</v>
      </c>
      <c r="F4884" t="str">
        <f t="shared" si="893"/>
        <v>COM</v>
      </c>
      <c r="G4884" t="str">
        <f t="shared" si="894"/>
        <v>JAMERSON SOUZA LOPES (749)</v>
      </c>
      <c r="H4884" t="str">
        <f>"Serv.Prest. 29/09/2025 a 05/10/2025 - PIX: CPF - CHAVE: 423.098.018-36"</f>
        <v>Serv.Prest. 29/09/2025 a 05/10/2025 - PIX: CPF - CHAVE: 423.098.018-36</v>
      </c>
      <c r="I4884" t="str">
        <f t="shared" ref="I4884:I4890" si="895">("09/10/2025")</f>
        <v>09/10/2025</v>
      </c>
      <c r="J4884" t="str">
        <f>("06/10/2025")</f>
        <v>06/10/2025</v>
      </c>
      <c r="K4884" t="str">
        <f>("08/10/2025")</f>
        <v>08/10/2025</v>
      </c>
      <c r="L4884">
        <v>133.30000000000001</v>
      </c>
      <c r="M4884">
        <v>133.30000000000001</v>
      </c>
      <c r="N4884">
        <v>109</v>
      </c>
      <c r="O4884" t="str">
        <f>"PAGAMENTO DE ENTREGADORES"</f>
        <v>PAGAMENTO DE ENTREGADORES</v>
      </c>
      <c r="P4884">
        <v>133.30000000000001</v>
      </c>
      <c r="S4884" t="str">
        <f>"CAIXA MOVIMENTAÇÃO OPERACIONAL (132)"</f>
        <v>CAIXA MOVIMENTAÇÃO OPERACIONAL (132)</v>
      </c>
      <c r="T4884">
        <v>19342</v>
      </c>
      <c r="U4884">
        <v>23317</v>
      </c>
      <c r="V4884" t="s">
        <v>48</v>
      </c>
    </row>
    <row r="4885" spans="1:22">
      <c r="A4885" t="str">
        <f t="shared" si="892"/>
        <v>08/10/2025</v>
      </c>
      <c r="B4885" t="str">
        <f>"SAÍDA"</f>
        <v>SAÍDA</v>
      </c>
      <c r="C4885" t="str">
        <f>"PIX"</f>
        <v>PIX</v>
      </c>
      <c r="D4885" t="str">
        <f>"22866"</f>
        <v>22866</v>
      </c>
      <c r="E4885" t="str">
        <f>"1"</f>
        <v>1</v>
      </c>
      <c r="F4885" t="str">
        <f t="shared" si="893"/>
        <v>COM</v>
      </c>
      <c r="G4885" t="str">
        <f t="shared" si="894"/>
        <v>JAMERSON SOUZA LOPES (749)</v>
      </c>
      <c r="H4885" t="s">
        <v>1416</v>
      </c>
      <c r="I4885" t="str">
        <f t="shared" si="895"/>
        <v>09/10/2025</v>
      </c>
      <c r="J4885" t="str">
        <f>("06/10/2025")</f>
        <v>06/10/2025</v>
      </c>
      <c r="K4885">
        <v>45938</v>
      </c>
      <c r="N4885">
        <v>109</v>
      </c>
      <c r="O4885" t="s">
        <v>24</v>
      </c>
      <c r="Q4885">
        <v>133.30000000000001</v>
      </c>
      <c r="R4885" t="str">
        <f>"DROGARIA TOTAL JUNDIAI (10177)"</f>
        <v>DROGARIA TOTAL JUNDIAI (10177)</v>
      </c>
      <c r="S4885" t="s">
        <v>48</v>
      </c>
      <c r="T4885">
        <v>19342</v>
      </c>
      <c r="U4885">
        <v>23317</v>
      </c>
      <c r="V4885" t="s">
        <v>48</v>
      </c>
    </row>
    <row r="4886" spans="1:22">
      <c r="A4886" t="str">
        <f t="shared" si="892"/>
        <v>08/10/2025</v>
      </c>
      <c r="B4886" t="str">
        <f>"ENTRADA"</f>
        <v>ENTRADA</v>
      </c>
      <c r="C4886" t="str">
        <f>"DINHEIRO"</f>
        <v>DINHEIRO</v>
      </c>
      <c r="D4886" t="str">
        <f>"0910"</f>
        <v>0910</v>
      </c>
      <c r="E4886" t="str">
        <f>"25"</f>
        <v>25</v>
      </c>
      <c r="F4886" t="str">
        <f t="shared" si="893"/>
        <v>COM</v>
      </c>
      <c r="G4886" t="str">
        <f t="shared" si="894"/>
        <v>JAMERSON SOUZA LOPES (749)</v>
      </c>
      <c r="H4886" t="str">
        <f>"REEMBOLSO "</f>
        <v xml:space="preserve">REEMBOLSO </v>
      </c>
      <c r="I4886" t="str">
        <f t="shared" si="895"/>
        <v>09/10/2025</v>
      </c>
      <c r="J4886" t="str">
        <f>("02/10/2025")</f>
        <v>02/10/2025</v>
      </c>
      <c r="K4886" t="str">
        <f>("08/10/2025")</f>
        <v>08/10/2025</v>
      </c>
      <c r="L4886">
        <v>113.3</v>
      </c>
      <c r="M4886">
        <v>113.3</v>
      </c>
      <c r="N4886">
        <v>129</v>
      </c>
      <c r="O4886" t="str">
        <f>"ENTRADA DE REEMBOLSO ADIANTAMENTO"</f>
        <v>ENTRADA DE REEMBOLSO ADIANTAMENTO</v>
      </c>
      <c r="P4886">
        <v>113.3</v>
      </c>
      <c r="S4886" t="str">
        <f>"ENTRADA DE REEMBOLSO ADIANTAMENTO (129)"</f>
        <v>ENTRADA DE REEMBOLSO ADIANTAMENTO (129)</v>
      </c>
      <c r="T4886">
        <v>19343</v>
      </c>
      <c r="U4886">
        <v>22797</v>
      </c>
      <c r="V4886" t="s">
        <v>48</v>
      </c>
    </row>
    <row r="4887" spans="1:22">
      <c r="A4887" t="str">
        <f t="shared" si="892"/>
        <v>08/10/2025</v>
      </c>
      <c r="B4887" t="str">
        <f>"ENTRADA"</f>
        <v>ENTRADA</v>
      </c>
      <c r="C4887" t="str">
        <f>"DINHEIRO"</f>
        <v>DINHEIRO</v>
      </c>
      <c r="D4887" t="str">
        <f>"0910"</f>
        <v>0910</v>
      </c>
      <c r="E4887" t="str">
        <f>"25"</f>
        <v>25</v>
      </c>
      <c r="F4887" t="str">
        <f t="shared" si="893"/>
        <v>COM</v>
      </c>
      <c r="G4887" t="str">
        <f t="shared" si="894"/>
        <v>JAMERSON SOUZA LOPES (749)</v>
      </c>
      <c r="H4887" t="s">
        <v>1417</v>
      </c>
      <c r="I4887" t="str">
        <f t="shared" si="895"/>
        <v>09/10/2025</v>
      </c>
      <c r="J4887" t="str">
        <f>("02/10/2025")</f>
        <v>02/10/2025</v>
      </c>
      <c r="K4887">
        <v>45938</v>
      </c>
      <c r="N4887">
        <v>129</v>
      </c>
      <c r="O4887" t="s">
        <v>58</v>
      </c>
      <c r="Q4887">
        <v>113.3</v>
      </c>
      <c r="R4887" t="str">
        <f>"JAMERSON SOUZA LOPES (749)"</f>
        <v>JAMERSON SOUZA LOPES (749)</v>
      </c>
      <c r="S4887" t="s">
        <v>59</v>
      </c>
      <c r="T4887">
        <v>19343</v>
      </c>
      <c r="U4887">
        <v>22797</v>
      </c>
      <c r="V4887" t="s">
        <v>48</v>
      </c>
    </row>
    <row r="4888" spans="1:22">
      <c r="A4888" t="str">
        <f t="shared" si="892"/>
        <v>08/10/2025</v>
      </c>
      <c r="B4888" t="str">
        <f>"SAÍDA"</f>
        <v>SAÍDA</v>
      </c>
      <c r="C4888" t="str">
        <f>"PIX"</f>
        <v>PIX</v>
      </c>
      <c r="D4888" t="str">
        <f>"22584"</f>
        <v>22584</v>
      </c>
      <c r="E4888" t="str">
        <f>"1"</f>
        <v>1</v>
      </c>
      <c r="F4888" t="str">
        <f t="shared" si="893"/>
        <v>COM</v>
      </c>
      <c r="G4888" t="str">
        <f>"JANDERSON SOUZA ARCANJO (28)"</f>
        <v>JANDERSON SOUZA ARCANJO (28)</v>
      </c>
      <c r="H4888" t="str">
        <f>"Serv.Prest. 22/09/2025 a 25/09/2025 - PIX: CPF - CHAVE: 121.297.376-33"</f>
        <v>Serv.Prest. 22/09/2025 a 25/09/2025 - PIX: CPF - CHAVE: 121.297.376-33</v>
      </c>
      <c r="I4888" t="str">
        <f t="shared" si="895"/>
        <v>09/10/2025</v>
      </c>
      <c r="J4888" t="str">
        <f>("26/09/2025")</f>
        <v>26/09/2025</v>
      </c>
      <c r="K4888" t="str">
        <f>("08/10/2025")</f>
        <v>08/10/2025</v>
      </c>
      <c r="L4888">
        <v>20</v>
      </c>
      <c r="M4888">
        <v>20</v>
      </c>
      <c r="N4888">
        <v>109</v>
      </c>
      <c r="O4888" t="str">
        <f>"PAGAMENTO DE ENTREGADORES"</f>
        <v>PAGAMENTO DE ENTREGADORES</v>
      </c>
      <c r="P4888">
        <v>20</v>
      </c>
      <c r="S4888" t="str">
        <f>"CAIXA MOVIMENTAÇÃO OPERACIONAL (132)"</f>
        <v>CAIXA MOVIMENTAÇÃO OPERACIONAL (132)</v>
      </c>
      <c r="T4888">
        <v>19344</v>
      </c>
      <c r="U4888">
        <v>23318</v>
      </c>
      <c r="V4888" t="s">
        <v>48</v>
      </c>
    </row>
    <row r="4889" spans="1:22">
      <c r="A4889" t="str">
        <f t="shared" si="892"/>
        <v>08/10/2025</v>
      </c>
      <c r="B4889" t="str">
        <f>"SAÍDA"</f>
        <v>SAÍDA</v>
      </c>
      <c r="C4889" t="str">
        <f>"PIX"</f>
        <v>PIX</v>
      </c>
      <c r="D4889" t="str">
        <f>"22584"</f>
        <v>22584</v>
      </c>
      <c r="E4889" t="str">
        <f>"1"</f>
        <v>1</v>
      </c>
      <c r="F4889" t="str">
        <f t="shared" si="893"/>
        <v>COM</v>
      </c>
      <c r="G4889" t="str">
        <f>"JANDERSON SOUZA ARCANJO (28)"</f>
        <v>JANDERSON SOUZA ARCANJO (28)</v>
      </c>
      <c r="H4889" t="s">
        <v>1418</v>
      </c>
      <c r="I4889" t="str">
        <f t="shared" si="895"/>
        <v>09/10/2025</v>
      </c>
      <c r="J4889" t="str">
        <f>("26/09/2025")</f>
        <v>26/09/2025</v>
      </c>
      <c r="K4889">
        <v>45938</v>
      </c>
      <c r="N4889">
        <v>109</v>
      </c>
      <c r="O4889" t="s">
        <v>24</v>
      </c>
      <c r="Q4889">
        <v>19.62</v>
      </c>
      <c r="R4889" t="str">
        <f>"FARMÁCIA INDIANA LJ 40 (10016)"</f>
        <v>FARMÁCIA INDIANA LJ 40 (10016)</v>
      </c>
      <c r="S4889" t="s">
        <v>48</v>
      </c>
      <c r="T4889">
        <v>19344</v>
      </c>
      <c r="U4889">
        <v>23318</v>
      </c>
      <c r="V4889" t="s">
        <v>48</v>
      </c>
    </row>
    <row r="4890" spans="1:22">
      <c r="A4890" t="str">
        <f t="shared" si="892"/>
        <v>08/10/2025</v>
      </c>
      <c r="B4890" t="str">
        <f>"SAÍDA"</f>
        <v>SAÍDA</v>
      </c>
      <c r="C4890" t="str">
        <f>"PIX"</f>
        <v>PIX</v>
      </c>
      <c r="D4890" t="str">
        <f>"22584"</f>
        <v>22584</v>
      </c>
      <c r="E4890" t="str">
        <f>"1"</f>
        <v>1</v>
      </c>
      <c r="F4890" t="str">
        <f t="shared" si="893"/>
        <v>COM</v>
      </c>
      <c r="G4890" t="str">
        <f>"JANDERSON SOUZA ARCANJO (28)"</f>
        <v>JANDERSON SOUZA ARCANJO (28)</v>
      </c>
      <c r="H4890" t="s">
        <v>1418</v>
      </c>
      <c r="I4890" t="str">
        <f t="shared" si="895"/>
        <v>09/10/2025</v>
      </c>
      <c r="J4890" t="str">
        <f>("26/09/2025")</f>
        <v>26/09/2025</v>
      </c>
      <c r="K4890">
        <v>45938</v>
      </c>
      <c r="N4890">
        <v>109</v>
      </c>
      <c r="O4890" t="s">
        <v>24</v>
      </c>
      <c r="Q4890">
        <v>0.38</v>
      </c>
      <c r="R4890" t="str">
        <f>"FARMÁCIA INDIANA LJ 61 (10027)"</f>
        <v>FARMÁCIA INDIANA LJ 61 (10027)</v>
      </c>
      <c r="S4890" t="s">
        <v>48</v>
      </c>
      <c r="T4890">
        <v>19344</v>
      </c>
      <c r="U4890">
        <v>23318</v>
      </c>
      <c r="V4890" t="s">
        <v>48</v>
      </c>
    </row>
    <row r="4891" spans="1:22">
      <c r="A4891" t="str">
        <f t="shared" si="892"/>
        <v>08/10/2025</v>
      </c>
      <c r="B4891" t="str">
        <f>"ENTRADA"</f>
        <v>ENTRADA</v>
      </c>
      <c r="C4891" t="str">
        <f>"DINHEIRO"</f>
        <v>DINHEIRO</v>
      </c>
      <c r="D4891" t="str">
        <f>"13"</f>
        <v>13</v>
      </c>
      <c r="E4891" t="str">
        <f>"34"</f>
        <v>34</v>
      </c>
      <c r="F4891" t="str">
        <f t="shared" si="893"/>
        <v>COM</v>
      </c>
      <c r="G4891" t="str">
        <f>"JANDERSON SOUZA ARCANJO (28)"</f>
        <v>JANDERSON SOUZA ARCANJO (28)</v>
      </c>
      <c r="H4891" t="str">
        <f>"DESCONTO COTA COOPERADO"</f>
        <v>DESCONTO COTA COOPERADO</v>
      </c>
      <c r="I4891" t="str">
        <f>("16/10/2025")</f>
        <v>16/10/2025</v>
      </c>
      <c r="J4891" t="str">
        <f>("16/01/2025")</f>
        <v>16/01/2025</v>
      </c>
      <c r="K4891" t="str">
        <f>("08/10/2025")</f>
        <v>08/10/2025</v>
      </c>
      <c r="L4891">
        <v>20</v>
      </c>
      <c r="M4891">
        <v>20</v>
      </c>
      <c r="N4891">
        <v>106</v>
      </c>
      <c r="O4891" t="str">
        <f>"ENTRADA DE CAPITAL"</f>
        <v>ENTRADA DE CAPITAL</v>
      </c>
      <c r="P4891">
        <v>20</v>
      </c>
      <c r="S4891" t="str">
        <f>"ENTRADA DE CAPITAL (106)"</f>
        <v>ENTRADA DE CAPITAL (106)</v>
      </c>
      <c r="T4891">
        <v>19345</v>
      </c>
      <c r="U4891">
        <v>6558</v>
      </c>
      <c r="V4891" t="s">
        <v>48</v>
      </c>
    </row>
    <row r="4892" spans="1:22">
      <c r="A4892" t="str">
        <f t="shared" si="892"/>
        <v>08/10/2025</v>
      </c>
      <c r="B4892" t="str">
        <f>"ENTRADA"</f>
        <v>ENTRADA</v>
      </c>
      <c r="C4892" t="str">
        <f>"DINHEIRO"</f>
        <v>DINHEIRO</v>
      </c>
      <c r="D4892" t="str">
        <f>"13"</f>
        <v>13</v>
      </c>
      <c r="E4892" t="str">
        <f>"34"</f>
        <v>34</v>
      </c>
      <c r="F4892" t="str">
        <f t="shared" si="893"/>
        <v>COM</v>
      </c>
      <c r="G4892" t="str">
        <f>"JANDERSON SOUZA ARCANJO (28)"</f>
        <v>JANDERSON SOUZA ARCANJO (28)</v>
      </c>
      <c r="H4892" t="s">
        <v>309</v>
      </c>
      <c r="I4892" t="str">
        <f>("16/10/2025")</f>
        <v>16/10/2025</v>
      </c>
      <c r="J4892" t="str">
        <f>("16/01/2025")</f>
        <v>16/01/2025</v>
      </c>
      <c r="K4892">
        <v>45938</v>
      </c>
      <c r="N4892">
        <v>106</v>
      </c>
      <c r="O4892" t="s">
        <v>51</v>
      </c>
      <c r="Q4892">
        <v>20</v>
      </c>
      <c r="R4892" t="str">
        <f>"JANDERSON SOUZA ARCANJO (28)"</f>
        <v>JANDERSON SOUZA ARCANJO (28)</v>
      </c>
      <c r="S4892" t="s">
        <v>52</v>
      </c>
      <c r="T4892">
        <v>19345</v>
      </c>
      <c r="U4892">
        <v>6558</v>
      </c>
      <c r="V4892" t="s">
        <v>48</v>
      </c>
    </row>
    <row r="4893" spans="1:22">
      <c r="A4893" t="str">
        <f t="shared" si="892"/>
        <v>08/10/2025</v>
      </c>
      <c r="B4893" t="str">
        <f>"SAÍDA"</f>
        <v>SAÍDA</v>
      </c>
      <c r="C4893" t="str">
        <f>"PIX"</f>
        <v>PIX</v>
      </c>
      <c r="D4893" t="str">
        <f>"22533"</f>
        <v>22533</v>
      </c>
      <c r="E4893" t="str">
        <f>"1"</f>
        <v>1</v>
      </c>
      <c r="F4893" t="str">
        <f t="shared" si="893"/>
        <v>COM</v>
      </c>
      <c r="G4893" t="str">
        <f>"JARLES DE SOUZA PEREIRA (109)"</f>
        <v>JARLES DE SOUZA PEREIRA (109)</v>
      </c>
      <c r="H4893" t="str">
        <f>"Serv.Prest. 22/09/2025 a 25/09/2025 - PIX: CELULAR - CHAVE: (73) 99115-9602"</f>
        <v>Serv.Prest. 22/09/2025 a 25/09/2025 - PIX: CELULAR - CHAVE: (73) 99115-9602</v>
      </c>
      <c r="I4893" t="str">
        <f>("09/10/2025")</f>
        <v>09/10/2025</v>
      </c>
      <c r="J4893" t="str">
        <f>("26/09/2025")</f>
        <v>26/09/2025</v>
      </c>
      <c r="K4893" t="str">
        <f>("08/10/2025")</f>
        <v>08/10/2025</v>
      </c>
      <c r="L4893">
        <v>20</v>
      </c>
      <c r="M4893">
        <v>20</v>
      </c>
      <c r="N4893">
        <v>109</v>
      </c>
      <c r="O4893" t="str">
        <f>"PAGAMENTO DE ENTREGADORES"</f>
        <v>PAGAMENTO DE ENTREGADORES</v>
      </c>
      <c r="P4893">
        <v>20</v>
      </c>
      <c r="S4893" t="str">
        <f>"CAIXA MOVIMENTAÇÃO OPERACIONAL (132)"</f>
        <v>CAIXA MOVIMENTAÇÃO OPERACIONAL (132)</v>
      </c>
      <c r="T4893">
        <v>19346</v>
      </c>
      <c r="U4893">
        <v>23319</v>
      </c>
      <c r="V4893" t="s">
        <v>48</v>
      </c>
    </row>
    <row r="4894" spans="1:22">
      <c r="A4894" t="str">
        <f t="shared" si="892"/>
        <v>08/10/2025</v>
      </c>
      <c r="B4894" t="str">
        <f>"SAÍDA"</f>
        <v>SAÍDA</v>
      </c>
      <c r="C4894" t="str">
        <f>"PIX"</f>
        <v>PIX</v>
      </c>
      <c r="D4894" t="str">
        <f>"22533"</f>
        <v>22533</v>
      </c>
      <c r="E4894" t="str">
        <f>"1"</f>
        <v>1</v>
      </c>
      <c r="F4894" t="str">
        <f t="shared" si="893"/>
        <v>COM</v>
      </c>
      <c r="G4894" t="str">
        <f>"JARLES DE SOUZA PEREIRA (109)"</f>
        <v>JARLES DE SOUZA PEREIRA (109)</v>
      </c>
      <c r="H4894" t="s">
        <v>1419</v>
      </c>
      <c r="I4894" t="str">
        <f>("09/10/2025")</f>
        <v>09/10/2025</v>
      </c>
      <c r="J4894" t="str">
        <f>("26/09/2025")</f>
        <v>26/09/2025</v>
      </c>
      <c r="K4894">
        <v>45938</v>
      </c>
      <c r="N4894">
        <v>109</v>
      </c>
      <c r="O4894" t="s">
        <v>24</v>
      </c>
      <c r="Q4894">
        <v>20</v>
      </c>
      <c r="R4894" t="str">
        <f>"FARMÁCIA INDIANA LJ 173 (10075)"</f>
        <v>FARMÁCIA INDIANA LJ 173 (10075)</v>
      </c>
      <c r="S4894" t="s">
        <v>48</v>
      </c>
      <c r="T4894">
        <v>19346</v>
      </c>
      <c r="U4894">
        <v>23319</v>
      </c>
      <c r="V4894" t="s">
        <v>48</v>
      </c>
    </row>
    <row r="4895" spans="1:22">
      <c r="A4895" t="str">
        <f t="shared" si="892"/>
        <v>08/10/2025</v>
      </c>
      <c r="B4895" t="str">
        <f>"ENTRADA"</f>
        <v>ENTRADA</v>
      </c>
      <c r="C4895" t="str">
        <f>"DINHEIRO"</f>
        <v>DINHEIRO</v>
      </c>
      <c r="D4895" t="str">
        <f>"16"</f>
        <v>16</v>
      </c>
      <c r="E4895" t="str">
        <f>"34"</f>
        <v>34</v>
      </c>
      <c r="F4895" t="str">
        <f t="shared" si="893"/>
        <v>COM</v>
      </c>
      <c r="G4895" t="str">
        <f>"JARLES DE SOUZA PEREIRA (109)"</f>
        <v>JARLES DE SOUZA PEREIRA (109)</v>
      </c>
      <c r="H4895" t="str">
        <f>"DESCONTO COTA COOPERADO"</f>
        <v>DESCONTO COTA COOPERADO</v>
      </c>
      <c r="I4895" t="str">
        <f>("16/10/2025")</f>
        <v>16/10/2025</v>
      </c>
      <c r="J4895" t="str">
        <f>("16/01/2025")</f>
        <v>16/01/2025</v>
      </c>
      <c r="K4895" t="str">
        <f>("08/10/2025")</f>
        <v>08/10/2025</v>
      </c>
      <c r="L4895">
        <v>20</v>
      </c>
      <c r="M4895">
        <v>20</v>
      </c>
      <c r="N4895">
        <v>106</v>
      </c>
      <c r="O4895" t="str">
        <f>"ENTRADA DE CAPITAL"</f>
        <v>ENTRADA DE CAPITAL</v>
      </c>
      <c r="P4895">
        <v>20</v>
      </c>
      <c r="S4895" t="str">
        <f>"ENTRADA DE CAPITAL (106)"</f>
        <v>ENTRADA DE CAPITAL (106)</v>
      </c>
      <c r="T4895">
        <v>19347</v>
      </c>
      <c r="U4895">
        <v>6571</v>
      </c>
      <c r="V4895" t="s">
        <v>48</v>
      </c>
    </row>
    <row r="4896" spans="1:22">
      <c r="A4896" t="str">
        <f t="shared" si="892"/>
        <v>08/10/2025</v>
      </c>
      <c r="B4896" t="str">
        <f>"ENTRADA"</f>
        <v>ENTRADA</v>
      </c>
      <c r="C4896" t="str">
        <f>"DINHEIRO"</f>
        <v>DINHEIRO</v>
      </c>
      <c r="D4896" t="str">
        <f>"16"</f>
        <v>16</v>
      </c>
      <c r="E4896" t="str">
        <f>"34"</f>
        <v>34</v>
      </c>
      <c r="F4896" t="str">
        <f t="shared" si="893"/>
        <v>COM</v>
      </c>
      <c r="G4896" t="str">
        <f>"JARLES DE SOUZA PEREIRA (109)"</f>
        <v>JARLES DE SOUZA PEREIRA (109)</v>
      </c>
      <c r="H4896" t="s">
        <v>309</v>
      </c>
      <c r="I4896" t="str">
        <f>("16/10/2025")</f>
        <v>16/10/2025</v>
      </c>
      <c r="J4896" t="str">
        <f>("16/01/2025")</f>
        <v>16/01/2025</v>
      </c>
      <c r="K4896">
        <v>45938</v>
      </c>
      <c r="N4896">
        <v>106</v>
      </c>
      <c r="O4896" t="s">
        <v>51</v>
      </c>
      <c r="Q4896">
        <v>20</v>
      </c>
      <c r="R4896" t="str">
        <f>"JARLES DE SOUZA PEREIRA (109)"</f>
        <v>JARLES DE SOUZA PEREIRA (109)</v>
      </c>
      <c r="S4896" t="s">
        <v>52</v>
      </c>
      <c r="T4896">
        <v>19347</v>
      </c>
      <c r="U4896">
        <v>6571</v>
      </c>
      <c r="V4896" t="s">
        <v>48</v>
      </c>
    </row>
    <row r="4897" spans="1:22">
      <c r="A4897" t="str">
        <f t="shared" si="892"/>
        <v>08/10/2025</v>
      </c>
      <c r="B4897" t="str">
        <f>"SAÍDA"</f>
        <v>SAÍDA</v>
      </c>
      <c r="C4897" t="str">
        <f>"PIX"</f>
        <v>PIX</v>
      </c>
      <c r="D4897" t="str">
        <f>"22585"</f>
        <v>22585</v>
      </c>
      <c r="E4897" t="str">
        <f>"1"</f>
        <v>1</v>
      </c>
      <c r="F4897" t="str">
        <f t="shared" si="893"/>
        <v>COM</v>
      </c>
      <c r="G4897" t="str">
        <f>"JEFERSON ANDRADE FERREIRA (165)"</f>
        <v>JEFERSON ANDRADE FERREIRA (165)</v>
      </c>
      <c r="H4897" t="str">
        <f>"Serv.Prest. 22/09/2025 a 25/09/2025 - PIX: CPF - CHAVE: 126.873.296-65"</f>
        <v>Serv.Prest. 22/09/2025 a 25/09/2025 - PIX: CPF - CHAVE: 126.873.296-65</v>
      </c>
      <c r="I4897" t="str">
        <f>("09/10/2025")</f>
        <v>09/10/2025</v>
      </c>
      <c r="J4897" t="str">
        <f>("26/09/2025")</f>
        <v>26/09/2025</v>
      </c>
      <c r="K4897" t="str">
        <f>("08/10/2025")</f>
        <v>08/10/2025</v>
      </c>
      <c r="L4897">
        <v>20</v>
      </c>
      <c r="M4897">
        <v>20</v>
      </c>
      <c r="N4897">
        <v>109</v>
      </c>
      <c r="O4897" t="str">
        <f>"PAGAMENTO DE ENTREGADORES"</f>
        <v>PAGAMENTO DE ENTREGADORES</v>
      </c>
      <c r="P4897">
        <v>20</v>
      </c>
      <c r="S4897" t="str">
        <f>"CAIXA MOVIMENTAÇÃO OPERACIONAL (132)"</f>
        <v>CAIXA MOVIMENTAÇÃO OPERACIONAL (132)</v>
      </c>
      <c r="T4897">
        <v>19348</v>
      </c>
      <c r="U4897">
        <v>23320</v>
      </c>
      <c r="V4897" t="s">
        <v>48</v>
      </c>
    </row>
    <row r="4898" spans="1:22">
      <c r="A4898" t="str">
        <f t="shared" si="892"/>
        <v>08/10/2025</v>
      </c>
      <c r="B4898" t="str">
        <f>"SAÍDA"</f>
        <v>SAÍDA</v>
      </c>
      <c r="C4898" t="str">
        <f>"PIX"</f>
        <v>PIX</v>
      </c>
      <c r="D4898" t="str">
        <f>"22585"</f>
        <v>22585</v>
      </c>
      <c r="E4898" t="str">
        <f>"1"</f>
        <v>1</v>
      </c>
      <c r="F4898" t="str">
        <f t="shared" si="893"/>
        <v>COM</v>
      </c>
      <c r="G4898" t="str">
        <f>"JEFERSON ANDRADE FERREIRA (165)"</f>
        <v>JEFERSON ANDRADE FERREIRA (165)</v>
      </c>
      <c r="H4898" t="s">
        <v>1420</v>
      </c>
      <c r="I4898" t="str">
        <f>("09/10/2025")</f>
        <v>09/10/2025</v>
      </c>
      <c r="J4898" t="str">
        <f>("26/09/2025")</f>
        <v>26/09/2025</v>
      </c>
      <c r="K4898">
        <v>45938</v>
      </c>
      <c r="N4898">
        <v>109</v>
      </c>
      <c r="O4898" t="s">
        <v>24</v>
      </c>
      <c r="Q4898">
        <v>10.31</v>
      </c>
      <c r="R4898" t="str">
        <f>"FARMÁCIA INDIANA LJ 101 (10043)"</f>
        <v>FARMÁCIA INDIANA LJ 101 (10043)</v>
      </c>
      <c r="S4898" t="s">
        <v>48</v>
      </c>
      <c r="T4898">
        <v>19348</v>
      </c>
      <c r="U4898">
        <v>23320</v>
      </c>
      <c r="V4898" t="s">
        <v>48</v>
      </c>
    </row>
    <row r="4899" spans="1:22">
      <c r="A4899" t="str">
        <f t="shared" si="892"/>
        <v>08/10/2025</v>
      </c>
      <c r="B4899" t="str">
        <f>"SAÍDA"</f>
        <v>SAÍDA</v>
      </c>
      <c r="C4899" t="str">
        <f>"PIX"</f>
        <v>PIX</v>
      </c>
      <c r="D4899" t="str">
        <f>"22585"</f>
        <v>22585</v>
      </c>
      <c r="E4899" t="str">
        <f>"1"</f>
        <v>1</v>
      </c>
      <c r="F4899" t="str">
        <f t="shared" si="893"/>
        <v>COM</v>
      </c>
      <c r="G4899" t="str">
        <f>"JEFERSON ANDRADE FERREIRA (165)"</f>
        <v>JEFERSON ANDRADE FERREIRA (165)</v>
      </c>
      <c r="H4899" t="s">
        <v>1420</v>
      </c>
      <c r="I4899" t="str">
        <f>("09/10/2025")</f>
        <v>09/10/2025</v>
      </c>
      <c r="J4899" t="str">
        <f>("26/09/2025")</f>
        <v>26/09/2025</v>
      </c>
      <c r="K4899">
        <v>45938</v>
      </c>
      <c r="N4899">
        <v>109</v>
      </c>
      <c r="O4899" t="s">
        <v>24</v>
      </c>
      <c r="Q4899">
        <v>9.69</v>
      </c>
      <c r="R4899" t="str">
        <f>"FARMÁCIA INDIANA LJ 220 (10092)"</f>
        <v>FARMÁCIA INDIANA LJ 220 (10092)</v>
      </c>
      <c r="S4899" t="s">
        <v>48</v>
      </c>
      <c r="T4899">
        <v>19348</v>
      </c>
      <c r="U4899">
        <v>23320</v>
      </c>
      <c r="V4899" t="s">
        <v>48</v>
      </c>
    </row>
    <row r="4900" spans="1:22">
      <c r="A4900" t="str">
        <f t="shared" si="892"/>
        <v>08/10/2025</v>
      </c>
      <c r="B4900" t="str">
        <f>"ENTRADA"</f>
        <v>ENTRADA</v>
      </c>
      <c r="C4900" t="str">
        <f>"DINHEIRO"</f>
        <v>DINHEIRO</v>
      </c>
      <c r="D4900" t="str">
        <f>"09"</f>
        <v>09</v>
      </c>
      <c r="E4900" t="str">
        <f>"34"</f>
        <v>34</v>
      </c>
      <c r="F4900" t="str">
        <f t="shared" si="893"/>
        <v>COM</v>
      </c>
      <c r="G4900" t="str">
        <f>"JEFERSON ANDRADE FERREIRA (165)"</f>
        <v>JEFERSON ANDRADE FERREIRA (165)</v>
      </c>
      <c r="H4900" t="str">
        <f>"DESCONTO COTA COOPERADO"</f>
        <v>DESCONTO COTA COOPERADO</v>
      </c>
      <c r="I4900" t="str">
        <f>("16/10/2025")</f>
        <v>16/10/2025</v>
      </c>
      <c r="J4900" t="str">
        <f>("16/01/2025")</f>
        <v>16/01/2025</v>
      </c>
      <c r="K4900" t="str">
        <f>("08/10/2025")</f>
        <v>08/10/2025</v>
      </c>
      <c r="L4900">
        <v>20</v>
      </c>
      <c r="M4900">
        <v>20</v>
      </c>
      <c r="N4900">
        <v>106</v>
      </c>
      <c r="O4900" t="str">
        <f>"ENTRADA DE CAPITAL"</f>
        <v>ENTRADA DE CAPITAL</v>
      </c>
      <c r="P4900">
        <v>20</v>
      </c>
      <c r="S4900" t="str">
        <f>"ENTRADA DE CAPITAL (106)"</f>
        <v>ENTRADA DE CAPITAL (106)</v>
      </c>
      <c r="T4900">
        <v>19349</v>
      </c>
      <c r="U4900">
        <v>6624</v>
      </c>
      <c r="V4900" t="s">
        <v>48</v>
      </c>
    </row>
    <row r="4901" spans="1:22">
      <c r="A4901" t="str">
        <f t="shared" si="892"/>
        <v>08/10/2025</v>
      </c>
      <c r="B4901" t="str">
        <f>"ENTRADA"</f>
        <v>ENTRADA</v>
      </c>
      <c r="C4901" t="str">
        <f>"DINHEIRO"</f>
        <v>DINHEIRO</v>
      </c>
      <c r="D4901" t="str">
        <f>"09"</f>
        <v>09</v>
      </c>
      <c r="E4901" t="str">
        <f>"34"</f>
        <v>34</v>
      </c>
      <c r="F4901" t="str">
        <f t="shared" si="893"/>
        <v>COM</v>
      </c>
      <c r="G4901" t="str">
        <f>"JEFERSON ANDRADE FERREIRA (165)"</f>
        <v>JEFERSON ANDRADE FERREIRA (165)</v>
      </c>
      <c r="H4901" t="s">
        <v>309</v>
      </c>
      <c r="I4901" t="str">
        <f>("16/10/2025")</f>
        <v>16/10/2025</v>
      </c>
      <c r="J4901" t="str">
        <f>("16/01/2025")</f>
        <v>16/01/2025</v>
      </c>
      <c r="K4901">
        <v>45938</v>
      </c>
      <c r="N4901">
        <v>106</v>
      </c>
      <c r="O4901" t="s">
        <v>51</v>
      </c>
      <c r="Q4901">
        <v>20</v>
      </c>
      <c r="R4901" t="str">
        <f>"JEFERSON ANDRADE FERREIRA (165)"</f>
        <v>JEFERSON ANDRADE FERREIRA (165)</v>
      </c>
      <c r="S4901" t="s">
        <v>52</v>
      </c>
      <c r="T4901">
        <v>19349</v>
      </c>
      <c r="U4901">
        <v>6624</v>
      </c>
      <c r="V4901" t="s">
        <v>48</v>
      </c>
    </row>
    <row r="4902" spans="1:22">
      <c r="A4902" t="str">
        <f t="shared" si="892"/>
        <v>08/10/2025</v>
      </c>
      <c r="B4902" t="str">
        <f>"SAÍDA"</f>
        <v>SAÍDA</v>
      </c>
      <c r="C4902" t="str">
        <f>"PIX"</f>
        <v>PIX</v>
      </c>
      <c r="D4902" t="str">
        <f>"22586"</f>
        <v>22586</v>
      </c>
      <c r="E4902" t="str">
        <f>"1"</f>
        <v>1</v>
      </c>
      <c r="F4902" t="str">
        <f t="shared" si="893"/>
        <v>COM</v>
      </c>
      <c r="G4902" t="str">
        <f>"JEFERSON ARAÚJO SANTOS GERMANO (180)"</f>
        <v>JEFERSON ARAÚJO SANTOS GERMANO (180)</v>
      </c>
      <c r="H4902" t="str">
        <f>"Serv.Prest. 22/09/2025 a 25/09/2025 - PIX: CPF - CHAVE: 023.645.626-19"</f>
        <v>Serv.Prest. 22/09/2025 a 25/09/2025 - PIX: CPF - CHAVE: 023.645.626-19</v>
      </c>
      <c r="I4902" t="str">
        <f>("09/10/2025")</f>
        <v>09/10/2025</v>
      </c>
      <c r="J4902" t="str">
        <f>("26/09/2025")</f>
        <v>26/09/2025</v>
      </c>
      <c r="K4902" t="str">
        <f>("08/10/2025")</f>
        <v>08/10/2025</v>
      </c>
      <c r="L4902">
        <v>20</v>
      </c>
      <c r="M4902">
        <v>20</v>
      </c>
      <c r="N4902">
        <v>109</v>
      </c>
      <c r="O4902" t="str">
        <f>"PAGAMENTO DE ENTREGADORES"</f>
        <v>PAGAMENTO DE ENTREGADORES</v>
      </c>
      <c r="P4902">
        <v>20</v>
      </c>
      <c r="S4902" t="str">
        <f>"CAIXA MOVIMENTAÇÃO OPERACIONAL (132)"</f>
        <v>CAIXA MOVIMENTAÇÃO OPERACIONAL (132)</v>
      </c>
      <c r="T4902">
        <v>19350</v>
      </c>
      <c r="U4902">
        <v>23321</v>
      </c>
      <c r="V4902" t="s">
        <v>48</v>
      </c>
    </row>
    <row r="4903" spans="1:22">
      <c r="A4903" t="str">
        <f t="shared" si="892"/>
        <v>08/10/2025</v>
      </c>
      <c r="B4903" t="str">
        <f>"SAÍDA"</f>
        <v>SAÍDA</v>
      </c>
      <c r="C4903" t="str">
        <f>"PIX"</f>
        <v>PIX</v>
      </c>
      <c r="D4903" t="str">
        <f>"22586"</f>
        <v>22586</v>
      </c>
      <c r="E4903" t="str">
        <f>"1"</f>
        <v>1</v>
      </c>
      <c r="F4903" t="str">
        <f t="shared" si="893"/>
        <v>COM</v>
      </c>
      <c r="G4903" t="str">
        <f>"JEFERSON ARAÚJO SANTOS GERMANO (180)"</f>
        <v>JEFERSON ARAÚJO SANTOS GERMANO (180)</v>
      </c>
      <c r="H4903" t="s">
        <v>1421</v>
      </c>
      <c r="I4903" t="str">
        <f>("09/10/2025")</f>
        <v>09/10/2025</v>
      </c>
      <c r="J4903" t="str">
        <f>("26/09/2025")</f>
        <v>26/09/2025</v>
      </c>
      <c r="K4903">
        <v>45938</v>
      </c>
      <c r="N4903">
        <v>109</v>
      </c>
      <c r="O4903" t="s">
        <v>24</v>
      </c>
      <c r="Q4903">
        <v>20</v>
      </c>
      <c r="R4903" t="str">
        <f>"FARMÁCIA INDIANA LJ 142 (10066)"</f>
        <v>FARMÁCIA INDIANA LJ 142 (10066)</v>
      </c>
      <c r="S4903" t="s">
        <v>48</v>
      </c>
      <c r="T4903">
        <v>19350</v>
      </c>
      <c r="U4903">
        <v>23321</v>
      </c>
      <c r="V4903" t="s">
        <v>48</v>
      </c>
    </row>
    <row r="4904" spans="1:22">
      <c r="A4904" t="str">
        <f t="shared" si="892"/>
        <v>08/10/2025</v>
      </c>
      <c r="B4904" t="str">
        <f>"ENTRADA"</f>
        <v>ENTRADA</v>
      </c>
      <c r="C4904" t="str">
        <f>"DINHEIRO"</f>
        <v>DINHEIRO</v>
      </c>
      <c r="D4904" t="str">
        <f>"09"</f>
        <v>09</v>
      </c>
      <c r="E4904" t="str">
        <f>"34"</f>
        <v>34</v>
      </c>
      <c r="F4904" t="str">
        <f t="shared" si="893"/>
        <v>COM</v>
      </c>
      <c r="G4904" t="str">
        <f>"JEFERSON ARAÚJO SANTOS GERMANO (180)"</f>
        <v>JEFERSON ARAÚJO SANTOS GERMANO (180)</v>
      </c>
      <c r="H4904" t="str">
        <f>"DESCONTO COTA COOPERADO"</f>
        <v>DESCONTO COTA COOPERADO</v>
      </c>
      <c r="I4904" t="str">
        <f>("16/10/2025")</f>
        <v>16/10/2025</v>
      </c>
      <c r="J4904" t="str">
        <f>("16/01/2025")</f>
        <v>16/01/2025</v>
      </c>
      <c r="K4904" t="str">
        <f>("08/10/2025")</f>
        <v>08/10/2025</v>
      </c>
      <c r="L4904">
        <v>20</v>
      </c>
      <c r="M4904">
        <v>20</v>
      </c>
      <c r="N4904">
        <v>106</v>
      </c>
      <c r="O4904" t="str">
        <f>"ENTRADA DE CAPITAL"</f>
        <v>ENTRADA DE CAPITAL</v>
      </c>
      <c r="P4904">
        <v>20</v>
      </c>
      <c r="S4904" t="str">
        <f>"ENTRADA DE CAPITAL (106)"</f>
        <v>ENTRADA DE CAPITAL (106)</v>
      </c>
      <c r="T4904">
        <v>19351</v>
      </c>
      <c r="U4904">
        <v>6642</v>
      </c>
      <c r="V4904" t="s">
        <v>48</v>
      </c>
    </row>
    <row r="4905" spans="1:22">
      <c r="A4905" t="str">
        <f t="shared" si="892"/>
        <v>08/10/2025</v>
      </c>
      <c r="B4905" t="str">
        <f>"ENTRADA"</f>
        <v>ENTRADA</v>
      </c>
      <c r="C4905" t="str">
        <f>"DINHEIRO"</f>
        <v>DINHEIRO</v>
      </c>
      <c r="D4905" t="str">
        <f>"09"</f>
        <v>09</v>
      </c>
      <c r="E4905" t="str">
        <f>"34"</f>
        <v>34</v>
      </c>
      <c r="F4905" t="str">
        <f t="shared" si="893"/>
        <v>COM</v>
      </c>
      <c r="G4905" t="str">
        <f>"JEFERSON ARAÚJO SANTOS GERMANO (180)"</f>
        <v>JEFERSON ARAÚJO SANTOS GERMANO (180)</v>
      </c>
      <c r="H4905" t="s">
        <v>309</v>
      </c>
      <c r="I4905" t="str">
        <f>("16/10/2025")</f>
        <v>16/10/2025</v>
      </c>
      <c r="J4905" t="str">
        <f>("16/01/2025")</f>
        <v>16/01/2025</v>
      </c>
      <c r="K4905">
        <v>45938</v>
      </c>
      <c r="N4905">
        <v>106</v>
      </c>
      <c r="O4905" t="s">
        <v>51</v>
      </c>
      <c r="Q4905">
        <v>20</v>
      </c>
      <c r="R4905" t="str">
        <f>"JEFERSON ARAÚJO SANTOS GERMANO (180)"</f>
        <v>JEFERSON ARAÚJO SANTOS GERMANO (180)</v>
      </c>
      <c r="S4905" t="s">
        <v>52</v>
      </c>
      <c r="T4905">
        <v>19351</v>
      </c>
      <c r="U4905">
        <v>6642</v>
      </c>
      <c r="V4905" t="s">
        <v>48</v>
      </c>
    </row>
    <row r="4906" spans="1:22">
      <c r="A4906" t="str">
        <f t="shared" si="892"/>
        <v>08/10/2025</v>
      </c>
      <c r="B4906" t="str">
        <f>"ENTRADA"</f>
        <v>ENTRADA</v>
      </c>
      <c r="C4906" t="str">
        <f>"DINHEIRO"</f>
        <v>DINHEIRO</v>
      </c>
      <c r="D4906" t="str">
        <f>"910"</f>
        <v>910</v>
      </c>
      <c r="E4906" t="str">
        <f>"01"</f>
        <v>01</v>
      </c>
      <c r="F4906" t="str">
        <f t="shared" si="893"/>
        <v>COM</v>
      </c>
      <c r="G4906" t="str">
        <f>"JEFERSON DE JESUS SANTOS (910)"</f>
        <v>JEFERSON DE JESUS SANTOS (910)</v>
      </c>
      <c r="H4906" t="str">
        <f>"COTAS COOPERATIVA"</f>
        <v>COTAS COOPERATIVA</v>
      </c>
      <c r="I4906" t="str">
        <f>("10/10/2025")</f>
        <v>10/10/2025</v>
      </c>
      <c r="J4906" t="str">
        <f>("12/09/2025")</f>
        <v>12/09/2025</v>
      </c>
      <c r="K4906" t="str">
        <f>("08/10/2025")</f>
        <v>08/10/2025</v>
      </c>
      <c r="L4906">
        <v>20</v>
      </c>
      <c r="M4906">
        <v>20</v>
      </c>
      <c r="N4906">
        <v>106</v>
      </c>
      <c r="O4906" t="str">
        <f>"ENTRADA DE CAPITAL"</f>
        <v>ENTRADA DE CAPITAL</v>
      </c>
      <c r="P4906">
        <v>20</v>
      </c>
      <c r="S4906" t="str">
        <f>"ENTRADA DE CAPITAL (106)"</f>
        <v>ENTRADA DE CAPITAL (106)</v>
      </c>
      <c r="T4906">
        <v>19352</v>
      </c>
      <c r="U4906">
        <v>23322</v>
      </c>
      <c r="V4906" t="s">
        <v>48</v>
      </c>
    </row>
    <row r="4907" spans="1:22">
      <c r="A4907" t="str">
        <f t="shared" si="892"/>
        <v>08/10/2025</v>
      </c>
      <c r="B4907" t="str">
        <f>"ENTRADA"</f>
        <v>ENTRADA</v>
      </c>
      <c r="C4907" t="str">
        <f>"DINHEIRO"</f>
        <v>DINHEIRO</v>
      </c>
      <c r="D4907" t="str">
        <f>"910"</f>
        <v>910</v>
      </c>
      <c r="E4907" t="str">
        <f>"01"</f>
        <v>01</v>
      </c>
      <c r="F4907" t="str">
        <f t="shared" si="893"/>
        <v>COM</v>
      </c>
      <c r="G4907" t="str">
        <f>"JEFERSON DE JESUS SANTOS (910)"</f>
        <v>JEFERSON DE JESUS SANTOS (910)</v>
      </c>
      <c r="H4907" t="s">
        <v>318</v>
      </c>
      <c r="I4907" t="str">
        <f>("10/10/2025")</f>
        <v>10/10/2025</v>
      </c>
      <c r="J4907" t="str">
        <f>("12/09/2025")</f>
        <v>12/09/2025</v>
      </c>
      <c r="K4907">
        <v>45938</v>
      </c>
      <c r="N4907">
        <v>106</v>
      </c>
      <c r="O4907" t="s">
        <v>51</v>
      </c>
      <c r="Q4907">
        <v>20</v>
      </c>
      <c r="R4907" t="str">
        <f>"JEFERSON DE JESUS SANTOS (910)"</f>
        <v>JEFERSON DE JESUS SANTOS (910)</v>
      </c>
      <c r="S4907" t="s">
        <v>52</v>
      </c>
      <c r="T4907">
        <v>19352</v>
      </c>
      <c r="U4907">
        <v>23322</v>
      </c>
      <c r="V4907" t="s">
        <v>48</v>
      </c>
    </row>
    <row r="4908" spans="1:22">
      <c r="A4908" t="str">
        <f t="shared" si="892"/>
        <v>08/10/2025</v>
      </c>
      <c r="B4908" t="str">
        <f>"SAÍDA"</f>
        <v>SAÍDA</v>
      </c>
      <c r="C4908" t="str">
        <f>"PIX"</f>
        <v>PIX</v>
      </c>
      <c r="D4908" t="str">
        <f>"22953"</f>
        <v>22953</v>
      </c>
      <c r="E4908" t="str">
        <f>"1"</f>
        <v>1</v>
      </c>
      <c r="F4908" t="str">
        <f t="shared" si="893"/>
        <v>COM</v>
      </c>
      <c r="G4908" t="str">
        <f>"JEFERSON DE JESUS SANTOS (910)"</f>
        <v>JEFERSON DE JESUS SANTOS (910)</v>
      </c>
      <c r="H4908" t="str">
        <f>"Serv.Prest. 26/09/2025 a 05/10/2025 - PIX: CELULAR - CHAVE: (33) 98836-6015"</f>
        <v>Serv.Prest. 26/09/2025 a 05/10/2025 - PIX: CELULAR - CHAVE: (33) 98836-6015</v>
      </c>
      <c r="I4908" t="str">
        <f>("16/10/2025")</f>
        <v>16/10/2025</v>
      </c>
      <c r="J4908" t="str">
        <f>("07/10/2025")</f>
        <v>07/10/2025</v>
      </c>
      <c r="K4908" t="str">
        <f>("08/10/2025")</f>
        <v>08/10/2025</v>
      </c>
      <c r="L4908">
        <v>20</v>
      </c>
      <c r="M4908">
        <v>20</v>
      </c>
      <c r="N4908">
        <v>109</v>
      </c>
      <c r="O4908" t="str">
        <f>"PAGAMENTO DE ENTREGADORES"</f>
        <v>PAGAMENTO DE ENTREGADORES</v>
      </c>
      <c r="P4908">
        <v>20</v>
      </c>
      <c r="S4908" t="str">
        <f>"CAIXA MOVIMENTAÇÃO OPERACIONAL (132)"</f>
        <v>CAIXA MOVIMENTAÇÃO OPERACIONAL (132)</v>
      </c>
      <c r="T4908">
        <v>19353</v>
      </c>
      <c r="U4908">
        <v>23347</v>
      </c>
      <c r="V4908" t="s">
        <v>48</v>
      </c>
    </row>
    <row r="4909" spans="1:22">
      <c r="A4909" t="str">
        <f t="shared" si="892"/>
        <v>08/10/2025</v>
      </c>
      <c r="B4909" t="str">
        <f>"SAÍDA"</f>
        <v>SAÍDA</v>
      </c>
      <c r="C4909" t="str">
        <f>"PIX"</f>
        <v>PIX</v>
      </c>
      <c r="D4909" t="str">
        <f>"22953"</f>
        <v>22953</v>
      </c>
      <c r="E4909" t="str">
        <f>"1"</f>
        <v>1</v>
      </c>
      <c r="F4909" t="str">
        <f t="shared" si="893"/>
        <v>COM</v>
      </c>
      <c r="G4909" t="str">
        <f>"JEFERSON DE JESUS SANTOS (910)"</f>
        <v>JEFERSON DE JESUS SANTOS (910)</v>
      </c>
      <c r="H4909" t="s">
        <v>1422</v>
      </c>
      <c r="I4909" t="str">
        <f>("16/10/2025")</f>
        <v>16/10/2025</v>
      </c>
      <c r="J4909" t="str">
        <f>("07/10/2025")</f>
        <v>07/10/2025</v>
      </c>
      <c r="K4909">
        <v>45938</v>
      </c>
      <c r="N4909">
        <v>109</v>
      </c>
      <c r="O4909" t="s">
        <v>24</v>
      </c>
      <c r="Q4909">
        <v>20</v>
      </c>
      <c r="R4909" t="str">
        <f>"FARMÁCIA INDIANA LJ 07 (10007)"</f>
        <v>FARMÁCIA INDIANA LJ 07 (10007)</v>
      </c>
      <c r="S4909" t="s">
        <v>48</v>
      </c>
      <c r="T4909">
        <v>19353</v>
      </c>
      <c r="U4909">
        <v>23347</v>
      </c>
      <c r="V4909" t="s">
        <v>48</v>
      </c>
    </row>
    <row r="4910" spans="1:22">
      <c r="A4910" t="str">
        <f t="shared" si="892"/>
        <v>08/10/2025</v>
      </c>
      <c r="B4910" t="str">
        <f>"SAÍDA"</f>
        <v>SAÍDA</v>
      </c>
      <c r="C4910" t="str">
        <f>"PIX"</f>
        <v>PIX</v>
      </c>
      <c r="D4910" t="str">
        <f>"22880"</f>
        <v>22880</v>
      </c>
      <c r="E4910" t="str">
        <f>"1"</f>
        <v>1</v>
      </c>
      <c r="F4910" t="str">
        <f t="shared" si="893"/>
        <v>COM</v>
      </c>
      <c r="G4910" t="str">
        <f>"JESSICA BRAHOLKA (837)"</f>
        <v>JESSICA BRAHOLKA (837)</v>
      </c>
      <c r="H4910" t="str">
        <f>"Serv.Prest. 29/09/2025 a 05/10/2025 - PIX: CPF - CHAVE: 124.575.099-20"</f>
        <v>Serv.Prest. 29/09/2025 a 05/10/2025 - PIX: CPF - CHAVE: 124.575.099-20</v>
      </c>
      <c r="I4910" t="str">
        <f>("09/10/2025")</f>
        <v>09/10/2025</v>
      </c>
      <c r="J4910" t="str">
        <f>("06/10/2025")</f>
        <v>06/10/2025</v>
      </c>
      <c r="K4910" t="str">
        <f>("08/10/2025")</f>
        <v>08/10/2025</v>
      </c>
      <c r="L4910">
        <v>20</v>
      </c>
      <c r="M4910">
        <v>20</v>
      </c>
      <c r="N4910">
        <v>109</v>
      </c>
      <c r="O4910" t="str">
        <f>"PAGAMENTO DE ENTREGADORES"</f>
        <v>PAGAMENTO DE ENTREGADORES</v>
      </c>
      <c r="P4910">
        <v>20</v>
      </c>
      <c r="S4910" t="str">
        <f>"CAIXA MOVIMENTAÇÃO OPERACIONAL (132)"</f>
        <v>CAIXA MOVIMENTAÇÃO OPERACIONAL (132)</v>
      </c>
      <c r="T4910">
        <v>19354</v>
      </c>
      <c r="U4910">
        <v>23348</v>
      </c>
      <c r="V4910" t="s">
        <v>48</v>
      </c>
    </row>
    <row r="4911" spans="1:22">
      <c r="A4911" t="str">
        <f t="shared" si="892"/>
        <v>08/10/2025</v>
      </c>
      <c r="B4911" t="str">
        <f>"SAÍDA"</f>
        <v>SAÍDA</v>
      </c>
      <c r="C4911" t="str">
        <f>"PIX"</f>
        <v>PIX</v>
      </c>
      <c r="D4911" t="str">
        <f>"22880"</f>
        <v>22880</v>
      </c>
      <c r="E4911" t="str">
        <f>"1"</f>
        <v>1</v>
      </c>
      <c r="F4911" t="str">
        <f t="shared" si="893"/>
        <v>COM</v>
      </c>
      <c r="G4911" t="str">
        <f>"JESSICA BRAHOLKA (837)"</f>
        <v>JESSICA BRAHOLKA (837)</v>
      </c>
      <c r="H4911" t="s">
        <v>1423</v>
      </c>
      <c r="I4911" t="str">
        <f>("09/10/2025")</f>
        <v>09/10/2025</v>
      </c>
      <c r="J4911" t="str">
        <f>("06/10/2025")</f>
        <v>06/10/2025</v>
      </c>
      <c r="K4911">
        <v>45938</v>
      </c>
      <c r="N4911">
        <v>109</v>
      </c>
      <c r="O4911" t="s">
        <v>24</v>
      </c>
      <c r="Q4911">
        <v>20</v>
      </c>
      <c r="R4911" t="str">
        <f>"JAL FARMACIA E DROGARIA LJ 2 (10138)"</f>
        <v>JAL FARMACIA E DROGARIA LJ 2 (10138)</v>
      </c>
      <c r="S4911" t="s">
        <v>48</v>
      </c>
      <c r="T4911">
        <v>19354</v>
      </c>
      <c r="U4911">
        <v>23348</v>
      </c>
      <c r="V4911" t="s">
        <v>48</v>
      </c>
    </row>
    <row r="4912" spans="1:22">
      <c r="A4912" t="str">
        <f t="shared" si="892"/>
        <v>08/10/2025</v>
      </c>
      <c r="B4912" t="str">
        <f>"ENTRADA"</f>
        <v>ENTRADA</v>
      </c>
      <c r="C4912" t="str">
        <f>"DINHEIRO"</f>
        <v>DINHEIRO</v>
      </c>
      <c r="D4912" t="str">
        <f>"837"</f>
        <v>837</v>
      </c>
      <c r="E4912" t="str">
        <f>"3"</f>
        <v>3</v>
      </c>
      <c r="F4912" t="str">
        <f t="shared" si="893"/>
        <v>COM</v>
      </c>
      <c r="G4912" t="str">
        <f>"JESSICA BRAHOLKA (837)"</f>
        <v>JESSICA BRAHOLKA (837)</v>
      </c>
      <c r="H4912" t="str">
        <f>"COTA COOPERATIVA"</f>
        <v>COTA COOPERATIVA</v>
      </c>
      <c r="I4912" t="str">
        <f>("10/10/2025")</f>
        <v>10/10/2025</v>
      </c>
      <c r="J4912" t="str">
        <f>("31/05/2025")</f>
        <v>31/05/2025</v>
      </c>
      <c r="K4912" t="str">
        <f>("08/10/2025")</f>
        <v>08/10/2025</v>
      </c>
      <c r="L4912">
        <v>20</v>
      </c>
      <c r="M4912">
        <v>20</v>
      </c>
      <c r="N4912">
        <v>106</v>
      </c>
      <c r="O4912" t="str">
        <f>"ENTRADA DE CAPITAL"</f>
        <v>ENTRADA DE CAPITAL</v>
      </c>
      <c r="P4912">
        <v>20</v>
      </c>
      <c r="S4912" t="str">
        <f>"ENTRADA DE CAPITAL (106)"</f>
        <v>ENTRADA DE CAPITAL (106)</v>
      </c>
      <c r="T4912">
        <v>19355</v>
      </c>
      <c r="U4912">
        <v>19740</v>
      </c>
      <c r="V4912" t="s">
        <v>48</v>
      </c>
    </row>
    <row r="4913" spans="1:22">
      <c r="A4913" t="str">
        <f t="shared" si="892"/>
        <v>08/10/2025</v>
      </c>
      <c r="B4913" t="str">
        <f>"ENTRADA"</f>
        <v>ENTRADA</v>
      </c>
      <c r="C4913" t="str">
        <f>"DINHEIRO"</f>
        <v>DINHEIRO</v>
      </c>
      <c r="D4913" t="str">
        <f>"837"</f>
        <v>837</v>
      </c>
      <c r="E4913" t="str">
        <f>"3"</f>
        <v>3</v>
      </c>
      <c r="F4913" t="str">
        <f t="shared" si="893"/>
        <v>COM</v>
      </c>
      <c r="G4913" t="str">
        <f>"JESSICA BRAHOLKA (837)"</f>
        <v>JESSICA BRAHOLKA (837)</v>
      </c>
      <c r="H4913" t="s">
        <v>50</v>
      </c>
      <c r="I4913" t="str">
        <f>("10/10/2025")</f>
        <v>10/10/2025</v>
      </c>
      <c r="J4913" t="str">
        <f>("31/05/2025")</f>
        <v>31/05/2025</v>
      </c>
      <c r="K4913">
        <v>45938</v>
      </c>
      <c r="N4913">
        <v>106</v>
      </c>
      <c r="O4913" t="s">
        <v>51</v>
      </c>
      <c r="Q4913">
        <v>20</v>
      </c>
      <c r="R4913" t="str">
        <f>"JESSICA BRAHOLKA (837)"</f>
        <v>JESSICA BRAHOLKA (837)</v>
      </c>
      <c r="S4913" t="s">
        <v>52</v>
      </c>
      <c r="T4913">
        <v>19355</v>
      </c>
      <c r="U4913">
        <v>19740</v>
      </c>
      <c r="V4913" t="s">
        <v>48</v>
      </c>
    </row>
    <row r="4914" spans="1:22">
      <c r="A4914" t="str">
        <f t="shared" si="892"/>
        <v>08/10/2025</v>
      </c>
      <c r="B4914" t="str">
        <f>"SAÍDA"</f>
        <v>SAÍDA</v>
      </c>
      <c r="C4914" t="str">
        <f>"PIX"</f>
        <v>PIX</v>
      </c>
      <c r="D4914" t="str">
        <f>"22588"</f>
        <v>22588</v>
      </c>
      <c r="E4914" t="str">
        <f>"1"</f>
        <v>1</v>
      </c>
      <c r="F4914" t="str">
        <f t="shared" si="893"/>
        <v>COM</v>
      </c>
      <c r="G4914" t="str">
        <f>"JHONANTAN LACERDA DE JESUS (142)"</f>
        <v>JHONANTAN LACERDA DE JESUS (142)</v>
      </c>
      <c r="H4914" t="str">
        <f>"Serv.Prest. 22/09/2025 a 25/09/2025 - PIX: E-MAIL - CHAVE: jhonantanlacerda@gmail.com"</f>
        <v>Serv.Prest. 22/09/2025 a 25/09/2025 - PIX: E-MAIL - CHAVE: jhonantanlacerda@gmail.com</v>
      </c>
      <c r="I4914" t="str">
        <f>("09/10/2025")</f>
        <v>09/10/2025</v>
      </c>
      <c r="J4914" t="str">
        <f>("26/09/2025")</f>
        <v>26/09/2025</v>
      </c>
      <c r="K4914" t="str">
        <f>("08/10/2025")</f>
        <v>08/10/2025</v>
      </c>
      <c r="L4914">
        <v>20</v>
      </c>
      <c r="M4914">
        <v>20</v>
      </c>
      <c r="N4914">
        <v>109</v>
      </c>
      <c r="O4914" t="str">
        <f>"PAGAMENTO DE ENTREGADORES"</f>
        <v>PAGAMENTO DE ENTREGADORES</v>
      </c>
      <c r="P4914">
        <v>20</v>
      </c>
      <c r="S4914" t="str">
        <f>"CAIXA MOVIMENTAÇÃO OPERACIONAL (132)"</f>
        <v>CAIXA MOVIMENTAÇÃO OPERACIONAL (132)</v>
      </c>
      <c r="T4914">
        <v>19356</v>
      </c>
      <c r="U4914">
        <v>23349</v>
      </c>
      <c r="V4914" t="s">
        <v>48</v>
      </c>
    </row>
    <row r="4915" spans="1:22">
      <c r="A4915" t="str">
        <f t="shared" si="892"/>
        <v>08/10/2025</v>
      </c>
      <c r="B4915" t="str">
        <f>"SAÍDA"</f>
        <v>SAÍDA</v>
      </c>
      <c r="C4915" t="str">
        <f>"PIX"</f>
        <v>PIX</v>
      </c>
      <c r="D4915" t="str">
        <f>"22588"</f>
        <v>22588</v>
      </c>
      <c r="E4915" t="str">
        <f>"1"</f>
        <v>1</v>
      </c>
      <c r="F4915" t="str">
        <f t="shared" si="893"/>
        <v>COM</v>
      </c>
      <c r="G4915" t="str">
        <f>"JHONANTAN LACERDA DE JESUS (142)"</f>
        <v>JHONANTAN LACERDA DE JESUS (142)</v>
      </c>
      <c r="H4915" t="s">
        <v>1424</v>
      </c>
      <c r="I4915" t="str">
        <f>("09/10/2025")</f>
        <v>09/10/2025</v>
      </c>
      <c r="J4915" t="str">
        <f>("26/09/2025")</f>
        <v>26/09/2025</v>
      </c>
      <c r="K4915">
        <v>45938</v>
      </c>
      <c r="N4915">
        <v>109</v>
      </c>
      <c r="O4915" t="s">
        <v>24</v>
      </c>
      <c r="Q4915">
        <v>20</v>
      </c>
      <c r="R4915" t="str">
        <f>"FARMÁCIA INDIANA LJ 142 (10066)"</f>
        <v>FARMÁCIA INDIANA LJ 142 (10066)</v>
      </c>
      <c r="S4915" t="s">
        <v>48</v>
      </c>
      <c r="T4915">
        <v>19356</v>
      </c>
      <c r="U4915">
        <v>23349</v>
      </c>
      <c r="V4915" t="s">
        <v>48</v>
      </c>
    </row>
    <row r="4916" spans="1:22">
      <c r="A4916" t="str">
        <f t="shared" si="892"/>
        <v>08/10/2025</v>
      </c>
      <c r="B4916" t="str">
        <f>"ENTRADA"</f>
        <v>ENTRADA</v>
      </c>
      <c r="C4916" t="str">
        <f>"DINHEIRO"</f>
        <v>DINHEIRO</v>
      </c>
      <c r="D4916" t="str">
        <f>"15"</f>
        <v>15</v>
      </c>
      <c r="E4916" t="str">
        <f>"34"</f>
        <v>34</v>
      </c>
      <c r="F4916" t="str">
        <f t="shared" si="893"/>
        <v>COM</v>
      </c>
      <c r="G4916" t="str">
        <f>"JHONANTAN LACERDA DE JESUS (142)"</f>
        <v>JHONANTAN LACERDA DE JESUS (142)</v>
      </c>
      <c r="H4916" t="str">
        <f>"DESCONTO COTA COOPERADO"</f>
        <v>DESCONTO COTA COOPERADO</v>
      </c>
      <c r="I4916" t="str">
        <f>("16/10/2025")</f>
        <v>16/10/2025</v>
      </c>
      <c r="J4916" t="str">
        <f>("16/01/2025")</f>
        <v>16/01/2025</v>
      </c>
      <c r="K4916" t="str">
        <f>("08/10/2025")</f>
        <v>08/10/2025</v>
      </c>
      <c r="L4916">
        <v>20</v>
      </c>
      <c r="M4916">
        <v>20</v>
      </c>
      <c r="N4916">
        <v>106</v>
      </c>
      <c r="O4916" t="str">
        <f>"ENTRADA DE CAPITAL"</f>
        <v>ENTRADA DE CAPITAL</v>
      </c>
      <c r="P4916">
        <v>20</v>
      </c>
      <c r="S4916" t="str">
        <f>"ENTRADA DE CAPITAL (106)"</f>
        <v>ENTRADA DE CAPITAL (106)</v>
      </c>
      <c r="T4916">
        <v>19357</v>
      </c>
      <c r="U4916">
        <v>6696</v>
      </c>
      <c r="V4916" t="s">
        <v>48</v>
      </c>
    </row>
    <row r="4917" spans="1:22">
      <c r="A4917" t="str">
        <f t="shared" si="892"/>
        <v>08/10/2025</v>
      </c>
      <c r="B4917" t="str">
        <f>"ENTRADA"</f>
        <v>ENTRADA</v>
      </c>
      <c r="C4917" t="str">
        <f>"DINHEIRO"</f>
        <v>DINHEIRO</v>
      </c>
      <c r="D4917" t="str">
        <f>"15"</f>
        <v>15</v>
      </c>
      <c r="E4917" t="str">
        <f>"34"</f>
        <v>34</v>
      </c>
      <c r="F4917" t="str">
        <f t="shared" si="893"/>
        <v>COM</v>
      </c>
      <c r="G4917" t="str">
        <f>"JHONANTAN LACERDA DE JESUS (142)"</f>
        <v>JHONANTAN LACERDA DE JESUS (142)</v>
      </c>
      <c r="H4917" t="s">
        <v>309</v>
      </c>
      <c r="I4917" t="str">
        <f>("16/10/2025")</f>
        <v>16/10/2025</v>
      </c>
      <c r="J4917" t="str">
        <f>("16/01/2025")</f>
        <v>16/01/2025</v>
      </c>
      <c r="K4917">
        <v>45938</v>
      </c>
      <c r="N4917">
        <v>106</v>
      </c>
      <c r="O4917" t="s">
        <v>51</v>
      </c>
      <c r="Q4917">
        <v>20</v>
      </c>
      <c r="R4917" t="str">
        <f>"JHONANTAN LACERDA DE JESUS (142)"</f>
        <v>JHONANTAN LACERDA DE JESUS (142)</v>
      </c>
      <c r="S4917" t="s">
        <v>52</v>
      </c>
      <c r="T4917">
        <v>19357</v>
      </c>
      <c r="U4917">
        <v>6696</v>
      </c>
      <c r="V4917" t="s">
        <v>48</v>
      </c>
    </row>
    <row r="4918" spans="1:22">
      <c r="A4918" t="str">
        <f t="shared" si="892"/>
        <v>08/10/2025</v>
      </c>
      <c r="B4918" t="str">
        <f>"SAÍDA"</f>
        <v>SAÍDA</v>
      </c>
      <c r="C4918" t="str">
        <f>"PIX"</f>
        <v>PIX</v>
      </c>
      <c r="D4918" t="str">
        <f>"22534"</f>
        <v>22534</v>
      </c>
      <c r="E4918" t="str">
        <f>"1"</f>
        <v>1</v>
      </c>
      <c r="F4918" t="str">
        <f t="shared" si="893"/>
        <v>COM</v>
      </c>
      <c r="G4918" t="str">
        <f>"JIRLANIA RODRIGUES DOS SANTOS (152)"</f>
        <v>JIRLANIA RODRIGUES DOS SANTOS (152)</v>
      </c>
      <c r="H4918" t="str">
        <f>"Serv.Prest. 22/09/2025 a 25/09/2025 - PIX: CPF - CHAVE: 035.018.455-02"</f>
        <v>Serv.Prest. 22/09/2025 a 25/09/2025 - PIX: CPF - CHAVE: 035.018.455-02</v>
      </c>
      <c r="I4918" t="str">
        <f>("09/10/2025")</f>
        <v>09/10/2025</v>
      </c>
      <c r="J4918" t="str">
        <f>("26/09/2025")</f>
        <v>26/09/2025</v>
      </c>
      <c r="K4918" t="str">
        <f>("08/10/2025")</f>
        <v>08/10/2025</v>
      </c>
      <c r="L4918">
        <v>20</v>
      </c>
      <c r="M4918">
        <v>20</v>
      </c>
      <c r="N4918">
        <v>109</v>
      </c>
      <c r="O4918" t="str">
        <f>"PAGAMENTO DE ENTREGADORES"</f>
        <v>PAGAMENTO DE ENTREGADORES</v>
      </c>
      <c r="P4918">
        <v>20</v>
      </c>
      <c r="S4918" t="str">
        <f>"CAIXA MOVIMENTAÇÃO OPERACIONAL (132)"</f>
        <v>CAIXA MOVIMENTAÇÃO OPERACIONAL (132)</v>
      </c>
      <c r="T4918">
        <v>19358</v>
      </c>
      <c r="U4918">
        <v>23350</v>
      </c>
      <c r="V4918" t="s">
        <v>48</v>
      </c>
    </row>
    <row r="4919" spans="1:22">
      <c r="A4919" t="str">
        <f t="shared" si="892"/>
        <v>08/10/2025</v>
      </c>
      <c r="B4919" t="str">
        <f>"SAÍDA"</f>
        <v>SAÍDA</v>
      </c>
      <c r="C4919" t="str">
        <f>"PIX"</f>
        <v>PIX</v>
      </c>
      <c r="D4919" t="str">
        <f>"22534"</f>
        <v>22534</v>
      </c>
      <c r="E4919" t="str">
        <f>"1"</f>
        <v>1</v>
      </c>
      <c r="F4919" t="str">
        <f t="shared" si="893"/>
        <v>COM</v>
      </c>
      <c r="G4919" t="str">
        <f>"JIRLANIA RODRIGUES DOS SANTOS (152)"</f>
        <v>JIRLANIA RODRIGUES DOS SANTOS (152)</v>
      </c>
      <c r="H4919" t="s">
        <v>1425</v>
      </c>
      <c r="I4919" t="str">
        <f>("09/10/2025")</f>
        <v>09/10/2025</v>
      </c>
      <c r="J4919" t="str">
        <f>("26/09/2025")</f>
        <v>26/09/2025</v>
      </c>
      <c r="K4919">
        <v>45938</v>
      </c>
      <c r="N4919">
        <v>109</v>
      </c>
      <c r="O4919" t="s">
        <v>24</v>
      </c>
      <c r="Q4919">
        <v>20</v>
      </c>
      <c r="R4919" t="str">
        <f>"FARMÁCIA INDIANA LJ 95 (10039)"</f>
        <v>FARMÁCIA INDIANA LJ 95 (10039)</v>
      </c>
      <c r="S4919" t="s">
        <v>48</v>
      </c>
      <c r="T4919">
        <v>19358</v>
      </c>
      <c r="U4919">
        <v>23350</v>
      </c>
      <c r="V4919" t="s">
        <v>48</v>
      </c>
    </row>
    <row r="4920" spans="1:22">
      <c r="A4920" t="str">
        <f t="shared" si="892"/>
        <v>08/10/2025</v>
      </c>
      <c r="B4920" t="str">
        <f>"ENTRADA"</f>
        <v>ENTRADA</v>
      </c>
      <c r="C4920" t="str">
        <f>"DINHEIRO"</f>
        <v>DINHEIRO</v>
      </c>
      <c r="D4920" t="str">
        <f>"16"</f>
        <v>16</v>
      </c>
      <c r="E4920" t="str">
        <f>"34"</f>
        <v>34</v>
      </c>
      <c r="F4920" t="str">
        <f t="shared" si="893"/>
        <v>COM</v>
      </c>
      <c r="G4920" t="str">
        <f>"JIRLANIA RODRIGUES DOS SANTOS (152)"</f>
        <v>JIRLANIA RODRIGUES DOS SANTOS (152)</v>
      </c>
      <c r="H4920" t="str">
        <f>"DESCONTO COTA COOPERADO"</f>
        <v>DESCONTO COTA COOPERADO</v>
      </c>
      <c r="I4920" t="str">
        <f>("16/10/2025")</f>
        <v>16/10/2025</v>
      </c>
      <c r="J4920" t="str">
        <f>("16/01/2025")</f>
        <v>16/01/2025</v>
      </c>
      <c r="K4920" t="str">
        <f>("08/10/2025")</f>
        <v>08/10/2025</v>
      </c>
      <c r="L4920">
        <v>20</v>
      </c>
      <c r="M4920">
        <v>20</v>
      </c>
      <c r="N4920">
        <v>106</v>
      </c>
      <c r="O4920" t="str">
        <f>"ENTRADA DE CAPITAL"</f>
        <v>ENTRADA DE CAPITAL</v>
      </c>
      <c r="P4920">
        <v>20</v>
      </c>
      <c r="S4920" t="str">
        <f>"ENTRADA DE CAPITAL (106)"</f>
        <v>ENTRADA DE CAPITAL (106)</v>
      </c>
      <c r="T4920">
        <v>19359</v>
      </c>
      <c r="U4920">
        <v>6708</v>
      </c>
      <c r="V4920" t="s">
        <v>48</v>
      </c>
    </row>
    <row r="4921" spans="1:22">
      <c r="A4921" t="str">
        <f t="shared" si="892"/>
        <v>08/10/2025</v>
      </c>
      <c r="B4921" t="str">
        <f>"ENTRADA"</f>
        <v>ENTRADA</v>
      </c>
      <c r="C4921" t="str">
        <f>"DINHEIRO"</f>
        <v>DINHEIRO</v>
      </c>
      <c r="D4921" t="str">
        <f>"16"</f>
        <v>16</v>
      </c>
      <c r="E4921" t="str">
        <f>"34"</f>
        <v>34</v>
      </c>
      <c r="F4921" t="str">
        <f t="shared" si="893"/>
        <v>COM</v>
      </c>
      <c r="G4921" t="str">
        <f>"JIRLANIA RODRIGUES DOS SANTOS (152)"</f>
        <v>JIRLANIA RODRIGUES DOS SANTOS (152)</v>
      </c>
      <c r="H4921" t="s">
        <v>309</v>
      </c>
      <c r="I4921" t="str">
        <f>("16/10/2025")</f>
        <v>16/10/2025</v>
      </c>
      <c r="J4921" t="str">
        <f>("16/01/2025")</f>
        <v>16/01/2025</v>
      </c>
      <c r="K4921">
        <v>45938</v>
      </c>
      <c r="N4921">
        <v>106</v>
      </c>
      <c r="O4921" t="s">
        <v>51</v>
      </c>
      <c r="Q4921">
        <v>20</v>
      </c>
      <c r="R4921" t="str">
        <f>"JIRLANIA RODRIGUES DOS SANTOS (152)"</f>
        <v>JIRLANIA RODRIGUES DOS SANTOS (152)</v>
      </c>
      <c r="S4921" t="s">
        <v>52</v>
      </c>
      <c r="T4921">
        <v>19359</v>
      </c>
      <c r="U4921">
        <v>6708</v>
      </c>
      <c r="V4921" t="s">
        <v>48</v>
      </c>
    </row>
    <row r="4922" spans="1:22">
      <c r="A4922" t="str">
        <f t="shared" si="892"/>
        <v>08/10/2025</v>
      </c>
      <c r="B4922" t="str">
        <f>"SAÍDA"</f>
        <v>SAÍDA</v>
      </c>
      <c r="C4922" t="str">
        <f>"PIX"</f>
        <v>PIX</v>
      </c>
      <c r="D4922" t="str">
        <f>"22535"</f>
        <v>22535</v>
      </c>
      <c r="E4922" t="str">
        <f>"1"</f>
        <v>1</v>
      </c>
      <c r="F4922" t="str">
        <f t="shared" si="893"/>
        <v>COM</v>
      </c>
      <c r="G4922" t="str">
        <f>"JOAO PEDRO BRITO DE SOUZA (876)"</f>
        <v>JOAO PEDRO BRITO DE SOUZA (876)</v>
      </c>
      <c r="H4922" t="str">
        <f>"Serv.Prest. 22/09/2025 a 25/09/2025 - PIX: CPF - CHAVE: 860.305.455-07"</f>
        <v>Serv.Prest. 22/09/2025 a 25/09/2025 - PIX: CPF - CHAVE: 860.305.455-07</v>
      </c>
      <c r="I4922" t="str">
        <f>("09/10/2025")</f>
        <v>09/10/2025</v>
      </c>
      <c r="J4922" t="str">
        <f>("26/09/2025")</f>
        <v>26/09/2025</v>
      </c>
      <c r="K4922" t="str">
        <f>("08/10/2025")</f>
        <v>08/10/2025</v>
      </c>
      <c r="L4922">
        <v>20</v>
      </c>
      <c r="M4922">
        <v>20</v>
      </c>
      <c r="N4922">
        <v>109</v>
      </c>
      <c r="O4922" t="str">
        <f>"PAGAMENTO DE ENTREGADORES"</f>
        <v>PAGAMENTO DE ENTREGADORES</v>
      </c>
      <c r="P4922">
        <v>20</v>
      </c>
      <c r="S4922" t="str">
        <f>"CAIXA MOVIMENTAÇÃO OPERACIONAL (132)"</f>
        <v>CAIXA MOVIMENTAÇÃO OPERACIONAL (132)</v>
      </c>
      <c r="T4922">
        <v>19360</v>
      </c>
      <c r="U4922">
        <v>23351</v>
      </c>
      <c r="V4922" t="s">
        <v>48</v>
      </c>
    </row>
    <row r="4923" spans="1:22">
      <c r="A4923" t="str">
        <f t="shared" si="892"/>
        <v>08/10/2025</v>
      </c>
      <c r="B4923" t="str">
        <f>"SAÍDA"</f>
        <v>SAÍDA</v>
      </c>
      <c r="C4923" t="str">
        <f>"PIX"</f>
        <v>PIX</v>
      </c>
      <c r="D4923" t="str">
        <f>"22535"</f>
        <v>22535</v>
      </c>
      <c r="E4923" t="str">
        <f>"1"</f>
        <v>1</v>
      </c>
      <c r="F4923" t="str">
        <f t="shared" si="893"/>
        <v>COM</v>
      </c>
      <c r="G4923" t="str">
        <f>"JOAO PEDRO BRITO DE SOUZA (876)"</f>
        <v>JOAO PEDRO BRITO DE SOUZA (876)</v>
      </c>
      <c r="H4923" t="s">
        <v>1426</v>
      </c>
      <c r="I4923" t="str">
        <f>("09/10/2025")</f>
        <v>09/10/2025</v>
      </c>
      <c r="J4923" t="str">
        <f>("26/09/2025")</f>
        <v>26/09/2025</v>
      </c>
      <c r="K4923">
        <v>45938</v>
      </c>
      <c r="N4923">
        <v>109</v>
      </c>
      <c r="O4923" t="s">
        <v>24</v>
      </c>
      <c r="Q4923">
        <v>10.59</v>
      </c>
      <c r="R4923" t="str">
        <f>"FARMÁCIA INDIANA LJ 48 (10018)"</f>
        <v>FARMÁCIA INDIANA LJ 48 (10018)</v>
      </c>
      <c r="S4923" t="s">
        <v>48</v>
      </c>
      <c r="T4923">
        <v>19360</v>
      </c>
      <c r="U4923">
        <v>23351</v>
      </c>
      <c r="V4923" t="s">
        <v>48</v>
      </c>
    </row>
    <row r="4924" spans="1:22">
      <c r="A4924" t="str">
        <f t="shared" si="892"/>
        <v>08/10/2025</v>
      </c>
      <c r="B4924" t="str">
        <f>"SAÍDA"</f>
        <v>SAÍDA</v>
      </c>
      <c r="C4924" t="str">
        <f>"PIX"</f>
        <v>PIX</v>
      </c>
      <c r="D4924" t="str">
        <f>"22535"</f>
        <v>22535</v>
      </c>
      <c r="E4924" t="str">
        <f>"1"</f>
        <v>1</v>
      </c>
      <c r="F4924" t="str">
        <f t="shared" si="893"/>
        <v>COM</v>
      </c>
      <c r="G4924" t="str">
        <f>"JOAO PEDRO BRITO DE SOUZA (876)"</f>
        <v>JOAO PEDRO BRITO DE SOUZA (876)</v>
      </c>
      <c r="H4924" t="s">
        <v>1426</v>
      </c>
      <c r="I4924" t="str">
        <f>("09/10/2025")</f>
        <v>09/10/2025</v>
      </c>
      <c r="J4924" t="str">
        <f>("26/09/2025")</f>
        <v>26/09/2025</v>
      </c>
      <c r="K4924">
        <v>45938</v>
      </c>
      <c r="N4924">
        <v>109</v>
      </c>
      <c r="O4924" t="s">
        <v>24</v>
      </c>
      <c r="Q4924">
        <v>9.41</v>
      </c>
      <c r="R4924" t="str">
        <f>"FARMÁCIA INDIANA LJ 169 (10073)"</f>
        <v>FARMÁCIA INDIANA LJ 169 (10073)</v>
      </c>
      <c r="S4924" t="s">
        <v>48</v>
      </c>
      <c r="T4924">
        <v>19360</v>
      </c>
      <c r="U4924">
        <v>23351</v>
      </c>
      <c r="V4924" t="s">
        <v>48</v>
      </c>
    </row>
    <row r="4925" spans="1:22">
      <c r="A4925" t="str">
        <f t="shared" si="892"/>
        <v>08/10/2025</v>
      </c>
      <c r="B4925" t="str">
        <f>"ENTRADA"</f>
        <v>ENTRADA</v>
      </c>
      <c r="C4925" t="str">
        <f>"DINHEIRO"</f>
        <v>DINHEIRO</v>
      </c>
      <c r="D4925" t="str">
        <f>"876"</f>
        <v>876</v>
      </c>
      <c r="E4925" t="str">
        <f>"3"</f>
        <v>3</v>
      </c>
      <c r="F4925" t="str">
        <f t="shared" si="893"/>
        <v>COM</v>
      </c>
      <c r="G4925" t="str">
        <f>"JOAO PEDRO BRITO DE SOUZA (876)"</f>
        <v>JOAO PEDRO BRITO DE SOUZA (876)</v>
      </c>
      <c r="H4925" t="str">
        <f>"COTA COOPERATIVA"</f>
        <v>COTA COOPERATIVA</v>
      </c>
      <c r="I4925" t="str">
        <f>("10/10/2025")</f>
        <v>10/10/2025</v>
      </c>
      <c r="J4925" t="str">
        <f>("11/07/2025")</f>
        <v>11/07/2025</v>
      </c>
      <c r="K4925" t="str">
        <f>("08/10/2025")</f>
        <v>08/10/2025</v>
      </c>
      <c r="L4925">
        <v>20</v>
      </c>
      <c r="M4925">
        <v>20</v>
      </c>
      <c r="N4925">
        <v>106</v>
      </c>
      <c r="O4925" t="str">
        <f>"ENTRADA DE CAPITAL"</f>
        <v>ENTRADA DE CAPITAL</v>
      </c>
      <c r="P4925">
        <v>20</v>
      </c>
      <c r="S4925" t="str">
        <f>"ENTRADA DE CAPITAL (106)"</f>
        <v>ENTRADA DE CAPITAL (106)</v>
      </c>
      <c r="T4925">
        <v>19361</v>
      </c>
      <c r="U4925">
        <v>19767</v>
      </c>
      <c r="V4925" t="s">
        <v>48</v>
      </c>
    </row>
    <row r="4926" spans="1:22">
      <c r="A4926" t="str">
        <f t="shared" si="892"/>
        <v>08/10/2025</v>
      </c>
      <c r="B4926" t="str">
        <f>"ENTRADA"</f>
        <v>ENTRADA</v>
      </c>
      <c r="C4926" t="str">
        <f>"DINHEIRO"</f>
        <v>DINHEIRO</v>
      </c>
      <c r="D4926" t="str">
        <f>"876"</f>
        <v>876</v>
      </c>
      <c r="E4926" t="str">
        <f>"3"</f>
        <v>3</v>
      </c>
      <c r="F4926" t="str">
        <f t="shared" si="893"/>
        <v>COM</v>
      </c>
      <c r="G4926" t="str">
        <f>"JOAO PEDRO BRITO DE SOUZA (876)"</f>
        <v>JOAO PEDRO BRITO DE SOUZA (876)</v>
      </c>
      <c r="H4926" t="s">
        <v>50</v>
      </c>
      <c r="I4926" t="str">
        <f>("10/10/2025")</f>
        <v>10/10/2025</v>
      </c>
      <c r="J4926" t="str">
        <f>("11/07/2025")</f>
        <v>11/07/2025</v>
      </c>
      <c r="K4926">
        <v>45938</v>
      </c>
      <c r="N4926">
        <v>106</v>
      </c>
      <c r="O4926" t="s">
        <v>51</v>
      </c>
      <c r="Q4926">
        <v>20</v>
      </c>
      <c r="R4926" t="str">
        <f>"JOAO PEDRO BRITO DE SOUZA (876)"</f>
        <v>JOAO PEDRO BRITO DE SOUZA (876)</v>
      </c>
      <c r="S4926" t="s">
        <v>52</v>
      </c>
      <c r="T4926">
        <v>19361</v>
      </c>
      <c r="U4926">
        <v>19767</v>
      </c>
      <c r="V4926" t="s">
        <v>48</v>
      </c>
    </row>
    <row r="4927" spans="1:22">
      <c r="A4927" t="str">
        <f t="shared" si="892"/>
        <v>08/10/2025</v>
      </c>
      <c r="B4927" t="str">
        <f>"ENTRADA"</f>
        <v>ENTRADA</v>
      </c>
      <c r="C4927" t="str">
        <f>"DINHEIRO"</f>
        <v>DINHEIRO</v>
      </c>
      <c r="D4927" t="str">
        <f>"15"</f>
        <v>15</v>
      </c>
      <c r="E4927" t="str">
        <f>"34"</f>
        <v>34</v>
      </c>
      <c r="F4927" t="str">
        <f t="shared" si="893"/>
        <v>COM</v>
      </c>
      <c r="G4927" t="str">
        <f>"JOCIMAR VAZ FERREIRA (197)"</f>
        <v>JOCIMAR VAZ FERREIRA (197)</v>
      </c>
      <c r="H4927" t="str">
        <f>"DESCONTO COTA COOPERADO"</f>
        <v>DESCONTO COTA COOPERADO</v>
      </c>
      <c r="I4927" t="str">
        <f>("16/10/2025")</f>
        <v>16/10/2025</v>
      </c>
      <c r="J4927" t="str">
        <f>("16/01/2025")</f>
        <v>16/01/2025</v>
      </c>
      <c r="K4927" t="str">
        <f>("08/10/2025")</f>
        <v>08/10/2025</v>
      </c>
      <c r="L4927">
        <v>20</v>
      </c>
      <c r="M4927">
        <v>20</v>
      </c>
      <c r="N4927">
        <v>106</v>
      </c>
      <c r="O4927" t="str">
        <f>"ENTRADA DE CAPITAL"</f>
        <v>ENTRADA DE CAPITAL</v>
      </c>
      <c r="P4927">
        <v>20</v>
      </c>
      <c r="S4927" t="str">
        <f>"ENTRADA DE CAPITAL (106)"</f>
        <v>ENTRADA DE CAPITAL (106)</v>
      </c>
      <c r="T4927">
        <v>19362</v>
      </c>
      <c r="U4927">
        <v>6745</v>
      </c>
      <c r="V4927" t="s">
        <v>48</v>
      </c>
    </row>
    <row r="4928" spans="1:22">
      <c r="A4928" t="str">
        <f t="shared" si="892"/>
        <v>08/10/2025</v>
      </c>
      <c r="B4928" t="str">
        <f>"ENTRADA"</f>
        <v>ENTRADA</v>
      </c>
      <c r="C4928" t="str">
        <f>"DINHEIRO"</f>
        <v>DINHEIRO</v>
      </c>
      <c r="D4928" t="str">
        <f>"15"</f>
        <v>15</v>
      </c>
      <c r="E4928" t="str">
        <f>"34"</f>
        <v>34</v>
      </c>
      <c r="F4928" t="str">
        <f t="shared" si="893"/>
        <v>COM</v>
      </c>
      <c r="G4928" t="str">
        <f>"JOCIMAR VAZ FERREIRA (197)"</f>
        <v>JOCIMAR VAZ FERREIRA (197)</v>
      </c>
      <c r="H4928" t="s">
        <v>309</v>
      </c>
      <c r="I4928" t="str">
        <f>("16/10/2025")</f>
        <v>16/10/2025</v>
      </c>
      <c r="J4928" t="str">
        <f>("16/01/2025")</f>
        <v>16/01/2025</v>
      </c>
      <c r="K4928">
        <v>45938</v>
      </c>
      <c r="N4928">
        <v>106</v>
      </c>
      <c r="O4928" t="s">
        <v>51</v>
      </c>
      <c r="Q4928">
        <v>20</v>
      </c>
      <c r="R4928" t="str">
        <f>"JOCIMAR VAZ FERREIRA (197)"</f>
        <v>JOCIMAR VAZ FERREIRA (197)</v>
      </c>
      <c r="S4928" t="s">
        <v>52</v>
      </c>
      <c r="T4928">
        <v>19362</v>
      </c>
      <c r="U4928">
        <v>6745</v>
      </c>
      <c r="V4928" t="s">
        <v>48</v>
      </c>
    </row>
    <row r="4929" spans="1:22">
      <c r="A4929" t="str">
        <f t="shared" si="892"/>
        <v>08/10/2025</v>
      </c>
      <c r="B4929" t="str">
        <f>"SAÍDA"</f>
        <v>SAÍDA</v>
      </c>
      <c r="C4929" t="str">
        <f>"PIX"</f>
        <v>PIX</v>
      </c>
      <c r="D4929" t="str">
        <f>"22832"</f>
        <v>22832</v>
      </c>
      <c r="E4929" t="str">
        <f>"1"</f>
        <v>1</v>
      </c>
      <c r="F4929" t="str">
        <f t="shared" si="893"/>
        <v>COM</v>
      </c>
      <c r="G4929" t="str">
        <f>"JOCIMAR VAZ FERREIRA (197)"</f>
        <v>JOCIMAR VAZ FERREIRA (197)</v>
      </c>
      <c r="H4929" t="str">
        <f>"Serv.Prest. 29/09/2025 a 05/10/2025 - PIX: CELULAR - CHAVE: (33) 99924-7557"</f>
        <v>Serv.Prest. 29/09/2025 a 05/10/2025 - PIX: CELULAR - CHAVE: (33) 99924-7557</v>
      </c>
      <c r="I4929" t="str">
        <f>("09/10/2025")</f>
        <v>09/10/2025</v>
      </c>
      <c r="J4929" t="str">
        <f>("06/10/2025")</f>
        <v>06/10/2025</v>
      </c>
      <c r="K4929" t="str">
        <f>("08/10/2025")</f>
        <v>08/10/2025</v>
      </c>
      <c r="L4929">
        <v>20</v>
      </c>
      <c r="M4929">
        <v>20</v>
      </c>
      <c r="N4929">
        <v>109</v>
      </c>
      <c r="O4929" t="str">
        <f>"PAGAMENTO DE ENTREGADORES"</f>
        <v>PAGAMENTO DE ENTREGADORES</v>
      </c>
      <c r="P4929">
        <v>20</v>
      </c>
      <c r="S4929" t="str">
        <f>"CAIXA MOVIMENTAÇÃO OPERACIONAL (132)"</f>
        <v>CAIXA MOVIMENTAÇÃO OPERACIONAL (132)</v>
      </c>
      <c r="T4929">
        <v>19363</v>
      </c>
      <c r="U4929">
        <v>23352</v>
      </c>
      <c r="V4929" t="s">
        <v>48</v>
      </c>
    </row>
    <row r="4930" spans="1:22">
      <c r="A4930" t="str">
        <f t="shared" si="892"/>
        <v>08/10/2025</v>
      </c>
      <c r="B4930" t="str">
        <f>"SAÍDA"</f>
        <v>SAÍDA</v>
      </c>
      <c r="C4930" t="str">
        <f>"PIX"</f>
        <v>PIX</v>
      </c>
      <c r="D4930" t="str">
        <f>"22832"</f>
        <v>22832</v>
      </c>
      <c r="E4930" t="str">
        <f>"1"</f>
        <v>1</v>
      </c>
      <c r="F4930" t="str">
        <f t="shared" si="893"/>
        <v>COM</v>
      </c>
      <c r="G4930" t="str">
        <f>"JOCIMAR VAZ FERREIRA (197)"</f>
        <v>JOCIMAR VAZ FERREIRA (197)</v>
      </c>
      <c r="H4930" t="s">
        <v>1427</v>
      </c>
      <c r="I4930" t="str">
        <f>("09/10/2025")</f>
        <v>09/10/2025</v>
      </c>
      <c r="J4930" t="str">
        <f>("06/10/2025")</f>
        <v>06/10/2025</v>
      </c>
      <c r="K4930">
        <v>45938</v>
      </c>
      <c r="N4930">
        <v>109</v>
      </c>
      <c r="O4930" t="s">
        <v>24</v>
      </c>
      <c r="Q4930">
        <v>20</v>
      </c>
      <c r="R4930" t="str">
        <f>"DROGARIA VAZ (10179)"</f>
        <v>DROGARIA VAZ (10179)</v>
      </c>
      <c r="S4930" t="s">
        <v>48</v>
      </c>
      <c r="T4930">
        <v>19363</v>
      </c>
      <c r="U4930">
        <v>23352</v>
      </c>
      <c r="V4930" t="s">
        <v>48</v>
      </c>
    </row>
    <row r="4931" spans="1:22">
      <c r="A4931" t="str">
        <f t="shared" si="892"/>
        <v>08/10/2025</v>
      </c>
      <c r="B4931" t="str">
        <f>"SAÍDA"</f>
        <v>SAÍDA</v>
      </c>
      <c r="C4931" t="str">
        <f>"PIX"</f>
        <v>PIX</v>
      </c>
      <c r="D4931" t="str">
        <f>"22834"</f>
        <v>22834</v>
      </c>
      <c r="E4931" t="str">
        <f>"1"</f>
        <v>1</v>
      </c>
      <c r="F4931" t="str">
        <f t="shared" si="893"/>
        <v>COM</v>
      </c>
      <c r="G4931" t="str">
        <f>"JOSÉ HENRIQUE RODRIGUES (430)"</f>
        <v>JOSÉ HENRIQUE RODRIGUES (430)</v>
      </c>
      <c r="H4931" t="str">
        <f>"Serv.Prest. 29/09/2025 a 05/10/2025 - PIX: CPF - CHAVE: 100.826.516-04"</f>
        <v>Serv.Prest. 29/09/2025 a 05/10/2025 - PIX: CPF - CHAVE: 100.826.516-04</v>
      </c>
      <c r="I4931" t="str">
        <f>("09/10/2025")</f>
        <v>09/10/2025</v>
      </c>
      <c r="J4931" t="str">
        <f>("06/10/2025")</f>
        <v>06/10/2025</v>
      </c>
      <c r="K4931" t="str">
        <f>("08/10/2025")</f>
        <v>08/10/2025</v>
      </c>
      <c r="L4931">
        <v>20</v>
      </c>
      <c r="M4931">
        <v>20</v>
      </c>
      <c r="N4931">
        <v>109</v>
      </c>
      <c r="O4931" t="str">
        <f>"PAGAMENTO DE ENTREGADORES"</f>
        <v>PAGAMENTO DE ENTREGADORES</v>
      </c>
      <c r="P4931">
        <v>20</v>
      </c>
      <c r="S4931" t="str">
        <f>"CAIXA MOVIMENTAÇÃO OPERACIONAL (132)"</f>
        <v>CAIXA MOVIMENTAÇÃO OPERACIONAL (132)</v>
      </c>
      <c r="T4931">
        <v>19364</v>
      </c>
      <c r="U4931">
        <v>23353</v>
      </c>
      <c r="V4931" t="s">
        <v>48</v>
      </c>
    </row>
    <row r="4932" spans="1:22">
      <c r="A4932" t="str">
        <f t="shared" si="892"/>
        <v>08/10/2025</v>
      </c>
      <c r="B4932" t="str">
        <f>"SAÍDA"</f>
        <v>SAÍDA</v>
      </c>
      <c r="C4932" t="str">
        <f>"PIX"</f>
        <v>PIX</v>
      </c>
      <c r="D4932" t="str">
        <f>"22834"</f>
        <v>22834</v>
      </c>
      <c r="E4932" t="str">
        <f>"1"</f>
        <v>1</v>
      </c>
      <c r="F4932" t="str">
        <f t="shared" si="893"/>
        <v>COM</v>
      </c>
      <c r="G4932" t="str">
        <f>"JOSÉ HENRIQUE RODRIGUES (430)"</f>
        <v>JOSÉ HENRIQUE RODRIGUES (430)</v>
      </c>
      <c r="H4932" t="s">
        <v>1428</v>
      </c>
      <c r="I4932" t="str">
        <f>("09/10/2025")</f>
        <v>09/10/2025</v>
      </c>
      <c r="J4932" t="str">
        <f>("06/10/2025")</f>
        <v>06/10/2025</v>
      </c>
      <c r="K4932">
        <v>45938</v>
      </c>
      <c r="N4932">
        <v>109</v>
      </c>
      <c r="O4932" t="s">
        <v>24</v>
      </c>
      <c r="Q4932">
        <v>20</v>
      </c>
      <c r="R4932" t="str">
        <f>"PAGMENOS - LJ 608 (10135)"</f>
        <v>PAGMENOS - LJ 608 (10135)</v>
      </c>
      <c r="S4932" t="s">
        <v>48</v>
      </c>
      <c r="T4932">
        <v>19364</v>
      </c>
      <c r="U4932">
        <v>23353</v>
      </c>
      <c r="V4932" t="s">
        <v>48</v>
      </c>
    </row>
    <row r="4933" spans="1:22">
      <c r="A4933" t="str">
        <f t="shared" si="892"/>
        <v>08/10/2025</v>
      </c>
      <c r="B4933" t="str">
        <f>"ENTRADA"</f>
        <v>ENTRADA</v>
      </c>
      <c r="C4933" t="str">
        <f>"DINHEIRO"</f>
        <v>DINHEIRO</v>
      </c>
      <c r="D4933" t="str">
        <f>"5"</f>
        <v>5</v>
      </c>
      <c r="E4933" t="str">
        <f>"34"</f>
        <v>34</v>
      </c>
      <c r="F4933" t="str">
        <f t="shared" si="893"/>
        <v>COM</v>
      </c>
      <c r="G4933" t="str">
        <f>"JOSÉ HENRIQUE RODRIGUES (430)"</f>
        <v>JOSÉ HENRIQUE RODRIGUES (430)</v>
      </c>
      <c r="H4933" t="str">
        <f>"DESCONTO COTA COOPERADO"</f>
        <v>DESCONTO COTA COOPERADO</v>
      </c>
      <c r="I4933" t="str">
        <f>("16/10/2025")</f>
        <v>16/10/2025</v>
      </c>
      <c r="J4933" t="str">
        <f>("16/01/2025")</f>
        <v>16/01/2025</v>
      </c>
      <c r="K4933" t="str">
        <f>("08/10/2025")</f>
        <v>08/10/2025</v>
      </c>
      <c r="L4933">
        <v>20</v>
      </c>
      <c r="M4933">
        <v>20</v>
      </c>
      <c r="N4933">
        <v>106</v>
      </c>
      <c r="O4933" t="str">
        <f>"ENTRADA DE CAPITAL"</f>
        <v>ENTRADA DE CAPITAL</v>
      </c>
      <c r="P4933">
        <v>20</v>
      </c>
      <c r="S4933" t="str">
        <f>"ENTRADA DE CAPITAL (106)"</f>
        <v>ENTRADA DE CAPITAL (106)</v>
      </c>
      <c r="T4933">
        <v>19365</v>
      </c>
      <c r="U4933">
        <v>6778</v>
      </c>
      <c r="V4933" t="s">
        <v>48</v>
      </c>
    </row>
    <row r="4934" spans="1:22">
      <c r="A4934" t="str">
        <f t="shared" si="892"/>
        <v>08/10/2025</v>
      </c>
      <c r="B4934" t="str">
        <f>"ENTRADA"</f>
        <v>ENTRADA</v>
      </c>
      <c r="C4934" t="str">
        <f>"DINHEIRO"</f>
        <v>DINHEIRO</v>
      </c>
      <c r="D4934" t="str">
        <f>"5"</f>
        <v>5</v>
      </c>
      <c r="E4934" t="str">
        <f>"34"</f>
        <v>34</v>
      </c>
      <c r="F4934" t="str">
        <f t="shared" si="893"/>
        <v>COM</v>
      </c>
      <c r="G4934" t="str">
        <f>"JOSÉ HENRIQUE RODRIGUES (430)"</f>
        <v>JOSÉ HENRIQUE RODRIGUES (430)</v>
      </c>
      <c r="H4934" t="s">
        <v>309</v>
      </c>
      <c r="I4934" t="str">
        <f>("16/10/2025")</f>
        <v>16/10/2025</v>
      </c>
      <c r="J4934" t="str">
        <f>("16/01/2025")</f>
        <v>16/01/2025</v>
      </c>
      <c r="K4934">
        <v>45938</v>
      </c>
      <c r="N4934">
        <v>106</v>
      </c>
      <c r="O4934" t="s">
        <v>51</v>
      </c>
      <c r="Q4934">
        <v>20</v>
      </c>
      <c r="R4934" t="str">
        <f>"JOSÉ HENRIQUE RODRIGUES (430)"</f>
        <v>JOSÉ HENRIQUE RODRIGUES (430)</v>
      </c>
      <c r="S4934" t="s">
        <v>52</v>
      </c>
      <c r="T4934">
        <v>19365</v>
      </c>
      <c r="U4934">
        <v>6778</v>
      </c>
      <c r="V4934" t="s">
        <v>48</v>
      </c>
    </row>
    <row r="4935" spans="1:22">
      <c r="A4935" t="str">
        <f t="shared" si="892"/>
        <v>08/10/2025</v>
      </c>
      <c r="B4935" t="str">
        <f>"SAÍDA"</f>
        <v>SAÍDA</v>
      </c>
      <c r="C4935" t="str">
        <f>"PIX"</f>
        <v>PIX</v>
      </c>
      <c r="D4935" t="str">
        <f>"22846"</f>
        <v>22846</v>
      </c>
      <c r="E4935" t="str">
        <f>"1"</f>
        <v>1</v>
      </c>
      <c r="F4935" t="str">
        <f t="shared" si="893"/>
        <v>COM</v>
      </c>
      <c r="G4935" t="str">
        <f>"JULIEDERSON AGUIAR SANTOS (946)"</f>
        <v>JULIEDERSON AGUIAR SANTOS (946)</v>
      </c>
      <c r="H4935" t="str">
        <f>"Serv.Prest. 29/09/2025 a 05/10/2025 - PIX: CPF - CHAVE: 383.328.968-60"</f>
        <v>Serv.Prest. 29/09/2025 a 05/10/2025 - PIX: CPF - CHAVE: 383.328.968-60</v>
      </c>
      <c r="I4935" t="str">
        <f>("09/10/2025")</f>
        <v>09/10/2025</v>
      </c>
      <c r="J4935" t="str">
        <f>("06/10/2025")</f>
        <v>06/10/2025</v>
      </c>
      <c r="K4935" t="str">
        <f>("08/10/2025")</f>
        <v>08/10/2025</v>
      </c>
      <c r="L4935">
        <v>20</v>
      </c>
      <c r="M4935">
        <v>20</v>
      </c>
      <c r="N4935">
        <v>109</v>
      </c>
      <c r="O4935" t="str">
        <f>"PAGAMENTO DE ENTREGADORES"</f>
        <v>PAGAMENTO DE ENTREGADORES</v>
      </c>
      <c r="P4935">
        <v>20</v>
      </c>
      <c r="S4935" t="str">
        <f>"CAIXA MOVIMENTAÇÃO OPERACIONAL (132)"</f>
        <v>CAIXA MOVIMENTAÇÃO OPERACIONAL (132)</v>
      </c>
      <c r="T4935">
        <v>19366</v>
      </c>
      <c r="U4935">
        <v>23379</v>
      </c>
      <c r="V4935" t="s">
        <v>48</v>
      </c>
    </row>
    <row r="4936" spans="1:22">
      <c r="A4936" t="str">
        <f t="shared" si="892"/>
        <v>08/10/2025</v>
      </c>
      <c r="B4936" t="str">
        <f>"SAÍDA"</f>
        <v>SAÍDA</v>
      </c>
      <c r="C4936" t="str">
        <f>"PIX"</f>
        <v>PIX</v>
      </c>
      <c r="D4936" t="str">
        <f>"22846"</f>
        <v>22846</v>
      </c>
      <c r="E4936" t="str">
        <f>"1"</f>
        <v>1</v>
      </c>
      <c r="F4936" t="str">
        <f t="shared" si="893"/>
        <v>COM</v>
      </c>
      <c r="G4936" t="str">
        <f>"JULIEDERSON AGUIAR SANTOS (946)"</f>
        <v>JULIEDERSON AGUIAR SANTOS (946)</v>
      </c>
      <c r="H4936" t="s">
        <v>1429</v>
      </c>
      <c r="I4936" t="str">
        <f>("09/10/2025")</f>
        <v>09/10/2025</v>
      </c>
      <c r="J4936" t="str">
        <f>("06/10/2025")</f>
        <v>06/10/2025</v>
      </c>
      <c r="K4936">
        <v>45938</v>
      </c>
      <c r="N4936">
        <v>109</v>
      </c>
      <c r="O4936" t="s">
        <v>24</v>
      </c>
      <c r="Q4936">
        <v>20</v>
      </c>
      <c r="R4936" t="str">
        <f>"PENSE FARMA 22 (10198)"</f>
        <v>PENSE FARMA 22 (10198)</v>
      </c>
      <c r="S4936" t="s">
        <v>48</v>
      </c>
      <c r="T4936">
        <v>19366</v>
      </c>
      <c r="U4936">
        <v>23379</v>
      </c>
      <c r="V4936" t="s">
        <v>48</v>
      </c>
    </row>
    <row r="4937" spans="1:22">
      <c r="A4937" t="str">
        <f t="shared" si="892"/>
        <v>08/10/2025</v>
      </c>
      <c r="B4937" t="str">
        <f>"ENTRADA"</f>
        <v>ENTRADA</v>
      </c>
      <c r="C4937" t="str">
        <f>"DINHEIRO"</f>
        <v>DINHEIRO</v>
      </c>
      <c r="D4937" t="str">
        <f>"946"</f>
        <v>946</v>
      </c>
      <c r="E4937" t="str">
        <f>"01"</f>
        <v>01</v>
      </c>
      <c r="F4937" t="str">
        <f t="shared" si="893"/>
        <v>COM</v>
      </c>
      <c r="G4937" t="str">
        <f>"JULIEDERSON AGUIAR SANTOS (946)"</f>
        <v>JULIEDERSON AGUIAR SANTOS (946)</v>
      </c>
      <c r="H4937" t="str">
        <f>"COTA COOPERATIVA"</f>
        <v>COTA COOPERATIVA</v>
      </c>
      <c r="I4937" t="str">
        <f>("10/10/2025")</f>
        <v>10/10/2025</v>
      </c>
      <c r="J4937" t="str">
        <f>("02/10/2025")</f>
        <v>02/10/2025</v>
      </c>
      <c r="K4937" t="str">
        <f>("08/10/2025")</f>
        <v>08/10/2025</v>
      </c>
      <c r="L4937">
        <v>20</v>
      </c>
      <c r="M4937">
        <v>20</v>
      </c>
      <c r="N4937">
        <v>106</v>
      </c>
      <c r="O4937" t="str">
        <f>"ENTRADA DE CAPITAL"</f>
        <v>ENTRADA DE CAPITAL</v>
      </c>
      <c r="P4937">
        <v>20</v>
      </c>
      <c r="S4937" t="str">
        <f>"ENTRADA DE CAPITAL (106)"</f>
        <v>ENTRADA DE CAPITAL (106)</v>
      </c>
      <c r="T4937">
        <v>19367</v>
      </c>
      <c r="U4937">
        <v>23354</v>
      </c>
      <c r="V4937" t="s">
        <v>48</v>
      </c>
    </row>
    <row r="4938" spans="1:22">
      <c r="A4938" t="str">
        <f t="shared" si="892"/>
        <v>08/10/2025</v>
      </c>
      <c r="B4938" t="str">
        <f>"ENTRADA"</f>
        <v>ENTRADA</v>
      </c>
      <c r="C4938" t="str">
        <f>"DINHEIRO"</f>
        <v>DINHEIRO</v>
      </c>
      <c r="D4938" t="str">
        <f>"946"</f>
        <v>946</v>
      </c>
      <c r="E4938" t="str">
        <f>"01"</f>
        <v>01</v>
      </c>
      <c r="F4938" t="str">
        <f t="shared" si="893"/>
        <v>COM</v>
      </c>
      <c r="G4938" t="str">
        <f>"JULIEDERSON AGUIAR SANTOS (946)"</f>
        <v>JULIEDERSON AGUIAR SANTOS (946)</v>
      </c>
      <c r="H4938" t="s">
        <v>50</v>
      </c>
      <c r="I4938" t="str">
        <f>("10/10/2025")</f>
        <v>10/10/2025</v>
      </c>
      <c r="J4938" t="str">
        <f>("02/10/2025")</f>
        <v>02/10/2025</v>
      </c>
      <c r="K4938">
        <v>45938</v>
      </c>
      <c r="N4938">
        <v>106</v>
      </c>
      <c r="O4938" t="s">
        <v>51</v>
      </c>
      <c r="Q4938">
        <v>20</v>
      </c>
      <c r="R4938" t="str">
        <f>"JULIEDERSON AGUIAR SANTOS (946)"</f>
        <v>JULIEDERSON AGUIAR SANTOS (946)</v>
      </c>
      <c r="S4938" t="s">
        <v>52</v>
      </c>
      <c r="T4938">
        <v>19367</v>
      </c>
      <c r="U4938">
        <v>23354</v>
      </c>
      <c r="V4938" t="s">
        <v>48</v>
      </c>
    </row>
    <row r="4939" spans="1:22">
      <c r="A4939" t="str">
        <f t="shared" si="892"/>
        <v>08/10/2025</v>
      </c>
      <c r="B4939" t="str">
        <f>"SAÍDA"</f>
        <v>SAÍDA</v>
      </c>
      <c r="C4939" t="str">
        <f>"PIX"</f>
        <v>PIX</v>
      </c>
      <c r="D4939" t="str">
        <f>"22537"</f>
        <v>22537</v>
      </c>
      <c r="E4939" t="str">
        <f>"1"</f>
        <v>1</v>
      </c>
      <c r="F4939" t="str">
        <f t="shared" si="893"/>
        <v>COM</v>
      </c>
      <c r="G4939" t="str">
        <f>"JUNIO SOUZA SILVA (610)"</f>
        <v>JUNIO SOUZA SILVA (610)</v>
      </c>
      <c r="H4939" t="str">
        <f>"Serv.Prest. 22/09/2025 a 25/09/2025 - PIX: CELULAR - CHAVE: (73) 98105-2187"</f>
        <v>Serv.Prest. 22/09/2025 a 25/09/2025 - PIX: CELULAR - CHAVE: (73) 98105-2187</v>
      </c>
      <c r="I4939" t="str">
        <f>("09/10/2025")</f>
        <v>09/10/2025</v>
      </c>
      <c r="J4939" t="str">
        <f>("26/09/2025")</f>
        <v>26/09/2025</v>
      </c>
      <c r="K4939" t="str">
        <f>("08/10/2025")</f>
        <v>08/10/2025</v>
      </c>
      <c r="L4939">
        <v>20</v>
      </c>
      <c r="M4939">
        <v>20</v>
      </c>
      <c r="N4939">
        <v>109</v>
      </c>
      <c r="O4939" t="str">
        <f>"PAGAMENTO DE ENTREGADORES"</f>
        <v>PAGAMENTO DE ENTREGADORES</v>
      </c>
      <c r="P4939">
        <v>20</v>
      </c>
      <c r="S4939" t="str">
        <f>"CAIXA MOVIMENTAÇÃO OPERACIONAL (132)"</f>
        <v>CAIXA MOVIMENTAÇÃO OPERACIONAL (132)</v>
      </c>
      <c r="T4939">
        <v>19368</v>
      </c>
      <c r="U4939">
        <v>23380</v>
      </c>
      <c r="V4939" t="s">
        <v>48</v>
      </c>
    </row>
    <row r="4940" spans="1:22">
      <c r="A4940" t="str">
        <f t="shared" si="892"/>
        <v>08/10/2025</v>
      </c>
      <c r="B4940" t="str">
        <f>"SAÍDA"</f>
        <v>SAÍDA</v>
      </c>
      <c r="C4940" t="str">
        <f>"PIX"</f>
        <v>PIX</v>
      </c>
      <c r="D4940" t="str">
        <f>"22537"</f>
        <v>22537</v>
      </c>
      <c r="E4940" t="str">
        <f>"1"</f>
        <v>1</v>
      </c>
      <c r="F4940" t="str">
        <f t="shared" si="893"/>
        <v>COM</v>
      </c>
      <c r="G4940" t="str">
        <f>"JUNIO SOUZA SILVA (610)"</f>
        <v>JUNIO SOUZA SILVA (610)</v>
      </c>
      <c r="H4940" t="s">
        <v>1430</v>
      </c>
      <c r="I4940" t="str">
        <f>("09/10/2025")</f>
        <v>09/10/2025</v>
      </c>
      <c r="J4940" t="str">
        <f>("26/09/2025")</f>
        <v>26/09/2025</v>
      </c>
      <c r="K4940">
        <v>45938</v>
      </c>
      <c r="N4940">
        <v>109</v>
      </c>
      <c r="O4940" t="s">
        <v>24</v>
      </c>
      <c r="Q4940">
        <v>20</v>
      </c>
      <c r="R4940" t="str">
        <f>"FARMÁCIA INDIANA LJ 77 (10034)"</f>
        <v>FARMÁCIA INDIANA LJ 77 (10034)</v>
      </c>
      <c r="S4940" t="s">
        <v>48</v>
      </c>
      <c r="T4940">
        <v>19368</v>
      </c>
      <c r="U4940">
        <v>23380</v>
      </c>
      <c r="V4940" t="s">
        <v>48</v>
      </c>
    </row>
    <row r="4941" spans="1:22">
      <c r="A4941" t="str">
        <f t="shared" si="892"/>
        <v>08/10/2025</v>
      </c>
      <c r="B4941" t="str">
        <f>"ENTRADA"</f>
        <v>ENTRADA</v>
      </c>
      <c r="C4941" t="str">
        <f>"DINHEIRO"</f>
        <v>DINHEIRO</v>
      </c>
      <c r="D4941" t="str">
        <f>"610"</f>
        <v>610</v>
      </c>
      <c r="E4941" t="str">
        <f>"9"</f>
        <v>9</v>
      </c>
      <c r="F4941" t="str">
        <f t="shared" si="893"/>
        <v>COM</v>
      </c>
      <c r="G4941" t="str">
        <f>"JUNIO SOUZA SILVA (610)"</f>
        <v>JUNIO SOUZA SILVA (610)</v>
      </c>
      <c r="H4941" t="str">
        <f>"COTAS COOPERATIVA"</f>
        <v>COTAS COOPERATIVA</v>
      </c>
      <c r="I4941" t="str">
        <f>("13/10/2025")</f>
        <v>13/10/2025</v>
      </c>
      <c r="J4941" t="str">
        <f>("12/02/2025")</f>
        <v>12/02/2025</v>
      </c>
      <c r="K4941" t="str">
        <f>("08/10/2025")</f>
        <v>08/10/2025</v>
      </c>
      <c r="L4941">
        <v>20</v>
      </c>
      <c r="M4941">
        <v>20</v>
      </c>
      <c r="N4941">
        <v>106</v>
      </c>
      <c r="O4941" t="str">
        <f>"ENTRADA DE CAPITAL"</f>
        <v>ENTRADA DE CAPITAL</v>
      </c>
      <c r="P4941">
        <v>20</v>
      </c>
      <c r="S4941" t="str">
        <f>"ENTRADA DE CAPITAL (106)"</f>
        <v>ENTRADA DE CAPITAL (106)</v>
      </c>
      <c r="T4941">
        <v>19369</v>
      </c>
      <c r="U4941">
        <v>9354</v>
      </c>
      <c r="V4941" t="s">
        <v>48</v>
      </c>
    </row>
    <row r="4942" spans="1:22">
      <c r="A4942" t="str">
        <f t="shared" si="892"/>
        <v>08/10/2025</v>
      </c>
      <c r="B4942" t="str">
        <f>"ENTRADA"</f>
        <v>ENTRADA</v>
      </c>
      <c r="C4942" t="str">
        <f>"DINHEIRO"</f>
        <v>DINHEIRO</v>
      </c>
      <c r="D4942" t="str">
        <f>"610"</f>
        <v>610</v>
      </c>
      <c r="E4942" t="str">
        <f>"9"</f>
        <v>9</v>
      </c>
      <c r="F4942" t="str">
        <f t="shared" si="893"/>
        <v>COM</v>
      </c>
      <c r="G4942" t="str">
        <f>"JUNIO SOUZA SILVA (610)"</f>
        <v>JUNIO SOUZA SILVA (610)</v>
      </c>
      <c r="H4942" t="s">
        <v>318</v>
      </c>
      <c r="I4942" t="str">
        <f>("13/10/2025")</f>
        <v>13/10/2025</v>
      </c>
      <c r="J4942" t="str">
        <f>("12/02/2025")</f>
        <v>12/02/2025</v>
      </c>
      <c r="K4942">
        <v>45938</v>
      </c>
      <c r="N4942">
        <v>106</v>
      </c>
      <c r="O4942" t="s">
        <v>51</v>
      </c>
      <c r="Q4942">
        <v>20</v>
      </c>
      <c r="R4942" t="str">
        <f>"JUNIO SOUZA SILVA (610)"</f>
        <v>JUNIO SOUZA SILVA (610)</v>
      </c>
      <c r="S4942" t="s">
        <v>52</v>
      </c>
      <c r="T4942">
        <v>19369</v>
      </c>
      <c r="U4942">
        <v>9354</v>
      </c>
      <c r="V4942" t="s">
        <v>48</v>
      </c>
    </row>
    <row r="4943" spans="1:22">
      <c r="A4943" t="str">
        <f t="shared" ref="A4943:A5006" si="896">("08/10/2025")</f>
        <v>08/10/2025</v>
      </c>
      <c r="B4943" t="str">
        <f>"SAÍDA"</f>
        <v>SAÍDA</v>
      </c>
      <c r="C4943" t="str">
        <f>"PIX"</f>
        <v>PIX</v>
      </c>
      <c r="D4943" t="str">
        <f>"22960"</f>
        <v>22960</v>
      </c>
      <c r="E4943" t="str">
        <f>"1"</f>
        <v>1</v>
      </c>
      <c r="F4943" t="str">
        <f t="shared" ref="F4943:F5006" si="897">"COM"</f>
        <v>COM</v>
      </c>
      <c r="G4943" t="str">
        <f>"JUNIOR DOS SANTOS MACHADO (240)"</f>
        <v>JUNIOR DOS SANTOS MACHADO (240)</v>
      </c>
      <c r="H4943" t="str">
        <f>"Serv.Prest. 26/09/2025 a 05/10/2025 - PIX: CPF - CHAVE: 074.520.456-29"</f>
        <v>Serv.Prest. 26/09/2025 a 05/10/2025 - PIX: CPF - CHAVE: 074.520.456-29</v>
      </c>
      <c r="I4943" t="str">
        <f>("09/10/2025")</f>
        <v>09/10/2025</v>
      </c>
      <c r="J4943" t="str">
        <f>("07/10/2025")</f>
        <v>07/10/2025</v>
      </c>
      <c r="K4943" t="str">
        <f>("08/10/2025")</f>
        <v>08/10/2025</v>
      </c>
      <c r="L4943">
        <v>20</v>
      </c>
      <c r="M4943">
        <v>20</v>
      </c>
      <c r="N4943">
        <v>109</v>
      </c>
      <c r="O4943" t="str">
        <f>"PAGAMENTO DE ENTREGADORES"</f>
        <v>PAGAMENTO DE ENTREGADORES</v>
      </c>
      <c r="P4943">
        <v>20</v>
      </c>
      <c r="S4943" t="str">
        <f>"CAIXA MOVIMENTAÇÃO OPERACIONAL (132)"</f>
        <v>CAIXA MOVIMENTAÇÃO OPERACIONAL (132)</v>
      </c>
      <c r="T4943">
        <v>19370</v>
      </c>
      <c r="U4943">
        <v>23381</v>
      </c>
      <c r="V4943" t="s">
        <v>48</v>
      </c>
    </row>
    <row r="4944" spans="1:22">
      <c r="A4944" t="str">
        <f t="shared" si="896"/>
        <v>08/10/2025</v>
      </c>
      <c r="B4944" t="str">
        <f>"SAÍDA"</f>
        <v>SAÍDA</v>
      </c>
      <c r="C4944" t="str">
        <f>"PIX"</f>
        <v>PIX</v>
      </c>
      <c r="D4944" t="str">
        <f>"22960"</f>
        <v>22960</v>
      </c>
      <c r="E4944" t="str">
        <f>"1"</f>
        <v>1</v>
      </c>
      <c r="F4944" t="str">
        <f t="shared" si="897"/>
        <v>COM</v>
      </c>
      <c r="G4944" t="str">
        <f>"JUNIOR DOS SANTOS MACHADO (240)"</f>
        <v>JUNIOR DOS SANTOS MACHADO (240)</v>
      </c>
      <c r="H4944" t="s">
        <v>1431</v>
      </c>
      <c r="I4944" t="str">
        <f>("09/10/2025")</f>
        <v>09/10/2025</v>
      </c>
      <c r="J4944" t="str">
        <f>("07/10/2025")</f>
        <v>07/10/2025</v>
      </c>
      <c r="K4944">
        <v>45938</v>
      </c>
      <c r="N4944">
        <v>109</v>
      </c>
      <c r="O4944" t="s">
        <v>24</v>
      </c>
      <c r="Q4944">
        <v>20</v>
      </c>
      <c r="R4944" t="str">
        <f>"FARMÁCIA INDIANA LJ 62 (10028)"</f>
        <v>FARMÁCIA INDIANA LJ 62 (10028)</v>
      </c>
      <c r="S4944" t="s">
        <v>48</v>
      </c>
      <c r="T4944">
        <v>19370</v>
      </c>
      <c r="U4944">
        <v>23381</v>
      </c>
      <c r="V4944" t="s">
        <v>48</v>
      </c>
    </row>
    <row r="4945" spans="1:22">
      <c r="A4945" t="str">
        <f t="shared" si="896"/>
        <v>08/10/2025</v>
      </c>
      <c r="B4945" t="str">
        <f>"ENTRADA"</f>
        <v>ENTRADA</v>
      </c>
      <c r="C4945" t="str">
        <f>"DINHEIRO"</f>
        <v>DINHEIRO</v>
      </c>
      <c r="D4945" t="str">
        <f>"07"</f>
        <v>07</v>
      </c>
      <c r="E4945" t="str">
        <f>"34"</f>
        <v>34</v>
      </c>
      <c r="F4945" t="str">
        <f t="shared" si="897"/>
        <v>COM</v>
      </c>
      <c r="G4945" t="str">
        <f>"JUNIOR DOS SANTOS MACHADO (240)"</f>
        <v>JUNIOR DOS SANTOS MACHADO (240)</v>
      </c>
      <c r="H4945" t="str">
        <f>"DESCONTO COTA COOPERADO"</f>
        <v>DESCONTO COTA COOPERADO</v>
      </c>
      <c r="I4945" t="str">
        <f>("16/10/2025")</f>
        <v>16/10/2025</v>
      </c>
      <c r="J4945" t="str">
        <f>("16/01/2025")</f>
        <v>16/01/2025</v>
      </c>
      <c r="K4945" t="str">
        <f>("08/10/2025")</f>
        <v>08/10/2025</v>
      </c>
      <c r="L4945">
        <v>20</v>
      </c>
      <c r="M4945">
        <v>20</v>
      </c>
      <c r="N4945">
        <v>106</v>
      </c>
      <c r="O4945" t="str">
        <f>"ENTRADA DE CAPITAL"</f>
        <v>ENTRADA DE CAPITAL</v>
      </c>
      <c r="P4945">
        <v>20</v>
      </c>
      <c r="S4945" t="str">
        <f>"ENTRADA DE CAPITAL (106)"</f>
        <v>ENTRADA DE CAPITAL (106)</v>
      </c>
      <c r="T4945">
        <v>19371</v>
      </c>
      <c r="U4945">
        <v>6840</v>
      </c>
      <c r="V4945" t="s">
        <v>48</v>
      </c>
    </row>
    <row r="4946" spans="1:22">
      <c r="A4946" t="str">
        <f t="shared" si="896"/>
        <v>08/10/2025</v>
      </c>
      <c r="B4946" t="str">
        <f>"ENTRADA"</f>
        <v>ENTRADA</v>
      </c>
      <c r="C4946" t="str">
        <f>"DINHEIRO"</f>
        <v>DINHEIRO</v>
      </c>
      <c r="D4946" t="str">
        <f>"07"</f>
        <v>07</v>
      </c>
      <c r="E4946" t="str">
        <f>"34"</f>
        <v>34</v>
      </c>
      <c r="F4946" t="str">
        <f t="shared" si="897"/>
        <v>COM</v>
      </c>
      <c r="G4946" t="str">
        <f>"JUNIOR DOS SANTOS MACHADO (240)"</f>
        <v>JUNIOR DOS SANTOS MACHADO (240)</v>
      </c>
      <c r="H4946" t="s">
        <v>309</v>
      </c>
      <c r="I4946" t="str">
        <f>("16/10/2025")</f>
        <v>16/10/2025</v>
      </c>
      <c r="J4946" t="str">
        <f>("16/01/2025")</f>
        <v>16/01/2025</v>
      </c>
      <c r="K4946">
        <v>45938</v>
      </c>
      <c r="N4946">
        <v>106</v>
      </c>
      <c r="O4946" t="s">
        <v>51</v>
      </c>
      <c r="Q4946">
        <v>20</v>
      </c>
      <c r="R4946" t="str">
        <f>"JUNIOR DOS SANTOS MACHADO (240)"</f>
        <v>JUNIOR DOS SANTOS MACHADO (240)</v>
      </c>
      <c r="S4946" t="s">
        <v>52</v>
      </c>
      <c r="T4946">
        <v>19371</v>
      </c>
      <c r="U4946">
        <v>6840</v>
      </c>
      <c r="V4946" t="s">
        <v>48</v>
      </c>
    </row>
    <row r="4947" spans="1:22">
      <c r="A4947" t="str">
        <f t="shared" si="896"/>
        <v>08/10/2025</v>
      </c>
      <c r="B4947" t="str">
        <f>"ENTRADA"</f>
        <v>ENTRADA</v>
      </c>
      <c r="C4947" t="str">
        <f>"DINHEIRO"</f>
        <v>DINHEIRO</v>
      </c>
      <c r="D4947" t="str">
        <f>"735"</f>
        <v>735</v>
      </c>
      <c r="E4947" t="str">
        <f>"6"</f>
        <v>6</v>
      </c>
      <c r="F4947" t="str">
        <f t="shared" si="897"/>
        <v>COM</v>
      </c>
      <c r="G4947" t="str">
        <f>"KELVIN NUBIO DE SOUZA TOLEDO (735)"</f>
        <v>KELVIN NUBIO DE SOUZA TOLEDO (735)</v>
      </c>
      <c r="H4947" t="str">
        <f>"COTA COOPERATIVA"</f>
        <v>COTA COOPERATIVA</v>
      </c>
      <c r="I4947" t="str">
        <f>("08/10/2025")</f>
        <v>08/10/2025</v>
      </c>
      <c r="J4947" t="str">
        <f>("01/04/2025")</f>
        <v>01/04/2025</v>
      </c>
      <c r="K4947" t="str">
        <f>("08/10/2025")</f>
        <v>08/10/2025</v>
      </c>
      <c r="L4947">
        <v>20</v>
      </c>
      <c r="M4947">
        <v>20</v>
      </c>
      <c r="N4947">
        <v>106</v>
      </c>
      <c r="O4947" t="str">
        <f>"ENTRADA DE CAPITAL"</f>
        <v>ENTRADA DE CAPITAL</v>
      </c>
      <c r="P4947">
        <v>20</v>
      </c>
      <c r="S4947" t="str">
        <f>"ENTRADA DE CAPITAL (106)"</f>
        <v>ENTRADA DE CAPITAL (106)</v>
      </c>
      <c r="T4947">
        <v>19372</v>
      </c>
      <c r="U4947">
        <v>14130</v>
      </c>
      <c r="V4947" t="s">
        <v>48</v>
      </c>
    </row>
    <row r="4948" spans="1:22">
      <c r="A4948" t="str">
        <f t="shared" si="896"/>
        <v>08/10/2025</v>
      </c>
      <c r="B4948" t="str">
        <f>"ENTRADA"</f>
        <v>ENTRADA</v>
      </c>
      <c r="C4948" t="str">
        <f>"DINHEIRO"</f>
        <v>DINHEIRO</v>
      </c>
      <c r="D4948" t="str">
        <f>"735"</f>
        <v>735</v>
      </c>
      <c r="E4948" t="str">
        <f>"6"</f>
        <v>6</v>
      </c>
      <c r="F4948" t="str">
        <f t="shared" si="897"/>
        <v>COM</v>
      </c>
      <c r="G4948" t="str">
        <f>"KELVIN NUBIO DE SOUZA TOLEDO (735)"</f>
        <v>KELVIN NUBIO DE SOUZA TOLEDO (735)</v>
      </c>
      <c r="H4948" t="s">
        <v>50</v>
      </c>
      <c r="I4948" t="str">
        <f>("08/10/2025")</f>
        <v>08/10/2025</v>
      </c>
      <c r="J4948" t="str">
        <f>("01/04/2025")</f>
        <v>01/04/2025</v>
      </c>
      <c r="K4948">
        <v>45938</v>
      </c>
      <c r="N4948">
        <v>106</v>
      </c>
      <c r="O4948" t="s">
        <v>51</v>
      </c>
      <c r="Q4948">
        <v>20</v>
      </c>
      <c r="R4948" t="str">
        <f>"KELVIN NUBIO DE SOUZA TOLEDO (735)"</f>
        <v>KELVIN NUBIO DE SOUZA TOLEDO (735)</v>
      </c>
      <c r="S4948" t="s">
        <v>52</v>
      </c>
      <c r="T4948">
        <v>19372</v>
      </c>
      <c r="U4948">
        <v>14130</v>
      </c>
      <c r="V4948" t="s">
        <v>48</v>
      </c>
    </row>
    <row r="4949" spans="1:22">
      <c r="A4949" t="str">
        <f t="shared" si="896"/>
        <v>08/10/2025</v>
      </c>
      <c r="B4949" t="str">
        <f>"SAÍDA"</f>
        <v>SAÍDA</v>
      </c>
      <c r="C4949" t="str">
        <f>"PIX"</f>
        <v>PIX</v>
      </c>
      <c r="D4949" t="str">
        <f>"22597"</f>
        <v>22597</v>
      </c>
      <c r="E4949" t="str">
        <f>"1"</f>
        <v>1</v>
      </c>
      <c r="F4949" t="str">
        <f t="shared" si="897"/>
        <v>COM</v>
      </c>
      <c r="G4949" t="str">
        <f>"KELVIN NUBIO DE SOUZA TOLEDO (735)"</f>
        <v>KELVIN NUBIO DE SOUZA TOLEDO (735)</v>
      </c>
      <c r="H4949" t="str">
        <f>"Serv.Prest. 22/09/2025 a 25/09/2025 - PIX: CHAVE ALEATÓRIA - CHAVE: c489bee1-360b-4fa9-86c4-fbb0e9844cb8"</f>
        <v>Serv.Prest. 22/09/2025 a 25/09/2025 - PIX: CHAVE ALEATÓRIA - CHAVE: c489bee1-360b-4fa9-86c4-fbb0e9844cb8</v>
      </c>
      <c r="I4949" t="str">
        <f>("09/10/2025")</f>
        <v>09/10/2025</v>
      </c>
      <c r="J4949" t="str">
        <f>("26/09/2025")</f>
        <v>26/09/2025</v>
      </c>
      <c r="K4949" t="str">
        <f>("08/10/2025")</f>
        <v>08/10/2025</v>
      </c>
      <c r="L4949">
        <v>20</v>
      </c>
      <c r="M4949">
        <v>20</v>
      </c>
      <c r="N4949">
        <v>109</v>
      </c>
      <c r="O4949" t="str">
        <f>"PAGAMENTO DE ENTREGADORES"</f>
        <v>PAGAMENTO DE ENTREGADORES</v>
      </c>
      <c r="P4949">
        <v>20</v>
      </c>
      <c r="S4949" t="str">
        <f>"CAIXA MOVIMENTAÇÃO OPERACIONAL (132)"</f>
        <v>CAIXA MOVIMENTAÇÃO OPERACIONAL (132)</v>
      </c>
      <c r="T4949">
        <v>19373</v>
      </c>
      <c r="U4949">
        <v>23382</v>
      </c>
      <c r="V4949" t="s">
        <v>48</v>
      </c>
    </row>
    <row r="4950" spans="1:22">
      <c r="A4950" t="str">
        <f t="shared" si="896"/>
        <v>08/10/2025</v>
      </c>
      <c r="B4950" t="str">
        <f>"SAÍDA"</f>
        <v>SAÍDA</v>
      </c>
      <c r="C4950" t="str">
        <f>"PIX"</f>
        <v>PIX</v>
      </c>
      <c r="D4950" t="str">
        <f>"22597"</f>
        <v>22597</v>
      </c>
      <c r="E4950" t="str">
        <f>"1"</f>
        <v>1</v>
      </c>
      <c r="F4950" t="str">
        <f t="shared" si="897"/>
        <v>COM</v>
      </c>
      <c r="G4950" t="str">
        <f>"KELVIN NUBIO DE SOUZA TOLEDO (735)"</f>
        <v>KELVIN NUBIO DE SOUZA TOLEDO (735)</v>
      </c>
      <c r="H4950" t="s">
        <v>1432</v>
      </c>
      <c r="I4950" t="str">
        <f>("09/10/2025")</f>
        <v>09/10/2025</v>
      </c>
      <c r="J4950" t="str">
        <f>("26/09/2025")</f>
        <v>26/09/2025</v>
      </c>
      <c r="K4950">
        <v>45938</v>
      </c>
      <c r="N4950">
        <v>109</v>
      </c>
      <c r="O4950" t="s">
        <v>24</v>
      </c>
      <c r="Q4950">
        <v>20</v>
      </c>
      <c r="R4950" t="str">
        <f>"FARMÁCIA INDIANA LJ 152 (10069)"</f>
        <v>FARMÁCIA INDIANA LJ 152 (10069)</v>
      </c>
      <c r="S4950" t="s">
        <v>48</v>
      </c>
      <c r="T4950">
        <v>19373</v>
      </c>
      <c r="U4950">
        <v>23382</v>
      </c>
      <c r="V4950" t="s">
        <v>48</v>
      </c>
    </row>
    <row r="4951" spans="1:22">
      <c r="A4951" t="str">
        <f t="shared" si="896"/>
        <v>08/10/2025</v>
      </c>
      <c r="B4951" t="str">
        <f>"SAÍDA"</f>
        <v>SAÍDA</v>
      </c>
      <c r="C4951" t="str">
        <f>"PIX"</f>
        <v>PIX</v>
      </c>
      <c r="D4951" t="str">
        <f>"22538"</f>
        <v>22538</v>
      </c>
      <c r="E4951" t="str">
        <f>"1"</f>
        <v>1</v>
      </c>
      <c r="F4951" t="str">
        <f t="shared" si="897"/>
        <v>COM</v>
      </c>
      <c r="G4951" t="str">
        <f>"KHENNEDY DAVY DOS SANTOS SILVA (692)"</f>
        <v>KHENNEDY DAVY DOS SANTOS SILVA (692)</v>
      </c>
      <c r="H4951" t="str">
        <f>"Serv.Prest. 22/09/2025 a 25/09/2025 - PIX: CPF - CHAVE: 094.700.685-05"</f>
        <v>Serv.Prest. 22/09/2025 a 25/09/2025 - PIX: CPF - CHAVE: 094.700.685-05</v>
      </c>
      <c r="I4951" t="str">
        <f>("09/10/2025")</f>
        <v>09/10/2025</v>
      </c>
      <c r="J4951" t="str">
        <f>("26/09/2025")</f>
        <v>26/09/2025</v>
      </c>
      <c r="K4951" t="str">
        <f>("08/10/2025")</f>
        <v>08/10/2025</v>
      </c>
      <c r="L4951">
        <v>20</v>
      </c>
      <c r="M4951">
        <v>20</v>
      </c>
      <c r="N4951">
        <v>109</v>
      </c>
      <c r="O4951" t="str">
        <f>"PAGAMENTO DE ENTREGADORES"</f>
        <v>PAGAMENTO DE ENTREGADORES</v>
      </c>
      <c r="P4951">
        <v>20</v>
      </c>
      <c r="S4951" t="str">
        <f>"CAIXA MOVIMENTAÇÃO OPERACIONAL (132)"</f>
        <v>CAIXA MOVIMENTAÇÃO OPERACIONAL (132)</v>
      </c>
      <c r="T4951">
        <v>19374</v>
      </c>
      <c r="U4951">
        <v>23383</v>
      </c>
      <c r="V4951" t="s">
        <v>48</v>
      </c>
    </row>
    <row r="4952" spans="1:22">
      <c r="A4952" t="str">
        <f t="shared" si="896"/>
        <v>08/10/2025</v>
      </c>
      <c r="B4952" t="str">
        <f>"SAÍDA"</f>
        <v>SAÍDA</v>
      </c>
      <c r="C4952" t="str">
        <f>"PIX"</f>
        <v>PIX</v>
      </c>
      <c r="D4952" t="str">
        <f>"22538"</f>
        <v>22538</v>
      </c>
      <c r="E4952" t="str">
        <f>"1"</f>
        <v>1</v>
      </c>
      <c r="F4952" t="str">
        <f t="shared" si="897"/>
        <v>COM</v>
      </c>
      <c r="G4952" t="str">
        <f>"KHENNEDY DAVY DOS SANTOS SILVA (692)"</f>
        <v>KHENNEDY DAVY DOS SANTOS SILVA (692)</v>
      </c>
      <c r="H4952" t="s">
        <v>1433</v>
      </c>
      <c r="I4952" t="str">
        <f>("09/10/2025")</f>
        <v>09/10/2025</v>
      </c>
      <c r="J4952" t="str">
        <f>("26/09/2025")</f>
        <v>26/09/2025</v>
      </c>
      <c r="K4952">
        <v>45938</v>
      </c>
      <c r="N4952">
        <v>109</v>
      </c>
      <c r="O4952" t="s">
        <v>24</v>
      </c>
      <c r="Q4952">
        <v>20</v>
      </c>
      <c r="R4952" t="str">
        <f>"FARMÁCIA INDIANA LJ 65 (10030)"</f>
        <v>FARMÁCIA INDIANA LJ 65 (10030)</v>
      </c>
      <c r="S4952" t="s">
        <v>48</v>
      </c>
      <c r="T4952">
        <v>19374</v>
      </c>
      <c r="U4952">
        <v>23383</v>
      </c>
      <c r="V4952" t="s">
        <v>48</v>
      </c>
    </row>
    <row r="4953" spans="1:22">
      <c r="A4953" t="str">
        <f t="shared" si="896"/>
        <v>08/10/2025</v>
      </c>
      <c r="B4953" t="str">
        <f>"ENTRADA"</f>
        <v>ENTRADA</v>
      </c>
      <c r="C4953" t="str">
        <f>"DINHEIRO"</f>
        <v>DINHEIRO</v>
      </c>
      <c r="D4953" t="str">
        <f>"692"</f>
        <v>692</v>
      </c>
      <c r="E4953" t="str">
        <f>"7"</f>
        <v>7</v>
      </c>
      <c r="F4953" t="str">
        <f t="shared" si="897"/>
        <v>COM</v>
      </c>
      <c r="G4953" t="str">
        <f>"KHENNEDY DAVY DOS SANTOS SILVA (692)"</f>
        <v>KHENNEDY DAVY DOS SANTOS SILVA (692)</v>
      </c>
      <c r="H4953" t="str">
        <f>"COTAS COOPERATIVA"</f>
        <v>COTAS COOPERATIVA</v>
      </c>
      <c r="I4953" t="str">
        <f>("10/10/2025")</f>
        <v>10/10/2025</v>
      </c>
      <c r="J4953" t="str">
        <f>("03/03/2025")</f>
        <v>03/03/2025</v>
      </c>
      <c r="K4953" t="str">
        <f>("08/10/2025")</f>
        <v>08/10/2025</v>
      </c>
      <c r="L4953">
        <v>20</v>
      </c>
      <c r="M4953">
        <v>20</v>
      </c>
      <c r="N4953">
        <v>106</v>
      </c>
      <c r="O4953" t="str">
        <f>"ENTRADA DE CAPITAL"</f>
        <v>ENTRADA DE CAPITAL</v>
      </c>
      <c r="P4953">
        <v>20</v>
      </c>
      <c r="S4953" t="str">
        <f>"ENTRADA DE CAPITAL (106)"</f>
        <v>ENTRADA DE CAPITAL (106)</v>
      </c>
      <c r="T4953">
        <v>19375</v>
      </c>
      <c r="U4953">
        <v>11837</v>
      </c>
      <c r="V4953" t="s">
        <v>48</v>
      </c>
    </row>
    <row r="4954" spans="1:22">
      <c r="A4954" t="str">
        <f t="shared" si="896"/>
        <v>08/10/2025</v>
      </c>
      <c r="B4954" t="str">
        <f>"ENTRADA"</f>
        <v>ENTRADA</v>
      </c>
      <c r="C4954" t="str">
        <f>"DINHEIRO"</f>
        <v>DINHEIRO</v>
      </c>
      <c r="D4954" t="str">
        <f>"692"</f>
        <v>692</v>
      </c>
      <c r="E4954" t="str">
        <f>"7"</f>
        <v>7</v>
      </c>
      <c r="F4954" t="str">
        <f t="shared" si="897"/>
        <v>COM</v>
      </c>
      <c r="G4954" t="str">
        <f>"KHENNEDY DAVY DOS SANTOS SILVA (692)"</f>
        <v>KHENNEDY DAVY DOS SANTOS SILVA (692)</v>
      </c>
      <c r="H4954" t="s">
        <v>318</v>
      </c>
      <c r="I4954" t="str">
        <f>("10/10/2025")</f>
        <v>10/10/2025</v>
      </c>
      <c r="J4954" t="str">
        <f>("03/03/2025")</f>
        <v>03/03/2025</v>
      </c>
      <c r="K4954">
        <v>45938</v>
      </c>
      <c r="N4954">
        <v>106</v>
      </c>
      <c r="O4954" t="s">
        <v>51</v>
      </c>
      <c r="Q4954">
        <v>20</v>
      </c>
      <c r="R4954" t="str">
        <f>"KHENNEDY DAVY DOS SANTOS SILVA (692)"</f>
        <v>KHENNEDY DAVY DOS SANTOS SILVA (692)</v>
      </c>
      <c r="S4954" t="s">
        <v>52</v>
      </c>
      <c r="T4954">
        <v>19375</v>
      </c>
      <c r="U4954">
        <v>11837</v>
      </c>
      <c r="V4954" t="s">
        <v>48</v>
      </c>
    </row>
    <row r="4955" spans="1:22">
      <c r="A4955" t="str">
        <f t="shared" si="896"/>
        <v>08/10/2025</v>
      </c>
      <c r="B4955" t="str">
        <f>"SAÍDA"</f>
        <v>SAÍDA</v>
      </c>
      <c r="C4955" t="str">
        <f>"PIX"</f>
        <v>PIX</v>
      </c>
      <c r="D4955" t="str">
        <f>"22539"</f>
        <v>22539</v>
      </c>
      <c r="E4955" t="str">
        <f>"1"</f>
        <v>1</v>
      </c>
      <c r="F4955" t="str">
        <f t="shared" si="897"/>
        <v>COM</v>
      </c>
      <c r="G4955" t="str">
        <f>"LEONARDO MERCÊS CAJAZEIRAS (235)"</f>
        <v>LEONARDO MERCÊS CAJAZEIRAS (235)</v>
      </c>
      <c r="H4955" t="str">
        <f>"Serv.Prest. 22/09/2025 a 25/09/2025 - PIX: CELULAR - CHAVE: (73) 99803-0715"</f>
        <v>Serv.Prest. 22/09/2025 a 25/09/2025 - PIX: CELULAR - CHAVE: (73) 99803-0715</v>
      </c>
      <c r="I4955" t="str">
        <f>("09/10/2025")</f>
        <v>09/10/2025</v>
      </c>
      <c r="J4955" t="str">
        <f>("26/09/2025")</f>
        <v>26/09/2025</v>
      </c>
      <c r="K4955" t="str">
        <f>("08/10/2025")</f>
        <v>08/10/2025</v>
      </c>
      <c r="L4955">
        <v>20</v>
      </c>
      <c r="M4955">
        <v>20</v>
      </c>
      <c r="N4955">
        <v>109</v>
      </c>
      <c r="O4955" t="str">
        <f>"PAGAMENTO DE ENTREGADORES"</f>
        <v>PAGAMENTO DE ENTREGADORES</v>
      </c>
      <c r="P4955">
        <v>20</v>
      </c>
      <c r="S4955" t="str">
        <f>"CAIXA MOVIMENTAÇÃO OPERACIONAL (132)"</f>
        <v>CAIXA MOVIMENTAÇÃO OPERACIONAL (132)</v>
      </c>
      <c r="T4955">
        <v>19376</v>
      </c>
      <c r="U4955">
        <v>23384</v>
      </c>
      <c r="V4955" t="s">
        <v>48</v>
      </c>
    </row>
    <row r="4956" spans="1:22">
      <c r="A4956" t="str">
        <f t="shared" si="896"/>
        <v>08/10/2025</v>
      </c>
      <c r="B4956" t="str">
        <f>"SAÍDA"</f>
        <v>SAÍDA</v>
      </c>
      <c r="C4956" t="str">
        <f>"PIX"</f>
        <v>PIX</v>
      </c>
      <c r="D4956" t="str">
        <f>"22539"</f>
        <v>22539</v>
      </c>
      <c r="E4956" t="str">
        <f>"1"</f>
        <v>1</v>
      </c>
      <c r="F4956" t="str">
        <f t="shared" si="897"/>
        <v>COM</v>
      </c>
      <c r="G4956" t="str">
        <f>"LEONARDO MERCÊS CAJAZEIRAS (235)"</f>
        <v>LEONARDO MERCÊS CAJAZEIRAS (235)</v>
      </c>
      <c r="H4956" t="s">
        <v>1434</v>
      </c>
      <c r="I4956" t="str">
        <f>("09/10/2025")</f>
        <v>09/10/2025</v>
      </c>
      <c r="J4956" t="str">
        <f>("26/09/2025")</f>
        <v>26/09/2025</v>
      </c>
      <c r="K4956">
        <v>45938</v>
      </c>
      <c r="N4956">
        <v>109</v>
      </c>
      <c r="O4956" t="s">
        <v>24</v>
      </c>
      <c r="Q4956">
        <v>20</v>
      </c>
      <c r="R4956" t="str">
        <f>"FARMÁCIA INDIANA LJ 35 (10015)"</f>
        <v>FARMÁCIA INDIANA LJ 35 (10015)</v>
      </c>
      <c r="S4956" t="s">
        <v>48</v>
      </c>
      <c r="T4956">
        <v>19376</v>
      </c>
      <c r="U4956">
        <v>23384</v>
      </c>
      <c r="V4956" t="s">
        <v>48</v>
      </c>
    </row>
    <row r="4957" spans="1:22">
      <c r="A4957" t="str">
        <f t="shared" si="896"/>
        <v>08/10/2025</v>
      </c>
      <c r="B4957" t="str">
        <f>"ENTRADA"</f>
        <v>ENTRADA</v>
      </c>
      <c r="C4957" t="str">
        <f>"DINHEIRO"</f>
        <v>DINHEIRO</v>
      </c>
      <c r="D4957" t="str">
        <f>"08"</f>
        <v>08</v>
      </c>
      <c r="E4957" t="str">
        <f>"34"</f>
        <v>34</v>
      </c>
      <c r="F4957" t="str">
        <f t="shared" si="897"/>
        <v>COM</v>
      </c>
      <c r="G4957" t="str">
        <f>"LEONARDO MERCÊS CAJAZEIRAS (235)"</f>
        <v>LEONARDO MERCÊS CAJAZEIRAS (235)</v>
      </c>
      <c r="H4957" t="str">
        <f>"DESCONTO COTA COOPERADO"</f>
        <v>DESCONTO COTA COOPERADO</v>
      </c>
      <c r="I4957" t="str">
        <f>("16/10/2025")</f>
        <v>16/10/2025</v>
      </c>
      <c r="J4957" t="str">
        <f>("16/01/2025")</f>
        <v>16/01/2025</v>
      </c>
      <c r="K4957" t="str">
        <f>("08/10/2025")</f>
        <v>08/10/2025</v>
      </c>
      <c r="L4957">
        <v>20</v>
      </c>
      <c r="M4957">
        <v>20</v>
      </c>
      <c r="N4957">
        <v>106</v>
      </c>
      <c r="O4957" t="str">
        <f>"ENTRADA DE CAPITAL"</f>
        <v>ENTRADA DE CAPITAL</v>
      </c>
      <c r="P4957">
        <v>20</v>
      </c>
      <c r="S4957" t="str">
        <f>"ENTRADA DE CAPITAL (106)"</f>
        <v>ENTRADA DE CAPITAL (106)</v>
      </c>
      <c r="T4957">
        <v>19377</v>
      </c>
      <c r="U4957">
        <v>6938</v>
      </c>
      <c r="V4957" t="s">
        <v>48</v>
      </c>
    </row>
    <row r="4958" spans="1:22">
      <c r="A4958" t="str">
        <f t="shared" si="896"/>
        <v>08/10/2025</v>
      </c>
      <c r="B4958" t="str">
        <f>"ENTRADA"</f>
        <v>ENTRADA</v>
      </c>
      <c r="C4958" t="str">
        <f>"DINHEIRO"</f>
        <v>DINHEIRO</v>
      </c>
      <c r="D4958" t="str">
        <f>"08"</f>
        <v>08</v>
      </c>
      <c r="E4958" t="str">
        <f>"34"</f>
        <v>34</v>
      </c>
      <c r="F4958" t="str">
        <f t="shared" si="897"/>
        <v>COM</v>
      </c>
      <c r="G4958" t="str">
        <f>"LEONARDO MERCÊS CAJAZEIRAS (235)"</f>
        <v>LEONARDO MERCÊS CAJAZEIRAS (235)</v>
      </c>
      <c r="H4958" t="s">
        <v>309</v>
      </c>
      <c r="I4958" t="str">
        <f>("16/10/2025")</f>
        <v>16/10/2025</v>
      </c>
      <c r="J4958" t="str">
        <f>("16/01/2025")</f>
        <v>16/01/2025</v>
      </c>
      <c r="K4958">
        <v>45938</v>
      </c>
      <c r="N4958">
        <v>106</v>
      </c>
      <c r="O4958" t="s">
        <v>51</v>
      </c>
      <c r="Q4958">
        <v>20</v>
      </c>
      <c r="R4958" t="str">
        <f>"LEONARDO MERCÊS CAJAZEIRAS (235)"</f>
        <v>LEONARDO MERCÊS CAJAZEIRAS (235)</v>
      </c>
      <c r="S4958" t="s">
        <v>52</v>
      </c>
      <c r="T4958">
        <v>19377</v>
      </c>
      <c r="U4958">
        <v>6938</v>
      </c>
      <c r="V4958" t="s">
        <v>48</v>
      </c>
    </row>
    <row r="4959" spans="1:22">
      <c r="A4959" t="str">
        <f t="shared" si="896"/>
        <v>08/10/2025</v>
      </c>
      <c r="B4959" t="str">
        <f>"SAÍDA"</f>
        <v>SAÍDA</v>
      </c>
      <c r="C4959" t="str">
        <f>"PIX"</f>
        <v>PIX</v>
      </c>
      <c r="D4959" t="str">
        <f>"22599"</f>
        <v>22599</v>
      </c>
      <c r="E4959" t="str">
        <f>"1"</f>
        <v>1</v>
      </c>
      <c r="F4959" t="str">
        <f t="shared" si="897"/>
        <v>COM</v>
      </c>
      <c r="G4959" t="str">
        <f>"LEONARDO VIANA FIGUEIREDO (913)"</f>
        <v>LEONARDO VIANA FIGUEIREDO (913)</v>
      </c>
      <c r="H4959" t="str">
        <f>"Serv.Prest. 22/09/2025 a 25/09/2025 - PIX: CELULAR - CHAVE: (33) 98463-0821"</f>
        <v>Serv.Prest. 22/09/2025 a 25/09/2025 - PIX: CELULAR - CHAVE: (33) 98463-0821</v>
      </c>
      <c r="I4959" t="str">
        <f>("09/10/2025")</f>
        <v>09/10/2025</v>
      </c>
      <c r="J4959" t="str">
        <f>("26/09/2025")</f>
        <v>26/09/2025</v>
      </c>
      <c r="K4959" t="str">
        <f>("08/10/2025")</f>
        <v>08/10/2025</v>
      </c>
      <c r="L4959">
        <v>20</v>
      </c>
      <c r="M4959">
        <v>20</v>
      </c>
      <c r="N4959">
        <v>109</v>
      </c>
      <c r="O4959" t="str">
        <f>"PAGAMENTO DE ENTREGADORES"</f>
        <v>PAGAMENTO DE ENTREGADORES</v>
      </c>
      <c r="P4959">
        <v>20</v>
      </c>
      <c r="S4959" t="str">
        <f>"CAIXA MOVIMENTAÇÃO OPERACIONAL (132)"</f>
        <v>CAIXA MOVIMENTAÇÃO OPERACIONAL (132)</v>
      </c>
      <c r="T4959">
        <v>19378</v>
      </c>
      <c r="U4959">
        <v>23410</v>
      </c>
      <c r="V4959" t="s">
        <v>48</v>
      </c>
    </row>
    <row r="4960" spans="1:22">
      <c r="A4960" t="str">
        <f t="shared" si="896"/>
        <v>08/10/2025</v>
      </c>
      <c r="B4960" t="str">
        <f>"SAÍDA"</f>
        <v>SAÍDA</v>
      </c>
      <c r="C4960" t="str">
        <f>"PIX"</f>
        <v>PIX</v>
      </c>
      <c r="D4960" t="str">
        <f>"22599"</f>
        <v>22599</v>
      </c>
      <c r="E4960" t="str">
        <f>"1"</f>
        <v>1</v>
      </c>
      <c r="F4960" t="str">
        <f t="shared" si="897"/>
        <v>COM</v>
      </c>
      <c r="G4960" t="str">
        <f>"LEONARDO VIANA FIGUEIREDO (913)"</f>
        <v>LEONARDO VIANA FIGUEIREDO (913)</v>
      </c>
      <c r="H4960" t="s">
        <v>1435</v>
      </c>
      <c r="I4960" t="str">
        <f>("09/10/2025")</f>
        <v>09/10/2025</v>
      </c>
      <c r="J4960" t="str">
        <f>("26/09/2025")</f>
        <v>26/09/2025</v>
      </c>
      <c r="K4960">
        <v>45938</v>
      </c>
      <c r="N4960">
        <v>109</v>
      </c>
      <c r="O4960" t="s">
        <v>24</v>
      </c>
      <c r="Q4960">
        <v>20</v>
      </c>
      <c r="R4960" t="str">
        <f>"FARMÁCIA INDIANA LJ 06 (10006)"</f>
        <v>FARMÁCIA INDIANA LJ 06 (10006)</v>
      </c>
      <c r="S4960" t="s">
        <v>48</v>
      </c>
      <c r="T4960">
        <v>19378</v>
      </c>
      <c r="U4960">
        <v>23410</v>
      </c>
      <c r="V4960" t="s">
        <v>48</v>
      </c>
    </row>
    <row r="4961" spans="1:22">
      <c r="A4961" t="str">
        <f t="shared" si="896"/>
        <v>08/10/2025</v>
      </c>
      <c r="B4961" t="str">
        <f t="shared" ref="B4961:B4992" si="898">"ENTRADA"</f>
        <v>ENTRADA</v>
      </c>
      <c r="C4961" t="str">
        <f>"DINHEIRO"</f>
        <v>DINHEIRO</v>
      </c>
      <c r="D4961" t="str">
        <f>"913"</f>
        <v>913</v>
      </c>
      <c r="E4961" t="str">
        <f>"01"</f>
        <v>01</v>
      </c>
      <c r="F4961" t="str">
        <f t="shared" si="897"/>
        <v>COM</v>
      </c>
      <c r="G4961" t="str">
        <f>"LEONARDO VIANA FIGUEIREDO (913)"</f>
        <v>LEONARDO VIANA FIGUEIREDO (913)</v>
      </c>
      <c r="H4961" t="str">
        <f>"COTA COOPERATIVA"</f>
        <v>COTA COOPERATIVA</v>
      </c>
      <c r="I4961" t="str">
        <f>("10/10/2025")</f>
        <v>10/10/2025</v>
      </c>
      <c r="J4961" t="str">
        <f>("12/09/2025")</f>
        <v>12/09/2025</v>
      </c>
      <c r="K4961" t="str">
        <f>("08/10/2025")</f>
        <v>08/10/2025</v>
      </c>
      <c r="L4961">
        <v>20</v>
      </c>
      <c r="M4961">
        <v>20</v>
      </c>
      <c r="N4961">
        <v>106</v>
      </c>
      <c r="O4961" t="str">
        <f>"ENTRADA DE CAPITAL"</f>
        <v>ENTRADA DE CAPITAL</v>
      </c>
      <c r="P4961">
        <v>20</v>
      </c>
      <c r="S4961" t="str">
        <f>"ENTRADA DE CAPITAL (106)"</f>
        <v>ENTRADA DE CAPITAL (106)</v>
      </c>
      <c r="T4961">
        <v>19379</v>
      </c>
      <c r="U4961">
        <v>23385</v>
      </c>
      <c r="V4961" t="s">
        <v>48</v>
      </c>
    </row>
    <row r="4962" spans="1:22">
      <c r="A4962" t="str">
        <f t="shared" si="896"/>
        <v>08/10/2025</v>
      </c>
      <c r="B4962" t="str">
        <f t="shared" si="898"/>
        <v>ENTRADA</v>
      </c>
      <c r="C4962" t="str">
        <f>"DINHEIRO"</f>
        <v>DINHEIRO</v>
      </c>
      <c r="D4962" t="str">
        <f>"913"</f>
        <v>913</v>
      </c>
      <c r="E4962" t="str">
        <f>"01"</f>
        <v>01</v>
      </c>
      <c r="F4962" t="str">
        <f t="shared" si="897"/>
        <v>COM</v>
      </c>
      <c r="G4962" t="str">
        <f>"LEONARDO VIANA FIGUEIREDO (913)"</f>
        <v>LEONARDO VIANA FIGUEIREDO (913)</v>
      </c>
      <c r="H4962" t="s">
        <v>50</v>
      </c>
      <c r="I4962" t="str">
        <f>("10/10/2025")</f>
        <v>10/10/2025</v>
      </c>
      <c r="J4962" t="str">
        <f>("12/09/2025")</f>
        <v>12/09/2025</v>
      </c>
      <c r="K4962">
        <v>45938</v>
      </c>
      <c r="N4962">
        <v>106</v>
      </c>
      <c r="O4962" t="s">
        <v>51</v>
      </c>
      <c r="Q4962">
        <v>20</v>
      </c>
      <c r="R4962" t="str">
        <f>"LEONARDO VIANA FIGUEIREDO (913)"</f>
        <v>LEONARDO VIANA FIGUEIREDO (913)</v>
      </c>
      <c r="S4962" t="s">
        <v>52</v>
      </c>
      <c r="T4962">
        <v>19379</v>
      </c>
      <c r="U4962">
        <v>23385</v>
      </c>
      <c r="V4962" t="s">
        <v>48</v>
      </c>
    </row>
    <row r="4963" spans="1:22">
      <c r="A4963" t="str">
        <f t="shared" si="896"/>
        <v>08/10/2025</v>
      </c>
      <c r="B4963" t="str">
        <f t="shared" si="898"/>
        <v>ENTRADA</v>
      </c>
      <c r="C4963" t="str">
        <f t="shared" ref="C4963:C4994" si="899">"NFSE"</f>
        <v>NFSE</v>
      </c>
      <c r="D4963" t="str">
        <f t="shared" ref="D4963:D4975" si="900">"3409"</f>
        <v>3409</v>
      </c>
      <c r="E4963" t="str">
        <f t="shared" ref="E4963:E4994" si="901">"1"</f>
        <v>1</v>
      </c>
      <c r="F4963" t="str">
        <f t="shared" si="897"/>
        <v>COM</v>
      </c>
      <c r="G4963" t="str">
        <f t="shared" ref="G4963:G4975" si="902">"FARMÁCIA INDIANA LJ 30 (10127)"</f>
        <v>FARMÁCIA INDIANA LJ 30 (10127)</v>
      </c>
      <c r="H4963" t="str">
        <f>"Serv.Prest. 22/09/2025 a 25/09/2025 - RPS: 1285 - NFSe: 3409"</f>
        <v>Serv.Prest. 22/09/2025 a 25/09/2025 - RPS: 1285 - NFSe: 3409</v>
      </c>
      <c r="I4963" t="str">
        <f t="shared" ref="I4963:I4994" si="903">("08/10/2025")</f>
        <v>08/10/2025</v>
      </c>
      <c r="J4963" t="str">
        <f t="shared" ref="J4963:J4994" si="904">("26/09/2025")</f>
        <v>26/09/2025</v>
      </c>
      <c r="K4963" t="str">
        <f>("08/10/2025")</f>
        <v>08/10/2025</v>
      </c>
      <c r="L4963">
        <v>20347.89</v>
      </c>
      <c r="M4963">
        <v>20347.89</v>
      </c>
      <c r="N4963">
        <v>303</v>
      </c>
      <c r="O4963" t="str">
        <f>"RECEITAS COM ENTREGAS"</f>
        <v>RECEITAS COM ENTREGAS</v>
      </c>
      <c r="P4963">
        <v>20347.89</v>
      </c>
      <c r="S4963" t="str">
        <f>"RECEITAS COM ENTREGAS (303)"</f>
        <v>RECEITAS COM ENTREGAS (303)</v>
      </c>
      <c r="T4963">
        <v>19499</v>
      </c>
      <c r="U4963">
        <v>22522</v>
      </c>
      <c r="V4963" t="s">
        <v>77</v>
      </c>
    </row>
    <row r="4964" spans="1:22">
      <c r="A4964" t="str">
        <f t="shared" si="896"/>
        <v>08/10/2025</v>
      </c>
      <c r="B4964" t="str">
        <f t="shared" si="898"/>
        <v>ENTRADA</v>
      </c>
      <c r="C4964" t="str">
        <f t="shared" si="899"/>
        <v>NFSE</v>
      </c>
      <c r="D4964" t="str">
        <f t="shared" si="900"/>
        <v>3409</v>
      </c>
      <c r="E4964" t="str">
        <f t="shared" si="901"/>
        <v>1</v>
      </c>
      <c r="F4964" t="str">
        <f t="shared" si="897"/>
        <v>COM</v>
      </c>
      <c r="G4964" t="str">
        <f t="shared" si="902"/>
        <v>FARMÁCIA INDIANA LJ 30 (10127)</v>
      </c>
      <c r="H4964" t="s">
        <v>1436</v>
      </c>
      <c r="I4964" t="str">
        <f t="shared" si="903"/>
        <v>08/10/2025</v>
      </c>
      <c r="J4964" t="str">
        <f t="shared" si="904"/>
        <v>26/09/2025</v>
      </c>
      <c r="K4964">
        <v>45938</v>
      </c>
      <c r="N4964">
        <v>303</v>
      </c>
      <c r="O4964" t="s">
        <v>69</v>
      </c>
      <c r="Q4964">
        <v>1753.99</v>
      </c>
      <c r="R4964" t="str">
        <f>"FARMÁCIA INDIANA LJ 34 (10014)"</f>
        <v>FARMÁCIA INDIANA LJ 34 (10014)</v>
      </c>
      <c r="S4964" t="s">
        <v>70</v>
      </c>
      <c r="T4964">
        <v>19499</v>
      </c>
      <c r="U4964">
        <v>22522</v>
      </c>
      <c r="V4964" t="s">
        <v>77</v>
      </c>
    </row>
    <row r="4965" spans="1:22">
      <c r="A4965" t="str">
        <f t="shared" si="896"/>
        <v>08/10/2025</v>
      </c>
      <c r="B4965" t="str">
        <f t="shared" si="898"/>
        <v>ENTRADA</v>
      </c>
      <c r="C4965" t="str">
        <f t="shared" si="899"/>
        <v>NFSE</v>
      </c>
      <c r="D4965" t="str">
        <f t="shared" si="900"/>
        <v>3409</v>
      </c>
      <c r="E4965" t="str">
        <f t="shared" si="901"/>
        <v>1</v>
      </c>
      <c r="F4965" t="str">
        <f t="shared" si="897"/>
        <v>COM</v>
      </c>
      <c r="G4965" t="str">
        <f t="shared" si="902"/>
        <v>FARMÁCIA INDIANA LJ 30 (10127)</v>
      </c>
      <c r="H4965" t="s">
        <v>1436</v>
      </c>
      <c r="I4965" t="str">
        <f t="shared" si="903"/>
        <v>08/10/2025</v>
      </c>
      <c r="J4965" t="str">
        <f t="shared" si="904"/>
        <v>26/09/2025</v>
      </c>
      <c r="K4965">
        <v>45938</v>
      </c>
      <c r="N4965">
        <v>303</v>
      </c>
      <c r="O4965" t="s">
        <v>69</v>
      </c>
      <c r="Q4965">
        <v>1428.42</v>
      </c>
      <c r="R4965" t="str">
        <f>"FARMÁCIA INDIANA LJ 35 (10015)"</f>
        <v>FARMÁCIA INDIANA LJ 35 (10015)</v>
      </c>
      <c r="S4965" t="s">
        <v>70</v>
      </c>
      <c r="T4965">
        <v>19499</v>
      </c>
      <c r="U4965">
        <v>22522</v>
      </c>
      <c r="V4965" t="s">
        <v>77</v>
      </c>
    </row>
    <row r="4966" spans="1:22">
      <c r="A4966" t="str">
        <f t="shared" si="896"/>
        <v>08/10/2025</v>
      </c>
      <c r="B4966" t="str">
        <f t="shared" si="898"/>
        <v>ENTRADA</v>
      </c>
      <c r="C4966" t="str">
        <f t="shared" si="899"/>
        <v>NFSE</v>
      </c>
      <c r="D4966" t="str">
        <f t="shared" si="900"/>
        <v>3409</v>
      </c>
      <c r="E4966" t="str">
        <f t="shared" si="901"/>
        <v>1</v>
      </c>
      <c r="F4966" t="str">
        <f t="shared" si="897"/>
        <v>COM</v>
      </c>
      <c r="G4966" t="str">
        <f t="shared" si="902"/>
        <v>FARMÁCIA INDIANA LJ 30 (10127)</v>
      </c>
      <c r="H4966" t="s">
        <v>1436</v>
      </c>
      <c r="I4966" t="str">
        <f t="shared" si="903"/>
        <v>08/10/2025</v>
      </c>
      <c r="J4966" t="str">
        <f t="shared" si="904"/>
        <v>26/09/2025</v>
      </c>
      <c r="K4966">
        <v>45938</v>
      </c>
      <c r="N4966">
        <v>303</v>
      </c>
      <c r="O4966" t="s">
        <v>69</v>
      </c>
      <c r="Q4966">
        <v>1379.59</v>
      </c>
      <c r="R4966" t="str">
        <f>"FARMÁCIA INDIANA LJ 48 (10018)"</f>
        <v>FARMÁCIA INDIANA LJ 48 (10018)</v>
      </c>
      <c r="S4966" t="s">
        <v>70</v>
      </c>
      <c r="T4966">
        <v>19499</v>
      </c>
      <c r="U4966">
        <v>22522</v>
      </c>
      <c r="V4966" t="s">
        <v>77</v>
      </c>
    </row>
    <row r="4967" spans="1:22">
      <c r="A4967" t="str">
        <f t="shared" si="896"/>
        <v>08/10/2025</v>
      </c>
      <c r="B4967" t="str">
        <f t="shared" si="898"/>
        <v>ENTRADA</v>
      </c>
      <c r="C4967" t="str">
        <f t="shared" si="899"/>
        <v>NFSE</v>
      </c>
      <c r="D4967" t="str">
        <f t="shared" si="900"/>
        <v>3409</v>
      </c>
      <c r="E4967" t="str">
        <f t="shared" si="901"/>
        <v>1</v>
      </c>
      <c r="F4967" t="str">
        <f t="shared" si="897"/>
        <v>COM</v>
      </c>
      <c r="G4967" t="str">
        <f t="shared" si="902"/>
        <v>FARMÁCIA INDIANA LJ 30 (10127)</v>
      </c>
      <c r="H4967" t="s">
        <v>1436</v>
      </c>
      <c r="I4967" t="str">
        <f t="shared" si="903"/>
        <v>08/10/2025</v>
      </c>
      <c r="J4967" t="str">
        <f t="shared" si="904"/>
        <v>26/09/2025</v>
      </c>
      <c r="K4967">
        <v>45938</v>
      </c>
      <c r="N4967">
        <v>303</v>
      </c>
      <c r="O4967" t="s">
        <v>69</v>
      </c>
      <c r="Q4967">
        <v>3139.68</v>
      </c>
      <c r="R4967" t="str">
        <f>"FARMÁCIA INDIANA LJ 65 (10030)"</f>
        <v>FARMÁCIA INDIANA LJ 65 (10030)</v>
      </c>
      <c r="S4967" t="s">
        <v>70</v>
      </c>
      <c r="T4967">
        <v>19499</v>
      </c>
      <c r="U4967">
        <v>22522</v>
      </c>
      <c r="V4967" t="s">
        <v>77</v>
      </c>
    </row>
    <row r="4968" spans="1:22">
      <c r="A4968" t="str">
        <f t="shared" si="896"/>
        <v>08/10/2025</v>
      </c>
      <c r="B4968" t="str">
        <f t="shared" si="898"/>
        <v>ENTRADA</v>
      </c>
      <c r="C4968" t="str">
        <f t="shared" si="899"/>
        <v>NFSE</v>
      </c>
      <c r="D4968" t="str">
        <f t="shared" si="900"/>
        <v>3409</v>
      </c>
      <c r="E4968" t="str">
        <f t="shared" si="901"/>
        <v>1</v>
      </c>
      <c r="F4968" t="str">
        <f t="shared" si="897"/>
        <v>COM</v>
      </c>
      <c r="G4968" t="str">
        <f t="shared" si="902"/>
        <v>FARMÁCIA INDIANA LJ 30 (10127)</v>
      </c>
      <c r="H4968" t="s">
        <v>1436</v>
      </c>
      <c r="I4968" t="str">
        <f t="shared" si="903"/>
        <v>08/10/2025</v>
      </c>
      <c r="J4968" t="str">
        <f t="shared" si="904"/>
        <v>26/09/2025</v>
      </c>
      <c r="K4968">
        <v>45938</v>
      </c>
      <c r="N4968">
        <v>303</v>
      </c>
      <c r="O4968" t="s">
        <v>69</v>
      </c>
      <c r="Q4968">
        <v>728.45</v>
      </c>
      <c r="R4968" t="str">
        <f>"FARMÁCIA INDIANA LJ 77 (10034)"</f>
        <v>FARMÁCIA INDIANA LJ 77 (10034)</v>
      </c>
      <c r="S4968" t="s">
        <v>70</v>
      </c>
      <c r="T4968">
        <v>19499</v>
      </c>
      <c r="U4968">
        <v>22522</v>
      </c>
      <c r="V4968" t="s">
        <v>77</v>
      </c>
    </row>
    <row r="4969" spans="1:22">
      <c r="A4969" t="str">
        <f t="shared" si="896"/>
        <v>08/10/2025</v>
      </c>
      <c r="B4969" t="str">
        <f t="shared" si="898"/>
        <v>ENTRADA</v>
      </c>
      <c r="C4969" t="str">
        <f t="shared" si="899"/>
        <v>NFSE</v>
      </c>
      <c r="D4969" t="str">
        <f t="shared" si="900"/>
        <v>3409</v>
      </c>
      <c r="E4969" t="str">
        <f t="shared" si="901"/>
        <v>1</v>
      </c>
      <c r="F4969" t="str">
        <f t="shared" si="897"/>
        <v>COM</v>
      </c>
      <c r="G4969" t="str">
        <f t="shared" si="902"/>
        <v>FARMÁCIA INDIANA LJ 30 (10127)</v>
      </c>
      <c r="H4969" t="s">
        <v>1436</v>
      </c>
      <c r="I4969" t="str">
        <f t="shared" si="903"/>
        <v>08/10/2025</v>
      </c>
      <c r="J4969" t="str">
        <f t="shared" si="904"/>
        <v>26/09/2025</v>
      </c>
      <c r="K4969">
        <v>45938</v>
      </c>
      <c r="N4969">
        <v>303</v>
      </c>
      <c r="O4969" t="s">
        <v>69</v>
      </c>
      <c r="Q4969">
        <v>3585.3</v>
      </c>
      <c r="R4969" t="str">
        <f>"FARMÁCIA INDIANA LJ 91 (10037)"</f>
        <v>FARMÁCIA INDIANA LJ 91 (10037)</v>
      </c>
      <c r="S4969" t="s">
        <v>70</v>
      </c>
      <c r="T4969">
        <v>19499</v>
      </c>
      <c r="U4969">
        <v>22522</v>
      </c>
      <c r="V4969" t="s">
        <v>77</v>
      </c>
    </row>
    <row r="4970" spans="1:22">
      <c r="A4970" t="str">
        <f t="shared" si="896"/>
        <v>08/10/2025</v>
      </c>
      <c r="B4970" t="str">
        <f t="shared" si="898"/>
        <v>ENTRADA</v>
      </c>
      <c r="C4970" t="str">
        <f t="shared" si="899"/>
        <v>NFSE</v>
      </c>
      <c r="D4970" t="str">
        <f t="shared" si="900"/>
        <v>3409</v>
      </c>
      <c r="E4970" t="str">
        <f t="shared" si="901"/>
        <v>1</v>
      </c>
      <c r="F4970" t="str">
        <f t="shared" si="897"/>
        <v>COM</v>
      </c>
      <c r="G4970" t="str">
        <f t="shared" si="902"/>
        <v>FARMÁCIA INDIANA LJ 30 (10127)</v>
      </c>
      <c r="H4970" t="s">
        <v>1436</v>
      </c>
      <c r="I4970" t="str">
        <f t="shared" si="903"/>
        <v>08/10/2025</v>
      </c>
      <c r="J4970" t="str">
        <f t="shared" si="904"/>
        <v>26/09/2025</v>
      </c>
      <c r="K4970">
        <v>45938</v>
      </c>
      <c r="N4970">
        <v>303</v>
      </c>
      <c r="O4970" t="s">
        <v>69</v>
      </c>
      <c r="Q4970">
        <v>1397.9</v>
      </c>
      <c r="R4970" t="str">
        <f>"FARMÁCIA INDIANA LJ 95 (10039)"</f>
        <v>FARMÁCIA INDIANA LJ 95 (10039)</v>
      </c>
      <c r="S4970" t="s">
        <v>70</v>
      </c>
      <c r="T4970">
        <v>19499</v>
      </c>
      <c r="U4970">
        <v>22522</v>
      </c>
      <c r="V4970" t="s">
        <v>77</v>
      </c>
    </row>
    <row r="4971" spans="1:22">
      <c r="A4971" t="str">
        <f t="shared" si="896"/>
        <v>08/10/2025</v>
      </c>
      <c r="B4971" t="str">
        <f t="shared" si="898"/>
        <v>ENTRADA</v>
      </c>
      <c r="C4971" t="str">
        <f t="shared" si="899"/>
        <v>NFSE</v>
      </c>
      <c r="D4971" t="str">
        <f t="shared" si="900"/>
        <v>3409</v>
      </c>
      <c r="E4971" t="str">
        <f t="shared" si="901"/>
        <v>1</v>
      </c>
      <c r="F4971" t="str">
        <f t="shared" si="897"/>
        <v>COM</v>
      </c>
      <c r="G4971" t="str">
        <f t="shared" si="902"/>
        <v>FARMÁCIA INDIANA LJ 30 (10127)</v>
      </c>
      <c r="H4971" t="s">
        <v>1436</v>
      </c>
      <c r="I4971" t="str">
        <f t="shared" si="903"/>
        <v>08/10/2025</v>
      </c>
      <c r="J4971" t="str">
        <f t="shared" si="904"/>
        <v>26/09/2025</v>
      </c>
      <c r="K4971">
        <v>45938</v>
      </c>
      <c r="N4971">
        <v>303</v>
      </c>
      <c r="O4971" t="s">
        <v>69</v>
      </c>
      <c r="Q4971">
        <v>2527.21</v>
      </c>
      <c r="R4971" t="str">
        <f>"FARMÁCIA INDIANA LJ 145 (10068)"</f>
        <v>FARMÁCIA INDIANA LJ 145 (10068)</v>
      </c>
      <c r="S4971" t="s">
        <v>70</v>
      </c>
      <c r="T4971">
        <v>19499</v>
      </c>
      <c r="U4971">
        <v>22522</v>
      </c>
      <c r="V4971" t="s">
        <v>77</v>
      </c>
    </row>
    <row r="4972" spans="1:22">
      <c r="A4972" t="str">
        <f t="shared" si="896"/>
        <v>08/10/2025</v>
      </c>
      <c r="B4972" t="str">
        <f t="shared" si="898"/>
        <v>ENTRADA</v>
      </c>
      <c r="C4972" t="str">
        <f t="shared" si="899"/>
        <v>NFSE</v>
      </c>
      <c r="D4972" t="str">
        <f t="shared" si="900"/>
        <v>3409</v>
      </c>
      <c r="E4972" t="str">
        <f t="shared" si="901"/>
        <v>1</v>
      </c>
      <c r="F4972" t="str">
        <f t="shared" si="897"/>
        <v>COM</v>
      </c>
      <c r="G4972" t="str">
        <f t="shared" si="902"/>
        <v>FARMÁCIA INDIANA LJ 30 (10127)</v>
      </c>
      <c r="H4972" t="s">
        <v>1436</v>
      </c>
      <c r="I4972" t="str">
        <f t="shared" si="903"/>
        <v>08/10/2025</v>
      </c>
      <c r="J4972" t="str">
        <f t="shared" si="904"/>
        <v>26/09/2025</v>
      </c>
      <c r="K4972">
        <v>45938</v>
      </c>
      <c r="N4972">
        <v>303</v>
      </c>
      <c r="O4972" t="s">
        <v>69</v>
      </c>
      <c r="Q4972">
        <v>630.78</v>
      </c>
      <c r="R4972" t="str">
        <f>"FARMÁCIA INDIANA LJ 169 (10073)"</f>
        <v>FARMÁCIA INDIANA LJ 169 (10073)</v>
      </c>
      <c r="S4972" t="s">
        <v>70</v>
      </c>
      <c r="T4972">
        <v>19499</v>
      </c>
      <c r="U4972">
        <v>22522</v>
      </c>
      <c r="V4972" t="s">
        <v>77</v>
      </c>
    </row>
    <row r="4973" spans="1:22">
      <c r="A4973" t="str">
        <f t="shared" si="896"/>
        <v>08/10/2025</v>
      </c>
      <c r="B4973" t="str">
        <f t="shared" si="898"/>
        <v>ENTRADA</v>
      </c>
      <c r="C4973" t="str">
        <f t="shared" si="899"/>
        <v>NFSE</v>
      </c>
      <c r="D4973" t="str">
        <f t="shared" si="900"/>
        <v>3409</v>
      </c>
      <c r="E4973" t="str">
        <f t="shared" si="901"/>
        <v>1</v>
      </c>
      <c r="F4973" t="str">
        <f t="shared" si="897"/>
        <v>COM</v>
      </c>
      <c r="G4973" t="str">
        <f t="shared" si="902"/>
        <v>FARMÁCIA INDIANA LJ 30 (10127)</v>
      </c>
      <c r="H4973" t="s">
        <v>1436</v>
      </c>
      <c r="I4973" t="str">
        <f t="shared" si="903"/>
        <v>08/10/2025</v>
      </c>
      <c r="J4973" t="str">
        <f t="shared" si="904"/>
        <v>26/09/2025</v>
      </c>
      <c r="K4973">
        <v>45938</v>
      </c>
      <c r="N4973">
        <v>303</v>
      </c>
      <c r="O4973" t="s">
        <v>69</v>
      </c>
      <c r="Q4973">
        <v>1568.82</v>
      </c>
      <c r="R4973" t="str">
        <f>"FARMÁCIA INDIANA LJ 173 (10075)"</f>
        <v>FARMÁCIA INDIANA LJ 173 (10075)</v>
      </c>
      <c r="S4973" t="s">
        <v>70</v>
      </c>
      <c r="T4973">
        <v>19499</v>
      </c>
      <c r="U4973">
        <v>22522</v>
      </c>
      <c r="V4973" t="s">
        <v>77</v>
      </c>
    </row>
    <row r="4974" spans="1:22">
      <c r="A4974" t="str">
        <f t="shared" si="896"/>
        <v>08/10/2025</v>
      </c>
      <c r="B4974" t="str">
        <f t="shared" si="898"/>
        <v>ENTRADA</v>
      </c>
      <c r="C4974" t="str">
        <f t="shared" si="899"/>
        <v>NFSE</v>
      </c>
      <c r="D4974" t="str">
        <f t="shared" si="900"/>
        <v>3409</v>
      </c>
      <c r="E4974" t="str">
        <f t="shared" si="901"/>
        <v>1</v>
      </c>
      <c r="F4974" t="str">
        <f t="shared" si="897"/>
        <v>COM</v>
      </c>
      <c r="G4974" t="str">
        <f t="shared" si="902"/>
        <v>FARMÁCIA INDIANA LJ 30 (10127)</v>
      </c>
      <c r="H4974" t="s">
        <v>1436</v>
      </c>
      <c r="I4974" t="str">
        <f t="shared" si="903"/>
        <v>08/10/2025</v>
      </c>
      <c r="J4974" t="str">
        <f t="shared" si="904"/>
        <v>26/09/2025</v>
      </c>
      <c r="K4974">
        <v>45938</v>
      </c>
      <c r="N4974">
        <v>303</v>
      </c>
      <c r="O4974" t="s">
        <v>69</v>
      </c>
      <c r="Q4974">
        <v>1153.73</v>
      </c>
      <c r="R4974" t="str">
        <f>"FARMÁCIA INDIANA LJ 200 (10155)"</f>
        <v>FARMÁCIA INDIANA LJ 200 (10155)</v>
      </c>
      <c r="S4974" t="s">
        <v>70</v>
      </c>
      <c r="T4974">
        <v>19499</v>
      </c>
      <c r="U4974">
        <v>22522</v>
      </c>
      <c r="V4974" t="s">
        <v>77</v>
      </c>
    </row>
    <row r="4975" spans="1:22">
      <c r="A4975" t="str">
        <f t="shared" si="896"/>
        <v>08/10/2025</v>
      </c>
      <c r="B4975" t="str">
        <f t="shared" si="898"/>
        <v>ENTRADA</v>
      </c>
      <c r="C4975" t="str">
        <f t="shared" si="899"/>
        <v>NFSE</v>
      </c>
      <c r="D4975" t="str">
        <f t="shared" si="900"/>
        <v>3409</v>
      </c>
      <c r="E4975" t="str">
        <f t="shared" si="901"/>
        <v>1</v>
      </c>
      <c r="F4975" t="str">
        <f t="shared" si="897"/>
        <v>COM</v>
      </c>
      <c r="G4975" t="str">
        <f t="shared" si="902"/>
        <v>FARMÁCIA INDIANA LJ 30 (10127)</v>
      </c>
      <c r="H4975" t="s">
        <v>1436</v>
      </c>
      <c r="I4975" t="str">
        <f t="shared" si="903"/>
        <v>08/10/2025</v>
      </c>
      <c r="J4975" t="str">
        <f t="shared" si="904"/>
        <v>26/09/2025</v>
      </c>
      <c r="K4975">
        <v>45938</v>
      </c>
      <c r="N4975">
        <v>303</v>
      </c>
      <c r="O4975" t="s">
        <v>69</v>
      </c>
      <c r="Q4975">
        <v>1054.02</v>
      </c>
      <c r="R4975" t="str">
        <f>"FARMÁCIA INDIANA LJ 33 (10187)"</f>
        <v>FARMÁCIA INDIANA LJ 33 (10187)</v>
      </c>
      <c r="S4975" t="s">
        <v>70</v>
      </c>
      <c r="T4975">
        <v>19499</v>
      </c>
      <c r="U4975">
        <v>22522</v>
      </c>
      <c r="V4975" t="s">
        <v>77</v>
      </c>
    </row>
    <row r="4976" spans="1:22">
      <c r="A4976" t="str">
        <f t="shared" si="896"/>
        <v>08/10/2025</v>
      </c>
      <c r="B4976" t="str">
        <f t="shared" si="898"/>
        <v>ENTRADA</v>
      </c>
      <c r="C4976" t="str">
        <f t="shared" si="899"/>
        <v>NFSE</v>
      </c>
      <c r="D4976" t="str">
        <f>"3408"</f>
        <v>3408</v>
      </c>
      <c r="E4976" t="str">
        <f t="shared" si="901"/>
        <v>1</v>
      </c>
      <c r="F4976" t="str">
        <f t="shared" si="897"/>
        <v>COM</v>
      </c>
      <c r="G4976" t="str">
        <f t="shared" ref="G4976:G5007" si="905">"FARMÁCIA INDIANA LJ 1 (10126)"</f>
        <v>FARMÁCIA INDIANA LJ 1 (10126)</v>
      </c>
      <c r="H4976" t="str">
        <f>"Serv.Prest. 22/09/2025 a 26/09/2025 - RPS: 1284 - NFSe: 3408"</f>
        <v>Serv.Prest. 22/09/2025 a 26/09/2025 - RPS: 1284 - NFSe: 3408</v>
      </c>
      <c r="I4976" t="str">
        <f t="shared" si="903"/>
        <v>08/10/2025</v>
      </c>
      <c r="J4976" t="str">
        <f t="shared" si="904"/>
        <v>26/09/2025</v>
      </c>
      <c r="K4976" t="str">
        <f>("08/10/2025")</f>
        <v>08/10/2025</v>
      </c>
      <c r="L4976">
        <v>1490.4</v>
      </c>
      <c r="M4976">
        <v>1490.4</v>
      </c>
      <c r="N4976">
        <v>303</v>
      </c>
      <c r="O4976" t="str">
        <f>"RECEITAS COM ENTREGAS"</f>
        <v>RECEITAS COM ENTREGAS</v>
      </c>
      <c r="P4976">
        <v>1490.4</v>
      </c>
      <c r="S4976" t="str">
        <f>"RECEITAS COM ENTREGAS (303)"</f>
        <v>RECEITAS COM ENTREGAS (303)</v>
      </c>
      <c r="T4976">
        <v>19500</v>
      </c>
      <c r="U4976">
        <v>22520</v>
      </c>
      <c r="V4976" t="s">
        <v>77</v>
      </c>
    </row>
    <row r="4977" spans="1:22">
      <c r="A4977" t="str">
        <f t="shared" si="896"/>
        <v>08/10/2025</v>
      </c>
      <c r="B4977" t="str">
        <f t="shared" si="898"/>
        <v>ENTRADA</v>
      </c>
      <c r="C4977" t="str">
        <f t="shared" si="899"/>
        <v>NFSE</v>
      </c>
      <c r="D4977" t="str">
        <f>"3408"</f>
        <v>3408</v>
      </c>
      <c r="E4977" t="str">
        <f t="shared" si="901"/>
        <v>1</v>
      </c>
      <c r="F4977" t="str">
        <f t="shared" si="897"/>
        <v>COM</v>
      </c>
      <c r="G4977" t="str">
        <f t="shared" si="905"/>
        <v>FARMÁCIA INDIANA LJ 1 (10126)</v>
      </c>
      <c r="H4977" t="s">
        <v>1437</v>
      </c>
      <c r="I4977" t="str">
        <f t="shared" si="903"/>
        <v>08/10/2025</v>
      </c>
      <c r="J4977" t="str">
        <f t="shared" si="904"/>
        <v>26/09/2025</v>
      </c>
      <c r="K4977">
        <v>45938</v>
      </c>
      <c r="N4977">
        <v>303</v>
      </c>
      <c r="O4977" t="s">
        <v>69</v>
      </c>
      <c r="Q4977">
        <v>1490.4</v>
      </c>
      <c r="R4977" t="str">
        <f>"FARMÁCIA INDIANA LJ 18 (10011)"</f>
        <v>FARMÁCIA INDIANA LJ 18 (10011)</v>
      </c>
      <c r="S4977" t="s">
        <v>70</v>
      </c>
      <c r="T4977">
        <v>19500</v>
      </c>
      <c r="U4977">
        <v>22520</v>
      </c>
      <c r="V4977" t="s">
        <v>77</v>
      </c>
    </row>
    <row r="4978" spans="1:22">
      <c r="A4978" t="str">
        <f t="shared" si="896"/>
        <v>08/10/2025</v>
      </c>
      <c r="B4978" t="str">
        <f t="shared" si="898"/>
        <v>ENTRADA</v>
      </c>
      <c r="C4978" t="str">
        <f t="shared" si="899"/>
        <v>NFSE</v>
      </c>
      <c r="D4978" t="str">
        <f t="shared" ref="D4978:D5025" si="906">"3410"</f>
        <v>3410</v>
      </c>
      <c r="E4978" t="str">
        <f t="shared" si="901"/>
        <v>1</v>
      </c>
      <c r="F4978" t="str">
        <f t="shared" si="897"/>
        <v>COM</v>
      </c>
      <c r="G4978" t="str">
        <f t="shared" si="905"/>
        <v>FARMÁCIA INDIANA LJ 1 (10126)</v>
      </c>
      <c r="H4978" t="str">
        <f>"Serv.Prest. 22/09/2025 a 25/09/2025 - RPS: 1286 - NFSe: 3410"</f>
        <v>Serv.Prest. 22/09/2025 a 25/09/2025 - RPS: 1286 - NFSe: 3410</v>
      </c>
      <c r="I4978" t="str">
        <f t="shared" si="903"/>
        <v>08/10/2025</v>
      </c>
      <c r="J4978" t="str">
        <f t="shared" si="904"/>
        <v>26/09/2025</v>
      </c>
      <c r="K4978" t="str">
        <f>("08/10/2025")</f>
        <v>08/10/2025</v>
      </c>
      <c r="L4978">
        <v>83186.16</v>
      </c>
      <c r="M4978">
        <v>83186.16</v>
      </c>
      <c r="N4978">
        <v>303</v>
      </c>
      <c r="O4978" t="str">
        <f>"RECEITAS COM ENTREGAS"</f>
        <v>RECEITAS COM ENTREGAS</v>
      </c>
      <c r="P4978">
        <v>83186.16</v>
      </c>
      <c r="S4978" t="str">
        <f>"RECEITAS COM ENTREGAS (303)"</f>
        <v>RECEITAS COM ENTREGAS (303)</v>
      </c>
      <c r="T4978">
        <v>19501</v>
      </c>
      <c r="U4978">
        <v>22550</v>
      </c>
      <c r="V4978" t="s">
        <v>77</v>
      </c>
    </row>
    <row r="4979" spans="1:22">
      <c r="A4979" t="str">
        <f t="shared" si="896"/>
        <v>08/10/2025</v>
      </c>
      <c r="B4979" t="str">
        <f t="shared" si="898"/>
        <v>ENTRADA</v>
      </c>
      <c r="C4979" t="str">
        <f t="shared" si="899"/>
        <v>NFSE</v>
      </c>
      <c r="D4979" t="str">
        <f t="shared" si="906"/>
        <v>3410</v>
      </c>
      <c r="E4979" t="str">
        <f t="shared" si="901"/>
        <v>1</v>
      </c>
      <c r="F4979" t="str">
        <f t="shared" si="897"/>
        <v>COM</v>
      </c>
      <c r="G4979" t="str">
        <f t="shared" si="905"/>
        <v>FARMÁCIA INDIANA LJ 1 (10126)</v>
      </c>
      <c r="H4979" t="s">
        <v>1438</v>
      </c>
      <c r="I4979" t="str">
        <f t="shared" si="903"/>
        <v>08/10/2025</v>
      </c>
      <c r="J4979" t="str">
        <f t="shared" si="904"/>
        <v>26/09/2025</v>
      </c>
      <c r="K4979">
        <v>45938</v>
      </c>
      <c r="N4979">
        <v>303</v>
      </c>
      <c r="O4979" t="s">
        <v>69</v>
      </c>
      <c r="Q4979">
        <v>10481.450000000001</v>
      </c>
      <c r="R4979" t="str">
        <f>"FARMÁCIA INDIANA LJ 06 (10006)"</f>
        <v>FARMÁCIA INDIANA LJ 06 (10006)</v>
      </c>
      <c r="S4979" t="s">
        <v>70</v>
      </c>
      <c r="T4979">
        <v>19501</v>
      </c>
      <c r="U4979">
        <v>22550</v>
      </c>
      <c r="V4979" t="s">
        <v>77</v>
      </c>
    </row>
    <row r="4980" spans="1:22">
      <c r="A4980" t="str">
        <f t="shared" si="896"/>
        <v>08/10/2025</v>
      </c>
      <c r="B4980" t="str">
        <f t="shared" si="898"/>
        <v>ENTRADA</v>
      </c>
      <c r="C4980" t="str">
        <f t="shared" si="899"/>
        <v>NFSE</v>
      </c>
      <c r="D4980" t="str">
        <f t="shared" si="906"/>
        <v>3410</v>
      </c>
      <c r="E4980" t="str">
        <f t="shared" si="901"/>
        <v>1</v>
      </c>
      <c r="F4980" t="str">
        <f t="shared" si="897"/>
        <v>COM</v>
      </c>
      <c r="G4980" t="str">
        <f t="shared" si="905"/>
        <v>FARMÁCIA INDIANA LJ 1 (10126)</v>
      </c>
      <c r="H4980" t="s">
        <v>1438</v>
      </c>
      <c r="I4980" t="str">
        <f t="shared" si="903"/>
        <v>08/10/2025</v>
      </c>
      <c r="J4980" t="str">
        <f t="shared" si="904"/>
        <v>26/09/2025</v>
      </c>
      <c r="K4980">
        <v>45938</v>
      </c>
      <c r="N4980">
        <v>303</v>
      </c>
      <c r="O4980" t="s">
        <v>69</v>
      </c>
      <c r="Q4980">
        <v>7079.14</v>
      </c>
      <c r="R4980" t="str">
        <f>"FARMÁCIA INDIANA LJ 07 (10007)"</f>
        <v>FARMÁCIA INDIANA LJ 07 (10007)</v>
      </c>
      <c r="S4980" t="s">
        <v>70</v>
      </c>
      <c r="T4980">
        <v>19501</v>
      </c>
      <c r="U4980">
        <v>22550</v>
      </c>
      <c r="V4980" t="s">
        <v>77</v>
      </c>
    </row>
    <row r="4981" spans="1:22">
      <c r="A4981" t="str">
        <f t="shared" si="896"/>
        <v>08/10/2025</v>
      </c>
      <c r="B4981" t="str">
        <f t="shared" si="898"/>
        <v>ENTRADA</v>
      </c>
      <c r="C4981" t="str">
        <f t="shared" si="899"/>
        <v>NFSE</v>
      </c>
      <c r="D4981" t="str">
        <f t="shared" si="906"/>
        <v>3410</v>
      </c>
      <c r="E4981" t="str">
        <f t="shared" si="901"/>
        <v>1</v>
      </c>
      <c r="F4981" t="str">
        <f t="shared" si="897"/>
        <v>COM</v>
      </c>
      <c r="G4981" t="str">
        <f t="shared" si="905"/>
        <v>FARMÁCIA INDIANA LJ 1 (10126)</v>
      </c>
      <c r="H4981" t="s">
        <v>1438</v>
      </c>
      <c r="I4981" t="str">
        <f t="shared" si="903"/>
        <v>08/10/2025</v>
      </c>
      <c r="J4981" t="str">
        <f t="shared" si="904"/>
        <v>26/09/2025</v>
      </c>
      <c r="K4981">
        <v>45938</v>
      </c>
      <c r="N4981">
        <v>303</v>
      </c>
      <c r="O4981" t="s">
        <v>69</v>
      </c>
      <c r="Q4981">
        <v>6263.92</v>
      </c>
      <c r="R4981" t="str">
        <f>"FARMÁCIA INDIANA LJ 11 (10008)"</f>
        <v>FARMÁCIA INDIANA LJ 11 (10008)</v>
      </c>
      <c r="S4981" t="s">
        <v>70</v>
      </c>
      <c r="T4981">
        <v>19501</v>
      </c>
      <c r="U4981">
        <v>22550</v>
      </c>
      <c r="V4981" t="s">
        <v>77</v>
      </c>
    </row>
    <row r="4982" spans="1:22">
      <c r="A4982" t="str">
        <f t="shared" si="896"/>
        <v>08/10/2025</v>
      </c>
      <c r="B4982" t="str">
        <f t="shared" si="898"/>
        <v>ENTRADA</v>
      </c>
      <c r="C4982" t="str">
        <f t="shared" si="899"/>
        <v>NFSE</v>
      </c>
      <c r="D4982" t="str">
        <f t="shared" si="906"/>
        <v>3410</v>
      </c>
      <c r="E4982" t="str">
        <f t="shared" si="901"/>
        <v>1</v>
      </c>
      <c r="F4982" t="str">
        <f t="shared" si="897"/>
        <v>COM</v>
      </c>
      <c r="G4982" t="str">
        <f t="shared" si="905"/>
        <v>FARMÁCIA INDIANA LJ 1 (10126)</v>
      </c>
      <c r="H4982" t="s">
        <v>1438</v>
      </c>
      <c r="I4982" t="str">
        <f t="shared" si="903"/>
        <v>08/10/2025</v>
      </c>
      <c r="J4982" t="str">
        <f t="shared" si="904"/>
        <v>26/09/2025</v>
      </c>
      <c r="K4982">
        <v>45938</v>
      </c>
      <c r="N4982">
        <v>303</v>
      </c>
      <c r="O4982" t="s">
        <v>69</v>
      </c>
      <c r="Q4982">
        <v>2395.7600000000002</v>
      </c>
      <c r="R4982" t="str">
        <f>"FARMÁCIA INDIANA LJ 14 (10009)"</f>
        <v>FARMÁCIA INDIANA LJ 14 (10009)</v>
      </c>
      <c r="S4982" t="s">
        <v>70</v>
      </c>
      <c r="T4982">
        <v>19501</v>
      </c>
      <c r="U4982">
        <v>22550</v>
      </c>
      <c r="V4982" t="s">
        <v>77</v>
      </c>
    </row>
    <row r="4983" spans="1:22">
      <c r="A4983" t="str">
        <f t="shared" si="896"/>
        <v>08/10/2025</v>
      </c>
      <c r="B4983" t="str">
        <f t="shared" si="898"/>
        <v>ENTRADA</v>
      </c>
      <c r="C4983" t="str">
        <f t="shared" si="899"/>
        <v>NFSE</v>
      </c>
      <c r="D4983" t="str">
        <f t="shared" si="906"/>
        <v>3410</v>
      </c>
      <c r="E4983" t="str">
        <f t="shared" si="901"/>
        <v>1</v>
      </c>
      <c r="F4983" t="str">
        <f t="shared" si="897"/>
        <v>COM</v>
      </c>
      <c r="G4983" t="str">
        <f t="shared" si="905"/>
        <v>FARMÁCIA INDIANA LJ 1 (10126)</v>
      </c>
      <c r="H4983" t="s">
        <v>1438</v>
      </c>
      <c r="I4983" t="str">
        <f t="shared" si="903"/>
        <v>08/10/2025</v>
      </c>
      <c r="J4983" t="str">
        <f t="shared" si="904"/>
        <v>26/09/2025</v>
      </c>
      <c r="K4983">
        <v>45938</v>
      </c>
      <c r="N4983">
        <v>303</v>
      </c>
      <c r="O4983" t="s">
        <v>69</v>
      </c>
      <c r="Q4983">
        <v>1846.73</v>
      </c>
      <c r="R4983" t="str">
        <f>"FARMÁCIA INDIANA LJ 18 (10011)"</f>
        <v>FARMÁCIA INDIANA LJ 18 (10011)</v>
      </c>
      <c r="S4983" t="s">
        <v>70</v>
      </c>
      <c r="T4983">
        <v>19501</v>
      </c>
      <c r="U4983">
        <v>22550</v>
      </c>
      <c r="V4983" t="s">
        <v>77</v>
      </c>
    </row>
    <row r="4984" spans="1:22">
      <c r="A4984" t="str">
        <f t="shared" si="896"/>
        <v>08/10/2025</v>
      </c>
      <c r="B4984" t="str">
        <f t="shared" si="898"/>
        <v>ENTRADA</v>
      </c>
      <c r="C4984" t="str">
        <f t="shared" si="899"/>
        <v>NFSE</v>
      </c>
      <c r="D4984" t="str">
        <f t="shared" si="906"/>
        <v>3410</v>
      </c>
      <c r="E4984" t="str">
        <f t="shared" si="901"/>
        <v>1</v>
      </c>
      <c r="F4984" t="str">
        <f t="shared" si="897"/>
        <v>COM</v>
      </c>
      <c r="G4984" t="str">
        <f t="shared" si="905"/>
        <v>FARMÁCIA INDIANA LJ 1 (10126)</v>
      </c>
      <c r="H4984" t="s">
        <v>1438</v>
      </c>
      <c r="I4984" t="str">
        <f t="shared" si="903"/>
        <v>08/10/2025</v>
      </c>
      <c r="J4984" t="str">
        <f t="shared" si="904"/>
        <v>26/09/2025</v>
      </c>
      <c r="K4984">
        <v>45938</v>
      </c>
      <c r="N4984">
        <v>303</v>
      </c>
      <c r="O4984" t="s">
        <v>69</v>
      </c>
      <c r="Q4984">
        <v>1929.92</v>
      </c>
      <c r="R4984" t="str">
        <f>"FARMÁCIA INDIANA LJ 19 (10012)"</f>
        <v>FARMÁCIA INDIANA LJ 19 (10012)</v>
      </c>
      <c r="S4984" t="s">
        <v>70</v>
      </c>
      <c r="T4984">
        <v>19501</v>
      </c>
      <c r="U4984">
        <v>22550</v>
      </c>
      <c r="V4984" t="s">
        <v>77</v>
      </c>
    </row>
    <row r="4985" spans="1:22">
      <c r="A4985" t="str">
        <f t="shared" si="896"/>
        <v>08/10/2025</v>
      </c>
      <c r="B4985" t="str">
        <f t="shared" si="898"/>
        <v>ENTRADA</v>
      </c>
      <c r="C4985" t="str">
        <f t="shared" si="899"/>
        <v>NFSE</v>
      </c>
      <c r="D4985" t="str">
        <f t="shared" si="906"/>
        <v>3410</v>
      </c>
      <c r="E4985" t="str">
        <f t="shared" si="901"/>
        <v>1</v>
      </c>
      <c r="F4985" t="str">
        <f t="shared" si="897"/>
        <v>COM</v>
      </c>
      <c r="G4985" t="str">
        <f t="shared" si="905"/>
        <v>FARMÁCIA INDIANA LJ 1 (10126)</v>
      </c>
      <c r="H4985" t="s">
        <v>1438</v>
      </c>
      <c r="I4985" t="str">
        <f t="shared" si="903"/>
        <v>08/10/2025</v>
      </c>
      <c r="J4985" t="str">
        <f t="shared" si="904"/>
        <v>26/09/2025</v>
      </c>
      <c r="K4985">
        <v>45938</v>
      </c>
      <c r="N4985">
        <v>303</v>
      </c>
      <c r="O4985" t="s">
        <v>69</v>
      </c>
      <c r="Q4985">
        <v>6164.09</v>
      </c>
      <c r="R4985" t="str">
        <f>"FARMÁCIA INDIANA LJ 40 (10016)"</f>
        <v>FARMÁCIA INDIANA LJ 40 (10016)</v>
      </c>
      <c r="S4985" t="s">
        <v>70</v>
      </c>
      <c r="T4985">
        <v>19501</v>
      </c>
      <c r="U4985">
        <v>22550</v>
      </c>
      <c r="V4985" t="s">
        <v>77</v>
      </c>
    </row>
    <row r="4986" spans="1:22">
      <c r="A4986" t="str">
        <f t="shared" si="896"/>
        <v>08/10/2025</v>
      </c>
      <c r="B4986" t="str">
        <f t="shared" si="898"/>
        <v>ENTRADA</v>
      </c>
      <c r="C4986" t="str">
        <f t="shared" si="899"/>
        <v>NFSE</v>
      </c>
      <c r="D4986" t="str">
        <f t="shared" si="906"/>
        <v>3410</v>
      </c>
      <c r="E4986" t="str">
        <f t="shared" si="901"/>
        <v>1</v>
      </c>
      <c r="F4986" t="str">
        <f t="shared" si="897"/>
        <v>COM</v>
      </c>
      <c r="G4986" t="str">
        <f t="shared" si="905"/>
        <v>FARMÁCIA INDIANA LJ 1 (10126)</v>
      </c>
      <c r="H4986" t="s">
        <v>1438</v>
      </c>
      <c r="I4986" t="str">
        <f t="shared" si="903"/>
        <v>08/10/2025</v>
      </c>
      <c r="J4986" t="str">
        <f t="shared" si="904"/>
        <v>26/09/2025</v>
      </c>
      <c r="K4986">
        <v>45938</v>
      </c>
      <c r="N4986">
        <v>303</v>
      </c>
      <c r="O4986" t="s">
        <v>69</v>
      </c>
      <c r="Q4986">
        <v>1156.29</v>
      </c>
      <c r="R4986" t="str">
        <f>"FARMÁCIA INDIANA LJ 59 (10026)"</f>
        <v>FARMÁCIA INDIANA LJ 59 (10026)</v>
      </c>
      <c r="S4986" t="s">
        <v>70</v>
      </c>
      <c r="T4986">
        <v>19501</v>
      </c>
      <c r="U4986">
        <v>22550</v>
      </c>
      <c r="V4986" t="s">
        <v>77</v>
      </c>
    </row>
    <row r="4987" spans="1:22">
      <c r="A4987" t="str">
        <f t="shared" si="896"/>
        <v>08/10/2025</v>
      </c>
      <c r="B4987" t="str">
        <f t="shared" si="898"/>
        <v>ENTRADA</v>
      </c>
      <c r="C4987" t="str">
        <f t="shared" si="899"/>
        <v>NFSE</v>
      </c>
      <c r="D4987" t="str">
        <f t="shared" si="906"/>
        <v>3410</v>
      </c>
      <c r="E4987" t="str">
        <f t="shared" si="901"/>
        <v>1</v>
      </c>
      <c r="F4987" t="str">
        <f t="shared" si="897"/>
        <v>COM</v>
      </c>
      <c r="G4987" t="str">
        <f t="shared" si="905"/>
        <v>FARMÁCIA INDIANA LJ 1 (10126)</v>
      </c>
      <c r="H4987" t="s">
        <v>1438</v>
      </c>
      <c r="I4987" t="str">
        <f t="shared" si="903"/>
        <v>08/10/2025</v>
      </c>
      <c r="J4987" t="str">
        <f t="shared" si="904"/>
        <v>26/09/2025</v>
      </c>
      <c r="K4987">
        <v>45938</v>
      </c>
      <c r="N4987">
        <v>303</v>
      </c>
      <c r="O4987" t="s">
        <v>69</v>
      </c>
      <c r="Q4987">
        <v>2395.7600000000002</v>
      </c>
      <c r="R4987" t="str">
        <f>"FARMÁCIA INDIANA LJ 61 (10027)"</f>
        <v>FARMÁCIA INDIANA LJ 61 (10027)</v>
      </c>
      <c r="S4987" t="s">
        <v>70</v>
      </c>
      <c r="T4987">
        <v>19501</v>
      </c>
      <c r="U4987">
        <v>22550</v>
      </c>
      <c r="V4987" t="s">
        <v>77</v>
      </c>
    </row>
    <row r="4988" spans="1:22">
      <c r="A4988" t="str">
        <f t="shared" si="896"/>
        <v>08/10/2025</v>
      </c>
      <c r="B4988" t="str">
        <f t="shared" si="898"/>
        <v>ENTRADA</v>
      </c>
      <c r="C4988" t="str">
        <f t="shared" si="899"/>
        <v>NFSE</v>
      </c>
      <c r="D4988" t="str">
        <f t="shared" si="906"/>
        <v>3410</v>
      </c>
      <c r="E4988" t="str">
        <f t="shared" si="901"/>
        <v>1</v>
      </c>
      <c r="F4988" t="str">
        <f t="shared" si="897"/>
        <v>COM</v>
      </c>
      <c r="G4988" t="str">
        <f t="shared" si="905"/>
        <v>FARMÁCIA INDIANA LJ 1 (10126)</v>
      </c>
      <c r="H4988" t="s">
        <v>1438</v>
      </c>
      <c r="I4988" t="str">
        <f t="shared" si="903"/>
        <v>08/10/2025</v>
      </c>
      <c r="J4988" t="str">
        <f t="shared" si="904"/>
        <v>26/09/2025</v>
      </c>
      <c r="K4988">
        <v>45938</v>
      </c>
      <c r="N4988">
        <v>303</v>
      </c>
      <c r="O4988" t="s">
        <v>69</v>
      </c>
      <c r="Q4988">
        <v>1530.63</v>
      </c>
      <c r="R4988" t="str">
        <f>"FARMÁCIA INDIANA LJ 62 (10028)"</f>
        <v>FARMÁCIA INDIANA LJ 62 (10028)</v>
      </c>
      <c r="S4988" t="s">
        <v>70</v>
      </c>
      <c r="T4988">
        <v>19501</v>
      </c>
      <c r="U4988">
        <v>22550</v>
      </c>
      <c r="V4988" t="s">
        <v>77</v>
      </c>
    </row>
    <row r="4989" spans="1:22">
      <c r="A4989" t="str">
        <f t="shared" si="896"/>
        <v>08/10/2025</v>
      </c>
      <c r="B4989" t="str">
        <f t="shared" si="898"/>
        <v>ENTRADA</v>
      </c>
      <c r="C4989" t="str">
        <f t="shared" si="899"/>
        <v>NFSE</v>
      </c>
      <c r="D4989" t="str">
        <f t="shared" si="906"/>
        <v>3410</v>
      </c>
      <c r="E4989" t="str">
        <f t="shared" si="901"/>
        <v>1</v>
      </c>
      <c r="F4989" t="str">
        <f t="shared" si="897"/>
        <v>COM</v>
      </c>
      <c r="G4989" t="str">
        <f t="shared" si="905"/>
        <v>FARMÁCIA INDIANA LJ 1 (10126)</v>
      </c>
      <c r="H4989" t="s">
        <v>1438</v>
      </c>
      <c r="I4989" t="str">
        <f t="shared" si="903"/>
        <v>08/10/2025</v>
      </c>
      <c r="J4989" t="str">
        <f t="shared" si="904"/>
        <v>26/09/2025</v>
      </c>
      <c r="K4989">
        <v>45938</v>
      </c>
      <c r="N4989">
        <v>303</v>
      </c>
      <c r="O4989" t="s">
        <v>69</v>
      </c>
      <c r="Q4989">
        <v>607.26</v>
      </c>
      <c r="R4989" t="str">
        <f>"FARMÁCIA INDIANA LJ 64 (10029)"</f>
        <v>FARMÁCIA INDIANA LJ 64 (10029)</v>
      </c>
      <c r="S4989" t="s">
        <v>70</v>
      </c>
      <c r="T4989">
        <v>19501</v>
      </c>
      <c r="U4989">
        <v>22550</v>
      </c>
      <c r="V4989" t="s">
        <v>77</v>
      </c>
    </row>
    <row r="4990" spans="1:22">
      <c r="A4990" t="str">
        <f t="shared" si="896"/>
        <v>08/10/2025</v>
      </c>
      <c r="B4990" t="str">
        <f t="shared" si="898"/>
        <v>ENTRADA</v>
      </c>
      <c r="C4990" t="str">
        <f t="shared" si="899"/>
        <v>NFSE</v>
      </c>
      <c r="D4990" t="str">
        <f t="shared" si="906"/>
        <v>3410</v>
      </c>
      <c r="E4990" t="str">
        <f t="shared" si="901"/>
        <v>1</v>
      </c>
      <c r="F4990" t="str">
        <f t="shared" si="897"/>
        <v>COM</v>
      </c>
      <c r="G4990" t="str">
        <f t="shared" si="905"/>
        <v>FARMÁCIA INDIANA LJ 1 (10126)</v>
      </c>
      <c r="H4990" t="s">
        <v>1438</v>
      </c>
      <c r="I4990" t="str">
        <f t="shared" si="903"/>
        <v>08/10/2025</v>
      </c>
      <c r="J4990" t="str">
        <f t="shared" si="904"/>
        <v>26/09/2025</v>
      </c>
      <c r="K4990">
        <v>45938</v>
      </c>
      <c r="N4990">
        <v>303</v>
      </c>
      <c r="O4990" t="s">
        <v>69</v>
      </c>
      <c r="Q4990">
        <v>607.26</v>
      </c>
      <c r="R4990" t="str">
        <f>"FARMÁCIA INDIANA LJ 97 (10040)"</f>
        <v>FARMÁCIA INDIANA LJ 97 (10040)</v>
      </c>
      <c r="S4990" t="s">
        <v>70</v>
      </c>
      <c r="T4990">
        <v>19501</v>
      </c>
      <c r="U4990">
        <v>22550</v>
      </c>
      <c r="V4990" t="s">
        <v>77</v>
      </c>
    </row>
    <row r="4991" spans="1:22">
      <c r="A4991" t="str">
        <f t="shared" si="896"/>
        <v>08/10/2025</v>
      </c>
      <c r="B4991" t="str">
        <f t="shared" si="898"/>
        <v>ENTRADA</v>
      </c>
      <c r="C4991" t="str">
        <f t="shared" si="899"/>
        <v>NFSE</v>
      </c>
      <c r="D4991" t="str">
        <f t="shared" si="906"/>
        <v>3410</v>
      </c>
      <c r="E4991" t="str">
        <f t="shared" si="901"/>
        <v>1</v>
      </c>
      <c r="F4991" t="str">
        <f t="shared" si="897"/>
        <v>COM</v>
      </c>
      <c r="G4991" t="str">
        <f t="shared" si="905"/>
        <v>FARMÁCIA INDIANA LJ 1 (10126)</v>
      </c>
      <c r="H4991" t="s">
        <v>1438</v>
      </c>
      <c r="I4991" t="str">
        <f t="shared" si="903"/>
        <v>08/10/2025</v>
      </c>
      <c r="J4991" t="str">
        <f t="shared" si="904"/>
        <v>26/09/2025</v>
      </c>
      <c r="K4991">
        <v>45938</v>
      </c>
      <c r="N4991">
        <v>303</v>
      </c>
      <c r="O4991" t="s">
        <v>69</v>
      </c>
      <c r="Q4991">
        <v>1705.32</v>
      </c>
      <c r="R4991" t="str">
        <f>"FARMÁCIA INDIANA LJ 100 (10042)"</f>
        <v>FARMÁCIA INDIANA LJ 100 (10042)</v>
      </c>
      <c r="S4991" t="s">
        <v>70</v>
      </c>
      <c r="T4991">
        <v>19501</v>
      </c>
      <c r="U4991">
        <v>22550</v>
      </c>
      <c r="V4991" t="s">
        <v>77</v>
      </c>
    </row>
    <row r="4992" spans="1:22">
      <c r="A4992" t="str">
        <f t="shared" si="896"/>
        <v>08/10/2025</v>
      </c>
      <c r="B4992" t="str">
        <f t="shared" si="898"/>
        <v>ENTRADA</v>
      </c>
      <c r="C4992" t="str">
        <f t="shared" si="899"/>
        <v>NFSE</v>
      </c>
      <c r="D4992" t="str">
        <f t="shared" si="906"/>
        <v>3410</v>
      </c>
      <c r="E4992" t="str">
        <f t="shared" si="901"/>
        <v>1</v>
      </c>
      <c r="F4992" t="str">
        <f t="shared" si="897"/>
        <v>COM</v>
      </c>
      <c r="G4992" t="str">
        <f t="shared" si="905"/>
        <v>FARMÁCIA INDIANA LJ 1 (10126)</v>
      </c>
      <c r="H4992" t="s">
        <v>1438</v>
      </c>
      <c r="I4992" t="str">
        <f t="shared" si="903"/>
        <v>08/10/2025</v>
      </c>
      <c r="J4992" t="str">
        <f t="shared" si="904"/>
        <v>26/09/2025</v>
      </c>
      <c r="K4992">
        <v>45938</v>
      </c>
      <c r="N4992">
        <v>303</v>
      </c>
      <c r="O4992" t="s">
        <v>69</v>
      </c>
      <c r="Q4992">
        <v>3452.23</v>
      </c>
      <c r="R4992" t="str">
        <f>"FARMÁCIA INDIANA LJ 101 (10043)"</f>
        <v>FARMÁCIA INDIANA LJ 101 (10043)</v>
      </c>
      <c r="S4992" t="s">
        <v>70</v>
      </c>
      <c r="T4992">
        <v>19501</v>
      </c>
      <c r="U4992">
        <v>22550</v>
      </c>
      <c r="V4992" t="s">
        <v>77</v>
      </c>
    </row>
    <row r="4993" spans="1:22">
      <c r="A4993" t="str">
        <f t="shared" si="896"/>
        <v>08/10/2025</v>
      </c>
      <c r="B4993" t="str">
        <f t="shared" ref="B4993:B5024" si="907">"ENTRADA"</f>
        <v>ENTRADA</v>
      </c>
      <c r="C4993" t="str">
        <f t="shared" si="899"/>
        <v>NFSE</v>
      </c>
      <c r="D4993" t="str">
        <f t="shared" si="906"/>
        <v>3410</v>
      </c>
      <c r="E4993" t="str">
        <f t="shared" si="901"/>
        <v>1</v>
      </c>
      <c r="F4993" t="str">
        <f t="shared" si="897"/>
        <v>COM</v>
      </c>
      <c r="G4993" t="str">
        <f t="shared" si="905"/>
        <v>FARMÁCIA INDIANA LJ 1 (10126)</v>
      </c>
      <c r="H4993" t="s">
        <v>1438</v>
      </c>
      <c r="I4993" t="str">
        <f t="shared" si="903"/>
        <v>08/10/2025</v>
      </c>
      <c r="J4993" t="str">
        <f t="shared" si="904"/>
        <v>26/09/2025</v>
      </c>
      <c r="K4993">
        <v>45938</v>
      </c>
      <c r="N4993">
        <v>303</v>
      </c>
      <c r="O4993" t="s">
        <v>69</v>
      </c>
      <c r="Q4993">
        <v>415.93</v>
      </c>
      <c r="R4993" t="str">
        <f>"FARMÁCIA INDIANA LJ 103 (10044)"</f>
        <v>FARMÁCIA INDIANA LJ 103 (10044)</v>
      </c>
      <c r="S4993" t="s">
        <v>70</v>
      </c>
      <c r="T4993">
        <v>19501</v>
      </c>
      <c r="U4993">
        <v>22550</v>
      </c>
      <c r="V4993" t="s">
        <v>77</v>
      </c>
    </row>
    <row r="4994" spans="1:22">
      <c r="A4994" t="str">
        <f t="shared" si="896"/>
        <v>08/10/2025</v>
      </c>
      <c r="B4994" t="str">
        <f t="shared" si="907"/>
        <v>ENTRADA</v>
      </c>
      <c r="C4994" t="str">
        <f t="shared" si="899"/>
        <v>NFSE</v>
      </c>
      <c r="D4994" t="str">
        <f t="shared" si="906"/>
        <v>3410</v>
      </c>
      <c r="E4994" t="str">
        <f t="shared" si="901"/>
        <v>1</v>
      </c>
      <c r="F4994" t="str">
        <f t="shared" si="897"/>
        <v>COM</v>
      </c>
      <c r="G4994" t="str">
        <f t="shared" si="905"/>
        <v>FARMÁCIA INDIANA LJ 1 (10126)</v>
      </c>
      <c r="H4994" t="s">
        <v>1438</v>
      </c>
      <c r="I4994" t="str">
        <f t="shared" si="903"/>
        <v>08/10/2025</v>
      </c>
      <c r="J4994" t="str">
        <f t="shared" si="904"/>
        <v>26/09/2025</v>
      </c>
      <c r="K4994">
        <v>45938</v>
      </c>
      <c r="N4994">
        <v>303</v>
      </c>
      <c r="O4994" t="s">
        <v>69</v>
      </c>
      <c r="Q4994">
        <v>1297.7</v>
      </c>
      <c r="R4994" t="str">
        <f>"FARMÁCIA INDIANA LJ 109 (10047)"</f>
        <v>FARMÁCIA INDIANA LJ 109 (10047)</v>
      </c>
      <c r="S4994" t="s">
        <v>70</v>
      </c>
      <c r="T4994">
        <v>19501</v>
      </c>
      <c r="U4994">
        <v>22550</v>
      </c>
      <c r="V4994" t="s">
        <v>77</v>
      </c>
    </row>
    <row r="4995" spans="1:22">
      <c r="A4995" t="str">
        <f t="shared" si="896"/>
        <v>08/10/2025</v>
      </c>
      <c r="B4995" t="str">
        <f t="shared" si="907"/>
        <v>ENTRADA</v>
      </c>
      <c r="C4995" t="str">
        <f t="shared" ref="C4995:C5026" si="908">"NFSE"</f>
        <v>NFSE</v>
      </c>
      <c r="D4995" t="str">
        <f t="shared" si="906"/>
        <v>3410</v>
      </c>
      <c r="E4995" t="str">
        <f t="shared" ref="E4995:E5026" si="909">"1"</f>
        <v>1</v>
      </c>
      <c r="F4995" t="str">
        <f t="shared" si="897"/>
        <v>COM</v>
      </c>
      <c r="G4995" t="str">
        <f t="shared" si="905"/>
        <v>FARMÁCIA INDIANA LJ 1 (10126)</v>
      </c>
      <c r="H4995" t="s">
        <v>1438</v>
      </c>
      <c r="I4995" t="str">
        <f t="shared" ref="I4995:I5026" si="910">("08/10/2025")</f>
        <v>08/10/2025</v>
      </c>
      <c r="J4995" t="str">
        <f t="shared" ref="J4995:J5026" si="911">("26/09/2025")</f>
        <v>26/09/2025</v>
      </c>
      <c r="K4995">
        <v>45938</v>
      </c>
      <c r="N4995">
        <v>303</v>
      </c>
      <c r="O4995" t="s">
        <v>69</v>
      </c>
      <c r="Q4995">
        <v>3069.57</v>
      </c>
      <c r="R4995" t="str">
        <f>"FARMÁCIA INDIANA LJ 110 (10048)"</f>
        <v>FARMÁCIA INDIANA LJ 110 (10048)</v>
      </c>
      <c r="S4995" t="s">
        <v>70</v>
      </c>
      <c r="T4995">
        <v>19501</v>
      </c>
      <c r="U4995">
        <v>22550</v>
      </c>
      <c r="V4995" t="s">
        <v>77</v>
      </c>
    </row>
    <row r="4996" spans="1:22">
      <c r="A4996" t="str">
        <f t="shared" si="896"/>
        <v>08/10/2025</v>
      </c>
      <c r="B4996" t="str">
        <f t="shared" si="907"/>
        <v>ENTRADA</v>
      </c>
      <c r="C4996" t="str">
        <f t="shared" si="908"/>
        <v>NFSE</v>
      </c>
      <c r="D4996" t="str">
        <f t="shared" si="906"/>
        <v>3410</v>
      </c>
      <c r="E4996" t="str">
        <f t="shared" si="909"/>
        <v>1</v>
      </c>
      <c r="F4996" t="str">
        <f t="shared" si="897"/>
        <v>COM</v>
      </c>
      <c r="G4996" t="str">
        <f t="shared" si="905"/>
        <v>FARMÁCIA INDIANA LJ 1 (10126)</v>
      </c>
      <c r="H4996" t="s">
        <v>1438</v>
      </c>
      <c r="I4996" t="str">
        <f t="shared" si="910"/>
        <v>08/10/2025</v>
      </c>
      <c r="J4996" t="str">
        <f t="shared" si="911"/>
        <v>26/09/2025</v>
      </c>
      <c r="K4996">
        <v>45938</v>
      </c>
      <c r="N4996">
        <v>303</v>
      </c>
      <c r="O4996" t="s">
        <v>69</v>
      </c>
      <c r="Q4996">
        <v>590.62</v>
      </c>
      <c r="R4996" t="str">
        <f>"FARMÁCIA INDIANA LJ 111 (10049)"</f>
        <v>FARMÁCIA INDIANA LJ 111 (10049)</v>
      </c>
      <c r="S4996" t="s">
        <v>70</v>
      </c>
      <c r="T4996">
        <v>19501</v>
      </c>
      <c r="U4996">
        <v>22550</v>
      </c>
      <c r="V4996" t="s">
        <v>77</v>
      </c>
    </row>
    <row r="4997" spans="1:22">
      <c r="A4997" t="str">
        <f t="shared" si="896"/>
        <v>08/10/2025</v>
      </c>
      <c r="B4997" t="str">
        <f t="shared" si="907"/>
        <v>ENTRADA</v>
      </c>
      <c r="C4997" t="str">
        <f t="shared" si="908"/>
        <v>NFSE</v>
      </c>
      <c r="D4997" t="str">
        <f t="shared" si="906"/>
        <v>3410</v>
      </c>
      <c r="E4997" t="str">
        <f t="shared" si="909"/>
        <v>1</v>
      </c>
      <c r="F4997" t="str">
        <f t="shared" si="897"/>
        <v>COM</v>
      </c>
      <c r="G4997" t="str">
        <f t="shared" si="905"/>
        <v>FARMÁCIA INDIANA LJ 1 (10126)</v>
      </c>
      <c r="H4997" t="s">
        <v>1438</v>
      </c>
      <c r="I4997" t="str">
        <f t="shared" si="910"/>
        <v>08/10/2025</v>
      </c>
      <c r="J4997" t="str">
        <f t="shared" si="911"/>
        <v>26/09/2025</v>
      </c>
      <c r="K4997">
        <v>45938</v>
      </c>
      <c r="N4997">
        <v>303</v>
      </c>
      <c r="O4997" t="s">
        <v>69</v>
      </c>
      <c r="Q4997">
        <v>848.5</v>
      </c>
      <c r="R4997" t="str">
        <f>"FARMÁCIA INDIANA LJ 112 (10050)"</f>
        <v>FARMÁCIA INDIANA LJ 112 (10050)</v>
      </c>
      <c r="S4997" t="s">
        <v>70</v>
      </c>
      <c r="T4997">
        <v>19501</v>
      </c>
      <c r="U4997">
        <v>22550</v>
      </c>
      <c r="V4997" t="s">
        <v>77</v>
      </c>
    </row>
    <row r="4998" spans="1:22">
      <c r="A4998" t="str">
        <f t="shared" si="896"/>
        <v>08/10/2025</v>
      </c>
      <c r="B4998" t="str">
        <f t="shared" si="907"/>
        <v>ENTRADA</v>
      </c>
      <c r="C4998" t="str">
        <f t="shared" si="908"/>
        <v>NFSE</v>
      </c>
      <c r="D4998" t="str">
        <f t="shared" si="906"/>
        <v>3410</v>
      </c>
      <c r="E4998" t="str">
        <f t="shared" si="909"/>
        <v>1</v>
      </c>
      <c r="F4998" t="str">
        <f t="shared" si="897"/>
        <v>COM</v>
      </c>
      <c r="G4998" t="str">
        <f t="shared" si="905"/>
        <v>FARMÁCIA INDIANA LJ 1 (10126)</v>
      </c>
      <c r="H4998" t="s">
        <v>1438</v>
      </c>
      <c r="I4998" t="str">
        <f t="shared" si="910"/>
        <v>08/10/2025</v>
      </c>
      <c r="J4998" t="str">
        <f t="shared" si="911"/>
        <v>26/09/2025</v>
      </c>
      <c r="K4998">
        <v>45938</v>
      </c>
      <c r="N4998">
        <v>303</v>
      </c>
      <c r="O4998" t="s">
        <v>69</v>
      </c>
      <c r="Q4998">
        <v>848.5</v>
      </c>
      <c r="R4998" t="str">
        <f>"FARMÁCIA INDIANA LJ 116 (10051)"</f>
        <v>FARMÁCIA INDIANA LJ 116 (10051)</v>
      </c>
      <c r="S4998" t="s">
        <v>70</v>
      </c>
      <c r="T4998">
        <v>19501</v>
      </c>
      <c r="U4998">
        <v>22550</v>
      </c>
      <c r="V4998" t="s">
        <v>77</v>
      </c>
    </row>
    <row r="4999" spans="1:22">
      <c r="A4999" t="str">
        <f t="shared" si="896"/>
        <v>08/10/2025</v>
      </c>
      <c r="B4999" t="str">
        <f t="shared" si="907"/>
        <v>ENTRADA</v>
      </c>
      <c r="C4999" t="str">
        <f t="shared" si="908"/>
        <v>NFSE</v>
      </c>
      <c r="D4999" t="str">
        <f t="shared" si="906"/>
        <v>3410</v>
      </c>
      <c r="E4999" t="str">
        <f t="shared" si="909"/>
        <v>1</v>
      </c>
      <c r="F4999" t="str">
        <f t="shared" si="897"/>
        <v>COM</v>
      </c>
      <c r="G4999" t="str">
        <f t="shared" si="905"/>
        <v>FARMÁCIA INDIANA LJ 1 (10126)</v>
      </c>
      <c r="H4999" t="s">
        <v>1438</v>
      </c>
      <c r="I4999" t="str">
        <f t="shared" si="910"/>
        <v>08/10/2025</v>
      </c>
      <c r="J4999" t="str">
        <f t="shared" si="911"/>
        <v>26/09/2025</v>
      </c>
      <c r="K4999">
        <v>45938</v>
      </c>
      <c r="N4999">
        <v>303</v>
      </c>
      <c r="O4999" t="s">
        <v>69</v>
      </c>
      <c r="Q4999">
        <v>831.86</v>
      </c>
      <c r="R4999" t="str">
        <f>"FARMÁCIA INDIANA LJ 118 (10052)"</f>
        <v>FARMÁCIA INDIANA LJ 118 (10052)</v>
      </c>
      <c r="S4999" t="s">
        <v>70</v>
      </c>
      <c r="T4999">
        <v>19501</v>
      </c>
      <c r="U4999">
        <v>22550</v>
      </c>
      <c r="V4999" t="s">
        <v>77</v>
      </c>
    </row>
    <row r="5000" spans="1:22">
      <c r="A5000" t="str">
        <f t="shared" si="896"/>
        <v>08/10/2025</v>
      </c>
      <c r="B5000" t="str">
        <f t="shared" si="907"/>
        <v>ENTRADA</v>
      </c>
      <c r="C5000" t="str">
        <f t="shared" si="908"/>
        <v>NFSE</v>
      </c>
      <c r="D5000" t="str">
        <f t="shared" si="906"/>
        <v>3410</v>
      </c>
      <c r="E5000" t="str">
        <f t="shared" si="909"/>
        <v>1</v>
      </c>
      <c r="F5000" t="str">
        <f t="shared" si="897"/>
        <v>COM</v>
      </c>
      <c r="G5000" t="str">
        <f t="shared" si="905"/>
        <v>FARMÁCIA INDIANA LJ 1 (10126)</v>
      </c>
      <c r="H5000" t="s">
        <v>1438</v>
      </c>
      <c r="I5000" t="str">
        <f t="shared" si="910"/>
        <v>08/10/2025</v>
      </c>
      <c r="J5000" t="str">
        <f t="shared" si="911"/>
        <v>26/09/2025</v>
      </c>
      <c r="K5000">
        <v>45938</v>
      </c>
      <c r="N5000">
        <v>303</v>
      </c>
      <c r="O5000" t="s">
        <v>69</v>
      </c>
      <c r="Q5000">
        <v>848.5</v>
      </c>
      <c r="R5000" t="str">
        <f>"FARMÁCIA INDIANA LJ 121 (10054)"</f>
        <v>FARMÁCIA INDIANA LJ 121 (10054)</v>
      </c>
      <c r="S5000" t="s">
        <v>70</v>
      </c>
      <c r="T5000">
        <v>19501</v>
      </c>
      <c r="U5000">
        <v>22550</v>
      </c>
      <c r="V5000" t="s">
        <v>77</v>
      </c>
    </row>
    <row r="5001" spans="1:22">
      <c r="A5001" t="str">
        <f t="shared" si="896"/>
        <v>08/10/2025</v>
      </c>
      <c r="B5001" t="str">
        <f t="shared" si="907"/>
        <v>ENTRADA</v>
      </c>
      <c r="C5001" t="str">
        <f t="shared" si="908"/>
        <v>NFSE</v>
      </c>
      <c r="D5001" t="str">
        <f t="shared" si="906"/>
        <v>3410</v>
      </c>
      <c r="E5001" t="str">
        <f t="shared" si="909"/>
        <v>1</v>
      </c>
      <c r="F5001" t="str">
        <f t="shared" si="897"/>
        <v>COM</v>
      </c>
      <c r="G5001" t="str">
        <f t="shared" si="905"/>
        <v>FARMÁCIA INDIANA LJ 1 (10126)</v>
      </c>
      <c r="H5001" t="s">
        <v>1438</v>
      </c>
      <c r="I5001" t="str">
        <f t="shared" si="910"/>
        <v>08/10/2025</v>
      </c>
      <c r="J5001" t="str">
        <f t="shared" si="911"/>
        <v>26/09/2025</v>
      </c>
      <c r="K5001">
        <v>45938</v>
      </c>
      <c r="N5001">
        <v>303</v>
      </c>
      <c r="O5001" t="s">
        <v>69</v>
      </c>
      <c r="Q5001">
        <v>848.5</v>
      </c>
      <c r="R5001" t="str">
        <f>"FARMÁCIA INDIANA LJ 128 (10057)"</f>
        <v>FARMÁCIA INDIANA LJ 128 (10057)</v>
      </c>
      <c r="S5001" t="s">
        <v>70</v>
      </c>
      <c r="T5001">
        <v>19501</v>
      </c>
      <c r="U5001">
        <v>22550</v>
      </c>
      <c r="V5001" t="s">
        <v>77</v>
      </c>
    </row>
    <row r="5002" spans="1:22">
      <c r="A5002" t="str">
        <f t="shared" si="896"/>
        <v>08/10/2025</v>
      </c>
      <c r="B5002" t="str">
        <f t="shared" si="907"/>
        <v>ENTRADA</v>
      </c>
      <c r="C5002" t="str">
        <f t="shared" si="908"/>
        <v>NFSE</v>
      </c>
      <c r="D5002" t="str">
        <f t="shared" si="906"/>
        <v>3410</v>
      </c>
      <c r="E5002" t="str">
        <f t="shared" si="909"/>
        <v>1</v>
      </c>
      <c r="F5002" t="str">
        <f t="shared" si="897"/>
        <v>COM</v>
      </c>
      <c r="G5002" t="str">
        <f t="shared" si="905"/>
        <v>FARMÁCIA INDIANA LJ 1 (10126)</v>
      </c>
      <c r="H5002" t="s">
        <v>1438</v>
      </c>
      <c r="I5002" t="str">
        <f t="shared" si="910"/>
        <v>08/10/2025</v>
      </c>
      <c r="J5002" t="str">
        <f t="shared" si="911"/>
        <v>26/09/2025</v>
      </c>
      <c r="K5002">
        <v>45938</v>
      </c>
      <c r="N5002">
        <v>303</v>
      </c>
      <c r="O5002" t="s">
        <v>69</v>
      </c>
      <c r="Q5002">
        <v>249.56</v>
      </c>
      <c r="R5002" t="str">
        <f>"FARMÁCIA INDIANA LJ 140 (10064)"</f>
        <v>FARMÁCIA INDIANA LJ 140 (10064)</v>
      </c>
      <c r="S5002" t="s">
        <v>70</v>
      </c>
      <c r="T5002">
        <v>19501</v>
      </c>
      <c r="U5002">
        <v>22550</v>
      </c>
      <c r="V5002" t="s">
        <v>77</v>
      </c>
    </row>
    <row r="5003" spans="1:22">
      <c r="A5003" t="str">
        <f t="shared" si="896"/>
        <v>08/10/2025</v>
      </c>
      <c r="B5003" t="str">
        <f t="shared" si="907"/>
        <v>ENTRADA</v>
      </c>
      <c r="C5003" t="str">
        <f t="shared" si="908"/>
        <v>NFSE</v>
      </c>
      <c r="D5003" t="str">
        <f t="shared" si="906"/>
        <v>3410</v>
      </c>
      <c r="E5003" t="str">
        <f t="shared" si="909"/>
        <v>1</v>
      </c>
      <c r="F5003" t="str">
        <f t="shared" si="897"/>
        <v>COM</v>
      </c>
      <c r="G5003" t="str">
        <f t="shared" si="905"/>
        <v>FARMÁCIA INDIANA LJ 1 (10126)</v>
      </c>
      <c r="H5003" t="s">
        <v>1438</v>
      </c>
      <c r="I5003" t="str">
        <f t="shared" si="910"/>
        <v>08/10/2025</v>
      </c>
      <c r="J5003" t="str">
        <f t="shared" si="911"/>
        <v>26/09/2025</v>
      </c>
      <c r="K5003">
        <v>45938</v>
      </c>
      <c r="N5003">
        <v>303</v>
      </c>
      <c r="O5003" t="s">
        <v>69</v>
      </c>
      <c r="Q5003">
        <v>108.14</v>
      </c>
      <c r="R5003" t="str">
        <f>"FARMÁCIA INDIANA LJ 141 (10065)"</f>
        <v>FARMÁCIA INDIANA LJ 141 (10065)</v>
      </c>
      <c r="S5003" t="s">
        <v>70</v>
      </c>
      <c r="T5003">
        <v>19501</v>
      </c>
      <c r="U5003">
        <v>22550</v>
      </c>
      <c r="V5003" t="s">
        <v>77</v>
      </c>
    </row>
    <row r="5004" spans="1:22">
      <c r="A5004" t="str">
        <f t="shared" si="896"/>
        <v>08/10/2025</v>
      </c>
      <c r="B5004" t="str">
        <f t="shared" si="907"/>
        <v>ENTRADA</v>
      </c>
      <c r="C5004" t="str">
        <f t="shared" si="908"/>
        <v>NFSE</v>
      </c>
      <c r="D5004" t="str">
        <f t="shared" si="906"/>
        <v>3410</v>
      </c>
      <c r="E5004" t="str">
        <f t="shared" si="909"/>
        <v>1</v>
      </c>
      <c r="F5004" t="str">
        <f t="shared" si="897"/>
        <v>COM</v>
      </c>
      <c r="G5004" t="str">
        <f t="shared" si="905"/>
        <v>FARMÁCIA INDIANA LJ 1 (10126)</v>
      </c>
      <c r="H5004" t="s">
        <v>1438</v>
      </c>
      <c r="I5004" t="str">
        <f t="shared" si="910"/>
        <v>08/10/2025</v>
      </c>
      <c r="J5004" t="str">
        <f t="shared" si="911"/>
        <v>26/09/2025</v>
      </c>
      <c r="K5004">
        <v>45938</v>
      </c>
      <c r="N5004">
        <v>303</v>
      </c>
      <c r="O5004" t="s">
        <v>69</v>
      </c>
      <c r="Q5004">
        <v>4059.48</v>
      </c>
      <c r="R5004" t="str">
        <f>"FARMÁCIA INDIANA LJ 142 (10066)"</f>
        <v>FARMÁCIA INDIANA LJ 142 (10066)</v>
      </c>
      <c r="S5004" t="s">
        <v>70</v>
      </c>
      <c r="T5004">
        <v>19501</v>
      </c>
      <c r="U5004">
        <v>22550</v>
      </c>
      <c r="V5004" t="s">
        <v>77</v>
      </c>
    </row>
    <row r="5005" spans="1:22">
      <c r="A5005" t="str">
        <f t="shared" si="896"/>
        <v>08/10/2025</v>
      </c>
      <c r="B5005" t="str">
        <f t="shared" si="907"/>
        <v>ENTRADA</v>
      </c>
      <c r="C5005" t="str">
        <f t="shared" si="908"/>
        <v>NFSE</v>
      </c>
      <c r="D5005" t="str">
        <f t="shared" si="906"/>
        <v>3410</v>
      </c>
      <c r="E5005" t="str">
        <f t="shared" si="909"/>
        <v>1</v>
      </c>
      <c r="F5005" t="str">
        <f t="shared" si="897"/>
        <v>COM</v>
      </c>
      <c r="G5005" t="str">
        <f t="shared" si="905"/>
        <v>FARMÁCIA INDIANA LJ 1 (10126)</v>
      </c>
      <c r="H5005" t="s">
        <v>1438</v>
      </c>
      <c r="I5005" t="str">
        <f t="shared" si="910"/>
        <v>08/10/2025</v>
      </c>
      <c r="J5005" t="str">
        <f t="shared" si="911"/>
        <v>26/09/2025</v>
      </c>
      <c r="K5005">
        <v>45938</v>
      </c>
      <c r="N5005">
        <v>303</v>
      </c>
      <c r="O5005" t="s">
        <v>69</v>
      </c>
      <c r="Q5005">
        <v>607.26</v>
      </c>
      <c r="R5005" t="str">
        <f>"FARMÁCIA INDIANA LJ 143 (10067)"</f>
        <v>FARMÁCIA INDIANA LJ 143 (10067)</v>
      </c>
      <c r="S5005" t="s">
        <v>70</v>
      </c>
      <c r="T5005">
        <v>19501</v>
      </c>
      <c r="U5005">
        <v>22550</v>
      </c>
      <c r="V5005" t="s">
        <v>77</v>
      </c>
    </row>
    <row r="5006" spans="1:22">
      <c r="A5006" t="str">
        <f t="shared" si="896"/>
        <v>08/10/2025</v>
      </c>
      <c r="B5006" t="str">
        <f t="shared" si="907"/>
        <v>ENTRADA</v>
      </c>
      <c r="C5006" t="str">
        <f t="shared" si="908"/>
        <v>NFSE</v>
      </c>
      <c r="D5006" t="str">
        <f t="shared" si="906"/>
        <v>3410</v>
      </c>
      <c r="E5006" t="str">
        <f t="shared" si="909"/>
        <v>1</v>
      </c>
      <c r="F5006" t="str">
        <f t="shared" si="897"/>
        <v>COM</v>
      </c>
      <c r="G5006" t="str">
        <f t="shared" si="905"/>
        <v>FARMÁCIA INDIANA LJ 1 (10126)</v>
      </c>
      <c r="H5006" t="s">
        <v>1438</v>
      </c>
      <c r="I5006" t="str">
        <f t="shared" si="910"/>
        <v>08/10/2025</v>
      </c>
      <c r="J5006" t="str">
        <f t="shared" si="911"/>
        <v>26/09/2025</v>
      </c>
      <c r="K5006">
        <v>45938</v>
      </c>
      <c r="N5006">
        <v>303</v>
      </c>
      <c r="O5006" t="s">
        <v>69</v>
      </c>
      <c r="Q5006">
        <v>2104.61</v>
      </c>
      <c r="R5006" t="str">
        <f>"FARMÁCIA INDIANA LJ 152 (10069)"</f>
        <v>FARMÁCIA INDIANA LJ 152 (10069)</v>
      </c>
      <c r="S5006" t="s">
        <v>70</v>
      </c>
      <c r="T5006">
        <v>19501</v>
      </c>
      <c r="U5006">
        <v>22550</v>
      </c>
      <c r="V5006" t="s">
        <v>77</v>
      </c>
    </row>
    <row r="5007" spans="1:22">
      <c r="A5007" t="str">
        <f t="shared" ref="A5007:A5059" si="912">("08/10/2025")</f>
        <v>08/10/2025</v>
      </c>
      <c r="B5007" t="str">
        <f t="shared" si="907"/>
        <v>ENTRADA</v>
      </c>
      <c r="C5007" t="str">
        <f t="shared" si="908"/>
        <v>NFSE</v>
      </c>
      <c r="D5007" t="str">
        <f t="shared" si="906"/>
        <v>3410</v>
      </c>
      <c r="E5007" t="str">
        <f t="shared" si="909"/>
        <v>1</v>
      </c>
      <c r="F5007" t="str">
        <f t="shared" ref="F5007:F5056" si="913">"COM"</f>
        <v>COM</v>
      </c>
      <c r="G5007" t="str">
        <f t="shared" si="905"/>
        <v>FARMÁCIA INDIANA LJ 1 (10126)</v>
      </c>
      <c r="H5007" t="s">
        <v>1438</v>
      </c>
      <c r="I5007" t="str">
        <f t="shared" si="910"/>
        <v>08/10/2025</v>
      </c>
      <c r="J5007" t="str">
        <f t="shared" si="911"/>
        <v>26/09/2025</v>
      </c>
      <c r="K5007">
        <v>45938</v>
      </c>
      <c r="N5007">
        <v>303</v>
      </c>
      <c r="O5007" t="s">
        <v>69</v>
      </c>
      <c r="Q5007">
        <v>316.11</v>
      </c>
      <c r="R5007" t="str">
        <f>"FARMÁCIA INDIANA LJ 154 (10070)"</f>
        <v>FARMÁCIA INDIANA LJ 154 (10070)</v>
      </c>
      <c r="S5007" t="s">
        <v>70</v>
      </c>
      <c r="T5007">
        <v>19501</v>
      </c>
      <c r="U5007">
        <v>22550</v>
      </c>
      <c r="V5007" t="s">
        <v>77</v>
      </c>
    </row>
    <row r="5008" spans="1:22">
      <c r="A5008" t="str">
        <f t="shared" si="912"/>
        <v>08/10/2025</v>
      </c>
      <c r="B5008" t="str">
        <f t="shared" si="907"/>
        <v>ENTRADA</v>
      </c>
      <c r="C5008" t="str">
        <f t="shared" si="908"/>
        <v>NFSE</v>
      </c>
      <c r="D5008" t="str">
        <f t="shared" si="906"/>
        <v>3410</v>
      </c>
      <c r="E5008" t="str">
        <f t="shared" si="909"/>
        <v>1</v>
      </c>
      <c r="F5008" t="str">
        <f t="shared" si="913"/>
        <v>COM</v>
      </c>
      <c r="G5008" t="str">
        <f t="shared" ref="G5008:G5025" si="914">"FARMÁCIA INDIANA LJ 1 (10126)"</f>
        <v>FARMÁCIA INDIANA LJ 1 (10126)</v>
      </c>
      <c r="H5008" t="s">
        <v>1438</v>
      </c>
      <c r="I5008" t="str">
        <f t="shared" si="910"/>
        <v>08/10/2025</v>
      </c>
      <c r="J5008" t="str">
        <f t="shared" si="911"/>
        <v>26/09/2025</v>
      </c>
      <c r="K5008">
        <v>45938</v>
      </c>
      <c r="N5008">
        <v>303</v>
      </c>
      <c r="O5008" t="s">
        <v>69</v>
      </c>
      <c r="Q5008">
        <v>1821.78</v>
      </c>
      <c r="R5008" t="str">
        <f>"FARMÁCIA INDIANA LJ 171 (10074)"</f>
        <v>FARMÁCIA INDIANA LJ 171 (10074)</v>
      </c>
      <c r="S5008" t="s">
        <v>70</v>
      </c>
      <c r="T5008">
        <v>19501</v>
      </c>
      <c r="U5008">
        <v>22550</v>
      </c>
      <c r="V5008" t="s">
        <v>77</v>
      </c>
    </row>
    <row r="5009" spans="1:22">
      <c r="A5009" t="str">
        <f t="shared" si="912"/>
        <v>08/10/2025</v>
      </c>
      <c r="B5009" t="str">
        <f t="shared" si="907"/>
        <v>ENTRADA</v>
      </c>
      <c r="C5009" t="str">
        <f t="shared" si="908"/>
        <v>NFSE</v>
      </c>
      <c r="D5009" t="str">
        <f t="shared" si="906"/>
        <v>3410</v>
      </c>
      <c r="E5009" t="str">
        <f t="shared" si="909"/>
        <v>1</v>
      </c>
      <c r="F5009" t="str">
        <f t="shared" si="913"/>
        <v>COM</v>
      </c>
      <c r="G5009" t="str">
        <f t="shared" si="914"/>
        <v>FARMÁCIA INDIANA LJ 1 (10126)</v>
      </c>
      <c r="H5009" t="s">
        <v>1438</v>
      </c>
      <c r="I5009" t="str">
        <f t="shared" si="910"/>
        <v>08/10/2025</v>
      </c>
      <c r="J5009" t="str">
        <f t="shared" si="911"/>
        <v>26/09/2025</v>
      </c>
      <c r="K5009">
        <v>45938</v>
      </c>
      <c r="N5009">
        <v>303</v>
      </c>
      <c r="O5009" t="s">
        <v>69</v>
      </c>
      <c r="Q5009">
        <v>698.76</v>
      </c>
      <c r="R5009" t="str">
        <f>"FARMÁCIA INDIANA LJ 175 (10076)"</f>
        <v>FARMÁCIA INDIANA LJ 175 (10076)</v>
      </c>
      <c r="S5009" t="s">
        <v>70</v>
      </c>
      <c r="T5009">
        <v>19501</v>
      </c>
      <c r="U5009">
        <v>22550</v>
      </c>
      <c r="V5009" t="s">
        <v>77</v>
      </c>
    </row>
    <row r="5010" spans="1:22">
      <c r="A5010" t="str">
        <f t="shared" si="912"/>
        <v>08/10/2025</v>
      </c>
      <c r="B5010" t="str">
        <f t="shared" si="907"/>
        <v>ENTRADA</v>
      </c>
      <c r="C5010" t="str">
        <f t="shared" si="908"/>
        <v>NFSE</v>
      </c>
      <c r="D5010" t="str">
        <f t="shared" si="906"/>
        <v>3410</v>
      </c>
      <c r="E5010" t="str">
        <f t="shared" si="909"/>
        <v>1</v>
      </c>
      <c r="F5010" t="str">
        <f t="shared" si="913"/>
        <v>COM</v>
      </c>
      <c r="G5010" t="str">
        <f t="shared" si="914"/>
        <v>FARMÁCIA INDIANA LJ 1 (10126)</v>
      </c>
      <c r="H5010" t="s">
        <v>1438</v>
      </c>
      <c r="I5010" t="str">
        <f t="shared" si="910"/>
        <v>08/10/2025</v>
      </c>
      <c r="J5010" t="str">
        <f t="shared" si="911"/>
        <v>26/09/2025</v>
      </c>
      <c r="K5010">
        <v>45938</v>
      </c>
      <c r="N5010">
        <v>303</v>
      </c>
      <c r="O5010" t="s">
        <v>69</v>
      </c>
      <c r="Q5010">
        <v>989.92</v>
      </c>
      <c r="R5010" t="str">
        <f>"FARMÁCIA INDIANA LJ 178 (10077)"</f>
        <v>FARMÁCIA INDIANA LJ 178 (10077)</v>
      </c>
      <c r="S5010" t="s">
        <v>70</v>
      </c>
      <c r="T5010">
        <v>19501</v>
      </c>
      <c r="U5010">
        <v>22550</v>
      </c>
      <c r="V5010" t="s">
        <v>77</v>
      </c>
    </row>
    <row r="5011" spans="1:22">
      <c r="A5011" t="str">
        <f t="shared" si="912"/>
        <v>08/10/2025</v>
      </c>
      <c r="B5011" t="str">
        <f t="shared" si="907"/>
        <v>ENTRADA</v>
      </c>
      <c r="C5011" t="str">
        <f t="shared" si="908"/>
        <v>NFSE</v>
      </c>
      <c r="D5011" t="str">
        <f t="shared" si="906"/>
        <v>3410</v>
      </c>
      <c r="E5011" t="str">
        <f t="shared" si="909"/>
        <v>1</v>
      </c>
      <c r="F5011" t="str">
        <f t="shared" si="913"/>
        <v>COM</v>
      </c>
      <c r="G5011" t="str">
        <f t="shared" si="914"/>
        <v>FARMÁCIA INDIANA LJ 1 (10126)</v>
      </c>
      <c r="H5011" t="s">
        <v>1438</v>
      </c>
      <c r="I5011" t="str">
        <f t="shared" si="910"/>
        <v>08/10/2025</v>
      </c>
      <c r="J5011" t="str">
        <f t="shared" si="911"/>
        <v>26/09/2025</v>
      </c>
      <c r="K5011">
        <v>45938</v>
      </c>
      <c r="N5011">
        <v>303</v>
      </c>
      <c r="O5011" t="s">
        <v>69</v>
      </c>
      <c r="Q5011">
        <v>424.25</v>
      </c>
      <c r="R5011" t="str">
        <f>"FARMÁCIA INDIANA LJ 182 (10079)"</f>
        <v>FARMÁCIA INDIANA LJ 182 (10079)</v>
      </c>
      <c r="S5011" t="s">
        <v>70</v>
      </c>
      <c r="T5011">
        <v>19501</v>
      </c>
      <c r="U5011">
        <v>22550</v>
      </c>
      <c r="V5011" t="s">
        <v>77</v>
      </c>
    </row>
    <row r="5012" spans="1:22">
      <c r="A5012" t="str">
        <f t="shared" si="912"/>
        <v>08/10/2025</v>
      </c>
      <c r="B5012" t="str">
        <f t="shared" si="907"/>
        <v>ENTRADA</v>
      </c>
      <c r="C5012" t="str">
        <f t="shared" si="908"/>
        <v>NFSE</v>
      </c>
      <c r="D5012" t="str">
        <f t="shared" si="906"/>
        <v>3410</v>
      </c>
      <c r="E5012" t="str">
        <f t="shared" si="909"/>
        <v>1</v>
      </c>
      <c r="F5012" t="str">
        <f t="shared" si="913"/>
        <v>COM</v>
      </c>
      <c r="G5012" t="str">
        <f t="shared" si="914"/>
        <v>FARMÁCIA INDIANA LJ 1 (10126)</v>
      </c>
      <c r="H5012" t="s">
        <v>1438</v>
      </c>
      <c r="I5012" t="str">
        <f t="shared" si="910"/>
        <v>08/10/2025</v>
      </c>
      <c r="J5012" t="str">
        <f t="shared" si="911"/>
        <v>26/09/2025</v>
      </c>
      <c r="K5012">
        <v>45938</v>
      </c>
      <c r="N5012">
        <v>303</v>
      </c>
      <c r="O5012" t="s">
        <v>69</v>
      </c>
      <c r="Q5012">
        <v>357.7</v>
      </c>
      <c r="R5012" t="str">
        <f>"FARMÁCIA INDIANA LJ 184 (10080)"</f>
        <v>FARMÁCIA INDIANA LJ 184 (10080)</v>
      </c>
      <c r="S5012" t="s">
        <v>70</v>
      </c>
      <c r="T5012">
        <v>19501</v>
      </c>
      <c r="U5012">
        <v>22550</v>
      </c>
      <c r="V5012" t="s">
        <v>77</v>
      </c>
    </row>
    <row r="5013" spans="1:22">
      <c r="A5013" t="str">
        <f t="shared" si="912"/>
        <v>08/10/2025</v>
      </c>
      <c r="B5013" t="str">
        <f t="shared" si="907"/>
        <v>ENTRADA</v>
      </c>
      <c r="C5013" t="str">
        <f t="shared" si="908"/>
        <v>NFSE</v>
      </c>
      <c r="D5013" t="str">
        <f t="shared" si="906"/>
        <v>3410</v>
      </c>
      <c r="E5013" t="str">
        <f t="shared" si="909"/>
        <v>1</v>
      </c>
      <c r="F5013" t="str">
        <f t="shared" si="913"/>
        <v>COM</v>
      </c>
      <c r="G5013" t="str">
        <f t="shared" si="914"/>
        <v>FARMÁCIA INDIANA LJ 1 (10126)</v>
      </c>
      <c r="H5013" t="s">
        <v>1438</v>
      </c>
      <c r="I5013" t="str">
        <f t="shared" si="910"/>
        <v>08/10/2025</v>
      </c>
      <c r="J5013" t="str">
        <f t="shared" si="911"/>
        <v>26/09/2025</v>
      </c>
      <c r="K5013">
        <v>45938</v>
      </c>
      <c r="N5013">
        <v>303</v>
      </c>
      <c r="O5013" t="s">
        <v>69</v>
      </c>
      <c r="Q5013">
        <v>424.25</v>
      </c>
      <c r="R5013" t="str">
        <f>"FARMÁCIA INDIANA LJ 186 (10081)"</f>
        <v>FARMÁCIA INDIANA LJ 186 (10081)</v>
      </c>
      <c r="S5013" t="s">
        <v>70</v>
      </c>
      <c r="T5013">
        <v>19501</v>
      </c>
      <c r="U5013">
        <v>22550</v>
      </c>
      <c r="V5013" t="s">
        <v>77</v>
      </c>
    </row>
    <row r="5014" spans="1:22">
      <c r="A5014" t="str">
        <f t="shared" si="912"/>
        <v>08/10/2025</v>
      </c>
      <c r="B5014" t="str">
        <f t="shared" si="907"/>
        <v>ENTRADA</v>
      </c>
      <c r="C5014" t="str">
        <f t="shared" si="908"/>
        <v>NFSE</v>
      </c>
      <c r="D5014" t="str">
        <f t="shared" si="906"/>
        <v>3410</v>
      </c>
      <c r="E5014" t="str">
        <f t="shared" si="909"/>
        <v>1</v>
      </c>
      <c r="F5014" t="str">
        <f t="shared" si="913"/>
        <v>COM</v>
      </c>
      <c r="G5014" t="str">
        <f t="shared" si="914"/>
        <v>FARMÁCIA INDIANA LJ 1 (10126)</v>
      </c>
      <c r="H5014" t="s">
        <v>1438</v>
      </c>
      <c r="I5014" t="str">
        <f t="shared" si="910"/>
        <v>08/10/2025</v>
      </c>
      <c r="J5014" t="str">
        <f t="shared" si="911"/>
        <v>26/09/2025</v>
      </c>
      <c r="K5014">
        <v>45938</v>
      </c>
      <c r="N5014">
        <v>303</v>
      </c>
      <c r="O5014" t="s">
        <v>69</v>
      </c>
      <c r="Q5014">
        <v>831.86</v>
      </c>
      <c r="R5014" t="str">
        <f>"FARMÁCIA INDIANA LJ 192 (10082)"</f>
        <v>FARMÁCIA INDIANA LJ 192 (10082)</v>
      </c>
      <c r="S5014" t="s">
        <v>70</v>
      </c>
      <c r="T5014">
        <v>19501</v>
      </c>
      <c r="U5014">
        <v>22550</v>
      </c>
      <c r="V5014" t="s">
        <v>77</v>
      </c>
    </row>
    <row r="5015" spans="1:22">
      <c r="A5015" t="str">
        <f t="shared" si="912"/>
        <v>08/10/2025</v>
      </c>
      <c r="B5015" t="str">
        <f t="shared" si="907"/>
        <v>ENTRADA</v>
      </c>
      <c r="C5015" t="str">
        <f t="shared" si="908"/>
        <v>NFSE</v>
      </c>
      <c r="D5015" t="str">
        <f t="shared" si="906"/>
        <v>3410</v>
      </c>
      <c r="E5015" t="str">
        <f t="shared" si="909"/>
        <v>1</v>
      </c>
      <c r="F5015" t="str">
        <f t="shared" si="913"/>
        <v>COM</v>
      </c>
      <c r="G5015" t="str">
        <f t="shared" si="914"/>
        <v>FARMÁCIA INDIANA LJ 1 (10126)</v>
      </c>
      <c r="H5015" t="s">
        <v>1438</v>
      </c>
      <c r="I5015" t="str">
        <f t="shared" si="910"/>
        <v>08/10/2025</v>
      </c>
      <c r="J5015" t="str">
        <f t="shared" si="911"/>
        <v>26/09/2025</v>
      </c>
      <c r="K5015">
        <v>45938</v>
      </c>
      <c r="N5015">
        <v>303</v>
      </c>
      <c r="O5015" t="s">
        <v>69</v>
      </c>
      <c r="Q5015">
        <v>357.7</v>
      </c>
      <c r="R5015" t="str">
        <f>"FARMÁCIA INDIANA LJ 195 (10083)"</f>
        <v>FARMÁCIA INDIANA LJ 195 (10083)</v>
      </c>
      <c r="S5015" t="s">
        <v>70</v>
      </c>
      <c r="T5015">
        <v>19501</v>
      </c>
      <c r="U5015">
        <v>22550</v>
      </c>
      <c r="V5015" t="s">
        <v>77</v>
      </c>
    </row>
    <row r="5016" spans="1:22">
      <c r="A5016" t="str">
        <f t="shared" si="912"/>
        <v>08/10/2025</v>
      </c>
      <c r="B5016" t="str">
        <f t="shared" si="907"/>
        <v>ENTRADA</v>
      </c>
      <c r="C5016" t="str">
        <f t="shared" si="908"/>
        <v>NFSE</v>
      </c>
      <c r="D5016" t="str">
        <f t="shared" si="906"/>
        <v>3410</v>
      </c>
      <c r="E5016" t="str">
        <f t="shared" si="909"/>
        <v>1</v>
      </c>
      <c r="F5016" t="str">
        <f t="shared" si="913"/>
        <v>COM</v>
      </c>
      <c r="G5016" t="str">
        <f t="shared" si="914"/>
        <v>FARMÁCIA INDIANA LJ 1 (10126)</v>
      </c>
      <c r="H5016" t="s">
        <v>1438</v>
      </c>
      <c r="I5016" t="str">
        <f t="shared" si="910"/>
        <v>08/10/2025</v>
      </c>
      <c r="J5016" t="str">
        <f t="shared" si="911"/>
        <v>26/09/2025</v>
      </c>
      <c r="K5016">
        <v>45938</v>
      </c>
      <c r="N5016">
        <v>303</v>
      </c>
      <c r="O5016" t="s">
        <v>69</v>
      </c>
      <c r="Q5016">
        <v>848.5</v>
      </c>
      <c r="R5016" t="str">
        <f>"FARMÁCIA INDIANA LJ 202 (10085)"</f>
        <v>FARMÁCIA INDIANA LJ 202 (10085)</v>
      </c>
      <c r="S5016" t="s">
        <v>70</v>
      </c>
      <c r="T5016">
        <v>19501</v>
      </c>
      <c r="U5016">
        <v>22550</v>
      </c>
      <c r="V5016" t="s">
        <v>77</v>
      </c>
    </row>
    <row r="5017" spans="1:22">
      <c r="A5017" t="str">
        <f t="shared" si="912"/>
        <v>08/10/2025</v>
      </c>
      <c r="B5017" t="str">
        <f t="shared" si="907"/>
        <v>ENTRADA</v>
      </c>
      <c r="C5017" t="str">
        <f t="shared" si="908"/>
        <v>NFSE</v>
      </c>
      <c r="D5017" t="str">
        <f t="shared" si="906"/>
        <v>3410</v>
      </c>
      <c r="E5017" t="str">
        <f t="shared" si="909"/>
        <v>1</v>
      </c>
      <c r="F5017" t="str">
        <f t="shared" si="913"/>
        <v>COM</v>
      </c>
      <c r="G5017" t="str">
        <f t="shared" si="914"/>
        <v>FARMÁCIA INDIANA LJ 1 (10126)</v>
      </c>
      <c r="H5017" t="s">
        <v>1438</v>
      </c>
      <c r="I5017" t="str">
        <f t="shared" si="910"/>
        <v>08/10/2025</v>
      </c>
      <c r="J5017" t="str">
        <f t="shared" si="911"/>
        <v>26/09/2025</v>
      </c>
      <c r="K5017">
        <v>45938</v>
      </c>
      <c r="N5017">
        <v>303</v>
      </c>
      <c r="O5017" t="s">
        <v>69</v>
      </c>
      <c r="Q5017">
        <v>723.72</v>
      </c>
      <c r="R5017" t="str">
        <f>"FARMÁCIA INDIANA LJ 204 (10087)"</f>
        <v>FARMÁCIA INDIANA LJ 204 (10087)</v>
      </c>
      <c r="S5017" t="s">
        <v>70</v>
      </c>
      <c r="T5017">
        <v>19501</v>
      </c>
      <c r="U5017">
        <v>22550</v>
      </c>
      <c r="V5017" t="s">
        <v>77</v>
      </c>
    </row>
    <row r="5018" spans="1:22">
      <c r="A5018" t="str">
        <f t="shared" si="912"/>
        <v>08/10/2025</v>
      </c>
      <c r="B5018" t="str">
        <f t="shared" si="907"/>
        <v>ENTRADA</v>
      </c>
      <c r="C5018" t="str">
        <f t="shared" si="908"/>
        <v>NFSE</v>
      </c>
      <c r="D5018" t="str">
        <f t="shared" si="906"/>
        <v>3410</v>
      </c>
      <c r="E5018" t="str">
        <f t="shared" si="909"/>
        <v>1</v>
      </c>
      <c r="F5018" t="str">
        <f t="shared" si="913"/>
        <v>COM</v>
      </c>
      <c r="G5018" t="str">
        <f t="shared" si="914"/>
        <v>FARMÁCIA INDIANA LJ 1 (10126)</v>
      </c>
      <c r="H5018" t="s">
        <v>1438</v>
      </c>
      <c r="I5018" t="str">
        <f t="shared" si="910"/>
        <v>08/10/2025</v>
      </c>
      <c r="J5018" t="str">
        <f t="shared" si="911"/>
        <v>26/09/2025</v>
      </c>
      <c r="K5018">
        <v>45938</v>
      </c>
      <c r="N5018">
        <v>303</v>
      </c>
      <c r="O5018" t="s">
        <v>69</v>
      </c>
      <c r="Q5018">
        <v>1139.6500000000001</v>
      </c>
      <c r="R5018" t="str">
        <f>"FARMÁCIA INDIANA LJ 207 (10088)"</f>
        <v>FARMÁCIA INDIANA LJ 207 (10088)</v>
      </c>
      <c r="S5018" t="s">
        <v>70</v>
      </c>
      <c r="T5018">
        <v>19501</v>
      </c>
      <c r="U5018">
        <v>22550</v>
      </c>
      <c r="V5018" t="s">
        <v>77</v>
      </c>
    </row>
    <row r="5019" spans="1:22">
      <c r="A5019" t="str">
        <f t="shared" si="912"/>
        <v>08/10/2025</v>
      </c>
      <c r="B5019" t="str">
        <f t="shared" si="907"/>
        <v>ENTRADA</v>
      </c>
      <c r="C5019" t="str">
        <f t="shared" si="908"/>
        <v>NFSE</v>
      </c>
      <c r="D5019" t="str">
        <f t="shared" si="906"/>
        <v>3410</v>
      </c>
      <c r="E5019" t="str">
        <f t="shared" si="909"/>
        <v>1</v>
      </c>
      <c r="F5019" t="str">
        <f t="shared" si="913"/>
        <v>COM</v>
      </c>
      <c r="G5019" t="str">
        <f t="shared" si="914"/>
        <v>FARMÁCIA INDIANA LJ 1 (10126)</v>
      </c>
      <c r="H5019" t="s">
        <v>1438</v>
      </c>
      <c r="I5019" t="str">
        <f t="shared" si="910"/>
        <v>08/10/2025</v>
      </c>
      <c r="J5019" t="str">
        <f t="shared" si="911"/>
        <v>26/09/2025</v>
      </c>
      <c r="K5019">
        <v>45938</v>
      </c>
      <c r="N5019">
        <v>303</v>
      </c>
      <c r="O5019" t="s">
        <v>69</v>
      </c>
      <c r="Q5019">
        <v>1131.33</v>
      </c>
      <c r="R5019" t="str">
        <f>"FARMÁCIA INDIANA LJ 209 (10089)"</f>
        <v>FARMÁCIA INDIANA LJ 209 (10089)</v>
      </c>
      <c r="S5019" t="s">
        <v>70</v>
      </c>
      <c r="T5019">
        <v>19501</v>
      </c>
      <c r="U5019">
        <v>22550</v>
      </c>
      <c r="V5019" t="s">
        <v>77</v>
      </c>
    </row>
    <row r="5020" spans="1:22">
      <c r="A5020" t="str">
        <f t="shared" si="912"/>
        <v>08/10/2025</v>
      </c>
      <c r="B5020" t="str">
        <f t="shared" si="907"/>
        <v>ENTRADA</v>
      </c>
      <c r="C5020" t="str">
        <f t="shared" si="908"/>
        <v>NFSE</v>
      </c>
      <c r="D5020" t="str">
        <f t="shared" si="906"/>
        <v>3410</v>
      </c>
      <c r="E5020" t="str">
        <f t="shared" si="909"/>
        <v>1</v>
      </c>
      <c r="F5020" t="str">
        <f t="shared" si="913"/>
        <v>COM</v>
      </c>
      <c r="G5020" t="str">
        <f t="shared" si="914"/>
        <v>FARMÁCIA INDIANA LJ 1 (10126)</v>
      </c>
      <c r="H5020" t="s">
        <v>1438</v>
      </c>
      <c r="I5020" t="str">
        <f t="shared" si="910"/>
        <v>08/10/2025</v>
      </c>
      <c r="J5020" t="str">
        <f t="shared" si="911"/>
        <v>26/09/2025</v>
      </c>
      <c r="K5020">
        <v>45938</v>
      </c>
      <c r="N5020">
        <v>303</v>
      </c>
      <c r="O5020" t="s">
        <v>69</v>
      </c>
      <c r="Q5020">
        <v>848.5</v>
      </c>
      <c r="R5020" t="str">
        <f>"FARMÁCIA INDIANA LJ 219 (10091)"</f>
        <v>FARMÁCIA INDIANA LJ 219 (10091)</v>
      </c>
      <c r="S5020" t="s">
        <v>70</v>
      </c>
      <c r="T5020">
        <v>19501</v>
      </c>
      <c r="U5020">
        <v>22550</v>
      </c>
      <c r="V5020" t="s">
        <v>77</v>
      </c>
    </row>
    <row r="5021" spans="1:22">
      <c r="A5021" t="str">
        <f t="shared" si="912"/>
        <v>08/10/2025</v>
      </c>
      <c r="B5021" t="str">
        <f t="shared" si="907"/>
        <v>ENTRADA</v>
      </c>
      <c r="C5021" t="str">
        <f t="shared" si="908"/>
        <v>NFSE</v>
      </c>
      <c r="D5021" t="str">
        <f t="shared" si="906"/>
        <v>3410</v>
      </c>
      <c r="E5021" t="str">
        <f t="shared" si="909"/>
        <v>1</v>
      </c>
      <c r="F5021" t="str">
        <f t="shared" si="913"/>
        <v>COM</v>
      </c>
      <c r="G5021" t="str">
        <f t="shared" si="914"/>
        <v>FARMÁCIA INDIANA LJ 1 (10126)</v>
      </c>
      <c r="H5021" t="s">
        <v>1438</v>
      </c>
      <c r="I5021" t="str">
        <f t="shared" si="910"/>
        <v>08/10/2025</v>
      </c>
      <c r="J5021" t="str">
        <f t="shared" si="911"/>
        <v>26/09/2025</v>
      </c>
      <c r="K5021">
        <v>45938</v>
      </c>
      <c r="N5021">
        <v>303</v>
      </c>
      <c r="O5021" t="s">
        <v>69</v>
      </c>
      <c r="Q5021">
        <v>1938.24</v>
      </c>
      <c r="R5021" t="str">
        <f>"FARMÁCIA INDIANA LJ 220 (10092)"</f>
        <v>FARMÁCIA INDIANA LJ 220 (10092)</v>
      </c>
      <c r="S5021" t="s">
        <v>70</v>
      </c>
      <c r="T5021">
        <v>19501</v>
      </c>
      <c r="U5021">
        <v>22550</v>
      </c>
      <c r="V5021" t="s">
        <v>77</v>
      </c>
    </row>
    <row r="5022" spans="1:22">
      <c r="A5022" t="str">
        <f t="shared" si="912"/>
        <v>08/10/2025</v>
      </c>
      <c r="B5022" t="str">
        <f t="shared" si="907"/>
        <v>ENTRADA</v>
      </c>
      <c r="C5022" t="str">
        <f t="shared" si="908"/>
        <v>NFSE</v>
      </c>
      <c r="D5022" t="str">
        <f t="shared" si="906"/>
        <v>3410</v>
      </c>
      <c r="E5022" t="str">
        <f t="shared" si="909"/>
        <v>1</v>
      </c>
      <c r="F5022" t="str">
        <f t="shared" si="913"/>
        <v>COM</v>
      </c>
      <c r="G5022" t="str">
        <f t="shared" si="914"/>
        <v>FARMÁCIA INDIANA LJ 1 (10126)</v>
      </c>
      <c r="H5022" t="s">
        <v>1438</v>
      </c>
      <c r="I5022" t="str">
        <f t="shared" si="910"/>
        <v>08/10/2025</v>
      </c>
      <c r="J5022" t="str">
        <f t="shared" si="911"/>
        <v>26/09/2025</v>
      </c>
      <c r="K5022">
        <v>45938</v>
      </c>
      <c r="N5022">
        <v>303</v>
      </c>
      <c r="O5022" t="s">
        <v>69</v>
      </c>
      <c r="Q5022">
        <v>973.28</v>
      </c>
      <c r="R5022" t="str">
        <f>"FARMÁCIA INDIANA LJ 185 (10141)"</f>
        <v>FARMÁCIA INDIANA LJ 185 (10141)</v>
      </c>
      <c r="S5022" t="s">
        <v>70</v>
      </c>
      <c r="T5022">
        <v>19501</v>
      </c>
      <c r="U5022">
        <v>22550</v>
      </c>
      <c r="V5022" t="s">
        <v>77</v>
      </c>
    </row>
    <row r="5023" spans="1:22">
      <c r="A5023" t="str">
        <f t="shared" si="912"/>
        <v>08/10/2025</v>
      </c>
      <c r="B5023" t="str">
        <f t="shared" si="907"/>
        <v>ENTRADA</v>
      </c>
      <c r="C5023" t="str">
        <f t="shared" si="908"/>
        <v>NFSE</v>
      </c>
      <c r="D5023" t="str">
        <f t="shared" si="906"/>
        <v>3410</v>
      </c>
      <c r="E5023" t="str">
        <f t="shared" si="909"/>
        <v>1</v>
      </c>
      <c r="F5023" t="str">
        <f t="shared" si="913"/>
        <v>COM</v>
      </c>
      <c r="G5023" t="str">
        <f t="shared" si="914"/>
        <v>FARMÁCIA INDIANA LJ 1 (10126)</v>
      </c>
      <c r="H5023" t="s">
        <v>1438</v>
      </c>
      <c r="I5023" t="str">
        <f t="shared" si="910"/>
        <v>08/10/2025</v>
      </c>
      <c r="J5023" t="str">
        <f t="shared" si="911"/>
        <v>26/09/2025</v>
      </c>
      <c r="K5023">
        <v>45938</v>
      </c>
      <c r="N5023">
        <v>303</v>
      </c>
      <c r="O5023" t="s">
        <v>69</v>
      </c>
      <c r="Q5023">
        <v>956.64</v>
      </c>
      <c r="R5023" t="str">
        <f>"FARMÁCIA INDIANA LJ 205 (10150)"</f>
        <v>FARMÁCIA INDIANA LJ 205 (10150)</v>
      </c>
      <c r="S5023" t="s">
        <v>70</v>
      </c>
      <c r="T5023">
        <v>19501</v>
      </c>
      <c r="U5023">
        <v>22550</v>
      </c>
      <c r="V5023" t="s">
        <v>77</v>
      </c>
    </row>
    <row r="5024" spans="1:22">
      <c r="A5024" t="str">
        <f t="shared" si="912"/>
        <v>08/10/2025</v>
      </c>
      <c r="B5024" t="str">
        <f t="shared" si="907"/>
        <v>ENTRADA</v>
      </c>
      <c r="C5024" t="str">
        <f t="shared" si="908"/>
        <v>NFSE</v>
      </c>
      <c r="D5024" t="str">
        <f t="shared" si="906"/>
        <v>3410</v>
      </c>
      <c r="E5024" t="str">
        <f t="shared" si="909"/>
        <v>1</v>
      </c>
      <c r="F5024" t="str">
        <f t="shared" si="913"/>
        <v>COM</v>
      </c>
      <c r="G5024" t="str">
        <f t="shared" si="914"/>
        <v>FARMÁCIA INDIANA LJ 1 (10126)</v>
      </c>
      <c r="H5024" t="s">
        <v>1438</v>
      </c>
      <c r="I5024" t="str">
        <f t="shared" si="910"/>
        <v>08/10/2025</v>
      </c>
      <c r="J5024" t="str">
        <f t="shared" si="911"/>
        <v>26/09/2025</v>
      </c>
      <c r="K5024">
        <v>45938</v>
      </c>
      <c r="N5024">
        <v>303</v>
      </c>
      <c r="O5024" t="s">
        <v>69</v>
      </c>
      <c r="Q5024">
        <v>3344.08</v>
      </c>
      <c r="R5024" t="str">
        <f>"FARMÁCIA INDIANA LJ 172 (10161)"</f>
        <v>FARMÁCIA INDIANA LJ 172 (10161)</v>
      </c>
      <c r="S5024" t="s">
        <v>70</v>
      </c>
      <c r="T5024">
        <v>19501</v>
      </c>
      <c r="U5024">
        <v>22550</v>
      </c>
      <c r="V5024" t="s">
        <v>77</v>
      </c>
    </row>
    <row r="5025" spans="1:22">
      <c r="A5025" t="str">
        <f t="shared" si="912"/>
        <v>08/10/2025</v>
      </c>
      <c r="B5025" t="str">
        <f t="shared" ref="B5025:B5054" si="915">"ENTRADA"</f>
        <v>ENTRADA</v>
      </c>
      <c r="C5025" t="str">
        <f t="shared" si="908"/>
        <v>NFSE</v>
      </c>
      <c r="D5025" t="str">
        <f t="shared" si="906"/>
        <v>3410</v>
      </c>
      <c r="E5025" t="str">
        <f t="shared" si="909"/>
        <v>1</v>
      </c>
      <c r="F5025" t="str">
        <f t="shared" si="913"/>
        <v>COM</v>
      </c>
      <c r="G5025" t="str">
        <f t="shared" si="914"/>
        <v>FARMÁCIA INDIANA LJ 1 (10126)</v>
      </c>
      <c r="H5025" t="s">
        <v>1438</v>
      </c>
      <c r="I5025" t="str">
        <f t="shared" si="910"/>
        <v>08/10/2025</v>
      </c>
      <c r="J5025" t="str">
        <f t="shared" si="911"/>
        <v>26/09/2025</v>
      </c>
      <c r="K5025">
        <v>45938</v>
      </c>
      <c r="N5025">
        <v>303</v>
      </c>
      <c r="O5025" t="s">
        <v>69</v>
      </c>
      <c r="Q5025">
        <v>715.4</v>
      </c>
      <c r="R5025" t="str">
        <f>"FARMÁCIA INDIANA LJ 266 (10186)"</f>
        <v>FARMÁCIA INDIANA LJ 266 (10186)</v>
      </c>
      <c r="S5025" t="s">
        <v>70</v>
      </c>
      <c r="T5025">
        <v>19501</v>
      </c>
      <c r="U5025">
        <v>22550</v>
      </c>
      <c r="V5025" t="s">
        <v>77</v>
      </c>
    </row>
    <row r="5026" spans="1:22">
      <c r="A5026" t="str">
        <f t="shared" si="912"/>
        <v>08/10/2025</v>
      </c>
      <c r="B5026" t="str">
        <f t="shared" si="915"/>
        <v>ENTRADA</v>
      </c>
      <c r="C5026" t="str">
        <f t="shared" si="908"/>
        <v>NFSE</v>
      </c>
      <c r="D5026" t="str">
        <f t="shared" ref="D5026:D5036" si="916">"3411"</f>
        <v>3411</v>
      </c>
      <c r="E5026" t="str">
        <f t="shared" si="909"/>
        <v>1</v>
      </c>
      <c r="F5026" t="str">
        <f t="shared" si="913"/>
        <v>COM</v>
      </c>
      <c r="G5026" t="str">
        <f t="shared" ref="G5026:G5036" si="917">"FARMÁCIA INDIANA LJ 85 (10128)"</f>
        <v>FARMÁCIA INDIANA LJ 85 (10128)</v>
      </c>
      <c r="H5026" t="str">
        <f>"Serv.Prest. 22/09/2025 a 25/09/2025 - RPS: 1287 - NFSe: 3411"</f>
        <v>Serv.Prest. 22/09/2025 a 25/09/2025 - RPS: 1287 - NFSe: 3411</v>
      </c>
      <c r="I5026" t="str">
        <f t="shared" si="910"/>
        <v>08/10/2025</v>
      </c>
      <c r="J5026" t="str">
        <f t="shared" si="911"/>
        <v>26/09/2025</v>
      </c>
      <c r="K5026" t="str">
        <f>("08/10/2025")</f>
        <v>08/10/2025</v>
      </c>
      <c r="L5026">
        <v>8942.5</v>
      </c>
      <c r="M5026">
        <v>8942.5</v>
      </c>
      <c r="N5026">
        <v>303</v>
      </c>
      <c r="O5026" t="str">
        <f>"RECEITAS COM ENTREGAS"</f>
        <v>RECEITAS COM ENTREGAS</v>
      </c>
      <c r="P5026">
        <v>8942.5</v>
      </c>
      <c r="S5026" t="str">
        <f>"RECEITAS COM ENTREGAS (303)"</f>
        <v>RECEITAS COM ENTREGAS (303)</v>
      </c>
      <c r="T5026">
        <v>19502</v>
      </c>
      <c r="U5026">
        <v>22650</v>
      </c>
      <c r="V5026" t="s">
        <v>77</v>
      </c>
    </row>
    <row r="5027" spans="1:22">
      <c r="A5027" t="str">
        <f t="shared" si="912"/>
        <v>08/10/2025</v>
      </c>
      <c r="B5027" t="str">
        <f t="shared" si="915"/>
        <v>ENTRADA</v>
      </c>
      <c r="C5027" t="str">
        <f t="shared" ref="C5027:C5054" si="918">"NFSE"</f>
        <v>NFSE</v>
      </c>
      <c r="D5027" t="str">
        <f t="shared" si="916"/>
        <v>3411</v>
      </c>
      <c r="E5027" t="str">
        <f t="shared" ref="E5027:E5054" si="919">"1"</f>
        <v>1</v>
      </c>
      <c r="F5027" t="str">
        <f t="shared" si="913"/>
        <v>COM</v>
      </c>
      <c r="G5027" t="str">
        <f t="shared" si="917"/>
        <v>FARMÁCIA INDIANA LJ 85 (10128)</v>
      </c>
      <c r="H5027" t="s">
        <v>1439</v>
      </c>
      <c r="I5027" t="str">
        <f t="shared" ref="I5027:I5057" si="920">("08/10/2025")</f>
        <v>08/10/2025</v>
      </c>
      <c r="J5027" t="str">
        <f t="shared" ref="J5027:J5036" si="921">("26/09/2025")</f>
        <v>26/09/2025</v>
      </c>
      <c r="K5027">
        <v>45938</v>
      </c>
      <c r="N5027">
        <v>303</v>
      </c>
      <c r="O5027" t="s">
        <v>69</v>
      </c>
      <c r="Q5027">
        <v>918.4</v>
      </c>
      <c r="R5027" t="str">
        <f>"FARMÁCIA INDIANA LJ 119 (10053)"</f>
        <v>FARMÁCIA INDIANA LJ 119 (10053)</v>
      </c>
      <c r="S5027" t="s">
        <v>70</v>
      </c>
      <c r="T5027">
        <v>19502</v>
      </c>
      <c r="U5027">
        <v>22650</v>
      </c>
      <c r="V5027" t="s">
        <v>77</v>
      </c>
    </row>
    <row r="5028" spans="1:22">
      <c r="A5028" t="str">
        <f t="shared" si="912"/>
        <v>08/10/2025</v>
      </c>
      <c r="B5028" t="str">
        <f t="shared" si="915"/>
        <v>ENTRADA</v>
      </c>
      <c r="C5028" t="str">
        <f t="shared" si="918"/>
        <v>NFSE</v>
      </c>
      <c r="D5028" t="str">
        <f t="shared" si="916"/>
        <v>3411</v>
      </c>
      <c r="E5028" t="str">
        <f t="shared" si="919"/>
        <v>1</v>
      </c>
      <c r="F5028" t="str">
        <f t="shared" si="913"/>
        <v>COM</v>
      </c>
      <c r="G5028" t="str">
        <f t="shared" si="917"/>
        <v>FARMÁCIA INDIANA LJ 85 (10128)</v>
      </c>
      <c r="H5028" t="s">
        <v>1439</v>
      </c>
      <c r="I5028" t="str">
        <f t="shared" si="920"/>
        <v>08/10/2025</v>
      </c>
      <c r="J5028" t="str">
        <f t="shared" si="921"/>
        <v>26/09/2025</v>
      </c>
      <c r="K5028">
        <v>45938</v>
      </c>
      <c r="N5028">
        <v>303</v>
      </c>
      <c r="O5028" t="s">
        <v>69</v>
      </c>
      <c r="Q5028">
        <v>1734.84</v>
      </c>
      <c r="R5028" t="str">
        <f>"FARMÁCIA INDIANA LJ 163 (10072)"</f>
        <v>FARMÁCIA INDIANA LJ 163 (10072)</v>
      </c>
      <c r="S5028" t="s">
        <v>70</v>
      </c>
      <c r="T5028">
        <v>19502</v>
      </c>
      <c r="U5028">
        <v>22650</v>
      </c>
      <c r="V5028" t="s">
        <v>77</v>
      </c>
    </row>
    <row r="5029" spans="1:22">
      <c r="A5029" t="str">
        <f t="shared" si="912"/>
        <v>08/10/2025</v>
      </c>
      <c r="B5029" t="str">
        <f t="shared" si="915"/>
        <v>ENTRADA</v>
      </c>
      <c r="C5029" t="str">
        <f t="shared" si="918"/>
        <v>NFSE</v>
      </c>
      <c r="D5029" t="str">
        <f t="shared" si="916"/>
        <v>3411</v>
      </c>
      <c r="E5029" t="str">
        <f t="shared" si="919"/>
        <v>1</v>
      </c>
      <c r="F5029" t="str">
        <f t="shared" si="913"/>
        <v>COM</v>
      </c>
      <c r="G5029" t="str">
        <f t="shared" si="917"/>
        <v>FARMÁCIA INDIANA LJ 85 (10128)</v>
      </c>
      <c r="H5029" t="s">
        <v>1439</v>
      </c>
      <c r="I5029" t="str">
        <f t="shared" si="920"/>
        <v>08/10/2025</v>
      </c>
      <c r="J5029" t="str">
        <f t="shared" si="921"/>
        <v>26/09/2025</v>
      </c>
      <c r="K5029">
        <v>45938</v>
      </c>
      <c r="N5029">
        <v>303</v>
      </c>
      <c r="O5029" t="s">
        <v>69</v>
      </c>
      <c r="Q5029">
        <v>1031.07</v>
      </c>
      <c r="R5029" t="str">
        <f>"FARMÁCIA INDIANA LJ 181 (10078)"</f>
        <v>FARMÁCIA INDIANA LJ 181 (10078)</v>
      </c>
      <c r="S5029" t="s">
        <v>70</v>
      </c>
      <c r="T5029">
        <v>19502</v>
      </c>
      <c r="U5029">
        <v>22650</v>
      </c>
      <c r="V5029" t="s">
        <v>77</v>
      </c>
    </row>
    <row r="5030" spans="1:22">
      <c r="A5030" t="str">
        <f t="shared" si="912"/>
        <v>08/10/2025</v>
      </c>
      <c r="B5030" t="str">
        <f t="shared" si="915"/>
        <v>ENTRADA</v>
      </c>
      <c r="C5030" t="str">
        <f t="shared" si="918"/>
        <v>NFSE</v>
      </c>
      <c r="D5030" t="str">
        <f t="shared" si="916"/>
        <v>3411</v>
      </c>
      <c r="E5030" t="str">
        <f t="shared" si="919"/>
        <v>1</v>
      </c>
      <c r="F5030" t="str">
        <f t="shared" si="913"/>
        <v>COM</v>
      </c>
      <c r="G5030" t="str">
        <f t="shared" si="917"/>
        <v>FARMÁCIA INDIANA LJ 85 (10128)</v>
      </c>
      <c r="H5030" t="s">
        <v>1439</v>
      </c>
      <c r="I5030" t="str">
        <f t="shared" si="920"/>
        <v>08/10/2025</v>
      </c>
      <c r="J5030" t="str">
        <f t="shared" si="921"/>
        <v>26/09/2025</v>
      </c>
      <c r="K5030">
        <v>45938</v>
      </c>
      <c r="N5030">
        <v>303</v>
      </c>
      <c r="O5030" t="s">
        <v>69</v>
      </c>
      <c r="Q5030">
        <v>916.61</v>
      </c>
      <c r="R5030" t="str">
        <f>"FARMÁCIA INDIANA LJ 221 (10093)"</f>
        <v>FARMÁCIA INDIANA LJ 221 (10093)</v>
      </c>
      <c r="S5030" t="s">
        <v>70</v>
      </c>
      <c r="T5030">
        <v>19502</v>
      </c>
      <c r="U5030">
        <v>22650</v>
      </c>
      <c r="V5030" t="s">
        <v>77</v>
      </c>
    </row>
    <row r="5031" spans="1:22">
      <c r="A5031" t="str">
        <f t="shared" si="912"/>
        <v>08/10/2025</v>
      </c>
      <c r="B5031" t="str">
        <f t="shared" si="915"/>
        <v>ENTRADA</v>
      </c>
      <c r="C5031" t="str">
        <f t="shared" si="918"/>
        <v>NFSE</v>
      </c>
      <c r="D5031" t="str">
        <f t="shared" si="916"/>
        <v>3411</v>
      </c>
      <c r="E5031" t="str">
        <f t="shared" si="919"/>
        <v>1</v>
      </c>
      <c r="F5031" t="str">
        <f t="shared" si="913"/>
        <v>COM</v>
      </c>
      <c r="G5031" t="str">
        <f t="shared" si="917"/>
        <v>FARMÁCIA INDIANA LJ 85 (10128)</v>
      </c>
      <c r="H5031" t="s">
        <v>1439</v>
      </c>
      <c r="I5031" t="str">
        <f t="shared" si="920"/>
        <v>08/10/2025</v>
      </c>
      <c r="J5031" t="str">
        <f t="shared" si="921"/>
        <v>26/09/2025</v>
      </c>
      <c r="K5031">
        <v>45938</v>
      </c>
      <c r="N5031">
        <v>303</v>
      </c>
      <c r="O5031" t="s">
        <v>69</v>
      </c>
      <c r="Q5031">
        <v>1021.23</v>
      </c>
      <c r="R5031" t="str">
        <f>"FARMÁCIA INDIANA LJ 243 (10142)"</f>
        <v>FARMÁCIA INDIANA LJ 243 (10142)</v>
      </c>
      <c r="S5031" t="s">
        <v>70</v>
      </c>
      <c r="T5031">
        <v>19502</v>
      </c>
      <c r="U5031">
        <v>22650</v>
      </c>
      <c r="V5031" t="s">
        <v>77</v>
      </c>
    </row>
    <row r="5032" spans="1:22">
      <c r="A5032" t="str">
        <f t="shared" si="912"/>
        <v>08/10/2025</v>
      </c>
      <c r="B5032" t="str">
        <f t="shared" si="915"/>
        <v>ENTRADA</v>
      </c>
      <c r="C5032" t="str">
        <f t="shared" si="918"/>
        <v>NFSE</v>
      </c>
      <c r="D5032" t="str">
        <f t="shared" si="916"/>
        <v>3411</v>
      </c>
      <c r="E5032" t="str">
        <f t="shared" si="919"/>
        <v>1</v>
      </c>
      <c r="F5032" t="str">
        <f t="shared" si="913"/>
        <v>COM</v>
      </c>
      <c r="G5032" t="str">
        <f t="shared" si="917"/>
        <v>FARMÁCIA INDIANA LJ 85 (10128)</v>
      </c>
      <c r="H5032" t="s">
        <v>1439</v>
      </c>
      <c r="I5032" t="str">
        <f t="shared" si="920"/>
        <v>08/10/2025</v>
      </c>
      <c r="J5032" t="str">
        <f t="shared" si="921"/>
        <v>26/09/2025</v>
      </c>
      <c r="K5032">
        <v>45938</v>
      </c>
      <c r="N5032">
        <v>303</v>
      </c>
      <c r="O5032" t="s">
        <v>69</v>
      </c>
      <c r="Q5032">
        <v>488.26</v>
      </c>
      <c r="R5032" t="str">
        <f>"FARMÁCIA INDIANA LJ 211 (10168)"</f>
        <v>FARMÁCIA INDIANA LJ 211 (10168)</v>
      </c>
      <c r="S5032" t="s">
        <v>70</v>
      </c>
      <c r="T5032">
        <v>19502</v>
      </c>
      <c r="U5032">
        <v>22650</v>
      </c>
      <c r="V5032" t="s">
        <v>77</v>
      </c>
    </row>
    <row r="5033" spans="1:22">
      <c r="A5033" t="str">
        <f t="shared" si="912"/>
        <v>08/10/2025</v>
      </c>
      <c r="B5033" t="str">
        <f t="shared" si="915"/>
        <v>ENTRADA</v>
      </c>
      <c r="C5033" t="str">
        <f t="shared" si="918"/>
        <v>NFSE</v>
      </c>
      <c r="D5033" t="str">
        <f t="shared" si="916"/>
        <v>3411</v>
      </c>
      <c r="E5033" t="str">
        <f t="shared" si="919"/>
        <v>1</v>
      </c>
      <c r="F5033" t="str">
        <f t="shared" si="913"/>
        <v>COM</v>
      </c>
      <c r="G5033" t="str">
        <f t="shared" si="917"/>
        <v>FARMÁCIA INDIANA LJ 85 (10128)</v>
      </c>
      <c r="H5033" t="s">
        <v>1439</v>
      </c>
      <c r="I5033" t="str">
        <f t="shared" si="920"/>
        <v>08/10/2025</v>
      </c>
      <c r="J5033" t="str">
        <f t="shared" si="921"/>
        <v>26/09/2025</v>
      </c>
      <c r="K5033">
        <v>45938</v>
      </c>
      <c r="N5033">
        <v>303</v>
      </c>
      <c r="O5033" t="s">
        <v>69</v>
      </c>
      <c r="Q5033">
        <v>488.26</v>
      </c>
      <c r="R5033" t="str">
        <f>"FARMÁCIA INDIANA LJ 236 (10169)"</f>
        <v>FARMÁCIA INDIANA LJ 236 (10169)</v>
      </c>
      <c r="S5033" t="s">
        <v>70</v>
      </c>
      <c r="T5033">
        <v>19502</v>
      </c>
      <c r="U5033">
        <v>22650</v>
      </c>
      <c r="V5033" t="s">
        <v>77</v>
      </c>
    </row>
    <row r="5034" spans="1:22">
      <c r="A5034" t="str">
        <f t="shared" si="912"/>
        <v>08/10/2025</v>
      </c>
      <c r="B5034" t="str">
        <f t="shared" si="915"/>
        <v>ENTRADA</v>
      </c>
      <c r="C5034" t="str">
        <f t="shared" si="918"/>
        <v>NFSE</v>
      </c>
      <c r="D5034" t="str">
        <f t="shared" si="916"/>
        <v>3411</v>
      </c>
      <c r="E5034" t="str">
        <f t="shared" si="919"/>
        <v>1</v>
      </c>
      <c r="F5034" t="str">
        <f t="shared" si="913"/>
        <v>COM</v>
      </c>
      <c r="G5034" t="str">
        <f t="shared" si="917"/>
        <v>FARMÁCIA INDIANA LJ 85 (10128)</v>
      </c>
      <c r="H5034" t="s">
        <v>1439</v>
      </c>
      <c r="I5034" t="str">
        <f t="shared" si="920"/>
        <v>08/10/2025</v>
      </c>
      <c r="J5034" t="str">
        <f t="shared" si="921"/>
        <v>26/09/2025</v>
      </c>
      <c r="K5034">
        <v>45938</v>
      </c>
      <c r="N5034">
        <v>303</v>
      </c>
      <c r="O5034" t="s">
        <v>69</v>
      </c>
      <c r="Q5034">
        <v>976.52</v>
      </c>
      <c r="R5034" t="str">
        <f>"FARMÁCIA INDIANA LJ 188 (10176)"</f>
        <v>FARMÁCIA INDIANA LJ 188 (10176)</v>
      </c>
      <c r="S5034" t="s">
        <v>70</v>
      </c>
      <c r="T5034">
        <v>19502</v>
      </c>
      <c r="U5034">
        <v>22650</v>
      </c>
      <c r="V5034" t="s">
        <v>77</v>
      </c>
    </row>
    <row r="5035" spans="1:22">
      <c r="A5035" t="str">
        <f t="shared" si="912"/>
        <v>08/10/2025</v>
      </c>
      <c r="B5035" t="str">
        <f t="shared" si="915"/>
        <v>ENTRADA</v>
      </c>
      <c r="C5035" t="str">
        <f t="shared" si="918"/>
        <v>NFSE</v>
      </c>
      <c r="D5035" t="str">
        <f t="shared" si="916"/>
        <v>3411</v>
      </c>
      <c r="E5035" t="str">
        <f t="shared" si="919"/>
        <v>1</v>
      </c>
      <c r="F5035" t="str">
        <f t="shared" si="913"/>
        <v>COM</v>
      </c>
      <c r="G5035" t="str">
        <f t="shared" si="917"/>
        <v>FARMÁCIA INDIANA LJ 85 (10128)</v>
      </c>
      <c r="H5035" t="s">
        <v>1439</v>
      </c>
      <c r="I5035" t="str">
        <f t="shared" si="920"/>
        <v>08/10/2025</v>
      </c>
      <c r="J5035" t="str">
        <f t="shared" si="921"/>
        <v>26/09/2025</v>
      </c>
      <c r="K5035">
        <v>45938</v>
      </c>
      <c r="N5035">
        <v>303</v>
      </c>
      <c r="O5035" t="s">
        <v>69</v>
      </c>
      <c r="Q5035">
        <v>1215.29</v>
      </c>
      <c r="R5035" t="str">
        <f>"FARMÁCIA INDIANA LJ 273 (10188)"</f>
        <v>FARMÁCIA INDIANA LJ 273 (10188)</v>
      </c>
      <c r="S5035" t="s">
        <v>70</v>
      </c>
      <c r="T5035">
        <v>19502</v>
      </c>
      <c r="U5035">
        <v>22650</v>
      </c>
      <c r="V5035" t="s">
        <v>77</v>
      </c>
    </row>
    <row r="5036" spans="1:22">
      <c r="A5036" t="str">
        <f t="shared" si="912"/>
        <v>08/10/2025</v>
      </c>
      <c r="B5036" t="str">
        <f t="shared" si="915"/>
        <v>ENTRADA</v>
      </c>
      <c r="C5036" t="str">
        <f t="shared" si="918"/>
        <v>NFSE</v>
      </c>
      <c r="D5036" t="str">
        <f t="shared" si="916"/>
        <v>3411</v>
      </c>
      <c r="E5036" t="str">
        <f t="shared" si="919"/>
        <v>1</v>
      </c>
      <c r="F5036" t="str">
        <f t="shared" si="913"/>
        <v>COM</v>
      </c>
      <c r="G5036" t="str">
        <f t="shared" si="917"/>
        <v>FARMÁCIA INDIANA LJ 85 (10128)</v>
      </c>
      <c r="H5036" t="s">
        <v>1439</v>
      </c>
      <c r="I5036" t="str">
        <f t="shared" si="920"/>
        <v>08/10/2025</v>
      </c>
      <c r="J5036" t="str">
        <f t="shared" si="921"/>
        <v>26/09/2025</v>
      </c>
      <c r="K5036">
        <v>45938</v>
      </c>
      <c r="N5036">
        <v>303</v>
      </c>
      <c r="O5036" t="s">
        <v>69</v>
      </c>
      <c r="Q5036">
        <v>152.02000000000001</v>
      </c>
      <c r="R5036" t="str">
        <f>"FARMÁCIA INDIANA LJ 235 (10190)"</f>
        <v>FARMÁCIA INDIANA LJ 235 (10190)</v>
      </c>
      <c r="S5036" t="s">
        <v>70</v>
      </c>
      <c r="T5036">
        <v>19502</v>
      </c>
      <c r="U5036">
        <v>22650</v>
      </c>
      <c r="V5036" t="s">
        <v>77</v>
      </c>
    </row>
    <row r="5037" spans="1:22">
      <c r="A5037" t="str">
        <f t="shared" si="912"/>
        <v>08/10/2025</v>
      </c>
      <c r="B5037" t="str">
        <f t="shared" si="915"/>
        <v>ENTRADA</v>
      </c>
      <c r="C5037" t="str">
        <f t="shared" si="918"/>
        <v>NFSE</v>
      </c>
      <c r="D5037" t="str">
        <f>"3442"</f>
        <v>3442</v>
      </c>
      <c r="E5037" t="str">
        <f t="shared" si="919"/>
        <v>1</v>
      </c>
      <c r="F5037" t="str">
        <f t="shared" si="913"/>
        <v>COM</v>
      </c>
      <c r="G5037" t="str">
        <f>"DROGARIA AGAPEAMA (10167)"</f>
        <v>DROGARIA AGAPEAMA (10167)</v>
      </c>
      <c r="H5037" t="str">
        <f>"Serv.Prest. 29/09/2025 a 05/10/2025 - RPS: 1318 - NFSe: 3442"</f>
        <v>Serv.Prest. 29/09/2025 a 05/10/2025 - RPS: 1318 - NFSe: 3442</v>
      </c>
      <c r="I5037" t="str">
        <f t="shared" si="920"/>
        <v>08/10/2025</v>
      </c>
      <c r="J5037" t="str">
        <f t="shared" ref="J5037:J5054" si="922">("06/10/2025")</f>
        <v>06/10/2025</v>
      </c>
      <c r="K5037" t="str">
        <f>("08/10/2025")</f>
        <v>08/10/2025</v>
      </c>
      <c r="L5037">
        <v>3132</v>
      </c>
      <c r="M5037">
        <v>3132</v>
      </c>
      <c r="N5037">
        <v>303</v>
      </c>
      <c r="O5037" t="str">
        <f>"RECEITAS COM ENTREGAS"</f>
        <v>RECEITAS COM ENTREGAS</v>
      </c>
      <c r="P5037">
        <v>3132</v>
      </c>
      <c r="S5037" t="str">
        <f>"RECEITAS COM ENTREGAS (303)"</f>
        <v>RECEITAS COM ENTREGAS (303)</v>
      </c>
      <c r="T5037">
        <v>19505</v>
      </c>
      <c r="U5037">
        <v>22808</v>
      </c>
      <c r="V5037" t="s">
        <v>22</v>
      </c>
    </row>
    <row r="5038" spans="1:22">
      <c r="A5038" t="str">
        <f t="shared" si="912"/>
        <v>08/10/2025</v>
      </c>
      <c r="B5038" t="str">
        <f t="shared" si="915"/>
        <v>ENTRADA</v>
      </c>
      <c r="C5038" t="str">
        <f t="shared" si="918"/>
        <v>NFSE</v>
      </c>
      <c r="D5038" t="str">
        <f>"3442"</f>
        <v>3442</v>
      </c>
      <c r="E5038" t="str">
        <f t="shared" si="919"/>
        <v>1</v>
      </c>
      <c r="F5038" t="str">
        <f t="shared" si="913"/>
        <v>COM</v>
      </c>
      <c r="G5038" t="str">
        <f>"DROGARIA AGAPEAMA (10167)"</f>
        <v>DROGARIA AGAPEAMA (10167)</v>
      </c>
      <c r="H5038" t="s">
        <v>1440</v>
      </c>
      <c r="I5038" t="str">
        <f t="shared" si="920"/>
        <v>08/10/2025</v>
      </c>
      <c r="J5038" t="str">
        <f t="shared" si="922"/>
        <v>06/10/2025</v>
      </c>
      <c r="K5038">
        <v>45938</v>
      </c>
      <c r="N5038">
        <v>303</v>
      </c>
      <c r="O5038" t="s">
        <v>69</v>
      </c>
      <c r="Q5038">
        <v>3132</v>
      </c>
      <c r="R5038" t="str">
        <f>"DROGARIA AGAPEAMA (10167)"</f>
        <v>DROGARIA AGAPEAMA (10167)</v>
      </c>
      <c r="S5038" t="s">
        <v>70</v>
      </c>
      <c r="T5038">
        <v>19505</v>
      </c>
      <c r="U5038">
        <v>22808</v>
      </c>
      <c r="V5038" t="s">
        <v>22</v>
      </c>
    </row>
    <row r="5039" spans="1:22">
      <c r="A5039" t="str">
        <f t="shared" si="912"/>
        <v>08/10/2025</v>
      </c>
      <c r="B5039" t="str">
        <f t="shared" si="915"/>
        <v>ENTRADA</v>
      </c>
      <c r="C5039" t="str">
        <f t="shared" si="918"/>
        <v>NFSE</v>
      </c>
      <c r="D5039" t="str">
        <f>"3443"</f>
        <v>3443</v>
      </c>
      <c r="E5039" t="str">
        <f t="shared" si="919"/>
        <v>1</v>
      </c>
      <c r="F5039" t="str">
        <f t="shared" si="913"/>
        <v>COM</v>
      </c>
      <c r="G5039" t="str">
        <f>"DROGARIA ANA VISCONDE DO RIO BRANCO (10182)"</f>
        <v>DROGARIA ANA VISCONDE DO RIO BRANCO (10182)</v>
      </c>
      <c r="H5039" t="str">
        <f>"Serv.Prest. 29/09/2025 a 05/10/2025 - RPS: 1319 - NFSe: 3443"</f>
        <v>Serv.Prest. 29/09/2025 a 05/10/2025 - RPS: 1319 - NFSe: 3443</v>
      </c>
      <c r="I5039" t="str">
        <f t="shared" si="920"/>
        <v>08/10/2025</v>
      </c>
      <c r="J5039" t="str">
        <f t="shared" si="922"/>
        <v>06/10/2025</v>
      </c>
      <c r="K5039" t="str">
        <f>("08/10/2025")</f>
        <v>08/10/2025</v>
      </c>
      <c r="L5039">
        <v>4437.72</v>
      </c>
      <c r="M5039">
        <v>4437.72</v>
      </c>
      <c r="N5039">
        <v>303</v>
      </c>
      <c r="O5039" t="str">
        <f>"RECEITAS COM ENTREGAS"</f>
        <v>RECEITAS COM ENTREGAS</v>
      </c>
      <c r="P5039">
        <v>4437.72</v>
      </c>
      <c r="S5039" t="str">
        <f>"RECEITAS COM ENTREGAS (303)"</f>
        <v>RECEITAS COM ENTREGAS (303)</v>
      </c>
      <c r="T5039">
        <v>19506</v>
      </c>
      <c r="U5039">
        <v>22812</v>
      </c>
      <c r="V5039" t="s">
        <v>22</v>
      </c>
    </row>
    <row r="5040" spans="1:22">
      <c r="A5040" t="str">
        <f t="shared" si="912"/>
        <v>08/10/2025</v>
      </c>
      <c r="B5040" t="str">
        <f t="shared" si="915"/>
        <v>ENTRADA</v>
      </c>
      <c r="C5040" t="str">
        <f t="shared" si="918"/>
        <v>NFSE</v>
      </c>
      <c r="D5040" t="str">
        <f>"3443"</f>
        <v>3443</v>
      </c>
      <c r="E5040" t="str">
        <f t="shared" si="919"/>
        <v>1</v>
      </c>
      <c r="F5040" t="str">
        <f t="shared" si="913"/>
        <v>COM</v>
      </c>
      <c r="G5040" t="str">
        <f>"DROGARIA ANA VISCONDE DO RIO BRANCO (10182)"</f>
        <v>DROGARIA ANA VISCONDE DO RIO BRANCO (10182)</v>
      </c>
      <c r="H5040" t="s">
        <v>1441</v>
      </c>
      <c r="I5040" t="str">
        <f t="shared" si="920"/>
        <v>08/10/2025</v>
      </c>
      <c r="J5040" t="str">
        <f t="shared" si="922"/>
        <v>06/10/2025</v>
      </c>
      <c r="K5040">
        <v>45938</v>
      </c>
      <c r="N5040">
        <v>303</v>
      </c>
      <c r="O5040" t="s">
        <v>69</v>
      </c>
      <c r="Q5040">
        <v>4437.72</v>
      </c>
      <c r="R5040" t="str">
        <f>"DROGARIA ANA VISCONDE DO RIO BRANCO (10182)"</f>
        <v>DROGARIA ANA VISCONDE DO RIO BRANCO (10182)</v>
      </c>
      <c r="S5040" t="s">
        <v>70</v>
      </c>
      <c r="T5040">
        <v>19506</v>
      </c>
      <c r="U5040">
        <v>22812</v>
      </c>
      <c r="V5040" t="s">
        <v>22</v>
      </c>
    </row>
    <row r="5041" spans="1:22">
      <c r="A5041" t="str">
        <f t="shared" si="912"/>
        <v>08/10/2025</v>
      </c>
      <c r="B5041" t="str">
        <f t="shared" si="915"/>
        <v>ENTRADA</v>
      </c>
      <c r="C5041" t="str">
        <f t="shared" si="918"/>
        <v>NFSE</v>
      </c>
      <c r="D5041" t="str">
        <f>"3445"</f>
        <v>3445</v>
      </c>
      <c r="E5041" t="str">
        <f t="shared" si="919"/>
        <v>1</v>
      </c>
      <c r="F5041" t="str">
        <f t="shared" si="913"/>
        <v>COM</v>
      </c>
      <c r="G5041" t="str">
        <f>"ENTREFARMA (10164)"</f>
        <v>ENTREFARMA (10164)</v>
      </c>
      <c r="H5041" t="str">
        <f>"Serv.Prest. 29/09/2025 a 05/10/2025 - RPS: 1321 - NFSe: 3445"</f>
        <v>Serv.Prest. 29/09/2025 a 05/10/2025 - RPS: 1321 - NFSe: 3445</v>
      </c>
      <c r="I5041" t="str">
        <f t="shared" si="920"/>
        <v>08/10/2025</v>
      </c>
      <c r="J5041" t="str">
        <f t="shared" si="922"/>
        <v>06/10/2025</v>
      </c>
      <c r="K5041" t="str">
        <f>("08/10/2025")</f>
        <v>08/10/2025</v>
      </c>
      <c r="L5041">
        <v>5787.23</v>
      </c>
      <c r="M5041">
        <v>5787.23</v>
      </c>
      <c r="N5041">
        <v>303</v>
      </c>
      <c r="O5041" t="str">
        <f>"RECEITAS COM ENTREGAS"</f>
        <v>RECEITAS COM ENTREGAS</v>
      </c>
      <c r="P5041">
        <v>5787.23</v>
      </c>
      <c r="S5041" t="str">
        <f>"RECEITAS COM ENTREGAS (303)"</f>
        <v>RECEITAS COM ENTREGAS (303)</v>
      </c>
      <c r="T5041">
        <v>19507</v>
      </c>
      <c r="U5041">
        <v>22821</v>
      </c>
      <c r="V5041" t="s">
        <v>22</v>
      </c>
    </row>
    <row r="5042" spans="1:22">
      <c r="A5042" t="str">
        <f t="shared" si="912"/>
        <v>08/10/2025</v>
      </c>
      <c r="B5042" t="str">
        <f t="shared" si="915"/>
        <v>ENTRADA</v>
      </c>
      <c r="C5042" t="str">
        <f t="shared" si="918"/>
        <v>NFSE</v>
      </c>
      <c r="D5042" t="str">
        <f>"3445"</f>
        <v>3445</v>
      </c>
      <c r="E5042" t="str">
        <f t="shared" si="919"/>
        <v>1</v>
      </c>
      <c r="F5042" t="str">
        <f t="shared" si="913"/>
        <v>COM</v>
      </c>
      <c r="G5042" t="str">
        <f>"ENTREFARMA (10164)"</f>
        <v>ENTREFARMA (10164)</v>
      </c>
      <c r="H5042" t="s">
        <v>1442</v>
      </c>
      <c r="I5042" t="str">
        <f t="shared" si="920"/>
        <v>08/10/2025</v>
      </c>
      <c r="J5042" t="str">
        <f t="shared" si="922"/>
        <v>06/10/2025</v>
      </c>
      <c r="K5042">
        <v>45938</v>
      </c>
      <c r="N5042">
        <v>303</v>
      </c>
      <c r="O5042" t="s">
        <v>69</v>
      </c>
      <c r="Q5042">
        <v>5787.23</v>
      </c>
      <c r="R5042" t="str">
        <f>"ENTREFARMA (10164)"</f>
        <v>ENTREFARMA (10164)</v>
      </c>
      <c r="S5042" t="s">
        <v>70</v>
      </c>
      <c r="T5042">
        <v>19507</v>
      </c>
      <c r="U5042">
        <v>22821</v>
      </c>
      <c r="V5042" t="s">
        <v>22</v>
      </c>
    </row>
    <row r="5043" spans="1:22">
      <c r="A5043" t="str">
        <f t="shared" si="912"/>
        <v>08/10/2025</v>
      </c>
      <c r="B5043" t="str">
        <f t="shared" si="915"/>
        <v>ENTRADA</v>
      </c>
      <c r="C5043" t="str">
        <f t="shared" si="918"/>
        <v>NFSE</v>
      </c>
      <c r="D5043" t="str">
        <f>"3451"</f>
        <v>3451</v>
      </c>
      <c r="E5043" t="str">
        <f t="shared" si="919"/>
        <v>1</v>
      </c>
      <c r="F5043" t="str">
        <f t="shared" si="913"/>
        <v>COM</v>
      </c>
      <c r="G5043" t="str">
        <f>"PENSE FARMA 15 (10195)"</f>
        <v>PENSE FARMA 15 (10195)</v>
      </c>
      <c r="H5043" t="str">
        <f>"Serv.Prest. 29/09/2025 a 05/10/2025 - RPS: 1327 - NFSe: 3451"</f>
        <v>Serv.Prest. 29/09/2025 a 05/10/2025 - RPS: 1327 - NFSe: 3451</v>
      </c>
      <c r="I5043" t="str">
        <f t="shared" si="920"/>
        <v>08/10/2025</v>
      </c>
      <c r="J5043" t="str">
        <f t="shared" si="922"/>
        <v>06/10/2025</v>
      </c>
      <c r="K5043" t="str">
        <f>("08/10/2025")</f>
        <v>08/10/2025</v>
      </c>
      <c r="L5043">
        <v>2550</v>
      </c>
      <c r="M5043">
        <v>2550</v>
      </c>
      <c r="N5043">
        <v>303</v>
      </c>
      <c r="O5043" t="str">
        <f>"RECEITAS COM ENTREGAS"</f>
        <v>RECEITAS COM ENTREGAS</v>
      </c>
      <c r="P5043">
        <v>2550</v>
      </c>
      <c r="S5043" t="str">
        <f>"RECEITAS COM ENTREGAS (303)"</f>
        <v>RECEITAS COM ENTREGAS (303)</v>
      </c>
      <c r="T5043">
        <v>19508</v>
      </c>
      <c r="U5043">
        <v>22839</v>
      </c>
      <c r="V5043" t="s">
        <v>22</v>
      </c>
    </row>
    <row r="5044" spans="1:22">
      <c r="A5044" t="str">
        <f t="shared" si="912"/>
        <v>08/10/2025</v>
      </c>
      <c r="B5044" t="str">
        <f t="shared" si="915"/>
        <v>ENTRADA</v>
      </c>
      <c r="C5044" t="str">
        <f t="shared" si="918"/>
        <v>NFSE</v>
      </c>
      <c r="D5044" t="str">
        <f>"3451"</f>
        <v>3451</v>
      </c>
      <c r="E5044" t="str">
        <f t="shared" si="919"/>
        <v>1</v>
      </c>
      <c r="F5044" t="str">
        <f t="shared" si="913"/>
        <v>COM</v>
      </c>
      <c r="G5044" t="str">
        <f>"PENSE FARMA 15 (10195)"</f>
        <v>PENSE FARMA 15 (10195)</v>
      </c>
      <c r="H5044" t="s">
        <v>1443</v>
      </c>
      <c r="I5044" t="str">
        <f t="shared" si="920"/>
        <v>08/10/2025</v>
      </c>
      <c r="J5044" t="str">
        <f t="shared" si="922"/>
        <v>06/10/2025</v>
      </c>
      <c r="K5044">
        <v>45938</v>
      </c>
      <c r="N5044">
        <v>303</v>
      </c>
      <c r="O5044" t="s">
        <v>69</v>
      </c>
      <c r="Q5044">
        <v>935.08</v>
      </c>
      <c r="R5044" t="str">
        <f>"PENSE FARMA 15 (10195)"</f>
        <v>PENSE FARMA 15 (10195)</v>
      </c>
      <c r="S5044" t="s">
        <v>70</v>
      </c>
      <c r="T5044">
        <v>19508</v>
      </c>
      <c r="U5044">
        <v>22839</v>
      </c>
      <c r="V5044" t="s">
        <v>22</v>
      </c>
    </row>
    <row r="5045" spans="1:22">
      <c r="A5045" t="str">
        <f t="shared" si="912"/>
        <v>08/10/2025</v>
      </c>
      <c r="B5045" t="str">
        <f t="shared" si="915"/>
        <v>ENTRADA</v>
      </c>
      <c r="C5045" t="str">
        <f t="shared" si="918"/>
        <v>NFSE</v>
      </c>
      <c r="D5045" t="str">
        <f>"3451"</f>
        <v>3451</v>
      </c>
      <c r="E5045" t="str">
        <f t="shared" si="919"/>
        <v>1</v>
      </c>
      <c r="F5045" t="str">
        <f t="shared" si="913"/>
        <v>COM</v>
      </c>
      <c r="G5045" t="str">
        <f>"PENSE FARMA 15 (10195)"</f>
        <v>PENSE FARMA 15 (10195)</v>
      </c>
      <c r="H5045" t="s">
        <v>1443</v>
      </c>
      <c r="I5045" t="str">
        <f t="shared" si="920"/>
        <v>08/10/2025</v>
      </c>
      <c r="J5045" t="str">
        <f t="shared" si="922"/>
        <v>06/10/2025</v>
      </c>
      <c r="K5045">
        <v>45938</v>
      </c>
      <c r="N5045">
        <v>303</v>
      </c>
      <c r="O5045" t="s">
        <v>69</v>
      </c>
      <c r="Q5045">
        <v>765</v>
      </c>
      <c r="R5045" t="str">
        <f>"PENSE FARMA 26 (10196)"</f>
        <v>PENSE FARMA 26 (10196)</v>
      </c>
      <c r="S5045" t="s">
        <v>70</v>
      </c>
      <c r="T5045">
        <v>19508</v>
      </c>
      <c r="U5045">
        <v>22839</v>
      </c>
      <c r="V5045" t="s">
        <v>22</v>
      </c>
    </row>
    <row r="5046" spans="1:22">
      <c r="A5046" t="str">
        <f t="shared" si="912"/>
        <v>08/10/2025</v>
      </c>
      <c r="B5046" t="str">
        <f t="shared" si="915"/>
        <v>ENTRADA</v>
      </c>
      <c r="C5046" t="str">
        <f t="shared" si="918"/>
        <v>NFSE</v>
      </c>
      <c r="D5046" t="str">
        <f>"3451"</f>
        <v>3451</v>
      </c>
      <c r="E5046" t="str">
        <f t="shared" si="919"/>
        <v>1</v>
      </c>
      <c r="F5046" t="str">
        <f t="shared" si="913"/>
        <v>COM</v>
      </c>
      <c r="G5046" t="str">
        <f>"PENSE FARMA 15 (10195)"</f>
        <v>PENSE FARMA 15 (10195)</v>
      </c>
      <c r="H5046" t="s">
        <v>1443</v>
      </c>
      <c r="I5046" t="str">
        <f t="shared" si="920"/>
        <v>08/10/2025</v>
      </c>
      <c r="J5046" t="str">
        <f t="shared" si="922"/>
        <v>06/10/2025</v>
      </c>
      <c r="K5046">
        <v>45938</v>
      </c>
      <c r="N5046">
        <v>303</v>
      </c>
      <c r="O5046" t="s">
        <v>69</v>
      </c>
      <c r="Q5046">
        <v>849.92</v>
      </c>
      <c r="R5046" t="str">
        <f>"PENSE FARMA 60 (10197)"</f>
        <v>PENSE FARMA 60 (10197)</v>
      </c>
      <c r="S5046" t="s">
        <v>70</v>
      </c>
      <c r="T5046">
        <v>19508</v>
      </c>
      <c r="U5046">
        <v>22839</v>
      </c>
      <c r="V5046" t="s">
        <v>22</v>
      </c>
    </row>
    <row r="5047" spans="1:22">
      <c r="A5047" t="str">
        <f t="shared" si="912"/>
        <v>08/10/2025</v>
      </c>
      <c r="B5047" t="str">
        <f t="shared" si="915"/>
        <v>ENTRADA</v>
      </c>
      <c r="C5047" t="str">
        <f t="shared" si="918"/>
        <v>NFSE</v>
      </c>
      <c r="D5047" t="str">
        <f>"3452"</f>
        <v>3452</v>
      </c>
      <c r="E5047" t="str">
        <f t="shared" si="919"/>
        <v>1</v>
      </c>
      <c r="F5047" t="str">
        <f t="shared" si="913"/>
        <v>COM</v>
      </c>
      <c r="G5047" t="str">
        <f>"PENSE FARMA 22 (10198)"</f>
        <v>PENSE FARMA 22 (10198)</v>
      </c>
      <c r="H5047" t="str">
        <f>"Serv.Prest. 29/09/2025 a 05/10/2025 - RPS: 1328 - NFSe: 3452"</f>
        <v>Serv.Prest. 29/09/2025 a 05/10/2025 - RPS: 1328 - NFSe: 3452</v>
      </c>
      <c r="I5047" t="str">
        <f t="shared" si="920"/>
        <v>08/10/2025</v>
      </c>
      <c r="J5047" t="str">
        <f t="shared" si="922"/>
        <v>06/10/2025</v>
      </c>
      <c r="K5047" t="str">
        <f>("08/10/2025")</f>
        <v>08/10/2025</v>
      </c>
      <c r="L5047">
        <v>1700</v>
      </c>
      <c r="M5047">
        <v>1700</v>
      </c>
      <c r="N5047">
        <v>303</v>
      </c>
      <c r="O5047" t="str">
        <f>"RECEITAS COM ENTREGAS"</f>
        <v>RECEITAS COM ENTREGAS</v>
      </c>
      <c r="P5047">
        <v>1700</v>
      </c>
      <c r="S5047" t="str">
        <f>"RECEITAS COM ENTREGAS (303)"</f>
        <v>RECEITAS COM ENTREGAS (303)</v>
      </c>
      <c r="T5047">
        <v>19509</v>
      </c>
      <c r="U5047">
        <v>22844</v>
      </c>
      <c r="V5047" t="s">
        <v>22</v>
      </c>
    </row>
    <row r="5048" spans="1:22">
      <c r="A5048" t="str">
        <f t="shared" si="912"/>
        <v>08/10/2025</v>
      </c>
      <c r="B5048" t="str">
        <f t="shared" si="915"/>
        <v>ENTRADA</v>
      </c>
      <c r="C5048" t="str">
        <f t="shared" si="918"/>
        <v>NFSE</v>
      </c>
      <c r="D5048" t="str">
        <f>"3452"</f>
        <v>3452</v>
      </c>
      <c r="E5048" t="str">
        <f t="shared" si="919"/>
        <v>1</v>
      </c>
      <c r="F5048" t="str">
        <f t="shared" si="913"/>
        <v>COM</v>
      </c>
      <c r="G5048" t="str">
        <f>"PENSE FARMA 22 (10198)"</f>
        <v>PENSE FARMA 22 (10198)</v>
      </c>
      <c r="H5048" t="s">
        <v>1444</v>
      </c>
      <c r="I5048" t="str">
        <f t="shared" si="920"/>
        <v>08/10/2025</v>
      </c>
      <c r="J5048" t="str">
        <f t="shared" si="922"/>
        <v>06/10/2025</v>
      </c>
      <c r="K5048">
        <v>45938</v>
      </c>
      <c r="N5048">
        <v>303</v>
      </c>
      <c r="O5048" t="s">
        <v>69</v>
      </c>
      <c r="Q5048">
        <v>1700</v>
      </c>
      <c r="R5048" t="str">
        <f>"PENSE FARMA 22 (10198)"</f>
        <v>PENSE FARMA 22 (10198)</v>
      </c>
      <c r="S5048" t="s">
        <v>70</v>
      </c>
      <c r="T5048">
        <v>19509</v>
      </c>
      <c r="U5048">
        <v>22844</v>
      </c>
      <c r="V5048" t="s">
        <v>22</v>
      </c>
    </row>
    <row r="5049" spans="1:22">
      <c r="A5049" t="str">
        <f t="shared" si="912"/>
        <v>08/10/2025</v>
      </c>
      <c r="B5049" t="str">
        <f t="shared" si="915"/>
        <v>ENTRADA</v>
      </c>
      <c r="C5049" t="str">
        <f t="shared" si="918"/>
        <v>NFSE</v>
      </c>
      <c r="D5049" t="str">
        <f>"3453"</f>
        <v>3453</v>
      </c>
      <c r="E5049" t="str">
        <f t="shared" si="919"/>
        <v>1</v>
      </c>
      <c r="F5049" t="str">
        <f t="shared" si="913"/>
        <v>COM</v>
      </c>
      <c r="G5049" t="str">
        <f>"PENSE FARMA 46 (10194)"</f>
        <v>PENSE FARMA 46 (10194)</v>
      </c>
      <c r="H5049" t="str">
        <f>"Serv.Prest. 29/09/2025 a 05/10/2025 - RPS: 1329 - NFSe: 3453"</f>
        <v>Serv.Prest. 29/09/2025 a 05/10/2025 - RPS: 1329 - NFSe: 3453</v>
      </c>
      <c r="I5049" t="str">
        <f t="shared" si="920"/>
        <v>08/10/2025</v>
      </c>
      <c r="J5049" t="str">
        <f t="shared" si="922"/>
        <v>06/10/2025</v>
      </c>
      <c r="K5049" t="str">
        <f>("08/10/2025")</f>
        <v>08/10/2025</v>
      </c>
      <c r="L5049">
        <v>1700</v>
      </c>
      <c r="M5049">
        <v>1700</v>
      </c>
      <c r="N5049">
        <v>303</v>
      </c>
      <c r="O5049" t="str">
        <f>"RECEITAS COM ENTREGAS"</f>
        <v>RECEITAS COM ENTREGAS</v>
      </c>
      <c r="P5049">
        <v>1700</v>
      </c>
      <c r="S5049" t="str">
        <f>"RECEITAS COM ENTREGAS (303)"</f>
        <v>RECEITAS COM ENTREGAS (303)</v>
      </c>
      <c r="T5049">
        <v>19510</v>
      </c>
      <c r="U5049">
        <v>22848</v>
      </c>
      <c r="V5049" t="s">
        <v>22</v>
      </c>
    </row>
    <row r="5050" spans="1:22">
      <c r="A5050" t="str">
        <f t="shared" si="912"/>
        <v>08/10/2025</v>
      </c>
      <c r="B5050" t="str">
        <f t="shared" si="915"/>
        <v>ENTRADA</v>
      </c>
      <c r="C5050" t="str">
        <f t="shared" si="918"/>
        <v>NFSE</v>
      </c>
      <c r="D5050" t="str">
        <f>"3453"</f>
        <v>3453</v>
      </c>
      <c r="E5050" t="str">
        <f t="shared" si="919"/>
        <v>1</v>
      </c>
      <c r="F5050" t="str">
        <f t="shared" si="913"/>
        <v>COM</v>
      </c>
      <c r="G5050" t="str">
        <f>"PENSE FARMA 46 (10194)"</f>
        <v>PENSE FARMA 46 (10194)</v>
      </c>
      <c r="H5050" t="s">
        <v>1445</v>
      </c>
      <c r="I5050" t="str">
        <f t="shared" si="920"/>
        <v>08/10/2025</v>
      </c>
      <c r="J5050" t="str">
        <f t="shared" si="922"/>
        <v>06/10/2025</v>
      </c>
      <c r="K5050">
        <v>45938</v>
      </c>
      <c r="N5050">
        <v>303</v>
      </c>
      <c r="O5050" t="s">
        <v>69</v>
      </c>
      <c r="Q5050">
        <v>1700</v>
      </c>
      <c r="R5050" t="str">
        <f>"PENSE FARMA 46 (10194)"</f>
        <v>PENSE FARMA 46 (10194)</v>
      </c>
      <c r="S5050" t="s">
        <v>70</v>
      </c>
      <c r="T5050">
        <v>19510</v>
      </c>
      <c r="U5050">
        <v>22848</v>
      </c>
      <c r="V5050" t="s">
        <v>22</v>
      </c>
    </row>
    <row r="5051" spans="1:22">
      <c r="A5051" t="str">
        <f t="shared" si="912"/>
        <v>08/10/2025</v>
      </c>
      <c r="B5051" t="str">
        <f t="shared" si="915"/>
        <v>ENTRADA</v>
      </c>
      <c r="C5051" t="str">
        <f t="shared" si="918"/>
        <v>NFSE</v>
      </c>
      <c r="D5051" t="str">
        <f>"3457"</f>
        <v>3457</v>
      </c>
      <c r="E5051" t="str">
        <f t="shared" si="919"/>
        <v>1</v>
      </c>
      <c r="F5051" t="str">
        <f t="shared" si="913"/>
        <v>COM</v>
      </c>
      <c r="G5051" t="str">
        <f>"DROGARIA MORENO LTDA (10171)"</f>
        <v>DROGARIA MORENO LTDA (10171)</v>
      </c>
      <c r="H5051" t="str">
        <f>"Serv.Prest. 29/09/2025 a 05/10/2025 - RPS: 1333 - NFSe: 3457"</f>
        <v>Serv.Prest. 29/09/2025 a 05/10/2025 - RPS: 1333 - NFSe: 3457</v>
      </c>
      <c r="I5051" t="str">
        <f t="shared" si="920"/>
        <v>08/10/2025</v>
      </c>
      <c r="J5051" t="str">
        <f t="shared" si="922"/>
        <v>06/10/2025</v>
      </c>
      <c r="K5051" t="str">
        <f>("08/10/2025")</f>
        <v>08/10/2025</v>
      </c>
      <c r="L5051">
        <v>3547.8</v>
      </c>
      <c r="M5051">
        <v>3547.8</v>
      </c>
      <c r="N5051">
        <v>303</v>
      </c>
      <c r="O5051" t="str">
        <f>"RECEITAS COM ENTREGAS"</f>
        <v>RECEITAS COM ENTREGAS</v>
      </c>
      <c r="P5051">
        <v>3547.8</v>
      </c>
      <c r="S5051" t="str">
        <f>"RECEITAS COM ENTREGAS (303)"</f>
        <v>RECEITAS COM ENTREGAS (303)</v>
      </c>
      <c r="T5051">
        <v>19511</v>
      </c>
      <c r="U5051">
        <v>22860</v>
      </c>
      <c r="V5051" t="s">
        <v>22</v>
      </c>
    </row>
    <row r="5052" spans="1:22">
      <c r="A5052" t="str">
        <f t="shared" si="912"/>
        <v>08/10/2025</v>
      </c>
      <c r="B5052" t="str">
        <f t="shared" si="915"/>
        <v>ENTRADA</v>
      </c>
      <c r="C5052" t="str">
        <f t="shared" si="918"/>
        <v>NFSE</v>
      </c>
      <c r="D5052" t="str">
        <f>"3457"</f>
        <v>3457</v>
      </c>
      <c r="E5052" t="str">
        <f t="shared" si="919"/>
        <v>1</v>
      </c>
      <c r="F5052" t="str">
        <f t="shared" si="913"/>
        <v>COM</v>
      </c>
      <c r="G5052" t="str">
        <f>"DROGARIA MORENO LTDA (10171)"</f>
        <v>DROGARIA MORENO LTDA (10171)</v>
      </c>
      <c r="H5052" t="s">
        <v>1446</v>
      </c>
      <c r="I5052" t="str">
        <f t="shared" si="920"/>
        <v>08/10/2025</v>
      </c>
      <c r="J5052" t="str">
        <f t="shared" si="922"/>
        <v>06/10/2025</v>
      </c>
      <c r="K5052">
        <v>45938</v>
      </c>
      <c r="N5052">
        <v>303</v>
      </c>
      <c r="O5052" t="s">
        <v>69</v>
      </c>
      <c r="Q5052">
        <v>3547.8</v>
      </c>
      <c r="R5052" t="str">
        <f>"DROGARIA MORENO LTDA (10171)"</f>
        <v>DROGARIA MORENO LTDA (10171)</v>
      </c>
      <c r="S5052" t="s">
        <v>70</v>
      </c>
      <c r="T5052">
        <v>19511</v>
      </c>
      <c r="U5052">
        <v>22860</v>
      </c>
      <c r="V5052" t="s">
        <v>22</v>
      </c>
    </row>
    <row r="5053" spans="1:22">
      <c r="A5053" t="str">
        <f t="shared" si="912"/>
        <v>08/10/2025</v>
      </c>
      <c r="B5053" t="str">
        <f t="shared" si="915"/>
        <v>ENTRADA</v>
      </c>
      <c r="C5053" t="str">
        <f t="shared" si="918"/>
        <v>NFSE</v>
      </c>
      <c r="D5053" t="str">
        <f>"3461"</f>
        <v>3461</v>
      </c>
      <c r="E5053" t="str">
        <f t="shared" si="919"/>
        <v>1</v>
      </c>
      <c r="F5053" t="str">
        <f t="shared" si="913"/>
        <v>COM</v>
      </c>
      <c r="G5053" t="str">
        <f>"JAL FARMACIA E DROGARIA LJ 2 (10138)"</f>
        <v>JAL FARMACIA E DROGARIA LJ 2 (10138)</v>
      </c>
      <c r="H5053" t="str">
        <f>"Serv.Prest. 29/09/2025 a 05/10/2025 - RPS: 1337 - NFSe: 3461"</f>
        <v>Serv.Prest. 29/09/2025 a 05/10/2025 - RPS: 1337 - NFSe: 3461</v>
      </c>
      <c r="I5053" t="str">
        <f t="shared" si="920"/>
        <v>08/10/2025</v>
      </c>
      <c r="J5053" t="str">
        <f t="shared" si="922"/>
        <v>06/10/2025</v>
      </c>
      <c r="K5053" t="str">
        <f>("08/10/2025")</f>
        <v>08/10/2025</v>
      </c>
      <c r="L5053">
        <v>1453.2</v>
      </c>
      <c r="M5053">
        <v>1453.2</v>
      </c>
      <c r="N5053">
        <v>303</v>
      </c>
      <c r="O5053" t="str">
        <f>"RECEITAS COM ENTREGAS"</f>
        <v>RECEITAS COM ENTREGAS</v>
      </c>
      <c r="P5053">
        <v>1453.2</v>
      </c>
      <c r="S5053" t="str">
        <f>"RECEITAS COM ENTREGAS (303)"</f>
        <v>RECEITAS COM ENTREGAS (303)</v>
      </c>
      <c r="T5053">
        <v>19512</v>
      </c>
      <c r="U5053">
        <v>22877</v>
      </c>
      <c r="V5053" t="s">
        <v>22</v>
      </c>
    </row>
    <row r="5054" spans="1:22">
      <c r="A5054" t="str">
        <f t="shared" si="912"/>
        <v>08/10/2025</v>
      </c>
      <c r="B5054" t="str">
        <f t="shared" si="915"/>
        <v>ENTRADA</v>
      </c>
      <c r="C5054" t="str">
        <f t="shared" si="918"/>
        <v>NFSE</v>
      </c>
      <c r="D5054" t="str">
        <f>"3461"</f>
        <v>3461</v>
      </c>
      <c r="E5054" t="str">
        <f t="shared" si="919"/>
        <v>1</v>
      </c>
      <c r="F5054" t="str">
        <f t="shared" si="913"/>
        <v>COM</v>
      </c>
      <c r="G5054" t="str">
        <f>"JAL FARMACIA E DROGARIA LJ 2 (10138)"</f>
        <v>JAL FARMACIA E DROGARIA LJ 2 (10138)</v>
      </c>
      <c r="H5054" t="s">
        <v>1447</v>
      </c>
      <c r="I5054" t="str">
        <f t="shared" si="920"/>
        <v>08/10/2025</v>
      </c>
      <c r="J5054" t="str">
        <f t="shared" si="922"/>
        <v>06/10/2025</v>
      </c>
      <c r="K5054">
        <v>45938</v>
      </c>
      <c r="N5054">
        <v>303</v>
      </c>
      <c r="O5054" t="s">
        <v>69</v>
      </c>
      <c r="Q5054">
        <v>1453.2</v>
      </c>
      <c r="R5054" t="str">
        <f>"JAL FARMACIA E DROGARIA LJ 2 (10138)"</f>
        <v>JAL FARMACIA E DROGARIA LJ 2 (10138)</v>
      </c>
      <c r="S5054" t="s">
        <v>70</v>
      </c>
      <c r="T5054">
        <v>19512</v>
      </c>
      <c r="U5054">
        <v>22877</v>
      </c>
      <c r="V5054" t="s">
        <v>22</v>
      </c>
    </row>
    <row r="5055" spans="1:22">
      <c r="A5055" t="str">
        <f t="shared" si="912"/>
        <v>08/10/2025</v>
      </c>
      <c r="B5055" t="str">
        <f>"SAÍDA"</f>
        <v>SAÍDA</v>
      </c>
      <c r="C5055" t="str">
        <f>"PIX"</f>
        <v>PIX</v>
      </c>
      <c r="D5055" t="str">
        <f>"0801"</f>
        <v>0801</v>
      </c>
      <c r="E5055" t="str">
        <f>"34"</f>
        <v>34</v>
      </c>
      <c r="F5055" t="str">
        <f t="shared" si="913"/>
        <v>COM</v>
      </c>
      <c r="G5055" t="str">
        <f>"CORA SOCIEDADE DE CREDITO, FINANCIAMENTO E INVESTIMENTO (20035)"</f>
        <v>CORA SOCIEDADE DE CREDITO, FINANCIAMENTO E INVESTIMENTO (20035)</v>
      </c>
      <c r="H5055" t="str">
        <f>"TARIFA BANCARIA"</f>
        <v>TARIFA BANCARIA</v>
      </c>
      <c r="I5055" t="str">
        <f t="shared" si="920"/>
        <v>08/10/2025</v>
      </c>
      <c r="J5055" t="str">
        <f>("01/01/2025")</f>
        <v>01/01/2025</v>
      </c>
      <c r="K5055" t="str">
        <f>("08/10/2025")</f>
        <v>08/10/2025</v>
      </c>
      <c r="L5055">
        <v>44.9</v>
      </c>
      <c r="M5055">
        <v>44.9</v>
      </c>
      <c r="N5055">
        <v>401</v>
      </c>
      <c r="O5055" t="str">
        <f>"IOF/JUROS/DESP.FINANCEIRA"</f>
        <v>IOF/JUROS/DESP.FINANCEIRA</v>
      </c>
      <c r="P5055">
        <v>44.9</v>
      </c>
      <c r="S5055" t="str">
        <f>"BANCO CORA (102)"</f>
        <v>BANCO CORA (102)</v>
      </c>
      <c r="T5055">
        <v>19513</v>
      </c>
      <c r="U5055">
        <v>8141</v>
      </c>
      <c r="V5055" t="s">
        <v>22</v>
      </c>
    </row>
    <row r="5056" spans="1:22">
      <c r="A5056" t="str">
        <f t="shared" si="912"/>
        <v>08/10/2025</v>
      </c>
      <c r="B5056" t="str">
        <f>"SAÍDA"</f>
        <v>SAÍDA</v>
      </c>
      <c r="C5056" t="str">
        <f>"PIX"</f>
        <v>PIX</v>
      </c>
      <c r="D5056" t="str">
        <f>"0801"</f>
        <v>0801</v>
      </c>
      <c r="E5056" t="str">
        <f>"34"</f>
        <v>34</v>
      </c>
      <c r="F5056" t="str">
        <f t="shared" si="913"/>
        <v>COM</v>
      </c>
      <c r="G5056" t="str">
        <f>"CORA SOCIEDADE DE CREDITO, FINANCIAMENTO E INVESTIMENTO (20035)"</f>
        <v>CORA SOCIEDADE DE CREDITO, FINANCIAMENTO E INVESTIMENTO (20035)</v>
      </c>
      <c r="H5056" t="s">
        <v>307</v>
      </c>
      <c r="I5056" t="str">
        <f t="shared" si="920"/>
        <v>08/10/2025</v>
      </c>
      <c r="J5056" t="str">
        <f>("01/01/2025")</f>
        <v>01/01/2025</v>
      </c>
      <c r="K5056">
        <v>45938</v>
      </c>
      <c r="N5056">
        <v>401</v>
      </c>
      <c r="O5056" t="s">
        <v>76</v>
      </c>
      <c r="Q5056">
        <v>44.9</v>
      </c>
      <c r="R5056" t="str">
        <f>"CORA SOCIEDADE DE CREDITO, FINANCIAMENTO E INVESTIMENTO (20035)"</f>
        <v>CORA SOCIEDADE DE CREDITO, FINANCIAMENTO E INVESTIMENTO (20035)</v>
      </c>
      <c r="S5056" t="s">
        <v>22</v>
      </c>
      <c r="T5056">
        <v>19513</v>
      </c>
      <c r="U5056">
        <v>8141</v>
      </c>
      <c r="V5056" t="s">
        <v>22</v>
      </c>
    </row>
    <row r="5057" spans="1:22">
      <c r="A5057" t="str">
        <f t="shared" si="912"/>
        <v>08/10/2025</v>
      </c>
      <c r="B5057" t="str">
        <f>"SAÍDA"</f>
        <v>SAÍDA</v>
      </c>
      <c r="C5057" t="str">
        <f>"JUROS"</f>
        <v>JUROS</v>
      </c>
      <c r="D5057" t="str">
        <f>""</f>
        <v/>
      </c>
      <c r="F5057" t="str">
        <f>"CXA"</f>
        <v>CXA</v>
      </c>
      <c r="G5057" t="str">
        <f>""</f>
        <v/>
      </c>
      <c r="H5057" t="str">
        <f>"TARIFA"</f>
        <v>TARIFA</v>
      </c>
      <c r="I5057" t="str">
        <f t="shared" si="920"/>
        <v>08/10/2025</v>
      </c>
      <c r="J5057" t="str">
        <f>("08/10/2025")</f>
        <v>08/10/2025</v>
      </c>
      <c r="K5057" t="str">
        <f>("08/10/2025")</f>
        <v>08/10/2025</v>
      </c>
      <c r="L5057">
        <v>13.6</v>
      </c>
      <c r="M5057">
        <v>13.6</v>
      </c>
      <c r="N5057">
        <v>401</v>
      </c>
      <c r="O5057" t="str">
        <f>"IOF/JUROS/DESP.FINANCEIRA"</f>
        <v>IOF/JUROS/DESP.FINANCEIRA</v>
      </c>
      <c r="P5057">
        <v>13.6</v>
      </c>
      <c r="S5057" t="str">
        <f>"BANCO CORA (102)"</f>
        <v>BANCO CORA (102)</v>
      </c>
      <c r="T5057">
        <v>19514</v>
      </c>
      <c r="U5057">
        <v>0</v>
      </c>
      <c r="V5057" t="s">
        <v>1112</v>
      </c>
    </row>
    <row r="5058" spans="1:22">
      <c r="A5058" t="str">
        <f t="shared" si="912"/>
        <v>08/10/2025</v>
      </c>
      <c r="B5058" t="str">
        <f>"SAÍDA"</f>
        <v>SAÍDA</v>
      </c>
      <c r="C5058" t="str">
        <f>"PIX"</f>
        <v>PIX</v>
      </c>
      <c r="D5058" t="str">
        <f>"23787"</f>
        <v>23787</v>
      </c>
      <c r="E5058" t="str">
        <f>"1"</f>
        <v>1</v>
      </c>
      <c r="F5058" t="str">
        <f t="shared" ref="F5058:F5121" si="923">"COM"</f>
        <v>COM</v>
      </c>
      <c r="G5058" t="str">
        <f>"WILLIAM DA SILVA COSTA (655)"</f>
        <v>WILLIAM DA SILVA COSTA (655)</v>
      </c>
      <c r="H5058" t="str">
        <f>"Serv.Prest. 06/10/2025 a 12/10/2025 - PIX: CELULAR - CHAVE: (64) 97400-9101"</f>
        <v>Serv.Prest. 06/10/2025 a 12/10/2025 - PIX: CELULAR - CHAVE: (64) 97400-9101</v>
      </c>
      <c r="I5058" t="str">
        <f>("16/10/2025")</f>
        <v>16/10/2025</v>
      </c>
      <c r="J5058" t="str">
        <f>("14/10/2025")</f>
        <v>14/10/2025</v>
      </c>
      <c r="K5058" t="str">
        <f>("08/10/2025")</f>
        <v>08/10/2025</v>
      </c>
      <c r="L5058">
        <v>86</v>
      </c>
      <c r="M5058">
        <v>150</v>
      </c>
      <c r="N5058">
        <v>109</v>
      </c>
      <c r="O5058" t="str">
        <f>"PAGAMENTO DE ENTREGADORES"</f>
        <v>PAGAMENTO DE ENTREGADORES</v>
      </c>
      <c r="P5058">
        <v>150</v>
      </c>
      <c r="S5058" t="str">
        <f>"BANCO CORA (102)"</f>
        <v>BANCO CORA (102)</v>
      </c>
      <c r="T5058">
        <v>19606</v>
      </c>
      <c r="U5058">
        <v>23831</v>
      </c>
      <c r="V5058" t="s">
        <v>22</v>
      </c>
    </row>
    <row r="5059" spans="1:22">
      <c r="A5059" t="str">
        <f t="shared" si="912"/>
        <v>08/10/2025</v>
      </c>
      <c r="B5059" t="str">
        <f>"SAÍDA"</f>
        <v>SAÍDA</v>
      </c>
      <c r="C5059" t="str">
        <f>"PIX"</f>
        <v>PIX</v>
      </c>
      <c r="D5059" t="str">
        <f>"23787"</f>
        <v>23787</v>
      </c>
      <c r="E5059" t="str">
        <f>"1"</f>
        <v>1</v>
      </c>
      <c r="F5059" t="str">
        <f t="shared" si="923"/>
        <v>COM</v>
      </c>
      <c r="G5059" t="str">
        <f>"WILLIAM DA SILVA COSTA (655)"</f>
        <v>WILLIAM DA SILVA COSTA (655)</v>
      </c>
      <c r="H5059" t="s">
        <v>1355</v>
      </c>
      <c r="I5059" t="str">
        <f>("16/10/2025")</f>
        <v>16/10/2025</v>
      </c>
      <c r="J5059" t="str">
        <f>("14/10/2025")</f>
        <v>14/10/2025</v>
      </c>
      <c r="K5059">
        <v>45938</v>
      </c>
      <c r="N5059">
        <v>109</v>
      </c>
      <c r="O5059" t="s">
        <v>24</v>
      </c>
      <c r="Q5059">
        <v>150</v>
      </c>
      <c r="R5059" t="str">
        <f>"FARMACIA ECONOMIZE (10103)"</f>
        <v>FARMACIA ECONOMIZE (10103)</v>
      </c>
      <c r="S5059" t="s">
        <v>22</v>
      </c>
      <c r="T5059">
        <v>19606</v>
      </c>
      <c r="U5059">
        <v>23831</v>
      </c>
      <c r="V5059" t="s">
        <v>22</v>
      </c>
    </row>
    <row r="5060" spans="1:22">
      <c r="A5060" t="str">
        <f t="shared" ref="A5060:A5123" si="924">("09/10/2025")</f>
        <v>09/10/2025</v>
      </c>
      <c r="B5060" t="str">
        <f>"ENTRADA"</f>
        <v>ENTRADA</v>
      </c>
      <c r="C5060" t="str">
        <f>"DINHEIRO"</f>
        <v>DINHEIRO</v>
      </c>
      <c r="D5060" t="str">
        <f>"716"</f>
        <v>716</v>
      </c>
      <c r="E5060" t="str">
        <f>"6"</f>
        <v>6</v>
      </c>
      <c r="F5060" t="str">
        <f t="shared" si="923"/>
        <v>COM</v>
      </c>
      <c r="G5060" t="str">
        <f>"LEONICIO CORR??A DA SILVA (716)"</f>
        <v>LEONICIO CORR??A DA SILVA (716)</v>
      </c>
      <c r="H5060" t="str">
        <f>"COTA COOPERATIVA"</f>
        <v>COTA COOPERATIVA</v>
      </c>
      <c r="I5060" t="str">
        <f>("08/10/2025")</f>
        <v>08/10/2025</v>
      </c>
      <c r="J5060" t="str">
        <f>("06/04/2025")</f>
        <v>06/04/2025</v>
      </c>
      <c r="K5060" t="str">
        <f>("09/10/2025")</f>
        <v>09/10/2025</v>
      </c>
      <c r="L5060">
        <v>20</v>
      </c>
      <c r="M5060">
        <v>20</v>
      </c>
      <c r="N5060">
        <v>106</v>
      </c>
      <c r="O5060" t="str">
        <f>"ENTRADA DE CAPITAL"</f>
        <v>ENTRADA DE CAPITAL</v>
      </c>
      <c r="P5060">
        <v>20</v>
      </c>
      <c r="S5060" t="str">
        <f>"ENTRADA DE CAPITAL (106)"</f>
        <v>ENTRADA DE CAPITAL (106)</v>
      </c>
      <c r="T5060">
        <v>19380</v>
      </c>
      <c r="U5060">
        <v>14159</v>
      </c>
      <c r="V5060" t="s">
        <v>48</v>
      </c>
    </row>
    <row r="5061" spans="1:22">
      <c r="A5061" t="str">
        <f t="shared" si="924"/>
        <v>09/10/2025</v>
      </c>
      <c r="B5061" t="str">
        <f>"ENTRADA"</f>
        <v>ENTRADA</v>
      </c>
      <c r="C5061" t="str">
        <f>"DINHEIRO"</f>
        <v>DINHEIRO</v>
      </c>
      <c r="D5061" t="str">
        <f>"716"</f>
        <v>716</v>
      </c>
      <c r="E5061" t="str">
        <f>"6"</f>
        <v>6</v>
      </c>
      <c r="F5061" t="str">
        <f t="shared" si="923"/>
        <v>COM</v>
      </c>
      <c r="G5061" t="str">
        <f>"LEONICIO CORR??A DA SILVA (716)"</f>
        <v>LEONICIO CORR??A DA SILVA (716)</v>
      </c>
      <c r="H5061" t="s">
        <v>50</v>
      </c>
      <c r="I5061" t="str">
        <f>("08/10/2025")</f>
        <v>08/10/2025</v>
      </c>
      <c r="J5061" t="str">
        <f>("06/04/2025")</f>
        <v>06/04/2025</v>
      </c>
      <c r="K5061">
        <v>45939</v>
      </c>
      <c r="N5061">
        <v>106</v>
      </c>
      <c r="O5061" t="s">
        <v>51</v>
      </c>
      <c r="Q5061">
        <v>20</v>
      </c>
      <c r="R5061" t="str">
        <f>"LEONICIO CORR??A DA SILVA (716)"</f>
        <v>LEONICIO CORR??A DA SILVA (716)</v>
      </c>
      <c r="S5061" t="s">
        <v>52</v>
      </c>
      <c r="T5061">
        <v>19380</v>
      </c>
      <c r="U5061">
        <v>14159</v>
      </c>
      <c r="V5061" t="s">
        <v>48</v>
      </c>
    </row>
    <row r="5062" spans="1:22">
      <c r="A5062" t="str">
        <f t="shared" si="924"/>
        <v>09/10/2025</v>
      </c>
      <c r="B5062" t="str">
        <f>"SAÍDA"</f>
        <v>SAÍDA</v>
      </c>
      <c r="C5062" t="str">
        <f>"PIX"</f>
        <v>PIX</v>
      </c>
      <c r="D5062" t="str">
        <f>"22823"</f>
        <v>22823</v>
      </c>
      <c r="E5062" t="str">
        <f>"1"</f>
        <v>1</v>
      </c>
      <c r="F5062" t="str">
        <f t="shared" si="923"/>
        <v>COM</v>
      </c>
      <c r="G5062" t="str">
        <f>"LEONICIO CORREA DA SILVA (716)"</f>
        <v>LEONICIO CORREA DA SILVA (716)</v>
      </c>
      <c r="H5062" t="str">
        <f>"Serv.Prest. 29/09/2025 a 05/10/2025 - PIX: CPF - CHAVE: 138.263.636-98"</f>
        <v>Serv.Prest. 29/09/2025 a 05/10/2025 - PIX: CPF - CHAVE: 138.263.636-98</v>
      </c>
      <c r="I5062" t="str">
        <f>("09/10/2025")</f>
        <v>09/10/2025</v>
      </c>
      <c r="J5062" t="str">
        <f>("06/10/2025")</f>
        <v>06/10/2025</v>
      </c>
      <c r="K5062" t="str">
        <f>("09/10/2025")</f>
        <v>09/10/2025</v>
      </c>
      <c r="L5062">
        <v>20</v>
      </c>
      <c r="M5062">
        <v>20</v>
      </c>
      <c r="N5062">
        <v>109</v>
      </c>
      <c r="O5062" t="str">
        <f>"PAGAMENTO DE ENTREGADORES"</f>
        <v>PAGAMENTO DE ENTREGADORES</v>
      </c>
      <c r="P5062">
        <v>20</v>
      </c>
      <c r="S5062" t="str">
        <f>"CAIXA MOVIMENTAÇÃO OPERACIONAL (132)"</f>
        <v>CAIXA MOVIMENTAÇÃO OPERACIONAL (132)</v>
      </c>
      <c r="T5062">
        <v>19381</v>
      </c>
      <c r="U5062">
        <v>23411</v>
      </c>
      <c r="V5062" t="s">
        <v>48</v>
      </c>
    </row>
    <row r="5063" spans="1:22">
      <c r="A5063" t="str">
        <f t="shared" si="924"/>
        <v>09/10/2025</v>
      </c>
      <c r="B5063" t="str">
        <f>"SAÍDA"</f>
        <v>SAÍDA</v>
      </c>
      <c r="C5063" t="str">
        <f>"PIX"</f>
        <v>PIX</v>
      </c>
      <c r="D5063" t="str">
        <f>"22823"</f>
        <v>22823</v>
      </c>
      <c r="E5063" t="str">
        <f>"1"</f>
        <v>1</v>
      </c>
      <c r="F5063" t="str">
        <f t="shared" si="923"/>
        <v>COM</v>
      </c>
      <c r="G5063" t="str">
        <f>"LEONICIO CORREA DA SILVA (716)"</f>
        <v>LEONICIO CORREA DA SILVA (716)</v>
      </c>
      <c r="H5063" t="s">
        <v>1448</v>
      </c>
      <c r="I5063" t="str">
        <f>("09/10/2025")</f>
        <v>09/10/2025</v>
      </c>
      <c r="J5063" t="str">
        <f>("06/10/2025")</f>
        <v>06/10/2025</v>
      </c>
      <c r="K5063">
        <v>45939</v>
      </c>
      <c r="N5063">
        <v>109</v>
      </c>
      <c r="O5063" t="s">
        <v>24</v>
      </c>
      <c r="Q5063">
        <v>20</v>
      </c>
      <c r="R5063" t="str">
        <f>"ENTREFARMA (10164)"</f>
        <v>ENTREFARMA (10164)</v>
      </c>
      <c r="S5063" t="s">
        <v>48</v>
      </c>
      <c r="T5063">
        <v>19381</v>
      </c>
      <c r="U5063">
        <v>23411</v>
      </c>
      <c r="V5063" t="s">
        <v>48</v>
      </c>
    </row>
    <row r="5064" spans="1:22">
      <c r="A5064" t="str">
        <f t="shared" si="924"/>
        <v>09/10/2025</v>
      </c>
      <c r="B5064" t="str">
        <f>"SAÍDA"</f>
        <v>SAÍDA</v>
      </c>
      <c r="C5064" t="str">
        <f>"PIX"</f>
        <v>PIX</v>
      </c>
      <c r="D5064" t="str">
        <f>"22601"</f>
        <v>22601</v>
      </c>
      <c r="E5064" t="str">
        <f>"1"</f>
        <v>1</v>
      </c>
      <c r="F5064" t="str">
        <f t="shared" si="923"/>
        <v>COM</v>
      </c>
      <c r="G5064" t="str">
        <f>"LUAN DOS SANTOS NUNES (719)"</f>
        <v>LUAN DOS SANTOS NUNES (719)</v>
      </c>
      <c r="H5064" t="str">
        <f>"Serv.Prest. 22/09/2025 a 25/09/2025 - PIX: CELULAR - CHAVE: (33) 98749-4693"</f>
        <v>Serv.Prest. 22/09/2025 a 25/09/2025 - PIX: CELULAR - CHAVE: (33) 98749-4693</v>
      </c>
      <c r="I5064" t="str">
        <f>("09/10/2025")</f>
        <v>09/10/2025</v>
      </c>
      <c r="J5064" t="str">
        <f>("26/09/2025")</f>
        <v>26/09/2025</v>
      </c>
      <c r="K5064" t="str">
        <f>("09/10/2025")</f>
        <v>09/10/2025</v>
      </c>
      <c r="L5064">
        <v>20</v>
      </c>
      <c r="M5064">
        <v>20</v>
      </c>
      <c r="N5064">
        <v>109</v>
      </c>
      <c r="O5064" t="str">
        <f>"PAGAMENTO DE ENTREGADORES"</f>
        <v>PAGAMENTO DE ENTREGADORES</v>
      </c>
      <c r="P5064">
        <v>20</v>
      </c>
      <c r="S5064" t="str">
        <f>"CAIXA MOVIMENTAÇÃO OPERACIONAL (132)"</f>
        <v>CAIXA MOVIMENTAÇÃO OPERACIONAL (132)</v>
      </c>
      <c r="T5064">
        <v>19382</v>
      </c>
      <c r="U5064">
        <v>23412</v>
      </c>
      <c r="V5064" t="s">
        <v>48</v>
      </c>
    </row>
    <row r="5065" spans="1:22">
      <c r="A5065" t="str">
        <f t="shared" si="924"/>
        <v>09/10/2025</v>
      </c>
      <c r="B5065" t="str">
        <f>"SAÍDA"</f>
        <v>SAÍDA</v>
      </c>
      <c r="C5065" t="str">
        <f>"PIX"</f>
        <v>PIX</v>
      </c>
      <c r="D5065" t="str">
        <f>"22601"</f>
        <v>22601</v>
      </c>
      <c r="E5065" t="str">
        <f>"1"</f>
        <v>1</v>
      </c>
      <c r="F5065" t="str">
        <f t="shared" si="923"/>
        <v>COM</v>
      </c>
      <c r="G5065" t="str">
        <f>"LUAN DOS SANTOS NUNES (719)"</f>
        <v>LUAN DOS SANTOS NUNES (719)</v>
      </c>
      <c r="H5065" t="s">
        <v>1449</v>
      </c>
      <c r="I5065" t="str">
        <f>("09/10/2025")</f>
        <v>09/10/2025</v>
      </c>
      <c r="J5065" t="str">
        <f>("26/09/2025")</f>
        <v>26/09/2025</v>
      </c>
      <c r="K5065">
        <v>45939</v>
      </c>
      <c r="N5065">
        <v>109</v>
      </c>
      <c r="O5065" t="s">
        <v>24</v>
      </c>
      <c r="Q5065">
        <v>10.52</v>
      </c>
      <c r="R5065" t="str">
        <f>"FARMÁCIA INDIANA LJ 40 (10016)"</f>
        <v>FARMÁCIA INDIANA LJ 40 (10016)</v>
      </c>
      <c r="S5065" t="s">
        <v>48</v>
      </c>
      <c r="T5065">
        <v>19382</v>
      </c>
      <c r="U5065">
        <v>23412</v>
      </c>
      <c r="V5065" t="s">
        <v>48</v>
      </c>
    </row>
    <row r="5066" spans="1:22">
      <c r="A5066" t="str">
        <f t="shared" si="924"/>
        <v>09/10/2025</v>
      </c>
      <c r="B5066" t="str">
        <f>"SAÍDA"</f>
        <v>SAÍDA</v>
      </c>
      <c r="C5066" t="str">
        <f>"PIX"</f>
        <v>PIX</v>
      </c>
      <c r="D5066" t="str">
        <f>"22601"</f>
        <v>22601</v>
      </c>
      <c r="E5066" t="str">
        <f>"1"</f>
        <v>1</v>
      </c>
      <c r="F5066" t="str">
        <f t="shared" si="923"/>
        <v>COM</v>
      </c>
      <c r="G5066" t="str">
        <f>"LUAN DOS SANTOS NUNES (719)"</f>
        <v>LUAN DOS SANTOS NUNES (719)</v>
      </c>
      <c r="H5066" t="s">
        <v>1449</v>
      </c>
      <c r="I5066" t="str">
        <f>("09/10/2025")</f>
        <v>09/10/2025</v>
      </c>
      <c r="J5066" t="str">
        <f>("26/09/2025")</f>
        <v>26/09/2025</v>
      </c>
      <c r="K5066">
        <v>45939</v>
      </c>
      <c r="N5066">
        <v>109</v>
      </c>
      <c r="O5066" t="s">
        <v>24</v>
      </c>
      <c r="Q5066">
        <v>9.48</v>
      </c>
      <c r="R5066" t="str">
        <f>"FARMÁCIA INDIANA LJ 61 (10027)"</f>
        <v>FARMÁCIA INDIANA LJ 61 (10027)</v>
      </c>
      <c r="S5066" t="s">
        <v>48</v>
      </c>
      <c r="T5066">
        <v>19382</v>
      </c>
      <c r="U5066">
        <v>23412</v>
      </c>
      <c r="V5066" t="s">
        <v>48</v>
      </c>
    </row>
    <row r="5067" spans="1:22">
      <c r="A5067" t="str">
        <f t="shared" si="924"/>
        <v>09/10/2025</v>
      </c>
      <c r="B5067" t="str">
        <f>"ENTRADA"</f>
        <v>ENTRADA</v>
      </c>
      <c r="C5067" t="str">
        <f>"DINHEIRO"</f>
        <v>DINHEIRO</v>
      </c>
      <c r="D5067" t="str">
        <f>"719"</f>
        <v>719</v>
      </c>
      <c r="E5067" t="str">
        <f>"6"</f>
        <v>6</v>
      </c>
      <c r="F5067" t="str">
        <f t="shared" si="923"/>
        <v>COM</v>
      </c>
      <c r="G5067" t="str">
        <f>"LUAN DOS SANTOS NUNES (719)"</f>
        <v>LUAN DOS SANTOS NUNES (719)</v>
      </c>
      <c r="H5067" t="str">
        <f>"COTA COOPERATIVA"</f>
        <v>COTA COOPERATIVA</v>
      </c>
      <c r="I5067" t="str">
        <f>("15/10/2025")</f>
        <v>15/10/2025</v>
      </c>
      <c r="J5067" t="str">
        <f>("07/04/2025")</f>
        <v>07/04/2025</v>
      </c>
      <c r="K5067" t="str">
        <f>("09/10/2025")</f>
        <v>09/10/2025</v>
      </c>
      <c r="L5067">
        <v>20</v>
      </c>
      <c r="M5067">
        <v>20</v>
      </c>
      <c r="N5067">
        <v>106</v>
      </c>
      <c r="O5067" t="str">
        <f>"ENTRADA DE CAPITAL"</f>
        <v>ENTRADA DE CAPITAL</v>
      </c>
      <c r="P5067">
        <v>20</v>
      </c>
      <c r="S5067" t="str">
        <f>"ENTRADA DE CAPITAL (106)"</f>
        <v>ENTRADA DE CAPITAL (106)</v>
      </c>
      <c r="T5067">
        <v>19383</v>
      </c>
      <c r="U5067">
        <v>13045</v>
      </c>
      <c r="V5067" t="s">
        <v>48</v>
      </c>
    </row>
    <row r="5068" spans="1:22">
      <c r="A5068" t="str">
        <f t="shared" si="924"/>
        <v>09/10/2025</v>
      </c>
      <c r="B5068" t="str">
        <f>"ENTRADA"</f>
        <v>ENTRADA</v>
      </c>
      <c r="C5068" t="str">
        <f>"DINHEIRO"</f>
        <v>DINHEIRO</v>
      </c>
      <c r="D5068" t="str">
        <f>"719"</f>
        <v>719</v>
      </c>
      <c r="E5068" t="str">
        <f>"6"</f>
        <v>6</v>
      </c>
      <c r="F5068" t="str">
        <f t="shared" si="923"/>
        <v>COM</v>
      </c>
      <c r="G5068" t="str">
        <f>"LUAN DOS SANTOS NUNES (719)"</f>
        <v>LUAN DOS SANTOS NUNES (719)</v>
      </c>
      <c r="H5068" t="s">
        <v>50</v>
      </c>
      <c r="I5068" t="str">
        <f>("15/10/2025")</f>
        <v>15/10/2025</v>
      </c>
      <c r="J5068" t="str">
        <f>("07/04/2025")</f>
        <v>07/04/2025</v>
      </c>
      <c r="K5068">
        <v>45939</v>
      </c>
      <c r="N5068">
        <v>106</v>
      </c>
      <c r="O5068" t="s">
        <v>51</v>
      </c>
      <c r="Q5068">
        <v>20</v>
      </c>
      <c r="R5068" t="str">
        <f>"LUAN DOS SANTOS NUNES (719)"</f>
        <v>LUAN DOS SANTOS NUNES (719)</v>
      </c>
      <c r="S5068" t="s">
        <v>52</v>
      </c>
      <c r="T5068">
        <v>19383</v>
      </c>
      <c r="U5068">
        <v>13045</v>
      </c>
      <c r="V5068" t="s">
        <v>48</v>
      </c>
    </row>
    <row r="5069" spans="1:22">
      <c r="A5069" t="str">
        <f t="shared" si="924"/>
        <v>09/10/2025</v>
      </c>
      <c r="B5069" t="str">
        <f>"SAÍDA"</f>
        <v>SAÍDA</v>
      </c>
      <c r="C5069" t="str">
        <f>"PIX"</f>
        <v>PIX</v>
      </c>
      <c r="D5069" t="str">
        <f>"22602"</f>
        <v>22602</v>
      </c>
      <c r="E5069" t="str">
        <f>"1"</f>
        <v>1</v>
      </c>
      <c r="F5069" t="str">
        <f t="shared" si="923"/>
        <v>COM</v>
      </c>
      <c r="G5069" t="str">
        <f>"LUAN VICTOR SERQUEIRA DA SILVA (577)"</f>
        <v>LUAN VICTOR SERQUEIRA DA SILVA (577)</v>
      </c>
      <c r="H5069" t="str">
        <f>"Serv.Prest. 22/09/2025 a 25/09/2025 - PIX: CPF - CHAVE: 161.508.516-56"</f>
        <v>Serv.Prest. 22/09/2025 a 25/09/2025 - PIX: CPF - CHAVE: 161.508.516-56</v>
      </c>
      <c r="I5069" t="str">
        <f>("09/10/2025")</f>
        <v>09/10/2025</v>
      </c>
      <c r="J5069" t="str">
        <f>("26/09/2025")</f>
        <v>26/09/2025</v>
      </c>
      <c r="K5069" t="str">
        <f>("09/10/2025")</f>
        <v>09/10/2025</v>
      </c>
      <c r="L5069">
        <v>18.5</v>
      </c>
      <c r="M5069">
        <v>20</v>
      </c>
      <c r="N5069">
        <v>109</v>
      </c>
      <c r="O5069" t="str">
        <f>"PAGAMENTO DE ENTREGADORES"</f>
        <v>PAGAMENTO DE ENTREGADORES</v>
      </c>
      <c r="P5069">
        <v>20</v>
      </c>
      <c r="S5069" t="str">
        <f>"CAIXA MOVIMENTAÇÃO OPERACIONAL (132)"</f>
        <v>CAIXA MOVIMENTAÇÃO OPERACIONAL (132)</v>
      </c>
      <c r="T5069">
        <v>19384</v>
      </c>
      <c r="U5069">
        <v>23413</v>
      </c>
      <c r="V5069" t="s">
        <v>48</v>
      </c>
    </row>
    <row r="5070" spans="1:22">
      <c r="A5070" t="str">
        <f t="shared" si="924"/>
        <v>09/10/2025</v>
      </c>
      <c r="B5070" t="str">
        <f>"SAÍDA"</f>
        <v>SAÍDA</v>
      </c>
      <c r="C5070" t="str">
        <f>"PIX"</f>
        <v>PIX</v>
      </c>
      <c r="D5070" t="str">
        <f>"22602"</f>
        <v>22602</v>
      </c>
      <c r="E5070" t="str">
        <f>"1"</f>
        <v>1</v>
      </c>
      <c r="F5070" t="str">
        <f t="shared" si="923"/>
        <v>COM</v>
      </c>
      <c r="G5070" t="str">
        <f>"LUAN VICTOR SERQUEIRA DA SILVA (577)"</f>
        <v>LUAN VICTOR SERQUEIRA DA SILVA (577)</v>
      </c>
      <c r="H5070" t="s">
        <v>1450</v>
      </c>
      <c r="I5070" t="str">
        <f>("09/10/2025")</f>
        <v>09/10/2025</v>
      </c>
      <c r="J5070" t="str">
        <f>("26/09/2025")</f>
        <v>26/09/2025</v>
      </c>
      <c r="K5070">
        <v>45939</v>
      </c>
      <c r="N5070">
        <v>109</v>
      </c>
      <c r="O5070" t="s">
        <v>24</v>
      </c>
      <c r="Q5070">
        <v>20</v>
      </c>
      <c r="R5070" t="str">
        <f>"FARMÁCIA INDIANA LJ 202 (10085)"</f>
        <v>FARMÁCIA INDIANA LJ 202 (10085)</v>
      </c>
      <c r="S5070" t="s">
        <v>48</v>
      </c>
      <c r="T5070">
        <v>19384</v>
      </c>
      <c r="U5070">
        <v>23413</v>
      </c>
      <c r="V5070" t="s">
        <v>48</v>
      </c>
    </row>
    <row r="5071" spans="1:22">
      <c r="A5071" t="str">
        <f t="shared" si="924"/>
        <v>09/10/2025</v>
      </c>
      <c r="B5071" t="str">
        <f>"ENTRADA"</f>
        <v>ENTRADA</v>
      </c>
      <c r="C5071" t="str">
        <f>"DINHEIRO"</f>
        <v>DINHEIRO</v>
      </c>
      <c r="D5071" t="str">
        <f>"577"</f>
        <v>577</v>
      </c>
      <c r="E5071" t="str">
        <f>"9"</f>
        <v>9</v>
      </c>
      <c r="F5071" t="str">
        <f t="shared" si="923"/>
        <v>COM</v>
      </c>
      <c r="G5071" t="str">
        <f>"LUAN VICTOR SERQUEIRA DA SILVA (577)"</f>
        <v>LUAN VICTOR SERQUEIRA DA SILVA (577)</v>
      </c>
      <c r="H5071" t="str">
        <f>"COTAS COOPERATIVA"</f>
        <v>COTAS COOPERATIVA</v>
      </c>
      <c r="I5071" t="str">
        <f>("13/10/2025")</f>
        <v>13/10/2025</v>
      </c>
      <c r="J5071" t="str">
        <f>("13/02/2025")</f>
        <v>13/02/2025</v>
      </c>
      <c r="K5071" t="str">
        <f>("09/10/2025")</f>
        <v>09/10/2025</v>
      </c>
      <c r="L5071">
        <v>20</v>
      </c>
      <c r="M5071">
        <v>20</v>
      </c>
      <c r="N5071">
        <v>106</v>
      </c>
      <c r="O5071" t="str">
        <f>"ENTRADA DE CAPITAL"</f>
        <v>ENTRADA DE CAPITAL</v>
      </c>
      <c r="P5071">
        <v>20</v>
      </c>
      <c r="S5071" t="str">
        <f>"ENTRADA DE CAPITAL (106)"</f>
        <v>ENTRADA DE CAPITAL (106)</v>
      </c>
      <c r="T5071">
        <v>19385</v>
      </c>
      <c r="U5071">
        <v>9464</v>
      </c>
      <c r="V5071" t="s">
        <v>48</v>
      </c>
    </row>
    <row r="5072" spans="1:22">
      <c r="A5072" t="str">
        <f t="shared" si="924"/>
        <v>09/10/2025</v>
      </c>
      <c r="B5072" t="str">
        <f>"ENTRADA"</f>
        <v>ENTRADA</v>
      </c>
      <c r="C5072" t="str">
        <f>"DINHEIRO"</f>
        <v>DINHEIRO</v>
      </c>
      <c r="D5072" t="str">
        <f>"577"</f>
        <v>577</v>
      </c>
      <c r="E5072" t="str">
        <f>"9"</f>
        <v>9</v>
      </c>
      <c r="F5072" t="str">
        <f t="shared" si="923"/>
        <v>COM</v>
      </c>
      <c r="G5072" t="str">
        <f>"LUAN VICTOR SERQUEIRA DA SILVA (577)"</f>
        <v>LUAN VICTOR SERQUEIRA DA SILVA (577)</v>
      </c>
      <c r="H5072" t="s">
        <v>318</v>
      </c>
      <c r="I5072" t="str">
        <f>("13/10/2025")</f>
        <v>13/10/2025</v>
      </c>
      <c r="J5072" t="str">
        <f>("13/02/2025")</f>
        <v>13/02/2025</v>
      </c>
      <c r="K5072">
        <v>45939</v>
      </c>
      <c r="N5072">
        <v>106</v>
      </c>
      <c r="O5072" t="s">
        <v>51</v>
      </c>
      <c r="Q5072">
        <v>20</v>
      </c>
      <c r="R5072" t="str">
        <f>"LUAN VICTOR SERQUEIRA DA SILVA (577)"</f>
        <v>LUAN VICTOR SERQUEIRA DA SILVA (577)</v>
      </c>
      <c r="S5072" t="s">
        <v>52</v>
      </c>
      <c r="T5072">
        <v>19385</v>
      </c>
      <c r="U5072">
        <v>9464</v>
      </c>
      <c r="V5072" t="s">
        <v>48</v>
      </c>
    </row>
    <row r="5073" spans="1:22">
      <c r="A5073" t="str">
        <f t="shared" si="924"/>
        <v>09/10/2025</v>
      </c>
      <c r="B5073" t="str">
        <f>"SAÍDA"</f>
        <v>SAÍDA</v>
      </c>
      <c r="C5073" t="str">
        <f>"PIX"</f>
        <v>PIX</v>
      </c>
      <c r="D5073" t="str">
        <f>"22603"</f>
        <v>22603</v>
      </c>
      <c r="E5073" t="str">
        <f>"1"</f>
        <v>1</v>
      </c>
      <c r="F5073" t="str">
        <f t="shared" si="923"/>
        <v>COM</v>
      </c>
      <c r="G5073" t="str">
        <f>"LUCAS FERREIRA DOS SANTOS (868)"</f>
        <v>LUCAS FERREIRA DOS SANTOS (868)</v>
      </c>
      <c r="H5073" t="str">
        <f>"Serv.Prest. 22/09/2025 a 25/09/2025 - PIX: CELULAR - CHAVE: (33) 99172-0627"</f>
        <v>Serv.Prest. 22/09/2025 a 25/09/2025 - PIX: CELULAR - CHAVE: (33) 99172-0627</v>
      </c>
      <c r="I5073" t="str">
        <f>("09/10/2025")</f>
        <v>09/10/2025</v>
      </c>
      <c r="J5073" t="str">
        <f>("26/09/2025")</f>
        <v>26/09/2025</v>
      </c>
      <c r="K5073" t="str">
        <f>("09/10/2025")</f>
        <v>09/10/2025</v>
      </c>
      <c r="L5073">
        <v>20</v>
      </c>
      <c r="M5073">
        <v>20</v>
      </c>
      <c r="N5073">
        <v>109</v>
      </c>
      <c r="O5073" t="str">
        <f>"PAGAMENTO DE ENTREGADORES"</f>
        <v>PAGAMENTO DE ENTREGADORES</v>
      </c>
      <c r="P5073">
        <v>20</v>
      </c>
      <c r="S5073" t="str">
        <f>"CAIXA MOVIMENTAÇÃO OPERACIONAL (132)"</f>
        <v>CAIXA MOVIMENTAÇÃO OPERACIONAL (132)</v>
      </c>
      <c r="T5073">
        <v>19386</v>
      </c>
      <c r="U5073">
        <v>23414</v>
      </c>
      <c r="V5073" t="s">
        <v>48</v>
      </c>
    </row>
    <row r="5074" spans="1:22">
      <c r="A5074" t="str">
        <f t="shared" si="924"/>
        <v>09/10/2025</v>
      </c>
      <c r="B5074" t="str">
        <f>"SAÍDA"</f>
        <v>SAÍDA</v>
      </c>
      <c r="C5074" t="str">
        <f>"PIX"</f>
        <v>PIX</v>
      </c>
      <c r="D5074" t="str">
        <f>"22603"</f>
        <v>22603</v>
      </c>
      <c r="E5074" t="str">
        <f>"1"</f>
        <v>1</v>
      </c>
      <c r="F5074" t="str">
        <f t="shared" si="923"/>
        <v>COM</v>
      </c>
      <c r="G5074" t="str">
        <f>"LUCAS FERREIRA DOS SANTOS (868)"</f>
        <v>LUCAS FERREIRA DOS SANTOS (868)</v>
      </c>
      <c r="H5074" t="s">
        <v>1451</v>
      </c>
      <c r="I5074" t="str">
        <f>("09/10/2025")</f>
        <v>09/10/2025</v>
      </c>
      <c r="J5074" t="str">
        <f>("26/09/2025")</f>
        <v>26/09/2025</v>
      </c>
      <c r="K5074">
        <v>45939</v>
      </c>
      <c r="N5074">
        <v>109</v>
      </c>
      <c r="O5074" t="s">
        <v>24</v>
      </c>
      <c r="Q5074">
        <v>20</v>
      </c>
      <c r="R5074" t="str">
        <f>"FARMÁCIA INDIANA LJ 06 (10006)"</f>
        <v>FARMÁCIA INDIANA LJ 06 (10006)</v>
      </c>
      <c r="S5074" t="s">
        <v>48</v>
      </c>
      <c r="T5074">
        <v>19386</v>
      </c>
      <c r="U5074">
        <v>23414</v>
      </c>
      <c r="V5074" t="s">
        <v>48</v>
      </c>
    </row>
    <row r="5075" spans="1:22">
      <c r="A5075" t="str">
        <f t="shared" si="924"/>
        <v>09/10/2025</v>
      </c>
      <c r="B5075" t="str">
        <f>"ENTRADA"</f>
        <v>ENTRADA</v>
      </c>
      <c r="C5075" t="str">
        <f>"DINHEIRO"</f>
        <v>DINHEIRO</v>
      </c>
      <c r="D5075" t="str">
        <f>"868"</f>
        <v>868</v>
      </c>
      <c r="E5075" t="str">
        <f>"3"</f>
        <v>3</v>
      </c>
      <c r="F5075" t="str">
        <f t="shared" si="923"/>
        <v>COM</v>
      </c>
      <c r="G5075" t="str">
        <f>"LUCAS FERREIRA DOS SANTOS (868)"</f>
        <v>LUCAS FERREIRA DOS SANTOS (868)</v>
      </c>
      <c r="H5075" t="str">
        <f>"COTA COOPERATIVA"</f>
        <v>COTA COOPERATIVA</v>
      </c>
      <c r="I5075" t="str">
        <f>("10/10/2025")</f>
        <v>10/10/2025</v>
      </c>
      <c r="J5075" t="str">
        <f>("01/07/2025")</f>
        <v>01/07/2025</v>
      </c>
      <c r="K5075" t="str">
        <f>("09/10/2025")</f>
        <v>09/10/2025</v>
      </c>
      <c r="L5075">
        <v>20</v>
      </c>
      <c r="M5075">
        <v>20</v>
      </c>
      <c r="N5075">
        <v>106</v>
      </c>
      <c r="O5075" t="str">
        <f>"ENTRADA DE CAPITAL"</f>
        <v>ENTRADA DE CAPITAL</v>
      </c>
      <c r="P5075">
        <v>20</v>
      </c>
      <c r="S5075" t="str">
        <f>"ENTRADA DE CAPITAL (106)"</f>
        <v>ENTRADA DE CAPITAL (106)</v>
      </c>
      <c r="T5075">
        <v>19387</v>
      </c>
      <c r="U5075">
        <v>19800</v>
      </c>
      <c r="V5075" t="s">
        <v>48</v>
      </c>
    </row>
    <row r="5076" spans="1:22">
      <c r="A5076" t="str">
        <f t="shared" si="924"/>
        <v>09/10/2025</v>
      </c>
      <c r="B5076" t="str">
        <f>"ENTRADA"</f>
        <v>ENTRADA</v>
      </c>
      <c r="C5076" t="str">
        <f>"DINHEIRO"</f>
        <v>DINHEIRO</v>
      </c>
      <c r="D5076" t="str">
        <f>"868"</f>
        <v>868</v>
      </c>
      <c r="E5076" t="str">
        <f>"3"</f>
        <v>3</v>
      </c>
      <c r="F5076" t="str">
        <f t="shared" si="923"/>
        <v>COM</v>
      </c>
      <c r="G5076" t="str">
        <f>"LUCAS FERREIRA DOS SANTOS (868)"</f>
        <v>LUCAS FERREIRA DOS SANTOS (868)</v>
      </c>
      <c r="H5076" t="s">
        <v>50</v>
      </c>
      <c r="I5076" t="str">
        <f>("10/10/2025")</f>
        <v>10/10/2025</v>
      </c>
      <c r="J5076" t="str">
        <f>("01/07/2025")</f>
        <v>01/07/2025</v>
      </c>
      <c r="K5076">
        <v>45939</v>
      </c>
      <c r="N5076">
        <v>106</v>
      </c>
      <c r="O5076" t="s">
        <v>51</v>
      </c>
      <c r="Q5076">
        <v>20</v>
      </c>
      <c r="R5076" t="str">
        <f>"LUCAS FERREIRA DOS SANTOS (868)"</f>
        <v>LUCAS FERREIRA DOS SANTOS (868)</v>
      </c>
      <c r="S5076" t="s">
        <v>52</v>
      </c>
      <c r="T5076">
        <v>19387</v>
      </c>
      <c r="U5076">
        <v>19800</v>
      </c>
      <c r="V5076" t="s">
        <v>48</v>
      </c>
    </row>
    <row r="5077" spans="1:22">
      <c r="A5077" t="str">
        <f t="shared" si="924"/>
        <v>09/10/2025</v>
      </c>
      <c r="B5077" t="str">
        <f>"SAÍDA"</f>
        <v>SAÍDA</v>
      </c>
      <c r="C5077" t="str">
        <f>"PIX"</f>
        <v>PIX</v>
      </c>
      <c r="D5077" t="str">
        <f>"22540"</f>
        <v>22540</v>
      </c>
      <c r="E5077" t="str">
        <f>"1"</f>
        <v>1</v>
      </c>
      <c r="F5077" t="str">
        <f t="shared" si="923"/>
        <v>COM</v>
      </c>
      <c r="G5077" t="str">
        <f>"LUCAS MOREIRA PEREIRA (153)"</f>
        <v>LUCAS MOREIRA PEREIRA (153)</v>
      </c>
      <c r="H5077" t="str">
        <f>"Serv.Prest. 22/09/2025 a 25/09/2025 - PIX: CELULAR - CHAVE: (73) 99967-3239"</f>
        <v>Serv.Prest. 22/09/2025 a 25/09/2025 - PIX: CELULAR - CHAVE: (73) 99967-3239</v>
      </c>
      <c r="I5077" t="str">
        <f>("09/10/2025")</f>
        <v>09/10/2025</v>
      </c>
      <c r="J5077" t="str">
        <f>("26/09/2025")</f>
        <v>26/09/2025</v>
      </c>
      <c r="K5077" t="str">
        <f>("09/10/2025")</f>
        <v>09/10/2025</v>
      </c>
      <c r="L5077">
        <v>20</v>
      </c>
      <c r="M5077">
        <v>20</v>
      </c>
      <c r="N5077">
        <v>109</v>
      </c>
      <c r="O5077" t="str">
        <f>"PAGAMENTO DE ENTREGADORES"</f>
        <v>PAGAMENTO DE ENTREGADORES</v>
      </c>
      <c r="P5077">
        <v>20</v>
      </c>
      <c r="S5077" t="str">
        <f>"CAIXA MOVIMENTAÇÃO OPERACIONAL (132)"</f>
        <v>CAIXA MOVIMENTAÇÃO OPERACIONAL (132)</v>
      </c>
      <c r="T5077">
        <v>19388</v>
      </c>
      <c r="U5077">
        <v>23415</v>
      </c>
      <c r="V5077" t="s">
        <v>48</v>
      </c>
    </row>
    <row r="5078" spans="1:22">
      <c r="A5078" t="str">
        <f t="shared" si="924"/>
        <v>09/10/2025</v>
      </c>
      <c r="B5078" t="str">
        <f>"SAÍDA"</f>
        <v>SAÍDA</v>
      </c>
      <c r="C5078" t="str">
        <f>"PIX"</f>
        <v>PIX</v>
      </c>
      <c r="D5078" t="str">
        <f>"22540"</f>
        <v>22540</v>
      </c>
      <c r="E5078" t="str">
        <f>"1"</f>
        <v>1</v>
      </c>
      <c r="F5078" t="str">
        <f t="shared" si="923"/>
        <v>COM</v>
      </c>
      <c r="G5078" t="str">
        <f>"LUCAS MOREIRA PEREIRA (153)"</f>
        <v>LUCAS MOREIRA PEREIRA (153)</v>
      </c>
      <c r="H5078" t="s">
        <v>1452</v>
      </c>
      <c r="I5078" t="str">
        <f>("09/10/2025")</f>
        <v>09/10/2025</v>
      </c>
      <c r="J5078" t="str">
        <f>("26/09/2025")</f>
        <v>26/09/2025</v>
      </c>
      <c r="K5078">
        <v>45939</v>
      </c>
      <c r="N5078">
        <v>109</v>
      </c>
      <c r="O5078" t="s">
        <v>24</v>
      </c>
      <c r="Q5078">
        <v>15.9</v>
      </c>
      <c r="R5078" t="str">
        <f>"FARMÁCIA INDIANA LJ 48 (10018)"</f>
        <v>FARMÁCIA INDIANA LJ 48 (10018)</v>
      </c>
      <c r="S5078" t="s">
        <v>48</v>
      </c>
      <c r="T5078">
        <v>19388</v>
      </c>
      <c r="U5078">
        <v>23415</v>
      </c>
      <c r="V5078" t="s">
        <v>48</v>
      </c>
    </row>
    <row r="5079" spans="1:22">
      <c r="A5079" t="str">
        <f t="shared" si="924"/>
        <v>09/10/2025</v>
      </c>
      <c r="B5079" t="str">
        <f>"SAÍDA"</f>
        <v>SAÍDA</v>
      </c>
      <c r="C5079" t="str">
        <f>"PIX"</f>
        <v>PIX</v>
      </c>
      <c r="D5079" t="str">
        <f>"22540"</f>
        <v>22540</v>
      </c>
      <c r="E5079" t="str">
        <f>"1"</f>
        <v>1</v>
      </c>
      <c r="F5079" t="str">
        <f t="shared" si="923"/>
        <v>COM</v>
      </c>
      <c r="G5079" t="str">
        <f>"LUCAS MOREIRA PEREIRA (153)"</f>
        <v>LUCAS MOREIRA PEREIRA (153)</v>
      </c>
      <c r="H5079" t="s">
        <v>1452</v>
      </c>
      <c r="I5079" t="str">
        <f>("09/10/2025")</f>
        <v>09/10/2025</v>
      </c>
      <c r="J5079" t="str">
        <f>("26/09/2025")</f>
        <v>26/09/2025</v>
      </c>
      <c r="K5079">
        <v>45939</v>
      </c>
      <c r="N5079">
        <v>109</v>
      </c>
      <c r="O5079" t="s">
        <v>24</v>
      </c>
      <c r="Q5079">
        <v>4.0999999999999996</v>
      </c>
      <c r="R5079" t="str">
        <f>"FARMÁCIA INDIANA LJ 169 (10073)"</f>
        <v>FARMÁCIA INDIANA LJ 169 (10073)</v>
      </c>
      <c r="S5079" t="s">
        <v>48</v>
      </c>
      <c r="T5079">
        <v>19388</v>
      </c>
      <c r="U5079">
        <v>23415</v>
      </c>
      <c r="V5079" t="s">
        <v>48</v>
      </c>
    </row>
    <row r="5080" spans="1:22">
      <c r="A5080" t="str">
        <f t="shared" si="924"/>
        <v>09/10/2025</v>
      </c>
      <c r="B5080" t="str">
        <f>"ENTRADA"</f>
        <v>ENTRADA</v>
      </c>
      <c r="C5080" t="str">
        <f>"DINHEIRO"</f>
        <v>DINHEIRO</v>
      </c>
      <c r="D5080" t="str">
        <f>"13"</f>
        <v>13</v>
      </c>
      <c r="E5080" t="str">
        <f>"34"</f>
        <v>34</v>
      </c>
      <c r="F5080" t="str">
        <f t="shared" si="923"/>
        <v>COM</v>
      </c>
      <c r="G5080" t="str">
        <f>"LUCAS MOREIRA PEREIRA (153)"</f>
        <v>LUCAS MOREIRA PEREIRA (153)</v>
      </c>
      <c r="H5080" t="str">
        <f>"DESCONTO COTA COOPERADO"</f>
        <v>DESCONTO COTA COOPERADO</v>
      </c>
      <c r="I5080" t="str">
        <f>("16/10/2025")</f>
        <v>16/10/2025</v>
      </c>
      <c r="J5080" t="str">
        <f>("16/01/2025")</f>
        <v>16/01/2025</v>
      </c>
      <c r="K5080" t="str">
        <f>("09/10/2025")</f>
        <v>09/10/2025</v>
      </c>
      <c r="L5080">
        <v>20</v>
      </c>
      <c r="M5080">
        <v>20</v>
      </c>
      <c r="N5080">
        <v>106</v>
      </c>
      <c r="O5080" t="str">
        <f>"ENTRADA DE CAPITAL"</f>
        <v>ENTRADA DE CAPITAL</v>
      </c>
      <c r="P5080">
        <v>20</v>
      </c>
      <c r="S5080" t="str">
        <f>"ENTRADA DE CAPITAL (106)"</f>
        <v>ENTRADA DE CAPITAL (106)</v>
      </c>
      <c r="T5080">
        <v>19389</v>
      </c>
      <c r="U5080">
        <v>6964</v>
      </c>
      <c r="V5080" t="s">
        <v>48</v>
      </c>
    </row>
    <row r="5081" spans="1:22">
      <c r="A5081" t="str">
        <f t="shared" si="924"/>
        <v>09/10/2025</v>
      </c>
      <c r="B5081" t="str">
        <f>"ENTRADA"</f>
        <v>ENTRADA</v>
      </c>
      <c r="C5081" t="str">
        <f>"DINHEIRO"</f>
        <v>DINHEIRO</v>
      </c>
      <c r="D5081" t="str">
        <f>"13"</f>
        <v>13</v>
      </c>
      <c r="E5081" t="str">
        <f>"34"</f>
        <v>34</v>
      </c>
      <c r="F5081" t="str">
        <f t="shared" si="923"/>
        <v>COM</v>
      </c>
      <c r="G5081" t="str">
        <f>"LUCAS MOREIRA PEREIRA (153)"</f>
        <v>LUCAS MOREIRA PEREIRA (153)</v>
      </c>
      <c r="H5081" t="s">
        <v>309</v>
      </c>
      <c r="I5081" t="str">
        <f>("16/10/2025")</f>
        <v>16/10/2025</v>
      </c>
      <c r="J5081" t="str">
        <f>("16/01/2025")</f>
        <v>16/01/2025</v>
      </c>
      <c r="K5081">
        <v>45939</v>
      </c>
      <c r="N5081">
        <v>106</v>
      </c>
      <c r="O5081" t="s">
        <v>51</v>
      </c>
      <c r="Q5081">
        <v>20</v>
      </c>
      <c r="R5081" t="str">
        <f>"LUCAS MOREIRA PEREIRA (153)"</f>
        <v>LUCAS MOREIRA PEREIRA (153)</v>
      </c>
      <c r="S5081" t="s">
        <v>52</v>
      </c>
      <c r="T5081">
        <v>19389</v>
      </c>
      <c r="U5081">
        <v>6964</v>
      </c>
      <c r="V5081" t="s">
        <v>48</v>
      </c>
    </row>
    <row r="5082" spans="1:22">
      <c r="A5082" t="str">
        <f t="shared" si="924"/>
        <v>09/10/2025</v>
      </c>
      <c r="B5082" t="str">
        <f>"SAÍDA"</f>
        <v>SAÍDA</v>
      </c>
      <c r="C5082" t="str">
        <f>"PIX"</f>
        <v>PIX</v>
      </c>
      <c r="D5082" t="str">
        <f>"22605"</f>
        <v>22605</v>
      </c>
      <c r="E5082" t="str">
        <f>"1"</f>
        <v>1</v>
      </c>
      <c r="F5082" t="str">
        <f t="shared" si="923"/>
        <v>COM</v>
      </c>
      <c r="G5082" t="str">
        <f>"LUIZ EDUARDO VIANA BRITO (878)"</f>
        <v>LUIZ EDUARDO VIANA BRITO (878)</v>
      </c>
      <c r="H5082" t="str">
        <f>"Serv.Prest. 22/09/2025 a 25/09/2025 - PIX: CPF - CHAVE: 101.220.976-88"</f>
        <v>Serv.Prest. 22/09/2025 a 25/09/2025 - PIX: CPF - CHAVE: 101.220.976-88</v>
      </c>
      <c r="I5082" t="str">
        <f>("09/10/2025")</f>
        <v>09/10/2025</v>
      </c>
      <c r="J5082" t="str">
        <f>("26/09/2025")</f>
        <v>26/09/2025</v>
      </c>
      <c r="K5082" t="str">
        <f>("09/10/2025")</f>
        <v>09/10/2025</v>
      </c>
      <c r="L5082">
        <v>20</v>
      </c>
      <c r="M5082">
        <v>20</v>
      </c>
      <c r="N5082">
        <v>109</v>
      </c>
      <c r="O5082" t="str">
        <f>"PAGAMENTO DE ENTREGADORES"</f>
        <v>PAGAMENTO DE ENTREGADORES</v>
      </c>
      <c r="P5082">
        <v>20</v>
      </c>
      <c r="S5082" t="str">
        <f>"CAIXA MOVIMENTAÇÃO OPERACIONAL (132)"</f>
        <v>CAIXA MOVIMENTAÇÃO OPERACIONAL (132)</v>
      </c>
      <c r="T5082">
        <v>19390</v>
      </c>
      <c r="U5082">
        <v>23416</v>
      </c>
      <c r="V5082" t="s">
        <v>48</v>
      </c>
    </row>
    <row r="5083" spans="1:22">
      <c r="A5083" t="str">
        <f t="shared" si="924"/>
        <v>09/10/2025</v>
      </c>
      <c r="B5083" t="str">
        <f>"SAÍDA"</f>
        <v>SAÍDA</v>
      </c>
      <c r="C5083" t="str">
        <f>"PIX"</f>
        <v>PIX</v>
      </c>
      <c r="D5083" t="str">
        <f>"22605"</f>
        <v>22605</v>
      </c>
      <c r="E5083" t="str">
        <f>"1"</f>
        <v>1</v>
      </c>
      <c r="F5083" t="str">
        <f t="shared" si="923"/>
        <v>COM</v>
      </c>
      <c r="G5083" t="str">
        <f>"LUIZ EDUARDO VIANA BRITO (878)"</f>
        <v>LUIZ EDUARDO VIANA BRITO (878)</v>
      </c>
      <c r="H5083" t="s">
        <v>1453</v>
      </c>
      <c r="I5083" t="str">
        <f>("09/10/2025")</f>
        <v>09/10/2025</v>
      </c>
      <c r="J5083" t="str">
        <f>("26/09/2025")</f>
        <v>26/09/2025</v>
      </c>
      <c r="K5083">
        <v>45939</v>
      </c>
      <c r="N5083">
        <v>109</v>
      </c>
      <c r="O5083" t="s">
        <v>24</v>
      </c>
      <c r="Q5083">
        <v>20</v>
      </c>
      <c r="R5083" t="str">
        <f>"FARMÁCIA INDIANA LJ 40 (10016)"</f>
        <v>FARMÁCIA INDIANA LJ 40 (10016)</v>
      </c>
      <c r="S5083" t="s">
        <v>48</v>
      </c>
      <c r="T5083">
        <v>19390</v>
      </c>
      <c r="U5083">
        <v>23416</v>
      </c>
      <c r="V5083" t="s">
        <v>48</v>
      </c>
    </row>
    <row r="5084" spans="1:22">
      <c r="A5084" t="str">
        <f t="shared" si="924"/>
        <v>09/10/2025</v>
      </c>
      <c r="B5084" t="str">
        <f>"ENTRADA"</f>
        <v>ENTRADA</v>
      </c>
      <c r="C5084" t="str">
        <f>"DINHEIRO"</f>
        <v>DINHEIRO</v>
      </c>
      <c r="D5084" t="str">
        <f>"878"</f>
        <v>878</v>
      </c>
      <c r="E5084" t="str">
        <f>"3"</f>
        <v>3</v>
      </c>
      <c r="F5084" t="str">
        <f t="shared" si="923"/>
        <v>COM</v>
      </c>
      <c r="G5084" t="str">
        <f>"LUIZ EDUARDO VIANA BRITO (878)"</f>
        <v>LUIZ EDUARDO VIANA BRITO (878)</v>
      </c>
      <c r="H5084" t="str">
        <f>"COTA COOPERATIVA"</f>
        <v>COTA COOPERATIVA</v>
      </c>
      <c r="I5084" t="str">
        <f>("10/10/2025")</f>
        <v>10/10/2025</v>
      </c>
      <c r="J5084" t="str">
        <f>("14/07/2025")</f>
        <v>14/07/2025</v>
      </c>
      <c r="K5084" t="str">
        <f>("09/10/2025")</f>
        <v>09/10/2025</v>
      </c>
      <c r="L5084">
        <v>20</v>
      </c>
      <c r="M5084">
        <v>20</v>
      </c>
      <c r="N5084">
        <v>106</v>
      </c>
      <c r="O5084" t="str">
        <f>"ENTRADA DE CAPITAL"</f>
        <v>ENTRADA DE CAPITAL</v>
      </c>
      <c r="P5084">
        <v>20</v>
      </c>
      <c r="S5084" t="str">
        <f>"ENTRADA DE CAPITAL (106)"</f>
        <v>ENTRADA DE CAPITAL (106)</v>
      </c>
      <c r="T5084">
        <v>19391</v>
      </c>
      <c r="U5084">
        <v>19828</v>
      </c>
      <c r="V5084" t="s">
        <v>48</v>
      </c>
    </row>
    <row r="5085" spans="1:22">
      <c r="A5085" t="str">
        <f t="shared" si="924"/>
        <v>09/10/2025</v>
      </c>
      <c r="B5085" t="str">
        <f>"ENTRADA"</f>
        <v>ENTRADA</v>
      </c>
      <c r="C5085" t="str">
        <f>"DINHEIRO"</f>
        <v>DINHEIRO</v>
      </c>
      <c r="D5085" t="str">
        <f>"878"</f>
        <v>878</v>
      </c>
      <c r="E5085" t="str">
        <f>"3"</f>
        <v>3</v>
      </c>
      <c r="F5085" t="str">
        <f t="shared" si="923"/>
        <v>COM</v>
      </c>
      <c r="G5085" t="str">
        <f>"LUIZ EDUARDO VIANA BRITO (878)"</f>
        <v>LUIZ EDUARDO VIANA BRITO (878)</v>
      </c>
      <c r="H5085" t="s">
        <v>50</v>
      </c>
      <c r="I5085" t="str">
        <f>("10/10/2025")</f>
        <v>10/10/2025</v>
      </c>
      <c r="J5085" t="str">
        <f>("14/07/2025")</f>
        <v>14/07/2025</v>
      </c>
      <c r="K5085">
        <v>45939</v>
      </c>
      <c r="N5085">
        <v>106</v>
      </c>
      <c r="O5085" t="s">
        <v>51</v>
      </c>
      <c r="Q5085">
        <v>20</v>
      </c>
      <c r="R5085" t="str">
        <f>"LUIZ EDUARDO VIANA BRITO (878)"</f>
        <v>LUIZ EDUARDO VIANA BRITO (878)</v>
      </c>
      <c r="S5085" t="s">
        <v>52</v>
      </c>
      <c r="T5085">
        <v>19391</v>
      </c>
      <c r="U5085">
        <v>19828</v>
      </c>
      <c r="V5085" t="s">
        <v>48</v>
      </c>
    </row>
    <row r="5086" spans="1:22">
      <c r="A5086" t="str">
        <f t="shared" si="924"/>
        <v>09/10/2025</v>
      </c>
      <c r="B5086" t="str">
        <f>"SAÍDA"</f>
        <v>SAÍDA</v>
      </c>
      <c r="C5086" t="str">
        <f>"PIX"</f>
        <v>PIX</v>
      </c>
      <c r="D5086" t="str">
        <f>"22606"</f>
        <v>22606</v>
      </c>
      <c r="E5086" t="str">
        <f>"1"</f>
        <v>1</v>
      </c>
      <c r="F5086" t="str">
        <f t="shared" si="923"/>
        <v>COM</v>
      </c>
      <c r="G5086" t="str">
        <f>"LUIZ EMANUEL PINHEIRO (870)"</f>
        <v>LUIZ EMANUEL PINHEIRO (870)</v>
      </c>
      <c r="H5086" t="str">
        <f>"Serv.Prest. 22/09/2025 a 25/09/2025 - PIX: CPF - CHAVE: 129.269.326-69"</f>
        <v>Serv.Prest. 22/09/2025 a 25/09/2025 - PIX: CPF - CHAVE: 129.269.326-69</v>
      </c>
      <c r="I5086" t="str">
        <f>("09/10/2025")</f>
        <v>09/10/2025</v>
      </c>
      <c r="J5086" t="str">
        <f>("26/09/2025")</f>
        <v>26/09/2025</v>
      </c>
      <c r="K5086" t="str">
        <f>("09/10/2025")</f>
        <v>09/10/2025</v>
      </c>
      <c r="L5086">
        <v>20</v>
      </c>
      <c r="M5086">
        <v>20</v>
      </c>
      <c r="N5086">
        <v>109</v>
      </c>
      <c r="O5086" t="str">
        <f>"PAGAMENTO DE ENTREGADORES"</f>
        <v>PAGAMENTO DE ENTREGADORES</v>
      </c>
      <c r="P5086">
        <v>20</v>
      </c>
      <c r="S5086" t="str">
        <f>"CAIXA MOVIMENTAÇÃO OPERACIONAL (132)"</f>
        <v>CAIXA MOVIMENTAÇÃO OPERACIONAL (132)</v>
      </c>
      <c r="T5086">
        <v>19392</v>
      </c>
      <c r="U5086">
        <v>23417</v>
      </c>
      <c r="V5086" t="s">
        <v>48</v>
      </c>
    </row>
    <row r="5087" spans="1:22">
      <c r="A5087" t="str">
        <f t="shared" si="924"/>
        <v>09/10/2025</v>
      </c>
      <c r="B5087" t="str">
        <f>"SAÍDA"</f>
        <v>SAÍDA</v>
      </c>
      <c r="C5087" t="str">
        <f>"PIX"</f>
        <v>PIX</v>
      </c>
      <c r="D5087" t="str">
        <f>"22606"</f>
        <v>22606</v>
      </c>
      <c r="E5087" t="str">
        <f>"1"</f>
        <v>1</v>
      </c>
      <c r="F5087" t="str">
        <f t="shared" si="923"/>
        <v>COM</v>
      </c>
      <c r="G5087" t="str">
        <f>"LUIZ EMANUEL PINHEIRO (870)"</f>
        <v>LUIZ EMANUEL PINHEIRO (870)</v>
      </c>
      <c r="H5087" t="s">
        <v>1454</v>
      </c>
      <c r="I5087" t="str">
        <f>("09/10/2025")</f>
        <v>09/10/2025</v>
      </c>
      <c r="J5087" t="str">
        <f>("26/09/2025")</f>
        <v>26/09/2025</v>
      </c>
      <c r="K5087">
        <v>45939</v>
      </c>
      <c r="N5087">
        <v>109</v>
      </c>
      <c r="O5087" t="s">
        <v>24</v>
      </c>
      <c r="Q5087">
        <v>4.17</v>
      </c>
      <c r="R5087" t="str">
        <f>"FARMÁCIA INDIANA LJ 121 (10054)"</f>
        <v>FARMÁCIA INDIANA LJ 121 (10054)</v>
      </c>
      <c r="S5087" t="s">
        <v>48</v>
      </c>
      <c r="T5087">
        <v>19392</v>
      </c>
      <c r="U5087">
        <v>23417</v>
      </c>
      <c r="V5087" t="s">
        <v>48</v>
      </c>
    </row>
    <row r="5088" spans="1:22">
      <c r="A5088" t="str">
        <f t="shared" si="924"/>
        <v>09/10/2025</v>
      </c>
      <c r="B5088" t="str">
        <f>"SAÍDA"</f>
        <v>SAÍDA</v>
      </c>
      <c r="C5088" t="str">
        <f>"PIX"</f>
        <v>PIX</v>
      </c>
      <c r="D5088" t="str">
        <f>"22606"</f>
        <v>22606</v>
      </c>
      <c r="E5088" t="str">
        <f>"1"</f>
        <v>1</v>
      </c>
      <c r="F5088" t="str">
        <f t="shared" si="923"/>
        <v>COM</v>
      </c>
      <c r="G5088" t="str">
        <f>"LUIZ EMANUEL PINHEIRO (870)"</f>
        <v>LUIZ EMANUEL PINHEIRO (870)</v>
      </c>
      <c r="H5088" t="s">
        <v>1454</v>
      </c>
      <c r="I5088" t="str">
        <f>("09/10/2025")</f>
        <v>09/10/2025</v>
      </c>
      <c r="J5088" t="str">
        <f>("26/09/2025")</f>
        <v>26/09/2025</v>
      </c>
      <c r="K5088">
        <v>45939</v>
      </c>
      <c r="N5088">
        <v>109</v>
      </c>
      <c r="O5088" t="s">
        <v>24</v>
      </c>
      <c r="Q5088">
        <v>15.83</v>
      </c>
      <c r="R5088" t="str">
        <f>"FARMÁCIA INDIANA LJ 128 (10057)"</f>
        <v>FARMÁCIA INDIANA LJ 128 (10057)</v>
      </c>
      <c r="S5088" t="s">
        <v>48</v>
      </c>
      <c r="T5088">
        <v>19392</v>
      </c>
      <c r="U5088">
        <v>23417</v>
      </c>
      <c r="V5088" t="s">
        <v>48</v>
      </c>
    </row>
    <row r="5089" spans="1:22">
      <c r="A5089" t="str">
        <f t="shared" si="924"/>
        <v>09/10/2025</v>
      </c>
      <c r="B5089" t="str">
        <f>"ENTRADA"</f>
        <v>ENTRADA</v>
      </c>
      <c r="C5089" t="str">
        <f>"DINHEIRO"</f>
        <v>DINHEIRO</v>
      </c>
      <c r="D5089" t="str">
        <f>"870"</f>
        <v>870</v>
      </c>
      <c r="E5089" t="str">
        <f>"3"</f>
        <v>3</v>
      </c>
      <c r="F5089" t="str">
        <f t="shared" si="923"/>
        <v>COM</v>
      </c>
      <c r="G5089" t="str">
        <f>"LUIZ EMANUEL PINHEIRO (870)"</f>
        <v>LUIZ EMANUEL PINHEIRO (870)</v>
      </c>
      <c r="H5089" t="str">
        <f>"COTA COOPERATIVA"</f>
        <v>COTA COOPERATIVA</v>
      </c>
      <c r="I5089" t="str">
        <f>("10/10/2025")</f>
        <v>10/10/2025</v>
      </c>
      <c r="J5089" t="str">
        <f>("04/07/2025")</f>
        <v>04/07/2025</v>
      </c>
      <c r="K5089" t="str">
        <f>("09/10/2025")</f>
        <v>09/10/2025</v>
      </c>
      <c r="L5089">
        <v>20</v>
      </c>
      <c r="M5089">
        <v>20</v>
      </c>
      <c r="N5089">
        <v>106</v>
      </c>
      <c r="O5089" t="str">
        <f>"ENTRADA DE CAPITAL"</f>
        <v>ENTRADA DE CAPITAL</v>
      </c>
      <c r="P5089">
        <v>20</v>
      </c>
      <c r="S5089" t="str">
        <f>"ENTRADA DE CAPITAL (106)"</f>
        <v>ENTRADA DE CAPITAL (106)</v>
      </c>
      <c r="T5089">
        <v>19393</v>
      </c>
      <c r="U5089">
        <v>19855</v>
      </c>
      <c r="V5089" t="s">
        <v>48</v>
      </c>
    </row>
    <row r="5090" spans="1:22">
      <c r="A5090" t="str">
        <f t="shared" si="924"/>
        <v>09/10/2025</v>
      </c>
      <c r="B5090" t="str">
        <f>"ENTRADA"</f>
        <v>ENTRADA</v>
      </c>
      <c r="C5090" t="str">
        <f>"DINHEIRO"</f>
        <v>DINHEIRO</v>
      </c>
      <c r="D5090" t="str">
        <f>"870"</f>
        <v>870</v>
      </c>
      <c r="E5090" t="str">
        <f>"3"</f>
        <v>3</v>
      </c>
      <c r="F5090" t="str">
        <f t="shared" si="923"/>
        <v>COM</v>
      </c>
      <c r="G5090" t="str">
        <f>"LUIZ EMANUEL PINHEIRO (870)"</f>
        <v>LUIZ EMANUEL PINHEIRO (870)</v>
      </c>
      <c r="H5090" t="s">
        <v>50</v>
      </c>
      <c r="I5090" t="str">
        <f>("10/10/2025")</f>
        <v>10/10/2025</v>
      </c>
      <c r="J5090" t="str">
        <f>("04/07/2025")</f>
        <v>04/07/2025</v>
      </c>
      <c r="K5090">
        <v>45939</v>
      </c>
      <c r="N5090">
        <v>106</v>
      </c>
      <c r="O5090" t="s">
        <v>51</v>
      </c>
      <c r="Q5090">
        <v>20</v>
      </c>
      <c r="R5090" t="str">
        <f>"LUIZ EMANUEL PINHEIRO (870)"</f>
        <v>LUIZ EMANUEL PINHEIRO (870)</v>
      </c>
      <c r="S5090" t="s">
        <v>52</v>
      </c>
      <c r="T5090">
        <v>19393</v>
      </c>
      <c r="U5090">
        <v>19855</v>
      </c>
      <c r="V5090" t="s">
        <v>48</v>
      </c>
    </row>
    <row r="5091" spans="1:22">
      <c r="A5091" t="str">
        <f t="shared" si="924"/>
        <v>09/10/2025</v>
      </c>
      <c r="B5091" t="str">
        <f>"SAÍDA"</f>
        <v>SAÍDA</v>
      </c>
      <c r="C5091" t="str">
        <f>"PIX"</f>
        <v>PIX</v>
      </c>
      <c r="D5091" t="str">
        <f>"22607"</f>
        <v>22607</v>
      </c>
      <c r="E5091" t="str">
        <f>"1"</f>
        <v>1</v>
      </c>
      <c r="F5091" t="str">
        <f t="shared" si="923"/>
        <v>COM</v>
      </c>
      <c r="G5091" t="str">
        <f>"LUIZ FERNANDO CARVALHO ALVES (198)"</f>
        <v>LUIZ FERNANDO CARVALHO ALVES (198)</v>
      </c>
      <c r="H5091" t="str">
        <f>"Serv.Prest. 22/09/2025 a 25/09/2025 - PIX: CPF - CHAVE: 705.097.186-39"</f>
        <v>Serv.Prest. 22/09/2025 a 25/09/2025 - PIX: CPF - CHAVE: 705.097.186-39</v>
      </c>
      <c r="I5091" t="str">
        <f>("09/10/2025")</f>
        <v>09/10/2025</v>
      </c>
      <c r="J5091" t="str">
        <f>("26/09/2025")</f>
        <v>26/09/2025</v>
      </c>
      <c r="K5091" t="str">
        <f>("09/10/2025")</f>
        <v>09/10/2025</v>
      </c>
      <c r="L5091">
        <v>20</v>
      </c>
      <c r="M5091">
        <v>20</v>
      </c>
      <c r="N5091">
        <v>109</v>
      </c>
      <c r="O5091" t="str">
        <f>"PAGAMENTO DE ENTREGADORES"</f>
        <v>PAGAMENTO DE ENTREGADORES</v>
      </c>
      <c r="P5091">
        <v>20</v>
      </c>
      <c r="S5091" t="str">
        <f>"CAIXA MOVIMENTAÇÃO OPERACIONAL (132)"</f>
        <v>CAIXA MOVIMENTAÇÃO OPERACIONAL (132)</v>
      </c>
      <c r="T5091">
        <v>19394</v>
      </c>
      <c r="U5091">
        <v>23418</v>
      </c>
      <c r="V5091" t="s">
        <v>48</v>
      </c>
    </row>
    <row r="5092" spans="1:22">
      <c r="A5092" t="str">
        <f t="shared" si="924"/>
        <v>09/10/2025</v>
      </c>
      <c r="B5092" t="str">
        <f>"SAÍDA"</f>
        <v>SAÍDA</v>
      </c>
      <c r="C5092" t="str">
        <f>"PIX"</f>
        <v>PIX</v>
      </c>
      <c r="D5092" t="str">
        <f>"22607"</f>
        <v>22607</v>
      </c>
      <c r="E5092" t="str">
        <f>"1"</f>
        <v>1</v>
      </c>
      <c r="F5092" t="str">
        <f t="shared" si="923"/>
        <v>COM</v>
      </c>
      <c r="G5092" t="str">
        <f>"LUIZ FERNANDO CARVALHO ALVES (198)"</f>
        <v>LUIZ FERNANDO CARVALHO ALVES (198)</v>
      </c>
      <c r="H5092" t="s">
        <v>1455</v>
      </c>
      <c r="I5092" t="str">
        <f>("09/10/2025")</f>
        <v>09/10/2025</v>
      </c>
      <c r="J5092" t="str">
        <f>("26/09/2025")</f>
        <v>26/09/2025</v>
      </c>
      <c r="K5092">
        <v>45939</v>
      </c>
      <c r="N5092">
        <v>109</v>
      </c>
      <c r="O5092" t="s">
        <v>24</v>
      </c>
      <c r="Q5092">
        <v>20</v>
      </c>
      <c r="R5092" t="str">
        <f>"FARMÁCIA INDIANA LJ 171 (10074)"</f>
        <v>FARMÁCIA INDIANA LJ 171 (10074)</v>
      </c>
      <c r="S5092" t="s">
        <v>48</v>
      </c>
      <c r="T5092">
        <v>19394</v>
      </c>
      <c r="U5092">
        <v>23418</v>
      </c>
      <c r="V5092" t="s">
        <v>48</v>
      </c>
    </row>
    <row r="5093" spans="1:22">
      <c r="A5093" t="str">
        <f t="shared" si="924"/>
        <v>09/10/2025</v>
      </c>
      <c r="B5093" t="str">
        <f>"ENTRADA"</f>
        <v>ENTRADA</v>
      </c>
      <c r="C5093" t="str">
        <f>"DINHEIRO"</f>
        <v>DINHEIRO</v>
      </c>
      <c r="D5093" t="str">
        <f>"10"</f>
        <v>10</v>
      </c>
      <c r="E5093" t="str">
        <f>"34"</f>
        <v>34</v>
      </c>
      <c r="F5093" t="str">
        <f t="shared" si="923"/>
        <v>COM</v>
      </c>
      <c r="G5093" t="str">
        <f>"LUIZ FERNANDO CARVALHO ALVES (198)"</f>
        <v>LUIZ FERNANDO CARVALHO ALVES (198)</v>
      </c>
      <c r="H5093" t="str">
        <f>"DESCONTO COTA COOPERADO"</f>
        <v>DESCONTO COTA COOPERADO</v>
      </c>
      <c r="I5093" t="str">
        <f>("16/10/2025")</f>
        <v>16/10/2025</v>
      </c>
      <c r="J5093" t="str">
        <f>("16/01/2025")</f>
        <v>16/01/2025</v>
      </c>
      <c r="K5093" t="str">
        <f>("09/10/2025")</f>
        <v>09/10/2025</v>
      </c>
      <c r="L5093">
        <v>20</v>
      </c>
      <c r="M5093">
        <v>20</v>
      </c>
      <c r="N5093">
        <v>106</v>
      </c>
      <c r="O5093" t="str">
        <f>"ENTRADA DE CAPITAL"</f>
        <v>ENTRADA DE CAPITAL</v>
      </c>
      <c r="P5093">
        <v>20</v>
      </c>
      <c r="S5093" t="str">
        <f>"ENTRADA DE CAPITAL (106)"</f>
        <v>ENTRADA DE CAPITAL (106)</v>
      </c>
      <c r="T5093">
        <v>19395</v>
      </c>
      <c r="U5093">
        <v>6985</v>
      </c>
      <c r="V5093" t="s">
        <v>48</v>
      </c>
    </row>
    <row r="5094" spans="1:22">
      <c r="A5094" t="str">
        <f t="shared" si="924"/>
        <v>09/10/2025</v>
      </c>
      <c r="B5094" t="str">
        <f>"ENTRADA"</f>
        <v>ENTRADA</v>
      </c>
      <c r="C5094" t="str">
        <f>"DINHEIRO"</f>
        <v>DINHEIRO</v>
      </c>
      <c r="D5094" t="str">
        <f>"10"</f>
        <v>10</v>
      </c>
      <c r="E5094" t="str">
        <f>"34"</f>
        <v>34</v>
      </c>
      <c r="F5094" t="str">
        <f t="shared" si="923"/>
        <v>COM</v>
      </c>
      <c r="G5094" t="str">
        <f>"LUIZ FERNANDO CARVALHO ALVES (198)"</f>
        <v>LUIZ FERNANDO CARVALHO ALVES (198)</v>
      </c>
      <c r="H5094" t="s">
        <v>309</v>
      </c>
      <c r="I5094" t="str">
        <f>("16/10/2025")</f>
        <v>16/10/2025</v>
      </c>
      <c r="J5094" t="str">
        <f>("16/01/2025")</f>
        <v>16/01/2025</v>
      </c>
      <c r="K5094">
        <v>45939</v>
      </c>
      <c r="N5094">
        <v>106</v>
      </c>
      <c r="O5094" t="s">
        <v>51</v>
      </c>
      <c r="Q5094">
        <v>20</v>
      </c>
      <c r="R5094" t="str">
        <f>"LUIZ FERNANDO CARVALHO ALVES (198)"</f>
        <v>LUIZ FERNANDO CARVALHO ALVES (198)</v>
      </c>
      <c r="S5094" t="s">
        <v>52</v>
      </c>
      <c r="T5094">
        <v>19395</v>
      </c>
      <c r="U5094">
        <v>6985</v>
      </c>
      <c r="V5094" t="s">
        <v>48</v>
      </c>
    </row>
    <row r="5095" spans="1:22">
      <c r="A5095" t="str">
        <f t="shared" si="924"/>
        <v>09/10/2025</v>
      </c>
      <c r="B5095" t="str">
        <f>"SAÍDA"</f>
        <v>SAÍDA</v>
      </c>
      <c r="C5095" t="str">
        <f>"PIX"</f>
        <v>PIX</v>
      </c>
      <c r="D5095" t="str">
        <f>"22870"</f>
        <v>22870</v>
      </c>
      <c r="E5095" t="str">
        <f>"1"</f>
        <v>1</v>
      </c>
      <c r="F5095" t="str">
        <f t="shared" si="923"/>
        <v>COM</v>
      </c>
      <c r="G5095" t="str">
        <f>"LUIZ PAULO DE OLIVEIRA (712)"</f>
        <v>LUIZ PAULO DE OLIVEIRA (712)</v>
      </c>
      <c r="H5095" t="str">
        <f>"Serv.Prest. 29/09/2025 a 05/10/2025 - PIX: CPF - CHAVE: 090.332.006-19"</f>
        <v>Serv.Prest. 29/09/2025 a 05/10/2025 - PIX: CPF - CHAVE: 090.332.006-19</v>
      </c>
      <c r="I5095" t="str">
        <f>("09/10/2025")</f>
        <v>09/10/2025</v>
      </c>
      <c r="J5095" t="str">
        <f>("06/10/2025")</f>
        <v>06/10/2025</v>
      </c>
      <c r="K5095" t="str">
        <f>("09/10/2025")</f>
        <v>09/10/2025</v>
      </c>
      <c r="L5095">
        <v>20</v>
      </c>
      <c r="M5095">
        <v>20</v>
      </c>
      <c r="N5095">
        <v>109</v>
      </c>
      <c r="O5095" t="str">
        <f>"PAGAMENTO DE ENTREGADORES"</f>
        <v>PAGAMENTO DE ENTREGADORES</v>
      </c>
      <c r="P5095">
        <v>20</v>
      </c>
      <c r="S5095" t="str">
        <f>"CAIXA MOVIMENTAÇÃO OPERACIONAL (132)"</f>
        <v>CAIXA MOVIMENTAÇÃO OPERACIONAL (132)</v>
      </c>
      <c r="T5095">
        <v>19396</v>
      </c>
      <c r="U5095">
        <v>23419</v>
      </c>
      <c r="V5095" t="s">
        <v>48</v>
      </c>
    </row>
    <row r="5096" spans="1:22">
      <c r="A5096" t="str">
        <f t="shared" si="924"/>
        <v>09/10/2025</v>
      </c>
      <c r="B5096" t="str">
        <f>"SAÍDA"</f>
        <v>SAÍDA</v>
      </c>
      <c r="C5096" t="str">
        <f>"PIX"</f>
        <v>PIX</v>
      </c>
      <c r="D5096" t="str">
        <f>"22870"</f>
        <v>22870</v>
      </c>
      <c r="E5096" t="str">
        <f>"1"</f>
        <v>1</v>
      </c>
      <c r="F5096" t="str">
        <f t="shared" si="923"/>
        <v>COM</v>
      </c>
      <c r="G5096" t="str">
        <f>"LUIZ PAULO DE OLIVEIRA (712)"</f>
        <v>LUIZ PAULO DE OLIVEIRA (712)</v>
      </c>
      <c r="H5096" t="s">
        <v>1456</v>
      </c>
      <c r="I5096" t="str">
        <f>("09/10/2025")</f>
        <v>09/10/2025</v>
      </c>
      <c r="J5096" t="str">
        <f>("06/10/2025")</f>
        <v>06/10/2025</v>
      </c>
      <c r="K5096">
        <v>45939</v>
      </c>
      <c r="N5096">
        <v>109</v>
      </c>
      <c r="O5096" t="s">
        <v>24</v>
      </c>
      <c r="Q5096">
        <v>20</v>
      </c>
      <c r="R5096" t="str">
        <f>"DROGARIA POUPA MINAS (ULTRAMINAS) 1 (10181)"</f>
        <v>DROGARIA POUPA MINAS (ULTRAMINAS) 1 (10181)</v>
      </c>
      <c r="S5096" t="s">
        <v>48</v>
      </c>
      <c r="T5096">
        <v>19396</v>
      </c>
      <c r="U5096">
        <v>23419</v>
      </c>
      <c r="V5096" t="s">
        <v>48</v>
      </c>
    </row>
    <row r="5097" spans="1:22">
      <c r="A5097" t="str">
        <f t="shared" si="924"/>
        <v>09/10/2025</v>
      </c>
      <c r="B5097" t="str">
        <f>"ENTRADA"</f>
        <v>ENTRADA</v>
      </c>
      <c r="C5097" t="str">
        <f>"DINHEIRO"</f>
        <v>DINHEIRO</v>
      </c>
      <c r="D5097" t="str">
        <f>"712"</f>
        <v>712</v>
      </c>
      <c r="E5097" t="str">
        <f>"7"</f>
        <v>7</v>
      </c>
      <c r="F5097" t="str">
        <f t="shared" si="923"/>
        <v>COM</v>
      </c>
      <c r="G5097" t="str">
        <f>"LUIZ PAULO DE OLIVEIRA (712)"</f>
        <v>LUIZ PAULO DE OLIVEIRA (712)</v>
      </c>
      <c r="H5097" t="str">
        <f>"COTAS COOPERATIVA"</f>
        <v>COTAS COOPERATIVA</v>
      </c>
      <c r="I5097" t="str">
        <f>("10/10/2025")</f>
        <v>10/10/2025</v>
      </c>
      <c r="J5097" t="str">
        <f>("24/03/2025")</f>
        <v>24/03/2025</v>
      </c>
      <c r="K5097" t="str">
        <f>("09/10/2025")</f>
        <v>09/10/2025</v>
      </c>
      <c r="L5097">
        <v>20</v>
      </c>
      <c r="M5097">
        <v>20</v>
      </c>
      <c r="N5097">
        <v>106</v>
      </c>
      <c r="O5097" t="str">
        <f>"ENTRADA DE CAPITAL"</f>
        <v>ENTRADA DE CAPITAL</v>
      </c>
      <c r="P5097">
        <v>20</v>
      </c>
      <c r="S5097" t="str">
        <f>"ENTRADA DE CAPITAL (106)"</f>
        <v>ENTRADA DE CAPITAL (106)</v>
      </c>
      <c r="T5097">
        <v>19397</v>
      </c>
      <c r="U5097">
        <v>11862</v>
      </c>
      <c r="V5097" t="s">
        <v>48</v>
      </c>
    </row>
    <row r="5098" spans="1:22">
      <c r="A5098" t="str">
        <f t="shared" si="924"/>
        <v>09/10/2025</v>
      </c>
      <c r="B5098" t="str">
        <f>"ENTRADA"</f>
        <v>ENTRADA</v>
      </c>
      <c r="C5098" t="str">
        <f>"DINHEIRO"</f>
        <v>DINHEIRO</v>
      </c>
      <c r="D5098" t="str">
        <f>"712"</f>
        <v>712</v>
      </c>
      <c r="E5098" t="str">
        <f>"7"</f>
        <v>7</v>
      </c>
      <c r="F5098" t="str">
        <f t="shared" si="923"/>
        <v>COM</v>
      </c>
      <c r="G5098" t="str">
        <f>"LUIZ PAULO DE OLIVEIRA (712)"</f>
        <v>LUIZ PAULO DE OLIVEIRA (712)</v>
      </c>
      <c r="H5098" t="s">
        <v>318</v>
      </c>
      <c r="I5098" t="str">
        <f>("10/10/2025")</f>
        <v>10/10/2025</v>
      </c>
      <c r="J5098" t="str">
        <f>("24/03/2025")</f>
        <v>24/03/2025</v>
      </c>
      <c r="K5098">
        <v>45939</v>
      </c>
      <c r="N5098">
        <v>106</v>
      </c>
      <c r="O5098" t="s">
        <v>51</v>
      </c>
      <c r="Q5098">
        <v>20</v>
      </c>
      <c r="R5098" t="str">
        <f>"LUIZ PAULO DE OLIVEIRA (712)"</f>
        <v>LUIZ PAULO DE OLIVEIRA (712)</v>
      </c>
      <c r="S5098" t="s">
        <v>52</v>
      </c>
      <c r="T5098">
        <v>19397</v>
      </c>
      <c r="U5098">
        <v>11862</v>
      </c>
      <c r="V5098" t="s">
        <v>48</v>
      </c>
    </row>
    <row r="5099" spans="1:22">
      <c r="A5099" t="str">
        <f t="shared" si="924"/>
        <v>09/10/2025</v>
      </c>
      <c r="B5099" t="str">
        <f>"ENTRADA"</f>
        <v>ENTRADA</v>
      </c>
      <c r="C5099" t="str">
        <f>"DINHEIRO"</f>
        <v>DINHEIRO</v>
      </c>
      <c r="D5099" t="str">
        <f>"759"</f>
        <v>759</v>
      </c>
      <c r="E5099" t="str">
        <f>"6"</f>
        <v>6</v>
      </c>
      <c r="F5099" t="str">
        <f t="shared" si="923"/>
        <v>COM</v>
      </c>
      <c r="G5099" t="str">
        <f>"MAICON HENRIQUE FERREIRA DOS SANTOS (759)"</f>
        <v>MAICON HENRIQUE FERREIRA DOS SANTOS (759)</v>
      </c>
      <c r="H5099" t="str">
        <f>"COTA COOPERATIVA"</f>
        <v>COTA COOPERATIVA</v>
      </c>
      <c r="I5099" t="str">
        <f>("08/10/2025")</f>
        <v>08/10/2025</v>
      </c>
      <c r="J5099" t="str">
        <f>("01/04/2025")</f>
        <v>01/04/2025</v>
      </c>
      <c r="K5099" t="str">
        <f>("09/10/2025")</f>
        <v>09/10/2025</v>
      </c>
      <c r="L5099">
        <v>20</v>
      </c>
      <c r="M5099">
        <v>20</v>
      </c>
      <c r="N5099">
        <v>106</v>
      </c>
      <c r="O5099" t="str">
        <f>"ENTRADA DE CAPITAL"</f>
        <v>ENTRADA DE CAPITAL</v>
      </c>
      <c r="P5099">
        <v>20</v>
      </c>
      <c r="S5099" t="str">
        <f>"ENTRADA DE CAPITAL (106)"</f>
        <v>ENTRADA DE CAPITAL (106)</v>
      </c>
      <c r="T5099">
        <v>19398</v>
      </c>
      <c r="U5099">
        <v>14191</v>
      </c>
      <c r="V5099" t="s">
        <v>48</v>
      </c>
    </row>
    <row r="5100" spans="1:22">
      <c r="A5100" t="str">
        <f t="shared" si="924"/>
        <v>09/10/2025</v>
      </c>
      <c r="B5100" t="str">
        <f>"ENTRADA"</f>
        <v>ENTRADA</v>
      </c>
      <c r="C5100" t="str">
        <f>"DINHEIRO"</f>
        <v>DINHEIRO</v>
      </c>
      <c r="D5100" t="str">
        <f>"759"</f>
        <v>759</v>
      </c>
      <c r="E5100" t="str">
        <f>"6"</f>
        <v>6</v>
      </c>
      <c r="F5100" t="str">
        <f t="shared" si="923"/>
        <v>COM</v>
      </c>
      <c r="G5100" t="str">
        <f>"MAICON HENRIQUE FERREIRA DOS SANTOS (759)"</f>
        <v>MAICON HENRIQUE FERREIRA DOS SANTOS (759)</v>
      </c>
      <c r="H5100" t="s">
        <v>50</v>
      </c>
      <c r="I5100" t="str">
        <f>("08/10/2025")</f>
        <v>08/10/2025</v>
      </c>
      <c r="J5100" t="str">
        <f>("01/04/2025")</f>
        <v>01/04/2025</v>
      </c>
      <c r="K5100">
        <v>45939</v>
      </c>
      <c r="N5100">
        <v>106</v>
      </c>
      <c r="O5100" t="s">
        <v>51</v>
      </c>
      <c r="Q5100">
        <v>20</v>
      </c>
      <c r="R5100" t="str">
        <f>"MAICON HENRIQUE FERREIRA DOS SANTOS (759)"</f>
        <v>MAICON HENRIQUE FERREIRA DOS SANTOS (759)</v>
      </c>
      <c r="S5100" t="s">
        <v>52</v>
      </c>
      <c r="T5100">
        <v>19398</v>
      </c>
      <c r="U5100">
        <v>14191</v>
      </c>
      <c r="V5100" t="s">
        <v>48</v>
      </c>
    </row>
    <row r="5101" spans="1:22">
      <c r="A5101" t="str">
        <f t="shared" si="924"/>
        <v>09/10/2025</v>
      </c>
      <c r="B5101" t="str">
        <f>"SAÍDA"</f>
        <v>SAÍDA</v>
      </c>
      <c r="C5101" t="str">
        <f>"PIX"</f>
        <v>PIX</v>
      </c>
      <c r="D5101" t="str">
        <f>"22608"</f>
        <v>22608</v>
      </c>
      <c r="E5101" t="str">
        <f>"1"</f>
        <v>1</v>
      </c>
      <c r="F5101" t="str">
        <f t="shared" si="923"/>
        <v>COM</v>
      </c>
      <c r="G5101" t="str">
        <f>"MAICON HENRIQUE FERREIRA DOS SANTOS (759)"</f>
        <v>MAICON HENRIQUE FERREIRA DOS SANTOS (759)</v>
      </c>
      <c r="H5101" t="str">
        <f>"Serv.Prest. 22/09/2025 a 25/09/2025 - PIX: CELULAR - CHAVE: (31) 98412-5118"</f>
        <v>Serv.Prest. 22/09/2025 a 25/09/2025 - PIX: CELULAR - CHAVE: (31) 98412-5118</v>
      </c>
      <c r="I5101" t="str">
        <f>("09/10/2025")</f>
        <v>09/10/2025</v>
      </c>
      <c r="J5101" t="str">
        <f>("26/09/2025")</f>
        <v>26/09/2025</v>
      </c>
      <c r="K5101" t="str">
        <f>("09/10/2025")</f>
        <v>09/10/2025</v>
      </c>
      <c r="L5101">
        <v>20</v>
      </c>
      <c r="M5101">
        <v>20</v>
      </c>
      <c r="N5101">
        <v>109</v>
      </c>
      <c r="O5101" t="str">
        <f>"PAGAMENTO DE ENTREGADORES"</f>
        <v>PAGAMENTO DE ENTREGADORES</v>
      </c>
      <c r="P5101">
        <v>20</v>
      </c>
      <c r="S5101" t="str">
        <f>"CAIXA MOVIMENTAÇÃO OPERACIONAL (132)"</f>
        <v>CAIXA MOVIMENTAÇÃO OPERACIONAL (132)</v>
      </c>
      <c r="T5101">
        <v>19399</v>
      </c>
      <c r="U5101">
        <v>23420</v>
      </c>
      <c r="V5101" t="s">
        <v>48</v>
      </c>
    </row>
    <row r="5102" spans="1:22">
      <c r="A5102" t="str">
        <f t="shared" si="924"/>
        <v>09/10/2025</v>
      </c>
      <c r="B5102" t="str">
        <f>"SAÍDA"</f>
        <v>SAÍDA</v>
      </c>
      <c r="C5102" t="str">
        <f>"PIX"</f>
        <v>PIX</v>
      </c>
      <c r="D5102" t="str">
        <f>"22608"</f>
        <v>22608</v>
      </c>
      <c r="E5102" t="str">
        <f>"1"</f>
        <v>1</v>
      </c>
      <c r="F5102" t="str">
        <f t="shared" si="923"/>
        <v>COM</v>
      </c>
      <c r="G5102" t="str">
        <f>"MAICON HENRIQUE FERREIRA DOS SANTOS (759)"</f>
        <v>MAICON HENRIQUE FERREIRA DOS SANTOS (759)</v>
      </c>
      <c r="H5102" t="s">
        <v>1457</v>
      </c>
      <c r="I5102" t="str">
        <f>("09/10/2025")</f>
        <v>09/10/2025</v>
      </c>
      <c r="J5102" t="str">
        <f>("26/09/2025")</f>
        <v>26/09/2025</v>
      </c>
      <c r="K5102">
        <v>45939</v>
      </c>
      <c r="N5102">
        <v>109</v>
      </c>
      <c r="O5102" t="s">
        <v>24</v>
      </c>
      <c r="Q5102">
        <v>20</v>
      </c>
      <c r="R5102" t="str">
        <f>"FARMÁCIA INDIANA LJ 101 (10043)"</f>
        <v>FARMÁCIA INDIANA LJ 101 (10043)</v>
      </c>
      <c r="S5102" t="s">
        <v>48</v>
      </c>
      <c r="T5102">
        <v>19399</v>
      </c>
      <c r="U5102">
        <v>23420</v>
      </c>
      <c r="V5102" t="s">
        <v>48</v>
      </c>
    </row>
    <row r="5103" spans="1:22">
      <c r="A5103" t="str">
        <f t="shared" si="924"/>
        <v>09/10/2025</v>
      </c>
      <c r="B5103" t="str">
        <f>"SAÍDA"</f>
        <v>SAÍDA</v>
      </c>
      <c r="C5103" t="str">
        <f>"PIX"</f>
        <v>PIX</v>
      </c>
      <c r="D5103" t="str">
        <f>"22610"</f>
        <v>22610</v>
      </c>
      <c r="E5103" t="str">
        <f>"1"</f>
        <v>1</v>
      </c>
      <c r="F5103" t="str">
        <f t="shared" si="923"/>
        <v>COM</v>
      </c>
      <c r="G5103" t="str">
        <f>"MARCOS DIONI RODRIGUES GASPAR (506)"</f>
        <v>MARCOS DIONI RODRIGUES GASPAR (506)</v>
      </c>
      <c r="H5103" t="str">
        <f>"Serv.Prest. 22/09/2025 a 25/09/2025 - PIX: CELULAR - CHAVE: (33) 99815-2379"</f>
        <v>Serv.Prest. 22/09/2025 a 25/09/2025 - PIX: CELULAR - CHAVE: (33) 99815-2379</v>
      </c>
      <c r="I5103" t="str">
        <f>("09/10/2025")</f>
        <v>09/10/2025</v>
      </c>
      <c r="J5103" t="str">
        <f>("26/09/2025")</f>
        <v>26/09/2025</v>
      </c>
      <c r="K5103" t="str">
        <f>("09/10/2025")</f>
        <v>09/10/2025</v>
      </c>
      <c r="L5103">
        <v>20</v>
      </c>
      <c r="M5103">
        <v>20</v>
      </c>
      <c r="N5103">
        <v>109</v>
      </c>
      <c r="O5103" t="str">
        <f>"PAGAMENTO DE ENTREGADORES"</f>
        <v>PAGAMENTO DE ENTREGADORES</v>
      </c>
      <c r="P5103">
        <v>20</v>
      </c>
      <c r="S5103" t="str">
        <f>"CAIXA MOVIMENTAÇÃO OPERACIONAL (132)"</f>
        <v>CAIXA MOVIMENTAÇÃO OPERACIONAL (132)</v>
      </c>
      <c r="T5103">
        <v>19400</v>
      </c>
      <c r="U5103">
        <v>23421</v>
      </c>
      <c r="V5103" t="s">
        <v>48</v>
      </c>
    </row>
    <row r="5104" spans="1:22">
      <c r="A5104" t="str">
        <f t="shared" si="924"/>
        <v>09/10/2025</v>
      </c>
      <c r="B5104" t="str">
        <f>"SAÍDA"</f>
        <v>SAÍDA</v>
      </c>
      <c r="C5104" t="str">
        <f>"PIX"</f>
        <v>PIX</v>
      </c>
      <c r="D5104" t="str">
        <f>"22610"</f>
        <v>22610</v>
      </c>
      <c r="E5104" t="str">
        <f>"1"</f>
        <v>1</v>
      </c>
      <c r="F5104" t="str">
        <f t="shared" si="923"/>
        <v>COM</v>
      </c>
      <c r="G5104" t="str">
        <f>"MARCOS DIONI RODRIGUES GASPAR (506)"</f>
        <v>MARCOS DIONI RODRIGUES GASPAR (506)</v>
      </c>
      <c r="H5104" t="s">
        <v>1458</v>
      </c>
      <c r="I5104" t="str">
        <f>("09/10/2025")</f>
        <v>09/10/2025</v>
      </c>
      <c r="J5104" t="str">
        <f>("26/09/2025")</f>
        <v>26/09/2025</v>
      </c>
      <c r="K5104">
        <v>45939</v>
      </c>
      <c r="N5104">
        <v>109</v>
      </c>
      <c r="O5104" t="s">
        <v>24</v>
      </c>
      <c r="Q5104">
        <v>20</v>
      </c>
      <c r="R5104" t="str">
        <f>"FARMÁCIA INDIANA LJ 06 (10006)"</f>
        <v>FARMÁCIA INDIANA LJ 06 (10006)</v>
      </c>
      <c r="S5104" t="s">
        <v>48</v>
      </c>
      <c r="T5104">
        <v>19400</v>
      </c>
      <c r="U5104">
        <v>23421</v>
      </c>
      <c r="V5104" t="s">
        <v>48</v>
      </c>
    </row>
    <row r="5105" spans="1:22">
      <c r="A5105" t="str">
        <f t="shared" si="924"/>
        <v>09/10/2025</v>
      </c>
      <c r="B5105" t="str">
        <f>"ENTRADA"</f>
        <v>ENTRADA</v>
      </c>
      <c r="C5105" t="str">
        <f>"DINHEIRO"</f>
        <v>DINHEIRO</v>
      </c>
      <c r="D5105" t="str">
        <f>"03"</f>
        <v>03</v>
      </c>
      <c r="E5105" t="str">
        <f>"34"</f>
        <v>34</v>
      </c>
      <c r="F5105" t="str">
        <f t="shared" si="923"/>
        <v>COM</v>
      </c>
      <c r="G5105" t="str">
        <f>"MARCOS DIONI RODRIGUES GASPAR (506)"</f>
        <v>MARCOS DIONI RODRIGUES GASPAR (506)</v>
      </c>
      <c r="H5105" t="str">
        <f>"DESCONTO COTA COOPERADO"</f>
        <v>DESCONTO COTA COOPERADO</v>
      </c>
      <c r="I5105" t="str">
        <f>("16/10/2025")</f>
        <v>16/10/2025</v>
      </c>
      <c r="J5105" t="str">
        <f>("16/01/2025")</f>
        <v>16/01/2025</v>
      </c>
      <c r="K5105" t="str">
        <f>("09/10/2025")</f>
        <v>09/10/2025</v>
      </c>
      <c r="L5105">
        <v>20</v>
      </c>
      <c r="M5105">
        <v>20</v>
      </c>
      <c r="N5105">
        <v>106</v>
      </c>
      <c r="O5105" t="str">
        <f>"ENTRADA DE CAPITAL"</f>
        <v>ENTRADA DE CAPITAL</v>
      </c>
      <c r="P5105">
        <v>20</v>
      </c>
      <c r="S5105" t="str">
        <f>"ENTRADA DE CAPITAL (106)"</f>
        <v>ENTRADA DE CAPITAL (106)</v>
      </c>
      <c r="T5105">
        <v>19401</v>
      </c>
      <c r="U5105">
        <v>7079</v>
      </c>
      <c r="V5105" t="s">
        <v>48</v>
      </c>
    </row>
    <row r="5106" spans="1:22">
      <c r="A5106" t="str">
        <f t="shared" si="924"/>
        <v>09/10/2025</v>
      </c>
      <c r="B5106" t="str">
        <f>"ENTRADA"</f>
        <v>ENTRADA</v>
      </c>
      <c r="C5106" t="str">
        <f>"DINHEIRO"</f>
        <v>DINHEIRO</v>
      </c>
      <c r="D5106" t="str">
        <f>"03"</f>
        <v>03</v>
      </c>
      <c r="E5106" t="str">
        <f>"34"</f>
        <v>34</v>
      </c>
      <c r="F5106" t="str">
        <f t="shared" si="923"/>
        <v>COM</v>
      </c>
      <c r="G5106" t="str">
        <f>"MARCOS DIONI RODRIGUES GASPAR (506)"</f>
        <v>MARCOS DIONI RODRIGUES GASPAR (506)</v>
      </c>
      <c r="H5106" t="s">
        <v>309</v>
      </c>
      <c r="I5106" t="str">
        <f>("16/10/2025")</f>
        <v>16/10/2025</v>
      </c>
      <c r="J5106" t="str">
        <f>("16/01/2025")</f>
        <v>16/01/2025</v>
      </c>
      <c r="K5106">
        <v>45939</v>
      </c>
      <c r="N5106">
        <v>106</v>
      </c>
      <c r="O5106" t="s">
        <v>51</v>
      </c>
      <c r="Q5106">
        <v>20</v>
      </c>
      <c r="R5106" t="str">
        <f>"MARCOS DIONI RODRIGUES GASPAR (506)"</f>
        <v>MARCOS DIONI RODRIGUES GASPAR (506)</v>
      </c>
      <c r="S5106" t="s">
        <v>52</v>
      </c>
      <c r="T5106">
        <v>19401</v>
      </c>
      <c r="U5106">
        <v>7079</v>
      </c>
      <c r="V5106" t="s">
        <v>48</v>
      </c>
    </row>
    <row r="5107" spans="1:22">
      <c r="A5107" t="str">
        <f t="shared" si="924"/>
        <v>09/10/2025</v>
      </c>
      <c r="B5107" t="str">
        <f>"SAÍDA"</f>
        <v>SAÍDA</v>
      </c>
      <c r="C5107" t="str">
        <f>"PIX"</f>
        <v>PIX</v>
      </c>
      <c r="D5107" t="str">
        <f>"22611"</f>
        <v>22611</v>
      </c>
      <c r="E5107" t="str">
        <f>"1"</f>
        <v>1</v>
      </c>
      <c r="F5107" t="str">
        <f t="shared" si="923"/>
        <v>COM</v>
      </c>
      <c r="G5107" t="str">
        <f>"MARCOS RODRIGUES PENA (64)"</f>
        <v>MARCOS RODRIGUES PENA (64)</v>
      </c>
      <c r="H5107" t="str">
        <f>"Serv.Prest. 22/09/2025 a 25/09/2025 - PIX: CELULAR - CHAVE: (33) 99194-2339"</f>
        <v>Serv.Prest. 22/09/2025 a 25/09/2025 - PIX: CELULAR - CHAVE: (33) 99194-2339</v>
      </c>
      <c r="I5107" t="str">
        <f>("09/10/2025")</f>
        <v>09/10/2025</v>
      </c>
      <c r="J5107" t="str">
        <f>("26/09/2025")</f>
        <v>26/09/2025</v>
      </c>
      <c r="K5107" t="str">
        <f>("09/10/2025")</f>
        <v>09/10/2025</v>
      </c>
      <c r="L5107">
        <v>20</v>
      </c>
      <c r="M5107">
        <v>20</v>
      </c>
      <c r="N5107">
        <v>109</v>
      </c>
      <c r="O5107" t="str">
        <f>"PAGAMENTO DE ENTREGADORES"</f>
        <v>PAGAMENTO DE ENTREGADORES</v>
      </c>
      <c r="P5107">
        <v>20</v>
      </c>
      <c r="S5107" t="str">
        <f>"CAIXA MOVIMENTAÇÃO OPERACIONAL (132)"</f>
        <v>CAIXA MOVIMENTAÇÃO OPERACIONAL (132)</v>
      </c>
      <c r="T5107">
        <v>19402</v>
      </c>
      <c r="U5107">
        <v>23422</v>
      </c>
      <c r="V5107" t="s">
        <v>48</v>
      </c>
    </row>
    <row r="5108" spans="1:22">
      <c r="A5108" t="str">
        <f t="shared" si="924"/>
        <v>09/10/2025</v>
      </c>
      <c r="B5108" t="str">
        <f>"SAÍDA"</f>
        <v>SAÍDA</v>
      </c>
      <c r="C5108" t="str">
        <f>"PIX"</f>
        <v>PIX</v>
      </c>
      <c r="D5108" t="str">
        <f>"22611"</f>
        <v>22611</v>
      </c>
      <c r="E5108" t="str">
        <f>"1"</f>
        <v>1</v>
      </c>
      <c r="F5108" t="str">
        <f t="shared" si="923"/>
        <v>COM</v>
      </c>
      <c r="G5108" t="str">
        <f>"MARCOS RODRIGUES PENA (64)"</f>
        <v>MARCOS RODRIGUES PENA (64)</v>
      </c>
      <c r="H5108" t="s">
        <v>1459</v>
      </c>
      <c r="I5108" t="str">
        <f>("09/10/2025")</f>
        <v>09/10/2025</v>
      </c>
      <c r="J5108" t="str">
        <f>("26/09/2025")</f>
        <v>26/09/2025</v>
      </c>
      <c r="K5108">
        <v>45939</v>
      </c>
      <c r="N5108">
        <v>109</v>
      </c>
      <c r="O5108" t="s">
        <v>24</v>
      </c>
      <c r="Q5108">
        <v>20</v>
      </c>
      <c r="R5108" t="str">
        <f>"FARMÁCIA INDIANA LJ 62 (10028)"</f>
        <v>FARMÁCIA INDIANA LJ 62 (10028)</v>
      </c>
      <c r="S5108" t="s">
        <v>48</v>
      </c>
      <c r="T5108">
        <v>19402</v>
      </c>
      <c r="U5108">
        <v>23422</v>
      </c>
      <c r="V5108" t="s">
        <v>48</v>
      </c>
    </row>
    <row r="5109" spans="1:22">
      <c r="A5109" t="str">
        <f t="shared" si="924"/>
        <v>09/10/2025</v>
      </c>
      <c r="B5109" t="str">
        <f>"ENTRADA"</f>
        <v>ENTRADA</v>
      </c>
      <c r="C5109" t="str">
        <f>"DINHEIRO"</f>
        <v>DINHEIRO</v>
      </c>
      <c r="D5109" t="str">
        <f>"12"</f>
        <v>12</v>
      </c>
      <c r="E5109" t="str">
        <f>"34"</f>
        <v>34</v>
      </c>
      <c r="F5109" t="str">
        <f t="shared" si="923"/>
        <v>COM</v>
      </c>
      <c r="G5109" t="str">
        <f>"MARCOS RODRIGUES PENA (64)"</f>
        <v>MARCOS RODRIGUES PENA (64)</v>
      </c>
      <c r="H5109" t="str">
        <f>"DESCONTO COTA COOPERADO"</f>
        <v>DESCONTO COTA COOPERADO</v>
      </c>
      <c r="I5109" t="str">
        <f>("16/10/2025")</f>
        <v>16/10/2025</v>
      </c>
      <c r="J5109" t="str">
        <f>("16/01/2025")</f>
        <v>16/01/2025</v>
      </c>
      <c r="K5109" t="str">
        <f>("09/10/2025")</f>
        <v>09/10/2025</v>
      </c>
      <c r="L5109">
        <v>20</v>
      </c>
      <c r="M5109">
        <v>20</v>
      </c>
      <c r="N5109">
        <v>106</v>
      </c>
      <c r="O5109" t="str">
        <f>"ENTRADA DE CAPITAL"</f>
        <v>ENTRADA DE CAPITAL</v>
      </c>
      <c r="P5109">
        <v>20</v>
      </c>
      <c r="S5109" t="str">
        <f>"ENTRADA DE CAPITAL (106)"</f>
        <v>ENTRADA DE CAPITAL (106)</v>
      </c>
      <c r="T5109">
        <v>19403</v>
      </c>
      <c r="U5109">
        <v>7103</v>
      </c>
      <c r="V5109" t="s">
        <v>48</v>
      </c>
    </row>
    <row r="5110" spans="1:22">
      <c r="A5110" t="str">
        <f t="shared" si="924"/>
        <v>09/10/2025</v>
      </c>
      <c r="B5110" t="str">
        <f>"ENTRADA"</f>
        <v>ENTRADA</v>
      </c>
      <c r="C5110" t="str">
        <f>"DINHEIRO"</f>
        <v>DINHEIRO</v>
      </c>
      <c r="D5110" t="str">
        <f>"12"</f>
        <v>12</v>
      </c>
      <c r="E5110" t="str">
        <f>"34"</f>
        <v>34</v>
      </c>
      <c r="F5110" t="str">
        <f t="shared" si="923"/>
        <v>COM</v>
      </c>
      <c r="G5110" t="str">
        <f>"MARCOS RODRIGUES PENA (64)"</f>
        <v>MARCOS RODRIGUES PENA (64)</v>
      </c>
      <c r="H5110" t="s">
        <v>309</v>
      </c>
      <c r="I5110" t="str">
        <f>("16/10/2025")</f>
        <v>16/10/2025</v>
      </c>
      <c r="J5110" t="str">
        <f>("16/01/2025")</f>
        <v>16/01/2025</v>
      </c>
      <c r="K5110">
        <v>45939</v>
      </c>
      <c r="N5110">
        <v>106</v>
      </c>
      <c r="O5110" t="s">
        <v>51</v>
      </c>
      <c r="Q5110">
        <v>20</v>
      </c>
      <c r="R5110" t="str">
        <f>"MARCOS RODRIGUES PENA (64)"</f>
        <v>MARCOS RODRIGUES PENA (64)</v>
      </c>
      <c r="S5110" t="s">
        <v>52</v>
      </c>
      <c r="T5110">
        <v>19403</v>
      </c>
      <c r="U5110">
        <v>7103</v>
      </c>
      <c r="V5110" t="s">
        <v>48</v>
      </c>
    </row>
    <row r="5111" spans="1:22">
      <c r="A5111" t="str">
        <f t="shared" si="924"/>
        <v>09/10/2025</v>
      </c>
      <c r="B5111" t="str">
        <f>"SAÍDA"</f>
        <v>SAÍDA</v>
      </c>
      <c r="C5111" t="str">
        <f>"PIX"</f>
        <v>PIX</v>
      </c>
      <c r="D5111" t="str">
        <f>"22541"</f>
        <v>22541</v>
      </c>
      <c r="E5111" t="str">
        <f>"1"</f>
        <v>1</v>
      </c>
      <c r="F5111" t="str">
        <f t="shared" si="923"/>
        <v>COM</v>
      </c>
      <c r="G5111" t="str">
        <f>"MARIA ILZA PEREIRA DOS SANTOS (618)"</f>
        <v>MARIA ILZA PEREIRA DOS SANTOS (618)</v>
      </c>
      <c r="H5111" t="str">
        <f>"Serv.Prest. 22/09/2025 a 25/09/2025 - PIX: CPF - CHAVE: 003.157.195-67"</f>
        <v>Serv.Prest. 22/09/2025 a 25/09/2025 - PIX: CPF - CHAVE: 003.157.195-67</v>
      </c>
      <c r="I5111" t="str">
        <f>("09/10/2025")</f>
        <v>09/10/2025</v>
      </c>
      <c r="J5111" t="str">
        <f>("26/09/2025")</f>
        <v>26/09/2025</v>
      </c>
      <c r="K5111" t="str">
        <f>("09/10/2025")</f>
        <v>09/10/2025</v>
      </c>
      <c r="L5111">
        <v>20</v>
      </c>
      <c r="M5111">
        <v>20</v>
      </c>
      <c r="N5111">
        <v>109</v>
      </c>
      <c r="O5111" t="str">
        <f>"PAGAMENTO DE ENTREGADORES"</f>
        <v>PAGAMENTO DE ENTREGADORES</v>
      </c>
      <c r="P5111">
        <v>20</v>
      </c>
      <c r="S5111" t="str">
        <f>"CAIXA MOVIMENTAÇÃO OPERACIONAL (132)"</f>
        <v>CAIXA MOVIMENTAÇÃO OPERACIONAL (132)</v>
      </c>
      <c r="T5111">
        <v>19404</v>
      </c>
      <c r="U5111">
        <v>23423</v>
      </c>
      <c r="V5111" t="s">
        <v>48</v>
      </c>
    </row>
    <row r="5112" spans="1:22">
      <c r="A5112" t="str">
        <f t="shared" si="924"/>
        <v>09/10/2025</v>
      </c>
      <c r="B5112" t="str">
        <f>"SAÍDA"</f>
        <v>SAÍDA</v>
      </c>
      <c r="C5112" t="str">
        <f>"PIX"</f>
        <v>PIX</v>
      </c>
      <c r="D5112" t="str">
        <f>"22541"</f>
        <v>22541</v>
      </c>
      <c r="E5112" t="str">
        <f>"1"</f>
        <v>1</v>
      </c>
      <c r="F5112" t="str">
        <f t="shared" si="923"/>
        <v>COM</v>
      </c>
      <c r="G5112" t="str">
        <f>"MARIA ILZA PEREIRA DOS SANTOS (618)"</f>
        <v>MARIA ILZA PEREIRA DOS SANTOS (618)</v>
      </c>
      <c r="H5112" t="s">
        <v>1460</v>
      </c>
      <c r="I5112" t="str">
        <f>("09/10/2025")</f>
        <v>09/10/2025</v>
      </c>
      <c r="J5112" t="str">
        <f>("26/09/2025")</f>
        <v>26/09/2025</v>
      </c>
      <c r="K5112">
        <v>45939</v>
      </c>
      <c r="N5112">
        <v>109</v>
      </c>
      <c r="O5112" t="s">
        <v>24</v>
      </c>
      <c r="Q5112">
        <v>20</v>
      </c>
      <c r="R5112" t="str">
        <f>"FARMÁCIA INDIANA LJ 65 (10030)"</f>
        <v>FARMÁCIA INDIANA LJ 65 (10030)</v>
      </c>
      <c r="S5112" t="s">
        <v>48</v>
      </c>
      <c r="T5112">
        <v>19404</v>
      </c>
      <c r="U5112">
        <v>23423</v>
      </c>
      <c r="V5112" t="s">
        <v>48</v>
      </c>
    </row>
    <row r="5113" spans="1:22">
      <c r="A5113" t="str">
        <f t="shared" si="924"/>
        <v>09/10/2025</v>
      </c>
      <c r="B5113" t="str">
        <f>"ENTRADA"</f>
        <v>ENTRADA</v>
      </c>
      <c r="C5113" t="str">
        <f>"DINHEIRO"</f>
        <v>DINHEIRO</v>
      </c>
      <c r="D5113" t="str">
        <f>"618"</f>
        <v>618</v>
      </c>
      <c r="E5113" t="str">
        <f>"9"</f>
        <v>9</v>
      </c>
      <c r="F5113" t="str">
        <f t="shared" si="923"/>
        <v>COM</v>
      </c>
      <c r="G5113" t="str">
        <f>"MARIA ILZA PEREIRA DOS SANTOS (618)"</f>
        <v>MARIA ILZA PEREIRA DOS SANTOS (618)</v>
      </c>
      <c r="H5113" t="str">
        <f>"COTAS COOPERATIVA"</f>
        <v>COTAS COOPERATIVA</v>
      </c>
      <c r="I5113" t="str">
        <f>("13/10/2025")</f>
        <v>13/10/2025</v>
      </c>
      <c r="J5113" t="str">
        <f>("13/02/2025")</f>
        <v>13/02/2025</v>
      </c>
      <c r="K5113" t="str">
        <f>("09/10/2025")</f>
        <v>09/10/2025</v>
      </c>
      <c r="L5113">
        <v>20</v>
      </c>
      <c r="M5113">
        <v>20</v>
      </c>
      <c r="N5113">
        <v>106</v>
      </c>
      <c r="O5113" t="str">
        <f>"ENTRADA DE CAPITAL"</f>
        <v>ENTRADA DE CAPITAL</v>
      </c>
      <c r="P5113">
        <v>20</v>
      </c>
      <c r="S5113" t="str">
        <f>"ENTRADA DE CAPITAL (106)"</f>
        <v>ENTRADA DE CAPITAL (106)</v>
      </c>
      <c r="T5113">
        <v>19405</v>
      </c>
      <c r="U5113">
        <v>9525</v>
      </c>
      <c r="V5113" t="s">
        <v>48</v>
      </c>
    </row>
    <row r="5114" spans="1:22">
      <c r="A5114" t="str">
        <f t="shared" si="924"/>
        <v>09/10/2025</v>
      </c>
      <c r="B5114" t="str">
        <f>"ENTRADA"</f>
        <v>ENTRADA</v>
      </c>
      <c r="C5114" t="str">
        <f>"DINHEIRO"</f>
        <v>DINHEIRO</v>
      </c>
      <c r="D5114" t="str">
        <f>"618"</f>
        <v>618</v>
      </c>
      <c r="E5114" t="str">
        <f>"9"</f>
        <v>9</v>
      </c>
      <c r="F5114" t="str">
        <f t="shared" si="923"/>
        <v>COM</v>
      </c>
      <c r="G5114" t="str">
        <f>"MARIA ILZA PEREIRA DOS SANTOS (618)"</f>
        <v>MARIA ILZA PEREIRA DOS SANTOS (618)</v>
      </c>
      <c r="H5114" t="s">
        <v>318</v>
      </c>
      <c r="I5114" t="str">
        <f>("13/10/2025")</f>
        <v>13/10/2025</v>
      </c>
      <c r="J5114" t="str">
        <f>("13/02/2025")</f>
        <v>13/02/2025</v>
      </c>
      <c r="K5114">
        <v>45939</v>
      </c>
      <c r="N5114">
        <v>106</v>
      </c>
      <c r="O5114" t="s">
        <v>51</v>
      </c>
      <c r="Q5114">
        <v>20</v>
      </c>
      <c r="R5114" t="str">
        <f>"MARIA ILZA PEREIRA DOS SANTOS (618)"</f>
        <v>MARIA ILZA PEREIRA DOS SANTOS (618)</v>
      </c>
      <c r="S5114" t="s">
        <v>52</v>
      </c>
      <c r="T5114">
        <v>19405</v>
      </c>
      <c r="U5114">
        <v>9525</v>
      </c>
      <c r="V5114" t="s">
        <v>48</v>
      </c>
    </row>
    <row r="5115" spans="1:22">
      <c r="A5115" t="str">
        <f t="shared" si="924"/>
        <v>09/10/2025</v>
      </c>
      <c r="B5115" t="str">
        <f>"SAÍDA"</f>
        <v>SAÍDA</v>
      </c>
      <c r="C5115" t="str">
        <f>"PIX"</f>
        <v>PIX</v>
      </c>
      <c r="D5115" t="str">
        <f>"22613"</f>
        <v>22613</v>
      </c>
      <c r="E5115" t="str">
        <f>"1"</f>
        <v>1</v>
      </c>
      <c r="F5115" t="str">
        <f t="shared" si="923"/>
        <v>COM</v>
      </c>
      <c r="G5115" t="str">
        <f>"MATHEUS VIEIRA DA SILVA (886)"</f>
        <v>MATHEUS VIEIRA DA SILVA (886)</v>
      </c>
      <c r="H5115" t="str">
        <f>"Serv.Prest. 22/09/2025 a 25/09/2025 - PIX: E-MAIL - CHAVE: meamatheusvieira@gmail.com"</f>
        <v>Serv.Prest. 22/09/2025 a 25/09/2025 - PIX: E-MAIL - CHAVE: meamatheusvieira@gmail.com</v>
      </c>
      <c r="I5115" t="str">
        <f>("09/10/2025")</f>
        <v>09/10/2025</v>
      </c>
      <c r="J5115" t="str">
        <f>("26/09/2025")</f>
        <v>26/09/2025</v>
      </c>
      <c r="K5115" t="str">
        <f>("09/10/2025")</f>
        <v>09/10/2025</v>
      </c>
      <c r="L5115">
        <v>20</v>
      </c>
      <c r="M5115">
        <v>20</v>
      </c>
      <c r="N5115">
        <v>109</v>
      </c>
      <c r="O5115" t="str">
        <f>"PAGAMENTO DE ENTREGADORES"</f>
        <v>PAGAMENTO DE ENTREGADORES</v>
      </c>
      <c r="P5115">
        <v>20</v>
      </c>
      <c r="S5115" t="str">
        <f>"CAIXA MOVIMENTAÇÃO OPERACIONAL (132)"</f>
        <v>CAIXA MOVIMENTAÇÃO OPERACIONAL (132)</v>
      </c>
      <c r="T5115">
        <v>19406</v>
      </c>
      <c r="U5115">
        <v>23424</v>
      </c>
      <c r="V5115" t="s">
        <v>48</v>
      </c>
    </row>
    <row r="5116" spans="1:22">
      <c r="A5116" t="str">
        <f t="shared" si="924"/>
        <v>09/10/2025</v>
      </c>
      <c r="B5116" t="str">
        <f>"SAÍDA"</f>
        <v>SAÍDA</v>
      </c>
      <c r="C5116" t="str">
        <f>"PIX"</f>
        <v>PIX</v>
      </c>
      <c r="D5116" t="str">
        <f>"22613"</f>
        <v>22613</v>
      </c>
      <c r="E5116" t="str">
        <f>"1"</f>
        <v>1</v>
      </c>
      <c r="F5116" t="str">
        <f t="shared" si="923"/>
        <v>COM</v>
      </c>
      <c r="G5116" t="str">
        <f>"MATHEUS VIEIRA DA SILVA (886)"</f>
        <v>MATHEUS VIEIRA DA SILVA (886)</v>
      </c>
      <c r="H5116" t="s">
        <v>1461</v>
      </c>
      <c r="I5116" t="str">
        <f>("09/10/2025")</f>
        <v>09/10/2025</v>
      </c>
      <c r="J5116" t="str">
        <f>("26/09/2025")</f>
        <v>26/09/2025</v>
      </c>
      <c r="K5116">
        <v>45939</v>
      </c>
      <c r="N5116">
        <v>109</v>
      </c>
      <c r="O5116" t="s">
        <v>24</v>
      </c>
      <c r="Q5116">
        <v>20</v>
      </c>
      <c r="R5116" t="str">
        <f>"FARMÁCIA INDIANA LJ 07 (10007)"</f>
        <v>FARMÁCIA INDIANA LJ 07 (10007)</v>
      </c>
      <c r="S5116" t="s">
        <v>48</v>
      </c>
      <c r="T5116">
        <v>19406</v>
      </c>
      <c r="U5116">
        <v>23424</v>
      </c>
      <c r="V5116" t="s">
        <v>48</v>
      </c>
    </row>
    <row r="5117" spans="1:22">
      <c r="A5117" t="str">
        <f t="shared" si="924"/>
        <v>09/10/2025</v>
      </c>
      <c r="B5117" t="str">
        <f>"ENTRADA"</f>
        <v>ENTRADA</v>
      </c>
      <c r="C5117" t="str">
        <f>"DINHEIRO"</f>
        <v>DINHEIRO</v>
      </c>
      <c r="D5117" t="str">
        <f>"886"</f>
        <v>886</v>
      </c>
      <c r="E5117" t="str">
        <f>"3"</f>
        <v>3</v>
      </c>
      <c r="F5117" t="str">
        <f t="shared" si="923"/>
        <v>COM</v>
      </c>
      <c r="G5117" t="str">
        <f>"MATHEUS VIEIRA DA SILVA (886)"</f>
        <v>MATHEUS VIEIRA DA SILVA (886)</v>
      </c>
      <c r="H5117" t="str">
        <f>"COTA COOPERATIVA"</f>
        <v>COTA COOPERATIVA</v>
      </c>
      <c r="I5117" t="str">
        <f>("10/10/2025")</f>
        <v>10/10/2025</v>
      </c>
      <c r="J5117" t="str">
        <f>("19/07/2025")</f>
        <v>19/07/2025</v>
      </c>
      <c r="K5117" t="str">
        <f>("09/10/2025")</f>
        <v>09/10/2025</v>
      </c>
      <c r="L5117">
        <v>20</v>
      </c>
      <c r="M5117">
        <v>20</v>
      </c>
      <c r="N5117">
        <v>106</v>
      </c>
      <c r="O5117" t="str">
        <f>"ENTRADA DE CAPITAL"</f>
        <v>ENTRADA DE CAPITAL</v>
      </c>
      <c r="P5117">
        <v>20</v>
      </c>
      <c r="S5117" t="str">
        <f>"ENTRADA DE CAPITAL (106)"</f>
        <v>ENTRADA DE CAPITAL (106)</v>
      </c>
      <c r="T5117">
        <v>19407</v>
      </c>
      <c r="U5117">
        <v>19916</v>
      </c>
      <c r="V5117" t="s">
        <v>48</v>
      </c>
    </row>
    <row r="5118" spans="1:22">
      <c r="A5118" t="str">
        <f t="shared" si="924"/>
        <v>09/10/2025</v>
      </c>
      <c r="B5118" t="str">
        <f>"ENTRADA"</f>
        <v>ENTRADA</v>
      </c>
      <c r="C5118" t="str">
        <f>"DINHEIRO"</f>
        <v>DINHEIRO</v>
      </c>
      <c r="D5118" t="str">
        <f>"886"</f>
        <v>886</v>
      </c>
      <c r="E5118" t="str">
        <f>"3"</f>
        <v>3</v>
      </c>
      <c r="F5118" t="str">
        <f t="shared" si="923"/>
        <v>COM</v>
      </c>
      <c r="G5118" t="str">
        <f>"MATHEUS VIEIRA DA SILVA (886)"</f>
        <v>MATHEUS VIEIRA DA SILVA (886)</v>
      </c>
      <c r="H5118" t="s">
        <v>50</v>
      </c>
      <c r="I5118" t="str">
        <f>("10/10/2025")</f>
        <v>10/10/2025</v>
      </c>
      <c r="J5118" t="str">
        <f>("19/07/2025")</f>
        <v>19/07/2025</v>
      </c>
      <c r="K5118">
        <v>45939</v>
      </c>
      <c r="N5118">
        <v>106</v>
      </c>
      <c r="O5118" t="s">
        <v>51</v>
      </c>
      <c r="Q5118">
        <v>20</v>
      </c>
      <c r="R5118" t="str">
        <f>"MATHEUS VIEIRA DA SILVA (886)"</f>
        <v>MATHEUS VIEIRA DA SILVA (886)</v>
      </c>
      <c r="S5118" t="s">
        <v>52</v>
      </c>
      <c r="T5118">
        <v>19407</v>
      </c>
      <c r="U5118">
        <v>19916</v>
      </c>
      <c r="V5118" t="s">
        <v>48</v>
      </c>
    </row>
    <row r="5119" spans="1:22">
      <c r="A5119" t="str">
        <f t="shared" si="924"/>
        <v>09/10/2025</v>
      </c>
      <c r="B5119" t="str">
        <f>"ENTRADA"</f>
        <v>ENTRADA</v>
      </c>
      <c r="C5119" t="str">
        <f>"DINHEIRO"</f>
        <v>DINHEIRO</v>
      </c>
      <c r="D5119" t="str">
        <f>"767"</f>
        <v>767</v>
      </c>
      <c r="E5119" t="str">
        <f>"6"</f>
        <v>6</v>
      </c>
      <c r="F5119" t="str">
        <f t="shared" si="923"/>
        <v>COM</v>
      </c>
      <c r="G5119" t="str">
        <f>"MAURO AUGUSTO MACHADO DE ASSIS (767)"</f>
        <v>MAURO AUGUSTO MACHADO DE ASSIS (767)</v>
      </c>
      <c r="H5119" t="str">
        <f>"COTA COOPERATIVA"</f>
        <v>COTA COOPERATIVA</v>
      </c>
      <c r="I5119" t="str">
        <f>("08/10/2025")</f>
        <v>08/10/2025</v>
      </c>
      <c r="J5119" t="str">
        <f>("15/04/2025")</f>
        <v>15/04/2025</v>
      </c>
      <c r="K5119" t="str">
        <f>("09/10/2025")</f>
        <v>09/10/2025</v>
      </c>
      <c r="L5119">
        <v>20</v>
      </c>
      <c r="M5119">
        <v>20</v>
      </c>
      <c r="N5119">
        <v>106</v>
      </c>
      <c r="O5119" t="str">
        <f>"ENTRADA DE CAPITAL"</f>
        <v>ENTRADA DE CAPITAL</v>
      </c>
      <c r="P5119">
        <v>20</v>
      </c>
      <c r="S5119" t="str">
        <f>"ENTRADA DE CAPITAL (106)"</f>
        <v>ENTRADA DE CAPITAL (106)</v>
      </c>
      <c r="T5119">
        <v>19408</v>
      </c>
      <c r="U5119">
        <v>14250</v>
      </c>
      <c r="V5119" t="s">
        <v>48</v>
      </c>
    </row>
    <row r="5120" spans="1:22">
      <c r="A5120" t="str">
        <f t="shared" si="924"/>
        <v>09/10/2025</v>
      </c>
      <c r="B5120" t="str">
        <f>"ENTRADA"</f>
        <v>ENTRADA</v>
      </c>
      <c r="C5120" t="str">
        <f>"DINHEIRO"</f>
        <v>DINHEIRO</v>
      </c>
      <c r="D5120" t="str">
        <f>"767"</f>
        <v>767</v>
      </c>
      <c r="E5120" t="str">
        <f>"6"</f>
        <v>6</v>
      </c>
      <c r="F5120" t="str">
        <f t="shared" si="923"/>
        <v>COM</v>
      </c>
      <c r="G5120" t="str">
        <f>"MAURO AUGUSTO MACHADO DE ASSIS (767)"</f>
        <v>MAURO AUGUSTO MACHADO DE ASSIS (767)</v>
      </c>
      <c r="H5120" t="s">
        <v>50</v>
      </c>
      <c r="I5120" t="str">
        <f>("08/10/2025")</f>
        <v>08/10/2025</v>
      </c>
      <c r="J5120" t="str">
        <f>("15/04/2025")</f>
        <v>15/04/2025</v>
      </c>
      <c r="K5120">
        <v>45939</v>
      </c>
      <c r="N5120">
        <v>106</v>
      </c>
      <c r="O5120" t="s">
        <v>51</v>
      </c>
      <c r="Q5120">
        <v>20</v>
      </c>
      <c r="R5120" t="str">
        <f>"MAURO AUGUSTO MACHADO DE ASSIS (767)"</f>
        <v>MAURO AUGUSTO MACHADO DE ASSIS (767)</v>
      </c>
      <c r="S5120" t="s">
        <v>52</v>
      </c>
      <c r="T5120">
        <v>19408</v>
      </c>
      <c r="U5120">
        <v>14250</v>
      </c>
      <c r="V5120" t="s">
        <v>48</v>
      </c>
    </row>
    <row r="5121" spans="1:22">
      <c r="A5121" t="str">
        <f t="shared" si="924"/>
        <v>09/10/2025</v>
      </c>
      <c r="B5121" t="str">
        <f>"SAÍDA"</f>
        <v>SAÍDA</v>
      </c>
      <c r="C5121" t="str">
        <f>"PIX"</f>
        <v>PIX</v>
      </c>
      <c r="D5121" t="str">
        <f>"22614"</f>
        <v>22614</v>
      </c>
      <c r="E5121" t="str">
        <f>"1"</f>
        <v>1</v>
      </c>
      <c r="F5121" t="str">
        <f t="shared" si="923"/>
        <v>COM</v>
      </c>
      <c r="G5121" t="str">
        <f>"MAURO AUGUSTO MACHADO DE ASSIS (767)"</f>
        <v>MAURO AUGUSTO MACHADO DE ASSIS (767)</v>
      </c>
      <c r="H5121" t="str">
        <f>"Serv.Prest. 22/09/2025 a 25/09/2025 - PIX: CPF - CHAVE: 163.330.766-27"</f>
        <v>Serv.Prest. 22/09/2025 a 25/09/2025 - PIX: CPF - CHAVE: 163.330.766-27</v>
      </c>
      <c r="I5121" t="str">
        <f>("09/10/2025")</f>
        <v>09/10/2025</v>
      </c>
      <c r="J5121" t="str">
        <f>("26/09/2025")</f>
        <v>26/09/2025</v>
      </c>
      <c r="K5121" t="str">
        <f>("09/10/2025")</f>
        <v>09/10/2025</v>
      </c>
      <c r="L5121">
        <v>20</v>
      </c>
      <c r="M5121">
        <v>20</v>
      </c>
      <c r="N5121">
        <v>109</v>
      </c>
      <c r="O5121" t="str">
        <f>"PAGAMENTO DE ENTREGADORES"</f>
        <v>PAGAMENTO DE ENTREGADORES</v>
      </c>
      <c r="P5121">
        <v>20</v>
      </c>
      <c r="S5121" t="str">
        <f>"CAIXA MOVIMENTAÇÃO OPERACIONAL (132)"</f>
        <v>CAIXA MOVIMENTAÇÃO OPERACIONAL (132)</v>
      </c>
      <c r="T5121">
        <v>19409</v>
      </c>
      <c r="U5121">
        <v>23425</v>
      </c>
      <c r="V5121" t="s">
        <v>48</v>
      </c>
    </row>
    <row r="5122" spans="1:22">
      <c r="A5122" t="str">
        <f t="shared" si="924"/>
        <v>09/10/2025</v>
      </c>
      <c r="B5122" t="str">
        <f>"SAÍDA"</f>
        <v>SAÍDA</v>
      </c>
      <c r="C5122" t="str">
        <f>"PIX"</f>
        <v>PIX</v>
      </c>
      <c r="D5122" t="str">
        <f>"22614"</f>
        <v>22614</v>
      </c>
      <c r="E5122" t="str">
        <f>"1"</f>
        <v>1</v>
      </c>
      <c r="F5122" t="str">
        <f t="shared" ref="F5122:F5185" si="925">"COM"</f>
        <v>COM</v>
      </c>
      <c r="G5122" t="str">
        <f>"MAURO AUGUSTO MACHADO DE ASSIS (767)"</f>
        <v>MAURO AUGUSTO MACHADO DE ASSIS (767)</v>
      </c>
      <c r="H5122" t="s">
        <v>1462</v>
      </c>
      <c r="I5122" t="str">
        <f>("09/10/2025")</f>
        <v>09/10/2025</v>
      </c>
      <c r="J5122" t="str">
        <f>("26/09/2025")</f>
        <v>26/09/2025</v>
      </c>
      <c r="K5122">
        <v>45939</v>
      </c>
      <c r="N5122">
        <v>109</v>
      </c>
      <c r="O5122" t="s">
        <v>24</v>
      </c>
      <c r="Q5122">
        <v>10.44</v>
      </c>
      <c r="R5122" t="str">
        <f>"FARMÁCIA INDIANA LJ 11 (10008)"</f>
        <v>FARMÁCIA INDIANA LJ 11 (10008)</v>
      </c>
      <c r="S5122" t="s">
        <v>48</v>
      </c>
      <c r="T5122">
        <v>19409</v>
      </c>
      <c r="U5122">
        <v>23425</v>
      </c>
      <c r="V5122" t="s">
        <v>48</v>
      </c>
    </row>
    <row r="5123" spans="1:22">
      <c r="A5123" t="str">
        <f t="shared" si="924"/>
        <v>09/10/2025</v>
      </c>
      <c r="B5123" t="str">
        <f>"SAÍDA"</f>
        <v>SAÍDA</v>
      </c>
      <c r="C5123" t="str">
        <f>"PIX"</f>
        <v>PIX</v>
      </c>
      <c r="D5123" t="str">
        <f>"22614"</f>
        <v>22614</v>
      </c>
      <c r="E5123" t="str">
        <f>"1"</f>
        <v>1</v>
      </c>
      <c r="F5123" t="str">
        <f t="shared" si="925"/>
        <v>COM</v>
      </c>
      <c r="G5123" t="str">
        <f>"MAURO AUGUSTO MACHADO DE ASSIS (767)"</f>
        <v>MAURO AUGUSTO MACHADO DE ASSIS (767)</v>
      </c>
      <c r="H5123" t="s">
        <v>1462</v>
      </c>
      <c r="I5123" t="str">
        <f>("09/10/2025")</f>
        <v>09/10/2025</v>
      </c>
      <c r="J5123" t="str">
        <f>("26/09/2025")</f>
        <v>26/09/2025</v>
      </c>
      <c r="K5123">
        <v>45939</v>
      </c>
      <c r="N5123">
        <v>109</v>
      </c>
      <c r="O5123" t="s">
        <v>24</v>
      </c>
      <c r="Q5123">
        <v>9.56</v>
      </c>
      <c r="R5123" t="str">
        <f>"FARMÁCIA INDIANA LJ 172 (10161)"</f>
        <v>FARMÁCIA INDIANA LJ 172 (10161)</v>
      </c>
      <c r="S5123" t="s">
        <v>48</v>
      </c>
      <c r="T5123">
        <v>19409</v>
      </c>
      <c r="U5123">
        <v>23425</v>
      </c>
      <c r="V5123" t="s">
        <v>48</v>
      </c>
    </row>
    <row r="5124" spans="1:22">
      <c r="A5124" t="str">
        <f t="shared" ref="A5124:A5187" si="926">("09/10/2025")</f>
        <v>09/10/2025</v>
      </c>
      <c r="B5124" t="str">
        <f>"SAÍDA"</f>
        <v>SAÍDA</v>
      </c>
      <c r="C5124" t="str">
        <f>"PIX"</f>
        <v>PIX</v>
      </c>
      <c r="D5124" t="str">
        <f>"22615"</f>
        <v>22615</v>
      </c>
      <c r="E5124" t="str">
        <f>"1"</f>
        <v>1</v>
      </c>
      <c r="F5124" t="str">
        <f t="shared" si="925"/>
        <v>COM</v>
      </c>
      <c r="G5124" t="str">
        <f>"MAYCON GUILHERME DUARTE (541)"</f>
        <v>MAYCON GUILHERME DUARTE (541)</v>
      </c>
      <c r="H5124" t="str">
        <f>"Serv.Prest. 22/09/2025 a 25/09/2025 - PIX: CELULAR - CHAVE: (31) 99076-6539"</f>
        <v>Serv.Prest. 22/09/2025 a 25/09/2025 - PIX: CELULAR - CHAVE: (31) 99076-6539</v>
      </c>
      <c r="I5124" t="str">
        <f>("09/10/2025")</f>
        <v>09/10/2025</v>
      </c>
      <c r="J5124" t="str">
        <f>("26/09/2025")</f>
        <v>26/09/2025</v>
      </c>
      <c r="K5124" t="str">
        <f>("09/10/2025")</f>
        <v>09/10/2025</v>
      </c>
      <c r="L5124">
        <v>20</v>
      </c>
      <c r="M5124">
        <v>20</v>
      </c>
      <c r="N5124">
        <v>109</v>
      </c>
      <c r="O5124" t="str">
        <f>"PAGAMENTO DE ENTREGADORES"</f>
        <v>PAGAMENTO DE ENTREGADORES</v>
      </c>
      <c r="P5124">
        <v>20</v>
      </c>
      <c r="S5124" t="str">
        <f>"CAIXA MOVIMENTAÇÃO OPERACIONAL (132)"</f>
        <v>CAIXA MOVIMENTAÇÃO OPERACIONAL (132)</v>
      </c>
      <c r="T5124">
        <v>19410</v>
      </c>
      <c r="U5124">
        <v>23426</v>
      </c>
      <c r="V5124" t="s">
        <v>48</v>
      </c>
    </row>
    <row r="5125" spans="1:22">
      <c r="A5125" t="str">
        <f t="shared" si="926"/>
        <v>09/10/2025</v>
      </c>
      <c r="B5125" t="str">
        <f>"SAÍDA"</f>
        <v>SAÍDA</v>
      </c>
      <c r="C5125" t="str">
        <f>"PIX"</f>
        <v>PIX</v>
      </c>
      <c r="D5125" t="str">
        <f>"22615"</f>
        <v>22615</v>
      </c>
      <c r="E5125" t="str">
        <f>"1"</f>
        <v>1</v>
      </c>
      <c r="F5125" t="str">
        <f t="shared" si="925"/>
        <v>COM</v>
      </c>
      <c r="G5125" t="str">
        <f>"MAYCON GUILHERME DUARTE (541)"</f>
        <v>MAYCON GUILHERME DUARTE (541)</v>
      </c>
      <c r="H5125" t="s">
        <v>1463</v>
      </c>
      <c r="I5125" t="str">
        <f>("09/10/2025")</f>
        <v>09/10/2025</v>
      </c>
      <c r="J5125" t="str">
        <f>("26/09/2025")</f>
        <v>26/09/2025</v>
      </c>
      <c r="K5125">
        <v>45939</v>
      </c>
      <c r="N5125">
        <v>109</v>
      </c>
      <c r="O5125" t="s">
        <v>24</v>
      </c>
      <c r="Q5125">
        <v>20</v>
      </c>
      <c r="R5125" t="str">
        <f>"FARMÁCIA INDIANA LJ 220 (10092)"</f>
        <v>FARMÁCIA INDIANA LJ 220 (10092)</v>
      </c>
      <c r="S5125" t="s">
        <v>48</v>
      </c>
      <c r="T5125">
        <v>19410</v>
      </c>
      <c r="U5125">
        <v>23426</v>
      </c>
      <c r="V5125" t="s">
        <v>48</v>
      </c>
    </row>
    <row r="5126" spans="1:22">
      <c r="A5126" t="str">
        <f t="shared" si="926"/>
        <v>09/10/2025</v>
      </c>
      <c r="B5126" t="str">
        <f>"ENTRADA"</f>
        <v>ENTRADA</v>
      </c>
      <c r="C5126" t="str">
        <f>"DINHEIRO"</f>
        <v>DINHEIRO</v>
      </c>
      <c r="D5126" t="str">
        <f>"02"</f>
        <v>02</v>
      </c>
      <c r="E5126" t="str">
        <f>"34"</f>
        <v>34</v>
      </c>
      <c r="F5126" t="str">
        <f t="shared" si="925"/>
        <v>COM</v>
      </c>
      <c r="G5126" t="str">
        <f>"MAYCON GUILHERME DUARTE (541)"</f>
        <v>MAYCON GUILHERME DUARTE (541)</v>
      </c>
      <c r="H5126" t="str">
        <f>"DESCONTO COTA COOPERADO"</f>
        <v>DESCONTO COTA COOPERADO</v>
      </c>
      <c r="I5126" t="str">
        <f>("16/10/2025")</f>
        <v>16/10/2025</v>
      </c>
      <c r="J5126" t="str">
        <f>("16/01/2025")</f>
        <v>16/01/2025</v>
      </c>
      <c r="K5126" t="str">
        <f>("09/10/2025")</f>
        <v>09/10/2025</v>
      </c>
      <c r="L5126">
        <v>20</v>
      </c>
      <c r="M5126">
        <v>20</v>
      </c>
      <c r="N5126">
        <v>106</v>
      </c>
      <c r="O5126" t="str">
        <f>"ENTRADA DE CAPITAL"</f>
        <v>ENTRADA DE CAPITAL</v>
      </c>
      <c r="P5126">
        <v>20</v>
      </c>
      <c r="S5126" t="str">
        <f>"ENTRADA DE CAPITAL (106)"</f>
        <v>ENTRADA DE CAPITAL (106)</v>
      </c>
      <c r="T5126">
        <v>19411</v>
      </c>
      <c r="U5126">
        <v>7168</v>
      </c>
      <c r="V5126" t="s">
        <v>48</v>
      </c>
    </row>
    <row r="5127" spans="1:22">
      <c r="A5127" t="str">
        <f t="shared" si="926"/>
        <v>09/10/2025</v>
      </c>
      <c r="B5127" t="str">
        <f>"ENTRADA"</f>
        <v>ENTRADA</v>
      </c>
      <c r="C5127" t="str">
        <f>"DINHEIRO"</f>
        <v>DINHEIRO</v>
      </c>
      <c r="D5127" t="str">
        <f>"02"</f>
        <v>02</v>
      </c>
      <c r="E5127" t="str">
        <f>"34"</f>
        <v>34</v>
      </c>
      <c r="F5127" t="str">
        <f t="shared" si="925"/>
        <v>COM</v>
      </c>
      <c r="G5127" t="str">
        <f>"MAYCON GUILHERME DUARTE (541)"</f>
        <v>MAYCON GUILHERME DUARTE (541)</v>
      </c>
      <c r="H5127" t="s">
        <v>309</v>
      </c>
      <c r="I5127" t="str">
        <f>("16/10/2025")</f>
        <v>16/10/2025</v>
      </c>
      <c r="J5127" t="str">
        <f>("16/01/2025")</f>
        <v>16/01/2025</v>
      </c>
      <c r="K5127">
        <v>45939</v>
      </c>
      <c r="N5127">
        <v>106</v>
      </c>
      <c r="O5127" t="s">
        <v>51</v>
      </c>
      <c r="Q5127">
        <v>20</v>
      </c>
      <c r="R5127" t="str">
        <f>"MAYCON GUILHERME DUARTE (541)"</f>
        <v>MAYCON GUILHERME DUARTE (541)</v>
      </c>
      <c r="S5127" t="s">
        <v>52</v>
      </c>
      <c r="T5127">
        <v>19411</v>
      </c>
      <c r="U5127">
        <v>7168</v>
      </c>
      <c r="V5127" t="s">
        <v>48</v>
      </c>
    </row>
    <row r="5128" spans="1:22">
      <c r="A5128" t="str">
        <f t="shared" si="926"/>
        <v>09/10/2025</v>
      </c>
      <c r="B5128" t="str">
        <f>"ENTRADA"</f>
        <v>ENTRADA</v>
      </c>
      <c r="C5128" t="str">
        <f>"DINHEIRO"</f>
        <v>DINHEIRO</v>
      </c>
      <c r="D5128" t="str">
        <f>"781"</f>
        <v>781</v>
      </c>
      <c r="E5128" t="str">
        <f>"6"</f>
        <v>6</v>
      </c>
      <c r="F5128" t="str">
        <f t="shared" si="925"/>
        <v>COM</v>
      </c>
      <c r="G5128" t="str">
        <f t="shared" ref="G5128:G5133" si="927">"MAYKON LOPES DE MENEZES (781)"</f>
        <v>MAYKON LOPES DE MENEZES (781)</v>
      </c>
      <c r="H5128" t="str">
        <f>"COTA COOPERATIVA"</f>
        <v>COTA COOPERATIVA</v>
      </c>
      <c r="I5128" t="str">
        <f>("08/10/2025")</f>
        <v>08/10/2025</v>
      </c>
      <c r="J5128" t="str">
        <f>("28/04/2025")</f>
        <v>28/04/2025</v>
      </c>
      <c r="K5128" t="str">
        <f>("09/10/2025")</f>
        <v>09/10/2025</v>
      </c>
      <c r="L5128">
        <v>20</v>
      </c>
      <c r="M5128">
        <v>20</v>
      </c>
      <c r="N5128">
        <v>106</v>
      </c>
      <c r="O5128" t="str">
        <f>"ENTRADA DE CAPITAL"</f>
        <v>ENTRADA DE CAPITAL</v>
      </c>
      <c r="P5128">
        <v>20</v>
      </c>
      <c r="S5128" t="str">
        <f>"ENTRADA DE CAPITAL (106)"</f>
        <v>ENTRADA DE CAPITAL (106)</v>
      </c>
      <c r="T5128">
        <v>19412</v>
      </c>
      <c r="U5128">
        <v>14303</v>
      </c>
      <c r="V5128" t="s">
        <v>48</v>
      </c>
    </row>
    <row r="5129" spans="1:22">
      <c r="A5129" t="str">
        <f t="shared" si="926"/>
        <v>09/10/2025</v>
      </c>
      <c r="B5129" t="str">
        <f>"ENTRADA"</f>
        <v>ENTRADA</v>
      </c>
      <c r="C5129" t="str">
        <f>"DINHEIRO"</f>
        <v>DINHEIRO</v>
      </c>
      <c r="D5129" t="str">
        <f>"781"</f>
        <v>781</v>
      </c>
      <c r="E5129" t="str">
        <f>"6"</f>
        <v>6</v>
      </c>
      <c r="F5129" t="str">
        <f t="shared" si="925"/>
        <v>COM</v>
      </c>
      <c r="G5129" t="str">
        <f t="shared" si="927"/>
        <v>MAYKON LOPES DE MENEZES (781)</v>
      </c>
      <c r="H5129" t="s">
        <v>50</v>
      </c>
      <c r="I5129" t="str">
        <f>("08/10/2025")</f>
        <v>08/10/2025</v>
      </c>
      <c r="J5129" t="str">
        <f>("28/04/2025")</f>
        <v>28/04/2025</v>
      </c>
      <c r="K5129">
        <v>45939</v>
      </c>
      <c r="N5129">
        <v>106</v>
      </c>
      <c r="O5129" t="s">
        <v>51</v>
      </c>
      <c r="Q5129">
        <v>20</v>
      </c>
      <c r="R5129" t="str">
        <f>"MAYKON LOPES DE MENEZES (781)"</f>
        <v>MAYKON LOPES DE MENEZES (781)</v>
      </c>
      <c r="S5129" t="s">
        <v>52</v>
      </c>
      <c r="T5129">
        <v>19412</v>
      </c>
      <c r="U5129">
        <v>14303</v>
      </c>
      <c r="V5129" t="s">
        <v>48</v>
      </c>
    </row>
    <row r="5130" spans="1:22">
      <c r="A5130" t="str">
        <f t="shared" si="926"/>
        <v>09/10/2025</v>
      </c>
      <c r="B5130" t="str">
        <f>"SAÍDA"</f>
        <v>SAÍDA</v>
      </c>
      <c r="C5130" t="str">
        <f>"PIX"</f>
        <v>PIX</v>
      </c>
      <c r="D5130" t="str">
        <f>"22806"</f>
        <v>22806</v>
      </c>
      <c r="E5130" t="str">
        <f>"1"</f>
        <v>1</v>
      </c>
      <c r="F5130" t="str">
        <f t="shared" si="925"/>
        <v>COM</v>
      </c>
      <c r="G5130" t="str">
        <f t="shared" si="927"/>
        <v>MAYKON LOPES DE MENEZES (781)</v>
      </c>
      <c r="H5130" t="str">
        <f>"Serv.Prest. 29/09/2025 a 05/10/2025 - PIX: CPF - CHAVE: 012.600.851-55"</f>
        <v>Serv.Prest. 29/09/2025 a 05/10/2025 - PIX: CPF - CHAVE: 012.600.851-55</v>
      </c>
      <c r="I5130" t="str">
        <f t="shared" ref="I5130:I5136" si="928">("09/10/2025")</f>
        <v>09/10/2025</v>
      </c>
      <c r="J5130" t="str">
        <f>("06/10/2025")</f>
        <v>06/10/2025</v>
      </c>
      <c r="K5130" t="str">
        <f>("09/10/2025")</f>
        <v>09/10/2025</v>
      </c>
      <c r="L5130">
        <v>195</v>
      </c>
      <c r="M5130">
        <v>195</v>
      </c>
      <c r="N5130">
        <v>109</v>
      </c>
      <c r="O5130" t="str">
        <f>"PAGAMENTO DE ENTREGADORES"</f>
        <v>PAGAMENTO DE ENTREGADORES</v>
      </c>
      <c r="P5130">
        <v>195</v>
      </c>
      <c r="S5130" t="str">
        <f>"CAIXA MOVIMENTAÇÃO OPERACIONAL (132)"</f>
        <v>CAIXA MOVIMENTAÇÃO OPERACIONAL (132)</v>
      </c>
      <c r="T5130">
        <v>19413</v>
      </c>
      <c r="U5130">
        <v>23427</v>
      </c>
      <c r="V5130" t="s">
        <v>48</v>
      </c>
    </row>
    <row r="5131" spans="1:22">
      <c r="A5131" t="str">
        <f t="shared" si="926"/>
        <v>09/10/2025</v>
      </c>
      <c r="B5131" t="str">
        <f>"SAÍDA"</f>
        <v>SAÍDA</v>
      </c>
      <c r="C5131" t="str">
        <f>"PIX"</f>
        <v>PIX</v>
      </c>
      <c r="D5131" t="str">
        <f>"22806"</f>
        <v>22806</v>
      </c>
      <c r="E5131" t="str">
        <f>"1"</f>
        <v>1</v>
      </c>
      <c r="F5131" t="str">
        <f t="shared" si="925"/>
        <v>COM</v>
      </c>
      <c r="G5131" t="str">
        <f t="shared" si="927"/>
        <v>MAYKON LOPES DE MENEZES (781)</v>
      </c>
      <c r="H5131" t="s">
        <v>1464</v>
      </c>
      <c r="I5131" t="str">
        <f t="shared" si="928"/>
        <v>09/10/2025</v>
      </c>
      <c r="J5131" t="str">
        <f>("06/10/2025")</f>
        <v>06/10/2025</v>
      </c>
      <c r="K5131">
        <v>45939</v>
      </c>
      <c r="N5131">
        <v>109</v>
      </c>
      <c r="O5131" t="s">
        <v>24</v>
      </c>
      <c r="Q5131">
        <v>195</v>
      </c>
      <c r="R5131" t="str">
        <f>"BRASIL FARMA (10173)"</f>
        <v>BRASIL FARMA (10173)</v>
      </c>
      <c r="S5131" t="s">
        <v>48</v>
      </c>
      <c r="T5131">
        <v>19413</v>
      </c>
      <c r="U5131">
        <v>23427</v>
      </c>
      <c r="V5131" t="s">
        <v>48</v>
      </c>
    </row>
    <row r="5132" spans="1:22">
      <c r="A5132" t="str">
        <f t="shared" si="926"/>
        <v>09/10/2025</v>
      </c>
      <c r="B5132" t="str">
        <f>"ENTRADA"</f>
        <v>ENTRADA</v>
      </c>
      <c r="C5132" t="str">
        <f>"DINHEIRO"</f>
        <v>DINHEIRO</v>
      </c>
      <c r="D5132" t="str">
        <f>"1809"</f>
        <v>1809</v>
      </c>
      <c r="E5132" t="str">
        <f>"25"</f>
        <v>25</v>
      </c>
      <c r="F5132" t="str">
        <f t="shared" si="925"/>
        <v>COM</v>
      </c>
      <c r="G5132" t="str">
        <f t="shared" si="927"/>
        <v>MAYKON LOPES DE MENEZES (781)</v>
      </c>
      <c r="H5132" t="str">
        <f>"REEMBOLSO ADIANTAMENTO"</f>
        <v>REEMBOLSO ADIANTAMENTO</v>
      </c>
      <c r="I5132" t="str">
        <f t="shared" si="928"/>
        <v>09/10/2025</v>
      </c>
      <c r="J5132" t="str">
        <f>("11/09/2025")</f>
        <v>11/09/2025</v>
      </c>
      <c r="K5132" t="str">
        <f>("09/10/2025")</f>
        <v>09/10/2025</v>
      </c>
      <c r="L5132">
        <v>175</v>
      </c>
      <c r="M5132">
        <v>175</v>
      </c>
      <c r="N5132">
        <v>129</v>
      </c>
      <c r="O5132" t="str">
        <f>"ENTRADA DE REEMBOLSO ADIANTAMENTO"</f>
        <v>ENTRADA DE REEMBOLSO ADIANTAMENTO</v>
      </c>
      <c r="P5132">
        <v>175</v>
      </c>
      <c r="S5132" t="str">
        <f>"ENTRADA DE REEMBOLSO ADIANTAMENTO (129)"</f>
        <v>ENTRADA DE REEMBOLSO ADIANTAMENTO (129)</v>
      </c>
      <c r="T5132">
        <v>19414</v>
      </c>
      <c r="U5132">
        <v>21854</v>
      </c>
      <c r="V5132" t="s">
        <v>48</v>
      </c>
    </row>
    <row r="5133" spans="1:22">
      <c r="A5133" t="str">
        <f t="shared" si="926"/>
        <v>09/10/2025</v>
      </c>
      <c r="B5133" t="str">
        <f>"ENTRADA"</f>
        <v>ENTRADA</v>
      </c>
      <c r="C5133" t="str">
        <f>"DINHEIRO"</f>
        <v>DINHEIRO</v>
      </c>
      <c r="D5133" t="str">
        <f>"1809"</f>
        <v>1809</v>
      </c>
      <c r="E5133" t="str">
        <f>"25"</f>
        <v>25</v>
      </c>
      <c r="F5133" t="str">
        <f t="shared" si="925"/>
        <v>COM</v>
      </c>
      <c r="G5133" t="str">
        <f t="shared" si="927"/>
        <v>MAYKON LOPES DE MENEZES (781)</v>
      </c>
      <c r="H5133" t="s">
        <v>57</v>
      </c>
      <c r="I5133" t="str">
        <f t="shared" si="928"/>
        <v>09/10/2025</v>
      </c>
      <c r="J5133" t="str">
        <f>("11/09/2025")</f>
        <v>11/09/2025</v>
      </c>
      <c r="K5133">
        <v>45939</v>
      </c>
      <c r="N5133">
        <v>129</v>
      </c>
      <c r="O5133" t="s">
        <v>58</v>
      </c>
      <c r="Q5133">
        <v>175</v>
      </c>
      <c r="R5133" t="str">
        <f>"MAYKON LOPES DE MENEZES (781)"</f>
        <v>MAYKON LOPES DE MENEZES (781)</v>
      </c>
      <c r="S5133" t="s">
        <v>59</v>
      </c>
      <c r="T5133">
        <v>19414</v>
      </c>
      <c r="U5133">
        <v>21854</v>
      </c>
      <c r="V5133" t="s">
        <v>48</v>
      </c>
    </row>
    <row r="5134" spans="1:22">
      <c r="A5134" t="str">
        <f t="shared" si="926"/>
        <v>09/10/2025</v>
      </c>
      <c r="B5134" t="str">
        <f>"SAÍDA"</f>
        <v>SAÍDA</v>
      </c>
      <c r="C5134" t="str">
        <f>"PIX"</f>
        <v>PIX</v>
      </c>
      <c r="D5134" t="str">
        <f>"22617"</f>
        <v>22617</v>
      </c>
      <c r="E5134" t="str">
        <f>"1"</f>
        <v>1</v>
      </c>
      <c r="F5134" t="str">
        <f t="shared" si="925"/>
        <v>COM</v>
      </c>
      <c r="G5134" t="str">
        <f>"MURILO BARRETO AFONSO (30)"</f>
        <v>MURILO BARRETO AFONSO (30)</v>
      </c>
      <c r="H5134" t="str">
        <f>"Serv.Prest. 22/09/2025 a 25/09/2025 - PIX: CPF - CHAVE: 123.020.026-60"</f>
        <v>Serv.Prest. 22/09/2025 a 25/09/2025 - PIX: CPF - CHAVE: 123.020.026-60</v>
      </c>
      <c r="I5134" t="str">
        <f t="shared" si="928"/>
        <v>09/10/2025</v>
      </c>
      <c r="J5134" t="str">
        <f>("26/09/2025")</f>
        <v>26/09/2025</v>
      </c>
      <c r="K5134" t="str">
        <f>("09/10/2025")</f>
        <v>09/10/2025</v>
      </c>
      <c r="L5134">
        <v>20</v>
      </c>
      <c r="M5134">
        <v>20</v>
      </c>
      <c r="N5134">
        <v>109</v>
      </c>
      <c r="O5134" t="str">
        <f>"PAGAMENTO DE ENTREGADORES"</f>
        <v>PAGAMENTO DE ENTREGADORES</v>
      </c>
      <c r="P5134">
        <v>20</v>
      </c>
      <c r="S5134" t="str">
        <f>"CAIXA MOVIMENTAÇÃO OPERACIONAL (132)"</f>
        <v>CAIXA MOVIMENTAÇÃO OPERACIONAL (132)</v>
      </c>
      <c r="T5134">
        <v>19415</v>
      </c>
      <c r="U5134">
        <v>23428</v>
      </c>
      <c r="V5134" t="s">
        <v>48</v>
      </c>
    </row>
    <row r="5135" spans="1:22">
      <c r="A5135" t="str">
        <f t="shared" si="926"/>
        <v>09/10/2025</v>
      </c>
      <c r="B5135" t="str">
        <f>"SAÍDA"</f>
        <v>SAÍDA</v>
      </c>
      <c r="C5135" t="str">
        <f>"PIX"</f>
        <v>PIX</v>
      </c>
      <c r="D5135" t="str">
        <f>"22617"</f>
        <v>22617</v>
      </c>
      <c r="E5135" t="str">
        <f>"1"</f>
        <v>1</v>
      </c>
      <c r="F5135" t="str">
        <f t="shared" si="925"/>
        <v>COM</v>
      </c>
      <c r="G5135" t="str">
        <f>"MURILO BARRETO AFONSO (30)"</f>
        <v>MURILO BARRETO AFONSO (30)</v>
      </c>
      <c r="H5135" t="s">
        <v>1465</v>
      </c>
      <c r="I5135" t="str">
        <f t="shared" si="928"/>
        <v>09/10/2025</v>
      </c>
      <c r="J5135" t="str">
        <f>("26/09/2025")</f>
        <v>26/09/2025</v>
      </c>
      <c r="K5135">
        <v>45939</v>
      </c>
      <c r="N5135">
        <v>109</v>
      </c>
      <c r="O5135" t="s">
        <v>24</v>
      </c>
      <c r="Q5135">
        <v>10.59</v>
      </c>
      <c r="R5135" t="str">
        <f>"FARMÁCIA INDIANA LJ 118 (10052)"</f>
        <v>FARMÁCIA INDIANA LJ 118 (10052)</v>
      </c>
      <c r="S5135" t="s">
        <v>48</v>
      </c>
      <c r="T5135">
        <v>19415</v>
      </c>
      <c r="U5135">
        <v>23428</v>
      </c>
      <c r="V5135" t="s">
        <v>48</v>
      </c>
    </row>
    <row r="5136" spans="1:22">
      <c r="A5136" t="str">
        <f t="shared" si="926"/>
        <v>09/10/2025</v>
      </c>
      <c r="B5136" t="str">
        <f>"SAÍDA"</f>
        <v>SAÍDA</v>
      </c>
      <c r="C5136" t="str">
        <f>"PIX"</f>
        <v>PIX</v>
      </c>
      <c r="D5136" t="str">
        <f>"22617"</f>
        <v>22617</v>
      </c>
      <c r="E5136" t="str">
        <f>"1"</f>
        <v>1</v>
      </c>
      <c r="F5136" t="str">
        <f t="shared" si="925"/>
        <v>COM</v>
      </c>
      <c r="G5136" t="str">
        <f>"MURILO BARRETO AFONSO (30)"</f>
        <v>MURILO BARRETO AFONSO (30)</v>
      </c>
      <c r="H5136" t="s">
        <v>1465</v>
      </c>
      <c r="I5136" t="str">
        <f t="shared" si="928"/>
        <v>09/10/2025</v>
      </c>
      <c r="J5136" t="str">
        <f>("26/09/2025")</f>
        <v>26/09/2025</v>
      </c>
      <c r="K5136">
        <v>45939</v>
      </c>
      <c r="N5136">
        <v>109</v>
      </c>
      <c r="O5136" t="s">
        <v>24</v>
      </c>
      <c r="Q5136">
        <v>9.41</v>
      </c>
      <c r="R5136" t="str">
        <f>"FARMÁCIA INDIANA LJ 192 (10082)"</f>
        <v>FARMÁCIA INDIANA LJ 192 (10082)</v>
      </c>
      <c r="S5136" t="s">
        <v>48</v>
      </c>
      <c r="T5136">
        <v>19415</v>
      </c>
      <c r="U5136">
        <v>23428</v>
      </c>
      <c r="V5136" t="s">
        <v>48</v>
      </c>
    </row>
    <row r="5137" spans="1:22">
      <c r="A5137" t="str">
        <f t="shared" si="926"/>
        <v>09/10/2025</v>
      </c>
      <c r="B5137" t="str">
        <f>"ENTRADA"</f>
        <v>ENTRADA</v>
      </c>
      <c r="C5137" t="str">
        <f>"DINHEIRO"</f>
        <v>DINHEIRO</v>
      </c>
      <c r="D5137" t="str">
        <f>"11"</f>
        <v>11</v>
      </c>
      <c r="E5137" t="str">
        <f>"34"</f>
        <v>34</v>
      </c>
      <c r="F5137" t="str">
        <f t="shared" si="925"/>
        <v>COM</v>
      </c>
      <c r="G5137" t="str">
        <f>"MURILO BARRETO AFONSO (30)"</f>
        <v>MURILO BARRETO AFONSO (30)</v>
      </c>
      <c r="H5137" t="str">
        <f>"DESCONTO COTA COOPERADO"</f>
        <v>DESCONTO COTA COOPERADO</v>
      </c>
      <c r="I5137" t="str">
        <f>("16/10/2025")</f>
        <v>16/10/2025</v>
      </c>
      <c r="J5137" t="str">
        <f>("16/01/2025")</f>
        <v>16/01/2025</v>
      </c>
      <c r="K5137" t="str">
        <f>("09/10/2025")</f>
        <v>09/10/2025</v>
      </c>
      <c r="L5137">
        <v>20</v>
      </c>
      <c r="M5137">
        <v>20</v>
      </c>
      <c r="N5137">
        <v>106</v>
      </c>
      <c r="O5137" t="str">
        <f>"ENTRADA DE CAPITAL"</f>
        <v>ENTRADA DE CAPITAL</v>
      </c>
      <c r="P5137">
        <v>20</v>
      </c>
      <c r="S5137" t="str">
        <f>"ENTRADA DE CAPITAL (106)"</f>
        <v>ENTRADA DE CAPITAL (106)</v>
      </c>
      <c r="T5137">
        <v>19416</v>
      </c>
      <c r="U5137">
        <v>7207</v>
      </c>
      <c r="V5137" t="s">
        <v>48</v>
      </c>
    </row>
    <row r="5138" spans="1:22">
      <c r="A5138" t="str">
        <f t="shared" si="926"/>
        <v>09/10/2025</v>
      </c>
      <c r="B5138" t="str">
        <f>"ENTRADA"</f>
        <v>ENTRADA</v>
      </c>
      <c r="C5138" t="str">
        <f>"DINHEIRO"</f>
        <v>DINHEIRO</v>
      </c>
      <c r="D5138" t="str">
        <f>"11"</f>
        <v>11</v>
      </c>
      <c r="E5138" t="str">
        <f>"34"</f>
        <v>34</v>
      </c>
      <c r="F5138" t="str">
        <f t="shared" si="925"/>
        <v>COM</v>
      </c>
      <c r="G5138" t="str">
        <f>"MURILO BARRETO AFONSO (30)"</f>
        <v>MURILO BARRETO AFONSO (30)</v>
      </c>
      <c r="H5138" t="s">
        <v>309</v>
      </c>
      <c r="I5138" t="str">
        <f>("16/10/2025")</f>
        <v>16/10/2025</v>
      </c>
      <c r="J5138" t="str">
        <f>("16/01/2025")</f>
        <v>16/01/2025</v>
      </c>
      <c r="K5138">
        <v>45939</v>
      </c>
      <c r="N5138">
        <v>106</v>
      </c>
      <c r="O5138" t="s">
        <v>51</v>
      </c>
      <c r="Q5138">
        <v>20</v>
      </c>
      <c r="R5138" t="str">
        <f>"MURILO BARRETO AFONSO (30)"</f>
        <v>MURILO BARRETO AFONSO (30)</v>
      </c>
      <c r="S5138" t="s">
        <v>52</v>
      </c>
      <c r="T5138">
        <v>19416</v>
      </c>
      <c r="U5138">
        <v>7207</v>
      </c>
      <c r="V5138" t="s">
        <v>48</v>
      </c>
    </row>
    <row r="5139" spans="1:22">
      <c r="A5139" t="str">
        <f t="shared" si="926"/>
        <v>09/10/2025</v>
      </c>
      <c r="B5139" t="str">
        <f>"SAÍDA"</f>
        <v>SAÍDA</v>
      </c>
      <c r="C5139" t="str">
        <f>"PIX"</f>
        <v>PIX</v>
      </c>
      <c r="D5139" t="str">
        <f>"22620"</f>
        <v>22620</v>
      </c>
      <c r="E5139" t="str">
        <f>"1"</f>
        <v>1</v>
      </c>
      <c r="F5139" t="str">
        <f t="shared" si="925"/>
        <v>COM</v>
      </c>
      <c r="G5139" t="str">
        <f>"NILTON RODRIGUES DE SOUZA (136)"</f>
        <v>NILTON RODRIGUES DE SOUZA (136)</v>
      </c>
      <c r="H5139" t="str">
        <f>"Serv.Prest. 22/09/2025 a 25/09/2025 - PIX: CPF - CHAVE: 037.974.316-78"</f>
        <v>Serv.Prest. 22/09/2025 a 25/09/2025 - PIX: CPF - CHAVE: 037.974.316-78</v>
      </c>
      <c r="I5139" t="str">
        <f>("09/10/2025")</f>
        <v>09/10/2025</v>
      </c>
      <c r="J5139" t="str">
        <f>("26/09/2025")</f>
        <v>26/09/2025</v>
      </c>
      <c r="K5139" t="str">
        <f>("09/10/2025")</f>
        <v>09/10/2025</v>
      </c>
      <c r="L5139">
        <v>20</v>
      </c>
      <c r="M5139">
        <v>20</v>
      </c>
      <c r="N5139">
        <v>109</v>
      </c>
      <c r="O5139" t="str">
        <f>"PAGAMENTO DE ENTREGADORES"</f>
        <v>PAGAMENTO DE ENTREGADORES</v>
      </c>
      <c r="P5139">
        <v>20</v>
      </c>
      <c r="S5139" t="str">
        <f>"CAIXA MOVIMENTAÇÃO OPERACIONAL (132)"</f>
        <v>CAIXA MOVIMENTAÇÃO OPERACIONAL (132)</v>
      </c>
      <c r="T5139">
        <v>19417</v>
      </c>
      <c r="U5139">
        <v>23429</v>
      </c>
      <c r="V5139" t="s">
        <v>48</v>
      </c>
    </row>
    <row r="5140" spans="1:22">
      <c r="A5140" t="str">
        <f t="shared" si="926"/>
        <v>09/10/2025</v>
      </c>
      <c r="B5140" t="str">
        <f>"SAÍDA"</f>
        <v>SAÍDA</v>
      </c>
      <c r="C5140" t="str">
        <f>"PIX"</f>
        <v>PIX</v>
      </c>
      <c r="D5140" t="str">
        <f>"22620"</f>
        <v>22620</v>
      </c>
      <c r="E5140" t="str">
        <f>"1"</f>
        <v>1</v>
      </c>
      <c r="F5140" t="str">
        <f t="shared" si="925"/>
        <v>COM</v>
      </c>
      <c r="G5140" t="str">
        <f>"NILTON RODRIGUES DE SOUZA (136)"</f>
        <v>NILTON RODRIGUES DE SOUZA (136)</v>
      </c>
      <c r="H5140" t="s">
        <v>1466</v>
      </c>
      <c r="I5140" t="str">
        <f>("09/10/2025")</f>
        <v>09/10/2025</v>
      </c>
      <c r="J5140" t="str">
        <f>("26/09/2025")</f>
        <v>26/09/2025</v>
      </c>
      <c r="K5140">
        <v>45939</v>
      </c>
      <c r="N5140">
        <v>109</v>
      </c>
      <c r="O5140" t="s">
        <v>24</v>
      </c>
      <c r="Q5140">
        <v>20</v>
      </c>
      <c r="R5140" t="str">
        <f>"FARMÁCIA INDIANA LJ 18 (10011)"</f>
        <v>FARMÁCIA INDIANA LJ 18 (10011)</v>
      </c>
      <c r="S5140" t="s">
        <v>48</v>
      </c>
      <c r="T5140">
        <v>19417</v>
      </c>
      <c r="U5140">
        <v>23429</v>
      </c>
      <c r="V5140" t="s">
        <v>48</v>
      </c>
    </row>
    <row r="5141" spans="1:22">
      <c r="A5141" t="str">
        <f t="shared" si="926"/>
        <v>09/10/2025</v>
      </c>
      <c r="B5141" t="str">
        <f>"ENTRADA"</f>
        <v>ENTRADA</v>
      </c>
      <c r="C5141" t="str">
        <f>"DINHEIRO"</f>
        <v>DINHEIRO</v>
      </c>
      <c r="D5141" t="str">
        <f>"16"</f>
        <v>16</v>
      </c>
      <c r="E5141" t="str">
        <f>"34"</f>
        <v>34</v>
      </c>
      <c r="F5141" t="str">
        <f t="shared" si="925"/>
        <v>COM</v>
      </c>
      <c r="G5141" t="str">
        <f>"NILTON RODRIGUES DE SOUZA (136)"</f>
        <v>NILTON RODRIGUES DE SOUZA (136)</v>
      </c>
      <c r="H5141" t="str">
        <f>"DESCONTO COTA COOPERADO"</f>
        <v>DESCONTO COTA COOPERADO</v>
      </c>
      <c r="I5141" t="str">
        <f>("16/10/2025")</f>
        <v>16/10/2025</v>
      </c>
      <c r="J5141" t="str">
        <f>("16/01/2025")</f>
        <v>16/01/2025</v>
      </c>
      <c r="K5141" t="str">
        <f>("09/10/2025")</f>
        <v>09/10/2025</v>
      </c>
      <c r="L5141">
        <v>20</v>
      </c>
      <c r="M5141">
        <v>20</v>
      </c>
      <c r="N5141">
        <v>106</v>
      </c>
      <c r="O5141" t="str">
        <f>"ENTRADA DE CAPITAL"</f>
        <v>ENTRADA DE CAPITAL</v>
      </c>
      <c r="P5141">
        <v>20</v>
      </c>
      <c r="S5141" t="str">
        <f>"ENTRADA DE CAPITAL (106)"</f>
        <v>ENTRADA DE CAPITAL (106)</v>
      </c>
      <c r="T5141">
        <v>19418</v>
      </c>
      <c r="U5141">
        <v>7230</v>
      </c>
      <c r="V5141" t="s">
        <v>48</v>
      </c>
    </row>
    <row r="5142" spans="1:22">
      <c r="A5142" t="str">
        <f t="shared" si="926"/>
        <v>09/10/2025</v>
      </c>
      <c r="B5142" t="str">
        <f>"ENTRADA"</f>
        <v>ENTRADA</v>
      </c>
      <c r="C5142" t="str">
        <f>"DINHEIRO"</f>
        <v>DINHEIRO</v>
      </c>
      <c r="D5142" t="str">
        <f>"16"</f>
        <v>16</v>
      </c>
      <c r="E5142" t="str">
        <f>"34"</f>
        <v>34</v>
      </c>
      <c r="F5142" t="str">
        <f t="shared" si="925"/>
        <v>COM</v>
      </c>
      <c r="G5142" t="str">
        <f>"NILTON RODRIGUES DE SOUZA (136)"</f>
        <v>NILTON RODRIGUES DE SOUZA (136)</v>
      </c>
      <c r="H5142" t="s">
        <v>309</v>
      </c>
      <c r="I5142" t="str">
        <f>("16/10/2025")</f>
        <v>16/10/2025</v>
      </c>
      <c r="J5142" t="str">
        <f>("16/01/2025")</f>
        <v>16/01/2025</v>
      </c>
      <c r="K5142">
        <v>45939</v>
      </c>
      <c r="N5142">
        <v>106</v>
      </c>
      <c r="O5142" t="s">
        <v>51</v>
      </c>
      <c r="Q5142">
        <v>20</v>
      </c>
      <c r="R5142" t="str">
        <f>"NILTON RODRIGUES DE SOUZA (136)"</f>
        <v>NILTON RODRIGUES DE SOUZA (136)</v>
      </c>
      <c r="S5142" t="s">
        <v>52</v>
      </c>
      <c r="T5142">
        <v>19418</v>
      </c>
      <c r="U5142">
        <v>7230</v>
      </c>
      <c r="V5142" t="s">
        <v>48</v>
      </c>
    </row>
    <row r="5143" spans="1:22">
      <c r="A5143" t="str">
        <f t="shared" si="926"/>
        <v>09/10/2025</v>
      </c>
      <c r="B5143" t="str">
        <f>"SAÍDA"</f>
        <v>SAÍDA</v>
      </c>
      <c r="C5143" t="str">
        <f>"PIX"</f>
        <v>PIX</v>
      </c>
      <c r="D5143" t="str">
        <f>"22544"</f>
        <v>22544</v>
      </c>
      <c r="E5143" t="str">
        <f>"1"</f>
        <v>1</v>
      </c>
      <c r="F5143" t="str">
        <f t="shared" si="925"/>
        <v>COM</v>
      </c>
      <c r="G5143" t="str">
        <f>"OSVALDO DOS SANTOS (163)"</f>
        <v>OSVALDO DOS SANTOS (163)</v>
      </c>
      <c r="H5143" t="str">
        <f>"Serv.Prest. 22/09/2025 a 25/09/2025 - PIX: CELULAR - CHAVE: (73) 99977-2721"</f>
        <v>Serv.Prest. 22/09/2025 a 25/09/2025 - PIX: CELULAR - CHAVE: (73) 99977-2721</v>
      </c>
      <c r="I5143" t="str">
        <f>("09/10/2025")</f>
        <v>09/10/2025</v>
      </c>
      <c r="J5143" t="str">
        <f>("26/09/2025")</f>
        <v>26/09/2025</v>
      </c>
      <c r="K5143" t="str">
        <f>("09/10/2025")</f>
        <v>09/10/2025</v>
      </c>
      <c r="L5143">
        <v>20</v>
      </c>
      <c r="M5143">
        <v>20</v>
      </c>
      <c r="N5143">
        <v>109</v>
      </c>
      <c r="O5143" t="str">
        <f>"PAGAMENTO DE ENTREGADORES"</f>
        <v>PAGAMENTO DE ENTREGADORES</v>
      </c>
      <c r="P5143">
        <v>20</v>
      </c>
      <c r="S5143" t="str">
        <f>"CAIXA MOVIMENTAÇÃO OPERACIONAL (132)"</f>
        <v>CAIXA MOVIMENTAÇÃO OPERACIONAL (132)</v>
      </c>
      <c r="T5143">
        <v>19419</v>
      </c>
      <c r="U5143">
        <v>23430</v>
      </c>
      <c r="V5143" t="s">
        <v>48</v>
      </c>
    </row>
    <row r="5144" spans="1:22">
      <c r="A5144" t="str">
        <f t="shared" si="926"/>
        <v>09/10/2025</v>
      </c>
      <c r="B5144" t="str">
        <f>"SAÍDA"</f>
        <v>SAÍDA</v>
      </c>
      <c r="C5144" t="str">
        <f>"PIX"</f>
        <v>PIX</v>
      </c>
      <c r="D5144" t="str">
        <f>"22544"</f>
        <v>22544</v>
      </c>
      <c r="E5144" t="str">
        <f>"1"</f>
        <v>1</v>
      </c>
      <c r="F5144" t="str">
        <f t="shared" si="925"/>
        <v>COM</v>
      </c>
      <c r="G5144" t="str">
        <f>"OSVALDO DOS SANTOS (163)"</f>
        <v>OSVALDO DOS SANTOS (163)</v>
      </c>
      <c r="H5144" t="s">
        <v>1467</v>
      </c>
      <c r="I5144" t="str">
        <f>("09/10/2025")</f>
        <v>09/10/2025</v>
      </c>
      <c r="J5144" t="str">
        <f>("26/09/2025")</f>
        <v>26/09/2025</v>
      </c>
      <c r="K5144">
        <v>45939</v>
      </c>
      <c r="N5144">
        <v>109</v>
      </c>
      <c r="O5144" t="s">
        <v>24</v>
      </c>
      <c r="Q5144">
        <v>20</v>
      </c>
      <c r="R5144" t="str">
        <f>"FARMÁCIA INDIANA LJ 35 (10015)"</f>
        <v>FARMÁCIA INDIANA LJ 35 (10015)</v>
      </c>
      <c r="S5144" t="s">
        <v>48</v>
      </c>
      <c r="T5144">
        <v>19419</v>
      </c>
      <c r="U5144">
        <v>23430</v>
      </c>
      <c r="V5144" t="s">
        <v>48</v>
      </c>
    </row>
    <row r="5145" spans="1:22">
      <c r="A5145" t="str">
        <f t="shared" si="926"/>
        <v>09/10/2025</v>
      </c>
      <c r="B5145" t="str">
        <f>"ENTRADA"</f>
        <v>ENTRADA</v>
      </c>
      <c r="C5145" t="str">
        <f>"DINHEIRO"</f>
        <v>DINHEIRO</v>
      </c>
      <c r="D5145" t="str">
        <f>"09"</f>
        <v>09</v>
      </c>
      <c r="E5145" t="str">
        <f>"34"</f>
        <v>34</v>
      </c>
      <c r="F5145" t="str">
        <f t="shared" si="925"/>
        <v>COM</v>
      </c>
      <c r="G5145" t="str">
        <f>"OSVALDO DOS SANTOS (163)"</f>
        <v>OSVALDO DOS SANTOS (163)</v>
      </c>
      <c r="H5145" t="str">
        <f>"DESCONTO COTA COOPERADO"</f>
        <v>DESCONTO COTA COOPERADO</v>
      </c>
      <c r="I5145" t="str">
        <f>("16/10/2025")</f>
        <v>16/10/2025</v>
      </c>
      <c r="J5145" t="str">
        <f>("16/01/2025")</f>
        <v>16/01/2025</v>
      </c>
      <c r="K5145" t="str">
        <f>("09/10/2025")</f>
        <v>09/10/2025</v>
      </c>
      <c r="L5145">
        <v>20</v>
      </c>
      <c r="M5145">
        <v>20</v>
      </c>
      <c r="N5145">
        <v>106</v>
      </c>
      <c r="O5145" t="str">
        <f>"ENTRADA DE CAPITAL"</f>
        <v>ENTRADA DE CAPITAL</v>
      </c>
      <c r="P5145">
        <v>20</v>
      </c>
      <c r="S5145" t="str">
        <f>"ENTRADA DE CAPITAL (106)"</f>
        <v>ENTRADA DE CAPITAL (106)</v>
      </c>
      <c r="T5145">
        <v>19420</v>
      </c>
      <c r="U5145">
        <v>7241</v>
      </c>
      <c r="V5145" t="s">
        <v>48</v>
      </c>
    </row>
    <row r="5146" spans="1:22">
      <c r="A5146" t="str">
        <f t="shared" si="926"/>
        <v>09/10/2025</v>
      </c>
      <c r="B5146" t="str">
        <f>"ENTRADA"</f>
        <v>ENTRADA</v>
      </c>
      <c r="C5146" t="str">
        <f>"DINHEIRO"</f>
        <v>DINHEIRO</v>
      </c>
      <c r="D5146" t="str">
        <f>"09"</f>
        <v>09</v>
      </c>
      <c r="E5146" t="str">
        <f>"34"</f>
        <v>34</v>
      </c>
      <c r="F5146" t="str">
        <f t="shared" si="925"/>
        <v>COM</v>
      </c>
      <c r="G5146" t="str">
        <f>"OSVALDO DOS SANTOS (163)"</f>
        <v>OSVALDO DOS SANTOS (163)</v>
      </c>
      <c r="H5146" t="s">
        <v>309</v>
      </c>
      <c r="I5146" t="str">
        <f>("16/10/2025")</f>
        <v>16/10/2025</v>
      </c>
      <c r="J5146" t="str">
        <f>("16/01/2025")</f>
        <v>16/01/2025</v>
      </c>
      <c r="K5146">
        <v>45939</v>
      </c>
      <c r="N5146">
        <v>106</v>
      </c>
      <c r="O5146" t="s">
        <v>51</v>
      </c>
      <c r="Q5146">
        <v>20</v>
      </c>
      <c r="R5146" t="str">
        <f>"OSVALDO DOS SANTOS (163)"</f>
        <v>OSVALDO DOS SANTOS (163)</v>
      </c>
      <c r="S5146" t="s">
        <v>52</v>
      </c>
      <c r="T5146">
        <v>19420</v>
      </c>
      <c r="U5146">
        <v>7241</v>
      </c>
      <c r="V5146" t="s">
        <v>48</v>
      </c>
    </row>
    <row r="5147" spans="1:22">
      <c r="A5147" t="str">
        <f t="shared" si="926"/>
        <v>09/10/2025</v>
      </c>
      <c r="B5147" t="str">
        <f>"SAÍDA"</f>
        <v>SAÍDA</v>
      </c>
      <c r="C5147" t="str">
        <f>"PIX"</f>
        <v>PIX</v>
      </c>
      <c r="D5147" t="str">
        <f>"22621"</f>
        <v>22621</v>
      </c>
      <c r="E5147" t="str">
        <f>"1"</f>
        <v>1</v>
      </c>
      <c r="F5147" t="str">
        <f t="shared" si="925"/>
        <v>COM</v>
      </c>
      <c r="G5147" t="str">
        <f>"PATRICK DE SOUZA CORREA (92)"</f>
        <v>PATRICK DE SOUZA CORREA (92)</v>
      </c>
      <c r="H5147" t="str">
        <f>"Serv.Prest. 22/09/2025 a 25/09/2025 - PIX: CELULAR - CHAVE: (31) 99216-8711"</f>
        <v>Serv.Prest. 22/09/2025 a 25/09/2025 - PIX: CELULAR - CHAVE: (31) 99216-8711</v>
      </c>
      <c r="I5147" t="str">
        <f>("09/10/2025")</f>
        <v>09/10/2025</v>
      </c>
      <c r="J5147" t="str">
        <f>("26/09/2025")</f>
        <v>26/09/2025</v>
      </c>
      <c r="K5147" t="str">
        <f>("09/10/2025")</f>
        <v>09/10/2025</v>
      </c>
      <c r="L5147">
        <v>20</v>
      </c>
      <c r="M5147">
        <v>20</v>
      </c>
      <c r="N5147">
        <v>109</v>
      </c>
      <c r="O5147" t="str">
        <f>"PAGAMENTO DE ENTREGADORES"</f>
        <v>PAGAMENTO DE ENTREGADORES</v>
      </c>
      <c r="P5147">
        <v>20</v>
      </c>
      <c r="S5147" t="str">
        <f>"CAIXA MOVIMENTAÇÃO OPERACIONAL (132)"</f>
        <v>CAIXA MOVIMENTAÇÃO OPERACIONAL (132)</v>
      </c>
      <c r="T5147">
        <v>19421</v>
      </c>
      <c r="U5147">
        <v>23431</v>
      </c>
      <c r="V5147" t="s">
        <v>48</v>
      </c>
    </row>
    <row r="5148" spans="1:22">
      <c r="A5148" t="str">
        <f t="shared" si="926"/>
        <v>09/10/2025</v>
      </c>
      <c r="B5148" t="str">
        <f>"SAÍDA"</f>
        <v>SAÍDA</v>
      </c>
      <c r="C5148" t="str">
        <f>"PIX"</f>
        <v>PIX</v>
      </c>
      <c r="D5148" t="str">
        <f>"22621"</f>
        <v>22621</v>
      </c>
      <c r="E5148" t="str">
        <f>"1"</f>
        <v>1</v>
      </c>
      <c r="F5148" t="str">
        <f t="shared" si="925"/>
        <v>COM</v>
      </c>
      <c r="G5148" t="str">
        <f>"PATRICK DE SOUZA CORREA (92)"</f>
        <v>PATRICK DE SOUZA CORREA (92)</v>
      </c>
      <c r="H5148" t="s">
        <v>1468</v>
      </c>
      <c r="I5148" t="str">
        <f>("09/10/2025")</f>
        <v>09/10/2025</v>
      </c>
      <c r="J5148" t="str">
        <f>("26/09/2025")</f>
        <v>26/09/2025</v>
      </c>
      <c r="K5148">
        <v>45939</v>
      </c>
      <c r="N5148">
        <v>109</v>
      </c>
      <c r="O5148" t="s">
        <v>24</v>
      </c>
      <c r="Q5148">
        <v>13.33</v>
      </c>
      <c r="R5148" t="str">
        <f>"FARMÁCIA INDIANA LJ 184 (10080)"</f>
        <v>FARMÁCIA INDIANA LJ 184 (10080)</v>
      </c>
      <c r="S5148" t="s">
        <v>48</v>
      </c>
      <c r="T5148">
        <v>19421</v>
      </c>
      <c r="U5148">
        <v>23431</v>
      </c>
      <c r="V5148" t="s">
        <v>48</v>
      </c>
    </row>
    <row r="5149" spans="1:22">
      <c r="A5149" t="str">
        <f t="shared" si="926"/>
        <v>09/10/2025</v>
      </c>
      <c r="B5149" t="str">
        <f>"SAÍDA"</f>
        <v>SAÍDA</v>
      </c>
      <c r="C5149" t="str">
        <f>"PIX"</f>
        <v>PIX</v>
      </c>
      <c r="D5149" t="str">
        <f>"22621"</f>
        <v>22621</v>
      </c>
      <c r="E5149" t="str">
        <f>"1"</f>
        <v>1</v>
      </c>
      <c r="F5149" t="str">
        <f t="shared" si="925"/>
        <v>COM</v>
      </c>
      <c r="G5149" t="str">
        <f>"PATRICK DE SOUZA CORREA (92)"</f>
        <v>PATRICK DE SOUZA CORREA (92)</v>
      </c>
      <c r="H5149" t="s">
        <v>1468</v>
      </c>
      <c r="I5149" t="str">
        <f>("09/10/2025")</f>
        <v>09/10/2025</v>
      </c>
      <c r="J5149" t="str">
        <f>("26/09/2025")</f>
        <v>26/09/2025</v>
      </c>
      <c r="K5149">
        <v>45939</v>
      </c>
      <c r="N5149">
        <v>109</v>
      </c>
      <c r="O5149" t="s">
        <v>24</v>
      </c>
      <c r="Q5149">
        <v>6.67</v>
      </c>
      <c r="R5149" t="str">
        <f>"FARMÁCIA INDIANA LJ 195 (10083)"</f>
        <v>FARMÁCIA INDIANA LJ 195 (10083)</v>
      </c>
      <c r="S5149" t="s">
        <v>48</v>
      </c>
      <c r="T5149">
        <v>19421</v>
      </c>
      <c r="U5149">
        <v>23431</v>
      </c>
      <c r="V5149" t="s">
        <v>48</v>
      </c>
    </row>
    <row r="5150" spans="1:22">
      <c r="A5150" t="str">
        <f t="shared" si="926"/>
        <v>09/10/2025</v>
      </c>
      <c r="B5150" t="str">
        <f>"ENTRADA"</f>
        <v>ENTRADA</v>
      </c>
      <c r="C5150" t="str">
        <f>"DINHEIRO"</f>
        <v>DINHEIRO</v>
      </c>
      <c r="D5150" t="str">
        <f>"14"</f>
        <v>14</v>
      </c>
      <c r="E5150" t="str">
        <f>"34"</f>
        <v>34</v>
      </c>
      <c r="F5150" t="str">
        <f t="shared" si="925"/>
        <v>COM</v>
      </c>
      <c r="G5150" t="str">
        <f>"PATRICK DE SOUZA CORREA (92)"</f>
        <v>PATRICK DE SOUZA CORREA (92)</v>
      </c>
      <c r="H5150" t="str">
        <f>"DESCONTO COTA COOPERADO"</f>
        <v>DESCONTO COTA COOPERADO</v>
      </c>
      <c r="I5150" t="str">
        <f>("16/10/2025")</f>
        <v>16/10/2025</v>
      </c>
      <c r="J5150" t="str">
        <f>("16/01/2025")</f>
        <v>16/01/2025</v>
      </c>
      <c r="K5150" t="str">
        <f>("09/10/2025")</f>
        <v>09/10/2025</v>
      </c>
      <c r="L5150">
        <v>20</v>
      </c>
      <c r="M5150">
        <v>20</v>
      </c>
      <c r="N5150">
        <v>106</v>
      </c>
      <c r="O5150" t="str">
        <f>"ENTRADA DE CAPITAL"</f>
        <v>ENTRADA DE CAPITAL</v>
      </c>
      <c r="P5150">
        <v>20</v>
      </c>
      <c r="S5150" t="str">
        <f>"ENTRADA DE CAPITAL (106)"</f>
        <v>ENTRADA DE CAPITAL (106)</v>
      </c>
      <c r="T5150">
        <v>19422</v>
      </c>
      <c r="U5150">
        <v>7259</v>
      </c>
      <c r="V5150" t="s">
        <v>48</v>
      </c>
    </row>
    <row r="5151" spans="1:22">
      <c r="A5151" t="str">
        <f t="shared" si="926"/>
        <v>09/10/2025</v>
      </c>
      <c r="B5151" t="str">
        <f>"ENTRADA"</f>
        <v>ENTRADA</v>
      </c>
      <c r="C5151" t="str">
        <f>"DINHEIRO"</f>
        <v>DINHEIRO</v>
      </c>
      <c r="D5151" t="str">
        <f>"14"</f>
        <v>14</v>
      </c>
      <c r="E5151" t="str">
        <f>"34"</f>
        <v>34</v>
      </c>
      <c r="F5151" t="str">
        <f t="shared" si="925"/>
        <v>COM</v>
      </c>
      <c r="G5151" t="str">
        <f>"PATRICK DE SOUZA CORREA (92)"</f>
        <v>PATRICK DE SOUZA CORREA (92)</v>
      </c>
      <c r="H5151" t="s">
        <v>309</v>
      </c>
      <c r="I5151" t="str">
        <f>("16/10/2025")</f>
        <v>16/10/2025</v>
      </c>
      <c r="J5151" t="str">
        <f>("16/01/2025")</f>
        <v>16/01/2025</v>
      </c>
      <c r="K5151">
        <v>45939</v>
      </c>
      <c r="N5151">
        <v>106</v>
      </c>
      <c r="O5151" t="s">
        <v>51</v>
      </c>
      <c r="Q5151">
        <v>20</v>
      </c>
      <c r="R5151" t="str">
        <f>"PATRICK DE SOUZA CORREA (92)"</f>
        <v>PATRICK DE SOUZA CORREA (92)</v>
      </c>
      <c r="S5151" t="s">
        <v>52</v>
      </c>
      <c r="T5151">
        <v>19422</v>
      </c>
      <c r="U5151">
        <v>7259</v>
      </c>
      <c r="V5151" t="s">
        <v>48</v>
      </c>
    </row>
    <row r="5152" spans="1:22">
      <c r="A5152" t="str">
        <f t="shared" si="926"/>
        <v>09/10/2025</v>
      </c>
      <c r="B5152" t="str">
        <f>"SAÍDA"</f>
        <v>SAÍDA</v>
      </c>
      <c r="C5152" t="str">
        <f>"PIX"</f>
        <v>PIX</v>
      </c>
      <c r="D5152" t="str">
        <f>"22864"</f>
        <v>22864</v>
      </c>
      <c r="E5152" t="str">
        <f>"1"</f>
        <v>1</v>
      </c>
      <c r="F5152" t="str">
        <f t="shared" si="925"/>
        <v>COM</v>
      </c>
      <c r="G5152" t="str">
        <f>"PAULO CESAR DE FARIA (865)"</f>
        <v>PAULO CESAR DE FARIA (865)</v>
      </c>
      <c r="H5152" t="str">
        <f>"Serv.Prest. 29/09/2025 a 05/10/2025 - PIX: CELULAR - CHAVE: (11) 99992-0816"</f>
        <v>Serv.Prest. 29/09/2025 a 05/10/2025 - PIX: CELULAR - CHAVE: (11) 99992-0816</v>
      </c>
      <c r="I5152" t="str">
        <f>("09/10/2025")</f>
        <v>09/10/2025</v>
      </c>
      <c r="J5152" t="str">
        <f>("06/10/2025")</f>
        <v>06/10/2025</v>
      </c>
      <c r="K5152" t="str">
        <f>("09/10/2025")</f>
        <v>09/10/2025</v>
      </c>
      <c r="L5152">
        <v>20</v>
      </c>
      <c r="M5152">
        <v>20</v>
      </c>
      <c r="N5152">
        <v>109</v>
      </c>
      <c r="O5152" t="str">
        <f>"PAGAMENTO DE ENTREGADORES"</f>
        <v>PAGAMENTO DE ENTREGADORES</v>
      </c>
      <c r="P5152">
        <v>20</v>
      </c>
      <c r="S5152" t="str">
        <f>"CAIXA MOVIMENTAÇÃO OPERACIONAL (132)"</f>
        <v>CAIXA MOVIMENTAÇÃO OPERACIONAL (132)</v>
      </c>
      <c r="T5152">
        <v>19423</v>
      </c>
      <c r="U5152">
        <v>23432</v>
      </c>
      <c r="V5152" t="s">
        <v>48</v>
      </c>
    </row>
    <row r="5153" spans="1:22">
      <c r="A5153" t="str">
        <f t="shared" si="926"/>
        <v>09/10/2025</v>
      </c>
      <c r="B5153" t="str">
        <f>"SAÍDA"</f>
        <v>SAÍDA</v>
      </c>
      <c r="C5153" t="str">
        <f>"PIX"</f>
        <v>PIX</v>
      </c>
      <c r="D5153" t="str">
        <f>"22864"</f>
        <v>22864</v>
      </c>
      <c r="E5153" t="str">
        <f>"1"</f>
        <v>1</v>
      </c>
      <c r="F5153" t="str">
        <f t="shared" si="925"/>
        <v>COM</v>
      </c>
      <c r="G5153" t="str">
        <f>"PAULO CESAR DE FARIA (865)"</f>
        <v>PAULO CESAR DE FARIA (865)</v>
      </c>
      <c r="H5153" t="s">
        <v>1469</v>
      </c>
      <c r="I5153" t="str">
        <f>("09/10/2025")</f>
        <v>09/10/2025</v>
      </c>
      <c r="J5153" t="str">
        <f>("06/10/2025")</f>
        <v>06/10/2025</v>
      </c>
      <c r="K5153">
        <v>45939</v>
      </c>
      <c r="N5153">
        <v>109</v>
      </c>
      <c r="O5153" t="s">
        <v>24</v>
      </c>
      <c r="Q5153">
        <v>20</v>
      </c>
      <c r="R5153" t="str">
        <f>"DROGARIA MORENO LTDA (10171)"</f>
        <v>DROGARIA MORENO LTDA (10171)</v>
      </c>
      <c r="S5153" t="s">
        <v>48</v>
      </c>
      <c r="T5153">
        <v>19423</v>
      </c>
      <c r="U5153">
        <v>23432</v>
      </c>
      <c r="V5153" t="s">
        <v>48</v>
      </c>
    </row>
    <row r="5154" spans="1:22">
      <c r="A5154" t="str">
        <f t="shared" si="926"/>
        <v>09/10/2025</v>
      </c>
      <c r="B5154" t="str">
        <f>"ENTRADA"</f>
        <v>ENTRADA</v>
      </c>
      <c r="C5154" t="str">
        <f>"DINHEIRO"</f>
        <v>DINHEIRO</v>
      </c>
      <c r="D5154" t="str">
        <f>"865"</f>
        <v>865</v>
      </c>
      <c r="E5154" t="str">
        <f>"4"</f>
        <v>4</v>
      </c>
      <c r="F5154" t="str">
        <f t="shared" si="925"/>
        <v>COM</v>
      </c>
      <c r="G5154" t="str">
        <f>"PAULO CESAR DE FARIA (865)"</f>
        <v>PAULO CESAR DE FARIA (865)</v>
      </c>
      <c r="H5154" t="str">
        <f>"COTA COOPERATIVA"</f>
        <v>COTA COOPERATIVA</v>
      </c>
      <c r="I5154" t="str">
        <f>("10/10/2025")</f>
        <v>10/10/2025</v>
      </c>
      <c r="J5154" t="str">
        <f>("30/06/2025")</f>
        <v>30/06/2025</v>
      </c>
      <c r="K5154" t="str">
        <f>("09/10/2025")</f>
        <v>09/10/2025</v>
      </c>
      <c r="L5154">
        <v>20</v>
      </c>
      <c r="M5154">
        <v>20</v>
      </c>
      <c r="N5154">
        <v>106</v>
      </c>
      <c r="O5154" t="str">
        <f>"ENTRADA DE CAPITAL"</f>
        <v>ENTRADA DE CAPITAL</v>
      </c>
      <c r="P5154">
        <v>20</v>
      </c>
      <c r="S5154" t="str">
        <f>"ENTRADA DE CAPITAL (106)"</f>
        <v>ENTRADA DE CAPITAL (106)</v>
      </c>
      <c r="T5154">
        <v>19424</v>
      </c>
      <c r="U5154">
        <v>18278</v>
      </c>
      <c r="V5154" t="s">
        <v>48</v>
      </c>
    </row>
    <row r="5155" spans="1:22">
      <c r="A5155" t="str">
        <f t="shared" si="926"/>
        <v>09/10/2025</v>
      </c>
      <c r="B5155" t="str">
        <f>"ENTRADA"</f>
        <v>ENTRADA</v>
      </c>
      <c r="C5155" t="str">
        <f>"DINHEIRO"</f>
        <v>DINHEIRO</v>
      </c>
      <c r="D5155" t="str">
        <f>"865"</f>
        <v>865</v>
      </c>
      <c r="E5155" t="str">
        <f>"4"</f>
        <v>4</v>
      </c>
      <c r="F5155" t="str">
        <f t="shared" si="925"/>
        <v>COM</v>
      </c>
      <c r="G5155" t="str">
        <f>"PAULO CESAR DE FARIA (865)"</f>
        <v>PAULO CESAR DE FARIA (865)</v>
      </c>
      <c r="H5155" t="s">
        <v>50</v>
      </c>
      <c r="I5155" t="str">
        <f>("10/10/2025")</f>
        <v>10/10/2025</v>
      </c>
      <c r="J5155" t="str">
        <f>("30/06/2025")</f>
        <v>30/06/2025</v>
      </c>
      <c r="K5155">
        <v>45939</v>
      </c>
      <c r="N5155">
        <v>106</v>
      </c>
      <c r="O5155" t="s">
        <v>51</v>
      </c>
      <c r="Q5155">
        <v>20</v>
      </c>
      <c r="R5155" t="str">
        <f>"PAULO CESAR DE FARIA (865)"</f>
        <v>PAULO CESAR DE FARIA (865)</v>
      </c>
      <c r="S5155" t="s">
        <v>52</v>
      </c>
      <c r="T5155">
        <v>19424</v>
      </c>
      <c r="U5155">
        <v>18278</v>
      </c>
      <c r="V5155" t="s">
        <v>48</v>
      </c>
    </row>
    <row r="5156" spans="1:22">
      <c r="A5156" t="str">
        <f t="shared" si="926"/>
        <v>09/10/2025</v>
      </c>
      <c r="B5156" t="str">
        <f>"SAÍDA"</f>
        <v>SAÍDA</v>
      </c>
      <c r="C5156" t="str">
        <f>"PIX"</f>
        <v>PIX</v>
      </c>
      <c r="D5156" t="str">
        <f>"22623"</f>
        <v>22623</v>
      </c>
      <c r="E5156" t="str">
        <f>"1"</f>
        <v>1</v>
      </c>
      <c r="F5156" t="str">
        <f t="shared" si="925"/>
        <v>COM</v>
      </c>
      <c r="G5156" t="str">
        <f>"PAULO MARCOS FARIA DE SOUZA L (233)"</f>
        <v>PAULO MARCOS FARIA DE SOUZA L (233)</v>
      </c>
      <c r="H5156" t="str">
        <f>"Serv.Prest. 22/09/2025 a 25/09/2025 - PIX: CELULAR - CHAVE: (35) 99264-4504"</f>
        <v>Serv.Prest. 22/09/2025 a 25/09/2025 - PIX: CELULAR - CHAVE: (35) 99264-4504</v>
      </c>
      <c r="I5156" t="str">
        <f>("09/10/2025")</f>
        <v>09/10/2025</v>
      </c>
      <c r="J5156" t="str">
        <f>("26/09/2025")</f>
        <v>26/09/2025</v>
      </c>
      <c r="K5156" t="str">
        <f>("09/10/2025")</f>
        <v>09/10/2025</v>
      </c>
      <c r="L5156">
        <v>20</v>
      </c>
      <c r="M5156">
        <v>20</v>
      </c>
      <c r="N5156">
        <v>109</v>
      </c>
      <c r="O5156" t="str">
        <f>"PAGAMENTO DE ENTREGADORES"</f>
        <v>PAGAMENTO DE ENTREGADORES</v>
      </c>
      <c r="P5156">
        <v>20</v>
      </c>
      <c r="S5156" t="str">
        <f>"CAIXA MOVIMENTAÇÃO OPERACIONAL (132)"</f>
        <v>CAIXA MOVIMENTAÇÃO OPERACIONAL (132)</v>
      </c>
      <c r="T5156">
        <v>19425</v>
      </c>
      <c r="U5156">
        <v>23433</v>
      </c>
      <c r="V5156" t="s">
        <v>48</v>
      </c>
    </row>
    <row r="5157" spans="1:22">
      <c r="A5157" t="str">
        <f t="shared" si="926"/>
        <v>09/10/2025</v>
      </c>
      <c r="B5157" t="str">
        <f>"SAÍDA"</f>
        <v>SAÍDA</v>
      </c>
      <c r="C5157" t="str">
        <f>"PIX"</f>
        <v>PIX</v>
      </c>
      <c r="D5157" t="str">
        <f>"22623"</f>
        <v>22623</v>
      </c>
      <c r="E5157" t="str">
        <f>"1"</f>
        <v>1</v>
      </c>
      <c r="F5157" t="str">
        <f t="shared" si="925"/>
        <v>COM</v>
      </c>
      <c r="G5157" t="str">
        <f>"PAULO MARCOS FARIA DE SOUZA L (233)"</f>
        <v>PAULO MARCOS FARIA DE SOUZA L (233)</v>
      </c>
      <c r="H5157" t="s">
        <v>1470</v>
      </c>
      <c r="I5157" t="str">
        <f>("09/10/2025")</f>
        <v>09/10/2025</v>
      </c>
      <c r="J5157" t="str">
        <f>("26/09/2025")</f>
        <v>26/09/2025</v>
      </c>
      <c r="K5157">
        <v>45939</v>
      </c>
      <c r="N5157">
        <v>109</v>
      </c>
      <c r="O5157" t="s">
        <v>24</v>
      </c>
      <c r="Q5157">
        <v>20</v>
      </c>
      <c r="R5157" t="str">
        <f>"FARMÁCIA INDIANA LJ 64 (10029)"</f>
        <v>FARMÁCIA INDIANA LJ 64 (10029)</v>
      </c>
      <c r="S5157" t="s">
        <v>48</v>
      </c>
      <c r="T5157">
        <v>19425</v>
      </c>
      <c r="U5157">
        <v>23433</v>
      </c>
      <c r="V5157" t="s">
        <v>48</v>
      </c>
    </row>
    <row r="5158" spans="1:22">
      <c r="A5158" t="str">
        <f t="shared" si="926"/>
        <v>09/10/2025</v>
      </c>
      <c r="B5158" t="str">
        <f>"ENTRADA"</f>
        <v>ENTRADA</v>
      </c>
      <c r="C5158" t="str">
        <f>"DINHEIRO"</f>
        <v>DINHEIRO</v>
      </c>
      <c r="D5158" t="str">
        <f>"08"</f>
        <v>08</v>
      </c>
      <c r="E5158" t="str">
        <f>"34"</f>
        <v>34</v>
      </c>
      <c r="F5158" t="str">
        <f t="shared" si="925"/>
        <v>COM</v>
      </c>
      <c r="G5158" t="str">
        <f>"PAULO MARCOS FARIA DE SOUZA L (233)"</f>
        <v>PAULO MARCOS FARIA DE SOUZA L (233)</v>
      </c>
      <c r="H5158" t="str">
        <f>"DESCONTO COTA COOPERADO"</f>
        <v>DESCONTO COTA COOPERADO</v>
      </c>
      <c r="I5158" t="str">
        <f>("16/10/2025")</f>
        <v>16/10/2025</v>
      </c>
      <c r="J5158" t="str">
        <f>("16/01/2025")</f>
        <v>16/01/2025</v>
      </c>
      <c r="K5158" t="str">
        <f>("09/10/2025")</f>
        <v>09/10/2025</v>
      </c>
      <c r="L5158">
        <v>20</v>
      </c>
      <c r="M5158">
        <v>20</v>
      </c>
      <c r="N5158">
        <v>106</v>
      </c>
      <c r="O5158" t="str">
        <f>"ENTRADA DE CAPITAL"</f>
        <v>ENTRADA DE CAPITAL</v>
      </c>
      <c r="P5158">
        <v>20</v>
      </c>
      <c r="S5158" t="str">
        <f>"ENTRADA DE CAPITAL (106)"</f>
        <v>ENTRADA DE CAPITAL (106)</v>
      </c>
      <c r="T5158">
        <v>19426</v>
      </c>
      <c r="U5158">
        <v>7291</v>
      </c>
      <c r="V5158" t="s">
        <v>48</v>
      </c>
    </row>
    <row r="5159" spans="1:22">
      <c r="A5159" t="str">
        <f t="shared" si="926"/>
        <v>09/10/2025</v>
      </c>
      <c r="B5159" t="str">
        <f>"ENTRADA"</f>
        <v>ENTRADA</v>
      </c>
      <c r="C5159" t="str">
        <f>"DINHEIRO"</f>
        <v>DINHEIRO</v>
      </c>
      <c r="D5159" t="str">
        <f>"08"</f>
        <v>08</v>
      </c>
      <c r="E5159" t="str">
        <f>"34"</f>
        <v>34</v>
      </c>
      <c r="F5159" t="str">
        <f t="shared" si="925"/>
        <v>COM</v>
      </c>
      <c r="G5159" t="str">
        <f>"PAULO MARCOS FARIA DE SOUZA L (233)"</f>
        <v>PAULO MARCOS FARIA DE SOUZA L (233)</v>
      </c>
      <c r="H5159" t="s">
        <v>309</v>
      </c>
      <c r="I5159" t="str">
        <f>("16/10/2025")</f>
        <v>16/10/2025</v>
      </c>
      <c r="J5159" t="str">
        <f>("16/01/2025")</f>
        <v>16/01/2025</v>
      </c>
      <c r="K5159">
        <v>45939</v>
      </c>
      <c r="N5159">
        <v>106</v>
      </c>
      <c r="O5159" t="s">
        <v>51</v>
      </c>
      <c r="Q5159">
        <v>20</v>
      </c>
      <c r="R5159" t="str">
        <f>"PAULO MARCOS FARIA DE SOUZA L (233)"</f>
        <v>PAULO MARCOS FARIA DE SOUZA L (233)</v>
      </c>
      <c r="S5159" t="s">
        <v>52</v>
      </c>
      <c r="T5159">
        <v>19426</v>
      </c>
      <c r="U5159">
        <v>7291</v>
      </c>
      <c r="V5159" t="s">
        <v>48</v>
      </c>
    </row>
    <row r="5160" spans="1:22">
      <c r="A5160" t="str">
        <f t="shared" si="926"/>
        <v>09/10/2025</v>
      </c>
      <c r="B5160" t="str">
        <f>"SAÍDA"</f>
        <v>SAÍDA</v>
      </c>
      <c r="C5160" t="str">
        <f>"PIX"</f>
        <v>PIX</v>
      </c>
      <c r="D5160" t="str">
        <f>"22624"</f>
        <v>22624</v>
      </c>
      <c r="E5160" t="str">
        <f>"1"</f>
        <v>1</v>
      </c>
      <c r="F5160" t="str">
        <f t="shared" si="925"/>
        <v>COM</v>
      </c>
      <c r="G5160" t="str">
        <f t="shared" ref="G5160:G5165" si="929">"PEDRO HENRIQUE DA SILVA COSTA OLIVEIRA (852)"</f>
        <v>PEDRO HENRIQUE DA SILVA COSTA OLIVEIRA (852)</v>
      </c>
      <c r="H5160" t="str">
        <f>"Serv.Prest. 22/09/2025 a 25/09/2025 - PIX: E-MAIL - CHAVE: sypedrinho@gmail.com"</f>
        <v>Serv.Prest. 22/09/2025 a 25/09/2025 - PIX: E-MAIL - CHAVE: sypedrinho@gmail.com</v>
      </c>
      <c r="I5160" t="str">
        <f>("09/10/2025")</f>
        <v>09/10/2025</v>
      </c>
      <c r="J5160" t="str">
        <f>("26/09/2025")</f>
        <v>26/09/2025</v>
      </c>
      <c r="K5160" t="str">
        <f>("09/10/2025")</f>
        <v>09/10/2025</v>
      </c>
      <c r="L5160">
        <v>120</v>
      </c>
      <c r="M5160">
        <v>120</v>
      </c>
      <c r="N5160">
        <v>109</v>
      </c>
      <c r="O5160" t="str">
        <f>"PAGAMENTO DE ENTREGADORES"</f>
        <v>PAGAMENTO DE ENTREGADORES</v>
      </c>
      <c r="P5160">
        <v>120</v>
      </c>
      <c r="S5160" t="str">
        <f>"CAIXA MOVIMENTAÇÃO OPERACIONAL (132)"</f>
        <v>CAIXA MOVIMENTAÇÃO OPERACIONAL (132)</v>
      </c>
      <c r="T5160">
        <v>19427</v>
      </c>
      <c r="U5160">
        <v>23434</v>
      </c>
      <c r="V5160" t="s">
        <v>48</v>
      </c>
    </row>
    <row r="5161" spans="1:22">
      <c r="A5161" t="str">
        <f t="shared" si="926"/>
        <v>09/10/2025</v>
      </c>
      <c r="B5161" t="str">
        <f>"SAÍDA"</f>
        <v>SAÍDA</v>
      </c>
      <c r="C5161" t="str">
        <f>"PIX"</f>
        <v>PIX</v>
      </c>
      <c r="D5161" t="str">
        <f>"22624"</f>
        <v>22624</v>
      </c>
      <c r="E5161" t="str">
        <f>"1"</f>
        <v>1</v>
      </c>
      <c r="F5161" t="str">
        <f t="shared" si="925"/>
        <v>COM</v>
      </c>
      <c r="G5161" t="str">
        <f t="shared" si="929"/>
        <v>PEDRO HENRIQUE DA SILVA COSTA OLIVEIRA (852)</v>
      </c>
      <c r="H5161" t="s">
        <v>1471</v>
      </c>
      <c r="I5161" t="str">
        <f>("09/10/2025")</f>
        <v>09/10/2025</v>
      </c>
      <c r="J5161" t="str">
        <f>("26/09/2025")</f>
        <v>26/09/2025</v>
      </c>
      <c r="K5161">
        <v>45939</v>
      </c>
      <c r="N5161">
        <v>109</v>
      </c>
      <c r="O5161" t="s">
        <v>24</v>
      </c>
      <c r="Q5161">
        <v>120</v>
      </c>
      <c r="R5161" t="str">
        <f>"FARMÁCIA INDIANA LJ 110 (10048)"</f>
        <v>FARMÁCIA INDIANA LJ 110 (10048)</v>
      </c>
      <c r="S5161" t="s">
        <v>48</v>
      </c>
      <c r="T5161">
        <v>19427</v>
      </c>
      <c r="U5161">
        <v>23434</v>
      </c>
      <c r="V5161" t="s">
        <v>48</v>
      </c>
    </row>
    <row r="5162" spans="1:22">
      <c r="A5162" t="str">
        <f t="shared" si="926"/>
        <v>09/10/2025</v>
      </c>
      <c r="B5162" t="str">
        <f>"ENTRADA"</f>
        <v>ENTRADA</v>
      </c>
      <c r="C5162" t="str">
        <f>"DINHEIRO"</f>
        <v>DINHEIRO</v>
      </c>
      <c r="D5162" t="str">
        <f>"0910"</f>
        <v>0910</v>
      </c>
      <c r="E5162" t="str">
        <f>"25"</f>
        <v>25</v>
      </c>
      <c r="F5162" t="str">
        <f t="shared" si="925"/>
        <v>COM</v>
      </c>
      <c r="G5162" t="str">
        <f t="shared" si="929"/>
        <v>PEDRO HENRIQUE DA SILVA COSTA OLIVEIRA (852)</v>
      </c>
      <c r="H5162" t="str">
        <f>"REEMBOLSO ADIANTAMENTO"</f>
        <v>REEMBOLSO ADIANTAMENTO</v>
      </c>
      <c r="I5162" t="str">
        <f>("09/10/2025")</f>
        <v>09/10/2025</v>
      </c>
      <c r="J5162" t="str">
        <f>("12/09/2025")</f>
        <v>12/09/2025</v>
      </c>
      <c r="K5162" t="str">
        <f>("09/10/2025")</f>
        <v>09/10/2025</v>
      </c>
      <c r="L5162">
        <v>100</v>
      </c>
      <c r="M5162">
        <v>100</v>
      </c>
      <c r="N5162">
        <v>129</v>
      </c>
      <c r="O5162" t="str">
        <f>"ENTRADA DE REEMBOLSO ADIANTAMENTO"</f>
        <v>ENTRADA DE REEMBOLSO ADIANTAMENTO</v>
      </c>
      <c r="P5162">
        <v>100</v>
      </c>
      <c r="S5162" t="str">
        <f>"ENTRADA DE REEMBOLSO ADIANTAMENTO (129)"</f>
        <v>ENTRADA DE REEMBOLSO ADIANTAMENTO (129)</v>
      </c>
      <c r="T5162">
        <v>19428</v>
      </c>
      <c r="U5162">
        <v>21947</v>
      </c>
      <c r="V5162" t="s">
        <v>48</v>
      </c>
    </row>
    <row r="5163" spans="1:22">
      <c r="A5163" t="str">
        <f t="shared" si="926"/>
        <v>09/10/2025</v>
      </c>
      <c r="B5163" t="str">
        <f>"ENTRADA"</f>
        <v>ENTRADA</v>
      </c>
      <c r="C5163" t="str">
        <f>"DINHEIRO"</f>
        <v>DINHEIRO</v>
      </c>
      <c r="D5163" t="str">
        <f>"0910"</f>
        <v>0910</v>
      </c>
      <c r="E5163" t="str">
        <f>"25"</f>
        <v>25</v>
      </c>
      <c r="F5163" t="str">
        <f t="shared" si="925"/>
        <v>COM</v>
      </c>
      <c r="G5163" t="str">
        <f t="shared" si="929"/>
        <v>PEDRO HENRIQUE DA SILVA COSTA OLIVEIRA (852)</v>
      </c>
      <c r="H5163" t="s">
        <v>57</v>
      </c>
      <c r="I5163" t="str">
        <f>("09/10/2025")</f>
        <v>09/10/2025</v>
      </c>
      <c r="J5163" t="str">
        <f>("12/09/2025")</f>
        <v>12/09/2025</v>
      </c>
      <c r="K5163">
        <v>45939</v>
      </c>
      <c r="N5163">
        <v>129</v>
      </c>
      <c r="O5163" t="s">
        <v>58</v>
      </c>
      <c r="Q5163">
        <v>100</v>
      </c>
      <c r="R5163" t="str">
        <f>"PEDRO HENRIQUE DA SILVA COSTA OLIVEIRA (852)"</f>
        <v>PEDRO HENRIQUE DA SILVA COSTA OLIVEIRA (852)</v>
      </c>
      <c r="S5163" t="s">
        <v>59</v>
      </c>
      <c r="T5163">
        <v>19428</v>
      </c>
      <c r="U5163">
        <v>21947</v>
      </c>
      <c r="V5163" t="s">
        <v>48</v>
      </c>
    </row>
    <row r="5164" spans="1:22">
      <c r="A5164" t="str">
        <f t="shared" si="926"/>
        <v>09/10/2025</v>
      </c>
      <c r="B5164" t="str">
        <f>"ENTRADA"</f>
        <v>ENTRADA</v>
      </c>
      <c r="C5164" t="str">
        <f>"DINHEIRO"</f>
        <v>DINHEIRO</v>
      </c>
      <c r="D5164" t="str">
        <f>"852"</f>
        <v>852</v>
      </c>
      <c r="E5164" t="str">
        <f>"4"</f>
        <v>4</v>
      </c>
      <c r="F5164" t="str">
        <f t="shared" si="925"/>
        <v>COM</v>
      </c>
      <c r="G5164" t="str">
        <f t="shared" si="929"/>
        <v>PEDRO HENRIQUE DA SILVA COSTA OLIVEIRA (852)</v>
      </c>
      <c r="H5164" t="str">
        <f>"COTA COOPERATIVA"</f>
        <v>COTA COOPERATIVA</v>
      </c>
      <c r="I5164" t="str">
        <f>("10/10/2025")</f>
        <v>10/10/2025</v>
      </c>
      <c r="J5164" t="str">
        <f>("23/06/2025")</f>
        <v>23/06/2025</v>
      </c>
      <c r="K5164" t="str">
        <f>("09/10/2025")</f>
        <v>09/10/2025</v>
      </c>
      <c r="L5164">
        <v>20</v>
      </c>
      <c r="M5164">
        <v>20</v>
      </c>
      <c r="N5164">
        <v>106</v>
      </c>
      <c r="O5164" t="str">
        <f>"ENTRADA DE CAPITAL"</f>
        <v>ENTRADA DE CAPITAL</v>
      </c>
      <c r="P5164">
        <v>20</v>
      </c>
      <c r="S5164" t="str">
        <f>"ENTRADA DE CAPITAL (106)"</f>
        <v>ENTRADA DE CAPITAL (106)</v>
      </c>
      <c r="T5164">
        <v>19429</v>
      </c>
      <c r="U5164">
        <v>18309</v>
      </c>
      <c r="V5164" t="s">
        <v>48</v>
      </c>
    </row>
    <row r="5165" spans="1:22">
      <c r="A5165" t="str">
        <f t="shared" si="926"/>
        <v>09/10/2025</v>
      </c>
      <c r="B5165" t="str">
        <f>"ENTRADA"</f>
        <v>ENTRADA</v>
      </c>
      <c r="C5165" t="str">
        <f>"DINHEIRO"</f>
        <v>DINHEIRO</v>
      </c>
      <c r="D5165" t="str">
        <f>"852"</f>
        <v>852</v>
      </c>
      <c r="E5165" t="str">
        <f>"4"</f>
        <v>4</v>
      </c>
      <c r="F5165" t="str">
        <f t="shared" si="925"/>
        <v>COM</v>
      </c>
      <c r="G5165" t="str">
        <f t="shared" si="929"/>
        <v>PEDRO HENRIQUE DA SILVA COSTA OLIVEIRA (852)</v>
      </c>
      <c r="H5165" t="s">
        <v>50</v>
      </c>
      <c r="I5165" t="str">
        <f>("10/10/2025")</f>
        <v>10/10/2025</v>
      </c>
      <c r="J5165" t="str">
        <f>("23/06/2025")</f>
        <v>23/06/2025</v>
      </c>
      <c r="K5165">
        <v>45939</v>
      </c>
      <c r="N5165">
        <v>106</v>
      </c>
      <c r="O5165" t="s">
        <v>51</v>
      </c>
      <c r="Q5165">
        <v>20</v>
      </c>
      <c r="R5165" t="str">
        <f>"PEDRO HENRIQUE DA SILVA COSTA OLIVEIRA (852)"</f>
        <v>PEDRO HENRIQUE DA SILVA COSTA OLIVEIRA (852)</v>
      </c>
      <c r="S5165" t="s">
        <v>52</v>
      </c>
      <c r="T5165">
        <v>19429</v>
      </c>
      <c r="U5165">
        <v>18309</v>
      </c>
      <c r="V5165" t="s">
        <v>48</v>
      </c>
    </row>
    <row r="5166" spans="1:22">
      <c r="A5166" t="str">
        <f t="shared" si="926"/>
        <v>09/10/2025</v>
      </c>
      <c r="B5166" t="str">
        <f>"SAÍDA"</f>
        <v>SAÍDA</v>
      </c>
      <c r="C5166" t="str">
        <f>"PIX"</f>
        <v>PIX</v>
      </c>
      <c r="D5166" t="str">
        <f>"22626"</f>
        <v>22626</v>
      </c>
      <c r="E5166" t="str">
        <f>"1"</f>
        <v>1</v>
      </c>
      <c r="F5166" t="str">
        <f t="shared" si="925"/>
        <v>COM</v>
      </c>
      <c r="G5166" t="str">
        <f>"RAISSON VITOR MENDES DE ABREU (705)"</f>
        <v>RAISSON VITOR MENDES DE ABREU (705)</v>
      </c>
      <c r="H5166" t="str">
        <f>"Serv.Prest. 22/09/2025 a 25/09/2025 - PIX: CELULAR - CHAVE: (31) 99959-5414"</f>
        <v>Serv.Prest. 22/09/2025 a 25/09/2025 - PIX: CELULAR - CHAVE: (31) 99959-5414</v>
      </c>
      <c r="I5166" t="str">
        <f>("09/10/2025")</f>
        <v>09/10/2025</v>
      </c>
      <c r="J5166" t="str">
        <f>("26/09/2025")</f>
        <v>26/09/2025</v>
      </c>
      <c r="K5166" t="str">
        <f>("09/10/2025")</f>
        <v>09/10/2025</v>
      </c>
      <c r="L5166">
        <v>20</v>
      </c>
      <c r="M5166">
        <v>20</v>
      </c>
      <c r="N5166">
        <v>109</v>
      </c>
      <c r="O5166" t="str">
        <f>"PAGAMENTO DE ENTREGADORES"</f>
        <v>PAGAMENTO DE ENTREGADORES</v>
      </c>
      <c r="P5166">
        <v>20</v>
      </c>
      <c r="S5166" t="str">
        <f>"CAIXA MOVIMENTAÇÃO OPERACIONAL (132)"</f>
        <v>CAIXA MOVIMENTAÇÃO OPERACIONAL (132)</v>
      </c>
      <c r="T5166">
        <v>19430</v>
      </c>
      <c r="U5166">
        <v>23435</v>
      </c>
      <c r="V5166" t="s">
        <v>48</v>
      </c>
    </row>
    <row r="5167" spans="1:22">
      <c r="A5167" t="str">
        <f t="shared" si="926"/>
        <v>09/10/2025</v>
      </c>
      <c r="B5167" t="str">
        <f>"SAÍDA"</f>
        <v>SAÍDA</v>
      </c>
      <c r="C5167" t="str">
        <f>"PIX"</f>
        <v>PIX</v>
      </c>
      <c r="D5167" t="str">
        <f>"22626"</f>
        <v>22626</v>
      </c>
      <c r="E5167" t="str">
        <f>"1"</f>
        <v>1</v>
      </c>
      <c r="F5167" t="str">
        <f t="shared" si="925"/>
        <v>COM</v>
      </c>
      <c r="G5167" t="str">
        <f>"RAISSON VITOR MENDES DE ABREU (705)"</f>
        <v>RAISSON VITOR MENDES DE ABREU (705)</v>
      </c>
      <c r="H5167" t="s">
        <v>1472</v>
      </c>
      <c r="I5167" t="str">
        <f>("09/10/2025")</f>
        <v>09/10/2025</v>
      </c>
      <c r="J5167" t="str">
        <f>("26/09/2025")</f>
        <v>26/09/2025</v>
      </c>
      <c r="K5167">
        <v>45939</v>
      </c>
      <c r="N5167">
        <v>109</v>
      </c>
      <c r="O5167" t="s">
        <v>24</v>
      </c>
      <c r="Q5167">
        <v>20</v>
      </c>
      <c r="R5167" t="str">
        <f>"FARMÁCIA INDIANA LJ 178 (10077)"</f>
        <v>FARMÁCIA INDIANA LJ 178 (10077)</v>
      </c>
      <c r="S5167" t="s">
        <v>48</v>
      </c>
      <c r="T5167">
        <v>19430</v>
      </c>
      <c r="U5167">
        <v>23435</v>
      </c>
      <c r="V5167" t="s">
        <v>48</v>
      </c>
    </row>
    <row r="5168" spans="1:22">
      <c r="A5168" t="str">
        <f t="shared" si="926"/>
        <v>09/10/2025</v>
      </c>
      <c r="B5168" t="str">
        <f>"ENTRADA"</f>
        <v>ENTRADA</v>
      </c>
      <c r="C5168" t="str">
        <f>"DINHEIRO"</f>
        <v>DINHEIRO</v>
      </c>
      <c r="D5168" t="str">
        <f>"705"</f>
        <v>705</v>
      </c>
      <c r="E5168" t="str">
        <f>"7"</f>
        <v>7</v>
      </c>
      <c r="F5168" t="str">
        <f t="shared" si="925"/>
        <v>COM</v>
      </c>
      <c r="G5168" t="str">
        <f>"RAISSON VITOR MENDES DE ABREU (705)"</f>
        <v>RAISSON VITOR MENDES DE ABREU (705)</v>
      </c>
      <c r="H5168" t="str">
        <f>"COTAS COOPERATIVA"</f>
        <v>COTAS COOPERATIVA</v>
      </c>
      <c r="I5168" t="str">
        <f>("10/10/2025")</f>
        <v>10/10/2025</v>
      </c>
      <c r="J5168" t="str">
        <f>("17/03/2025")</f>
        <v>17/03/2025</v>
      </c>
      <c r="K5168" t="str">
        <f>("09/10/2025")</f>
        <v>09/10/2025</v>
      </c>
      <c r="L5168">
        <v>20</v>
      </c>
      <c r="M5168">
        <v>20</v>
      </c>
      <c r="N5168">
        <v>106</v>
      </c>
      <c r="O5168" t="str">
        <f>"ENTRADA DE CAPITAL"</f>
        <v>ENTRADA DE CAPITAL</v>
      </c>
      <c r="P5168">
        <v>20</v>
      </c>
      <c r="S5168" t="str">
        <f>"ENTRADA DE CAPITAL (106)"</f>
        <v>ENTRADA DE CAPITAL (106)</v>
      </c>
      <c r="T5168">
        <v>19431</v>
      </c>
      <c r="U5168">
        <v>11887</v>
      </c>
      <c r="V5168" t="s">
        <v>48</v>
      </c>
    </row>
    <row r="5169" spans="1:22">
      <c r="A5169" t="str">
        <f t="shared" si="926"/>
        <v>09/10/2025</v>
      </c>
      <c r="B5169" t="str">
        <f>"ENTRADA"</f>
        <v>ENTRADA</v>
      </c>
      <c r="C5169" t="str">
        <f>"DINHEIRO"</f>
        <v>DINHEIRO</v>
      </c>
      <c r="D5169" t="str">
        <f>"705"</f>
        <v>705</v>
      </c>
      <c r="E5169" t="str">
        <f>"7"</f>
        <v>7</v>
      </c>
      <c r="F5169" t="str">
        <f t="shared" si="925"/>
        <v>COM</v>
      </c>
      <c r="G5169" t="str">
        <f>"RAISSON VITOR MENDES DE ABREU (705)"</f>
        <v>RAISSON VITOR MENDES DE ABREU (705)</v>
      </c>
      <c r="H5169" t="s">
        <v>318</v>
      </c>
      <c r="I5169" t="str">
        <f>("10/10/2025")</f>
        <v>10/10/2025</v>
      </c>
      <c r="J5169" t="str">
        <f>("17/03/2025")</f>
        <v>17/03/2025</v>
      </c>
      <c r="K5169">
        <v>45939</v>
      </c>
      <c r="N5169">
        <v>106</v>
      </c>
      <c r="O5169" t="s">
        <v>51</v>
      </c>
      <c r="Q5169">
        <v>20</v>
      </c>
      <c r="R5169" t="str">
        <f>"RAISSON VITOR MENDES DE ABREU (705)"</f>
        <v>RAISSON VITOR MENDES DE ABREU (705)</v>
      </c>
      <c r="S5169" t="s">
        <v>52</v>
      </c>
      <c r="T5169">
        <v>19431</v>
      </c>
      <c r="U5169">
        <v>11887</v>
      </c>
      <c r="V5169" t="s">
        <v>48</v>
      </c>
    </row>
    <row r="5170" spans="1:22">
      <c r="A5170" t="str">
        <f t="shared" si="926"/>
        <v>09/10/2025</v>
      </c>
      <c r="B5170" t="str">
        <f>"ENTRADA"</f>
        <v>ENTRADA</v>
      </c>
      <c r="C5170" t="str">
        <f>"DINHEIRO"</f>
        <v>DINHEIRO</v>
      </c>
      <c r="D5170" t="str">
        <f>"727"</f>
        <v>727</v>
      </c>
      <c r="E5170" t="str">
        <f>"6"</f>
        <v>6</v>
      </c>
      <c r="F5170" t="str">
        <f t="shared" si="925"/>
        <v>COM</v>
      </c>
      <c r="G5170" t="str">
        <f>"RAUL SILVA ROMAO (727)"</f>
        <v>RAUL SILVA ROMAO (727)</v>
      </c>
      <c r="H5170" t="str">
        <f>"COTA COOPERATIVA"</f>
        <v>COTA COOPERATIVA</v>
      </c>
      <c r="I5170" t="str">
        <f>("08/10/2025")</f>
        <v>08/10/2025</v>
      </c>
      <c r="J5170" t="str">
        <f>("07/04/2025")</f>
        <v>07/04/2025</v>
      </c>
      <c r="K5170" t="str">
        <f>("09/10/2025")</f>
        <v>09/10/2025</v>
      </c>
      <c r="L5170">
        <v>20</v>
      </c>
      <c r="M5170">
        <v>20</v>
      </c>
      <c r="N5170">
        <v>106</v>
      </c>
      <c r="O5170" t="str">
        <f>"ENTRADA DE CAPITAL"</f>
        <v>ENTRADA DE CAPITAL</v>
      </c>
      <c r="P5170">
        <v>20</v>
      </c>
      <c r="S5170" t="str">
        <f>"ENTRADA DE CAPITAL (106)"</f>
        <v>ENTRADA DE CAPITAL (106)</v>
      </c>
      <c r="T5170">
        <v>19432</v>
      </c>
      <c r="U5170">
        <v>14391</v>
      </c>
      <c r="V5170" t="s">
        <v>48</v>
      </c>
    </row>
    <row r="5171" spans="1:22">
      <c r="A5171" t="str">
        <f t="shared" si="926"/>
        <v>09/10/2025</v>
      </c>
      <c r="B5171" t="str">
        <f>"ENTRADA"</f>
        <v>ENTRADA</v>
      </c>
      <c r="C5171" t="str">
        <f>"DINHEIRO"</f>
        <v>DINHEIRO</v>
      </c>
      <c r="D5171" t="str">
        <f>"727"</f>
        <v>727</v>
      </c>
      <c r="E5171" t="str">
        <f>"6"</f>
        <v>6</v>
      </c>
      <c r="F5171" t="str">
        <f t="shared" si="925"/>
        <v>COM</v>
      </c>
      <c r="G5171" t="str">
        <f>"RAUL SILVA ROMAO (727)"</f>
        <v>RAUL SILVA ROMAO (727)</v>
      </c>
      <c r="H5171" t="s">
        <v>50</v>
      </c>
      <c r="I5171" t="str">
        <f>("08/10/2025")</f>
        <v>08/10/2025</v>
      </c>
      <c r="J5171" t="str">
        <f>("07/04/2025")</f>
        <v>07/04/2025</v>
      </c>
      <c r="K5171">
        <v>45939</v>
      </c>
      <c r="N5171">
        <v>106</v>
      </c>
      <c r="O5171" t="s">
        <v>51</v>
      </c>
      <c r="Q5171">
        <v>20</v>
      </c>
      <c r="R5171" t="str">
        <f>"RAUL SILVA ROMAO (727)"</f>
        <v>RAUL SILVA ROMAO (727)</v>
      </c>
      <c r="S5171" t="s">
        <v>52</v>
      </c>
      <c r="T5171">
        <v>19432</v>
      </c>
      <c r="U5171">
        <v>14391</v>
      </c>
      <c r="V5171" t="s">
        <v>48</v>
      </c>
    </row>
    <row r="5172" spans="1:22">
      <c r="A5172" t="str">
        <f t="shared" si="926"/>
        <v>09/10/2025</v>
      </c>
      <c r="B5172" t="str">
        <f>"SAÍDA"</f>
        <v>SAÍDA</v>
      </c>
      <c r="C5172" t="str">
        <f>"PIX"</f>
        <v>PIX</v>
      </c>
      <c r="D5172" t="str">
        <f>"22772"</f>
        <v>22772</v>
      </c>
      <c r="E5172" t="str">
        <f>"1"</f>
        <v>1</v>
      </c>
      <c r="F5172" t="str">
        <f t="shared" si="925"/>
        <v>COM</v>
      </c>
      <c r="G5172" t="str">
        <f>"RAUL SILVA ROMAO (727)"</f>
        <v>RAUL SILVA ROMAO (727)</v>
      </c>
      <c r="H5172" t="str">
        <f>"Serv.Prest. 22/09/2025 a 28/09/2025 - PIX: CPF - CHAVE: 878.196.869-87"</f>
        <v>Serv.Prest. 22/09/2025 a 28/09/2025 - PIX: CPF - CHAVE: 878.196.869-87</v>
      </c>
      <c r="I5172" t="str">
        <f>("09/10/2025")</f>
        <v>09/10/2025</v>
      </c>
      <c r="J5172" t="str">
        <f>("30/09/2025")</f>
        <v>30/09/2025</v>
      </c>
      <c r="K5172" t="str">
        <f>("09/10/2025")</f>
        <v>09/10/2025</v>
      </c>
      <c r="L5172">
        <v>20</v>
      </c>
      <c r="M5172">
        <v>20</v>
      </c>
      <c r="N5172">
        <v>109</v>
      </c>
      <c r="O5172" t="str">
        <f>"PAGAMENTO DE ENTREGADORES"</f>
        <v>PAGAMENTO DE ENTREGADORES</v>
      </c>
      <c r="P5172">
        <v>20</v>
      </c>
      <c r="S5172" t="str">
        <f>"CAIXA MOVIMENTAÇÃO OPERACIONAL (132)"</f>
        <v>CAIXA MOVIMENTAÇÃO OPERACIONAL (132)</v>
      </c>
      <c r="T5172">
        <v>19433</v>
      </c>
      <c r="U5172">
        <v>23436</v>
      </c>
      <c r="V5172" t="s">
        <v>48</v>
      </c>
    </row>
    <row r="5173" spans="1:22">
      <c r="A5173" t="str">
        <f t="shared" si="926"/>
        <v>09/10/2025</v>
      </c>
      <c r="B5173" t="str">
        <f>"SAÍDA"</f>
        <v>SAÍDA</v>
      </c>
      <c r="C5173" t="str">
        <f>"PIX"</f>
        <v>PIX</v>
      </c>
      <c r="D5173" t="str">
        <f>"22772"</f>
        <v>22772</v>
      </c>
      <c r="E5173" t="str">
        <f>"1"</f>
        <v>1</v>
      </c>
      <c r="F5173" t="str">
        <f t="shared" si="925"/>
        <v>COM</v>
      </c>
      <c r="G5173" t="str">
        <f>"RAUL SILVA ROMAO (727)"</f>
        <v>RAUL SILVA ROMAO (727)</v>
      </c>
      <c r="H5173" t="s">
        <v>1473</v>
      </c>
      <c r="I5173" t="str">
        <f>("09/10/2025")</f>
        <v>09/10/2025</v>
      </c>
      <c r="J5173" t="str">
        <f>("30/09/2025")</f>
        <v>30/09/2025</v>
      </c>
      <c r="K5173">
        <v>45939</v>
      </c>
      <c r="N5173">
        <v>109</v>
      </c>
      <c r="O5173" t="s">
        <v>24</v>
      </c>
      <c r="Q5173">
        <v>20</v>
      </c>
      <c r="R5173" t="str">
        <f>"AC FARMA - CID.ALTA (10166)"</f>
        <v>AC FARMA - CID.ALTA (10166)</v>
      </c>
      <c r="S5173" t="s">
        <v>48</v>
      </c>
      <c r="T5173">
        <v>19433</v>
      </c>
      <c r="U5173">
        <v>23436</v>
      </c>
      <c r="V5173" t="s">
        <v>48</v>
      </c>
    </row>
    <row r="5174" spans="1:22">
      <c r="A5174" t="str">
        <f t="shared" si="926"/>
        <v>09/10/2025</v>
      </c>
      <c r="B5174" t="str">
        <f>"SAÍDA"</f>
        <v>SAÍDA</v>
      </c>
      <c r="C5174" t="str">
        <f>"PIX"</f>
        <v>PIX</v>
      </c>
      <c r="D5174" t="str">
        <f>"22628"</f>
        <v>22628</v>
      </c>
      <c r="E5174" t="str">
        <f>"1"</f>
        <v>1</v>
      </c>
      <c r="F5174" t="str">
        <f t="shared" si="925"/>
        <v>COM</v>
      </c>
      <c r="G5174" t="str">
        <f>"RICARDO NASCIMENTO DE SOUZA (146)"</f>
        <v>RICARDO NASCIMENTO DE SOUZA (146)</v>
      </c>
      <c r="H5174" t="str">
        <f>"Serv.Prest. 22/09/2025 a 25/09/2025 - PIX: CELULAR - CHAVE: (31) 98891-8440"</f>
        <v>Serv.Prest. 22/09/2025 a 25/09/2025 - PIX: CELULAR - CHAVE: (31) 98891-8440</v>
      </c>
      <c r="I5174" t="str">
        <f>("09/10/2025")</f>
        <v>09/10/2025</v>
      </c>
      <c r="J5174" t="str">
        <f>("26/09/2025")</f>
        <v>26/09/2025</v>
      </c>
      <c r="K5174" t="str">
        <f>("09/10/2025")</f>
        <v>09/10/2025</v>
      </c>
      <c r="L5174">
        <v>20</v>
      </c>
      <c r="M5174">
        <v>20</v>
      </c>
      <c r="N5174">
        <v>109</v>
      </c>
      <c r="O5174" t="str">
        <f>"PAGAMENTO DE ENTREGADORES"</f>
        <v>PAGAMENTO DE ENTREGADORES</v>
      </c>
      <c r="P5174">
        <v>20</v>
      </c>
      <c r="S5174" t="str">
        <f>"CAIXA MOVIMENTAÇÃO OPERACIONAL (132)"</f>
        <v>CAIXA MOVIMENTAÇÃO OPERACIONAL (132)</v>
      </c>
      <c r="T5174">
        <v>19434</v>
      </c>
      <c r="U5174">
        <v>23437</v>
      </c>
      <c r="V5174" t="s">
        <v>48</v>
      </c>
    </row>
    <row r="5175" spans="1:22">
      <c r="A5175" t="str">
        <f t="shared" si="926"/>
        <v>09/10/2025</v>
      </c>
      <c r="B5175" t="str">
        <f>"SAÍDA"</f>
        <v>SAÍDA</v>
      </c>
      <c r="C5175" t="str">
        <f>"PIX"</f>
        <v>PIX</v>
      </c>
      <c r="D5175" t="str">
        <f>"22628"</f>
        <v>22628</v>
      </c>
      <c r="E5175" t="str">
        <f>"1"</f>
        <v>1</v>
      </c>
      <c r="F5175" t="str">
        <f t="shared" si="925"/>
        <v>COM</v>
      </c>
      <c r="G5175" t="str">
        <f>"RICARDO NASCIMENTO DE SOUZA (146)"</f>
        <v>RICARDO NASCIMENTO DE SOUZA (146)</v>
      </c>
      <c r="H5175" t="s">
        <v>1474</v>
      </c>
      <c r="I5175" t="str">
        <f>("09/10/2025")</f>
        <v>09/10/2025</v>
      </c>
      <c r="J5175" t="str">
        <f>("26/09/2025")</f>
        <v>26/09/2025</v>
      </c>
      <c r="K5175">
        <v>45939</v>
      </c>
      <c r="N5175">
        <v>109</v>
      </c>
      <c r="O5175" t="s">
        <v>24</v>
      </c>
      <c r="Q5175">
        <v>20</v>
      </c>
      <c r="R5175" t="str">
        <f>"FARMÁCIA INDIANA LJ 19 (10012)"</f>
        <v>FARMÁCIA INDIANA LJ 19 (10012)</v>
      </c>
      <c r="S5175" t="s">
        <v>48</v>
      </c>
      <c r="T5175">
        <v>19434</v>
      </c>
      <c r="U5175">
        <v>23437</v>
      </c>
      <c r="V5175" t="s">
        <v>48</v>
      </c>
    </row>
    <row r="5176" spans="1:22">
      <c r="A5176" t="str">
        <f t="shared" si="926"/>
        <v>09/10/2025</v>
      </c>
      <c r="B5176" t="str">
        <f>"ENTRADA"</f>
        <v>ENTRADA</v>
      </c>
      <c r="C5176" t="str">
        <f>"DINHEIRO"</f>
        <v>DINHEIRO</v>
      </c>
      <c r="D5176" t="str">
        <f>"14"</f>
        <v>14</v>
      </c>
      <c r="E5176" t="str">
        <f>"34"</f>
        <v>34</v>
      </c>
      <c r="F5176" t="str">
        <f t="shared" si="925"/>
        <v>COM</v>
      </c>
      <c r="G5176" t="str">
        <f>"RICARDO NASCIMENTO DE SOUZA (146)"</f>
        <v>RICARDO NASCIMENTO DE SOUZA (146)</v>
      </c>
      <c r="H5176" t="str">
        <f>"DESCONTO COTA COOPERADO"</f>
        <v>DESCONTO COTA COOPERADO</v>
      </c>
      <c r="I5176" t="str">
        <f>("16/10/2025")</f>
        <v>16/10/2025</v>
      </c>
      <c r="J5176" t="str">
        <f>("16/01/2025")</f>
        <v>16/01/2025</v>
      </c>
      <c r="K5176" t="str">
        <f>("09/10/2025")</f>
        <v>09/10/2025</v>
      </c>
      <c r="L5176">
        <v>20</v>
      </c>
      <c r="M5176">
        <v>20</v>
      </c>
      <c r="N5176">
        <v>106</v>
      </c>
      <c r="O5176" t="str">
        <f>"ENTRADA DE CAPITAL"</f>
        <v>ENTRADA DE CAPITAL</v>
      </c>
      <c r="P5176">
        <v>20</v>
      </c>
      <c r="S5176" t="str">
        <f>"ENTRADA DE CAPITAL (106)"</f>
        <v>ENTRADA DE CAPITAL (106)</v>
      </c>
      <c r="T5176">
        <v>19435</v>
      </c>
      <c r="U5176">
        <v>7382</v>
      </c>
      <c r="V5176" t="s">
        <v>48</v>
      </c>
    </row>
    <row r="5177" spans="1:22">
      <c r="A5177" t="str">
        <f t="shared" si="926"/>
        <v>09/10/2025</v>
      </c>
      <c r="B5177" t="str">
        <f>"ENTRADA"</f>
        <v>ENTRADA</v>
      </c>
      <c r="C5177" t="str">
        <f>"DINHEIRO"</f>
        <v>DINHEIRO</v>
      </c>
      <c r="D5177" t="str">
        <f>"14"</f>
        <v>14</v>
      </c>
      <c r="E5177" t="str">
        <f>"34"</f>
        <v>34</v>
      </c>
      <c r="F5177" t="str">
        <f t="shared" si="925"/>
        <v>COM</v>
      </c>
      <c r="G5177" t="str">
        <f>"RICARDO NASCIMENTO DE SOUZA (146)"</f>
        <v>RICARDO NASCIMENTO DE SOUZA (146)</v>
      </c>
      <c r="H5177" t="s">
        <v>309</v>
      </c>
      <c r="I5177" t="str">
        <f>("16/10/2025")</f>
        <v>16/10/2025</v>
      </c>
      <c r="J5177" t="str">
        <f>("16/01/2025")</f>
        <v>16/01/2025</v>
      </c>
      <c r="K5177">
        <v>45939</v>
      </c>
      <c r="N5177">
        <v>106</v>
      </c>
      <c r="O5177" t="s">
        <v>51</v>
      </c>
      <c r="Q5177">
        <v>20</v>
      </c>
      <c r="R5177" t="str">
        <f>"RICARDO NASCIMENTO DE SOUZA (146)"</f>
        <v>RICARDO NASCIMENTO DE SOUZA (146)</v>
      </c>
      <c r="S5177" t="s">
        <v>52</v>
      </c>
      <c r="T5177">
        <v>19435</v>
      </c>
      <c r="U5177">
        <v>7382</v>
      </c>
      <c r="V5177" t="s">
        <v>48</v>
      </c>
    </row>
    <row r="5178" spans="1:22">
      <c r="A5178" t="str">
        <f t="shared" si="926"/>
        <v>09/10/2025</v>
      </c>
      <c r="B5178" t="str">
        <f>"SAÍDA"</f>
        <v>SAÍDA</v>
      </c>
      <c r="C5178" t="str">
        <f>"PIX"</f>
        <v>PIX</v>
      </c>
      <c r="D5178" t="str">
        <f>"22871"</f>
        <v>22871</v>
      </c>
      <c r="E5178" t="str">
        <f>"1"</f>
        <v>1</v>
      </c>
      <c r="F5178" t="str">
        <f t="shared" si="925"/>
        <v>COM</v>
      </c>
      <c r="G5178" t="str">
        <f>"RICHARD HENRIQUE DA SILVA (244)"</f>
        <v>RICHARD HENRIQUE DA SILVA (244)</v>
      </c>
      <c r="H5178" t="str">
        <f>"Serv.Prest. 29/09/2025 a 05/10/2025 - PIX: CELULAR - CHAVE: (37) 99197-6834"</f>
        <v>Serv.Prest. 29/09/2025 a 05/10/2025 - PIX: CELULAR - CHAVE: (37) 99197-6834</v>
      </c>
      <c r="I5178" t="str">
        <f>("09/10/2025")</f>
        <v>09/10/2025</v>
      </c>
      <c r="J5178" t="str">
        <f>("06/10/2025")</f>
        <v>06/10/2025</v>
      </c>
      <c r="K5178" t="str">
        <f>("09/10/2025")</f>
        <v>09/10/2025</v>
      </c>
      <c r="L5178">
        <v>20</v>
      </c>
      <c r="M5178">
        <v>20</v>
      </c>
      <c r="N5178">
        <v>109</v>
      </c>
      <c r="O5178" t="str">
        <f>"PAGAMENTO DE ENTREGADORES"</f>
        <v>PAGAMENTO DE ENTREGADORES</v>
      </c>
      <c r="P5178">
        <v>20</v>
      </c>
      <c r="S5178" t="str">
        <f>"CAIXA MOVIMENTAÇÃO OPERACIONAL (132)"</f>
        <v>CAIXA MOVIMENTAÇÃO OPERACIONAL (132)</v>
      </c>
      <c r="T5178">
        <v>19436</v>
      </c>
      <c r="U5178">
        <v>23438</v>
      </c>
      <c r="V5178" t="s">
        <v>48</v>
      </c>
    </row>
    <row r="5179" spans="1:22">
      <c r="A5179" t="str">
        <f t="shared" si="926"/>
        <v>09/10/2025</v>
      </c>
      <c r="B5179" t="str">
        <f>"SAÍDA"</f>
        <v>SAÍDA</v>
      </c>
      <c r="C5179" t="str">
        <f>"PIX"</f>
        <v>PIX</v>
      </c>
      <c r="D5179" t="str">
        <f>"22871"</f>
        <v>22871</v>
      </c>
      <c r="E5179" t="str">
        <f>"1"</f>
        <v>1</v>
      </c>
      <c r="F5179" t="str">
        <f t="shared" si="925"/>
        <v>COM</v>
      </c>
      <c r="G5179" t="str">
        <f>"RICHARD HENRIQUE DA SILVA (244)"</f>
        <v>RICHARD HENRIQUE DA SILVA (244)</v>
      </c>
      <c r="H5179" t="s">
        <v>1475</v>
      </c>
      <c r="I5179" t="str">
        <f>("09/10/2025")</f>
        <v>09/10/2025</v>
      </c>
      <c r="J5179" t="str">
        <f>("06/10/2025")</f>
        <v>06/10/2025</v>
      </c>
      <c r="K5179">
        <v>45939</v>
      </c>
      <c r="N5179">
        <v>109</v>
      </c>
      <c r="O5179" t="s">
        <v>24</v>
      </c>
      <c r="Q5179">
        <v>20</v>
      </c>
      <c r="R5179" t="str">
        <f>"DROGARIA POUPA MINAS (ULTRAMINAS) 1 (10181)"</f>
        <v>DROGARIA POUPA MINAS (ULTRAMINAS) 1 (10181)</v>
      </c>
      <c r="S5179" t="s">
        <v>48</v>
      </c>
      <c r="T5179">
        <v>19436</v>
      </c>
      <c r="U5179">
        <v>23438</v>
      </c>
      <c r="V5179" t="s">
        <v>48</v>
      </c>
    </row>
    <row r="5180" spans="1:22">
      <c r="A5180" t="str">
        <f t="shared" si="926"/>
        <v>09/10/2025</v>
      </c>
      <c r="B5180" t="str">
        <f>"ENTRADA"</f>
        <v>ENTRADA</v>
      </c>
      <c r="C5180" t="str">
        <f>"DINHEIRO"</f>
        <v>DINHEIRO</v>
      </c>
      <c r="D5180" t="str">
        <f>"07"</f>
        <v>07</v>
      </c>
      <c r="E5180" t="str">
        <f>"34"</f>
        <v>34</v>
      </c>
      <c r="F5180" t="str">
        <f t="shared" si="925"/>
        <v>COM</v>
      </c>
      <c r="G5180" t="str">
        <f>"RICHARD HENRIQUE DA SILVA (244)"</f>
        <v>RICHARD HENRIQUE DA SILVA (244)</v>
      </c>
      <c r="H5180" t="str">
        <f>"DESCONTO COTA COOPERADO"</f>
        <v>DESCONTO COTA COOPERADO</v>
      </c>
      <c r="I5180" t="str">
        <f>("16/10/2025")</f>
        <v>16/10/2025</v>
      </c>
      <c r="J5180" t="str">
        <f>("16/01/2025")</f>
        <v>16/01/2025</v>
      </c>
      <c r="K5180" t="str">
        <f>("09/10/2025")</f>
        <v>09/10/2025</v>
      </c>
      <c r="L5180">
        <v>20</v>
      </c>
      <c r="M5180">
        <v>20</v>
      </c>
      <c r="N5180">
        <v>106</v>
      </c>
      <c r="O5180" t="str">
        <f>"ENTRADA DE CAPITAL"</f>
        <v>ENTRADA DE CAPITAL</v>
      </c>
      <c r="P5180">
        <v>20</v>
      </c>
      <c r="S5180" t="str">
        <f>"ENTRADA DE CAPITAL (106)"</f>
        <v>ENTRADA DE CAPITAL (106)</v>
      </c>
      <c r="T5180">
        <v>19437</v>
      </c>
      <c r="U5180">
        <v>7395</v>
      </c>
      <c r="V5180" t="s">
        <v>48</v>
      </c>
    </row>
    <row r="5181" spans="1:22">
      <c r="A5181" t="str">
        <f t="shared" si="926"/>
        <v>09/10/2025</v>
      </c>
      <c r="B5181" t="str">
        <f>"ENTRADA"</f>
        <v>ENTRADA</v>
      </c>
      <c r="C5181" t="str">
        <f>"DINHEIRO"</f>
        <v>DINHEIRO</v>
      </c>
      <c r="D5181" t="str">
        <f>"07"</f>
        <v>07</v>
      </c>
      <c r="E5181" t="str">
        <f>"34"</f>
        <v>34</v>
      </c>
      <c r="F5181" t="str">
        <f t="shared" si="925"/>
        <v>COM</v>
      </c>
      <c r="G5181" t="str">
        <f>"RICHARD HENRIQUE DA SILVA (244)"</f>
        <v>RICHARD HENRIQUE DA SILVA (244)</v>
      </c>
      <c r="H5181" t="s">
        <v>309</v>
      </c>
      <c r="I5181" t="str">
        <f>("16/10/2025")</f>
        <v>16/10/2025</v>
      </c>
      <c r="J5181" t="str">
        <f>("16/01/2025")</f>
        <v>16/01/2025</v>
      </c>
      <c r="K5181">
        <v>45939</v>
      </c>
      <c r="N5181">
        <v>106</v>
      </c>
      <c r="O5181" t="s">
        <v>51</v>
      </c>
      <c r="Q5181">
        <v>20</v>
      </c>
      <c r="R5181" t="str">
        <f>"RICHARD HENRIQUE DA SILVA (244)"</f>
        <v>RICHARD HENRIQUE DA SILVA (244)</v>
      </c>
      <c r="S5181" t="s">
        <v>52</v>
      </c>
      <c r="T5181">
        <v>19437</v>
      </c>
      <c r="U5181">
        <v>7395</v>
      </c>
      <c r="V5181" t="s">
        <v>48</v>
      </c>
    </row>
    <row r="5182" spans="1:22">
      <c r="A5182" t="str">
        <f t="shared" si="926"/>
        <v>09/10/2025</v>
      </c>
      <c r="B5182" t="str">
        <f>"SAÍDA"</f>
        <v>SAÍDA</v>
      </c>
      <c r="C5182" t="str">
        <f>"PIX"</f>
        <v>PIX</v>
      </c>
      <c r="D5182" t="str">
        <f>"22872"</f>
        <v>22872</v>
      </c>
      <c r="E5182" t="str">
        <f>"1"</f>
        <v>1</v>
      </c>
      <c r="F5182" t="str">
        <f t="shared" si="925"/>
        <v>COM</v>
      </c>
      <c r="G5182" t="str">
        <f>"ROGERIO AUGUSTO FERREIRA (649)"</f>
        <v>ROGERIO AUGUSTO FERREIRA (649)</v>
      </c>
      <c r="H5182" t="str">
        <f>"Serv.Prest. 29/09/2025 a 05/10/2025 - PIX: CPF - CHAVE: 950.176.406-06"</f>
        <v>Serv.Prest. 29/09/2025 a 05/10/2025 - PIX: CPF - CHAVE: 950.176.406-06</v>
      </c>
      <c r="I5182" t="str">
        <f>("09/10/2025")</f>
        <v>09/10/2025</v>
      </c>
      <c r="J5182" t="str">
        <f>("06/10/2025")</f>
        <v>06/10/2025</v>
      </c>
      <c r="K5182" t="str">
        <f>("09/10/2025")</f>
        <v>09/10/2025</v>
      </c>
      <c r="L5182">
        <v>20</v>
      </c>
      <c r="M5182">
        <v>20</v>
      </c>
      <c r="N5182">
        <v>109</v>
      </c>
      <c r="O5182" t="str">
        <f>"PAGAMENTO DE ENTREGADORES"</f>
        <v>PAGAMENTO DE ENTREGADORES</v>
      </c>
      <c r="P5182">
        <v>20</v>
      </c>
      <c r="S5182" t="str">
        <f>"CAIXA MOVIMENTAÇÃO OPERACIONAL (132)"</f>
        <v>CAIXA MOVIMENTAÇÃO OPERACIONAL (132)</v>
      </c>
      <c r="T5182">
        <v>19438</v>
      </c>
      <c r="U5182">
        <v>23439</v>
      </c>
      <c r="V5182" t="s">
        <v>48</v>
      </c>
    </row>
    <row r="5183" spans="1:22">
      <c r="A5183" t="str">
        <f t="shared" si="926"/>
        <v>09/10/2025</v>
      </c>
      <c r="B5183" t="str">
        <f>"SAÍDA"</f>
        <v>SAÍDA</v>
      </c>
      <c r="C5183" t="str">
        <f>"PIX"</f>
        <v>PIX</v>
      </c>
      <c r="D5183" t="str">
        <f>"22872"</f>
        <v>22872</v>
      </c>
      <c r="E5183" t="str">
        <f>"1"</f>
        <v>1</v>
      </c>
      <c r="F5183" t="str">
        <f t="shared" si="925"/>
        <v>COM</v>
      </c>
      <c r="G5183" t="str">
        <f>"ROGERIO AUGUSTO FERREIRA (649)"</f>
        <v>ROGERIO AUGUSTO FERREIRA (649)</v>
      </c>
      <c r="H5183" t="s">
        <v>1476</v>
      </c>
      <c r="I5183" t="str">
        <f>("09/10/2025")</f>
        <v>09/10/2025</v>
      </c>
      <c r="J5183" t="str">
        <f>("06/10/2025")</f>
        <v>06/10/2025</v>
      </c>
      <c r="K5183">
        <v>45939</v>
      </c>
      <c r="N5183">
        <v>109</v>
      </c>
      <c r="O5183" t="s">
        <v>24</v>
      </c>
      <c r="Q5183">
        <v>20</v>
      </c>
      <c r="R5183" t="str">
        <f>"DROGARIA POUPA MINAS (ULTRAMINAS) 1 (10181)"</f>
        <v>DROGARIA POUPA MINAS (ULTRAMINAS) 1 (10181)</v>
      </c>
      <c r="S5183" t="s">
        <v>48</v>
      </c>
      <c r="T5183">
        <v>19438</v>
      </c>
      <c r="U5183">
        <v>23439</v>
      </c>
      <c r="V5183" t="s">
        <v>48</v>
      </c>
    </row>
    <row r="5184" spans="1:22">
      <c r="A5184" t="str">
        <f t="shared" si="926"/>
        <v>09/10/2025</v>
      </c>
      <c r="B5184" t="str">
        <f>"ENTRADA"</f>
        <v>ENTRADA</v>
      </c>
      <c r="C5184" t="str">
        <f>"DINHEIRO"</f>
        <v>DINHEIRO</v>
      </c>
      <c r="D5184" t="str">
        <f>"649"</f>
        <v>649</v>
      </c>
      <c r="E5184" t="str">
        <f>"9"</f>
        <v>9</v>
      </c>
      <c r="F5184" t="str">
        <f t="shared" si="925"/>
        <v>COM</v>
      </c>
      <c r="G5184" t="str">
        <f>"ROGERIO AUGUSTO FERREIRA (649)"</f>
        <v>ROGERIO AUGUSTO FERREIRA (649)</v>
      </c>
      <c r="H5184" t="str">
        <f>"COTAS COOPERATIVA"</f>
        <v>COTAS COOPERATIVA</v>
      </c>
      <c r="I5184" t="str">
        <f>("13/10/2025")</f>
        <v>13/10/2025</v>
      </c>
      <c r="J5184" t="str">
        <f>("13/02/2025")</f>
        <v>13/02/2025</v>
      </c>
      <c r="K5184" t="str">
        <f>("09/10/2025")</f>
        <v>09/10/2025</v>
      </c>
      <c r="L5184">
        <v>20</v>
      </c>
      <c r="M5184">
        <v>20</v>
      </c>
      <c r="N5184">
        <v>106</v>
      </c>
      <c r="O5184" t="str">
        <f>"ENTRADA DE CAPITAL"</f>
        <v>ENTRADA DE CAPITAL</v>
      </c>
      <c r="P5184">
        <v>20</v>
      </c>
      <c r="S5184" t="str">
        <f>"ENTRADA DE CAPITAL (106)"</f>
        <v>ENTRADA DE CAPITAL (106)</v>
      </c>
      <c r="T5184">
        <v>19439</v>
      </c>
      <c r="U5184">
        <v>9594</v>
      </c>
      <c r="V5184" t="s">
        <v>48</v>
      </c>
    </row>
    <row r="5185" spans="1:22">
      <c r="A5185" t="str">
        <f t="shared" si="926"/>
        <v>09/10/2025</v>
      </c>
      <c r="B5185" t="str">
        <f>"ENTRADA"</f>
        <v>ENTRADA</v>
      </c>
      <c r="C5185" t="str">
        <f>"DINHEIRO"</f>
        <v>DINHEIRO</v>
      </c>
      <c r="D5185" t="str">
        <f>"649"</f>
        <v>649</v>
      </c>
      <c r="E5185" t="str">
        <f>"9"</f>
        <v>9</v>
      </c>
      <c r="F5185" t="str">
        <f t="shared" si="925"/>
        <v>COM</v>
      </c>
      <c r="G5185" t="str">
        <f>"ROGERIO AUGUSTO FERREIRA (649)"</f>
        <v>ROGERIO AUGUSTO FERREIRA (649)</v>
      </c>
      <c r="H5185" t="s">
        <v>318</v>
      </c>
      <c r="I5185" t="str">
        <f>("13/10/2025")</f>
        <v>13/10/2025</v>
      </c>
      <c r="J5185" t="str">
        <f>("13/02/2025")</f>
        <v>13/02/2025</v>
      </c>
      <c r="K5185">
        <v>45939</v>
      </c>
      <c r="N5185">
        <v>106</v>
      </c>
      <c r="O5185" t="s">
        <v>51</v>
      </c>
      <c r="Q5185">
        <v>20</v>
      </c>
      <c r="R5185" t="str">
        <f>"ROGERIO AUGUSTO FERREIRA (649)"</f>
        <v>ROGERIO AUGUSTO FERREIRA (649)</v>
      </c>
      <c r="S5185" t="s">
        <v>52</v>
      </c>
      <c r="T5185">
        <v>19439</v>
      </c>
      <c r="U5185">
        <v>9594</v>
      </c>
      <c r="V5185" t="s">
        <v>48</v>
      </c>
    </row>
    <row r="5186" spans="1:22">
      <c r="A5186" t="str">
        <f t="shared" si="926"/>
        <v>09/10/2025</v>
      </c>
      <c r="B5186" t="str">
        <f>"ENTRADA"</f>
        <v>ENTRADA</v>
      </c>
      <c r="C5186" t="str">
        <f>"DINHEIRO"</f>
        <v>DINHEIRO</v>
      </c>
      <c r="D5186" t="str">
        <f>"725"</f>
        <v>725</v>
      </c>
      <c r="E5186" t="str">
        <f>"6"</f>
        <v>6</v>
      </c>
      <c r="F5186" t="str">
        <f t="shared" ref="F5186:F5249" si="930">"COM"</f>
        <v>COM</v>
      </c>
      <c r="G5186" t="str">
        <f>"SADRAK ENOK BORGES (725)"</f>
        <v>SADRAK ENOK BORGES (725)</v>
      </c>
      <c r="H5186" t="str">
        <f>"COTA COOPERATIVA"</f>
        <v>COTA COOPERATIVA</v>
      </c>
      <c r="I5186" t="str">
        <f>("08/10/2025")</f>
        <v>08/10/2025</v>
      </c>
      <c r="J5186" t="str">
        <f>("04/04/2025")</f>
        <v>04/04/2025</v>
      </c>
      <c r="K5186" t="str">
        <f>("09/10/2025")</f>
        <v>09/10/2025</v>
      </c>
      <c r="L5186">
        <v>20</v>
      </c>
      <c r="M5186">
        <v>20</v>
      </c>
      <c r="N5186">
        <v>106</v>
      </c>
      <c r="O5186" t="str">
        <f>"ENTRADA DE CAPITAL"</f>
        <v>ENTRADA DE CAPITAL</v>
      </c>
      <c r="P5186">
        <v>20</v>
      </c>
      <c r="S5186" t="str">
        <f>"ENTRADA DE CAPITAL (106)"</f>
        <v>ENTRADA DE CAPITAL (106)</v>
      </c>
      <c r="T5186">
        <v>19440</v>
      </c>
      <c r="U5186">
        <v>14424</v>
      </c>
      <c r="V5186" t="s">
        <v>48</v>
      </c>
    </row>
    <row r="5187" spans="1:22">
      <c r="A5187" t="str">
        <f t="shared" si="926"/>
        <v>09/10/2025</v>
      </c>
      <c r="B5187" t="str">
        <f>"ENTRADA"</f>
        <v>ENTRADA</v>
      </c>
      <c r="C5187" t="str">
        <f>"DINHEIRO"</f>
        <v>DINHEIRO</v>
      </c>
      <c r="D5187" t="str">
        <f>"725"</f>
        <v>725</v>
      </c>
      <c r="E5187" t="str">
        <f>"6"</f>
        <v>6</v>
      </c>
      <c r="F5187" t="str">
        <f t="shared" si="930"/>
        <v>COM</v>
      </c>
      <c r="G5187" t="str">
        <f>"SADRAK ENOK BORGES (725)"</f>
        <v>SADRAK ENOK BORGES (725)</v>
      </c>
      <c r="H5187" t="s">
        <v>50</v>
      </c>
      <c r="I5187" t="str">
        <f>("08/10/2025")</f>
        <v>08/10/2025</v>
      </c>
      <c r="J5187" t="str">
        <f>("04/04/2025")</f>
        <v>04/04/2025</v>
      </c>
      <c r="K5187">
        <v>45939</v>
      </c>
      <c r="N5187">
        <v>106</v>
      </c>
      <c r="O5187" t="s">
        <v>51</v>
      </c>
      <c r="Q5187">
        <v>20</v>
      </c>
      <c r="R5187" t="str">
        <f>"SADRAK ENOK BORGES (725)"</f>
        <v>SADRAK ENOK BORGES (725)</v>
      </c>
      <c r="S5187" t="s">
        <v>52</v>
      </c>
      <c r="T5187">
        <v>19440</v>
      </c>
      <c r="U5187">
        <v>14424</v>
      </c>
      <c r="V5187" t="s">
        <v>48</v>
      </c>
    </row>
    <row r="5188" spans="1:22">
      <c r="A5188" t="str">
        <f t="shared" ref="A5188:A5251" si="931">("09/10/2025")</f>
        <v>09/10/2025</v>
      </c>
      <c r="B5188" t="str">
        <f>"SAÍDA"</f>
        <v>SAÍDA</v>
      </c>
      <c r="C5188" t="str">
        <f>"PIX"</f>
        <v>PIX</v>
      </c>
      <c r="D5188" t="str">
        <f>"22824"</f>
        <v>22824</v>
      </c>
      <c r="E5188" t="str">
        <f>"1"</f>
        <v>1</v>
      </c>
      <c r="F5188" t="str">
        <f t="shared" si="930"/>
        <v>COM</v>
      </c>
      <c r="G5188" t="str">
        <f>"SADRAK ENOKES BORGES (725)"</f>
        <v>SADRAK ENOKES BORGES (725)</v>
      </c>
      <c r="H5188" t="str">
        <f>"Serv.Prest. 29/09/2025 a 05/10/2025 - PIX: CPF - CHAVE: 128.367.756-37"</f>
        <v>Serv.Prest. 29/09/2025 a 05/10/2025 - PIX: CPF - CHAVE: 128.367.756-37</v>
      </c>
      <c r="I5188" t="str">
        <f>("09/10/2025")</f>
        <v>09/10/2025</v>
      </c>
      <c r="J5188" t="str">
        <f>("06/10/2025")</f>
        <v>06/10/2025</v>
      </c>
      <c r="K5188" t="str">
        <f>("09/10/2025")</f>
        <v>09/10/2025</v>
      </c>
      <c r="L5188">
        <v>20</v>
      </c>
      <c r="M5188">
        <v>20</v>
      </c>
      <c r="N5188">
        <v>109</v>
      </c>
      <c r="O5188" t="str">
        <f>"PAGAMENTO DE ENTREGADORES"</f>
        <v>PAGAMENTO DE ENTREGADORES</v>
      </c>
      <c r="P5188">
        <v>20</v>
      </c>
      <c r="S5188" t="str">
        <f>"CAIXA MOVIMENTAÇÃO OPERACIONAL (132)"</f>
        <v>CAIXA MOVIMENTAÇÃO OPERACIONAL (132)</v>
      </c>
      <c r="T5188">
        <v>19441</v>
      </c>
      <c r="U5188">
        <v>23440</v>
      </c>
      <c r="V5188" t="s">
        <v>48</v>
      </c>
    </row>
    <row r="5189" spans="1:22">
      <c r="A5189" t="str">
        <f t="shared" si="931"/>
        <v>09/10/2025</v>
      </c>
      <c r="B5189" t="str">
        <f>"SAÍDA"</f>
        <v>SAÍDA</v>
      </c>
      <c r="C5189" t="str">
        <f>"PIX"</f>
        <v>PIX</v>
      </c>
      <c r="D5189" t="str">
        <f>"22824"</f>
        <v>22824</v>
      </c>
      <c r="E5189" t="str">
        <f>"1"</f>
        <v>1</v>
      </c>
      <c r="F5189" t="str">
        <f t="shared" si="930"/>
        <v>COM</v>
      </c>
      <c r="G5189" t="str">
        <f>"SADRAK ENOKES BORGES (725)"</f>
        <v>SADRAK ENOKES BORGES (725)</v>
      </c>
      <c r="H5189" t="s">
        <v>1477</v>
      </c>
      <c r="I5189" t="str">
        <f>("09/10/2025")</f>
        <v>09/10/2025</v>
      </c>
      <c r="J5189" t="str">
        <f>("06/10/2025")</f>
        <v>06/10/2025</v>
      </c>
      <c r="K5189">
        <v>45939</v>
      </c>
      <c r="N5189">
        <v>109</v>
      </c>
      <c r="O5189" t="s">
        <v>24</v>
      </c>
      <c r="Q5189">
        <v>20</v>
      </c>
      <c r="R5189" t="str">
        <f>"ENTREFARMA (10164)"</f>
        <v>ENTREFARMA (10164)</v>
      </c>
      <c r="S5189" t="s">
        <v>48</v>
      </c>
      <c r="T5189">
        <v>19441</v>
      </c>
      <c r="U5189">
        <v>23440</v>
      </c>
      <c r="V5189" t="s">
        <v>48</v>
      </c>
    </row>
    <row r="5190" spans="1:22">
      <c r="A5190" t="str">
        <f t="shared" si="931"/>
        <v>09/10/2025</v>
      </c>
      <c r="B5190" t="str">
        <f>"SAÍDA"</f>
        <v>SAÍDA</v>
      </c>
      <c r="C5190" t="str">
        <f>"PIX"</f>
        <v>PIX</v>
      </c>
      <c r="D5190" t="str">
        <f>"22830"</f>
        <v>22830</v>
      </c>
      <c r="E5190" t="str">
        <f>"1"</f>
        <v>1</v>
      </c>
      <c r="F5190" t="str">
        <f t="shared" si="930"/>
        <v>COM</v>
      </c>
      <c r="G5190" t="str">
        <f>"SAMUEL SOARES DA SILVA (867)"</f>
        <v>SAMUEL SOARES DA SILVA (867)</v>
      </c>
      <c r="H5190" t="str">
        <f>"Serv.Prest. 29/09/2025 a 05/10/2025 - PIX: CPF - CHAVE: 396.124.108-28"</f>
        <v>Serv.Prest. 29/09/2025 a 05/10/2025 - PIX: CPF - CHAVE: 396.124.108-28</v>
      </c>
      <c r="I5190" t="str">
        <f>("09/10/2025")</f>
        <v>09/10/2025</v>
      </c>
      <c r="J5190" t="str">
        <f>("06/10/2025")</f>
        <v>06/10/2025</v>
      </c>
      <c r="K5190" t="str">
        <f>("09/10/2025")</f>
        <v>09/10/2025</v>
      </c>
      <c r="L5190">
        <v>20</v>
      </c>
      <c r="M5190">
        <v>20</v>
      </c>
      <c r="N5190">
        <v>109</v>
      </c>
      <c r="O5190" t="str">
        <f>"PAGAMENTO DE ENTREGADORES"</f>
        <v>PAGAMENTO DE ENTREGADORES</v>
      </c>
      <c r="P5190">
        <v>20</v>
      </c>
      <c r="S5190" t="str">
        <f>"CAIXA MOVIMENTAÇÃO OPERACIONAL (132)"</f>
        <v>CAIXA MOVIMENTAÇÃO OPERACIONAL (132)</v>
      </c>
      <c r="T5190">
        <v>19442</v>
      </c>
      <c r="U5190">
        <v>23441</v>
      </c>
      <c r="V5190" t="s">
        <v>48</v>
      </c>
    </row>
    <row r="5191" spans="1:22">
      <c r="A5191" t="str">
        <f t="shared" si="931"/>
        <v>09/10/2025</v>
      </c>
      <c r="B5191" t="str">
        <f>"SAÍDA"</f>
        <v>SAÍDA</v>
      </c>
      <c r="C5191" t="str">
        <f>"PIX"</f>
        <v>PIX</v>
      </c>
      <c r="D5191" t="str">
        <f>"22830"</f>
        <v>22830</v>
      </c>
      <c r="E5191" t="str">
        <f>"1"</f>
        <v>1</v>
      </c>
      <c r="F5191" t="str">
        <f t="shared" si="930"/>
        <v>COM</v>
      </c>
      <c r="G5191" t="str">
        <f>"SAMUEL SOARES DA SILVA (867)"</f>
        <v>SAMUEL SOARES DA SILVA (867)</v>
      </c>
      <c r="H5191" t="s">
        <v>1478</v>
      </c>
      <c r="I5191" t="str">
        <f>("09/10/2025")</f>
        <v>09/10/2025</v>
      </c>
      <c r="J5191" t="str">
        <f>("06/10/2025")</f>
        <v>06/10/2025</v>
      </c>
      <c r="K5191">
        <v>45939</v>
      </c>
      <c r="N5191">
        <v>109</v>
      </c>
      <c r="O5191" t="s">
        <v>24</v>
      </c>
      <c r="Q5191">
        <v>20</v>
      </c>
      <c r="R5191" t="str">
        <f>"DROGA ELIDA (10121)"</f>
        <v>DROGA ELIDA (10121)</v>
      </c>
      <c r="S5191" t="s">
        <v>48</v>
      </c>
      <c r="T5191">
        <v>19442</v>
      </c>
      <c r="U5191">
        <v>23441</v>
      </c>
      <c r="V5191" t="s">
        <v>48</v>
      </c>
    </row>
    <row r="5192" spans="1:22">
      <c r="A5192" t="str">
        <f t="shared" si="931"/>
        <v>09/10/2025</v>
      </c>
      <c r="B5192" t="str">
        <f>"ENTRADA"</f>
        <v>ENTRADA</v>
      </c>
      <c r="C5192" t="str">
        <f>"DINHEIRO"</f>
        <v>DINHEIRO</v>
      </c>
      <c r="D5192" t="str">
        <f>"867"</f>
        <v>867</v>
      </c>
      <c r="E5192" t="str">
        <f>"3"</f>
        <v>3</v>
      </c>
      <c r="F5192" t="str">
        <f t="shared" si="930"/>
        <v>COM</v>
      </c>
      <c r="G5192" t="str">
        <f>"SAMUEL SOARES DA SILVA (867)"</f>
        <v>SAMUEL SOARES DA SILVA (867)</v>
      </c>
      <c r="H5192" t="str">
        <f>"COTA COOPERATIVA"</f>
        <v>COTA COOPERATIVA</v>
      </c>
      <c r="I5192" t="str">
        <f>("10/10/2025")</f>
        <v>10/10/2025</v>
      </c>
      <c r="J5192" t="str">
        <f>("30/06/2025")</f>
        <v>30/06/2025</v>
      </c>
      <c r="K5192" t="str">
        <f>("09/10/2025")</f>
        <v>09/10/2025</v>
      </c>
      <c r="L5192">
        <v>20</v>
      </c>
      <c r="M5192">
        <v>20</v>
      </c>
      <c r="N5192">
        <v>106</v>
      </c>
      <c r="O5192" t="str">
        <f>"ENTRADA DE CAPITAL"</f>
        <v>ENTRADA DE CAPITAL</v>
      </c>
      <c r="P5192">
        <v>20</v>
      </c>
      <c r="S5192" t="str">
        <f>"ENTRADA DE CAPITAL (106)"</f>
        <v>ENTRADA DE CAPITAL (106)</v>
      </c>
      <c r="T5192">
        <v>19443</v>
      </c>
      <c r="U5192">
        <v>19954</v>
      </c>
      <c r="V5192" t="s">
        <v>48</v>
      </c>
    </row>
    <row r="5193" spans="1:22">
      <c r="A5193" t="str">
        <f t="shared" si="931"/>
        <v>09/10/2025</v>
      </c>
      <c r="B5193" t="str">
        <f>"ENTRADA"</f>
        <v>ENTRADA</v>
      </c>
      <c r="C5193" t="str">
        <f>"DINHEIRO"</f>
        <v>DINHEIRO</v>
      </c>
      <c r="D5193" t="str">
        <f>"867"</f>
        <v>867</v>
      </c>
      <c r="E5193" t="str">
        <f>"3"</f>
        <v>3</v>
      </c>
      <c r="F5193" t="str">
        <f t="shared" si="930"/>
        <v>COM</v>
      </c>
      <c r="G5193" t="str">
        <f>"SAMUEL SOARES DA SILVA (867)"</f>
        <v>SAMUEL SOARES DA SILVA (867)</v>
      </c>
      <c r="H5193" t="s">
        <v>50</v>
      </c>
      <c r="I5193" t="str">
        <f>("10/10/2025")</f>
        <v>10/10/2025</v>
      </c>
      <c r="J5193" t="str">
        <f>("30/06/2025")</f>
        <v>30/06/2025</v>
      </c>
      <c r="K5193">
        <v>45939</v>
      </c>
      <c r="N5193">
        <v>106</v>
      </c>
      <c r="O5193" t="s">
        <v>51</v>
      </c>
      <c r="Q5193">
        <v>20</v>
      </c>
      <c r="R5193" t="str">
        <f>"SAMUEL SOARES DA SILVA (867)"</f>
        <v>SAMUEL SOARES DA SILVA (867)</v>
      </c>
      <c r="S5193" t="s">
        <v>52</v>
      </c>
      <c r="T5193">
        <v>19443</v>
      </c>
      <c r="U5193">
        <v>19954</v>
      </c>
      <c r="V5193" t="s">
        <v>48</v>
      </c>
    </row>
    <row r="5194" spans="1:22">
      <c r="A5194" t="str">
        <f t="shared" si="931"/>
        <v>09/10/2025</v>
      </c>
      <c r="B5194" t="str">
        <f>"SAÍDA"</f>
        <v>SAÍDA</v>
      </c>
      <c r="C5194" t="str">
        <f>"PIX"</f>
        <v>PIX</v>
      </c>
      <c r="D5194" t="str">
        <f>"22632"</f>
        <v>22632</v>
      </c>
      <c r="E5194" t="str">
        <f>"1"</f>
        <v>1</v>
      </c>
      <c r="F5194" t="str">
        <f t="shared" si="930"/>
        <v>COM</v>
      </c>
      <c r="G5194" t="str">
        <f>"SANRIO OLIVEIRA DO CARMO (579)"</f>
        <v>SANRIO OLIVEIRA DO CARMO (579)</v>
      </c>
      <c r="H5194" t="str">
        <f>"Serv.Prest. 22/09/2025 a 25/09/2025 - PIX: CPF - CHAVE: 118.731.976-75"</f>
        <v>Serv.Prest. 22/09/2025 a 25/09/2025 - PIX: CPF - CHAVE: 118.731.976-75</v>
      </c>
      <c r="I5194" t="str">
        <f>("09/10/2025")</f>
        <v>09/10/2025</v>
      </c>
      <c r="J5194" t="str">
        <f>("26/09/2025")</f>
        <v>26/09/2025</v>
      </c>
      <c r="K5194" t="str">
        <f>("09/10/2025")</f>
        <v>09/10/2025</v>
      </c>
      <c r="L5194">
        <v>20</v>
      </c>
      <c r="M5194">
        <v>20</v>
      </c>
      <c r="N5194">
        <v>109</v>
      </c>
      <c r="O5194" t="str">
        <f>"PAGAMENTO DE ENTREGADORES"</f>
        <v>PAGAMENTO DE ENTREGADORES</v>
      </c>
      <c r="P5194">
        <v>20</v>
      </c>
      <c r="S5194" t="str">
        <f>"CAIXA MOVIMENTAÇÃO OPERACIONAL (132)"</f>
        <v>CAIXA MOVIMENTAÇÃO OPERACIONAL (132)</v>
      </c>
      <c r="T5194">
        <v>19444</v>
      </c>
      <c r="U5194">
        <v>23442</v>
      </c>
      <c r="V5194" t="s">
        <v>48</v>
      </c>
    </row>
    <row r="5195" spans="1:22">
      <c r="A5195" t="str">
        <f t="shared" si="931"/>
        <v>09/10/2025</v>
      </c>
      <c r="B5195" t="str">
        <f>"SAÍDA"</f>
        <v>SAÍDA</v>
      </c>
      <c r="C5195" t="str">
        <f>"PIX"</f>
        <v>PIX</v>
      </c>
      <c r="D5195" t="str">
        <f>"22632"</f>
        <v>22632</v>
      </c>
      <c r="E5195" t="str">
        <f>"1"</f>
        <v>1</v>
      </c>
      <c r="F5195" t="str">
        <f t="shared" si="930"/>
        <v>COM</v>
      </c>
      <c r="G5195" t="str">
        <f>"SANRIO OLIVEIRA DO CARMO (579)"</f>
        <v>SANRIO OLIVEIRA DO CARMO (579)</v>
      </c>
      <c r="H5195" t="s">
        <v>1479</v>
      </c>
      <c r="I5195" t="str">
        <f>("09/10/2025")</f>
        <v>09/10/2025</v>
      </c>
      <c r="J5195" t="str">
        <f>("26/09/2025")</f>
        <v>26/09/2025</v>
      </c>
      <c r="K5195">
        <v>45939</v>
      </c>
      <c r="N5195">
        <v>109</v>
      </c>
      <c r="O5195" t="s">
        <v>24</v>
      </c>
      <c r="Q5195">
        <v>20</v>
      </c>
      <c r="R5195" t="str">
        <f>"FARMÁCIA INDIANA LJ 152 (10069)"</f>
        <v>FARMÁCIA INDIANA LJ 152 (10069)</v>
      </c>
      <c r="S5195" t="s">
        <v>48</v>
      </c>
      <c r="T5195">
        <v>19444</v>
      </c>
      <c r="U5195">
        <v>23442</v>
      </c>
      <c r="V5195" t="s">
        <v>48</v>
      </c>
    </row>
    <row r="5196" spans="1:22">
      <c r="A5196" t="str">
        <f t="shared" si="931"/>
        <v>09/10/2025</v>
      </c>
      <c r="B5196" t="str">
        <f>"ENTRADA"</f>
        <v>ENTRADA</v>
      </c>
      <c r="C5196" t="str">
        <f>"DINHEIRO"</f>
        <v>DINHEIRO</v>
      </c>
      <c r="D5196" t="str">
        <f>"02"</f>
        <v>02</v>
      </c>
      <c r="E5196" t="str">
        <f>"34"</f>
        <v>34</v>
      </c>
      <c r="F5196" t="str">
        <f t="shared" si="930"/>
        <v>COM</v>
      </c>
      <c r="G5196" t="str">
        <f>"SANRIO OLIVEIRA DO CARMO (579)"</f>
        <v>SANRIO OLIVEIRA DO CARMO (579)</v>
      </c>
      <c r="H5196" t="str">
        <f>"DESCONTO COTA COOPERADO"</f>
        <v>DESCONTO COTA COOPERADO</v>
      </c>
      <c r="I5196" t="str">
        <f>("16/10/2025")</f>
        <v>16/10/2025</v>
      </c>
      <c r="J5196" t="str">
        <f>("16/01/2025")</f>
        <v>16/01/2025</v>
      </c>
      <c r="K5196" t="str">
        <f>("09/10/2025")</f>
        <v>09/10/2025</v>
      </c>
      <c r="L5196">
        <v>20</v>
      </c>
      <c r="M5196">
        <v>20</v>
      </c>
      <c r="N5196">
        <v>106</v>
      </c>
      <c r="O5196" t="str">
        <f>"ENTRADA DE CAPITAL"</f>
        <v>ENTRADA DE CAPITAL</v>
      </c>
      <c r="P5196">
        <v>20</v>
      </c>
      <c r="S5196" t="str">
        <f>"ENTRADA DE CAPITAL (106)"</f>
        <v>ENTRADA DE CAPITAL (106)</v>
      </c>
      <c r="T5196">
        <v>19445</v>
      </c>
      <c r="U5196">
        <v>7530</v>
      </c>
      <c r="V5196" t="s">
        <v>48</v>
      </c>
    </row>
    <row r="5197" spans="1:22">
      <c r="A5197" t="str">
        <f t="shared" si="931"/>
        <v>09/10/2025</v>
      </c>
      <c r="B5197" t="str">
        <f>"ENTRADA"</f>
        <v>ENTRADA</v>
      </c>
      <c r="C5197" t="str">
        <f>"DINHEIRO"</f>
        <v>DINHEIRO</v>
      </c>
      <c r="D5197" t="str">
        <f>"02"</f>
        <v>02</v>
      </c>
      <c r="E5197" t="str">
        <f>"34"</f>
        <v>34</v>
      </c>
      <c r="F5197" t="str">
        <f t="shared" si="930"/>
        <v>COM</v>
      </c>
      <c r="G5197" t="str">
        <f>"SANRIO OLIVEIRA DO CARMO (579)"</f>
        <v>SANRIO OLIVEIRA DO CARMO (579)</v>
      </c>
      <c r="H5197" t="s">
        <v>309</v>
      </c>
      <c r="I5197" t="str">
        <f>("16/10/2025")</f>
        <v>16/10/2025</v>
      </c>
      <c r="J5197" t="str">
        <f>("16/01/2025")</f>
        <v>16/01/2025</v>
      </c>
      <c r="K5197">
        <v>45939</v>
      </c>
      <c r="N5197">
        <v>106</v>
      </c>
      <c r="O5197" t="s">
        <v>51</v>
      </c>
      <c r="Q5197">
        <v>20</v>
      </c>
      <c r="R5197" t="str">
        <f>"SANRIO OLIVEIRA DO CARMO (579)"</f>
        <v>SANRIO OLIVEIRA DO CARMO (579)</v>
      </c>
      <c r="S5197" t="s">
        <v>52</v>
      </c>
      <c r="T5197">
        <v>19445</v>
      </c>
      <c r="U5197">
        <v>7530</v>
      </c>
      <c r="V5197" t="s">
        <v>48</v>
      </c>
    </row>
    <row r="5198" spans="1:22">
      <c r="A5198" t="str">
        <f t="shared" si="931"/>
        <v>09/10/2025</v>
      </c>
      <c r="B5198" t="str">
        <f>"SAÍDA"</f>
        <v>SAÍDA</v>
      </c>
      <c r="C5198" t="str">
        <f>"PIX"</f>
        <v>PIX</v>
      </c>
      <c r="D5198" t="str">
        <f>"22633"</f>
        <v>22633</v>
      </c>
      <c r="E5198" t="str">
        <f>"1"</f>
        <v>1</v>
      </c>
      <c r="F5198" t="str">
        <f t="shared" si="930"/>
        <v>COM</v>
      </c>
      <c r="G5198" t="str">
        <f t="shared" ref="G5198:G5203" si="932">"SEDNEY GOMES SOARES (87)"</f>
        <v>SEDNEY GOMES SOARES (87)</v>
      </c>
      <c r="H5198" t="str">
        <f>"Serv.Prest. 22/09/2025 a 25/09/2025 - PIX: CPF - CHAVE: 048.151.276-46"</f>
        <v>Serv.Prest. 22/09/2025 a 25/09/2025 - PIX: CPF - CHAVE: 048.151.276-46</v>
      </c>
      <c r="I5198" t="str">
        <f>("09/10/2025")</f>
        <v>09/10/2025</v>
      </c>
      <c r="J5198" t="str">
        <f>("26/09/2025")</f>
        <v>26/09/2025</v>
      </c>
      <c r="K5198" t="str">
        <f>("09/10/2025")</f>
        <v>09/10/2025</v>
      </c>
      <c r="L5198">
        <v>20</v>
      </c>
      <c r="M5198">
        <v>20</v>
      </c>
      <c r="N5198">
        <v>109</v>
      </c>
      <c r="O5198" t="str">
        <f>"PAGAMENTO DE ENTREGADORES"</f>
        <v>PAGAMENTO DE ENTREGADORES</v>
      </c>
      <c r="P5198">
        <v>20</v>
      </c>
      <c r="S5198" t="str">
        <f>"CAIXA MOVIMENTAÇÃO OPERACIONAL (132)"</f>
        <v>CAIXA MOVIMENTAÇÃO OPERACIONAL (132)</v>
      </c>
      <c r="T5198">
        <v>19446</v>
      </c>
      <c r="U5198">
        <v>23443</v>
      </c>
      <c r="V5198" t="s">
        <v>48</v>
      </c>
    </row>
    <row r="5199" spans="1:22">
      <c r="A5199" t="str">
        <f t="shared" si="931"/>
        <v>09/10/2025</v>
      </c>
      <c r="B5199" t="str">
        <f>"SAÍDA"</f>
        <v>SAÍDA</v>
      </c>
      <c r="C5199" t="str">
        <f>"PIX"</f>
        <v>PIX</v>
      </c>
      <c r="D5199" t="str">
        <f>"22633"</f>
        <v>22633</v>
      </c>
      <c r="E5199" t="str">
        <f>"1"</f>
        <v>1</v>
      </c>
      <c r="F5199" t="str">
        <f t="shared" si="930"/>
        <v>COM</v>
      </c>
      <c r="G5199" t="str">
        <f t="shared" si="932"/>
        <v>SEDNEY GOMES SOARES (87)</v>
      </c>
      <c r="H5199" t="s">
        <v>1480</v>
      </c>
      <c r="I5199" t="str">
        <f>("09/10/2025")</f>
        <v>09/10/2025</v>
      </c>
      <c r="J5199" t="str">
        <f>("26/09/2025")</f>
        <v>26/09/2025</v>
      </c>
      <c r="K5199">
        <v>45939</v>
      </c>
      <c r="N5199">
        <v>109</v>
      </c>
      <c r="O5199" t="s">
        <v>24</v>
      </c>
      <c r="Q5199">
        <v>13.79</v>
      </c>
      <c r="R5199" t="str">
        <f>"FARMÁCIA INDIANA LJ 97 (10040)"</f>
        <v>FARMÁCIA INDIANA LJ 97 (10040)</v>
      </c>
      <c r="S5199" t="s">
        <v>48</v>
      </c>
      <c r="T5199">
        <v>19446</v>
      </c>
      <c r="U5199">
        <v>23443</v>
      </c>
      <c r="V5199" t="s">
        <v>48</v>
      </c>
    </row>
    <row r="5200" spans="1:22">
      <c r="A5200" t="str">
        <f t="shared" si="931"/>
        <v>09/10/2025</v>
      </c>
      <c r="B5200" t="str">
        <f>"SAÍDA"</f>
        <v>SAÍDA</v>
      </c>
      <c r="C5200" t="str">
        <f>"PIX"</f>
        <v>PIX</v>
      </c>
      <c r="D5200" t="str">
        <f>"22633"</f>
        <v>22633</v>
      </c>
      <c r="E5200" t="str">
        <f>"1"</f>
        <v>1</v>
      </c>
      <c r="F5200" t="str">
        <f t="shared" si="930"/>
        <v>COM</v>
      </c>
      <c r="G5200" t="str">
        <f t="shared" si="932"/>
        <v>SEDNEY GOMES SOARES (87)</v>
      </c>
      <c r="H5200" t="s">
        <v>1480</v>
      </c>
      <c r="I5200" t="str">
        <f>("09/10/2025")</f>
        <v>09/10/2025</v>
      </c>
      <c r="J5200" t="str">
        <f>("26/09/2025")</f>
        <v>26/09/2025</v>
      </c>
      <c r="K5200">
        <v>45939</v>
      </c>
      <c r="N5200">
        <v>109</v>
      </c>
      <c r="O5200" t="s">
        <v>24</v>
      </c>
      <c r="Q5200">
        <v>3.45</v>
      </c>
      <c r="R5200" t="str">
        <f>"FARMÁCIA INDIANA LJ 111 (10049)"</f>
        <v>FARMÁCIA INDIANA LJ 111 (10049)</v>
      </c>
      <c r="S5200" t="s">
        <v>48</v>
      </c>
      <c r="T5200">
        <v>19446</v>
      </c>
      <c r="U5200">
        <v>23443</v>
      </c>
      <c r="V5200" t="s">
        <v>48</v>
      </c>
    </row>
    <row r="5201" spans="1:22">
      <c r="A5201" t="str">
        <f t="shared" si="931"/>
        <v>09/10/2025</v>
      </c>
      <c r="B5201" t="str">
        <f>"SAÍDA"</f>
        <v>SAÍDA</v>
      </c>
      <c r="C5201" t="str">
        <f>"PIX"</f>
        <v>PIX</v>
      </c>
      <c r="D5201" t="str">
        <f>"22633"</f>
        <v>22633</v>
      </c>
      <c r="E5201" t="str">
        <f>"1"</f>
        <v>1</v>
      </c>
      <c r="F5201" t="str">
        <f t="shared" si="930"/>
        <v>COM</v>
      </c>
      <c r="G5201" t="str">
        <f t="shared" si="932"/>
        <v>SEDNEY GOMES SOARES (87)</v>
      </c>
      <c r="H5201" t="s">
        <v>1480</v>
      </c>
      <c r="I5201" t="str">
        <f>("09/10/2025")</f>
        <v>09/10/2025</v>
      </c>
      <c r="J5201" t="str">
        <f>("26/09/2025")</f>
        <v>26/09/2025</v>
      </c>
      <c r="K5201">
        <v>45939</v>
      </c>
      <c r="N5201">
        <v>109</v>
      </c>
      <c r="O5201" t="s">
        <v>24</v>
      </c>
      <c r="Q5201">
        <v>2.76</v>
      </c>
      <c r="R5201" t="str">
        <f>"FARMÁCIA INDIANA LJ 143 (10067)"</f>
        <v>FARMÁCIA INDIANA LJ 143 (10067)</v>
      </c>
      <c r="S5201" t="s">
        <v>48</v>
      </c>
      <c r="T5201">
        <v>19446</v>
      </c>
      <c r="U5201">
        <v>23443</v>
      </c>
      <c r="V5201" t="s">
        <v>48</v>
      </c>
    </row>
    <row r="5202" spans="1:22">
      <c r="A5202" t="str">
        <f t="shared" si="931"/>
        <v>09/10/2025</v>
      </c>
      <c r="B5202" t="str">
        <f>"ENTRADA"</f>
        <v>ENTRADA</v>
      </c>
      <c r="C5202" t="str">
        <f>"DINHEIRO"</f>
        <v>DINHEIRO</v>
      </c>
      <c r="D5202" t="str">
        <f>"15"</f>
        <v>15</v>
      </c>
      <c r="E5202" t="str">
        <f>"34"</f>
        <v>34</v>
      </c>
      <c r="F5202" t="str">
        <f t="shared" si="930"/>
        <v>COM</v>
      </c>
      <c r="G5202" t="str">
        <f t="shared" si="932"/>
        <v>SEDNEY GOMES SOARES (87)</v>
      </c>
      <c r="H5202" t="str">
        <f>"DESCONTO COTA COOPERADO"</f>
        <v>DESCONTO COTA COOPERADO</v>
      </c>
      <c r="I5202" t="str">
        <f>("16/10/2025")</f>
        <v>16/10/2025</v>
      </c>
      <c r="J5202" t="str">
        <f>("16/01/2025")</f>
        <v>16/01/2025</v>
      </c>
      <c r="K5202" t="str">
        <f>("09/10/2025")</f>
        <v>09/10/2025</v>
      </c>
      <c r="L5202">
        <v>20</v>
      </c>
      <c r="M5202">
        <v>20</v>
      </c>
      <c r="N5202">
        <v>106</v>
      </c>
      <c r="O5202" t="str">
        <f>"ENTRADA DE CAPITAL"</f>
        <v>ENTRADA DE CAPITAL</v>
      </c>
      <c r="P5202">
        <v>20</v>
      </c>
      <c r="S5202" t="str">
        <f>"ENTRADA DE CAPITAL (106)"</f>
        <v>ENTRADA DE CAPITAL (106)</v>
      </c>
      <c r="T5202">
        <v>19447</v>
      </c>
      <c r="U5202">
        <v>7555</v>
      </c>
      <c r="V5202" t="s">
        <v>48</v>
      </c>
    </row>
    <row r="5203" spans="1:22">
      <c r="A5203" t="str">
        <f t="shared" si="931"/>
        <v>09/10/2025</v>
      </c>
      <c r="B5203" t="str">
        <f>"ENTRADA"</f>
        <v>ENTRADA</v>
      </c>
      <c r="C5203" t="str">
        <f>"DINHEIRO"</f>
        <v>DINHEIRO</v>
      </c>
      <c r="D5203" t="str">
        <f>"15"</f>
        <v>15</v>
      </c>
      <c r="E5203" t="str">
        <f>"34"</f>
        <v>34</v>
      </c>
      <c r="F5203" t="str">
        <f t="shared" si="930"/>
        <v>COM</v>
      </c>
      <c r="G5203" t="str">
        <f t="shared" si="932"/>
        <v>SEDNEY GOMES SOARES (87)</v>
      </c>
      <c r="H5203" t="s">
        <v>309</v>
      </c>
      <c r="I5203" t="str">
        <f>("16/10/2025")</f>
        <v>16/10/2025</v>
      </c>
      <c r="J5203" t="str">
        <f>("16/01/2025")</f>
        <v>16/01/2025</v>
      </c>
      <c r="K5203">
        <v>45939</v>
      </c>
      <c r="N5203">
        <v>106</v>
      </c>
      <c r="O5203" t="s">
        <v>51</v>
      </c>
      <c r="Q5203">
        <v>20</v>
      </c>
      <c r="R5203" t="str">
        <f>"SEDNEY GOMES SOARES (87)"</f>
        <v>SEDNEY GOMES SOARES (87)</v>
      </c>
      <c r="S5203" t="s">
        <v>52</v>
      </c>
      <c r="T5203">
        <v>19447</v>
      </c>
      <c r="U5203">
        <v>7555</v>
      </c>
      <c r="V5203" t="s">
        <v>48</v>
      </c>
    </row>
    <row r="5204" spans="1:22">
      <c r="A5204" t="str">
        <f t="shared" si="931"/>
        <v>09/10/2025</v>
      </c>
      <c r="B5204" t="str">
        <f>"SAÍDA"</f>
        <v>SAÍDA</v>
      </c>
      <c r="C5204" t="str">
        <f>"PIX"</f>
        <v>PIX</v>
      </c>
      <c r="D5204" t="str">
        <f>"22835"</f>
        <v>22835</v>
      </c>
      <c r="E5204" t="str">
        <f>"1"</f>
        <v>1</v>
      </c>
      <c r="F5204" t="str">
        <f t="shared" si="930"/>
        <v>COM</v>
      </c>
      <c r="G5204" t="str">
        <f>"TALES SILVA MARIANO (431)"</f>
        <v>TALES SILVA MARIANO (431)</v>
      </c>
      <c r="H5204" t="str">
        <f>"Serv.Prest. 29/09/2025 a 05/10/2025 - PIX: CPF - CHAVE: 126.686.406-79"</f>
        <v>Serv.Prest. 29/09/2025 a 05/10/2025 - PIX: CPF - CHAVE: 126.686.406-79</v>
      </c>
      <c r="I5204" t="str">
        <f>("09/10/2025")</f>
        <v>09/10/2025</v>
      </c>
      <c r="J5204" t="str">
        <f>("06/10/2025")</f>
        <v>06/10/2025</v>
      </c>
      <c r="K5204" t="str">
        <f>("09/10/2025")</f>
        <v>09/10/2025</v>
      </c>
      <c r="L5204">
        <v>20</v>
      </c>
      <c r="M5204">
        <v>20</v>
      </c>
      <c r="N5204">
        <v>109</v>
      </c>
      <c r="O5204" t="str">
        <f>"PAGAMENTO DE ENTREGADORES"</f>
        <v>PAGAMENTO DE ENTREGADORES</v>
      </c>
      <c r="P5204">
        <v>20</v>
      </c>
      <c r="S5204" t="str">
        <f>"CAIXA MOVIMENTAÇÃO OPERACIONAL (132)"</f>
        <v>CAIXA MOVIMENTAÇÃO OPERACIONAL (132)</v>
      </c>
      <c r="T5204">
        <v>19449</v>
      </c>
      <c r="U5204">
        <v>23445</v>
      </c>
      <c r="V5204" t="s">
        <v>48</v>
      </c>
    </row>
    <row r="5205" spans="1:22">
      <c r="A5205" t="str">
        <f t="shared" si="931"/>
        <v>09/10/2025</v>
      </c>
      <c r="B5205" t="str">
        <f>"SAÍDA"</f>
        <v>SAÍDA</v>
      </c>
      <c r="C5205" t="str">
        <f>"PIX"</f>
        <v>PIX</v>
      </c>
      <c r="D5205" t="str">
        <f>"22835"</f>
        <v>22835</v>
      </c>
      <c r="E5205" t="str">
        <f>"1"</f>
        <v>1</v>
      </c>
      <c r="F5205" t="str">
        <f t="shared" si="930"/>
        <v>COM</v>
      </c>
      <c r="G5205" t="str">
        <f>"TALES SILVA MARIANO (431)"</f>
        <v>TALES SILVA MARIANO (431)</v>
      </c>
      <c r="H5205" t="s">
        <v>1481</v>
      </c>
      <c r="I5205" t="str">
        <f>("09/10/2025")</f>
        <v>09/10/2025</v>
      </c>
      <c r="J5205" t="str">
        <f>("06/10/2025")</f>
        <v>06/10/2025</v>
      </c>
      <c r="K5205">
        <v>45939</v>
      </c>
      <c r="N5205">
        <v>109</v>
      </c>
      <c r="O5205" t="s">
        <v>24</v>
      </c>
      <c r="Q5205">
        <v>20</v>
      </c>
      <c r="R5205" t="str">
        <f>"PAGMENOS - LJ 608 (10135)"</f>
        <v>PAGMENOS - LJ 608 (10135)</v>
      </c>
      <c r="S5205" t="s">
        <v>48</v>
      </c>
      <c r="T5205">
        <v>19449</v>
      </c>
      <c r="U5205">
        <v>23445</v>
      </c>
      <c r="V5205" t="s">
        <v>48</v>
      </c>
    </row>
    <row r="5206" spans="1:22">
      <c r="A5206" t="str">
        <f t="shared" si="931"/>
        <v>09/10/2025</v>
      </c>
      <c r="B5206" t="str">
        <f>"ENTRADA"</f>
        <v>ENTRADA</v>
      </c>
      <c r="C5206" t="str">
        <f>"DINHEIRO"</f>
        <v>DINHEIRO</v>
      </c>
      <c r="D5206" t="str">
        <f>"05"</f>
        <v>05</v>
      </c>
      <c r="E5206" t="str">
        <f>"34"</f>
        <v>34</v>
      </c>
      <c r="F5206" t="str">
        <f t="shared" si="930"/>
        <v>COM</v>
      </c>
      <c r="G5206" t="str">
        <f>"TALES SILVA MARIANO (431)"</f>
        <v>TALES SILVA MARIANO (431)</v>
      </c>
      <c r="H5206" t="str">
        <f>"DESCONTO COTA COOPERADO"</f>
        <v>DESCONTO COTA COOPERADO</v>
      </c>
      <c r="I5206" t="str">
        <f>("16/10/2025")</f>
        <v>16/10/2025</v>
      </c>
      <c r="J5206" t="str">
        <f>("16/01/2025")</f>
        <v>16/01/2025</v>
      </c>
      <c r="K5206" t="str">
        <f>("09/10/2025")</f>
        <v>09/10/2025</v>
      </c>
      <c r="L5206">
        <v>20</v>
      </c>
      <c r="M5206">
        <v>20</v>
      </c>
      <c r="N5206">
        <v>106</v>
      </c>
      <c r="O5206" t="str">
        <f>"ENTRADA DE CAPITAL"</f>
        <v>ENTRADA DE CAPITAL</v>
      </c>
      <c r="P5206">
        <v>20</v>
      </c>
      <c r="S5206" t="str">
        <f>"ENTRADA DE CAPITAL (106)"</f>
        <v>ENTRADA DE CAPITAL (106)</v>
      </c>
      <c r="T5206">
        <v>19450</v>
      </c>
      <c r="U5206">
        <v>7574</v>
      </c>
      <c r="V5206" t="s">
        <v>48</v>
      </c>
    </row>
    <row r="5207" spans="1:22">
      <c r="A5207" t="str">
        <f t="shared" si="931"/>
        <v>09/10/2025</v>
      </c>
      <c r="B5207" t="str">
        <f>"ENTRADA"</f>
        <v>ENTRADA</v>
      </c>
      <c r="C5207" t="str">
        <f>"DINHEIRO"</f>
        <v>DINHEIRO</v>
      </c>
      <c r="D5207" t="str">
        <f>"05"</f>
        <v>05</v>
      </c>
      <c r="E5207" t="str">
        <f>"34"</f>
        <v>34</v>
      </c>
      <c r="F5207" t="str">
        <f t="shared" si="930"/>
        <v>COM</v>
      </c>
      <c r="G5207" t="str">
        <f>"TALES SILVA MARIANO (431)"</f>
        <v>TALES SILVA MARIANO (431)</v>
      </c>
      <c r="H5207" t="s">
        <v>309</v>
      </c>
      <c r="I5207" t="str">
        <f>("16/10/2025")</f>
        <v>16/10/2025</v>
      </c>
      <c r="J5207" t="str">
        <f>("16/01/2025")</f>
        <v>16/01/2025</v>
      </c>
      <c r="K5207">
        <v>45939</v>
      </c>
      <c r="N5207">
        <v>106</v>
      </c>
      <c r="O5207" t="s">
        <v>51</v>
      </c>
      <c r="Q5207">
        <v>20</v>
      </c>
      <c r="R5207" t="str">
        <f>"TALES SILVA MARIANO (431)"</f>
        <v>TALES SILVA MARIANO (431)</v>
      </c>
      <c r="S5207" t="s">
        <v>52</v>
      </c>
      <c r="T5207">
        <v>19450</v>
      </c>
      <c r="U5207">
        <v>7574</v>
      </c>
      <c r="V5207" t="s">
        <v>48</v>
      </c>
    </row>
    <row r="5208" spans="1:22">
      <c r="A5208" t="str">
        <f t="shared" si="931"/>
        <v>09/10/2025</v>
      </c>
      <c r="B5208" t="str">
        <f>"SAÍDA"</f>
        <v>SAÍDA</v>
      </c>
      <c r="C5208" t="str">
        <f>"PIX"</f>
        <v>PIX</v>
      </c>
      <c r="D5208" t="str">
        <f>"22635"</f>
        <v>22635</v>
      </c>
      <c r="E5208" t="str">
        <f>"1"</f>
        <v>1</v>
      </c>
      <c r="F5208" t="str">
        <f t="shared" si="930"/>
        <v>COM</v>
      </c>
      <c r="G5208" t="str">
        <f>"TAYSON BARBOSA SILVINO (613)"</f>
        <v>TAYSON BARBOSA SILVINO (613)</v>
      </c>
      <c r="H5208" t="str">
        <f>"Serv.Prest. 22/09/2025 a 25/09/2025 - PIX: CHAVE ALEATÓRIA - CHAVE: 1550e869-c9d7-4436-be93-6858fd0cb900"</f>
        <v>Serv.Prest. 22/09/2025 a 25/09/2025 - PIX: CHAVE ALEATÓRIA - CHAVE: 1550e869-c9d7-4436-be93-6858fd0cb900</v>
      </c>
      <c r="I5208" t="str">
        <f>("09/10/2025")</f>
        <v>09/10/2025</v>
      </c>
      <c r="J5208" t="str">
        <f>("26/09/2025")</f>
        <v>26/09/2025</v>
      </c>
      <c r="K5208" t="str">
        <f>("09/10/2025")</f>
        <v>09/10/2025</v>
      </c>
      <c r="L5208">
        <v>20</v>
      </c>
      <c r="M5208">
        <v>20</v>
      </c>
      <c r="N5208">
        <v>109</v>
      </c>
      <c r="O5208" t="str">
        <f>"PAGAMENTO DE ENTREGADORES"</f>
        <v>PAGAMENTO DE ENTREGADORES</v>
      </c>
      <c r="P5208">
        <v>20</v>
      </c>
      <c r="S5208" t="str">
        <f>"CAIXA MOVIMENTAÇÃO OPERACIONAL (132)"</f>
        <v>CAIXA MOVIMENTAÇÃO OPERACIONAL (132)</v>
      </c>
      <c r="T5208">
        <v>19451</v>
      </c>
      <c r="U5208">
        <v>23446</v>
      </c>
      <c r="V5208" t="s">
        <v>48</v>
      </c>
    </row>
    <row r="5209" spans="1:22">
      <c r="A5209" t="str">
        <f t="shared" si="931"/>
        <v>09/10/2025</v>
      </c>
      <c r="B5209" t="str">
        <f>"SAÍDA"</f>
        <v>SAÍDA</v>
      </c>
      <c r="C5209" t="str">
        <f>"PIX"</f>
        <v>PIX</v>
      </c>
      <c r="D5209" t="str">
        <f>"22635"</f>
        <v>22635</v>
      </c>
      <c r="E5209" t="str">
        <f>"1"</f>
        <v>1</v>
      </c>
      <c r="F5209" t="str">
        <f t="shared" si="930"/>
        <v>COM</v>
      </c>
      <c r="G5209" t="str">
        <f>"TAYSON BARBOSA SILVINO (613)"</f>
        <v>TAYSON BARBOSA SILVINO (613)</v>
      </c>
      <c r="H5209" t="s">
        <v>1482</v>
      </c>
      <c r="I5209" t="str">
        <f>("09/10/2025")</f>
        <v>09/10/2025</v>
      </c>
      <c r="J5209" t="str">
        <f>("26/09/2025")</f>
        <v>26/09/2025</v>
      </c>
      <c r="K5209">
        <v>45939</v>
      </c>
      <c r="N5209">
        <v>109</v>
      </c>
      <c r="O5209" t="s">
        <v>24</v>
      </c>
      <c r="Q5209">
        <v>20</v>
      </c>
      <c r="R5209" t="str">
        <f>"FARMÁCIA INDIANA LJ 19 (10012)"</f>
        <v>FARMÁCIA INDIANA LJ 19 (10012)</v>
      </c>
      <c r="S5209" t="s">
        <v>48</v>
      </c>
      <c r="T5209">
        <v>19451</v>
      </c>
      <c r="U5209">
        <v>23446</v>
      </c>
      <c r="V5209" t="s">
        <v>48</v>
      </c>
    </row>
    <row r="5210" spans="1:22">
      <c r="A5210" t="str">
        <f t="shared" si="931"/>
        <v>09/10/2025</v>
      </c>
      <c r="B5210" t="str">
        <f>"ENTRADA"</f>
        <v>ENTRADA</v>
      </c>
      <c r="C5210" t="str">
        <f>"DINHEIRO"</f>
        <v>DINHEIRO</v>
      </c>
      <c r="D5210" t="str">
        <f>"25"</f>
        <v>25</v>
      </c>
      <c r="E5210" t="str">
        <f>"7"</f>
        <v>7</v>
      </c>
      <c r="F5210" t="str">
        <f t="shared" si="930"/>
        <v>COM</v>
      </c>
      <c r="G5210" t="str">
        <f>"TAYSON BARBOSA SILVINO (613)"</f>
        <v>TAYSON BARBOSA SILVINO (613)</v>
      </c>
      <c r="H5210" t="str">
        <f>"COTA COOPERADO"</f>
        <v>COTA COOPERADO</v>
      </c>
      <c r="I5210" t="str">
        <f>("10/10/2025")</f>
        <v>10/10/2025</v>
      </c>
      <c r="J5210" t="str">
        <f>("10/04/2025")</f>
        <v>10/04/2025</v>
      </c>
      <c r="K5210" t="str">
        <f>("09/10/2025")</f>
        <v>09/10/2025</v>
      </c>
      <c r="L5210">
        <v>20</v>
      </c>
      <c r="M5210">
        <v>20</v>
      </c>
      <c r="N5210">
        <v>106</v>
      </c>
      <c r="O5210" t="str">
        <f>"ENTRADA DE CAPITAL"</f>
        <v>ENTRADA DE CAPITAL</v>
      </c>
      <c r="P5210">
        <v>20</v>
      </c>
      <c r="S5210" t="str">
        <f>"ENTRADA DE CAPITAL (106)"</f>
        <v>ENTRADA DE CAPITAL (106)</v>
      </c>
      <c r="T5210">
        <v>19452</v>
      </c>
      <c r="U5210">
        <v>12373</v>
      </c>
      <c r="V5210" t="s">
        <v>48</v>
      </c>
    </row>
    <row r="5211" spans="1:22">
      <c r="A5211" t="str">
        <f t="shared" si="931"/>
        <v>09/10/2025</v>
      </c>
      <c r="B5211" t="str">
        <f>"ENTRADA"</f>
        <v>ENTRADA</v>
      </c>
      <c r="C5211" t="str">
        <f>"DINHEIRO"</f>
        <v>DINHEIRO</v>
      </c>
      <c r="D5211" t="str">
        <f>"25"</f>
        <v>25</v>
      </c>
      <c r="E5211" t="str">
        <f>"7"</f>
        <v>7</v>
      </c>
      <c r="F5211" t="str">
        <f t="shared" si="930"/>
        <v>COM</v>
      </c>
      <c r="G5211" t="str">
        <f>"TAYSON BARBOSA SILVINO (613)"</f>
        <v>TAYSON BARBOSA SILVINO (613)</v>
      </c>
      <c r="H5211" t="s">
        <v>434</v>
      </c>
      <c r="I5211" t="str">
        <f>("10/10/2025")</f>
        <v>10/10/2025</v>
      </c>
      <c r="J5211" t="str">
        <f>("10/04/2025")</f>
        <v>10/04/2025</v>
      </c>
      <c r="K5211">
        <v>45939</v>
      </c>
      <c r="N5211">
        <v>106</v>
      </c>
      <c r="O5211" t="s">
        <v>51</v>
      </c>
      <c r="Q5211">
        <v>20</v>
      </c>
      <c r="R5211" t="str">
        <f>"TAYSON BARBOSA SILVINO (613)"</f>
        <v>TAYSON BARBOSA SILVINO (613)</v>
      </c>
      <c r="S5211" t="s">
        <v>52</v>
      </c>
      <c r="T5211">
        <v>19452</v>
      </c>
      <c r="U5211">
        <v>12373</v>
      </c>
      <c r="V5211" t="s">
        <v>48</v>
      </c>
    </row>
    <row r="5212" spans="1:22">
      <c r="A5212" t="str">
        <f t="shared" si="931"/>
        <v>09/10/2025</v>
      </c>
      <c r="B5212" t="str">
        <f>"SAÍDA"</f>
        <v>SAÍDA</v>
      </c>
      <c r="C5212" t="str">
        <f>"PIX"</f>
        <v>PIX</v>
      </c>
      <c r="D5212" t="str">
        <f>"22873"</f>
        <v>22873</v>
      </c>
      <c r="E5212" t="str">
        <f>"1"</f>
        <v>1</v>
      </c>
      <c r="F5212" t="str">
        <f t="shared" si="930"/>
        <v>COM</v>
      </c>
      <c r="G5212" t="str">
        <f>"THALES VINÍCIUS RODRIGUES DE OLIVEIRA (704)"</f>
        <v>THALES VINÍCIUS RODRIGUES DE OLIVEIRA (704)</v>
      </c>
      <c r="H5212" t="str">
        <f>"Serv.Prest. 29/09/2025 a 05/10/2025 - PIX: CELULAR - CHAVE: (37) 99138-1777"</f>
        <v>Serv.Prest. 29/09/2025 a 05/10/2025 - PIX: CELULAR - CHAVE: (37) 99138-1777</v>
      </c>
      <c r="I5212" t="str">
        <f>("09/10/2025")</f>
        <v>09/10/2025</v>
      </c>
      <c r="J5212" t="str">
        <f>("06/10/2025")</f>
        <v>06/10/2025</v>
      </c>
      <c r="K5212" t="str">
        <f>("09/10/2025")</f>
        <v>09/10/2025</v>
      </c>
      <c r="L5212">
        <v>20</v>
      </c>
      <c r="M5212">
        <v>20</v>
      </c>
      <c r="N5212">
        <v>109</v>
      </c>
      <c r="O5212" t="str">
        <f>"PAGAMENTO DE ENTREGADORES"</f>
        <v>PAGAMENTO DE ENTREGADORES</v>
      </c>
      <c r="P5212">
        <v>20</v>
      </c>
      <c r="S5212" t="str">
        <f>"CAIXA MOVIMENTAÇÃO OPERACIONAL (132)"</f>
        <v>CAIXA MOVIMENTAÇÃO OPERACIONAL (132)</v>
      </c>
      <c r="T5212">
        <v>19453</v>
      </c>
      <c r="U5212">
        <v>23447</v>
      </c>
      <c r="V5212" t="s">
        <v>48</v>
      </c>
    </row>
    <row r="5213" spans="1:22">
      <c r="A5213" t="str">
        <f t="shared" si="931"/>
        <v>09/10/2025</v>
      </c>
      <c r="B5213" t="str">
        <f>"SAÍDA"</f>
        <v>SAÍDA</v>
      </c>
      <c r="C5213" t="str">
        <f>"PIX"</f>
        <v>PIX</v>
      </c>
      <c r="D5213" t="str">
        <f>"22873"</f>
        <v>22873</v>
      </c>
      <c r="E5213" t="str">
        <f>"1"</f>
        <v>1</v>
      </c>
      <c r="F5213" t="str">
        <f t="shared" si="930"/>
        <v>COM</v>
      </c>
      <c r="G5213" t="str">
        <f>"THALES VINÍCIUS RODRIGUES DE OLIVEIRA (704)"</f>
        <v>THALES VINÍCIUS RODRIGUES DE OLIVEIRA (704)</v>
      </c>
      <c r="H5213" t="s">
        <v>1483</v>
      </c>
      <c r="I5213" t="str">
        <f>("09/10/2025")</f>
        <v>09/10/2025</v>
      </c>
      <c r="J5213" t="str">
        <f>("06/10/2025")</f>
        <v>06/10/2025</v>
      </c>
      <c r="K5213">
        <v>45939</v>
      </c>
      <c r="N5213">
        <v>109</v>
      </c>
      <c r="O5213" t="s">
        <v>24</v>
      </c>
      <c r="Q5213">
        <v>20</v>
      </c>
      <c r="R5213" t="str">
        <f>"DROGARIA POUPA MINAS (ULTRAMINAS) 1 (10181)"</f>
        <v>DROGARIA POUPA MINAS (ULTRAMINAS) 1 (10181)</v>
      </c>
      <c r="S5213" t="s">
        <v>48</v>
      </c>
      <c r="T5213">
        <v>19453</v>
      </c>
      <c r="U5213">
        <v>23447</v>
      </c>
      <c r="V5213" t="s">
        <v>48</v>
      </c>
    </row>
    <row r="5214" spans="1:22">
      <c r="A5214" t="str">
        <f t="shared" si="931"/>
        <v>09/10/2025</v>
      </c>
      <c r="B5214" t="str">
        <f>"ENTRADA"</f>
        <v>ENTRADA</v>
      </c>
      <c r="C5214" t="str">
        <f>"DINHEIRO"</f>
        <v>DINHEIRO</v>
      </c>
      <c r="D5214" t="str">
        <f>"704"</f>
        <v>704</v>
      </c>
      <c r="E5214" t="str">
        <f>"7"</f>
        <v>7</v>
      </c>
      <c r="F5214" t="str">
        <f t="shared" si="930"/>
        <v>COM</v>
      </c>
      <c r="G5214" t="str">
        <f>"THALES VINÍCIUS RODRIGUES DE OLIVEIRA (704)"</f>
        <v>THALES VINÍCIUS RODRIGUES DE OLIVEIRA (704)</v>
      </c>
      <c r="H5214" t="str">
        <f>"COTAS COOPERATIVA"</f>
        <v>COTAS COOPERATIVA</v>
      </c>
      <c r="I5214" t="str">
        <f>("10/10/2025")</f>
        <v>10/10/2025</v>
      </c>
      <c r="J5214" t="str">
        <f>("17/03/2025")</f>
        <v>17/03/2025</v>
      </c>
      <c r="K5214" t="str">
        <f>("09/10/2025")</f>
        <v>09/10/2025</v>
      </c>
      <c r="L5214">
        <v>20</v>
      </c>
      <c r="M5214">
        <v>20</v>
      </c>
      <c r="N5214">
        <v>106</v>
      </c>
      <c r="O5214" t="str">
        <f>"ENTRADA DE CAPITAL"</f>
        <v>ENTRADA DE CAPITAL</v>
      </c>
      <c r="P5214">
        <v>20</v>
      </c>
      <c r="S5214" t="str">
        <f>"ENTRADA DE CAPITAL (106)"</f>
        <v>ENTRADA DE CAPITAL (106)</v>
      </c>
      <c r="T5214">
        <v>19454</v>
      </c>
      <c r="U5214">
        <v>11912</v>
      </c>
      <c r="V5214" t="s">
        <v>48</v>
      </c>
    </row>
    <row r="5215" spans="1:22">
      <c r="A5215" t="str">
        <f t="shared" si="931"/>
        <v>09/10/2025</v>
      </c>
      <c r="B5215" t="str">
        <f>"ENTRADA"</f>
        <v>ENTRADA</v>
      </c>
      <c r="C5215" t="str">
        <f>"DINHEIRO"</f>
        <v>DINHEIRO</v>
      </c>
      <c r="D5215" t="str">
        <f>"704"</f>
        <v>704</v>
      </c>
      <c r="E5215" t="str">
        <f>"7"</f>
        <v>7</v>
      </c>
      <c r="F5215" t="str">
        <f t="shared" si="930"/>
        <v>COM</v>
      </c>
      <c r="G5215" t="str">
        <f>"THALES VINÍCIUS RODRIGUES DE OLIVEIRA (704)"</f>
        <v>THALES VINÍCIUS RODRIGUES DE OLIVEIRA (704)</v>
      </c>
      <c r="H5215" t="s">
        <v>318</v>
      </c>
      <c r="I5215" t="str">
        <f>("10/10/2025")</f>
        <v>10/10/2025</v>
      </c>
      <c r="J5215" t="str">
        <f>("17/03/2025")</f>
        <v>17/03/2025</v>
      </c>
      <c r="K5215">
        <v>45939</v>
      </c>
      <c r="N5215">
        <v>106</v>
      </c>
      <c r="O5215" t="s">
        <v>51</v>
      </c>
      <c r="Q5215">
        <v>20</v>
      </c>
      <c r="R5215" t="str">
        <f>"THALES VINÍCIUS RODRIGUES DE OLIVEIRA (704)"</f>
        <v>THALES VINÍCIUS RODRIGUES DE OLIVEIRA (704)</v>
      </c>
      <c r="S5215" t="s">
        <v>52</v>
      </c>
      <c r="T5215">
        <v>19454</v>
      </c>
      <c r="U5215">
        <v>11912</v>
      </c>
      <c r="V5215" t="s">
        <v>48</v>
      </c>
    </row>
    <row r="5216" spans="1:22">
      <c r="A5216" t="str">
        <f t="shared" si="931"/>
        <v>09/10/2025</v>
      </c>
      <c r="B5216" t="str">
        <f>"SAÍDA"</f>
        <v>SAÍDA</v>
      </c>
      <c r="C5216" t="str">
        <f>"PIX"</f>
        <v>PIX</v>
      </c>
      <c r="D5216" t="str">
        <f>"22874"</f>
        <v>22874</v>
      </c>
      <c r="E5216" t="str">
        <f>"1"</f>
        <v>1</v>
      </c>
      <c r="F5216" t="str">
        <f t="shared" si="930"/>
        <v>COM</v>
      </c>
      <c r="G5216" t="str">
        <f>"TIAGO VIEIRA (372)"</f>
        <v>TIAGO VIEIRA (372)</v>
      </c>
      <c r="H5216" t="str">
        <f>"Serv.Prest. 29/09/2025 a 05/10/2025 - PIX: CELULAR - CHAVE: (37) 98841-8571"</f>
        <v>Serv.Prest. 29/09/2025 a 05/10/2025 - PIX: CELULAR - CHAVE: (37) 98841-8571</v>
      </c>
      <c r="I5216" t="str">
        <f>("09/10/2025")</f>
        <v>09/10/2025</v>
      </c>
      <c r="J5216" t="str">
        <f>("06/10/2025")</f>
        <v>06/10/2025</v>
      </c>
      <c r="K5216" t="str">
        <f>("09/10/2025")</f>
        <v>09/10/2025</v>
      </c>
      <c r="L5216">
        <v>20</v>
      </c>
      <c r="M5216">
        <v>20</v>
      </c>
      <c r="N5216">
        <v>109</v>
      </c>
      <c r="O5216" t="str">
        <f>"PAGAMENTO DE ENTREGADORES"</f>
        <v>PAGAMENTO DE ENTREGADORES</v>
      </c>
      <c r="P5216">
        <v>20</v>
      </c>
      <c r="S5216" t="str">
        <f>"CAIXA MOVIMENTAÇÃO OPERACIONAL (132)"</f>
        <v>CAIXA MOVIMENTAÇÃO OPERACIONAL (132)</v>
      </c>
      <c r="T5216">
        <v>19455</v>
      </c>
      <c r="U5216">
        <v>23448</v>
      </c>
      <c r="V5216" t="s">
        <v>48</v>
      </c>
    </row>
    <row r="5217" spans="1:22">
      <c r="A5217" t="str">
        <f t="shared" si="931"/>
        <v>09/10/2025</v>
      </c>
      <c r="B5217" t="str">
        <f>"SAÍDA"</f>
        <v>SAÍDA</v>
      </c>
      <c r="C5217" t="str">
        <f>"PIX"</f>
        <v>PIX</v>
      </c>
      <c r="D5217" t="str">
        <f>"22874"</f>
        <v>22874</v>
      </c>
      <c r="E5217" t="str">
        <f>"1"</f>
        <v>1</v>
      </c>
      <c r="F5217" t="str">
        <f t="shared" si="930"/>
        <v>COM</v>
      </c>
      <c r="G5217" t="str">
        <f>"TIAGO VIEIRA (372)"</f>
        <v>TIAGO VIEIRA (372)</v>
      </c>
      <c r="H5217" t="s">
        <v>1484</v>
      </c>
      <c r="I5217" t="str">
        <f>("09/10/2025")</f>
        <v>09/10/2025</v>
      </c>
      <c r="J5217" t="str">
        <f>("06/10/2025")</f>
        <v>06/10/2025</v>
      </c>
      <c r="K5217">
        <v>45939</v>
      </c>
      <c r="N5217">
        <v>109</v>
      </c>
      <c r="O5217" t="s">
        <v>24</v>
      </c>
      <c r="Q5217">
        <v>20</v>
      </c>
      <c r="R5217" t="str">
        <f>"DROGARIA POUPA MINAS (ULTRAMINAS) 1 (10181)"</f>
        <v>DROGARIA POUPA MINAS (ULTRAMINAS) 1 (10181)</v>
      </c>
      <c r="S5217" t="s">
        <v>48</v>
      </c>
      <c r="T5217">
        <v>19455</v>
      </c>
      <c r="U5217">
        <v>23448</v>
      </c>
      <c r="V5217" t="s">
        <v>48</v>
      </c>
    </row>
    <row r="5218" spans="1:22">
      <c r="A5218" t="str">
        <f t="shared" si="931"/>
        <v>09/10/2025</v>
      </c>
      <c r="B5218" t="str">
        <f>"ENTRADA"</f>
        <v>ENTRADA</v>
      </c>
      <c r="C5218" t="str">
        <f>"DINHEIRO"</f>
        <v>DINHEIRO</v>
      </c>
      <c r="D5218" t="str">
        <f>"05"</f>
        <v>05</v>
      </c>
      <c r="E5218" t="str">
        <f>"34"</f>
        <v>34</v>
      </c>
      <c r="F5218" t="str">
        <f t="shared" si="930"/>
        <v>COM</v>
      </c>
      <c r="G5218" t="str">
        <f>"TIAGO VIEIRA (372)"</f>
        <v>TIAGO VIEIRA (372)</v>
      </c>
      <c r="H5218" t="str">
        <f>"DESCONTO COTA COOPERADO"</f>
        <v>DESCONTO COTA COOPERADO</v>
      </c>
      <c r="I5218" t="str">
        <f>("16/10/2025")</f>
        <v>16/10/2025</v>
      </c>
      <c r="J5218" t="str">
        <f>("16/01/2025")</f>
        <v>16/01/2025</v>
      </c>
      <c r="K5218" t="str">
        <f>("09/10/2025")</f>
        <v>09/10/2025</v>
      </c>
      <c r="L5218">
        <v>20</v>
      </c>
      <c r="M5218">
        <v>20</v>
      </c>
      <c r="N5218">
        <v>106</v>
      </c>
      <c r="O5218" t="str">
        <f>"ENTRADA DE CAPITAL"</f>
        <v>ENTRADA DE CAPITAL</v>
      </c>
      <c r="P5218">
        <v>20</v>
      </c>
      <c r="S5218" t="str">
        <f>"ENTRADA DE CAPITAL (106)"</f>
        <v>ENTRADA DE CAPITAL (106)</v>
      </c>
      <c r="T5218">
        <v>19456</v>
      </c>
      <c r="U5218">
        <v>7603</v>
      </c>
      <c r="V5218" t="s">
        <v>48</v>
      </c>
    </row>
    <row r="5219" spans="1:22">
      <c r="A5219" t="str">
        <f t="shared" si="931"/>
        <v>09/10/2025</v>
      </c>
      <c r="B5219" t="str">
        <f>"ENTRADA"</f>
        <v>ENTRADA</v>
      </c>
      <c r="C5219" t="str">
        <f>"DINHEIRO"</f>
        <v>DINHEIRO</v>
      </c>
      <c r="D5219" t="str">
        <f>"05"</f>
        <v>05</v>
      </c>
      <c r="E5219" t="str">
        <f>"34"</f>
        <v>34</v>
      </c>
      <c r="F5219" t="str">
        <f t="shared" si="930"/>
        <v>COM</v>
      </c>
      <c r="G5219" t="str">
        <f>"TIAGO VIEIRA (372)"</f>
        <v>TIAGO VIEIRA (372)</v>
      </c>
      <c r="H5219" t="s">
        <v>309</v>
      </c>
      <c r="I5219" t="str">
        <f>("16/10/2025")</f>
        <v>16/10/2025</v>
      </c>
      <c r="J5219" t="str">
        <f>("16/01/2025")</f>
        <v>16/01/2025</v>
      </c>
      <c r="K5219">
        <v>45939</v>
      </c>
      <c r="N5219">
        <v>106</v>
      </c>
      <c r="O5219" t="s">
        <v>51</v>
      </c>
      <c r="Q5219">
        <v>20</v>
      </c>
      <c r="R5219" t="str">
        <f>"TIAGO VIEIRA (372)"</f>
        <v>TIAGO VIEIRA (372)</v>
      </c>
      <c r="S5219" t="s">
        <v>52</v>
      </c>
      <c r="T5219">
        <v>19456</v>
      </c>
      <c r="U5219">
        <v>7603</v>
      </c>
      <c r="V5219" t="s">
        <v>48</v>
      </c>
    </row>
    <row r="5220" spans="1:22">
      <c r="A5220" t="str">
        <f t="shared" si="931"/>
        <v>09/10/2025</v>
      </c>
      <c r="B5220" t="str">
        <f>"SAÍDA"</f>
        <v>SAÍDA</v>
      </c>
      <c r="C5220" t="str">
        <f>"PIX"</f>
        <v>PIX</v>
      </c>
      <c r="D5220" t="str">
        <f>"22637"</f>
        <v>22637</v>
      </c>
      <c r="E5220" t="str">
        <f>"1"</f>
        <v>1</v>
      </c>
      <c r="F5220" t="str">
        <f t="shared" si="930"/>
        <v>COM</v>
      </c>
      <c r="G5220" t="str">
        <f>"VINICIUS DE SOUZA ISABEL (658)"</f>
        <v>VINICIUS DE SOUZA ISABEL (658)</v>
      </c>
      <c r="H5220" t="str">
        <f>"Serv.Prest. 22/09/2025 a 25/09/2025 - PIX: CPF - CHAVE: 092.566.416-23"</f>
        <v>Serv.Prest. 22/09/2025 a 25/09/2025 - PIX: CPF - CHAVE: 092.566.416-23</v>
      </c>
      <c r="I5220" t="str">
        <f>("09/10/2025")</f>
        <v>09/10/2025</v>
      </c>
      <c r="J5220" t="str">
        <f>("26/09/2025")</f>
        <v>26/09/2025</v>
      </c>
      <c r="K5220" t="str">
        <f>("09/10/2025")</f>
        <v>09/10/2025</v>
      </c>
      <c r="L5220">
        <v>20</v>
      </c>
      <c r="M5220">
        <v>20</v>
      </c>
      <c r="N5220">
        <v>109</v>
      </c>
      <c r="O5220" t="str">
        <f>"PAGAMENTO DE ENTREGADORES"</f>
        <v>PAGAMENTO DE ENTREGADORES</v>
      </c>
      <c r="P5220">
        <v>20</v>
      </c>
      <c r="S5220" t="str">
        <f>"CAIXA MOVIMENTAÇÃO OPERACIONAL (132)"</f>
        <v>CAIXA MOVIMENTAÇÃO OPERACIONAL (132)</v>
      </c>
      <c r="T5220">
        <v>19457</v>
      </c>
      <c r="U5220">
        <v>23449</v>
      </c>
      <c r="V5220" t="s">
        <v>48</v>
      </c>
    </row>
    <row r="5221" spans="1:22">
      <c r="A5221" t="str">
        <f t="shared" si="931"/>
        <v>09/10/2025</v>
      </c>
      <c r="B5221" t="str">
        <f>"SAÍDA"</f>
        <v>SAÍDA</v>
      </c>
      <c r="C5221" t="str">
        <f>"PIX"</f>
        <v>PIX</v>
      </c>
      <c r="D5221" t="str">
        <f>"22637"</f>
        <v>22637</v>
      </c>
      <c r="E5221" t="str">
        <f>"1"</f>
        <v>1</v>
      </c>
      <c r="F5221" t="str">
        <f t="shared" si="930"/>
        <v>COM</v>
      </c>
      <c r="G5221" t="str">
        <f>"VINICIUS DE SOUZA ISABEL (658)"</f>
        <v>VINICIUS DE SOUZA ISABEL (658)</v>
      </c>
      <c r="H5221" t="s">
        <v>1485</v>
      </c>
      <c r="I5221" t="str">
        <f>("09/10/2025")</f>
        <v>09/10/2025</v>
      </c>
      <c r="J5221" t="str">
        <f>("26/09/2025")</f>
        <v>26/09/2025</v>
      </c>
      <c r="K5221">
        <v>45939</v>
      </c>
      <c r="N5221">
        <v>109</v>
      </c>
      <c r="O5221" t="s">
        <v>24</v>
      </c>
      <c r="Q5221">
        <v>20</v>
      </c>
      <c r="R5221" t="str">
        <f>"FARMÁCIA INDIANA LJ 219 (10091)"</f>
        <v>FARMÁCIA INDIANA LJ 219 (10091)</v>
      </c>
      <c r="S5221" t="s">
        <v>48</v>
      </c>
      <c r="T5221">
        <v>19457</v>
      </c>
      <c r="U5221">
        <v>23449</v>
      </c>
      <c r="V5221" t="s">
        <v>48</v>
      </c>
    </row>
    <row r="5222" spans="1:22">
      <c r="A5222" t="str">
        <f t="shared" si="931"/>
        <v>09/10/2025</v>
      </c>
      <c r="B5222" t="str">
        <f>"ENTRADA"</f>
        <v>ENTRADA</v>
      </c>
      <c r="C5222" t="str">
        <f>"DINHEIRO"</f>
        <v>DINHEIRO</v>
      </c>
      <c r="D5222" t="str">
        <f>"25"</f>
        <v>25</v>
      </c>
      <c r="E5222" t="str">
        <f>"8"</f>
        <v>8</v>
      </c>
      <c r="F5222" t="str">
        <f t="shared" si="930"/>
        <v>COM</v>
      </c>
      <c r="G5222" t="str">
        <f>"VINICIUS DE SOUZA ISABEL (658)"</f>
        <v>VINICIUS DE SOUZA ISABEL (658)</v>
      </c>
      <c r="H5222" t="str">
        <f>"COTA COOPERADO"</f>
        <v>COTA COOPERADO</v>
      </c>
      <c r="I5222" t="str">
        <f>("10/10/2025")</f>
        <v>10/10/2025</v>
      </c>
      <c r="J5222" t="str">
        <f>("10/04/2025")</f>
        <v>10/04/2025</v>
      </c>
      <c r="K5222" t="str">
        <f>("09/10/2025")</f>
        <v>09/10/2025</v>
      </c>
      <c r="L5222">
        <v>20</v>
      </c>
      <c r="M5222">
        <v>20</v>
      </c>
      <c r="N5222">
        <v>106</v>
      </c>
      <c r="O5222" t="str">
        <f>"ENTRADA DE CAPITAL"</f>
        <v>ENTRADA DE CAPITAL</v>
      </c>
      <c r="P5222">
        <v>20</v>
      </c>
      <c r="S5222" t="str">
        <f>"ENTRADA DE CAPITAL (106)"</f>
        <v>ENTRADA DE CAPITAL (106)</v>
      </c>
      <c r="T5222">
        <v>19458</v>
      </c>
      <c r="U5222">
        <v>12404</v>
      </c>
      <c r="V5222" t="s">
        <v>48</v>
      </c>
    </row>
    <row r="5223" spans="1:22">
      <c r="A5223" t="str">
        <f t="shared" si="931"/>
        <v>09/10/2025</v>
      </c>
      <c r="B5223" t="str">
        <f>"ENTRADA"</f>
        <v>ENTRADA</v>
      </c>
      <c r="C5223" t="str">
        <f>"DINHEIRO"</f>
        <v>DINHEIRO</v>
      </c>
      <c r="D5223" t="str">
        <f>"25"</f>
        <v>25</v>
      </c>
      <c r="E5223" t="str">
        <f>"8"</f>
        <v>8</v>
      </c>
      <c r="F5223" t="str">
        <f t="shared" si="930"/>
        <v>COM</v>
      </c>
      <c r="G5223" t="str">
        <f>"VINICIUS DE SOUZA ISABEL (658)"</f>
        <v>VINICIUS DE SOUZA ISABEL (658)</v>
      </c>
      <c r="H5223" t="s">
        <v>434</v>
      </c>
      <c r="I5223" t="str">
        <f>("10/10/2025")</f>
        <v>10/10/2025</v>
      </c>
      <c r="J5223" t="str">
        <f>("10/04/2025")</f>
        <v>10/04/2025</v>
      </c>
      <c r="K5223">
        <v>45939</v>
      </c>
      <c r="N5223">
        <v>106</v>
      </c>
      <c r="O5223" t="s">
        <v>51</v>
      </c>
      <c r="Q5223">
        <v>20</v>
      </c>
      <c r="R5223" t="str">
        <f>"VINICIUS DE SOUZA ISABEL (658)"</f>
        <v>VINICIUS DE SOUZA ISABEL (658)</v>
      </c>
      <c r="S5223" t="s">
        <v>52</v>
      </c>
      <c r="T5223">
        <v>19458</v>
      </c>
      <c r="U5223">
        <v>12404</v>
      </c>
      <c r="V5223" t="s">
        <v>48</v>
      </c>
    </row>
    <row r="5224" spans="1:22">
      <c r="A5224" t="str">
        <f t="shared" si="931"/>
        <v>09/10/2025</v>
      </c>
      <c r="B5224" t="str">
        <f>"SAÍDA"</f>
        <v>SAÍDA</v>
      </c>
      <c r="C5224" t="str">
        <f>"PIX"</f>
        <v>PIX</v>
      </c>
      <c r="D5224" t="str">
        <f>"22659"</f>
        <v>22659</v>
      </c>
      <c r="E5224" t="str">
        <f>"1"</f>
        <v>1</v>
      </c>
      <c r="F5224" t="str">
        <f t="shared" si="930"/>
        <v>COM</v>
      </c>
      <c r="G5224" t="str">
        <f>"VINÍCIUS NEVES PEREIRA (776)"</f>
        <v>VINÍCIUS NEVES PEREIRA (776)</v>
      </c>
      <c r="H5224" t="str">
        <f>"Serv.Prest. 22/09/2025 a 25/09/2025 - PIX: CPF - CHAVE: 121.963.507-37"</f>
        <v>Serv.Prest. 22/09/2025 a 25/09/2025 - PIX: CPF - CHAVE: 121.963.507-37</v>
      </c>
      <c r="I5224" t="str">
        <f>("09/10/2025")</f>
        <v>09/10/2025</v>
      </c>
      <c r="J5224" t="str">
        <f>("26/09/2025")</f>
        <v>26/09/2025</v>
      </c>
      <c r="K5224" t="str">
        <f>("09/10/2025")</f>
        <v>09/10/2025</v>
      </c>
      <c r="L5224">
        <v>20</v>
      </c>
      <c r="M5224">
        <v>20</v>
      </c>
      <c r="N5224">
        <v>109</v>
      </c>
      <c r="O5224" t="str">
        <f>"PAGAMENTO DE ENTREGADORES"</f>
        <v>PAGAMENTO DE ENTREGADORES</v>
      </c>
      <c r="P5224">
        <v>20</v>
      </c>
      <c r="S5224" t="str">
        <f>"CAIXA MOVIMENTAÇÃO OPERACIONAL (132)"</f>
        <v>CAIXA MOVIMENTAÇÃO OPERACIONAL (132)</v>
      </c>
      <c r="T5224">
        <v>19459</v>
      </c>
      <c r="U5224">
        <v>23450</v>
      </c>
      <c r="V5224" t="s">
        <v>48</v>
      </c>
    </row>
    <row r="5225" spans="1:22">
      <c r="A5225" t="str">
        <f t="shared" si="931"/>
        <v>09/10/2025</v>
      </c>
      <c r="B5225" t="str">
        <f>"SAÍDA"</f>
        <v>SAÍDA</v>
      </c>
      <c r="C5225" t="str">
        <f>"PIX"</f>
        <v>PIX</v>
      </c>
      <c r="D5225" t="str">
        <f>"22659"</f>
        <v>22659</v>
      </c>
      <c r="E5225" t="str">
        <f>"1"</f>
        <v>1</v>
      </c>
      <c r="F5225" t="str">
        <f t="shared" si="930"/>
        <v>COM</v>
      </c>
      <c r="G5225" t="str">
        <f>"VINÍCIUS NEVES PEREIRA (776)"</f>
        <v>VINÍCIUS NEVES PEREIRA (776)</v>
      </c>
      <c r="H5225" t="s">
        <v>1486</v>
      </c>
      <c r="I5225" t="str">
        <f>("09/10/2025")</f>
        <v>09/10/2025</v>
      </c>
      <c r="J5225" t="str">
        <f>("26/09/2025")</f>
        <v>26/09/2025</v>
      </c>
      <c r="K5225">
        <v>45939</v>
      </c>
      <c r="N5225">
        <v>109</v>
      </c>
      <c r="O5225" t="s">
        <v>24</v>
      </c>
      <c r="Q5225">
        <v>20</v>
      </c>
      <c r="R5225" t="str">
        <f>"FARMÁCIA INDIANA LJ 221 (10093)"</f>
        <v>FARMÁCIA INDIANA LJ 221 (10093)</v>
      </c>
      <c r="S5225" t="s">
        <v>48</v>
      </c>
      <c r="T5225">
        <v>19459</v>
      </c>
      <c r="U5225">
        <v>23450</v>
      </c>
      <c r="V5225" t="s">
        <v>48</v>
      </c>
    </row>
    <row r="5226" spans="1:22">
      <c r="A5226" t="str">
        <f t="shared" si="931"/>
        <v>09/10/2025</v>
      </c>
      <c r="B5226" t="str">
        <f>"ENTRADA"</f>
        <v>ENTRADA</v>
      </c>
      <c r="C5226" t="str">
        <f>"DINHEIRO"</f>
        <v>DINHEIRO</v>
      </c>
      <c r="D5226" t="str">
        <f>"776"</f>
        <v>776</v>
      </c>
      <c r="E5226" t="str">
        <f>"5"</f>
        <v>5</v>
      </c>
      <c r="F5226" t="str">
        <f t="shared" si="930"/>
        <v>COM</v>
      </c>
      <c r="G5226" t="str">
        <f>"VINÍCIUS NEVES PEREIRA (776)"</f>
        <v>VINÍCIUS NEVES PEREIRA (776)</v>
      </c>
      <c r="H5226" t="str">
        <f>"COTA COOPERATIVA"</f>
        <v>COTA COOPERATIVA</v>
      </c>
      <c r="I5226" t="str">
        <f>("12/10/2025")</f>
        <v>12/10/2025</v>
      </c>
      <c r="J5226" t="str">
        <f>("23/04/2025")</f>
        <v>23/04/2025</v>
      </c>
      <c r="K5226" t="str">
        <f>("09/10/2025")</f>
        <v>09/10/2025</v>
      </c>
      <c r="L5226">
        <v>20</v>
      </c>
      <c r="M5226">
        <v>20</v>
      </c>
      <c r="N5226">
        <v>106</v>
      </c>
      <c r="O5226" t="str">
        <f>"ENTRADA DE CAPITAL"</f>
        <v>ENTRADA DE CAPITAL</v>
      </c>
      <c r="P5226">
        <v>20</v>
      </c>
      <c r="S5226" t="str">
        <f>"ENTRADA DE CAPITAL (106)"</f>
        <v>ENTRADA DE CAPITAL (106)</v>
      </c>
      <c r="T5226">
        <v>19460</v>
      </c>
      <c r="U5226">
        <v>16664</v>
      </c>
      <c r="V5226" t="s">
        <v>48</v>
      </c>
    </row>
    <row r="5227" spans="1:22">
      <c r="A5227" t="str">
        <f t="shared" si="931"/>
        <v>09/10/2025</v>
      </c>
      <c r="B5227" t="str">
        <f>"ENTRADA"</f>
        <v>ENTRADA</v>
      </c>
      <c r="C5227" t="str">
        <f>"DINHEIRO"</f>
        <v>DINHEIRO</v>
      </c>
      <c r="D5227" t="str">
        <f>"776"</f>
        <v>776</v>
      </c>
      <c r="E5227" t="str">
        <f>"5"</f>
        <v>5</v>
      </c>
      <c r="F5227" t="str">
        <f t="shared" si="930"/>
        <v>COM</v>
      </c>
      <c r="G5227" t="str">
        <f>"VINÍCIUS NEVES PEREIRA (776)"</f>
        <v>VINÍCIUS NEVES PEREIRA (776)</v>
      </c>
      <c r="H5227" t="s">
        <v>50</v>
      </c>
      <c r="I5227" t="str">
        <f>("12/10/2025")</f>
        <v>12/10/2025</v>
      </c>
      <c r="J5227" t="str">
        <f>("23/04/2025")</f>
        <v>23/04/2025</v>
      </c>
      <c r="K5227">
        <v>45939</v>
      </c>
      <c r="N5227">
        <v>106</v>
      </c>
      <c r="O5227" t="s">
        <v>51</v>
      </c>
      <c r="Q5227">
        <v>20</v>
      </c>
      <c r="R5227" t="str">
        <f>"VINÍCIUS NEVES PEREIRA (776)"</f>
        <v>VINÍCIUS NEVES PEREIRA (776)</v>
      </c>
      <c r="S5227" t="s">
        <v>52</v>
      </c>
      <c r="T5227">
        <v>19460</v>
      </c>
      <c r="U5227">
        <v>16664</v>
      </c>
      <c r="V5227" t="s">
        <v>48</v>
      </c>
    </row>
    <row r="5228" spans="1:22">
      <c r="A5228" t="str">
        <f t="shared" si="931"/>
        <v>09/10/2025</v>
      </c>
      <c r="B5228" t="str">
        <f>"SAÍDA"</f>
        <v>SAÍDA</v>
      </c>
      <c r="C5228" t="str">
        <f>"PIX"</f>
        <v>PIX</v>
      </c>
      <c r="D5228" t="str">
        <f>"22547"</f>
        <v>22547</v>
      </c>
      <c r="E5228" t="str">
        <f>"1"</f>
        <v>1</v>
      </c>
      <c r="F5228" t="str">
        <f t="shared" si="930"/>
        <v>COM</v>
      </c>
      <c r="G5228" t="str">
        <f>"VINICIUS SANTOS PEREIRA (633)"</f>
        <v>VINICIUS SANTOS PEREIRA (633)</v>
      </c>
      <c r="H5228" t="str">
        <f>"Serv.Prest. 22/09/2025 a 25/09/2025 - PIX: CELULAR - CHAVE: (73) 99818-9718"</f>
        <v>Serv.Prest. 22/09/2025 a 25/09/2025 - PIX: CELULAR - CHAVE: (73) 99818-9718</v>
      </c>
      <c r="I5228" t="str">
        <f>("09/10/2025")</f>
        <v>09/10/2025</v>
      </c>
      <c r="J5228" t="str">
        <f>("26/09/2025")</f>
        <v>26/09/2025</v>
      </c>
      <c r="K5228" t="str">
        <f>("09/10/2025")</f>
        <v>09/10/2025</v>
      </c>
      <c r="L5228">
        <v>20</v>
      </c>
      <c r="M5228">
        <v>20</v>
      </c>
      <c r="N5228">
        <v>109</v>
      </c>
      <c r="O5228" t="str">
        <f>"PAGAMENTO DE ENTREGADORES"</f>
        <v>PAGAMENTO DE ENTREGADORES</v>
      </c>
      <c r="P5228">
        <v>20</v>
      </c>
      <c r="S5228" t="str">
        <f>"CAIXA MOVIMENTAÇÃO OPERACIONAL (132)"</f>
        <v>CAIXA MOVIMENTAÇÃO OPERACIONAL (132)</v>
      </c>
      <c r="T5228">
        <v>19461</v>
      </c>
      <c r="U5228">
        <v>23451</v>
      </c>
      <c r="V5228" t="s">
        <v>48</v>
      </c>
    </row>
    <row r="5229" spans="1:22">
      <c r="A5229" t="str">
        <f t="shared" si="931"/>
        <v>09/10/2025</v>
      </c>
      <c r="B5229" t="str">
        <f>"SAÍDA"</f>
        <v>SAÍDA</v>
      </c>
      <c r="C5229" t="str">
        <f>"PIX"</f>
        <v>PIX</v>
      </c>
      <c r="D5229" t="str">
        <f>"22547"</f>
        <v>22547</v>
      </c>
      <c r="E5229" t="str">
        <f>"1"</f>
        <v>1</v>
      </c>
      <c r="F5229" t="str">
        <f t="shared" si="930"/>
        <v>COM</v>
      </c>
      <c r="G5229" t="str">
        <f>"VINICIUS SANTOS PEREIRA (633)"</f>
        <v>VINICIUS SANTOS PEREIRA (633)</v>
      </c>
      <c r="H5229" t="s">
        <v>1487</v>
      </c>
      <c r="I5229" t="str">
        <f>("09/10/2025")</f>
        <v>09/10/2025</v>
      </c>
      <c r="J5229" t="str">
        <f>("26/09/2025")</f>
        <v>26/09/2025</v>
      </c>
      <c r="K5229">
        <v>45939</v>
      </c>
      <c r="N5229">
        <v>109</v>
      </c>
      <c r="O5229" t="s">
        <v>24</v>
      </c>
      <c r="Q5229">
        <v>20</v>
      </c>
      <c r="R5229" t="str">
        <f>"FARMÁCIA INDIANA LJ 95 (10039)"</f>
        <v>FARMÁCIA INDIANA LJ 95 (10039)</v>
      </c>
      <c r="S5229" t="s">
        <v>48</v>
      </c>
      <c r="T5229">
        <v>19461</v>
      </c>
      <c r="U5229">
        <v>23451</v>
      </c>
      <c r="V5229" t="s">
        <v>48</v>
      </c>
    </row>
    <row r="5230" spans="1:22">
      <c r="A5230" t="str">
        <f t="shared" si="931"/>
        <v>09/10/2025</v>
      </c>
      <c r="B5230" t="str">
        <f>"ENTRADA"</f>
        <v>ENTRADA</v>
      </c>
      <c r="C5230" t="str">
        <f>"DINHEIRO"</f>
        <v>DINHEIRO</v>
      </c>
      <c r="D5230" t="str">
        <f>"633"</f>
        <v>633</v>
      </c>
      <c r="E5230" t="str">
        <f>"9"</f>
        <v>9</v>
      </c>
      <c r="F5230" t="str">
        <f t="shared" si="930"/>
        <v>COM</v>
      </c>
      <c r="G5230" t="str">
        <f>"VINICIUS SANTOS PEREIRA (633)"</f>
        <v>VINICIUS SANTOS PEREIRA (633)</v>
      </c>
      <c r="H5230" t="str">
        <f>"COTAS COOPERATIVA"</f>
        <v>COTAS COOPERATIVA</v>
      </c>
      <c r="I5230" t="str">
        <f>("13/10/2025")</f>
        <v>13/10/2025</v>
      </c>
      <c r="J5230" t="str">
        <f>("13/02/2025")</f>
        <v>13/02/2025</v>
      </c>
      <c r="K5230" t="str">
        <f>("09/10/2025")</f>
        <v>09/10/2025</v>
      </c>
      <c r="L5230">
        <v>20</v>
      </c>
      <c r="M5230">
        <v>20</v>
      </c>
      <c r="N5230">
        <v>106</v>
      </c>
      <c r="O5230" t="str">
        <f>"ENTRADA DE CAPITAL"</f>
        <v>ENTRADA DE CAPITAL</v>
      </c>
      <c r="P5230">
        <v>20</v>
      </c>
      <c r="S5230" t="str">
        <f>"ENTRADA DE CAPITAL (106)"</f>
        <v>ENTRADA DE CAPITAL (106)</v>
      </c>
      <c r="T5230">
        <v>19462</v>
      </c>
      <c r="U5230">
        <v>9687</v>
      </c>
      <c r="V5230" t="s">
        <v>48</v>
      </c>
    </row>
    <row r="5231" spans="1:22">
      <c r="A5231" t="str">
        <f t="shared" si="931"/>
        <v>09/10/2025</v>
      </c>
      <c r="B5231" t="str">
        <f>"ENTRADA"</f>
        <v>ENTRADA</v>
      </c>
      <c r="C5231" t="str">
        <f>"DINHEIRO"</f>
        <v>DINHEIRO</v>
      </c>
      <c r="D5231" t="str">
        <f>"633"</f>
        <v>633</v>
      </c>
      <c r="E5231" t="str">
        <f>"9"</f>
        <v>9</v>
      </c>
      <c r="F5231" t="str">
        <f t="shared" si="930"/>
        <v>COM</v>
      </c>
      <c r="G5231" t="str">
        <f>"VINICIUS SANTOS PEREIRA (633)"</f>
        <v>VINICIUS SANTOS PEREIRA (633)</v>
      </c>
      <c r="H5231" t="s">
        <v>318</v>
      </c>
      <c r="I5231" t="str">
        <f>("13/10/2025")</f>
        <v>13/10/2025</v>
      </c>
      <c r="J5231" t="str">
        <f>("13/02/2025")</f>
        <v>13/02/2025</v>
      </c>
      <c r="K5231">
        <v>45939</v>
      </c>
      <c r="N5231">
        <v>106</v>
      </c>
      <c r="O5231" t="s">
        <v>51</v>
      </c>
      <c r="Q5231">
        <v>20</v>
      </c>
      <c r="R5231" t="str">
        <f>"VINICIUS SANTOS PEREIRA (633)"</f>
        <v>VINICIUS SANTOS PEREIRA (633)</v>
      </c>
      <c r="S5231" t="s">
        <v>52</v>
      </c>
      <c r="T5231">
        <v>19462</v>
      </c>
      <c r="U5231">
        <v>9687</v>
      </c>
      <c r="V5231" t="s">
        <v>48</v>
      </c>
    </row>
    <row r="5232" spans="1:22">
      <c r="A5232" t="str">
        <f t="shared" si="931"/>
        <v>09/10/2025</v>
      </c>
      <c r="B5232" t="str">
        <f>"ENTRADA"</f>
        <v>ENTRADA</v>
      </c>
      <c r="C5232" t="str">
        <f>"DINHEIRO"</f>
        <v>DINHEIRO</v>
      </c>
      <c r="D5232" t="str">
        <f>"257"</f>
        <v>257</v>
      </c>
      <c r="E5232" t="str">
        <f>"23"</f>
        <v>23</v>
      </c>
      <c r="F5232" t="str">
        <f t="shared" si="930"/>
        <v>COM</v>
      </c>
      <c r="G5232" t="str">
        <f>"VITOR CARDOSO FAUSTINO (257)"</f>
        <v>VITOR CARDOSO FAUSTINO (257)</v>
      </c>
      <c r="H5232" t="str">
        <f>"COTAS COOPERATIVA"</f>
        <v>COTAS COOPERATIVA</v>
      </c>
      <c r="I5232" t="str">
        <f>("13/10/2025")</f>
        <v>13/10/2025</v>
      </c>
      <c r="J5232" t="str">
        <f>("13/02/2025")</f>
        <v>13/02/2025</v>
      </c>
      <c r="K5232" t="str">
        <f>("09/10/2025")</f>
        <v>09/10/2025</v>
      </c>
      <c r="L5232">
        <v>20</v>
      </c>
      <c r="M5232">
        <v>20</v>
      </c>
      <c r="N5232">
        <v>106</v>
      </c>
      <c r="O5232" t="str">
        <f>"ENTRADA DE CAPITAL"</f>
        <v>ENTRADA DE CAPITAL</v>
      </c>
      <c r="P5232">
        <v>20</v>
      </c>
      <c r="S5232" t="str">
        <f>"ENTRADA DE CAPITAL (106)"</f>
        <v>ENTRADA DE CAPITAL (106)</v>
      </c>
      <c r="T5232">
        <v>19463</v>
      </c>
      <c r="U5232">
        <v>9713</v>
      </c>
      <c r="V5232" t="s">
        <v>48</v>
      </c>
    </row>
    <row r="5233" spans="1:22">
      <c r="A5233" t="str">
        <f t="shared" si="931"/>
        <v>09/10/2025</v>
      </c>
      <c r="B5233" t="str">
        <f>"ENTRADA"</f>
        <v>ENTRADA</v>
      </c>
      <c r="C5233" t="str">
        <f>"DINHEIRO"</f>
        <v>DINHEIRO</v>
      </c>
      <c r="D5233" t="str">
        <f>"257"</f>
        <v>257</v>
      </c>
      <c r="E5233" t="str">
        <f>"23"</f>
        <v>23</v>
      </c>
      <c r="F5233" t="str">
        <f t="shared" si="930"/>
        <v>COM</v>
      </c>
      <c r="G5233" t="str">
        <f>"VITOR CARDOSO FAUSTINO (257)"</f>
        <v>VITOR CARDOSO FAUSTINO (257)</v>
      </c>
      <c r="H5233" t="s">
        <v>318</v>
      </c>
      <c r="I5233" t="str">
        <f>("13/10/2025")</f>
        <v>13/10/2025</v>
      </c>
      <c r="J5233" t="str">
        <f>("13/02/2025")</f>
        <v>13/02/2025</v>
      </c>
      <c r="K5233">
        <v>45939</v>
      </c>
      <c r="N5233">
        <v>106</v>
      </c>
      <c r="O5233" t="s">
        <v>51</v>
      </c>
      <c r="Q5233">
        <v>20</v>
      </c>
      <c r="R5233" t="str">
        <f>"VITOR CARDOSO FAUSTINO (257)"</f>
        <v>VITOR CARDOSO FAUSTINO (257)</v>
      </c>
      <c r="S5233" t="s">
        <v>52</v>
      </c>
      <c r="T5233">
        <v>19463</v>
      </c>
      <c r="U5233">
        <v>9713</v>
      </c>
      <c r="V5233" t="s">
        <v>48</v>
      </c>
    </row>
    <row r="5234" spans="1:22">
      <c r="A5234" t="str">
        <f t="shared" si="931"/>
        <v>09/10/2025</v>
      </c>
      <c r="B5234" t="str">
        <f>"SAÍDA"</f>
        <v>SAÍDA</v>
      </c>
      <c r="C5234" t="str">
        <f>"PIX"</f>
        <v>PIX</v>
      </c>
      <c r="D5234" t="str">
        <f>"23005"</f>
        <v>23005</v>
      </c>
      <c r="E5234" t="str">
        <f>"1"</f>
        <v>1</v>
      </c>
      <c r="F5234" t="str">
        <f t="shared" si="930"/>
        <v>COM</v>
      </c>
      <c r="G5234" t="str">
        <f>"VITOR CARDOSO FAUSTINO (257)"</f>
        <v>VITOR CARDOSO FAUSTINO (257)</v>
      </c>
      <c r="H5234" t="str">
        <f>"Serv.Prest. 26/09/2025 a 05/10/2025 - PIX: CPF - CHAVE: 157.874.046-02"</f>
        <v>Serv.Prest. 26/09/2025 a 05/10/2025 - PIX: CPF - CHAVE: 157.874.046-02</v>
      </c>
      <c r="I5234" t="str">
        <f>("16/10/2025")</f>
        <v>16/10/2025</v>
      </c>
      <c r="J5234" t="str">
        <f>("07/10/2025")</f>
        <v>07/10/2025</v>
      </c>
      <c r="K5234" t="str">
        <f>("09/10/2025")</f>
        <v>09/10/2025</v>
      </c>
      <c r="L5234">
        <v>20</v>
      </c>
      <c r="M5234">
        <v>20</v>
      </c>
      <c r="N5234">
        <v>109</v>
      </c>
      <c r="O5234" t="str">
        <f>"PAGAMENTO DE ENTREGADORES"</f>
        <v>PAGAMENTO DE ENTREGADORES</v>
      </c>
      <c r="P5234">
        <v>20</v>
      </c>
      <c r="S5234" t="str">
        <f>"CAIXA MOVIMENTAÇÃO OPERACIONAL (132)"</f>
        <v>CAIXA MOVIMENTAÇÃO OPERACIONAL (132)</v>
      </c>
      <c r="T5234">
        <v>19464</v>
      </c>
      <c r="U5234">
        <v>23452</v>
      </c>
      <c r="V5234" t="s">
        <v>48</v>
      </c>
    </row>
    <row r="5235" spans="1:22">
      <c r="A5235" t="str">
        <f t="shared" si="931"/>
        <v>09/10/2025</v>
      </c>
      <c r="B5235" t="str">
        <f>"SAÍDA"</f>
        <v>SAÍDA</v>
      </c>
      <c r="C5235" t="str">
        <f>"PIX"</f>
        <v>PIX</v>
      </c>
      <c r="D5235" t="str">
        <f>"23005"</f>
        <v>23005</v>
      </c>
      <c r="E5235" t="str">
        <f>"1"</f>
        <v>1</v>
      </c>
      <c r="F5235" t="str">
        <f t="shared" si="930"/>
        <v>COM</v>
      </c>
      <c r="G5235" t="str">
        <f>"VITOR CARDOSO FAUSTINO (257)"</f>
        <v>VITOR CARDOSO FAUSTINO (257)</v>
      </c>
      <c r="H5235" t="s">
        <v>1488</v>
      </c>
      <c r="I5235" t="str">
        <f>("16/10/2025")</f>
        <v>16/10/2025</v>
      </c>
      <c r="J5235" t="str">
        <f>("07/10/2025")</f>
        <v>07/10/2025</v>
      </c>
      <c r="K5235">
        <v>45939</v>
      </c>
      <c r="N5235">
        <v>109</v>
      </c>
      <c r="O5235" t="s">
        <v>24</v>
      </c>
      <c r="Q5235">
        <v>20</v>
      </c>
      <c r="R5235" t="str">
        <f>"FARMÁCIA INDIANA LJ 07 (10007)"</f>
        <v>FARMÁCIA INDIANA LJ 07 (10007)</v>
      </c>
      <c r="S5235" t="s">
        <v>48</v>
      </c>
      <c r="T5235">
        <v>19464</v>
      </c>
      <c r="U5235">
        <v>23452</v>
      </c>
      <c r="V5235" t="s">
        <v>48</v>
      </c>
    </row>
    <row r="5236" spans="1:22">
      <c r="A5236" t="str">
        <f t="shared" si="931"/>
        <v>09/10/2025</v>
      </c>
      <c r="B5236" t="str">
        <f>"SAÍDA"</f>
        <v>SAÍDA</v>
      </c>
      <c r="C5236" t="str">
        <f>"PIX"</f>
        <v>PIX</v>
      </c>
      <c r="D5236" t="str">
        <f>"22639"</f>
        <v>22639</v>
      </c>
      <c r="E5236" t="str">
        <f>"1"</f>
        <v>1</v>
      </c>
      <c r="F5236" t="str">
        <f t="shared" si="930"/>
        <v>COM</v>
      </c>
      <c r="G5236" t="str">
        <f>"VITOR DE SOUZA SILVA (360)"</f>
        <v>VITOR DE SOUZA SILVA (360)</v>
      </c>
      <c r="H5236" t="str">
        <f>"Serv.Prest. 22/09/2025 a 25/09/2025 - PIX: CPF - CHAVE: 130.194.566-81"</f>
        <v>Serv.Prest. 22/09/2025 a 25/09/2025 - PIX: CPF - CHAVE: 130.194.566-81</v>
      </c>
      <c r="I5236" t="str">
        <f>("09/10/2025")</f>
        <v>09/10/2025</v>
      </c>
      <c r="J5236" t="str">
        <f>("26/09/2025")</f>
        <v>26/09/2025</v>
      </c>
      <c r="K5236" t="str">
        <f>("09/10/2025")</f>
        <v>09/10/2025</v>
      </c>
      <c r="L5236">
        <v>20</v>
      </c>
      <c r="M5236">
        <v>20</v>
      </c>
      <c r="N5236">
        <v>109</v>
      </c>
      <c r="O5236" t="str">
        <f>"PAGAMENTO DE ENTREGADORES"</f>
        <v>PAGAMENTO DE ENTREGADORES</v>
      </c>
      <c r="P5236">
        <v>20</v>
      </c>
      <c r="S5236" t="str">
        <f>"CAIXA MOVIMENTAÇÃO OPERACIONAL (132)"</f>
        <v>CAIXA MOVIMENTAÇÃO OPERACIONAL (132)</v>
      </c>
      <c r="T5236">
        <v>19465</v>
      </c>
      <c r="U5236">
        <v>23453</v>
      </c>
      <c r="V5236" t="s">
        <v>48</v>
      </c>
    </row>
    <row r="5237" spans="1:22">
      <c r="A5237" t="str">
        <f t="shared" si="931"/>
        <v>09/10/2025</v>
      </c>
      <c r="B5237" t="str">
        <f>"SAÍDA"</f>
        <v>SAÍDA</v>
      </c>
      <c r="C5237" t="str">
        <f>"PIX"</f>
        <v>PIX</v>
      </c>
      <c r="D5237" t="str">
        <f>"22639"</f>
        <v>22639</v>
      </c>
      <c r="E5237" t="str">
        <f>"1"</f>
        <v>1</v>
      </c>
      <c r="F5237" t="str">
        <f t="shared" si="930"/>
        <v>COM</v>
      </c>
      <c r="G5237" t="str">
        <f>"VITOR DE SOUZA SILVA (360)"</f>
        <v>VITOR DE SOUZA SILVA (360)</v>
      </c>
      <c r="H5237" t="s">
        <v>1489</v>
      </c>
      <c r="I5237" t="str">
        <f>("09/10/2025")</f>
        <v>09/10/2025</v>
      </c>
      <c r="J5237" t="str">
        <f>("26/09/2025")</f>
        <v>26/09/2025</v>
      </c>
      <c r="K5237">
        <v>45939</v>
      </c>
      <c r="N5237">
        <v>109</v>
      </c>
      <c r="O5237" t="s">
        <v>24</v>
      </c>
      <c r="Q5237">
        <v>20</v>
      </c>
      <c r="R5237" t="str">
        <f>"FARMÁCIA INDIANA LJ 121 (10054)"</f>
        <v>FARMÁCIA INDIANA LJ 121 (10054)</v>
      </c>
      <c r="S5237" t="s">
        <v>48</v>
      </c>
      <c r="T5237">
        <v>19465</v>
      </c>
      <c r="U5237">
        <v>23453</v>
      </c>
      <c r="V5237" t="s">
        <v>48</v>
      </c>
    </row>
    <row r="5238" spans="1:22">
      <c r="A5238" t="str">
        <f t="shared" si="931"/>
        <v>09/10/2025</v>
      </c>
      <c r="B5238" t="str">
        <f>"ENTRADA"</f>
        <v>ENTRADA</v>
      </c>
      <c r="C5238" t="str">
        <f>"DINHEIRO"</f>
        <v>DINHEIRO</v>
      </c>
      <c r="D5238" t="str">
        <f>"06"</f>
        <v>06</v>
      </c>
      <c r="E5238" t="str">
        <f>"34"</f>
        <v>34</v>
      </c>
      <c r="F5238" t="str">
        <f t="shared" si="930"/>
        <v>COM</v>
      </c>
      <c r="G5238" t="str">
        <f>"VITOR DE SOUZA SILVA (360)"</f>
        <v>VITOR DE SOUZA SILVA (360)</v>
      </c>
      <c r="H5238" t="str">
        <f>"DESCONTO COTA COOPERADO"</f>
        <v>DESCONTO COTA COOPERADO</v>
      </c>
      <c r="I5238" t="str">
        <f>("16/10/2025")</f>
        <v>16/10/2025</v>
      </c>
      <c r="J5238" t="str">
        <f>("16/01/2025")</f>
        <v>16/01/2025</v>
      </c>
      <c r="K5238" t="str">
        <f>("09/10/2025")</f>
        <v>09/10/2025</v>
      </c>
      <c r="L5238">
        <v>20</v>
      </c>
      <c r="M5238">
        <v>20</v>
      </c>
      <c r="N5238">
        <v>106</v>
      </c>
      <c r="O5238" t="str">
        <f>"ENTRADA DE CAPITAL"</f>
        <v>ENTRADA DE CAPITAL</v>
      </c>
      <c r="P5238">
        <v>20</v>
      </c>
      <c r="S5238" t="str">
        <f>"ENTRADA DE CAPITAL (106)"</f>
        <v>ENTRADA DE CAPITAL (106)</v>
      </c>
      <c r="T5238">
        <v>19466</v>
      </c>
      <c r="U5238">
        <v>7652</v>
      </c>
      <c r="V5238" t="s">
        <v>48</v>
      </c>
    </row>
    <row r="5239" spans="1:22">
      <c r="A5239" t="str">
        <f t="shared" si="931"/>
        <v>09/10/2025</v>
      </c>
      <c r="B5239" t="str">
        <f>"ENTRADA"</f>
        <v>ENTRADA</v>
      </c>
      <c r="C5239" t="str">
        <f>"DINHEIRO"</f>
        <v>DINHEIRO</v>
      </c>
      <c r="D5239" t="str">
        <f>"06"</f>
        <v>06</v>
      </c>
      <c r="E5239" t="str">
        <f>"34"</f>
        <v>34</v>
      </c>
      <c r="F5239" t="str">
        <f t="shared" si="930"/>
        <v>COM</v>
      </c>
      <c r="G5239" t="str">
        <f>"VITOR DE SOUZA SILVA (360)"</f>
        <v>VITOR DE SOUZA SILVA (360)</v>
      </c>
      <c r="H5239" t="s">
        <v>309</v>
      </c>
      <c r="I5239" t="str">
        <f>("16/10/2025")</f>
        <v>16/10/2025</v>
      </c>
      <c r="J5239" t="str">
        <f>("16/01/2025")</f>
        <v>16/01/2025</v>
      </c>
      <c r="K5239">
        <v>45939</v>
      </c>
      <c r="N5239">
        <v>106</v>
      </c>
      <c r="O5239" t="s">
        <v>51</v>
      </c>
      <c r="Q5239">
        <v>20</v>
      </c>
      <c r="R5239" t="str">
        <f>"VITOR DE SOUZA SILVA (360)"</f>
        <v>VITOR DE SOUZA SILVA (360)</v>
      </c>
      <c r="S5239" t="s">
        <v>52</v>
      </c>
      <c r="T5239">
        <v>19466</v>
      </c>
      <c r="U5239">
        <v>7652</v>
      </c>
      <c r="V5239" t="s">
        <v>48</v>
      </c>
    </row>
    <row r="5240" spans="1:22">
      <c r="A5240" t="str">
        <f t="shared" si="931"/>
        <v>09/10/2025</v>
      </c>
      <c r="B5240" t="str">
        <f>"SAÍDA"</f>
        <v>SAÍDA</v>
      </c>
      <c r="C5240" t="str">
        <f>"PIX"</f>
        <v>PIX</v>
      </c>
      <c r="D5240" t="str">
        <f>"22641"</f>
        <v>22641</v>
      </c>
      <c r="E5240" t="str">
        <f>"1"</f>
        <v>1</v>
      </c>
      <c r="F5240" t="str">
        <f t="shared" si="930"/>
        <v>COM</v>
      </c>
      <c r="G5240" t="str">
        <f>"WARLEN JUNIO ELIAS DE OLIVEIRA (171)"</f>
        <v>WARLEN JUNIO ELIAS DE OLIVEIRA (171)</v>
      </c>
      <c r="H5240" t="str">
        <f>"Serv.Prest. 22/09/2025 a 25/09/2025 - PIX: CELULAR - CHAVE: (31) 97251-6838"</f>
        <v>Serv.Prest. 22/09/2025 a 25/09/2025 - PIX: CELULAR - CHAVE: (31) 97251-6838</v>
      </c>
      <c r="I5240" t="str">
        <f>("09/10/2025")</f>
        <v>09/10/2025</v>
      </c>
      <c r="J5240" t="str">
        <f>("26/09/2025")</f>
        <v>26/09/2025</v>
      </c>
      <c r="K5240" t="str">
        <f>("09/10/2025")</f>
        <v>09/10/2025</v>
      </c>
      <c r="L5240">
        <v>20</v>
      </c>
      <c r="M5240">
        <v>20</v>
      </c>
      <c r="N5240">
        <v>109</v>
      </c>
      <c r="O5240" t="str">
        <f>"PAGAMENTO DE ENTREGADORES"</f>
        <v>PAGAMENTO DE ENTREGADORES</v>
      </c>
      <c r="P5240">
        <v>20</v>
      </c>
      <c r="S5240" t="str">
        <f>"CAIXA MOVIMENTAÇÃO OPERACIONAL (132)"</f>
        <v>CAIXA MOVIMENTAÇÃO OPERACIONAL (132)</v>
      </c>
      <c r="T5240">
        <v>19467</v>
      </c>
      <c r="U5240">
        <v>23454</v>
      </c>
      <c r="V5240" t="s">
        <v>48</v>
      </c>
    </row>
    <row r="5241" spans="1:22">
      <c r="A5241" t="str">
        <f t="shared" si="931"/>
        <v>09/10/2025</v>
      </c>
      <c r="B5241" t="str">
        <f>"SAÍDA"</f>
        <v>SAÍDA</v>
      </c>
      <c r="C5241" t="str">
        <f>"PIX"</f>
        <v>PIX</v>
      </c>
      <c r="D5241" t="str">
        <f>"22641"</f>
        <v>22641</v>
      </c>
      <c r="E5241" t="str">
        <f>"1"</f>
        <v>1</v>
      </c>
      <c r="F5241" t="str">
        <f t="shared" si="930"/>
        <v>COM</v>
      </c>
      <c r="G5241" t="str">
        <f>"WARLEN JUNIO ELIAS DE OLIVEIRA (171)"</f>
        <v>WARLEN JUNIO ELIAS DE OLIVEIRA (171)</v>
      </c>
      <c r="H5241" t="s">
        <v>1490</v>
      </c>
      <c r="I5241" t="str">
        <f>("09/10/2025")</f>
        <v>09/10/2025</v>
      </c>
      <c r="J5241" t="str">
        <f>("26/09/2025")</f>
        <v>26/09/2025</v>
      </c>
      <c r="K5241">
        <v>45939</v>
      </c>
      <c r="N5241">
        <v>109</v>
      </c>
      <c r="O5241" t="s">
        <v>24</v>
      </c>
      <c r="Q5241">
        <v>20</v>
      </c>
      <c r="R5241" t="str">
        <f>"FARMÁCIA INDIANA LJ 175 (10076)"</f>
        <v>FARMÁCIA INDIANA LJ 175 (10076)</v>
      </c>
      <c r="S5241" t="s">
        <v>48</v>
      </c>
      <c r="T5241">
        <v>19467</v>
      </c>
      <c r="U5241">
        <v>23454</v>
      </c>
      <c r="V5241" t="s">
        <v>48</v>
      </c>
    </row>
    <row r="5242" spans="1:22">
      <c r="A5242" t="str">
        <f t="shared" si="931"/>
        <v>09/10/2025</v>
      </c>
      <c r="B5242" t="str">
        <f>"ENTRADA"</f>
        <v>ENTRADA</v>
      </c>
      <c r="C5242" t="str">
        <f>"DINHEIRO"</f>
        <v>DINHEIRO</v>
      </c>
      <c r="D5242" t="str">
        <f>"11"</f>
        <v>11</v>
      </c>
      <c r="E5242" t="str">
        <f>"34"</f>
        <v>34</v>
      </c>
      <c r="F5242" t="str">
        <f t="shared" si="930"/>
        <v>COM</v>
      </c>
      <c r="G5242" t="str">
        <f>"WARLEN JUNIO ELIAS DE OLIVEIRA (171)"</f>
        <v>WARLEN JUNIO ELIAS DE OLIVEIRA (171)</v>
      </c>
      <c r="H5242" t="str">
        <f>"DESCONTO COTA COOPERADO"</f>
        <v>DESCONTO COTA COOPERADO</v>
      </c>
      <c r="I5242" t="str">
        <f>("16/10/2025")</f>
        <v>16/10/2025</v>
      </c>
      <c r="J5242" t="str">
        <f>("16/01/2025")</f>
        <v>16/01/2025</v>
      </c>
      <c r="K5242" t="str">
        <f>("09/10/2025")</f>
        <v>09/10/2025</v>
      </c>
      <c r="L5242">
        <v>20</v>
      </c>
      <c r="M5242">
        <v>20</v>
      </c>
      <c r="N5242">
        <v>106</v>
      </c>
      <c r="O5242" t="str">
        <f>"ENTRADA DE CAPITAL"</f>
        <v>ENTRADA DE CAPITAL</v>
      </c>
      <c r="P5242">
        <v>20</v>
      </c>
      <c r="S5242" t="str">
        <f>"ENTRADA DE CAPITAL (106)"</f>
        <v>ENTRADA DE CAPITAL (106)</v>
      </c>
      <c r="T5242">
        <v>19468</v>
      </c>
      <c r="U5242">
        <v>7694</v>
      </c>
      <c r="V5242" t="s">
        <v>48</v>
      </c>
    </row>
    <row r="5243" spans="1:22">
      <c r="A5243" t="str">
        <f t="shared" si="931"/>
        <v>09/10/2025</v>
      </c>
      <c r="B5243" t="str">
        <f>"ENTRADA"</f>
        <v>ENTRADA</v>
      </c>
      <c r="C5243" t="str">
        <f>"DINHEIRO"</f>
        <v>DINHEIRO</v>
      </c>
      <c r="D5243" t="str">
        <f>"11"</f>
        <v>11</v>
      </c>
      <c r="E5243" t="str">
        <f>"34"</f>
        <v>34</v>
      </c>
      <c r="F5243" t="str">
        <f t="shared" si="930"/>
        <v>COM</v>
      </c>
      <c r="G5243" t="str">
        <f>"WARLEN JUNIO ELIAS DE OLIVEIRA (171)"</f>
        <v>WARLEN JUNIO ELIAS DE OLIVEIRA (171)</v>
      </c>
      <c r="H5243" t="s">
        <v>309</v>
      </c>
      <c r="I5243" t="str">
        <f>("16/10/2025")</f>
        <v>16/10/2025</v>
      </c>
      <c r="J5243" t="str">
        <f>("16/01/2025")</f>
        <v>16/01/2025</v>
      </c>
      <c r="K5243">
        <v>45939</v>
      </c>
      <c r="N5243">
        <v>106</v>
      </c>
      <c r="O5243" t="s">
        <v>51</v>
      </c>
      <c r="Q5243">
        <v>20</v>
      </c>
      <c r="R5243" t="str">
        <f>"WARLEN JUNIO ELIAS DE OLIVEIRA (171)"</f>
        <v>WARLEN JUNIO ELIAS DE OLIVEIRA (171)</v>
      </c>
      <c r="S5243" t="s">
        <v>52</v>
      </c>
      <c r="T5243">
        <v>19468</v>
      </c>
      <c r="U5243">
        <v>7694</v>
      </c>
      <c r="V5243" t="s">
        <v>48</v>
      </c>
    </row>
    <row r="5244" spans="1:22">
      <c r="A5244" t="str">
        <f t="shared" si="931"/>
        <v>09/10/2025</v>
      </c>
      <c r="B5244" t="str">
        <f>"SAÍDA"</f>
        <v>SAÍDA</v>
      </c>
      <c r="C5244" t="str">
        <f>"PIX"</f>
        <v>PIX</v>
      </c>
      <c r="D5244" t="str">
        <f>"22817"</f>
        <v>22817</v>
      </c>
      <c r="E5244" t="str">
        <f>"1"</f>
        <v>1</v>
      </c>
      <c r="F5244" t="str">
        <f t="shared" si="930"/>
        <v>COM</v>
      </c>
      <c r="G5244" t="str">
        <f>"WASHINGTON VALERIO DE SOUZA (888)"</f>
        <v>WASHINGTON VALERIO DE SOUZA (888)</v>
      </c>
      <c r="H5244" t="str">
        <f>"Serv.Prest. 29/09/2025 a 05/10/2025 - PIX: CPF - CHAVE: 080.965.696-51"</f>
        <v>Serv.Prest. 29/09/2025 a 05/10/2025 - PIX: CPF - CHAVE: 080.965.696-51</v>
      </c>
      <c r="I5244" t="str">
        <f>("09/10/2025")</f>
        <v>09/10/2025</v>
      </c>
      <c r="J5244" t="str">
        <f>("06/10/2025")</f>
        <v>06/10/2025</v>
      </c>
      <c r="K5244" t="str">
        <f>("09/10/2025")</f>
        <v>09/10/2025</v>
      </c>
      <c r="L5244">
        <v>20</v>
      </c>
      <c r="M5244">
        <v>20</v>
      </c>
      <c r="N5244">
        <v>109</v>
      </c>
      <c r="O5244" t="str">
        <f>"PAGAMENTO DE ENTREGADORES"</f>
        <v>PAGAMENTO DE ENTREGADORES</v>
      </c>
      <c r="P5244">
        <v>20</v>
      </c>
      <c r="S5244" t="str">
        <f>"CAIXA MOVIMENTAÇÃO OPERACIONAL (132)"</f>
        <v>CAIXA MOVIMENTAÇÃO OPERACIONAL (132)</v>
      </c>
      <c r="T5244">
        <v>19469</v>
      </c>
      <c r="U5244">
        <v>23455</v>
      </c>
      <c r="V5244" t="s">
        <v>48</v>
      </c>
    </row>
    <row r="5245" spans="1:22">
      <c r="A5245" t="str">
        <f t="shared" si="931"/>
        <v>09/10/2025</v>
      </c>
      <c r="B5245" t="str">
        <f>"SAÍDA"</f>
        <v>SAÍDA</v>
      </c>
      <c r="C5245" t="str">
        <f>"PIX"</f>
        <v>PIX</v>
      </c>
      <c r="D5245" t="str">
        <f>"22817"</f>
        <v>22817</v>
      </c>
      <c r="E5245" t="str">
        <f>"1"</f>
        <v>1</v>
      </c>
      <c r="F5245" t="str">
        <f t="shared" si="930"/>
        <v>COM</v>
      </c>
      <c r="G5245" t="str">
        <f>"WASHINGTON VALERIO DE SOUZA (888)"</f>
        <v>WASHINGTON VALERIO DE SOUZA (888)</v>
      </c>
      <c r="H5245" t="s">
        <v>1491</v>
      </c>
      <c r="I5245" t="str">
        <f>("09/10/2025")</f>
        <v>09/10/2025</v>
      </c>
      <c r="J5245" t="str">
        <f>("06/10/2025")</f>
        <v>06/10/2025</v>
      </c>
      <c r="K5245">
        <v>45939</v>
      </c>
      <c r="N5245">
        <v>109</v>
      </c>
      <c r="O5245" t="s">
        <v>24</v>
      </c>
      <c r="Q5245">
        <v>20</v>
      </c>
      <c r="R5245" t="str">
        <f>"DROGARIA ANA VISCONDE DO RIO BRANCO (10182)"</f>
        <v>DROGARIA ANA VISCONDE DO RIO BRANCO (10182)</v>
      </c>
      <c r="S5245" t="s">
        <v>48</v>
      </c>
      <c r="T5245">
        <v>19469</v>
      </c>
      <c r="U5245">
        <v>23455</v>
      </c>
      <c r="V5245" t="s">
        <v>48</v>
      </c>
    </row>
    <row r="5246" spans="1:22">
      <c r="A5246" t="str">
        <f t="shared" si="931"/>
        <v>09/10/2025</v>
      </c>
      <c r="B5246" t="str">
        <f>"ENTRADA"</f>
        <v>ENTRADA</v>
      </c>
      <c r="C5246" t="str">
        <f>"DINHEIRO"</f>
        <v>DINHEIRO</v>
      </c>
      <c r="D5246" t="str">
        <f>"888"</f>
        <v>888</v>
      </c>
      <c r="E5246" t="str">
        <f>"3"</f>
        <v>3</v>
      </c>
      <c r="F5246" t="str">
        <f t="shared" si="930"/>
        <v>COM</v>
      </c>
      <c r="G5246" t="str">
        <f>"WASHINGTON VALERIO DE SOUZA (888)"</f>
        <v>WASHINGTON VALERIO DE SOUZA (888)</v>
      </c>
      <c r="H5246" t="str">
        <f>"COTA COOPERATIVA"</f>
        <v>COTA COOPERATIVA</v>
      </c>
      <c r="I5246" t="str">
        <f>("10/10/2025")</f>
        <v>10/10/2025</v>
      </c>
      <c r="J5246" t="str">
        <f>("20/07/2025")</f>
        <v>20/07/2025</v>
      </c>
      <c r="K5246" t="str">
        <f>("09/10/2025")</f>
        <v>09/10/2025</v>
      </c>
      <c r="L5246">
        <v>20</v>
      </c>
      <c r="M5246">
        <v>20</v>
      </c>
      <c r="N5246">
        <v>106</v>
      </c>
      <c r="O5246" t="str">
        <f>"ENTRADA DE CAPITAL"</f>
        <v>ENTRADA DE CAPITAL</v>
      </c>
      <c r="P5246">
        <v>20</v>
      </c>
      <c r="S5246" t="str">
        <f>"ENTRADA DE CAPITAL (106)"</f>
        <v>ENTRADA DE CAPITAL (106)</v>
      </c>
      <c r="T5246">
        <v>19470</v>
      </c>
      <c r="U5246">
        <v>19986</v>
      </c>
      <c r="V5246" t="s">
        <v>48</v>
      </c>
    </row>
    <row r="5247" spans="1:22">
      <c r="A5247" t="str">
        <f t="shared" si="931"/>
        <v>09/10/2025</v>
      </c>
      <c r="B5247" t="str">
        <f>"SAÍDA"</f>
        <v>SAÍDA</v>
      </c>
      <c r="C5247" t="str">
        <f>"PIX"</f>
        <v>PIX</v>
      </c>
      <c r="D5247" t="str">
        <f>"22643"</f>
        <v>22643</v>
      </c>
      <c r="E5247" t="str">
        <f>"1"</f>
        <v>1</v>
      </c>
      <c r="F5247" t="str">
        <f t="shared" si="930"/>
        <v>COM</v>
      </c>
      <c r="G5247" t="str">
        <f>"WELLINGTON DOS SANTOS ALVES (438)"</f>
        <v>WELLINGTON DOS SANTOS ALVES (438)</v>
      </c>
      <c r="H5247" t="str">
        <f>"Serv.Prest. 22/09/2025 a 25/09/2025 - PIX: CELULAR - CHAVE: (32) 99800-1691"</f>
        <v>Serv.Prest. 22/09/2025 a 25/09/2025 - PIX: CELULAR - CHAVE: (32) 99800-1691</v>
      </c>
      <c r="I5247" t="str">
        <f>("09/10/2025")</f>
        <v>09/10/2025</v>
      </c>
      <c r="J5247" t="str">
        <f>("26/09/2025")</f>
        <v>26/09/2025</v>
      </c>
      <c r="K5247" t="str">
        <f>("09/10/2025")</f>
        <v>09/10/2025</v>
      </c>
      <c r="L5247">
        <v>20</v>
      </c>
      <c r="M5247">
        <v>20</v>
      </c>
      <c r="N5247">
        <v>109</v>
      </c>
      <c r="O5247" t="str">
        <f>"PAGAMENTO DE ENTREGADORES"</f>
        <v>PAGAMENTO DE ENTREGADORES</v>
      </c>
      <c r="P5247">
        <v>20</v>
      </c>
      <c r="S5247" t="str">
        <f>"CAIXA MOVIMENTAÇÃO OPERACIONAL (132)"</f>
        <v>CAIXA MOVIMENTAÇÃO OPERACIONAL (132)</v>
      </c>
      <c r="T5247">
        <v>19471</v>
      </c>
      <c r="U5247">
        <v>23456</v>
      </c>
      <c r="V5247" t="s">
        <v>48</v>
      </c>
    </row>
    <row r="5248" spans="1:22">
      <c r="A5248" t="str">
        <f t="shared" si="931"/>
        <v>09/10/2025</v>
      </c>
      <c r="B5248" t="str">
        <f>"SAÍDA"</f>
        <v>SAÍDA</v>
      </c>
      <c r="C5248" t="str">
        <f>"PIX"</f>
        <v>PIX</v>
      </c>
      <c r="D5248" t="str">
        <f>"22643"</f>
        <v>22643</v>
      </c>
      <c r="E5248" t="str">
        <f>"1"</f>
        <v>1</v>
      </c>
      <c r="F5248" t="str">
        <f t="shared" si="930"/>
        <v>COM</v>
      </c>
      <c r="G5248" t="str">
        <f>"WELLINGTON DOS SANTOS ALVES (438)"</f>
        <v>WELLINGTON DOS SANTOS ALVES (438)</v>
      </c>
      <c r="H5248" t="s">
        <v>1492</v>
      </c>
      <c r="I5248" t="str">
        <f>("09/10/2025")</f>
        <v>09/10/2025</v>
      </c>
      <c r="J5248" t="str">
        <f>("26/09/2025")</f>
        <v>26/09/2025</v>
      </c>
      <c r="K5248">
        <v>45939</v>
      </c>
      <c r="N5248">
        <v>109</v>
      </c>
      <c r="O5248" t="s">
        <v>24</v>
      </c>
      <c r="Q5248">
        <v>9.4600000000000009</v>
      </c>
      <c r="R5248" t="str">
        <f>"FARMÁCIA INDIANA LJ 112 (10050)"</f>
        <v>FARMÁCIA INDIANA LJ 112 (10050)</v>
      </c>
      <c r="S5248" t="s">
        <v>48</v>
      </c>
      <c r="T5248">
        <v>19471</v>
      </c>
      <c r="U5248">
        <v>23456</v>
      </c>
      <c r="V5248" t="s">
        <v>48</v>
      </c>
    </row>
    <row r="5249" spans="1:22">
      <c r="A5249" t="str">
        <f t="shared" si="931"/>
        <v>09/10/2025</v>
      </c>
      <c r="B5249" t="str">
        <f>"SAÍDA"</f>
        <v>SAÍDA</v>
      </c>
      <c r="C5249" t="str">
        <f>"PIX"</f>
        <v>PIX</v>
      </c>
      <c r="D5249" t="str">
        <f>"22643"</f>
        <v>22643</v>
      </c>
      <c r="E5249" t="str">
        <f>"1"</f>
        <v>1</v>
      </c>
      <c r="F5249" t="str">
        <f t="shared" si="930"/>
        <v>COM</v>
      </c>
      <c r="G5249" t="str">
        <f>"WELLINGTON DOS SANTOS ALVES (438)"</f>
        <v>WELLINGTON DOS SANTOS ALVES (438)</v>
      </c>
      <c r="H5249" t="s">
        <v>1492</v>
      </c>
      <c r="I5249" t="str">
        <f>("09/10/2025")</f>
        <v>09/10/2025</v>
      </c>
      <c r="J5249" t="str">
        <f>("26/09/2025")</f>
        <v>26/09/2025</v>
      </c>
      <c r="K5249">
        <v>45939</v>
      </c>
      <c r="N5249">
        <v>109</v>
      </c>
      <c r="O5249" t="s">
        <v>24</v>
      </c>
      <c r="Q5249">
        <v>10.54</v>
      </c>
      <c r="R5249" t="str">
        <f>"FARMÁCIA INDIANA LJ 128 (10057)"</f>
        <v>FARMÁCIA INDIANA LJ 128 (10057)</v>
      </c>
      <c r="S5249" t="s">
        <v>48</v>
      </c>
      <c r="T5249">
        <v>19471</v>
      </c>
      <c r="U5249">
        <v>23456</v>
      </c>
      <c r="V5249" t="s">
        <v>48</v>
      </c>
    </row>
    <row r="5250" spans="1:22">
      <c r="A5250" t="str">
        <f t="shared" si="931"/>
        <v>09/10/2025</v>
      </c>
      <c r="B5250" t="str">
        <f>"ENTRADA"</f>
        <v>ENTRADA</v>
      </c>
      <c r="C5250" t="str">
        <f>"DINHEIRO"</f>
        <v>DINHEIRO</v>
      </c>
      <c r="D5250" t="str">
        <f>"04"</f>
        <v>04</v>
      </c>
      <c r="E5250" t="str">
        <f>"34"</f>
        <v>34</v>
      </c>
      <c r="F5250" t="str">
        <f t="shared" ref="F5250:F5313" si="933">"COM"</f>
        <v>COM</v>
      </c>
      <c r="G5250" t="str">
        <f>"WELLINGTON DOS SANTOS ALVES (438)"</f>
        <v>WELLINGTON DOS SANTOS ALVES (438)</v>
      </c>
      <c r="H5250" t="str">
        <f>"DESCONTO COTA COOPERADO"</f>
        <v>DESCONTO COTA COOPERADO</v>
      </c>
      <c r="I5250" t="str">
        <f>("16/10/2025")</f>
        <v>16/10/2025</v>
      </c>
      <c r="J5250" t="str">
        <f>("16/01/2025")</f>
        <v>16/01/2025</v>
      </c>
      <c r="K5250" t="str">
        <f>("09/10/2025")</f>
        <v>09/10/2025</v>
      </c>
      <c r="L5250">
        <v>20</v>
      </c>
      <c r="M5250">
        <v>20</v>
      </c>
      <c r="N5250">
        <v>106</v>
      </c>
      <c r="O5250" t="str">
        <f>"ENTRADA DE CAPITAL"</f>
        <v>ENTRADA DE CAPITAL</v>
      </c>
      <c r="P5250">
        <v>20</v>
      </c>
      <c r="S5250" t="str">
        <f>"ENTRADA DE CAPITAL (106)"</f>
        <v>ENTRADA DE CAPITAL (106)</v>
      </c>
      <c r="T5250">
        <v>19472</v>
      </c>
      <c r="U5250">
        <v>7742</v>
      </c>
      <c r="V5250" t="s">
        <v>48</v>
      </c>
    </row>
    <row r="5251" spans="1:22">
      <c r="A5251" t="str">
        <f t="shared" si="931"/>
        <v>09/10/2025</v>
      </c>
      <c r="B5251" t="str">
        <f>"ENTRADA"</f>
        <v>ENTRADA</v>
      </c>
      <c r="C5251" t="str">
        <f>"DINHEIRO"</f>
        <v>DINHEIRO</v>
      </c>
      <c r="D5251" t="str">
        <f>"04"</f>
        <v>04</v>
      </c>
      <c r="E5251" t="str">
        <f>"34"</f>
        <v>34</v>
      </c>
      <c r="F5251" t="str">
        <f t="shared" si="933"/>
        <v>COM</v>
      </c>
      <c r="G5251" t="str">
        <f>"WELLINGTON DOS SANTOS ALVES (438)"</f>
        <v>WELLINGTON DOS SANTOS ALVES (438)</v>
      </c>
      <c r="H5251" t="s">
        <v>309</v>
      </c>
      <c r="I5251" t="str">
        <f>("16/10/2025")</f>
        <v>16/10/2025</v>
      </c>
      <c r="J5251" t="str">
        <f>("16/01/2025")</f>
        <v>16/01/2025</v>
      </c>
      <c r="K5251">
        <v>45939</v>
      </c>
      <c r="N5251">
        <v>106</v>
      </c>
      <c r="O5251" t="s">
        <v>51</v>
      </c>
      <c r="Q5251">
        <v>20</v>
      </c>
      <c r="R5251" t="str">
        <f>"WELLINGTON DOS SANTOS ALVES (438)"</f>
        <v>WELLINGTON DOS SANTOS ALVES (438)</v>
      </c>
      <c r="S5251" t="s">
        <v>52</v>
      </c>
      <c r="T5251">
        <v>19472</v>
      </c>
      <c r="U5251">
        <v>7742</v>
      </c>
      <c r="V5251" t="s">
        <v>48</v>
      </c>
    </row>
    <row r="5252" spans="1:22">
      <c r="A5252" t="str">
        <f t="shared" ref="A5252:A5315" si="934">("09/10/2025")</f>
        <v>09/10/2025</v>
      </c>
      <c r="B5252" t="str">
        <f>"SAÍDA"</f>
        <v>SAÍDA</v>
      </c>
      <c r="C5252" t="str">
        <f>"PIX"</f>
        <v>PIX</v>
      </c>
      <c r="D5252" t="str">
        <f>"22645"</f>
        <v>22645</v>
      </c>
      <c r="E5252" t="str">
        <f>"1"</f>
        <v>1</v>
      </c>
      <c r="F5252" t="str">
        <f t="shared" si="933"/>
        <v>COM</v>
      </c>
      <c r="G5252" t="str">
        <f>"WEMERSON FELIPE LOPES (187)"</f>
        <v>WEMERSON FELIPE LOPES (187)</v>
      </c>
      <c r="H5252" t="str">
        <f>"Serv.Prest. 22/09/2025 a 25/09/2025 - PIX: CELULAR - CHAVE: (33) 98806-5772"</f>
        <v>Serv.Prest. 22/09/2025 a 25/09/2025 - PIX: CELULAR - CHAVE: (33) 98806-5772</v>
      </c>
      <c r="I5252" t="str">
        <f>("09/10/2025")</f>
        <v>09/10/2025</v>
      </c>
      <c r="J5252" t="str">
        <f>("26/09/2025")</f>
        <v>26/09/2025</v>
      </c>
      <c r="K5252" t="str">
        <f>("09/10/2025")</f>
        <v>09/10/2025</v>
      </c>
      <c r="L5252">
        <v>20</v>
      </c>
      <c r="M5252">
        <v>20</v>
      </c>
      <c r="N5252">
        <v>109</v>
      </c>
      <c r="O5252" t="str">
        <f>"PAGAMENTO DE ENTREGADORES"</f>
        <v>PAGAMENTO DE ENTREGADORES</v>
      </c>
      <c r="P5252">
        <v>20</v>
      </c>
      <c r="S5252" t="str">
        <f>"CAIXA MOVIMENTAÇÃO OPERACIONAL (132)"</f>
        <v>CAIXA MOVIMENTAÇÃO OPERACIONAL (132)</v>
      </c>
      <c r="T5252">
        <v>19473</v>
      </c>
      <c r="U5252">
        <v>23457</v>
      </c>
      <c r="V5252" t="s">
        <v>48</v>
      </c>
    </row>
    <row r="5253" spans="1:22">
      <c r="A5253" t="str">
        <f t="shared" si="934"/>
        <v>09/10/2025</v>
      </c>
      <c r="B5253" t="str">
        <f>"SAÍDA"</f>
        <v>SAÍDA</v>
      </c>
      <c r="C5253" t="str">
        <f>"PIX"</f>
        <v>PIX</v>
      </c>
      <c r="D5253" t="str">
        <f>"22645"</f>
        <v>22645</v>
      </c>
      <c r="E5253" t="str">
        <f>"1"</f>
        <v>1</v>
      </c>
      <c r="F5253" t="str">
        <f t="shared" si="933"/>
        <v>COM</v>
      </c>
      <c r="G5253" t="str">
        <f>"WEMERSON FELIPE LOPES (187)"</f>
        <v>WEMERSON FELIPE LOPES (187)</v>
      </c>
      <c r="H5253" t="s">
        <v>1493</v>
      </c>
      <c r="I5253" t="str">
        <f>("09/10/2025")</f>
        <v>09/10/2025</v>
      </c>
      <c r="J5253" t="str">
        <f>("26/09/2025")</f>
        <v>26/09/2025</v>
      </c>
      <c r="K5253">
        <v>45939</v>
      </c>
      <c r="N5253">
        <v>109</v>
      </c>
      <c r="O5253" t="s">
        <v>24</v>
      </c>
      <c r="Q5253">
        <v>20</v>
      </c>
      <c r="R5253" t="str">
        <f>"FARMÁCIA INDIANA LJ 06 (10006)"</f>
        <v>FARMÁCIA INDIANA LJ 06 (10006)</v>
      </c>
      <c r="S5253" t="s">
        <v>48</v>
      </c>
      <c r="T5253">
        <v>19473</v>
      </c>
      <c r="U5253">
        <v>23457</v>
      </c>
      <c r="V5253" t="s">
        <v>48</v>
      </c>
    </row>
    <row r="5254" spans="1:22">
      <c r="A5254" t="str">
        <f t="shared" si="934"/>
        <v>09/10/2025</v>
      </c>
      <c r="B5254" t="str">
        <f>"ENTRADA"</f>
        <v>ENTRADA</v>
      </c>
      <c r="C5254" t="str">
        <f>"DINHEIRO"</f>
        <v>DINHEIRO</v>
      </c>
      <c r="D5254" t="str">
        <f>"11"</f>
        <v>11</v>
      </c>
      <c r="E5254" t="str">
        <f>"34"</f>
        <v>34</v>
      </c>
      <c r="F5254" t="str">
        <f t="shared" si="933"/>
        <v>COM</v>
      </c>
      <c r="G5254" t="str">
        <f>"WEMERSON FELIPE LOPES (187)"</f>
        <v>WEMERSON FELIPE LOPES (187)</v>
      </c>
      <c r="H5254" t="str">
        <f>"DESCONTO COTA COOPERADO"</f>
        <v>DESCONTO COTA COOPERADO</v>
      </c>
      <c r="I5254" t="str">
        <f>("16/10/2025")</f>
        <v>16/10/2025</v>
      </c>
      <c r="J5254" t="str">
        <f>("16/01/2025")</f>
        <v>16/01/2025</v>
      </c>
      <c r="K5254" t="str">
        <f>("09/10/2025")</f>
        <v>09/10/2025</v>
      </c>
      <c r="L5254">
        <v>20</v>
      </c>
      <c r="M5254">
        <v>20</v>
      </c>
      <c r="N5254">
        <v>106</v>
      </c>
      <c r="O5254" t="str">
        <f>"ENTRADA DE CAPITAL"</f>
        <v>ENTRADA DE CAPITAL</v>
      </c>
      <c r="P5254">
        <v>20</v>
      </c>
      <c r="S5254" t="str">
        <f>"ENTRADA DE CAPITAL (106)"</f>
        <v>ENTRADA DE CAPITAL (106)</v>
      </c>
      <c r="T5254">
        <v>19474</v>
      </c>
      <c r="U5254">
        <v>7767</v>
      </c>
      <c r="V5254" t="s">
        <v>48</v>
      </c>
    </row>
    <row r="5255" spans="1:22">
      <c r="A5255" t="str">
        <f t="shared" si="934"/>
        <v>09/10/2025</v>
      </c>
      <c r="B5255" t="str">
        <f>"ENTRADA"</f>
        <v>ENTRADA</v>
      </c>
      <c r="C5255" t="str">
        <f>"DINHEIRO"</f>
        <v>DINHEIRO</v>
      </c>
      <c r="D5255" t="str">
        <f>"11"</f>
        <v>11</v>
      </c>
      <c r="E5255" t="str">
        <f>"34"</f>
        <v>34</v>
      </c>
      <c r="F5255" t="str">
        <f t="shared" si="933"/>
        <v>COM</v>
      </c>
      <c r="G5255" t="str">
        <f>"WEMERSON FELIPE LOPES (187)"</f>
        <v>WEMERSON FELIPE LOPES (187)</v>
      </c>
      <c r="H5255" t="s">
        <v>309</v>
      </c>
      <c r="I5255" t="str">
        <f>("16/10/2025")</f>
        <v>16/10/2025</v>
      </c>
      <c r="J5255" t="str">
        <f>("16/01/2025")</f>
        <v>16/01/2025</v>
      </c>
      <c r="K5255">
        <v>45939</v>
      </c>
      <c r="N5255">
        <v>106</v>
      </c>
      <c r="O5255" t="s">
        <v>51</v>
      </c>
      <c r="Q5255">
        <v>20</v>
      </c>
      <c r="R5255" t="str">
        <f>"WEMERSON FELIPE LOPES (187)"</f>
        <v>WEMERSON FELIPE LOPES (187)</v>
      </c>
      <c r="S5255" t="s">
        <v>52</v>
      </c>
      <c r="T5255">
        <v>19474</v>
      </c>
      <c r="U5255">
        <v>7767</v>
      </c>
      <c r="V5255" t="s">
        <v>48</v>
      </c>
    </row>
    <row r="5256" spans="1:22">
      <c r="A5256" t="str">
        <f t="shared" si="934"/>
        <v>09/10/2025</v>
      </c>
      <c r="B5256" t="str">
        <f>"SAÍDA"</f>
        <v>SAÍDA</v>
      </c>
      <c r="C5256" t="str">
        <f>"PIX"</f>
        <v>PIX</v>
      </c>
      <c r="D5256" t="str">
        <f>"22647"</f>
        <v>22647</v>
      </c>
      <c r="E5256" t="str">
        <f>"1"</f>
        <v>1</v>
      </c>
      <c r="F5256" t="str">
        <f t="shared" si="933"/>
        <v>COM</v>
      </c>
      <c r="G5256" t="str">
        <f>"WENDEL LIMA DE SOUZA (112)"</f>
        <v>WENDEL LIMA DE SOUZA (112)</v>
      </c>
      <c r="H5256" t="str">
        <f>"Serv.Prest. 22/09/2025 a 25/09/2025 - PIX: CPF - CHAVE: 012.906.122-00"</f>
        <v>Serv.Prest. 22/09/2025 a 25/09/2025 - PIX: CPF - CHAVE: 012.906.122-00</v>
      </c>
      <c r="I5256" t="str">
        <f>("09/10/2025")</f>
        <v>09/10/2025</v>
      </c>
      <c r="J5256" t="str">
        <f>("26/09/2025")</f>
        <v>26/09/2025</v>
      </c>
      <c r="K5256" t="str">
        <f>("09/10/2025")</f>
        <v>09/10/2025</v>
      </c>
      <c r="L5256">
        <v>20</v>
      </c>
      <c r="M5256">
        <v>20</v>
      </c>
      <c r="N5256">
        <v>109</v>
      </c>
      <c r="O5256" t="str">
        <f>"PAGAMENTO DE ENTREGADORES"</f>
        <v>PAGAMENTO DE ENTREGADORES</v>
      </c>
      <c r="P5256">
        <v>20</v>
      </c>
      <c r="S5256" t="str">
        <f>"CAIXA MOVIMENTAÇÃO OPERACIONAL (132)"</f>
        <v>CAIXA MOVIMENTAÇÃO OPERACIONAL (132)</v>
      </c>
      <c r="T5256">
        <v>19475</v>
      </c>
      <c r="U5256">
        <v>23458</v>
      </c>
      <c r="V5256" t="s">
        <v>48</v>
      </c>
    </row>
    <row r="5257" spans="1:22">
      <c r="A5257" t="str">
        <f t="shared" si="934"/>
        <v>09/10/2025</v>
      </c>
      <c r="B5257" t="str">
        <f>"SAÍDA"</f>
        <v>SAÍDA</v>
      </c>
      <c r="C5257" t="str">
        <f>"PIX"</f>
        <v>PIX</v>
      </c>
      <c r="D5257" t="str">
        <f>"22647"</f>
        <v>22647</v>
      </c>
      <c r="E5257" t="str">
        <f>"1"</f>
        <v>1</v>
      </c>
      <c r="F5257" t="str">
        <f t="shared" si="933"/>
        <v>COM</v>
      </c>
      <c r="G5257" t="str">
        <f>"WENDEL LIMA DE SOUZA (112)"</f>
        <v>WENDEL LIMA DE SOUZA (112)</v>
      </c>
      <c r="H5257" t="s">
        <v>1494</v>
      </c>
      <c r="I5257" t="str">
        <f>("09/10/2025")</f>
        <v>09/10/2025</v>
      </c>
      <c r="J5257" t="str">
        <f>("26/09/2025")</f>
        <v>26/09/2025</v>
      </c>
      <c r="K5257">
        <v>45939</v>
      </c>
      <c r="N5257">
        <v>109</v>
      </c>
      <c r="O5257" t="s">
        <v>24</v>
      </c>
      <c r="Q5257">
        <v>20</v>
      </c>
      <c r="R5257" t="str">
        <f>"FARMÁCIA INDIANA LJ 11 (10008)"</f>
        <v>FARMÁCIA INDIANA LJ 11 (10008)</v>
      </c>
      <c r="S5257" t="s">
        <v>48</v>
      </c>
      <c r="T5257">
        <v>19475</v>
      </c>
      <c r="U5257">
        <v>23458</v>
      </c>
      <c r="V5257" t="s">
        <v>48</v>
      </c>
    </row>
    <row r="5258" spans="1:22">
      <c r="A5258" t="str">
        <f t="shared" si="934"/>
        <v>09/10/2025</v>
      </c>
      <c r="B5258" t="str">
        <f>"ENTRADA"</f>
        <v>ENTRADA</v>
      </c>
      <c r="C5258" t="str">
        <f>"DINHEIRO"</f>
        <v>DINHEIRO</v>
      </c>
      <c r="D5258" t="str">
        <f>"10"</f>
        <v>10</v>
      </c>
      <c r="E5258" t="str">
        <f>"33"</f>
        <v>33</v>
      </c>
      <c r="F5258" t="str">
        <f t="shared" si="933"/>
        <v>COM</v>
      </c>
      <c r="G5258" t="str">
        <f>"WENDEL LIMA DE SOUZA (112)"</f>
        <v>WENDEL LIMA DE SOUZA (112)</v>
      </c>
      <c r="H5258" t="str">
        <f>"DESCONTO COTA COOPERADO"</f>
        <v>DESCONTO COTA COOPERADO</v>
      </c>
      <c r="I5258" t="str">
        <f>("16/10/2025")</f>
        <v>16/10/2025</v>
      </c>
      <c r="J5258" t="str">
        <f>("16/01/2025")</f>
        <v>16/01/2025</v>
      </c>
      <c r="K5258" t="str">
        <f>("09/10/2025")</f>
        <v>09/10/2025</v>
      </c>
      <c r="L5258">
        <v>20</v>
      </c>
      <c r="M5258">
        <v>20</v>
      </c>
      <c r="N5258">
        <v>106</v>
      </c>
      <c r="O5258" t="str">
        <f>"ENTRADA DE CAPITAL"</f>
        <v>ENTRADA DE CAPITAL</v>
      </c>
      <c r="P5258">
        <v>20</v>
      </c>
      <c r="S5258" t="str">
        <f>"ENTRADA DE CAPITAL (106)"</f>
        <v>ENTRADA DE CAPITAL (106)</v>
      </c>
      <c r="T5258">
        <v>19476</v>
      </c>
      <c r="U5258">
        <v>7790</v>
      </c>
      <c r="V5258" t="s">
        <v>48</v>
      </c>
    </row>
    <row r="5259" spans="1:22">
      <c r="A5259" t="str">
        <f t="shared" si="934"/>
        <v>09/10/2025</v>
      </c>
      <c r="B5259" t="str">
        <f>"ENTRADA"</f>
        <v>ENTRADA</v>
      </c>
      <c r="C5259" t="str">
        <f>"DINHEIRO"</f>
        <v>DINHEIRO</v>
      </c>
      <c r="D5259" t="str">
        <f>"10"</f>
        <v>10</v>
      </c>
      <c r="E5259" t="str">
        <f>"33"</f>
        <v>33</v>
      </c>
      <c r="F5259" t="str">
        <f t="shared" si="933"/>
        <v>COM</v>
      </c>
      <c r="G5259" t="str">
        <f>"WENDEL LIMA DE SOUZA (112)"</f>
        <v>WENDEL LIMA DE SOUZA (112)</v>
      </c>
      <c r="H5259" t="s">
        <v>309</v>
      </c>
      <c r="I5259" t="str">
        <f>("16/10/2025")</f>
        <v>16/10/2025</v>
      </c>
      <c r="J5259" t="str">
        <f>("16/01/2025")</f>
        <v>16/01/2025</v>
      </c>
      <c r="K5259">
        <v>45939</v>
      </c>
      <c r="N5259">
        <v>106</v>
      </c>
      <c r="O5259" t="s">
        <v>51</v>
      </c>
      <c r="Q5259">
        <v>20</v>
      </c>
      <c r="R5259" t="str">
        <f>"WENDEL LIMA DE SOUZA (112)"</f>
        <v>WENDEL LIMA DE SOUZA (112)</v>
      </c>
      <c r="S5259" t="s">
        <v>52</v>
      </c>
      <c r="T5259">
        <v>19476</v>
      </c>
      <c r="U5259">
        <v>7790</v>
      </c>
      <c r="V5259" t="s">
        <v>48</v>
      </c>
    </row>
    <row r="5260" spans="1:22">
      <c r="A5260" t="str">
        <f t="shared" si="934"/>
        <v>09/10/2025</v>
      </c>
      <c r="B5260" t="str">
        <f>"ENTRADA"</f>
        <v>ENTRADA</v>
      </c>
      <c r="C5260" t="str">
        <f>"DINHEIRO"</f>
        <v>DINHEIRO</v>
      </c>
      <c r="D5260" t="str">
        <f>"708"</f>
        <v>708</v>
      </c>
      <c r="E5260" t="str">
        <f>"6"</f>
        <v>6</v>
      </c>
      <c r="F5260" t="str">
        <f t="shared" si="933"/>
        <v>COM</v>
      </c>
      <c r="G5260" t="str">
        <f>"WENDERSON (708)"</f>
        <v>WENDERSON (708)</v>
      </c>
      <c r="H5260" t="str">
        <f>"COTA COOPERATIVA"</f>
        <v>COTA COOPERATIVA</v>
      </c>
      <c r="I5260" t="str">
        <f>("08/10/2025")</f>
        <v>08/10/2025</v>
      </c>
      <c r="J5260" t="str">
        <f>("06/04/2025")</f>
        <v>06/04/2025</v>
      </c>
      <c r="K5260" t="str">
        <f>("09/10/2025")</f>
        <v>09/10/2025</v>
      </c>
      <c r="L5260">
        <v>20</v>
      </c>
      <c r="M5260">
        <v>20</v>
      </c>
      <c r="N5260">
        <v>106</v>
      </c>
      <c r="O5260" t="str">
        <f>"ENTRADA DE CAPITAL"</f>
        <v>ENTRADA DE CAPITAL</v>
      </c>
      <c r="P5260">
        <v>20</v>
      </c>
      <c r="S5260" t="str">
        <f>"ENTRADA DE CAPITAL (106)"</f>
        <v>ENTRADA DE CAPITAL (106)</v>
      </c>
      <c r="T5260">
        <v>19477</v>
      </c>
      <c r="U5260">
        <v>14496</v>
      </c>
      <c r="V5260" t="s">
        <v>48</v>
      </c>
    </row>
    <row r="5261" spans="1:22">
      <c r="A5261" t="str">
        <f t="shared" si="934"/>
        <v>09/10/2025</v>
      </c>
      <c r="B5261" t="str">
        <f>"ENTRADA"</f>
        <v>ENTRADA</v>
      </c>
      <c r="C5261" t="str">
        <f>"DINHEIRO"</f>
        <v>DINHEIRO</v>
      </c>
      <c r="D5261" t="str">
        <f>"708"</f>
        <v>708</v>
      </c>
      <c r="E5261" t="str">
        <f>"6"</f>
        <v>6</v>
      </c>
      <c r="F5261" t="str">
        <f t="shared" si="933"/>
        <v>COM</v>
      </c>
      <c r="G5261" t="str">
        <f>"WENDERSON (708)"</f>
        <v>WENDERSON (708)</v>
      </c>
      <c r="H5261" t="s">
        <v>50</v>
      </c>
      <c r="I5261" t="str">
        <f>("08/10/2025")</f>
        <v>08/10/2025</v>
      </c>
      <c r="J5261" t="str">
        <f>("06/04/2025")</f>
        <v>06/04/2025</v>
      </c>
      <c r="K5261">
        <v>45939</v>
      </c>
      <c r="N5261">
        <v>106</v>
      </c>
      <c r="O5261" t="s">
        <v>51</v>
      </c>
      <c r="Q5261">
        <v>20</v>
      </c>
      <c r="R5261" t="str">
        <f>"WENDERSON (708)"</f>
        <v>WENDERSON (708)</v>
      </c>
      <c r="S5261" t="s">
        <v>52</v>
      </c>
      <c r="T5261">
        <v>19477</v>
      </c>
      <c r="U5261">
        <v>14496</v>
      </c>
      <c r="V5261" t="s">
        <v>48</v>
      </c>
    </row>
    <row r="5262" spans="1:22">
      <c r="A5262" t="str">
        <f t="shared" si="934"/>
        <v>09/10/2025</v>
      </c>
      <c r="B5262" t="str">
        <f>"SAÍDA"</f>
        <v>SAÍDA</v>
      </c>
      <c r="C5262" t="str">
        <f>"PIX"</f>
        <v>PIX</v>
      </c>
      <c r="D5262" t="str">
        <f>"22825"</f>
        <v>22825</v>
      </c>
      <c r="E5262" t="str">
        <f>"1"</f>
        <v>1</v>
      </c>
      <c r="F5262" t="str">
        <f t="shared" si="933"/>
        <v>COM</v>
      </c>
      <c r="G5262" t="str">
        <f>"WENDERSON GOMES (708)"</f>
        <v>WENDERSON GOMES (708)</v>
      </c>
      <c r="H5262" t="str">
        <f>"Serv.Prest. 29/09/2025 a 05/10/2025 - PIX: CPF - CHAVE: 147.592.156-03"</f>
        <v>Serv.Prest. 29/09/2025 a 05/10/2025 - PIX: CPF - CHAVE: 147.592.156-03</v>
      </c>
      <c r="I5262" t="str">
        <f>("09/10/2025")</f>
        <v>09/10/2025</v>
      </c>
      <c r="J5262" t="str">
        <f>("06/10/2025")</f>
        <v>06/10/2025</v>
      </c>
      <c r="K5262" t="str">
        <f>("09/10/2025")</f>
        <v>09/10/2025</v>
      </c>
      <c r="L5262">
        <v>20</v>
      </c>
      <c r="M5262">
        <v>20</v>
      </c>
      <c r="N5262">
        <v>109</v>
      </c>
      <c r="O5262" t="str">
        <f>"PAGAMENTO DE ENTREGADORES"</f>
        <v>PAGAMENTO DE ENTREGADORES</v>
      </c>
      <c r="P5262">
        <v>20</v>
      </c>
      <c r="S5262" t="str">
        <f>"CAIXA MOVIMENTAÇÃO OPERACIONAL (132)"</f>
        <v>CAIXA MOVIMENTAÇÃO OPERACIONAL (132)</v>
      </c>
      <c r="T5262">
        <v>19478</v>
      </c>
      <c r="U5262">
        <v>23459</v>
      </c>
      <c r="V5262" t="s">
        <v>48</v>
      </c>
    </row>
    <row r="5263" spans="1:22">
      <c r="A5263" t="str">
        <f t="shared" si="934"/>
        <v>09/10/2025</v>
      </c>
      <c r="B5263" t="str">
        <f>"SAÍDA"</f>
        <v>SAÍDA</v>
      </c>
      <c r="C5263" t="str">
        <f>"PIX"</f>
        <v>PIX</v>
      </c>
      <c r="D5263" t="str">
        <f>"22825"</f>
        <v>22825</v>
      </c>
      <c r="E5263" t="str">
        <f>"1"</f>
        <v>1</v>
      </c>
      <c r="F5263" t="str">
        <f t="shared" si="933"/>
        <v>COM</v>
      </c>
      <c r="G5263" t="str">
        <f>"WENDERSON GOMES (708)"</f>
        <v>WENDERSON GOMES (708)</v>
      </c>
      <c r="H5263" t="s">
        <v>1495</v>
      </c>
      <c r="I5263" t="str">
        <f>("09/10/2025")</f>
        <v>09/10/2025</v>
      </c>
      <c r="J5263" t="str">
        <f>("06/10/2025")</f>
        <v>06/10/2025</v>
      </c>
      <c r="K5263">
        <v>45939</v>
      </c>
      <c r="N5263">
        <v>109</v>
      </c>
      <c r="O5263" t="s">
        <v>24</v>
      </c>
      <c r="Q5263">
        <v>20</v>
      </c>
      <c r="R5263" t="str">
        <f>"ENTREFARMA (10164)"</f>
        <v>ENTREFARMA (10164)</v>
      </c>
      <c r="S5263" t="s">
        <v>48</v>
      </c>
      <c r="T5263">
        <v>19478</v>
      </c>
      <c r="U5263">
        <v>23459</v>
      </c>
      <c r="V5263" t="s">
        <v>48</v>
      </c>
    </row>
    <row r="5264" spans="1:22">
      <c r="A5264" t="str">
        <f t="shared" si="934"/>
        <v>09/10/2025</v>
      </c>
      <c r="B5264" t="str">
        <f>"SAÍDA"</f>
        <v>SAÍDA</v>
      </c>
      <c r="C5264" t="str">
        <f>"PIX"</f>
        <v>PIX</v>
      </c>
      <c r="D5264" t="str">
        <f>"22548"</f>
        <v>22548</v>
      </c>
      <c r="E5264" t="str">
        <f>"1"</f>
        <v>1</v>
      </c>
      <c r="F5264" t="str">
        <f t="shared" si="933"/>
        <v>COM</v>
      </c>
      <c r="G5264" t="str">
        <f>"WESLEI GONÇALVES SANTOS (154)"</f>
        <v>WESLEI GONÇALVES SANTOS (154)</v>
      </c>
      <c r="H5264" t="str">
        <f>"Serv.Prest. 22/09/2025 a 25/09/2025 - PIX: CPF - CHAVE: 079.068.045-97"</f>
        <v>Serv.Prest. 22/09/2025 a 25/09/2025 - PIX: CPF - CHAVE: 079.068.045-97</v>
      </c>
      <c r="I5264" t="str">
        <f>("09/10/2025")</f>
        <v>09/10/2025</v>
      </c>
      <c r="J5264" t="str">
        <f>("26/09/2025")</f>
        <v>26/09/2025</v>
      </c>
      <c r="K5264" t="str">
        <f>("09/10/2025")</f>
        <v>09/10/2025</v>
      </c>
      <c r="L5264">
        <v>20</v>
      </c>
      <c r="M5264">
        <v>20</v>
      </c>
      <c r="N5264">
        <v>109</v>
      </c>
      <c r="O5264" t="str">
        <f>"PAGAMENTO DE ENTREGADORES"</f>
        <v>PAGAMENTO DE ENTREGADORES</v>
      </c>
      <c r="P5264">
        <v>20</v>
      </c>
      <c r="S5264" t="str">
        <f>"CAIXA MOVIMENTAÇÃO OPERACIONAL (132)"</f>
        <v>CAIXA MOVIMENTAÇÃO OPERACIONAL (132)</v>
      </c>
      <c r="T5264">
        <v>19479</v>
      </c>
      <c r="U5264">
        <v>23460</v>
      </c>
      <c r="V5264" t="s">
        <v>48</v>
      </c>
    </row>
    <row r="5265" spans="1:22">
      <c r="A5265" t="str">
        <f t="shared" si="934"/>
        <v>09/10/2025</v>
      </c>
      <c r="B5265" t="str">
        <f>"SAÍDA"</f>
        <v>SAÍDA</v>
      </c>
      <c r="C5265" t="str">
        <f>"PIX"</f>
        <v>PIX</v>
      </c>
      <c r="D5265" t="str">
        <f>"22548"</f>
        <v>22548</v>
      </c>
      <c r="E5265" t="str">
        <f>"1"</f>
        <v>1</v>
      </c>
      <c r="F5265" t="str">
        <f t="shared" si="933"/>
        <v>COM</v>
      </c>
      <c r="G5265" t="str">
        <f>"WESLEI GONÇALVES SANTOS (154)"</f>
        <v>WESLEI GONÇALVES SANTOS (154)</v>
      </c>
      <c r="H5265" t="s">
        <v>1496</v>
      </c>
      <c r="I5265" t="str">
        <f>("09/10/2025")</f>
        <v>09/10/2025</v>
      </c>
      <c r="J5265" t="str">
        <f>("26/09/2025")</f>
        <v>26/09/2025</v>
      </c>
      <c r="K5265">
        <v>45939</v>
      </c>
      <c r="N5265">
        <v>109</v>
      </c>
      <c r="O5265" t="s">
        <v>24</v>
      </c>
      <c r="Q5265">
        <v>20</v>
      </c>
      <c r="R5265" t="str">
        <f>"FARMÁCIA INDIANA LJ 34 (10014)"</f>
        <v>FARMÁCIA INDIANA LJ 34 (10014)</v>
      </c>
      <c r="S5265" t="s">
        <v>48</v>
      </c>
      <c r="T5265">
        <v>19479</v>
      </c>
      <c r="U5265">
        <v>23460</v>
      </c>
      <c r="V5265" t="s">
        <v>48</v>
      </c>
    </row>
    <row r="5266" spans="1:22">
      <c r="A5266" t="str">
        <f t="shared" si="934"/>
        <v>09/10/2025</v>
      </c>
      <c r="B5266" t="str">
        <f>"ENTRADA"</f>
        <v>ENTRADA</v>
      </c>
      <c r="C5266" t="str">
        <f>"DINHEIRO"</f>
        <v>DINHEIRO</v>
      </c>
      <c r="D5266" t="str">
        <f>"15"</f>
        <v>15</v>
      </c>
      <c r="E5266" t="str">
        <f>"34"</f>
        <v>34</v>
      </c>
      <c r="F5266" t="str">
        <f t="shared" si="933"/>
        <v>COM</v>
      </c>
      <c r="G5266" t="str">
        <f>"WESLEI GONÇALVES SANTOS (154)"</f>
        <v>WESLEI GONÇALVES SANTOS (154)</v>
      </c>
      <c r="H5266" t="str">
        <f>"DESCONTO COTA COOPERADO"</f>
        <v>DESCONTO COTA COOPERADO</v>
      </c>
      <c r="I5266" t="str">
        <f>("16/10/2025")</f>
        <v>16/10/2025</v>
      </c>
      <c r="J5266" t="str">
        <f>("16/01/2025")</f>
        <v>16/01/2025</v>
      </c>
      <c r="K5266" t="str">
        <f>("09/10/2025")</f>
        <v>09/10/2025</v>
      </c>
      <c r="L5266">
        <v>20</v>
      </c>
      <c r="M5266">
        <v>20</v>
      </c>
      <c r="N5266">
        <v>106</v>
      </c>
      <c r="O5266" t="str">
        <f>"ENTRADA DE CAPITAL"</f>
        <v>ENTRADA DE CAPITAL</v>
      </c>
      <c r="P5266">
        <v>20</v>
      </c>
      <c r="S5266" t="str">
        <f>"ENTRADA DE CAPITAL (106)"</f>
        <v>ENTRADA DE CAPITAL (106)</v>
      </c>
      <c r="T5266">
        <v>19480</v>
      </c>
      <c r="U5266">
        <v>7808</v>
      </c>
      <c r="V5266" t="s">
        <v>48</v>
      </c>
    </row>
    <row r="5267" spans="1:22">
      <c r="A5267" t="str">
        <f t="shared" si="934"/>
        <v>09/10/2025</v>
      </c>
      <c r="B5267" t="str">
        <f>"ENTRADA"</f>
        <v>ENTRADA</v>
      </c>
      <c r="C5267" t="str">
        <f>"DINHEIRO"</f>
        <v>DINHEIRO</v>
      </c>
      <c r="D5267" t="str">
        <f>"15"</f>
        <v>15</v>
      </c>
      <c r="E5267" t="str">
        <f>"34"</f>
        <v>34</v>
      </c>
      <c r="F5267" t="str">
        <f t="shared" si="933"/>
        <v>COM</v>
      </c>
      <c r="G5267" t="str">
        <f>"WESLEI GONÇALVES SANTOS (154)"</f>
        <v>WESLEI GONÇALVES SANTOS (154)</v>
      </c>
      <c r="H5267" t="s">
        <v>309</v>
      </c>
      <c r="I5267" t="str">
        <f>("16/10/2025")</f>
        <v>16/10/2025</v>
      </c>
      <c r="J5267" t="str">
        <f>("16/01/2025")</f>
        <v>16/01/2025</v>
      </c>
      <c r="K5267">
        <v>45939</v>
      </c>
      <c r="N5267">
        <v>106</v>
      </c>
      <c r="O5267" t="s">
        <v>51</v>
      </c>
      <c r="Q5267">
        <v>20</v>
      </c>
      <c r="R5267" t="str">
        <f>"WESLEI GONÇALVES SANTOS (154)"</f>
        <v>WESLEI GONÇALVES SANTOS (154)</v>
      </c>
      <c r="S5267" t="s">
        <v>52</v>
      </c>
      <c r="T5267">
        <v>19480</v>
      </c>
      <c r="U5267">
        <v>7808</v>
      </c>
      <c r="V5267" t="s">
        <v>48</v>
      </c>
    </row>
    <row r="5268" spans="1:22">
      <c r="A5268" t="str">
        <f t="shared" si="934"/>
        <v>09/10/2025</v>
      </c>
      <c r="B5268" t="str">
        <f>"SAÍDA"</f>
        <v>SAÍDA</v>
      </c>
      <c r="C5268" t="str">
        <f>"PIX"</f>
        <v>PIX</v>
      </c>
      <c r="D5268" t="str">
        <f>"22811"</f>
        <v>22811</v>
      </c>
      <c r="E5268" t="str">
        <f>"1"</f>
        <v>1</v>
      </c>
      <c r="F5268" t="str">
        <f t="shared" si="933"/>
        <v>COM</v>
      </c>
      <c r="G5268" t="str">
        <f>"WESLEY RICARDO DE OLIVEIRA (722)"</f>
        <v>WESLEY RICARDO DE OLIVEIRA (722)</v>
      </c>
      <c r="H5268" t="str">
        <f>"Serv.Prest. 29/09/2025 a 05/10/2025 - PIX: CELULAR - CHAVE: (11) 91214-6176"</f>
        <v>Serv.Prest. 29/09/2025 a 05/10/2025 - PIX: CELULAR - CHAVE: (11) 91214-6176</v>
      </c>
      <c r="I5268" t="str">
        <f>("09/10/2025")</f>
        <v>09/10/2025</v>
      </c>
      <c r="J5268" t="str">
        <f>("06/10/2025")</f>
        <v>06/10/2025</v>
      </c>
      <c r="K5268" t="str">
        <f>("09/10/2025")</f>
        <v>09/10/2025</v>
      </c>
      <c r="L5268">
        <v>20</v>
      </c>
      <c r="M5268">
        <v>20</v>
      </c>
      <c r="N5268">
        <v>109</v>
      </c>
      <c r="O5268" t="str">
        <f>"PAGAMENTO DE ENTREGADORES"</f>
        <v>PAGAMENTO DE ENTREGADORES</v>
      </c>
      <c r="P5268">
        <v>20</v>
      </c>
      <c r="S5268" t="str">
        <f>"CAIXA MOVIMENTAÇÃO OPERACIONAL (132)"</f>
        <v>CAIXA MOVIMENTAÇÃO OPERACIONAL (132)</v>
      </c>
      <c r="T5268">
        <v>19481</v>
      </c>
      <c r="U5268">
        <v>23461</v>
      </c>
      <c r="V5268" t="s">
        <v>48</v>
      </c>
    </row>
    <row r="5269" spans="1:22">
      <c r="A5269" t="str">
        <f t="shared" si="934"/>
        <v>09/10/2025</v>
      </c>
      <c r="B5269" t="str">
        <f>"SAÍDA"</f>
        <v>SAÍDA</v>
      </c>
      <c r="C5269" t="str">
        <f>"PIX"</f>
        <v>PIX</v>
      </c>
      <c r="D5269" t="str">
        <f>"22811"</f>
        <v>22811</v>
      </c>
      <c r="E5269" t="str">
        <f>"1"</f>
        <v>1</v>
      </c>
      <c r="F5269" t="str">
        <f t="shared" si="933"/>
        <v>COM</v>
      </c>
      <c r="G5269" t="str">
        <f>"WESLEY RICARDO DE OLIVEIRA (722)"</f>
        <v>WESLEY RICARDO DE OLIVEIRA (722)</v>
      </c>
      <c r="H5269" t="s">
        <v>1497</v>
      </c>
      <c r="I5269" t="str">
        <f>("09/10/2025")</f>
        <v>09/10/2025</v>
      </c>
      <c r="J5269" t="str">
        <f>("06/10/2025")</f>
        <v>06/10/2025</v>
      </c>
      <c r="K5269">
        <v>45939</v>
      </c>
      <c r="N5269">
        <v>109</v>
      </c>
      <c r="O5269" t="s">
        <v>24</v>
      </c>
      <c r="Q5269">
        <v>20</v>
      </c>
      <c r="R5269" t="str">
        <f>"DROGARIA AGAPEAMA (10167)"</f>
        <v>DROGARIA AGAPEAMA (10167)</v>
      </c>
      <c r="S5269" t="s">
        <v>48</v>
      </c>
      <c r="T5269">
        <v>19481</v>
      </c>
      <c r="U5269">
        <v>23461</v>
      </c>
      <c r="V5269" t="s">
        <v>48</v>
      </c>
    </row>
    <row r="5270" spans="1:22">
      <c r="A5270" t="str">
        <f t="shared" si="934"/>
        <v>09/10/2025</v>
      </c>
      <c r="B5270" t="str">
        <f>"ENTRADA"</f>
        <v>ENTRADA</v>
      </c>
      <c r="C5270" t="str">
        <f>"DINHEIRO"</f>
        <v>DINHEIRO</v>
      </c>
      <c r="D5270" t="str">
        <f>"722"</f>
        <v>722</v>
      </c>
      <c r="E5270" t="str">
        <f>"5"</f>
        <v>5</v>
      </c>
      <c r="F5270" t="str">
        <f t="shared" si="933"/>
        <v>COM</v>
      </c>
      <c r="G5270" t="str">
        <f>"WESLEY RICARDO DE OLIVEIRA (722)"</f>
        <v>WESLEY RICARDO DE OLIVEIRA (722)</v>
      </c>
      <c r="H5270" t="str">
        <f>"COTA COOPERATIVA"</f>
        <v>COTA COOPERATIVA</v>
      </c>
      <c r="I5270" t="str">
        <f>("12/10/2025")</f>
        <v>12/10/2025</v>
      </c>
      <c r="J5270" t="str">
        <f>("01/04/2025")</f>
        <v>01/04/2025</v>
      </c>
      <c r="K5270" t="str">
        <f>("09/10/2025")</f>
        <v>09/10/2025</v>
      </c>
      <c r="L5270">
        <v>20</v>
      </c>
      <c r="M5270">
        <v>20</v>
      </c>
      <c r="N5270">
        <v>106</v>
      </c>
      <c r="O5270" t="str">
        <f>"ENTRADA DE CAPITAL"</f>
        <v>ENTRADA DE CAPITAL</v>
      </c>
      <c r="P5270">
        <v>20</v>
      </c>
      <c r="S5270" t="str">
        <f>"ENTRADA DE CAPITAL (106)"</f>
        <v>ENTRADA DE CAPITAL (106)</v>
      </c>
      <c r="T5270">
        <v>19482</v>
      </c>
      <c r="U5270">
        <v>16690</v>
      </c>
      <c r="V5270" t="s">
        <v>48</v>
      </c>
    </row>
    <row r="5271" spans="1:22">
      <c r="A5271" t="str">
        <f t="shared" si="934"/>
        <v>09/10/2025</v>
      </c>
      <c r="B5271" t="str">
        <f>"ENTRADA"</f>
        <v>ENTRADA</v>
      </c>
      <c r="C5271" t="str">
        <f>"DINHEIRO"</f>
        <v>DINHEIRO</v>
      </c>
      <c r="D5271" t="str">
        <f>"722"</f>
        <v>722</v>
      </c>
      <c r="E5271" t="str">
        <f>"5"</f>
        <v>5</v>
      </c>
      <c r="F5271" t="str">
        <f t="shared" si="933"/>
        <v>COM</v>
      </c>
      <c r="G5271" t="str">
        <f>"WESLEY RICARDO DE OLIVEIRA (722)"</f>
        <v>WESLEY RICARDO DE OLIVEIRA (722)</v>
      </c>
      <c r="H5271" t="s">
        <v>50</v>
      </c>
      <c r="I5271" t="str">
        <f>("12/10/2025")</f>
        <v>12/10/2025</v>
      </c>
      <c r="J5271" t="str">
        <f>("01/04/2025")</f>
        <v>01/04/2025</v>
      </c>
      <c r="K5271">
        <v>45939</v>
      </c>
      <c r="N5271">
        <v>106</v>
      </c>
      <c r="O5271" t="s">
        <v>51</v>
      </c>
      <c r="Q5271">
        <v>20</v>
      </c>
      <c r="R5271" t="str">
        <f>"WESLEY RICARDO DE OLIVEIRA (722)"</f>
        <v>WESLEY RICARDO DE OLIVEIRA (722)</v>
      </c>
      <c r="S5271" t="s">
        <v>52</v>
      </c>
      <c r="T5271">
        <v>19482</v>
      </c>
      <c r="U5271">
        <v>16690</v>
      </c>
      <c r="V5271" t="s">
        <v>48</v>
      </c>
    </row>
    <row r="5272" spans="1:22">
      <c r="A5272" t="str">
        <f t="shared" si="934"/>
        <v>09/10/2025</v>
      </c>
      <c r="B5272" t="str">
        <f>"SAÍDA"</f>
        <v>SAÍDA</v>
      </c>
      <c r="C5272" t="str">
        <f>"PIX"</f>
        <v>PIX</v>
      </c>
      <c r="D5272" t="str">
        <f>"22648"</f>
        <v>22648</v>
      </c>
      <c r="E5272" t="str">
        <f>"1"</f>
        <v>1</v>
      </c>
      <c r="F5272" t="str">
        <f t="shared" si="933"/>
        <v>COM</v>
      </c>
      <c r="G5272" t="str">
        <f t="shared" ref="G5272:G5278" si="935">"WILIAN ROSA VIEIRA (488)"</f>
        <v>WILIAN ROSA VIEIRA (488)</v>
      </c>
      <c r="H5272" t="str">
        <f>"Serv.Prest. 22/09/2025 a 25/09/2025 - PIX: E-MAIL - CHAVE: wilianvieirawrv3578@gmail.com"</f>
        <v>Serv.Prest. 22/09/2025 a 25/09/2025 - PIX: E-MAIL - CHAVE: wilianvieirawrv3578@gmail.com</v>
      </c>
      <c r="I5272" t="str">
        <f>("09/10/2025")</f>
        <v>09/10/2025</v>
      </c>
      <c r="J5272" t="str">
        <f>("26/09/2025")</f>
        <v>26/09/2025</v>
      </c>
      <c r="K5272" t="str">
        <f>("09/10/2025")</f>
        <v>09/10/2025</v>
      </c>
      <c r="L5272">
        <v>20</v>
      </c>
      <c r="M5272">
        <v>20</v>
      </c>
      <c r="N5272">
        <v>109</v>
      </c>
      <c r="O5272" t="str">
        <f>"PAGAMENTO DE ENTREGADORES"</f>
        <v>PAGAMENTO DE ENTREGADORES</v>
      </c>
      <c r="P5272">
        <v>20</v>
      </c>
      <c r="S5272" t="str">
        <f>"CAIXA MOVIMENTAÇÃO OPERACIONAL (132)"</f>
        <v>CAIXA MOVIMENTAÇÃO OPERACIONAL (132)</v>
      </c>
      <c r="T5272">
        <v>19483</v>
      </c>
      <c r="U5272">
        <v>23462</v>
      </c>
      <c r="V5272" t="s">
        <v>48</v>
      </c>
    </row>
    <row r="5273" spans="1:22">
      <c r="A5273" t="str">
        <f t="shared" si="934"/>
        <v>09/10/2025</v>
      </c>
      <c r="B5273" t="str">
        <f>"SAÍDA"</f>
        <v>SAÍDA</v>
      </c>
      <c r="C5273" t="str">
        <f>"PIX"</f>
        <v>PIX</v>
      </c>
      <c r="D5273" t="str">
        <f>"22648"</f>
        <v>22648</v>
      </c>
      <c r="E5273" t="str">
        <f>"1"</f>
        <v>1</v>
      </c>
      <c r="F5273" t="str">
        <f t="shared" si="933"/>
        <v>COM</v>
      </c>
      <c r="G5273" t="str">
        <f t="shared" si="935"/>
        <v>WILIAN ROSA VIEIRA (488)</v>
      </c>
      <c r="H5273" t="s">
        <v>1498</v>
      </c>
      <c r="I5273" t="str">
        <f>("09/10/2025")</f>
        <v>09/10/2025</v>
      </c>
      <c r="J5273" t="str">
        <f>("26/09/2025")</f>
        <v>26/09/2025</v>
      </c>
      <c r="K5273">
        <v>45939</v>
      </c>
      <c r="N5273">
        <v>109</v>
      </c>
      <c r="O5273" t="s">
        <v>24</v>
      </c>
      <c r="Q5273">
        <v>8.14</v>
      </c>
      <c r="R5273" t="str">
        <f>"FARMÁCIA INDIANA LJ 103 (10044)"</f>
        <v>FARMÁCIA INDIANA LJ 103 (10044)</v>
      </c>
      <c r="S5273" t="s">
        <v>48</v>
      </c>
      <c r="T5273">
        <v>19483</v>
      </c>
      <c r="U5273">
        <v>23462</v>
      </c>
      <c r="V5273" t="s">
        <v>48</v>
      </c>
    </row>
    <row r="5274" spans="1:22">
      <c r="A5274" t="str">
        <f t="shared" si="934"/>
        <v>09/10/2025</v>
      </c>
      <c r="B5274" t="str">
        <f>"SAÍDA"</f>
        <v>SAÍDA</v>
      </c>
      <c r="C5274" t="str">
        <f>"PIX"</f>
        <v>PIX</v>
      </c>
      <c r="D5274" t="str">
        <f>"22648"</f>
        <v>22648</v>
      </c>
      <c r="E5274" t="str">
        <f>"1"</f>
        <v>1</v>
      </c>
      <c r="F5274" t="str">
        <f t="shared" si="933"/>
        <v>COM</v>
      </c>
      <c r="G5274" t="str">
        <f t="shared" si="935"/>
        <v>WILIAN ROSA VIEIRA (488)</v>
      </c>
      <c r="H5274" t="s">
        <v>1498</v>
      </c>
      <c r="I5274" t="str">
        <f>("09/10/2025")</f>
        <v>09/10/2025</v>
      </c>
      <c r="J5274" t="str">
        <f>("26/09/2025")</f>
        <v>26/09/2025</v>
      </c>
      <c r="K5274">
        <v>45939</v>
      </c>
      <c r="N5274">
        <v>109</v>
      </c>
      <c r="O5274" t="s">
        <v>24</v>
      </c>
      <c r="Q5274">
        <v>4.8600000000000003</v>
      </c>
      <c r="R5274" t="str">
        <f>"FARMÁCIA INDIANA LJ 140 (10064)"</f>
        <v>FARMÁCIA INDIANA LJ 140 (10064)</v>
      </c>
      <c r="S5274" t="s">
        <v>48</v>
      </c>
      <c r="T5274">
        <v>19483</v>
      </c>
      <c r="U5274">
        <v>23462</v>
      </c>
      <c r="V5274" t="s">
        <v>48</v>
      </c>
    </row>
    <row r="5275" spans="1:22">
      <c r="A5275" t="str">
        <f t="shared" si="934"/>
        <v>09/10/2025</v>
      </c>
      <c r="B5275" t="str">
        <f>"SAÍDA"</f>
        <v>SAÍDA</v>
      </c>
      <c r="C5275" t="str">
        <f>"PIX"</f>
        <v>PIX</v>
      </c>
      <c r="D5275" t="str">
        <f>"22648"</f>
        <v>22648</v>
      </c>
      <c r="E5275" t="str">
        <f>"1"</f>
        <v>1</v>
      </c>
      <c r="F5275" t="str">
        <f t="shared" si="933"/>
        <v>COM</v>
      </c>
      <c r="G5275" t="str">
        <f t="shared" si="935"/>
        <v>WILIAN ROSA VIEIRA (488)</v>
      </c>
      <c r="H5275" t="s">
        <v>1498</v>
      </c>
      <c r="I5275" t="str">
        <f>("09/10/2025")</f>
        <v>09/10/2025</v>
      </c>
      <c r="J5275" t="str">
        <f>("26/09/2025")</f>
        <v>26/09/2025</v>
      </c>
      <c r="K5275">
        <v>45939</v>
      </c>
      <c r="N5275">
        <v>109</v>
      </c>
      <c r="O5275" t="s">
        <v>24</v>
      </c>
      <c r="Q5275">
        <v>0.86</v>
      </c>
      <c r="R5275" t="str">
        <f>"FARMÁCIA INDIANA LJ 141 (10065)"</f>
        <v>FARMÁCIA INDIANA LJ 141 (10065)</v>
      </c>
      <c r="S5275" t="s">
        <v>48</v>
      </c>
      <c r="T5275">
        <v>19483</v>
      </c>
      <c r="U5275">
        <v>23462</v>
      </c>
      <c r="V5275" t="s">
        <v>48</v>
      </c>
    </row>
    <row r="5276" spans="1:22">
      <c r="A5276" t="str">
        <f t="shared" si="934"/>
        <v>09/10/2025</v>
      </c>
      <c r="B5276" t="str">
        <f>"SAÍDA"</f>
        <v>SAÍDA</v>
      </c>
      <c r="C5276" t="str">
        <f>"PIX"</f>
        <v>PIX</v>
      </c>
      <c r="D5276" t="str">
        <f>"22648"</f>
        <v>22648</v>
      </c>
      <c r="E5276" t="str">
        <f>"1"</f>
        <v>1</v>
      </c>
      <c r="F5276" t="str">
        <f t="shared" si="933"/>
        <v>COM</v>
      </c>
      <c r="G5276" t="str">
        <f t="shared" si="935"/>
        <v>WILIAN ROSA VIEIRA (488)</v>
      </c>
      <c r="H5276" t="s">
        <v>1498</v>
      </c>
      <c r="I5276" t="str">
        <f>("09/10/2025")</f>
        <v>09/10/2025</v>
      </c>
      <c r="J5276" t="str">
        <f>("26/09/2025")</f>
        <v>26/09/2025</v>
      </c>
      <c r="K5276">
        <v>45939</v>
      </c>
      <c r="N5276">
        <v>109</v>
      </c>
      <c r="O5276" t="s">
        <v>24</v>
      </c>
      <c r="Q5276">
        <v>6.14</v>
      </c>
      <c r="R5276" t="str">
        <f>"FARMÁCIA INDIANA LJ 154 (10070)"</f>
        <v>FARMÁCIA INDIANA LJ 154 (10070)</v>
      </c>
      <c r="S5276" t="s">
        <v>48</v>
      </c>
      <c r="T5276">
        <v>19483</v>
      </c>
      <c r="U5276">
        <v>23462</v>
      </c>
      <c r="V5276" t="s">
        <v>48</v>
      </c>
    </row>
    <row r="5277" spans="1:22">
      <c r="A5277" t="str">
        <f t="shared" si="934"/>
        <v>09/10/2025</v>
      </c>
      <c r="B5277" t="str">
        <f>"ENTRADA"</f>
        <v>ENTRADA</v>
      </c>
      <c r="C5277" t="str">
        <f>"DINHEIRO"</f>
        <v>DINHEIRO</v>
      </c>
      <c r="D5277" t="str">
        <f>"03"</f>
        <v>03</v>
      </c>
      <c r="E5277" t="str">
        <f>"34"</f>
        <v>34</v>
      </c>
      <c r="F5277" t="str">
        <f t="shared" si="933"/>
        <v>COM</v>
      </c>
      <c r="G5277" t="str">
        <f t="shared" si="935"/>
        <v>WILIAN ROSA VIEIRA (488)</v>
      </c>
      <c r="H5277" t="str">
        <f>"DESCONTO COTA COOPERADO"</f>
        <v>DESCONTO COTA COOPERADO</v>
      </c>
      <c r="I5277" t="str">
        <f>("16/10/2025")</f>
        <v>16/10/2025</v>
      </c>
      <c r="J5277" t="str">
        <f>("16/01/2025")</f>
        <v>16/01/2025</v>
      </c>
      <c r="K5277" t="str">
        <f>("09/10/2025")</f>
        <v>09/10/2025</v>
      </c>
      <c r="L5277">
        <v>20</v>
      </c>
      <c r="M5277">
        <v>20</v>
      </c>
      <c r="N5277">
        <v>106</v>
      </c>
      <c r="O5277" t="str">
        <f>"ENTRADA DE CAPITAL"</f>
        <v>ENTRADA DE CAPITAL</v>
      </c>
      <c r="P5277">
        <v>20</v>
      </c>
      <c r="S5277" t="str">
        <f>"ENTRADA DE CAPITAL (106)"</f>
        <v>ENTRADA DE CAPITAL (106)</v>
      </c>
      <c r="T5277">
        <v>19484</v>
      </c>
      <c r="U5277">
        <v>7820</v>
      </c>
      <c r="V5277" t="s">
        <v>48</v>
      </c>
    </row>
    <row r="5278" spans="1:22">
      <c r="A5278" t="str">
        <f t="shared" si="934"/>
        <v>09/10/2025</v>
      </c>
      <c r="B5278" t="str">
        <f>"ENTRADA"</f>
        <v>ENTRADA</v>
      </c>
      <c r="C5278" t="str">
        <f>"DINHEIRO"</f>
        <v>DINHEIRO</v>
      </c>
      <c r="D5278" t="str">
        <f>"03"</f>
        <v>03</v>
      </c>
      <c r="E5278" t="str">
        <f>"34"</f>
        <v>34</v>
      </c>
      <c r="F5278" t="str">
        <f t="shared" si="933"/>
        <v>COM</v>
      </c>
      <c r="G5278" t="str">
        <f t="shared" si="935"/>
        <v>WILIAN ROSA VIEIRA (488)</v>
      </c>
      <c r="H5278" t="s">
        <v>309</v>
      </c>
      <c r="I5278" t="str">
        <f>("16/10/2025")</f>
        <v>16/10/2025</v>
      </c>
      <c r="J5278" t="str">
        <f>("16/01/2025")</f>
        <v>16/01/2025</v>
      </c>
      <c r="K5278">
        <v>45939</v>
      </c>
      <c r="N5278">
        <v>106</v>
      </c>
      <c r="O5278" t="s">
        <v>51</v>
      </c>
      <c r="Q5278">
        <v>20</v>
      </c>
      <c r="R5278" t="str">
        <f>"WILIAN ROSA VIEIRA (488)"</f>
        <v>WILIAN ROSA VIEIRA (488)</v>
      </c>
      <c r="S5278" t="s">
        <v>52</v>
      </c>
      <c r="T5278">
        <v>19484</v>
      </c>
      <c r="U5278">
        <v>7820</v>
      </c>
      <c r="V5278" t="s">
        <v>48</v>
      </c>
    </row>
    <row r="5279" spans="1:22">
      <c r="A5279" t="str">
        <f t="shared" si="934"/>
        <v>09/10/2025</v>
      </c>
      <c r="B5279" t="str">
        <f>"SAÍDA"</f>
        <v>SAÍDA</v>
      </c>
      <c r="C5279" t="str">
        <f>"PIX"</f>
        <v>PIX</v>
      </c>
      <c r="D5279" t="str">
        <f>"22837"</f>
        <v>22837</v>
      </c>
      <c r="E5279" t="str">
        <f>"1"</f>
        <v>1</v>
      </c>
      <c r="F5279" t="str">
        <f t="shared" si="933"/>
        <v>COM</v>
      </c>
      <c r="G5279" t="str">
        <f>"WILIANA RODRIGUES E RODRIGUES (398)"</f>
        <v>WILIANA RODRIGUES E RODRIGUES (398)</v>
      </c>
      <c r="H5279" t="str">
        <f>"Serv.Prest. 29/09/2025 a 05/10/2025 - PIX: CPF - CHAVE: 016.203.336-27"</f>
        <v>Serv.Prest. 29/09/2025 a 05/10/2025 - PIX: CPF - CHAVE: 016.203.336-27</v>
      </c>
      <c r="I5279" t="str">
        <f>("09/10/2025")</f>
        <v>09/10/2025</v>
      </c>
      <c r="J5279" t="str">
        <f>("06/10/2025")</f>
        <v>06/10/2025</v>
      </c>
      <c r="K5279" t="str">
        <f>("09/10/2025")</f>
        <v>09/10/2025</v>
      </c>
      <c r="L5279">
        <v>20</v>
      </c>
      <c r="M5279">
        <v>20</v>
      </c>
      <c r="N5279">
        <v>109</v>
      </c>
      <c r="O5279" t="str">
        <f>"PAGAMENTO DE ENTREGADORES"</f>
        <v>PAGAMENTO DE ENTREGADORES</v>
      </c>
      <c r="P5279">
        <v>20</v>
      </c>
      <c r="S5279" t="str">
        <f>"CAIXA MOVIMENTAÇÃO OPERACIONAL (132)"</f>
        <v>CAIXA MOVIMENTAÇÃO OPERACIONAL (132)</v>
      </c>
      <c r="T5279">
        <v>19485</v>
      </c>
      <c r="U5279">
        <v>23463</v>
      </c>
      <c r="V5279" t="s">
        <v>48</v>
      </c>
    </row>
    <row r="5280" spans="1:22">
      <c r="A5280" t="str">
        <f t="shared" si="934"/>
        <v>09/10/2025</v>
      </c>
      <c r="B5280" t="str">
        <f>"SAÍDA"</f>
        <v>SAÍDA</v>
      </c>
      <c r="C5280" t="str">
        <f>"PIX"</f>
        <v>PIX</v>
      </c>
      <c r="D5280" t="str">
        <f>"22837"</f>
        <v>22837</v>
      </c>
      <c r="E5280" t="str">
        <f>"1"</f>
        <v>1</v>
      </c>
      <c r="F5280" t="str">
        <f t="shared" si="933"/>
        <v>COM</v>
      </c>
      <c r="G5280" t="str">
        <f>"WILIANA RODRIGUES E RODRIGUES (398)"</f>
        <v>WILIANA RODRIGUES E RODRIGUES (398)</v>
      </c>
      <c r="H5280" t="s">
        <v>1499</v>
      </c>
      <c r="I5280" t="str">
        <f>("09/10/2025")</f>
        <v>09/10/2025</v>
      </c>
      <c r="J5280" t="str">
        <f>("06/10/2025")</f>
        <v>06/10/2025</v>
      </c>
      <c r="K5280">
        <v>45939</v>
      </c>
      <c r="N5280">
        <v>109</v>
      </c>
      <c r="O5280" t="s">
        <v>24</v>
      </c>
      <c r="Q5280">
        <v>20</v>
      </c>
      <c r="R5280" t="str">
        <f>"PAGMENOS - LJ 657 (10136)"</f>
        <v>PAGMENOS - LJ 657 (10136)</v>
      </c>
      <c r="S5280" t="s">
        <v>48</v>
      </c>
      <c r="T5280">
        <v>19485</v>
      </c>
      <c r="U5280">
        <v>23463</v>
      </c>
      <c r="V5280" t="s">
        <v>48</v>
      </c>
    </row>
    <row r="5281" spans="1:22">
      <c r="A5281" t="str">
        <f t="shared" si="934"/>
        <v>09/10/2025</v>
      </c>
      <c r="B5281" t="str">
        <f>"ENTRADA"</f>
        <v>ENTRADA</v>
      </c>
      <c r="C5281" t="str">
        <f>"DINHEIRO"</f>
        <v>DINHEIRO</v>
      </c>
      <c r="D5281" t="str">
        <f>"05"</f>
        <v>05</v>
      </c>
      <c r="E5281" t="str">
        <f>"34"</f>
        <v>34</v>
      </c>
      <c r="F5281" t="str">
        <f t="shared" si="933"/>
        <v>COM</v>
      </c>
      <c r="G5281" t="str">
        <f>"WILIANA RODRIGUES E RODRIGUES (398)"</f>
        <v>WILIANA RODRIGUES E RODRIGUES (398)</v>
      </c>
      <c r="H5281" t="str">
        <f>"DESCONTO COTA COOPERADO"</f>
        <v>DESCONTO COTA COOPERADO</v>
      </c>
      <c r="I5281" t="str">
        <f>("16/10/2025")</f>
        <v>16/10/2025</v>
      </c>
      <c r="J5281" t="str">
        <f>("16/01/2025")</f>
        <v>16/01/2025</v>
      </c>
      <c r="K5281" t="str">
        <f>("09/10/2025")</f>
        <v>09/10/2025</v>
      </c>
      <c r="L5281">
        <v>20</v>
      </c>
      <c r="M5281">
        <v>20</v>
      </c>
      <c r="N5281">
        <v>106</v>
      </c>
      <c r="O5281" t="str">
        <f>"ENTRADA DE CAPITAL"</f>
        <v>ENTRADA DE CAPITAL</v>
      </c>
      <c r="P5281">
        <v>20</v>
      </c>
      <c r="S5281" t="str">
        <f>"ENTRADA DE CAPITAL (106)"</f>
        <v>ENTRADA DE CAPITAL (106)</v>
      </c>
      <c r="T5281">
        <v>19486</v>
      </c>
      <c r="U5281">
        <v>7844</v>
      </c>
      <c r="V5281" t="s">
        <v>48</v>
      </c>
    </row>
    <row r="5282" spans="1:22">
      <c r="A5282" t="str">
        <f t="shared" si="934"/>
        <v>09/10/2025</v>
      </c>
      <c r="B5282" t="str">
        <f>"ENTRADA"</f>
        <v>ENTRADA</v>
      </c>
      <c r="C5282" t="str">
        <f>"DINHEIRO"</f>
        <v>DINHEIRO</v>
      </c>
      <c r="D5282" t="str">
        <f>"05"</f>
        <v>05</v>
      </c>
      <c r="E5282" t="str">
        <f>"34"</f>
        <v>34</v>
      </c>
      <c r="F5282" t="str">
        <f t="shared" si="933"/>
        <v>COM</v>
      </c>
      <c r="G5282" t="str">
        <f>"WILIANA RODRIGUES E RODRIGUES (398)"</f>
        <v>WILIANA RODRIGUES E RODRIGUES (398)</v>
      </c>
      <c r="H5282" t="s">
        <v>309</v>
      </c>
      <c r="I5282" t="str">
        <f>("16/10/2025")</f>
        <v>16/10/2025</v>
      </c>
      <c r="J5282" t="str">
        <f>("16/01/2025")</f>
        <v>16/01/2025</v>
      </c>
      <c r="K5282">
        <v>45939</v>
      </c>
      <c r="N5282">
        <v>106</v>
      </c>
      <c r="O5282" t="s">
        <v>51</v>
      </c>
      <c r="Q5282">
        <v>20</v>
      </c>
      <c r="R5282" t="str">
        <f>"WILIANA RODRIGUES E RODRIGUES (398)"</f>
        <v>WILIANA RODRIGUES E RODRIGUES (398)</v>
      </c>
      <c r="S5282" t="s">
        <v>52</v>
      </c>
      <c r="T5282">
        <v>19486</v>
      </c>
      <c r="U5282">
        <v>7844</v>
      </c>
      <c r="V5282" t="s">
        <v>48</v>
      </c>
    </row>
    <row r="5283" spans="1:22">
      <c r="A5283" t="str">
        <f t="shared" si="934"/>
        <v>09/10/2025</v>
      </c>
      <c r="B5283" t="str">
        <f>"SAÍDA"</f>
        <v>SAÍDA</v>
      </c>
      <c r="C5283" t="str">
        <f>"PIX"</f>
        <v>PIX</v>
      </c>
      <c r="D5283" t="str">
        <f>"22818"</f>
        <v>22818</v>
      </c>
      <c r="E5283" t="str">
        <f>"1"</f>
        <v>1</v>
      </c>
      <c r="F5283" t="str">
        <f t="shared" si="933"/>
        <v>COM</v>
      </c>
      <c r="G5283" t="str">
        <f>"WILLIAM ANDRE SILVA COELLO (850)"</f>
        <v>WILLIAM ANDRE SILVA COELLO (850)</v>
      </c>
      <c r="H5283" t="str">
        <f>"Serv.Prest. 29/09/2025 a 05/10/2025 - PIX: CPF - CHAVE: 100.710.806-19"</f>
        <v>Serv.Prest. 29/09/2025 a 05/10/2025 - PIX: CPF - CHAVE: 100.710.806-19</v>
      </c>
      <c r="I5283" t="str">
        <f>("09/10/2025")</f>
        <v>09/10/2025</v>
      </c>
      <c r="J5283" t="str">
        <f>("06/10/2025")</f>
        <v>06/10/2025</v>
      </c>
      <c r="K5283" t="str">
        <f>("09/10/2025")</f>
        <v>09/10/2025</v>
      </c>
      <c r="L5283">
        <v>20</v>
      </c>
      <c r="M5283">
        <v>20</v>
      </c>
      <c r="N5283">
        <v>109</v>
      </c>
      <c r="O5283" t="str">
        <f>"PAGAMENTO DE ENTREGADORES"</f>
        <v>PAGAMENTO DE ENTREGADORES</v>
      </c>
      <c r="P5283">
        <v>20</v>
      </c>
      <c r="S5283" t="str">
        <f>"CAIXA MOVIMENTAÇÃO OPERACIONAL (132)"</f>
        <v>CAIXA MOVIMENTAÇÃO OPERACIONAL (132)</v>
      </c>
      <c r="T5283">
        <v>19487</v>
      </c>
      <c r="U5283">
        <v>23489</v>
      </c>
      <c r="V5283" t="s">
        <v>48</v>
      </c>
    </row>
    <row r="5284" spans="1:22">
      <c r="A5284" t="str">
        <f t="shared" si="934"/>
        <v>09/10/2025</v>
      </c>
      <c r="B5284" t="str">
        <f>"SAÍDA"</f>
        <v>SAÍDA</v>
      </c>
      <c r="C5284" t="str">
        <f>"PIX"</f>
        <v>PIX</v>
      </c>
      <c r="D5284" t="str">
        <f>"22818"</f>
        <v>22818</v>
      </c>
      <c r="E5284" t="str">
        <f>"1"</f>
        <v>1</v>
      </c>
      <c r="F5284" t="str">
        <f t="shared" si="933"/>
        <v>COM</v>
      </c>
      <c r="G5284" t="str">
        <f>"WILLIAM ANDRE SILVA COELLO (850)"</f>
        <v>WILLIAM ANDRE SILVA COELLO (850)</v>
      </c>
      <c r="H5284" t="s">
        <v>1500</v>
      </c>
      <c r="I5284" t="str">
        <f>("09/10/2025")</f>
        <v>09/10/2025</v>
      </c>
      <c r="J5284" t="str">
        <f>("06/10/2025")</f>
        <v>06/10/2025</v>
      </c>
      <c r="K5284">
        <v>45939</v>
      </c>
      <c r="N5284">
        <v>109</v>
      </c>
      <c r="O5284" t="s">
        <v>24</v>
      </c>
      <c r="Q5284">
        <v>20</v>
      </c>
      <c r="R5284" t="str">
        <f>"DROGARIA ANA VISCONDE DO RIO BRANCO (10182)"</f>
        <v>DROGARIA ANA VISCONDE DO RIO BRANCO (10182)</v>
      </c>
      <c r="S5284" t="s">
        <v>48</v>
      </c>
      <c r="T5284">
        <v>19487</v>
      </c>
      <c r="U5284">
        <v>23489</v>
      </c>
      <c r="V5284" t="s">
        <v>48</v>
      </c>
    </row>
    <row r="5285" spans="1:22">
      <c r="A5285" t="str">
        <f t="shared" si="934"/>
        <v>09/10/2025</v>
      </c>
      <c r="B5285" t="str">
        <f>"ENTRADA"</f>
        <v>ENTRADA</v>
      </c>
      <c r="C5285" t="str">
        <f>"DINHEIRO"</f>
        <v>DINHEIRO</v>
      </c>
      <c r="D5285" t="str">
        <f>"850"</f>
        <v>850</v>
      </c>
      <c r="E5285" t="str">
        <f>"1"</f>
        <v>1</v>
      </c>
      <c r="F5285" t="str">
        <f t="shared" si="933"/>
        <v>COM</v>
      </c>
      <c r="G5285" t="str">
        <f>"WILLIAM ANDRE SILVA COELLO (850)"</f>
        <v>WILLIAM ANDRE SILVA COELLO (850)</v>
      </c>
      <c r="H5285" t="str">
        <f>"COTAS COOPERATIVA"</f>
        <v>COTAS COOPERATIVA</v>
      </c>
      <c r="I5285" t="str">
        <f>("10/10/2025")</f>
        <v>10/10/2025</v>
      </c>
      <c r="J5285" t="str">
        <f>("12/09/2025")</f>
        <v>12/09/2025</v>
      </c>
      <c r="K5285" t="str">
        <f>("09/10/2025")</f>
        <v>09/10/2025</v>
      </c>
      <c r="L5285">
        <v>20</v>
      </c>
      <c r="M5285">
        <v>20</v>
      </c>
      <c r="N5285">
        <v>106</v>
      </c>
      <c r="O5285" t="str">
        <f>"ENTRADA DE CAPITAL"</f>
        <v>ENTRADA DE CAPITAL</v>
      </c>
      <c r="P5285">
        <v>20</v>
      </c>
      <c r="S5285" t="str">
        <f>"ENTRADA DE CAPITAL (106)"</f>
        <v>ENTRADA DE CAPITAL (106)</v>
      </c>
      <c r="T5285">
        <v>19488</v>
      </c>
      <c r="U5285">
        <v>23464</v>
      </c>
      <c r="V5285" t="s">
        <v>48</v>
      </c>
    </row>
    <row r="5286" spans="1:22">
      <c r="A5286" t="str">
        <f t="shared" si="934"/>
        <v>09/10/2025</v>
      </c>
      <c r="B5286" t="str">
        <f>"ENTRADA"</f>
        <v>ENTRADA</v>
      </c>
      <c r="C5286" t="str">
        <f>"DINHEIRO"</f>
        <v>DINHEIRO</v>
      </c>
      <c r="D5286" t="str">
        <f>"850"</f>
        <v>850</v>
      </c>
      <c r="E5286" t="str">
        <f>"1"</f>
        <v>1</v>
      </c>
      <c r="F5286" t="str">
        <f t="shared" si="933"/>
        <v>COM</v>
      </c>
      <c r="G5286" t="str">
        <f>"WILLIAM ANDRE SILVA COELLO (850)"</f>
        <v>WILLIAM ANDRE SILVA COELLO (850)</v>
      </c>
      <c r="H5286" t="s">
        <v>318</v>
      </c>
      <c r="I5286" t="str">
        <f>("10/10/2025")</f>
        <v>10/10/2025</v>
      </c>
      <c r="J5286" t="str">
        <f>("12/09/2025")</f>
        <v>12/09/2025</v>
      </c>
      <c r="K5286">
        <v>45939</v>
      </c>
      <c r="N5286">
        <v>106</v>
      </c>
      <c r="O5286" t="s">
        <v>51</v>
      </c>
      <c r="Q5286">
        <v>20</v>
      </c>
      <c r="R5286" t="str">
        <f>"WILLIAM ANDRE SILVA COELLO (850)"</f>
        <v>WILLIAM ANDRE SILVA COELLO (850)</v>
      </c>
      <c r="S5286" t="s">
        <v>52</v>
      </c>
      <c r="T5286">
        <v>19488</v>
      </c>
      <c r="U5286">
        <v>23464</v>
      </c>
      <c r="V5286" t="s">
        <v>48</v>
      </c>
    </row>
    <row r="5287" spans="1:22">
      <c r="A5287" t="str">
        <f t="shared" si="934"/>
        <v>09/10/2025</v>
      </c>
      <c r="B5287" t="str">
        <f>"ENTRADA"</f>
        <v>ENTRADA</v>
      </c>
      <c r="C5287" t="str">
        <f>"DINHEIRO"</f>
        <v>DINHEIRO</v>
      </c>
      <c r="D5287" t="str">
        <f>"655"</f>
        <v>655</v>
      </c>
      <c r="E5287" t="str">
        <f>"9"</f>
        <v>9</v>
      </c>
      <c r="F5287" t="str">
        <f t="shared" si="933"/>
        <v>COM</v>
      </c>
      <c r="G5287" t="str">
        <f>"WILLIAM DA SILVA COSTA (655)"</f>
        <v>WILLIAM DA SILVA COSTA (655)</v>
      </c>
      <c r="H5287" t="str">
        <f>"COTAS COOPERATIVA"</f>
        <v>COTAS COOPERATIVA</v>
      </c>
      <c r="I5287" t="str">
        <f>("13/10/2025")</f>
        <v>13/10/2025</v>
      </c>
      <c r="J5287" t="str">
        <f>("13/02/2025")</f>
        <v>13/02/2025</v>
      </c>
      <c r="K5287" t="str">
        <f>("09/10/2025")</f>
        <v>09/10/2025</v>
      </c>
      <c r="L5287">
        <v>20</v>
      </c>
      <c r="M5287">
        <v>20</v>
      </c>
      <c r="N5287">
        <v>106</v>
      </c>
      <c r="O5287" t="str">
        <f>"ENTRADA DE CAPITAL"</f>
        <v>ENTRADA DE CAPITAL</v>
      </c>
      <c r="P5287">
        <v>20</v>
      </c>
      <c r="S5287" t="str">
        <f>"ENTRADA DE CAPITAL (106)"</f>
        <v>ENTRADA DE CAPITAL (106)</v>
      </c>
      <c r="T5287">
        <v>19489</v>
      </c>
      <c r="U5287">
        <v>9800</v>
      </c>
      <c r="V5287" t="s">
        <v>48</v>
      </c>
    </row>
    <row r="5288" spans="1:22">
      <c r="A5288" t="str">
        <f t="shared" si="934"/>
        <v>09/10/2025</v>
      </c>
      <c r="B5288" t="str">
        <f>"ENTRADA"</f>
        <v>ENTRADA</v>
      </c>
      <c r="C5288" t="str">
        <f>"DINHEIRO"</f>
        <v>DINHEIRO</v>
      </c>
      <c r="D5288" t="str">
        <f>"655"</f>
        <v>655</v>
      </c>
      <c r="E5288" t="str">
        <f>"9"</f>
        <v>9</v>
      </c>
      <c r="F5288" t="str">
        <f t="shared" si="933"/>
        <v>COM</v>
      </c>
      <c r="G5288" t="str">
        <f>"WILLIAM DA SILVA COSTA (655)"</f>
        <v>WILLIAM DA SILVA COSTA (655)</v>
      </c>
      <c r="H5288" t="s">
        <v>318</v>
      </c>
      <c r="I5288" t="str">
        <f>("13/10/2025")</f>
        <v>13/10/2025</v>
      </c>
      <c r="J5288" t="str">
        <f>("13/02/2025")</f>
        <v>13/02/2025</v>
      </c>
      <c r="K5288">
        <v>45939</v>
      </c>
      <c r="N5288">
        <v>106</v>
      </c>
      <c r="O5288" t="s">
        <v>51</v>
      </c>
      <c r="Q5288">
        <v>20</v>
      </c>
      <c r="R5288" t="str">
        <f>"WILLIAM DA SILVA COSTA (655)"</f>
        <v>WILLIAM DA SILVA COSTA (655)</v>
      </c>
      <c r="S5288" t="s">
        <v>52</v>
      </c>
      <c r="T5288">
        <v>19489</v>
      </c>
      <c r="U5288">
        <v>9800</v>
      </c>
      <c r="V5288" t="s">
        <v>48</v>
      </c>
    </row>
    <row r="5289" spans="1:22">
      <c r="A5289" t="str">
        <f t="shared" si="934"/>
        <v>09/10/2025</v>
      </c>
      <c r="B5289" t="str">
        <f>"SAÍDA"</f>
        <v>SAÍDA</v>
      </c>
      <c r="C5289" t="str">
        <f>"PIX"</f>
        <v>PIX</v>
      </c>
      <c r="D5289" t="str">
        <f>"23062"</f>
        <v>23062</v>
      </c>
      <c r="E5289" t="str">
        <f>"1"</f>
        <v>1</v>
      </c>
      <c r="F5289" t="str">
        <f t="shared" si="933"/>
        <v>COM</v>
      </c>
      <c r="G5289" t="str">
        <f>"WILLIAM DA SILVA COSTA (655)"</f>
        <v>WILLIAM DA SILVA COSTA (655)</v>
      </c>
      <c r="H5289" t="str">
        <f>"Serv.Prest. 29/09/2025 a 05/10/2025 - PIX: CELULAR - CHAVE: (64) 97400-9101"</f>
        <v>Serv.Prest. 29/09/2025 a 05/10/2025 - PIX: CELULAR - CHAVE: (64) 97400-9101</v>
      </c>
      <c r="I5289" t="str">
        <f>("09/10/2025")</f>
        <v>09/10/2025</v>
      </c>
      <c r="J5289" t="str">
        <f>("08/10/2025")</f>
        <v>08/10/2025</v>
      </c>
      <c r="K5289" t="str">
        <f>("09/10/2025")</f>
        <v>09/10/2025</v>
      </c>
      <c r="L5289">
        <v>20</v>
      </c>
      <c r="M5289">
        <v>20</v>
      </c>
      <c r="N5289">
        <v>109</v>
      </c>
      <c r="O5289" t="str">
        <f>"PAGAMENTO DE ENTREGADORES"</f>
        <v>PAGAMENTO DE ENTREGADORES</v>
      </c>
      <c r="P5289">
        <v>20</v>
      </c>
      <c r="S5289" t="str">
        <f>"CAIXA MOVIMENTAÇÃO OPERACIONAL (132)"</f>
        <v>CAIXA MOVIMENTAÇÃO OPERACIONAL (132)</v>
      </c>
      <c r="T5289">
        <v>19490</v>
      </c>
      <c r="U5289">
        <v>23490</v>
      </c>
      <c r="V5289" t="s">
        <v>48</v>
      </c>
    </row>
    <row r="5290" spans="1:22">
      <c r="A5290" t="str">
        <f t="shared" si="934"/>
        <v>09/10/2025</v>
      </c>
      <c r="B5290" t="str">
        <f>"SAÍDA"</f>
        <v>SAÍDA</v>
      </c>
      <c r="C5290" t="str">
        <f>"PIX"</f>
        <v>PIX</v>
      </c>
      <c r="D5290" t="str">
        <f>"23062"</f>
        <v>23062</v>
      </c>
      <c r="E5290" t="str">
        <f>"1"</f>
        <v>1</v>
      </c>
      <c r="F5290" t="str">
        <f t="shared" si="933"/>
        <v>COM</v>
      </c>
      <c r="G5290" t="str">
        <f>"WILLIAM DA SILVA COSTA (655)"</f>
        <v>WILLIAM DA SILVA COSTA (655)</v>
      </c>
      <c r="H5290" t="s">
        <v>1113</v>
      </c>
      <c r="I5290" t="str">
        <f>("09/10/2025")</f>
        <v>09/10/2025</v>
      </c>
      <c r="J5290" t="str">
        <f>("08/10/2025")</f>
        <v>08/10/2025</v>
      </c>
      <c r="K5290">
        <v>45939</v>
      </c>
      <c r="N5290">
        <v>109</v>
      </c>
      <c r="O5290" t="s">
        <v>24</v>
      </c>
      <c r="Q5290">
        <v>20</v>
      </c>
      <c r="R5290" t="str">
        <f>"FARMACIA ECONOMIZE (10103)"</f>
        <v>FARMACIA ECONOMIZE (10103)</v>
      </c>
      <c r="S5290" t="s">
        <v>48</v>
      </c>
      <c r="T5290">
        <v>19490</v>
      </c>
      <c r="U5290">
        <v>23490</v>
      </c>
      <c r="V5290" t="s">
        <v>48</v>
      </c>
    </row>
    <row r="5291" spans="1:22">
      <c r="A5291" t="str">
        <f t="shared" si="934"/>
        <v>09/10/2025</v>
      </c>
      <c r="B5291" t="str">
        <f>"SAÍDA"</f>
        <v>SAÍDA</v>
      </c>
      <c r="C5291" t="str">
        <f>"PIX"</f>
        <v>PIX</v>
      </c>
      <c r="D5291" t="str">
        <f>"22549"</f>
        <v>22549</v>
      </c>
      <c r="E5291" t="str">
        <f>"1"</f>
        <v>1</v>
      </c>
      <c r="F5291" t="str">
        <f t="shared" si="933"/>
        <v>COM</v>
      </c>
      <c r="G5291" t="str">
        <f>"YAN BRENDO CORREIA VIEIRA (861)"</f>
        <v>YAN BRENDO CORREIA VIEIRA (861)</v>
      </c>
      <c r="H5291" t="str">
        <f>"Serv.Prest. 22/09/2025 a 25/09/2025 - PIX: CPF - CHAVE: 096.891.935-97"</f>
        <v>Serv.Prest. 22/09/2025 a 25/09/2025 - PIX: CPF - CHAVE: 096.891.935-97</v>
      </c>
      <c r="I5291" t="str">
        <f>("09/10/2025")</f>
        <v>09/10/2025</v>
      </c>
      <c r="J5291" t="str">
        <f>("26/09/2025")</f>
        <v>26/09/2025</v>
      </c>
      <c r="K5291" t="str">
        <f>("09/10/2025")</f>
        <v>09/10/2025</v>
      </c>
      <c r="L5291">
        <v>20</v>
      </c>
      <c r="M5291">
        <v>20</v>
      </c>
      <c r="N5291">
        <v>109</v>
      </c>
      <c r="O5291" t="str">
        <f>"PAGAMENTO DE ENTREGADORES"</f>
        <v>PAGAMENTO DE ENTREGADORES</v>
      </c>
      <c r="P5291">
        <v>20</v>
      </c>
      <c r="S5291" t="str">
        <f>"CAIXA MOVIMENTAÇÃO OPERACIONAL (132)"</f>
        <v>CAIXA MOVIMENTAÇÃO OPERACIONAL (132)</v>
      </c>
      <c r="T5291">
        <v>19491</v>
      </c>
      <c r="U5291">
        <v>23491</v>
      </c>
      <c r="V5291" t="s">
        <v>48</v>
      </c>
    </row>
    <row r="5292" spans="1:22">
      <c r="A5292" t="str">
        <f t="shared" si="934"/>
        <v>09/10/2025</v>
      </c>
      <c r="B5292" t="str">
        <f>"SAÍDA"</f>
        <v>SAÍDA</v>
      </c>
      <c r="C5292" t="str">
        <f>"PIX"</f>
        <v>PIX</v>
      </c>
      <c r="D5292" t="str">
        <f>"22549"</f>
        <v>22549</v>
      </c>
      <c r="E5292" t="str">
        <f>"1"</f>
        <v>1</v>
      </c>
      <c r="F5292" t="str">
        <f t="shared" si="933"/>
        <v>COM</v>
      </c>
      <c r="G5292" t="str">
        <f>"YAN BRENDO CORREIA VIEIRA (861)"</f>
        <v>YAN BRENDO CORREIA VIEIRA (861)</v>
      </c>
      <c r="H5292" t="s">
        <v>1096</v>
      </c>
      <c r="I5292" t="str">
        <f>("09/10/2025")</f>
        <v>09/10/2025</v>
      </c>
      <c r="J5292" t="str">
        <f>("26/09/2025")</f>
        <v>26/09/2025</v>
      </c>
      <c r="K5292">
        <v>45939</v>
      </c>
      <c r="N5292">
        <v>109</v>
      </c>
      <c r="O5292" t="s">
        <v>24</v>
      </c>
      <c r="Q5292">
        <v>20</v>
      </c>
      <c r="R5292" t="str">
        <f>"FARMÁCIA INDIANA LJ 200 (10155)"</f>
        <v>FARMÁCIA INDIANA LJ 200 (10155)</v>
      </c>
      <c r="S5292" t="s">
        <v>48</v>
      </c>
      <c r="T5292">
        <v>19491</v>
      </c>
      <c r="U5292">
        <v>23491</v>
      </c>
      <c r="V5292" t="s">
        <v>48</v>
      </c>
    </row>
    <row r="5293" spans="1:22">
      <c r="A5293" t="str">
        <f t="shared" si="934"/>
        <v>09/10/2025</v>
      </c>
      <c r="B5293" t="str">
        <f>"ENTRADA"</f>
        <v>ENTRADA</v>
      </c>
      <c r="C5293" t="str">
        <f>"DINHEIRO"</f>
        <v>DINHEIRO</v>
      </c>
      <c r="D5293" t="str">
        <f>"861"</f>
        <v>861</v>
      </c>
      <c r="E5293" t="str">
        <f>"4"</f>
        <v>4</v>
      </c>
      <c r="F5293" t="str">
        <f t="shared" si="933"/>
        <v>COM</v>
      </c>
      <c r="G5293" t="str">
        <f>"YAN BRENDO CORREIA VIEIRA (861)"</f>
        <v>YAN BRENDO CORREIA VIEIRA (861)</v>
      </c>
      <c r="H5293" t="str">
        <f>"COTA COOPERATIVA"</f>
        <v>COTA COOPERATIVA</v>
      </c>
      <c r="I5293" t="str">
        <f>("10/10/2025")</f>
        <v>10/10/2025</v>
      </c>
      <c r="J5293" t="str">
        <f>("23/06/2025")</f>
        <v>23/06/2025</v>
      </c>
      <c r="K5293" t="str">
        <f>("09/10/2025")</f>
        <v>09/10/2025</v>
      </c>
      <c r="L5293">
        <v>20</v>
      </c>
      <c r="M5293">
        <v>20</v>
      </c>
      <c r="N5293">
        <v>106</v>
      </c>
      <c r="O5293" t="str">
        <f>"ENTRADA DE CAPITAL"</f>
        <v>ENTRADA DE CAPITAL</v>
      </c>
      <c r="P5293">
        <v>20</v>
      </c>
      <c r="S5293" t="str">
        <f>"ENTRADA DE CAPITAL (106)"</f>
        <v>ENTRADA DE CAPITAL (106)</v>
      </c>
      <c r="T5293">
        <v>19492</v>
      </c>
      <c r="U5293">
        <v>18392</v>
      </c>
      <c r="V5293" t="s">
        <v>48</v>
      </c>
    </row>
    <row r="5294" spans="1:22">
      <c r="A5294" t="str">
        <f t="shared" si="934"/>
        <v>09/10/2025</v>
      </c>
      <c r="B5294" t="str">
        <f>"ENTRADA"</f>
        <v>ENTRADA</v>
      </c>
      <c r="C5294" t="str">
        <f>"DINHEIRO"</f>
        <v>DINHEIRO</v>
      </c>
      <c r="D5294" t="str">
        <f>"861"</f>
        <v>861</v>
      </c>
      <c r="E5294" t="str">
        <f>"4"</f>
        <v>4</v>
      </c>
      <c r="F5294" t="str">
        <f t="shared" si="933"/>
        <v>COM</v>
      </c>
      <c r="G5294" t="str">
        <f>"YAN BRENDO CORREIA VIEIRA (861)"</f>
        <v>YAN BRENDO CORREIA VIEIRA (861)</v>
      </c>
      <c r="H5294" t="s">
        <v>50</v>
      </c>
      <c r="I5294" t="str">
        <f>("10/10/2025")</f>
        <v>10/10/2025</v>
      </c>
      <c r="J5294" t="str">
        <f>("23/06/2025")</f>
        <v>23/06/2025</v>
      </c>
      <c r="K5294">
        <v>45939</v>
      </c>
      <c r="N5294">
        <v>106</v>
      </c>
      <c r="O5294" t="s">
        <v>51</v>
      </c>
      <c r="Q5294">
        <v>20</v>
      </c>
      <c r="R5294" t="str">
        <f>"YAN BRENDO CORREIA VIEIRA (861)"</f>
        <v>YAN BRENDO CORREIA VIEIRA (861)</v>
      </c>
      <c r="S5294" t="s">
        <v>52</v>
      </c>
      <c r="T5294">
        <v>19492</v>
      </c>
      <c r="U5294">
        <v>18392</v>
      </c>
      <c r="V5294" t="s">
        <v>48</v>
      </c>
    </row>
    <row r="5295" spans="1:22">
      <c r="A5295" t="str">
        <f t="shared" si="934"/>
        <v>09/10/2025</v>
      </c>
      <c r="B5295" t="str">
        <f>"SAÍDA"</f>
        <v>SAÍDA</v>
      </c>
      <c r="C5295" t="str">
        <f>"PIX"</f>
        <v>PIX</v>
      </c>
      <c r="D5295" t="str">
        <f>"22649"</f>
        <v>22649</v>
      </c>
      <c r="E5295" t="str">
        <f>"1"</f>
        <v>1</v>
      </c>
      <c r="F5295" t="str">
        <f t="shared" si="933"/>
        <v>COM</v>
      </c>
      <c r="G5295" t="str">
        <f>"YAN EVERTON RODRIGUES DE LIMA (875)"</f>
        <v>YAN EVERTON RODRIGUES DE LIMA (875)</v>
      </c>
      <c r="H5295" t="str">
        <f>"Serv.Prest. 22/09/2025 a 25/09/2025 - PIX: CELULAR - CHAVE: (33) 99859-8751"</f>
        <v>Serv.Prest. 22/09/2025 a 25/09/2025 - PIX: CELULAR - CHAVE: (33) 99859-8751</v>
      </c>
      <c r="I5295" t="str">
        <f>("09/10/2025")</f>
        <v>09/10/2025</v>
      </c>
      <c r="J5295" t="str">
        <f>("26/09/2025")</f>
        <v>26/09/2025</v>
      </c>
      <c r="K5295" t="str">
        <f>("09/10/2025")</f>
        <v>09/10/2025</v>
      </c>
      <c r="L5295">
        <v>20</v>
      </c>
      <c r="M5295">
        <v>20</v>
      </c>
      <c r="N5295">
        <v>109</v>
      </c>
      <c r="O5295" t="str">
        <f>"PAGAMENTO DE ENTREGADORES"</f>
        <v>PAGAMENTO DE ENTREGADORES</v>
      </c>
      <c r="P5295">
        <v>20</v>
      </c>
      <c r="S5295" t="str">
        <f>"CAIXA MOVIMENTAÇÃO OPERACIONAL (132)"</f>
        <v>CAIXA MOVIMENTAÇÃO OPERACIONAL (132)</v>
      </c>
      <c r="T5295">
        <v>19493</v>
      </c>
      <c r="U5295">
        <v>23492</v>
      </c>
      <c r="V5295" t="s">
        <v>48</v>
      </c>
    </row>
    <row r="5296" spans="1:22">
      <c r="A5296" t="str">
        <f t="shared" si="934"/>
        <v>09/10/2025</v>
      </c>
      <c r="B5296" t="str">
        <f>"SAÍDA"</f>
        <v>SAÍDA</v>
      </c>
      <c r="C5296" t="str">
        <f>"PIX"</f>
        <v>PIX</v>
      </c>
      <c r="D5296" t="str">
        <f>"22649"</f>
        <v>22649</v>
      </c>
      <c r="E5296" t="str">
        <f>"1"</f>
        <v>1</v>
      </c>
      <c r="F5296" t="str">
        <f t="shared" si="933"/>
        <v>COM</v>
      </c>
      <c r="G5296" t="str">
        <f>"YAN EVERTON RODRIGUES DE LIMA (875)"</f>
        <v>YAN EVERTON RODRIGUES DE LIMA (875)</v>
      </c>
      <c r="H5296" t="s">
        <v>1501</v>
      </c>
      <c r="I5296" t="str">
        <f>("09/10/2025")</f>
        <v>09/10/2025</v>
      </c>
      <c r="J5296" t="str">
        <f>("26/09/2025")</f>
        <v>26/09/2025</v>
      </c>
      <c r="K5296">
        <v>45939</v>
      </c>
      <c r="N5296">
        <v>109</v>
      </c>
      <c r="O5296" t="s">
        <v>24</v>
      </c>
      <c r="Q5296">
        <v>20</v>
      </c>
      <c r="R5296" t="str">
        <f>"FARMÁCIA INDIANA LJ 06 (10006)"</f>
        <v>FARMÁCIA INDIANA LJ 06 (10006)</v>
      </c>
      <c r="S5296" t="s">
        <v>48</v>
      </c>
      <c r="T5296">
        <v>19493</v>
      </c>
      <c r="U5296">
        <v>23492</v>
      </c>
      <c r="V5296" t="s">
        <v>48</v>
      </c>
    </row>
    <row r="5297" spans="1:22">
      <c r="A5297" t="str">
        <f t="shared" si="934"/>
        <v>09/10/2025</v>
      </c>
      <c r="B5297" t="str">
        <f>"ENTRADA"</f>
        <v>ENTRADA</v>
      </c>
      <c r="C5297" t="str">
        <f>"DINHEIRO"</f>
        <v>DINHEIRO</v>
      </c>
      <c r="D5297" t="str">
        <f>"875"</f>
        <v>875</v>
      </c>
      <c r="E5297" t="str">
        <f>"3"</f>
        <v>3</v>
      </c>
      <c r="F5297" t="str">
        <f t="shared" si="933"/>
        <v>COM</v>
      </c>
      <c r="G5297" t="str">
        <f>"YAN EVERTON RODRIGUES DE LIMA (875)"</f>
        <v>YAN EVERTON RODRIGUES DE LIMA (875)</v>
      </c>
      <c r="H5297" t="str">
        <f>"COTA COOPERATIVA"</f>
        <v>COTA COOPERATIVA</v>
      </c>
      <c r="I5297" t="str">
        <f>("10/10/2025")</f>
        <v>10/10/2025</v>
      </c>
      <c r="J5297" t="str">
        <f>("10/07/2025")</f>
        <v>10/07/2025</v>
      </c>
      <c r="K5297" t="str">
        <f>("09/10/2025")</f>
        <v>09/10/2025</v>
      </c>
      <c r="L5297">
        <v>20</v>
      </c>
      <c r="M5297">
        <v>20</v>
      </c>
      <c r="N5297">
        <v>106</v>
      </c>
      <c r="O5297" t="str">
        <f>"ENTRADA DE CAPITAL"</f>
        <v>ENTRADA DE CAPITAL</v>
      </c>
      <c r="P5297">
        <v>20</v>
      </c>
      <c r="S5297" t="str">
        <f>"ENTRADA DE CAPITAL (106)"</f>
        <v>ENTRADA DE CAPITAL (106)</v>
      </c>
      <c r="T5297">
        <v>19494</v>
      </c>
      <c r="U5297">
        <v>20018</v>
      </c>
      <c r="V5297" t="s">
        <v>48</v>
      </c>
    </row>
    <row r="5298" spans="1:22">
      <c r="A5298" t="str">
        <f t="shared" si="934"/>
        <v>09/10/2025</v>
      </c>
      <c r="B5298" t="str">
        <f>"ENTRADA"</f>
        <v>ENTRADA</v>
      </c>
      <c r="C5298" t="str">
        <f>"DINHEIRO"</f>
        <v>DINHEIRO</v>
      </c>
      <c r="D5298" t="str">
        <f>"875"</f>
        <v>875</v>
      </c>
      <c r="E5298" t="str">
        <f>"3"</f>
        <v>3</v>
      </c>
      <c r="F5298" t="str">
        <f t="shared" si="933"/>
        <v>COM</v>
      </c>
      <c r="G5298" t="str">
        <f>"YAN EVERTON RODRIGUES DE LIMA (875)"</f>
        <v>YAN EVERTON RODRIGUES DE LIMA (875)</v>
      </c>
      <c r="H5298" t="s">
        <v>50</v>
      </c>
      <c r="I5298" t="str">
        <f>("10/10/2025")</f>
        <v>10/10/2025</v>
      </c>
      <c r="J5298" t="str">
        <f>("10/07/2025")</f>
        <v>10/07/2025</v>
      </c>
      <c r="K5298">
        <v>45939</v>
      </c>
      <c r="N5298">
        <v>106</v>
      </c>
      <c r="O5298" t="s">
        <v>51</v>
      </c>
      <c r="Q5298">
        <v>20</v>
      </c>
      <c r="R5298" t="str">
        <f>"YAN EVERTON RODRIGUES DE LIMA (875)"</f>
        <v>YAN EVERTON RODRIGUES DE LIMA (875)</v>
      </c>
      <c r="S5298" t="s">
        <v>52</v>
      </c>
      <c r="T5298">
        <v>19494</v>
      </c>
      <c r="U5298">
        <v>20018</v>
      </c>
      <c r="V5298" t="s">
        <v>48</v>
      </c>
    </row>
    <row r="5299" spans="1:22">
      <c r="A5299" t="str">
        <f t="shared" si="934"/>
        <v>09/10/2025</v>
      </c>
      <c r="B5299" t="str">
        <f>"SAÍDA"</f>
        <v>SAÍDA</v>
      </c>
      <c r="C5299" t="str">
        <f>"PIX"</f>
        <v>PIX</v>
      </c>
      <c r="D5299" t="str">
        <f>"22856"</f>
        <v>22856</v>
      </c>
      <c r="E5299" t="str">
        <f>"1"</f>
        <v>1</v>
      </c>
      <c r="F5299" t="str">
        <f t="shared" si="933"/>
        <v>COM</v>
      </c>
      <c r="G5299" t="str">
        <f>"YAN FILIPUTI CORA (926)"</f>
        <v>YAN FILIPUTI CORA (926)</v>
      </c>
      <c r="H5299" t="str">
        <f>"Serv.Prest. 29/09/2025 a 05/10/2025 - PIX: CELULAR - CHAVE: (28) 98816-4170"</f>
        <v>Serv.Prest. 29/09/2025 a 05/10/2025 - PIX: CELULAR - CHAVE: (28) 98816-4170</v>
      </c>
      <c r="I5299" t="str">
        <f>("09/10/2025")</f>
        <v>09/10/2025</v>
      </c>
      <c r="J5299" t="str">
        <f>("06/10/2025")</f>
        <v>06/10/2025</v>
      </c>
      <c r="K5299" t="str">
        <f>("09/10/2025")</f>
        <v>09/10/2025</v>
      </c>
      <c r="L5299">
        <v>20</v>
      </c>
      <c r="M5299">
        <v>20</v>
      </c>
      <c r="N5299">
        <v>109</v>
      </c>
      <c r="O5299" t="str">
        <f>"PAGAMENTO DE ENTREGADORES"</f>
        <v>PAGAMENTO DE ENTREGADORES</v>
      </c>
      <c r="P5299">
        <v>20</v>
      </c>
      <c r="S5299" t="str">
        <f>"CAIXA MOVIMENTAÇÃO OPERACIONAL (132)"</f>
        <v>CAIXA MOVIMENTAÇÃO OPERACIONAL (132)</v>
      </c>
      <c r="T5299">
        <v>19495</v>
      </c>
      <c r="U5299">
        <v>23518</v>
      </c>
      <c r="V5299" t="s">
        <v>48</v>
      </c>
    </row>
    <row r="5300" spans="1:22">
      <c r="A5300" t="str">
        <f t="shared" si="934"/>
        <v>09/10/2025</v>
      </c>
      <c r="B5300" t="str">
        <f>"SAÍDA"</f>
        <v>SAÍDA</v>
      </c>
      <c r="C5300" t="str">
        <f>"PIX"</f>
        <v>PIX</v>
      </c>
      <c r="D5300" t="str">
        <f>"22856"</f>
        <v>22856</v>
      </c>
      <c r="E5300" t="str">
        <f>"1"</f>
        <v>1</v>
      </c>
      <c r="F5300" t="str">
        <f t="shared" si="933"/>
        <v>COM</v>
      </c>
      <c r="G5300" t="str">
        <f>"YAN FILIPUTI CORA (926)"</f>
        <v>YAN FILIPUTI CORA (926)</v>
      </c>
      <c r="H5300" t="s">
        <v>1502</v>
      </c>
      <c r="I5300" t="str">
        <f>("09/10/2025")</f>
        <v>09/10/2025</v>
      </c>
      <c r="J5300" t="str">
        <f>("06/10/2025")</f>
        <v>06/10/2025</v>
      </c>
      <c r="K5300">
        <v>45939</v>
      </c>
      <c r="N5300">
        <v>109</v>
      </c>
      <c r="O5300" t="s">
        <v>24</v>
      </c>
      <c r="Q5300">
        <v>20</v>
      </c>
      <c r="R5300" t="str">
        <f>"LBL FARMACIA LTDA (10189)"</f>
        <v>LBL FARMACIA LTDA (10189)</v>
      </c>
      <c r="S5300" t="s">
        <v>48</v>
      </c>
      <c r="T5300">
        <v>19495</v>
      </c>
      <c r="U5300">
        <v>23518</v>
      </c>
      <c r="V5300" t="s">
        <v>48</v>
      </c>
    </row>
    <row r="5301" spans="1:22">
      <c r="A5301" t="str">
        <f t="shared" si="934"/>
        <v>09/10/2025</v>
      </c>
      <c r="B5301" t="str">
        <f>"ENTRADA"</f>
        <v>ENTRADA</v>
      </c>
      <c r="C5301" t="str">
        <f>"DINHEIRO"</f>
        <v>DINHEIRO</v>
      </c>
      <c r="D5301" t="str">
        <f>"926"</f>
        <v>926</v>
      </c>
      <c r="E5301" t="str">
        <f>"01"</f>
        <v>01</v>
      </c>
      <c r="F5301" t="str">
        <f t="shared" si="933"/>
        <v>COM</v>
      </c>
      <c r="G5301" t="str">
        <f>"YAN FILIPUTI CORA (926)"</f>
        <v>YAN FILIPUTI CORA (926)</v>
      </c>
      <c r="H5301" t="str">
        <f>"COTA COOPERATIVA"</f>
        <v>COTA COOPERATIVA</v>
      </c>
      <c r="I5301" t="str">
        <f>("10/10/2025")</f>
        <v>10/10/2025</v>
      </c>
      <c r="J5301" t="str">
        <f>("12/09/2025")</f>
        <v>12/09/2025</v>
      </c>
      <c r="K5301" t="str">
        <f>("09/10/2025")</f>
        <v>09/10/2025</v>
      </c>
      <c r="L5301">
        <v>20</v>
      </c>
      <c r="M5301">
        <v>20</v>
      </c>
      <c r="N5301">
        <v>106</v>
      </c>
      <c r="O5301" t="str">
        <f>"ENTRADA DE CAPITAL"</f>
        <v>ENTRADA DE CAPITAL</v>
      </c>
      <c r="P5301">
        <v>20</v>
      </c>
      <c r="S5301" t="str">
        <f>"ENTRADA DE CAPITAL (106)"</f>
        <v>ENTRADA DE CAPITAL (106)</v>
      </c>
      <c r="T5301">
        <v>19496</v>
      </c>
      <c r="U5301">
        <v>23493</v>
      </c>
      <c r="V5301" t="s">
        <v>48</v>
      </c>
    </row>
    <row r="5302" spans="1:22">
      <c r="A5302" t="str">
        <f t="shared" si="934"/>
        <v>09/10/2025</v>
      </c>
      <c r="B5302" t="str">
        <f>"ENTRADA"</f>
        <v>ENTRADA</v>
      </c>
      <c r="C5302" t="str">
        <f>"DINHEIRO"</f>
        <v>DINHEIRO</v>
      </c>
      <c r="D5302" t="str">
        <f>"926"</f>
        <v>926</v>
      </c>
      <c r="E5302" t="str">
        <f>"01"</f>
        <v>01</v>
      </c>
      <c r="F5302" t="str">
        <f t="shared" si="933"/>
        <v>COM</v>
      </c>
      <c r="G5302" t="str">
        <f>"YAN FILIPUTI CORA (926)"</f>
        <v>YAN FILIPUTI CORA (926)</v>
      </c>
      <c r="H5302" t="s">
        <v>50</v>
      </c>
      <c r="I5302" t="str">
        <f>("10/10/2025")</f>
        <v>10/10/2025</v>
      </c>
      <c r="J5302" t="str">
        <f>("12/09/2025")</f>
        <v>12/09/2025</v>
      </c>
      <c r="K5302">
        <v>45939</v>
      </c>
      <c r="N5302">
        <v>106</v>
      </c>
      <c r="O5302" t="s">
        <v>51</v>
      </c>
      <c r="Q5302">
        <v>20</v>
      </c>
      <c r="R5302" t="str">
        <f>"YAN FILIPUTI CORA (926)"</f>
        <v>YAN FILIPUTI CORA (926)</v>
      </c>
      <c r="S5302" t="s">
        <v>52</v>
      </c>
      <c r="T5302">
        <v>19496</v>
      </c>
      <c r="U5302">
        <v>23493</v>
      </c>
      <c r="V5302" t="s">
        <v>48</v>
      </c>
    </row>
    <row r="5303" spans="1:22">
      <c r="A5303" t="str">
        <f t="shared" si="934"/>
        <v>09/10/2025</v>
      </c>
      <c r="B5303" t="str">
        <f>"ENTRADA"</f>
        <v>ENTRADA</v>
      </c>
      <c r="C5303" t="str">
        <f>"DINHEIRO"</f>
        <v>DINHEIRO</v>
      </c>
      <c r="D5303" t="str">
        <f>"765"</f>
        <v>765</v>
      </c>
      <c r="E5303" t="str">
        <f>"5"</f>
        <v>5</v>
      </c>
      <c r="F5303" t="str">
        <f t="shared" si="933"/>
        <v>COM</v>
      </c>
      <c r="G5303" t="str">
        <f>"NATANAEL AZEVEDO DOS SANTOS (765)"</f>
        <v>NATANAEL AZEVEDO DOS SANTOS (765)</v>
      </c>
      <c r="H5303" t="str">
        <f>"COTA COOPERATIVA"</f>
        <v>COTA COOPERATIVA</v>
      </c>
      <c r="I5303" t="str">
        <f>("12/10/2025")</f>
        <v>12/10/2025</v>
      </c>
      <c r="J5303" t="str">
        <f>("19/04/2025")</f>
        <v>19/04/2025</v>
      </c>
      <c r="K5303" t="str">
        <f>("09/10/2025")</f>
        <v>09/10/2025</v>
      </c>
      <c r="L5303">
        <v>20</v>
      </c>
      <c r="M5303">
        <v>20</v>
      </c>
      <c r="N5303">
        <v>106</v>
      </c>
      <c r="O5303" t="str">
        <f>"ENTRADA DE CAPITAL"</f>
        <v>ENTRADA DE CAPITAL</v>
      </c>
      <c r="P5303">
        <v>20</v>
      </c>
      <c r="S5303" t="str">
        <f>"ENTRADA DE CAPITAL (106)"</f>
        <v>ENTRADA DE CAPITAL (106)</v>
      </c>
      <c r="T5303">
        <v>19497</v>
      </c>
      <c r="U5303">
        <v>17087</v>
      </c>
      <c r="V5303" t="s">
        <v>48</v>
      </c>
    </row>
    <row r="5304" spans="1:22">
      <c r="A5304" t="str">
        <f t="shared" si="934"/>
        <v>09/10/2025</v>
      </c>
      <c r="B5304" t="str">
        <f>"ENTRADA"</f>
        <v>ENTRADA</v>
      </c>
      <c r="C5304" t="str">
        <f>"DINHEIRO"</f>
        <v>DINHEIRO</v>
      </c>
      <c r="D5304" t="str">
        <f>"765"</f>
        <v>765</v>
      </c>
      <c r="E5304" t="str">
        <f>"5"</f>
        <v>5</v>
      </c>
      <c r="F5304" t="str">
        <f t="shared" si="933"/>
        <v>COM</v>
      </c>
      <c r="G5304" t="str">
        <f>"NATANAEL AZEVEDO DOS SANTOS (765)"</f>
        <v>NATANAEL AZEVEDO DOS SANTOS (765)</v>
      </c>
      <c r="H5304" t="s">
        <v>50</v>
      </c>
      <c r="I5304" t="str">
        <f>("12/10/2025")</f>
        <v>12/10/2025</v>
      </c>
      <c r="J5304" t="str">
        <f>("19/04/2025")</f>
        <v>19/04/2025</v>
      </c>
      <c r="K5304">
        <v>45939</v>
      </c>
      <c r="N5304">
        <v>106</v>
      </c>
      <c r="O5304" t="s">
        <v>51</v>
      </c>
      <c r="Q5304">
        <v>20</v>
      </c>
      <c r="R5304" t="str">
        <f>"NATANAEL AZEVEDO DOS SANTOS (765)"</f>
        <v>NATANAEL AZEVEDO DOS SANTOS (765)</v>
      </c>
      <c r="S5304" t="s">
        <v>52</v>
      </c>
      <c r="T5304">
        <v>19497</v>
      </c>
      <c r="U5304">
        <v>17087</v>
      </c>
      <c r="V5304" t="s">
        <v>48</v>
      </c>
    </row>
    <row r="5305" spans="1:22">
      <c r="A5305" t="str">
        <f t="shared" si="934"/>
        <v>09/10/2025</v>
      </c>
      <c r="B5305" t="str">
        <f t="shared" ref="B5305:B5319" si="936">"SAÍDA"</f>
        <v>SAÍDA</v>
      </c>
      <c r="C5305" t="str">
        <f t="shared" ref="C5305:C5319" si="937">"PIX"</f>
        <v>PIX</v>
      </c>
      <c r="D5305" t="str">
        <f>"22907"</f>
        <v>22907</v>
      </c>
      <c r="E5305" t="str">
        <f t="shared" ref="E5305:E5317" si="938">"1"</f>
        <v>1</v>
      </c>
      <c r="F5305" t="str">
        <f t="shared" si="933"/>
        <v>COM</v>
      </c>
      <c r="G5305" t="str">
        <f>"NATANAEL AZEVEDO DOS SANTOS (765)"</f>
        <v>NATANAEL AZEVEDO DOS SANTOS (765)</v>
      </c>
      <c r="H5305" t="str">
        <f>"Serv.Prest. 26/09/2025 a 05/10/2025 - PIX: CPF - CHAVE: 007.842.745-25"</f>
        <v>Serv.Prest. 26/09/2025 a 05/10/2025 - PIX: CPF - CHAVE: 007.842.745-25</v>
      </c>
      <c r="I5305" t="str">
        <f>("16/10/2025")</f>
        <v>16/10/2025</v>
      </c>
      <c r="J5305" t="str">
        <f>("07/10/2025")</f>
        <v>07/10/2025</v>
      </c>
      <c r="K5305" t="str">
        <f>("09/10/2025")</f>
        <v>09/10/2025</v>
      </c>
      <c r="L5305">
        <v>20</v>
      </c>
      <c r="M5305">
        <v>20</v>
      </c>
      <c r="N5305">
        <v>109</v>
      </c>
      <c r="O5305" t="str">
        <f>"PAGAMENTO DE ENTREGADORES"</f>
        <v>PAGAMENTO DE ENTREGADORES</v>
      </c>
      <c r="P5305">
        <v>20</v>
      </c>
      <c r="S5305" t="str">
        <f>"CAIXA MOVIMENTAÇÃO OPERACIONAL (132)"</f>
        <v>CAIXA MOVIMENTAÇÃO OPERACIONAL (132)</v>
      </c>
      <c r="T5305">
        <v>19498</v>
      </c>
      <c r="U5305">
        <v>23520</v>
      </c>
      <c r="V5305" t="s">
        <v>48</v>
      </c>
    </row>
    <row r="5306" spans="1:22">
      <c r="A5306" t="str">
        <f t="shared" si="934"/>
        <v>09/10/2025</v>
      </c>
      <c r="B5306" t="str">
        <f t="shared" si="936"/>
        <v>SAÍDA</v>
      </c>
      <c r="C5306" t="str">
        <f t="shared" si="937"/>
        <v>PIX</v>
      </c>
      <c r="D5306" t="str">
        <f>"22907"</f>
        <v>22907</v>
      </c>
      <c r="E5306" t="str">
        <f t="shared" si="938"/>
        <v>1</v>
      </c>
      <c r="F5306" t="str">
        <f t="shared" si="933"/>
        <v>COM</v>
      </c>
      <c r="G5306" t="str">
        <f>"NATANAEL AZEVEDO DOS SANTOS (765)"</f>
        <v>NATANAEL AZEVEDO DOS SANTOS (765)</v>
      </c>
      <c r="H5306" t="s">
        <v>1503</v>
      </c>
      <c r="I5306" t="str">
        <f>("16/10/2025")</f>
        <v>16/10/2025</v>
      </c>
      <c r="J5306" t="str">
        <f>("07/10/2025")</f>
        <v>07/10/2025</v>
      </c>
      <c r="K5306">
        <v>45939</v>
      </c>
      <c r="N5306">
        <v>109</v>
      </c>
      <c r="O5306" t="s">
        <v>24</v>
      </c>
      <c r="Q5306">
        <v>20</v>
      </c>
      <c r="R5306" t="str">
        <f>"FARMÁCIA INDIANA LJ 91 (10037)"</f>
        <v>FARMÁCIA INDIANA LJ 91 (10037)</v>
      </c>
      <c r="S5306" t="s">
        <v>48</v>
      </c>
      <c r="T5306">
        <v>19498</v>
      </c>
      <c r="U5306">
        <v>23520</v>
      </c>
      <c r="V5306" t="s">
        <v>48</v>
      </c>
    </row>
    <row r="5307" spans="1:22">
      <c r="A5307" t="str">
        <f t="shared" si="934"/>
        <v>09/10/2025</v>
      </c>
      <c r="B5307" t="str">
        <f t="shared" si="936"/>
        <v>SAÍDA</v>
      </c>
      <c r="C5307" t="str">
        <f t="shared" si="937"/>
        <v>PIX</v>
      </c>
      <c r="D5307" t="str">
        <f>"22853"</f>
        <v>22853</v>
      </c>
      <c r="E5307" t="str">
        <f t="shared" si="938"/>
        <v>1</v>
      </c>
      <c r="F5307" t="str">
        <f t="shared" si="933"/>
        <v>COM</v>
      </c>
      <c r="G5307" t="str">
        <f>"YAN FILIPUTI CORA (926)"</f>
        <v>YAN FILIPUTI CORA (926)</v>
      </c>
      <c r="H5307" t="str">
        <f>"Serv.Prest. 29/09/2025 a 05/10/2025 - PIX: CELULAR - CHAVE: (28) 98816-4170"</f>
        <v>Serv.Prest. 29/09/2025 a 05/10/2025 - PIX: CELULAR - CHAVE: (28) 98816-4170</v>
      </c>
      <c r="I5307" t="str">
        <f t="shared" ref="I5307:I5319" si="939">("09/10/2025")</f>
        <v>09/10/2025</v>
      </c>
      <c r="J5307" t="str">
        <f>("06/10/2025")</f>
        <v>06/10/2025</v>
      </c>
      <c r="K5307" t="str">
        <f>("09/10/2025")</f>
        <v>09/10/2025</v>
      </c>
      <c r="L5307">
        <v>100</v>
      </c>
      <c r="M5307">
        <v>100</v>
      </c>
      <c r="N5307">
        <v>109</v>
      </c>
      <c r="O5307" t="str">
        <f>"PAGAMENTO DE ENTREGADORES"</f>
        <v>PAGAMENTO DE ENTREGADORES</v>
      </c>
      <c r="P5307">
        <v>100</v>
      </c>
      <c r="S5307" t="str">
        <f>"BANCO CORA (102)"</f>
        <v>BANCO CORA (102)</v>
      </c>
      <c r="T5307">
        <v>19503</v>
      </c>
      <c r="U5307">
        <v>23524</v>
      </c>
      <c r="V5307" t="s">
        <v>22</v>
      </c>
    </row>
    <row r="5308" spans="1:22">
      <c r="A5308" t="str">
        <f t="shared" si="934"/>
        <v>09/10/2025</v>
      </c>
      <c r="B5308" t="str">
        <f t="shared" si="936"/>
        <v>SAÍDA</v>
      </c>
      <c r="C5308" t="str">
        <f t="shared" si="937"/>
        <v>PIX</v>
      </c>
      <c r="D5308" t="str">
        <f>"22853"</f>
        <v>22853</v>
      </c>
      <c r="E5308" t="str">
        <f t="shared" si="938"/>
        <v>1</v>
      </c>
      <c r="F5308" t="str">
        <f t="shared" si="933"/>
        <v>COM</v>
      </c>
      <c r="G5308" t="str">
        <f>"YAN FILIPUTI CORA (926)"</f>
        <v>YAN FILIPUTI CORA (926)</v>
      </c>
      <c r="H5308" t="s">
        <v>1502</v>
      </c>
      <c r="I5308" t="str">
        <f t="shared" si="939"/>
        <v>09/10/2025</v>
      </c>
      <c r="J5308" t="str">
        <f>("06/10/2025")</f>
        <v>06/10/2025</v>
      </c>
      <c r="K5308">
        <v>45939</v>
      </c>
      <c r="N5308">
        <v>109</v>
      </c>
      <c r="O5308" t="s">
        <v>24</v>
      </c>
      <c r="Q5308">
        <v>100</v>
      </c>
      <c r="R5308" t="str">
        <f>"LBL FARMACIA LTDA FILIAL (10192)"</f>
        <v>LBL FARMACIA LTDA FILIAL (10192)</v>
      </c>
      <c r="S5308" t="s">
        <v>22</v>
      </c>
      <c r="T5308">
        <v>19503</v>
      </c>
      <c r="U5308">
        <v>23524</v>
      </c>
      <c r="V5308" t="s">
        <v>22</v>
      </c>
    </row>
    <row r="5309" spans="1:22">
      <c r="A5309" t="str">
        <f t="shared" si="934"/>
        <v>09/10/2025</v>
      </c>
      <c r="B5309" t="str">
        <f t="shared" si="936"/>
        <v>SAÍDA</v>
      </c>
      <c r="C5309" t="str">
        <f t="shared" si="937"/>
        <v>PIX</v>
      </c>
      <c r="D5309" t="str">
        <f>"22855"</f>
        <v>22855</v>
      </c>
      <c r="E5309" t="str">
        <f t="shared" si="938"/>
        <v>1</v>
      </c>
      <c r="F5309" t="str">
        <f t="shared" si="933"/>
        <v>COM</v>
      </c>
      <c r="G5309" t="str">
        <f>"BRUNO ANDRADE LESSA (952)"</f>
        <v>BRUNO ANDRADE LESSA (952)</v>
      </c>
      <c r="H5309" t="str">
        <f>"Serv.Prest. 29/09/2025 a 05/10/2025 - PIX: CELULAR - CHAVE: (28) 99988-2177"</f>
        <v>Serv.Prest. 29/09/2025 a 05/10/2025 - PIX: CELULAR - CHAVE: (28) 99988-2177</v>
      </c>
      <c r="I5309" t="str">
        <f t="shared" si="939"/>
        <v>09/10/2025</v>
      </c>
      <c r="J5309" t="str">
        <f>("06/10/2025")</f>
        <v>06/10/2025</v>
      </c>
      <c r="K5309" t="str">
        <f>("09/10/2025")</f>
        <v>09/10/2025</v>
      </c>
      <c r="L5309">
        <v>100</v>
      </c>
      <c r="M5309">
        <v>100</v>
      </c>
      <c r="N5309">
        <v>109</v>
      </c>
      <c r="O5309" t="str">
        <f>"PAGAMENTO DE ENTREGADORES"</f>
        <v>PAGAMENTO DE ENTREGADORES</v>
      </c>
      <c r="P5309">
        <v>100</v>
      </c>
      <c r="S5309" t="str">
        <f>"BANCO CORA (102)"</f>
        <v>BANCO CORA (102)</v>
      </c>
      <c r="T5309">
        <v>19504</v>
      </c>
      <c r="U5309">
        <v>23525</v>
      </c>
      <c r="V5309" t="s">
        <v>22</v>
      </c>
    </row>
    <row r="5310" spans="1:22">
      <c r="A5310" t="str">
        <f t="shared" si="934"/>
        <v>09/10/2025</v>
      </c>
      <c r="B5310" t="str">
        <f t="shared" si="936"/>
        <v>SAÍDA</v>
      </c>
      <c r="C5310" t="str">
        <f t="shared" si="937"/>
        <v>PIX</v>
      </c>
      <c r="D5310" t="str">
        <f>"22855"</f>
        <v>22855</v>
      </c>
      <c r="E5310" t="str">
        <f t="shared" si="938"/>
        <v>1</v>
      </c>
      <c r="F5310" t="str">
        <f t="shared" si="933"/>
        <v>COM</v>
      </c>
      <c r="G5310" t="str">
        <f>"BRUNO ANDRADE LESSA (952)"</f>
        <v>BRUNO ANDRADE LESSA (952)</v>
      </c>
      <c r="H5310" t="s">
        <v>1375</v>
      </c>
      <c r="I5310" t="str">
        <f t="shared" si="939"/>
        <v>09/10/2025</v>
      </c>
      <c r="J5310" t="str">
        <f>("06/10/2025")</f>
        <v>06/10/2025</v>
      </c>
      <c r="K5310">
        <v>45939</v>
      </c>
      <c r="N5310">
        <v>109</v>
      </c>
      <c r="O5310" t="s">
        <v>24</v>
      </c>
      <c r="Q5310">
        <v>100</v>
      </c>
      <c r="R5310" t="str">
        <f>"LBL FARMACIA LTDA (10189)"</f>
        <v>LBL FARMACIA LTDA (10189)</v>
      </c>
      <c r="S5310" t="s">
        <v>22</v>
      </c>
      <c r="T5310">
        <v>19504</v>
      </c>
      <c r="U5310">
        <v>23525</v>
      </c>
      <c r="V5310" t="s">
        <v>22</v>
      </c>
    </row>
    <row r="5311" spans="1:22">
      <c r="A5311" t="str">
        <f t="shared" si="934"/>
        <v>09/10/2025</v>
      </c>
      <c r="B5311" t="str">
        <f t="shared" si="936"/>
        <v>SAÍDA</v>
      </c>
      <c r="C5311" t="str">
        <f t="shared" si="937"/>
        <v>PIX</v>
      </c>
      <c r="D5311" t="str">
        <f t="shared" ref="D5311:D5317" si="940">"23047"</f>
        <v>23047</v>
      </c>
      <c r="E5311" t="str">
        <f t="shared" si="938"/>
        <v>1</v>
      </c>
      <c r="F5311" t="str">
        <f t="shared" si="933"/>
        <v>COM</v>
      </c>
      <c r="G5311" t="str">
        <f t="shared" ref="G5311:G5317" si="941">"JULIO GUIMARAES DOS SANTOS (977)"</f>
        <v>JULIO GUIMARAES DOS SANTOS (977)</v>
      </c>
      <c r="H5311" t="str">
        <f>"Serv.Prest. 29/09/2025 a 05/10/2025 - PIX: CPF - CHAVE: 119.419.525-34"</f>
        <v>Serv.Prest. 29/09/2025 a 05/10/2025 - PIX: CPF - CHAVE: 119.419.525-34</v>
      </c>
      <c r="I5311" t="str">
        <f t="shared" si="939"/>
        <v>09/10/2025</v>
      </c>
      <c r="J5311" t="str">
        <f t="shared" ref="J5311:J5317" si="942">("07/10/2025")</f>
        <v>07/10/2025</v>
      </c>
      <c r="K5311" t="str">
        <f>("09/10/2025")</f>
        <v>09/10/2025</v>
      </c>
      <c r="L5311">
        <v>945</v>
      </c>
      <c r="M5311">
        <v>946.43</v>
      </c>
      <c r="N5311">
        <v>109</v>
      </c>
      <c r="O5311" t="str">
        <f>"PAGAMENTO DE ENTREGADORES"</f>
        <v>PAGAMENTO DE ENTREGADORES</v>
      </c>
      <c r="P5311">
        <v>946.43</v>
      </c>
      <c r="S5311" t="str">
        <f>"BANCO CORA (102)"</f>
        <v>BANCO CORA (102)</v>
      </c>
      <c r="T5311">
        <v>19515</v>
      </c>
      <c r="U5311">
        <v>23047</v>
      </c>
      <c r="V5311" t="s">
        <v>22</v>
      </c>
    </row>
    <row r="5312" spans="1:22">
      <c r="A5312" t="str">
        <f t="shared" si="934"/>
        <v>09/10/2025</v>
      </c>
      <c r="B5312" t="str">
        <f t="shared" si="936"/>
        <v>SAÍDA</v>
      </c>
      <c r="C5312" t="str">
        <f t="shared" si="937"/>
        <v>PIX</v>
      </c>
      <c r="D5312" t="str">
        <f t="shared" si="940"/>
        <v>23047</v>
      </c>
      <c r="E5312" t="str">
        <f t="shared" si="938"/>
        <v>1</v>
      </c>
      <c r="F5312" t="str">
        <f t="shared" si="933"/>
        <v>COM</v>
      </c>
      <c r="G5312" t="str">
        <f t="shared" si="941"/>
        <v>JULIO GUIMARAES DOS SANTOS (977)</v>
      </c>
      <c r="H5312" t="s">
        <v>1504</v>
      </c>
      <c r="I5312" t="str">
        <f t="shared" si="939"/>
        <v>09/10/2025</v>
      </c>
      <c r="J5312" t="str">
        <f t="shared" si="942"/>
        <v>07/10/2025</v>
      </c>
      <c r="K5312">
        <v>45939</v>
      </c>
      <c r="N5312">
        <v>109</v>
      </c>
      <c r="O5312" t="s">
        <v>24</v>
      </c>
      <c r="Q5312">
        <v>159.1</v>
      </c>
      <c r="R5312" t="str">
        <f>"PENSE FARMA 20 (10203)"</f>
        <v>PENSE FARMA 20 (10203)</v>
      </c>
      <c r="S5312" t="s">
        <v>22</v>
      </c>
      <c r="T5312">
        <v>19515</v>
      </c>
      <c r="U5312">
        <v>23047</v>
      </c>
      <c r="V5312" t="s">
        <v>22</v>
      </c>
    </row>
    <row r="5313" spans="1:22">
      <c r="A5313" t="str">
        <f t="shared" si="934"/>
        <v>09/10/2025</v>
      </c>
      <c r="B5313" t="str">
        <f t="shared" si="936"/>
        <v>SAÍDA</v>
      </c>
      <c r="C5313" t="str">
        <f t="shared" si="937"/>
        <v>PIX</v>
      </c>
      <c r="D5313" t="str">
        <f t="shared" si="940"/>
        <v>23047</v>
      </c>
      <c r="E5313" t="str">
        <f t="shared" si="938"/>
        <v>1</v>
      </c>
      <c r="F5313" t="str">
        <f t="shared" si="933"/>
        <v>COM</v>
      </c>
      <c r="G5313" t="str">
        <f t="shared" si="941"/>
        <v>JULIO GUIMARAES DOS SANTOS (977)</v>
      </c>
      <c r="H5313" t="s">
        <v>1504</v>
      </c>
      <c r="I5313" t="str">
        <f t="shared" si="939"/>
        <v>09/10/2025</v>
      </c>
      <c r="J5313" t="str">
        <f t="shared" si="942"/>
        <v>07/10/2025</v>
      </c>
      <c r="K5313">
        <v>45939</v>
      </c>
      <c r="N5313">
        <v>109</v>
      </c>
      <c r="O5313" t="s">
        <v>24</v>
      </c>
      <c r="Q5313">
        <v>230.64</v>
      </c>
      <c r="R5313" t="str">
        <f>"PENSE FARMA 36 (10206)"</f>
        <v>PENSE FARMA 36 (10206)</v>
      </c>
      <c r="S5313" t="s">
        <v>22</v>
      </c>
      <c r="T5313">
        <v>19515</v>
      </c>
      <c r="U5313">
        <v>23047</v>
      </c>
      <c r="V5313" t="s">
        <v>22</v>
      </c>
    </row>
    <row r="5314" spans="1:22">
      <c r="A5314" t="str">
        <f t="shared" si="934"/>
        <v>09/10/2025</v>
      </c>
      <c r="B5314" t="str">
        <f t="shared" si="936"/>
        <v>SAÍDA</v>
      </c>
      <c r="C5314" t="str">
        <f t="shared" si="937"/>
        <v>PIX</v>
      </c>
      <c r="D5314" t="str">
        <f t="shared" si="940"/>
        <v>23047</v>
      </c>
      <c r="E5314" t="str">
        <f t="shared" si="938"/>
        <v>1</v>
      </c>
      <c r="F5314" t="str">
        <f t="shared" ref="F5314:F5356" si="943">"COM"</f>
        <v>COM</v>
      </c>
      <c r="G5314" t="str">
        <f t="shared" si="941"/>
        <v>JULIO GUIMARAES DOS SANTOS (977)</v>
      </c>
      <c r="H5314" t="s">
        <v>1504</v>
      </c>
      <c r="I5314" t="str">
        <f t="shared" si="939"/>
        <v>09/10/2025</v>
      </c>
      <c r="J5314" t="str">
        <f t="shared" si="942"/>
        <v>07/10/2025</v>
      </c>
      <c r="K5314">
        <v>45939</v>
      </c>
      <c r="N5314">
        <v>109</v>
      </c>
      <c r="O5314" t="s">
        <v>24</v>
      </c>
      <c r="Q5314">
        <v>47.7</v>
      </c>
      <c r="R5314" t="str">
        <f>"PENSE FARMA 40 (10207)"</f>
        <v>PENSE FARMA 40 (10207)</v>
      </c>
      <c r="S5314" t="s">
        <v>22</v>
      </c>
      <c r="T5314">
        <v>19515</v>
      </c>
      <c r="U5314">
        <v>23047</v>
      </c>
      <c r="V5314" t="s">
        <v>22</v>
      </c>
    </row>
    <row r="5315" spans="1:22">
      <c r="A5315" t="str">
        <f t="shared" si="934"/>
        <v>09/10/2025</v>
      </c>
      <c r="B5315" t="str">
        <f t="shared" si="936"/>
        <v>SAÍDA</v>
      </c>
      <c r="C5315" t="str">
        <f t="shared" si="937"/>
        <v>PIX</v>
      </c>
      <c r="D5315" t="str">
        <f t="shared" si="940"/>
        <v>23047</v>
      </c>
      <c r="E5315" t="str">
        <f t="shared" si="938"/>
        <v>1</v>
      </c>
      <c r="F5315" t="str">
        <f t="shared" si="943"/>
        <v>COM</v>
      </c>
      <c r="G5315" t="str">
        <f t="shared" si="941"/>
        <v>JULIO GUIMARAES DOS SANTOS (977)</v>
      </c>
      <c r="H5315" t="s">
        <v>1504</v>
      </c>
      <c r="I5315" t="str">
        <f t="shared" si="939"/>
        <v>09/10/2025</v>
      </c>
      <c r="J5315" t="str">
        <f t="shared" si="942"/>
        <v>07/10/2025</v>
      </c>
      <c r="K5315">
        <v>45939</v>
      </c>
      <c r="N5315">
        <v>109</v>
      </c>
      <c r="O5315" t="s">
        <v>24</v>
      </c>
      <c r="Q5315">
        <v>63.6</v>
      </c>
      <c r="R5315" t="str">
        <f>"PENSE FARMA 43 (10208)"</f>
        <v>PENSE FARMA 43 (10208)</v>
      </c>
      <c r="S5315" t="s">
        <v>22</v>
      </c>
      <c r="T5315">
        <v>19515</v>
      </c>
      <c r="U5315">
        <v>23047</v>
      </c>
      <c r="V5315" t="s">
        <v>22</v>
      </c>
    </row>
    <row r="5316" spans="1:22">
      <c r="A5316" t="str">
        <f t="shared" ref="A5316:A5379" si="944">("09/10/2025")</f>
        <v>09/10/2025</v>
      </c>
      <c r="B5316" t="str">
        <f t="shared" si="936"/>
        <v>SAÍDA</v>
      </c>
      <c r="C5316" t="str">
        <f t="shared" si="937"/>
        <v>PIX</v>
      </c>
      <c r="D5316" t="str">
        <f t="shared" si="940"/>
        <v>23047</v>
      </c>
      <c r="E5316" t="str">
        <f t="shared" si="938"/>
        <v>1</v>
      </c>
      <c r="F5316" t="str">
        <f t="shared" si="943"/>
        <v>COM</v>
      </c>
      <c r="G5316" t="str">
        <f t="shared" si="941"/>
        <v>JULIO GUIMARAES DOS SANTOS (977)</v>
      </c>
      <c r="H5316" t="s">
        <v>1504</v>
      </c>
      <c r="I5316" t="str">
        <f t="shared" si="939"/>
        <v>09/10/2025</v>
      </c>
      <c r="J5316" t="str">
        <f t="shared" si="942"/>
        <v>07/10/2025</v>
      </c>
      <c r="K5316">
        <v>45939</v>
      </c>
      <c r="N5316">
        <v>109</v>
      </c>
      <c r="O5316" t="s">
        <v>24</v>
      </c>
      <c r="Q5316">
        <v>310.14999999999998</v>
      </c>
      <c r="R5316" t="str">
        <f>"PENSE FARMA 59 (10211)"</f>
        <v>PENSE FARMA 59 (10211)</v>
      </c>
      <c r="S5316" t="s">
        <v>22</v>
      </c>
      <c r="T5316">
        <v>19515</v>
      </c>
      <c r="U5316">
        <v>23047</v>
      </c>
      <c r="V5316" t="s">
        <v>22</v>
      </c>
    </row>
    <row r="5317" spans="1:22">
      <c r="A5317" t="str">
        <f t="shared" si="944"/>
        <v>09/10/2025</v>
      </c>
      <c r="B5317" t="str">
        <f t="shared" si="936"/>
        <v>SAÍDA</v>
      </c>
      <c r="C5317" t="str">
        <f t="shared" si="937"/>
        <v>PIX</v>
      </c>
      <c r="D5317" t="str">
        <f t="shared" si="940"/>
        <v>23047</v>
      </c>
      <c r="E5317" t="str">
        <f t="shared" si="938"/>
        <v>1</v>
      </c>
      <c r="F5317" t="str">
        <f t="shared" si="943"/>
        <v>COM</v>
      </c>
      <c r="G5317" t="str">
        <f t="shared" si="941"/>
        <v>JULIO GUIMARAES DOS SANTOS (977)</v>
      </c>
      <c r="H5317" t="s">
        <v>1504</v>
      </c>
      <c r="I5317" t="str">
        <f t="shared" si="939"/>
        <v>09/10/2025</v>
      </c>
      <c r="J5317" t="str">
        <f t="shared" si="942"/>
        <v>07/10/2025</v>
      </c>
      <c r="K5317">
        <v>45939</v>
      </c>
      <c r="N5317">
        <v>109</v>
      </c>
      <c r="O5317" t="s">
        <v>24</v>
      </c>
      <c r="Q5317">
        <v>135.24</v>
      </c>
      <c r="R5317" t="str">
        <f>"PENSE FARMA DARK STORE 361 (10212)"</f>
        <v>PENSE FARMA DARK STORE 361 (10212)</v>
      </c>
      <c r="S5317" t="s">
        <v>22</v>
      </c>
      <c r="T5317">
        <v>19515</v>
      </c>
      <c r="U5317">
        <v>23047</v>
      </c>
      <c r="V5317" t="s">
        <v>22</v>
      </c>
    </row>
    <row r="5318" spans="1:22">
      <c r="A5318" t="str">
        <f t="shared" si="944"/>
        <v>09/10/2025</v>
      </c>
      <c r="B5318" t="str">
        <f t="shared" si="936"/>
        <v>SAÍDA</v>
      </c>
      <c r="C5318" t="str">
        <f t="shared" si="937"/>
        <v>PIX</v>
      </c>
      <c r="D5318" t="str">
        <f>"0910"</f>
        <v>0910</v>
      </c>
      <c r="E5318" t="str">
        <f>"25"</f>
        <v>25</v>
      </c>
      <c r="F5318" t="str">
        <f t="shared" si="943"/>
        <v>COM</v>
      </c>
      <c r="G5318" t="str">
        <f t="shared" ref="G5318:G5323" si="945">"WANDERSON JÚNIOR SOARES (628)"</f>
        <v>WANDERSON JÚNIOR SOARES (628)</v>
      </c>
      <c r="H5318" t="str">
        <f>"Serv.Prest. 22/09/2025 a 25/09/2025 - PIX: CPF - CHAVE: 170.180.266-01"</f>
        <v>Serv.Prest. 22/09/2025 a 25/09/2025 - PIX: CPF - CHAVE: 170.180.266-01</v>
      </c>
      <c r="I5318" t="str">
        <f t="shared" si="939"/>
        <v>09/10/2025</v>
      </c>
      <c r="J5318" t="str">
        <f>("26/09/2025")</f>
        <v>26/09/2025</v>
      </c>
      <c r="K5318" t="str">
        <f>("09/10/2025")</f>
        <v>09/10/2025</v>
      </c>
      <c r="L5318">
        <v>20</v>
      </c>
      <c r="M5318">
        <v>20</v>
      </c>
      <c r="N5318">
        <v>109</v>
      </c>
      <c r="O5318" t="str">
        <f>"PAGAMENTO DE ENTREGADORES"</f>
        <v>PAGAMENTO DE ENTREGADORES</v>
      </c>
      <c r="P5318">
        <v>20</v>
      </c>
      <c r="S5318" t="str">
        <f>"CAIXA MOVIMENTAÇÃO OPERACIONAL (132)"</f>
        <v>CAIXA MOVIMENTAÇÃO OPERACIONAL (132)</v>
      </c>
      <c r="T5318">
        <v>19516</v>
      </c>
      <c r="U5318">
        <v>23527</v>
      </c>
      <c r="V5318" t="s">
        <v>48</v>
      </c>
    </row>
    <row r="5319" spans="1:22">
      <c r="A5319" t="str">
        <f t="shared" si="944"/>
        <v>09/10/2025</v>
      </c>
      <c r="B5319" t="str">
        <f t="shared" si="936"/>
        <v>SAÍDA</v>
      </c>
      <c r="C5319" t="str">
        <f t="shared" si="937"/>
        <v>PIX</v>
      </c>
      <c r="D5319" t="str">
        <f>"0910"</f>
        <v>0910</v>
      </c>
      <c r="E5319" t="str">
        <f>"25"</f>
        <v>25</v>
      </c>
      <c r="F5319" t="str">
        <f t="shared" si="943"/>
        <v>COM</v>
      </c>
      <c r="G5319" t="str">
        <f t="shared" si="945"/>
        <v>WANDERSON JÚNIOR SOARES (628)</v>
      </c>
      <c r="H5319" t="s">
        <v>1505</v>
      </c>
      <c r="I5319" t="str">
        <f t="shared" si="939"/>
        <v>09/10/2025</v>
      </c>
      <c r="J5319" t="str">
        <f>("26/09/2025")</f>
        <v>26/09/2025</v>
      </c>
      <c r="K5319">
        <v>45939</v>
      </c>
      <c r="N5319">
        <v>109</v>
      </c>
      <c r="O5319" t="s">
        <v>24</v>
      </c>
      <c r="Q5319">
        <v>20</v>
      </c>
      <c r="R5319" t="str">
        <f>"FARMÁCIA INDIANA LJ 110 (10048)"</f>
        <v>FARMÁCIA INDIANA LJ 110 (10048)</v>
      </c>
      <c r="S5319" t="s">
        <v>48</v>
      </c>
      <c r="T5319">
        <v>19516</v>
      </c>
      <c r="U5319">
        <v>23527</v>
      </c>
      <c r="V5319" t="s">
        <v>48</v>
      </c>
    </row>
    <row r="5320" spans="1:22">
      <c r="A5320" t="str">
        <f t="shared" si="944"/>
        <v>09/10/2025</v>
      </c>
      <c r="B5320" t="str">
        <f>"ENTRADA"</f>
        <v>ENTRADA</v>
      </c>
      <c r="C5320" t="str">
        <f>"DINHEIRO"</f>
        <v>DINHEIRO</v>
      </c>
      <c r="D5320" t="str">
        <f>"628"</f>
        <v>628</v>
      </c>
      <c r="E5320" t="str">
        <f>"9"</f>
        <v>9</v>
      </c>
      <c r="F5320" t="str">
        <f t="shared" si="943"/>
        <v>COM</v>
      </c>
      <c r="G5320" t="str">
        <f t="shared" si="945"/>
        <v>WANDERSON JÚNIOR SOARES (628)</v>
      </c>
      <c r="H5320" t="str">
        <f>"COTAS COOPERATIVA"</f>
        <v>COTAS COOPERATIVA</v>
      </c>
      <c r="I5320" t="str">
        <f>("13/10/2025")</f>
        <v>13/10/2025</v>
      </c>
      <c r="J5320" t="str">
        <f>("13/02/2025")</f>
        <v>13/02/2025</v>
      </c>
      <c r="K5320" t="str">
        <f>("09/10/2025")</f>
        <v>09/10/2025</v>
      </c>
      <c r="L5320">
        <v>20</v>
      </c>
      <c r="M5320">
        <v>20</v>
      </c>
      <c r="N5320">
        <v>106</v>
      </c>
      <c r="O5320" t="str">
        <f>"ENTRADA DE CAPITAL"</f>
        <v>ENTRADA DE CAPITAL</v>
      </c>
      <c r="P5320">
        <v>20</v>
      </c>
      <c r="S5320" t="str">
        <f>"ENTRADA DE CAPITAL (106)"</f>
        <v>ENTRADA DE CAPITAL (106)</v>
      </c>
      <c r="T5320">
        <v>19517</v>
      </c>
      <c r="U5320">
        <v>9758</v>
      </c>
      <c r="V5320" t="s">
        <v>48</v>
      </c>
    </row>
    <row r="5321" spans="1:22">
      <c r="A5321" t="str">
        <f t="shared" si="944"/>
        <v>09/10/2025</v>
      </c>
      <c r="B5321" t="str">
        <f>"ENTRADA"</f>
        <v>ENTRADA</v>
      </c>
      <c r="C5321" t="str">
        <f>"DINHEIRO"</f>
        <v>DINHEIRO</v>
      </c>
      <c r="D5321" t="str">
        <f>"628"</f>
        <v>628</v>
      </c>
      <c r="E5321" t="str">
        <f>"9"</f>
        <v>9</v>
      </c>
      <c r="F5321" t="str">
        <f t="shared" si="943"/>
        <v>COM</v>
      </c>
      <c r="G5321" t="str">
        <f t="shared" si="945"/>
        <v>WANDERSON JÚNIOR SOARES (628)</v>
      </c>
      <c r="H5321" t="s">
        <v>318</v>
      </c>
      <c r="I5321" t="str">
        <f>("13/10/2025")</f>
        <v>13/10/2025</v>
      </c>
      <c r="J5321" t="str">
        <f>("13/02/2025")</f>
        <v>13/02/2025</v>
      </c>
      <c r="K5321">
        <v>45939</v>
      </c>
      <c r="N5321">
        <v>106</v>
      </c>
      <c r="O5321" t="s">
        <v>51</v>
      </c>
      <c r="Q5321">
        <v>20</v>
      </c>
      <c r="R5321" t="str">
        <f>"WANDERSON JÚNIOR SOARES (628)"</f>
        <v>WANDERSON JÚNIOR SOARES (628)</v>
      </c>
      <c r="S5321" t="s">
        <v>52</v>
      </c>
      <c r="T5321">
        <v>19517</v>
      </c>
      <c r="U5321">
        <v>9758</v>
      </c>
      <c r="V5321" t="s">
        <v>48</v>
      </c>
    </row>
    <row r="5322" spans="1:22">
      <c r="A5322" t="str">
        <f t="shared" si="944"/>
        <v>09/10/2025</v>
      </c>
      <c r="B5322" t="str">
        <f>"SAÍDA"</f>
        <v>SAÍDA</v>
      </c>
      <c r="C5322" t="str">
        <f>"PIX"</f>
        <v>PIX</v>
      </c>
      <c r="D5322" t="str">
        <f>"0910"</f>
        <v>0910</v>
      </c>
      <c r="E5322" t="str">
        <f>"25"</f>
        <v>25</v>
      </c>
      <c r="F5322" t="str">
        <f t="shared" si="943"/>
        <v>COM</v>
      </c>
      <c r="G5322" t="str">
        <f t="shared" si="945"/>
        <v>WANDERSON JÚNIOR SOARES (628)</v>
      </c>
      <c r="H5322" t="str">
        <f>"Serv.Prest. 22/09/2025 a 25/09/2025 - PIX: CPF - CHAVE: 170.180.266-01"</f>
        <v>Serv.Prest. 22/09/2025 a 25/09/2025 - PIX: CPF - CHAVE: 170.180.266-01</v>
      </c>
      <c r="I5322" t="str">
        <f t="shared" ref="I5322:I5329" si="946">("09/10/2025")</f>
        <v>09/10/2025</v>
      </c>
      <c r="J5322" t="str">
        <f>("26/09/2025")</f>
        <v>26/09/2025</v>
      </c>
      <c r="K5322" t="str">
        <f>("09/10/2025")</f>
        <v>09/10/2025</v>
      </c>
      <c r="L5322">
        <v>680</v>
      </c>
      <c r="M5322">
        <v>680</v>
      </c>
      <c r="N5322">
        <v>109</v>
      </c>
      <c r="O5322" t="str">
        <f>"PAGAMENTO DE ENTREGADORES"</f>
        <v>PAGAMENTO DE ENTREGADORES</v>
      </c>
      <c r="P5322">
        <v>680</v>
      </c>
      <c r="S5322" t="str">
        <f>"BANCO CORA (102)"</f>
        <v>BANCO CORA (102)</v>
      </c>
      <c r="T5322">
        <v>19518</v>
      </c>
      <c r="U5322">
        <v>23526</v>
      </c>
      <c r="V5322" t="s">
        <v>22</v>
      </c>
    </row>
    <row r="5323" spans="1:22">
      <c r="A5323" t="str">
        <f t="shared" si="944"/>
        <v>09/10/2025</v>
      </c>
      <c r="B5323" t="str">
        <f>"SAÍDA"</f>
        <v>SAÍDA</v>
      </c>
      <c r="C5323" t="str">
        <f>"PIX"</f>
        <v>PIX</v>
      </c>
      <c r="D5323" t="str">
        <f>"0910"</f>
        <v>0910</v>
      </c>
      <c r="E5323" t="str">
        <f>"25"</f>
        <v>25</v>
      </c>
      <c r="F5323" t="str">
        <f t="shared" si="943"/>
        <v>COM</v>
      </c>
      <c r="G5323" t="str">
        <f t="shared" si="945"/>
        <v>WANDERSON JÚNIOR SOARES (628)</v>
      </c>
      <c r="H5323" t="s">
        <v>1505</v>
      </c>
      <c r="I5323" t="str">
        <f t="shared" si="946"/>
        <v>09/10/2025</v>
      </c>
      <c r="J5323" t="str">
        <f>("26/09/2025")</f>
        <v>26/09/2025</v>
      </c>
      <c r="K5323">
        <v>45939</v>
      </c>
      <c r="N5323">
        <v>109</v>
      </c>
      <c r="O5323" t="s">
        <v>24</v>
      </c>
      <c r="Q5323">
        <v>680</v>
      </c>
      <c r="R5323" t="str">
        <f>"FARMÁCIA INDIANA LJ 110 (10048)"</f>
        <v>FARMÁCIA INDIANA LJ 110 (10048)</v>
      </c>
      <c r="S5323" t="s">
        <v>22</v>
      </c>
      <c r="T5323">
        <v>19518</v>
      </c>
      <c r="U5323">
        <v>23526</v>
      </c>
      <c r="V5323" t="s">
        <v>22</v>
      </c>
    </row>
    <row r="5324" spans="1:22">
      <c r="A5324" t="str">
        <f t="shared" si="944"/>
        <v>09/10/2025</v>
      </c>
      <c r="B5324" t="str">
        <f t="shared" ref="B5324:B5354" si="947">"ENTRADA"</f>
        <v>ENTRADA</v>
      </c>
      <c r="C5324" t="str">
        <f t="shared" ref="C5324:C5354" si="948">"NFSE"</f>
        <v>NFSE</v>
      </c>
      <c r="D5324" t="str">
        <f>"3440"</f>
        <v>3440</v>
      </c>
      <c r="E5324" t="str">
        <f t="shared" ref="E5324:E5356" si="949">"1"</f>
        <v>1</v>
      </c>
      <c r="F5324" t="str">
        <f t="shared" si="943"/>
        <v>COM</v>
      </c>
      <c r="G5324" t="str">
        <f>"DROGARIA POUPA MINAS (DOIS AMIGOS) 5 (10140)"</f>
        <v>DROGARIA POUPA MINAS (DOIS AMIGOS) 5 (10140)</v>
      </c>
      <c r="H5324" t="str">
        <f>"Serv.Prest. 01/09/2025 a 30/09/2025 - RPS: 1316 - NFSe: 3440"</f>
        <v>Serv.Prest. 01/09/2025 a 30/09/2025 - RPS: 1316 - NFSe: 3440</v>
      </c>
      <c r="I5324" t="str">
        <f t="shared" si="946"/>
        <v>09/10/2025</v>
      </c>
      <c r="J5324" t="str">
        <f>("01/10/2025")</f>
        <v>01/10/2025</v>
      </c>
      <c r="K5324" t="str">
        <f>("09/10/2025")</f>
        <v>09/10/2025</v>
      </c>
      <c r="L5324">
        <v>4323.78</v>
      </c>
      <c r="M5324">
        <v>4323.78</v>
      </c>
      <c r="N5324">
        <v>303</v>
      </c>
      <c r="O5324" t="str">
        <f>"RECEITAS COM ENTREGAS"</f>
        <v>RECEITAS COM ENTREGAS</v>
      </c>
      <c r="P5324">
        <v>4323.78</v>
      </c>
      <c r="S5324" t="str">
        <f>"RECEITAS COM ENTREGAS (303)"</f>
        <v>RECEITAS COM ENTREGAS (303)</v>
      </c>
      <c r="T5324">
        <v>19519</v>
      </c>
      <c r="U5324">
        <v>22793</v>
      </c>
      <c r="V5324" t="s">
        <v>22</v>
      </c>
    </row>
    <row r="5325" spans="1:22">
      <c r="A5325" t="str">
        <f t="shared" si="944"/>
        <v>09/10/2025</v>
      </c>
      <c r="B5325" t="str">
        <f t="shared" si="947"/>
        <v>ENTRADA</v>
      </c>
      <c r="C5325" t="str">
        <f t="shared" si="948"/>
        <v>NFSE</v>
      </c>
      <c r="D5325" t="str">
        <f>"3440"</f>
        <v>3440</v>
      </c>
      <c r="E5325" t="str">
        <f t="shared" si="949"/>
        <v>1</v>
      </c>
      <c r="F5325" t="str">
        <f t="shared" si="943"/>
        <v>COM</v>
      </c>
      <c r="G5325" t="str">
        <f>"DROGARIA POUPA MINAS (DOIS AMIGOS) 5 (10140)"</f>
        <v>DROGARIA POUPA MINAS (DOIS AMIGOS) 5 (10140)</v>
      </c>
      <c r="H5325" t="s">
        <v>1506</v>
      </c>
      <c r="I5325" t="str">
        <f t="shared" si="946"/>
        <v>09/10/2025</v>
      </c>
      <c r="J5325" t="str">
        <f>("01/10/2025")</f>
        <v>01/10/2025</v>
      </c>
      <c r="K5325">
        <v>45939</v>
      </c>
      <c r="N5325">
        <v>303</v>
      </c>
      <c r="O5325" t="s">
        <v>69</v>
      </c>
      <c r="Q5325">
        <v>4323.78</v>
      </c>
      <c r="R5325" t="str">
        <f>"DROGARIA POUPA MINAS (ULTRAMINAS) 1 (10181)"</f>
        <v>DROGARIA POUPA MINAS (ULTRAMINAS) 1 (10181)</v>
      </c>
      <c r="S5325" t="s">
        <v>70</v>
      </c>
      <c r="T5325">
        <v>19519</v>
      </c>
      <c r="U5325">
        <v>22793</v>
      </c>
      <c r="V5325" t="s">
        <v>22</v>
      </c>
    </row>
    <row r="5326" spans="1:22">
      <c r="A5326" t="str">
        <f t="shared" si="944"/>
        <v>09/10/2025</v>
      </c>
      <c r="B5326" t="str">
        <f t="shared" si="947"/>
        <v>ENTRADA</v>
      </c>
      <c r="C5326" t="str">
        <f t="shared" si="948"/>
        <v>NFSE</v>
      </c>
      <c r="D5326" t="str">
        <f>"3469"</f>
        <v>3469</v>
      </c>
      <c r="E5326" t="str">
        <f t="shared" si="949"/>
        <v>1</v>
      </c>
      <c r="F5326" t="str">
        <f t="shared" si="943"/>
        <v>COM</v>
      </c>
      <c r="G5326" t="str">
        <f>"DELTA LOJA 2 (10123)"</f>
        <v>DELTA LOJA 2 (10123)</v>
      </c>
      <c r="H5326" t="str">
        <f>"Serv.Prest. 29/09/2025 a 05/10/2025 - RPS: 1345 - NFSe: 3469"</f>
        <v>Serv.Prest. 29/09/2025 a 05/10/2025 - RPS: 1345 - NFSe: 3469</v>
      </c>
      <c r="I5326" t="str">
        <f t="shared" si="946"/>
        <v>09/10/2025</v>
      </c>
      <c r="J5326" t="str">
        <f>("07/10/2025")</f>
        <v>07/10/2025</v>
      </c>
      <c r="K5326" t="str">
        <f>("09/10/2025")</f>
        <v>09/10/2025</v>
      </c>
      <c r="L5326">
        <v>3956.75</v>
      </c>
      <c r="M5326">
        <v>3956.75</v>
      </c>
      <c r="N5326">
        <v>303</v>
      </c>
      <c r="O5326" t="str">
        <f>"RECEITAS COM ENTREGAS"</f>
        <v>RECEITAS COM ENTREGAS</v>
      </c>
      <c r="P5326">
        <v>3956.75</v>
      </c>
      <c r="S5326" t="str">
        <f>"RECEITAS COM ENTREGAS (303)"</f>
        <v>RECEITAS COM ENTREGAS (303)</v>
      </c>
      <c r="T5326">
        <v>19520</v>
      </c>
      <c r="U5326">
        <v>23049</v>
      </c>
      <c r="V5326" t="s">
        <v>22</v>
      </c>
    </row>
    <row r="5327" spans="1:22">
      <c r="A5327" t="str">
        <f t="shared" si="944"/>
        <v>09/10/2025</v>
      </c>
      <c r="B5327" t="str">
        <f t="shared" si="947"/>
        <v>ENTRADA</v>
      </c>
      <c r="C5327" t="str">
        <f t="shared" si="948"/>
        <v>NFSE</v>
      </c>
      <c r="D5327" t="str">
        <f>"3469"</f>
        <v>3469</v>
      </c>
      <c r="E5327" t="str">
        <f t="shared" si="949"/>
        <v>1</v>
      </c>
      <c r="F5327" t="str">
        <f t="shared" si="943"/>
        <v>COM</v>
      </c>
      <c r="G5327" t="str">
        <f>"DELTA LOJA 2 (10123)"</f>
        <v>DELTA LOJA 2 (10123)</v>
      </c>
      <c r="H5327" t="s">
        <v>1507</v>
      </c>
      <c r="I5327" t="str">
        <f t="shared" si="946"/>
        <v>09/10/2025</v>
      </c>
      <c r="J5327" t="str">
        <f>("07/10/2025")</f>
        <v>07/10/2025</v>
      </c>
      <c r="K5327">
        <v>45939</v>
      </c>
      <c r="N5327">
        <v>303</v>
      </c>
      <c r="O5327" t="s">
        <v>69</v>
      </c>
      <c r="Q5327">
        <v>3956.75</v>
      </c>
      <c r="R5327" t="str">
        <f>"DELTA LOJA 2 (10123)"</f>
        <v>DELTA LOJA 2 (10123)</v>
      </c>
      <c r="S5327" t="s">
        <v>70</v>
      </c>
      <c r="T5327">
        <v>19520</v>
      </c>
      <c r="U5327">
        <v>23049</v>
      </c>
      <c r="V5327" t="s">
        <v>22</v>
      </c>
    </row>
    <row r="5328" spans="1:22">
      <c r="A5328" t="str">
        <f t="shared" si="944"/>
        <v>09/10/2025</v>
      </c>
      <c r="B5328" t="str">
        <f t="shared" si="947"/>
        <v>ENTRADA</v>
      </c>
      <c r="C5328" t="str">
        <f t="shared" si="948"/>
        <v>NFSE</v>
      </c>
      <c r="D5328" t="str">
        <f>"3470"</f>
        <v>3470</v>
      </c>
      <c r="E5328" t="str">
        <f t="shared" si="949"/>
        <v>1</v>
      </c>
      <c r="F5328" t="str">
        <f t="shared" si="943"/>
        <v>COM</v>
      </c>
      <c r="G5328" t="str">
        <f>"DROGA HONDA (10149)"</f>
        <v>DROGA HONDA (10149)</v>
      </c>
      <c r="H5328" t="str">
        <f>"Serv.Prest. 29/09/2025 a 05/10/2025 - RPS: 1346 - NFSe: 3470"</f>
        <v>Serv.Prest. 29/09/2025 a 05/10/2025 - RPS: 1346 - NFSe: 3470</v>
      </c>
      <c r="I5328" t="str">
        <f t="shared" si="946"/>
        <v>09/10/2025</v>
      </c>
      <c r="J5328" t="str">
        <f>("07/10/2025")</f>
        <v>07/10/2025</v>
      </c>
      <c r="K5328" t="str">
        <f>("09/10/2025")</f>
        <v>09/10/2025</v>
      </c>
      <c r="L5328">
        <v>1427.17</v>
      </c>
      <c r="M5328">
        <v>1427.17</v>
      </c>
      <c r="N5328">
        <v>303</v>
      </c>
      <c r="O5328" t="str">
        <f>"RECEITAS COM ENTREGAS"</f>
        <v>RECEITAS COM ENTREGAS</v>
      </c>
      <c r="P5328">
        <v>1427.17</v>
      </c>
      <c r="S5328" t="str">
        <f>"RECEITAS COM ENTREGAS (303)"</f>
        <v>RECEITAS COM ENTREGAS (303)</v>
      </c>
      <c r="T5328">
        <v>19521</v>
      </c>
      <c r="U5328">
        <v>23054</v>
      </c>
      <c r="V5328" t="s">
        <v>22</v>
      </c>
    </row>
    <row r="5329" spans="1:22">
      <c r="A5329" t="str">
        <f t="shared" si="944"/>
        <v>09/10/2025</v>
      </c>
      <c r="B5329" t="str">
        <f t="shared" si="947"/>
        <v>ENTRADA</v>
      </c>
      <c r="C5329" t="str">
        <f t="shared" si="948"/>
        <v>NFSE</v>
      </c>
      <c r="D5329" t="str">
        <f>"3470"</f>
        <v>3470</v>
      </c>
      <c r="E5329" t="str">
        <f t="shared" si="949"/>
        <v>1</v>
      </c>
      <c r="F5329" t="str">
        <f t="shared" si="943"/>
        <v>COM</v>
      </c>
      <c r="G5329" t="str">
        <f>"DROGA HONDA (10149)"</f>
        <v>DROGA HONDA (10149)</v>
      </c>
      <c r="H5329" t="s">
        <v>1508</v>
      </c>
      <c r="I5329" t="str">
        <f t="shared" si="946"/>
        <v>09/10/2025</v>
      </c>
      <c r="J5329" t="str">
        <f>("07/10/2025")</f>
        <v>07/10/2025</v>
      </c>
      <c r="K5329">
        <v>45939</v>
      </c>
      <c r="N5329">
        <v>303</v>
      </c>
      <c r="O5329" t="s">
        <v>69</v>
      </c>
      <c r="Q5329">
        <v>1427.17</v>
      </c>
      <c r="R5329" t="str">
        <f>"DROGA HONDA (10149)"</f>
        <v>DROGA HONDA (10149)</v>
      </c>
      <c r="S5329" t="s">
        <v>70</v>
      </c>
      <c r="T5329">
        <v>19521</v>
      </c>
      <c r="U5329">
        <v>23054</v>
      </c>
      <c r="V5329" t="s">
        <v>22</v>
      </c>
    </row>
    <row r="5330" spans="1:22">
      <c r="A5330" t="str">
        <f t="shared" si="944"/>
        <v>09/10/2025</v>
      </c>
      <c r="B5330" t="str">
        <f t="shared" si="947"/>
        <v>ENTRADA</v>
      </c>
      <c r="C5330" t="str">
        <f t="shared" si="948"/>
        <v>NFSE</v>
      </c>
      <c r="D5330" t="str">
        <f>"3437"</f>
        <v>3437</v>
      </c>
      <c r="E5330" t="str">
        <f t="shared" si="949"/>
        <v>1</v>
      </c>
      <c r="F5330" t="str">
        <f t="shared" si="943"/>
        <v>COM</v>
      </c>
      <c r="G5330" t="str">
        <f>"AC FARMA - CID.ALTA (10166)"</f>
        <v>AC FARMA - CID.ALTA (10166)</v>
      </c>
      <c r="H5330" t="str">
        <f>"Serv.Prest. 22/09/2025 a 28/09/2025 - RPS: 1313 - NFSe: 3437"</f>
        <v>Serv.Prest. 22/09/2025 a 28/09/2025 - RPS: 1313 - NFSe: 3437</v>
      </c>
      <c r="I5330" t="str">
        <f t="shared" ref="I5330:I5354" si="950">("08/10/2025")</f>
        <v>08/10/2025</v>
      </c>
      <c r="J5330" t="str">
        <f t="shared" ref="J5330:J5337" si="951">("30/09/2025")</f>
        <v>30/09/2025</v>
      </c>
      <c r="K5330" t="str">
        <f>("09/10/2025")</f>
        <v>09/10/2025</v>
      </c>
      <c r="L5330">
        <v>5579.28</v>
      </c>
      <c r="M5330">
        <v>5579.28</v>
      </c>
      <c r="N5330">
        <v>303</v>
      </c>
      <c r="O5330" t="str">
        <f>"RECEITAS COM ENTREGAS"</f>
        <v>RECEITAS COM ENTREGAS</v>
      </c>
      <c r="P5330">
        <v>5579.28</v>
      </c>
      <c r="S5330" t="str">
        <f>"RECEITAS COM ENTREGAS (303)"</f>
        <v>RECEITAS COM ENTREGAS (303)</v>
      </c>
      <c r="T5330">
        <v>19523</v>
      </c>
      <c r="U5330">
        <v>22765</v>
      </c>
      <c r="V5330" t="s">
        <v>22</v>
      </c>
    </row>
    <row r="5331" spans="1:22">
      <c r="A5331" t="str">
        <f t="shared" si="944"/>
        <v>09/10/2025</v>
      </c>
      <c r="B5331" t="str">
        <f t="shared" si="947"/>
        <v>ENTRADA</v>
      </c>
      <c r="C5331" t="str">
        <f t="shared" si="948"/>
        <v>NFSE</v>
      </c>
      <c r="D5331" t="str">
        <f>"3437"</f>
        <v>3437</v>
      </c>
      <c r="E5331" t="str">
        <f t="shared" si="949"/>
        <v>1</v>
      </c>
      <c r="F5331" t="str">
        <f t="shared" si="943"/>
        <v>COM</v>
      </c>
      <c r="G5331" t="str">
        <f>"AC FARMA - CID.ALTA (10166)"</f>
        <v>AC FARMA - CID.ALTA (10166)</v>
      </c>
      <c r="H5331" t="s">
        <v>1509</v>
      </c>
      <c r="I5331" t="str">
        <f t="shared" si="950"/>
        <v>08/10/2025</v>
      </c>
      <c r="J5331" t="str">
        <f t="shared" si="951"/>
        <v>30/09/2025</v>
      </c>
      <c r="K5331">
        <v>45939</v>
      </c>
      <c r="N5331">
        <v>303</v>
      </c>
      <c r="O5331" t="s">
        <v>69</v>
      </c>
      <c r="Q5331">
        <v>5579.28</v>
      </c>
      <c r="R5331" t="str">
        <f>"AC FARMA - CID.ALTA (10166)"</f>
        <v>AC FARMA - CID.ALTA (10166)</v>
      </c>
      <c r="S5331" t="s">
        <v>70</v>
      </c>
      <c r="T5331">
        <v>19523</v>
      </c>
      <c r="U5331">
        <v>22765</v>
      </c>
      <c r="V5331" t="s">
        <v>22</v>
      </c>
    </row>
    <row r="5332" spans="1:22">
      <c r="A5332" t="str">
        <f t="shared" si="944"/>
        <v>09/10/2025</v>
      </c>
      <c r="B5332" t="str">
        <f t="shared" si="947"/>
        <v>ENTRADA</v>
      </c>
      <c r="C5332" t="str">
        <f t="shared" si="948"/>
        <v>NFSE</v>
      </c>
      <c r="D5332" t="str">
        <f>"3438"</f>
        <v>3438</v>
      </c>
      <c r="E5332" t="str">
        <f t="shared" si="949"/>
        <v>1</v>
      </c>
      <c r="F5332" t="str">
        <f t="shared" si="943"/>
        <v>COM</v>
      </c>
      <c r="G5332" t="str">
        <f>"AC FARMA - FLEMINFARMA (10160)"</f>
        <v>AC FARMA - FLEMINFARMA (10160)</v>
      </c>
      <c r="H5332" t="str">
        <f>"Serv.Prest. 22/09/2025 a 28/09/2025 - RPS: 1314 - NFSe: 3438"</f>
        <v>Serv.Prest. 22/09/2025 a 28/09/2025 - RPS: 1314 - NFSe: 3438</v>
      </c>
      <c r="I5332" t="str">
        <f t="shared" si="950"/>
        <v>08/10/2025</v>
      </c>
      <c r="J5332" t="str">
        <f t="shared" si="951"/>
        <v>30/09/2025</v>
      </c>
      <c r="K5332" t="str">
        <f>("09/10/2025")</f>
        <v>09/10/2025</v>
      </c>
      <c r="L5332">
        <v>1407.6</v>
      </c>
      <c r="M5332">
        <v>1407.6</v>
      </c>
      <c r="N5332">
        <v>303</v>
      </c>
      <c r="O5332" t="str">
        <f>"RECEITAS COM ENTREGAS"</f>
        <v>RECEITAS COM ENTREGAS</v>
      </c>
      <c r="P5332">
        <v>1407.6</v>
      </c>
      <c r="S5332" t="str">
        <f>"RECEITAS COM ENTREGAS (303)"</f>
        <v>RECEITAS COM ENTREGAS (303)</v>
      </c>
      <c r="T5332">
        <v>19524</v>
      </c>
      <c r="U5332">
        <v>22773</v>
      </c>
      <c r="V5332" t="s">
        <v>22</v>
      </c>
    </row>
    <row r="5333" spans="1:22">
      <c r="A5333" t="str">
        <f t="shared" si="944"/>
        <v>09/10/2025</v>
      </c>
      <c r="B5333" t="str">
        <f t="shared" si="947"/>
        <v>ENTRADA</v>
      </c>
      <c r="C5333" t="str">
        <f t="shared" si="948"/>
        <v>NFSE</v>
      </c>
      <c r="D5333" t="str">
        <f>"3438"</f>
        <v>3438</v>
      </c>
      <c r="E5333" t="str">
        <f t="shared" si="949"/>
        <v>1</v>
      </c>
      <c r="F5333" t="str">
        <f t="shared" si="943"/>
        <v>COM</v>
      </c>
      <c r="G5333" t="str">
        <f>"AC FARMA - FLEMINFARMA (10160)"</f>
        <v>AC FARMA - FLEMINFARMA (10160)</v>
      </c>
      <c r="H5333" t="s">
        <v>1510</v>
      </c>
      <c r="I5333" t="str">
        <f t="shared" si="950"/>
        <v>08/10/2025</v>
      </c>
      <c r="J5333" t="str">
        <f t="shared" si="951"/>
        <v>30/09/2025</v>
      </c>
      <c r="K5333">
        <v>45939</v>
      </c>
      <c r="N5333">
        <v>303</v>
      </c>
      <c r="O5333" t="s">
        <v>69</v>
      </c>
      <c r="Q5333">
        <v>1354.11</v>
      </c>
      <c r="R5333" t="str">
        <f>"AC FARMA -  FLEMINFARMA (10159)"</f>
        <v>AC FARMA -  FLEMINFARMA (10159)</v>
      </c>
      <c r="S5333" t="s">
        <v>70</v>
      </c>
      <c r="T5333">
        <v>19524</v>
      </c>
      <c r="U5333">
        <v>22773</v>
      </c>
      <c r="V5333" t="s">
        <v>22</v>
      </c>
    </row>
    <row r="5334" spans="1:22">
      <c r="A5334" t="str">
        <f t="shared" si="944"/>
        <v>09/10/2025</v>
      </c>
      <c r="B5334" t="str">
        <f t="shared" si="947"/>
        <v>ENTRADA</v>
      </c>
      <c r="C5334" t="str">
        <f t="shared" si="948"/>
        <v>NFSE</v>
      </c>
      <c r="D5334" t="str">
        <f>"3438"</f>
        <v>3438</v>
      </c>
      <c r="E5334" t="str">
        <f t="shared" si="949"/>
        <v>1</v>
      </c>
      <c r="F5334" t="str">
        <f t="shared" si="943"/>
        <v>COM</v>
      </c>
      <c r="G5334" t="str">
        <f>"AC FARMA - FLEMINFARMA (10160)"</f>
        <v>AC FARMA - FLEMINFARMA (10160)</v>
      </c>
      <c r="H5334" t="s">
        <v>1510</v>
      </c>
      <c r="I5334" t="str">
        <f t="shared" si="950"/>
        <v>08/10/2025</v>
      </c>
      <c r="J5334" t="str">
        <f t="shared" si="951"/>
        <v>30/09/2025</v>
      </c>
      <c r="K5334">
        <v>45939</v>
      </c>
      <c r="N5334">
        <v>303</v>
      </c>
      <c r="O5334" t="s">
        <v>69</v>
      </c>
      <c r="Q5334">
        <v>53.49</v>
      </c>
      <c r="R5334" t="str">
        <f>"AC FARMA - FLEMINFARMA (10160)"</f>
        <v>AC FARMA - FLEMINFARMA (10160)</v>
      </c>
      <c r="S5334" t="s">
        <v>70</v>
      </c>
      <c r="T5334">
        <v>19524</v>
      </c>
      <c r="U5334">
        <v>22773</v>
      </c>
      <c r="V5334" t="s">
        <v>22</v>
      </c>
    </row>
    <row r="5335" spans="1:22">
      <c r="A5335" t="str">
        <f t="shared" si="944"/>
        <v>09/10/2025</v>
      </c>
      <c r="B5335" t="str">
        <f t="shared" si="947"/>
        <v>ENTRADA</v>
      </c>
      <c r="C5335" t="str">
        <f t="shared" si="948"/>
        <v>NFSE</v>
      </c>
      <c r="D5335" t="str">
        <f>"3439"</f>
        <v>3439</v>
      </c>
      <c r="E5335" t="str">
        <f t="shared" si="949"/>
        <v>1</v>
      </c>
      <c r="F5335" t="str">
        <f t="shared" si="943"/>
        <v>COM</v>
      </c>
      <c r="G5335" t="str">
        <f>"AC FARMA - FLEMINFARMA 5 (10183)"</f>
        <v>AC FARMA - FLEMINFARMA 5 (10183)</v>
      </c>
      <c r="H5335" t="str">
        <f>"Serv.Prest. 22/09/2025 a 28/09/2025 - RPS: 1315 - NFSe: 3439"</f>
        <v>Serv.Prest. 22/09/2025 a 28/09/2025 - RPS: 1315 - NFSe: 3439</v>
      </c>
      <c r="I5335" t="str">
        <f t="shared" si="950"/>
        <v>08/10/2025</v>
      </c>
      <c r="J5335" t="str">
        <f t="shared" si="951"/>
        <v>30/09/2025</v>
      </c>
      <c r="K5335" t="str">
        <f>("09/10/2025")</f>
        <v>09/10/2025</v>
      </c>
      <c r="L5335">
        <v>619.65</v>
      </c>
      <c r="M5335">
        <v>619.65</v>
      </c>
      <c r="N5335">
        <v>303</v>
      </c>
      <c r="O5335" t="str">
        <f>"RECEITAS COM ENTREGAS"</f>
        <v>RECEITAS COM ENTREGAS</v>
      </c>
      <c r="P5335">
        <v>619.65</v>
      </c>
      <c r="S5335" t="str">
        <f>"RECEITAS COM ENTREGAS (303)"</f>
        <v>RECEITAS COM ENTREGAS (303)</v>
      </c>
      <c r="T5335">
        <v>19525</v>
      </c>
      <c r="U5335">
        <v>22780</v>
      </c>
      <c r="V5335" t="s">
        <v>22</v>
      </c>
    </row>
    <row r="5336" spans="1:22">
      <c r="A5336" t="str">
        <f t="shared" si="944"/>
        <v>09/10/2025</v>
      </c>
      <c r="B5336" t="str">
        <f t="shared" si="947"/>
        <v>ENTRADA</v>
      </c>
      <c r="C5336" t="str">
        <f t="shared" si="948"/>
        <v>NFSE</v>
      </c>
      <c r="D5336" t="str">
        <f>"3439"</f>
        <v>3439</v>
      </c>
      <c r="E5336" t="str">
        <f t="shared" si="949"/>
        <v>1</v>
      </c>
      <c r="F5336" t="str">
        <f t="shared" si="943"/>
        <v>COM</v>
      </c>
      <c r="G5336" t="str">
        <f>"AC FARMA - FLEMINFARMA 5 (10183)"</f>
        <v>AC FARMA - FLEMINFARMA 5 (10183)</v>
      </c>
      <c r="H5336" t="s">
        <v>1511</v>
      </c>
      <c r="I5336" t="str">
        <f t="shared" si="950"/>
        <v>08/10/2025</v>
      </c>
      <c r="J5336" t="str">
        <f t="shared" si="951"/>
        <v>30/09/2025</v>
      </c>
      <c r="K5336">
        <v>45939</v>
      </c>
      <c r="N5336">
        <v>303</v>
      </c>
      <c r="O5336" t="s">
        <v>69</v>
      </c>
      <c r="Q5336">
        <v>596.72</v>
      </c>
      <c r="R5336" t="str">
        <f>"AC FARMA - FLEMINFARMA 5 (10183)"</f>
        <v>AC FARMA - FLEMINFARMA 5 (10183)</v>
      </c>
      <c r="S5336" t="s">
        <v>70</v>
      </c>
      <c r="T5336">
        <v>19525</v>
      </c>
      <c r="U5336">
        <v>22780</v>
      </c>
      <c r="V5336" t="s">
        <v>22</v>
      </c>
    </row>
    <row r="5337" spans="1:22">
      <c r="A5337" t="str">
        <f t="shared" si="944"/>
        <v>09/10/2025</v>
      </c>
      <c r="B5337" t="str">
        <f t="shared" si="947"/>
        <v>ENTRADA</v>
      </c>
      <c r="C5337" t="str">
        <f t="shared" si="948"/>
        <v>NFSE</v>
      </c>
      <c r="D5337" t="str">
        <f>"3439"</f>
        <v>3439</v>
      </c>
      <c r="E5337" t="str">
        <f t="shared" si="949"/>
        <v>1</v>
      </c>
      <c r="F5337" t="str">
        <f t="shared" si="943"/>
        <v>COM</v>
      </c>
      <c r="G5337" t="str">
        <f>"AC FARMA - FLEMINFARMA 5 (10183)"</f>
        <v>AC FARMA - FLEMINFARMA 5 (10183)</v>
      </c>
      <c r="H5337" t="s">
        <v>1511</v>
      </c>
      <c r="I5337" t="str">
        <f t="shared" si="950"/>
        <v>08/10/2025</v>
      </c>
      <c r="J5337" t="str">
        <f t="shared" si="951"/>
        <v>30/09/2025</v>
      </c>
      <c r="K5337">
        <v>45939</v>
      </c>
      <c r="N5337">
        <v>303</v>
      </c>
      <c r="O5337" t="s">
        <v>69</v>
      </c>
      <c r="Q5337">
        <v>22.93</v>
      </c>
      <c r="R5337" t="str">
        <f>"AC FARMA - FLEMINFARMA 6 (10184)"</f>
        <v>AC FARMA - FLEMINFARMA 6 (10184)</v>
      </c>
      <c r="S5337" t="s">
        <v>70</v>
      </c>
      <c r="T5337">
        <v>19525</v>
      </c>
      <c r="U5337">
        <v>22780</v>
      </c>
      <c r="V5337" t="s">
        <v>22</v>
      </c>
    </row>
    <row r="5338" spans="1:22">
      <c r="A5338" t="str">
        <f t="shared" si="944"/>
        <v>09/10/2025</v>
      </c>
      <c r="B5338" t="str">
        <f t="shared" si="947"/>
        <v>ENTRADA</v>
      </c>
      <c r="C5338" t="str">
        <f t="shared" si="948"/>
        <v>NFSE</v>
      </c>
      <c r="D5338" t="str">
        <f>"3441"</f>
        <v>3441</v>
      </c>
      <c r="E5338" t="str">
        <f t="shared" si="949"/>
        <v>1</v>
      </c>
      <c r="F5338" t="str">
        <f t="shared" si="943"/>
        <v>COM</v>
      </c>
      <c r="G5338" t="str">
        <f>"BRASIL FARMA (10173)"</f>
        <v>BRASIL FARMA (10173)</v>
      </c>
      <c r="H5338" t="str">
        <f>"Serv.Prest. 29/09/2025 a 05/10/2025 - RPS: 1317 - NFSe: 3441"</f>
        <v>Serv.Prest. 29/09/2025 a 05/10/2025 - RPS: 1317 - NFSe: 3441</v>
      </c>
      <c r="I5338" t="str">
        <f t="shared" si="950"/>
        <v>08/10/2025</v>
      </c>
      <c r="J5338" t="str">
        <f t="shared" ref="J5338:J5352" si="952">("06/10/2025")</f>
        <v>06/10/2025</v>
      </c>
      <c r="K5338" t="str">
        <f>("09/10/2025")</f>
        <v>09/10/2025</v>
      </c>
      <c r="L5338">
        <v>1685.04</v>
      </c>
      <c r="M5338">
        <v>1685.04</v>
      </c>
      <c r="N5338">
        <v>303</v>
      </c>
      <c r="O5338" t="str">
        <f>"RECEITAS COM ENTREGAS"</f>
        <v>RECEITAS COM ENTREGAS</v>
      </c>
      <c r="P5338">
        <v>1685.04</v>
      </c>
      <c r="S5338" t="str">
        <f>"RECEITAS COM ENTREGAS (303)"</f>
        <v>RECEITAS COM ENTREGAS (303)</v>
      </c>
      <c r="T5338">
        <v>19526</v>
      </c>
      <c r="U5338">
        <v>22804</v>
      </c>
      <c r="V5338" t="s">
        <v>22</v>
      </c>
    </row>
    <row r="5339" spans="1:22">
      <c r="A5339" t="str">
        <f t="shared" si="944"/>
        <v>09/10/2025</v>
      </c>
      <c r="B5339" t="str">
        <f t="shared" si="947"/>
        <v>ENTRADA</v>
      </c>
      <c r="C5339" t="str">
        <f t="shared" si="948"/>
        <v>NFSE</v>
      </c>
      <c r="D5339" t="str">
        <f>"3441"</f>
        <v>3441</v>
      </c>
      <c r="E5339" t="str">
        <f t="shared" si="949"/>
        <v>1</v>
      </c>
      <c r="F5339" t="str">
        <f t="shared" si="943"/>
        <v>COM</v>
      </c>
      <c r="G5339" t="str">
        <f>"BRASIL FARMA (10173)"</f>
        <v>BRASIL FARMA (10173)</v>
      </c>
      <c r="H5339" t="s">
        <v>1512</v>
      </c>
      <c r="I5339" t="str">
        <f t="shared" si="950"/>
        <v>08/10/2025</v>
      </c>
      <c r="J5339" t="str">
        <f t="shared" si="952"/>
        <v>06/10/2025</v>
      </c>
      <c r="K5339">
        <v>45939</v>
      </c>
      <c r="N5339">
        <v>303</v>
      </c>
      <c r="O5339" t="s">
        <v>69</v>
      </c>
      <c r="Q5339">
        <v>1685.04</v>
      </c>
      <c r="R5339" t="str">
        <f>"BRASIL FARMA (10173)"</f>
        <v>BRASIL FARMA (10173)</v>
      </c>
      <c r="S5339" t="s">
        <v>70</v>
      </c>
      <c r="T5339">
        <v>19526</v>
      </c>
      <c r="U5339">
        <v>22804</v>
      </c>
      <c r="V5339" t="s">
        <v>22</v>
      </c>
    </row>
    <row r="5340" spans="1:22">
      <c r="A5340" t="str">
        <f t="shared" si="944"/>
        <v>09/10/2025</v>
      </c>
      <c r="B5340" t="str">
        <f t="shared" si="947"/>
        <v>ENTRADA</v>
      </c>
      <c r="C5340" t="str">
        <f t="shared" si="948"/>
        <v>NFSE</v>
      </c>
      <c r="D5340" t="str">
        <f>"3446"</f>
        <v>3446</v>
      </c>
      <c r="E5340" t="str">
        <f t="shared" si="949"/>
        <v>1</v>
      </c>
      <c r="F5340" t="str">
        <f t="shared" si="943"/>
        <v>COM</v>
      </c>
      <c r="G5340" t="str">
        <f>"FRAN FARMA (10124)"</f>
        <v>FRAN FARMA (10124)</v>
      </c>
      <c r="H5340" t="str">
        <f>"Serv.Prest. 29/09/2025 a 05/10/2025 - RPS: 1322 - NFSe: 3446"</f>
        <v>Serv.Prest. 29/09/2025 a 05/10/2025 - RPS: 1322 - NFSe: 3446</v>
      </c>
      <c r="I5340" t="str">
        <f t="shared" si="950"/>
        <v>08/10/2025</v>
      </c>
      <c r="J5340" t="str">
        <f t="shared" si="952"/>
        <v>06/10/2025</v>
      </c>
      <c r="K5340" t="str">
        <f>("09/10/2025")</f>
        <v>09/10/2025</v>
      </c>
      <c r="L5340">
        <v>840</v>
      </c>
      <c r="M5340">
        <v>840</v>
      </c>
      <c r="N5340">
        <v>303</v>
      </c>
      <c r="O5340" t="str">
        <f>"RECEITAS COM ENTREGAS"</f>
        <v>RECEITAS COM ENTREGAS</v>
      </c>
      <c r="P5340">
        <v>840</v>
      </c>
      <c r="S5340" t="str">
        <f>"RECEITAS COM ENTREGAS (303)"</f>
        <v>RECEITAS COM ENTREGAS (303)</v>
      </c>
      <c r="T5340">
        <v>19527</v>
      </c>
      <c r="U5340">
        <v>22826</v>
      </c>
      <c r="V5340" t="s">
        <v>22</v>
      </c>
    </row>
    <row r="5341" spans="1:22">
      <c r="A5341" t="str">
        <f t="shared" si="944"/>
        <v>09/10/2025</v>
      </c>
      <c r="B5341" t="str">
        <f t="shared" si="947"/>
        <v>ENTRADA</v>
      </c>
      <c r="C5341" t="str">
        <f t="shared" si="948"/>
        <v>NFSE</v>
      </c>
      <c r="D5341" t="str">
        <f>"3446"</f>
        <v>3446</v>
      </c>
      <c r="E5341" t="str">
        <f t="shared" si="949"/>
        <v>1</v>
      </c>
      <c r="F5341" t="str">
        <f t="shared" si="943"/>
        <v>COM</v>
      </c>
      <c r="G5341" t="str">
        <f>"FRAN FARMA (10124)"</f>
        <v>FRAN FARMA (10124)</v>
      </c>
      <c r="H5341" t="s">
        <v>1513</v>
      </c>
      <c r="I5341" t="str">
        <f t="shared" si="950"/>
        <v>08/10/2025</v>
      </c>
      <c r="J5341" t="str">
        <f t="shared" si="952"/>
        <v>06/10/2025</v>
      </c>
      <c r="K5341">
        <v>45939</v>
      </c>
      <c r="N5341">
        <v>303</v>
      </c>
      <c r="O5341" t="s">
        <v>69</v>
      </c>
      <c r="Q5341">
        <v>504</v>
      </c>
      <c r="R5341" t="str">
        <f>"FRAN FARMA LJ 2 (10131)"</f>
        <v>FRAN FARMA LJ 2 (10131)</v>
      </c>
      <c r="S5341" t="s">
        <v>70</v>
      </c>
      <c r="T5341">
        <v>19527</v>
      </c>
      <c r="U5341">
        <v>22826</v>
      </c>
      <c r="V5341" t="s">
        <v>22</v>
      </c>
    </row>
    <row r="5342" spans="1:22">
      <c r="A5342" t="str">
        <f t="shared" si="944"/>
        <v>09/10/2025</v>
      </c>
      <c r="B5342" t="str">
        <f t="shared" si="947"/>
        <v>ENTRADA</v>
      </c>
      <c r="C5342" t="str">
        <f t="shared" si="948"/>
        <v>NFSE</v>
      </c>
      <c r="D5342" t="str">
        <f>"3446"</f>
        <v>3446</v>
      </c>
      <c r="E5342" t="str">
        <f t="shared" si="949"/>
        <v>1</v>
      </c>
      <c r="F5342" t="str">
        <f t="shared" si="943"/>
        <v>COM</v>
      </c>
      <c r="G5342" t="str">
        <f>"FRAN FARMA (10124)"</f>
        <v>FRAN FARMA (10124)</v>
      </c>
      <c r="H5342" t="s">
        <v>1513</v>
      </c>
      <c r="I5342" t="str">
        <f t="shared" si="950"/>
        <v>08/10/2025</v>
      </c>
      <c r="J5342" t="str">
        <f t="shared" si="952"/>
        <v>06/10/2025</v>
      </c>
      <c r="K5342">
        <v>45939</v>
      </c>
      <c r="N5342">
        <v>303</v>
      </c>
      <c r="O5342" t="s">
        <v>69</v>
      </c>
      <c r="Q5342">
        <v>336</v>
      </c>
      <c r="R5342" t="str">
        <f>"FRAN FARMA LJ 3 (10132)"</f>
        <v>FRAN FARMA LJ 3 (10132)</v>
      </c>
      <c r="S5342" t="s">
        <v>70</v>
      </c>
      <c r="T5342">
        <v>19527</v>
      </c>
      <c r="U5342">
        <v>22826</v>
      </c>
      <c r="V5342" t="s">
        <v>22</v>
      </c>
    </row>
    <row r="5343" spans="1:22">
      <c r="A5343" t="str">
        <f t="shared" si="944"/>
        <v>09/10/2025</v>
      </c>
      <c r="B5343" t="str">
        <f t="shared" si="947"/>
        <v>ENTRADA</v>
      </c>
      <c r="C5343" t="str">
        <f t="shared" si="948"/>
        <v>NFSE</v>
      </c>
      <c r="D5343" t="str">
        <f>"3447"</f>
        <v>3447</v>
      </c>
      <c r="E5343" t="str">
        <f t="shared" si="949"/>
        <v>1</v>
      </c>
      <c r="F5343" t="str">
        <f t="shared" si="943"/>
        <v>COM</v>
      </c>
      <c r="G5343" t="str">
        <f>"DROGA ELIDA (10121)"</f>
        <v>DROGA ELIDA (10121)</v>
      </c>
      <c r="H5343" t="str">
        <f>"Serv.Prest. 29/09/2025 a 05/10/2025 - RPS: 1323 - NFSe: 3447"</f>
        <v>Serv.Prest. 29/09/2025 a 05/10/2025 - RPS: 1323 - NFSe: 3447</v>
      </c>
      <c r="I5343" t="str">
        <f t="shared" si="950"/>
        <v>08/10/2025</v>
      </c>
      <c r="J5343" t="str">
        <f t="shared" si="952"/>
        <v>06/10/2025</v>
      </c>
      <c r="K5343" t="str">
        <f>("09/10/2025")</f>
        <v>09/10/2025</v>
      </c>
      <c r="L5343">
        <v>1839.6</v>
      </c>
      <c r="M5343">
        <v>1839.6</v>
      </c>
      <c r="N5343">
        <v>303</v>
      </c>
      <c r="O5343" t="str">
        <f>"RECEITAS COM ENTREGAS"</f>
        <v>RECEITAS COM ENTREGAS</v>
      </c>
      <c r="P5343">
        <v>1839.6</v>
      </c>
      <c r="S5343" t="str">
        <f>"RECEITAS COM ENTREGAS (303)"</f>
        <v>RECEITAS COM ENTREGAS (303)</v>
      </c>
      <c r="T5343">
        <v>19528</v>
      </c>
      <c r="U5343">
        <v>22828</v>
      </c>
      <c r="V5343" t="s">
        <v>22</v>
      </c>
    </row>
    <row r="5344" spans="1:22">
      <c r="A5344" t="str">
        <f t="shared" si="944"/>
        <v>09/10/2025</v>
      </c>
      <c r="B5344" t="str">
        <f t="shared" si="947"/>
        <v>ENTRADA</v>
      </c>
      <c r="C5344" t="str">
        <f t="shared" si="948"/>
        <v>NFSE</v>
      </c>
      <c r="D5344" t="str">
        <f>"3447"</f>
        <v>3447</v>
      </c>
      <c r="E5344" t="str">
        <f t="shared" si="949"/>
        <v>1</v>
      </c>
      <c r="F5344" t="str">
        <f t="shared" si="943"/>
        <v>COM</v>
      </c>
      <c r="G5344" t="str">
        <f>"DROGA ELIDA (10121)"</f>
        <v>DROGA ELIDA (10121)</v>
      </c>
      <c r="H5344" t="s">
        <v>1514</v>
      </c>
      <c r="I5344" t="str">
        <f t="shared" si="950"/>
        <v>08/10/2025</v>
      </c>
      <c r="J5344" t="str">
        <f t="shared" si="952"/>
        <v>06/10/2025</v>
      </c>
      <c r="K5344">
        <v>45939</v>
      </c>
      <c r="N5344">
        <v>303</v>
      </c>
      <c r="O5344" t="s">
        <v>69</v>
      </c>
      <c r="Q5344">
        <v>1839.6</v>
      </c>
      <c r="R5344" t="str">
        <f>"DROGA ELIDA (10121)"</f>
        <v>DROGA ELIDA (10121)</v>
      </c>
      <c r="S5344" t="s">
        <v>70</v>
      </c>
      <c r="T5344">
        <v>19528</v>
      </c>
      <c r="U5344">
        <v>22828</v>
      </c>
      <c r="V5344" t="s">
        <v>22</v>
      </c>
    </row>
    <row r="5345" spans="1:22">
      <c r="A5345" t="str">
        <f t="shared" si="944"/>
        <v>09/10/2025</v>
      </c>
      <c r="B5345" t="str">
        <f t="shared" si="947"/>
        <v>ENTRADA</v>
      </c>
      <c r="C5345" t="str">
        <f t="shared" si="948"/>
        <v>NFSE</v>
      </c>
      <c r="D5345" t="str">
        <f>"3454"</f>
        <v>3454</v>
      </c>
      <c r="E5345" t="str">
        <f t="shared" si="949"/>
        <v>1</v>
      </c>
      <c r="F5345" t="str">
        <f t="shared" si="943"/>
        <v>COM</v>
      </c>
      <c r="G5345" t="str">
        <f>"LBL FARMACIA LTDA FILIAL (10192)"</f>
        <v>LBL FARMACIA LTDA FILIAL (10192)</v>
      </c>
      <c r="H5345" t="str">
        <f>"Serv.Prest. 29/09/2025 a 05/10/2025 - RPS: 1330 - NFSe: 3454"</f>
        <v>Serv.Prest. 29/09/2025 a 05/10/2025 - RPS: 1330 - NFSe: 3454</v>
      </c>
      <c r="I5345" t="str">
        <f t="shared" si="950"/>
        <v>08/10/2025</v>
      </c>
      <c r="J5345" t="str">
        <f t="shared" si="952"/>
        <v>06/10/2025</v>
      </c>
      <c r="K5345" t="str">
        <f>("09/10/2025")</f>
        <v>09/10/2025</v>
      </c>
      <c r="L5345">
        <v>1255.45</v>
      </c>
      <c r="M5345">
        <v>1255.45</v>
      </c>
      <c r="N5345">
        <v>303</v>
      </c>
      <c r="O5345" t="str">
        <f>"RECEITAS COM ENTREGAS"</f>
        <v>RECEITAS COM ENTREGAS</v>
      </c>
      <c r="P5345">
        <v>1255.45</v>
      </c>
      <c r="S5345" t="str">
        <f>"RECEITAS COM ENTREGAS (303)"</f>
        <v>RECEITAS COM ENTREGAS (303)</v>
      </c>
      <c r="T5345">
        <v>19529</v>
      </c>
      <c r="U5345">
        <v>22851</v>
      </c>
      <c r="V5345" t="s">
        <v>22</v>
      </c>
    </row>
    <row r="5346" spans="1:22">
      <c r="A5346" t="str">
        <f t="shared" si="944"/>
        <v>09/10/2025</v>
      </c>
      <c r="B5346" t="str">
        <f t="shared" si="947"/>
        <v>ENTRADA</v>
      </c>
      <c r="C5346" t="str">
        <f t="shared" si="948"/>
        <v>NFSE</v>
      </c>
      <c r="D5346" t="str">
        <f>"3454"</f>
        <v>3454</v>
      </c>
      <c r="E5346" t="str">
        <f t="shared" si="949"/>
        <v>1</v>
      </c>
      <c r="F5346" t="str">
        <f t="shared" si="943"/>
        <v>COM</v>
      </c>
      <c r="G5346" t="str">
        <f>"LBL FARMACIA LTDA FILIAL (10192)"</f>
        <v>LBL FARMACIA LTDA FILIAL (10192)</v>
      </c>
      <c r="H5346" t="s">
        <v>1515</v>
      </c>
      <c r="I5346" t="str">
        <f t="shared" si="950"/>
        <v>08/10/2025</v>
      </c>
      <c r="J5346" t="str">
        <f t="shared" si="952"/>
        <v>06/10/2025</v>
      </c>
      <c r="K5346">
        <v>45939</v>
      </c>
      <c r="N5346">
        <v>303</v>
      </c>
      <c r="O5346" t="s">
        <v>69</v>
      </c>
      <c r="Q5346">
        <v>1255.45</v>
      </c>
      <c r="R5346" t="str">
        <f>"LBL FARMACIA LTDA FILIAL (10192)"</f>
        <v>LBL FARMACIA LTDA FILIAL (10192)</v>
      </c>
      <c r="S5346" t="s">
        <v>70</v>
      </c>
      <c r="T5346">
        <v>19529</v>
      </c>
      <c r="U5346">
        <v>22851</v>
      </c>
      <c r="V5346" t="s">
        <v>22</v>
      </c>
    </row>
    <row r="5347" spans="1:22">
      <c r="A5347" t="str">
        <f t="shared" si="944"/>
        <v>09/10/2025</v>
      </c>
      <c r="B5347" t="str">
        <f t="shared" si="947"/>
        <v>ENTRADA</v>
      </c>
      <c r="C5347" t="str">
        <f t="shared" si="948"/>
        <v>NFSE</v>
      </c>
      <c r="D5347" t="str">
        <f>"3455"</f>
        <v>3455</v>
      </c>
      <c r="E5347" t="str">
        <f t="shared" si="949"/>
        <v>1</v>
      </c>
      <c r="F5347" t="str">
        <f t="shared" si="943"/>
        <v>COM</v>
      </c>
      <c r="G5347" t="str">
        <f>"LBL FARMACIA LTDA (10189)"</f>
        <v>LBL FARMACIA LTDA (10189)</v>
      </c>
      <c r="H5347" t="str">
        <f>"Serv.Prest. 29/09/2025 a 05/10/2025 - RPS: 1331 - NFSe: 3455"</f>
        <v>Serv.Prest. 29/09/2025 a 05/10/2025 - RPS: 1331 - NFSe: 3455</v>
      </c>
      <c r="I5347" t="str">
        <f t="shared" si="950"/>
        <v>08/10/2025</v>
      </c>
      <c r="J5347" t="str">
        <f t="shared" si="952"/>
        <v>06/10/2025</v>
      </c>
      <c r="K5347" t="str">
        <f>("09/10/2025")</f>
        <v>09/10/2025</v>
      </c>
      <c r="L5347">
        <v>648.54999999999995</v>
      </c>
      <c r="M5347">
        <v>648.54999999999995</v>
      </c>
      <c r="N5347">
        <v>303</v>
      </c>
      <c r="O5347" t="str">
        <f>"RECEITAS COM ENTREGAS"</f>
        <v>RECEITAS COM ENTREGAS</v>
      </c>
      <c r="P5347">
        <v>648.54999999999995</v>
      </c>
      <c r="S5347" t="str">
        <f>"RECEITAS COM ENTREGAS (303)"</f>
        <v>RECEITAS COM ENTREGAS (303)</v>
      </c>
      <c r="T5347">
        <v>19530</v>
      </c>
      <c r="U5347">
        <v>22854</v>
      </c>
      <c r="V5347" t="s">
        <v>22</v>
      </c>
    </row>
    <row r="5348" spans="1:22">
      <c r="A5348" t="str">
        <f t="shared" si="944"/>
        <v>09/10/2025</v>
      </c>
      <c r="B5348" t="str">
        <f t="shared" si="947"/>
        <v>ENTRADA</v>
      </c>
      <c r="C5348" t="str">
        <f t="shared" si="948"/>
        <v>NFSE</v>
      </c>
      <c r="D5348" t="str">
        <f>"3455"</f>
        <v>3455</v>
      </c>
      <c r="E5348" t="str">
        <f t="shared" si="949"/>
        <v>1</v>
      </c>
      <c r="F5348" t="str">
        <f t="shared" si="943"/>
        <v>COM</v>
      </c>
      <c r="G5348" t="str">
        <f>"LBL FARMACIA LTDA (10189)"</f>
        <v>LBL FARMACIA LTDA (10189)</v>
      </c>
      <c r="H5348" t="s">
        <v>1516</v>
      </c>
      <c r="I5348" t="str">
        <f t="shared" si="950"/>
        <v>08/10/2025</v>
      </c>
      <c r="J5348" t="str">
        <f t="shared" si="952"/>
        <v>06/10/2025</v>
      </c>
      <c r="K5348">
        <v>45939</v>
      </c>
      <c r="N5348">
        <v>303</v>
      </c>
      <c r="O5348" t="s">
        <v>69</v>
      </c>
      <c r="Q5348">
        <v>648.54999999999995</v>
      </c>
      <c r="R5348" t="str">
        <f>"LBL FARMACIA LTDA (10189)"</f>
        <v>LBL FARMACIA LTDA (10189)</v>
      </c>
      <c r="S5348" t="s">
        <v>70</v>
      </c>
      <c r="T5348">
        <v>19530</v>
      </c>
      <c r="U5348">
        <v>22854</v>
      </c>
      <c r="V5348" t="s">
        <v>22</v>
      </c>
    </row>
    <row r="5349" spans="1:22">
      <c r="A5349" t="str">
        <f t="shared" si="944"/>
        <v>09/10/2025</v>
      </c>
      <c r="B5349" t="str">
        <f t="shared" si="947"/>
        <v>ENTRADA</v>
      </c>
      <c r="C5349" t="str">
        <f t="shared" si="948"/>
        <v>NFSE</v>
      </c>
      <c r="D5349" t="str">
        <f>"3456"</f>
        <v>3456</v>
      </c>
      <c r="E5349" t="str">
        <f t="shared" si="949"/>
        <v>1</v>
      </c>
      <c r="F5349" t="str">
        <f t="shared" si="943"/>
        <v>COM</v>
      </c>
      <c r="G5349" t="str">
        <f>"DROGARIA MEDIC CENTER LTDA (10172)"</f>
        <v>DROGARIA MEDIC CENTER LTDA (10172)</v>
      </c>
      <c r="H5349" t="str">
        <f>"Serv.Prest. 29/09/2025 a 05/10/2025 - RPS: 1332 - NFSe: 3456"</f>
        <v>Serv.Prest. 29/09/2025 a 05/10/2025 - RPS: 1332 - NFSe: 3456</v>
      </c>
      <c r="I5349" t="str">
        <f t="shared" si="950"/>
        <v>08/10/2025</v>
      </c>
      <c r="J5349" t="str">
        <f t="shared" si="952"/>
        <v>06/10/2025</v>
      </c>
      <c r="K5349" t="str">
        <f>("09/10/2025")</f>
        <v>09/10/2025</v>
      </c>
      <c r="L5349">
        <v>1287.9000000000001</v>
      </c>
      <c r="M5349">
        <v>1287.9000000000001</v>
      </c>
      <c r="N5349">
        <v>303</v>
      </c>
      <c r="O5349" t="str">
        <f>"RECEITAS COM ENTREGAS"</f>
        <v>RECEITAS COM ENTREGAS</v>
      </c>
      <c r="P5349">
        <v>1287.9000000000001</v>
      </c>
      <c r="S5349" t="str">
        <f>"RECEITAS COM ENTREGAS (303)"</f>
        <v>RECEITAS COM ENTREGAS (303)</v>
      </c>
      <c r="T5349">
        <v>19531</v>
      </c>
      <c r="U5349">
        <v>22857</v>
      </c>
      <c r="V5349" t="s">
        <v>22</v>
      </c>
    </row>
    <row r="5350" spans="1:22">
      <c r="A5350" t="str">
        <f t="shared" si="944"/>
        <v>09/10/2025</v>
      </c>
      <c r="B5350" t="str">
        <f t="shared" si="947"/>
        <v>ENTRADA</v>
      </c>
      <c r="C5350" t="str">
        <f t="shared" si="948"/>
        <v>NFSE</v>
      </c>
      <c r="D5350" t="str">
        <f>"3456"</f>
        <v>3456</v>
      </c>
      <c r="E5350" t="str">
        <f t="shared" si="949"/>
        <v>1</v>
      </c>
      <c r="F5350" t="str">
        <f t="shared" si="943"/>
        <v>COM</v>
      </c>
      <c r="G5350" t="str">
        <f>"DROGARIA MEDIC CENTER LTDA (10172)"</f>
        <v>DROGARIA MEDIC CENTER LTDA (10172)</v>
      </c>
      <c r="H5350" t="s">
        <v>1517</v>
      </c>
      <c r="I5350" t="str">
        <f t="shared" si="950"/>
        <v>08/10/2025</v>
      </c>
      <c r="J5350" t="str">
        <f t="shared" si="952"/>
        <v>06/10/2025</v>
      </c>
      <c r="K5350">
        <v>45939</v>
      </c>
      <c r="N5350">
        <v>303</v>
      </c>
      <c r="O5350" t="s">
        <v>69</v>
      </c>
      <c r="Q5350">
        <v>1287.9000000000001</v>
      </c>
      <c r="R5350" t="str">
        <f>"DROGARIA MEDIC CENTER LTDA (10172)"</f>
        <v>DROGARIA MEDIC CENTER LTDA (10172)</v>
      </c>
      <c r="S5350" t="s">
        <v>70</v>
      </c>
      <c r="T5350">
        <v>19531</v>
      </c>
      <c r="U5350">
        <v>22857</v>
      </c>
      <c r="V5350" t="s">
        <v>22</v>
      </c>
    </row>
    <row r="5351" spans="1:22">
      <c r="A5351" t="str">
        <f t="shared" si="944"/>
        <v>09/10/2025</v>
      </c>
      <c r="B5351" t="str">
        <f t="shared" si="947"/>
        <v>ENTRADA</v>
      </c>
      <c r="C5351" t="str">
        <f t="shared" si="948"/>
        <v>NFSE</v>
      </c>
      <c r="D5351" t="str">
        <f>"3462"</f>
        <v>3462</v>
      </c>
      <c r="E5351" t="str">
        <f t="shared" si="949"/>
        <v>1</v>
      </c>
      <c r="F5351" t="str">
        <f t="shared" si="943"/>
        <v>COM</v>
      </c>
      <c r="G5351" t="str">
        <f>"JAL FARMACIA E DROGARIA LJ 1 (10137)"</f>
        <v>JAL FARMACIA E DROGARIA LJ 1 (10137)</v>
      </c>
      <c r="H5351" t="str">
        <f>"Serv.Prest. 29/09/2025 a 05/10/2025 - RPS: 1338 - NFSe: 3462"</f>
        <v>Serv.Prest. 29/09/2025 a 05/10/2025 - RPS: 1338 - NFSe: 3462</v>
      </c>
      <c r="I5351" t="str">
        <f t="shared" si="950"/>
        <v>08/10/2025</v>
      </c>
      <c r="J5351" t="str">
        <f t="shared" si="952"/>
        <v>06/10/2025</v>
      </c>
      <c r="K5351" t="str">
        <f>("09/10/2025")</f>
        <v>09/10/2025</v>
      </c>
      <c r="L5351">
        <v>2452.8000000000002</v>
      </c>
      <c r="M5351">
        <v>2452.8000000000002</v>
      </c>
      <c r="N5351">
        <v>303</v>
      </c>
      <c r="O5351" t="str">
        <f>"RECEITAS COM ENTREGAS"</f>
        <v>RECEITAS COM ENTREGAS</v>
      </c>
      <c r="P5351">
        <v>2452.8000000000002</v>
      </c>
      <c r="S5351" t="str">
        <f>"RECEITAS COM ENTREGAS (303)"</f>
        <v>RECEITAS COM ENTREGAS (303)</v>
      </c>
      <c r="T5351">
        <v>19532</v>
      </c>
      <c r="U5351">
        <v>22881</v>
      </c>
      <c r="V5351" t="s">
        <v>22</v>
      </c>
    </row>
    <row r="5352" spans="1:22">
      <c r="A5352" t="str">
        <f t="shared" si="944"/>
        <v>09/10/2025</v>
      </c>
      <c r="B5352" t="str">
        <f t="shared" si="947"/>
        <v>ENTRADA</v>
      </c>
      <c r="C5352" t="str">
        <f t="shared" si="948"/>
        <v>NFSE</v>
      </c>
      <c r="D5352" t="str">
        <f>"3462"</f>
        <v>3462</v>
      </c>
      <c r="E5352" t="str">
        <f t="shared" si="949"/>
        <v>1</v>
      </c>
      <c r="F5352" t="str">
        <f t="shared" si="943"/>
        <v>COM</v>
      </c>
      <c r="G5352" t="str">
        <f>"JAL FARMACIA E DROGARIA LJ 1 (10137)"</f>
        <v>JAL FARMACIA E DROGARIA LJ 1 (10137)</v>
      </c>
      <c r="H5352" t="s">
        <v>1518</v>
      </c>
      <c r="I5352" t="str">
        <f t="shared" si="950"/>
        <v>08/10/2025</v>
      </c>
      <c r="J5352" t="str">
        <f t="shared" si="952"/>
        <v>06/10/2025</v>
      </c>
      <c r="K5352">
        <v>45939</v>
      </c>
      <c r="N5352">
        <v>303</v>
      </c>
      <c r="O5352" t="s">
        <v>69</v>
      </c>
      <c r="Q5352">
        <v>2452.8000000000002</v>
      </c>
      <c r="R5352" t="str">
        <f>"JAL FARMACIA E DROGARIA LJ 1 (10137)"</f>
        <v>JAL FARMACIA E DROGARIA LJ 1 (10137)</v>
      </c>
      <c r="S5352" t="s">
        <v>70</v>
      </c>
      <c r="T5352">
        <v>19532</v>
      </c>
      <c r="U5352">
        <v>22881</v>
      </c>
      <c r="V5352" t="s">
        <v>22</v>
      </c>
    </row>
    <row r="5353" spans="1:22">
      <c r="A5353" t="str">
        <f t="shared" si="944"/>
        <v>09/10/2025</v>
      </c>
      <c r="B5353" t="str">
        <f t="shared" si="947"/>
        <v>ENTRADA</v>
      </c>
      <c r="C5353" t="str">
        <f t="shared" si="948"/>
        <v>NFSE</v>
      </c>
      <c r="D5353" t="str">
        <f>"3472"</f>
        <v>3472</v>
      </c>
      <c r="E5353" t="str">
        <f t="shared" si="949"/>
        <v>1</v>
      </c>
      <c r="F5353" t="str">
        <f t="shared" si="943"/>
        <v>COM</v>
      </c>
      <c r="G5353" t="str">
        <f>"FARMACIA ECONOMIZE (10103)"</f>
        <v>FARMACIA ECONOMIZE (10103)</v>
      </c>
      <c r="H5353" t="str">
        <f>"Serv.Prest. 29/09/2025 a 05/10/2025 - RPS: 1348 - NFSe: 3472"</f>
        <v>Serv.Prest. 29/09/2025 a 05/10/2025 - RPS: 1348 - NFSe: 3472</v>
      </c>
      <c r="I5353" t="str">
        <f t="shared" si="950"/>
        <v>08/10/2025</v>
      </c>
      <c r="J5353" t="str">
        <f>("08/10/2025")</f>
        <v>08/10/2025</v>
      </c>
      <c r="K5353" t="str">
        <f>("09/10/2025")</f>
        <v>09/10/2025</v>
      </c>
      <c r="L5353">
        <v>2471.04</v>
      </c>
      <c r="M5353">
        <v>2471.04</v>
      </c>
      <c r="N5353">
        <v>303</v>
      </c>
      <c r="O5353" t="str">
        <f>"RECEITAS COM ENTREGAS"</f>
        <v>RECEITAS COM ENTREGAS</v>
      </c>
      <c r="P5353">
        <v>2471.04</v>
      </c>
      <c r="S5353" t="str">
        <f>"RECEITAS COM ENTREGAS (303)"</f>
        <v>RECEITAS COM ENTREGAS (303)</v>
      </c>
      <c r="T5353">
        <v>19533</v>
      </c>
      <c r="U5353">
        <v>23060</v>
      </c>
      <c r="V5353" t="s">
        <v>22</v>
      </c>
    </row>
    <row r="5354" spans="1:22">
      <c r="A5354" t="str">
        <f t="shared" si="944"/>
        <v>09/10/2025</v>
      </c>
      <c r="B5354" t="str">
        <f t="shared" si="947"/>
        <v>ENTRADA</v>
      </c>
      <c r="C5354" t="str">
        <f t="shared" si="948"/>
        <v>NFSE</v>
      </c>
      <c r="D5354" t="str">
        <f>"3472"</f>
        <v>3472</v>
      </c>
      <c r="E5354" t="str">
        <f t="shared" si="949"/>
        <v>1</v>
      </c>
      <c r="F5354" t="str">
        <f t="shared" si="943"/>
        <v>COM</v>
      </c>
      <c r="G5354" t="str">
        <f>"FARMACIA ECONOMIZE (10103)"</f>
        <v>FARMACIA ECONOMIZE (10103)</v>
      </c>
      <c r="H5354" t="s">
        <v>1519</v>
      </c>
      <c r="I5354" t="str">
        <f t="shared" si="950"/>
        <v>08/10/2025</v>
      </c>
      <c r="J5354" t="str">
        <f>("08/10/2025")</f>
        <v>08/10/2025</v>
      </c>
      <c r="K5354">
        <v>45939</v>
      </c>
      <c r="N5354">
        <v>303</v>
      </c>
      <c r="O5354" t="s">
        <v>69</v>
      </c>
      <c r="Q5354">
        <v>2471.04</v>
      </c>
      <c r="R5354" t="str">
        <f>"FARMACIA ECONOMIZE (10103)"</f>
        <v>FARMACIA ECONOMIZE (10103)</v>
      </c>
      <c r="S5354" t="s">
        <v>70</v>
      </c>
      <c r="T5354">
        <v>19533</v>
      </c>
      <c r="U5354">
        <v>23060</v>
      </c>
      <c r="V5354" t="s">
        <v>22</v>
      </c>
    </row>
    <row r="5355" spans="1:22">
      <c r="A5355" t="str">
        <f t="shared" si="944"/>
        <v>09/10/2025</v>
      </c>
      <c r="B5355" t="str">
        <f t="shared" ref="B5355:B5418" si="953">"SAÍDA"</f>
        <v>SAÍDA</v>
      </c>
      <c r="C5355" t="str">
        <f>"PIX"</f>
        <v>PIX</v>
      </c>
      <c r="D5355" t="str">
        <f>"22794"</f>
        <v>22794</v>
      </c>
      <c r="E5355" t="str">
        <f t="shared" si="949"/>
        <v>1</v>
      </c>
      <c r="F5355" t="str">
        <f t="shared" si="943"/>
        <v>COM</v>
      </c>
      <c r="G5355" t="str">
        <f>"ELENICIO ALVES DOS SANTOS (243)"</f>
        <v>ELENICIO ALVES DOS SANTOS (243)</v>
      </c>
      <c r="H5355" t="str">
        <f>"Serv.Prest. 01/09/2025 a 30/09/2025 - PIX: NÃO CADASTRADO - CHAVE: CEF AG 2986 CONTA 2292-5 POUPANÇA"</f>
        <v>Serv.Prest. 01/09/2025 a 30/09/2025 - PIX: NÃO CADASTRADO - CHAVE: CEF AG 2986 CONTA 2292-5 POUPANÇA</v>
      </c>
      <c r="I5355" t="str">
        <f>("09/10/2025")</f>
        <v>09/10/2025</v>
      </c>
      <c r="J5355" t="str">
        <f>("01/10/2025")</f>
        <v>01/10/2025</v>
      </c>
      <c r="K5355" t="str">
        <f>("09/10/2025")</f>
        <v>09/10/2025</v>
      </c>
      <c r="L5355">
        <v>3548</v>
      </c>
      <c r="M5355">
        <v>3548</v>
      </c>
      <c r="N5355">
        <v>109</v>
      </c>
      <c r="O5355" t="str">
        <f>"PAGAMENTO DE ENTREGADORES"</f>
        <v>PAGAMENTO DE ENTREGADORES</v>
      </c>
      <c r="P5355">
        <v>3548</v>
      </c>
      <c r="S5355" t="str">
        <f>"BANCO CORA (102)"</f>
        <v>BANCO CORA (102)</v>
      </c>
      <c r="T5355">
        <v>19534</v>
      </c>
      <c r="U5355">
        <v>22794</v>
      </c>
      <c r="V5355" t="s">
        <v>22</v>
      </c>
    </row>
    <row r="5356" spans="1:22">
      <c r="A5356" t="str">
        <f t="shared" si="944"/>
        <v>09/10/2025</v>
      </c>
      <c r="B5356" t="str">
        <f t="shared" si="953"/>
        <v>SAÍDA</v>
      </c>
      <c r="C5356" t="str">
        <f>"PIX"</f>
        <v>PIX</v>
      </c>
      <c r="D5356" t="str">
        <f>"22794"</f>
        <v>22794</v>
      </c>
      <c r="E5356" t="str">
        <f t="shared" si="949"/>
        <v>1</v>
      </c>
      <c r="F5356" t="str">
        <f t="shared" si="943"/>
        <v>COM</v>
      </c>
      <c r="G5356" t="str">
        <f>"ELENICIO ALVES DOS SANTOS (243)"</f>
        <v>ELENICIO ALVES DOS SANTOS (243)</v>
      </c>
      <c r="H5356" t="s">
        <v>1362</v>
      </c>
      <c r="I5356" t="str">
        <f>("09/10/2025")</f>
        <v>09/10/2025</v>
      </c>
      <c r="J5356" t="str">
        <f>("01/10/2025")</f>
        <v>01/10/2025</v>
      </c>
      <c r="K5356">
        <v>45939</v>
      </c>
      <c r="N5356">
        <v>109</v>
      </c>
      <c r="O5356" t="s">
        <v>24</v>
      </c>
      <c r="Q5356">
        <v>3548</v>
      </c>
      <c r="R5356" t="str">
        <f>"DROGARIA POUPA MINAS (ULTRAMINAS) 1 (10181)"</f>
        <v>DROGARIA POUPA MINAS (ULTRAMINAS) 1 (10181)</v>
      </c>
      <c r="S5356" t="s">
        <v>22</v>
      </c>
      <c r="T5356">
        <v>19534</v>
      </c>
      <c r="U5356">
        <v>22794</v>
      </c>
      <c r="V5356" t="s">
        <v>22</v>
      </c>
    </row>
    <row r="5357" spans="1:22">
      <c r="A5357" t="str">
        <f t="shared" si="944"/>
        <v>09/10/2025</v>
      </c>
      <c r="B5357" t="str">
        <f t="shared" si="953"/>
        <v>SAÍDA</v>
      </c>
      <c r="C5357" t="str">
        <f>"JUROS"</f>
        <v>JUROS</v>
      </c>
      <c r="D5357" t="str">
        <f>""</f>
        <v/>
      </c>
      <c r="F5357" t="str">
        <f>"CXA"</f>
        <v>CXA</v>
      </c>
      <c r="G5357" t="str">
        <f>""</f>
        <v/>
      </c>
      <c r="H5357" t="str">
        <f>"TARIFA"</f>
        <v>TARIFA</v>
      </c>
      <c r="I5357" t="str">
        <f>("09/10/2025")</f>
        <v>09/10/2025</v>
      </c>
      <c r="J5357" t="str">
        <f>("09/10/2025")</f>
        <v>09/10/2025</v>
      </c>
      <c r="K5357" t="str">
        <f>("09/10/2025")</f>
        <v>09/10/2025</v>
      </c>
      <c r="L5357">
        <v>25.5</v>
      </c>
      <c r="M5357">
        <v>25.5</v>
      </c>
      <c r="N5357">
        <v>401</v>
      </c>
      <c r="O5357" t="str">
        <f>"IOF/JUROS/DESP.FINANCEIRA"</f>
        <v>IOF/JUROS/DESP.FINANCEIRA</v>
      </c>
      <c r="P5357">
        <v>25.5</v>
      </c>
      <c r="S5357" t="str">
        <f>"BANCO CORA (102)"</f>
        <v>BANCO CORA (102)</v>
      </c>
      <c r="T5357">
        <v>19539</v>
      </c>
      <c r="U5357">
        <v>0</v>
      </c>
      <c r="V5357" t="s">
        <v>1112</v>
      </c>
    </row>
    <row r="5358" spans="1:22">
      <c r="A5358" t="str">
        <f t="shared" si="944"/>
        <v>09/10/2025</v>
      </c>
      <c r="B5358" t="str">
        <f t="shared" si="953"/>
        <v>SAÍDA</v>
      </c>
      <c r="C5358" t="str">
        <f t="shared" ref="C5358:C5363" si="954">"PIX"</f>
        <v>PIX</v>
      </c>
      <c r="D5358" t="str">
        <f>"22876"</f>
        <v>22876</v>
      </c>
      <c r="E5358" t="str">
        <f t="shared" ref="E5358:E5363" si="955">"1"</f>
        <v>1</v>
      </c>
      <c r="F5358" t="str">
        <f t="shared" ref="F5358:F5421" si="956">"COM"</f>
        <v>COM</v>
      </c>
      <c r="G5358" t="str">
        <f>"ELENICIO ALVES DOS SANTOS (243)"</f>
        <v>ELENICIO ALVES DOS SANTOS (243)</v>
      </c>
      <c r="H5358" t="str">
        <f>"Serv.Prest. 30/09/2025 a 30/09/2025 - PIX: NÃO CADASTRADO - CHAVE: CEF AG 2986 CONTA 2292-5 POUPANÇA"</f>
        <v>Serv.Prest. 30/09/2025 a 30/09/2025 - PIX: NÃO CADASTRADO - CHAVE: CEF AG 2986 CONTA 2292-5 POUPANÇA</v>
      </c>
      <c r="I5358" t="str">
        <f>("09/10/2025")</f>
        <v>09/10/2025</v>
      </c>
      <c r="J5358" t="str">
        <f>("06/10/2025")</f>
        <v>06/10/2025</v>
      </c>
      <c r="K5358" t="str">
        <f>("09/10/2025")</f>
        <v>09/10/2025</v>
      </c>
      <c r="L5358">
        <v>682</v>
      </c>
      <c r="M5358">
        <v>682</v>
      </c>
      <c r="N5358">
        <v>109</v>
      </c>
      <c r="O5358" t="str">
        <f>"PAGAMENTO DE ENTREGADORES"</f>
        <v>PAGAMENTO DE ENTREGADORES</v>
      </c>
      <c r="P5358">
        <v>682</v>
      </c>
      <c r="S5358" t="str">
        <f>"BANCO CORA (102)"</f>
        <v>BANCO CORA (102)</v>
      </c>
      <c r="T5358">
        <v>19542</v>
      </c>
      <c r="U5358">
        <v>22876</v>
      </c>
      <c r="V5358" t="s">
        <v>22</v>
      </c>
    </row>
    <row r="5359" spans="1:22">
      <c r="A5359" t="str">
        <f t="shared" si="944"/>
        <v>09/10/2025</v>
      </c>
      <c r="B5359" t="str">
        <f t="shared" si="953"/>
        <v>SAÍDA</v>
      </c>
      <c r="C5359" t="str">
        <f t="shared" si="954"/>
        <v>PIX</v>
      </c>
      <c r="D5359" t="str">
        <f>"22876"</f>
        <v>22876</v>
      </c>
      <c r="E5359" t="str">
        <f t="shared" si="955"/>
        <v>1</v>
      </c>
      <c r="F5359" t="str">
        <f t="shared" si="956"/>
        <v>COM</v>
      </c>
      <c r="G5359" t="str">
        <f>"ELENICIO ALVES DOS SANTOS (243)"</f>
        <v>ELENICIO ALVES DOS SANTOS (243)</v>
      </c>
      <c r="H5359" t="s">
        <v>1520</v>
      </c>
      <c r="I5359" t="str">
        <f>("09/10/2025")</f>
        <v>09/10/2025</v>
      </c>
      <c r="J5359" t="str">
        <f>("06/10/2025")</f>
        <v>06/10/2025</v>
      </c>
      <c r="K5359">
        <v>45939</v>
      </c>
      <c r="N5359">
        <v>109</v>
      </c>
      <c r="O5359" t="s">
        <v>24</v>
      </c>
      <c r="Q5359">
        <v>682</v>
      </c>
      <c r="R5359" t="str">
        <f>"DROGARIA POUPA MINAS (ULTRAMINAS) 1 (10181)"</f>
        <v>DROGARIA POUPA MINAS (ULTRAMINAS) 1 (10181)</v>
      </c>
      <c r="S5359" t="s">
        <v>22</v>
      </c>
      <c r="T5359">
        <v>19542</v>
      </c>
      <c r="U5359">
        <v>22876</v>
      </c>
      <c r="V5359" t="s">
        <v>22</v>
      </c>
    </row>
    <row r="5360" spans="1:22">
      <c r="A5360" t="str">
        <f t="shared" si="944"/>
        <v>09/10/2025</v>
      </c>
      <c r="B5360" t="str">
        <f t="shared" si="953"/>
        <v>SAÍDA</v>
      </c>
      <c r="C5360" t="str">
        <f t="shared" si="954"/>
        <v>PIX</v>
      </c>
      <c r="D5360" t="str">
        <f>"23022"</f>
        <v>23022</v>
      </c>
      <c r="E5360" t="str">
        <f t="shared" si="955"/>
        <v>1</v>
      </c>
      <c r="F5360" t="str">
        <f t="shared" si="956"/>
        <v>COM</v>
      </c>
      <c r="G5360" t="str">
        <f>"GABRIEL PRATES DE OLIVEIRA (511)"</f>
        <v>GABRIEL PRATES DE OLIVEIRA (511)</v>
      </c>
      <c r="H5360" t="str">
        <f>"Serv.Prest. 26/09/2025 a 05/10/2025 - PIX: CELULAR - CHAVE: (27) 99869-8144"</f>
        <v>Serv.Prest. 26/09/2025 a 05/10/2025 - PIX: CELULAR - CHAVE: (27) 99869-8144</v>
      </c>
      <c r="I5360" t="str">
        <f>("16/10/2025")</f>
        <v>16/10/2025</v>
      </c>
      <c r="J5360" t="str">
        <f>("07/10/2025")</f>
        <v>07/10/2025</v>
      </c>
      <c r="K5360" t="str">
        <f>("09/10/2025")</f>
        <v>09/10/2025</v>
      </c>
      <c r="L5360">
        <v>180</v>
      </c>
      <c r="M5360">
        <v>130</v>
      </c>
      <c r="N5360">
        <v>109</v>
      </c>
      <c r="O5360" t="str">
        <f>"PAGAMENTO DE ENTREGADORES"</f>
        <v>PAGAMENTO DE ENTREGADORES</v>
      </c>
      <c r="P5360">
        <v>130</v>
      </c>
      <c r="S5360" t="str">
        <f>"BANCO CORA (102)"</f>
        <v>BANCO CORA (102)</v>
      </c>
      <c r="T5360">
        <v>19567</v>
      </c>
      <c r="U5360">
        <v>23022</v>
      </c>
      <c r="V5360" t="s">
        <v>22</v>
      </c>
    </row>
    <row r="5361" spans="1:22">
      <c r="A5361" t="str">
        <f t="shared" si="944"/>
        <v>09/10/2025</v>
      </c>
      <c r="B5361" t="str">
        <f t="shared" si="953"/>
        <v>SAÍDA</v>
      </c>
      <c r="C5361" t="str">
        <f t="shared" si="954"/>
        <v>PIX</v>
      </c>
      <c r="D5361" t="str">
        <f>"23022"</f>
        <v>23022</v>
      </c>
      <c r="E5361" t="str">
        <f t="shared" si="955"/>
        <v>1</v>
      </c>
      <c r="F5361" t="str">
        <f t="shared" si="956"/>
        <v>COM</v>
      </c>
      <c r="G5361" t="str">
        <f>"GABRIEL PRATES DE OLIVEIRA (511)"</f>
        <v>GABRIEL PRATES DE OLIVEIRA (511)</v>
      </c>
      <c r="H5361" t="s">
        <v>1521</v>
      </c>
      <c r="I5361" t="str">
        <f>("16/10/2025")</f>
        <v>16/10/2025</v>
      </c>
      <c r="J5361" t="str">
        <f>("07/10/2025")</f>
        <v>07/10/2025</v>
      </c>
      <c r="K5361">
        <v>45939</v>
      </c>
      <c r="N5361">
        <v>109</v>
      </c>
      <c r="O5361" t="s">
        <v>24</v>
      </c>
      <c r="Q5361">
        <v>130</v>
      </c>
      <c r="R5361" t="str">
        <f>"FARMÁCIA INDIANA LJ 163 (10072)"</f>
        <v>FARMÁCIA INDIANA LJ 163 (10072)</v>
      </c>
      <c r="S5361" t="s">
        <v>22</v>
      </c>
      <c r="T5361">
        <v>19567</v>
      </c>
      <c r="U5361">
        <v>23022</v>
      </c>
      <c r="V5361" t="s">
        <v>22</v>
      </c>
    </row>
    <row r="5362" spans="1:22">
      <c r="A5362" t="str">
        <f t="shared" si="944"/>
        <v>09/10/2025</v>
      </c>
      <c r="B5362" t="str">
        <f t="shared" si="953"/>
        <v>SAÍDA</v>
      </c>
      <c r="C5362" t="str">
        <f t="shared" si="954"/>
        <v>PIX</v>
      </c>
      <c r="D5362" t="str">
        <f>"23787"</f>
        <v>23787</v>
      </c>
      <c r="E5362" t="str">
        <f t="shared" si="955"/>
        <v>1</v>
      </c>
      <c r="F5362" t="str">
        <f t="shared" si="956"/>
        <v>COM</v>
      </c>
      <c r="G5362" t="str">
        <f>"WILLIAM DA SILVA COSTA (655)"</f>
        <v>WILLIAM DA SILVA COSTA (655)</v>
      </c>
      <c r="H5362" t="str">
        <f>"Serv.Prest. 06/10/2025 a 12/10/2025 - PIX: CELULAR - CHAVE: (64) 97400-9101"</f>
        <v>Serv.Prest. 06/10/2025 a 12/10/2025 - PIX: CELULAR - CHAVE: (64) 97400-9101</v>
      </c>
      <c r="I5362" t="str">
        <f>("16/10/2025")</f>
        <v>16/10/2025</v>
      </c>
      <c r="J5362" t="str">
        <f>("14/10/2025")</f>
        <v>14/10/2025</v>
      </c>
      <c r="K5362" t="str">
        <f>("09/10/2025")</f>
        <v>09/10/2025</v>
      </c>
      <c r="L5362">
        <v>86</v>
      </c>
      <c r="M5362">
        <v>150</v>
      </c>
      <c r="N5362">
        <v>109</v>
      </c>
      <c r="O5362" t="str">
        <f>"PAGAMENTO DE ENTREGADORES"</f>
        <v>PAGAMENTO DE ENTREGADORES</v>
      </c>
      <c r="P5362">
        <v>150</v>
      </c>
      <c r="S5362" t="str">
        <f>"BANCO CORA (102)"</f>
        <v>BANCO CORA (102)</v>
      </c>
      <c r="T5362">
        <v>19607</v>
      </c>
      <c r="U5362">
        <v>23827</v>
      </c>
      <c r="V5362" t="s">
        <v>22</v>
      </c>
    </row>
    <row r="5363" spans="1:22">
      <c r="A5363" t="str">
        <f t="shared" si="944"/>
        <v>09/10/2025</v>
      </c>
      <c r="B5363" t="str">
        <f t="shared" si="953"/>
        <v>SAÍDA</v>
      </c>
      <c r="C5363" t="str">
        <f t="shared" si="954"/>
        <v>PIX</v>
      </c>
      <c r="D5363" t="str">
        <f>"23787"</f>
        <v>23787</v>
      </c>
      <c r="E5363" t="str">
        <f t="shared" si="955"/>
        <v>1</v>
      </c>
      <c r="F5363" t="str">
        <f t="shared" si="956"/>
        <v>COM</v>
      </c>
      <c r="G5363" t="str">
        <f>"WILLIAM DA SILVA COSTA (655)"</f>
        <v>WILLIAM DA SILVA COSTA (655)</v>
      </c>
      <c r="H5363" t="s">
        <v>1355</v>
      </c>
      <c r="I5363" t="str">
        <f>("16/10/2025")</f>
        <v>16/10/2025</v>
      </c>
      <c r="J5363" t="str">
        <f>("14/10/2025")</f>
        <v>14/10/2025</v>
      </c>
      <c r="K5363">
        <v>45939</v>
      </c>
      <c r="N5363">
        <v>109</v>
      </c>
      <c r="O5363" t="s">
        <v>24</v>
      </c>
      <c r="Q5363">
        <v>150</v>
      </c>
      <c r="R5363" t="str">
        <f>"FARMACIA ECONOMIZE (10103)"</f>
        <v>FARMACIA ECONOMIZE (10103)</v>
      </c>
      <c r="S5363" t="s">
        <v>22</v>
      </c>
      <c r="T5363">
        <v>19607</v>
      </c>
      <c r="U5363">
        <v>23827</v>
      </c>
      <c r="V5363" t="s">
        <v>22</v>
      </c>
    </row>
    <row r="5364" spans="1:22">
      <c r="A5364" t="str">
        <f t="shared" si="944"/>
        <v>09/10/2025</v>
      </c>
      <c r="B5364" t="str">
        <f t="shared" si="953"/>
        <v>SAÍDA</v>
      </c>
      <c r="C5364" t="str">
        <f>"DINHEIRO"</f>
        <v>DINHEIRO</v>
      </c>
      <c r="D5364" t="str">
        <f>"0910"</f>
        <v>0910</v>
      </c>
      <c r="E5364" t="str">
        <f>"25"</f>
        <v>25</v>
      </c>
      <c r="F5364" t="str">
        <f t="shared" si="956"/>
        <v>COM</v>
      </c>
      <c r="G5364" t="str">
        <f>"JEAN CHARLES BATISTA FILHO (206)"</f>
        <v>JEAN CHARLES BATISTA FILHO (206)</v>
      </c>
      <c r="H5364" t="str">
        <f>"DEVOLUCAO 18 COTAS COOPERATIVA"</f>
        <v>DEVOLUCAO 18 COTAS COOPERATIVA</v>
      </c>
      <c r="I5364" t="str">
        <f t="shared" ref="I5364:I5427" si="957">("09/10/2025")</f>
        <v>09/10/2025</v>
      </c>
      <c r="J5364" t="str">
        <f>("06/10/2025")</f>
        <v>06/10/2025</v>
      </c>
      <c r="K5364" t="str">
        <f>("09/10/2025")</f>
        <v>09/10/2025</v>
      </c>
      <c r="L5364">
        <v>360</v>
      </c>
      <c r="M5364">
        <v>360</v>
      </c>
      <c r="N5364">
        <v>130</v>
      </c>
      <c r="O5364" t="str">
        <f>"DEVOLUÇÃO COTA COOPERATIVA"</f>
        <v>DEVOLUÇÃO COTA COOPERATIVA</v>
      </c>
      <c r="P5364">
        <v>360</v>
      </c>
      <c r="S5364" t="str">
        <f>"BANCO C6 (149)"</f>
        <v>BANCO C6 (149)</v>
      </c>
      <c r="T5364">
        <v>19847</v>
      </c>
      <c r="U5364">
        <v>6607</v>
      </c>
      <c r="V5364" t="s">
        <v>77</v>
      </c>
    </row>
    <row r="5365" spans="1:22">
      <c r="A5365" t="str">
        <f t="shared" si="944"/>
        <v>09/10/2025</v>
      </c>
      <c r="B5365" t="str">
        <f t="shared" si="953"/>
        <v>SAÍDA</v>
      </c>
      <c r="C5365" t="str">
        <f>"DINHEIRO"</f>
        <v>DINHEIRO</v>
      </c>
      <c r="D5365" t="str">
        <f>"0910"</f>
        <v>0910</v>
      </c>
      <c r="E5365" t="str">
        <f>"25"</f>
        <v>25</v>
      </c>
      <c r="F5365" t="str">
        <f t="shared" si="956"/>
        <v>COM</v>
      </c>
      <c r="G5365" t="str">
        <f>"JEAN CHARLES BATISTA FILHO (206)"</f>
        <v>JEAN CHARLES BATISTA FILHO (206)</v>
      </c>
      <c r="H5365" t="s">
        <v>1522</v>
      </c>
      <c r="I5365" t="str">
        <f t="shared" si="957"/>
        <v>09/10/2025</v>
      </c>
      <c r="J5365" t="str">
        <f>("06/10/2025")</f>
        <v>06/10/2025</v>
      </c>
      <c r="K5365">
        <v>45939</v>
      </c>
      <c r="N5365">
        <v>130</v>
      </c>
      <c r="O5365" t="s">
        <v>291</v>
      </c>
      <c r="Q5365">
        <v>360</v>
      </c>
      <c r="R5365" t="str">
        <f>"JEAN CHARLES BATISTA FILHO (206)"</f>
        <v>JEAN CHARLES BATISTA FILHO (206)</v>
      </c>
      <c r="S5365" t="s">
        <v>77</v>
      </c>
      <c r="T5365">
        <v>19847</v>
      </c>
      <c r="U5365">
        <v>6607</v>
      </c>
      <c r="V5365" t="s">
        <v>77</v>
      </c>
    </row>
    <row r="5366" spans="1:22">
      <c r="A5366" t="str">
        <f t="shared" si="944"/>
        <v>09/10/2025</v>
      </c>
      <c r="B5366" t="str">
        <f t="shared" si="953"/>
        <v>SAÍDA</v>
      </c>
      <c r="C5366" t="str">
        <f t="shared" ref="C5366:C5429" si="958">"PIX"</f>
        <v>PIX</v>
      </c>
      <c r="D5366" t="str">
        <f>"22535"</f>
        <v>22535</v>
      </c>
      <c r="E5366" t="str">
        <f t="shared" ref="E5366:E5429" si="959">"1"</f>
        <v>1</v>
      </c>
      <c r="F5366" t="str">
        <f t="shared" si="956"/>
        <v>COM</v>
      </c>
      <c r="G5366" t="str">
        <f>"JOAO PEDRO BRITO DE SOUZA (876)"</f>
        <v>JOAO PEDRO BRITO DE SOUZA (876)</v>
      </c>
      <c r="H5366" t="str">
        <f>"Serv.Prest. 22/09/2025 a 25/09/2025 - PIX: CPF - CHAVE: 860.305.455-07"</f>
        <v>Serv.Prest. 22/09/2025 a 25/09/2025 - PIX: CPF - CHAVE: 860.305.455-07</v>
      </c>
      <c r="I5366" t="str">
        <f t="shared" si="957"/>
        <v>09/10/2025</v>
      </c>
      <c r="J5366" t="str">
        <f t="shared" ref="J5366:J5429" si="960">("26/09/2025")</f>
        <v>26/09/2025</v>
      </c>
      <c r="K5366" t="str">
        <f>("09/10/2025")</f>
        <v>09/10/2025</v>
      </c>
      <c r="L5366">
        <v>660</v>
      </c>
      <c r="M5366">
        <v>660</v>
      </c>
      <c r="N5366">
        <v>109</v>
      </c>
      <c r="O5366" t="str">
        <f>"PAGAMENTO DE ENTREGADORES"</f>
        <v>PAGAMENTO DE ENTREGADORES</v>
      </c>
      <c r="P5366">
        <v>660</v>
      </c>
      <c r="S5366" t="str">
        <f>"BANCO C6 (149)"</f>
        <v>BANCO C6 (149)</v>
      </c>
      <c r="T5366">
        <v>19848</v>
      </c>
      <c r="U5366">
        <v>22535</v>
      </c>
      <c r="V5366" t="s">
        <v>77</v>
      </c>
    </row>
    <row r="5367" spans="1:22">
      <c r="A5367" t="str">
        <f t="shared" si="944"/>
        <v>09/10/2025</v>
      </c>
      <c r="B5367" t="str">
        <f t="shared" si="953"/>
        <v>SAÍDA</v>
      </c>
      <c r="C5367" t="str">
        <f t="shared" si="958"/>
        <v>PIX</v>
      </c>
      <c r="D5367" t="str">
        <f>"22535"</f>
        <v>22535</v>
      </c>
      <c r="E5367" t="str">
        <f t="shared" si="959"/>
        <v>1</v>
      </c>
      <c r="F5367" t="str">
        <f t="shared" si="956"/>
        <v>COM</v>
      </c>
      <c r="G5367" t="str">
        <f>"JOAO PEDRO BRITO DE SOUZA (876)"</f>
        <v>JOAO PEDRO BRITO DE SOUZA (876)</v>
      </c>
      <c r="H5367" t="s">
        <v>1426</v>
      </c>
      <c r="I5367" t="str">
        <f t="shared" si="957"/>
        <v>09/10/2025</v>
      </c>
      <c r="J5367" t="str">
        <f t="shared" si="960"/>
        <v>26/09/2025</v>
      </c>
      <c r="K5367">
        <v>45939</v>
      </c>
      <c r="N5367">
        <v>109</v>
      </c>
      <c r="O5367" t="s">
        <v>24</v>
      </c>
      <c r="Q5367">
        <v>349.4</v>
      </c>
      <c r="R5367" t="str">
        <f>"FARMÁCIA INDIANA LJ 48 (10018)"</f>
        <v>FARMÁCIA INDIANA LJ 48 (10018)</v>
      </c>
      <c r="S5367" t="s">
        <v>77</v>
      </c>
      <c r="T5367">
        <v>19848</v>
      </c>
      <c r="U5367">
        <v>22535</v>
      </c>
      <c r="V5367" t="s">
        <v>77</v>
      </c>
    </row>
    <row r="5368" spans="1:22">
      <c r="A5368" t="str">
        <f t="shared" si="944"/>
        <v>09/10/2025</v>
      </c>
      <c r="B5368" t="str">
        <f t="shared" si="953"/>
        <v>SAÍDA</v>
      </c>
      <c r="C5368" t="str">
        <f t="shared" si="958"/>
        <v>PIX</v>
      </c>
      <c r="D5368" t="str">
        <f>"22535"</f>
        <v>22535</v>
      </c>
      <c r="E5368" t="str">
        <f t="shared" si="959"/>
        <v>1</v>
      </c>
      <c r="F5368" t="str">
        <f t="shared" si="956"/>
        <v>COM</v>
      </c>
      <c r="G5368" t="str">
        <f>"JOAO PEDRO BRITO DE SOUZA (876)"</f>
        <v>JOAO PEDRO BRITO DE SOUZA (876)</v>
      </c>
      <c r="H5368" t="s">
        <v>1426</v>
      </c>
      <c r="I5368" t="str">
        <f t="shared" si="957"/>
        <v>09/10/2025</v>
      </c>
      <c r="J5368" t="str">
        <f t="shared" si="960"/>
        <v>26/09/2025</v>
      </c>
      <c r="K5368">
        <v>45939</v>
      </c>
      <c r="N5368">
        <v>109</v>
      </c>
      <c r="O5368" t="s">
        <v>24</v>
      </c>
      <c r="Q5368">
        <v>310.60000000000002</v>
      </c>
      <c r="R5368" t="str">
        <f>"FARMÁCIA INDIANA LJ 169 (10073)"</f>
        <v>FARMÁCIA INDIANA LJ 169 (10073)</v>
      </c>
      <c r="S5368" t="s">
        <v>77</v>
      </c>
      <c r="T5368">
        <v>19848</v>
      </c>
      <c r="U5368">
        <v>22535</v>
      </c>
      <c r="V5368" t="s">
        <v>77</v>
      </c>
    </row>
    <row r="5369" spans="1:22">
      <c r="A5369" t="str">
        <f t="shared" si="944"/>
        <v>09/10/2025</v>
      </c>
      <c r="B5369" t="str">
        <f t="shared" si="953"/>
        <v>SAÍDA</v>
      </c>
      <c r="C5369" t="str">
        <f t="shared" si="958"/>
        <v>PIX</v>
      </c>
      <c r="D5369" t="str">
        <f>"22534"</f>
        <v>22534</v>
      </c>
      <c r="E5369" t="str">
        <f t="shared" si="959"/>
        <v>1</v>
      </c>
      <c r="F5369" t="str">
        <f t="shared" si="956"/>
        <v>COM</v>
      </c>
      <c r="G5369" t="str">
        <f>"JIRLANIA RODRIGUES DOS SANTOS (152)"</f>
        <v>JIRLANIA RODRIGUES DOS SANTOS (152)</v>
      </c>
      <c r="H5369" t="str">
        <f>"Serv.Prest. 22/09/2025 a 25/09/2025 - PIX: CPF - CHAVE: 035.018.455-02"</f>
        <v>Serv.Prest. 22/09/2025 a 25/09/2025 - PIX: CPF - CHAVE: 035.018.455-02</v>
      </c>
      <c r="I5369" t="str">
        <f t="shared" si="957"/>
        <v>09/10/2025</v>
      </c>
      <c r="J5369" t="str">
        <f t="shared" si="960"/>
        <v>26/09/2025</v>
      </c>
      <c r="K5369" t="str">
        <f>("09/10/2025")</f>
        <v>09/10/2025</v>
      </c>
      <c r="L5369">
        <v>549.5</v>
      </c>
      <c r="M5369">
        <v>549.5</v>
      </c>
      <c r="N5369">
        <v>109</v>
      </c>
      <c r="O5369" t="str">
        <f>"PAGAMENTO DE ENTREGADORES"</f>
        <v>PAGAMENTO DE ENTREGADORES</v>
      </c>
      <c r="P5369">
        <v>549.5</v>
      </c>
      <c r="S5369" t="str">
        <f>"BANCO C6 (149)"</f>
        <v>BANCO C6 (149)</v>
      </c>
      <c r="T5369">
        <v>19849</v>
      </c>
      <c r="U5369">
        <v>22534</v>
      </c>
      <c r="V5369" t="s">
        <v>77</v>
      </c>
    </row>
    <row r="5370" spans="1:22">
      <c r="A5370" t="str">
        <f t="shared" si="944"/>
        <v>09/10/2025</v>
      </c>
      <c r="B5370" t="str">
        <f t="shared" si="953"/>
        <v>SAÍDA</v>
      </c>
      <c r="C5370" t="str">
        <f t="shared" si="958"/>
        <v>PIX</v>
      </c>
      <c r="D5370" t="str">
        <f>"22534"</f>
        <v>22534</v>
      </c>
      <c r="E5370" t="str">
        <f t="shared" si="959"/>
        <v>1</v>
      </c>
      <c r="F5370" t="str">
        <f t="shared" si="956"/>
        <v>COM</v>
      </c>
      <c r="G5370" t="str">
        <f>"JIRLANIA RODRIGUES DOS SANTOS (152)"</f>
        <v>JIRLANIA RODRIGUES DOS SANTOS (152)</v>
      </c>
      <c r="H5370" t="s">
        <v>1425</v>
      </c>
      <c r="I5370" t="str">
        <f t="shared" si="957"/>
        <v>09/10/2025</v>
      </c>
      <c r="J5370" t="str">
        <f t="shared" si="960"/>
        <v>26/09/2025</v>
      </c>
      <c r="K5370">
        <v>45939</v>
      </c>
      <c r="N5370">
        <v>109</v>
      </c>
      <c r="O5370" t="s">
        <v>24</v>
      </c>
      <c r="Q5370">
        <v>549.5</v>
      </c>
      <c r="R5370" t="str">
        <f>"FARMÁCIA INDIANA LJ 95 (10039)"</f>
        <v>FARMÁCIA INDIANA LJ 95 (10039)</v>
      </c>
      <c r="S5370" t="s">
        <v>77</v>
      </c>
      <c r="T5370">
        <v>19849</v>
      </c>
      <c r="U5370">
        <v>22534</v>
      </c>
      <c r="V5370" t="s">
        <v>77</v>
      </c>
    </row>
    <row r="5371" spans="1:22">
      <c r="A5371" t="str">
        <f t="shared" si="944"/>
        <v>09/10/2025</v>
      </c>
      <c r="B5371" t="str">
        <f t="shared" si="953"/>
        <v>SAÍDA</v>
      </c>
      <c r="C5371" t="str">
        <f t="shared" si="958"/>
        <v>PIX</v>
      </c>
      <c r="D5371" t="str">
        <f>"22533"</f>
        <v>22533</v>
      </c>
      <c r="E5371" t="str">
        <f t="shared" si="959"/>
        <v>1</v>
      </c>
      <c r="F5371" t="str">
        <f t="shared" si="956"/>
        <v>COM</v>
      </c>
      <c r="G5371" t="str">
        <f>"JARLES DE SOUZA PEREIRA (109)"</f>
        <v>JARLES DE SOUZA PEREIRA (109)</v>
      </c>
      <c r="H5371" t="str">
        <f>"Serv.Prest. 22/09/2025 a 25/09/2025 - PIX: CELULAR - CHAVE: (73) 99115-9602"</f>
        <v>Serv.Prest. 22/09/2025 a 25/09/2025 - PIX: CELULAR - CHAVE: (73) 99115-9602</v>
      </c>
      <c r="I5371" t="str">
        <f t="shared" si="957"/>
        <v>09/10/2025</v>
      </c>
      <c r="J5371" t="str">
        <f t="shared" si="960"/>
        <v>26/09/2025</v>
      </c>
      <c r="K5371" t="str">
        <f>("09/10/2025")</f>
        <v>09/10/2025</v>
      </c>
      <c r="L5371">
        <v>634</v>
      </c>
      <c r="M5371">
        <v>634</v>
      </c>
      <c r="N5371">
        <v>109</v>
      </c>
      <c r="O5371" t="str">
        <f>"PAGAMENTO DE ENTREGADORES"</f>
        <v>PAGAMENTO DE ENTREGADORES</v>
      </c>
      <c r="P5371">
        <v>634</v>
      </c>
      <c r="S5371" t="str">
        <f>"BANCO C6 (149)"</f>
        <v>BANCO C6 (149)</v>
      </c>
      <c r="T5371">
        <v>19850</v>
      </c>
      <c r="U5371">
        <v>22533</v>
      </c>
      <c r="V5371" t="s">
        <v>77</v>
      </c>
    </row>
    <row r="5372" spans="1:22">
      <c r="A5372" t="str">
        <f t="shared" si="944"/>
        <v>09/10/2025</v>
      </c>
      <c r="B5372" t="str">
        <f t="shared" si="953"/>
        <v>SAÍDA</v>
      </c>
      <c r="C5372" t="str">
        <f t="shared" si="958"/>
        <v>PIX</v>
      </c>
      <c r="D5372" t="str">
        <f>"22533"</f>
        <v>22533</v>
      </c>
      <c r="E5372" t="str">
        <f t="shared" si="959"/>
        <v>1</v>
      </c>
      <c r="F5372" t="str">
        <f t="shared" si="956"/>
        <v>COM</v>
      </c>
      <c r="G5372" t="str">
        <f>"JARLES DE SOUZA PEREIRA (109)"</f>
        <v>JARLES DE SOUZA PEREIRA (109)</v>
      </c>
      <c r="H5372" t="s">
        <v>1419</v>
      </c>
      <c r="I5372" t="str">
        <f t="shared" si="957"/>
        <v>09/10/2025</v>
      </c>
      <c r="J5372" t="str">
        <f t="shared" si="960"/>
        <v>26/09/2025</v>
      </c>
      <c r="K5372">
        <v>45939</v>
      </c>
      <c r="N5372">
        <v>109</v>
      </c>
      <c r="O5372" t="s">
        <v>24</v>
      </c>
      <c r="Q5372">
        <v>634</v>
      </c>
      <c r="R5372" t="str">
        <f>"FARMÁCIA INDIANA LJ 173 (10075)"</f>
        <v>FARMÁCIA INDIANA LJ 173 (10075)</v>
      </c>
      <c r="S5372" t="s">
        <v>77</v>
      </c>
      <c r="T5372">
        <v>19850</v>
      </c>
      <c r="U5372">
        <v>22533</v>
      </c>
      <c r="V5372" t="s">
        <v>77</v>
      </c>
    </row>
    <row r="5373" spans="1:22">
      <c r="A5373" t="str">
        <f t="shared" si="944"/>
        <v>09/10/2025</v>
      </c>
      <c r="B5373" t="str">
        <f t="shared" si="953"/>
        <v>SAÍDA</v>
      </c>
      <c r="C5373" t="str">
        <f t="shared" si="958"/>
        <v>PIX</v>
      </c>
      <c r="D5373" t="str">
        <f>"22532"</f>
        <v>22532</v>
      </c>
      <c r="E5373" t="str">
        <f t="shared" si="959"/>
        <v>1</v>
      </c>
      <c r="F5373" t="str">
        <f t="shared" si="956"/>
        <v>COM</v>
      </c>
      <c r="G5373" t="str">
        <f>"JALDENIR MENDES DOS SANTOS (167)"</f>
        <v>JALDENIR MENDES DOS SANTOS (167)</v>
      </c>
      <c r="H5373" t="str">
        <f>"Serv.Prest. 22/09/2025 a 25/09/2025 - PIX: CPF - CHAVE: 439.169.103-53"</f>
        <v>Serv.Prest. 22/09/2025 a 25/09/2025 - PIX: CPF - CHAVE: 439.169.103-53</v>
      </c>
      <c r="I5373" t="str">
        <f t="shared" si="957"/>
        <v>09/10/2025</v>
      </c>
      <c r="J5373" t="str">
        <f t="shared" si="960"/>
        <v>26/09/2025</v>
      </c>
      <c r="K5373" t="str">
        <f>("09/10/2025")</f>
        <v>09/10/2025</v>
      </c>
      <c r="L5373">
        <v>443.25</v>
      </c>
      <c r="M5373">
        <v>443.25</v>
      </c>
      <c r="N5373">
        <v>109</v>
      </c>
      <c r="O5373" t="str">
        <f>"PAGAMENTO DE ENTREGADORES"</f>
        <v>PAGAMENTO DE ENTREGADORES</v>
      </c>
      <c r="P5373">
        <v>443.25</v>
      </c>
      <c r="S5373" t="str">
        <f>"BANCO C6 (149)"</f>
        <v>BANCO C6 (149)</v>
      </c>
      <c r="T5373">
        <v>19851</v>
      </c>
      <c r="U5373">
        <v>22532</v>
      </c>
      <c r="V5373" t="s">
        <v>77</v>
      </c>
    </row>
    <row r="5374" spans="1:22">
      <c r="A5374" t="str">
        <f t="shared" si="944"/>
        <v>09/10/2025</v>
      </c>
      <c r="B5374" t="str">
        <f t="shared" si="953"/>
        <v>SAÍDA</v>
      </c>
      <c r="C5374" t="str">
        <f t="shared" si="958"/>
        <v>PIX</v>
      </c>
      <c r="D5374" t="str">
        <f>"22532"</f>
        <v>22532</v>
      </c>
      <c r="E5374" t="str">
        <f t="shared" si="959"/>
        <v>1</v>
      </c>
      <c r="F5374" t="str">
        <f t="shared" si="956"/>
        <v>COM</v>
      </c>
      <c r="G5374" t="str">
        <f>"JALDENIR MENDES DOS SANTOS (167)"</f>
        <v>JALDENIR MENDES DOS SANTOS (167)</v>
      </c>
      <c r="H5374" t="s">
        <v>1415</v>
      </c>
      <c r="I5374" t="str">
        <f t="shared" si="957"/>
        <v>09/10/2025</v>
      </c>
      <c r="J5374" t="str">
        <f t="shared" si="960"/>
        <v>26/09/2025</v>
      </c>
      <c r="K5374">
        <v>45939</v>
      </c>
      <c r="N5374">
        <v>109</v>
      </c>
      <c r="O5374" t="s">
        <v>24</v>
      </c>
      <c r="Q5374">
        <v>443.25</v>
      </c>
      <c r="R5374" t="str">
        <f>"FARMÁCIA INDIANA LJ 34 (10014)"</f>
        <v>FARMÁCIA INDIANA LJ 34 (10014)</v>
      </c>
      <c r="S5374" t="s">
        <v>77</v>
      </c>
      <c r="T5374">
        <v>19851</v>
      </c>
      <c r="U5374">
        <v>22532</v>
      </c>
      <c r="V5374" t="s">
        <v>77</v>
      </c>
    </row>
    <row r="5375" spans="1:22">
      <c r="A5375" t="str">
        <f t="shared" si="944"/>
        <v>09/10/2025</v>
      </c>
      <c r="B5375" t="str">
        <f t="shared" si="953"/>
        <v>SAÍDA</v>
      </c>
      <c r="C5375" t="str">
        <f t="shared" si="958"/>
        <v>PIX</v>
      </c>
      <c r="D5375" t="str">
        <f>"22531"</f>
        <v>22531</v>
      </c>
      <c r="E5375" t="str">
        <f t="shared" si="959"/>
        <v>1</v>
      </c>
      <c r="F5375" t="str">
        <f t="shared" si="956"/>
        <v>COM</v>
      </c>
      <c r="G5375" t="str">
        <f>"GUSTAVO SILVA LIMA (771)"</f>
        <v>GUSTAVO SILVA LIMA (771)</v>
      </c>
      <c r="H5375" t="str">
        <f>"Serv.Prest. 22/09/2025 a 25/09/2025 - PIX: CELULAR - CHAVE: (73) 98888-3793"</f>
        <v>Serv.Prest. 22/09/2025 a 25/09/2025 - PIX: CELULAR - CHAVE: (73) 98888-3793</v>
      </c>
      <c r="I5375" t="str">
        <f t="shared" si="957"/>
        <v>09/10/2025</v>
      </c>
      <c r="J5375" t="str">
        <f t="shared" si="960"/>
        <v>26/09/2025</v>
      </c>
      <c r="K5375" t="str">
        <f>("09/10/2025")</f>
        <v>09/10/2025</v>
      </c>
      <c r="L5375">
        <v>634</v>
      </c>
      <c r="M5375">
        <v>634</v>
      </c>
      <c r="N5375">
        <v>109</v>
      </c>
      <c r="O5375" t="str">
        <f>"PAGAMENTO DE ENTREGADORES"</f>
        <v>PAGAMENTO DE ENTREGADORES</v>
      </c>
      <c r="P5375">
        <v>634</v>
      </c>
      <c r="S5375" t="str">
        <f>"BANCO C6 (149)"</f>
        <v>BANCO C6 (149)</v>
      </c>
      <c r="T5375">
        <v>19852</v>
      </c>
      <c r="U5375">
        <v>22531</v>
      </c>
      <c r="V5375" t="s">
        <v>77</v>
      </c>
    </row>
    <row r="5376" spans="1:22">
      <c r="A5376" t="str">
        <f t="shared" si="944"/>
        <v>09/10/2025</v>
      </c>
      <c r="B5376" t="str">
        <f t="shared" si="953"/>
        <v>SAÍDA</v>
      </c>
      <c r="C5376" t="str">
        <f t="shared" si="958"/>
        <v>PIX</v>
      </c>
      <c r="D5376" t="str">
        <f>"22531"</f>
        <v>22531</v>
      </c>
      <c r="E5376" t="str">
        <f t="shared" si="959"/>
        <v>1</v>
      </c>
      <c r="F5376" t="str">
        <f t="shared" si="956"/>
        <v>COM</v>
      </c>
      <c r="G5376" t="str">
        <f>"GUSTAVO SILVA LIMA (771)"</f>
        <v>GUSTAVO SILVA LIMA (771)</v>
      </c>
      <c r="H5376" t="s">
        <v>1410</v>
      </c>
      <c r="I5376" t="str">
        <f t="shared" si="957"/>
        <v>09/10/2025</v>
      </c>
      <c r="J5376" t="str">
        <f t="shared" si="960"/>
        <v>26/09/2025</v>
      </c>
      <c r="K5376">
        <v>45939</v>
      </c>
      <c r="N5376">
        <v>109</v>
      </c>
      <c r="O5376" t="s">
        <v>24</v>
      </c>
      <c r="Q5376">
        <v>634</v>
      </c>
      <c r="R5376" t="str">
        <f>"FARMÁCIA INDIANA LJ 65 (10030)"</f>
        <v>FARMÁCIA INDIANA LJ 65 (10030)</v>
      </c>
      <c r="S5376" t="s">
        <v>77</v>
      </c>
      <c r="T5376">
        <v>19852</v>
      </c>
      <c r="U5376">
        <v>22531</v>
      </c>
      <c r="V5376" t="s">
        <v>77</v>
      </c>
    </row>
    <row r="5377" spans="1:22">
      <c r="A5377" t="str">
        <f t="shared" si="944"/>
        <v>09/10/2025</v>
      </c>
      <c r="B5377" t="str">
        <f t="shared" si="953"/>
        <v>SAÍDA</v>
      </c>
      <c r="C5377" t="str">
        <f t="shared" si="958"/>
        <v>PIX</v>
      </c>
      <c r="D5377" t="str">
        <f>"22529"</f>
        <v>22529</v>
      </c>
      <c r="E5377" t="str">
        <f t="shared" si="959"/>
        <v>1</v>
      </c>
      <c r="F5377" t="str">
        <f t="shared" si="956"/>
        <v>COM</v>
      </c>
      <c r="G5377" t="str">
        <f>"GILBERTO PINHEIRO DA ROCHA (155)"</f>
        <v>GILBERTO PINHEIRO DA ROCHA (155)</v>
      </c>
      <c r="H5377" t="str">
        <f>"Serv.Prest. 22/09/2025 a 25/09/2025 - PIX: CELULAR - CHAVE: (73) 99941-8352"</f>
        <v>Serv.Prest. 22/09/2025 a 25/09/2025 - PIX: CELULAR - CHAVE: (73) 99941-8352</v>
      </c>
      <c r="I5377" t="str">
        <f t="shared" si="957"/>
        <v>09/10/2025</v>
      </c>
      <c r="J5377" t="str">
        <f t="shared" si="960"/>
        <v>26/09/2025</v>
      </c>
      <c r="K5377" t="str">
        <f>("09/10/2025")</f>
        <v>09/10/2025</v>
      </c>
      <c r="L5377">
        <v>403.75</v>
      </c>
      <c r="M5377">
        <v>403.75</v>
      </c>
      <c r="N5377">
        <v>109</v>
      </c>
      <c r="O5377" t="str">
        <f>"PAGAMENTO DE ENTREGADORES"</f>
        <v>PAGAMENTO DE ENTREGADORES</v>
      </c>
      <c r="P5377">
        <v>403.75</v>
      </c>
      <c r="S5377" t="str">
        <f>"BANCO C6 (149)"</f>
        <v>BANCO C6 (149)</v>
      </c>
      <c r="T5377">
        <v>19853</v>
      </c>
      <c r="U5377">
        <v>22529</v>
      </c>
      <c r="V5377" t="s">
        <v>77</v>
      </c>
    </row>
    <row r="5378" spans="1:22">
      <c r="A5378" t="str">
        <f t="shared" si="944"/>
        <v>09/10/2025</v>
      </c>
      <c r="B5378" t="str">
        <f t="shared" si="953"/>
        <v>SAÍDA</v>
      </c>
      <c r="C5378" t="str">
        <f t="shared" si="958"/>
        <v>PIX</v>
      </c>
      <c r="D5378" t="str">
        <f>"22529"</f>
        <v>22529</v>
      </c>
      <c r="E5378" t="str">
        <f t="shared" si="959"/>
        <v>1</v>
      </c>
      <c r="F5378" t="str">
        <f t="shared" si="956"/>
        <v>COM</v>
      </c>
      <c r="G5378" t="str">
        <f>"GILBERTO PINHEIRO DA ROCHA (155)"</f>
        <v>GILBERTO PINHEIRO DA ROCHA (155)</v>
      </c>
      <c r="H5378" t="s">
        <v>1523</v>
      </c>
      <c r="I5378" t="str">
        <f t="shared" si="957"/>
        <v>09/10/2025</v>
      </c>
      <c r="J5378" t="str">
        <f t="shared" si="960"/>
        <v>26/09/2025</v>
      </c>
      <c r="K5378">
        <v>45939</v>
      </c>
      <c r="N5378">
        <v>109</v>
      </c>
      <c r="O5378" t="s">
        <v>24</v>
      </c>
      <c r="Q5378">
        <v>403.75</v>
      </c>
      <c r="R5378" t="str">
        <f>"FARMÁCIA INDIANA LJ 34 (10014)"</f>
        <v>FARMÁCIA INDIANA LJ 34 (10014)</v>
      </c>
      <c r="S5378" t="s">
        <v>77</v>
      </c>
      <c r="T5378">
        <v>19853</v>
      </c>
      <c r="U5378">
        <v>22529</v>
      </c>
      <c r="V5378" t="s">
        <v>77</v>
      </c>
    </row>
    <row r="5379" spans="1:22">
      <c r="A5379" t="str">
        <f t="shared" si="944"/>
        <v>09/10/2025</v>
      </c>
      <c r="B5379" t="str">
        <f t="shared" si="953"/>
        <v>SAÍDA</v>
      </c>
      <c r="C5379" t="str">
        <f t="shared" si="958"/>
        <v>PIX</v>
      </c>
      <c r="D5379" t="str">
        <f>"22528"</f>
        <v>22528</v>
      </c>
      <c r="E5379" t="str">
        <f t="shared" si="959"/>
        <v>1</v>
      </c>
      <c r="F5379" t="str">
        <f t="shared" si="956"/>
        <v>COM</v>
      </c>
      <c r="G5379" t="str">
        <f>"GABRIEL SOUZA RIBEIRO (425)"</f>
        <v>GABRIEL SOUZA RIBEIRO (425)</v>
      </c>
      <c r="H5379" t="str">
        <f>"Serv.Prest. 22/09/2025 a 25/09/2025 - PIX: CPF - CHAVE: 087.398.185-51"</f>
        <v>Serv.Prest. 22/09/2025 a 25/09/2025 - PIX: CPF - CHAVE: 087.398.185-51</v>
      </c>
      <c r="I5379" t="str">
        <f t="shared" si="957"/>
        <v>09/10/2025</v>
      </c>
      <c r="J5379" t="str">
        <f t="shared" si="960"/>
        <v>26/09/2025</v>
      </c>
      <c r="K5379" t="str">
        <f>("09/10/2025")</f>
        <v>09/10/2025</v>
      </c>
      <c r="L5379">
        <v>634</v>
      </c>
      <c r="M5379">
        <v>634</v>
      </c>
      <c r="N5379">
        <v>109</v>
      </c>
      <c r="O5379" t="str">
        <f>"PAGAMENTO DE ENTREGADORES"</f>
        <v>PAGAMENTO DE ENTREGADORES</v>
      </c>
      <c r="P5379">
        <v>634</v>
      </c>
      <c r="S5379" t="str">
        <f>"BANCO C6 (149)"</f>
        <v>BANCO C6 (149)</v>
      </c>
      <c r="T5379">
        <v>19854</v>
      </c>
      <c r="U5379">
        <v>22528</v>
      </c>
      <c r="V5379" t="s">
        <v>77</v>
      </c>
    </row>
    <row r="5380" spans="1:22">
      <c r="A5380" t="str">
        <f t="shared" ref="A5380:A5443" si="961">("09/10/2025")</f>
        <v>09/10/2025</v>
      </c>
      <c r="B5380" t="str">
        <f t="shared" si="953"/>
        <v>SAÍDA</v>
      </c>
      <c r="C5380" t="str">
        <f t="shared" si="958"/>
        <v>PIX</v>
      </c>
      <c r="D5380" t="str">
        <f>"22528"</f>
        <v>22528</v>
      </c>
      <c r="E5380" t="str">
        <f t="shared" si="959"/>
        <v>1</v>
      </c>
      <c r="F5380" t="str">
        <f t="shared" si="956"/>
        <v>COM</v>
      </c>
      <c r="G5380" t="str">
        <f>"GABRIEL SOUZA RIBEIRO (425)"</f>
        <v>GABRIEL SOUZA RIBEIRO (425)</v>
      </c>
      <c r="H5380" t="s">
        <v>1403</v>
      </c>
      <c r="I5380" t="str">
        <f t="shared" si="957"/>
        <v>09/10/2025</v>
      </c>
      <c r="J5380" t="str">
        <f t="shared" si="960"/>
        <v>26/09/2025</v>
      </c>
      <c r="K5380">
        <v>45939</v>
      </c>
      <c r="N5380">
        <v>109</v>
      </c>
      <c r="O5380" t="s">
        <v>24</v>
      </c>
      <c r="Q5380">
        <v>634</v>
      </c>
      <c r="R5380" t="str">
        <f>"FARMÁCIA INDIANA LJ 65 (10030)"</f>
        <v>FARMÁCIA INDIANA LJ 65 (10030)</v>
      </c>
      <c r="S5380" t="s">
        <v>77</v>
      </c>
      <c r="T5380">
        <v>19854</v>
      </c>
      <c r="U5380">
        <v>22528</v>
      </c>
      <c r="V5380" t="s">
        <v>77</v>
      </c>
    </row>
    <row r="5381" spans="1:22">
      <c r="A5381" t="str">
        <f t="shared" si="961"/>
        <v>09/10/2025</v>
      </c>
      <c r="B5381" t="str">
        <f t="shared" si="953"/>
        <v>SAÍDA</v>
      </c>
      <c r="C5381" t="str">
        <f t="shared" si="958"/>
        <v>PIX</v>
      </c>
      <c r="D5381" t="str">
        <f>"22527"</f>
        <v>22527</v>
      </c>
      <c r="E5381" t="str">
        <f t="shared" si="959"/>
        <v>1</v>
      </c>
      <c r="F5381" t="str">
        <f t="shared" si="956"/>
        <v>COM</v>
      </c>
      <c r="G5381" t="str">
        <f>"ERIC DE RAMOS GOMES (606)"</f>
        <v>ERIC DE RAMOS GOMES (606)</v>
      </c>
      <c r="H5381" t="str">
        <f>"Serv.Prest. 22/09/2025 a 25/09/2025 - PIX: E-MAIL - CHAVE: ericgomes508@gmail.com"</f>
        <v>Serv.Prest. 22/09/2025 a 25/09/2025 - PIX: E-MAIL - CHAVE: ericgomes508@gmail.com</v>
      </c>
      <c r="I5381" t="str">
        <f t="shared" si="957"/>
        <v>09/10/2025</v>
      </c>
      <c r="J5381" t="str">
        <f t="shared" si="960"/>
        <v>26/09/2025</v>
      </c>
      <c r="K5381" t="str">
        <f>("09/10/2025")</f>
        <v>09/10/2025</v>
      </c>
      <c r="L5381">
        <v>496</v>
      </c>
      <c r="M5381">
        <v>496</v>
      </c>
      <c r="N5381">
        <v>109</v>
      </c>
      <c r="O5381" t="str">
        <f>"PAGAMENTO DE ENTREGADORES"</f>
        <v>PAGAMENTO DE ENTREGADORES</v>
      </c>
      <c r="P5381">
        <v>496</v>
      </c>
      <c r="S5381" t="str">
        <f>"BANCO C6 (149)"</f>
        <v>BANCO C6 (149)</v>
      </c>
      <c r="T5381">
        <v>19855</v>
      </c>
      <c r="U5381">
        <v>22527</v>
      </c>
      <c r="V5381" t="s">
        <v>77</v>
      </c>
    </row>
    <row r="5382" spans="1:22">
      <c r="A5382" t="str">
        <f t="shared" si="961"/>
        <v>09/10/2025</v>
      </c>
      <c r="B5382" t="str">
        <f t="shared" si="953"/>
        <v>SAÍDA</v>
      </c>
      <c r="C5382" t="str">
        <f t="shared" si="958"/>
        <v>PIX</v>
      </c>
      <c r="D5382" t="str">
        <f>"22527"</f>
        <v>22527</v>
      </c>
      <c r="E5382" t="str">
        <f t="shared" si="959"/>
        <v>1</v>
      </c>
      <c r="F5382" t="str">
        <f t="shared" si="956"/>
        <v>COM</v>
      </c>
      <c r="G5382" t="str">
        <f>"ERIC DE RAMOS GOMES (606)"</f>
        <v>ERIC DE RAMOS GOMES (606)</v>
      </c>
      <c r="H5382" t="s">
        <v>1395</v>
      </c>
      <c r="I5382" t="str">
        <f t="shared" si="957"/>
        <v>09/10/2025</v>
      </c>
      <c r="J5382" t="str">
        <f t="shared" si="960"/>
        <v>26/09/2025</v>
      </c>
      <c r="K5382">
        <v>45939</v>
      </c>
      <c r="N5382">
        <v>109</v>
      </c>
      <c r="O5382" t="s">
        <v>24</v>
      </c>
      <c r="Q5382">
        <v>496</v>
      </c>
      <c r="R5382" t="str">
        <f>"FARMÁCIA INDIANA LJ 91 (10037)"</f>
        <v>FARMÁCIA INDIANA LJ 91 (10037)</v>
      </c>
      <c r="S5382" t="s">
        <v>77</v>
      </c>
      <c r="T5382">
        <v>19855</v>
      </c>
      <c r="U5382">
        <v>22527</v>
      </c>
      <c r="V5382" t="s">
        <v>77</v>
      </c>
    </row>
    <row r="5383" spans="1:22">
      <c r="A5383" t="str">
        <f t="shared" si="961"/>
        <v>09/10/2025</v>
      </c>
      <c r="B5383" t="str">
        <f t="shared" si="953"/>
        <v>SAÍDA</v>
      </c>
      <c r="C5383" t="str">
        <f t="shared" si="958"/>
        <v>PIX</v>
      </c>
      <c r="D5383" t="str">
        <f>"22526"</f>
        <v>22526</v>
      </c>
      <c r="E5383" t="str">
        <f t="shared" si="959"/>
        <v>1</v>
      </c>
      <c r="F5383" t="str">
        <f t="shared" si="956"/>
        <v>COM</v>
      </c>
      <c r="G5383" t="str">
        <f>"EDUARDO SILVA DE JESUS (143)"</f>
        <v>EDUARDO SILVA DE JESUS (143)</v>
      </c>
      <c r="H5383" t="str">
        <f>"Serv.Prest. 22/09/2025 a 25/09/2025 - PIX: CPF - CHAVE: 094.947.395-23"</f>
        <v>Serv.Prest. 22/09/2025 a 25/09/2025 - PIX: CPF - CHAVE: 094.947.395-23</v>
      </c>
      <c r="I5383" t="str">
        <f t="shared" si="957"/>
        <v>09/10/2025</v>
      </c>
      <c r="J5383" t="str">
        <f t="shared" si="960"/>
        <v>26/09/2025</v>
      </c>
      <c r="K5383" t="str">
        <f>("09/10/2025")</f>
        <v>09/10/2025</v>
      </c>
      <c r="L5383">
        <v>306</v>
      </c>
      <c r="M5383">
        <v>306</v>
      </c>
      <c r="N5383">
        <v>109</v>
      </c>
      <c r="O5383" t="str">
        <f>"PAGAMENTO DE ENTREGADORES"</f>
        <v>PAGAMENTO DE ENTREGADORES</v>
      </c>
      <c r="P5383">
        <v>306</v>
      </c>
      <c r="S5383" t="str">
        <f>"BANCO C6 (149)"</f>
        <v>BANCO C6 (149)</v>
      </c>
      <c r="T5383">
        <v>19856</v>
      </c>
      <c r="U5383">
        <v>22526</v>
      </c>
      <c r="V5383" t="s">
        <v>77</v>
      </c>
    </row>
    <row r="5384" spans="1:22">
      <c r="A5384" t="str">
        <f t="shared" si="961"/>
        <v>09/10/2025</v>
      </c>
      <c r="B5384" t="str">
        <f t="shared" si="953"/>
        <v>SAÍDA</v>
      </c>
      <c r="C5384" t="str">
        <f t="shared" si="958"/>
        <v>PIX</v>
      </c>
      <c r="D5384" t="str">
        <f>"22526"</f>
        <v>22526</v>
      </c>
      <c r="E5384" t="str">
        <f t="shared" si="959"/>
        <v>1</v>
      </c>
      <c r="F5384" t="str">
        <f t="shared" si="956"/>
        <v>COM</v>
      </c>
      <c r="G5384" t="str">
        <f>"EDUARDO SILVA DE JESUS (143)"</f>
        <v>EDUARDO SILVA DE JESUS (143)</v>
      </c>
      <c r="H5384" t="s">
        <v>1524</v>
      </c>
      <c r="I5384" t="str">
        <f t="shared" si="957"/>
        <v>09/10/2025</v>
      </c>
      <c r="J5384" t="str">
        <f t="shared" si="960"/>
        <v>26/09/2025</v>
      </c>
      <c r="K5384">
        <v>45939</v>
      </c>
      <c r="N5384">
        <v>109</v>
      </c>
      <c r="O5384" t="s">
        <v>24</v>
      </c>
      <c r="Q5384">
        <v>306</v>
      </c>
      <c r="R5384" t="str">
        <f>"FARMÁCIA INDIANA LJ 91 (10037)"</f>
        <v>FARMÁCIA INDIANA LJ 91 (10037)</v>
      </c>
      <c r="S5384" t="s">
        <v>77</v>
      </c>
      <c r="T5384">
        <v>19856</v>
      </c>
      <c r="U5384">
        <v>22526</v>
      </c>
      <c r="V5384" t="s">
        <v>77</v>
      </c>
    </row>
    <row r="5385" spans="1:22">
      <c r="A5385" t="str">
        <f t="shared" si="961"/>
        <v>09/10/2025</v>
      </c>
      <c r="B5385" t="str">
        <f t="shared" si="953"/>
        <v>SAÍDA</v>
      </c>
      <c r="C5385" t="str">
        <f t="shared" si="958"/>
        <v>PIX</v>
      </c>
      <c r="D5385" t="str">
        <f>"22525"</f>
        <v>22525</v>
      </c>
      <c r="E5385" t="str">
        <f t="shared" si="959"/>
        <v>1</v>
      </c>
      <c r="F5385" t="str">
        <f t="shared" si="956"/>
        <v>COM</v>
      </c>
      <c r="G5385" t="str">
        <f>"DIOCLECIO SANDES JOTA (135)"</f>
        <v>DIOCLECIO SANDES JOTA (135)</v>
      </c>
      <c r="H5385" t="str">
        <f>"Serv.Prest. 22/09/2025 a 25/09/2025 - PIX: CELULAR - CHAVE: (73) 99966-7211"</f>
        <v>Serv.Prest. 22/09/2025 a 25/09/2025 - PIX: CELULAR - CHAVE: (73) 99966-7211</v>
      </c>
      <c r="I5385" t="str">
        <f t="shared" si="957"/>
        <v>09/10/2025</v>
      </c>
      <c r="J5385" t="str">
        <f t="shared" si="960"/>
        <v>26/09/2025</v>
      </c>
      <c r="K5385" t="str">
        <f>("09/10/2025")</f>
        <v>09/10/2025</v>
      </c>
      <c r="L5385">
        <v>1086</v>
      </c>
      <c r="M5385">
        <v>1086</v>
      </c>
      <c r="N5385">
        <v>109</v>
      </c>
      <c r="O5385" t="str">
        <f>"PAGAMENTO DE ENTREGADORES"</f>
        <v>PAGAMENTO DE ENTREGADORES</v>
      </c>
      <c r="P5385">
        <v>1086</v>
      </c>
      <c r="S5385" t="str">
        <f>"BANCO C6 (149)"</f>
        <v>BANCO C6 (149)</v>
      </c>
      <c r="T5385">
        <v>19857</v>
      </c>
      <c r="U5385">
        <v>22525</v>
      </c>
      <c r="V5385" t="s">
        <v>77</v>
      </c>
    </row>
    <row r="5386" spans="1:22">
      <c r="A5386" t="str">
        <f t="shared" si="961"/>
        <v>09/10/2025</v>
      </c>
      <c r="B5386" t="str">
        <f t="shared" si="953"/>
        <v>SAÍDA</v>
      </c>
      <c r="C5386" t="str">
        <f t="shared" si="958"/>
        <v>PIX</v>
      </c>
      <c r="D5386" t="str">
        <f>"22525"</f>
        <v>22525</v>
      </c>
      <c r="E5386" t="str">
        <f t="shared" si="959"/>
        <v>1</v>
      </c>
      <c r="F5386" t="str">
        <f t="shared" si="956"/>
        <v>COM</v>
      </c>
      <c r="G5386" t="str">
        <f>"DIOCLECIO SANDES JOTA (135)"</f>
        <v>DIOCLECIO SANDES JOTA (135)</v>
      </c>
      <c r="H5386" t="s">
        <v>1525</v>
      </c>
      <c r="I5386" t="str">
        <f t="shared" si="957"/>
        <v>09/10/2025</v>
      </c>
      <c r="J5386" t="str">
        <f t="shared" si="960"/>
        <v>26/09/2025</v>
      </c>
      <c r="K5386">
        <v>45939</v>
      </c>
      <c r="N5386">
        <v>109</v>
      </c>
      <c r="O5386" t="s">
        <v>24</v>
      </c>
      <c r="Q5386">
        <v>1086</v>
      </c>
      <c r="R5386" t="str">
        <f>"FARMÁCIA INDIANA LJ 91 (10037)"</f>
        <v>FARMÁCIA INDIANA LJ 91 (10037)</v>
      </c>
      <c r="S5386" t="s">
        <v>77</v>
      </c>
      <c r="T5386">
        <v>19857</v>
      </c>
      <c r="U5386">
        <v>22525</v>
      </c>
      <c r="V5386" t="s">
        <v>77</v>
      </c>
    </row>
    <row r="5387" spans="1:22">
      <c r="A5387" t="str">
        <f t="shared" si="961"/>
        <v>09/10/2025</v>
      </c>
      <c r="B5387" t="str">
        <f t="shared" si="953"/>
        <v>SAÍDA</v>
      </c>
      <c r="C5387" t="str">
        <f t="shared" si="958"/>
        <v>PIX</v>
      </c>
      <c r="D5387" t="str">
        <f>"22523"</f>
        <v>22523</v>
      </c>
      <c r="E5387" t="str">
        <f t="shared" si="959"/>
        <v>1</v>
      </c>
      <c r="F5387" t="str">
        <f t="shared" si="956"/>
        <v>COM</v>
      </c>
      <c r="G5387" t="str">
        <f>"CARLOS ALBERTO DE JESUS SANTOS (110)"</f>
        <v>CARLOS ALBERTO DE JESUS SANTOS (110)</v>
      </c>
      <c r="H5387" t="str">
        <f>"Serv.Prest. 22/09/2025 a 25/09/2025 - PIX: CPF - CHAVE: 036.875.515-04"</f>
        <v>Serv.Prest. 22/09/2025 a 25/09/2025 - PIX: CPF - CHAVE: 036.875.515-04</v>
      </c>
      <c r="I5387" t="str">
        <f t="shared" si="957"/>
        <v>09/10/2025</v>
      </c>
      <c r="J5387" t="str">
        <f t="shared" si="960"/>
        <v>26/09/2025</v>
      </c>
      <c r="K5387" t="str">
        <f>("09/10/2025")</f>
        <v>09/10/2025</v>
      </c>
      <c r="L5387">
        <v>654</v>
      </c>
      <c r="M5387">
        <v>654</v>
      </c>
      <c r="N5387">
        <v>109</v>
      </c>
      <c r="O5387" t="str">
        <f>"PAGAMENTO DE ENTREGADORES"</f>
        <v>PAGAMENTO DE ENTREGADORES</v>
      </c>
      <c r="P5387">
        <v>654</v>
      </c>
      <c r="S5387" t="str">
        <f>"BANCO C6 (149)"</f>
        <v>BANCO C6 (149)</v>
      </c>
      <c r="T5387">
        <v>19858</v>
      </c>
      <c r="U5387">
        <v>22523</v>
      </c>
      <c r="V5387" t="s">
        <v>77</v>
      </c>
    </row>
    <row r="5388" spans="1:22">
      <c r="A5388" t="str">
        <f t="shared" si="961"/>
        <v>09/10/2025</v>
      </c>
      <c r="B5388" t="str">
        <f t="shared" si="953"/>
        <v>SAÍDA</v>
      </c>
      <c r="C5388" t="str">
        <f t="shared" si="958"/>
        <v>PIX</v>
      </c>
      <c r="D5388" t="str">
        <f>"22523"</f>
        <v>22523</v>
      </c>
      <c r="E5388" t="str">
        <f t="shared" si="959"/>
        <v>1</v>
      </c>
      <c r="F5388" t="str">
        <f t="shared" si="956"/>
        <v>COM</v>
      </c>
      <c r="G5388" t="str">
        <f>"CARLOS ALBERTO DE JESUS SANTOS (110)"</f>
        <v>CARLOS ALBERTO DE JESUS SANTOS (110)</v>
      </c>
      <c r="H5388" t="s">
        <v>1526</v>
      </c>
      <c r="I5388" t="str">
        <f t="shared" si="957"/>
        <v>09/10/2025</v>
      </c>
      <c r="J5388" t="str">
        <f t="shared" si="960"/>
        <v>26/09/2025</v>
      </c>
      <c r="K5388">
        <v>45939</v>
      </c>
      <c r="N5388">
        <v>109</v>
      </c>
      <c r="O5388" t="s">
        <v>24</v>
      </c>
      <c r="Q5388">
        <v>327</v>
      </c>
      <c r="R5388" t="str">
        <f>"FARMÁCIA INDIANA LJ 65 (10030)"</f>
        <v>FARMÁCIA INDIANA LJ 65 (10030)</v>
      </c>
      <c r="S5388" t="s">
        <v>77</v>
      </c>
      <c r="T5388">
        <v>19858</v>
      </c>
      <c r="U5388">
        <v>22523</v>
      </c>
      <c r="V5388" t="s">
        <v>77</v>
      </c>
    </row>
    <row r="5389" spans="1:22">
      <c r="A5389" t="str">
        <f t="shared" si="961"/>
        <v>09/10/2025</v>
      </c>
      <c r="B5389" t="str">
        <f t="shared" si="953"/>
        <v>SAÍDA</v>
      </c>
      <c r="C5389" t="str">
        <f t="shared" si="958"/>
        <v>PIX</v>
      </c>
      <c r="D5389" t="str">
        <f>"22523"</f>
        <v>22523</v>
      </c>
      <c r="E5389" t="str">
        <f t="shared" si="959"/>
        <v>1</v>
      </c>
      <c r="F5389" t="str">
        <f t="shared" si="956"/>
        <v>COM</v>
      </c>
      <c r="G5389" t="str">
        <f>"CARLOS ALBERTO DE JESUS SANTOS (110)"</f>
        <v>CARLOS ALBERTO DE JESUS SANTOS (110)</v>
      </c>
      <c r="H5389" t="s">
        <v>1526</v>
      </c>
      <c r="I5389" t="str">
        <f t="shared" si="957"/>
        <v>09/10/2025</v>
      </c>
      <c r="J5389" t="str">
        <f t="shared" si="960"/>
        <v>26/09/2025</v>
      </c>
      <c r="K5389">
        <v>45939</v>
      </c>
      <c r="N5389">
        <v>109</v>
      </c>
      <c r="O5389" t="s">
        <v>24</v>
      </c>
      <c r="Q5389">
        <v>327</v>
      </c>
      <c r="R5389" t="str">
        <f>"FARMÁCIA INDIANA LJ 173 (10075)"</f>
        <v>FARMÁCIA INDIANA LJ 173 (10075)</v>
      </c>
      <c r="S5389" t="s">
        <v>77</v>
      </c>
      <c r="T5389">
        <v>19858</v>
      </c>
      <c r="U5389">
        <v>22523</v>
      </c>
      <c r="V5389" t="s">
        <v>77</v>
      </c>
    </row>
    <row r="5390" spans="1:22">
      <c r="A5390" t="str">
        <f t="shared" si="961"/>
        <v>09/10/2025</v>
      </c>
      <c r="B5390" t="str">
        <f t="shared" si="953"/>
        <v>SAÍDA</v>
      </c>
      <c r="C5390" t="str">
        <f t="shared" si="958"/>
        <v>PIX</v>
      </c>
      <c r="D5390" t="str">
        <f>"22521"</f>
        <v>22521</v>
      </c>
      <c r="E5390" t="str">
        <f t="shared" si="959"/>
        <v>1</v>
      </c>
      <c r="F5390" t="str">
        <f t="shared" si="956"/>
        <v>COM</v>
      </c>
      <c r="G5390" t="str">
        <f>"CASSIO DIAS RIBEIRO (32)"</f>
        <v>CASSIO DIAS RIBEIRO (32)</v>
      </c>
      <c r="H5390" t="str">
        <f>"Serv.Prest. 22/09/2025 a 26/09/2025 - PIX: CPF - CHAVE: 091.575.986-14"</f>
        <v>Serv.Prest. 22/09/2025 a 26/09/2025 - PIX: CPF - CHAVE: 091.575.986-14</v>
      </c>
      <c r="I5390" t="str">
        <f t="shared" si="957"/>
        <v>09/10/2025</v>
      </c>
      <c r="J5390" t="str">
        <f t="shared" si="960"/>
        <v>26/09/2025</v>
      </c>
      <c r="K5390" t="str">
        <f>("09/10/2025")</f>
        <v>09/10/2025</v>
      </c>
      <c r="L5390">
        <v>1242</v>
      </c>
      <c r="M5390">
        <v>1242</v>
      </c>
      <c r="N5390">
        <v>109</v>
      </c>
      <c r="O5390" t="str">
        <f>"PAGAMENTO DE ENTREGADORES"</f>
        <v>PAGAMENTO DE ENTREGADORES</v>
      </c>
      <c r="P5390">
        <v>1242</v>
      </c>
      <c r="S5390" t="str">
        <f>"BANCO C6 (149)"</f>
        <v>BANCO C6 (149)</v>
      </c>
      <c r="T5390">
        <v>19859</v>
      </c>
      <c r="U5390">
        <v>22521</v>
      </c>
      <c r="V5390" t="s">
        <v>77</v>
      </c>
    </row>
    <row r="5391" spans="1:22">
      <c r="A5391" t="str">
        <f t="shared" si="961"/>
        <v>09/10/2025</v>
      </c>
      <c r="B5391" t="str">
        <f t="shared" si="953"/>
        <v>SAÍDA</v>
      </c>
      <c r="C5391" t="str">
        <f t="shared" si="958"/>
        <v>PIX</v>
      </c>
      <c r="D5391" t="str">
        <f>"22521"</f>
        <v>22521</v>
      </c>
      <c r="E5391" t="str">
        <f t="shared" si="959"/>
        <v>1</v>
      </c>
      <c r="F5391" t="str">
        <f t="shared" si="956"/>
        <v>COM</v>
      </c>
      <c r="G5391" t="str">
        <f>"CASSIO DIAS RIBEIRO (32)"</f>
        <v>CASSIO DIAS RIBEIRO (32)</v>
      </c>
      <c r="H5391" t="s">
        <v>1527</v>
      </c>
      <c r="I5391" t="str">
        <f t="shared" si="957"/>
        <v>09/10/2025</v>
      </c>
      <c r="J5391" t="str">
        <f t="shared" si="960"/>
        <v>26/09/2025</v>
      </c>
      <c r="K5391">
        <v>45939</v>
      </c>
      <c r="N5391">
        <v>109</v>
      </c>
      <c r="O5391" t="s">
        <v>24</v>
      </c>
      <c r="Q5391">
        <v>1242</v>
      </c>
      <c r="R5391" t="str">
        <f>"FARMÁCIA INDIANA LJ 18 (10011)"</f>
        <v>FARMÁCIA INDIANA LJ 18 (10011)</v>
      </c>
      <c r="S5391" t="s">
        <v>77</v>
      </c>
      <c r="T5391">
        <v>19859</v>
      </c>
      <c r="U5391">
        <v>22521</v>
      </c>
      <c r="V5391" t="s">
        <v>77</v>
      </c>
    </row>
    <row r="5392" spans="1:22">
      <c r="A5392" t="str">
        <f t="shared" si="961"/>
        <v>09/10/2025</v>
      </c>
      <c r="B5392" t="str">
        <f t="shared" si="953"/>
        <v>SAÍDA</v>
      </c>
      <c r="C5392" t="str">
        <f t="shared" si="958"/>
        <v>PIX</v>
      </c>
      <c r="D5392" t="str">
        <f>"22592"</f>
        <v>22592</v>
      </c>
      <c r="E5392" t="str">
        <f t="shared" si="959"/>
        <v>1</v>
      </c>
      <c r="F5392" t="str">
        <f t="shared" si="956"/>
        <v>COM</v>
      </c>
      <c r="G5392" t="str">
        <f>"JUBER FERREIRA SILVA BASTOS (192)"</f>
        <v>JUBER FERREIRA SILVA BASTOS (192)</v>
      </c>
      <c r="H5392" t="str">
        <f>"Serv.Prest. 22/09/2025 a 25/09/2025 - PIX: CPF - CHAVE: 012.459.366-62"</f>
        <v>Serv.Prest. 22/09/2025 a 25/09/2025 - PIX: CPF - CHAVE: 012.459.366-62</v>
      </c>
      <c r="I5392" t="str">
        <f t="shared" si="957"/>
        <v>09/10/2025</v>
      </c>
      <c r="J5392" t="str">
        <f t="shared" si="960"/>
        <v>26/09/2025</v>
      </c>
      <c r="K5392" t="str">
        <f>("09/10/2025")</f>
        <v>09/10/2025</v>
      </c>
      <c r="L5392">
        <v>720</v>
      </c>
      <c r="M5392">
        <v>720</v>
      </c>
      <c r="N5392">
        <v>109</v>
      </c>
      <c r="O5392" t="str">
        <f>"PAGAMENTO DE ENTREGADORES"</f>
        <v>PAGAMENTO DE ENTREGADORES</v>
      </c>
      <c r="P5392">
        <v>720</v>
      </c>
      <c r="S5392" t="str">
        <f>"BANCO C6 (149)"</f>
        <v>BANCO C6 (149)</v>
      </c>
      <c r="T5392">
        <v>19860</v>
      </c>
      <c r="U5392">
        <v>22592</v>
      </c>
      <c r="V5392" t="s">
        <v>77</v>
      </c>
    </row>
    <row r="5393" spans="1:22">
      <c r="A5393" t="str">
        <f t="shared" si="961"/>
        <v>09/10/2025</v>
      </c>
      <c r="B5393" t="str">
        <f t="shared" si="953"/>
        <v>SAÍDA</v>
      </c>
      <c r="C5393" t="str">
        <f t="shared" si="958"/>
        <v>PIX</v>
      </c>
      <c r="D5393" t="str">
        <f>"22592"</f>
        <v>22592</v>
      </c>
      <c r="E5393" t="str">
        <f t="shared" si="959"/>
        <v>1</v>
      </c>
      <c r="F5393" t="str">
        <f t="shared" si="956"/>
        <v>COM</v>
      </c>
      <c r="G5393" t="str">
        <f>"JUBER FERREIRA SILVA BASTOS (192)"</f>
        <v>JUBER FERREIRA SILVA BASTOS (192)</v>
      </c>
      <c r="H5393" t="s">
        <v>1528</v>
      </c>
      <c r="I5393" t="str">
        <f t="shared" si="957"/>
        <v>09/10/2025</v>
      </c>
      <c r="J5393" t="str">
        <f t="shared" si="960"/>
        <v>26/09/2025</v>
      </c>
      <c r="K5393">
        <v>45939</v>
      </c>
      <c r="N5393">
        <v>109</v>
      </c>
      <c r="O5393" t="s">
        <v>24</v>
      </c>
      <c r="Q5393">
        <v>720</v>
      </c>
      <c r="R5393" t="str">
        <f>"FARMÁCIA INDIANA LJ 06 (10006)"</f>
        <v>FARMÁCIA INDIANA LJ 06 (10006)</v>
      </c>
      <c r="S5393" t="s">
        <v>77</v>
      </c>
      <c r="T5393">
        <v>19860</v>
      </c>
      <c r="U5393">
        <v>22592</v>
      </c>
      <c r="V5393" t="s">
        <v>77</v>
      </c>
    </row>
    <row r="5394" spans="1:22">
      <c r="A5394" t="str">
        <f t="shared" si="961"/>
        <v>09/10/2025</v>
      </c>
      <c r="B5394" t="str">
        <f t="shared" si="953"/>
        <v>SAÍDA</v>
      </c>
      <c r="C5394" t="str">
        <f t="shared" si="958"/>
        <v>PIX</v>
      </c>
      <c r="D5394" t="str">
        <f>"22590"</f>
        <v>22590</v>
      </c>
      <c r="E5394" t="str">
        <f t="shared" si="959"/>
        <v>1</v>
      </c>
      <c r="F5394" t="str">
        <f t="shared" si="956"/>
        <v>COM</v>
      </c>
      <c r="G5394" t="str">
        <f>"JOSÉ CARLOS DA COSTA (83)"</f>
        <v>JOSÉ CARLOS DA COSTA (83)</v>
      </c>
      <c r="H5394" t="str">
        <f>"Serv.Prest. 22/09/2025 a 25/09/2025 - PIX: CPF - CHAVE: 043.301.196-33"</f>
        <v>Serv.Prest. 22/09/2025 a 25/09/2025 - PIX: CPF - CHAVE: 043.301.196-33</v>
      </c>
      <c r="I5394" t="str">
        <f t="shared" si="957"/>
        <v>09/10/2025</v>
      </c>
      <c r="J5394" t="str">
        <f t="shared" si="960"/>
        <v>26/09/2025</v>
      </c>
      <c r="K5394" t="str">
        <f>("09/10/2025")</f>
        <v>09/10/2025</v>
      </c>
      <c r="L5394">
        <v>270</v>
      </c>
      <c r="M5394">
        <v>270</v>
      </c>
      <c r="N5394">
        <v>109</v>
      </c>
      <c r="O5394" t="str">
        <f>"PAGAMENTO DE ENTREGADORES"</f>
        <v>PAGAMENTO DE ENTREGADORES</v>
      </c>
      <c r="P5394">
        <v>270</v>
      </c>
      <c r="S5394" t="str">
        <f>"BANCO C6 (149)"</f>
        <v>BANCO C6 (149)</v>
      </c>
      <c r="T5394">
        <v>19861</v>
      </c>
      <c r="U5394">
        <v>22590</v>
      </c>
      <c r="V5394" t="s">
        <v>77</v>
      </c>
    </row>
    <row r="5395" spans="1:22">
      <c r="A5395" t="str">
        <f t="shared" si="961"/>
        <v>09/10/2025</v>
      </c>
      <c r="B5395" t="str">
        <f t="shared" si="953"/>
        <v>SAÍDA</v>
      </c>
      <c r="C5395" t="str">
        <f t="shared" si="958"/>
        <v>PIX</v>
      </c>
      <c r="D5395" t="str">
        <f>"22590"</f>
        <v>22590</v>
      </c>
      <c r="E5395" t="str">
        <f t="shared" si="959"/>
        <v>1</v>
      </c>
      <c r="F5395" t="str">
        <f t="shared" si="956"/>
        <v>COM</v>
      </c>
      <c r="G5395" t="str">
        <f>"JOSÉ CARLOS DA COSTA (83)"</f>
        <v>JOSÉ CARLOS DA COSTA (83)</v>
      </c>
      <c r="H5395" t="s">
        <v>1529</v>
      </c>
      <c r="I5395" t="str">
        <f t="shared" si="957"/>
        <v>09/10/2025</v>
      </c>
      <c r="J5395" t="str">
        <f t="shared" si="960"/>
        <v>26/09/2025</v>
      </c>
      <c r="K5395">
        <v>45939</v>
      </c>
      <c r="N5395">
        <v>109</v>
      </c>
      <c r="O5395" t="s">
        <v>24</v>
      </c>
      <c r="Q5395">
        <v>270</v>
      </c>
      <c r="R5395" t="str">
        <f>"FARMÁCIA INDIANA LJ 152 (10069)"</f>
        <v>FARMÁCIA INDIANA LJ 152 (10069)</v>
      </c>
      <c r="S5395" t="s">
        <v>77</v>
      </c>
      <c r="T5395">
        <v>19861</v>
      </c>
      <c r="U5395">
        <v>22590</v>
      </c>
      <c r="V5395" t="s">
        <v>77</v>
      </c>
    </row>
    <row r="5396" spans="1:22">
      <c r="A5396" t="str">
        <f t="shared" si="961"/>
        <v>09/10/2025</v>
      </c>
      <c r="B5396" t="str">
        <f t="shared" si="953"/>
        <v>SAÍDA</v>
      </c>
      <c r="C5396" t="str">
        <f t="shared" si="958"/>
        <v>PIX</v>
      </c>
      <c r="D5396" t="str">
        <f>"22589"</f>
        <v>22589</v>
      </c>
      <c r="E5396" t="str">
        <f t="shared" si="959"/>
        <v>1</v>
      </c>
      <c r="F5396" t="str">
        <f t="shared" si="956"/>
        <v>COM</v>
      </c>
      <c r="G5396" t="str">
        <f>"JOMAR GONÇALVES DIAS (16)"</f>
        <v>JOMAR GONÇALVES DIAS (16)</v>
      </c>
      <c r="H5396" t="str">
        <f>"Serv.Prest. 22/09/2025 a 25/09/2025 - PIX: CPF - CHAVE: 602.838.315-53"</f>
        <v>Serv.Prest. 22/09/2025 a 25/09/2025 - PIX: CPF - CHAVE: 602.838.315-53</v>
      </c>
      <c r="I5396" t="str">
        <f t="shared" si="957"/>
        <v>09/10/2025</v>
      </c>
      <c r="J5396" t="str">
        <f t="shared" si="960"/>
        <v>26/09/2025</v>
      </c>
      <c r="K5396" t="str">
        <f>("09/10/2025")</f>
        <v>09/10/2025</v>
      </c>
      <c r="L5396">
        <v>594</v>
      </c>
      <c r="M5396">
        <v>594</v>
      </c>
      <c r="N5396">
        <v>109</v>
      </c>
      <c r="O5396" t="str">
        <f>"PAGAMENTO DE ENTREGADORES"</f>
        <v>PAGAMENTO DE ENTREGADORES</v>
      </c>
      <c r="P5396">
        <v>594</v>
      </c>
      <c r="S5396" t="str">
        <f>"BANCO C6 (149)"</f>
        <v>BANCO C6 (149)</v>
      </c>
      <c r="T5396">
        <v>19862</v>
      </c>
      <c r="U5396">
        <v>22589</v>
      </c>
      <c r="V5396" t="s">
        <v>77</v>
      </c>
    </row>
    <row r="5397" spans="1:22">
      <c r="A5397" t="str">
        <f t="shared" si="961"/>
        <v>09/10/2025</v>
      </c>
      <c r="B5397" t="str">
        <f t="shared" si="953"/>
        <v>SAÍDA</v>
      </c>
      <c r="C5397" t="str">
        <f t="shared" si="958"/>
        <v>PIX</v>
      </c>
      <c r="D5397" t="str">
        <f>"22589"</f>
        <v>22589</v>
      </c>
      <c r="E5397" t="str">
        <f t="shared" si="959"/>
        <v>1</v>
      </c>
      <c r="F5397" t="str">
        <f t="shared" si="956"/>
        <v>COM</v>
      </c>
      <c r="G5397" t="str">
        <f>"JOMAR GONÇALVES DIAS (16)"</f>
        <v>JOMAR GONÇALVES DIAS (16)</v>
      </c>
      <c r="H5397" t="s">
        <v>1530</v>
      </c>
      <c r="I5397" t="str">
        <f t="shared" si="957"/>
        <v>09/10/2025</v>
      </c>
      <c r="J5397" t="str">
        <f t="shared" si="960"/>
        <v>26/09/2025</v>
      </c>
      <c r="K5397">
        <v>45939</v>
      </c>
      <c r="N5397">
        <v>109</v>
      </c>
      <c r="O5397" t="s">
        <v>24</v>
      </c>
      <c r="Q5397">
        <v>21.98</v>
      </c>
      <c r="R5397" t="str">
        <f>"FARMÁCIA INDIANA LJ 40 (10016)"</f>
        <v>FARMÁCIA INDIANA LJ 40 (10016)</v>
      </c>
      <c r="S5397" t="s">
        <v>77</v>
      </c>
      <c r="T5397">
        <v>19862</v>
      </c>
      <c r="U5397">
        <v>22589</v>
      </c>
      <c r="V5397" t="s">
        <v>77</v>
      </c>
    </row>
    <row r="5398" spans="1:22">
      <c r="A5398" t="str">
        <f t="shared" si="961"/>
        <v>09/10/2025</v>
      </c>
      <c r="B5398" t="str">
        <f t="shared" si="953"/>
        <v>SAÍDA</v>
      </c>
      <c r="C5398" t="str">
        <f t="shared" si="958"/>
        <v>PIX</v>
      </c>
      <c r="D5398" t="str">
        <f>"22589"</f>
        <v>22589</v>
      </c>
      <c r="E5398" t="str">
        <f t="shared" si="959"/>
        <v>1</v>
      </c>
      <c r="F5398" t="str">
        <f t="shared" si="956"/>
        <v>COM</v>
      </c>
      <c r="G5398" t="str">
        <f>"JOMAR GONÇALVES DIAS (16)"</f>
        <v>JOMAR GONÇALVES DIAS (16)</v>
      </c>
      <c r="H5398" t="s">
        <v>1530</v>
      </c>
      <c r="I5398" t="str">
        <f t="shared" si="957"/>
        <v>09/10/2025</v>
      </c>
      <c r="J5398" t="str">
        <f t="shared" si="960"/>
        <v>26/09/2025</v>
      </c>
      <c r="K5398">
        <v>45939</v>
      </c>
      <c r="N5398">
        <v>109</v>
      </c>
      <c r="O5398" t="s">
        <v>24</v>
      </c>
      <c r="Q5398">
        <v>572.02</v>
      </c>
      <c r="R5398" t="str">
        <f>"FARMÁCIA INDIANA LJ 61 (10027)"</f>
        <v>FARMÁCIA INDIANA LJ 61 (10027)</v>
      </c>
      <c r="S5398" t="s">
        <v>77</v>
      </c>
      <c r="T5398">
        <v>19862</v>
      </c>
      <c r="U5398">
        <v>22589</v>
      </c>
      <c r="V5398" t="s">
        <v>77</v>
      </c>
    </row>
    <row r="5399" spans="1:22">
      <c r="A5399" t="str">
        <f t="shared" si="961"/>
        <v>09/10/2025</v>
      </c>
      <c r="B5399" t="str">
        <f t="shared" si="953"/>
        <v>SAÍDA</v>
      </c>
      <c r="C5399" t="str">
        <f t="shared" si="958"/>
        <v>PIX</v>
      </c>
      <c r="D5399" t="str">
        <f>"22588"</f>
        <v>22588</v>
      </c>
      <c r="E5399" t="str">
        <f t="shared" si="959"/>
        <v>1</v>
      </c>
      <c r="F5399" t="str">
        <f t="shared" si="956"/>
        <v>COM</v>
      </c>
      <c r="G5399" t="str">
        <f>"JHONANTAN LACERDA DE JESUS (142)"</f>
        <v>JHONANTAN LACERDA DE JESUS (142)</v>
      </c>
      <c r="H5399" t="str">
        <f>"Serv.Prest. 22/09/2025 a 25/09/2025 - PIX: E-MAIL - CHAVE: jhonantanlacerda@gmail.com"</f>
        <v>Serv.Prest. 22/09/2025 a 25/09/2025 - PIX: E-MAIL - CHAVE: jhonantanlacerda@gmail.com</v>
      </c>
      <c r="I5399" t="str">
        <f t="shared" si="957"/>
        <v>09/10/2025</v>
      </c>
      <c r="J5399" t="str">
        <f t="shared" si="960"/>
        <v>26/09/2025</v>
      </c>
      <c r="K5399" t="str">
        <f>("09/10/2025")</f>
        <v>09/10/2025</v>
      </c>
      <c r="L5399">
        <v>400</v>
      </c>
      <c r="M5399">
        <v>400</v>
      </c>
      <c r="N5399">
        <v>109</v>
      </c>
      <c r="O5399" t="str">
        <f>"PAGAMENTO DE ENTREGADORES"</f>
        <v>PAGAMENTO DE ENTREGADORES</v>
      </c>
      <c r="P5399">
        <v>400</v>
      </c>
      <c r="S5399" t="str">
        <f>"BANCO C6 (149)"</f>
        <v>BANCO C6 (149)</v>
      </c>
      <c r="T5399">
        <v>19863</v>
      </c>
      <c r="U5399">
        <v>22588</v>
      </c>
      <c r="V5399" t="s">
        <v>77</v>
      </c>
    </row>
    <row r="5400" spans="1:22">
      <c r="A5400" t="str">
        <f t="shared" si="961"/>
        <v>09/10/2025</v>
      </c>
      <c r="B5400" t="str">
        <f t="shared" si="953"/>
        <v>SAÍDA</v>
      </c>
      <c r="C5400" t="str">
        <f t="shared" si="958"/>
        <v>PIX</v>
      </c>
      <c r="D5400" t="str">
        <f>"22588"</f>
        <v>22588</v>
      </c>
      <c r="E5400" t="str">
        <f t="shared" si="959"/>
        <v>1</v>
      </c>
      <c r="F5400" t="str">
        <f t="shared" si="956"/>
        <v>COM</v>
      </c>
      <c r="G5400" t="str">
        <f>"JHONANTAN LACERDA DE JESUS (142)"</f>
        <v>JHONANTAN LACERDA DE JESUS (142)</v>
      </c>
      <c r="H5400" t="s">
        <v>1424</v>
      </c>
      <c r="I5400" t="str">
        <f t="shared" si="957"/>
        <v>09/10/2025</v>
      </c>
      <c r="J5400" t="str">
        <f t="shared" si="960"/>
        <v>26/09/2025</v>
      </c>
      <c r="K5400">
        <v>45939</v>
      </c>
      <c r="N5400">
        <v>109</v>
      </c>
      <c r="O5400" t="s">
        <v>24</v>
      </c>
      <c r="Q5400">
        <v>400</v>
      </c>
      <c r="R5400" t="str">
        <f>"FARMÁCIA INDIANA LJ 142 (10066)"</f>
        <v>FARMÁCIA INDIANA LJ 142 (10066)</v>
      </c>
      <c r="S5400" t="s">
        <v>77</v>
      </c>
      <c r="T5400">
        <v>19863</v>
      </c>
      <c r="U5400">
        <v>22588</v>
      </c>
      <c r="V5400" t="s">
        <v>77</v>
      </c>
    </row>
    <row r="5401" spans="1:22">
      <c r="A5401" t="str">
        <f t="shared" si="961"/>
        <v>09/10/2025</v>
      </c>
      <c r="B5401" t="str">
        <f t="shared" si="953"/>
        <v>SAÍDA</v>
      </c>
      <c r="C5401" t="str">
        <f t="shared" si="958"/>
        <v>PIX</v>
      </c>
      <c r="D5401" t="str">
        <f>"22587"</f>
        <v>22587</v>
      </c>
      <c r="E5401" t="str">
        <f t="shared" si="959"/>
        <v>1</v>
      </c>
      <c r="F5401" t="str">
        <f t="shared" si="956"/>
        <v>COM</v>
      </c>
      <c r="G5401" t="str">
        <f>"JEFERSON DE JESUS SANTOS (910)"</f>
        <v>JEFERSON DE JESUS SANTOS (910)</v>
      </c>
      <c r="H5401" t="str">
        <f>"Serv.Prest. 22/09/2025 a 25/09/2025 - PIX: CELULAR - CHAVE: (33) 98836-6015"</f>
        <v>Serv.Prest. 22/09/2025 a 25/09/2025 - PIX: CELULAR - CHAVE: (33) 98836-6015</v>
      </c>
      <c r="I5401" t="str">
        <f t="shared" si="957"/>
        <v>09/10/2025</v>
      </c>
      <c r="J5401" t="str">
        <f t="shared" si="960"/>
        <v>26/09/2025</v>
      </c>
      <c r="K5401" t="str">
        <f>("09/10/2025")</f>
        <v>09/10/2025</v>
      </c>
      <c r="L5401">
        <v>306</v>
      </c>
      <c r="M5401">
        <v>306</v>
      </c>
      <c r="N5401">
        <v>109</v>
      </c>
      <c r="O5401" t="str">
        <f>"PAGAMENTO DE ENTREGADORES"</f>
        <v>PAGAMENTO DE ENTREGADORES</v>
      </c>
      <c r="P5401">
        <v>306</v>
      </c>
      <c r="S5401" t="str">
        <f>"BANCO C6 (149)"</f>
        <v>BANCO C6 (149)</v>
      </c>
      <c r="T5401">
        <v>19864</v>
      </c>
      <c r="U5401">
        <v>22587</v>
      </c>
      <c r="V5401" t="s">
        <v>77</v>
      </c>
    </row>
    <row r="5402" spans="1:22">
      <c r="A5402" t="str">
        <f t="shared" si="961"/>
        <v>09/10/2025</v>
      </c>
      <c r="B5402" t="str">
        <f t="shared" si="953"/>
        <v>SAÍDA</v>
      </c>
      <c r="C5402" t="str">
        <f t="shared" si="958"/>
        <v>PIX</v>
      </c>
      <c r="D5402" t="str">
        <f>"22587"</f>
        <v>22587</v>
      </c>
      <c r="E5402" t="str">
        <f t="shared" si="959"/>
        <v>1</v>
      </c>
      <c r="F5402" t="str">
        <f t="shared" si="956"/>
        <v>COM</v>
      </c>
      <c r="G5402" t="str">
        <f>"JEFERSON DE JESUS SANTOS (910)"</f>
        <v>JEFERSON DE JESUS SANTOS (910)</v>
      </c>
      <c r="H5402" t="s">
        <v>1531</v>
      </c>
      <c r="I5402" t="str">
        <f t="shared" si="957"/>
        <v>09/10/2025</v>
      </c>
      <c r="J5402" t="str">
        <f t="shared" si="960"/>
        <v>26/09/2025</v>
      </c>
      <c r="K5402">
        <v>45939</v>
      </c>
      <c r="N5402">
        <v>109</v>
      </c>
      <c r="O5402" t="s">
        <v>24</v>
      </c>
      <c r="Q5402">
        <v>306</v>
      </c>
      <c r="R5402" t="str">
        <f>"FARMÁCIA INDIANA LJ 07 (10007)"</f>
        <v>FARMÁCIA INDIANA LJ 07 (10007)</v>
      </c>
      <c r="S5402" t="s">
        <v>77</v>
      </c>
      <c r="T5402">
        <v>19864</v>
      </c>
      <c r="U5402">
        <v>22587</v>
      </c>
      <c r="V5402" t="s">
        <v>77</v>
      </c>
    </row>
    <row r="5403" spans="1:22">
      <c r="A5403" t="str">
        <f t="shared" si="961"/>
        <v>09/10/2025</v>
      </c>
      <c r="B5403" t="str">
        <f t="shared" si="953"/>
        <v>SAÍDA</v>
      </c>
      <c r="C5403" t="str">
        <f t="shared" si="958"/>
        <v>PIX</v>
      </c>
      <c r="D5403" t="str">
        <f>"22586"</f>
        <v>22586</v>
      </c>
      <c r="E5403" t="str">
        <f t="shared" si="959"/>
        <v>1</v>
      </c>
      <c r="F5403" t="str">
        <f t="shared" si="956"/>
        <v>COM</v>
      </c>
      <c r="G5403" t="str">
        <f>"JEFERSON ARAÚJO SANTOS GERMANO (180)"</f>
        <v>JEFERSON ARAÚJO SANTOS GERMANO (180)</v>
      </c>
      <c r="H5403" t="str">
        <f>"Serv.Prest. 22/09/2025 a 25/09/2025 - PIX: CPF - CHAVE: 023.645.626-19"</f>
        <v>Serv.Prest. 22/09/2025 a 25/09/2025 - PIX: CPF - CHAVE: 023.645.626-19</v>
      </c>
      <c r="I5403" t="str">
        <f t="shared" si="957"/>
        <v>09/10/2025</v>
      </c>
      <c r="J5403" t="str">
        <f t="shared" si="960"/>
        <v>26/09/2025</v>
      </c>
      <c r="K5403" t="str">
        <f>("09/10/2025")</f>
        <v>09/10/2025</v>
      </c>
      <c r="L5403">
        <v>688</v>
      </c>
      <c r="M5403">
        <v>688</v>
      </c>
      <c r="N5403">
        <v>109</v>
      </c>
      <c r="O5403" t="str">
        <f>"PAGAMENTO DE ENTREGADORES"</f>
        <v>PAGAMENTO DE ENTREGADORES</v>
      </c>
      <c r="P5403">
        <v>688</v>
      </c>
      <c r="S5403" t="str">
        <f>"BANCO C6 (149)"</f>
        <v>BANCO C6 (149)</v>
      </c>
      <c r="T5403">
        <v>19865</v>
      </c>
      <c r="U5403">
        <v>22586</v>
      </c>
      <c r="V5403" t="s">
        <v>77</v>
      </c>
    </row>
    <row r="5404" spans="1:22">
      <c r="A5404" t="str">
        <f t="shared" si="961"/>
        <v>09/10/2025</v>
      </c>
      <c r="B5404" t="str">
        <f t="shared" si="953"/>
        <v>SAÍDA</v>
      </c>
      <c r="C5404" t="str">
        <f t="shared" si="958"/>
        <v>PIX</v>
      </c>
      <c r="D5404" t="str">
        <f>"22586"</f>
        <v>22586</v>
      </c>
      <c r="E5404" t="str">
        <f t="shared" si="959"/>
        <v>1</v>
      </c>
      <c r="F5404" t="str">
        <f t="shared" si="956"/>
        <v>COM</v>
      </c>
      <c r="G5404" t="str">
        <f>"JEFERSON ARAÚJO SANTOS GERMANO (180)"</f>
        <v>JEFERSON ARAÚJO SANTOS GERMANO (180)</v>
      </c>
      <c r="H5404" t="s">
        <v>1421</v>
      </c>
      <c r="I5404" t="str">
        <f t="shared" si="957"/>
        <v>09/10/2025</v>
      </c>
      <c r="J5404" t="str">
        <f t="shared" si="960"/>
        <v>26/09/2025</v>
      </c>
      <c r="K5404">
        <v>45939</v>
      </c>
      <c r="N5404">
        <v>109</v>
      </c>
      <c r="O5404" t="s">
        <v>24</v>
      </c>
      <c r="Q5404">
        <v>688</v>
      </c>
      <c r="R5404" t="str">
        <f>"FARMÁCIA INDIANA LJ 142 (10066)"</f>
        <v>FARMÁCIA INDIANA LJ 142 (10066)</v>
      </c>
      <c r="S5404" t="s">
        <v>77</v>
      </c>
      <c r="T5404">
        <v>19865</v>
      </c>
      <c r="U5404">
        <v>22586</v>
      </c>
      <c r="V5404" t="s">
        <v>77</v>
      </c>
    </row>
    <row r="5405" spans="1:22">
      <c r="A5405" t="str">
        <f t="shared" si="961"/>
        <v>09/10/2025</v>
      </c>
      <c r="B5405" t="str">
        <f t="shared" si="953"/>
        <v>SAÍDA</v>
      </c>
      <c r="C5405" t="str">
        <f t="shared" si="958"/>
        <v>PIX</v>
      </c>
      <c r="D5405" t="str">
        <f>"22585"</f>
        <v>22585</v>
      </c>
      <c r="E5405" t="str">
        <f t="shared" si="959"/>
        <v>1</v>
      </c>
      <c r="F5405" t="str">
        <f t="shared" si="956"/>
        <v>COM</v>
      </c>
      <c r="G5405" t="str">
        <f>"JEFERSON ANDRADE FERREIRA (165)"</f>
        <v>JEFERSON ANDRADE FERREIRA (165)</v>
      </c>
      <c r="H5405" t="str">
        <f>"Serv.Prest. 22/09/2025 a 25/09/2025 - PIX: CPF - CHAVE: 126.873.296-65"</f>
        <v>Serv.Prest. 22/09/2025 a 25/09/2025 - PIX: CPF - CHAVE: 126.873.296-65</v>
      </c>
      <c r="I5405" t="str">
        <f t="shared" si="957"/>
        <v>09/10/2025</v>
      </c>
      <c r="J5405" t="str">
        <f t="shared" si="960"/>
        <v>26/09/2025</v>
      </c>
      <c r="K5405" t="str">
        <f>("09/10/2025")</f>
        <v>09/10/2025</v>
      </c>
      <c r="L5405">
        <v>1342</v>
      </c>
      <c r="M5405">
        <v>1342</v>
      </c>
      <c r="N5405">
        <v>109</v>
      </c>
      <c r="O5405" t="str">
        <f>"PAGAMENTO DE ENTREGADORES"</f>
        <v>PAGAMENTO DE ENTREGADORES</v>
      </c>
      <c r="P5405">
        <v>1342</v>
      </c>
      <c r="S5405" t="str">
        <f>"BANCO C6 (149)"</f>
        <v>BANCO C6 (149)</v>
      </c>
      <c r="T5405">
        <v>19866</v>
      </c>
      <c r="U5405">
        <v>22585</v>
      </c>
      <c r="V5405" t="s">
        <v>77</v>
      </c>
    </row>
    <row r="5406" spans="1:22">
      <c r="A5406" t="str">
        <f t="shared" si="961"/>
        <v>09/10/2025</v>
      </c>
      <c r="B5406" t="str">
        <f t="shared" si="953"/>
        <v>SAÍDA</v>
      </c>
      <c r="C5406" t="str">
        <f t="shared" si="958"/>
        <v>PIX</v>
      </c>
      <c r="D5406" t="str">
        <f>"22585"</f>
        <v>22585</v>
      </c>
      <c r="E5406" t="str">
        <f t="shared" si="959"/>
        <v>1</v>
      </c>
      <c r="F5406" t="str">
        <f t="shared" si="956"/>
        <v>COM</v>
      </c>
      <c r="G5406" t="str">
        <f>"JEFERSON ANDRADE FERREIRA (165)"</f>
        <v>JEFERSON ANDRADE FERREIRA (165)</v>
      </c>
      <c r="H5406" t="s">
        <v>1420</v>
      </c>
      <c r="I5406" t="str">
        <f t="shared" si="957"/>
        <v>09/10/2025</v>
      </c>
      <c r="J5406" t="str">
        <f t="shared" si="960"/>
        <v>26/09/2025</v>
      </c>
      <c r="K5406">
        <v>45939</v>
      </c>
      <c r="N5406">
        <v>109</v>
      </c>
      <c r="O5406" t="s">
        <v>24</v>
      </c>
      <c r="Q5406">
        <v>691.67</v>
      </c>
      <c r="R5406" t="str">
        <f>"FARMÁCIA INDIANA LJ 101 (10043)"</f>
        <v>FARMÁCIA INDIANA LJ 101 (10043)</v>
      </c>
      <c r="S5406" t="s">
        <v>77</v>
      </c>
      <c r="T5406">
        <v>19866</v>
      </c>
      <c r="U5406">
        <v>22585</v>
      </c>
      <c r="V5406" t="s">
        <v>77</v>
      </c>
    </row>
    <row r="5407" spans="1:22">
      <c r="A5407" t="str">
        <f t="shared" si="961"/>
        <v>09/10/2025</v>
      </c>
      <c r="B5407" t="str">
        <f t="shared" si="953"/>
        <v>SAÍDA</v>
      </c>
      <c r="C5407" t="str">
        <f t="shared" si="958"/>
        <v>PIX</v>
      </c>
      <c r="D5407" t="str">
        <f>"22585"</f>
        <v>22585</v>
      </c>
      <c r="E5407" t="str">
        <f t="shared" si="959"/>
        <v>1</v>
      </c>
      <c r="F5407" t="str">
        <f t="shared" si="956"/>
        <v>COM</v>
      </c>
      <c r="G5407" t="str">
        <f>"JEFERSON ANDRADE FERREIRA (165)"</f>
        <v>JEFERSON ANDRADE FERREIRA (165)</v>
      </c>
      <c r="H5407" t="s">
        <v>1420</v>
      </c>
      <c r="I5407" t="str">
        <f t="shared" si="957"/>
        <v>09/10/2025</v>
      </c>
      <c r="J5407" t="str">
        <f t="shared" si="960"/>
        <v>26/09/2025</v>
      </c>
      <c r="K5407">
        <v>45939</v>
      </c>
      <c r="N5407">
        <v>109</v>
      </c>
      <c r="O5407" t="s">
        <v>24</v>
      </c>
      <c r="Q5407">
        <v>650.33000000000004</v>
      </c>
      <c r="R5407" t="str">
        <f>"FARMÁCIA INDIANA LJ 220 (10092)"</f>
        <v>FARMÁCIA INDIANA LJ 220 (10092)</v>
      </c>
      <c r="S5407" t="s">
        <v>77</v>
      </c>
      <c r="T5407">
        <v>19866</v>
      </c>
      <c r="U5407">
        <v>22585</v>
      </c>
      <c r="V5407" t="s">
        <v>77</v>
      </c>
    </row>
    <row r="5408" spans="1:22">
      <c r="A5408" t="str">
        <f t="shared" si="961"/>
        <v>09/10/2025</v>
      </c>
      <c r="B5408" t="str">
        <f t="shared" si="953"/>
        <v>SAÍDA</v>
      </c>
      <c r="C5408" t="str">
        <f t="shared" si="958"/>
        <v>PIX</v>
      </c>
      <c r="D5408" t="str">
        <f>"22584"</f>
        <v>22584</v>
      </c>
      <c r="E5408" t="str">
        <f t="shared" si="959"/>
        <v>1</v>
      </c>
      <c r="F5408" t="str">
        <f t="shared" si="956"/>
        <v>COM</v>
      </c>
      <c r="G5408" t="str">
        <f>"JANDERSON SOUZA ARCANJO (28)"</f>
        <v>JANDERSON SOUZA ARCANJO (28)</v>
      </c>
      <c r="H5408" t="str">
        <f>"Serv.Prest. 22/09/2025 a 25/09/2025 - PIX: CPF - CHAVE: 121.297.376-33"</f>
        <v>Serv.Prest. 22/09/2025 a 25/09/2025 - PIX: CPF - CHAVE: 121.297.376-33</v>
      </c>
      <c r="I5408" t="str">
        <f t="shared" si="957"/>
        <v>09/10/2025</v>
      </c>
      <c r="J5408" t="str">
        <f t="shared" si="960"/>
        <v>26/09/2025</v>
      </c>
      <c r="K5408" t="str">
        <f>("09/10/2025")</f>
        <v>09/10/2025</v>
      </c>
      <c r="L5408">
        <v>838</v>
      </c>
      <c r="M5408">
        <v>838</v>
      </c>
      <c r="N5408">
        <v>109</v>
      </c>
      <c r="O5408" t="str">
        <f>"PAGAMENTO DE ENTREGADORES"</f>
        <v>PAGAMENTO DE ENTREGADORES</v>
      </c>
      <c r="P5408">
        <v>838</v>
      </c>
      <c r="S5408" t="str">
        <f>"BANCO C6 (149)"</f>
        <v>BANCO C6 (149)</v>
      </c>
      <c r="T5408">
        <v>19867</v>
      </c>
      <c r="U5408">
        <v>22584</v>
      </c>
      <c r="V5408" t="s">
        <v>77</v>
      </c>
    </row>
    <row r="5409" spans="1:22">
      <c r="A5409" t="str">
        <f t="shared" si="961"/>
        <v>09/10/2025</v>
      </c>
      <c r="B5409" t="str">
        <f t="shared" si="953"/>
        <v>SAÍDA</v>
      </c>
      <c r="C5409" t="str">
        <f t="shared" si="958"/>
        <v>PIX</v>
      </c>
      <c r="D5409" t="str">
        <f>"22584"</f>
        <v>22584</v>
      </c>
      <c r="E5409" t="str">
        <f t="shared" si="959"/>
        <v>1</v>
      </c>
      <c r="F5409" t="str">
        <f t="shared" si="956"/>
        <v>COM</v>
      </c>
      <c r="G5409" t="str">
        <f>"JANDERSON SOUZA ARCANJO (28)"</f>
        <v>JANDERSON SOUZA ARCANJO (28)</v>
      </c>
      <c r="H5409" t="s">
        <v>1418</v>
      </c>
      <c r="I5409" t="str">
        <f t="shared" si="957"/>
        <v>09/10/2025</v>
      </c>
      <c r="J5409" t="str">
        <f t="shared" si="960"/>
        <v>26/09/2025</v>
      </c>
      <c r="K5409">
        <v>45939</v>
      </c>
      <c r="N5409">
        <v>109</v>
      </c>
      <c r="O5409" t="s">
        <v>24</v>
      </c>
      <c r="Q5409">
        <v>821.91</v>
      </c>
      <c r="R5409" t="str">
        <f>"FARMÁCIA INDIANA LJ 40 (10016)"</f>
        <v>FARMÁCIA INDIANA LJ 40 (10016)</v>
      </c>
      <c r="S5409" t="s">
        <v>77</v>
      </c>
      <c r="T5409">
        <v>19867</v>
      </c>
      <c r="U5409">
        <v>22584</v>
      </c>
      <c r="V5409" t="s">
        <v>77</v>
      </c>
    </row>
    <row r="5410" spans="1:22">
      <c r="A5410" t="str">
        <f t="shared" si="961"/>
        <v>09/10/2025</v>
      </c>
      <c r="B5410" t="str">
        <f t="shared" si="953"/>
        <v>SAÍDA</v>
      </c>
      <c r="C5410" t="str">
        <f t="shared" si="958"/>
        <v>PIX</v>
      </c>
      <c r="D5410" t="str">
        <f>"22584"</f>
        <v>22584</v>
      </c>
      <c r="E5410" t="str">
        <f t="shared" si="959"/>
        <v>1</v>
      </c>
      <c r="F5410" t="str">
        <f t="shared" si="956"/>
        <v>COM</v>
      </c>
      <c r="G5410" t="str">
        <f>"JANDERSON SOUZA ARCANJO (28)"</f>
        <v>JANDERSON SOUZA ARCANJO (28)</v>
      </c>
      <c r="H5410" t="s">
        <v>1418</v>
      </c>
      <c r="I5410" t="str">
        <f t="shared" si="957"/>
        <v>09/10/2025</v>
      </c>
      <c r="J5410" t="str">
        <f t="shared" si="960"/>
        <v>26/09/2025</v>
      </c>
      <c r="K5410">
        <v>45939</v>
      </c>
      <c r="N5410">
        <v>109</v>
      </c>
      <c r="O5410" t="s">
        <v>24</v>
      </c>
      <c r="Q5410">
        <v>16.09</v>
      </c>
      <c r="R5410" t="str">
        <f>"FARMÁCIA INDIANA LJ 61 (10027)"</f>
        <v>FARMÁCIA INDIANA LJ 61 (10027)</v>
      </c>
      <c r="S5410" t="s">
        <v>77</v>
      </c>
      <c r="T5410">
        <v>19867</v>
      </c>
      <c r="U5410">
        <v>22584</v>
      </c>
      <c r="V5410" t="s">
        <v>77</v>
      </c>
    </row>
    <row r="5411" spans="1:22">
      <c r="A5411" t="str">
        <f t="shared" si="961"/>
        <v>09/10/2025</v>
      </c>
      <c r="B5411" t="str">
        <f t="shared" si="953"/>
        <v>SAÍDA</v>
      </c>
      <c r="C5411" t="str">
        <f t="shared" si="958"/>
        <v>PIX</v>
      </c>
      <c r="D5411" t="str">
        <f>"22583"</f>
        <v>22583</v>
      </c>
      <c r="E5411" t="str">
        <f t="shared" si="959"/>
        <v>1</v>
      </c>
      <c r="F5411" t="str">
        <f t="shared" si="956"/>
        <v>COM</v>
      </c>
      <c r="G5411" t="str">
        <f>"IVAN SOUZA SANTOS (101)"</f>
        <v>IVAN SOUZA SANTOS (101)</v>
      </c>
      <c r="H5411" t="str">
        <f>"Serv.Prest. 22/09/2025 a 25/09/2025 - PIX: CPF - CHAVE: 067.393.286-92"</f>
        <v>Serv.Prest. 22/09/2025 a 25/09/2025 - PIX: CPF - CHAVE: 067.393.286-92</v>
      </c>
      <c r="I5411" t="str">
        <f t="shared" si="957"/>
        <v>09/10/2025</v>
      </c>
      <c r="J5411" t="str">
        <f t="shared" si="960"/>
        <v>26/09/2025</v>
      </c>
      <c r="K5411" t="str">
        <f>("09/10/2025")</f>
        <v>09/10/2025</v>
      </c>
      <c r="L5411">
        <v>705.2</v>
      </c>
      <c r="M5411">
        <v>705.2</v>
      </c>
      <c r="N5411">
        <v>109</v>
      </c>
      <c r="O5411" t="str">
        <f>"PAGAMENTO DE ENTREGADORES"</f>
        <v>PAGAMENTO DE ENTREGADORES</v>
      </c>
      <c r="P5411">
        <v>705.2</v>
      </c>
      <c r="S5411" t="str">
        <f>"BANCO C6 (149)"</f>
        <v>BANCO C6 (149)</v>
      </c>
      <c r="T5411">
        <v>19868</v>
      </c>
      <c r="U5411">
        <v>22583</v>
      </c>
      <c r="V5411" t="s">
        <v>77</v>
      </c>
    </row>
    <row r="5412" spans="1:22">
      <c r="A5412" t="str">
        <f t="shared" si="961"/>
        <v>09/10/2025</v>
      </c>
      <c r="B5412" t="str">
        <f t="shared" si="953"/>
        <v>SAÍDA</v>
      </c>
      <c r="C5412" t="str">
        <f t="shared" si="958"/>
        <v>PIX</v>
      </c>
      <c r="D5412" t="str">
        <f>"22583"</f>
        <v>22583</v>
      </c>
      <c r="E5412" t="str">
        <f t="shared" si="959"/>
        <v>1</v>
      </c>
      <c r="F5412" t="str">
        <f t="shared" si="956"/>
        <v>COM</v>
      </c>
      <c r="G5412" t="str">
        <f>"IVAN SOUZA SANTOS (101)"</f>
        <v>IVAN SOUZA SANTOS (101)</v>
      </c>
      <c r="H5412" t="s">
        <v>1414</v>
      </c>
      <c r="I5412" t="str">
        <f t="shared" si="957"/>
        <v>09/10/2025</v>
      </c>
      <c r="J5412" t="str">
        <f t="shared" si="960"/>
        <v>26/09/2025</v>
      </c>
      <c r="K5412">
        <v>45939</v>
      </c>
      <c r="N5412">
        <v>109</v>
      </c>
      <c r="O5412" t="s">
        <v>24</v>
      </c>
      <c r="Q5412">
        <v>705.2</v>
      </c>
      <c r="R5412" t="str">
        <f>"FARMÁCIA INDIANA LJ 59 (10026)"</f>
        <v>FARMÁCIA INDIANA LJ 59 (10026)</v>
      </c>
      <c r="S5412" t="s">
        <v>77</v>
      </c>
      <c r="T5412">
        <v>19868</v>
      </c>
      <c r="U5412">
        <v>22583</v>
      </c>
      <c r="V5412" t="s">
        <v>77</v>
      </c>
    </row>
    <row r="5413" spans="1:22">
      <c r="A5413" t="str">
        <f t="shared" si="961"/>
        <v>09/10/2025</v>
      </c>
      <c r="B5413" t="str">
        <f t="shared" si="953"/>
        <v>SAÍDA</v>
      </c>
      <c r="C5413" t="str">
        <f t="shared" si="958"/>
        <v>PIX</v>
      </c>
      <c r="D5413" t="str">
        <f>"22582"</f>
        <v>22582</v>
      </c>
      <c r="E5413" t="str">
        <f t="shared" si="959"/>
        <v>1</v>
      </c>
      <c r="F5413" t="str">
        <f t="shared" si="956"/>
        <v>COM</v>
      </c>
      <c r="G5413" t="str">
        <f>"GUSTAVO HENRIQUE OLIVEIRA (661)"</f>
        <v>GUSTAVO HENRIQUE OLIVEIRA (661)</v>
      </c>
      <c r="H5413" t="str">
        <f>"Serv.Prest. 22/09/2025 a 25/09/2025 - PIX: CPF - CHAVE: 113.084.266-58"</f>
        <v>Serv.Prest. 22/09/2025 a 25/09/2025 - PIX: CPF - CHAVE: 113.084.266-58</v>
      </c>
      <c r="I5413" t="str">
        <f t="shared" si="957"/>
        <v>09/10/2025</v>
      </c>
      <c r="J5413" t="str">
        <f t="shared" si="960"/>
        <v>26/09/2025</v>
      </c>
      <c r="K5413" t="str">
        <f>("09/10/2025")</f>
        <v>09/10/2025</v>
      </c>
      <c r="L5413">
        <v>682</v>
      </c>
      <c r="M5413">
        <v>682</v>
      </c>
      <c r="N5413">
        <v>109</v>
      </c>
      <c r="O5413" t="str">
        <f>"PAGAMENTO DE ENTREGADORES"</f>
        <v>PAGAMENTO DE ENTREGADORES</v>
      </c>
      <c r="P5413">
        <v>682</v>
      </c>
      <c r="S5413" t="str">
        <f>"BANCO C6 (149)"</f>
        <v>BANCO C6 (149)</v>
      </c>
      <c r="T5413">
        <v>19869</v>
      </c>
      <c r="U5413">
        <v>22582</v>
      </c>
      <c r="V5413" t="s">
        <v>77</v>
      </c>
    </row>
    <row r="5414" spans="1:22">
      <c r="A5414" t="str">
        <f t="shared" si="961"/>
        <v>09/10/2025</v>
      </c>
      <c r="B5414" t="str">
        <f t="shared" si="953"/>
        <v>SAÍDA</v>
      </c>
      <c r="C5414" t="str">
        <f t="shared" si="958"/>
        <v>PIX</v>
      </c>
      <c r="D5414" t="str">
        <f>"22582"</f>
        <v>22582</v>
      </c>
      <c r="E5414" t="str">
        <f t="shared" si="959"/>
        <v>1</v>
      </c>
      <c r="F5414" t="str">
        <f t="shared" si="956"/>
        <v>COM</v>
      </c>
      <c r="G5414" t="str">
        <f>"GUSTAVO HENRIQUE OLIVEIRA (661)"</f>
        <v>GUSTAVO HENRIQUE OLIVEIRA (661)</v>
      </c>
      <c r="H5414" t="s">
        <v>1409</v>
      </c>
      <c r="I5414" t="str">
        <f t="shared" si="957"/>
        <v>09/10/2025</v>
      </c>
      <c r="J5414" t="str">
        <f t="shared" si="960"/>
        <v>26/09/2025</v>
      </c>
      <c r="K5414">
        <v>45939</v>
      </c>
      <c r="N5414">
        <v>109</v>
      </c>
      <c r="O5414" t="s">
        <v>24</v>
      </c>
      <c r="Q5414">
        <v>682</v>
      </c>
      <c r="R5414" t="str">
        <f>"FARMÁCIA INDIANA LJ 110 (10048)"</f>
        <v>FARMÁCIA INDIANA LJ 110 (10048)</v>
      </c>
      <c r="S5414" t="s">
        <v>77</v>
      </c>
      <c r="T5414">
        <v>19869</v>
      </c>
      <c r="U5414">
        <v>22582</v>
      </c>
      <c r="V5414" t="s">
        <v>77</v>
      </c>
    </row>
    <row r="5415" spans="1:22">
      <c r="A5415" t="str">
        <f t="shared" si="961"/>
        <v>09/10/2025</v>
      </c>
      <c r="B5415" t="str">
        <f t="shared" si="953"/>
        <v>SAÍDA</v>
      </c>
      <c r="C5415" t="str">
        <f t="shared" si="958"/>
        <v>PIX</v>
      </c>
      <c r="D5415" t="str">
        <f>"22581"</f>
        <v>22581</v>
      </c>
      <c r="E5415" t="str">
        <f t="shared" si="959"/>
        <v>1</v>
      </c>
      <c r="F5415" t="str">
        <f t="shared" si="956"/>
        <v>COM</v>
      </c>
      <c r="G5415" t="str">
        <f>"GUSTAVO ALVES DE ARAÚJO (298)"</f>
        <v>GUSTAVO ALVES DE ARAÚJO (298)</v>
      </c>
      <c r="H5415" t="str">
        <f>"Serv.Prest. 22/09/2025 a 25/09/2025 - PIX: CELULAR - CHAVE: (31) 99816-8965"</f>
        <v>Serv.Prest. 22/09/2025 a 25/09/2025 - PIX: CELULAR - CHAVE: (31) 99816-8965</v>
      </c>
      <c r="I5415" t="str">
        <f t="shared" si="957"/>
        <v>09/10/2025</v>
      </c>
      <c r="J5415" t="str">
        <f t="shared" si="960"/>
        <v>26/09/2025</v>
      </c>
      <c r="K5415" t="str">
        <f>("09/10/2025")</f>
        <v>09/10/2025</v>
      </c>
      <c r="L5415">
        <v>580</v>
      </c>
      <c r="M5415">
        <v>580</v>
      </c>
      <c r="N5415">
        <v>109</v>
      </c>
      <c r="O5415" t="str">
        <f>"PAGAMENTO DE ENTREGADORES"</f>
        <v>PAGAMENTO DE ENTREGADORES</v>
      </c>
      <c r="P5415">
        <v>580</v>
      </c>
      <c r="S5415" t="str">
        <f>"BANCO C6 (149)"</f>
        <v>BANCO C6 (149)</v>
      </c>
      <c r="T5415">
        <v>19870</v>
      </c>
      <c r="U5415">
        <v>22581</v>
      </c>
      <c r="V5415" t="s">
        <v>77</v>
      </c>
    </row>
    <row r="5416" spans="1:22">
      <c r="A5416" t="str">
        <f t="shared" si="961"/>
        <v>09/10/2025</v>
      </c>
      <c r="B5416" t="str">
        <f t="shared" si="953"/>
        <v>SAÍDA</v>
      </c>
      <c r="C5416" t="str">
        <f t="shared" si="958"/>
        <v>PIX</v>
      </c>
      <c r="D5416" t="str">
        <f>"22581"</f>
        <v>22581</v>
      </c>
      <c r="E5416" t="str">
        <f t="shared" si="959"/>
        <v>1</v>
      </c>
      <c r="F5416" t="str">
        <f t="shared" si="956"/>
        <v>COM</v>
      </c>
      <c r="G5416" t="str">
        <f>"GUSTAVO ALVES DE ARAÚJO (298)"</f>
        <v>GUSTAVO ALVES DE ARAÚJO (298)</v>
      </c>
      <c r="H5416" t="s">
        <v>1408</v>
      </c>
      <c r="I5416" t="str">
        <f t="shared" si="957"/>
        <v>09/10/2025</v>
      </c>
      <c r="J5416" t="str">
        <f t="shared" si="960"/>
        <v>26/09/2025</v>
      </c>
      <c r="K5416">
        <v>45939</v>
      </c>
      <c r="N5416">
        <v>109</v>
      </c>
      <c r="O5416" t="s">
        <v>24</v>
      </c>
      <c r="Q5416">
        <v>580</v>
      </c>
      <c r="R5416" t="str">
        <f>"FARMÁCIA INDIANA LJ 172 (10161)"</f>
        <v>FARMÁCIA INDIANA LJ 172 (10161)</v>
      </c>
      <c r="S5416" t="s">
        <v>77</v>
      </c>
      <c r="T5416">
        <v>19870</v>
      </c>
      <c r="U5416">
        <v>22581</v>
      </c>
      <c r="V5416" t="s">
        <v>77</v>
      </c>
    </row>
    <row r="5417" spans="1:22">
      <c r="A5417" t="str">
        <f t="shared" si="961"/>
        <v>09/10/2025</v>
      </c>
      <c r="B5417" t="str">
        <f t="shared" si="953"/>
        <v>SAÍDA</v>
      </c>
      <c r="C5417" t="str">
        <f t="shared" si="958"/>
        <v>PIX</v>
      </c>
      <c r="D5417" t="str">
        <f>"22580"</f>
        <v>22580</v>
      </c>
      <c r="E5417" t="str">
        <f t="shared" si="959"/>
        <v>1</v>
      </c>
      <c r="F5417" t="str">
        <f t="shared" si="956"/>
        <v>COM</v>
      </c>
      <c r="G5417" t="str">
        <f>"GUILHERME QUINTINO DA ROCHA (199)"</f>
        <v>GUILHERME QUINTINO DA ROCHA (199)</v>
      </c>
      <c r="H5417" t="str">
        <f>"Serv.Prest. 22/09/2025 a 25/09/2025 - PIX: CELULAR - CHAVE: (33) 99706-4860"</f>
        <v>Serv.Prest. 22/09/2025 a 25/09/2025 - PIX: CELULAR - CHAVE: (33) 99706-4860</v>
      </c>
      <c r="I5417" t="str">
        <f t="shared" si="957"/>
        <v>09/10/2025</v>
      </c>
      <c r="J5417" t="str">
        <f t="shared" si="960"/>
        <v>26/09/2025</v>
      </c>
      <c r="K5417" t="str">
        <f>("09/10/2025")</f>
        <v>09/10/2025</v>
      </c>
      <c r="L5417">
        <v>790</v>
      </c>
      <c r="M5417">
        <v>790</v>
      </c>
      <c r="N5417">
        <v>109</v>
      </c>
      <c r="O5417" t="str">
        <f>"PAGAMENTO DE ENTREGADORES"</f>
        <v>PAGAMENTO DE ENTREGADORES</v>
      </c>
      <c r="P5417">
        <v>790</v>
      </c>
      <c r="S5417" t="str">
        <f>"BANCO C6 (149)"</f>
        <v>BANCO C6 (149)</v>
      </c>
      <c r="T5417">
        <v>19871</v>
      </c>
      <c r="U5417">
        <v>22580</v>
      </c>
      <c r="V5417" t="s">
        <v>77</v>
      </c>
    </row>
    <row r="5418" spans="1:22">
      <c r="A5418" t="str">
        <f t="shared" si="961"/>
        <v>09/10/2025</v>
      </c>
      <c r="B5418" t="str">
        <f t="shared" si="953"/>
        <v>SAÍDA</v>
      </c>
      <c r="C5418" t="str">
        <f t="shared" si="958"/>
        <v>PIX</v>
      </c>
      <c r="D5418" t="str">
        <f>"22580"</f>
        <v>22580</v>
      </c>
      <c r="E5418" t="str">
        <f t="shared" si="959"/>
        <v>1</v>
      </c>
      <c r="F5418" t="str">
        <f t="shared" si="956"/>
        <v>COM</v>
      </c>
      <c r="G5418" t="str">
        <f>"GUILHERME QUINTINO DA ROCHA (199)"</f>
        <v>GUILHERME QUINTINO DA ROCHA (199)</v>
      </c>
      <c r="H5418" t="s">
        <v>1407</v>
      </c>
      <c r="I5418" t="str">
        <f t="shared" si="957"/>
        <v>09/10/2025</v>
      </c>
      <c r="J5418" t="str">
        <f t="shared" si="960"/>
        <v>26/09/2025</v>
      </c>
      <c r="K5418">
        <v>45939</v>
      </c>
      <c r="N5418">
        <v>109</v>
      </c>
      <c r="O5418" t="s">
        <v>24</v>
      </c>
      <c r="Q5418">
        <v>790</v>
      </c>
      <c r="R5418" t="str">
        <f>"FARMÁCIA INDIANA LJ 06 (10006)"</f>
        <v>FARMÁCIA INDIANA LJ 06 (10006)</v>
      </c>
      <c r="S5418" t="s">
        <v>77</v>
      </c>
      <c r="T5418">
        <v>19871</v>
      </c>
      <c r="U5418">
        <v>22580</v>
      </c>
      <c r="V5418" t="s">
        <v>77</v>
      </c>
    </row>
    <row r="5419" spans="1:22">
      <c r="A5419" t="str">
        <f t="shared" si="961"/>
        <v>09/10/2025</v>
      </c>
      <c r="B5419" t="str">
        <f t="shared" ref="B5419:B5482" si="962">"SAÍDA"</f>
        <v>SAÍDA</v>
      </c>
      <c r="C5419" t="str">
        <f t="shared" si="958"/>
        <v>PIX</v>
      </c>
      <c r="D5419" t="str">
        <f>"22579"</f>
        <v>22579</v>
      </c>
      <c r="E5419" t="str">
        <f t="shared" si="959"/>
        <v>1</v>
      </c>
      <c r="F5419" t="str">
        <f t="shared" si="956"/>
        <v>COM</v>
      </c>
      <c r="G5419" t="str">
        <f>"GILNEI MENDES COELHO (195)"</f>
        <v>GILNEI MENDES COELHO (195)</v>
      </c>
      <c r="H5419" t="str">
        <f>"Serv.Prest. 22/09/2025 a 25/09/2025 - PIX: CPF - CHAVE: 386.313.426-53"</f>
        <v>Serv.Prest. 22/09/2025 a 25/09/2025 - PIX: CPF - CHAVE: 386.313.426-53</v>
      </c>
      <c r="I5419" t="str">
        <f t="shared" si="957"/>
        <v>09/10/2025</v>
      </c>
      <c r="J5419" t="str">
        <f t="shared" si="960"/>
        <v>26/09/2025</v>
      </c>
      <c r="K5419" t="str">
        <f>("09/10/2025")</f>
        <v>09/10/2025</v>
      </c>
      <c r="L5419">
        <v>540</v>
      </c>
      <c r="M5419">
        <v>540</v>
      </c>
      <c r="N5419">
        <v>109</v>
      </c>
      <c r="O5419" t="str">
        <f>"PAGAMENTO DE ENTREGADORES"</f>
        <v>PAGAMENTO DE ENTREGADORES</v>
      </c>
      <c r="P5419">
        <v>540</v>
      </c>
      <c r="S5419" t="str">
        <f>"BANCO C6 (149)"</f>
        <v>BANCO C6 (149)</v>
      </c>
      <c r="T5419">
        <v>19872</v>
      </c>
      <c r="U5419">
        <v>22579</v>
      </c>
      <c r="V5419" t="s">
        <v>77</v>
      </c>
    </row>
    <row r="5420" spans="1:22">
      <c r="A5420" t="str">
        <f t="shared" si="961"/>
        <v>09/10/2025</v>
      </c>
      <c r="B5420" t="str">
        <f t="shared" si="962"/>
        <v>SAÍDA</v>
      </c>
      <c r="C5420" t="str">
        <f t="shared" si="958"/>
        <v>PIX</v>
      </c>
      <c r="D5420" t="str">
        <f>"22579"</f>
        <v>22579</v>
      </c>
      <c r="E5420" t="str">
        <f t="shared" si="959"/>
        <v>1</v>
      </c>
      <c r="F5420" t="str">
        <f t="shared" si="956"/>
        <v>COM</v>
      </c>
      <c r="G5420" t="str">
        <f>"GILNEI MENDES COELHO (195)"</f>
        <v>GILNEI MENDES COELHO (195)</v>
      </c>
      <c r="H5420" t="s">
        <v>1532</v>
      </c>
      <c r="I5420" t="str">
        <f t="shared" si="957"/>
        <v>09/10/2025</v>
      </c>
      <c r="J5420" t="str">
        <f t="shared" si="960"/>
        <v>26/09/2025</v>
      </c>
      <c r="K5420">
        <v>45939</v>
      </c>
      <c r="N5420">
        <v>109</v>
      </c>
      <c r="O5420" t="s">
        <v>24</v>
      </c>
      <c r="Q5420">
        <v>540</v>
      </c>
      <c r="R5420" t="str">
        <f>"FARMÁCIA INDIANA LJ 06 (10006)"</f>
        <v>FARMÁCIA INDIANA LJ 06 (10006)</v>
      </c>
      <c r="S5420" t="s">
        <v>77</v>
      </c>
      <c r="T5420">
        <v>19872</v>
      </c>
      <c r="U5420">
        <v>22579</v>
      </c>
      <c r="V5420" t="s">
        <v>77</v>
      </c>
    </row>
    <row r="5421" spans="1:22">
      <c r="A5421" t="str">
        <f t="shared" si="961"/>
        <v>09/10/2025</v>
      </c>
      <c r="B5421" t="str">
        <f t="shared" si="962"/>
        <v>SAÍDA</v>
      </c>
      <c r="C5421" t="str">
        <f t="shared" si="958"/>
        <v>PIX</v>
      </c>
      <c r="D5421" t="str">
        <f>"22577"</f>
        <v>22577</v>
      </c>
      <c r="E5421" t="str">
        <f t="shared" si="959"/>
        <v>1</v>
      </c>
      <c r="F5421" t="str">
        <f t="shared" si="956"/>
        <v>COM</v>
      </c>
      <c r="G5421" t="str">
        <f>"GABRIEL SOARES VIEIRA (18)"</f>
        <v>GABRIEL SOARES VIEIRA (18)</v>
      </c>
      <c r="H5421" t="str">
        <f>"Serv.Prest. 22/09/2025 a 25/09/2025 - PIX: CPF - CHAVE: 179.800.027-09"</f>
        <v>Serv.Prest. 22/09/2025 a 25/09/2025 - PIX: CPF - CHAVE: 179.800.027-09</v>
      </c>
      <c r="I5421" t="str">
        <f t="shared" si="957"/>
        <v>09/10/2025</v>
      </c>
      <c r="J5421" t="str">
        <f t="shared" si="960"/>
        <v>26/09/2025</v>
      </c>
      <c r="K5421" t="str">
        <f>("09/10/2025")</f>
        <v>09/10/2025</v>
      </c>
      <c r="L5421">
        <v>1369.5</v>
      </c>
      <c r="M5421">
        <v>1369.5</v>
      </c>
      <c r="N5421">
        <v>109</v>
      </c>
      <c r="O5421" t="str">
        <f>"PAGAMENTO DE ENTREGADORES"</f>
        <v>PAGAMENTO DE ENTREGADORES</v>
      </c>
      <c r="P5421">
        <v>1369.5</v>
      </c>
      <c r="S5421" t="str">
        <f>"BANCO C6 (149)"</f>
        <v>BANCO C6 (149)</v>
      </c>
      <c r="T5421">
        <v>19873</v>
      </c>
      <c r="U5421">
        <v>22577</v>
      </c>
      <c r="V5421" t="s">
        <v>77</v>
      </c>
    </row>
    <row r="5422" spans="1:22">
      <c r="A5422" t="str">
        <f t="shared" si="961"/>
        <v>09/10/2025</v>
      </c>
      <c r="B5422" t="str">
        <f t="shared" si="962"/>
        <v>SAÍDA</v>
      </c>
      <c r="C5422" t="str">
        <f t="shared" si="958"/>
        <v>PIX</v>
      </c>
      <c r="D5422" t="str">
        <f>"22577"</f>
        <v>22577</v>
      </c>
      <c r="E5422" t="str">
        <f t="shared" si="959"/>
        <v>1</v>
      </c>
      <c r="F5422" t="str">
        <f t="shared" ref="F5422:F5485" si="963">"COM"</f>
        <v>COM</v>
      </c>
      <c r="G5422" t="str">
        <f>"GABRIEL SOARES VIEIRA (18)"</f>
        <v>GABRIEL SOARES VIEIRA (18)</v>
      </c>
      <c r="H5422" t="s">
        <v>1533</v>
      </c>
      <c r="I5422" t="str">
        <f t="shared" si="957"/>
        <v>09/10/2025</v>
      </c>
      <c r="J5422" t="str">
        <f t="shared" si="960"/>
        <v>26/09/2025</v>
      </c>
      <c r="K5422">
        <v>45939</v>
      </c>
      <c r="N5422">
        <v>109</v>
      </c>
      <c r="O5422" t="s">
        <v>24</v>
      </c>
      <c r="Q5422">
        <v>1358.54</v>
      </c>
      <c r="R5422" t="str">
        <f>"FARMÁCIA INDIANA LJ 40 (10016)"</f>
        <v>FARMÁCIA INDIANA LJ 40 (10016)</v>
      </c>
      <c r="S5422" t="s">
        <v>77</v>
      </c>
      <c r="T5422">
        <v>19873</v>
      </c>
      <c r="U5422">
        <v>22577</v>
      </c>
      <c r="V5422" t="s">
        <v>77</v>
      </c>
    </row>
    <row r="5423" spans="1:22">
      <c r="A5423" t="str">
        <f t="shared" si="961"/>
        <v>09/10/2025</v>
      </c>
      <c r="B5423" t="str">
        <f t="shared" si="962"/>
        <v>SAÍDA</v>
      </c>
      <c r="C5423" t="str">
        <f t="shared" si="958"/>
        <v>PIX</v>
      </c>
      <c r="D5423" t="str">
        <f>"22577"</f>
        <v>22577</v>
      </c>
      <c r="E5423" t="str">
        <f t="shared" si="959"/>
        <v>1</v>
      </c>
      <c r="F5423" t="str">
        <f t="shared" si="963"/>
        <v>COM</v>
      </c>
      <c r="G5423" t="str">
        <f>"GABRIEL SOARES VIEIRA (18)"</f>
        <v>GABRIEL SOARES VIEIRA (18)</v>
      </c>
      <c r="H5423" t="s">
        <v>1533</v>
      </c>
      <c r="I5423" t="str">
        <f t="shared" si="957"/>
        <v>09/10/2025</v>
      </c>
      <c r="J5423" t="str">
        <f t="shared" si="960"/>
        <v>26/09/2025</v>
      </c>
      <c r="K5423">
        <v>45939</v>
      </c>
      <c r="N5423">
        <v>109</v>
      </c>
      <c r="O5423" t="s">
        <v>24</v>
      </c>
      <c r="Q5423">
        <v>10.96</v>
      </c>
      <c r="R5423" t="str">
        <f>"FARMÁCIA INDIANA LJ 61 (10027)"</f>
        <v>FARMÁCIA INDIANA LJ 61 (10027)</v>
      </c>
      <c r="S5423" t="s">
        <v>77</v>
      </c>
      <c r="T5423">
        <v>19873</v>
      </c>
      <c r="U5423">
        <v>22577</v>
      </c>
      <c r="V5423" t="s">
        <v>77</v>
      </c>
    </row>
    <row r="5424" spans="1:22">
      <c r="A5424" t="str">
        <f t="shared" si="961"/>
        <v>09/10/2025</v>
      </c>
      <c r="B5424" t="str">
        <f t="shared" si="962"/>
        <v>SAÍDA</v>
      </c>
      <c r="C5424" t="str">
        <f t="shared" si="958"/>
        <v>PIX</v>
      </c>
      <c r="D5424" t="str">
        <f>"22576"</f>
        <v>22576</v>
      </c>
      <c r="E5424" t="str">
        <f t="shared" si="959"/>
        <v>1</v>
      </c>
      <c r="F5424" t="str">
        <f t="shared" si="963"/>
        <v>COM</v>
      </c>
      <c r="G5424" t="str">
        <f>"GABRIEL DA SILVA REIS (824)"</f>
        <v>GABRIEL DA SILVA REIS (824)</v>
      </c>
      <c r="H5424" t="str">
        <f>"Serv.Prest. 22/09/2025 a 25/09/2025 - PIX: CPF - CHAVE: 160.160.216-28"</f>
        <v>Serv.Prest. 22/09/2025 a 25/09/2025 - PIX: CPF - CHAVE: 160.160.216-28</v>
      </c>
      <c r="I5424" t="str">
        <f t="shared" si="957"/>
        <v>09/10/2025</v>
      </c>
      <c r="J5424" t="str">
        <f t="shared" si="960"/>
        <v>26/09/2025</v>
      </c>
      <c r="K5424" t="str">
        <f>("09/10/2025")</f>
        <v>09/10/2025</v>
      </c>
      <c r="L5424">
        <v>680.7</v>
      </c>
      <c r="M5424">
        <v>680.7</v>
      </c>
      <c r="N5424">
        <v>109</v>
      </c>
      <c r="O5424" t="str">
        <f>"PAGAMENTO DE ENTREGADORES"</f>
        <v>PAGAMENTO DE ENTREGADORES</v>
      </c>
      <c r="P5424">
        <v>680.7</v>
      </c>
      <c r="S5424" t="str">
        <f>"BANCO C6 (149)"</f>
        <v>BANCO C6 (149)</v>
      </c>
      <c r="T5424">
        <v>19874</v>
      </c>
      <c r="U5424">
        <v>22576</v>
      </c>
      <c r="V5424" t="s">
        <v>77</v>
      </c>
    </row>
    <row r="5425" spans="1:22">
      <c r="A5425" t="str">
        <f t="shared" si="961"/>
        <v>09/10/2025</v>
      </c>
      <c r="B5425" t="str">
        <f t="shared" si="962"/>
        <v>SAÍDA</v>
      </c>
      <c r="C5425" t="str">
        <f t="shared" si="958"/>
        <v>PIX</v>
      </c>
      <c r="D5425" t="str">
        <f>"22576"</f>
        <v>22576</v>
      </c>
      <c r="E5425" t="str">
        <f t="shared" si="959"/>
        <v>1</v>
      </c>
      <c r="F5425" t="str">
        <f t="shared" si="963"/>
        <v>COM</v>
      </c>
      <c r="G5425" t="str">
        <f>"GABRIEL DA SILVA REIS (824)"</f>
        <v>GABRIEL DA SILVA REIS (824)</v>
      </c>
      <c r="H5425" t="s">
        <v>1401</v>
      </c>
      <c r="I5425" t="str">
        <f t="shared" si="957"/>
        <v>09/10/2025</v>
      </c>
      <c r="J5425" t="str">
        <f t="shared" si="960"/>
        <v>26/09/2025</v>
      </c>
      <c r="K5425">
        <v>45939</v>
      </c>
      <c r="N5425">
        <v>109</v>
      </c>
      <c r="O5425" t="s">
        <v>24</v>
      </c>
      <c r="Q5425">
        <v>680.7</v>
      </c>
      <c r="R5425" t="str">
        <f>"FARMÁCIA INDIANA LJ 100 (10042)"</f>
        <v>FARMÁCIA INDIANA LJ 100 (10042)</v>
      </c>
      <c r="S5425" t="s">
        <v>77</v>
      </c>
      <c r="T5425">
        <v>19874</v>
      </c>
      <c r="U5425">
        <v>22576</v>
      </c>
      <c r="V5425" t="s">
        <v>77</v>
      </c>
    </row>
    <row r="5426" spans="1:22">
      <c r="A5426" t="str">
        <f t="shared" si="961"/>
        <v>09/10/2025</v>
      </c>
      <c r="B5426" t="str">
        <f t="shared" si="962"/>
        <v>SAÍDA</v>
      </c>
      <c r="C5426" t="str">
        <f t="shared" si="958"/>
        <v>PIX</v>
      </c>
      <c r="D5426" t="str">
        <f>"22575"</f>
        <v>22575</v>
      </c>
      <c r="E5426" t="str">
        <f t="shared" si="959"/>
        <v>1</v>
      </c>
      <c r="F5426" t="str">
        <f t="shared" si="963"/>
        <v>COM</v>
      </c>
      <c r="G5426" t="str">
        <f>"FABRICIO RAMON SOARES SANTOS (645)"</f>
        <v>FABRICIO RAMON SOARES SANTOS (645)</v>
      </c>
      <c r="H5426" t="str">
        <f>"Serv.Prest. 22/09/2025 a 25/09/2025 - PIX: CELULAR - CHAVE: (31) 98483-3242"</f>
        <v>Serv.Prest. 22/09/2025 a 25/09/2025 - PIX: CELULAR - CHAVE: (31) 98483-3242</v>
      </c>
      <c r="I5426" t="str">
        <f t="shared" si="957"/>
        <v>09/10/2025</v>
      </c>
      <c r="J5426" t="str">
        <f t="shared" si="960"/>
        <v>26/09/2025</v>
      </c>
      <c r="K5426" t="str">
        <f>("09/10/2025")</f>
        <v>09/10/2025</v>
      </c>
      <c r="L5426">
        <v>790</v>
      </c>
      <c r="M5426">
        <v>790</v>
      </c>
      <c r="N5426">
        <v>109</v>
      </c>
      <c r="O5426" t="str">
        <f>"PAGAMENTO DE ENTREGADORES"</f>
        <v>PAGAMENTO DE ENTREGADORES</v>
      </c>
      <c r="P5426">
        <v>790</v>
      </c>
      <c r="S5426" t="str">
        <f>"BANCO C6 (149)"</f>
        <v>BANCO C6 (149)</v>
      </c>
      <c r="T5426">
        <v>19875</v>
      </c>
      <c r="U5426">
        <v>22575</v>
      </c>
      <c r="V5426" t="s">
        <v>77</v>
      </c>
    </row>
    <row r="5427" spans="1:22">
      <c r="A5427" t="str">
        <f t="shared" si="961"/>
        <v>09/10/2025</v>
      </c>
      <c r="B5427" t="str">
        <f t="shared" si="962"/>
        <v>SAÍDA</v>
      </c>
      <c r="C5427" t="str">
        <f t="shared" si="958"/>
        <v>PIX</v>
      </c>
      <c r="D5427" t="str">
        <f>"22575"</f>
        <v>22575</v>
      </c>
      <c r="E5427" t="str">
        <f t="shared" si="959"/>
        <v>1</v>
      </c>
      <c r="F5427" t="str">
        <f t="shared" si="963"/>
        <v>COM</v>
      </c>
      <c r="G5427" t="str">
        <f>"FABRICIO RAMON SOARES SANTOS (645)"</f>
        <v>FABRICIO RAMON SOARES SANTOS (645)</v>
      </c>
      <c r="H5427" t="s">
        <v>1399</v>
      </c>
      <c r="I5427" t="str">
        <f t="shared" si="957"/>
        <v>09/10/2025</v>
      </c>
      <c r="J5427" t="str">
        <f t="shared" si="960"/>
        <v>26/09/2025</v>
      </c>
      <c r="K5427">
        <v>45939</v>
      </c>
      <c r="N5427">
        <v>109</v>
      </c>
      <c r="O5427" t="s">
        <v>24</v>
      </c>
      <c r="Q5427">
        <v>790</v>
      </c>
      <c r="R5427" t="str">
        <f>"FARMÁCIA INDIANA LJ 101 (10043)"</f>
        <v>FARMÁCIA INDIANA LJ 101 (10043)</v>
      </c>
      <c r="S5427" t="s">
        <v>77</v>
      </c>
      <c r="T5427">
        <v>19875</v>
      </c>
      <c r="U5427">
        <v>22575</v>
      </c>
      <c r="V5427" t="s">
        <v>77</v>
      </c>
    </row>
    <row r="5428" spans="1:22">
      <c r="A5428" t="str">
        <f t="shared" si="961"/>
        <v>09/10/2025</v>
      </c>
      <c r="B5428" t="str">
        <f t="shared" si="962"/>
        <v>SAÍDA</v>
      </c>
      <c r="C5428" t="str">
        <f t="shared" si="958"/>
        <v>PIX</v>
      </c>
      <c r="D5428" t="str">
        <f>"22573"</f>
        <v>22573</v>
      </c>
      <c r="E5428" t="str">
        <f t="shared" si="959"/>
        <v>1</v>
      </c>
      <c r="F5428" t="str">
        <f t="shared" si="963"/>
        <v>COM</v>
      </c>
      <c r="G5428" t="str">
        <f>"EUDES PIMENTA (368)"</f>
        <v>EUDES PIMENTA (368)</v>
      </c>
      <c r="H5428" t="str">
        <f>"Serv.Prest. 22/09/2025 a 25/09/2025 - PIX: CPF - CHAVE: 070.073.316-70"</f>
        <v>Serv.Prest. 22/09/2025 a 25/09/2025 - PIX: CPF - CHAVE: 070.073.316-70</v>
      </c>
      <c r="I5428" t="str">
        <f t="shared" ref="I5428:I5491" si="964">("09/10/2025")</f>
        <v>09/10/2025</v>
      </c>
      <c r="J5428" t="str">
        <f t="shared" si="960"/>
        <v>26/09/2025</v>
      </c>
      <c r="K5428" t="str">
        <f>("09/10/2025")</f>
        <v>09/10/2025</v>
      </c>
      <c r="L5428">
        <v>670</v>
      </c>
      <c r="M5428">
        <v>670</v>
      </c>
      <c r="N5428">
        <v>109</v>
      </c>
      <c r="O5428" t="str">
        <f>"PAGAMENTO DE ENTREGADORES"</f>
        <v>PAGAMENTO DE ENTREGADORES</v>
      </c>
      <c r="P5428">
        <v>670</v>
      </c>
      <c r="S5428" t="str">
        <f>"BANCO C6 (149)"</f>
        <v>BANCO C6 (149)</v>
      </c>
      <c r="T5428">
        <v>19876</v>
      </c>
      <c r="U5428">
        <v>22573</v>
      </c>
      <c r="V5428" t="s">
        <v>77</v>
      </c>
    </row>
    <row r="5429" spans="1:22">
      <c r="A5429" t="str">
        <f t="shared" si="961"/>
        <v>09/10/2025</v>
      </c>
      <c r="B5429" t="str">
        <f t="shared" si="962"/>
        <v>SAÍDA</v>
      </c>
      <c r="C5429" t="str">
        <f t="shared" si="958"/>
        <v>PIX</v>
      </c>
      <c r="D5429" t="str">
        <f>"22573"</f>
        <v>22573</v>
      </c>
      <c r="E5429" t="str">
        <f t="shared" si="959"/>
        <v>1</v>
      </c>
      <c r="F5429" t="str">
        <f t="shared" si="963"/>
        <v>COM</v>
      </c>
      <c r="G5429" t="str">
        <f>"EUDES PIMENTA (368)"</f>
        <v>EUDES PIMENTA (368)</v>
      </c>
      <c r="H5429" t="s">
        <v>1396</v>
      </c>
      <c r="I5429" t="str">
        <f t="shared" si="964"/>
        <v>09/10/2025</v>
      </c>
      <c r="J5429" t="str">
        <f t="shared" si="960"/>
        <v>26/09/2025</v>
      </c>
      <c r="K5429">
        <v>45939</v>
      </c>
      <c r="N5429">
        <v>109</v>
      </c>
      <c r="O5429" t="s">
        <v>24</v>
      </c>
      <c r="Q5429">
        <v>670</v>
      </c>
      <c r="R5429" t="str">
        <f>"FARMÁCIA INDIANA LJ 06 (10006)"</f>
        <v>FARMÁCIA INDIANA LJ 06 (10006)</v>
      </c>
      <c r="S5429" t="s">
        <v>77</v>
      </c>
      <c r="T5429">
        <v>19876</v>
      </c>
      <c r="U5429">
        <v>22573</v>
      </c>
      <c r="V5429" t="s">
        <v>77</v>
      </c>
    </row>
    <row r="5430" spans="1:22">
      <c r="A5430" t="str">
        <f t="shared" si="961"/>
        <v>09/10/2025</v>
      </c>
      <c r="B5430" t="str">
        <f t="shared" si="962"/>
        <v>SAÍDA</v>
      </c>
      <c r="C5430" t="str">
        <f t="shared" ref="C5430:C5493" si="965">"PIX"</f>
        <v>PIX</v>
      </c>
      <c r="D5430" t="str">
        <f>"22572"</f>
        <v>22572</v>
      </c>
      <c r="E5430" t="str">
        <f t="shared" ref="E5430:E5493" si="966">"1"</f>
        <v>1</v>
      </c>
      <c r="F5430" t="str">
        <f t="shared" si="963"/>
        <v>COM</v>
      </c>
      <c r="G5430" t="str">
        <f>"EDSON JUNIOR FERREIRA DA SILVA (99)"</f>
        <v>EDSON JUNIOR FERREIRA DA SILVA (99)</v>
      </c>
      <c r="H5430" t="str">
        <f>"Serv.Prest. 22/09/2025 a 25/09/2025 - PIX: CPF - CHAVE: 141.134.256-98"</f>
        <v>Serv.Prest. 22/09/2025 a 25/09/2025 - PIX: CPF - CHAVE: 141.134.256-98</v>
      </c>
      <c r="I5430" t="str">
        <f t="shared" si="964"/>
        <v>09/10/2025</v>
      </c>
      <c r="J5430" t="str">
        <f t="shared" ref="J5430:J5493" si="967">("26/09/2025")</f>
        <v>26/09/2025</v>
      </c>
      <c r="K5430" t="str">
        <f>("09/10/2025")</f>
        <v>09/10/2025</v>
      </c>
      <c r="L5430">
        <v>680.7</v>
      </c>
      <c r="M5430">
        <v>680.7</v>
      </c>
      <c r="N5430">
        <v>109</v>
      </c>
      <c r="O5430" t="str">
        <f>"PAGAMENTO DE ENTREGADORES"</f>
        <v>PAGAMENTO DE ENTREGADORES</v>
      </c>
      <c r="P5430">
        <v>680.7</v>
      </c>
      <c r="S5430" t="str">
        <f>"BANCO C6 (149)"</f>
        <v>BANCO C6 (149)</v>
      </c>
      <c r="T5430">
        <v>19877</v>
      </c>
      <c r="U5430">
        <v>22572</v>
      </c>
      <c r="V5430" t="s">
        <v>77</v>
      </c>
    </row>
    <row r="5431" spans="1:22">
      <c r="A5431" t="str">
        <f t="shared" si="961"/>
        <v>09/10/2025</v>
      </c>
      <c r="B5431" t="str">
        <f t="shared" si="962"/>
        <v>SAÍDA</v>
      </c>
      <c r="C5431" t="str">
        <f t="shared" si="965"/>
        <v>PIX</v>
      </c>
      <c r="D5431" t="str">
        <f>"22572"</f>
        <v>22572</v>
      </c>
      <c r="E5431" t="str">
        <f t="shared" si="966"/>
        <v>1</v>
      </c>
      <c r="F5431" t="str">
        <f t="shared" si="963"/>
        <v>COM</v>
      </c>
      <c r="G5431" t="str">
        <f>"EDSON JUNIOR FERREIRA DA SILVA (99)"</f>
        <v>EDSON JUNIOR FERREIRA DA SILVA (99)</v>
      </c>
      <c r="H5431" t="s">
        <v>1389</v>
      </c>
      <c r="I5431" t="str">
        <f t="shared" si="964"/>
        <v>09/10/2025</v>
      </c>
      <c r="J5431" t="str">
        <f t="shared" si="967"/>
        <v>26/09/2025</v>
      </c>
      <c r="K5431">
        <v>45939</v>
      </c>
      <c r="N5431">
        <v>109</v>
      </c>
      <c r="O5431" t="s">
        <v>24</v>
      </c>
      <c r="Q5431">
        <v>680.7</v>
      </c>
      <c r="R5431" t="str">
        <f>"FARMÁCIA INDIANA LJ 100 (10042)"</f>
        <v>FARMÁCIA INDIANA LJ 100 (10042)</v>
      </c>
      <c r="S5431" t="s">
        <v>77</v>
      </c>
      <c r="T5431">
        <v>19877</v>
      </c>
      <c r="U5431">
        <v>22572</v>
      </c>
      <c r="V5431" t="s">
        <v>77</v>
      </c>
    </row>
    <row r="5432" spans="1:22">
      <c r="A5432" t="str">
        <f t="shared" si="961"/>
        <v>09/10/2025</v>
      </c>
      <c r="B5432" t="str">
        <f t="shared" si="962"/>
        <v>SAÍDA</v>
      </c>
      <c r="C5432" t="str">
        <f t="shared" si="965"/>
        <v>PIX</v>
      </c>
      <c r="D5432" t="str">
        <f>"22571"</f>
        <v>22571</v>
      </c>
      <c r="E5432" t="str">
        <f t="shared" si="966"/>
        <v>1</v>
      </c>
      <c r="F5432" t="str">
        <f t="shared" si="963"/>
        <v>COM</v>
      </c>
      <c r="G5432" t="str">
        <f>"EDIONIO CARVALHO DA SILVA (920)"</f>
        <v>EDIONIO CARVALHO DA SILVA (920)</v>
      </c>
      <c r="H5432" t="str">
        <f>"Serv.Prest. 22/09/2025 a 25/09/2025 - PIX: CELULAR - CHAVE: (33) 99199-7983"</f>
        <v>Serv.Prest. 22/09/2025 a 25/09/2025 - PIX: CELULAR - CHAVE: (33) 99199-7983</v>
      </c>
      <c r="I5432" t="str">
        <f t="shared" si="964"/>
        <v>09/10/2025</v>
      </c>
      <c r="J5432" t="str">
        <f t="shared" si="967"/>
        <v>26/09/2025</v>
      </c>
      <c r="K5432" t="str">
        <f>("09/10/2025")</f>
        <v>09/10/2025</v>
      </c>
      <c r="L5432">
        <v>750</v>
      </c>
      <c r="M5432">
        <v>750</v>
      </c>
      <c r="N5432">
        <v>109</v>
      </c>
      <c r="O5432" t="str">
        <f>"PAGAMENTO DE ENTREGADORES"</f>
        <v>PAGAMENTO DE ENTREGADORES</v>
      </c>
      <c r="P5432">
        <v>750</v>
      </c>
      <c r="S5432" t="str">
        <f>"BANCO C6 (149)"</f>
        <v>BANCO C6 (149)</v>
      </c>
      <c r="T5432">
        <v>19878</v>
      </c>
      <c r="U5432">
        <v>22571</v>
      </c>
      <c r="V5432" t="s">
        <v>77</v>
      </c>
    </row>
    <row r="5433" spans="1:22">
      <c r="A5433" t="str">
        <f t="shared" si="961"/>
        <v>09/10/2025</v>
      </c>
      <c r="B5433" t="str">
        <f t="shared" si="962"/>
        <v>SAÍDA</v>
      </c>
      <c r="C5433" t="str">
        <f t="shared" si="965"/>
        <v>PIX</v>
      </c>
      <c r="D5433" t="str">
        <f>"22571"</f>
        <v>22571</v>
      </c>
      <c r="E5433" t="str">
        <f t="shared" si="966"/>
        <v>1</v>
      </c>
      <c r="F5433" t="str">
        <f t="shared" si="963"/>
        <v>COM</v>
      </c>
      <c r="G5433" t="str">
        <f>"EDIONIO CARVALHO DA SILVA (920)"</f>
        <v>EDIONIO CARVALHO DA SILVA (920)</v>
      </c>
      <c r="H5433" t="s">
        <v>1534</v>
      </c>
      <c r="I5433" t="str">
        <f t="shared" si="964"/>
        <v>09/10/2025</v>
      </c>
      <c r="J5433" t="str">
        <f t="shared" si="967"/>
        <v>26/09/2025</v>
      </c>
      <c r="K5433">
        <v>45939</v>
      </c>
      <c r="N5433">
        <v>109</v>
      </c>
      <c r="O5433" t="s">
        <v>24</v>
      </c>
      <c r="Q5433">
        <v>750</v>
      </c>
      <c r="R5433" t="str">
        <f>"FARMÁCIA INDIANA LJ 171 (10074)"</f>
        <v>FARMÁCIA INDIANA LJ 171 (10074)</v>
      </c>
      <c r="S5433" t="s">
        <v>77</v>
      </c>
      <c r="T5433">
        <v>19878</v>
      </c>
      <c r="U5433">
        <v>22571</v>
      </c>
      <c r="V5433" t="s">
        <v>77</v>
      </c>
    </row>
    <row r="5434" spans="1:22">
      <c r="A5434" t="str">
        <f t="shared" si="961"/>
        <v>09/10/2025</v>
      </c>
      <c r="B5434" t="str">
        <f t="shared" si="962"/>
        <v>SAÍDA</v>
      </c>
      <c r="C5434" t="str">
        <f t="shared" si="965"/>
        <v>PIX</v>
      </c>
      <c r="D5434" t="str">
        <f>"22570"</f>
        <v>22570</v>
      </c>
      <c r="E5434" t="str">
        <f t="shared" si="966"/>
        <v>1</v>
      </c>
      <c r="F5434" t="str">
        <f t="shared" si="963"/>
        <v>COM</v>
      </c>
      <c r="G5434" t="str">
        <f>"DIONE OLIVEIRA SILVA (214)"</f>
        <v>DIONE OLIVEIRA SILVA (214)</v>
      </c>
      <c r="H5434" t="str">
        <f>"Serv.Prest. 22/09/2025 a 25/09/2025 - PIX: CELULAR - CHAVE: (33) 98890-5095"</f>
        <v>Serv.Prest. 22/09/2025 a 25/09/2025 - PIX: CELULAR - CHAVE: (33) 98890-5095</v>
      </c>
      <c r="I5434" t="str">
        <f t="shared" si="964"/>
        <v>09/10/2025</v>
      </c>
      <c r="J5434" t="str">
        <f t="shared" si="967"/>
        <v>26/09/2025</v>
      </c>
      <c r="K5434" t="str">
        <f>("09/10/2025")</f>
        <v>09/10/2025</v>
      </c>
      <c r="L5434">
        <v>1122</v>
      </c>
      <c r="M5434">
        <v>1122</v>
      </c>
      <c r="N5434">
        <v>109</v>
      </c>
      <c r="O5434" t="str">
        <f>"PAGAMENTO DE ENTREGADORES"</f>
        <v>PAGAMENTO DE ENTREGADORES</v>
      </c>
      <c r="P5434">
        <v>1122</v>
      </c>
      <c r="S5434" t="str">
        <f>"BANCO C6 (149)"</f>
        <v>BANCO C6 (149)</v>
      </c>
      <c r="T5434">
        <v>19879</v>
      </c>
      <c r="U5434">
        <v>22570</v>
      </c>
      <c r="V5434" t="s">
        <v>77</v>
      </c>
    </row>
    <row r="5435" spans="1:22">
      <c r="A5435" t="str">
        <f t="shared" si="961"/>
        <v>09/10/2025</v>
      </c>
      <c r="B5435" t="str">
        <f t="shared" si="962"/>
        <v>SAÍDA</v>
      </c>
      <c r="C5435" t="str">
        <f t="shared" si="965"/>
        <v>PIX</v>
      </c>
      <c r="D5435" t="str">
        <f>"22570"</f>
        <v>22570</v>
      </c>
      <c r="E5435" t="str">
        <f t="shared" si="966"/>
        <v>1</v>
      </c>
      <c r="F5435" t="str">
        <f t="shared" si="963"/>
        <v>COM</v>
      </c>
      <c r="G5435" t="str">
        <f>"DIONE OLIVEIRA SILVA (214)"</f>
        <v>DIONE OLIVEIRA SILVA (214)</v>
      </c>
      <c r="H5435" t="s">
        <v>1535</v>
      </c>
      <c r="I5435" t="str">
        <f t="shared" si="964"/>
        <v>09/10/2025</v>
      </c>
      <c r="J5435" t="str">
        <f t="shared" si="967"/>
        <v>26/09/2025</v>
      </c>
      <c r="K5435">
        <v>45939</v>
      </c>
      <c r="N5435">
        <v>109</v>
      </c>
      <c r="O5435" t="s">
        <v>24</v>
      </c>
      <c r="Q5435">
        <v>1122</v>
      </c>
      <c r="R5435" t="str">
        <f>"FARMÁCIA INDIANA LJ 14 (10009)"</f>
        <v>FARMÁCIA INDIANA LJ 14 (10009)</v>
      </c>
      <c r="S5435" t="s">
        <v>77</v>
      </c>
      <c r="T5435">
        <v>19879</v>
      </c>
      <c r="U5435">
        <v>22570</v>
      </c>
      <c r="V5435" t="s">
        <v>77</v>
      </c>
    </row>
    <row r="5436" spans="1:22">
      <c r="A5436" t="str">
        <f t="shared" si="961"/>
        <v>09/10/2025</v>
      </c>
      <c r="B5436" t="str">
        <f t="shared" si="962"/>
        <v>SAÍDA</v>
      </c>
      <c r="C5436" t="str">
        <f t="shared" si="965"/>
        <v>PIX</v>
      </c>
      <c r="D5436" t="str">
        <f>"22569"</f>
        <v>22569</v>
      </c>
      <c r="E5436" t="str">
        <f t="shared" si="966"/>
        <v>1</v>
      </c>
      <c r="F5436" t="str">
        <f t="shared" si="963"/>
        <v>COM</v>
      </c>
      <c r="G5436" t="str">
        <f>"DIEGO DIRLEY RIBEIRO (38)"</f>
        <v>DIEGO DIRLEY RIBEIRO (38)</v>
      </c>
      <c r="H5436" t="str">
        <f>"Serv.Prest. 22/09/2025 a 25/09/2025 - PIX: CPF - CHAVE: 102.023.716-38"</f>
        <v>Serv.Prest. 22/09/2025 a 25/09/2025 - PIX: CPF - CHAVE: 102.023.716-38</v>
      </c>
      <c r="I5436" t="str">
        <f t="shared" si="964"/>
        <v>09/10/2025</v>
      </c>
      <c r="J5436" t="str">
        <f t="shared" si="967"/>
        <v>26/09/2025</v>
      </c>
      <c r="K5436" t="str">
        <f>("09/10/2025")</f>
        <v>09/10/2025</v>
      </c>
      <c r="L5436">
        <v>1014</v>
      </c>
      <c r="M5436">
        <v>1014</v>
      </c>
      <c r="N5436">
        <v>109</v>
      </c>
      <c r="O5436" t="str">
        <f>"PAGAMENTO DE ENTREGADORES"</f>
        <v>PAGAMENTO DE ENTREGADORES</v>
      </c>
      <c r="P5436">
        <v>1014</v>
      </c>
      <c r="S5436" t="str">
        <f>"BANCO C6 (149)"</f>
        <v>BANCO C6 (149)</v>
      </c>
      <c r="T5436">
        <v>19880</v>
      </c>
      <c r="U5436">
        <v>22569</v>
      </c>
      <c r="V5436" t="s">
        <v>77</v>
      </c>
    </row>
    <row r="5437" spans="1:22">
      <c r="A5437" t="str">
        <f t="shared" si="961"/>
        <v>09/10/2025</v>
      </c>
      <c r="B5437" t="str">
        <f t="shared" si="962"/>
        <v>SAÍDA</v>
      </c>
      <c r="C5437" t="str">
        <f t="shared" si="965"/>
        <v>PIX</v>
      </c>
      <c r="D5437" t="str">
        <f>"22569"</f>
        <v>22569</v>
      </c>
      <c r="E5437" t="str">
        <f t="shared" si="966"/>
        <v>1</v>
      </c>
      <c r="F5437" t="str">
        <f t="shared" si="963"/>
        <v>COM</v>
      </c>
      <c r="G5437" t="str">
        <f>"DIEGO DIRLEY RIBEIRO (38)"</f>
        <v>DIEGO DIRLEY RIBEIRO (38)</v>
      </c>
      <c r="H5437" t="s">
        <v>1536</v>
      </c>
      <c r="I5437" t="str">
        <f t="shared" si="964"/>
        <v>09/10/2025</v>
      </c>
      <c r="J5437" t="str">
        <f t="shared" si="967"/>
        <v>26/09/2025</v>
      </c>
      <c r="K5437">
        <v>45939</v>
      </c>
      <c r="N5437">
        <v>109</v>
      </c>
      <c r="O5437" t="s">
        <v>24</v>
      </c>
      <c r="Q5437">
        <v>1014</v>
      </c>
      <c r="R5437" t="str">
        <f>"FARMÁCIA INDIANA LJ 172 (10161)"</f>
        <v>FARMÁCIA INDIANA LJ 172 (10161)</v>
      </c>
      <c r="S5437" t="s">
        <v>77</v>
      </c>
      <c r="T5437">
        <v>19880</v>
      </c>
      <c r="U5437">
        <v>22569</v>
      </c>
      <c r="V5437" t="s">
        <v>77</v>
      </c>
    </row>
    <row r="5438" spans="1:22">
      <c r="A5438" t="str">
        <f t="shared" si="961"/>
        <v>09/10/2025</v>
      </c>
      <c r="B5438" t="str">
        <f t="shared" si="962"/>
        <v>SAÍDA</v>
      </c>
      <c r="C5438" t="str">
        <f t="shared" si="965"/>
        <v>PIX</v>
      </c>
      <c r="D5438" t="str">
        <f>"22568"</f>
        <v>22568</v>
      </c>
      <c r="E5438" t="str">
        <f t="shared" si="966"/>
        <v>1</v>
      </c>
      <c r="F5438" t="str">
        <f t="shared" si="963"/>
        <v>COM</v>
      </c>
      <c r="G5438" t="str">
        <f>"DIEGO DAYSON FERNANDES VIEIRA (893)"</f>
        <v>DIEGO DAYSON FERNANDES VIEIRA (893)</v>
      </c>
      <c r="H5438" t="str">
        <f>"Serv.Prest. 22/09/2025 a 25/09/2025 - PIX: E-MAIL - CHAVE: turano296801@gmail.com"</f>
        <v>Serv.Prest. 22/09/2025 a 25/09/2025 - PIX: E-MAIL - CHAVE: turano296801@gmail.com</v>
      </c>
      <c r="I5438" t="str">
        <f t="shared" si="964"/>
        <v>09/10/2025</v>
      </c>
      <c r="J5438" t="str">
        <f t="shared" si="967"/>
        <v>26/09/2025</v>
      </c>
      <c r="K5438" t="str">
        <f>("09/10/2025")</f>
        <v>09/10/2025</v>
      </c>
      <c r="L5438">
        <v>780</v>
      </c>
      <c r="M5438">
        <v>780</v>
      </c>
      <c r="N5438">
        <v>109</v>
      </c>
      <c r="O5438" t="str">
        <f>"PAGAMENTO DE ENTREGADORES"</f>
        <v>PAGAMENTO DE ENTREGADORES</v>
      </c>
      <c r="P5438">
        <v>780</v>
      </c>
      <c r="S5438" t="str">
        <f>"BANCO C6 (149)"</f>
        <v>BANCO C6 (149)</v>
      </c>
      <c r="T5438">
        <v>19881</v>
      </c>
      <c r="U5438">
        <v>22568</v>
      </c>
      <c r="V5438" t="s">
        <v>77</v>
      </c>
    </row>
    <row r="5439" spans="1:22">
      <c r="A5439" t="str">
        <f t="shared" si="961"/>
        <v>09/10/2025</v>
      </c>
      <c r="B5439" t="str">
        <f t="shared" si="962"/>
        <v>SAÍDA</v>
      </c>
      <c r="C5439" t="str">
        <f t="shared" si="965"/>
        <v>PIX</v>
      </c>
      <c r="D5439" t="str">
        <f>"22568"</f>
        <v>22568</v>
      </c>
      <c r="E5439" t="str">
        <f t="shared" si="966"/>
        <v>1</v>
      </c>
      <c r="F5439" t="str">
        <f t="shared" si="963"/>
        <v>COM</v>
      </c>
      <c r="G5439" t="str">
        <f>"DIEGO DAYSON FERNANDES VIEIRA (893)"</f>
        <v>DIEGO DAYSON FERNANDES VIEIRA (893)</v>
      </c>
      <c r="H5439" t="s">
        <v>1387</v>
      </c>
      <c r="I5439" t="str">
        <f t="shared" si="964"/>
        <v>09/10/2025</v>
      </c>
      <c r="J5439" t="str">
        <f t="shared" si="967"/>
        <v>26/09/2025</v>
      </c>
      <c r="K5439">
        <v>45939</v>
      </c>
      <c r="N5439">
        <v>109</v>
      </c>
      <c r="O5439" t="s">
        <v>24</v>
      </c>
      <c r="Q5439">
        <v>780</v>
      </c>
      <c r="R5439" t="str">
        <f>"FARMÁCIA INDIANA LJ 205 (10150)"</f>
        <v>FARMÁCIA INDIANA LJ 205 (10150)</v>
      </c>
      <c r="S5439" t="s">
        <v>77</v>
      </c>
      <c r="T5439">
        <v>19881</v>
      </c>
      <c r="U5439">
        <v>22568</v>
      </c>
      <c r="V5439" t="s">
        <v>77</v>
      </c>
    </row>
    <row r="5440" spans="1:22">
      <c r="A5440" t="str">
        <f t="shared" si="961"/>
        <v>09/10/2025</v>
      </c>
      <c r="B5440" t="str">
        <f t="shared" si="962"/>
        <v>SAÍDA</v>
      </c>
      <c r="C5440" t="str">
        <f t="shared" si="965"/>
        <v>PIX</v>
      </c>
      <c r="D5440" t="str">
        <f>"22567"</f>
        <v>22567</v>
      </c>
      <c r="E5440" t="str">
        <f t="shared" si="966"/>
        <v>1</v>
      </c>
      <c r="F5440" t="str">
        <f t="shared" si="963"/>
        <v>COM</v>
      </c>
      <c r="G5440" t="str">
        <f>"DEVANILDO PONTES CASAGRANDE (179)"</f>
        <v>DEVANILDO PONTES CASAGRANDE (179)</v>
      </c>
      <c r="H5440" t="str">
        <f>"Serv.Prest. 22/09/2025 a 25/09/2025 - PIX: CELULAR - CHAVE: (31) 99610-7049"</f>
        <v>Serv.Prest. 22/09/2025 a 25/09/2025 - PIX: CELULAR - CHAVE: (31) 99610-7049</v>
      </c>
      <c r="I5440" t="str">
        <f t="shared" si="964"/>
        <v>09/10/2025</v>
      </c>
      <c r="J5440" t="str">
        <f t="shared" si="967"/>
        <v>26/09/2025</v>
      </c>
      <c r="K5440" t="str">
        <f>("09/10/2025")</f>
        <v>09/10/2025</v>
      </c>
      <c r="L5440">
        <v>550</v>
      </c>
      <c r="M5440">
        <v>550</v>
      </c>
      <c r="N5440">
        <v>109</v>
      </c>
      <c r="O5440" t="str">
        <f>"PAGAMENTO DE ENTREGADORES"</f>
        <v>PAGAMENTO DE ENTREGADORES</v>
      </c>
      <c r="P5440">
        <v>550</v>
      </c>
      <c r="S5440" t="str">
        <f>"BANCO C6 (149)"</f>
        <v>BANCO C6 (149)</v>
      </c>
      <c r="T5440">
        <v>19882</v>
      </c>
      <c r="U5440">
        <v>22567</v>
      </c>
      <c r="V5440" t="s">
        <v>77</v>
      </c>
    </row>
    <row r="5441" spans="1:22">
      <c r="A5441" t="str">
        <f t="shared" si="961"/>
        <v>09/10/2025</v>
      </c>
      <c r="B5441" t="str">
        <f t="shared" si="962"/>
        <v>SAÍDA</v>
      </c>
      <c r="C5441" t="str">
        <f t="shared" si="965"/>
        <v>PIX</v>
      </c>
      <c r="D5441" t="str">
        <f>"22567"</f>
        <v>22567</v>
      </c>
      <c r="E5441" t="str">
        <f t="shared" si="966"/>
        <v>1</v>
      </c>
      <c r="F5441" t="str">
        <f t="shared" si="963"/>
        <v>COM</v>
      </c>
      <c r="G5441" t="str">
        <f>"DEVANILDO PONTES CASAGRANDE (179)"</f>
        <v>DEVANILDO PONTES CASAGRANDE (179)</v>
      </c>
      <c r="H5441" t="s">
        <v>1386</v>
      </c>
      <c r="I5441" t="str">
        <f t="shared" si="964"/>
        <v>09/10/2025</v>
      </c>
      <c r="J5441" t="str">
        <f t="shared" si="967"/>
        <v>26/09/2025</v>
      </c>
      <c r="K5441">
        <v>45939</v>
      </c>
      <c r="N5441">
        <v>109</v>
      </c>
      <c r="O5441" t="s">
        <v>24</v>
      </c>
      <c r="Q5441">
        <v>550</v>
      </c>
      <c r="R5441" t="str">
        <f>"FARMÁCIA INDIANA LJ 142 (10066)"</f>
        <v>FARMÁCIA INDIANA LJ 142 (10066)</v>
      </c>
      <c r="S5441" t="s">
        <v>77</v>
      </c>
      <c r="T5441">
        <v>19882</v>
      </c>
      <c r="U5441">
        <v>22567</v>
      </c>
      <c r="V5441" t="s">
        <v>77</v>
      </c>
    </row>
    <row r="5442" spans="1:22">
      <c r="A5442" t="str">
        <f t="shared" si="961"/>
        <v>09/10/2025</v>
      </c>
      <c r="B5442" t="str">
        <f t="shared" si="962"/>
        <v>SAÍDA</v>
      </c>
      <c r="C5442" t="str">
        <f t="shared" si="965"/>
        <v>PIX</v>
      </c>
      <c r="D5442" t="str">
        <f>"22566"</f>
        <v>22566</v>
      </c>
      <c r="E5442" t="str">
        <f t="shared" si="966"/>
        <v>1</v>
      </c>
      <c r="F5442" t="str">
        <f t="shared" si="963"/>
        <v>COM</v>
      </c>
      <c r="G5442" t="str">
        <f>"DANTE SOARES DA SILVA (416)"</f>
        <v>DANTE SOARES DA SILVA (416)</v>
      </c>
      <c r="H5442" t="str">
        <f>"Serv.Prest. 22/09/2025 a 25/09/2025 - PIX: CELULAR - CHAVE: (33) 99802-1883"</f>
        <v>Serv.Prest. 22/09/2025 a 25/09/2025 - PIX: CELULAR - CHAVE: (33) 99802-1883</v>
      </c>
      <c r="I5442" t="str">
        <f t="shared" si="964"/>
        <v>09/10/2025</v>
      </c>
      <c r="J5442" t="str">
        <f t="shared" si="967"/>
        <v>26/09/2025</v>
      </c>
      <c r="K5442" t="str">
        <f>("09/10/2025")</f>
        <v>09/10/2025</v>
      </c>
      <c r="L5442">
        <v>230.3</v>
      </c>
      <c r="M5442">
        <v>230.3</v>
      </c>
      <c r="N5442">
        <v>109</v>
      </c>
      <c r="O5442" t="str">
        <f>"PAGAMENTO DE ENTREGADORES"</f>
        <v>PAGAMENTO DE ENTREGADORES</v>
      </c>
      <c r="P5442">
        <v>230.3</v>
      </c>
      <c r="S5442" t="str">
        <f>"BANCO C6 (149)"</f>
        <v>BANCO C6 (149)</v>
      </c>
      <c r="T5442">
        <v>19883</v>
      </c>
      <c r="U5442">
        <v>22566</v>
      </c>
      <c r="V5442" t="s">
        <v>77</v>
      </c>
    </row>
    <row r="5443" spans="1:22">
      <c r="A5443" t="str">
        <f t="shared" si="961"/>
        <v>09/10/2025</v>
      </c>
      <c r="B5443" t="str">
        <f t="shared" si="962"/>
        <v>SAÍDA</v>
      </c>
      <c r="C5443" t="str">
        <f t="shared" si="965"/>
        <v>PIX</v>
      </c>
      <c r="D5443" t="str">
        <f>"22566"</f>
        <v>22566</v>
      </c>
      <c r="E5443" t="str">
        <f t="shared" si="966"/>
        <v>1</v>
      </c>
      <c r="F5443" t="str">
        <f t="shared" si="963"/>
        <v>COM</v>
      </c>
      <c r="G5443" t="str">
        <f>"DANTE SOARES DA SILVA (416)"</f>
        <v>DANTE SOARES DA SILVA (416)</v>
      </c>
      <c r="H5443" t="s">
        <v>1537</v>
      </c>
      <c r="I5443" t="str">
        <f t="shared" si="964"/>
        <v>09/10/2025</v>
      </c>
      <c r="J5443" t="str">
        <f t="shared" si="967"/>
        <v>26/09/2025</v>
      </c>
      <c r="K5443">
        <v>45939</v>
      </c>
      <c r="N5443">
        <v>109</v>
      </c>
      <c r="O5443" t="s">
        <v>24</v>
      </c>
      <c r="Q5443">
        <v>230.3</v>
      </c>
      <c r="R5443" t="str">
        <f>"FARMÁCIA INDIANA LJ 59 (10026)"</f>
        <v>FARMÁCIA INDIANA LJ 59 (10026)</v>
      </c>
      <c r="S5443" t="s">
        <v>77</v>
      </c>
      <c r="T5443">
        <v>19883</v>
      </c>
      <c r="U5443">
        <v>22566</v>
      </c>
      <c r="V5443" t="s">
        <v>77</v>
      </c>
    </row>
    <row r="5444" spans="1:22">
      <c r="A5444" t="str">
        <f t="shared" ref="A5444:A5507" si="968">("09/10/2025")</f>
        <v>09/10/2025</v>
      </c>
      <c r="B5444" t="str">
        <f t="shared" si="962"/>
        <v>SAÍDA</v>
      </c>
      <c r="C5444" t="str">
        <f t="shared" si="965"/>
        <v>PIX</v>
      </c>
      <c r="D5444" t="str">
        <f>"22565"</f>
        <v>22565</v>
      </c>
      <c r="E5444" t="str">
        <f t="shared" si="966"/>
        <v>1</v>
      </c>
      <c r="F5444" t="str">
        <f t="shared" si="963"/>
        <v>COM</v>
      </c>
      <c r="G5444" t="str">
        <f>"DANILO WASHINGTON DOS SANTOS (770)"</f>
        <v>DANILO WASHINGTON DOS SANTOS (770)</v>
      </c>
      <c r="H5444" t="str">
        <f>"Serv.Prest. 22/09/2025 a 25/09/2025 - PIX: CELULAR - CHAVE: (33) 98749-5105"</f>
        <v>Serv.Prest. 22/09/2025 a 25/09/2025 - PIX: CELULAR - CHAVE: (33) 98749-5105</v>
      </c>
      <c r="I5444" t="str">
        <f t="shared" si="964"/>
        <v>09/10/2025</v>
      </c>
      <c r="J5444" t="str">
        <f t="shared" si="967"/>
        <v>26/09/2025</v>
      </c>
      <c r="K5444" t="str">
        <f>("09/10/2025")</f>
        <v>09/10/2025</v>
      </c>
      <c r="L5444">
        <v>484</v>
      </c>
      <c r="M5444">
        <v>484</v>
      </c>
      <c r="N5444">
        <v>109</v>
      </c>
      <c r="O5444" t="str">
        <f>"PAGAMENTO DE ENTREGADORES"</f>
        <v>PAGAMENTO DE ENTREGADORES</v>
      </c>
      <c r="P5444">
        <v>484</v>
      </c>
      <c r="S5444" t="str">
        <f>"BANCO C6 (149)"</f>
        <v>BANCO C6 (149)</v>
      </c>
      <c r="T5444">
        <v>19884</v>
      </c>
      <c r="U5444">
        <v>22565</v>
      </c>
      <c r="V5444" t="s">
        <v>77</v>
      </c>
    </row>
    <row r="5445" spans="1:22">
      <c r="A5445" t="str">
        <f t="shared" si="968"/>
        <v>09/10/2025</v>
      </c>
      <c r="B5445" t="str">
        <f t="shared" si="962"/>
        <v>SAÍDA</v>
      </c>
      <c r="C5445" t="str">
        <f t="shared" si="965"/>
        <v>PIX</v>
      </c>
      <c r="D5445" t="str">
        <f>"22565"</f>
        <v>22565</v>
      </c>
      <c r="E5445" t="str">
        <f t="shared" si="966"/>
        <v>1</v>
      </c>
      <c r="F5445" t="str">
        <f t="shared" si="963"/>
        <v>COM</v>
      </c>
      <c r="G5445" t="str">
        <f>"DANILO WASHINGTON DOS SANTOS (770)"</f>
        <v>DANILO WASHINGTON DOS SANTOS (770)</v>
      </c>
      <c r="H5445" t="s">
        <v>1383</v>
      </c>
      <c r="I5445" t="str">
        <f t="shared" si="964"/>
        <v>09/10/2025</v>
      </c>
      <c r="J5445" t="str">
        <f t="shared" si="967"/>
        <v>26/09/2025</v>
      </c>
      <c r="K5445">
        <v>45939</v>
      </c>
      <c r="N5445">
        <v>109</v>
      </c>
      <c r="O5445" t="s">
        <v>24</v>
      </c>
      <c r="Q5445">
        <v>484</v>
      </c>
      <c r="R5445" t="str">
        <f>"FARMÁCIA INDIANA LJ 07 (10007)"</f>
        <v>FARMÁCIA INDIANA LJ 07 (10007)</v>
      </c>
      <c r="S5445" t="s">
        <v>77</v>
      </c>
      <c r="T5445">
        <v>19884</v>
      </c>
      <c r="U5445">
        <v>22565</v>
      </c>
      <c r="V5445" t="s">
        <v>77</v>
      </c>
    </row>
    <row r="5446" spans="1:22">
      <c r="A5446" t="str">
        <f t="shared" si="968"/>
        <v>09/10/2025</v>
      </c>
      <c r="B5446" t="str">
        <f t="shared" si="962"/>
        <v>SAÍDA</v>
      </c>
      <c r="C5446" t="str">
        <f t="shared" si="965"/>
        <v>PIX</v>
      </c>
      <c r="D5446" t="str">
        <f>"22564"</f>
        <v>22564</v>
      </c>
      <c r="E5446" t="str">
        <f t="shared" si="966"/>
        <v>1</v>
      </c>
      <c r="F5446" t="str">
        <f t="shared" si="963"/>
        <v>COM</v>
      </c>
      <c r="G5446" t="str">
        <f>"DAMÁSIO JOSÉ DO NASCIMENTO NETO (147)"</f>
        <v>DAMÁSIO JOSÉ DO NASCIMENTO NETO (147)</v>
      </c>
      <c r="H5446" t="str">
        <f>"Serv.Prest. 22/09/2025 a 25/09/2025 - PIX: CPF - CHAVE: 110.483.296-82"</f>
        <v>Serv.Prest. 22/09/2025 a 25/09/2025 - PIX: CPF - CHAVE: 110.483.296-82</v>
      </c>
      <c r="I5446" t="str">
        <f t="shared" si="964"/>
        <v>09/10/2025</v>
      </c>
      <c r="J5446" t="str">
        <f t="shared" si="967"/>
        <v>26/09/2025</v>
      </c>
      <c r="K5446" t="str">
        <f>("09/10/2025")</f>
        <v>09/10/2025</v>
      </c>
      <c r="L5446">
        <v>702</v>
      </c>
      <c r="M5446">
        <v>702</v>
      </c>
      <c r="N5446">
        <v>109</v>
      </c>
      <c r="O5446" t="str">
        <f>"PAGAMENTO DE ENTREGADORES"</f>
        <v>PAGAMENTO DE ENTREGADORES</v>
      </c>
      <c r="P5446">
        <v>702</v>
      </c>
      <c r="S5446" t="str">
        <f>"BANCO C6 (149)"</f>
        <v>BANCO C6 (149)</v>
      </c>
      <c r="T5446">
        <v>19885</v>
      </c>
      <c r="U5446">
        <v>22564</v>
      </c>
      <c r="V5446" t="s">
        <v>77</v>
      </c>
    </row>
    <row r="5447" spans="1:22">
      <c r="A5447" t="str">
        <f t="shared" si="968"/>
        <v>09/10/2025</v>
      </c>
      <c r="B5447" t="str">
        <f t="shared" si="962"/>
        <v>SAÍDA</v>
      </c>
      <c r="C5447" t="str">
        <f t="shared" si="965"/>
        <v>PIX</v>
      </c>
      <c r="D5447" t="str">
        <f>"22564"</f>
        <v>22564</v>
      </c>
      <c r="E5447" t="str">
        <f t="shared" si="966"/>
        <v>1</v>
      </c>
      <c r="F5447" t="str">
        <f t="shared" si="963"/>
        <v>COM</v>
      </c>
      <c r="G5447" t="str">
        <f>"DAMÁSIO JOSÉ DO NASCIMENTO NETO (147)"</f>
        <v>DAMÁSIO JOSÉ DO NASCIMENTO NETO (147)</v>
      </c>
      <c r="H5447" t="s">
        <v>1538</v>
      </c>
      <c r="I5447" t="str">
        <f t="shared" si="964"/>
        <v>09/10/2025</v>
      </c>
      <c r="J5447" t="str">
        <f t="shared" si="967"/>
        <v>26/09/2025</v>
      </c>
      <c r="K5447">
        <v>45939</v>
      </c>
      <c r="N5447">
        <v>109</v>
      </c>
      <c r="O5447" t="s">
        <v>24</v>
      </c>
      <c r="Q5447">
        <v>702</v>
      </c>
      <c r="R5447" t="str">
        <f>"FARMÁCIA INDIANA LJ 142 (10066)"</f>
        <v>FARMÁCIA INDIANA LJ 142 (10066)</v>
      </c>
      <c r="S5447" t="s">
        <v>77</v>
      </c>
      <c r="T5447">
        <v>19885</v>
      </c>
      <c r="U5447">
        <v>22564</v>
      </c>
      <c r="V5447" t="s">
        <v>77</v>
      </c>
    </row>
    <row r="5448" spans="1:22">
      <c r="A5448" t="str">
        <f t="shared" si="968"/>
        <v>09/10/2025</v>
      </c>
      <c r="B5448" t="str">
        <f t="shared" si="962"/>
        <v>SAÍDA</v>
      </c>
      <c r="C5448" t="str">
        <f t="shared" si="965"/>
        <v>PIX</v>
      </c>
      <c r="D5448" t="str">
        <f>"22563"</f>
        <v>22563</v>
      </c>
      <c r="E5448" t="str">
        <f t="shared" si="966"/>
        <v>1</v>
      </c>
      <c r="F5448" t="str">
        <f t="shared" si="963"/>
        <v>COM</v>
      </c>
      <c r="G5448" t="str">
        <f>"CRISTIANO XAVIER DA COSTA (269)"</f>
        <v>CRISTIANO XAVIER DA COSTA (269)</v>
      </c>
      <c r="H5448" t="str">
        <f>"Serv.Prest. 22/09/2025 a 25/09/2025 - PIX: CELULAR - CHAVE: (32) 99177-6167"</f>
        <v>Serv.Prest. 22/09/2025 a 25/09/2025 - PIX: CELULAR - CHAVE: (32) 99177-6167</v>
      </c>
      <c r="I5448" t="str">
        <f t="shared" si="964"/>
        <v>09/10/2025</v>
      </c>
      <c r="J5448" t="str">
        <f t="shared" si="967"/>
        <v>26/09/2025</v>
      </c>
      <c r="K5448" t="str">
        <f>("09/10/2025")</f>
        <v>09/10/2025</v>
      </c>
      <c r="L5448">
        <v>1855</v>
      </c>
      <c r="M5448">
        <v>1855</v>
      </c>
      <c r="N5448">
        <v>109</v>
      </c>
      <c r="O5448" t="str">
        <f>"PAGAMENTO DE ENTREGADORES"</f>
        <v>PAGAMENTO DE ENTREGADORES</v>
      </c>
      <c r="P5448">
        <v>1855</v>
      </c>
      <c r="S5448" t="str">
        <f>"BANCO C6 (149)"</f>
        <v>BANCO C6 (149)</v>
      </c>
      <c r="T5448">
        <v>19886</v>
      </c>
      <c r="U5448">
        <v>22563</v>
      </c>
      <c r="V5448" t="s">
        <v>77</v>
      </c>
    </row>
    <row r="5449" spans="1:22">
      <c r="A5449" t="str">
        <f t="shared" si="968"/>
        <v>09/10/2025</v>
      </c>
      <c r="B5449" t="str">
        <f t="shared" si="962"/>
        <v>SAÍDA</v>
      </c>
      <c r="C5449" t="str">
        <f t="shared" si="965"/>
        <v>PIX</v>
      </c>
      <c r="D5449" t="str">
        <f>"22563"</f>
        <v>22563</v>
      </c>
      <c r="E5449" t="str">
        <f t="shared" si="966"/>
        <v>1</v>
      </c>
      <c r="F5449" t="str">
        <f t="shared" si="963"/>
        <v>COM</v>
      </c>
      <c r="G5449" t="str">
        <f>"CRISTIANO XAVIER DA COSTA (269)"</f>
        <v>CRISTIANO XAVIER DA COSTA (269)</v>
      </c>
      <c r="H5449" t="s">
        <v>1381</v>
      </c>
      <c r="I5449" t="str">
        <f t="shared" si="964"/>
        <v>09/10/2025</v>
      </c>
      <c r="J5449" t="str">
        <f t="shared" si="967"/>
        <v>26/09/2025</v>
      </c>
      <c r="K5449">
        <v>45939</v>
      </c>
      <c r="N5449">
        <v>109</v>
      </c>
      <c r="O5449" t="s">
        <v>24</v>
      </c>
      <c r="Q5449">
        <v>893.18</v>
      </c>
      <c r="R5449" t="str">
        <f>"FARMÁCIA INDIANA LJ 207 (10088)"</f>
        <v>FARMÁCIA INDIANA LJ 207 (10088)</v>
      </c>
      <c r="S5449" t="s">
        <v>77</v>
      </c>
      <c r="T5449">
        <v>19886</v>
      </c>
      <c r="U5449">
        <v>22563</v>
      </c>
      <c r="V5449" t="s">
        <v>77</v>
      </c>
    </row>
    <row r="5450" spans="1:22">
      <c r="A5450" t="str">
        <f t="shared" si="968"/>
        <v>09/10/2025</v>
      </c>
      <c r="B5450" t="str">
        <f t="shared" si="962"/>
        <v>SAÍDA</v>
      </c>
      <c r="C5450" t="str">
        <f t="shared" si="965"/>
        <v>PIX</v>
      </c>
      <c r="D5450" t="str">
        <f>"22563"</f>
        <v>22563</v>
      </c>
      <c r="E5450" t="str">
        <f t="shared" si="966"/>
        <v>1</v>
      </c>
      <c r="F5450" t="str">
        <f t="shared" si="963"/>
        <v>COM</v>
      </c>
      <c r="G5450" t="str">
        <f>"CRISTIANO XAVIER DA COSTA (269)"</f>
        <v>CRISTIANO XAVIER DA COSTA (269)</v>
      </c>
      <c r="H5450" t="s">
        <v>1381</v>
      </c>
      <c r="I5450" t="str">
        <f t="shared" si="964"/>
        <v>09/10/2025</v>
      </c>
      <c r="J5450" t="str">
        <f t="shared" si="967"/>
        <v>26/09/2025</v>
      </c>
      <c r="K5450">
        <v>45939</v>
      </c>
      <c r="N5450">
        <v>109</v>
      </c>
      <c r="O5450" t="s">
        <v>24</v>
      </c>
      <c r="Q5450">
        <v>961.82</v>
      </c>
      <c r="R5450" t="str">
        <f>"FARMÁCIA INDIANA LJ 209 (10089)"</f>
        <v>FARMÁCIA INDIANA LJ 209 (10089)</v>
      </c>
      <c r="S5450" t="s">
        <v>77</v>
      </c>
      <c r="T5450">
        <v>19886</v>
      </c>
      <c r="U5450">
        <v>22563</v>
      </c>
      <c r="V5450" t="s">
        <v>77</v>
      </c>
    </row>
    <row r="5451" spans="1:22">
      <c r="A5451" t="str">
        <f t="shared" si="968"/>
        <v>09/10/2025</v>
      </c>
      <c r="B5451" t="str">
        <f t="shared" si="962"/>
        <v>SAÍDA</v>
      </c>
      <c r="C5451" t="str">
        <f t="shared" si="965"/>
        <v>PIX</v>
      </c>
      <c r="D5451" t="str">
        <f>"22562"</f>
        <v>22562</v>
      </c>
      <c r="E5451" t="str">
        <f t="shared" si="966"/>
        <v>1</v>
      </c>
      <c r="F5451" t="str">
        <f t="shared" si="963"/>
        <v>COM</v>
      </c>
      <c r="G5451" t="str">
        <f>"CLEIDIOMAR RIBEIRO FERREIRA (34)"</f>
        <v>CLEIDIOMAR RIBEIRO FERREIRA (34)</v>
      </c>
      <c r="H5451" t="str">
        <f>"Serv.Prest. 22/09/2025 a 25/09/2025 - PIX: CELULAR - CHAVE: (31) 98511-2851"</f>
        <v>Serv.Prest. 22/09/2025 a 25/09/2025 - PIX: CELULAR - CHAVE: (31) 98511-2851</v>
      </c>
      <c r="I5451" t="str">
        <f t="shared" si="964"/>
        <v>09/10/2025</v>
      </c>
      <c r="J5451" t="str">
        <f t="shared" si="967"/>
        <v>26/09/2025</v>
      </c>
      <c r="K5451" t="str">
        <f>("09/10/2025")</f>
        <v>09/10/2025</v>
      </c>
      <c r="L5451">
        <v>888</v>
      </c>
      <c r="M5451">
        <v>888</v>
      </c>
      <c r="N5451">
        <v>109</v>
      </c>
      <c r="O5451" t="str">
        <f>"PAGAMENTO DE ENTREGADORES"</f>
        <v>PAGAMENTO DE ENTREGADORES</v>
      </c>
      <c r="P5451">
        <v>888</v>
      </c>
      <c r="S5451" t="str">
        <f>"BANCO C6 (149)"</f>
        <v>BANCO C6 (149)</v>
      </c>
      <c r="T5451">
        <v>19887</v>
      </c>
      <c r="U5451">
        <v>22562</v>
      </c>
      <c r="V5451" t="s">
        <v>77</v>
      </c>
    </row>
    <row r="5452" spans="1:22">
      <c r="A5452" t="str">
        <f t="shared" si="968"/>
        <v>09/10/2025</v>
      </c>
      <c r="B5452" t="str">
        <f t="shared" si="962"/>
        <v>SAÍDA</v>
      </c>
      <c r="C5452" t="str">
        <f t="shared" si="965"/>
        <v>PIX</v>
      </c>
      <c r="D5452" t="str">
        <f>"22562"</f>
        <v>22562</v>
      </c>
      <c r="E5452" t="str">
        <f t="shared" si="966"/>
        <v>1</v>
      </c>
      <c r="F5452" t="str">
        <f t="shared" si="963"/>
        <v>COM</v>
      </c>
      <c r="G5452" t="str">
        <f>"CLEIDIOMAR RIBEIRO FERREIRA (34)"</f>
        <v>CLEIDIOMAR RIBEIRO FERREIRA (34)</v>
      </c>
      <c r="H5452" t="s">
        <v>1539</v>
      </c>
      <c r="I5452" t="str">
        <f t="shared" si="964"/>
        <v>09/10/2025</v>
      </c>
      <c r="J5452" t="str">
        <f t="shared" si="967"/>
        <v>26/09/2025</v>
      </c>
      <c r="K5452">
        <v>45939</v>
      </c>
      <c r="N5452">
        <v>109</v>
      </c>
      <c r="O5452" t="s">
        <v>24</v>
      </c>
      <c r="Q5452">
        <v>888</v>
      </c>
      <c r="R5452" t="str">
        <f>"FARMÁCIA INDIANA LJ 11 (10008)"</f>
        <v>FARMÁCIA INDIANA LJ 11 (10008)</v>
      </c>
      <c r="S5452" t="s">
        <v>77</v>
      </c>
      <c r="T5452">
        <v>19887</v>
      </c>
      <c r="U5452">
        <v>22562</v>
      </c>
      <c r="V5452" t="s">
        <v>77</v>
      </c>
    </row>
    <row r="5453" spans="1:22">
      <c r="A5453" t="str">
        <f t="shared" si="968"/>
        <v>09/10/2025</v>
      </c>
      <c r="B5453" t="str">
        <f t="shared" si="962"/>
        <v>SAÍDA</v>
      </c>
      <c r="C5453" t="str">
        <f t="shared" si="965"/>
        <v>PIX</v>
      </c>
      <c r="D5453" t="str">
        <f>"22561"</f>
        <v>22561</v>
      </c>
      <c r="E5453" t="str">
        <f t="shared" si="966"/>
        <v>1</v>
      </c>
      <c r="F5453" t="str">
        <f t="shared" si="963"/>
        <v>COM</v>
      </c>
      <c r="G5453" t="str">
        <f>"CELIO JOSÉ RIBEIRO (189)"</f>
        <v>CELIO JOSÉ RIBEIRO (189)</v>
      </c>
      <c r="H5453" t="str">
        <f>"Serv.Prest. 22/09/2025 a 25/09/2025 - PIX: CELULAR - CHAVE: (33) 98845-4528"</f>
        <v>Serv.Prest. 22/09/2025 a 25/09/2025 - PIX: CELULAR - CHAVE: (33) 98845-4528</v>
      </c>
      <c r="I5453" t="str">
        <f t="shared" si="964"/>
        <v>09/10/2025</v>
      </c>
      <c r="J5453" t="str">
        <f t="shared" si="967"/>
        <v>26/09/2025</v>
      </c>
      <c r="K5453" t="str">
        <f>("09/10/2025")</f>
        <v>09/10/2025</v>
      </c>
      <c r="L5453">
        <v>720</v>
      </c>
      <c r="M5453">
        <v>720</v>
      </c>
      <c r="N5453">
        <v>109</v>
      </c>
      <c r="O5453" t="str">
        <f>"PAGAMENTO DE ENTREGADORES"</f>
        <v>PAGAMENTO DE ENTREGADORES</v>
      </c>
      <c r="P5453">
        <v>720</v>
      </c>
      <c r="S5453" t="str">
        <f>"BANCO C6 (149)"</f>
        <v>BANCO C6 (149)</v>
      </c>
      <c r="T5453">
        <v>19888</v>
      </c>
      <c r="U5453">
        <v>22561</v>
      </c>
      <c r="V5453" t="s">
        <v>77</v>
      </c>
    </row>
    <row r="5454" spans="1:22">
      <c r="A5454" t="str">
        <f t="shared" si="968"/>
        <v>09/10/2025</v>
      </c>
      <c r="B5454" t="str">
        <f t="shared" si="962"/>
        <v>SAÍDA</v>
      </c>
      <c r="C5454" t="str">
        <f t="shared" si="965"/>
        <v>PIX</v>
      </c>
      <c r="D5454" t="str">
        <f>"22561"</f>
        <v>22561</v>
      </c>
      <c r="E5454" t="str">
        <f t="shared" si="966"/>
        <v>1</v>
      </c>
      <c r="F5454" t="str">
        <f t="shared" si="963"/>
        <v>COM</v>
      </c>
      <c r="G5454" t="str">
        <f>"CELIO JOSÉ RIBEIRO (189)"</f>
        <v>CELIO JOSÉ RIBEIRO (189)</v>
      </c>
      <c r="H5454" t="s">
        <v>1540</v>
      </c>
      <c r="I5454" t="str">
        <f t="shared" si="964"/>
        <v>09/10/2025</v>
      </c>
      <c r="J5454" t="str">
        <f t="shared" si="967"/>
        <v>26/09/2025</v>
      </c>
      <c r="K5454">
        <v>45939</v>
      </c>
      <c r="N5454">
        <v>109</v>
      </c>
      <c r="O5454" t="s">
        <v>24</v>
      </c>
      <c r="Q5454">
        <v>720</v>
      </c>
      <c r="R5454" t="str">
        <f>"FARMÁCIA INDIANA LJ 06 (10006)"</f>
        <v>FARMÁCIA INDIANA LJ 06 (10006)</v>
      </c>
      <c r="S5454" t="s">
        <v>77</v>
      </c>
      <c r="T5454">
        <v>19888</v>
      </c>
      <c r="U5454">
        <v>22561</v>
      </c>
      <c r="V5454" t="s">
        <v>77</v>
      </c>
    </row>
    <row r="5455" spans="1:22">
      <c r="A5455" t="str">
        <f t="shared" si="968"/>
        <v>09/10/2025</v>
      </c>
      <c r="B5455" t="str">
        <f t="shared" si="962"/>
        <v>SAÍDA</v>
      </c>
      <c r="C5455" t="str">
        <f t="shared" si="965"/>
        <v>PIX</v>
      </c>
      <c r="D5455" t="str">
        <f>"22560"</f>
        <v>22560</v>
      </c>
      <c r="E5455" t="str">
        <f t="shared" si="966"/>
        <v>1</v>
      </c>
      <c r="F5455" t="str">
        <f t="shared" si="963"/>
        <v>COM</v>
      </c>
      <c r="G5455" t="str">
        <f>"CARLOS ROBERTO BADARÓ MACHADO (78)"</f>
        <v>CARLOS ROBERTO BADARÓ MACHADO (78)</v>
      </c>
      <c r="H5455" t="str">
        <f>"Serv.Prest. 22/09/2025 a 25/09/2025 - PIX: CELULAR - CHAVE: (32) 99166-8238"</f>
        <v>Serv.Prest. 22/09/2025 a 25/09/2025 - PIX: CELULAR - CHAVE: (32) 99166-8238</v>
      </c>
      <c r="I5455" t="str">
        <f t="shared" si="964"/>
        <v>09/10/2025</v>
      </c>
      <c r="J5455" t="str">
        <f t="shared" si="967"/>
        <v>26/09/2025</v>
      </c>
      <c r="K5455" t="str">
        <f>("09/10/2025")</f>
        <v>09/10/2025</v>
      </c>
      <c r="L5455">
        <v>940</v>
      </c>
      <c r="M5455">
        <v>940</v>
      </c>
      <c r="N5455">
        <v>109</v>
      </c>
      <c r="O5455" t="str">
        <f>"PAGAMENTO DE ENTREGADORES"</f>
        <v>PAGAMENTO DE ENTREGADORES</v>
      </c>
      <c r="P5455">
        <v>940</v>
      </c>
      <c r="S5455" t="str">
        <f>"BANCO C6 (149)"</f>
        <v>BANCO C6 (149)</v>
      </c>
      <c r="T5455">
        <v>19889</v>
      </c>
      <c r="U5455">
        <v>22560</v>
      </c>
      <c r="V5455" t="s">
        <v>77</v>
      </c>
    </row>
    <row r="5456" spans="1:22">
      <c r="A5456" t="str">
        <f t="shared" si="968"/>
        <v>09/10/2025</v>
      </c>
      <c r="B5456" t="str">
        <f t="shared" si="962"/>
        <v>SAÍDA</v>
      </c>
      <c r="C5456" t="str">
        <f t="shared" si="965"/>
        <v>PIX</v>
      </c>
      <c r="D5456" t="str">
        <f>"22560"</f>
        <v>22560</v>
      </c>
      <c r="E5456" t="str">
        <f t="shared" si="966"/>
        <v>1</v>
      </c>
      <c r="F5456" t="str">
        <f t="shared" si="963"/>
        <v>COM</v>
      </c>
      <c r="G5456" t="str">
        <f>"CARLOS ROBERTO BADARÓ MACHADO (78)"</f>
        <v>CARLOS ROBERTO BADARÓ MACHADO (78)</v>
      </c>
      <c r="H5456" t="s">
        <v>1378</v>
      </c>
      <c r="I5456" t="str">
        <f t="shared" si="964"/>
        <v>09/10/2025</v>
      </c>
      <c r="J5456" t="str">
        <f t="shared" si="967"/>
        <v>26/09/2025</v>
      </c>
      <c r="K5456">
        <v>45939</v>
      </c>
      <c r="N5456">
        <v>109</v>
      </c>
      <c r="O5456" t="s">
        <v>24</v>
      </c>
      <c r="Q5456">
        <v>940</v>
      </c>
      <c r="R5456" t="str">
        <f>"FARMÁCIA INDIANA LJ 109 (10047)"</f>
        <v>FARMÁCIA INDIANA LJ 109 (10047)</v>
      </c>
      <c r="S5456" t="s">
        <v>77</v>
      </c>
      <c r="T5456">
        <v>19889</v>
      </c>
      <c r="U5456">
        <v>22560</v>
      </c>
      <c r="V5456" t="s">
        <v>77</v>
      </c>
    </row>
    <row r="5457" spans="1:22">
      <c r="A5457" t="str">
        <f t="shared" si="968"/>
        <v>09/10/2025</v>
      </c>
      <c r="B5457" t="str">
        <f t="shared" si="962"/>
        <v>SAÍDA</v>
      </c>
      <c r="C5457" t="str">
        <f t="shared" si="965"/>
        <v>PIX</v>
      </c>
      <c r="D5457" t="str">
        <f>"22559"</f>
        <v>22559</v>
      </c>
      <c r="E5457" t="str">
        <f t="shared" si="966"/>
        <v>1</v>
      </c>
      <c r="F5457" t="str">
        <f t="shared" si="963"/>
        <v>COM</v>
      </c>
      <c r="G5457" t="str">
        <f>"BRUNO WAGNER DE CARVALHO OLIVEIRA (84)"</f>
        <v>BRUNO WAGNER DE CARVALHO OLIVEIRA (84)</v>
      </c>
      <c r="H5457" t="str">
        <f>"Serv.Prest. 22/09/2025 a 25/09/2025 - PIX: CELULAR - CHAVE: (32) 98896-0708"</f>
        <v>Serv.Prest. 22/09/2025 a 25/09/2025 - PIX: CELULAR - CHAVE: (32) 98896-0708</v>
      </c>
      <c r="I5457" t="str">
        <f t="shared" si="964"/>
        <v>09/10/2025</v>
      </c>
      <c r="J5457" t="str">
        <f t="shared" si="967"/>
        <v>26/09/2025</v>
      </c>
      <c r="K5457" t="str">
        <f>("09/10/2025")</f>
        <v>09/10/2025</v>
      </c>
      <c r="L5457">
        <v>680</v>
      </c>
      <c r="M5457">
        <v>680</v>
      </c>
      <c r="N5457">
        <v>109</v>
      </c>
      <c r="O5457" t="str">
        <f>"PAGAMENTO DE ENTREGADORES"</f>
        <v>PAGAMENTO DE ENTREGADORES</v>
      </c>
      <c r="P5457">
        <v>680</v>
      </c>
      <c r="S5457" t="str">
        <f>"BANCO C6 (149)"</f>
        <v>BANCO C6 (149)</v>
      </c>
      <c r="T5457">
        <v>19890</v>
      </c>
      <c r="U5457">
        <v>22559</v>
      </c>
      <c r="V5457" t="s">
        <v>77</v>
      </c>
    </row>
    <row r="5458" spans="1:22">
      <c r="A5458" t="str">
        <f t="shared" si="968"/>
        <v>09/10/2025</v>
      </c>
      <c r="B5458" t="str">
        <f t="shared" si="962"/>
        <v>SAÍDA</v>
      </c>
      <c r="C5458" t="str">
        <f t="shared" si="965"/>
        <v>PIX</v>
      </c>
      <c r="D5458" t="str">
        <f>"22559"</f>
        <v>22559</v>
      </c>
      <c r="E5458" t="str">
        <f t="shared" si="966"/>
        <v>1</v>
      </c>
      <c r="F5458" t="str">
        <f t="shared" si="963"/>
        <v>COM</v>
      </c>
      <c r="G5458" t="str">
        <f>"BRUNO WAGNER DE CARVALHO OLIVEIRA (84)"</f>
        <v>BRUNO WAGNER DE CARVALHO OLIVEIRA (84)</v>
      </c>
      <c r="H5458" t="s">
        <v>1377</v>
      </c>
      <c r="I5458" t="str">
        <f t="shared" si="964"/>
        <v>09/10/2025</v>
      </c>
      <c r="J5458" t="str">
        <f t="shared" si="967"/>
        <v>26/09/2025</v>
      </c>
      <c r="K5458">
        <v>45939</v>
      </c>
      <c r="N5458">
        <v>109</v>
      </c>
      <c r="O5458" t="s">
        <v>24</v>
      </c>
      <c r="Q5458">
        <v>332.45</v>
      </c>
      <c r="R5458" t="str">
        <f>"FARMÁCIA INDIANA LJ 182 (10079)"</f>
        <v>FARMÁCIA INDIANA LJ 182 (10079)</v>
      </c>
      <c r="S5458" t="s">
        <v>77</v>
      </c>
      <c r="T5458">
        <v>19890</v>
      </c>
      <c r="U5458">
        <v>22559</v>
      </c>
      <c r="V5458" t="s">
        <v>77</v>
      </c>
    </row>
    <row r="5459" spans="1:22">
      <c r="A5459" t="str">
        <f t="shared" si="968"/>
        <v>09/10/2025</v>
      </c>
      <c r="B5459" t="str">
        <f t="shared" si="962"/>
        <v>SAÍDA</v>
      </c>
      <c r="C5459" t="str">
        <f t="shared" si="965"/>
        <v>PIX</v>
      </c>
      <c r="D5459" t="str">
        <f>"22559"</f>
        <v>22559</v>
      </c>
      <c r="E5459" t="str">
        <f t="shared" si="966"/>
        <v>1</v>
      </c>
      <c r="F5459" t="str">
        <f t="shared" si="963"/>
        <v>COM</v>
      </c>
      <c r="G5459" t="str">
        <f>"BRUNO WAGNER DE CARVALHO OLIVEIRA (84)"</f>
        <v>BRUNO WAGNER DE CARVALHO OLIVEIRA (84)</v>
      </c>
      <c r="H5459" t="s">
        <v>1377</v>
      </c>
      <c r="I5459" t="str">
        <f t="shared" si="964"/>
        <v>09/10/2025</v>
      </c>
      <c r="J5459" t="str">
        <f t="shared" si="967"/>
        <v>26/09/2025</v>
      </c>
      <c r="K5459">
        <v>45939</v>
      </c>
      <c r="N5459">
        <v>109</v>
      </c>
      <c r="O5459" t="s">
        <v>24</v>
      </c>
      <c r="Q5459">
        <v>347.55</v>
      </c>
      <c r="R5459" t="str">
        <f>"FARMÁCIA INDIANA LJ 186 (10081)"</f>
        <v>FARMÁCIA INDIANA LJ 186 (10081)</v>
      </c>
      <c r="S5459" t="s">
        <v>77</v>
      </c>
      <c r="T5459">
        <v>19890</v>
      </c>
      <c r="U5459">
        <v>22559</v>
      </c>
      <c r="V5459" t="s">
        <v>77</v>
      </c>
    </row>
    <row r="5460" spans="1:22">
      <c r="A5460" t="str">
        <f t="shared" si="968"/>
        <v>09/10/2025</v>
      </c>
      <c r="B5460" t="str">
        <f t="shared" si="962"/>
        <v>SAÍDA</v>
      </c>
      <c r="C5460" t="str">
        <f t="shared" si="965"/>
        <v>PIX</v>
      </c>
      <c r="D5460" t="str">
        <f>"22558"</f>
        <v>22558</v>
      </c>
      <c r="E5460" t="str">
        <f t="shared" si="966"/>
        <v>1</v>
      </c>
      <c r="F5460" t="str">
        <f t="shared" si="963"/>
        <v>COM</v>
      </c>
      <c r="G5460" t="str">
        <f>"BRUNO DOS SANTOS MACHADO (702)"</f>
        <v>BRUNO DOS SANTOS MACHADO (702)</v>
      </c>
      <c r="H5460" t="str">
        <f>"Serv.Prest. 22/09/2025 a 25/09/2025 - PIX: CPF - CHAVE: 155.328.666-94"</f>
        <v>Serv.Prest. 22/09/2025 a 25/09/2025 - PIX: CPF - CHAVE: 155.328.666-94</v>
      </c>
      <c r="I5460" t="str">
        <f t="shared" si="964"/>
        <v>09/10/2025</v>
      </c>
      <c r="J5460" t="str">
        <f t="shared" si="967"/>
        <v>26/09/2025</v>
      </c>
      <c r="K5460" t="str">
        <f>("09/10/2025")</f>
        <v>09/10/2025</v>
      </c>
      <c r="L5460">
        <v>1180</v>
      </c>
      <c r="M5460">
        <v>1180</v>
      </c>
      <c r="N5460">
        <v>109</v>
      </c>
      <c r="O5460" t="str">
        <f>"PAGAMENTO DE ENTREGADORES"</f>
        <v>PAGAMENTO DE ENTREGADORES</v>
      </c>
      <c r="P5460">
        <v>1180</v>
      </c>
      <c r="S5460" t="str">
        <f>"BANCO C6 (149)"</f>
        <v>BANCO C6 (149)</v>
      </c>
      <c r="T5460">
        <v>19891</v>
      </c>
      <c r="U5460">
        <v>22558</v>
      </c>
      <c r="V5460" t="s">
        <v>77</v>
      </c>
    </row>
    <row r="5461" spans="1:22">
      <c r="A5461" t="str">
        <f t="shared" si="968"/>
        <v>09/10/2025</v>
      </c>
      <c r="B5461" t="str">
        <f t="shared" si="962"/>
        <v>SAÍDA</v>
      </c>
      <c r="C5461" t="str">
        <f t="shared" si="965"/>
        <v>PIX</v>
      </c>
      <c r="D5461" t="str">
        <f>"22558"</f>
        <v>22558</v>
      </c>
      <c r="E5461" t="str">
        <f t="shared" si="966"/>
        <v>1</v>
      </c>
      <c r="F5461" t="str">
        <f t="shared" si="963"/>
        <v>COM</v>
      </c>
      <c r="G5461" t="str">
        <f>"BRUNO DOS SANTOS MACHADO (702)"</f>
        <v>BRUNO DOS SANTOS MACHADO (702)</v>
      </c>
      <c r="H5461" t="s">
        <v>1376</v>
      </c>
      <c r="I5461" t="str">
        <f t="shared" si="964"/>
        <v>09/10/2025</v>
      </c>
      <c r="J5461" t="str">
        <f t="shared" si="967"/>
        <v>26/09/2025</v>
      </c>
      <c r="K5461">
        <v>45939</v>
      </c>
      <c r="N5461">
        <v>109</v>
      </c>
      <c r="O5461" t="s">
        <v>24</v>
      </c>
      <c r="Q5461">
        <v>295</v>
      </c>
      <c r="R5461" t="str">
        <f>"FARMÁCIA INDIANA LJ 195 (10083)"</f>
        <v>FARMÁCIA INDIANA LJ 195 (10083)</v>
      </c>
      <c r="S5461" t="s">
        <v>77</v>
      </c>
      <c r="T5461">
        <v>19891</v>
      </c>
      <c r="U5461">
        <v>22558</v>
      </c>
      <c r="V5461" t="s">
        <v>77</v>
      </c>
    </row>
    <row r="5462" spans="1:22">
      <c r="A5462" t="str">
        <f t="shared" si="968"/>
        <v>09/10/2025</v>
      </c>
      <c r="B5462" t="str">
        <f t="shared" si="962"/>
        <v>SAÍDA</v>
      </c>
      <c r="C5462" t="str">
        <f t="shared" si="965"/>
        <v>PIX</v>
      </c>
      <c r="D5462" t="str">
        <f>"22558"</f>
        <v>22558</v>
      </c>
      <c r="E5462" t="str">
        <f t="shared" si="966"/>
        <v>1</v>
      </c>
      <c r="F5462" t="str">
        <f t="shared" si="963"/>
        <v>COM</v>
      </c>
      <c r="G5462" t="str">
        <f>"BRUNO DOS SANTOS MACHADO (702)"</f>
        <v>BRUNO DOS SANTOS MACHADO (702)</v>
      </c>
      <c r="H5462" t="s">
        <v>1376</v>
      </c>
      <c r="I5462" t="str">
        <f t="shared" si="964"/>
        <v>09/10/2025</v>
      </c>
      <c r="J5462" t="str">
        <f t="shared" si="967"/>
        <v>26/09/2025</v>
      </c>
      <c r="K5462">
        <v>45939</v>
      </c>
      <c r="N5462">
        <v>109</v>
      </c>
      <c r="O5462" t="s">
        <v>24</v>
      </c>
      <c r="Q5462">
        <v>590</v>
      </c>
      <c r="R5462" t="str">
        <f>"FARMÁCIA INDIANA LJ 204 (10087)"</f>
        <v>FARMÁCIA INDIANA LJ 204 (10087)</v>
      </c>
      <c r="S5462" t="s">
        <v>77</v>
      </c>
      <c r="T5462">
        <v>19891</v>
      </c>
      <c r="U5462">
        <v>22558</v>
      </c>
      <c r="V5462" t="s">
        <v>77</v>
      </c>
    </row>
    <row r="5463" spans="1:22">
      <c r="A5463" t="str">
        <f t="shared" si="968"/>
        <v>09/10/2025</v>
      </c>
      <c r="B5463" t="str">
        <f t="shared" si="962"/>
        <v>SAÍDA</v>
      </c>
      <c r="C5463" t="str">
        <f t="shared" si="965"/>
        <v>PIX</v>
      </c>
      <c r="D5463" t="str">
        <f>"22558"</f>
        <v>22558</v>
      </c>
      <c r="E5463" t="str">
        <f t="shared" si="966"/>
        <v>1</v>
      </c>
      <c r="F5463" t="str">
        <f t="shared" si="963"/>
        <v>COM</v>
      </c>
      <c r="G5463" t="str">
        <f>"BRUNO DOS SANTOS MACHADO (702)"</f>
        <v>BRUNO DOS SANTOS MACHADO (702)</v>
      </c>
      <c r="H5463" t="s">
        <v>1376</v>
      </c>
      <c r="I5463" t="str">
        <f t="shared" si="964"/>
        <v>09/10/2025</v>
      </c>
      <c r="J5463" t="str">
        <f t="shared" si="967"/>
        <v>26/09/2025</v>
      </c>
      <c r="K5463">
        <v>45939</v>
      </c>
      <c r="N5463">
        <v>109</v>
      </c>
      <c r="O5463" t="s">
        <v>24</v>
      </c>
      <c r="Q5463">
        <v>295</v>
      </c>
      <c r="R5463" t="str">
        <f>"FARMÁCIA INDIANA LJ 266 (10186)"</f>
        <v>FARMÁCIA INDIANA LJ 266 (10186)</v>
      </c>
      <c r="S5463" t="s">
        <v>77</v>
      </c>
      <c r="T5463">
        <v>19891</v>
      </c>
      <c r="U5463">
        <v>22558</v>
      </c>
      <c r="V5463" t="s">
        <v>77</v>
      </c>
    </row>
    <row r="5464" spans="1:22">
      <c r="A5464" t="str">
        <f t="shared" si="968"/>
        <v>09/10/2025</v>
      </c>
      <c r="B5464" t="str">
        <f t="shared" si="962"/>
        <v>SAÍDA</v>
      </c>
      <c r="C5464" t="str">
        <f t="shared" si="965"/>
        <v>PIX</v>
      </c>
      <c r="D5464" t="str">
        <f>"22557"</f>
        <v>22557</v>
      </c>
      <c r="E5464" t="str">
        <f t="shared" si="966"/>
        <v>1</v>
      </c>
      <c r="F5464" t="str">
        <f t="shared" si="963"/>
        <v>COM</v>
      </c>
      <c r="G5464" t="str">
        <f>"BRUNO BARBOSA DE MATOS (82)"</f>
        <v>BRUNO BARBOSA DE MATOS (82)</v>
      </c>
      <c r="H5464" t="str">
        <f>"Serv.Prest. 22/09/2025 a 25/09/2025 - PIX: CPF - CHAVE: 137.446.146-62"</f>
        <v>Serv.Prest. 22/09/2025 a 25/09/2025 - PIX: CPF - CHAVE: 137.446.146-62</v>
      </c>
      <c r="I5464" t="str">
        <f t="shared" si="964"/>
        <v>09/10/2025</v>
      </c>
      <c r="J5464" t="str">
        <f t="shared" si="967"/>
        <v>26/09/2025</v>
      </c>
      <c r="K5464" t="str">
        <f>("09/10/2025")</f>
        <v>09/10/2025</v>
      </c>
      <c r="L5464">
        <v>810</v>
      </c>
      <c r="M5464">
        <v>810</v>
      </c>
      <c r="N5464">
        <v>109</v>
      </c>
      <c r="O5464" t="str">
        <f>"PAGAMENTO DE ENTREGADORES"</f>
        <v>PAGAMENTO DE ENTREGADORES</v>
      </c>
      <c r="P5464">
        <v>810</v>
      </c>
      <c r="S5464" t="str">
        <f>"BANCO C6 (149)"</f>
        <v>BANCO C6 (149)</v>
      </c>
      <c r="T5464">
        <v>19892</v>
      </c>
      <c r="U5464">
        <v>22557</v>
      </c>
      <c r="V5464" t="s">
        <v>77</v>
      </c>
    </row>
    <row r="5465" spans="1:22">
      <c r="A5465" t="str">
        <f t="shared" si="968"/>
        <v>09/10/2025</v>
      </c>
      <c r="B5465" t="str">
        <f t="shared" si="962"/>
        <v>SAÍDA</v>
      </c>
      <c r="C5465" t="str">
        <f t="shared" si="965"/>
        <v>PIX</v>
      </c>
      <c r="D5465" t="str">
        <f>"22557"</f>
        <v>22557</v>
      </c>
      <c r="E5465" t="str">
        <f t="shared" si="966"/>
        <v>1</v>
      </c>
      <c r="F5465" t="str">
        <f t="shared" si="963"/>
        <v>COM</v>
      </c>
      <c r="G5465" t="str">
        <f>"BRUNO BARBOSA DE MATOS (82)"</f>
        <v>BRUNO BARBOSA DE MATOS (82)</v>
      </c>
      <c r="H5465" t="s">
        <v>1541</v>
      </c>
      <c r="I5465" t="str">
        <f t="shared" si="964"/>
        <v>09/10/2025</v>
      </c>
      <c r="J5465" t="str">
        <f t="shared" si="967"/>
        <v>26/09/2025</v>
      </c>
      <c r="K5465">
        <v>45939</v>
      </c>
      <c r="N5465">
        <v>109</v>
      </c>
      <c r="O5465" t="s">
        <v>24</v>
      </c>
      <c r="Q5465">
        <v>810</v>
      </c>
      <c r="R5465" t="str">
        <f>"FARMÁCIA INDIANA LJ 152 (10069)"</f>
        <v>FARMÁCIA INDIANA LJ 152 (10069)</v>
      </c>
      <c r="S5465" t="s">
        <v>77</v>
      </c>
      <c r="T5465">
        <v>19892</v>
      </c>
      <c r="U5465">
        <v>22557</v>
      </c>
      <c r="V5465" t="s">
        <v>77</v>
      </c>
    </row>
    <row r="5466" spans="1:22">
      <c r="A5466" t="str">
        <f t="shared" si="968"/>
        <v>09/10/2025</v>
      </c>
      <c r="B5466" t="str">
        <f t="shared" si="962"/>
        <v>SAÍDA</v>
      </c>
      <c r="C5466" t="str">
        <f t="shared" si="965"/>
        <v>PIX</v>
      </c>
      <c r="D5466" t="str">
        <f>"22556"</f>
        <v>22556</v>
      </c>
      <c r="E5466" t="str">
        <f t="shared" si="966"/>
        <v>1</v>
      </c>
      <c r="F5466" t="str">
        <f t="shared" si="963"/>
        <v>COM</v>
      </c>
      <c r="G5466" t="str">
        <f>"ARTHUR DANTAS PACHECO (928)"</f>
        <v>ARTHUR DANTAS PACHECO (928)</v>
      </c>
      <c r="H5466" t="str">
        <f>"Serv.Prest. 22/09/2025 a 25/09/2025 - PIX: CELULAR - CHAVE: (33) 99110-6940"</f>
        <v>Serv.Prest. 22/09/2025 a 25/09/2025 - PIX: CELULAR - CHAVE: (33) 99110-6940</v>
      </c>
      <c r="I5466" t="str">
        <f t="shared" si="964"/>
        <v>09/10/2025</v>
      </c>
      <c r="J5466" t="str">
        <f t="shared" si="967"/>
        <v>26/09/2025</v>
      </c>
      <c r="K5466" t="str">
        <f>("09/10/2025")</f>
        <v>09/10/2025</v>
      </c>
      <c r="L5466">
        <v>513.5</v>
      </c>
      <c r="M5466">
        <v>513.5</v>
      </c>
      <c r="N5466">
        <v>109</v>
      </c>
      <c r="O5466" t="str">
        <f>"PAGAMENTO DE ENTREGADORES"</f>
        <v>PAGAMENTO DE ENTREGADORES</v>
      </c>
      <c r="P5466">
        <v>513.5</v>
      </c>
      <c r="S5466" t="str">
        <f>"BANCO C6 (149)"</f>
        <v>BANCO C6 (149)</v>
      </c>
      <c r="T5466">
        <v>19893</v>
      </c>
      <c r="U5466">
        <v>22556</v>
      </c>
      <c r="V5466" t="s">
        <v>77</v>
      </c>
    </row>
    <row r="5467" spans="1:22">
      <c r="A5467" t="str">
        <f t="shared" si="968"/>
        <v>09/10/2025</v>
      </c>
      <c r="B5467" t="str">
        <f t="shared" si="962"/>
        <v>SAÍDA</v>
      </c>
      <c r="C5467" t="str">
        <f t="shared" si="965"/>
        <v>PIX</v>
      </c>
      <c r="D5467" t="str">
        <f>"22556"</f>
        <v>22556</v>
      </c>
      <c r="E5467" t="str">
        <f t="shared" si="966"/>
        <v>1</v>
      </c>
      <c r="F5467" t="str">
        <f t="shared" si="963"/>
        <v>COM</v>
      </c>
      <c r="G5467" t="str">
        <f>"ARTHUR DANTAS PACHECO (928)"</f>
        <v>ARTHUR DANTAS PACHECO (928)</v>
      </c>
      <c r="H5467" t="s">
        <v>1372</v>
      </c>
      <c r="I5467" t="str">
        <f t="shared" si="964"/>
        <v>09/10/2025</v>
      </c>
      <c r="J5467" t="str">
        <f t="shared" si="967"/>
        <v>26/09/2025</v>
      </c>
      <c r="K5467">
        <v>45939</v>
      </c>
      <c r="N5467">
        <v>109</v>
      </c>
      <c r="O5467" t="s">
        <v>24</v>
      </c>
      <c r="Q5467">
        <v>513.5</v>
      </c>
      <c r="R5467" t="str">
        <f>"FARMÁCIA INDIANA LJ 40 (10016)"</f>
        <v>FARMÁCIA INDIANA LJ 40 (10016)</v>
      </c>
      <c r="S5467" t="s">
        <v>77</v>
      </c>
      <c r="T5467">
        <v>19893</v>
      </c>
      <c r="U5467">
        <v>22556</v>
      </c>
      <c r="V5467" t="s">
        <v>77</v>
      </c>
    </row>
    <row r="5468" spans="1:22">
      <c r="A5468" t="str">
        <f t="shared" si="968"/>
        <v>09/10/2025</v>
      </c>
      <c r="B5468" t="str">
        <f t="shared" si="962"/>
        <v>SAÍDA</v>
      </c>
      <c r="C5468" t="str">
        <f t="shared" si="965"/>
        <v>PIX</v>
      </c>
      <c r="D5468" t="str">
        <f>"22555"</f>
        <v>22555</v>
      </c>
      <c r="E5468" t="str">
        <f t="shared" si="966"/>
        <v>1</v>
      </c>
      <c r="F5468" t="str">
        <f t="shared" si="963"/>
        <v>COM</v>
      </c>
      <c r="G5468" t="str">
        <f>"ARLINDO JOSE MARTINS (909)"</f>
        <v>ARLINDO JOSE MARTINS (909)</v>
      </c>
      <c r="H5468" t="str">
        <f>"Serv.Prest. 22/09/2025 a 25/09/2025 - PIX: CPF - CHAVE: 037.192.076-09"</f>
        <v>Serv.Prest. 22/09/2025 a 25/09/2025 - PIX: CPF - CHAVE: 037.192.076-09</v>
      </c>
      <c r="I5468" t="str">
        <f t="shared" si="964"/>
        <v>09/10/2025</v>
      </c>
      <c r="J5468" t="str">
        <f t="shared" si="967"/>
        <v>26/09/2025</v>
      </c>
      <c r="K5468" t="str">
        <f>("09/10/2025")</f>
        <v>09/10/2025</v>
      </c>
      <c r="L5468">
        <v>783</v>
      </c>
      <c r="M5468">
        <v>783</v>
      </c>
      <c r="N5468">
        <v>109</v>
      </c>
      <c r="O5468" t="str">
        <f>"PAGAMENTO DE ENTREGADORES"</f>
        <v>PAGAMENTO DE ENTREGADORES</v>
      </c>
      <c r="P5468">
        <v>783</v>
      </c>
      <c r="S5468" t="str">
        <f>"BANCO C6 (149)"</f>
        <v>BANCO C6 (149)</v>
      </c>
      <c r="T5468">
        <v>19894</v>
      </c>
      <c r="U5468">
        <v>22555</v>
      </c>
      <c r="V5468" t="s">
        <v>77</v>
      </c>
    </row>
    <row r="5469" spans="1:22">
      <c r="A5469" t="str">
        <f t="shared" si="968"/>
        <v>09/10/2025</v>
      </c>
      <c r="B5469" t="str">
        <f t="shared" si="962"/>
        <v>SAÍDA</v>
      </c>
      <c r="C5469" t="str">
        <f t="shared" si="965"/>
        <v>PIX</v>
      </c>
      <c r="D5469" t="str">
        <f>"22555"</f>
        <v>22555</v>
      </c>
      <c r="E5469" t="str">
        <f t="shared" si="966"/>
        <v>1</v>
      </c>
      <c r="F5469" t="str">
        <f t="shared" si="963"/>
        <v>COM</v>
      </c>
      <c r="G5469" t="str">
        <f>"ARLINDO JOSE MARTINS (909)"</f>
        <v>ARLINDO JOSE MARTINS (909)</v>
      </c>
      <c r="H5469" t="s">
        <v>1371</v>
      </c>
      <c r="I5469" t="str">
        <f t="shared" si="964"/>
        <v>09/10/2025</v>
      </c>
      <c r="J5469" t="str">
        <f t="shared" si="967"/>
        <v>26/09/2025</v>
      </c>
      <c r="K5469">
        <v>45939</v>
      </c>
      <c r="N5469">
        <v>109</v>
      </c>
      <c r="O5469" t="s">
        <v>24</v>
      </c>
      <c r="Q5469">
        <v>783</v>
      </c>
      <c r="R5469" t="str">
        <f>"FARMÁCIA INDIANA LJ 185 (10141)"</f>
        <v>FARMÁCIA INDIANA LJ 185 (10141)</v>
      </c>
      <c r="S5469" t="s">
        <v>77</v>
      </c>
      <c r="T5469">
        <v>19894</v>
      </c>
      <c r="U5469">
        <v>22555</v>
      </c>
      <c r="V5469" t="s">
        <v>77</v>
      </c>
    </row>
    <row r="5470" spans="1:22">
      <c r="A5470" t="str">
        <f t="shared" si="968"/>
        <v>09/10/2025</v>
      </c>
      <c r="B5470" t="str">
        <f t="shared" si="962"/>
        <v>SAÍDA</v>
      </c>
      <c r="C5470" t="str">
        <f t="shared" si="965"/>
        <v>PIX</v>
      </c>
      <c r="D5470" t="str">
        <f>"22554"</f>
        <v>22554</v>
      </c>
      <c r="E5470" t="str">
        <f t="shared" si="966"/>
        <v>1</v>
      </c>
      <c r="F5470" t="str">
        <f t="shared" si="963"/>
        <v>COM</v>
      </c>
      <c r="G5470" t="str">
        <f>"ANISSO ANIDAL DE PAULA (161)"</f>
        <v>ANISSO ANIDAL DE PAULA (161)</v>
      </c>
      <c r="H5470" t="str">
        <f>"Serv.Prest. 22/09/2025 a 25/09/2025 - PIX: E-MAIL - CHAVE: anissoanidaldepaula@gmail.com"</f>
        <v>Serv.Prest. 22/09/2025 a 25/09/2025 - PIX: E-MAIL - CHAVE: anissoanidaldepaula@gmail.com</v>
      </c>
      <c r="I5470" t="str">
        <f t="shared" si="964"/>
        <v>09/10/2025</v>
      </c>
      <c r="J5470" t="str">
        <f t="shared" si="967"/>
        <v>26/09/2025</v>
      </c>
      <c r="K5470" t="str">
        <f>("09/10/2025")</f>
        <v>09/10/2025</v>
      </c>
      <c r="L5470">
        <v>378</v>
      </c>
      <c r="M5470">
        <v>378</v>
      </c>
      <c r="N5470">
        <v>109</v>
      </c>
      <c r="O5470" t="str">
        <f>"PAGAMENTO DE ENTREGADORES"</f>
        <v>PAGAMENTO DE ENTREGADORES</v>
      </c>
      <c r="P5470">
        <v>378</v>
      </c>
      <c r="S5470" t="str">
        <f>"BANCO C6 (149)"</f>
        <v>BANCO C6 (149)</v>
      </c>
      <c r="T5470">
        <v>19895</v>
      </c>
      <c r="U5470">
        <v>22554</v>
      </c>
      <c r="V5470" t="s">
        <v>77</v>
      </c>
    </row>
    <row r="5471" spans="1:22">
      <c r="A5471" t="str">
        <f t="shared" si="968"/>
        <v>09/10/2025</v>
      </c>
      <c r="B5471" t="str">
        <f t="shared" si="962"/>
        <v>SAÍDA</v>
      </c>
      <c r="C5471" t="str">
        <f t="shared" si="965"/>
        <v>PIX</v>
      </c>
      <c r="D5471" t="str">
        <f>"22554"</f>
        <v>22554</v>
      </c>
      <c r="E5471" t="str">
        <f t="shared" si="966"/>
        <v>1</v>
      </c>
      <c r="F5471" t="str">
        <f t="shared" si="963"/>
        <v>COM</v>
      </c>
      <c r="G5471" t="str">
        <f>"ANISSO ANIDAL DE PAULA (161)"</f>
        <v>ANISSO ANIDAL DE PAULA (161)</v>
      </c>
      <c r="H5471" t="s">
        <v>1542</v>
      </c>
      <c r="I5471" t="str">
        <f t="shared" si="964"/>
        <v>09/10/2025</v>
      </c>
      <c r="J5471" t="str">
        <f t="shared" si="967"/>
        <v>26/09/2025</v>
      </c>
      <c r="K5471">
        <v>45939</v>
      </c>
      <c r="N5471">
        <v>109</v>
      </c>
      <c r="O5471" t="s">
        <v>24</v>
      </c>
      <c r="Q5471">
        <v>378</v>
      </c>
      <c r="R5471" t="str">
        <f>"FARMÁCIA INDIANA LJ 18 (10011)"</f>
        <v>FARMÁCIA INDIANA LJ 18 (10011)</v>
      </c>
      <c r="S5471" t="s">
        <v>77</v>
      </c>
      <c r="T5471">
        <v>19895</v>
      </c>
      <c r="U5471">
        <v>22554</v>
      </c>
      <c r="V5471" t="s">
        <v>77</v>
      </c>
    </row>
    <row r="5472" spans="1:22">
      <c r="A5472" t="str">
        <f t="shared" si="968"/>
        <v>09/10/2025</v>
      </c>
      <c r="B5472" t="str">
        <f t="shared" si="962"/>
        <v>SAÍDA</v>
      </c>
      <c r="C5472" t="str">
        <f t="shared" si="965"/>
        <v>PIX</v>
      </c>
      <c r="D5472" t="str">
        <f>"22553"</f>
        <v>22553</v>
      </c>
      <c r="E5472" t="str">
        <f t="shared" si="966"/>
        <v>1</v>
      </c>
      <c r="F5472" t="str">
        <f t="shared" si="963"/>
        <v>COM</v>
      </c>
      <c r="G5472" t="str">
        <f>"AMANDA VERÍSSIMO FERREIRA (794)"</f>
        <v>AMANDA VERÍSSIMO FERREIRA (794)</v>
      </c>
      <c r="H5472" t="str">
        <f>"Serv.Prest. 22/09/2025 a 25/09/2025 - PIX: CPF - CHAVE: 099.626.666-60"</f>
        <v>Serv.Prest. 22/09/2025 a 25/09/2025 - PIX: CPF - CHAVE: 099.626.666-60</v>
      </c>
      <c r="I5472" t="str">
        <f t="shared" si="964"/>
        <v>09/10/2025</v>
      </c>
      <c r="J5472" t="str">
        <f t="shared" si="967"/>
        <v>26/09/2025</v>
      </c>
      <c r="K5472" t="str">
        <f>("09/10/2025")</f>
        <v>09/10/2025</v>
      </c>
      <c r="L5472">
        <v>730</v>
      </c>
      <c r="M5472">
        <v>730</v>
      </c>
      <c r="N5472">
        <v>109</v>
      </c>
      <c r="O5472" t="str">
        <f>"PAGAMENTO DE ENTREGADORES"</f>
        <v>PAGAMENTO DE ENTREGADORES</v>
      </c>
      <c r="P5472">
        <v>730</v>
      </c>
      <c r="S5472" t="str">
        <f>"BANCO C6 (149)"</f>
        <v>BANCO C6 (149)</v>
      </c>
      <c r="T5472">
        <v>19896</v>
      </c>
      <c r="U5472">
        <v>22553</v>
      </c>
      <c r="V5472" t="s">
        <v>77</v>
      </c>
    </row>
    <row r="5473" spans="1:22">
      <c r="A5473" t="str">
        <f t="shared" si="968"/>
        <v>09/10/2025</v>
      </c>
      <c r="B5473" t="str">
        <f t="shared" si="962"/>
        <v>SAÍDA</v>
      </c>
      <c r="C5473" t="str">
        <f t="shared" si="965"/>
        <v>PIX</v>
      </c>
      <c r="D5473" t="str">
        <f>"22553"</f>
        <v>22553</v>
      </c>
      <c r="E5473" t="str">
        <f t="shared" si="966"/>
        <v>1</v>
      </c>
      <c r="F5473" t="str">
        <f t="shared" si="963"/>
        <v>COM</v>
      </c>
      <c r="G5473" t="str">
        <f>"AMANDA VERÍSSIMO FERREIRA (794)"</f>
        <v>AMANDA VERÍSSIMO FERREIRA (794)</v>
      </c>
      <c r="H5473" t="s">
        <v>1366</v>
      </c>
      <c r="I5473" t="str">
        <f t="shared" si="964"/>
        <v>09/10/2025</v>
      </c>
      <c r="J5473" t="str">
        <f t="shared" si="967"/>
        <v>26/09/2025</v>
      </c>
      <c r="K5473">
        <v>45939</v>
      </c>
      <c r="N5473">
        <v>109</v>
      </c>
      <c r="O5473" t="s">
        <v>24</v>
      </c>
      <c r="Q5473">
        <v>204.4</v>
      </c>
      <c r="R5473" t="str">
        <f>"FARMÁCIA INDIANA LJ 97 (10040)"</f>
        <v>FARMÁCIA INDIANA LJ 97 (10040)</v>
      </c>
      <c r="S5473" t="s">
        <v>77</v>
      </c>
      <c r="T5473">
        <v>19896</v>
      </c>
      <c r="U5473">
        <v>22553</v>
      </c>
      <c r="V5473" t="s">
        <v>77</v>
      </c>
    </row>
    <row r="5474" spans="1:22">
      <c r="A5474" t="str">
        <f t="shared" si="968"/>
        <v>09/10/2025</v>
      </c>
      <c r="B5474" t="str">
        <f t="shared" si="962"/>
        <v>SAÍDA</v>
      </c>
      <c r="C5474" t="str">
        <f t="shared" si="965"/>
        <v>PIX</v>
      </c>
      <c r="D5474" t="str">
        <f>"22553"</f>
        <v>22553</v>
      </c>
      <c r="E5474" t="str">
        <f t="shared" si="966"/>
        <v>1</v>
      </c>
      <c r="F5474" t="str">
        <f t="shared" si="963"/>
        <v>COM</v>
      </c>
      <c r="G5474" t="str">
        <f>"AMANDA VERÍSSIMO FERREIRA (794)"</f>
        <v>AMANDA VERÍSSIMO FERREIRA (794)</v>
      </c>
      <c r="H5474" t="s">
        <v>1366</v>
      </c>
      <c r="I5474" t="str">
        <f t="shared" si="964"/>
        <v>09/10/2025</v>
      </c>
      <c r="J5474" t="str">
        <f t="shared" si="967"/>
        <v>26/09/2025</v>
      </c>
      <c r="K5474">
        <v>45939</v>
      </c>
      <c r="N5474">
        <v>109</v>
      </c>
      <c r="O5474" t="s">
        <v>24</v>
      </c>
      <c r="Q5474">
        <v>204.4</v>
      </c>
      <c r="R5474" t="str">
        <f>"FARMÁCIA INDIANA LJ 111 (10049)"</f>
        <v>FARMÁCIA INDIANA LJ 111 (10049)</v>
      </c>
      <c r="S5474" t="s">
        <v>77</v>
      </c>
      <c r="T5474">
        <v>19896</v>
      </c>
      <c r="U5474">
        <v>22553</v>
      </c>
      <c r="V5474" t="s">
        <v>77</v>
      </c>
    </row>
    <row r="5475" spans="1:22">
      <c r="A5475" t="str">
        <f t="shared" si="968"/>
        <v>09/10/2025</v>
      </c>
      <c r="B5475" t="str">
        <f t="shared" si="962"/>
        <v>SAÍDA</v>
      </c>
      <c r="C5475" t="str">
        <f t="shared" si="965"/>
        <v>PIX</v>
      </c>
      <c r="D5475" t="str">
        <f>"22553"</f>
        <v>22553</v>
      </c>
      <c r="E5475" t="str">
        <f t="shared" si="966"/>
        <v>1</v>
      </c>
      <c r="F5475" t="str">
        <f t="shared" si="963"/>
        <v>COM</v>
      </c>
      <c r="G5475" t="str">
        <f>"AMANDA VERÍSSIMO FERREIRA (794)"</f>
        <v>AMANDA VERÍSSIMO FERREIRA (794)</v>
      </c>
      <c r="H5475" t="s">
        <v>1366</v>
      </c>
      <c r="I5475" t="str">
        <f t="shared" si="964"/>
        <v>09/10/2025</v>
      </c>
      <c r="J5475" t="str">
        <f t="shared" si="967"/>
        <v>26/09/2025</v>
      </c>
      <c r="K5475">
        <v>45939</v>
      </c>
      <c r="N5475">
        <v>109</v>
      </c>
      <c r="O5475" t="s">
        <v>24</v>
      </c>
      <c r="Q5475">
        <v>321.2</v>
      </c>
      <c r="R5475" t="str">
        <f>"FARMÁCIA INDIANA LJ 143 (10067)"</f>
        <v>FARMÁCIA INDIANA LJ 143 (10067)</v>
      </c>
      <c r="S5475" t="s">
        <v>77</v>
      </c>
      <c r="T5475">
        <v>19896</v>
      </c>
      <c r="U5475">
        <v>22553</v>
      </c>
      <c r="V5475" t="s">
        <v>77</v>
      </c>
    </row>
    <row r="5476" spans="1:22">
      <c r="A5476" t="str">
        <f t="shared" si="968"/>
        <v>09/10/2025</v>
      </c>
      <c r="B5476" t="str">
        <f t="shared" si="962"/>
        <v>SAÍDA</v>
      </c>
      <c r="C5476" t="str">
        <f t="shared" si="965"/>
        <v>PIX</v>
      </c>
      <c r="D5476" t="str">
        <f>"22552"</f>
        <v>22552</v>
      </c>
      <c r="E5476" t="str">
        <f t="shared" si="966"/>
        <v>1</v>
      </c>
      <c r="F5476" t="str">
        <f t="shared" si="963"/>
        <v>COM</v>
      </c>
      <c r="G5476" t="str">
        <f>"ALISSON FELIPE GODINHO (219)"</f>
        <v>ALISSON FELIPE GODINHO (219)</v>
      </c>
      <c r="H5476" t="str">
        <f>"Serv.Prest. 22/09/2025 a 25/09/2025 - PIX: CELULAR - CHAVE: (33) 99877-0415"</f>
        <v>Serv.Prest. 22/09/2025 a 25/09/2025 - PIX: CELULAR - CHAVE: (33) 99877-0415</v>
      </c>
      <c r="I5476" t="str">
        <f t="shared" si="964"/>
        <v>09/10/2025</v>
      </c>
      <c r="J5476" t="str">
        <f t="shared" si="967"/>
        <v>26/09/2025</v>
      </c>
      <c r="K5476" t="str">
        <f>("09/10/2025")</f>
        <v>09/10/2025</v>
      </c>
      <c r="L5476">
        <v>912</v>
      </c>
      <c r="M5476">
        <v>912</v>
      </c>
      <c r="N5476">
        <v>109</v>
      </c>
      <c r="O5476" t="str">
        <f>"PAGAMENTO DE ENTREGADORES"</f>
        <v>PAGAMENTO DE ENTREGADORES</v>
      </c>
      <c r="P5476">
        <v>912</v>
      </c>
      <c r="S5476" t="str">
        <f>"BANCO C6 (149)"</f>
        <v>BANCO C6 (149)</v>
      </c>
      <c r="T5476">
        <v>19897</v>
      </c>
      <c r="U5476">
        <v>22552</v>
      </c>
      <c r="V5476" t="s">
        <v>77</v>
      </c>
    </row>
    <row r="5477" spans="1:22">
      <c r="A5477" t="str">
        <f t="shared" si="968"/>
        <v>09/10/2025</v>
      </c>
      <c r="B5477" t="str">
        <f t="shared" si="962"/>
        <v>SAÍDA</v>
      </c>
      <c r="C5477" t="str">
        <f t="shared" si="965"/>
        <v>PIX</v>
      </c>
      <c r="D5477" t="str">
        <f>"22552"</f>
        <v>22552</v>
      </c>
      <c r="E5477" t="str">
        <f t="shared" si="966"/>
        <v>1</v>
      </c>
      <c r="F5477" t="str">
        <f t="shared" si="963"/>
        <v>COM</v>
      </c>
      <c r="G5477" t="str">
        <f>"ALISSON FELIPE GODINHO (219)"</f>
        <v>ALISSON FELIPE GODINHO (219)</v>
      </c>
      <c r="H5477" t="s">
        <v>1543</v>
      </c>
      <c r="I5477" t="str">
        <f t="shared" si="964"/>
        <v>09/10/2025</v>
      </c>
      <c r="J5477" t="str">
        <f t="shared" si="967"/>
        <v>26/09/2025</v>
      </c>
      <c r="K5477">
        <v>45939</v>
      </c>
      <c r="N5477">
        <v>109</v>
      </c>
      <c r="O5477" t="s">
        <v>24</v>
      </c>
      <c r="Q5477">
        <v>912</v>
      </c>
      <c r="R5477" t="str">
        <f>"FARMÁCIA INDIANA LJ 14 (10009)"</f>
        <v>FARMÁCIA INDIANA LJ 14 (10009)</v>
      </c>
      <c r="S5477" t="s">
        <v>77</v>
      </c>
      <c r="T5477">
        <v>19897</v>
      </c>
      <c r="U5477">
        <v>22552</v>
      </c>
      <c r="V5477" t="s">
        <v>77</v>
      </c>
    </row>
    <row r="5478" spans="1:22">
      <c r="A5478" t="str">
        <f t="shared" si="968"/>
        <v>09/10/2025</v>
      </c>
      <c r="B5478" t="str">
        <f t="shared" si="962"/>
        <v>SAÍDA</v>
      </c>
      <c r="C5478" t="str">
        <f t="shared" si="965"/>
        <v>PIX</v>
      </c>
      <c r="D5478" t="str">
        <f>"22549"</f>
        <v>22549</v>
      </c>
      <c r="E5478" t="str">
        <f t="shared" si="966"/>
        <v>1</v>
      </c>
      <c r="F5478" t="str">
        <f t="shared" si="963"/>
        <v>COM</v>
      </c>
      <c r="G5478" t="str">
        <f>"YAN BRENDO CORREIA VIEIRA (861)"</f>
        <v>YAN BRENDO CORREIA VIEIRA (861)</v>
      </c>
      <c r="H5478" t="str">
        <f>"Serv.Prest. 22/09/2025 a 25/09/2025 - PIX: CPF - CHAVE: 096.891.935-97"</f>
        <v>Serv.Prest. 22/09/2025 a 25/09/2025 - PIX: CPF - CHAVE: 096.891.935-97</v>
      </c>
      <c r="I5478" t="str">
        <f t="shared" si="964"/>
        <v>09/10/2025</v>
      </c>
      <c r="J5478" t="str">
        <f t="shared" si="967"/>
        <v>26/09/2025</v>
      </c>
      <c r="K5478" t="str">
        <f>("09/10/2025")</f>
        <v>09/10/2025</v>
      </c>
      <c r="L5478">
        <v>780</v>
      </c>
      <c r="M5478">
        <v>780</v>
      </c>
      <c r="N5478">
        <v>109</v>
      </c>
      <c r="O5478" t="str">
        <f>"PAGAMENTO DE ENTREGADORES"</f>
        <v>PAGAMENTO DE ENTREGADORES</v>
      </c>
      <c r="P5478">
        <v>780</v>
      </c>
      <c r="S5478" t="str">
        <f>"BANCO C6 (149)"</f>
        <v>BANCO C6 (149)</v>
      </c>
      <c r="T5478">
        <v>19898</v>
      </c>
      <c r="U5478">
        <v>22549</v>
      </c>
      <c r="V5478" t="s">
        <v>77</v>
      </c>
    </row>
    <row r="5479" spans="1:22">
      <c r="A5479" t="str">
        <f t="shared" si="968"/>
        <v>09/10/2025</v>
      </c>
      <c r="B5479" t="str">
        <f t="shared" si="962"/>
        <v>SAÍDA</v>
      </c>
      <c r="C5479" t="str">
        <f t="shared" si="965"/>
        <v>PIX</v>
      </c>
      <c r="D5479" t="str">
        <f>"22549"</f>
        <v>22549</v>
      </c>
      <c r="E5479" t="str">
        <f t="shared" si="966"/>
        <v>1</v>
      </c>
      <c r="F5479" t="str">
        <f t="shared" si="963"/>
        <v>COM</v>
      </c>
      <c r="G5479" t="str">
        <f>"YAN BRENDO CORREIA VIEIRA (861)"</f>
        <v>YAN BRENDO CORREIA VIEIRA (861)</v>
      </c>
      <c r="H5479" t="s">
        <v>1096</v>
      </c>
      <c r="I5479" t="str">
        <f t="shared" si="964"/>
        <v>09/10/2025</v>
      </c>
      <c r="J5479" t="str">
        <f t="shared" si="967"/>
        <v>26/09/2025</v>
      </c>
      <c r="K5479">
        <v>45939</v>
      </c>
      <c r="N5479">
        <v>109</v>
      </c>
      <c r="O5479" t="s">
        <v>24</v>
      </c>
      <c r="Q5479">
        <v>780</v>
      </c>
      <c r="R5479" t="str">
        <f>"FARMÁCIA INDIANA LJ 200 (10155)"</f>
        <v>FARMÁCIA INDIANA LJ 200 (10155)</v>
      </c>
      <c r="S5479" t="s">
        <v>77</v>
      </c>
      <c r="T5479">
        <v>19898</v>
      </c>
      <c r="U5479">
        <v>22549</v>
      </c>
      <c r="V5479" t="s">
        <v>77</v>
      </c>
    </row>
    <row r="5480" spans="1:22">
      <c r="A5480" t="str">
        <f t="shared" si="968"/>
        <v>09/10/2025</v>
      </c>
      <c r="B5480" t="str">
        <f t="shared" si="962"/>
        <v>SAÍDA</v>
      </c>
      <c r="C5480" t="str">
        <f t="shared" si="965"/>
        <v>PIX</v>
      </c>
      <c r="D5480" t="str">
        <f>"22548"</f>
        <v>22548</v>
      </c>
      <c r="E5480" t="str">
        <f t="shared" si="966"/>
        <v>1</v>
      </c>
      <c r="F5480" t="str">
        <f t="shared" si="963"/>
        <v>COM</v>
      </c>
      <c r="G5480" t="str">
        <f>"WESLEI GONÇALVES SANTOS (154)"</f>
        <v>WESLEI GONÇALVES SANTOS (154)</v>
      </c>
      <c r="H5480" t="str">
        <f>"Serv.Prest. 22/09/2025 a 25/09/2025 - PIX: CPF - CHAVE: 079.068.045-97"</f>
        <v>Serv.Prest. 22/09/2025 a 25/09/2025 - PIX: CPF - CHAVE: 079.068.045-97</v>
      </c>
      <c r="I5480" t="str">
        <f t="shared" si="964"/>
        <v>09/10/2025</v>
      </c>
      <c r="J5480" t="str">
        <f t="shared" si="967"/>
        <v>26/09/2025</v>
      </c>
      <c r="K5480" t="str">
        <f>("09/10/2025")</f>
        <v>09/10/2025</v>
      </c>
      <c r="L5480">
        <v>580.66</v>
      </c>
      <c r="M5480">
        <v>580.66</v>
      </c>
      <c r="N5480">
        <v>109</v>
      </c>
      <c r="O5480" t="str">
        <f>"PAGAMENTO DE ENTREGADORES"</f>
        <v>PAGAMENTO DE ENTREGADORES</v>
      </c>
      <c r="P5480">
        <v>580.66</v>
      </c>
      <c r="S5480" t="str">
        <f>"BANCO C6 (149)"</f>
        <v>BANCO C6 (149)</v>
      </c>
      <c r="T5480">
        <v>19899</v>
      </c>
      <c r="U5480">
        <v>22548</v>
      </c>
      <c r="V5480" t="s">
        <v>77</v>
      </c>
    </row>
    <row r="5481" spans="1:22">
      <c r="A5481" t="str">
        <f t="shared" si="968"/>
        <v>09/10/2025</v>
      </c>
      <c r="B5481" t="str">
        <f t="shared" si="962"/>
        <v>SAÍDA</v>
      </c>
      <c r="C5481" t="str">
        <f t="shared" si="965"/>
        <v>PIX</v>
      </c>
      <c r="D5481" t="str">
        <f>"22548"</f>
        <v>22548</v>
      </c>
      <c r="E5481" t="str">
        <f t="shared" si="966"/>
        <v>1</v>
      </c>
      <c r="F5481" t="str">
        <f t="shared" si="963"/>
        <v>COM</v>
      </c>
      <c r="G5481" t="str">
        <f>"WESLEI GONÇALVES SANTOS (154)"</f>
        <v>WESLEI GONÇALVES SANTOS (154)</v>
      </c>
      <c r="H5481" t="s">
        <v>1496</v>
      </c>
      <c r="I5481" t="str">
        <f t="shared" si="964"/>
        <v>09/10/2025</v>
      </c>
      <c r="J5481" t="str">
        <f t="shared" si="967"/>
        <v>26/09/2025</v>
      </c>
      <c r="K5481">
        <v>45939</v>
      </c>
      <c r="N5481">
        <v>109</v>
      </c>
      <c r="O5481" t="s">
        <v>24</v>
      </c>
      <c r="Q5481">
        <v>580.66</v>
      </c>
      <c r="R5481" t="str">
        <f>"FARMÁCIA INDIANA LJ 34 (10014)"</f>
        <v>FARMÁCIA INDIANA LJ 34 (10014)</v>
      </c>
      <c r="S5481" t="s">
        <v>77</v>
      </c>
      <c r="T5481">
        <v>19899</v>
      </c>
      <c r="U5481">
        <v>22548</v>
      </c>
      <c r="V5481" t="s">
        <v>77</v>
      </c>
    </row>
    <row r="5482" spans="1:22">
      <c r="A5482" t="str">
        <f t="shared" si="968"/>
        <v>09/10/2025</v>
      </c>
      <c r="B5482" t="str">
        <f t="shared" si="962"/>
        <v>SAÍDA</v>
      </c>
      <c r="C5482" t="str">
        <f t="shared" si="965"/>
        <v>PIX</v>
      </c>
      <c r="D5482" t="str">
        <f>"22547"</f>
        <v>22547</v>
      </c>
      <c r="E5482" t="str">
        <f t="shared" si="966"/>
        <v>1</v>
      </c>
      <c r="F5482" t="str">
        <f t="shared" si="963"/>
        <v>COM</v>
      </c>
      <c r="G5482" t="str">
        <f>"VINICIUS SANTOS PEREIRA (633)"</f>
        <v>VINICIUS SANTOS PEREIRA (633)</v>
      </c>
      <c r="H5482" t="str">
        <f>"Serv.Prest. 22/09/2025 a 25/09/2025 - PIX: CELULAR - CHAVE: (73) 99818-9718"</f>
        <v>Serv.Prest. 22/09/2025 a 25/09/2025 - PIX: CELULAR - CHAVE: (73) 99818-9718</v>
      </c>
      <c r="I5482" t="str">
        <f t="shared" si="964"/>
        <v>09/10/2025</v>
      </c>
      <c r="J5482" t="str">
        <f t="shared" si="967"/>
        <v>26/09/2025</v>
      </c>
      <c r="K5482" t="str">
        <f>("09/10/2025")</f>
        <v>09/10/2025</v>
      </c>
      <c r="L5482">
        <v>575</v>
      </c>
      <c r="M5482">
        <v>575</v>
      </c>
      <c r="N5482">
        <v>109</v>
      </c>
      <c r="O5482" t="str">
        <f>"PAGAMENTO DE ENTREGADORES"</f>
        <v>PAGAMENTO DE ENTREGADORES</v>
      </c>
      <c r="P5482">
        <v>575</v>
      </c>
      <c r="S5482" t="str">
        <f>"BANCO C6 (149)"</f>
        <v>BANCO C6 (149)</v>
      </c>
      <c r="T5482">
        <v>19900</v>
      </c>
      <c r="U5482">
        <v>22547</v>
      </c>
      <c r="V5482" t="s">
        <v>77</v>
      </c>
    </row>
    <row r="5483" spans="1:22">
      <c r="A5483" t="str">
        <f t="shared" si="968"/>
        <v>09/10/2025</v>
      </c>
      <c r="B5483" t="str">
        <f t="shared" ref="B5483:B5546" si="969">"SAÍDA"</f>
        <v>SAÍDA</v>
      </c>
      <c r="C5483" t="str">
        <f t="shared" si="965"/>
        <v>PIX</v>
      </c>
      <c r="D5483" t="str">
        <f>"22547"</f>
        <v>22547</v>
      </c>
      <c r="E5483" t="str">
        <f t="shared" si="966"/>
        <v>1</v>
      </c>
      <c r="F5483" t="str">
        <f t="shared" si="963"/>
        <v>COM</v>
      </c>
      <c r="G5483" t="str">
        <f>"VINICIUS SANTOS PEREIRA (633)"</f>
        <v>VINICIUS SANTOS PEREIRA (633)</v>
      </c>
      <c r="H5483" t="s">
        <v>1487</v>
      </c>
      <c r="I5483" t="str">
        <f t="shared" si="964"/>
        <v>09/10/2025</v>
      </c>
      <c r="J5483" t="str">
        <f t="shared" si="967"/>
        <v>26/09/2025</v>
      </c>
      <c r="K5483">
        <v>45939</v>
      </c>
      <c r="N5483">
        <v>109</v>
      </c>
      <c r="O5483" t="s">
        <v>24</v>
      </c>
      <c r="Q5483">
        <v>575</v>
      </c>
      <c r="R5483" t="str">
        <f>"FARMÁCIA INDIANA LJ 95 (10039)"</f>
        <v>FARMÁCIA INDIANA LJ 95 (10039)</v>
      </c>
      <c r="S5483" t="s">
        <v>77</v>
      </c>
      <c r="T5483">
        <v>19900</v>
      </c>
      <c r="U5483">
        <v>22547</v>
      </c>
      <c r="V5483" t="s">
        <v>77</v>
      </c>
    </row>
    <row r="5484" spans="1:22">
      <c r="A5484" t="str">
        <f t="shared" si="968"/>
        <v>09/10/2025</v>
      </c>
      <c r="B5484" t="str">
        <f t="shared" si="969"/>
        <v>SAÍDA</v>
      </c>
      <c r="C5484" t="str">
        <f t="shared" si="965"/>
        <v>PIX</v>
      </c>
      <c r="D5484" t="str">
        <f>"22544"</f>
        <v>22544</v>
      </c>
      <c r="E5484" t="str">
        <f t="shared" si="966"/>
        <v>1</v>
      </c>
      <c r="F5484" t="str">
        <f t="shared" si="963"/>
        <v>COM</v>
      </c>
      <c r="G5484" t="str">
        <f>"OSVALDO DOS SANTOS (163)"</f>
        <v>OSVALDO DOS SANTOS (163)</v>
      </c>
      <c r="H5484" t="str">
        <f>"Serv.Prest. 22/09/2025 a 25/09/2025 - PIX: CELULAR - CHAVE: (73) 99977-2721"</f>
        <v>Serv.Prest. 22/09/2025 a 25/09/2025 - PIX: CELULAR - CHAVE: (73) 99977-2721</v>
      </c>
      <c r="I5484" t="str">
        <f t="shared" si="964"/>
        <v>09/10/2025</v>
      </c>
      <c r="J5484" t="str">
        <f t="shared" si="967"/>
        <v>26/09/2025</v>
      </c>
      <c r="K5484" t="str">
        <f>("09/10/2025")</f>
        <v>09/10/2025</v>
      </c>
      <c r="L5484">
        <v>580</v>
      </c>
      <c r="M5484">
        <v>580</v>
      </c>
      <c r="N5484">
        <v>109</v>
      </c>
      <c r="O5484" t="str">
        <f>"PAGAMENTO DE ENTREGADORES"</f>
        <v>PAGAMENTO DE ENTREGADORES</v>
      </c>
      <c r="P5484">
        <v>580</v>
      </c>
      <c r="S5484" t="str">
        <f>"BANCO C6 (149)"</f>
        <v>BANCO C6 (149)</v>
      </c>
      <c r="T5484">
        <v>19901</v>
      </c>
      <c r="U5484">
        <v>22544</v>
      </c>
      <c r="V5484" t="s">
        <v>77</v>
      </c>
    </row>
    <row r="5485" spans="1:22">
      <c r="A5485" t="str">
        <f t="shared" si="968"/>
        <v>09/10/2025</v>
      </c>
      <c r="B5485" t="str">
        <f t="shared" si="969"/>
        <v>SAÍDA</v>
      </c>
      <c r="C5485" t="str">
        <f t="shared" si="965"/>
        <v>PIX</v>
      </c>
      <c r="D5485" t="str">
        <f>"22544"</f>
        <v>22544</v>
      </c>
      <c r="E5485" t="str">
        <f t="shared" si="966"/>
        <v>1</v>
      </c>
      <c r="F5485" t="str">
        <f t="shared" si="963"/>
        <v>COM</v>
      </c>
      <c r="G5485" t="str">
        <f>"OSVALDO DOS SANTOS (163)"</f>
        <v>OSVALDO DOS SANTOS (163)</v>
      </c>
      <c r="H5485" t="s">
        <v>1467</v>
      </c>
      <c r="I5485" t="str">
        <f t="shared" si="964"/>
        <v>09/10/2025</v>
      </c>
      <c r="J5485" t="str">
        <f t="shared" si="967"/>
        <v>26/09/2025</v>
      </c>
      <c r="K5485">
        <v>45939</v>
      </c>
      <c r="N5485">
        <v>109</v>
      </c>
      <c r="O5485" t="s">
        <v>24</v>
      </c>
      <c r="Q5485">
        <v>580</v>
      </c>
      <c r="R5485" t="str">
        <f>"FARMÁCIA INDIANA LJ 35 (10015)"</f>
        <v>FARMÁCIA INDIANA LJ 35 (10015)</v>
      </c>
      <c r="S5485" t="s">
        <v>77</v>
      </c>
      <c r="T5485">
        <v>19901</v>
      </c>
      <c r="U5485">
        <v>22544</v>
      </c>
      <c r="V5485" t="s">
        <v>77</v>
      </c>
    </row>
    <row r="5486" spans="1:22">
      <c r="A5486" t="str">
        <f t="shared" si="968"/>
        <v>09/10/2025</v>
      </c>
      <c r="B5486" t="str">
        <f t="shared" si="969"/>
        <v>SAÍDA</v>
      </c>
      <c r="C5486" t="str">
        <f t="shared" si="965"/>
        <v>PIX</v>
      </c>
      <c r="D5486" t="str">
        <f>"22542"</f>
        <v>22542</v>
      </c>
      <c r="E5486" t="str">
        <f t="shared" si="966"/>
        <v>1</v>
      </c>
      <c r="F5486" t="str">
        <f t="shared" ref="F5486:F5549" si="970">"COM"</f>
        <v>COM</v>
      </c>
      <c r="G5486" t="str">
        <f>"MOABIO AZEVEDO DOS SANTOS (131)"</f>
        <v>MOABIO AZEVEDO DOS SANTOS (131)</v>
      </c>
      <c r="H5486" t="str">
        <f>"Serv.Prest. 22/09/2025 a 25/09/2025 - PIX: CNPJ - CHAVE: 33.412.676/0001-41"</f>
        <v>Serv.Prest. 22/09/2025 a 25/09/2025 - PIX: CNPJ - CHAVE: 33.412.676/0001-41</v>
      </c>
      <c r="I5486" t="str">
        <f t="shared" si="964"/>
        <v>09/10/2025</v>
      </c>
      <c r="J5486" t="str">
        <f t="shared" si="967"/>
        <v>26/09/2025</v>
      </c>
      <c r="K5486" t="str">
        <f>("09/10/2025")</f>
        <v>09/10/2025</v>
      </c>
      <c r="L5486">
        <v>426</v>
      </c>
      <c r="M5486">
        <v>426</v>
      </c>
      <c r="N5486">
        <v>109</v>
      </c>
      <c r="O5486" t="str">
        <f>"PAGAMENTO DE ENTREGADORES"</f>
        <v>PAGAMENTO DE ENTREGADORES</v>
      </c>
      <c r="P5486">
        <v>426</v>
      </c>
      <c r="S5486" t="str">
        <f>"BANCO C6 (149)"</f>
        <v>BANCO C6 (149)</v>
      </c>
      <c r="T5486">
        <v>19902</v>
      </c>
      <c r="U5486">
        <v>22542</v>
      </c>
      <c r="V5486" t="s">
        <v>77</v>
      </c>
    </row>
    <row r="5487" spans="1:22">
      <c r="A5487" t="str">
        <f t="shared" si="968"/>
        <v>09/10/2025</v>
      </c>
      <c r="B5487" t="str">
        <f t="shared" si="969"/>
        <v>SAÍDA</v>
      </c>
      <c r="C5487" t="str">
        <f t="shared" si="965"/>
        <v>PIX</v>
      </c>
      <c r="D5487" t="str">
        <f>"22542"</f>
        <v>22542</v>
      </c>
      <c r="E5487" t="str">
        <f t="shared" si="966"/>
        <v>1</v>
      </c>
      <c r="F5487" t="str">
        <f t="shared" si="970"/>
        <v>COM</v>
      </c>
      <c r="G5487" t="str">
        <f>"MOABIO AZEVEDO DOS SANTOS (131)"</f>
        <v>MOABIO AZEVEDO DOS SANTOS (131)</v>
      </c>
      <c r="H5487" t="s">
        <v>1544</v>
      </c>
      <c r="I5487" t="str">
        <f t="shared" si="964"/>
        <v>09/10/2025</v>
      </c>
      <c r="J5487" t="str">
        <f t="shared" si="967"/>
        <v>26/09/2025</v>
      </c>
      <c r="K5487">
        <v>45939</v>
      </c>
      <c r="N5487">
        <v>109</v>
      </c>
      <c r="O5487" t="s">
        <v>24</v>
      </c>
      <c r="Q5487">
        <v>426</v>
      </c>
      <c r="R5487" t="str">
        <f>"FARMÁCIA INDIANA LJ 91 (10037)"</f>
        <v>FARMÁCIA INDIANA LJ 91 (10037)</v>
      </c>
      <c r="S5487" t="s">
        <v>77</v>
      </c>
      <c r="T5487">
        <v>19902</v>
      </c>
      <c r="U5487">
        <v>22542</v>
      </c>
      <c r="V5487" t="s">
        <v>77</v>
      </c>
    </row>
    <row r="5488" spans="1:22">
      <c r="A5488" t="str">
        <f t="shared" si="968"/>
        <v>09/10/2025</v>
      </c>
      <c r="B5488" t="str">
        <f t="shared" si="969"/>
        <v>SAÍDA</v>
      </c>
      <c r="C5488" t="str">
        <f t="shared" si="965"/>
        <v>PIX</v>
      </c>
      <c r="D5488" t="str">
        <f>"22541"</f>
        <v>22541</v>
      </c>
      <c r="E5488" t="str">
        <f t="shared" si="966"/>
        <v>1</v>
      </c>
      <c r="F5488" t="str">
        <f t="shared" si="970"/>
        <v>COM</v>
      </c>
      <c r="G5488" t="str">
        <f>"MARIA ILZA PEREIRA DOS SANTOS (618)"</f>
        <v>MARIA ILZA PEREIRA DOS SANTOS (618)</v>
      </c>
      <c r="H5488" t="str">
        <f>"Serv.Prest. 22/09/2025 a 25/09/2025 - PIX: CPF - CHAVE: 003.157.195-67"</f>
        <v>Serv.Prest. 22/09/2025 a 25/09/2025 - PIX: CPF - CHAVE: 003.157.195-67</v>
      </c>
      <c r="I5488" t="str">
        <f t="shared" si="964"/>
        <v>09/10/2025</v>
      </c>
      <c r="J5488" t="str">
        <f t="shared" si="967"/>
        <v>26/09/2025</v>
      </c>
      <c r="K5488" t="str">
        <f>("09/10/2025")</f>
        <v>09/10/2025</v>
      </c>
      <c r="L5488">
        <v>634</v>
      </c>
      <c r="M5488">
        <v>634</v>
      </c>
      <c r="N5488">
        <v>109</v>
      </c>
      <c r="O5488" t="str">
        <f>"PAGAMENTO DE ENTREGADORES"</f>
        <v>PAGAMENTO DE ENTREGADORES</v>
      </c>
      <c r="P5488">
        <v>634</v>
      </c>
      <c r="S5488" t="str">
        <f>"BANCO C6 (149)"</f>
        <v>BANCO C6 (149)</v>
      </c>
      <c r="T5488">
        <v>19903</v>
      </c>
      <c r="U5488">
        <v>22541</v>
      </c>
      <c r="V5488" t="s">
        <v>77</v>
      </c>
    </row>
    <row r="5489" spans="1:22">
      <c r="A5489" t="str">
        <f t="shared" si="968"/>
        <v>09/10/2025</v>
      </c>
      <c r="B5489" t="str">
        <f t="shared" si="969"/>
        <v>SAÍDA</v>
      </c>
      <c r="C5489" t="str">
        <f t="shared" si="965"/>
        <v>PIX</v>
      </c>
      <c r="D5489" t="str">
        <f>"22541"</f>
        <v>22541</v>
      </c>
      <c r="E5489" t="str">
        <f t="shared" si="966"/>
        <v>1</v>
      </c>
      <c r="F5489" t="str">
        <f t="shared" si="970"/>
        <v>COM</v>
      </c>
      <c r="G5489" t="str">
        <f>"MARIA ILZA PEREIRA DOS SANTOS (618)"</f>
        <v>MARIA ILZA PEREIRA DOS SANTOS (618)</v>
      </c>
      <c r="H5489" t="s">
        <v>1460</v>
      </c>
      <c r="I5489" t="str">
        <f t="shared" si="964"/>
        <v>09/10/2025</v>
      </c>
      <c r="J5489" t="str">
        <f t="shared" si="967"/>
        <v>26/09/2025</v>
      </c>
      <c r="K5489">
        <v>45939</v>
      </c>
      <c r="N5489">
        <v>109</v>
      </c>
      <c r="O5489" t="s">
        <v>24</v>
      </c>
      <c r="Q5489">
        <v>634</v>
      </c>
      <c r="R5489" t="str">
        <f>"FARMÁCIA INDIANA LJ 65 (10030)"</f>
        <v>FARMÁCIA INDIANA LJ 65 (10030)</v>
      </c>
      <c r="S5489" t="s">
        <v>77</v>
      </c>
      <c r="T5489">
        <v>19903</v>
      </c>
      <c r="U5489">
        <v>22541</v>
      </c>
      <c r="V5489" t="s">
        <v>77</v>
      </c>
    </row>
    <row r="5490" spans="1:22">
      <c r="A5490" t="str">
        <f t="shared" si="968"/>
        <v>09/10/2025</v>
      </c>
      <c r="B5490" t="str">
        <f t="shared" si="969"/>
        <v>SAÍDA</v>
      </c>
      <c r="C5490" t="str">
        <f t="shared" si="965"/>
        <v>PIX</v>
      </c>
      <c r="D5490" t="str">
        <f>"22540"</f>
        <v>22540</v>
      </c>
      <c r="E5490" t="str">
        <f t="shared" si="966"/>
        <v>1</v>
      </c>
      <c r="F5490" t="str">
        <f t="shared" si="970"/>
        <v>COM</v>
      </c>
      <c r="G5490" t="str">
        <f>"LUCAS MOREIRA PEREIRA (153)"</f>
        <v>LUCAS MOREIRA PEREIRA (153)</v>
      </c>
      <c r="H5490" t="str">
        <f>"Serv.Prest. 22/09/2025 a 25/09/2025 - PIX: CELULAR - CHAVE: (73) 99967-3239"</f>
        <v>Serv.Prest. 22/09/2025 a 25/09/2025 - PIX: CELULAR - CHAVE: (73) 99967-3239</v>
      </c>
      <c r="I5490" t="str">
        <f t="shared" si="964"/>
        <v>09/10/2025</v>
      </c>
      <c r="J5490" t="str">
        <f t="shared" si="967"/>
        <v>26/09/2025</v>
      </c>
      <c r="K5490" t="str">
        <f>("09/10/2025")</f>
        <v>09/10/2025</v>
      </c>
      <c r="L5490">
        <v>955</v>
      </c>
      <c r="M5490">
        <v>955</v>
      </c>
      <c r="N5490">
        <v>109</v>
      </c>
      <c r="O5490" t="str">
        <f>"PAGAMENTO DE ENTREGADORES"</f>
        <v>PAGAMENTO DE ENTREGADORES</v>
      </c>
      <c r="P5490">
        <v>955</v>
      </c>
      <c r="S5490" t="str">
        <f>"BANCO C6 (149)"</f>
        <v>BANCO C6 (149)</v>
      </c>
      <c r="T5490">
        <v>19904</v>
      </c>
      <c r="U5490">
        <v>22540</v>
      </c>
      <c r="V5490" t="s">
        <v>77</v>
      </c>
    </row>
    <row r="5491" spans="1:22">
      <c r="A5491" t="str">
        <f t="shared" si="968"/>
        <v>09/10/2025</v>
      </c>
      <c r="B5491" t="str">
        <f t="shared" si="969"/>
        <v>SAÍDA</v>
      </c>
      <c r="C5491" t="str">
        <f t="shared" si="965"/>
        <v>PIX</v>
      </c>
      <c r="D5491" t="str">
        <f>"22540"</f>
        <v>22540</v>
      </c>
      <c r="E5491" t="str">
        <f t="shared" si="966"/>
        <v>1</v>
      </c>
      <c r="F5491" t="str">
        <f t="shared" si="970"/>
        <v>COM</v>
      </c>
      <c r="G5491" t="str">
        <f>"LUCAS MOREIRA PEREIRA (153)"</f>
        <v>LUCAS MOREIRA PEREIRA (153)</v>
      </c>
      <c r="H5491" t="s">
        <v>1452</v>
      </c>
      <c r="I5491" t="str">
        <f t="shared" si="964"/>
        <v>09/10/2025</v>
      </c>
      <c r="J5491" t="str">
        <f t="shared" si="967"/>
        <v>26/09/2025</v>
      </c>
      <c r="K5491">
        <v>45939</v>
      </c>
      <c r="N5491">
        <v>109</v>
      </c>
      <c r="O5491" t="s">
        <v>24</v>
      </c>
      <c r="Q5491">
        <v>759.13</v>
      </c>
      <c r="R5491" t="str">
        <f>"FARMÁCIA INDIANA LJ 48 (10018)"</f>
        <v>FARMÁCIA INDIANA LJ 48 (10018)</v>
      </c>
      <c r="S5491" t="s">
        <v>77</v>
      </c>
      <c r="T5491">
        <v>19904</v>
      </c>
      <c r="U5491">
        <v>22540</v>
      </c>
      <c r="V5491" t="s">
        <v>77</v>
      </c>
    </row>
    <row r="5492" spans="1:22">
      <c r="A5492" t="str">
        <f t="shared" si="968"/>
        <v>09/10/2025</v>
      </c>
      <c r="B5492" t="str">
        <f t="shared" si="969"/>
        <v>SAÍDA</v>
      </c>
      <c r="C5492" t="str">
        <f t="shared" si="965"/>
        <v>PIX</v>
      </c>
      <c r="D5492" t="str">
        <f>"22540"</f>
        <v>22540</v>
      </c>
      <c r="E5492" t="str">
        <f t="shared" si="966"/>
        <v>1</v>
      </c>
      <c r="F5492" t="str">
        <f t="shared" si="970"/>
        <v>COM</v>
      </c>
      <c r="G5492" t="str">
        <f>"LUCAS MOREIRA PEREIRA (153)"</f>
        <v>LUCAS MOREIRA PEREIRA (153)</v>
      </c>
      <c r="H5492" t="s">
        <v>1452</v>
      </c>
      <c r="I5492" t="str">
        <f t="shared" ref="I5492:I5555" si="971">("09/10/2025")</f>
        <v>09/10/2025</v>
      </c>
      <c r="J5492" t="str">
        <f t="shared" si="967"/>
        <v>26/09/2025</v>
      </c>
      <c r="K5492">
        <v>45939</v>
      </c>
      <c r="N5492">
        <v>109</v>
      </c>
      <c r="O5492" t="s">
        <v>24</v>
      </c>
      <c r="Q5492">
        <v>195.87</v>
      </c>
      <c r="R5492" t="str">
        <f>"FARMÁCIA INDIANA LJ 169 (10073)"</f>
        <v>FARMÁCIA INDIANA LJ 169 (10073)</v>
      </c>
      <c r="S5492" t="s">
        <v>77</v>
      </c>
      <c r="T5492">
        <v>19904</v>
      </c>
      <c r="U5492">
        <v>22540</v>
      </c>
      <c r="V5492" t="s">
        <v>77</v>
      </c>
    </row>
    <row r="5493" spans="1:22">
      <c r="A5493" t="str">
        <f t="shared" si="968"/>
        <v>09/10/2025</v>
      </c>
      <c r="B5493" t="str">
        <f t="shared" si="969"/>
        <v>SAÍDA</v>
      </c>
      <c r="C5493" t="str">
        <f t="shared" si="965"/>
        <v>PIX</v>
      </c>
      <c r="D5493" t="str">
        <f>"22539"</f>
        <v>22539</v>
      </c>
      <c r="E5493" t="str">
        <f t="shared" si="966"/>
        <v>1</v>
      </c>
      <c r="F5493" t="str">
        <f t="shared" si="970"/>
        <v>COM</v>
      </c>
      <c r="G5493" t="str">
        <f>"LEONARDO MERCÊS CAJAZEIRAS (235)"</f>
        <v>LEONARDO MERCÊS CAJAZEIRAS (235)</v>
      </c>
      <c r="H5493" t="str">
        <f>"Serv.Prest. 22/09/2025 a 25/09/2025 - PIX: CELULAR - CHAVE: (73) 99803-0715"</f>
        <v>Serv.Prest. 22/09/2025 a 25/09/2025 - PIX: CELULAR - CHAVE: (73) 99803-0715</v>
      </c>
      <c r="I5493" t="str">
        <f t="shared" si="971"/>
        <v>09/10/2025</v>
      </c>
      <c r="J5493" t="str">
        <f t="shared" si="967"/>
        <v>26/09/2025</v>
      </c>
      <c r="K5493" t="str">
        <f>("09/10/2025")</f>
        <v>09/10/2025</v>
      </c>
      <c r="L5493">
        <v>580</v>
      </c>
      <c r="M5493">
        <v>580</v>
      </c>
      <c r="N5493">
        <v>109</v>
      </c>
      <c r="O5493" t="str">
        <f>"PAGAMENTO DE ENTREGADORES"</f>
        <v>PAGAMENTO DE ENTREGADORES</v>
      </c>
      <c r="P5493">
        <v>580</v>
      </c>
      <c r="S5493" t="str">
        <f>"BANCO C6 (149)"</f>
        <v>BANCO C6 (149)</v>
      </c>
      <c r="T5493">
        <v>19905</v>
      </c>
      <c r="U5493">
        <v>22539</v>
      </c>
      <c r="V5493" t="s">
        <v>77</v>
      </c>
    </row>
    <row r="5494" spans="1:22">
      <c r="A5494" t="str">
        <f t="shared" si="968"/>
        <v>09/10/2025</v>
      </c>
      <c r="B5494" t="str">
        <f t="shared" si="969"/>
        <v>SAÍDA</v>
      </c>
      <c r="C5494" t="str">
        <f t="shared" ref="C5494:C5557" si="972">"PIX"</f>
        <v>PIX</v>
      </c>
      <c r="D5494" t="str">
        <f>"22539"</f>
        <v>22539</v>
      </c>
      <c r="E5494" t="str">
        <f t="shared" ref="E5494:E5557" si="973">"1"</f>
        <v>1</v>
      </c>
      <c r="F5494" t="str">
        <f t="shared" si="970"/>
        <v>COM</v>
      </c>
      <c r="G5494" t="str">
        <f>"LEONARDO MERCÊS CAJAZEIRAS (235)"</f>
        <v>LEONARDO MERCÊS CAJAZEIRAS (235)</v>
      </c>
      <c r="H5494" t="s">
        <v>1434</v>
      </c>
      <c r="I5494" t="str">
        <f t="shared" si="971"/>
        <v>09/10/2025</v>
      </c>
      <c r="J5494" t="str">
        <f t="shared" ref="J5494:J5557" si="974">("26/09/2025")</f>
        <v>26/09/2025</v>
      </c>
      <c r="K5494">
        <v>45939</v>
      </c>
      <c r="N5494">
        <v>109</v>
      </c>
      <c r="O5494" t="s">
        <v>24</v>
      </c>
      <c r="Q5494">
        <v>580</v>
      </c>
      <c r="R5494" t="str">
        <f>"FARMÁCIA INDIANA LJ 35 (10015)"</f>
        <v>FARMÁCIA INDIANA LJ 35 (10015)</v>
      </c>
      <c r="S5494" t="s">
        <v>77</v>
      </c>
      <c r="T5494">
        <v>19905</v>
      </c>
      <c r="U5494">
        <v>22539</v>
      </c>
      <c r="V5494" t="s">
        <v>77</v>
      </c>
    </row>
    <row r="5495" spans="1:22">
      <c r="A5495" t="str">
        <f t="shared" si="968"/>
        <v>09/10/2025</v>
      </c>
      <c r="B5495" t="str">
        <f t="shared" si="969"/>
        <v>SAÍDA</v>
      </c>
      <c r="C5495" t="str">
        <f t="shared" si="972"/>
        <v>PIX</v>
      </c>
      <c r="D5495" t="str">
        <f>"22538"</f>
        <v>22538</v>
      </c>
      <c r="E5495" t="str">
        <f t="shared" si="973"/>
        <v>1</v>
      </c>
      <c r="F5495" t="str">
        <f t="shared" si="970"/>
        <v>COM</v>
      </c>
      <c r="G5495" t="str">
        <f>"KHENNEDY DAVY DOS SANTOS SILVA (692)"</f>
        <v>KHENNEDY DAVY DOS SANTOS SILVA (692)</v>
      </c>
      <c r="H5495" t="str">
        <f>"Serv.Prest. 22/09/2025 a 25/09/2025 - PIX: CPF - CHAVE: 094.700.685-05"</f>
        <v>Serv.Prest. 22/09/2025 a 25/09/2025 - PIX: CPF - CHAVE: 094.700.685-05</v>
      </c>
      <c r="I5495" t="str">
        <f t="shared" si="971"/>
        <v>09/10/2025</v>
      </c>
      <c r="J5495" t="str">
        <f t="shared" si="974"/>
        <v>26/09/2025</v>
      </c>
      <c r="K5495" t="str">
        <f>("09/10/2025")</f>
        <v>09/10/2025</v>
      </c>
      <c r="L5495">
        <v>634</v>
      </c>
      <c r="M5495">
        <v>634</v>
      </c>
      <c r="N5495">
        <v>109</v>
      </c>
      <c r="O5495" t="str">
        <f>"PAGAMENTO DE ENTREGADORES"</f>
        <v>PAGAMENTO DE ENTREGADORES</v>
      </c>
      <c r="P5495">
        <v>634</v>
      </c>
      <c r="S5495" t="str">
        <f>"BANCO C6 (149)"</f>
        <v>BANCO C6 (149)</v>
      </c>
      <c r="T5495">
        <v>19906</v>
      </c>
      <c r="U5495">
        <v>22538</v>
      </c>
      <c r="V5495" t="s">
        <v>77</v>
      </c>
    </row>
    <row r="5496" spans="1:22">
      <c r="A5496" t="str">
        <f t="shared" si="968"/>
        <v>09/10/2025</v>
      </c>
      <c r="B5496" t="str">
        <f t="shared" si="969"/>
        <v>SAÍDA</v>
      </c>
      <c r="C5496" t="str">
        <f t="shared" si="972"/>
        <v>PIX</v>
      </c>
      <c r="D5496" t="str">
        <f>"22538"</f>
        <v>22538</v>
      </c>
      <c r="E5496" t="str">
        <f t="shared" si="973"/>
        <v>1</v>
      </c>
      <c r="F5496" t="str">
        <f t="shared" si="970"/>
        <v>COM</v>
      </c>
      <c r="G5496" t="str">
        <f>"KHENNEDY DAVY DOS SANTOS SILVA (692)"</f>
        <v>KHENNEDY DAVY DOS SANTOS SILVA (692)</v>
      </c>
      <c r="H5496" t="s">
        <v>1433</v>
      </c>
      <c r="I5496" t="str">
        <f t="shared" si="971"/>
        <v>09/10/2025</v>
      </c>
      <c r="J5496" t="str">
        <f t="shared" si="974"/>
        <v>26/09/2025</v>
      </c>
      <c r="K5496">
        <v>45939</v>
      </c>
      <c r="N5496">
        <v>109</v>
      </c>
      <c r="O5496" t="s">
        <v>24</v>
      </c>
      <c r="Q5496">
        <v>634</v>
      </c>
      <c r="R5496" t="str">
        <f>"FARMÁCIA INDIANA LJ 65 (10030)"</f>
        <v>FARMÁCIA INDIANA LJ 65 (10030)</v>
      </c>
      <c r="S5496" t="s">
        <v>77</v>
      </c>
      <c r="T5496">
        <v>19906</v>
      </c>
      <c r="U5496">
        <v>22538</v>
      </c>
      <c r="V5496" t="s">
        <v>77</v>
      </c>
    </row>
    <row r="5497" spans="1:22">
      <c r="A5497" t="str">
        <f t="shared" si="968"/>
        <v>09/10/2025</v>
      </c>
      <c r="B5497" t="str">
        <f t="shared" si="969"/>
        <v>SAÍDA</v>
      </c>
      <c r="C5497" t="str">
        <f t="shared" si="972"/>
        <v>PIX</v>
      </c>
      <c r="D5497" t="str">
        <f>"22537"</f>
        <v>22537</v>
      </c>
      <c r="E5497" t="str">
        <f t="shared" si="973"/>
        <v>1</v>
      </c>
      <c r="F5497" t="str">
        <f t="shared" si="970"/>
        <v>COM</v>
      </c>
      <c r="G5497" t="str">
        <f>"JUNIO SOUZA SILVA (610)"</f>
        <v>JUNIO SOUZA SILVA (610)</v>
      </c>
      <c r="H5497" t="str">
        <f>"Serv.Prest. 22/09/2025 a 25/09/2025 - PIX: CELULAR - CHAVE: (73) 98105-2187"</f>
        <v>Serv.Prest. 22/09/2025 a 25/09/2025 - PIX: CELULAR - CHAVE: (73) 98105-2187</v>
      </c>
      <c r="I5497" t="str">
        <f t="shared" si="971"/>
        <v>09/10/2025</v>
      </c>
      <c r="J5497" t="str">
        <f t="shared" si="974"/>
        <v>26/09/2025</v>
      </c>
      <c r="K5497" t="str">
        <f>("09/10/2025")</f>
        <v>09/10/2025</v>
      </c>
      <c r="L5497">
        <v>580</v>
      </c>
      <c r="M5497">
        <v>580</v>
      </c>
      <c r="N5497">
        <v>109</v>
      </c>
      <c r="O5497" t="str">
        <f>"PAGAMENTO DE ENTREGADORES"</f>
        <v>PAGAMENTO DE ENTREGADORES</v>
      </c>
      <c r="P5497">
        <v>580</v>
      </c>
      <c r="S5497" t="str">
        <f>"BANCO C6 (149)"</f>
        <v>BANCO C6 (149)</v>
      </c>
      <c r="T5497">
        <v>19907</v>
      </c>
      <c r="U5497">
        <v>22537</v>
      </c>
      <c r="V5497" t="s">
        <v>77</v>
      </c>
    </row>
    <row r="5498" spans="1:22">
      <c r="A5498" t="str">
        <f t="shared" si="968"/>
        <v>09/10/2025</v>
      </c>
      <c r="B5498" t="str">
        <f t="shared" si="969"/>
        <v>SAÍDA</v>
      </c>
      <c r="C5498" t="str">
        <f t="shared" si="972"/>
        <v>PIX</v>
      </c>
      <c r="D5498" t="str">
        <f>"22537"</f>
        <v>22537</v>
      </c>
      <c r="E5498" t="str">
        <f t="shared" si="973"/>
        <v>1</v>
      </c>
      <c r="F5498" t="str">
        <f t="shared" si="970"/>
        <v>COM</v>
      </c>
      <c r="G5498" t="str">
        <f>"JUNIO SOUZA SILVA (610)"</f>
        <v>JUNIO SOUZA SILVA (610)</v>
      </c>
      <c r="H5498" t="s">
        <v>1430</v>
      </c>
      <c r="I5498" t="str">
        <f t="shared" si="971"/>
        <v>09/10/2025</v>
      </c>
      <c r="J5498" t="str">
        <f t="shared" si="974"/>
        <v>26/09/2025</v>
      </c>
      <c r="K5498">
        <v>45939</v>
      </c>
      <c r="N5498">
        <v>109</v>
      </c>
      <c r="O5498" t="s">
        <v>24</v>
      </c>
      <c r="Q5498">
        <v>580</v>
      </c>
      <c r="R5498" t="str">
        <f>"FARMÁCIA INDIANA LJ 77 (10034)"</f>
        <v>FARMÁCIA INDIANA LJ 77 (10034)</v>
      </c>
      <c r="S5498" t="s">
        <v>77</v>
      </c>
      <c r="T5498">
        <v>19907</v>
      </c>
      <c r="U5498">
        <v>22537</v>
      </c>
      <c r="V5498" t="s">
        <v>77</v>
      </c>
    </row>
    <row r="5499" spans="1:22">
      <c r="A5499" t="str">
        <f t="shared" si="968"/>
        <v>09/10/2025</v>
      </c>
      <c r="B5499" t="str">
        <f t="shared" si="969"/>
        <v>SAÍDA</v>
      </c>
      <c r="C5499" t="str">
        <f t="shared" si="972"/>
        <v>PIX</v>
      </c>
      <c r="D5499" t="str">
        <f>"22536"</f>
        <v>22536</v>
      </c>
      <c r="E5499" t="str">
        <f t="shared" si="973"/>
        <v>1</v>
      </c>
      <c r="F5499" t="str">
        <f t="shared" si="970"/>
        <v>COM</v>
      </c>
      <c r="G5499" t="str">
        <f>"JOSE MARIO MENEZES DA CRUZ (941)"</f>
        <v>JOSE MARIO MENEZES DA CRUZ (941)</v>
      </c>
      <c r="H5499" t="str">
        <f>"Serv.Prest. 22/09/2025 a 25/09/2025 - PIX: CPF - CHAVE: 009.476.175-23"</f>
        <v>Serv.Prest. 22/09/2025 a 25/09/2025 - PIX: CPF - CHAVE: 009.476.175-23</v>
      </c>
      <c r="I5499" t="str">
        <f t="shared" si="971"/>
        <v>09/10/2025</v>
      </c>
      <c r="J5499" t="str">
        <f t="shared" si="974"/>
        <v>26/09/2025</v>
      </c>
      <c r="K5499" t="str">
        <f>("09/10/2025")</f>
        <v>09/10/2025</v>
      </c>
      <c r="L5499">
        <v>870</v>
      </c>
      <c r="M5499">
        <v>870</v>
      </c>
      <c r="N5499">
        <v>109</v>
      </c>
      <c r="O5499" t="str">
        <f>"PAGAMENTO DE ENTREGADORES"</f>
        <v>PAGAMENTO DE ENTREGADORES</v>
      </c>
      <c r="P5499">
        <v>870</v>
      </c>
      <c r="S5499" t="str">
        <f>"BANCO C6 (149)"</f>
        <v>BANCO C6 (149)</v>
      </c>
      <c r="T5499">
        <v>19908</v>
      </c>
      <c r="U5499">
        <v>22536</v>
      </c>
      <c r="V5499" t="s">
        <v>77</v>
      </c>
    </row>
    <row r="5500" spans="1:22">
      <c r="A5500" t="str">
        <f t="shared" si="968"/>
        <v>09/10/2025</v>
      </c>
      <c r="B5500" t="str">
        <f t="shared" si="969"/>
        <v>SAÍDA</v>
      </c>
      <c r="C5500" t="str">
        <f t="shared" si="972"/>
        <v>PIX</v>
      </c>
      <c r="D5500" t="str">
        <f>"22536"</f>
        <v>22536</v>
      </c>
      <c r="E5500" t="str">
        <f t="shared" si="973"/>
        <v>1</v>
      </c>
      <c r="F5500" t="str">
        <f t="shared" si="970"/>
        <v>COM</v>
      </c>
      <c r="G5500" t="str">
        <f>"JOSE MARIO MENEZES DA CRUZ (941)"</f>
        <v>JOSE MARIO MENEZES DA CRUZ (941)</v>
      </c>
      <c r="H5500" t="s">
        <v>1545</v>
      </c>
      <c r="I5500" t="str">
        <f t="shared" si="971"/>
        <v>09/10/2025</v>
      </c>
      <c r="J5500" t="str">
        <f t="shared" si="974"/>
        <v>26/09/2025</v>
      </c>
      <c r="K5500">
        <v>45939</v>
      </c>
      <c r="N5500">
        <v>109</v>
      </c>
      <c r="O5500" t="s">
        <v>24</v>
      </c>
      <c r="Q5500">
        <v>870</v>
      </c>
      <c r="R5500" t="str">
        <f>"FARMÁCIA INDIANA LJ 33 (10187)"</f>
        <v>FARMÁCIA INDIANA LJ 33 (10187)</v>
      </c>
      <c r="S5500" t="s">
        <v>77</v>
      </c>
      <c r="T5500">
        <v>19908</v>
      </c>
      <c r="U5500">
        <v>22536</v>
      </c>
      <c r="V5500" t="s">
        <v>77</v>
      </c>
    </row>
    <row r="5501" spans="1:22">
      <c r="A5501" t="str">
        <f t="shared" si="968"/>
        <v>09/10/2025</v>
      </c>
      <c r="B5501" t="str">
        <f t="shared" si="969"/>
        <v>SAÍDA</v>
      </c>
      <c r="C5501" t="str">
        <f t="shared" si="972"/>
        <v>PIX</v>
      </c>
      <c r="D5501" t="str">
        <f>"22593"</f>
        <v>22593</v>
      </c>
      <c r="E5501" t="str">
        <f t="shared" si="973"/>
        <v>1</v>
      </c>
      <c r="F5501" t="str">
        <f t="shared" si="970"/>
        <v>COM</v>
      </c>
      <c r="G5501" t="str">
        <f>"JUNIO DE ANDRADE ARRUDA (145)"</f>
        <v>JUNIO DE ANDRADE ARRUDA (145)</v>
      </c>
      <c r="H5501" t="str">
        <f>"Serv.Prest. 22/09/2025 a 25/09/2025 - PIX: CPF - CHAVE: 077.488.126-75"</f>
        <v>Serv.Prest. 22/09/2025 a 25/09/2025 - PIX: CPF - CHAVE: 077.488.126-75</v>
      </c>
      <c r="I5501" t="str">
        <f t="shared" si="971"/>
        <v>09/10/2025</v>
      </c>
      <c r="J5501" t="str">
        <f t="shared" si="974"/>
        <v>26/09/2025</v>
      </c>
      <c r="K5501" t="str">
        <f>("09/10/2025")</f>
        <v>09/10/2025</v>
      </c>
      <c r="L5501">
        <v>786</v>
      </c>
      <c r="M5501">
        <v>786</v>
      </c>
      <c r="N5501">
        <v>109</v>
      </c>
      <c r="O5501" t="str">
        <f>"PAGAMENTO DE ENTREGADORES"</f>
        <v>PAGAMENTO DE ENTREGADORES</v>
      </c>
      <c r="P5501">
        <v>786</v>
      </c>
      <c r="S5501" t="str">
        <f>"BANCO C6 (149)"</f>
        <v>BANCO C6 (149)</v>
      </c>
      <c r="T5501">
        <v>19909</v>
      </c>
      <c r="U5501">
        <v>22593</v>
      </c>
      <c r="V5501" t="s">
        <v>77</v>
      </c>
    </row>
    <row r="5502" spans="1:22">
      <c r="A5502" t="str">
        <f t="shared" si="968"/>
        <v>09/10/2025</v>
      </c>
      <c r="B5502" t="str">
        <f t="shared" si="969"/>
        <v>SAÍDA</v>
      </c>
      <c r="C5502" t="str">
        <f t="shared" si="972"/>
        <v>PIX</v>
      </c>
      <c r="D5502" t="str">
        <f>"22593"</f>
        <v>22593</v>
      </c>
      <c r="E5502" t="str">
        <f t="shared" si="973"/>
        <v>1</v>
      </c>
      <c r="F5502" t="str">
        <f t="shared" si="970"/>
        <v>COM</v>
      </c>
      <c r="G5502" t="str">
        <f>"JUNIO DE ANDRADE ARRUDA (145)"</f>
        <v>JUNIO DE ANDRADE ARRUDA (145)</v>
      </c>
      <c r="H5502" t="s">
        <v>1546</v>
      </c>
      <c r="I5502" t="str">
        <f t="shared" si="971"/>
        <v>09/10/2025</v>
      </c>
      <c r="J5502" t="str">
        <f t="shared" si="974"/>
        <v>26/09/2025</v>
      </c>
      <c r="K5502">
        <v>45939</v>
      </c>
      <c r="N5502">
        <v>109</v>
      </c>
      <c r="O5502" t="s">
        <v>24</v>
      </c>
      <c r="Q5502">
        <v>786</v>
      </c>
      <c r="R5502" t="str">
        <f>"FARMÁCIA INDIANA LJ 19 (10012)"</f>
        <v>FARMÁCIA INDIANA LJ 19 (10012)</v>
      </c>
      <c r="S5502" t="s">
        <v>77</v>
      </c>
      <c r="T5502">
        <v>19909</v>
      </c>
      <c r="U5502">
        <v>22593</v>
      </c>
      <c r="V5502" t="s">
        <v>77</v>
      </c>
    </row>
    <row r="5503" spans="1:22">
      <c r="A5503" t="str">
        <f t="shared" si="968"/>
        <v>09/10/2025</v>
      </c>
      <c r="B5503" t="str">
        <f t="shared" si="969"/>
        <v>SAÍDA</v>
      </c>
      <c r="C5503" t="str">
        <f t="shared" si="972"/>
        <v>PIX</v>
      </c>
      <c r="D5503" t="str">
        <f>"22594"</f>
        <v>22594</v>
      </c>
      <c r="E5503" t="str">
        <f t="shared" si="973"/>
        <v>1</v>
      </c>
      <c r="F5503" t="str">
        <f t="shared" si="970"/>
        <v>COM</v>
      </c>
      <c r="G5503" t="str">
        <f>"JUNIOR DOS SANTOS MACHADO (240)"</f>
        <v>JUNIOR DOS SANTOS MACHADO (240)</v>
      </c>
      <c r="H5503" t="str">
        <f>"Serv.Prest. 22/09/2025 a 25/09/2025 - PIX: CPF - CHAVE: 074.520.456-29"</f>
        <v>Serv.Prest. 22/09/2025 a 25/09/2025 - PIX: CPF - CHAVE: 074.520.456-29</v>
      </c>
      <c r="I5503" t="str">
        <f t="shared" si="971"/>
        <v>09/10/2025</v>
      </c>
      <c r="J5503" t="str">
        <f t="shared" si="974"/>
        <v>26/09/2025</v>
      </c>
      <c r="K5503" t="str">
        <f>("09/10/2025")</f>
        <v>09/10/2025</v>
      </c>
      <c r="L5503">
        <v>742.5</v>
      </c>
      <c r="M5503">
        <v>602.5</v>
      </c>
      <c r="N5503">
        <v>109</v>
      </c>
      <c r="O5503" t="str">
        <f>"PAGAMENTO DE ENTREGADORES"</f>
        <v>PAGAMENTO DE ENTREGADORES</v>
      </c>
      <c r="P5503">
        <v>602.5</v>
      </c>
      <c r="S5503" t="str">
        <f>"BANCO C6 (149)"</f>
        <v>BANCO C6 (149)</v>
      </c>
      <c r="T5503">
        <v>19910</v>
      </c>
      <c r="U5503">
        <v>22594</v>
      </c>
      <c r="V5503" t="s">
        <v>77</v>
      </c>
    </row>
    <row r="5504" spans="1:22">
      <c r="A5504" t="str">
        <f t="shared" si="968"/>
        <v>09/10/2025</v>
      </c>
      <c r="B5504" t="str">
        <f t="shared" si="969"/>
        <v>SAÍDA</v>
      </c>
      <c r="C5504" t="str">
        <f t="shared" si="972"/>
        <v>PIX</v>
      </c>
      <c r="D5504" t="str">
        <f>"22594"</f>
        <v>22594</v>
      </c>
      <c r="E5504" t="str">
        <f t="shared" si="973"/>
        <v>1</v>
      </c>
      <c r="F5504" t="str">
        <f t="shared" si="970"/>
        <v>COM</v>
      </c>
      <c r="G5504" t="str">
        <f>"JUNIOR DOS SANTOS MACHADO (240)"</f>
        <v>JUNIOR DOS SANTOS MACHADO (240)</v>
      </c>
      <c r="H5504" t="s">
        <v>1547</v>
      </c>
      <c r="I5504" t="str">
        <f t="shared" si="971"/>
        <v>09/10/2025</v>
      </c>
      <c r="J5504" t="str">
        <f t="shared" si="974"/>
        <v>26/09/2025</v>
      </c>
      <c r="K5504">
        <v>45939</v>
      </c>
      <c r="N5504">
        <v>109</v>
      </c>
      <c r="O5504" t="s">
        <v>24</v>
      </c>
      <c r="Q5504">
        <v>602.5</v>
      </c>
      <c r="R5504" t="str">
        <f>"FARMÁCIA INDIANA LJ 62 (10028)"</f>
        <v>FARMÁCIA INDIANA LJ 62 (10028)</v>
      </c>
      <c r="S5504" t="s">
        <v>77</v>
      </c>
      <c r="T5504">
        <v>19910</v>
      </c>
      <c r="U5504">
        <v>22594</v>
      </c>
      <c r="V5504" t="s">
        <v>77</v>
      </c>
    </row>
    <row r="5505" spans="1:22">
      <c r="A5505" t="str">
        <f t="shared" si="968"/>
        <v>09/10/2025</v>
      </c>
      <c r="B5505" t="str">
        <f t="shared" si="969"/>
        <v>SAÍDA</v>
      </c>
      <c r="C5505" t="str">
        <f t="shared" si="972"/>
        <v>PIX</v>
      </c>
      <c r="D5505" t="str">
        <f>"22596"</f>
        <v>22596</v>
      </c>
      <c r="E5505" t="str">
        <f t="shared" si="973"/>
        <v>1</v>
      </c>
      <c r="F5505" t="str">
        <f t="shared" si="970"/>
        <v>COM</v>
      </c>
      <c r="G5505" t="str">
        <f>"KALESSON BARROSO DIAS (216)"</f>
        <v>KALESSON BARROSO DIAS (216)</v>
      </c>
      <c r="H5505" t="str">
        <f>"Serv.Prest. 22/09/2025 a 25/09/2025 - PIX: CELULAR - CHAVE: (33) 99106-9330"</f>
        <v>Serv.Prest. 22/09/2025 a 25/09/2025 - PIX: CELULAR - CHAVE: (33) 99106-9330</v>
      </c>
      <c r="I5505" t="str">
        <f t="shared" si="971"/>
        <v>09/10/2025</v>
      </c>
      <c r="J5505" t="str">
        <f t="shared" si="974"/>
        <v>26/09/2025</v>
      </c>
      <c r="K5505" t="str">
        <f>("09/10/2025")</f>
        <v>09/10/2025</v>
      </c>
      <c r="L5505">
        <v>720</v>
      </c>
      <c r="M5505">
        <v>720</v>
      </c>
      <c r="N5505">
        <v>109</v>
      </c>
      <c r="O5505" t="str">
        <f>"PAGAMENTO DE ENTREGADORES"</f>
        <v>PAGAMENTO DE ENTREGADORES</v>
      </c>
      <c r="P5505">
        <v>720</v>
      </c>
      <c r="S5505" t="str">
        <f>"BANCO C6 (149)"</f>
        <v>BANCO C6 (149)</v>
      </c>
      <c r="T5505">
        <v>19911</v>
      </c>
      <c r="U5505">
        <v>22596</v>
      </c>
      <c r="V5505" t="s">
        <v>77</v>
      </c>
    </row>
    <row r="5506" spans="1:22">
      <c r="A5506" t="str">
        <f t="shared" si="968"/>
        <v>09/10/2025</v>
      </c>
      <c r="B5506" t="str">
        <f t="shared" si="969"/>
        <v>SAÍDA</v>
      </c>
      <c r="C5506" t="str">
        <f t="shared" si="972"/>
        <v>PIX</v>
      </c>
      <c r="D5506" t="str">
        <f>"22596"</f>
        <v>22596</v>
      </c>
      <c r="E5506" t="str">
        <f t="shared" si="973"/>
        <v>1</v>
      </c>
      <c r="F5506" t="str">
        <f t="shared" si="970"/>
        <v>COM</v>
      </c>
      <c r="G5506" t="str">
        <f>"KALESSON BARROSO DIAS (216)"</f>
        <v>KALESSON BARROSO DIAS (216)</v>
      </c>
      <c r="H5506" t="s">
        <v>1548</v>
      </c>
      <c r="I5506" t="str">
        <f t="shared" si="971"/>
        <v>09/10/2025</v>
      </c>
      <c r="J5506" t="str">
        <f t="shared" si="974"/>
        <v>26/09/2025</v>
      </c>
      <c r="K5506">
        <v>45939</v>
      </c>
      <c r="N5506">
        <v>109</v>
      </c>
      <c r="O5506" t="s">
        <v>24</v>
      </c>
      <c r="Q5506">
        <v>720</v>
      </c>
      <c r="R5506" t="str">
        <f>"FARMÁCIA INDIANA LJ 06 (10006)"</f>
        <v>FARMÁCIA INDIANA LJ 06 (10006)</v>
      </c>
      <c r="S5506" t="s">
        <v>77</v>
      </c>
      <c r="T5506">
        <v>19911</v>
      </c>
      <c r="U5506">
        <v>22596</v>
      </c>
      <c r="V5506" t="s">
        <v>77</v>
      </c>
    </row>
    <row r="5507" spans="1:22">
      <c r="A5507" t="str">
        <f t="shared" si="968"/>
        <v>09/10/2025</v>
      </c>
      <c r="B5507" t="str">
        <f t="shared" si="969"/>
        <v>SAÍDA</v>
      </c>
      <c r="C5507" t="str">
        <f t="shared" si="972"/>
        <v>PIX</v>
      </c>
      <c r="D5507" t="str">
        <f>"22597"</f>
        <v>22597</v>
      </c>
      <c r="E5507" t="str">
        <f t="shared" si="973"/>
        <v>1</v>
      </c>
      <c r="F5507" t="str">
        <f t="shared" si="970"/>
        <v>COM</v>
      </c>
      <c r="G5507" t="str">
        <f>"KELVIN NUBIO DE SOUZA TOLEDO (735)"</f>
        <v>KELVIN NUBIO DE SOUZA TOLEDO (735)</v>
      </c>
      <c r="H5507" t="str">
        <f>"Serv.Prest. 22/09/2025 a 25/09/2025 - PIX: CHAVE ALEATÓRIA - CHAVE: c489bee1-360b-4fa9-86c4-fbb0e9844cb8"</f>
        <v>Serv.Prest. 22/09/2025 a 25/09/2025 - PIX: CHAVE ALEATÓRIA - CHAVE: c489bee1-360b-4fa9-86c4-fbb0e9844cb8</v>
      </c>
      <c r="I5507" t="str">
        <f t="shared" si="971"/>
        <v>09/10/2025</v>
      </c>
      <c r="J5507" t="str">
        <f t="shared" si="974"/>
        <v>26/09/2025</v>
      </c>
      <c r="K5507" t="str">
        <f>("09/10/2025")</f>
        <v>09/10/2025</v>
      </c>
      <c r="L5507">
        <v>160</v>
      </c>
      <c r="M5507">
        <v>160</v>
      </c>
      <c r="N5507">
        <v>109</v>
      </c>
      <c r="O5507" t="str">
        <f>"PAGAMENTO DE ENTREGADORES"</f>
        <v>PAGAMENTO DE ENTREGADORES</v>
      </c>
      <c r="P5507">
        <v>160</v>
      </c>
      <c r="S5507" t="str">
        <f>"BANCO C6 (149)"</f>
        <v>BANCO C6 (149)</v>
      </c>
      <c r="T5507">
        <v>19912</v>
      </c>
      <c r="U5507">
        <v>22597</v>
      </c>
      <c r="V5507" t="s">
        <v>77</v>
      </c>
    </row>
    <row r="5508" spans="1:22">
      <c r="A5508" t="str">
        <f t="shared" ref="A5508:A5571" si="975">("09/10/2025")</f>
        <v>09/10/2025</v>
      </c>
      <c r="B5508" t="str">
        <f t="shared" si="969"/>
        <v>SAÍDA</v>
      </c>
      <c r="C5508" t="str">
        <f t="shared" si="972"/>
        <v>PIX</v>
      </c>
      <c r="D5508" t="str">
        <f>"22597"</f>
        <v>22597</v>
      </c>
      <c r="E5508" t="str">
        <f t="shared" si="973"/>
        <v>1</v>
      </c>
      <c r="F5508" t="str">
        <f t="shared" si="970"/>
        <v>COM</v>
      </c>
      <c r="G5508" t="str">
        <f>"KELVIN NUBIO DE SOUZA TOLEDO (735)"</f>
        <v>KELVIN NUBIO DE SOUZA TOLEDO (735)</v>
      </c>
      <c r="H5508" t="s">
        <v>1432</v>
      </c>
      <c r="I5508" t="str">
        <f t="shared" si="971"/>
        <v>09/10/2025</v>
      </c>
      <c r="J5508" t="str">
        <f t="shared" si="974"/>
        <v>26/09/2025</v>
      </c>
      <c r="K5508">
        <v>45939</v>
      </c>
      <c r="N5508">
        <v>109</v>
      </c>
      <c r="O5508" t="s">
        <v>24</v>
      </c>
      <c r="Q5508">
        <v>160</v>
      </c>
      <c r="R5508" t="str">
        <f>"FARMÁCIA INDIANA LJ 152 (10069)"</f>
        <v>FARMÁCIA INDIANA LJ 152 (10069)</v>
      </c>
      <c r="S5508" t="s">
        <v>77</v>
      </c>
      <c r="T5508">
        <v>19912</v>
      </c>
      <c r="U5508">
        <v>22597</v>
      </c>
      <c r="V5508" t="s">
        <v>77</v>
      </c>
    </row>
    <row r="5509" spans="1:22">
      <c r="A5509" t="str">
        <f t="shared" si="975"/>
        <v>09/10/2025</v>
      </c>
      <c r="B5509" t="str">
        <f t="shared" si="969"/>
        <v>SAÍDA</v>
      </c>
      <c r="C5509" t="str">
        <f t="shared" si="972"/>
        <v>PIX</v>
      </c>
      <c r="D5509" t="str">
        <f>"22599"</f>
        <v>22599</v>
      </c>
      <c r="E5509" t="str">
        <f t="shared" si="973"/>
        <v>1</v>
      </c>
      <c r="F5509" t="str">
        <f t="shared" si="970"/>
        <v>COM</v>
      </c>
      <c r="G5509" t="str">
        <f>"LEONARDO VIANA FIGUEIREDO (913)"</f>
        <v>LEONARDO VIANA FIGUEIREDO (913)</v>
      </c>
      <c r="H5509" t="str">
        <f>"Serv.Prest. 22/09/2025 a 25/09/2025 - PIX: CELULAR - CHAVE: (33) 98463-0821"</f>
        <v>Serv.Prest. 22/09/2025 a 25/09/2025 - PIX: CELULAR - CHAVE: (33) 98463-0821</v>
      </c>
      <c r="I5509" t="str">
        <f t="shared" si="971"/>
        <v>09/10/2025</v>
      </c>
      <c r="J5509" t="str">
        <f t="shared" si="974"/>
        <v>26/09/2025</v>
      </c>
      <c r="K5509" t="str">
        <f>("09/10/2025")</f>
        <v>09/10/2025</v>
      </c>
      <c r="L5509">
        <v>520</v>
      </c>
      <c r="M5509">
        <v>520</v>
      </c>
      <c r="N5509">
        <v>109</v>
      </c>
      <c r="O5509" t="str">
        <f>"PAGAMENTO DE ENTREGADORES"</f>
        <v>PAGAMENTO DE ENTREGADORES</v>
      </c>
      <c r="P5509">
        <v>520</v>
      </c>
      <c r="S5509" t="str">
        <f>"BANCO C6 (149)"</f>
        <v>BANCO C6 (149)</v>
      </c>
      <c r="T5509">
        <v>19913</v>
      </c>
      <c r="U5509">
        <v>22599</v>
      </c>
      <c r="V5509" t="s">
        <v>77</v>
      </c>
    </row>
    <row r="5510" spans="1:22">
      <c r="A5510" t="str">
        <f t="shared" si="975"/>
        <v>09/10/2025</v>
      </c>
      <c r="B5510" t="str">
        <f t="shared" si="969"/>
        <v>SAÍDA</v>
      </c>
      <c r="C5510" t="str">
        <f t="shared" si="972"/>
        <v>PIX</v>
      </c>
      <c r="D5510" t="str">
        <f>"22599"</f>
        <v>22599</v>
      </c>
      <c r="E5510" t="str">
        <f t="shared" si="973"/>
        <v>1</v>
      </c>
      <c r="F5510" t="str">
        <f t="shared" si="970"/>
        <v>COM</v>
      </c>
      <c r="G5510" t="str">
        <f>"LEONARDO VIANA FIGUEIREDO (913)"</f>
        <v>LEONARDO VIANA FIGUEIREDO (913)</v>
      </c>
      <c r="H5510" t="s">
        <v>1435</v>
      </c>
      <c r="I5510" t="str">
        <f t="shared" si="971"/>
        <v>09/10/2025</v>
      </c>
      <c r="J5510" t="str">
        <f t="shared" si="974"/>
        <v>26/09/2025</v>
      </c>
      <c r="K5510">
        <v>45939</v>
      </c>
      <c r="N5510">
        <v>109</v>
      </c>
      <c r="O5510" t="s">
        <v>24</v>
      </c>
      <c r="Q5510">
        <v>520</v>
      </c>
      <c r="R5510" t="str">
        <f>"FARMÁCIA INDIANA LJ 06 (10006)"</f>
        <v>FARMÁCIA INDIANA LJ 06 (10006)</v>
      </c>
      <c r="S5510" t="s">
        <v>77</v>
      </c>
      <c r="T5510">
        <v>19913</v>
      </c>
      <c r="U5510">
        <v>22599</v>
      </c>
      <c r="V5510" t="s">
        <v>77</v>
      </c>
    </row>
    <row r="5511" spans="1:22">
      <c r="A5511" t="str">
        <f t="shared" si="975"/>
        <v>09/10/2025</v>
      </c>
      <c r="B5511" t="str">
        <f t="shared" si="969"/>
        <v>SAÍDA</v>
      </c>
      <c r="C5511" t="str">
        <f t="shared" si="972"/>
        <v>PIX</v>
      </c>
      <c r="D5511" t="str">
        <f>"22600"</f>
        <v>22600</v>
      </c>
      <c r="E5511" t="str">
        <f t="shared" si="973"/>
        <v>1</v>
      </c>
      <c r="F5511" t="str">
        <f t="shared" si="970"/>
        <v>COM</v>
      </c>
      <c r="G5511" t="str">
        <f>"LEVERCI DA SILVA COURA (138)"</f>
        <v>LEVERCI DA SILVA COURA (138)</v>
      </c>
      <c r="H5511" t="str">
        <f>"Serv.Prest. 22/09/2025 a 25/09/2025 - PIX: CELULAR - CHAVE: (31) 99850-4727"</f>
        <v>Serv.Prest. 22/09/2025 a 25/09/2025 - PIX: CELULAR - CHAVE: (31) 99850-4727</v>
      </c>
      <c r="I5511" t="str">
        <f t="shared" si="971"/>
        <v>09/10/2025</v>
      </c>
      <c r="J5511" t="str">
        <f t="shared" si="974"/>
        <v>26/09/2025</v>
      </c>
      <c r="K5511" t="str">
        <f>("09/10/2025")</f>
        <v>09/10/2025</v>
      </c>
      <c r="L5511">
        <v>660</v>
      </c>
      <c r="M5511">
        <v>660</v>
      </c>
      <c r="N5511">
        <v>109</v>
      </c>
      <c r="O5511" t="str">
        <f>"PAGAMENTO DE ENTREGADORES"</f>
        <v>PAGAMENTO DE ENTREGADORES</v>
      </c>
      <c r="P5511">
        <v>660</v>
      </c>
      <c r="S5511" t="str">
        <f>"BANCO C6 (149)"</f>
        <v>BANCO C6 (149)</v>
      </c>
      <c r="T5511">
        <v>19914</v>
      </c>
      <c r="U5511">
        <v>22600</v>
      </c>
      <c r="V5511" t="s">
        <v>77</v>
      </c>
    </row>
    <row r="5512" spans="1:22">
      <c r="A5512" t="str">
        <f t="shared" si="975"/>
        <v>09/10/2025</v>
      </c>
      <c r="B5512" t="str">
        <f t="shared" si="969"/>
        <v>SAÍDA</v>
      </c>
      <c r="C5512" t="str">
        <f t="shared" si="972"/>
        <v>PIX</v>
      </c>
      <c r="D5512" t="str">
        <f>"22600"</f>
        <v>22600</v>
      </c>
      <c r="E5512" t="str">
        <f t="shared" si="973"/>
        <v>1</v>
      </c>
      <c r="F5512" t="str">
        <f t="shared" si="970"/>
        <v>COM</v>
      </c>
      <c r="G5512" t="str">
        <f>"LEVERCI DA SILVA COURA (138)"</f>
        <v>LEVERCI DA SILVA COURA (138)</v>
      </c>
      <c r="H5512" t="s">
        <v>1549</v>
      </c>
      <c r="I5512" t="str">
        <f t="shared" si="971"/>
        <v>09/10/2025</v>
      </c>
      <c r="J5512" t="str">
        <f t="shared" si="974"/>
        <v>26/09/2025</v>
      </c>
      <c r="K5512">
        <v>45939</v>
      </c>
      <c r="N5512">
        <v>109</v>
      </c>
      <c r="O5512" t="s">
        <v>24</v>
      </c>
      <c r="Q5512">
        <v>660</v>
      </c>
      <c r="R5512" t="str">
        <f>"FARMÁCIA INDIANA LJ 18 (10011)"</f>
        <v>FARMÁCIA INDIANA LJ 18 (10011)</v>
      </c>
      <c r="S5512" t="s">
        <v>77</v>
      </c>
      <c r="T5512">
        <v>19914</v>
      </c>
      <c r="U5512">
        <v>22600</v>
      </c>
      <c r="V5512" t="s">
        <v>77</v>
      </c>
    </row>
    <row r="5513" spans="1:22">
      <c r="A5513" t="str">
        <f t="shared" si="975"/>
        <v>09/10/2025</v>
      </c>
      <c r="B5513" t="str">
        <f t="shared" si="969"/>
        <v>SAÍDA</v>
      </c>
      <c r="C5513" t="str">
        <f t="shared" si="972"/>
        <v>PIX</v>
      </c>
      <c r="D5513" t="str">
        <f>"22601"</f>
        <v>22601</v>
      </c>
      <c r="E5513" t="str">
        <f t="shared" si="973"/>
        <v>1</v>
      </c>
      <c r="F5513" t="str">
        <f t="shared" si="970"/>
        <v>COM</v>
      </c>
      <c r="G5513" t="str">
        <f>"LUAN DOS SANTOS NUNES (719)"</f>
        <v>LUAN DOS SANTOS NUNES (719)</v>
      </c>
      <c r="H5513" t="str">
        <f>"Serv.Prest. 22/09/2025 a 25/09/2025 - PIX: CELULAR - CHAVE: (33) 98749-4693"</f>
        <v>Serv.Prest. 22/09/2025 a 25/09/2025 - PIX: CELULAR - CHAVE: (33) 98749-4693</v>
      </c>
      <c r="I5513" t="str">
        <f t="shared" si="971"/>
        <v>09/10/2025</v>
      </c>
      <c r="J5513" t="str">
        <f t="shared" si="974"/>
        <v>26/09/2025</v>
      </c>
      <c r="K5513" t="str">
        <f>("09/10/2025")</f>
        <v>09/10/2025</v>
      </c>
      <c r="L5513">
        <v>1454</v>
      </c>
      <c r="M5513">
        <v>1454</v>
      </c>
      <c r="N5513">
        <v>109</v>
      </c>
      <c r="O5513" t="str">
        <f>"PAGAMENTO DE ENTREGADORES"</f>
        <v>PAGAMENTO DE ENTREGADORES</v>
      </c>
      <c r="P5513">
        <v>1454</v>
      </c>
      <c r="S5513" t="str">
        <f>"BANCO C6 (149)"</f>
        <v>BANCO C6 (149)</v>
      </c>
      <c r="T5513">
        <v>19915</v>
      </c>
      <c r="U5513">
        <v>22601</v>
      </c>
      <c r="V5513" t="s">
        <v>77</v>
      </c>
    </row>
    <row r="5514" spans="1:22">
      <c r="A5514" t="str">
        <f t="shared" si="975"/>
        <v>09/10/2025</v>
      </c>
      <c r="B5514" t="str">
        <f t="shared" si="969"/>
        <v>SAÍDA</v>
      </c>
      <c r="C5514" t="str">
        <f t="shared" si="972"/>
        <v>PIX</v>
      </c>
      <c r="D5514" t="str">
        <f>"22601"</f>
        <v>22601</v>
      </c>
      <c r="E5514" t="str">
        <f t="shared" si="973"/>
        <v>1</v>
      </c>
      <c r="F5514" t="str">
        <f t="shared" si="970"/>
        <v>COM</v>
      </c>
      <c r="G5514" t="str">
        <f>"LUAN DOS SANTOS NUNES (719)"</f>
        <v>LUAN DOS SANTOS NUNES (719)</v>
      </c>
      <c r="H5514" t="s">
        <v>1449</v>
      </c>
      <c r="I5514" t="str">
        <f t="shared" si="971"/>
        <v>09/10/2025</v>
      </c>
      <c r="J5514" t="str">
        <f t="shared" si="974"/>
        <v>26/09/2025</v>
      </c>
      <c r="K5514">
        <v>45939</v>
      </c>
      <c r="N5514">
        <v>109</v>
      </c>
      <c r="O5514" t="s">
        <v>24</v>
      </c>
      <c r="Q5514">
        <v>764.95</v>
      </c>
      <c r="R5514" t="str">
        <f>"FARMÁCIA INDIANA LJ 40 (10016)"</f>
        <v>FARMÁCIA INDIANA LJ 40 (10016)</v>
      </c>
      <c r="S5514" t="s">
        <v>77</v>
      </c>
      <c r="T5514">
        <v>19915</v>
      </c>
      <c r="U5514">
        <v>22601</v>
      </c>
      <c r="V5514" t="s">
        <v>77</v>
      </c>
    </row>
    <row r="5515" spans="1:22">
      <c r="A5515" t="str">
        <f t="shared" si="975"/>
        <v>09/10/2025</v>
      </c>
      <c r="B5515" t="str">
        <f t="shared" si="969"/>
        <v>SAÍDA</v>
      </c>
      <c r="C5515" t="str">
        <f t="shared" si="972"/>
        <v>PIX</v>
      </c>
      <c r="D5515" t="str">
        <f>"22601"</f>
        <v>22601</v>
      </c>
      <c r="E5515" t="str">
        <f t="shared" si="973"/>
        <v>1</v>
      </c>
      <c r="F5515" t="str">
        <f t="shared" si="970"/>
        <v>COM</v>
      </c>
      <c r="G5515" t="str">
        <f>"LUAN DOS SANTOS NUNES (719)"</f>
        <v>LUAN DOS SANTOS NUNES (719)</v>
      </c>
      <c r="H5515" t="s">
        <v>1449</v>
      </c>
      <c r="I5515" t="str">
        <f t="shared" si="971"/>
        <v>09/10/2025</v>
      </c>
      <c r="J5515" t="str">
        <f t="shared" si="974"/>
        <v>26/09/2025</v>
      </c>
      <c r="K5515">
        <v>45939</v>
      </c>
      <c r="N5515">
        <v>109</v>
      </c>
      <c r="O5515" t="s">
        <v>24</v>
      </c>
      <c r="Q5515">
        <v>689.05</v>
      </c>
      <c r="R5515" t="str">
        <f>"FARMÁCIA INDIANA LJ 61 (10027)"</f>
        <v>FARMÁCIA INDIANA LJ 61 (10027)</v>
      </c>
      <c r="S5515" t="s">
        <v>77</v>
      </c>
      <c r="T5515">
        <v>19915</v>
      </c>
      <c r="U5515">
        <v>22601</v>
      </c>
      <c r="V5515" t="s">
        <v>77</v>
      </c>
    </row>
    <row r="5516" spans="1:22">
      <c r="A5516" t="str">
        <f t="shared" si="975"/>
        <v>09/10/2025</v>
      </c>
      <c r="B5516" t="str">
        <f t="shared" si="969"/>
        <v>SAÍDA</v>
      </c>
      <c r="C5516" t="str">
        <f t="shared" si="972"/>
        <v>PIX</v>
      </c>
      <c r="D5516" t="str">
        <f>"22602"</f>
        <v>22602</v>
      </c>
      <c r="E5516" t="str">
        <f t="shared" si="973"/>
        <v>1</v>
      </c>
      <c r="F5516" t="str">
        <f t="shared" si="970"/>
        <v>COM</v>
      </c>
      <c r="G5516" t="str">
        <f>"LUAN VICTOR SERQUEIRA DA SILVA (577)"</f>
        <v>LUAN VICTOR SERQUEIRA DA SILVA (577)</v>
      </c>
      <c r="H5516" t="str">
        <f>"Serv.Prest. 22/09/2025 a 25/09/2025 - PIX: CPF - CHAVE: 161.508.516-56"</f>
        <v>Serv.Prest. 22/09/2025 a 25/09/2025 - PIX: CPF - CHAVE: 161.508.516-56</v>
      </c>
      <c r="I5516" t="str">
        <f t="shared" si="971"/>
        <v>09/10/2025</v>
      </c>
      <c r="J5516" t="str">
        <f t="shared" si="974"/>
        <v>26/09/2025</v>
      </c>
      <c r="K5516" t="str">
        <f>("09/10/2025")</f>
        <v>09/10/2025</v>
      </c>
      <c r="L5516">
        <v>680</v>
      </c>
      <c r="M5516">
        <v>680</v>
      </c>
      <c r="N5516">
        <v>109</v>
      </c>
      <c r="O5516" t="str">
        <f>"PAGAMENTO DE ENTREGADORES"</f>
        <v>PAGAMENTO DE ENTREGADORES</v>
      </c>
      <c r="P5516">
        <v>680</v>
      </c>
      <c r="S5516" t="str">
        <f>"BANCO C6 (149)"</f>
        <v>BANCO C6 (149)</v>
      </c>
      <c r="T5516">
        <v>19916</v>
      </c>
      <c r="U5516">
        <v>22602</v>
      </c>
      <c r="V5516" t="s">
        <v>77</v>
      </c>
    </row>
    <row r="5517" spans="1:22">
      <c r="A5517" t="str">
        <f t="shared" si="975"/>
        <v>09/10/2025</v>
      </c>
      <c r="B5517" t="str">
        <f t="shared" si="969"/>
        <v>SAÍDA</v>
      </c>
      <c r="C5517" t="str">
        <f t="shared" si="972"/>
        <v>PIX</v>
      </c>
      <c r="D5517" t="str">
        <f>"22602"</f>
        <v>22602</v>
      </c>
      <c r="E5517" t="str">
        <f t="shared" si="973"/>
        <v>1</v>
      </c>
      <c r="F5517" t="str">
        <f t="shared" si="970"/>
        <v>COM</v>
      </c>
      <c r="G5517" t="str">
        <f>"LUAN VICTOR SERQUEIRA DA SILVA (577)"</f>
        <v>LUAN VICTOR SERQUEIRA DA SILVA (577)</v>
      </c>
      <c r="H5517" t="s">
        <v>1450</v>
      </c>
      <c r="I5517" t="str">
        <f t="shared" si="971"/>
        <v>09/10/2025</v>
      </c>
      <c r="J5517" t="str">
        <f t="shared" si="974"/>
        <v>26/09/2025</v>
      </c>
      <c r="K5517">
        <v>45939</v>
      </c>
      <c r="N5517">
        <v>109</v>
      </c>
      <c r="O5517" t="s">
        <v>24</v>
      </c>
      <c r="Q5517">
        <v>680</v>
      </c>
      <c r="R5517" t="str">
        <f>"FARMÁCIA INDIANA LJ 202 (10085)"</f>
        <v>FARMÁCIA INDIANA LJ 202 (10085)</v>
      </c>
      <c r="S5517" t="s">
        <v>77</v>
      </c>
      <c r="T5517">
        <v>19916</v>
      </c>
      <c r="U5517">
        <v>22602</v>
      </c>
      <c r="V5517" t="s">
        <v>77</v>
      </c>
    </row>
    <row r="5518" spans="1:22">
      <c r="A5518" t="str">
        <f t="shared" si="975"/>
        <v>09/10/2025</v>
      </c>
      <c r="B5518" t="str">
        <f t="shared" si="969"/>
        <v>SAÍDA</v>
      </c>
      <c r="C5518" t="str">
        <f t="shared" si="972"/>
        <v>PIX</v>
      </c>
      <c r="D5518" t="str">
        <f>"22603"</f>
        <v>22603</v>
      </c>
      <c r="E5518" t="str">
        <f t="shared" si="973"/>
        <v>1</v>
      </c>
      <c r="F5518" t="str">
        <f t="shared" si="970"/>
        <v>COM</v>
      </c>
      <c r="G5518" t="str">
        <f>"LUCAS FERREIRA DOS SANTOS (868)"</f>
        <v>LUCAS FERREIRA DOS SANTOS (868)</v>
      </c>
      <c r="H5518" t="str">
        <f>"Serv.Prest. 22/09/2025 a 25/09/2025 - PIX: CELULAR - CHAVE: (33) 99172-0627"</f>
        <v>Serv.Prest. 22/09/2025 a 25/09/2025 - PIX: CELULAR - CHAVE: (33) 99172-0627</v>
      </c>
      <c r="I5518" t="str">
        <f t="shared" si="971"/>
        <v>09/10/2025</v>
      </c>
      <c r="J5518" t="str">
        <f t="shared" si="974"/>
        <v>26/09/2025</v>
      </c>
      <c r="K5518" t="str">
        <f>("09/10/2025")</f>
        <v>09/10/2025</v>
      </c>
      <c r="L5518">
        <v>520</v>
      </c>
      <c r="M5518">
        <v>520</v>
      </c>
      <c r="N5518">
        <v>109</v>
      </c>
      <c r="O5518" t="str">
        <f>"PAGAMENTO DE ENTREGADORES"</f>
        <v>PAGAMENTO DE ENTREGADORES</v>
      </c>
      <c r="P5518">
        <v>520</v>
      </c>
      <c r="S5518" t="str">
        <f>"BANCO C6 (149)"</f>
        <v>BANCO C6 (149)</v>
      </c>
      <c r="T5518">
        <v>19917</v>
      </c>
      <c r="U5518">
        <v>22603</v>
      </c>
      <c r="V5518" t="s">
        <v>77</v>
      </c>
    </row>
    <row r="5519" spans="1:22">
      <c r="A5519" t="str">
        <f t="shared" si="975"/>
        <v>09/10/2025</v>
      </c>
      <c r="B5519" t="str">
        <f t="shared" si="969"/>
        <v>SAÍDA</v>
      </c>
      <c r="C5519" t="str">
        <f t="shared" si="972"/>
        <v>PIX</v>
      </c>
      <c r="D5519" t="str">
        <f>"22603"</f>
        <v>22603</v>
      </c>
      <c r="E5519" t="str">
        <f t="shared" si="973"/>
        <v>1</v>
      </c>
      <c r="F5519" t="str">
        <f t="shared" si="970"/>
        <v>COM</v>
      </c>
      <c r="G5519" t="str">
        <f>"LUCAS FERREIRA DOS SANTOS (868)"</f>
        <v>LUCAS FERREIRA DOS SANTOS (868)</v>
      </c>
      <c r="H5519" t="s">
        <v>1451</v>
      </c>
      <c r="I5519" t="str">
        <f t="shared" si="971"/>
        <v>09/10/2025</v>
      </c>
      <c r="J5519" t="str">
        <f t="shared" si="974"/>
        <v>26/09/2025</v>
      </c>
      <c r="K5519">
        <v>45939</v>
      </c>
      <c r="N5519">
        <v>109</v>
      </c>
      <c r="O5519" t="s">
        <v>24</v>
      </c>
      <c r="Q5519">
        <v>520</v>
      </c>
      <c r="R5519" t="str">
        <f>"FARMÁCIA INDIANA LJ 06 (10006)"</f>
        <v>FARMÁCIA INDIANA LJ 06 (10006)</v>
      </c>
      <c r="S5519" t="s">
        <v>77</v>
      </c>
      <c r="T5519">
        <v>19917</v>
      </c>
      <c r="U5519">
        <v>22603</v>
      </c>
      <c r="V5519" t="s">
        <v>77</v>
      </c>
    </row>
    <row r="5520" spans="1:22">
      <c r="A5520" t="str">
        <f t="shared" si="975"/>
        <v>09/10/2025</v>
      </c>
      <c r="B5520" t="str">
        <f t="shared" si="969"/>
        <v>SAÍDA</v>
      </c>
      <c r="C5520" t="str">
        <f t="shared" si="972"/>
        <v>PIX</v>
      </c>
      <c r="D5520" t="str">
        <f>"22604"</f>
        <v>22604</v>
      </c>
      <c r="E5520" t="str">
        <f t="shared" si="973"/>
        <v>1</v>
      </c>
      <c r="F5520" t="str">
        <f t="shared" si="970"/>
        <v>COM</v>
      </c>
      <c r="G5520" t="str">
        <f>"LUIZ ALVES MARTINS (40)"</f>
        <v>LUIZ ALVES MARTINS (40)</v>
      </c>
      <c r="H5520" t="str">
        <f>"Serv.Prest. 22/09/2025 a 25/09/2025 - PIX: CELULAR - CHAVE: (33) 99981-6650"</f>
        <v>Serv.Prest. 22/09/2025 a 25/09/2025 - PIX: CELULAR - CHAVE: (33) 99981-6650</v>
      </c>
      <c r="I5520" t="str">
        <f t="shared" si="971"/>
        <v>09/10/2025</v>
      </c>
      <c r="J5520" t="str">
        <f t="shared" si="974"/>
        <v>26/09/2025</v>
      </c>
      <c r="K5520" t="str">
        <f>("09/10/2025")</f>
        <v>09/10/2025</v>
      </c>
      <c r="L5520">
        <v>930</v>
      </c>
      <c r="M5520">
        <v>930</v>
      </c>
      <c r="N5520">
        <v>109</v>
      </c>
      <c r="O5520" t="str">
        <f>"PAGAMENTO DE ENTREGADORES"</f>
        <v>PAGAMENTO DE ENTREGADORES</v>
      </c>
      <c r="P5520">
        <v>930</v>
      </c>
      <c r="S5520" t="str">
        <f>"BANCO C6 (149)"</f>
        <v>BANCO C6 (149)</v>
      </c>
      <c r="T5520">
        <v>19918</v>
      </c>
      <c r="U5520">
        <v>22604</v>
      </c>
      <c r="V5520" t="s">
        <v>77</v>
      </c>
    </row>
    <row r="5521" spans="1:22">
      <c r="A5521" t="str">
        <f t="shared" si="975"/>
        <v>09/10/2025</v>
      </c>
      <c r="B5521" t="str">
        <f t="shared" si="969"/>
        <v>SAÍDA</v>
      </c>
      <c r="C5521" t="str">
        <f t="shared" si="972"/>
        <v>PIX</v>
      </c>
      <c r="D5521" t="str">
        <f>"22604"</f>
        <v>22604</v>
      </c>
      <c r="E5521" t="str">
        <f t="shared" si="973"/>
        <v>1</v>
      </c>
      <c r="F5521" t="str">
        <f t="shared" si="970"/>
        <v>COM</v>
      </c>
      <c r="G5521" t="str">
        <f>"LUIZ ALVES MARTINS (40)"</f>
        <v>LUIZ ALVES MARTINS (40)</v>
      </c>
      <c r="H5521" t="s">
        <v>1550</v>
      </c>
      <c r="I5521" t="str">
        <f t="shared" si="971"/>
        <v>09/10/2025</v>
      </c>
      <c r="J5521" t="str">
        <f t="shared" si="974"/>
        <v>26/09/2025</v>
      </c>
      <c r="K5521">
        <v>45939</v>
      </c>
      <c r="N5521">
        <v>109</v>
      </c>
      <c r="O5521" t="s">
        <v>24</v>
      </c>
      <c r="Q5521">
        <v>930</v>
      </c>
      <c r="R5521" t="str">
        <f>"FARMÁCIA INDIANA LJ 11 (10008)"</f>
        <v>FARMÁCIA INDIANA LJ 11 (10008)</v>
      </c>
      <c r="S5521" t="s">
        <v>77</v>
      </c>
      <c r="T5521">
        <v>19918</v>
      </c>
      <c r="U5521">
        <v>22604</v>
      </c>
      <c r="V5521" t="s">
        <v>77</v>
      </c>
    </row>
    <row r="5522" spans="1:22">
      <c r="A5522" t="str">
        <f t="shared" si="975"/>
        <v>09/10/2025</v>
      </c>
      <c r="B5522" t="str">
        <f t="shared" si="969"/>
        <v>SAÍDA</v>
      </c>
      <c r="C5522" t="str">
        <f t="shared" si="972"/>
        <v>PIX</v>
      </c>
      <c r="D5522" t="str">
        <f>"22605"</f>
        <v>22605</v>
      </c>
      <c r="E5522" t="str">
        <f t="shared" si="973"/>
        <v>1</v>
      </c>
      <c r="F5522" t="str">
        <f t="shared" si="970"/>
        <v>COM</v>
      </c>
      <c r="G5522" t="str">
        <f>"LUIZ EDUARDO VIANA BRITO (878)"</f>
        <v>LUIZ EDUARDO VIANA BRITO (878)</v>
      </c>
      <c r="H5522" t="str">
        <f>"Serv.Prest. 22/09/2025 a 25/09/2025 - PIX: CPF - CHAVE: 101.220.976-88"</f>
        <v>Serv.Prest. 22/09/2025 a 25/09/2025 - PIX: CPF - CHAVE: 101.220.976-88</v>
      </c>
      <c r="I5522" t="str">
        <f t="shared" si="971"/>
        <v>09/10/2025</v>
      </c>
      <c r="J5522" t="str">
        <f t="shared" si="974"/>
        <v>26/09/2025</v>
      </c>
      <c r="K5522" t="str">
        <f>("09/10/2025")</f>
        <v>09/10/2025</v>
      </c>
      <c r="L5522">
        <v>1575</v>
      </c>
      <c r="M5522">
        <v>1575</v>
      </c>
      <c r="N5522">
        <v>109</v>
      </c>
      <c r="O5522" t="str">
        <f>"PAGAMENTO DE ENTREGADORES"</f>
        <v>PAGAMENTO DE ENTREGADORES</v>
      </c>
      <c r="P5522">
        <v>1575</v>
      </c>
      <c r="S5522" t="str">
        <f>"BANCO C6 (149)"</f>
        <v>BANCO C6 (149)</v>
      </c>
      <c r="T5522">
        <v>19919</v>
      </c>
      <c r="U5522">
        <v>22605</v>
      </c>
      <c r="V5522" t="s">
        <v>77</v>
      </c>
    </row>
    <row r="5523" spans="1:22">
      <c r="A5523" t="str">
        <f t="shared" si="975"/>
        <v>09/10/2025</v>
      </c>
      <c r="B5523" t="str">
        <f t="shared" si="969"/>
        <v>SAÍDA</v>
      </c>
      <c r="C5523" t="str">
        <f t="shared" si="972"/>
        <v>PIX</v>
      </c>
      <c r="D5523" t="str">
        <f>"22605"</f>
        <v>22605</v>
      </c>
      <c r="E5523" t="str">
        <f t="shared" si="973"/>
        <v>1</v>
      </c>
      <c r="F5523" t="str">
        <f t="shared" si="970"/>
        <v>COM</v>
      </c>
      <c r="G5523" t="str">
        <f>"LUIZ EDUARDO VIANA BRITO (878)"</f>
        <v>LUIZ EDUARDO VIANA BRITO (878)</v>
      </c>
      <c r="H5523" t="s">
        <v>1453</v>
      </c>
      <c r="I5523" t="str">
        <f t="shared" si="971"/>
        <v>09/10/2025</v>
      </c>
      <c r="J5523" t="str">
        <f t="shared" si="974"/>
        <v>26/09/2025</v>
      </c>
      <c r="K5523">
        <v>45939</v>
      </c>
      <c r="N5523">
        <v>109</v>
      </c>
      <c r="O5523" t="s">
        <v>24</v>
      </c>
      <c r="Q5523">
        <v>1575</v>
      </c>
      <c r="R5523" t="str">
        <f>"FARMÁCIA INDIANA LJ 40 (10016)"</f>
        <v>FARMÁCIA INDIANA LJ 40 (10016)</v>
      </c>
      <c r="S5523" t="s">
        <v>77</v>
      </c>
      <c r="T5523">
        <v>19919</v>
      </c>
      <c r="U5523">
        <v>22605</v>
      </c>
      <c r="V5523" t="s">
        <v>77</v>
      </c>
    </row>
    <row r="5524" spans="1:22">
      <c r="A5524" t="str">
        <f t="shared" si="975"/>
        <v>09/10/2025</v>
      </c>
      <c r="B5524" t="str">
        <f t="shared" si="969"/>
        <v>SAÍDA</v>
      </c>
      <c r="C5524" t="str">
        <f t="shared" si="972"/>
        <v>PIX</v>
      </c>
      <c r="D5524" t="str">
        <f>"22606"</f>
        <v>22606</v>
      </c>
      <c r="E5524" t="str">
        <f t="shared" si="973"/>
        <v>1</v>
      </c>
      <c r="F5524" t="str">
        <f t="shared" si="970"/>
        <v>COM</v>
      </c>
      <c r="G5524" t="str">
        <f>"LUIZ EMANUEL PINHEIRO (870)"</f>
        <v>LUIZ EMANUEL PINHEIRO (870)</v>
      </c>
      <c r="H5524" t="str">
        <f>"Serv.Prest. 22/09/2025 a 25/09/2025 - PIX: CPF - CHAVE: 129.269.326-69"</f>
        <v>Serv.Prest. 22/09/2025 a 25/09/2025 - PIX: CPF - CHAVE: 129.269.326-69</v>
      </c>
      <c r="I5524" t="str">
        <f t="shared" si="971"/>
        <v>09/10/2025</v>
      </c>
      <c r="J5524" t="str">
        <f t="shared" si="974"/>
        <v>26/09/2025</v>
      </c>
      <c r="K5524" t="str">
        <f>("09/10/2025")</f>
        <v>09/10/2025</v>
      </c>
      <c r="L5524">
        <v>680.8</v>
      </c>
      <c r="M5524">
        <v>680.8</v>
      </c>
      <c r="N5524">
        <v>109</v>
      </c>
      <c r="O5524" t="str">
        <f>"PAGAMENTO DE ENTREGADORES"</f>
        <v>PAGAMENTO DE ENTREGADORES</v>
      </c>
      <c r="P5524">
        <v>680.8</v>
      </c>
      <c r="S5524" t="str">
        <f>"BANCO C6 (149)"</f>
        <v>BANCO C6 (149)</v>
      </c>
      <c r="T5524">
        <v>19920</v>
      </c>
      <c r="U5524">
        <v>22606</v>
      </c>
      <c r="V5524" t="s">
        <v>77</v>
      </c>
    </row>
    <row r="5525" spans="1:22">
      <c r="A5525" t="str">
        <f t="shared" si="975"/>
        <v>09/10/2025</v>
      </c>
      <c r="B5525" t="str">
        <f t="shared" si="969"/>
        <v>SAÍDA</v>
      </c>
      <c r="C5525" t="str">
        <f t="shared" si="972"/>
        <v>PIX</v>
      </c>
      <c r="D5525" t="str">
        <f>"22606"</f>
        <v>22606</v>
      </c>
      <c r="E5525" t="str">
        <f t="shared" si="973"/>
        <v>1</v>
      </c>
      <c r="F5525" t="str">
        <f t="shared" si="970"/>
        <v>COM</v>
      </c>
      <c r="G5525" t="str">
        <f>"LUIZ EMANUEL PINHEIRO (870)"</f>
        <v>LUIZ EMANUEL PINHEIRO (870)</v>
      </c>
      <c r="H5525" t="s">
        <v>1454</v>
      </c>
      <c r="I5525" t="str">
        <f t="shared" si="971"/>
        <v>09/10/2025</v>
      </c>
      <c r="J5525" t="str">
        <f t="shared" si="974"/>
        <v>26/09/2025</v>
      </c>
      <c r="K5525">
        <v>45939</v>
      </c>
      <c r="N5525">
        <v>109</v>
      </c>
      <c r="O5525" t="s">
        <v>24</v>
      </c>
      <c r="Q5525">
        <v>141.81</v>
      </c>
      <c r="R5525" t="str">
        <f>"FARMÁCIA INDIANA LJ 121 (10054)"</f>
        <v>FARMÁCIA INDIANA LJ 121 (10054)</v>
      </c>
      <c r="S5525" t="s">
        <v>77</v>
      </c>
      <c r="T5525">
        <v>19920</v>
      </c>
      <c r="U5525">
        <v>22606</v>
      </c>
      <c r="V5525" t="s">
        <v>77</v>
      </c>
    </row>
    <row r="5526" spans="1:22">
      <c r="A5526" t="str">
        <f t="shared" si="975"/>
        <v>09/10/2025</v>
      </c>
      <c r="B5526" t="str">
        <f t="shared" si="969"/>
        <v>SAÍDA</v>
      </c>
      <c r="C5526" t="str">
        <f t="shared" si="972"/>
        <v>PIX</v>
      </c>
      <c r="D5526" t="str">
        <f>"22606"</f>
        <v>22606</v>
      </c>
      <c r="E5526" t="str">
        <f t="shared" si="973"/>
        <v>1</v>
      </c>
      <c r="F5526" t="str">
        <f t="shared" si="970"/>
        <v>COM</v>
      </c>
      <c r="G5526" t="str">
        <f>"LUIZ EMANUEL PINHEIRO (870)"</f>
        <v>LUIZ EMANUEL PINHEIRO (870)</v>
      </c>
      <c r="H5526" t="s">
        <v>1454</v>
      </c>
      <c r="I5526" t="str">
        <f t="shared" si="971"/>
        <v>09/10/2025</v>
      </c>
      <c r="J5526" t="str">
        <f t="shared" si="974"/>
        <v>26/09/2025</v>
      </c>
      <c r="K5526">
        <v>45939</v>
      </c>
      <c r="N5526">
        <v>109</v>
      </c>
      <c r="O5526" t="s">
        <v>24</v>
      </c>
      <c r="Q5526">
        <v>538.99</v>
      </c>
      <c r="R5526" t="str">
        <f>"FARMÁCIA INDIANA LJ 128 (10057)"</f>
        <v>FARMÁCIA INDIANA LJ 128 (10057)</v>
      </c>
      <c r="S5526" t="s">
        <v>77</v>
      </c>
      <c r="T5526">
        <v>19920</v>
      </c>
      <c r="U5526">
        <v>22606</v>
      </c>
      <c r="V5526" t="s">
        <v>77</v>
      </c>
    </row>
    <row r="5527" spans="1:22">
      <c r="A5527" t="str">
        <f t="shared" si="975"/>
        <v>09/10/2025</v>
      </c>
      <c r="B5527" t="str">
        <f t="shared" si="969"/>
        <v>SAÍDA</v>
      </c>
      <c r="C5527" t="str">
        <f t="shared" si="972"/>
        <v>PIX</v>
      </c>
      <c r="D5527" t="str">
        <f>"22607"</f>
        <v>22607</v>
      </c>
      <c r="E5527" t="str">
        <f t="shared" si="973"/>
        <v>1</v>
      </c>
      <c r="F5527" t="str">
        <f t="shared" si="970"/>
        <v>COM</v>
      </c>
      <c r="G5527" t="str">
        <f>"LUIZ FERNANDO CARVALHO ALVES (198)"</f>
        <v>LUIZ FERNANDO CARVALHO ALVES (198)</v>
      </c>
      <c r="H5527" t="str">
        <f>"Serv.Prest. 22/09/2025 a 25/09/2025 - PIX: CPF - CHAVE: 705.097.186-39"</f>
        <v>Serv.Prest. 22/09/2025 a 25/09/2025 - PIX: CPF - CHAVE: 705.097.186-39</v>
      </c>
      <c r="I5527" t="str">
        <f t="shared" si="971"/>
        <v>09/10/2025</v>
      </c>
      <c r="J5527" t="str">
        <f t="shared" si="974"/>
        <v>26/09/2025</v>
      </c>
      <c r="K5527" t="str">
        <f>("09/10/2025")</f>
        <v>09/10/2025</v>
      </c>
      <c r="L5527">
        <v>730</v>
      </c>
      <c r="M5527">
        <v>730</v>
      </c>
      <c r="N5527">
        <v>109</v>
      </c>
      <c r="O5527" t="str">
        <f>"PAGAMENTO DE ENTREGADORES"</f>
        <v>PAGAMENTO DE ENTREGADORES</v>
      </c>
      <c r="P5527">
        <v>730</v>
      </c>
      <c r="S5527" t="str">
        <f>"BANCO C6 (149)"</f>
        <v>BANCO C6 (149)</v>
      </c>
      <c r="T5527">
        <v>19921</v>
      </c>
      <c r="U5527">
        <v>22607</v>
      </c>
      <c r="V5527" t="s">
        <v>77</v>
      </c>
    </row>
    <row r="5528" spans="1:22">
      <c r="A5528" t="str">
        <f t="shared" si="975"/>
        <v>09/10/2025</v>
      </c>
      <c r="B5528" t="str">
        <f t="shared" si="969"/>
        <v>SAÍDA</v>
      </c>
      <c r="C5528" t="str">
        <f t="shared" si="972"/>
        <v>PIX</v>
      </c>
      <c r="D5528" t="str">
        <f>"22607"</f>
        <v>22607</v>
      </c>
      <c r="E5528" t="str">
        <f t="shared" si="973"/>
        <v>1</v>
      </c>
      <c r="F5528" t="str">
        <f t="shared" si="970"/>
        <v>COM</v>
      </c>
      <c r="G5528" t="str">
        <f>"LUIZ FERNANDO CARVALHO ALVES (198)"</f>
        <v>LUIZ FERNANDO CARVALHO ALVES (198)</v>
      </c>
      <c r="H5528" t="s">
        <v>1455</v>
      </c>
      <c r="I5528" t="str">
        <f t="shared" si="971"/>
        <v>09/10/2025</v>
      </c>
      <c r="J5528" t="str">
        <f t="shared" si="974"/>
        <v>26/09/2025</v>
      </c>
      <c r="K5528">
        <v>45939</v>
      </c>
      <c r="N5528">
        <v>109</v>
      </c>
      <c r="O5528" t="s">
        <v>24</v>
      </c>
      <c r="Q5528">
        <v>730</v>
      </c>
      <c r="R5528" t="str">
        <f>"FARMÁCIA INDIANA LJ 171 (10074)"</f>
        <v>FARMÁCIA INDIANA LJ 171 (10074)</v>
      </c>
      <c r="S5528" t="s">
        <v>77</v>
      </c>
      <c r="T5528">
        <v>19921</v>
      </c>
      <c r="U5528">
        <v>22607</v>
      </c>
      <c r="V5528" t="s">
        <v>77</v>
      </c>
    </row>
    <row r="5529" spans="1:22">
      <c r="A5529" t="str">
        <f t="shared" si="975"/>
        <v>09/10/2025</v>
      </c>
      <c r="B5529" t="str">
        <f t="shared" si="969"/>
        <v>SAÍDA</v>
      </c>
      <c r="C5529" t="str">
        <f t="shared" si="972"/>
        <v>PIX</v>
      </c>
      <c r="D5529" t="str">
        <f>"22608"</f>
        <v>22608</v>
      </c>
      <c r="E5529" t="str">
        <f t="shared" si="973"/>
        <v>1</v>
      </c>
      <c r="F5529" t="str">
        <f t="shared" si="970"/>
        <v>COM</v>
      </c>
      <c r="G5529" t="str">
        <f>"MAICON HENRIQUE FERREIRA DOS SANTOS (759)"</f>
        <v>MAICON HENRIQUE FERREIRA DOS SANTOS (759)</v>
      </c>
      <c r="H5529" t="str">
        <f>"Serv.Prest. 22/09/2025 a 25/09/2025 - PIX: CELULAR - CHAVE: (31) 98412-5118"</f>
        <v>Serv.Prest. 22/09/2025 a 25/09/2025 - PIX: CELULAR - CHAVE: (31) 98412-5118</v>
      </c>
      <c r="I5529" t="str">
        <f t="shared" si="971"/>
        <v>09/10/2025</v>
      </c>
      <c r="J5529" t="str">
        <f t="shared" si="974"/>
        <v>26/09/2025</v>
      </c>
      <c r="K5529" t="str">
        <f>("09/10/2025")</f>
        <v>09/10/2025</v>
      </c>
      <c r="L5529">
        <v>808</v>
      </c>
      <c r="M5529">
        <v>808</v>
      </c>
      <c r="N5529">
        <v>109</v>
      </c>
      <c r="O5529" t="str">
        <f>"PAGAMENTO DE ENTREGADORES"</f>
        <v>PAGAMENTO DE ENTREGADORES</v>
      </c>
      <c r="P5529">
        <v>808</v>
      </c>
      <c r="S5529" t="str">
        <f>"BANCO C6 (149)"</f>
        <v>BANCO C6 (149)</v>
      </c>
      <c r="T5529">
        <v>19922</v>
      </c>
      <c r="U5529">
        <v>22608</v>
      </c>
      <c r="V5529" t="s">
        <v>77</v>
      </c>
    </row>
    <row r="5530" spans="1:22">
      <c r="A5530" t="str">
        <f t="shared" si="975"/>
        <v>09/10/2025</v>
      </c>
      <c r="B5530" t="str">
        <f t="shared" si="969"/>
        <v>SAÍDA</v>
      </c>
      <c r="C5530" t="str">
        <f t="shared" si="972"/>
        <v>PIX</v>
      </c>
      <c r="D5530" t="str">
        <f>"22608"</f>
        <v>22608</v>
      </c>
      <c r="E5530" t="str">
        <f t="shared" si="973"/>
        <v>1</v>
      </c>
      <c r="F5530" t="str">
        <f t="shared" si="970"/>
        <v>COM</v>
      </c>
      <c r="G5530" t="str">
        <f>"MAICON HENRIQUE FERREIRA DOS SANTOS (759)"</f>
        <v>MAICON HENRIQUE FERREIRA DOS SANTOS (759)</v>
      </c>
      <c r="H5530" t="s">
        <v>1457</v>
      </c>
      <c r="I5530" t="str">
        <f t="shared" si="971"/>
        <v>09/10/2025</v>
      </c>
      <c r="J5530" t="str">
        <f t="shared" si="974"/>
        <v>26/09/2025</v>
      </c>
      <c r="K5530">
        <v>45939</v>
      </c>
      <c r="N5530">
        <v>109</v>
      </c>
      <c r="O5530" t="s">
        <v>24</v>
      </c>
      <c r="Q5530">
        <v>808</v>
      </c>
      <c r="R5530" t="str">
        <f>"FARMÁCIA INDIANA LJ 101 (10043)"</f>
        <v>FARMÁCIA INDIANA LJ 101 (10043)</v>
      </c>
      <c r="S5530" t="s">
        <v>77</v>
      </c>
      <c r="T5530">
        <v>19922</v>
      </c>
      <c r="U5530">
        <v>22608</v>
      </c>
      <c r="V5530" t="s">
        <v>77</v>
      </c>
    </row>
    <row r="5531" spans="1:22">
      <c r="A5531" t="str">
        <f t="shared" si="975"/>
        <v>09/10/2025</v>
      </c>
      <c r="B5531" t="str">
        <f t="shared" si="969"/>
        <v>SAÍDA</v>
      </c>
      <c r="C5531" t="str">
        <f t="shared" si="972"/>
        <v>PIX</v>
      </c>
      <c r="D5531" t="str">
        <f>"22609"</f>
        <v>22609</v>
      </c>
      <c r="E5531" t="str">
        <f t="shared" si="973"/>
        <v>1</v>
      </c>
      <c r="F5531" t="str">
        <f t="shared" si="970"/>
        <v>COM</v>
      </c>
      <c r="G5531" t="str">
        <f>"MARCIO CLAUDIO DE ARAUJO (204)"</f>
        <v>MARCIO CLAUDIO DE ARAUJO (204)</v>
      </c>
      <c r="H5531" t="str">
        <f>"Serv.Prest. 22/09/2025 a 25/09/2025 - PIX: CELULAR - CHAVE: (33) 98427-3872"</f>
        <v>Serv.Prest. 22/09/2025 a 25/09/2025 - PIX: CELULAR - CHAVE: (33) 98427-3872</v>
      </c>
      <c r="I5531" t="str">
        <f t="shared" si="971"/>
        <v>09/10/2025</v>
      </c>
      <c r="J5531" t="str">
        <f t="shared" si="974"/>
        <v>26/09/2025</v>
      </c>
      <c r="K5531" t="str">
        <f>("09/10/2025")</f>
        <v>09/10/2025</v>
      </c>
      <c r="L5531">
        <v>564</v>
      </c>
      <c r="M5531">
        <v>564</v>
      </c>
      <c r="N5531">
        <v>109</v>
      </c>
      <c r="O5531" t="str">
        <f>"PAGAMENTO DE ENTREGADORES"</f>
        <v>PAGAMENTO DE ENTREGADORES</v>
      </c>
      <c r="P5531">
        <v>564</v>
      </c>
      <c r="S5531" t="str">
        <f>"BANCO C6 (149)"</f>
        <v>BANCO C6 (149)</v>
      </c>
      <c r="T5531">
        <v>19923</v>
      </c>
      <c r="U5531">
        <v>22609</v>
      </c>
      <c r="V5531" t="s">
        <v>77</v>
      </c>
    </row>
    <row r="5532" spans="1:22">
      <c r="A5532" t="str">
        <f t="shared" si="975"/>
        <v>09/10/2025</v>
      </c>
      <c r="B5532" t="str">
        <f t="shared" si="969"/>
        <v>SAÍDA</v>
      </c>
      <c r="C5532" t="str">
        <f t="shared" si="972"/>
        <v>PIX</v>
      </c>
      <c r="D5532" t="str">
        <f>"22609"</f>
        <v>22609</v>
      </c>
      <c r="E5532" t="str">
        <f t="shared" si="973"/>
        <v>1</v>
      </c>
      <c r="F5532" t="str">
        <f t="shared" si="970"/>
        <v>COM</v>
      </c>
      <c r="G5532" t="str">
        <f>"MARCIO CLAUDIO DE ARAUJO (204)"</f>
        <v>MARCIO CLAUDIO DE ARAUJO (204)</v>
      </c>
      <c r="H5532" t="s">
        <v>1551</v>
      </c>
      <c r="I5532" t="str">
        <f t="shared" si="971"/>
        <v>09/10/2025</v>
      </c>
      <c r="J5532" t="str">
        <f t="shared" si="974"/>
        <v>26/09/2025</v>
      </c>
      <c r="K5532">
        <v>45939</v>
      </c>
      <c r="N5532">
        <v>109</v>
      </c>
      <c r="O5532" t="s">
        <v>24</v>
      </c>
      <c r="Q5532">
        <v>564</v>
      </c>
      <c r="R5532" t="str">
        <f>"FARMÁCIA INDIANA LJ 06 (10006)"</f>
        <v>FARMÁCIA INDIANA LJ 06 (10006)</v>
      </c>
      <c r="S5532" t="s">
        <v>77</v>
      </c>
      <c r="T5532">
        <v>19923</v>
      </c>
      <c r="U5532">
        <v>22609</v>
      </c>
      <c r="V5532" t="s">
        <v>77</v>
      </c>
    </row>
    <row r="5533" spans="1:22">
      <c r="A5533" t="str">
        <f t="shared" si="975"/>
        <v>09/10/2025</v>
      </c>
      <c r="B5533" t="str">
        <f t="shared" si="969"/>
        <v>SAÍDA</v>
      </c>
      <c r="C5533" t="str">
        <f t="shared" si="972"/>
        <v>PIX</v>
      </c>
      <c r="D5533" t="str">
        <f>"22610"</f>
        <v>22610</v>
      </c>
      <c r="E5533" t="str">
        <f t="shared" si="973"/>
        <v>1</v>
      </c>
      <c r="F5533" t="str">
        <f t="shared" si="970"/>
        <v>COM</v>
      </c>
      <c r="G5533" t="str">
        <f>"MARCOS DIONI RODRIGUES GASPAR (506)"</f>
        <v>MARCOS DIONI RODRIGUES GASPAR (506)</v>
      </c>
      <c r="H5533" t="str">
        <f>"Serv.Prest. 22/09/2025 a 25/09/2025 - PIX: CELULAR - CHAVE: (33) 99815-2379"</f>
        <v>Serv.Prest. 22/09/2025 a 25/09/2025 - PIX: CELULAR - CHAVE: (33) 99815-2379</v>
      </c>
      <c r="I5533" t="str">
        <f t="shared" si="971"/>
        <v>09/10/2025</v>
      </c>
      <c r="J5533" t="str">
        <f t="shared" si="974"/>
        <v>26/09/2025</v>
      </c>
      <c r="K5533" t="str">
        <f>("09/10/2025")</f>
        <v>09/10/2025</v>
      </c>
      <c r="L5533">
        <v>700</v>
      </c>
      <c r="M5533">
        <v>700</v>
      </c>
      <c r="N5533">
        <v>109</v>
      </c>
      <c r="O5533" t="str">
        <f>"PAGAMENTO DE ENTREGADORES"</f>
        <v>PAGAMENTO DE ENTREGADORES</v>
      </c>
      <c r="P5533">
        <v>700</v>
      </c>
      <c r="S5533" t="str">
        <f>"BANCO C6 (149)"</f>
        <v>BANCO C6 (149)</v>
      </c>
      <c r="T5533">
        <v>19924</v>
      </c>
      <c r="U5533">
        <v>22610</v>
      </c>
      <c r="V5533" t="s">
        <v>77</v>
      </c>
    </row>
    <row r="5534" spans="1:22">
      <c r="A5534" t="str">
        <f t="shared" si="975"/>
        <v>09/10/2025</v>
      </c>
      <c r="B5534" t="str">
        <f t="shared" si="969"/>
        <v>SAÍDA</v>
      </c>
      <c r="C5534" t="str">
        <f t="shared" si="972"/>
        <v>PIX</v>
      </c>
      <c r="D5534" t="str">
        <f>"22610"</f>
        <v>22610</v>
      </c>
      <c r="E5534" t="str">
        <f t="shared" si="973"/>
        <v>1</v>
      </c>
      <c r="F5534" t="str">
        <f t="shared" si="970"/>
        <v>COM</v>
      </c>
      <c r="G5534" t="str">
        <f>"MARCOS DIONI RODRIGUES GASPAR (506)"</f>
        <v>MARCOS DIONI RODRIGUES GASPAR (506)</v>
      </c>
      <c r="H5534" t="s">
        <v>1458</v>
      </c>
      <c r="I5534" t="str">
        <f t="shared" si="971"/>
        <v>09/10/2025</v>
      </c>
      <c r="J5534" t="str">
        <f t="shared" si="974"/>
        <v>26/09/2025</v>
      </c>
      <c r="K5534">
        <v>45939</v>
      </c>
      <c r="N5534">
        <v>109</v>
      </c>
      <c r="O5534" t="s">
        <v>24</v>
      </c>
      <c r="Q5534">
        <v>700</v>
      </c>
      <c r="R5534" t="str">
        <f>"FARMÁCIA INDIANA LJ 06 (10006)"</f>
        <v>FARMÁCIA INDIANA LJ 06 (10006)</v>
      </c>
      <c r="S5534" t="s">
        <v>77</v>
      </c>
      <c r="T5534">
        <v>19924</v>
      </c>
      <c r="U5534">
        <v>22610</v>
      </c>
      <c r="V5534" t="s">
        <v>77</v>
      </c>
    </row>
    <row r="5535" spans="1:22">
      <c r="A5535" t="str">
        <f t="shared" si="975"/>
        <v>09/10/2025</v>
      </c>
      <c r="B5535" t="str">
        <f t="shared" si="969"/>
        <v>SAÍDA</v>
      </c>
      <c r="C5535" t="str">
        <f t="shared" si="972"/>
        <v>PIX</v>
      </c>
      <c r="D5535" t="str">
        <f>"22611"</f>
        <v>22611</v>
      </c>
      <c r="E5535" t="str">
        <f t="shared" si="973"/>
        <v>1</v>
      </c>
      <c r="F5535" t="str">
        <f t="shared" si="970"/>
        <v>COM</v>
      </c>
      <c r="G5535" t="str">
        <f>"MARCOS RODRIGUES PENA (64)"</f>
        <v>MARCOS RODRIGUES PENA (64)</v>
      </c>
      <c r="H5535" t="str">
        <f>"Serv.Prest. 22/09/2025 a 25/09/2025 - PIX: CELULAR - CHAVE: (33) 99194-2339"</f>
        <v>Serv.Prest. 22/09/2025 a 25/09/2025 - PIX: CELULAR - CHAVE: (33) 99194-2339</v>
      </c>
      <c r="I5535" t="str">
        <f t="shared" si="971"/>
        <v>09/10/2025</v>
      </c>
      <c r="J5535" t="str">
        <f t="shared" si="974"/>
        <v>26/09/2025</v>
      </c>
      <c r="K5535" t="str">
        <f>("09/10/2025")</f>
        <v>09/10/2025</v>
      </c>
      <c r="L5535">
        <v>585</v>
      </c>
      <c r="M5535">
        <v>585</v>
      </c>
      <c r="N5535">
        <v>109</v>
      </c>
      <c r="O5535" t="str">
        <f>"PAGAMENTO DE ENTREGADORES"</f>
        <v>PAGAMENTO DE ENTREGADORES</v>
      </c>
      <c r="P5535">
        <v>585</v>
      </c>
      <c r="S5535" t="str">
        <f>"BANCO C6 (149)"</f>
        <v>BANCO C6 (149)</v>
      </c>
      <c r="T5535">
        <v>19925</v>
      </c>
      <c r="U5535">
        <v>22611</v>
      </c>
      <c r="V5535" t="s">
        <v>77</v>
      </c>
    </row>
    <row r="5536" spans="1:22">
      <c r="A5536" t="str">
        <f t="shared" si="975"/>
        <v>09/10/2025</v>
      </c>
      <c r="B5536" t="str">
        <f t="shared" si="969"/>
        <v>SAÍDA</v>
      </c>
      <c r="C5536" t="str">
        <f t="shared" si="972"/>
        <v>PIX</v>
      </c>
      <c r="D5536" t="str">
        <f>"22611"</f>
        <v>22611</v>
      </c>
      <c r="E5536" t="str">
        <f t="shared" si="973"/>
        <v>1</v>
      </c>
      <c r="F5536" t="str">
        <f t="shared" si="970"/>
        <v>COM</v>
      </c>
      <c r="G5536" t="str">
        <f>"MARCOS RODRIGUES PENA (64)"</f>
        <v>MARCOS RODRIGUES PENA (64)</v>
      </c>
      <c r="H5536" t="s">
        <v>1459</v>
      </c>
      <c r="I5536" t="str">
        <f t="shared" si="971"/>
        <v>09/10/2025</v>
      </c>
      <c r="J5536" t="str">
        <f t="shared" si="974"/>
        <v>26/09/2025</v>
      </c>
      <c r="K5536">
        <v>45939</v>
      </c>
      <c r="N5536">
        <v>109</v>
      </c>
      <c r="O5536" t="s">
        <v>24</v>
      </c>
      <c r="Q5536">
        <v>585</v>
      </c>
      <c r="R5536" t="str">
        <f>"FARMÁCIA INDIANA LJ 62 (10028)"</f>
        <v>FARMÁCIA INDIANA LJ 62 (10028)</v>
      </c>
      <c r="S5536" t="s">
        <v>77</v>
      </c>
      <c r="T5536">
        <v>19925</v>
      </c>
      <c r="U5536">
        <v>22611</v>
      </c>
      <c r="V5536" t="s">
        <v>77</v>
      </c>
    </row>
    <row r="5537" spans="1:22">
      <c r="A5537" t="str">
        <f t="shared" si="975"/>
        <v>09/10/2025</v>
      </c>
      <c r="B5537" t="str">
        <f t="shared" si="969"/>
        <v>SAÍDA</v>
      </c>
      <c r="C5537" t="str">
        <f t="shared" si="972"/>
        <v>PIX</v>
      </c>
      <c r="D5537" t="str">
        <f>"22612"</f>
        <v>22612</v>
      </c>
      <c r="E5537" t="str">
        <f t="shared" si="973"/>
        <v>1</v>
      </c>
      <c r="F5537" t="str">
        <f t="shared" si="970"/>
        <v>COM</v>
      </c>
      <c r="G5537" t="str">
        <f>"MATHEUS ALMEIDA RAMOS (47)"</f>
        <v>MATHEUS ALMEIDA RAMOS (47)</v>
      </c>
      <c r="H5537" t="str">
        <f>"Serv.Prest. 22/09/2025 a 25/09/2025 - PIX: CELULAR - CHAVE: (33) 98884-1637"</f>
        <v>Serv.Prest. 22/09/2025 a 25/09/2025 - PIX: CELULAR - CHAVE: (33) 98884-1637</v>
      </c>
      <c r="I5537" t="str">
        <f t="shared" si="971"/>
        <v>09/10/2025</v>
      </c>
      <c r="J5537" t="str">
        <f t="shared" si="974"/>
        <v>26/09/2025</v>
      </c>
      <c r="K5537" t="str">
        <f>("09/10/2025")</f>
        <v>09/10/2025</v>
      </c>
      <c r="L5537">
        <v>336</v>
      </c>
      <c r="M5537">
        <v>336</v>
      </c>
      <c r="N5537">
        <v>109</v>
      </c>
      <c r="O5537" t="str">
        <f>"PAGAMENTO DE ENTREGADORES"</f>
        <v>PAGAMENTO DE ENTREGADORES</v>
      </c>
      <c r="P5537">
        <v>336</v>
      </c>
      <c r="S5537" t="str">
        <f>"BANCO C6 (149)"</f>
        <v>BANCO C6 (149)</v>
      </c>
      <c r="T5537">
        <v>19926</v>
      </c>
      <c r="U5537">
        <v>22612</v>
      </c>
      <c r="V5537" t="s">
        <v>77</v>
      </c>
    </row>
    <row r="5538" spans="1:22">
      <c r="A5538" t="str">
        <f t="shared" si="975"/>
        <v>09/10/2025</v>
      </c>
      <c r="B5538" t="str">
        <f t="shared" si="969"/>
        <v>SAÍDA</v>
      </c>
      <c r="C5538" t="str">
        <f t="shared" si="972"/>
        <v>PIX</v>
      </c>
      <c r="D5538" t="str">
        <f>"22612"</f>
        <v>22612</v>
      </c>
      <c r="E5538" t="str">
        <f t="shared" si="973"/>
        <v>1</v>
      </c>
      <c r="F5538" t="str">
        <f t="shared" si="970"/>
        <v>COM</v>
      </c>
      <c r="G5538" t="str">
        <f>"MATHEUS ALMEIDA RAMOS (47)"</f>
        <v>MATHEUS ALMEIDA RAMOS (47)</v>
      </c>
      <c r="H5538" t="s">
        <v>1552</v>
      </c>
      <c r="I5538" t="str">
        <f t="shared" si="971"/>
        <v>09/10/2025</v>
      </c>
      <c r="J5538" t="str">
        <f t="shared" si="974"/>
        <v>26/09/2025</v>
      </c>
      <c r="K5538">
        <v>45939</v>
      </c>
      <c r="N5538">
        <v>109</v>
      </c>
      <c r="O5538" t="s">
        <v>24</v>
      </c>
      <c r="Q5538">
        <v>336</v>
      </c>
      <c r="R5538" t="str">
        <f>"FARMÁCIA INDIANA LJ 07 (10007)"</f>
        <v>FARMÁCIA INDIANA LJ 07 (10007)</v>
      </c>
      <c r="S5538" t="s">
        <v>77</v>
      </c>
      <c r="T5538">
        <v>19926</v>
      </c>
      <c r="U5538">
        <v>22612</v>
      </c>
      <c r="V5538" t="s">
        <v>77</v>
      </c>
    </row>
    <row r="5539" spans="1:22">
      <c r="A5539" t="str">
        <f t="shared" si="975"/>
        <v>09/10/2025</v>
      </c>
      <c r="B5539" t="str">
        <f t="shared" si="969"/>
        <v>SAÍDA</v>
      </c>
      <c r="C5539" t="str">
        <f t="shared" si="972"/>
        <v>PIX</v>
      </c>
      <c r="D5539" t="str">
        <f>"22613"</f>
        <v>22613</v>
      </c>
      <c r="E5539" t="str">
        <f t="shared" si="973"/>
        <v>1</v>
      </c>
      <c r="F5539" t="str">
        <f t="shared" si="970"/>
        <v>COM</v>
      </c>
      <c r="G5539" t="str">
        <f>"MATHEUS VIEIRA DA SILVA (886)"</f>
        <v>MATHEUS VIEIRA DA SILVA (886)</v>
      </c>
      <c r="H5539" t="str">
        <f>"Serv.Prest. 22/09/2025 a 25/09/2025 - PIX: E-MAIL - CHAVE: meamatheusvieira@gmail.com"</f>
        <v>Serv.Prest. 22/09/2025 a 25/09/2025 - PIX: E-MAIL - CHAVE: meamatheusvieira@gmail.com</v>
      </c>
      <c r="I5539" t="str">
        <f t="shared" si="971"/>
        <v>09/10/2025</v>
      </c>
      <c r="J5539" t="str">
        <f t="shared" si="974"/>
        <v>26/09/2025</v>
      </c>
      <c r="K5539" t="str">
        <f>("09/10/2025")</f>
        <v>09/10/2025</v>
      </c>
      <c r="L5539">
        <v>484</v>
      </c>
      <c r="M5539">
        <v>484</v>
      </c>
      <c r="N5539">
        <v>109</v>
      </c>
      <c r="O5539" t="str">
        <f>"PAGAMENTO DE ENTREGADORES"</f>
        <v>PAGAMENTO DE ENTREGADORES</v>
      </c>
      <c r="P5539">
        <v>484</v>
      </c>
      <c r="S5539" t="str">
        <f>"BANCO C6 (149)"</f>
        <v>BANCO C6 (149)</v>
      </c>
      <c r="T5539">
        <v>19927</v>
      </c>
      <c r="U5539">
        <v>22613</v>
      </c>
      <c r="V5539" t="s">
        <v>77</v>
      </c>
    </row>
    <row r="5540" spans="1:22">
      <c r="A5540" t="str">
        <f t="shared" si="975"/>
        <v>09/10/2025</v>
      </c>
      <c r="B5540" t="str">
        <f t="shared" si="969"/>
        <v>SAÍDA</v>
      </c>
      <c r="C5540" t="str">
        <f t="shared" si="972"/>
        <v>PIX</v>
      </c>
      <c r="D5540" t="str">
        <f>"22613"</f>
        <v>22613</v>
      </c>
      <c r="E5540" t="str">
        <f t="shared" si="973"/>
        <v>1</v>
      </c>
      <c r="F5540" t="str">
        <f t="shared" si="970"/>
        <v>COM</v>
      </c>
      <c r="G5540" t="str">
        <f>"MATHEUS VIEIRA DA SILVA (886)"</f>
        <v>MATHEUS VIEIRA DA SILVA (886)</v>
      </c>
      <c r="H5540" t="s">
        <v>1461</v>
      </c>
      <c r="I5540" t="str">
        <f t="shared" si="971"/>
        <v>09/10/2025</v>
      </c>
      <c r="J5540" t="str">
        <f t="shared" si="974"/>
        <v>26/09/2025</v>
      </c>
      <c r="K5540">
        <v>45939</v>
      </c>
      <c r="N5540">
        <v>109</v>
      </c>
      <c r="O5540" t="s">
        <v>24</v>
      </c>
      <c r="Q5540">
        <v>484</v>
      </c>
      <c r="R5540" t="str">
        <f>"FARMÁCIA INDIANA LJ 07 (10007)"</f>
        <v>FARMÁCIA INDIANA LJ 07 (10007)</v>
      </c>
      <c r="S5540" t="s">
        <v>77</v>
      </c>
      <c r="T5540">
        <v>19927</v>
      </c>
      <c r="U5540">
        <v>22613</v>
      </c>
      <c r="V5540" t="s">
        <v>77</v>
      </c>
    </row>
    <row r="5541" spans="1:22">
      <c r="A5541" t="str">
        <f t="shared" si="975"/>
        <v>09/10/2025</v>
      </c>
      <c r="B5541" t="str">
        <f t="shared" si="969"/>
        <v>SAÍDA</v>
      </c>
      <c r="C5541" t="str">
        <f t="shared" si="972"/>
        <v>PIX</v>
      </c>
      <c r="D5541" t="str">
        <f>"22614"</f>
        <v>22614</v>
      </c>
      <c r="E5541" t="str">
        <f t="shared" si="973"/>
        <v>1</v>
      </c>
      <c r="F5541" t="str">
        <f t="shared" si="970"/>
        <v>COM</v>
      </c>
      <c r="G5541" t="str">
        <f>"MAURO AUGUSTO MACHADO DE ASSIS (767)"</f>
        <v>MAURO AUGUSTO MACHADO DE ASSIS (767)</v>
      </c>
      <c r="H5541" t="str">
        <f>"Serv.Prest. 22/09/2025 a 25/09/2025 - PIX: CPF - CHAVE: 163.330.766-27"</f>
        <v>Serv.Prest. 22/09/2025 a 25/09/2025 - PIX: CPF - CHAVE: 163.330.766-27</v>
      </c>
      <c r="I5541" t="str">
        <f t="shared" si="971"/>
        <v>09/10/2025</v>
      </c>
      <c r="J5541" t="str">
        <f t="shared" si="974"/>
        <v>26/09/2025</v>
      </c>
      <c r="K5541" t="str">
        <f>("09/10/2025")</f>
        <v>09/10/2025</v>
      </c>
      <c r="L5541">
        <v>520</v>
      </c>
      <c r="M5541">
        <v>520</v>
      </c>
      <c r="N5541">
        <v>109</v>
      </c>
      <c r="O5541" t="str">
        <f>"PAGAMENTO DE ENTREGADORES"</f>
        <v>PAGAMENTO DE ENTREGADORES</v>
      </c>
      <c r="P5541">
        <v>520</v>
      </c>
      <c r="S5541" t="str">
        <f>"BANCO C6 (149)"</f>
        <v>BANCO C6 (149)</v>
      </c>
      <c r="T5541">
        <v>19928</v>
      </c>
      <c r="U5541">
        <v>22614</v>
      </c>
      <c r="V5541" t="s">
        <v>77</v>
      </c>
    </row>
    <row r="5542" spans="1:22">
      <c r="A5542" t="str">
        <f t="shared" si="975"/>
        <v>09/10/2025</v>
      </c>
      <c r="B5542" t="str">
        <f t="shared" si="969"/>
        <v>SAÍDA</v>
      </c>
      <c r="C5542" t="str">
        <f t="shared" si="972"/>
        <v>PIX</v>
      </c>
      <c r="D5542" t="str">
        <f>"22614"</f>
        <v>22614</v>
      </c>
      <c r="E5542" t="str">
        <f t="shared" si="973"/>
        <v>1</v>
      </c>
      <c r="F5542" t="str">
        <f t="shared" si="970"/>
        <v>COM</v>
      </c>
      <c r="G5542" t="str">
        <f>"MAURO AUGUSTO MACHADO DE ASSIS (767)"</f>
        <v>MAURO AUGUSTO MACHADO DE ASSIS (767)</v>
      </c>
      <c r="H5542" t="s">
        <v>1462</v>
      </c>
      <c r="I5542" t="str">
        <f t="shared" si="971"/>
        <v>09/10/2025</v>
      </c>
      <c r="J5542" t="str">
        <f t="shared" si="974"/>
        <v>26/09/2025</v>
      </c>
      <c r="K5542">
        <v>45939</v>
      </c>
      <c r="N5542">
        <v>109</v>
      </c>
      <c r="O5542" t="s">
        <v>24</v>
      </c>
      <c r="Q5542">
        <v>271.54000000000002</v>
      </c>
      <c r="R5542" t="str">
        <f>"FARMÁCIA INDIANA LJ 11 (10008)"</f>
        <v>FARMÁCIA INDIANA LJ 11 (10008)</v>
      </c>
      <c r="S5542" t="s">
        <v>77</v>
      </c>
      <c r="T5542">
        <v>19928</v>
      </c>
      <c r="U5542">
        <v>22614</v>
      </c>
      <c r="V5542" t="s">
        <v>77</v>
      </c>
    </row>
    <row r="5543" spans="1:22">
      <c r="A5543" t="str">
        <f t="shared" si="975"/>
        <v>09/10/2025</v>
      </c>
      <c r="B5543" t="str">
        <f t="shared" si="969"/>
        <v>SAÍDA</v>
      </c>
      <c r="C5543" t="str">
        <f t="shared" si="972"/>
        <v>PIX</v>
      </c>
      <c r="D5543" t="str">
        <f>"22614"</f>
        <v>22614</v>
      </c>
      <c r="E5543" t="str">
        <f t="shared" si="973"/>
        <v>1</v>
      </c>
      <c r="F5543" t="str">
        <f t="shared" si="970"/>
        <v>COM</v>
      </c>
      <c r="G5543" t="str">
        <f>"MAURO AUGUSTO MACHADO DE ASSIS (767)"</f>
        <v>MAURO AUGUSTO MACHADO DE ASSIS (767)</v>
      </c>
      <c r="H5543" t="s">
        <v>1462</v>
      </c>
      <c r="I5543" t="str">
        <f t="shared" si="971"/>
        <v>09/10/2025</v>
      </c>
      <c r="J5543" t="str">
        <f t="shared" si="974"/>
        <v>26/09/2025</v>
      </c>
      <c r="K5543">
        <v>45939</v>
      </c>
      <c r="N5543">
        <v>109</v>
      </c>
      <c r="O5543" t="s">
        <v>24</v>
      </c>
      <c r="Q5543">
        <v>248.46</v>
      </c>
      <c r="R5543" t="str">
        <f>"FARMÁCIA INDIANA LJ 172 (10161)"</f>
        <v>FARMÁCIA INDIANA LJ 172 (10161)</v>
      </c>
      <c r="S5543" t="s">
        <v>77</v>
      </c>
      <c r="T5543">
        <v>19928</v>
      </c>
      <c r="U5543">
        <v>22614</v>
      </c>
      <c r="V5543" t="s">
        <v>77</v>
      </c>
    </row>
    <row r="5544" spans="1:22">
      <c r="A5544" t="str">
        <f t="shared" si="975"/>
        <v>09/10/2025</v>
      </c>
      <c r="B5544" t="str">
        <f t="shared" si="969"/>
        <v>SAÍDA</v>
      </c>
      <c r="C5544" t="str">
        <f t="shared" si="972"/>
        <v>PIX</v>
      </c>
      <c r="D5544" t="str">
        <f>"22615"</f>
        <v>22615</v>
      </c>
      <c r="E5544" t="str">
        <f t="shared" si="973"/>
        <v>1</v>
      </c>
      <c r="F5544" t="str">
        <f t="shared" si="970"/>
        <v>COM</v>
      </c>
      <c r="G5544" t="str">
        <f>"MAYCON GUILHERME DUARTE (541)"</f>
        <v>MAYCON GUILHERME DUARTE (541)</v>
      </c>
      <c r="H5544" t="str">
        <f>"Serv.Prest. 22/09/2025 a 25/09/2025 - PIX: CELULAR - CHAVE: (31) 99076-6539"</f>
        <v>Serv.Prest. 22/09/2025 a 25/09/2025 - PIX: CELULAR - CHAVE: (31) 99076-6539</v>
      </c>
      <c r="I5544" t="str">
        <f t="shared" si="971"/>
        <v>09/10/2025</v>
      </c>
      <c r="J5544" t="str">
        <f t="shared" si="974"/>
        <v>26/09/2025</v>
      </c>
      <c r="K5544" t="str">
        <f>("09/10/2025")</f>
        <v>09/10/2025</v>
      </c>
      <c r="L5544">
        <v>934</v>
      </c>
      <c r="M5544">
        <v>934</v>
      </c>
      <c r="N5544">
        <v>109</v>
      </c>
      <c r="O5544" t="str">
        <f>"PAGAMENTO DE ENTREGADORES"</f>
        <v>PAGAMENTO DE ENTREGADORES</v>
      </c>
      <c r="P5544">
        <v>934</v>
      </c>
      <c r="S5544" t="str">
        <f>"BANCO C6 (149)"</f>
        <v>BANCO C6 (149)</v>
      </c>
      <c r="T5544">
        <v>19929</v>
      </c>
      <c r="U5544">
        <v>22615</v>
      </c>
      <c r="V5544" t="s">
        <v>77</v>
      </c>
    </row>
    <row r="5545" spans="1:22">
      <c r="A5545" t="str">
        <f t="shared" si="975"/>
        <v>09/10/2025</v>
      </c>
      <c r="B5545" t="str">
        <f t="shared" si="969"/>
        <v>SAÍDA</v>
      </c>
      <c r="C5545" t="str">
        <f t="shared" si="972"/>
        <v>PIX</v>
      </c>
      <c r="D5545" t="str">
        <f>"22615"</f>
        <v>22615</v>
      </c>
      <c r="E5545" t="str">
        <f t="shared" si="973"/>
        <v>1</v>
      </c>
      <c r="F5545" t="str">
        <f t="shared" si="970"/>
        <v>COM</v>
      </c>
      <c r="G5545" t="str">
        <f>"MAYCON GUILHERME DUARTE (541)"</f>
        <v>MAYCON GUILHERME DUARTE (541)</v>
      </c>
      <c r="H5545" t="s">
        <v>1463</v>
      </c>
      <c r="I5545" t="str">
        <f t="shared" si="971"/>
        <v>09/10/2025</v>
      </c>
      <c r="J5545" t="str">
        <f t="shared" si="974"/>
        <v>26/09/2025</v>
      </c>
      <c r="K5545">
        <v>45939</v>
      </c>
      <c r="N5545">
        <v>109</v>
      </c>
      <c r="O5545" t="s">
        <v>24</v>
      </c>
      <c r="Q5545">
        <v>934</v>
      </c>
      <c r="R5545" t="str">
        <f>"FARMÁCIA INDIANA LJ 220 (10092)"</f>
        <v>FARMÁCIA INDIANA LJ 220 (10092)</v>
      </c>
      <c r="S5545" t="s">
        <v>77</v>
      </c>
      <c r="T5545">
        <v>19929</v>
      </c>
      <c r="U5545">
        <v>22615</v>
      </c>
      <c r="V5545" t="s">
        <v>77</v>
      </c>
    </row>
    <row r="5546" spans="1:22">
      <c r="A5546" t="str">
        <f t="shared" si="975"/>
        <v>09/10/2025</v>
      </c>
      <c r="B5546" t="str">
        <f t="shared" si="969"/>
        <v>SAÍDA</v>
      </c>
      <c r="C5546" t="str">
        <f t="shared" si="972"/>
        <v>PIX</v>
      </c>
      <c r="D5546" t="str">
        <f>"22616"</f>
        <v>22616</v>
      </c>
      <c r="E5546" t="str">
        <f t="shared" si="973"/>
        <v>1</v>
      </c>
      <c r="F5546" t="str">
        <f t="shared" si="970"/>
        <v>COM</v>
      </c>
      <c r="G5546" t="str">
        <f>"MIGUEL PESSOA RAMOS (68)"</f>
        <v>MIGUEL PESSOA RAMOS (68)</v>
      </c>
      <c r="H5546" t="str">
        <f>"Serv.Prest. 22/09/2025 a 25/09/2025 - PIX: CELULAR - CHAVE: (33) 99845-0493"</f>
        <v>Serv.Prest. 22/09/2025 a 25/09/2025 - PIX: CELULAR - CHAVE: (33) 99845-0493</v>
      </c>
      <c r="I5546" t="str">
        <f t="shared" si="971"/>
        <v>09/10/2025</v>
      </c>
      <c r="J5546" t="str">
        <f t="shared" si="974"/>
        <v>26/09/2025</v>
      </c>
      <c r="K5546" t="str">
        <f>("09/10/2025")</f>
        <v>09/10/2025</v>
      </c>
      <c r="L5546">
        <v>438</v>
      </c>
      <c r="M5546">
        <v>438</v>
      </c>
      <c r="N5546">
        <v>109</v>
      </c>
      <c r="O5546" t="str">
        <f>"PAGAMENTO DE ENTREGADORES"</f>
        <v>PAGAMENTO DE ENTREGADORES</v>
      </c>
      <c r="P5546">
        <v>438</v>
      </c>
      <c r="S5546" t="str">
        <f>"BANCO C6 (149)"</f>
        <v>BANCO C6 (149)</v>
      </c>
      <c r="T5546">
        <v>19930</v>
      </c>
      <c r="U5546">
        <v>22616</v>
      </c>
      <c r="V5546" t="s">
        <v>77</v>
      </c>
    </row>
    <row r="5547" spans="1:22">
      <c r="A5547" t="str">
        <f t="shared" si="975"/>
        <v>09/10/2025</v>
      </c>
      <c r="B5547" t="str">
        <f t="shared" ref="B5547:B5610" si="976">"SAÍDA"</f>
        <v>SAÍDA</v>
      </c>
      <c r="C5547" t="str">
        <f t="shared" si="972"/>
        <v>PIX</v>
      </c>
      <c r="D5547" t="str">
        <f>"22616"</f>
        <v>22616</v>
      </c>
      <c r="E5547" t="str">
        <f t="shared" si="973"/>
        <v>1</v>
      </c>
      <c r="F5547" t="str">
        <f t="shared" si="970"/>
        <v>COM</v>
      </c>
      <c r="G5547" t="str">
        <f>"MIGUEL PESSOA RAMOS (68)"</f>
        <v>MIGUEL PESSOA RAMOS (68)</v>
      </c>
      <c r="H5547" t="s">
        <v>1553</v>
      </c>
      <c r="I5547" t="str">
        <f t="shared" si="971"/>
        <v>09/10/2025</v>
      </c>
      <c r="J5547" t="str">
        <f t="shared" si="974"/>
        <v>26/09/2025</v>
      </c>
      <c r="K5547">
        <v>45939</v>
      </c>
      <c r="N5547">
        <v>109</v>
      </c>
      <c r="O5547" t="s">
        <v>24</v>
      </c>
      <c r="Q5547">
        <v>438</v>
      </c>
      <c r="R5547" t="str">
        <f>"FARMÁCIA INDIANA LJ 07 (10007)"</f>
        <v>FARMÁCIA INDIANA LJ 07 (10007)</v>
      </c>
      <c r="S5547" t="s">
        <v>77</v>
      </c>
      <c r="T5547">
        <v>19930</v>
      </c>
      <c r="U5547">
        <v>22616</v>
      </c>
      <c r="V5547" t="s">
        <v>77</v>
      </c>
    </row>
    <row r="5548" spans="1:22">
      <c r="A5548" t="str">
        <f t="shared" si="975"/>
        <v>09/10/2025</v>
      </c>
      <c r="B5548" t="str">
        <f t="shared" si="976"/>
        <v>SAÍDA</v>
      </c>
      <c r="C5548" t="str">
        <f t="shared" si="972"/>
        <v>PIX</v>
      </c>
      <c r="D5548" t="str">
        <f>"22617"</f>
        <v>22617</v>
      </c>
      <c r="E5548" t="str">
        <f t="shared" si="973"/>
        <v>1</v>
      </c>
      <c r="F5548" t="str">
        <f t="shared" si="970"/>
        <v>COM</v>
      </c>
      <c r="G5548" t="str">
        <f>"MURILO BARRETO AFONSO (30)"</f>
        <v>MURILO BARRETO AFONSO (30)</v>
      </c>
      <c r="H5548" t="str">
        <f>"Serv.Prest. 22/09/2025 a 25/09/2025 - PIX: CPF - CHAVE: 123.020.026-60"</f>
        <v>Serv.Prest. 22/09/2025 a 25/09/2025 - PIX: CPF - CHAVE: 123.020.026-60</v>
      </c>
      <c r="I5548" t="str">
        <f t="shared" si="971"/>
        <v>09/10/2025</v>
      </c>
      <c r="J5548" t="str">
        <f t="shared" si="974"/>
        <v>26/09/2025</v>
      </c>
      <c r="K5548" t="str">
        <f>("09/10/2025")</f>
        <v>09/10/2025</v>
      </c>
      <c r="L5548">
        <v>1180</v>
      </c>
      <c r="M5548">
        <v>1180</v>
      </c>
      <c r="N5548">
        <v>109</v>
      </c>
      <c r="O5548" t="str">
        <f>"PAGAMENTO DE ENTREGADORES"</f>
        <v>PAGAMENTO DE ENTREGADORES</v>
      </c>
      <c r="P5548">
        <v>1180</v>
      </c>
      <c r="S5548" t="str">
        <f>"BANCO C6 (149)"</f>
        <v>BANCO C6 (149)</v>
      </c>
      <c r="T5548">
        <v>19931</v>
      </c>
      <c r="U5548">
        <v>22617</v>
      </c>
      <c r="V5548" t="s">
        <v>77</v>
      </c>
    </row>
    <row r="5549" spans="1:22">
      <c r="A5549" t="str">
        <f t="shared" si="975"/>
        <v>09/10/2025</v>
      </c>
      <c r="B5549" t="str">
        <f t="shared" si="976"/>
        <v>SAÍDA</v>
      </c>
      <c r="C5549" t="str">
        <f t="shared" si="972"/>
        <v>PIX</v>
      </c>
      <c r="D5549" t="str">
        <f>"22617"</f>
        <v>22617</v>
      </c>
      <c r="E5549" t="str">
        <f t="shared" si="973"/>
        <v>1</v>
      </c>
      <c r="F5549" t="str">
        <f t="shared" si="970"/>
        <v>COM</v>
      </c>
      <c r="G5549" t="str">
        <f>"MURILO BARRETO AFONSO (30)"</f>
        <v>MURILO BARRETO AFONSO (30)</v>
      </c>
      <c r="H5549" t="s">
        <v>1465</v>
      </c>
      <c r="I5549" t="str">
        <f t="shared" si="971"/>
        <v>09/10/2025</v>
      </c>
      <c r="J5549" t="str">
        <f t="shared" si="974"/>
        <v>26/09/2025</v>
      </c>
      <c r="K5549">
        <v>45939</v>
      </c>
      <c r="N5549">
        <v>109</v>
      </c>
      <c r="O5549" t="s">
        <v>24</v>
      </c>
      <c r="Q5549">
        <v>624.69000000000005</v>
      </c>
      <c r="R5549" t="str">
        <f>"FARMÁCIA INDIANA LJ 118 (10052)"</f>
        <v>FARMÁCIA INDIANA LJ 118 (10052)</v>
      </c>
      <c r="S5549" t="s">
        <v>77</v>
      </c>
      <c r="T5549">
        <v>19931</v>
      </c>
      <c r="U5549">
        <v>22617</v>
      </c>
      <c r="V5549" t="s">
        <v>77</v>
      </c>
    </row>
    <row r="5550" spans="1:22">
      <c r="A5550" t="str">
        <f t="shared" si="975"/>
        <v>09/10/2025</v>
      </c>
      <c r="B5550" t="str">
        <f t="shared" si="976"/>
        <v>SAÍDA</v>
      </c>
      <c r="C5550" t="str">
        <f t="shared" si="972"/>
        <v>PIX</v>
      </c>
      <c r="D5550" t="str">
        <f>"22617"</f>
        <v>22617</v>
      </c>
      <c r="E5550" t="str">
        <f t="shared" si="973"/>
        <v>1</v>
      </c>
      <c r="F5550" t="str">
        <f t="shared" ref="F5550:F5613" si="977">"COM"</f>
        <v>COM</v>
      </c>
      <c r="G5550" t="str">
        <f>"MURILO BARRETO AFONSO (30)"</f>
        <v>MURILO BARRETO AFONSO (30)</v>
      </c>
      <c r="H5550" t="s">
        <v>1465</v>
      </c>
      <c r="I5550" t="str">
        <f t="shared" si="971"/>
        <v>09/10/2025</v>
      </c>
      <c r="J5550" t="str">
        <f t="shared" si="974"/>
        <v>26/09/2025</v>
      </c>
      <c r="K5550">
        <v>45939</v>
      </c>
      <c r="N5550">
        <v>109</v>
      </c>
      <c r="O5550" t="s">
        <v>24</v>
      </c>
      <c r="Q5550">
        <v>555.30999999999995</v>
      </c>
      <c r="R5550" t="str">
        <f>"FARMÁCIA INDIANA LJ 192 (10082)"</f>
        <v>FARMÁCIA INDIANA LJ 192 (10082)</v>
      </c>
      <c r="S5550" t="s">
        <v>77</v>
      </c>
      <c r="T5550">
        <v>19931</v>
      </c>
      <c r="U5550">
        <v>22617</v>
      </c>
      <c r="V5550" t="s">
        <v>77</v>
      </c>
    </row>
    <row r="5551" spans="1:22">
      <c r="A5551" t="str">
        <f t="shared" si="975"/>
        <v>09/10/2025</v>
      </c>
      <c r="B5551" t="str">
        <f t="shared" si="976"/>
        <v>SAÍDA</v>
      </c>
      <c r="C5551" t="str">
        <f t="shared" si="972"/>
        <v>PIX</v>
      </c>
      <c r="D5551" t="str">
        <f>"22618"</f>
        <v>22618</v>
      </c>
      <c r="E5551" t="str">
        <f t="shared" si="973"/>
        <v>1</v>
      </c>
      <c r="F5551" t="str">
        <f t="shared" si="977"/>
        <v>COM</v>
      </c>
      <c r="G5551" t="str">
        <f>"NATÁLIA KAROLAINE GOMES BATISTA (936)"</f>
        <v>NATÁLIA KAROLAINE GOMES BATISTA (936)</v>
      </c>
      <c r="H5551" t="str">
        <f>"Serv.Prest. 22/09/2025 a 25/09/2025 - PIX: CELULAR - CHAVE: (33) 98817-9868"</f>
        <v>Serv.Prest. 22/09/2025 a 25/09/2025 - PIX: CELULAR - CHAVE: (33) 98817-9868</v>
      </c>
      <c r="I5551" t="str">
        <f t="shared" si="971"/>
        <v>09/10/2025</v>
      </c>
      <c r="J5551" t="str">
        <f t="shared" si="974"/>
        <v>26/09/2025</v>
      </c>
      <c r="K5551" t="str">
        <f>("09/10/2025")</f>
        <v>09/10/2025</v>
      </c>
      <c r="L5551">
        <v>486</v>
      </c>
      <c r="M5551">
        <v>486</v>
      </c>
      <c r="N5551">
        <v>109</v>
      </c>
      <c r="O5551" t="str">
        <f>"PAGAMENTO DE ENTREGADORES"</f>
        <v>PAGAMENTO DE ENTREGADORES</v>
      </c>
      <c r="P5551">
        <v>486</v>
      </c>
      <c r="S5551" t="str">
        <f>"BANCO C6 (149)"</f>
        <v>BANCO C6 (149)</v>
      </c>
      <c r="T5551">
        <v>19932</v>
      </c>
      <c r="U5551">
        <v>22618</v>
      </c>
      <c r="V5551" t="s">
        <v>77</v>
      </c>
    </row>
    <row r="5552" spans="1:22">
      <c r="A5552" t="str">
        <f t="shared" si="975"/>
        <v>09/10/2025</v>
      </c>
      <c r="B5552" t="str">
        <f t="shared" si="976"/>
        <v>SAÍDA</v>
      </c>
      <c r="C5552" t="str">
        <f t="shared" si="972"/>
        <v>PIX</v>
      </c>
      <c r="D5552" t="str">
        <f>"22618"</f>
        <v>22618</v>
      </c>
      <c r="E5552" t="str">
        <f t="shared" si="973"/>
        <v>1</v>
      </c>
      <c r="F5552" t="str">
        <f t="shared" si="977"/>
        <v>COM</v>
      </c>
      <c r="G5552" t="str">
        <f>"NATÁLIA KAROLAINE GOMES BATISTA (936)"</f>
        <v>NATÁLIA KAROLAINE GOMES BATISTA (936)</v>
      </c>
      <c r="H5552" t="s">
        <v>1554</v>
      </c>
      <c r="I5552" t="str">
        <f t="shared" si="971"/>
        <v>09/10/2025</v>
      </c>
      <c r="J5552" t="str">
        <f t="shared" si="974"/>
        <v>26/09/2025</v>
      </c>
      <c r="K5552">
        <v>45939</v>
      </c>
      <c r="N5552">
        <v>109</v>
      </c>
      <c r="O5552" t="s">
        <v>24</v>
      </c>
      <c r="Q5552">
        <v>486</v>
      </c>
      <c r="R5552" t="str">
        <f>"FARMÁCIA INDIANA LJ 07 (10007)"</f>
        <v>FARMÁCIA INDIANA LJ 07 (10007)</v>
      </c>
      <c r="S5552" t="s">
        <v>77</v>
      </c>
      <c r="T5552">
        <v>19932</v>
      </c>
      <c r="U5552">
        <v>22618</v>
      </c>
      <c r="V5552" t="s">
        <v>77</v>
      </c>
    </row>
    <row r="5553" spans="1:22">
      <c r="A5553" t="str">
        <f t="shared" si="975"/>
        <v>09/10/2025</v>
      </c>
      <c r="B5553" t="str">
        <f t="shared" si="976"/>
        <v>SAÍDA</v>
      </c>
      <c r="C5553" t="str">
        <f t="shared" si="972"/>
        <v>PIX</v>
      </c>
      <c r="D5553" t="str">
        <f>"22619"</f>
        <v>22619</v>
      </c>
      <c r="E5553" t="str">
        <f t="shared" si="973"/>
        <v>1</v>
      </c>
      <c r="F5553" t="str">
        <f t="shared" si="977"/>
        <v>COM</v>
      </c>
      <c r="G5553" t="str">
        <f>"NELSON DOS SANTOS RODRIGUES (37)"</f>
        <v>NELSON DOS SANTOS RODRIGUES (37)</v>
      </c>
      <c r="H5553" t="str">
        <f>"Serv.Prest. 22/09/2025 a 25/09/2025 - PIX: CPF - CHAVE: 108.680.396-59"</f>
        <v>Serv.Prest. 22/09/2025 a 25/09/2025 - PIX: CPF - CHAVE: 108.680.396-59</v>
      </c>
      <c r="I5553" t="str">
        <f t="shared" si="971"/>
        <v>09/10/2025</v>
      </c>
      <c r="J5553" t="str">
        <f t="shared" si="974"/>
        <v>26/09/2025</v>
      </c>
      <c r="K5553" t="str">
        <f>("09/10/2025")</f>
        <v>09/10/2025</v>
      </c>
      <c r="L5553">
        <v>1236</v>
      </c>
      <c r="M5553">
        <v>1236</v>
      </c>
      <c r="N5553">
        <v>109</v>
      </c>
      <c r="O5553" t="str">
        <f>"PAGAMENTO DE ENTREGADORES"</f>
        <v>PAGAMENTO DE ENTREGADORES</v>
      </c>
      <c r="P5553">
        <v>1236</v>
      </c>
      <c r="S5553" t="str">
        <f>"BANCO C6 (149)"</f>
        <v>BANCO C6 (149)</v>
      </c>
      <c r="T5553">
        <v>19933</v>
      </c>
      <c r="U5553">
        <v>22619</v>
      </c>
      <c r="V5553" t="s">
        <v>77</v>
      </c>
    </row>
    <row r="5554" spans="1:22">
      <c r="A5554" t="str">
        <f t="shared" si="975"/>
        <v>09/10/2025</v>
      </c>
      <c r="B5554" t="str">
        <f t="shared" si="976"/>
        <v>SAÍDA</v>
      </c>
      <c r="C5554" t="str">
        <f t="shared" si="972"/>
        <v>PIX</v>
      </c>
      <c r="D5554" t="str">
        <f>"22619"</f>
        <v>22619</v>
      </c>
      <c r="E5554" t="str">
        <f t="shared" si="973"/>
        <v>1</v>
      </c>
      <c r="F5554" t="str">
        <f t="shared" si="977"/>
        <v>COM</v>
      </c>
      <c r="G5554" t="str">
        <f>"NELSON DOS SANTOS RODRIGUES (37)"</f>
        <v>NELSON DOS SANTOS RODRIGUES (37)</v>
      </c>
      <c r="H5554" t="s">
        <v>1555</v>
      </c>
      <c r="I5554" t="str">
        <f t="shared" si="971"/>
        <v>09/10/2025</v>
      </c>
      <c r="J5554" t="str">
        <f t="shared" si="974"/>
        <v>26/09/2025</v>
      </c>
      <c r="K5554">
        <v>45939</v>
      </c>
      <c r="N5554">
        <v>109</v>
      </c>
      <c r="O5554" t="s">
        <v>24</v>
      </c>
      <c r="Q5554">
        <v>1236</v>
      </c>
      <c r="R5554" t="str">
        <f>"FARMÁCIA INDIANA LJ 11 (10008)"</f>
        <v>FARMÁCIA INDIANA LJ 11 (10008)</v>
      </c>
      <c r="S5554" t="s">
        <v>77</v>
      </c>
      <c r="T5554">
        <v>19933</v>
      </c>
      <c r="U5554">
        <v>22619</v>
      </c>
      <c r="V5554" t="s">
        <v>77</v>
      </c>
    </row>
    <row r="5555" spans="1:22">
      <c r="A5555" t="str">
        <f t="shared" si="975"/>
        <v>09/10/2025</v>
      </c>
      <c r="B5555" t="str">
        <f t="shared" si="976"/>
        <v>SAÍDA</v>
      </c>
      <c r="C5555" t="str">
        <f t="shared" si="972"/>
        <v>PIX</v>
      </c>
      <c r="D5555" t="str">
        <f>"22620"</f>
        <v>22620</v>
      </c>
      <c r="E5555" t="str">
        <f t="shared" si="973"/>
        <v>1</v>
      </c>
      <c r="F5555" t="str">
        <f t="shared" si="977"/>
        <v>COM</v>
      </c>
      <c r="G5555" t="str">
        <f>"NILTON RODRIGUES DE SOUZA (136)"</f>
        <v>NILTON RODRIGUES DE SOUZA (136)</v>
      </c>
      <c r="H5555" t="str">
        <f>"Serv.Prest. 22/09/2025 a 25/09/2025 - PIX: CPF - CHAVE: 037.974.316-78"</f>
        <v>Serv.Prest. 22/09/2025 a 25/09/2025 - PIX: CPF - CHAVE: 037.974.316-78</v>
      </c>
      <c r="I5555" t="str">
        <f t="shared" si="971"/>
        <v>09/10/2025</v>
      </c>
      <c r="J5555" t="str">
        <f t="shared" si="974"/>
        <v>26/09/2025</v>
      </c>
      <c r="K5555" t="str">
        <f>("09/10/2025")</f>
        <v>09/10/2025</v>
      </c>
      <c r="L5555">
        <v>484</v>
      </c>
      <c r="M5555">
        <v>484</v>
      </c>
      <c r="N5555">
        <v>109</v>
      </c>
      <c r="O5555" t="str">
        <f>"PAGAMENTO DE ENTREGADORES"</f>
        <v>PAGAMENTO DE ENTREGADORES</v>
      </c>
      <c r="P5555">
        <v>484</v>
      </c>
      <c r="S5555" t="str">
        <f>"BANCO C6 (149)"</f>
        <v>BANCO C6 (149)</v>
      </c>
      <c r="T5555">
        <v>19934</v>
      </c>
      <c r="U5555">
        <v>22620</v>
      </c>
      <c r="V5555" t="s">
        <v>77</v>
      </c>
    </row>
    <row r="5556" spans="1:22">
      <c r="A5556" t="str">
        <f t="shared" si="975"/>
        <v>09/10/2025</v>
      </c>
      <c r="B5556" t="str">
        <f t="shared" si="976"/>
        <v>SAÍDA</v>
      </c>
      <c r="C5556" t="str">
        <f t="shared" si="972"/>
        <v>PIX</v>
      </c>
      <c r="D5556" t="str">
        <f>"22620"</f>
        <v>22620</v>
      </c>
      <c r="E5556" t="str">
        <f t="shared" si="973"/>
        <v>1</v>
      </c>
      <c r="F5556" t="str">
        <f t="shared" si="977"/>
        <v>COM</v>
      </c>
      <c r="G5556" t="str">
        <f>"NILTON RODRIGUES DE SOUZA (136)"</f>
        <v>NILTON RODRIGUES DE SOUZA (136)</v>
      </c>
      <c r="H5556" t="s">
        <v>1466</v>
      </c>
      <c r="I5556" t="str">
        <f t="shared" ref="I5556:I5619" si="978">("09/10/2025")</f>
        <v>09/10/2025</v>
      </c>
      <c r="J5556" t="str">
        <f t="shared" si="974"/>
        <v>26/09/2025</v>
      </c>
      <c r="K5556">
        <v>45939</v>
      </c>
      <c r="N5556">
        <v>109</v>
      </c>
      <c r="O5556" t="s">
        <v>24</v>
      </c>
      <c r="Q5556">
        <v>484</v>
      </c>
      <c r="R5556" t="str">
        <f>"FARMÁCIA INDIANA LJ 18 (10011)"</f>
        <v>FARMÁCIA INDIANA LJ 18 (10011)</v>
      </c>
      <c r="S5556" t="s">
        <v>77</v>
      </c>
      <c r="T5556">
        <v>19934</v>
      </c>
      <c r="U5556">
        <v>22620</v>
      </c>
      <c r="V5556" t="s">
        <v>77</v>
      </c>
    </row>
    <row r="5557" spans="1:22">
      <c r="A5557" t="str">
        <f t="shared" si="975"/>
        <v>09/10/2025</v>
      </c>
      <c r="B5557" t="str">
        <f t="shared" si="976"/>
        <v>SAÍDA</v>
      </c>
      <c r="C5557" t="str">
        <f t="shared" si="972"/>
        <v>PIX</v>
      </c>
      <c r="D5557" t="str">
        <f>"22621"</f>
        <v>22621</v>
      </c>
      <c r="E5557" t="str">
        <f t="shared" si="973"/>
        <v>1</v>
      </c>
      <c r="F5557" t="str">
        <f t="shared" si="977"/>
        <v>COM</v>
      </c>
      <c r="G5557" t="str">
        <f>"PATRICK DE SOUZA CORREA (92)"</f>
        <v>PATRICK DE SOUZA CORREA (92)</v>
      </c>
      <c r="H5557" t="str">
        <f>"Serv.Prest. 22/09/2025 a 25/09/2025 - PIX: CELULAR - CHAVE: (31) 99216-8711"</f>
        <v>Serv.Prest. 22/09/2025 a 25/09/2025 - PIX: CELULAR - CHAVE: (31) 99216-8711</v>
      </c>
      <c r="I5557" t="str">
        <f t="shared" si="978"/>
        <v>09/10/2025</v>
      </c>
      <c r="J5557" t="str">
        <f t="shared" si="974"/>
        <v>26/09/2025</v>
      </c>
      <c r="K5557" t="str">
        <f>("09/10/2025")</f>
        <v>09/10/2025</v>
      </c>
      <c r="L5557">
        <v>580</v>
      </c>
      <c r="M5557">
        <v>580</v>
      </c>
      <c r="N5557">
        <v>109</v>
      </c>
      <c r="O5557" t="str">
        <f>"PAGAMENTO DE ENTREGADORES"</f>
        <v>PAGAMENTO DE ENTREGADORES</v>
      </c>
      <c r="P5557">
        <v>580</v>
      </c>
      <c r="S5557" t="str">
        <f>"BANCO C6 (149)"</f>
        <v>BANCO C6 (149)</v>
      </c>
      <c r="T5557">
        <v>19935</v>
      </c>
      <c r="U5557">
        <v>22621</v>
      </c>
      <c r="V5557" t="s">
        <v>77</v>
      </c>
    </row>
    <row r="5558" spans="1:22">
      <c r="A5558" t="str">
        <f t="shared" si="975"/>
        <v>09/10/2025</v>
      </c>
      <c r="B5558" t="str">
        <f t="shared" si="976"/>
        <v>SAÍDA</v>
      </c>
      <c r="C5558" t="str">
        <f t="shared" ref="C5558:C5621" si="979">"PIX"</f>
        <v>PIX</v>
      </c>
      <c r="D5558" t="str">
        <f>"22621"</f>
        <v>22621</v>
      </c>
      <c r="E5558" t="str">
        <f t="shared" ref="E5558:E5621" si="980">"1"</f>
        <v>1</v>
      </c>
      <c r="F5558" t="str">
        <f t="shared" si="977"/>
        <v>COM</v>
      </c>
      <c r="G5558" t="str">
        <f>"PATRICK DE SOUZA CORREA (92)"</f>
        <v>PATRICK DE SOUZA CORREA (92)</v>
      </c>
      <c r="H5558" t="s">
        <v>1468</v>
      </c>
      <c r="I5558" t="str">
        <f t="shared" si="978"/>
        <v>09/10/2025</v>
      </c>
      <c r="J5558" t="str">
        <f t="shared" ref="J5558:J5621" si="981">("26/09/2025")</f>
        <v>26/09/2025</v>
      </c>
      <c r="K5558">
        <v>45939</v>
      </c>
      <c r="N5558">
        <v>109</v>
      </c>
      <c r="O5558" t="s">
        <v>24</v>
      </c>
      <c r="Q5558">
        <v>386.69</v>
      </c>
      <c r="R5558" t="str">
        <f>"FARMÁCIA INDIANA LJ 184 (10080)"</f>
        <v>FARMÁCIA INDIANA LJ 184 (10080)</v>
      </c>
      <c r="S5558" t="s">
        <v>77</v>
      </c>
      <c r="T5558">
        <v>19935</v>
      </c>
      <c r="U5558">
        <v>22621</v>
      </c>
      <c r="V5558" t="s">
        <v>77</v>
      </c>
    </row>
    <row r="5559" spans="1:22">
      <c r="A5559" t="str">
        <f t="shared" si="975"/>
        <v>09/10/2025</v>
      </c>
      <c r="B5559" t="str">
        <f t="shared" si="976"/>
        <v>SAÍDA</v>
      </c>
      <c r="C5559" t="str">
        <f t="shared" si="979"/>
        <v>PIX</v>
      </c>
      <c r="D5559" t="str">
        <f>"22621"</f>
        <v>22621</v>
      </c>
      <c r="E5559" t="str">
        <f t="shared" si="980"/>
        <v>1</v>
      </c>
      <c r="F5559" t="str">
        <f t="shared" si="977"/>
        <v>COM</v>
      </c>
      <c r="G5559" t="str">
        <f>"PATRICK DE SOUZA CORREA (92)"</f>
        <v>PATRICK DE SOUZA CORREA (92)</v>
      </c>
      <c r="H5559" t="s">
        <v>1468</v>
      </c>
      <c r="I5559" t="str">
        <f t="shared" si="978"/>
        <v>09/10/2025</v>
      </c>
      <c r="J5559" t="str">
        <f t="shared" si="981"/>
        <v>26/09/2025</v>
      </c>
      <c r="K5559">
        <v>45939</v>
      </c>
      <c r="N5559">
        <v>109</v>
      </c>
      <c r="O5559" t="s">
        <v>24</v>
      </c>
      <c r="Q5559">
        <v>193.31</v>
      </c>
      <c r="R5559" t="str">
        <f>"FARMÁCIA INDIANA LJ 195 (10083)"</f>
        <v>FARMÁCIA INDIANA LJ 195 (10083)</v>
      </c>
      <c r="S5559" t="s">
        <v>77</v>
      </c>
      <c r="T5559">
        <v>19935</v>
      </c>
      <c r="U5559">
        <v>22621</v>
      </c>
      <c r="V5559" t="s">
        <v>77</v>
      </c>
    </row>
    <row r="5560" spans="1:22">
      <c r="A5560" t="str">
        <f t="shared" si="975"/>
        <v>09/10/2025</v>
      </c>
      <c r="B5560" t="str">
        <f t="shared" si="976"/>
        <v>SAÍDA</v>
      </c>
      <c r="C5560" t="str">
        <f t="shared" si="979"/>
        <v>PIX</v>
      </c>
      <c r="D5560" t="str">
        <f>"22622"</f>
        <v>22622</v>
      </c>
      <c r="E5560" t="str">
        <f t="shared" si="980"/>
        <v>1</v>
      </c>
      <c r="F5560" t="str">
        <f t="shared" si="977"/>
        <v>COM</v>
      </c>
      <c r="G5560" t="str">
        <f>"PAULO HENRIQUE OLIVEIRA SILVA (39)"</f>
        <v>PAULO HENRIQUE OLIVEIRA SILVA (39)</v>
      </c>
      <c r="H5560" t="str">
        <f>"Serv.Prest. 22/09/2025 a 25/09/2025 - PIX: CELULAR - CHAVE: (31) 97339-3761"</f>
        <v>Serv.Prest. 22/09/2025 a 25/09/2025 - PIX: CELULAR - CHAVE: (31) 97339-3761</v>
      </c>
      <c r="I5560" t="str">
        <f t="shared" si="978"/>
        <v>09/10/2025</v>
      </c>
      <c r="J5560" t="str">
        <f t="shared" si="981"/>
        <v>26/09/2025</v>
      </c>
      <c r="K5560" t="str">
        <f>("09/10/2025")</f>
        <v>09/10/2025</v>
      </c>
      <c r="L5560">
        <v>1116</v>
      </c>
      <c r="M5560">
        <v>1116</v>
      </c>
      <c r="N5560">
        <v>109</v>
      </c>
      <c r="O5560" t="str">
        <f>"PAGAMENTO DE ENTREGADORES"</f>
        <v>PAGAMENTO DE ENTREGADORES</v>
      </c>
      <c r="P5560">
        <v>1116</v>
      </c>
      <c r="S5560" t="str">
        <f>"BANCO C6 (149)"</f>
        <v>BANCO C6 (149)</v>
      </c>
      <c r="T5560">
        <v>19936</v>
      </c>
      <c r="U5560">
        <v>22622</v>
      </c>
      <c r="V5560" t="s">
        <v>77</v>
      </c>
    </row>
    <row r="5561" spans="1:22">
      <c r="A5561" t="str">
        <f t="shared" si="975"/>
        <v>09/10/2025</v>
      </c>
      <c r="B5561" t="str">
        <f t="shared" si="976"/>
        <v>SAÍDA</v>
      </c>
      <c r="C5561" t="str">
        <f t="shared" si="979"/>
        <v>PIX</v>
      </c>
      <c r="D5561" t="str">
        <f>"22622"</f>
        <v>22622</v>
      </c>
      <c r="E5561" t="str">
        <f t="shared" si="980"/>
        <v>1</v>
      </c>
      <c r="F5561" t="str">
        <f t="shared" si="977"/>
        <v>COM</v>
      </c>
      <c r="G5561" t="str">
        <f>"PAULO HENRIQUE OLIVEIRA SILVA (39)"</f>
        <v>PAULO HENRIQUE OLIVEIRA SILVA (39)</v>
      </c>
      <c r="H5561" t="s">
        <v>1556</v>
      </c>
      <c r="I5561" t="str">
        <f t="shared" si="978"/>
        <v>09/10/2025</v>
      </c>
      <c r="J5561" t="str">
        <f t="shared" si="981"/>
        <v>26/09/2025</v>
      </c>
      <c r="K5561">
        <v>45939</v>
      </c>
      <c r="N5561">
        <v>109</v>
      </c>
      <c r="O5561" t="s">
        <v>24</v>
      </c>
      <c r="Q5561">
        <v>1116</v>
      </c>
      <c r="R5561" t="str">
        <f>"FARMÁCIA INDIANA LJ 11 (10008)"</f>
        <v>FARMÁCIA INDIANA LJ 11 (10008)</v>
      </c>
      <c r="S5561" t="s">
        <v>77</v>
      </c>
      <c r="T5561">
        <v>19936</v>
      </c>
      <c r="U5561">
        <v>22622</v>
      </c>
      <c r="V5561" t="s">
        <v>77</v>
      </c>
    </row>
    <row r="5562" spans="1:22">
      <c r="A5562" t="str">
        <f t="shared" si="975"/>
        <v>09/10/2025</v>
      </c>
      <c r="B5562" t="str">
        <f t="shared" si="976"/>
        <v>SAÍDA</v>
      </c>
      <c r="C5562" t="str">
        <f t="shared" si="979"/>
        <v>PIX</v>
      </c>
      <c r="D5562" t="str">
        <f>"22623"</f>
        <v>22623</v>
      </c>
      <c r="E5562" t="str">
        <f t="shared" si="980"/>
        <v>1</v>
      </c>
      <c r="F5562" t="str">
        <f t="shared" si="977"/>
        <v>COM</v>
      </c>
      <c r="G5562" t="str">
        <f>"PAULO MARCOS FARIA DE SOUZA L (233)"</f>
        <v>PAULO MARCOS FARIA DE SOUZA L (233)</v>
      </c>
      <c r="H5562" t="str">
        <f>"Serv.Prest. 22/09/2025 a 25/09/2025 - PIX: CELULAR - CHAVE: (35) 99264-4504"</f>
        <v>Serv.Prest. 22/09/2025 a 25/09/2025 - PIX: CELULAR - CHAVE: (35) 99264-4504</v>
      </c>
      <c r="I5562" t="str">
        <f t="shared" si="978"/>
        <v>09/10/2025</v>
      </c>
      <c r="J5562" t="str">
        <f t="shared" si="981"/>
        <v>26/09/2025</v>
      </c>
      <c r="K5562" t="str">
        <f>("09/10/2025")</f>
        <v>09/10/2025</v>
      </c>
      <c r="L5562">
        <v>480</v>
      </c>
      <c r="M5562">
        <v>480</v>
      </c>
      <c r="N5562">
        <v>109</v>
      </c>
      <c r="O5562" t="str">
        <f>"PAGAMENTO DE ENTREGADORES"</f>
        <v>PAGAMENTO DE ENTREGADORES</v>
      </c>
      <c r="P5562">
        <v>480</v>
      </c>
      <c r="S5562" t="str">
        <f>"BANCO C6 (149)"</f>
        <v>BANCO C6 (149)</v>
      </c>
      <c r="T5562">
        <v>19937</v>
      </c>
      <c r="U5562">
        <v>22623</v>
      </c>
      <c r="V5562" t="s">
        <v>77</v>
      </c>
    </row>
    <row r="5563" spans="1:22">
      <c r="A5563" t="str">
        <f t="shared" si="975"/>
        <v>09/10/2025</v>
      </c>
      <c r="B5563" t="str">
        <f t="shared" si="976"/>
        <v>SAÍDA</v>
      </c>
      <c r="C5563" t="str">
        <f t="shared" si="979"/>
        <v>PIX</v>
      </c>
      <c r="D5563" t="str">
        <f>"22623"</f>
        <v>22623</v>
      </c>
      <c r="E5563" t="str">
        <f t="shared" si="980"/>
        <v>1</v>
      </c>
      <c r="F5563" t="str">
        <f t="shared" si="977"/>
        <v>COM</v>
      </c>
      <c r="G5563" t="str">
        <f>"PAULO MARCOS FARIA DE SOUZA L (233)"</f>
        <v>PAULO MARCOS FARIA DE SOUZA L (233)</v>
      </c>
      <c r="H5563" t="s">
        <v>1470</v>
      </c>
      <c r="I5563" t="str">
        <f t="shared" si="978"/>
        <v>09/10/2025</v>
      </c>
      <c r="J5563" t="str">
        <f t="shared" si="981"/>
        <v>26/09/2025</v>
      </c>
      <c r="K5563">
        <v>45939</v>
      </c>
      <c r="N5563">
        <v>109</v>
      </c>
      <c r="O5563" t="s">
        <v>24</v>
      </c>
      <c r="Q5563">
        <v>480</v>
      </c>
      <c r="R5563" t="str">
        <f>"FARMÁCIA INDIANA LJ 64 (10029)"</f>
        <v>FARMÁCIA INDIANA LJ 64 (10029)</v>
      </c>
      <c r="S5563" t="s">
        <v>77</v>
      </c>
      <c r="T5563">
        <v>19937</v>
      </c>
      <c r="U5563">
        <v>22623</v>
      </c>
      <c r="V5563" t="s">
        <v>77</v>
      </c>
    </row>
    <row r="5564" spans="1:22">
      <c r="A5564" t="str">
        <f t="shared" si="975"/>
        <v>09/10/2025</v>
      </c>
      <c r="B5564" t="str">
        <f t="shared" si="976"/>
        <v>SAÍDA</v>
      </c>
      <c r="C5564" t="str">
        <f t="shared" si="979"/>
        <v>PIX</v>
      </c>
      <c r="D5564" t="str">
        <f>"22624"</f>
        <v>22624</v>
      </c>
      <c r="E5564" t="str">
        <f t="shared" si="980"/>
        <v>1</v>
      </c>
      <c r="F5564" t="str">
        <f t="shared" si="977"/>
        <v>COM</v>
      </c>
      <c r="G5564" t="str">
        <f>"PEDRO HENRIQUE DA SILVA COSTA OLIVEIRA (852)"</f>
        <v>PEDRO HENRIQUE DA SILVA COSTA OLIVEIRA (852)</v>
      </c>
      <c r="H5564" t="str">
        <f>"Serv.Prest. 22/09/2025 a 25/09/2025 - PIX: E-MAIL - CHAVE: sypedrinho@gmail.com"</f>
        <v>Serv.Prest. 22/09/2025 a 25/09/2025 - PIX: E-MAIL - CHAVE: sypedrinho@gmail.com</v>
      </c>
      <c r="I5564" t="str">
        <f t="shared" si="978"/>
        <v>09/10/2025</v>
      </c>
      <c r="J5564" t="str">
        <f t="shared" si="981"/>
        <v>26/09/2025</v>
      </c>
      <c r="K5564" t="str">
        <f>("09/10/2025")</f>
        <v>09/10/2025</v>
      </c>
      <c r="L5564">
        <v>582</v>
      </c>
      <c r="M5564">
        <v>582</v>
      </c>
      <c r="N5564">
        <v>109</v>
      </c>
      <c r="O5564" t="str">
        <f>"PAGAMENTO DE ENTREGADORES"</f>
        <v>PAGAMENTO DE ENTREGADORES</v>
      </c>
      <c r="P5564">
        <v>582</v>
      </c>
      <c r="S5564" t="str">
        <f>"BANCO C6 (149)"</f>
        <v>BANCO C6 (149)</v>
      </c>
      <c r="T5564">
        <v>19938</v>
      </c>
      <c r="U5564">
        <v>22624</v>
      </c>
      <c r="V5564" t="s">
        <v>77</v>
      </c>
    </row>
    <row r="5565" spans="1:22">
      <c r="A5565" t="str">
        <f t="shared" si="975"/>
        <v>09/10/2025</v>
      </c>
      <c r="B5565" t="str">
        <f t="shared" si="976"/>
        <v>SAÍDA</v>
      </c>
      <c r="C5565" t="str">
        <f t="shared" si="979"/>
        <v>PIX</v>
      </c>
      <c r="D5565" t="str">
        <f>"22624"</f>
        <v>22624</v>
      </c>
      <c r="E5565" t="str">
        <f t="shared" si="980"/>
        <v>1</v>
      </c>
      <c r="F5565" t="str">
        <f t="shared" si="977"/>
        <v>COM</v>
      </c>
      <c r="G5565" t="str">
        <f>"PEDRO HENRIQUE DA SILVA COSTA OLIVEIRA (852)"</f>
        <v>PEDRO HENRIQUE DA SILVA COSTA OLIVEIRA (852)</v>
      </c>
      <c r="H5565" t="s">
        <v>1471</v>
      </c>
      <c r="I5565" t="str">
        <f t="shared" si="978"/>
        <v>09/10/2025</v>
      </c>
      <c r="J5565" t="str">
        <f t="shared" si="981"/>
        <v>26/09/2025</v>
      </c>
      <c r="K5565">
        <v>45939</v>
      </c>
      <c r="N5565">
        <v>109</v>
      </c>
      <c r="O5565" t="s">
        <v>24</v>
      </c>
      <c r="Q5565">
        <v>582</v>
      </c>
      <c r="R5565" t="str">
        <f>"FARMÁCIA INDIANA LJ 110 (10048)"</f>
        <v>FARMÁCIA INDIANA LJ 110 (10048)</v>
      </c>
      <c r="S5565" t="s">
        <v>77</v>
      </c>
      <c r="T5565">
        <v>19938</v>
      </c>
      <c r="U5565">
        <v>22624</v>
      </c>
      <c r="V5565" t="s">
        <v>77</v>
      </c>
    </row>
    <row r="5566" spans="1:22">
      <c r="A5566" t="str">
        <f t="shared" si="975"/>
        <v>09/10/2025</v>
      </c>
      <c r="B5566" t="str">
        <f t="shared" si="976"/>
        <v>SAÍDA</v>
      </c>
      <c r="C5566" t="str">
        <f t="shared" si="979"/>
        <v>PIX</v>
      </c>
      <c r="D5566" t="str">
        <f>"22626"</f>
        <v>22626</v>
      </c>
      <c r="E5566" t="str">
        <f t="shared" si="980"/>
        <v>1</v>
      </c>
      <c r="F5566" t="str">
        <f t="shared" si="977"/>
        <v>COM</v>
      </c>
      <c r="G5566" t="str">
        <f>"RAISSON VITOR MENDES DE ABREU (705)"</f>
        <v>RAISSON VITOR MENDES DE ABREU (705)</v>
      </c>
      <c r="H5566" t="str">
        <f>"Serv.Prest. 22/09/2025 a 25/09/2025 - PIX: CELULAR - CHAVE: (31) 99959-5414"</f>
        <v>Serv.Prest. 22/09/2025 a 25/09/2025 - PIX: CELULAR - CHAVE: (31) 99959-5414</v>
      </c>
      <c r="I5566" t="str">
        <f t="shared" si="978"/>
        <v>09/10/2025</v>
      </c>
      <c r="J5566" t="str">
        <f t="shared" si="981"/>
        <v>26/09/2025</v>
      </c>
      <c r="K5566" t="str">
        <f>("09/10/2025")</f>
        <v>09/10/2025</v>
      </c>
      <c r="L5566">
        <v>780</v>
      </c>
      <c r="M5566">
        <v>780</v>
      </c>
      <c r="N5566">
        <v>109</v>
      </c>
      <c r="O5566" t="str">
        <f>"PAGAMENTO DE ENTREGADORES"</f>
        <v>PAGAMENTO DE ENTREGADORES</v>
      </c>
      <c r="P5566">
        <v>780</v>
      </c>
      <c r="S5566" t="str">
        <f>"BANCO C6 (149)"</f>
        <v>BANCO C6 (149)</v>
      </c>
      <c r="T5566">
        <v>19939</v>
      </c>
      <c r="U5566">
        <v>22626</v>
      </c>
      <c r="V5566" t="s">
        <v>77</v>
      </c>
    </row>
    <row r="5567" spans="1:22">
      <c r="A5567" t="str">
        <f t="shared" si="975"/>
        <v>09/10/2025</v>
      </c>
      <c r="B5567" t="str">
        <f t="shared" si="976"/>
        <v>SAÍDA</v>
      </c>
      <c r="C5567" t="str">
        <f t="shared" si="979"/>
        <v>PIX</v>
      </c>
      <c r="D5567" t="str">
        <f>"22626"</f>
        <v>22626</v>
      </c>
      <c r="E5567" t="str">
        <f t="shared" si="980"/>
        <v>1</v>
      </c>
      <c r="F5567" t="str">
        <f t="shared" si="977"/>
        <v>COM</v>
      </c>
      <c r="G5567" t="str">
        <f>"RAISSON VITOR MENDES DE ABREU (705)"</f>
        <v>RAISSON VITOR MENDES DE ABREU (705)</v>
      </c>
      <c r="H5567" t="s">
        <v>1472</v>
      </c>
      <c r="I5567" t="str">
        <f t="shared" si="978"/>
        <v>09/10/2025</v>
      </c>
      <c r="J5567" t="str">
        <f t="shared" si="981"/>
        <v>26/09/2025</v>
      </c>
      <c r="K5567">
        <v>45939</v>
      </c>
      <c r="N5567">
        <v>109</v>
      </c>
      <c r="O5567" t="s">
        <v>24</v>
      </c>
      <c r="Q5567">
        <v>780</v>
      </c>
      <c r="R5567" t="str">
        <f>"FARMÁCIA INDIANA LJ 178 (10077)"</f>
        <v>FARMÁCIA INDIANA LJ 178 (10077)</v>
      </c>
      <c r="S5567" t="s">
        <v>77</v>
      </c>
      <c r="T5567">
        <v>19939</v>
      </c>
      <c r="U5567">
        <v>22626</v>
      </c>
      <c r="V5567" t="s">
        <v>77</v>
      </c>
    </row>
    <row r="5568" spans="1:22">
      <c r="A5568" t="str">
        <f t="shared" si="975"/>
        <v>09/10/2025</v>
      </c>
      <c r="B5568" t="str">
        <f t="shared" si="976"/>
        <v>SAÍDA</v>
      </c>
      <c r="C5568" t="str">
        <f t="shared" si="979"/>
        <v>PIX</v>
      </c>
      <c r="D5568" t="str">
        <f>"22627"</f>
        <v>22627</v>
      </c>
      <c r="E5568" t="str">
        <f t="shared" si="980"/>
        <v>1</v>
      </c>
      <c r="F5568" t="str">
        <f t="shared" si="977"/>
        <v>COM</v>
      </c>
      <c r="G5568" t="str">
        <f>"RENATO GEORGE GONÇALVES (191)"</f>
        <v>RENATO GEORGE GONÇALVES (191)</v>
      </c>
      <c r="H5568" t="str">
        <f>"Serv.Prest. 22/09/2025 a 25/09/2025 - PIX: CPF - CHAVE: 012.783.036-77"</f>
        <v>Serv.Prest. 22/09/2025 a 25/09/2025 - PIX: CPF - CHAVE: 012.783.036-77</v>
      </c>
      <c r="I5568" t="str">
        <f t="shared" si="978"/>
        <v>09/10/2025</v>
      </c>
      <c r="J5568" t="str">
        <f t="shared" si="981"/>
        <v>26/09/2025</v>
      </c>
      <c r="K5568" t="str">
        <f>("09/10/2025")</f>
        <v>09/10/2025</v>
      </c>
      <c r="L5568">
        <v>540</v>
      </c>
      <c r="M5568">
        <v>540</v>
      </c>
      <c r="N5568">
        <v>109</v>
      </c>
      <c r="O5568" t="str">
        <f>"PAGAMENTO DE ENTREGADORES"</f>
        <v>PAGAMENTO DE ENTREGADORES</v>
      </c>
      <c r="P5568">
        <v>540</v>
      </c>
      <c r="S5568" t="str">
        <f>"BANCO C6 (149)"</f>
        <v>BANCO C6 (149)</v>
      </c>
      <c r="T5568">
        <v>19940</v>
      </c>
      <c r="U5568">
        <v>22627</v>
      </c>
      <c r="V5568" t="s">
        <v>77</v>
      </c>
    </row>
    <row r="5569" spans="1:22">
      <c r="A5569" t="str">
        <f t="shared" si="975"/>
        <v>09/10/2025</v>
      </c>
      <c r="B5569" t="str">
        <f t="shared" si="976"/>
        <v>SAÍDA</v>
      </c>
      <c r="C5569" t="str">
        <f t="shared" si="979"/>
        <v>PIX</v>
      </c>
      <c r="D5569" t="str">
        <f>"22627"</f>
        <v>22627</v>
      </c>
      <c r="E5569" t="str">
        <f t="shared" si="980"/>
        <v>1</v>
      </c>
      <c r="F5569" t="str">
        <f t="shared" si="977"/>
        <v>COM</v>
      </c>
      <c r="G5569" t="str">
        <f>"RENATO GEORGE GONÇALVES (191)"</f>
        <v>RENATO GEORGE GONÇALVES (191)</v>
      </c>
      <c r="H5569" t="s">
        <v>1557</v>
      </c>
      <c r="I5569" t="str">
        <f t="shared" si="978"/>
        <v>09/10/2025</v>
      </c>
      <c r="J5569" t="str">
        <f t="shared" si="981"/>
        <v>26/09/2025</v>
      </c>
      <c r="K5569">
        <v>45939</v>
      </c>
      <c r="N5569">
        <v>109</v>
      </c>
      <c r="O5569" t="s">
        <v>24</v>
      </c>
      <c r="Q5569">
        <v>540</v>
      </c>
      <c r="R5569" t="str">
        <f>"FARMÁCIA INDIANA LJ 06 (10006)"</f>
        <v>FARMÁCIA INDIANA LJ 06 (10006)</v>
      </c>
      <c r="S5569" t="s">
        <v>77</v>
      </c>
      <c r="T5569">
        <v>19940</v>
      </c>
      <c r="U5569">
        <v>22627</v>
      </c>
      <c r="V5569" t="s">
        <v>77</v>
      </c>
    </row>
    <row r="5570" spans="1:22">
      <c r="A5570" t="str">
        <f t="shared" si="975"/>
        <v>09/10/2025</v>
      </c>
      <c r="B5570" t="str">
        <f t="shared" si="976"/>
        <v>SAÍDA</v>
      </c>
      <c r="C5570" t="str">
        <f t="shared" si="979"/>
        <v>PIX</v>
      </c>
      <c r="D5570" t="str">
        <f>"22628"</f>
        <v>22628</v>
      </c>
      <c r="E5570" t="str">
        <f t="shared" si="980"/>
        <v>1</v>
      </c>
      <c r="F5570" t="str">
        <f t="shared" si="977"/>
        <v>COM</v>
      </c>
      <c r="G5570" t="str">
        <f>"RICARDO NASCIMENTO DE SOUZA (146)"</f>
        <v>RICARDO NASCIMENTO DE SOUZA (146)</v>
      </c>
      <c r="H5570" t="str">
        <f>"Serv.Prest. 22/09/2025 a 25/09/2025 - PIX: CELULAR - CHAVE: (31) 98891-8440"</f>
        <v>Serv.Prest. 22/09/2025 a 25/09/2025 - PIX: CELULAR - CHAVE: (31) 98891-8440</v>
      </c>
      <c r="I5570" t="str">
        <f t="shared" si="978"/>
        <v>09/10/2025</v>
      </c>
      <c r="J5570" t="str">
        <f t="shared" si="981"/>
        <v>26/09/2025</v>
      </c>
      <c r="K5570" t="str">
        <f>("09/10/2025")</f>
        <v>09/10/2025</v>
      </c>
      <c r="L5570">
        <v>400</v>
      </c>
      <c r="M5570">
        <v>400</v>
      </c>
      <c r="N5570">
        <v>109</v>
      </c>
      <c r="O5570" t="str">
        <f>"PAGAMENTO DE ENTREGADORES"</f>
        <v>PAGAMENTO DE ENTREGADORES</v>
      </c>
      <c r="P5570">
        <v>400</v>
      </c>
      <c r="S5570" t="str">
        <f>"BANCO C6 (149)"</f>
        <v>BANCO C6 (149)</v>
      </c>
      <c r="T5570">
        <v>19941</v>
      </c>
      <c r="U5570">
        <v>22628</v>
      </c>
      <c r="V5570" t="s">
        <v>77</v>
      </c>
    </row>
    <row r="5571" spans="1:22">
      <c r="A5571" t="str">
        <f t="shared" si="975"/>
        <v>09/10/2025</v>
      </c>
      <c r="B5571" t="str">
        <f t="shared" si="976"/>
        <v>SAÍDA</v>
      </c>
      <c r="C5571" t="str">
        <f t="shared" si="979"/>
        <v>PIX</v>
      </c>
      <c r="D5571" t="str">
        <f>"22628"</f>
        <v>22628</v>
      </c>
      <c r="E5571" t="str">
        <f t="shared" si="980"/>
        <v>1</v>
      </c>
      <c r="F5571" t="str">
        <f t="shared" si="977"/>
        <v>COM</v>
      </c>
      <c r="G5571" t="str">
        <f>"RICARDO NASCIMENTO DE SOUZA (146)"</f>
        <v>RICARDO NASCIMENTO DE SOUZA (146)</v>
      </c>
      <c r="H5571" t="s">
        <v>1474</v>
      </c>
      <c r="I5571" t="str">
        <f t="shared" si="978"/>
        <v>09/10/2025</v>
      </c>
      <c r="J5571" t="str">
        <f t="shared" si="981"/>
        <v>26/09/2025</v>
      </c>
      <c r="K5571">
        <v>45939</v>
      </c>
      <c r="N5571">
        <v>109</v>
      </c>
      <c r="O5571" t="s">
        <v>24</v>
      </c>
      <c r="Q5571">
        <v>400</v>
      </c>
      <c r="R5571" t="str">
        <f>"FARMÁCIA INDIANA LJ 19 (10012)"</f>
        <v>FARMÁCIA INDIANA LJ 19 (10012)</v>
      </c>
      <c r="S5571" t="s">
        <v>77</v>
      </c>
      <c r="T5571">
        <v>19941</v>
      </c>
      <c r="U5571">
        <v>22628</v>
      </c>
      <c r="V5571" t="s">
        <v>77</v>
      </c>
    </row>
    <row r="5572" spans="1:22">
      <c r="A5572" t="str">
        <f t="shared" ref="A5572:A5635" si="982">("09/10/2025")</f>
        <v>09/10/2025</v>
      </c>
      <c r="B5572" t="str">
        <f t="shared" si="976"/>
        <v>SAÍDA</v>
      </c>
      <c r="C5572" t="str">
        <f t="shared" si="979"/>
        <v>PIX</v>
      </c>
      <c r="D5572" t="str">
        <f>"22629"</f>
        <v>22629</v>
      </c>
      <c r="E5572" t="str">
        <f t="shared" si="980"/>
        <v>1</v>
      </c>
      <c r="F5572" t="str">
        <f t="shared" si="977"/>
        <v>COM</v>
      </c>
      <c r="G5572" t="str">
        <f>"ROGÉRIO LAURINDO BORGES (176)"</f>
        <v>ROGÉRIO LAURINDO BORGES (176)</v>
      </c>
      <c r="H5572" t="str">
        <f>"Serv.Prest. 22/09/2025 a 25/09/2025 - PIX: E-MAIL - CHAVE: roger.l.borges04@gmail.com"</f>
        <v>Serv.Prest. 22/09/2025 a 25/09/2025 - PIX: E-MAIL - CHAVE: roger.l.borges04@gmail.com</v>
      </c>
      <c r="I5572" t="str">
        <f t="shared" si="978"/>
        <v>09/10/2025</v>
      </c>
      <c r="J5572" t="str">
        <f t="shared" si="981"/>
        <v>26/09/2025</v>
      </c>
      <c r="K5572" t="str">
        <f>("09/10/2025")</f>
        <v>09/10/2025</v>
      </c>
      <c r="L5572">
        <v>984</v>
      </c>
      <c r="M5572">
        <v>984</v>
      </c>
      <c r="N5572">
        <v>109</v>
      </c>
      <c r="O5572" t="str">
        <f>"PAGAMENTO DE ENTREGADORES"</f>
        <v>PAGAMENTO DE ENTREGADORES</v>
      </c>
      <c r="P5572">
        <v>984</v>
      </c>
      <c r="S5572" t="str">
        <f>"BANCO C6 (149)"</f>
        <v>BANCO C6 (149)</v>
      </c>
      <c r="T5572">
        <v>19942</v>
      </c>
      <c r="U5572">
        <v>22629</v>
      </c>
      <c r="V5572" t="s">
        <v>77</v>
      </c>
    </row>
    <row r="5573" spans="1:22">
      <c r="A5573" t="str">
        <f t="shared" si="982"/>
        <v>09/10/2025</v>
      </c>
      <c r="B5573" t="str">
        <f t="shared" si="976"/>
        <v>SAÍDA</v>
      </c>
      <c r="C5573" t="str">
        <f t="shared" si="979"/>
        <v>PIX</v>
      </c>
      <c r="D5573" t="str">
        <f>"22629"</f>
        <v>22629</v>
      </c>
      <c r="E5573" t="str">
        <f t="shared" si="980"/>
        <v>1</v>
      </c>
      <c r="F5573" t="str">
        <f t="shared" si="977"/>
        <v>COM</v>
      </c>
      <c r="G5573" t="str">
        <f>"ROGÉRIO LAURINDO BORGES (176)"</f>
        <v>ROGÉRIO LAURINDO BORGES (176)</v>
      </c>
      <c r="H5573" t="s">
        <v>1558</v>
      </c>
      <c r="I5573" t="str">
        <f t="shared" si="978"/>
        <v>09/10/2025</v>
      </c>
      <c r="J5573" t="str">
        <f t="shared" si="981"/>
        <v>26/09/2025</v>
      </c>
      <c r="K5573">
        <v>45939</v>
      </c>
      <c r="N5573">
        <v>109</v>
      </c>
      <c r="O5573" t="s">
        <v>24</v>
      </c>
      <c r="Q5573">
        <v>984</v>
      </c>
      <c r="R5573" t="str">
        <f>"FARMÁCIA INDIANA LJ 142 (10066)"</f>
        <v>FARMÁCIA INDIANA LJ 142 (10066)</v>
      </c>
      <c r="S5573" t="s">
        <v>77</v>
      </c>
      <c r="T5573">
        <v>19942</v>
      </c>
      <c r="U5573">
        <v>22629</v>
      </c>
      <c r="V5573" t="s">
        <v>77</v>
      </c>
    </row>
    <row r="5574" spans="1:22">
      <c r="A5574" t="str">
        <f t="shared" si="982"/>
        <v>09/10/2025</v>
      </c>
      <c r="B5574" t="str">
        <f t="shared" si="976"/>
        <v>SAÍDA</v>
      </c>
      <c r="C5574" t="str">
        <f t="shared" si="979"/>
        <v>PIX</v>
      </c>
      <c r="D5574" t="str">
        <f>"22630"</f>
        <v>22630</v>
      </c>
      <c r="E5574" t="str">
        <f t="shared" si="980"/>
        <v>1</v>
      </c>
      <c r="F5574" t="str">
        <f t="shared" si="977"/>
        <v>COM</v>
      </c>
      <c r="G5574" t="str">
        <f>"RÔMULO LEMOS DE SOUZA (59)"</f>
        <v>RÔMULO LEMOS DE SOUZA (59)</v>
      </c>
      <c r="H5574" t="str">
        <f>"Serv.Prest. 22/09/2025 a 25/09/2025 - PIX: CELULAR - CHAVE: (33) 98840-0998"</f>
        <v>Serv.Prest. 22/09/2025 a 25/09/2025 - PIX: CELULAR - CHAVE: (33) 98840-0998</v>
      </c>
      <c r="I5574" t="str">
        <f t="shared" si="978"/>
        <v>09/10/2025</v>
      </c>
      <c r="J5574" t="str">
        <f t="shared" si="981"/>
        <v>26/09/2025</v>
      </c>
      <c r="K5574" t="str">
        <f>("09/10/2025")</f>
        <v>09/10/2025</v>
      </c>
      <c r="L5574">
        <v>564</v>
      </c>
      <c r="M5574">
        <v>564</v>
      </c>
      <c r="N5574">
        <v>109</v>
      </c>
      <c r="O5574" t="str">
        <f>"PAGAMENTO DE ENTREGADORES"</f>
        <v>PAGAMENTO DE ENTREGADORES</v>
      </c>
      <c r="P5574">
        <v>564</v>
      </c>
      <c r="S5574" t="str">
        <f>"BANCO C6 (149)"</f>
        <v>BANCO C6 (149)</v>
      </c>
      <c r="T5574">
        <v>19943</v>
      </c>
      <c r="U5574">
        <v>22630</v>
      </c>
      <c r="V5574" t="s">
        <v>77</v>
      </c>
    </row>
    <row r="5575" spans="1:22">
      <c r="A5575" t="str">
        <f t="shared" si="982"/>
        <v>09/10/2025</v>
      </c>
      <c r="B5575" t="str">
        <f t="shared" si="976"/>
        <v>SAÍDA</v>
      </c>
      <c r="C5575" t="str">
        <f t="shared" si="979"/>
        <v>PIX</v>
      </c>
      <c r="D5575" t="str">
        <f>"22630"</f>
        <v>22630</v>
      </c>
      <c r="E5575" t="str">
        <f t="shared" si="980"/>
        <v>1</v>
      </c>
      <c r="F5575" t="str">
        <f t="shared" si="977"/>
        <v>COM</v>
      </c>
      <c r="G5575" t="str">
        <f>"RÔMULO LEMOS DE SOUZA (59)"</f>
        <v>RÔMULO LEMOS DE SOUZA (59)</v>
      </c>
      <c r="H5575" t="s">
        <v>1559</v>
      </c>
      <c r="I5575" t="str">
        <f t="shared" si="978"/>
        <v>09/10/2025</v>
      </c>
      <c r="J5575" t="str">
        <f t="shared" si="981"/>
        <v>26/09/2025</v>
      </c>
      <c r="K5575">
        <v>45939</v>
      </c>
      <c r="N5575">
        <v>109</v>
      </c>
      <c r="O5575" t="s">
        <v>24</v>
      </c>
      <c r="Q5575">
        <v>564</v>
      </c>
      <c r="R5575" t="str">
        <f>"FARMÁCIA INDIANA LJ 07 (10007)"</f>
        <v>FARMÁCIA INDIANA LJ 07 (10007)</v>
      </c>
      <c r="S5575" t="s">
        <v>77</v>
      </c>
      <c r="T5575">
        <v>19943</v>
      </c>
      <c r="U5575">
        <v>22630</v>
      </c>
      <c r="V5575" t="s">
        <v>77</v>
      </c>
    </row>
    <row r="5576" spans="1:22">
      <c r="A5576" t="str">
        <f t="shared" si="982"/>
        <v>09/10/2025</v>
      </c>
      <c r="B5576" t="str">
        <f t="shared" si="976"/>
        <v>SAÍDA</v>
      </c>
      <c r="C5576" t="str">
        <f t="shared" si="979"/>
        <v>PIX</v>
      </c>
      <c r="D5576" t="str">
        <f>"22632"</f>
        <v>22632</v>
      </c>
      <c r="E5576" t="str">
        <f t="shared" si="980"/>
        <v>1</v>
      </c>
      <c r="F5576" t="str">
        <f t="shared" si="977"/>
        <v>COM</v>
      </c>
      <c r="G5576" t="str">
        <f>"SANRIO OLIVEIRA DO CARMO (579)"</f>
        <v>SANRIO OLIVEIRA DO CARMO (579)</v>
      </c>
      <c r="H5576" t="str">
        <f>"Serv.Prest. 22/09/2025 a 25/09/2025 - PIX: CPF - CHAVE: 118.731.976-75"</f>
        <v>Serv.Prest. 22/09/2025 a 25/09/2025 - PIX: CPF - CHAVE: 118.731.976-75</v>
      </c>
      <c r="I5576" t="str">
        <f t="shared" si="978"/>
        <v>09/10/2025</v>
      </c>
      <c r="J5576" t="str">
        <f t="shared" si="981"/>
        <v>26/09/2025</v>
      </c>
      <c r="K5576" t="str">
        <f>("09/10/2025")</f>
        <v>09/10/2025</v>
      </c>
      <c r="L5576">
        <v>472</v>
      </c>
      <c r="M5576">
        <v>472</v>
      </c>
      <c r="N5576">
        <v>109</v>
      </c>
      <c r="O5576" t="str">
        <f>"PAGAMENTO DE ENTREGADORES"</f>
        <v>PAGAMENTO DE ENTREGADORES</v>
      </c>
      <c r="P5576">
        <v>472</v>
      </c>
      <c r="S5576" t="str">
        <f>"BANCO C6 (149)"</f>
        <v>BANCO C6 (149)</v>
      </c>
      <c r="T5576">
        <v>19944</v>
      </c>
      <c r="U5576">
        <v>22632</v>
      </c>
      <c r="V5576" t="s">
        <v>77</v>
      </c>
    </row>
    <row r="5577" spans="1:22">
      <c r="A5577" t="str">
        <f t="shared" si="982"/>
        <v>09/10/2025</v>
      </c>
      <c r="B5577" t="str">
        <f t="shared" si="976"/>
        <v>SAÍDA</v>
      </c>
      <c r="C5577" t="str">
        <f t="shared" si="979"/>
        <v>PIX</v>
      </c>
      <c r="D5577" t="str">
        <f>"22632"</f>
        <v>22632</v>
      </c>
      <c r="E5577" t="str">
        <f t="shared" si="980"/>
        <v>1</v>
      </c>
      <c r="F5577" t="str">
        <f t="shared" si="977"/>
        <v>COM</v>
      </c>
      <c r="G5577" t="str">
        <f>"SANRIO OLIVEIRA DO CARMO (579)"</f>
        <v>SANRIO OLIVEIRA DO CARMO (579)</v>
      </c>
      <c r="H5577" t="s">
        <v>1479</v>
      </c>
      <c r="I5577" t="str">
        <f t="shared" si="978"/>
        <v>09/10/2025</v>
      </c>
      <c r="J5577" t="str">
        <f t="shared" si="981"/>
        <v>26/09/2025</v>
      </c>
      <c r="K5577">
        <v>45939</v>
      </c>
      <c r="N5577">
        <v>109</v>
      </c>
      <c r="O5577" t="s">
        <v>24</v>
      </c>
      <c r="Q5577">
        <v>472</v>
      </c>
      <c r="R5577" t="str">
        <f>"FARMÁCIA INDIANA LJ 152 (10069)"</f>
        <v>FARMÁCIA INDIANA LJ 152 (10069)</v>
      </c>
      <c r="S5577" t="s">
        <v>77</v>
      </c>
      <c r="T5577">
        <v>19944</v>
      </c>
      <c r="U5577">
        <v>22632</v>
      </c>
      <c r="V5577" t="s">
        <v>77</v>
      </c>
    </row>
    <row r="5578" spans="1:22">
      <c r="A5578" t="str">
        <f t="shared" si="982"/>
        <v>09/10/2025</v>
      </c>
      <c r="B5578" t="str">
        <f t="shared" si="976"/>
        <v>SAÍDA</v>
      </c>
      <c r="C5578" t="str">
        <f t="shared" si="979"/>
        <v>PIX</v>
      </c>
      <c r="D5578" t="str">
        <f>"22633"</f>
        <v>22633</v>
      </c>
      <c r="E5578" t="str">
        <f t="shared" si="980"/>
        <v>1</v>
      </c>
      <c r="F5578" t="str">
        <f t="shared" si="977"/>
        <v>COM</v>
      </c>
      <c r="G5578" t="str">
        <f>"SEDNEY GOMES SOARES (87)"</f>
        <v>SEDNEY GOMES SOARES (87)</v>
      </c>
      <c r="H5578" t="str">
        <f>"Serv.Prest. 22/09/2025 a 25/09/2025 - PIX: CPF - CHAVE: 048.151.276-46"</f>
        <v>Serv.Prest. 22/09/2025 a 25/09/2025 - PIX: CPF - CHAVE: 048.151.276-46</v>
      </c>
      <c r="I5578" t="str">
        <f t="shared" si="978"/>
        <v>09/10/2025</v>
      </c>
      <c r="J5578" t="str">
        <f t="shared" si="981"/>
        <v>26/09/2025</v>
      </c>
      <c r="K5578" t="str">
        <f>("09/10/2025")</f>
        <v>09/10/2025</v>
      </c>
      <c r="L5578">
        <v>730</v>
      </c>
      <c r="M5578">
        <v>730</v>
      </c>
      <c r="N5578">
        <v>109</v>
      </c>
      <c r="O5578" t="str">
        <f>"PAGAMENTO DE ENTREGADORES"</f>
        <v>PAGAMENTO DE ENTREGADORES</v>
      </c>
      <c r="P5578">
        <v>730</v>
      </c>
      <c r="S5578" t="str">
        <f>"BANCO C6 (149)"</f>
        <v>BANCO C6 (149)</v>
      </c>
      <c r="T5578">
        <v>19945</v>
      </c>
      <c r="U5578">
        <v>22633</v>
      </c>
      <c r="V5578" t="s">
        <v>77</v>
      </c>
    </row>
    <row r="5579" spans="1:22">
      <c r="A5579" t="str">
        <f t="shared" si="982"/>
        <v>09/10/2025</v>
      </c>
      <c r="B5579" t="str">
        <f t="shared" si="976"/>
        <v>SAÍDA</v>
      </c>
      <c r="C5579" t="str">
        <f t="shared" si="979"/>
        <v>PIX</v>
      </c>
      <c r="D5579" t="str">
        <f>"22633"</f>
        <v>22633</v>
      </c>
      <c r="E5579" t="str">
        <f t="shared" si="980"/>
        <v>1</v>
      </c>
      <c r="F5579" t="str">
        <f t="shared" si="977"/>
        <v>COM</v>
      </c>
      <c r="G5579" t="str">
        <f>"SEDNEY GOMES SOARES (87)"</f>
        <v>SEDNEY GOMES SOARES (87)</v>
      </c>
      <c r="H5579" t="s">
        <v>1480</v>
      </c>
      <c r="I5579" t="str">
        <f t="shared" si="978"/>
        <v>09/10/2025</v>
      </c>
      <c r="J5579" t="str">
        <f t="shared" si="981"/>
        <v>26/09/2025</v>
      </c>
      <c r="K5579">
        <v>45939</v>
      </c>
      <c r="N5579">
        <v>109</v>
      </c>
      <c r="O5579" t="s">
        <v>24</v>
      </c>
      <c r="Q5579">
        <v>503.48</v>
      </c>
      <c r="R5579" t="str">
        <f>"FARMÁCIA INDIANA LJ 97 (10040)"</f>
        <v>FARMÁCIA INDIANA LJ 97 (10040)</v>
      </c>
      <c r="S5579" t="s">
        <v>77</v>
      </c>
      <c r="T5579">
        <v>19945</v>
      </c>
      <c r="U5579">
        <v>22633</v>
      </c>
      <c r="V5579" t="s">
        <v>77</v>
      </c>
    </row>
    <row r="5580" spans="1:22">
      <c r="A5580" t="str">
        <f t="shared" si="982"/>
        <v>09/10/2025</v>
      </c>
      <c r="B5580" t="str">
        <f t="shared" si="976"/>
        <v>SAÍDA</v>
      </c>
      <c r="C5580" t="str">
        <f t="shared" si="979"/>
        <v>PIX</v>
      </c>
      <c r="D5580" t="str">
        <f>"22633"</f>
        <v>22633</v>
      </c>
      <c r="E5580" t="str">
        <f t="shared" si="980"/>
        <v>1</v>
      </c>
      <c r="F5580" t="str">
        <f t="shared" si="977"/>
        <v>COM</v>
      </c>
      <c r="G5580" t="str">
        <f>"SEDNEY GOMES SOARES (87)"</f>
        <v>SEDNEY GOMES SOARES (87)</v>
      </c>
      <c r="H5580" t="s">
        <v>1480</v>
      </c>
      <c r="I5580" t="str">
        <f t="shared" si="978"/>
        <v>09/10/2025</v>
      </c>
      <c r="J5580" t="str">
        <f t="shared" si="981"/>
        <v>26/09/2025</v>
      </c>
      <c r="K5580">
        <v>45939</v>
      </c>
      <c r="N5580">
        <v>109</v>
      </c>
      <c r="O5580" t="s">
        <v>24</v>
      </c>
      <c r="Q5580">
        <v>125.85</v>
      </c>
      <c r="R5580" t="str">
        <f>"FARMÁCIA INDIANA LJ 111 (10049)"</f>
        <v>FARMÁCIA INDIANA LJ 111 (10049)</v>
      </c>
      <c r="S5580" t="s">
        <v>77</v>
      </c>
      <c r="T5580">
        <v>19945</v>
      </c>
      <c r="U5580">
        <v>22633</v>
      </c>
      <c r="V5580" t="s">
        <v>77</v>
      </c>
    </row>
    <row r="5581" spans="1:22">
      <c r="A5581" t="str">
        <f t="shared" si="982"/>
        <v>09/10/2025</v>
      </c>
      <c r="B5581" t="str">
        <f t="shared" si="976"/>
        <v>SAÍDA</v>
      </c>
      <c r="C5581" t="str">
        <f t="shared" si="979"/>
        <v>PIX</v>
      </c>
      <c r="D5581" t="str">
        <f>"22633"</f>
        <v>22633</v>
      </c>
      <c r="E5581" t="str">
        <f t="shared" si="980"/>
        <v>1</v>
      </c>
      <c r="F5581" t="str">
        <f t="shared" si="977"/>
        <v>COM</v>
      </c>
      <c r="G5581" t="str">
        <f>"SEDNEY GOMES SOARES (87)"</f>
        <v>SEDNEY GOMES SOARES (87)</v>
      </c>
      <c r="H5581" t="s">
        <v>1480</v>
      </c>
      <c r="I5581" t="str">
        <f t="shared" si="978"/>
        <v>09/10/2025</v>
      </c>
      <c r="J5581" t="str">
        <f t="shared" si="981"/>
        <v>26/09/2025</v>
      </c>
      <c r="K5581">
        <v>45939</v>
      </c>
      <c r="N5581">
        <v>109</v>
      </c>
      <c r="O5581" t="s">
        <v>24</v>
      </c>
      <c r="Q5581">
        <v>100.67</v>
      </c>
      <c r="R5581" t="str">
        <f>"FARMÁCIA INDIANA LJ 143 (10067)"</f>
        <v>FARMÁCIA INDIANA LJ 143 (10067)</v>
      </c>
      <c r="S5581" t="s">
        <v>77</v>
      </c>
      <c r="T5581">
        <v>19945</v>
      </c>
      <c r="U5581">
        <v>22633</v>
      </c>
      <c r="V5581" t="s">
        <v>77</v>
      </c>
    </row>
    <row r="5582" spans="1:22">
      <c r="A5582" t="str">
        <f t="shared" si="982"/>
        <v>09/10/2025</v>
      </c>
      <c r="B5582" t="str">
        <f t="shared" si="976"/>
        <v>SAÍDA</v>
      </c>
      <c r="C5582" t="str">
        <f t="shared" si="979"/>
        <v>PIX</v>
      </c>
      <c r="D5582" t="str">
        <f>"22634"</f>
        <v>22634</v>
      </c>
      <c r="E5582" t="str">
        <f t="shared" si="980"/>
        <v>1</v>
      </c>
      <c r="F5582" t="str">
        <f t="shared" si="977"/>
        <v>COM</v>
      </c>
      <c r="G5582" t="str">
        <f>"SILAS ALVES DE FREITAS (35)"</f>
        <v>SILAS ALVES DE FREITAS (35)</v>
      </c>
      <c r="H5582" t="str">
        <f>"Serv.Prest. 22/09/2025 a 25/09/2025 - PIX: CPF - CHAVE: 097.855.786-74"</f>
        <v>Serv.Prest. 22/09/2025 a 25/09/2025 - PIX: CPF - CHAVE: 097.855.786-74</v>
      </c>
      <c r="I5582" t="str">
        <f t="shared" si="978"/>
        <v>09/10/2025</v>
      </c>
      <c r="J5582" t="str">
        <f t="shared" si="981"/>
        <v>26/09/2025</v>
      </c>
      <c r="K5582" t="str">
        <f>("09/10/2025")</f>
        <v>09/10/2025</v>
      </c>
      <c r="L5582">
        <v>918</v>
      </c>
      <c r="M5582">
        <v>918</v>
      </c>
      <c r="N5582">
        <v>109</v>
      </c>
      <c r="O5582" t="str">
        <f>"PAGAMENTO DE ENTREGADORES"</f>
        <v>PAGAMENTO DE ENTREGADORES</v>
      </c>
      <c r="P5582">
        <v>918</v>
      </c>
      <c r="S5582" t="str">
        <f>"BANCO C6 (149)"</f>
        <v>BANCO C6 (149)</v>
      </c>
      <c r="T5582">
        <v>19946</v>
      </c>
      <c r="U5582">
        <v>22634</v>
      </c>
      <c r="V5582" t="s">
        <v>77</v>
      </c>
    </row>
    <row r="5583" spans="1:22">
      <c r="A5583" t="str">
        <f t="shared" si="982"/>
        <v>09/10/2025</v>
      </c>
      <c r="B5583" t="str">
        <f t="shared" si="976"/>
        <v>SAÍDA</v>
      </c>
      <c r="C5583" t="str">
        <f t="shared" si="979"/>
        <v>PIX</v>
      </c>
      <c r="D5583" t="str">
        <f>"22634"</f>
        <v>22634</v>
      </c>
      <c r="E5583" t="str">
        <f t="shared" si="980"/>
        <v>1</v>
      </c>
      <c r="F5583" t="str">
        <f t="shared" si="977"/>
        <v>COM</v>
      </c>
      <c r="G5583" t="str">
        <f>"SILAS ALVES DE FREITAS (35)"</f>
        <v>SILAS ALVES DE FREITAS (35)</v>
      </c>
      <c r="H5583" t="s">
        <v>1560</v>
      </c>
      <c r="I5583" t="str">
        <f t="shared" si="978"/>
        <v>09/10/2025</v>
      </c>
      <c r="J5583" t="str">
        <f t="shared" si="981"/>
        <v>26/09/2025</v>
      </c>
      <c r="K5583">
        <v>45939</v>
      </c>
      <c r="N5583">
        <v>109</v>
      </c>
      <c r="O5583" t="s">
        <v>24</v>
      </c>
      <c r="Q5583">
        <v>918</v>
      </c>
      <c r="R5583" t="str">
        <f>"FARMÁCIA INDIANA LJ 172 (10161)"</f>
        <v>FARMÁCIA INDIANA LJ 172 (10161)</v>
      </c>
      <c r="S5583" t="s">
        <v>77</v>
      </c>
      <c r="T5583">
        <v>19946</v>
      </c>
      <c r="U5583">
        <v>22634</v>
      </c>
      <c r="V5583" t="s">
        <v>77</v>
      </c>
    </row>
    <row r="5584" spans="1:22">
      <c r="A5584" t="str">
        <f t="shared" si="982"/>
        <v>09/10/2025</v>
      </c>
      <c r="B5584" t="str">
        <f t="shared" si="976"/>
        <v>SAÍDA</v>
      </c>
      <c r="C5584" t="str">
        <f t="shared" si="979"/>
        <v>PIX</v>
      </c>
      <c r="D5584" t="str">
        <f>"22635"</f>
        <v>22635</v>
      </c>
      <c r="E5584" t="str">
        <f t="shared" si="980"/>
        <v>1</v>
      </c>
      <c r="F5584" t="str">
        <f t="shared" si="977"/>
        <v>COM</v>
      </c>
      <c r="G5584" t="str">
        <f>"TAYSON BARBOSA SILVINO (613)"</f>
        <v>TAYSON BARBOSA SILVINO (613)</v>
      </c>
      <c r="H5584" t="str">
        <f>"Serv.Prest. 22/09/2025 a 25/09/2025 - PIX: CHAVE ALEATÓRIA - CHAVE: 1550e869-c9d7-4436-be93-6858fd0cb900"</f>
        <v>Serv.Prest. 22/09/2025 a 25/09/2025 - PIX: CHAVE ALEATÓRIA - CHAVE: 1550e869-c9d7-4436-be93-6858fd0cb900</v>
      </c>
      <c r="I5584" t="str">
        <f t="shared" si="978"/>
        <v>09/10/2025</v>
      </c>
      <c r="J5584" t="str">
        <f t="shared" si="981"/>
        <v>26/09/2025</v>
      </c>
      <c r="K5584" t="str">
        <f>("09/10/2025")</f>
        <v>09/10/2025</v>
      </c>
      <c r="L5584">
        <v>382</v>
      </c>
      <c r="M5584">
        <v>382</v>
      </c>
      <c r="N5584">
        <v>109</v>
      </c>
      <c r="O5584" t="str">
        <f>"PAGAMENTO DE ENTREGADORES"</f>
        <v>PAGAMENTO DE ENTREGADORES</v>
      </c>
      <c r="P5584">
        <v>382</v>
      </c>
      <c r="S5584" t="str">
        <f>"BANCO C6 (149)"</f>
        <v>BANCO C6 (149)</v>
      </c>
      <c r="T5584">
        <v>19947</v>
      </c>
      <c r="U5584">
        <v>22635</v>
      </c>
      <c r="V5584" t="s">
        <v>77</v>
      </c>
    </row>
    <row r="5585" spans="1:22">
      <c r="A5585" t="str">
        <f t="shared" si="982"/>
        <v>09/10/2025</v>
      </c>
      <c r="B5585" t="str">
        <f t="shared" si="976"/>
        <v>SAÍDA</v>
      </c>
      <c r="C5585" t="str">
        <f t="shared" si="979"/>
        <v>PIX</v>
      </c>
      <c r="D5585" t="str">
        <f>"22635"</f>
        <v>22635</v>
      </c>
      <c r="E5585" t="str">
        <f t="shared" si="980"/>
        <v>1</v>
      </c>
      <c r="F5585" t="str">
        <f t="shared" si="977"/>
        <v>COM</v>
      </c>
      <c r="G5585" t="str">
        <f>"TAYSON BARBOSA SILVINO (613)"</f>
        <v>TAYSON BARBOSA SILVINO (613)</v>
      </c>
      <c r="H5585" t="s">
        <v>1482</v>
      </c>
      <c r="I5585" t="str">
        <f t="shared" si="978"/>
        <v>09/10/2025</v>
      </c>
      <c r="J5585" t="str">
        <f t="shared" si="981"/>
        <v>26/09/2025</v>
      </c>
      <c r="K5585">
        <v>45939</v>
      </c>
      <c r="N5585">
        <v>109</v>
      </c>
      <c r="O5585" t="s">
        <v>24</v>
      </c>
      <c r="Q5585">
        <v>382</v>
      </c>
      <c r="R5585" t="str">
        <f>"FARMÁCIA INDIANA LJ 19 (10012)"</f>
        <v>FARMÁCIA INDIANA LJ 19 (10012)</v>
      </c>
      <c r="S5585" t="s">
        <v>77</v>
      </c>
      <c r="T5585">
        <v>19947</v>
      </c>
      <c r="U5585">
        <v>22635</v>
      </c>
      <c r="V5585" t="s">
        <v>77</v>
      </c>
    </row>
    <row r="5586" spans="1:22">
      <c r="A5586" t="str">
        <f t="shared" si="982"/>
        <v>09/10/2025</v>
      </c>
      <c r="B5586" t="str">
        <f t="shared" si="976"/>
        <v>SAÍDA</v>
      </c>
      <c r="C5586" t="str">
        <f t="shared" si="979"/>
        <v>PIX</v>
      </c>
      <c r="D5586" t="str">
        <f>"22637"</f>
        <v>22637</v>
      </c>
      <c r="E5586" t="str">
        <f t="shared" si="980"/>
        <v>1</v>
      </c>
      <c r="F5586" t="str">
        <f t="shared" si="977"/>
        <v>COM</v>
      </c>
      <c r="G5586" t="str">
        <f>"VINICIUS DE SOUZA ISABEL (658)"</f>
        <v>VINICIUS DE SOUZA ISABEL (658)</v>
      </c>
      <c r="H5586" t="str">
        <f>"Serv.Prest. 22/09/2025 a 25/09/2025 - PIX: CPF - CHAVE: 092.566.416-23"</f>
        <v>Serv.Prest. 22/09/2025 a 25/09/2025 - PIX: CPF - CHAVE: 092.566.416-23</v>
      </c>
      <c r="I5586" t="str">
        <f t="shared" si="978"/>
        <v>09/10/2025</v>
      </c>
      <c r="J5586" t="str">
        <f t="shared" si="981"/>
        <v>26/09/2025</v>
      </c>
      <c r="K5586" t="str">
        <f>("09/10/2025")</f>
        <v>09/10/2025</v>
      </c>
      <c r="L5586">
        <v>680</v>
      </c>
      <c r="M5586">
        <v>680</v>
      </c>
      <c r="N5586">
        <v>109</v>
      </c>
      <c r="O5586" t="str">
        <f>"PAGAMENTO DE ENTREGADORES"</f>
        <v>PAGAMENTO DE ENTREGADORES</v>
      </c>
      <c r="P5586">
        <v>680</v>
      </c>
      <c r="S5586" t="str">
        <f>"BANCO C6 (149)"</f>
        <v>BANCO C6 (149)</v>
      </c>
      <c r="T5586">
        <v>19948</v>
      </c>
      <c r="U5586">
        <v>22637</v>
      </c>
      <c r="V5586" t="s">
        <v>77</v>
      </c>
    </row>
    <row r="5587" spans="1:22">
      <c r="A5587" t="str">
        <f t="shared" si="982"/>
        <v>09/10/2025</v>
      </c>
      <c r="B5587" t="str">
        <f t="shared" si="976"/>
        <v>SAÍDA</v>
      </c>
      <c r="C5587" t="str">
        <f t="shared" si="979"/>
        <v>PIX</v>
      </c>
      <c r="D5587" t="str">
        <f>"22637"</f>
        <v>22637</v>
      </c>
      <c r="E5587" t="str">
        <f t="shared" si="980"/>
        <v>1</v>
      </c>
      <c r="F5587" t="str">
        <f t="shared" si="977"/>
        <v>COM</v>
      </c>
      <c r="G5587" t="str">
        <f>"VINICIUS DE SOUZA ISABEL (658)"</f>
        <v>VINICIUS DE SOUZA ISABEL (658)</v>
      </c>
      <c r="H5587" t="s">
        <v>1485</v>
      </c>
      <c r="I5587" t="str">
        <f t="shared" si="978"/>
        <v>09/10/2025</v>
      </c>
      <c r="J5587" t="str">
        <f t="shared" si="981"/>
        <v>26/09/2025</v>
      </c>
      <c r="K5587">
        <v>45939</v>
      </c>
      <c r="N5587">
        <v>109</v>
      </c>
      <c r="O5587" t="s">
        <v>24</v>
      </c>
      <c r="Q5587">
        <v>680</v>
      </c>
      <c r="R5587" t="str">
        <f>"FARMÁCIA INDIANA LJ 219 (10091)"</f>
        <v>FARMÁCIA INDIANA LJ 219 (10091)</v>
      </c>
      <c r="S5587" t="s">
        <v>77</v>
      </c>
      <c r="T5587">
        <v>19948</v>
      </c>
      <c r="U5587">
        <v>22637</v>
      </c>
      <c r="V5587" t="s">
        <v>77</v>
      </c>
    </row>
    <row r="5588" spans="1:22">
      <c r="A5588" t="str">
        <f t="shared" si="982"/>
        <v>09/10/2025</v>
      </c>
      <c r="B5588" t="str">
        <f t="shared" si="976"/>
        <v>SAÍDA</v>
      </c>
      <c r="C5588" t="str">
        <f t="shared" si="979"/>
        <v>PIX</v>
      </c>
      <c r="D5588" t="str">
        <f>"22638"</f>
        <v>22638</v>
      </c>
      <c r="E5588" t="str">
        <f t="shared" si="980"/>
        <v>1</v>
      </c>
      <c r="F5588" t="str">
        <f t="shared" si="977"/>
        <v>COM</v>
      </c>
      <c r="G5588" t="str">
        <f>"VITOR CARDOSO FAUSTINO (257)"</f>
        <v>VITOR CARDOSO FAUSTINO (257)</v>
      </c>
      <c r="H5588" t="str">
        <f>"Serv.Prest. 22/09/2025 a 25/09/2025 - PIX: CPF - CHAVE: 157.874.046-02"</f>
        <v>Serv.Prest. 22/09/2025 a 25/09/2025 - PIX: CPF - CHAVE: 157.874.046-02</v>
      </c>
      <c r="I5588" t="str">
        <f t="shared" si="978"/>
        <v>09/10/2025</v>
      </c>
      <c r="J5588" t="str">
        <f t="shared" si="981"/>
        <v>26/09/2025</v>
      </c>
      <c r="K5588" t="str">
        <f>("09/10/2025")</f>
        <v>09/10/2025</v>
      </c>
      <c r="L5588">
        <v>510</v>
      </c>
      <c r="M5588">
        <v>510</v>
      </c>
      <c r="N5588">
        <v>109</v>
      </c>
      <c r="O5588" t="str">
        <f>"PAGAMENTO DE ENTREGADORES"</f>
        <v>PAGAMENTO DE ENTREGADORES</v>
      </c>
      <c r="P5588">
        <v>510</v>
      </c>
      <c r="S5588" t="str">
        <f>"BANCO C6 (149)"</f>
        <v>BANCO C6 (149)</v>
      </c>
      <c r="T5588">
        <v>19949</v>
      </c>
      <c r="U5588">
        <v>22638</v>
      </c>
      <c r="V5588" t="s">
        <v>77</v>
      </c>
    </row>
    <row r="5589" spans="1:22">
      <c r="A5589" t="str">
        <f t="shared" si="982"/>
        <v>09/10/2025</v>
      </c>
      <c r="B5589" t="str">
        <f t="shared" si="976"/>
        <v>SAÍDA</v>
      </c>
      <c r="C5589" t="str">
        <f t="shared" si="979"/>
        <v>PIX</v>
      </c>
      <c r="D5589" t="str">
        <f>"22638"</f>
        <v>22638</v>
      </c>
      <c r="E5589" t="str">
        <f t="shared" si="980"/>
        <v>1</v>
      </c>
      <c r="F5589" t="str">
        <f t="shared" si="977"/>
        <v>COM</v>
      </c>
      <c r="G5589" t="str">
        <f>"VITOR CARDOSO FAUSTINO (257)"</f>
        <v>VITOR CARDOSO FAUSTINO (257)</v>
      </c>
      <c r="H5589" t="s">
        <v>1561</v>
      </c>
      <c r="I5589" t="str">
        <f t="shared" si="978"/>
        <v>09/10/2025</v>
      </c>
      <c r="J5589" t="str">
        <f t="shared" si="981"/>
        <v>26/09/2025</v>
      </c>
      <c r="K5589">
        <v>45939</v>
      </c>
      <c r="N5589">
        <v>109</v>
      </c>
      <c r="O5589" t="s">
        <v>24</v>
      </c>
      <c r="Q5589">
        <v>510</v>
      </c>
      <c r="R5589" t="str">
        <f>"FARMÁCIA INDIANA LJ 07 (10007)"</f>
        <v>FARMÁCIA INDIANA LJ 07 (10007)</v>
      </c>
      <c r="S5589" t="s">
        <v>77</v>
      </c>
      <c r="T5589">
        <v>19949</v>
      </c>
      <c r="U5589">
        <v>22638</v>
      </c>
      <c r="V5589" t="s">
        <v>77</v>
      </c>
    </row>
    <row r="5590" spans="1:22">
      <c r="A5590" t="str">
        <f t="shared" si="982"/>
        <v>09/10/2025</v>
      </c>
      <c r="B5590" t="str">
        <f t="shared" si="976"/>
        <v>SAÍDA</v>
      </c>
      <c r="C5590" t="str">
        <f t="shared" si="979"/>
        <v>PIX</v>
      </c>
      <c r="D5590" t="str">
        <f>"22639"</f>
        <v>22639</v>
      </c>
      <c r="E5590" t="str">
        <f t="shared" si="980"/>
        <v>1</v>
      </c>
      <c r="F5590" t="str">
        <f t="shared" si="977"/>
        <v>COM</v>
      </c>
      <c r="G5590" t="str">
        <f>"VITOR DE SOUZA SILVA (360)"</f>
        <v>VITOR DE SOUZA SILVA (360)</v>
      </c>
      <c r="H5590" t="str">
        <f>"Serv.Prest. 22/09/2025 a 25/09/2025 - PIX: CPF - CHAVE: 130.194.566-81"</f>
        <v>Serv.Prest. 22/09/2025 a 25/09/2025 - PIX: CPF - CHAVE: 130.194.566-81</v>
      </c>
      <c r="I5590" t="str">
        <f t="shared" si="978"/>
        <v>09/10/2025</v>
      </c>
      <c r="J5590" t="str">
        <f t="shared" si="981"/>
        <v>26/09/2025</v>
      </c>
      <c r="K5590" t="str">
        <f>("09/10/2025")</f>
        <v>09/10/2025</v>
      </c>
      <c r="L5590">
        <v>680.8</v>
      </c>
      <c r="M5590">
        <v>680.8</v>
      </c>
      <c r="N5590">
        <v>109</v>
      </c>
      <c r="O5590" t="str">
        <f>"PAGAMENTO DE ENTREGADORES"</f>
        <v>PAGAMENTO DE ENTREGADORES</v>
      </c>
      <c r="P5590">
        <v>680.8</v>
      </c>
      <c r="S5590" t="str">
        <f>"BANCO C6 (149)"</f>
        <v>BANCO C6 (149)</v>
      </c>
      <c r="T5590">
        <v>19950</v>
      </c>
      <c r="U5590">
        <v>22639</v>
      </c>
      <c r="V5590" t="s">
        <v>77</v>
      </c>
    </row>
    <row r="5591" spans="1:22">
      <c r="A5591" t="str">
        <f t="shared" si="982"/>
        <v>09/10/2025</v>
      </c>
      <c r="B5591" t="str">
        <f t="shared" si="976"/>
        <v>SAÍDA</v>
      </c>
      <c r="C5591" t="str">
        <f t="shared" si="979"/>
        <v>PIX</v>
      </c>
      <c r="D5591" t="str">
        <f>"22639"</f>
        <v>22639</v>
      </c>
      <c r="E5591" t="str">
        <f t="shared" si="980"/>
        <v>1</v>
      </c>
      <c r="F5591" t="str">
        <f t="shared" si="977"/>
        <v>COM</v>
      </c>
      <c r="G5591" t="str">
        <f>"VITOR DE SOUZA SILVA (360)"</f>
        <v>VITOR DE SOUZA SILVA (360)</v>
      </c>
      <c r="H5591" t="s">
        <v>1489</v>
      </c>
      <c r="I5591" t="str">
        <f t="shared" si="978"/>
        <v>09/10/2025</v>
      </c>
      <c r="J5591" t="str">
        <f t="shared" si="981"/>
        <v>26/09/2025</v>
      </c>
      <c r="K5591">
        <v>45939</v>
      </c>
      <c r="N5591">
        <v>109</v>
      </c>
      <c r="O5591" t="s">
        <v>24</v>
      </c>
      <c r="Q5591">
        <v>680.8</v>
      </c>
      <c r="R5591" t="str">
        <f>"FARMÁCIA INDIANA LJ 121 (10054)"</f>
        <v>FARMÁCIA INDIANA LJ 121 (10054)</v>
      </c>
      <c r="S5591" t="s">
        <v>77</v>
      </c>
      <c r="T5591">
        <v>19950</v>
      </c>
      <c r="U5591">
        <v>22639</v>
      </c>
      <c r="V5591" t="s">
        <v>77</v>
      </c>
    </row>
    <row r="5592" spans="1:22">
      <c r="A5592" t="str">
        <f t="shared" si="982"/>
        <v>09/10/2025</v>
      </c>
      <c r="B5592" t="str">
        <f t="shared" si="976"/>
        <v>SAÍDA</v>
      </c>
      <c r="C5592" t="str">
        <f t="shared" si="979"/>
        <v>PIX</v>
      </c>
      <c r="D5592" t="str">
        <f>"22640"</f>
        <v>22640</v>
      </c>
      <c r="E5592" t="str">
        <f t="shared" si="980"/>
        <v>1</v>
      </c>
      <c r="F5592" t="str">
        <f t="shared" si="977"/>
        <v>COM</v>
      </c>
      <c r="G5592" t="str">
        <f>"WAGNER DOS SANTOS LIMA (31)"</f>
        <v>WAGNER DOS SANTOS LIMA (31)</v>
      </c>
      <c r="H5592" t="str">
        <f>"Serv.Prest. 22/09/2025 a 25/09/2025 - PIX: CELULAR - CHAVE: (33) 99118-9032"</f>
        <v>Serv.Prest. 22/09/2025 a 25/09/2025 - PIX: CELULAR - CHAVE: (33) 99118-9032</v>
      </c>
      <c r="I5592" t="str">
        <f t="shared" si="978"/>
        <v>09/10/2025</v>
      </c>
      <c r="J5592" t="str">
        <f t="shared" si="981"/>
        <v>26/09/2025</v>
      </c>
      <c r="K5592" t="str">
        <f>("09/10/2025")</f>
        <v>09/10/2025</v>
      </c>
      <c r="L5592">
        <v>693</v>
      </c>
      <c r="M5592">
        <v>693</v>
      </c>
      <c r="N5592">
        <v>109</v>
      </c>
      <c r="O5592" t="str">
        <f>"PAGAMENTO DE ENTREGADORES"</f>
        <v>PAGAMENTO DE ENTREGADORES</v>
      </c>
      <c r="P5592">
        <v>693</v>
      </c>
      <c r="S5592" t="str">
        <f>"BANCO C6 (149)"</f>
        <v>BANCO C6 (149)</v>
      </c>
      <c r="T5592">
        <v>19951</v>
      </c>
      <c r="U5592">
        <v>22640</v>
      </c>
      <c r="V5592" t="s">
        <v>77</v>
      </c>
    </row>
    <row r="5593" spans="1:22">
      <c r="A5593" t="str">
        <f t="shared" si="982"/>
        <v>09/10/2025</v>
      </c>
      <c r="B5593" t="str">
        <f t="shared" si="976"/>
        <v>SAÍDA</v>
      </c>
      <c r="C5593" t="str">
        <f t="shared" si="979"/>
        <v>PIX</v>
      </c>
      <c r="D5593" t="str">
        <f>"22640"</f>
        <v>22640</v>
      </c>
      <c r="E5593" t="str">
        <f t="shared" si="980"/>
        <v>1</v>
      </c>
      <c r="F5593" t="str">
        <f t="shared" si="977"/>
        <v>COM</v>
      </c>
      <c r="G5593" t="str">
        <f>"WAGNER DOS SANTOS LIMA (31)"</f>
        <v>WAGNER DOS SANTOS LIMA (31)</v>
      </c>
      <c r="H5593" t="s">
        <v>1562</v>
      </c>
      <c r="I5593" t="str">
        <f t="shared" si="978"/>
        <v>09/10/2025</v>
      </c>
      <c r="J5593" t="str">
        <f t="shared" si="981"/>
        <v>26/09/2025</v>
      </c>
      <c r="K5593">
        <v>45939</v>
      </c>
      <c r="N5593">
        <v>109</v>
      </c>
      <c r="O5593" t="s">
        <v>24</v>
      </c>
      <c r="Q5593">
        <v>693</v>
      </c>
      <c r="R5593" t="str">
        <f>"FARMÁCIA INDIANA LJ 61 (10027)"</f>
        <v>FARMÁCIA INDIANA LJ 61 (10027)</v>
      </c>
      <c r="S5593" t="s">
        <v>77</v>
      </c>
      <c r="T5593">
        <v>19951</v>
      </c>
      <c r="U5593">
        <v>22640</v>
      </c>
      <c r="V5593" t="s">
        <v>77</v>
      </c>
    </row>
    <row r="5594" spans="1:22">
      <c r="A5594" t="str">
        <f t="shared" si="982"/>
        <v>09/10/2025</v>
      </c>
      <c r="B5594" t="str">
        <f t="shared" si="976"/>
        <v>SAÍDA</v>
      </c>
      <c r="C5594" t="str">
        <f t="shared" si="979"/>
        <v>PIX</v>
      </c>
      <c r="D5594" t="str">
        <f>"22641"</f>
        <v>22641</v>
      </c>
      <c r="E5594" t="str">
        <f t="shared" si="980"/>
        <v>1</v>
      </c>
      <c r="F5594" t="str">
        <f t="shared" si="977"/>
        <v>COM</v>
      </c>
      <c r="G5594" t="str">
        <f>"WARLEN JUNIO ELIAS DE OLIVEIRA (171)"</f>
        <v>WARLEN JUNIO ELIAS DE OLIVEIRA (171)</v>
      </c>
      <c r="H5594" t="str">
        <f>"Serv.Prest. 22/09/2025 a 25/09/2025 - PIX: CELULAR - CHAVE: (31) 97251-6838"</f>
        <v>Serv.Prest. 22/09/2025 a 25/09/2025 - PIX: CELULAR - CHAVE: (31) 97251-6838</v>
      </c>
      <c r="I5594" t="str">
        <f t="shared" si="978"/>
        <v>09/10/2025</v>
      </c>
      <c r="J5594" t="str">
        <f t="shared" si="981"/>
        <v>26/09/2025</v>
      </c>
      <c r="K5594" t="str">
        <f>("09/10/2025")</f>
        <v>09/10/2025</v>
      </c>
      <c r="L5594">
        <v>555</v>
      </c>
      <c r="M5594">
        <v>555</v>
      </c>
      <c r="N5594">
        <v>109</v>
      </c>
      <c r="O5594" t="str">
        <f>"PAGAMENTO DE ENTREGADORES"</f>
        <v>PAGAMENTO DE ENTREGADORES</v>
      </c>
      <c r="P5594">
        <v>555</v>
      </c>
      <c r="S5594" t="str">
        <f>"BANCO C6 (149)"</f>
        <v>BANCO C6 (149)</v>
      </c>
      <c r="T5594">
        <v>19952</v>
      </c>
      <c r="U5594">
        <v>22641</v>
      </c>
      <c r="V5594" t="s">
        <v>77</v>
      </c>
    </row>
    <row r="5595" spans="1:22">
      <c r="A5595" t="str">
        <f t="shared" si="982"/>
        <v>09/10/2025</v>
      </c>
      <c r="B5595" t="str">
        <f t="shared" si="976"/>
        <v>SAÍDA</v>
      </c>
      <c r="C5595" t="str">
        <f t="shared" si="979"/>
        <v>PIX</v>
      </c>
      <c r="D5595" t="str">
        <f>"22641"</f>
        <v>22641</v>
      </c>
      <c r="E5595" t="str">
        <f t="shared" si="980"/>
        <v>1</v>
      </c>
      <c r="F5595" t="str">
        <f t="shared" si="977"/>
        <v>COM</v>
      </c>
      <c r="G5595" t="str">
        <f>"WARLEN JUNIO ELIAS DE OLIVEIRA (171)"</f>
        <v>WARLEN JUNIO ELIAS DE OLIVEIRA (171)</v>
      </c>
      <c r="H5595" t="s">
        <v>1490</v>
      </c>
      <c r="I5595" t="str">
        <f t="shared" si="978"/>
        <v>09/10/2025</v>
      </c>
      <c r="J5595" t="str">
        <f t="shared" si="981"/>
        <v>26/09/2025</v>
      </c>
      <c r="K5595">
        <v>45939</v>
      </c>
      <c r="N5595">
        <v>109</v>
      </c>
      <c r="O5595" t="s">
        <v>24</v>
      </c>
      <c r="Q5595">
        <v>555</v>
      </c>
      <c r="R5595" t="str">
        <f>"FARMÁCIA INDIANA LJ 175 (10076)"</f>
        <v>FARMÁCIA INDIANA LJ 175 (10076)</v>
      </c>
      <c r="S5595" t="s">
        <v>77</v>
      </c>
      <c r="T5595">
        <v>19952</v>
      </c>
      <c r="U5595">
        <v>22641</v>
      </c>
      <c r="V5595" t="s">
        <v>77</v>
      </c>
    </row>
    <row r="5596" spans="1:22">
      <c r="A5596" t="str">
        <f t="shared" si="982"/>
        <v>09/10/2025</v>
      </c>
      <c r="B5596" t="str">
        <f t="shared" si="976"/>
        <v>SAÍDA</v>
      </c>
      <c r="C5596" t="str">
        <f t="shared" si="979"/>
        <v>PIX</v>
      </c>
      <c r="D5596" t="str">
        <f>"22643"</f>
        <v>22643</v>
      </c>
      <c r="E5596" t="str">
        <f t="shared" si="980"/>
        <v>1</v>
      </c>
      <c r="F5596" t="str">
        <f t="shared" si="977"/>
        <v>COM</v>
      </c>
      <c r="G5596" t="str">
        <f>"WELLINGTON DOS SANTOS ALVES (438)"</f>
        <v>WELLINGTON DOS SANTOS ALVES (438)</v>
      </c>
      <c r="H5596" t="str">
        <f>"Serv.Prest. 22/09/2025 a 25/09/2025 - PIX: CELULAR - CHAVE: (32) 99800-1691"</f>
        <v>Serv.Prest. 22/09/2025 a 25/09/2025 - PIX: CELULAR - CHAVE: (32) 99800-1691</v>
      </c>
      <c r="I5596" t="str">
        <f t="shared" si="978"/>
        <v>09/10/2025</v>
      </c>
      <c r="J5596" t="str">
        <f t="shared" si="981"/>
        <v>26/09/2025</v>
      </c>
      <c r="K5596" t="str">
        <f>("09/10/2025")</f>
        <v>09/10/2025</v>
      </c>
      <c r="L5596">
        <v>680.8</v>
      </c>
      <c r="M5596">
        <v>680.8</v>
      </c>
      <c r="N5596">
        <v>109</v>
      </c>
      <c r="O5596" t="str">
        <f>"PAGAMENTO DE ENTREGADORES"</f>
        <v>PAGAMENTO DE ENTREGADORES</v>
      </c>
      <c r="P5596">
        <v>680.8</v>
      </c>
      <c r="S5596" t="str">
        <f>"BANCO C6 (149)"</f>
        <v>BANCO C6 (149)</v>
      </c>
      <c r="T5596">
        <v>19953</v>
      </c>
      <c r="U5596">
        <v>22643</v>
      </c>
      <c r="V5596" t="s">
        <v>77</v>
      </c>
    </row>
    <row r="5597" spans="1:22">
      <c r="A5597" t="str">
        <f t="shared" si="982"/>
        <v>09/10/2025</v>
      </c>
      <c r="B5597" t="str">
        <f t="shared" si="976"/>
        <v>SAÍDA</v>
      </c>
      <c r="C5597" t="str">
        <f t="shared" si="979"/>
        <v>PIX</v>
      </c>
      <c r="D5597" t="str">
        <f>"22643"</f>
        <v>22643</v>
      </c>
      <c r="E5597" t="str">
        <f t="shared" si="980"/>
        <v>1</v>
      </c>
      <c r="F5597" t="str">
        <f t="shared" si="977"/>
        <v>COM</v>
      </c>
      <c r="G5597" t="str">
        <f>"WELLINGTON DOS SANTOS ALVES (438)"</f>
        <v>WELLINGTON DOS SANTOS ALVES (438)</v>
      </c>
      <c r="H5597" t="s">
        <v>1492</v>
      </c>
      <c r="I5597" t="str">
        <f t="shared" si="978"/>
        <v>09/10/2025</v>
      </c>
      <c r="J5597" t="str">
        <f t="shared" si="981"/>
        <v>26/09/2025</v>
      </c>
      <c r="K5597">
        <v>45939</v>
      </c>
      <c r="N5597">
        <v>109</v>
      </c>
      <c r="O5597" t="s">
        <v>24</v>
      </c>
      <c r="Q5597">
        <v>322.02</v>
      </c>
      <c r="R5597" t="str">
        <f>"FARMÁCIA INDIANA LJ 112 (10050)"</f>
        <v>FARMÁCIA INDIANA LJ 112 (10050)</v>
      </c>
      <c r="S5597" t="s">
        <v>77</v>
      </c>
      <c r="T5597">
        <v>19953</v>
      </c>
      <c r="U5597">
        <v>22643</v>
      </c>
      <c r="V5597" t="s">
        <v>77</v>
      </c>
    </row>
    <row r="5598" spans="1:22">
      <c r="A5598" t="str">
        <f t="shared" si="982"/>
        <v>09/10/2025</v>
      </c>
      <c r="B5598" t="str">
        <f t="shared" si="976"/>
        <v>SAÍDA</v>
      </c>
      <c r="C5598" t="str">
        <f t="shared" si="979"/>
        <v>PIX</v>
      </c>
      <c r="D5598" t="str">
        <f>"22643"</f>
        <v>22643</v>
      </c>
      <c r="E5598" t="str">
        <f t="shared" si="980"/>
        <v>1</v>
      </c>
      <c r="F5598" t="str">
        <f t="shared" si="977"/>
        <v>COM</v>
      </c>
      <c r="G5598" t="str">
        <f>"WELLINGTON DOS SANTOS ALVES (438)"</f>
        <v>WELLINGTON DOS SANTOS ALVES (438)</v>
      </c>
      <c r="H5598" t="s">
        <v>1492</v>
      </c>
      <c r="I5598" t="str">
        <f t="shared" si="978"/>
        <v>09/10/2025</v>
      </c>
      <c r="J5598" t="str">
        <f t="shared" si="981"/>
        <v>26/09/2025</v>
      </c>
      <c r="K5598">
        <v>45939</v>
      </c>
      <c r="N5598">
        <v>109</v>
      </c>
      <c r="O5598" t="s">
        <v>24</v>
      </c>
      <c r="Q5598">
        <v>358.78</v>
      </c>
      <c r="R5598" t="str">
        <f>"FARMÁCIA INDIANA LJ 128 (10057)"</f>
        <v>FARMÁCIA INDIANA LJ 128 (10057)</v>
      </c>
      <c r="S5598" t="s">
        <v>77</v>
      </c>
      <c r="T5598">
        <v>19953</v>
      </c>
      <c r="U5598">
        <v>22643</v>
      </c>
      <c r="V5598" t="s">
        <v>77</v>
      </c>
    </row>
    <row r="5599" spans="1:22">
      <c r="A5599" t="str">
        <f t="shared" si="982"/>
        <v>09/10/2025</v>
      </c>
      <c r="B5599" t="str">
        <f t="shared" si="976"/>
        <v>SAÍDA</v>
      </c>
      <c r="C5599" t="str">
        <f t="shared" si="979"/>
        <v>PIX</v>
      </c>
      <c r="D5599" t="str">
        <f>"22644"</f>
        <v>22644</v>
      </c>
      <c r="E5599" t="str">
        <f t="shared" si="980"/>
        <v>1</v>
      </c>
      <c r="F5599" t="str">
        <f t="shared" si="977"/>
        <v>COM</v>
      </c>
      <c r="G5599" t="str">
        <f>"WELVES DA SILVA RAMOS (194)"</f>
        <v>WELVES DA SILVA RAMOS (194)</v>
      </c>
      <c r="H5599" t="str">
        <f>"Serv.Prest. 22/09/2025 a 25/09/2025 - PIX: CPF - CHAVE: 700.454.836-80"</f>
        <v>Serv.Prest. 22/09/2025 a 25/09/2025 - PIX: CPF - CHAVE: 700.454.836-80</v>
      </c>
      <c r="I5599" t="str">
        <f t="shared" si="978"/>
        <v>09/10/2025</v>
      </c>
      <c r="J5599" t="str">
        <f t="shared" si="981"/>
        <v>26/09/2025</v>
      </c>
      <c r="K5599" t="str">
        <f>("09/10/2025")</f>
        <v>09/10/2025</v>
      </c>
      <c r="L5599">
        <v>720</v>
      </c>
      <c r="M5599">
        <v>720</v>
      </c>
      <c r="N5599">
        <v>109</v>
      </c>
      <c r="O5599" t="str">
        <f>"PAGAMENTO DE ENTREGADORES"</f>
        <v>PAGAMENTO DE ENTREGADORES</v>
      </c>
      <c r="P5599">
        <v>720</v>
      </c>
      <c r="S5599" t="str">
        <f>"BANCO C6 (149)"</f>
        <v>BANCO C6 (149)</v>
      </c>
      <c r="T5599">
        <v>19954</v>
      </c>
      <c r="U5599">
        <v>22644</v>
      </c>
      <c r="V5599" t="s">
        <v>77</v>
      </c>
    </row>
    <row r="5600" spans="1:22">
      <c r="A5600" t="str">
        <f t="shared" si="982"/>
        <v>09/10/2025</v>
      </c>
      <c r="B5600" t="str">
        <f t="shared" si="976"/>
        <v>SAÍDA</v>
      </c>
      <c r="C5600" t="str">
        <f t="shared" si="979"/>
        <v>PIX</v>
      </c>
      <c r="D5600" t="str">
        <f>"22644"</f>
        <v>22644</v>
      </c>
      <c r="E5600" t="str">
        <f t="shared" si="980"/>
        <v>1</v>
      </c>
      <c r="F5600" t="str">
        <f t="shared" si="977"/>
        <v>COM</v>
      </c>
      <c r="G5600" t="str">
        <f>"WELVES DA SILVA RAMOS (194)"</f>
        <v>WELVES DA SILVA RAMOS (194)</v>
      </c>
      <c r="H5600" t="s">
        <v>1563</v>
      </c>
      <c r="I5600" t="str">
        <f t="shared" si="978"/>
        <v>09/10/2025</v>
      </c>
      <c r="J5600" t="str">
        <f t="shared" si="981"/>
        <v>26/09/2025</v>
      </c>
      <c r="K5600">
        <v>45939</v>
      </c>
      <c r="N5600">
        <v>109</v>
      </c>
      <c r="O5600" t="s">
        <v>24</v>
      </c>
      <c r="Q5600">
        <v>720</v>
      </c>
      <c r="R5600" t="str">
        <f>"FARMÁCIA INDIANA LJ 06 (10006)"</f>
        <v>FARMÁCIA INDIANA LJ 06 (10006)</v>
      </c>
      <c r="S5600" t="s">
        <v>77</v>
      </c>
      <c r="T5600">
        <v>19954</v>
      </c>
      <c r="U5600">
        <v>22644</v>
      </c>
      <c r="V5600" t="s">
        <v>77</v>
      </c>
    </row>
    <row r="5601" spans="1:22">
      <c r="A5601" t="str">
        <f t="shared" si="982"/>
        <v>09/10/2025</v>
      </c>
      <c r="B5601" t="str">
        <f t="shared" si="976"/>
        <v>SAÍDA</v>
      </c>
      <c r="C5601" t="str">
        <f t="shared" si="979"/>
        <v>PIX</v>
      </c>
      <c r="D5601" t="str">
        <f>"22645"</f>
        <v>22645</v>
      </c>
      <c r="E5601" t="str">
        <f t="shared" si="980"/>
        <v>1</v>
      </c>
      <c r="F5601" t="str">
        <f t="shared" si="977"/>
        <v>COM</v>
      </c>
      <c r="G5601" t="str">
        <f>"WEMERSON FELIPE LOPES (187)"</f>
        <v>WEMERSON FELIPE LOPES (187)</v>
      </c>
      <c r="H5601" t="str">
        <f>"Serv.Prest. 22/09/2025 a 25/09/2025 - PIX: CELULAR - CHAVE: (33) 98806-5772"</f>
        <v>Serv.Prest. 22/09/2025 a 25/09/2025 - PIX: CELULAR - CHAVE: (33) 98806-5772</v>
      </c>
      <c r="I5601" t="str">
        <f t="shared" si="978"/>
        <v>09/10/2025</v>
      </c>
      <c r="J5601" t="str">
        <f t="shared" si="981"/>
        <v>26/09/2025</v>
      </c>
      <c r="K5601" t="str">
        <f>("09/10/2025")</f>
        <v>09/10/2025</v>
      </c>
      <c r="L5601">
        <v>520</v>
      </c>
      <c r="M5601">
        <v>520</v>
      </c>
      <c r="N5601">
        <v>109</v>
      </c>
      <c r="O5601" t="str">
        <f>"PAGAMENTO DE ENTREGADORES"</f>
        <v>PAGAMENTO DE ENTREGADORES</v>
      </c>
      <c r="P5601">
        <v>520</v>
      </c>
      <c r="S5601" t="str">
        <f>"BANCO C6 (149)"</f>
        <v>BANCO C6 (149)</v>
      </c>
      <c r="T5601">
        <v>19955</v>
      </c>
      <c r="U5601">
        <v>22645</v>
      </c>
      <c r="V5601" t="s">
        <v>77</v>
      </c>
    </row>
    <row r="5602" spans="1:22">
      <c r="A5602" t="str">
        <f t="shared" si="982"/>
        <v>09/10/2025</v>
      </c>
      <c r="B5602" t="str">
        <f t="shared" si="976"/>
        <v>SAÍDA</v>
      </c>
      <c r="C5602" t="str">
        <f t="shared" si="979"/>
        <v>PIX</v>
      </c>
      <c r="D5602" t="str">
        <f>"22645"</f>
        <v>22645</v>
      </c>
      <c r="E5602" t="str">
        <f t="shared" si="980"/>
        <v>1</v>
      </c>
      <c r="F5602" t="str">
        <f t="shared" si="977"/>
        <v>COM</v>
      </c>
      <c r="G5602" t="str">
        <f>"WEMERSON FELIPE LOPES (187)"</f>
        <v>WEMERSON FELIPE LOPES (187)</v>
      </c>
      <c r="H5602" t="s">
        <v>1493</v>
      </c>
      <c r="I5602" t="str">
        <f t="shared" si="978"/>
        <v>09/10/2025</v>
      </c>
      <c r="J5602" t="str">
        <f t="shared" si="981"/>
        <v>26/09/2025</v>
      </c>
      <c r="K5602">
        <v>45939</v>
      </c>
      <c r="N5602">
        <v>109</v>
      </c>
      <c r="O5602" t="s">
        <v>24</v>
      </c>
      <c r="Q5602">
        <v>520</v>
      </c>
      <c r="R5602" t="str">
        <f>"FARMÁCIA INDIANA LJ 06 (10006)"</f>
        <v>FARMÁCIA INDIANA LJ 06 (10006)</v>
      </c>
      <c r="S5602" t="s">
        <v>77</v>
      </c>
      <c r="T5602">
        <v>19955</v>
      </c>
      <c r="U5602">
        <v>22645</v>
      </c>
      <c r="V5602" t="s">
        <v>77</v>
      </c>
    </row>
    <row r="5603" spans="1:22">
      <c r="A5603" t="str">
        <f t="shared" si="982"/>
        <v>09/10/2025</v>
      </c>
      <c r="B5603" t="str">
        <f t="shared" si="976"/>
        <v>SAÍDA</v>
      </c>
      <c r="C5603" t="str">
        <f t="shared" si="979"/>
        <v>PIX</v>
      </c>
      <c r="D5603" t="str">
        <f>"22646"</f>
        <v>22646</v>
      </c>
      <c r="E5603" t="str">
        <f t="shared" si="980"/>
        <v>1</v>
      </c>
      <c r="F5603" t="str">
        <f t="shared" si="977"/>
        <v>COM</v>
      </c>
      <c r="G5603" t="str">
        <f>"WEMERSON MOREIRA PESSOA (75)"</f>
        <v>WEMERSON MOREIRA PESSOA (75)</v>
      </c>
      <c r="H5603" t="str">
        <f>"Serv.Prest. 22/09/2025 a 25/09/2025 - PIX: CELULAR - CHAVE: (33) 99996-3668"</f>
        <v>Serv.Prest. 22/09/2025 a 25/09/2025 - PIX: CELULAR - CHAVE: (33) 99996-3668</v>
      </c>
      <c r="I5603" t="str">
        <f t="shared" si="978"/>
        <v>09/10/2025</v>
      </c>
      <c r="J5603" t="str">
        <f t="shared" si="981"/>
        <v>26/09/2025</v>
      </c>
      <c r="K5603" t="str">
        <f>("09/10/2025")</f>
        <v>09/10/2025</v>
      </c>
      <c r="L5603">
        <v>402</v>
      </c>
      <c r="M5603">
        <v>402</v>
      </c>
      <c r="N5603">
        <v>109</v>
      </c>
      <c r="O5603" t="str">
        <f>"PAGAMENTO DE ENTREGADORES"</f>
        <v>PAGAMENTO DE ENTREGADORES</v>
      </c>
      <c r="P5603">
        <v>402</v>
      </c>
      <c r="S5603" t="str">
        <f>"BANCO C6 (149)"</f>
        <v>BANCO C6 (149)</v>
      </c>
      <c r="T5603">
        <v>19956</v>
      </c>
      <c r="U5603">
        <v>22646</v>
      </c>
      <c r="V5603" t="s">
        <v>77</v>
      </c>
    </row>
    <row r="5604" spans="1:22">
      <c r="A5604" t="str">
        <f t="shared" si="982"/>
        <v>09/10/2025</v>
      </c>
      <c r="B5604" t="str">
        <f t="shared" si="976"/>
        <v>SAÍDA</v>
      </c>
      <c r="C5604" t="str">
        <f t="shared" si="979"/>
        <v>PIX</v>
      </c>
      <c r="D5604" t="str">
        <f>"22646"</f>
        <v>22646</v>
      </c>
      <c r="E5604" t="str">
        <f t="shared" si="980"/>
        <v>1</v>
      </c>
      <c r="F5604" t="str">
        <f t="shared" si="977"/>
        <v>COM</v>
      </c>
      <c r="G5604" t="str">
        <f>"WEMERSON MOREIRA PESSOA (75)"</f>
        <v>WEMERSON MOREIRA PESSOA (75)</v>
      </c>
      <c r="H5604" t="s">
        <v>1564</v>
      </c>
      <c r="I5604" t="str">
        <f t="shared" si="978"/>
        <v>09/10/2025</v>
      </c>
      <c r="J5604" t="str">
        <f t="shared" si="981"/>
        <v>26/09/2025</v>
      </c>
      <c r="K5604">
        <v>45939</v>
      </c>
      <c r="N5604">
        <v>109</v>
      </c>
      <c r="O5604" t="s">
        <v>24</v>
      </c>
      <c r="Q5604">
        <v>402</v>
      </c>
      <c r="R5604" t="str">
        <f>"FARMÁCIA INDIANA LJ 07 (10007)"</f>
        <v>FARMÁCIA INDIANA LJ 07 (10007)</v>
      </c>
      <c r="S5604" t="s">
        <v>77</v>
      </c>
      <c r="T5604">
        <v>19956</v>
      </c>
      <c r="U5604">
        <v>22646</v>
      </c>
      <c r="V5604" t="s">
        <v>77</v>
      </c>
    </row>
    <row r="5605" spans="1:22">
      <c r="A5605" t="str">
        <f t="shared" si="982"/>
        <v>09/10/2025</v>
      </c>
      <c r="B5605" t="str">
        <f t="shared" si="976"/>
        <v>SAÍDA</v>
      </c>
      <c r="C5605" t="str">
        <f t="shared" si="979"/>
        <v>PIX</v>
      </c>
      <c r="D5605" t="str">
        <f>"22647"</f>
        <v>22647</v>
      </c>
      <c r="E5605" t="str">
        <f t="shared" si="980"/>
        <v>1</v>
      </c>
      <c r="F5605" t="str">
        <f t="shared" si="977"/>
        <v>COM</v>
      </c>
      <c r="G5605" t="str">
        <f>"WENDEL LIMA DE SOUZA (112)"</f>
        <v>WENDEL LIMA DE SOUZA (112)</v>
      </c>
      <c r="H5605" t="str">
        <f>"Serv.Prest. 22/09/2025 a 25/09/2025 - PIX: CPF - CHAVE: 012.906.122-00"</f>
        <v>Serv.Prest. 22/09/2025 a 25/09/2025 - PIX: CPF - CHAVE: 012.906.122-00</v>
      </c>
      <c r="I5605" t="str">
        <f t="shared" si="978"/>
        <v>09/10/2025</v>
      </c>
      <c r="J5605" t="str">
        <f t="shared" si="981"/>
        <v>26/09/2025</v>
      </c>
      <c r="K5605" t="str">
        <f>("09/10/2025")</f>
        <v>09/10/2025</v>
      </c>
      <c r="L5605">
        <v>748</v>
      </c>
      <c r="M5605">
        <v>748</v>
      </c>
      <c r="N5605">
        <v>109</v>
      </c>
      <c r="O5605" t="str">
        <f>"PAGAMENTO DE ENTREGADORES"</f>
        <v>PAGAMENTO DE ENTREGADORES</v>
      </c>
      <c r="P5605">
        <v>748</v>
      </c>
      <c r="S5605" t="str">
        <f>"BANCO C6 (149)"</f>
        <v>BANCO C6 (149)</v>
      </c>
      <c r="T5605">
        <v>19957</v>
      </c>
      <c r="U5605">
        <v>22647</v>
      </c>
      <c r="V5605" t="s">
        <v>77</v>
      </c>
    </row>
    <row r="5606" spans="1:22">
      <c r="A5606" t="str">
        <f t="shared" si="982"/>
        <v>09/10/2025</v>
      </c>
      <c r="B5606" t="str">
        <f t="shared" si="976"/>
        <v>SAÍDA</v>
      </c>
      <c r="C5606" t="str">
        <f t="shared" si="979"/>
        <v>PIX</v>
      </c>
      <c r="D5606" t="str">
        <f>"22647"</f>
        <v>22647</v>
      </c>
      <c r="E5606" t="str">
        <f t="shared" si="980"/>
        <v>1</v>
      </c>
      <c r="F5606" t="str">
        <f t="shared" si="977"/>
        <v>COM</v>
      </c>
      <c r="G5606" t="str">
        <f>"WENDEL LIMA DE SOUZA (112)"</f>
        <v>WENDEL LIMA DE SOUZA (112)</v>
      </c>
      <c r="H5606" t="s">
        <v>1494</v>
      </c>
      <c r="I5606" t="str">
        <f t="shared" si="978"/>
        <v>09/10/2025</v>
      </c>
      <c r="J5606" t="str">
        <f t="shared" si="981"/>
        <v>26/09/2025</v>
      </c>
      <c r="K5606">
        <v>45939</v>
      </c>
      <c r="N5606">
        <v>109</v>
      </c>
      <c r="O5606" t="s">
        <v>24</v>
      </c>
      <c r="Q5606">
        <v>748</v>
      </c>
      <c r="R5606" t="str">
        <f>"FARMÁCIA INDIANA LJ 11 (10008)"</f>
        <v>FARMÁCIA INDIANA LJ 11 (10008)</v>
      </c>
      <c r="S5606" t="s">
        <v>77</v>
      </c>
      <c r="T5606">
        <v>19957</v>
      </c>
      <c r="U5606">
        <v>22647</v>
      </c>
      <c r="V5606" t="s">
        <v>77</v>
      </c>
    </row>
    <row r="5607" spans="1:22">
      <c r="A5607" t="str">
        <f t="shared" si="982"/>
        <v>09/10/2025</v>
      </c>
      <c r="B5607" t="str">
        <f t="shared" si="976"/>
        <v>SAÍDA</v>
      </c>
      <c r="C5607" t="str">
        <f t="shared" si="979"/>
        <v>PIX</v>
      </c>
      <c r="D5607" t="str">
        <f>"22648"</f>
        <v>22648</v>
      </c>
      <c r="E5607" t="str">
        <f t="shared" si="980"/>
        <v>1</v>
      </c>
      <c r="F5607" t="str">
        <f t="shared" si="977"/>
        <v>COM</v>
      </c>
      <c r="G5607" t="str">
        <f>"WILIAN ROSA VIEIRA (488)"</f>
        <v>WILIAN ROSA VIEIRA (488)</v>
      </c>
      <c r="H5607" t="str">
        <f>"Serv.Prest. 22/09/2025 a 25/09/2025 - PIX: E-MAIL - CHAVE: wilianvieirawrv3578@gmail.com"</f>
        <v>Serv.Prest. 22/09/2025 a 25/09/2025 - PIX: E-MAIL - CHAVE: wilianvieirawrv3578@gmail.com</v>
      </c>
      <c r="I5607" t="str">
        <f t="shared" si="978"/>
        <v>09/10/2025</v>
      </c>
      <c r="J5607" t="str">
        <f t="shared" si="981"/>
        <v>26/09/2025</v>
      </c>
      <c r="K5607" t="str">
        <f>("09/10/2025")</f>
        <v>09/10/2025</v>
      </c>
      <c r="L5607">
        <v>820</v>
      </c>
      <c r="M5607">
        <v>820</v>
      </c>
      <c r="N5607">
        <v>109</v>
      </c>
      <c r="O5607" t="str">
        <f>"PAGAMENTO DE ENTREGADORES"</f>
        <v>PAGAMENTO DE ENTREGADORES</v>
      </c>
      <c r="P5607">
        <v>820</v>
      </c>
      <c r="S5607" t="str">
        <f>"BANCO C6 (149)"</f>
        <v>BANCO C6 (149)</v>
      </c>
      <c r="T5607">
        <v>19958</v>
      </c>
      <c r="U5607">
        <v>22648</v>
      </c>
      <c r="V5607" t="s">
        <v>77</v>
      </c>
    </row>
    <row r="5608" spans="1:22">
      <c r="A5608" t="str">
        <f t="shared" si="982"/>
        <v>09/10/2025</v>
      </c>
      <c r="B5608" t="str">
        <f t="shared" si="976"/>
        <v>SAÍDA</v>
      </c>
      <c r="C5608" t="str">
        <f t="shared" si="979"/>
        <v>PIX</v>
      </c>
      <c r="D5608" t="str">
        <f>"22648"</f>
        <v>22648</v>
      </c>
      <c r="E5608" t="str">
        <f t="shared" si="980"/>
        <v>1</v>
      </c>
      <c r="F5608" t="str">
        <f t="shared" si="977"/>
        <v>COM</v>
      </c>
      <c r="G5608" t="str">
        <f>"WILIAN ROSA VIEIRA (488)"</f>
        <v>WILIAN ROSA VIEIRA (488)</v>
      </c>
      <c r="H5608" t="s">
        <v>1498</v>
      </c>
      <c r="I5608" t="str">
        <f t="shared" si="978"/>
        <v>09/10/2025</v>
      </c>
      <c r="J5608" t="str">
        <f t="shared" si="981"/>
        <v>26/09/2025</v>
      </c>
      <c r="K5608">
        <v>45939</v>
      </c>
      <c r="N5608">
        <v>109</v>
      </c>
      <c r="O5608" t="s">
        <v>24</v>
      </c>
      <c r="Q5608">
        <v>333.82</v>
      </c>
      <c r="R5608" t="str">
        <f>"FARMÁCIA INDIANA LJ 103 (10044)"</f>
        <v>FARMÁCIA INDIANA LJ 103 (10044)</v>
      </c>
      <c r="S5608" t="s">
        <v>77</v>
      </c>
      <c r="T5608">
        <v>19958</v>
      </c>
      <c r="U5608">
        <v>22648</v>
      </c>
      <c r="V5608" t="s">
        <v>77</v>
      </c>
    </row>
    <row r="5609" spans="1:22">
      <c r="A5609" t="str">
        <f t="shared" si="982"/>
        <v>09/10/2025</v>
      </c>
      <c r="B5609" t="str">
        <f t="shared" si="976"/>
        <v>SAÍDA</v>
      </c>
      <c r="C5609" t="str">
        <f t="shared" si="979"/>
        <v>PIX</v>
      </c>
      <c r="D5609" t="str">
        <f>"22648"</f>
        <v>22648</v>
      </c>
      <c r="E5609" t="str">
        <f t="shared" si="980"/>
        <v>1</v>
      </c>
      <c r="F5609" t="str">
        <f t="shared" si="977"/>
        <v>COM</v>
      </c>
      <c r="G5609" t="str">
        <f>"WILIAN ROSA VIEIRA (488)"</f>
        <v>WILIAN ROSA VIEIRA (488)</v>
      </c>
      <c r="H5609" t="s">
        <v>1498</v>
      </c>
      <c r="I5609" t="str">
        <f t="shared" si="978"/>
        <v>09/10/2025</v>
      </c>
      <c r="J5609" t="str">
        <f t="shared" si="981"/>
        <v>26/09/2025</v>
      </c>
      <c r="K5609">
        <v>45939</v>
      </c>
      <c r="N5609">
        <v>109</v>
      </c>
      <c r="O5609" t="s">
        <v>24</v>
      </c>
      <c r="Q5609">
        <v>199.18</v>
      </c>
      <c r="R5609" t="str">
        <f>"FARMÁCIA INDIANA LJ 140 (10064)"</f>
        <v>FARMÁCIA INDIANA LJ 140 (10064)</v>
      </c>
      <c r="S5609" t="s">
        <v>77</v>
      </c>
      <c r="T5609">
        <v>19958</v>
      </c>
      <c r="U5609">
        <v>22648</v>
      </c>
      <c r="V5609" t="s">
        <v>77</v>
      </c>
    </row>
    <row r="5610" spans="1:22">
      <c r="A5610" t="str">
        <f t="shared" si="982"/>
        <v>09/10/2025</v>
      </c>
      <c r="B5610" t="str">
        <f t="shared" si="976"/>
        <v>SAÍDA</v>
      </c>
      <c r="C5610" t="str">
        <f t="shared" si="979"/>
        <v>PIX</v>
      </c>
      <c r="D5610" t="str">
        <f>"22648"</f>
        <v>22648</v>
      </c>
      <c r="E5610" t="str">
        <f t="shared" si="980"/>
        <v>1</v>
      </c>
      <c r="F5610" t="str">
        <f t="shared" si="977"/>
        <v>COM</v>
      </c>
      <c r="G5610" t="str">
        <f>"WILIAN ROSA VIEIRA (488)"</f>
        <v>WILIAN ROSA VIEIRA (488)</v>
      </c>
      <c r="H5610" t="s">
        <v>1498</v>
      </c>
      <c r="I5610" t="str">
        <f t="shared" si="978"/>
        <v>09/10/2025</v>
      </c>
      <c r="J5610" t="str">
        <f t="shared" si="981"/>
        <v>26/09/2025</v>
      </c>
      <c r="K5610">
        <v>45939</v>
      </c>
      <c r="N5610">
        <v>109</v>
      </c>
      <c r="O5610" t="s">
        <v>24</v>
      </c>
      <c r="Q5610">
        <v>35.18</v>
      </c>
      <c r="R5610" t="str">
        <f>"FARMÁCIA INDIANA LJ 141 (10065)"</f>
        <v>FARMÁCIA INDIANA LJ 141 (10065)</v>
      </c>
      <c r="S5610" t="s">
        <v>77</v>
      </c>
      <c r="T5610">
        <v>19958</v>
      </c>
      <c r="U5610">
        <v>22648</v>
      </c>
      <c r="V5610" t="s">
        <v>77</v>
      </c>
    </row>
    <row r="5611" spans="1:22">
      <c r="A5611" t="str">
        <f t="shared" si="982"/>
        <v>09/10/2025</v>
      </c>
      <c r="B5611" t="str">
        <f t="shared" ref="B5611:B5674" si="983">"SAÍDA"</f>
        <v>SAÍDA</v>
      </c>
      <c r="C5611" t="str">
        <f t="shared" si="979"/>
        <v>PIX</v>
      </c>
      <c r="D5611" t="str">
        <f>"22648"</f>
        <v>22648</v>
      </c>
      <c r="E5611" t="str">
        <f t="shared" si="980"/>
        <v>1</v>
      </c>
      <c r="F5611" t="str">
        <f t="shared" si="977"/>
        <v>COM</v>
      </c>
      <c r="G5611" t="str">
        <f>"WILIAN ROSA VIEIRA (488)"</f>
        <v>WILIAN ROSA VIEIRA (488)</v>
      </c>
      <c r="H5611" t="s">
        <v>1498</v>
      </c>
      <c r="I5611" t="str">
        <f t="shared" si="978"/>
        <v>09/10/2025</v>
      </c>
      <c r="J5611" t="str">
        <f t="shared" si="981"/>
        <v>26/09/2025</v>
      </c>
      <c r="K5611">
        <v>45939</v>
      </c>
      <c r="N5611">
        <v>109</v>
      </c>
      <c r="O5611" t="s">
        <v>24</v>
      </c>
      <c r="Q5611">
        <v>251.82</v>
      </c>
      <c r="R5611" t="str">
        <f>"FARMÁCIA INDIANA LJ 154 (10070)"</f>
        <v>FARMÁCIA INDIANA LJ 154 (10070)</v>
      </c>
      <c r="S5611" t="s">
        <v>77</v>
      </c>
      <c r="T5611">
        <v>19958</v>
      </c>
      <c r="U5611">
        <v>22648</v>
      </c>
      <c r="V5611" t="s">
        <v>77</v>
      </c>
    </row>
    <row r="5612" spans="1:22">
      <c r="A5612" t="str">
        <f t="shared" si="982"/>
        <v>09/10/2025</v>
      </c>
      <c r="B5612" t="str">
        <f t="shared" si="983"/>
        <v>SAÍDA</v>
      </c>
      <c r="C5612" t="str">
        <f t="shared" si="979"/>
        <v>PIX</v>
      </c>
      <c r="D5612" t="str">
        <f>"22649"</f>
        <v>22649</v>
      </c>
      <c r="E5612" t="str">
        <f t="shared" si="980"/>
        <v>1</v>
      </c>
      <c r="F5612" t="str">
        <f t="shared" si="977"/>
        <v>COM</v>
      </c>
      <c r="G5612" t="str">
        <f>"YAN EVERTON RODRIGUES DE LIMA (875)"</f>
        <v>YAN EVERTON RODRIGUES DE LIMA (875)</v>
      </c>
      <c r="H5612" t="str">
        <f>"Serv.Prest. 22/09/2025 a 25/09/2025 - PIX: CELULAR - CHAVE: (33) 99859-8751"</f>
        <v>Serv.Prest. 22/09/2025 a 25/09/2025 - PIX: CELULAR - CHAVE: (33) 99859-8751</v>
      </c>
      <c r="I5612" t="str">
        <f t="shared" si="978"/>
        <v>09/10/2025</v>
      </c>
      <c r="J5612" t="str">
        <f t="shared" si="981"/>
        <v>26/09/2025</v>
      </c>
      <c r="K5612" t="str">
        <f>("09/10/2025")</f>
        <v>09/10/2025</v>
      </c>
      <c r="L5612">
        <v>520</v>
      </c>
      <c r="M5612">
        <v>520</v>
      </c>
      <c r="N5612">
        <v>109</v>
      </c>
      <c r="O5612" t="str">
        <f>"PAGAMENTO DE ENTREGADORES"</f>
        <v>PAGAMENTO DE ENTREGADORES</v>
      </c>
      <c r="P5612">
        <v>520</v>
      </c>
      <c r="S5612" t="str">
        <f>"BANCO C6 (149)"</f>
        <v>BANCO C6 (149)</v>
      </c>
      <c r="T5612">
        <v>19959</v>
      </c>
      <c r="U5612">
        <v>22649</v>
      </c>
      <c r="V5612" t="s">
        <v>77</v>
      </c>
    </row>
    <row r="5613" spans="1:22">
      <c r="A5613" t="str">
        <f t="shared" si="982"/>
        <v>09/10/2025</v>
      </c>
      <c r="B5613" t="str">
        <f t="shared" si="983"/>
        <v>SAÍDA</v>
      </c>
      <c r="C5613" t="str">
        <f t="shared" si="979"/>
        <v>PIX</v>
      </c>
      <c r="D5613" t="str">
        <f>"22649"</f>
        <v>22649</v>
      </c>
      <c r="E5613" t="str">
        <f t="shared" si="980"/>
        <v>1</v>
      </c>
      <c r="F5613" t="str">
        <f t="shared" si="977"/>
        <v>COM</v>
      </c>
      <c r="G5613" t="str">
        <f>"YAN EVERTON RODRIGUES DE LIMA (875)"</f>
        <v>YAN EVERTON RODRIGUES DE LIMA (875)</v>
      </c>
      <c r="H5613" t="s">
        <v>1501</v>
      </c>
      <c r="I5613" t="str">
        <f t="shared" si="978"/>
        <v>09/10/2025</v>
      </c>
      <c r="J5613" t="str">
        <f t="shared" si="981"/>
        <v>26/09/2025</v>
      </c>
      <c r="K5613">
        <v>45939</v>
      </c>
      <c r="N5613">
        <v>109</v>
      </c>
      <c r="O5613" t="s">
        <v>24</v>
      </c>
      <c r="Q5613">
        <v>520</v>
      </c>
      <c r="R5613" t="str">
        <f>"FARMÁCIA INDIANA LJ 06 (10006)"</f>
        <v>FARMÁCIA INDIANA LJ 06 (10006)</v>
      </c>
      <c r="S5613" t="s">
        <v>77</v>
      </c>
      <c r="T5613">
        <v>19959</v>
      </c>
      <c r="U5613">
        <v>22649</v>
      </c>
      <c r="V5613" t="s">
        <v>77</v>
      </c>
    </row>
    <row r="5614" spans="1:22">
      <c r="A5614" t="str">
        <f t="shared" si="982"/>
        <v>09/10/2025</v>
      </c>
      <c r="B5614" t="str">
        <f t="shared" si="983"/>
        <v>SAÍDA</v>
      </c>
      <c r="C5614" t="str">
        <f t="shared" si="979"/>
        <v>PIX</v>
      </c>
      <c r="D5614" t="str">
        <f>"22651"</f>
        <v>22651</v>
      </c>
      <c r="E5614" t="str">
        <f t="shared" si="980"/>
        <v>1</v>
      </c>
      <c r="F5614" t="str">
        <f t="shared" ref="F5614:F5677" si="984">"COM"</f>
        <v>COM</v>
      </c>
      <c r="G5614" t="str">
        <f>"ANDERSON PEREIRA DOS SANTOS (746)"</f>
        <v>ANDERSON PEREIRA DOS SANTOS (746)</v>
      </c>
      <c r="H5614" t="str">
        <f>"Serv.Prest. 22/09/2025 a 25/09/2025 - PIX: CPF - CHAVE: 079.930.865-07"</f>
        <v>Serv.Prest. 22/09/2025 a 25/09/2025 - PIX: CPF - CHAVE: 079.930.865-07</v>
      </c>
      <c r="I5614" t="str">
        <f t="shared" si="978"/>
        <v>09/10/2025</v>
      </c>
      <c r="J5614" t="str">
        <f t="shared" si="981"/>
        <v>26/09/2025</v>
      </c>
      <c r="K5614" t="str">
        <f>("09/10/2025")</f>
        <v>09/10/2025</v>
      </c>
      <c r="L5614">
        <v>784</v>
      </c>
      <c r="M5614">
        <v>784</v>
      </c>
      <c r="N5614">
        <v>109</v>
      </c>
      <c r="O5614" t="str">
        <f>"PAGAMENTO DE ENTREGADORES"</f>
        <v>PAGAMENTO DE ENTREGADORES</v>
      </c>
      <c r="P5614">
        <v>784</v>
      </c>
      <c r="S5614" t="str">
        <f>"BANCO C6 (149)"</f>
        <v>BANCO C6 (149)</v>
      </c>
      <c r="T5614">
        <v>19960</v>
      </c>
      <c r="U5614">
        <v>22651</v>
      </c>
      <c r="V5614" t="s">
        <v>77</v>
      </c>
    </row>
    <row r="5615" spans="1:22">
      <c r="A5615" t="str">
        <f t="shared" si="982"/>
        <v>09/10/2025</v>
      </c>
      <c r="B5615" t="str">
        <f t="shared" si="983"/>
        <v>SAÍDA</v>
      </c>
      <c r="C5615" t="str">
        <f t="shared" si="979"/>
        <v>PIX</v>
      </c>
      <c r="D5615" t="str">
        <f>"22651"</f>
        <v>22651</v>
      </c>
      <c r="E5615" t="str">
        <f t="shared" si="980"/>
        <v>1</v>
      </c>
      <c r="F5615" t="str">
        <f t="shared" si="984"/>
        <v>COM</v>
      </c>
      <c r="G5615" t="str">
        <f>"ANDERSON PEREIRA DOS SANTOS (746)"</f>
        <v>ANDERSON PEREIRA DOS SANTOS (746)</v>
      </c>
      <c r="H5615" t="s">
        <v>1368</v>
      </c>
      <c r="I5615" t="str">
        <f t="shared" si="978"/>
        <v>09/10/2025</v>
      </c>
      <c r="J5615" t="str">
        <f t="shared" si="981"/>
        <v>26/09/2025</v>
      </c>
      <c r="K5615">
        <v>45939</v>
      </c>
      <c r="N5615">
        <v>109</v>
      </c>
      <c r="O5615" t="s">
        <v>24</v>
      </c>
      <c r="Q5615">
        <v>441</v>
      </c>
      <c r="R5615" t="str">
        <f>"FARMÁCIA INDIANA LJ 211 (10168)"</f>
        <v>FARMÁCIA INDIANA LJ 211 (10168)</v>
      </c>
      <c r="S5615" t="s">
        <v>77</v>
      </c>
      <c r="T5615">
        <v>19960</v>
      </c>
      <c r="U5615">
        <v>22651</v>
      </c>
      <c r="V5615" t="s">
        <v>77</v>
      </c>
    </row>
    <row r="5616" spans="1:22">
      <c r="A5616" t="str">
        <f t="shared" si="982"/>
        <v>09/10/2025</v>
      </c>
      <c r="B5616" t="str">
        <f t="shared" si="983"/>
        <v>SAÍDA</v>
      </c>
      <c r="C5616" t="str">
        <f t="shared" si="979"/>
        <v>PIX</v>
      </c>
      <c r="D5616" t="str">
        <f>"22651"</f>
        <v>22651</v>
      </c>
      <c r="E5616" t="str">
        <f t="shared" si="980"/>
        <v>1</v>
      </c>
      <c r="F5616" t="str">
        <f t="shared" si="984"/>
        <v>COM</v>
      </c>
      <c r="G5616" t="str">
        <f>"ANDERSON PEREIRA DOS SANTOS (746)"</f>
        <v>ANDERSON PEREIRA DOS SANTOS (746)</v>
      </c>
      <c r="H5616" t="s">
        <v>1368</v>
      </c>
      <c r="I5616" t="str">
        <f t="shared" si="978"/>
        <v>09/10/2025</v>
      </c>
      <c r="J5616" t="str">
        <f t="shared" si="981"/>
        <v>26/09/2025</v>
      </c>
      <c r="K5616">
        <v>45939</v>
      </c>
      <c r="N5616">
        <v>109</v>
      </c>
      <c r="O5616" t="s">
        <v>24</v>
      </c>
      <c r="Q5616">
        <v>343</v>
      </c>
      <c r="R5616" t="str">
        <f>"FARMÁCIA INDIANA LJ 236 (10169)"</f>
        <v>FARMÁCIA INDIANA LJ 236 (10169)</v>
      </c>
      <c r="S5616" t="s">
        <v>77</v>
      </c>
      <c r="T5616">
        <v>19960</v>
      </c>
      <c r="U5616">
        <v>22651</v>
      </c>
      <c r="V5616" t="s">
        <v>77</v>
      </c>
    </row>
    <row r="5617" spans="1:22">
      <c r="A5617" t="str">
        <f t="shared" si="982"/>
        <v>09/10/2025</v>
      </c>
      <c r="B5617" t="str">
        <f t="shared" si="983"/>
        <v>SAÍDA</v>
      </c>
      <c r="C5617" t="str">
        <f t="shared" si="979"/>
        <v>PIX</v>
      </c>
      <c r="D5617" t="str">
        <f>"22652"</f>
        <v>22652</v>
      </c>
      <c r="E5617" t="str">
        <f t="shared" si="980"/>
        <v>1</v>
      </c>
      <c r="F5617" t="str">
        <f t="shared" si="984"/>
        <v>COM</v>
      </c>
      <c r="G5617" t="str">
        <f>"DANILO ROCHA SILVA (162)"</f>
        <v>DANILO ROCHA SILVA (162)</v>
      </c>
      <c r="H5617" t="str">
        <f>"Serv.Prest. 22/09/2025 a 25/09/2025 - PIX: CELULAR - CHAVE: (27) 99811-6850"</f>
        <v>Serv.Prest. 22/09/2025 a 25/09/2025 - PIX: CELULAR - CHAVE: (27) 99811-6850</v>
      </c>
      <c r="I5617" t="str">
        <f t="shared" si="978"/>
        <v>09/10/2025</v>
      </c>
      <c r="J5617" t="str">
        <f t="shared" si="981"/>
        <v>26/09/2025</v>
      </c>
      <c r="K5617" t="str">
        <f>("09/10/2025")</f>
        <v>09/10/2025</v>
      </c>
      <c r="L5617">
        <v>839.5</v>
      </c>
      <c r="M5617">
        <v>839.5</v>
      </c>
      <c r="N5617">
        <v>109</v>
      </c>
      <c r="O5617" t="str">
        <f>"PAGAMENTO DE ENTREGADORES"</f>
        <v>PAGAMENTO DE ENTREGADORES</v>
      </c>
      <c r="P5617">
        <v>839.5</v>
      </c>
      <c r="S5617" t="str">
        <f>"BANCO C6 (149)"</f>
        <v>BANCO C6 (149)</v>
      </c>
      <c r="T5617">
        <v>19961</v>
      </c>
      <c r="U5617">
        <v>22652</v>
      </c>
      <c r="V5617" t="s">
        <v>77</v>
      </c>
    </row>
    <row r="5618" spans="1:22">
      <c r="A5618" t="str">
        <f t="shared" si="982"/>
        <v>09/10/2025</v>
      </c>
      <c r="B5618" t="str">
        <f t="shared" si="983"/>
        <v>SAÍDA</v>
      </c>
      <c r="C5618" t="str">
        <f t="shared" si="979"/>
        <v>PIX</v>
      </c>
      <c r="D5618" t="str">
        <f>"22652"</f>
        <v>22652</v>
      </c>
      <c r="E5618" t="str">
        <f t="shared" si="980"/>
        <v>1</v>
      </c>
      <c r="F5618" t="str">
        <f t="shared" si="984"/>
        <v>COM</v>
      </c>
      <c r="G5618" t="str">
        <f>"DANILO ROCHA SILVA (162)"</f>
        <v>DANILO ROCHA SILVA (162)</v>
      </c>
      <c r="H5618" t="s">
        <v>1382</v>
      </c>
      <c r="I5618" t="str">
        <f t="shared" si="978"/>
        <v>09/10/2025</v>
      </c>
      <c r="J5618" t="str">
        <f t="shared" si="981"/>
        <v>26/09/2025</v>
      </c>
      <c r="K5618">
        <v>45939</v>
      </c>
      <c r="N5618">
        <v>109</v>
      </c>
      <c r="O5618" t="s">
        <v>24</v>
      </c>
      <c r="Q5618">
        <v>839.5</v>
      </c>
      <c r="R5618" t="str">
        <f>"FARMÁCIA INDIANA LJ 181 (10078)"</f>
        <v>FARMÁCIA INDIANA LJ 181 (10078)</v>
      </c>
      <c r="S5618" t="s">
        <v>77</v>
      </c>
      <c r="T5618">
        <v>19961</v>
      </c>
      <c r="U5618">
        <v>22652</v>
      </c>
      <c r="V5618" t="s">
        <v>77</v>
      </c>
    </row>
    <row r="5619" spans="1:22">
      <c r="A5619" t="str">
        <f t="shared" si="982"/>
        <v>09/10/2025</v>
      </c>
      <c r="B5619" t="str">
        <f t="shared" si="983"/>
        <v>SAÍDA</v>
      </c>
      <c r="C5619" t="str">
        <f t="shared" si="979"/>
        <v>PIX</v>
      </c>
      <c r="D5619" t="str">
        <f>"22653"</f>
        <v>22653</v>
      </c>
      <c r="E5619" t="str">
        <f t="shared" si="980"/>
        <v>1</v>
      </c>
      <c r="F5619" t="str">
        <f t="shared" si="984"/>
        <v>COM</v>
      </c>
      <c r="G5619" t="str">
        <f>"FABIO SOUZA DE JESUS (637)"</f>
        <v>FABIO SOUZA DE JESUS (637)</v>
      </c>
      <c r="H5619" t="str">
        <f>"Serv.Prest. 22/09/2025 a 25/09/2025 - PIX: CELULAR - CHAVE: (27) 99950-3450"</f>
        <v>Serv.Prest. 22/09/2025 a 25/09/2025 - PIX: CELULAR - CHAVE: (27) 99950-3450</v>
      </c>
      <c r="I5619" t="str">
        <f t="shared" si="978"/>
        <v>09/10/2025</v>
      </c>
      <c r="J5619" t="str">
        <f t="shared" si="981"/>
        <v>26/09/2025</v>
      </c>
      <c r="K5619" t="str">
        <f>("09/10/2025")</f>
        <v>09/10/2025</v>
      </c>
      <c r="L5619">
        <v>948</v>
      </c>
      <c r="M5619">
        <v>963.5</v>
      </c>
      <c r="N5619">
        <v>109</v>
      </c>
      <c r="O5619" t="str">
        <f>"PAGAMENTO DE ENTREGADORES"</f>
        <v>PAGAMENTO DE ENTREGADORES</v>
      </c>
      <c r="P5619">
        <v>963.5</v>
      </c>
      <c r="S5619" t="str">
        <f>"BANCO C6 (149)"</f>
        <v>BANCO C6 (149)</v>
      </c>
      <c r="T5619">
        <v>19962</v>
      </c>
      <c r="U5619">
        <v>22653</v>
      </c>
      <c r="V5619" t="s">
        <v>77</v>
      </c>
    </row>
    <row r="5620" spans="1:22">
      <c r="A5620" t="str">
        <f t="shared" si="982"/>
        <v>09/10/2025</v>
      </c>
      <c r="B5620" t="str">
        <f t="shared" si="983"/>
        <v>SAÍDA</v>
      </c>
      <c r="C5620" t="str">
        <f t="shared" si="979"/>
        <v>PIX</v>
      </c>
      <c r="D5620" t="str">
        <f>"22653"</f>
        <v>22653</v>
      </c>
      <c r="E5620" t="str">
        <f t="shared" si="980"/>
        <v>1</v>
      </c>
      <c r="F5620" t="str">
        <f t="shared" si="984"/>
        <v>COM</v>
      </c>
      <c r="G5620" t="str">
        <f>"FABIO SOUZA DE JESUS (637)"</f>
        <v>FABIO SOUZA DE JESUS (637)</v>
      </c>
      <c r="H5620" t="s">
        <v>1397</v>
      </c>
      <c r="I5620" t="str">
        <f t="shared" ref="I5620:I5683" si="985">("09/10/2025")</f>
        <v>09/10/2025</v>
      </c>
      <c r="J5620" t="str">
        <f t="shared" si="981"/>
        <v>26/09/2025</v>
      </c>
      <c r="K5620">
        <v>45939</v>
      </c>
      <c r="N5620">
        <v>109</v>
      </c>
      <c r="O5620" t="s">
        <v>24</v>
      </c>
      <c r="Q5620">
        <v>321.13</v>
      </c>
      <c r="R5620" t="str">
        <f>"FARMÁCIA INDIANA LJ 243 (10142)"</f>
        <v>FARMÁCIA INDIANA LJ 243 (10142)</v>
      </c>
      <c r="S5620" t="s">
        <v>77</v>
      </c>
      <c r="T5620">
        <v>19962</v>
      </c>
      <c r="U5620">
        <v>22653</v>
      </c>
      <c r="V5620" t="s">
        <v>77</v>
      </c>
    </row>
    <row r="5621" spans="1:22">
      <c r="A5621" t="str">
        <f t="shared" si="982"/>
        <v>09/10/2025</v>
      </c>
      <c r="B5621" t="str">
        <f t="shared" si="983"/>
        <v>SAÍDA</v>
      </c>
      <c r="C5621" t="str">
        <f t="shared" si="979"/>
        <v>PIX</v>
      </c>
      <c r="D5621" t="str">
        <f>"22653"</f>
        <v>22653</v>
      </c>
      <c r="E5621" t="str">
        <f t="shared" si="980"/>
        <v>1</v>
      </c>
      <c r="F5621" t="str">
        <f t="shared" si="984"/>
        <v>COM</v>
      </c>
      <c r="G5621" t="str">
        <f>"FABIO SOUZA DE JESUS (637)"</f>
        <v>FABIO SOUZA DE JESUS (637)</v>
      </c>
      <c r="H5621" t="s">
        <v>1397</v>
      </c>
      <c r="I5621" t="str">
        <f t="shared" si="985"/>
        <v>09/10/2025</v>
      </c>
      <c r="J5621" t="str">
        <f t="shared" si="981"/>
        <v>26/09/2025</v>
      </c>
      <c r="K5621">
        <v>45939</v>
      </c>
      <c r="N5621">
        <v>109</v>
      </c>
      <c r="O5621" t="s">
        <v>24</v>
      </c>
      <c r="Q5621">
        <v>642.37</v>
      </c>
      <c r="R5621" t="str">
        <f>"FARMÁCIA INDIANA LJ 235 (10190)"</f>
        <v>FARMÁCIA INDIANA LJ 235 (10190)</v>
      </c>
      <c r="S5621" t="s">
        <v>77</v>
      </c>
      <c r="T5621">
        <v>19962</v>
      </c>
      <c r="U5621">
        <v>22653</v>
      </c>
      <c r="V5621" t="s">
        <v>77</v>
      </c>
    </row>
    <row r="5622" spans="1:22">
      <c r="A5622" t="str">
        <f t="shared" si="982"/>
        <v>09/10/2025</v>
      </c>
      <c r="B5622" t="str">
        <f t="shared" si="983"/>
        <v>SAÍDA</v>
      </c>
      <c r="C5622" t="str">
        <f t="shared" ref="C5622:C5685" si="986">"PIX"</f>
        <v>PIX</v>
      </c>
      <c r="D5622" t="str">
        <f>"22654"</f>
        <v>22654</v>
      </c>
      <c r="E5622" t="str">
        <f t="shared" ref="E5622:E5685" si="987">"1"</f>
        <v>1</v>
      </c>
      <c r="F5622" t="str">
        <f t="shared" si="984"/>
        <v>COM</v>
      </c>
      <c r="G5622" t="str">
        <f>"JACQUES SEBIM SANTNA (918)"</f>
        <v>JACQUES SEBIM SANTNA (918)</v>
      </c>
      <c r="H5622" t="str">
        <f>"Serv.Prest. 22/09/2025 a 25/09/2025 - PIX: CNPJ - CHAVE: 40.359.224/0001-09"</f>
        <v>Serv.Prest. 22/09/2025 a 25/09/2025 - PIX: CNPJ - CHAVE: 40.359.224/0001-09</v>
      </c>
      <c r="I5622" t="str">
        <f t="shared" si="985"/>
        <v>09/10/2025</v>
      </c>
      <c r="J5622" t="str">
        <f t="shared" ref="J5622:J5629" si="988">("26/09/2025")</f>
        <v>26/09/2025</v>
      </c>
      <c r="K5622" t="str">
        <f>("09/10/2025")</f>
        <v>09/10/2025</v>
      </c>
      <c r="L5622">
        <v>690</v>
      </c>
      <c r="M5622">
        <v>690</v>
      </c>
      <c r="N5622">
        <v>109</v>
      </c>
      <c r="O5622" t="str">
        <f>"PAGAMENTO DE ENTREGADORES"</f>
        <v>PAGAMENTO DE ENTREGADORES</v>
      </c>
      <c r="P5622">
        <v>690</v>
      </c>
      <c r="S5622" t="str">
        <f>"BANCO C6 (149)"</f>
        <v>BANCO C6 (149)</v>
      </c>
      <c r="T5622">
        <v>19963</v>
      </c>
      <c r="U5622">
        <v>22654</v>
      </c>
      <c r="V5622" t="s">
        <v>77</v>
      </c>
    </row>
    <row r="5623" spans="1:22">
      <c r="A5623" t="str">
        <f t="shared" si="982"/>
        <v>09/10/2025</v>
      </c>
      <c r="B5623" t="str">
        <f t="shared" si="983"/>
        <v>SAÍDA</v>
      </c>
      <c r="C5623" t="str">
        <f t="shared" si="986"/>
        <v>PIX</v>
      </c>
      <c r="D5623" t="str">
        <f>"22654"</f>
        <v>22654</v>
      </c>
      <c r="E5623" t="str">
        <f t="shared" si="987"/>
        <v>1</v>
      </c>
      <c r="F5623" t="str">
        <f t="shared" si="984"/>
        <v>COM</v>
      </c>
      <c r="G5623" t="str">
        <f>"JACQUES SEBIM SANTNA (918)"</f>
        <v>JACQUES SEBIM SANTNA (918)</v>
      </c>
      <c r="H5623" t="s">
        <v>1565</v>
      </c>
      <c r="I5623" t="str">
        <f t="shared" si="985"/>
        <v>09/10/2025</v>
      </c>
      <c r="J5623" t="str">
        <f t="shared" si="988"/>
        <v>26/09/2025</v>
      </c>
      <c r="K5623">
        <v>45939</v>
      </c>
      <c r="N5623">
        <v>109</v>
      </c>
      <c r="O5623" t="s">
        <v>24</v>
      </c>
      <c r="Q5623">
        <v>690</v>
      </c>
      <c r="R5623" t="str">
        <f>"FARMÁCIA INDIANA LJ 188 (10176)"</f>
        <v>FARMÁCIA INDIANA LJ 188 (10176)</v>
      </c>
      <c r="S5623" t="s">
        <v>77</v>
      </c>
      <c r="T5623">
        <v>19963</v>
      </c>
      <c r="U5623">
        <v>22654</v>
      </c>
      <c r="V5623" t="s">
        <v>77</v>
      </c>
    </row>
    <row r="5624" spans="1:22">
      <c r="A5624" t="str">
        <f t="shared" si="982"/>
        <v>09/10/2025</v>
      </c>
      <c r="B5624" t="str">
        <f t="shared" si="983"/>
        <v>SAÍDA</v>
      </c>
      <c r="C5624" t="str">
        <f t="shared" si="986"/>
        <v>PIX</v>
      </c>
      <c r="D5624" t="str">
        <f>"22655"</f>
        <v>22655</v>
      </c>
      <c r="E5624" t="str">
        <f t="shared" si="987"/>
        <v>1</v>
      </c>
      <c r="F5624" t="str">
        <f t="shared" si="984"/>
        <v>COM</v>
      </c>
      <c r="G5624" t="str">
        <f>"JEAN CHARLES BATISTA FILHO (206)"</f>
        <v>JEAN CHARLES BATISTA FILHO (206)</v>
      </c>
      <c r="H5624" t="str">
        <f>"Serv.Prest. 22/09/2025 a 25/09/2025 - PIX: CELULAR - CHAVE: (27) 99616-4468"</f>
        <v>Serv.Prest. 22/09/2025 a 25/09/2025 - PIX: CELULAR - CHAVE: (27) 99616-4468</v>
      </c>
      <c r="I5624" t="str">
        <f t="shared" si="985"/>
        <v>09/10/2025</v>
      </c>
      <c r="J5624" t="str">
        <f t="shared" si="988"/>
        <v>26/09/2025</v>
      </c>
      <c r="K5624" t="str">
        <f>("09/10/2025")</f>
        <v>09/10/2025</v>
      </c>
      <c r="L5624">
        <v>1446</v>
      </c>
      <c r="M5624">
        <v>1446</v>
      </c>
      <c r="N5624">
        <v>109</v>
      </c>
      <c r="O5624" t="str">
        <f>"PAGAMENTO DE ENTREGADORES"</f>
        <v>PAGAMENTO DE ENTREGADORES</v>
      </c>
      <c r="P5624">
        <v>1446</v>
      </c>
      <c r="S5624" t="str">
        <f>"BANCO C6 (149)"</f>
        <v>BANCO C6 (149)</v>
      </c>
      <c r="T5624">
        <v>19964</v>
      </c>
      <c r="U5624">
        <v>22655</v>
      </c>
      <c r="V5624" t="s">
        <v>77</v>
      </c>
    </row>
    <row r="5625" spans="1:22">
      <c r="A5625" t="str">
        <f t="shared" si="982"/>
        <v>09/10/2025</v>
      </c>
      <c r="B5625" t="str">
        <f t="shared" si="983"/>
        <v>SAÍDA</v>
      </c>
      <c r="C5625" t="str">
        <f t="shared" si="986"/>
        <v>PIX</v>
      </c>
      <c r="D5625" t="str">
        <f>"22655"</f>
        <v>22655</v>
      </c>
      <c r="E5625" t="str">
        <f t="shared" si="987"/>
        <v>1</v>
      </c>
      <c r="F5625" t="str">
        <f t="shared" si="984"/>
        <v>COM</v>
      </c>
      <c r="G5625" t="str">
        <f>"JEAN CHARLES BATISTA FILHO (206)"</f>
        <v>JEAN CHARLES BATISTA FILHO (206)</v>
      </c>
      <c r="H5625" t="s">
        <v>1566</v>
      </c>
      <c r="I5625" t="str">
        <f t="shared" si="985"/>
        <v>09/10/2025</v>
      </c>
      <c r="J5625" t="str">
        <f t="shared" si="988"/>
        <v>26/09/2025</v>
      </c>
      <c r="K5625">
        <v>45939</v>
      </c>
      <c r="N5625">
        <v>109</v>
      </c>
      <c r="O5625" t="s">
        <v>24</v>
      </c>
      <c r="Q5625">
        <v>1446</v>
      </c>
      <c r="R5625" t="str">
        <f>"FARMÁCIA INDIANA LJ 163 (10072)"</f>
        <v>FARMÁCIA INDIANA LJ 163 (10072)</v>
      </c>
      <c r="S5625" t="s">
        <v>77</v>
      </c>
      <c r="T5625">
        <v>19964</v>
      </c>
      <c r="U5625">
        <v>22655</v>
      </c>
      <c r="V5625" t="s">
        <v>77</v>
      </c>
    </row>
    <row r="5626" spans="1:22">
      <c r="A5626" t="str">
        <f t="shared" si="982"/>
        <v>09/10/2025</v>
      </c>
      <c r="B5626" t="str">
        <f t="shared" si="983"/>
        <v>SAÍDA</v>
      </c>
      <c r="C5626" t="str">
        <f t="shared" si="986"/>
        <v>PIX</v>
      </c>
      <c r="D5626" t="str">
        <f>"22657"</f>
        <v>22657</v>
      </c>
      <c r="E5626" t="str">
        <f t="shared" si="987"/>
        <v>1</v>
      </c>
      <c r="F5626" t="str">
        <f t="shared" si="984"/>
        <v>COM</v>
      </c>
      <c r="G5626" t="str">
        <f>"MARCELO SOUZA DE MOURA (924)"</f>
        <v>MARCELO SOUZA DE MOURA (924)</v>
      </c>
      <c r="H5626" t="str">
        <f>"Serv.Prest. 22/09/2025 a 25/09/2025 - PIX: CELULAR - CHAVE: (73) 99167-5954"</f>
        <v>Serv.Prest. 22/09/2025 a 25/09/2025 - PIX: CELULAR - CHAVE: (73) 99167-5954</v>
      </c>
      <c r="I5626" t="str">
        <f t="shared" si="985"/>
        <v>09/10/2025</v>
      </c>
      <c r="J5626" t="str">
        <f t="shared" si="988"/>
        <v>26/09/2025</v>
      </c>
      <c r="K5626" t="str">
        <f>("09/10/2025")</f>
        <v>09/10/2025</v>
      </c>
      <c r="L5626">
        <v>1012.5</v>
      </c>
      <c r="M5626">
        <v>1012.5</v>
      </c>
      <c r="N5626">
        <v>109</v>
      </c>
      <c r="O5626" t="str">
        <f>"PAGAMENTO DE ENTREGADORES"</f>
        <v>PAGAMENTO DE ENTREGADORES</v>
      </c>
      <c r="P5626">
        <v>1012.5</v>
      </c>
      <c r="S5626" t="str">
        <f>"BANCO C6 (149)"</f>
        <v>BANCO C6 (149)</v>
      </c>
      <c r="T5626">
        <v>19965</v>
      </c>
      <c r="U5626">
        <v>22657</v>
      </c>
      <c r="V5626" t="s">
        <v>77</v>
      </c>
    </row>
    <row r="5627" spans="1:22">
      <c r="A5627" t="str">
        <f t="shared" si="982"/>
        <v>09/10/2025</v>
      </c>
      <c r="B5627" t="str">
        <f t="shared" si="983"/>
        <v>SAÍDA</v>
      </c>
      <c r="C5627" t="str">
        <f t="shared" si="986"/>
        <v>PIX</v>
      </c>
      <c r="D5627" t="str">
        <f>"22657"</f>
        <v>22657</v>
      </c>
      <c r="E5627" t="str">
        <f t="shared" si="987"/>
        <v>1</v>
      </c>
      <c r="F5627" t="str">
        <f t="shared" si="984"/>
        <v>COM</v>
      </c>
      <c r="G5627" t="str">
        <f>"MARCELO SOUZA DE MOURA (924)"</f>
        <v>MARCELO SOUZA DE MOURA (924)</v>
      </c>
      <c r="H5627" t="s">
        <v>1567</v>
      </c>
      <c r="I5627" t="str">
        <f t="shared" si="985"/>
        <v>09/10/2025</v>
      </c>
      <c r="J5627" t="str">
        <f t="shared" si="988"/>
        <v>26/09/2025</v>
      </c>
      <c r="K5627">
        <v>45939</v>
      </c>
      <c r="N5627">
        <v>109</v>
      </c>
      <c r="O5627" t="s">
        <v>24</v>
      </c>
      <c r="Q5627">
        <v>1012.5</v>
      </c>
      <c r="R5627" t="str">
        <f>"FARMÁCIA INDIANA LJ 273 (10188)"</f>
        <v>FARMÁCIA INDIANA LJ 273 (10188)</v>
      </c>
      <c r="S5627" t="s">
        <v>77</v>
      </c>
      <c r="T5627">
        <v>19965</v>
      </c>
      <c r="U5627">
        <v>22657</v>
      </c>
      <c r="V5627" t="s">
        <v>77</v>
      </c>
    </row>
    <row r="5628" spans="1:22">
      <c r="A5628" t="str">
        <f t="shared" si="982"/>
        <v>09/10/2025</v>
      </c>
      <c r="B5628" t="str">
        <f t="shared" si="983"/>
        <v>SAÍDA</v>
      </c>
      <c r="C5628" t="str">
        <f t="shared" si="986"/>
        <v>PIX</v>
      </c>
      <c r="D5628" t="str">
        <f>"22659"</f>
        <v>22659</v>
      </c>
      <c r="E5628" t="str">
        <f t="shared" si="987"/>
        <v>1</v>
      </c>
      <c r="F5628" t="str">
        <f t="shared" si="984"/>
        <v>COM</v>
      </c>
      <c r="G5628" t="str">
        <f>"VINÍCIUS NEVES PEREIRA (776)"</f>
        <v>VINÍCIUS NEVES PEREIRA (776)</v>
      </c>
      <c r="H5628" t="str">
        <f>"Serv.Prest. 22/09/2025 a 25/09/2025 - PIX: CPF - CHAVE: 121.963.507-37"</f>
        <v>Serv.Prest. 22/09/2025 a 25/09/2025 - PIX: CPF - CHAVE: 121.963.507-37</v>
      </c>
      <c r="I5628" t="str">
        <f t="shared" si="985"/>
        <v>09/10/2025</v>
      </c>
      <c r="J5628" t="str">
        <f t="shared" si="988"/>
        <v>26/09/2025</v>
      </c>
      <c r="K5628" t="str">
        <f>("09/10/2025")</f>
        <v>09/10/2025</v>
      </c>
      <c r="L5628">
        <v>730.75</v>
      </c>
      <c r="M5628">
        <v>730.75</v>
      </c>
      <c r="N5628">
        <v>109</v>
      </c>
      <c r="O5628" t="str">
        <f>"PAGAMENTO DE ENTREGADORES"</f>
        <v>PAGAMENTO DE ENTREGADORES</v>
      </c>
      <c r="P5628">
        <v>730.75</v>
      </c>
      <c r="S5628" t="str">
        <f>"BANCO C6 (149)"</f>
        <v>BANCO C6 (149)</v>
      </c>
      <c r="T5628">
        <v>19966</v>
      </c>
      <c r="U5628">
        <v>22659</v>
      </c>
      <c r="V5628" t="s">
        <v>77</v>
      </c>
    </row>
    <row r="5629" spans="1:22">
      <c r="A5629" t="str">
        <f t="shared" si="982"/>
        <v>09/10/2025</v>
      </c>
      <c r="B5629" t="str">
        <f t="shared" si="983"/>
        <v>SAÍDA</v>
      </c>
      <c r="C5629" t="str">
        <f t="shared" si="986"/>
        <v>PIX</v>
      </c>
      <c r="D5629" t="str">
        <f>"22659"</f>
        <v>22659</v>
      </c>
      <c r="E5629" t="str">
        <f t="shared" si="987"/>
        <v>1</v>
      </c>
      <c r="F5629" t="str">
        <f t="shared" si="984"/>
        <v>COM</v>
      </c>
      <c r="G5629" t="str">
        <f>"VINÍCIUS NEVES PEREIRA (776)"</f>
        <v>VINÍCIUS NEVES PEREIRA (776)</v>
      </c>
      <c r="H5629" t="s">
        <v>1486</v>
      </c>
      <c r="I5629" t="str">
        <f t="shared" si="985"/>
        <v>09/10/2025</v>
      </c>
      <c r="J5629" t="str">
        <f t="shared" si="988"/>
        <v>26/09/2025</v>
      </c>
      <c r="K5629">
        <v>45939</v>
      </c>
      <c r="N5629">
        <v>109</v>
      </c>
      <c r="O5629" t="s">
        <v>24</v>
      </c>
      <c r="Q5629">
        <v>730.75</v>
      </c>
      <c r="R5629" t="str">
        <f>"FARMÁCIA INDIANA LJ 221 (10093)"</f>
        <v>FARMÁCIA INDIANA LJ 221 (10093)</v>
      </c>
      <c r="S5629" t="s">
        <v>77</v>
      </c>
      <c r="T5629">
        <v>19966</v>
      </c>
      <c r="U5629">
        <v>22659</v>
      </c>
      <c r="V5629" t="s">
        <v>77</v>
      </c>
    </row>
    <row r="5630" spans="1:22">
      <c r="A5630" t="str">
        <f t="shared" si="982"/>
        <v>09/10/2025</v>
      </c>
      <c r="B5630" t="str">
        <f t="shared" si="983"/>
        <v>SAÍDA</v>
      </c>
      <c r="C5630" t="str">
        <f t="shared" si="986"/>
        <v>PIX</v>
      </c>
      <c r="D5630" t="str">
        <f>"22766"</f>
        <v>22766</v>
      </c>
      <c r="E5630" t="str">
        <f t="shared" si="987"/>
        <v>1</v>
      </c>
      <c r="F5630" t="str">
        <f t="shared" si="984"/>
        <v>COM</v>
      </c>
      <c r="G5630" t="str">
        <f>"ALAN ACOSTA (897)"</f>
        <v>ALAN ACOSTA (897)</v>
      </c>
      <c r="H5630" t="str">
        <f>"Serv.Prest. 22/09/2025 a 28/09/2025 - PIX: E-MAIL - CHAVE: alanacosta1999@gmail.com"</f>
        <v>Serv.Prest. 22/09/2025 a 28/09/2025 - PIX: E-MAIL - CHAVE: alanacosta1999@gmail.com</v>
      </c>
      <c r="I5630" t="str">
        <f t="shared" si="985"/>
        <v>09/10/2025</v>
      </c>
      <c r="J5630" t="str">
        <f t="shared" ref="J5630:J5667" si="989">("30/09/2025")</f>
        <v>30/09/2025</v>
      </c>
      <c r="K5630" t="str">
        <f>("09/10/2025")</f>
        <v>09/10/2025</v>
      </c>
      <c r="L5630">
        <v>534.4</v>
      </c>
      <c r="M5630">
        <v>534.4</v>
      </c>
      <c r="N5630">
        <v>109</v>
      </c>
      <c r="O5630" t="str">
        <f>"PAGAMENTO DE ENTREGADORES"</f>
        <v>PAGAMENTO DE ENTREGADORES</v>
      </c>
      <c r="P5630">
        <v>534.4</v>
      </c>
      <c r="S5630" t="str">
        <f>"BANCO C6 (149)"</f>
        <v>BANCO C6 (149)</v>
      </c>
      <c r="T5630">
        <v>19967</v>
      </c>
      <c r="U5630">
        <v>22766</v>
      </c>
      <c r="V5630" t="s">
        <v>77</v>
      </c>
    </row>
    <row r="5631" spans="1:22">
      <c r="A5631" t="str">
        <f t="shared" si="982"/>
        <v>09/10/2025</v>
      </c>
      <c r="B5631" t="str">
        <f t="shared" si="983"/>
        <v>SAÍDA</v>
      </c>
      <c r="C5631" t="str">
        <f t="shared" si="986"/>
        <v>PIX</v>
      </c>
      <c r="D5631" t="str">
        <f>"22766"</f>
        <v>22766</v>
      </c>
      <c r="E5631" t="str">
        <f t="shared" si="987"/>
        <v>1</v>
      </c>
      <c r="F5631" t="str">
        <f t="shared" si="984"/>
        <v>COM</v>
      </c>
      <c r="G5631" t="str">
        <f>"ALAN ACOSTA (897)"</f>
        <v>ALAN ACOSTA (897)</v>
      </c>
      <c r="H5631" t="s">
        <v>1363</v>
      </c>
      <c r="I5631" t="str">
        <f t="shared" si="985"/>
        <v>09/10/2025</v>
      </c>
      <c r="J5631" t="str">
        <f t="shared" si="989"/>
        <v>30/09/2025</v>
      </c>
      <c r="K5631">
        <v>45939</v>
      </c>
      <c r="N5631">
        <v>109</v>
      </c>
      <c r="O5631" t="s">
        <v>24</v>
      </c>
      <c r="Q5631">
        <v>534.4</v>
      </c>
      <c r="R5631" t="str">
        <f>"AC FARMA - CID.ALTA (10166)"</f>
        <v>AC FARMA - CID.ALTA (10166)</v>
      </c>
      <c r="S5631" t="s">
        <v>77</v>
      </c>
      <c r="T5631">
        <v>19967</v>
      </c>
      <c r="U5631">
        <v>22766</v>
      </c>
      <c r="V5631" t="s">
        <v>77</v>
      </c>
    </row>
    <row r="5632" spans="1:22">
      <c r="A5632" t="str">
        <f t="shared" si="982"/>
        <v>09/10/2025</v>
      </c>
      <c r="B5632" t="str">
        <f t="shared" si="983"/>
        <v>SAÍDA</v>
      </c>
      <c r="C5632" t="str">
        <f t="shared" si="986"/>
        <v>PIX</v>
      </c>
      <c r="D5632" t="str">
        <f>"22767"</f>
        <v>22767</v>
      </c>
      <c r="E5632" t="str">
        <f t="shared" si="987"/>
        <v>1</v>
      </c>
      <c r="F5632" t="str">
        <f t="shared" si="984"/>
        <v>COM</v>
      </c>
      <c r="G5632" t="str">
        <f>"ALEXANDRE DA CONCEICAO (714)"</f>
        <v>ALEXANDRE DA CONCEICAO (714)</v>
      </c>
      <c r="H5632" t="str">
        <f>"Serv.Prest. 22/09/2025 a 28/09/2025 - PIX: CPF - CHAVE: 975.425.989-53"</f>
        <v>Serv.Prest. 22/09/2025 a 28/09/2025 - PIX: CPF - CHAVE: 975.425.989-53</v>
      </c>
      <c r="I5632" t="str">
        <f t="shared" si="985"/>
        <v>09/10/2025</v>
      </c>
      <c r="J5632" t="str">
        <f t="shared" si="989"/>
        <v>30/09/2025</v>
      </c>
      <c r="K5632" t="str">
        <f>("09/10/2025")</f>
        <v>09/10/2025</v>
      </c>
      <c r="L5632">
        <v>478.8</v>
      </c>
      <c r="M5632">
        <v>478.8</v>
      </c>
      <c r="N5632">
        <v>109</v>
      </c>
      <c r="O5632" t="str">
        <f>"PAGAMENTO DE ENTREGADORES"</f>
        <v>PAGAMENTO DE ENTREGADORES</v>
      </c>
      <c r="P5632">
        <v>478.8</v>
      </c>
      <c r="S5632" t="str">
        <f>"BANCO C6 (149)"</f>
        <v>BANCO C6 (149)</v>
      </c>
      <c r="T5632">
        <v>19968</v>
      </c>
      <c r="U5632">
        <v>22767</v>
      </c>
      <c r="V5632" t="s">
        <v>77</v>
      </c>
    </row>
    <row r="5633" spans="1:22">
      <c r="A5633" t="str">
        <f t="shared" si="982"/>
        <v>09/10/2025</v>
      </c>
      <c r="B5633" t="str">
        <f t="shared" si="983"/>
        <v>SAÍDA</v>
      </c>
      <c r="C5633" t="str">
        <f t="shared" si="986"/>
        <v>PIX</v>
      </c>
      <c r="D5633" t="str">
        <f>"22767"</f>
        <v>22767</v>
      </c>
      <c r="E5633" t="str">
        <f t="shared" si="987"/>
        <v>1</v>
      </c>
      <c r="F5633" t="str">
        <f t="shared" si="984"/>
        <v>COM</v>
      </c>
      <c r="G5633" t="str">
        <f>"ALEXANDRE DA CONCEICAO (714)"</f>
        <v>ALEXANDRE DA CONCEICAO (714)</v>
      </c>
      <c r="H5633" t="s">
        <v>1365</v>
      </c>
      <c r="I5633" t="str">
        <f t="shared" si="985"/>
        <v>09/10/2025</v>
      </c>
      <c r="J5633" t="str">
        <f t="shared" si="989"/>
        <v>30/09/2025</v>
      </c>
      <c r="K5633">
        <v>45939</v>
      </c>
      <c r="N5633">
        <v>109</v>
      </c>
      <c r="O5633" t="s">
        <v>24</v>
      </c>
      <c r="Q5633">
        <v>478.8</v>
      </c>
      <c r="R5633" t="str">
        <f>"AC FARMA - CID.ALTA (10166)"</f>
        <v>AC FARMA - CID.ALTA (10166)</v>
      </c>
      <c r="S5633" t="s">
        <v>77</v>
      </c>
      <c r="T5633">
        <v>19968</v>
      </c>
      <c r="U5633">
        <v>22767</v>
      </c>
      <c r="V5633" t="s">
        <v>77</v>
      </c>
    </row>
    <row r="5634" spans="1:22">
      <c r="A5634" t="str">
        <f t="shared" si="982"/>
        <v>09/10/2025</v>
      </c>
      <c r="B5634" t="str">
        <f t="shared" si="983"/>
        <v>SAÍDA</v>
      </c>
      <c r="C5634" t="str">
        <f t="shared" si="986"/>
        <v>PIX</v>
      </c>
      <c r="D5634" t="str">
        <f>"22768"</f>
        <v>22768</v>
      </c>
      <c r="E5634" t="str">
        <f t="shared" si="987"/>
        <v>1</v>
      </c>
      <c r="F5634" t="str">
        <f t="shared" si="984"/>
        <v>COM</v>
      </c>
      <c r="G5634" t="str">
        <f>"CLAUDINEI RIBEIRO VALERIO (681)"</f>
        <v>CLAUDINEI RIBEIRO VALERIO (681)</v>
      </c>
      <c r="H5634" t="str">
        <f>"Serv.Prest. 22/09/2025 a 28/09/2025 - PIX: CELULAR - CHAVE: (43) 99630-7532"</f>
        <v>Serv.Prest. 22/09/2025 a 28/09/2025 - PIX: CELULAR - CHAVE: (43) 99630-7532</v>
      </c>
      <c r="I5634" t="str">
        <f t="shared" si="985"/>
        <v>09/10/2025</v>
      </c>
      <c r="J5634" t="str">
        <f t="shared" si="989"/>
        <v>30/09/2025</v>
      </c>
      <c r="K5634" t="str">
        <f>("09/10/2025")</f>
        <v>09/10/2025</v>
      </c>
      <c r="L5634">
        <v>824.2</v>
      </c>
      <c r="M5634">
        <v>824.2</v>
      </c>
      <c r="N5634">
        <v>109</v>
      </c>
      <c r="O5634" t="str">
        <f>"PAGAMENTO DE ENTREGADORES"</f>
        <v>PAGAMENTO DE ENTREGADORES</v>
      </c>
      <c r="P5634">
        <v>824.2</v>
      </c>
      <c r="S5634" t="str">
        <f>"BANCO C6 (149)"</f>
        <v>BANCO C6 (149)</v>
      </c>
      <c r="T5634">
        <v>19969</v>
      </c>
      <c r="U5634">
        <v>22768</v>
      </c>
      <c r="V5634" t="s">
        <v>77</v>
      </c>
    </row>
    <row r="5635" spans="1:22">
      <c r="A5635" t="str">
        <f t="shared" si="982"/>
        <v>09/10/2025</v>
      </c>
      <c r="B5635" t="str">
        <f t="shared" si="983"/>
        <v>SAÍDA</v>
      </c>
      <c r="C5635" t="str">
        <f t="shared" si="986"/>
        <v>PIX</v>
      </c>
      <c r="D5635" t="str">
        <f>"22768"</f>
        <v>22768</v>
      </c>
      <c r="E5635" t="str">
        <f t="shared" si="987"/>
        <v>1</v>
      </c>
      <c r="F5635" t="str">
        <f t="shared" si="984"/>
        <v>COM</v>
      </c>
      <c r="G5635" t="str">
        <f>"CLAUDINEI RIBEIRO VALERIO (681)"</f>
        <v>CLAUDINEI RIBEIRO VALERIO (681)</v>
      </c>
      <c r="H5635" t="s">
        <v>1379</v>
      </c>
      <c r="I5635" t="str">
        <f t="shared" si="985"/>
        <v>09/10/2025</v>
      </c>
      <c r="J5635" t="str">
        <f t="shared" si="989"/>
        <v>30/09/2025</v>
      </c>
      <c r="K5635">
        <v>45939</v>
      </c>
      <c r="N5635">
        <v>109</v>
      </c>
      <c r="O5635" t="s">
        <v>24</v>
      </c>
      <c r="Q5635">
        <v>824.2</v>
      </c>
      <c r="R5635" t="str">
        <f>"AC FARMA - CID.ALTA (10166)"</f>
        <v>AC FARMA - CID.ALTA (10166)</v>
      </c>
      <c r="S5635" t="s">
        <v>77</v>
      </c>
      <c r="T5635">
        <v>19969</v>
      </c>
      <c r="U5635">
        <v>22768</v>
      </c>
      <c r="V5635" t="s">
        <v>77</v>
      </c>
    </row>
    <row r="5636" spans="1:22">
      <c r="A5636" t="str">
        <f t="shared" ref="A5636:A5699" si="990">("09/10/2025")</f>
        <v>09/10/2025</v>
      </c>
      <c r="B5636" t="str">
        <f t="shared" si="983"/>
        <v>SAÍDA</v>
      </c>
      <c r="C5636" t="str">
        <f t="shared" si="986"/>
        <v>PIX</v>
      </c>
      <c r="D5636" t="str">
        <f>"22769"</f>
        <v>22769</v>
      </c>
      <c r="E5636" t="str">
        <f t="shared" si="987"/>
        <v>1</v>
      </c>
      <c r="F5636" t="str">
        <f t="shared" si="984"/>
        <v>COM</v>
      </c>
      <c r="G5636" t="str">
        <f>"FERNANDO MARTINS DA SILVA (701)"</f>
        <v>FERNANDO MARTINS DA SILVA (701)</v>
      </c>
      <c r="H5636" t="str">
        <f>"Serv.Prest. 22/09/2025 a 28/09/2025 - PIX: CPF - CHAVE: 004.682.359-06"</f>
        <v>Serv.Prest. 22/09/2025 a 28/09/2025 - PIX: CPF - CHAVE: 004.682.359-06</v>
      </c>
      <c r="I5636" t="str">
        <f t="shared" si="985"/>
        <v>09/10/2025</v>
      </c>
      <c r="J5636" t="str">
        <f t="shared" si="989"/>
        <v>30/09/2025</v>
      </c>
      <c r="K5636" t="str">
        <f>("09/10/2025")</f>
        <v>09/10/2025</v>
      </c>
      <c r="L5636">
        <v>906.1</v>
      </c>
      <c r="M5636">
        <v>906.1</v>
      </c>
      <c r="N5636">
        <v>109</v>
      </c>
      <c r="O5636" t="str">
        <f>"PAGAMENTO DE ENTREGADORES"</f>
        <v>PAGAMENTO DE ENTREGADORES</v>
      </c>
      <c r="P5636">
        <v>906.1</v>
      </c>
      <c r="S5636" t="str">
        <f>"BANCO C6 (149)"</f>
        <v>BANCO C6 (149)</v>
      </c>
      <c r="T5636">
        <v>19970</v>
      </c>
      <c r="U5636">
        <v>22769</v>
      </c>
      <c r="V5636" t="s">
        <v>77</v>
      </c>
    </row>
    <row r="5637" spans="1:22">
      <c r="A5637" t="str">
        <f t="shared" si="990"/>
        <v>09/10/2025</v>
      </c>
      <c r="B5637" t="str">
        <f t="shared" si="983"/>
        <v>SAÍDA</v>
      </c>
      <c r="C5637" t="str">
        <f t="shared" si="986"/>
        <v>PIX</v>
      </c>
      <c r="D5637" t="str">
        <f>"22769"</f>
        <v>22769</v>
      </c>
      <c r="E5637" t="str">
        <f t="shared" si="987"/>
        <v>1</v>
      </c>
      <c r="F5637" t="str">
        <f t="shared" si="984"/>
        <v>COM</v>
      </c>
      <c r="G5637" t="str">
        <f>"FERNANDO MARTINS DA SILVA (701)"</f>
        <v>FERNANDO MARTINS DA SILVA (701)</v>
      </c>
      <c r="H5637" t="s">
        <v>1400</v>
      </c>
      <c r="I5637" t="str">
        <f t="shared" si="985"/>
        <v>09/10/2025</v>
      </c>
      <c r="J5637" t="str">
        <f t="shared" si="989"/>
        <v>30/09/2025</v>
      </c>
      <c r="K5637">
        <v>45939</v>
      </c>
      <c r="N5637">
        <v>109</v>
      </c>
      <c r="O5637" t="s">
        <v>24</v>
      </c>
      <c r="Q5637">
        <v>906.1</v>
      </c>
      <c r="R5637" t="str">
        <f>"AC FARMA - CID.ALTA (10166)"</f>
        <v>AC FARMA - CID.ALTA (10166)</v>
      </c>
      <c r="S5637" t="s">
        <v>77</v>
      </c>
      <c r="T5637">
        <v>19970</v>
      </c>
      <c r="U5637">
        <v>22769</v>
      </c>
      <c r="V5637" t="s">
        <v>77</v>
      </c>
    </row>
    <row r="5638" spans="1:22">
      <c r="A5638" t="str">
        <f t="shared" si="990"/>
        <v>09/10/2025</v>
      </c>
      <c r="B5638" t="str">
        <f t="shared" si="983"/>
        <v>SAÍDA</v>
      </c>
      <c r="C5638" t="str">
        <f t="shared" si="986"/>
        <v>PIX</v>
      </c>
      <c r="D5638" t="str">
        <f>"22770"</f>
        <v>22770</v>
      </c>
      <c r="E5638" t="str">
        <f t="shared" si="987"/>
        <v>1</v>
      </c>
      <c r="F5638" t="str">
        <f t="shared" si="984"/>
        <v>COM</v>
      </c>
      <c r="G5638" t="str">
        <f>"GERALDO SEVERINO DE SANTANA (729)"</f>
        <v>GERALDO SEVERINO DE SANTANA (729)</v>
      </c>
      <c r="H5638" t="str">
        <f>"Serv.Prest. 22/09/2025 a 28/09/2025 - PIX: CELULAR - CHAVE: (43) 99934-1696"</f>
        <v>Serv.Prest. 22/09/2025 a 28/09/2025 - PIX: CELULAR - CHAVE: (43) 99934-1696</v>
      </c>
      <c r="I5638" t="str">
        <f t="shared" si="985"/>
        <v>09/10/2025</v>
      </c>
      <c r="J5638" t="str">
        <f t="shared" si="989"/>
        <v>30/09/2025</v>
      </c>
      <c r="K5638" t="str">
        <f>("09/10/2025")</f>
        <v>09/10/2025</v>
      </c>
      <c r="L5638">
        <v>636.29999999999995</v>
      </c>
      <c r="M5638">
        <v>636.29999999999995</v>
      </c>
      <c r="N5638">
        <v>109</v>
      </c>
      <c r="O5638" t="str">
        <f>"PAGAMENTO DE ENTREGADORES"</f>
        <v>PAGAMENTO DE ENTREGADORES</v>
      </c>
      <c r="P5638">
        <v>636.29999999999995</v>
      </c>
      <c r="S5638" t="str">
        <f>"BANCO C6 (149)"</f>
        <v>BANCO C6 (149)</v>
      </c>
      <c r="T5638">
        <v>19971</v>
      </c>
      <c r="U5638">
        <v>22770</v>
      </c>
      <c r="V5638" t="s">
        <v>77</v>
      </c>
    </row>
    <row r="5639" spans="1:22">
      <c r="A5639" t="str">
        <f t="shared" si="990"/>
        <v>09/10/2025</v>
      </c>
      <c r="B5639" t="str">
        <f t="shared" si="983"/>
        <v>SAÍDA</v>
      </c>
      <c r="C5639" t="str">
        <f t="shared" si="986"/>
        <v>PIX</v>
      </c>
      <c r="D5639" t="str">
        <f>"22770"</f>
        <v>22770</v>
      </c>
      <c r="E5639" t="str">
        <f t="shared" si="987"/>
        <v>1</v>
      </c>
      <c r="F5639" t="str">
        <f t="shared" si="984"/>
        <v>COM</v>
      </c>
      <c r="G5639" t="str">
        <f>"GERALDO SEVERINO DE SANTANA (729)"</f>
        <v>GERALDO SEVERINO DE SANTANA (729)</v>
      </c>
      <c r="H5639" t="s">
        <v>1404</v>
      </c>
      <c r="I5639" t="str">
        <f t="shared" si="985"/>
        <v>09/10/2025</v>
      </c>
      <c r="J5639" t="str">
        <f t="shared" si="989"/>
        <v>30/09/2025</v>
      </c>
      <c r="K5639">
        <v>45939</v>
      </c>
      <c r="N5639">
        <v>109</v>
      </c>
      <c r="O5639" t="s">
        <v>24</v>
      </c>
      <c r="Q5639">
        <v>636.29999999999995</v>
      </c>
      <c r="R5639" t="str">
        <f>"AC FARMA - CID.ALTA (10166)"</f>
        <v>AC FARMA - CID.ALTA (10166)</v>
      </c>
      <c r="S5639" t="s">
        <v>77</v>
      </c>
      <c r="T5639">
        <v>19971</v>
      </c>
      <c r="U5639">
        <v>22770</v>
      </c>
      <c r="V5639" t="s">
        <v>77</v>
      </c>
    </row>
    <row r="5640" spans="1:22">
      <c r="A5640" t="str">
        <f t="shared" si="990"/>
        <v>09/10/2025</v>
      </c>
      <c r="B5640" t="str">
        <f t="shared" si="983"/>
        <v>SAÍDA</v>
      </c>
      <c r="C5640" t="str">
        <f t="shared" si="986"/>
        <v>PIX</v>
      </c>
      <c r="D5640" t="str">
        <f>"22771"</f>
        <v>22771</v>
      </c>
      <c r="E5640" t="str">
        <f t="shared" si="987"/>
        <v>1</v>
      </c>
      <c r="F5640" t="str">
        <f t="shared" si="984"/>
        <v>COM</v>
      </c>
      <c r="G5640" t="str">
        <f>"HELITON DE OLIVEIRA RAMOS BARBOSA (724)"</f>
        <v>HELITON DE OLIVEIRA RAMOS BARBOSA (724)</v>
      </c>
      <c r="H5640" t="str">
        <f>"Serv.Prest. 22/09/2025 a 28/09/2025 - PIX: CPF - CHAVE: 074.604.219-10"</f>
        <v>Serv.Prest. 22/09/2025 a 28/09/2025 - PIX: CPF - CHAVE: 074.604.219-10</v>
      </c>
      <c r="I5640" t="str">
        <f t="shared" si="985"/>
        <v>09/10/2025</v>
      </c>
      <c r="J5640" t="str">
        <f t="shared" si="989"/>
        <v>30/09/2025</v>
      </c>
      <c r="K5640" t="str">
        <f>("09/10/2025")</f>
        <v>09/10/2025</v>
      </c>
      <c r="L5640">
        <v>925</v>
      </c>
      <c r="M5640">
        <v>925</v>
      </c>
      <c r="N5640">
        <v>109</v>
      </c>
      <c r="O5640" t="str">
        <f>"PAGAMENTO DE ENTREGADORES"</f>
        <v>PAGAMENTO DE ENTREGADORES</v>
      </c>
      <c r="P5640">
        <v>925</v>
      </c>
      <c r="S5640" t="str">
        <f>"BANCO C6 (149)"</f>
        <v>BANCO C6 (149)</v>
      </c>
      <c r="T5640">
        <v>19972</v>
      </c>
      <c r="U5640">
        <v>22771</v>
      </c>
      <c r="V5640" t="s">
        <v>77</v>
      </c>
    </row>
    <row r="5641" spans="1:22">
      <c r="A5641" t="str">
        <f t="shared" si="990"/>
        <v>09/10/2025</v>
      </c>
      <c r="B5641" t="str">
        <f t="shared" si="983"/>
        <v>SAÍDA</v>
      </c>
      <c r="C5641" t="str">
        <f t="shared" si="986"/>
        <v>PIX</v>
      </c>
      <c r="D5641" t="str">
        <f>"22771"</f>
        <v>22771</v>
      </c>
      <c r="E5641" t="str">
        <f t="shared" si="987"/>
        <v>1</v>
      </c>
      <c r="F5641" t="str">
        <f t="shared" si="984"/>
        <v>COM</v>
      </c>
      <c r="G5641" t="str">
        <f>"HELITON DE OLIVEIRA RAMOS BARBOSA (724)"</f>
        <v>HELITON DE OLIVEIRA RAMOS BARBOSA (724)</v>
      </c>
      <c r="H5641" t="s">
        <v>1412</v>
      </c>
      <c r="I5641" t="str">
        <f t="shared" si="985"/>
        <v>09/10/2025</v>
      </c>
      <c r="J5641" t="str">
        <f t="shared" si="989"/>
        <v>30/09/2025</v>
      </c>
      <c r="K5641">
        <v>45939</v>
      </c>
      <c r="N5641">
        <v>109</v>
      </c>
      <c r="O5641" t="s">
        <v>24</v>
      </c>
      <c r="Q5641">
        <v>925</v>
      </c>
      <c r="R5641" t="str">
        <f>"AC FARMA - CID.ALTA (10166)"</f>
        <v>AC FARMA - CID.ALTA (10166)</v>
      </c>
      <c r="S5641" t="s">
        <v>77</v>
      </c>
      <c r="T5641">
        <v>19972</v>
      </c>
      <c r="U5641">
        <v>22771</v>
      </c>
      <c r="V5641" t="s">
        <v>77</v>
      </c>
    </row>
    <row r="5642" spans="1:22">
      <c r="A5642" t="str">
        <f t="shared" si="990"/>
        <v>09/10/2025</v>
      </c>
      <c r="B5642" t="str">
        <f t="shared" si="983"/>
        <v>SAÍDA</v>
      </c>
      <c r="C5642" t="str">
        <f t="shared" si="986"/>
        <v>PIX</v>
      </c>
      <c r="D5642" t="str">
        <f>"22772"</f>
        <v>22772</v>
      </c>
      <c r="E5642" t="str">
        <f t="shared" si="987"/>
        <v>1</v>
      </c>
      <c r="F5642" t="str">
        <f t="shared" si="984"/>
        <v>COM</v>
      </c>
      <c r="G5642" t="str">
        <f>"RAUL SILVA ROMAO (727)"</f>
        <v>RAUL SILVA ROMAO (727)</v>
      </c>
      <c r="H5642" t="str">
        <f>"Serv.Prest. 22/09/2025 a 28/09/2025 - PIX: CPF - CHAVE: 878.196.869-87"</f>
        <v>Serv.Prest. 22/09/2025 a 28/09/2025 - PIX: CPF - CHAVE: 878.196.869-87</v>
      </c>
      <c r="I5642" t="str">
        <f t="shared" si="985"/>
        <v>09/10/2025</v>
      </c>
      <c r="J5642" t="str">
        <f t="shared" si="989"/>
        <v>30/09/2025</v>
      </c>
      <c r="K5642" t="str">
        <f>("09/10/2025")</f>
        <v>09/10/2025</v>
      </c>
      <c r="L5642">
        <v>244.6</v>
      </c>
      <c r="M5642">
        <v>244.6</v>
      </c>
      <c r="N5642">
        <v>109</v>
      </c>
      <c r="O5642" t="str">
        <f>"PAGAMENTO DE ENTREGADORES"</f>
        <v>PAGAMENTO DE ENTREGADORES</v>
      </c>
      <c r="P5642">
        <v>244.6</v>
      </c>
      <c r="S5642" t="str">
        <f>"BANCO C6 (149)"</f>
        <v>BANCO C6 (149)</v>
      </c>
      <c r="T5642">
        <v>19973</v>
      </c>
      <c r="U5642">
        <v>22772</v>
      </c>
      <c r="V5642" t="s">
        <v>77</v>
      </c>
    </row>
    <row r="5643" spans="1:22">
      <c r="A5643" t="str">
        <f t="shared" si="990"/>
        <v>09/10/2025</v>
      </c>
      <c r="B5643" t="str">
        <f t="shared" si="983"/>
        <v>SAÍDA</v>
      </c>
      <c r="C5643" t="str">
        <f t="shared" si="986"/>
        <v>PIX</v>
      </c>
      <c r="D5643" t="str">
        <f>"22772"</f>
        <v>22772</v>
      </c>
      <c r="E5643" t="str">
        <f t="shared" si="987"/>
        <v>1</v>
      </c>
      <c r="F5643" t="str">
        <f t="shared" si="984"/>
        <v>COM</v>
      </c>
      <c r="G5643" t="str">
        <f>"RAUL SILVA ROMAO (727)"</f>
        <v>RAUL SILVA ROMAO (727)</v>
      </c>
      <c r="H5643" t="s">
        <v>1473</v>
      </c>
      <c r="I5643" t="str">
        <f t="shared" si="985"/>
        <v>09/10/2025</v>
      </c>
      <c r="J5643" t="str">
        <f t="shared" si="989"/>
        <v>30/09/2025</v>
      </c>
      <c r="K5643">
        <v>45939</v>
      </c>
      <c r="N5643">
        <v>109</v>
      </c>
      <c r="O5643" t="s">
        <v>24</v>
      </c>
      <c r="Q5643">
        <v>244.6</v>
      </c>
      <c r="R5643" t="str">
        <f>"AC FARMA - CID.ALTA (10166)"</f>
        <v>AC FARMA - CID.ALTA (10166)</v>
      </c>
      <c r="S5643" t="s">
        <v>77</v>
      </c>
      <c r="T5643">
        <v>19973</v>
      </c>
      <c r="U5643">
        <v>22772</v>
      </c>
      <c r="V5643" t="s">
        <v>77</v>
      </c>
    </row>
    <row r="5644" spans="1:22">
      <c r="A5644" t="str">
        <f t="shared" si="990"/>
        <v>09/10/2025</v>
      </c>
      <c r="B5644" t="str">
        <f t="shared" si="983"/>
        <v>SAÍDA</v>
      </c>
      <c r="C5644" t="str">
        <f t="shared" si="986"/>
        <v>PIX</v>
      </c>
      <c r="D5644" t="str">
        <f>"22774"</f>
        <v>22774</v>
      </c>
      <c r="E5644" t="str">
        <f t="shared" si="987"/>
        <v>1</v>
      </c>
      <c r="F5644" t="str">
        <f t="shared" si="984"/>
        <v>COM</v>
      </c>
      <c r="G5644" t="str">
        <f>"ALAN ACOSTA (897)"</f>
        <v>ALAN ACOSTA (897)</v>
      </c>
      <c r="H5644" t="str">
        <f>"Serv.Prest. 22/09/2025 a 28/09/2025 - PIX: E-MAIL - CHAVE: alanacosta1999@gmail.com"</f>
        <v>Serv.Prest. 22/09/2025 a 28/09/2025 - PIX: E-MAIL - CHAVE: alanacosta1999@gmail.com</v>
      </c>
      <c r="I5644" t="str">
        <f t="shared" si="985"/>
        <v>09/10/2025</v>
      </c>
      <c r="J5644" t="str">
        <f t="shared" si="989"/>
        <v>30/09/2025</v>
      </c>
      <c r="K5644" t="str">
        <f>("09/10/2025")</f>
        <v>09/10/2025</v>
      </c>
      <c r="L5644">
        <v>195.3</v>
      </c>
      <c r="M5644">
        <v>195.3</v>
      </c>
      <c r="N5644">
        <v>109</v>
      </c>
      <c r="O5644" t="str">
        <f>"PAGAMENTO DE ENTREGADORES"</f>
        <v>PAGAMENTO DE ENTREGADORES</v>
      </c>
      <c r="P5644">
        <v>195.3</v>
      </c>
      <c r="S5644" t="str">
        <f>"BANCO C6 (149)"</f>
        <v>BANCO C6 (149)</v>
      </c>
      <c r="T5644">
        <v>19974</v>
      </c>
      <c r="U5644">
        <v>22774</v>
      </c>
      <c r="V5644" t="s">
        <v>77</v>
      </c>
    </row>
    <row r="5645" spans="1:22">
      <c r="A5645" t="str">
        <f t="shared" si="990"/>
        <v>09/10/2025</v>
      </c>
      <c r="B5645" t="str">
        <f t="shared" si="983"/>
        <v>SAÍDA</v>
      </c>
      <c r="C5645" t="str">
        <f t="shared" si="986"/>
        <v>PIX</v>
      </c>
      <c r="D5645" t="str">
        <f>"22774"</f>
        <v>22774</v>
      </c>
      <c r="E5645" t="str">
        <f t="shared" si="987"/>
        <v>1</v>
      </c>
      <c r="F5645" t="str">
        <f t="shared" si="984"/>
        <v>COM</v>
      </c>
      <c r="G5645" t="str">
        <f>"ALAN ACOSTA (897)"</f>
        <v>ALAN ACOSTA (897)</v>
      </c>
      <c r="H5645" t="s">
        <v>1363</v>
      </c>
      <c r="I5645" t="str">
        <f t="shared" si="985"/>
        <v>09/10/2025</v>
      </c>
      <c r="J5645" t="str">
        <f t="shared" si="989"/>
        <v>30/09/2025</v>
      </c>
      <c r="K5645">
        <v>45939</v>
      </c>
      <c r="N5645">
        <v>109</v>
      </c>
      <c r="O5645" t="s">
        <v>24</v>
      </c>
      <c r="Q5645">
        <v>182.7</v>
      </c>
      <c r="R5645" t="str">
        <f>"AC FARMA -  FLEMINFARMA (10159)"</f>
        <v>AC FARMA -  FLEMINFARMA (10159)</v>
      </c>
      <c r="S5645" t="s">
        <v>77</v>
      </c>
      <c r="T5645">
        <v>19974</v>
      </c>
      <c r="U5645">
        <v>22774</v>
      </c>
      <c r="V5645" t="s">
        <v>77</v>
      </c>
    </row>
    <row r="5646" spans="1:22">
      <c r="A5646" t="str">
        <f t="shared" si="990"/>
        <v>09/10/2025</v>
      </c>
      <c r="B5646" t="str">
        <f t="shared" si="983"/>
        <v>SAÍDA</v>
      </c>
      <c r="C5646" t="str">
        <f t="shared" si="986"/>
        <v>PIX</v>
      </c>
      <c r="D5646" t="str">
        <f>"22774"</f>
        <v>22774</v>
      </c>
      <c r="E5646" t="str">
        <f t="shared" si="987"/>
        <v>1</v>
      </c>
      <c r="F5646" t="str">
        <f t="shared" si="984"/>
        <v>COM</v>
      </c>
      <c r="G5646" t="str">
        <f>"ALAN ACOSTA (897)"</f>
        <v>ALAN ACOSTA (897)</v>
      </c>
      <c r="H5646" t="s">
        <v>1363</v>
      </c>
      <c r="I5646" t="str">
        <f t="shared" si="985"/>
        <v>09/10/2025</v>
      </c>
      <c r="J5646" t="str">
        <f t="shared" si="989"/>
        <v>30/09/2025</v>
      </c>
      <c r="K5646">
        <v>45939</v>
      </c>
      <c r="N5646">
        <v>109</v>
      </c>
      <c r="O5646" t="s">
        <v>24</v>
      </c>
      <c r="Q5646">
        <v>12.6</v>
      </c>
      <c r="R5646" t="str">
        <f>"AC FARMA - FLEMINFARMA (10160)"</f>
        <v>AC FARMA - FLEMINFARMA (10160)</v>
      </c>
      <c r="S5646" t="s">
        <v>77</v>
      </c>
      <c r="T5646">
        <v>19974</v>
      </c>
      <c r="U5646">
        <v>22774</v>
      </c>
      <c r="V5646" t="s">
        <v>77</v>
      </c>
    </row>
    <row r="5647" spans="1:22">
      <c r="A5647" t="str">
        <f t="shared" si="990"/>
        <v>09/10/2025</v>
      </c>
      <c r="B5647" t="str">
        <f t="shared" si="983"/>
        <v>SAÍDA</v>
      </c>
      <c r="C5647" t="str">
        <f t="shared" si="986"/>
        <v>PIX</v>
      </c>
      <c r="D5647" t="str">
        <f>"22775"</f>
        <v>22775</v>
      </c>
      <c r="E5647" t="str">
        <f t="shared" si="987"/>
        <v>1</v>
      </c>
      <c r="F5647" t="str">
        <f t="shared" si="984"/>
        <v>COM</v>
      </c>
      <c r="G5647" t="str">
        <f>"ALEXANDRE DA CONCEICAO (714)"</f>
        <v>ALEXANDRE DA CONCEICAO (714)</v>
      </c>
      <c r="H5647" t="str">
        <f>"Serv.Prest. 22/09/2025 a 28/09/2025 - PIX: CPF - CHAVE: 975.425.989-53"</f>
        <v>Serv.Prest. 22/09/2025 a 28/09/2025 - PIX: CPF - CHAVE: 975.425.989-53</v>
      </c>
      <c r="I5647" t="str">
        <f t="shared" si="985"/>
        <v>09/10/2025</v>
      </c>
      <c r="J5647" t="str">
        <f t="shared" si="989"/>
        <v>30/09/2025</v>
      </c>
      <c r="K5647" t="str">
        <f>("09/10/2025")</f>
        <v>09/10/2025</v>
      </c>
      <c r="L5647">
        <v>55.6</v>
      </c>
      <c r="M5647">
        <v>55.6</v>
      </c>
      <c r="N5647">
        <v>109</v>
      </c>
      <c r="O5647" t="str">
        <f>"PAGAMENTO DE ENTREGADORES"</f>
        <v>PAGAMENTO DE ENTREGADORES</v>
      </c>
      <c r="P5647">
        <v>55.6</v>
      </c>
      <c r="S5647" t="str">
        <f>"BANCO C6 (149)"</f>
        <v>BANCO C6 (149)</v>
      </c>
      <c r="T5647">
        <v>19975</v>
      </c>
      <c r="U5647">
        <v>22775</v>
      </c>
      <c r="V5647" t="s">
        <v>77</v>
      </c>
    </row>
    <row r="5648" spans="1:22">
      <c r="A5648" t="str">
        <f t="shared" si="990"/>
        <v>09/10/2025</v>
      </c>
      <c r="B5648" t="str">
        <f t="shared" si="983"/>
        <v>SAÍDA</v>
      </c>
      <c r="C5648" t="str">
        <f t="shared" si="986"/>
        <v>PIX</v>
      </c>
      <c r="D5648" t="str">
        <f>"22775"</f>
        <v>22775</v>
      </c>
      <c r="E5648" t="str">
        <f t="shared" si="987"/>
        <v>1</v>
      </c>
      <c r="F5648" t="str">
        <f t="shared" si="984"/>
        <v>COM</v>
      </c>
      <c r="G5648" t="str">
        <f>"ALEXANDRE DA CONCEICAO (714)"</f>
        <v>ALEXANDRE DA CONCEICAO (714)</v>
      </c>
      <c r="H5648" t="s">
        <v>1365</v>
      </c>
      <c r="I5648" t="str">
        <f t="shared" si="985"/>
        <v>09/10/2025</v>
      </c>
      <c r="J5648" t="str">
        <f t="shared" si="989"/>
        <v>30/09/2025</v>
      </c>
      <c r="K5648">
        <v>45939</v>
      </c>
      <c r="N5648">
        <v>109</v>
      </c>
      <c r="O5648" t="s">
        <v>24</v>
      </c>
      <c r="Q5648">
        <v>50.97</v>
      </c>
      <c r="R5648" t="str">
        <f>"AC FARMA -  FLEMINFARMA (10159)"</f>
        <v>AC FARMA -  FLEMINFARMA (10159)</v>
      </c>
      <c r="S5648" t="s">
        <v>77</v>
      </c>
      <c r="T5648">
        <v>19975</v>
      </c>
      <c r="U5648">
        <v>22775</v>
      </c>
      <c r="V5648" t="s">
        <v>77</v>
      </c>
    </row>
    <row r="5649" spans="1:22">
      <c r="A5649" t="str">
        <f t="shared" si="990"/>
        <v>09/10/2025</v>
      </c>
      <c r="B5649" t="str">
        <f t="shared" si="983"/>
        <v>SAÍDA</v>
      </c>
      <c r="C5649" t="str">
        <f t="shared" si="986"/>
        <v>PIX</v>
      </c>
      <c r="D5649" t="str">
        <f>"22775"</f>
        <v>22775</v>
      </c>
      <c r="E5649" t="str">
        <f t="shared" si="987"/>
        <v>1</v>
      </c>
      <c r="F5649" t="str">
        <f t="shared" si="984"/>
        <v>COM</v>
      </c>
      <c r="G5649" t="str">
        <f>"ALEXANDRE DA CONCEICAO (714)"</f>
        <v>ALEXANDRE DA CONCEICAO (714)</v>
      </c>
      <c r="H5649" t="s">
        <v>1365</v>
      </c>
      <c r="I5649" t="str">
        <f t="shared" si="985"/>
        <v>09/10/2025</v>
      </c>
      <c r="J5649" t="str">
        <f t="shared" si="989"/>
        <v>30/09/2025</v>
      </c>
      <c r="K5649">
        <v>45939</v>
      </c>
      <c r="N5649">
        <v>109</v>
      </c>
      <c r="O5649" t="s">
        <v>24</v>
      </c>
      <c r="Q5649">
        <v>4.63</v>
      </c>
      <c r="R5649" t="str">
        <f>"AC FARMA - FLEMINFARMA (10160)"</f>
        <v>AC FARMA - FLEMINFARMA (10160)</v>
      </c>
      <c r="S5649" t="s">
        <v>77</v>
      </c>
      <c r="T5649">
        <v>19975</v>
      </c>
      <c r="U5649">
        <v>22775</v>
      </c>
      <c r="V5649" t="s">
        <v>77</v>
      </c>
    </row>
    <row r="5650" spans="1:22">
      <c r="A5650" t="str">
        <f t="shared" si="990"/>
        <v>09/10/2025</v>
      </c>
      <c r="B5650" t="str">
        <f t="shared" si="983"/>
        <v>SAÍDA</v>
      </c>
      <c r="C5650" t="str">
        <f t="shared" si="986"/>
        <v>PIX</v>
      </c>
      <c r="D5650" t="str">
        <f>"22776"</f>
        <v>22776</v>
      </c>
      <c r="E5650" t="str">
        <f t="shared" si="987"/>
        <v>1</v>
      </c>
      <c r="F5650" t="str">
        <f t="shared" si="984"/>
        <v>COM</v>
      </c>
      <c r="G5650" t="str">
        <f>"CLAUDINEI RIBEIRO VALERIO (681)"</f>
        <v>CLAUDINEI RIBEIRO VALERIO (681)</v>
      </c>
      <c r="H5650" t="str">
        <f>"Serv.Prest. 22/09/2025 a 28/09/2025 - PIX: CELULAR - CHAVE: (43) 99630-7532"</f>
        <v>Serv.Prest. 22/09/2025 a 28/09/2025 - PIX: CELULAR - CHAVE: (43) 99630-7532</v>
      </c>
      <c r="I5650" t="str">
        <f t="shared" si="985"/>
        <v>09/10/2025</v>
      </c>
      <c r="J5650" t="str">
        <f t="shared" si="989"/>
        <v>30/09/2025</v>
      </c>
      <c r="K5650" t="str">
        <f>("09/10/2025")</f>
        <v>09/10/2025</v>
      </c>
      <c r="L5650">
        <v>25.2</v>
      </c>
      <c r="M5650">
        <v>25.2</v>
      </c>
      <c r="N5650">
        <v>109</v>
      </c>
      <c r="O5650" t="str">
        <f>"PAGAMENTO DE ENTREGADORES"</f>
        <v>PAGAMENTO DE ENTREGADORES</v>
      </c>
      <c r="P5650">
        <v>25.2</v>
      </c>
      <c r="S5650" t="str">
        <f>"BANCO C6 (149)"</f>
        <v>BANCO C6 (149)</v>
      </c>
      <c r="T5650">
        <v>19976</v>
      </c>
      <c r="U5650">
        <v>22776</v>
      </c>
      <c r="V5650" t="s">
        <v>77</v>
      </c>
    </row>
    <row r="5651" spans="1:22">
      <c r="A5651" t="str">
        <f t="shared" si="990"/>
        <v>09/10/2025</v>
      </c>
      <c r="B5651" t="str">
        <f t="shared" si="983"/>
        <v>SAÍDA</v>
      </c>
      <c r="C5651" t="str">
        <f t="shared" si="986"/>
        <v>PIX</v>
      </c>
      <c r="D5651" t="str">
        <f>"22776"</f>
        <v>22776</v>
      </c>
      <c r="E5651" t="str">
        <f t="shared" si="987"/>
        <v>1</v>
      </c>
      <c r="F5651" t="str">
        <f t="shared" si="984"/>
        <v>COM</v>
      </c>
      <c r="G5651" t="str">
        <f>"CLAUDINEI RIBEIRO VALERIO (681)"</f>
        <v>CLAUDINEI RIBEIRO VALERIO (681)</v>
      </c>
      <c r="H5651" t="s">
        <v>1379</v>
      </c>
      <c r="I5651" t="str">
        <f t="shared" si="985"/>
        <v>09/10/2025</v>
      </c>
      <c r="J5651" t="str">
        <f t="shared" si="989"/>
        <v>30/09/2025</v>
      </c>
      <c r="K5651">
        <v>45939</v>
      </c>
      <c r="N5651">
        <v>109</v>
      </c>
      <c r="O5651" t="s">
        <v>24</v>
      </c>
      <c r="Q5651">
        <v>25.2</v>
      </c>
      <c r="R5651" t="str">
        <f>"AC FARMA -  FLEMINFARMA (10159)"</f>
        <v>AC FARMA -  FLEMINFARMA (10159)</v>
      </c>
      <c r="S5651" t="s">
        <v>77</v>
      </c>
      <c r="T5651">
        <v>19976</v>
      </c>
      <c r="U5651">
        <v>22776</v>
      </c>
      <c r="V5651" t="s">
        <v>77</v>
      </c>
    </row>
    <row r="5652" spans="1:22">
      <c r="A5652" t="str">
        <f t="shared" si="990"/>
        <v>09/10/2025</v>
      </c>
      <c r="B5652" t="str">
        <f t="shared" si="983"/>
        <v>SAÍDA</v>
      </c>
      <c r="C5652" t="str">
        <f t="shared" si="986"/>
        <v>PIX</v>
      </c>
      <c r="D5652" t="str">
        <f>"22777"</f>
        <v>22777</v>
      </c>
      <c r="E5652" t="str">
        <f t="shared" si="987"/>
        <v>1</v>
      </c>
      <c r="F5652" t="str">
        <f t="shared" si="984"/>
        <v>COM</v>
      </c>
      <c r="G5652" t="str">
        <f>"FERNANDO MARTINS DA SILVA (701)"</f>
        <v>FERNANDO MARTINS DA SILVA (701)</v>
      </c>
      <c r="H5652" t="str">
        <f>"Serv.Prest. 22/09/2025 a 28/09/2025 - PIX: CPF - CHAVE: 004.682.359-06"</f>
        <v>Serv.Prest. 22/09/2025 a 28/09/2025 - PIX: CPF - CHAVE: 004.682.359-06</v>
      </c>
      <c r="I5652" t="str">
        <f t="shared" si="985"/>
        <v>09/10/2025</v>
      </c>
      <c r="J5652" t="str">
        <f t="shared" si="989"/>
        <v>30/09/2025</v>
      </c>
      <c r="K5652" t="str">
        <f>("09/10/2025")</f>
        <v>09/10/2025</v>
      </c>
      <c r="L5652">
        <v>403.2</v>
      </c>
      <c r="M5652">
        <v>403.2</v>
      </c>
      <c r="N5652">
        <v>109</v>
      </c>
      <c r="O5652" t="str">
        <f>"PAGAMENTO DE ENTREGADORES"</f>
        <v>PAGAMENTO DE ENTREGADORES</v>
      </c>
      <c r="P5652">
        <v>403.2</v>
      </c>
      <c r="S5652" t="str">
        <f>"BANCO C6 (149)"</f>
        <v>BANCO C6 (149)</v>
      </c>
      <c r="T5652">
        <v>19977</v>
      </c>
      <c r="U5652">
        <v>22777</v>
      </c>
      <c r="V5652" t="s">
        <v>77</v>
      </c>
    </row>
    <row r="5653" spans="1:22">
      <c r="A5653" t="str">
        <f t="shared" si="990"/>
        <v>09/10/2025</v>
      </c>
      <c r="B5653" t="str">
        <f t="shared" si="983"/>
        <v>SAÍDA</v>
      </c>
      <c r="C5653" t="str">
        <f t="shared" si="986"/>
        <v>PIX</v>
      </c>
      <c r="D5653" t="str">
        <f>"22777"</f>
        <v>22777</v>
      </c>
      <c r="E5653" t="str">
        <f t="shared" si="987"/>
        <v>1</v>
      </c>
      <c r="F5653" t="str">
        <f t="shared" si="984"/>
        <v>COM</v>
      </c>
      <c r="G5653" t="str">
        <f>"FERNANDO MARTINS DA SILVA (701)"</f>
        <v>FERNANDO MARTINS DA SILVA (701)</v>
      </c>
      <c r="H5653" t="s">
        <v>1400</v>
      </c>
      <c r="I5653" t="str">
        <f t="shared" si="985"/>
        <v>09/10/2025</v>
      </c>
      <c r="J5653" t="str">
        <f t="shared" si="989"/>
        <v>30/09/2025</v>
      </c>
      <c r="K5653">
        <v>45939</v>
      </c>
      <c r="N5653">
        <v>109</v>
      </c>
      <c r="O5653" t="s">
        <v>24</v>
      </c>
      <c r="Q5653">
        <v>378</v>
      </c>
      <c r="R5653" t="str">
        <f>"AC FARMA -  FLEMINFARMA (10159)"</f>
        <v>AC FARMA -  FLEMINFARMA (10159)</v>
      </c>
      <c r="S5653" t="s">
        <v>77</v>
      </c>
      <c r="T5653">
        <v>19977</v>
      </c>
      <c r="U5653">
        <v>22777</v>
      </c>
      <c r="V5653" t="s">
        <v>77</v>
      </c>
    </row>
    <row r="5654" spans="1:22">
      <c r="A5654" t="str">
        <f t="shared" si="990"/>
        <v>09/10/2025</v>
      </c>
      <c r="B5654" t="str">
        <f t="shared" si="983"/>
        <v>SAÍDA</v>
      </c>
      <c r="C5654" t="str">
        <f t="shared" si="986"/>
        <v>PIX</v>
      </c>
      <c r="D5654" t="str">
        <f>"22777"</f>
        <v>22777</v>
      </c>
      <c r="E5654" t="str">
        <f t="shared" si="987"/>
        <v>1</v>
      </c>
      <c r="F5654" t="str">
        <f t="shared" si="984"/>
        <v>COM</v>
      </c>
      <c r="G5654" t="str">
        <f>"FERNANDO MARTINS DA SILVA (701)"</f>
        <v>FERNANDO MARTINS DA SILVA (701)</v>
      </c>
      <c r="H5654" t="s">
        <v>1400</v>
      </c>
      <c r="I5654" t="str">
        <f t="shared" si="985"/>
        <v>09/10/2025</v>
      </c>
      <c r="J5654" t="str">
        <f t="shared" si="989"/>
        <v>30/09/2025</v>
      </c>
      <c r="K5654">
        <v>45939</v>
      </c>
      <c r="N5654">
        <v>109</v>
      </c>
      <c r="O5654" t="s">
        <v>24</v>
      </c>
      <c r="Q5654">
        <v>25.2</v>
      </c>
      <c r="R5654" t="str">
        <f>"AC FARMA - FLEMINFARMA (10160)"</f>
        <v>AC FARMA - FLEMINFARMA (10160)</v>
      </c>
      <c r="S5654" t="s">
        <v>77</v>
      </c>
      <c r="T5654">
        <v>19977</v>
      </c>
      <c r="U5654">
        <v>22777</v>
      </c>
      <c r="V5654" t="s">
        <v>77</v>
      </c>
    </row>
    <row r="5655" spans="1:22">
      <c r="A5655" t="str">
        <f t="shared" si="990"/>
        <v>09/10/2025</v>
      </c>
      <c r="B5655" t="str">
        <f t="shared" si="983"/>
        <v>SAÍDA</v>
      </c>
      <c r="C5655" t="str">
        <f t="shared" si="986"/>
        <v>PIX</v>
      </c>
      <c r="D5655" t="str">
        <f>"22778"</f>
        <v>22778</v>
      </c>
      <c r="E5655" t="str">
        <f t="shared" si="987"/>
        <v>1</v>
      </c>
      <c r="F5655" t="str">
        <f t="shared" si="984"/>
        <v>COM</v>
      </c>
      <c r="G5655" t="str">
        <f>"GERALDO SEVERINO DE SANTANA (729)"</f>
        <v>GERALDO SEVERINO DE SANTANA (729)</v>
      </c>
      <c r="H5655" t="str">
        <f>"Serv.Prest. 22/09/2025 a 28/09/2025 - PIX: CELULAR - CHAVE: (43) 99934-1696"</f>
        <v>Serv.Prest. 22/09/2025 a 28/09/2025 - PIX: CELULAR - CHAVE: (43) 99934-1696</v>
      </c>
      <c r="I5655" t="str">
        <f t="shared" si="985"/>
        <v>09/10/2025</v>
      </c>
      <c r="J5655" t="str">
        <f t="shared" si="989"/>
        <v>30/09/2025</v>
      </c>
      <c r="K5655" t="str">
        <f>("09/10/2025")</f>
        <v>09/10/2025</v>
      </c>
      <c r="L5655">
        <v>225.7</v>
      </c>
      <c r="M5655">
        <v>225.7</v>
      </c>
      <c r="N5655">
        <v>109</v>
      </c>
      <c r="O5655" t="str">
        <f>"PAGAMENTO DE ENTREGADORES"</f>
        <v>PAGAMENTO DE ENTREGADORES</v>
      </c>
      <c r="P5655">
        <v>225.7</v>
      </c>
      <c r="S5655" t="str">
        <f>"BANCO C6 (149)"</f>
        <v>BANCO C6 (149)</v>
      </c>
      <c r="T5655">
        <v>19978</v>
      </c>
      <c r="U5655">
        <v>22778</v>
      </c>
      <c r="V5655" t="s">
        <v>77</v>
      </c>
    </row>
    <row r="5656" spans="1:22">
      <c r="A5656" t="str">
        <f t="shared" si="990"/>
        <v>09/10/2025</v>
      </c>
      <c r="B5656" t="str">
        <f t="shared" si="983"/>
        <v>SAÍDA</v>
      </c>
      <c r="C5656" t="str">
        <f t="shared" si="986"/>
        <v>PIX</v>
      </c>
      <c r="D5656" t="str">
        <f>"22778"</f>
        <v>22778</v>
      </c>
      <c r="E5656" t="str">
        <f t="shared" si="987"/>
        <v>1</v>
      </c>
      <c r="F5656" t="str">
        <f t="shared" si="984"/>
        <v>COM</v>
      </c>
      <c r="G5656" t="str">
        <f>"GERALDO SEVERINO DE SANTANA (729)"</f>
        <v>GERALDO SEVERINO DE SANTANA (729)</v>
      </c>
      <c r="H5656" t="s">
        <v>1404</v>
      </c>
      <c r="I5656" t="str">
        <f t="shared" si="985"/>
        <v>09/10/2025</v>
      </c>
      <c r="J5656" t="str">
        <f t="shared" si="989"/>
        <v>30/09/2025</v>
      </c>
      <c r="K5656">
        <v>45939</v>
      </c>
      <c r="N5656">
        <v>109</v>
      </c>
      <c r="O5656" t="s">
        <v>24</v>
      </c>
      <c r="Q5656">
        <v>225.7</v>
      </c>
      <c r="R5656" t="str">
        <f>"AC FARMA -  FLEMINFARMA (10159)"</f>
        <v>AC FARMA -  FLEMINFARMA (10159)</v>
      </c>
      <c r="S5656" t="s">
        <v>77</v>
      </c>
      <c r="T5656">
        <v>19978</v>
      </c>
      <c r="U5656">
        <v>22778</v>
      </c>
      <c r="V5656" t="s">
        <v>77</v>
      </c>
    </row>
    <row r="5657" spans="1:22">
      <c r="A5657" t="str">
        <f t="shared" si="990"/>
        <v>09/10/2025</v>
      </c>
      <c r="B5657" t="str">
        <f t="shared" si="983"/>
        <v>SAÍDA</v>
      </c>
      <c r="C5657" t="str">
        <f t="shared" si="986"/>
        <v>PIX</v>
      </c>
      <c r="D5657" t="str">
        <f>"22779"</f>
        <v>22779</v>
      </c>
      <c r="E5657" t="str">
        <f t="shared" si="987"/>
        <v>1</v>
      </c>
      <c r="F5657" t="str">
        <f t="shared" si="984"/>
        <v>COM</v>
      </c>
      <c r="G5657" t="str">
        <f>"HELITON DE OLIVEIRA RAMOS BARBOSA (724)"</f>
        <v>HELITON DE OLIVEIRA RAMOS BARBOSA (724)</v>
      </c>
      <c r="H5657" t="str">
        <f>"Serv.Prest. 22/09/2025 a 28/09/2025 - PIX: CPF - CHAVE: 074.604.219-10"</f>
        <v>Serv.Prest. 22/09/2025 a 28/09/2025 - PIX: CPF - CHAVE: 074.604.219-10</v>
      </c>
      <c r="I5657" t="str">
        <f t="shared" si="985"/>
        <v>09/10/2025</v>
      </c>
      <c r="J5657" t="str">
        <f t="shared" si="989"/>
        <v>30/09/2025</v>
      </c>
      <c r="K5657" t="str">
        <f>("09/10/2025")</f>
        <v>09/10/2025</v>
      </c>
      <c r="L5657">
        <v>214.2</v>
      </c>
      <c r="M5657">
        <v>214.2</v>
      </c>
      <c r="N5657">
        <v>109</v>
      </c>
      <c r="O5657" t="str">
        <f>"PAGAMENTO DE ENTREGADORES"</f>
        <v>PAGAMENTO DE ENTREGADORES</v>
      </c>
      <c r="P5657">
        <v>214.2</v>
      </c>
      <c r="S5657" t="str">
        <f>"BANCO C6 (149)"</f>
        <v>BANCO C6 (149)</v>
      </c>
      <c r="T5657">
        <v>19979</v>
      </c>
      <c r="U5657">
        <v>22779</v>
      </c>
      <c r="V5657" t="s">
        <v>77</v>
      </c>
    </row>
    <row r="5658" spans="1:22">
      <c r="A5658" t="str">
        <f t="shared" si="990"/>
        <v>09/10/2025</v>
      </c>
      <c r="B5658" t="str">
        <f t="shared" si="983"/>
        <v>SAÍDA</v>
      </c>
      <c r="C5658" t="str">
        <f t="shared" si="986"/>
        <v>PIX</v>
      </c>
      <c r="D5658" t="str">
        <f>"22779"</f>
        <v>22779</v>
      </c>
      <c r="E5658" t="str">
        <f t="shared" si="987"/>
        <v>1</v>
      </c>
      <c r="F5658" t="str">
        <f t="shared" si="984"/>
        <v>COM</v>
      </c>
      <c r="G5658" t="str">
        <f>"HELITON DE OLIVEIRA RAMOS BARBOSA (724)"</f>
        <v>HELITON DE OLIVEIRA RAMOS BARBOSA (724)</v>
      </c>
      <c r="H5658" t="s">
        <v>1412</v>
      </c>
      <c r="I5658" t="str">
        <f t="shared" si="985"/>
        <v>09/10/2025</v>
      </c>
      <c r="J5658" t="str">
        <f t="shared" si="989"/>
        <v>30/09/2025</v>
      </c>
      <c r="K5658">
        <v>45939</v>
      </c>
      <c r="N5658">
        <v>109</v>
      </c>
      <c r="O5658" t="s">
        <v>24</v>
      </c>
      <c r="Q5658">
        <v>214.2</v>
      </c>
      <c r="R5658" t="str">
        <f>"AC FARMA -  FLEMINFARMA (10159)"</f>
        <v>AC FARMA -  FLEMINFARMA (10159)</v>
      </c>
      <c r="S5658" t="s">
        <v>77</v>
      </c>
      <c r="T5658">
        <v>19979</v>
      </c>
      <c r="U5658">
        <v>22779</v>
      </c>
      <c r="V5658" t="s">
        <v>77</v>
      </c>
    </row>
    <row r="5659" spans="1:22">
      <c r="A5659" t="str">
        <f t="shared" si="990"/>
        <v>09/10/2025</v>
      </c>
      <c r="B5659" t="str">
        <f t="shared" si="983"/>
        <v>SAÍDA</v>
      </c>
      <c r="C5659" t="str">
        <f t="shared" si="986"/>
        <v>PIX</v>
      </c>
      <c r="D5659" t="str">
        <f>"22781"</f>
        <v>22781</v>
      </c>
      <c r="E5659" t="str">
        <f t="shared" si="987"/>
        <v>1</v>
      </c>
      <c r="F5659" t="str">
        <f t="shared" si="984"/>
        <v>COM</v>
      </c>
      <c r="G5659" t="str">
        <f>"ALAN ACOSTA (897)"</f>
        <v>ALAN ACOSTA (897)</v>
      </c>
      <c r="H5659" t="str">
        <f>"Serv.Prest. 22/09/2025 a 28/09/2025 - PIX: E-MAIL - CHAVE: alanacosta1999@gmail.com"</f>
        <v>Serv.Prest. 22/09/2025 a 28/09/2025 - PIX: E-MAIL - CHAVE: alanacosta1999@gmail.com</v>
      </c>
      <c r="I5659" t="str">
        <f t="shared" si="985"/>
        <v>09/10/2025</v>
      </c>
      <c r="J5659" t="str">
        <f t="shared" si="989"/>
        <v>30/09/2025</v>
      </c>
      <c r="K5659" t="str">
        <f>("09/10/2025")</f>
        <v>09/10/2025</v>
      </c>
      <c r="L5659">
        <v>151.19999999999999</v>
      </c>
      <c r="M5659">
        <v>151.19999999999999</v>
      </c>
      <c r="N5659">
        <v>109</v>
      </c>
      <c r="O5659" t="str">
        <f>"PAGAMENTO DE ENTREGADORES"</f>
        <v>PAGAMENTO DE ENTREGADORES</v>
      </c>
      <c r="P5659">
        <v>151.19999999999999</v>
      </c>
      <c r="S5659" t="str">
        <f>"BANCO C6 (149)"</f>
        <v>BANCO C6 (149)</v>
      </c>
      <c r="T5659">
        <v>19980</v>
      </c>
      <c r="U5659">
        <v>22781</v>
      </c>
      <c r="V5659" t="s">
        <v>77</v>
      </c>
    </row>
    <row r="5660" spans="1:22">
      <c r="A5660" t="str">
        <f t="shared" si="990"/>
        <v>09/10/2025</v>
      </c>
      <c r="B5660" t="str">
        <f t="shared" si="983"/>
        <v>SAÍDA</v>
      </c>
      <c r="C5660" t="str">
        <f t="shared" si="986"/>
        <v>PIX</v>
      </c>
      <c r="D5660" t="str">
        <f>"22781"</f>
        <v>22781</v>
      </c>
      <c r="E5660" t="str">
        <f t="shared" si="987"/>
        <v>1</v>
      </c>
      <c r="F5660" t="str">
        <f t="shared" si="984"/>
        <v>COM</v>
      </c>
      <c r="G5660" t="str">
        <f>"ALAN ACOSTA (897)"</f>
        <v>ALAN ACOSTA (897)</v>
      </c>
      <c r="H5660" t="s">
        <v>1363</v>
      </c>
      <c r="I5660" t="str">
        <f t="shared" si="985"/>
        <v>09/10/2025</v>
      </c>
      <c r="J5660" t="str">
        <f t="shared" si="989"/>
        <v>30/09/2025</v>
      </c>
      <c r="K5660">
        <v>45939</v>
      </c>
      <c r="N5660">
        <v>109</v>
      </c>
      <c r="O5660" t="s">
        <v>24</v>
      </c>
      <c r="Q5660">
        <v>132.30000000000001</v>
      </c>
      <c r="R5660" t="str">
        <f>"AC FARMA - FLEMINFARMA 5 (10183)"</f>
        <v>AC FARMA - FLEMINFARMA 5 (10183)</v>
      </c>
      <c r="S5660" t="s">
        <v>77</v>
      </c>
      <c r="T5660">
        <v>19980</v>
      </c>
      <c r="U5660">
        <v>22781</v>
      </c>
      <c r="V5660" t="s">
        <v>77</v>
      </c>
    </row>
    <row r="5661" spans="1:22">
      <c r="A5661" t="str">
        <f t="shared" si="990"/>
        <v>09/10/2025</v>
      </c>
      <c r="B5661" t="str">
        <f t="shared" si="983"/>
        <v>SAÍDA</v>
      </c>
      <c r="C5661" t="str">
        <f t="shared" si="986"/>
        <v>PIX</v>
      </c>
      <c r="D5661" t="str">
        <f>"22781"</f>
        <v>22781</v>
      </c>
      <c r="E5661" t="str">
        <f t="shared" si="987"/>
        <v>1</v>
      </c>
      <c r="F5661" t="str">
        <f t="shared" si="984"/>
        <v>COM</v>
      </c>
      <c r="G5661" t="str">
        <f>"ALAN ACOSTA (897)"</f>
        <v>ALAN ACOSTA (897)</v>
      </c>
      <c r="H5661" t="s">
        <v>1363</v>
      </c>
      <c r="I5661" t="str">
        <f t="shared" si="985"/>
        <v>09/10/2025</v>
      </c>
      <c r="J5661" t="str">
        <f t="shared" si="989"/>
        <v>30/09/2025</v>
      </c>
      <c r="K5661">
        <v>45939</v>
      </c>
      <c r="N5661">
        <v>109</v>
      </c>
      <c r="O5661" t="s">
        <v>24</v>
      </c>
      <c r="Q5661">
        <v>18.899999999999999</v>
      </c>
      <c r="R5661" t="str">
        <f>"AC FARMA - FLEMINFARMA 6 (10184)"</f>
        <v>AC FARMA - FLEMINFARMA 6 (10184)</v>
      </c>
      <c r="S5661" t="s">
        <v>77</v>
      </c>
      <c r="T5661">
        <v>19980</v>
      </c>
      <c r="U5661">
        <v>22781</v>
      </c>
      <c r="V5661" t="s">
        <v>77</v>
      </c>
    </row>
    <row r="5662" spans="1:22">
      <c r="A5662" t="str">
        <f t="shared" si="990"/>
        <v>09/10/2025</v>
      </c>
      <c r="B5662" t="str">
        <f t="shared" si="983"/>
        <v>SAÍDA</v>
      </c>
      <c r="C5662" t="str">
        <f t="shared" si="986"/>
        <v>PIX</v>
      </c>
      <c r="D5662" t="str">
        <f>"22782"</f>
        <v>22782</v>
      </c>
      <c r="E5662" t="str">
        <f t="shared" si="987"/>
        <v>1</v>
      </c>
      <c r="F5662" t="str">
        <f t="shared" si="984"/>
        <v>COM</v>
      </c>
      <c r="G5662" t="str">
        <f>"FERNANDO MARTINS DA SILVA (701)"</f>
        <v>FERNANDO MARTINS DA SILVA (701)</v>
      </c>
      <c r="H5662" t="str">
        <f>"Serv.Prest. 22/09/2025 a 28/09/2025 - PIX: CPF - CHAVE: 004.682.359-06"</f>
        <v>Serv.Prest. 22/09/2025 a 28/09/2025 - PIX: CPF - CHAVE: 004.682.359-06</v>
      </c>
      <c r="I5662" t="str">
        <f t="shared" si="985"/>
        <v>09/10/2025</v>
      </c>
      <c r="J5662" t="str">
        <f t="shared" si="989"/>
        <v>30/09/2025</v>
      </c>
      <c r="K5662" t="str">
        <f>("09/10/2025")</f>
        <v>09/10/2025</v>
      </c>
      <c r="L5662">
        <v>126</v>
      </c>
      <c r="M5662">
        <v>126</v>
      </c>
      <c r="N5662">
        <v>109</v>
      </c>
      <c r="O5662" t="str">
        <f>"PAGAMENTO DE ENTREGADORES"</f>
        <v>PAGAMENTO DE ENTREGADORES</v>
      </c>
      <c r="P5662">
        <v>126</v>
      </c>
      <c r="S5662" t="str">
        <f>"BANCO C6 (149)"</f>
        <v>BANCO C6 (149)</v>
      </c>
      <c r="T5662">
        <v>19981</v>
      </c>
      <c r="U5662">
        <v>22782</v>
      </c>
      <c r="V5662" t="s">
        <v>77</v>
      </c>
    </row>
    <row r="5663" spans="1:22">
      <c r="A5663" t="str">
        <f t="shared" si="990"/>
        <v>09/10/2025</v>
      </c>
      <c r="B5663" t="str">
        <f t="shared" si="983"/>
        <v>SAÍDA</v>
      </c>
      <c r="C5663" t="str">
        <f t="shared" si="986"/>
        <v>PIX</v>
      </c>
      <c r="D5663" t="str">
        <f>"22782"</f>
        <v>22782</v>
      </c>
      <c r="E5663" t="str">
        <f t="shared" si="987"/>
        <v>1</v>
      </c>
      <c r="F5663" t="str">
        <f t="shared" si="984"/>
        <v>COM</v>
      </c>
      <c r="G5663" t="str">
        <f>"FERNANDO MARTINS DA SILVA (701)"</f>
        <v>FERNANDO MARTINS DA SILVA (701)</v>
      </c>
      <c r="H5663" t="s">
        <v>1400</v>
      </c>
      <c r="I5663" t="str">
        <f t="shared" si="985"/>
        <v>09/10/2025</v>
      </c>
      <c r="J5663" t="str">
        <f t="shared" si="989"/>
        <v>30/09/2025</v>
      </c>
      <c r="K5663">
        <v>45939</v>
      </c>
      <c r="N5663">
        <v>109</v>
      </c>
      <c r="O5663" t="s">
        <v>24</v>
      </c>
      <c r="Q5663">
        <v>126</v>
      </c>
      <c r="R5663" t="str">
        <f>"AC FARMA - FLEMINFARMA 5 (10183)"</f>
        <v>AC FARMA - FLEMINFARMA 5 (10183)</v>
      </c>
      <c r="S5663" t="s">
        <v>77</v>
      </c>
      <c r="T5663">
        <v>19981</v>
      </c>
      <c r="U5663">
        <v>22782</v>
      </c>
      <c r="V5663" t="s">
        <v>77</v>
      </c>
    </row>
    <row r="5664" spans="1:22">
      <c r="A5664" t="str">
        <f t="shared" si="990"/>
        <v>09/10/2025</v>
      </c>
      <c r="B5664" t="str">
        <f t="shared" si="983"/>
        <v>SAÍDA</v>
      </c>
      <c r="C5664" t="str">
        <f t="shared" si="986"/>
        <v>PIX</v>
      </c>
      <c r="D5664" t="str">
        <f>"22783"</f>
        <v>22783</v>
      </c>
      <c r="E5664" t="str">
        <f t="shared" si="987"/>
        <v>1</v>
      </c>
      <c r="F5664" t="str">
        <f t="shared" si="984"/>
        <v>COM</v>
      </c>
      <c r="G5664" t="str">
        <f>"GERALDO SEVERINO DE SANTANA (729)"</f>
        <v>GERALDO SEVERINO DE SANTANA (729)</v>
      </c>
      <c r="H5664" t="str">
        <f>"Serv.Prest. 22/09/2025 a 28/09/2025 - PIX: CELULAR - CHAVE: (43) 99934-1696"</f>
        <v>Serv.Prest. 22/09/2025 a 28/09/2025 - PIX: CELULAR - CHAVE: (43) 99934-1696</v>
      </c>
      <c r="I5664" t="str">
        <f t="shared" si="985"/>
        <v>09/10/2025</v>
      </c>
      <c r="J5664" t="str">
        <f t="shared" si="989"/>
        <v>30/09/2025</v>
      </c>
      <c r="K5664" t="str">
        <f>("09/10/2025")</f>
        <v>09/10/2025</v>
      </c>
      <c r="L5664">
        <v>81.900000000000006</v>
      </c>
      <c r="M5664">
        <v>81.900000000000006</v>
      </c>
      <c r="N5664">
        <v>109</v>
      </c>
      <c r="O5664" t="str">
        <f>"PAGAMENTO DE ENTREGADORES"</f>
        <v>PAGAMENTO DE ENTREGADORES</v>
      </c>
      <c r="P5664">
        <v>81.900000000000006</v>
      </c>
      <c r="S5664" t="str">
        <f>"BANCO C6 (149)"</f>
        <v>BANCO C6 (149)</v>
      </c>
      <c r="T5664">
        <v>19982</v>
      </c>
      <c r="U5664">
        <v>22783</v>
      </c>
      <c r="V5664" t="s">
        <v>77</v>
      </c>
    </row>
    <row r="5665" spans="1:22">
      <c r="A5665" t="str">
        <f t="shared" si="990"/>
        <v>09/10/2025</v>
      </c>
      <c r="B5665" t="str">
        <f t="shared" si="983"/>
        <v>SAÍDA</v>
      </c>
      <c r="C5665" t="str">
        <f t="shared" si="986"/>
        <v>PIX</v>
      </c>
      <c r="D5665" t="str">
        <f>"22783"</f>
        <v>22783</v>
      </c>
      <c r="E5665" t="str">
        <f t="shared" si="987"/>
        <v>1</v>
      </c>
      <c r="F5665" t="str">
        <f t="shared" si="984"/>
        <v>COM</v>
      </c>
      <c r="G5665" t="str">
        <f>"GERALDO SEVERINO DE SANTANA (729)"</f>
        <v>GERALDO SEVERINO DE SANTANA (729)</v>
      </c>
      <c r="H5665" t="s">
        <v>1404</v>
      </c>
      <c r="I5665" t="str">
        <f t="shared" si="985"/>
        <v>09/10/2025</v>
      </c>
      <c r="J5665" t="str">
        <f t="shared" si="989"/>
        <v>30/09/2025</v>
      </c>
      <c r="K5665">
        <v>45939</v>
      </c>
      <c r="N5665">
        <v>109</v>
      </c>
      <c r="O5665" t="s">
        <v>24</v>
      </c>
      <c r="Q5665">
        <v>81.900000000000006</v>
      </c>
      <c r="R5665" t="str">
        <f>"AC FARMA - FLEMINFARMA 5 (10183)"</f>
        <v>AC FARMA - FLEMINFARMA 5 (10183)</v>
      </c>
      <c r="S5665" t="s">
        <v>77</v>
      </c>
      <c r="T5665">
        <v>19982</v>
      </c>
      <c r="U5665">
        <v>22783</v>
      </c>
      <c r="V5665" t="s">
        <v>77</v>
      </c>
    </row>
    <row r="5666" spans="1:22">
      <c r="A5666" t="str">
        <f t="shared" si="990"/>
        <v>09/10/2025</v>
      </c>
      <c r="B5666" t="str">
        <f t="shared" si="983"/>
        <v>SAÍDA</v>
      </c>
      <c r="C5666" t="str">
        <f t="shared" si="986"/>
        <v>PIX</v>
      </c>
      <c r="D5666" t="str">
        <f>"22784"</f>
        <v>22784</v>
      </c>
      <c r="E5666" t="str">
        <f t="shared" si="987"/>
        <v>1</v>
      </c>
      <c r="F5666" t="str">
        <f t="shared" si="984"/>
        <v>COM</v>
      </c>
      <c r="G5666" t="str">
        <f>"HELITON DE OLIVEIRA RAMOS BARBOSA (724)"</f>
        <v>HELITON DE OLIVEIRA RAMOS BARBOSA (724)</v>
      </c>
      <c r="H5666" t="str">
        <f>"Serv.Prest. 22/09/2025 a 28/09/2025 - PIX: CPF - CHAVE: 074.604.219-10"</f>
        <v>Serv.Prest. 22/09/2025 a 28/09/2025 - PIX: CPF - CHAVE: 074.604.219-10</v>
      </c>
      <c r="I5666" t="str">
        <f t="shared" si="985"/>
        <v>09/10/2025</v>
      </c>
      <c r="J5666" t="str">
        <f t="shared" si="989"/>
        <v>30/09/2025</v>
      </c>
      <c r="K5666" t="str">
        <f>("09/10/2025")</f>
        <v>09/10/2025</v>
      </c>
      <c r="L5666">
        <v>151.19999999999999</v>
      </c>
      <c r="M5666">
        <v>151.19999999999999</v>
      </c>
      <c r="N5666">
        <v>109</v>
      </c>
      <c r="O5666" t="str">
        <f>"PAGAMENTO DE ENTREGADORES"</f>
        <v>PAGAMENTO DE ENTREGADORES</v>
      </c>
      <c r="P5666">
        <v>151.19999999999999</v>
      </c>
      <c r="S5666" t="str">
        <f>"BANCO C6 (149)"</f>
        <v>BANCO C6 (149)</v>
      </c>
      <c r="T5666">
        <v>19983</v>
      </c>
      <c r="U5666">
        <v>22784</v>
      </c>
      <c r="V5666" t="s">
        <v>77</v>
      </c>
    </row>
    <row r="5667" spans="1:22">
      <c r="A5667" t="str">
        <f t="shared" si="990"/>
        <v>09/10/2025</v>
      </c>
      <c r="B5667" t="str">
        <f t="shared" si="983"/>
        <v>SAÍDA</v>
      </c>
      <c r="C5667" t="str">
        <f t="shared" si="986"/>
        <v>PIX</v>
      </c>
      <c r="D5667" t="str">
        <f>"22784"</f>
        <v>22784</v>
      </c>
      <c r="E5667" t="str">
        <f t="shared" si="987"/>
        <v>1</v>
      </c>
      <c r="F5667" t="str">
        <f t="shared" si="984"/>
        <v>COM</v>
      </c>
      <c r="G5667" t="str">
        <f>"HELITON DE OLIVEIRA RAMOS BARBOSA (724)"</f>
        <v>HELITON DE OLIVEIRA RAMOS BARBOSA (724)</v>
      </c>
      <c r="H5667" t="s">
        <v>1412</v>
      </c>
      <c r="I5667" t="str">
        <f t="shared" si="985"/>
        <v>09/10/2025</v>
      </c>
      <c r="J5667" t="str">
        <f t="shared" si="989"/>
        <v>30/09/2025</v>
      </c>
      <c r="K5667">
        <v>45939</v>
      </c>
      <c r="N5667">
        <v>109</v>
      </c>
      <c r="O5667" t="s">
        <v>24</v>
      </c>
      <c r="Q5667">
        <v>151.19999999999999</v>
      </c>
      <c r="R5667" t="str">
        <f>"AC FARMA - FLEMINFARMA 5 (10183)"</f>
        <v>AC FARMA - FLEMINFARMA 5 (10183)</v>
      </c>
      <c r="S5667" t="s">
        <v>77</v>
      </c>
      <c r="T5667">
        <v>19983</v>
      </c>
      <c r="U5667">
        <v>22784</v>
      </c>
      <c r="V5667" t="s">
        <v>77</v>
      </c>
    </row>
    <row r="5668" spans="1:22">
      <c r="A5668" t="str">
        <f t="shared" si="990"/>
        <v>09/10/2025</v>
      </c>
      <c r="B5668" t="str">
        <f t="shared" si="983"/>
        <v>SAÍDA</v>
      </c>
      <c r="C5668" t="str">
        <f t="shared" si="986"/>
        <v>PIX</v>
      </c>
      <c r="D5668" t="str">
        <f>"22805"</f>
        <v>22805</v>
      </c>
      <c r="E5668" t="str">
        <f t="shared" si="987"/>
        <v>1</v>
      </c>
      <c r="F5668" t="str">
        <f t="shared" si="984"/>
        <v>COM</v>
      </c>
      <c r="G5668" t="str">
        <f>"DEIVID FERNANDES COSTA (828)"</f>
        <v>DEIVID FERNANDES COSTA (828)</v>
      </c>
      <c r="H5668" t="str">
        <f>"Serv.Prest. 29/09/2025 a 05/10/2025 - PIX: CELULAR - CHAVE: (62) 99550-3226"</f>
        <v>Serv.Prest. 29/09/2025 a 05/10/2025 - PIX: CELULAR - CHAVE: (62) 99550-3226</v>
      </c>
      <c r="I5668" t="str">
        <f t="shared" si="985"/>
        <v>09/10/2025</v>
      </c>
      <c r="J5668" t="str">
        <f t="shared" ref="J5668:J5699" si="991">("06/10/2025")</f>
        <v>06/10/2025</v>
      </c>
      <c r="K5668" t="str">
        <f>("09/10/2025")</f>
        <v>09/10/2025</v>
      </c>
      <c r="L5668">
        <v>682.1</v>
      </c>
      <c r="M5668">
        <v>682.1</v>
      </c>
      <c r="N5668">
        <v>109</v>
      </c>
      <c r="O5668" t="str">
        <f>"PAGAMENTO DE ENTREGADORES"</f>
        <v>PAGAMENTO DE ENTREGADORES</v>
      </c>
      <c r="P5668">
        <v>682.1</v>
      </c>
      <c r="S5668" t="str">
        <f>"BANCO C6 (149)"</f>
        <v>BANCO C6 (149)</v>
      </c>
      <c r="T5668">
        <v>19984</v>
      </c>
      <c r="U5668">
        <v>22805</v>
      </c>
      <c r="V5668" t="s">
        <v>77</v>
      </c>
    </row>
    <row r="5669" spans="1:22">
      <c r="A5669" t="str">
        <f t="shared" si="990"/>
        <v>09/10/2025</v>
      </c>
      <c r="B5669" t="str">
        <f t="shared" si="983"/>
        <v>SAÍDA</v>
      </c>
      <c r="C5669" t="str">
        <f t="shared" si="986"/>
        <v>PIX</v>
      </c>
      <c r="D5669" t="str">
        <f>"22805"</f>
        <v>22805</v>
      </c>
      <c r="E5669" t="str">
        <f t="shared" si="987"/>
        <v>1</v>
      </c>
      <c r="F5669" t="str">
        <f t="shared" si="984"/>
        <v>COM</v>
      </c>
      <c r="G5669" t="str">
        <f>"DEIVID FERNANDES COSTA (828)"</f>
        <v>DEIVID FERNANDES COSTA (828)</v>
      </c>
      <c r="H5669" t="s">
        <v>1385</v>
      </c>
      <c r="I5669" t="str">
        <f t="shared" si="985"/>
        <v>09/10/2025</v>
      </c>
      <c r="J5669" t="str">
        <f t="shared" si="991"/>
        <v>06/10/2025</v>
      </c>
      <c r="K5669">
        <v>45939</v>
      </c>
      <c r="N5669">
        <v>109</v>
      </c>
      <c r="O5669" t="s">
        <v>24</v>
      </c>
      <c r="Q5669">
        <v>682.1</v>
      </c>
      <c r="R5669" t="str">
        <f>"BRASIL FARMA (10173)"</f>
        <v>BRASIL FARMA (10173)</v>
      </c>
      <c r="S5669" t="s">
        <v>77</v>
      </c>
      <c r="T5669">
        <v>19984</v>
      </c>
      <c r="U5669">
        <v>22805</v>
      </c>
      <c r="V5669" t="s">
        <v>77</v>
      </c>
    </row>
    <row r="5670" spans="1:22">
      <c r="A5670" t="str">
        <f t="shared" si="990"/>
        <v>09/10/2025</v>
      </c>
      <c r="B5670" t="str">
        <f t="shared" si="983"/>
        <v>SAÍDA</v>
      </c>
      <c r="C5670" t="str">
        <f t="shared" si="986"/>
        <v>PIX</v>
      </c>
      <c r="D5670" t="str">
        <f>"22806"</f>
        <v>22806</v>
      </c>
      <c r="E5670" t="str">
        <f t="shared" si="987"/>
        <v>1</v>
      </c>
      <c r="F5670" t="str">
        <f t="shared" si="984"/>
        <v>COM</v>
      </c>
      <c r="G5670" t="str">
        <f>"MAYKON LOPES DE MENEZES (781)"</f>
        <v>MAYKON LOPES DE MENEZES (781)</v>
      </c>
      <c r="H5670" t="str">
        <f>"Serv.Prest. 29/09/2025 a 05/10/2025 - PIX: CPF - CHAVE: 012.600.851-55"</f>
        <v>Serv.Prest. 29/09/2025 a 05/10/2025 - PIX: CPF - CHAVE: 012.600.851-55</v>
      </c>
      <c r="I5670" t="str">
        <f t="shared" si="985"/>
        <v>09/10/2025</v>
      </c>
      <c r="J5670" t="str">
        <f t="shared" si="991"/>
        <v>06/10/2025</v>
      </c>
      <c r="K5670" t="str">
        <f>("09/10/2025")</f>
        <v>09/10/2025</v>
      </c>
      <c r="L5670">
        <v>507.1</v>
      </c>
      <c r="M5670">
        <v>507.1</v>
      </c>
      <c r="N5670">
        <v>109</v>
      </c>
      <c r="O5670" t="str">
        <f>"PAGAMENTO DE ENTREGADORES"</f>
        <v>PAGAMENTO DE ENTREGADORES</v>
      </c>
      <c r="P5670">
        <v>507.1</v>
      </c>
      <c r="S5670" t="str">
        <f>"BANCO C6 (149)"</f>
        <v>BANCO C6 (149)</v>
      </c>
      <c r="T5670">
        <v>19985</v>
      </c>
      <c r="U5670">
        <v>22806</v>
      </c>
      <c r="V5670" t="s">
        <v>77</v>
      </c>
    </row>
    <row r="5671" spans="1:22">
      <c r="A5671" t="str">
        <f t="shared" si="990"/>
        <v>09/10/2025</v>
      </c>
      <c r="B5671" t="str">
        <f t="shared" si="983"/>
        <v>SAÍDA</v>
      </c>
      <c r="C5671" t="str">
        <f t="shared" si="986"/>
        <v>PIX</v>
      </c>
      <c r="D5671" t="str">
        <f>"22806"</f>
        <v>22806</v>
      </c>
      <c r="E5671" t="str">
        <f t="shared" si="987"/>
        <v>1</v>
      </c>
      <c r="F5671" t="str">
        <f t="shared" si="984"/>
        <v>COM</v>
      </c>
      <c r="G5671" t="str">
        <f>"MAYKON LOPES DE MENEZES (781)"</f>
        <v>MAYKON LOPES DE MENEZES (781)</v>
      </c>
      <c r="H5671" t="s">
        <v>1464</v>
      </c>
      <c r="I5671" t="str">
        <f t="shared" si="985"/>
        <v>09/10/2025</v>
      </c>
      <c r="J5671" t="str">
        <f t="shared" si="991"/>
        <v>06/10/2025</v>
      </c>
      <c r="K5671">
        <v>45939</v>
      </c>
      <c r="N5671">
        <v>109</v>
      </c>
      <c r="O5671" t="s">
        <v>24</v>
      </c>
      <c r="Q5671">
        <v>507.1</v>
      </c>
      <c r="R5671" t="str">
        <f>"BRASIL FARMA (10173)"</f>
        <v>BRASIL FARMA (10173)</v>
      </c>
      <c r="S5671" t="s">
        <v>77</v>
      </c>
      <c r="T5671">
        <v>19985</v>
      </c>
      <c r="U5671">
        <v>22806</v>
      </c>
      <c r="V5671" t="s">
        <v>77</v>
      </c>
    </row>
    <row r="5672" spans="1:22">
      <c r="A5672" t="str">
        <f t="shared" si="990"/>
        <v>09/10/2025</v>
      </c>
      <c r="B5672" t="str">
        <f t="shared" si="983"/>
        <v>SAÍDA</v>
      </c>
      <c r="C5672" t="str">
        <f t="shared" si="986"/>
        <v>PIX</v>
      </c>
      <c r="D5672" t="str">
        <f>"22809"</f>
        <v>22809</v>
      </c>
      <c r="E5672" t="str">
        <f t="shared" si="987"/>
        <v>1</v>
      </c>
      <c r="F5672" t="str">
        <f t="shared" si="984"/>
        <v>COM</v>
      </c>
      <c r="G5672" t="str">
        <f>"EDUARDO COSTA DA SILVA (721)"</f>
        <v>EDUARDO COSTA DA SILVA (721)</v>
      </c>
      <c r="H5672" t="str">
        <f>"Serv.Prest. 29/09/2025 a 05/10/2025 - PIX: CELULAR - CHAVE: (11) 95552-9905"</f>
        <v>Serv.Prest. 29/09/2025 a 05/10/2025 - PIX: CELULAR - CHAVE: (11) 95552-9905</v>
      </c>
      <c r="I5672" t="str">
        <f t="shared" si="985"/>
        <v>09/10/2025</v>
      </c>
      <c r="J5672" t="str">
        <f t="shared" si="991"/>
        <v>06/10/2025</v>
      </c>
      <c r="K5672" t="str">
        <f>("09/10/2025")</f>
        <v>09/10/2025</v>
      </c>
      <c r="L5672">
        <v>1038.4000000000001</v>
      </c>
      <c r="M5672">
        <v>1038.4000000000001</v>
      </c>
      <c r="N5672">
        <v>109</v>
      </c>
      <c r="O5672" t="str">
        <f>"PAGAMENTO DE ENTREGADORES"</f>
        <v>PAGAMENTO DE ENTREGADORES</v>
      </c>
      <c r="P5672">
        <v>1038.4000000000001</v>
      </c>
      <c r="S5672" t="str">
        <f>"BANCO C6 (149)"</f>
        <v>BANCO C6 (149)</v>
      </c>
      <c r="T5672">
        <v>19986</v>
      </c>
      <c r="U5672">
        <v>22809</v>
      </c>
      <c r="V5672" t="s">
        <v>77</v>
      </c>
    </row>
    <row r="5673" spans="1:22">
      <c r="A5673" t="str">
        <f t="shared" si="990"/>
        <v>09/10/2025</v>
      </c>
      <c r="B5673" t="str">
        <f t="shared" si="983"/>
        <v>SAÍDA</v>
      </c>
      <c r="C5673" t="str">
        <f t="shared" si="986"/>
        <v>PIX</v>
      </c>
      <c r="D5673" t="str">
        <f>"22809"</f>
        <v>22809</v>
      </c>
      <c r="E5673" t="str">
        <f t="shared" si="987"/>
        <v>1</v>
      </c>
      <c r="F5673" t="str">
        <f t="shared" si="984"/>
        <v>COM</v>
      </c>
      <c r="G5673" t="str">
        <f>"EDUARDO COSTA DA SILVA (721)"</f>
        <v>EDUARDO COSTA DA SILVA (721)</v>
      </c>
      <c r="H5673" t="s">
        <v>1390</v>
      </c>
      <c r="I5673" t="str">
        <f t="shared" si="985"/>
        <v>09/10/2025</v>
      </c>
      <c r="J5673" t="str">
        <f t="shared" si="991"/>
        <v>06/10/2025</v>
      </c>
      <c r="K5673">
        <v>45939</v>
      </c>
      <c r="N5673">
        <v>109</v>
      </c>
      <c r="O5673" t="s">
        <v>24</v>
      </c>
      <c r="Q5673">
        <v>1038.4000000000001</v>
      </c>
      <c r="R5673" t="str">
        <f>"DROGARIA AGAPEAMA (10167)"</f>
        <v>DROGARIA AGAPEAMA (10167)</v>
      </c>
      <c r="S5673" t="s">
        <v>77</v>
      </c>
      <c r="T5673">
        <v>19986</v>
      </c>
      <c r="U5673">
        <v>22809</v>
      </c>
      <c r="V5673" t="s">
        <v>77</v>
      </c>
    </row>
    <row r="5674" spans="1:22">
      <c r="A5674" t="str">
        <f t="shared" si="990"/>
        <v>09/10/2025</v>
      </c>
      <c r="B5674" t="str">
        <f t="shared" si="983"/>
        <v>SAÍDA</v>
      </c>
      <c r="C5674" t="str">
        <f t="shared" si="986"/>
        <v>PIX</v>
      </c>
      <c r="D5674" t="str">
        <f>"22810"</f>
        <v>22810</v>
      </c>
      <c r="E5674" t="str">
        <f t="shared" si="987"/>
        <v>1</v>
      </c>
      <c r="F5674" t="str">
        <f t="shared" si="984"/>
        <v>COM</v>
      </c>
      <c r="G5674" t="str">
        <f>"GUILHERME DA SILVA GOMES (901)"</f>
        <v>GUILHERME DA SILVA GOMES (901)</v>
      </c>
      <c r="H5674" t="str">
        <f>"Serv.Prest. 29/09/2025 a 05/10/2025 - PIX: CPF - CHAVE: 505.341.528-56"</f>
        <v>Serv.Prest. 29/09/2025 a 05/10/2025 - PIX: CPF - CHAVE: 505.341.528-56</v>
      </c>
      <c r="I5674" t="str">
        <f t="shared" si="985"/>
        <v>09/10/2025</v>
      </c>
      <c r="J5674" t="str">
        <f t="shared" si="991"/>
        <v>06/10/2025</v>
      </c>
      <c r="K5674" t="str">
        <f>("09/10/2025")</f>
        <v>09/10/2025</v>
      </c>
      <c r="L5674">
        <v>912.4</v>
      </c>
      <c r="M5674">
        <v>912.4</v>
      </c>
      <c r="N5674">
        <v>109</v>
      </c>
      <c r="O5674" t="str">
        <f>"PAGAMENTO DE ENTREGADORES"</f>
        <v>PAGAMENTO DE ENTREGADORES</v>
      </c>
      <c r="P5674">
        <v>912.4</v>
      </c>
      <c r="S5674" t="str">
        <f>"BANCO C6 (149)"</f>
        <v>BANCO C6 (149)</v>
      </c>
      <c r="T5674">
        <v>19987</v>
      </c>
      <c r="U5674">
        <v>22810</v>
      </c>
      <c r="V5674" t="s">
        <v>77</v>
      </c>
    </row>
    <row r="5675" spans="1:22">
      <c r="A5675" t="str">
        <f t="shared" si="990"/>
        <v>09/10/2025</v>
      </c>
      <c r="B5675" t="str">
        <f t="shared" ref="B5675:B5738" si="992">"SAÍDA"</f>
        <v>SAÍDA</v>
      </c>
      <c r="C5675" t="str">
        <f t="shared" si="986"/>
        <v>PIX</v>
      </c>
      <c r="D5675" t="str">
        <f>"22810"</f>
        <v>22810</v>
      </c>
      <c r="E5675" t="str">
        <f t="shared" si="987"/>
        <v>1</v>
      </c>
      <c r="F5675" t="str">
        <f t="shared" si="984"/>
        <v>COM</v>
      </c>
      <c r="G5675" t="str">
        <f>"GUILHERME DA SILVA GOMES (901)"</f>
        <v>GUILHERME DA SILVA GOMES (901)</v>
      </c>
      <c r="H5675" t="s">
        <v>1406</v>
      </c>
      <c r="I5675" t="str">
        <f t="shared" si="985"/>
        <v>09/10/2025</v>
      </c>
      <c r="J5675" t="str">
        <f t="shared" si="991"/>
        <v>06/10/2025</v>
      </c>
      <c r="K5675">
        <v>45939</v>
      </c>
      <c r="N5675">
        <v>109</v>
      </c>
      <c r="O5675" t="s">
        <v>24</v>
      </c>
      <c r="Q5675">
        <v>912.4</v>
      </c>
      <c r="R5675" t="str">
        <f>"DROGARIA AGAPEAMA (10167)"</f>
        <v>DROGARIA AGAPEAMA (10167)</v>
      </c>
      <c r="S5675" t="s">
        <v>77</v>
      </c>
      <c r="T5675">
        <v>19987</v>
      </c>
      <c r="U5675">
        <v>22810</v>
      </c>
      <c r="V5675" t="s">
        <v>77</v>
      </c>
    </row>
    <row r="5676" spans="1:22">
      <c r="A5676" t="str">
        <f t="shared" si="990"/>
        <v>09/10/2025</v>
      </c>
      <c r="B5676" t="str">
        <f t="shared" si="992"/>
        <v>SAÍDA</v>
      </c>
      <c r="C5676" t="str">
        <f t="shared" si="986"/>
        <v>PIX</v>
      </c>
      <c r="D5676" t="str">
        <f>"22811"</f>
        <v>22811</v>
      </c>
      <c r="E5676" t="str">
        <f t="shared" si="987"/>
        <v>1</v>
      </c>
      <c r="F5676" t="str">
        <f t="shared" si="984"/>
        <v>COM</v>
      </c>
      <c r="G5676" t="str">
        <f>"WESLEY RICARDO DE OLIVEIRA (722)"</f>
        <v>WESLEY RICARDO DE OLIVEIRA (722)</v>
      </c>
      <c r="H5676" t="str">
        <f>"Serv.Prest. 29/09/2025 a 05/10/2025 - PIX: CELULAR - CHAVE: (11) 91214-6176"</f>
        <v>Serv.Prest. 29/09/2025 a 05/10/2025 - PIX: CELULAR - CHAVE: (11) 91214-6176</v>
      </c>
      <c r="I5676" t="str">
        <f t="shared" si="985"/>
        <v>09/10/2025</v>
      </c>
      <c r="J5676" t="str">
        <f t="shared" si="991"/>
        <v>06/10/2025</v>
      </c>
      <c r="K5676" t="str">
        <f>("09/10/2025")</f>
        <v>09/10/2025</v>
      </c>
      <c r="L5676">
        <v>729.7</v>
      </c>
      <c r="M5676">
        <v>729.7</v>
      </c>
      <c r="N5676">
        <v>109</v>
      </c>
      <c r="O5676" t="str">
        <f>"PAGAMENTO DE ENTREGADORES"</f>
        <v>PAGAMENTO DE ENTREGADORES</v>
      </c>
      <c r="P5676">
        <v>729.7</v>
      </c>
      <c r="S5676" t="str">
        <f>"BANCO C6 (149)"</f>
        <v>BANCO C6 (149)</v>
      </c>
      <c r="T5676">
        <v>19988</v>
      </c>
      <c r="U5676">
        <v>22811</v>
      </c>
      <c r="V5676" t="s">
        <v>77</v>
      </c>
    </row>
    <row r="5677" spans="1:22">
      <c r="A5677" t="str">
        <f t="shared" si="990"/>
        <v>09/10/2025</v>
      </c>
      <c r="B5677" t="str">
        <f t="shared" si="992"/>
        <v>SAÍDA</v>
      </c>
      <c r="C5677" t="str">
        <f t="shared" si="986"/>
        <v>PIX</v>
      </c>
      <c r="D5677" t="str">
        <f>"22811"</f>
        <v>22811</v>
      </c>
      <c r="E5677" t="str">
        <f t="shared" si="987"/>
        <v>1</v>
      </c>
      <c r="F5677" t="str">
        <f t="shared" si="984"/>
        <v>COM</v>
      </c>
      <c r="G5677" t="str">
        <f>"WESLEY RICARDO DE OLIVEIRA (722)"</f>
        <v>WESLEY RICARDO DE OLIVEIRA (722)</v>
      </c>
      <c r="H5677" t="s">
        <v>1497</v>
      </c>
      <c r="I5677" t="str">
        <f t="shared" si="985"/>
        <v>09/10/2025</v>
      </c>
      <c r="J5677" t="str">
        <f t="shared" si="991"/>
        <v>06/10/2025</v>
      </c>
      <c r="K5677">
        <v>45939</v>
      </c>
      <c r="N5677">
        <v>109</v>
      </c>
      <c r="O5677" t="s">
        <v>24</v>
      </c>
      <c r="Q5677">
        <v>729.7</v>
      </c>
      <c r="R5677" t="str">
        <f>"DROGARIA AGAPEAMA (10167)"</f>
        <v>DROGARIA AGAPEAMA (10167)</v>
      </c>
      <c r="S5677" t="s">
        <v>77</v>
      </c>
      <c r="T5677">
        <v>19988</v>
      </c>
      <c r="U5677">
        <v>22811</v>
      </c>
      <c r="V5677" t="s">
        <v>77</v>
      </c>
    </row>
    <row r="5678" spans="1:22">
      <c r="A5678" t="str">
        <f t="shared" si="990"/>
        <v>09/10/2025</v>
      </c>
      <c r="B5678" t="str">
        <f t="shared" si="992"/>
        <v>SAÍDA</v>
      </c>
      <c r="C5678" t="str">
        <f t="shared" si="986"/>
        <v>PIX</v>
      </c>
      <c r="D5678" t="str">
        <f>"22813"</f>
        <v>22813</v>
      </c>
      <c r="E5678" t="str">
        <f t="shared" si="987"/>
        <v>1</v>
      </c>
      <c r="F5678" t="str">
        <f t="shared" ref="F5678:F5741" si="993">"COM"</f>
        <v>COM</v>
      </c>
      <c r="G5678" t="str">
        <f>"ALEXSANDRO HENRIQUE FERREIRA (808)"</f>
        <v>ALEXSANDRO HENRIQUE FERREIRA (808)</v>
      </c>
      <c r="H5678" t="str">
        <f>"Serv.Prest. 29/09/2025 a 05/10/2025 - PIX: CPF - CHAVE: 157.591.436-03"</f>
        <v>Serv.Prest. 29/09/2025 a 05/10/2025 - PIX: CPF - CHAVE: 157.591.436-03</v>
      </c>
      <c r="I5678" t="str">
        <f t="shared" si="985"/>
        <v>09/10/2025</v>
      </c>
      <c r="J5678" t="str">
        <f t="shared" si="991"/>
        <v>06/10/2025</v>
      </c>
      <c r="K5678" t="str">
        <f>("09/10/2025")</f>
        <v>09/10/2025</v>
      </c>
      <c r="L5678">
        <v>734.05</v>
      </c>
      <c r="M5678">
        <v>734.05</v>
      </c>
      <c r="N5678">
        <v>109</v>
      </c>
      <c r="O5678" t="str">
        <f>"PAGAMENTO DE ENTREGADORES"</f>
        <v>PAGAMENTO DE ENTREGADORES</v>
      </c>
      <c r="P5678">
        <v>734.05</v>
      </c>
      <c r="S5678" t="str">
        <f>"BANCO C6 (149)"</f>
        <v>BANCO C6 (149)</v>
      </c>
      <c r="T5678">
        <v>19989</v>
      </c>
      <c r="U5678">
        <v>22813</v>
      </c>
      <c r="V5678" t="s">
        <v>77</v>
      </c>
    </row>
    <row r="5679" spans="1:22">
      <c r="A5679" t="str">
        <f t="shared" si="990"/>
        <v>09/10/2025</v>
      </c>
      <c r="B5679" t="str">
        <f t="shared" si="992"/>
        <v>SAÍDA</v>
      </c>
      <c r="C5679" t="str">
        <f t="shared" si="986"/>
        <v>PIX</v>
      </c>
      <c r="D5679" t="str">
        <f>"22813"</f>
        <v>22813</v>
      </c>
      <c r="E5679" t="str">
        <f t="shared" si="987"/>
        <v>1</v>
      </c>
      <c r="F5679" t="str">
        <f t="shared" si="993"/>
        <v>COM</v>
      </c>
      <c r="G5679" t="str">
        <f>"ALEXSANDRO HENRIQUE FERREIRA (808)"</f>
        <v>ALEXSANDRO HENRIQUE FERREIRA (808)</v>
      </c>
      <c r="H5679" t="s">
        <v>1335</v>
      </c>
      <c r="I5679" t="str">
        <f t="shared" si="985"/>
        <v>09/10/2025</v>
      </c>
      <c r="J5679" t="str">
        <f t="shared" si="991"/>
        <v>06/10/2025</v>
      </c>
      <c r="K5679">
        <v>45939</v>
      </c>
      <c r="N5679">
        <v>109</v>
      </c>
      <c r="O5679" t="s">
        <v>24</v>
      </c>
      <c r="Q5679">
        <v>734.05</v>
      </c>
      <c r="R5679" t="str">
        <f>"DROGARIA ANA VISCONDE DO RIO BRANCO (10182)"</f>
        <v>DROGARIA ANA VISCONDE DO RIO BRANCO (10182)</v>
      </c>
      <c r="S5679" t="s">
        <v>77</v>
      </c>
      <c r="T5679">
        <v>19989</v>
      </c>
      <c r="U5679">
        <v>22813</v>
      </c>
      <c r="V5679" t="s">
        <v>77</v>
      </c>
    </row>
    <row r="5680" spans="1:22">
      <c r="A5680" t="str">
        <f t="shared" si="990"/>
        <v>09/10/2025</v>
      </c>
      <c r="B5680" t="str">
        <f t="shared" si="992"/>
        <v>SAÍDA</v>
      </c>
      <c r="C5680" t="str">
        <f t="shared" si="986"/>
        <v>PIX</v>
      </c>
      <c r="D5680" t="str">
        <f>"22814"</f>
        <v>22814</v>
      </c>
      <c r="E5680" t="str">
        <f t="shared" si="987"/>
        <v>1</v>
      </c>
      <c r="F5680" t="str">
        <f t="shared" si="993"/>
        <v>COM</v>
      </c>
      <c r="G5680" t="str">
        <f>"ANDERSON LUIZ SOARES (807)"</f>
        <v>ANDERSON LUIZ SOARES (807)</v>
      </c>
      <c r="H5680" t="str">
        <f>"Serv.Prest. 29/09/2025 a 05/10/2025 - PIX: CELULAR - CHAVE: (32) 99920-0416"</f>
        <v>Serv.Prest. 29/09/2025 a 05/10/2025 - PIX: CELULAR - CHAVE: (32) 99920-0416</v>
      </c>
      <c r="I5680" t="str">
        <f t="shared" si="985"/>
        <v>09/10/2025</v>
      </c>
      <c r="J5680" t="str">
        <f t="shared" si="991"/>
        <v>06/10/2025</v>
      </c>
      <c r="K5680" t="str">
        <f>("09/10/2025")</f>
        <v>09/10/2025</v>
      </c>
      <c r="L5680">
        <v>682.45</v>
      </c>
      <c r="M5680">
        <v>682.45</v>
      </c>
      <c r="N5680">
        <v>109</v>
      </c>
      <c r="O5680" t="str">
        <f>"PAGAMENTO DE ENTREGADORES"</f>
        <v>PAGAMENTO DE ENTREGADORES</v>
      </c>
      <c r="P5680">
        <v>682.45</v>
      </c>
      <c r="S5680" t="str">
        <f>"BANCO C6 (149)"</f>
        <v>BANCO C6 (149)</v>
      </c>
      <c r="T5680">
        <v>19990</v>
      </c>
      <c r="U5680">
        <v>22814</v>
      </c>
      <c r="V5680" t="s">
        <v>77</v>
      </c>
    </row>
    <row r="5681" spans="1:22">
      <c r="A5681" t="str">
        <f t="shared" si="990"/>
        <v>09/10/2025</v>
      </c>
      <c r="B5681" t="str">
        <f t="shared" si="992"/>
        <v>SAÍDA</v>
      </c>
      <c r="C5681" t="str">
        <f t="shared" si="986"/>
        <v>PIX</v>
      </c>
      <c r="D5681" t="str">
        <f>"22814"</f>
        <v>22814</v>
      </c>
      <c r="E5681" t="str">
        <f t="shared" si="987"/>
        <v>1</v>
      </c>
      <c r="F5681" t="str">
        <f t="shared" si="993"/>
        <v>COM</v>
      </c>
      <c r="G5681" t="str">
        <f>"ANDERSON LUIZ SOARES (807)"</f>
        <v>ANDERSON LUIZ SOARES (807)</v>
      </c>
      <c r="H5681" t="s">
        <v>1367</v>
      </c>
      <c r="I5681" t="str">
        <f t="shared" si="985"/>
        <v>09/10/2025</v>
      </c>
      <c r="J5681" t="str">
        <f t="shared" si="991"/>
        <v>06/10/2025</v>
      </c>
      <c r="K5681">
        <v>45939</v>
      </c>
      <c r="N5681">
        <v>109</v>
      </c>
      <c r="O5681" t="s">
        <v>24</v>
      </c>
      <c r="Q5681">
        <v>682.45</v>
      </c>
      <c r="R5681" t="str">
        <f>"DROGARIA ANA VISCONDE DO RIO BRANCO (10182)"</f>
        <v>DROGARIA ANA VISCONDE DO RIO BRANCO (10182)</v>
      </c>
      <c r="S5681" t="s">
        <v>77</v>
      </c>
      <c r="T5681">
        <v>19990</v>
      </c>
      <c r="U5681">
        <v>22814</v>
      </c>
      <c r="V5681" t="s">
        <v>77</v>
      </c>
    </row>
    <row r="5682" spans="1:22">
      <c r="A5682" t="str">
        <f t="shared" si="990"/>
        <v>09/10/2025</v>
      </c>
      <c r="B5682" t="str">
        <f t="shared" si="992"/>
        <v>SAÍDA</v>
      </c>
      <c r="C5682" t="str">
        <f t="shared" si="986"/>
        <v>PIX</v>
      </c>
      <c r="D5682" t="str">
        <f>"22815"</f>
        <v>22815</v>
      </c>
      <c r="E5682" t="str">
        <f t="shared" si="987"/>
        <v>1</v>
      </c>
      <c r="F5682" t="str">
        <f t="shared" si="993"/>
        <v>COM</v>
      </c>
      <c r="G5682" t="str">
        <f>"BRENO VIANA MONTEIRO RODRIGUES (811)"</f>
        <v>BRENO VIANA MONTEIRO RODRIGUES (811)</v>
      </c>
      <c r="H5682" t="str">
        <f>"Serv.Prest. 29/09/2025 a 05/10/2025 - PIX: CNPJ - CHAVE: 51.676.704/0001-10"</f>
        <v>Serv.Prest. 29/09/2025 a 05/10/2025 - PIX: CNPJ - CHAVE: 51.676.704/0001-10</v>
      </c>
      <c r="I5682" t="str">
        <f t="shared" si="985"/>
        <v>09/10/2025</v>
      </c>
      <c r="J5682" t="str">
        <f t="shared" si="991"/>
        <v>06/10/2025</v>
      </c>
      <c r="K5682" t="str">
        <f>("09/10/2025")</f>
        <v>09/10/2025</v>
      </c>
      <c r="L5682">
        <v>682.45</v>
      </c>
      <c r="M5682">
        <v>682.45</v>
      </c>
      <c r="N5682">
        <v>109</v>
      </c>
      <c r="O5682" t="str">
        <f>"PAGAMENTO DE ENTREGADORES"</f>
        <v>PAGAMENTO DE ENTREGADORES</v>
      </c>
      <c r="P5682">
        <v>682.45</v>
      </c>
      <c r="S5682" t="str">
        <f>"BANCO C6 (149)"</f>
        <v>BANCO C6 (149)</v>
      </c>
      <c r="T5682">
        <v>19991</v>
      </c>
      <c r="U5682">
        <v>22815</v>
      </c>
      <c r="V5682" t="s">
        <v>77</v>
      </c>
    </row>
    <row r="5683" spans="1:22">
      <c r="A5683" t="str">
        <f t="shared" si="990"/>
        <v>09/10/2025</v>
      </c>
      <c r="B5683" t="str">
        <f t="shared" si="992"/>
        <v>SAÍDA</v>
      </c>
      <c r="C5683" t="str">
        <f t="shared" si="986"/>
        <v>PIX</v>
      </c>
      <c r="D5683" t="str">
        <f>"22815"</f>
        <v>22815</v>
      </c>
      <c r="E5683" t="str">
        <f t="shared" si="987"/>
        <v>1</v>
      </c>
      <c r="F5683" t="str">
        <f t="shared" si="993"/>
        <v>COM</v>
      </c>
      <c r="G5683" t="str">
        <f>"BRENO VIANA MONTEIRO RODRIGUES (811)"</f>
        <v>BRENO VIANA MONTEIRO RODRIGUES (811)</v>
      </c>
      <c r="H5683" t="s">
        <v>1374</v>
      </c>
      <c r="I5683" t="str">
        <f t="shared" si="985"/>
        <v>09/10/2025</v>
      </c>
      <c r="J5683" t="str">
        <f t="shared" si="991"/>
        <v>06/10/2025</v>
      </c>
      <c r="K5683">
        <v>45939</v>
      </c>
      <c r="N5683">
        <v>109</v>
      </c>
      <c r="O5683" t="s">
        <v>24</v>
      </c>
      <c r="Q5683">
        <v>682.45</v>
      </c>
      <c r="R5683" t="str">
        <f>"DROGARIA ANA VISCONDE DO RIO BRANCO (10182)"</f>
        <v>DROGARIA ANA VISCONDE DO RIO BRANCO (10182)</v>
      </c>
      <c r="S5683" t="s">
        <v>77</v>
      </c>
      <c r="T5683">
        <v>19991</v>
      </c>
      <c r="U5683">
        <v>22815</v>
      </c>
      <c r="V5683" t="s">
        <v>77</v>
      </c>
    </row>
    <row r="5684" spans="1:22">
      <c r="A5684" t="str">
        <f t="shared" si="990"/>
        <v>09/10/2025</v>
      </c>
      <c r="B5684" t="str">
        <f t="shared" si="992"/>
        <v>SAÍDA</v>
      </c>
      <c r="C5684" t="str">
        <f t="shared" si="986"/>
        <v>PIX</v>
      </c>
      <c r="D5684" t="str">
        <f>"22816"</f>
        <v>22816</v>
      </c>
      <c r="E5684" t="str">
        <f t="shared" si="987"/>
        <v>1</v>
      </c>
      <c r="F5684" t="str">
        <f t="shared" si="993"/>
        <v>COM</v>
      </c>
      <c r="G5684" t="str">
        <f>"GABRIEL PACHECO DE QUEIROZ NARCISO (812)"</f>
        <v>GABRIEL PACHECO DE QUEIROZ NARCISO (812)</v>
      </c>
      <c r="H5684" t="str">
        <f>"Serv.Prest. 29/09/2025 a 05/10/2025 - PIX: CPF - CHAVE: 140.108.466-40"</f>
        <v>Serv.Prest. 29/09/2025 a 05/10/2025 - PIX: CPF - CHAVE: 140.108.466-40</v>
      </c>
      <c r="I5684" t="str">
        <f t="shared" ref="I5684:I5747" si="994">("09/10/2025")</f>
        <v>09/10/2025</v>
      </c>
      <c r="J5684" t="str">
        <f t="shared" si="991"/>
        <v>06/10/2025</v>
      </c>
      <c r="K5684" t="str">
        <f>("09/10/2025")</f>
        <v>09/10/2025</v>
      </c>
      <c r="L5684">
        <v>682.45</v>
      </c>
      <c r="M5684">
        <v>682.45</v>
      </c>
      <c r="N5684">
        <v>109</v>
      </c>
      <c r="O5684" t="str">
        <f>"PAGAMENTO DE ENTREGADORES"</f>
        <v>PAGAMENTO DE ENTREGADORES</v>
      </c>
      <c r="P5684">
        <v>682.45</v>
      </c>
      <c r="S5684" t="str">
        <f>"BANCO C6 (149)"</f>
        <v>BANCO C6 (149)</v>
      </c>
      <c r="T5684">
        <v>19992</v>
      </c>
      <c r="U5684">
        <v>22816</v>
      </c>
      <c r="V5684" t="s">
        <v>77</v>
      </c>
    </row>
    <row r="5685" spans="1:22">
      <c r="A5685" t="str">
        <f t="shared" si="990"/>
        <v>09/10/2025</v>
      </c>
      <c r="B5685" t="str">
        <f t="shared" si="992"/>
        <v>SAÍDA</v>
      </c>
      <c r="C5685" t="str">
        <f t="shared" si="986"/>
        <v>PIX</v>
      </c>
      <c r="D5685" t="str">
        <f>"22816"</f>
        <v>22816</v>
      </c>
      <c r="E5685" t="str">
        <f t="shared" si="987"/>
        <v>1</v>
      </c>
      <c r="F5685" t="str">
        <f t="shared" si="993"/>
        <v>COM</v>
      </c>
      <c r="G5685" t="str">
        <f>"GABRIEL PACHECO DE QUEIROZ NARCISO (812)"</f>
        <v>GABRIEL PACHECO DE QUEIROZ NARCISO (812)</v>
      </c>
      <c r="H5685" t="s">
        <v>1402</v>
      </c>
      <c r="I5685" t="str">
        <f t="shared" si="994"/>
        <v>09/10/2025</v>
      </c>
      <c r="J5685" t="str">
        <f t="shared" si="991"/>
        <v>06/10/2025</v>
      </c>
      <c r="K5685">
        <v>45939</v>
      </c>
      <c r="N5685">
        <v>109</v>
      </c>
      <c r="O5685" t="s">
        <v>24</v>
      </c>
      <c r="Q5685">
        <v>682.45</v>
      </c>
      <c r="R5685" t="str">
        <f>"DROGARIA ANA VISCONDE DO RIO BRANCO (10182)"</f>
        <v>DROGARIA ANA VISCONDE DO RIO BRANCO (10182)</v>
      </c>
      <c r="S5685" t="s">
        <v>77</v>
      </c>
      <c r="T5685">
        <v>19992</v>
      </c>
      <c r="U5685">
        <v>22816</v>
      </c>
      <c r="V5685" t="s">
        <v>77</v>
      </c>
    </row>
    <row r="5686" spans="1:22">
      <c r="A5686" t="str">
        <f t="shared" si="990"/>
        <v>09/10/2025</v>
      </c>
      <c r="B5686" t="str">
        <f t="shared" si="992"/>
        <v>SAÍDA</v>
      </c>
      <c r="C5686" t="str">
        <f t="shared" ref="C5686:C5749" si="995">"PIX"</f>
        <v>PIX</v>
      </c>
      <c r="D5686" t="str">
        <f>"22817"</f>
        <v>22817</v>
      </c>
      <c r="E5686" t="str">
        <f t="shared" ref="E5686:E5749" si="996">"1"</f>
        <v>1</v>
      </c>
      <c r="F5686" t="str">
        <f t="shared" si="993"/>
        <v>COM</v>
      </c>
      <c r="G5686" t="str">
        <f>"WASHINGTON VALERIO DE SOUZA (888)"</f>
        <v>WASHINGTON VALERIO DE SOUZA (888)</v>
      </c>
      <c r="H5686" t="str">
        <f>"Serv.Prest. 29/09/2025 a 05/10/2025 - PIX: CPF - CHAVE: 080.965.696-51"</f>
        <v>Serv.Prest. 29/09/2025 a 05/10/2025 - PIX: CPF - CHAVE: 080.965.696-51</v>
      </c>
      <c r="I5686" t="str">
        <f t="shared" si="994"/>
        <v>09/10/2025</v>
      </c>
      <c r="J5686" t="str">
        <f t="shared" si="991"/>
        <v>06/10/2025</v>
      </c>
      <c r="K5686" t="str">
        <f>("09/10/2025")</f>
        <v>09/10/2025</v>
      </c>
      <c r="L5686">
        <v>682.45</v>
      </c>
      <c r="M5686">
        <v>682.45</v>
      </c>
      <c r="N5686">
        <v>109</v>
      </c>
      <c r="O5686" t="str">
        <f>"PAGAMENTO DE ENTREGADORES"</f>
        <v>PAGAMENTO DE ENTREGADORES</v>
      </c>
      <c r="P5686">
        <v>682.45</v>
      </c>
      <c r="S5686" t="str">
        <f>"BANCO C6 (149)"</f>
        <v>BANCO C6 (149)</v>
      </c>
      <c r="T5686">
        <v>19993</v>
      </c>
      <c r="U5686">
        <v>22817</v>
      </c>
      <c r="V5686" t="s">
        <v>77</v>
      </c>
    </row>
    <row r="5687" spans="1:22">
      <c r="A5687" t="str">
        <f t="shared" si="990"/>
        <v>09/10/2025</v>
      </c>
      <c r="B5687" t="str">
        <f t="shared" si="992"/>
        <v>SAÍDA</v>
      </c>
      <c r="C5687" t="str">
        <f t="shared" si="995"/>
        <v>PIX</v>
      </c>
      <c r="D5687" t="str">
        <f>"22817"</f>
        <v>22817</v>
      </c>
      <c r="E5687" t="str">
        <f t="shared" si="996"/>
        <v>1</v>
      </c>
      <c r="F5687" t="str">
        <f t="shared" si="993"/>
        <v>COM</v>
      </c>
      <c r="G5687" t="str">
        <f>"WASHINGTON VALERIO DE SOUZA (888)"</f>
        <v>WASHINGTON VALERIO DE SOUZA (888)</v>
      </c>
      <c r="H5687" t="s">
        <v>1491</v>
      </c>
      <c r="I5687" t="str">
        <f t="shared" si="994"/>
        <v>09/10/2025</v>
      </c>
      <c r="J5687" t="str">
        <f t="shared" si="991"/>
        <v>06/10/2025</v>
      </c>
      <c r="K5687">
        <v>45939</v>
      </c>
      <c r="N5687">
        <v>109</v>
      </c>
      <c r="O5687" t="s">
        <v>24</v>
      </c>
      <c r="Q5687">
        <v>682.45</v>
      </c>
      <c r="R5687" t="str">
        <f>"DROGARIA ANA VISCONDE DO RIO BRANCO (10182)"</f>
        <v>DROGARIA ANA VISCONDE DO RIO BRANCO (10182)</v>
      </c>
      <c r="S5687" t="s">
        <v>77</v>
      </c>
      <c r="T5687">
        <v>19993</v>
      </c>
      <c r="U5687">
        <v>22817</v>
      </c>
      <c r="V5687" t="s">
        <v>77</v>
      </c>
    </row>
    <row r="5688" spans="1:22">
      <c r="A5688" t="str">
        <f t="shared" si="990"/>
        <v>09/10/2025</v>
      </c>
      <c r="B5688" t="str">
        <f t="shared" si="992"/>
        <v>SAÍDA</v>
      </c>
      <c r="C5688" t="str">
        <f t="shared" si="995"/>
        <v>PIX</v>
      </c>
      <c r="D5688" t="str">
        <f>"22818"</f>
        <v>22818</v>
      </c>
      <c r="E5688" t="str">
        <f t="shared" si="996"/>
        <v>1</v>
      </c>
      <c r="F5688" t="str">
        <f t="shared" si="993"/>
        <v>COM</v>
      </c>
      <c r="G5688" t="str">
        <f>"WILLIAM ANDRE SILVA COELLO (850)"</f>
        <v>WILLIAM ANDRE SILVA COELLO (850)</v>
      </c>
      <c r="H5688" t="str">
        <f>"Serv.Prest. 29/09/2025 a 05/10/2025 - PIX: CPF - CHAVE: 100.710.806-19"</f>
        <v>Serv.Prest. 29/09/2025 a 05/10/2025 - PIX: CPF - CHAVE: 100.710.806-19</v>
      </c>
      <c r="I5688" t="str">
        <f t="shared" si="994"/>
        <v>09/10/2025</v>
      </c>
      <c r="J5688" t="str">
        <f t="shared" si="991"/>
        <v>06/10/2025</v>
      </c>
      <c r="K5688" t="str">
        <f>("09/10/2025")</f>
        <v>09/10/2025</v>
      </c>
      <c r="L5688">
        <v>682.45</v>
      </c>
      <c r="M5688">
        <v>682.45</v>
      </c>
      <c r="N5688">
        <v>109</v>
      </c>
      <c r="O5688" t="str">
        <f>"PAGAMENTO DE ENTREGADORES"</f>
        <v>PAGAMENTO DE ENTREGADORES</v>
      </c>
      <c r="P5688">
        <v>682.45</v>
      </c>
      <c r="S5688" t="str">
        <f>"BANCO C6 (149)"</f>
        <v>BANCO C6 (149)</v>
      </c>
      <c r="T5688">
        <v>19994</v>
      </c>
      <c r="U5688">
        <v>22818</v>
      </c>
      <c r="V5688" t="s">
        <v>77</v>
      </c>
    </row>
    <row r="5689" spans="1:22">
      <c r="A5689" t="str">
        <f t="shared" si="990"/>
        <v>09/10/2025</v>
      </c>
      <c r="B5689" t="str">
        <f t="shared" si="992"/>
        <v>SAÍDA</v>
      </c>
      <c r="C5689" t="str">
        <f t="shared" si="995"/>
        <v>PIX</v>
      </c>
      <c r="D5689" t="str">
        <f>"22818"</f>
        <v>22818</v>
      </c>
      <c r="E5689" t="str">
        <f t="shared" si="996"/>
        <v>1</v>
      </c>
      <c r="F5689" t="str">
        <f t="shared" si="993"/>
        <v>COM</v>
      </c>
      <c r="G5689" t="str">
        <f>"WILLIAM ANDRE SILVA COELLO (850)"</f>
        <v>WILLIAM ANDRE SILVA COELLO (850)</v>
      </c>
      <c r="H5689" t="s">
        <v>1500</v>
      </c>
      <c r="I5689" t="str">
        <f t="shared" si="994"/>
        <v>09/10/2025</v>
      </c>
      <c r="J5689" t="str">
        <f t="shared" si="991"/>
        <v>06/10/2025</v>
      </c>
      <c r="K5689">
        <v>45939</v>
      </c>
      <c r="N5689">
        <v>109</v>
      </c>
      <c r="O5689" t="s">
        <v>24</v>
      </c>
      <c r="Q5689">
        <v>682.45</v>
      </c>
      <c r="R5689" t="str">
        <f>"DROGARIA ANA VISCONDE DO RIO BRANCO (10182)"</f>
        <v>DROGARIA ANA VISCONDE DO RIO BRANCO (10182)</v>
      </c>
      <c r="S5689" t="s">
        <v>77</v>
      </c>
      <c r="T5689">
        <v>19994</v>
      </c>
      <c r="U5689">
        <v>22818</v>
      </c>
      <c r="V5689" t="s">
        <v>77</v>
      </c>
    </row>
    <row r="5690" spans="1:22">
      <c r="A5690" t="str">
        <f t="shared" si="990"/>
        <v>09/10/2025</v>
      </c>
      <c r="B5690" t="str">
        <f t="shared" si="992"/>
        <v>SAÍDA</v>
      </c>
      <c r="C5690" t="str">
        <f t="shared" si="995"/>
        <v>PIX</v>
      </c>
      <c r="D5690" t="str">
        <f>"22820"</f>
        <v>22820</v>
      </c>
      <c r="E5690" t="str">
        <f t="shared" si="996"/>
        <v>1</v>
      </c>
      <c r="F5690" t="str">
        <f t="shared" si="993"/>
        <v>COM</v>
      </c>
      <c r="G5690" t="str">
        <f>"ISAEL SANTOS ROSA (642)"</f>
        <v>ISAEL SANTOS ROSA (642)</v>
      </c>
      <c r="H5690" t="str">
        <f>"Serv.Prest. 29/09/2025 a 05/10/2025 - PIX: CELULAR - CHAVE: (31) 99376-7989"</f>
        <v>Serv.Prest. 29/09/2025 a 05/10/2025 - PIX: CELULAR - CHAVE: (31) 99376-7989</v>
      </c>
      <c r="I5690" t="str">
        <f t="shared" si="994"/>
        <v>09/10/2025</v>
      </c>
      <c r="J5690" t="str">
        <f t="shared" si="991"/>
        <v>06/10/2025</v>
      </c>
      <c r="K5690" t="str">
        <f>("09/10/2025")</f>
        <v>09/10/2025</v>
      </c>
      <c r="L5690">
        <v>1380</v>
      </c>
      <c r="M5690">
        <v>1380</v>
      </c>
      <c r="N5690">
        <v>109</v>
      </c>
      <c r="O5690" t="str">
        <f>"PAGAMENTO DE ENTREGADORES"</f>
        <v>PAGAMENTO DE ENTREGADORES</v>
      </c>
      <c r="P5690">
        <v>1380</v>
      </c>
      <c r="S5690" t="str">
        <f>"BANCO C6 (149)"</f>
        <v>BANCO C6 (149)</v>
      </c>
      <c r="T5690">
        <v>19995</v>
      </c>
      <c r="U5690">
        <v>22820</v>
      </c>
      <c r="V5690" t="s">
        <v>77</v>
      </c>
    </row>
    <row r="5691" spans="1:22">
      <c r="A5691" t="str">
        <f t="shared" si="990"/>
        <v>09/10/2025</v>
      </c>
      <c r="B5691" t="str">
        <f t="shared" si="992"/>
        <v>SAÍDA</v>
      </c>
      <c r="C5691" t="str">
        <f t="shared" si="995"/>
        <v>PIX</v>
      </c>
      <c r="D5691" t="str">
        <f>"22820"</f>
        <v>22820</v>
      </c>
      <c r="E5691" t="str">
        <f t="shared" si="996"/>
        <v>1</v>
      </c>
      <c r="F5691" t="str">
        <f t="shared" si="993"/>
        <v>COM</v>
      </c>
      <c r="G5691" t="str">
        <f>"ISAEL SANTOS ROSA (642)"</f>
        <v>ISAEL SANTOS ROSA (642)</v>
      </c>
      <c r="H5691" t="s">
        <v>1413</v>
      </c>
      <c r="I5691" t="str">
        <f t="shared" si="994"/>
        <v>09/10/2025</v>
      </c>
      <c r="J5691" t="str">
        <f t="shared" si="991"/>
        <v>06/10/2025</v>
      </c>
      <c r="K5691">
        <v>45939</v>
      </c>
      <c r="N5691">
        <v>109</v>
      </c>
      <c r="O5691" t="s">
        <v>24</v>
      </c>
      <c r="Q5691">
        <v>1380</v>
      </c>
      <c r="R5691" t="str">
        <f>"DROGARIA POUPA MINAS (ULTRAMINAS) 3 (10129)"</f>
        <v>DROGARIA POUPA MINAS (ULTRAMINAS) 3 (10129)</v>
      </c>
      <c r="S5691" t="s">
        <v>77</v>
      </c>
      <c r="T5691">
        <v>19995</v>
      </c>
      <c r="U5691">
        <v>22820</v>
      </c>
      <c r="V5691" t="s">
        <v>77</v>
      </c>
    </row>
    <row r="5692" spans="1:22">
      <c r="A5692" t="str">
        <f t="shared" si="990"/>
        <v>09/10/2025</v>
      </c>
      <c r="B5692" t="str">
        <f t="shared" si="992"/>
        <v>SAÍDA</v>
      </c>
      <c r="C5692" t="str">
        <f t="shared" si="995"/>
        <v>PIX</v>
      </c>
      <c r="D5692" t="str">
        <f>"22822"</f>
        <v>22822</v>
      </c>
      <c r="E5692" t="str">
        <f t="shared" si="996"/>
        <v>1</v>
      </c>
      <c r="F5692" t="str">
        <f t="shared" si="993"/>
        <v>COM</v>
      </c>
      <c r="G5692" t="str">
        <f>"ARLINDO COSTA FELIX (754)"</f>
        <v>ARLINDO COSTA FELIX (754)</v>
      </c>
      <c r="H5692" t="str">
        <f>"Serv.Prest. 29/09/2025 a 05/10/2025 - PIX: CPF - CHAVE: 103.983.366-79"</f>
        <v>Serv.Prest. 29/09/2025 a 05/10/2025 - PIX: CPF - CHAVE: 103.983.366-79</v>
      </c>
      <c r="I5692" t="str">
        <f t="shared" si="994"/>
        <v>09/10/2025</v>
      </c>
      <c r="J5692" t="str">
        <f t="shared" si="991"/>
        <v>06/10/2025</v>
      </c>
      <c r="K5692" t="str">
        <f>("09/10/2025")</f>
        <v>09/10/2025</v>
      </c>
      <c r="L5692">
        <v>868</v>
      </c>
      <c r="M5692">
        <v>868</v>
      </c>
      <c r="N5692">
        <v>109</v>
      </c>
      <c r="O5692" t="str">
        <f>"PAGAMENTO DE ENTREGADORES"</f>
        <v>PAGAMENTO DE ENTREGADORES</v>
      </c>
      <c r="P5692">
        <v>868</v>
      </c>
      <c r="S5692" t="str">
        <f>"BANCO C6 (149)"</f>
        <v>BANCO C6 (149)</v>
      </c>
      <c r="T5692">
        <v>19996</v>
      </c>
      <c r="U5692">
        <v>22822</v>
      </c>
      <c r="V5692" t="s">
        <v>77</v>
      </c>
    </row>
    <row r="5693" spans="1:22">
      <c r="A5693" t="str">
        <f t="shared" si="990"/>
        <v>09/10/2025</v>
      </c>
      <c r="B5693" t="str">
        <f t="shared" si="992"/>
        <v>SAÍDA</v>
      </c>
      <c r="C5693" t="str">
        <f t="shared" si="995"/>
        <v>PIX</v>
      </c>
      <c r="D5693" t="str">
        <f>"22822"</f>
        <v>22822</v>
      </c>
      <c r="E5693" t="str">
        <f t="shared" si="996"/>
        <v>1</v>
      </c>
      <c r="F5693" t="str">
        <f t="shared" si="993"/>
        <v>COM</v>
      </c>
      <c r="G5693" t="str">
        <f>"ARLINDO COSTA FELIX (754)"</f>
        <v>ARLINDO COSTA FELIX (754)</v>
      </c>
      <c r="H5693" t="s">
        <v>1370</v>
      </c>
      <c r="I5693" t="str">
        <f t="shared" si="994"/>
        <v>09/10/2025</v>
      </c>
      <c r="J5693" t="str">
        <f t="shared" si="991"/>
        <v>06/10/2025</v>
      </c>
      <c r="K5693">
        <v>45939</v>
      </c>
      <c r="N5693">
        <v>109</v>
      </c>
      <c r="O5693" t="s">
        <v>24</v>
      </c>
      <c r="Q5693">
        <v>868</v>
      </c>
      <c r="R5693" t="str">
        <f>"ENTREFARMA (10164)"</f>
        <v>ENTREFARMA (10164)</v>
      </c>
      <c r="S5693" t="s">
        <v>77</v>
      </c>
      <c r="T5693">
        <v>19996</v>
      </c>
      <c r="U5693">
        <v>22822</v>
      </c>
      <c r="V5693" t="s">
        <v>77</v>
      </c>
    </row>
    <row r="5694" spans="1:22">
      <c r="A5694" t="str">
        <f t="shared" si="990"/>
        <v>09/10/2025</v>
      </c>
      <c r="B5694" t="str">
        <f t="shared" si="992"/>
        <v>SAÍDA</v>
      </c>
      <c r="C5694" t="str">
        <f t="shared" si="995"/>
        <v>PIX</v>
      </c>
      <c r="D5694" t="str">
        <f>"22823"</f>
        <v>22823</v>
      </c>
      <c r="E5694" t="str">
        <f t="shared" si="996"/>
        <v>1</v>
      </c>
      <c r="F5694" t="str">
        <f t="shared" si="993"/>
        <v>COM</v>
      </c>
      <c r="G5694" t="str">
        <f>"LEONICIO CORREA DA SILVA (716)"</f>
        <v>LEONICIO CORREA DA SILVA (716)</v>
      </c>
      <c r="H5694" t="str">
        <f>"Serv.Prest. 29/09/2025 a 05/10/2025 - PIX: CPF - CHAVE: 138.263.636-98"</f>
        <v>Serv.Prest. 29/09/2025 a 05/10/2025 - PIX: CPF - CHAVE: 138.263.636-98</v>
      </c>
      <c r="I5694" t="str">
        <f t="shared" si="994"/>
        <v>09/10/2025</v>
      </c>
      <c r="J5694" t="str">
        <f t="shared" si="991"/>
        <v>06/10/2025</v>
      </c>
      <c r="K5694" t="str">
        <f>("09/10/2025")</f>
        <v>09/10/2025</v>
      </c>
      <c r="L5694">
        <v>862</v>
      </c>
      <c r="M5694">
        <v>862</v>
      </c>
      <c r="N5694">
        <v>109</v>
      </c>
      <c r="O5694" t="str">
        <f>"PAGAMENTO DE ENTREGADORES"</f>
        <v>PAGAMENTO DE ENTREGADORES</v>
      </c>
      <c r="P5694">
        <v>862</v>
      </c>
      <c r="S5694" t="str">
        <f>"BANCO C6 (149)"</f>
        <v>BANCO C6 (149)</v>
      </c>
      <c r="T5694">
        <v>19997</v>
      </c>
      <c r="U5694">
        <v>22823</v>
      </c>
      <c r="V5694" t="s">
        <v>77</v>
      </c>
    </row>
    <row r="5695" spans="1:22">
      <c r="A5695" t="str">
        <f t="shared" si="990"/>
        <v>09/10/2025</v>
      </c>
      <c r="B5695" t="str">
        <f t="shared" si="992"/>
        <v>SAÍDA</v>
      </c>
      <c r="C5695" t="str">
        <f t="shared" si="995"/>
        <v>PIX</v>
      </c>
      <c r="D5695" t="str">
        <f>"22823"</f>
        <v>22823</v>
      </c>
      <c r="E5695" t="str">
        <f t="shared" si="996"/>
        <v>1</v>
      </c>
      <c r="F5695" t="str">
        <f t="shared" si="993"/>
        <v>COM</v>
      </c>
      <c r="G5695" t="str">
        <f>"LEONICIO CORREA DA SILVA (716)"</f>
        <v>LEONICIO CORREA DA SILVA (716)</v>
      </c>
      <c r="H5695" t="s">
        <v>1448</v>
      </c>
      <c r="I5695" t="str">
        <f t="shared" si="994"/>
        <v>09/10/2025</v>
      </c>
      <c r="J5695" t="str">
        <f t="shared" si="991"/>
        <v>06/10/2025</v>
      </c>
      <c r="K5695">
        <v>45939</v>
      </c>
      <c r="N5695">
        <v>109</v>
      </c>
      <c r="O5695" t="s">
        <v>24</v>
      </c>
      <c r="Q5695">
        <v>862</v>
      </c>
      <c r="R5695" t="str">
        <f>"ENTREFARMA (10164)"</f>
        <v>ENTREFARMA (10164)</v>
      </c>
      <c r="S5695" t="s">
        <v>77</v>
      </c>
      <c r="T5695">
        <v>19997</v>
      </c>
      <c r="U5695">
        <v>22823</v>
      </c>
      <c r="V5695" t="s">
        <v>77</v>
      </c>
    </row>
    <row r="5696" spans="1:22">
      <c r="A5696" t="str">
        <f t="shared" si="990"/>
        <v>09/10/2025</v>
      </c>
      <c r="B5696" t="str">
        <f t="shared" si="992"/>
        <v>SAÍDA</v>
      </c>
      <c r="C5696" t="str">
        <f t="shared" si="995"/>
        <v>PIX</v>
      </c>
      <c r="D5696" t="str">
        <f>"22824"</f>
        <v>22824</v>
      </c>
      <c r="E5696" t="str">
        <f t="shared" si="996"/>
        <v>1</v>
      </c>
      <c r="F5696" t="str">
        <f t="shared" si="993"/>
        <v>COM</v>
      </c>
      <c r="G5696" t="str">
        <f>"SADRAK ENOKES BORGES (725)"</f>
        <v>SADRAK ENOKES BORGES (725)</v>
      </c>
      <c r="H5696" t="str">
        <f>"Serv.Prest. 29/09/2025 a 05/10/2025 - PIX: CPF - CHAVE: 128.367.756-37"</f>
        <v>Serv.Prest. 29/09/2025 a 05/10/2025 - PIX: CPF - CHAVE: 128.367.756-37</v>
      </c>
      <c r="I5696" t="str">
        <f t="shared" si="994"/>
        <v>09/10/2025</v>
      </c>
      <c r="J5696" t="str">
        <f t="shared" si="991"/>
        <v>06/10/2025</v>
      </c>
      <c r="K5696" t="str">
        <f>("09/10/2025")</f>
        <v>09/10/2025</v>
      </c>
      <c r="L5696">
        <v>1414</v>
      </c>
      <c r="M5696">
        <v>1414</v>
      </c>
      <c r="N5696">
        <v>109</v>
      </c>
      <c r="O5696" t="str">
        <f>"PAGAMENTO DE ENTREGADORES"</f>
        <v>PAGAMENTO DE ENTREGADORES</v>
      </c>
      <c r="P5696">
        <v>1414</v>
      </c>
      <c r="S5696" t="str">
        <f>"BANCO C6 (149)"</f>
        <v>BANCO C6 (149)</v>
      </c>
      <c r="T5696">
        <v>19998</v>
      </c>
      <c r="U5696">
        <v>22824</v>
      </c>
      <c r="V5696" t="s">
        <v>77</v>
      </c>
    </row>
    <row r="5697" spans="1:22">
      <c r="A5697" t="str">
        <f t="shared" si="990"/>
        <v>09/10/2025</v>
      </c>
      <c r="B5697" t="str">
        <f t="shared" si="992"/>
        <v>SAÍDA</v>
      </c>
      <c r="C5697" t="str">
        <f t="shared" si="995"/>
        <v>PIX</v>
      </c>
      <c r="D5697" t="str">
        <f>"22824"</f>
        <v>22824</v>
      </c>
      <c r="E5697" t="str">
        <f t="shared" si="996"/>
        <v>1</v>
      </c>
      <c r="F5697" t="str">
        <f t="shared" si="993"/>
        <v>COM</v>
      </c>
      <c r="G5697" t="str">
        <f>"SADRAK ENOKES BORGES (725)"</f>
        <v>SADRAK ENOKES BORGES (725)</v>
      </c>
      <c r="H5697" t="s">
        <v>1477</v>
      </c>
      <c r="I5697" t="str">
        <f t="shared" si="994"/>
        <v>09/10/2025</v>
      </c>
      <c r="J5697" t="str">
        <f t="shared" si="991"/>
        <v>06/10/2025</v>
      </c>
      <c r="K5697">
        <v>45939</v>
      </c>
      <c r="N5697">
        <v>109</v>
      </c>
      <c r="O5697" t="s">
        <v>24</v>
      </c>
      <c r="Q5697">
        <v>1414</v>
      </c>
      <c r="R5697" t="str">
        <f>"ENTREFARMA (10164)"</f>
        <v>ENTREFARMA (10164)</v>
      </c>
      <c r="S5697" t="s">
        <v>77</v>
      </c>
      <c r="T5697">
        <v>19998</v>
      </c>
      <c r="U5697">
        <v>22824</v>
      </c>
      <c r="V5697" t="s">
        <v>77</v>
      </c>
    </row>
    <row r="5698" spans="1:22">
      <c r="A5698" t="str">
        <f t="shared" si="990"/>
        <v>09/10/2025</v>
      </c>
      <c r="B5698" t="str">
        <f t="shared" si="992"/>
        <v>SAÍDA</v>
      </c>
      <c r="C5698" t="str">
        <f t="shared" si="995"/>
        <v>PIX</v>
      </c>
      <c r="D5698" t="str">
        <f>"22825"</f>
        <v>22825</v>
      </c>
      <c r="E5698" t="str">
        <f t="shared" si="996"/>
        <v>1</v>
      </c>
      <c r="F5698" t="str">
        <f t="shared" si="993"/>
        <v>COM</v>
      </c>
      <c r="G5698" t="str">
        <f>"WENDERSON GOMES (708)"</f>
        <v>WENDERSON GOMES (708)</v>
      </c>
      <c r="H5698" t="str">
        <f>"Serv.Prest. 29/09/2025 a 05/10/2025 - PIX: CPF - CHAVE: 147.592.156-03"</f>
        <v>Serv.Prest. 29/09/2025 a 05/10/2025 - PIX: CPF - CHAVE: 147.592.156-03</v>
      </c>
      <c r="I5698" t="str">
        <f t="shared" si="994"/>
        <v>09/10/2025</v>
      </c>
      <c r="J5698" t="str">
        <f t="shared" si="991"/>
        <v>06/10/2025</v>
      </c>
      <c r="K5698" t="str">
        <f>("09/10/2025")</f>
        <v>09/10/2025</v>
      </c>
      <c r="L5698">
        <v>1582</v>
      </c>
      <c r="M5698">
        <v>1582</v>
      </c>
      <c r="N5698">
        <v>109</v>
      </c>
      <c r="O5698" t="str">
        <f>"PAGAMENTO DE ENTREGADORES"</f>
        <v>PAGAMENTO DE ENTREGADORES</v>
      </c>
      <c r="P5698">
        <v>1582</v>
      </c>
      <c r="S5698" t="str">
        <f>"BANCO C6 (149)"</f>
        <v>BANCO C6 (149)</v>
      </c>
      <c r="T5698">
        <v>19999</v>
      </c>
      <c r="U5698">
        <v>22825</v>
      </c>
      <c r="V5698" t="s">
        <v>77</v>
      </c>
    </row>
    <row r="5699" spans="1:22">
      <c r="A5699" t="str">
        <f t="shared" si="990"/>
        <v>09/10/2025</v>
      </c>
      <c r="B5699" t="str">
        <f t="shared" si="992"/>
        <v>SAÍDA</v>
      </c>
      <c r="C5699" t="str">
        <f t="shared" si="995"/>
        <v>PIX</v>
      </c>
      <c r="D5699" t="str">
        <f>"22825"</f>
        <v>22825</v>
      </c>
      <c r="E5699" t="str">
        <f t="shared" si="996"/>
        <v>1</v>
      </c>
      <c r="F5699" t="str">
        <f t="shared" si="993"/>
        <v>COM</v>
      </c>
      <c r="G5699" t="str">
        <f>"WENDERSON GOMES (708)"</f>
        <v>WENDERSON GOMES (708)</v>
      </c>
      <c r="H5699" t="s">
        <v>1495</v>
      </c>
      <c r="I5699" t="str">
        <f t="shared" si="994"/>
        <v>09/10/2025</v>
      </c>
      <c r="J5699" t="str">
        <f t="shared" si="991"/>
        <v>06/10/2025</v>
      </c>
      <c r="K5699">
        <v>45939</v>
      </c>
      <c r="N5699">
        <v>109</v>
      </c>
      <c r="O5699" t="s">
        <v>24</v>
      </c>
      <c r="Q5699">
        <v>1582</v>
      </c>
      <c r="R5699" t="str">
        <f>"ENTREFARMA (10164)"</f>
        <v>ENTREFARMA (10164)</v>
      </c>
      <c r="S5699" t="s">
        <v>77</v>
      </c>
      <c r="T5699">
        <v>19999</v>
      </c>
      <c r="U5699">
        <v>22825</v>
      </c>
      <c r="V5699" t="s">
        <v>77</v>
      </c>
    </row>
    <row r="5700" spans="1:22">
      <c r="A5700" t="str">
        <f t="shared" ref="A5700:A5763" si="997">("09/10/2025")</f>
        <v>09/10/2025</v>
      </c>
      <c r="B5700" t="str">
        <f t="shared" si="992"/>
        <v>SAÍDA</v>
      </c>
      <c r="C5700" t="str">
        <f t="shared" si="995"/>
        <v>PIX</v>
      </c>
      <c r="D5700" t="str">
        <f>"22827"</f>
        <v>22827</v>
      </c>
      <c r="E5700" t="str">
        <f t="shared" si="996"/>
        <v>1</v>
      </c>
      <c r="F5700" t="str">
        <f t="shared" si="993"/>
        <v>COM</v>
      </c>
      <c r="G5700" t="str">
        <f>"FABRICIO QUEIROZ DE OLIVEIRA (788)"</f>
        <v>FABRICIO QUEIROZ DE OLIVEIRA (788)</v>
      </c>
      <c r="H5700" t="str">
        <f>"Serv.Prest. 29/09/2025 a 05/10/2025 - PIX: CPF - CHAVE: 138.798.486-10"</f>
        <v>Serv.Prest. 29/09/2025 a 05/10/2025 - PIX: CPF - CHAVE: 138.798.486-10</v>
      </c>
      <c r="I5700" t="str">
        <f t="shared" si="994"/>
        <v>09/10/2025</v>
      </c>
      <c r="J5700" t="str">
        <f t="shared" ref="J5700:J5731" si="998">("06/10/2025")</f>
        <v>06/10/2025</v>
      </c>
      <c r="K5700" t="str">
        <f>("09/10/2025")</f>
        <v>09/10/2025</v>
      </c>
      <c r="L5700">
        <v>680</v>
      </c>
      <c r="M5700">
        <v>680</v>
      </c>
      <c r="N5700">
        <v>109</v>
      </c>
      <c r="O5700" t="str">
        <f>"PAGAMENTO DE ENTREGADORES"</f>
        <v>PAGAMENTO DE ENTREGADORES</v>
      </c>
      <c r="P5700">
        <v>680</v>
      </c>
      <c r="S5700" t="str">
        <f>"BANCO C6 (149)"</f>
        <v>BANCO C6 (149)</v>
      </c>
      <c r="T5700">
        <v>20000</v>
      </c>
      <c r="U5700">
        <v>22827</v>
      </c>
      <c r="V5700" t="s">
        <v>77</v>
      </c>
    </row>
    <row r="5701" spans="1:22">
      <c r="A5701" t="str">
        <f t="shared" si="997"/>
        <v>09/10/2025</v>
      </c>
      <c r="B5701" t="str">
        <f t="shared" si="992"/>
        <v>SAÍDA</v>
      </c>
      <c r="C5701" t="str">
        <f t="shared" si="995"/>
        <v>PIX</v>
      </c>
      <c r="D5701" t="str">
        <f>"22827"</f>
        <v>22827</v>
      </c>
      <c r="E5701" t="str">
        <f t="shared" si="996"/>
        <v>1</v>
      </c>
      <c r="F5701" t="str">
        <f t="shared" si="993"/>
        <v>COM</v>
      </c>
      <c r="G5701" t="str">
        <f>"FABRICIO QUEIROZ DE OLIVEIRA (788)"</f>
        <v>FABRICIO QUEIROZ DE OLIVEIRA (788)</v>
      </c>
      <c r="H5701" t="s">
        <v>1398</v>
      </c>
      <c r="I5701" t="str">
        <f t="shared" si="994"/>
        <v>09/10/2025</v>
      </c>
      <c r="J5701" t="str">
        <f t="shared" si="998"/>
        <v>06/10/2025</v>
      </c>
      <c r="K5701">
        <v>45939</v>
      </c>
      <c r="N5701">
        <v>109</v>
      </c>
      <c r="O5701" t="s">
        <v>24</v>
      </c>
      <c r="Q5701">
        <v>599.08000000000004</v>
      </c>
      <c r="R5701" t="str">
        <f>"FRAN FARMA LJ 2 (10131)"</f>
        <v>FRAN FARMA LJ 2 (10131)</v>
      </c>
      <c r="S5701" t="s">
        <v>77</v>
      </c>
      <c r="T5701">
        <v>20000</v>
      </c>
      <c r="U5701">
        <v>22827</v>
      </c>
      <c r="V5701" t="s">
        <v>77</v>
      </c>
    </row>
    <row r="5702" spans="1:22">
      <c r="A5702" t="str">
        <f t="shared" si="997"/>
        <v>09/10/2025</v>
      </c>
      <c r="B5702" t="str">
        <f t="shared" si="992"/>
        <v>SAÍDA</v>
      </c>
      <c r="C5702" t="str">
        <f t="shared" si="995"/>
        <v>PIX</v>
      </c>
      <c r="D5702" t="str">
        <f>"22827"</f>
        <v>22827</v>
      </c>
      <c r="E5702" t="str">
        <f t="shared" si="996"/>
        <v>1</v>
      </c>
      <c r="F5702" t="str">
        <f t="shared" si="993"/>
        <v>COM</v>
      </c>
      <c r="G5702" t="str">
        <f>"FABRICIO QUEIROZ DE OLIVEIRA (788)"</f>
        <v>FABRICIO QUEIROZ DE OLIVEIRA (788)</v>
      </c>
      <c r="H5702" t="s">
        <v>1398</v>
      </c>
      <c r="I5702" t="str">
        <f t="shared" si="994"/>
        <v>09/10/2025</v>
      </c>
      <c r="J5702" t="str">
        <f t="shared" si="998"/>
        <v>06/10/2025</v>
      </c>
      <c r="K5702">
        <v>45939</v>
      </c>
      <c r="N5702">
        <v>109</v>
      </c>
      <c r="O5702" t="s">
        <v>24</v>
      </c>
      <c r="Q5702">
        <v>80.92</v>
      </c>
      <c r="R5702" t="str">
        <f>"FRAN FARMA LJ 3 (10132)"</f>
        <v>FRAN FARMA LJ 3 (10132)</v>
      </c>
      <c r="S5702" t="s">
        <v>77</v>
      </c>
      <c r="T5702">
        <v>20000</v>
      </c>
      <c r="U5702">
        <v>22827</v>
      </c>
      <c r="V5702" t="s">
        <v>77</v>
      </c>
    </row>
    <row r="5703" spans="1:22">
      <c r="A5703" t="str">
        <f t="shared" si="997"/>
        <v>09/10/2025</v>
      </c>
      <c r="B5703" t="str">
        <f t="shared" si="992"/>
        <v>SAÍDA</v>
      </c>
      <c r="C5703" t="str">
        <f t="shared" si="995"/>
        <v>PIX</v>
      </c>
      <c r="D5703" t="str">
        <f>"22830"</f>
        <v>22830</v>
      </c>
      <c r="E5703" t="str">
        <f t="shared" si="996"/>
        <v>1</v>
      </c>
      <c r="F5703" t="str">
        <f t="shared" si="993"/>
        <v>COM</v>
      </c>
      <c r="G5703" t="str">
        <f>"SAMUEL SOARES DA SILVA (867)"</f>
        <v>SAMUEL SOARES DA SILVA (867)</v>
      </c>
      <c r="H5703" t="str">
        <f>"Serv.Prest. 29/09/2025 a 05/10/2025 - PIX: CPF - CHAVE: 396.124.108-28"</f>
        <v>Serv.Prest. 29/09/2025 a 05/10/2025 - PIX: CPF - CHAVE: 396.124.108-28</v>
      </c>
      <c r="I5703" t="str">
        <f t="shared" si="994"/>
        <v>09/10/2025</v>
      </c>
      <c r="J5703" t="str">
        <f t="shared" si="998"/>
        <v>06/10/2025</v>
      </c>
      <c r="K5703" t="str">
        <f>("09/10/2025")</f>
        <v>09/10/2025</v>
      </c>
      <c r="L5703">
        <v>982.75</v>
      </c>
      <c r="M5703">
        <v>982.75</v>
      </c>
      <c r="N5703">
        <v>109</v>
      </c>
      <c r="O5703" t="str">
        <f>"PAGAMENTO DE ENTREGADORES"</f>
        <v>PAGAMENTO DE ENTREGADORES</v>
      </c>
      <c r="P5703">
        <v>982.75</v>
      </c>
      <c r="S5703" t="str">
        <f>"BANCO C6 (149)"</f>
        <v>BANCO C6 (149)</v>
      </c>
      <c r="T5703">
        <v>20001</v>
      </c>
      <c r="U5703">
        <v>22830</v>
      </c>
      <c r="V5703" t="s">
        <v>77</v>
      </c>
    </row>
    <row r="5704" spans="1:22">
      <c r="A5704" t="str">
        <f t="shared" si="997"/>
        <v>09/10/2025</v>
      </c>
      <c r="B5704" t="str">
        <f t="shared" si="992"/>
        <v>SAÍDA</v>
      </c>
      <c r="C5704" t="str">
        <f t="shared" si="995"/>
        <v>PIX</v>
      </c>
      <c r="D5704" t="str">
        <f>"22830"</f>
        <v>22830</v>
      </c>
      <c r="E5704" t="str">
        <f t="shared" si="996"/>
        <v>1</v>
      </c>
      <c r="F5704" t="str">
        <f t="shared" si="993"/>
        <v>COM</v>
      </c>
      <c r="G5704" t="str">
        <f>"SAMUEL SOARES DA SILVA (867)"</f>
        <v>SAMUEL SOARES DA SILVA (867)</v>
      </c>
      <c r="H5704" t="s">
        <v>1478</v>
      </c>
      <c r="I5704" t="str">
        <f t="shared" si="994"/>
        <v>09/10/2025</v>
      </c>
      <c r="J5704" t="str">
        <f t="shared" si="998"/>
        <v>06/10/2025</v>
      </c>
      <c r="K5704">
        <v>45939</v>
      </c>
      <c r="N5704">
        <v>109</v>
      </c>
      <c r="O5704" t="s">
        <v>24</v>
      </c>
      <c r="Q5704">
        <v>982.75</v>
      </c>
      <c r="R5704" t="str">
        <f>"DROGA ELIDA (10121)"</f>
        <v>DROGA ELIDA (10121)</v>
      </c>
      <c r="S5704" t="s">
        <v>77</v>
      </c>
      <c r="T5704">
        <v>20001</v>
      </c>
      <c r="U5704">
        <v>22830</v>
      </c>
      <c r="V5704" t="s">
        <v>77</v>
      </c>
    </row>
    <row r="5705" spans="1:22">
      <c r="A5705" t="str">
        <f t="shared" si="997"/>
        <v>09/10/2025</v>
      </c>
      <c r="B5705" t="str">
        <f t="shared" si="992"/>
        <v>SAÍDA</v>
      </c>
      <c r="C5705" t="str">
        <f t="shared" si="995"/>
        <v>PIX</v>
      </c>
      <c r="D5705" t="str">
        <f>"22832"</f>
        <v>22832</v>
      </c>
      <c r="E5705" t="str">
        <f t="shared" si="996"/>
        <v>1</v>
      </c>
      <c r="F5705" t="str">
        <f t="shared" si="993"/>
        <v>COM</v>
      </c>
      <c r="G5705" t="str">
        <f>"JOCIMAR VAZ FERREIRA (197)"</f>
        <v>JOCIMAR VAZ FERREIRA (197)</v>
      </c>
      <c r="H5705" t="str">
        <f>"Serv.Prest. 29/09/2025 a 05/10/2025 - PIX: CELULAR - CHAVE: (33) 99924-7557"</f>
        <v>Serv.Prest. 29/09/2025 a 05/10/2025 - PIX: CELULAR - CHAVE: (33) 99924-7557</v>
      </c>
      <c r="I5705" t="str">
        <f t="shared" si="994"/>
        <v>09/10/2025</v>
      </c>
      <c r="J5705" t="str">
        <f t="shared" si="998"/>
        <v>06/10/2025</v>
      </c>
      <c r="K5705" t="str">
        <f>("09/10/2025")</f>
        <v>09/10/2025</v>
      </c>
      <c r="L5705">
        <v>1126</v>
      </c>
      <c r="M5705">
        <v>1126</v>
      </c>
      <c r="N5705">
        <v>109</v>
      </c>
      <c r="O5705" t="str">
        <f>"PAGAMENTO DE ENTREGADORES"</f>
        <v>PAGAMENTO DE ENTREGADORES</v>
      </c>
      <c r="P5705">
        <v>1126</v>
      </c>
      <c r="S5705" t="str">
        <f>"BANCO C6 (149)"</f>
        <v>BANCO C6 (149)</v>
      </c>
      <c r="T5705">
        <v>20002</v>
      </c>
      <c r="U5705">
        <v>22832</v>
      </c>
      <c r="V5705" t="s">
        <v>77</v>
      </c>
    </row>
    <row r="5706" spans="1:22">
      <c r="A5706" t="str">
        <f t="shared" si="997"/>
        <v>09/10/2025</v>
      </c>
      <c r="B5706" t="str">
        <f t="shared" si="992"/>
        <v>SAÍDA</v>
      </c>
      <c r="C5706" t="str">
        <f t="shared" si="995"/>
        <v>PIX</v>
      </c>
      <c r="D5706" t="str">
        <f>"22832"</f>
        <v>22832</v>
      </c>
      <c r="E5706" t="str">
        <f t="shared" si="996"/>
        <v>1</v>
      </c>
      <c r="F5706" t="str">
        <f t="shared" si="993"/>
        <v>COM</v>
      </c>
      <c r="G5706" t="str">
        <f>"JOCIMAR VAZ FERREIRA (197)"</f>
        <v>JOCIMAR VAZ FERREIRA (197)</v>
      </c>
      <c r="H5706" t="s">
        <v>1427</v>
      </c>
      <c r="I5706" t="str">
        <f t="shared" si="994"/>
        <v>09/10/2025</v>
      </c>
      <c r="J5706" t="str">
        <f t="shared" si="998"/>
        <v>06/10/2025</v>
      </c>
      <c r="K5706">
        <v>45939</v>
      </c>
      <c r="N5706">
        <v>109</v>
      </c>
      <c r="O5706" t="s">
        <v>24</v>
      </c>
      <c r="Q5706">
        <v>1126</v>
      </c>
      <c r="R5706" t="str">
        <f>"DROGARIA VAZ (10179)"</f>
        <v>DROGARIA VAZ (10179)</v>
      </c>
      <c r="S5706" t="s">
        <v>77</v>
      </c>
      <c r="T5706">
        <v>20002</v>
      </c>
      <c r="U5706">
        <v>22832</v>
      </c>
      <c r="V5706" t="s">
        <v>77</v>
      </c>
    </row>
    <row r="5707" spans="1:22">
      <c r="A5707" t="str">
        <f t="shared" si="997"/>
        <v>09/10/2025</v>
      </c>
      <c r="B5707" t="str">
        <f t="shared" si="992"/>
        <v>SAÍDA</v>
      </c>
      <c r="C5707" t="str">
        <f t="shared" si="995"/>
        <v>PIX</v>
      </c>
      <c r="D5707" t="str">
        <f>"22834"</f>
        <v>22834</v>
      </c>
      <c r="E5707" t="str">
        <f t="shared" si="996"/>
        <v>1</v>
      </c>
      <c r="F5707" t="str">
        <f t="shared" si="993"/>
        <v>COM</v>
      </c>
      <c r="G5707" t="str">
        <f>"JOSÉ HENRIQUE RODRIGUES (430)"</f>
        <v>JOSÉ HENRIQUE RODRIGUES (430)</v>
      </c>
      <c r="H5707" t="str">
        <f>"Serv.Prest. 29/09/2025 a 05/10/2025 - PIX: CPF - CHAVE: 100.826.516-04"</f>
        <v>Serv.Prest. 29/09/2025 a 05/10/2025 - PIX: CPF - CHAVE: 100.826.516-04</v>
      </c>
      <c r="I5707" t="str">
        <f t="shared" si="994"/>
        <v>09/10/2025</v>
      </c>
      <c r="J5707" t="str">
        <f t="shared" si="998"/>
        <v>06/10/2025</v>
      </c>
      <c r="K5707" t="str">
        <f>("09/10/2025")</f>
        <v>09/10/2025</v>
      </c>
      <c r="L5707">
        <v>880</v>
      </c>
      <c r="M5707">
        <v>880</v>
      </c>
      <c r="N5707">
        <v>109</v>
      </c>
      <c r="O5707" t="str">
        <f>"PAGAMENTO DE ENTREGADORES"</f>
        <v>PAGAMENTO DE ENTREGADORES</v>
      </c>
      <c r="P5707">
        <v>880</v>
      </c>
      <c r="S5707" t="str">
        <f>"BANCO C6 (149)"</f>
        <v>BANCO C6 (149)</v>
      </c>
      <c r="T5707">
        <v>20003</v>
      </c>
      <c r="U5707">
        <v>22834</v>
      </c>
      <c r="V5707" t="s">
        <v>77</v>
      </c>
    </row>
    <row r="5708" spans="1:22">
      <c r="A5708" t="str">
        <f t="shared" si="997"/>
        <v>09/10/2025</v>
      </c>
      <c r="B5708" t="str">
        <f t="shared" si="992"/>
        <v>SAÍDA</v>
      </c>
      <c r="C5708" t="str">
        <f t="shared" si="995"/>
        <v>PIX</v>
      </c>
      <c r="D5708" t="str">
        <f>"22834"</f>
        <v>22834</v>
      </c>
      <c r="E5708" t="str">
        <f t="shared" si="996"/>
        <v>1</v>
      </c>
      <c r="F5708" t="str">
        <f t="shared" si="993"/>
        <v>COM</v>
      </c>
      <c r="G5708" t="str">
        <f>"JOSÉ HENRIQUE RODRIGUES (430)"</f>
        <v>JOSÉ HENRIQUE RODRIGUES (430)</v>
      </c>
      <c r="H5708" t="s">
        <v>1428</v>
      </c>
      <c r="I5708" t="str">
        <f t="shared" si="994"/>
        <v>09/10/2025</v>
      </c>
      <c r="J5708" t="str">
        <f t="shared" si="998"/>
        <v>06/10/2025</v>
      </c>
      <c r="K5708">
        <v>45939</v>
      </c>
      <c r="N5708">
        <v>109</v>
      </c>
      <c r="O5708" t="s">
        <v>24</v>
      </c>
      <c r="Q5708">
        <v>880</v>
      </c>
      <c r="R5708" t="str">
        <f>"PAGMENOS - LJ 608 (10135)"</f>
        <v>PAGMENOS - LJ 608 (10135)</v>
      </c>
      <c r="S5708" t="s">
        <v>77</v>
      </c>
      <c r="T5708">
        <v>20003</v>
      </c>
      <c r="U5708">
        <v>22834</v>
      </c>
      <c r="V5708" t="s">
        <v>77</v>
      </c>
    </row>
    <row r="5709" spans="1:22">
      <c r="A5709" t="str">
        <f t="shared" si="997"/>
        <v>09/10/2025</v>
      </c>
      <c r="B5709" t="str">
        <f t="shared" si="992"/>
        <v>SAÍDA</v>
      </c>
      <c r="C5709" t="str">
        <f t="shared" si="995"/>
        <v>PIX</v>
      </c>
      <c r="D5709" t="str">
        <f>"22835"</f>
        <v>22835</v>
      </c>
      <c r="E5709" t="str">
        <f t="shared" si="996"/>
        <v>1</v>
      </c>
      <c r="F5709" t="str">
        <f t="shared" si="993"/>
        <v>COM</v>
      </c>
      <c r="G5709" t="str">
        <f>"TALES SILVA MARIANO (431)"</f>
        <v>TALES SILVA MARIANO (431)</v>
      </c>
      <c r="H5709" t="str">
        <f>"Serv.Prest. 29/09/2025 a 05/10/2025 - PIX: CPF - CHAVE: 126.686.406-79"</f>
        <v>Serv.Prest. 29/09/2025 a 05/10/2025 - PIX: CPF - CHAVE: 126.686.406-79</v>
      </c>
      <c r="I5709" t="str">
        <f t="shared" si="994"/>
        <v>09/10/2025</v>
      </c>
      <c r="J5709" t="str">
        <f t="shared" si="998"/>
        <v>06/10/2025</v>
      </c>
      <c r="K5709" t="str">
        <f>("09/10/2025")</f>
        <v>09/10/2025</v>
      </c>
      <c r="L5709">
        <v>880</v>
      </c>
      <c r="M5709">
        <v>880</v>
      </c>
      <c r="N5709">
        <v>109</v>
      </c>
      <c r="O5709" t="str">
        <f>"PAGAMENTO DE ENTREGADORES"</f>
        <v>PAGAMENTO DE ENTREGADORES</v>
      </c>
      <c r="P5709">
        <v>880</v>
      </c>
      <c r="S5709" t="str">
        <f>"BANCO C6 (149)"</f>
        <v>BANCO C6 (149)</v>
      </c>
      <c r="T5709">
        <v>20004</v>
      </c>
      <c r="U5709">
        <v>22835</v>
      </c>
      <c r="V5709" t="s">
        <v>77</v>
      </c>
    </row>
    <row r="5710" spans="1:22">
      <c r="A5710" t="str">
        <f t="shared" si="997"/>
        <v>09/10/2025</v>
      </c>
      <c r="B5710" t="str">
        <f t="shared" si="992"/>
        <v>SAÍDA</v>
      </c>
      <c r="C5710" t="str">
        <f t="shared" si="995"/>
        <v>PIX</v>
      </c>
      <c r="D5710" t="str">
        <f>"22835"</f>
        <v>22835</v>
      </c>
      <c r="E5710" t="str">
        <f t="shared" si="996"/>
        <v>1</v>
      </c>
      <c r="F5710" t="str">
        <f t="shared" si="993"/>
        <v>COM</v>
      </c>
      <c r="G5710" t="str">
        <f>"TALES SILVA MARIANO (431)"</f>
        <v>TALES SILVA MARIANO (431)</v>
      </c>
      <c r="H5710" t="s">
        <v>1481</v>
      </c>
      <c r="I5710" t="str">
        <f t="shared" si="994"/>
        <v>09/10/2025</v>
      </c>
      <c r="J5710" t="str">
        <f t="shared" si="998"/>
        <v>06/10/2025</v>
      </c>
      <c r="K5710">
        <v>45939</v>
      </c>
      <c r="N5710">
        <v>109</v>
      </c>
      <c r="O5710" t="s">
        <v>24</v>
      </c>
      <c r="Q5710">
        <v>880</v>
      </c>
      <c r="R5710" t="str">
        <f>"PAGMENOS - LJ 608 (10135)"</f>
        <v>PAGMENOS - LJ 608 (10135)</v>
      </c>
      <c r="S5710" t="s">
        <v>77</v>
      </c>
      <c r="T5710">
        <v>20004</v>
      </c>
      <c r="U5710">
        <v>22835</v>
      </c>
      <c r="V5710" t="s">
        <v>77</v>
      </c>
    </row>
    <row r="5711" spans="1:22">
      <c r="A5711" t="str">
        <f t="shared" si="997"/>
        <v>09/10/2025</v>
      </c>
      <c r="B5711" t="str">
        <f t="shared" si="992"/>
        <v>SAÍDA</v>
      </c>
      <c r="C5711" t="str">
        <f t="shared" si="995"/>
        <v>PIX</v>
      </c>
      <c r="D5711" t="str">
        <f>"22837"</f>
        <v>22837</v>
      </c>
      <c r="E5711" t="str">
        <f t="shared" si="996"/>
        <v>1</v>
      </c>
      <c r="F5711" t="str">
        <f t="shared" si="993"/>
        <v>COM</v>
      </c>
      <c r="G5711" t="str">
        <f>"WILIANA RODRIGUES E RODRIGUES (398)"</f>
        <v>WILIANA RODRIGUES E RODRIGUES (398)</v>
      </c>
      <c r="H5711" t="str">
        <f>"Serv.Prest. 29/09/2025 a 05/10/2025 - PIX: CPF - CHAVE: 016.203.336-27"</f>
        <v>Serv.Prest. 29/09/2025 a 05/10/2025 - PIX: CPF - CHAVE: 016.203.336-27</v>
      </c>
      <c r="I5711" t="str">
        <f t="shared" si="994"/>
        <v>09/10/2025</v>
      </c>
      <c r="J5711" t="str">
        <f t="shared" si="998"/>
        <v>06/10/2025</v>
      </c>
      <c r="K5711" t="str">
        <f>("09/10/2025")</f>
        <v>09/10/2025</v>
      </c>
      <c r="L5711">
        <v>1324</v>
      </c>
      <c r="M5711">
        <v>1324</v>
      </c>
      <c r="N5711">
        <v>109</v>
      </c>
      <c r="O5711" t="str">
        <f>"PAGAMENTO DE ENTREGADORES"</f>
        <v>PAGAMENTO DE ENTREGADORES</v>
      </c>
      <c r="P5711">
        <v>1324</v>
      </c>
      <c r="S5711" t="str">
        <f>"BANCO C6 (149)"</f>
        <v>BANCO C6 (149)</v>
      </c>
      <c r="T5711">
        <v>20005</v>
      </c>
      <c r="U5711">
        <v>22837</v>
      </c>
      <c r="V5711" t="s">
        <v>77</v>
      </c>
    </row>
    <row r="5712" spans="1:22">
      <c r="A5712" t="str">
        <f t="shared" si="997"/>
        <v>09/10/2025</v>
      </c>
      <c r="B5712" t="str">
        <f t="shared" si="992"/>
        <v>SAÍDA</v>
      </c>
      <c r="C5712" t="str">
        <f t="shared" si="995"/>
        <v>PIX</v>
      </c>
      <c r="D5712" t="str">
        <f>"22837"</f>
        <v>22837</v>
      </c>
      <c r="E5712" t="str">
        <f t="shared" si="996"/>
        <v>1</v>
      </c>
      <c r="F5712" t="str">
        <f t="shared" si="993"/>
        <v>COM</v>
      </c>
      <c r="G5712" t="str">
        <f>"WILIANA RODRIGUES E RODRIGUES (398)"</f>
        <v>WILIANA RODRIGUES E RODRIGUES (398)</v>
      </c>
      <c r="H5712" t="s">
        <v>1499</v>
      </c>
      <c r="I5712" t="str">
        <f t="shared" si="994"/>
        <v>09/10/2025</v>
      </c>
      <c r="J5712" t="str">
        <f t="shared" si="998"/>
        <v>06/10/2025</v>
      </c>
      <c r="K5712">
        <v>45939</v>
      </c>
      <c r="N5712">
        <v>109</v>
      </c>
      <c r="O5712" t="s">
        <v>24</v>
      </c>
      <c r="Q5712">
        <v>1324</v>
      </c>
      <c r="R5712" t="str">
        <f>"PAGMENOS - LJ 657 (10136)"</f>
        <v>PAGMENOS - LJ 657 (10136)</v>
      </c>
      <c r="S5712" t="s">
        <v>77</v>
      </c>
      <c r="T5712">
        <v>20005</v>
      </c>
      <c r="U5712">
        <v>22837</v>
      </c>
      <c r="V5712" t="s">
        <v>77</v>
      </c>
    </row>
    <row r="5713" spans="1:22">
      <c r="A5713" t="str">
        <f t="shared" si="997"/>
        <v>09/10/2025</v>
      </c>
      <c r="B5713" t="str">
        <f t="shared" si="992"/>
        <v>SAÍDA</v>
      </c>
      <c r="C5713" t="str">
        <f t="shared" si="995"/>
        <v>PIX</v>
      </c>
      <c r="D5713" t="str">
        <f>"22841"</f>
        <v>22841</v>
      </c>
      <c r="E5713" t="str">
        <f t="shared" si="996"/>
        <v>1</v>
      </c>
      <c r="F5713" t="str">
        <f t="shared" si="993"/>
        <v>COM</v>
      </c>
      <c r="G5713" t="str">
        <f>"ERIC RODRIGUES TEIXEIRA (939)"</f>
        <v>ERIC RODRIGUES TEIXEIRA (939)</v>
      </c>
      <c r="H5713" t="str">
        <f>"Serv.Prest. 29/09/2025 a 05/10/2025 - PIX: CELULAR - CHAVE: (11) 95038-0621"</f>
        <v>Serv.Prest. 29/09/2025 a 05/10/2025 - PIX: CELULAR - CHAVE: (11) 95038-0621</v>
      </c>
      <c r="I5713" t="str">
        <f t="shared" si="994"/>
        <v>09/10/2025</v>
      </c>
      <c r="J5713" t="str">
        <f t="shared" si="998"/>
        <v>06/10/2025</v>
      </c>
      <c r="K5713" t="str">
        <f>("09/10/2025")</f>
        <v>09/10/2025</v>
      </c>
      <c r="L5713">
        <v>1400</v>
      </c>
      <c r="M5713">
        <v>1400</v>
      </c>
      <c r="N5713">
        <v>109</v>
      </c>
      <c r="O5713" t="str">
        <f>"PAGAMENTO DE ENTREGADORES"</f>
        <v>PAGAMENTO DE ENTREGADORES</v>
      </c>
      <c r="P5713">
        <v>1400</v>
      </c>
      <c r="S5713" t="str">
        <f>"BANCO C6 (149)"</f>
        <v>BANCO C6 (149)</v>
      </c>
      <c r="T5713">
        <v>20006</v>
      </c>
      <c r="U5713">
        <v>22841</v>
      </c>
      <c r="V5713" t="s">
        <v>77</v>
      </c>
    </row>
    <row r="5714" spans="1:22">
      <c r="A5714" t="str">
        <f t="shared" si="997"/>
        <v>09/10/2025</v>
      </c>
      <c r="B5714" t="str">
        <f t="shared" si="992"/>
        <v>SAÍDA</v>
      </c>
      <c r="C5714" t="str">
        <f t="shared" si="995"/>
        <v>PIX</v>
      </c>
      <c r="D5714" t="str">
        <f>"22841"</f>
        <v>22841</v>
      </c>
      <c r="E5714" t="str">
        <f t="shared" si="996"/>
        <v>1</v>
      </c>
      <c r="F5714" t="str">
        <f t="shared" si="993"/>
        <v>COM</v>
      </c>
      <c r="G5714" t="str">
        <f>"ERIC RODRIGUES TEIXEIRA (939)"</f>
        <v>ERIC RODRIGUES TEIXEIRA (939)</v>
      </c>
      <c r="H5714" t="s">
        <v>1568</v>
      </c>
      <c r="I5714" t="str">
        <f t="shared" si="994"/>
        <v>09/10/2025</v>
      </c>
      <c r="J5714" t="str">
        <f t="shared" si="998"/>
        <v>06/10/2025</v>
      </c>
      <c r="K5714">
        <v>45939</v>
      </c>
      <c r="N5714">
        <v>109</v>
      </c>
      <c r="O5714" t="s">
        <v>24</v>
      </c>
      <c r="Q5714">
        <v>933.38</v>
      </c>
      <c r="R5714" t="str">
        <f>"PENSE FARMA 15 (10195)"</f>
        <v>PENSE FARMA 15 (10195)</v>
      </c>
      <c r="S5714" t="s">
        <v>77</v>
      </c>
      <c r="T5714">
        <v>20006</v>
      </c>
      <c r="U5714">
        <v>22841</v>
      </c>
      <c r="V5714" t="s">
        <v>77</v>
      </c>
    </row>
    <row r="5715" spans="1:22">
      <c r="A5715" t="str">
        <f t="shared" si="997"/>
        <v>09/10/2025</v>
      </c>
      <c r="B5715" t="str">
        <f t="shared" si="992"/>
        <v>SAÍDA</v>
      </c>
      <c r="C5715" t="str">
        <f t="shared" si="995"/>
        <v>PIX</v>
      </c>
      <c r="D5715" t="str">
        <f>"22841"</f>
        <v>22841</v>
      </c>
      <c r="E5715" t="str">
        <f t="shared" si="996"/>
        <v>1</v>
      </c>
      <c r="F5715" t="str">
        <f t="shared" si="993"/>
        <v>COM</v>
      </c>
      <c r="G5715" t="str">
        <f>"ERIC RODRIGUES TEIXEIRA (939)"</f>
        <v>ERIC RODRIGUES TEIXEIRA (939)</v>
      </c>
      <c r="H5715" t="s">
        <v>1568</v>
      </c>
      <c r="I5715" t="str">
        <f t="shared" si="994"/>
        <v>09/10/2025</v>
      </c>
      <c r="J5715" t="str">
        <f t="shared" si="998"/>
        <v>06/10/2025</v>
      </c>
      <c r="K5715">
        <v>45939</v>
      </c>
      <c r="N5715">
        <v>109</v>
      </c>
      <c r="O5715" t="s">
        <v>24</v>
      </c>
      <c r="Q5715">
        <v>155.54</v>
      </c>
      <c r="R5715" t="str">
        <f>"PENSE FARMA 26 (10196)"</f>
        <v>PENSE FARMA 26 (10196)</v>
      </c>
      <c r="S5715" t="s">
        <v>77</v>
      </c>
      <c r="T5715">
        <v>20006</v>
      </c>
      <c r="U5715">
        <v>22841</v>
      </c>
      <c r="V5715" t="s">
        <v>77</v>
      </c>
    </row>
    <row r="5716" spans="1:22">
      <c r="A5716" t="str">
        <f t="shared" si="997"/>
        <v>09/10/2025</v>
      </c>
      <c r="B5716" t="str">
        <f t="shared" si="992"/>
        <v>SAÍDA</v>
      </c>
      <c r="C5716" t="str">
        <f t="shared" si="995"/>
        <v>PIX</v>
      </c>
      <c r="D5716" t="str">
        <f>"22841"</f>
        <v>22841</v>
      </c>
      <c r="E5716" t="str">
        <f t="shared" si="996"/>
        <v>1</v>
      </c>
      <c r="F5716" t="str">
        <f t="shared" si="993"/>
        <v>COM</v>
      </c>
      <c r="G5716" t="str">
        <f>"ERIC RODRIGUES TEIXEIRA (939)"</f>
        <v>ERIC RODRIGUES TEIXEIRA (939)</v>
      </c>
      <c r="H5716" t="s">
        <v>1568</v>
      </c>
      <c r="I5716" t="str">
        <f t="shared" si="994"/>
        <v>09/10/2025</v>
      </c>
      <c r="J5716" t="str">
        <f t="shared" si="998"/>
        <v>06/10/2025</v>
      </c>
      <c r="K5716">
        <v>45939</v>
      </c>
      <c r="N5716">
        <v>109</v>
      </c>
      <c r="O5716" t="s">
        <v>24</v>
      </c>
      <c r="Q5716">
        <v>311.08</v>
      </c>
      <c r="R5716" t="str">
        <f>"PENSE FARMA 60 (10197)"</f>
        <v>PENSE FARMA 60 (10197)</v>
      </c>
      <c r="S5716" t="s">
        <v>77</v>
      </c>
      <c r="T5716">
        <v>20006</v>
      </c>
      <c r="U5716">
        <v>22841</v>
      </c>
      <c r="V5716" t="s">
        <v>77</v>
      </c>
    </row>
    <row r="5717" spans="1:22">
      <c r="A5717" t="str">
        <f t="shared" si="997"/>
        <v>09/10/2025</v>
      </c>
      <c r="B5717" t="str">
        <f t="shared" si="992"/>
        <v>SAÍDA</v>
      </c>
      <c r="C5717" t="str">
        <f t="shared" si="995"/>
        <v>PIX</v>
      </c>
      <c r="D5717" t="str">
        <f>"22843"</f>
        <v>22843</v>
      </c>
      <c r="E5717" t="str">
        <f t="shared" si="996"/>
        <v>1</v>
      </c>
      <c r="F5717" t="str">
        <f t="shared" si="993"/>
        <v>COM</v>
      </c>
      <c r="G5717" t="str">
        <f>"JEFFERSON AMORIM DA SILVA (940)"</f>
        <v>JEFFERSON AMORIM DA SILVA (940)</v>
      </c>
      <c r="H5717" t="str">
        <f>"Serv.Prest. 29/09/2025 a 05/10/2025 - PIX: CELULAR - CHAVE: (11) 98447-6954"</f>
        <v>Serv.Prest. 29/09/2025 a 05/10/2025 - PIX: CELULAR - CHAVE: (11) 98447-6954</v>
      </c>
      <c r="I5717" t="str">
        <f t="shared" si="994"/>
        <v>09/10/2025</v>
      </c>
      <c r="J5717" t="str">
        <f t="shared" si="998"/>
        <v>06/10/2025</v>
      </c>
      <c r="K5717" t="str">
        <f>("09/10/2025")</f>
        <v>09/10/2025</v>
      </c>
      <c r="L5717">
        <v>700</v>
      </c>
      <c r="M5717">
        <v>700</v>
      </c>
      <c r="N5717">
        <v>109</v>
      </c>
      <c r="O5717" t="str">
        <f>"PAGAMENTO DE ENTREGADORES"</f>
        <v>PAGAMENTO DE ENTREGADORES</v>
      </c>
      <c r="P5717">
        <v>700</v>
      </c>
      <c r="S5717" t="str">
        <f>"BANCO C6 (149)"</f>
        <v>BANCO C6 (149)</v>
      </c>
      <c r="T5717">
        <v>20007</v>
      </c>
      <c r="U5717">
        <v>22843</v>
      </c>
      <c r="V5717" t="s">
        <v>77</v>
      </c>
    </row>
    <row r="5718" spans="1:22">
      <c r="A5718" t="str">
        <f t="shared" si="997"/>
        <v>09/10/2025</v>
      </c>
      <c r="B5718" t="str">
        <f t="shared" si="992"/>
        <v>SAÍDA</v>
      </c>
      <c r="C5718" t="str">
        <f t="shared" si="995"/>
        <v>PIX</v>
      </c>
      <c r="D5718" t="str">
        <f>"22843"</f>
        <v>22843</v>
      </c>
      <c r="E5718" t="str">
        <f t="shared" si="996"/>
        <v>1</v>
      </c>
      <c r="F5718" t="str">
        <f t="shared" si="993"/>
        <v>COM</v>
      </c>
      <c r="G5718" t="str">
        <f>"JEFFERSON AMORIM DA SILVA (940)"</f>
        <v>JEFFERSON AMORIM DA SILVA (940)</v>
      </c>
      <c r="H5718" t="s">
        <v>1569</v>
      </c>
      <c r="I5718" t="str">
        <f t="shared" si="994"/>
        <v>09/10/2025</v>
      </c>
      <c r="J5718" t="str">
        <f t="shared" si="998"/>
        <v>06/10/2025</v>
      </c>
      <c r="K5718">
        <v>45939</v>
      </c>
      <c r="N5718">
        <v>109</v>
      </c>
      <c r="O5718" t="s">
        <v>24</v>
      </c>
      <c r="Q5718">
        <v>533.33000000000004</v>
      </c>
      <c r="R5718" t="str">
        <f>"PENSE FARMA 15 (10195)"</f>
        <v>PENSE FARMA 15 (10195)</v>
      </c>
      <c r="S5718" t="s">
        <v>77</v>
      </c>
      <c r="T5718">
        <v>20007</v>
      </c>
      <c r="U5718">
        <v>22843</v>
      </c>
      <c r="V5718" t="s">
        <v>77</v>
      </c>
    </row>
    <row r="5719" spans="1:22">
      <c r="A5719" t="str">
        <f t="shared" si="997"/>
        <v>09/10/2025</v>
      </c>
      <c r="B5719" t="str">
        <f t="shared" si="992"/>
        <v>SAÍDA</v>
      </c>
      <c r="C5719" t="str">
        <f t="shared" si="995"/>
        <v>PIX</v>
      </c>
      <c r="D5719" t="str">
        <f>"22843"</f>
        <v>22843</v>
      </c>
      <c r="E5719" t="str">
        <f t="shared" si="996"/>
        <v>1</v>
      </c>
      <c r="F5719" t="str">
        <f t="shared" si="993"/>
        <v>COM</v>
      </c>
      <c r="G5719" t="str">
        <f>"JEFFERSON AMORIM DA SILVA (940)"</f>
        <v>JEFFERSON AMORIM DA SILVA (940)</v>
      </c>
      <c r="H5719" t="s">
        <v>1569</v>
      </c>
      <c r="I5719" t="str">
        <f t="shared" si="994"/>
        <v>09/10/2025</v>
      </c>
      <c r="J5719" t="str">
        <f t="shared" si="998"/>
        <v>06/10/2025</v>
      </c>
      <c r="K5719">
        <v>45939</v>
      </c>
      <c r="N5719">
        <v>109</v>
      </c>
      <c r="O5719" t="s">
        <v>24</v>
      </c>
      <c r="Q5719">
        <v>66.64</v>
      </c>
      <c r="R5719" t="str">
        <f>"PENSE FARMA 26 (10196)"</f>
        <v>PENSE FARMA 26 (10196)</v>
      </c>
      <c r="S5719" t="s">
        <v>77</v>
      </c>
      <c r="T5719">
        <v>20007</v>
      </c>
      <c r="U5719">
        <v>22843</v>
      </c>
      <c r="V5719" t="s">
        <v>77</v>
      </c>
    </row>
    <row r="5720" spans="1:22">
      <c r="A5720" t="str">
        <f t="shared" si="997"/>
        <v>09/10/2025</v>
      </c>
      <c r="B5720" t="str">
        <f t="shared" si="992"/>
        <v>SAÍDA</v>
      </c>
      <c r="C5720" t="str">
        <f t="shared" si="995"/>
        <v>PIX</v>
      </c>
      <c r="D5720" t="str">
        <f>"22843"</f>
        <v>22843</v>
      </c>
      <c r="E5720" t="str">
        <f t="shared" si="996"/>
        <v>1</v>
      </c>
      <c r="F5720" t="str">
        <f t="shared" si="993"/>
        <v>COM</v>
      </c>
      <c r="G5720" t="str">
        <f>"JEFFERSON AMORIM DA SILVA (940)"</f>
        <v>JEFFERSON AMORIM DA SILVA (940)</v>
      </c>
      <c r="H5720" t="s">
        <v>1569</v>
      </c>
      <c r="I5720" t="str">
        <f t="shared" si="994"/>
        <v>09/10/2025</v>
      </c>
      <c r="J5720" t="str">
        <f t="shared" si="998"/>
        <v>06/10/2025</v>
      </c>
      <c r="K5720">
        <v>45939</v>
      </c>
      <c r="N5720">
        <v>109</v>
      </c>
      <c r="O5720" t="s">
        <v>24</v>
      </c>
      <c r="Q5720">
        <v>100.03</v>
      </c>
      <c r="R5720" t="str">
        <f>"PENSE FARMA 60 (10197)"</f>
        <v>PENSE FARMA 60 (10197)</v>
      </c>
      <c r="S5720" t="s">
        <v>77</v>
      </c>
      <c r="T5720">
        <v>20007</v>
      </c>
      <c r="U5720">
        <v>22843</v>
      </c>
      <c r="V5720" t="s">
        <v>77</v>
      </c>
    </row>
    <row r="5721" spans="1:22">
      <c r="A5721" t="str">
        <f t="shared" si="997"/>
        <v>09/10/2025</v>
      </c>
      <c r="B5721" t="str">
        <f t="shared" si="992"/>
        <v>SAÍDA</v>
      </c>
      <c r="C5721" t="str">
        <f t="shared" si="995"/>
        <v>PIX</v>
      </c>
      <c r="D5721" t="str">
        <f>"22846"</f>
        <v>22846</v>
      </c>
      <c r="E5721" t="str">
        <f t="shared" si="996"/>
        <v>1</v>
      </c>
      <c r="F5721" t="str">
        <f t="shared" si="993"/>
        <v>COM</v>
      </c>
      <c r="G5721" t="str">
        <f>"JULIEDERSON AGUIAR SANTOS (946)"</f>
        <v>JULIEDERSON AGUIAR SANTOS (946)</v>
      </c>
      <c r="H5721" t="str">
        <f>"Serv.Prest. 29/09/2025 a 05/10/2025 - PIX: CPF - CHAVE: 383.328.968-60"</f>
        <v>Serv.Prest. 29/09/2025 a 05/10/2025 - PIX: CPF - CHAVE: 383.328.968-60</v>
      </c>
      <c r="I5721" t="str">
        <f t="shared" si="994"/>
        <v>09/10/2025</v>
      </c>
      <c r="J5721" t="str">
        <f t="shared" si="998"/>
        <v>06/10/2025</v>
      </c>
      <c r="K5721" t="str">
        <f>("09/10/2025")</f>
        <v>09/10/2025</v>
      </c>
      <c r="L5721">
        <v>680</v>
      </c>
      <c r="M5721">
        <v>680</v>
      </c>
      <c r="N5721">
        <v>109</v>
      </c>
      <c r="O5721" t="str">
        <f>"PAGAMENTO DE ENTREGADORES"</f>
        <v>PAGAMENTO DE ENTREGADORES</v>
      </c>
      <c r="P5721">
        <v>680</v>
      </c>
      <c r="S5721" t="str">
        <f>"BANCO C6 (149)"</f>
        <v>BANCO C6 (149)</v>
      </c>
      <c r="T5721">
        <v>20008</v>
      </c>
      <c r="U5721">
        <v>22846</v>
      </c>
      <c r="V5721" t="s">
        <v>77</v>
      </c>
    </row>
    <row r="5722" spans="1:22">
      <c r="A5722" t="str">
        <f t="shared" si="997"/>
        <v>09/10/2025</v>
      </c>
      <c r="B5722" t="str">
        <f t="shared" si="992"/>
        <v>SAÍDA</v>
      </c>
      <c r="C5722" t="str">
        <f t="shared" si="995"/>
        <v>PIX</v>
      </c>
      <c r="D5722" t="str">
        <f>"22846"</f>
        <v>22846</v>
      </c>
      <c r="E5722" t="str">
        <f t="shared" si="996"/>
        <v>1</v>
      </c>
      <c r="F5722" t="str">
        <f t="shared" si="993"/>
        <v>COM</v>
      </c>
      <c r="G5722" t="str">
        <f>"JULIEDERSON AGUIAR SANTOS (946)"</f>
        <v>JULIEDERSON AGUIAR SANTOS (946)</v>
      </c>
      <c r="H5722" t="s">
        <v>1429</v>
      </c>
      <c r="I5722" t="str">
        <f t="shared" si="994"/>
        <v>09/10/2025</v>
      </c>
      <c r="J5722" t="str">
        <f t="shared" si="998"/>
        <v>06/10/2025</v>
      </c>
      <c r="K5722">
        <v>45939</v>
      </c>
      <c r="N5722">
        <v>109</v>
      </c>
      <c r="O5722" t="s">
        <v>24</v>
      </c>
      <c r="Q5722">
        <v>680</v>
      </c>
      <c r="R5722" t="str">
        <f>"PENSE FARMA 22 (10198)"</f>
        <v>PENSE FARMA 22 (10198)</v>
      </c>
      <c r="S5722" t="s">
        <v>77</v>
      </c>
      <c r="T5722">
        <v>20008</v>
      </c>
      <c r="U5722">
        <v>22846</v>
      </c>
      <c r="V5722" t="s">
        <v>77</v>
      </c>
    </row>
    <row r="5723" spans="1:22">
      <c r="A5723" t="str">
        <f t="shared" si="997"/>
        <v>09/10/2025</v>
      </c>
      <c r="B5723" t="str">
        <f t="shared" si="992"/>
        <v>SAÍDA</v>
      </c>
      <c r="C5723" t="str">
        <f t="shared" si="995"/>
        <v>PIX</v>
      </c>
      <c r="D5723" t="str">
        <f>"22849"</f>
        <v>22849</v>
      </c>
      <c r="E5723" t="str">
        <f t="shared" si="996"/>
        <v>1</v>
      </c>
      <c r="F5723" t="str">
        <f t="shared" si="993"/>
        <v>COM</v>
      </c>
      <c r="G5723" t="str">
        <f>"HERICK KUSSYOYADA CAMARA (937)"</f>
        <v>HERICK KUSSYOYADA CAMARA (937)</v>
      </c>
      <c r="H5723" t="str">
        <f>"Serv.Prest. 29/09/2025 a 05/10/2025 - PIX: CPF - CHAVE: 427.090.718-51"</f>
        <v>Serv.Prest. 29/09/2025 a 05/10/2025 - PIX: CPF - CHAVE: 427.090.718-51</v>
      </c>
      <c r="I5723" t="str">
        <f t="shared" si="994"/>
        <v>09/10/2025</v>
      </c>
      <c r="J5723" t="str">
        <f t="shared" si="998"/>
        <v>06/10/2025</v>
      </c>
      <c r="K5723" t="str">
        <f>("09/10/2025")</f>
        <v>09/10/2025</v>
      </c>
      <c r="L5723">
        <v>1400</v>
      </c>
      <c r="M5723">
        <v>1400</v>
      </c>
      <c r="N5723">
        <v>109</v>
      </c>
      <c r="O5723" t="str">
        <f>"PAGAMENTO DE ENTREGADORES"</f>
        <v>PAGAMENTO DE ENTREGADORES</v>
      </c>
      <c r="P5723">
        <v>1400</v>
      </c>
      <c r="S5723" t="str">
        <f>"BANCO C6 (149)"</f>
        <v>BANCO C6 (149)</v>
      </c>
      <c r="T5723">
        <v>20009</v>
      </c>
      <c r="U5723">
        <v>22849</v>
      </c>
      <c r="V5723" t="s">
        <v>77</v>
      </c>
    </row>
    <row r="5724" spans="1:22">
      <c r="A5724" t="str">
        <f t="shared" si="997"/>
        <v>09/10/2025</v>
      </c>
      <c r="B5724" t="str">
        <f t="shared" si="992"/>
        <v>SAÍDA</v>
      </c>
      <c r="C5724" t="str">
        <f t="shared" si="995"/>
        <v>PIX</v>
      </c>
      <c r="D5724" t="str">
        <f>"22849"</f>
        <v>22849</v>
      </c>
      <c r="E5724" t="str">
        <f t="shared" si="996"/>
        <v>1</v>
      </c>
      <c r="F5724" t="str">
        <f t="shared" si="993"/>
        <v>COM</v>
      </c>
      <c r="G5724" t="str">
        <f>"HERICK KUSSYOYADA CAMARA (937)"</f>
        <v>HERICK KUSSYOYADA CAMARA (937)</v>
      </c>
      <c r="H5724" t="s">
        <v>1570</v>
      </c>
      <c r="I5724" t="str">
        <f t="shared" si="994"/>
        <v>09/10/2025</v>
      </c>
      <c r="J5724" t="str">
        <f t="shared" si="998"/>
        <v>06/10/2025</v>
      </c>
      <c r="K5724">
        <v>45939</v>
      </c>
      <c r="N5724">
        <v>109</v>
      </c>
      <c r="O5724" t="s">
        <v>24</v>
      </c>
      <c r="Q5724">
        <v>1400</v>
      </c>
      <c r="R5724" t="str">
        <f>"PENSE FARMA 46 (10194)"</f>
        <v>PENSE FARMA 46 (10194)</v>
      </c>
      <c r="S5724" t="s">
        <v>77</v>
      </c>
      <c r="T5724">
        <v>20009</v>
      </c>
      <c r="U5724">
        <v>22849</v>
      </c>
      <c r="V5724" t="s">
        <v>77</v>
      </c>
    </row>
    <row r="5725" spans="1:22">
      <c r="A5725" t="str">
        <f t="shared" si="997"/>
        <v>09/10/2025</v>
      </c>
      <c r="B5725" t="str">
        <f t="shared" si="992"/>
        <v>SAÍDA</v>
      </c>
      <c r="C5725" t="str">
        <f t="shared" si="995"/>
        <v>PIX</v>
      </c>
      <c r="D5725" t="str">
        <f>"22852"</f>
        <v>22852</v>
      </c>
      <c r="E5725" t="str">
        <f t="shared" si="996"/>
        <v>1</v>
      </c>
      <c r="F5725" t="str">
        <f t="shared" si="993"/>
        <v>COM</v>
      </c>
      <c r="G5725" t="str">
        <f>"BRUNO ANDRADE LESSA (952)"</f>
        <v>BRUNO ANDRADE LESSA (952)</v>
      </c>
      <c r="H5725" t="str">
        <f>"Serv.Prest. 29/09/2025 a 05/10/2025 - PIX: CELULAR - CHAVE: (28) 99988-2177"</f>
        <v>Serv.Prest. 29/09/2025 a 05/10/2025 - PIX: CELULAR - CHAVE: (28) 99988-2177</v>
      </c>
      <c r="I5725" t="str">
        <f t="shared" si="994"/>
        <v>09/10/2025</v>
      </c>
      <c r="J5725" t="str">
        <f t="shared" si="998"/>
        <v>06/10/2025</v>
      </c>
      <c r="K5725" t="str">
        <f>("09/10/2025")</f>
        <v>09/10/2025</v>
      </c>
      <c r="L5725">
        <v>660</v>
      </c>
      <c r="M5725">
        <v>660</v>
      </c>
      <c r="N5725">
        <v>109</v>
      </c>
      <c r="O5725" t="str">
        <f>"PAGAMENTO DE ENTREGADORES"</f>
        <v>PAGAMENTO DE ENTREGADORES</v>
      </c>
      <c r="P5725">
        <v>660</v>
      </c>
      <c r="S5725" t="str">
        <f>"BANCO C6 (149)"</f>
        <v>BANCO C6 (149)</v>
      </c>
      <c r="T5725">
        <v>20010</v>
      </c>
      <c r="U5725">
        <v>22852</v>
      </c>
      <c r="V5725" t="s">
        <v>77</v>
      </c>
    </row>
    <row r="5726" spans="1:22">
      <c r="A5726" t="str">
        <f t="shared" si="997"/>
        <v>09/10/2025</v>
      </c>
      <c r="B5726" t="str">
        <f t="shared" si="992"/>
        <v>SAÍDA</v>
      </c>
      <c r="C5726" t="str">
        <f t="shared" si="995"/>
        <v>PIX</v>
      </c>
      <c r="D5726" t="str">
        <f>"22852"</f>
        <v>22852</v>
      </c>
      <c r="E5726" t="str">
        <f t="shared" si="996"/>
        <v>1</v>
      </c>
      <c r="F5726" t="str">
        <f t="shared" si="993"/>
        <v>COM</v>
      </c>
      <c r="G5726" t="str">
        <f>"BRUNO ANDRADE LESSA (952)"</f>
        <v>BRUNO ANDRADE LESSA (952)</v>
      </c>
      <c r="H5726" t="s">
        <v>1375</v>
      </c>
      <c r="I5726" t="str">
        <f t="shared" si="994"/>
        <v>09/10/2025</v>
      </c>
      <c r="J5726" t="str">
        <f t="shared" si="998"/>
        <v>06/10/2025</v>
      </c>
      <c r="K5726">
        <v>45939</v>
      </c>
      <c r="N5726">
        <v>109</v>
      </c>
      <c r="O5726" t="s">
        <v>24</v>
      </c>
      <c r="Q5726">
        <v>660</v>
      </c>
      <c r="R5726" t="str">
        <f>"LBL FARMACIA LTDA FILIAL (10192)"</f>
        <v>LBL FARMACIA LTDA FILIAL (10192)</v>
      </c>
      <c r="S5726" t="s">
        <v>77</v>
      </c>
      <c r="T5726">
        <v>20010</v>
      </c>
      <c r="U5726">
        <v>22852</v>
      </c>
      <c r="V5726" t="s">
        <v>77</v>
      </c>
    </row>
    <row r="5727" spans="1:22">
      <c r="A5727" t="str">
        <f t="shared" si="997"/>
        <v>09/10/2025</v>
      </c>
      <c r="B5727" t="str">
        <f t="shared" si="992"/>
        <v>SAÍDA</v>
      </c>
      <c r="C5727" t="str">
        <f t="shared" si="995"/>
        <v>PIX</v>
      </c>
      <c r="D5727" t="str">
        <f>"22853"</f>
        <v>22853</v>
      </c>
      <c r="E5727" t="str">
        <f t="shared" si="996"/>
        <v>1</v>
      </c>
      <c r="F5727" t="str">
        <f t="shared" si="993"/>
        <v>COM</v>
      </c>
      <c r="G5727" t="str">
        <f>"YAN FILIPUTI CORA (926)"</f>
        <v>YAN FILIPUTI CORA (926)</v>
      </c>
      <c r="H5727" t="str">
        <f>"Serv.Prest. 29/09/2025 a 05/10/2025 - PIX: CELULAR - CHAVE: (28) 98816-4170"</f>
        <v>Serv.Prest. 29/09/2025 a 05/10/2025 - PIX: CELULAR - CHAVE: (28) 98816-4170</v>
      </c>
      <c r="I5727" t="str">
        <f t="shared" si="994"/>
        <v>09/10/2025</v>
      </c>
      <c r="J5727" t="str">
        <f t="shared" si="998"/>
        <v>06/10/2025</v>
      </c>
      <c r="K5727" t="str">
        <f>("09/10/2025")</f>
        <v>09/10/2025</v>
      </c>
      <c r="L5727">
        <v>400</v>
      </c>
      <c r="M5727">
        <v>400</v>
      </c>
      <c r="N5727">
        <v>109</v>
      </c>
      <c r="O5727" t="str">
        <f>"PAGAMENTO DE ENTREGADORES"</f>
        <v>PAGAMENTO DE ENTREGADORES</v>
      </c>
      <c r="P5727">
        <v>400</v>
      </c>
      <c r="S5727" t="str">
        <f>"BANCO C6 (149)"</f>
        <v>BANCO C6 (149)</v>
      </c>
      <c r="T5727">
        <v>20011</v>
      </c>
      <c r="U5727">
        <v>22853</v>
      </c>
      <c r="V5727" t="s">
        <v>77</v>
      </c>
    </row>
    <row r="5728" spans="1:22">
      <c r="A5728" t="str">
        <f t="shared" si="997"/>
        <v>09/10/2025</v>
      </c>
      <c r="B5728" t="str">
        <f t="shared" si="992"/>
        <v>SAÍDA</v>
      </c>
      <c r="C5728" t="str">
        <f t="shared" si="995"/>
        <v>PIX</v>
      </c>
      <c r="D5728" t="str">
        <f>"22853"</f>
        <v>22853</v>
      </c>
      <c r="E5728" t="str">
        <f t="shared" si="996"/>
        <v>1</v>
      </c>
      <c r="F5728" t="str">
        <f t="shared" si="993"/>
        <v>COM</v>
      </c>
      <c r="G5728" t="str">
        <f>"YAN FILIPUTI CORA (926)"</f>
        <v>YAN FILIPUTI CORA (926)</v>
      </c>
      <c r="H5728" t="s">
        <v>1502</v>
      </c>
      <c r="I5728" t="str">
        <f t="shared" si="994"/>
        <v>09/10/2025</v>
      </c>
      <c r="J5728" t="str">
        <f t="shared" si="998"/>
        <v>06/10/2025</v>
      </c>
      <c r="K5728">
        <v>45939</v>
      </c>
      <c r="N5728">
        <v>109</v>
      </c>
      <c r="O5728" t="s">
        <v>24</v>
      </c>
      <c r="Q5728">
        <v>400</v>
      </c>
      <c r="R5728" t="str">
        <f>"LBL FARMACIA LTDA FILIAL (10192)"</f>
        <v>LBL FARMACIA LTDA FILIAL (10192)</v>
      </c>
      <c r="S5728" t="s">
        <v>77</v>
      </c>
      <c r="T5728">
        <v>20011</v>
      </c>
      <c r="U5728">
        <v>22853</v>
      </c>
      <c r="V5728" t="s">
        <v>77</v>
      </c>
    </row>
    <row r="5729" spans="1:22">
      <c r="A5729" t="str">
        <f t="shared" si="997"/>
        <v>09/10/2025</v>
      </c>
      <c r="B5729" t="str">
        <f t="shared" si="992"/>
        <v>SAÍDA</v>
      </c>
      <c r="C5729" t="str">
        <f t="shared" si="995"/>
        <v>PIX</v>
      </c>
      <c r="D5729" t="str">
        <f>"22855"</f>
        <v>22855</v>
      </c>
      <c r="E5729" t="str">
        <f t="shared" si="996"/>
        <v>1</v>
      </c>
      <c r="F5729" t="str">
        <f t="shared" si="993"/>
        <v>COM</v>
      </c>
      <c r="G5729" t="str">
        <f>"BRUNO ANDRADE LESSA (952)"</f>
        <v>BRUNO ANDRADE LESSA (952)</v>
      </c>
      <c r="H5729" t="str">
        <f>"Serv.Prest. 29/09/2025 a 05/10/2025 - PIX: CELULAR - CHAVE: (28) 99988-2177"</f>
        <v>Serv.Prest. 29/09/2025 a 05/10/2025 - PIX: CELULAR - CHAVE: (28) 99988-2177</v>
      </c>
      <c r="I5729" t="str">
        <f t="shared" si="994"/>
        <v>09/10/2025</v>
      </c>
      <c r="J5729" t="str">
        <f t="shared" si="998"/>
        <v>06/10/2025</v>
      </c>
      <c r="K5729" t="str">
        <f>("09/10/2025")</f>
        <v>09/10/2025</v>
      </c>
      <c r="L5729">
        <v>205</v>
      </c>
      <c r="M5729">
        <v>205</v>
      </c>
      <c r="N5729">
        <v>109</v>
      </c>
      <c r="O5729" t="str">
        <f>"PAGAMENTO DE ENTREGADORES"</f>
        <v>PAGAMENTO DE ENTREGADORES</v>
      </c>
      <c r="P5729">
        <v>205</v>
      </c>
      <c r="S5729" t="str">
        <f>"BANCO C6 (149)"</f>
        <v>BANCO C6 (149)</v>
      </c>
      <c r="T5729">
        <v>20012</v>
      </c>
      <c r="U5729">
        <v>22855</v>
      </c>
      <c r="V5729" t="s">
        <v>77</v>
      </c>
    </row>
    <row r="5730" spans="1:22">
      <c r="A5730" t="str">
        <f t="shared" si="997"/>
        <v>09/10/2025</v>
      </c>
      <c r="B5730" t="str">
        <f t="shared" si="992"/>
        <v>SAÍDA</v>
      </c>
      <c r="C5730" t="str">
        <f t="shared" si="995"/>
        <v>PIX</v>
      </c>
      <c r="D5730" t="str">
        <f>"22855"</f>
        <v>22855</v>
      </c>
      <c r="E5730" t="str">
        <f t="shared" si="996"/>
        <v>1</v>
      </c>
      <c r="F5730" t="str">
        <f t="shared" si="993"/>
        <v>COM</v>
      </c>
      <c r="G5730" t="str">
        <f>"BRUNO ANDRADE LESSA (952)"</f>
        <v>BRUNO ANDRADE LESSA (952)</v>
      </c>
      <c r="H5730" t="s">
        <v>1375</v>
      </c>
      <c r="I5730" t="str">
        <f t="shared" si="994"/>
        <v>09/10/2025</v>
      </c>
      <c r="J5730" t="str">
        <f t="shared" si="998"/>
        <v>06/10/2025</v>
      </c>
      <c r="K5730">
        <v>45939</v>
      </c>
      <c r="N5730">
        <v>109</v>
      </c>
      <c r="O5730" t="s">
        <v>24</v>
      </c>
      <c r="Q5730">
        <v>205</v>
      </c>
      <c r="R5730" t="str">
        <f>"LBL FARMACIA LTDA (10189)"</f>
        <v>LBL FARMACIA LTDA (10189)</v>
      </c>
      <c r="S5730" t="s">
        <v>77</v>
      </c>
      <c r="T5730">
        <v>20012</v>
      </c>
      <c r="U5730">
        <v>22855</v>
      </c>
      <c r="V5730" t="s">
        <v>77</v>
      </c>
    </row>
    <row r="5731" spans="1:22">
      <c r="A5731" t="str">
        <f t="shared" si="997"/>
        <v>09/10/2025</v>
      </c>
      <c r="B5731" t="str">
        <f t="shared" si="992"/>
        <v>SAÍDA</v>
      </c>
      <c r="C5731" t="str">
        <f t="shared" si="995"/>
        <v>PIX</v>
      </c>
      <c r="D5731" t="str">
        <f>"22856"</f>
        <v>22856</v>
      </c>
      <c r="E5731" t="str">
        <f t="shared" si="996"/>
        <v>1</v>
      </c>
      <c r="F5731" t="str">
        <f t="shared" si="993"/>
        <v>COM</v>
      </c>
      <c r="G5731" t="str">
        <f>"YAN FILIPUTI CORA (926)"</f>
        <v>YAN FILIPUTI CORA (926)</v>
      </c>
      <c r="H5731" t="str">
        <f>"Serv.Prest. 29/09/2025 a 05/10/2025 - PIX: CELULAR - CHAVE: (28) 98816-4170"</f>
        <v>Serv.Prest. 29/09/2025 a 05/10/2025 - PIX: CELULAR - CHAVE: (28) 98816-4170</v>
      </c>
      <c r="I5731" t="str">
        <f t="shared" si="994"/>
        <v>09/10/2025</v>
      </c>
      <c r="J5731" t="str">
        <f t="shared" si="998"/>
        <v>06/10/2025</v>
      </c>
      <c r="K5731" t="str">
        <f>("09/10/2025")</f>
        <v>09/10/2025</v>
      </c>
      <c r="L5731">
        <v>280</v>
      </c>
      <c r="M5731">
        <v>280</v>
      </c>
      <c r="N5731">
        <v>109</v>
      </c>
      <c r="O5731" t="str">
        <f>"PAGAMENTO DE ENTREGADORES"</f>
        <v>PAGAMENTO DE ENTREGADORES</v>
      </c>
      <c r="P5731">
        <v>280</v>
      </c>
      <c r="S5731" t="str">
        <f>"BANCO C6 (149)"</f>
        <v>BANCO C6 (149)</v>
      </c>
      <c r="T5731">
        <v>20013</v>
      </c>
      <c r="U5731">
        <v>22856</v>
      </c>
      <c r="V5731" t="s">
        <v>77</v>
      </c>
    </row>
    <row r="5732" spans="1:22">
      <c r="A5732" t="str">
        <f t="shared" si="997"/>
        <v>09/10/2025</v>
      </c>
      <c r="B5732" t="str">
        <f t="shared" si="992"/>
        <v>SAÍDA</v>
      </c>
      <c r="C5732" t="str">
        <f t="shared" si="995"/>
        <v>PIX</v>
      </c>
      <c r="D5732" t="str">
        <f>"22856"</f>
        <v>22856</v>
      </c>
      <c r="E5732" t="str">
        <f t="shared" si="996"/>
        <v>1</v>
      </c>
      <c r="F5732" t="str">
        <f t="shared" si="993"/>
        <v>COM</v>
      </c>
      <c r="G5732" t="str">
        <f>"YAN FILIPUTI CORA (926)"</f>
        <v>YAN FILIPUTI CORA (926)</v>
      </c>
      <c r="H5732" t="s">
        <v>1502</v>
      </c>
      <c r="I5732" t="str">
        <f t="shared" si="994"/>
        <v>09/10/2025</v>
      </c>
      <c r="J5732" t="str">
        <f t="shared" ref="J5732:J5766" si="999">("06/10/2025")</f>
        <v>06/10/2025</v>
      </c>
      <c r="K5732">
        <v>45939</v>
      </c>
      <c r="N5732">
        <v>109</v>
      </c>
      <c r="O5732" t="s">
        <v>24</v>
      </c>
      <c r="Q5732">
        <v>280</v>
      </c>
      <c r="R5732" t="str">
        <f>"LBL FARMACIA LTDA (10189)"</f>
        <v>LBL FARMACIA LTDA (10189)</v>
      </c>
      <c r="S5732" t="s">
        <v>77</v>
      </c>
      <c r="T5732">
        <v>20013</v>
      </c>
      <c r="U5732">
        <v>22856</v>
      </c>
      <c r="V5732" t="s">
        <v>77</v>
      </c>
    </row>
    <row r="5733" spans="1:22">
      <c r="A5733" t="str">
        <f t="shared" si="997"/>
        <v>09/10/2025</v>
      </c>
      <c r="B5733" t="str">
        <f t="shared" si="992"/>
        <v>SAÍDA</v>
      </c>
      <c r="C5733" t="str">
        <f t="shared" si="995"/>
        <v>PIX</v>
      </c>
      <c r="D5733" t="str">
        <f>"22858"</f>
        <v>22858</v>
      </c>
      <c r="E5733" t="str">
        <f t="shared" si="996"/>
        <v>1</v>
      </c>
      <c r="F5733" t="str">
        <f t="shared" si="993"/>
        <v>COM</v>
      </c>
      <c r="G5733" t="str">
        <f>"ELIO CALDEIRA RIBEIRO JUNIOR (840)"</f>
        <v>ELIO CALDEIRA RIBEIRO JUNIOR (840)</v>
      </c>
      <c r="H5733" t="str">
        <f>"Serv.Prest. 29/09/2025 a 05/10/2025 - PIX: CPF - CHAVE: 463.491.858-70"</f>
        <v>Serv.Prest. 29/09/2025 a 05/10/2025 - PIX: CPF - CHAVE: 463.491.858-70</v>
      </c>
      <c r="I5733" t="str">
        <f t="shared" si="994"/>
        <v>09/10/2025</v>
      </c>
      <c r="J5733" t="str">
        <f t="shared" si="999"/>
        <v>06/10/2025</v>
      </c>
      <c r="K5733" t="str">
        <f>("09/10/2025")</f>
        <v>09/10/2025</v>
      </c>
      <c r="L5733">
        <v>918</v>
      </c>
      <c r="M5733">
        <v>918</v>
      </c>
      <c r="N5733">
        <v>109</v>
      </c>
      <c r="O5733" t="str">
        <f>"PAGAMENTO DE ENTREGADORES"</f>
        <v>PAGAMENTO DE ENTREGADORES</v>
      </c>
      <c r="P5733">
        <v>918</v>
      </c>
      <c r="S5733" t="str">
        <f>"BANCO C6 (149)"</f>
        <v>BANCO C6 (149)</v>
      </c>
      <c r="T5733">
        <v>20014</v>
      </c>
      <c r="U5733">
        <v>22858</v>
      </c>
      <c r="V5733" t="s">
        <v>77</v>
      </c>
    </row>
    <row r="5734" spans="1:22">
      <c r="A5734" t="str">
        <f t="shared" si="997"/>
        <v>09/10/2025</v>
      </c>
      <c r="B5734" t="str">
        <f t="shared" si="992"/>
        <v>SAÍDA</v>
      </c>
      <c r="C5734" t="str">
        <f t="shared" si="995"/>
        <v>PIX</v>
      </c>
      <c r="D5734" t="str">
        <f>"22858"</f>
        <v>22858</v>
      </c>
      <c r="E5734" t="str">
        <f t="shared" si="996"/>
        <v>1</v>
      </c>
      <c r="F5734" t="str">
        <f t="shared" si="993"/>
        <v>COM</v>
      </c>
      <c r="G5734" t="str">
        <f>"ELIO CALDEIRA RIBEIRO JUNIOR (840)"</f>
        <v>ELIO CALDEIRA RIBEIRO JUNIOR (840)</v>
      </c>
      <c r="H5734" t="s">
        <v>1394</v>
      </c>
      <c r="I5734" t="str">
        <f t="shared" si="994"/>
        <v>09/10/2025</v>
      </c>
      <c r="J5734" t="str">
        <f t="shared" si="999"/>
        <v>06/10/2025</v>
      </c>
      <c r="K5734">
        <v>45939</v>
      </c>
      <c r="N5734">
        <v>109</v>
      </c>
      <c r="O5734" t="s">
        <v>24</v>
      </c>
      <c r="Q5734">
        <v>918</v>
      </c>
      <c r="R5734" t="str">
        <f>"DROGARIA MEDIC CENTER LTDA (10172)"</f>
        <v>DROGARIA MEDIC CENTER LTDA (10172)</v>
      </c>
      <c r="S5734" t="s">
        <v>77</v>
      </c>
      <c r="T5734">
        <v>20014</v>
      </c>
      <c r="U5734">
        <v>22858</v>
      </c>
      <c r="V5734" t="s">
        <v>77</v>
      </c>
    </row>
    <row r="5735" spans="1:22">
      <c r="A5735" t="str">
        <f t="shared" si="997"/>
        <v>09/10/2025</v>
      </c>
      <c r="B5735" t="str">
        <f t="shared" si="992"/>
        <v>SAÍDA</v>
      </c>
      <c r="C5735" t="str">
        <f t="shared" si="995"/>
        <v>PIX</v>
      </c>
      <c r="D5735" t="str">
        <f>"22861"</f>
        <v>22861</v>
      </c>
      <c r="E5735" t="str">
        <f t="shared" si="996"/>
        <v>1</v>
      </c>
      <c r="F5735" t="str">
        <f t="shared" si="993"/>
        <v>COM</v>
      </c>
      <c r="G5735" t="str">
        <f>"ALLAN SILVA DAMACENA (790)"</f>
        <v>ALLAN SILVA DAMACENA (790)</v>
      </c>
      <c r="H5735" t="str">
        <f>"Serv.Prest. 29/09/2025 a 05/10/2025 - PIX: CELULAR - CHAVE: (19) 98944-4977"</f>
        <v>Serv.Prest. 29/09/2025 a 05/10/2025 - PIX: CELULAR - CHAVE: (19) 98944-4977</v>
      </c>
      <c r="I5735" t="str">
        <f t="shared" si="994"/>
        <v>09/10/2025</v>
      </c>
      <c r="J5735" t="str">
        <f t="shared" si="999"/>
        <v>06/10/2025</v>
      </c>
      <c r="K5735" t="str">
        <f>("09/10/2025")</f>
        <v>09/10/2025</v>
      </c>
      <c r="L5735">
        <v>790</v>
      </c>
      <c r="M5735">
        <v>790</v>
      </c>
      <c r="N5735">
        <v>109</v>
      </c>
      <c r="O5735" t="str">
        <f>"PAGAMENTO DE ENTREGADORES"</f>
        <v>PAGAMENTO DE ENTREGADORES</v>
      </c>
      <c r="P5735">
        <v>790</v>
      </c>
      <c r="S5735" t="str">
        <f>"BANCO C6 (149)"</f>
        <v>BANCO C6 (149)</v>
      </c>
      <c r="T5735">
        <v>20015</v>
      </c>
      <c r="U5735">
        <v>22861</v>
      </c>
      <c r="V5735" t="s">
        <v>77</v>
      </c>
    </row>
    <row r="5736" spans="1:22">
      <c r="A5736" t="str">
        <f t="shared" si="997"/>
        <v>09/10/2025</v>
      </c>
      <c r="B5736" t="str">
        <f t="shared" si="992"/>
        <v>SAÍDA</v>
      </c>
      <c r="C5736" t="str">
        <f t="shared" si="995"/>
        <v>PIX</v>
      </c>
      <c r="D5736" t="str">
        <f>"22861"</f>
        <v>22861</v>
      </c>
      <c r="E5736" t="str">
        <f t="shared" si="996"/>
        <v>1</v>
      </c>
      <c r="F5736" t="str">
        <f t="shared" si="993"/>
        <v>COM</v>
      </c>
      <c r="G5736" t="str">
        <f>"ALLAN SILVA DAMACENA (790)"</f>
        <v>ALLAN SILVA DAMACENA (790)</v>
      </c>
      <c r="H5736" t="s">
        <v>1308</v>
      </c>
      <c r="I5736" t="str">
        <f t="shared" si="994"/>
        <v>09/10/2025</v>
      </c>
      <c r="J5736" t="str">
        <f t="shared" si="999"/>
        <v>06/10/2025</v>
      </c>
      <c r="K5736">
        <v>45939</v>
      </c>
      <c r="N5736">
        <v>109</v>
      </c>
      <c r="O5736" t="s">
        <v>24</v>
      </c>
      <c r="Q5736">
        <v>790</v>
      </c>
      <c r="R5736" t="str">
        <f>"DROGARIA MORENO LTDA (10171)"</f>
        <v>DROGARIA MORENO LTDA (10171)</v>
      </c>
      <c r="S5736" t="s">
        <v>77</v>
      </c>
      <c r="T5736">
        <v>20015</v>
      </c>
      <c r="U5736">
        <v>22861</v>
      </c>
      <c r="V5736" t="s">
        <v>77</v>
      </c>
    </row>
    <row r="5737" spans="1:22">
      <c r="A5737" t="str">
        <f t="shared" si="997"/>
        <v>09/10/2025</v>
      </c>
      <c r="B5737" t="str">
        <f t="shared" si="992"/>
        <v>SAÍDA</v>
      </c>
      <c r="C5737" t="str">
        <f t="shared" si="995"/>
        <v>PIX</v>
      </c>
      <c r="D5737" t="str">
        <f>"22862"</f>
        <v>22862</v>
      </c>
      <c r="E5737" t="str">
        <f t="shared" si="996"/>
        <v>1</v>
      </c>
      <c r="F5737" t="str">
        <f t="shared" si="993"/>
        <v>COM</v>
      </c>
      <c r="G5737" t="str">
        <f>"EDUARDO MARQUES DOS SANTOS (787)"</f>
        <v>EDUARDO MARQUES DOS SANTOS (787)</v>
      </c>
      <c r="H5737" t="str">
        <f>"Serv.Prest. 29/09/2025 a 05/10/2025 - PIX: CELULAR - CHAVE: (11) 97402-1586"</f>
        <v>Serv.Prest. 29/09/2025 a 05/10/2025 - PIX: CELULAR - CHAVE: (11) 97402-1586</v>
      </c>
      <c r="I5737" t="str">
        <f t="shared" si="994"/>
        <v>09/10/2025</v>
      </c>
      <c r="J5737" t="str">
        <f t="shared" si="999"/>
        <v>06/10/2025</v>
      </c>
      <c r="K5737" t="str">
        <f>("09/10/2025")</f>
        <v>09/10/2025</v>
      </c>
      <c r="L5737">
        <v>939</v>
      </c>
      <c r="M5737">
        <v>939</v>
      </c>
      <c r="N5737">
        <v>109</v>
      </c>
      <c r="O5737" t="str">
        <f>"PAGAMENTO DE ENTREGADORES"</f>
        <v>PAGAMENTO DE ENTREGADORES</v>
      </c>
      <c r="P5737">
        <v>939</v>
      </c>
      <c r="S5737" t="str">
        <f>"BANCO C6 (149)"</f>
        <v>BANCO C6 (149)</v>
      </c>
      <c r="T5737">
        <v>20016</v>
      </c>
      <c r="U5737">
        <v>22862</v>
      </c>
      <c r="V5737" t="s">
        <v>77</v>
      </c>
    </row>
    <row r="5738" spans="1:22">
      <c r="A5738" t="str">
        <f t="shared" si="997"/>
        <v>09/10/2025</v>
      </c>
      <c r="B5738" t="str">
        <f t="shared" si="992"/>
        <v>SAÍDA</v>
      </c>
      <c r="C5738" t="str">
        <f t="shared" si="995"/>
        <v>PIX</v>
      </c>
      <c r="D5738" t="str">
        <f>"22862"</f>
        <v>22862</v>
      </c>
      <c r="E5738" t="str">
        <f t="shared" si="996"/>
        <v>1</v>
      </c>
      <c r="F5738" t="str">
        <f t="shared" si="993"/>
        <v>COM</v>
      </c>
      <c r="G5738" t="str">
        <f>"EDUARDO MARQUES DOS SANTOS (787)"</f>
        <v>EDUARDO MARQUES DOS SANTOS (787)</v>
      </c>
      <c r="H5738" t="s">
        <v>1391</v>
      </c>
      <c r="I5738" t="str">
        <f t="shared" si="994"/>
        <v>09/10/2025</v>
      </c>
      <c r="J5738" t="str">
        <f t="shared" si="999"/>
        <v>06/10/2025</v>
      </c>
      <c r="K5738">
        <v>45939</v>
      </c>
      <c r="N5738">
        <v>109</v>
      </c>
      <c r="O5738" t="s">
        <v>24</v>
      </c>
      <c r="Q5738">
        <v>939</v>
      </c>
      <c r="R5738" t="str">
        <f>"DROGARIA MORENO LTDA (10171)"</f>
        <v>DROGARIA MORENO LTDA (10171)</v>
      </c>
      <c r="S5738" t="s">
        <v>77</v>
      </c>
      <c r="T5738">
        <v>20016</v>
      </c>
      <c r="U5738">
        <v>22862</v>
      </c>
      <c r="V5738" t="s">
        <v>77</v>
      </c>
    </row>
    <row r="5739" spans="1:22">
      <c r="A5739" t="str">
        <f t="shared" si="997"/>
        <v>09/10/2025</v>
      </c>
      <c r="B5739" t="str">
        <f t="shared" ref="B5739:B5802" si="1000">"SAÍDA"</f>
        <v>SAÍDA</v>
      </c>
      <c r="C5739" t="str">
        <f t="shared" si="995"/>
        <v>PIX</v>
      </c>
      <c r="D5739" t="str">
        <f>"22864"</f>
        <v>22864</v>
      </c>
      <c r="E5739" t="str">
        <f t="shared" si="996"/>
        <v>1</v>
      </c>
      <c r="F5739" t="str">
        <f t="shared" si="993"/>
        <v>COM</v>
      </c>
      <c r="G5739" t="str">
        <f>"PAULO CESAR DE FARIA (865)"</f>
        <v>PAULO CESAR DE FARIA (865)</v>
      </c>
      <c r="H5739" t="str">
        <f>"Serv.Prest. 29/09/2025 a 05/10/2025 - PIX: CELULAR - CHAVE: (11) 99992-0816"</f>
        <v>Serv.Prest. 29/09/2025 a 05/10/2025 - PIX: CELULAR - CHAVE: (11) 99992-0816</v>
      </c>
      <c r="I5739" t="str">
        <f t="shared" si="994"/>
        <v>09/10/2025</v>
      </c>
      <c r="J5739" t="str">
        <f t="shared" si="999"/>
        <v>06/10/2025</v>
      </c>
      <c r="K5739" t="str">
        <f>("09/10/2025")</f>
        <v>09/10/2025</v>
      </c>
      <c r="L5739">
        <v>995</v>
      </c>
      <c r="M5739">
        <v>995</v>
      </c>
      <c r="N5739">
        <v>109</v>
      </c>
      <c r="O5739" t="str">
        <f>"PAGAMENTO DE ENTREGADORES"</f>
        <v>PAGAMENTO DE ENTREGADORES</v>
      </c>
      <c r="P5739">
        <v>995</v>
      </c>
      <c r="S5739" t="str">
        <f>"BANCO C6 (149)"</f>
        <v>BANCO C6 (149)</v>
      </c>
      <c r="T5739">
        <v>20017</v>
      </c>
      <c r="U5739">
        <v>22864</v>
      </c>
      <c r="V5739" t="s">
        <v>77</v>
      </c>
    </row>
    <row r="5740" spans="1:22">
      <c r="A5740" t="str">
        <f t="shared" si="997"/>
        <v>09/10/2025</v>
      </c>
      <c r="B5740" t="str">
        <f t="shared" si="1000"/>
        <v>SAÍDA</v>
      </c>
      <c r="C5740" t="str">
        <f t="shared" si="995"/>
        <v>PIX</v>
      </c>
      <c r="D5740" t="str">
        <f>"22864"</f>
        <v>22864</v>
      </c>
      <c r="E5740" t="str">
        <f t="shared" si="996"/>
        <v>1</v>
      </c>
      <c r="F5740" t="str">
        <f t="shared" si="993"/>
        <v>COM</v>
      </c>
      <c r="G5740" t="str">
        <f>"PAULO CESAR DE FARIA (865)"</f>
        <v>PAULO CESAR DE FARIA (865)</v>
      </c>
      <c r="H5740" t="s">
        <v>1469</v>
      </c>
      <c r="I5740" t="str">
        <f t="shared" si="994"/>
        <v>09/10/2025</v>
      </c>
      <c r="J5740" t="str">
        <f t="shared" si="999"/>
        <v>06/10/2025</v>
      </c>
      <c r="K5740">
        <v>45939</v>
      </c>
      <c r="N5740">
        <v>109</v>
      </c>
      <c r="O5740" t="s">
        <v>24</v>
      </c>
      <c r="Q5740">
        <v>995</v>
      </c>
      <c r="R5740" t="str">
        <f>"DROGARIA MORENO LTDA (10171)"</f>
        <v>DROGARIA MORENO LTDA (10171)</v>
      </c>
      <c r="S5740" t="s">
        <v>77</v>
      </c>
      <c r="T5740">
        <v>20017</v>
      </c>
      <c r="U5740">
        <v>22864</v>
      </c>
      <c r="V5740" t="s">
        <v>77</v>
      </c>
    </row>
    <row r="5741" spans="1:22">
      <c r="A5741" t="str">
        <f t="shared" si="997"/>
        <v>09/10/2025</v>
      </c>
      <c r="B5741" t="str">
        <f t="shared" si="1000"/>
        <v>SAÍDA</v>
      </c>
      <c r="C5741" t="str">
        <f t="shared" si="995"/>
        <v>PIX</v>
      </c>
      <c r="D5741" t="str">
        <f>"22866"</f>
        <v>22866</v>
      </c>
      <c r="E5741" t="str">
        <f t="shared" si="996"/>
        <v>1</v>
      </c>
      <c r="F5741" t="str">
        <f t="shared" si="993"/>
        <v>COM</v>
      </c>
      <c r="G5741" t="str">
        <f>"JAMERSON SOUZA LOPES (749)"</f>
        <v>JAMERSON SOUZA LOPES (749)</v>
      </c>
      <c r="H5741" t="str">
        <f>"Serv.Prest. 29/09/2025 a 05/10/2025 - PIX: CPF - CHAVE: 423.098.018-36"</f>
        <v>Serv.Prest. 29/09/2025 a 05/10/2025 - PIX: CPF - CHAVE: 423.098.018-36</v>
      </c>
      <c r="I5741" t="str">
        <f t="shared" si="994"/>
        <v>09/10/2025</v>
      </c>
      <c r="J5741" t="str">
        <f t="shared" si="999"/>
        <v>06/10/2025</v>
      </c>
      <c r="K5741" t="str">
        <f>("09/10/2025")</f>
        <v>09/10/2025</v>
      </c>
      <c r="L5741">
        <v>671.7</v>
      </c>
      <c r="M5741">
        <v>671.7</v>
      </c>
      <c r="N5741">
        <v>109</v>
      </c>
      <c r="O5741" t="str">
        <f>"PAGAMENTO DE ENTREGADORES"</f>
        <v>PAGAMENTO DE ENTREGADORES</v>
      </c>
      <c r="P5741">
        <v>671.7</v>
      </c>
      <c r="S5741" t="str">
        <f>"BANCO C6 (149)"</f>
        <v>BANCO C6 (149)</v>
      </c>
      <c r="T5741">
        <v>20018</v>
      </c>
      <c r="U5741">
        <v>22866</v>
      </c>
      <c r="V5741" t="s">
        <v>77</v>
      </c>
    </row>
    <row r="5742" spans="1:22">
      <c r="A5742" t="str">
        <f t="shared" si="997"/>
        <v>09/10/2025</v>
      </c>
      <c r="B5742" t="str">
        <f t="shared" si="1000"/>
        <v>SAÍDA</v>
      </c>
      <c r="C5742" t="str">
        <f t="shared" si="995"/>
        <v>PIX</v>
      </c>
      <c r="D5742" t="str">
        <f>"22866"</f>
        <v>22866</v>
      </c>
      <c r="E5742" t="str">
        <f t="shared" si="996"/>
        <v>1</v>
      </c>
      <c r="F5742" t="str">
        <f t="shared" ref="F5742:F5805" si="1001">"COM"</f>
        <v>COM</v>
      </c>
      <c r="G5742" t="str">
        <f>"JAMERSON SOUZA LOPES (749)"</f>
        <v>JAMERSON SOUZA LOPES (749)</v>
      </c>
      <c r="H5742" t="s">
        <v>1416</v>
      </c>
      <c r="I5742" t="str">
        <f t="shared" si="994"/>
        <v>09/10/2025</v>
      </c>
      <c r="J5742" t="str">
        <f t="shared" si="999"/>
        <v>06/10/2025</v>
      </c>
      <c r="K5742">
        <v>45939</v>
      </c>
      <c r="N5742">
        <v>109</v>
      </c>
      <c r="O5742" t="s">
        <v>24</v>
      </c>
      <c r="Q5742">
        <v>671.7</v>
      </c>
      <c r="R5742" t="str">
        <f>"DROGARIA TOTAL JUNDIAI (10177)"</f>
        <v>DROGARIA TOTAL JUNDIAI (10177)</v>
      </c>
      <c r="S5742" t="s">
        <v>77</v>
      </c>
      <c r="T5742">
        <v>20018</v>
      </c>
      <c r="U5742">
        <v>22866</v>
      </c>
      <c r="V5742" t="s">
        <v>77</v>
      </c>
    </row>
    <row r="5743" spans="1:22">
      <c r="A5743" t="str">
        <f t="shared" si="997"/>
        <v>09/10/2025</v>
      </c>
      <c r="B5743" t="str">
        <f t="shared" si="1000"/>
        <v>SAÍDA</v>
      </c>
      <c r="C5743" t="str">
        <f t="shared" si="995"/>
        <v>PIX</v>
      </c>
      <c r="D5743" t="str">
        <f>"22869"</f>
        <v>22869</v>
      </c>
      <c r="E5743" t="str">
        <f t="shared" si="996"/>
        <v>1</v>
      </c>
      <c r="F5743" t="str">
        <f t="shared" si="1001"/>
        <v>COM</v>
      </c>
      <c r="G5743" t="str">
        <f>"BRENO HENRIQUE DE SOUSA (596)"</f>
        <v>BRENO HENRIQUE DE SOUSA (596)</v>
      </c>
      <c r="H5743" t="str">
        <f>"Serv.Prest. 29/09/2025 a 05/10/2025 - PIX: CELULAR - CHAVE: (37) 99146-2630"</f>
        <v>Serv.Prest. 29/09/2025 a 05/10/2025 - PIX: CELULAR - CHAVE: (37) 99146-2630</v>
      </c>
      <c r="I5743" t="str">
        <f t="shared" si="994"/>
        <v>09/10/2025</v>
      </c>
      <c r="J5743" t="str">
        <f t="shared" si="999"/>
        <v>06/10/2025</v>
      </c>
      <c r="K5743" t="str">
        <f>("09/10/2025")</f>
        <v>09/10/2025</v>
      </c>
      <c r="L5743">
        <v>1180</v>
      </c>
      <c r="M5743">
        <v>1180</v>
      </c>
      <c r="N5743">
        <v>109</v>
      </c>
      <c r="O5743" t="str">
        <f>"PAGAMENTO DE ENTREGADORES"</f>
        <v>PAGAMENTO DE ENTREGADORES</v>
      </c>
      <c r="P5743">
        <v>1180</v>
      </c>
      <c r="S5743" t="str">
        <f>"BANCO C6 (149)"</f>
        <v>BANCO C6 (149)</v>
      </c>
      <c r="T5743">
        <v>20019</v>
      </c>
      <c r="U5743">
        <v>22869</v>
      </c>
      <c r="V5743" t="s">
        <v>77</v>
      </c>
    </row>
    <row r="5744" spans="1:22">
      <c r="A5744" t="str">
        <f t="shared" si="997"/>
        <v>09/10/2025</v>
      </c>
      <c r="B5744" t="str">
        <f t="shared" si="1000"/>
        <v>SAÍDA</v>
      </c>
      <c r="C5744" t="str">
        <f t="shared" si="995"/>
        <v>PIX</v>
      </c>
      <c r="D5744" t="str">
        <f>"22869"</f>
        <v>22869</v>
      </c>
      <c r="E5744" t="str">
        <f t="shared" si="996"/>
        <v>1</v>
      </c>
      <c r="F5744" t="str">
        <f t="shared" si="1001"/>
        <v>COM</v>
      </c>
      <c r="G5744" t="str">
        <f>"BRENO HENRIQUE DE SOUSA (596)"</f>
        <v>BRENO HENRIQUE DE SOUSA (596)</v>
      </c>
      <c r="H5744" t="s">
        <v>1373</v>
      </c>
      <c r="I5744" t="str">
        <f t="shared" si="994"/>
        <v>09/10/2025</v>
      </c>
      <c r="J5744" t="str">
        <f t="shared" si="999"/>
        <v>06/10/2025</v>
      </c>
      <c r="K5744">
        <v>45939</v>
      </c>
      <c r="N5744">
        <v>109</v>
      </c>
      <c r="O5744" t="s">
        <v>24</v>
      </c>
      <c r="Q5744">
        <v>1180</v>
      </c>
      <c r="R5744" t="str">
        <f>"DROGARIA POUPA MINAS (ULTRAMINAS) 1 (10181)"</f>
        <v>DROGARIA POUPA MINAS (ULTRAMINAS) 1 (10181)</v>
      </c>
      <c r="S5744" t="s">
        <v>77</v>
      </c>
      <c r="T5744">
        <v>20019</v>
      </c>
      <c r="U5744">
        <v>22869</v>
      </c>
      <c r="V5744" t="s">
        <v>77</v>
      </c>
    </row>
    <row r="5745" spans="1:22">
      <c r="A5745" t="str">
        <f t="shared" si="997"/>
        <v>09/10/2025</v>
      </c>
      <c r="B5745" t="str">
        <f t="shared" si="1000"/>
        <v>SAÍDA</v>
      </c>
      <c r="C5745" t="str">
        <f t="shared" si="995"/>
        <v>PIX</v>
      </c>
      <c r="D5745" t="str">
        <f>"22870"</f>
        <v>22870</v>
      </c>
      <c r="E5745" t="str">
        <f t="shared" si="996"/>
        <v>1</v>
      </c>
      <c r="F5745" t="str">
        <f t="shared" si="1001"/>
        <v>COM</v>
      </c>
      <c r="G5745" t="str">
        <f>"LUIZ PAULO DE OLIVEIRA (712)"</f>
        <v>LUIZ PAULO DE OLIVEIRA (712)</v>
      </c>
      <c r="H5745" t="str">
        <f>"Serv.Prest. 29/09/2025 a 05/10/2025 - PIX: CPF - CHAVE: 090.332.006-19"</f>
        <v>Serv.Prest. 29/09/2025 a 05/10/2025 - PIX: CPF - CHAVE: 090.332.006-19</v>
      </c>
      <c r="I5745" t="str">
        <f t="shared" si="994"/>
        <v>09/10/2025</v>
      </c>
      <c r="J5745" t="str">
        <f t="shared" si="999"/>
        <v>06/10/2025</v>
      </c>
      <c r="K5745" t="str">
        <f>("09/10/2025")</f>
        <v>09/10/2025</v>
      </c>
      <c r="L5745">
        <v>1060</v>
      </c>
      <c r="M5745">
        <v>1060</v>
      </c>
      <c r="N5745">
        <v>109</v>
      </c>
      <c r="O5745" t="str">
        <f>"PAGAMENTO DE ENTREGADORES"</f>
        <v>PAGAMENTO DE ENTREGADORES</v>
      </c>
      <c r="P5745">
        <v>1060</v>
      </c>
      <c r="S5745" t="str">
        <f>"BANCO C6 (149)"</f>
        <v>BANCO C6 (149)</v>
      </c>
      <c r="T5745">
        <v>20020</v>
      </c>
      <c r="U5745">
        <v>22870</v>
      </c>
      <c r="V5745" t="s">
        <v>77</v>
      </c>
    </row>
    <row r="5746" spans="1:22">
      <c r="A5746" t="str">
        <f t="shared" si="997"/>
        <v>09/10/2025</v>
      </c>
      <c r="B5746" t="str">
        <f t="shared" si="1000"/>
        <v>SAÍDA</v>
      </c>
      <c r="C5746" t="str">
        <f t="shared" si="995"/>
        <v>PIX</v>
      </c>
      <c r="D5746" t="str">
        <f>"22870"</f>
        <v>22870</v>
      </c>
      <c r="E5746" t="str">
        <f t="shared" si="996"/>
        <v>1</v>
      </c>
      <c r="F5746" t="str">
        <f t="shared" si="1001"/>
        <v>COM</v>
      </c>
      <c r="G5746" t="str">
        <f>"LUIZ PAULO DE OLIVEIRA (712)"</f>
        <v>LUIZ PAULO DE OLIVEIRA (712)</v>
      </c>
      <c r="H5746" t="s">
        <v>1456</v>
      </c>
      <c r="I5746" t="str">
        <f t="shared" si="994"/>
        <v>09/10/2025</v>
      </c>
      <c r="J5746" t="str">
        <f t="shared" si="999"/>
        <v>06/10/2025</v>
      </c>
      <c r="K5746">
        <v>45939</v>
      </c>
      <c r="N5746">
        <v>109</v>
      </c>
      <c r="O5746" t="s">
        <v>24</v>
      </c>
      <c r="Q5746">
        <v>1060</v>
      </c>
      <c r="R5746" t="str">
        <f>"DROGARIA POUPA MINAS (ULTRAMINAS) 1 (10181)"</f>
        <v>DROGARIA POUPA MINAS (ULTRAMINAS) 1 (10181)</v>
      </c>
      <c r="S5746" t="s">
        <v>77</v>
      </c>
      <c r="T5746">
        <v>20020</v>
      </c>
      <c r="U5746">
        <v>22870</v>
      </c>
      <c r="V5746" t="s">
        <v>77</v>
      </c>
    </row>
    <row r="5747" spans="1:22">
      <c r="A5747" t="str">
        <f t="shared" si="997"/>
        <v>09/10/2025</v>
      </c>
      <c r="B5747" t="str">
        <f t="shared" si="1000"/>
        <v>SAÍDA</v>
      </c>
      <c r="C5747" t="str">
        <f t="shared" si="995"/>
        <v>PIX</v>
      </c>
      <c r="D5747" t="str">
        <f>"22871"</f>
        <v>22871</v>
      </c>
      <c r="E5747" t="str">
        <f t="shared" si="996"/>
        <v>1</v>
      </c>
      <c r="F5747" t="str">
        <f t="shared" si="1001"/>
        <v>COM</v>
      </c>
      <c r="G5747" t="str">
        <f>"RICHARD HENRIQUE DA SILVA (244)"</f>
        <v>RICHARD HENRIQUE DA SILVA (244)</v>
      </c>
      <c r="H5747" t="str">
        <f>"Serv.Prest. 29/09/2025 a 05/10/2025 - PIX: CELULAR - CHAVE: (37) 99197-6834"</f>
        <v>Serv.Prest. 29/09/2025 a 05/10/2025 - PIX: CELULAR - CHAVE: (37) 99197-6834</v>
      </c>
      <c r="I5747" t="str">
        <f t="shared" si="994"/>
        <v>09/10/2025</v>
      </c>
      <c r="J5747" t="str">
        <f t="shared" si="999"/>
        <v>06/10/2025</v>
      </c>
      <c r="K5747" t="str">
        <f>("09/10/2025")</f>
        <v>09/10/2025</v>
      </c>
      <c r="L5747">
        <v>1420</v>
      </c>
      <c r="M5747">
        <v>1420</v>
      </c>
      <c r="N5747">
        <v>109</v>
      </c>
      <c r="O5747" t="str">
        <f>"PAGAMENTO DE ENTREGADORES"</f>
        <v>PAGAMENTO DE ENTREGADORES</v>
      </c>
      <c r="P5747">
        <v>1420</v>
      </c>
      <c r="S5747" t="str">
        <f>"BANCO C6 (149)"</f>
        <v>BANCO C6 (149)</v>
      </c>
      <c r="T5747">
        <v>20021</v>
      </c>
      <c r="U5747">
        <v>22871</v>
      </c>
      <c r="V5747" t="s">
        <v>77</v>
      </c>
    </row>
    <row r="5748" spans="1:22">
      <c r="A5748" t="str">
        <f t="shared" si="997"/>
        <v>09/10/2025</v>
      </c>
      <c r="B5748" t="str">
        <f t="shared" si="1000"/>
        <v>SAÍDA</v>
      </c>
      <c r="C5748" t="str">
        <f t="shared" si="995"/>
        <v>PIX</v>
      </c>
      <c r="D5748" t="str">
        <f>"22871"</f>
        <v>22871</v>
      </c>
      <c r="E5748" t="str">
        <f t="shared" si="996"/>
        <v>1</v>
      </c>
      <c r="F5748" t="str">
        <f t="shared" si="1001"/>
        <v>COM</v>
      </c>
      <c r="G5748" t="str">
        <f>"RICHARD HENRIQUE DA SILVA (244)"</f>
        <v>RICHARD HENRIQUE DA SILVA (244)</v>
      </c>
      <c r="H5748" t="s">
        <v>1475</v>
      </c>
      <c r="I5748" t="str">
        <f t="shared" ref="I5748:I5811" si="1002">("09/10/2025")</f>
        <v>09/10/2025</v>
      </c>
      <c r="J5748" t="str">
        <f t="shared" si="999"/>
        <v>06/10/2025</v>
      </c>
      <c r="K5748">
        <v>45939</v>
      </c>
      <c r="N5748">
        <v>109</v>
      </c>
      <c r="O5748" t="s">
        <v>24</v>
      </c>
      <c r="Q5748">
        <v>1420</v>
      </c>
      <c r="R5748" t="str">
        <f>"DROGARIA POUPA MINAS (ULTRAMINAS) 1 (10181)"</f>
        <v>DROGARIA POUPA MINAS (ULTRAMINAS) 1 (10181)</v>
      </c>
      <c r="S5748" t="s">
        <v>77</v>
      </c>
      <c r="T5748">
        <v>20021</v>
      </c>
      <c r="U5748">
        <v>22871</v>
      </c>
      <c r="V5748" t="s">
        <v>77</v>
      </c>
    </row>
    <row r="5749" spans="1:22">
      <c r="A5749" t="str">
        <f t="shared" si="997"/>
        <v>09/10/2025</v>
      </c>
      <c r="B5749" t="str">
        <f t="shared" si="1000"/>
        <v>SAÍDA</v>
      </c>
      <c r="C5749" t="str">
        <f t="shared" si="995"/>
        <v>PIX</v>
      </c>
      <c r="D5749" t="str">
        <f>"22872"</f>
        <v>22872</v>
      </c>
      <c r="E5749" t="str">
        <f t="shared" si="996"/>
        <v>1</v>
      </c>
      <c r="F5749" t="str">
        <f t="shared" si="1001"/>
        <v>COM</v>
      </c>
      <c r="G5749" t="str">
        <f>"ROGERIO AUGUSTO FERREIRA (649)"</f>
        <v>ROGERIO AUGUSTO FERREIRA (649)</v>
      </c>
      <c r="H5749" t="str">
        <f>"Serv.Prest. 29/09/2025 a 05/10/2025 - PIX: CPF - CHAVE: 950.176.406-06"</f>
        <v>Serv.Prest. 29/09/2025 a 05/10/2025 - PIX: CPF - CHAVE: 950.176.406-06</v>
      </c>
      <c r="I5749" t="str">
        <f t="shared" si="1002"/>
        <v>09/10/2025</v>
      </c>
      <c r="J5749" t="str">
        <f t="shared" si="999"/>
        <v>06/10/2025</v>
      </c>
      <c r="K5749" t="str">
        <f>("09/10/2025")</f>
        <v>09/10/2025</v>
      </c>
      <c r="L5749">
        <v>1060</v>
      </c>
      <c r="M5749">
        <v>1060</v>
      </c>
      <c r="N5749">
        <v>109</v>
      </c>
      <c r="O5749" t="str">
        <f>"PAGAMENTO DE ENTREGADORES"</f>
        <v>PAGAMENTO DE ENTREGADORES</v>
      </c>
      <c r="P5749">
        <v>1060</v>
      </c>
      <c r="S5749" t="str">
        <f>"BANCO C6 (149)"</f>
        <v>BANCO C6 (149)</v>
      </c>
      <c r="T5749">
        <v>20022</v>
      </c>
      <c r="U5749">
        <v>22872</v>
      </c>
      <c r="V5749" t="s">
        <v>77</v>
      </c>
    </row>
    <row r="5750" spans="1:22">
      <c r="A5750" t="str">
        <f t="shared" si="997"/>
        <v>09/10/2025</v>
      </c>
      <c r="B5750" t="str">
        <f t="shared" si="1000"/>
        <v>SAÍDA</v>
      </c>
      <c r="C5750" t="str">
        <f t="shared" ref="C5750:C5813" si="1003">"PIX"</f>
        <v>PIX</v>
      </c>
      <c r="D5750" t="str">
        <f>"22872"</f>
        <v>22872</v>
      </c>
      <c r="E5750" t="str">
        <f t="shared" ref="E5750:E5813" si="1004">"1"</f>
        <v>1</v>
      </c>
      <c r="F5750" t="str">
        <f t="shared" si="1001"/>
        <v>COM</v>
      </c>
      <c r="G5750" t="str">
        <f>"ROGERIO AUGUSTO FERREIRA (649)"</f>
        <v>ROGERIO AUGUSTO FERREIRA (649)</v>
      </c>
      <c r="H5750" t="s">
        <v>1476</v>
      </c>
      <c r="I5750" t="str">
        <f t="shared" si="1002"/>
        <v>09/10/2025</v>
      </c>
      <c r="J5750" t="str">
        <f t="shared" si="999"/>
        <v>06/10/2025</v>
      </c>
      <c r="K5750">
        <v>45939</v>
      </c>
      <c r="N5750">
        <v>109</v>
      </c>
      <c r="O5750" t="s">
        <v>24</v>
      </c>
      <c r="Q5750">
        <v>1060</v>
      </c>
      <c r="R5750" t="str">
        <f>"DROGARIA POUPA MINAS (ULTRAMINAS) 1 (10181)"</f>
        <v>DROGARIA POUPA MINAS (ULTRAMINAS) 1 (10181)</v>
      </c>
      <c r="S5750" t="s">
        <v>77</v>
      </c>
      <c r="T5750">
        <v>20022</v>
      </c>
      <c r="U5750">
        <v>22872</v>
      </c>
      <c r="V5750" t="s">
        <v>77</v>
      </c>
    </row>
    <row r="5751" spans="1:22">
      <c r="A5751" t="str">
        <f t="shared" si="997"/>
        <v>09/10/2025</v>
      </c>
      <c r="B5751" t="str">
        <f t="shared" si="1000"/>
        <v>SAÍDA</v>
      </c>
      <c r="C5751" t="str">
        <f t="shared" si="1003"/>
        <v>PIX</v>
      </c>
      <c r="D5751" t="str">
        <f>"22873"</f>
        <v>22873</v>
      </c>
      <c r="E5751" t="str">
        <f t="shared" si="1004"/>
        <v>1</v>
      </c>
      <c r="F5751" t="str">
        <f t="shared" si="1001"/>
        <v>COM</v>
      </c>
      <c r="G5751" t="str">
        <f>"THALES VINÍCIUS RODRIGUES DE OLIVEIRA (704)"</f>
        <v>THALES VINÍCIUS RODRIGUES DE OLIVEIRA (704)</v>
      </c>
      <c r="H5751" t="str">
        <f>"Serv.Prest. 29/09/2025 a 05/10/2025 - PIX: CELULAR - CHAVE: (37) 99138-1777"</f>
        <v>Serv.Prest. 29/09/2025 a 05/10/2025 - PIX: CELULAR - CHAVE: (37) 99138-1777</v>
      </c>
      <c r="I5751" t="str">
        <f t="shared" si="1002"/>
        <v>09/10/2025</v>
      </c>
      <c r="J5751" t="str">
        <f t="shared" si="999"/>
        <v>06/10/2025</v>
      </c>
      <c r="K5751" t="str">
        <f>("09/10/2025")</f>
        <v>09/10/2025</v>
      </c>
      <c r="L5751">
        <v>880</v>
      </c>
      <c r="M5751">
        <v>880</v>
      </c>
      <c r="N5751">
        <v>109</v>
      </c>
      <c r="O5751" t="str">
        <f>"PAGAMENTO DE ENTREGADORES"</f>
        <v>PAGAMENTO DE ENTREGADORES</v>
      </c>
      <c r="P5751">
        <v>880</v>
      </c>
      <c r="S5751" t="str">
        <f>"BANCO C6 (149)"</f>
        <v>BANCO C6 (149)</v>
      </c>
      <c r="T5751">
        <v>20023</v>
      </c>
      <c r="U5751">
        <v>22873</v>
      </c>
      <c r="V5751" t="s">
        <v>77</v>
      </c>
    </row>
    <row r="5752" spans="1:22">
      <c r="A5752" t="str">
        <f t="shared" si="997"/>
        <v>09/10/2025</v>
      </c>
      <c r="B5752" t="str">
        <f t="shared" si="1000"/>
        <v>SAÍDA</v>
      </c>
      <c r="C5752" t="str">
        <f t="shared" si="1003"/>
        <v>PIX</v>
      </c>
      <c r="D5752" t="str">
        <f>"22873"</f>
        <v>22873</v>
      </c>
      <c r="E5752" t="str">
        <f t="shared" si="1004"/>
        <v>1</v>
      </c>
      <c r="F5752" t="str">
        <f t="shared" si="1001"/>
        <v>COM</v>
      </c>
      <c r="G5752" t="str">
        <f>"THALES VINÍCIUS RODRIGUES DE OLIVEIRA (704)"</f>
        <v>THALES VINÍCIUS RODRIGUES DE OLIVEIRA (704)</v>
      </c>
      <c r="H5752" t="s">
        <v>1483</v>
      </c>
      <c r="I5752" t="str">
        <f t="shared" si="1002"/>
        <v>09/10/2025</v>
      </c>
      <c r="J5752" t="str">
        <f t="shared" si="999"/>
        <v>06/10/2025</v>
      </c>
      <c r="K5752">
        <v>45939</v>
      </c>
      <c r="N5752">
        <v>109</v>
      </c>
      <c r="O5752" t="s">
        <v>24</v>
      </c>
      <c r="Q5752">
        <v>880</v>
      </c>
      <c r="R5752" t="str">
        <f>"DROGARIA POUPA MINAS (ULTRAMINAS) 1 (10181)"</f>
        <v>DROGARIA POUPA MINAS (ULTRAMINAS) 1 (10181)</v>
      </c>
      <c r="S5752" t="s">
        <v>77</v>
      </c>
      <c r="T5752">
        <v>20023</v>
      </c>
      <c r="U5752">
        <v>22873</v>
      </c>
      <c r="V5752" t="s">
        <v>77</v>
      </c>
    </row>
    <row r="5753" spans="1:22">
      <c r="A5753" t="str">
        <f t="shared" si="997"/>
        <v>09/10/2025</v>
      </c>
      <c r="B5753" t="str">
        <f t="shared" si="1000"/>
        <v>SAÍDA</v>
      </c>
      <c r="C5753" t="str">
        <f t="shared" si="1003"/>
        <v>PIX</v>
      </c>
      <c r="D5753" t="str">
        <f>"22874"</f>
        <v>22874</v>
      </c>
      <c r="E5753" t="str">
        <f t="shared" si="1004"/>
        <v>1</v>
      </c>
      <c r="F5753" t="str">
        <f t="shared" si="1001"/>
        <v>COM</v>
      </c>
      <c r="G5753" t="str">
        <f>"TIAGO VIEIRA (372)"</f>
        <v>TIAGO VIEIRA (372)</v>
      </c>
      <c r="H5753" t="str">
        <f>"Serv.Prest. 29/09/2025 a 05/10/2025 - PIX: CELULAR - CHAVE: (37) 98841-8571"</f>
        <v>Serv.Prest. 29/09/2025 a 05/10/2025 - PIX: CELULAR - CHAVE: (37) 98841-8571</v>
      </c>
      <c r="I5753" t="str">
        <f t="shared" si="1002"/>
        <v>09/10/2025</v>
      </c>
      <c r="J5753" t="str">
        <f t="shared" si="999"/>
        <v>06/10/2025</v>
      </c>
      <c r="K5753" t="str">
        <f>("09/10/2025")</f>
        <v>09/10/2025</v>
      </c>
      <c r="L5753">
        <v>514</v>
      </c>
      <c r="M5753">
        <v>514</v>
      </c>
      <c r="N5753">
        <v>109</v>
      </c>
      <c r="O5753" t="str">
        <f>"PAGAMENTO DE ENTREGADORES"</f>
        <v>PAGAMENTO DE ENTREGADORES</v>
      </c>
      <c r="P5753">
        <v>514</v>
      </c>
      <c r="S5753" t="str">
        <f>"BANCO C6 (149)"</f>
        <v>BANCO C6 (149)</v>
      </c>
      <c r="T5753">
        <v>20024</v>
      </c>
      <c r="U5753">
        <v>22874</v>
      </c>
      <c r="V5753" t="s">
        <v>77</v>
      </c>
    </row>
    <row r="5754" spans="1:22">
      <c r="A5754" t="str">
        <f t="shared" si="997"/>
        <v>09/10/2025</v>
      </c>
      <c r="B5754" t="str">
        <f t="shared" si="1000"/>
        <v>SAÍDA</v>
      </c>
      <c r="C5754" t="str">
        <f t="shared" si="1003"/>
        <v>PIX</v>
      </c>
      <c r="D5754" t="str">
        <f>"22874"</f>
        <v>22874</v>
      </c>
      <c r="E5754" t="str">
        <f t="shared" si="1004"/>
        <v>1</v>
      </c>
      <c r="F5754" t="str">
        <f t="shared" si="1001"/>
        <v>COM</v>
      </c>
      <c r="G5754" t="str">
        <f>"TIAGO VIEIRA (372)"</f>
        <v>TIAGO VIEIRA (372)</v>
      </c>
      <c r="H5754" t="s">
        <v>1484</v>
      </c>
      <c r="I5754" t="str">
        <f t="shared" si="1002"/>
        <v>09/10/2025</v>
      </c>
      <c r="J5754" t="str">
        <f t="shared" si="999"/>
        <v>06/10/2025</v>
      </c>
      <c r="K5754">
        <v>45939</v>
      </c>
      <c r="N5754">
        <v>109</v>
      </c>
      <c r="O5754" t="s">
        <v>24</v>
      </c>
      <c r="Q5754">
        <v>514</v>
      </c>
      <c r="R5754" t="str">
        <f>"DROGARIA POUPA MINAS (ULTRAMINAS) 1 (10181)"</f>
        <v>DROGARIA POUPA MINAS (ULTRAMINAS) 1 (10181)</v>
      </c>
      <c r="S5754" t="s">
        <v>77</v>
      </c>
      <c r="T5754">
        <v>20024</v>
      </c>
      <c r="U5754">
        <v>22874</v>
      </c>
      <c r="V5754" t="s">
        <v>77</v>
      </c>
    </row>
    <row r="5755" spans="1:22">
      <c r="A5755" t="str">
        <f t="shared" si="997"/>
        <v>09/10/2025</v>
      </c>
      <c r="B5755" t="str">
        <f t="shared" si="1000"/>
        <v>SAÍDA</v>
      </c>
      <c r="C5755" t="str">
        <f t="shared" si="1003"/>
        <v>PIX</v>
      </c>
      <c r="D5755" t="str">
        <f>"22878"</f>
        <v>22878</v>
      </c>
      <c r="E5755" t="str">
        <f t="shared" si="1004"/>
        <v>1</v>
      </c>
      <c r="F5755" t="str">
        <f t="shared" si="1001"/>
        <v>COM</v>
      </c>
      <c r="G5755" t="str">
        <f>"CLAUDIO DOS SANTOS (507)"</f>
        <v>CLAUDIO DOS SANTOS (507)</v>
      </c>
      <c r="H5755" t="str">
        <f>"Serv.Prest. 29/09/2025 a 05/10/2025 - PIX: E-MAIL - CHAVE: claudioverdinho2009@hotmail.com"</f>
        <v>Serv.Prest. 29/09/2025 a 05/10/2025 - PIX: E-MAIL - CHAVE: claudioverdinho2009@hotmail.com</v>
      </c>
      <c r="I5755" t="str">
        <f t="shared" si="1002"/>
        <v>09/10/2025</v>
      </c>
      <c r="J5755" t="str">
        <f t="shared" si="999"/>
        <v>06/10/2025</v>
      </c>
      <c r="K5755" t="str">
        <f>("09/10/2025")</f>
        <v>09/10/2025</v>
      </c>
      <c r="L5755">
        <v>100</v>
      </c>
      <c r="M5755">
        <v>100</v>
      </c>
      <c r="N5755">
        <v>109</v>
      </c>
      <c r="O5755" t="str">
        <f>"PAGAMENTO DE ENTREGADORES"</f>
        <v>PAGAMENTO DE ENTREGADORES</v>
      </c>
      <c r="P5755">
        <v>100</v>
      </c>
      <c r="S5755" t="str">
        <f>"BANCO C6 (149)"</f>
        <v>BANCO C6 (149)</v>
      </c>
      <c r="T5755">
        <v>20025</v>
      </c>
      <c r="U5755">
        <v>22878</v>
      </c>
      <c r="V5755" t="s">
        <v>77</v>
      </c>
    </row>
    <row r="5756" spans="1:22">
      <c r="A5756" t="str">
        <f t="shared" si="997"/>
        <v>09/10/2025</v>
      </c>
      <c r="B5756" t="str">
        <f t="shared" si="1000"/>
        <v>SAÍDA</v>
      </c>
      <c r="C5756" t="str">
        <f t="shared" si="1003"/>
        <v>PIX</v>
      </c>
      <c r="D5756" t="str">
        <f>"22878"</f>
        <v>22878</v>
      </c>
      <c r="E5756" t="str">
        <f t="shared" si="1004"/>
        <v>1</v>
      </c>
      <c r="F5756" t="str">
        <f t="shared" si="1001"/>
        <v>COM</v>
      </c>
      <c r="G5756" t="str">
        <f>"CLAUDIO DOS SANTOS (507)"</f>
        <v>CLAUDIO DOS SANTOS (507)</v>
      </c>
      <c r="H5756" t="s">
        <v>1380</v>
      </c>
      <c r="I5756" t="str">
        <f t="shared" si="1002"/>
        <v>09/10/2025</v>
      </c>
      <c r="J5756" t="str">
        <f t="shared" si="999"/>
        <v>06/10/2025</v>
      </c>
      <c r="K5756">
        <v>45939</v>
      </c>
      <c r="N5756">
        <v>109</v>
      </c>
      <c r="O5756" t="s">
        <v>24</v>
      </c>
      <c r="Q5756">
        <v>100</v>
      </c>
      <c r="R5756" t="str">
        <f>"JAL FARMACIA E DROGARIA LJ 2 (10138)"</f>
        <v>JAL FARMACIA E DROGARIA LJ 2 (10138)</v>
      </c>
      <c r="S5756" t="s">
        <v>77</v>
      </c>
      <c r="T5756">
        <v>20025</v>
      </c>
      <c r="U5756">
        <v>22878</v>
      </c>
      <c r="V5756" t="s">
        <v>77</v>
      </c>
    </row>
    <row r="5757" spans="1:22">
      <c r="A5757" t="str">
        <f t="shared" si="997"/>
        <v>09/10/2025</v>
      </c>
      <c r="B5757" t="str">
        <f t="shared" si="1000"/>
        <v>SAÍDA</v>
      </c>
      <c r="C5757" t="str">
        <f t="shared" si="1003"/>
        <v>PIX</v>
      </c>
      <c r="D5757" t="str">
        <f>"22879"</f>
        <v>22879</v>
      </c>
      <c r="E5757" t="str">
        <f t="shared" si="1004"/>
        <v>1</v>
      </c>
      <c r="F5757" t="str">
        <f t="shared" si="1001"/>
        <v>COM</v>
      </c>
      <c r="G5757" t="str">
        <f>"HECTOR LUIS YANEZ QUEZADA (718)"</f>
        <v>HECTOR LUIS YANEZ QUEZADA (718)</v>
      </c>
      <c r="H5757" t="str">
        <f>"Serv.Prest. 29/09/2025 a 05/10/2025 - PIX: CELULAR - CHAVE: (41) 98421-2278"</f>
        <v>Serv.Prest. 29/09/2025 a 05/10/2025 - PIX: CELULAR - CHAVE: (41) 98421-2278</v>
      </c>
      <c r="I5757" t="str">
        <f t="shared" si="1002"/>
        <v>09/10/2025</v>
      </c>
      <c r="J5757" t="str">
        <f t="shared" si="999"/>
        <v>06/10/2025</v>
      </c>
      <c r="K5757" t="str">
        <f>("09/10/2025")</f>
        <v>09/10/2025</v>
      </c>
      <c r="L5757">
        <v>498</v>
      </c>
      <c r="M5757">
        <v>498</v>
      </c>
      <c r="N5757">
        <v>109</v>
      </c>
      <c r="O5757" t="str">
        <f>"PAGAMENTO DE ENTREGADORES"</f>
        <v>PAGAMENTO DE ENTREGADORES</v>
      </c>
      <c r="P5757">
        <v>498</v>
      </c>
      <c r="S5757" t="str">
        <f>"BANCO C6 (149)"</f>
        <v>BANCO C6 (149)</v>
      </c>
      <c r="T5757">
        <v>20026</v>
      </c>
      <c r="U5757">
        <v>22879</v>
      </c>
      <c r="V5757" t="s">
        <v>77</v>
      </c>
    </row>
    <row r="5758" spans="1:22">
      <c r="A5758" t="str">
        <f t="shared" si="997"/>
        <v>09/10/2025</v>
      </c>
      <c r="B5758" t="str">
        <f t="shared" si="1000"/>
        <v>SAÍDA</v>
      </c>
      <c r="C5758" t="str">
        <f t="shared" si="1003"/>
        <v>PIX</v>
      </c>
      <c r="D5758" t="str">
        <f>"22879"</f>
        <v>22879</v>
      </c>
      <c r="E5758" t="str">
        <f t="shared" si="1004"/>
        <v>1</v>
      </c>
      <c r="F5758" t="str">
        <f t="shared" si="1001"/>
        <v>COM</v>
      </c>
      <c r="G5758" t="str">
        <f>"HECTOR LUIS YANEZ QUEZADA (718)"</f>
        <v>HECTOR LUIS YANEZ QUEZADA (718)</v>
      </c>
      <c r="H5758" t="s">
        <v>1411</v>
      </c>
      <c r="I5758" t="str">
        <f t="shared" si="1002"/>
        <v>09/10/2025</v>
      </c>
      <c r="J5758" t="str">
        <f t="shared" si="999"/>
        <v>06/10/2025</v>
      </c>
      <c r="K5758">
        <v>45939</v>
      </c>
      <c r="N5758">
        <v>109</v>
      </c>
      <c r="O5758" t="s">
        <v>24</v>
      </c>
      <c r="Q5758">
        <v>498</v>
      </c>
      <c r="R5758" t="str">
        <f>"JAL FARMACIA E DROGARIA LJ 2 (10138)"</f>
        <v>JAL FARMACIA E DROGARIA LJ 2 (10138)</v>
      </c>
      <c r="S5758" t="s">
        <v>77</v>
      </c>
      <c r="T5758">
        <v>20026</v>
      </c>
      <c r="U5758">
        <v>22879</v>
      </c>
      <c r="V5758" t="s">
        <v>77</v>
      </c>
    </row>
    <row r="5759" spans="1:22">
      <c r="A5759" t="str">
        <f t="shared" si="997"/>
        <v>09/10/2025</v>
      </c>
      <c r="B5759" t="str">
        <f t="shared" si="1000"/>
        <v>SAÍDA</v>
      </c>
      <c r="C5759" t="str">
        <f t="shared" si="1003"/>
        <v>PIX</v>
      </c>
      <c r="D5759" t="str">
        <f>"22880"</f>
        <v>22880</v>
      </c>
      <c r="E5759" t="str">
        <f t="shared" si="1004"/>
        <v>1</v>
      </c>
      <c r="F5759" t="str">
        <f t="shared" si="1001"/>
        <v>COM</v>
      </c>
      <c r="G5759" t="str">
        <f>"JESSICA BRAHOLKA (837)"</f>
        <v>JESSICA BRAHOLKA (837)</v>
      </c>
      <c r="H5759" t="str">
        <f>"Serv.Prest. 29/09/2025 a 05/10/2025 - PIX: CPF - CHAVE: 124.575.099-20"</f>
        <v>Serv.Prest. 29/09/2025 a 05/10/2025 - PIX: CPF - CHAVE: 124.575.099-20</v>
      </c>
      <c r="I5759" t="str">
        <f t="shared" si="1002"/>
        <v>09/10/2025</v>
      </c>
      <c r="J5759" t="str">
        <f t="shared" si="999"/>
        <v>06/10/2025</v>
      </c>
      <c r="K5759" t="str">
        <f>("09/10/2025")</f>
        <v>09/10/2025</v>
      </c>
      <c r="L5759">
        <v>575</v>
      </c>
      <c r="M5759">
        <v>575</v>
      </c>
      <c r="N5759">
        <v>109</v>
      </c>
      <c r="O5759" t="str">
        <f>"PAGAMENTO DE ENTREGADORES"</f>
        <v>PAGAMENTO DE ENTREGADORES</v>
      </c>
      <c r="P5759">
        <v>575</v>
      </c>
      <c r="S5759" t="str">
        <f>"BANCO C6 (149)"</f>
        <v>BANCO C6 (149)</v>
      </c>
      <c r="T5759">
        <v>20027</v>
      </c>
      <c r="U5759">
        <v>22880</v>
      </c>
      <c r="V5759" t="s">
        <v>77</v>
      </c>
    </row>
    <row r="5760" spans="1:22">
      <c r="A5760" t="str">
        <f t="shared" si="997"/>
        <v>09/10/2025</v>
      </c>
      <c r="B5760" t="str">
        <f t="shared" si="1000"/>
        <v>SAÍDA</v>
      </c>
      <c r="C5760" t="str">
        <f t="shared" si="1003"/>
        <v>PIX</v>
      </c>
      <c r="D5760" t="str">
        <f>"22880"</f>
        <v>22880</v>
      </c>
      <c r="E5760" t="str">
        <f t="shared" si="1004"/>
        <v>1</v>
      </c>
      <c r="F5760" t="str">
        <f t="shared" si="1001"/>
        <v>COM</v>
      </c>
      <c r="G5760" t="str">
        <f>"JESSICA BRAHOLKA (837)"</f>
        <v>JESSICA BRAHOLKA (837)</v>
      </c>
      <c r="H5760" t="s">
        <v>1423</v>
      </c>
      <c r="I5760" t="str">
        <f t="shared" si="1002"/>
        <v>09/10/2025</v>
      </c>
      <c r="J5760" t="str">
        <f t="shared" si="999"/>
        <v>06/10/2025</v>
      </c>
      <c r="K5760">
        <v>45939</v>
      </c>
      <c r="N5760">
        <v>109</v>
      </c>
      <c r="O5760" t="s">
        <v>24</v>
      </c>
      <c r="Q5760">
        <v>575</v>
      </c>
      <c r="R5760" t="str">
        <f>"JAL FARMACIA E DROGARIA LJ 2 (10138)"</f>
        <v>JAL FARMACIA E DROGARIA LJ 2 (10138)</v>
      </c>
      <c r="S5760" t="s">
        <v>77</v>
      </c>
      <c r="T5760">
        <v>20027</v>
      </c>
      <c r="U5760">
        <v>22880</v>
      </c>
      <c r="V5760" t="s">
        <v>77</v>
      </c>
    </row>
    <row r="5761" spans="1:22">
      <c r="A5761" t="str">
        <f t="shared" si="997"/>
        <v>09/10/2025</v>
      </c>
      <c r="B5761" t="str">
        <f t="shared" si="1000"/>
        <v>SAÍDA</v>
      </c>
      <c r="C5761" t="str">
        <f t="shared" si="1003"/>
        <v>PIX</v>
      </c>
      <c r="D5761" t="str">
        <f>"22882"</f>
        <v>22882</v>
      </c>
      <c r="E5761" t="str">
        <f t="shared" si="1004"/>
        <v>1</v>
      </c>
      <c r="F5761" t="str">
        <f t="shared" si="1001"/>
        <v>COM</v>
      </c>
      <c r="G5761" t="str">
        <f>"CLAUDIO DOS SANTOS (507)"</f>
        <v>CLAUDIO DOS SANTOS (507)</v>
      </c>
      <c r="H5761" t="str">
        <f>"Serv.Prest. 29/09/2025 a 05/10/2025 - PIX: E-MAIL - CHAVE: claudioverdinho2009@hotmail.com"</f>
        <v>Serv.Prest. 29/09/2025 a 05/10/2025 - PIX: E-MAIL - CHAVE: claudioverdinho2009@hotmail.com</v>
      </c>
      <c r="I5761" t="str">
        <f t="shared" si="1002"/>
        <v>09/10/2025</v>
      </c>
      <c r="J5761" t="str">
        <f t="shared" si="999"/>
        <v>06/10/2025</v>
      </c>
      <c r="K5761" t="str">
        <f>("09/10/2025")</f>
        <v>09/10/2025</v>
      </c>
      <c r="L5761">
        <v>1233</v>
      </c>
      <c r="M5761">
        <v>1233</v>
      </c>
      <c r="N5761">
        <v>109</v>
      </c>
      <c r="O5761" t="str">
        <f>"PAGAMENTO DE ENTREGADORES"</f>
        <v>PAGAMENTO DE ENTREGADORES</v>
      </c>
      <c r="P5761">
        <v>1233</v>
      </c>
      <c r="S5761" t="str">
        <f>"BANCO C6 (149)"</f>
        <v>BANCO C6 (149)</v>
      </c>
      <c r="T5761">
        <v>20028</v>
      </c>
      <c r="U5761">
        <v>22882</v>
      </c>
      <c r="V5761" t="s">
        <v>77</v>
      </c>
    </row>
    <row r="5762" spans="1:22">
      <c r="A5762" t="str">
        <f t="shared" si="997"/>
        <v>09/10/2025</v>
      </c>
      <c r="B5762" t="str">
        <f t="shared" si="1000"/>
        <v>SAÍDA</v>
      </c>
      <c r="C5762" t="str">
        <f t="shared" si="1003"/>
        <v>PIX</v>
      </c>
      <c r="D5762" t="str">
        <f>"22882"</f>
        <v>22882</v>
      </c>
      <c r="E5762" t="str">
        <f t="shared" si="1004"/>
        <v>1</v>
      </c>
      <c r="F5762" t="str">
        <f t="shared" si="1001"/>
        <v>COM</v>
      </c>
      <c r="G5762" t="str">
        <f>"CLAUDIO DOS SANTOS (507)"</f>
        <v>CLAUDIO DOS SANTOS (507)</v>
      </c>
      <c r="H5762" t="s">
        <v>1380</v>
      </c>
      <c r="I5762" t="str">
        <f t="shared" si="1002"/>
        <v>09/10/2025</v>
      </c>
      <c r="J5762" t="str">
        <f t="shared" si="999"/>
        <v>06/10/2025</v>
      </c>
      <c r="K5762">
        <v>45939</v>
      </c>
      <c r="N5762">
        <v>109</v>
      </c>
      <c r="O5762" t="s">
        <v>24</v>
      </c>
      <c r="Q5762">
        <v>1233</v>
      </c>
      <c r="R5762" t="str">
        <f>"JAL FARMACIA E DROGARIA LJ 1 (10137)"</f>
        <v>JAL FARMACIA E DROGARIA LJ 1 (10137)</v>
      </c>
      <c r="S5762" t="s">
        <v>77</v>
      </c>
      <c r="T5762">
        <v>20028</v>
      </c>
      <c r="U5762">
        <v>22882</v>
      </c>
      <c r="V5762" t="s">
        <v>77</v>
      </c>
    </row>
    <row r="5763" spans="1:22">
      <c r="A5763" t="str">
        <f t="shared" si="997"/>
        <v>09/10/2025</v>
      </c>
      <c r="B5763" t="str">
        <f t="shared" si="1000"/>
        <v>SAÍDA</v>
      </c>
      <c r="C5763" t="str">
        <f t="shared" si="1003"/>
        <v>PIX</v>
      </c>
      <c r="D5763" t="str">
        <f>"22883"</f>
        <v>22883</v>
      </c>
      <c r="E5763" t="str">
        <f t="shared" si="1004"/>
        <v>1</v>
      </c>
      <c r="F5763" t="str">
        <f t="shared" si="1001"/>
        <v>COM</v>
      </c>
      <c r="G5763" t="str">
        <f>"HECTOR LUIS YANEZ QUEZADA (718)"</f>
        <v>HECTOR LUIS YANEZ QUEZADA (718)</v>
      </c>
      <c r="H5763" t="str">
        <f>"Serv.Prest. 29/09/2025 a 05/10/2025 - PIX: CELULAR - CHAVE: (41) 98421-2278"</f>
        <v>Serv.Prest. 29/09/2025 a 05/10/2025 - PIX: CELULAR - CHAVE: (41) 98421-2278</v>
      </c>
      <c r="I5763" t="str">
        <f t="shared" si="1002"/>
        <v>09/10/2025</v>
      </c>
      <c r="J5763" t="str">
        <f t="shared" si="999"/>
        <v>06/10/2025</v>
      </c>
      <c r="K5763" t="str">
        <f>("09/10/2025")</f>
        <v>09/10/2025</v>
      </c>
      <c r="L5763">
        <v>282</v>
      </c>
      <c r="M5763">
        <v>282</v>
      </c>
      <c r="N5763">
        <v>109</v>
      </c>
      <c r="O5763" t="str">
        <f>"PAGAMENTO DE ENTREGADORES"</f>
        <v>PAGAMENTO DE ENTREGADORES</v>
      </c>
      <c r="P5763">
        <v>282</v>
      </c>
      <c r="S5763" t="str">
        <f>"BANCO C6 (149)"</f>
        <v>BANCO C6 (149)</v>
      </c>
      <c r="T5763">
        <v>20029</v>
      </c>
      <c r="U5763">
        <v>22883</v>
      </c>
      <c r="V5763" t="s">
        <v>77</v>
      </c>
    </row>
    <row r="5764" spans="1:22">
      <c r="A5764" t="str">
        <f t="shared" ref="A5764:A5827" si="1005">("09/10/2025")</f>
        <v>09/10/2025</v>
      </c>
      <c r="B5764" t="str">
        <f t="shared" si="1000"/>
        <v>SAÍDA</v>
      </c>
      <c r="C5764" t="str">
        <f t="shared" si="1003"/>
        <v>PIX</v>
      </c>
      <c r="D5764" t="str">
        <f>"22883"</f>
        <v>22883</v>
      </c>
      <c r="E5764" t="str">
        <f t="shared" si="1004"/>
        <v>1</v>
      </c>
      <c r="F5764" t="str">
        <f t="shared" si="1001"/>
        <v>COM</v>
      </c>
      <c r="G5764" t="str">
        <f>"HECTOR LUIS YANEZ QUEZADA (718)"</f>
        <v>HECTOR LUIS YANEZ QUEZADA (718)</v>
      </c>
      <c r="H5764" t="s">
        <v>1411</v>
      </c>
      <c r="I5764" t="str">
        <f t="shared" si="1002"/>
        <v>09/10/2025</v>
      </c>
      <c r="J5764" t="str">
        <f t="shared" si="999"/>
        <v>06/10/2025</v>
      </c>
      <c r="K5764">
        <v>45939</v>
      </c>
      <c r="N5764">
        <v>109</v>
      </c>
      <c r="O5764" t="s">
        <v>24</v>
      </c>
      <c r="Q5764">
        <v>282</v>
      </c>
      <c r="R5764" t="str">
        <f>"JAL FARMACIA E DROGARIA LJ 1 (10137)"</f>
        <v>JAL FARMACIA E DROGARIA LJ 1 (10137)</v>
      </c>
      <c r="S5764" t="s">
        <v>77</v>
      </c>
      <c r="T5764">
        <v>20029</v>
      </c>
      <c r="U5764">
        <v>22883</v>
      </c>
      <c r="V5764" t="s">
        <v>77</v>
      </c>
    </row>
    <row r="5765" spans="1:22">
      <c r="A5765" t="str">
        <f t="shared" si="1005"/>
        <v>09/10/2025</v>
      </c>
      <c r="B5765" t="str">
        <f t="shared" si="1000"/>
        <v>SAÍDA</v>
      </c>
      <c r="C5765" t="str">
        <f t="shared" si="1003"/>
        <v>PIX</v>
      </c>
      <c r="D5765" t="str">
        <f>"22884"</f>
        <v>22884</v>
      </c>
      <c r="E5765" t="str">
        <f t="shared" si="1004"/>
        <v>1</v>
      </c>
      <c r="F5765" t="str">
        <f t="shared" si="1001"/>
        <v>COM</v>
      </c>
      <c r="G5765" t="str">
        <f>"JESSICA BRAHOLKA (837)"</f>
        <v>JESSICA BRAHOLKA (837)</v>
      </c>
      <c r="H5765" t="str">
        <f>"Serv.Prest. 29/09/2025 a 05/10/2025 - PIX: CPF - CHAVE: 124.575.099-20"</f>
        <v>Serv.Prest. 29/09/2025 a 05/10/2025 - PIX: CPF - CHAVE: 124.575.099-20</v>
      </c>
      <c r="I5765" t="str">
        <f t="shared" si="1002"/>
        <v>09/10/2025</v>
      </c>
      <c r="J5765" t="str">
        <f t="shared" si="999"/>
        <v>06/10/2025</v>
      </c>
      <c r="K5765" t="str">
        <f>("09/10/2025")</f>
        <v>09/10/2025</v>
      </c>
      <c r="L5765">
        <v>513</v>
      </c>
      <c r="M5765">
        <v>513</v>
      </c>
      <c r="N5765">
        <v>109</v>
      </c>
      <c r="O5765" t="str">
        <f>"PAGAMENTO DE ENTREGADORES"</f>
        <v>PAGAMENTO DE ENTREGADORES</v>
      </c>
      <c r="P5765">
        <v>513</v>
      </c>
      <c r="S5765" t="str">
        <f>"BANCO C6 (149)"</f>
        <v>BANCO C6 (149)</v>
      </c>
      <c r="T5765">
        <v>20030</v>
      </c>
      <c r="U5765">
        <v>22884</v>
      </c>
      <c r="V5765" t="s">
        <v>77</v>
      </c>
    </row>
    <row r="5766" spans="1:22">
      <c r="A5766" t="str">
        <f t="shared" si="1005"/>
        <v>09/10/2025</v>
      </c>
      <c r="B5766" t="str">
        <f t="shared" si="1000"/>
        <v>SAÍDA</v>
      </c>
      <c r="C5766" t="str">
        <f t="shared" si="1003"/>
        <v>PIX</v>
      </c>
      <c r="D5766" t="str">
        <f>"22884"</f>
        <v>22884</v>
      </c>
      <c r="E5766" t="str">
        <f t="shared" si="1004"/>
        <v>1</v>
      </c>
      <c r="F5766" t="str">
        <f t="shared" si="1001"/>
        <v>COM</v>
      </c>
      <c r="G5766" t="str">
        <f>"JESSICA BRAHOLKA (837)"</f>
        <v>JESSICA BRAHOLKA (837)</v>
      </c>
      <c r="H5766" t="s">
        <v>1423</v>
      </c>
      <c r="I5766" t="str">
        <f t="shared" si="1002"/>
        <v>09/10/2025</v>
      </c>
      <c r="J5766" t="str">
        <f t="shared" si="999"/>
        <v>06/10/2025</v>
      </c>
      <c r="K5766">
        <v>45939</v>
      </c>
      <c r="N5766">
        <v>109</v>
      </c>
      <c r="O5766" t="s">
        <v>24</v>
      </c>
      <c r="Q5766">
        <v>513</v>
      </c>
      <c r="R5766" t="str">
        <f>"JAL FARMACIA E DROGARIA LJ 1 (10137)"</f>
        <v>JAL FARMACIA E DROGARIA LJ 1 (10137)</v>
      </c>
      <c r="S5766" t="s">
        <v>77</v>
      </c>
      <c r="T5766">
        <v>20030</v>
      </c>
      <c r="U5766">
        <v>22884</v>
      </c>
      <c r="V5766" t="s">
        <v>77</v>
      </c>
    </row>
    <row r="5767" spans="1:22">
      <c r="A5767" t="str">
        <f t="shared" si="1005"/>
        <v>09/10/2025</v>
      </c>
      <c r="B5767" t="str">
        <f t="shared" si="1000"/>
        <v>SAÍDA</v>
      </c>
      <c r="C5767" t="str">
        <f t="shared" si="1003"/>
        <v>PIX</v>
      </c>
      <c r="D5767" t="str">
        <f>"22888"</f>
        <v>22888</v>
      </c>
      <c r="E5767" t="str">
        <f t="shared" si="1004"/>
        <v>1</v>
      </c>
      <c r="F5767" t="str">
        <f t="shared" si="1001"/>
        <v>COM</v>
      </c>
      <c r="G5767" t="str">
        <f>"DANILO DE JESUS SANTOS (490)"</f>
        <v>DANILO DE JESUS SANTOS (490)</v>
      </c>
      <c r="H5767" t="str">
        <f>"Serv.Prest. 26/09/2025 a 05/10/2025 - PIX: CELULAR - CHAVE: (73) 98191-0061"</f>
        <v>Serv.Prest. 26/09/2025 a 05/10/2025 - PIX: CELULAR - CHAVE: (73) 98191-0061</v>
      </c>
      <c r="I5767" t="str">
        <f t="shared" si="1002"/>
        <v>09/10/2025</v>
      </c>
      <c r="J5767" t="str">
        <f t="shared" ref="J5767:J5798" si="1006">("07/10/2025")</f>
        <v>07/10/2025</v>
      </c>
      <c r="K5767" t="str">
        <f>("09/10/2025")</f>
        <v>09/10/2025</v>
      </c>
      <c r="L5767">
        <v>682</v>
      </c>
      <c r="M5767">
        <v>682</v>
      </c>
      <c r="N5767">
        <v>109</v>
      </c>
      <c r="O5767" t="str">
        <f>"PAGAMENTO DE ENTREGADORES"</f>
        <v>PAGAMENTO DE ENTREGADORES</v>
      </c>
      <c r="P5767">
        <v>682</v>
      </c>
      <c r="S5767" t="str">
        <f>"BANCO C6 (149)"</f>
        <v>BANCO C6 (149)</v>
      </c>
      <c r="T5767">
        <v>20031</v>
      </c>
      <c r="U5767">
        <v>22888</v>
      </c>
      <c r="V5767" t="s">
        <v>77</v>
      </c>
    </row>
    <row r="5768" spans="1:22">
      <c r="A5768" t="str">
        <f t="shared" si="1005"/>
        <v>09/10/2025</v>
      </c>
      <c r="B5768" t="str">
        <f t="shared" si="1000"/>
        <v>SAÍDA</v>
      </c>
      <c r="C5768" t="str">
        <f t="shared" si="1003"/>
        <v>PIX</v>
      </c>
      <c r="D5768" t="str">
        <f>"22888"</f>
        <v>22888</v>
      </c>
      <c r="E5768" t="str">
        <f t="shared" si="1004"/>
        <v>1</v>
      </c>
      <c r="F5768" t="str">
        <f t="shared" si="1001"/>
        <v>COM</v>
      </c>
      <c r="G5768" t="str">
        <f>"DANILO DE JESUS SANTOS (490)"</f>
        <v>DANILO DE JESUS SANTOS (490)</v>
      </c>
      <c r="H5768" t="s">
        <v>1360</v>
      </c>
      <c r="I5768" t="str">
        <f t="shared" si="1002"/>
        <v>09/10/2025</v>
      </c>
      <c r="J5768" t="str">
        <f t="shared" si="1006"/>
        <v>07/10/2025</v>
      </c>
      <c r="K5768">
        <v>45939</v>
      </c>
      <c r="N5768">
        <v>109</v>
      </c>
      <c r="O5768" t="s">
        <v>24</v>
      </c>
      <c r="Q5768">
        <v>682</v>
      </c>
      <c r="R5768" t="str">
        <f>"FARMÁCIA INDIANA LJ 145 (10068)"</f>
        <v>FARMÁCIA INDIANA LJ 145 (10068)</v>
      </c>
      <c r="S5768" t="s">
        <v>77</v>
      </c>
      <c r="T5768">
        <v>20031</v>
      </c>
      <c r="U5768">
        <v>22888</v>
      </c>
      <c r="V5768" t="s">
        <v>77</v>
      </c>
    </row>
    <row r="5769" spans="1:22">
      <c r="A5769" t="str">
        <f t="shared" si="1005"/>
        <v>09/10/2025</v>
      </c>
      <c r="B5769" t="str">
        <f t="shared" si="1000"/>
        <v>SAÍDA</v>
      </c>
      <c r="C5769" t="str">
        <f t="shared" si="1003"/>
        <v>PIX</v>
      </c>
      <c r="D5769" t="str">
        <f>"22894"</f>
        <v>22894</v>
      </c>
      <c r="E5769" t="str">
        <f t="shared" si="1004"/>
        <v>1</v>
      </c>
      <c r="F5769" t="str">
        <f t="shared" si="1001"/>
        <v>COM</v>
      </c>
      <c r="G5769" t="str">
        <f>"GILSON OLIVEIRA CAMPINHO JUNIOR (132)"</f>
        <v>GILSON OLIVEIRA CAMPINHO JUNIOR (132)</v>
      </c>
      <c r="H5769" t="str">
        <f>"Serv.Prest. 26/09/2025 a 05/10/2025 - PIX: CELULAR - CHAVE: (73) 988381077"</f>
        <v>Serv.Prest. 26/09/2025 a 05/10/2025 - PIX: CELULAR - CHAVE: (73) 988381077</v>
      </c>
      <c r="I5769" t="str">
        <f t="shared" si="1002"/>
        <v>09/10/2025</v>
      </c>
      <c r="J5769" t="str">
        <f t="shared" si="1006"/>
        <v>07/10/2025</v>
      </c>
      <c r="K5769" t="str">
        <f>("09/10/2025")</f>
        <v>09/10/2025</v>
      </c>
      <c r="L5769">
        <v>330</v>
      </c>
      <c r="M5769">
        <v>330</v>
      </c>
      <c r="N5769">
        <v>109</v>
      </c>
      <c r="O5769" t="str">
        <f>"PAGAMENTO DE ENTREGADORES"</f>
        <v>PAGAMENTO DE ENTREGADORES</v>
      </c>
      <c r="P5769">
        <v>330</v>
      </c>
      <c r="S5769" t="str">
        <f>"BANCO C6 (149)"</f>
        <v>BANCO C6 (149)</v>
      </c>
      <c r="T5769">
        <v>20032</v>
      </c>
      <c r="U5769">
        <v>22894</v>
      </c>
      <c r="V5769" t="s">
        <v>77</v>
      </c>
    </row>
    <row r="5770" spans="1:22">
      <c r="A5770" t="str">
        <f t="shared" si="1005"/>
        <v>09/10/2025</v>
      </c>
      <c r="B5770" t="str">
        <f t="shared" si="1000"/>
        <v>SAÍDA</v>
      </c>
      <c r="C5770" t="str">
        <f t="shared" si="1003"/>
        <v>PIX</v>
      </c>
      <c r="D5770" t="str">
        <f>"22894"</f>
        <v>22894</v>
      </c>
      <c r="E5770" t="str">
        <f t="shared" si="1004"/>
        <v>1</v>
      </c>
      <c r="F5770" t="str">
        <f t="shared" si="1001"/>
        <v>COM</v>
      </c>
      <c r="G5770" t="str">
        <f>"GILSON OLIVEIRA CAMPINHO JUNIOR (132)"</f>
        <v>GILSON OLIVEIRA CAMPINHO JUNIOR (132)</v>
      </c>
      <c r="H5770" t="s">
        <v>1344</v>
      </c>
      <c r="I5770" t="str">
        <f t="shared" si="1002"/>
        <v>09/10/2025</v>
      </c>
      <c r="J5770" t="str">
        <f t="shared" si="1006"/>
        <v>07/10/2025</v>
      </c>
      <c r="K5770">
        <v>45939</v>
      </c>
      <c r="N5770">
        <v>109</v>
      </c>
      <c r="O5770" t="s">
        <v>24</v>
      </c>
      <c r="Q5770">
        <v>330</v>
      </c>
      <c r="R5770" t="str">
        <f>"FARMÁCIA INDIANA LJ 91 (10037)"</f>
        <v>FARMÁCIA INDIANA LJ 91 (10037)</v>
      </c>
      <c r="S5770" t="s">
        <v>77</v>
      </c>
      <c r="T5770">
        <v>20032</v>
      </c>
      <c r="U5770">
        <v>22894</v>
      </c>
      <c r="V5770" t="s">
        <v>77</v>
      </c>
    </row>
    <row r="5771" spans="1:22">
      <c r="A5771" t="str">
        <f t="shared" si="1005"/>
        <v>09/10/2025</v>
      </c>
      <c r="B5771" t="str">
        <f t="shared" si="1000"/>
        <v>SAÍDA</v>
      </c>
      <c r="C5771" t="str">
        <f t="shared" si="1003"/>
        <v>PIX</v>
      </c>
      <c r="D5771" t="str">
        <f>"22907"</f>
        <v>22907</v>
      </c>
      <c r="E5771" t="str">
        <f t="shared" si="1004"/>
        <v>1</v>
      </c>
      <c r="F5771" t="str">
        <f t="shared" si="1001"/>
        <v>COM</v>
      </c>
      <c r="G5771" t="str">
        <f>"NATANAEL AZEVEDO DOS SANTOS (765)"</f>
        <v>NATANAEL AZEVEDO DOS SANTOS (765)</v>
      </c>
      <c r="H5771" t="str">
        <f>"Serv.Prest. 26/09/2025 a 05/10/2025 - PIX: CPF - CHAVE: 007.842.745-25"</f>
        <v>Serv.Prest. 26/09/2025 a 05/10/2025 - PIX: CPF - CHAVE: 007.842.745-25</v>
      </c>
      <c r="I5771" t="str">
        <f t="shared" si="1002"/>
        <v>09/10/2025</v>
      </c>
      <c r="J5771" t="str">
        <f t="shared" si="1006"/>
        <v>07/10/2025</v>
      </c>
      <c r="K5771" t="str">
        <f>("09/10/2025")</f>
        <v>09/10/2025</v>
      </c>
      <c r="L5771">
        <v>1252</v>
      </c>
      <c r="M5771">
        <v>1252</v>
      </c>
      <c r="N5771">
        <v>109</v>
      </c>
      <c r="O5771" t="str">
        <f>"PAGAMENTO DE ENTREGADORES"</f>
        <v>PAGAMENTO DE ENTREGADORES</v>
      </c>
      <c r="P5771">
        <v>1252</v>
      </c>
      <c r="S5771" t="str">
        <f>"BANCO C6 (149)"</f>
        <v>BANCO C6 (149)</v>
      </c>
      <c r="T5771">
        <v>20033</v>
      </c>
      <c r="U5771">
        <v>22907</v>
      </c>
      <c r="V5771" t="s">
        <v>77</v>
      </c>
    </row>
    <row r="5772" spans="1:22">
      <c r="A5772" t="str">
        <f t="shared" si="1005"/>
        <v>09/10/2025</v>
      </c>
      <c r="B5772" t="str">
        <f t="shared" si="1000"/>
        <v>SAÍDA</v>
      </c>
      <c r="C5772" t="str">
        <f t="shared" si="1003"/>
        <v>PIX</v>
      </c>
      <c r="D5772" t="str">
        <f>"22907"</f>
        <v>22907</v>
      </c>
      <c r="E5772" t="str">
        <f t="shared" si="1004"/>
        <v>1</v>
      </c>
      <c r="F5772" t="str">
        <f t="shared" si="1001"/>
        <v>COM</v>
      </c>
      <c r="G5772" t="str">
        <f>"NATANAEL AZEVEDO DOS SANTOS (765)"</f>
        <v>NATANAEL AZEVEDO DOS SANTOS (765)</v>
      </c>
      <c r="H5772" t="s">
        <v>1503</v>
      </c>
      <c r="I5772" t="str">
        <f t="shared" si="1002"/>
        <v>09/10/2025</v>
      </c>
      <c r="J5772" t="str">
        <f t="shared" si="1006"/>
        <v>07/10/2025</v>
      </c>
      <c r="K5772">
        <v>45939</v>
      </c>
      <c r="N5772">
        <v>109</v>
      </c>
      <c r="O5772" t="s">
        <v>24</v>
      </c>
      <c r="Q5772">
        <v>1252</v>
      </c>
      <c r="R5772" t="str">
        <f>"FARMÁCIA INDIANA LJ 91 (10037)"</f>
        <v>FARMÁCIA INDIANA LJ 91 (10037)</v>
      </c>
      <c r="S5772" t="s">
        <v>77</v>
      </c>
      <c r="T5772">
        <v>20033</v>
      </c>
      <c r="U5772">
        <v>22907</v>
      </c>
      <c r="V5772" t="s">
        <v>77</v>
      </c>
    </row>
    <row r="5773" spans="1:22">
      <c r="A5773" t="str">
        <f t="shared" si="1005"/>
        <v>09/10/2025</v>
      </c>
      <c r="B5773" t="str">
        <f t="shared" si="1000"/>
        <v>SAÍDA</v>
      </c>
      <c r="C5773" t="str">
        <f t="shared" si="1003"/>
        <v>PIX</v>
      </c>
      <c r="D5773" t="str">
        <f>"22909"</f>
        <v>22909</v>
      </c>
      <c r="E5773" t="str">
        <f t="shared" si="1004"/>
        <v>1</v>
      </c>
      <c r="F5773" t="str">
        <f t="shared" si="1001"/>
        <v>COM</v>
      </c>
      <c r="G5773" t="str">
        <f>"ROBSON OLIVEIRA DE JESUS (623)"</f>
        <v>ROBSON OLIVEIRA DE JESUS (623)</v>
      </c>
      <c r="H5773" t="str">
        <f>"Serv.Prest. 26/09/2025 a 05/10/2025 - PIX: CPF - CHAVE: 009.265.655-24"</f>
        <v>Serv.Prest. 26/09/2025 a 05/10/2025 - PIX: CPF - CHAVE: 009.265.655-24</v>
      </c>
      <c r="I5773" t="str">
        <f t="shared" si="1002"/>
        <v>09/10/2025</v>
      </c>
      <c r="J5773" t="str">
        <f t="shared" si="1006"/>
        <v>07/10/2025</v>
      </c>
      <c r="K5773" t="str">
        <f>("09/10/2025")</f>
        <v>09/10/2025</v>
      </c>
      <c r="L5773">
        <v>682</v>
      </c>
      <c r="M5773">
        <v>682</v>
      </c>
      <c r="N5773">
        <v>109</v>
      </c>
      <c r="O5773" t="str">
        <f>"PAGAMENTO DE ENTREGADORES"</f>
        <v>PAGAMENTO DE ENTREGADORES</v>
      </c>
      <c r="P5773">
        <v>682</v>
      </c>
      <c r="S5773" t="str">
        <f>"BANCO C6 (149)"</f>
        <v>BANCO C6 (149)</v>
      </c>
      <c r="T5773">
        <v>20034</v>
      </c>
      <c r="U5773">
        <v>22909</v>
      </c>
      <c r="V5773" t="s">
        <v>77</v>
      </c>
    </row>
    <row r="5774" spans="1:22">
      <c r="A5774" t="str">
        <f t="shared" si="1005"/>
        <v>09/10/2025</v>
      </c>
      <c r="B5774" t="str">
        <f t="shared" si="1000"/>
        <v>SAÍDA</v>
      </c>
      <c r="C5774" t="str">
        <f t="shared" si="1003"/>
        <v>PIX</v>
      </c>
      <c r="D5774" t="str">
        <f>"22909"</f>
        <v>22909</v>
      </c>
      <c r="E5774" t="str">
        <f t="shared" si="1004"/>
        <v>1</v>
      </c>
      <c r="F5774" t="str">
        <f t="shared" si="1001"/>
        <v>COM</v>
      </c>
      <c r="G5774" t="str">
        <f>"ROBSON OLIVEIRA DE JESUS (623)"</f>
        <v>ROBSON OLIVEIRA DE JESUS (623)</v>
      </c>
      <c r="H5774" t="s">
        <v>1361</v>
      </c>
      <c r="I5774" t="str">
        <f t="shared" si="1002"/>
        <v>09/10/2025</v>
      </c>
      <c r="J5774" t="str">
        <f t="shared" si="1006"/>
        <v>07/10/2025</v>
      </c>
      <c r="K5774">
        <v>45939</v>
      </c>
      <c r="N5774">
        <v>109</v>
      </c>
      <c r="O5774" t="s">
        <v>24</v>
      </c>
      <c r="Q5774">
        <v>682</v>
      </c>
      <c r="R5774" t="str">
        <f>"FARMÁCIA INDIANA LJ 145 (10068)"</f>
        <v>FARMÁCIA INDIANA LJ 145 (10068)</v>
      </c>
      <c r="S5774" t="s">
        <v>77</v>
      </c>
      <c r="T5774">
        <v>20034</v>
      </c>
      <c r="U5774">
        <v>22909</v>
      </c>
      <c r="V5774" t="s">
        <v>77</v>
      </c>
    </row>
    <row r="5775" spans="1:22">
      <c r="A5775" t="str">
        <f t="shared" si="1005"/>
        <v>09/10/2025</v>
      </c>
      <c r="B5775" t="str">
        <f t="shared" si="1000"/>
        <v>SAÍDA</v>
      </c>
      <c r="C5775" t="str">
        <f t="shared" si="1003"/>
        <v>PIX</v>
      </c>
      <c r="D5775" t="str">
        <f>"22910"</f>
        <v>22910</v>
      </c>
      <c r="E5775" t="str">
        <f t="shared" si="1004"/>
        <v>1</v>
      </c>
      <c r="F5775" t="str">
        <f t="shared" si="1001"/>
        <v>COM</v>
      </c>
      <c r="G5775" t="str">
        <f>"TALES DE JESUS OLIVEIRA (318)"</f>
        <v>TALES DE JESUS OLIVEIRA (318)</v>
      </c>
      <c r="H5775" t="str">
        <f>"Serv.Prest. 26/09/2025 a 05/10/2025 - PIX: CPF - CHAVE: 378.223.888-51"</f>
        <v>Serv.Prest. 26/09/2025 a 05/10/2025 - PIX: CPF - CHAVE: 378.223.888-51</v>
      </c>
      <c r="I5775" t="str">
        <f t="shared" si="1002"/>
        <v>09/10/2025</v>
      </c>
      <c r="J5775" t="str">
        <f t="shared" si="1006"/>
        <v>07/10/2025</v>
      </c>
      <c r="K5775" t="str">
        <f>("09/10/2025")</f>
        <v>09/10/2025</v>
      </c>
      <c r="L5775">
        <v>682</v>
      </c>
      <c r="M5775">
        <v>682</v>
      </c>
      <c r="N5775">
        <v>109</v>
      </c>
      <c r="O5775" t="str">
        <f>"PAGAMENTO DE ENTREGADORES"</f>
        <v>PAGAMENTO DE ENTREGADORES</v>
      </c>
      <c r="P5775">
        <v>682</v>
      </c>
      <c r="S5775" t="str">
        <f>"BANCO C6 (149)"</f>
        <v>BANCO C6 (149)</v>
      </c>
      <c r="T5775">
        <v>20035</v>
      </c>
      <c r="U5775">
        <v>22910</v>
      </c>
      <c r="V5775" t="s">
        <v>77</v>
      </c>
    </row>
    <row r="5776" spans="1:22">
      <c r="A5776" t="str">
        <f t="shared" si="1005"/>
        <v>09/10/2025</v>
      </c>
      <c r="B5776" t="str">
        <f t="shared" si="1000"/>
        <v>SAÍDA</v>
      </c>
      <c r="C5776" t="str">
        <f t="shared" si="1003"/>
        <v>PIX</v>
      </c>
      <c r="D5776" t="str">
        <f>"22910"</f>
        <v>22910</v>
      </c>
      <c r="E5776" t="str">
        <f t="shared" si="1004"/>
        <v>1</v>
      </c>
      <c r="F5776" t="str">
        <f t="shared" si="1001"/>
        <v>COM</v>
      </c>
      <c r="G5776" t="str">
        <f>"TALES DE JESUS OLIVEIRA (318)"</f>
        <v>TALES DE JESUS OLIVEIRA (318)</v>
      </c>
      <c r="H5776" t="s">
        <v>1359</v>
      </c>
      <c r="I5776" t="str">
        <f t="shared" si="1002"/>
        <v>09/10/2025</v>
      </c>
      <c r="J5776" t="str">
        <f t="shared" si="1006"/>
        <v>07/10/2025</v>
      </c>
      <c r="K5776">
        <v>45939</v>
      </c>
      <c r="N5776">
        <v>109</v>
      </c>
      <c r="O5776" t="s">
        <v>24</v>
      </c>
      <c r="Q5776">
        <v>682</v>
      </c>
      <c r="R5776" t="str">
        <f>"FARMÁCIA INDIANA LJ 145 (10068)"</f>
        <v>FARMÁCIA INDIANA LJ 145 (10068)</v>
      </c>
      <c r="S5776" t="s">
        <v>77</v>
      </c>
      <c r="T5776">
        <v>20035</v>
      </c>
      <c r="U5776">
        <v>22910</v>
      </c>
      <c r="V5776" t="s">
        <v>77</v>
      </c>
    </row>
    <row r="5777" spans="1:22">
      <c r="A5777" t="str">
        <f t="shared" si="1005"/>
        <v>09/10/2025</v>
      </c>
      <c r="B5777" t="str">
        <f t="shared" si="1000"/>
        <v>SAÍDA</v>
      </c>
      <c r="C5777" t="str">
        <f t="shared" si="1003"/>
        <v>PIX</v>
      </c>
      <c r="D5777" t="str">
        <f>"22943"</f>
        <v>22943</v>
      </c>
      <c r="E5777" t="str">
        <f t="shared" si="1004"/>
        <v>1</v>
      </c>
      <c r="F5777" t="str">
        <f t="shared" si="1001"/>
        <v>COM</v>
      </c>
      <c r="G5777" t="str">
        <f>"GILDASIO DOMINGOS DOS SANTOS (54)"</f>
        <v>GILDASIO DOMINGOS DOS SANTOS (54)</v>
      </c>
      <c r="H5777" t="str">
        <f>"Serv.Prest. 26/09/2025 a 05/10/2025 - PIX: CELULAR - CHAVE: (33) 98857-0494"</f>
        <v>Serv.Prest. 26/09/2025 a 05/10/2025 - PIX: CELULAR - CHAVE: (33) 98857-0494</v>
      </c>
      <c r="I5777" t="str">
        <f t="shared" si="1002"/>
        <v>09/10/2025</v>
      </c>
      <c r="J5777" t="str">
        <f t="shared" si="1006"/>
        <v>07/10/2025</v>
      </c>
      <c r="K5777" t="str">
        <f>("09/10/2025")</f>
        <v>09/10/2025</v>
      </c>
      <c r="L5777">
        <v>606</v>
      </c>
      <c r="M5777">
        <v>606</v>
      </c>
      <c r="N5777">
        <v>109</v>
      </c>
      <c r="O5777" t="str">
        <f>"PAGAMENTO DE ENTREGADORES"</f>
        <v>PAGAMENTO DE ENTREGADORES</v>
      </c>
      <c r="P5777">
        <v>606</v>
      </c>
      <c r="S5777" t="str">
        <f>"BANCO C6 (149)"</f>
        <v>BANCO C6 (149)</v>
      </c>
      <c r="T5777">
        <v>20036</v>
      </c>
      <c r="U5777">
        <v>22943</v>
      </c>
      <c r="V5777" t="s">
        <v>77</v>
      </c>
    </row>
    <row r="5778" spans="1:22">
      <c r="A5778" t="str">
        <f t="shared" si="1005"/>
        <v>09/10/2025</v>
      </c>
      <c r="B5778" t="str">
        <f t="shared" si="1000"/>
        <v>SAÍDA</v>
      </c>
      <c r="C5778" t="str">
        <f t="shared" si="1003"/>
        <v>PIX</v>
      </c>
      <c r="D5778" t="str">
        <f>"22943"</f>
        <v>22943</v>
      </c>
      <c r="E5778" t="str">
        <f t="shared" si="1004"/>
        <v>1</v>
      </c>
      <c r="F5778" t="str">
        <f t="shared" si="1001"/>
        <v>COM</v>
      </c>
      <c r="G5778" t="str">
        <f>"GILDASIO DOMINGOS DOS SANTOS (54)"</f>
        <v>GILDASIO DOMINGOS DOS SANTOS (54)</v>
      </c>
      <c r="H5778" t="s">
        <v>1571</v>
      </c>
      <c r="I5778" t="str">
        <f t="shared" si="1002"/>
        <v>09/10/2025</v>
      </c>
      <c r="J5778" t="str">
        <f t="shared" si="1006"/>
        <v>07/10/2025</v>
      </c>
      <c r="K5778">
        <v>45939</v>
      </c>
      <c r="N5778">
        <v>109</v>
      </c>
      <c r="O5778" t="s">
        <v>24</v>
      </c>
      <c r="Q5778">
        <v>606</v>
      </c>
      <c r="R5778" t="str">
        <f>"FARMÁCIA INDIANA LJ 07 (10007)"</f>
        <v>FARMÁCIA INDIANA LJ 07 (10007)</v>
      </c>
      <c r="S5778" t="s">
        <v>77</v>
      </c>
      <c r="T5778">
        <v>20036</v>
      </c>
      <c r="U5778">
        <v>22943</v>
      </c>
      <c r="V5778" t="s">
        <v>77</v>
      </c>
    </row>
    <row r="5779" spans="1:22">
      <c r="A5779" t="str">
        <f t="shared" si="1005"/>
        <v>09/10/2025</v>
      </c>
      <c r="B5779" t="str">
        <f t="shared" si="1000"/>
        <v>SAÍDA</v>
      </c>
      <c r="C5779" t="str">
        <f t="shared" si="1003"/>
        <v>PIX</v>
      </c>
      <c r="D5779" t="str">
        <f>"22998"</f>
        <v>22998</v>
      </c>
      <c r="E5779" t="str">
        <f t="shared" si="1004"/>
        <v>1</v>
      </c>
      <c r="F5779" t="str">
        <f t="shared" si="1001"/>
        <v>COM</v>
      </c>
      <c r="G5779" t="str">
        <f>"SAMUEL JADSON SANTANA RIBEIRO (55)"</f>
        <v>SAMUEL JADSON SANTANA RIBEIRO (55)</v>
      </c>
      <c r="H5779" t="str">
        <f>"Serv.Prest. 26/09/2025 a 05/10/2025 - PIX: CPF - CHAVE: 701.955.866-62"</f>
        <v>Serv.Prest. 26/09/2025 a 05/10/2025 - PIX: CPF - CHAVE: 701.955.866-62</v>
      </c>
      <c r="I5779" t="str">
        <f t="shared" si="1002"/>
        <v>09/10/2025</v>
      </c>
      <c r="J5779" t="str">
        <f t="shared" si="1006"/>
        <v>07/10/2025</v>
      </c>
      <c r="K5779" t="str">
        <f>("09/10/2025")</f>
        <v>09/10/2025</v>
      </c>
      <c r="L5779">
        <v>627</v>
      </c>
      <c r="M5779">
        <v>627</v>
      </c>
      <c r="N5779">
        <v>109</v>
      </c>
      <c r="O5779" t="str">
        <f>"PAGAMENTO DE ENTREGADORES"</f>
        <v>PAGAMENTO DE ENTREGADORES</v>
      </c>
      <c r="P5779">
        <v>627</v>
      </c>
      <c r="S5779" t="str">
        <f>"BANCO C6 (149)"</f>
        <v>BANCO C6 (149)</v>
      </c>
      <c r="T5779">
        <v>20037</v>
      </c>
      <c r="U5779">
        <v>22998</v>
      </c>
      <c r="V5779" t="s">
        <v>77</v>
      </c>
    </row>
    <row r="5780" spans="1:22">
      <c r="A5780" t="str">
        <f t="shared" si="1005"/>
        <v>09/10/2025</v>
      </c>
      <c r="B5780" t="str">
        <f t="shared" si="1000"/>
        <v>SAÍDA</v>
      </c>
      <c r="C5780" t="str">
        <f t="shared" si="1003"/>
        <v>PIX</v>
      </c>
      <c r="D5780" t="str">
        <f>"22998"</f>
        <v>22998</v>
      </c>
      <c r="E5780" t="str">
        <f t="shared" si="1004"/>
        <v>1</v>
      </c>
      <c r="F5780" t="str">
        <f t="shared" si="1001"/>
        <v>COM</v>
      </c>
      <c r="G5780" t="str">
        <f>"SAMUEL JADSON SANTANA RIBEIRO (55)"</f>
        <v>SAMUEL JADSON SANTANA RIBEIRO (55)</v>
      </c>
      <c r="H5780" t="s">
        <v>1572</v>
      </c>
      <c r="I5780" t="str">
        <f t="shared" si="1002"/>
        <v>09/10/2025</v>
      </c>
      <c r="J5780" t="str">
        <f t="shared" si="1006"/>
        <v>07/10/2025</v>
      </c>
      <c r="K5780">
        <v>45939</v>
      </c>
      <c r="N5780">
        <v>109</v>
      </c>
      <c r="O5780" t="s">
        <v>24</v>
      </c>
      <c r="Q5780">
        <v>627</v>
      </c>
      <c r="R5780" t="str">
        <f>"FARMÁCIA INDIANA LJ 07 (10007)"</f>
        <v>FARMÁCIA INDIANA LJ 07 (10007)</v>
      </c>
      <c r="S5780" t="s">
        <v>77</v>
      </c>
      <c r="T5780">
        <v>20037</v>
      </c>
      <c r="U5780">
        <v>22998</v>
      </c>
      <c r="V5780" t="s">
        <v>77</v>
      </c>
    </row>
    <row r="5781" spans="1:22">
      <c r="A5781" t="str">
        <f t="shared" si="1005"/>
        <v>09/10/2025</v>
      </c>
      <c r="B5781" t="str">
        <f t="shared" si="1000"/>
        <v>SAÍDA</v>
      </c>
      <c r="C5781" t="str">
        <f t="shared" si="1003"/>
        <v>PIX</v>
      </c>
      <c r="D5781" t="str">
        <f>"23003"</f>
        <v>23003</v>
      </c>
      <c r="E5781" t="str">
        <f t="shared" si="1004"/>
        <v>1</v>
      </c>
      <c r="F5781" t="str">
        <f t="shared" si="1001"/>
        <v>COM</v>
      </c>
      <c r="G5781" t="str">
        <f>"THALES VIANA DOS SANTOS (63)"</f>
        <v>THALES VIANA DOS SANTOS (63)</v>
      </c>
      <c r="H5781" t="str">
        <f>"Serv.Prest. 26/09/2025 a 05/10/2025 - PIX: CELULAR - CHAVE: (33) 99880-7941"</f>
        <v>Serv.Prest. 26/09/2025 a 05/10/2025 - PIX: CELULAR - CHAVE: (33) 99880-7941</v>
      </c>
      <c r="I5781" t="str">
        <f t="shared" si="1002"/>
        <v>09/10/2025</v>
      </c>
      <c r="J5781" t="str">
        <f t="shared" si="1006"/>
        <v>07/10/2025</v>
      </c>
      <c r="K5781" t="str">
        <f>("09/10/2025")</f>
        <v>09/10/2025</v>
      </c>
      <c r="L5781">
        <v>951</v>
      </c>
      <c r="M5781">
        <v>951</v>
      </c>
      <c r="N5781">
        <v>109</v>
      </c>
      <c r="O5781" t="str">
        <f>"PAGAMENTO DE ENTREGADORES"</f>
        <v>PAGAMENTO DE ENTREGADORES</v>
      </c>
      <c r="P5781">
        <v>951</v>
      </c>
      <c r="S5781" t="str">
        <f>"BANCO C6 (149)"</f>
        <v>BANCO C6 (149)</v>
      </c>
      <c r="T5781">
        <v>20038</v>
      </c>
      <c r="U5781">
        <v>23003</v>
      </c>
      <c r="V5781" t="s">
        <v>77</v>
      </c>
    </row>
    <row r="5782" spans="1:22">
      <c r="A5782" t="str">
        <f t="shared" si="1005"/>
        <v>09/10/2025</v>
      </c>
      <c r="B5782" t="str">
        <f t="shared" si="1000"/>
        <v>SAÍDA</v>
      </c>
      <c r="C5782" t="str">
        <f t="shared" si="1003"/>
        <v>PIX</v>
      </c>
      <c r="D5782" t="str">
        <f>"23003"</f>
        <v>23003</v>
      </c>
      <c r="E5782" t="str">
        <f t="shared" si="1004"/>
        <v>1</v>
      </c>
      <c r="F5782" t="str">
        <f t="shared" si="1001"/>
        <v>COM</v>
      </c>
      <c r="G5782" t="str">
        <f>"THALES VIANA DOS SANTOS (63)"</f>
        <v>THALES VIANA DOS SANTOS (63)</v>
      </c>
      <c r="H5782" t="s">
        <v>1573</v>
      </c>
      <c r="I5782" t="str">
        <f t="shared" si="1002"/>
        <v>09/10/2025</v>
      </c>
      <c r="J5782" t="str">
        <f t="shared" si="1006"/>
        <v>07/10/2025</v>
      </c>
      <c r="K5782">
        <v>45939</v>
      </c>
      <c r="N5782">
        <v>109</v>
      </c>
      <c r="O5782" t="s">
        <v>24</v>
      </c>
      <c r="Q5782">
        <v>951</v>
      </c>
      <c r="R5782" t="str">
        <f>"FARMÁCIA INDIANA LJ 07 (10007)"</f>
        <v>FARMÁCIA INDIANA LJ 07 (10007)</v>
      </c>
      <c r="S5782" t="s">
        <v>77</v>
      </c>
      <c r="T5782">
        <v>20038</v>
      </c>
      <c r="U5782">
        <v>23003</v>
      </c>
      <c r="V5782" t="s">
        <v>77</v>
      </c>
    </row>
    <row r="5783" spans="1:22">
      <c r="A5783" t="str">
        <f t="shared" si="1005"/>
        <v>09/10/2025</v>
      </c>
      <c r="B5783" t="str">
        <f t="shared" si="1000"/>
        <v>SAÍDA</v>
      </c>
      <c r="C5783" t="str">
        <f t="shared" si="1003"/>
        <v>PIX</v>
      </c>
      <c r="D5783" t="str">
        <f>"23010"</f>
        <v>23010</v>
      </c>
      <c r="E5783" t="str">
        <f t="shared" si="1004"/>
        <v>1</v>
      </c>
      <c r="F5783" t="str">
        <f t="shared" si="1001"/>
        <v>COM</v>
      </c>
      <c r="G5783" t="str">
        <f>"WEIGNE SENA CARDOSO (53)"</f>
        <v>WEIGNE SENA CARDOSO (53)</v>
      </c>
      <c r="H5783" t="str">
        <f>"Serv.Prest. 26/09/2025 a 05/10/2025 - PIX: CPF - CHAVE: 097.245.586-81"</f>
        <v>Serv.Prest. 26/09/2025 a 05/10/2025 - PIX: CPF - CHAVE: 097.245.586-81</v>
      </c>
      <c r="I5783" t="str">
        <f t="shared" si="1002"/>
        <v>09/10/2025</v>
      </c>
      <c r="J5783" t="str">
        <f t="shared" si="1006"/>
        <v>07/10/2025</v>
      </c>
      <c r="K5783" t="str">
        <f>("09/10/2025")</f>
        <v>09/10/2025</v>
      </c>
      <c r="L5783">
        <v>666</v>
      </c>
      <c r="M5783">
        <v>666</v>
      </c>
      <c r="N5783">
        <v>109</v>
      </c>
      <c r="O5783" t="str">
        <f>"PAGAMENTO DE ENTREGADORES"</f>
        <v>PAGAMENTO DE ENTREGADORES</v>
      </c>
      <c r="P5783">
        <v>666</v>
      </c>
      <c r="S5783" t="str">
        <f>"BANCO C6 (149)"</f>
        <v>BANCO C6 (149)</v>
      </c>
      <c r="T5783">
        <v>20039</v>
      </c>
      <c r="U5783">
        <v>23010</v>
      </c>
      <c r="V5783" t="s">
        <v>77</v>
      </c>
    </row>
    <row r="5784" spans="1:22">
      <c r="A5784" t="str">
        <f t="shared" si="1005"/>
        <v>09/10/2025</v>
      </c>
      <c r="B5784" t="str">
        <f t="shared" si="1000"/>
        <v>SAÍDA</v>
      </c>
      <c r="C5784" t="str">
        <f t="shared" si="1003"/>
        <v>PIX</v>
      </c>
      <c r="D5784" t="str">
        <f>"23010"</f>
        <v>23010</v>
      </c>
      <c r="E5784" t="str">
        <f t="shared" si="1004"/>
        <v>1</v>
      </c>
      <c r="F5784" t="str">
        <f t="shared" si="1001"/>
        <v>COM</v>
      </c>
      <c r="G5784" t="str">
        <f>"WEIGNE SENA CARDOSO (53)"</f>
        <v>WEIGNE SENA CARDOSO (53)</v>
      </c>
      <c r="H5784" t="s">
        <v>1574</v>
      </c>
      <c r="I5784" t="str">
        <f t="shared" si="1002"/>
        <v>09/10/2025</v>
      </c>
      <c r="J5784" t="str">
        <f t="shared" si="1006"/>
        <v>07/10/2025</v>
      </c>
      <c r="K5784">
        <v>45939</v>
      </c>
      <c r="N5784">
        <v>109</v>
      </c>
      <c r="O5784" t="s">
        <v>24</v>
      </c>
      <c r="Q5784">
        <v>666</v>
      </c>
      <c r="R5784" t="str">
        <f>"FARMÁCIA INDIANA LJ 07 (10007)"</f>
        <v>FARMÁCIA INDIANA LJ 07 (10007)</v>
      </c>
      <c r="S5784" t="s">
        <v>77</v>
      </c>
      <c r="T5784">
        <v>20039</v>
      </c>
      <c r="U5784">
        <v>23010</v>
      </c>
      <c r="V5784" t="s">
        <v>77</v>
      </c>
    </row>
    <row r="5785" spans="1:22">
      <c r="A5785" t="str">
        <f t="shared" si="1005"/>
        <v>09/10/2025</v>
      </c>
      <c r="B5785" t="str">
        <f t="shared" si="1000"/>
        <v>SAÍDA</v>
      </c>
      <c r="C5785" t="str">
        <f t="shared" si="1003"/>
        <v>PIX</v>
      </c>
      <c r="D5785" t="str">
        <f>"23024"</f>
        <v>23024</v>
      </c>
      <c r="E5785" t="str">
        <f t="shared" si="1004"/>
        <v>1</v>
      </c>
      <c r="F5785" t="str">
        <f t="shared" si="1001"/>
        <v>COM</v>
      </c>
      <c r="G5785" t="str">
        <f>"JEAN CHARLES BATISTA FILHO (206)"</f>
        <v>JEAN CHARLES BATISTA FILHO (206)</v>
      </c>
      <c r="H5785" t="str">
        <f>"Serv.Prest. 26/09/2025 a 05/10/2025 - PIX: CELULAR - CHAVE: (27) 99616-4468"</f>
        <v>Serv.Prest. 26/09/2025 a 05/10/2025 - PIX: CELULAR - CHAVE: (27) 99616-4468</v>
      </c>
      <c r="I5785" t="str">
        <f t="shared" si="1002"/>
        <v>09/10/2025</v>
      </c>
      <c r="J5785" t="str">
        <f t="shared" si="1006"/>
        <v>07/10/2025</v>
      </c>
      <c r="K5785" t="str">
        <f>("09/10/2025")</f>
        <v>09/10/2025</v>
      </c>
      <c r="L5785">
        <v>1248</v>
      </c>
      <c r="M5785">
        <v>1248</v>
      </c>
      <c r="N5785">
        <v>109</v>
      </c>
      <c r="O5785" t="str">
        <f>"PAGAMENTO DE ENTREGADORES"</f>
        <v>PAGAMENTO DE ENTREGADORES</v>
      </c>
      <c r="P5785">
        <v>1248</v>
      </c>
      <c r="S5785" t="str">
        <f>"BANCO C6 (149)"</f>
        <v>BANCO C6 (149)</v>
      </c>
      <c r="T5785">
        <v>20040</v>
      </c>
      <c r="U5785">
        <v>23024</v>
      </c>
      <c r="V5785" t="s">
        <v>77</v>
      </c>
    </row>
    <row r="5786" spans="1:22">
      <c r="A5786" t="str">
        <f t="shared" si="1005"/>
        <v>09/10/2025</v>
      </c>
      <c r="B5786" t="str">
        <f t="shared" si="1000"/>
        <v>SAÍDA</v>
      </c>
      <c r="C5786" t="str">
        <f t="shared" si="1003"/>
        <v>PIX</v>
      </c>
      <c r="D5786" t="str">
        <f>"23024"</f>
        <v>23024</v>
      </c>
      <c r="E5786" t="str">
        <f t="shared" si="1004"/>
        <v>1</v>
      </c>
      <c r="F5786" t="str">
        <f t="shared" si="1001"/>
        <v>COM</v>
      </c>
      <c r="G5786" t="str">
        <f>"JEAN CHARLES BATISTA FILHO (206)"</f>
        <v>JEAN CHARLES BATISTA FILHO (206)</v>
      </c>
      <c r="H5786" t="s">
        <v>1575</v>
      </c>
      <c r="I5786" t="str">
        <f t="shared" si="1002"/>
        <v>09/10/2025</v>
      </c>
      <c r="J5786" t="str">
        <f t="shared" si="1006"/>
        <v>07/10/2025</v>
      </c>
      <c r="K5786">
        <v>45939</v>
      </c>
      <c r="N5786">
        <v>109</v>
      </c>
      <c r="O5786" t="s">
        <v>24</v>
      </c>
      <c r="Q5786">
        <v>1248</v>
      </c>
      <c r="R5786" t="str">
        <f>"FARMÁCIA INDIANA LJ 163 (10072)"</f>
        <v>FARMÁCIA INDIANA LJ 163 (10072)</v>
      </c>
      <c r="S5786" t="s">
        <v>77</v>
      </c>
      <c r="T5786">
        <v>20040</v>
      </c>
      <c r="U5786">
        <v>23024</v>
      </c>
      <c r="V5786" t="s">
        <v>77</v>
      </c>
    </row>
    <row r="5787" spans="1:22">
      <c r="A5787" t="str">
        <f t="shared" si="1005"/>
        <v>09/10/2025</v>
      </c>
      <c r="B5787" t="str">
        <f t="shared" si="1000"/>
        <v>SAÍDA</v>
      </c>
      <c r="C5787" t="str">
        <f t="shared" si="1003"/>
        <v>PIX</v>
      </c>
      <c r="D5787" t="str">
        <f>"22960"</f>
        <v>22960</v>
      </c>
      <c r="E5787" t="str">
        <f t="shared" si="1004"/>
        <v>1</v>
      </c>
      <c r="F5787" t="str">
        <f t="shared" si="1001"/>
        <v>COM</v>
      </c>
      <c r="G5787" t="str">
        <f>"JUNIOR DOS SANTOS MACHADO (240)"</f>
        <v>JUNIOR DOS SANTOS MACHADO (240)</v>
      </c>
      <c r="H5787" t="str">
        <f>"Serv.Prest. 26/09/2025 a 05/10/2025 - PIX: CPF - CHAVE: 074.520.456-29"</f>
        <v>Serv.Prest. 26/09/2025 a 05/10/2025 - PIX: CPF - CHAVE: 074.520.456-29</v>
      </c>
      <c r="I5787" t="str">
        <f t="shared" si="1002"/>
        <v>09/10/2025</v>
      </c>
      <c r="J5787" t="str">
        <f t="shared" si="1006"/>
        <v>07/10/2025</v>
      </c>
      <c r="K5787" t="str">
        <f>("09/10/2025")</f>
        <v>09/10/2025</v>
      </c>
      <c r="L5787">
        <v>120</v>
      </c>
      <c r="M5787">
        <v>120</v>
      </c>
      <c r="N5787">
        <v>109</v>
      </c>
      <c r="O5787" t="str">
        <f>"PAGAMENTO DE ENTREGADORES"</f>
        <v>PAGAMENTO DE ENTREGADORES</v>
      </c>
      <c r="P5787">
        <v>120</v>
      </c>
      <c r="S5787" t="str">
        <f>"BANCO C6 (149)"</f>
        <v>BANCO C6 (149)</v>
      </c>
      <c r="T5787">
        <v>20041</v>
      </c>
      <c r="U5787">
        <v>23029</v>
      </c>
      <c r="V5787" t="s">
        <v>77</v>
      </c>
    </row>
    <row r="5788" spans="1:22">
      <c r="A5788" t="str">
        <f t="shared" si="1005"/>
        <v>09/10/2025</v>
      </c>
      <c r="B5788" t="str">
        <f t="shared" si="1000"/>
        <v>SAÍDA</v>
      </c>
      <c r="C5788" t="str">
        <f t="shared" si="1003"/>
        <v>PIX</v>
      </c>
      <c r="D5788" t="str">
        <f>"22960"</f>
        <v>22960</v>
      </c>
      <c r="E5788" t="str">
        <f t="shared" si="1004"/>
        <v>1</v>
      </c>
      <c r="F5788" t="str">
        <f t="shared" si="1001"/>
        <v>COM</v>
      </c>
      <c r="G5788" t="str">
        <f>"JUNIOR DOS SANTOS MACHADO (240)"</f>
        <v>JUNIOR DOS SANTOS MACHADO (240)</v>
      </c>
      <c r="H5788" t="s">
        <v>1431</v>
      </c>
      <c r="I5788" t="str">
        <f t="shared" si="1002"/>
        <v>09/10/2025</v>
      </c>
      <c r="J5788" t="str">
        <f t="shared" si="1006"/>
        <v>07/10/2025</v>
      </c>
      <c r="K5788">
        <v>45939</v>
      </c>
      <c r="N5788">
        <v>109</v>
      </c>
      <c r="O5788" t="s">
        <v>24</v>
      </c>
      <c r="Q5788">
        <v>120</v>
      </c>
      <c r="R5788" t="str">
        <f>"FARMÁCIA INDIANA LJ 62 (10028)"</f>
        <v>FARMÁCIA INDIANA LJ 62 (10028)</v>
      </c>
      <c r="S5788" t="s">
        <v>77</v>
      </c>
      <c r="T5788">
        <v>20041</v>
      </c>
      <c r="U5788">
        <v>23029</v>
      </c>
      <c r="V5788" t="s">
        <v>77</v>
      </c>
    </row>
    <row r="5789" spans="1:22">
      <c r="A5789" t="str">
        <f t="shared" si="1005"/>
        <v>09/10/2025</v>
      </c>
      <c r="B5789" t="str">
        <f t="shared" si="1000"/>
        <v>SAÍDA</v>
      </c>
      <c r="C5789" t="str">
        <f t="shared" si="1003"/>
        <v>PIX</v>
      </c>
      <c r="D5789" t="str">
        <f>"23040"</f>
        <v>23040</v>
      </c>
      <c r="E5789" t="str">
        <f t="shared" si="1004"/>
        <v>1</v>
      </c>
      <c r="F5789" t="str">
        <f t="shared" si="1001"/>
        <v>COM</v>
      </c>
      <c r="G5789" t="str">
        <f>"LUAN DOS REIS SILVA (954)"</f>
        <v>LUAN DOS REIS SILVA (954)</v>
      </c>
      <c r="H5789" t="str">
        <f>"Serv.Prest. 29/09/2025 a 05/10/2025 - PIX: CELULAR - CHAVE: (11) 95906-5439"</f>
        <v>Serv.Prest. 29/09/2025 a 05/10/2025 - PIX: CELULAR - CHAVE: (11) 95906-5439</v>
      </c>
      <c r="I5789" t="str">
        <f t="shared" si="1002"/>
        <v>09/10/2025</v>
      </c>
      <c r="J5789" t="str">
        <f t="shared" si="1006"/>
        <v>07/10/2025</v>
      </c>
      <c r="K5789" t="str">
        <f>("09/10/2025")</f>
        <v>09/10/2025</v>
      </c>
      <c r="L5789">
        <v>892.5</v>
      </c>
      <c r="M5789">
        <v>892.86</v>
      </c>
      <c r="N5789">
        <v>109</v>
      </c>
      <c r="O5789" t="str">
        <f>"PAGAMENTO DE ENTREGADORES"</f>
        <v>PAGAMENTO DE ENTREGADORES</v>
      </c>
      <c r="P5789">
        <v>892.86</v>
      </c>
      <c r="S5789" t="str">
        <f>"BANCO C6 (149)"</f>
        <v>BANCO C6 (149)</v>
      </c>
      <c r="T5789">
        <v>20042</v>
      </c>
      <c r="U5789">
        <v>23040</v>
      </c>
      <c r="V5789" t="s">
        <v>77</v>
      </c>
    </row>
    <row r="5790" spans="1:22">
      <c r="A5790" t="str">
        <f t="shared" si="1005"/>
        <v>09/10/2025</v>
      </c>
      <c r="B5790" t="str">
        <f t="shared" si="1000"/>
        <v>SAÍDA</v>
      </c>
      <c r="C5790" t="str">
        <f t="shared" si="1003"/>
        <v>PIX</v>
      </c>
      <c r="D5790" t="str">
        <f>"23040"</f>
        <v>23040</v>
      </c>
      <c r="E5790" t="str">
        <f t="shared" si="1004"/>
        <v>1</v>
      </c>
      <c r="F5790" t="str">
        <f t="shared" si="1001"/>
        <v>COM</v>
      </c>
      <c r="G5790" t="str">
        <f>"LUAN DOS REIS SILVA (954)"</f>
        <v>LUAN DOS REIS SILVA (954)</v>
      </c>
      <c r="H5790" t="s">
        <v>1341</v>
      </c>
      <c r="I5790" t="str">
        <f t="shared" si="1002"/>
        <v>09/10/2025</v>
      </c>
      <c r="J5790" t="str">
        <f t="shared" si="1006"/>
        <v>07/10/2025</v>
      </c>
      <c r="K5790">
        <v>45939</v>
      </c>
      <c r="N5790">
        <v>109</v>
      </c>
      <c r="O5790" t="s">
        <v>24</v>
      </c>
      <c r="Q5790">
        <v>169.19</v>
      </c>
      <c r="R5790" t="str">
        <f>"PENSE FARMA 05 (10200)"</f>
        <v>PENSE FARMA 05 (10200)</v>
      </c>
      <c r="S5790" t="s">
        <v>77</v>
      </c>
      <c r="T5790">
        <v>20042</v>
      </c>
      <c r="U5790">
        <v>23040</v>
      </c>
      <c r="V5790" t="s">
        <v>77</v>
      </c>
    </row>
    <row r="5791" spans="1:22">
      <c r="A5791" t="str">
        <f t="shared" si="1005"/>
        <v>09/10/2025</v>
      </c>
      <c r="B5791" t="str">
        <f t="shared" si="1000"/>
        <v>SAÍDA</v>
      </c>
      <c r="C5791" t="str">
        <f t="shared" si="1003"/>
        <v>PIX</v>
      </c>
      <c r="D5791" t="str">
        <f>"23040"</f>
        <v>23040</v>
      </c>
      <c r="E5791" t="str">
        <f t="shared" si="1004"/>
        <v>1</v>
      </c>
      <c r="F5791" t="str">
        <f t="shared" si="1001"/>
        <v>COM</v>
      </c>
      <c r="G5791" t="str">
        <f>"LUAN DOS REIS SILVA (954)"</f>
        <v>LUAN DOS REIS SILVA (954)</v>
      </c>
      <c r="H5791" t="s">
        <v>1341</v>
      </c>
      <c r="I5791" t="str">
        <f t="shared" si="1002"/>
        <v>09/10/2025</v>
      </c>
      <c r="J5791" t="str">
        <f t="shared" si="1006"/>
        <v>07/10/2025</v>
      </c>
      <c r="K5791">
        <v>45939</v>
      </c>
      <c r="N5791">
        <v>109</v>
      </c>
      <c r="O5791" t="s">
        <v>24</v>
      </c>
      <c r="Q5791">
        <v>140.54</v>
      </c>
      <c r="R5791" t="str">
        <f>"PENSE FARMA 13 (10202)"</f>
        <v>PENSE FARMA 13 (10202)</v>
      </c>
      <c r="S5791" t="s">
        <v>77</v>
      </c>
      <c r="T5791">
        <v>20042</v>
      </c>
      <c r="U5791">
        <v>23040</v>
      </c>
      <c r="V5791" t="s">
        <v>77</v>
      </c>
    </row>
    <row r="5792" spans="1:22">
      <c r="A5792" t="str">
        <f t="shared" si="1005"/>
        <v>09/10/2025</v>
      </c>
      <c r="B5792" t="str">
        <f t="shared" si="1000"/>
        <v>SAÍDA</v>
      </c>
      <c r="C5792" t="str">
        <f t="shared" si="1003"/>
        <v>PIX</v>
      </c>
      <c r="D5792" t="str">
        <f>"23040"</f>
        <v>23040</v>
      </c>
      <c r="E5792" t="str">
        <f t="shared" si="1004"/>
        <v>1</v>
      </c>
      <c r="F5792" t="str">
        <f t="shared" si="1001"/>
        <v>COM</v>
      </c>
      <c r="G5792" t="str">
        <f>"LUAN DOS REIS SILVA (954)"</f>
        <v>LUAN DOS REIS SILVA (954)</v>
      </c>
      <c r="H5792" t="s">
        <v>1341</v>
      </c>
      <c r="I5792" t="str">
        <f t="shared" si="1002"/>
        <v>09/10/2025</v>
      </c>
      <c r="J5792" t="str">
        <f t="shared" si="1006"/>
        <v>07/10/2025</v>
      </c>
      <c r="K5792">
        <v>45939</v>
      </c>
      <c r="N5792">
        <v>109</v>
      </c>
      <c r="O5792" t="s">
        <v>24</v>
      </c>
      <c r="Q5792">
        <v>583.13</v>
      </c>
      <c r="R5792" t="str">
        <f>"PENSE FARMA 27 (10204)"</f>
        <v>PENSE FARMA 27 (10204)</v>
      </c>
      <c r="S5792" t="s">
        <v>77</v>
      </c>
      <c r="T5792">
        <v>20042</v>
      </c>
      <c r="U5792">
        <v>23040</v>
      </c>
      <c r="V5792" t="s">
        <v>77</v>
      </c>
    </row>
    <row r="5793" spans="1:22">
      <c r="A5793" t="str">
        <f t="shared" si="1005"/>
        <v>09/10/2025</v>
      </c>
      <c r="B5793" t="str">
        <f t="shared" si="1000"/>
        <v>SAÍDA</v>
      </c>
      <c r="C5793" t="str">
        <f t="shared" si="1003"/>
        <v>PIX</v>
      </c>
      <c r="D5793" t="str">
        <f>"23041"</f>
        <v>23041</v>
      </c>
      <c r="E5793" t="str">
        <f t="shared" si="1004"/>
        <v>1</v>
      </c>
      <c r="F5793" t="str">
        <f t="shared" si="1001"/>
        <v>COM</v>
      </c>
      <c r="G5793" t="str">
        <f>"RAFAEL DE JESUS LIMA (979)"</f>
        <v>RAFAEL DE JESUS LIMA (979)</v>
      </c>
      <c r="H5793" t="str">
        <f>"Serv.Prest. 29/09/2025 a 05/10/2025 - PIX: CPF - CHAVE: 421.097.678-47"</f>
        <v>Serv.Prest. 29/09/2025 a 05/10/2025 - PIX: CPF - CHAVE: 421.097.678-47</v>
      </c>
      <c r="I5793" t="str">
        <f t="shared" si="1002"/>
        <v>09/10/2025</v>
      </c>
      <c r="J5793" t="str">
        <f t="shared" si="1006"/>
        <v>07/10/2025</v>
      </c>
      <c r="K5793" t="str">
        <f>("09/10/2025")</f>
        <v>09/10/2025</v>
      </c>
      <c r="L5793">
        <v>890</v>
      </c>
      <c r="M5793">
        <v>892.86</v>
      </c>
      <c r="N5793">
        <v>109</v>
      </c>
      <c r="O5793" t="str">
        <f>"PAGAMENTO DE ENTREGADORES"</f>
        <v>PAGAMENTO DE ENTREGADORES</v>
      </c>
      <c r="P5793">
        <v>892.86</v>
      </c>
      <c r="S5793" t="str">
        <f>"BANCO C6 (149)"</f>
        <v>BANCO C6 (149)</v>
      </c>
      <c r="T5793">
        <v>20043</v>
      </c>
      <c r="U5793">
        <v>23041</v>
      </c>
      <c r="V5793" t="s">
        <v>77</v>
      </c>
    </row>
    <row r="5794" spans="1:22">
      <c r="A5794" t="str">
        <f t="shared" si="1005"/>
        <v>09/10/2025</v>
      </c>
      <c r="B5794" t="str">
        <f t="shared" si="1000"/>
        <v>SAÍDA</v>
      </c>
      <c r="C5794" t="str">
        <f t="shared" si="1003"/>
        <v>PIX</v>
      </c>
      <c r="D5794" t="str">
        <f>"23041"</f>
        <v>23041</v>
      </c>
      <c r="E5794" t="str">
        <f t="shared" si="1004"/>
        <v>1</v>
      </c>
      <c r="F5794" t="str">
        <f t="shared" si="1001"/>
        <v>COM</v>
      </c>
      <c r="G5794" t="str">
        <f>"RAFAEL DE JESUS LIMA (979)"</f>
        <v>RAFAEL DE JESUS LIMA (979)</v>
      </c>
      <c r="H5794" t="s">
        <v>1576</v>
      </c>
      <c r="I5794" t="str">
        <f t="shared" si="1002"/>
        <v>09/10/2025</v>
      </c>
      <c r="J5794" t="str">
        <f t="shared" si="1006"/>
        <v>07/10/2025</v>
      </c>
      <c r="K5794">
        <v>45939</v>
      </c>
      <c r="N5794">
        <v>109</v>
      </c>
      <c r="O5794" t="s">
        <v>24</v>
      </c>
      <c r="Q5794">
        <v>68.66</v>
      </c>
      <c r="R5794" t="str">
        <f>"PENSE FARMA 05 (10200)"</f>
        <v>PENSE FARMA 05 (10200)</v>
      </c>
      <c r="S5794" t="s">
        <v>77</v>
      </c>
      <c r="T5794">
        <v>20043</v>
      </c>
      <c r="U5794">
        <v>23041</v>
      </c>
      <c r="V5794" t="s">
        <v>77</v>
      </c>
    </row>
    <row r="5795" spans="1:22">
      <c r="A5795" t="str">
        <f t="shared" si="1005"/>
        <v>09/10/2025</v>
      </c>
      <c r="B5795" t="str">
        <f t="shared" si="1000"/>
        <v>SAÍDA</v>
      </c>
      <c r="C5795" t="str">
        <f t="shared" si="1003"/>
        <v>PIX</v>
      </c>
      <c r="D5795" t="str">
        <f>"23041"</f>
        <v>23041</v>
      </c>
      <c r="E5795" t="str">
        <f t="shared" si="1004"/>
        <v>1</v>
      </c>
      <c r="F5795" t="str">
        <f t="shared" si="1001"/>
        <v>COM</v>
      </c>
      <c r="G5795" t="str">
        <f>"RAFAEL DE JESUS LIMA (979)"</f>
        <v>RAFAEL DE JESUS LIMA (979)</v>
      </c>
      <c r="H5795" t="s">
        <v>1576</v>
      </c>
      <c r="I5795" t="str">
        <f t="shared" si="1002"/>
        <v>09/10/2025</v>
      </c>
      <c r="J5795" t="str">
        <f t="shared" si="1006"/>
        <v>07/10/2025</v>
      </c>
      <c r="K5795">
        <v>45939</v>
      </c>
      <c r="N5795">
        <v>109</v>
      </c>
      <c r="O5795" t="s">
        <v>24</v>
      </c>
      <c r="Q5795">
        <v>17.14</v>
      </c>
      <c r="R5795" t="str">
        <f>"PENSE FARMA 13 (10202)"</f>
        <v>PENSE FARMA 13 (10202)</v>
      </c>
      <c r="S5795" t="s">
        <v>77</v>
      </c>
      <c r="T5795">
        <v>20043</v>
      </c>
      <c r="U5795">
        <v>23041</v>
      </c>
      <c r="V5795" t="s">
        <v>77</v>
      </c>
    </row>
    <row r="5796" spans="1:22">
      <c r="A5796" t="str">
        <f t="shared" si="1005"/>
        <v>09/10/2025</v>
      </c>
      <c r="B5796" t="str">
        <f t="shared" si="1000"/>
        <v>SAÍDA</v>
      </c>
      <c r="C5796" t="str">
        <f t="shared" si="1003"/>
        <v>PIX</v>
      </c>
      <c r="D5796" t="str">
        <f>"23041"</f>
        <v>23041</v>
      </c>
      <c r="E5796" t="str">
        <f t="shared" si="1004"/>
        <v>1</v>
      </c>
      <c r="F5796" t="str">
        <f t="shared" si="1001"/>
        <v>COM</v>
      </c>
      <c r="G5796" t="str">
        <f>"RAFAEL DE JESUS LIMA (979)"</f>
        <v>RAFAEL DE JESUS LIMA (979)</v>
      </c>
      <c r="H5796" t="s">
        <v>1576</v>
      </c>
      <c r="I5796" t="str">
        <f t="shared" si="1002"/>
        <v>09/10/2025</v>
      </c>
      <c r="J5796" t="str">
        <f t="shared" si="1006"/>
        <v>07/10/2025</v>
      </c>
      <c r="K5796">
        <v>45939</v>
      </c>
      <c r="N5796">
        <v>109</v>
      </c>
      <c r="O5796" t="s">
        <v>24</v>
      </c>
      <c r="Q5796">
        <v>807.06</v>
      </c>
      <c r="R5796" t="str">
        <f>"PENSE FARMA 27 (10204)"</f>
        <v>PENSE FARMA 27 (10204)</v>
      </c>
      <c r="S5796" t="s">
        <v>77</v>
      </c>
      <c r="T5796">
        <v>20043</v>
      </c>
      <c r="U5796">
        <v>23041</v>
      </c>
      <c r="V5796" t="s">
        <v>77</v>
      </c>
    </row>
    <row r="5797" spans="1:22">
      <c r="A5797" t="str">
        <f t="shared" si="1005"/>
        <v>09/10/2025</v>
      </c>
      <c r="B5797" t="str">
        <f t="shared" si="1000"/>
        <v>SAÍDA</v>
      </c>
      <c r="C5797" t="str">
        <f t="shared" si="1003"/>
        <v>PIX</v>
      </c>
      <c r="D5797" t="str">
        <f>"23043"</f>
        <v>23043</v>
      </c>
      <c r="E5797" t="str">
        <f t="shared" si="1004"/>
        <v>1</v>
      </c>
      <c r="F5797" t="str">
        <f t="shared" si="1001"/>
        <v>COM</v>
      </c>
      <c r="G5797" t="str">
        <f>"LUCAS MANOEL DA SILVA (978)"</f>
        <v>LUCAS MANOEL DA SILVA (978)</v>
      </c>
      <c r="H5797" t="str">
        <f>"Serv.Prest. 29/09/2025 a 05/10/2025 - PIX: CELULAR - CHAVE: (11) 94212-6784"</f>
        <v>Serv.Prest. 29/09/2025 a 05/10/2025 - PIX: CELULAR - CHAVE: (11) 94212-6784</v>
      </c>
      <c r="I5797" t="str">
        <f t="shared" si="1002"/>
        <v>09/10/2025</v>
      </c>
      <c r="J5797" t="str">
        <f t="shared" si="1006"/>
        <v>07/10/2025</v>
      </c>
      <c r="K5797" t="str">
        <f>("09/10/2025")</f>
        <v>09/10/2025</v>
      </c>
      <c r="L5797">
        <v>895</v>
      </c>
      <c r="M5797">
        <v>892.86</v>
      </c>
      <c r="N5797">
        <v>109</v>
      </c>
      <c r="O5797" t="str">
        <f>"PAGAMENTO DE ENTREGADORES"</f>
        <v>PAGAMENTO DE ENTREGADORES</v>
      </c>
      <c r="P5797">
        <v>892.86</v>
      </c>
      <c r="S5797" t="str">
        <f>"BANCO C6 (149)"</f>
        <v>BANCO C6 (149)</v>
      </c>
      <c r="T5797">
        <v>20044</v>
      </c>
      <c r="U5797">
        <v>23043</v>
      </c>
      <c r="V5797" t="s">
        <v>77</v>
      </c>
    </row>
    <row r="5798" spans="1:22">
      <c r="A5798" t="str">
        <f t="shared" si="1005"/>
        <v>09/10/2025</v>
      </c>
      <c r="B5798" t="str">
        <f t="shared" si="1000"/>
        <v>SAÍDA</v>
      </c>
      <c r="C5798" t="str">
        <f t="shared" si="1003"/>
        <v>PIX</v>
      </c>
      <c r="D5798" t="str">
        <f>"23043"</f>
        <v>23043</v>
      </c>
      <c r="E5798" t="str">
        <f t="shared" si="1004"/>
        <v>1</v>
      </c>
      <c r="F5798" t="str">
        <f t="shared" si="1001"/>
        <v>COM</v>
      </c>
      <c r="G5798" t="str">
        <f>"LUCAS MANOEL DA SILVA (978)"</f>
        <v>LUCAS MANOEL DA SILVA (978)</v>
      </c>
      <c r="H5798" t="s">
        <v>1342</v>
      </c>
      <c r="I5798" t="str">
        <f t="shared" si="1002"/>
        <v>09/10/2025</v>
      </c>
      <c r="J5798" t="str">
        <f t="shared" si="1006"/>
        <v>07/10/2025</v>
      </c>
      <c r="K5798">
        <v>45939</v>
      </c>
      <c r="N5798">
        <v>109</v>
      </c>
      <c r="O5798" t="s">
        <v>24</v>
      </c>
      <c r="Q5798">
        <v>400.63</v>
      </c>
      <c r="R5798" t="str">
        <f>"PENSE FARMA 07 (10201)"</f>
        <v>PENSE FARMA 07 (10201)</v>
      </c>
      <c r="S5798" t="s">
        <v>77</v>
      </c>
      <c r="T5798">
        <v>20044</v>
      </c>
      <c r="U5798">
        <v>23043</v>
      </c>
      <c r="V5798" t="s">
        <v>77</v>
      </c>
    </row>
    <row r="5799" spans="1:22">
      <c r="A5799" t="str">
        <f t="shared" si="1005"/>
        <v>09/10/2025</v>
      </c>
      <c r="B5799" t="str">
        <f t="shared" si="1000"/>
        <v>SAÍDA</v>
      </c>
      <c r="C5799" t="str">
        <f t="shared" si="1003"/>
        <v>PIX</v>
      </c>
      <c r="D5799" t="str">
        <f>"23043"</f>
        <v>23043</v>
      </c>
      <c r="E5799" t="str">
        <f t="shared" si="1004"/>
        <v>1</v>
      </c>
      <c r="F5799" t="str">
        <f t="shared" si="1001"/>
        <v>COM</v>
      </c>
      <c r="G5799" t="str">
        <f>"LUCAS MANOEL DA SILVA (978)"</f>
        <v>LUCAS MANOEL DA SILVA (978)</v>
      </c>
      <c r="H5799" t="s">
        <v>1342</v>
      </c>
      <c r="I5799" t="str">
        <f t="shared" si="1002"/>
        <v>09/10/2025</v>
      </c>
      <c r="J5799" t="str">
        <f t="shared" ref="J5799:J5824" si="1007">("07/10/2025")</f>
        <v>07/10/2025</v>
      </c>
      <c r="K5799">
        <v>45939</v>
      </c>
      <c r="N5799">
        <v>109</v>
      </c>
      <c r="O5799" t="s">
        <v>24</v>
      </c>
      <c r="Q5799">
        <v>274.73</v>
      </c>
      <c r="R5799" t="str">
        <f>"PENSE FARMA 45 (10209)"</f>
        <v>PENSE FARMA 45 (10209)</v>
      </c>
      <c r="S5799" t="s">
        <v>77</v>
      </c>
      <c r="T5799">
        <v>20044</v>
      </c>
      <c r="U5799">
        <v>23043</v>
      </c>
      <c r="V5799" t="s">
        <v>77</v>
      </c>
    </row>
    <row r="5800" spans="1:22">
      <c r="A5800" t="str">
        <f t="shared" si="1005"/>
        <v>09/10/2025</v>
      </c>
      <c r="B5800" t="str">
        <f t="shared" si="1000"/>
        <v>SAÍDA</v>
      </c>
      <c r="C5800" t="str">
        <f t="shared" si="1003"/>
        <v>PIX</v>
      </c>
      <c r="D5800" t="str">
        <f>"23043"</f>
        <v>23043</v>
      </c>
      <c r="E5800" t="str">
        <f t="shared" si="1004"/>
        <v>1</v>
      </c>
      <c r="F5800" t="str">
        <f t="shared" si="1001"/>
        <v>COM</v>
      </c>
      <c r="G5800" t="str">
        <f>"LUCAS MANOEL DA SILVA (978)"</f>
        <v>LUCAS MANOEL DA SILVA (978)</v>
      </c>
      <c r="H5800" t="s">
        <v>1342</v>
      </c>
      <c r="I5800" t="str">
        <f t="shared" si="1002"/>
        <v>09/10/2025</v>
      </c>
      <c r="J5800" t="str">
        <f t="shared" si="1007"/>
        <v>07/10/2025</v>
      </c>
      <c r="K5800">
        <v>45939</v>
      </c>
      <c r="N5800">
        <v>109</v>
      </c>
      <c r="O5800" t="s">
        <v>24</v>
      </c>
      <c r="Q5800">
        <v>217.5</v>
      </c>
      <c r="R5800" t="str">
        <f>"PENSE FARMA 50 (10210)"</f>
        <v>PENSE FARMA 50 (10210)</v>
      </c>
      <c r="S5800" t="s">
        <v>77</v>
      </c>
      <c r="T5800">
        <v>20044</v>
      </c>
      <c r="U5800">
        <v>23043</v>
      </c>
      <c r="V5800" t="s">
        <v>77</v>
      </c>
    </row>
    <row r="5801" spans="1:22">
      <c r="A5801" t="str">
        <f t="shared" si="1005"/>
        <v>09/10/2025</v>
      </c>
      <c r="B5801" t="str">
        <f t="shared" si="1000"/>
        <v>SAÍDA</v>
      </c>
      <c r="C5801" t="str">
        <f t="shared" si="1003"/>
        <v>PIX</v>
      </c>
      <c r="D5801" t="str">
        <f t="shared" ref="D5801:D5807" si="1008">"23045"</f>
        <v>23045</v>
      </c>
      <c r="E5801" t="str">
        <f t="shared" si="1004"/>
        <v>1</v>
      </c>
      <c r="F5801" t="str">
        <f t="shared" si="1001"/>
        <v>COM</v>
      </c>
      <c r="G5801" t="str">
        <f t="shared" ref="G5801:G5807" si="1009">"FELIPE ALEXANDRE CAMA (976)"</f>
        <v>FELIPE ALEXANDRE CAMA (976)</v>
      </c>
      <c r="H5801" t="str">
        <f>"Serv.Prest. 29/09/2025 a 05/10/2025 - PIX: CPF - CHAVE: 471.142.438-55"</f>
        <v>Serv.Prest. 29/09/2025 a 05/10/2025 - PIX: CPF - CHAVE: 471.142.438-55</v>
      </c>
      <c r="I5801" t="str">
        <f t="shared" si="1002"/>
        <v>09/10/2025</v>
      </c>
      <c r="J5801" t="str">
        <f t="shared" si="1007"/>
        <v>07/10/2025</v>
      </c>
      <c r="K5801" t="str">
        <f>("09/10/2025")</f>
        <v>09/10/2025</v>
      </c>
      <c r="L5801">
        <v>945</v>
      </c>
      <c r="M5801">
        <v>946.43</v>
      </c>
      <c r="N5801">
        <v>109</v>
      </c>
      <c r="O5801" t="str">
        <f>"PAGAMENTO DE ENTREGADORES"</f>
        <v>PAGAMENTO DE ENTREGADORES</v>
      </c>
      <c r="P5801">
        <v>946.43</v>
      </c>
      <c r="S5801" t="str">
        <f>"BANCO C6 (149)"</f>
        <v>BANCO C6 (149)</v>
      </c>
      <c r="T5801">
        <v>20045</v>
      </c>
      <c r="U5801">
        <v>23045</v>
      </c>
      <c r="V5801" t="s">
        <v>77</v>
      </c>
    </row>
    <row r="5802" spans="1:22">
      <c r="A5802" t="str">
        <f t="shared" si="1005"/>
        <v>09/10/2025</v>
      </c>
      <c r="B5802" t="str">
        <f t="shared" si="1000"/>
        <v>SAÍDA</v>
      </c>
      <c r="C5802" t="str">
        <f t="shared" si="1003"/>
        <v>PIX</v>
      </c>
      <c r="D5802" t="str">
        <f t="shared" si="1008"/>
        <v>23045</v>
      </c>
      <c r="E5802" t="str">
        <f t="shared" si="1004"/>
        <v>1</v>
      </c>
      <c r="F5802" t="str">
        <f t="shared" si="1001"/>
        <v>COM</v>
      </c>
      <c r="G5802" t="str">
        <f t="shared" si="1009"/>
        <v>FELIPE ALEXANDRE CAMA (976)</v>
      </c>
      <c r="H5802" t="s">
        <v>1577</v>
      </c>
      <c r="I5802" t="str">
        <f t="shared" si="1002"/>
        <v>09/10/2025</v>
      </c>
      <c r="J5802" t="str">
        <f t="shared" si="1007"/>
        <v>07/10/2025</v>
      </c>
      <c r="K5802">
        <v>45939</v>
      </c>
      <c r="N5802">
        <v>109</v>
      </c>
      <c r="O5802" t="s">
        <v>24</v>
      </c>
      <c r="Q5802">
        <v>135.25</v>
      </c>
      <c r="R5802" t="str">
        <f>"PENSE FARMA 20 (10203)"</f>
        <v>PENSE FARMA 20 (10203)</v>
      </c>
      <c r="S5802" t="s">
        <v>77</v>
      </c>
      <c r="T5802">
        <v>20045</v>
      </c>
      <c r="U5802">
        <v>23045</v>
      </c>
      <c r="V5802" t="s">
        <v>77</v>
      </c>
    </row>
    <row r="5803" spans="1:22">
      <c r="A5803" t="str">
        <f t="shared" si="1005"/>
        <v>09/10/2025</v>
      </c>
      <c r="B5803" t="str">
        <f t="shared" ref="B5803:B5830" si="1010">"SAÍDA"</f>
        <v>SAÍDA</v>
      </c>
      <c r="C5803" t="str">
        <f t="shared" si="1003"/>
        <v>PIX</v>
      </c>
      <c r="D5803" t="str">
        <f t="shared" si="1008"/>
        <v>23045</v>
      </c>
      <c r="E5803" t="str">
        <f t="shared" si="1004"/>
        <v>1</v>
      </c>
      <c r="F5803" t="str">
        <f t="shared" si="1001"/>
        <v>COM</v>
      </c>
      <c r="G5803" t="str">
        <f t="shared" si="1009"/>
        <v>FELIPE ALEXANDRE CAMA (976)</v>
      </c>
      <c r="H5803" t="s">
        <v>1577</v>
      </c>
      <c r="I5803" t="str">
        <f t="shared" si="1002"/>
        <v>09/10/2025</v>
      </c>
      <c r="J5803" t="str">
        <f t="shared" si="1007"/>
        <v>07/10/2025</v>
      </c>
      <c r="K5803">
        <v>45939</v>
      </c>
      <c r="N5803">
        <v>109</v>
      </c>
      <c r="O5803" t="s">
        <v>24</v>
      </c>
      <c r="Q5803">
        <v>258.08999999999997</v>
      </c>
      <c r="R5803" t="str">
        <f>"PENSE FARMA 36 (10206)"</f>
        <v>PENSE FARMA 36 (10206)</v>
      </c>
      <c r="S5803" t="s">
        <v>77</v>
      </c>
      <c r="T5803">
        <v>20045</v>
      </c>
      <c r="U5803">
        <v>23045</v>
      </c>
      <c r="V5803" t="s">
        <v>77</v>
      </c>
    </row>
    <row r="5804" spans="1:22">
      <c r="A5804" t="str">
        <f t="shared" si="1005"/>
        <v>09/10/2025</v>
      </c>
      <c r="B5804" t="str">
        <f t="shared" si="1010"/>
        <v>SAÍDA</v>
      </c>
      <c r="C5804" t="str">
        <f t="shared" si="1003"/>
        <v>PIX</v>
      </c>
      <c r="D5804" t="str">
        <f t="shared" si="1008"/>
        <v>23045</v>
      </c>
      <c r="E5804" t="str">
        <f t="shared" si="1004"/>
        <v>1</v>
      </c>
      <c r="F5804" t="str">
        <f t="shared" si="1001"/>
        <v>COM</v>
      </c>
      <c r="G5804" t="str">
        <f t="shared" si="1009"/>
        <v>FELIPE ALEXANDRE CAMA (976)</v>
      </c>
      <c r="H5804" t="s">
        <v>1577</v>
      </c>
      <c r="I5804" t="str">
        <f t="shared" si="1002"/>
        <v>09/10/2025</v>
      </c>
      <c r="J5804" t="str">
        <f t="shared" si="1007"/>
        <v>07/10/2025</v>
      </c>
      <c r="K5804">
        <v>45939</v>
      </c>
      <c r="N5804">
        <v>109</v>
      </c>
      <c r="O5804" t="s">
        <v>24</v>
      </c>
      <c r="Q5804">
        <v>24.61</v>
      </c>
      <c r="R5804" t="str">
        <f>"PENSE FARMA 40 (10207)"</f>
        <v>PENSE FARMA 40 (10207)</v>
      </c>
      <c r="S5804" t="s">
        <v>77</v>
      </c>
      <c r="T5804">
        <v>20045</v>
      </c>
      <c r="U5804">
        <v>23045</v>
      </c>
      <c r="V5804" t="s">
        <v>77</v>
      </c>
    </row>
    <row r="5805" spans="1:22">
      <c r="A5805" t="str">
        <f t="shared" si="1005"/>
        <v>09/10/2025</v>
      </c>
      <c r="B5805" t="str">
        <f t="shared" si="1010"/>
        <v>SAÍDA</v>
      </c>
      <c r="C5805" t="str">
        <f t="shared" si="1003"/>
        <v>PIX</v>
      </c>
      <c r="D5805" t="str">
        <f t="shared" si="1008"/>
        <v>23045</v>
      </c>
      <c r="E5805" t="str">
        <f t="shared" si="1004"/>
        <v>1</v>
      </c>
      <c r="F5805" t="str">
        <f t="shared" si="1001"/>
        <v>COM</v>
      </c>
      <c r="G5805" t="str">
        <f t="shared" si="1009"/>
        <v>FELIPE ALEXANDRE CAMA (976)</v>
      </c>
      <c r="H5805" t="s">
        <v>1577</v>
      </c>
      <c r="I5805" t="str">
        <f t="shared" si="1002"/>
        <v>09/10/2025</v>
      </c>
      <c r="J5805" t="str">
        <f t="shared" si="1007"/>
        <v>07/10/2025</v>
      </c>
      <c r="K5805">
        <v>45939</v>
      </c>
      <c r="N5805">
        <v>109</v>
      </c>
      <c r="O5805" t="s">
        <v>24</v>
      </c>
      <c r="Q5805">
        <v>36.909999999999997</v>
      </c>
      <c r="R5805" t="str">
        <f>"PENSE FARMA 43 (10208)"</f>
        <v>PENSE FARMA 43 (10208)</v>
      </c>
      <c r="S5805" t="s">
        <v>77</v>
      </c>
      <c r="T5805">
        <v>20045</v>
      </c>
      <c r="U5805">
        <v>23045</v>
      </c>
      <c r="V5805" t="s">
        <v>77</v>
      </c>
    </row>
    <row r="5806" spans="1:22">
      <c r="A5806" t="str">
        <f t="shared" si="1005"/>
        <v>09/10/2025</v>
      </c>
      <c r="B5806" t="str">
        <f t="shared" si="1010"/>
        <v>SAÍDA</v>
      </c>
      <c r="C5806" t="str">
        <f t="shared" si="1003"/>
        <v>PIX</v>
      </c>
      <c r="D5806" t="str">
        <f t="shared" si="1008"/>
        <v>23045</v>
      </c>
      <c r="E5806" t="str">
        <f t="shared" si="1004"/>
        <v>1</v>
      </c>
      <c r="F5806" t="str">
        <f t="shared" ref="F5806:F5828" si="1011">"COM"</f>
        <v>COM</v>
      </c>
      <c r="G5806" t="str">
        <f t="shared" si="1009"/>
        <v>FELIPE ALEXANDRE CAMA (976)</v>
      </c>
      <c r="H5806" t="s">
        <v>1577</v>
      </c>
      <c r="I5806" t="str">
        <f t="shared" si="1002"/>
        <v>09/10/2025</v>
      </c>
      <c r="J5806" t="str">
        <f t="shared" si="1007"/>
        <v>07/10/2025</v>
      </c>
      <c r="K5806">
        <v>45939</v>
      </c>
      <c r="N5806">
        <v>109</v>
      </c>
      <c r="O5806" t="s">
        <v>24</v>
      </c>
      <c r="Q5806">
        <v>122.94</v>
      </c>
      <c r="R5806" t="str">
        <f>"PENSE FARMA 59 (10211)"</f>
        <v>PENSE FARMA 59 (10211)</v>
      </c>
      <c r="S5806" t="s">
        <v>77</v>
      </c>
      <c r="T5806">
        <v>20045</v>
      </c>
      <c r="U5806">
        <v>23045</v>
      </c>
      <c r="V5806" t="s">
        <v>77</v>
      </c>
    </row>
    <row r="5807" spans="1:22">
      <c r="A5807" t="str">
        <f t="shared" si="1005"/>
        <v>09/10/2025</v>
      </c>
      <c r="B5807" t="str">
        <f t="shared" si="1010"/>
        <v>SAÍDA</v>
      </c>
      <c r="C5807" t="str">
        <f t="shared" si="1003"/>
        <v>PIX</v>
      </c>
      <c r="D5807" t="str">
        <f t="shared" si="1008"/>
        <v>23045</v>
      </c>
      <c r="E5807" t="str">
        <f t="shared" si="1004"/>
        <v>1</v>
      </c>
      <c r="F5807" t="str">
        <f t="shared" si="1011"/>
        <v>COM</v>
      </c>
      <c r="G5807" t="str">
        <f t="shared" si="1009"/>
        <v>FELIPE ALEXANDRE CAMA (976)</v>
      </c>
      <c r="H5807" t="s">
        <v>1577</v>
      </c>
      <c r="I5807" t="str">
        <f t="shared" si="1002"/>
        <v>09/10/2025</v>
      </c>
      <c r="J5807" t="str">
        <f t="shared" si="1007"/>
        <v>07/10/2025</v>
      </c>
      <c r="K5807">
        <v>45939</v>
      </c>
      <c r="N5807">
        <v>109</v>
      </c>
      <c r="O5807" t="s">
        <v>24</v>
      </c>
      <c r="Q5807">
        <v>368.63</v>
      </c>
      <c r="R5807" t="str">
        <f>"PENSE FARMA DARK STORE 361 (10212)"</f>
        <v>PENSE FARMA DARK STORE 361 (10212)</v>
      </c>
      <c r="S5807" t="s">
        <v>77</v>
      </c>
      <c r="T5807">
        <v>20045</v>
      </c>
      <c r="U5807">
        <v>23045</v>
      </c>
      <c r="V5807" t="s">
        <v>77</v>
      </c>
    </row>
    <row r="5808" spans="1:22">
      <c r="A5808" t="str">
        <f t="shared" si="1005"/>
        <v>09/10/2025</v>
      </c>
      <c r="B5808" t="str">
        <f t="shared" si="1010"/>
        <v>SAÍDA</v>
      </c>
      <c r="C5808" t="str">
        <f t="shared" si="1003"/>
        <v>PIX</v>
      </c>
      <c r="D5808" t="str">
        <f t="shared" ref="D5808:D5814" si="1012">"23048"</f>
        <v>23048</v>
      </c>
      <c r="E5808" t="str">
        <f t="shared" si="1004"/>
        <v>1</v>
      </c>
      <c r="F5808" t="str">
        <f t="shared" si="1011"/>
        <v>COM</v>
      </c>
      <c r="G5808" t="str">
        <f t="shared" ref="G5808:G5814" si="1013">"RAFAEL PEDROSO DE CAMARA (975)"</f>
        <v>RAFAEL PEDROSO DE CAMARA (975)</v>
      </c>
      <c r="H5808" t="str">
        <f>"Serv.Prest. 29/09/2025 a 05/10/2025 - PIX: CELULAR - CHAVE: (11) 99270-3082"</f>
        <v>Serv.Prest. 29/09/2025 a 05/10/2025 - PIX: CELULAR - CHAVE: (11) 99270-3082</v>
      </c>
      <c r="I5808" t="str">
        <f t="shared" si="1002"/>
        <v>09/10/2025</v>
      </c>
      <c r="J5808" t="str">
        <f t="shared" si="1007"/>
        <v>07/10/2025</v>
      </c>
      <c r="K5808" t="str">
        <f>("09/10/2025")</f>
        <v>09/10/2025</v>
      </c>
      <c r="L5808">
        <v>985</v>
      </c>
      <c r="M5808">
        <v>982.15</v>
      </c>
      <c r="N5808">
        <v>109</v>
      </c>
      <c r="O5808" t="str">
        <f>"PAGAMENTO DE ENTREGADORES"</f>
        <v>PAGAMENTO DE ENTREGADORES</v>
      </c>
      <c r="P5808">
        <v>982.15</v>
      </c>
      <c r="S5808" t="str">
        <f>"BANCO C6 (149)"</f>
        <v>BANCO C6 (149)</v>
      </c>
      <c r="T5808">
        <v>20046</v>
      </c>
      <c r="U5808">
        <v>23048</v>
      </c>
      <c r="V5808" t="s">
        <v>77</v>
      </c>
    </row>
    <row r="5809" spans="1:22">
      <c r="A5809" t="str">
        <f t="shared" si="1005"/>
        <v>09/10/2025</v>
      </c>
      <c r="B5809" t="str">
        <f t="shared" si="1010"/>
        <v>SAÍDA</v>
      </c>
      <c r="C5809" t="str">
        <f t="shared" si="1003"/>
        <v>PIX</v>
      </c>
      <c r="D5809" t="str">
        <f t="shared" si="1012"/>
        <v>23048</v>
      </c>
      <c r="E5809" t="str">
        <f t="shared" si="1004"/>
        <v>1</v>
      </c>
      <c r="F5809" t="str">
        <f t="shared" si="1011"/>
        <v>COM</v>
      </c>
      <c r="G5809" t="str">
        <f t="shared" si="1013"/>
        <v>RAFAEL PEDROSO DE CAMARA (975)</v>
      </c>
      <c r="H5809" t="s">
        <v>1578</v>
      </c>
      <c r="I5809" t="str">
        <f t="shared" si="1002"/>
        <v>09/10/2025</v>
      </c>
      <c r="J5809" t="str">
        <f t="shared" si="1007"/>
        <v>07/10/2025</v>
      </c>
      <c r="K5809">
        <v>45939</v>
      </c>
      <c r="N5809">
        <v>109</v>
      </c>
      <c r="O5809" t="s">
        <v>24</v>
      </c>
      <c r="Q5809">
        <v>237.77</v>
      </c>
      <c r="R5809" t="str">
        <f>"PENSE FARMA 20 (10203)"</f>
        <v>PENSE FARMA 20 (10203)</v>
      </c>
      <c r="S5809" t="s">
        <v>77</v>
      </c>
      <c r="T5809">
        <v>20046</v>
      </c>
      <c r="U5809">
        <v>23048</v>
      </c>
      <c r="V5809" t="s">
        <v>77</v>
      </c>
    </row>
    <row r="5810" spans="1:22">
      <c r="A5810" t="str">
        <f t="shared" si="1005"/>
        <v>09/10/2025</v>
      </c>
      <c r="B5810" t="str">
        <f t="shared" si="1010"/>
        <v>SAÍDA</v>
      </c>
      <c r="C5810" t="str">
        <f t="shared" si="1003"/>
        <v>PIX</v>
      </c>
      <c r="D5810" t="str">
        <f t="shared" si="1012"/>
        <v>23048</v>
      </c>
      <c r="E5810" t="str">
        <f t="shared" si="1004"/>
        <v>1</v>
      </c>
      <c r="F5810" t="str">
        <f t="shared" si="1011"/>
        <v>COM</v>
      </c>
      <c r="G5810" t="str">
        <f t="shared" si="1013"/>
        <v>RAFAEL PEDROSO DE CAMARA (975)</v>
      </c>
      <c r="H5810" t="s">
        <v>1578</v>
      </c>
      <c r="I5810" t="str">
        <f t="shared" si="1002"/>
        <v>09/10/2025</v>
      </c>
      <c r="J5810" t="str">
        <f t="shared" si="1007"/>
        <v>07/10/2025</v>
      </c>
      <c r="K5810">
        <v>45939</v>
      </c>
      <c r="N5810">
        <v>109</v>
      </c>
      <c r="O5810" t="s">
        <v>24</v>
      </c>
      <c r="Q5810">
        <v>144.77000000000001</v>
      </c>
      <c r="R5810" t="str">
        <f>"PENSE FARMA 36 (10206)"</f>
        <v>PENSE FARMA 36 (10206)</v>
      </c>
      <c r="S5810" t="s">
        <v>77</v>
      </c>
      <c r="T5810">
        <v>20046</v>
      </c>
      <c r="U5810">
        <v>23048</v>
      </c>
      <c r="V5810" t="s">
        <v>77</v>
      </c>
    </row>
    <row r="5811" spans="1:22">
      <c r="A5811" t="str">
        <f t="shared" si="1005"/>
        <v>09/10/2025</v>
      </c>
      <c r="B5811" t="str">
        <f t="shared" si="1010"/>
        <v>SAÍDA</v>
      </c>
      <c r="C5811" t="str">
        <f t="shared" si="1003"/>
        <v>PIX</v>
      </c>
      <c r="D5811" t="str">
        <f t="shared" si="1012"/>
        <v>23048</v>
      </c>
      <c r="E5811" t="str">
        <f t="shared" si="1004"/>
        <v>1</v>
      </c>
      <c r="F5811" t="str">
        <f t="shared" si="1011"/>
        <v>COM</v>
      </c>
      <c r="G5811" t="str">
        <f t="shared" si="1013"/>
        <v>RAFAEL PEDROSO DE CAMARA (975)</v>
      </c>
      <c r="H5811" t="s">
        <v>1578</v>
      </c>
      <c r="I5811" t="str">
        <f t="shared" si="1002"/>
        <v>09/10/2025</v>
      </c>
      <c r="J5811" t="str">
        <f t="shared" si="1007"/>
        <v>07/10/2025</v>
      </c>
      <c r="K5811">
        <v>45939</v>
      </c>
      <c r="N5811">
        <v>109</v>
      </c>
      <c r="O5811" t="s">
        <v>24</v>
      </c>
      <c r="Q5811">
        <v>227.47</v>
      </c>
      <c r="R5811" t="str">
        <f>"PENSE FARMA 40 (10207)"</f>
        <v>PENSE FARMA 40 (10207)</v>
      </c>
      <c r="S5811" t="s">
        <v>77</v>
      </c>
      <c r="T5811">
        <v>20046</v>
      </c>
      <c r="U5811">
        <v>23048</v>
      </c>
      <c r="V5811" t="s">
        <v>77</v>
      </c>
    </row>
    <row r="5812" spans="1:22">
      <c r="A5812" t="str">
        <f t="shared" si="1005"/>
        <v>09/10/2025</v>
      </c>
      <c r="B5812" t="str">
        <f t="shared" si="1010"/>
        <v>SAÍDA</v>
      </c>
      <c r="C5812" t="str">
        <f t="shared" si="1003"/>
        <v>PIX</v>
      </c>
      <c r="D5812" t="str">
        <f t="shared" si="1012"/>
        <v>23048</v>
      </c>
      <c r="E5812" t="str">
        <f t="shared" si="1004"/>
        <v>1</v>
      </c>
      <c r="F5812" t="str">
        <f t="shared" si="1011"/>
        <v>COM</v>
      </c>
      <c r="G5812" t="str">
        <f t="shared" si="1013"/>
        <v>RAFAEL PEDROSO DE CAMARA (975)</v>
      </c>
      <c r="H5812" t="s">
        <v>1578</v>
      </c>
      <c r="I5812" t="str">
        <f t="shared" ref="I5812:I5833" si="1014">("09/10/2025")</f>
        <v>09/10/2025</v>
      </c>
      <c r="J5812" t="str">
        <f t="shared" si="1007"/>
        <v>07/10/2025</v>
      </c>
      <c r="K5812">
        <v>45939</v>
      </c>
      <c r="N5812">
        <v>109</v>
      </c>
      <c r="O5812" t="s">
        <v>24</v>
      </c>
      <c r="Q5812">
        <v>175.71</v>
      </c>
      <c r="R5812" t="str">
        <f>"PENSE FARMA 43 (10208)"</f>
        <v>PENSE FARMA 43 (10208)</v>
      </c>
      <c r="S5812" t="s">
        <v>77</v>
      </c>
      <c r="T5812">
        <v>20046</v>
      </c>
      <c r="U5812">
        <v>23048</v>
      </c>
      <c r="V5812" t="s">
        <v>77</v>
      </c>
    </row>
    <row r="5813" spans="1:22">
      <c r="A5813" t="str">
        <f t="shared" si="1005"/>
        <v>09/10/2025</v>
      </c>
      <c r="B5813" t="str">
        <f t="shared" si="1010"/>
        <v>SAÍDA</v>
      </c>
      <c r="C5813" t="str">
        <f t="shared" si="1003"/>
        <v>PIX</v>
      </c>
      <c r="D5813" t="str">
        <f t="shared" si="1012"/>
        <v>23048</v>
      </c>
      <c r="E5813" t="str">
        <f t="shared" si="1004"/>
        <v>1</v>
      </c>
      <c r="F5813" t="str">
        <f t="shared" si="1011"/>
        <v>COM</v>
      </c>
      <c r="G5813" t="str">
        <f t="shared" si="1013"/>
        <v>RAFAEL PEDROSO DE CAMARA (975)</v>
      </c>
      <c r="H5813" t="s">
        <v>1578</v>
      </c>
      <c r="I5813" t="str">
        <f t="shared" si="1014"/>
        <v>09/10/2025</v>
      </c>
      <c r="J5813" t="str">
        <f t="shared" si="1007"/>
        <v>07/10/2025</v>
      </c>
      <c r="K5813">
        <v>45939</v>
      </c>
      <c r="N5813">
        <v>109</v>
      </c>
      <c r="O5813" t="s">
        <v>24</v>
      </c>
      <c r="Q5813">
        <v>62.07</v>
      </c>
      <c r="R5813" t="str">
        <f>"PENSE FARMA 59 (10211)"</f>
        <v>PENSE FARMA 59 (10211)</v>
      </c>
      <c r="S5813" t="s">
        <v>77</v>
      </c>
      <c r="T5813">
        <v>20046</v>
      </c>
      <c r="U5813">
        <v>23048</v>
      </c>
      <c r="V5813" t="s">
        <v>77</v>
      </c>
    </row>
    <row r="5814" spans="1:22">
      <c r="A5814" t="str">
        <f t="shared" si="1005"/>
        <v>09/10/2025</v>
      </c>
      <c r="B5814" t="str">
        <f t="shared" si="1010"/>
        <v>SAÍDA</v>
      </c>
      <c r="C5814" t="str">
        <f t="shared" ref="C5814:C5828" si="1015">"PIX"</f>
        <v>PIX</v>
      </c>
      <c r="D5814" t="str">
        <f t="shared" si="1012"/>
        <v>23048</v>
      </c>
      <c r="E5814" t="str">
        <f t="shared" ref="E5814:E5828" si="1016">"1"</f>
        <v>1</v>
      </c>
      <c r="F5814" t="str">
        <f t="shared" si="1011"/>
        <v>COM</v>
      </c>
      <c r="G5814" t="str">
        <f t="shared" si="1013"/>
        <v>RAFAEL PEDROSO DE CAMARA (975)</v>
      </c>
      <c r="H5814" t="s">
        <v>1578</v>
      </c>
      <c r="I5814" t="str">
        <f t="shared" si="1014"/>
        <v>09/10/2025</v>
      </c>
      <c r="J5814" t="str">
        <f t="shared" si="1007"/>
        <v>07/10/2025</v>
      </c>
      <c r="K5814">
        <v>45939</v>
      </c>
      <c r="N5814">
        <v>109</v>
      </c>
      <c r="O5814" t="s">
        <v>24</v>
      </c>
      <c r="Q5814">
        <v>134.36000000000001</v>
      </c>
      <c r="R5814" t="str">
        <f>"PENSE FARMA DARK STORE 361 (10212)"</f>
        <v>PENSE FARMA DARK STORE 361 (10212)</v>
      </c>
      <c r="S5814" t="s">
        <v>77</v>
      </c>
      <c r="T5814">
        <v>20046</v>
      </c>
      <c r="U5814">
        <v>23048</v>
      </c>
      <c r="V5814" t="s">
        <v>77</v>
      </c>
    </row>
    <row r="5815" spans="1:22">
      <c r="A5815" t="str">
        <f t="shared" si="1005"/>
        <v>09/10/2025</v>
      </c>
      <c r="B5815" t="str">
        <f t="shared" si="1010"/>
        <v>SAÍDA</v>
      </c>
      <c r="C5815" t="str">
        <f t="shared" si="1015"/>
        <v>PIX</v>
      </c>
      <c r="D5815" t="str">
        <f>"23050"</f>
        <v>23050</v>
      </c>
      <c r="E5815" t="str">
        <f t="shared" si="1016"/>
        <v>1</v>
      </c>
      <c r="F5815" t="str">
        <f t="shared" si="1011"/>
        <v>COM</v>
      </c>
      <c r="G5815" t="str">
        <f>"ALBERTO FARIAS DOS SANTOS JUNIOR (800)"</f>
        <v>ALBERTO FARIAS DOS SANTOS JUNIOR (800)</v>
      </c>
      <c r="H5815" t="str">
        <f>"Serv.Prest. 29/09/2025 a 05/10/2025 - PIX: CELULAR - CHAVE: (71) 99696-7530"</f>
        <v>Serv.Prest. 29/09/2025 a 05/10/2025 - PIX: CELULAR - CHAVE: (71) 99696-7530</v>
      </c>
      <c r="I5815" t="str">
        <f t="shared" si="1014"/>
        <v>09/10/2025</v>
      </c>
      <c r="J5815" t="str">
        <f t="shared" si="1007"/>
        <v>07/10/2025</v>
      </c>
      <c r="K5815" t="str">
        <f>("09/10/2025")</f>
        <v>09/10/2025</v>
      </c>
      <c r="L5815">
        <v>790</v>
      </c>
      <c r="M5815">
        <v>790</v>
      </c>
      <c r="N5815">
        <v>109</v>
      </c>
      <c r="O5815" t="str">
        <f>"PAGAMENTO DE ENTREGADORES"</f>
        <v>PAGAMENTO DE ENTREGADORES</v>
      </c>
      <c r="P5815">
        <v>790</v>
      </c>
      <c r="S5815" t="str">
        <f>"BANCO C6 (149)"</f>
        <v>BANCO C6 (149)</v>
      </c>
      <c r="T5815">
        <v>20047</v>
      </c>
      <c r="U5815">
        <v>23050</v>
      </c>
      <c r="V5815" t="s">
        <v>77</v>
      </c>
    </row>
    <row r="5816" spans="1:22">
      <c r="A5816" t="str">
        <f t="shared" si="1005"/>
        <v>09/10/2025</v>
      </c>
      <c r="B5816" t="str">
        <f t="shared" si="1010"/>
        <v>SAÍDA</v>
      </c>
      <c r="C5816" t="str">
        <f t="shared" si="1015"/>
        <v>PIX</v>
      </c>
      <c r="D5816" t="str">
        <f>"23050"</f>
        <v>23050</v>
      </c>
      <c r="E5816" t="str">
        <f t="shared" si="1016"/>
        <v>1</v>
      </c>
      <c r="F5816" t="str">
        <f t="shared" si="1011"/>
        <v>COM</v>
      </c>
      <c r="G5816" t="str">
        <f>"ALBERTO FARIAS DOS SANTOS JUNIOR (800)"</f>
        <v>ALBERTO FARIAS DOS SANTOS JUNIOR (800)</v>
      </c>
      <c r="H5816" t="s">
        <v>1364</v>
      </c>
      <c r="I5816" t="str">
        <f t="shared" si="1014"/>
        <v>09/10/2025</v>
      </c>
      <c r="J5816" t="str">
        <f t="shared" si="1007"/>
        <v>07/10/2025</v>
      </c>
      <c r="K5816">
        <v>45939</v>
      </c>
      <c r="N5816">
        <v>109</v>
      </c>
      <c r="O5816" t="s">
        <v>24</v>
      </c>
      <c r="Q5816">
        <v>790</v>
      </c>
      <c r="R5816" t="str">
        <f>"DELTA LOJA 2 (10123)"</f>
        <v>DELTA LOJA 2 (10123)</v>
      </c>
      <c r="S5816" t="s">
        <v>77</v>
      </c>
      <c r="T5816">
        <v>20047</v>
      </c>
      <c r="U5816">
        <v>23050</v>
      </c>
      <c r="V5816" t="s">
        <v>77</v>
      </c>
    </row>
    <row r="5817" spans="1:22">
      <c r="A5817" t="str">
        <f t="shared" si="1005"/>
        <v>09/10/2025</v>
      </c>
      <c r="B5817" t="str">
        <f t="shared" si="1010"/>
        <v>SAÍDA</v>
      </c>
      <c r="C5817" t="str">
        <f t="shared" si="1015"/>
        <v>PIX</v>
      </c>
      <c r="D5817" t="str">
        <f>"23051"</f>
        <v>23051</v>
      </c>
      <c r="E5817" t="str">
        <f t="shared" si="1016"/>
        <v>1</v>
      </c>
      <c r="F5817" t="str">
        <f t="shared" si="1011"/>
        <v>COM</v>
      </c>
      <c r="G5817" t="str">
        <f>"EDNUBIA RAMOS ALVES OLIVEIRA (899)"</f>
        <v>EDNUBIA RAMOS ALVES OLIVEIRA (899)</v>
      </c>
      <c r="H5817" t="str">
        <f>"Serv.Prest. 29/09/2025 a 05/10/2025 - PIX: CELULAR - CHAVE: (71) 99214-9256"</f>
        <v>Serv.Prest. 29/09/2025 a 05/10/2025 - PIX: CELULAR - CHAVE: (71) 99214-9256</v>
      </c>
      <c r="I5817" t="str">
        <f t="shared" si="1014"/>
        <v>09/10/2025</v>
      </c>
      <c r="J5817" t="str">
        <f t="shared" si="1007"/>
        <v>07/10/2025</v>
      </c>
      <c r="K5817" t="str">
        <f>("09/10/2025")</f>
        <v>09/10/2025</v>
      </c>
      <c r="L5817">
        <v>840</v>
      </c>
      <c r="M5817">
        <v>840</v>
      </c>
      <c r="N5817">
        <v>109</v>
      </c>
      <c r="O5817" t="str">
        <f>"PAGAMENTO DE ENTREGADORES"</f>
        <v>PAGAMENTO DE ENTREGADORES</v>
      </c>
      <c r="P5817">
        <v>840</v>
      </c>
      <c r="S5817" t="str">
        <f>"BANCO C6 (149)"</f>
        <v>BANCO C6 (149)</v>
      </c>
      <c r="T5817">
        <v>20048</v>
      </c>
      <c r="U5817">
        <v>23051</v>
      </c>
      <c r="V5817" t="s">
        <v>77</v>
      </c>
    </row>
    <row r="5818" spans="1:22">
      <c r="A5818" t="str">
        <f t="shared" si="1005"/>
        <v>09/10/2025</v>
      </c>
      <c r="B5818" t="str">
        <f t="shared" si="1010"/>
        <v>SAÍDA</v>
      </c>
      <c r="C5818" t="str">
        <f t="shared" si="1015"/>
        <v>PIX</v>
      </c>
      <c r="D5818" t="str">
        <f>"23051"</f>
        <v>23051</v>
      </c>
      <c r="E5818" t="str">
        <f t="shared" si="1016"/>
        <v>1</v>
      </c>
      <c r="F5818" t="str">
        <f t="shared" si="1011"/>
        <v>COM</v>
      </c>
      <c r="G5818" t="str">
        <f>"EDNUBIA RAMOS ALVES OLIVEIRA (899)"</f>
        <v>EDNUBIA RAMOS ALVES OLIVEIRA (899)</v>
      </c>
      <c r="H5818" t="s">
        <v>1388</v>
      </c>
      <c r="I5818" t="str">
        <f t="shared" si="1014"/>
        <v>09/10/2025</v>
      </c>
      <c r="J5818" t="str">
        <f t="shared" si="1007"/>
        <v>07/10/2025</v>
      </c>
      <c r="K5818">
        <v>45939</v>
      </c>
      <c r="N5818">
        <v>109</v>
      </c>
      <c r="O5818" t="s">
        <v>24</v>
      </c>
      <c r="Q5818">
        <v>840</v>
      </c>
      <c r="R5818" t="str">
        <f>"DELTA LOJA 2 (10123)"</f>
        <v>DELTA LOJA 2 (10123)</v>
      </c>
      <c r="S5818" t="s">
        <v>77</v>
      </c>
      <c r="T5818">
        <v>20048</v>
      </c>
      <c r="U5818">
        <v>23051</v>
      </c>
      <c r="V5818" t="s">
        <v>77</v>
      </c>
    </row>
    <row r="5819" spans="1:22">
      <c r="A5819" t="str">
        <f t="shared" si="1005"/>
        <v>09/10/2025</v>
      </c>
      <c r="B5819" t="str">
        <f t="shared" si="1010"/>
        <v>SAÍDA</v>
      </c>
      <c r="C5819" t="str">
        <f t="shared" si="1015"/>
        <v>PIX</v>
      </c>
      <c r="D5819" t="str">
        <f>"23052"</f>
        <v>23052</v>
      </c>
      <c r="E5819" t="str">
        <f t="shared" si="1016"/>
        <v>1</v>
      </c>
      <c r="F5819" t="str">
        <f t="shared" si="1011"/>
        <v>COM</v>
      </c>
      <c r="G5819" t="str">
        <f>"EDVAN DA SILVA ALVES (934)"</f>
        <v>EDVAN DA SILVA ALVES (934)</v>
      </c>
      <c r="H5819" t="str">
        <f>"Serv.Prest. 29/09/2025 a 05/10/2025 - PIX: E-MAIL - CHAVE: edvam18.alves@gmail.com"</f>
        <v>Serv.Prest. 29/09/2025 a 05/10/2025 - PIX: E-MAIL - CHAVE: edvam18.alves@gmail.com</v>
      </c>
      <c r="I5819" t="str">
        <f t="shared" si="1014"/>
        <v>09/10/2025</v>
      </c>
      <c r="J5819" t="str">
        <f t="shared" si="1007"/>
        <v>07/10/2025</v>
      </c>
      <c r="K5819" t="str">
        <f>("09/10/2025")</f>
        <v>09/10/2025</v>
      </c>
      <c r="L5819">
        <v>775</v>
      </c>
      <c r="M5819">
        <v>775</v>
      </c>
      <c r="N5819">
        <v>109</v>
      </c>
      <c r="O5819" t="str">
        <f>"PAGAMENTO DE ENTREGADORES"</f>
        <v>PAGAMENTO DE ENTREGADORES</v>
      </c>
      <c r="P5819">
        <v>775</v>
      </c>
      <c r="S5819" t="str">
        <f>"BANCO C6 (149)"</f>
        <v>BANCO C6 (149)</v>
      </c>
      <c r="T5819">
        <v>20049</v>
      </c>
      <c r="U5819">
        <v>23052</v>
      </c>
      <c r="V5819" t="s">
        <v>77</v>
      </c>
    </row>
    <row r="5820" spans="1:22">
      <c r="A5820" t="str">
        <f t="shared" si="1005"/>
        <v>09/10/2025</v>
      </c>
      <c r="B5820" t="str">
        <f t="shared" si="1010"/>
        <v>SAÍDA</v>
      </c>
      <c r="C5820" t="str">
        <f t="shared" si="1015"/>
        <v>PIX</v>
      </c>
      <c r="D5820" t="str">
        <f>"23052"</f>
        <v>23052</v>
      </c>
      <c r="E5820" t="str">
        <f t="shared" si="1016"/>
        <v>1</v>
      </c>
      <c r="F5820" t="str">
        <f t="shared" si="1011"/>
        <v>COM</v>
      </c>
      <c r="G5820" t="str">
        <f>"EDVAN DA SILVA ALVES (934)"</f>
        <v>EDVAN DA SILVA ALVES (934)</v>
      </c>
      <c r="H5820" t="s">
        <v>1392</v>
      </c>
      <c r="I5820" t="str">
        <f t="shared" si="1014"/>
        <v>09/10/2025</v>
      </c>
      <c r="J5820" t="str">
        <f t="shared" si="1007"/>
        <v>07/10/2025</v>
      </c>
      <c r="K5820">
        <v>45939</v>
      </c>
      <c r="N5820">
        <v>109</v>
      </c>
      <c r="O5820" t="s">
        <v>24</v>
      </c>
      <c r="Q5820">
        <v>775</v>
      </c>
      <c r="R5820" t="str">
        <f>"DELTA LOJA 2 (10123)"</f>
        <v>DELTA LOJA 2 (10123)</v>
      </c>
      <c r="S5820" t="s">
        <v>77</v>
      </c>
      <c r="T5820">
        <v>20049</v>
      </c>
      <c r="U5820">
        <v>23052</v>
      </c>
      <c r="V5820" t="s">
        <v>77</v>
      </c>
    </row>
    <row r="5821" spans="1:22">
      <c r="A5821" t="str">
        <f t="shared" si="1005"/>
        <v>09/10/2025</v>
      </c>
      <c r="B5821" t="str">
        <f t="shared" si="1010"/>
        <v>SAÍDA</v>
      </c>
      <c r="C5821" t="str">
        <f t="shared" si="1015"/>
        <v>PIX</v>
      </c>
      <c r="D5821" t="str">
        <f>"23053"</f>
        <v>23053</v>
      </c>
      <c r="E5821" t="str">
        <f t="shared" si="1016"/>
        <v>1</v>
      </c>
      <c r="F5821" t="str">
        <f t="shared" si="1011"/>
        <v>COM</v>
      </c>
      <c r="G5821" t="str">
        <f>"ELIENAI ROSA DO NASCIMENTO (343)"</f>
        <v>ELIENAI ROSA DO NASCIMENTO (343)</v>
      </c>
      <c r="H5821" t="str">
        <f>"Serv.Prest. 29/09/2025 a 05/10/2025 - PIX: CPF - CHAVE: 048.672.645-20"</f>
        <v>Serv.Prest. 29/09/2025 a 05/10/2025 - PIX: CPF - CHAVE: 048.672.645-20</v>
      </c>
      <c r="I5821" t="str">
        <f t="shared" si="1014"/>
        <v>09/10/2025</v>
      </c>
      <c r="J5821" t="str">
        <f t="shared" si="1007"/>
        <v>07/10/2025</v>
      </c>
      <c r="K5821" t="str">
        <f>("09/10/2025")</f>
        <v>09/10/2025</v>
      </c>
      <c r="L5821">
        <v>780</v>
      </c>
      <c r="M5821">
        <v>780</v>
      </c>
      <c r="N5821">
        <v>109</v>
      </c>
      <c r="O5821" t="str">
        <f>"PAGAMENTO DE ENTREGADORES"</f>
        <v>PAGAMENTO DE ENTREGADORES</v>
      </c>
      <c r="P5821">
        <v>780</v>
      </c>
      <c r="S5821" t="str">
        <f>"BANCO C6 (149)"</f>
        <v>BANCO C6 (149)</v>
      </c>
      <c r="T5821">
        <v>20050</v>
      </c>
      <c r="U5821">
        <v>23053</v>
      </c>
      <c r="V5821" t="s">
        <v>77</v>
      </c>
    </row>
    <row r="5822" spans="1:22">
      <c r="A5822" t="str">
        <f t="shared" si="1005"/>
        <v>09/10/2025</v>
      </c>
      <c r="B5822" t="str">
        <f t="shared" si="1010"/>
        <v>SAÍDA</v>
      </c>
      <c r="C5822" t="str">
        <f t="shared" si="1015"/>
        <v>PIX</v>
      </c>
      <c r="D5822" t="str">
        <f>"23053"</f>
        <v>23053</v>
      </c>
      <c r="E5822" t="str">
        <f t="shared" si="1016"/>
        <v>1</v>
      </c>
      <c r="F5822" t="str">
        <f t="shared" si="1011"/>
        <v>COM</v>
      </c>
      <c r="G5822" t="str">
        <f>"ELIENAI ROSA DO NASCIMENTO (343)"</f>
        <v>ELIENAI ROSA DO NASCIMENTO (343)</v>
      </c>
      <c r="H5822" t="s">
        <v>1393</v>
      </c>
      <c r="I5822" t="str">
        <f t="shared" si="1014"/>
        <v>09/10/2025</v>
      </c>
      <c r="J5822" t="str">
        <f t="shared" si="1007"/>
        <v>07/10/2025</v>
      </c>
      <c r="K5822">
        <v>45939</v>
      </c>
      <c r="N5822">
        <v>109</v>
      </c>
      <c r="O5822" t="s">
        <v>24</v>
      </c>
      <c r="Q5822">
        <v>780</v>
      </c>
      <c r="R5822" t="str">
        <f>"DELTA LOJA 2 (10123)"</f>
        <v>DELTA LOJA 2 (10123)</v>
      </c>
      <c r="S5822" t="s">
        <v>77</v>
      </c>
      <c r="T5822">
        <v>20050</v>
      </c>
      <c r="U5822">
        <v>23053</v>
      </c>
      <c r="V5822" t="s">
        <v>77</v>
      </c>
    </row>
    <row r="5823" spans="1:22">
      <c r="A5823" t="str">
        <f t="shared" si="1005"/>
        <v>09/10/2025</v>
      </c>
      <c r="B5823" t="str">
        <f t="shared" si="1010"/>
        <v>SAÍDA</v>
      </c>
      <c r="C5823" t="str">
        <f t="shared" si="1015"/>
        <v>PIX</v>
      </c>
      <c r="D5823" t="str">
        <f>"23056"</f>
        <v>23056</v>
      </c>
      <c r="E5823" t="str">
        <f t="shared" si="1016"/>
        <v>1</v>
      </c>
      <c r="F5823" t="str">
        <f t="shared" si="1011"/>
        <v>COM</v>
      </c>
      <c r="G5823" t="str">
        <f>"NILTON ADRIANO SILVA DE JESUS (943)"</f>
        <v>NILTON ADRIANO SILVA DE JESUS (943)</v>
      </c>
      <c r="H5823" t="str">
        <f>"Serv.Prest. 29/09/2025 a 05/10/2025 - PIX: CELULAR - CHAVE: (34) 99772-2954"</f>
        <v>Serv.Prest. 29/09/2025 a 05/10/2025 - PIX: CELULAR - CHAVE: (34) 99772-2954</v>
      </c>
      <c r="I5823" t="str">
        <f t="shared" si="1014"/>
        <v>09/10/2025</v>
      </c>
      <c r="J5823" t="str">
        <f t="shared" si="1007"/>
        <v>07/10/2025</v>
      </c>
      <c r="K5823" t="str">
        <f>("09/10/2025")</f>
        <v>09/10/2025</v>
      </c>
      <c r="L5823">
        <v>814.5</v>
      </c>
      <c r="M5823">
        <v>814.5</v>
      </c>
      <c r="N5823">
        <v>109</v>
      </c>
      <c r="O5823" t="str">
        <f>"PAGAMENTO DE ENTREGADORES"</f>
        <v>PAGAMENTO DE ENTREGADORES</v>
      </c>
      <c r="P5823">
        <v>814.5</v>
      </c>
      <c r="S5823" t="str">
        <f>"BANCO C6 (149)"</f>
        <v>BANCO C6 (149)</v>
      </c>
      <c r="T5823">
        <v>20051</v>
      </c>
      <c r="U5823">
        <v>23056</v>
      </c>
      <c r="V5823" t="s">
        <v>77</v>
      </c>
    </row>
    <row r="5824" spans="1:22">
      <c r="A5824" t="str">
        <f t="shared" si="1005"/>
        <v>09/10/2025</v>
      </c>
      <c r="B5824" t="str">
        <f t="shared" si="1010"/>
        <v>SAÍDA</v>
      </c>
      <c r="C5824" t="str">
        <f t="shared" si="1015"/>
        <v>PIX</v>
      </c>
      <c r="D5824" t="str">
        <f>"23056"</f>
        <v>23056</v>
      </c>
      <c r="E5824" t="str">
        <f t="shared" si="1016"/>
        <v>1</v>
      </c>
      <c r="F5824" t="str">
        <f t="shared" si="1011"/>
        <v>COM</v>
      </c>
      <c r="G5824" t="str">
        <f>"NILTON ADRIANO SILVA DE JESUS (943)"</f>
        <v>NILTON ADRIANO SILVA DE JESUS (943)</v>
      </c>
      <c r="H5824" t="s">
        <v>1579</v>
      </c>
      <c r="I5824" t="str">
        <f t="shared" si="1014"/>
        <v>09/10/2025</v>
      </c>
      <c r="J5824" t="str">
        <f t="shared" si="1007"/>
        <v>07/10/2025</v>
      </c>
      <c r="K5824">
        <v>45939</v>
      </c>
      <c r="N5824">
        <v>109</v>
      </c>
      <c r="O5824" t="s">
        <v>24</v>
      </c>
      <c r="Q5824">
        <v>814.5</v>
      </c>
      <c r="R5824" t="str">
        <f>"DROGA HONDA (10149)"</f>
        <v>DROGA HONDA (10149)</v>
      </c>
      <c r="S5824" t="s">
        <v>77</v>
      </c>
      <c r="T5824">
        <v>20051</v>
      </c>
      <c r="U5824">
        <v>23056</v>
      </c>
      <c r="V5824" t="s">
        <v>77</v>
      </c>
    </row>
    <row r="5825" spans="1:22">
      <c r="A5825" t="str">
        <f t="shared" si="1005"/>
        <v>09/10/2025</v>
      </c>
      <c r="B5825" t="str">
        <f t="shared" si="1010"/>
        <v>SAÍDA</v>
      </c>
      <c r="C5825" t="str">
        <f t="shared" si="1015"/>
        <v>PIX</v>
      </c>
      <c r="D5825" t="str">
        <f>"23061"</f>
        <v>23061</v>
      </c>
      <c r="E5825" t="str">
        <f t="shared" si="1016"/>
        <v>1</v>
      </c>
      <c r="F5825" t="str">
        <f t="shared" si="1011"/>
        <v>COM</v>
      </c>
      <c r="G5825" t="str">
        <f>"LAILA CAMILLE ALVES IBRAIM (963)"</f>
        <v>LAILA CAMILLE ALVES IBRAIM (963)</v>
      </c>
      <c r="H5825" t="str">
        <f>"Serv.Prest. 29/09/2025 a 05/10/2025 - PIX: CELULAR - CHAVE: (64) 99983-6981"</f>
        <v>Serv.Prest. 29/09/2025 a 05/10/2025 - PIX: CELULAR - CHAVE: (64) 99983-6981</v>
      </c>
      <c r="I5825" t="str">
        <f t="shared" si="1014"/>
        <v>09/10/2025</v>
      </c>
      <c r="J5825" t="str">
        <f>("08/10/2025")</f>
        <v>08/10/2025</v>
      </c>
      <c r="K5825" t="str">
        <f>("09/10/2025")</f>
        <v>09/10/2025</v>
      </c>
      <c r="L5825">
        <v>119</v>
      </c>
      <c r="M5825">
        <v>119</v>
      </c>
      <c r="N5825">
        <v>109</v>
      </c>
      <c r="O5825" t="str">
        <f>"PAGAMENTO DE ENTREGADORES"</f>
        <v>PAGAMENTO DE ENTREGADORES</v>
      </c>
      <c r="P5825">
        <v>119</v>
      </c>
      <c r="S5825" t="str">
        <f>"BANCO C6 (149)"</f>
        <v>BANCO C6 (149)</v>
      </c>
      <c r="T5825">
        <v>20052</v>
      </c>
      <c r="U5825">
        <v>23061</v>
      </c>
      <c r="V5825" t="s">
        <v>77</v>
      </c>
    </row>
    <row r="5826" spans="1:22">
      <c r="A5826" t="str">
        <f t="shared" si="1005"/>
        <v>09/10/2025</v>
      </c>
      <c r="B5826" t="str">
        <f t="shared" si="1010"/>
        <v>SAÍDA</v>
      </c>
      <c r="C5826" t="str">
        <f t="shared" si="1015"/>
        <v>PIX</v>
      </c>
      <c r="D5826" t="str">
        <f>"23061"</f>
        <v>23061</v>
      </c>
      <c r="E5826" t="str">
        <f t="shared" si="1016"/>
        <v>1</v>
      </c>
      <c r="F5826" t="str">
        <f t="shared" si="1011"/>
        <v>COM</v>
      </c>
      <c r="G5826" t="str">
        <f>"LAILA CAMILLE ALVES IBRAIM (963)"</f>
        <v>LAILA CAMILLE ALVES IBRAIM (963)</v>
      </c>
      <c r="H5826" t="s">
        <v>1580</v>
      </c>
      <c r="I5826" t="str">
        <f t="shared" si="1014"/>
        <v>09/10/2025</v>
      </c>
      <c r="J5826" t="str">
        <f>("08/10/2025")</f>
        <v>08/10/2025</v>
      </c>
      <c r="K5826">
        <v>45939</v>
      </c>
      <c r="N5826">
        <v>109</v>
      </c>
      <c r="O5826" t="s">
        <v>24</v>
      </c>
      <c r="Q5826">
        <v>119</v>
      </c>
      <c r="R5826" t="str">
        <f>"FARMACIA ECONOMIZE (10103)"</f>
        <v>FARMACIA ECONOMIZE (10103)</v>
      </c>
      <c r="S5826" t="s">
        <v>77</v>
      </c>
      <c r="T5826">
        <v>20052</v>
      </c>
      <c r="U5826">
        <v>23061</v>
      </c>
      <c r="V5826" t="s">
        <v>77</v>
      </c>
    </row>
    <row r="5827" spans="1:22">
      <c r="A5827" t="str">
        <f t="shared" si="1005"/>
        <v>09/10/2025</v>
      </c>
      <c r="B5827" t="str">
        <f t="shared" si="1010"/>
        <v>SAÍDA</v>
      </c>
      <c r="C5827" t="str">
        <f t="shared" si="1015"/>
        <v>PIX</v>
      </c>
      <c r="D5827" t="str">
        <f>"23062"</f>
        <v>23062</v>
      </c>
      <c r="E5827" t="str">
        <f t="shared" si="1016"/>
        <v>1</v>
      </c>
      <c r="F5827" t="str">
        <f t="shared" si="1011"/>
        <v>COM</v>
      </c>
      <c r="G5827" t="str">
        <f>"WILLIAM DA SILVA COSTA (655)"</f>
        <v>WILLIAM DA SILVA COSTA (655)</v>
      </c>
      <c r="H5827" t="str">
        <f>"Serv.Prest. 29/09/2025 a 05/10/2025 - PIX: CELULAR - CHAVE: (64) 97400-9101"</f>
        <v>Serv.Prest. 29/09/2025 a 05/10/2025 - PIX: CELULAR - CHAVE: (64) 97400-9101</v>
      </c>
      <c r="I5827" t="str">
        <f t="shared" si="1014"/>
        <v>09/10/2025</v>
      </c>
      <c r="J5827" t="str">
        <f>("08/10/2025")</f>
        <v>08/10/2025</v>
      </c>
      <c r="K5827" t="str">
        <f>("09/10/2025")</f>
        <v>09/10/2025</v>
      </c>
      <c r="L5827">
        <v>1534</v>
      </c>
      <c r="M5827">
        <v>1534</v>
      </c>
      <c r="N5827">
        <v>109</v>
      </c>
      <c r="O5827" t="str">
        <f>"PAGAMENTO DE ENTREGADORES"</f>
        <v>PAGAMENTO DE ENTREGADORES</v>
      </c>
      <c r="P5827">
        <v>1534</v>
      </c>
      <c r="S5827" t="str">
        <f>"BANCO C6 (149)"</f>
        <v>BANCO C6 (149)</v>
      </c>
      <c r="T5827">
        <v>20053</v>
      </c>
      <c r="U5827">
        <v>23062</v>
      </c>
      <c r="V5827" t="s">
        <v>77</v>
      </c>
    </row>
    <row r="5828" spans="1:22">
      <c r="A5828" t="str">
        <f t="shared" ref="A5828:A5853" si="1017">("09/10/2025")</f>
        <v>09/10/2025</v>
      </c>
      <c r="B5828" t="str">
        <f t="shared" si="1010"/>
        <v>SAÍDA</v>
      </c>
      <c r="C5828" t="str">
        <f t="shared" si="1015"/>
        <v>PIX</v>
      </c>
      <c r="D5828" t="str">
        <f>"23062"</f>
        <v>23062</v>
      </c>
      <c r="E5828" t="str">
        <f t="shared" si="1016"/>
        <v>1</v>
      </c>
      <c r="F5828" t="str">
        <f t="shared" si="1011"/>
        <v>COM</v>
      </c>
      <c r="G5828" t="str">
        <f>"WILLIAM DA SILVA COSTA (655)"</f>
        <v>WILLIAM DA SILVA COSTA (655)</v>
      </c>
      <c r="H5828" t="s">
        <v>1113</v>
      </c>
      <c r="I5828" t="str">
        <f t="shared" si="1014"/>
        <v>09/10/2025</v>
      </c>
      <c r="J5828" t="str">
        <f>("08/10/2025")</f>
        <v>08/10/2025</v>
      </c>
      <c r="K5828">
        <v>45939</v>
      </c>
      <c r="N5828">
        <v>109</v>
      </c>
      <c r="O5828" t="s">
        <v>24</v>
      </c>
      <c r="Q5828">
        <v>1534</v>
      </c>
      <c r="R5828" t="str">
        <f>"FARMACIA ECONOMIZE (10103)"</f>
        <v>FARMACIA ECONOMIZE (10103)</v>
      </c>
      <c r="S5828" t="s">
        <v>77</v>
      </c>
      <c r="T5828">
        <v>20053</v>
      </c>
      <c r="U5828">
        <v>23062</v>
      </c>
      <c r="V5828" t="s">
        <v>77</v>
      </c>
    </row>
    <row r="5829" spans="1:22">
      <c r="A5829" t="str">
        <f t="shared" si="1017"/>
        <v>09/10/2025</v>
      </c>
      <c r="B5829" t="str">
        <f t="shared" si="1010"/>
        <v>SAÍDA</v>
      </c>
      <c r="C5829" t="str">
        <f>""</f>
        <v/>
      </c>
      <c r="D5829" t="str">
        <f>""</f>
        <v/>
      </c>
      <c r="F5829" t="str">
        <f>"CXA"</f>
        <v>CXA</v>
      </c>
      <c r="G5829" t="str">
        <f>"JULIO GUIMARAES DOS SANTOS (977)"</f>
        <v>JULIO GUIMARAES DOS SANTOS (977)</v>
      </c>
      <c r="H5829" t="str">
        <f>"VALOR PAGO ERRADO PARA EUDERLICE DEVIDO CADASTRO ERRADO DO PRESTADOR"</f>
        <v>VALOR PAGO ERRADO PARA EUDERLICE DEVIDO CADASTRO ERRADO DO PRESTADOR</v>
      </c>
      <c r="I5829" t="str">
        <f t="shared" si="1014"/>
        <v>09/10/2025</v>
      </c>
      <c r="J5829" t="str">
        <f t="shared" ref="J5829:K5833" si="1018">("09/10/2025")</f>
        <v>09/10/2025</v>
      </c>
      <c r="K5829" t="str">
        <f t="shared" si="1018"/>
        <v>09/10/2025</v>
      </c>
      <c r="L5829">
        <v>946.43</v>
      </c>
      <c r="M5829">
        <v>946.43</v>
      </c>
      <c r="N5829">
        <v>110</v>
      </c>
      <c r="O5829" t="str">
        <f>"DESPESAS COM REEMBOLSOS"</f>
        <v>DESPESAS COM REEMBOLSOS</v>
      </c>
      <c r="P5829">
        <v>946.43</v>
      </c>
      <c r="S5829" t="str">
        <f>"BANCO C6 (149)"</f>
        <v>BANCO C6 (149)</v>
      </c>
      <c r="T5829">
        <v>20054</v>
      </c>
      <c r="U5829">
        <v>0</v>
      </c>
      <c r="V5829" t="s">
        <v>1581</v>
      </c>
    </row>
    <row r="5830" spans="1:22">
      <c r="A5830" t="str">
        <f t="shared" si="1017"/>
        <v>09/10/2025</v>
      </c>
      <c r="B5830" t="str">
        <f t="shared" si="1010"/>
        <v>SAÍDA</v>
      </c>
      <c r="C5830" t="str">
        <f>"RESGATE"</f>
        <v>RESGATE</v>
      </c>
      <c r="D5830" t="str">
        <f>""</f>
        <v/>
      </c>
      <c r="F5830" t="str">
        <f>"RES"</f>
        <v>RES</v>
      </c>
      <c r="G5830" t="str">
        <f>""</f>
        <v/>
      </c>
      <c r="H5830" t="str">
        <f>"RESGATE APLICAÇÃO CDB C6"</f>
        <v>RESGATE APLICAÇÃO CDB C6</v>
      </c>
      <c r="I5830" t="str">
        <f t="shared" si="1014"/>
        <v>09/10/2025</v>
      </c>
      <c r="J5830" t="str">
        <f t="shared" si="1018"/>
        <v>09/10/2025</v>
      </c>
      <c r="K5830" t="str">
        <f t="shared" si="1018"/>
        <v>09/10/2025</v>
      </c>
      <c r="N5830">
        <v>121</v>
      </c>
      <c r="O5830" t="str">
        <f>"APLICAÇÃO BANCO A"</f>
        <v>APLICAÇÃO BANCO A</v>
      </c>
      <c r="P5830">
        <v>4452.55</v>
      </c>
      <c r="S5830" t="str">
        <f>"APLICAÇÃO BANCO A (121)"</f>
        <v>APLICAÇÃO BANCO A (121)</v>
      </c>
      <c r="T5830">
        <v>22186</v>
      </c>
      <c r="U5830">
        <v>0</v>
      </c>
      <c r="V5830" t="s">
        <v>1071</v>
      </c>
    </row>
    <row r="5831" spans="1:22">
      <c r="A5831" t="str">
        <f t="shared" si="1017"/>
        <v>09/10/2025</v>
      </c>
      <c r="B5831" t="str">
        <f>"ENTRADA"</f>
        <v>ENTRADA</v>
      </c>
      <c r="C5831" t="str">
        <f>"RESGATE"</f>
        <v>RESGATE</v>
      </c>
      <c r="D5831" t="str">
        <f>""</f>
        <v/>
      </c>
      <c r="F5831" t="str">
        <f>"RES"</f>
        <v>RES</v>
      </c>
      <c r="G5831" t="str">
        <f>""</f>
        <v/>
      </c>
      <c r="H5831" t="str">
        <f>"RESGATE APLICAÇÃO CDB C6"</f>
        <v>RESGATE APLICAÇÃO CDB C6</v>
      </c>
      <c r="I5831" t="str">
        <f t="shared" si="1014"/>
        <v>09/10/2025</v>
      </c>
      <c r="J5831" t="str">
        <f t="shared" si="1018"/>
        <v>09/10/2025</v>
      </c>
      <c r="K5831" t="str">
        <f t="shared" si="1018"/>
        <v>09/10/2025</v>
      </c>
      <c r="N5831">
        <v>149</v>
      </c>
      <c r="O5831" t="str">
        <f>"BANCO C6"</f>
        <v>BANCO C6</v>
      </c>
      <c r="S5831" t="str">
        <f>"BANCO C6 (149)"</f>
        <v>BANCO C6 (149)</v>
      </c>
      <c r="T5831">
        <v>22186</v>
      </c>
      <c r="U5831">
        <v>0</v>
      </c>
      <c r="V5831" t="s">
        <v>77</v>
      </c>
    </row>
    <row r="5832" spans="1:22">
      <c r="A5832" t="str">
        <f t="shared" si="1017"/>
        <v>09/10/2025</v>
      </c>
      <c r="B5832" t="str">
        <f>"ENTRADA"</f>
        <v>ENTRADA</v>
      </c>
      <c r="C5832" t="str">
        <f>"APLICACAO"</f>
        <v>APLICACAO</v>
      </c>
      <c r="D5832" t="str">
        <f>""</f>
        <v/>
      </c>
      <c r="F5832" t="str">
        <f>"APL"</f>
        <v>APL</v>
      </c>
      <c r="G5832" t="str">
        <f>""</f>
        <v/>
      </c>
      <c r="H5832" t="str">
        <f>"APLICAÇÃO EM CDB C6"</f>
        <v>APLICAÇÃO EM CDB C6</v>
      </c>
      <c r="I5832" t="str">
        <f t="shared" si="1014"/>
        <v>09/10/2025</v>
      </c>
      <c r="J5832" t="str">
        <f t="shared" si="1018"/>
        <v>09/10/2025</v>
      </c>
      <c r="K5832" t="str">
        <f t="shared" si="1018"/>
        <v>09/10/2025</v>
      </c>
      <c r="N5832">
        <v>121</v>
      </c>
      <c r="O5832" t="str">
        <f>"APLICAÇÃO BANCO A"</f>
        <v>APLICAÇÃO BANCO A</v>
      </c>
      <c r="P5832">
        <v>5030</v>
      </c>
      <c r="S5832" t="str">
        <f>"APLICAÇÃO BANCO A (121)"</f>
        <v>APLICAÇÃO BANCO A (121)</v>
      </c>
      <c r="T5832">
        <v>22190</v>
      </c>
      <c r="U5832">
        <v>0</v>
      </c>
      <c r="V5832" t="s">
        <v>1071</v>
      </c>
    </row>
    <row r="5833" spans="1:22">
      <c r="A5833" t="str">
        <f t="shared" si="1017"/>
        <v>09/10/2025</v>
      </c>
      <c r="B5833" t="str">
        <f>"SAÍDA"</f>
        <v>SAÍDA</v>
      </c>
      <c r="C5833" t="str">
        <f>"APLICACAO"</f>
        <v>APLICACAO</v>
      </c>
      <c r="D5833" t="str">
        <f>""</f>
        <v/>
      </c>
      <c r="F5833" t="str">
        <f>"APL"</f>
        <v>APL</v>
      </c>
      <c r="G5833" t="str">
        <f>""</f>
        <v/>
      </c>
      <c r="H5833" t="str">
        <f>"APLICAÇÃO EM CDB C6"</f>
        <v>APLICAÇÃO EM CDB C6</v>
      </c>
      <c r="I5833" t="str">
        <f t="shared" si="1014"/>
        <v>09/10/2025</v>
      </c>
      <c r="J5833" t="str">
        <f t="shared" si="1018"/>
        <v>09/10/2025</v>
      </c>
      <c r="K5833" t="str">
        <f t="shared" si="1018"/>
        <v>09/10/2025</v>
      </c>
      <c r="N5833">
        <v>149</v>
      </c>
      <c r="O5833" t="str">
        <f>"BANCO C6"</f>
        <v>BANCO C6</v>
      </c>
      <c r="S5833" t="str">
        <f>"BANCO C6 (149)"</f>
        <v>BANCO C6 (149)</v>
      </c>
      <c r="T5833">
        <v>22190</v>
      </c>
      <c r="U5833">
        <v>0</v>
      </c>
      <c r="V5833" t="s">
        <v>77</v>
      </c>
    </row>
    <row r="5834" spans="1:22">
      <c r="A5834" t="str">
        <f t="shared" si="1017"/>
        <v>09/10/2025</v>
      </c>
      <c r="B5834" t="str">
        <f t="shared" ref="B5834:B5843" si="1019">"ENTRADA"</f>
        <v>ENTRADA</v>
      </c>
      <c r="C5834" t="str">
        <f t="shared" ref="C5834:C5843" si="1020">"NFSE"</f>
        <v>NFSE</v>
      </c>
      <c r="D5834" t="str">
        <f>"3448"</f>
        <v>3448</v>
      </c>
      <c r="E5834" t="str">
        <f t="shared" ref="E5834:E5845" si="1021">"1"</f>
        <v>1</v>
      </c>
      <c r="F5834" t="str">
        <f t="shared" ref="F5834:F5845" si="1022">"COM"</f>
        <v>COM</v>
      </c>
      <c r="G5834" t="str">
        <f>"DROGARIA VAZ (10179)"</f>
        <v>DROGARIA VAZ (10179)</v>
      </c>
      <c r="H5834" t="str">
        <f>"Serv.Prest. 29/09/2025 a 05/10/2025 - RPS: 1324 - NFSe: 3448"</f>
        <v>Serv.Prest. 29/09/2025 a 05/10/2025 - RPS: 1324 - NFSe: 3448</v>
      </c>
      <c r="I5834" t="str">
        <f>("08/10/2025")</f>
        <v>08/10/2025</v>
      </c>
      <c r="J5834" t="str">
        <f>("06/10/2025")</f>
        <v>06/10/2025</v>
      </c>
      <c r="K5834" t="str">
        <f>("09/10/2025")</f>
        <v>09/10/2025</v>
      </c>
      <c r="L5834">
        <v>1384.85</v>
      </c>
      <c r="M5834">
        <v>1413</v>
      </c>
      <c r="N5834">
        <v>303</v>
      </c>
      <c r="O5834" t="str">
        <f>"RECEITAS COM ENTREGAS"</f>
        <v>RECEITAS COM ENTREGAS</v>
      </c>
      <c r="P5834">
        <v>1413</v>
      </c>
      <c r="S5834" t="str">
        <f>"RECEITAS COM ENTREGAS (303)"</f>
        <v>RECEITAS COM ENTREGAS (303)</v>
      </c>
      <c r="T5834">
        <v>22375</v>
      </c>
      <c r="U5834">
        <v>22831</v>
      </c>
      <c r="V5834" t="s">
        <v>22</v>
      </c>
    </row>
    <row r="5835" spans="1:22">
      <c r="A5835" t="str">
        <f t="shared" si="1017"/>
        <v>09/10/2025</v>
      </c>
      <c r="B5835" t="str">
        <f t="shared" si="1019"/>
        <v>ENTRADA</v>
      </c>
      <c r="C5835" t="str">
        <f t="shared" si="1020"/>
        <v>NFSE</v>
      </c>
      <c r="D5835" t="str">
        <f>"3448"</f>
        <v>3448</v>
      </c>
      <c r="E5835" t="str">
        <f t="shared" si="1021"/>
        <v>1</v>
      </c>
      <c r="F5835" t="str">
        <f t="shared" si="1022"/>
        <v>COM</v>
      </c>
      <c r="G5835" t="str">
        <f>"DROGARIA VAZ (10179)"</f>
        <v>DROGARIA VAZ (10179)</v>
      </c>
      <c r="H5835" t="s">
        <v>1582</v>
      </c>
      <c r="I5835" t="str">
        <f>("08/10/2025")</f>
        <v>08/10/2025</v>
      </c>
      <c r="J5835" t="str">
        <f>("06/10/2025")</f>
        <v>06/10/2025</v>
      </c>
      <c r="K5835">
        <v>45939</v>
      </c>
      <c r="N5835">
        <v>303</v>
      </c>
      <c r="O5835" t="s">
        <v>69</v>
      </c>
      <c r="Q5835">
        <v>1413</v>
      </c>
      <c r="R5835" t="str">
        <f>"DROGARIA VAZ (10179)"</f>
        <v>DROGARIA VAZ (10179)</v>
      </c>
      <c r="S5835" t="s">
        <v>70</v>
      </c>
      <c r="T5835">
        <v>22375</v>
      </c>
      <c r="U5835">
        <v>22831</v>
      </c>
      <c r="V5835" t="s">
        <v>22</v>
      </c>
    </row>
    <row r="5836" spans="1:22">
      <c r="A5836" t="str">
        <f t="shared" si="1017"/>
        <v>09/10/2025</v>
      </c>
      <c r="B5836" t="str">
        <f t="shared" si="1019"/>
        <v>ENTRADA</v>
      </c>
      <c r="C5836" t="str">
        <f t="shared" si="1020"/>
        <v>NFSE</v>
      </c>
      <c r="D5836" t="str">
        <f>"3387"</f>
        <v>3387</v>
      </c>
      <c r="E5836" t="str">
        <f t="shared" si="1021"/>
        <v>1</v>
      </c>
      <c r="F5836" t="str">
        <f t="shared" si="1022"/>
        <v>COM</v>
      </c>
      <c r="G5836" t="str">
        <f>"PAGMENOS - LJ 657 (10136)"</f>
        <v>PAGMENOS - LJ 657 (10136)</v>
      </c>
      <c r="H5836" t="str">
        <f>"Serv.Prest. 15/09/2025 a 21/09/2025 - RPS: 1263 - NFSe: 3387"</f>
        <v>Serv.Prest. 15/09/2025 a 21/09/2025 - RPS: 1263 - NFSe: 3387</v>
      </c>
      <c r="I5836" t="str">
        <f>("02/10/2025")</f>
        <v>02/10/2025</v>
      </c>
      <c r="J5836" t="str">
        <f>("22/09/2025")</f>
        <v>22/09/2025</v>
      </c>
      <c r="K5836" t="str">
        <f>("09/10/2025")</f>
        <v>09/10/2025</v>
      </c>
      <c r="L5836">
        <v>1605.89</v>
      </c>
      <c r="M5836">
        <v>1605.89</v>
      </c>
      <c r="N5836">
        <v>303</v>
      </c>
      <c r="O5836" t="str">
        <f>"RECEITAS COM ENTREGAS"</f>
        <v>RECEITAS COM ENTREGAS</v>
      </c>
      <c r="P5836">
        <v>1605.89</v>
      </c>
      <c r="S5836" t="str">
        <f>"RECEITAS COM ENTREGAS (303)"</f>
        <v>RECEITAS COM ENTREGAS (303)</v>
      </c>
      <c r="T5836">
        <v>22376</v>
      </c>
      <c r="U5836">
        <v>22270</v>
      </c>
      <c r="V5836" t="s">
        <v>22</v>
      </c>
    </row>
    <row r="5837" spans="1:22">
      <c r="A5837" t="str">
        <f t="shared" si="1017"/>
        <v>09/10/2025</v>
      </c>
      <c r="B5837" t="str">
        <f t="shared" si="1019"/>
        <v>ENTRADA</v>
      </c>
      <c r="C5837" t="str">
        <f t="shared" si="1020"/>
        <v>NFSE</v>
      </c>
      <c r="D5837" t="str">
        <f>"3387"</f>
        <v>3387</v>
      </c>
      <c r="E5837" t="str">
        <f t="shared" si="1021"/>
        <v>1</v>
      </c>
      <c r="F5837" t="str">
        <f t="shared" si="1022"/>
        <v>COM</v>
      </c>
      <c r="G5837" t="str">
        <f>"PAGMENOS - LJ 657 (10136)"</f>
        <v>PAGMENOS - LJ 657 (10136)</v>
      </c>
      <c r="H5837" t="s">
        <v>1583</v>
      </c>
      <c r="I5837" t="str">
        <f>("02/10/2025")</f>
        <v>02/10/2025</v>
      </c>
      <c r="J5837" t="str">
        <f>("22/09/2025")</f>
        <v>22/09/2025</v>
      </c>
      <c r="K5837">
        <v>45939</v>
      </c>
      <c r="N5837">
        <v>303</v>
      </c>
      <c r="O5837" t="s">
        <v>69</v>
      </c>
      <c r="Q5837">
        <v>1605.89</v>
      </c>
      <c r="R5837" t="str">
        <f>"PAGMENOS - LJ 657 (10136)"</f>
        <v>PAGMENOS - LJ 657 (10136)</v>
      </c>
      <c r="S5837" t="s">
        <v>70</v>
      </c>
      <c r="T5837">
        <v>22376</v>
      </c>
      <c r="U5837">
        <v>22270</v>
      </c>
      <c r="V5837" t="s">
        <v>22</v>
      </c>
    </row>
    <row r="5838" spans="1:22">
      <c r="A5838" t="str">
        <f t="shared" si="1017"/>
        <v>09/10/2025</v>
      </c>
      <c r="B5838" t="str">
        <f t="shared" si="1019"/>
        <v>ENTRADA</v>
      </c>
      <c r="C5838" t="str">
        <f t="shared" si="1020"/>
        <v>NFSE</v>
      </c>
      <c r="D5838" t="str">
        <f>"3426"</f>
        <v>3426</v>
      </c>
      <c r="E5838" t="str">
        <f t="shared" si="1021"/>
        <v>1</v>
      </c>
      <c r="F5838" t="str">
        <f t="shared" si="1022"/>
        <v>COM</v>
      </c>
      <c r="G5838" t="str">
        <f>"PAGMENOS - LJ 657 (10136)"</f>
        <v>PAGMENOS - LJ 657 (10136)</v>
      </c>
      <c r="H5838" t="str">
        <f>"Serv.Prest. 22/09/2025 a 28/09/2025 - RPS: 1302 - NFSe: 3426"</f>
        <v>Serv.Prest. 22/09/2025 a 28/09/2025 - RPS: 1302 - NFSe: 3426</v>
      </c>
      <c r="I5838" t="str">
        <f>("09/10/2025")</f>
        <v>09/10/2025</v>
      </c>
      <c r="J5838" t="str">
        <f>("29/09/2025")</f>
        <v>29/09/2025</v>
      </c>
      <c r="K5838" t="str">
        <f>("09/10/2025")</f>
        <v>09/10/2025</v>
      </c>
      <c r="L5838">
        <v>1605.89</v>
      </c>
      <c r="M5838">
        <v>1605.89</v>
      </c>
      <c r="N5838">
        <v>303</v>
      </c>
      <c r="O5838" t="str">
        <f>"RECEITAS COM ENTREGAS"</f>
        <v>RECEITAS COM ENTREGAS</v>
      </c>
      <c r="P5838">
        <v>1605.89</v>
      </c>
      <c r="S5838" t="str">
        <f>"RECEITAS COM ENTREGAS (303)"</f>
        <v>RECEITAS COM ENTREGAS (303)</v>
      </c>
      <c r="T5838">
        <v>22377</v>
      </c>
      <c r="U5838">
        <v>22715</v>
      </c>
      <c r="V5838" t="s">
        <v>22</v>
      </c>
    </row>
    <row r="5839" spans="1:22">
      <c r="A5839" t="str">
        <f t="shared" si="1017"/>
        <v>09/10/2025</v>
      </c>
      <c r="B5839" t="str">
        <f t="shared" si="1019"/>
        <v>ENTRADA</v>
      </c>
      <c r="C5839" t="str">
        <f t="shared" si="1020"/>
        <v>NFSE</v>
      </c>
      <c r="D5839" t="str">
        <f>"3426"</f>
        <v>3426</v>
      </c>
      <c r="E5839" t="str">
        <f t="shared" si="1021"/>
        <v>1</v>
      </c>
      <c r="F5839" t="str">
        <f t="shared" si="1022"/>
        <v>COM</v>
      </c>
      <c r="G5839" t="str">
        <f>"PAGMENOS - LJ 657 (10136)"</f>
        <v>PAGMENOS - LJ 657 (10136)</v>
      </c>
      <c r="H5839" t="s">
        <v>1584</v>
      </c>
      <c r="I5839" t="str">
        <f>("09/10/2025")</f>
        <v>09/10/2025</v>
      </c>
      <c r="J5839" t="str">
        <f>("29/09/2025")</f>
        <v>29/09/2025</v>
      </c>
      <c r="K5839">
        <v>45939</v>
      </c>
      <c r="N5839">
        <v>303</v>
      </c>
      <c r="O5839" t="s">
        <v>69</v>
      </c>
      <c r="Q5839">
        <v>1605.89</v>
      </c>
      <c r="R5839" t="str">
        <f>"PAGMENOS - LJ 657 (10136)"</f>
        <v>PAGMENOS - LJ 657 (10136)</v>
      </c>
      <c r="S5839" t="s">
        <v>70</v>
      </c>
      <c r="T5839">
        <v>22377</v>
      </c>
      <c r="U5839">
        <v>22715</v>
      </c>
      <c r="V5839" t="s">
        <v>22</v>
      </c>
    </row>
    <row r="5840" spans="1:22">
      <c r="A5840" t="str">
        <f t="shared" si="1017"/>
        <v>09/10/2025</v>
      </c>
      <c r="B5840" t="str">
        <f t="shared" si="1019"/>
        <v>ENTRADA</v>
      </c>
      <c r="C5840" t="str">
        <f t="shared" si="1020"/>
        <v>NFSE</v>
      </c>
      <c r="D5840" t="str">
        <f>"3386"</f>
        <v>3386</v>
      </c>
      <c r="E5840" t="str">
        <f t="shared" si="1021"/>
        <v>1</v>
      </c>
      <c r="F5840" t="str">
        <f t="shared" si="1022"/>
        <v>COM</v>
      </c>
      <c r="G5840" t="str">
        <f>"PAGMENOS - LJ 608 (10135)"</f>
        <v>PAGMENOS - LJ 608 (10135)</v>
      </c>
      <c r="H5840" t="str">
        <f>"Serv.Prest. 15/09/2025 a 21/09/2025 - RPS: 1262 - NFSe: 3386"</f>
        <v>Serv.Prest. 15/09/2025 a 21/09/2025 - RPS: 1262 - NFSe: 3386</v>
      </c>
      <c r="I5840" t="str">
        <f>("02/10/2025")</f>
        <v>02/10/2025</v>
      </c>
      <c r="J5840" t="str">
        <f>("22/09/2025")</f>
        <v>22/09/2025</v>
      </c>
      <c r="K5840" t="str">
        <f>("09/10/2025")</f>
        <v>09/10/2025</v>
      </c>
      <c r="L5840">
        <v>1922.28</v>
      </c>
      <c r="M5840">
        <v>1922.28</v>
      </c>
      <c r="N5840">
        <v>303</v>
      </c>
      <c r="O5840" t="str">
        <f>"RECEITAS COM ENTREGAS"</f>
        <v>RECEITAS COM ENTREGAS</v>
      </c>
      <c r="P5840">
        <v>1922.28</v>
      </c>
      <c r="S5840" t="str">
        <f>"RECEITAS COM ENTREGAS (303)"</f>
        <v>RECEITAS COM ENTREGAS (303)</v>
      </c>
      <c r="T5840">
        <v>22378</v>
      </c>
      <c r="U5840">
        <v>22267</v>
      </c>
      <c r="V5840" t="s">
        <v>22</v>
      </c>
    </row>
    <row r="5841" spans="1:22">
      <c r="A5841" t="str">
        <f t="shared" si="1017"/>
        <v>09/10/2025</v>
      </c>
      <c r="B5841" t="str">
        <f t="shared" si="1019"/>
        <v>ENTRADA</v>
      </c>
      <c r="C5841" t="str">
        <f t="shared" si="1020"/>
        <v>NFSE</v>
      </c>
      <c r="D5841" t="str">
        <f>"3386"</f>
        <v>3386</v>
      </c>
      <c r="E5841" t="str">
        <f t="shared" si="1021"/>
        <v>1</v>
      </c>
      <c r="F5841" t="str">
        <f t="shared" si="1022"/>
        <v>COM</v>
      </c>
      <c r="G5841" t="str">
        <f>"PAGMENOS - LJ 608 (10135)"</f>
        <v>PAGMENOS - LJ 608 (10135)</v>
      </c>
      <c r="H5841" t="s">
        <v>1585</v>
      </c>
      <c r="I5841" t="str">
        <f>("02/10/2025")</f>
        <v>02/10/2025</v>
      </c>
      <c r="J5841" t="str">
        <f>("22/09/2025")</f>
        <v>22/09/2025</v>
      </c>
      <c r="K5841">
        <v>45939</v>
      </c>
      <c r="N5841">
        <v>303</v>
      </c>
      <c r="O5841" t="s">
        <v>69</v>
      </c>
      <c r="Q5841">
        <v>1922.28</v>
      </c>
      <c r="R5841" t="str">
        <f>"PAGMENOS - LJ 608 (10135)"</f>
        <v>PAGMENOS - LJ 608 (10135)</v>
      </c>
      <c r="S5841" t="s">
        <v>70</v>
      </c>
      <c r="T5841">
        <v>22378</v>
      </c>
      <c r="U5841">
        <v>22267</v>
      </c>
      <c r="V5841" t="s">
        <v>22</v>
      </c>
    </row>
    <row r="5842" spans="1:22">
      <c r="A5842" t="str">
        <f t="shared" si="1017"/>
        <v>09/10/2025</v>
      </c>
      <c r="B5842" t="str">
        <f t="shared" si="1019"/>
        <v>ENTRADA</v>
      </c>
      <c r="C5842" t="str">
        <f t="shared" si="1020"/>
        <v>NFSE</v>
      </c>
      <c r="D5842" t="str">
        <f>"3425"</f>
        <v>3425</v>
      </c>
      <c r="E5842" t="str">
        <f t="shared" si="1021"/>
        <v>1</v>
      </c>
      <c r="F5842" t="str">
        <f t="shared" si="1022"/>
        <v>COM</v>
      </c>
      <c r="G5842" t="str">
        <f>"PAGMENOS - LJ 608 (10135)"</f>
        <v>PAGMENOS - LJ 608 (10135)</v>
      </c>
      <c r="H5842" t="str">
        <f>"Serv.Prest. 22/09/2025 a 28/09/2025 - RPS: 1301 - NFSe: 3425"</f>
        <v>Serv.Prest. 22/09/2025 a 28/09/2025 - RPS: 1301 - NFSe: 3425</v>
      </c>
      <c r="I5842" t="str">
        <f t="shared" ref="I5842:I5853" si="1023">("09/10/2025")</f>
        <v>09/10/2025</v>
      </c>
      <c r="J5842" t="str">
        <f>("29/09/2025")</f>
        <v>29/09/2025</v>
      </c>
      <c r="K5842" t="str">
        <f>("09/10/2025")</f>
        <v>09/10/2025</v>
      </c>
      <c r="L5842">
        <v>1922.28</v>
      </c>
      <c r="M5842">
        <v>1922.28</v>
      </c>
      <c r="N5842">
        <v>303</v>
      </c>
      <c r="O5842" t="str">
        <f>"RECEITAS COM ENTREGAS"</f>
        <v>RECEITAS COM ENTREGAS</v>
      </c>
      <c r="P5842">
        <v>1922.28</v>
      </c>
      <c r="S5842" t="str">
        <f>"RECEITAS COM ENTREGAS (303)"</f>
        <v>RECEITAS COM ENTREGAS (303)</v>
      </c>
      <c r="T5842">
        <v>22379</v>
      </c>
      <c r="U5842">
        <v>22712</v>
      </c>
      <c r="V5842" t="s">
        <v>22</v>
      </c>
    </row>
    <row r="5843" spans="1:22">
      <c r="A5843" t="str">
        <f t="shared" si="1017"/>
        <v>09/10/2025</v>
      </c>
      <c r="B5843" t="str">
        <f t="shared" si="1019"/>
        <v>ENTRADA</v>
      </c>
      <c r="C5843" t="str">
        <f t="shared" si="1020"/>
        <v>NFSE</v>
      </c>
      <c r="D5843" t="str">
        <f>"3425"</f>
        <v>3425</v>
      </c>
      <c r="E5843" t="str">
        <f t="shared" si="1021"/>
        <v>1</v>
      </c>
      <c r="F5843" t="str">
        <f t="shared" si="1022"/>
        <v>COM</v>
      </c>
      <c r="G5843" t="str">
        <f>"PAGMENOS - LJ 608 (10135)"</f>
        <v>PAGMENOS - LJ 608 (10135)</v>
      </c>
      <c r="H5843" t="s">
        <v>1586</v>
      </c>
      <c r="I5843" t="str">
        <f t="shared" si="1023"/>
        <v>09/10/2025</v>
      </c>
      <c r="J5843" t="str">
        <f>("29/09/2025")</f>
        <v>29/09/2025</v>
      </c>
      <c r="K5843">
        <v>45939</v>
      </c>
      <c r="N5843">
        <v>303</v>
      </c>
      <c r="O5843" t="s">
        <v>69</v>
      </c>
      <c r="Q5843">
        <v>1922.28</v>
      </c>
      <c r="R5843" t="str">
        <f>"PAGMENOS - LJ 608 (10135)"</f>
        <v>PAGMENOS - LJ 608 (10135)</v>
      </c>
      <c r="S5843" t="s">
        <v>70</v>
      </c>
      <c r="T5843">
        <v>22379</v>
      </c>
      <c r="U5843">
        <v>22712</v>
      </c>
      <c r="V5843" t="s">
        <v>22</v>
      </c>
    </row>
    <row r="5844" spans="1:22">
      <c r="A5844" t="str">
        <f t="shared" si="1017"/>
        <v>09/10/2025</v>
      </c>
      <c r="B5844" t="str">
        <f>"SAÍDA"</f>
        <v>SAÍDA</v>
      </c>
      <c r="C5844" t="str">
        <f>"PIX"</f>
        <v>PIX</v>
      </c>
      <c r="D5844" t="str">
        <f>"09102025"</f>
        <v>09102025</v>
      </c>
      <c r="E5844" t="str">
        <f t="shared" si="1021"/>
        <v>1</v>
      </c>
      <c r="F5844" t="str">
        <f t="shared" si="1022"/>
        <v>COM</v>
      </c>
      <c r="G5844" t="str">
        <f>"WILIANA RODRIGUES E RODRIGUES (398)"</f>
        <v>WILIANA RODRIGUES E RODRIGUES (398)</v>
      </c>
      <c r="H5844" t="str">
        <f>"DIARIA DE MOTOBOY 09/10/2025 INDIANA 118"</f>
        <v>DIARIA DE MOTOBOY 09/10/2025 INDIANA 118</v>
      </c>
      <c r="I5844" t="str">
        <f t="shared" si="1023"/>
        <v>09/10/2025</v>
      </c>
      <c r="J5844" t="str">
        <f>("09/10/2025")</f>
        <v>09/10/2025</v>
      </c>
      <c r="K5844" t="str">
        <f>("09/10/2025")</f>
        <v>09/10/2025</v>
      </c>
      <c r="L5844">
        <v>100</v>
      </c>
      <c r="M5844">
        <v>100</v>
      </c>
      <c r="N5844">
        <v>134</v>
      </c>
      <c r="O5844" t="str">
        <f>"DIARIA DE MOTOBOY"</f>
        <v>DIARIA DE MOTOBOY</v>
      </c>
      <c r="P5844">
        <v>100</v>
      </c>
      <c r="S5844" t="str">
        <f>"BANCO CORA (102)"</f>
        <v>BANCO CORA (102)</v>
      </c>
      <c r="T5844">
        <v>22380</v>
      </c>
      <c r="U5844">
        <v>26277</v>
      </c>
      <c r="V5844" t="s">
        <v>22</v>
      </c>
    </row>
    <row r="5845" spans="1:22">
      <c r="A5845" t="str">
        <f t="shared" si="1017"/>
        <v>09/10/2025</v>
      </c>
      <c r="B5845" t="str">
        <f>"SAÍDA"</f>
        <v>SAÍDA</v>
      </c>
      <c r="C5845" t="str">
        <f>"PIX"</f>
        <v>PIX</v>
      </c>
      <c r="D5845" t="str">
        <f>"09102025"</f>
        <v>09102025</v>
      </c>
      <c r="E5845" t="str">
        <f t="shared" si="1021"/>
        <v>1</v>
      </c>
      <c r="F5845" t="str">
        <f t="shared" si="1022"/>
        <v>COM</v>
      </c>
      <c r="G5845" t="str">
        <f>"WILIANA RODRIGUES E RODRIGUES (398)"</f>
        <v>WILIANA RODRIGUES E RODRIGUES (398)</v>
      </c>
      <c r="H5845" t="s">
        <v>1587</v>
      </c>
      <c r="I5845" t="str">
        <f t="shared" si="1023"/>
        <v>09/10/2025</v>
      </c>
      <c r="J5845" t="str">
        <f t="shared" ref="J5845:J5853" si="1024">("09/10/2025")</f>
        <v>09/10/2025</v>
      </c>
      <c r="K5845">
        <v>45939</v>
      </c>
      <c r="N5845">
        <v>134</v>
      </c>
      <c r="O5845" t="s">
        <v>41</v>
      </c>
      <c r="Q5845">
        <v>100</v>
      </c>
      <c r="R5845" t="str">
        <f>"FARMÁCIA INDIANA LJ 118 (10052)"</f>
        <v>FARMÁCIA INDIANA LJ 118 (10052)</v>
      </c>
      <c r="S5845" t="s">
        <v>22</v>
      </c>
      <c r="T5845">
        <v>22380</v>
      </c>
      <c r="U5845">
        <v>26277</v>
      </c>
      <c r="V5845" t="s">
        <v>22</v>
      </c>
    </row>
    <row r="5846" spans="1:22">
      <c r="A5846" t="str">
        <f t="shared" si="1017"/>
        <v>09/10/2025</v>
      </c>
      <c r="B5846" t="str">
        <f>"SAÍDA"</f>
        <v>SAÍDA</v>
      </c>
      <c r="C5846" t="str">
        <f t="shared" ref="C5846:C5853" si="1025">"TRANSFERENCIA"</f>
        <v>TRANSFERENCIA</v>
      </c>
      <c r="D5846" t="str">
        <f>""</f>
        <v/>
      </c>
      <c r="F5846" t="str">
        <f t="shared" ref="F5846:F5853" si="1026">"TRF"</f>
        <v>TRF</v>
      </c>
      <c r="G5846" t="str">
        <f>""</f>
        <v/>
      </c>
      <c r="H5846" t="str">
        <f>"TRANSFERÊNCIA ENTRE BANCOS (102-&gt;149)"</f>
        <v>TRANSFERÊNCIA ENTRE BANCOS (102-&gt;149)</v>
      </c>
      <c r="I5846" t="str">
        <f t="shared" si="1023"/>
        <v>09/10/2025</v>
      </c>
      <c r="J5846" t="str">
        <f t="shared" si="1024"/>
        <v>09/10/2025</v>
      </c>
      <c r="K5846" t="str">
        <f t="shared" ref="K5846:K5853" si="1027">("09/10/2025")</f>
        <v>09/10/2025</v>
      </c>
      <c r="N5846">
        <v>102</v>
      </c>
      <c r="O5846" t="str">
        <f>"BANCO CORA"</f>
        <v>BANCO CORA</v>
      </c>
      <c r="P5846">
        <v>5030</v>
      </c>
      <c r="S5846" t="str">
        <f>"BANCO CORA (102)"</f>
        <v>BANCO CORA (102)</v>
      </c>
      <c r="T5846">
        <v>22495</v>
      </c>
      <c r="U5846">
        <v>0</v>
      </c>
      <c r="V5846" t="s">
        <v>22</v>
      </c>
    </row>
    <row r="5847" spans="1:22">
      <c r="A5847" t="str">
        <f t="shared" si="1017"/>
        <v>09/10/2025</v>
      </c>
      <c r="B5847" t="str">
        <f>"ENTRADA"</f>
        <v>ENTRADA</v>
      </c>
      <c r="C5847" t="str">
        <f t="shared" si="1025"/>
        <v>TRANSFERENCIA</v>
      </c>
      <c r="D5847" t="str">
        <f>""</f>
        <v/>
      </c>
      <c r="F5847" t="str">
        <f t="shared" si="1026"/>
        <v>TRF</v>
      </c>
      <c r="G5847" t="str">
        <f>""</f>
        <v/>
      </c>
      <c r="H5847" t="str">
        <f>"TRANSFERÊNCIA ENTRE BANCOS (102-&gt;149)"</f>
        <v>TRANSFERÊNCIA ENTRE BANCOS (102-&gt;149)</v>
      </c>
      <c r="I5847" t="str">
        <f t="shared" si="1023"/>
        <v>09/10/2025</v>
      </c>
      <c r="J5847" t="str">
        <f t="shared" si="1024"/>
        <v>09/10/2025</v>
      </c>
      <c r="K5847" t="str">
        <f t="shared" si="1027"/>
        <v>09/10/2025</v>
      </c>
      <c r="N5847">
        <v>149</v>
      </c>
      <c r="O5847" t="str">
        <f>"BANCO C6"</f>
        <v>BANCO C6</v>
      </c>
      <c r="S5847" t="str">
        <f>"BANCO C6 (149)"</f>
        <v>BANCO C6 (149)</v>
      </c>
      <c r="T5847">
        <v>22495</v>
      </c>
      <c r="U5847">
        <v>0</v>
      </c>
      <c r="V5847" t="s">
        <v>77</v>
      </c>
    </row>
    <row r="5848" spans="1:22">
      <c r="A5848" t="str">
        <f t="shared" si="1017"/>
        <v>09/10/2025</v>
      </c>
      <c r="B5848" t="str">
        <f>"SAÍDA"</f>
        <v>SAÍDA</v>
      </c>
      <c r="C5848" t="str">
        <f t="shared" si="1025"/>
        <v>TRANSFERENCIA</v>
      </c>
      <c r="D5848" t="str">
        <f>""</f>
        <v/>
      </c>
      <c r="F5848" t="str">
        <f t="shared" si="1026"/>
        <v>TRF</v>
      </c>
      <c r="G5848" t="str">
        <f>""</f>
        <v/>
      </c>
      <c r="H5848" t="str">
        <f t="shared" ref="H5848:H5853" si="1028">"TRANSFERENCIA ENTRE BANCOS (102-&gt;149)"</f>
        <v>TRANSFERENCIA ENTRE BANCOS (102-&gt;149)</v>
      </c>
      <c r="I5848" t="str">
        <f t="shared" si="1023"/>
        <v>09/10/2025</v>
      </c>
      <c r="J5848" t="str">
        <f t="shared" si="1024"/>
        <v>09/10/2025</v>
      </c>
      <c r="K5848" t="str">
        <f t="shared" si="1027"/>
        <v>09/10/2025</v>
      </c>
      <c r="N5848">
        <v>102</v>
      </c>
      <c r="O5848" t="str">
        <f>"BANCO CORA"</f>
        <v>BANCO CORA</v>
      </c>
      <c r="P5848">
        <v>6422.15</v>
      </c>
      <c r="S5848" t="str">
        <f>"BANCO CORA (102)"</f>
        <v>BANCO CORA (102)</v>
      </c>
      <c r="T5848">
        <v>22496</v>
      </c>
      <c r="U5848">
        <v>0</v>
      </c>
      <c r="V5848" t="s">
        <v>22</v>
      </c>
    </row>
    <row r="5849" spans="1:22">
      <c r="A5849" t="str">
        <f t="shared" si="1017"/>
        <v>09/10/2025</v>
      </c>
      <c r="B5849" t="str">
        <f>"ENTRADA"</f>
        <v>ENTRADA</v>
      </c>
      <c r="C5849" t="str">
        <f t="shared" si="1025"/>
        <v>TRANSFERENCIA</v>
      </c>
      <c r="D5849" t="str">
        <f>""</f>
        <v/>
      </c>
      <c r="F5849" t="str">
        <f t="shared" si="1026"/>
        <v>TRF</v>
      </c>
      <c r="G5849" t="str">
        <f>""</f>
        <v/>
      </c>
      <c r="H5849" t="str">
        <f t="shared" si="1028"/>
        <v>TRANSFERENCIA ENTRE BANCOS (102-&gt;149)</v>
      </c>
      <c r="I5849" t="str">
        <f t="shared" si="1023"/>
        <v>09/10/2025</v>
      </c>
      <c r="J5849" t="str">
        <f t="shared" si="1024"/>
        <v>09/10/2025</v>
      </c>
      <c r="K5849" t="str">
        <f t="shared" si="1027"/>
        <v>09/10/2025</v>
      </c>
      <c r="N5849">
        <v>149</v>
      </c>
      <c r="O5849" t="str">
        <f>"BANCO C6"</f>
        <v>BANCO C6</v>
      </c>
      <c r="S5849" t="str">
        <f>"BANCO C6 (149)"</f>
        <v>BANCO C6 (149)</v>
      </c>
      <c r="T5849">
        <v>22496</v>
      </c>
      <c r="U5849">
        <v>0</v>
      </c>
      <c r="V5849" t="s">
        <v>77</v>
      </c>
    </row>
    <row r="5850" spans="1:22">
      <c r="A5850" t="str">
        <f t="shared" si="1017"/>
        <v>09/10/2025</v>
      </c>
      <c r="B5850" t="str">
        <f>"SAÍDA"</f>
        <v>SAÍDA</v>
      </c>
      <c r="C5850" t="str">
        <f t="shared" si="1025"/>
        <v>TRANSFERENCIA</v>
      </c>
      <c r="D5850" t="str">
        <f>""</f>
        <v/>
      </c>
      <c r="F5850" t="str">
        <f t="shared" si="1026"/>
        <v>TRF</v>
      </c>
      <c r="G5850" t="str">
        <f>""</f>
        <v/>
      </c>
      <c r="H5850" t="str">
        <f t="shared" si="1028"/>
        <v>TRANSFERENCIA ENTRE BANCOS (102-&gt;149)</v>
      </c>
      <c r="I5850" t="str">
        <f t="shared" si="1023"/>
        <v>09/10/2025</v>
      </c>
      <c r="J5850" t="str">
        <f t="shared" si="1024"/>
        <v>09/10/2025</v>
      </c>
      <c r="K5850" t="str">
        <f t="shared" si="1027"/>
        <v>09/10/2025</v>
      </c>
      <c r="N5850">
        <v>102</v>
      </c>
      <c r="O5850" t="str">
        <f>"BANCO CORA"</f>
        <v>BANCO CORA</v>
      </c>
      <c r="P5850">
        <v>10000</v>
      </c>
      <c r="S5850" t="str">
        <f>"BANCO CORA (102)"</f>
        <v>BANCO CORA (102)</v>
      </c>
      <c r="T5850">
        <v>22497</v>
      </c>
      <c r="U5850">
        <v>0</v>
      </c>
      <c r="V5850" t="s">
        <v>22</v>
      </c>
    </row>
    <row r="5851" spans="1:22">
      <c r="A5851" t="str">
        <f t="shared" si="1017"/>
        <v>09/10/2025</v>
      </c>
      <c r="B5851" t="str">
        <f>"ENTRADA"</f>
        <v>ENTRADA</v>
      </c>
      <c r="C5851" t="str">
        <f t="shared" si="1025"/>
        <v>TRANSFERENCIA</v>
      </c>
      <c r="D5851" t="str">
        <f>""</f>
        <v/>
      </c>
      <c r="F5851" t="str">
        <f t="shared" si="1026"/>
        <v>TRF</v>
      </c>
      <c r="G5851" t="str">
        <f>""</f>
        <v/>
      </c>
      <c r="H5851" t="str">
        <f t="shared" si="1028"/>
        <v>TRANSFERENCIA ENTRE BANCOS (102-&gt;149)</v>
      </c>
      <c r="I5851" t="str">
        <f t="shared" si="1023"/>
        <v>09/10/2025</v>
      </c>
      <c r="J5851" t="str">
        <f t="shared" si="1024"/>
        <v>09/10/2025</v>
      </c>
      <c r="K5851" t="str">
        <f t="shared" si="1027"/>
        <v>09/10/2025</v>
      </c>
      <c r="N5851">
        <v>149</v>
      </c>
      <c r="O5851" t="str">
        <f>"BANCO C6"</f>
        <v>BANCO C6</v>
      </c>
      <c r="S5851" t="str">
        <f>"BANCO C6 (149)"</f>
        <v>BANCO C6 (149)</v>
      </c>
      <c r="T5851">
        <v>22497</v>
      </c>
      <c r="U5851">
        <v>0</v>
      </c>
      <c r="V5851" t="s">
        <v>77</v>
      </c>
    </row>
    <row r="5852" spans="1:22">
      <c r="A5852" t="str">
        <f t="shared" si="1017"/>
        <v>09/10/2025</v>
      </c>
      <c r="B5852" t="str">
        <f>"SAÍDA"</f>
        <v>SAÍDA</v>
      </c>
      <c r="C5852" t="str">
        <f t="shared" si="1025"/>
        <v>TRANSFERENCIA</v>
      </c>
      <c r="D5852" t="str">
        <f>""</f>
        <v/>
      </c>
      <c r="F5852" t="str">
        <f t="shared" si="1026"/>
        <v>TRF</v>
      </c>
      <c r="G5852" t="str">
        <f>""</f>
        <v/>
      </c>
      <c r="H5852" t="str">
        <f t="shared" si="1028"/>
        <v>TRANSFERENCIA ENTRE BANCOS (102-&gt;149)</v>
      </c>
      <c r="I5852" t="str">
        <f t="shared" si="1023"/>
        <v>09/10/2025</v>
      </c>
      <c r="J5852" t="str">
        <f t="shared" si="1024"/>
        <v>09/10/2025</v>
      </c>
      <c r="K5852" t="str">
        <f t="shared" si="1027"/>
        <v>09/10/2025</v>
      </c>
      <c r="N5852">
        <v>102</v>
      </c>
      <c r="O5852" t="str">
        <f>"BANCO CORA"</f>
        <v>BANCO CORA</v>
      </c>
      <c r="P5852">
        <v>15000</v>
      </c>
      <c r="S5852" t="str">
        <f>"BANCO CORA (102)"</f>
        <v>BANCO CORA (102)</v>
      </c>
      <c r="T5852">
        <v>22498</v>
      </c>
      <c r="U5852">
        <v>0</v>
      </c>
      <c r="V5852" t="s">
        <v>22</v>
      </c>
    </row>
    <row r="5853" spans="1:22">
      <c r="A5853" t="str">
        <f t="shared" si="1017"/>
        <v>09/10/2025</v>
      </c>
      <c r="B5853" t="str">
        <f>"ENTRADA"</f>
        <v>ENTRADA</v>
      </c>
      <c r="C5853" t="str">
        <f t="shared" si="1025"/>
        <v>TRANSFERENCIA</v>
      </c>
      <c r="D5853" t="str">
        <f>""</f>
        <v/>
      </c>
      <c r="F5853" t="str">
        <f t="shared" si="1026"/>
        <v>TRF</v>
      </c>
      <c r="G5853" t="str">
        <f>""</f>
        <v/>
      </c>
      <c r="H5853" t="str">
        <f t="shared" si="1028"/>
        <v>TRANSFERENCIA ENTRE BANCOS (102-&gt;149)</v>
      </c>
      <c r="I5853" t="str">
        <f t="shared" si="1023"/>
        <v>09/10/2025</v>
      </c>
      <c r="J5853" t="str">
        <f t="shared" si="1024"/>
        <v>09/10/2025</v>
      </c>
      <c r="K5853" t="str">
        <f t="shared" si="1027"/>
        <v>09/10/2025</v>
      </c>
      <c r="N5853">
        <v>149</v>
      </c>
      <c r="O5853" t="str">
        <f>"BANCO C6"</f>
        <v>BANCO C6</v>
      </c>
      <c r="S5853" t="str">
        <f>"BANCO C6 (149)"</f>
        <v>BANCO C6 (149)</v>
      </c>
      <c r="T5853">
        <v>22498</v>
      </c>
      <c r="U5853">
        <v>0</v>
      </c>
      <c r="V5853" t="s">
        <v>77</v>
      </c>
    </row>
    <row r="5854" spans="1:22">
      <c r="A5854" t="str">
        <f t="shared" ref="A5854:A5885" si="1029">("10/10/2025")</f>
        <v>10/10/2025</v>
      </c>
      <c r="B5854" t="str">
        <f t="shared" ref="B5854:B5859" si="1030">"SAÍDA"</f>
        <v>SAÍDA</v>
      </c>
      <c r="C5854" t="str">
        <f t="shared" ref="C5854:C5859" si="1031">"PIX"</f>
        <v>PIX</v>
      </c>
      <c r="D5854" t="str">
        <f>"22898"</f>
        <v>22898</v>
      </c>
      <c r="E5854" t="str">
        <f>"1"</f>
        <v>1</v>
      </c>
      <c r="F5854" t="str">
        <f t="shared" ref="F5854:F5885" si="1032">"COM"</f>
        <v>COM</v>
      </c>
      <c r="G5854" t="str">
        <f>"JIRLANIA RODRIGUES DOS SANTOS (152)"</f>
        <v>JIRLANIA RODRIGUES DOS SANTOS (152)</v>
      </c>
      <c r="H5854" t="str">
        <f>"Serv.Prest. 26/09/2025 a 05/10/2025 - PIX: CPF - CHAVE: 035.018.455-02"</f>
        <v>Serv.Prest. 26/09/2025 a 05/10/2025 - PIX: CPF - CHAVE: 035.018.455-02</v>
      </c>
      <c r="I5854" t="str">
        <f>("16/10/2025")</f>
        <v>16/10/2025</v>
      </c>
      <c r="J5854" t="str">
        <f>("07/10/2025")</f>
        <v>07/10/2025</v>
      </c>
      <c r="K5854" t="str">
        <f>("10/10/2025")</f>
        <v>10/10/2025</v>
      </c>
      <c r="L5854">
        <v>200</v>
      </c>
      <c r="M5854">
        <v>200</v>
      </c>
      <c r="N5854">
        <v>109</v>
      </c>
      <c r="O5854" t="str">
        <f>"PAGAMENTO DE ENTREGADORES"</f>
        <v>PAGAMENTO DE ENTREGADORES</v>
      </c>
      <c r="P5854">
        <v>200</v>
      </c>
      <c r="S5854" t="str">
        <f>"BANCO CORA (102)"</f>
        <v>BANCO CORA (102)</v>
      </c>
      <c r="T5854">
        <v>19522</v>
      </c>
      <c r="U5854">
        <v>23528</v>
      </c>
      <c r="V5854" t="s">
        <v>22</v>
      </c>
    </row>
    <row r="5855" spans="1:22">
      <c r="A5855" t="str">
        <f t="shared" si="1029"/>
        <v>10/10/2025</v>
      </c>
      <c r="B5855" t="str">
        <f t="shared" si="1030"/>
        <v>SAÍDA</v>
      </c>
      <c r="C5855" t="str">
        <f t="shared" si="1031"/>
        <v>PIX</v>
      </c>
      <c r="D5855" t="str">
        <f>"22898"</f>
        <v>22898</v>
      </c>
      <c r="E5855" t="str">
        <f>"1"</f>
        <v>1</v>
      </c>
      <c r="F5855" t="str">
        <f t="shared" si="1032"/>
        <v>COM</v>
      </c>
      <c r="G5855" t="str">
        <f>"JIRLANIA RODRIGUES DOS SANTOS (152)"</f>
        <v>JIRLANIA RODRIGUES DOS SANTOS (152)</v>
      </c>
      <c r="H5855" t="s">
        <v>1588</v>
      </c>
      <c r="I5855" t="str">
        <f>("16/10/2025")</f>
        <v>16/10/2025</v>
      </c>
      <c r="J5855" t="str">
        <f>("07/10/2025")</f>
        <v>07/10/2025</v>
      </c>
      <c r="K5855">
        <v>45940</v>
      </c>
      <c r="N5855">
        <v>109</v>
      </c>
      <c r="O5855" t="s">
        <v>24</v>
      </c>
      <c r="Q5855">
        <v>200</v>
      </c>
      <c r="R5855" t="str">
        <f>"FARMÁCIA INDIANA LJ 95 (10039)"</f>
        <v>FARMÁCIA INDIANA LJ 95 (10039)</v>
      </c>
      <c r="S5855" t="s">
        <v>22</v>
      </c>
      <c r="T5855">
        <v>19522</v>
      </c>
      <c r="U5855">
        <v>23528</v>
      </c>
      <c r="V5855" t="s">
        <v>22</v>
      </c>
    </row>
    <row r="5856" spans="1:22">
      <c r="A5856" t="str">
        <f t="shared" si="1029"/>
        <v>10/10/2025</v>
      </c>
      <c r="B5856" t="str">
        <f t="shared" si="1030"/>
        <v>SAÍDA</v>
      </c>
      <c r="C5856" t="str">
        <f t="shared" si="1031"/>
        <v>PIX</v>
      </c>
      <c r="D5856" t="str">
        <f>"1010"</f>
        <v>1010</v>
      </c>
      <c r="E5856" t="str">
        <f>"25"</f>
        <v>25</v>
      </c>
      <c r="F5856" t="str">
        <f t="shared" si="1032"/>
        <v>COM</v>
      </c>
      <c r="G5856" t="str">
        <f>"RAFAEL DE JESUS LIMA (979)"</f>
        <v>RAFAEL DE JESUS LIMA (979)</v>
      </c>
      <c r="H5856" t="str">
        <f>"ADIANTAMENTO PAGAMENTO SEMANAL 06/10 A 10/10/2025"</f>
        <v>ADIANTAMENTO PAGAMENTO SEMANAL 06/10 A 10/10/2025</v>
      </c>
      <c r="I5856" t="str">
        <f>("10/10/2025")</f>
        <v>10/10/2025</v>
      </c>
      <c r="J5856" t="str">
        <f>("10/10/2025")</f>
        <v>10/10/2025</v>
      </c>
      <c r="K5856" t="str">
        <f>("10/10/2025")</f>
        <v>10/10/2025</v>
      </c>
      <c r="L5856">
        <v>892.86</v>
      </c>
      <c r="M5856">
        <v>892.86</v>
      </c>
      <c r="N5856">
        <v>5000</v>
      </c>
      <c r="O5856" t="str">
        <f>"SOLICITACAO DE ADIANTAMENTO"</f>
        <v>SOLICITACAO DE ADIANTAMENTO</v>
      </c>
      <c r="P5856">
        <v>892.86</v>
      </c>
      <c r="S5856" t="str">
        <f>"BANCO CORA (102)"</f>
        <v>BANCO CORA (102)</v>
      </c>
      <c r="T5856">
        <v>19540</v>
      </c>
      <c r="U5856">
        <v>23529</v>
      </c>
      <c r="V5856" t="s">
        <v>22</v>
      </c>
    </row>
    <row r="5857" spans="1:22">
      <c r="A5857" t="str">
        <f t="shared" si="1029"/>
        <v>10/10/2025</v>
      </c>
      <c r="B5857" t="str">
        <f t="shared" si="1030"/>
        <v>SAÍDA</v>
      </c>
      <c r="C5857" t="str">
        <f t="shared" si="1031"/>
        <v>PIX</v>
      </c>
      <c r="D5857" t="str">
        <f>"1010"</f>
        <v>1010</v>
      </c>
      <c r="E5857" t="str">
        <f>"25"</f>
        <v>25</v>
      </c>
      <c r="F5857" t="str">
        <f t="shared" si="1032"/>
        <v>COM</v>
      </c>
      <c r="G5857" t="str">
        <f>"RAFAEL DE JESUS LIMA (979)"</f>
        <v>RAFAEL DE JESUS LIMA (979)</v>
      </c>
      <c r="H5857" t="s">
        <v>1589</v>
      </c>
      <c r="I5857" t="str">
        <f>("10/10/2025")</f>
        <v>10/10/2025</v>
      </c>
      <c r="J5857" t="str">
        <f>("10/10/2025")</f>
        <v>10/10/2025</v>
      </c>
      <c r="K5857">
        <v>45940</v>
      </c>
      <c r="N5857">
        <v>5000</v>
      </c>
      <c r="O5857" t="s">
        <v>86</v>
      </c>
      <c r="Q5857">
        <v>892.86</v>
      </c>
      <c r="R5857" t="str">
        <f>"RAFAEL DE JESUS LIMA (979)"</f>
        <v>RAFAEL DE JESUS LIMA (979)</v>
      </c>
      <c r="S5857" t="s">
        <v>22</v>
      </c>
      <c r="T5857">
        <v>19540</v>
      </c>
      <c r="U5857">
        <v>23529</v>
      </c>
      <c r="V5857" t="s">
        <v>22</v>
      </c>
    </row>
    <row r="5858" spans="1:22">
      <c r="A5858" t="str">
        <f t="shared" si="1029"/>
        <v>10/10/2025</v>
      </c>
      <c r="B5858" t="str">
        <f t="shared" si="1030"/>
        <v>SAÍDA</v>
      </c>
      <c r="C5858" t="str">
        <f t="shared" si="1031"/>
        <v>PIX</v>
      </c>
      <c r="D5858" t="str">
        <f>"1010"</f>
        <v>1010</v>
      </c>
      <c r="E5858" t="str">
        <f>"25"</f>
        <v>25</v>
      </c>
      <c r="F5858" t="str">
        <f t="shared" si="1032"/>
        <v>COM</v>
      </c>
      <c r="G5858" t="str">
        <f>"JAMERSON SOUZA LOPES (749)"</f>
        <v>JAMERSON SOUZA LOPES (749)</v>
      </c>
      <c r="H5858" t="str">
        <f>"ADIANTAMENTO"</f>
        <v>ADIANTAMENTO</v>
      </c>
      <c r="I5858" t="str">
        <f t="shared" ref="I5858:I5874" si="1033">("10/10/2025")</f>
        <v>10/10/2025</v>
      </c>
      <c r="J5858" t="str">
        <f>("08/10/2025")</f>
        <v>08/10/2025</v>
      </c>
      <c r="K5858" t="str">
        <f>("10/10/2025")</f>
        <v>10/10/2025</v>
      </c>
      <c r="L5858">
        <v>800</v>
      </c>
      <c r="M5858">
        <v>800</v>
      </c>
      <c r="N5858">
        <v>5000</v>
      </c>
      <c r="O5858" t="str">
        <f>"SOLICITACAO DE ADIANTAMENTO"</f>
        <v>SOLICITACAO DE ADIANTAMENTO</v>
      </c>
      <c r="P5858">
        <v>800</v>
      </c>
      <c r="S5858" t="str">
        <f>"BANCO CORA (102)"</f>
        <v>BANCO CORA (102)</v>
      </c>
      <c r="T5858">
        <v>19543</v>
      </c>
      <c r="U5858">
        <v>23531</v>
      </c>
      <c r="V5858" t="s">
        <v>22</v>
      </c>
    </row>
    <row r="5859" spans="1:22">
      <c r="A5859" t="str">
        <f t="shared" si="1029"/>
        <v>10/10/2025</v>
      </c>
      <c r="B5859" t="str">
        <f t="shared" si="1030"/>
        <v>SAÍDA</v>
      </c>
      <c r="C5859" t="str">
        <f t="shared" si="1031"/>
        <v>PIX</v>
      </c>
      <c r="D5859" t="str">
        <f>"1010"</f>
        <v>1010</v>
      </c>
      <c r="E5859" t="str">
        <f>"25"</f>
        <v>25</v>
      </c>
      <c r="F5859" t="str">
        <f t="shared" si="1032"/>
        <v>COM</v>
      </c>
      <c r="G5859" t="str">
        <f>"JAMERSON SOUZA LOPES (749)"</f>
        <v>JAMERSON SOUZA LOPES (749)</v>
      </c>
      <c r="H5859" t="s">
        <v>85</v>
      </c>
      <c r="I5859" t="str">
        <f t="shared" si="1033"/>
        <v>10/10/2025</v>
      </c>
      <c r="J5859" t="str">
        <f>("08/10/2025")</f>
        <v>08/10/2025</v>
      </c>
      <c r="K5859">
        <v>45940</v>
      </c>
      <c r="N5859">
        <v>5000</v>
      </c>
      <c r="O5859" t="s">
        <v>86</v>
      </c>
      <c r="Q5859">
        <v>800</v>
      </c>
      <c r="R5859" t="str">
        <f>"JAMERSON SOUZA LOPES (749)"</f>
        <v>JAMERSON SOUZA LOPES (749)</v>
      </c>
      <c r="S5859" t="s">
        <v>22</v>
      </c>
      <c r="T5859">
        <v>19543</v>
      </c>
      <c r="U5859">
        <v>23531</v>
      </c>
      <c r="V5859" t="s">
        <v>22</v>
      </c>
    </row>
    <row r="5860" spans="1:22">
      <c r="A5860" t="str">
        <f t="shared" si="1029"/>
        <v>10/10/2025</v>
      </c>
      <c r="B5860" t="str">
        <f t="shared" ref="B5860:B5880" si="1034">"ENTRADA"</f>
        <v>ENTRADA</v>
      </c>
      <c r="C5860" t="str">
        <f t="shared" ref="C5860:C5880" si="1035">"NFSE"</f>
        <v>NFSE</v>
      </c>
      <c r="D5860" t="str">
        <f>"3466"</f>
        <v>3466</v>
      </c>
      <c r="E5860" t="str">
        <f t="shared" ref="E5860:E5880" si="1036">"1"</f>
        <v>1</v>
      </c>
      <c r="F5860" t="str">
        <f t="shared" si="1032"/>
        <v>COM</v>
      </c>
      <c r="G5860" t="str">
        <f>"PENSE FARMA 27 (10204)"</f>
        <v>PENSE FARMA 27 (10204)</v>
      </c>
      <c r="H5860" t="str">
        <f>"Serv.Prest. 29/09/2025 a 05/10/2025 - RPS: 1342 - NFSe: 3466"</f>
        <v>Serv.Prest. 29/09/2025 a 05/10/2025 - RPS: 1342 - NFSe: 3466</v>
      </c>
      <c r="I5860" t="str">
        <f t="shared" si="1033"/>
        <v>10/10/2025</v>
      </c>
      <c r="J5860" t="str">
        <f t="shared" ref="J5860:J5874" si="1037">("07/10/2025")</f>
        <v>07/10/2025</v>
      </c>
      <c r="K5860" t="str">
        <f>("10/10/2025")</f>
        <v>10/10/2025</v>
      </c>
      <c r="L5860">
        <v>2167.5</v>
      </c>
      <c r="M5860">
        <v>2167.5</v>
      </c>
      <c r="N5860">
        <v>303</v>
      </c>
      <c r="O5860" t="str">
        <f>"RECEITAS COM ENTREGAS"</f>
        <v>RECEITAS COM ENTREGAS</v>
      </c>
      <c r="P5860">
        <v>2167.5</v>
      </c>
      <c r="S5860" t="str">
        <f>"RECEITAS COM ENTREGAS (303)"</f>
        <v>RECEITAS COM ENTREGAS (303)</v>
      </c>
      <c r="T5860">
        <v>19547</v>
      </c>
      <c r="U5860">
        <v>23039</v>
      </c>
      <c r="V5860" t="s">
        <v>22</v>
      </c>
    </row>
    <row r="5861" spans="1:22">
      <c r="A5861" t="str">
        <f t="shared" si="1029"/>
        <v>10/10/2025</v>
      </c>
      <c r="B5861" t="str">
        <f t="shared" si="1034"/>
        <v>ENTRADA</v>
      </c>
      <c r="C5861" t="str">
        <f t="shared" si="1035"/>
        <v>NFSE</v>
      </c>
      <c r="D5861" t="str">
        <f>"3466"</f>
        <v>3466</v>
      </c>
      <c r="E5861" t="str">
        <f t="shared" si="1036"/>
        <v>1</v>
      </c>
      <c r="F5861" t="str">
        <f t="shared" si="1032"/>
        <v>COM</v>
      </c>
      <c r="G5861" t="str">
        <f>"PENSE FARMA 27 (10204)"</f>
        <v>PENSE FARMA 27 (10204)</v>
      </c>
      <c r="H5861" t="s">
        <v>1590</v>
      </c>
      <c r="I5861" t="str">
        <f t="shared" si="1033"/>
        <v>10/10/2025</v>
      </c>
      <c r="J5861" t="str">
        <f t="shared" si="1037"/>
        <v>07/10/2025</v>
      </c>
      <c r="K5861">
        <v>45940</v>
      </c>
      <c r="N5861">
        <v>303</v>
      </c>
      <c r="O5861" t="s">
        <v>69</v>
      </c>
      <c r="Q5861">
        <v>722.43</v>
      </c>
      <c r="R5861" t="str">
        <f>"PENSE FARMA 05 (10200)"</f>
        <v>PENSE FARMA 05 (10200)</v>
      </c>
      <c r="S5861" t="s">
        <v>70</v>
      </c>
      <c r="T5861">
        <v>19547</v>
      </c>
      <c r="U5861">
        <v>23039</v>
      </c>
      <c r="V5861" t="s">
        <v>22</v>
      </c>
    </row>
    <row r="5862" spans="1:22">
      <c r="A5862" t="str">
        <f t="shared" si="1029"/>
        <v>10/10/2025</v>
      </c>
      <c r="B5862" t="str">
        <f t="shared" si="1034"/>
        <v>ENTRADA</v>
      </c>
      <c r="C5862" t="str">
        <f t="shared" si="1035"/>
        <v>NFSE</v>
      </c>
      <c r="D5862" t="str">
        <f>"3466"</f>
        <v>3466</v>
      </c>
      <c r="E5862" t="str">
        <f t="shared" si="1036"/>
        <v>1</v>
      </c>
      <c r="F5862" t="str">
        <f t="shared" si="1032"/>
        <v>COM</v>
      </c>
      <c r="G5862" t="str">
        <f>"PENSE FARMA 27 (10204)"</f>
        <v>PENSE FARMA 27 (10204)</v>
      </c>
      <c r="H5862" t="s">
        <v>1590</v>
      </c>
      <c r="I5862" t="str">
        <f t="shared" si="1033"/>
        <v>10/10/2025</v>
      </c>
      <c r="J5862" t="str">
        <f t="shared" si="1037"/>
        <v>07/10/2025</v>
      </c>
      <c r="K5862">
        <v>45940</v>
      </c>
      <c r="N5862">
        <v>303</v>
      </c>
      <c r="O5862" t="s">
        <v>69</v>
      </c>
      <c r="Q5862">
        <v>293.26</v>
      </c>
      <c r="R5862" t="str">
        <f>"PENSE FARMA 13 (10202)"</f>
        <v>PENSE FARMA 13 (10202)</v>
      </c>
      <c r="S5862" t="s">
        <v>70</v>
      </c>
      <c r="T5862">
        <v>19547</v>
      </c>
      <c r="U5862">
        <v>23039</v>
      </c>
      <c r="V5862" t="s">
        <v>22</v>
      </c>
    </row>
    <row r="5863" spans="1:22">
      <c r="A5863" t="str">
        <f t="shared" si="1029"/>
        <v>10/10/2025</v>
      </c>
      <c r="B5863" t="str">
        <f t="shared" si="1034"/>
        <v>ENTRADA</v>
      </c>
      <c r="C5863" t="str">
        <f t="shared" si="1035"/>
        <v>NFSE</v>
      </c>
      <c r="D5863" t="str">
        <f>"3466"</f>
        <v>3466</v>
      </c>
      <c r="E5863" t="str">
        <f t="shared" si="1036"/>
        <v>1</v>
      </c>
      <c r="F5863" t="str">
        <f t="shared" si="1032"/>
        <v>COM</v>
      </c>
      <c r="G5863" t="str">
        <f>"PENSE FARMA 27 (10204)"</f>
        <v>PENSE FARMA 27 (10204)</v>
      </c>
      <c r="H5863" t="s">
        <v>1590</v>
      </c>
      <c r="I5863" t="str">
        <f t="shared" si="1033"/>
        <v>10/10/2025</v>
      </c>
      <c r="J5863" t="str">
        <f t="shared" si="1037"/>
        <v>07/10/2025</v>
      </c>
      <c r="K5863">
        <v>45940</v>
      </c>
      <c r="N5863">
        <v>303</v>
      </c>
      <c r="O5863" t="s">
        <v>69</v>
      </c>
      <c r="Q5863">
        <v>1151.81</v>
      </c>
      <c r="R5863" t="str">
        <f>"PENSE FARMA 27 (10204)"</f>
        <v>PENSE FARMA 27 (10204)</v>
      </c>
      <c r="S5863" t="s">
        <v>70</v>
      </c>
      <c r="T5863">
        <v>19547</v>
      </c>
      <c r="U5863">
        <v>23039</v>
      </c>
      <c r="V5863" t="s">
        <v>22</v>
      </c>
    </row>
    <row r="5864" spans="1:22">
      <c r="A5864" t="str">
        <f t="shared" si="1029"/>
        <v>10/10/2025</v>
      </c>
      <c r="B5864" t="str">
        <f t="shared" si="1034"/>
        <v>ENTRADA</v>
      </c>
      <c r="C5864" t="str">
        <f t="shared" si="1035"/>
        <v>NFSE</v>
      </c>
      <c r="D5864" t="str">
        <f>"3467"</f>
        <v>3467</v>
      </c>
      <c r="E5864" t="str">
        <f t="shared" si="1036"/>
        <v>1</v>
      </c>
      <c r="F5864" t="str">
        <f t="shared" si="1032"/>
        <v>COM</v>
      </c>
      <c r="G5864" t="str">
        <f>"PENSE FARMA 07 (10201)"</f>
        <v>PENSE FARMA 07 (10201)</v>
      </c>
      <c r="H5864" t="str">
        <f>"Serv.Prest. 29/09/2025 a 05/10/2025 - RPS: 1343 - NFSe: 3467"</f>
        <v>Serv.Prest. 29/09/2025 a 05/10/2025 - RPS: 1343 - NFSe: 3467</v>
      </c>
      <c r="I5864" t="str">
        <f t="shared" si="1033"/>
        <v>10/10/2025</v>
      </c>
      <c r="J5864" t="str">
        <f t="shared" si="1037"/>
        <v>07/10/2025</v>
      </c>
      <c r="K5864" t="str">
        <f>("10/10/2025")</f>
        <v>10/10/2025</v>
      </c>
      <c r="L5864">
        <v>1084.5999999999999</v>
      </c>
      <c r="M5864">
        <v>1084.5999999999999</v>
      </c>
      <c r="N5864">
        <v>303</v>
      </c>
      <c r="O5864" t="str">
        <f>"RECEITAS COM ENTREGAS"</f>
        <v>RECEITAS COM ENTREGAS</v>
      </c>
      <c r="P5864">
        <v>1084.5999999999999</v>
      </c>
      <c r="S5864" t="str">
        <f>"RECEITAS COM ENTREGAS (303)"</f>
        <v>RECEITAS COM ENTREGAS (303)</v>
      </c>
      <c r="T5864">
        <v>19548</v>
      </c>
      <c r="U5864">
        <v>23042</v>
      </c>
      <c r="V5864" t="s">
        <v>22</v>
      </c>
    </row>
    <row r="5865" spans="1:22">
      <c r="A5865" t="str">
        <f t="shared" si="1029"/>
        <v>10/10/2025</v>
      </c>
      <c r="B5865" t="str">
        <f t="shared" si="1034"/>
        <v>ENTRADA</v>
      </c>
      <c r="C5865" t="str">
        <f t="shared" si="1035"/>
        <v>NFSE</v>
      </c>
      <c r="D5865" t="str">
        <f>"3467"</f>
        <v>3467</v>
      </c>
      <c r="E5865" t="str">
        <f t="shared" si="1036"/>
        <v>1</v>
      </c>
      <c r="F5865" t="str">
        <f t="shared" si="1032"/>
        <v>COM</v>
      </c>
      <c r="G5865" t="str">
        <f>"PENSE FARMA 07 (10201)"</f>
        <v>PENSE FARMA 07 (10201)</v>
      </c>
      <c r="H5865" t="s">
        <v>1591</v>
      </c>
      <c r="I5865" t="str">
        <f t="shared" si="1033"/>
        <v>10/10/2025</v>
      </c>
      <c r="J5865" t="str">
        <f t="shared" si="1037"/>
        <v>07/10/2025</v>
      </c>
      <c r="K5865">
        <v>45940</v>
      </c>
      <c r="N5865">
        <v>303</v>
      </c>
      <c r="O5865" t="s">
        <v>69</v>
      </c>
      <c r="Q5865">
        <v>360.42</v>
      </c>
      <c r="R5865" t="str">
        <f>"PENSE FARMA 07 (10201)"</f>
        <v>PENSE FARMA 07 (10201)</v>
      </c>
      <c r="S5865" t="s">
        <v>70</v>
      </c>
      <c r="T5865">
        <v>19548</v>
      </c>
      <c r="U5865">
        <v>23042</v>
      </c>
      <c r="V5865" t="s">
        <v>22</v>
      </c>
    </row>
    <row r="5866" spans="1:22">
      <c r="A5866" t="str">
        <f t="shared" si="1029"/>
        <v>10/10/2025</v>
      </c>
      <c r="B5866" t="str">
        <f t="shared" si="1034"/>
        <v>ENTRADA</v>
      </c>
      <c r="C5866" t="str">
        <f t="shared" si="1035"/>
        <v>NFSE</v>
      </c>
      <c r="D5866" t="str">
        <f>"3467"</f>
        <v>3467</v>
      </c>
      <c r="E5866" t="str">
        <f t="shared" si="1036"/>
        <v>1</v>
      </c>
      <c r="F5866" t="str">
        <f t="shared" si="1032"/>
        <v>COM</v>
      </c>
      <c r="G5866" t="str">
        <f>"PENSE FARMA 07 (10201)"</f>
        <v>PENSE FARMA 07 (10201)</v>
      </c>
      <c r="H5866" t="s">
        <v>1591</v>
      </c>
      <c r="I5866" t="str">
        <f t="shared" si="1033"/>
        <v>10/10/2025</v>
      </c>
      <c r="J5866" t="str">
        <f t="shared" si="1037"/>
        <v>07/10/2025</v>
      </c>
      <c r="K5866">
        <v>45940</v>
      </c>
      <c r="N5866">
        <v>303</v>
      </c>
      <c r="O5866" t="s">
        <v>69</v>
      </c>
      <c r="Q5866">
        <v>360.41</v>
      </c>
      <c r="R5866" t="str">
        <f>"PENSE FARMA 45 (10209)"</f>
        <v>PENSE FARMA 45 (10209)</v>
      </c>
      <c r="S5866" t="s">
        <v>70</v>
      </c>
      <c r="T5866">
        <v>19548</v>
      </c>
      <c r="U5866">
        <v>23042</v>
      </c>
      <c r="V5866" t="s">
        <v>22</v>
      </c>
    </row>
    <row r="5867" spans="1:22">
      <c r="A5867" t="str">
        <f t="shared" si="1029"/>
        <v>10/10/2025</v>
      </c>
      <c r="B5867" t="str">
        <f t="shared" si="1034"/>
        <v>ENTRADA</v>
      </c>
      <c r="C5867" t="str">
        <f t="shared" si="1035"/>
        <v>NFSE</v>
      </c>
      <c r="D5867" t="str">
        <f>"3467"</f>
        <v>3467</v>
      </c>
      <c r="E5867" t="str">
        <f t="shared" si="1036"/>
        <v>1</v>
      </c>
      <c r="F5867" t="str">
        <f t="shared" si="1032"/>
        <v>COM</v>
      </c>
      <c r="G5867" t="str">
        <f>"PENSE FARMA 07 (10201)"</f>
        <v>PENSE FARMA 07 (10201)</v>
      </c>
      <c r="H5867" t="s">
        <v>1591</v>
      </c>
      <c r="I5867" t="str">
        <f t="shared" si="1033"/>
        <v>10/10/2025</v>
      </c>
      <c r="J5867" t="str">
        <f t="shared" si="1037"/>
        <v>07/10/2025</v>
      </c>
      <c r="K5867">
        <v>45940</v>
      </c>
      <c r="N5867">
        <v>303</v>
      </c>
      <c r="O5867" t="s">
        <v>69</v>
      </c>
      <c r="Q5867">
        <v>363.77</v>
      </c>
      <c r="R5867" t="str">
        <f>"PENSE FARMA 50 (10210)"</f>
        <v>PENSE FARMA 50 (10210)</v>
      </c>
      <c r="S5867" t="s">
        <v>70</v>
      </c>
      <c r="T5867">
        <v>19548</v>
      </c>
      <c r="U5867">
        <v>23042</v>
      </c>
      <c r="V5867" t="s">
        <v>22</v>
      </c>
    </row>
    <row r="5868" spans="1:22">
      <c r="A5868" t="str">
        <f t="shared" si="1029"/>
        <v>10/10/2025</v>
      </c>
      <c r="B5868" t="str">
        <f t="shared" si="1034"/>
        <v>ENTRADA</v>
      </c>
      <c r="C5868" t="str">
        <f t="shared" si="1035"/>
        <v>NFSE</v>
      </c>
      <c r="D5868" t="str">
        <f t="shared" ref="D5868:D5874" si="1038">"3468"</f>
        <v>3468</v>
      </c>
      <c r="E5868" t="str">
        <f t="shared" si="1036"/>
        <v>1</v>
      </c>
      <c r="F5868" t="str">
        <f t="shared" si="1032"/>
        <v>COM</v>
      </c>
      <c r="G5868" t="str">
        <f t="shared" ref="G5868:G5874" si="1039">"PENSE FARMA 36 (10206)"</f>
        <v>PENSE FARMA 36 (10206)</v>
      </c>
      <c r="H5868" t="str">
        <f>"Serv.Prest. 29/09/2025 a 05/10/2025 - RPS: 1344 - NFSe: 3468"</f>
        <v>Serv.Prest. 29/09/2025 a 05/10/2025 - RPS: 1344 - NFSe: 3468</v>
      </c>
      <c r="I5868" t="str">
        <f t="shared" si="1033"/>
        <v>10/10/2025</v>
      </c>
      <c r="J5868" t="str">
        <f t="shared" si="1037"/>
        <v>07/10/2025</v>
      </c>
      <c r="K5868" t="str">
        <f>("10/10/2025")</f>
        <v>10/10/2025</v>
      </c>
      <c r="L5868">
        <v>3447.6</v>
      </c>
      <c r="M5868">
        <v>3447.6</v>
      </c>
      <c r="N5868">
        <v>303</v>
      </c>
      <c r="O5868" t="str">
        <f>"RECEITAS COM ENTREGAS"</f>
        <v>RECEITAS COM ENTREGAS</v>
      </c>
      <c r="P5868">
        <v>3447.6</v>
      </c>
      <c r="S5868" t="str">
        <f>"RECEITAS COM ENTREGAS (303)"</f>
        <v>RECEITAS COM ENTREGAS (303)</v>
      </c>
      <c r="T5868">
        <v>19549</v>
      </c>
      <c r="U5868">
        <v>23044</v>
      </c>
      <c r="V5868" t="s">
        <v>22</v>
      </c>
    </row>
    <row r="5869" spans="1:22">
      <c r="A5869" t="str">
        <f t="shared" si="1029"/>
        <v>10/10/2025</v>
      </c>
      <c r="B5869" t="str">
        <f t="shared" si="1034"/>
        <v>ENTRADA</v>
      </c>
      <c r="C5869" t="str">
        <f t="shared" si="1035"/>
        <v>NFSE</v>
      </c>
      <c r="D5869" t="str">
        <f t="shared" si="1038"/>
        <v>3468</v>
      </c>
      <c r="E5869" t="str">
        <f t="shared" si="1036"/>
        <v>1</v>
      </c>
      <c r="F5869" t="str">
        <f t="shared" si="1032"/>
        <v>COM</v>
      </c>
      <c r="G5869" t="str">
        <f t="shared" si="1039"/>
        <v>PENSE FARMA 36 (10206)</v>
      </c>
      <c r="H5869" t="s">
        <v>1592</v>
      </c>
      <c r="I5869" t="str">
        <f t="shared" si="1033"/>
        <v>10/10/2025</v>
      </c>
      <c r="J5869" t="str">
        <f t="shared" si="1037"/>
        <v>07/10/2025</v>
      </c>
      <c r="K5869">
        <v>45940</v>
      </c>
      <c r="N5869">
        <v>303</v>
      </c>
      <c r="O5869" t="s">
        <v>69</v>
      </c>
      <c r="Q5869">
        <v>571.26</v>
      </c>
      <c r="R5869" t="str">
        <f>"PENSE FARMA 20 (10203)"</f>
        <v>PENSE FARMA 20 (10203)</v>
      </c>
      <c r="S5869" t="s">
        <v>70</v>
      </c>
      <c r="T5869">
        <v>19549</v>
      </c>
      <c r="U5869">
        <v>23044</v>
      </c>
      <c r="V5869" t="s">
        <v>22</v>
      </c>
    </row>
    <row r="5870" spans="1:22">
      <c r="A5870" t="str">
        <f t="shared" si="1029"/>
        <v>10/10/2025</v>
      </c>
      <c r="B5870" t="str">
        <f t="shared" si="1034"/>
        <v>ENTRADA</v>
      </c>
      <c r="C5870" t="str">
        <f t="shared" si="1035"/>
        <v>NFSE</v>
      </c>
      <c r="D5870" t="str">
        <f t="shared" si="1038"/>
        <v>3468</v>
      </c>
      <c r="E5870" t="str">
        <f t="shared" si="1036"/>
        <v>1</v>
      </c>
      <c r="F5870" t="str">
        <f t="shared" si="1032"/>
        <v>COM</v>
      </c>
      <c r="G5870" t="str">
        <f t="shared" si="1039"/>
        <v>PENSE FARMA 36 (10206)</v>
      </c>
      <c r="H5870" t="s">
        <v>1592</v>
      </c>
      <c r="I5870" t="str">
        <f t="shared" si="1033"/>
        <v>10/10/2025</v>
      </c>
      <c r="J5870" t="str">
        <f t="shared" si="1037"/>
        <v>07/10/2025</v>
      </c>
      <c r="K5870">
        <v>45940</v>
      </c>
      <c r="N5870">
        <v>303</v>
      </c>
      <c r="O5870" t="s">
        <v>69</v>
      </c>
      <c r="Q5870">
        <v>571.27</v>
      </c>
      <c r="R5870" t="str">
        <f>"PENSE FARMA 36 (10206)"</f>
        <v>PENSE FARMA 36 (10206)</v>
      </c>
      <c r="S5870" t="s">
        <v>70</v>
      </c>
      <c r="T5870">
        <v>19549</v>
      </c>
      <c r="U5870">
        <v>23044</v>
      </c>
      <c r="V5870" t="s">
        <v>22</v>
      </c>
    </row>
    <row r="5871" spans="1:22">
      <c r="A5871" t="str">
        <f t="shared" si="1029"/>
        <v>10/10/2025</v>
      </c>
      <c r="B5871" t="str">
        <f t="shared" si="1034"/>
        <v>ENTRADA</v>
      </c>
      <c r="C5871" t="str">
        <f t="shared" si="1035"/>
        <v>NFSE</v>
      </c>
      <c r="D5871" t="str">
        <f t="shared" si="1038"/>
        <v>3468</v>
      </c>
      <c r="E5871" t="str">
        <f t="shared" si="1036"/>
        <v>1</v>
      </c>
      <c r="F5871" t="str">
        <f t="shared" si="1032"/>
        <v>COM</v>
      </c>
      <c r="G5871" t="str">
        <f t="shared" si="1039"/>
        <v>PENSE FARMA 36 (10206)</v>
      </c>
      <c r="H5871" t="s">
        <v>1592</v>
      </c>
      <c r="I5871" t="str">
        <f t="shared" si="1033"/>
        <v>10/10/2025</v>
      </c>
      <c r="J5871" t="str">
        <f t="shared" si="1037"/>
        <v>07/10/2025</v>
      </c>
      <c r="K5871">
        <v>45940</v>
      </c>
      <c r="N5871">
        <v>303</v>
      </c>
      <c r="O5871" t="s">
        <v>69</v>
      </c>
      <c r="Q5871">
        <v>571.27</v>
      </c>
      <c r="R5871" t="str">
        <f>"PENSE FARMA 40 (10207)"</f>
        <v>PENSE FARMA 40 (10207)</v>
      </c>
      <c r="S5871" t="s">
        <v>70</v>
      </c>
      <c r="T5871">
        <v>19549</v>
      </c>
      <c r="U5871">
        <v>23044</v>
      </c>
      <c r="V5871" t="s">
        <v>22</v>
      </c>
    </row>
    <row r="5872" spans="1:22">
      <c r="A5872" t="str">
        <f t="shared" si="1029"/>
        <v>10/10/2025</v>
      </c>
      <c r="B5872" t="str">
        <f t="shared" si="1034"/>
        <v>ENTRADA</v>
      </c>
      <c r="C5872" t="str">
        <f t="shared" si="1035"/>
        <v>NFSE</v>
      </c>
      <c r="D5872" t="str">
        <f t="shared" si="1038"/>
        <v>3468</v>
      </c>
      <c r="E5872" t="str">
        <f t="shared" si="1036"/>
        <v>1</v>
      </c>
      <c r="F5872" t="str">
        <f t="shared" si="1032"/>
        <v>COM</v>
      </c>
      <c r="G5872" t="str">
        <f t="shared" si="1039"/>
        <v>PENSE FARMA 36 (10206)</v>
      </c>
      <c r="H5872" t="s">
        <v>1592</v>
      </c>
      <c r="I5872" t="str">
        <f t="shared" si="1033"/>
        <v>10/10/2025</v>
      </c>
      <c r="J5872" t="str">
        <f t="shared" si="1037"/>
        <v>07/10/2025</v>
      </c>
      <c r="K5872">
        <v>45940</v>
      </c>
      <c r="N5872">
        <v>303</v>
      </c>
      <c r="O5872" t="s">
        <v>69</v>
      </c>
      <c r="Q5872">
        <v>571.27</v>
      </c>
      <c r="R5872" t="str">
        <f>"PENSE FARMA 43 (10208)"</f>
        <v>PENSE FARMA 43 (10208)</v>
      </c>
      <c r="S5872" t="s">
        <v>70</v>
      </c>
      <c r="T5872">
        <v>19549</v>
      </c>
      <c r="U5872">
        <v>23044</v>
      </c>
      <c r="V5872" t="s">
        <v>22</v>
      </c>
    </row>
    <row r="5873" spans="1:22">
      <c r="A5873" t="str">
        <f t="shared" si="1029"/>
        <v>10/10/2025</v>
      </c>
      <c r="B5873" t="str">
        <f t="shared" si="1034"/>
        <v>ENTRADA</v>
      </c>
      <c r="C5873" t="str">
        <f t="shared" si="1035"/>
        <v>NFSE</v>
      </c>
      <c r="D5873" t="str">
        <f t="shared" si="1038"/>
        <v>3468</v>
      </c>
      <c r="E5873" t="str">
        <f t="shared" si="1036"/>
        <v>1</v>
      </c>
      <c r="F5873" t="str">
        <f t="shared" si="1032"/>
        <v>COM</v>
      </c>
      <c r="G5873" t="str">
        <f t="shared" si="1039"/>
        <v>PENSE FARMA 36 (10206)</v>
      </c>
      <c r="H5873" t="s">
        <v>1592</v>
      </c>
      <c r="I5873" t="str">
        <f t="shared" si="1033"/>
        <v>10/10/2025</v>
      </c>
      <c r="J5873" t="str">
        <f t="shared" si="1037"/>
        <v>07/10/2025</v>
      </c>
      <c r="K5873">
        <v>45940</v>
      </c>
      <c r="N5873">
        <v>303</v>
      </c>
      <c r="O5873" t="s">
        <v>69</v>
      </c>
      <c r="Q5873">
        <v>571.27</v>
      </c>
      <c r="R5873" t="str">
        <f>"PENSE FARMA 59 (10211)"</f>
        <v>PENSE FARMA 59 (10211)</v>
      </c>
      <c r="S5873" t="s">
        <v>70</v>
      </c>
      <c r="T5873">
        <v>19549</v>
      </c>
      <c r="U5873">
        <v>23044</v>
      </c>
      <c r="V5873" t="s">
        <v>22</v>
      </c>
    </row>
    <row r="5874" spans="1:22">
      <c r="A5874" t="str">
        <f t="shared" si="1029"/>
        <v>10/10/2025</v>
      </c>
      <c r="B5874" t="str">
        <f t="shared" si="1034"/>
        <v>ENTRADA</v>
      </c>
      <c r="C5874" t="str">
        <f t="shared" si="1035"/>
        <v>NFSE</v>
      </c>
      <c r="D5874" t="str">
        <f t="shared" si="1038"/>
        <v>3468</v>
      </c>
      <c r="E5874" t="str">
        <f t="shared" si="1036"/>
        <v>1</v>
      </c>
      <c r="F5874" t="str">
        <f t="shared" si="1032"/>
        <v>COM</v>
      </c>
      <c r="G5874" t="str">
        <f t="shared" si="1039"/>
        <v>PENSE FARMA 36 (10206)</v>
      </c>
      <c r="H5874" t="s">
        <v>1592</v>
      </c>
      <c r="I5874" t="str">
        <f t="shared" si="1033"/>
        <v>10/10/2025</v>
      </c>
      <c r="J5874" t="str">
        <f t="shared" si="1037"/>
        <v>07/10/2025</v>
      </c>
      <c r="K5874">
        <v>45940</v>
      </c>
      <c r="N5874">
        <v>303</v>
      </c>
      <c r="O5874" t="s">
        <v>69</v>
      </c>
      <c r="Q5874">
        <v>591.26</v>
      </c>
      <c r="R5874" t="str">
        <f>"PENSE FARMA DARK STORE 361 (10212)"</f>
        <v>PENSE FARMA DARK STORE 361 (10212)</v>
      </c>
      <c r="S5874" t="s">
        <v>70</v>
      </c>
      <c r="T5874">
        <v>19549</v>
      </c>
      <c r="U5874">
        <v>23044</v>
      </c>
      <c r="V5874" t="s">
        <v>22</v>
      </c>
    </row>
    <row r="5875" spans="1:22">
      <c r="A5875" t="str">
        <f t="shared" si="1029"/>
        <v>10/10/2025</v>
      </c>
      <c r="B5875" t="str">
        <f t="shared" si="1034"/>
        <v>ENTRADA</v>
      </c>
      <c r="C5875" t="str">
        <f t="shared" si="1035"/>
        <v>NFSE</v>
      </c>
      <c r="D5875" t="str">
        <f>"3444"</f>
        <v>3444</v>
      </c>
      <c r="E5875" t="str">
        <f t="shared" si="1036"/>
        <v>1</v>
      </c>
      <c r="F5875" t="str">
        <f t="shared" si="1032"/>
        <v>COM</v>
      </c>
      <c r="G5875" t="str">
        <f>"DROGARIA POUPA MINAS (ULTRAMINAS) 3 (10129)"</f>
        <v>DROGARIA POUPA MINAS (ULTRAMINAS) 3 (10129)</v>
      </c>
      <c r="H5875" t="str">
        <f>"Serv.Prest. 29/09/2025 a 05/10/2025 - RPS: 1320 - NFSe: 3444"</f>
        <v>Serv.Prest. 29/09/2025 a 05/10/2025 - RPS: 1320 - NFSe: 3444</v>
      </c>
      <c r="I5875" t="str">
        <f t="shared" ref="I5875:I5880" si="1040">("09/10/2025")</f>
        <v>09/10/2025</v>
      </c>
      <c r="J5875" t="str">
        <f t="shared" ref="J5875:J5880" si="1041">("06/10/2025")</f>
        <v>06/10/2025</v>
      </c>
      <c r="K5875" t="str">
        <f>("10/10/2025")</f>
        <v>10/10/2025</v>
      </c>
      <c r="L5875">
        <v>1544.4</v>
      </c>
      <c r="M5875">
        <v>1544.4</v>
      </c>
      <c r="N5875">
        <v>303</v>
      </c>
      <c r="O5875" t="str">
        <f>"RECEITAS COM ENTREGAS"</f>
        <v>RECEITAS COM ENTREGAS</v>
      </c>
      <c r="P5875">
        <v>1544.4</v>
      </c>
      <c r="S5875" t="str">
        <f>"RECEITAS COM ENTREGAS (303)"</f>
        <v>RECEITAS COM ENTREGAS (303)</v>
      </c>
      <c r="T5875">
        <v>19550</v>
      </c>
      <c r="U5875">
        <v>22819</v>
      </c>
      <c r="V5875" t="s">
        <v>22</v>
      </c>
    </row>
    <row r="5876" spans="1:22">
      <c r="A5876" t="str">
        <f t="shared" si="1029"/>
        <v>10/10/2025</v>
      </c>
      <c r="B5876" t="str">
        <f t="shared" si="1034"/>
        <v>ENTRADA</v>
      </c>
      <c r="C5876" t="str">
        <f t="shared" si="1035"/>
        <v>NFSE</v>
      </c>
      <c r="D5876" t="str">
        <f>"3444"</f>
        <v>3444</v>
      </c>
      <c r="E5876" t="str">
        <f t="shared" si="1036"/>
        <v>1</v>
      </c>
      <c r="F5876" t="str">
        <f t="shared" si="1032"/>
        <v>COM</v>
      </c>
      <c r="G5876" t="str">
        <f>"DROGARIA POUPA MINAS (ULTRAMINAS) 3 (10129)"</f>
        <v>DROGARIA POUPA MINAS (ULTRAMINAS) 3 (10129)</v>
      </c>
      <c r="H5876" t="s">
        <v>1593</v>
      </c>
      <c r="I5876" t="str">
        <f t="shared" si="1040"/>
        <v>09/10/2025</v>
      </c>
      <c r="J5876" t="str">
        <f t="shared" si="1041"/>
        <v>06/10/2025</v>
      </c>
      <c r="K5876">
        <v>45940</v>
      </c>
      <c r="N5876">
        <v>303</v>
      </c>
      <c r="O5876" t="s">
        <v>69</v>
      </c>
      <c r="Q5876">
        <v>1544.4</v>
      </c>
      <c r="R5876" t="str">
        <f>"DROGARIA POUPA MINAS (ULTRAMINAS) 3 (10129)"</f>
        <v>DROGARIA POUPA MINAS (ULTRAMINAS) 3 (10129)</v>
      </c>
      <c r="S5876" t="s">
        <v>70</v>
      </c>
      <c r="T5876">
        <v>19550</v>
      </c>
      <c r="U5876">
        <v>22819</v>
      </c>
      <c r="V5876" t="s">
        <v>22</v>
      </c>
    </row>
    <row r="5877" spans="1:22">
      <c r="A5877" t="str">
        <f t="shared" si="1029"/>
        <v>10/10/2025</v>
      </c>
      <c r="B5877" t="str">
        <f t="shared" si="1034"/>
        <v>ENTRADA</v>
      </c>
      <c r="C5877" t="str">
        <f t="shared" si="1035"/>
        <v>NFSE</v>
      </c>
      <c r="D5877" t="str">
        <f>"3459"</f>
        <v>3459</v>
      </c>
      <c r="E5877" t="str">
        <f t="shared" si="1036"/>
        <v>1</v>
      </c>
      <c r="F5877" t="str">
        <f t="shared" si="1032"/>
        <v>COM</v>
      </c>
      <c r="G5877" t="str">
        <f>"DROGARIA POUPA MINAS (DOIS AMIGOS) 5 (10140)"</f>
        <v>DROGARIA POUPA MINAS (DOIS AMIGOS) 5 (10140)</v>
      </c>
      <c r="H5877" t="str">
        <f>"Serv.Prest. 29/09/2025 a 05/10/2025 - RPS: 1335 - NFSe: 3459"</f>
        <v>Serv.Prest. 29/09/2025 a 05/10/2025 - RPS: 1335 - NFSe: 3459</v>
      </c>
      <c r="I5877" t="str">
        <f t="shared" si="1040"/>
        <v>09/10/2025</v>
      </c>
      <c r="J5877" t="str">
        <f t="shared" si="1041"/>
        <v>06/10/2025</v>
      </c>
      <c r="K5877" t="str">
        <f>("10/10/2025")</f>
        <v>10/10/2025</v>
      </c>
      <c r="L5877">
        <v>7077.78</v>
      </c>
      <c r="M5877">
        <v>7077.78</v>
      </c>
      <c r="N5877">
        <v>303</v>
      </c>
      <c r="O5877" t="str">
        <f>"RECEITAS COM ENTREGAS"</f>
        <v>RECEITAS COM ENTREGAS</v>
      </c>
      <c r="P5877">
        <v>7077.78</v>
      </c>
      <c r="S5877" t="str">
        <f>"RECEITAS COM ENTREGAS (303)"</f>
        <v>RECEITAS COM ENTREGAS (303)</v>
      </c>
      <c r="T5877">
        <v>19551</v>
      </c>
      <c r="U5877">
        <v>22868</v>
      </c>
      <c r="V5877" t="s">
        <v>22</v>
      </c>
    </row>
    <row r="5878" spans="1:22">
      <c r="A5878" t="str">
        <f t="shared" si="1029"/>
        <v>10/10/2025</v>
      </c>
      <c r="B5878" t="str">
        <f t="shared" si="1034"/>
        <v>ENTRADA</v>
      </c>
      <c r="C5878" t="str">
        <f t="shared" si="1035"/>
        <v>NFSE</v>
      </c>
      <c r="D5878" t="str">
        <f>"3459"</f>
        <v>3459</v>
      </c>
      <c r="E5878" t="str">
        <f t="shared" si="1036"/>
        <v>1</v>
      </c>
      <c r="F5878" t="str">
        <f t="shared" si="1032"/>
        <v>COM</v>
      </c>
      <c r="G5878" t="str">
        <f>"DROGARIA POUPA MINAS (DOIS AMIGOS) 5 (10140)"</f>
        <v>DROGARIA POUPA MINAS (DOIS AMIGOS) 5 (10140)</v>
      </c>
      <c r="H5878" t="s">
        <v>1594</v>
      </c>
      <c r="I5878" t="str">
        <f t="shared" si="1040"/>
        <v>09/10/2025</v>
      </c>
      <c r="J5878" t="str">
        <f t="shared" si="1041"/>
        <v>06/10/2025</v>
      </c>
      <c r="K5878">
        <v>45940</v>
      </c>
      <c r="N5878">
        <v>303</v>
      </c>
      <c r="O5878" t="s">
        <v>69</v>
      </c>
      <c r="Q5878">
        <v>7077.78</v>
      </c>
      <c r="R5878" t="str">
        <f>"DROGARIA POUPA MINAS (ULTRAMINAS) 1 (10181)"</f>
        <v>DROGARIA POUPA MINAS (ULTRAMINAS) 1 (10181)</v>
      </c>
      <c r="S5878" t="s">
        <v>70</v>
      </c>
      <c r="T5878">
        <v>19551</v>
      </c>
      <c r="U5878">
        <v>22868</v>
      </c>
      <c r="V5878" t="s">
        <v>22</v>
      </c>
    </row>
    <row r="5879" spans="1:22">
      <c r="A5879" t="str">
        <f t="shared" si="1029"/>
        <v>10/10/2025</v>
      </c>
      <c r="B5879" t="str">
        <f t="shared" si="1034"/>
        <v>ENTRADA</v>
      </c>
      <c r="C5879" t="str">
        <f t="shared" si="1035"/>
        <v>NFSE</v>
      </c>
      <c r="D5879" t="str">
        <f>"3460"</f>
        <v>3460</v>
      </c>
      <c r="E5879" t="str">
        <f t="shared" si="1036"/>
        <v>1</v>
      </c>
      <c r="F5879" t="str">
        <f t="shared" si="1032"/>
        <v>COM</v>
      </c>
      <c r="G5879" t="str">
        <f>"DROGARIA POUPA MINAS (DOIS AMIGOS) 5 (10140)"</f>
        <v>DROGARIA POUPA MINAS (DOIS AMIGOS) 5 (10140)</v>
      </c>
      <c r="H5879" t="str">
        <f>"Serv.Prest. 30/09/2025 a 30/09/2025 - RPS: 1336 - NFSe: 3460"</f>
        <v>Serv.Prest. 30/09/2025 a 30/09/2025 - RPS: 1336 - NFSe: 3460</v>
      </c>
      <c r="I5879" t="str">
        <f t="shared" si="1040"/>
        <v>09/10/2025</v>
      </c>
      <c r="J5879" t="str">
        <f t="shared" si="1041"/>
        <v>06/10/2025</v>
      </c>
      <c r="K5879" t="str">
        <f>("10/10/2025")</f>
        <v>10/10/2025</v>
      </c>
      <c r="L5879">
        <v>853.74</v>
      </c>
      <c r="M5879">
        <v>853.74</v>
      </c>
      <c r="N5879">
        <v>303</v>
      </c>
      <c r="O5879" t="str">
        <f>"RECEITAS COM ENTREGAS"</f>
        <v>RECEITAS COM ENTREGAS</v>
      </c>
      <c r="P5879">
        <v>853.74</v>
      </c>
      <c r="S5879" t="str">
        <f>"RECEITAS COM ENTREGAS (303)"</f>
        <v>RECEITAS COM ENTREGAS (303)</v>
      </c>
      <c r="T5879">
        <v>19552</v>
      </c>
      <c r="U5879">
        <v>22875</v>
      </c>
      <c r="V5879" t="s">
        <v>22</v>
      </c>
    </row>
    <row r="5880" spans="1:22">
      <c r="A5880" t="str">
        <f t="shared" si="1029"/>
        <v>10/10/2025</v>
      </c>
      <c r="B5880" t="str">
        <f t="shared" si="1034"/>
        <v>ENTRADA</v>
      </c>
      <c r="C5880" t="str">
        <f t="shared" si="1035"/>
        <v>NFSE</v>
      </c>
      <c r="D5880" t="str">
        <f>"3460"</f>
        <v>3460</v>
      </c>
      <c r="E5880" t="str">
        <f t="shared" si="1036"/>
        <v>1</v>
      </c>
      <c r="F5880" t="str">
        <f t="shared" si="1032"/>
        <v>COM</v>
      </c>
      <c r="G5880" t="str">
        <f>"DROGARIA POUPA MINAS (DOIS AMIGOS) 5 (10140)"</f>
        <v>DROGARIA POUPA MINAS (DOIS AMIGOS) 5 (10140)</v>
      </c>
      <c r="H5880" t="s">
        <v>1595</v>
      </c>
      <c r="I5880" t="str">
        <f t="shared" si="1040"/>
        <v>09/10/2025</v>
      </c>
      <c r="J5880" t="str">
        <f t="shared" si="1041"/>
        <v>06/10/2025</v>
      </c>
      <c r="K5880">
        <v>45940</v>
      </c>
      <c r="N5880">
        <v>303</v>
      </c>
      <c r="O5880" t="s">
        <v>69</v>
      </c>
      <c r="Q5880">
        <v>853.74</v>
      </c>
      <c r="R5880" t="str">
        <f>"DROGARIA POUPA MINAS (ULTRAMINAS) 1 (10181)"</f>
        <v>DROGARIA POUPA MINAS (ULTRAMINAS) 1 (10181)</v>
      </c>
      <c r="S5880" t="s">
        <v>70</v>
      </c>
      <c r="T5880">
        <v>19552</v>
      </c>
      <c r="U5880">
        <v>22875</v>
      </c>
      <c r="V5880" t="s">
        <v>22</v>
      </c>
    </row>
    <row r="5881" spans="1:22">
      <c r="A5881" t="str">
        <f t="shared" si="1029"/>
        <v>10/10/2025</v>
      </c>
      <c r="B5881" t="str">
        <f t="shared" ref="B5881:B5897" si="1042">"SAÍDA"</f>
        <v>SAÍDA</v>
      </c>
      <c r="C5881" t="str">
        <f>"PIX"</f>
        <v>PIX</v>
      </c>
      <c r="D5881" t="str">
        <f>"1001"</f>
        <v>1001</v>
      </c>
      <c r="E5881" t="str">
        <f>"34"</f>
        <v>34</v>
      </c>
      <c r="F5881" t="str">
        <f t="shared" si="1032"/>
        <v>COM</v>
      </c>
      <c r="G5881" t="str">
        <f>"OFFICIO COWORKING (20007)"</f>
        <v>OFFICIO COWORKING (20007)</v>
      </c>
      <c r="H5881" t="str">
        <f>"ALUGUEL SALA COWORKING - pixcolina1@gmail.com"</f>
        <v>ALUGUEL SALA COWORKING - pixcolina1@gmail.com</v>
      </c>
      <c r="I5881" t="str">
        <f t="shared" ref="I5881:I5888" si="1043">("10/10/2025")</f>
        <v>10/10/2025</v>
      </c>
      <c r="J5881" t="str">
        <f>("01/01/2025")</f>
        <v>01/01/2025</v>
      </c>
      <c r="K5881" t="str">
        <f>("10/10/2025")</f>
        <v>10/10/2025</v>
      </c>
      <c r="L5881">
        <v>1150</v>
      </c>
      <c r="M5881">
        <v>1150</v>
      </c>
      <c r="N5881">
        <v>105</v>
      </c>
      <c r="O5881" t="str">
        <f>"ALUGUEL"</f>
        <v>ALUGUEL</v>
      </c>
      <c r="P5881">
        <v>1150</v>
      </c>
      <c r="S5881" t="str">
        <f>"BANCO CORA (102)"</f>
        <v>BANCO CORA (102)</v>
      </c>
      <c r="T5881">
        <v>19553</v>
      </c>
      <c r="U5881">
        <v>8653</v>
      </c>
      <c r="V5881" t="s">
        <v>22</v>
      </c>
    </row>
    <row r="5882" spans="1:22">
      <c r="A5882" t="str">
        <f t="shared" si="1029"/>
        <v>10/10/2025</v>
      </c>
      <c r="B5882" t="str">
        <f t="shared" si="1042"/>
        <v>SAÍDA</v>
      </c>
      <c r="C5882" t="str">
        <f>"PIX"</f>
        <v>PIX</v>
      </c>
      <c r="D5882" t="str">
        <f>"1001"</f>
        <v>1001</v>
      </c>
      <c r="E5882" t="str">
        <f>"34"</f>
        <v>34</v>
      </c>
      <c r="F5882" t="str">
        <f t="shared" si="1032"/>
        <v>COM</v>
      </c>
      <c r="G5882" t="str">
        <f>"OFFICIO COWORKING (20007)"</f>
        <v>OFFICIO COWORKING (20007)</v>
      </c>
      <c r="H5882" t="s">
        <v>461</v>
      </c>
      <c r="I5882" t="str">
        <f t="shared" si="1043"/>
        <v>10/10/2025</v>
      </c>
      <c r="J5882" t="str">
        <f>("01/01/2025")</f>
        <v>01/01/2025</v>
      </c>
      <c r="K5882">
        <v>45940</v>
      </c>
      <c r="N5882">
        <v>105</v>
      </c>
      <c r="O5882" t="s">
        <v>462</v>
      </c>
      <c r="Q5882">
        <v>1150</v>
      </c>
      <c r="R5882" t="str">
        <f>"OFFICIO COWORKING (20007)"</f>
        <v>OFFICIO COWORKING (20007)</v>
      </c>
      <c r="S5882" t="s">
        <v>22</v>
      </c>
      <c r="T5882">
        <v>19553</v>
      </c>
      <c r="U5882">
        <v>8653</v>
      </c>
      <c r="V5882" t="s">
        <v>22</v>
      </c>
    </row>
    <row r="5883" spans="1:22">
      <c r="A5883" t="str">
        <f t="shared" si="1029"/>
        <v>10/10/2025</v>
      </c>
      <c r="B5883" t="str">
        <f t="shared" si="1042"/>
        <v>SAÍDA</v>
      </c>
      <c r="C5883" t="str">
        <f>"PIX"</f>
        <v>PIX</v>
      </c>
      <c r="D5883" t="str">
        <f>"0509"</f>
        <v>0509</v>
      </c>
      <c r="E5883" t="str">
        <f>"26"</f>
        <v>26</v>
      </c>
      <c r="F5883" t="str">
        <f t="shared" si="1032"/>
        <v>COM</v>
      </c>
      <c r="G5883" t="str">
        <f>"MG BRASIL CLUBE DE BENEFICIOS E COOPERACAO RECIPROCA (20112)"</f>
        <v>MG BRASIL CLUBE DE BENEFICIOS E COOPERACAO RECIPROCA (20112)</v>
      </c>
      <c r="H5883" t="str">
        <f>"CLUBE DE BENEFICIOS MOTOBOYS - PIX CPF 03291254600"</f>
        <v>CLUBE DE BENEFICIOS MOTOBOYS - PIX CPF 03291254600</v>
      </c>
      <c r="I5883" t="str">
        <f t="shared" si="1043"/>
        <v>10/10/2025</v>
      </c>
      <c r="J5883" t="str">
        <f>("02/09/2025")</f>
        <v>02/09/2025</v>
      </c>
      <c r="K5883" t="str">
        <f>("10/10/2025")</f>
        <v>10/10/2025</v>
      </c>
      <c r="L5883">
        <v>2090.92</v>
      </c>
      <c r="M5883">
        <v>2090.92</v>
      </c>
      <c r="N5883">
        <v>192</v>
      </c>
      <c r="O5883" t="str">
        <f>"PLANOS E SEGUROS"</f>
        <v>PLANOS E SEGUROS</v>
      </c>
      <c r="P5883">
        <v>2090.92</v>
      </c>
      <c r="S5883" t="str">
        <f>"BANCO CORA (102)"</f>
        <v>BANCO CORA (102)</v>
      </c>
      <c r="T5883">
        <v>19554</v>
      </c>
      <c r="U5883">
        <v>21371</v>
      </c>
      <c r="V5883" t="s">
        <v>22</v>
      </c>
    </row>
    <row r="5884" spans="1:22">
      <c r="A5884" t="str">
        <f t="shared" si="1029"/>
        <v>10/10/2025</v>
      </c>
      <c r="B5884" t="str">
        <f t="shared" si="1042"/>
        <v>SAÍDA</v>
      </c>
      <c r="C5884" t="str">
        <f>"PIX"</f>
        <v>PIX</v>
      </c>
      <c r="D5884" t="str">
        <f>"1010"</f>
        <v>1010</v>
      </c>
      <c r="E5884" t="str">
        <f>"25"</f>
        <v>25</v>
      </c>
      <c r="F5884" t="str">
        <f t="shared" si="1032"/>
        <v>COM</v>
      </c>
      <c r="G5884" t="str">
        <f>"DIEGO DIRLEY RIBEIRO (38)"</f>
        <v>DIEGO DIRLEY RIBEIRO (38)</v>
      </c>
      <c r="H5884" t="str">
        <f>"BONUS PERFORMANCE ENTREGAS - PIX: CPF - CHAVE: 102.023.716-38"</f>
        <v>BONUS PERFORMANCE ENTREGAS - PIX: CPF - CHAVE: 102.023.716-38</v>
      </c>
      <c r="I5884" t="str">
        <f t="shared" si="1043"/>
        <v>10/10/2025</v>
      </c>
      <c r="J5884" t="str">
        <f>("30/09/2025")</f>
        <v>30/09/2025</v>
      </c>
      <c r="K5884" t="str">
        <f>("10/10/2025")</f>
        <v>10/10/2025</v>
      </c>
      <c r="L5884">
        <v>200</v>
      </c>
      <c r="M5884">
        <v>200</v>
      </c>
      <c r="N5884">
        <v>109</v>
      </c>
      <c r="O5884" t="str">
        <f>"PAGAMENTO DE ENTREGADORES"</f>
        <v>PAGAMENTO DE ENTREGADORES</v>
      </c>
      <c r="P5884">
        <v>200</v>
      </c>
      <c r="S5884" t="str">
        <f>"BANCO CORA (102)"</f>
        <v>BANCO CORA (102)</v>
      </c>
      <c r="T5884">
        <v>19555</v>
      </c>
      <c r="U5884">
        <v>23540</v>
      </c>
      <c r="V5884" t="s">
        <v>22</v>
      </c>
    </row>
    <row r="5885" spans="1:22">
      <c r="A5885" t="str">
        <f t="shared" si="1029"/>
        <v>10/10/2025</v>
      </c>
      <c r="B5885" t="str">
        <f t="shared" si="1042"/>
        <v>SAÍDA</v>
      </c>
      <c r="C5885" t="str">
        <f>"PIX"</f>
        <v>PIX</v>
      </c>
      <c r="D5885" t="str">
        <f>"1010"</f>
        <v>1010</v>
      </c>
      <c r="E5885" t="str">
        <f>"25"</f>
        <v>25</v>
      </c>
      <c r="F5885" t="str">
        <f t="shared" si="1032"/>
        <v>COM</v>
      </c>
      <c r="G5885" t="str">
        <f>"DIEGO DIRLEY RIBEIRO (38)"</f>
        <v>DIEGO DIRLEY RIBEIRO (38)</v>
      </c>
      <c r="H5885" t="s">
        <v>630</v>
      </c>
      <c r="I5885" t="str">
        <f t="shared" si="1043"/>
        <v>10/10/2025</v>
      </c>
      <c r="J5885" t="str">
        <f>("30/09/2025")</f>
        <v>30/09/2025</v>
      </c>
      <c r="K5885">
        <v>45940</v>
      </c>
      <c r="N5885">
        <v>109</v>
      </c>
      <c r="O5885" t="s">
        <v>24</v>
      </c>
      <c r="Q5885">
        <v>200</v>
      </c>
      <c r="R5885" t="str">
        <f>"FARMÁCIA INDIANA LJ 172 (10161)"</f>
        <v>FARMÁCIA INDIANA LJ 172 (10161)</v>
      </c>
      <c r="S5885" t="s">
        <v>22</v>
      </c>
      <c r="T5885">
        <v>19555</v>
      </c>
      <c r="U5885">
        <v>23540</v>
      </c>
      <c r="V5885" t="s">
        <v>22</v>
      </c>
    </row>
    <row r="5886" spans="1:22">
      <c r="A5886" t="str">
        <f t="shared" ref="A5886:A5903" si="1044">("10/10/2025")</f>
        <v>10/10/2025</v>
      </c>
      <c r="B5886" t="str">
        <f t="shared" si="1042"/>
        <v>SAÍDA</v>
      </c>
      <c r="C5886" t="str">
        <f>"JUROS"</f>
        <v>JUROS</v>
      </c>
      <c r="D5886" t="str">
        <f>""</f>
        <v/>
      </c>
      <c r="F5886" t="str">
        <f>"CXA"</f>
        <v>CXA</v>
      </c>
      <c r="G5886" t="str">
        <f>""</f>
        <v/>
      </c>
      <c r="H5886" t="str">
        <f>"TARIFA"</f>
        <v>TARIFA</v>
      </c>
      <c r="I5886" t="str">
        <f t="shared" si="1043"/>
        <v>10/10/2025</v>
      </c>
      <c r="J5886" t="str">
        <f>("10/10/2025")</f>
        <v>10/10/2025</v>
      </c>
      <c r="K5886" t="str">
        <f>("10/10/2025")</f>
        <v>10/10/2025</v>
      </c>
      <c r="L5886">
        <v>11.9</v>
      </c>
      <c r="M5886">
        <v>11.9</v>
      </c>
      <c r="N5886">
        <v>401</v>
      </c>
      <c r="O5886" t="str">
        <f>"IOF/JUROS/DESP.FINANCEIRA"</f>
        <v>IOF/JUROS/DESP.FINANCEIRA</v>
      </c>
      <c r="P5886">
        <v>11.9</v>
      </c>
      <c r="S5886" t="str">
        <f>"BANCO CORA (102)"</f>
        <v>BANCO CORA (102)</v>
      </c>
      <c r="T5886">
        <v>19556</v>
      </c>
      <c r="U5886">
        <v>0</v>
      </c>
      <c r="V5886" t="s">
        <v>1112</v>
      </c>
    </row>
    <row r="5887" spans="1:22">
      <c r="A5887" t="str">
        <f t="shared" si="1044"/>
        <v>10/10/2025</v>
      </c>
      <c r="B5887" t="str">
        <f t="shared" si="1042"/>
        <v>SAÍDA</v>
      </c>
      <c r="C5887" t="str">
        <f t="shared" ref="C5887:C5892" si="1045">"PIX"</f>
        <v>PIX</v>
      </c>
      <c r="D5887" t="str">
        <f>"1010"</f>
        <v>1010</v>
      </c>
      <c r="E5887" t="str">
        <f>"25"</f>
        <v>25</v>
      </c>
      <c r="F5887" t="str">
        <f t="shared" ref="F5887:F5897" si="1046">"COM"</f>
        <v>COM</v>
      </c>
      <c r="G5887" t="str">
        <f>"PAULO HENRIQUE OLIVEIRA SILVA (39)"</f>
        <v>PAULO HENRIQUE OLIVEIRA SILVA (39)</v>
      </c>
      <c r="H5887" t="str">
        <f>"BONUS PERFORMANCE ENTREGAS - PIX: CELULAR - CHAVE: (31) 97339-3761"</f>
        <v>BONUS PERFORMANCE ENTREGAS - PIX: CELULAR - CHAVE: (31) 97339-3761</v>
      </c>
      <c r="I5887" t="str">
        <f t="shared" si="1043"/>
        <v>10/10/2025</v>
      </c>
      <c r="J5887" t="str">
        <f>("30/09/2025")</f>
        <v>30/09/2025</v>
      </c>
      <c r="K5887" t="str">
        <f>("10/10/2025")</f>
        <v>10/10/2025</v>
      </c>
      <c r="L5887">
        <v>200</v>
      </c>
      <c r="M5887">
        <v>200</v>
      </c>
      <c r="N5887">
        <v>109</v>
      </c>
      <c r="O5887" t="str">
        <f>"PAGAMENTO DE ENTREGADORES"</f>
        <v>PAGAMENTO DE ENTREGADORES</v>
      </c>
      <c r="P5887">
        <v>200</v>
      </c>
      <c r="S5887" t="str">
        <f>"BANCO CORA (102)"</f>
        <v>BANCO CORA (102)</v>
      </c>
      <c r="T5887">
        <v>19557</v>
      </c>
      <c r="U5887">
        <v>23541</v>
      </c>
      <c r="V5887" t="s">
        <v>22</v>
      </c>
    </row>
    <row r="5888" spans="1:22">
      <c r="A5888" t="str">
        <f t="shared" si="1044"/>
        <v>10/10/2025</v>
      </c>
      <c r="B5888" t="str">
        <f t="shared" si="1042"/>
        <v>SAÍDA</v>
      </c>
      <c r="C5888" t="str">
        <f t="shared" si="1045"/>
        <v>PIX</v>
      </c>
      <c r="D5888" t="str">
        <f>"1010"</f>
        <v>1010</v>
      </c>
      <c r="E5888" t="str">
        <f>"25"</f>
        <v>25</v>
      </c>
      <c r="F5888" t="str">
        <f t="shared" si="1046"/>
        <v>COM</v>
      </c>
      <c r="G5888" t="str">
        <f>"PAULO HENRIQUE OLIVEIRA SILVA (39)"</f>
        <v>PAULO HENRIQUE OLIVEIRA SILVA (39)</v>
      </c>
      <c r="H5888" t="s">
        <v>631</v>
      </c>
      <c r="I5888" t="str">
        <f t="shared" si="1043"/>
        <v>10/10/2025</v>
      </c>
      <c r="J5888" t="str">
        <f>("30/09/2025")</f>
        <v>30/09/2025</v>
      </c>
      <c r="K5888">
        <v>45940</v>
      </c>
      <c r="N5888">
        <v>109</v>
      </c>
      <c r="O5888" t="s">
        <v>24</v>
      </c>
      <c r="Q5888">
        <v>200</v>
      </c>
      <c r="R5888" t="str">
        <f>"FARMÁCIA INDIANA LJ 11 (10008)"</f>
        <v>FARMÁCIA INDIANA LJ 11 (10008)</v>
      </c>
      <c r="S5888" t="s">
        <v>22</v>
      </c>
      <c r="T5888">
        <v>19557</v>
      </c>
      <c r="U5888">
        <v>23541</v>
      </c>
      <c r="V5888" t="s">
        <v>22</v>
      </c>
    </row>
    <row r="5889" spans="1:22">
      <c r="A5889" t="str">
        <f t="shared" si="1044"/>
        <v>10/10/2025</v>
      </c>
      <c r="B5889" t="str">
        <f t="shared" si="1042"/>
        <v>SAÍDA</v>
      </c>
      <c r="C5889" t="str">
        <f t="shared" si="1045"/>
        <v>PIX</v>
      </c>
      <c r="D5889" t="str">
        <f>"23620"</f>
        <v>23620</v>
      </c>
      <c r="E5889" t="str">
        <f>"1"</f>
        <v>1</v>
      </c>
      <c r="F5889" t="str">
        <f t="shared" si="1046"/>
        <v>COM</v>
      </c>
      <c r="G5889" t="str">
        <f>"RAFAEL PEDROSO DE CAMARA (975)"</f>
        <v>RAFAEL PEDROSO DE CAMARA (975)</v>
      </c>
      <c r="H5889" t="str">
        <f>"Serv.Prest. 06/10/2025 a 12/10/2025 - PIX: CELULAR - CHAVE: (11) 99270-3082"</f>
        <v>Serv.Prest. 06/10/2025 a 12/10/2025 - PIX: CELULAR - CHAVE: (11) 99270-3082</v>
      </c>
      <c r="I5889" t="str">
        <f>("16/10/2025")</f>
        <v>16/10/2025</v>
      </c>
      <c r="J5889" t="str">
        <f>("14/10/2025")</f>
        <v>14/10/2025</v>
      </c>
      <c r="K5889" t="str">
        <f>("10/10/2025")</f>
        <v>10/10/2025</v>
      </c>
      <c r="L5889">
        <v>150</v>
      </c>
      <c r="M5889">
        <v>150</v>
      </c>
      <c r="N5889">
        <v>109</v>
      </c>
      <c r="O5889" t="str">
        <f>"PAGAMENTO DE ENTREGADORES"</f>
        <v>PAGAMENTO DE ENTREGADORES</v>
      </c>
      <c r="P5889">
        <v>150</v>
      </c>
      <c r="S5889" t="str">
        <f>"BANCO CORA (102)"</f>
        <v>BANCO CORA (102)</v>
      </c>
      <c r="T5889">
        <v>19561</v>
      </c>
      <c r="U5889">
        <v>23620</v>
      </c>
      <c r="V5889" t="s">
        <v>22</v>
      </c>
    </row>
    <row r="5890" spans="1:22">
      <c r="A5890" t="str">
        <f t="shared" si="1044"/>
        <v>10/10/2025</v>
      </c>
      <c r="B5890" t="str">
        <f t="shared" si="1042"/>
        <v>SAÍDA</v>
      </c>
      <c r="C5890" t="str">
        <f t="shared" si="1045"/>
        <v>PIX</v>
      </c>
      <c r="D5890" t="str">
        <f>"23620"</f>
        <v>23620</v>
      </c>
      <c r="E5890" t="str">
        <f>"1"</f>
        <v>1</v>
      </c>
      <c r="F5890" t="str">
        <f t="shared" si="1046"/>
        <v>COM</v>
      </c>
      <c r="G5890" t="str">
        <f>"RAFAEL PEDROSO DE CAMARA (975)"</f>
        <v>RAFAEL PEDROSO DE CAMARA (975)</v>
      </c>
      <c r="H5890" t="s">
        <v>1596</v>
      </c>
      <c r="I5890" t="str">
        <f>("16/10/2025")</f>
        <v>16/10/2025</v>
      </c>
      <c r="J5890" t="str">
        <f>("14/10/2025")</f>
        <v>14/10/2025</v>
      </c>
      <c r="K5890">
        <v>45940</v>
      </c>
      <c r="N5890">
        <v>109</v>
      </c>
      <c r="O5890" t="s">
        <v>24</v>
      </c>
      <c r="Q5890">
        <v>150</v>
      </c>
      <c r="R5890" t="str">
        <f>"PENSE FARMA 27 (10204)"</f>
        <v>PENSE FARMA 27 (10204)</v>
      </c>
      <c r="S5890" t="s">
        <v>22</v>
      </c>
      <c r="T5890">
        <v>19561</v>
      </c>
      <c r="U5890">
        <v>23620</v>
      </c>
      <c r="V5890" t="s">
        <v>22</v>
      </c>
    </row>
    <row r="5891" spans="1:22">
      <c r="A5891" t="str">
        <f t="shared" si="1044"/>
        <v>10/10/2025</v>
      </c>
      <c r="B5891" t="str">
        <f t="shared" si="1042"/>
        <v>SAÍDA</v>
      </c>
      <c r="C5891" t="str">
        <f t="shared" si="1045"/>
        <v>PIX</v>
      </c>
      <c r="D5891" t="str">
        <f>"23787"</f>
        <v>23787</v>
      </c>
      <c r="E5891" t="str">
        <f>"1"</f>
        <v>1</v>
      </c>
      <c r="F5891" t="str">
        <f t="shared" si="1046"/>
        <v>COM</v>
      </c>
      <c r="G5891" t="str">
        <f>"WILLIAM DA SILVA COSTA (655)"</f>
        <v>WILLIAM DA SILVA COSTA (655)</v>
      </c>
      <c r="H5891" t="str">
        <f>"PAGO PARA ULISSES SOUSA SANTOS - Serv.Prest. 06/10/2025 a 12/10/2025"</f>
        <v>PAGO PARA ULISSES SOUSA SANTOS - Serv.Prest. 06/10/2025 a 12/10/2025</v>
      </c>
      <c r="I5891" t="str">
        <f>("14/10/2025")</f>
        <v>14/10/2025</v>
      </c>
      <c r="J5891" t="str">
        <f>("14/10/2025")</f>
        <v>14/10/2025</v>
      </c>
      <c r="K5891" t="str">
        <f>("10/10/2025")</f>
        <v>10/10/2025</v>
      </c>
      <c r="L5891">
        <v>86</v>
      </c>
      <c r="M5891">
        <v>150</v>
      </c>
      <c r="N5891">
        <v>134</v>
      </c>
      <c r="O5891" t="str">
        <f>"DIARIA DE MOTOBOY"</f>
        <v>DIARIA DE MOTOBOY</v>
      </c>
      <c r="P5891">
        <v>150</v>
      </c>
      <c r="S5891" t="str">
        <f>"BANCO CORA (102)"</f>
        <v>BANCO CORA (102)</v>
      </c>
      <c r="T5891">
        <v>19608</v>
      </c>
      <c r="U5891">
        <v>23826</v>
      </c>
      <c r="V5891" t="s">
        <v>22</v>
      </c>
    </row>
    <row r="5892" spans="1:22">
      <c r="A5892" t="str">
        <f t="shared" si="1044"/>
        <v>10/10/2025</v>
      </c>
      <c r="B5892" t="str">
        <f t="shared" si="1042"/>
        <v>SAÍDA</v>
      </c>
      <c r="C5892" t="str">
        <f t="shared" si="1045"/>
        <v>PIX</v>
      </c>
      <c r="D5892" t="str">
        <f>"23787"</f>
        <v>23787</v>
      </c>
      <c r="E5892" t="str">
        <f>"1"</f>
        <v>1</v>
      </c>
      <c r="F5892" t="str">
        <f t="shared" si="1046"/>
        <v>COM</v>
      </c>
      <c r="G5892" t="str">
        <f>"WILLIAM DA SILVA COSTA (655)"</f>
        <v>WILLIAM DA SILVA COSTA (655)</v>
      </c>
      <c r="H5892" t="s">
        <v>1597</v>
      </c>
      <c r="I5892" t="str">
        <f>("14/10/2025")</f>
        <v>14/10/2025</v>
      </c>
      <c r="J5892" t="str">
        <f>("14/10/2025")</f>
        <v>14/10/2025</v>
      </c>
      <c r="K5892">
        <v>45940</v>
      </c>
      <c r="N5892">
        <v>134</v>
      </c>
      <c r="O5892" t="s">
        <v>41</v>
      </c>
      <c r="Q5892">
        <v>150</v>
      </c>
      <c r="R5892" t="str">
        <f>"FARMACIA ECONOMIZE (10103)"</f>
        <v>FARMACIA ECONOMIZE (10103)</v>
      </c>
      <c r="S5892" t="s">
        <v>22</v>
      </c>
      <c r="T5892">
        <v>19608</v>
      </c>
      <c r="U5892">
        <v>23826</v>
      </c>
      <c r="V5892" t="s">
        <v>22</v>
      </c>
    </row>
    <row r="5893" spans="1:22">
      <c r="A5893" t="str">
        <f t="shared" si="1044"/>
        <v>10/10/2025</v>
      </c>
      <c r="B5893" t="str">
        <f t="shared" si="1042"/>
        <v>SAÍDA</v>
      </c>
      <c r="C5893" t="str">
        <f>"BOLETO"</f>
        <v>BOLETO</v>
      </c>
      <c r="D5893" t="str">
        <f>"882882503"</f>
        <v>882882503</v>
      </c>
      <c r="E5893" t="str">
        <f>"5"</f>
        <v>5</v>
      </c>
      <c r="F5893" t="str">
        <f t="shared" si="1046"/>
        <v>COM</v>
      </c>
      <c r="G5893" t="str">
        <f>"MUNICIPIO DE UBERLANDIA (20032)"</f>
        <v>MUNICIPIO DE UBERLANDIA (20032)</v>
      </c>
      <c r="H5893" t="str">
        <f>"PARCELAMENTO REFIM ISS "</f>
        <v xml:space="preserve">PARCELAMENTO REFIM ISS </v>
      </c>
      <c r="I5893" t="str">
        <f t="shared" ref="I5893:I5899" si="1047">("10/10/2025")</f>
        <v>10/10/2025</v>
      </c>
      <c r="J5893" t="str">
        <f>("09/05/2025")</f>
        <v>09/05/2025</v>
      </c>
      <c r="K5893" t="str">
        <f>("10/10/2025")</f>
        <v>10/10/2025</v>
      </c>
      <c r="L5893">
        <v>5518.71</v>
      </c>
      <c r="M5893">
        <v>5778.43</v>
      </c>
      <c r="N5893">
        <v>137</v>
      </c>
      <c r="O5893" t="str">
        <f>"ISS"</f>
        <v>ISS</v>
      </c>
      <c r="P5893">
        <v>5778.43</v>
      </c>
      <c r="S5893" t="str">
        <f>"BANCO CORA (102)"</f>
        <v>BANCO CORA (102)</v>
      </c>
      <c r="T5893">
        <v>20887</v>
      </c>
      <c r="U5893">
        <v>15909</v>
      </c>
      <c r="V5893" t="s">
        <v>22</v>
      </c>
    </row>
    <row r="5894" spans="1:22">
      <c r="A5894" t="str">
        <f t="shared" si="1044"/>
        <v>10/10/2025</v>
      </c>
      <c r="B5894" t="str">
        <f t="shared" si="1042"/>
        <v>SAÍDA</v>
      </c>
      <c r="C5894" t="str">
        <f>"BOLETO"</f>
        <v>BOLETO</v>
      </c>
      <c r="D5894" t="str">
        <f>"87970224"</f>
        <v>87970224</v>
      </c>
      <c r="E5894" t="str">
        <f>"18"</f>
        <v>18</v>
      </c>
      <c r="F5894" t="str">
        <f t="shared" si="1046"/>
        <v>COM</v>
      </c>
      <c r="G5894" t="str">
        <f>"MUNICIPIO DE UBERLANDIA (20032)"</f>
        <v>MUNICIPIO DE UBERLANDIA (20032)</v>
      </c>
      <c r="H5894" t="str">
        <f>"PARCELAMENTO ISS"</f>
        <v>PARCELAMENTO ISS</v>
      </c>
      <c r="I5894" t="str">
        <f t="shared" si="1047"/>
        <v>10/10/2025</v>
      </c>
      <c r="J5894" t="str">
        <f>("24/04/2024")</f>
        <v>24/04/2024</v>
      </c>
      <c r="K5894" t="str">
        <f>("10/10/2025")</f>
        <v>10/10/2025</v>
      </c>
      <c r="L5894">
        <v>247.84</v>
      </c>
      <c r="M5894">
        <v>291.70999999999998</v>
      </c>
      <c r="N5894">
        <v>137</v>
      </c>
      <c r="O5894" t="str">
        <f>"ISS"</f>
        <v>ISS</v>
      </c>
      <c r="P5894">
        <v>291.70999999999998</v>
      </c>
      <c r="S5894" t="str">
        <f>"BANCO CORA (102)"</f>
        <v>BANCO CORA (102)</v>
      </c>
      <c r="T5894">
        <v>20888</v>
      </c>
      <c r="U5894">
        <v>1218</v>
      </c>
      <c r="V5894" t="s">
        <v>22</v>
      </c>
    </row>
    <row r="5895" spans="1:22">
      <c r="A5895" t="str">
        <f t="shared" si="1044"/>
        <v>10/10/2025</v>
      </c>
      <c r="B5895" t="str">
        <f t="shared" si="1042"/>
        <v>SAÍDA</v>
      </c>
      <c r="C5895" t="str">
        <f>"BOLETO"</f>
        <v>BOLETO</v>
      </c>
      <c r="D5895" t="str">
        <f>"87970224"</f>
        <v>87970224</v>
      </c>
      <c r="E5895" t="str">
        <f>"18"</f>
        <v>18</v>
      </c>
      <c r="F5895" t="str">
        <f t="shared" si="1046"/>
        <v>COM</v>
      </c>
      <c r="G5895" t="str">
        <f>"MUNICIPIO DE UBERLANDIA (20032)"</f>
        <v>MUNICIPIO DE UBERLANDIA (20032)</v>
      </c>
      <c r="H5895" t="s">
        <v>294</v>
      </c>
      <c r="I5895" t="str">
        <f t="shared" si="1047"/>
        <v>10/10/2025</v>
      </c>
      <c r="J5895" t="str">
        <f>("24/04/2024")</f>
        <v>24/04/2024</v>
      </c>
      <c r="K5895">
        <v>45940</v>
      </c>
      <c r="N5895">
        <v>137</v>
      </c>
      <c r="O5895" t="s">
        <v>295</v>
      </c>
      <c r="Q5895">
        <v>291.70999999999998</v>
      </c>
      <c r="R5895" t="str">
        <f>"MUNICIPIO DE UBERLANDIA (20032)"</f>
        <v>MUNICIPIO DE UBERLANDIA (20032)</v>
      </c>
      <c r="S5895" t="s">
        <v>22</v>
      </c>
      <c r="T5895">
        <v>20888</v>
      </c>
      <c r="U5895">
        <v>1218</v>
      </c>
      <c r="V5895" t="s">
        <v>22</v>
      </c>
    </row>
    <row r="5896" spans="1:22">
      <c r="A5896" t="str">
        <f t="shared" si="1044"/>
        <v>10/10/2025</v>
      </c>
      <c r="B5896" t="str">
        <f t="shared" si="1042"/>
        <v>SAÍDA</v>
      </c>
      <c r="C5896" t="str">
        <f>"BOLETO"</f>
        <v>BOLETO</v>
      </c>
      <c r="D5896" t="str">
        <f>"193566723"</f>
        <v>193566723</v>
      </c>
      <c r="E5896" t="str">
        <f>"24"</f>
        <v>24</v>
      </c>
      <c r="F5896" t="str">
        <f t="shared" si="1046"/>
        <v>COM</v>
      </c>
      <c r="G5896" t="str">
        <f>"MUNICIPIO DE UBERLANDIA (20032)"</f>
        <v>MUNICIPIO DE UBERLANDIA (20032)</v>
      </c>
      <c r="H5896" t="str">
        <f>"PARCELAMENTO ISS "</f>
        <v xml:space="preserve">PARCELAMENTO ISS </v>
      </c>
      <c r="I5896" t="str">
        <f t="shared" si="1047"/>
        <v>10/10/2025</v>
      </c>
      <c r="J5896" t="str">
        <f>("01/07/2024")</f>
        <v>01/07/2024</v>
      </c>
      <c r="K5896" t="str">
        <f>("10/10/2025")</f>
        <v>10/10/2025</v>
      </c>
      <c r="L5896">
        <v>235.57</v>
      </c>
      <c r="M5896">
        <v>290.01</v>
      </c>
      <c r="N5896">
        <v>137</v>
      </c>
      <c r="O5896" t="str">
        <f>"ISS"</f>
        <v>ISS</v>
      </c>
      <c r="P5896">
        <v>290.01</v>
      </c>
      <c r="S5896" t="str">
        <f>"BANCO CORA (102)"</f>
        <v>BANCO CORA (102)</v>
      </c>
      <c r="T5896">
        <v>20889</v>
      </c>
      <c r="U5896">
        <v>1105</v>
      </c>
      <c r="V5896" t="s">
        <v>22</v>
      </c>
    </row>
    <row r="5897" spans="1:22">
      <c r="A5897" t="str">
        <f t="shared" si="1044"/>
        <v>10/10/2025</v>
      </c>
      <c r="B5897" t="str">
        <f t="shared" si="1042"/>
        <v>SAÍDA</v>
      </c>
      <c r="C5897" t="str">
        <f>"BOLETO"</f>
        <v>BOLETO</v>
      </c>
      <c r="D5897" t="str">
        <f>"193566723"</f>
        <v>193566723</v>
      </c>
      <c r="E5897" t="str">
        <f>"24"</f>
        <v>24</v>
      </c>
      <c r="F5897" t="str">
        <f t="shared" si="1046"/>
        <v>COM</v>
      </c>
      <c r="G5897" t="str">
        <f>"MUNICIPIO DE UBERLANDIA (20032)"</f>
        <v>MUNICIPIO DE UBERLANDIA (20032)</v>
      </c>
      <c r="H5897" t="s">
        <v>1598</v>
      </c>
      <c r="I5897" t="str">
        <f t="shared" si="1047"/>
        <v>10/10/2025</v>
      </c>
      <c r="J5897" t="str">
        <f>("01/07/2024")</f>
        <v>01/07/2024</v>
      </c>
      <c r="K5897">
        <v>45940</v>
      </c>
      <c r="N5897">
        <v>137</v>
      </c>
      <c r="O5897" t="s">
        <v>295</v>
      </c>
      <c r="Q5897">
        <v>290.01</v>
      </c>
      <c r="R5897" t="str">
        <f>"MUNICIPIO DE UBERLANDIA (20032)"</f>
        <v>MUNICIPIO DE UBERLANDIA (20032)</v>
      </c>
      <c r="S5897" t="s">
        <v>22</v>
      </c>
      <c r="T5897">
        <v>20889</v>
      </c>
      <c r="U5897">
        <v>1105</v>
      </c>
      <c r="V5897" t="s">
        <v>22</v>
      </c>
    </row>
    <row r="5898" spans="1:22">
      <c r="A5898" t="str">
        <f t="shared" si="1044"/>
        <v>10/10/2025</v>
      </c>
      <c r="B5898" t="str">
        <f>"ENTRADA"</f>
        <v>ENTRADA</v>
      </c>
      <c r="C5898" t="str">
        <f>"APLICACAO"</f>
        <v>APLICACAO</v>
      </c>
      <c r="D5898" t="str">
        <f>""</f>
        <v/>
      </c>
      <c r="F5898" t="str">
        <f>"APL"</f>
        <v>APL</v>
      </c>
      <c r="G5898" t="str">
        <f>""</f>
        <v/>
      </c>
      <c r="H5898" t="str">
        <f>"APLICAÇÃO EM CDB C6"</f>
        <v>APLICAÇÃO EM CDB C6</v>
      </c>
      <c r="I5898" t="str">
        <f t="shared" si="1047"/>
        <v>10/10/2025</v>
      </c>
      <c r="J5898" t="str">
        <f>("10/10/2025")</f>
        <v>10/10/2025</v>
      </c>
      <c r="K5898" t="str">
        <f>("10/10/2025")</f>
        <v>10/10/2025</v>
      </c>
      <c r="N5898">
        <v>121</v>
      </c>
      <c r="O5898" t="str">
        <f>"APLICAÇÃO BANCO A"</f>
        <v>APLICAÇÃO BANCO A</v>
      </c>
      <c r="P5898">
        <v>15000</v>
      </c>
      <c r="S5898" t="str">
        <f>"APLICAÇÃO BANCO A (121)"</f>
        <v>APLICAÇÃO BANCO A (121)</v>
      </c>
      <c r="T5898">
        <v>22191</v>
      </c>
      <c r="U5898">
        <v>0</v>
      </c>
      <c r="V5898" t="s">
        <v>1071</v>
      </c>
    </row>
    <row r="5899" spans="1:22">
      <c r="A5899" t="str">
        <f t="shared" si="1044"/>
        <v>10/10/2025</v>
      </c>
      <c r="B5899" t="str">
        <f>"SAÍDA"</f>
        <v>SAÍDA</v>
      </c>
      <c r="C5899" t="str">
        <f>"APLICACAO"</f>
        <v>APLICACAO</v>
      </c>
      <c r="D5899" t="str">
        <f>""</f>
        <v/>
      </c>
      <c r="F5899" t="str">
        <f>"APL"</f>
        <v>APL</v>
      </c>
      <c r="G5899" t="str">
        <f>""</f>
        <v/>
      </c>
      <c r="H5899" t="str">
        <f>"APLICAÇÃO EM CDB C6"</f>
        <v>APLICAÇÃO EM CDB C6</v>
      </c>
      <c r="I5899" t="str">
        <f t="shared" si="1047"/>
        <v>10/10/2025</v>
      </c>
      <c r="J5899" t="str">
        <f>("10/10/2025")</f>
        <v>10/10/2025</v>
      </c>
      <c r="K5899" t="str">
        <f>("10/10/2025")</f>
        <v>10/10/2025</v>
      </c>
      <c r="N5899">
        <v>149</v>
      </c>
      <c r="O5899" t="str">
        <f>"BANCO C6"</f>
        <v>BANCO C6</v>
      </c>
      <c r="S5899" t="str">
        <f>"BANCO C6 (149)"</f>
        <v>BANCO C6 (149)</v>
      </c>
      <c r="T5899">
        <v>22191</v>
      </c>
      <c r="U5899">
        <v>0</v>
      </c>
      <c r="V5899" t="s">
        <v>77</v>
      </c>
    </row>
    <row r="5900" spans="1:22">
      <c r="A5900" t="str">
        <f t="shared" si="1044"/>
        <v>10/10/2025</v>
      </c>
      <c r="B5900" t="str">
        <f>"ENTRADA"</f>
        <v>ENTRADA</v>
      </c>
      <c r="C5900" t="str">
        <f>"NFSE"</f>
        <v>NFSE</v>
      </c>
      <c r="D5900" t="str">
        <f>"3458"</f>
        <v>3458</v>
      </c>
      <c r="E5900" t="str">
        <f>"1"</f>
        <v>1</v>
      </c>
      <c r="F5900" t="str">
        <f>"COM"</f>
        <v>COM</v>
      </c>
      <c r="G5900" t="str">
        <f>"DROGARIA TOTAL JUNDIAI (10177)"</f>
        <v>DROGARIA TOTAL JUNDIAI (10177)</v>
      </c>
      <c r="H5900" t="str">
        <f>"Serv.Prest. 29/09/2025 a 05/10/2025 - RPS: 1334 - NFSe: 3458"</f>
        <v>Serv.Prest. 29/09/2025 a 05/10/2025 - RPS: 1334 - NFSe: 3458</v>
      </c>
      <c r="I5900" t="str">
        <f>("08/10/2025")</f>
        <v>08/10/2025</v>
      </c>
      <c r="J5900" t="str">
        <f>("06/10/2025")</f>
        <v>06/10/2025</v>
      </c>
      <c r="K5900" t="str">
        <f>("10/10/2025")</f>
        <v>10/10/2025</v>
      </c>
      <c r="L5900">
        <v>902.42</v>
      </c>
      <c r="M5900">
        <v>920.76</v>
      </c>
      <c r="N5900">
        <v>303</v>
      </c>
      <c r="O5900" t="str">
        <f>"RECEITAS COM ENTREGAS"</f>
        <v>RECEITAS COM ENTREGAS</v>
      </c>
      <c r="P5900">
        <v>920.76</v>
      </c>
      <c r="S5900" t="str">
        <f>"RECEITAS COM ENTREGAS (303)"</f>
        <v>RECEITAS COM ENTREGAS (303)</v>
      </c>
      <c r="T5900">
        <v>22499</v>
      </c>
      <c r="U5900">
        <v>22865</v>
      </c>
      <c r="V5900" t="s">
        <v>22</v>
      </c>
    </row>
    <row r="5901" spans="1:22">
      <c r="A5901" t="str">
        <f t="shared" si="1044"/>
        <v>10/10/2025</v>
      </c>
      <c r="B5901" t="str">
        <f>"ENTRADA"</f>
        <v>ENTRADA</v>
      </c>
      <c r="C5901" t="str">
        <f>"NFSE"</f>
        <v>NFSE</v>
      </c>
      <c r="D5901" t="str">
        <f>"3458"</f>
        <v>3458</v>
      </c>
      <c r="E5901" t="str">
        <f>"1"</f>
        <v>1</v>
      </c>
      <c r="F5901" t="str">
        <f>"COM"</f>
        <v>COM</v>
      </c>
      <c r="G5901" t="str">
        <f>"DROGARIA TOTAL JUNDIAI (10177)"</f>
        <v>DROGARIA TOTAL JUNDIAI (10177)</v>
      </c>
      <c r="H5901" t="s">
        <v>1599</v>
      </c>
      <c r="I5901" t="str">
        <f>("08/10/2025")</f>
        <v>08/10/2025</v>
      </c>
      <c r="J5901" t="str">
        <f>("06/10/2025")</f>
        <v>06/10/2025</v>
      </c>
      <c r="K5901">
        <v>45940</v>
      </c>
      <c r="N5901">
        <v>303</v>
      </c>
      <c r="O5901" t="s">
        <v>69</v>
      </c>
      <c r="Q5901">
        <v>920.76</v>
      </c>
      <c r="R5901" t="str">
        <f>"DROGARIA TOTAL JUNDIAI (10177)"</f>
        <v>DROGARIA TOTAL JUNDIAI (10177)</v>
      </c>
      <c r="S5901" t="s">
        <v>70</v>
      </c>
      <c r="T5901">
        <v>22499</v>
      </c>
      <c r="U5901">
        <v>22865</v>
      </c>
      <c r="V5901" t="s">
        <v>22</v>
      </c>
    </row>
    <row r="5902" spans="1:22">
      <c r="A5902" t="str">
        <f t="shared" si="1044"/>
        <v>10/10/2025</v>
      </c>
      <c r="B5902" t="str">
        <f>"SAÍDA"</f>
        <v>SAÍDA</v>
      </c>
      <c r="C5902" t="str">
        <f>"TRANSFERENCIA"</f>
        <v>TRANSFERENCIA</v>
      </c>
      <c r="D5902" t="str">
        <f>""</f>
        <v/>
      </c>
      <c r="F5902" t="str">
        <f>"TRF"</f>
        <v>TRF</v>
      </c>
      <c r="G5902" t="str">
        <f>""</f>
        <v/>
      </c>
      <c r="H5902" t="str">
        <f>"TRANSFERENCIA ENTRE BANCOS  (102-&gt;149)"</f>
        <v>TRANSFERENCIA ENTRE BANCOS  (102-&gt;149)</v>
      </c>
      <c r="I5902" t="str">
        <f t="shared" ref="I5902:K5903" si="1048">("10/10/2025")</f>
        <v>10/10/2025</v>
      </c>
      <c r="J5902" t="str">
        <f t="shared" si="1048"/>
        <v>10/10/2025</v>
      </c>
      <c r="K5902" t="str">
        <f t="shared" si="1048"/>
        <v>10/10/2025</v>
      </c>
      <c r="N5902">
        <v>102</v>
      </c>
      <c r="O5902" t="str">
        <f>"BANCO CORA"</f>
        <v>BANCO CORA</v>
      </c>
      <c r="P5902">
        <v>15000</v>
      </c>
      <c r="S5902" t="str">
        <f>"BANCO CORA (102)"</f>
        <v>BANCO CORA (102)</v>
      </c>
      <c r="T5902">
        <v>22500</v>
      </c>
      <c r="U5902">
        <v>0</v>
      </c>
      <c r="V5902" t="s">
        <v>22</v>
      </c>
    </row>
    <row r="5903" spans="1:22">
      <c r="A5903" t="str">
        <f t="shared" si="1044"/>
        <v>10/10/2025</v>
      </c>
      <c r="B5903" t="str">
        <f>"ENTRADA"</f>
        <v>ENTRADA</v>
      </c>
      <c r="C5903" t="str">
        <f>"TRANSFERENCIA"</f>
        <v>TRANSFERENCIA</v>
      </c>
      <c r="D5903" t="str">
        <f>""</f>
        <v/>
      </c>
      <c r="F5903" t="str">
        <f>"TRF"</f>
        <v>TRF</v>
      </c>
      <c r="G5903" t="str">
        <f>""</f>
        <v/>
      </c>
      <c r="H5903" t="str">
        <f>"TRANSFERENCIA ENTRE BANCOS  (102-&gt;149)"</f>
        <v>TRANSFERENCIA ENTRE BANCOS  (102-&gt;149)</v>
      </c>
      <c r="I5903" t="str">
        <f t="shared" si="1048"/>
        <v>10/10/2025</v>
      </c>
      <c r="J5903" t="str">
        <f t="shared" si="1048"/>
        <v>10/10/2025</v>
      </c>
      <c r="K5903" t="str">
        <f t="shared" si="1048"/>
        <v>10/10/2025</v>
      </c>
      <c r="N5903">
        <v>149</v>
      </c>
      <c r="O5903" t="str">
        <f>"BANCO C6"</f>
        <v>BANCO C6</v>
      </c>
      <c r="S5903" t="str">
        <f>"BANCO C6 (149)"</f>
        <v>BANCO C6 (149)</v>
      </c>
      <c r="T5903">
        <v>22500</v>
      </c>
      <c r="U5903">
        <v>0</v>
      </c>
      <c r="V5903" t="s">
        <v>77</v>
      </c>
    </row>
    <row r="5904" spans="1:22">
      <c r="A5904" t="str">
        <f>("11/10/2025")</f>
        <v>11/10/2025</v>
      </c>
      <c r="B5904" t="str">
        <f t="shared" ref="B5904:B5931" si="1049">"SAÍDA"</f>
        <v>SAÍDA</v>
      </c>
      <c r="C5904" t="str">
        <f t="shared" ref="C5904:C5931" si="1050">"PIX"</f>
        <v>PIX</v>
      </c>
      <c r="D5904" t="str">
        <f>"23787"</f>
        <v>23787</v>
      </c>
      <c r="E5904" t="str">
        <f t="shared" ref="E5904:E5911" si="1051">"1"</f>
        <v>1</v>
      </c>
      <c r="F5904" t="str">
        <f t="shared" ref="F5904:F5967" si="1052">"COM"</f>
        <v>COM</v>
      </c>
      <c r="G5904" t="str">
        <f>"WILLIAM DA SILVA COSTA (655)"</f>
        <v>WILLIAM DA SILVA COSTA (655)</v>
      </c>
      <c r="H5904" t="str">
        <f>"PAGO PARA ULISSES SOUSA SANTOS - Serv.Prest. 06/10/2025 a 12/10/2025"</f>
        <v>PAGO PARA ULISSES SOUSA SANTOS - Serv.Prest. 06/10/2025 a 12/10/2025</v>
      </c>
      <c r="I5904" t="str">
        <f t="shared" ref="I5904:I5911" si="1053">("16/10/2025")</f>
        <v>16/10/2025</v>
      </c>
      <c r="J5904" t="str">
        <f>("14/10/2025")</f>
        <v>14/10/2025</v>
      </c>
      <c r="K5904" t="str">
        <f>("11/10/2025")</f>
        <v>11/10/2025</v>
      </c>
      <c r="L5904">
        <v>172</v>
      </c>
      <c r="M5904">
        <v>300</v>
      </c>
      <c r="N5904">
        <v>134</v>
      </c>
      <c r="O5904" t="str">
        <f>"DIARIA DE MOTOBOY"</f>
        <v>DIARIA DE MOTOBOY</v>
      </c>
      <c r="P5904">
        <v>300</v>
      </c>
      <c r="S5904" t="str">
        <f>"BANCO CORA (102)"</f>
        <v>BANCO CORA (102)</v>
      </c>
      <c r="T5904">
        <v>19609</v>
      </c>
      <c r="U5904">
        <v>23828</v>
      </c>
      <c r="V5904" t="s">
        <v>22</v>
      </c>
    </row>
    <row r="5905" spans="1:22">
      <c r="A5905" t="str">
        <f>("11/10/2025")</f>
        <v>11/10/2025</v>
      </c>
      <c r="B5905" t="str">
        <f t="shared" si="1049"/>
        <v>SAÍDA</v>
      </c>
      <c r="C5905" t="str">
        <f t="shared" si="1050"/>
        <v>PIX</v>
      </c>
      <c r="D5905" t="str">
        <f>"23787"</f>
        <v>23787</v>
      </c>
      <c r="E5905" t="str">
        <f t="shared" si="1051"/>
        <v>1</v>
      </c>
      <c r="F5905" t="str">
        <f t="shared" si="1052"/>
        <v>COM</v>
      </c>
      <c r="G5905" t="str">
        <f>"WILLIAM DA SILVA COSTA (655)"</f>
        <v>WILLIAM DA SILVA COSTA (655)</v>
      </c>
      <c r="H5905" t="s">
        <v>1597</v>
      </c>
      <c r="I5905" t="str">
        <f t="shared" si="1053"/>
        <v>16/10/2025</v>
      </c>
      <c r="J5905" t="str">
        <f>("14/10/2025")</f>
        <v>14/10/2025</v>
      </c>
      <c r="K5905">
        <v>45941</v>
      </c>
      <c r="N5905">
        <v>134</v>
      </c>
      <c r="O5905" t="s">
        <v>41</v>
      </c>
      <c r="Q5905">
        <v>300</v>
      </c>
      <c r="R5905" t="str">
        <f>"FARMACIA ECONOMIZE (10103)"</f>
        <v>FARMACIA ECONOMIZE (10103)</v>
      </c>
      <c r="S5905" t="s">
        <v>22</v>
      </c>
      <c r="T5905">
        <v>19609</v>
      </c>
      <c r="U5905">
        <v>23828</v>
      </c>
      <c r="V5905" t="s">
        <v>22</v>
      </c>
    </row>
    <row r="5906" spans="1:22">
      <c r="A5906" t="str">
        <f>("12/10/2025")</f>
        <v>12/10/2025</v>
      </c>
      <c r="B5906" t="str">
        <f t="shared" si="1049"/>
        <v>SAÍDA</v>
      </c>
      <c r="C5906" t="str">
        <f t="shared" si="1050"/>
        <v>PIX</v>
      </c>
      <c r="D5906" t="str">
        <f>"23567"</f>
        <v>23567</v>
      </c>
      <c r="E5906" t="str">
        <f t="shared" si="1051"/>
        <v>1</v>
      </c>
      <c r="F5906" t="str">
        <f t="shared" si="1052"/>
        <v>COM</v>
      </c>
      <c r="G5906" t="str">
        <f>"SAMUEL SOARES DA SILVA (867)"</f>
        <v>SAMUEL SOARES DA SILVA (867)</v>
      </c>
      <c r="H5906" t="str">
        <f>"Serv.Prest. 06/10/2025 a 12/10/2025 - PIX: CPF - CHAVE: 396.124.108-28"</f>
        <v>Serv.Prest. 06/10/2025 a 12/10/2025 - PIX: CPF - CHAVE: 396.124.108-28</v>
      </c>
      <c r="I5906" t="str">
        <f t="shared" si="1053"/>
        <v>16/10/2025</v>
      </c>
      <c r="J5906" t="str">
        <f>("13/10/2025")</f>
        <v>13/10/2025</v>
      </c>
      <c r="K5906" t="str">
        <f>("12/10/2025")</f>
        <v>12/10/2025</v>
      </c>
      <c r="L5906">
        <v>140</v>
      </c>
      <c r="M5906">
        <v>140</v>
      </c>
      <c r="N5906">
        <v>109</v>
      </c>
      <c r="O5906" t="str">
        <f>"PAGAMENTO DE ENTREGADORES"</f>
        <v>PAGAMENTO DE ENTREGADORES</v>
      </c>
      <c r="P5906">
        <v>140</v>
      </c>
      <c r="S5906" t="str">
        <f>"BANCO CORA (102)"</f>
        <v>BANCO CORA (102)</v>
      </c>
      <c r="T5906">
        <v>19563</v>
      </c>
      <c r="U5906">
        <v>23775</v>
      </c>
      <c r="V5906" t="s">
        <v>22</v>
      </c>
    </row>
    <row r="5907" spans="1:22">
      <c r="A5907" t="str">
        <f>("12/10/2025")</f>
        <v>12/10/2025</v>
      </c>
      <c r="B5907" t="str">
        <f t="shared" si="1049"/>
        <v>SAÍDA</v>
      </c>
      <c r="C5907" t="str">
        <f t="shared" si="1050"/>
        <v>PIX</v>
      </c>
      <c r="D5907" t="str">
        <f>"23567"</f>
        <v>23567</v>
      </c>
      <c r="E5907" t="str">
        <f t="shared" si="1051"/>
        <v>1</v>
      </c>
      <c r="F5907" t="str">
        <f t="shared" si="1052"/>
        <v>COM</v>
      </c>
      <c r="G5907" t="str">
        <f>"SAMUEL SOARES DA SILVA (867)"</f>
        <v>SAMUEL SOARES DA SILVA (867)</v>
      </c>
      <c r="H5907" t="s">
        <v>1600</v>
      </c>
      <c r="I5907" t="str">
        <f t="shared" si="1053"/>
        <v>16/10/2025</v>
      </c>
      <c r="J5907" t="str">
        <f>("13/10/2025")</f>
        <v>13/10/2025</v>
      </c>
      <c r="K5907">
        <v>45942</v>
      </c>
      <c r="N5907">
        <v>109</v>
      </c>
      <c r="O5907" t="s">
        <v>24</v>
      </c>
      <c r="Q5907">
        <v>140</v>
      </c>
      <c r="R5907" t="str">
        <f>"DROGA ELIDA (10121)"</f>
        <v>DROGA ELIDA (10121)</v>
      </c>
      <c r="S5907" t="s">
        <v>22</v>
      </c>
      <c r="T5907">
        <v>19563</v>
      </c>
      <c r="U5907">
        <v>23775</v>
      </c>
      <c r="V5907" t="s">
        <v>22</v>
      </c>
    </row>
    <row r="5908" spans="1:22">
      <c r="A5908" t="str">
        <f>("12/10/2025")</f>
        <v>12/10/2025</v>
      </c>
      <c r="B5908" t="str">
        <f t="shared" si="1049"/>
        <v>SAÍDA</v>
      </c>
      <c r="C5908" t="str">
        <f t="shared" si="1050"/>
        <v>PIX</v>
      </c>
      <c r="D5908" t="str">
        <f>"23614"</f>
        <v>23614</v>
      </c>
      <c r="E5908" t="str">
        <f t="shared" si="1051"/>
        <v>1</v>
      </c>
      <c r="F5908" t="str">
        <f t="shared" si="1052"/>
        <v>COM</v>
      </c>
      <c r="G5908" t="str">
        <f>"IVO SIMÃO FILHO (988)"</f>
        <v>IVO SIMÃO FILHO (988)</v>
      </c>
      <c r="H5908" t="str">
        <f>"Serv.Prest. 06/10/2025 a 12/10/2025 - PIX: CPF - CHAVE: 290.093.188-69"</f>
        <v>Serv.Prest. 06/10/2025 a 12/10/2025 - PIX: CPF - CHAVE: 290.093.188-69</v>
      </c>
      <c r="I5908" t="str">
        <f t="shared" si="1053"/>
        <v>16/10/2025</v>
      </c>
      <c r="J5908" t="str">
        <f>("14/10/2025")</f>
        <v>14/10/2025</v>
      </c>
      <c r="K5908" t="str">
        <f>("12/10/2025")</f>
        <v>12/10/2025</v>
      </c>
      <c r="L5908">
        <v>200</v>
      </c>
      <c r="M5908">
        <v>200</v>
      </c>
      <c r="N5908">
        <v>109</v>
      </c>
      <c r="O5908" t="str">
        <f>"PAGAMENTO DE ENTREGADORES"</f>
        <v>PAGAMENTO DE ENTREGADORES</v>
      </c>
      <c r="P5908">
        <v>200</v>
      </c>
      <c r="S5908" t="str">
        <f>"BANCO CORA (102)"</f>
        <v>BANCO CORA (102)</v>
      </c>
      <c r="T5908">
        <v>19570</v>
      </c>
      <c r="U5908">
        <v>23614</v>
      </c>
      <c r="V5908" t="s">
        <v>22</v>
      </c>
    </row>
    <row r="5909" spans="1:22">
      <c r="A5909" t="str">
        <f>("12/10/2025")</f>
        <v>12/10/2025</v>
      </c>
      <c r="B5909" t="str">
        <f t="shared" si="1049"/>
        <v>SAÍDA</v>
      </c>
      <c r="C5909" t="str">
        <f t="shared" si="1050"/>
        <v>PIX</v>
      </c>
      <c r="D5909" t="str">
        <f>"23614"</f>
        <v>23614</v>
      </c>
      <c r="E5909" t="str">
        <f t="shared" si="1051"/>
        <v>1</v>
      </c>
      <c r="F5909" t="str">
        <f t="shared" si="1052"/>
        <v>COM</v>
      </c>
      <c r="G5909" t="str">
        <f>"IVO SIMÃO FILHO (988)"</f>
        <v>IVO SIMÃO FILHO (988)</v>
      </c>
      <c r="H5909" t="s">
        <v>1601</v>
      </c>
      <c r="I5909" t="str">
        <f t="shared" si="1053"/>
        <v>16/10/2025</v>
      </c>
      <c r="J5909" t="str">
        <f>("14/10/2025")</f>
        <v>14/10/2025</v>
      </c>
      <c r="K5909">
        <v>45942</v>
      </c>
      <c r="N5909">
        <v>109</v>
      </c>
      <c r="O5909" t="s">
        <v>24</v>
      </c>
      <c r="Q5909">
        <v>200</v>
      </c>
      <c r="R5909" t="str">
        <f>"PENSE FARMA 22 (10198)"</f>
        <v>PENSE FARMA 22 (10198)</v>
      </c>
      <c r="S5909" t="s">
        <v>22</v>
      </c>
      <c r="T5909">
        <v>19570</v>
      </c>
      <c r="U5909">
        <v>23614</v>
      </c>
      <c r="V5909" t="s">
        <v>22</v>
      </c>
    </row>
    <row r="5910" spans="1:22">
      <c r="A5910" t="str">
        <f t="shared" ref="A5910:A5927" si="1054">("13/10/2025")</f>
        <v>13/10/2025</v>
      </c>
      <c r="B5910" t="str">
        <f t="shared" si="1049"/>
        <v>SAÍDA</v>
      </c>
      <c r="C5910" t="str">
        <f t="shared" si="1050"/>
        <v>PIX</v>
      </c>
      <c r="D5910" t="str">
        <f>"23575"</f>
        <v>23575</v>
      </c>
      <c r="E5910" t="str">
        <f t="shared" si="1051"/>
        <v>1</v>
      </c>
      <c r="F5910" t="str">
        <f t="shared" si="1052"/>
        <v>COM</v>
      </c>
      <c r="G5910" t="str">
        <f>"BRENO HENRIQUE DE SOUSA (596)"</f>
        <v>BRENO HENRIQUE DE SOUSA (596)</v>
      </c>
      <c r="H5910" t="str">
        <f>"Serv.Prest. 06/10/2025 a 12/10/2025 - PIX: CELULAR - CHAVE: (37) 99146-2630"</f>
        <v>Serv.Prest. 06/10/2025 a 12/10/2025 - PIX: CELULAR - CHAVE: (37) 99146-2630</v>
      </c>
      <c r="I5910" t="str">
        <f t="shared" si="1053"/>
        <v>16/10/2025</v>
      </c>
      <c r="J5910" t="str">
        <f>("13/10/2025")</f>
        <v>13/10/2025</v>
      </c>
      <c r="K5910" t="str">
        <f>("13/10/2025")</f>
        <v>13/10/2025</v>
      </c>
      <c r="L5910">
        <v>150</v>
      </c>
      <c r="M5910">
        <v>150</v>
      </c>
      <c r="N5910">
        <v>109</v>
      </c>
      <c r="O5910" t="str">
        <f>"PAGAMENTO DE ENTREGADORES"</f>
        <v>PAGAMENTO DE ENTREGADORES</v>
      </c>
      <c r="P5910">
        <v>150</v>
      </c>
      <c r="S5910" t="str">
        <f>"BANCO CORA (102)"</f>
        <v>BANCO CORA (102)</v>
      </c>
      <c r="T5910">
        <v>19545</v>
      </c>
      <c r="U5910">
        <v>23581</v>
      </c>
      <c r="V5910" t="s">
        <v>22</v>
      </c>
    </row>
    <row r="5911" spans="1:22">
      <c r="A5911" t="str">
        <f t="shared" si="1054"/>
        <v>13/10/2025</v>
      </c>
      <c r="B5911" t="str">
        <f t="shared" si="1049"/>
        <v>SAÍDA</v>
      </c>
      <c r="C5911" t="str">
        <f t="shared" si="1050"/>
        <v>PIX</v>
      </c>
      <c r="D5911" t="str">
        <f>"23575"</f>
        <v>23575</v>
      </c>
      <c r="E5911" t="str">
        <f t="shared" si="1051"/>
        <v>1</v>
      </c>
      <c r="F5911" t="str">
        <f t="shared" si="1052"/>
        <v>COM</v>
      </c>
      <c r="G5911" t="str">
        <f>"BRENO HENRIQUE DE SOUSA (596)"</f>
        <v>BRENO HENRIQUE DE SOUSA (596)</v>
      </c>
      <c r="H5911" t="s">
        <v>1602</v>
      </c>
      <c r="I5911" t="str">
        <f t="shared" si="1053"/>
        <v>16/10/2025</v>
      </c>
      <c r="J5911" t="str">
        <f>("13/10/2025")</f>
        <v>13/10/2025</v>
      </c>
      <c r="K5911">
        <v>45943</v>
      </c>
      <c r="N5911">
        <v>109</v>
      </c>
      <c r="O5911" t="s">
        <v>24</v>
      </c>
      <c r="Q5911">
        <v>150</v>
      </c>
      <c r="R5911" t="str">
        <f>"DROGARIA POUPA MINAS (ULTRAMINAS) 1 (10181)"</f>
        <v>DROGARIA POUPA MINAS (ULTRAMINAS) 1 (10181)</v>
      </c>
      <c r="S5911" t="s">
        <v>22</v>
      </c>
      <c r="T5911">
        <v>19545</v>
      </c>
      <c r="U5911">
        <v>23581</v>
      </c>
      <c r="V5911" t="s">
        <v>22</v>
      </c>
    </row>
    <row r="5912" spans="1:22">
      <c r="A5912" t="str">
        <f t="shared" si="1054"/>
        <v>13/10/2025</v>
      </c>
      <c r="B5912" t="str">
        <f t="shared" si="1049"/>
        <v>SAÍDA</v>
      </c>
      <c r="C5912" t="str">
        <f t="shared" si="1050"/>
        <v>PIX</v>
      </c>
      <c r="D5912" t="str">
        <f>"1310"</f>
        <v>1310</v>
      </c>
      <c r="E5912" t="str">
        <f>"25"</f>
        <v>25</v>
      </c>
      <c r="F5912" t="str">
        <f t="shared" si="1052"/>
        <v>COM</v>
      </c>
      <c r="G5912" t="str">
        <f>"ELIO CALDEIRA RIBEIRO JUNIOR (840)"</f>
        <v>ELIO CALDEIRA RIBEIRO JUNIOR (840)</v>
      </c>
      <c r="H5912" t="str">
        <f>"ADIANTAMENTO"</f>
        <v>ADIANTAMENTO</v>
      </c>
      <c r="I5912" t="str">
        <f>("13/10/2025")</f>
        <v>13/10/2025</v>
      </c>
      <c r="J5912" t="str">
        <f>("13/10/2025")</f>
        <v>13/10/2025</v>
      </c>
      <c r="K5912" t="str">
        <f>("13/10/2025")</f>
        <v>13/10/2025</v>
      </c>
      <c r="L5912">
        <v>600</v>
      </c>
      <c r="M5912">
        <v>600</v>
      </c>
      <c r="N5912">
        <v>5000</v>
      </c>
      <c r="O5912" t="str">
        <f>"SOLICITACAO DE ADIANTAMENTO"</f>
        <v>SOLICITACAO DE ADIANTAMENTO</v>
      </c>
      <c r="P5912">
        <v>600</v>
      </c>
      <c r="S5912" t="str">
        <f>"BANCO CORA (102)"</f>
        <v>BANCO CORA (102)</v>
      </c>
      <c r="T5912">
        <v>19546</v>
      </c>
      <c r="U5912">
        <v>23582</v>
      </c>
      <c r="V5912" t="s">
        <v>22</v>
      </c>
    </row>
    <row r="5913" spans="1:22">
      <c r="A5913" t="str">
        <f t="shared" si="1054"/>
        <v>13/10/2025</v>
      </c>
      <c r="B5913" t="str">
        <f t="shared" si="1049"/>
        <v>SAÍDA</v>
      </c>
      <c r="C5913" t="str">
        <f t="shared" si="1050"/>
        <v>PIX</v>
      </c>
      <c r="D5913" t="str">
        <f>"1310"</f>
        <v>1310</v>
      </c>
      <c r="E5913" t="str">
        <f>"25"</f>
        <v>25</v>
      </c>
      <c r="F5913" t="str">
        <f t="shared" si="1052"/>
        <v>COM</v>
      </c>
      <c r="G5913" t="str">
        <f>"ELIO CALDEIRA RIBEIRO JUNIOR (840)"</f>
        <v>ELIO CALDEIRA RIBEIRO JUNIOR (840)</v>
      </c>
      <c r="H5913" t="s">
        <v>85</v>
      </c>
      <c r="I5913" t="str">
        <f>("13/10/2025")</f>
        <v>13/10/2025</v>
      </c>
      <c r="J5913" t="str">
        <f>("13/10/2025")</f>
        <v>13/10/2025</v>
      </c>
      <c r="K5913">
        <v>45943</v>
      </c>
      <c r="N5913">
        <v>5000</v>
      </c>
      <c r="O5913" t="s">
        <v>86</v>
      </c>
      <c r="Q5913">
        <v>600</v>
      </c>
      <c r="R5913" t="str">
        <f>"ELIO CALDEIRA RIBEIRO JUNIOR (840)"</f>
        <v>ELIO CALDEIRA RIBEIRO JUNIOR (840)</v>
      </c>
      <c r="S5913" t="s">
        <v>22</v>
      </c>
      <c r="T5913">
        <v>19546</v>
      </c>
      <c r="U5913">
        <v>23582</v>
      </c>
      <c r="V5913" t="s">
        <v>22</v>
      </c>
    </row>
    <row r="5914" spans="1:22">
      <c r="A5914" t="str">
        <f t="shared" si="1054"/>
        <v>13/10/2025</v>
      </c>
      <c r="B5914" t="str">
        <f t="shared" si="1049"/>
        <v>SAÍDA</v>
      </c>
      <c r="C5914" t="str">
        <f t="shared" si="1050"/>
        <v>PIX</v>
      </c>
      <c r="D5914" t="str">
        <f>"23623"</f>
        <v>23623</v>
      </c>
      <c r="E5914" t="str">
        <f>"1"</f>
        <v>1</v>
      </c>
      <c r="F5914" t="str">
        <f t="shared" si="1052"/>
        <v>COM</v>
      </c>
      <c r="G5914" t="str">
        <f>"HIGOR HENRIQUE DOS SANTOS (986)"</f>
        <v>HIGOR HENRIQUE DOS SANTOS (986)</v>
      </c>
      <c r="H5914" t="str">
        <f>"Serv.Prest. 06/10/2025 a 12/10/2025 - PIX: E-MAIL - CHAVE: higor.180@hotmail.com"</f>
        <v>Serv.Prest. 06/10/2025 a 12/10/2025 - PIX: E-MAIL - CHAVE: higor.180@hotmail.com</v>
      </c>
      <c r="I5914" t="str">
        <f>("16/10/2025")</f>
        <v>16/10/2025</v>
      </c>
      <c r="J5914" t="str">
        <f>("14/10/2025")</f>
        <v>14/10/2025</v>
      </c>
      <c r="K5914" t="str">
        <f>("13/10/2025")</f>
        <v>13/10/2025</v>
      </c>
      <c r="L5914">
        <v>200</v>
      </c>
      <c r="M5914">
        <v>200</v>
      </c>
      <c r="N5914">
        <v>109</v>
      </c>
      <c r="O5914" t="str">
        <f>"PAGAMENTO DE ENTREGADORES"</f>
        <v>PAGAMENTO DE ENTREGADORES</v>
      </c>
      <c r="P5914">
        <v>200</v>
      </c>
      <c r="S5914" t="str">
        <f>"BANCO CORA (102)"</f>
        <v>BANCO CORA (102)</v>
      </c>
      <c r="T5914">
        <v>19562</v>
      </c>
      <c r="U5914">
        <v>23623</v>
      </c>
      <c r="V5914" t="s">
        <v>22</v>
      </c>
    </row>
    <row r="5915" spans="1:22">
      <c r="A5915" t="str">
        <f t="shared" si="1054"/>
        <v>13/10/2025</v>
      </c>
      <c r="B5915" t="str">
        <f t="shared" si="1049"/>
        <v>SAÍDA</v>
      </c>
      <c r="C5915" t="str">
        <f t="shared" si="1050"/>
        <v>PIX</v>
      </c>
      <c r="D5915" t="str">
        <f>"23623"</f>
        <v>23623</v>
      </c>
      <c r="E5915" t="str">
        <f>"1"</f>
        <v>1</v>
      </c>
      <c r="F5915" t="str">
        <f t="shared" si="1052"/>
        <v>COM</v>
      </c>
      <c r="G5915" t="str">
        <f>"HIGOR HENRIQUE DOS SANTOS (986)"</f>
        <v>HIGOR HENRIQUE DOS SANTOS (986)</v>
      </c>
      <c r="H5915" t="s">
        <v>1603</v>
      </c>
      <c r="I5915" t="str">
        <f>("16/10/2025")</f>
        <v>16/10/2025</v>
      </c>
      <c r="J5915" t="str">
        <f>("14/10/2025")</f>
        <v>14/10/2025</v>
      </c>
      <c r="K5915">
        <v>45943</v>
      </c>
      <c r="N5915">
        <v>109</v>
      </c>
      <c r="O5915" t="s">
        <v>24</v>
      </c>
      <c r="Q5915">
        <v>200</v>
      </c>
      <c r="R5915" t="str">
        <f>"PENSE FARMA 46 (10194)"</f>
        <v>PENSE FARMA 46 (10194)</v>
      </c>
      <c r="S5915" t="s">
        <v>22</v>
      </c>
      <c r="T5915">
        <v>19562</v>
      </c>
      <c r="U5915">
        <v>23623</v>
      </c>
      <c r="V5915" t="s">
        <v>22</v>
      </c>
    </row>
    <row r="5916" spans="1:22">
      <c r="A5916" t="str">
        <f t="shared" si="1054"/>
        <v>13/10/2025</v>
      </c>
      <c r="B5916" t="str">
        <f t="shared" si="1049"/>
        <v>SAÍDA</v>
      </c>
      <c r="C5916" t="str">
        <f t="shared" si="1050"/>
        <v>PIX</v>
      </c>
      <c r="D5916" t="str">
        <f>"23592"</f>
        <v>23592</v>
      </c>
      <c r="E5916" t="str">
        <f>"1"</f>
        <v>1</v>
      </c>
      <c r="F5916" t="str">
        <f t="shared" si="1052"/>
        <v>COM</v>
      </c>
      <c r="G5916" t="str">
        <f>"ITALO GONÇALVES (974)"</f>
        <v>ITALO GONÇALVES (974)</v>
      </c>
      <c r="H5916" t="str">
        <f>"Serv.Prest. 06/10/2025 a 12/10/2025 - PIX: CELULAR - CHAVE: (11) 99220-4018"</f>
        <v>Serv.Prest. 06/10/2025 a 12/10/2025 - PIX: CELULAR - CHAVE: (11) 99220-4018</v>
      </c>
      <c r="I5916" t="str">
        <f>("16/10/2025")</f>
        <v>16/10/2025</v>
      </c>
      <c r="J5916" t="str">
        <f>("13/10/2025")</f>
        <v>13/10/2025</v>
      </c>
      <c r="K5916" t="str">
        <f>("13/10/2025")</f>
        <v>13/10/2025</v>
      </c>
      <c r="L5916">
        <v>170</v>
      </c>
      <c r="M5916">
        <v>170</v>
      </c>
      <c r="N5916">
        <v>109</v>
      </c>
      <c r="O5916" t="str">
        <f>"PAGAMENTO DE ENTREGADORES"</f>
        <v>PAGAMENTO DE ENTREGADORES</v>
      </c>
      <c r="P5916">
        <v>170</v>
      </c>
      <c r="S5916" t="str">
        <f>"BANCO CORA (102)"</f>
        <v>BANCO CORA (102)</v>
      </c>
      <c r="T5916">
        <v>19568</v>
      </c>
      <c r="U5916">
        <v>23592</v>
      </c>
      <c r="V5916" t="s">
        <v>22</v>
      </c>
    </row>
    <row r="5917" spans="1:22">
      <c r="A5917" t="str">
        <f t="shared" si="1054"/>
        <v>13/10/2025</v>
      </c>
      <c r="B5917" t="str">
        <f t="shared" si="1049"/>
        <v>SAÍDA</v>
      </c>
      <c r="C5917" t="str">
        <f t="shared" si="1050"/>
        <v>PIX</v>
      </c>
      <c r="D5917" t="str">
        <f>"23592"</f>
        <v>23592</v>
      </c>
      <c r="E5917" t="str">
        <f>"1"</f>
        <v>1</v>
      </c>
      <c r="F5917" t="str">
        <f t="shared" si="1052"/>
        <v>COM</v>
      </c>
      <c r="G5917" t="str">
        <f>"ITALO GONÇALVES (974)"</f>
        <v>ITALO GONÇALVES (974)</v>
      </c>
      <c r="H5917" t="s">
        <v>1604</v>
      </c>
      <c r="I5917" t="str">
        <f>("16/10/2025")</f>
        <v>16/10/2025</v>
      </c>
      <c r="J5917" t="str">
        <f>("13/10/2025")</f>
        <v>13/10/2025</v>
      </c>
      <c r="K5917">
        <v>45943</v>
      </c>
      <c r="N5917">
        <v>109</v>
      </c>
      <c r="O5917" t="s">
        <v>24</v>
      </c>
      <c r="Q5917">
        <v>170</v>
      </c>
      <c r="R5917" t="str">
        <f>"PENSE FARMA 15 (10195)"</f>
        <v>PENSE FARMA 15 (10195)</v>
      </c>
      <c r="S5917" t="s">
        <v>22</v>
      </c>
      <c r="T5917">
        <v>19568</v>
      </c>
      <c r="U5917">
        <v>23592</v>
      </c>
      <c r="V5917" t="s">
        <v>22</v>
      </c>
    </row>
    <row r="5918" spans="1:22">
      <c r="A5918" t="str">
        <f t="shared" si="1054"/>
        <v>13/10/2025</v>
      </c>
      <c r="B5918" t="str">
        <f t="shared" si="1049"/>
        <v>SAÍDA</v>
      </c>
      <c r="C5918" t="str">
        <f t="shared" si="1050"/>
        <v>PIX</v>
      </c>
      <c r="D5918" t="str">
        <f>"131025139"</f>
        <v>131025139</v>
      </c>
      <c r="E5918" t="str">
        <f>"6"</f>
        <v>6</v>
      </c>
      <c r="F5918" t="str">
        <f t="shared" si="1052"/>
        <v>COM</v>
      </c>
      <c r="G5918" t="str">
        <f>"GUSTAVO CESAR DE REZENDE (20060)"</f>
        <v>GUSTAVO CESAR DE REZENDE (20060)</v>
      </c>
      <c r="H5918" t="str">
        <f>"REEMBOLSO MENSALIDADE PACOTE ADOBE"</f>
        <v>REEMBOLSO MENSALIDADE PACOTE ADOBE</v>
      </c>
      <c r="I5918" t="str">
        <f t="shared" ref="I5918:I5925" si="1055">("13/10/2025")</f>
        <v>13/10/2025</v>
      </c>
      <c r="J5918" t="str">
        <f>("01/05/2025")</f>
        <v>01/05/2025</v>
      </c>
      <c r="K5918" t="str">
        <f>("13/10/2025")</f>
        <v>13/10/2025</v>
      </c>
      <c r="L5918">
        <v>139</v>
      </c>
      <c r="M5918">
        <v>139</v>
      </c>
      <c r="N5918">
        <v>104</v>
      </c>
      <c r="O5918" t="str">
        <f>"SOFTWARE / LICENÇAS"</f>
        <v>SOFTWARE / LICENÇAS</v>
      </c>
      <c r="P5918">
        <v>139</v>
      </c>
      <c r="S5918" t="str">
        <f>"BANCO CORA (102)"</f>
        <v>BANCO CORA (102)</v>
      </c>
      <c r="T5918">
        <v>19572</v>
      </c>
      <c r="U5918">
        <v>16744</v>
      </c>
      <c r="V5918" t="s">
        <v>22</v>
      </c>
    </row>
    <row r="5919" spans="1:22">
      <c r="A5919" t="str">
        <f t="shared" si="1054"/>
        <v>13/10/2025</v>
      </c>
      <c r="B5919" t="str">
        <f t="shared" si="1049"/>
        <v>SAÍDA</v>
      </c>
      <c r="C5919" t="str">
        <f t="shared" si="1050"/>
        <v>PIX</v>
      </c>
      <c r="D5919" t="str">
        <f>"131025139"</f>
        <v>131025139</v>
      </c>
      <c r="E5919" t="str">
        <f>"6"</f>
        <v>6</v>
      </c>
      <c r="F5919" t="str">
        <f t="shared" si="1052"/>
        <v>COM</v>
      </c>
      <c r="G5919" t="str">
        <f>"GUSTAVO CESAR DE REZENDE (20060)"</f>
        <v>GUSTAVO CESAR DE REZENDE (20060)</v>
      </c>
      <c r="H5919" t="s">
        <v>368</v>
      </c>
      <c r="I5919" t="str">
        <f t="shared" si="1055"/>
        <v>13/10/2025</v>
      </c>
      <c r="J5919" t="str">
        <f>("01/05/2025")</f>
        <v>01/05/2025</v>
      </c>
      <c r="K5919">
        <v>45943</v>
      </c>
      <c r="N5919">
        <v>104</v>
      </c>
      <c r="O5919" t="s">
        <v>34</v>
      </c>
      <c r="Q5919">
        <v>139</v>
      </c>
      <c r="R5919" t="str">
        <f>"GUSTAVO CESAR DE REZENDE (20060)"</f>
        <v>GUSTAVO CESAR DE REZENDE (20060)</v>
      </c>
      <c r="S5919" t="s">
        <v>22</v>
      </c>
      <c r="T5919">
        <v>19572</v>
      </c>
      <c r="U5919">
        <v>16744</v>
      </c>
      <c r="V5919" t="s">
        <v>22</v>
      </c>
    </row>
    <row r="5920" spans="1:22">
      <c r="A5920" t="str">
        <f t="shared" si="1054"/>
        <v>13/10/2025</v>
      </c>
      <c r="B5920" t="str">
        <f t="shared" si="1049"/>
        <v>SAÍDA</v>
      </c>
      <c r="C5920" t="str">
        <f t="shared" si="1050"/>
        <v>PIX</v>
      </c>
      <c r="D5920" t="str">
        <f>"1310252750"</f>
        <v>1310252750</v>
      </c>
      <c r="E5920" t="str">
        <f>""</f>
        <v/>
      </c>
      <c r="F5920" t="str">
        <f t="shared" si="1052"/>
        <v>COM</v>
      </c>
      <c r="G5920" t="str">
        <f>"54.235.509 ROBERT MAGDIEL DE CARVALHO (20004)"</f>
        <v>54.235.509 ROBERT MAGDIEL DE CARVALHO (20004)</v>
      </c>
      <c r="H5920" t="str">
        <f>"DESENVOLVIMENTO FERRAMENTA DE IA - ANALISE DE PERFIL"</f>
        <v>DESENVOLVIMENTO FERRAMENTA DE IA - ANALISE DE PERFIL</v>
      </c>
      <c r="I5920" t="str">
        <f t="shared" si="1055"/>
        <v>13/10/2025</v>
      </c>
      <c r="J5920" t="str">
        <f>("11/09/2025")</f>
        <v>11/09/2025</v>
      </c>
      <c r="K5920" t="str">
        <f>("13/10/2025")</f>
        <v>13/10/2025</v>
      </c>
      <c r="L5920">
        <v>2750</v>
      </c>
      <c r="M5920">
        <v>2750</v>
      </c>
      <c r="N5920">
        <v>104</v>
      </c>
      <c r="O5920" t="str">
        <f>"SOFTWARE / LICENÇAS"</f>
        <v>SOFTWARE / LICENÇAS</v>
      </c>
      <c r="P5920">
        <v>2750</v>
      </c>
      <c r="S5920" t="str">
        <f>"BANCO CORA (102)"</f>
        <v>BANCO CORA (102)</v>
      </c>
      <c r="T5920">
        <v>19573</v>
      </c>
      <c r="U5920">
        <v>21924</v>
      </c>
      <c r="V5920" t="s">
        <v>22</v>
      </c>
    </row>
    <row r="5921" spans="1:22">
      <c r="A5921" t="str">
        <f t="shared" si="1054"/>
        <v>13/10/2025</v>
      </c>
      <c r="B5921" t="str">
        <f t="shared" si="1049"/>
        <v>SAÍDA</v>
      </c>
      <c r="C5921" t="str">
        <f t="shared" si="1050"/>
        <v>PIX</v>
      </c>
      <c r="D5921" t="str">
        <f>"1310252750"</f>
        <v>1310252750</v>
      </c>
      <c r="E5921" t="str">
        <f>""</f>
        <v/>
      </c>
      <c r="F5921" t="str">
        <f t="shared" si="1052"/>
        <v>COM</v>
      </c>
      <c r="G5921" t="str">
        <f>"54.235.509 ROBERT MAGDIEL DE CARVALHO (20004)"</f>
        <v>54.235.509 ROBERT MAGDIEL DE CARVALHO (20004)</v>
      </c>
      <c r="H5921" t="s">
        <v>543</v>
      </c>
      <c r="I5921" t="str">
        <f t="shared" si="1055"/>
        <v>13/10/2025</v>
      </c>
      <c r="J5921" t="str">
        <f>("11/09/2025")</f>
        <v>11/09/2025</v>
      </c>
      <c r="K5921">
        <v>45943</v>
      </c>
      <c r="N5921">
        <v>104</v>
      </c>
      <c r="O5921" t="s">
        <v>34</v>
      </c>
      <c r="Q5921">
        <v>2750</v>
      </c>
      <c r="R5921" t="str">
        <f>"54.235.509 ROBERT MAGDIEL DE CARVALHO (20004)"</f>
        <v>54.235.509 ROBERT MAGDIEL DE CARVALHO (20004)</v>
      </c>
      <c r="S5921" t="s">
        <v>22</v>
      </c>
      <c r="T5921">
        <v>19573</v>
      </c>
      <c r="U5921">
        <v>21924</v>
      </c>
      <c r="V5921" t="s">
        <v>22</v>
      </c>
    </row>
    <row r="5922" spans="1:22">
      <c r="A5922" t="str">
        <f t="shared" si="1054"/>
        <v>13/10/2025</v>
      </c>
      <c r="B5922" t="str">
        <f t="shared" si="1049"/>
        <v>SAÍDA</v>
      </c>
      <c r="C5922" t="str">
        <f t="shared" si="1050"/>
        <v>PIX</v>
      </c>
      <c r="D5922" t="str">
        <f>"14824575"</f>
        <v>14824575</v>
      </c>
      <c r="E5922" t="str">
        <f>""</f>
        <v/>
      </c>
      <c r="F5922" t="str">
        <f t="shared" si="1052"/>
        <v>COM</v>
      </c>
      <c r="G5922" t="str">
        <f>"54.235.509 ROBERT MAGDIEL DE CARVALHO (20004)"</f>
        <v>54.235.509 ROBERT MAGDIEL DE CARVALHO (20004)</v>
      </c>
      <c r="H5922" t="str">
        <f>"REEMBOLSO HOSPEDAGEM AGENTE IA CAPTAÇÃO MOTOBOYS - GOOGLE CLOUD "</f>
        <v xml:space="preserve">REEMBOLSO HOSPEDAGEM AGENTE IA CAPTAÇÃO MOTOBOYS - GOOGLE CLOUD </v>
      </c>
      <c r="I5922" t="str">
        <f t="shared" si="1055"/>
        <v>13/10/2025</v>
      </c>
      <c r="J5922" t="str">
        <f>("10/10/2025")</f>
        <v>10/10/2025</v>
      </c>
      <c r="K5922" t="str">
        <f>("13/10/2025")</f>
        <v>13/10/2025</v>
      </c>
      <c r="L5922">
        <v>95.32</v>
      </c>
      <c r="M5922">
        <v>95.32</v>
      </c>
      <c r="N5922">
        <v>104</v>
      </c>
      <c r="O5922" t="str">
        <f>"SOFTWARE / LICENÇAS"</f>
        <v>SOFTWARE / LICENÇAS</v>
      </c>
      <c r="P5922">
        <v>95.32</v>
      </c>
      <c r="S5922" t="str">
        <f>"BANCO CORA (102)"</f>
        <v>BANCO CORA (102)</v>
      </c>
      <c r="T5922">
        <v>19574</v>
      </c>
      <c r="U5922">
        <v>23584</v>
      </c>
      <c r="V5922" t="s">
        <v>22</v>
      </c>
    </row>
    <row r="5923" spans="1:22">
      <c r="A5923" t="str">
        <f t="shared" si="1054"/>
        <v>13/10/2025</v>
      </c>
      <c r="B5923" t="str">
        <f t="shared" si="1049"/>
        <v>SAÍDA</v>
      </c>
      <c r="C5923" t="str">
        <f t="shared" si="1050"/>
        <v>PIX</v>
      </c>
      <c r="D5923" t="str">
        <f>"14824575"</f>
        <v>14824575</v>
      </c>
      <c r="E5923" t="str">
        <f>""</f>
        <v/>
      </c>
      <c r="F5923" t="str">
        <f t="shared" si="1052"/>
        <v>COM</v>
      </c>
      <c r="G5923" t="str">
        <f>"54.235.509 ROBERT MAGDIEL DE CARVALHO (20004)"</f>
        <v>54.235.509 ROBERT MAGDIEL DE CARVALHO (20004)</v>
      </c>
      <c r="H5923" t="s">
        <v>1605</v>
      </c>
      <c r="I5923" t="str">
        <f t="shared" si="1055"/>
        <v>13/10/2025</v>
      </c>
      <c r="J5923" t="str">
        <f>("10/10/2025")</f>
        <v>10/10/2025</v>
      </c>
      <c r="K5923">
        <v>45943</v>
      </c>
      <c r="N5923">
        <v>104</v>
      </c>
      <c r="O5923" t="s">
        <v>34</v>
      </c>
      <c r="Q5923">
        <v>95.32</v>
      </c>
      <c r="R5923" t="str">
        <f>"54.235.509 ROBERT MAGDIEL DE CARVALHO (20004)"</f>
        <v>54.235.509 ROBERT MAGDIEL DE CARVALHO (20004)</v>
      </c>
      <c r="S5923" t="s">
        <v>22</v>
      </c>
      <c r="T5923">
        <v>19574</v>
      </c>
      <c r="U5923">
        <v>23584</v>
      </c>
      <c r="V5923" t="s">
        <v>22</v>
      </c>
    </row>
    <row r="5924" spans="1:22">
      <c r="A5924" t="str">
        <f t="shared" si="1054"/>
        <v>13/10/2025</v>
      </c>
      <c r="B5924" t="str">
        <f t="shared" si="1049"/>
        <v>SAÍDA</v>
      </c>
      <c r="C5924" t="str">
        <f t="shared" si="1050"/>
        <v>PIX</v>
      </c>
      <c r="D5924" t="str">
        <f>"1310"</f>
        <v>1310</v>
      </c>
      <c r="E5924" t="str">
        <f>"25"</f>
        <v>25</v>
      </c>
      <c r="F5924" t="str">
        <f t="shared" si="1052"/>
        <v>COM</v>
      </c>
      <c r="G5924" t="str">
        <f>"JEFFERSON AMORIM DA SILVA (940)"</f>
        <v>JEFFERSON AMORIM DA SILVA (940)</v>
      </c>
      <c r="H5924" t="str">
        <f>"ADIANTAMENTO - PIX: CELULAR - CHAVE: (11) 98447-6954"</f>
        <v>ADIANTAMENTO - PIX: CELULAR - CHAVE: (11) 98447-6954</v>
      </c>
      <c r="I5924" t="str">
        <f t="shared" si="1055"/>
        <v>13/10/2025</v>
      </c>
      <c r="J5924" t="str">
        <f>("13/10/2025")</f>
        <v>13/10/2025</v>
      </c>
      <c r="K5924" t="str">
        <f>("13/10/2025")</f>
        <v>13/10/2025</v>
      </c>
      <c r="L5924">
        <v>50</v>
      </c>
      <c r="M5924">
        <v>50</v>
      </c>
      <c r="N5924">
        <v>109</v>
      </c>
      <c r="O5924" t="str">
        <f>"PAGAMENTO DE ENTREGADORES"</f>
        <v>PAGAMENTO DE ENTREGADORES</v>
      </c>
      <c r="P5924">
        <v>50</v>
      </c>
      <c r="S5924" t="str">
        <f>"BANCO CORA (102)"</f>
        <v>BANCO CORA (102)</v>
      </c>
      <c r="T5924">
        <v>19575</v>
      </c>
      <c r="U5924">
        <v>23587</v>
      </c>
      <c r="V5924" t="s">
        <v>22</v>
      </c>
    </row>
    <row r="5925" spans="1:22">
      <c r="A5925" t="str">
        <f t="shared" si="1054"/>
        <v>13/10/2025</v>
      </c>
      <c r="B5925" t="str">
        <f t="shared" si="1049"/>
        <v>SAÍDA</v>
      </c>
      <c r="C5925" t="str">
        <f t="shared" si="1050"/>
        <v>PIX</v>
      </c>
      <c r="D5925" t="str">
        <f>"1310"</f>
        <v>1310</v>
      </c>
      <c r="E5925" t="str">
        <f>"25"</f>
        <v>25</v>
      </c>
      <c r="F5925" t="str">
        <f t="shared" si="1052"/>
        <v>COM</v>
      </c>
      <c r="G5925" t="str">
        <f>"JEFFERSON AMORIM DA SILVA (940)"</f>
        <v>JEFFERSON AMORIM DA SILVA (940)</v>
      </c>
      <c r="H5925" t="s">
        <v>1606</v>
      </c>
      <c r="I5925" t="str">
        <f t="shared" si="1055"/>
        <v>13/10/2025</v>
      </c>
      <c r="J5925" t="str">
        <f>("13/10/2025")</f>
        <v>13/10/2025</v>
      </c>
      <c r="K5925">
        <v>45943</v>
      </c>
      <c r="N5925">
        <v>109</v>
      </c>
      <c r="O5925" t="s">
        <v>24</v>
      </c>
      <c r="Q5925">
        <v>50</v>
      </c>
      <c r="R5925" t="str">
        <f>"JEFFERSON AMORIM DA SILVA (940)"</f>
        <v>JEFFERSON AMORIM DA SILVA (940)</v>
      </c>
      <c r="S5925" t="s">
        <v>22</v>
      </c>
      <c r="T5925">
        <v>19575</v>
      </c>
      <c r="U5925">
        <v>23587</v>
      </c>
      <c r="V5925" t="s">
        <v>22</v>
      </c>
    </row>
    <row r="5926" spans="1:22">
      <c r="A5926" t="str">
        <f t="shared" si="1054"/>
        <v>13/10/2025</v>
      </c>
      <c r="B5926" t="str">
        <f t="shared" si="1049"/>
        <v>SAÍDA</v>
      </c>
      <c r="C5926" t="str">
        <f t="shared" si="1050"/>
        <v>PIX</v>
      </c>
      <c r="D5926" t="str">
        <f>"23787"</f>
        <v>23787</v>
      </c>
      <c r="E5926" t="str">
        <f t="shared" ref="E5926:E5931" si="1056">"1"</f>
        <v>1</v>
      </c>
      <c r="F5926" t="str">
        <f t="shared" si="1052"/>
        <v>COM</v>
      </c>
      <c r="G5926" t="str">
        <f>"WILLIAM DA SILVA COSTA (655)"</f>
        <v>WILLIAM DA SILVA COSTA (655)</v>
      </c>
      <c r="H5926" t="str">
        <f>"PAGO PARA ULISSES SOUSA SANTOS - Serv.Prest. 06/10/2025 a 12/10/2025"</f>
        <v>PAGO PARA ULISSES SOUSA SANTOS - Serv.Prest. 06/10/2025 a 12/10/2025</v>
      </c>
      <c r="I5926" t="str">
        <f t="shared" ref="I5926:I5935" si="1057">("16/10/2025")</f>
        <v>16/10/2025</v>
      </c>
      <c r="J5926" t="str">
        <f t="shared" ref="J5926:J5931" si="1058">("14/10/2025")</f>
        <v>14/10/2025</v>
      </c>
      <c r="K5926" t="str">
        <f>("13/10/2025")</f>
        <v>13/10/2025</v>
      </c>
      <c r="L5926">
        <v>86</v>
      </c>
      <c r="M5926">
        <v>150</v>
      </c>
      <c r="N5926">
        <v>134</v>
      </c>
      <c r="O5926" t="str">
        <f>"DIARIA DE MOTOBOY"</f>
        <v>DIARIA DE MOTOBOY</v>
      </c>
      <c r="P5926">
        <v>150</v>
      </c>
      <c r="S5926" t="str">
        <f>"BANCO CORA (102)"</f>
        <v>BANCO CORA (102)</v>
      </c>
      <c r="T5926">
        <v>19610</v>
      </c>
      <c r="U5926">
        <v>23830</v>
      </c>
      <c r="V5926" t="s">
        <v>22</v>
      </c>
    </row>
    <row r="5927" spans="1:22">
      <c r="A5927" t="str">
        <f t="shared" si="1054"/>
        <v>13/10/2025</v>
      </c>
      <c r="B5927" t="str">
        <f t="shared" si="1049"/>
        <v>SAÍDA</v>
      </c>
      <c r="C5927" t="str">
        <f t="shared" si="1050"/>
        <v>PIX</v>
      </c>
      <c r="D5927" t="str">
        <f>"23787"</f>
        <v>23787</v>
      </c>
      <c r="E5927" t="str">
        <f t="shared" si="1056"/>
        <v>1</v>
      </c>
      <c r="F5927" t="str">
        <f t="shared" si="1052"/>
        <v>COM</v>
      </c>
      <c r="G5927" t="str">
        <f>"WILLIAM DA SILVA COSTA (655)"</f>
        <v>WILLIAM DA SILVA COSTA (655)</v>
      </c>
      <c r="H5927" t="s">
        <v>1597</v>
      </c>
      <c r="I5927" t="str">
        <f t="shared" si="1057"/>
        <v>16/10/2025</v>
      </c>
      <c r="J5927" t="str">
        <f t="shared" si="1058"/>
        <v>14/10/2025</v>
      </c>
      <c r="K5927">
        <v>45943</v>
      </c>
      <c r="N5927">
        <v>134</v>
      </c>
      <c r="O5927" t="s">
        <v>41</v>
      </c>
      <c r="Q5927">
        <v>150</v>
      </c>
      <c r="R5927" t="str">
        <f>"FARMACIA ECONOMIZE (10103)"</f>
        <v>FARMACIA ECONOMIZE (10103)</v>
      </c>
      <c r="S5927" t="s">
        <v>22</v>
      </c>
      <c r="T5927">
        <v>19610</v>
      </c>
      <c r="U5927">
        <v>23830</v>
      </c>
      <c r="V5927" t="s">
        <v>22</v>
      </c>
    </row>
    <row r="5928" spans="1:22">
      <c r="A5928" t="str">
        <f t="shared" ref="A5928:A5961" si="1059">("14/10/2025")</f>
        <v>14/10/2025</v>
      </c>
      <c r="B5928" t="str">
        <f t="shared" si="1049"/>
        <v>SAÍDA</v>
      </c>
      <c r="C5928" t="str">
        <f t="shared" si="1050"/>
        <v>PIX</v>
      </c>
      <c r="D5928" t="str">
        <f>"23619"</f>
        <v>23619</v>
      </c>
      <c r="E5928" t="str">
        <f t="shared" si="1056"/>
        <v>1</v>
      </c>
      <c r="F5928" t="str">
        <f t="shared" si="1052"/>
        <v>COM</v>
      </c>
      <c r="G5928" t="str">
        <f t="shared" ref="G5928:G5933" si="1060">"RAFAEL DE JESUS LIMA (979)"</f>
        <v>RAFAEL DE JESUS LIMA (979)</v>
      </c>
      <c r="H5928" t="str">
        <f>"Serv.Prest. 06/10/2025 a 12/10/2025 - PIX: CPF - CHAVE: 421.097.678-47"</f>
        <v>Serv.Prest. 06/10/2025 a 12/10/2025 - PIX: CPF - CHAVE: 421.097.678-47</v>
      </c>
      <c r="I5928" t="str">
        <f t="shared" si="1057"/>
        <v>16/10/2025</v>
      </c>
      <c r="J5928" t="str">
        <f t="shared" si="1058"/>
        <v>14/10/2025</v>
      </c>
      <c r="K5928" t="str">
        <f>("14/10/2025")</f>
        <v>14/10/2025</v>
      </c>
      <c r="L5928">
        <v>890</v>
      </c>
      <c r="M5928">
        <v>892.86</v>
      </c>
      <c r="N5928">
        <v>109</v>
      </c>
      <c r="O5928" t="str">
        <f>"PAGAMENTO DE ENTREGADORES"</f>
        <v>PAGAMENTO DE ENTREGADORES</v>
      </c>
      <c r="P5928">
        <v>892.86</v>
      </c>
      <c r="S5928" t="str">
        <f>"CAIXA MOVIMENTAÇÃO OPERACIONAL (132)"</f>
        <v>CAIXA MOVIMENTAÇÃO OPERACIONAL (132)</v>
      </c>
      <c r="T5928">
        <v>19559</v>
      </c>
      <c r="U5928">
        <v>23619</v>
      </c>
      <c r="V5928" t="s">
        <v>48</v>
      </c>
    </row>
    <row r="5929" spans="1:22">
      <c r="A5929" t="str">
        <f t="shared" si="1059"/>
        <v>14/10/2025</v>
      </c>
      <c r="B5929" t="str">
        <f t="shared" si="1049"/>
        <v>SAÍDA</v>
      </c>
      <c r="C5929" t="str">
        <f t="shared" si="1050"/>
        <v>PIX</v>
      </c>
      <c r="D5929" t="str">
        <f>"23619"</f>
        <v>23619</v>
      </c>
      <c r="E5929" t="str">
        <f t="shared" si="1056"/>
        <v>1</v>
      </c>
      <c r="F5929" t="str">
        <f t="shared" si="1052"/>
        <v>COM</v>
      </c>
      <c r="G5929" t="str">
        <f t="shared" si="1060"/>
        <v>RAFAEL DE JESUS LIMA (979)</v>
      </c>
      <c r="H5929" t="s">
        <v>1607</v>
      </c>
      <c r="I5929" t="str">
        <f t="shared" si="1057"/>
        <v>16/10/2025</v>
      </c>
      <c r="J5929" t="str">
        <f t="shared" si="1058"/>
        <v>14/10/2025</v>
      </c>
      <c r="K5929">
        <v>45944</v>
      </c>
      <c r="N5929">
        <v>109</v>
      </c>
      <c r="O5929" t="s">
        <v>24</v>
      </c>
      <c r="Q5929">
        <v>68.66</v>
      </c>
      <c r="R5929" t="str">
        <f>"PENSE FARMA 05 (10200)"</f>
        <v>PENSE FARMA 05 (10200)</v>
      </c>
      <c r="S5929" t="s">
        <v>48</v>
      </c>
      <c r="T5929">
        <v>19559</v>
      </c>
      <c r="U5929">
        <v>23619</v>
      </c>
      <c r="V5929" t="s">
        <v>48</v>
      </c>
    </row>
    <row r="5930" spans="1:22">
      <c r="A5930" t="str">
        <f t="shared" si="1059"/>
        <v>14/10/2025</v>
      </c>
      <c r="B5930" t="str">
        <f t="shared" si="1049"/>
        <v>SAÍDA</v>
      </c>
      <c r="C5930" t="str">
        <f t="shared" si="1050"/>
        <v>PIX</v>
      </c>
      <c r="D5930" t="str">
        <f>"23619"</f>
        <v>23619</v>
      </c>
      <c r="E5930" t="str">
        <f t="shared" si="1056"/>
        <v>1</v>
      </c>
      <c r="F5930" t="str">
        <f t="shared" si="1052"/>
        <v>COM</v>
      </c>
      <c r="G5930" t="str">
        <f t="shared" si="1060"/>
        <v>RAFAEL DE JESUS LIMA (979)</v>
      </c>
      <c r="H5930" t="s">
        <v>1607</v>
      </c>
      <c r="I5930" t="str">
        <f t="shared" si="1057"/>
        <v>16/10/2025</v>
      </c>
      <c r="J5930" t="str">
        <f t="shared" si="1058"/>
        <v>14/10/2025</v>
      </c>
      <c r="K5930">
        <v>45944</v>
      </c>
      <c r="N5930">
        <v>109</v>
      </c>
      <c r="O5930" t="s">
        <v>24</v>
      </c>
      <c r="Q5930">
        <v>17.14</v>
      </c>
      <c r="R5930" t="str">
        <f>"PENSE FARMA 13 (10202)"</f>
        <v>PENSE FARMA 13 (10202)</v>
      </c>
      <c r="S5930" t="s">
        <v>48</v>
      </c>
      <c r="T5930">
        <v>19559</v>
      </c>
      <c r="U5930">
        <v>23619</v>
      </c>
      <c r="V5930" t="s">
        <v>48</v>
      </c>
    </row>
    <row r="5931" spans="1:22">
      <c r="A5931" t="str">
        <f t="shared" si="1059"/>
        <v>14/10/2025</v>
      </c>
      <c r="B5931" t="str">
        <f t="shared" si="1049"/>
        <v>SAÍDA</v>
      </c>
      <c r="C5931" t="str">
        <f t="shared" si="1050"/>
        <v>PIX</v>
      </c>
      <c r="D5931" t="str">
        <f>"23619"</f>
        <v>23619</v>
      </c>
      <c r="E5931" t="str">
        <f t="shared" si="1056"/>
        <v>1</v>
      </c>
      <c r="F5931" t="str">
        <f t="shared" si="1052"/>
        <v>COM</v>
      </c>
      <c r="G5931" t="str">
        <f t="shared" si="1060"/>
        <v>RAFAEL DE JESUS LIMA (979)</v>
      </c>
      <c r="H5931" t="s">
        <v>1607</v>
      </c>
      <c r="I5931" t="str">
        <f t="shared" si="1057"/>
        <v>16/10/2025</v>
      </c>
      <c r="J5931" t="str">
        <f t="shared" si="1058"/>
        <v>14/10/2025</v>
      </c>
      <c r="K5931">
        <v>45944</v>
      </c>
      <c r="N5931">
        <v>109</v>
      </c>
      <c r="O5931" t="s">
        <v>24</v>
      </c>
      <c r="Q5931">
        <v>807.06</v>
      </c>
      <c r="R5931" t="str">
        <f>"PENSE FARMA 27 (10204)"</f>
        <v>PENSE FARMA 27 (10204)</v>
      </c>
      <c r="S5931" t="s">
        <v>48</v>
      </c>
      <c r="T5931">
        <v>19559</v>
      </c>
      <c r="U5931">
        <v>23619</v>
      </c>
      <c r="V5931" t="s">
        <v>48</v>
      </c>
    </row>
    <row r="5932" spans="1:22">
      <c r="A5932" t="str">
        <f t="shared" si="1059"/>
        <v>14/10/2025</v>
      </c>
      <c r="B5932" t="str">
        <f>"ENTRADA"</f>
        <v>ENTRADA</v>
      </c>
      <c r="C5932" t="str">
        <f>"DINHEIRO"</f>
        <v>DINHEIRO</v>
      </c>
      <c r="D5932" t="str">
        <f>"1610"</f>
        <v>1610</v>
      </c>
      <c r="E5932" t="str">
        <f>"25"</f>
        <v>25</v>
      </c>
      <c r="F5932" t="str">
        <f t="shared" si="1052"/>
        <v>COM</v>
      </c>
      <c r="G5932" t="str">
        <f t="shared" si="1060"/>
        <v>RAFAEL DE JESUS LIMA (979)</v>
      </c>
      <c r="H5932" t="str">
        <f>"REEMBOLSO ADIANTAMENTO"</f>
        <v>REEMBOLSO ADIANTAMENTO</v>
      </c>
      <c r="I5932" t="str">
        <f t="shared" si="1057"/>
        <v>16/10/2025</v>
      </c>
      <c r="J5932" t="str">
        <f>("10/10/2025")</f>
        <v>10/10/2025</v>
      </c>
      <c r="K5932" t="str">
        <f>("14/10/2025")</f>
        <v>14/10/2025</v>
      </c>
      <c r="L5932">
        <v>892.86</v>
      </c>
      <c r="M5932">
        <v>892.86</v>
      </c>
      <c r="N5932">
        <v>129</v>
      </c>
      <c r="O5932" t="str">
        <f>"ENTRADA DE REEMBOLSO ADIANTAMENTO"</f>
        <v>ENTRADA DE REEMBOLSO ADIANTAMENTO</v>
      </c>
      <c r="P5932">
        <v>892.86</v>
      </c>
      <c r="S5932" t="str">
        <f>"ENTRADA DE REEMBOLSO ADIANTAMENTO (129)"</f>
        <v>ENTRADA DE REEMBOLSO ADIANTAMENTO (129)</v>
      </c>
      <c r="T5932">
        <v>19560</v>
      </c>
      <c r="U5932">
        <v>23530</v>
      </c>
      <c r="V5932" t="s">
        <v>48</v>
      </c>
    </row>
    <row r="5933" spans="1:22">
      <c r="A5933" t="str">
        <f t="shared" si="1059"/>
        <v>14/10/2025</v>
      </c>
      <c r="B5933" t="str">
        <f>"ENTRADA"</f>
        <v>ENTRADA</v>
      </c>
      <c r="C5933" t="str">
        <f>"DINHEIRO"</f>
        <v>DINHEIRO</v>
      </c>
      <c r="D5933" t="str">
        <f>"1610"</f>
        <v>1610</v>
      </c>
      <c r="E5933" t="str">
        <f>"25"</f>
        <v>25</v>
      </c>
      <c r="F5933" t="str">
        <f t="shared" si="1052"/>
        <v>COM</v>
      </c>
      <c r="G5933" t="str">
        <f t="shared" si="1060"/>
        <v>RAFAEL DE JESUS LIMA (979)</v>
      </c>
      <c r="H5933" t="s">
        <v>57</v>
      </c>
      <c r="I5933" t="str">
        <f t="shared" si="1057"/>
        <v>16/10/2025</v>
      </c>
      <c r="J5933" t="str">
        <f>("10/10/2025")</f>
        <v>10/10/2025</v>
      </c>
      <c r="K5933">
        <v>45944</v>
      </c>
      <c r="N5933">
        <v>129</v>
      </c>
      <c r="O5933" t="s">
        <v>58</v>
      </c>
      <c r="Q5933">
        <v>892.86</v>
      </c>
      <c r="R5933" t="str">
        <f>"RAFAEL DE JESUS LIMA (979)"</f>
        <v>RAFAEL DE JESUS LIMA (979)</v>
      </c>
      <c r="S5933" t="s">
        <v>59</v>
      </c>
      <c r="T5933">
        <v>19560</v>
      </c>
      <c r="U5933">
        <v>23530</v>
      </c>
      <c r="V5933" t="s">
        <v>48</v>
      </c>
    </row>
    <row r="5934" spans="1:22">
      <c r="A5934" t="str">
        <f t="shared" si="1059"/>
        <v>14/10/2025</v>
      </c>
      <c r="B5934" t="str">
        <f t="shared" ref="B5934:B5961" si="1061">"SAÍDA"</f>
        <v>SAÍDA</v>
      </c>
      <c r="C5934" t="str">
        <f t="shared" ref="C5934:C5961" si="1062">"PIX"</f>
        <v>PIX</v>
      </c>
      <c r="D5934" t="str">
        <f>"23616"</f>
        <v>23616</v>
      </c>
      <c r="E5934" t="str">
        <f t="shared" ref="E5934:E5961" si="1063">"1"</f>
        <v>1</v>
      </c>
      <c r="F5934" t="str">
        <f t="shared" si="1052"/>
        <v>COM</v>
      </c>
      <c r="G5934" t="str">
        <f>"NATAN ALVES (8)"</f>
        <v>NATAN ALVES (8)</v>
      </c>
      <c r="H5934" t="str">
        <f>"PAGO PARA LEANDRO RIBEIRO DA SILVA - Serv.Prest. 06/10/2025 a 12/10/2025"</f>
        <v>PAGO PARA LEANDRO RIBEIRO DA SILVA - Serv.Prest. 06/10/2025 a 12/10/2025</v>
      </c>
      <c r="I5934" t="str">
        <f t="shared" si="1057"/>
        <v>16/10/2025</v>
      </c>
      <c r="J5934" t="str">
        <f>("14/10/2025")</f>
        <v>14/10/2025</v>
      </c>
      <c r="K5934" t="str">
        <f>("14/10/2025")</f>
        <v>14/10/2025</v>
      </c>
      <c r="L5934">
        <v>300</v>
      </c>
      <c r="M5934">
        <v>300</v>
      </c>
      <c r="N5934">
        <v>134</v>
      </c>
      <c r="O5934" t="str">
        <f>"DIARIA DE MOTOBOY"</f>
        <v>DIARIA DE MOTOBOY</v>
      </c>
      <c r="P5934">
        <v>300</v>
      </c>
      <c r="S5934" t="str">
        <f>"BANCO CORA (102)"</f>
        <v>BANCO CORA (102)</v>
      </c>
      <c r="T5934">
        <v>19569</v>
      </c>
      <c r="U5934">
        <v>23616</v>
      </c>
      <c r="V5934" t="s">
        <v>22</v>
      </c>
    </row>
    <row r="5935" spans="1:22">
      <c r="A5935" t="str">
        <f t="shared" si="1059"/>
        <v>14/10/2025</v>
      </c>
      <c r="B5935" t="str">
        <f t="shared" si="1061"/>
        <v>SAÍDA</v>
      </c>
      <c r="C5935" t="str">
        <f t="shared" si="1062"/>
        <v>PIX</v>
      </c>
      <c r="D5935" t="str">
        <f>"23616"</f>
        <v>23616</v>
      </c>
      <c r="E5935" t="str">
        <f t="shared" si="1063"/>
        <v>1</v>
      </c>
      <c r="F5935" t="str">
        <f t="shared" si="1052"/>
        <v>COM</v>
      </c>
      <c r="G5935" t="str">
        <f>"NATAN ALVES (8)"</f>
        <v>NATAN ALVES (8)</v>
      </c>
      <c r="H5935" t="s">
        <v>1608</v>
      </c>
      <c r="I5935" t="str">
        <f t="shared" si="1057"/>
        <v>16/10/2025</v>
      </c>
      <c r="J5935" t="str">
        <f>("14/10/2025")</f>
        <v>14/10/2025</v>
      </c>
      <c r="K5935">
        <v>45944</v>
      </c>
      <c r="N5935">
        <v>134</v>
      </c>
      <c r="O5935" t="s">
        <v>41</v>
      </c>
      <c r="Q5935">
        <v>300</v>
      </c>
      <c r="R5935" t="str">
        <f>"PENSE FARMA 22 (10198)"</f>
        <v>PENSE FARMA 22 (10198)</v>
      </c>
      <c r="S5935" t="s">
        <v>22</v>
      </c>
      <c r="T5935">
        <v>19569</v>
      </c>
      <c r="U5935">
        <v>23616</v>
      </c>
      <c r="V5935" t="s">
        <v>22</v>
      </c>
    </row>
    <row r="5936" spans="1:22">
      <c r="A5936" t="str">
        <f t="shared" si="1059"/>
        <v>14/10/2025</v>
      </c>
      <c r="B5936" t="str">
        <f t="shared" si="1061"/>
        <v>SAÍDA</v>
      </c>
      <c r="C5936" t="str">
        <f t="shared" si="1062"/>
        <v>PIX</v>
      </c>
      <c r="D5936" t="str">
        <f>"23573"</f>
        <v>23573</v>
      </c>
      <c r="E5936" t="str">
        <f t="shared" si="1063"/>
        <v>1</v>
      </c>
      <c r="F5936" t="str">
        <f t="shared" si="1052"/>
        <v>COM</v>
      </c>
      <c r="G5936" t="str">
        <f>"WILLIAM FERREIRA DE OLIVEIRA (900)"</f>
        <v>WILLIAM FERREIRA DE OLIVEIRA (900)</v>
      </c>
      <c r="H5936" t="str">
        <f>"Serv.Prest. 06/10/2025 a 12/10/2025 - PIX: CPF - CHAVE: 106.393.056-10"</f>
        <v>Serv.Prest. 06/10/2025 a 12/10/2025 - PIX: CPF - CHAVE: 106.393.056-10</v>
      </c>
      <c r="I5936" t="str">
        <f t="shared" ref="I5936:I5959" si="1064">("14/10/2025")</f>
        <v>14/10/2025</v>
      </c>
      <c r="J5936" t="str">
        <f>("13/10/2025")</f>
        <v>13/10/2025</v>
      </c>
      <c r="K5936" t="str">
        <f>("14/10/2025")</f>
        <v>14/10/2025</v>
      </c>
      <c r="L5936">
        <v>144</v>
      </c>
      <c r="M5936">
        <v>140</v>
      </c>
      <c r="N5936">
        <v>134</v>
      </c>
      <c r="O5936" t="str">
        <f>"DIARIA DE MOTOBOY"</f>
        <v>DIARIA DE MOTOBOY</v>
      </c>
      <c r="P5936">
        <v>140</v>
      </c>
      <c r="S5936" t="str">
        <f>"BANCO CORA (102)"</f>
        <v>BANCO CORA (102)</v>
      </c>
      <c r="T5936">
        <v>19576</v>
      </c>
      <c r="U5936">
        <v>23573</v>
      </c>
      <c r="V5936" t="s">
        <v>22</v>
      </c>
    </row>
    <row r="5937" spans="1:22">
      <c r="A5937" t="str">
        <f t="shared" si="1059"/>
        <v>14/10/2025</v>
      </c>
      <c r="B5937" t="str">
        <f t="shared" si="1061"/>
        <v>SAÍDA</v>
      </c>
      <c r="C5937" t="str">
        <f t="shared" si="1062"/>
        <v>PIX</v>
      </c>
      <c r="D5937" t="str">
        <f>"23573"</f>
        <v>23573</v>
      </c>
      <c r="E5937" t="str">
        <f t="shared" si="1063"/>
        <v>1</v>
      </c>
      <c r="F5937" t="str">
        <f t="shared" si="1052"/>
        <v>COM</v>
      </c>
      <c r="G5937" t="str">
        <f>"WILLIAM FERREIRA DE OLIVEIRA (900)"</f>
        <v>WILLIAM FERREIRA DE OLIVEIRA (900)</v>
      </c>
      <c r="H5937" t="s">
        <v>1609</v>
      </c>
      <c r="I5937" t="str">
        <f t="shared" si="1064"/>
        <v>14/10/2025</v>
      </c>
      <c r="J5937" t="str">
        <f>("13/10/2025")</f>
        <v>13/10/2025</v>
      </c>
      <c r="K5937">
        <v>45944</v>
      </c>
      <c r="N5937">
        <v>134</v>
      </c>
      <c r="O5937" t="s">
        <v>41</v>
      </c>
      <c r="Q5937">
        <v>140</v>
      </c>
      <c r="R5937" t="str">
        <f>"PAGMENOS - LJ 657 (10136)"</f>
        <v>PAGMENOS - LJ 657 (10136)</v>
      </c>
      <c r="S5937" t="s">
        <v>22</v>
      </c>
      <c r="T5937">
        <v>19576</v>
      </c>
      <c r="U5937">
        <v>23573</v>
      </c>
      <c r="V5937" t="s">
        <v>22</v>
      </c>
    </row>
    <row r="5938" spans="1:22">
      <c r="A5938" t="str">
        <f t="shared" si="1059"/>
        <v>14/10/2025</v>
      </c>
      <c r="B5938" t="str">
        <f t="shared" si="1061"/>
        <v>SAÍDA</v>
      </c>
      <c r="C5938" t="str">
        <f t="shared" si="1062"/>
        <v>PIX</v>
      </c>
      <c r="D5938" t="str">
        <f>"23596"</f>
        <v>23596</v>
      </c>
      <c r="E5938" t="str">
        <f t="shared" si="1063"/>
        <v>1</v>
      </c>
      <c r="F5938" t="str">
        <f t="shared" si="1052"/>
        <v>COM</v>
      </c>
      <c r="G5938" t="str">
        <f>"JOEL ARAGAO SALES (864)"</f>
        <v>JOEL ARAGAO SALES (864)</v>
      </c>
      <c r="H5938" t="str">
        <f>"Serv.Prest. 06/10/2025 a 12/10/2025 - PIX: CPF - CHAVE: 052.353.883-99"</f>
        <v>Serv.Prest. 06/10/2025 a 12/10/2025 - PIX: CPF - CHAVE: 052.353.883-99</v>
      </c>
      <c r="I5938" t="str">
        <f t="shared" si="1064"/>
        <v>14/10/2025</v>
      </c>
      <c r="J5938" t="str">
        <f>("14/10/2025")</f>
        <v>14/10/2025</v>
      </c>
      <c r="K5938" t="str">
        <f>("14/10/2025")</f>
        <v>14/10/2025</v>
      </c>
      <c r="L5938">
        <v>133</v>
      </c>
      <c r="M5938">
        <v>130</v>
      </c>
      <c r="N5938">
        <v>134</v>
      </c>
      <c r="O5938" t="str">
        <f>"DIARIA DE MOTOBOY"</f>
        <v>DIARIA DE MOTOBOY</v>
      </c>
      <c r="P5938">
        <v>130</v>
      </c>
      <c r="S5938" t="str">
        <f>"BANCO CORA (102)"</f>
        <v>BANCO CORA (102)</v>
      </c>
      <c r="T5938">
        <v>19577</v>
      </c>
      <c r="U5938">
        <v>23596</v>
      </c>
      <c r="V5938" t="s">
        <v>22</v>
      </c>
    </row>
    <row r="5939" spans="1:22">
      <c r="A5939" t="str">
        <f t="shared" si="1059"/>
        <v>14/10/2025</v>
      </c>
      <c r="B5939" t="str">
        <f t="shared" si="1061"/>
        <v>SAÍDA</v>
      </c>
      <c r="C5939" t="str">
        <f t="shared" si="1062"/>
        <v>PIX</v>
      </c>
      <c r="D5939" t="str">
        <f>"23596"</f>
        <v>23596</v>
      </c>
      <c r="E5939" t="str">
        <f t="shared" si="1063"/>
        <v>1</v>
      </c>
      <c r="F5939" t="str">
        <f t="shared" si="1052"/>
        <v>COM</v>
      </c>
      <c r="G5939" t="str">
        <f>"JOEL ARAGAO SALES (864)"</f>
        <v>JOEL ARAGAO SALES (864)</v>
      </c>
      <c r="H5939" t="s">
        <v>1610</v>
      </c>
      <c r="I5939" t="str">
        <f t="shared" si="1064"/>
        <v>14/10/2025</v>
      </c>
      <c r="J5939" t="str">
        <f t="shared" ref="J5939:J5959" si="1065">("14/10/2025")</f>
        <v>14/10/2025</v>
      </c>
      <c r="K5939">
        <v>45944</v>
      </c>
      <c r="N5939">
        <v>134</v>
      </c>
      <c r="O5939" t="s">
        <v>41</v>
      </c>
      <c r="Q5939">
        <v>130</v>
      </c>
      <c r="R5939" t="str">
        <f>"DROGARIA MEDIC CENTER LTDA (10172)"</f>
        <v>DROGARIA MEDIC CENTER LTDA (10172)</v>
      </c>
      <c r="S5939" t="s">
        <v>22</v>
      </c>
      <c r="T5939">
        <v>19577</v>
      </c>
      <c r="U5939">
        <v>23596</v>
      </c>
      <c r="V5939" t="s">
        <v>22</v>
      </c>
    </row>
    <row r="5940" spans="1:22">
      <c r="A5940" t="str">
        <f t="shared" si="1059"/>
        <v>14/10/2025</v>
      </c>
      <c r="B5940" t="str">
        <f t="shared" si="1061"/>
        <v>SAÍDA</v>
      </c>
      <c r="C5940" t="str">
        <f t="shared" si="1062"/>
        <v>PIX</v>
      </c>
      <c r="D5940" t="str">
        <f>"23626"</f>
        <v>23626</v>
      </c>
      <c r="E5940" t="str">
        <f t="shared" si="1063"/>
        <v>1</v>
      </c>
      <c r="F5940" t="str">
        <f t="shared" si="1052"/>
        <v>COM</v>
      </c>
      <c r="G5940" t="str">
        <f>"GABRIEL CESAR RIBEIRO (980)"</f>
        <v>GABRIEL CESAR RIBEIRO (980)</v>
      </c>
      <c r="H5940" t="str">
        <f>"Serv.Prest. 06/10/2025 a 12/10/2025 - PIX: CELULAR - CHAVE: (11) 97493-2917"</f>
        <v>Serv.Prest. 06/10/2025 a 12/10/2025 - PIX: CELULAR - CHAVE: (11) 97493-2917</v>
      </c>
      <c r="I5940" t="str">
        <f t="shared" si="1064"/>
        <v>14/10/2025</v>
      </c>
      <c r="J5940" t="str">
        <f t="shared" si="1065"/>
        <v>14/10/2025</v>
      </c>
      <c r="K5940" t="str">
        <f>("14/10/2025")</f>
        <v>14/10/2025</v>
      </c>
      <c r="L5940">
        <v>170</v>
      </c>
      <c r="M5940">
        <v>170</v>
      </c>
      <c r="N5940">
        <v>134</v>
      </c>
      <c r="O5940" t="str">
        <f>"DIARIA DE MOTOBOY"</f>
        <v>DIARIA DE MOTOBOY</v>
      </c>
      <c r="P5940">
        <v>170</v>
      </c>
      <c r="S5940" t="str">
        <f>"BANCO CORA (102)"</f>
        <v>BANCO CORA (102)</v>
      </c>
      <c r="T5940">
        <v>19578</v>
      </c>
      <c r="U5940">
        <v>23626</v>
      </c>
      <c r="V5940" t="s">
        <v>22</v>
      </c>
    </row>
    <row r="5941" spans="1:22">
      <c r="A5941" t="str">
        <f t="shared" si="1059"/>
        <v>14/10/2025</v>
      </c>
      <c r="B5941" t="str">
        <f t="shared" si="1061"/>
        <v>SAÍDA</v>
      </c>
      <c r="C5941" t="str">
        <f t="shared" si="1062"/>
        <v>PIX</v>
      </c>
      <c r="D5941" t="str">
        <f>"23626"</f>
        <v>23626</v>
      </c>
      <c r="E5941" t="str">
        <f t="shared" si="1063"/>
        <v>1</v>
      </c>
      <c r="F5941" t="str">
        <f t="shared" si="1052"/>
        <v>COM</v>
      </c>
      <c r="G5941" t="str">
        <f>"GABRIEL CESAR RIBEIRO (980)"</f>
        <v>GABRIEL CESAR RIBEIRO (980)</v>
      </c>
      <c r="H5941" t="s">
        <v>1611</v>
      </c>
      <c r="I5941" t="str">
        <f t="shared" si="1064"/>
        <v>14/10/2025</v>
      </c>
      <c r="J5941" t="str">
        <f t="shared" si="1065"/>
        <v>14/10/2025</v>
      </c>
      <c r="K5941">
        <v>45944</v>
      </c>
      <c r="N5941">
        <v>134</v>
      </c>
      <c r="O5941" t="s">
        <v>41</v>
      </c>
      <c r="Q5941">
        <v>170</v>
      </c>
      <c r="R5941" t="str">
        <f>"PENSE FARMA 59 (10211)"</f>
        <v>PENSE FARMA 59 (10211)</v>
      </c>
      <c r="S5941" t="s">
        <v>22</v>
      </c>
      <c r="T5941">
        <v>19578</v>
      </c>
      <c r="U5941">
        <v>23626</v>
      </c>
      <c r="V5941" t="s">
        <v>22</v>
      </c>
    </row>
    <row r="5942" spans="1:22">
      <c r="A5942" t="str">
        <f t="shared" si="1059"/>
        <v>14/10/2025</v>
      </c>
      <c r="B5942" t="str">
        <f t="shared" si="1061"/>
        <v>SAÍDA</v>
      </c>
      <c r="C5942" t="str">
        <f t="shared" si="1062"/>
        <v>PIX</v>
      </c>
      <c r="D5942" t="str">
        <f>"23649"</f>
        <v>23649</v>
      </c>
      <c r="E5942" t="str">
        <f t="shared" si="1063"/>
        <v>1</v>
      </c>
      <c r="F5942" t="str">
        <f t="shared" si="1052"/>
        <v>COM</v>
      </c>
      <c r="G5942" t="str">
        <f>"DHIONATAN BARBOSA SANGY CARVALHO (667)"</f>
        <v>DHIONATAN BARBOSA SANGY CARVALHO (667)</v>
      </c>
      <c r="H5942" t="str">
        <f>"Serv.Prest. 06/10/2025 a 12/10/2025 - PIX: CPF - CHAVE: 180.147.766-31"</f>
        <v>Serv.Prest. 06/10/2025 a 12/10/2025 - PIX: CPF - CHAVE: 180.147.766-31</v>
      </c>
      <c r="I5942" t="str">
        <f t="shared" si="1064"/>
        <v>14/10/2025</v>
      </c>
      <c r="J5942" t="str">
        <f t="shared" si="1065"/>
        <v>14/10/2025</v>
      </c>
      <c r="K5942" t="str">
        <f>("14/10/2025")</f>
        <v>14/10/2025</v>
      </c>
      <c r="L5942">
        <v>120</v>
      </c>
      <c r="M5942">
        <v>120</v>
      </c>
      <c r="N5942">
        <v>134</v>
      </c>
      <c r="O5942" t="str">
        <f>"DIARIA DE MOTOBOY"</f>
        <v>DIARIA DE MOTOBOY</v>
      </c>
      <c r="P5942">
        <v>120</v>
      </c>
      <c r="S5942" t="str">
        <f>"BANCO CORA (102)"</f>
        <v>BANCO CORA (102)</v>
      </c>
      <c r="T5942">
        <v>19579</v>
      </c>
      <c r="U5942">
        <v>23649</v>
      </c>
      <c r="V5942" t="s">
        <v>22</v>
      </c>
    </row>
    <row r="5943" spans="1:22">
      <c r="A5943" t="str">
        <f t="shared" si="1059"/>
        <v>14/10/2025</v>
      </c>
      <c r="B5943" t="str">
        <f t="shared" si="1061"/>
        <v>SAÍDA</v>
      </c>
      <c r="C5943" t="str">
        <f t="shared" si="1062"/>
        <v>PIX</v>
      </c>
      <c r="D5943" t="str">
        <f>"23649"</f>
        <v>23649</v>
      </c>
      <c r="E5943" t="str">
        <f t="shared" si="1063"/>
        <v>1</v>
      </c>
      <c r="F5943" t="str">
        <f t="shared" si="1052"/>
        <v>COM</v>
      </c>
      <c r="G5943" t="str">
        <f>"DHIONATAN BARBOSA SANGY CARVALHO (667)"</f>
        <v>DHIONATAN BARBOSA SANGY CARVALHO (667)</v>
      </c>
      <c r="H5943" t="s">
        <v>1612</v>
      </c>
      <c r="I5943" t="str">
        <f t="shared" si="1064"/>
        <v>14/10/2025</v>
      </c>
      <c r="J5943" t="str">
        <f t="shared" si="1065"/>
        <v>14/10/2025</v>
      </c>
      <c r="K5943">
        <v>45944</v>
      </c>
      <c r="N5943">
        <v>134</v>
      </c>
      <c r="O5943" t="s">
        <v>41</v>
      </c>
      <c r="Q5943">
        <v>120</v>
      </c>
      <c r="R5943" t="str">
        <f>"FARMÁCIA INDIANA LJ 171 (10074)"</f>
        <v>FARMÁCIA INDIANA LJ 171 (10074)</v>
      </c>
      <c r="S5943" t="s">
        <v>22</v>
      </c>
      <c r="T5943">
        <v>19579</v>
      </c>
      <c r="U5943">
        <v>23649</v>
      </c>
      <c r="V5943" t="s">
        <v>22</v>
      </c>
    </row>
    <row r="5944" spans="1:22">
      <c r="A5944" t="str">
        <f t="shared" si="1059"/>
        <v>14/10/2025</v>
      </c>
      <c r="B5944" t="str">
        <f t="shared" si="1061"/>
        <v>SAÍDA</v>
      </c>
      <c r="C5944" t="str">
        <f t="shared" si="1062"/>
        <v>PIX</v>
      </c>
      <c r="D5944" t="str">
        <f>"23656"</f>
        <v>23656</v>
      </c>
      <c r="E5944" t="str">
        <f t="shared" si="1063"/>
        <v>1</v>
      </c>
      <c r="F5944" t="str">
        <f t="shared" si="1052"/>
        <v>COM</v>
      </c>
      <c r="G5944" t="str">
        <f>"EZEQUIEL MATHEUS SOUSA MAXIMIANO ROSA (931)"</f>
        <v>EZEQUIEL MATHEUS SOUSA MAXIMIANO ROSA (931)</v>
      </c>
      <c r="H5944" t="str">
        <f>"Serv.Prest. 06/10/2025 a 12/10/2025 - PIX: CPF - CHAVE: 141.994.266-20"</f>
        <v>Serv.Prest. 06/10/2025 a 12/10/2025 - PIX: CPF - CHAVE: 141.994.266-20</v>
      </c>
      <c r="I5944" t="str">
        <f t="shared" si="1064"/>
        <v>14/10/2025</v>
      </c>
      <c r="J5944" t="str">
        <f t="shared" si="1065"/>
        <v>14/10/2025</v>
      </c>
      <c r="K5944" t="str">
        <f>("14/10/2025")</f>
        <v>14/10/2025</v>
      </c>
      <c r="L5944">
        <v>168</v>
      </c>
      <c r="M5944">
        <v>170</v>
      </c>
      <c r="N5944">
        <v>134</v>
      </c>
      <c r="O5944" t="str">
        <f>"DIARIA DE MOTOBOY"</f>
        <v>DIARIA DE MOTOBOY</v>
      </c>
      <c r="P5944">
        <v>170</v>
      </c>
      <c r="S5944" t="str">
        <f>"BANCO CORA (102)"</f>
        <v>BANCO CORA (102)</v>
      </c>
      <c r="T5944">
        <v>19580</v>
      </c>
      <c r="U5944">
        <v>23656</v>
      </c>
      <c r="V5944" t="s">
        <v>22</v>
      </c>
    </row>
    <row r="5945" spans="1:22">
      <c r="A5945" t="str">
        <f t="shared" si="1059"/>
        <v>14/10/2025</v>
      </c>
      <c r="B5945" t="str">
        <f t="shared" si="1061"/>
        <v>SAÍDA</v>
      </c>
      <c r="C5945" t="str">
        <f t="shared" si="1062"/>
        <v>PIX</v>
      </c>
      <c r="D5945" t="str">
        <f>"23656"</f>
        <v>23656</v>
      </c>
      <c r="E5945" t="str">
        <f t="shared" si="1063"/>
        <v>1</v>
      </c>
      <c r="F5945" t="str">
        <f t="shared" si="1052"/>
        <v>COM</v>
      </c>
      <c r="G5945" t="str">
        <f>"EZEQUIEL MATHEUS SOUSA MAXIMIANO ROSA (931)"</f>
        <v>EZEQUIEL MATHEUS SOUSA MAXIMIANO ROSA (931)</v>
      </c>
      <c r="H5945" t="s">
        <v>1613</v>
      </c>
      <c r="I5945" t="str">
        <f t="shared" si="1064"/>
        <v>14/10/2025</v>
      </c>
      <c r="J5945" t="str">
        <f t="shared" si="1065"/>
        <v>14/10/2025</v>
      </c>
      <c r="K5945">
        <v>45944</v>
      </c>
      <c r="N5945">
        <v>134</v>
      </c>
      <c r="O5945" t="s">
        <v>41</v>
      </c>
      <c r="Q5945">
        <v>170</v>
      </c>
      <c r="R5945" t="str">
        <f>"FARMÁCIA INDIANA LJ 118 (10052)"</f>
        <v>FARMÁCIA INDIANA LJ 118 (10052)</v>
      </c>
      <c r="S5945" t="s">
        <v>22</v>
      </c>
      <c r="T5945">
        <v>19580</v>
      </c>
      <c r="U5945">
        <v>23656</v>
      </c>
      <c r="V5945" t="s">
        <v>22</v>
      </c>
    </row>
    <row r="5946" spans="1:22">
      <c r="A5946" t="str">
        <f t="shared" si="1059"/>
        <v>14/10/2025</v>
      </c>
      <c r="B5946" t="str">
        <f t="shared" si="1061"/>
        <v>SAÍDA</v>
      </c>
      <c r="C5946" t="str">
        <f t="shared" si="1062"/>
        <v>PIX</v>
      </c>
      <c r="D5946" t="str">
        <f>"23674"</f>
        <v>23674</v>
      </c>
      <c r="E5946" t="str">
        <f t="shared" si="1063"/>
        <v>1</v>
      </c>
      <c r="F5946" t="str">
        <f t="shared" si="1052"/>
        <v>COM</v>
      </c>
      <c r="G5946" t="str">
        <f>"JOSE ERIC SILVA MACENA (854)"</f>
        <v>JOSE ERIC SILVA MACENA (854)</v>
      </c>
      <c r="H5946" t="str">
        <f>"Serv.Prest. 06/10/2025 a 12/10/2025 - PIX: E-MAIL - CHAVE: ericsilva8marcena@gmail.com"</f>
        <v>Serv.Prest. 06/10/2025 a 12/10/2025 - PIX: E-MAIL - CHAVE: ericsilva8marcena@gmail.com</v>
      </c>
      <c r="I5946" t="str">
        <f t="shared" si="1064"/>
        <v>14/10/2025</v>
      </c>
      <c r="J5946" t="str">
        <f t="shared" si="1065"/>
        <v>14/10/2025</v>
      </c>
      <c r="K5946" t="str">
        <f>("14/10/2025")</f>
        <v>14/10/2025</v>
      </c>
      <c r="L5946">
        <v>180</v>
      </c>
      <c r="M5946">
        <v>180</v>
      </c>
      <c r="N5946">
        <v>134</v>
      </c>
      <c r="O5946" t="str">
        <f>"DIARIA DE MOTOBOY"</f>
        <v>DIARIA DE MOTOBOY</v>
      </c>
      <c r="P5946">
        <v>180</v>
      </c>
      <c r="S5946" t="str">
        <f>"BANCO CORA (102)"</f>
        <v>BANCO CORA (102)</v>
      </c>
      <c r="T5946">
        <v>19581</v>
      </c>
      <c r="U5946">
        <v>23674</v>
      </c>
      <c r="V5946" t="s">
        <v>22</v>
      </c>
    </row>
    <row r="5947" spans="1:22">
      <c r="A5947" t="str">
        <f t="shared" si="1059"/>
        <v>14/10/2025</v>
      </c>
      <c r="B5947" t="str">
        <f t="shared" si="1061"/>
        <v>SAÍDA</v>
      </c>
      <c r="C5947" t="str">
        <f t="shared" si="1062"/>
        <v>PIX</v>
      </c>
      <c r="D5947" t="str">
        <f>"23674"</f>
        <v>23674</v>
      </c>
      <c r="E5947" t="str">
        <f t="shared" si="1063"/>
        <v>1</v>
      </c>
      <c r="F5947" t="str">
        <f t="shared" si="1052"/>
        <v>COM</v>
      </c>
      <c r="G5947" t="str">
        <f>"JOSE ERIC SILVA MACENA (854)"</f>
        <v>JOSE ERIC SILVA MACENA (854)</v>
      </c>
      <c r="H5947" t="s">
        <v>1614</v>
      </c>
      <c r="I5947" t="str">
        <f t="shared" si="1064"/>
        <v>14/10/2025</v>
      </c>
      <c r="J5947" t="str">
        <f t="shared" si="1065"/>
        <v>14/10/2025</v>
      </c>
      <c r="K5947">
        <v>45944</v>
      </c>
      <c r="N5947">
        <v>134</v>
      </c>
      <c r="O5947" t="s">
        <v>41</v>
      </c>
      <c r="Q5947">
        <v>180</v>
      </c>
      <c r="R5947" t="str">
        <f>"FARMÁCIA INDIANA LJ 101 (10043)"</f>
        <v>FARMÁCIA INDIANA LJ 101 (10043)</v>
      </c>
      <c r="S5947" t="s">
        <v>22</v>
      </c>
      <c r="T5947">
        <v>19581</v>
      </c>
      <c r="U5947">
        <v>23674</v>
      </c>
      <c r="V5947" t="s">
        <v>22</v>
      </c>
    </row>
    <row r="5948" spans="1:22">
      <c r="A5948" t="str">
        <f t="shared" si="1059"/>
        <v>14/10/2025</v>
      </c>
      <c r="B5948" t="str">
        <f t="shared" si="1061"/>
        <v>SAÍDA</v>
      </c>
      <c r="C5948" t="str">
        <f t="shared" si="1062"/>
        <v>PIX</v>
      </c>
      <c r="D5948" t="str">
        <f>"23678"</f>
        <v>23678</v>
      </c>
      <c r="E5948" t="str">
        <f t="shared" si="1063"/>
        <v>1</v>
      </c>
      <c r="F5948" t="str">
        <f t="shared" si="1052"/>
        <v>COM</v>
      </c>
      <c r="G5948" t="str">
        <f>"JUSSARA CRISTINA FARIA (783)"</f>
        <v>JUSSARA CRISTINA FARIA (783)</v>
      </c>
      <c r="H5948" t="str">
        <f>"Serv.Prest. 06/10/2025 a 12/10/2025 - PIX: CELULAR - CHAVE: (31) 99373-5678"</f>
        <v>Serv.Prest. 06/10/2025 a 12/10/2025 - PIX: CELULAR - CHAVE: (31) 99373-5678</v>
      </c>
      <c r="I5948" t="str">
        <f t="shared" si="1064"/>
        <v>14/10/2025</v>
      </c>
      <c r="J5948" t="str">
        <f t="shared" si="1065"/>
        <v>14/10/2025</v>
      </c>
      <c r="K5948" t="str">
        <f>("14/10/2025")</f>
        <v>14/10/2025</v>
      </c>
      <c r="L5948">
        <v>450</v>
      </c>
      <c r="M5948">
        <v>450</v>
      </c>
      <c r="N5948">
        <v>134</v>
      </c>
      <c r="O5948" t="str">
        <f>"DIARIA DE MOTOBOY"</f>
        <v>DIARIA DE MOTOBOY</v>
      </c>
      <c r="P5948">
        <v>450</v>
      </c>
      <c r="S5948" t="str">
        <f>"BANCO CORA (102)"</f>
        <v>BANCO CORA (102)</v>
      </c>
      <c r="T5948">
        <v>19582</v>
      </c>
      <c r="U5948">
        <v>23678</v>
      </c>
      <c r="V5948" t="s">
        <v>22</v>
      </c>
    </row>
    <row r="5949" spans="1:22">
      <c r="A5949" t="str">
        <f t="shared" si="1059"/>
        <v>14/10/2025</v>
      </c>
      <c r="B5949" t="str">
        <f t="shared" si="1061"/>
        <v>SAÍDA</v>
      </c>
      <c r="C5949" t="str">
        <f t="shared" si="1062"/>
        <v>PIX</v>
      </c>
      <c r="D5949" t="str">
        <f>"23678"</f>
        <v>23678</v>
      </c>
      <c r="E5949" t="str">
        <f t="shared" si="1063"/>
        <v>1</v>
      </c>
      <c r="F5949" t="str">
        <f t="shared" si="1052"/>
        <v>COM</v>
      </c>
      <c r="G5949" t="str">
        <f>"JUSSARA CRISTINA FARIA (783)"</f>
        <v>JUSSARA CRISTINA FARIA (783)</v>
      </c>
      <c r="H5949" t="s">
        <v>1615</v>
      </c>
      <c r="I5949" t="str">
        <f t="shared" si="1064"/>
        <v>14/10/2025</v>
      </c>
      <c r="J5949" t="str">
        <f t="shared" si="1065"/>
        <v>14/10/2025</v>
      </c>
      <c r="K5949">
        <v>45944</v>
      </c>
      <c r="N5949">
        <v>134</v>
      </c>
      <c r="O5949" t="s">
        <v>41</v>
      </c>
      <c r="Q5949">
        <v>450</v>
      </c>
      <c r="R5949" t="str">
        <f>"FARMÁCIA INDIANA LJ 110 (10048)"</f>
        <v>FARMÁCIA INDIANA LJ 110 (10048)</v>
      </c>
      <c r="S5949" t="s">
        <v>22</v>
      </c>
      <c r="T5949">
        <v>19582</v>
      </c>
      <c r="U5949">
        <v>23678</v>
      </c>
      <c r="V5949" t="s">
        <v>22</v>
      </c>
    </row>
    <row r="5950" spans="1:22">
      <c r="A5950" t="str">
        <f t="shared" si="1059"/>
        <v>14/10/2025</v>
      </c>
      <c r="B5950" t="str">
        <f t="shared" si="1061"/>
        <v>SAÍDA</v>
      </c>
      <c r="C5950" t="str">
        <f t="shared" si="1062"/>
        <v>PIX</v>
      </c>
      <c r="D5950" t="str">
        <f>"23681"</f>
        <v>23681</v>
      </c>
      <c r="E5950" t="str">
        <f t="shared" si="1063"/>
        <v>1</v>
      </c>
      <c r="F5950" t="str">
        <f t="shared" si="1052"/>
        <v>COM</v>
      </c>
      <c r="G5950" t="str">
        <f>"LAUAN ROCHA DE MELO (914)"</f>
        <v>LAUAN ROCHA DE MELO (914)</v>
      </c>
      <c r="H5950" t="str">
        <f>"Serv.Prest. 06/10/2025 a 12/10/2025 - PIX: CELULAR - CHAVE: (32) 99913-0476"</f>
        <v>Serv.Prest. 06/10/2025 a 12/10/2025 - PIX: CELULAR - CHAVE: (32) 99913-0476</v>
      </c>
      <c r="I5950" t="str">
        <f t="shared" si="1064"/>
        <v>14/10/2025</v>
      </c>
      <c r="J5950" t="str">
        <f t="shared" si="1065"/>
        <v>14/10/2025</v>
      </c>
      <c r="K5950" t="str">
        <f>("14/10/2025")</f>
        <v>14/10/2025</v>
      </c>
      <c r="L5950">
        <v>120</v>
      </c>
      <c r="M5950">
        <v>120</v>
      </c>
      <c r="N5950">
        <v>134</v>
      </c>
      <c r="O5950" t="str">
        <f>"DIARIA DE MOTOBOY"</f>
        <v>DIARIA DE MOTOBOY</v>
      </c>
      <c r="P5950">
        <v>120</v>
      </c>
      <c r="S5950" t="str">
        <f>"BANCO CORA (102)"</f>
        <v>BANCO CORA (102)</v>
      </c>
      <c r="T5950">
        <v>19583</v>
      </c>
      <c r="U5950">
        <v>23681</v>
      </c>
      <c r="V5950" t="s">
        <v>22</v>
      </c>
    </row>
    <row r="5951" spans="1:22">
      <c r="A5951" t="str">
        <f t="shared" si="1059"/>
        <v>14/10/2025</v>
      </c>
      <c r="B5951" t="str">
        <f t="shared" si="1061"/>
        <v>SAÍDA</v>
      </c>
      <c r="C5951" t="str">
        <f t="shared" si="1062"/>
        <v>PIX</v>
      </c>
      <c r="D5951" t="str">
        <f>"23681"</f>
        <v>23681</v>
      </c>
      <c r="E5951" t="str">
        <f t="shared" si="1063"/>
        <v>1</v>
      </c>
      <c r="F5951" t="str">
        <f t="shared" si="1052"/>
        <v>COM</v>
      </c>
      <c r="G5951" t="str">
        <f>"LAUAN ROCHA DE MELO (914)"</f>
        <v>LAUAN ROCHA DE MELO (914)</v>
      </c>
      <c r="H5951" t="s">
        <v>1616</v>
      </c>
      <c r="I5951" t="str">
        <f t="shared" si="1064"/>
        <v>14/10/2025</v>
      </c>
      <c r="J5951" t="str">
        <f t="shared" si="1065"/>
        <v>14/10/2025</v>
      </c>
      <c r="K5951">
        <v>45944</v>
      </c>
      <c r="N5951">
        <v>134</v>
      </c>
      <c r="O5951" t="s">
        <v>41</v>
      </c>
      <c r="Q5951">
        <v>120</v>
      </c>
      <c r="R5951" t="str">
        <f>"FARMÁCIA INDIANA LJ 109 (10047)"</f>
        <v>FARMÁCIA INDIANA LJ 109 (10047)</v>
      </c>
      <c r="S5951" t="s">
        <v>22</v>
      </c>
      <c r="T5951">
        <v>19583</v>
      </c>
      <c r="U5951">
        <v>23681</v>
      </c>
      <c r="V5951" t="s">
        <v>22</v>
      </c>
    </row>
    <row r="5952" spans="1:22">
      <c r="A5952" t="str">
        <f t="shared" si="1059"/>
        <v>14/10/2025</v>
      </c>
      <c r="B5952" t="str">
        <f t="shared" si="1061"/>
        <v>SAÍDA</v>
      </c>
      <c r="C5952" t="str">
        <f t="shared" si="1062"/>
        <v>PIX</v>
      </c>
      <c r="D5952" t="str">
        <f>"23709"</f>
        <v>23709</v>
      </c>
      <c r="E5952" t="str">
        <f t="shared" si="1063"/>
        <v>1</v>
      </c>
      <c r="F5952" t="str">
        <f t="shared" si="1052"/>
        <v>COM</v>
      </c>
      <c r="G5952" t="str">
        <f>"RAFAEL PEDRO MENDES (944)"</f>
        <v>RAFAEL PEDRO MENDES (944)</v>
      </c>
      <c r="H5952" t="str">
        <f>"Serv.Prest. 06/10/2025 a 12/10/2025 - PIX: CELULAR - CHAVE: (31) 99680-9634"</f>
        <v>Serv.Prest. 06/10/2025 a 12/10/2025 - PIX: CELULAR - CHAVE: (31) 99680-9634</v>
      </c>
      <c r="I5952" t="str">
        <f t="shared" si="1064"/>
        <v>14/10/2025</v>
      </c>
      <c r="J5952" t="str">
        <f t="shared" si="1065"/>
        <v>14/10/2025</v>
      </c>
      <c r="K5952" t="str">
        <f>("14/10/2025")</f>
        <v>14/10/2025</v>
      </c>
      <c r="L5952">
        <v>360</v>
      </c>
      <c r="M5952">
        <v>360</v>
      </c>
      <c r="N5952">
        <v>134</v>
      </c>
      <c r="O5952" t="str">
        <f>"DIARIA DE MOTOBOY"</f>
        <v>DIARIA DE MOTOBOY</v>
      </c>
      <c r="P5952">
        <v>360</v>
      </c>
      <c r="S5952" t="str">
        <f>"BANCO CORA (102)"</f>
        <v>BANCO CORA (102)</v>
      </c>
      <c r="T5952">
        <v>19584</v>
      </c>
      <c r="U5952">
        <v>23709</v>
      </c>
      <c r="V5952" t="s">
        <v>22</v>
      </c>
    </row>
    <row r="5953" spans="1:22">
      <c r="A5953" t="str">
        <f t="shared" si="1059"/>
        <v>14/10/2025</v>
      </c>
      <c r="B5953" t="str">
        <f t="shared" si="1061"/>
        <v>SAÍDA</v>
      </c>
      <c r="C5953" t="str">
        <f t="shared" si="1062"/>
        <v>PIX</v>
      </c>
      <c r="D5953" t="str">
        <f>"23709"</f>
        <v>23709</v>
      </c>
      <c r="E5953" t="str">
        <f t="shared" si="1063"/>
        <v>1</v>
      </c>
      <c r="F5953" t="str">
        <f t="shared" si="1052"/>
        <v>COM</v>
      </c>
      <c r="G5953" t="str">
        <f>"RAFAEL PEDRO MENDES (944)"</f>
        <v>RAFAEL PEDRO MENDES (944)</v>
      </c>
      <c r="H5953" t="s">
        <v>1617</v>
      </c>
      <c r="I5953" t="str">
        <f t="shared" si="1064"/>
        <v>14/10/2025</v>
      </c>
      <c r="J5953" t="str">
        <f t="shared" si="1065"/>
        <v>14/10/2025</v>
      </c>
      <c r="K5953">
        <v>45944</v>
      </c>
      <c r="N5953">
        <v>134</v>
      </c>
      <c r="O5953" t="s">
        <v>41</v>
      </c>
      <c r="Q5953">
        <v>360</v>
      </c>
      <c r="R5953" t="str">
        <f>"FARMÁCIA INDIANA LJ 101 (10043)"</f>
        <v>FARMÁCIA INDIANA LJ 101 (10043)</v>
      </c>
      <c r="S5953" t="s">
        <v>22</v>
      </c>
      <c r="T5953">
        <v>19584</v>
      </c>
      <c r="U5953">
        <v>23709</v>
      </c>
      <c r="V5953" t="s">
        <v>22</v>
      </c>
    </row>
    <row r="5954" spans="1:22">
      <c r="A5954" t="str">
        <f t="shared" si="1059"/>
        <v>14/10/2025</v>
      </c>
      <c r="B5954" t="str">
        <f t="shared" si="1061"/>
        <v>SAÍDA</v>
      </c>
      <c r="C5954" t="str">
        <f t="shared" si="1062"/>
        <v>PIX</v>
      </c>
      <c r="D5954" t="str">
        <f>"23618"</f>
        <v>23618</v>
      </c>
      <c r="E5954" t="str">
        <f t="shared" si="1063"/>
        <v>1</v>
      </c>
      <c r="F5954" t="str">
        <f t="shared" si="1052"/>
        <v>COM</v>
      </c>
      <c r="G5954" t="str">
        <f>"LUAN DOS REIS SILVA (954)"</f>
        <v>LUAN DOS REIS SILVA (954)</v>
      </c>
      <c r="H5954" t="str">
        <f>"Serv.Prest. 06/10/2025 a 12/10/2025 - PIX: CELULAR - CHAVE: (11) 95906-5439"</f>
        <v>Serv.Prest. 06/10/2025 a 12/10/2025 - PIX: CELULAR - CHAVE: (11) 95906-5439</v>
      </c>
      <c r="I5954" t="str">
        <f t="shared" si="1064"/>
        <v>14/10/2025</v>
      </c>
      <c r="J5954" t="str">
        <f t="shared" si="1065"/>
        <v>14/10/2025</v>
      </c>
      <c r="K5954" t="str">
        <f>("14/10/2025")</f>
        <v>14/10/2025</v>
      </c>
      <c r="L5954">
        <v>170</v>
      </c>
      <c r="M5954">
        <v>170</v>
      </c>
      <c r="N5954">
        <v>109</v>
      </c>
      <c r="O5954" t="str">
        <f>"PAGAMENTO DE ENTREGADORES"</f>
        <v>PAGAMENTO DE ENTREGADORES</v>
      </c>
      <c r="P5954">
        <v>170</v>
      </c>
      <c r="S5954" t="str">
        <f>"BANCO CORA (102)"</f>
        <v>BANCO CORA (102)</v>
      </c>
      <c r="T5954">
        <v>19585</v>
      </c>
      <c r="U5954">
        <v>23773</v>
      </c>
      <c r="V5954" t="s">
        <v>22</v>
      </c>
    </row>
    <row r="5955" spans="1:22">
      <c r="A5955" t="str">
        <f t="shared" si="1059"/>
        <v>14/10/2025</v>
      </c>
      <c r="B5955" t="str">
        <f t="shared" si="1061"/>
        <v>SAÍDA</v>
      </c>
      <c r="C5955" t="str">
        <f t="shared" si="1062"/>
        <v>PIX</v>
      </c>
      <c r="D5955" t="str">
        <f>"23618"</f>
        <v>23618</v>
      </c>
      <c r="E5955" t="str">
        <f t="shared" si="1063"/>
        <v>1</v>
      </c>
      <c r="F5955" t="str">
        <f t="shared" si="1052"/>
        <v>COM</v>
      </c>
      <c r="G5955" t="str">
        <f>"LUAN DOS REIS SILVA (954)"</f>
        <v>LUAN DOS REIS SILVA (954)</v>
      </c>
      <c r="H5955" t="s">
        <v>1618</v>
      </c>
      <c r="I5955" t="str">
        <f t="shared" si="1064"/>
        <v>14/10/2025</v>
      </c>
      <c r="J5955" t="str">
        <f t="shared" si="1065"/>
        <v>14/10/2025</v>
      </c>
      <c r="K5955">
        <v>45944</v>
      </c>
      <c r="N5955">
        <v>109</v>
      </c>
      <c r="O5955" t="s">
        <v>24</v>
      </c>
      <c r="Q5955">
        <v>76.739999999999995</v>
      </c>
      <c r="R5955" t="str">
        <f>"PENSE FARMA 05 (10200)"</f>
        <v>PENSE FARMA 05 (10200)</v>
      </c>
      <c r="S5955" t="s">
        <v>22</v>
      </c>
      <c r="T5955">
        <v>19585</v>
      </c>
      <c r="U5955">
        <v>23773</v>
      </c>
      <c r="V5955" t="s">
        <v>22</v>
      </c>
    </row>
    <row r="5956" spans="1:22">
      <c r="A5956" t="str">
        <f t="shared" si="1059"/>
        <v>14/10/2025</v>
      </c>
      <c r="B5956" t="str">
        <f t="shared" si="1061"/>
        <v>SAÍDA</v>
      </c>
      <c r="C5956" t="str">
        <f t="shared" si="1062"/>
        <v>PIX</v>
      </c>
      <c r="D5956" t="str">
        <f>"23618"</f>
        <v>23618</v>
      </c>
      <c r="E5956" t="str">
        <f t="shared" si="1063"/>
        <v>1</v>
      </c>
      <c r="F5956" t="str">
        <f t="shared" si="1052"/>
        <v>COM</v>
      </c>
      <c r="G5956" t="str">
        <f>"LUAN DOS REIS SILVA (954)"</f>
        <v>LUAN DOS REIS SILVA (954)</v>
      </c>
      <c r="H5956" t="s">
        <v>1618</v>
      </c>
      <c r="I5956" t="str">
        <f t="shared" si="1064"/>
        <v>14/10/2025</v>
      </c>
      <c r="J5956" t="str">
        <f t="shared" si="1065"/>
        <v>14/10/2025</v>
      </c>
      <c r="K5956">
        <v>45944</v>
      </c>
      <c r="N5956">
        <v>109</v>
      </c>
      <c r="O5956" t="s">
        <v>24</v>
      </c>
      <c r="Q5956">
        <v>64.92</v>
      </c>
      <c r="R5956" t="str">
        <f>"PENSE FARMA 13 (10202)"</f>
        <v>PENSE FARMA 13 (10202)</v>
      </c>
      <c r="S5956" t="s">
        <v>22</v>
      </c>
      <c r="T5956">
        <v>19585</v>
      </c>
      <c r="U5956">
        <v>23773</v>
      </c>
      <c r="V5956" t="s">
        <v>22</v>
      </c>
    </row>
    <row r="5957" spans="1:22">
      <c r="A5957" t="str">
        <f t="shared" si="1059"/>
        <v>14/10/2025</v>
      </c>
      <c r="B5957" t="str">
        <f t="shared" si="1061"/>
        <v>SAÍDA</v>
      </c>
      <c r="C5957" t="str">
        <f t="shared" si="1062"/>
        <v>PIX</v>
      </c>
      <c r="D5957" t="str">
        <f>"23618"</f>
        <v>23618</v>
      </c>
      <c r="E5957" t="str">
        <f t="shared" si="1063"/>
        <v>1</v>
      </c>
      <c r="F5957" t="str">
        <f t="shared" si="1052"/>
        <v>COM</v>
      </c>
      <c r="G5957" t="str">
        <f>"LUAN DOS REIS SILVA (954)"</f>
        <v>LUAN DOS REIS SILVA (954)</v>
      </c>
      <c r="H5957" t="s">
        <v>1618</v>
      </c>
      <c r="I5957" t="str">
        <f t="shared" si="1064"/>
        <v>14/10/2025</v>
      </c>
      <c r="J5957" t="str">
        <f t="shared" si="1065"/>
        <v>14/10/2025</v>
      </c>
      <c r="K5957">
        <v>45944</v>
      </c>
      <c r="N5957">
        <v>109</v>
      </c>
      <c r="O5957" t="s">
        <v>24</v>
      </c>
      <c r="Q5957">
        <v>28.34</v>
      </c>
      <c r="R5957" t="str">
        <f>"PENSE FARMA 27 (10204)"</f>
        <v>PENSE FARMA 27 (10204)</v>
      </c>
      <c r="S5957" t="s">
        <v>22</v>
      </c>
      <c r="T5957">
        <v>19585</v>
      </c>
      <c r="U5957">
        <v>23773</v>
      </c>
      <c r="V5957" t="s">
        <v>22</v>
      </c>
    </row>
    <row r="5958" spans="1:22">
      <c r="A5958" t="str">
        <f t="shared" si="1059"/>
        <v>14/10/2025</v>
      </c>
      <c r="B5958" t="str">
        <f t="shared" si="1061"/>
        <v>SAÍDA</v>
      </c>
      <c r="C5958" t="str">
        <f t="shared" si="1062"/>
        <v>PIX</v>
      </c>
      <c r="D5958" t="str">
        <f>"23762"</f>
        <v>23762</v>
      </c>
      <c r="E5958" t="str">
        <f t="shared" si="1063"/>
        <v>1</v>
      </c>
      <c r="F5958" t="str">
        <f t="shared" si="1052"/>
        <v>COM</v>
      </c>
      <c r="G5958" t="str">
        <f>"YAN BRENDO CORREIA VIEIRA (861)"</f>
        <v>YAN BRENDO CORREIA VIEIRA (861)</v>
      </c>
      <c r="H5958" t="str">
        <f>"Serv.Prest. 06/10/2025 a 12/10/2025 - PIX: CPF - CHAVE: 096.891.935-97"</f>
        <v>Serv.Prest. 06/10/2025 a 12/10/2025 - PIX: CPF - CHAVE: 096.891.935-97</v>
      </c>
      <c r="I5958" t="str">
        <f t="shared" si="1064"/>
        <v>14/10/2025</v>
      </c>
      <c r="J5958" t="str">
        <f t="shared" si="1065"/>
        <v>14/10/2025</v>
      </c>
      <c r="K5958" t="str">
        <f>("14/10/2025")</f>
        <v>14/10/2025</v>
      </c>
      <c r="L5958">
        <v>150</v>
      </c>
      <c r="M5958">
        <v>150</v>
      </c>
      <c r="N5958">
        <v>109</v>
      </c>
      <c r="O5958" t="str">
        <f>"PAGAMENTO DE ENTREGADORES"</f>
        <v>PAGAMENTO DE ENTREGADORES</v>
      </c>
      <c r="P5958">
        <v>150</v>
      </c>
      <c r="S5958" t="str">
        <f>"BANCO CORA (102)"</f>
        <v>BANCO CORA (102)</v>
      </c>
      <c r="T5958">
        <v>19586</v>
      </c>
      <c r="U5958">
        <v>23777</v>
      </c>
      <c r="V5958" t="s">
        <v>22</v>
      </c>
    </row>
    <row r="5959" spans="1:22">
      <c r="A5959" t="str">
        <f t="shared" si="1059"/>
        <v>14/10/2025</v>
      </c>
      <c r="B5959" t="str">
        <f t="shared" si="1061"/>
        <v>SAÍDA</v>
      </c>
      <c r="C5959" t="str">
        <f t="shared" si="1062"/>
        <v>PIX</v>
      </c>
      <c r="D5959" t="str">
        <f>"23762"</f>
        <v>23762</v>
      </c>
      <c r="E5959" t="str">
        <f t="shared" si="1063"/>
        <v>1</v>
      </c>
      <c r="F5959" t="str">
        <f t="shared" si="1052"/>
        <v>COM</v>
      </c>
      <c r="G5959" t="str">
        <f>"YAN BRENDO CORREIA VIEIRA (861)"</f>
        <v>YAN BRENDO CORREIA VIEIRA (861)</v>
      </c>
      <c r="H5959" t="s">
        <v>1619</v>
      </c>
      <c r="I5959" t="str">
        <f t="shared" si="1064"/>
        <v>14/10/2025</v>
      </c>
      <c r="J5959" t="str">
        <f t="shared" si="1065"/>
        <v>14/10/2025</v>
      </c>
      <c r="K5959">
        <v>45944</v>
      </c>
      <c r="N5959">
        <v>109</v>
      </c>
      <c r="O5959" t="s">
        <v>24</v>
      </c>
      <c r="Q5959">
        <v>150</v>
      </c>
      <c r="R5959" t="str">
        <f>"FARMÁCIA INDIANA LJ 200 (10155)"</f>
        <v>FARMÁCIA INDIANA LJ 200 (10155)</v>
      </c>
      <c r="S5959" t="s">
        <v>22</v>
      </c>
      <c r="T5959">
        <v>19586</v>
      </c>
      <c r="U5959">
        <v>23777</v>
      </c>
      <c r="V5959" t="s">
        <v>22</v>
      </c>
    </row>
    <row r="5960" spans="1:22">
      <c r="A5960" t="str">
        <f t="shared" si="1059"/>
        <v>14/10/2025</v>
      </c>
      <c r="B5960" t="str">
        <f t="shared" si="1061"/>
        <v>SAÍDA</v>
      </c>
      <c r="C5960" t="str">
        <f t="shared" si="1062"/>
        <v>PIX</v>
      </c>
      <c r="D5960" t="str">
        <f>"23955"</f>
        <v>23955</v>
      </c>
      <c r="E5960" t="str">
        <f t="shared" si="1063"/>
        <v>1</v>
      </c>
      <c r="F5960" t="str">
        <f t="shared" si="1052"/>
        <v>COM</v>
      </c>
      <c r="G5960" t="str">
        <f>"WILLIAM DA SILVA COSTA (655)"</f>
        <v>WILLIAM DA SILVA COSTA (655)</v>
      </c>
      <c r="H5960" t="str">
        <f>"PAGO PARA ULISSES SOUSA SANTOS - Serv.Prest. 13/10/2025 a 19/10/2025"</f>
        <v>PAGO PARA ULISSES SOUSA SANTOS - Serv.Prest. 13/10/2025 a 19/10/2025</v>
      </c>
      <c r="I5960" t="str">
        <f>("21/10/2025")</f>
        <v>21/10/2025</v>
      </c>
      <c r="J5960" t="str">
        <f>("21/10/2025")</f>
        <v>21/10/2025</v>
      </c>
      <c r="K5960" t="str">
        <f>("14/10/2025")</f>
        <v>14/10/2025</v>
      </c>
      <c r="L5960">
        <v>93</v>
      </c>
      <c r="M5960">
        <v>150</v>
      </c>
      <c r="N5960">
        <v>134</v>
      </c>
      <c r="O5960" t="str">
        <f>"DIARIA DE MOTOBOY"</f>
        <v>DIARIA DE MOTOBOY</v>
      </c>
      <c r="P5960">
        <v>150</v>
      </c>
      <c r="S5960" t="str">
        <f>"BANCO CORA (102)"</f>
        <v>BANCO CORA (102)</v>
      </c>
      <c r="T5960">
        <v>20098</v>
      </c>
      <c r="U5960">
        <v>24138</v>
      </c>
      <c r="V5960" t="s">
        <v>22</v>
      </c>
    </row>
    <row r="5961" spans="1:22">
      <c r="A5961" t="str">
        <f t="shared" si="1059"/>
        <v>14/10/2025</v>
      </c>
      <c r="B5961" t="str">
        <f t="shared" si="1061"/>
        <v>SAÍDA</v>
      </c>
      <c r="C5961" t="str">
        <f t="shared" si="1062"/>
        <v>PIX</v>
      </c>
      <c r="D5961" t="str">
        <f>"23955"</f>
        <v>23955</v>
      </c>
      <c r="E5961" t="str">
        <f t="shared" si="1063"/>
        <v>1</v>
      </c>
      <c r="F5961" t="str">
        <f t="shared" si="1052"/>
        <v>COM</v>
      </c>
      <c r="G5961" t="str">
        <f>"WILLIAM DA SILVA COSTA (655)"</f>
        <v>WILLIAM DA SILVA COSTA (655)</v>
      </c>
      <c r="H5961" t="s">
        <v>1620</v>
      </c>
      <c r="I5961" t="str">
        <f>("21/10/2025")</f>
        <v>21/10/2025</v>
      </c>
      <c r="J5961" t="str">
        <f>("21/10/2025")</f>
        <v>21/10/2025</v>
      </c>
      <c r="K5961">
        <v>45944</v>
      </c>
      <c r="N5961">
        <v>134</v>
      </c>
      <c r="O5961" t="s">
        <v>41</v>
      </c>
      <c r="Q5961">
        <v>150</v>
      </c>
      <c r="R5961" t="str">
        <f>"FARMACIA ECONOMIZE (10103)"</f>
        <v>FARMACIA ECONOMIZE (10103)</v>
      </c>
      <c r="S5961" t="s">
        <v>22</v>
      </c>
      <c r="T5961">
        <v>20098</v>
      </c>
      <c r="U5961">
        <v>24138</v>
      </c>
      <c r="V5961" t="s">
        <v>22</v>
      </c>
    </row>
    <row r="5962" spans="1:22">
      <c r="A5962" t="str">
        <f t="shared" ref="A5962:A6025" si="1066">("15/10/2025")</f>
        <v>15/10/2025</v>
      </c>
      <c r="B5962" t="str">
        <f>"ENTRADA"</f>
        <v>ENTRADA</v>
      </c>
      <c r="C5962" t="str">
        <f>"DINHEIRO"</f>
        <v>DINHEIRO</v>
      </c>
      <c r="D5962" t="str">
        <f>"1510"</f>
        <v>1510</v>
      </c>
      <c r="E5962" t="str">
        <f t="shared" ref="E5962:E6005" si="1067">"25"</f>
        <v>25</v>
      </c>
      <c r="F5962" t="str">
        <f t="shared" si="1052"/>
        <v>COM</v>
      </c>
      <c r="G5962" t="str">
        <f t="shared" ref="G5962:G5973" si="1068">"CASSIO DIAS RIBEIRO (32)"</f>
        <v>CASSIO DIAS RIBEIRO (32)</v>
      </c>
      <c r="H5962" t="str">
        <f>"REEMBOLSO ADIANTAMENTO LIDERANÇA"</f>
        <v>REEMBOLSO ADIANTAMENTO LIDERANÇA</v>
      </c>
      <c r="I5962" t="str">
        <f t="shared" ref="I5962:I6005" si="1069">("15/10/2025")</f>
        <v>15/10/2025</v>
      </c>
      <c r="J5962" t="str">
        <f>("20/08/2025")</f>
        <v>20/08/2025</v>
      </c>
      <c r="K5962" t="str">
        <f>("15/10/2025")</f>
        <v>15/10/2025</v>
      </c>
      <c r="L5962">
        <v>500</v>
      </c>
      <c r="M5962">
        <v>500</v>
      </c>
      <c r="N5962">
        <v>129</v>
      </c>
      <c r="O5962" t="str">
        <f>"ENTRADA DE REEMBOLSO ADIANTAMENTO"</f>
        <v>ENTRADA DE REEMBOLSO ADIANTAMENTO</v>
      </c>
      <c r="P5962">
        <v>500</v>
      </c>
      <c r="S5962" t="str">
        <f>"ENTRADA DE REEMBOLSO ADIANTAMENTO (129)"</f>
        <v>ENTRADA DE REEMBOLSO ADIANTAMENTO (129)</v>
      </c>
      <c r="T5962">
        <v>19587</v>
      </c>
      <c r="U5962">
        <v>20690</v>
      </c>
      <c r="V5962" t="s">
        <v>48</v>
      </c>
    </row>
    <row r="5963" spans="1:22">
      <c r="A5963" t="str">
        <f t="shared" si="1066"/>
        <v>15/10/2025</v>
      </c>
      <c r="B5963" t="str">
        <f>"ENTRADA"</f>
        <v>ENTRADA</v>
      </c>
      <c r="C5963" t="str">
        <f>"DINHEIRO"</f>
        <v>DINHEIRO</v>
      </c>
      <c r="D5963" t="str">
        <f>"1510"</f>
        <v>1510</v>
      </c>
      <c r="E5963" t="str">
        <f t="shared" si="1067"/>
        <v>25</v>
      </c>
      <c r="F5963" t="str">
        <f t="shared" si="1052"/>
        <v>COM</v>
      </c>
      <c r="G5963" t="str">
        <f t="shared" si="1068"/>
        <v>CASSIO DIAS RIBEIRO (32)</v>
      </c>
      <c r="H5963" t="s">
        <v>558</v>
      </c>
      <c r="I5963" t="str">
        <f t="shared" si="1069"/>
        <v>15/10/2025</v>
      </c>
      <c r="J5963" t="str">
        <f>("20/08/2025")</f>
        <v>20/08/2025</v>
      </c>
      <c r="K5963">
        <v>45945</v>
      </c>
      <c r="N5963">
        <v>129</v>
      </c>
      <c r="O5963" t="s">
        <v>58</v>
      </c>
      <c r="Q5963">
        <v>500</v>
      </c>
      <c r="R5963" t="str">
        <f>"CASSIO DIAS RIBEIRO (32)"</f>
        <v>CASSIO DIAS RIBEIRO (32)</v>
      </c>
      <c r="S5963" t="s">
        <v>59</v>
      </c>
      <c r="T5963">
        <v>19587</v>
      </c>
      <c r="U5963">
        <v>20690</v>
      </c>
      <c r="V5963" t="s">
        <v>48</v>
      </c>
    </row>
    <row r="5964" spans="1:22">
      <c r="A5964" t="str">
        <f t="shared" si="1066"/>
        <v>15/10/2025</v>
      </c>
      <c r="B5964" t="str">
        <f t="shared" ref="B5964:B5993" si="1070">"SAÍDA"</f>
        <v>SAÍDA</v>
      </c>
      <c r="C5964" t="str">
        <f t="shared" ref="C5964:C5993" si="1071">"PIX"</f>
        <v>PIX</v>
      </c>
      <c r="D5964" t="str">
        <f t="shared" ref="D5964:D5993" si="1072">"151020"</f>
        <v>151020</v>
      </c>
      <c r="E5964" t="str">
        <f t="shared" si="1067"/>
        <v>25</v>
      </c>
      <c r="F5964" t="str">
        <f t="shared" si="1052"/>
        <v>COM</v>
      </c>
      <c r="G5964" t="str">
        <f t="shared" si="1068"/>
        <v>CASSIO DIAS RIBEIRO (32)</v>
      </c>
      <c r="H5964" t="str">
        <f>"PAGAMENTO LIDERANÇA REF. MES 09/2025 - PIX: CPF - CHAVE: 091.575.986-14"</f>
        <v>PAGAMENTO LIDERANÇA REF. MES 09/2025 - PIX: CPF - CHAVE: 091.575.986-14</v>
      </c>
      <c r="I5964" t="str">
        <f t="shared" si="1069"/>
        <v>15/10/2025</v>
      </c>
      <c r="J5964" t="str">
        <f t="shared" ref="J5964:J5993" si="1073">("30/09/2025")</f>
        <v>30/09/2025</v>
      </c>
      <c r="K5964" t="str">
        <f>("15/10/2025")</f>
        <v>15/10/2025</v>
      </c>
      <c r="L5964">
        <v>500</v>
      </c>
      <c r="M5964">
        <v>500</v>
      </c>
      <c r="N5964">
        <v>120</v>
      </c>
      <c r="O5964" t="str">
        <f>"PAGAMENTO COMISSAO LIDERES"</f>
        <v>PAGAMENTO COMISSAO LIDERES</v>
      </c>
      <c r="P5964">
        <v>500</v>
      </c>
      <c r="S5964" t="str">
        <f>"CAIXA MOVIMENTAÇÃO OPERACIONAL (132)"</f>
        <v>CAIXA MOVIMENTAÇÃO OPERACIONAL (132)</v>
      </c>
      <c r="T5964">
        <v>19588</v>
      </c>
      <c r="U5964">
        <v>23801</v>
      </c>
      <c r="V5964" t="s">
        <v>48</v>
      </c>
    </row>
    <row r="5965" spans="1:22">
      <c r="A5965" t="str">
        <f t="shared" si="1066"/>
        <v>15/10/2025</v>
      </c>
      <c r="B5965" t="str">
        <f t="shared" si="1070"/>
        <v>SAÍDA</v>
      </c>
      <c r="C5965" t="str">
        <f t="shared" si="1071"/>
        <v>PIX</v>
      </c>
      <c r="D5965" t="str">
        <f t="shared" si="1072"/>
        <v>151020</v>
      </c>
      <c r="E5965" t="str">
        <f t="shared" si="1067"/>
        <v>25</v>
      </c>
      <c r="F5965" t="str">
        <f t="shared" si="1052"/>
        <v>COM</v>
      </c>
      <c r="G5965" t="str">
        <f t="shared" si="1068"/>
        <v>CASSIO DIAS RIBEIRO (32)</v>
      </c>
      <c r="H5965" t="s">
        <v>1621</v>
      </c>
      <c r="I5965" t="str">
        <f t="shared" si="1069"/>
        <v>15/10/2025</v>
      </c>
      <c r="J5965" t="str">
        <f t="shared" si="1073"/>
        <v>30/09/2025</v>
      </c>
      <c r="K5965">
        <v>45945</v>
      </c>
      <c r="N5965">
        <v>120</v>
      </c>
      <c r="O5965" t="s">
        <v>306</v>
      </c>
      <c r="Q5965">
        <v>139.5</v>
      </c>
      <c r="R5965" t="str">
        <f>"FARMÁCIA INDIANA LJ 06 (10006)"</f>
        <v>FARMÁCIA INDIANA LJ 06 (10006)</v>
      </c>
      <c r="S5965" t="s">
        <v>48</v>
      </c>
      <c r="T5965">
        <v>19588</v>
      </c>
      <c r="U5965">
        <v>23801</v>
      </c>
      <c r="V5965" t="s">
        <v>48</v>
      </c>
    </row>
    <row r="5966" spans="1:22">
      <c r="A5966" t="str">
        <f t="shared" si="1066"/>
        <v>15/10/2025</v>
      </c>
      <c r="B5966" t="str">
        <f t="shared" si="1070"/>
        <v>SAÍDA</v>
      </c>
      <c r="C5966" t="str">
        <f t="shared" si="1071"/>
        <v>PIX</v>
      </c>
      <c r="D5966" t="str">
        <f t="shared" si="1072"/>
        <v>151020</v>
      </c>
      <c r="E5966" t="str">
        <f t="shared" si="1067"/>
        <v>25</v>
      </c>
      <c r="F5966" t="str">
        <f t="shared" si="1052"/>
        <v>COM</v>
      </c>
      <c r="G5966" t="str">
        <f t="shared" si="1068"/>
        <v>CASSIO DIAS RIBEIRO (32)</v>
      </c>
      <c r="H5966" t="s">
        <v>1621</v>
      </c>
      <c r="I5966" t="str">
        <f t="shared" si="1069"/>
        <v>15/10/2025</v>
      </c>
      <c r="J5966" t="str">
        <f t="shared" si="1073"/>
        <v>30/09/2025</v>
      </c>
      <c r="K5966">
        <v>45945</v>
      </c>
      <c r="N5966">
        <v>120</v>
      </c>
      <c r="O5966" t="s">
        <v>306</v>
      </c>
      <c r="Q5966">
        <v>78.599999999999994</v>
      </c>
      <c r="R5966" t="str">
        <f>"FARMÁCIA INDIANA LJ 11 (10008)"</f>
        <v>FARMÁCIA INDIANA LJ 11 (10008)</v>
      </c>
      <c r="S5966" t="s">
        <v>48</v>
      </c>
      <c r="T5966">
        <v>19588</v>
      </c>
      <c r="U5966">
        <v>23801</v>
      </c>
      <c r="V5966" t="s">
        <v>48</v>
      </c>
    </row>
    <row r="5967" spans="1:22">
      <c r="A5967" t="str">
        <f t="shared" si="1066"/>
        <v>15/10/2025</v>
      </c>
      <c r="B5967" t="str">
        <f t="shared" si="1070"/>
        <v>SAÍDA</v>
      </c>
      <c r="C5967" t="str">
        <f t="shared" si="1071"/>
        <v>PIX</v>
      </c>
      <c r="D5967" t="str">
        <f t="shared" si="1072"/>
        <v>151020</v>
      </c>
      <c r="E5967" t="str">
        <f t="shared" si="1067"/>
        <v>25</v>
      </c>
      <c r="F5967" t="str">
        <f t="shared" si="1052"/>
        <v>COM</v>
      </c>
      <c r="G5967" t="str">
        <f t="shared" si="1068"/>
        <v>CASSIO DIAS RIBEIRO (32)</v>
      </c>
      <c r="H5967" t="s">
        <v>1621</v>
      </c>
      <c r="I5967" t="str">
        <f t="shared" si="1069"/>
        <v>15/10/2025</v>
      </c>
      <c r="J5967" t="str">
        <f t="shared" si="1073"/>
        <v>30/09/2025</v>
      </c>
      <c r="K5967">
        <v>45945</v>
      </c>
      <c r="N5967">
        <v>120</v>
      </c>
      <c r="O5967" t="s">
        <v>306</v>
      </c>
      <c r="Q5967">
        <v>27.65</v>
      </c>
      <c r="R5967" t="str">
        <f>"FARMÁCIA INDIANA LJ 18 (10011)"</f>
        <v>FARMÁCIA INDIANA LJ 18 (10011)</v>
      </c>
      <c r="S5967" t="s">
        <v>48</v>
      </c>
      <c r="T5967">
        <v>19588</v>
      </c>
      <c r="U5967">
        <v>23801</v>
      </c>
      <c r="V5967" t="s">
        <v>48</v>
      </c>
    </row>
    <row r="5968" spans="1:22">
      <c r="A5968" t="str">
        <f t="shared" si="1066"/>
        <v>15/10/2025</v>
      </c>
      <c r="B5968" t="str">
        <f t="shared" si="1070"/>
        <v>SAÍDA</v>
      </c>
      <c r="C5968" t="str">
        <f t="shared" si="1071"/>
        <v>PIX</v>
      </c>
      <c r="D5968" t="str">
        <f t="shared" si="1072"/>
        <v>151020</v>
      </c>
      <c r="E5968" t="str">
        <f t="shared" si="1067"/>
        <v>25</v>
      </c>
      <c r="F5968" t="str">
        <f t="shared" ref="F5968:F6031" si="1074">"COM"</f>
        <v>COM</v>
      </c>
      <c r="G5968" t="str">
        <f t="shared" si="1068"/>
        <v>CASSIO DIAS RIBEIRO (32)</v>
      </c>
      <c r="H5968" t="s">
        <v>1621</v>
      </c>
      <c r="I5968" t="str">
        <f t="shared" si="1069"/>
        <v>15/10/2025</v>
      </c>
      <c r="J5968" t="str">
        <f t="shared" si="1073"/>
        <v>30/09/2025</v>
      </c>
      <c r="K5968">
        <v>45945</v>
      </c>
      <c r="N5968">
        <v>120</v>
      </c>
      <c r="O5968" t="s">
        <v>306</v>
      </c>
      <c r="Q5968">
        <v>27.65</v>
      </c>
      <c r="R5968" t="str">
        <f>"FARMÁCIA INDIANA LJ 19 (10012)"</f>
        <v>FARMÁCIA INDIANA LJ 19 (10012)</v>
      </c>
      <c r="S5968" t="s">
        <v>48</v>
      </c>
      <c r="T5968">
        <v>19588</v>
      </c>
      <c r="U5968">
        <v>23801</v>
      </c>
      <c r="V5968" t="s">
        <v>48</v>
      </c>
    </row>
    <row r="5969" spans="1:22">
      <c r="A5969" t="str">
        <f t="shared" si="1066"/>
        <v>15/10/2025</v>
      </c>
      <c r="B5969" t="str">
        <f t="shared" si="1070"/>
        <v>SAÍDA</v>
      </c>
      <c r="C5969" t="str">
        <f t="shared" si="1071"/>
        <v>PIX</v>
      </c>
      <c r="D5969" t="str">
        <f t="shared" si="1072"/>
        <v>151020</v>
      </c>
      <c r="E5969" t="str">
        <f t="shared" si="1067"/>
        <v>25</v>
      </c>
      <c r="F5969" t="str">
        <f t="shared" si="1074"/>
        <v>COM</v>
      </c>
      <c r="G5969" t="str">
        <f t="shared" si="1068"/>
        <v>CASSIO DIAS RIBEIRO (32)</v>
      </c>
      <c r="H5969" t="s">
        <v>1621</v>
      </c>
      <c r="I5969" t="str">
        <f t="shared" si="1069"/>
        <v>15/10/2025</v>
      </c>
      <c r="J5969" t="str">
        <f t="shared" si="1073"/>
        <v>30/09/2025</v>
      </c>
      <c r="K5969">
        <v>45945</v>
      </c>
      <c r="N5969">
        <v>120</v>
      </c>
      <c r="O5969" t="s">
        <v>306</v>
      </c>
      <c r="Q5969">
        <v>56.6</v>
      </c>
      <c r="R5969" t="str">
        <f>"FARMÁCIA INDIANA LJ 142 (10066)"</f>
        <v>FARMÁCIA INDIANA LJ 142 (10066)</v>
      </c>
      <c r="S5969" t="s">
        <v>48</v>
      </c>
      <c r="T5969">
        <v>19588</v>
      </c>
      <c r="U5969">
        <v>23801</v>
      </c>
      <c r="V5969" t="s">
        <v>48</v>
      </c>
    </row>
    <row r="5970" spans="1:22">
      <c r="A5970" t="str">
        <f t="shared" si="1066"/>
        <v>15/10/2025</v>
      </c>
      <c r="B5970" t="str">
        <f t="shared" si="1070"/>
        <v>SAÍDA</v>
      </c>
      <c r="C5970" t="str">
        <f t="shared" si="1071"/>
        <v>PIX</v>
      </c>
      <c r="D5970" t="str">
        <f t="shared" si="1072"/>
        <v>151020</v>
      </c>
      <c r="E5970" t="str">
        <f t="shared" si="1067"/>
        <v>25</v>
      </c>
      <c r="F5970" t="str">
        <f t="shared" si="1074"/>
        <v>COM</v>
      </c>
      <c r="G5970" t="str">
        <f t="shared" si="1068"/>
        <v>CASSIO DIAS RIBEIRO (32)</v>
      </c>
      <c r="H5970" t="s">
        <v>1621</v>
      </c>
      <c r="I5970" t="str">
        <f t="shared" si="1069"/>
        <v>15/10/2025</v>
      </c>
      <c r="J5970" t="str">
        <f t="shared" si="1073"/>
        <v>30/09/2025</v>
      </c>
      <c r="K5970">
        <v>45945</v>
      </c>
      <c r="N5970">
        <v>120</v>
      </c>
      <c r="O5970" t="s">
        <v>306</v>
      </c>
      <c r="Q5970">
        <v>13.4</v>
      </c>
      <c r="R5970" t="str">
        <f>"FARMÁCIA INDIANA LJ 181 (10078)"</f>
        <v>FARMÁCIA INDIANA LJ 181 (10078)</v>
      </c>
      <c r="S5970" t="s">
        <v>48</v>
      </c>
      <c r="T5970">
        <v>19588</v>
      </c>
      <c r="U5970">
        <v>23801</v>
      </c>
      <c r="V5970" t="s">
        <v>48</v>
      </c>
    </row>
    <row r="5971" spans="1:22">
      <c r="A5971" t="str">
        <f t="shared" si="1066"/>
        <v>15/10/2025</v>
      </c>
      <c r="B5971" t="str">
        <f t="shared" si="1070"/>
        <v>SAÍDA</v>
      </c>
      <c r="C5971" t="str">
        <f t="shared" si="1071"/>
        <v>PIX</v>
      </c>
      <c r="D5971" t="str">
        <f t="shared" si="1072"/>
        <v>151020</v>
      </c>
      <c r="E5971" t="str">
        <f t="shared" si="1067"/>
        <v>25</v>
      </c>
      <c r="F5971" t="str">
        <f t="shared" si="1074"/>
        <v>COM</v>
      </c>
      <c r="G5971" t="str">
        <f t="shared" si="1068"/>
        <v>CASSIO DIAS RIBEIRO (32)</v>
      </c>
      <c r="H5971" t="s">
        <v>1621</v>
      </c>
      <c r="I5971" t="str">
        <f t="shared" si="1069"/>
        <v>15/10/2025</v>
      </c>
      <c r="J5971" t="str">
        <f t="shared" si="1073"/>
        <v>30/09/2025</v>
      </c>
      <c r="K5971">
        <v>45945</v>
      </c>
      <c r="N5971">
        <v>120</v>
      </c>
      <c r="O5971" t="s">
        <v>306</v>
      </c>
      <c r="Q5971">
        <v>47.55</v>
      </c>
      <c r="R5971" t="str">
        <f>"FARMÁCIA INDIANA LJ 172 (10161)"</f>
        <v>FARMÁCIA INDIANA LJ 172 (10161)</v>
      </c>
      <c r="S5971" t="s">
        <v>48</v>
      </c>
      <c r="T5971">
        <v>19588</v>
      </c>
      <c r="U5971">
        <v>23801</v>
      </c>
      <c r="V5971" t="s">
        <v>48</v>
      </c>
    </row>
    <row r="5972" spans="1:22">
      <c r="A5972" t="str">
        <f t="shared" si="1066"/>
        <v>15/10/2025</v>
      </c>
      <c r="B5972" t="str">
        <f t="shared" si="1070"/>
        <v>SAÍDA</v>
      </c>
      <c r="C5972" t="str">
        <f t="shared" si="1071"/>
        <v>PIX</v>
      </c>
      <c r="D5972" t="str">
        <f t="shared" si="1072"/>
        <v>151020</v>
      </c>
      <c r="E5972" t="str">
        <f t="shared" si="1067"/>
        <v>25</v>
      </c>
      <c r="F5972" t="str">
        <f t="shared" si="1074"/>
        <v>COM</v>
      </c>
      <c r="G5972" t="str">
        <f t="shared" si="1068"/>
        <v>CASSIO DIAS RIBEIRO (32)</v>
      </c>
      <c r="H5972" t="s">
        <v>1621</v>
      </c>
      <c r="I5972" t="str">
        <f t="shared" si="1069"/>
        <v>15/10/2025</v>
      </c>
      <c r="J5972" t="str">
        <f t="shared" si="1073"/>
        <v>30/09/2025</v>
      </c>
      <c r="K5972">
        <v>45945</v>
      </c>
      <c r="N5972">
        <v>120</v>
      </c>
      <c r="O5972" t="s">
        <v>306</v>
      </c>
      <c r="Q5972">
        <v>94.95</v>
      </c>
      <c r="R5972" t="str">
        <f>"ENTREFARMA (10164)"</f>
        <v>ENTREFARMA (10164)</v>
      </c>
      <c r="S5972" t="s">
        <v>48</v>
      </c>
      <c r="T5972">
        <v>19588</v>
      </c>
      <c r="U5972">
        <v>23801</v>
      </c>
      <c r="V5972" t="s">
        <v>48</v>
      </c>
    </row>
    <row r="5973" spans="1:22">
      <c r="A5973" t="str">
        <f t="shared" si="1066"/>
        <v>15/10/2025</v>
      </c>
      <c r="B5973" t="str">
        <f t="shared" si="1070"/>
        <v>SAÍDA</v>
      </c>
      <c r="C5973" t="str">
        <f t="shared" si="1071"/>
        <v>PIX</v>
      </c>
      <c r="D5973" t="str">
        <f t="shared" si="1072"/>
        <v>151020</v>
      </c>
      <c r="E5973" t="str">
        <f t="shared" si="1067"/>
        <v>25</v>
      </c>
      <c r="F5973" t="str">
        <f t="shared" si="1074"/>
        <v>COM</v>
      </c>
      <c r="G5973" t="str">
        <f t="shared" si="1068"/>
        <v>CASSIO DIAS RIBEIRO (32)</v>
      </c>
      <c r="H5973" t="s">
        <v>1621</v>
      </c>
      <c r="I5973" t="str">
        <f t="shared" si="1069"/>
        <v>15/10/2025</v>
      </c>
      <c r="J5973" t="str">
        <f t="shared" si="1073"/>
        <v>30/09/2025</v>
      </c>
      <c r="K5973">
        <v>45945</v>
      </c>
      <c r="N5973">
        <v>120</v>
      </c>
      <c r="O5973" t="s">
        <v>306</v>
      </c>
      <c r="Q5973">
        <v>14.1</v>
      </c>
      <c r="R5973" t="str">
        <f>"DROGARIA VAZ (10179)"</f>
        <v>DROGARIA VAZ (10179)</v>
      </c>
      <c r="S5973" t="s">
        <v>48</v>
      </c>
      <c r="T5973">
        <v>19588</v>
      </c>
      <c r="U5973">
        <v>23801</v>
      </c>
      <c r="V5973" t="s">
        <v>48</v>
      </c>
    </row>
    <row r="5974" spans="1:22">
      <c r="A5974" t="str">
        <f t="shared" si="1066"/>
        <v>15/10/2025</v>
      </c>
      <c r="B5974" t="str">
        <f t="shared" si="1070"/>
        <v>SAÍDA</v>
      </c>
      <c r="C5974" t="str">
        <f t="shared" si="1071"/>
        <v>PIX</v>
      </c>
      <c r="D5974" t="str">
        <f t="shared" si="1072"/>
        <v>151020</v>
      </c>
      <c r="E5974" t="str">
        <f t="shared" si="1067"/>
        <v>25</v>
      </c>
      <c r="F5974" t="str">
        <f t="shared" si="1074"/>
        <v>COM</v>
      </c>
      <c r="G5974" t="str">
        <f t="shared" ref="G5974:G5995" si="1075">"GILSON OLIVEIRA CAMPINHO JUNIOR (132)"</f>
        <v>GILSON OLIVEIRA CAMPINHO JUNIOR (132)</v>
      </c>
      <c r="H5974" t="str">
        <f>"PAGAMENTO LIDERANÇA REF. MES 09/2025 - PIX: CELULAR - CHAVE: (73) 988381077"</f>
        <v>PAGAMENTO LIDERANÇA REF. MES 09/2025 - PIX: CELULAR - CHAVE: (73) 988381077</v>
      </c>
      <c r="I5974" t="str">
        <f t="shared" si="1069"/>
        <v>15/10/2025</v>
      </c>
      <c r="J5974" t="str">
        <f t="shared" si="1073"/>
        <v>30/09/2025</v>
      </c>
      <c r="K5974" t="str">
        <f>("15/10/2025")</f>
        <v>15/10/2025</v>
      </c>
      <c r="L5974">
        <v>2034.57</v>
      </c>
      <c r="M5974">
        <v>2034.57</v>
      </c>
      <c r="N5974">
        <v>120</v>
      </c>
      <c r="O5974" t="str">
        <f>"PAGAMENTO COMISSAO LIDERES"</f>
        <v>PAGAMENTO COMISSAO LIDERES</v>
      </c>
      <c r="P5974">
        <v>2034.57</v>
      </c>
      <c r="S5974" t="str">
        <f>"CAIXA MOVIMENTAÇÃO OPERACIONAL (132)"</f>
        <v>CAIXA MOVIMENTAÇÃO OPERACIONAL (132)</v>
      </c>
      <c r="T5974">
        <v>19589</v>
      </c>
      <c r="U5974">
        <v>23802</v>
      </c>
      <c r="V5974" t="s">
        <v>48</v>
      </c>
    </row>
    <row r="5975" spans="1:22">
      <c r="A5975" t="str">
        <f t="shared" si="1066"/>
        <v>15/10/2025</v>
      </c>
      <c r="B5975" t="str">
        <f t="shared" si="1070"/>
        <v>SAÍDA</v>
      </c>
      <c r="C5975" t="str">
        <f t="shared" si="1071"/>
        <v>PIX</v>
      </c>
      <c r="D5975" t="str">
        <f t="shared" si="1072"/>
        <v>151020</v>
      </c>
      <c r="E5975" t="str">
        <f t="shared" si="1067"/>
        <v>25</v>
      </c>
      <c r="F5975" t="str">
        <f t="shared" si="1074"/>
        <v>COM</v>
      </c>
      <c r="G5975" t="str">
        <f t="shared" si="1075"/>
        <v>GILSON OLIVEIRA CAMPINHO JUNIOR (132)</v>
      </c>
      <c r="H5975" t="s">
        <v>1622</v>
      </c>
      <c r="I5975" t="str">
        <f t="shared" si="1069"/>
        <v>15/10/2025</v>
      </c>
      <c r="J5975" t="str">
        <f t="shared" si="1073"/>
        <v>30/09/2025</v>
      </c>
      <c r="K5975">
        <v>45945</v>
      </c>
      <c r="N5975">
        <v>120</v>
      </c>
      <c r="O5975" t="s">
        <v>306</v>
      </c>
      <c r="Q5975">
        <v>105.77</v>
      </c>
      <c r="R5975" t="str">
        <f>"FARMÁCIA INDIANA LJ 34 (10014)"</f>
        <v>FARMÁCIA INDIANA LJ 34 (10014)</v>
      </c>
      <c r="S5975" t="s">
        <v>48</v>
      </c>
      <c r="T5975">
        <v>19589</v>
      </c>
      <c r="U5975">
        <v>23802</v>
      </c>
      <c r="V5975" t="s">
        <v>48</v>
      </c>
    </row>
    <row r="5976" spans="1:22">
      <c r="A5976" t="str">
        <f t="shared" si="1066"/>
        <v>15/10/2025</v>
      </c>
      <c r="B5976" t="str">
        <f t="shared" si="1070"/>
        <v>SAÍDA</v>
      </c>
      <c r="C5976" t="str">
        <f t="shared" si="1071"/>
        <v>PIX</v>
      </c>
      <c r="D5976" t="str">
        <f t="shared" si="1072"/>
        <v>151020</v>
      </c>
      <c r="E5976" t="str">
        <f t="shared" si="1067"/>
        <v>25</v>
      </c>
      <c r="F5976" t="str">
        <f t="shared" si="1074"/>
        <v>COM</v>
      </c>
      <c r="G5976" t="str">
        <f t="shared" si="1075"/>
        <v>GILSON OLIVEIRA CAMPINHO JUNIOR (132)</v>
      </c>
      <c r="H5976" t="s">
        <v>1622</v>
      </c>
      <c r="I5976" t="str">
        <f t="shared" si="1069"/>
        <v>15/10/2025</v>
      </c>
      <c r="J5976" t="str">
        <f t="shared" si="1073"/>
        <v>30/09/2025</v>
      </c>
      <c r="K5976">
        <v>45945</v>
      </c>
      <c r="N5976">
        <v>120</v>
      </c>
      <c r="O5976" t="s">
        <v>306</v>
      </c>
      <c r="Q5976">
        <v>89.52</v>
      </c>
      <c r="R5976" t="str">
        <f>"FARMÁCIA INDIANA LJ 35 (10015)"</f>
        <v>FARMÁCIA INDIANA LJ 35 (10015)</v>
      </c>
      <c r="S5976" t="s">
        <v>48</v>
      </c>
      <c r="T5976">
        <v>19589</v>
      </c>
      <c r="U5976">
        <v>23802</v>
      </c>
      <c r="V5976" t="s">
        <v>48</v>
      </c>
    </row>
    <row r="5977" spans="1:22">
      <c r="A5977" t="str">
        <f t="shared" si="1066"/>
        <v>15/10/2025</v>
      </c>
      <c r="B5977" t="str">
        <f t="shared" si="1070"/>
        <v>SAÍDA</v>
      </c>
      <c r="C5977" t="str">
        <f t="shared" si="1071"/>
        <v>PIX</v>
      </c>
      <c r="D5977" t="str">
        <f t="shared" si="1072"/>
        <v>151020</v>
      </c>
      <c r="E5977" t="str">
        <f t="shared" si="1067"/>
        <v>25</v>
      </c>
      <c r="F5977" t="str">
        <f t="shared" si="1074"/>
        <v>COM</v>
      </c>
      <c r="G5977" t="str">
        <f t="shared" si="1075"/>
        <v>GILSON OLIVEIRA CAMPINHO JUNIOR (132)</v>
      </c>
      <c r="H5977" t="s">
        <v>1622</v>
      </c>
      <c r="I5977" t="str">
        <f t="shared" si="1069"/>
        <v>15/10/2025</v>
      </c>
      <c r="J5977" t="str">
        <f t="shared" si="1073"/>
        <v>30/09/2025</v>
      </c>
      <c r="K5977">
        <v>45945</v>
      </c>
      <c r="N5977">
        <v>120</v>
      </c>
      <c r="O5977" t="s">
        <v>306</v>
      </c>
      <c r="Q5977">
        <v>72.23</v>
      </c>
      <c r="R5977" t="str">
        <f>"FARMÁCIA INDIANA LJ 48 (10018)"</f>
        <v>FARMÁCIA INDIANA LJ 48 (10018)</v>
      </c>
      <c r="S5977" t="s">
        <v>48</v>
      </c>
      <c r="T5977">
        <v>19589</v>
      </c>
      <c r="U5977">
        <v>23802</v>
      </c>
      <c r="V5977" t="s">
        <v>48</v>
      </c>
    </row>
    <row r="5978" spans="1:22">
      <c r="A5978" t="str">
        <f t="shared" si="1066"/>
        <v>15/10/2025</v>
      </c>
      <c r="B5978" t="str">
        <f t="shared" si="1070"/>
        <v>SAÍDA</v>
      </c>
      <c r="C5978" t="str">
        <f t="shared" si="1071"/>
        <v>PIX</v>
      </c>
      <c r="D5978" t="str">
        <f t="shared" si="1072"/>
        <v>151020</v>
      </c>
      <c r="E5978" t="str">
        <f t="shared" si="1067"/>
        <v>25</v>
      </c>
      <c r="F5978" t="str">
        <f t="shared" si="1074"/>
        <v>COM</v>
      </c>
      <c r="G5978" t="str">
        <f t="shared" si="1075"/>
        <v>GILSON OLIVEIRA CAMPINHO JUNIOR (132)</v>
      </c>
      <c r="H5978" t="s">
        <v>1622</v>
      </c>
      <c r="I5978" t="str">
        <f t="shared" si="1069"/>
        <v>15/10/2025</v>
      </c>
      <c r="J5978" t="str">
        <f t="shared" si="1073"/>
        <v>30/09/2025</v>
      </c>
      <c r="K5978">
        <v>45945</v>
      </c>
      <c r="N5978">
        <v>120</v>
      </c>
      <c r="O5978" t="s">
        <v>306</v>
      </c>
      <c r="Q5978">
        <v>46.39</v>
      </c>
      <c r="R5978" t="str">
        <f>"FARMÁCIA INDIANA LJ 77 (10034)"</f>
        <v>FARMÁCIA INDIANA LJ 77 (10034)</v>
      </c>
      <c r="S5978" t="s">
        <v>48</v>
      </c>
      <c r="T5978">
        <v>19589</v>
      </c>
      <c r="U5978">
        <v>23802</v>
      </c>
      <c r="V5978" t="s">
        <v>48</v>
      </c>
    </row>
    <row r="5979" spans="1:22">
      <c r="A5979" t="str">
        <f t="shared" si="1066"/>
        <v>15/10/2025</v>
      </c>
      <c r="B5979" t="str">
        <f t="shared" si="1070"/>
        <v>SAÍDA</v>
      </c>
      <c r="C5979" t="str">
        <f t="shared" si="1071"/>
        <v>PIX</v>
      </c>
      <c r="D5979" t="str">
        <f t="shared" si="1072"/>
        <v>151020</v>
      </c>
      <c r="E5979" t="str">
        <f t="shared" si="1067"/>
        <v>25</v>
      </c>
      <c r="F5979" t="str">
        <f t="shared" si="1074"/>
        <v>COM</v>
      </c>
      <c r="G5979" t="str">
        <f t="shared" si="1075"/>
        <v>GILSON OLIVEIRA CAMPINHO JUNIOR (132)</v>
      </c>
      <c r="H5979" t="s">
        <v>1622</v>
      </c>
      <c r="I5979" t="str">
        <f t="shared" si="1069"/>
        <v>15/10/2025</v>
      </c>
      <c r="J5979" t="str">
        <f t="shared" si="1073"/>
        <v>30/09/2025</v>
      </c>
      <c r="K5979">
        <v>45945</v>
      </c>
      <c r="N5979">
        <v>120</v>
      </c>
      <c r="O5979" t="s">
        <v>306</v>
      </c>
      <c r="Q5979">
        <v>141.81</v>
      </c>
      <c r="R5979" t="str">
        <f>"FARMÁCIA INDIANA LJ 91 (10037)"</f>
        <v>FARMÁCIA INDIANA LJ 91 (10037)</v>
      </c>
      <c r="S5979" t="s">
        <v>48</v>
      </c>
      <c r="T5979">
        <v>19589</v>
      </c>
      <c r="U5979">
        <v>23802</v>
      </c>
      <c r="V5979" t="s">
        <v>48</v>
      </c>
    </row>
    <row r="5980" spans="1:22">
      <c r="A5980" t="str">
        <f t="shared" si="1066"/>
        <v>15/10/2025</v>
      </c>
      <c r="B5980" t="str">
        <f t="shared" si="1070"/>
        <v>SAÍDA</v>
      </c>
      <c r="C5980" t="str">
        <f t="shared" si="1071"/>
        <v>PIX</v>
      </c>
      <c r="D5980" t="str">
        <f t="shared" si="1072"/>
        <v>151020</v>
      </c>
      <c r="E5980" t="str">
        <f t="shared" si="1067"/>
        <v>25</v>
      </c>
      <c r="F5980" t="str">
        <f t="shared" si="1074"/>
        <v>COM</v>
      </c>
      <c r="G5980" t="str">
        <f t="shared" si="1075"/>
        <v>GILSON OLIVEIRA CAMPINHO JUNIOR (132)</v>
      </c>
      <c r="H5980" t="s">
        <v>1622</v>
      </c>
      <c r="I5980" t="str">
        <f t="shared" si="1069"/>
        <v>15/10/2025</v>
      </c>
      <c r="J5980" t="str">
        <f t="shared" si="1073"/>
        <v>30/09/2025</v>
      </c>
      <c r="K5980">
        <v>45945</v>
      </c>
      <c r="N5980">
        <v>120</v>
      </c>
      <c r="O5980" t="s">
        <v>306</v>
      </c>
      <c r="Q5980">
        <v>126.14</v>
      </c>
      <c r="R5980" t="str">
        <f>"FARMÁCIA INDIANA LJ 95 (10039)"</f>
        <v>FARMÁCIA INDIANA LJ 95 (10039)</v>
      </c>
      <c r="S5980" t="s">
        <v>48</v>
      </c>
      <c r="T5980">
        <v>19589</v>
      </c>
      <c r="U5980">
        <v>23802</v>
      </c>
      <c r="V5980" t="s">
        <v>48</v>
      </c>
    </row>
    <row r="5981" spans="1:22">
      <c r="A5981" t="str">
        <f t="shared" si="1066"/>
        <v>15/10/2025</v>
      </c>
      <c r="B5981" t="str">
        <f t="shared" si="1070"/>
        <v>SAÍDA</v>
      </c>
      <c r="C5981" t="str">
        <f t="shared" si="1071"/>
        <v>PIX</v>
      </c>
      <c r="D5981" t="str">
        <f t="shared" si="1072"/>
        <v>151020</v>
      </c>
      <c r="E5981" t="str">
        <f t="shared" si="1067"/>
        <v>25</v>
      </c>
      <c r="F5981" t="str">
        <f t="shared" si="1074"/>
        <v>COM</v>
      </c>
      <c r="G5981" t="str">
        <f t="shared" si="1075"/>
        <v>GILSON OLIVEIRA CAMPINHO JUNIOR (132)</v>
      </c>
      <c r="H5981" t="s">
        <v>1622</v>
      </c>
      <c r="I5981" t="str">
        <f t="shared" si="1069"/>
        <v>15/10/2025</v>
      </c>
      <c r="J5981" t="str">
        <f t="shared" si="1073"/>
        <v>30/09/2025</v>
      </c>
      <c r="K5981">
        <v>45945</v>
      </c>
      <c r="N5981">
        <v>120</v>
      </c>
      <c r="O5981" t="s">
        <v>306</v>
      </c>
      <c r="Q5981">
        <v>96.44</v>
      </c>
      <c r="R5981" t="str">
        <f>"FARMÁCIA INDIANA LJ 145 (10068)"</f>
        <v>FARMÁCIA INDIANA LJ 145 (10068)</v>
      </c>
      <c r="S5981" t="s">
        <v>48</v>
      </c>
      <c r="T5981">
        <v>19589</v>
      </c>
      <c r="U5981">
        <v>23802</v>
      </c>
      <c r="V5981" t="s">
        <v>48</v>
      </c>
    </row>
    <row r="5982" spans="1:22">
      <c r="A5982" t="str">
        <f t="shared" si="1066"/>
        <v>15/10/2025</v>
      </c>
      <c r="B5982" t="str">
        <f t="shared" si="1070"/>
        <v>SAÍDA</v>
      </c>
      <c r="C5982" t="str">
        <f t="shared" si="1071"/>
        <v>PIX</v>
      </c>
      <c r="D5982" t="str">
        <f t="shared" si="1072"/>
        <v>151020</v>
      </c>
      <c r="E5982" t="str">
        <f t="shared" si="1067"/>
        <v>25</v>
      </c>
      <c r="F5982" t="str">
        <f t="shared" si="1074"/>
        <v>COM</v>
      </c>
      <c r="G5982" t="str">
        <f t="shared" si="1075"/>
        <v>GILSON OLIVEIRA CAMPINHO JUNIOR (132)</v>
      </c>
      <c r="H5982" t="s">
        <v>1622</v>
      </c>
      <c r="I5982" t="str">
        <f t="shared" si="1069"/>
        <v>15/10/2025</v>
      </c>
      <c r="J5982" t="str">
        <f t="shared" si="1073"/>
        <v>30/09/2025</v>
      </c>
      <c r="K5982">
        <v>45945</v>
      </c>
      <c r="N5982">
        <v>120</v>
      </c>
      <c r="O5982" t="s">
        <v>306</v>
      </c>
      <c r="Q5982">
        <v>72.23</v>
      </c>
      <c r="R5982" t="str">
        <f>"FARMÁCIA INDIANA LJ 169 (10073)"</f>
        <v>FARMÁCIA INDIANA LJ 169 (10073)</v>
      </c>
      <c r="S5982" t="s">
        <v>48</v>
      </c>
      <c r="T5982">
        <v>19589</v>
      </c>
      <c r="U5982">
        <v>23802</v>
      </c>
      <c r="V5982" t="s">
        <v>48</v>
      </c>
    </row>
    <row r="5983" spans="1:22">
      <c r="A5983" t="str">
        <f t="shared" si="1066"/>
        <v>15/10/2025</v>
      </c>
      <c r="B5983" t="str">
        <f t="shared" si="1070"/>
        <v>SAÍDA</v>
      </c>
      <c r="C5983" t="str">
        <f t="shared" si="1071"/>
        <v>PIX</v>
      </c>
      <c r="D5983" t="str">
        <f t="shared" si="1072"/>
        <v>151020</v>
      </c>
      <c r="E5983" t="str">
        <f t="shared" si="1067"/>
        <v>25</v>
      </c>
      <c r="F5983" t="str">
        <f t="shared" si="1074"/>
        <v>COM</v>
      </c>
      <c r="G5983" t="str">
        <f t="shared" si="1075"/>
        <v>GILSON OLIVEIRA CAMPINHO JUNIOR (132)</v>
      </c>
      <c r="H5983" t="s">
        <v>1622</v>
      </c>
      <c r="I5983" t="str">
        <f t="shared" si="1069"/>
        <v>15/10/2025</v>
      </c>
      <c r="J5983" t="str">
        <f t="shared" si="1073"/>
        <v>30/09/2025</v>
      </c>
      <c r="K5983">
        <v>45945</v>
      </c>
      <c r="N5983">
        <v>120</v>
      </c>
      <c r="O5983" t="s">
        <v>306</v>
      </c>
      <c r="Q5983">
        <v>212.21</v>
      </c>
      <c r="R5983" t="str">
        <f>"DELTA LOJA 2 (10123)"</f>
        <v>DELTA LOJA 2 (10123)</v>
      </c>
      <c r="S5983" t="s">
        <v>48</v>
      </c>
      <c r="T5983">
        <v>19589</v>
      </c>
      <c r="U5983">
        <v>23802</v>
      </c>
      <c r="V5983" t="s">
        <v>48</v>
      </c>
    </row>
    <row r="5984" spans="1:22">
      <c r="A5984" t="str">
        <f t="shared" si="1066"/>
        <v>15/10/2025</v>
      </c>
      <c r="B5984" t="str">
        <f t="shared" si="1070"/>
        <v>SAÍDA</v>
      </c>
      <c r="C5984" t="str">
        <f t="shared" si="1071"/>
        <v>PIX</v>
      </c>
      <c r="D5984" t="str">
        <f t="shared" si="1072"/>
        <v>151020</v>
      </c>
      <c r="E5984" t="str">
        <f t="shared" si="1067"/>
        <v>25</v>
      </c>
      <c r="F5984" t="str">
        <f t="shared" si="1074"/>
        <v>COM</v>
      </c>
      <c r="G5984" t="str">
        <f t="shared" si="1075"/>
        <v>GILSON OLIVEIRA CAMPINHO JUNIOR (132)</v>
      </c>
      <c r="H5984" t="s">
        <v>1622</v>
      </c>
      <c r="I5984" t="str">
        <f t="shared" si="1069"/>
        <v>15/10/2025</v>
      </c>
      <c r="J5984" t="str">
        <f t="shared" si="1073"/>
        <v>30/09/2025</v>
      </c>
      <c r="K5984">
        <v>45945</v>
      </c>
      <c r="N5984">
        <v>120</v>
      </c>
      <c r="O5984" t="s">
        <v>306</v>
      </c>
      <c r="Q5984">
        <v>129.19999999999999</v>
      </c>
      <c r="R5984" t="str">
        <f>"JAL FARMACIA E DROGARIA LJ 1 (10137)"</f>
        <v>JAL FARMACIA E DROGARIA LJ 1 (10137)</v>
      </c>
      <c r="S5984" t="s">
        <v>48</v>
      </c>
      <c r="T5984">
        <v>19589</v>
      </c>
      <c r="U5984">
        <v>23802</v>
      </c>
      <c r="V5984" t="s">
        <v>48</v>
      </c>
    </row>
    <row r="5985" spans="1:22">
      <c r="A5985" t="str">
        <f t="shared" si="1066"/>
        <v>15/10/2025</v>
      </c>
      <c r="B5985" t="str">
        <f t="shared" si="1070"/>
        <v>SAÍDA</v>
      </c>
      <c r="C5985" t="str">
        <f t="shared" si="1071"/>
        <v>PIX</v>
      </c>
      <c r="D5985" t="str">
        <f t="shared" si="1072"/>
        <v>151020</v>
      </c>
      <c r="E5985" t="str">
        <f t="shared" si="1067"/>
        <v>25</v>
      </c>
      <c r="F5985" t="str">
        <f t="shared" si="1074"/>
        <v>COM</v>
      </c>
      <c r="G5985" t="str">
        <f t="shared" si="1075"/>
        <v>GILSON OLIVEIRA CAMPINHO JUNIOR (132)</v>
      </c>
      <c r="H5985" t="s">
        <v>1622</v>
      </c>
      <c r="I5985" t="str">
        <f t="shared" si="1069"/>
        <v>15/10/2025</v>
      </c>
      <c r="J5985" t="str">
        <f t="shared" si="1073"/>
        <v>30/09/2025</v>
      </c>
      <c r="K5985">
        <v>45945</v>
      </c>
      <c r="N5985">
        <v>120</v>
      </c>
      <c r="O5985" t="s">
        <v>306</v>
      </c>
      <c r="Q5985">
        <v>129.19999999999999</v>
      </c>
      <c r="R5985" t="str">
        <f>"JAL FARMACIA E DROGARIA LJ 2 (10138)"</f>
        <v>JAL FARMACIA E DROGARIA LJ 2 (10138)</v>
      </c>
      <c r="S5985" t="s">
        <v>48</v>
      </c>
      <c r="T5985">
        <v>19589</v>
      </c>
      <c r="U5985">
        <v>23802</v>
      </c>
      <c r="V5985" t="s">
        <v>48</v>
      </c>
    </row>
    <row r="5986" spans="1:22">
      <c r="A5986" t="str">
        <f t="shared" si="1066"/>
        <v>15/10/2025</v>
      </c>
      <c r="B5986" t="str">
        <f t="shared" si="1070"/>
        <v>SAÍDA</v>
      </c>
      <c r="C5986" t="str">
        <f t="shared" si="1071"/>
        <v>PIX</v>
      </c>
      <c r="D5986" t="str">
        <f t="shared" si="1072"/>
        <v>151020</v>
      </c>
      <c r="E5986" t="str">
        <f t="shared" si="1067"/>
        <v>25</v>
      </c>
      <c r="F5986" t="str">
        <f t="shared" si="1074"/>
        <v>COM</v>
      </c>
      <c r="G5986" t="str">
        <f t="shared" si="1075"/>
        <v>GILSON OLIVEIRA CAMPINHO JUNIOR (132)</v>
      </c>
      <c r="H5986" t="s">
        <v>1622</v>
      </c>
      <c r="I5986" t="str">
        <f t="shared" si="1069"/>
        <v>15/10/2025</v>
      </c>
      <c r="J5986" t="str">
        <f t="shared" si="1073"/>
        <v>30/09/2025</v>
      </c>
      <c r="K5986">
        <v>45945</v>
      </c>
      <c r="N5986">
        <v>120</v>
      </c>
      <c r="O5986" t="s">
        <v>306</v>
      </c>
      <c r="Q5986">
        <v>70.400000000000006</v>
      </c>
      <c r="R5986" t="str">
        <f>"FARMÁCIA INDIANA LJ 200 (10155)"</f>
        <v>FARMÁCIA INDIANA LJ 200 (10155)</v>
      </c>
      <c r="S5986" t="s">
        <v>48</v>
      </c>
      <c r="T5986">
        <v>19589</v>
      </c>
      <c r="U5986">
        <v>23802</v>
      </c>
      <c r="V5986" t="s">
        <v>48</v>
      </c>
    </row>
    <row r="5987" spans="1:22">
      <c r="A5987" t="str">
        <f t="shared" si="1066"/>
        <v>15/10/2025</v>
      </c>
      <c r="B5987" t="str">
        <f t="shared" si="1070"/>
        <v>SAÍDA</v>
      </c>
      <c r="C5987" t="str">
        <f t="shared" si="1071"/>
        <v>PIX</v>
      </c>
      <c r="D5987" t="str">
        <f t="shared" si="1072"/>
        <v>151020</v>
      </c>
      <c r="E5987" t="str">
        <f t="shared" si="1067"/>
        <v>25</v>
      </c>
      <c r="F5987" t="str">
        <f t="shared" si="1074"/>
        <v>COM</v>
      </c>
      <c r="G5987" t="str">
        <f t="shared" si="1075"/>
        <v>GILSON OLIVEIRA CAMPINHO JUNIOR (132)</v>
      </c>
      <c r="H5987" t="s">
        <v>1622</v>
      </c>
      <c r="I5987" t="str">
        <f t="shared" si="1069"/>
        <v>15/10/2025</v>
      </c>
      <c r="J5987" t="str">
        <f t="shared" si="1073"/>
        <v>30/09/2025</v>
      </c>
      <c r="K5987">
        <v>45945</v>
      </c>
      <c r="N5987">
        <v>120</v>
      </c>
      <c r="O5987" t="s">
        <v>306</v>
      </c>
      <c r="Q5987">
        <v>67.75</v>
      </c>
      <c r="R5987" t="str">
        <f>"AC FARMA - FLEMINFARMA (10160)"</f>
        <v>AC FARMA - FLEMINFARMA (10160)</v>
      </c>
      <c r="S5987" t="s">
        <v>48</v>
      </c>
      <c r="T5987">
        <v>19589</v>
      </c>
      <c r="U5987">
        <v>23802</v>
      </c>
      <c r="V5987" t="s">
        <v>48</v>
      </c>
    </row>
    <row r="5988" spans="1:22">
      <c r="A5988" t="str">
        <f t="shared" si="1066"/>
        <v>15/10/2025</v>
      </c>
      <c r="B5988" t="str">
        <f t="shared" si="1070"/>
        <v>SAÍDA</v>
      </c>
      <c r="C5988" t="str">
        <f t="shared" si="1071"/>
        <v>PIX</v>
      </c>
      <c r="D5988" t="str">
        <f t="shared" si="1072"/>
        <v>151020</v>
      </c>
      <c r="E5988" t="str">
        <f t="shared" si="1067"/>
        <v>25</v>
      </c>
      <c r="F5988" t="str">
        <f t="shared" si="1074"/>
        <v>COM</v>
      </c>
      <c r="G5988" t="str">
        <f t="shared" si="1075"/>
        <v>GILSON OLIVEIRA CAMPINHO JUNIOR (132)</v>
      </c>
      <c r="H5988" t="s">
        <v>1622</v>
      </c>
      <c r="I5988" t="str">
        <f t="shared" si="1069"/>
        <v>15/10/2025</v>
      </c>
      <c r="J5988" t="str">
        <f t="shared" si="1073"/>
        <v>30/09/2025</v>
      </c>
      <c r="K5988">
        <v>45945</v>
      </c>
      <c r="N5988">
        <v>120</v>
      </c>
      <c r="O5988" t="s">
        <v>306</v>
      </c>
      <c r="Q5988">
        <v>362.97</v>
      </c>
      <c r="R5988" t="str">
        <f>"AC FARMA - CID.ALTA (10166)"</f>
        <v>AC FARMA - CID.ALTA (10166)</v>
      </c>
      <c r="S5988" t="s">
        <v>48</v>
      </c>
      <c r="T5988">
        <v>19589</v>
      </c>
      <c r="U5988">
        <v>23802</v>
      </c>
      <c r="V5988" t="s">
        <v>48</v>
      </c>
    </row>
    <row r="5989" spans="1:22">
      <c r="A5989" t="str">
        <f t="shared" si="1066"/>
        <v>15/10/2025</v>
      </c>
      <c r="B5989" t="str">
        <f t="shared" si="1070"/>
        <v>SAÍDA</v>
      </c>
      <c r="C5989" t="str">
        <f t="shared" si="1071"/>
        <v>PIX</v>
      </c>
      <c r="D5989" t="str">
        <f t="shared" si="1072"/>
        <v>151020</v>
      </c>
      <c r="E5989" t="str">
        <f t="shared" si="1067"/>
        <v>25</v>
      </c>
      <c r="F5989" t="str">
        <f t="shared" si="1074"/>
        <v>COM</v>
      </c>
      <c r="G5989" t="str">
        <f t="shared" si="1075"/>
        <v>GILSON OLIVEIRA CAMPINHO JUNIOR (132)</v>
      </c>
      <c r="H5989" t="s">
        <v>1622</v>
      </c>
      <c r="I5989" t="str">
        <f t="shared" si="1069"/>
        <v>15/10/2025</v>
      </c>
      <c r="J5989" t="str">
        <f t="shared" si="1073"/>
        <v>30/09/2025</v>
      </c>
      <c r="K5989">
        <v>45945</v>
      </c>
      <c r="N5989">
        <v>120</v>
      </c>
      <c r="O5989" t="s">
        <v>306</v>
      </c>
      <c r="Q5989">
        <v>68.16</v>
      </c>
      <c r="R5989" t="str">
        <f>"DROGARIA AGAPEAMA (10167)"</f>
        <v>DROGARIA AGAPEAMA (10167)</v>
      </c>
      <c r="S5989" t="s">
        <v>48</v>
      </c>
      <c r="T5989">
        <v>19589</v>
      </c>
      <c r="U5989">
        <v>23802</v>
      </c>
      <c r="V5989" t="s">
        <v>48</v>
      </c>
    </row>
    <row r="5990" spans="1:22">
      <c r="A5990" t="str">
        <f t="shared" si="1066"/>
        <v>15/10/2025</v>
      </c>
      <c r="B5990" t="str">
        <f t="shared" si="1070"/>
        <v>SAÍDA</v>
      </c>
      <c r="C5990" t="str">
        <f t="shared" si="1071"/>
        <v>PIX</v>
      </c>
      <c r="D5990" t="str">
        <f t="shared" si="1072"/>
        <v>151020</v>
      </c>
      <c r="E5990" t="str">
        <f t="shared" si="1067"/>
        <v>25</v>
      </c>
      <c r="F5990" t="str">
        <f t="shared" si="1074"/>
        <v>COM</v>
      </c>
      <c r="G5990" t="str">
        <f t="shared" si="1075"/>
        <v>GILSON OLIVEIRA CAMPINHO JUNIOR (132)</v>
      </c>
      <c r="H5990" t="s">
        <v>1622</v>
      </c>
      <c r="I5990" t="str">
        <f t="shared" si="1069"/>
        <v>15/10/2025</v>
      </c>
      <c r="J5990" t="str">
        <f t="shared" si="1073"/>
        <v>30/09/2025</v>
      </c>
      <c r="K5990">
        <v>45945</v>
      </c>
      <c r="N5990">
        <v>120</v>
      </c>
      <c r="O5990" t="s">
        <v>306</v>
      </c>
      <c r="Q5990">
        <v>68.16</v>
      </c>
      <c r="R5990" t="str">
        <f>"DROGARIA MORENO LTDA (10171)"</f>
        <v>DROGARIA MORENO LTDA (10171)</v>
      </c>
      <c r="S5990" t="s">
        <v>48</v>
      </c>
      <c r="T5990">
        <v>19589</v>
      </c>
      <c r="U5990">
        <v>23802</v>
      </c>
      <c r="V5990" t="s">
        <v>48</v>
      </c>
    </row>
    <row r="5991" spans="1:22">
      <c r="A5991" t="str">
        <f t="shared" si="1066"/>
        <v>15/10/2025</v>
      </c>
      <c r="B5991" t="str">
        <f t="shared" si="1070"/>
        <v>SAÍDA</v>
      </c>
      <c r="C5991" t="str">
        <f t="shared" si="1071"/>
        <v>PIX</v>
      </c>
      <c r="D5991" t="str">
        <f t="shared" si="1072"/>
        <v>151020</v>
      </c>
      <c r="E5991" t="str">
        <f t="shared" si="1067"/>
        <v>25</v>
      </c>
      <c r="F5991" t="str">
        <f t="shared" si="1074"/>
        <v>COM</v>
      </c>
      <c r="G5991" t="str">
        <f t="shared" si="1075"/>
        <v>GILSON OLIVEIRA CAMPINHO JUNIOR (132)</v>
      </c>
      <c r="H5991" t="s">
        <v>1622</v>
      </c>
      <c r="I5991" t="str">
        <f t="shared" si="1069"/>
        <v>15/10/2025</v>
      </c>
      <c r="J5991" t="str">
        <f t="shared" si="1073"/>
        <v>30/09/2025</v>
      </c>
      <c r="K5991">
        <v>45945</v>
      </c>
      <c r="N5991">
        <v>120</v>
      </c>
      <c r="O5991" t="s">
        <v>306</v>
      </c>
      <c r="Q5991">
        <v>31.94</v>
      </c>
      <c r="R5991" t="str">
        <f>"DROGARIA MEDIC CENTER LTDA (10172)"</f>
        <v>DROGARIA MEDIC CENTER LTDA (10172)</v>
      </c>
      <c r="S5991" t="s">
        <v>48</v>
      </c>
      <c r="T5991">
        <v>19589</v>
      </c>
      <c r="U5991">
        <v>23802</v>
      </c>
      <c r="V5991" t="s">
        <v>48</v>
      </c>
    </row>
    <row r="5992" spans="1:22">
      <c r="A5992" t="str">
        <f t="shared" si="1066"/>
        <v>15/10/2025</v>
      </c>
      <c r="B5992" t="str">
        <f t="shared" si="1070"/>
        <v>SAÍDA</v>
      </c>
      <c r="C5992" t="str">
        <f t="shared" si="1071"/>
        <v>PIX</v>
      </c>
      <c r="D5992" t="str">
        <f t="shared" si="1072"/>
        <v>151020</v>
      </c>
      <c r="E5992" t="str">
        <f t="shared" si="1067"/>
        <v>25</v>
      </c>
      <c r="F5992" t="str">
        <f t="shared" si="1074"/>
        <v>COM</v>
      </c>
      <c r="G5992" t="str">
        <f t="shared" si="1075"/>
        <v>GILSON OLIVEIRA CAMPINHO JUNIOR (132)</v>
      </c>
      <c r="H5992" t="s">
        <v>1622</v>
      </c>
      <c r="I5992" t="str">
        <f t="shared" si="1069"/>
        <v>15/10/2025</v>
      </c>
      <c r="J5992" t="str">
        <f t="shared" si="1073"/>
        <v>30/09/2025</v>
      </c>
      <c r="K5992">
        <v>45945</v>
      </c>
      <c r="N5992">
        <v>120</v>
      </c>
      <c r="O5992" t="s">
        <v>306</v>
      </c>
      <c r="Q5992">
        <v>67.75</v>
      </c>
      <c r="R5992" t="str">
        <f>"AC FARMA - FLEMINFARMA 5 (10183)"</f>
        <v>AC FARMA - FLEMINFARMA 5 (10183)</v>
      </c>
      <c r="S5992" t="s">
        <v>48</v>
      </c>
      <c r="T5992">
        <v>19589</v>
      </c>
      <c r="U5992">
        <v>23802</v>
      </c>
      <c r="V5992" t="s">
        <v>48</v>
      </c>
    </row>
    <row r="5993" spans="1:22">
      <c r="A5993" t="str">
        <f t="shared" si="1066"/>
        <v>15/10/2025</v>
      </c>
      <c r="B5993" t="str">
        <f t="shared" si="1070"/>
        <v>SAÍDA</v>
      </c>
      <c r="C5993" t="str">
        <f t="shared" si="1071"/>
        <v>PIX</v>
      </c>
      <c r="D5993" t="str">
        <f t="shared" si="1072"/>
        <v>151020</v>
      </c>
      <c r="E5993" t="str">
        <f t="shared" si="1067"/>
        <v>25</v>
      </c>
      <c r="F5993" t="str">
        <f t="shared" si="1074"/>
        <v>COM</v>
      </c>
      <c r="G5993" t="str">
        <f t="shared" si="1075"/>
        <v>GILSON OLIVEIRA CAMPINHO JUNIOR (132)</v>
      </c>
      <c r="H5993" t="s">
        <v>1622</v>
      </c>
      <c r="I5993" t="str">
        <f t="shared" si="1069"/>
        <v>15/10/2025</v>
      </c>
      <c r="J5993" t="str">
        <f t="shared" si="1073"/>
        <v>30/09/2025</v>
      </c>
      <c r="K5993">
        <v>45945</v>
      </c>
      <c r="N5993">
        <v>120</v>
      </c>
      <c r="O5993" t="s">
        <v>306</v>
      </c>
      <c r="Q5993">
        <v>76.3</v>
      </c>
      <c r="R5993" t="str">
        <f>"FARMÁCIA INDIANA LJ 33 (10187)"</f>
        <v>FARMÁCIA INDIANA LJ 33 (10187)</v>
      </c>
      <c r="S5993" t="s">
        <v>48</v>
      </c>
      <c r="T5993">
        <v>19589</v>
      </c>
      <c r="U5993">
        <v>23802</v>
      </c>
      <c r="V5993" t="s">
        <v>48</v>
      </c>
    </row>
    <row r="5994" spans="1:22">
      <c r="A5994" t="str">
        <f t="shared" si="1066"/>
        <v>15/10/2025</v>
      </c>
      <c r="B5994" t="str">
        <f>"ENTRADA"</f>
        <v>ENTRADA</v>
      </c>
      <c r="C5994" t="str">
        <f>"DINHEIRO"</f>
        <v>DINHEIRO</v>
      </c>
      <c r="D5994" t="str">
        <f>"1509"</f>
        <v>1509</v>
      </c>
      <c r="E5994" t="str">
        <f t="shared" si="1067"/>
        <v>25</v>
      </c>
      <c r="F5994" t="str">
        <f t="shared" si="1074"/>
        <v>COM</v>
      </c>
      <c r="G5994" t="str">
        <f t="shared" si="1075"/>
        <v>GILSON OLIVEIRA CAMPINHO JUNIOR (132)</v>
      </c>
      <c r="H5994" t="str">
        <f>"REEMBOLSO ADIANTAMENTO "</f>
        <v xml:space="preserve">REEMBOLSO ADIANTAMENTO </v>
      </c>
      <c r="I5994" t="str">
        <f t="shared" si="1069"/>
        <v>15/10/2025</v>
      </c>
      <c r="J5994" t="str">
        <f>("12/08/2025")</f>
        <v>12/08/2025</v>
      </c>
      <c r="K5994" t="str">
        <f>("15/10/2025")</f>
        <v>15/10/2025</v>
      </c>
      <c r="L5994">
        <v>2034.57</v>
      </c>
      <c r="M5994">
        <v>2034.57</v>
      </c>
      <c r="N5994">
        <v>129</v>
      </c>
      <c r="O5994" t="str">
        <f>"ENTRADA DE REEMBOLSO ADIANTAMENTO"</f>
        <v>ENTRADA DE REEMBOLSO ADIANTAMENTO</v>
      </c>
      <c r="P5994">
        <v>2034.57</v>
      </c>
      <c r="S5994" t="str">
        <f>"ENTRADA DE REEMBOLSO ADIANTAMENTO (129)"</f>
        <v>ENTRADA DE REEMBOLSO ADIANTAMENTO (129)</v>
      </c>
      <c r="T5994">
        <v>19590</v>
      </c>
      <c r="U5994">
        <v>23803</v>
      </c>
      <c r="V5994" t="s">
        <v>48</v>
      </c>
    </row>
    <row r="5995" spans="1:22">
      <c r="A5995" t="str">
        <f t="shared" si="1066"/>
        <v>15/10/2025</v>
      </c>
      <c r="B5995" t="str">
        <f>"ENTRADA"</f>
        <v>ENTRADA</v>
      </c>
      <c r="C5995" t="str">
        <f>"DINHEIRO"</f>
        <v>DINHEIRO</v>
      </c>
      <c r="D5995" t="str">
        <f>"1509"</f>
        <v>1509</v>
      </c>
      <c r="E5995" t="str">
        <f t="shared" si="1067"/>
        <v>25</v>
      </c>
      <c r="F5995" t="str">
        <f t="shared" si="1074"/>
        <v>COM</v>
      </c>
      <c r="G5995" t="str">
        <f t="shared" si="1075"/>
        <v>GILSON OLIVEIRA CAMPINHO JUNIOR (132)</v>
      </c>
      <c r="H5995" t="s">
        <v>559</v>
      </c>
      <c r="I5995" t="str">
        <f t="shared" si="1069"/>
        <v>15/10/2025</v>
      </c>
      <c r="J5995" t="str">
        <f>("12/08/2025")</f>
        <v>12/08/2025</v>
      </c>
      <c r="K5995">
        <v>45945</v>
      </c>
      <c r="N5995">
        <v>129</v>
      </c>
      <c r="O5995" t="s">
        <v>58</v>
      </c>
      <c r="Q5995">
        <v>2034.57</v>
      </c>
      <c r="R5995" t="str">
        <f>"GILSON OLIVEIRA CAMPINHO JUNIOR (132)"</f>
        <v>GILSON OLIVEIRA CAMPINHO JUNIOR (132)</v>
      </c>
      <c r="S5995" t="s">
        <v>59</v>
      </c>
      <c r="T5995">
        <v>19590</v>
      </c>
      <c r="U5995">
        <v>23803</v>
      </c>
      <c r="V5995" t="s">
        <v>48</v>
      </c>
    </row>
    <row r="5996" spans="1:22">
      <c r="A5996" t="str">
        <f t="shared" si="1066"/>
        <v>15/10/2025</v>
      </c>
      <c r="B5996" t="str">
        <f t="shared" ref="B5996:B6003" si="1076">"SAÍDA"</f>
        <v>SAÍDA</v>
      </c>
      <c r="C5996" t="str">
        <f t="shared" ref="C5996:C6003" si="1077">"PIX"</f>
        <v>PIX</v>
      </c>
      <c r="D5996" t="str">
        <f t="shared" ref="D5996:D6003" si="1078">"1510"</f>
        <v>1510</v>
      </c>
      <c r="E5996" t="str">
        <f t="shared" si="1067"/>
        <v>25</v>
      </c>
      <c r="F5996" t="str">
        <f t="shared" si="1074"/>
        <v>COM</v>
      </c>
      <c r="G5996" t="str">
        <f t="shared" ref="G5996:G6005" si="1079">"BRUNO BARBOSA DE MATOS (82)"</f>
        <v>BRUNO BARBOSA DE MATOS (82)</v>
      </c>
      <c r="H5996" t="str">
        <f>"PAGAMENTO LIDERANÇA REF. MES 09/2025 - PIX: CPF - CHAVE: 137.446.146-62"</f>
        <v>PAGAMENTO LIDERANÇA REF. MES 09/2025 - PIX: CPF - CHAVE: 137.446.146-62</v>
      </c>
      <c r="I5996" t="str">
        <f t="shared" si="1069"/>
        <v>15/10/2025</v>
      </c>
      <c r="J5996" t="str">
        <f t="shared" ref="J5996:J6003" si="1080">("30/09/2025")</f>
        <v>30/09/2025</v>
      </c>
      <c r="K5996" t="str">
        <f>("15/10/2025")</f>
        <v>15/10/2025</v>
      </c>
      <c r="L5996">
        <v>620.97</v>
      </c>
      <c r="M5996">
        <v>620.97</v>
      </c>
      <c r="N5996">
        <v>120</v>
      </c>
      <c r="O5996" t="str">
        <f>"PAGAMENTO COMISSAO LIDERES"</f>
        <v>PAGAMENTO COMISSAO LIDERES</v>
      </c>
      <c r="P5996">
        <v>620.97</v>
      </c>
      <c r="S5996" t="str">
        <f>"CAIXA MOVIMENTAÇÃO OPERACIONAL (132)"</f>
        <v>CAIXA MOVIMENTAÇÃO OPERACIONAL (132)</v>
      </c>
      <c r="T5996">
        <v>19591</v>
      </c>
      <c r="U5996">
        <v>23806</v>
      </c>
      <c r="V5996" t="s">
        <v>48</v>
      </c>
    </row>
    <row r="5997" spans="1:22">
      <c r="A5997" t="str">
        <f t="shared" si="1066"/>
        <v>15/10/2025</v>
      </c>
      <c r="B5997" t="str">
        <f t="shared" si="1076"/>
        <v>SAÍDA</v>
      </c>
      <c r="C5997" t="str">
        <f t="shared" si="1077"/>
        <v>PIX</v>
      </c>
      <c r="D5997" t="str">
        <f t="shared" si="1078"/>
        <v>1510</v>
      </c>
      <c r="E5997" t="str">
        <f t="shared" si="1067"/>
        <v>25</v>
      </c>
      <c r="F5997" t="str">
        <f t="shared" si="1074"/>
        <v>COM</v>
      </c>
      <c r="G5997" t="str">
        <f t="shared" si="1079"/>
        <v>BRUNO BARBOSA DE MATOS (82)</v>
      </c>
      <c r="H5997" t="s">
        <v>1623</v>
      </c>
      <c r="I5997" t="str">
        <f t="shared" si="1069"/>
        <v>15/10/2025</v>
      </c>
      <c r="J5997" t="str">
        <f t="shared" si="1080"/>
        <v>30/09/2025</v>
      </c>
      <c r="K5997">
        <v>45945</v>
      </c>
      <c r="N5997">
        <v>120</v>
      </c>
      <c r="O5997" t="s">
        <v>306</v>
      </c>
      <c r="Q5997">
        <v>107.99</v>
      </c>
      <c r="R5997" t="str">
        <f>"FARMÁCIA INDIANA LJ 100 (10042)"</f>
        <v>FARMÁCIA INDIANA LJ 100 (10042)</v>
      </c>
      <c r="S5997" t="s">
        <v>48</v>
      </c>
      <c r="T5997">
        <v>19591</v>
      </c>
      <c r="U5997">
        <v>23806</v>
      </c>
      <c r="V5997" t="s">
        <v>48</v>
      </c>
    </row>
    <row r="5998" spans="1:22">
      <c r="A5998" t="str">
        <f t="shared" si="1066"/>
        <v>15/10/2025</v>
      </c>
      <c r="B5998" t="str">
        <f t="shared" si="1076"/>
        <v>SAÍDA</v>
      </c>
      <c r="C5998" t="str">
        <f t="shared" si="1077"/>
        <v>PIX</v>
      </c>
      <c r="D5998" t="str">
        <f t="shared" si="1078"/>
        <v>1510</v>
      </c>
      <c r="E5998" t="str">
        <f t="shared" si="1067"/>
        <v>25</v>
      </c>
      <c r="F5998" t="str">
        <f t="shared" si="1074"/>
        <v>COM</v>
      </c>
      <c r="G5998" t="str">
        <f t="shared" si="1079"/>
        <v>BRUNO BARBOSA DE MATOS (82)</v>
      </c>
      <c r="H5998" t="s">
        <v>1623</v>
      </c>
      <c r="I5998" t="str">
        <f t="shared" si="1069"/>
        <v>15/10/2025</v>
      </c>
      <c r="J5998" t="str">
        <f t="shared" si="1080"/>
        <v>30/09/2025</v>
      </c>
      <c r="K5998">
        <v>45945</v>
      </c>
      <c r="N5998">
        <v>120</v>
      </c>
      <c r="O5998" t="s">
        <v>306</v>
      </c>
      <c r="Q5998">
        <v>66.69</v>
      </c>
      <c r="R5998" t="str">
        <f>"FARMÁCIA INDIANA LJ 101 (10043)"</f>
        <v>FARMÁCIA INDIANA LJ 101 (10043)</v>
      </c>
      <c r="S5998" t="s">
        <v>48</v>
      </c>
      <c r="T5998">
        <v>19591</v>
      </c>
      <c r="U5998">
        <v>23806</v>
      </c>
      <c r="V5998" t="s">
        <v>48</v>
      </c>
    </row>
    <row r="5999" spans="1:22">
      <c r="A5999" t="str">
        <f t="shared" si="1066"/>
        <v>15/10/2025</v>
      </c>
      <c r="B5999" t="str">
        <f t="shared" si="1076"/>
        <v>SAÍDA</v>
      </c>
      <c r="C5999" t="str">
        <f t="shared" si="1077"/>
        <v>PIX</v>
      </c>
      <c r="D5999" t="str">
        <f t="shared" si="1078"/>
        <v>1510</v>
      </c>
      <c r="E5999" t="str">
        <f t="shared" si="1067"/>
        <v>25</v>
      </c>
      <c r="F5999" t="str">
        <f t="shared" si="1074"/>
        <v>COM</v>
      </c>
      <c r="G5999" t="str">
        <f t="shared" si="1079"/>
        <v>BRUNO BARBOSA DE MATOS (82)</v>
      </c>
      <c r="H5999" t="s">
        <v>1623</v>
      </c>
      <c r="I5999" t="str">
        <f t="shared" si="1069"/>
        <v>15/10/2025</v>
      </c>
      <c r="J5999" t="str">
        <f t="shared" si="1080"/>
        <v>30/09/2025</v>
      </c>
      <c r="K5999">
        <v>45945</v>
      </c>
      <c r="N5999">
        <v>120</v>
      </c>
      <c r="O5999" t="s">
        <v>306</v>
      </c>
      <c r="Q5999">
        <v>134.13</v>
      </c>
      <c r="R5999" t="str">
        <f>"FARMÁCIA INDIANA LJ 110 (10048)"</f>
        <v>FARMÁCIA INDIANA LJ 110 (10048)</v>
      </c>
      <c r="S5999" t="s">
        <v>48</v>
      </c>
      <c r="T5999">
        <v>19591</v>
      </c>
      <c r="U5999">
        <v>23806</v>
      </c>
      <c r="V5999" t="s">
        <v>48</v>
      </c>
    </row>
    <row r="6000" spans="1:22">
      <c r="A6000" t="str">
        <f t="shared" si="1066"/>
        <v>15/10/2025</v>
      </c>
      <c r="B6000" t="str">
        <f t="shared" si="1076"/>
        <v>SAÍDA</v>
      </c>
      <c r="C6000" t="str">
        <f t="shared" si="1077"/>
        <v>PIX</v>
      </c>
      <c r="D6000" t="str">
        <f t="shared" si="1078"/>
        <v>1510</v>
      </c>
      <c r="E6000" t="str">
        <f t="shared" si="1067"/>
        <v>25</v>
      </c>
      <c r="F6000" t="str">
        <f t="shared" si="1074"/>
        <v>COM</v>
      </c>
      <c r="G6000" t="str">
        <f t="shared" si="1079"/>
        <v>BRUNO BARBOSA DE MATOS (82)</v>
      </c>
      <c r="H6000" t="s">
        <v>1623</v>
      </c>
      <c r="I6000" t="str">
        <f t="shared" si="1069"/>
        <v>15/10/2025</v>
      </c>
      <c r="J6000" t="str">
        <f t="shared" si="1080"/>
        <v>30/09/2025</v>
      </c>
      <c r="K6000">
        <v>45945</v>
      </c>
      <c r="N6000">
        <v>120</v>
      </c>
      <c r="O6000" t="s">
        <v>306</v>
      </c>
      <c r="Q6000">
        <v>92.28</v>
      </c>
      <c r="R6000" t="str">
        <f>"FARMÁCIA INDIANA LJ 152 (10069)"</f>
        <v>FARMÁCIA INDIANA LJ 152 (10069)</v>
      </c>
      <c r="S6000" t="s">
        <v>48</v>
      </c>
      <c r="T6000">
        <v>19591</v>
      </c>
      <c r="U6000">
        <v>23806</v>
      </c>
      <c r="V6000" t="s">
        <v>48</v>
      </c>
    </row>
    <row r="6001" spans="1:22">
      <c r="A6001" t="str">
        <f t="shared" si="1066"/>
        <v>15/10/2025</v>
      </c>
      <c r="B6001" t="str">
        <f t="shared" si="1076"/>
        <v>SAÍDA</v>
      </c>
      <c r="C6001" t="str">
        <f t="shared" si="1077"/>
        <v>PIX</v>
      </c>
      <c r="D6001" t="str">
        <f t="shared" si="1078"/>
        <v>1510</v>
      </c>
      <c r="E6001" t="str">
        <f t="shared" si="1067"/>
        <v>25</v>
      </c>
      <c r="F6001" t="str">
        <f t="shared" si="1074"/>
        <v>COM</v>
      </c>
      <c r="G6001" t="str">
        <f t="shared" si="1079"/>
        <v>BRUNO BARBOSA DE MATOS (82)</v>
      </c>
      <c r="H6001" t="s">
        <v>1623</v>
      </c>
      <c r="I6001" t="str">
        <f t="shared" si="1069"/>
        <v>15/10/2025</v>
      </c>
      <c r="J6001" t="str">
        <f t="shared" si="1080"/>
        <v>30/09/2025</v>
      </c>
      <c r="K6001">
        <v>45945</v>
      </c>
      <c r="N6001">
        <v>120</v>
      </c>
      <c r="O6001" t="s">
        <v>306</v>
      </c>
      <c r="Q6001">
        <v>115.44</v>
      </c>
      <c r="R6001" t="str">
        <f>"FARMÁCIA INDIANA LJ 171 (10074)"</f>
        <v>FARMÁCIA INDIANA LJ 171 (10074)</v>
      </c>
      <c r="S6001" t="s">
        <v>48</v>
      </c>
      <c r="T6001">
        <v>19591</v>
      </c>
      <c r="U6001">
        <v>23806</v>
      </c>
      <c r="V6001" t="s">
        <v>48</v>
      </c>
    </row>
    <row r="6002" spans="1:22">
      <c r="A6002" t="str">
        <f t="shared" si="1066"/>
        <v>15/10/2025</v>
      </c>
      <c r="B6002" t="str">
        <f t="shared" si="1076"/>
        <v>SAÍDA</v>
      </c>
      <c r="C6002" t="str">
        <f t="shared" si="1077"/>
        <v>PIX</v>
      </c>
      <c r="D6002" t="str">
        <f t="shared" si="1078"/>
        <v>1510</v>
      </c>
      <c r="E6002" t="str">
        <f t="shared" si="1067"/>
        <v>25</v>
      </c>
      <c r="F6002" t="str">
        <f t="shared" si="1074"/>
        <v>COM</v>
      </c>
      <c r="G6002" t="str">
        <f t="shared" si="1079"/>
        <v>BRUNO BARBOSA DE MATOS (82)</v>
      </c>
      <c r="H6002" t="s">
        <v>1623</v>
      </c>
      <c r="I6002" t="str">
        <f t="shared" si="1069"/>
        <v>15/10/2025</v>
      </c>
      <c r="J6002" t="str">
        <f t="shared" si="1080"/>
        <v>30/09/2025</v>
      </c>
      <c r="K6002">
        <v>45945</v>
      </c>
      <c r="N6002">
        <v>120</v>
      </c>
      <c r="O6002" t="s">
        <v>306</v>
      </c>
      <c r="Q6002">
        <v>37.75</v>
      </c>
      <c r="R6002" t="str">
        <f>"FARMÁCIA INDIANA LJ 178 (10077)"</f>
        <v>FARMÁCIA INDIANA LJ 178 (10077)</v>
      </c>
      <c r="S6002" t="s">
        <v>48</v>
      </c>
      <c r="T6002">
        <v>19591</v>
      </c>
      <c r="U6002">
        <v>23806</v>
      </c>
      <c r="V6002" t="s">
        <v>48</v>
      </c>
    </row>
    <row r="6003" spans="1:22">
      <c r="A6003" t="str">
        <f t="shared" si="1066"/>
        <v>15/10/2025</v>
      </c>
      <c r="B6003" t="str">
        <f t="shared" si="1076"/>
        <v>SAÍDA</v>
      </c>
      <c r="C6003" t="str">
        <f t="shared" si="1077"/>
        <v>PIX</v>
      </c>
      <c r="D6003" t="str">
        <f t="shared" si="1078"/>
        <v>1510</v>
      </c>
      <c r="E6003" t="str">
        <f t="shared" si="1067"/>
        <v>25</v>
      </c>
      <c r="F6003" t="str">
        <f t="shared" si="1074"/>
        <v>COM</v>
      </c>
      <c r="G6003" t="str">
        <f t="shared" si="1079"/>
        <v>BRUNO BARBOSA DE MATOS (82)</v>
      </c>
      <c r="H6003" t="s">
        <v>1623</v>
      </c>
      <c r="I6003" t="str">
        <f t="shared" si="1069"/>
        <v>15/10/2025</v>
      </c>
      <c r="J6003" t="str">
        <f t="shared" si="1080"/>
        <v>30/09/2025</v>
      </c>
      <c r="K6003">
        <v>45945</v>
      </c>
      <c r="N6003">
        <v>120</v>
      </c>
      <c r="O6003" t="s">
        <v>306</v>
      </c>
      <c r="Q6003">
        <v>66.69</v>
      </c>
      <c r="R6003" t="str">
        <f>"FARMÁCIA INDIANA LJ 220 (10092)"</f>
        <v>FARMÁCIA INDIANA LJ 220 (10092)</v>
      </c>
      <c r="S6003" t="s">
        <v>48</v>
      </c>
      <c r="T6003">
        <v>19591</v>
      </c>
      <c r="U6003">
        <v>23806</v>
      </c>
      <c r="V6003" t="s">
        <v>48</v>
      </c>
    </row>
    <row r="6004" spans="1:22">
      <c r="A6004" t="str">
        <f t="shared" si="1066"/>
        <v>15/10/2025</v>
      </c>
      <c r="B6004" t="str">
        <f>"ENTRADA"</f>
        <v>ENTRADA</v>
      </c>
      <c r="C6004" t="str">
        <f>"DINHEIRO"</f>
        <v>DINHEIRO</v>
      </c>
      <c r="D6004" t="str">
        <f>"151020"</f>
        <v>151020</v>
      </c>
      <c r="E6004" t="str">
        <f t="shared" si="1067"/>
        <v>25</v>
      </c>
      <c r="F6004" t="str">
        <f t="shared" si="1074"/>
        <v>COM</v>
      </c>
      <c r="G6004" t="str">
        <f t="shared" si="1079"/>
        <v>BRUNO BARBOSA DE MATOS (82)</v>
      </c>
      <c r="H6004" t="str">
        <f>"REEMBOLSO ADIANTAMENTO LIDERANÇA"</f>
        <v>REEMBOLSO ADIANTAMENTO LIDERANÇA</v>
      </c>
      <c r="I6004" t="str">
        <f t="shared" si="1069"/>
        <v>15/10/2025</v>
      </c>
      <c r="J6004" t="str">
        <f>("07/08/2025")</f>
        <v>07/08/2025</v>
      </c>
      <c r="K6004" t="str">
        <f>("15/10/2025")</f>
        <v>15/10/2025</v>
      </c>
      <c r="L6004">
        <v>620.97</v>
      </c>
      <c r="M6004">
        <v>620.97</v>
      </c>
      <c r="N6004">
        <v>129</v>
      </c>
      <c r="O6004" t="str">
        <f>"ENTRADA DE REEMBOLSO ADIANTAMENTO"</f>
        <v>ENTRADA DE REEMBOLSO ADIANTAMENTO</v>
      </c>
      <c r="P6004">
        <v>620.97</v>
      </c>
      <c r="S6004" t="str">
        <f>"ENTRADA DE REEMBOLSO ADIANTAMENTO (129)"</f>
        <v>ENTRADA DE REEMBOLSO ADIANTAMENTO (129)</v>
      </c>
      <c r="T6004">
        <v>19592</v>
      </c>
      <c r="U6004">
        <v>23807</v>
      </c>
      <c r="V6004" t="s">
        <v>48</v>
      </c>
    </row>
    <row r="6005" spans="1:22">
      <c r="A6005" t="str">
        <f t="shared" si="1066"/>
        <v>15/10/2025</v>
      </c>
      <c r="B6005" t="str">
        <f>"ENTRADA"</f>
        <v>ENTRADA</v>
      </c>
      <c r="C6005" t="str">
        <f>"DINHEIRO"</f>
        <v>DINHEIRO</v>
      </c>
      <c r="D6005" t="str">
        <f>"151020"</f>
        <v>151020</v>
      </c>
      <c r="E6005" t="str">
        <f t="shared" si="1067"/>
        <v>25</v>
      </c>
      <c r="F6005" t="str">
        <f t="shared" si="1074"/>
        <v>COM</v>
      </c>
      <c r="G6005" t="str">
        <f t="shared" si="1079"/>
        <v>BRUNO BARBOSA DE MATOS (82)</v>
      </c>
      <c r="H6005" t="s">
        <v>558</v>
      </c>
      <c r="I6005" t="str">
        <f t="shared" si="1069"/>
        <v>15/10/2025</v>
      </c>
      <c r="J6005" t="str">
        <f>("07/08/2025")</f>
        <v>07/08/2025</v>
      </c>
      <c r="K6005">
        <v>45945</v>
      </c>
      <c r="N6005">
        <v>129</v>
      </c>
      <c r="O6005" t="s">
        <v>58</v>
      </c>
      <c r="Q6005">
        <v>620.97</v>
      </c>
      <c r="R6005" t="str">
        <f>"BRUNO BARBOSA DE MATOS (82)"</f>
        <v>BRUNO BARBOSA DE MATOS (82)</v>
      </c>
      <c r="S6005" t="s">
        <v>59</v>
      </c>
      <c r="T6005">
        <v>19592</v>
      </c>
      <c r="U6005">
        <v>23807</v>
      </c>
      <c r="V6005" t="s">
        <v>48</v>
      </c>
    </row>
    <row r="6006" spans="1:22">
      <c r="A6006" t="str">
        <f t="shared" si="1066"/>
        <v>15/10/2025</v>
      </c>
      <c r="B6006" t="str">
        <f>"SAÍDA"</f>
        <v>SAÍDA</v>
      </c>
      <c r="C6006" t="str">
        <f>"PIX"</f>
        <v>PIX</v>
      </c>
      <c r="D6006" t="str">
        <f>"23598"</f>
        <v>23598</v>
      </c>
      <c r="E6006" t="str">
        <f>"1"</f>
        <v>1</v>
      </c>
      <c r="F6006" t="str">
        <f t="shared" si="1074"/>
        <v>COM</v>
      </c>
      <c r="G6006" t="str">
        <f>"ALLAN SILVA DAMACENA (790)"</f>
        <v>ALLAN SILVA DAMACENA (790)</v>
      </c>
      <c r="H6006" t="str">
        <f>"Serv.Prest. 06/10/2025 a 12/10/2025 - PIX: CELULAR - CHAVE: (19) 98944-4977"</f>
        <v>Serv.Prest. 06/10/2025 a 12/10/2025 - PIX: CELULAR - CHAVE: (19) 98944-4977</v>
      </c>
      <c r="I6006" t="str">
        <f t="shared" ref="I6006:I6025" si="1081">("16/10/2025")</f>
        <v>16/10/2025</v>
      </c>
      <c r="J6006" t="str">
        <f>("14/10/2025")</f>
        <v>14/10/2025</v>
      </c>
      <c r="K6006" t="str">
        <f>("15/10/2025")</f>
        <v>15/10/2025</v>
      </c>
      <c r="L6006">
        <v>100</v>
      </c>
      <c r="M6006">
        <v>100</v>
      </c>
      <c r="N6006">
        <v>109</v>
      </c>
      <c r="O6006" t="str">
        <f>"PAGAMENTO DE ENTREGADORES"</f>
        <v>PAGAMENTO DE ENTREGADORES</v>
      </c>
      <c r="P6006">
        <v>100</v>
      </c>
      <c r="S6006" t="str">
        <f>"CAIXA MOVIMENTAÇÃO OPERACIONAL (132)"</f>
        <v>CAIXA MOVIMENTAÇÃO OPERACIONAL (132)</v>
      </c>
      <c r="T6006">
        <v>19593</v>
      </c>
      <c r="U6006">
        <v>23814</v>
      </c>
      <c r="V6006" t="s">
        <v>48</v>
      </c>
    </row>
    <row r="6007" spans="1:22">
      <c r="A6007" t="str">
        <f t="shared" si="1066"/>
        <v>15/10/2025</v>
      </c>
      <c r="B6007" t="str">
        <f>"SAÍDA"</f>
        <v>SAÍDA</v>
      </c>
      <c r="C6007" t="str">
        <f>"PIX"</f>
        <v>PIX</v>
      </c>
      <c r="D6007" t="str">
        <f>"23598"</f>
        <v>23598</v>
      </c>
      <c r="E6007" t="str">
        <f>"1"</f>
        <v>1</v>
      </c>
      <c r="F6007" t="str">
        <f t="shared" si="1074"/>
        <v>COM</v>
      </c>
      <c r="G6007" t="str">
        <f>"ALLAN SILVA DAMACENA (790)"</f>
        <v>ALLAN SILVA DAMACENA (790)</v>
      </c>
      <c r="H6007" t="s">
        <v>1624</v>
      </c>
      <c r="I6007" t="str">
        <f t="shared" si="1081"/>
        <v>16/10/2025</v>
      </c>
      <c r="J6007" t="str">
        <f>("14/10/2025")</f>
        <v>14/10/2025</v>
      </c>
      <c r="K6007">
        <v>45945</v>
      </c>
      <c r="N6007">
        <v>109</v>
      </c>
      <c r="O6007" t="s">
        <v>24</v>
      </c>
      <c r="Q6007">
        <v>100</v>
      </c>
      <c r="R6007" t="str">
        <f>"DROGARIA MORENO LTDA (10171)"</f>
        <v>DROGARIA MORENO LTDA (10171)</v>
      </c>
      <c r="S6007" t="s">
        <v>48</v>
      </c>
      <c r="T6007">
        <v>19593</v>
      </c>
      <c r="U6007">
        <v>23814</v>
      </c>
      <c r="V6007" t="s">
        <v>48</v>
      </c>
    </row>
    <row r="6008" spans="1:22">
      <c r="A6008" t="str">
        <f t="shared" si="1066"/>
        <v>15/10/2025</v>
      </c>
      <c r="B6008" t="str">
        <f>"ENTRADA"</f>
        <v>ENTRADA</v>
      </c>
      <c r="C6008" t="str">
        <f>"DINHEIRO"</f>
        <v>DINHEIRO</v>
      </c>
      <c r="D6008" t="str">
        <f>"1610"</f>
        <v>1610</v>
      </c>
      <c r="E6008" t="str">
        <f>"25"</f>
        <v>25</v>
      </c>
      <c r="F6008" t="str">
        <f t="shared" si="1074"/>
        <v>COM</v>
      </c>
      <c r="G6008" t="str">
        <f>"ALLAN SILVA DAMACENA (790)"</f>
        <v>ALLAN SILVA DAMACENA (790)</v>
      </c>
      <c r="H6008" t="str">
        <f>"REEMBOLSO ADIANTAMENTO"</f>
        <v>REEMBOLSO ADIANTAMENTO</v>
      </c>
      <c r="I6008" t="str">
        <f t="shared" si="1081"/>
        <v>16/10/2025</v>
      </c>
      <c r="J6008" t="str">
        <f>("11/09/2025")</f>
        <v>11/09/2025</v>
      </c>
      <c r="K6008" t="str">
        <f>("15/10/2025")</f>
        <v>15/10/2025</v>
      </c>
      <c r="L6008">
        <v>100</v>
      </c>
      <c r="M6008">
        <v>100</v>
      </c>
      <c r="N6008">
        <v>129</v>
      </c>
      <c r="O6008" t="str">
        <f>"ENTRADA DE REEMBOLSO ADIANTAMENTO"</f>
        <v>ENTRADA DE REEMBOLSO ADIANTAMENTO</v>
      </c>
      <c r="P6008">
        <v>100</v>
      </c>
      <c r="S6008" t="str">
        <f>"ENTRADA DE REEMBOLSO ADIANTAMENTO (129)"</f>
        <v>ENTRADA DE REEMBOLSO ADIANTAMENTO (129)</v>
      </c>
      <c r="T6008">
        <v>19594</v>
      </c>
      <c r="U6008">
        <v>21716</v>
      </c>
      <c r="V6008" t="s">
        <v>48</v>
      </c>
    </row>
    <row r="6009" spans="1:22">
      <c r="A6009" t="str">
        <f t="shared" si="1066"/>
        <v>15/10/2025</v>
      </c>
      <c r="B6009" t="str">
        <f>"ENTRADA"</f>
        <v>ENTRADA</v>
      </c>
      <c r="C6009" t="str">
        <f>"DINHEIRO"</f>
        <v>DINHEIRO</v>
      </c>
      <c r="D6009" t="str">
        <f>"1610"</f>
        <v>1610</v>
      </c>
      <c r="E6009" t="str">
        <f>"25"</f>
        <v>25</v>
      </c>
      <c r="F6009" t="str">
        <f t="shared" si="1074"/>
        <v>COM</v>
      </c>
      <c r="G6009" t="str">
        <f>"ALLAN SILVA DAMACENA (790)"</f>
        <v>ALLAN SILVA DAMACENA (790)</v>
      </c>
      <c r="H6009" t="s">
        <v>57</v>
      </c>
      <c r="I6009" t="str">
        <f t="shared" si="1081"/>
        <v>16/10/2025</v>
      </c>
      <c r="J6009" t="str">
        <f>("11/09/2025")</f>
        <v>11/09/2025</v>
      </c>
      <c r="K6009">
        <v>45945</v>
      </c>
      <c r="N6009">
        <v>129</v>
      </c>
      <c r="O6009" t="s">
        <v>58</v>
      </c>
      <c r="Q6009">
        <v>100</v>
      </c>
      <c r="R6009" t="str">
        <f>"ALLAN SILVA DAMACENA (790)"</f>
        <v>ALLAN SILVA DAMACENA (790)</v>
      </c>
      <c r="S6009" t="s">
        <v>59</v>
      </c>
      <c r="T6009">
        <v>19594</v>
      </c>
      <c r="U6009">
        <v>21716</v>
      </c>
      <c r="V6009" t="s">
        <v>48</v>
      </c>
    </row>
    <row r="6010" spans="1:22">
      <c r="A6010" t="str">
        <f t="shared" si="1066"/>
        <v>15/10/2025</v>
      </c>
      <c r="B6010" t="str">
        <f>"ENTRADA"</f>
        <v>ENTRADA</v>
      </c>
      <c r="C6010" t="str">
        <f>"DINHEIRO"</f>
        <v>DINHEIRO</v>
      </c>
      <c r="D6010" t="str">
        <f>"1610"</f>
        <v>1610</v>
      </c>
      <c r="E6010" t="str">
        <f>"25"</f>
        <v>25</v>
      </c>
      <c r="F6010" t="str">
        <f t="shared" si="1074"/>
        <v>COM</v>
      </c>
      <c r="G6010" t="str">
        <f>"CASSIO DIAS RIBEIRO (32)"</f>
        <v>CASSIO DIAS RIBEIRO (32)</v>
      </c>
      <c r="H6010" t="str">
        <f>"REEMBOLSO ADIANTAMENTO"</f>
        <v>REEMBOLSO ADIANTAMENTO</v>
      </c>
      <c r="I6010" t="str">
        <f t="shared" si="1081"/>
        <v>16/10/2025</v>
      </c>
      <c r="J6010" t="str">
        <f>("21/08/2025")</f>
        <v>21/08/2025</v>
      </c>
      <c r="K6010" t="str">
        <f>("15/10/2025")</f>
        <v>15/10/2025</v>
      </c>
      <c r="L6010">
        <v>250</v>
      </c>
      <c r="M6010">
        <v>250</v>
      </c>
      <c r="N6010">
        <v>129</v>
      </c>
      <c r="O6010" t="str">
        <f>"ENTRADA DE REEMBOLSO ADIANTAMENTO"</f>
        <v>ENTRADA DE REEMBOLSO ADIANTAMENTO</v>
      </c>
      <c r="P6010">
        <v>250</v>
      </c>
      <c r="S6010" t="str">
        <f>"ENTRADA DE REEMBOLSO ADIANTAMENTO (129)"</f>
        <v>ENTRADA DE REEMBOLSO ADIANTAMENTO (129)</v>
      </c>
      <c r="T6010">
        <v>19595</v>
      </c>
      <c r="U6010">
        <v>20768</v>
      </c>
      <c r="V6010" t="s">
        <v>48</v>
      </c>
    </row>
    <row r="6011" spans="1:22">
      <c r="A6011" t="str">
        <f t="shared" si="1066"/>
        <v>15/10/2025</v>
      </c>
      <c r="B6011" t="str">
        <f>"ENTRADA"</f>
        <v>ENTRADA</v>
      </c>
      <c r="C6011" t="str">
        <f>"DINHEIRO"</f>
        <v>DINHEIRO</v>
      </c>
      <c r="D6011" t="str">
        <f>"1610"</f>
        <v>1610</v>
      </c>
      <c r="E6011" t="str">
        <f>"25"</f>
        <v>25</v>
      </c>
      <c r="F6011" t="str">
        <f t="shared" si="1074"/>
        <v>COM</v>
      </c>
      <c r="G6011" t="str">
        <f>"CASSIO DIAS RIBEIRO (32)"</f>
        <v>CASSIO DIAS RIBEIRO (32)</v>
      </c>
      <c r="H6011" t="s">
        <v>57</v>
      </c>
      <c r="I6011" t="str">
        <f t="shared" si="1081"/>
        <v>16/10/2025</v>
      </c>
      <c r="J6011" t="str">
        <f>("21/08/2025")</f>
        <v>21/08/2025</v>
      </c>
      <c r="K6011">
        <v>45945</v>
      </c>
      <c r="N6011">
        <v>129</v>
      </c>
      <c r="O6011" t="s">
        <v>58</v>
      </c>
      <c r="Q6011">
        <v>250</v>
      </c>
      <c r="R6011" t="str">
        <f>"CASSIO DIAS RIBEIRO (32)"</f>
        <v>CASSIO DIAS RIBEIRO (32)</v>
      </c>
      <c r="S6011" t="s">
        <v>59</v>
      </c>
      <c r="T6011">
        <v>19595</v>
      </c>
      <c r="U6011">
        <v>20768</v>
      </c>
      <c r="V6011" t="s">
        <v>48</v>
      </c>
    </row>
    <row r="6012" spans="1:22">
      <c r="A6012" t="str">
        <f t="shared" si="1066"/>
        <v>15/10/2025</v>
      </c>
      <c r="B6012" t="str">
        <f>"SAÍDA"</f>
        <v>SAÍDA</v>
      </c>
      <c r="C6012" t="str">
        <f>"PIX"</f>
        <v>PIX</v>
      </c>
      <c r="D6012" t="str">
        <f>"22925"</f>
        <v>22925</v>
      </c>
      <c r="E6012" t="str">
        <f>"1"</f>
        <v>1</v>
      </c>
      <c r="F6012" t="str">
        <f t="shared" si="1074"/>
        <v>COM</v>
      </c>
      <c r="G6012" t="str">
        <f>"CASSIO DIAS RIBEIRO (32)"</f>
        <v>CASSIO DIAS RIBEIRO (32)</v>
      </c>
      <c r="H6012" t="str">
        <f>"Serv.Prest. 26/09/2025 a 05/10/2025 - PIX: CPF - CHAVE: 091.575.986-14"</f>
        <v>Serv.Prest. 26/09/2025 a 05/10/2025 - PIX: CPF - CHAVE: 091.575.986-14</v>
      </c>
      <c r="I6012" t="str">
        <f t="shared" si="1081"/>
        <v>16/10/2025</v>
      </c>
      <c r="J6012" t="str">
        <f>("07/10/2025")</f>
        <v>07/10/2025</v>
      </c>
      <c r="K6012" t="str">
        <f>("15/10/2025")</f>
        <v>15/10/2025</v>
      </c>
      <c r="L6012">
        <v>250</v>
      </c>
      <c r="M6012">
        <v>250</v>
      </c>
      <c r="N6012">
        <v>109</v>
      </c>
      <c r="O6012" t="str">
        <f>"PAGAMENTO DE ENTREGADORES"</f>
        <v>PAGAMENTO DE ENTREGADORES</v>
      </c>
      <c r="P6012">
        <v>250</v>
      </c>
      <c r="S6012" t="str">
        <f>"CAIXA MOVIMENTAÇÃO OPERACIONAL (132)"</f>
        <v>CAIXA MOVIMENTAÇÃO OPERACIONAL (132)</v>
      </c>
      <c r="T6012">
        <v>19596</v>
      </c>
      <c r="U6012">
        <v>23815</v>
      </c>
      <c r="V6012" t="s">
        <v>48</v>
      </c>
    </row>
    <row r="6013" spans="1:22">
      <c r="A6013" t="str">
        <f t="shared" si="1066"/>
        <v>15/10/2025</v>
      </c>
      <c r="B6013" t="str">
        <f>"SAÍDA"</f>
        <v>SAÍDA</v>
      </c>
      <c r="C6013" t="str">
        <f>"PIX"</f>
        <v>PIX</v>
      </c>
      <c r="D6013" t="str">
        <f>"22925"</f>
        <v>22925</v>
      </c>
      <c r="E6013" t="str">
        <f>"1"</f>
        <v>1</v>
      </c>
      <c r="F6013" t="str">
        <f t="shared" si="1074"/>
        <v>COM</v>
      </c>
      <c r="G6013" t="str">
        <f>"CASSIO DIAS RIBEIRO (32)"</f>
        <v>CASSIO DIAS RIBEIRO (32)</v>
      </c>
      <c r="H6013" t="s">
        <v>1625</v>
      </c>
      <c r="I6013" t="str">
        <f t="shared" si="1081"/>
        <v>16/10/2025</v>
      </c>
      <c r="J6013" t="str">
        <f>("07/10/2025")</f>
        <v>07/10/2025</v>
      </c>
      <c r="K6013">
        <v>45945</v>
      </c>
      <c r="N6013">
        <v>109</v>
      </c>
      <c r="O6013" t="s">
        <v>24</v>
      </c>
      <c r="Q6013">
        <v>250</v>
      </c>
      <c r="R6013" t="str">
        <f>"FARMÁCIA INDIANA LJ 11 (10008)"</f>
        <v>FARMÁCIA INDIANA LJ 11 (10008)</v>
      </c>
      <c r="S6013" t="s">
        <v>48</v>
      </c>
      <c r="T6013">
        <v>19596</v>
      </c>
      <c r="U6013">
        <v>23815</v>
      </c>
      <c r="V6013" t="s">
        <v>48</v>
      </c>
    </row>
    <row r="6014" spans="1:22">
      <c r="A6014" t="str">
        <f t="shared" si="1066"/>
        <v>15/10/2025</v>
      </c>
      <c r="B6014" t="str">
        <f>"SAÍDA"</f>
        <v>SAÍDA</v>
      </c>
      <c r="C6014" t="str">
        <f>"PIX"</f>
        <v>PIX</v>
      </c>
      <c r="D6014" t="str">
        <f>"23595"</f>
        <v>23595</v>
      </c>
      <c r="E6014" t="str">
        <f>"1"</f>
        <v>1</v>
      </c>
      <c r="F6014" t="str">
        <f t="shared" si="1074"/>
        <v>COM</v>
      </c>
      <c r="G6014" t="str">
        <f>"ELIO CALDEIRA RIBEIRO JUNIOR (840)"</f>
        <v>ELIO CALDEIRA RIBEIRO JUNIOR (840)</v>
      </c>
      <c r="H6014" t="str">
        <f>"Serv.Prest. 06/10/2025 a 12/10/2025 - PIX: CPF - CHAVE: 463.491.858-70"</f>
        <v>Serv.Prest. 06/10/2025 a 12/10/2025 - PIX: CPF - CHAVE: 463.491.858-70</v>
      </c>
      <c r="I6014" t="str">
        <f t="shared" si="1081"/>
        <v>16/10/2025</v>
      </c>
      <c r="J6014" t="str">
        <f>("14/10/2025")</f>
        <v>14/10/2025</v>
      </c>
      <c r="K6014" t="str">
        <f>("15/10/2025")</f>
        <v>15/10/2025</v>
      </c>
      <c r="L6014">
        <v>300</v>
      </c>
      <c r="M6014">
        <v>300</v>
      </c>
      <c r="N6014">
        <v>109</v>
      </c>
      <c r="O6014" t="str">
        <f>"PAGAMENTO DE ENTREGADORES"</f>
        <v>PAGAMENTO DE ENTREGADORES</v>
      </c>
      <c r="P6014">
        <v>300</v>
      </c>
      <c r="S6014" t="str">
        <f>"CAIXA MOVIMENTAÇÃO OPERACIONAL (132)"</f>
        <v>CAIXA MOVIMENTAÇÃO OPERACIONAL (132)</v>
      </c>
      <c r="T6014">
        <v>19597</v>
      </c>
      <c r="U6014">
        <v>23817</v>
      </c>
      <c r="V6014" t="s">
        <v>48</v>
      </c>
    </row>
    <row r="6015" spans="1:22">
      <c r="A6015" t="str">
        <f t="shared" si="1066"/>
        <v>15/10/2025</v>
      </c>
      <c r="B6015" t="str">
        <f>"SAÍDA"</f>
        <v>SAÍDA</v>
      </c>
      <c r="C6015" t="str">
        <f>"PIX"</f>
        <v>PIX</v>
      </c>
      <c r="D6015" t="str">
        <f>"23595"</f>
        <v>23595</v>
      </c>
      <c r="E6015" t="str">
        <f>"1"</f>
        <v>1</v>
      </c>
      <c r="F6015" t="str">
        <f t="shared" si="1074"/>
        <v>COM</v>
      </c>
      <c r="G6015" t="str">
        <f>"ELIO CALDEIRA RIBEIRO JUNIOR (840)"</f>
        <v>ELIO CALDEIRA RIBEIRO JUNIOR (840)</v>
      </c>
      <c r="H6015" t="s">
        <v>1626</v>
      </c>
      <c r="I6015" t="str">
        <f t="shared" si="1081"/>
        <v>16/10/2025</v>
      </c>
      <c r="J6015" t="str">
        <f>("14/10/2025")</f>
        <v>14/10/2025</v>
      </c>
      <c r="K6015">
        <v>45945</v>
      </c>
      <c r="N6015">
        <v>109</v>
      </c>
      <c r="O6015" t="s">
        <v>24</v>
      </c>
      <c r="Q6015">
        <v>300</v>
      </c>
      <c r="R6015" t="str">
        <f>"DROGARIA MEDIC CENTER LTDA (10172)"</f>
        <v>DROGARIA MEDIC CENTER LTDA (10172)</v>
      </c>
      <c r="S6015" t="s">
        <v>48</v>
      </c>
      <c r="T6015">
        <v>19597</v>
      </c>
      <c r="U6015">
        <v>23817</v>
      </c>
      <c r="V6015" t="s">
        <v>48</v>
      </c>
    </row>
    <row r="6016" spans="1:22">
      <c r="A6016" t="str">
        <f t="shared" si="1066"/>
        <v>15/10/2025</v>
      </c>
      <c r="B6016" t="str">
        <f>"ENTRADA"</f>
        <v>ENTRADA</v>
      </c>
      <c r="C6016" t="str">
        <f>"DINHEIRO"</f>
        <v>DINHEIRO</v>
      </c>
      <c r="D6016" t="str">
        <f>"1610"</f>
        <v>1610</v>
      </c>
      <c r="E6016" t="str">
        <f>"25"</f>
        <v>25</v>
      </c>
      <c r="F6016" t="str">
        <f t="shared" si="1074"/>
        <v>COM</v>
      </c>
      <c r="G6016" t="str">
        <f>"ELIO CALDEIRA RIBEIRO JUNIOR (840)"</f>
        <v>ELIO CALDEIRA RIBEIRO JUNIOR (840)</v>
      </c>
      <c r="H6016" t="str">
        <f>"REEMBOLSO ADIANTAMENTO"</f>
        <v>REEMBOLSO ADIANTAMENTO</v>
      </c>
      <c r="I6016" t="str">
        <f t="shared" si="1081"/>
        <v>16/10/2025</v>
      </c>
      <c r="J6016" t="str">
        <f>("13/10/2025")</f>
        <v>13/10/2025</v>
      </c>
      <c r="K6016" t="str">
        <f>("15/10/2025")</f>
        <v>15/10/2025</v>
      </c>
      <c r="L6016">
        <v>300</v>
      </c>
      <c r="M6016">
        <v>300</v>
      </c>
      <c r="N6016">
        <v>129</v>
      </c>
      <c r="O6016" t="str">
        <f>"ENTRADA DE REEMBOLSO ADIANTAMENTO"</f>
        <v>ENTRADA DE REEMBOLSO ADIANTAMENTO</v>
      </c>
      <c r="P6016">
        <v>300</v>
      </c>
      <c r="S6016" t="str">
        <f>"ENTRADA DE REEMBOLSO ADIANTAMENTO (129)"</f>
        <v>ENTRADA DE REEMBOLSO ADIANTAMENTO (129)</v>
      </c>
      <c r="T6016">
        <v>19598</v>
      </c>
      <c r="U6016">
        <v>23818</v>
      </c>
      <c r="V6016" t="s">
        <v>48</v>
      </c>
    </row>
    <row r="6017" spans="1:22">
      <c r="A6017" t="str">
        <f t="shared" si="1066"/>
        <v>15/10/2025</v>
      </c>
      <c r="B6017" t="str">
        <f>"ENTRADA"</f>
        <v>ENTRADA</v>
      </c>
      <c r="C6017" t="str">
        <f>"DINHEIRO"</f>
        <v>DINHEIRO</v>
      </c>
      <c r="D6017" t="str">
        <f>"1610"</f>
        <v>1610</v>
      </c>
      <c r="E6017" t="str">
        <f>"25"</f>
        <v>25</v>
      </c>
      <c r="F6017" t="str">
        <f t="shared" si="1074"/>
        <v>COM</v>
      </c>
      <c r="G6017" t="str">
        <f>"ELIO CALDEIRA RIBEIRO JUNIOR (840)"</f>
        <v>ELIO CALDEIRA RIBEIRO JUNIOR (840)</v>
      </c>
      <c r="H6017" t="s">
        <v>57</v>
      </c>
      <c r="I6017" t="str">
        <f t="shared" si="1081"/>
        <v>16/10/2025</v>
      </c>
      <c r="J6017" t="str">
        <f>("13/10/2025")</f>
        <v>13/10/2025</v>
      </c>
      <c r="K6017">
        <v>45945</v>
      </c>
      <c r="N6017">
        <v>129</v>
      </c>
      <c r="O6017" t="s">
        <v>58</v>
      </c>
      <c r="Q6017">
        <v>300</v>
      </c>
      <c r="R6017" t="str">
        <f>"ELIO CALDEIRA RIBEIRO JUNIOR (840)"</f>
        <v>ELIO CALDEIRA RIBEIRO JUNIOR (840)</v>
      </c>
      <c r="S6017" t="s">
        <v>59</v>
      </c>
      <c r="T6017">
        <v>19598</v>
      </c>
      <c r="U6017">
        <v>23818</v>
      </c>
      <c r="V6017" t="s">
        <v>48</v>
      </c>
    </row>
    <row r="6018" spans="1:22">
      <c r="A6018" t="str">
        <f t="shared" si="1066"/>
        <v>15/10/2025</v>
      </c>
      <c r="B6018" t="str">
        <f>"ENTRADA"</f>
        <v>ENTRADA</v>
      </c>
      <c r="C6018" t="str">
        <f>"DINHEIRO"</f>
        <v>DINHEIRO</v>
      </c>
      <c r="D6018" t="str">
        <f>"1610"</f>
        <v>1610</v>
      </c>
      <c r="E6018" t="str">
        <f>"25"</f>
        <v>25</v>
      </c>
      <c r="F6018" t="str">
        <f t="shared" si="1074"/>
        <v>COM</v>
      </c>
      <c r="G6018" t="str">
        <f>"JAMERSON SOUZA LOPES (749)"</f>
        <v>JAMERSON SOUZA LOPES (749)</v>
      </c>
      <c r="H6018" t="str">
        <f>"REEMBOLSO ADIANTAMENTO"</f>
        <v>REEMBOLSO ADIANTAMENTO</v>
      </c>
      <c r="I6018" t="str">
        <f t="shared" si="1081"/>
        <v>16/10/2025</v>
      </c>
      <c r="J6018" t="str">
        <f>("10/10/2025")</f>
        <v>10/10/2025</v>
      </c>
      <c r="K6018" t="str">
        <f>("15/10/2025")</f>
        <v>15/10/2025</v>
      </c>
      <c r="L6018">
        <v>100</v>
      </c>
      <c r="M6018">
        <v>100</v>
      </c>
      <c r="N6018">
        <v>129</v>
      </c>
      <c r="O6018" t="str">
        <f>"ENTRADA DE REEMBOLSO ADIANTAMENTO"</f>
        <v>ENTRADA DE REEMBOLSO ADIANTAMENTO</v>
      </c>
      <c r="P6018">
        <v>100</v>
      </c>
      <c r="S6018" t="str">
        <f>"ENTRADA DE REEMBOLSO ADIANTAMENTO (129)"</f>
        <v>ENTRADA DE REEMBOLSO ADIANTAMENTO (129)</v>
      </c>
      <c r="T6018">
        <v>19599</v>
      </c>
      <c r="U6018">
        <v>23532</v>
      </c>
      <c r="V6018" t="s">
        <v>48</v>
      </c>
    </row>
    <row r="6019" spans="1:22">
      <c r="A6019" t="str">
        <f t="shared" si="1066"/>
        <v>15/10/2025</v>
      </c>
      <c r="B6019" t="str">
        <f>"ENTRADA"</f>
        <v>ENTRADA</v>
      </c>
      <c r="C6019" t="str">
        <f>"DINHEIRO"</f>
        <v>DINHEIRO</v>
      </c>
      <c r="D6019" t="str">
        <f>"1610"</f>
        <v>1610</v>
      </c>
      <c r="E6019" t="str">
        <f>"25"</f>
        <v>25</v>
      </c>
      <c r="F6019" t="str">
        <f t="shared" si="1074"/>
        <v>COM</v>
      </c>
      <c r="G6019" t="str">
        <f>"JAMERSON SOUZA LOPES (749)"</f>
        <v>JAMERSON SOUZA LOPES (749)</v>
      </c>
      <c r="H6019" t="s">
        <v>57</v>
      </c>
      <c r="I6019" t="str">
        <f t="shared" si="1081"/>
        <v>16/10/2025</v>
      </c>
      <c r="J6019" t="str">
        <f>("10/10/2025")</f>
        <v>10/10/2025</v>
      </c>
      <c r="K6019">
        <v>45945</v>
      </c>
      <c r="N6019">
        <v>129</v>
      </c>
      <c r="O6019" t="s">
        <v>58</v>
      </c>
      <c r="Q6019">
        <v>100</v>
      </c>
      <c r="R6019" t="str">
        <f>"JAMERSON SOUZA LOPES (749)"</f>
        <v>JAMERSON SOUZA LOPES (749)</v>
      </c>
      <c r="S6019" t="s">
        <v>59</v>
      </c>
      <c r="T6019">
        <v>19599</v>
      </c>
      <c r="U6019">
        <v>23532</v>
      </c>
      <c r="V6019" t="s">
        <v>48</v>
      </c>
    </row>
    <row r="6020" spans="1:22">
      <c r="A6020" t="str">
        <f t="shared" si="1066"/>
        <v>15/10/2025</v>
      </c>
      <c r="B6020" t="str">
        <f>"SAÍDA"</f>
        <v>SAÍDA</v>
      </c>
      <c r="C6020" t="str">
        <f>"PIX"</f>
        <v>PIX</v>
      </c>
      <c r="D6020" t="str">
        <f>"23558"</f>
        <v>23558</v>
      </c>
      <c r="E6020" t="str">
        <f>"1"</f>
        <v>1</v>
      </c>
      <c r="F6020" t="str">
        <f t="shared" si="1074"/>
        <v>COM</v>
      </c>
      <c r="G6020" t="str">
        <f>"JAMERSON SOUZA LOPES (749)"</f>
        <v>JAMERSON SOUZA LOPES (749)</v>
      </c>
      <c r="H6020" t="str">
        <f>"Serv.Prest. 06/10/2025 a 12/10/2025 - PIX: CPF - CHAVE: 423.098.018-36"</f>
        <v>Serv.Prest. 06/10/2025 a 12/10/2025 - PIX: CPF - CHAVE: 423.098.018-36</v>
      </c>
      <c r="I6020" t="str">
        <f t="shared" si="1081"/>
        <v>16/10/2025</v>
      </c>
      <c r="J6020" t="str">
        <f>("13/10/2025")</f>
        <v>13/10/2025</v>
      </c>
      <c r="K6020" t="str">
        <f>("15/10/2025")</f>
        <v>15/10/2025</v>
      </c>
      <c r="L6020">
        <v>100</v>
      </c>
      <c r="M6020">
        <v>100</v>
      </c>
      <c r="N6020">
        <v>109</v>
      </c>
      <c r="O6020" t="str">
        <f>"PAGAMENTO DE ENTREGADORES"</f>
        <v>PAGAMENTO DE ENTREGADORES</v>
      </c>
      <c r="P6020">
        <v>100</v>
      </c>
      <c r="S6020" t="str">
        <f>"CAIXA MOVIMENTAÇÃO OPERACIONAL (132)"</f>
        <v>CAIXA MOVIMENTAÇÃO OPERACIONAL (132)</v>
      </c>
      <c r="T6020">
        <v>19600</v>
      </c>
      <c r="U6020">
        <v>23819</v>
      </c>
      <c r="V6020" t="s">
        <v>48</v>
      </c>
    </row>
    <row r="6021" spans="1:22">
      <c r="A6021" t="str">
        <f t="shared" si="1066"/>
        <v>15/10/2025</v>
      </c>
      <c r="B6021" t="str">
        <f>"SAÍDA"</f>
        <v>SAÍDA</v>
      </c>
      <c r="C6021" t="str">
        <f>"PIX"</f>
        <v>PIX</v>
      </c>
      <c r="D6021" t="str">
        <f>"23558"</f>
        <v>23558</v>
      </c>
      <c r="E6021" t="str">
        <f>"1"</f>
        <v>1</v>
      </c>
      <c r="F6021" t="str">
        <f t="shared" si="1074"/>
        <v>COM</v>
      </c>
      <c r="G6021" t="str">
        <f>"JAMERSON SOUZA LOPES (749)"</f>
        <v>JAMERSON SOUZA LOPES (749)</v>
      </c>
      <c r="H6021" t="s">
        <v>1352</v>
      </c>
      <c r="I6021" t="str">
        <f t="shared" si="1081"/>
        <v>16/10/2025</v>
      </c>
      <c r="J6021" t="str">
        <f>("13/10/2025")</f>
        <v>13/10/2025</v>
      </c>
      <c r="K6021">
        <v>45945</v>
      </c>
      <c r="N6021">
        <v>109</v>
      </c>
      <c r="O6021" t="s">
        <v>24</v>
      </c>
      <c r="Q6021">
        <v>100</v>
      </c>
      <c r="R6021" t="str">
        <f>"DROGARIA TOTAL JUNDIAI (10177)"</f>
        <v>DROGARIA TOTAL JUNDIAI (10177)</v>
      </c>
      <c r="S6021" t="s">
        <v>48</v>
      </c>
      <c r="T6021">
        <v>19600</v>
      </c>
      <c r="U6021">
        <v>23819</v>
      </c>
      <c r="V6021" t="s">
        <v>48</v>
      </c>
    </row>
    <row r="6022" spans="1:22">
      <c r="A6022" t="str">
        <f t="shared" si="1066"/>
        <v>15/10/2025</v>
      </c>
      <c r="B6022" t="str">
        <f>"SAÍDA"</f>
        <v>SAÍDA</v>
      </c>
      <c r="C6022" t="str">
        <f>"PIX"</f>
        <v>PIX</v>
      </c>
      <c r="D6022" t="str">
        <f>"22990"</f>
        <v>22990</v>
      </c>
      <c r="E6022" t="str">
        <f>"1"</f>
        <v>1</v>
      </c>
      <c r="F6022" t="str">
        <f t="shared" si="1074"/>
        <v>COM</v>
      </c>
      <c r="G6022" t="str">
        <f t="shared" ref="G6022:G6029" si="1082">"PEDRO HENRIQUE DA SILVA COSTA OLIVEIRA (852)"</f>
        <v>PEDRO HENRIQUE DA SILVA COSTA OLIVEIRA (852)</v>
      </c>
      <c r="H6022" t="str">
        <f>"Serv.Prest. 26/09/2025 a 05/10/2025 - PIX: E-MAIL - CHAVE: sypedrinho@gmail.com"</f>
        <v>Serv.Prest. 26/09/2025 a 05/10/2025 - PIX: E-MAIL - CHAVE: sypedrinho@gmail.com</v>
      </c>
      <c r="I6022" t="str">
        <f t="shared" si="1081"/>
        <v>16/10/2025</v>
      </c>
      <c r="J6022" t="str">
        <f>("07/10/2025")</f>
        <v>07/10/2025</v>
      </c>
      <c r="K6022" t="str">
        <f>("15/10/2025")</f>
        <v>15/10/2025</v>
      </c>
      <c r="L6022">
        <v>100</v>
      </c>
      <c r="M6022">
        <v>100</v>
      </c>
      <c r="N6022">
        <v>109</v>
      </c>
      <c r="O6022" t="str">
        <f>"PAGAMENTO DE ENTREGADORES"</f>
        <v>PAGAMENTO DE ENTREGADORES</v>
      </c>
      <c r="P6022">
        <v>100</v>
      </c>
      <c r="S6022" t="str">
        <f>"CAIXA MOVIMENTAÇÃO OPERACIONAL (132)"</f>
        <v>CAIXA MOVIMENTAÇÃO OPERACIONAL (132)</v>
      </c>
      <c r="T6022">
        <v>19601</v>
      </c>
      <c r="U6022">
        <v>23820</v>
      </c>
      <c r="V6022" t="s">
        <v>48</v>
      </c>
    </row>
    <row r="6023" spans="1:22">
      <c r="A6023" t="str">
        <f t="shared" si="1066"/>
        <v>15/10/2025</v>
      </c>
      <c r="B6023" t="str">
        <f>"SAÍDA"</f>
        <v>SAÍDA</v>
      </c>
      <c r="C6023" t="str">
        <f>"PIX"</f>
        <v>PIX</v>
      </c>
      <c r="D6023" t="str">
        <f>"22990"</f>
        <v>22990</v>
      </c>
      <c r="E6023" t="str">
        <f>"1"</f>
        <v>1</v>
      </c>
      <c r="F6023" t="str">
        <f t="shared" si="1074"/>
        <v>COM</v>
      </c>
      <c r="G6023" t="str">
        <f t="shared" si="1082"/>
        <v>PEDRO HENRIQUE DA SILVA COSTA OLIVEIRA (852)</v>
      </c>
      <c r="H6023" t="s">
        <v>1627</v>
      </c>
      <c r="I6023" t="str">
        <f t="shared" si="1081"/>
        <v>16/10/2025</v>
      </c>
      <c r="J6023" t="str">
        <f>("07/10/2025")</f>
        <v>07/10/2025</v>
      </c>
      <c r="K6023">
        <v>45945</v>
      </c>
      <c r="N6023">
        <v>109</v>
      </c>
      <c r="O6023" t="s">
        <v>24</v>
      </c>
      <c r="Q6023">
        <v>100</v>
      </c>
      <c r="R6023" t="str">
        <f>"FARMÁCIA INDIANA LJ 110 (10048)"</f>
        <v>FARMÁCIA INDIANA LJ 110 (10048)</v>
      </c>
      <c r="S6023" t="s">
        <v>48</v>
      </c>
      <c r="T6023">
        <v>19601</v>
      </c>
      <c r="U6023">
        <v>23820</v>
      </c>
      <c r="V6023" t="s">
        <v>48</v>
      </c>
    </row>
    <row r="6024" spans="1:22">
      <c r="A6024" t="str">
        <f t="shared" si="1066"/>
        <v>15/10/2025</v>
      </c>
      <c r="B6024" t="str">
        <f>"ENTRADA"</f>
        <v>ENTRADA</v>
      </c>
      <c r="C6024" t="str">
        <f>"DINHEIRO"</f>
        <v>DINHEIRO</v>
      </c>
      <c r="D6024" t="str">
        <f>"1610"</f>
        <v>1610</v>
      </c>
      <c r="E6024" t="str">
        <f>"25"</f>
        <v>25</v>
      </c>
      <c r="F6024" t="str">
        <f t="shared" si="1074"/>
        <v>COM</v>
      </c>
      <c r="G6024" t="str">
        <f t="shared" si="1082"/>
        <v>PEDRO HENRIQUE DA SILVA COSTA OLIVEIRA (852)</v>
      </c>
      <c r="H6024" t="str">
        <f>"REEMBOLSO ADIANTAMENTO"</f>
        <v>REEMBOLSO ADIANTAMENTO</v>
      </c>
      <c r="I6024" t="str">
        <f t="shared" si="1081"/>
        <v>16/10/2025</v>
      </c>
      <c r="J6024" t="str">
        <f>("12/09/2025")</f>
        <v>12/09/2025</v>
      </c>
      <c r="K6024" t="str">
        <f>("15/10/2025")</f>
        <v>15/10/2025</v>
      </c>
      <c r="L6024">
        <v>100</v>
      </c>
      <c r="M6024">
        <v>100</v>
      </c>
      <c r="N6024">
        <v>129</v>
      </c>
      <c r="O6024" t="str">
        <f>"ENTRADA DE REEMBOLSO ADIANTAMENTO"</f>
        <v>ENTRADA DE REEMBOLSO ADIANTAMENTO</v>
      </c>
      <c r="P6024">
        <v>100</v>
      </c>
      <c r="S6024" t="str">
        <f>"ENTRADA DE REEMBOLSO ADIANTAMENTO (129)"</f>
        <v>ENTRADA DE REEMBOLSO ADIANTAMENTO (129)</v>
      </c>
      <c r="T6024">
        <v>19602</v>
      </c>
      <c r="U6024">
        <v>21948</v>
      </c>
      <c r="V6024" t="s">
        <v>48</v>
      </c>
    </row>
    <row r="6025" spans="1:22">
      <c r="A6025" t="str">
        <f t="shared" si="1066"/>
        <v>15/10/2025</v>
      </c>
      <c r="B6025" t="str">
        <f>"ENTRADA"</f>
        <v>ENTRADA</v>
      </c>
      <c r="C6025" t="str">
        <f>"DINHEIRO"</f>
        <v>DINHEIRO</v>
      </c>
      <c r="D6025" t="str">
        <f>"1610"</f>
        <v>1610</v>
      </c>
      <c r="E6025" t="str">
        <f>"25"</f>
        <v>25</v>
      </c>
      <c r="F6025" t="str">
        <f t="shared" si="1074"/>
        <v>COM</v>
      </c>
      <c r="G6025" t="str">
        <f t="shared" si="1082"/>
        <v>PEDRO HENRIQUE DA SILVA COSTA OLIVEIRA (852)</v>
      </c>
      <c r="H6025" t="s">
        <v>57</v>
      </c>
      <c r="I6025" t="str">
        <f t="shared" si="1081"/>
        <v>16/10/2025</v>
      </c>
      <c r="J6025" t="str">
        <f>("12/09/2025")</f>
        <v>12/09/2025</v>
      </c>
      <c r="K6025">
        <v>45945</v>
      </c>
      <c r="N6025">
        <v>129</v>
      </c>
      <c r="O6025" t="s">
        <v>58</v>
      </c>
      <c r="Q6025">
        <v>100</v>
      </c>
      <c r="R6025" t="str">
        <f>"PEDRO HENRIQUE DA SILVA COSTA OLIVEIRA (852)"</f>
        <v>PEDRO HENRIQUE DA SILVA COSTA OLIVEIRA (852)</v>
      </c>
      <c r="S6025" t="s">
        <v>59</v>
      </c>
      <c r="T6025">
        <v>19602</v>
      </c>
      <c r="U6025">
        <v>21948</v>
      </c>
      <c r="V6025" t="s">
        <v>48</v>
      </c>
    </row>
    <row r="6026" spans="1:22">
      <c r="A6026" t="str">
        <f t="shared" ref="A6026:A6089" si="1083">("15/10/2025")</f>
        <v>15/10/2025</v>
      </c>
      <c r="B6026" t="str">
        <f>"ENTRADA"</f>
        <v>ENTRADA</v>
      </c>
      <c r="C6026" t="str">
        <f>"DINHEIRO"</f>
        <v>DINHEIRO</v>
      </c>
      <c r="D6026" t="str">
        <f>"2310"</f>
        <v>2310</v>
      </c>
      <c r="E6026" t="str">
        <f>"25"</f>
        <v>25</v>
      </c>
      <c r="F6026" t="str">
        <f t="shared" si="1074"/>
        <v>COM</v>
      </c>
      <c r="G6026" t="str">
        <f t="shared" si="1082"/>
        <v>PEDRO HENRIQUE DA SILVA COSTA OLIVEIRA (852)</v>
      </c>
      <c r="H6026" t="str">
        <f>"REEMBOLSO ADIANTAMENTO"</f>
        <v>REEMBOLSO ADIANTAMENTO</v>
      </c>
      <c r="I6026" t="str">
        <f>("23/10/2025")</f>
        <v>23/10/2025</v>
      </c>
      <c r="J6026" t="str">
        <f>("12/09/2025")</f>
        <v>12/09/2025</v>
      </c>
      <c r="K6026" t="str">
        <f>("15/10/2025")</f>
        <v>15/10/2025</v>
      </c>
      <c r="L6026">
        <v>100</v>
      </c>
      <c r="M6026">
        <v>100</v>
      </c>
      <c r="N6026">
        <v>129</v>
      </c>
      <c r="O6026" t="str">
        <f>"ENTRADA DE REEMBOLSO ADIANTAMENTO"</f>
        <v>ENTRADA DE REEMBOLSO ADIANTAMENTO</v>
      </c>
      <c r="P6026">
        <v>100</v>
      </c>
      <c r="S6026" t="str">
        <f>"ENTRADA DE REEMBOLSO ADIANTAMENTO (129)"</f>
        <v>ENTRADA DE REEMBOLSO ADIANTAMENTO (129)</v>
      </c>
      <c r="T6026">
        <v>19603</v>
      </c>
      <c r="U6026">
        <v>21949</v>
      </c>
      <c r="V6026" t="s">
        <v>48</v>
      </c>
    </row>
    <row r="6027" spans="1:22">
      <c r="A6027" t="str">
        <f t="shared" si="1083"/>
        <v>15/10/2025</v>
      </c>
      <c r="B6027" t="str">
        <f>"ENTRADA"</f>
        <v>ENTRADA</v>
      </c>
      <c r="C6027" t="str">
        <f>"DINHEIRO"</f>
        <v>DINHEIRO</v>
      </c>
      <c r="D6027" t="str">
        <f>"2310"</f>
        <v>2310</v>
      </c>
      <c r="E6027" t="str">
        <f>"25"</f>
        <v>25</v>
      </c>
      <c r="F6027" t="str">
        <f t="shared" si="1074"/>
        <v>COM</v>
      </c>
      <c r="G6027" t="str">
        <f t="shared" si="1082"/>
        <v>PEDRO HENRIQUE DA SILVA COSTA OLIVEIRA (852)</v>
      </c>
      <c r="H6027" t="s">
        <v>57</v>
      </c>
      <c r="I6027" t="str">
        <f>("23/10/2025")</f>
        <v>23/10/2025</v>
      </c>
      <c r="J6027" t="str">
        <f>("12/09/2025")</f>
        <v>12/09/2025</v>
      </c>
      <c r="K6027">
        <v>45945</v>
      </c>
      <c r="N6027">
        <v>129</v>
      </c>
      <c r="O6027" t="s">
        <v>58</v>
      </c>
      <c r="Q6027">
        <v>100</v>
      </c>
      <c r="R6027" t="str">
        <f>"PEDRO HENRIQUE DA SILVA COSTA OLIVEIRA (852)"</f>
        <v>PEDRO HENRIQUE DA SILVA COSTA OLIVEIRA (852)</v>
      </c>
      <c r="S6027" t="s">
        <v>59</v>
      </c>
      <c r="T6027">
        <v>19603</v>
      </c>
      <c r="U6027">
        <v>21949</v>
      </c>
      <c r="V6027" t="s">
        <v>48</v>
      </c>
    </row>
    <row r="6028" spans="1:22">
      <c r="A6028" t="str">
        <f t="shared" si="1083"/>
        <v>15/10/2025</v>
      </c>
      <c r="B6028" t="str">
        <f>"SAÍDA"</f>
        <v>SAÍDA</v>
      </c>
      <c r="C6028" t="str">
        <f>"PIX"</f>
        <v>PIX</v>
      </c>
      <c r="D6028" t="str">
        <f>"23708"</f>
        <v>23708</v>
      </c>
      <c r="E6028" t="str">
        <f t="shared" ref="E6028:E6037" si="1084">"1"</f>
        <v>1</v>
      </c>
      <c r="F6028" t="str">
        <f t="shared" si="1074"/>
        <v>COM</v>
      </c>
      <c r="G6028" t="str">
        <f t="shared" si="1082"/>
        <v>PEDRO HENRIQUE DA SILVA COSTA OLIVEIRA (852)</v>
      </c>
      <c r="H6028" t="str">
        <f>"Serv.Prest. 06/10/2025 a 12/10/2025 - PIX: E-MAIL - CHAVE: sypedrinho@gmail.com"</f>
        <v>Serv.Prest. 06/10/2025 a 12/10/2025 - PIX: E-MAIL - CHAVE: sypedrinho@gmail.com</v>
      </c>
      <c r="I6028" t="str">
        <f>("23/10/2025")</f>
        <v>23/10/2025</v>
      </c>
      <c r="J6028" t="str">
        <f>("14/10/2025")</f>
        <v>14/10/2025</v>
      </c>
      <c r="K6028" t="str">
        <f>("15/10/2025")</f>
        <v>15/10/2025</v>
      </c>
      <c r="L6028">
        <v>100</v>
      </c>
      <c r="M6028">
        <v>100</v>
      </c>
      <c r="N6028">
        <v>109</v>
      </c>
      <c r="O6028" t="str">
        <f>"PAGAMENTO DE ENTREGADORES"</f>
        <v>PAGAMENTO DE ENTREGADORES</v>
      </c>
      <c r="P6028">
        <v>100</v>
      </c>
      <c r="S6028" t="str">
        <f>"CAIXA MOVIMENTAÇÃO OPERACIONAL (132)"</f>
        <v>CAIXA MOVIMENTAÇÃO OPERACIONAL (132)</v>
      </c>
      <c r="T6028">
        <v>19604</v>
      </c>
      <c r="U6028">
        <v>23821</v>
      </c>
      <c r="V6028" t="s">
        <v>48</v>
      </c>
    </row>
    <row r="6029" spans="1:22">
      <c r="A6029" t="str">
        <f t="shared" si="1083"/>
        <v>15/10/2025</v>
      </c>
      <c r="B6029" t="str">
        <f>"SAÍDA"</f>
        <v>SAÍDA</v>
      </c>
      <c r="C6029" t="str">
        <f>"PIX"</f>
        <v>PIX</v>
      </c>
      <c r="D6029" t="str">
        <f>"23708"</f>
        <v>23708</v>
      </c>
      <c r="E6029" t="str">
        <f t="shared" si="1084"/>
        <v>1</v>
      </c>
      <c r="F6029" t="str">
        <f t="shared" si="1074"/>
        <v>COM</v>
      </c>
      <c r="G6029" t="str">
        <f t="shared" si="1082"/>
        <v>PEDRO HENRIQUE DA SILVA COSTA OLIVEIRA (852)</v>
      </c>
      <c r="H6029" t="s">
        <v>1628</v>
      </c>
      <c r="I6029" t="str">
        <f>("23/10/2025")</f>
        <v>23/10/2025</v>
      </c>
      <c r="J6029" t="str">
        <f>("14/10/2025")</f>
        <v>14/10/2025</v>
      </c>
      <c r="K6029">
        <v>45945</v>
      </c>
      <c r="N6029">
        <v>109</v>
      </c>
      <c r="O6029" t="s">
        <v>24</v>
      </c>
      <c r="Q6029">
        <v>100</v>
      </c>
      <c r="R6029" t="str">
        <f>"FARMÁCIA INDIANA LJ 110 (10048)"</f>
        <v>FARMÁCIA INDIANA LJ 110 (10048)</v>
      </c>
      <c r="S6029" t="s">
        <v>48</v>
      </c>
      <c r="T6029">
        <v>19604</v>
      </c>
      <c r="U6029">
        <v>23821</v>
      </c>
      <c r="V6029" t="s">
        <v>48</v>
      </c>
    </row>
    <row r="6030" spans="1:22">
      <c r="A6030" t="str">
        <f t="shared" si="1083"/>
        <v>15/10/2025</v>
      </c>
      <c r="B6030" t="str">
        <f t="shared" ref="B6030:B6037" si="1085">"ENTRADA"</f>
        <v>ENTRADA</v>
      </c>
      <c r="C6030" t="str">
        <f t="shared" ref="C6030:C6037" si="1086">"NFSE"</f>
        <v>NFSE</v>
      </c>
      <c r="D6030" t="str">
        <f>"3477"</f>
        <v>3477</v>
      </c>
      <c r="E6030" t="str">
        <f t="shared" si="1084"/>
        <v>1</v>
      </c>
      <c r="F6030" t="str">
        <f t="shared" si="1074"/>
        <v>COM</v>
      </c>
      <c r="G6030" t="str">
        <f>"DROGARIA AGAPEAMA (10167)"</f>
        <v>DROGARIA AGAPEAMA (10167)</v>
      </c>
      <c r="H6030" t="str">
        <f>"Serv.Prest. 06/10/2025 a 12/10/2025 - RPS: 1353 - NFSe: 3477"</f>
        <v>Serv.Prest. 06/10/2025 a 12/10/2025 - RPS: 1353 - NFSe: 3477</v>
      </c>
      <c r="I6030" t="str">
        <f t="shared" ref="I6030:I6061" si="1087">("15/10/2025")</f>
        <v>15/10/2025</v>
      </c>
      <c r="J6030" t="str">
        <f>("13/10/2025")</f>
        <v>13/10/2025</v>
      </c>
      <c r="K6030" t="str">
        <f>("15/10/2025")</f>
        <v>15/10/2025</v>
      </c>
      <c r="L6030">
        <v>3636</v>
      </c>
      <c r="M6030">
        <v>3636</v>
      </c>
      <c r="N6030">
        <v>303</v>
      </c>
      <c r="O6030" t="str">
        <f>"RECEITAS COM ENTREGAS"</f>
        <v>RECEITAS COM ENTREGAS</v>
      </c>
      <c r="P6030">
        <v>3636</v>
      </c>
      <c r="S6030" t="str">
        <f>"RECEITAS COM ENTREGAS (303)"</f>
        <v>RECEITAS COM ENTREGAS (303)</v>
      </c>
      <c r="T6030">
        <v>19611</v>
      </c>
      <c r="U6030">
        <v>23545</v>
      </c>
      <c r="V6030" t="s">
        <v>22</v>
      </c>
    </row>
    <row r="6031" spans="1:22">
      <c r="A6031" t="str">
        <f t="shared" si="1083"/>
        <v>15/10/2025</v>
      </c>
      <c r="B6031" t="str">
        <f t="shared" si="1085"/>
        <v>ENTRADA</v>
      </c>
      <c r="C6031" t="str">
        <f t="shared" si="1086"/>
        <v>NFSE</v>
      </c>
      <c r="D6031" t="str">
        <f>"3477"</f>
        <v>3477</v>
      </c>
      <c r="E6031" t="str">
        <f t="shared" si="1084"/>
        <v>1</v>
      </c>
      <c r="F6031" t="str">
        <f t="shared" si="1074"/>
        <v>COM</v>
      </c>
      <c r="G6031" t="str">
        <f>"DROGARIA AGAPEAMA (10167)"</f>
        <v>DROGARIA AGAPEAMA (10167)</v>
      </c>
      <c r="H6031" t="s">
        <v>1629</v>
      </c>
      <c r="I6031" t="str">
        <f t="shared" si="1087"/>
        <v>15/10/2025</v>
      </c>
      <c r="J6031" t="str">
        <f>("13/10/2025")</f>
        <v>13/10/2025</v>
      </c>
      <c r="K6031">
        <v>45945</v>
      </c>
      <c r="N6031">
        <v>303</v>
      </c>
      <c r="O6031" t="s">
        <v>69</v>
      </c>
      <c r="Q6031">
        <v>3636</v>
      </c>
      <c r="R6031" t="str">
        <f>"DROGARIA AGAPEAMA (10167)"</f>
        <v>DROGARIA AGAPEAMA (10167)</v>
      </c>
      <c r="S6031" t="s">
        <v>70</v>
      </c>
      <c r="T6031">
        <v>19611</v>
      </c>
      <c r="U6031">
        <v>23545</v>
      </c>
      <c r="V6031" t="s">
        <v>22</v>
      </c>
    </row>
    <row r="6032" spans="1:22">
      <c r="A6032" t="str">
        <f t="shared" si="1083"/>
        <v>15/10/2025</v>
      </c>
      <c r="B6032" t="str">
        <f t="shared" si="1085"/>
        <v>ENTRADA</v>
      </c>
      <c r="C6032" t="str">
        <f t="shared" si="1086"/>
        <v>NFSE</v>
      </c>
      <c r="D6032" t="str">
        <f>"3481"</f>
        <v>3481</v>
      </c>
      <c r="E6032" t="str">
        <f t="shared" si="1084"/>
        <v>1</v>
      </c>
      <c r="F6032" t="str">
        <f t="shared" ref="F6032:F6095" si="1088">"COM"</f>
        <v>COM</v>
      </c>
      <c r="G6032" t="str">
        <f>"ENTREFARMA (10164)"</f>
        <v>ENTREFARMA (10164)</v>
      </c>
      <c r="H6032" t="str">
        <f>"Serv.Prest. 06/10/2025 a 12/10/2025 - RPS: 1357 - NFSe: 3481"</f>
        <v>Serv.Prest. 06/10/2025 a 12/10/2025 - RPS: 1357 - NFSe: 3481</v>
      </c>
      <c r="I6032" t="str">
        <f t="shared" si="1087"/>
        <v>15/10/2025</v>
      </c>
      <c r="J6032" t="str">
        <f>("13/10/2025")</f>
        <v>13/10/2025</v>
      </c>
      <c r="K6032" t="str">
        <f>("15/10/2025")</f>
        <v>15/10/2025</v>
      </c>
      <c r="L6032">
        <v>5787.23</v>
      </c>
      <c r="M6032">
        <v>5787.23</v>
      </c>
      <c r="N6032">
        <v>303</v>
      </c>
      <c r="O6032" t="str">
        <f>"RECEITAS COM ENTREGAS"</f>
        <v>RECEITAS COM ENTREGAS</v>
      </c>
      <c r="P6032">
        <v>5787.23</v>
      </c>
      <c r="S6032" t="str">
        <f>"RECEITAS COM ENTREGAS (303)"</f>
        <v>RECEITAS COM ENTREGAS (303)</v>
      </c>
      <c r="T6032">
        <v>19612</v>
      </c>
      <c r="U6032">
        <v>23559</v>
      </c>
      <c r="V6032" t="s">
        <v>22</v>
      </c>
    </row>
    <row r="6033" spans="1:22">
      <c r="A6033" t="str">
        <f t="shared" si="1083"/>
        <v>15/10/2025</v>
      </c>
      <c r="B6033" t="str">
        <f t="shared" si="1085"/>
        <v>ENTRADA</v>
      </c>
      <c r="C6033" t="str">
        <f t="shared" si="1086"/>
        <v>NFSE</v>
      </c>
      <c r="D6033" t="str">
        <f>"3481"</f>
        <v>3481</v>
      </c>
      <c r="E6033" t="str">
        <f t="shared" si="1084"/>
        <v>1</v>
      </c>
      <c r="F6033" t="str">
        <f t="shared" si="1088"/>
        <v>COM</v>
      </c>
      <c r="G6033" t="str">
        <f>"ENTREFARMA (10164)"</f>
        <v>ENTREFARMA (10164)</v>
      </c>
      <c r="H6033" t="s">
        <v>1630</v>
      </c>
      <c r="I6033" t="str">
        <f t="shared" si="1087"/>
        <v>15/10/2025</v>
      </c>
      <c r="J6033" t="str">
        <f>("13/10/2025")</f>
        <v>13/10/2025</v>
      </c>
      <c r="K6033">
        <v>45945</v>
      </c>
      <c r="N6033">
        <v>303</v>
      </c>
      <c r="O6033" t="s">
        <v>69</v>
      </c>
      <c r="Q6033">
        <v>5787.23</v>
      </c>
      <c r="R6033" t="str">
        <f>"ENTREFARMA (10164)"</f>
        <v>ENTREFARMA (10164)</v>
      </c>
      <c r="S6033" t="s">
        <v>70</v>
      </c>
      <c r="T6033">
        <v>19612</v>
      </c>
      <c r="U6033">
        <v>23559</v>
      </c>
      <c r="V6033" t="s">
        <v>22</v>
      </c>
    </row>
    <row r="6034" spans="1:22">
      <c r="A6034" t="str">
        <f t="shared" si="1083"/>
        <v>15/10/2025</v>
      </c>
      <c r="B6034" t="str">
        <f t="shared" si="1085"/>
        <v>ENTRADA</v>
      </c>
      <c r="C6034" t="str">
        <f t="shared" si="1086"/>
        <v>NFSE</v>
      </c>
      <c r="D6034" t="str">
        <f>"3501"</f>
        <v>3501</v>
      </c>
      <c r="E6034" t="str">
        <f t="shared" si="1084"/>
        <v>1</v>
      </c>
      <c r="F6034" t="str">
        <f t="shared" si="1088"/>
        <v>COM</v>
      </c>
      <c r="G6034" t="str">
        <f>"FRAN FARMA (10124)"</f>
        <v>FRAN FARMA (10124)</v>
      </c>
      <c r="H6034" t="str">
        <f>"Serv.Prest. 06/10/2025 a 12/10/2025 - RPS: 1377 - NFSe: 3501"</f>
        <v>Serv.Prest. 06/10/2025 a 12/10/2025 - RPS: 1377 - NFSe: 3501</v>
      </c>
      <c r="I6034" t="str">
        <f t="shared" si="1087"/>
        <v>15/10/2025</v>
      </c>
      <c r="J6034" t="str">
        <f>("14/10/2025")</f>
        <v>14/10/2025</v>
      </c>
      <c r="K6034" t="str">
        <f>("15/10/2025")</f>
        <v>15/10/2025</v>
      </c>
      <c r="L6034">
        <v>840</v>
      </c>
      <c r="M6034">
        <v>840</v>
      </c>
      <c r="N6034">
        <v>303</v>
      </c>
      <c r="O6034" t="str">
        <f>"RECEITAS COM ENTREGAS"</f>
        <v>RECEITAS COM ENTREGAS</v>
      </c>
      <c r="P6034">
        <v>840</v>
      </c>
      <c r="S6034" t="str">
        <f>"RECEITAS COM ENTREGAS (303)"</f>
        <v>RECEITAS COM ENTREGAS (303)</v>
      </c>
      <c r="T6034">
        <v>19613</v>
      </c>
      <c r="U6034">
        <v>23778</v>
      </c>
      <c r="V6034" t="s">
        <v>22</v>
      </c>
    </row>
    <row r="6035" spans="1:22">
      <c r="A6035" t="str">
        <f t="shared" si="1083"/>
        <v>15/10/2025</v>
      </c>
      <c r="B6035" t="str">
        <f t="shared" si="1085"/>
        <v>ENTRADA</v>
      </c>
      <c r="C6035" t="str">
        <f t="shared" si="1086"/>
        <v>NFSE</v>
      </c>
      <c r="D6035" t="str">
        <f>"3501"</f>
        <v>3501</v>
      </c>
      <c r="E6035" t="str">
        <f t="shared" si="1084"/>
        <v>1</v>
      </c>
      <c r="F6035" t="str">
        <f t="shared" si="1088"/>
        <v>COM</v>
      </c>
      <c r="G6035" t="str">
        <f>"FRAN FARMA (10124)"</f>
        <v>FRAN FARMA (10124)</v>
      </c>
      <c r="H6035" t="s">
        <v>1631</v>
      </c>
      <c r="I6035" t="str">
        <f t="shared" si="1087"/>
        <v>15/10/2025</v>
      </c>
      <c r="J6035" t="str">
        <f>("14/10/2025")</f>
        <v>14/10/2025</v>
      </c>
      <c r="K6035">
        <v>45945</v>
      </c>
      <c r="N6035">
        <v>303</v>
      </c>
      <c r="O6035" t="s">
        <v>69</v>
      </c>
      <c r="Q6035">
        <v>840</v>
      </c>
      <c r="R6035" t="str">
        <f>"FRAN FARMA LJ 2 (10131)"</f>
        <v>FRAN FARMA LJ 2 (10131)</v>
      </c>
      <c r="S6035" t="s">
        <v>70</v>
      </c>
      <c r="T6035">
        <v>19613</v>
      </c>
      <c r="U6035">
        <v>23778</v>
      </c>
      <c r="V6035" t="s">
        <v>22</v>
      </c>
    </row>
    <row r="6036" spans="1:22">
      <c r="A6036" t="str">
        <f t="shared" si="1083"/>
        <v>15/10/2025</v>
      </c>
      <c r="B6036" t="str">
        <f t="shared" si="1085"/>
        <v>ENTRADA</v>
      </c>
      <c r="C6036" t="str">
        <f t="shared" si="1086"/>
        <v>NFSE</v>
      </c>
      <c r="D6036" t="str">
        <f>"3497"</f>
        <v>3497</v>
      </c>
      <c r="E6036" t="str">
        <f t="shared" si="1084"/>
        <v>1</v>
      </c>
      <c r="F6036" t="str">
        <f t="shared" si="1088"/>
        <v>COM</v>
      </c>
      <c r="G6036" t="str">
        <f>"DROGARIA VAZ (10179)"</f>
        <v>DROGARIA VAZ (10179)</v>
      </c>
      <c r="H6036" t="str">
        <f>"Serv.Prest. 06/10/2025 a 12/10/2025 - RPS: 1373 - NFSe: 3497"</f>
        <v>Serv.Prest. 06/10/2025 a 12/10/2025 - RPS: 1373 - NFSe: 3497</v>
      </c>
      <c r="I6036" t="str">
        <f t="shared" si="1087"/>
        <v>15/10/2025</v>
      </c>
      <c r="J6036" t="str">
        <f>("14/10/2025")</f>
        <v>14/10/2025</v>
      </c>
      <c r="K6036" t="str">
        <f>("15/10/2025")</f>
        <v>15/10/2025</v>
      </c>
      <c r="L6036">
        <v>1312.34</v>
      </c>
      <c r="M6036">
        <v>1312.34</v>
      </c>
      <c r="N6036">
        <v>303</v>
      </c>
      <c r="O6036" t="str">
        <f>"RECEITAS COM ENTREGAS"</f>
        <v>RECEITAS COM ENTREGAS</v>
      </c>
      <c r="P6036">
        <v>1312.34</v>
      </c>
      <c r="S6036" t="str">
        <f>"RECEITAS COM ENTREGAS (303)"</f>
        <v>RECEITAS COM ENTREGAS (303)</v>
      </c>
      <c r="T6036">
        <v>19614</v>
      </c>
      <c r="U6036">
        <v>23629</v>
      </c>
      <c r="V6036" t="s">
        <v>22</v>
      </c>
    </row>
    <row r="6037" spans="1:22">
      <c r="A6037" t="str">
        <f t="shared" si="1083"/>
        <v>15/10/2025</v>
      </c>
      <c r="B6037" t="str">
        <f t="shared" si="1085"/>
        <v>ENTRADA</v>
      </c>
      <c r="C6037" t="str">
        <f t="shared" si="1086"/>
        <v>NFSE</v>
      </c>
      <c r="D6037" t="str">
        <f>"3497"</f>
        <v>3497</v>
      </c>
      <c r="E6037" t="str">
        <f t="shared" si="1084"/>
        <v>1</v>
      </c>
      <c r="F6037" t="str">
        <f t="shared" si="1088"/>
        <v>COM</v>
      </c>
      <c r="G6037" t="str">
        <f>"DROGARIA VAZ (10179)"</f>
        <v>DROGARIA VAZ (10179)</v>
      </c>
      <c r="H6037" t="s">
        <v>1632</v>
      </c>
      <c r="I6037" t="str">
        <f t="shared" si="1087"/>
        <v>15/10/2025</v>
      </c>
      <c r="J6037" t="str">
        <f>("14/10/2025")</f>
        <v>14/10/2025</v>
      </c>
      <c r="K6037">
        <v>45945</v>
      </c>
      <c r="N6037">
        <v>303</v>
      </c>
      <c r="O6037" t="s">
        <v>69</v>
      </c>
      <c r="Q6037">
        <v>1312.34</v>
      </c>
      <c r="R6037" t="str">
        <f>"DROGARIA VAZ (10179)"</f>
        <v>DROGARIA VAZ (10179)</v>
      </c>
      <c r="S6037" t="s">
        <v>70</v>
      </c>
      <c r="T6037">
        <v>19614</v>
      </c>
      <c r="U6037">
        <v>23629</v>
      </c>
      <c r="V6037" t="s">
        <v>22</v>
      </c>
    </row>
    <row r="6038" spans="1:22">
      <c r="A6038" t="str">
        <f t="shared" si="1083"/>
        <v>15/10/2025</v>
      </c>
      <c r="B6038" t="str">
        <f t="shared" ref="B6038:B6069" si="1089">"SAÍDA"</f>
        <v>SAÍDA</v>
      </c>
      <c r="C6038" t="str">
        <f>"PIX"</f>
        <v>PIX</v>
      </c>
      <c r="D6038" t="str">
        <f>"15022025"</f>
        <v>15022025</v>
      </c>
      <c r="E6038" t="str">
        <f>"33"</f>
        <v>33</v>
      </c>
      <c r="F6038" t="str">
        <f t="shared" si="1088"/>
        <v>COM</v>
      </c>
      <c r="G6038" t="str">
        <f>"ALBERTO KENNEDY ALMEIDA DE JESUS (20026)"</f>
        <v>ALBERTO KENNEDY ALMEIDA DE JESUS (20026)</v>
      </c>
      <c r="H6038" t="str">
        <f>"PAGAMENTO PRESTACAO DE SERVICO"</f>
        <v>PAGAMENTO PRESTACAO DE SERVICO</v>
      </c>
      <c r="I6038" t="str">
        <f t="shared" si="1087"/>
        <v>15/10/2025</v>
      </c>
      <c r="J6038" t="str">
        <f>("14/02/2025")</f>
        <v>14/02/2025</v>
      </c>
      <c r="K6038" t="str">
        <f>("15/10/2025")</f>
        <v>15/10/2025</v>
      </c>
      <c r="L6038">
        <v>3000</v>
      </c>
      <c r="M6038">
        <v>3000</v>
      </c>
      <c r="N6038">
        <v>103</v>
      </c>
      <c r="O6038" t="str">
        <f>"PAGAMENTO DE FUNCIONÁRIOS"</f>
        <v>PAGAMENTO DE FUNCIONÁRIOS</v>
      </c>
      <c r="P6038">
        <v>3000</v>
      </c>
      <c r="S6038" t="str">
        <f>"BANCO CORA (102)"</f>
        <v>BANCO CORA (102)</v>
      </c>
      <c r="T6038">
        <v>19615</v>
      </c>
      <c r="U6038">
        <v>9894</v>
      </c>
      <c r="V6038" t="s">
        <v>22</v>
      </c>
    </row>
    <row r="6039" spans="1:22">
      <c r="A6039" t="str">
        <f t="shared" si="1083"/>
        <v>15/10/2025</v>
      </c>
      <c r="B6039" t="str">
        <f t="shared" si="1089"/>
        <v>SAÍDA</v>
      </c>
      <c r="C6039" t="str">
        <f>"PIX"</f>
        <v>PIX</v>
      </c>
      <c r="D6039" t="str">
        <f>"15022025"</f>
        <v>15022025</v>
      </c>
      <c r="E6039" t="str">
        <f>"33"</f>
        <v>33</v>
      </c>
      <c r="F6039" t="str">
        <f t="shared" si="1088"/>
        <v>COM</v>
      </c>
      <c r="G6039" t="str">
        <f>"ALBERTO KENNEDY ALMEIDA DE JESUS (20026)"</f>
        <v>ALBERTO KENNEDY ALMEIDA DE JESUS (20026)</v>
      </c>
      <c r="H6039" t="s">
        <v>587</v>
      </c>
      <c r="I6039" t="str">
        <f t="shared" si="1087"/>
        <v>15/10/2025</v>
      </c>
      <c r="J6039" t="str">
        <f>("14/02/2025")</f>
        <v>14/02/2025</v>
      </c>
      <c r="K6039">
        <v>45945</v>
      </c>
      <c r="N6039">
        <v>103</v>
      </c>
      <c r="O6039" t="s">
        <v>267</v>
      </c>
      <c r="Q6039">
        <v>3000</v>
      </c>
      <c r="R6039" t="str">
        <f>"ALBERTO KENNEDY ALMEIDA DE JESUS (20026)"</f>
        <v>ALBERTO KENNEDY ALMEIDA DE JESUS (20026)</v>
      </c>
      <c r="S6039" t="s">
        <v>22</v>
      </c>
      <c r="T6039">
        <v>19615</v>
      </c>
      <c r="U6039">
        <v>9894</v>
      </c>
      <c r="V6039" t="s">
        <v>22</v>
      </c>
    </row>
    <row r="6040" spans="1:22">
      <c r="A6040" t="str">
        <f t="shared" si="1083"/>
        <v>15/10/2025</v>
      </c>
      <c r="B6040" t="str">
        <f t="shared" si="1089"/>
        <v>SAÍDA</v>
      </c>
      <c r="C6040" t="str">
        <f t="shared" ref="C6040:C6045" si="1090">"BOLETO"</f>
        <v>BOLETO</v>
      </c>
      <c r="D6040" t="str">
        <f>"899869251763741"</f>
        <v>899869251763741</v>
      </c>
      <c r="E6040" t="str">
        <f>"4"</f>
        <v>4</v>
      </c>
      <c r="F6040" t="str">
        <f t="shared" si="1088"/>
        <v>COM</v>
      </c>
      <c r="G6040" t="str">
        <f>"ASSOCIACAO DE PROTECAO E AUXILIO VEICULAR EM DEFESA DOS (20023)"</f>
        <v>ASSOCIACAO DE PROTECAO E AUXILIO VEICULAR EM DEFESA DOS (20023)</v>
      </c>
      <c r="H6040" t="str">
        <f>"SEGURO VEICULAR - RICHARD HENRIQUE DE SILVA - PLACA HCD3186"</f>
        <v>SEGURO VEICULAR - RICHARD HENRIQUE DE SILVA - PLACA HCD3186</v>
      </c>
      <c r="I6040" t="str">
        <f t="shared" si="1087"/>
        <v>15/10/2025</v>
      </c>
      <c r="J6040" t="str">
        <f>("27/06/2025")</f>
        <v>27/06/2025</v>
      </c>
      <c r="K6040" t="str">
        <f>("15/10/2025")</f>
        <v>15/10/2025</v>
      </c>
      <c r="L6040">
        <v>59.9</v>
      </c>
      <c r="M6040">
        <v>59.9</v>
      </c>
      <c r="N6040">
        <v>192</v>
      </c>
      <c r="O6040" t="str">
        <f>"PLANOS E SEGUROS"</f>
        <v>PLANOS E SEGUROS</v>
      </c>
      <c r="P6040">
        <v>59.9</v>
      </c>
      <c r="S6040" t="str">
        <f>"BANCO CORA (102)"</f>
        <v>BANCO CORA (102)</v>
      </c>
      <c r="T6040">
        <v>19616</v>
      </c>
      <c r="U6040">
        <v>17793</v>
      </c>
      <c r="V6040" t="s">
        <v>22</v>
      </c>
    </row>
    <row r="6041" spans="1:22">
      <c r="A6041" t="str">
        <f t="shared" si="1083"/>
        <v>15/10/2025</v>
      </c>
      <c r="B6041" t="str">
        <f t="shared" si="1089"/>
        <v>SAÍDA</v>
      </c>
      <c r="C6041" t="str">
        <f t="shared" si="1090"/>
        <v>BOLETO</v>
      </c>
      <c r="D6041" t="str">
        <f>"899869251763741"</f>
        <v>899869251763741</v>
      </c>
      <c r="E6041" t="str">
        <f>"4"</f>
        <v>4</v>
      </c>
      <c r="F6041" t="str">
        <f t="shared" si="1088"/>
        <v>COM</v>
      </c>
      <c r="G6041" t="str">
        <f>"ASSOCIACAO DE PROTECAO E AUXILIO VEICULAR EM DEFESA DOS (20023)"</f>
        <v>ASSOCIACAO DE PROTECAO E AUXILIO VEICULAR EM DEFESA DOS (20023)</v>
      </c>
      <c r="H6041" t="s">
        <v>627</v>
      </c>
      <c r="I6041" t="str">
        <f t="shared" si="1087"/>
        <v>15/10/2025</v>
      </c>
      <c r="J6041" t="str">
        <f>("27/06/2025")</f>
        <v>27/06/2025</v>
      </c>
      <c r="K6041">
        <v>45945</v>
      </c>
      <c r="N6041">
        <v>192</v>
      </c>
      <c r="O6041" t="s">
        <v>38</v>
      </c>
      <c r="Q6041">
        <v>59.9</v>
      </c>
      <c r="R6041" t="str">
        <f>"ASSOCIACAO DE PROTECAO E AUXILIO VEICULAR EM DEFESA DOS (20023)"</f>
        <v>ASSOCIACAO DE PROTECAO E AUXILIO VEICULAR EM DEFESA DOS (20023)</v>
      </c>
      <c r="S6041" t="s">
        <v>22</v>
      </c>
      <c r="T6041">
        <v>19616</v>
      </c>
      <c r="U6041">
        <v>17793</v>
      </c>
      <c r="V6041" t="s">
        <v>22</v>
      </c>
    </row>
    <row r="6042" spans="1:22">
      <c r="A6042" t="str">
        <f t="shared" si="1083"/>
        <v>15/10/2025</v>
      </c>
      <c r="B6042" t="str">
        <f t="shared" si="1089"/>
        <v>SAÍDA</v>
      </c>
      <c r="C6042" t="str">
        <f t="shared" si="1090"/>
        <v>BOLETO</v>
      </c>
      <c r="D6042" t="str">
        <f>"793751251763235"</f>
        <v>793751251763235</v>
      </c>
      <c r="E6042" t="str">
        <f>"4"</f>
        <v>4</v>
      </c>
      <c r="F6042" t="str">
        <f t="shared" si="1088"/>
        <v>COM</v>
      </c>
      <c r="G6042" t="str">
        <f>"ASSOCIACAO DE PROTECAO E AUXILIO VEICULAR EM DEFESA DOS (20023)"</f>
        <v>ASSOCIACAO DE PROTECAO E AUXILIO VEICULAR EM DEFESA DOS (20023)</v>
      </c>
      <c r="H6042" t="str">
        <f>"SEGURO VEICULAR - ELENICIO ALVES DOS SANTOS - PLACA PYJ7510"</f>
        <v>SEGURO VEICULAR - ELENICIO ALVES DOS SANTOS - PLACA PYJ7510</v>
      </c>
      <c r="I6042" t="str">
        <f t="shared" si="1087"/>
        <v>15/10/2025</v>
      </c>
      <c r="J6042" t="str">
        <f>("27/06/2025")</f>
        <v>27/06/2025</v>
      </c>
      <c r="K6042" t="str">
        <f>("15/10/2025")</f>
        <v>15/10/2025</v>
      </c>
      <c r="L6042">
        <v>59.9</v>
      </c>
      <c r="M6042">
        <v>59.9</v>
      </c>
      <c r="N6042">
        <v>192</v>
      </c>
      <c r="O6042" t="str">
        <f>"PLANOS E SEGUROS"</f>
        <v>PLANOS E SEGUROS</v>
      </c>
      <c r="P6042">
        <v>59.9</v>
      </c>
      <c r="S6042" t="str">
        <f>"BANCO CORA (102)"</f>
        <v>BANCO CORA (102)</v>
      </c>
      <c r="T6042">
        <v>19617</v>
      </c>
      <c r="U6042">
        <v>17797</v>
      </c>
      <c r="V6042" t="s">
        <v>22</v>
      </c>
    </row>
    <row r="6043" spans="1:22">
      <c r="A6043" t="str">
        <f t="shared" si="1083"/>
        <v>15/10/2025</v>
      </c>
      <c r="B6043" t="str">
        <f t="shared" si="1089"/>
        <v>SAÍDA</v>
      </c>
      <c r="C6043" t="str">
        <f t="shared" si="1090"/>
        <v>BOLETO</v>
      </c>
      <c r="D6043" t="str">
        <f>"793751251763235"</f>
        <v>793751251763235</v>
      </c>
      <c r="E6043" t="str">
        <f>"4"</f>
        <v>4</v>
      </c>
      <c r="F6043" t="str">
        <f t="shared" si="1088"/>
        <v>COM</v>
      </c>
      <c r="G6043" t="str">
        <f>"ASSOCIACAO DE PROTECAO E AUXILIO VEICULAR EM DEFESA DOS (20023)"</f>
        <v>ASSOCIACAO DE PROTECAO E AUXILIO VEICULAR EM DEFESA DOS (20023)</v>
      </c>
      <c r="H6043" t="s">
        <v>628</v>
      </c>
      <c r="I6043" t="str">
        <f t="shared" si="1087"/>
        <v>15/10/2025</v>
      </c>
      <c r="J6043" t="str">
        <f>("27/06/2025")</f>
        <v>27/06/2025</v>
      </c>
      <c r="K6043">
        <v>45945</v>
      </c>
      <c r="N6043">
        <v>192</v>
      </c>
      <c r="O6043" t="s">
        <v>38</v>
      </c>
      <c r="Q6043">
        <v>59.9</v>
      </c>
      <c r="R6043" t="str">
        <f>"ASSOCIACAO DE PROTECAO E AUXILIO VEICULAR EM DEFESA DOS (20023)"</f>
        <v>ASSOCIACAO DE PROTECAO E AUXILIO VEICULAR EM DEFESA DOS (20023)</v>
      </c>
      <c r="S6043" t="s">
        <v>22</v>
      </c>
      <c r="T6043">
        <v>19617</v>
      </c>
      <c r="U6043">
        <v>17797</v>
      </c>
      <c r="V6043" t="s">
        <v>22</v>
      </c>
    </row>
    <row r="6044" spans="1:22">
      <c r="A6044" t="str">
        <f t="shared" si="1083"/>
        <v>15/10/2025</v>
      </c>
      <c r="B6044" t="str">
        <f t="shared" si="1089"/>
        <v>SAÍDA</v>
      </c>
      <c r="C6044" t="str">
        <f t="shared" si="1090"/>
        <v>BOLETO</v>
      </c>
      <c r="D6044" t="str">
        <f>"485988925"</f>
        <v>485988925</v>
      </c>
      <c r="E6044" t="str">
        <f>"80"</f>
        <v>80</v>
      </c>
      <c r="F6044" t="str">
        <f t="shared" si="1088"/>
        <v>COM</v>
      </c>
      <c r="G6044" t="str">
        <f>"MUNICIPIO DE UBERLANDIA (20032)"</f>
        <v>MUNICIPIO DE UBERLANDIA (20032)</v>
      </c>
      <c r="H6044" t="str">
        <f>"ISS REF. MES 09/2025"</f>
        <v>ISS REF. MES 09/2025</v>
      </c>
      <c r="I6044" t="str">
        <f t="shared" si="1087"/>
        <v>15/10/2025</v>
      </c>
      <c r="J6044" t="str">
        <f t="shared" ref="J6044:J6075" si="1091">("30/09/2025")</f>
        <v>30/09/2025</v>
      </c>
      <c r="K6044" t="str">
        <f>("15/10/2025")</f>
        <v>15/10/2025</v>
      </c>
      <c r="L6044">
        <v>31169.23</v>
      </c>
      <c r="M6044">
        <v>31169.23</v>
      </c>
      <c r="N6044">
        <v>137</v>
      </c>
      <c r="O6044" t="str">
        <f>"ISS"</f>
        <v>ISS</v>
      </c>
      <c r="P6044">
        <v>31169.23</v>
      </c>
      <c r="S6044" t="str">
        <f>"BANCO CORA (102)"</f>
        <v>BANCO CORA (102)</v>
      </c>
      <c r="T6044">
        <v>19618</v>
      </c>
      <c r="U6044">
        <v>20364</v>
      </c>
      <c r="V6044" t="s">
        <v>22</v>
      </c>
    </row>
    <row r="6045" spans="1:22">
      <c r="A6045" t="str">
        <f t="shared" si="1083"/>
        <v>15/10/2025</v>
      </c>
      <c r="B6045" t="str">
        <f t="shared" si="1089"/>
        <v>SAÍDA</v>
      </c>
      <c r="C6045" t="str">
        <f t="shared" si="1090"/>
        <v>BOLETO</v>
      </c>
      <c r="D6045" t="str">
        <f>"485988925"</f>
        <v>485988925</v>
      </c>
      <c r="E6045" t="str">
        <f>"80"</f>
        <v>80</v>
      </c>
      <c r="F6045" t="str">
        <f t="shared" si="1088"/>
        <v>COM</v>
      </c>
      <c r="G6045" t="str">
        <f>"MUNICIPIO DE UBERLANDIA (20032)"</f>
        <v>MUNICIPIO DE UBERLANDIA (20032)</v>
      </c>
      <c r="H6045" t="s">
        <v>1633</v>
      </c>
      <c r="I6045" t="str">
        <f t="shared" si="1087"/>
        <v>15/10/2025</v>
      </c>
      <c r="J6045" t="str">
        <f t="shared" si="1091"/>
        <v>30/09/2025</v>
      </c>
      <c r="K6045">
        <v>45945</v>
      </c>
      <c r="N6045">
        <v>137</v>
      </c>
      <c r="O6045" t="s">
        <v>295</v>
      </c>
      <c r="Q6045">
        <v>31169.23</v>
      </c>
      <c r="R6045" t="str">
        <f>"MUNICIPIO DE UBERLANDIA (20032)"</f>
        <v>MUNICIPIO DE UBERLANDIA (20032)</v>
      </c>
      <c r="S6045" t="s">
        <v>22</v>
      </c>
      <c r="T6045">
        <v>19618</v>
      </c>
      <c r="U6045">
        <v>20364</v>
      </c>
      <c r="V6045" t="s">
        <v>22</v>
      </c>
    </row>
    <row r="6046" spans="1:22">
      <c r="A6046" t="str">
        <f t="shared" si="1083"/>
        <v>15/10/2025</v>
      </c>
      <c r="B6046" t="str">
        <f t="shared" si="1089"/>
        <v>SAÍDA</v>
      </c>
      <c r="C6046" t="str">
        <f t="shared" ref="C6046:C6077" si="1092">"PIX"</f>
        <v>PIX</v>
      </c>
      <c r="D6046" t="str">
        <f t="shared" ref="D6046:D6082" si="1093">"151020"</f>
        <v>151020</v>
      </c>
      <c r="E6046" t="str">
        <f t="shared" ref="E6046:E6077" si="1094">"25"</f>
        <v>25</v>
      </c>
      <c r="F6046" t="str">
        <f t="shared" si="1088"/>
        <v>COM</v>
      </c>
      <c r="G6046" t="str">
        <f>"WEIGNE SENA CARDOSO (53)"</f>
        <v>WEIGNE SENA CARDOSO (53)</v>
      </c>
      <c r="H6046" t="str">
        <f>"PAGAMENTO LIDERENÇA REF. MES 09/2025 - PIX: CPF - CHAVE: 097.245.586-81"</f>
        <v>PAGAMENTO LIDERENÇA REF. MES 09/2025 - PIX: CPF - CHAVE: 097.245.586-81</v>
      </c>
      <c r="I6046" t="str">
        <f t="shared" si="1087"/>
        <v>15/10/2025</v>
      </c>
      <c r="J6046" t="str">
        <f t="shared" si="1091"/>
        <v>30/09/2025</v>
      </c>
      <c r="K6046" t="str">
        <f>("15/10/2025")</f>
        <v>15/10/2025</v>
      </c>
      <c r="L6046">
        <v>1250</v>
      </c>
      <c r="M6046">
        <v>1250</v>
      </c>
      <c r="N6046">
        <v>120</v>
      </c>
      <c r="O6046" t="str">
        <f>"PAGAMENTO COMISSAO LIDERES"</f>
        <v>PAGAMENTO COMISSAO LIDERES</v>
      </c>
      <c r="P6046">
        <v>1250</v>
      </c>
      <c r="S6046" t="str">
        <f>"BANCO CORA (102)"</f>
        <v>BANCO CORA (102)</v>
      </c>
      <c r="T6046">
        <v>19619</v>
      </c>
      <c r="U6046">
        <v>23795</v>
      </c>
      <c r="V6046" t="s">
        <v>22</v>
      </c>
    </row>
    <row r="6047" spans="1:22">
      <c r="A6047" t="str">
        <f t="shared" si="1083"/>
        <v>15/10/2025</v>
      </c>
      <c r="B6047" t="str">
        <f t="shared" si="1089"/>
        <v>SAÍDA</v>
      </c>
      <c r="C6047" t="str">
        <f t="shared" si="1092"/>
        <v>PIX</v>
      </c>
      <c r="D6047" t="str">
        <f t="shared" si="1093"/>
        <v>151020</v>
      </c>
      <c r="E6047" t="str">
        <f t="shared" si="1094"/>
        <v>25</v>
      </c>
      <c r="F6047" t="str">
        <f t="shared" si="1088"/>
        <v>COM</v>
      </c>
      <c r="G6047" t="str">
        <f>"WEIGNE SENA CARDOSO (53)"</f>
        <v>WEIGNE SENA CARDOSO (53)</v>
      </c>
      <c r="H6047" t="s">
        <v>1634</v>
      </c>
      <c r="I6047" t="str">
        <f t="shared" si="1087"/>
        <v>15/10/2025</v>
      </c>
      <c r="J6047" t="str">
        <f t="shared" si="1091"/>
        <v>30/09/2025</v>
      </c>
      <c r="K6047">
        <v>45945</v>
      </c>
      <c r="N6047">
        <v>120</v>
      </c>
      <c r="O6047" t="s">
        <v>306</v>
      </c>
      <c r="Q6047">
        <v>1250</v>
      </c>
      <c r="R6047" t="str">
        <f>"FARMÁCIA INDIANA LJ 07 (10007)"</f>
        <v>FARMÁCIA INDIANA LJ 07 (10007)</v>
      </c>
      <c r="S6047" t="s">
        <v>22</v>
      </c>
      <c r="T6047">
        <v>19619</v>
      </c>
      <c r="U6047">
        <v>23795</v>
      </c>
      <c r="V6047" t="s">
        <v>22</v>
      </c>
    </row>
    <row r="6048" spans="1:22">
      <c r="A6048" t="str">
        <f t="shared" si="1083"/>
        <v>15/10/2025</v>
      </c>
      <c r="B6048" t="str">
        <f t="shared" si="1089"/>
        <v>SAÍDA</v>
      </c>
      <c r="C6048" t="str">
        <f t="shared" si="1092"/>
        <v>PIX</v>
      </c>
      <c r="D6048" t="str">
        <f t="shared" si="1093"/>
        <v>151020</v>
      </c>
      <c r="E6048" t="str">
        <f t="shared" si="1094"/>
        <v>25</v>
      </c>
      <c r="F6048" t="str">
        <f t="shared" si="1088"/>
        <v>COM</v>
      </c>
      <c r="G6048" t="str">
        <f t="shared" ref="G6048:G6065" si="1095">"CARLOS ROBERTO BADARÓ MACHADO (78)"</f>
        <v>CARLOS ROBERTO BADARÓ MACHADO (78)</v>
      </c>
      <c r="H6048" t="str">
        <f>"PAGAMENTO LIDERENÇA REF. MES 09/2025 - PIX: CELULAR - CHAVE: (32) 99166-8238"</f>
        <v>PAGAMENTO LIDERENÇA REF. MES 09/2025 - PIX: CELULAR - CHAVE: (32) 99166-8238</v>
      </c>
      <c r="I6048" t="str">
        <f t="shared" si="1087"/>
        <v>15/10/2025</v>
      </c>
      <c r="J6048" t="str">
        <f t="shared" si="1091"/>
        <v>30/09/2025</v>
      </c>
      <c r="K6048" t="str">
        <f>("15/10/2025")</f>
        <v>15/10/2025</v>
      </c>
      <c r="L6048">
        <v>1282.73</v>
      </c>
      <c r="M6048">
        <v>1282.73</v>
      </c>
      <c r="N6048">
        <v>120</v>
      </c>
      <c r="O6048" t="str">
        <f>"PAGAMENTO COMISSAO LIDERES"</f>
        <v>PAGAMENTO COMISSAO LIDERES</v>
      </c>
      <c r="P6048">
        <v>1282.73</v>
      </c>
      <c r="S6048" t="str">
        <f>"BANCO CORA (102)"</f>
        <v>BANCO CORA (102)</v>
      </c>
      <c r="T6048">
        <v>19620</v>
      </c>
      <c r="U6048">
        <v>23796</v>
      </c>
      <c r="V6048" t="s">
        <v>22</v>
      </c>
    </row>
    <row r="6049" spans="1:22">
      <c r="A6049" t="str">
        <f t="shared" si="1083"/>
        <v>15/10/2025</v>
      </c>
      <c r="B6049" t="str">
        <f t="shared" si="1089"/>
        <v>SAÍDA</v>
      </c>
      <c r="C6049" t="str">
        <f t="shared" si="1092"/>
        <v>PIX</v>
      </c>
      <c r="D6049" t="str">
        <f t="shared" si="1093"/>
        <v>151020</v>
      </c>
      <c r="E6049" t="str">
        <f t="shared" si="1094"/>
        <v>25</v>
      </c>
      <c r="F6049" t="str">
        <f t="shared" si="1088"/>
        <v>COM</v>
      </c>
      <c r="G6049" t="str">
        <f t="shared" si="1095"/>
        <v>CARLOS ROBERTO BADARÓ MACHADO (78)</v>
      </c>
      <c r="H6049" t="s">
        <v>1635</v>
      </c>
      <c r="I6049" t="str">
        <f t="shared" si="1087"/>
        <v>15/10/2025</v>
      </c>
      <c r="J6049" t="str">
        <f t="shared" si="1091"/>
        <v>30/09/2025</v>
      </c>
      <c r="K6049">
        <v>45945</v>
      </c>
      <c r="N6049">
        <v>120</v>
      </c>
      <c r="O6049" t="s">
        <v>306</v>
      </c>
      <c r="Q6049">
        <v>24.25</v>
      </c>
      <c r="R6049" t="str">
        <f>"FARMÁCIA INDIANA LJ 103 (10044)"</f>
        <v>FARMÁCIA INDIANA LJ 103 (10044)</v>
      </c>
      <c r="S6049" t="s">
        <v>22</v>
      </c>
      <c r="T6049">
        <v>19620</v>
      </c>
      <c r="U6049">
        <v>23796</v>
      </c>
      <c r="V6049" t="s">
        <v>22</v>
      </c>
    </row>
    <row r="6050" spans="1:22">
      <c r="A6050" t="str">
        <f t="shared" si="1083"/>
        <v>15/10/2025</v>
      </c>
      <c r="B6050" t="str">
        <f t="shared" si="1089"/>
        <v>SAÍDA</v>
      </c>
      <c r="C6050" t="str">
        <f t="shared" si="1092"/>
        <v>PIX</v>
      </c>
      <c r="D6050" t="str">
        <f t="shared" si="1093"/>
        <v>151020</v>
      </c>
      <c r="E6050" t="str">
        <f t="shared" si="1094"/>
        <v>25</v>
      </c>
      <c r="F6050" t="str">
        <f t="shared" si="1088"/>
        <v>COM</v>
      </c>
      <c r="G6050" t="str">
        <f t="shared" si="1095"/>
        <v>CARLOS ROBERTO BADARÓ MACHADO (78)</v>
      </c>
      <c r="H6050" t="s">
        <v>1635</v>
      </c>
      <c r="I6050" t="str">
        <f t="shared" si="1087"/>
        <v>15/10/2025</v>
      </c>
      <c r="J6050" t="str">
        <f t="shared" si="1091"/>
        <v>30/09/2025</v>
      </c>
      <c r="K6050">
        <v>45945</v>
      </c>
      <c r="N6050">
        <v>120</v>
      </c>
      <c r="O6050" t="s">
        <v>306</v>
      </c>
      <c r="Q6050">
        <v>78.89</v>
      </c>
      <c r="R6050" t="str">
        <f>"FARMÁCIA INDIANA LJ 109 (10047)"</f>
        <v>FARMÁCIA INDIANA LJ 109 (10047)</v>
      </c>
      <c r="S6050" t="s">
        <v>22</v>
      </c>
      <c r="T6050">
        <v>19620</v>
      </c>
      <c r="U6050">
        <v>23796</v>
      </c>
      <c r="V6050" t="s">
        <v>22</v>
      </c>
    </row>
    <row r="6051" spans="1:22">
      <c r="A6051" t="str">
        <f t="shared" si="1083"/>
        <v>15/10/2025</v>
      </c>
      <c r="B6051" t="str">
        <f t="shared" si="1089"/>
        <v>SAÍDA</v>
      </c>
      <c r="C6051" t="str">
        <f t="shared" si="1092"/>
        <v>PIX</v>
      </c>
      <c r="D6051" t="str">
        <f t="shared" si="1093"/>
        <v>151020</v>
      </c>
      <c r="E6051" t="str">
        <f t="shared" si="1094"/>
        <v>25</v>
      </c>
      <c r="F6051" t="str">
        <f t="shared" si="1088"/>
        <v>COM</v>
      </c>
      <c r="G6051" t="str">
        <f t="shared" si="1095"/>
        <v>CARLOS ROBERTO BADARÓ MACHADO (78)</v>
      </c>
      <c r="H6051" t="s">
        <v>1635</v>
      </c>
      <c r="I6051" t="str">
        <f t="shared" si="1087"/>
        <v>15/10/2025</v>
      </c>
      <c r="J6051" t="str">
        <f t="shared" si="1091"/>
        <v>30/09/2025</v>
      </c>
      <c r="K6051">
        <v>45945</v>
      </c>
      <c r="N6051">
        <v>120</v>
      </c>
      <c r="O6051" t="s">
        <v>306</v>
      </c>
      <c r="Q6051">
        <v>40.15</v>
      </c>
      <c r="R6051" t="str">
        <f>"FARMÁCIA INDIANA LJ 118 (10052)"</f>
        <v>FARMÁCIA INDIANA LJ 118 (10052)</v>
      </c>
      <c r="S6051" t="s">
        <v>22</v>
      </c>
      <c r="T6051">
        <v>19620</v>
      </c>
      <c r="U6051">
        <v>23796</v>
      </c>
      <c r="V6051" t="s">
        <v>22</v>
      </c>
    </row>
    <row r="6052" spans="1:22">
      <c r="A6052" t="str">
        <f t="shared" si="1083"/>
        <v>15/10/2025</v>
      </c>
      <c r="B6052" t="str">
        <f t="shared" si="1089"/>
        <v>SAÍDA</v>
      </c>
      <c r="C6052" t="str">
        <f t="shared" si="1092"/>
        <v>PIX</v>
      </c>
      <c r="D6052" t="str">
        <f t="shared" si="1093"/>
        <v>151020</v>
      </c>
      <c r="E6052" t="str">
        <f t="shared" si="1094"/>
        <v>25</v>
      </c>
      <c r="F6052" t="str">
        <f t="shared" si="1088"/>
        <v>COM</v>
      </c>
      <c r="G6052" t="str">
        <f t="shared" si="1095"/>
        <v>CARLOS ROBERTO BADARÓ MACHADO (78)</v>
      </c>
      <c r="H6052" t="s">
        <v>1635</v>
      </c>
      <c r="I6052" t="str">
        <f t="shared" si="1087"/>
        <v>15/10/2025</v>
      </c>
      <c r="J6052" t="str">
        <f t="shared" si="1091"/>
        <v>30/09/2025</v>
      </c>
      <c r="K6052">
        <v>45945</v>
      </c>
      <c r="N6052">
        <v>120</v>
      </c>
      <c r="O6052" t="s">
        <v>306</v>
      </c>
      <c r="Q6052">
        <v>24.37</v>
      </c>
      <c r="R6052" t="str">
        <f>"FARMÁCIA INDIANA LJ 140 (10064)"</f>
        <v>FARMÁCIA INDIANA LJ 140 (10064)</v>
      </c>
      <c r="S6052" t="s">
        <v>22</v>
      </c>
      <c r="T6052">
        <v>19620</v>
      </c>
      <c r="U6052">
        <v>23796</v>
      </c>
      <c r="V6052" t="s">
        <v>22</v>
      </c>
    </row>
    <row r="6053" spans="1:22">
      <c r="A6053" t="str">
        <f t="shared" si="1083"/>
        <v>15/10/2025</v>
      </c>
      <c r="B6053" t="str">
        <f t="shared" si="1089"/>
        <v>SAÍDA</v>
      </c>
      <c r="C6053" t="str">
        <f t="shared" si="1092"/>
        <v>PIX</v>
      </c>
      <c r="D6053" t="str">
        <f t="shared" si="1093"/>
        <v>151020</v>
      </c>
      <c r="E6053" t="str">
        <f t="shared" si="1094"/>
        <v>25</v>
      </c>
      <c r="F6053" t="str">
        <f t="shared" si="1088"/>
        <v>COM</v>
      </c>
      <c r="G6053" t="str">
        <f t="shared" si="1095"/>
        <v>CARLOS ROBERTO BADARÓ MACHADO (78)</v>
      </c>
      <c r="H6053" t="s">
        <v>1635</v>
      </c>
      <c r="I6053" t="str">
        <f t="shared" si="1087"/>
        <v>15/10/2025</v>
      </c>
      <c r="J6053" t="str">
        <f t="shared" si="1091"/>
        <v>30/09/2025</v>
      </c>
      <c r="K6053">
        <v>45945</v>
      </c>
      <c r="N6053">
        <v>120</v>
      </c>
      <c r="O6053" t="s">
        <v>306</v>
      </c>
      <c r="Q6053">
        <v>24.37</v>
      </c>
      <c r="R6053" t="str">
        <f>"FARMÁCIA INDIANA LJ 141 (10065)"</f>
        <v>FARMÁCIA INDIANA LJ 141 (10065)</v>
      </c>
      <c r="S6053" t="s">
        <v>22</v>
      </c>
      <c r="T6053">
        <v>19620</v>
      </c>
      <c r="U6053">
        <v>23796</v>
      </c>
      <c r="V6053" t="s">
        <v>22</v>
      </c>
    </row>
    <row r="6054" spans="1:22">
      <c r="A6054" t="str">
        <f t="shared" si="1083"/>
        <v>15/10/2025</v>
      </c>
      <c r="B6054" t="str">
        <f t="shared" si="1089"/>
        <v>SAÍDA</v>
      </c>
      <c r="C6054" t="str">
        <f t="shared" si="1092"/>
        <v>PIX</v>
      </c>
      <c r="D6054" t="str">
        <f t="shared" si="1093"/>
        <v>151020</v>
      </c>
      <c r="E6054" t="str">
        <f t="shared" si="1094"/>
        <v>25</v>
      </c>
      <c r="F6054" t="str">
        <f t="shared" si="1088"/>
        <v>COM</v>
      </c>
      <c r="G6054" t="str">
        <f t="shared" si="1095"/>
        <v>CARLOS ROBERTO BADARÓ MACHADO (78)</v>
      </c>
      <c r="H6054" t="s">
        <v>1635</v>
      </c>
      <c r="I6054" t="str">
        <f t="shared" si="1087"/>
        <v>15/10/2025</v>
      </c>
      <c r="J6054" t="str">
        <f t="shared" si="1091"/>
        <v>30/09/2025</v>
      </c>
      <c r="K6054">
        <v>45945</v>
      </c>
      <c r="N6054">
        <v>120</v>
      </c>
      <c r="O6054" t="s">
        <v>306</v>
      </c>
      <c r="Q6054">
        <v>24.37</v>
      </c>
      <c r="R6054" t="str">
        <f>"FARMÁCIA INDIANA LJ 154 (10070)"</f>
        <v>FARMÁCIA INDIANA LJ 154 (10070)</v>
      </c>
      <c r="S6054" t="s">
        <v>22</v>
      </c>
      <c r="T6054">
        <v>19620</v>
      </c>
      <c r="U6054">
        <v>23796</v>
      </c>
      <c r="V6054" t="s">
        <v>22</v>
      </c>
    </row>
    <row r="6055" spans="1:22">
      <c r="A6055" t="str">
        <f t="shared" si="1083"/>
        <v>15/10/2025</v>
      </c>
      <c r="B6055" t="str">
        <f t="shared" si="1089"/>
        <v>SAÍDA</v>
      </c>
      <c r="C6055" t="str">
        <f t="shared" si="1092"/>
        <v>PIX</v>
      </c>
      <c r="D6055" t="str">
        <f t="shared" si="1093"/>
        <v>151020</v>
      </c>
      <c r="E6055" t="str">
        <f t="shared" si="1094"/>
        <v>25</v>
      </c>
      <c r="F6055" t="str">
        <f t="shared" si="1088"/>
        <v>COM</v>
      </c>
      <c r="G6055" t="str">
        <f t="shared" si="1095"/>
        <v>CARLOS ROBERTO BADARÓ MACHADO (78)</v>
      </c>
      <c r="H6055" t="s">
        <v>1635</v>
      </c>
      <c r="I6055" t="str">
        <f t="shared" si="1087"/>
        <v>15/10/2025</v>
      </c>
      <c r="J6055" t="str">
        <f t="shared" si="1091"/>
        <v>30/09/2025</v>
      </c>
      <c r="K6055">
        <v>45945</v>
      </c>
      <c r="N6055">
        <v>120</v>
      </c>
      <c r="O6055" t="s">
        <v>306</v>
      </c>
      <c r="Q6055">
        <v>114.42</v>
      </c>
      <c r="R6055" t="str">
        <f>"FARMÁCIA INDIANA LJ 163 (10072)"</f>
        <v>FARMÁCIA INDIANA LJ 163 (10072)</v>
      </c>
      <c r="S6055" t="s">
        <v>22</v>
      </c>
      <c r="T6055">
        <v>19620</v>
      </c>
      <c r="U6055">
        <v>23796</v>
      </c>
      <c r="V6055" t="s">
        <v>22</v>
      </c>
    </row>
    <row r="6056" spans="1:22">
      <c r="A6056" t="str">
        <f t="shared" si="1083"/>
        <v>15/10/2025</v>
      </c>
      <c r="B6056" t="str">
        <f t="shared" si="1089"/>
        <v>SAÍDA</v>
      </c>
      <c r="C6056" t="str">
        <f t="shared" si="1092"/>
        <v>PIX</v>
      </c>
      <c r="D6056" t="str">
        <f t="shared" si="1093"/>
        <v>151020</v>
      </c>
      <c r="E6056" t="str">
        <f t="shared" si="1094"/>
        <v>25</v>
      </c>
      <c r="F6056" t="str">
        <f t="shared" si="1088"/>
        <v>COM</v>
      </c>
      <c r="G6056" t="str">
        <f t="shared" si="1095"/>
        <v>CARLOS ROBERTO BADARÓ MACHADO (78)</v>
      </c>
      <c r="H6056" t="s">
        <v>1635</v>
      </c>
      <c r="I6056" t="str">
        <f t="shared" si="1087"/>
        <v>15/10/2025</v>
      </c>
      <c r="J6056" t="str">
        <f t="shared" si="1091"/>
        <v>30/09/2025</v>
      </c>
      <c r="K6056">
        <v>45945</v>
      </c>
      <c r="N6056">
        <v>120</v>
      </c>
      <c r="O6056" t="s">
        <v>306</v>
      </c>
      <c r="Q6056">
        <v>40.15</v>
      </c>
      <c r="R6056" t="str">
        <f>"FARMÁCIA INDIANA LJ 192 (10082)"</f>
        <v>FARMÁCIA INDIANA LJ 192 (10082)</v>
      </c>
      <c r="S6056" t="s">
        <v>22</v>
      </c>
      <c r="T6056">
        <v>19620</v>
      </c>
      <c r="U6056">
        <v>23796</v>
      </c>
      <c r="V6056" t="s">
        <v>22</v>
      </c>
    </row>
    <row r="6057" spans="1:22">
      <c r="A6057" t="str">
        <f t="shared" si="1083"/>
        <v>15/10/2025</v>
      </c>
      <c r="B6057" t="str">
        <f t="shared" si="1089"/>
        <v>SAÍDA</v>
      </c>
      <c r="C6057" t="str">
        <f t="shared" si="1092"/>
        <v>PIX</v>
      </c>
      <c r="D6057" t="str">
        <f t="shared" si="1093"/>
        <v>151020</v>
      </c>
      <c r="E6057" t="str">
        <f t="shared" si="1094"/>
        <v>25</v>
      </c>
      <c r="F6057" t="str">
        <f t="shared" si="1088"/>
        <v>COM</v>
      </c>
      <c r="G6057" t="str">
        <f t="shared" si="1095"/>
        <v>CARLOS ROBERTO BADARÓ MACHADO (78)</v>
      </c>
      <c r="H6057" t="s">
        <v>1635</v>
      </c>
      <c r="I6057" t="str">
        <f t="shared" si="1087"/>
        <v>15/10/2025</v>
      </c>
      <c r="J6057" t="str">
        <f t="shared" si="1091"/>
        <v>30/09/2025</v>
      </c>
      <c r="K6057">
        <v>45945</v>
      </c>
      <c r="N6057">
        <v>120</v>
      </c>
      <c r="O6057" t="s">
        <v>306</v>
      </c>
      <c r="Q6057">
        <v>57.34</v>
      </c>
      <c r="R6057" t="str">
        <f>"FARMÁCIA INDIANA LJ 219 (10091)"</f>
        <v>FARMÁCIA INDIANA LJ 219 (10091)</v>
      </c>
      <c r="S6057" t="s">
        <v>22</v>
      </c>
      <c r="T6057">
        <v>19620</v>
      </c>
      <c r="U6057">
        <v>23796</v>
      </c>
      <c r="V6057" t="s">
        <v>22</v>
      </c>
    </row>
    <row r="6058" spans="1:22">
      <c r="A6058" t="str">
        <f t="shared" si="1083"/>
        <v>15/10/2025</v>
      </c>
      <c r="B6058" t="str">
        <f t="shared" si="1089"/>
        <v>SAÍDA</v>
      </c>
      <c r="C6058" t="str">
        <f t="shared" si="1092"/>
        <v>PIX</v>
      </c>
      <c r="D6058" t="str">
        <f t="shared" si="1093"/>
        <v>151020</v>
      </c>
      <c r="E6058" t="str">
        <f t="shared" si="1094"/>
        <v>25</v>
      </c>
      <c r="F6058" t="str">
        <f t="shared" si="1088"/>
        <v>COM</v>
      </c>
      <c r="G6058" t="str">
        <f t="shared" si="1095"/>
        <v>CARLOS ROBERTO BADARÓ MACHADO (78)</v>
      </c>
      <c r="H6058" t="s">
        <v>1635</v>
      </c>
      <c r="I6058" t="str">
        <f t="shared" si="1087"/>
        <v>15/10/2025</v>
      </c>
      <c r="J6058" t="str">
        <f t="shared" si="1091"/>
        <v>30/09/2025</v>
      </c>
      <c r="K6058">
        <v>45945</v>
      </c>
      <c r="N6058">
        <v>120</v>
      </c>
      <c r="O6058" t="s">
        <v>306</v>
      </c>
      <c r="Q6058">
        <v>58.11</v>
      </c>
      <c r="R6058" t="str">
        <f>"FARMÁCIA INDIANA LJ 221 (10093)"</f>
        <v>FARMÁCIA INDIANA LJ 221 (10093)</v>
      </c>
      <c r="S6058" t="s">
        <v>22</v>
      </c>
      <c r="T6058">
        <v>19620</v>
      </c>
      <c r="U6058">
        <v>23796</v>
      </c>
      <c r="V6058" t="s">
        <v>22</v>
      </c>
    </row>
    <row r="6059" spans="1:22">
      <c r="A6059" t="str">
        <f t="shared" si="1083"/>
        <v>15/10/2025</v>
      </c>
      <c r="B6059" t="str">
        <f t="shared" si="1089"/>
        <v>SAÍDA</v>
      </c>
      <c r="C6059" t="str">
        <f t="shared" si="1092"/>
        <v>PIX</v>
      </c>
      <c r="D6059" t="str">
        <f t="shared" si="1093"/>
        <v>151020</v>
      </c>
      <c r="E6059" t="str">
        <f t="shared" si="1094"/>
        <v>25</v>
      </c>
      <c r="F6059" t="str">
        <f t="shared" si="1088"/>
        <v>COM</v>
      </c>
      <c r="G6059" t="str">
        <f t="shared" si="1095"/>
        <v>CARLOS ROBERTO BADARÓ MACHADO (78)</v>
      </c>
      <c r="H6059" t="s">
        <v>1635</v>
      </c>
      <c r="I6059" t="str">
        <f t="shared" si="1087"/>
        <v>15/10/2025</v>
      </c>
      <c r="J6059" t="str">
        <f t="shared" si="1091"/>
        <v>30/09/2025</v>
      </c>
      <c r="K6059">
        <v>45945</v>
      </c>
      <c r="N6059">
        <v>120</v>
      </c>
      <c r="O6059" t="s">
        <v>306</v>
      </c>
      <c r="Q6059">
        <v>95.95</v>
      </c>
      <c r="R6059" t="str">
        <f>"PAGMENOS - LJ 608 (10135)"</f>
        <v>PAGMENOS - LJ 608 (10135)</v>
      </c>
      <c r="S6059" t="s">
        <v>22</v>
      </c>
      <c r="T6059">
        <v>19620</v>
      </c>
      <c r="U6059">
        <v>23796</v>
      </c>
      <c r="V6059" t="s">
        <v>22</v>
      </c>
    </row>
    <row r="6060" spans="1:22">
      <c r="A6060" t="str">
        <f t="shared" si="1083"/>
        <v>15/10/2025</v>
      </c>
      <c r="B6060" t="str">
        <f t="shared" si="1089"/>
        <v>SAÍDA</v>
      </c>
      <c r="C6060" t="str">
        <f t="shared" si="1092"/>
        <v>PIX</v>
      </c>
      <c r="D6060" t="str">
        <f t="shared" si="1093"/>
        <v>151020</v>
      </c>
      <c r="E6060" t="str">
        <f t="shared" si="1094"/>
        <v>25</v>
      </c>
      <c r="F6060" t="str">
        <f t="shared" si="1088"/>
        <v>COM</v>
      </c>
      <c r="G6060" t="str">
        <f t="shared" si="1095"/>
        <v>CARLOS ROBERTO BADARÓ MACHADO (78)</v>
      </c>
      <c r="H6060" t="s">
        <v>1635</v>
      </c>
      <c r="I6060" t="str">
        <f t="shared" si="1087"/>
        <v>15/10/2025</v>
      </c>
      <c r="J6060" t="str">
        <f t="shared" si="1091"/>
        <v>30/09/2025</v>
      </c>
      <c r="K6060">
        <v>45945</v>
      </c>
      <c r="N6060">
        <v>120</v>
      </c>
      <c r="O6060" t="s">
        <v>306</v>
      </c>
      <c r="Q6060">
        <v>204.34</v>
      </c>
      <c r="R6060" t="str">
        <f>"PAGMENOS - LJ 657 (10136)"</f>
        <v>PAGMENOS - LJ 657 (10136)</v>
      </c>
      <c r="S6060" t="s">
        <v>22</v>
      </c>
      <c r="T6060">
        <v>19620</v>
      </c>
      <c r="U6060">
        <v>23796</v>
      </c>
      <c r="V6060" t="s">
        <v>22</v>
      </c>
    </row>
    <row r="6061" spans="1:22">
      <c r="A6061" t="str">
        <f t="shared" si="1083"/>
        <v>15/10/2025</v>
      </c>
      <c r="B6061" t="str">
        <f t="shared" si="1089"/>
        <v>SAÍDA</v>
      </c>
      <c r="C6061" t="str">
        <f t="shared" si="1092"/>
        <v>PIX</v>
      </c>
      <c r="D6061" t="str">
        <f t="shared" si="1093"/>
        <v>151020</v>
      </c>
      <c r="E6061" t="str">
        <f t="shared" si="1094"/>
        <v>25</v>
      </c>
      <c r="F6061" t="str">
        <f t="shared" si="1088"/>
        <v>COM</v>
      </c>
      <c r="G6061" t="str">
        <f t="shared" si="1095"/>
        <v>CARLOS ROBERTO BADARÓ MACHADO (78)</v>
      </c>
      <c r="H6061" t="s">
        <v>1635</v>
      </c>
      <c r="I6061" t="str">
        <f t="shared" si="1087"/>
        <v>15/10/2025</v>
      </c>
      <c r="J6061" t="str">
        <f t="shared" si="1091"/>
        <v>30/09/2025</v>
      </c>
      <c r="K6061">
        <v>45945</v>
      </c>
      <c r="N6061">
        <v>120</v>
      </c>
      <c r="O6061" t="s">
        <v>306</v>
      </c>
      <c r="Q6061">
        <v>109.93</v>
      </c>
      <c r="R6061" t="str">
        <f>"BRASIL FARMA (10173)"</f>
        <v>BRASIL FARMA (10173)</v>
      </c>
      <c r="S6061" t="s">
        <v>22</v>
      </c>
      <c r="T6061">
        <v>19620</v>
      </c>
      <c r="U6061">
        <v>23796</v>
      </c>
      <c r="V6061" t="s">
        <v>22</v>
      </c>
    </row>
    <row r="6062" spans="1:22">
      <c r="A6062" t="str">
        <f t="shared" si="1083"/>
        <v>15/10/2025</v>
      </c>
      <c r="B6062" t="str">
        <f t="shared" si="1089"/>
        <v>SAÍDA</v>
      </c>
      <c r="C6062" t="str">
        <f t="shared" si="1092"/>
        <v>PIX</v>
      </c>
      <c r="D6062" t="str">
        <f t="shared" si="1093"/>
        <v>151020</v>
      </c>
      <c r="E6062" t="str">
        <f t="shared" si="1094"/>
        <v>25</v>
      </c>
      <c r="F6062" t="str">
        <f t="shared" si="1088"/>
        <v>COM</v>
      </c>
      <c r="G6062" t="str">
        <f t="shared" si="1095"/>
        <v>CARLOS ROBERTO BADARÓ MACHADO (78)</v>
      </c>
      <c r="H6062" t="s">
        <v>1635</v>
      </c>
      <c r="I6062" t="str">
        <f t="shared" ref="I6062:I6093" si="1096">("15/10/2025")</f>
        <v>15/10/2025</v>
      </c>
      <c r="J6062" t="str">
        <f t="shared" si="1091"/>
        <v>30/09/2025</v>
      </c>
      <c r="K6062">
        <v>45945</v>
      </c>
      <c r="N6062">
        <v>120</v>
      </c>
      <c r="O6062" t="s">
        <v>306</v>
      </c>
      <c r="Q6062">
        <v>289.38</v>
      </c>
      <c r="R6062" t="str">
        <f>"DROGARIA ANA VISCONDE DO RIO BRANCO (10182)"</f>
        <v>DROGARIA ANA VISCONDE DO RIO BRANCO (10182)</v>
      </c>
      <c r="S6062" t="s">
        <v>22</v>
      </c>
      <c r="T6062">
        <v>19620</v>
      </c>
      <c r="U6062">
        <v>23796</v>
      </c>
      <c r="V6062" t="s">
        <v>22</v>
      </c>
    </row>
    <row r="6063" spans="1:22">
      <c r="A6063" t="str">
        <f t="shared" si="1083"/>
        <v>15/10/2025</v>
      </c>
      <c r="B6063" t="str">
        <f t="shared" si="1089"/>
        <v>SAÍDA</v>
      </c>
      <c r="C6063" t="str">
        <f t="shared" si="1092"/>
        <v>PIX</v>
      </c>
      <c r="D6063" t="str">
        <f t="shared" si="1093"/>
        <v>151020</v>
      </c>
      <c r="E6063" t="str">
        <f t="shared" si="1094"/>
        <v>25</v>
      </c>
      <c r="F6063" t="str">
        <f t="shared" si="1088"/>
        <v>COM</v>
      </c>
      <c r="G6063" t="str">
        <f t="shared" si="1095"/>
        <v>CARLOS ROBERTO BADARÓ MACHADO (78)</v>
      </c>
      <c r="H6063" t="s">
        <v>1635</v>
      </c>
      <c r="I6063" t="str">
        <f t="shared" si="1096"/>
        <v>15/10/2025</v>
      </c>
      <c r="J6063" t="str">
        <f t="shared" si="1091"/>
        <v>30/09/2025</v>
      </c>
      <c r="K6063">
        <v>45945</v>
      </c>
      <c r="N6063">
        <v>120</v>
      </c>
      <c r="O6063" t="s">
        <v>306</v>
      </c>
      <c r="Q6063">
        <v>23.09</v>
      </c>
      <c r="R6063" t="str">
        <f>"FARMÁCIA INDIANA LJ 273 (10188)"</f>
        <v>FARMÁCIA INDIANA LJ 273 (10188)</v>
      </c>
      <c r="S6063" t="s">
        <v>22</v>
      </c>
      <c r="T6063">
        <v>19620</v>
      </c>
      <c r="U6063">
        <v>23796</v>
      </c>
      <c r="V6063" t="s">
        <v>22</v>
      </c>
    </row>
    <row r="6064" spans="1:22">
      <c r="A6064" t="str">
        <f t="shared" si="1083"/>
        <v>15/10/2025</v>
      </c>
      <c r="B6064" t="str">
        <f t="shared" si="1089"/>
        <v>SAÍDA</v>
      </c>
      <c r="C6064" t="str">
        <f t="shared" si="1092"/>
        <v>PIX</v>
      </c>
      <c r="D6064" t="str">
        <f t="shared" si="1093"/>
        <v>151020</v>
      </c>
      <c r="E6064" t="str">
        <f t="shared" si="1094"/>
        <v>25</v>
      </c>
      <c r="F6064" t="str">
        <f t="shared" si="1088"/>
        <v>COM</v>
      </c>
      <c r="G6064" t="str">
        <f t="shared" si="1095"/>
        <v>CARLOS ROBERTO BADARÓ MACHADO (78)</v>
      </c>
      <c r="H6064" t="s">
        <v>1635</v>
      </c>
      <c r="I6064" t="str">
        <f t="shared" si="1096"/>
        <v>15/10/2025</v>
      </c>
      <c r="J6064" t="str">
        <f t="shared" si="1091"/>
        <v>30/09/2025</v>
      </c>
      <c r="K6064">
        <v>45945</v>
      </c>
      <c r="N6064">
        <v>120</v>
      </c>
      <c r="O6064" t="s">
        <v>306</v>
      </c>
      <c r="Q6064">
        <v>36.81</v>
      </c>
      <c r="R6064" t="str">
        <f>"LBL FARMACIA LTDA (10189)"</f>
        <v>LBL FARMACIA LTDA (10189)</v>
      </c>
      <c r="S6064" t="s">
        <v>22</v>
      </c>
      <c r="T6064">
        <v>19620</v>
      </c>
      <c r="U6064">
        <v>23796</v>
      </c>
      <c r="V6064" t="s">
        <v>22</v>
      </c>
    </row>
    <row r="6065" spans="1:22">
      <c r="A6065" t="str">
        <f t="shared" si="1083"/>
        <v>15/10/2025</v>
      </c>
      <c r="B6065" t="str">
        <f t="shared" si="1089"/>
        <v>SAÍDA</v>
      </c>
      <c r="C6065" t="str">
        <f t="shared" si="1092"/>
        <v>PIX</v>
      </c>
      <c r="D6065" t="str">
        <f t="shared" si="1093"/>
        <v>151020</v>
      </c>
      <c r="E6065" t="str">
        <f t="shared" si="1094"/>
        <v>25</v>
      </c>
      <c r="F6065" t="str">
        <f t="shared" si="1088"/>
        <v>COM</v>
      </c>
      <c r="G6065" t="str">
        <f t="shared" si="1095"/>
        <v>CARLOS ROBERTO BADARÓ MACHADO (78)</v>
      </c>
      <c r="H6065" t="s">
        <v>1635</v>
      </c>
      <c r="I6065" t="str">
        <f t="shared" si="1096"/>
        <v>15/10/2025</v>
      </c>
      <c r="J6065" t="str">
        <f t="shared" si="1091"/>
        <v>30/09/2025</v>
      </c>
      <c r="K6065">
        <v>45945</v>
      </c>
      <c r="N6065">
        <v>120</v>
      </c>
      <c r="O6065" t="s">
        <v>306</v>
      </c>
      <c r="Q6065">
        <v>36.81</v>
      </c>
      <c r="R6065" t="str">
        <f>"LBL FARMACIA LTDA FILIAL (10192)"</f>
        <v>LBL FARMACIA LTDA FILIAL (10192)</v>
      </c>
      <c r="S6065" t="s">
        <v>22</v>
      </c>
      <c r="T6065">
        <v>19620</v>
      </c>
      <c r="U6065">
        <v>23796</v>
      </c>
      <c r="V6065" t="s">
        <v>22</v>
      </c>
    </row>
    <row r="6066" spans="1:22">
      <c r="A6066" t="str">
        <f t="shared" si="1083"/>
        <v>15/10/2025</v>
      </c>
      <c r="B6066" t="str">
        <f t="shared" si="1089"/>
        <v>SAÍDA</v>
      </c>
      <c r="C6066" t="str">
        <f t="shared" si="1092"/>
        <v>PIX</v>
      </c>
      <c r="D6066" t="str">
        <f t="shared" si="1093"/>
        <v>151020</v>
      </c>
      <c r="E6066" t="str">
        <f t="shared" si="1094"/>
        <v>25</v>
      </c>
      <c r="F6066" t="str">
        <f t="shared" si="1088"/>
        <v>COM</v>
      </c>
      <c r="G6066" t="str">
        <f>"RICHARD HENRIQUE DA SILVA (244)"</f>
        <v>RICHARD HENRIQUE DA SILVA (244)</v>
      </c>
      <c r="H6066" t="str">
        <f>"PAGAMENTO LIDERANÇA REF. MES 09/2025 - PIX: CELULAR - CHAVE: (37) 99197-6834"</f>
        <v>PAGAMENTO LIDERANÇA REF. MES 09/2025 - PIX: CELULAR - CHAVE: (37) 99197-6834</v>
      </c>
      <c r="I6066" t="str">
        <f t="shared" si="1096"/>
        <v>15/10/2025</v>
      </c>
      <c r="J6066" t="str">
        <f t="shared" si="1091"/>
        <v>30/09/2025</v>
      </c>
      <c r="K6066" t="str">
        <f>("15/10/2025")</f>
        <v>15/10/2025</v>
      </c>
      <c r="L6066">
        <v>388.63</v>
      </c>
      <c r="M6066">
        <v>388.63</v>
      </c>
      <c r="N6066">
        <v>120</v>
      </c>
      <c r="O6066" t="str">
        <f>"PAGAMENTO COMISSAO LIDERES"</f>
        <v>PAGAMENTO COMISSAO LIDERES</v>
      </c>
      <c r="P6066">
        <v>388.63</v>
      </c>
      <c r="S6066" t="str">
        <f>"BANCO CORA (102)"</f>
        <v>BANCO CORA (102)</v>
      </c>
      <c r="T6066">
        <v>19621</v>
      </c>
      <c r="U6066">
        <v>23797</v>
      </c>
      <c r="V6066" t="s">
        <v>22</v>
      </c>
    </row>
    <row r="6067" spans="1:22">
      <c r="A6067" t="str">
        <f t="shared" si="1083"/>
        <v>15/10/2025</v>
      </c>
      <c r="B6067" t="str">
        <f t="shared" si="1089"/>
        <v>SAÍDA</v>
      </c>
      <c r="C6067" t="str">
        <f t="shared" si="1092"/>
        <v>PIX</v>
      </c>
      <c r="D6067" t="str">
        <f t="shared" si="1093"/>
        <v>151020</v>
      </c>
      <c r="E6067" t="str">
        <f t="shared" si="1094"/>
        <v>25</v>
      </c>
      <c r="F6067" t="str">
        <f t="shared" si="1088"/>
        <v>COM</v>
      </c>
      <c r="G6067" t="str">
        <f>"RICHARD HENRIQUE DA SILVA (244)"</f>
        <v>RICHARD HENRIQUE DA SILVA (244)</v>
      </c>
      <c r="H6067" t="s">
        <v>1636</v>
      </c>
      <c r="I6067" t="str">
        <f t="shared" si="1096"/>
        <v>15/10/2025</v>
      </c>
      <c r="J6067" t="str">
        <f t="shared" si="1091"/>
        <v>30/09/2025</v>
      </c>
      <c r="K6067">
        <v>45945</v>
      </c>
      <c r="N6067">
        <v>120</v>
      </c>
      <c r="O6067" t="s">
        <v>306</v>
      </c>
      <c r="Q6067">
        <v>329.87</v>
      </c>
      <c r="R6067" t="str">
        <f>"DROGARIA POUPA MINAS (ULTRAMINAS) (10116)"</f>
        <v>DROGARIA POUPA MINAS (ULTRAMINAS) (10116)</v>
      </c>
      <c r="S6067" t="s">
        <v>22</v>
      </c>
      <c r="T6067">
        <v>19621</v>
      </c>
      <c r="U6067">
        <v>23797</v>
      </c>
      <c r="V6067" t="s">
        <v>22</v>
      </c>
    </row>
    <row r="6068" spans="1:22">
      <c r="A6068" t="str">
        <f t="shared" si="1083"/>
        <v>15/10/2025</v>
      </c>
      <c r="B6068" t="str">
        <f t="shared" si="1089"/>
        <v>SAÍDA</v>
      </c>
      <c r="C6068" t="str">
        <f t="shared" si="1092"/>
        <v>PIX</v>
      </c>
      <c r="D6068" t="str">
        <f t="shared" si="1093"/>
        <v>151020</v>
      </c>
      <c r="E6068" t="str">
        <f t="shared" si="1094"/>
        <v>25</v>
      </c>
      <c r="F6068" t="str">
        <f t="shared" si="1088"/>
        <v>COM</v>
      </c>
      <c r="G6068" t="str">
        <f>"RICHARD HENRIQUE DA SILVA (244)"</f>
        <v>RICHARD HENRIQUE DA SILVA (244)</v>
      </c>
      <c r="H6068" t="s">
        <v>1636</v>
      </c>
      <c r="I6068" t="str">
        <f t="shared" si="1096"/>
        <v>15/10/2025</v>
      </c>
      <c r="J6068" t="str">
        <f t="shared" si="1091"/>
        <v>30/09/2025</v>
      </c>
      <c r="K6068">
        <v>45945</v>
      </c>
      <c r="N6068">
        <v>120</v>
      </c>
      <c r="O6068" t="s">
        <v>306</v>
      </c>
      <c r="Q6068">
        <v>58.76</v>
      </c>
      <c r="R6068" t="str">
        <f>"DROGARIA POUPA MINAS (ULTRAMINAS) 3 (10129)"</f>
        <v>DROGARIA POUPA MINAS (ULTRAMINAS) 3 (10129)</v>
      </c>
      <c r="S6068" t="s">
        <v>22</v>
      </c>
      <c r="T6068">
        <v>19621</v>
      </c>
      <c r="U6068">
        <v>23797</v>
      </c>
      <c r="V6068" t="s">
        <v>22</v>
      </c>
    </row>
    <row r="6069" spans="1:22">
      <c r="A6069" t="str">
        <f t="shared" si="1083"/>
        <v>15/10/2025</v>
      </c>
      <c r="B6069" t="str">
        <f t="shared" si="1089"/>
        <v>SAÍDA</v>
      </c>
      <c r="C6069" t="str">
        <f t="shared" si="1092"/>
        <v>PIX</v>
      </c>
      <c r="D6069" t="str">
        <f t="shared" si="1093"/>
        <v>151020</v>
      </c>
      <c r="E6069" t="str">
        <f t="shared" si="1094"/>
        <v>25</v>
      </c>
      <c r="F6069" t="str">
        <f t="shared" si="1088"/>
        <v>COM</v>
      </c>
      <c r="G6069" t="str">
        <f>"GABRIEL SOARES VIEIRA (18)"</f>
        <v>GABRIEL SOARES VIEIRA (18)</v>
      </c>
      <c r="H6069" t="str">
        <f>"PAGAMENTO LIDERANÇA REF. MES 09/2025 - PIX: CPF - CHAVE: 179.800.027-09"</f>
        <v>PAGAMENTO LIDERANÇA REF. MES 09/2025 - PIX: CPF - CHAVE: 179.800.027-09</v>
      </c>
      <c r="I6069" t="str">
        <f t="shared" si="1096"/>
        <v>15/10/2025</v>
      </c>
      <c r="J6069" t="str">
        <f t="shared" si="1091"/>
        <v>30/09/2025</v>
      </c>
      <c r="K6069" t="str">
        <f>("15/10/2025")</f>
        <v>15/10/2025</v>
      </c>
      <c r="L6069">
        <v>598.26</v>
      </c>
      <c r="M6069">
        <v>598.26</v>
      </c>
      <c r="N6069">
        <v>120</v>
      </c>
      <c r="O6069" t="str">
        <f>"PAGAMENTO COMISSAO LIDERES"</f>
        <v>PAGAMENTO COMISSAO LIDERES</v>
      </c>
      <c r="P6069">
        <v>598.26</v>
      </c>
      <c r="S6069" t="str">
        <f>"BANCO CORA (102)"</f>
        <v>BANCO CORA (102)</v>
      </c>
      <c r="T6069">
        <v>19622</v>
      </c>
      <c r="U6069">
        <v>23799</v>
      </c>
      <c r="V6069" t="s">
        <v>22</v>
      </c>
    </row>
    <row r="6070" spans="1:22">
      <c r="A6070" t="str">
        <f t="shared" si="1083"/>
        <v>15/10/2025</v>
      </c>
      <c r="B6070" t="str">
        <f t="shared" ref="B6070:B6101" si="1097">"SAÍDA"</f>
        <v>SAÍDA</v>
      </c>
      <c r="C6070" t="str">
        <f t="shared" si="1092"/>
        <v>PIX</v>
      </c>
      <c r="D6070" t="str">
        <f t="shared" si="1093"/>
        <v>151020</v>
      </c>
      <c r="E6070" t="str">
        <f t="shared" si="1094"/>
        <v>25</v>
      </c>
      <c r="F6070" t="str">
        <f t="shared" si="1088"/>
        <v>COM</v>
      </c>
      <c r="G6070" t="str">
        <f>"GABRIEL SOARES VIEIRA (18)"</f>
        <v>GABRIEL SOARES VIEIRA (18)</v>
      </c>
      <c r="H6070" t="s">
        <v>1637</v>
      </c>
      <c r="I6070" t="str">
        <f t="shared" si="1096"/>
        <v>15/10/2025</v>
      </c>
      <c r="J6070" t="str">
        <f t="shared" si="1091"/>
        <v>30/09/2025</v>
      </c>
      <c r="K6070">
        <v>45945</v>
      </c>
      <c r="N6070">
        <v>120</v>
      </c>
      <c r="O6070" t="s">
        <v>306</v>
      </c>
      <c r="Q6070">
        <v>339.16</v>
      </c>
      <c r="R6070" t="str">
        <f>"FARMÁCIA INDIANA LJ 40 (10016)"</f>
        <v>FARMÁCIA INDIANA LJ 40 (10016)</v>
      </c>
      <c r="S6070" t="s">
        <v>22</v>
      </c>
      <c r="T6070">
        <v>19622</v>
      </c>
      <c r="U6070">
        <v>23799</v>
      </c>
      <c r="V6070" t="s">
        <v>22</v>
      </c>
    </row>
    <row r="6071" spans="1:22">
      <c r="A6071" t="str">
        <f t="shared" si="1083"/>
        <v>15/10/2025</v>
      </c>
      <c r="B6071" t="str">
        <f t="shared" si="1097"/>
        <v>SAÍDA</v>
      </c>
      <c r="C6071" t="str">
        <f t="shared" si="1092"/>
        <v>PIX</v>
      </c>
      <c r="D6071" t="str">
        <f t="shared" si="1093"/>
        <v>151020</v>
      </c>
      <c r="E6071" t="str">
        <f t="shared" si="1094"/>
        <v>25</v>
      </c>
      <c r="F6071" t="str">
        <f t="shared" si="1088"/>
        <v>COM</v>
      </c>
      <c r="G6071" t="str">
        <f>"GABRIEL SOARES VIEIRA (18)"</f>
        <v>GABRIEL SOARES VIEIRA (18)</v>
      </c>
      <c r="H6071" t="s">
        <v>1637</v>
      </c>
      <c r="I6071" t="str">
        <f t="shared" si="1096"/>
        <v>15/10/2025</v>
      </c>
      <c r="J6071" t="str">
        <f t="shared" si="1091"/>
        <v>30/09/2025</v>
      </c>
      <c r="K6071">
        <v>45945</v>
      </c>
      <c r="N6071">
        <v>120</v>
      </c>
      <c r="O6071" t="s">
        <v>306</v>
      </c>
      <c r="Q6071">
        <v>157.34</v>
      </c>
      <c r="R6071" t="str">
        <f>"FARMÁCIA INDIANA LJ 61 (10027)"</f>
        <v>FARMÁCIA INDIANA LJ 61 (10027)</v>
      </c>
      <c r="S6071" t="s">
        <v>22</v>
      </c>
      <c r="T6071">
        <v>19622</v>
      </c>
      <c r="U6071">
        <v>23799</v>
      </c>
      <c r="V6071" t="s">
        <v>22</v>
      </c>
    </row>
    <row r="6072" spans="1:22">
      <c r="A6072" t="str">
        <f t="shared" si="1083"/>
        <v>15/10/2025</v>
      </c>
      <c r="B6072" t="str">
        <f t="shared" si="1097"/>
        <v>SAÍDA</v>
      </c>
      <c r="C6072" t="str">
        <f t="shared" si="1092"/>
        <v>PIX</v>
      </c>
      <c r="D6072" t="str">
        <f t="shared" si="1093"/>
        <v>151020</v>
      </c>
      <c r="E6072" t="str">
        <f t="shared" si="1094"/>
        <v>25</v>
      </c>
      <c r="F6072" t="str">
        <f t="shared" si="1088"/>
        <v>COM</v>
      </c>
      <c r="G6072" t="str">
        <f>"GABRIEL SOARES VIEIRA (18)"</f>
        <v>GABRIEL SOARES VIEIRA (18)</v>
      </c>
      <c r="H6072" t="s">
        <v>1637</v>
      </c>
      <c r="I6072" t="str">
        <f t="shared" si="1096"/>
        <v>15/10/2025</v>
      </c>
      <c r="J6072" t="str">
        <f t="shared" si="1091"/>
        <v>30/09/2025</v>
      </c>
      <c r="K6072">
        <v>45945</v>
      </c>
      <c r="N6072">
        <v>120</v>
      </c>
      <c r="O6072" t="s">
        <v>306</v>
      </c>
      <c r="Q6072">
        <v>101.76</v>
      </c>
      <c r="R6072" t="str">
        <f>"FARMÁCIA INDIANA LJ 62 (10028)"</f>
        <v>FARMÁCIA INDIANA LJ 62 (10028)</v>
      </c>
      <c r="S6072" t="s">
        <v>22</v>
      </c>
      <c r="T6072">
        <v>19622</v>
      </c>
      <c r="U6072">
        <v>23799</v>
      </c>
      <c r="V6072" t="s">
        <v>22</v>
      </c>
    </row>
    <row r="6073" spans="1:22">
      <c r="A6073" t="str">
        <f t="shared" si="1083"/>
        <v>15/10/2025</v>
      </c>
      <c r="B6073" t="str">
        <f t="shared" si="1097"/>
        <v>SAÍDA</v>
      </c>
      <c r="C6073" t="str">
        <f t="shared" si="1092"/>
        <v>PIX</v>
      </c>
      <c r="D6073" t="str">
        <f t="shared" si="1093"/>
        <v>151020</v>
      </c>
      <c r="E6073" t="str">
        <f t="shared" si="1094"/>
        <v>25</v>
      </c>
      <c r="F6073" t="str">
        <f t="shared" si="1088"/>
        <v>COM</v>
      </c>
      <c r="G6073" t="str">
        <f t="shared" ref="G6073:G6082" si="1098">"CASSIO DIAS RIBEIRO (32)"</f>
        <v>CASSIO DIAS RIBEIRO (32)</v>
      </c>
      <c r="H6073" t="str">
        <f>"PAGAMENTO LIDERANÇA REF. MES 09/2025 - PIX: CPF - CHAVE: 091.575.986-14"</f>
        <v>PAGAMENTO LIDERANÇA REF. MES 09/2025 - PIX: CPF - CHAVE: 091.575.986-14</v>
      </c>
      <c r="I6073" t="str">
        <f t="shared" si="1096"/>
        <v>15/10/2025</v>
      </c>
      <c r="J6073" t="str">
        <f t="shared" si="1091"/>
        <v>30/09/2025</v>
      </c>
      <c r="K6073" t="str">
        <f>("15/10/2025")</f>
        <v>15/10/2025</v>
      </c>
      <c r="L6073">
        <v>3496.06</v>
      </c>
      <c r="M6073">
        <v>3496.06</v>
      </c>
      <c r="N6073">
        <v>120</v>
      </c>
      <c r="O6073" t="str">
        <f>"PAGAMENTO COMISSAO LIDERES"</f>
        <v>PAGAMENTO COMISSAO LIDERES</v>
      </c>
      <c r="P6073">
        <v>3496.06</v>
      </c>
      <c r="S6073" t="str">
        <f>"BANCO CORA (102)"</f>
        <v>BANCO CORA (102)</v>
      </c>
      <c r="T6073">
        <v>19623</v>
      </c>
      <c r="U6073">
        <v>23800</v>
      </c>
      <c r="V6073" t="s">
        <v>22</v>
      </c>
    </row>
    <row r="6074" spans="1:22">
      <c r="A6074" t="str">
        <f t="shared" si="1083"/>
        <v>15/10/2025</v>
      </c>
      <c r="B6074" t="str">
        <f t="shared" si="1097"/>
        <v>SAÍDA</v>
      </c>
      <c r="C6074" t="str">
        <f t="shared" si="1092"/>
        <v>PIX</v>
      </c>
      <c r="D6074" t="str">
        <f t="shared" si="1093"/>
        <v>151020</v>
      </c>
      <c r="E6074" t="str">
        <f t="shared" si="1094"/>
        <v>25</v>
      </c>
      <c r="F6074" t="str">
        <f t="shared" si="1088"/>
        <v>COM</v>
      </c>
      <c r="G6074" t="str">
        <f t="shared" si="1098"/>
        <v>CASSIO DIAS RIBEIRO (32)</v>
      </c>
      <c r="H6074" t="s">
        <v>1621</v>
      </c>
      <c r="I6074" t="str">
        <f t="shared" si="1096"/>
        <v>15/10/2025</v>
      </c>
      <c r="J6074" t="str">
        <f t="shared" si="1091"/>
        <v>30/09/2025</v>
      </c>
      <c r="K6074">
        <v>45945</v>
      </c>
      <c r="N6074">
        <v>120</v>
      </c>
      <c r="O6074" t="s">
        <v>306</v>
      </c>
      <c r="Q6074">
        <v>975.41</v>
      </c>
      <c r="R6074" t="str">
        <f>"FARMÁCIA INDIANA LJ 06 (10006)"</f>
        <v>FARMÁCIA INDIANA LJ 06 (10006)</v>
      </c>
      <c r="S6074" t="s">
        <v>22</v>
      </c>
      <c r="T6074">
        <v>19623</v>
      </c>
      <c r="U6074">
        <v>23800</v>
      </c>
      <c r="V6074" t="s">
        <v>22</v>
      </c>
    </row>
    <row r="6075" spans="1:22">
      <c r="A6075" t="str">
        <f t="shared" si="1083"/>
        <v>15/10/2025</v>
      </c>
      <c r="B6075" t="str">
        <f t="shared" si="1097"/>
        <v>SAÍDA</v>
      </c>
      <c r="C6075" t="str">
        <f t="shared" si="1092"/>
        <v>PIX</v>
      </c>
      <c r="D6075" t="str">
        <f t="shared" si="1093"/>
        <v>151020</v>
      </c>
      <c r="E6075" t="str">
        <f t="shared" si="1094"/>
        <v>25</v>
      </c>
      <c r="F6075" t="str">
        <f t="shared" si="1088"/>
        <v>COM</v>
      </c>
      <c r="G6075" t="str">
        <f t="shared" si="1098"/>
        <v>CASSIO DIAS RIBEIRO (32)</v>
      </c>
      <c r="H6075" t="s">
        <v>1621</v>
      </c>
      <c r="I6075" t="str">
        <f t="shared" si="1096"/>
        <v>15/10/2025</v>
      </c>
      <c r="J6075" t="str">
        <f t="shared" si="1091"/>
        <v>30/09/2025</v>
      </c>
      <c r="K6075">
        <v>45945</v>
      </c>
      <c r="N6075">
        <v>120</v>
      </c>
      <c r="O6075" t="s">
        <v>306</v>
      </c>
      <c r="Q6075">
        <v>549.58000000000004</v>
      </c>
      <c r="R6075" t="str">
        <f>"FARMÁCIA INDIANA LJ 11 (10008)"</f>
        <v>FARMÁCIA INDIANA LJ 11 (10008)</v>
      </c>
      <c r="S6075" t="s">
        <v>22</v>
      </c>
      <c r="T6075">
        <v>19623</v>
      </c>
      <c r="U6075">
        <v>23800</v>
      </c>
      <c r="V6075" t="s">
        <v>22</v>
      </c>
    </row>
    <row r="6076" spans="1:22">
      <c r="A6076" t="str">
        <f t="shared" si="1083"/>
        <v>15/10/2025</v>
      </c>
      <c r="B6076" t="str">
        <f t="shared" si="1097"/>
        <v>SAÍDA</v>
      </c>
      <c r="C6076" t="str">
        <f t="shared" si="1092"/>
        <v>PIX</v>
      </c>
      <c r="D6076" t="str">
        <f t="shared" si="1093"/>
        <v>151020</v>
      </c>
      <c r="E6076" t="str">
        <f t="shared" si="1094"/>
        <v>25</v>
      </c>
      <c r="F6076" t="str">
        <f t="shared" si="1088"/>
        <v>COM</v>
      </c>
      <c r="G6076" t="str">
        <f t="shared" si="1098"/>
        <v>CASSIO DIAS RIBEIRO (32)</v>
      </c>
      <c r="H6076" t="s">
        <v>1621</v>
      </c>
      <c r="I6076" t="str">
        <f t="shared" si="1096"/>
        <v>15/10/2025</v>
      </c>
      <c r="J6076" t="str">
        <f t="shared" ref="J6076:J6107" si="1099">("30/09/2025")</f>
        <v>30/09/2025</v>
      </c>
      <c r="K6076">
        <v>45945</v>
      </c>
      <c r="N6076">
        <v>120</v>
      </c>
      <c r="O6076" t="s">
        <v>306</v>
      </c>
      <c r="Q6076">
        <v>193.33</v>
      </c>
      <c r="R6076" t="str">
        <f>"FARMÁCIA INDIANA LJ 18 (10011)"</f>
        <v>FARMÁCIA INDIANA LJ 18 (10011)</v>
      </c>
      <c r="S6076" t="s">
        <v>22</v>
      </c>
      <c r="T6076">
        <v>19623</v>
      </c>
      <c r="U6076">
        <v>23800</v>
      </c>
      <c r="V6076" t="s">
        <v>22</v>
      </c>
    </row>
    <row r="6077" spans="1:22">
      <c r="A6077" t="str">
        <f t="shared" si="1083"/>
        <v>15/10/2025</v>
      </c>
      <c r="B6077" t="str">
        <f t="shared" si="1097"/>
        <v>SAÍDA</v>
      </c>
      <c r="C6077" t="str">
        <f t="shared" si="1092"/>
        <v>PIX</v>
      </c>
      <c r="D6077" t="str">
        <f t="shared" si="1093"/>
        <v>151020</v>
      </c>
      <c r="E6077" t="str">
        <f t="shared" si="1094"/>
        <v>25</v>
      </c>
      <c r="F6077" t="str">
        <f t="shared" si="1088"/>
        <v>COM</v>
      </c>
      <c r="G6077" t="str">
        <f t="shared" si="1098"/>
        <v>CASSIO DIAS RIBEIRO (32)</v>
      </c>
      <c r="H6077" t="s">
        <v>1621</v>
      </c>
      <c r="I6077" t="str">
        <f t="shared" si="1096"/>
        <v>15/10/2025</v>
      </c>
      <c r="J6077" t="str">
        <f t="shared" si="1099"/>
        <v>30/09/2025</v>
      </c>
      <c r="K6077">
        <v>45945</v>
      </c>
      <c r="N6077">
        <v>120</v>
      </c>
      <c r="O6077" t="s">
        <v>306</v>
      </c>
      <c r="Q6077">
        <v>193.33</v>
      </c>
      <c r="R6077" t="str">
        <f>"FARMÁCIA INDIANA LJ 19 (10012)"</f>
        <v>FARMÁCIA INDIANA LJ 19 (10012)</v>
      </c>
      <c r="S6077" t="s">
        <v>22</v>
      </c>
      <c r="T6077">
        <v>19623</v>
      </c>
      <c r="U6077">
        <v>23800</v>
      </c>
      <c r="V6077" t="s">
        <v>22</v>
      </c>
    </row>
    <row r="6078" spans="1:22">
      <c r="A6078" t="str">
        <f t="shared" si="1083"/>
        <v>15/10/2025</v>
      </c>
      <c r="B6078" t="str">
        <f t="shared" si="1097"/>
        <v>SAÍDA</v>
      </c>
      <c r="C6078" t="str">
        <f t="shared" ref="C6078:C6109" si="1100">"PIX"</f>
        <v>PIX</v>
      </c>
      <c r="D6078" t="str">
        <f t="shared" si="1093"/>
        <v>151020</v>
      </c>
      <c r="E6078" t="str">
        <f t="shared" ref="E6078:E6109" si="1101">"25"</f>
        <v>25</v>
      </c>
      <c r="F6078" t="str">
        <f t="shared" si="1088"/>
        <v>COM</v>
      </c>
      <c r="G6078" t="str">
        <f t="shared" si="1098"/>
        <v>CASSIO DIAS RIBEIRO (32)</v>
      </c>
      <c r="H6078" t="s">
        <v>1621</v>
      </c>
      <c r="I6078" t="str">
        <f t="shared" si="1096"/>
        <v>15/10/2025</v>
      </c>
      <c r="J6078" t="str">
        <f t="shared" si="1099"/>
        <v>30/09/2025</v>
      </c>
      <c r="K6078">
        <v>45945</v>
      </c>
      <c r="N6078">
        <v>120</v>
      </c>
      <c r="O6078" t="s">
        <v>306</v>
      </c>
      <c r="Q6078">
        <v>395.75</v>
      </c>
      <c r="R6078" t="str">
        <f>"FARMÁCIA INDIANA LJ 142 (10066)"</f>
        <v>FARMÁCIA INDIANA LJ 142 (10066)</v>
      </c>
      <c r="S6078" t="s">
        <v>22</v>
      </c>
      <c r="T6078">
        <v>19623</v>
      </c>
      <c r="U6078">
        <v>23800</v>
      </c>
      <c r="V6078" t="s">
        <v>22</v>
      </c>
    </row>
    <row r="6079" spans="1:22">
      <c r="A6079" t="str">
        <f t="shared" si="1083"/>
        <v>15/10/2025</v>
      </c>
      <c r="B6079" t="str">
        <f t="shared" si="1097"/>
        <v>SAÍDA</v>
      </c>
      <c r="C6079" t="str">
        <f t="shared" si="1100"/>
        <v>PIX</v>
      </c>
      <c r="D6079" t="str">
        <f t="shared" si="1093"/>
        <v>151020</v>
      </c>
      <c r="E6079" t="str">
        <f t="shared" si="1101"/>
        <v>25</v>
      </c>
      <c r="F6079" t="str">
        <f t="shared" si="1088"/>
        <v>COM</v>
      </c>
      <c r="G6079" t="str">
        <f t="shared" si="1098"/>
        <v>CASSIO DIAS RIBEIRO (32)</v>
      </c>
      <c r="H6079" t="s">
        <v>1621</v>
      </c>
      <c r="I6079" t="str">
        <f t="shared" si="1096"/>
        <v>15/10/2025</v>
      </c>
      <c r="J6079" t="str">
        <f t="shared" si="1099"/>
        <v>30/09/2025</v>
      </c>
      <c r="K6079">
        <v>45945</v>
      </c>
      <c r="N6079">
        <v>120</v>
      </c>
      <c r="O6079" t="s">
        <v>306</v>
      </c>
      <c r="Q6079">
        <v>93.69</v>
      </c>
      <c r="R6079" t="str">
        <f>"FARMÁCIA INDIANA LJ 181 (10078)"</f>
        <v>FARMÁCIA INDIANA LJ 181 (10078)</v>
      </c>
      <c r="S6079" t="s">
        <v>22</v>
      </c>
      <c r="T6079">
        <v>19623</v>
      </c>
      <c r="U6079">
        <v>23800</v>
      </c>
      <c r="V6079" t="s">
        <v>22</v>
      </c>
    </row>
    <row r="6080" spans="1:22">
      <c r="A6080" t="str">
        <f t="shared" si="1083"/>
        <v>15/10/2025</v>
      </c>
      <c r="B6080" t="str">
        <f t="shared" si="1097"/>
        <v>SAÍDA</v>
      </c>
      <c r="C6080" t="str">
        <f t="shared" si="1100"/>
        <v>PIX</v>
      </c>
      <c r="D6080" t="str">
        <f t="shared" si="1093"/>
        <v>151020</v>
      </c>
      <c r="E6080" t="str">
        <f t="shared" si="1101"/>
        <v>25</v>
      </c>
      <c r="F6080" t="str">
        <f t="shared" si="1088"/>
        <v>COM</v>
      </c>
      <c r="G6080" t="str">
        <f t="shared" si="1098"/>
        <v>CASSIO DIAS RIBEIRO (32)</v>
      </c>
      <c r="H6080" t="s">
        <v>1621</v>
      </c>
      <c r="I6080" t="str">
        <f t="shared" si="1096"/>
        <v>15/10/2025</v>
      </c>
      <c r="J6080" t="str">
        <f t="shared" si="1099"/>
        <v>30/09/2025</v>
      </c>
      <c r="K6080">
        <v>45945</v>
      </c>
      <c r="N6080">
        <v>120</v>
      </c>
      <c r="O6080" t="s">
        <v>306</v>
      </c>
      <c r="Q6080">
        <v>332.48</v>
      </c>
      <c r="R6080" t="str">
        <f>"FARMÁCIA INDIANA LJ 172 (10161)"</f>
        <v>FARMÁCIA INDIANA LJ 172 (10161)</v>
      </c>
      <c r="S6080" t="s">
        <v>22</v>
      </c>
      <c r="T6080">
        <v>19623</v>
      </c>
      <c r="U6080">
        <v>23800</v>
      </c>
      <c r="V6080" t="s">
        <v>22</v>
      </c>
    </row>
    <row r="6081" spans="1:22">
      <c r="A6081" t="str">
        <f t="shared" si="1083"/>
        <v>15/10/2025</v>
      </c>
      <c r="B6081" t="str">
        <f t="shared" si="1097"/>
        <v>SAÍDA</v>
      </c>
      <c r="C6081" t="str">
        <f t="shared" si="1100"/>
        <v>PIX</v>
      </c>
      <c r="D6081" t="str">
        <f t="shared" si="1093"/>
        <v>151020</v>
      </c>
      <c r="E6081" t="str">
        <f t="shared" si="1101"/>
        <v>25</v>
      </c>
      <c r="F6081" t="str">
        <f t="shared" si="1088"/>
        <v>COM</v>
      </c>
      <c r="G6081" t="str">
        <f t="shared" si="1098"/>
        <v>CASSIO DIAS RIBEIRO (32)</v>
      </c>
      <c r="H6081" t="s">
        <v>1621</v>
      </c>
      <c r="I6081" t="str">
        <f t="shared" si="1096"/>
        <v>15/10/2025</v>
      </c>
      <c r="J6081" t="str">
        <f t="shared" si="1099"/>
        <v>30/09/2025</v>
      </c>
      <c r="K6081">
        <v>45945</v>
      </c>
      <c r="N6081">
        <v>120</v>
      </c>
      <c r="O6081" t="s">
        <v>306</v>
      </c>
      <c r="Q6081">
        <v>663.9</v>
      </c>
      <c r="R6081" t="str">
        <f>"ENTREFARMA (10164)"</f>
        <v>ENTREFARMA (10164)</v>
      </c>
      <c r="S6081" t="s">
        <v>22</v>
      </c>
      <c r="T6081">
        <v>19623</v>
      </c>
      <c r="U6081">
        <v>23800</v>
      </c>
      <c r="V6081" t="s">
        <v>22</v>
      </c>
    </row>
    <row r="6082" spans="1:22">
      <c r="A6082" t="str">
        <f t="shared" si="1083"/>
        <v>15/10/2025</v>
      </c>
      <c r="B6082" t="str">
        <f t="shared" si="1097"/>
        <v>SAÍDA</v>
      </c>
      <c r="C6082" t="str">
        <f t="shared" si="1100"/>
        <v>PIX</v>
      </c>
      <c r="D6082" t="str">
        <f t="shared" si="1093"/>
        <v>151020</v>
      </c>
      <c r="E6082" t="str">
        <f t="shared" si="1101"/>
        <v>25</v>
      </c>
      <c r="F6082" t="str">
        <f t="shared" si="1088"/>
        <v>COM</v>
      </c>
      <c r="G6082" t="str">
        <f t="shared" si="1098"/>
        <v>CASSIO DIAS RIBEIRO (32)</v>
      </c>
      <c r="H6082" t="s">
        <v>1621</v>
      </c>
      <c r="I6082" t="str">
        <f t="shared" si="1096"/>
        <v>15/10/2025</v>
      </c>
      <c r="J6082" t="str">
        <f t="shared" si="1099"/>
        <v>30/09/2025</v>
      </c>
      <c r="K6082">
        <v>45945</v>
      </c>
      <c r="N6082">
        <v>120</v>
      </c>
      <c r="O6082" t="s">
        <v>306</v>
      </c>
      <c r="Q6082">
        <v>98.59</v>
      </c>
      <c r="R6082" t="str">
        <f>"DROGARIA VAZ (10179)"</f>
        <v>DROGARIA VAZ (10179)</v>
      </c>
      <c r="S6082" t="s">
        <v>22</v>
      </c>
      <c r="T6082">
        <v>19623</v>
      </c>
      <c r="U6082">
        <v>23800</v>
      </c>
      <c r="V6082" t="s">
        <v>22</v>
      </c>
    </row>
    <row r="6083" spans="1:22">
      <c r="A6083" t="str">
        <f t="shared" si="1083"/>
        <v>15/10/2025</v>
      </c>
      <c r="B6083" t="str">
        <f t="shared" si="1097"/>
        <v>SAÍDA</v>
      </c>
      <c r="C6083" t="str">
        <f t="shared" si="1100"/>
        <v>PIX</v>
      </c>
      <c r="D6083" t="str">
        <f t="shared" ref="D6083:D6113" si="1102">"1510"</f>
        <v>1510</v>
      </c>
      <c r="E6083" t="str">
        <f t="shared" si="1101"/>
        <v>25</v>
      </c>
      <c r="F6083" t="str">
        <f t="shared" si="1088"/>
        <v>COM</v>
      </c>
      <c r="G6083" t="str">
        <f>"JAMERSON SOUZA LOPES (749)"</f>
        <v>JAMERSON SOUZA LOPES (749)</v>
      </c>
      <c r="H6083" t="str">
        <f>"PAGAMENTO LIDERANÇA REF. MES 09/2025 - PIX: CPF - CHAVE: 423.098.018-36"</f>
        <v>PAGAMENTO LIDERANÇA REF. MES 09/2025 - PIX: CPF - CHAVE: 423.098.018-36</v>
      </c>
      <c r="I6083" t="str">
        <f t="shared" si="1096"/>
        <v>15/10/2025</v>
      </c>
      <c r="J6083" t="str">
        <f t="shared" si="1099"/>
        <v>30/09/2025</v>
      </c>
      <c r="K6083" t="str">
        <f>("15/10/2025")</f>
        <v>15/10/2025</v>
      </c>
      <c r="L6083">
        <v>1000</v>
      </c>
      <c r="M6083">
        <v>1000</v>
      </c>
      <c r="N6083">
        <v>120</v>
      </c>
      <c r="O6083" t="str">
        <f>"PAGAMENTO COMISSAO LIDERES"</f>
        <v>PAGAMENTO COMISSAO LIDERES</v>
      </c>
      <c r="P6083">
        <v>1000</v>
      </c>
      <c r="S6083" t="str">
        <f>"BANCO CORA (102)"</f>
        <v>BANCO CORA (102)</v>
      </c>
      <c r="T6083">
        <v>19624</v>
      </c>
      <c r="U6083">
        <v>23804</v>
      </c>
      <c r="V6083" t="s">
        <v>22</v>
      </c>
    </row>
    <row r="6084" spans="1:22">
      <c r="A6084" t="str">
        <f t="shared" si="1083"/>
        <v>15/10/2025</v>
      </c>
      <c r="B6084" t="str">
        <f t="shared" si="1097"/>
        <v>SAÍDA</v>
      </c>
      <c r="C6084" t="str">
        <f t="shared" si="1100"/>
        <v>PIX</v>
      </c>
      <c r="D6084" t="str">
        <f t="shared" si="1102"/>
        <v>1510</v>
      </c>
      <c r="E6084" t="str">
        <f t="shared" si="1101"/>
        <v>25</v>
      </c>
      <c r="F6084" t="str">
        <f t="shared" si="1088"/>
        <v>COM</v>
      </c>
      <c r="G6084" t="str">
        <f>"JAMERSON SOUZA LOPES (749)"</f>
        <v>JAMERSON SOUZA LOPES (749)</v>
      </c>
      <c r="H6084" t="s">
        <v>1638</v>
      </c>
      <c r="I6084" t="str">
        <f t="shared" si="1096"/>
        <v>15/10/2025</v>
      </c>
      <c r="J6084" t="str">
        <f t="shared" si="1099"/>
        <v>30/09/2025</v>
      </c>
      <c r="K6084">
        <v>45945</v>
      </c>
      <c r="N6084">
        <v>120</v>
      </c>
      <c r="O6084" t="s">
        <v>306</v>
      </c>
      <c r="Q6084">
        <v>335.9</v>
      </c>
      <c r="R6084" t="str">
        <f>"DROGARIA AGAPEAMA (10167)"</f>
        <v>DROGARIA AGAPEAMA (10167)</v>
      </c>
      <c r="S6084" t="s">
        <v>22</v>
      </c>
      <c r="T6084">
        <v>19624</v>
      </c>
      <c r="U6084">
        <v>23804</v>
      </c>
      <c r="V6084" t="s">
        <v>22</v>
      </c>
    </row>
    <row r="6085" spans="1:22">
      <c r="A6085" t="str">
        <f t="shared" si="1083"/>
        <v>15/10/2025</v>
      </c>
      <c r="B6085" t="str">
        <f t="shared" si="1097"/>
        <v>SAÍDA</v>
      </c>
      <c r="C6085" t="str">
        <f t="shared" si="1100"/>
        <v>PIX</v>
      </c>
      <c r="D6085" t="str">
        <f t="shared" si="1102"/>
        <v>1510</v>
      </c>
      <c r="E6085" t="str">
        <f t="shared" si="1101"/>
        <v>25</v>
      </c>
      <c r="F6085" t="str">
        <f t="shared" si="1088"/>
        <v>COM</v>
      </c>
      <c r="G6085" t="str">
        <f>"JAMERSON SOUZA LOPES (749)"</f>
        <v>JAMERSON SOUZA LOPES (749)</v>
      </c>
      <c r="H6085" t="s">
        <v>1638</v>
      </c>
      <c r="I6085" t="str">
        <f t="shared" si="1096"/>
        <v>15/10/2025</v>
      </c>
      <c r="J6085" t="str">
        <f t="shared" si="1099"/>
        <v>30/09/2025</v>
      </c>
      <c r="K6085">
        <v>45945</v>
      </c>
      <c r="N6085">
        <v>120</v>
      </c>
      <c r="O6085" t="s">
        <v>306</v>
      </c>
      <c r="Q6085">
        <v>336.7</v>
      </c>
      <c r="R6085" t="str">
        <f>"DROGARIA MORENO LTDA (10171)"</f>
        <v>DROGARIA MORENO LTDA (10171)</v>
      </c>
      <c r="S6085" t="s">
        <v>22</v>
      </c>
      <c r="T6085">
        <v>19624</v>
      </c>
      <c r="U6085">
        <v>23804</v>
      </c>
      <c r="V6085" t="s">
        <v>22</v>
      </c>
    </row>
    <row r="6086" spans="1:22">
      <c r="A6086" t="str">
        <f t="shared" si="1083"/>
        <v>15/10/2025</v>
      </c>
      <c r="B6086" t="str">
        <f t="shared" si="1097"/>
        <v>SAÍDA</v>
      </c>
      <c r="C6086" t="str">
        <f t="shared" si="1100"/>
        <v>PIX</v>
      </c>
      <c r="D6086" t="str">
        <f t="shared" si="1102"/>
        <v>1510</v>
      </c>
      <c r="E6086" t="str">
        <f t="shared" si="1101"/>
        <v>25</v>
      </c>
      <c r="F6086" t="str">
        <f t="shared" si="1088"/>
        <v>COM</v>
      </c>
      <c r="G6086" t="str">
        <f>"JAMERSON SOUZA LOPES (749)"</f>
        <v>JAMERSON SOUZA LOPES (749)</v>
      </c>
      <c r="H6086" t="s">
        <v>1638</v>
      </c>
      <c r="I6086" t="str">
        <f t="shared" si="1096"/>
        <v>15/10/2025</v>
      </c>
      <c r="J6086" t="str">
        <f t="shared" si="1099"/>
        <v>30/09/2025</v>
      </c>
      <c r="K6086">
        <v>45945</v>
      </c>
      <c r="N6086">
        <v>120</v>
      </c>
      <c r="O6086" t="s">
        <v>306</v>
      </c>
      <c r="Q6086">
        <v>157.6</v>
      </c>
      <c r="R6086" t="str">
        <f>"DROGARIA MEDIC CENTER LTDA (10172)"</f>
        <v>DROGARIA MEDIC CENTER LTDA (10172)</v>
      </c>
      <c r="S6086" t="s">
        <v>22</v>
      </c>
      <c r="T6086">
        <v>19624</v>
      </c>
      <c r="U6086">
        <v>23804</v>
      </c>
      <c r="V6086" t="s">
        <v>22</v>
      </c>
    </row>
    <row r="6087" spans="1:22">
      <c r="A6087" t="str">
        <f t="shared" si="1083"/>
        <v>15/10/2025</v>
      </c>
      <c r="B6087" t="str">
        <f t="shared" si="1097"/>
        <v>SAÍDA</v>
      </c>
      <c r="C6087" t="str">
        <f t="shared" si="1100"/>
        <v>PIX</v>
      </c>
      <c r="D6087" t="str">
        <f t="shared" si="1102"/>
        <v>1510</v>
      </c>
      <c r="E6087" t="str">
        <f t="shared" si="1101"/>
        <v>25</v>
      </c>
      <c r="F6087" t="str">
        <f t="shared" si="1088"/>
        <v>COM</v>
      </c>
      <c r="G6087" t="str">
        <f>"JAMERSON SOUZA LOPES (749)"</f>
        <v>JAMERSON SOUZA LOPES (749)</v>
      </c>
      <c r="H6087" t="s">
        <v>1638</v>
      </c>
      <c r="I6087" t="str">
        <f t="shared" si="1096"/>
        <v>15/10/2025</v>
      </c>
      <c r="J6087" t="str">
        <f t="shared" si="1099"/>
        <v>30/09/2025</v>
      </c>
      <c r="K6087">
        <v>45945</v>
      </c>
      <c r="N6087">
        <v>120</v>
      </c>
      <c r="O6087" t="s">
        <v>306</v>
      </c>
      <c r="Q6087">
        <v>169.8</v>
      </c>
      <c r="R6087" t="str">
        <f>"DROGARIA TOTAL JUNDIAI (10177)"</f>
        <v>DROGARIA TOTAL JUNDIAI (10177)</v>
      </c>
      <c r="S6087" t="s">
        <v>22</v>
      </c>
      <c r="T6087">
        <v>19624</v>
      </c>
      <c r="U6087">
        <v>23804</v>
      </c>
      <c r="V6087" t="s">
        <v>22</v>
      </c>
    </row>
    <row r="6088" spans="1:22">
      <c r="A6088" t="str">
        <f t="shared" si="1083"/>
        <v>15/10/2025</v>
      </c>
      <c r="B6088" t="str">
        <f t="shared" si="1097"/>
        <v>SAÍDA</v>
      </c>
      <c r="C6088" t="str">
        <f t="shared" si="1100"/>
        <v>PIX</v>
      </c>
      <c r="D6088" t="str">
        <f t="shared" si="1102"/>
        <v>1510</v>
      </c>
      <c r="E6088" t="str">
        <f t="shared" si="1101"/>
        <v>25</v>
      </c>
      <c r="F6088" t="str">
        <f t="shared" si="1088"/>
        <v>COM</v>
      </c>
      <c r="G6088" t="str">
        <f>"JARLES DE SOUZA PEREIRA (109)"</f>
        <v>JARLES DE SOUZA PEREIRA (109)</v>
      </c>
      <c r="H6088" t="str">
        <f>"PAGAMENTO LIDERANÇA REF. MES 09/2025 - PIX: CELULAR - CHAVE: (73) 99115-9602"</f>
        <v>PAGAMENTO LIDERANÇA REF. MES 09/2025 - PIX: CELULAR - CHAVE: (73) 99115-9602</v>
      </c>
      <c r="I6088" t="str">
        <f t="shared" si="1096"/>
        <v>15/10/2025</v>
      </c>
      <c r="J6088" t="str">
        <f t="shared" si="1099"/>
        <v>30/09/2025</v>
      </c>
      <c r="K6088" t="str">
        <f>("15/10/2025")</f>
        <v>15/10/2025</v>
      </c>
      <c r="L6088">
        <v>206</v>
      </c>
      <c r="M6088">
        <v>206</v>
      </c>
      <c r="N6088">
        <v>120</v>
      </c>
      <c r="O6088" t="str">
        <f>"PAGAMENTO COMISSAO LIDERES"</f>
        <v>PAGAMENTO COMISSAO LIDERES</v>
      </c>
      <c r="P6088">
        <v>206</v>
      </c>
      <c r="S6088" t="str">
        <f>"BANCO CORA (102)"</f>
        <v>BANCO CORA (102)</v>
      </c>
      <c r="T6088">
        <v>19625</v>
      </c>
      <c r="U6088">
        <v>23805</v>
      </c>
      <c r="V6088" t="s">
        <v>22</v>
      </c>
    </row>
    <row r="6089" spans="1:22">
      <c r="A6089" t="str">
        <f t="shared" si="1083"/>
        <v>15/10/2025</v>
      </c>
      <c r="B6089" t="str">
        <f t="shared" si="1097"/>
        <v>SAÍDA</v>
      </c>
      <c r="C6089" t="str">
        <f t="shared" si="1100"/>
        <v>PIX</v>
      </c>
      <c r="D6089" t="str">
        <f t="shared" si="1102"/>
        <v>1510</v>
      </c>
      <c r="E6089" t="str">
        <f t="shared" si="1101"/>
        <v>25</v>
      </c>
      <c r="F6089" t="str">
        <f t="shared" si="1088"/>
        <v>COM</v>
      </c>
      <c r="G6089" t="str">
        <f>"JARLES DE SOUZA PEREIRA (109)"</f>
        <v>JARLES DE SOUZA PEREIRA (109)</v>
      </c>
      <c r="H6089" t="s">
        <v>1639</v>
      </c>
      <c r="I6089" t="str">
        <f t="shared" si="1096"/>
        <v>15/10/2025</v>
      </c>
      <c r="J6089" t="str">
        <f t="shared" si="1099"/>
        <v>30/09/2025</v>
      </c>
      <c r="K6089">
        <v>45945</v>
      </c>
      <c r="N6089">
        <v>120</v>
      </c>
      <c r="O6089" t="s">
        <v>306</v>
      </c>
      <c r="Q6089">
        <v>68.66</v>
      </c>
      <c r="R6089" t="str">
        <f>"FARMÁCIA INDIANA LJ 65 (10030)"</f>
        <v>FARMÁCIA INDIANA LJ 65 (10030)</v>
      </c>
      <c r="S6089" t="s">
        <v>22</v>
      </c>
      <c r="T6089">
        <v>19625</v>
      </c>
      <c r="U6089">
        <v>23805</v>
      </c>
      <c r="V6089" t="s">
        <v>22</v>
      </c>
    </row>
    <row r="6090" spans="1:22">
      <c r="A6090" t="str">
        <f t="shared" ref="A6090:A6153" si="1103">("15/10/2025")</f>
        <v>15/10/2025</v>
      </c>
      <c r="B6090" t="str">
        <f t="shared" si="1097"/>
        <v>SAÍDA</v>
      </c>
      <c r="C6090" t="str">
        <f t="shared" si="1100"/>
        <v>PIX</v>
      </c>
      <c r="D6090" t="str">
        <f t="shared" si="1102"/>
        <v>1510</v>
      </c>
      <c r="E6090" t="str">
        <f t="shared" si="1101"/>
        <v>25</v>
      </c>
      <c r="F6090" t="str">
        <f t="shared" si="1088"/>
        <v>COM</v>
      </c>
      <c r="G6090" t="str">
        <f>"JARLES DE SOUZA PEREIRA (109)"</f>
        <v>JARLES DE SOUZA PEREIRA (109)</v>
      </c>
      <c r="H6090" t="s">
        <v>1639</v>
      </c>
      <c r="I6090" t="str">
        <f t="shared" si="1096"/>
        <v>15/10/2025</v>
      </c>
      <c r="J6090" t="str">
        <f t="shared" si="1099"/>
        <v>30/09/2025</v>
      </c>
      <c r="K6090">
        <v>45945</v>
      </c>
      <c r="N6090">
        <v>120</v>
      </c>
      <c r="O6090" t="s">
        <v>306</v>
      </c>
      <c r="Q6090">
        <v>137.34</v>
      </c>
      <c r="R6090" t="str">
        <f>"FARMÁCIA INDIANA LJ 173 (10075)"</f>
        <v>FARMÁCIA INDIANA LJ 173 (10075)</v>
      </c>
      <c r="S6090" t="s">
        <v>22</v>
      </c>
      <c r="T6090">
        <v>19625</v>
      </c>
      <c r="U6090">
        <v>23805</v>
      </c>
      <c r="V6090" t="s">
        <v>22</v>
      </c>
    </row>
    <row r="6091" spans="1:22">
      <c r="A6091" t="str">
        <f t="shared" si="1103"/>
        <v>15/10/2025</v>
      </c>
      <c r="B6091" t="str">
        <f t="shared" si="1097"/>
        <v>SAÍDA</v>
      </c>
      <c r="C6091" t="str">
        <f t="shared" si="1100"/>
        <v>PIX</v>
      </c>
      <c r="D6091" t="str">
        <f t="shared" si="1102"/>
        <v>1510</v>
      </c>
      <c r="E6091" t="str">
        <f t="shared" si="1101"/>
        <v>25</v>
      </c>
      <c r="F6091" t="str">
        <f t="shared" si="1088"/>
        <v>COM</v>
      </c>
      <c r="G6091" t="str">
        <f>"JEFERSON ANDRADE FERREIRA (165)"</f>
        <v>JEFERSON ANDRADE FERREIRA (165)</v>
      </c>
      <c r="H6091" t="str">
        <f>"PAGAMENTO LIDERANÇA REF 09/2025 - PIX: CPF - CHAVE: 126.873.296-65"</f>
        <v>PAGAMENTO LIDERANÇA REF 09/2025 - PIX: CPF - CHAVE: 126.873.296-65</v>
      </c>
      <c r="I6091" t="str">
        <f t="shared" si="1096"/>
        <v>15/10/2025</v>
      </c>
      <c r="J6091" t="str">
        <f t="shared" si="1099"/>
        <v>30/09/2025</v>
      </c>
      <c r="K6091" t="str">
        <f>("15/10/2025")</f>
        <v>15/10/2025</v>
      </c>
      <c r="L6091">
        <v>133.44</v>
      </c>
      <c r="M6091">
        <v>133.44</v>
      </c>
      <c r="N6091">
        <v>120</v>
      </c>
      <c r="O6091" t="str">
        <f>"PAGAMENTO COMISSAO LIDERES"</f>
        <v>PAGAMENTO COMISSAO LIDERES</v>
      </c>
      <c r="P6091">
        <v>133.44</v>
      </c>
      <c r="S6091" t="str">
        <f>"BANCO CORA (102)"</f>
        <v>BANCO CORA (102)</v>
      </c>
      <c r="T6091">
        <v>19626</v>
      </c>
      <c r="U6091">
        <v>23808</v>
      </c>
      <c r="V6091" t="s">
        <v>22</v>
      </c>
    </row>
    <row r="6092" spans="1:22">
      <c r="A6092" t="str">
        <f t="shared" si="1103"/>
        <v>15/10/2025</v>
      </c>
      <c r="B6092" t="str">
        <f t="shared" si="1097"/>
        <v>SAÍDA</v>
      </c>
      <c r="C6092" t="str">
        <f t="shared" si="1100"/>
        <v>PIX</v>
      </c>
      <c r="D6092" t="str">
        <f t="shared" si="1102"/>
        <v>1510</v>
      </c>
      <c r="E6092" t="str">
        <f t="shared" si="1101"/>
        <v>25</v>
      </c>
      <c r="F6092" t="str">
        <f t="shared" si="1088"/>
        <v>COM</v>
      </c>
      <c r="G6092" t="str">
        <f>"JEFERSON ANDRADE FERREIRA (165)"</f>
        <v>JEFERSON ANDRADE FERREIRA (165)</v>
      </c>
      <c r="H6092" t="s">
        <v>1640</v>
      </c>
      <c r="I6092" t="str">
        <f t="shared" si="1096"/>
        <v>15/10/2025</v>
      </c>
      <c r="J6092" t="str">
        <f t="shared" si="1099"/>
        <v>30/09/2025</v>
      </c>
      <c r="K6092">
        <v>45945</v>
      </c>
      <c r="N6092">
        <v>120</v>
      </c>
      <c r="O6092" t="s">
        <v>306</v>
      </c>
      <c r="Q6092">
        <v>66.72</v>
      </c>
      <c r="R6092" t="str">
        <f>"FARMÁCIA INDIANA LJ 101 (10043)"</f>
        <v>FARMÁCIA INDIANA LJ 101 (10043)</v>
      </c>
      <c r="S6092" t="s">
        <v>22</v>
      </c>
      <c r="T6092">
        <v>19626</v>
      </c>
      <c r="U6092">
        <v>23808</v>
      </c>
      <c r="V6092" t="s">
        <v>22</v>
      </c>
    </row>
    <row r="6093" spans="1:22">
      <c r="A6093" t="str">
        <f t="shared" si="1103"/>
        <v>15/10/2025</v>
      </c>
      <c r="B6093" t="str">
        <f t="shared" si="1097"/>
        <v>SAÍDA</v>
      </c>
      <c r="C6093" t="str">
        <f t="shared" si="1100"/>
        <v>PIX</v>
      </c>
      <c r="D6093" t="str">
        <f t="shared" si="1102"/>
        <v>1510</v>
      </c>
      <c r="E6093" t="str">
        <f t="shared" si="1101"/>
        <v>25</v>
      </c>
      <c r="F6093" t="str">
        <f t="shared" si="1088"/>
        <v>COM</v>
      </c>
      <c r="G6093" t="str">
        <f>"JEFERSON ANDRADE FERREIRA (165)"</f>
        <v>JEFERSON ANDRADE FERREIRA (165)</v>
      </c>
      <c r="H6093" t="s">
        <v>1640</v>
      </c>
      <c r="I6093" t="str">
        <f t="shared" si="1096"/>
        <v>15/10/2025</v>
      </c>
      <c r="J6093" t="str">
        <f t="shared" si="1099"/>
        <v>30/09/2025</v>
      </c>
      <c r="K6093">
        <v>45945</v>
      </c>
      <c r="N6093">
        <v>120</v>
      </c>
      <c r="O6093" t="s">
        <v>306</v>
      </c>
      <c r="Q6093">
        <v>66.72</v>
      </c>
      <c r="R6093" t="str">
        <f>"FARMÁCIA INDIANA LJ 220 (10092)"</f>
        <v>FARMÁCIA INDIANA LJ 220 (10092)</v>
      </c>
      <c r="S6093" t="s">
        <v>22</v>
      </c>
      <c r="T6093">
        <v>19626</v>
      </c>
      <c r="U6093">
        <v>23808</v>
      </c>
      <c r="V6093" t="s">
        <v>22</v>
      </c>
    </row>
    <row r="6094" spans="1:22">
      <c r="A6094" t="str">
        <f t="shared" si="1103"/>
        <v>15/10/2025</v>
      </c>
      <c r="B6094" t="str">
        <f t="shared" si="1097"/>
        <v>SAÍDA</v>
      </c>
      <c r="C6094" t="str">
        <f t="shared" si="1100"/>
        <v>PIX</v>
      </c>
      <c r="D6094" t="str">
        <f t="shared" si="1102"/>
        <v>1510</v>
      </c>
      <c r="E6094" t="str">
        <f t="shared" si="1101"/>
        <v>25</v>
      </c>
      <c r="F6094" t="str">
        <f t="shared" si="1088"/>
        <v>COM</v>
      </c>
      <c r="G6094" t="str">
        <f t="shared" ref="G6094:G6104" si="1104">"PATRICK DE SOUZA CORREA (92)"</f>
        <v>PATRICK DE SOUZA CORREA (92)</v>
      </c>
      <c r="H6094" t="str">
        <f>"PAGAMENTO LIDERANÇA REF. MES 09/2025 - PIX: CELULAR - CHAVE: (31) 99216-8711"</f>
        <v>PAGAMENTO LIDERANÇA REF. MES 09/2025 - PIX: CELULAR - CHAVE: (31) 99216-8711</v>
      </c>
      <c r="I6094" t="str">
        <f t="shared" ref="I6094:I6115" si="1105">("15/10/2025")</f>
        <v>15/10/2025</v>
      </c>
      <c r="J6094" t="str">
        <f t="shared" si="1099"/>
        <v>30/09/2025</v>
      </c>
      <c r="K6094" t="str">
        <f>("15/10/2025")</f>
        <v>15/10/2025</v>
      </c>
      <c r="L6094">
        <v>314.69</v>
      </c>
      <c r="M6094">
        <v>314.69</v>
      </c>
      <c r="N6094">
        <v>120</v>
      </c>
      <c r="O6094" t="str">
        <f>"PAGAMENTO COMISSAO LIDERES"</f>
        <v>PAGAMENTO COMISSAO LIDERES</v>
      </c>
      <c r="P6094">
        <v>314.69</v>
      </c>
      <c r="S6094" t="str">
        <f>"BANCO CORA (102)"</f>
        <v>BANCO CORA (102)</v>
      </c>
      <c r="T6094">
        <v>19627</v>
      </c>
      <c r="U6094">
        <v>23810</v>
      </c>
      <c r="V6094" t="s">
        <v>22</v>
      </c>
    </row>
    <row r="6095" spans="1:22">
      <c r="A6095" t="str">
        <f t="shared" si="1103"/>
        <v>15/10/2025</v>
      </c>
      <c r="B6095" t="str">
        <f t="shared" si="1097"/>
        <v>SAÍDA</v>
      </c>
      <c r="C6095" t="str">
        <f t="shared" si="1100"/>
        <v>PIX</v>
      </c>
      <c r="D6095" t="str">
        <f t="shared" si="1102"/>
        <v>1510</v>
      </c>
      <c r="E6095" t="str">
        <f t="shared" si="1101"/>
        <v>25</v>
      </c>
      <c r="F6095" t="str">
        <f t="shared" si="1088"/>
        <v>COM</v>
      </c>
      <c r="G6095" t="str">
        <f t="shared" si="1104"/>
        <v>PATRICK DE SOUZA CORREA (92)</v>
      </c>
      <c r="H6095" t="s">
        <v>1641</v>
      </c>
      <c r="I6095" t="str">
        <f t="shared" si="1105"/>
        <v>15/10/2025</v>
      </c>
      <c r="J6095" t="str">
        <f t="shared" si="1099"/>
        <v>30/09/2025</v>
      </c>
      <c r="K6095">
        <v>45945</v>
      </c>
      <c r="N6095">
        <v>120</v>
      </c>
      <c r="O6095" t="s">
        <v>306</v>
      </c>
      <c r="Q6095">
        <v>27.57</v>
      </c>
      <c r="R6095" t="str">
        <f>"FARMÁCIA INDIANA LJ 182 (10079)"</f>
        <v>FARMÁCIA INDIANA LJ 182 (10079)</v>
      </c>
      <c r="S6095" t="s">
        <v>22</v>
      </c>
      <c r="T6095">
        <v>19627</v>
      </c>
      <c r="U6095">
        <v>23810</v>
      </c>
      <c r="V6095" t="s">
        <v>22</v>
      </c>
    </row>
    <row r="6096" spans="1:22">
      <c r="A6096" t="str">
        <f t="shared" si="1103"/>
        <v>15/10/2025</v>
      </c>
      <c r="B6096" t="str">
        <f t="shared" si="1097"/>
        <v>SAÍDA</v>
      </c>
      <c r="C6096" t="str">
        <f t="shared" si="1100"/>
        <v>PIX</v>
      </c>
      <c r="D6096" t="str">
        <f t="shared" si="1102"/>
        <v>1510</v>
      </c>
      <c r="E6096" t="str">
        <f t="shared" si="1101"/>
        <v>25</v>
      </c>
      <c r="F6096" t="str">
        <f t="shared" ref="F6096:F6119" si="1106">"COM"</f>
        <v>COM</v>
      </c>
      <c r="G6096" t="str">
        <f t="shared" si="1104"/>
        <v>PATRICK DE SOUZA CORREA (92)</v>
      </c>
      <c r="H6096" t="s">
        <v>1641</v>
      </c>
      <c r="I6096" t="str">
        <f t="shared" si="1105"/>
        <v>15/10/2025</v>
      </c>
      <c r="J6096" t="str">
        <f t="shared" si="1099"/>
        <v>30/09/2025</v>
      </c>
      <c r="K6096">
        <v>45945</v>
      </c>
      <c r="N6096">
        <v>120</v>
      </c>
      <c r="O6096" t="s">
        <v>306</v>
      </c>
      <c r="Q6096">
        <v>13.66</v>
      </c>
      <c r="R6096" t="str">
        <f>"FARMÁCIA INDIANA LJ 184 (10080)"</f>
        <v>FARMÁCIA INDIANA LJ 184 (10080)</v>
      </c>
      <c r="S6096" t="s">
        <v>22</v>
      </c>
      <c r="T6096">
        <v>19627</v>
      </c>
      <c r="U6096">
        <v>23810</v>
      </c>
      <c r="V6096" t="s">
        <v>22</v>
      </c>
    </row>
    <row r="6097" spans="1:22">
      <c r="A6097" t="str">
        <f t="shared" si="1103"/>
        <v>15/10/2025</v>
      </c>
      <c r="B6097" t="str">
        <f t="shared" si="1097"/>
        <v>SAÍDA</v>
      </c>
      <c r="C6097" t="str">
        <f t="shared" si="1100"/>
        <v>PIX</v>
      </c>
      <c r="D6097" t="str">
        <f t="shared" si="1102"/>
        <v>1510</v>
      </c>
      <c r="E6097" t="str">
        <f t="shared" si="1101"/>
        <v>25</v>
      </c>
      <c r="F6097" t="str">
        <f t="shared" si="1106"/>
        <v>COM</v>
      </c>
      <c r="G6097" t="str">
        <f t="shared" si="1104"/>
        <v>PATRICK DE SOUZA CORREA (92)</v>
      </c>
      <c r="H6097" t="s">
        <v>1641</v>
      </c>
      <c r="I6097" t="str">
        <f t="shared" si="1105"/>
        <v>15/10/2025</v>
      </c>
      <c r="J6097" t="str">
        <f t="shared" si="1099"/>
        <v>30/09/2025</v>
      </c>
      <c r="K6097">
        <v>45945</v>
      </c>
      <c r="N6097">
        <v>120</v>
      </c>
      <c r="O6097" t="s">
        <v>306</v>
      </c>
      <c r="Q6097">
        <v>27.57</v>
      </c>
      <c r="R6097" t="str">
        <f>"FARMÁCIA INDIANA LJ 186 (10081)"</f>
        <v>FARMÁCIA INDIANA LJ 186 (10081)</v>
      </c>
      <c r="S6097" t="s">
        <v>22</v>
      </c>
      <c r="T6097">
        <v>19627</v>
      </c>
      <c r="U6097">
        <v>23810</v>
      </c>
      <c r="V6097" t="s">
        <v>22</v>
      </c>
    </row>
    <row r="6098" spans="1:22">
      <c r="A6098" t="str">
        <f t="shared" si="1103"/>
        <v>15/10/2025</v>
      </c>
      <c r="B6098" t="str">
        <f t="shared" si="1097"/>
        <v>SAÍDA</v>
      </c>
      <c r="C6098" t="str">
        <f t="shared" si="1100"/>
        <v>PIX</v>
      </c>
      <c r="D6098" t="str">
        <f t="shared" si="1102"/>
        <v>1510</v>
      </c>
      <c r="E6098" t="str">
        <f t="shared" si="1101"/>
        <v>25</v>
      </c>
      <c r="F6098" t="str">
        <f t="shared" si="1106"/>
        <v>COM</v>
      </c>
      <c r="G6098" t="str">
        <f t="shared" si="1104"/>
        <v>PATRICK DE SOUZA CORREA (92)</v>
      </c>
      <c r="H6098" t="s">
        <v>1641</v>
      </c>
      <c r="I6098" t="str">
        <f t="shared" si="1105"/>
        <v>15/10/2025</v>
      </c>
      <c r="J6098" t="str">
        <f t="shared" si="1099"/>
        <v>30/09/2025</v>
      </c>
      <c r="K6098">
        <v>45945</v>
      </c>
      <c r="N6098">
        <v>120</v>
      </c>
      <c r="O6098" t="s">
        <v>306</v>
      </c>
      <c r="Q6098">
        <v>13.66</v>
      </c>
      <c r="R6098" t="str">
        <f>"FARMÁCIA INDIANA LJ 195 (10083)"</f>
        <v>FARMÁCIA INDIANA LJ 195 (10083)</v>
      </c>
      <c r="S6098" t="s">
        <v>22</v>
      </c>
      <c r="T6098">
        <v>19627</v>
      </c>
      <c r="U6098">
        <v>23810</v>
      </c>
      <c r="V6098" t="s">
        <v>22</v>
      </c>
    </row>
    <row r="6099" spans="1:22">
      <c r="A6099" t="str">
        <f t="shared" si="1103"/>
        <v>15/10/2025</v>
      </c>
      <c r="B6099" t="str">
        <f t="shared" si="1097"/>
        <v>SAÍDA</v>
      </c>
      <c r="C6099" t="str">
        <f t="shared" si="1100"/>
        <v>PIX</v>
      </c>
      <c r="D6099" t="str">
        <f t="shared" si="1102"/>
        <v>1510</v>
      </c>
      <c r="E6099" t="str">
        <f t="shared" si="1101"/>
        <v>25</v>
      </c>
      <c r="F6099" t="str">
        <f t="shared" si="1106"/>
        <v>COM</v>
      </c>
      <c r="G6099" t="str">
        <f t="shared" si="1104"/>
        <v>PATRICK DE SOUZA CORREA (92)</v>
      </c>
      <c r="H6099" t="s">
        <v>1641</v>
      </c>
      <c r="I6099" t="str">
        <f t="shared" si="1105"/>
        <v>15/10/2025</v>
      </c>
      <c r="J6099" t="str">
        <f t="shared" si="1099"/>
        <v>30/09/2025</v>
      </c>
      <c r="K6099">
        <v>45945</v>
      </c>
      <c r="N6099">
        <v>120</v>
      </c>
      <c r="O6099" t="s">
        <v>306</v>
      </c>
      <c r="Q6099">
        <v>27.09</v>
      </c>
      <c r="R6099" t="str">
        <f>"FARMÁCIA INDIANA LJ 204 (10087)"</f>
        <v>FARMÁCIA INDIANA LJ 204 (10087)</v>
      </c>
      <c r="S6099" t="s">
        <v>22</v>
      </c>
      <c r="T6099">
        <v>19627</v>
      </c>
      <c r="U6099">
        <v>23810</v>
      </c>
      <c r="V6099" t="s">
        <v>22</v>
      </c>
    </row>
    <row r="6100" spans="1:22">
      <c r="A6100" t="str">
        <f t="shared" si="1103"/>
        <v>15/10/2025</v>
      </c>
      <c r="B6100" t="str">
        <f t="shared" si="1097"/>
        <v>SAÍDA</v>
      </c>
      <c r="C6100" t="str">
        <f t="shared" si="1100"/>
        <v>PIX</v>
      </c>
      <c r="D6100" t="str">
        <f t="shared" si="1102"/>
        <v>1510</v>
      </c>
      <c r="E6100" t="str">
        <f t="shared" si="1101"/>
        <v>25</v>
      </c>
      <c r="F6100" t="str">
        <f t="shared" si="1106"/>
        <v>COM</v>
      </c>
      <c r="G6100" t="str">
        <f t="shared" si="1104"/>
        <v>PATRICK DE SOUZA CORREA (92)</v>
      </c>
      <c r="H6100" t="s">
        <v>1641</v>
      </c>
      <c r="I6100" t="str">
        <f t="shared" si="1105"/>
        <v>15/10/2025</v>
      </c>
      <c r="J6100" t="str">
        <f t="shared" si="1099"/>
        <v>30/09/2025</v>
      </c>
      <c r="K6100">
        <v>45945</v>
      </c>
      <c r="N6100">
        <v>120</v>
      </c>
      <c r="O6100" t="s">
        <v>306</v>
      </c>
      <c r="Q6100">
        <v>36.659999999999997</v>
      </c>
      <c r="R6100" t="str">
        <f>"FARMÁCIA INDIANA LJ 207 (10088)"</f>
        <v>FARMÁCIA INDIANA LJ 207 (10088)</v>
      </c>
      <c r="S6100" t="s">
        <v>22</v>
      </c>
      <c r="T6100">
        <v>19627</v>
      </c>
      <c r="U6100">
        <v>23810</v>
      </c>
      <c r="V6100" t="s">
        <v>22</v>
      </c>
    </row>
    <row r="6101" spans="1:22">
      <c r="A6101" t="str">
        <f t="shared" si="1103"/>
        <v>15/10/2025</v>
      </c>
      <c r="B6101" t="str">
        <f t="shared" si="1097"/>
        <v>SAÍDA</v>
      </c>
      <c r="C6101" t="str">
        <f t="shared" si="1100"/>
        <v>PIX</v>
      </c>
      <c r="D6101" t="str">
        <f t="shared" si="1102"/>
        <v>1510</v>
      </c>
      <c r="E6101" t="str">
        <f t="shared" si="1101"/>
        <v>25</v>
      </c>
      <c r="F6101" t="str">
        <f t="shared" si="1106"/>
        <v>COM</v>
      </c>
      <c r="G6101" t="str">
        <f t="shared" si="1104"/>
        <v>PATRICK DE SOUZA CORREA (92)</v>
      </c>
      <c r="H6101" t="s">
        <v>1641</v>
      </c>
      <c r="I6101" t="str">
        <f t="shared" si="1105"/>
        <v>15/10/2025</v>
      </c>
      <c r="J6101" t="str">
        <f t="shared" si="1099"/>
        <v>30/09/2025</v>
      </c>
      <c r="K6101">
        <v>45945</v>
      </c>
      <c r="N6101">
        <v>120</v>
      </c>
      <c r="O6101" t="s">
        <v>306</v>
      </c>
      <c r="Q6101">
        <v>42.96</v>
      </c>
      <c r="R6101" t="str">
        <f>"FARMÁCIA INDIANA LJ 209 (10089)"</f>
        <v>FARMÁCIA INDIANA LJ 209 (10089)</v>
      </c>
      <c r="S6101" t="s">
        <v>22</v>
      </c>
      <c r="T6101">
        <v>19627</v>
      </c>
      <c r="U6101">
        <v>23810</v>
      </c>
      <c r="V6101" t="s">
        <v>22</v>
      </c>
    </row>
    <row r="6102" spans="1:22">
      <c r="A6102" t="str">
        <f t="shared" si="1103"/>
        <v>15/10/2025</v>
      </c>
      <c r="B6102" t="str">
        <f t="shared" ref="B6102:B6119" si="1107">"SAÍDA"</f>
        <v>SAÍDA</v>
      </c>
      <c r="C6102" t="str">
        <f t="shared" si="1100"/>
        <v>PIX</v>
      </c>
      <c r="D6102" t="str">
        <f t="shared" si="1102"/>
        <v>1510</v>
      </c>
      <c r="E6102" t="str">
        <f t="shared" si="1101"/>
        <v>25</v>
      </c>
      <c r="F6102" t="str">
        <f t="shared" si="1106"/>
        <v>COM</v>
      </c>
      <c r="G6102" t="str">
        <f t="shared" si="1104"/>
        <v>PATRICK DE SOUZA CORREA (92)</v>
      </c>
      <c r="H6102" t="s">
        <v>1641</v>
      </c>
      <c r="I6102" t="str">
        <f t="shared" si="1105"/>
        <v>15/10/2025</v>
      </c>
      <c r="J6102" t="str">
        <f t="shared" si="1099"/>
        <v>30/09/2025</v>
      </c>
      <c r="K6102">
        <v>45945</v>
      </c>
      <c r="N6102">
        <v>120</v>
      </c>
      <c r="O6102" t="s">
        <v>306</v>
      </c>
      <c r="Q6102">
        <v>61.77</v>
      </c>
      <c r="R6102" t="str">
        <f>"FARMÁCIA INDIANA LJ 185 (10141)"</f>
        <v>FARMÁCIA INDIANA LJ 185 (10141)</v>
      </c>
      <c r="S6102" t="s">
        <v>22</v>
      </c>
      <c r="T6102">
        <v>19627</v>
      </c>
      <c r="U6102">
        <v>23810</v>
      </c>
      <c r="V6102" t="s">
        <v>22</v>
      </c>
    </row>
    <row r="6103" spans="1:22">
      <c r="A6103" t="str">
        <f t="shared" si="1103"/>
        <v>15/10/2025</v>
      </c>
      <c r="B6103" t="str">
        <f t="shared" si="1107"/>
        <v>SAÍDA</v>
      </c>
      <c r="C6103" t="str">
        <f t="shared" si="1100"/>
        <v>PIX</v>
      </c>
      <c r="D6103" t="str">
        <f t="shared" si="1102"/>
        <v>1510</v>
      </c>
      <c r="E6103" t="str">
        <f t="shared" si="1101"/>
        <v>25</v>
      </c>
      <c r="F6103" t="str">
        <f t="shared" si="1106"/>
        <v>COM</v>
      </c>
      <c r="G6103" t="str">
        <f t="shared" si="1104"/>
        <v>PATRICK DE SOUZA CORREA (92)</v>
      </c>
      <c r="H6103" t="s">
        <v>1641</v>
      </c>
      <c r="I6103" t="str">
        <f t="shared" si="1105"/>
        <v>15/10/2025</v>
      </c>
      <c r="J6103" t="str">
        <f t="shared" si="1099"/>
        <v>30/09/2025</v>
      </c>
      <c r="K6103">
        <v>45945</v>
      </c>
      <c r="N6103">
        <v>120</v>
      </c>
      <c r="O6103" t="s">
        <v>306</v>
      </c>
      <c r="Q6103">
        <v>36.659999999999997</v>
      </c>
      <c r="R6103" t="str">
        <f>"FARMÁCIA INDIANA LJ 205 (10150)"</f>
        <v>FARMÁCIA INDIANA LJ 205 (10150)</v>
      </c>
      <c r="S6103" t="s">
        <v>22</v>
      </c>
      <c r="T6103">
        <v>19627</v>
      </c>
      <c r="U6103">
        <v>23810</v>
      </c>
      <c r="V6103" t="s">
        <v>22</v>
      </c>
    </row>
    <row r="6104" spans="1:22">
      <c r="A6104" t="str">
        <f t="shared" si="1103"/>
        <v>15/10/2025</v>
      </c>
      <c r="B6104" t="str">
        <f t="shared" si="1107"/>
        <v>SAÍDA</v>
      </c>
      <c r="C6104" t="str">
        <f t="shared" si="1100"/>
        <v>PIX</v>
      </c>
      <c r="D6104" t="str">
        <f t="shared" si="1102"/>
        <v>1510</v>
      </c>
      <c r="E6104" t="str">
        <f t="shared" si="1101"/>
        <v>25</v>
      </c>
      <c r="F6104" t="str">
        <f t="shared" si="1106"/>
        <v>COM</v>
      </c>
      <c r="G6104" t="str">
        <f t="shared" si="1104"/>
        <v>PATRICK DE SOUZA CORREA (92)</v>
      </c>
      <c r="H6104" t="s">
        <v>1641</v>
      </c>
      <c r="I6104" t="str">
        <f t="shared" si="1105"/>
        <v>15/10/2025</v>
      </c>
      <c r="J6104" t="str">
        <f t="shared" si="1099"/>
        <v>30/09/2025</v>
      </c>
      <c r="K6104">
        <v>45945</v>
      </c>
      <c r="N6104">
        <v>120</v>
      </c>
      <c r="O6104" t="s">
        <v>306</v>
      </c>
      <c r="Q6104">
        <v>27.09</v>
      </c>
      <c r="R6104" t="str">
        <f>"FARMÁCIA INDIANA LJ 266 (10186)"</f>
        <v>FARMÁCIA INDIANA LJ 266 (10186)</v>
      </c>
      <c r="S6104" t="s">
        <v>22</v>
      </c>
      <c r="T6104">
        <v>19627</v>
      </c>
      <c r="U6104">
        <v>23810</v>
      </c>
      <c r="V6104" t="s">
        <v>22</v>
      </c>
    </row>
    <row r="6105" spans="1:22">
      <c r="A6105" t="str">
        <f t="shared" si="1103"/>
        <v>15/10/2025</v>
      </c>
      <c r="B6105" t="str">
        <f t="shared" si="1107"/>
        <v>SAÍDA</v>
      </c>
      <c r="C6105" t="str">
        <f t="shared" si="1100"/>
        <v>PIX</v>
      </c>
      <c r="D6105" t="str">
        <f t="shared" si="1102"/>
        <v>1510</v>
      </c>
      <c r="E6105" t="str">
        <f t="shared" si="1101"/>
        <v>25</v>
      </c>
      <c r="F6105" t="str">
        <f t="shared" si="1106"/>
        <v>COM</v>
      </c>
      <c r="G6105" t="str">
        <f>"GUSTAVO REZENDE DE SOUTO (388)"</f>
        <v>GUSTAVO REZENDE DE SOUTO (388)</v>
      </c>
      <c r="H6105" t="str">
        <f>"PAGAMENTO LIDERANÇA REF. MES 09/2025 - CHAVE PIX CPF: 121.024.896-47"</f>
        <v>PAGAMENTO LIDERANÇA REF. MES 09/2025 - CHAVE PIX CPF: 121.024.896-47</v>
      </c>
      <c r="I6105" t="str">
        <f t="shared" si="1105"/>
        <v>15/10/2025</v>
      </c>
      <c r="J6105" t="str">
        <f t="shared" si="1099"/>
        <v>30/09/2025</v>
      </c>
      <c r="K6105" t="str">
        <f>("15/10/2025")</f>
        <v>15/10/2025</v>
      </c>
      <c r="L6105">
        <v>300</v>
      </c>
      <c r="M6105">
        <v>300</v>
      </c>
      <c r="N6105">
        <v>120</v>
      </c>
      <c r="O6105" t="str">
        <f>"PAGAMENTO COMISSAO LIDERES"</f>
        <v>PAGAMENTO COMISSAO LIDERES</v>
      </c>
      <c r="P6105">
        <v>300</v>
      </c>
      <c r="S6105" t="str">
        <f>"BANCO CORA (102)"</f>
        <v>BANCO CORA (102)</v>
      </c>
      <c r="T6105">
        <v>19628</v>
      </c>
      <c r="U6105">
        <v>23811</v>
      </c>
      <c r="V6105" t="s">
        <v>22</v>
      </c>
    </row>
    <row r="6106" spans="1:22">
      <c r="A6106" t="str">
        <f t="shared" si="1103"/>
        <v>15/10/2025</v>
      </c>
      <c r="B6106" t="str">
        <f t="shared" si="1107"/>
        <v>SAÍDA</v>
      </c>
      <c r="C6106" t="str">
        <f t="shared" si="1100"/>
        <v>PIX</v>
      </c>
      <c r="D6106" t="str">
        <f t="shared" si="1102"/>
        <v>1510</v>
      </c>
      <c r="E6106" t="str">
        <f t="shared" si="1101"/>
        <v>25</v>
      </c>
      <c r="F6106" t="str">
        <f t="shared" si="1106"/>
        <v>COM</v>
      </c>
      <c r="G6106" t="str">
        <f>"GUSTAVO REZENDE DE SOUTO (388)"</f>
        <v>GUSTAVO REZENDE DE SOUTO (388)</v>
      </c>
      <c r="H6106" t="s">
        <v>1642</v>
      </c>
      <c r="I6106" t="str">
        <f t="shared" si="1105"/>
        <v>15/10/2025</v>
      </c>
      <c r="J6106" t="str">
        <f t="shared" si="1099"/>
        <v>30/09/2025</v>
      </c>
      <c r="K6106">
        <v>45945</v>
      </c>
      <c r="N6106">
        <v>120</v>
      </c>
      <c r="O6106" t="s">
        <v>306</v>
      </c>
      <c r="Q6106">
        <v>300</v>
      </c>
      <c r="R6106" t="str">
        <f>"DROGA HONDA (10149)"</f>
        <v>DROGA HONDA (10149)</v>
      </c>
      <c r="S6106" t="s">
        <v>22</v>
      </c>
      <c r="T6106">
        <v>19628</v>
      </c>
      <c r="U6106">
        <v>23811</v>
      </c>
      <c r="V6106" t="s">
        <v>22</v>
      </c>
    </row>
    <row r="6107" spans="1:22">
      <c r="A6107" t="str">
        <f t="shared" si="1103"/>
        <v>15/10/2025</v>
      </c>
      <c r="B6107" t="str">
        <f t="shared" si="1107"/>
        <v>SAÍDA</v>
      </c>
      <c r="C6107" t="str">
        <f t="shared" si="1100"/>
        <v>PIX</v>
      </c>
      <c r="D6107" t="str">
        <f t="shared" si="1102"/>
        <v>1510</v>
      </c>
      <c r="E6107" t="str">
        <f t="shared" si="1101"/>
        <v>25</v>
      </c>
      <c r="F6107" t="str">
        <f t="shared" si="1106"/>
        <v>COM</v>
      </c>
      <c r="G6107" t="str">
        <f>"RAFAEL PEDROSO DE C??MARA (975)"</f>
        <v>RAFAEL PEDROSO DE C??MARA (975)</v>
      </c>
      <c r="H6107" t="str">
        <f>"PAGAMENTO LIDERANÇA REF 09/2025 - PIX: CELULAR - CHAVE: (11) 99270-3082"</f>
        <v>PAGAMENTO LIDERANÇA REF 09/2025 - PIX: CELULAR - CHAVE: (11) 99270-3082</v>
      </c>
      <c r="I6107" t="str">
        <f t="shared" si="1105"/>
        <v>15/10/2025</v>
      </c>
      <c r="J6107" t="str">
        <f t="shared" si="1099"/>
        <v>30/09/2025</v>
      </c>
      <c r="K6107" t="str">
        <f>("15/10/2025")</f>
        <v>15/10/2025</v>
      </c>
      <c r="L6107">
        <v>1000</v>
      </c>
      <c r="M6107">
        <v>1000</v>
      </c>
      <c r="N6107">
        <v>120</v>
      </c>
      <c r="O6107" t="str">
        <f>"PAGAMENTO COMISSAO LIDERES"</f>
        <v>PAGAMENTO COMISSAO LIDERES</v>
      </c>
      <c r="P6107">
        <v>1000</v>
      </c>
      <c r="S6107" t="str">
        <f>"BANCO CORA (102)"</f>
        <v>BANCO CORA (102)</v>
      </c>
      <c r="T6107">
        <v>19629</v>
      </c>
      <c r="U6107">
        <v>23812</v>
      </c>
      <c r="V6107" t="s">
        <v>22</v>
      </c>
    </row>
    <row r="6108" spans="1:22">
      <c r="A6108" t="str">
        <f t="shared" si="1103"/>
        <v>15/10/2025</v>
      </c>
      <c r="B6108" t="str">
        <f t="shared" si="1107"/>
        <v>SAÍDA</v>
      </c>
      <c r="C6108" t="str">
        <f t="shared" si="1100"/>
        <v>PIX</v>
      </c>
      <c r="D6108" t="str">
        <f t="shared" si="1102"/>
        <v>1510</v>
      </c>
      <c r="E6108" t="str">
        <f t="shared" si="1101"/>
        <v>25</v>
      </c>
      <c r="F6108" t="str">
        <f t="shared" si="1106"/>
        <v>COM</v>
      </c>
      <c r="G6108" t="str">
        <f>"RAFAEL PEDROSO DE C??MARA (975)"</f>
        <v>RAFAEL PEDROSO DE C??MARA (975)</v>
      </c>
      <c r="H6108" t="s">
        <v>1643</v>
      </c>
      <c r="I6108" t="str">
        <f t="shared" si="1105"/>
        <v>15/10/2025</v>
      </c>
      <c r="J6108" t="str">
        <f t="shared" ref="J6108:J6115" si="1108">("30/09/2025")</f>
        <v>30/09/2025</v>
      </c>
      <c r="K6108">
        <v>45945</v>
      </c>
      <c r="N6108">
        <v>120</v>
      </c>
      <c r="O6108" t="s">
        <v>306</v>
      </c>
      <c r="Q6108">
        <v>250</v>
      </c>
      <c r="R6108" t="str">
        <f>"PENSE FARMA 46 (10194)"</f>
        <v>PENSE FARMA 46 (10194)</v>
      </c>
      <c r="S6108" t="s">
        <v>22</v>
      </c>
      <c r="T6108">
        <v>19629</v>
      </c>
      <c r="U6108">
        <v>23812</v>
      </c>
      <c r="V6108" t="s">
        <v>22</v>
      </c>
    </row>
    <row r="6109" spans="1:22">
      <c r="A6109" t="str">
        <f t="shared" si="1103"/>
        <v>15/10/2025</v>
      </c>
      <c r="B6109" t="str">
        <f t="shared" si="1107"/>
        <v>SAÍDA</v>
      </c>
      <c r="C6109" t="str">
        <f t="shared" si="1100"/>
        <v>PIX</v>
      </c>
      <c r="D6109" t="str">
        <f t="shared" si="1102"/>
        <v>1510</v>
      </c>
      <c r="E6109" t="str">
        <f t="shared" si="1101"/>
        <v>25</v>
      </c>
      <c r="F6109" t="str">
        <f t="shared" si="1106"/>
        <v>COM</v>
      </c>
      <c r="G6109" t="str">
        <f>"RAFAEL PEDROSO DE C??MARA (975)"</f>
        <v>RAFAEL PEDROSO DE C??MARA (975)</v>
      </c>
      <c r="H6109" t="s">
        <v>1643</v>
      </c>
      <c r="I6109" t="str">
        <f t="shared" si="1105"/>
        <v>15/10/2025</v>
      </c>
      <c r="J6109" t="str">
        <f t="shared" si="1108"/>
        <v>30/09/2025</v>
      </c>
      <c r="K6109">
        <v>45945</v>
      </c>
      <c r="N6109">
        <v>120</v>
      </c>
      <c r="O6109" t="s">
        <v>306</v>
      </c>
      <c r="Q6109">
        <v>250</v>
      </c>
      <c r="R6109" t="str">
        <f>"PENSE FARMA 15 (10195)"</f>
        <v>PENSE FARMA 15 (10195)</v>
      </c>
      <c r="S6109" t="s">
        <v>22</v>
      </c>
      <c r="T6109">
        <v>19629</v>
      </c>
      <c r="U6109">
        <v>23812</v>
      </c>
      <c r="V6109" t="s">
        <v>22</v>
      </c>
    </row>
    <row r="6110" spans="1:22">
      <c r="A6110" t="str">
        <f t="shared" si="1103"/>
        <v>15/10/2025</v>
      </c>
      <c r="B6110" t="str">
        <f t="shared" si="1107"/>
        <v>SAÍDA</v>
      </c>
      <c r="C6110" t="str">
        <f t="shared" ref="C6110:C6119" si="1109">"PIX"</f>
        <v>PIX</v>
      </c>
      <c r="D6110" t="str">
        <f t="shared" si="1102"/>
        <v>1510</v>
      </c>
      <c r="E6110" t="str">
        <f t="shared" ref="E6110:E6115" si="1110">"25"</f>
        <v>25</v>
      </c>
      <c r="F6110" t="str">
        <f t="shared" si="1106"/>
        <v>COM</v>
      </c>
      <c r="G6110" t="str">
        <f>"RAFAEL PEDROSO DE C??MARA (975)"</f>
        <v>RAFAEL PEDROSO DE C??MARA (975)</v>
      </c>
      <c r="H6110" t="s">
        <v>1643</v>
      </c>
      <c r="I6110" t="str">
        <f t="shared" si="1105"/>
        <v>15/10/2025</v>
      </c>
      <c r="J6110" t="str">
        <f t="shared" si="1108"/>
        <v>30/09/2025</v>
      </c>
      <c r="K6110">
        <v>45945</v>
      </c>
      <c r="N6110">
        <v>120</v>
      </c>
      <c r="O6110" t="s">
        <v>306</v>
      </c>
      <c r="Q6110">
        <v>250</v>
      </c>
      <c r="R6110" t="str">
        <f>"PENSE FARMA 26 (10196)"</f>
        <v>PENSE FARMA 26 (10196)</v>
      </c>
      <c r="S6110" t="s">
        <v>22</v>
      </c>
      <c r="T6110">
        <v>19629</v>
      </c>
      <c r="U6110">
        <v>23812</v>
      </c>
      <c r="V6110" t="s">
        <v>22</v>
      </c>
    </row>
    <row r="6111" spans="1:22">
      <c r="A6111" t="str">
        <f t="shared" si="1103"/>
        <v>15/10/2025</v>
      </c>
      <c r="B6111" t="str">
        <f t="shared" si="1107"/>
        <v>SAÍDA</v>
      </c>
      <c r="C6111" t="str">
        <f t="shared" si="1109"/>
        <v>PIX</v>
      </c>
      <c r="D6111" t="str">
        <f t="shared" si="1102"/>
        <v>1510</v>
      </c>
      <c r="E6111" t="str">
        <f t="shared" si="1110"/>
        <v>25</v>
      </c>
      <c r="F6111" t="str">
        <f t="shared" si="1106"/>
        <v>COM</v>
      </c>
      <c r="G6111" t="str">
        <f>"RAFAEL PEDROSO DE C??MARA (975)"</f>
        <v>RAFAEL PEDROSO DE C??MARA (975)</v>
      </c>
      <c r="H6111" t="s">
        <v>1643</v>
      </c>
      <c r="I6111" t="str">
        <f t="shared" si="1105"/>
        <v>15/10/2025</v>
      </c>
      <c r="J6111" t="str">
        <f t="shared" si="1108"/>
        <v>30/09/2025</v>
      </c>
      <c r="K6111">
        <v>45945</v>
      </c>
      <c r="N6111">
        <v>120</v>
      </c>
      <c r="O6111" t="s">
        <v>306</v>
      </c>
      <c r="Q6111">
        <v>250</v>
      </c>
      <c r="R6111" t="str">
        <f>"PENSE FARMA 60 (10197)"</f>
        <v>PENSE FARMA 60 (10197)</v>
      </c>
      <c r="S6111" t="s">
        <v>22</v>
      </c>
      <c r="T6111">
        <v>19629</v>
      </c>
      <c r="U6111">
        <v>23812</v>
      </c>
      <c r="V6111" t="s">
        <v>22</v>
      </c>
    </row>
    <row r="6112" spans="1:22">
      <c r="A6112" t="str">
        <f t="shared" si="1103"/>
        <v>15/10/2025</v>
      </c>
      <c r="B6112" t="str">
        <f t="shared" si="1107"/>
        <v>SAÍDA</v>
      </c>
      <c r="C6112" t="str">
        <f t="shared" si="1109"/>
        <v>PIX</v>
      </c>
      <c r="D6112" t="str">
        <f t="shared" si="1102"/>
        <v>1510</v>
      </c>
      <c r="E6112" t="str">
        <f t="shared" si="1110"/>
        <v>25</v>
      </c>
      <c r="F6112" t="str">
        <f t="shared" si="1106"/>
        <v>COM</v>
      </c>
      <c r="G6112" t="str">
        <f>"WILLIAM DA SILVA COSTA (655)"</f>
        <v>WILLIAM DA SILVA COSTA (655)</v>
      </c>
      <c r="H6112" t="str">
        <f>"PAGAMENTO LIDERANÇA REF. MES 09/2025 - PIX: CELULAR - CHAVE: (64) 97400-9101"</f>
        <v>PAGAMENTO LIDERANÇA REF. MES 09/2025 - PIX: CELULAR - CHAVE: (64) 97400-9101</v>
      </c>
      <c r="I6112" t="str">
        <f t="shared" si="1105"/>
        <v>15/10/2025</v>
      </c>
      <c r="J6112" t="str">
        <f t="shared" si="1108"/>
        <v>30/09/2025</v>
      </c>
      <c r="K6112" t="str">
        <f>("15/10/2025")</f>
        <v>15/10/2025</v>
      </c>
      <c r="L6112">
        <v>200</v>
      </c>
      <c r="M6112">
        <v>200</v>
      </c>
      <c r="N6112">
        <v>120</v>
      </c>
      <c r="O6112" t="str">
        <f>"PAGAMENTO COMISSAO LIDERES"</f>
        <v>PAGAMENTO COMISSAO LIDERES</v>
      </c>
      <c r="P6112">
        <v>200</v>
      </c>
      <c r="S6112" t="str">
        <f>"BANCO CORA (102)"</f>
        <v>BANCO CORA (102)</v>
      </c>
      <c r="T6112">
        <v>19630</v>
      </c>
      <c r="U6112">
        <v>23813</v>
      </c>
      <c r="V6112" t="s">
        <v>22</v>
      </c>
    </row>
    <row r="6113" spans="1:22">
      <c r="A6113" t="str">
        <f t="shared" si="1103"/>
        <v>15/10/2025</v>
      </c>
      <c r="B6113" t="str">
        <f t="shared" si="1107"/>
        <v>SAÍDA</v>
      </c>
      <c r="C6113" t="str">
        <f t="shared" si="1109"/>
        <v>PIX</v>
      </c>
      <c r="D6113" t="str">
        <f t="shared" si="1102"/>
        <v>1510</v>
      </c>
      <c r="E6113" t="str">
        <f t="shared" si="1110"/>
        <v>25</v>
      </c>
      <c r="F6113" t="str">
        <f t="shared" si="1106"/>
        <v>COM</v>
      </c>
      <c r="G6113" t="str">
        <f>"WILLIAM DA SILVA COSTA (655)"</f>
        <v>WILLIAM DA SILVA COSTA (655)</v>
      </c>
      <c r="H6113" t="s">
        <v>1644</v>
      </c>
      <c r="I6113" t="str">
        <f t="shared" si="1105"/>
        <v>15/10/2025</v>
      </c>
      <c r="J6113" t="str">
        <f t="shared" si="1108"/>
        <v>30/09/2025</v>
      </c>
      <c r="K6113">
        <v>45945</v>
      </c>
      <c r="N6113">
        <v>120</v>
      </c>
      <c r="O6113" t="s">
        <v>306</v>
      </c>
      <c r="Q6113">
        <v>200</v>
      </c>
      <c r="R6113" t="str">
        <f>"FARMACIA ECONOMIZE (10103)"</f>
        <v>FARMACIA ECONOMIZE (10103)</v>
      </c>
      <c r="S6113" t="s">
        <v>22</v>
      </c>
      <c r="T6113">
        <v>19630</v>
      </c>
      <c r="U6113">
        <v>23813</v>
      </c>
      <c r="V6113" t="s">
        <v>22</v>
      </c>
    </row>
    <row r="6114" spans="1:22">
      <c r="A6114" t="str">
        <f t="shared" si="1103"/>
        <v>15/10/2025</v>
      </c>
      <c r="B6114" t="str">
        <f t="shared" si="1107"/>
        <v>SAÍDA</v>
      </c>
      <c r="C6114" t="str">
        <f t="shared" si="1109"/>
        <v>PIX</v>
      </c>
      <c r="D6114" t="str">
        <f>"151020"</f>
        <v>151020</v>
      </c>
      <c r="E6114" t="str">
        <f t="shared" si="1110"/>
        <v>25</v>
      </c>
      <c r="F6114" t="str">
        <f t="shared" si="1106"/>
        <v>COM</v>
      </c>
      <c r="G6114" t="str">
        <f>"ALISSON FELIPE GODINHO (219)"</f>
        <v>ALISSON FELIPE GODINHO (219)</v>
      </c>
      <c r="H6114" t="str">
        <f>"PAGAMENTO LIDERANÇA REF. MES 09/2025 - PIX: CELULAR - CHAVE: (33) 99877-0415"</f>
        <v>PAGAMENTO LIDERANÇA REF. MES 09/2025 - PIX: CELULAR - CHAVE: (33) 99877-0415</v>
      </c>
      <c r="I6114" t="str">
        <f t="shared" si="1105"/>
        <v>15/10/2025</v>
      </c>
      <c r="J6114" t="str">
        <f t="shared" si="1108"/>
        <v>30/09/2025</v>
      </c>
      <c r="K6114" t="str">
        <f>("15/10/2025")</f>
        <v>15/10/2025</v>
      </c>
      <c r="L6114">
        <v>152.91</v>
      </c>
      <c r="M6114">
        <v>152.91</v>
      </c>
      <c r="N6114">
        <v>120</v>
      </c>
      <c r="O6114" t="str">
        <f>"PAGAMENTO COMISSAO LIDERES"</f>
        <v>PAGAMENTO COMISSAO LIDERES</v>
      </c>
      <c r="P6114">
        <v>152.91</v>
      </c>
      <c r="S6114" t="str">
        <f>"BANCO CORA (102)"</f>
        <v>BANCO CORA (102)</v>
      </c>
      <c r="T6114">
        <v>19631</v>
      </c>
      <c r="U6114">
        <v>23798</v>
      </c>
      <c r="V6114" t="s">
        <v>22</v>
      </c>
    </row>
    <row r="6115" spans="1:22">
      <c r="A6115" t="str">
        <f t="shared" si="1103"/>
        <v>15/10/2025</v>
      </c>
      <c r="B6115" t="str">
        <f t="shared" si="1107"/>
        <v>SAÍDA</v>
      </c>
      <c r="C6115" t="str">
        <f t="shared" si="1109"/>
        <v>PIX</v>
      </c>
      <c r="D6115" t="str">
        <f>"151020"</f>
        <v>151020</v>
      </c>
      <c r="E6115" t="str">
        <f t="shared" si="1110"/>
        <v>25</v>
      </c>
      <c r="F6115" t="str">
        <f t="shared" si="1106"/>
        <v>COM</v>
      </c>
      <c r="G6115" t="str">
        <f>"ALISSON FELIPE GODINHO (219)"</f>
        <v>ALISSON FELIPE GODINHO (219)</v>
      </c>
      <c r="H6115" t="s">
        <v>1645</v>
      </c>
      <c r="I6115" t="str">
        <f t="shared" si="1105"/>
        <v>15/10/2025</v>
      </c>
      <c r="J6115" t="str">
        <f t="shared" si="1108"/>
        <v>30/09/2025</v>
      </c>
      <c r="K6115">
        <v>45945</v>
      </c>
      <c r="N6115">
        <v>120</v>
      </c>
      <c r="O6115" t="s">
        <v>306</v>
      </c>
      <c r="Q6115">
        <v>152.91</v>
      </c>
      <c r="R6115" t="str">
        <f>"FARMÁCIA INDIANA LJ 14 (10009)"</f>
        <v>FARMÁCIA INDIANA LJ 14 (10009)</v>
      </c>
      <c r="S6115" t="s">
        <v>22</v>
      </c>
      <c r="T6115">
        <v>19631</v>
      </c>
      <c r="U6115">
        <v>23798</v>
      </c>
      <c r="V6115" t="s">
        <v>22</v>
      </c>
    </row>
    <row r="6116" spans="1:22">
      <c r="A6116" t="str">
        <f t="shared" si="1103"/>
        <v>15/10/2025</v>
      </c>
      <c r="B6116" t="str">
        <f t="shared" si="1107"/>
        <v>SAÍDA</v>
      </c>
      <c r="C6116" t="str">
        <f t="shared" si="1109"/>
        <v>PIX</v>
      </c>
      <c r="D6116" t="str">
        <f>"23955"</f>
        <v>23955</v>
      </c>
      <c r="E6116" t="str">
        <f>"1"</f>
        <v>1</v>
      </c>
      <c r="F6116" t="str">
        <f t="shared" si="1106"/>
        <v>COM</v>
      </c>
      <c r="G6116" t="str">
        <f>"WILLIAM DA SILVA COSTA (655)"</f>
        <v>WILLIAM DA SILVA COSTA (655)</v>
      </c>
      <c r="H6116" t="str">
        <f>"PAGO PARA ULISSES SOUSA SANTOS - Serv.Prest. 13/10/2025 a 19/10/2025"</f>
        <v>PAGO PARA ULISSES SOUSA SANTOS - Serv.Prest. 13/10/2025 a 19/10/2025</v>
      </c>
      <c r="I6116" t="str">
        <f>("21/10/2025")</f>
        <v>21/10/2025</v>
      </c>
      <c r="J6116" t="str">
        <f>("21/10/2025")</f>
        <v>21/10/2025</v>
      </c>
      <c r="K6116" t="str">
        <f>("15/10/2025")</f>
        <v>15/10/2025</v>
      </c>
      <c r="L6116">
        <v>186</v>
      </c>
      <c r="M6116">
        <v>300</v>
      </c>
      <c r="N6116">
        <v>134</v>
      </c>
      <c r="O6116" t="str">
        <f>"DIARIA DE MOTOBOY"</f>
        <v>DIARIA DE MOTOBOY</v>
      </c>
      <c r="P6116">
        <v>300</v>
      </c>
      <c r="S6116" t="str">
        <f>"BANCO CORA (102)"</f>
        <v>BANCO CORA (102)</v>
      </c>
      <c r="T6116">
        <v>20099</v>
      </c>
      <c r="U6116">
        <v>24136</v>
      </c>
      <c r="V6116" t="s">
        <v>22</v>
      </c>
    </row>
    <row r="6117" spans="1:22">
      <c r="A6117" t="str">
        <f t="shared" si="1103"/>
        <v>15/10/2025</v>
      </c>
      <c r="B6117" t="str">
        <f t="shared" si="1107"/>
        <v>SAÍDA</v>
      </c>
      <c r="C6117" t="str">
        <f t="shared" si="1109"/>
        <v>PIX</v>
      </c>
      <c r="D6117" t="str">
        <f>"23955"</f>
        <v>23955</v>
      </c>
      <c r="E6117" t="str">
        <f>"1"</f>
        <v>1</v>
      </c>
      <c r="F6117" t="str">
        <f t="shared" si="1106"/>
        <v>COM</v>
      </c>
      <c r="G6117" t="str">
        <f>"WILLIAM DA SILVA COSTA (655)"</f>
        <v>WILLIAM DA SILVA COSTA (655)</v>
      </c>
      <c r="H6117" t="s">
        <v>1620</v>
      </c>
      <c r="I6117" t="str">
        <f>("21/10/2025")</f>
        <v>21/10/2025</v>
      </c>
      <c r="J6117" t="str">
        <f>("21/10/2025")</f>
        <v>21/10/2025</v>
      </c>
      <c r="K6117">
        <v>45945</v>
      </c>
      <c r="N6117">
        <v>134</v>
      </c>
      <c r="O6117" t="s">
        <v>41</v>
      </c>
      <c r="Q6117">
        <v>300</v>
      </c>
      <c r="R6117" t="str">
        <f>"FARMACIA ECONOMIZE (10103)"</f>
        <v>FARMACIA ECONOMIZE (10103)</v>
      </c>
      <c r="S6117" t="s">
        <v>22</v>
      </c>
      <c r="T6117">
        <v>20099</v>
      </c>
      <c r="U6117">
        <v>24136</v>
      </c>
      <c r="V6117" t="s">
        <v>22</v>
      </c>
    </row>
    <row r="6118" spans="1:22">
      <c r="A6118" t="str">
        <f t="shared" si="1103"/>
        <v>15/10/2025</v>
      </c>
      <c r="B6118" t="str">
        <f t="shared" si="1107"/>
        <v>SAÍDA</v>
      </c>
      <c r="C6118" t="str">
        <f t="shared" si="1109"/>
        <v>PIX</v>
      </c>
      <c r="D6118" t="str">
        <f>"151020"</f>
        <v>151020</v>
      </c>
      <c r="E6118" t="str">
        <f>"25"</f>
        <v>25</v>
      </c>
      <c r="F6118" t="str">
        <f t="shared" si="1106"/>
        <v>COM</v>
      </c>
      <c r="G6118" t="str">
        <f>"JAMERSON SOUZA LOPES (749)"</f>
        <v>JAMERSON SOUZA LOPES (749)</v>
      </c>
      <c r="H6118" t="str">
        <f>"DESPESAS VIAGEM SAO PAULO"</f>
        <v>DESPESAS VIAGEM SAO PAULO</v>
      </c>
      <c r="I6118" t="str">
        <f>("15/10/2025")</f>
        <v>15/10/2025</v>
      </c>
      <c r="J6118" t="str">
        <f>("15/10/2025")</f>
        <v>15/10/2025</v>
      </c>
      <c r="K6118" t="str">
        <f>("15/10/2025")</f>
        <v>15/10/2025</v>
      </c>
      <c r="L6118">
        <v>1000</v>
      </c>
      <c r="M6118">
        <v>1000</v>
      </c>
      <c r="N6118">
        <v>119</v>
      </c>
      <c r="O6118" t="str">
        <f>"DESPESAS COM VIAGENS OPERACIONAIS"</f>
        <v>DESPESAS COM VIAGENS OPERACIONAIS</v>
      </c>
      <c r="P6118">
        <v>1000</v>
      </c>
      <c r="S6118" t="str">
        <f>"BANCO CORA (102)"</f>
        <v>BANCO CORA (102)</v>
      </c>
      <c r="T6118">
        <v>20321</v>
      </c>
      <c r="U6118">
        <v>24487</v>
      </c>
      <c r="V6118" t="s">
        <v>22</v>
      </c>
    </row>
    <row r="6119" spans="1:22">
      <c r="A6119" t="str">
        <f t="shared" si="1103"/>
        <v>15/10/2025</v>
      </c>
      <c r="B6119" t="str">
        <f t="shared" si="1107"/>
        <v>SAÍDA</v>
      </c>
      <c r="C6119" t="str">
        <f t="shared" si="1109"/>
        <v>PIX</v>
      </c>
      <c r="D6119" t="str">
        <f>"151020"</f>
        <v>151020</v>
      </c>
      <c r="E6119" t="str">
        <f>"25"</f>
        <v>25</v>
      </c>
      <c r="F6119" t="str">
        <f t="shared" si="1106"/>
        <v>COM</v>
      </c>
      <c r="G6119" t="str">
        <f>"JAMERSON SOUZA LOPES (749)"</f>
        <v>JAMERSON SOUZA LOPES (749)</v>
      </c>
      <c r="H6119" t="s">
        <v>1646</v>
      </c>
      <c r="I6119" t="str">
        <f t="shared" ref="I6119:J6123" si="1111">("15/10/2025")</f>
        <v>15/10/2025</v>
      </c>
      <c r="J6119" t="str">
        <f t="shared" si="1111"/>
        <v>15/10/2025</v>
      </c>
      <c r="K6119">
        <v>45945</v>
      </c>
      <c r="N6119">
        <v>119</v>
      </c>
      <c r="O6119" t="s">
        <v>262</v>
      </c>
      <c r="Q6119">
        <v>1000</v>
      </c>
      <c r="R6119" t="str">
        <f>"JAMERSON SOUZA LOPES (749)"</f>
        <v>JAMERSON SOUZA LOPES (749)</v>
      </c>
      <c r="S6119" t="s">
        <v>22</v>
      </c>
      <c r="T6119">
        <v>20321</v>
      </c>
      <c r="U6119">
        <v>24487</v>
      </c>
      <c r="V6119" t="s">
        <v>22</v>
      </c>
    </row>
    <row r="6120" spans="1:22">
      <c r="A6120" t="str">
        <f t="shared" si="1103"/>
        <v>15/10/2025</v>
      </c>
      <c r="B6120" t="str">
        <f>"ENTRADA"</f>
        <v>ENTRADA</v>
      </c>
      <c r="C6120" t="str">
        <f>"TRANSFERENCIA"</f>
        <v>TRANSFERENCIA</v>
      </c>
      <c r="D6120" t="str">
        <f>""</f>
        <v/>
      </c>
      <c r="F6120" t="str">
        <f>"TRF"</f>
        <v>TRF</v>
      </c>
      <c r="G6120" t="str">
        <f>""</f>
        <v/>
      </c>
      <c r="H6120" t="str">
        <f>"TRANSFERENCIA ENTRE BANCOS (149-&gt;102)"</f>
        <v>TRANSFERENCIA ENTRE BANCOS (149-&gt;102)</v>
      </c>
      <c r="I6120" t="str">
        <f t="shared" si="1111"/>
        <v>15/10/2025</v>
      </c>
      <c r="J6120" t="str">
        <f t="shared" si="1111"/>
        <v>15/10/2025</v>
      </c>
      <c r="K6120" t="str">
        <f>("15/10/2025")</f>
        <v>15/10/2025</v>
      </c>
      <c r="N6120">
        <v>102</v>
      </c>
      <c r="O6120" t="str">
        <f>"BANCO CORA"</f>
        <v>BANCO CORA</v>
      </c>
      <c r="P6120">
        <v>50000</v>
      </c>
      <c r="S6120" t="str">
        <f>"BANCO CORA (102)"</f>
        <v>BANCO CORA (102)</v>
      </c>
      <c r="T6120">
        <v>22501</v>
      </c>
      <c r="U6120">
        <v>0</v>
      </c>
      <c r="V6120" t="s">
        <v>22</v>
      </c>
    </row>
    <row r="6121" spans="1:22">
      <c r="A6121" t="str">
        <f t="shared" si="1103"/>
        <v>15/10/2025</v>
      </c>
      <c r="B6121" t="str">
        <f t="shared" ref="B6121:B6128" si="1112">"SAÍDA"</f>
        <v>SAÍDA</v>
      </c>
      <c r="C6121" t="str">
        <f>"TRANSFERENCIA"</f>
        <v>TRANSFERENCIA</v>
      </c>
      <c r="D6121" t="str">
        <f>""</f>
        <v/>
      </c>
      <c r="F6121" t="str">
        <f>"TRF"</f>
        <v>TRF</v>
      </c>
      <c r="G6121" t="str">
        <f>""</f>
        <v/>
      </c>
      <c r="H6121" t="str">
        <f>"TRANSFERENCIA ENTRE BANCOS (149-&gt;102)"</f>
        <v>TRANSFERENCIA ENTRE BANCOS (149-&gt;102)</v>
      </c>
      <c r="I6121" t="str">
        <f t="shared" si="1111"/>
        <v>15/10/2025</v>
      </c>
      <c r="J6121" t="str">
        <f t="shared" si="1111"/>
        <v>15/10/2025</v>
      </c>
      <c r="K6121" t="str">
        <f>("15/10/2025")</f>
        <v>15/10/2025</v>
      </c>
      <c r="N6121">
        <v>149</v>
      </c>
      <c r="O6121" t="str">
        <f>"BANCO C6"</f>
        <v>BANCO C6</v>
      </c>
      <c r="S6121" t="str">
        <f>"BANCO C6 (149)"</f>
        <v>BANCO C6 (149)</v>
      </c>
      <c r="T6121">
        <v>22501</v>
      </c>
      <c r="U6121">
        <v>0</v>
      </c>
      <c r="V6121" t="s">
        <v>77</v>
      </c>
    </row>
    <row r="6122" spans="1:22">
      <c r="A6122" t="str">
        <f t="shared" si="1103"/>
        <v>15/10/2025</v>
      </c>
      <c r="B6122" t="str">
        <f t="shared" si="1112"/>
        <v>SAÍDA</v>
      </c>
      <c r="C6122" t="str">
        <f t="shared" ref="C6122:C6128" si="1113">"PIX"</f>
        <v>PIX</v>
      </c>
      <c r="D6122" t="str">
        <f>"15102025"</f>
        <v>15102025</v>
      </c>
      <c r="E6122" t="str">
        <f>"1"</f>
        <v>1</v>
      </c>
      <c r="F6122" t="str">
        <f t="shared" ref="F6122:F6185" si="1114">"COM"</f>
        <v>COM</v>
      </c>
      <c r="G6122" t="str">
        <f>"JARLES DE SOUZA PEREIRA (109)"</f>
        <v>JARLES DE SOUZA PEREIRA (109)</v>
      </c>
      <c r="H6122" t="str">
        <f>"Complemento de valor pago de liderança ref. mes 09/2025"</f>
        <v>Complemento de valor pago de liderança ref. mes 09/2025</v>
      </c>
      <c r="I6122" t="str">
        <f t="shared" si="1111"/>
        <v>15/10/2025</v>
      </c>
      <c r="J6122" t="str">
        <f t="shared" si="1111"/>
        <v>15/10/2025</v>
      </c>
      <c r="K6122" t="str">
        <f>("15/10/2025")</f>
        <v>15/10/2025</v>
      </c>
      <c r="L6122">
        <v>94</v>
      </c>
      <c r="M6122">
        <v>94</v>
      </c>
      <c r="N6122">
        <v>120</v>
      </c>
      <c r="O6122" t="str">
        <f>"PAGAMENTO COMISSAO LIDERES"</f>
        <v>PAGAMENTO COMISSAO LIDERES</v>
      </c>
      <c r="P6122">
        <v>94</v>
      </c>
      <c r="S6122" t="str">
        <f>"BANCO CORA (102)"</f>
        <v>BANCO CORA (102)</v>
      </c>
      <c r="T6122">
        <v>22502</v>
      </c>
      <c r="U6122">
        <v>26408</v>
      </c>
      <c r="V6122" t="s">
        <v>22</v>
      </c>
    </row>
    <row r="6123" spans="1:22">
      <c r="A6123" t="str">
        <f t="shared" si="1103"/>
        <v>15/10/2025</v>
      </c>
      <c r="B6123" t="str">
        <f t="shared" si="1112"/>
        <v>SAÍDA</v>
      </c>
      <c r="C6123" t="str">
        <f t="shared" si="1113"/>
        <v>PIX</v>
      </c>
      <c r="D6123" t="str">
        <f>"15102025"</f>
        <v>15102025</v>
      </c>
      <c r="E6123" t="str">
        <f>"1"</f>
        <v>1</v>
      </c>
      <c r="F6123" t="str">
        <f t="shared" si="1114"/>
        <v>COM</v>
      </c>
      <c r="G6123" t="str">
        <f>"JARLES DE SOUZA PEREIRA (109)"</f>
        <v>JARLES DE SOUZA PEREIRA (109)</v>
      </c>
      <c r="H6123" t="s">
        <v>1647</v>
      </c>
      <c r="I6123" t="str">
        <f t="shared" si="1111"/>
        <v>15/10/2025</v>
      </c>
      <c r="J6123" t="str">
        <f t="shared" si="1111"/>
        <v>15/10/2025</v>
      </c>
      <c r="K6123">
        <v>45945</v>
      </c>
      <c r="N6123">
        <v>120</v>
      </c>
      <c r="O6123" t="s">
        <v>306</v>
      </c>
      <c r="Q6123">
        <v>94</v>
      </c>
      <c r="R6123" t="str">
        <f>"JARLES DE SOUZA PEREIRA (109)"</f>
        <v>JARLES DE SOUZA PEREIRA (109)</v>
      </c>
      <c r="S6123" t="s">
        <v>22</v>
      </c>
      <c r="T6123">
        <v>22502</v>
      </c>
      <c r="U6123">
        <v>26408</v>
      </c>
      <c r="V6123" t="s">
        <v>22</v>
      </c>
    </row>
    <row r="6124" spans="1:22">
      <c r="A6124" t="str">
        <f t="shared" si="1103"/>
        <v>15/10/2025</v>
      </c>
      <c r="B6124" t="str">
        <f t="shared" si="1112"/>
        <v>SAÍDA</v>
      </c>
      <c r="C6124" t="str">
        <f t="shared" si="1113"/>
        <v>PIX</v>
      </c>
      <c r="D6124" t="str">
        <f>"1510"</f>
        <v>1510</v>
      </c>
      <c r="E6124" t="str">
        <f>"25"</f>
        <v>25</v>
      </c>
      <c r="F6124" t="str">
        <f t="shared" si="1114"/>
        <v>COM</v>
      </c>
      <c r="G6124" t="str">
        <f>"WELLINGTON DOS SANTOS ALVES (438)"</f>
        <v>WELLINGTON DOS SANTOS ALVES (438)</v>
      </c>
      <c r="H6124" t="str">
        <f>"PAGAMENTO LIDERANÇA REF. MES 08/2025 - PIX: CELULAR - CHAVE: (32) 99800-1691"</f>
        <v>PAGAMENTO LIDERANÇA REF. MES 08/2025 - PIX: CELULAR - CHAVE: (32) 99800-1691</v>
      </c>
      <c r="I6124" t="str">
        <f t="shared" ref="I6124:I6155" si="1115">("15/10/2025")</f>
        <v>15/10/2025</v>
      </c>
      <c r="J6124" t="str">
        <f>("30/09/2025")</f>
        <v>30/09/2025</v>
      </c>
      <c r="K6124" t="str">
        <f>("15/10/2025")</f>
        <v>15/10/2025</v>
      </c>
      <c r="L6124">
        <v>215.9</v>
      </c>
      <c r="M6124">
        <v>215.9</v>
      </c>
      <c r="N6124">
        <v>120</v>
      </c>
      <c r="O6124" t="str">
        <f>"PAGAMENTO COMISSAO LIDERES"</f>
        <v>PAGAMENTO COMISSAO LIDERES</v>
      </c>
      <c r="P6124">
        <v>215.9</v>
      </c>
      <c r="S6124" t="str">
        <f>"BANCO CORA (102)"</f>
        <v>BANCO CORA (102)</v>
      </c>
      <c r="T6124">
        <v>22503</v>
      </c>
      <c r="U6124">
        <v>23809</v>
      </c>
      <c r="V6124" t="s">
        <v>22</v>
      </c>
    </row>
    <row r="6125" spans="1:22">
      <c r="A6125" t="str">
        <f t="shared" si="1103"/>
        <v>15/10/2025</v>
      </c>
      <c r="B6125" t="str">
        <f t="shared" si="1112"/>
        <v>SAÍDA</v>
      </c>
      <c r="C6125" t="str">
        <f t="shared" si="1113"/>
        <v>PIX</v>
      </c>
      <c r="D6125" t="str">
        <f>"1510"</f>
        <v>1510</v>
      </c>
      <c r="E6125" t="str">
        <f>"25"</f>
        <v>25</v>
      </c>
      <c r="F6125" t="str">
        <f t="shared" si="1114"/>
        <v>COM</v>
      </c>
      <c r="G6125" t="str">
        <f>"WELLINGTON DOS SANTOS ALVES (438)"</f>
        <v>WELLINGTON DOS SANTOS ALVES (438)</v>
      </c>
      <c r="H6125" t="s">
        <v>578</v>
      </c>
      <c r="I6125" t="str">
        <f t="shared" si="1115"/>
        <v>15/10/2025</v>
      </c>
      <c r="J6125" t="str">
        <f>("30/09/2025")</f>
        <v>30/09/2025</v>
      </c>
      <c r="K6125">
        <v>45945</v>
      </c>
      <c r="N6125">
        <v>120</v>
      </c>
      <c r="O6125" t="s">
        <v>306</v>
      </c>
      <c r="Q6125">
        <v>53.99</v>
      </c>
      <c r="R6125" t="str">
        <f>"FARMÁCIA INDIANA LJ 112 (10050)"</f>
        <v>FARMÁCIA INDIANA LJ 112 (10050)</v>
      </c>
      <c r="S6125" t="s">
        <v>22</v>
      </c>
      <c r="T6125">
        <v>22503</v>
      </c>
      <c r="U6125">
        <v>23809</v>
      </c>
      <c r="V6125" t="s">
        <v>22</v>
      </c>
    </row>
    <row r="6126" spans="1:22">
      <c r="A6126" t="str">
        <f t="shared" si="1103"/>
        <v>15/10/2025</v>
      </c>
      <c r="B6126" t="str">
        <f t="shared" si="1112"/>
        <v>SAÍDA</v>
      </c>
      <c r="C6126" t="str">
        <f t="shared" si="1113"/>
        <v>PIX</v>
      </c>
      <c r="D6126" t="str">
        <f>"1510"</f>
        <v>1510</v>
      </c>
      <c r="E6126" t="str">
        <f>"25"</f>
        <v>25</v>
      </c>
      <c r="F6126" t="str">
        <f t="shared" si="1114"/>
        <v>COM</v>
      </c>
      <c r="G6126" t="str">
        <f>"WELLINGTON DOS SANTOS ALVES (438)"</f>
        <v>WELLINGTON DOS SANTOS ALVES (438)</v>
      </c>
      <c r="H6126" t="s">
        <v>578</v>
      </c>
      <c r="I6126" t="str">
        <f t="shared" si="1115"/>
        <v>15/10/2025</v>
      </c>
      <c r="J6126" t="str">
        <f>("30/09/2025")</f>
        <v>30/09/2025</v>
      </c>
      <c r="K6126">
        <v>45945</v>
      </c>
      <c r="N6126">
        <v>120</v>
      </c>
      <c r="O6126" t="s">
        <v>306</v>
      </c>
      <c r="Q6126">
        <v>53.98</v>
      </c>
      <c r="R6126" t="str">
        <f>"FARMÁCIA INDIANA LJ 116 (10051)"</f>
        <v>FARMÁCIA INDIANA LJ 116 (10051)</v>
      </c>
      <c r="S6126" t="s">
        <v>22</v>
      </c>
      <c r="T6126">
        <v>22503</v>
      </c>
      <c r="U6126">
        <v>23809</v>
      </c>
      <c r="V6126" t="s">
        <v>22</v>
      </c>
    </row>
    <row r="6127" spans="1:22">
      <c r="A6127" t="str">
        <f t="shared" si="1103"/>
        <v>15/10/2025</v>
      </c>
      <c r="B6127" t="str">
        <f t="shared" si="1112"/>
        <v>SAÍDA</v>
      </c>
      <c r="C6127" t="str">
        <f t="shared" si="1113"/>
        <v>PIX</v>
      </c>
      <c r="D6127" t="str">
        <f>"1510"</f>
        <v>1510</v>
      </c>
      <c r="E6127" t="str">
        <f>"25"</f>
        <v>25</v>
      </c>
      <c r="F6127" t="str">
        <f t="shared" si="1114"/>
        <v>COM</v>
      </c>
      <c r="G6127" t="str">
        <f>"WELLINGTON DOS SANTOS ALVES (438)"</f>
        <v>WELLINGTON DOS SANTOS ALVES (438)</v>
      </c>
      <c r="H6127" t="s">
        <v>578</v>
      </c>
      <c r="I6127" t="str">
        <f t="shared" si="1115"/>
        <v>15/10/2025</v>
      </c>
      <c r="J6127" t="str">
        <f>("30/09/2025")</f>
        <v>30/09/2025</v>
      </c>
      <c r="K6127">
        <v>45945</v>
      </c>
      <c r="N6127">
        <v>120</v>
      </c>
      <c r="O6127" t="s">
        <v>306</v>
      </c>
      <c r="Q6127">
        <v>53.98</v>
      </c>
      <c r="R6127" t="str">
        <f>"FARMÁCIA INDIANA LJ 121 (10054)"</f>
        <v>FARMÁCIA INDIANA LJ 121 (10054)</v>
      </c>
      <c r="S6127" t="s">
        <v>22</v>
      </c>
      <c r="T6127">
        <v>22503</v>
      </c>
      <c r="U6127">
        <v>23809</v>
      </c>
      <c r="V6127" t="s">
        <v>22</v>
      </c>
    </row>
    <row r="6128" spans="1:22">
      <c r="A6128" t="str">
        <f t="shared" si="1103"/>
        <v>15/10/2025</v>
      </c>
      <c r="B6128" t="str">
        <f t="shared" si="1112"/>
        <v>SAÍDA</v>
      </c>
      <c r="C6128" t="str">
        <f t="shared" si="1113"/>
        <v>PIX</v>
      </c>
      <c r="D6128" t="str">
        <f>"1510"</f>
        <v>1510</v>
      </c>
      <c r="E6128" t="str">
        <f>"25"</f>
        <v>25</v>
      </c>
      <c r="F6128" t="str">
        <f t="shared" si="1114"/>
        <v>COM</v>
      </c>
      <c r="G6128" t="str">
        <f>"WELLINGTON DOS SANTOS ALVES (438)"</f>
        <v>WELLINGTON DOS SANTOS ALVES (438)</v>
      </c>
      <c r="H6128" t="s">
        <v>578</v>
      </c>
      <c r="I6128" t="str">
        <f t="shared" si="1115"/>
        <v>15/10/2025</v>
      </c>
      <c r="J6128" t="str">
        <f>("30/09/2025")</f>
        <v>30/09/2025</v>
      </c>
      <c r="K6128">
        <v>45945</v>
      </c>
      <c r="N6128">
        <v>120</v>
      </c>
      <c r="O6128" t="s">
        <v>306</v>
      </c>
      <c r="Q6128">
        <v>53.95</v>
      </c>
      <c r="R6128" t="str">
        <f>"FARMÁCIA INDIANA LJ 128 (10057)"</f>
        <v>FARMÁCIA INDIANA LJ 128 (10057)</v>
      </c>
      <c r="S6128" t="s">
        <v>22</v>
      </c>
      <c r="T6128">
        <v>22503</v>
      </c>
      <c r="U6128">
        <v>23809</v>
      </c>
      <c r="V6128" t="s">
        <v>22</v>
      </c>
    </row>
    <row r="6129" spans="1:22">
      <c r="A6129" t="str">
        <f t="shared" si="1103"/>
        <v>15/10/2025</v>
      </c>
      <c r="B6129" t="str">
        <f t="shared" ref="B6129:B6160" si="1116">"ENTRADA"</f>
        <v>ENTRADA</v>
      </c>
      <c r="C6129" t="str">
        <f t="shared" ref="C6129:C6160" si="1117">"NFSE"</f>
        <v>NFSE</v>
      </c>
      <c r="D6129" t="str">
        <f t="shared" ref="D6129:D6141" si="1118">"3463"</f>
        <v>3463</v>
      </c>
      <c r="E6129" t="str">
        <f t="shared" ref="E6129:E6160" si="1119">"1"</f>
        <v>1</v>
      </c>
      <c r="F6129" t="str">
        <f t="shared" si="1114"/>
        <v>COM</v>
      </c>
      <c r="G6129" t="str">
        <f t="shared" ref="G6129:G6141" si="1120">"FARMÁCIA INDIANA LJ 30 (10127)"</f>
        <v>FARMÁCIA INDIANA LJ 30 (10127)</v>
      </c>
      <c r="H6129" t="str">
        <f>"Serv.Prest. 26/09/2025 a 05/10/2025 - RPS: 1339 - NFSe: 3463"</f>
        <v>Serv.Prest. 26/09/2025 a 05/10/2025 - RPS: 1339 - NFSe: 3463</v>
      </c>
      <c r="I6129" t="str">
        <f t="shared" si="1115"/>
        <v>15/10/2025</v>
      </c>
      <c r="J6129" t="str">
        <f t="shared" ref="J6129:J6160" si="1121">("07/10/2025")</f>
        <v>07/10/2025</v>
      </c>
      <c r="K6129" t="str">
        <f>("15/10/2025")</f>
        <v>15/10/2025</v>
      </c>
      <c r="L6129">
        <v>31609.439999999999</v>
      </c>
      <c r="M6129">
        <v>31609.439999999999</v>
      </c>
      <c r="N6129">
        <v>303</v>
      </c>
      <c r="O6129" t="str">
        <f>"RECEITAS COM ENTREGAS"</f>
        <v>RECEITAS COM ENTREGAS</v>
      </c>
      <c r="P6129">
        <v>31609.439999999999</v>
      </c>
      <c r="S6129" t="str">
        <f>"RECEITAS COM ENTREGAS (303)"</f>
        <v>RECEITAS COM ENTREGAS (303)</v>
      </c>
      <c r="T6129">
        <v>23427</v>
      </c>
      <c r="U6129">
        <v>22886</v>
      </c>
      <c r="V6129" t="s">
        <v>77</v>
      </c>
    </row>
    <row r="6130" spans="1:22">
      <c r="A6130" t="str">
        <f t="shared" si="1103"/>
        <v>15/10/2025</v>
      </c>
      <c r="B6130" t="str">
        <f t="shared" si="1116"/>
        <v>ENTRADA</v>
      </c>
      <c r="C6130" t="str">
        <f t="shared" si="1117"/>
        <v>NFSE</v>
      </c>
      <c r="D6130" t="str">
        <f t="shared" si="1118"/>
        <v>3463</v>
      </c>
      <c r="E6130" t="str">
        <f t="shared" si="1119"/>
        <v>1</v>
      </c>
      <c r="F6130" t="str">
        <f t="shared" si="1114"/>
        <v>COM</v>
      </c>
      <c r="G6130" t="str">
        <f t="shared" si="1120"/>
        <v>FARMÁCIA INDIANA LJ 30 (10127)</v>
      </c>
      <c r="H6130" t="s">
        <v>1648</v>
      </c>
      <c r="I6130" t="str">
        <f t="shared" si="1115"/>
        <v>15/10/2025</v>
      </c>
      <c r="J6130" t="str">
        <f t="shared" si="1121"/>
        <v>07/10/2025</v>
      </c>
      <c r="K6130">
        <v>45945</v>
      </c>
      <c r="N6130">
        <v>303</v>
      </c>
      <c r="O6130" t="s">
        <v>69</v>
      </c>
      <c r="Q6130">
        <v>3657.2</v>
      </c>
      <c r="R6130" t="str">
        <f>"FARMÁCIA INDIANA LJ 34 (10014)"</f>
        <v>FARMÁCIA INDIANA LJ 34 (10014)</v>
      </c>
      <c r="S6130" t="s">
        <v>70</v>
      </c>
      <c r="T6130">
        <v>23427</v>
      </c>
      <c r="U6130">
        <v>22886</v>
      </c>
      <c r="V6130" t="s">
        <v>77</v>
      </c>
    </row>
    <row r="6131" spans="1:22">
      <c r="A6131" t="str">
        <f t="shared" si="1103"/>
        <v>15/10/2025</v>
      </c>
      <c r="B6131" t="str">
        <f t="shared" si="1116"/>
        <v>ENTRADA</v>
      </c>
      <c r="C6131" t="str">
        <f t="shared" si="1117"/>
        <v>NFSE</v>
      </c>
      <c r="D6131" t="str">
        <f t="shared" si="1118"/>
        <v>3463</v>
      </c>
      <c r="E6131" t="str">
        <f t="shared" si="1119"/>
        <v>1</v>
      </c>
      <c r="F6131" t="str">
        <f t="shared" si="1114"/>
        <v>COM</v>
      </c>
      <c r="G6131" t="str">
        <f t="shared" si="1120"/>
        <v>FARMÁCIA INDIANA LJ 30 (10127)</v>
      </c>
      <c r="H6131" t="s">
        <v>1648</v>
      </c>
      <c r="I6131" t="str">
        <f t="shared" si="1115"/>
        <v>15/10/2025</v>
      </c>
      <c r="J6131" t="str">
        <f t="shared" si="1121"/>
        <v>07/10/2025</v>
      </c>
      <c r="K6131">
        <v>45945</v>
      </c>
      <c r="N6131">
        <v>303</v>
      </c>
      <c r="O6131" t="s">
        <v>69</v>
      </c>
      <c r="Q6131">
        <v>1428.75</v>
      </c>
      <c r="R6131" t="str">
        <f>"FARMÁCIA INDIANA LJ 35 (10015)"</f>
        <v>FARMÁCIA INDIANA LJ 35 (10015)</v>
      </c>
      <c r="S6131" t="s">
        <v>70</v>
      </c>
      <c r="T6131">
        <v>23427</v>
      </c>
      <c r="U6131">
        <v>22886</v>
      </c>
      <c r="V6131" t="s">
        <v>77</v>
      </c>
    </row>
    <row r="6132" spans="1:22">
      <c r="A6132" t="str">
        <f t="shared" si="1103"/>
        <v>15/10/2025</v>
      </c>
      <c r="B6132" t="str">
        <f t="shared" si="1116"/>
        <v>ENTRADA</v>
      </c>
      <c r="C6132" t="str">
        <f t="shared" si="1117"/>
        <v>NFSE</v>
      </c>
      <c r="D6132" t="str">
        <f t="shared" si="1118"/>
        <v>3463</v>
      </c>
      <c r="E6132" t="str">
        <f t="shared" si="1119"/>
        <v>1</v>
      </c>
      <c r="F6132" t="str">
        <f t="shared" si="1114"/>
        <v>COM</v>
      </c>
      <c r="G6132" t="str">
        <f t="shared" si="1120"/>
        <v>FARMÁCIA INDIANA LJ 30 (10127)</v>
      </c>
      <c r="H6132" t="s">
        <v>1648</v>
      </c>
      <c r="I6132" t="str">
        <f t="shared" si="1115"/>
        <v>15/10/2025</v>
      </c>
      <c r="J6132" t="str">
        <f t="shared" si="1121"/>
        <v>07/10/2025</v>
      </c>
      <c r="K6132">
        <v>45945</v>
      </c>
      <c r="N6132">
        <v>303</v>
      </c>
      <c r="O6132" t="s">
        <v>69</v>
      </c>
      <c r="Q6132">
        <v>3578.19</v>
      </c>
      <c r="R6132" t="str">
        <f>"FARMÁCIA INDIANA LJ 48 (10018)"</f>
        <v>FARMÁCIA INDIANA LJ 48 (10018)</v>
      </c>
      <c r="S6132" t="s">
        <v>70</v>
      </c>
      <c r="T6132">
        <v>23427</v>
      </c>
      <c r="U6132">
        <v>22886</v>
      </c>
      <c r="V6132" t="s">
        <v>77</v>
      </c>
    </row>
    <row r="6133" spans="1:22">
      <c r="A6133" t="str">
        <f t="shared" si="1103"/>
        <v>15/10/2025</v>
      </c>
      <c r="B6133" t="str">
        <f t="shared" si="1116"/>
        <v>ENTRADA</v>
      </c>
      <c r="C6133" t="str">
        <f t="shared" si="1117"/>
        <v>NFSE</v>
      </c>
      <c r="D6133" t="str">
        <f t="shared" si="1118"/>
        <v>3463</v>
      </c>
      <c r="E6133" t="str">
        <f t="shared" si="1119"/>
        <v>1</v>
      </c>
      <c r="F6133" t="str">
        <f t="shared" si="1114"/>
        <v>COM</v>
      </c>
      <c r="G6133" t="str">
        <f t="shared" si="1120"/>
        <v>FARMÁCIA INDIANA LJ 30 (10127)</v>
      </c>
      <c r="H6133" t="s">
        <v>1648</v>
      </c>
      <c r="I6133" t="str">
        <f t="shared" si="1115"/>
        <v>15/10/2025</v>
      </c>
      <c r="J6133" t="str">
        <f t="shared" si="1121"/>
        <v>07/10/2025</v>
      </c>
      <c r="K6133">
        <v>45945</v>
      </c>
      <c r="N6133">
        <v>303</v>
      </c>
      <c r="O6133" t="s">
        <v>69</v>
      </c>
      <c r="Q6133">
        <v>3138.82</v>
      </c>
      <c r="R6133" t="str">
        <f>"FARMÁCIA INDIANA LJ 65 (10030)"</f>
        <v>FARMÁCIA INDIANA LJ 65 (10030)</v>
      </c>
      <c r="S6133" t="s">
        <v>70</v>
      </c>
      <c r="T6133">
        <v>23427</v>
      </c>
      <c r="U6133">
        <v>22886</v>
      </c>
      <c r="V6133" t="s">
        <v>77</v>
      </c>
    </row>
    <row r="6134" spans="1:22">
      <c r="A6134" t="str">
        <f t="shared" si="1103"/>
        <v>15/10/2025</v>
      </c>
      <c r="B6134" t="str">
        <f t="shared" si="1116"/>
        <v>ENTRADA</v>
      </c>
      <c r="C6134" t="str">
        <f t="shared" si="1117"/>
        <v>NFSE</v>
      </c>
      <c r="D6134" t="str">
        <f t="shared" si="1118"/>
        <v>3463</v>
      </c>
      <c r="E6134" t="str">
        <f t="shared" si="1119"/>
        <v>1</v>
      </c>
      <c r="F6134" t="str">
        <f t="shared" si="1114"/>
        <v>COM</v>
      </c>
      <c r="G6134" t="str">
        <f t="shared" si="1120"/>
        <v>FARMÁCIA INDIANA LJ 30 (10127)</v>
      </c>
      <c r="H6134" t="s">
        <v>1648</v>
      </c>
      <c r="I6134" t="str">
        <f t="shared" si="1115"/>
        <v>15/10/2025</v>
      </c>
      <c r="J6134" t="str">
        <f t="shared" si="1121"/>
        <v>07/10/2025</v>
      </c>
      <c r="K6134">
        <v>45945</v>
      </c>
      <c r="N6134">
        <v>303</v>
      </c>
      <c r="O6134" t="s">
        <v>69</v>
      </c>
      <c r="Q6134">
        <v>727.02</v>
      </c>
      <c r="R6134" t="str">
        <f>"FARMÁCIA INDIANA LJ 77 (10034)"</f>
        <v>FARMÁCIA INDIANA LJ 77 (10034)</v>
      </c>
      <c r="S6134" t="s">
        <v>70</v>
      </c>
      <c r="T6134">
        <v>23427</v>
      </c>
      <c r="U6134">
        <v>22886</v>
      </c>
      <c r="V6134" t="s">
        <v>77</v>
      </c>
    </row>
    <row r="6135" spans="1:22">
      <c r="A6135" t="str">
        <f t="shared" si="1103"/>
        <v>15/10/2025</v>
      </c>
      <c r="B6135" t="str">
        <f t="shared" si="1116"/>
        <v>ENTRADA</v>
      </c>
      <c r="C6135" t="str">
        <f t="shared" si="1117"/>
        <v>NFSE</v>
      </c>
      <c r="D6135" t="str">
        <f t="shared" si="1118"/>
        <v>3463</v>
      </c>
      <c r="E6135" t="str">
        <f t="shared" si="1119"/>
        <v>1</v>
      </c>
      <c r="F6135" t="str">
        <f t="shared" si="1114"/>
        <v>COM</v>
      </c>
      <c r="G6135" t="str">
        <f t="shared" si="1120"/>
        <v>FARMÁCIA INDIANA LJ 30 (10127)</v>
      </c>
      <c r="H6135" t="s">
        <v>1648</v>
      </c>
      <c r="I6135" t="str">
        <f t="shared" si="1115"/>
        <v>15/10/2025</v>
      </c>
      <c r="J6135" t="str">
        <f t="shared" si="1121"/>
        <v>07/10/2025</v>
      </c>
      <c r="K6135">
        <v>45945</v>
      </c>
      <c r="N6135">
        <v>303</v>
      </c>
      <c r="O6135" t="s">
        <v>69</v>
      </c>
      <c r="Q6135">
        <v>9065.59</v>
      </c>
      <c r="R6135" t="str">
        <f>"FARMÁCIA INDIANA LJ 91 (10037)"</f>
        <v>FARMÁCIA INDIANA LJ 91 (10037)</v>
      </c>
      <c r="S6135" t="s">
        <v>70</v>
      </c>
      <c r="T6135">
        <v>23427</v>
      </c>
      <c r="U6135">
        <v>22886</v>
      </c>
      <c r="V6135" t="s">
        <v>77</v>
      </c>
    </row>
    <row r="6136" spans="1:22">
      <c r="A6136" t="str">
        <f t="shared" si="1103"/>
        <v>15/10/2025</v>
      </c>
      <c r="B6136" t="str">
        <f t="shared" si="1116"/>
        <v>ENTRADA</v>
      </c>
      <c r="C6136" t="str">
        <f t="shared" si="1117"/>
        <v>NFSE</v>
      </c>
      <c r="D6136" t="str">
        <f t="shared" si="1118"/>
        <v>3463</v>
      </c>
      <c r="E6136" t="str">
        <f t="shared" si="1119"/>
        <v>1</v>
      </c>
      <c r="F6136" t="str">
        <f t="shared" si="1114"/>
        <v>COM</v>
      </c>
      <c r="G6136" t="str">
        <f t="shared" si="1120"/>
        <v>FARMÁCIA INDIANA LJ 30 (10127)</v>
      </c>
      <c r="H6136" t="s">
        <v>1648</v>
      </c>
      <c r="I6136" t="str">
        <f t="shared" si="1115"/>
        <v>15/10/2025</v>
      </c>
      <c r="J6136" t="str">
        <f t="shared" si="1121"/>
        <v>07/10/2025</v>
      </c>
      <c r="K6136">
        <v>45945</v>
      </c>
      <c r="N6136">
        <v>303</v>
      </c>
      <c r="O6136" t="s">
        <v>69</v>
      </c>
      <c r="Q6136">
        <v>2038.81</v>
      </c>
      <c r="R6136" t="str">
        <f>"FARMÁCIA INDIANA LJ 95 (10039)"</f>
        <v>FARMÁCIA INDIANA LJ 95 (10039)</v>
      </c>
      <c r="S6136" t="s">
        <v>70</v>
      </c>
      <c r="T6136">
        <v>23427</v>
      </c>
      <c r="U6136">
        <v>22886</v>
      </c>
      <c r="V6136" t="s">
        <v>77</v>
      </c>
    </row>
    <row r="6137" spans="1:22">
      <c r="A6137" t="str">
        <f t="shared" si="1103"/>
        <v>15/10/2025</v>
      </c>
      <c r="B6137" t="str">
        <f t="shared" si="1116"/>
        <v>ENTRADA</v>
      </c>
      <c r="C6137" t="str">
        <f t="shared" si="1117"/>
        <v>NFSE</v>
      </c>
      <c r="D6137" t="str">
        <f t="shared" si="1118"/>
        <v>3463</v>
      </c>
      <c r="E6137" t="str">
        <f t="shared" si="1119"/>
        <v>1</v>
      </c>
      <c r="F6137" t="str">
        <f t="shared" si="1114"/>
        <v>COM</v>
      </c>
      <c r="G6137" t="str">
        <f t="shared" si="1120"/>
        <v>FARMÁCIA INDIANA LJ 30 (10127)</v>
      </c>
      <c r="H6137" t="s">
        <v>1648</v>
      </c>
      <c r="I6137" t="str">
        <f t="shared" si="1115"/>
        <v>15/10/2025</v>
      </c>
      <c r="J6137" t="str">
        <f t="shared" si="1121"/>
        <v>07/10/2025</v>
      </c>
      <c r="K6137">
        <v>45945</v>
      </c>
      <c r="N6137">
        <v>303</v>
      </c>
      <c r="O6137" t="s">
        <v>69</v>
      </c>
      <c r="Q6137">
        <v>2528.7600000000002</v>
      </c>
      <c r="R6137" t="str">
        <f>"FARMÁCIA INDIANA LJ 145 (10068)"</f>
        <v>FARMÁCIA INDIANA LJ 145 (10068)</v>
      </c>
      <c r="S6137" t="s">
        <v>70</v>
      </c>
      <c r="T6137">
        <v>23427</v>
      </c>
      <c r="U6137">
        <v>22886</v>
      </c>
      <c r="V6137" t="s">
        <v>77</v>
      </c>
    </row>
    <row r="6138" spans="1:22">
      <c r="A6138" t="str">
        <f t="shared" si="1103"/>
        <v>15/10/2025</v>
      </c>
      <c r="B6138" t="str">
        <f t="shared" si="1116"/>
        <v>ENTRADA</v>
      </c>
      <c r="C6138" t="str">
        <f t="shared" si="1117"/>
        <v>NFSE</v>
      </c>
      <c r="D6138" t="str">
        <f t="shared" si="1118"/>
        <v>3463</v>
      </c>
      <c r="E6138" t="str">
        <f t="shared" si="1119"/>
        <v>1</v>
      </c>
      <c r="F6138" t="str">
        <f t="shared" si="1114"/>
        <v>COM</v>
      </c>
      <c r="G6138" t="str">
        <f t="shared" si="1120"/>
        <v>FARMÁCIA INDIANA LJ 30 (10127)</v>
      </c>
      <c r="H6138" t="s">
        <v>1648</v>
      </c>
      <c r="I6138" t="str">
        <f t="shared" si="1115"/>
        <v>15/10/2025</v>
      </c>
      <c r="J6138" t="str">
        <f t="shared" si="1121"/>
        <v>07/10/2025</v>
      </c>
      <c r="K6138">
        <v>45945</v>
      </c>
      <c r="N6138">
        <v>303</v>
      </c>
      <c r="O6138" t="s">
        <v>69</v>
      </c>
      <c r="Q6138">
        <v>1672.14</v>
      </c>
      <c r="R6138" t="str">
        <f>"FARMÁCIA INDIANA LJ 169 (10073)"</f>
        <v>FARMÁCIA INDIANA LJ 169 (10073)</v>
      </c>
      <c r="S6138" t="s">
        <v>70</v>
      </c>
      <c r="T6138">
        <v>23427</v>
      </c>
      <c r="U6138">
        <v>22886</v>
      </c>
      <c r="V6138" t="s">
        <v>77</v>
      </c>
    </row>
    <row r="6139" spans="1:22">
      <c r="A6139" t="str">
        <f t="shared" si="1103"/>
        <v>15/10/2025</v>
      </c>
      <c r="B6139" t="str">
        <f t="shared" si="1116"/>
        <v>ENTRADA</v>
      </c>
      <c r="C6139" t="str">
        <f t="shared" si="1117"/>
        <v>NFSE</v>
      </c>
      <c r="D6139" t="str">
        <f t="shared" si="1118"/>
        <v>3463</v>
      </c>
      <c r="E6139" t="str">
        <f t="shared" si="1119"/>
        <v>1</v>
      </c>
      <c r="F6139" t="str">
        <f t="shared" si="1114"/>
        <v>COM</v>
      </c>
      <c r="G6139" t="str">
        <f t="shared" si="1120"/>
        <v>FARMÁCIA INDIANA LJ 30 (10127)</v>
      </c>
      <c r="H6139" t="s">
        <v>1648</v>
      </c>
      <c r="I6139" t="str">
        <f t="shared" si="1115"/>
        <v>15/10/2025</v>
      </c>
      <c r="J6139" t="str">
        <f t="shared" si="1121"/>
        <v>07/10/2025</v>
      </c>
      <c r="K6139">
        <v>45945</v>
      </c>
      <c r="N6139">
        <v>303</v>
      </c>
      <c r="O6139" t="s">
        <v>69</v>
      </c>
      <c r="Q6139">
        <v>1570.99</v>
      </c>
      <c r="R6139" t="str">
        <f>"FARMÁCIA INDIANA LJ 173 (10075)"</f>
        <v>FARMÁCIA INDIANA LJ 173 (10075)</v>
      </c>
      <c r="S6139" t="s">
        <v>70</v>
      </c>
      <c r="T6139">
        <v>23427</v>
      </c>
      <c r="U6139">
        <v>22886</v>
      </c>
      <c r="V6139" t="s">
        <v>77</v>
      </c>
    </row>
    <row r="6140" spans="1:22">
      <c r="A6140" t="str">
        <f t="shared" si="1103"/>
        <v>15/10/2025</v>
      </c>
      <c r="B6140" t="str">
        <f t="shared" si="1116"/>
        <v>ENTRADA</v>
      </c>
      <c r="C6140" t="str">
        <f t="shared" si="1117"/>
        <v>NFSE</v>
      </c>
      <c r="D6140" t="str">
        <f t="shared" si="1118"/>
        <v>3463</v>
      </c>
      <c r="E6140" t="str">
        <f t="shared" si="1119"/>
        <v>1</v>
      </c>
      <c r="F6140" t="str">
        <f t="shared" si="1114"/>
        <v>COM</v>
      </c>
      <c r="G6140" t="str">
        <f t="shared" si="1120"/>
        <v>FARMÁCIA INDIANA LJ 30 (10127)</v>
      </c>
      <c r="H6140" t="s">
        <v>1648</v>
      </c>
      <c r="I6140" t="str">
        <f t="shared" si="1115"/>
        <v>15/10/2025</v>
      </c>
      <c r="J6140" t="str">
        <f t="shared" si="1121"/>
        <v>07/10/2025</v>
      </c>
      <c r="K6140">
        <v>45945</v>
      </c>
      <c r="N6140">
        <v>303</v>
      </c>
      <c r="O6140" t="s">
        <v>69</v>
      </c>
      <c r="Q6140">
        <v>1153.74</v>
      </c>
      <c r="R6140" t="str">
        <f>"FARMÁCIA INDIANA LJ 200 (10155)"</f>
        <v>FARMÁCIA INDIANA LJ 200 (10155)</v>
      </c>
      <c r="S6140" t="s">
        <v>70</v>
      </c>
      <c r="T6140">
        <v>23427</v>
      </c>
      <c r="U6140">
        <v>22886</v>
      </c>
      <c r="V6140" t="s">
        <v>77</v>
      </c>
    </row>
    <row r="6141" spans="1:22">
      <c r="A6141" t="str">
        <f t="shared" si="1103"/>
        <v>15/10/2025</v>
      </c>
      <c r="B6141" t="str">
        <f t="shared" si="1116"/>
        <v>ENTRADA</v>
      </c>
      <c r="C6141" t="str">
        <f t="shared" si="1117"/>
        <v>NFSE</v>
      </c>
      <c r="D6141" t="str">
        <f t="shared" si="1118"/>
        <v>3463</v>
      </c>
      <c r="E6141" t="str">
        <f t="shared" si="1119"/>
        <v>1</v>
      </c>
      <c r="F6141" t="str">
        <f t="shared" si="1114"/>
        <v>COM</v>
      </c>
      <c r="G6141" t="str">
        <f t="shared" si="1120"/>
        <v>FARMÁCIA INDIANA LJ 30 (10127)</v>
      </c>
      <c r="H6141" t="s">
        <v>1648</v>
      </c>
      <c r="I6141" t="str">
        <f t="shared" si="1115"/>
        <v>15/10/2025</v>
      </c>
      <c r="J6141" t="str">
        <f t="shared" si="1121"/>
        <v>07/10/2025</v>
      </c>
      <c r="K6141">
        <v>45945</v>
      </c>
      <c r="N6141">
        <v>303</v>
      </c>
      <c r="O6141" t="s">
        <v>69</v>
      </c>
      <c r="Q6141">
        <v>1049.43</v>
      </c>
      <c r="R6141" t="str">
        <f>"FARMÁCIA INDIANA LJ 33 (10187)"</f>
        <v>FARMÁCIA INDIANA LJ 33 (10187)</v>
      </c>
      <c r="S6141" t="s">
        <v>70</v>
      </c>
      <c r="T6141">
        <v>23427</v>
      </c>
      <c r="U6141">
        <v>22886</v>
      </c>
      <c r="V6141" t="s">
        <v>77</v>
      </c>
    </row>
    <row r="6142" spans="1:22">
      <c r="A6142" t="str">
        <f t="shared" si="1103"/>
        <v>15/10/2025</v>
      </c>
      <c r="B6142" t="str">
        <f t="shared" si="1116"/>
        <v>ENTRADA</v>
      </c>
      <c r="C6142" t="str">
        <f t="shared" si="1117"/>
        <v>NFSE</v>
      </c>
      <c r="D6142" t="str">
        <f t="shared" ref="D6142:D6189" si="1122">"3464"</f>
        <v>3464</v>
      </c>
      <c r="E6142" t="str">
        <f t="shared" si="1119"/>
        <v>1</v>
      </c>
      <c r="F6142" t="str">
        <f t="shared" si="1114"/>
        <v>COM</v>
      </c>
      <c r="G6142" t="str">
        <f t="shared" ref="G6142:G6189" si="1123">"FARMÁCIA INDIANA LJ 1 (10126)"</f>
        <v>FARMÁCIA INDIANA LJ 1 (10126)</v>
      </c>
      <c r="H6142" t="str">
        <f>"Serv.Prest. 26/09/2025 a 05/10/2025 - RPS: 1340 - NFSe: 3464"</f>
        <v>Serv.Prest. 26/09/2025 a 05/10/2025 - RPS: 1340 - NFSe: 3464</v>
      </c>
      <c r="I6142" t="str">
        <f t="shared" si="1115"/>
        <v>15/10/2025</v>
      </c>
      <c r="J6142" t="str">
        <f t="shared" si="1121"/>
        <v>07/10/2025</v>
      </c>
      <c r="K6142" t="str">
        <f>("15/10/2025")</f>
        <v>15/10/2025</v>
      </c>
      <c r="L6142">
        <v>155038.29999999999</v>
      </c>
      <c r="M6142">
        <v>155038.29999999999</v>
      </c>
      <c r="N6142">
        <v>303</v>
      </c>
      <c r="O6142" t="str">
        <f>"RECEITAS COM ENTREGAS"</f>
        <v>RECEITAS COM ENTREGAS</v>
      </c>
      <c r="P6142">
        <v>155038.29999999999</v>
      </c>
      <c r="S6142" t="str">
        <f>"RECEITAS COM ENTREGAS (303)"</f>
        <v>RECEITAS COM ENTREGAS (303)</v>
      </c>
      <c r="T6142">
        <v>23428</v>
      </c>
      <c r="U6142">
        <v>22914</v>
      </c>
      <c r="V6142" t="s">
        <v>77</v>
      </c>
    </row>
    <row r="6143" spans="1:22">
      <c r="A6143" t="str">
        <f t="shared" si="1103"/>
        <v>15/10/2025</v>
      </c>
      <c r="B6143" t="str">
        <f t="shared" si="1116"/>
        <v>ENTRADA</v>
      </c>
      <c r="C6143" t="str">
        <f t="shared" si="1117"/>
        <v>NFSE</v>
      </c>
      <c r="D6143" t="str">
        <f t="shared" si="1122"/>
        <v>3464</v>
      </c>
      <c r="E6143" t="str">
        <f t="shared" si="1119"/>
        <v>1</v>
      </c>
      <c r="F6143" t="str">
        <f t="shared" si="1114"/>
        <v>COM</v>
      </c>
      <c r="G6143" t="str">
        <f t="shared" si="1123"/>
        <v>FARMÁCIA INDIANA LJ 1 (10126)</v>
      </c>
      <c r="H6143" t="s">
        <v>1649</v>
      </c>
      <c r="I6143" t="str">
        <f t="shared" si="1115"/>
        <v>15/10/2025</v>
      </c>
      <c r="J6143" t="str">
        <f t="shared" si="1121"/>
        <v>07/10/2025</v>
      </c>
      <c r="K6143">
        <v>45945</v>
      </c>
      <c r="N6143">
        <v>303</v>
      </c>
      <c r="O6143" t="s">
        <v>69</v>
      </c>
      <c r="Q6143">
        <v>25317.73</v>
      </c>
      <c r="R6143" t="str">
        <f>"FARMÁCIA INDIANA LJ 06 (10006)"</f>
        <v>FARMÁCIA INDIANA LJ 06 (10006)</v>
      </c>
      <c r="S6143" t="s">
        <v>70</v>
      </c>
      <c r="T6143">
        <v>23428</v>
      </c>
      <c r="U6143">
        <v>22914</v>
      </c>
      <c r="V6143" t="s">
        <v>77</v>
      </c>
    </row>
    <row r="6144" spans="1:22">
      <c r="A6144" t="str">
        <f t="shared" si="1103"/>
        <v>15/10/2025</v>
      </c>
      <c r="B6144" t="str">
        <f t="shared" si="1116"/>
        <v>ENTRADA</v>
      </c>
      <c r="C6144" t="str">
        <f t="shared" si="1117"/>
        <v>NFSE</v>
      </c>
      <c r="D6144" t="str">
        <f t="shared" si="1122"/>
        <v>3464</v>
      </c>
      <c r="E6144" t="str">
        <f t="shared" si="1119"/>
        <v>1</v>
      </c>
      <c r="F6144" t="str">
        <f t="shared" si="1114"/>
        <v>COM</v>
      </c>
      <c r="G6144" t="str">
        <f t="shared" si="1123"/>
        <v>FARMÁCIA INDIANA LJ 1 (10126)</v>
      </c>
      <c r="H6144" t="s">
        <v>1649</v>
      </c>
      <c r="I6144" t="str">
        <f t="shared" si="1115"/>
        <v>15/10/2025</v>
      </c>
      <c r="J6144" t="str">
        <f t="shared" si="1121"/>
        <v>07/10/2025</v>
      </c>
      <c r="K6144">
        <v>45945</v>
      </c>
      <c r="N6144">
        <v>303</v>
      </c>
      <c r="O6144" t="s">
        <v>69</v>
      </c>
      <c r="Q6144">
        <v>18015.45</v>
      </c>
      <c r="R6144" t="str">
        <f>"FARMÁCIA INDIANA LJ 07 (10007)"</f>
        <v>FARMÁCIA INDIANA LJ 07 (10007)</v>
      </c>
      <c r="S6144" t="s">
        <v>70</v>
      </c>
      <c r="T6144">
        <v>23428</v>
      </c>
      <c r="U6144">
        <v>22914</v>
      </c>
      <c r="V6144" t="s">
        <v>77</v>
      </c>
    </row>
    <row r="6145" spans="1:22">
      <c r="A6145" t="str">
        <f t="shared" si="1103"/>
        <v>15/10/2025</v>
      </c>
      <c r="B6145" t="str">
        <f t="shared" si="1116"/>
        <v>ENTRADA</v>
      </c>
      <c r="C6145" t="str">
        <f t="shared" si="1117"/>
        <v>NFSE</v>
      </c>
      <c r="D6145" t="str">
        <f t="shared" si="1122"/>
        <v>3464</v>
      </c>
      <c r="E6145" t="str">
        <f t="shared" si="1119"/>
        <v>1</v>
      </c>
      <c r="F6145" t="str">
        <f t="shared" si="1114"/>
        <v>COM</v>
      </c>
      <c r="G6145" t="str">
        <f t="shared" si="1123"/>
        <v>FARMÁCIA INDIANA LJ 1 (10126)</v>
      </c>
      <c r="H6145" t="s">
        <v>1649</v>
      </c>
      <c r="I6145" t="str">
        <f t="shared" si="1115"/>
        <v>15/10/2025</v>
      </c>
      <c r="J6145" t="str">
        <f t="shared" si="1121"/>
        <v>07/10/2025</v>
      </c>
      <c r="K6145">
        <v>45945</v>
      </c>
      <c r="N6145">
        <v>303</v>
      </c>
      <c r="O6145" t="s">
        <v>69</v>
      </c>
      <c r="Q6145">
        <v>12170.51</v>
      </c>
      <c r="R6145" t="str">
        <f>"FARMÁCIA INDIANA LJ 11 (10008)"</f>
        <v>FARMÁCIA INDIANA LJ 11 (10008)</v>
      </c>
      <c r="S6145" t="s">
        <v>70</v>
      </c>
      <c r="T6145">
        <v>23428</v>
      </c>
      <c r="U6145">
        <v>22914</v>
      </c>
      <c r="V6145" t="s">
        <v>77</v>
      </c>
    </row>
    <row r="6146" spans="1:22">
      <c r="A6146" t="str">
        <f t="shared" si="1103"/>
        <v>15/10/2025</v>
      </c>
      <c r="B6146" t="str">
        <f t="shared" si="1116"/>
        <v>ENTRADA</v>
      </c>
      <c r="C6146" t="str">
        <f t="shared" si="1117"/>
        <v>NFSE</v>
      </c>
      <c r="D6146" t="str">
        <f t="shared" si="1122"/>
        <v>3464</v>
      </c>
      <c r="E6146" t="str">
        <f t="shared" si="1119"/>
        <v>1</v>
      </c>
      <c r="F6146" t="str">
        <f t="shared" si="1114"/>
        <v>COM</v>
      </c>
      <c r="G6146" t="str">
        <f t="shared" si="1123"/>
        <v>FARMÁCIA INDIANA LJ 1 (10126)</v>
      </c>
      <c r="H6146" t="s">
        <v>1649</v>
      </c>
      <c r="I6146" t="str">
        <f t="shared" si="1115"/>
        <v>15/10/2025</v>
      </c>
      <c r="J6146" t="str">
        <f t="shared" si="1121"/>
        <v>07/10/2025</v>
      </c>
      <c r="K6146">
        <v>45945</v>
      </c>
      <c r="N6146">
        <v>303</v>
      </c>
      <c r="O6146" t="s">
        <v>69</v>
      </c>
      <c r="Q6146">
        <v>6480.6</v>
      </c>
      <c r="R6146" t="str">
        <f>"FARMÁCIA INDIANA LJ 14 (10009)"</f>
        <v>FARMÁCIA INDIANA LJ 14 (10009)</v>
      </c>
      <c r="S6146" t="s">
        <v>70</v>
      </c>
      <c r="T6146">
        <v>23428</v>
      </c>
      <c r="U6146">
        <v>22914</v>
      </c>
      <c r="V6146" t="s">
        <v>77</v>
      </c>
    </row>
    <row r="6147" spans="1:22">
      <c r="A6147" t="str">
        <f t="shared" si="1103"/>
        <v>15/10/2025</v>
      </c>
      <c r="B6147" t="str">
        <f t="shared" si="1116"/>
        <v>ENTRADA</v>
      </c>
      <c r="C6147" t="str">
        <f t="shared" si="1117"/>
        <v>NFSE</v>
      </c>
      <c r="D6147" t="str">
        <f t="shared" si="1122"/>
        <v>3464</v>
      </c>
      <c r="E6147" t="str">
        <f t="shared" si="1119"/>
        <v>1</v>
      </c>
      <c r="F6147" t="str">
        <f t="shared" si="1114"/>
        <v>COM</v>
      </c>
      <c r="G6147" t="str">
        <f t="shared" si="1123"/>
        <v>FARMÁCIA INDIANA LJ 1 (10126)</v>
      </c>
      <c r="H6147" t="s">
        <v>1649</v>
      </c>
      <c r="I6147" t="str">
        <f t="shared" si="1115"/>
        <v>15/10/2025</v>
      </c>
      <c r="J6147" t="str">
        <f t="shared" si="1121"/>
        <v>07/10/2025</v>
      </c>
      <c r="K6147">
        <v>45945</v>
      </c>
      <c r="N6147">
        <v>303</v>
      </c>
      <c r="O6147" t="s">
        <v>69</v>
      </c>
      <c r="Q6147">
        <v>4062</v>
      </c>
      <c r="R6147" t="str">
        <f>"FARMÁCIA INDIANA LJ 18 (10011)"</f>
        <v>FARMÁCIA INDIANA LJ 18 (10011)</v>
      </c>
      <c r="S6147" t="s">
        <v>70</v>
      </c>
      <c r="T6147">
        <v>23428</v>
      </c>
      <c r="U6147">
        <v>22914</v>
      </c>
      <c r="V6147" t="s">
        <v>77</v>
      </c>
    </row>
    <row r="6148" spans="1:22">
      <c r="A6148" t="str">
        <f t="shared" si="1103"/>
        <v>15/10/2025</v>
      </c>
      <c r="B6148" t="str">
        <f t="shared" si="1116"/>
        <v>ENTRADA</v>
      </c>
      <c r="C6148" t="str">
        <f t="shared" si="1117"/>
        <v>NFSE</v>
      </c>
      <c r="D6148" t="str">
        <f t="shared" si="1122"/>
        <v>3464</v>
      </c>
      <c r="E6148" t="str">
        <f t="shared" si="1119"/>
        <v>1</v>
      </c>
      <c r="F6148" t="str">
        <f t="shared" si="1114"/>
        <v>COM</v>
      </c>
      <c r="G6148" t="str">
        <f t="shared" si="1123"/>
        <v>FARMÁCIA INDIANA LJ 1 (10126)</v>
      </c>
      <c r="H6148" t="s">
        <v>1649</v>
      </c>
      <c r="I6148" t="str">
        <f t="shared" si="1115"/>
        <v>15/10/2025</v>
      </c>
      <c r="J6148" t="str">
        <f t="shared" si="1121"/>
        <v>07/10/2025</v>
      </c>
      <c r="K6148">
        <v>45945</v>
      </c>
      <c r="N6148">
        <v>303</v>
      </c>
      <c r="O6148" t="s">
        <v>69</v>
      </c>
      <c r="Q6148">
        <v>4961.2299999999996</v>
      </c>
      <c r="R6148" t="str">
        <f>"FARMÁCIA INDIANA LJ 19 (10012)"</f>
        <v>FARMÁCIA INDIANA LJ 19 (10012)</v>
      </c>
      <c r="S6148" t="s">
        <v>70</v>
      </c>
      <c r="T6148">
        <v>23428</v>
      </c>
      <c r="U6148">
        <v>22914</v>
      </c>
      <c r="V6148" t="s">
        <v>77</v>
      </c>
    </row>
    <row r="6149" spans="1:22">
      <c r="A6149" t="str">
        <f t="shared" si="1103"/>
        <v>15/10/2025</v>
      </c>
      <c r="B6149" t="str">
        <f t="shared" si="1116"/>
        <v>ENTRADA</v>
      </c>
      <c r="C6149" t="str">
        <f t="shared" si="1117"/>
        <v>NFSE</v>
      </c>
      <c r="D6149" t="str">
        <f t="shared" si="1122"/>
        <v>3464</v>
      </c>
      <c r="E6149" t="str">
        <f t="shared" si="1119"/>
        <v>1</v>
      </c>
      <c r="F6149" t="str">
        <f t="shared" si="1114"/>
        <v>COM</v>
      </c>
      <c r="G6149" t="str">
        <f t="shared" si="1123"/>
        <v>FARMÁCIA INDIANA LJ 1 (10126)</v>
      </c>
      <c r="H6149" t="s">
        <v>1649</v>
      </c>
      <c r="I6149" t="str">
        <f t="shared" si="1115"/>
        <v>15/10/2025</v>
      </c>
      <c r="J6149" t="str">
        <f t="shared" si="1121"/>
        <v>07/10/2025</v>
      </c>
      <c r="K6149">
        <v>45945</v>
      </c>
      <c r="N6149">
        <v>303</v>
      </c>
      <c r="O6149" t="s">
        <v>69</v>
      </c>
      <c r="Q6149">
        <v>12310.04</v>
      </c>
      <c r="R6149" t="str">
        <f>"FARMÁCIA INDIANA LJ 40 (10016)"</f>
        <v>FARMÁCIA INDIANA LJ 40 (10016)</v>
      </c>
      <c r="S6149" t="s">
        <v>70</v>
      </c>
      <c r="T6149">
        <v>23428</v>
      </c>
      <c r="U6149">
        <v>22914</v>
      </c>
      <c r="V6149" t="s">
        <v>77</v>
      </c>
    </row>
    <row r="6150" spans="1:22">
      <c r="A6150" t="str">
        <f t="shared" si="1103"/>
        <v>15/10/2025</v>
      </c>
      <c r="B6150" t="str">
        <f t="shared" si="1116"/>
        <v>ENTRADA</v>
      </c>
      <c r="C6150" t="str">
        <f t="shared" si="1117"/>
        <v>NFSE</v>
      </c>
      <c r="D6150" t="str">
        <f t="shared" si="1122"/>
        <v>3464</v>
      </c>
      <c r="E6150" t="str">
        <f t="shared" si="1119"/>
        <v>1</v>
      </c>
      <c r="F6150" t="str">
        <f t="shared" si="1114"/>
        <v>COM</v>
      </c>
      <c r="G6150" t="str">
        <f t="shared" si="1123"/>
        <v>FARMÁCIA INDIANA LJ 1 (10126)</v>
      </c>
      <c r="H6150" t="s">
        <v>1649</v>
      </c>
      <c r="I6150" t="str">
        <f t="shared" si="1115"/>
        <v>15/10/2025</v>
      </c>
      <c r="J6150" t="str">
        <f t="shared" si="1121"/>
        <v>07/10/2025</v>
      </c>
      <c r="K6150">
        <v>45945</v>
      </c>
      <c r="N6150">
        <v>303</v>
      </c>
      <c r="O6150" t="s">
        <v>69</v>
      </c>
      <c r="Q6150">
        <v>2744.18</v>
      </c>
      <c r="R6150" t="str">
        <f>"FARMÁCIA INDIANA LJ 59 (10026)"</f>
        <v>FARMÁCIA INDIANA LJ 59 (10026)</v>
      </c>
      <c r="S6150" t="s">
        <v>70</v>
      </c>
      <c r="T6150">
        <v>23428</v>
      </c>
      <c r="U6150">
        <v>22914</v>
      </c>
      <c r="V6150" t="s">
        <v>77</v>
      </c>
    </row>
    <row r="6151" spans="1:22">
      <c r="A6151" t="str">
        <f t="shared" si="1103"/>
        <v>15/10/2025</v>
      </c>
      <c r="B6151" t="str">
        <f t="shared" si="1116"/>
        <v>ENTRADA</v>
      </c>
      <c r="C6151" t="str">
        <f t="shared" si="1117"/>
        <v>NFSE</v>
      </c>
      <c r="D6151" t="str">
        <f t="shared" si="1122"/>
        <v>3464</v>
      </c>
      <c r="E6151" t="str">
        <f t="shared" si="1119"/>
        <v>1</v>
      </c>
      <c r="F6151" t="str">
        <f t="shared" si="1114"/>
        <v>COM</v>
      </c>
      <c r="G6151" t="str">
        <f t="shared" si="1123"/>
        <v>FARMÁCIA INDIANA LJ 1 (10126)</v>
      </c>
      <c r="H6151" t="s">
        <v>1649</v>
      </c>
      <c r="I6151" t="str">
        <f t="shared" si="1115"/>
        <v>15/10/2025</v>
      </c>
      <c r="J6151" t="str">
        <f t="shared" si="1121"/>
        <v>07/10/2025</v>
      </c>
      <c r="K6151">
        <v>45945</v>
      </c>
      <c r="N6151">
        <v>303</v>
      </c>
      <c r="O6151" t="s">
        <v>69</v>
      </c>
      <c r="Q6151">
        <v>5751.92</v>
      </c>
      <c r="R6151" t="str">
        <f>"FARMÁCIA INDIANA LJ 61 (10027)"</f>
        <v>FARMÁCIA INDIANA LJ 61 (10027)</v>
      </c>
      <c r="S6151" t="s">
        <v>70</v>
      </c>
      <c r="T6151">
        <v>23428</v>
      </c>
      <c r="U6151">
        <v>22914</v>
      </c>
      <c r="V6151" t="s">
        <v>77</v>
      </c>
    </row>
    <row r="6152" spans="1:22">
      <c r="A6152" t="str">
        <f t="shared" si="1103"/>
        <v>15/10/2025</v>
      </c>
      <c r="B6152" t="str">
        <f t="shared" si="1116"/>
        <v>ENTRADA</v>
      </c>
      <c r="C6152" t="str">
        <f t="shared" si="1117"/>
        <v>NFSE</v>
      </c>
      <c r="D6152" t="str">
        <f t="shared" si="1122"/>
        <v>3464</v>
      </c>
      <c r="E6152" t="str">
        <f t="shared" si="1119"/>
        <v>1</v>
      </c>
      <c r="F6152" t="str">
        <f t="shared" si="1114"/>
        <v>COM</v>
      </c>
      <c r="G6152" t="str">
        <f t="shared" si="1123"/>
        <v>FARMÁCIA INDIANA LJ 1 (10126)</v>
      </c>
      <c r="H6152" t="s">
        <v>1649</v>
      </c>
      <c r="I6152" t="str">
        <f t="shared" si="1115"/>
        <v>15/10/2025</v>
      </c>
      <c r="J6152" t="str">
        <f t="shared" si="1121"/>
        <v>07/10/2025</v>
      </c>
      <c r="K6152">
        <v>45945</v>
      </c>
      <c r="N6152">
        <v>303</v>
      </c>
      <c r="O6152" t="s">
        <v>69</v>
      </c>
      <c r="Q6152">
        <v>1612.4</v>
      </c>
      <c r="R6152" t="str">
        <f>"FARMÁCIA INDIANA LJ 62 (10028)"</f>
        <v>FARMÁCIA INDIANA LJ 62 (10028)</v>
      </c>
      <c r="S6152" t="s">
        <v>70</v>
      </c>
      <c r="T6152">
        <v>23428</v>
      </c>
      <c r="U6152">
        <v>22914</v>
      </c>
      <c r="V6152" t="s">
        <v>77</v>
      </c>
    </row>
    <row r="6153" spans="1:22">
      <c r="A6153" t="str">
        <f t="shared" si="1103"/>
        <v>15/10/2025</v>
      </c>
      <c r="B6153" t="str">
        <f t="shared" si="1116"/>
        <v>ENTRADA</v>
      </c>
      <c r="C6153" t="str">
        <f t="shared" si="1117"/>
        <v>NFSE</v>
      </c>
      <c r="D6153" t="str">
        <f t="shared" si="1122"/>
        <v>3464</v>
      </c>
      <c r="E6153" t="str">
        <f t="shared" si="1119"/>
        <v>1</v>
      </c>
      <c r="F6153" t="str">
        <f t="shared" si="1114"/>
        <v>COM</v>
      </c>
      <c r="G6153" t="str">
        <f t="shared" si="1123"/>
        <v>FARMÁCIA INDIANA LJ 1 (10126)</v>
      </c>
      <c r="H6153" t="s">
        <v>1649</v>
      </c>
      <c r="I6153" t="str">
        <f t="shared" si="1115"/>
        <v>15/10/2025</v>
      </c>
      <c r="J6153" t="str">
        <f t="shared" si="1121"/>
        <v>07/10/2025</v>
      </c>
      <c r="K6153">
        <v>45945</v>
      </c>
      <c r="N6153">
        <v>303</v>
      </c>
      <c r="O6153" t="s">
        <v>69</v>
      </c>
      <c r="Q6153">
        <v>604.65</v>
      </c>
      <c r="R6153" t="str">
        <f>"FARMÁCIA INDIANA LJ 64 (10029)"</f>
        <v>FARMÁCIA INDIANA LJ 64 (10029)</v>
      </c>
      <c r="S6153" t="s">
        <v>70</v>
      </c>
      <c r="T6153">
        <v>23428</v>
      </c>
      <c r="U6153">
        <v>22914</v>
      </c>
      <c r="V6153" t="s">
        <v>77</v>
      </c>
    </row>
    <row r="6154" spans="1:22">
      <c r="A6154" t="str">
        <f t="shared" ref="A6154:A6202" si="1124">("15/10/2025")</f>
        <v>15/10/2025</v>
      </c>
      <c r="B6154" t="str">
        <f t="shared" si="1116"/>
        <v>ENTRADA</v>
      </c>
      <c r="C6154" t="str">
        <f t="shared" si="1117"/>
        <v>NFSE</v>
      </c>
      <c r="D6154" t="str">
        <f t="shared" si="1122"/>
        <v>3464</v>
      </c>
      <c r="E6154" t="str">
        <f t="shared" si="1119"/>
        <v>1</v>
      </c>
      <c r="F6154" t="str">
        <f t="shared" si="1114"/>
        <v>COM</v>
      </c>
      <c r="G6154" t="str">
        <f t="shared" si="1123"/>
        <v>FARMÁCIA INDIANA LJ 1 (10126)</v>
      </c>
      <c r="H6154" t="s">
        <v>1649</v>
      </c>
      <c r="I6154" t="str">
        <f t="shared" si="1115"/>
        <v>15/10/2025</v>
      </c>
      <c r="J6154" t="str">
        <f t="shared" si="1121"/>
        <v>07/10/2025</v>
      </c>
      <c r="K6154">
        <v>45945</v>
      </c>
      <c r="N6154">
        <v>303</v>
      </c>
      <c r="O6154" t="s">
        <v>69</v>
      </c>
      <c r="Q6154">
        <v>604.65</v>
      </c>
      <c r="R6154" t="str">
        <f>"FARMÁCIA INDIANA LJ 97 (10040)"</f>
        <v>FARMÁCIA INDIANA LJ 97 (10040)</v>
      </c>
      <c r="S6154" t="s">
        <v>70</v>
      </c>
      <c r="T6154">
        <v>23428</v>
      </c>
      <c r="U6154">
        <v>22914</v>
      </c>
      <c r="V6154" t="s">
        <v>77</v>
      </c>
    </row>
    <row r="6155" spans="1:22">
      <c r="A6155" t="str">
        <f t="shared" si="1124"/>
        <v>15/10/2025</v>
      </c>
      <c r="B6155" t="str">
        <f t="shared" si="1116"/>
        <v>ENTRADA</v>
      </c>
      <c r="C6155" t="str">
        <f t="shared" si="1117"/>
        <v>NFSE</v>
      </c>
      <c r="D6155" t="str">
        <f t="shared" si="1122"/>
        <v>3464</v>
      </c>
      <c r="E6155" t="str">
        <f t="shared" si="1119"/>
        <v>1</v>
      </c>
      <c r="F6155" t="str">
        <f t="shared" si="1114"/>
        <v>COM</v>
      </c>
      <c r="G6155" t="str">
        <f t="shared" si="1123"/>
        <v>FARMÁCIA INDIANA LJ 1 (10126)</v>
      </c>
      <c r="H6155" t="s">
        <v>1649</v>
      </c>
      <c r="I6155" t="str">
        <f t="shared" si="1115"/>
        <v>15/10/2025</v>
      </c>
      <c r="J6155" t="str">
        <f t="shared" si="1121"/>
        <v>07/10/2025</v>
      </c>
      <c r="K6155">
        <v>45945</v>
      </c>
      <c r="N6155">
        <v>303</v>
      </c>
      <c r="O6155" t="s">
        <v>69</v>
      </c>
      <c r="Q6155">
        <v>1705.42</v>
      </c>
      <c r="R6155" t="str">
        <f>"FARMÁCIA INDIANA LJ 100 (10042)"</f>
        <v>FARMÁCIA INDIANA LJ 100 (10042)</v>
      </c>
      <c r="S6155" t="s">
        <v>70</v>
      </c>
      <c r="T6155">
        <v>23428</v>
      </c>
      <c r="U6155">
        <v>22914</v>
      </c>
      <c r="V6155" t="s">
        <v>77</v>
      </c>
    </row>
    <row r="6156" spans="1:22">
      <c r="A6156" t="str">
        <f t="shared" si="1124"/>
        <v>15/10/2025</v>
      </c>
      <c r="B6156" t="str">
        <f t="shared" si="1116"/>
        <v>ENTRADA</v>
      </c>
      <c r="C6156" t="str">
        <f t="shared" si="1117"/>
        <v>NFSE</v>
      </c>
      <c r="D6156" t="str">
        <f t="shared" si="1122"/>
        <v>3464</v>
      </c>
      <c r="E6156" t="str">
        <f t="shared" si="1119"/>
        <v>1</v>
      </c>
      <c r="F6156" t="str">
        <f t="shared" si="1114"/>
        <v>COM</v>
      </c>
      <c r="G6156" t="str">
        <f t="shared" si="1123"/>
        <v>FARMÁCIA INDIANA LJ 1 (10126)</v>
      </c>
      <c r="H6156" t="s">
        <v>1649</v>
      </c>
      <c r="I6156" t="str">
        <f t="shared" ref="I6156:I6187" si="1125">("15/10/2025")</f>
        <v>15/10/2025</v>
      </c>
      <c r="J6156" t="str">
        <f t="shared" si="1121"/>
        <v>07/10/2025</v>
      </c>
      <c r="K6156">
        <v>45945</v>
      </c>
      <c r="N6156">
        <v>303</v>
      </c>
      <c r="O6156" t="s">
        <v>69</v>
      </c>
      <c r="Q6156">
        <v>6232.54</v>
      </c>
      <c r="R6156" t="str">
        <f>"FARMÁCIA INDIANA LJ 101 (10043)"</f>
        <v>FARMÁCIA INDIANA LJ 101 (10043)</v>
      </c>
      <c r="S6156" t="s">
        <v>70</v>
      </c>
      <c r="T6156">
        <v>23428</v>
      </c>
      <c r="U6156">
        <v>22914</v>
      </c>
      <c r="V6156" t="s">
        <v>77</v>
      </c>
    </row>
    <row r="6157" spans="1:22">
      <c r="A6157" t="str">
        <f t="shared" si="1124"/>
        <v>15/10/2025</v>
      </c>
      <c r="B6157" t="str">
        <f t="shared" si="1116"/>
        <v>ENTRADA</v>
      </c>
      <c r="C6157" t="str">
        <f t="shared" si="1117"/>
        <v>NFSE</v>
      </c>
      <c r="D6157" t="str">
        <f t="shared" si="1122"/>
        <v>3464</v>
      </c>
      <c r="E6157" t="str">
        <f t="shared" si="1119"/>
        <v>1</v>
      </c>
      <c r="F6157" t="str">
        <f t="shared" si="1114"/>
        <v>COM</v>
      </c>
      <c r="G6157" t="str">
        <f t="shared" si="1123"/>
        <v>FARMÁCIA INDIANA LJ 1 (10126)</v>
      </c>
      <c r="H6157" t="s">
        <v>1649</v>
      </c>
      <c r="I6157" t="str">
        <f t="shared" si="1125"/>
        <v>15/10/2025</v>
      </c>
      <c r="J6157" t="str">
        <f t="shared" si="1121"/>
        <v>07/10/2025</v>
      </c>
      <c r="K6157">
        <v>45945</v>
      </c>
      <c r="N6157">
        <v>303</v>
      </c>
      <c r="O6157" t="s">
        <v>69</v>
      </c>
      <c r="Q6157">
        <v>558.14</v>
      </c>
      <c r="R6157" t="str">
        <f>"FARMÁCIA INDIANA LJ 103 (10044)"</f>
        <v>FARMÁCIA INDIANA LJ 103 (10044)</v>
      </c>
      <c r="S6157" t="s">
        <v>70</v>
      </c>
      <c r="T6157">
        <v>23428</v>
      </c>
      <c r="U6157">
        <v>22914</v>
      </c>
      <c r="V6157" t="s">
        <v>77</v>
      </c>
    </row>
    <row r="6158" spans="1:22">
      <c r="A6158" t="str">
        <f t="shared" si="1124"/>
        <v>15/10/2025</v>
      </c>
      <c r="B6158" t="str">
        <f t="shared" si="1116"/>
        <v>ENTRADA</v>
      </c>
      <c r="C6158" t="str">
        <f t="shared" si="1117"/>
        <v>NFSE</v>
      </c>
      <c r="D6158" t="str">
        <f t="shared" si="1122"/>
        <v>3464</v>
      </c>
      <c r="E6158" t="str">
        <f t="shared" si="1119"/>
        <v>1</v>
      </c>
      <c r="F6158" t="str">
        <f t="shared" si="1114"/>
        <v>COM</v>
      </c>
      <c r="G6158" t="str">
        <f t="shared" si="1123"/>
        <v>FARMÁCIA INDIANA LJ 1 (10126)</v>
      </c>
      <c r="H6158" t="s">
        <v>1649</v>
      </c>
      <c r="I6158" t="str">
        <f t="shared" si="1125"/>
        <v>15/10/2025</v>
      </c>
      <c r="J6158" t="str">
        <f t="shared" si="1121"/>
        <v>07/10/2025</v>
      </c>
      <c r="K6158">
        <v>45945</v>
      </c>
      <c r="N6158">
        <v>303</v>
      </c>
      <c r="O6158" t="s">
        <v>69</v>
      </c>
      <c r="Q6158">
        <v>2573.64</v>
      </c>
      <c r="R6158" t="str">
        <f>"FARMÁCIA INDIANA LJ 109 (10047)"</f>
        <v>FARMÁCIA INDIANA LJ 109 (10047)</v>
      </c>
      <c r="S6158" t="s">
        <v>70</v>
      </c>
      <c r="T6158">
        <v>23428</v>
      </c>
      <c r="U6158">
        <v>22914</v>
      </c>
      <c r="V6158" t="s">
        <v>77</v>
      </c>
    </row>
    <row r="6159" spans="1:22">
      <c r="A6159" t="str">
        <f t="shared" si="1124"/>
        <v>15/10/2025</v>
      </c>
      <c r="B6159" t="str">
        <f t="shared" si="1116"/>
        <v>ENTRADA</v>
      </c>
      <c r="C6159" t="str">
        <f t="shared" si="1117"/>
        <v>NFSE</v>
      </c>
      <c r="D6159" t="str">
        <f t="shared" si="1122"/>
        <v>3464</v>
      </c>
      <c r="E6159" t="str">
        <f t="shared" si="1119"/>
        <v>1</v>
      </c>
      <c r="F6159" t="str">
        <f t="shared" si="1114"/>
        <v>COM</v>
      </c>
      <c r="G6159" t="str">
        <f t="shared" si="1123"/>
        <v>FARMÁCIA INDIANA LJ 1 (10126)</v>
      </c>
      <c r="H6159" t="s">
        <v>1649</v>
      </c>
      <c r="I6159" t="str">
        <f t="shared" si="1125"/>
        <v>15/10/2025</v>
      </c>
      <c r="J6159" t="str">
        <f t="shared" si="1121"/>
        <v>07/10/2025</v>
      </c>
      <c r="K6159">
        <v>45945</v>
      </c>
      <c r="N6159">
        <v>303</v>
      </c>
      <c r="O6159" t="s">
        <v>69</v>
      </c>
      <c r="Q6159">
        <v>3069.76</v>
      </c>
      <c r="R6159" t="str">
        <f>"FARMÁCIA INDIANA LJ 110 (10048)"</f>
        <v>FARMÁCIA INDIANA LJ 110 (10048)</v>
      </c>
      <c r="S6159" t="s">
        <v>70</v>
      </c>
      <c r="T6159">
        <v>23428</v>
      </c>
      <c r="U6159">
        <v>22914</v>
      </c>
      <c r="V6159" t="s">
        <v>77</v>
      </c>
    </row>
    <row r="6160" spans="1:22">
      <c r="A6160" t="str">
        <f t="shared" si="1124"/>
        <v>15/10/2025</v>
      </c>
      <c r="B6160" t="str">
        <f t="shared" si="1116"/>
        <v>ENTRADA</v>
      </c>
      <c r="C6160" t="str">
        <f t="shared" si="1117"/>
        <v>NFSE</v>
      </c>
      <c r="D6160" t="str">
        <f t="shared" si="1122"/>
        <v>3464</v>
      </c>
      <c r="E6160" t="str">
        <f t="shared" si="1119"/>
        <v>1</v>
      </c>
      <c r="F6160" t="str">
        <f t="shared" si="1114"/>
        <v>COM</v>
      </c>
      <c r="G6160" t="str">
        <f t="shared" si="1123"/>
        <v>FARMÁCIA INDIANA LJ 1 (10126)</v>
      </c>
      <c r="H6160" t="s">
        <v>1649</v>
      </c>
      <c r="I6160" t="str">
        <f t="shared" si="1125"/>
        <v>15/10/2025</v>
      </c>
      <c r="J6160" t="str">
        <f t="shared" si="1121"/>
        <v>07/10/2025</v>
      </c>
      <c r="K6160">
        <v>45945</v>
      </c>
      <c r="N6160">
        <v>303</v>
      </c>
      <c r="O6160" t="s">
        <v>69</v>
      </c>
      <c r="Q6160">
        <v>589.15</v>
      </c>
      <c r="R6160" t="str">
        <f>"FARMÁCIA INDIANA LJ 111 (10049)"</f>
        <v>FARMÁCIA INDIANA LJ 111 (10049)</v>
      </c>
      <c r="S6160" t="s">
        <v>70</v>
      </c>
      <c r="T6160">
        <v>23428</v>
      </c>
      <c r="U6160">
        <v>22914</v>
      </c>
      <c r="V6160" t="s">
        <v>77</v>
      </c>
    </row>
    <row r="6161" spans="1:22">
      <c r="A6161" t="str">
        <f t="shared" si="1124"/>
        <v>15/10/2025</v>
      </c>
      <c r="B6161" t="str">
        <f t="shared" ref="B6161:B6192" si="1126">"ENTRADA"</f>
        <v>ENTRADA</v>
      </c>
      <c r="C6161" t="str">
        <f t="shared" ref="C6161:C6192" si="1127">"NFSE"</f>
        <v>NFSE</v>
      </c>
      <c r="D6161" t="str">
        <f t="shared" si="1122"/>
        <v>3464</v>
      </c>
      <c r="E6161" t="str">
        <f t="shared" ref="E6161:E6192" si="1128">"1"</f>
        <v>1</v>
      </c>
      <c r="F6161" t="str">
        <f t="shared" si="1114"/>
        <v>COM</v>
      </c>
      <c r="G6161" t="str">
        <f t="shared" si="1123"/>
        <v>FARMÁCIA INDIANA LJ 1 (10126)</v>
      </c>
      <c r="H6161" t="s">
        <v>1649</v>
      </c>
      <c r="I6161" t="str">
        <f t="shared" si="1125"/>
        <v>15/10/2025</v>
      </c>
      <c r="J6161" t="str">
        <f t="shared" ref="J6161:J6192" si="1129">("07/10/2025")</f>
        <v>07/10/2025</v>
      </c>
      <c r="K6161">
        <v>45945</v>
      </c>
      <c r="N6161">
        <v>303</v>
      </c>
      <c r="O6161" t="s">
        <v>69</v>
      </c>
      <c r="Q6161">
        <v>852.71</v>
      </c>
      <c r="R6161" t="str">
        <f>"FARMÁCIA INDIANA LJ 112 (10050)"</f>
        <v>FARMÁCIA INDIANA LJ 112 (10050)</v>
      </c>
      <c r="S6161" t="s">
        <v>70</v>
      </c>
      <c r="T6161">
        <v>23428</v>
      </c>
      <c r="U6161">
        <v>22914</v>
      </c>
      <c r="V6161" t="s">
        <v>77</v>
      </c>
    </row>
    <row r="6162" spans="1:22">
      <c r="A6162" t="str">
        <f t="shared" si="1124"/>
        <v>15/10/2025</v>
      </c>
      <c r="B6162" t="str">
        <f t="shared" si="1126"/>
        <v>ENTRADA</v>
      </c>
      <c r="C6162" t="str">
        <f t="shared" si="1127"/>
        <v>NFSE</v>
      </c>
      <c r="D6162" t="str">
        <f t="shared" si="1122"/>
        <v>3464</v>
      </c>
      <c r="E6162" t="str">
        <f t="shared" si="1128"/>
        <v>1</v>
      </c>
      <c r="F6162" t="str">
        <f t="shared" si="1114"/>
        <v>COM</v>
      </c>
      <c r="G6162" t="str">
        <f t="shared" si="1123"/>
        <v>FARMÁCIA INDIANA LJ 1 (10126)</v>
      </c>
      <c r="H6162" t="s">
        <v>1649</v>
      </c>
      <c r="I6162" t="str">
        <f t="shared" si="1125"/>
        <v>15/10/2025</v>
      </c>
      <c r="J6162" t="str">
        <f t="shared" si="1129"/>
        <v>07/10/2025</v>
      </c>
      <c r="K6162">
        <v>45945</v>
      </c>
      <c r="N6162">
        <v>303</v>
      </c>
      <c r="O6162" t="s">
        <v>69</v>
      </c>
      <c r="Q6162">
        <v>852.71</v>
      </c>
      <c r="R6162" t="str">
        <f>"FARMÁCIA INDIANA LJ 116 (10051)"</f>
        <v>FARMÁCIA INDIANA LJ 116 (10051)</v>
      </c>
      <c r="S6162" t="s">
        <v>70</v>
      </c>
      <c r="T6162">
        <v>23428</v>
      </c>
      <c r="U6162">
        <v>22914</v>
      </c>
      <c r="V6162" t="s">
        <v>77</v>
      </c>
    </row>
    <row r="6163" spans="1:22">
      <c r="A6163" t="str">
        <f t="shared" si="1124"/>
        <v>15/10/2025</v>
      </c>
      <c r="B6163" t="str">
        <f t="shared" si="1126"/>
        <v>ENTRADA</v>
      </c>
      <c r="C6163" t="str">
        <f t="shared" si="1127"/>
        <v>NFSE</v>
      </c>
      <c r="D6163" t="str">
        <f t="shared" si="1122"/>
        <v>3464</v>
      </c>
      <c r="E6163" t="str">
        <f t="shared" si="1128"/>
        <v>1</v>
      </c>
      <c r="F6163" t="str">
        <f t="shared" si="1114"/>
        <v>COM</v>
      </c>
      <c r="G6163" t="str">
        <f t="shared" si="1123"/>
        <v>FARMÁCIA INDIANA LJ 1 (10126)</v>
      </c>
      <c r="H6163" t="s">
        <v>1649</v>
      </c>
      <c r="I6163" t="str">
        <f t="shared" si="1125"/>
        <v>15/10/2025</v>
      </c>
      <c r="J6163" t="str">
        <f t="shared" si="1129"/>
        <v>07/10/2025</v>
      </c>
      <c r="K6163">
        <v>45945</v>
      </c>
      <c r="N6163">
        <v>303</v>
      </c>
      <c r="O6163" t="s">
        <v>69</v>
      </c>
      <c r="Q6163">
        <v>1224.8</v>
      </c>
      <c r="R6163" t="str">
        <f>"FARMÁCIA INDIANA LJ 118 (10052)"</f>
        <v>FARMÁCIA INDIANA LJ 118 (10052)</v>
      </c>
      <c r="S6163" t="s">
        <v>70</v>
      </c>
      <c r="T6163">
        <v>23428</v>
      </c>
      <c r="U6163">
        <v>22914</v>
      </c>
      <c r="V6163" t="s">
        <v>77</v>
      </c>
    </row>
    <row r="6164" spans="1:22">
      <c r="A6164" t="str">
        <f t="shared" si="1124"/>
        <v>15/10/2025</v>
      </c>
      <c r="B6164" t="str">
        <f t="shared" si="1126"/>
        <v>ENTRADA</v>
      </c>
      <c r="C6164" t="str">
        <f t="shared" si="1127"/>
        <v>NFSE</v>
      </c>
      <c r="D6164" t="str">
        <f t="shared" si="1122"/>
        <v>3464</v>
      </c>
      <c r="E6164" t="str">
        <f t="shared" si="1128"/>
        <v>1</v>
      </c>
      <c r="F6164" t="str">
        <f t="shared" si="1114"/>
        <v>COM</v>
      </c>
      <c r="G6164" t="str">
        <f t="shared" si="1123"/>
        <v>FARMÁCIA INDIANA LJ 1 (10126)</v>
      </c>
      <c r="H6164" t="s">
        <v>1649</v>
      </c>
      <c r="I6164" t="str">
        <f t="shared" si="1125"/>
        <v>15/10/2025</v>
      </c>
      <c r="J6164" t="str">
        <f t="shared" si="1129"/>
        <v>07/10/2025</v>
      </c>
      <c r="K6164">
        <v>45945</v>
      </c>
      <c r="N6164">
        <v>303</v>
      </c>
      <c r="O6164" t="s">
        <v>69</v>
      </c>
      <c r="Q6164">
        <v>852.71</v>
      </c>
      <c r="R6164" t="str">
        <f>"FARMÁCIA INDIANA LJ 121 (10054)"</f>
        <v>FARMÁCIA INDIANA LJ 121 (10054)</v>
      </c>
      <c r="S6164" t="s">
        <v>70</v>
      </c>
      <c r="T6164">
        <v>23428</v>
      </c>
      <c r="U6164">
        <v>22914</v>
      </c>
      <c r="V6164" t="s">
        <v>77</v>
      </c>
    </row>
    <row r="6165" spans="1:22">
      <c r="A6165" t="str">
        <f t="shared" si="1124"/>
        <v>15/10/2025</v>
      </c>
      <c r="B6165" t="str">
        <f t="shared" si="1126"/>
        <v>ENTRADA</v>
      </c>
      <c r="C6165" t="str">
        <f t="shared" si="1127"/>
        <v>NFSE</v>
      </c>
      <c r="D6165" t="str">
        <f t="shared" si="1122"/>
        <v>3464</v>
      </c>
      <c r="E6165" t="str">
        <f t="shared" si="1128"/>
        <v>1</v>
      </c>
      <c r="F6165" t="str">
        <f t="shared" si="1114"/>
        <v>COM</v>
      </c>
      <c r="G6165" t="str">
        <f t="shared" si="1123"/>
        <v>FARMÁCIA INDIANA LJ 1 (10126)</v>
      </c>
      <c r="H6165" t="s">
        <v>1649</v>
      </c>
      <c r="I6165" t="str">
        <f t="shared" si="1125"/>
        <v>15/10/2025</v>
      </c>
      <c r="J6165" t="str">
        <f t="shared" si="1129"/>
        <v>07/10/2025</v>
      </c>
      <c r="K6165">
        <v>45945</v>
      </c>
      <c r="N6165">
        <v>303</v>
      </c>
      <c r="O6165" t="s">
        <v>69</v>
      </c>
      <c r="Q6165">
        <v>852.71</v>
      </c>
      <c r="R6165" t="str">
        <f>"FARMÁCIA INDIANA LJ 128 (10057)"</f>
        <v>FARMÁCIA INDIANA LJ 128 (10057)</v>
      </c>
      <c r="S6165" t="s">
        <v>70</v>
      </c>
      <c r="T6165">
        <v>23428</v>
      </c>
      <c r="U6165">
        <v>22914</v>
      </c>
      <c r="V6165" t="s">
        <v>77</v>
      </c>
    </row>
    <row r="6166" spans="1:22">
      <c r="A6166" t="str">
        <f t="shared" si="1124"/>
        <v>15/10/2025</v>
      </c>
      <c r="B6166" t="str">
        <f t="shared" si="1126"/>
        <v>ENTRADA</v>
      </c>
      <c r="C6166" t="str">
        <f t="shared" si="1127"/>
        <v>NFSE</v>
      </c>
      <c r="D6166" t="str">
        <f t="shared" si="1122"/>
        <v>3464</v>
      </c>
      <c r="E6166" t="str">
        <f t="shared" si="1128"/>
        <v>1</v>
      </c>
      <c r="F6166" t="str">
        <f t="shared" si="1114"/>
        <v>COM</v>
      </c>
      <c r="G6166" t="str">
        <f t="shared" si="1123"/>
        <v>FARMÁCIA INDIANA LJ 1 (10126)</v>
      </c>
      <c r="H6166" t="s">
        <v>1649</v>
      </c>
      <c r="I6166" t="str">
        <f t="shared" si="1125"/>
        <v>15/10/2025</v>
      </c>
      <c r="J6166" t="str">
        <f t="shared" si="1129"/>
        <v>07/10/2025</v>
      </c>
      <c r="K6166">
        <v>45945</v>
      </c>
      <c r="N6166">
        <v>303</v>
      </c>
      <c r="O6166" t="s">
        <v>69</v>
      </c>
      <c r="Q6166">
        <v>356.59</v>
      </c>
      <c r="R6166" t="str">
        <f>"FARMÁCIA INDIANA LJ 140 (10064)"</f>
        <v>FARMÁCIA INDIANA LJ 140 (10064)</v>
      </c>
      <c r="S6166" t="s">
        <v>70</v>
      </c>
      <c r="T6166">
        <v>23428</v>
      </c>
      <c r="U6166">
        <v>22914</v>
      </c>
      <c r="V6166" t="s">
        <v>77</v>
      </c>
    </row>
    <row r="6167" spans="1:22">
      <c r="A6167" t="str">
        <f t="shared" si="1124"/>
        <v>15/10/2025</v>
      </c>
      <c r="B6167" t="str">
        <f t="shared" si="1126"/>
        <v>ENTRADA</v>
      </c>
      <c r="C6167" t="str">
        <f t="shared" si="1127"/>
        <v>NFSE</v>
      </c>
      <c r="D6167" t="str">
        <f t="shared" si="1122"/>
        <v>3464</v>
      </c>
      <c r="E6167" t="str">
        <f t="shared" si="1128"/>
        <v>1</v>
      </c>
      <c r="F6167" t="str">
        <f t="shared" si="1114"/>
        <v>COM</v>
      </c>
      <c r="G6167" t="str">
        <f t="shared" si="1123"/>
        <v>FARMÁCIA INDIANA LJ 1 (10126)</v>
      </c>
      <c r="H6167" t="s">
        <v>1649</v>
      </c>
      <c r="I6167" t="str">
        <f t="shared" si="1125"/>
        <v>15/10/2025</v>
      </c>
      <c r="J6167" t="str">
        <f t="shared" si="1129"/>
        <v>07/10/2025</v>
      </c>
      <c r="K6167">
        <v>45945</v>
      </c>
      <c r="N6167">
        <v>303</v>
      </c>
      <c r="O6167" t="s">
        <v>69</v>
      </c>
      <c r="Q6167">
        <v>108.53</v>
      </c>
      <c r="R6167" t="str">
        <f>"FARMÁCIA INDIANA LJ 141 (10065)"</f>
        <v>FARMÁCIA INDIANA LJ 141 (10065)</v>
      </c>
      <c r="S6167" t="s">
        <v>70</v>
      </c>
      <c r="T6167">
        <v>23428</v>
      </c>
      <c r="U6167">
        <v>22914</v>
      </c>
      <c r="V6167" t="s">
        <v>77</v>
      </c>
    </row>
    <row r="6168" spans="1:22">
      <c r="A6168" t="str">
        <f t="shared" si="1124"/>
        <v>15/10/2025</v>
      </c>
      <c r="B6168" t="str">
        <f t="shared" si="1126"/>
        <v>ENTRADA</v>
      </c>
      <c r="C6168" t="str">
        <f t="shared" si="1127"/>
        <v>NFSE</v>
      </c>
      <c r="D6168" t="str">
        <f t="shared" si="1122"/>
        <v>3464</v>
      </c>
      <c r="E6168" t="str">
        <f t="shared" si="1128"/>
        <v>1</v>
      </c>
      <c r="F6168" t="str">
        <f t="shared" si="1114"/>
        <v>COM</v>
      </c>
      <c r="G6168" t="str">
        <f t="shared" si="1123"/>
        <v>FARMÁCIA INDIANA LJ 1 (10126)</v>
      </c>
      <c r="H6168" t="s">
        <v>1649</v>
      </c>
      <c r="I6168" t="str">
        <f t="shared" si="1125"/>
        <v>15/10/2025</v>
      </c>
      <c r="J6168" t="str">
        <f t="shared" si="1129"/>
        <v>07/10/2025</v>
      </c>
      <c r="K6168">
        <v>45945</v>
      </c>
      <c r="N6168">
        <v>303</v>
      </c>
      <c r="O6168" t="s">
        <v>69</v>
      </c>
      <c r="Q6168">
        <v>10015.469999999999</v>
      </c>
      <c r="R6168" t="str">
        <f>"FARMÁCIA INDIANA LJ 142 (10066)"</f>
        <v>FARMÁCIA INDIANA LJ 142 (10066)</v>
      </c>
      <c r="S6168" t="s">
        <v>70</v>
      </c>
      <c r="T6168">
        <v>23428</v>
      </c>
      <c r="U6168">
        <v>22914</v>
      </c>
      <c r="V6168" t="s">
        <v>77</v>
      </c>
    </row>
    <row r="6169" spans="1:22">
      <c r="A6169" t="str">
        <f t="shared" si="1124"/>
        <v>15/10/2025</v>
      </c>
      <c r="B6169" t="str">
        <f t="shared" si="1126"/>
        <v>ENTRADA</v>
      </c>
      <c r="C6169" t="str">
        <f t="shared" si="1127"/>
        <v>NFSE</v>
      </c>
      <c r="D6169" t="str">
        <f t="shared" si="1122"/>
        <v>3464</v>
      </c>
      <c r="E6169" t="str">
        <f t="shared" si="1128"/>
        <v>1</v>
      </c>
      <c r="F6169" t="str">
        <f t="shared" si="1114"/>
        <v>COM</v>
      </c>
      <c r="G6169" t="str">
        <f t="shared" si="1123"/>
        <v>FARMÁCIA INDIANA LJ 1 (10126)</v>
      </c>
      <c r="H6169" t="s">
        <v>1649</v>
      </c>
      <c r="I6169" t="str">
        <f t="shared" si="1125"/>
        <v>15/10/2025</v>
      </c>
      <c r="J6169" t="str">
        <f t="shared" si="1129"/>
        <v>07/10/2025</v>
      </c>
      <c r="K6169">
        <v>45945</v>
      </c>
      <c r="N6169">
        <v>303</v>
      </c>
      <c r="O6169" t="s">
        <v>69</v>
      </c>
      <c r="Q6169">
        <v>604.65</v>
      </c>
      <c r="R6169" t="str">
        <f>"FARMÁCIA INDIANA LJ 143 (10067)"</f>
        <v>FARMÁCIA INDIANA LJ 143 (10067)</v>
      </c>
      <c r="S6169" t="s">
        <v>70</v>
      </c>
      <c r="T6169">
        <v>23428</v>
      </c>
      <c r="U6169">
        <v>22914</v>
      </c>
      <c r="V6169" t="s">
        <v>77</v>
      </c>
    </row>
    <row r="6170" spans="1:22">
      <c r="A6170" t="str">
        <f t="shared" si="1124"/>
        <v>15/10/2025</v>
      </c>
      <c r="B6170" t="str">
        <f t="shared" si="1126"/>
        <v>ENTRADA</v>
      </c>
      <c r="C6170" t="str">
        <f t="shared" si="1127"/>
        <v>NFSE</v>
      </c>
      <c r="D6170" t="str">
        <f t="shared" si="1122"/>
        <v>3464</v>
      </c>
      <c r="E6170" t="str">
        <f t="shared" si="1128"/>
        <v>1</v>
      </c>
      <c r="F6170" t="str">
        <f t="shared" si="1114"/>
        <v>COM</v>
      </c>
      <c r="G6170" t="str">
        <f t="shared" si="1123"/>
        <v>FARMÁCIA INDIANA LJ 1 (10126)</v>
      </c>
      <c r="H6170" t="s">
        <v>1649</v>
      </c>
      <c r="I6170" t="str">
        <f t="shared" si="1125"/>
        <v>15/10/2025</v>
      </c>
      <c r="J6170" t="str">
        <f t="shared" si="1129"/>
        <v>07/10/2025</v>
      </c>
      <c r="K6170">
        <v>45945</v>
      </c>
      <c r="N6170">
        <v>303</v>
      </c>
      <c r="O6170" t="s">
        <v>69</v>
      </c>
      <c r="Q6170">
        <v>5317.81</v>
      </c>
      <c r="R6170" t="str">
        <f>"FARMÁCIA INDIANA LJ 152 (10069)"</f>
        <v>FARMÁCIA INDIANA LJ 152 (10069)</v>
      </c>
      <c r="S6170" t="s">
        <v>70</v>
      </c>
      <c r="T6170">
        <v>23428</v>
      </c>
      <c r="U6170">
        <v>22914</v>
      </c>
      <c r="V6170" t="s">
        <v>77</v>
      </c>
    </row>
    <row r="6171" spans="1:22">
      <c r="A6171" t="str">
        <f t="shared" si="1124"/>
        <v>15/10/2025</v>
      </c>
      <c r="B6171" t="str">
        <f t="shared" si="1126"/>
        <v>ENTRADA</v>
      </c>
      <c r="C6171" t="str">
        <f t="shared" si="1127"/>
        <v>NFSE</v>
      </c>
      <c r="D6171" t="str">
        <f t="shared" si="1122"/>
        <v>3464</v>
      </c>
      <c r="E6171" t="str">
        <f t="shared" si="1128"/>
        <v>1</v>
      </c>
      <c r="F6171" t="str">
        <f t="shared" si="1114"/>
        <v>COM</v>
      </c>
      <c r="G6171" t="str">
        <f t="shared" si="1123"/>
        <v>FARMÁCIA INDIANA LJ 1 (10126)</v>
      </c>
      <c r="H6171" t="s">
        <v>1649</v>
      </c>
      <c r="I6171" t="str">
        <f t="shared" si="1125"/>
        <v>15/10/2025</v>
      </c>
      <c r="J6171" t="str">
        <f t="shared" si="1129"/>
        <v>07/10/2025</v>
      </c>
      <c r="K6171">
        <v>45945</v>
      </c>
      <c r="N6171">
        <v>303</v>
      </c>
      <c r="O6171" t="s">
        <v>69</v>
      </c>
      <c r="Q6171">
        <v>372.09</v>
      </c>
      <c r="R6171" t="str">
        <f>"FARMÁCIA INDIANA LJ 154 (10070)"</f>
        <v>FARMÁCIA INDIANA LJ 154 (10070)</v>
      </c>
      <c r="S6171" t="s">
        <v>70</v>
      </c>
      <c r="T6171">
        <v>23428</v>
      </c>
      <c r="U6171">
        <v>22914</v>
      </c>
      <c r="V6171" t="s">
        <v>77</v>
      </c>
    </row>
    <row r="6172" spans="1:22">
      <c r="A6172" t="str">
        <f t="shared" si="1124"/>
        <v>15/10/2025</v>
      </c>
      <c r="B6172" t="str">
        <f t="shared" si="1126"/>
        <v>ENTRADA</v>
      </c>
      <c r="C6172" t="str">
        <f t="shared" si="1127"/>
        <v>NFSE</v>
      </c>
      <c r="D6172" t="str">
        <f t="shared" si="1122"/>
        <v>3464</v>
      </c>
      <c r="E6172" t="str">
        <f t="shared" si="1128"/>
        <v>1</v>
      </c>
      <c r="F6172" t="str">
        <f t="shared" si="1114"/>
        <v>COM</v>
      </c>
      <c r="G6172" t="str">
        <f t="shared" si="1123"/>
        <v>FARMÁCIA INDIANA LJ 1 (10126)</v>
      </c>
      <c r="H6172" t="s">
        <v>1649</v>
      </c>
      <c r="I6172" t="str">
        <f t="shared" si="1125"/>
        <v>15/10/2025</v>
      </c>
      <c r="J6172" t="str">
        <f t="shared" si="1129"/>
        <v>07/10/2025</v>
      </c>
      <c r="K6172">
        <v>45945</v>
      </c>
      <c r="N6172">
        <v>303</v>
      </c>
      <c r="O6172" t="s">
        <v>69</v>
      </c>
      <c r="Q6172">
        <v>1813.95</v>
      </c>
      <c r="R6172" t="str">
        <f>"FARMÁCIA INDIANA LJ 171 (10074)"</f>
        <v>FARMÁCIA INDIANA LJ 171 (10074)</v>
      </c>
      <c r="S6172" t="s">
        <v>70</v>
      </c>
      <c r="T6172">
        <v>23428</v>
      </c>
      <c r="U6172">
        <v>22914</v>
      </c>
      <c r="V6172" t="s">
        <v>77</v>
      </c>
    </row>
    <row r="6173" spans="1:22">
      <c r="A6173" t="str">
        <f t="shared" si="1124"/>
        <v>15/10/2025</v>
      </c>
      <c r="B6173" t="str">
        <f t="shared" si="1126"/>
        <v>ENTRADA</v>
      </c>
      <c r="C6173" t="str">
        <f t="shared" si="1127"/>
        <v>NFSE</v>
      </c>
      <c r="D6173" t="str">
        <f t="shared" si="1122"/>
        <v>3464</v>
      </c>
      <c r="E6173" t="str">
        <f t="shared" si="1128"/>
        <v>1</v>
      </c>
      <c r="F6173" t="str">
        <f t="shared" si="1114"/>
        <v>COM</v>
      </c>
      <c r="G6173" t="str">
        <f t="shared" si="1123"/>
        <v>FARMÁCIA INDIANA LJ 1 (10126)</v>
      </c>
      <c r="H6173" t="s">
        <v>1649</v>
      </c>
      <c r="I6173" t="str">
        <f t="shared" si="1125"/>
        <v>15/10/2025</v>
      </c>
      <c r="J6173" t="str">
        <f t="shared" si="1129"/>
        <v>07/10/2025</v>
      </c>
      <c r="K6173">
        <v>45945</v>
      </c>
      <c r="N6173">
        <v>303</v>
      </c>
      <c r="O6173" t="s">
        <v>69</v>
      </c>
      <c r="Q6173">
        <v>697.67</v>
      </c>
      <c r="R6173" t="str">
        <f>"FARMÁCIA INDIANA LJ 175 (10076)"</f>
        <v>FARMÁCIA INDIANA LJ 175 (10076)</v>
      </c>
      <c r="S6173" t="s">
        <v>70</v>
      </c>
      <c r="T6173">
        <v>23428</v>
      </c>
      <c r="U6173">
        <v>22914</v>
      </c>
      <c r="V6173" t="s">
        <v>77</v>
      </c>
    </row>
    <row r="6174" spans="1:22">
      <c r="A6174" t="str">
        <f t="shared" si="1124"/>
        <v>15/10/2025</v>
      </c>
      <c r="B6174" t="str">
        <f t="shared" si="1126"/>
        <v>ENTRADA</v>
      </c>
      <c r="C6174" t="str">
        <f t="shared" si="1127"/>
        <v>NFSE</v>
      </c>
      <c r="D6174" t="str">
        <f t="shared" si="1122"/>
        <v>3464</v>
      </c>
      <c r="E6174" t="str">
        <f t="shared" si="1128"/>
        <v>1</v>
      </c>
      <c r="F6174" t="str">
        <f t="shared" si="1114"/>
        <v>COM</v>
      </c>
      <c r="G6174" t="str">
        <f t="shared" si="1123"/>
        <v>FARMÁCIA INDIANA LJ 1 (10126)</v>
      </c>
      <c r="H6174" t="s">
        <v>1649</v>
      </c>
      <c r="I6174" t="str">
        <f t="shared" si="1125"/>
        <v>15/10/2025</v>
      </c>
      <c r="J6174" t="str">
        <f t="shared" si="1129"/>
        <v>07/10/2025</v>
      </c>
      <c r="K6174">
        <v>45945</v>
      </c>
      <c r="N6174">
        <v>303</v>
      </c>
      <c r="O6174" t="s">
        <v>69</v>
      </c>
      <c r="Q6174">
        <v>1178.29</v>
      </c>
      <c r="R6174" t="str">
        <f>"FARMÁCIA INDIANA LJ 178 (10077)"</f>
        <v>FARMÁCIA INDIANA LJ 178 (10077)</v>
      </c>
      <c r="S6174" t="s">
        <v>70</v>
      </c>
      <c r="T6174">
        <v>23428</v>
      </c>
      <c r="U6174">
        <v>22914</v>
      </c>
      <c r="V6174" t="s">
        <v>77</v>
      </c>
    </row>
    <row r="6175" spans="1:22">
      <c r="A6175" t="str">
        <f t="shared" si="1124"/>
        <v>15/10/2025</v>
      </c>
      <c r="B6175" t="str">
        <f t="shared" si="1126"/>
        <v>ENTRADA</v>
      </c>
      <c r="C6175" t="str">
        <f t="shared" si="1127"/>
        <v>NFSE</v>
      </c>
      <c r="D6175" t="str">
        <f t="shared" si="1122"/>
        <v>3464</v>
      </c>
      <c r="E6175" t="str">
        <f t="shared" si="1128"/>
        <v>1</v>
      </c>
      <c r="F6175" t="str">
        <f t="shared" si="1114"/>
        <v>COM</v>
      </c>
      <c r="G6175" t="str">
        <f t="shared" si="1123"/>
        <v>FARMÁCIA INDIANA LJ 1 (10126)</v>
      </c>
      <c r="H6175" t="s">
        <v>1649</v>
      </c>
      <c r="I6175" t="str">
        <f t="shared" si="1125"/>
        <v>15/10/2025</v>
      </c>
      <c r="J6175" t="str">
        <f t="shared" si="1129"/>
        <v>07/10/2025</v>
      </c>
      <c r="K6175">
        <v>45945</v>
      </c>
      <c r="N6175">
        <v>303</v>
      </c>
      <c r="O6175" t="s">
        <v>69</v>
      </c>
      <c r="Q6175">
        <v>418.6</v>
      </c>
      <c r="R6175" t="str">
        <f>"FARMÁCIA INDIANA LJ 182 (10079)"</f>
        <v>FARMÁCIA INDIANA LJ 182 (10079)</v>
      </c>
      <c r="S6175" t="s">
        <v>70</v>
      </c>
      <c r="T6175">
        <v>23428</v>
      </c>
      <c r="U6175">
        <v>22914</v>
      </c>
      <c r="V6175" t="s">
        <v>77</v>
      </c>
    </row>
    <row r="6176" spans="1:22">
      <c r="A6176" t="str">
        <f t="shared" si="1124"/>
        <v>15/10/2025</v>
      </c>
      <c r="B6176" t="str">
        <f t="shared" si="1126"/>
        <v>ENTRADA</v>
      </c>
      <c r="C6176" t="str">
        <f t="shared" si="1127"/>
        <v>NFSE</v>
      </c>
      <c r="D6176" t="str">
        <f t="shared" si="1122"/>
        <v>3464</v>
      </c>
      <c r="E6176" t="str">
        <f t="shared" si="1128"/>
        <v>1</v>
      </c>
      <c r="F6176" t="str">
        <f t="shared" si="1114"/>
        <v>COM</v>
      </c>
      <c r="G6176" t="str">
        <f t="shared" si="1123"/>
        <v>FARMÁCIA INDIANA LJ 1 (10126)</v>
      </c>
      <c r="H6176" t="s">
        <v>1649</v>
      </c>
      <c r="I6176" t="str">
        <f t="shared" si="1125"/>
        <v>15/10/2025</v>
      </c>
      <c r="J6176" t="str">
        <f t="shared" si="1129"/>
        <v>07/10/2025</v>
      </c>
      <c r="K6176">
        <v>45945</v>
      </c>
      <c r="N6176">
        <v>303</v>
      </c>
      <c r="O6176" t="s">
        <v>69</v>
      </c>
      <c r="Q6176">
        <v>356.59</v>
      </c>
      <c r="R6176" t="str">
        <f>"FARMÁCIA INDIANA LJ 184 (10080)"</f>
        <v>FARMÁCIA INDIANA LJ 184 (10080)</v>
      </c>
      <c r="S6176" t="s">
        <v>70</v>
      </c>
      <c r="T6176">
        <v>23428</v>
      </c>
      <c r="U6176">
        <v>22914</v>
      </c>
      <c r="V6176" t="s">
        <v>77</v>
      </c>
    </row>
    <row r="6177" spans="1:22">
      <c r="A6177" t="str">
        <f t="shared" si="1124"/>
        <v>15/10/2025</v>
      </c>
      <c r="B6177" t="str">
        <f t="shared" si="1126"/>
        <v>ENTRADA</v>
      </c>
      <c r="C6177" t="str">
        <f t="shared" si="1127"/>
        <v>NFSE</v>
      </c>
      <c r="D6177" t="str">
        <f t="shared" si="1122"/>
        <v>3464</v>
      </c>
      <c r="E6177" t="str">
        <f t="shared" si="1128"/>
        <v>1</v>
      </c>
      <c r="F6177" t="str">
        <f t="shared" si="1114"/>
        <v>COM</v>
      </c>
      <c r="G6177" t="str">
        <f t="shared" si="1123"/>
        <v>FARMÁCIA INDIANA LJ 1 (10126)</v>
      </c>
      <c r="H6177" t="s">
        <v>1649</v>
      </c>
      <c r="I6177" t="str">
        <f t="shared" si="1125"/>
        <v>15/10/2025</v>
      </c>
      <c r="J6177" t="str">
        <f t="shared" si="1129"/>
        <v>07/10/2025</v>
      </c>
      <c r="K6177">
        <v>45945</v>
      </c>
      <c r="N6177">
        <v>303</v>
      </c>
      <c r="O6177" t="s">
        <v>69</v>
      </c>
      <c r="Q6177">
        <v>418.6</v>
      </c>
      <c r="R6177" t="str">
        <f>"FARMÁCIA INDIANA LJ 186 (10081)"</f>
        <v>FARMÁCIA INDIANA LJ 186 (10081)</v>
      </c>
      <c r="S6177" t="s">
        <v>70</v>
      </c>
      <c r="T6177">
        <v>23428</v>
      </c>
      <c r="U6177">
        <v>22914</v>
      </c>
      <c r="V6177" t="s">
        <v>77</v>
      </c>
    </row>
    <row r="6178" spans="1:22">
      <c r="A6178" t="str">
        <f t="shared" si="1124"/>
        <v>15/10/2025</v>
      </c>
      <c r="B6178" t="str">
        <f t="shared" si="1126"/>
        <v>ENTRADA</v>
      </c>
      <c r="C6178" t="str">
        <f t="shared" si="1127"/>
        <v>NFSE</v>
      </c>
      <c r="D6178" t="str">
        <f t="shared" si="1122"/>
        <v>3464</v>
      </c>
      <c r="E6178" t="str">
        <f t="shared" si="1128"/>
        <v>1</v>
      </c>
      <c r="F6178" t="str">
        <f t="shared" si="1114"/>
        <v>COM</v>
      </c>
      <c r="G6178" t="str">
        <f t="shared" si="1123"/>
        <v>FARMÁCIA INDIANA LJ 1 (10126)</v>
      </c>
      <c r="H6178" t="s">
        <v>1649</v>
      </c>
      <c r="I6178" t="str">
        <f t="shared" si="1125"/>
        <v>15/10/2025</v>
      </c>
      <c r="J6178" t="str">
        <f t="shared" si="1129"/>
        <v>07/10/2025</v>
      </c>
      <c r="K6178">
        <v>45945</v>
      </c>
      <c r="N6178">
        <v>303</v>
      </c>
      <c r="O6178" t="s">
        <v>69</v>
      </c>
      <c r="Q6178">
        <v>1162.79</v>
      </c>
      <c r="R6178" t="str">
        <f>"FARMÁCIA INDIANA LJ 192 (10082)"</f>
        <v>FARMÁCIA INDIANA LJ 192 (10082)</v>
      </c>
      <c r="S6178" t="s">
        <v>70</v>
      </c>
      <c r="T6178">
        <v>23428</v>
      </c>
      <c r="U6178">
        <v>22914</v>
      </c>
      <c r="V6178" t="s">
        <v>77</v>
      </c>
    </row>
    <row r="6179" spans="1:22">
      <c r="A6179" t="str">
        <f t="shared" si="1124"/>
        <v>15/10/2025</v>
      </c>
      <c r="B6179" t="str">
        <f t="shared" si="1126"/>
        <v>ENTRADA</v>
      </c>
      <c r="C6179" t="str">
        <f t="shared" si="1127"/>
        <v>NFSE</v>
      </c>
      <c r="D6179" t="str">
        <f t="shared" si="1122"/>
        <v>3464</v>
      </c>
      <c r="E6179" t="str">
        <f t="shared" si="1128"/>
        <v>1</v>
      </c>
      <c r="F6179" t="str">
        <f t="shared" si="1114"/>
        <v>COM</v>
      </c>
      <c r="G6179" t="str">
        <f t="shared" si="1123"/>
        <v>FARMÁCIA INDIANA LJ 1 (10126)</v>
      </c>
      <c r="H6179" t="s">
        <v>1649</v>
      </c>
      <c r="I6179" t="str">
        <f t="shared" si="1125"/>
        <v>15/10/2025</v>
      </c>
      <c r="J6179" t="str">
        <f t="shared" si="1129"/>
        <v>07/10/2025</v>
      </c>
      <c r="K6179">
        <v>45945</v>
      </c>
      <c r="N6179">
        <v>303</v>
      </c>
      <c r="O6179" t="s">
        <v>69</v>
      </c>
      <c r="Q6179">
        <v>356.59</v>
      </c>
      <c r="R6179" t="str">
        <f>"FARMÁCIA INDIANA LJ 195 (10083)"</f>
        <v>FARMÁCIA INDIANA LJ 195 (10083)</v>
      </c>
      <c r="S6179" t="s">
        <v>70</v>
      </c>
      <c r="T6179">
        <v>23428</v>
      </c>
      <c r="U6179">
        <v>22914</v>
      </c>
      <c r="V6179" t="s">
        <v>77</v>
      </c>
    </row>
    <row r="6180" spans="1:22">
      <c r="A6180" t="str">
        <f t="shared" si="1124"/>
        <v>15/10/2025</v>
      </c>
      <c r="B6180" t="str">
        <f t="shared" si="1126"/>
        <v>ENTRADA</v>
      </c>
      <c r="C6180" t="str">
        <f t="shared" si="1127"/>
        <v>NFSE</v>
      </c>
      <c r="D6180" t="str">
        <f t="shared" si="1122"/>
        <v>3464</v>
      </c>
      <c r="E6180" t="str">
        <f t="shared" si="1128"/>
        <v>1</v>
      </c>
      <c r="F6180" t="str">
        <f t="shared" si="1114"/>
        <v>COM</v>
      </c>
      <c r="G6180" t="str">
        <f t="shared" si="1123"/>
        <v>FARMÁCIA INDIANA LJ 1 (10126)</v>
      </c>
      <c r="H6180" t="s">
        <v>1649</v>
      </c>
      <c r="I6180" t="str">
        <f t="shared" si="1125"/>
        <v>15/10/2025</v>
      </c>
      <c r="J6180" t="str">
        <f t="shared" si="1129"/>
        <v>07/10/2025</v>
      </c>
      <c r="K6180">
        <v>45945</v>
      </c>
      <c r="N6180">
        <v>303</v>
      </c>
      <c r="O6180" t="s">
        <v>69</v>
      </c>
      <c r="Q6180">
        <v>852.71</v>
      </c>
      <c r="R6180" t="str">
        <f>"FARMÁCIA INDIANA LJ 202 (10085)"</f>
        <v>FARMÁCIA INDIANA LJ 202 (10085)</v>
      </c>
      <c r="S6180" t="s">
        <v>70</v>
      </c>
      <c r="T6180">
        <v>23428</v>
      </c>
      <c r="U6180">
        <v>22914</v>
      </c>
      <c r="V6180" t="s">
        <v>77</v>
      </c>
    </row>
    <row r="6181" spans="1:22">
      <c r="A6181" t="str">
        <f t="shared" si="1124"/>
        <v>15/10/2025</v>
      </c>
      <c r="B6181" t="str">
        <f t="shared" si="1126"/>
        <v>ENTRADA</v>
      </c>
      <c r="C6181" t="str">
        <f t="shared" si="1127"/>
        <v>NFSE</v>
      </c>
      <c r="D6181" t="str">
        <f t="shared" si="1122"/>
        <v>3464</v>
      </c>
      <c r="E6181" t="str">
        <f t="shared" si="1128"/>
        <v>1</v>
      </c>
      <c r="F6181" t="str">
        <f t="shared" si="1114"/>
        <v>COM</v>
      </c>
      <c r="G6181" t="str">
        <f t="shared" si="1123"/>
        <v>FARMÁCIA INDIANA LJ 1 (10126)</v>
      </c>
      <c r="H6181" t="s">
        <v>1649</v>
      </c>
      <c r="I6181" t="str">
        <f t="shared" si="1125"/>
        <v>15/10/2025</v>
      </c>
      <c r="J6181" t="str">
        <f t="shared" si="1129"/>
        <v>07/10/2025</v>
      </c>
      <c r="K6181">
        <v>45945</v>
      </c>
      <c r="N6181">
        <v>303</v>
      </c>
      <c r="O6181" t="s">
        <v>69</v>
      </c>
      <c r="Q6181">
        <v>713.18</v>
      </c>
      <c r="R6181" t="str">
        <f>"FARMÁCIA INDIANA LJ 204 (10087)"</f>
        <v>FARMÁCIA INDIANA LJ 204 (10087)</v>
      </c>
      <c r="S6181" t="s">
        <v>70</v>
      </c>
      <c r="T6181">
        <v>23428</v>
      </c>
      <c r="U6181">
        <v>22914</v>
      </c>
      <c r="V6181" t="s">
        <v>77</v>
      </c>
    </row>
    <row r="6182" spans="1:22">
      <c r="A6182" t="str">
        <f t="shared" si="1124"/>
        <v>15/10/2025</v>
      </c>
      <c r="B6182" t="str">
        <f t="shared" si="1126"/>
        <v>ENTRADA</v>
      </c>
      <c r="C6182" t="str">
        <f t="shared" si="1127"/>
        <v>NFSE</v>
      </c>
      <c r="D6182" t="str">
        <f t="shared" si="1122"/>
        <v>3464</v>
      </c>
      <c r="E6182" t="str">
        <f t="shared" si="1128"/>
        <v>1</v>
      </c>
      <c r="F6182" t="str">
        <f t="shared" si="1114"/>
        <v>COM</v>
      </c>
      <c r="G6182" t="str">
        <f t="shared" si="1123"/>
        <v>FARMÁCIA INDIANA LJ 1 (10126)</v>
      </c>
      <c r="H6182" t="s">
        <v>1649</v>
      </c>
      <c r="I6182" t="str">
        <f t="shared" si="1125"/>
        <v>15/10/2025</v>
      </c>
      <c r="J6182" t="str">
        <f t="shared" si="1129"/>
        <v>07/10/2025</v>
      </c>
      <c r="K6182">
        <v>45945</v>
      </c>
      <c r="N6182">
        <v>303</v>
      </c>
      <c r="O6182" t="s">
        <v>69</v>
      </c>
      <c r="Q6182">
        <v>1317.83</v>
      </c>
      <c r="R6182" t="str">
        <f>"FARMÁCIA INDIANA LJ 207 (10088)"</f>
        <v>FARMÁCIA INDIANA LJ 207 (10088)</v>
      </c>
      <c r="S6182" t="s">
        <v>70</v>
      </c>
      <c r="T6182">
        <v>23428</v>
      </c>
      <c r="U6182">
        <v>22914</v>
      </c>
      <c r="V6182" t="s">
        <v>77</v>
      </c>
    </row>
    <row r="6183" spans="1:22">
      <c r="A6183" t="str">
        <f t="shared" si="1124"/>
        <v>15/10/2025</v>
      </c>
      <c r="B6183" t="str">
        <f t="shared" si="1126"/>
        <v>ENTRADA</v>
      </c>
      <c r="C6183" t="str">
        <f t="shared" si="1127"/>
        <v>NFSE</v>
      </c>
      <c r="D6183" t="str">
        <f t="shared" si="1122"/>
        <v>3464</v>
      </c>
      <c r="E6183" t="str">
        <f t="shared" si="1128"/>
        <v>1</v>
      </c>
      <c r="F6183" t="str">
        <f t="shared" si="1114"/>
        <v>COM</v>
      </c>
      <c r="G6183" t="str">
        <f t="shared" si="1123"/>
        <v>FARMÁCIA INDIANA LJ 1 (10126)</v>
      </c>
      <c r="H6183" t="s">
        <v>1649</v>
      </c>
      <c r="I6183" t="str">
        <f t="shared" si="1125"/>
        <v>15/10/2025</v>
      </c>
      <c r="J6183" t="str">
        <f t="shared" si="1129"/>
        <v>07/10/2025</v>
      </c>
      <c r="K6183">
        <v>45945</v>
      </c>
      <c r="N6183">
        <v>303</v>
      </c>
      <c r="O6183" t="s">
        <v>69</v>
      </c>
      <c r="Q6183">
        <v>1131.78</v>
      </c>
      <c r="R6183" t="str">
        <f>"FARMÁCIA INDIANA LJ 209 (10089)"</f>
        <v>FARMÁCIA INDIANA LJ 209 (10089)</v>
      </c>
      <c r="S6183" t="s">
        <v>70</v>
      </c>
      <c r="T6183">
        <v>23428</v>
      </c>
      <c r="U6183">
        <v>22914</v>
      </c>
      <c r="V6183" t="s">
        <v>77</v>
      </c>
    </row>
    <row r="6184" spans="1:22">
      <c r="A6184" t="str">
        <f t="shared" si="1124"/>
        <v>15/10/2025</v>
      </c>
      <c r="B6184" t="str">
        <f t="shared" si="1126"/>
        <v>ENTRADA</v>
      </c>
      <c r="C6184" t="str">
        <f t="shared" si="1127"/>
        <v>NFSE</v>
      </c>
      <c r="D6184" t="str">
        <f t="shared" si="1122"/>
        <v>3464</v>
      </c>
      <c r="E6184" t="str">
        <f t="shared" si="1128"/>
        <v>1</v>
      </c>
      <c r="F6184" t="str">
        <f t="shared" si="1114"/>
        <v>COM</v>
      </c>
      <c r="G6184" t="str">
        <f t="shared" si="1123"/>
        <v>FARMÁCIA INDIANA LJ 1 (10126)</v>
      </c>
      <c r="H6184" t="s">
        <v>1649</v>
      </c>
      <c r="I6184" t="str">
        <f t="shared" si="1125"/>
        <v>15/10/2025</v>
      </c>
      <c r="J6184" t="str">
        <f t="shared" si="1129"/>
        <v>07/10/2025</v>
      </c>
      <c r="K6184">
        <v>45945</v>
      </c>
      <c r="N6184">
        <v>303</v>
      </c>
      <c r="O6184" t="s">
        <v>69</v>
      </c>
      <c r="Q6184">
        <v>1069.76</v>
      </c>
      <c r="R6184" t="str">
        <f>"FARMÁCIA INDIANA LJ 219 (10091)"</f>
        <v>FARMÁCIA INDIANA LJ 219 (10091)</v>
      </c>
      <c r="S6184" t="s">
        <v>70</v>
      </c>
      <c r="T6184">
        <v>23428</v>
      </c>
      <c r="U6184">
        <v>22914</v>
      </c>
      <c r="V6184" t="s">
        <v>77</v>
      </c>
    </row>
    <row r="6185" spans="1:22">
      <c r="A6185" t="str">
        <f t="shared" si="1124"/>
        <v>15/10/2025</v>
      </c>
      <c r="B6185" t="str">
        <f t="shared" si="1126"/>
        <v>ENTRADA</v>
      </c>
      <c r="C6185" t="str">
        <f t="shared" si="1127"/>
        <v>NFSE</v>
      </c>
      <c r="D6185" t="str">
        <f t="shared" si="1122"/>
        <v>3464</v>
      </c>
      <c r="E6185" t="str">
        <f t="shared" si="1128"/>
        <v>1</v>
      </c>
      <c r="F6185" t="str">
        <f t="shared" si="1114"/>
        <v>COM</v>
      </c>
      <c r="G6185" t="str">
        <f t="shared" si="1123"/>
        <v>FARMÁCIA INDIANA LJ 1 (10126)</v>
      </c>
      <c r="H6185" t="s">
        <v>1649</v>
      </c>
      <c r="I6185" t="str">
        <f t="shared" si="1125"/>
        <v>15/10/2025</v>
      </c>
      <c r="J6185" t="str">
        <f t="shared" si="1129"/>
        <v>07/10/2025</v>
      </c>
      <c r="K6185">
        <v>45945</v>
      </c>
      <c r="N6185">
        <v>303</v>
      </c>
      <c r="O6185" t="s">
        <v>69</v>
      </c>
      <c r="Q6185">
        <v>3178.29</v>
      </c>
      <c r="R6185" t="str">
        <f>"FARMÁCIA INDIANA LJ 220 (10092)"</f>
        <v>FARMÁCIA INDIANA LJ 220 (10092)</v>
      </c>
      <c r="S6185" t="s">
        <v>70</v>
      </c>
      <c r="T6185">
        <v>23428</v>
      </c>
      <c r="U6185">
        <v>22914</v>
      </c>
      <c r="V6185" t="s">
        <v>77</v>
      </c>
    </row>
    <row r="6186" spans="1:22">
      <c r="A6186" t="str">
        <f t="shared" si="1124"/>
        <v>15/10/2025</v>
      </c>
      <c r="B6186" t="str">
        <f t="shared" si="1126"/>
        <v>ENTRADA</v>
      </c>
      <c r="C6186" t="str">
        <f t="shared" si="1127"/>
        <v>NFSE</v>
      </c>
      <c r="D6186" t="str">
        <f t="shared" si="1122"/>
        <v>3464</v>
      </c>
      <c r="E6186" t="str">
        <f t="shared" si="1128"/>
        <v>1</v>
      </c>
      <c r="F6186" t="str">
        <f t="shared" ref="F6186:F6249" si="1130">"COM"</f>
        <v>COM</v>
      </c>
      <c r="G6186" t="str">
        <f t="shared" si="1123"/>
        <v>FARMÁCIA INDIANA LJ 1 (10126)</v>
      </c>
      <c r="H6186" t="s">
        <v>1649</v>
      </c>
      <c r="I6186" t="str">
        <f t="shared" si="1125"/>
        <v>15/10/2025</v>
      </c>
      <c r="J6186" t="str">
        <f t="shared" si="1129"/>
        <v>07/10/2025</v>
      </c>
      <c r="K6186">
        <v>45945</v>
      </c>
      <c r="N6186">
        <v>303</v>
      </c>
      <c r="O6186" t="s">
        <v>69</v>
      </c>
      <c r="Q6186">
        <v>976.74</v>
      </c>
      <c r="R6186" t="str">
        <f>"FARMÁCIA INDIANA LJ 185 (10141)"</f>
        <v>FARMÁCIA INDIANA LJ 185 (10141)</v>
      </c>
      <c r="S6186" t="s">
        <v>70</v>
      </c>
      <c r="T6186">
        <v>23428</v>
      </c>
      <c r="U6186">
        <v>22914</v>
      </c>
      <c r="V6186" t="s">
        <v>77</v>
      </c>
    </row>
    <row r="6187" spans="1:22">
      <c r="A6187" t="str">
        <f t="shared" si="1124"/>
        <v>15/10/2025</v>
      </c>
      <c r="B6187" t="str">
        <f t="shared" si="1126"/>
        <v>ENTRADA</v>
      </c>
      <c r="C6187" t="str">
        <f t="shared" si="1127"/>
        <v>NFSE</v>
      </c>
      <c r="D6187" t="str">
        <f t="shared" si="1122"/>
        <v>3464</v>
      </c>
      <c r="E6187" t="str">
        <f t="shared" si="1128"/>
        <v>1</v>
      </c>
      <c r="F6187" t="str">
        <f t="shared" si="1130"/>
        <v>COM</v>
      </c>
      <c r="G6187" t="str">
        <f t="shared" si="1123"/>
        <v>FARMÁCIA INDIANA LJ 1 (10126)</v>
      </c>
      <c r="H6187" t="s">
        <v>1649</v>
      </c>
      <c r="I6187" t="str">
        <f t="shared" si="1125"/>
        <v>15/10/2025</v>
      </c>
      <c r="J6187" t="str">
        <f t="shared" si="1129"/>
        <v>07/10/2025</v>
      </c>
      <c r="K6187">
        <v>45945</v>
      </c>
      <c r="N6187">
        <v>303</v>
      </c>
      <c r="O6187" t="s">
        <v>69</v>
      </c>
      <c r="Q6187">
        <v>961.24</v>
      </c>
      <c r="R6187" t="str">
        <f>"FARMÁCIA INDIANA LJ 205 (10150)"</f>
        <v>FARMÁCIA INDIANA LJ 205 (10150)</v>
      </c>
      <c r="S6187" t="s">
        <v>70</v>
      </c>
      <c r="T6187">
        <v>23428</v>
      </c>
      <c r="U6187">
        <v>22914</v>
      </c>
      <c r="V6187" t="s">
        <v>77</v>
      </c>
    </row>
    <row r="6188" spans="1:22">
      <c r="A6188" t="str">
        <f t="shared" si="1124"/>
        <v>15/10/2025</v>
      </c>
      <c r="B6188" t="str">
        <f t="shared" si="1126"/>
        <v>ENTRADA</v>
      </c>
      <c r="C6188" t="str">
        <f t="shared" si="1127"/>
        <v>NFSE</v>
      </c>
      <c r="D6188" t="str">
        <f t="shared" si="1122"/>
        <v>3464</v>
      </c>
      <c r="E6188" t="str">
        <f t="shared" si="1128"/>
        <v>1</v>
      </c>
      <c r="F6188" t="str">
        <f t="shared" si="1130"/>
        <v>COM</v>
      </c>
      <c r="G6188" t="str">
        <f t="shared" si="1123"/>
        <v>FARMÁCIA INDIANA LJ 1 (10126)</v>
      </c>
      <c r="H6188" t="s">
        <v>1649</v>
      </c>
      <c r="I6188" t="str">
        <f t="shared" ref="I6188:I6202" si="1131">("15/10/2025")</f>
        <v>15/10/2025</v>
      </c>
      <c r="J6188" t="str">
        <f t="shared" si="1129"/>
        <v>07/10/2025</v>
      </c>
      <c r="K6188">
        <v>45945</v>
      </c>
      <c r="N6188">
        <v>303</v>
      </c>
      <c r="O6188" t="s">
        <v>69</v>
      </c>
      <c r="Q6188">
        <v>6945.72</v>
      </c>
      <c r="R6188" t="str">
        <f>"FARMÁCIA INDIANA LJ 172 (10161)"</f>
        <v>FARMÁCIA INDIANA LJ 172 (10161)</v>
      </c>
      <c r="S6188" t="s">
        <v>70</v>
      </c>
      <c r="T6188">
        <v>23428</v>
      </c>
      <c r="U6188">
        <v>22914</v>
      </c>
      <c r="V6188" t="s">
        <v>77</v>
      </c>
    </row>
    <row r="6189" spans="1:22">
      <c r="A6189" t="str">
        <f t="shared" si="1124"/>
        <v>15/10/2025</v>
      </c>
      <c r="B6189" t="str">
        <f t="shared" si="1126"/>
        <v>ENTRADA</v>
      </c>
      <c r="C6189" t="str">
        <f t="shared" si="1127"/>
        <v>NFSE</v>
      </c>
      <c r="D6189" t="str">
        <f t="shared" si="1122"/>
        <v>3464</v>
      </c>
      <c r="E6189" t="str">
        <f t="shared" si="1128"/>
        <v>1</v>
      </c>
      <c r="F6189" t="str">
        <f t="shared" si="1130"/>
        <v>COM</v>
      </c>
      <c r="G6189" t="str">
        <f t="shared" si="1123"/>
        <v>FARMÁCIA INDIANA LJ 1 (10126)</v>
      </c>
      <c r="H6189" t="s">
        <v>1649</v>
      </c>
      <c r="I6189" t="str">
        <f t="shared" si="1131"/>
        <v>15/10/2025</v>
      </c>
      <c r="J6189" t="str">
        <f t="shared" si="1129"/>
        <v>07/10/2025</v>
      </c>
      <c r="K6189">
        <v>45945</v>
      </c>
      <c r="N6189">
        <v>303</v>
      </c>
      <c r="O6189" t="s">
        <v>69</v>
      </c>
      <c r="Q6189">
        <v>713.18</v>
      </c>
      <c r="R6189" t="str">
        <f>"FARMÁCIA INDIANA LJ 266 (10186)"</f>
        <v>FARMÁCIA INDIANA LJ 266 (10186)</v>
      </c>
      <c r="S6189" t="s">
        <v>70</v>
      </c>
      <c r="T6189">
        <v>23428</v>
      </c>
      <c r="U6189">
        <v>22914</v>
      </c>
      <c r="V6189" t="s">
        <v>77</v>
      </c>
    </row>
    <row r="6190" spans="1:22">
      <c r="A6190" t="str">
        <f t="shared" si="1124"/>
        <v>15/10/2025</v>
      </c>
      <c r="B6190" t="str">
        <f t="shared" si="1126"/>
        <v>ENTRADA</v>
      </c>
      <c r="C6190" t="str">
        <f t="shared" si="1127"/>
        <v>NFSE</v>
      </c>
      <c r="D6190" t="str">
        <f t="shared" ref="D6190:D6200" si="1132">"3465"</f>
        <v>3465</v>
      </c>
      <c r="E6190" t="str">
        <f t="shared" si="1128"/>
        <v>1</v>
      </c>
      <c r="F6190" t="str">
        <f t="shared" si="1130"/>
        <v>COM</v>
      </c>
      <c r="G6190" t="str">
        <f t="shared" ref="G6190:G6200" si="1133">"FARMÁCIA INDIANA LJ 85 (10128)"</f>
        <v>FARMÁCIA INDIANA LJ 85 (10128)</v>
      </c>
      <c r="H6190" t="str">
        <f>"Serv.Prest. 26/09/2025 a 05/10/2025 - RPS: 1341 - NFSe: 3465"</f>
        <v>Serv.Prest. 26/09/2025 a 05/10/2025 - RPS: 1341 - NFSe: 3465</v>
      </c>
      <c r="I6190" t="str">
        <f t="shared" si="1131"/>
        <v>15/10/2025</v>
      </c>
      <c r="J6190" t="str">
        <f t="shared" si="1129"/>
        <v>07/10/2025</v>
      </c>
      <c r="K6190" t="str">
        <f>("15/10/2025")</f>
        <v>15/10/2025</v>
      </c>
      <c r="L6190">
        <v>9879.31</v>
      </c>
      <c r="M6190">
        <v>9879.31</v>
      </c>
      <c r="N6190">
        <v>303</v>
      </c>
      <c r="O6190" t="str">
        <f>"RECEITAS COM ENTREGAS"</f>
        <v>RECEITAS COM ENTREGAS</v>
      </c>
      <c r="P6190">
        <v>9879.31</v>
      </c>
      <c r="S6190" t="str">
        <f>"RECEITAS COM ENTREGAS (303)"</f>
        <v>RECEITAS COM ENTREGAS (303)</v>
      </c>
      <c r="T6190">
        <v>23429</v>
      </c>
      <c r="U6190">
        <v>23018</v>
      </c>
      <c r="V6190" t="s">
        <v>77</v>
      </c>
    </row>
    <row r="6191" spans="1:22">
      <c r="A6191" t="str">
        <f t="shared" si="1124"/>
        <v>15/10/2025</v>
      </c>
      <c r="B6191" t="str">
        <f t="shared" si="1126"/>
        <v>ENTRADA</v>
      </c>
      <c r="C6191" t="str">
        <f t="shared" si="1127"/>
        <v>NFSE</v>
      </c>
      <c r="D6191" t="str">
        <f t="shared" si="1132"/>
        <v>3465</v>
      </c>
      <c r="E6191" t="str">
        <f t="shared" si="1128"/>
        <v>1</v>
      </c>
      <c r="F6191" t="str">
        <f t="shared" si="1130"/>
        <v>COM</v>
      </c>
      <c r="G6191" t="str">
        <f t="shared" si="1133"/>
        <v>FARMÁCIA INDIANA LJ 85 (10128)</v>
      </c>
      <c r="H6191" t="s">
        <v>1650</v>
      </c>
      <c r="I6191" t="str">
        <f t="shared" si="1131"/>
        <v>15/10/2025</v>
      </c>
      <c r="J6191" t="str">
        <f t="shared" si="1129"/>
        <v>07/10/2025</v>
      </c>
      <c r="K6191">
        <v>45945</v>
      </c>
      <c r="N6191">
        <v>303</v>
      </c>
      <c r="O6191" t="s">
        <v>69</v>
      </c>
      <c r="Q6191">
        <v>917.78</v>
      </c>
      <c r="R6191" t="str">
        <f>"FARMÁCIA INDIANA LJ 119 (10053)"</f>
        <v>FARMÁCIA INDIANA LJ 119 (10053)</v>
      </c>
      <c r="S6191" t="s">
        <v>70</v>
      </c>
      <c r="T6191">
        <v>23429</v>
      </c>
      <c r="U6191">
        <v>23018</v>
      </c>
      <c r="V6191" t="s">
        <v>77</v>
      </c>
    </row>
    <row r="6192" spans="1:22">
      <c r="A6192" t="str">
        <f t="shared" si="1124"/>
        <v>15/10/2025</v>
      </c>
      <c r="B6192" t="str">
        <f t="shared" si="1126"/>
        <v>ENTRADA</v>
      </c>
      <c r="C6192" t="str">
        <f t="shared" si="1127"/>
        <v>NFSE</v>
      </c>
      <c r="D6192" t="str">
        <f t="shared" si="1132"/>
        <v>3465</v>
      </c>
      <c r="E6192" t="str">
        <f t="shared" si="1128"/>
        <v>1</v>
      </c>
      <c r="F6192" t="str">
        <f t="shared" si="1130"/>
        <v>COM</v>
      </c>
      <c r="G6192" t="str">
        <f t="shared" si="1133"/>
        <v>FARMÁCIA INDIANA LJ 85 (10128)</v>
      </c>
      <c r="H6192" t="s">
        <v>1650</v>
      </c>
      <c r="I6192" t="str">
        <f t="shared" si="1131"/>
        <v>15/10/2025</v>
      </c>
      <c r="J6192" t="str">
        <f t="shared" si="1129"/>
        <v>07/10/2025</v>
      </c>
      <c r="K6192">
        <v>45945</v>
      </c>
      <c r="N6192">
        <v>303</v>
      </c>
      <c r="O6192" t="s">
        <v>69</v>
      </c>
      <c r="Q6192">
        <v>1714.06</v>
      </c>
      <c r="R6192" t="str">
        <f>"FARMÁCIA INDIANA LJ 163 (10072)"</f>
        <v>FARMÁCIA INDIANA LJ 163 (10072)</v>
      </c>
      <c r="S6192" t="s">
        <v>70</v>
      </c>
      <c r="T6192">
        <v>23429</v>
      </c>
      <c r="U6192">
        <v>23018</v>
      </c>
      <c r="V6192" t="s">
        <v>77</v>
      </c>
    </row>
    <row r="6193" spans="1:22">
      <c r="A6193" t="str">
        <f t="shared" si="1124"/>
        <v>15/10/2025</v>
      </c>
      <c r="B6193" t="str">
        <f t="shared" ref="B6193:B6202" si="1134">"ENTRADA"</f>
        <v>ENTRADA</v>
      </c>
      <c r="C6193" t="str">
        <f t="shared" ref="C6193:C6202" si="1135">"NFSE"</f>
        <v>NFSE</v>
      </c>
      <c r="D6193" t="str">
        <f t="shared" si="1132"/>
        <v>3465</v>
      </c>
      <c r="E6193" t="str">
        <f t="shared" ref="E6193:E6206" si="1136">"1"</f>
        <v>1</v>
      </c>
      <c r="F6193" t="str">
        <f t="shared" si="1130"/>
        <v>COM</v>
      </c>
      <c r="G6193" t="str">
        <f t="shared" si="1133"/>
        <v>FARMÁCIA INDIANA LJ 85 (10128)</v>
      </c>
      <c r="H6193" t="s">
        <v>1650</v>
      </c>
      <c r="I6193" t="str">
        <f t="shared" si="1131"/>
        <v>15/10/2025</v>
      </c>
      <c r="J6193" t="str">
        <f t="shared" ref="J6193:J6200" si="1137">("07/10/2025")</f>
        <v>07/10/2025</v>
      </c>
      <c r="K6193">
        <v>45945</v>
      </c>
      <c r="N6193">
        <v>303</v>
      </c>
      <c r="O6193" t="s">
        <v>69</v>
      </c>
      <c r="Q6193">
        <v>1749.63</v>
      </c>
      <c r="R6193" t="str">
        <f>"FARMÁCIA INDIANA LJ 181 (10078)"</f>
        <v>FARMÁCIA INDIANA LJ 181 (10078)</v>
      </c>
      <c r="S6193" t="s">
        <v>70</v>
      </c>
      <c r="T6193">
        <v>23429</v>
      </c>
      <c r="U6193">
        <v>23018</v>
      </c>
      <c r="V6193" t="s">
        <v>77</v>
      </c>
    </row>
    <row r="6194" spans="1:22">
      <c r="A6194" t="str">
        <f t="shared" si="1124"/>
        <v>15/10/2025</v>
      </c>
      <c r="B6194" t="str">
        <f t="shared" si="1134"/>
        <v>ENTRADA</v>
      </c>
      <c r="C6194" t="str">
        <f t="shared" si="1135"/>
        <v>NFSE</v>
      </c>
      <c r="D6194" t="str">
        <f t="shared" si="1132"/>
        <v>3465</v>
      </c>
      <c r="E6194" t="str">
        <f t="shared" si="1136"/>
        <v>1</v>
      </c>
      <c r="F6194" t="str">
        <f t="shared" si="1130"/>
        <v>COM</v>
      </c>
      <c r="G6194" t="str">
        <f t="shared" si="1133"/>
        <v>FARMÁCIA INDIANA LJ 85 (10128)</v>
      </c>
      <c r="H6194" t="s">
        <v>1650</v>
      </c>
      <c r="I6194" t="str">
        <f t="shared" si="1131"/>
        <v>15/10/2025</v>
      </c>
      <c r="J6194" t="str">
        <f t="shared" si="1137"/>
        <v>07/10/2025</v>
      </c>
      <c r="K6194">
        <v>45945</v>
      </c>
      <c r="N6194">
        <v>303</v>
      </c>
      <c r="O6194" t="s">
        <v>69</v>
      </c>
      <c r="Q6194">
        <v>915.81</v>
      </c>
      <c r="R6194" t="str">
        <f>"FARMÁCIA INDIANA LJ 221 (10093)"</f>
        <v>FARMÁCIA INDIANA LJ 221 (10093)</v>
      </c>
      <c r="S6194" t="s">
        <v>70</v>
      </c>
      <c r="T6194">
        <v>23429</v>
      </c>
      <c r="U6194">
        <v>23018</v>
      </c>
      <c r="V6194" t="s">
        <v>77</v>
      </c>
    </row>
    <row r="6195" spans="1:22">
      <c r="A6195" t="str">
        <f t="shared" si="1124"/>
        <v>15/10/2025</v>
      </c>
      <c r="B6195" t="str">
        <f t="shared" si="1134"/>
        <v>ENTRADA</v>
      </c>
      <c r="C6195" t="str">
        <f t="shared" si="1135"/>
        <v>NFSE</v>
      </c>
      <c r="D6195" t="str">
        <f t="shared" si="1132"/>
        <v>3465</v>
      </c>
      <c r="E6195" t="str">
        <f t="shared" si="1136"/>
        <v>1</v>
      </c>
      <c r="F6195" t="str">
        <f t="shared" si="1130"/>
        <v>COM</v>
      </c>
      <c r="G6195" t="str">
        <f t="shared" si="1133"/>
        <v>FARMÁCIA INDIANA LJ 85 (10128)</v>
      </c>
      <c r="H6195" t="s">
        <v>1650</v>
      </c>
      <c r="I6195" t="str">
        <f t="shared" si="1131"/>
        <v>15/10/2025</v>
      </c>
      <c r="J6195" t="str">
        <f t="shared" si="1137"/>
        <v>07/10/2025</v>
      </c>
      <c r="K6195">
        <v>45945</v>
      </c>
      <c r="N6195">
        <v>303</v>
      </c>
      <c r="O6195" t="s">
        <v>69</v>
      </c>
      <c r="Q6195">
        <v>1167.73</v>
      </c>
      <c r="R6195" t="str">
        <f>"FARMÁCIA INDIANA LJ 243 (10142)"</f>
        <v>FARMÁCIA INDIANA LJ 243 (10142)</v>
      </c>
      <c r="S6195" t="s">
        <v>70</v>
      </c>
      <c r="T6195">
        <v>23429</v>
      </c>
      <c r="U6195">
        <v>23018</v>
      </c>
      <c r="V6195" t="s">
        <v>77</v>
      </c>
    </row>
    <row r="6196" spans="1:22">
      <c r="A6196" t="str">
        <f t="shared" si="1124"/>
        <v>15/10/2025</v>
      </c>
      <c r="B6196" t="str">
        <f t="shared" si="1134"/>
        <v>ENTRADA</v>
      </c>
      <c r="C6196" t="str">
        <f t="shared" si="1135"/>
        <v>NFSE</v>
      </c>
      <c r="D6196" t="str">
        <f t="shared" si="1132"/>
        <v>3465</v>
      </c>
      <c r="E6196" t="str">
        <f t="shared" si="1136"/>
        <v>1</v>
      </c>
      <c r="F6196" t="str">
        <f t="shared" si="1130"/>
        <v>COM</v>
      </c>
      <c r="G6196" t="str">
        <f t="shared" si="1133"/>
        <v>FARMÁCIA INDIANA LJ 85 (10128)</v>
      </c>
      <c r="H6196" t="s">
        <v>1650</v>
      </c>
      <c r="I6196" t="str">
        <f t="shared" si="1131"/>
        <v>15/10/2025</v>
      </c>
      <c r="J6196" t="str">
        <f t="shared" si="1137"/>
        <v>07/10/2025</v>
      </c>
      <c r="K6196">
        <v>45945</v>
      </c>
      <c r="N6196">
        <v>303</v>
      </c>
      <c r="O6196" t="s">
        <v>69</v>
      </c>
      <c r="Q6196">
        <v>488.04</v>
      </c>
      <c r="R6196" t="str">
        <f>"FARMÁCIA INDIANA LJ 211 (10168)"</f>
        <v>FARMÁCIA INDIANA LJ 211 (10168)</v>
      </c>
      <c r="S6196" t="s">
        <v>70</v>
      </c>
      <c r="T6196">
        <v>23429</v>
      </c>
      <c r="U6196">
        <v>23018</v>
      </c>
      <c r="V6196" t="s">
        <v>77</v>
      </c>
    </row>
    <row r="6197" spans="1:22">
      <c r="A6197" t="str">
        <f t="shared" si="1124"/>
        <v>15/10/2025</v>
      </c>
      <c r="B6197" t="str">
        <f t="shared" si="1134"/>
        <v>ENTRADA</v>
      </c>
      <c r="C6197" t="str">
        <f t="shared" si="1135"/>
        <v>NFSE</v>
      </c>
      <c r="D6197" t="str">
        <f t="shared" si="1132"/>
        <v>3465</v>
      </c>
      <c r="E6197" t="str">
        <f t="shared" si="1136"/>
        <v>1</v>
      </c>
      <c r="F6197" t="str">
        <f t="shared" si="1130"/>
        <v>COM</v>
      </c>
      <c r="G6197" t="str">
        <f t="shared" si="1133"/>
        <v>FARMÁCIA INDIANA LJ 85 (10128)</v>
      </c>
      <c r="H6197" t="s">
        <v>1650</v>
      </c>
      <c r="I6197" t="str">
        <f t="shared" si="1131"/>
        <v>15/10/2025</v>
      </c>
      <c r="J6197" t="str">
        <f t="shared" si="1137"/>
        <v>07/10/2025</v>
      </c>
      <c r="K6197">
        <v>45945</v>
      </c>
      <c r="N6197">
        <v>303</v>
      </c>
      <c r="O6197" t="s">
        <v>69</v>
      </c>
      <c r="Q6197">
        <v>488.04</v>
      </c>
      <c r="R6197" t="str">
        <f>"FARMÁCIA INDIANA LJ 236 (10169)"</f>
        <v>FARMÁCIA INDIANA LJ 236 (10169)</v>
      </c>
      <c r="S6197" t="s">
        <v>70</v>
      </c>
      <c r="T6197">
        <v>23429</v>
      </c>
      <c r="U6197">
        <v>23018</v>
      </c>
      <c r="V6197" t="s">
        <v>77</v>
      </c>
    </row>
    <row r="6198" spans="1:22">
      <c r="A6198" t="str">
        <f t="shared" si="1124"/>
        <v>15/10/2025</v>
      </c>
      <c r="B6198" t="str">
        <f t="shared" si="1134"/>
        <v>ENTRADA</v>
      </c>
      <c r="C6198" t="str">
        <f t="shared" si="1135"/>
        <v>NFSE</v>
      </c>
      <c r="D6198" t="str">
        <f t="shared" si="1132"/>
        <v>3465</v>
      </c>
      <c r="E6198" t="str">
        <f t="shared" si="1136"/>
        <v>1</v>
      </c>
      <c r="F6198" t="str">
        <f t="shared" si="1130"/>
        <v>COM</v>
      </c>
      <c r="G6198" t="str">
        <f t="shared" si="1133"/>
        <v>FARMÁCIA INDIANA LJ 85 (10128)</v>
      </c>
      <c r="H6198" t="s">
        <v>1650</v>
      </c>
      <c r="I6198" t="str">
        <f t="shared" si="1131"/>
        <v>15/10/2025</v>
      </c>
      <c r="J6198" t="str">
        <f t="shared" si="1137"/>
        <v>07/10/2025</v>
      </c>
      <c r="K6198">
        <v>45945</v>
      </c>
      <c r="N6198">
        <v>303</v>
      </c>
      <c r="O6198" t="s">
        <v>69</v>
      </c>
      <c r="Q6198">
        <v>976.08</v>
      </c>
      <c r="R6198" t="str">
        <f>"FARMÁCIA INDIANA LJ 188 (10176)"</f>
        <v>FARMÁCIA INDIANA LJ 188 (10176)</v>
      </c>
      <c r="S6198" t="s">
        <v>70</v>
      </c>
      <c r="T6198">
        <v>23429</v>
      </c>
      <c r="U6198">
        <v>23018</v>
      </c>
      <c r="V6198" t="s">
        <v>77</v>
      </c>
    </row>
    <row r="6199" spans="1:22">
      <c r="A6199" t="str">
        <f t="shared" si="1124"/>
        <v>15/10/2025</v>
      </c>
      <c r="B6199" t="str">
        <f t="shared" si="1134"/>
        <v>ENTRADA</v>
      </c>
      <c r="C6199" t="str">
        <f t="shared" si="1135"/>
        <v>NFSE</v>
      </c>
      <c r="D6199" t="str">
        <f t="shared" si="1132"/>
        <v>3465</v>
      </c>
      <c r="E6199" t="str">
        <f t="shared" si="1136"/>
        <v>1</v>
      </c>
      <c r="F6199" t="str">
        <f t="shared" si="1130"/>
        <v>COM</v>
      </c>
      <c r="G6199" t="str">
        <f t="shared" si="1133"/>
        <v>FARMÁCIA INDIANA LJ 85 (10128)</v>
      </c>
      <c r="H6199" t="s">
        <v>1650</v>
      </c>
      <c r="I6199" t="str">
        <f t="shared" si="1131"/>
        <v>15/10/2025</v>
      </c>
      <c r="J6199" t="str">
        <f t="shared" si="1137"/>
        <v>07/10/2025</v>
      </c>
      <c r="K6199">
        <v>45945</v>
      </c>
      <c r="N6199">
        <v>303</v>
      </c>
      <c r="O6199" t="s">
        <v>69</v>
      </c>
      <c r="Q6199">
        <v>1215.1600000000001</v>
      </c>
      <c r="R6199" t="str">
        <f>"FARMÁCIA INDIANA LJ 273 (10188)"</f>
        <v>FARMÁCIA INDIANA LJ 273 (10188)</v>
      </c>
      <c r="S6199" t="s">
        <v>70</v>
      </c>
      <c r="T6199">
        <v>23429</v>
      </c>
      <c r="U6199">
        <v>23018</v>
      </c>
      <c r="V6199" t="s">
        <v>77</v>
      </c>
    </row>
    <row r="6200" spans="1:22">
      <c r="A6200" t="str">
        <f t="shared" si="1124"/>
        <v>15/10/2025</v>
      </c>
      <c r="B6200" t="str">
        <f t="shared" si="1134"/>
        <v>ENTRADA</v>
      </c>
      <c r="C6200" t="str">
        <f t="shared" si="1135"/>
        <v>NFSE</v>
      </c>
      <c r="D6200" t="str">
        <f t="shared" si="1132"/>
        <v>3465</v>
      </c>
      <c r="E6200" t="str">
        <f t="shared" si="1136"/>
        <v>1</v>
      </c>
      <c r="F6200" t="str">
        <f t="shared" si="1130"/>
        <v>COM</v>
      </c>
      <c r="G6200" t="str">
        <f t="shared" si="1133"/>
        <v>FARMÁCIA INDIANA LJ 85 (10128)</v>
      </c>
      <c r="H6200" t="s">
        <v>1650</v>
      </c>
      <c r="I6200" t="str">
        <f t="shared" si="1131"/>
        <v>15/10/2025</v>
      </c>
      <c r="J6200" t="str">
        <f t="shared" si="1137"/>
        <v>07/10/2025</v>
      </c>
      <c r="K6200">
        <v>45945</v>
      </c>
      <c r="N6200">
        <v>303</v>
      </c>
      <c r="O6200" t="s">
        <v>69</v>
      </c>
      <c r="Q6200">
        <v>246.98</v>
      </c>
      <c r="R6200" t="str">
        <f>"FARMÁCIA INDIANA LJ 235 (10190)"</f>
        <v>FARMÁCIA INDIANA LJ 235 (10190)</v>
      </c>
      <c r="S6200" t="s">
        <v>70</v>
      </c>
      <c r="T6200">
        <v>23429</v>
      </c>
      <c r="U6200">
        <v>23018</v>
      </c>
      <c r="V6200" t="s">
        <v>77</v>
      </c>
    </row>
    <row r="6201" spans="1:22">
      <c r="A6201" t="str">
        <f t="shared" si="1124"/>
        <v>15/10/2025</v>
      </c>
      <c r="B6201" t="str">
        <f t="shared" si="1134"/>
        <v>ENTRADA</v>
      </c>
      <c r="C6201" t="str">
        <f t="shared" si="1135"/>
        <v>NFSE</v>
      </c>
      <c r="D6201" t="str">
        <f>"3471"</f>
        <v>3471</v>
      </c>
      <c r="E6201" t="str">
        <f t="shared" si="1136"/>
        <v>1</v>
      </c>
      <c r="F6201" t="str">
        <f t="shared" si="1130"/>
        <v>COM</v>
      </c>
      <c r="G6201" t="str">
        <f>"FARMÁCIA INDIANA LJ 1 (10126)"</f>
        <v>FARMÁCIA INDIANA LJ 1 (10126)</v>
      </c>
      <c r="H6201" t="str">
        <f>"Serv.Prest. 29/09/2025 a 29/09/2025 - RPS: 1347 - NFSe: 3471"</f>
        <v>Serv.Prest. 29/09/2025 a 29/09/2025 - RPS: 1347 - NFSe: 3471</v>
      </c>
      <c r="I6201" t="str">
        <f t="shared" si="1131"/>
        <v>15/10/2025</v>
      </c>
      <c r="J6201" t="str">
        <f>("08/10/2025")</f>
        <v>08/10/2025</v>
      </c>
      <c r="K6201" t="str">
        <f>("15/10/2025")</f>
        <v>15/10/2025</v>
      </c>
      <c r="L6201">
        <v>242.5</v>
      </c>
      <c r="M6201">
        <v>242.5</v>
      </c>
      <c r="N6201">
        <v>303</v>
      </c>
      <c r="O6201" t="str">
        <f>"RECEITAS COM ENTREGAS"</f>
        <v>RECEITAS COM ENTREGAS</v>
      </c>
      <c r="P6201">
        <v>242.5</v>
      </c>
      <c r="S6201" t="str">
        <f>"RECEITAS COM ENTREGAS (303)"</f>
        <v>RECEITAS COM ENTREGAS (303)</v>
      </c>
      <c r="T6201">
        <v>23430</v>
      </c>
      <c r="U6201">
        <v>23058</v>
      </c>
      <c r="V6201" t="s">
        <v>77</v>
      </c>
    </row>
    <row r="6202" spans="1:22">
      <c r="A6202" t="str">
        <f t="shared" si="1124"/>
        <v>15/10/2025</v>
      </c>
      <c r="B6202" t="str">
        <f t="shared" si="1134"/>
        <v>ENTRADA</v>
      </c>
      <c r="C6202" t="str">
        <f t="shared" si="1135"/>
        <v>NFSE</v>
      </c>
      <c r="D6202" t="str">
        <f>"3471"</f>
        <v>3471</v>
      </c>
      <c r="E6202" t="str">
        <f t="shared" si="1136"/>
        <v>1</v>
      </c>
      <c r="F6202" t="str">
        <f t="shared" si="1130"/>
        <v>COM</v>
      </c>
      <c r="G6202" t="str">
        <f>"FARMÁCIA INDIANA LJ 1 (10126)"</f>
        <v>FARMÁCIA INDIANA LJ 1 (10126)</v>
      </c>
      <c r="H6202" t="s">
        <v>1651</v>
      </c>
      <c r="I6202" t="str">
        <f t="shared" si="1131"/>
        <v>15/10/2025</v>
      </c>
      <c r="J6202" t="str">
        <f>("08/10/2025")</f>
        <v>08/10/2025</v>
      </c>
      <c r="K6202">
        <v>45945</v>
      </c>
      <c r="N6202">
        <v>303</v>
      </c>
      <c r="O6202" t="s">
        <v>69</v>
      </c>
      <c r="Q6202">
        <v>242.5</v>
      </c>
      <c r="R6202" t="str">
        <f>"FARMÁCIA INDIANA LJ 18 (10011)"</f>
        <v>FARMÁCIA INDIANA LJ 18 (10011)</v>
      </c>
      <c r="S6202" t="s">
        <v>70</v>
      </c>
      <c r="T6202">
        <v>23430</v>
      </c>
      <c r="U6202">
        <v>23058</v>
      </c>
      <c r="V6202" t="s">
        <v>77</v>
      </c>
    </row>
    <row r="6203" spans="1:22">
      <c r="A6203" t="str">
        <f t="shared" ref="A6203:A6266" si="1138">("16/10/2025")</f>
        <v>16/10/2025</v>
      </c>
      <c r="B6203" t="str">
        <f t="shared" ref="B6203:B6266" si="1139">"SAÍDA"</f>
        <v>SAÍDA</v>
      </c>
      <c r="C6203" t="str">
        <f t="shared" ref="C6203:C6266" si="1140">"PIX"</f>
        <v>PIX</v>
      </c>
      <c r="D6203" t="str">
        <f>"23756"</f>
        <v>23756</v>
      </c>
      <c r="E6203" t="str">
        <f t="shared" si="1136"/>
        <v>1</v>
      </c>
      <c r="F6203" t="str">
        <f t="shared" si="1130"/>
        <v>COM</v>
      </c>
      <c r="G6203" t="str">
        <f>"NATANAEL AZEVEDO DOS SANTOS (765)"</f>
        <v>NATANAEL AZEVEDO DOS SANTOS (765)</v>
      </c>
      <c r="H6203" t="str">
        <f>"Serv.Prest. 06/10/2025 a 12/10/2025 - PIX: CPF - CHAVE: 007.842.745-25"</f>
        <v>Serv.Prest. 06/10/2025 a 12/10/2025 - PIX: CPF - CHAVE: 007.842.745-25</v>
      </c>
      <c r="I6203" t="str">
        <f>("23/10/2025")</f>
        <v>23/10/2025</v>
      </c>
      <c r="J6203" t="str">
        <f>("14/10/2025")</f>
        <v>14/10/2025</v>
      </c>
      <c r="K6203" t="str">
        <f>("16/10/2025")</f>
        <v>16/10/2025</v>
      </c>
      <c r="L6203">
        <v>270</v>
      </c>
      <c r="M6203">
        <v>270</v>
      </c>
      <c r="N6203">
        <v>109</v>
      </c>
      <c r="O6203" t="str">
        <f>"PAGAMENTO DE ENTREGADORES"</f>
        <v>PAGAMENTO DE ENTREGADORES</v>
      </c>
      <c r="P6203">
        <v>270</v>
      </c>
      <c r="S6203" t="str">
        <f>"BANCO CORA (102)"</f>
        <v>BANCO CORA (102)</v>
      </c>
      <c r="T6203">
        <v>19632</v>
      </c>
      <c r="U6203">
        <v>23756</v>
      </c>
      <c r="V6203" t="s">
        <v>22</v>
      </c>
    </row>
    <row r="6204" spans="1:22">
      <c r="A6204" t="str">
        <f t="shared" si="1138"/>
        <v>16/10/2025</v>
      </c>
      <c r="B6204" t="str">
        <f t="shared" si="1139"/>
        <v>SAÍDA</v>
      </c>
      <c r="C6204" t="str">
        <f t="shared" si="1140"/>
        <v>PIX</v>
      </c>
      <c r="D6204" t="str">
        <f>"23756"</f>
        <v>23756</v>
      </c>
      <c r="E6204" t="str">
        <f t="shared" si="1136"/>
        <v>1</v>
      </c>
      <c r="F6204" t="str">
        <f t="shared" si="1130"/>
        <v>COM</v>
      </c>
      <c r="G6204" t="str">
        <f>"NATANAEL AZEVEDO DOS SANTOS (765)"</f>
        <v>NATANAEL AZEVEDO DOS SANTOS (765)</v>
      </c>
      <c r="H6204" t="s">
        <v>1652</v>
      </c>
      <c r="I6204" t="str">
        <f>("23/10/2025")</f>
        <v>23/10/2025</v>
      </c>
      <c r="J6204" t="str">
        <f>("14/10/2025")</f>
        <v>14/10/2025</v>
      </c>
      <c r="K6204">
        <v>45946</v>
      </c>
      <c r="N6204">
        <v>109</v>
      </c>
      <c r="O6204" t="s">
        <v>24</v>
      </c>
      <c r="Q6204">
        <v>270</v>
      </c>
      <c r="R6204" t="str">
        <f>"FARMÁCIA INDIANA LJ 91 (10037)"</f>
        <v>FARMÁCIA INDIANA LJ 91 (10037)</v>
      </c>
      <c r="S6204" t="s">
        <v>22</v>
      </c>
      <c r="T6204">
        <v>19632</v>
      </c>
      <c r="U6204">
        <v>23756</v>
      </c>
      <c r="V6204" t="s">
        <v>22</v>
      </c>
    </row>
    <row r="6205" spans="1:22">
      <c r="A6205" t="str">
        <f t="shared" si="1138"/>
        <v>16/10/2025</v>
      </c>
      <c r="B6205" t="str">
        <f t="shared" si="1139"/>
        <v>SAÍDA</v>
      </c>
      <c r="C6205" t="str">
        <f t="shared" si="1140"/>
        <v>PIX</v>
      </c>
      <c r="D6205" t="str">
        <f>"23727"</f>
        <v>23727</v>
      </c>
      <c r="E6205" t="str">
        <f t="shared" si="1136"/>
        <v>1</v>
      </c>
      <c r="F6205" t="str">
        <f t="shared" si="1130"/>
        <v>COM</v>
      </c>
      <c r="G6205" t="str">
        <f>"WEIGNE SENA CARDOSO (53)"</f>
        <v>WEIGNE SENA CARDOSO (53)</v>
      </c>
      <c r="H6205" t="str">
        <f>"Serv.Prest. 06/10/2025 a 12/10/2025 - PIX: CPF - CHAVE: 097.245.586-81"</f>
        <v>Serv.Prest. 06/10/2025 a 12/10/2025 - PIX: CPF - CHAVE: 097.245.586-81</v>
      </c>
      <c r="I6205" t="str">
        <f t="shared" ref="I6205:I6268" si="1141">("16/10/2025")</f>
        <v>16/10/2025</v>
      </c>
      <c r="J6205" t="str">
        <f>("14/10/2025")</f>
        <v>14/10/2025</v>
      </c>
      <c r="K6205" t="str">
        <f>("16/10/2025")</f>
        <v>16/10/2025</v>
      </c>
      <c r="L6205">
        <v>444</v>
      </c>
      <c r="M6205">
        <v>444</v>
      </c>
      <c r="N6205">
        <v>109</v>
      </c>
      <c r="O6205" t="str">
        <f>"PAGAMENTO DE ENTREGADORES"</f>
        <v>PAGAMENTO DE ENTREGADORES</v>
      </c>
      <c r="P6205">
        <v>444</v>
      </c>
      <c r="S6205" t="str">
        <f>"BANCO C6 (149)"</f>
        <v>BANCO C6 (149)</v>
      </c>
      <c r="T6205">
        <v>19633</v>
      </c>
      <c r="U6205">
        <v>23823</v>
      </c>
      <c r="V6205" t="s">
        <v>77</v>
      </c>
    </row>
    <row r="6206" spans="1:22">
      <c r="A6206" t="str">
        <f t="shared" si="1138"/>
        <v>16/10/2025</v>
      </c>
      <c r="B6206" t="str">
        <f t="shared" si="1139"/>
        <v>SAÍDA</v>
      </c>
      <c r="C6206" t="str">
        <f t="shared" si="1140"/>
        <v>PIX</v>
      </c>
      <c r="D6206" t="str">
        <f>"23727"</f>
        <v>23727</v>
      </c>
      <c r="E6206" t="str">
        <f t="shared" si="1136"/>
        <v>1</v>
      </c>
      <c r="F6206" t="str">
        <f t="shared" si="1130"/>
        <v>COM</v>
      </c>
      <c r="G6206" t="str">
        <f>"WEIGNE SENA CARDOSO (53)"</f>
        <v>WEIGNE SENA CARDOSO (53)</v>
      </c>
      <c r="H6206" t="s">
        <v>1653</v>
      </c>
      <c r="I6206" t="str">
        <f t="shared" si="1141"/>
        <v>16/10/2025</v>
      </c>
      <c r="J6206" t="str">
        <f>("14/10/2025")</f>
        <v>14/10/2025</v>
      </c>
      <c r="K6206">
        <v>45946</v>
      </c>
      <c r="N6206">
        <v>109</v>
      </c>
      <c r="O6206" t="s">
        <v>24</v>
      </c>
      <c r="Q6206">
        <v>444</v>
      </c>
      <c r="R6206" t="str">
        <f>"FARMÁCIA INDIANA LJ 07 (10007)"</f>
        <v>FARMÁCIA INDIANA LJ 07 (10007)</v>
      </c>
      <c r="S6206" t="s">
        <v>77</v>
      </c>
      <c r="T6206">
        <v>19633</v>
      </c>
      <c r="U6206">
        <v>23823</v>
      </c>
      <c r="V6206" t="s">
        <v>77</v>
      </c>
    </row>
    <row r="6207" spans="1:22">
      <c r="A6207" t="str">
        <f t="shared" si="1138"/>
        <v>16/10/2025</v>
      </c>
      <c r="B6207" t="str">
        <f t="shared" si="1139"/>
        <v>SAÍDA</v>
      </c>
      <c r="C6207" t="str">
        <f t="shared" si="1140"/>
        <v>PIX</v>
      </c>
      <c r="D6207" t="str">
        <f>"1610"</f>
        <v>1610</v>
      </c>
      <c r="E6207" t="str">
        <f>"25"</f>
        <v>25</v>
      </c>
      <c r="F6207" t="str">
        <f t="shared" si="1130"/>
        <v>COM</v>
      </c>
      <c r="G6207" t="str">
        <f>"MAICON HENRIQUE FERREIRA DOS SANTOS (759)"</f>
        <v>MAICON HENRIQUE FERREIRA DOS SANTOS (759)</v>
      </c>
      <c r="H6207" t="str">
        <f>"DEVOLUCAO 6 COTA COOPERATIVA"</f>
        <v>DEVOLUCAO 6 COTA COOPERATIVA</v>
      </c>
      <c r="I6207" t="str">
        <f t="shared" si="1141"/>
        <v>16/10/2025</v>
      </c>
      <c r="J6207" t="str">
        <f>("13/10/2025")</f>
        <v>13/10/2025</v>
      </c>
      <c r="K6207" t="str">
        <f>("16/10/2025")</f>
        <v>16/10/2025</v>
      </c>
      <c r="L6207">
        <v>120</v>
      </c>
      <c r="M6207">
        <v>120</v>
      </c>
      <c r="N6207">
        <v>130</v>
      </c>
      <c r="O6207" t="str">
        <f>"DEVOLUÇÃO COTA COOPERATIVA"</f>
        <v>DEVOLUÇÃO COTA COOPERATIVA</v>
      </c>
      <c r="P6207">
        <v>120</v>
      </c>
      <c r="S6207" t="str">
        <f>"BANCO C6 (149)"</f>
        <v>BANCO C6 (149)</v>
      </c>
      <c r="T6207">
        <v>19634</v>
      </c>
      <c r="U6207">
        <v>23824</v>
      </c>
      <c r="V6207" t="s">
        <v>77</v>
      </c>
    </row>
    <row r="6208" spans="1:22">
      <c r="A6208" t="str">
        <f t="shared" si="1138"/>
        <v>16/10/2025</v>
      </c>
      <c r="B6208" t="str">
        <f t="shared" si="1139"/>
        <v>SAÍDA</v>
      </c>
      <c r="C6208" t="str">
        <f t="shared" si="1140"/>
        <v>PIX</v>
      </c>
      <c r="D6208" t="str">
        <f>"1610"</f>
        <v>1610</v>
      </c>
      <c r="E6208" t="str">
        <f>"25"</f>
        <v>25</v>
      </c>
      <c r="F6208" t="str">
        <f t="shared" si="1130"/>
        <v>COM</v>
      </c>
      <c r="G6208" t="str">
        <f>"MAICON HENRIQUE FERREIRA DOS SANTOS (759)"</f>
        <v>MAICON HENRIQUE FERREIRA DOS SANTOS (759)</v>
      </c>
      <c r="H6208" t="s">
        <v>1654</v>
      </c>
      <c r="I6208" t="str">
        <f t="shared" si="1141"/>
        <v>16/10/2025</v>
      </c>
      <c r="J6208" t="str">
        <f>("13/10/2025")</f>
        <v>13/10/2025</v>
      </c>
      <c r="K6208">
        <v>45946</v>
      </c>
      <c r="N6208">
        <v>130</v>
      </c>
      <c r="O6208" t="s">
        <v>291</v>
      </c>
      <c r="Q6208">
        <v>120</v>
      </c>
      <c r="R6208" t="str">
        <f>"MAICON HENRIQUE FERREIRA DOS SANTOS (759)"</f>
        <v>MAICON HENRIQUE FERREIRA DOS SANTOS (759)</v>
      </c>
      <c r="S6208" t="s">
        <v>77</v>
      </c>
      <c r="T6208">
        <v>19634</v>
      </c>
      <c r="U6208">
        <v>23824</v>
      </c>
      <c r="V6208" t="s">
        <v>77</v>
      </c>
    </row>
    <row r="6209" spans="1:22">
      <c r="A6209" t="str">
        <f t="shared" si="1138"/>
        <v>16/10/2025</v>
      </c>
      <c r="B6209" t="str">
        <f t="shared" si="1139"/>
        <v>SAÍDA</v>
      </c>
      <c r="C6209" t="str">
        <f t="shared" si="1140"/>
        <v>PIX</v>
      </c>
      <c r="D6209" t="str">
        <f>"23747"</f>
        <v>23747</v>
      </c>
      <c r="E6209" t="str">
        <f>"1"</f>
        <v>1</v>
      </c>
      <c r="F6209" t="str">
        <f t="shared" si="1130"/>
        <v>COM</v>
      </c>
      <c r="G6209" t="str">
        <f>"JIRLANIA RODRIGUES DOS SANTOS (152)"</f>
        <v>JIRLANIA RODRIGUES DOS SANTOS (152)</v>
      </c>
      <c r="H6209" t="str">
        <f>"Serv.Prest. 06/10/2025 a 12/10/2025 - PIX: CPF - CHAVE: 035.018.455-02"</f>
        <v>Serv.Prest. 06/10/2025 a 12/10/2025 - PIX: CPF - CHAVE: 035.018.455-02</v>
      </c>
      <c r="I6209" t="str">
        <f t="shared" si="1141"/>
        <v>16/10/2025</v>
      </c>
      <c r="J6209" t="str">
        <f>("14/10/2025")</f>
        <v>14/10/2025</v>
      </c>
      <c r="K6209" t="str">
        <f>("16/10/2025")</f>
        <v>16/10/2025</v>
      </c>
      <c r="L6209">
        <v>100</v>
      </c>
      <c r="M6209">
        <v>100</v>
      </c>
      <c r="N6209">
        <v>109</v>
      </c>
      <c r="O6209" t="str">
        <f>"PAGAMENTO DE ENTREGADORES"</f>
        <v>PAGAMENTO DE ENTREGADORES</v>
      </c>
      <c r="P6209">
        <v>100</v>
      </c>
      <c r="S6209" t="str">
        <f>"BANCO C6 (149)"</f>
        <v>BANCO C6 (149)</v>
      </c>
      <c r="T6209">
        <v>19635</v>
      </c>
      <c r="U6209">
        <v>23816</v>
      </c>
      <c r="V6209" t="s">
        <v>77</v>
      </c>
    </row>
    <row r="6210" spans="1:22">
      <c r="A6210" t="str">
        <f t="shared" si="1138"/>
        <v>16/10/2025</v>
      </c>
      <c r="B6210" t="str">
        <f t="shared" si="1139"/>
        <v>SAÍDA</v>
      </c>
      <c r="C6210" t="str">
        <f t="shared" si="1140"/>
        <v>PIX</v>
      </c>
      <c r="D6210" t="str">
        <f>"23747"</f>
        <v>23747</v>
      </c>
      <c r="E6210" t="str">
        <f>"1"</f>
        <v>1</v>
      </c>
      <c r="F6210" t="str">
        <f t="shared" si="1130"/>
        <v>COM</v>
      </c>
      <c r="G6210" t="str">
        <f>"JIRLANIA RODRIGUES DOS SANTOS (152)"</f>
        <v>JIRLANIA RODRIGUES DOS SANTOS (152)</v>
      </c>
      <c r="H6210" t="s">
        <v>1655</v>
      </c>
      <c r="I6210" t="str">
        <f t="shared" si="1141"/>
        <v>16/10/2025</v>
      </c>
      <c r="J6210" t="str">
        <f>("14/10/2025")</f>
        <v>14/10/2025</v>
      </c>
      <c r="K6210">
        <v>45946</v>
      </c>
      <c r="N6210">
        <v>109</v>
      </c>
      <c r="O6210" t="s">
        <v>24</v>
      </c>
      <c r="Q6210">
        <v>100</v>
      </c>
      <c r="R6210" t="str">
        <f>"FARMÁCIA INDIANA LJ 95 (10039)"</f>
        <v>FARMÁCIA INDIANA LJ 95 (10039)</v>
      </c>
      <c r="S6210" t="s">
        <v>77</v>
      </c>
      <c r="T6210">
        <v>19635</v>
      </c>
      <c r="U6210">
        <v>23816</v>
      </c>
      <c r="V6210" t="s">
        <v>77</v>
      </c>
    </row>
    <row r="6211" spans="1:22">
      <c r="A6211" t="str">
        <f t="shared" si="1138"/>
        <v>16/10/2025</v>
      </c>
      <c r="B6211" t="str">
        <f t="shared" si="1139"/>
        <v>SAÍDA</v>
      </c>
      <c r="C6211" t="str">
        <f t="shared" si="1140"/>
        <v>PIX</v>
      </c>
      <c r="D6211" t="str">
        <f>"1610"</f>
        <v>1610</v>
      </c>
      <c r="E6211" t="str">
        <f>"25"</f>
        <v>25</v>
      </c>
      <c r="F6211" t="str">
        <f t="shared" si="1130"/>
        <v>COM</v>
      </c>
      <c r="G6211" t="str">
        <f>"MATHEUS ALMEIDA RAMOS (47)"</f>
        <v>MATHEUS ALMEIDA RAMOS (47)</v>
      </c>
      <c r="H6211" t="str">
        <f>"DEVOLUCAO INTEGRAL COTA COOPERATIVA"</f>
        <v>DEVOLUCAO INTEGRAL COTA COOPERATIVA</v>
      </c>
      <c r="I6211" t="str">
        <f t="shared" si="1141"/>
        <v>16/10/2025</v>
      </c>
      <c r="J6211" t="str">
        <f>("09/10/2025")</f>
        <v>09/10/2025</v>
      </c>
      <c r="K6211" t="str">
        <f>("16/10/2025")</f>
        <v>16/10/2025</v>
      </c>
      <c r="L6211">
        <v>500</v>
      </c>
      <c r="M6211">
        <v>500</v>
      </c>
      <c r="N6211">
        <v>130</v>
      </c>
      <c r="O6211" t="str">
        <f>"DEVOLUÇÃO COTA COOPERATIVA"</f>
        <v>DEVOLUÇÃO COTA COOPERATIVA</v>
      </c>
      <c r="P6211">
        <v>500</v>
      </c>
      <c r="S6211" t="str">
        <f>"BANCO C6 (149)"</f>
        <v>BANCO C6 (149)</v>
      </c>
      <c r="T6211">
        <v>19636</v>
      </c>
      <c r="U6211">
        <v>23825</v>
      </c>
      <c r="V6211" t="s">
        <v>77</v>
      </c>
    </row>
    <row r="6212" spans="1:22">
      <c r="A6212" t="str">
        <f t="shared" si="1138"/>
        <v>16/10/2025</v>
      </c>
      <c r="B6212" t="str">
        <f t="shared" si="1139"/>
        <v>SAÍDA</v>
      </c>
      <c r="C6212" t="str">
        <f t="shared" si="1140"/>
        <v>PIX</v>
      </c>
      <c r="D6212" t="str">
        <f>"1610"</f>
        <v>1610</v>
      </c>
      <c r="E6212" t="str">
        <f>"25"</f>
        <v>25</v>
      </c>
      <c r="F6212" t="str">
        <f t="shared" si="1130"/>
        <v>COM</v>
      </c>
      <c r="G6212" t="str">
        <f>"MATHEUS ALMEIDA RAMOS (47)"</f>
        <v>MATHEUS ALMEIDA RAMOS (47)</v>
      </c>
      <c r="H6212" t="s">
        <v>1656</v>
      </c>
      <c r="I6212" t="str">
        <f t="shared" si="1141"/>
        <v>16/10/2025</v>
      </c>
      <c r="J6212" t="str">
        <f>("09/10/2025")</f>
        <v>09/10/2025</v>
      </c>
      <c r="K6212">
        <v>45946</v>
      </c>
      <c r="N6212">
        <v>130</v>
      </c>
      <c r="O6212" t="s">
        <v>291</v>
      </c>
      <c r="Q6212">
        <v>500</v>
      </c>
      <c r="R6212" t="str">
        <f>"MATHEUS ALMEIDA RAMOS (47)"</f>
        <v>MATHEUS ALMEIDA RAMOS (47)</v>
      </c>
      <c r="S6212" t="s">
        <v>77</v>
      </c>
      <c r="T6212">
        <v>19636</v>
      </c>
      <c r="U6212">
        <v>23825</v>
      </c>
      <c r="V6212" t="s">
        <v>77</v>
      </c>
    </row>
    <row r="6213" spans="1:22">
      <c r="A6213" t="str">
        <f t="shared" si="1138"/>
        <v>16/10/2025</v>
      </c>
      <c r="B6213" t="str">
        <f t="shared" si="1139"/>
        <v>SAÍDA</v>
      </c>
      <c r="C6213" t="str">
        <f t="shared" si="1140"/>
        <v>PIX</v>
      </c>
      <c r="D6213" t="str">
        <f>"22656"</f>
        <v>22656</v>
      </c>
      <c r="E6213" t="str">
        <f t="shared" ref="E6213:E6276" si="1142">"1"</f>
        <v>1</v>
      </c>
      <c r="F6213" t="str">
        <f t="shared" si="1130"/>
        <v>COM</v>
      </c>
      <c r="G6213" t="str">
        <f>"JOAO ALEXANDRE DE SOUZA ARAUJO (698)"</f>
        <v>JOAO ALEXANDRE DE SOUZA ARAUJO (698)</v>
      </c>
      <c r="H6213" t="str">
        <f>"Serv.Prest. 22/09/2025 a 25/09/2025 - PIX: CPF - CHAVE: 174.029.607-90"</f>
        <v>Serv.Prest. 22/09/2025 a 25/09/2025 - PIX: CPF - CHAVE: 174.029.607-90</v>
      </c>
      <c r="I6213" t="str">
        <f t="shared" si="1141"/>
        <v>16/10/2025</v>
      </c>
      <c r="J6213" t="str">
        <f>("26/09/2025")</f>
        <v>26/09/2025</v>
      </c>
      <c r="K6213" t="str">
        <f>("16/10/2025")</f>
        <v>16/10/2025</v>
      </c>
      <c r="L6213">
        <v>310</v>
      </c>
      <c r="M6213">
        <v>310</v>
      </c>
      <c r="N6213">
        <v>134</v>
      </c>
      <c r="O6213" t="str">
        <f>"DIARIA DE MOTOBOY"</f>
        <v>DIARIA DE MOTOBOY</v>
      </c>
      <c r="P6213">
        <v>310</v>
      </c>
      <c r="S6213" t="str">
        <f>"BANCO C6 (149)"</f>
        <v>BANCO C6 (149)</v>
      </c>
      <c r="T6213">
        <v>19637</v>
      </c>
      <c r="U6213">
        <v>22656</v>
      </c>
      <c r="V6213" t="s">
        <v>77</v>
      </c>
    </row>
    <row r="6214" spans="1:22">
      <c r="A6214" t="str">
        <f t="shared" si="1138"/>
        <v>16/10/2025</v>
      </c>
      <c r="B6214" t="str">
        <f t="shared" si="1139"/>
        <v>SAÍDA</v>
      </c>
      <c r="C6214" t="str">
        <f t="shared" si="1140"/>
        <v>PIX</v>
      </c>
      <c r="D6214" t="str">
        <f>"22656"</f>
        <v>22656</v>
      </c>
      <c r="E6214" t="str">
        <f t="shared" si="1142"/>
        <v>1</v>
      </c>
      <c r="F6214" t="str">
        <f t="shared" si="1130"/>
        <v>COM</v>
      </c>
      <c r="G6214" t="str">
        <f>"JOAO ALEXANDRE DE SOUZA ARAUJO (698)"</f>
        <v>JOAO ALEXANDRE DE SOUZA ARAUJO (698)</v>
      </c>
      <c r="H6214" t="s">
        <v>1356</v>
      </c>
      <c r="I6214" t="str">
        <f t="shared" si="1141"/>
        <v>16/10/2025</v>
      </c>
      <c r="J6214" t="str">
        <f>("26/09/2025")</f>
        <v>26/09/2025</v>
      </c>
      <c r="K6214">
        <v>45946</v>
      </c>
      <c r="N6214">
        <v>134</v>
      </c>
      <c r="O6214" t="s">
        <v>41</v>
      </c>
      <c r="Q6214">
        <v>310</v>
      </c>
      <c r="R6214" t="str">
        <f>"FARMÁCIA INDIANA LJ 188 (10176)"</f>
        <v>FARMÁCIA INDIANA LJ 188 (10176)</v>
      </c>
      <c r="S6214" t="s">
        <v>77</v>
      </c>
      <c r="T6214">
        <v>19637</v>
      </c>
      <c r="U6214">
        <v>22656</v>
      </c>
      <c r="V6214" t="s">
        <v>77</v>
      </c>
    </row>
    <row r="6215" spans="1:22">
      <c r="A6215" t="str">
        <f t="shared" si="1138"/>
        <v>16/10/2025</v>
      </c>
      <c r="B6215" t="str">
        <f t="shared" si="1139"/>
        <v>SAÍDA</v>
      </c>
      <c r="C6215" t="str">
        <f t="shared" si="1140"/>
        <v>PIX</v>
      </c>
      <c r="D6215" t="str">
        <f>"22887"</f>
        <v>22887</v>
      </c>
      <c r="E6215" t="str">
        <f t="shared" si="1142"/>
        <v>1</v>
      </c>
      <c r="F6215" t="str">
        <f t="shared" si="1130"/>
        <v>COM</v>
      </c>
      <c r="G6215" t="str">
        <f>"CARLOS ALBERTO DE JESUS SANTOS (110)"</f>
        <v>CARLOS ALBERTO DE JESUS SANTOS (110)</v>
      </c>
      <c r="H6215" t="str">
        <f>"Serv.Prest. 26/09/2025 a 05/10/2025 - PIX: CPF - CHAVE: 036.875.515-04"</f>
        <v>Serv.Prest. 26/09/2025 a 05/10/2025 - PIX: CPF - CHAVE: 036.875.515-04</v>
      </c>
      <c r="I6215" t="str">
        <f t="shared" si="1141"/>
        <v>16/10/2025</v>
      </c>
      <c r="J6215" t="str">
        <f t="shared" ref="J6215:J6278" si="1143">("07/10/2025")</f>
        <v>07/10/2025</v>
      </c>
      <c r="K6215" t="str">
        <f>("16/10/2025")</f>
        <v>16/10/2025</v>
      </c>
      <c r="L6215">
        <v>654</v>
      </c>
      <c r="M6215">
        <v>654</v>
      </c>
      <c r="N6215">
        <v>109</v>
      </c>
      <c r="O6215" t="str">
        <f>"PAGAMENTO DE ENTREGADORES"</f>
        <v>PAGAMENTO DE ENTREGADORES</v>
      </c>
      <c r="P6215">
        <v>654</v>
      </c>
      <c r="S6215" t="str">
        <f>"BANCO C6 (149)"</f>
        <v>BANCO C6 (149)</v>
      </c>
      <c r="T6215">
        <v>19638</v>
      </c>
      <c r="U6215">
        <v>22887</v>
      </c>
      <c r="V6215" t="s">
        <v>77</v>
      </c>
    </row>
    <row r="6216" spans="1:22">
      <c r="A6216" t="str">
        <f t="shared" si="1138"/>
        <v>16/10/2025</v>
      </c>
      <c r="B6216" t="str">
        <f t="shared" si="1139"/>
        <v>SAÍDA</v>
      </c>
      <c r="C6216" t="str">
        <f t="shared" si="1140"/>
        <v>PIX</v>
      </c>
      <c r="D6216" t="str">
        <f>"22887"</f>
        <v>22887</v>
      </c>
      <c r="E6216" t="str">
        <f t="shared" si="1142"/>
        <v>1</v>
      </c>
      <c r="F6216" t="str">
        <f t="shared" si="1130"/>
        <v>COM</v>
      </c>
      <c r="G6216" t="str">
        <f>"CARLOS ALBERTO DE JESUS SANTOS (110)"</f>
        <v>CARLOS ALBERTO DE JESUS SANTOS (110)</v>
      </c>
      <c r="H6216" t="s">
        <v>1657</v>
      </c>
      <c r="I6216" t="str">
        <f t="shared" si="1141"/>
        <v>16/10/2025</v>
      </c>
      <c r="J6216" t="str">
        <f t="shared" si="1143"/>
        <v>07/10/2025</v>
      </c>
      <c r="K6216">
        <v>45946</v>
      </c>
      <c r="N6216">
        <v>109</v>
      </c>
      <c r="O6216" t="s">
        <v>24</v>
      </c>
      <c r="Q6216">
        <v>416.21</v>
      </c>
      <c r="R6216" t="str">
        <f>"FARMÁCIA INDIANA LJ 65 (10030)"</f>
        <v>FARMÁCIA INDIANA LJ 65 (10030)</v>
      </c>
      <c r="S6216" t="s">
        <v>77</v>
      </c>
      <c r="T6216">
        <v>19638</v>
      </c>
      <c r="U6216">
        <v>22887</v>
      </c>
      <c r="V6216" t="s">
        <v>77</v>
      </c>
    </row>
    <row r="6217" spans="1:22">
      <c r="A6217" t="str">
        <f t="shared" si="1138"/>
        <v>16/10/2025</v>
      </c>
      <c r="B6217" t="str">
        <f t="shared" si="1139"/>
        <v>SAÍDA</v>
      </c>
      <c r="C6217" t="str">
        <f t="shared" si="1140"/>
        <v>PIX</v>
      </c>
      <c r="D6217" t="str">
        <f>"22887"</f>
        <v>22887</v>
      </c>
      <c r="E6217" t="str">
        <f t="shared" si="1142"/>
        <v>1</v>
      </c>
      <c r="F6217" t="str">
        <f t="shared" si="1130"/>
        <v>COM</v>
      </c>
      <c r="G6217" t="str">
        <f>"CARLOS ALBERTO DE JESUS SANTOS (110)"</f>
        <v>CARLOS ALBERTO DE JESUS SANTOS (110)</v>
      </c>
      <c r="H6217" t="s">
        <v>1657</v>
      </c>
      <c r="I6217" t="str">
        <f t="shared" si="1141"/>
        <v>16/10/2025</v>
      </c>
      <c r="J6217" t="str">
        <f t="shared" si="1143"/>
        <v>07/10/2025</v>
      </c>
      <c r="K6217">
        <v>45946</v>
      </c>
      <c r="N6217">
        <v>109</v>
      </c>
      <c r="O6217" t="s">
        <v>24</v>
      </c>
      <c r="Q6217">
        <v>237.79</v>
      </c>
      <c r="R6217" t="str">
        <f>"FARMÁCIA INDIANA LJ 173 (10075)"</f>
        <v>FARMÁCIA INDIANA LJ 173 (10075)</v>
      </c>
      <c r="S6217" t="s">
        <v>77</v>
      </c>
      <c r="T6217">
        <v>19638</v>
      </c>
      <c r="U6217">
        <v>22887</v>
      </c>
      <c r="V6217" t="s">
        <v>77</v>
      </c>
    </row>
    <row r="6218" spans="1:22">
      <c r="A6218" t="str">
        <f t="shared" si="1138"/>
        <v>16/10/2025</v>
      </c>
      <c r="B6218" t="str">
        <f t="shared" si="1139"/>
        <v>SAÍDA</v>
      </c>
      <c r="C6218" t="str">
        <f t="shared" si="1140"/>
        <v>PIX</v>
      </c>
      <c r="D6218" t="str">
        <f>"22889"</f>
        <v>22889</v>
      </c>
      <c r="E6218" t="str">
        <f t="shared" si="1142"/>
        <v>1</v>
      </c>
      <c r="F6218" t="str">
        <f t="shared" si="1130"/>
        <v>COM</v>
      </c>
      <c r="G6218" t="str">
        <f>"DIOCLECIO SANDES JOTA (135)"</f>
        <v>DIOCLECIO SANDES JOTA (135)</v>
      </c>
      <c r="H6218" t="str">
        <f>"Serv.Prest. 26/09/2025 a 05/10/2025 - PIX: CELULAR - CHAVE: (73) 99966-7211"</f>
        <v>Serv.Prest. 26/09/2025 a 05/10/2025 - PIX: CELULAR - CHAVE: (73) 99966-7211</v>
      </c>
      <c r="I6218" t="str">
        <f t="shared" si="1141"/>
        <v>16/10/2025</v>
      </c>
      <c r="J6218" t="str">
        <f t="shared" si="1143"/>
        <v>07/10/2025</v>
      </c>
      <c r="K6218" t="str">
        <f>("16/10/2025")</f>
        <v>16/10/2025</v>
      </c>
      <c r="L6218">
        <v>1878</v>
      </c>
      <c r="M6218">
        <v>1878</v>
      </c>
      <c r="N6218">
        <v>109</v>
      </c>
      <c r="O6218" t="str">
        <f>"PAGAMENTO DE ENTREGADORES"</f>
        <v>PAGAMENTO DE ENTREGADORES</v>
      </c>
      <c r="P6218">
        <v>1878</v>
      </c>
      <c r="S6218" t="str">
        <f>"BANCO C6 (149)"</f>
        <v>BANCO C6 (149)</v>
      </c>
      <c r="T6218">
        <v>19639</v>
      </c>
      <c r="U6218">
        <v>22889</v>
      </c>
      <c r="V6218" t="s">
        <v>77</v>
      </c>
    </row>
    <row r="6219" spans="1:22">
      <c r="A6219" t="str">
        <f t="shared" si="1138"/>
        <v>16/10/2025</v>
      </c>
      <c r="B6219" t="str">
        <f t="shared" si="1139"/>
        <v>SAÍDA</v>
      </c>
      <c r="C6219" t="str">
        <f t="shared" si="1140"/>
        <v>PIX</v>
      </c>
      <c r="D6219" t="str">
        <f>"22889"</f>
        <v>22889</v>
      </c>
      <c r="E6219" t="str">
        <f t="shared" si="1142"/>
        <v>1</v>
      </c>
      <c r="F6219" t="str">
        <f t="shared" si="1130"/>
        <v>COM</v>
      </c>
      <c r="G6219" t="str">
        <f>"DIOCLECIO SANDES JOTA (135)"</f>
        <v>DIOCLECIO SANDES JOTA (135)</v>
      </c>
      <c r="H6219" t="s">
        <v>1658</v>
      </c>
      <c r="I6219" t="str">
        <f t="shared" si="1141"/>
        <v>16/10/2025</v>
      </c>
      <c r="J6219" t="str">
        <f t="shared" si="1143"/>
        <v>07/10/2025</v>
      </c>
      <c r="K6219">
        <v>45946</v>
      </c>
      <c r="N6219">
        <v>109</v>
      </c>
      <c r="O6219" t="s">
        <v>24</v>
      </c>
      <c r="Q6219">
        <v>1878</v>
      </c>
      <c r="R6219" t="str">
        <f>"FARMÁCIA INDIANA LJ 91 (10037)"</f>
        <v>FARMÁCIA INDIANA LJ 91 (10037)</v>
      </c>
      <c r="S6219" t="s">
        <v>77</v>
      </c>
      <c r="T6219">
        <v>19639</v>
      </c>
      <c r="U6219">
        <v>22889</v>
      </c>
      <c r="V6219" t="s">
        <v>77</v>
      </c>
    </row>
    <row r="6220" spans="1:22">
      <c r="A6220" t="str">
        <f t="shared" si="1138"/>
        <v>16/10/2025</v>
      </c>
      <c r="B6220" t="str">
        <f t="shared" si="1139"/>
        <v>SAÍDA</v>
      </c>
      <c r="C6220" t="str">
        <f t="shared" si="1140"/>
        <v>PIX</v>
      </c>
      <c r="D6220" t="str">
        <f>"22890"</f>
        <v>22890</v>
      </c>
      <c r="E6220" t="str">
        <f t="shared" si="1142"/>
        <v>1</v>
      </c>
      <c r="F6220" t="str">
        <f t="shared" si="1130"/>
        <v>COM</v>
      </c>
      <c r="G6220" t="str">
        <f>"EDUARDO SILVA DE JESUS (143)"</f>
        <v>EDUARDO SILVA DE JESUS (143)</v>
      </c>
      <c r="H6220" t="str">
        <f>"Serv.Prest. 26/09/2025 a 05/10/2025 - PIX: CPF - CHAVE: 094.947.395-23"</f>
        <v>Serv.Prest. 26/09/2025 a 05/10/2025 - PIX: CPF - CHAVE: 094.947.395-23</v>
      </c>
      <c r="I6220" t="str">
        <f t="shared" si="1141"/>
        <v>16/10/2025</v>
      </c>
      <c r="J6220" t="str">
        <f t="shared" si="1143"/>
        <v>07/10/2025</v>
      </c>
      <c r="K6220" t="str">
        <f>("16/10/2025")</f>
        <v>16/10/2025</v>
      </c>
      <c r="L6220">
        <v>912</v>
      </c>
      <c r="M6220">
        <v>912</v>
      </c>
      <c r="N6220">
        <v>109</v>
      </c>
      <c r="O6220" t="str">
        <f>"PAGAMENTO DE ENTREGADORES"</f>
        <v>PAGAMENTO DE ENTREGADORES</v>
      </c>
      <c r="P6220">
        <v>912</v>
      </c>
      <c r="S6220" t="str">
        <f>"BANCO C6 (149)"</f>
        <v>BANCO C6 (149)</v>
      </c>
      <c r="T6220">
        <v>19640</v>
      </c>
      <c r="U6220">
        <v>22890</v>
      </c>
      <c r="V6220" t="s">
        <v>77</v>
      </c>
    </row>
    <row r="6221" spans="1:22">
      <c r="A6221" t="str">
        <f t="shared" si="1138"/>
        <v>16/10/2025</v>
      </c>
      <c r="B6221" t="str">
        <f t="shared" si="1139"/>
        <v>SAÍDA</v>
      </c>
      <c r="C6221" t="str">
        <f t="shared" si="1140"/>
        <v>PIX</v>
      </c>
      <c r="D6221" t="str">
        <f>"22890"</f>
        <v>22890</v>
      </c>
      <c r="E6221" t="str">
        <f t="shared" si="1142"/>
        <v>1</v>
      </c>
      <c r="F6221" t="str">
        <f t="shared" si="1130"/>
        <v>COM</v>
      </c>
      <c r="G6221" t="str">
        <f>"EDUARDO SILVA DE JESUS (143)"</f>
        <v>EDUARDO SILVA DE JESUS (143)</v>
      </c>
      <c r="H6221" t="s">
        <v>1336</v>
      </c>
      <c r="I6221" t="str">
        <f t="shared" si="1141"/>
        <v>16/10/2025</v>
      </c>
      <c r="J6221" t="str">
        <f t="shared" si="1143"/>
        <v>07/10/2025</v>
      </c>
      <c r="K6221">
        <v>45946</v>
      </c>
      <c r="N6221">
        <v>109</v>
      </c>
      <c r="O6221" t="s">
        <v>24</v>
      </c>
      <c r="Q6221">
        <v>912</v>
      </c>
      <c r="R6221" t="str">
        <f>"FARMÁCIA INDIANA LJ 91 (10037)"</f>
        <v>FARMÁCIA INDIANA LJ 91 (10037)</v>
      </c>
      <c r="S6221" t="s">
        <v>77</v>
      </c>
      <c r="T6221">
        <v>19640</v>
      </c>
      <c r="U6221">
        <v>22890</v>
      </c>
      <c r="V6221" t="s">
        <v>77</v>
      </c>
    </row>
    <row r="6222" spans="1:22">
      <c r="A6222" t="str">
        <f t="shared" si="1138"/>
        <v>16/10/2025</v>
      </c>
      <c r="B6222" t="str">
        <f t="shared" si="1139"/>
        <v>SAÍDA</v>
      </c>
      <c r="C6222" t="str">
        <f t="shared" si="1140"/>
        <v>PIX</v>
      </c>
      <c r="D6222" t="str">
        <f>"22891"</f>
        <v>22891</v>
      </c>
      <c r="E6222" t="str">
        <f t="shared" si="1142"/>
        <v>1</v>
      </c>
      <c r="F6222" t="str">
        <f t="shared" si="1130"/>
        <v>COM</v>
      </c>
      <c r="G6222" t="str">
        <f>"ERIC DE RAMOS GOMES (606)"</f>
        <v>ERIC DE RAMOS GOMES (606)</v>
      </c>
      <c r="H6222" t="str">
        <f>"Serv.Prest. 26/09/2025 a 05/10/2025 - PIX: E-MAIL - CHAVE: ericgomes508@gmail.com"</f>
        <v>Serv.Prest. 26/09/2025 a 05/10/2025 - PIX: E-MAIL - CHAVE: ericgomes508@gmail.com</v>
      </c>
      <c r="I6222" t="str">
        <f t="shared" si="1141"/>
        <v>16/10/2025</v>
      </c>
      <c r="J6222" t="str">
        <f t="shared" si="1143"/>
        <v>07/10/2025</v>
      </c>
      <c r="K6222" t="str">
        <f>("16/10/2025")</f>
        <v>16/10/2025</v>
      </c>
      <c r="L6222">
        <v>1032</v>
      </c>
      <c r="M6222">
        <v>1032</v>
      </c>
      <c r="N6222">
        <v>109</v>
      </c>
      <c r="O6222" t="str">
        <f>"PAGAMENTO DE ENTREGADORES"</f>
        <v>PAGAMENTO DE ENTREGADORES</v>
      </c>
      <c r="P6222">
        <v>1032</v>
      </c>
      <c r="S6222" t="str">
        <f>"BANCO C6 (149)"</f>
        <v>BANCO C6 (149)</v>
      </c>
      <c r="T6222">
        <v>19641</v>
      </c>
      <c r="U6222">
        <v>22891</v>
      </c>
      <c r="V6222" t="s">
        <v>77</v>
      </c>
    </row>
    <row r="6223" spans="1:22">
      <c r="A6223" t="str">
        <f t="shared" si="1138"/>
        <v>16/10/2025</v>
      </c>
      <c r="B6223" t="str">
        <f t="shared" si="1139"/>
        <v>SAÍDA</v>
      </c>
      <c r="C6223" t="str">
        <f t="shared" si="1140"/>
        <v>PIX</v>
      </c>
      <c r="D6223" t="str">
        <f>"22891"</f>
        <v>22891</v>
      </c>
      <c r="E6223" t="str">
        <f t="shared" si="1142"/>
        <v>1</v>
      </c>
      <c r="F6223" t="str">
        <f t="shared" si="1130"/>
        <v>COM</v>
      </c>
      <c r="G6223" t="str">
        <f>"ERIC DE RAMOS GOMES (606)"</f>
        <v>ERIC DE RAMOS GOMES (606)</v>
      </c>
      <c r="H6223" t="s">
        <v>1659</v>
      </c>
      <c r="I6223" t="str">
        <f t="shared" si="1141"/>
        <v>16/10/2025</v>
      </c>
      <c r="J6223" t="str">
        <f t="shared" si="1143"/>
        <v>07/10/2025</v>
      </c>
      <c r="K6223">
        <v>45946</v>
      </c>
      <c r="N6223">
        <v>109</v>
      </c>
      <c r="O6223" t="s">
        <v>24</v>
      </c>
      <c r="Q6223">
        <v>1032</v>
      </c>
      <c r="R6223" t="str">
        <f>"FARMÁCIA INDIANA LJ 91 (10037)"</f>
        <v>FARMÁCIA INDIANA LJ 91 (10037)</v>
      </c>
      <c r="S6223" t="s">
        <v>77</v>
      </c>
      <c r="T6223">
        <v>19641</v>
      </c>
      <c r="U6223">
        <v>22891</v>
      </c>
      <c r="V6223" t="s">
        <v>77</v>
      </c>
    </row>
    <row r="6224" spans="1:22">
      <c r="A6224" t="str">
        <f t="shared" si="1138"/>
        <v>16/10/2025</v>
      </c>
      <c r="B6224" t="str">
        <f t="shared" si="1139"/>
        <v>SAÍDA</v>
      </c>
      <c r="C6224" t="str">
        <f t="shared" si="1140"/>
        <v>PIX</v>
      </c>
      <c r="D6224" t="str">
        <f>"22892"</f>
        <v>22892</v>
      </c>
      <c r="E6224" t="str">
        <f t="shared" si="1142"/>
        <v>1</v>
      </c>
      <c r="F6224" t="str">
        <f t="shared" si="1130"/>
        <v>COM</v>
      </c>
      <c r="G6224" t="str">
        <f>"GABRIEL SOUZA RIBEIRO (425)"</f>
        <v>GABRIEL SOUZA RIBEIRO (425)</v>
      </c>
      <c r="H6224" t="str">
        <f>"Serv.Prest. 26/09/2025 a 05/10/2025 - PIX: CPF - CHAVE: 087.398.185-51"</f>
        <v>Serv.Prest. 26/09/2025 a 05/10/2025 - PIX: CPF - CHAVE: 087.398.185-51</v>
      </c>
      <c r="I6224" t="str">
        <f t="shared" si="1141"/>
        <v>16/10/2025</v>
      </c>
      <c r="J6224" t="str">
        <f t="shared" si="1143"/>
        <v>07/10/2025</v>
      </c>
      <c r="K6224" t="str">
        <f>("16/10/2025")</f>
        <v>16/10/2025</v>
      </c>
      <c r="L6224">
        <v>654</v>
      </c>
      <c r="M6224">
        <v>654</v>
      </c>
      <c r="N6224">
        <v>109</v>
      </c>
      <c r="O6224" t="str">
        <f>"PAGAMENTO DE ENTREGADORES"</f>
        <v>PAGAMENTO DE ENTREGADORES</v>
      </c>
      <c r="P6224">
        <v>654</v>
      </c>
      <c r="S6224" t="str">
        <f>"BANCO C6 (149)"</f>
        <v>BANCO C6 (149)</v>
      </c>
      <c r="T6224">
        <v>19642</v>
      </c>
      <c r="U6224">
        <v>22892</v>
      </c>
      <c r="V6224" t="s">
        <v>77</v>
      </c>
    </row>
    <row r="6225" spans="1:22">
      <c r="A6225" t="str">
        <f t="shared" si="1138"/>
        <v>16/10/2025</v>
      </c>
      <c r="B6225" t="str">
        <f t="shared" si="1139"/>
        <v>SAÍDA</v>
      </c>
      <c r="C6225" t="str">
        <f t="shared" si="1140"/>
        <v>PIX</v>
      </c>
      <c r="D6225" t="str">
        <f>"22892"</f>
        <v>22892</v>
      </c>
      <c r="E6225" t="str">
        <f t="shared" si="1142"/>
        <v>1</v>
      </c>
      <c r="F6225" t="str">
        <f t="shared" si="1130"/>
        <v>COM</v>
      </c>
      <c r="G6225" t="str">
        <f>"GABRIEL SOUZA RIBEIRO (425)"</f>
        <v>GABRIEL SOUZA RIBEIRO (425)</v>
      </c>
      <c r="H6225" t="s">
        <v>1660</v>
      </c>
      <c r="I6225" t="str">
        <f t="shared" si="1141"/>
        <v>16/10/2025</v>
      </c>
      <c r="J6225" t="str">
        <f t="shared" si="1143"/>
        <v>07/10/2025</v>
      </c>
      <c r="K6225">
        <v>45946</v>
      </c>
      <c r="N6225">
        <v>109</v>
      </c>
      <c r="O6225" t="s">
        <v>24</v>
      </c>
      <c r="Q6225">
        <v>654</v>
      </c>
      <c r="R6225" t="str">
        <f>"FARMÁCIA INDIANA LJ 65 (10030)"</f>
        <v>FARMÁCIA INDIANA LJ 65 (10030)</v>
      </c>
      <c r="S6225" t="s">
        <v>77</v>
      </c>
      <c r="T6225">
        <v>19642</v>
      </c>
      <c r="U6225">
        <v>22892</v>
      </c>
      <c r="V6225" t="s">
        <v>77</v>
      </c>
    </row>
    <row r="6226" spans="1:22">
      <c r="A6226" t="str">
        <f t="shared" si="1138"/>
        <v>16/10/2025</v>
      </c>
      <c r="B6226" t="str">
        <f t="shared" si="1139"/>
        <v>SAÍDA</v>
      </c>
      <c r="C6226" t="str">
        <f t="shared" si="1140"/>
        <v>PIX</v>
      </c>
      <c r="D6226" t="str">
        <f>"22893"</f>
        <v>22893</v>
      </c>
      <c r="E6226" t="str">
        <f t="shared" si="1142"/>
        <v>1</v>
      </c>
      <c r="F6226" t="str">
        <f t="shared" si="1130"/>
        <v>COM</v>
      </c>
      <c r="G6226" t="str">
        <f>"GILBERTO PINHEIRO DA ROCHA (155)"</f>
        <v>GILBERTO PINHEIRO DA ROCHA (155)</v>
      </c>
      <c r="H6226" t="str">
        <f>"Serv.Prest. 26/09/2025 a 05/10/2025 - PIX: CELULAR - CHAVE: (73) 99941-8352"</f>
        <v>Serv.Prest. 26/09/2025 a 05/10/2025 - PIX: CELULAR - CHAVE: (73) 99941-8352</v>
      </c>
      <c r="I6226" t="str">
        <f t="shared" si="1141"/>
        <v>16/10/2025</v>
      </c>
      <c r="J6226" t="str">
        <f t="shared" si="1143"/>
        <v>07/10/2025</v>
      </c>
      <c r="K6226" t="str">
        <f>("16/10/2025")</f>
        <v>16/10/2025</v>
      </c>
      <c r="L6226">
        <v>1034</v>
      </c>
      <c r="M6226">
        <v>1034</v>
      </c>
      <c r="N6226">
        <v>109</v>
      </c>
      <c r="O6226" t="str">
        <f>"PAGAMENTO DE ENTREGADORES"</f>
        <v>PAGAMENTO DE ENTREGADORES</v>
      </c>
      <c r="P6226">
        <v>1034</v>
      </c>
      <c r="S6226" t="str">
        <f>"BANCO C6 (149)"</f>
        <v>BANCO C6 (149)</v>
      </c>
      <c r="T6226">
        <v>19643</v>
      </c>
      <c r="U6226">
        <v>22893</v>
      </c>
      <c r="V6226" t="s">
        <v>77</v>
      </c>
    </row>
    <row r="6227" spans="1:22">
      <c r="A6227" t="str">
        <f t="shared" si="1138"/>
        <v>16/10/2025</v>
      </c>
      <c r="B6227" t="str">
        <f t="shared" si="1139"/>
        <v>SAÍDA</v>
      </c>
      <c r="C6227" t="str">
        <f t="shared" si="1140"/>
        <v>PIX</v>
      </c>
      <c r="D6227" t="str">
        <f>"22893"</f>
        <v>22893</v>
      </c>
      <c r="E6227" t="str">
        <f t="shared" si="1142"/>
        <v>1</v>
      </c>
      <c r="F6227" t="str">
        <f t="shared" si="1130"/>
        <v>COM</v>
      </c>
      <c r="G6227" t="str">
        <f>"GILBERTO PINHEIRO DA ROCHA (155)"</f>
        <v>GILBERTO PINHEIRO DA ROCHA (155)</v>
      </c>
      <c r="H6227" t="s">
        <v>1405</v>
      </c>
      <c r="I6227" t="str">
        <f t="shared" si="1141"/>
        <v>16/10/2025</v>
      </c>
      <c r="J6227" t="str">
        <f t="shared" si="1143"/>
        <v>07/10/2025</v>
      </c>
      <c r="K6227">
        <v>45946</v>
      </c>
      <c r="N6227">
        <v>109</v>
      </c>
      <c r="O6227" t="s">
        <v>24</v>
      </c>
      <c r="Q6227">
        <v>1034</v>
      </c>
      <c r="R6227" t="str">
        <f>"FARMÁCIA INDIANA LJ 34 (10014)"</f>
        <v>FARMÁCIA INDIANA LJ 34 (10014)</v>
      </c>
      <c r="S6227" t="s">
        <v>77</v>
      </c>
      <c r="T6227">
        <v>19643</v>
      </c>
      <c r="U6227">
        <v>22893</v>
      </c>
      <c r="V6227" t="s">
        <v>77</v>
      </c>
    </row>
    <row r="6228" spans="1:22">
      <c r="A6228" t="str">
        <f t="shared" si="1138"/>
        <v>16/10/2025</v>
      </c>
      <c r="B6228" t="str">
        <f t="shared" si="1139"/>
        <v>SAÍDA</v>
      </c>
      <c r="C6228" t="str">
        <f t="shared" si="1140"/>
        <v>PIX</v>
      </c>
      <c r="D6228" t="str">
        <f>"22895"</f>
        <v>22895</v>
      </c>
      <c r="E6228" t="str">
        <f t="shared" si="1142"/>
        <v>1</v>
      </c>
      <c r="F6228" t="str">
        <f t="shared" si="1130"/>
        <v>COM</v>
      </c>
      <c r="G6228" t="str">
        <f>"GUSTAVO SILVA LIMA (771)"</f>
        <v>GUSTAVO SILVA LIMA (771)</v>
      </c>
      <c r="H6228" t="str">
        <f>"Serv.Prest. 26/09/2025 a 05/10/2025 - PIX: CELULAR - CHAVE: (73) 98888-3793"</f>
        <v>Serv.Prest. 26/09/2025 a 05/10/2025 - PIX: CELULAR - CHAVE: (73) 98888-3793</v>
      </c>
      <c r="I6228" t="str">
        <f t="shared" si="1141"/>
        <v>16/10/2025</v>
      </c>
      <c r="J6228" t="str">
        <f t="shared" si="1143"/>
        <v>07/10/2025</v>
      </c>
      <c r="K6228" t="str">
        <f>("16/10/2025")</f>
        <v>16/10/2025</v>
      </c>
      <c r="L6228">
        <v>654</v>
      </c>
      <c r="M6228">
        <v>654</v>
      </c>
      <c r="N6228">
        <v>109</v>
      </c>
      <c r="O6228" t="str">
        <f>"PAGAMENTO DE ENTREGADORES"</f>
        <v>PAGAMENTO DE ENTREGADORES</v>
      </c>
      <c r="P6228">
        <v>654</v>
      </c>
      <c r="S6228" t="str">
        <f>"BANCO C6 (149)"</f>
        <v>BANCO C6 (149)</v>
      </c>
      <c r="T6228">
        <v>19644</v>
      </c>
      <c r="U6228">
        <v>22895</v>
      </c>
      <c r="V6228" t="s">
        <v>77</v>
      </c>
    </row>
    <row r="6229" spans="1:22">
      <c r="A6229" t="str">
        <f t="shared" si="1138"/>
        <v>16/10/2025</v>
      </c>
      <c r="B6229" t="str">
        <f t="shared" si="1139"/>
        <v>SAÍDA</v>
      </c>
      <c r="C6229" t="str">
        <f t="shared" si="1140"/>
        <v>PIX</v>
      </c>
      <c r="D6229" t="str">
        <f>"22895"</f>
        <v>22895</v>
      </c>
      <c r="E6229" t="str">
        <f t="shared" si="1142"/>
        <v>1</v>
      </c>
      <c r="F6229" t="str">
        <f t="shared" si="1130"/>
        <v>COM</v>
      </c>
      <c r="G6229" t="str">
        <f>"GUSTAVO SILVA LIMA (771)"</f>
        <v>GUSTAVO SILVA LIMA (771)</v>
      </c>
      <c r="H6229" t="s">
        <v>1661</v>
      </c>
      <c r="I6229" t="str">
        <f t="shared" si="1141"/>
        <v>16/10/2025</v>
      </c>
      <c r="J6229" t="str">
        <f t="shared" si="1143"/>
        <v>07/10/2025</v>
      </c>
      <c r="K6229">
        <v>45946</v>
      </c>
      <c r="N6229">
        <v>109</v>
      </c>
      <c r="O6229" t="s">
        <v>24</v>
      </c>
      <c r="Q6229">
        <v>654</v>
      </c>
      <c r="R6229" t="str">
        <f>"FARMÁCIA INDIANA LJ 65 (10030)"</f>
        <v>FARMÁCIA INDIANA LJ 65 (10030)</v>
      </c>
      <c r="S6229" t="s">
        <v>77</v>
      </c>
      <c r="T6229">
        <v>19644</v>
      </c>
      <c r="U6229">
        <v>22895</v>
      </c>
      <c r="V6229" t="s">
        <v>77</v>
      </c>
    </row>
    <row r="6230" spans="1:22">
      <c r="A6230" t="str">
        <f t="shared" si="1138"/>
        <v>16/10/2025</v>
      </c>
      <c r="B6230" t="str">
        <f t="shared" si="1139"/>
        <v>SAÍDA</v>
      </c>
      <c r="C6230" t="str">
        <f t="shared" si="1140"/>
        <v>PIX</v>
      </c>
      <c r="D6230" t="str">
        <f>"22896"</f>
        <v>22896</v>
      </c>
      <c r="E6230" t="str">
        <f t="shared" si="1142"/>
        <v>1</v>
      </c>
      <c r="F6230" t="str">
        <f t="shared" si="1130"/>
        <v>COM</v>
      </c>
      <c r="G6230" t="str">
        <f>"JALDENIR MENDES DOS SANTOS (167)"</f>
        <v>JALDENIR MENDES DOS SANTOS (167)</v>
      </c>
      <c r="H6230" t="str">
        <f>"Serv.Prest. 26/09/2025 a 05/10/2025 - PIX: CPF - CHAVE: 439.169.103-53"</f>
        <v>Serv.Prest. 26/09/2025 a 05/10/2025 - PIX: CPF - CHAVE: 439.169.103-53</v>
      </c>
      <c r="I6230" t="str">
        <f t="shared" si="1141"/>
        <v>16/10/2025</v>
      </c>
      <c r="J6230" t="str">
        <f t="shared" si="1143"/>
        <v>07/10/2025</v>
      </c>
      <c r="K6230" t="str">
        <f>("16/10/2025")</f>
        <v>16/10/2025</v>
      </c>
      <c r="L6230">
        <v>1402.5</v>
      </c>
      <c r="M6230">
        <v>1402.5</v>
      </c>
      <c r="N6230">
        <v>109</v>
      </c>
      <c r="O6230" t="str">
        <f>"PAGAMENTO DE ENTREGADORES"</f>
        <v>PAGAMENTO DE ENTREGADORES</v>
      </c>
      <c r="P6230">
        <v>1402.5</v>
      </c>
      <c r="S6230" t="str">
        <f>"BANCO C6 (149)"</f>
        <v>BANCO C6 (149)</v>
      </c>
      <c r="T6230">
        <v>19645</v>
      </c>
      <c r="U6230">
        <v>22896</v>
      </c>
      <c r="V6230" t="s">
        <v>77</v>
      </c>
    </row>
    <row r="6231" spans="1:22">
      <c r="A6231" t="str">
        <f t="shared" si="1138"/>
        <v>16/10/2025</v>
      </c>
      <c r="B6231" t="str">
        <f t="shared" si="1139"/>
        <v>SAÍDA</v>
      </c>
      <c r="C6231" t="str">
        <f t="shared" si="1140"/>
        <v>PIX</v>
      </c>
      <c r="D6231" t="str">
        <f>"22896"</f>
        <v>22896</v>
      </c>
      <c r="E6231" t="str">
        <f t="shared" si="1142"/>
        <v>1</v>
      </c>
      <c r="F6231" t="str">
        <f t="shared" si="1130"/>
        <v>COM</v>
      </c>
      <c r="G6231" t="str">
        <f>"JALDENIR MENDES DOS SANTOS (167)"</f>
        <v>JALDENIR MENDES DOS SANTOS (167)</v>
      </c>
      <c r="H6231" t="s">
        <v>1662</v>
      </c>
      <c r="I6231" t="str">
        <f t="shared" si="1141"/>
        <v>16/10/2025</v>
      </c>
      <c r="J6231" t="str">
        <f t="shared" si="1143"/>
        <v>07/10/2025</v>
      </c>
      <c r="K6231">
        <v>45946</v>
      </c>
      <c r="N6231">
        <v>109</v>
      </c>
      <c r="O6231" t="s">
        <v>24</v>
      </c>
      <c r="Q6231">
        <v>1402.5</v>
      </c>
      <c r="R6231" t="str">
        <f>"FARMÁCIA INDIANA LJ 34 (10014)"</f>
        <v>FARMÁCIA INDIANA LJ 34 (10014)</v>
      </c>
      <c r="S6231" t="s">
        <v>77</v>
      </c>
      <c r="T6231">
        <v>19645</v>
      </c>
      <c r="U6231">
        <v>22896</v>
      </c>
      <c r="V6231" t="s">
        <v>77</v>
      </c>
    </row>
    <row r="6232" spans="1:22">
      <c r="A6232" t="str">
        <f t="shared" si="1138"/>
        <v>16/10/2025</v>
      </c>
      <c r="B6232" t="str">
        <f t="shared" si="1139"/>
        <v>SAÍDA</v>
      </c>
      <c r="C6232" t="str">
        <f t="shared" si="1140"/>
        <v>PIX</v>
      </c>
      <c r="D6232" t="str">
        <f>"22897"</f>
        <v>22897</v>
      </c>
      <c r="E6232" t="str">
        <f t="shared" si="1142"/>
        <v>1</v>
      </c>
      <c r="F6232" t="str">
        <f t="shared" si="1130"/>
        <v>COM</v>
      </c>
      <c r="G6232" t="str">
        <f>"JARLES DE SOUZA PEREIRA (109)"</f>
        <v>JARLES DE SOUZA PEREIRA (109)</v>
      </c>
      <c r="H6232" t="str">
        <f>"Serv.Prest. 26/09/2025 a 05/10/2025 - PIX: CELULAR - CHAVE: (73) 99115-9602"</f>
        <v>Serv.Prest. 26/09/2025 a 05/10/2025 - PIX: CELULAR - CHAVE: (73) 99115-9602</v>
      </c>
      <c r="I6232" t="str">
        <f t="shared" si="1141"/>
        <v>16/10/2025</v>
      </c>
      <c r="J6232" t="str">
        <f t="shared" si="1143"/>
        <v>07/10/2025</v>
      </c>
      <c r="K6232" t="str">
        <f>("16/10/2025")</f>
        <v>16/10/2025</v>
      </c>
      <c r="L6232">
        <v>654</v>
      </c>
      <c r="M6232">
        <v>654</v>
      </c>
      <c r="N6232">
        <v>109</v>
      </c>
      <c r="O6232" t="str">
        <f>"PAGAMENTO DE ENTREGADORES"</f>
        <v>PAGAMENTO DE ENTREGADORES</v>
      </c>
      <c r="P6232">
        <v>654</v>
      </c>
      <c r="S6232" t="str">
        <f>"BANCO C6 (149)"</f>
        <v>BANCO C6 (149)</v>
      </c>
      <c r="T6232">
        <v>19646</v>
      </c>
      <c r="U6232">
        <v>22897</v>
      </c>
      <c r="V6232" t="s">
        <v>77</v>
      </c>
    </row>
    <row r="6233" spans="1:22">
      <c r="A6233" t="str">
        <f t="shared" si="1138"/>
        <v>16/10/2025</v>
      </c>
      <c r="B6233" t="str">
        <f t="shared" si="1139"/>
        <v>SAÍDA</v>
      </c>
      <c r="C6233" t="str">
        <f t="shared" si="1140"/>
        <v>PIX</v>
      </c>
      <c r="D6233" t="str">
        <f>"22897"</f>
        <v>22897</v>
      </c>
      <c r="E6233" t="str">
        <f t="shared" si="1142"/>
        <v>1</v>
      </c>
      <c r="F6233" t="str">
        <f t="shared" si="1130"/>
        <v>COM</v>
      </c>
      <c r="G6233" t="str">
        <f>"JARLES DE SOUZA PEREIRA (109)"</f>
        <v>JARLES DE SOUZA PEREIRA (109)</v>
      </c>
      <c r="H6233" t="s">
        <v>1663</v>
      </c>
      <c r="I6233" t="str">
        <f t="shared" si="1141"/>
        <v>16/10/2025</v>
      </c>
      <c r="J6233" t="str">
        <f t="shared" si="1143"/>
        <v>07/10/2025</v>
      </c>
      <c r="K6233">
        <v>45946</v>
      </c>
      <c r="N6233">
        <v>109</v>
      </c>
      <c r="O6233" t="s">
        <v>24</v>
      </c>
      <c r="Q6233">
        <v>654</v>
      </c>
      <c r="R6233" t="str">
        <f>"FARMÁCIA INDIANA LJ 173 (10075)"</f>
        <v>FARMÁCIA INDIANA LJ 173 (10075)</v>
      </c>
      <c r="S6233" t="s">
        <v>77</v>
      </c>
      <c r="T6233">
        <v>19646</v>
      </c>
      <c r="U6233">
        <v>22897</v>
      </c>
      <c r="V6233" t="s">
        <v>77</v>
      </c>
    </row>
    <row r="6234" spans="1:22">
      <c r="A6234" t="str">
        <f t="shared" si="1138"/>
        <v>16/10/2025</v>
      </c>
      <c r="B6234" t="str">
        <f t="shared" si="1139"/>
        <v>SAÍDA</v>
      </c>
      <c r="C6234" t="str">
        <f t="shared" si="1140"/>
        <v>PIX</v>
      </c>
      <c r="D6234" t="str">
        <f>"22898"</f>
        <v>22898</v>
      </c>
      <c r="E6234" t="str">
        <f t="shared" si="1142"/>
        <v>1</v>
      </c>
      <c r="F6234" t="str">
        <f t="shared" si="1130"/>
        <v>COM</v>
      </c>
      <c r="G6234" t="str">
        <f>"JIRLANIA RODRIGUES DOS SANTOS (152)"</f>
        <v>JIRLANIA RODRIGUES DOS SANTOS (152)</v>
      </c>
      <c r="H6234" t="str">
        <f>"Serv.Prest. 26/09/2025 a 05/10/2025 - PIX: CPF - CHAVE: 035.018.455-02"</f>
        <v>Serv.Prest. 26/09/2025 a 05/10/2025 - PIX: CPF - CHAVE: 035.018.455-02</v>
      </c>
      <c r="I6234" t="str">
        <f t="shared" si="1141"/>
        <v>16/10/2025</v>
      </c>
      <c r="J6234" t="str">
        <f t="shared" si="1143"/>
        <v>07/10/2025</v>
      </c>
      <c r="K6234" t="str">
        <f>("16/10/2025")</f>
        <v>16/10/2025</v>
      </c>
      <c r="L6234">
        <v>790.25</v>
      </c>
      <c r="M6234">
        <v>790.25</v>
      </c>
      <c r="N6234">
        <v>109</v>
      </c>
      <c r="O6234" t="str">
        <f>"PAGAMENTO DE ENTREGADORES"</f>
        <v>PAGAMENTO DE ENTREGADORES</v>
      </c>
      <c r="P6234">
        <v>790.25</v>
      </c>
      <c r="S6234" t="str">
        <f>"BANCO C6 (149)"</f>
        <v>BANCO C6 (149)</v>
      </c>
      <c r="T6234">
        <v>19647</v>
      </c>
      <c r="U6234">
        <v>22898</v>
      </c>
      <c r="V6234" t="s">
        <v>77</v>
      </c>
    </row>
    <row r="6235" spans="1:22">
      <c r="A6235" t="str">
        <f t="shared" si="1138"/>
        <v>16/10/2025</v>
      </c>
      <c r="B6235" t="str">
        <f t="shared" si="1139"/>
        <v>SAÍDA</v>
      </c>
      <c r="C6235" t="str">
        <f t="shared" si="1140"/>
        <v>PIX</v>
      </c>
      <c r="D6235" t="str">
        <f>"22898"</f>
        <v>22898</v>
      </c>
      <c r="E6235" t="str">
        <f t="shared" si="1142"/>
        <v>1</v>
      </c>
      <c r="F6235" t="str">
        <f t="shared" si="1130"/>
        <v>COM</v>
      </c>
      <c r="G6235" t="str">
        <f>"JIRLANIA RODRIGUES DOS SANTOS (152)"</f>
        <v>JIRLANIA RODRIGUES DOS SANTOS (152)</v>
      </c>
      <c r="H6235" t="s">
        <v>1588</v>
      </c>
      <c r="I6235" t="str">
        <f t="shared" si="1141"/>
        <v>16/10/2025</v>
      </c>
      <c r="J6235" t="str">
        <f t="shared" si="1143"/>
        <v>07/10/2025</v>
      </c>
      <c r="K6235">
        <v>45946</v>
      </c>
      <c r="N6235">
        <v>109</v>
      </c>
      <c r="O6235" t="s">
        <v>24</v>
      </c>
      <c r="Q6235">
        <v>790.25</v>
      </c>
      <c r="R6235" t="str">
        <f>"FARMÁCIA INDIANA LJ 95 (10039)"</f>
        <v>FARMÁCIA INDIANA LJ 95 (10039)</v>
      </c>
      <c r="S6235" t="s">
        <v>77</v>
      </c>
      <c r="T6235">
        <v>19647</v>
      </c>
      <c r="U6235">
        <v>22898</v>
      </c>
      <c r="V6235" t="s">
        <v>77</v>
      </c>
    </row>
    <row r="6236" spans="1:22">
      <c r="A6236" t="str">
        <f t="shared" si="1138"/>
        <v>16/10/2025</v>
      </c>
      <c r="B6236" t="str">
        <f t="shared" si="1139"/>
        <v>SAÍDA</v>
      </c>
      <c r="C6236" t="str">
        <f t="shared" si="1140"/>
        <v>PIX</v>
      </c>
      <c r="D6236" t="str">
        <f>"22899"</f>
        <v>22899</v>
      </c>
      <c r="E6236" t="str">
        <f t="shared" si="1142"/>
        <v>1</v>
      </c>
      <c r="F6236" t="str">
        <f t="shared" si="1130"/>
        <v>COM</v>
      </c>
      <c r="G6236" t="str">
        <f>"JOAO PEDRO BRITO DE SOUZA (876)"</f>
        <v>JOAO PEDRO BRITO DE SOUZA (876)</v>
      </c>
      <c r="H6236" t="str">
        <f>"Serv.Prest. 26/09/2025 a 05/10/2025 - PIX: CPF - CHAVE: 860.305.455-07"</f>
        <v>Serv.Prest. 26/09/2025 a 05/10/2025 - PIX: CPF - CHAVE: 860.305.455-07</v>
      </c>
      <c r="I6236" t="str">
        <f t="shared" si="1141"/>
        <v>16/10/2025</v>
      </c>
      <c r="J6236" t="str">
        <f t="shared" si="1143"/>
        <v>07/10/2025</v>
      </c>
      <c r="K6236" t="str">
        <f>("16/10/2025")</f>
        <v>16/10/2025</v>
      </c>
      <c r="L6236">
        <v>1980</v>
      </c>
      <c r="M6236">
        <v>1980</v>
      </c>
      <c r="N6236">
        <v>109</v>
      </c>
      <c r="O6236" t="str">
        <f>"PAGAMENTO DE ENTREGADORES"</f>
        <v>PAGAMENTO DE ENTREGADORES</v>
      </c>
      <c r="P6236">
        <v>1980</v>
      </c>
      <c r="S6236" t="str">
        <f>"BANCO C6 (149)"</f>
        <v>BANCO C6 (149)</v>
      </c>
      <c r="T6236">
        <v>19648</v>
      </c>
      <c r="U6236">
        <v>22899</v>
      </c>
      <c r="V6236" t="s">
        <v>77</v>
      </c>
    </row>
    <row r="6237" spans="1:22">
      <c r="A6237" t="str">
        <f t="shared" si="1138"/>
        <v>16/10/2025</v>
      </c>
      <c r="B6237" t="str">
        <f t="shared" si="1139"/>
        <v>SAÍDA</v>
      </c>
      <c r="C6237" t="str">
        <f t="shared" si="1140"/>
        <v>PIX</v>
      </c>
      <c r="D6237" t="str">
        <f>"22899"</f>
        <v>22899</v>
      </c>
      <c r="E6237" t="str">
        <f t="shared" si="1142"/>
        <v>1</v>
      </c>
      <c r="F6237" t="str">
        <f t="shared" si="1130"/>
        <v>COM</v>
      </c>
      <c r="G6237" t="str">
        <f>"JOAO PEDRO BRITO DE SOUZA (876)"</f>
        <v>JOAO PEDRO BRITO DE SOUZA (876)</v>
      </c>
      <c r="H6237" t="s">
        <v>1664</v>
      </c>
      <c r="I6237" t="str">
        <f t="shared" si="1141"/>
        <v>16/10/2025</v>
      </c>
      <c r="J6237" t="str">
        <f t="shared" si="1143"/>
        <v>07/10/2025</v>
      </c>
      <c r="K6237">
        <v>45946</v>
      </c>
      <c r="N6237">
        <v>109</v>
      </c>
      <c r="O6237" t="s">
        <v>24</v>
      </c>
      <c r="Q6237">
        <v>1445</v>
      </c>
      <c r="R6237" t="str">
        <f>"FARMÁCIA INDIANA LJ 48 (10018)"</f>
        <v>FARMÁCIA INDIANA LJ 48 (10018)</v>
      </c>
      <c r="S6237" t="s">
        <v>77</v>
      </c>
      <c r="T6237">
        <v>19648</v>
      </c>
      <c r="U6237">
        <v>22899</v>
      </c>
      <c r="V6237" t="s">
        <v>77</v>
      </c>
    </row>
    <row r="6238" spans="1:22">
      <c r="A6238" t="str">
        <f t="shared" si="1138"/>
        <v>16/10/2025</v>
      </c>
      <c r="B6238" t="str">
        <f t="shared" si="1139"/>
        <v>SAÍDA</v>
      </c>
      <c r="C6238" t="str">
        <f t="shared" si="1140"/>
        <v>PIX</v>
      </c>
      <c r="D6238" t="str">
        <f>"22899"</f>
        <v>22899</v>
      </c>
      <c r="E6238" t="str">
        <f t="shared" si="1142"/>
        <v>1</v>
      </c>
      <c r="F6238" t="str">
        <f t="shared" si="1130"/>
        <v>COM</v>
      </c>
      <c r="G6238" t="str">
        <f>"JOAO PEDRO BRITO DE SOUZA (876)"</f>
        <v>JOAO PEDRO BRITO DE SOUZA (876)</v>
      </c>
      <c r="H6238" t="s">
        <v>1664</v>
      </c>
      <c r="I6238" t="str">
        <f t="shared" si="1141"/>
        <v>16/10/2025</v>
      </c>
      <c r="J6238" t="str">
        <f t="shared" si="1143"/>
        <v>07/10/2025</v>
      </c>
      <c r="K6238">
        <v>45946</v>
      </c>
      <c r="N6238">
        <v>109</v>
      </c>
      <c r="O6238" t="s">
        <v>24</v>
      </c>
      <c r="Q6238">
        <v>535</v>
      </c>
      <c r="R6238" t="str">
        <f>"FARMÁCIA INDIANA LJ 169 (10073)"</f>
        <v>FARMÁCIA INDIANA LJ 169 (10073)</v>
      </c>
      <c r="S6238" t="s">
        <v>77</v>
      </c>
      <c r="T6238">
        <v>19648</v>
      </c>
      <c r="U6238">
        <v>22899</v>
      </c>
      <c r="V6238" t="s">
        <v>77</v>
      </c>
    </row>
    <row r="6239" spans="1:22">
      <c r="A6239" t="str">
        <f t="shared" si="1138"/>
        <v>16/10/2025</v>
      </c>
      <c r="B6239" t="str">
        <f t="shared" si="1139"/>
        <v>SAÍDA</v>
      </c>
      <c r="C6239" t="str">
        <f t="shared" si="1140"/>
        <v>PIX</v>
      </c>
      <c r="D6239" t="str">
        <f>"22900"</f>
        <v>22900</v>
      </c>
      <c r="E6239" t="str">
        <f t="shared" si="1142"/>
        <v>1</v>
      </c>
      <c r="F6239" t="str">
        <f t="shared" si="1130"/>
        <v>COM</v>
      </c>
      <c r="G6239" t="str">
        <f>"JOSE MARIO MENEZES DA CRUZ (941)"</f>
        <v>JOSE MARIO MENEZES DA CRUZ (941)</v>
      </c>
      <c r="H6239" t="str">
        <f>"Serv.Prest. 26/09/2025 a 05/10/2025 - PIX: CPF - CHAVE: 009.476.175-23"</f>
        <v>Serv.Prest. 26/09/2025 a 05/10/2025 - PIX: CPF - CHAVE: 009.476.175-23</v>
      </c>
      <c r="I6239" t="str">
        <f t="shared" si="1141"/>
        <v>16/10/2025</v>
      </c>
      <c r="J6239" t="str">
        <f t="shared" si="1143"/>
        <v>07/10/2025</v>
      </c>
      <c r="K6239" t="str">
        <f>("16/10/2025")</f>
        <v>16/10/2025</v>
      </c>
      <c r="L6239">
        <v>870</v>
      </c>
      <c r="M6239">
        <v>870</v>
      </c>
      <c r="N6239">
        <v>109</v>
      </c>
      <c r="O6239" t="str">
        <f>"PAGAMENTO DE ENTREGADORES"</f>
        <v>PAGAMENTO DE ENTREGADORES</v>
      </c>
      <c r="P6239">
        <v>870</v>
      </c>
      <c r="S6239" t="str">
        <f>"BANCO C6 (149)"</f>
        <v>BANCO C6 (149)</v>
      </c>
      <c r="T6239">
        <v>19649</v>
      </c>
      <c r="U6239">
        <v>22900</v>
      </c>
      <c r="V6239" t="s">
        <v>77</v>
      </c>
    </row>
    <row r="6240" spans="1:22">
      <c r="A6240" t="str">
        <f t="shared" si="1138"/>
        <v>16/10/2025</v>
      </c>
      <c r="B6240" t="str">
        <f t="shared" si="1139"/>
        <v>SAÍDA</v>
      </c>
      <c r="C6240" t="str">
        <f t="shared" si="1140"/>
        <v>PIX</v>
      </c>
      <c r="D6240" t="str">
        <f>"22900"</f>
        <v>22900</v>
      </c>
      <c r="E6240" t="str">
        <f t="shared" si="1142"/>
        <v>1</v>
      </c>
      <c r="F6240" t="str">
        <f t="shared" si="1130"/>
        <v>COM</v>
      </c>
      <c r="G6240" t="str">
        <f>"JOSE MARIO MENEZES DA CRUZ (941)"</f>
        <v>JOSE MARIO MENEZES DA CRUZ (941)</v>
      </c>
      <c r="H6240" t="s">
        <v>1665</v>
      </c>
      <c r="I6240" t="str">
        <f t="shared" si="1141"/>
        <v>16/10/2025</v>
      </c>
      <c r="J6240" t="str">
        <f t="shared" si="1143"/>
        <v>07/10/2025</v>
      </c>
      <c r="K6240">
        <v>45946</v>
      </c>
      <c r="N6240">
        <v>109</v>
      </c>
      <c r="O6240" t="s">
        <v>24</v>
      </c>
      <c r="Q6240">
        <v>870</v>
      </c>
      <c r="R6240" t="str">
        <f>"FARMÁCIA INDIANA LJ 33 (10187)"</f>
        <v>FARMÁCIA INDIANA LJ 33 (10187)</v>
      </c>
      <c r="S6240" t="s">
        <v>77</v>
      </c>
      <c r="T6240">
        <v>19649</v>
      </c>
      <c r="U6240">
        <v>22900</v>
      </c>
      <c r="V6240" t="s">
        <v>77</v>
      </c>
    </row>
    <row r="6241" spans="1:22">
      <c r="A6241" t="str">
        <f t="shared" si="1138"/>
        <v>16/10/2025</v>
      </c>
      <c r="B6241" t="str">
        <f t="shared" si="1139"/>
        <v>SAÍDA</v>
      </c>
      <c r="C6241" t="str">
        <f t="shared" si="1140"/>
        <v>PIX</v>
      </c>
      <c r="D6241" t="str">
        <f>"22901"</f>
        <v>22901</v>
      </c>
      <c r="E6241" t="str">
        <f t="shared" si="1142"/>
        <v>1</v>
      </c>
      <c r="F6241" t="str">
        <f t="shared" si="1130"/>
        <v>COM</v>
      </c>
      <c r="G6241" t="str">
        <f>"JUNIO SOUZA SILVA (610)"</f>
        <v>JUNIO SOUZA SILVA (610)</v>
      </c>
      <c r="H6241" t="str">
        <f>"Serv.Prest. 26/09/2025 a 05/10/2025 - PIX: CELULAR - CHAVE: (73) 98105-2187"</f>
        <v>Serv.Prest. 26/09/2025 a 05/10/2025 - PIX: CELULAR - CHAVE: (73) 98105-2187</v>
      </c>
      <c r="I6241" t="str">
        <f t="shared" si="1141"/>
        <v>16/10/2025</v>
      </c>
      <c r="J6241" t="str">
        <f t="shared" si="1143"/>
        <v>07/10/2025</v>
      </c>
      <c r="K6241" t="str">
        <f>("16/10/2025")</f>
        <v>16/10/2025</v>
      </c>
      <c r="L6241">
        <v>600</v>
      </c>
      <c r="M6241">
        <v>600</v>
      </c>
      <c r="N6241">
        <v>109</v>
      </c>
      <c r="O6241" t="str">
        <f>"PAGAMENTO DE ENTREGADORES"</f>
        <v>PAGAMENTO DE ENTREGADORES</v>
      </c>
      <c r="P6241">
        <v>600</v>
      </c>
      <c r="S6241" t="str">
        <f>"BANCO C6 (149)"</f>
        <v>BANCO C6 (149)</v>
      </c>
      <c r="T6241">
        <v>19650</v>
      </c>
      <c r="U6241">
        <v>22901</v>
      </c>
      <c r="V6241" t="s">
        <v>77</v>
      </c>
    </row>
    <row r="6242" spans="1:22">
      <c r="A6242" t="str">
        <f t="shared" si="1138"/>
        <v>16/10/2025</v>
      </c>
      <c r="B6242" t="str">
        <f t="shared" si="1139"/>
        <v>SAÍDA</v>
      </c>
      <c r="C6242" t="str">
        <f t="shared" si="1140"/>
        <v>PIX</v>
      </c>
      <c r="D6242" t="str">
        <f>"22901"</f>
        <v>22901</v>
      </c>
      <c r="E6242" t="str">
        <f t="shared" si="1142"/>
        <v>1</v>
      </c>
      <c r="F6242" t="str">
        <f t="shared" si="1130"/>
        <v>COM</v>
      </c>
      <c r="G6242" t="str">
        <f>"JUNIO SOUZA SILVA (610)"</f>
        <v>JUNIO SOUZA SILVA (610)</v>
      </c>
      <c r="H6242" t="s">
        <v>1666</v>
      </c>
      <c r="I6242" t="str">
        <f t="shared" si="1141"/>
        <v>16/10/2025</v>
      </c>
      <c r="J6242" t="str">
        <f t="shared" si="1143"/>
        <v>07/10/2025</v>
      </c>
      <c r="K6242">
        <v>45946</v>
      </c>
      <c r="N6242">
        <v>109</v>
      </c>
      <c r="O6242" t="s">
        <v>24</v>
      </c>
      <c r="Q6242">
        <v>600</v>
      </c>
      <c r="R6242" t="str">
        <f>"FARMÁCIA INDIANA LJ 77 (10034)"</f>
        <v>FARMÁCIA INDIANA LJ 77 (10034)</v>
      </c>
      <c r="S6242" t="s">
        <v>77</v>
      </c>
      <c r="T6242">
        <v>19650</v>
      </c>
      <c r="U6242">
        <v>22901</v>
      </c>
      <c r="V6242" t="s">
        <v>77</v>
      </c>
    </row>
    <row r="6243" spans="1:22">
      <c r="A6243" t="str">
        <f t="shared" si="1138"/>
        <v>16/10/2025</v>
      </c>
      <c r="B6243" t="str">
        <f t="shared" si="1139"/>
        <v>SAÍDA</v>
      </c>
      <c r="C6243" t="str">
        <f t="shared" si="1140"/>
        <v>PIX</v>
      </c>
      <c r="D6243" t="str">
        <f>"22902"</f>
        <v>22902</v>
      </c>
      <c r="E6243" t="str">
        <f t="shared" si="1142"/>
        <v>1</v>
      </c>
      <c r="F6243" t="str">
        <f t="shared" si="1130"/>
        <v>COM</v>
      </c>
      <c r="G6243" t="str">
        <f>"KHENNEDY DAVY DOS SANTOS SILVA (692)"</f>
        <v>KHENNEDY DAVY DOS SANTOS SILVA (692)</v>
      </c>
      <c r="H6243" t="str">
        <f>"Serv.Prest. 26/09/2025 a 05/10/2025 - PIX: CPF - CHAVE: 094.700.685-05"</f>
        <v>Serv.Prest. 26/09/2025 a 05/10/2025 - PIX: CPF - CHAVE: 094.700.685-05</v>
      </c>
      <c r="I6243" t="str">
        <f t="shared" si="1141"/>
        <v>16/10/2025</v>
      </c>
      <c r="J6243" t="str">
        <f t="shared" si="1143"/>
        <v>07/10/2025</v>
      </c>
      <c r="K6243" t="str">
        <f>("16/10/2025")</f>
        <v>16/10/2025</v>
      </c>
      <c r="L6243">
        <v>654</v>
      </c>
      <c r="M6243">
        <v>654</v>
      </c>
      <c r="N6243">
        <v>109</v>
      </c>
      <c r="O6243" t="str">
        <f>"PAGAMENTO DE ENTREGADORES"</f>
        <v>PAGAMENTO DE ENTREGADORES</v>
      </c>
      <c r="P6243">
        <v>654</v>
      </c>
      <c r="S6243" t="str">
        <f>"BANCO C6 (149)"</f>
        <v>BANCO C6 (149)</v>
      </c>
      <c r="T6243">
        <v>19651</v>
      </c>
      <c r="U6243">
        <v>22902</v>
      </c>
      <c r="V6243" t="s">
        <v>77</v>
      </c>
    </row>
    <row r="6244" spans="1:22">
      <c r="A6244" t="str">
        <f t="shared" si="1138"/>
        <v>16/10/2025</v>
      </c>
      <c r="B6244" t="str">
        <f t="shared" si="1139"/>
        <v>SAÍDA</v>
      </c>
      <c r="C6244" t="str">
        <f t="shared" si="1140"/>
        <v>PIX</v>
      </c>
      <c r="D6244" t="str">
        <f>"22902"</f>
        <v>22902</v>
      </c>
      <c r="E6244" t="str">
        <f t="shared" si="1142"/>
        <v>1</v>
      </c>
      <c r="F6244" t="str">
        <f t="shared" si="1130"/>
        <v>COM</v>
      </c>
      <c r="G6244" t="str">
        <f>"KHENNEDY DAVY DOS SANTOS SILVA (692)"</f>
        <v>KHENNEDY DAVY DOS SANTOS SILVA (692)</v>
      </c>
      <c r="H6244" t="s">
        <v>1667</v>
      </c>
      <c r="I6244" t="str">
        <f t="shared" si="1141"/>
        <v>16/10/2025</v>
      </c>
      <c r="J6244" t="str">
        <f t="shared" si="1143"/>
        <v>07/10/2025</v>
      </c>
      <c r="K6244">
        <v>45946</v>
      </c>
      <c r="N6244">
        <v>109</v>
      </c>
      <c r="O6244" t="s">
        <v>24</v>
      </c>
      <c r="Q6244">
        <v>635.29999999999995</v>
      </c>
      <c r="R6244" t="str">
        <f>"FARMÁCIA INDIANA LJ 65 (10030)"</f>
        <v>FARMÁCIA INDIANA LJ 65 (10030)</v>
      </c>
      <c r="S6244" t="s">
        <v>77</v>
      </c>
      <c r="T6244">
        <v>19651</v>
      </c>
      <c r="U6244">
        <v>22902</v>
      </c>
      <c r="V6244" t="s">
        <v>77</v>
      </c>
    </row>
    <row r="6245" spans="1:22">
      <c r="A6245" t="str">
        <f t="shared" si="1138"/>
        <v>16/10/2025</v>
      </c>
      <c r="B6245" t="str">
        <f t="shared" si="1139"/>
        <v>SAÍDA</v>
      </c>
      <c r="C6245" t="str">
        <f t="shared" si="1140"/>
        <v>PIX</v>
      </c>
      <c r="D6245" t="str">
        <f>"22902"</f>
        <v>22902</v>
      </c>
      <c r="E6245" t="str">
        <f t="shared" si="1142"/>
        <v>1</v>
      </c>
      <c r="F6245" t="str">
        <f t="shared" si="1130"/>
        <v>COM</v>
      </c>
      <c r="G6245" t="str">
        <f>"KHENNEDY DAVY DOS SANTOS SILVA (692)"</f>
        <v>KHENNEDY DAVY DOS SANTOS SILVA (692)</v>
      </c>
      <c r="H6245" t="s">
        <v>1667</v>
      </c>
      <c r="I6245" t="str">
        <f t="shared" si="1141"/>
        <v>16/10/2025</v>
      </c>
      <c r="J6245" t="str">
        <f t="shared" si="1143"/>
        <v>07/10/2025</v>
      </c>
      <c r="K6245">
        <v>45946</v>
      </c>
      <c r="N6245">
        <v>109</v>
      </c>
      <c r="O6245" t="s">
        <v>24</v>
      </c>
      <c r="Q6245">
        <v>18.7</v>
      </c>
      <c r="R6245" t="str">
        <f>"FARMÁCIA INDIANA LJ 173 (10075)"</f>
        <v>FARMÁCIA INDIANA LJ 173 (10075)</v>
      </c>
      <c r="S6245" t="s">
        <v>77</v>
      </c>
      <c r="T6245">
        <v>19651</v>
      </c>
      <c r="U6245">
        <v>22902</v>
      </c>
      <c r="V6245" t="s">
        <v>77</v>
      </c>
    </row>
    <row r="6246" spans="1:22">
      <c r="A6246" t="str">
        <f t="shared" si="1138"/>
        <v>16/10/2025</v>
      </c>
      <c r="B6246" t="str">
        <f t="shared" si="1139"/>
        <v>SAÍDA</v>
      </c>
      <c r="C6246" t="str">
        <f t="shared" si="1140"/>
        <v>PIX</v>
      </c>
      <c r="D6246" t="str">
        <f>"22903"</f>
        <v>22903</v>
      </c>
      <c r="E6246" t="str">
        <f t="shared" si="1142"/>
        <v>1</v>
      </c>
      <c r="F6246" t="str">
        <f t="shared" si="1130"/>
        <v>COM</v>
      </c>
      <c r="G6246" t="str">
        <f>"LEONARDO MERCÊS CAJAZEIRAS (235)"</f>
        <v>LEONARDO MERCÊS CAJAZEIRAS (235)</v>
      </c>
      <c r="H6246" t="str">
        <f>"Serv.Prest. 26/09/2025 a 05/10/2025 - PIX: CELULAR - CHAVE: (73) 99803-0715"</f>
        <v>Serv.Prest. 26/09/2025 a 05/10/2025 - PIX: CELULAR - CHAVE: (73) 99803-0715</v>
      </c>
      <c r="I6246" t="str">
        <f t="shared" si="1141"/>
        <v>16/10/2025</v>
      </c>
      <c r="J6246" t="str">
        <f t="shared" si="1143"/>
        <v>07/10/2025</v>
      </c>
      <c r="K6246" t="str">
        <f>("16/10/2025")</f>
        <v>16/10/2025</v>
      </c>
      <c r="L6246">
        <v>600</v>
      </c>
      <c r="M6246">
        <v>600</v>
      </c>
      <c r="N6246">
        <v>109</v>
      </c>
      <c r="O6246" t="str">
        <f>"PAGAMENTO DE ENTREGADORES"</f>
        <v>PAGAMENTO DE ENTREGADORES</v>
      </c>
      <c r="P6246">
        <v>600</v>
      </c>
      <c r="S6246" t="str">
        <f>"BANCO C6 (149)"</f>
        <v>BANCO C6 (149)</v>
      </c>
      <c r="T6246">
        <v>19652</v>
      </c>
      <c r="U6246">
        <v>22903</v>
      </c>
      <c r="V6246" t="s">
        <v>77</v>
      </c>
    </row>
    <row r="6247" spans="1:22">
      <c r="A6247" t="str">
        <f t="shared" si="1138"/>
        <v>16/10/2025</v>
      </c>
      <c r="B6247" t="str">
        <f t="shared" si="1139"/>
        <v>SAÍDA</v>
      </c>
      <c r="C6247" t="str">
        <f t="shared" si="1140"/>
        <v>PIX</v>
      </c>
      <c r="D6247" t="str">
        <f>"22903"</f>
        <v>22903</v>
      </c>
      <c r="E6247" t="str">
        <f t="shared" si="1142"/>
        <v>1</v>
      </c>
      <c r="F6247" t="str">
        <f t="shared" si="1130"/>
        <v>COM</v>
      </c>
      <c r="G6247" t="str">
        <f>"LEONARDO MERCÊS CAJAZEIRAS (235)"</f>
        <v>LEONARDO MERCÊS CAJAZEIRAS (235)</v>
      </c>
      <c r="H6247" t="s">
        <v>1668</v>
      </c>
      <c r="I6247" t="str">
        <f t="shared" si="1141"/>
        <v>16/10/2025</v>
      </c>
      <c r="J6247" t="str">
        <f t="shared" si="1143"/>
        <v>07/10/2025</v>
      </c>
      <c r="K6247">
        <v>45946</v>
      </c>
      <c r="N6247">
        <v>109</v>
      </c>
      <c r="O6247" t="s">
        <v>24</v>
      </c>
      <c r="Q6247">
        <v>600</v>
      </c>
      <c r="R6247" t="str">
        <f>"FARMÁCIA INDIANA LJ 35 (10015)"</f>
        <v>FARMÁCIA INDIANA LJ 35 (10015)</v>
      </c>
      <c r="S6247" t="s">
        <v>77</v>
      </c>
      <c r="T6247">
        <v>19652</v>
      </c>
      <c r="U6247">
        <v>22903</v>
      </c>
      <c r="V6247" t="s">
        <v>77</v>
      </c>
    </row>
    <row r="6248" spans="1:22">
      <c r="A6248" t="str">
        <f t="shared" si="1138"/>
        <v>16/10/2025</v>
      </c>
      <c r="B6248" t="str">
        <f t="shared" si="1139"/>
        <v>SAÍDA</v>
      </c>
      <c r="C6248" t="str">
        <f t="shared" si="1140"/>
        <v>PIX</v>
      </c>
      <c r="D6248" t="str">
        <f>"22904"</f>
        <v>22904</v>
      </c>
      <c r="E6248" t="str">
        <f t="shared" si="1142"/>
        <v>1</v>
      </c>
      <c r="F6248" t="str">
        <f t="shared" si="1130"/>
        <v>COM</v>
      </c>
      <c r="G6248" t="str">
        <f>"LUCAS MOREIRA PEREIRA (153)"</f>
        <v>LUCAS MOREIRA PEREIRA (153)</v>
      </c>
      <c r="H6248" t="str">
        <f>"Serv.Prest. 26/09/2025 a 05/10/2025 - PIX: CELULAR - CHAVE: (73) 99967-3239"</f>
        <v>Serv.Prest. 26/09/2025 a 05/10/2025 - PIX: CELULAR - CHAVE: (73) 99967-3239</v>
      </c>
      <c r="I6248" t="str">
        <f t="shared" si="1141"/>
        <v>16/10/2025</v>
      </c>
      <c r="J6248" t="str">
        <f t="shared" si="1143"/>
        <v>07/10/2025</v>
      </c>
      <c r="K6248" t="str">
        <f>("16/10/2025")</f>
        <v>16/10/2025</v>
      </c>
      <c r="L6248">
        <v>2340</v>
      </c>
      <c r="M6248">
        <v>2340</v>
      </c>
      <c r="N6248">
        <v>109</v>
      </c>
      <c r="O6248" t="str">
        <f>"PAGAMENTO DE ENTREGADORES"</f>
        <v>PAGAMENTO DE ENTREGADORES</v>
      </c>
      <c r="P6248">
        <v>2340</v>
      </c>
      <c r="S6248" t="str">
        <f>"BANCO C6 (149)"</f>
        <v>BANCO C6 (149)</v>
      </c>
      <c r="T6248">
        <v>19653</v>
      </c>
      <c r="U6248">
        <v>22904</v>
      </c>
      <c r="V6248" t="s">
        <v>77</v>
      </c>
    </row>
    <row r="6249" spans="1:22">
      <c r="A6249" t="str">
        <f t="shared" si="1138"/>
        <v>16/10/2025</v>
      </c>
      <c r="B6249" t="str">
        <f t="shared" si="1139"/>
        <v>SAÍDA</v>
      </c>
      <c r="C6249" t="str">
        <f t="shared" si="1140"/>
        <v>PIX</v>
      </c>
      <c r="D6249" t="str">
        <f>"22904"</f>
        <v>22904</v>
      </c>
      <c r="E6249" t="str">
        <f t="shared" si="1142"/>
        <v>1</v>
      </c>
      <c r="F6249" t="str">
        <f t="shared" si="1130"/>
        <v>COM</v>
      </c>
      <c r="G6249" t="str">
        <f>"LUCAS MOREIRA PEREIRA (153)"</f>
        <v>LUCAS MOREIRA PEREIRA (153)</v>
      </c>
      <c r="H6249" t="s">
        <v>1669</v>
      </c>
      <c r="I6249" t="str">
        <f t="shared" si="1141"/>
        <v>16/10/2025</v>
      </c>
      <c r="J6249" t="str">
        <f t="shared" si="1143"/>
        <v>07/10/2025</v>
      </c>
      <c r="K6249">
        <v>45946</v>
      </c>
      <c r="N6249">
        <v>109</v>
      </c>
      <c r="O6249" t="s">
        <v>24</v>
      </c>
      <c r="Q6249">
        <v>1499.94</v>
      </c>
      <c r="R6249" t="str">
        <f>"FARMÁCIA INDIANA LJ 48 (10018)"</f>
        <v>FARMÁCIA INDIANA LJ 48 (10018)</v>
      </c>
      <c r="S6249" t="s">
        <v>77</v>
      </c>
      <c r="T6249">
        <v>19653</v>
      </c>
      <c r="U6249">
        <v>22904</v>
      </c>
      <c r="V6249" t="s">
        <v>77</v>
      </c>
    </row>
    <row r="6250" spans="1:22">
      <c r="A6250" t="str">
        <f t="shared" si="1138"/>
        <v>16/10/2025</v>
      </c>
      <c r="B6250" t="str">
        <f t="shared" si="1139"/>
        <v>SAÍDA</v>
      </c>
      <c r="C6250" t="str">
        <f t="shared" si="1140"/>
        <v>PIX</v>
      </c>
      <c r="D6250" t="str">
        <f>"22904"</f>
        <v>22904</v>
      </c>
      <c r="E6250" t="str">
        <f t="shared" si="1142"/>
        <v>1</v>
      </c>
      <c r="F6250" t="str">
        <f t="shared" ref="F6250:F6313" si="1144">"COM"</f>
        <v>COM</v>
      </c>
      <c r="G6250" t="str">
        <f>"LUCAS MOREIRA PEREIRA (153)"</f>
        <v>LUCAS MOREIRA PEREIRA (153)</v>
      </c>
      <c r="H6250" t="s">
        <v>1669</v>
      </c>
      <c r="I6250" t="str">
        <f t="shared" si="1141"/>
        <v>16/10/2025</v>
      </c>
      <c r="J6250" t="str">
        <f t="shared" si="1143"/>
        <v>07/10/2025</v>
      </c>
      <c r="K6250">
        <v>45946</v>
      </c>
      <c r="N6250">
        <v>109</v>
      </c>
      <c r="O6250" t="s">
        <v>24</v>
      </c>
      <c r="Q6250">
        <v>840.06</v>
      </c>
      <c r="R6250" t="str">
        <f>"FARMÁCIA INDIANA LJ 169 (10073)"</f>
        <v>FARMÁCIA INDIANA LJ 169 (10073)</v>
      </c>
      <c r="S6250" t="s">
        <v>77</v>
      </c>
      <c r="T6250">
        <v>19653</v>
      </c>
      <c r="U6250">
        <v>22904</v>
      </c>
      <c r="V6250" t="s">
        <v>77</v>
      </c>
    </row>
    <row r="6251" spans="1:22">
      <c r="A6251" t="str">
        <f t="shared" si="1138"/>
        <v>16/10/2025</v>
      </c>
      <c r="B6251" t="str">
        <f t="shared" si="1139"/>
        <v>SAÍDA</v>
      </c>
      <c r="C6251" t="str">
        <f t="shared" si="1140"/>
        <v>PIX</v>
      </c>
      <c r="D6251" t="str">
        <f>"22905"</f>
        <v>22905</v>
      </c>
      <c r="E6251" t="str">
        <f t="shared" si="1142"/>
        <v>1</v>
      </c>
      <c r="F6251" t="str">
        <f t="shared" si="1144"/>
        <v>COM</v>
      </c>
      <c r="G6251" t="str">
        <f>"MARIA ILZA PEREIRA DOS SANTOS (618)"</f>
        <v>MARIA ILZA PEREIRA DOS SANTOS (618)</v>
      </c>
      <c r="H6251" t="str">
        <f>"Serv.Prest. 26/09/2025 a 05/10/2025 - PIX: CPF - CHAVE: 003.157.195-67"</f>
        <v>Serv.Prest. 26/09/2025 a 05/10/2025 - PIX: CPF - CHAVE: 003.157.195-67</v>
      </c>
      <c r="I6251" t="str">
        <f t="shared" si="1141"/>
        <v>16/10/2025</v>
      </c>
      <c r="J6251" t="str">
        <f t="shared" si="1143"/>
        <v>07/10/2025</v>
      </c>
      <c r="K6251" t="str">
        <f>("16/10/2025")</f>
        <v>16/10/2025</v>
      </c>
      <c r="L6251">
        <v>654</v>
      </c>
      <c r="M6251">
        <v>654</v>
      </c>
      <c r="N6251">
        <v>109</v>
      </c>
      <c r="O6251" t="str">
        <f>"PAGAMENTO DE ENTREGADORES"</f>
        <v>PAGAMENTO DE ENTREGADORES</v>
      </c>
      <c r="P6251">
        <v>654</v>
      </c>
      <c r="S6251" t="str">
        <f>"BANCO C6 (149)"</f>
        <v>BANCO C6 (149)</v>
      </c>
      <c r="T6251">
        <v>19654</v>
      </c>
      <c r="U6251">
        <v>22905</v>
      </c>
      <c r="V6251" t="s">
        <v>77</v>
      </c>
    </row>
    <row r="6252" spans="1:22">
      <c r="A6252" t="str">
        <f t="shared" si="1138"/>
        <v>16/10/2025</v>
      </c>
      <c r="B6252" t="str">
        <f t="shared" si="1139"/>
        <v>SAÍDA</v>
      </c>
      <c r="C6252" t="str">
        <f t="shared" si="1140"/>
        <v>PIX</v>
      </c>
      <c r="D6252" t="str">
        <f>"22905"</f>
        <v>22905</v>
      </c>
      <c r="E6252" t="str">
        <f t="shared" si="1142"/>
        <v>1</v>
      </c>
      <c r="F6252" t="str">
        <f t="shared" si="1144"/>
        <v>COM</v>
      </c>
      <c r="G6252" t="str">
        <f>"MARIA ILZA PEREIRA DOS SANTOS (618)"</f>
        <v>MARIA ILZA PEREIRA DOS SANTOS (618)</v>
      </c>
      <c r="H6252" t="s">
        <v>1670</v>
      </c>
      <c r="I6252" t="str">
        <f t="shared" si="1141"/>
        <v>16/10/2025</v>
      </c>
      <c r="J6252" t="str">
        <f t="shared" si="1143"/>
        <v>07/10/2025</v>
      </c>
      <c r="K6252">
        <v>45946</v>
      </c>
      <c r="N6252">
        <v>109</v>
      </c>
      <c r="O6252" t="s">
        <v>24</v>
      </c>
      <c r="Q6252">
        <v>560.54</v>
      </c>
      <c r="R6252" t="str">
        <f>"FARMÁCIA INDIANA LJ 65 (10030)"</f>
        <v>FARMÁCIA INDIANA LJ 65 (10030)</v>
      </c>
      <c r="S6252" t="s">
        <v>77</v>
      </c>
      <c r="T6252">
        <v>19654</v>
      </c>
      <c r="U6252">
        <v>22905</v>
      </c>
      <c r="V6252" t="s">
        <v>77</v>
      </c>
    </row>
    <row r="6253" spans="1:22">
      <c r="A6253" t="str">
        <f t="shared" si="1138"/>
        <v>16/10/2025</v>
      </c>
      <c r="B6253" t="str">
        <f t="shared" si="1139"/>
        <v>SAÍDA</v>
      </c>
      <c r="C6253" t="str">
        <f t="shared" si="1140"/>
        <v>PIX</v>
      </c>
      <c r="D6253" t="str">
        <f>"22905"</f>
        <v>22905</v>
      </c>
      <c r="E6253" t="str">
        <f t="shared" si="1142"/>
        <v>1</v>
      </c>
      <c r="F6253" t="str">
        <f t="shared" si="1144"/>
        <v>COM</v>
      </c>
      <c r="G6253" t="str">
        <f>"MARIA ILZA PEREIRA DOS SANTOS (618)"</f>
        <v>MARIA ILZA PEREIRA DOS SANTOS (618)</v>
      </c>
      <c r="H6253" t="s">
        <v>1670</v>
      </c>
      <c r="I6253" t="str">
        <f t="shared" si="1141"/>
        <v>16/10/2025</v>
      </c>
      <c r="J6253" t="str">
        <f t="shared" si="1143"/>
        <v>07/10/2025</v>
      </c>
      <c r="K6253">
        <v>45946</v>
      </c>
      <c r="N6253">
        <v>109</v>
      </c>
      <c r="O6253" t="s">
        <v>24</v>
      </c>
      <c r="Q6253">
        <v>93.46</v>
      </c>
      <c r="R6253" t="str">
        <f>"FARMÁCIA INDIANA LJ 173 (10075)"</f>
        <v>FARMÁCIA INDIANA LJ 173 (10075)</v>
      </c>
      <c r="S6253" t="s">
        <v>77</v>
      </c>
      <c r="T6253">
        <v>19654</v>
      </c>
      <c r="U6253">
        <v>22905</v>
      </c>
      <c r="V6253" t="s">
        <v>77</v>
      </c>
    </row>
    <row r="6254" spans="1:22">
      <c r="A6254" t="str">
        <f t="shared" si="1138"/>
        <v>16/10/2025</v>
      </c>
      <c r="B6254" t="str">
        <f t="shared" si="1139"/>
        <v>SAÍDA</v>
      </c>
      <c r="C6254" t="str">
        <f t="shared" si="1140"/>
        <v>PIX</v>
      </c>
      <c r="D6254" t="str">
        <f>"22906"</f>
        <v>22906</v>
      </c>
      <c r="E6254" t="str">
        <f t="shared" si="1142"/>
        <v>1</v>
      </c>
      <c r="F6254" t="str">
        <f t="shared" si="1144"/>
        <v>COM</v>
      </c>
      <c r="G6254" t="str">
        <f>"MOABIO AZEVEDO DOS SANTOS (131)"</f>
        <v>MOABIO AZEVEDO DOS SANTOS (131)</v>
      </c>
      <c r="H6254" t="str">
        <f>"Serv.Prest. 26/09/2025 a 05/10/2025 - PIX: CNPJ - CHAVE: 33.412.676/0001-41"</f>
        <v>Serv.Prest. 26/09/2025 a 05/10/2025 - PIX: CNPJ - CHAVE: 33.412.676/0001-41</v>
      </c>
      <c r="I6254" t="str">
        <f t="shared" si="1141"/>
        <v>16/10/2025</v>
      </c>
      <c r="J6254" t="str">
        <f t="shared" si="1143"/>
        <v>07/10/2025</v>
      </c>
      <c r="K6254" t="str">
        <f>("16/10/2025")</f>
        <v>16/10/2025</v>
      </c>
      <c r="L6254">
        <v>1056</v>
      </c>
      <c r="M6254">
        <v>1056</v>
      </c>
      <c r="N6254">
        <v>109</v>
      </c>
      <c r="O6254" t="str">
        <f>"PAGAMENTO DE ENTREGADORES"</f>
        <v>PAGAMENTO DE ENTREGADORES</v>
      </c>
      <c r="P6254">
        <v>1056</v>
      </c>
      <c r="S6254" t="str">
        <f>"BANCO C6 (149)"</f>
        <v>BANCO C6 (149)</v>
      </c>
      <c r="T6254">
        <v>19655</v>
      </c>
      <c r="U6254">
        <v>22906</v>
      </c>
      <c r="V6254" t="s">
        <v>77</v>
      </c>
    </row>
    <row r="6255" spans="1:22">
      <c r="A6255" t="str">
        <f t="shared" si="1138"/>
        <v>16/10/2025</v>
      </c>
      <c r="B6255" t="str">
        <f t="shared" si="1139"/>
        <v>SAÍDA</v>
      </c>
      <c r="C6255" t="str">
        <f t="shared" si="1140"/>
        <v>PIX</v>
      </c>
      <c r="D6255" t="str">
        <f>"22906"</f>
        <v>22906</v>
      </c>
      <c r="E6255" t="str">
        <f t="shared" si="1142"/>
        <v>1</v>
      </c>
      <c r="F6255" t="str">
        <f t="shared" si="1144"/>
        <v>COM</v>
      </c>
      <c r="G6255" t="str">
        <f>"MOABIO AZEVEDO DOS SANTOS (131)"</f>
        <v>MOABIO AZEVEDO DOS SANTOS (131)</v>
      </c>
      <c r="H6255" t="s">
        <v>1671</v>
      </c>
      <c r="I6255" t="str">
        <f t="shared" si="1141"/>
        <v>16/10/2025</v>
      </c>
      <c r="J6255" t="str">
        <f t="shared" si="1143"/>
        <v>07/10/2025</v>
      </c>
      <c r="K6255">
        <v>45946</v>
      </c>
      <c r="N6255">
        <v>109</v>
      </c>
      <c r="O6255" t="s">
        <v>24</v>
      </c>
      <c r="Q6255">
        <v>1056</v>
      </c>
      <c r="R6255" t="str">
        <f>"FARMÁCIA INDIANA LJ 91 (10037)"</f>
        <v>FARMÁCIA INDIANA LJ 91 (10037)</v>
      </c>
      <c r="S6255" t="s">
        <v>77</v>
      </c>
      <c r="T6255">
        <v>19655</v>
      </c>
      <c r="U6255">
        <v>22906</v>
      </c>
      <c r="V6255" t="s">
        <v>77</v>
      </c>
    </row>
    <row r="6256" spans="1:22">
      <c r="A6256" t="str">
        <f t="shared" si="1138"/>
        <v>16/10/2025</v>
      </c>
      <c r="B6256" t="str">
        <f t="shared" si="1139"/>
        <v>SAÍDA</v>
      </c>
      <c r="C6256" t="str">
        <f t="shared" si="1140"/>
        <v>PIX</v>
      </c>
      <c r="D6256" t="str">
        <f>"22908"</f>
        <v>22908</v>
      </c>
      <c r="E6256" t="str">
        <f t="shared" si="1142"/>
        <v>1</v>
      </c>
      <c r="F6256" t="str">
        <f t="shared" si="1144"/>
        <v>COM</v>
      </c>
      <c r="G6256" t="str">
        <f>"OSVALDO DOS SANTOS (163)"</f>
        <v>OSVALDO DOS SANTOS (163)</v>
      </c>
      <c r="H6256" t="str">
        <f>"Serv.Prest. 26/09/2025 a 05/10/2025 - PIX: CELULAR - CHAVE: (73) 99977-2721"</f>
        <v>Serv.Prest. 26/09/2025 a 05/10/2025 - PIX: CELULAR - CHAVE: (73) 99977-2721</v>
      </c>
      <c r="I6256" t="str">
        <f t="shared" si="1141"/>
        <v>16/10/2025</v>
      </c>
      <c r="J6256" t="str">
        <f t="shared" si="1143"/>
        <v>07/10/2025</v>
      </c>
      <c r="K6256" t="str">
        <f>("16/10/2025")</f>
        <v>16/10/2025</v>
      </c>
      <c r="L6256">
        <v>600</v>
      </c>
      <c r="M6256">
        <v>600</v>
      </c>
      <c r="N6256">
        <v>109</v>
      </c>
      <c r="O6256" t="str">
        <f>"PAGAMENTO DE ENTREGADORES"</f>
        <v>PAGAMENTO DE ENTREGADORES</v>
      </c>
      <c r="P6256">
        <v>600</v>
      </c>
      <c r="S6256" t="str">
        <f>"BANCO C6 (149)"</f>
        <v>BANCO C6 (149)</v>
      </c>
      <c r="T6256">
        <v>19656</v>
      </c>
      <c r="U6256">
        <v>22908</v>
      </c>
      <c r="V6256" t="s">
        <v>77</v>
      </c>
    </row>
    <row r="6257" spans="1:22">
      <c r="A6257" t="str">
        <f t="shared" si="1138"/>
        <v>16/10/2025</v>
      </c>
      <c r="B6257" t="str">
        <f t="shared" si="1139"/>
        <v>SAÍDA</v>
      </c>
      <c r="C6257" t="str">
        <f t="shared" si="1140"/>
        <v>PIX</v>
      </c>
      <c r="D6257" t="str">
        <f>"22908"</f>
        <v>22908</v>
      </c>
      <c r="E6257" t="str">
        <f t="shared" si="1142"/>
        <v>1</v>
      </c>
      <c r="F6257" t="str">
        <f t="shared" si="1144"/>
        <v>COM</v>
      </c>
      <c r="G6257" t="str">
        <f>"OSVALDO DOS SANTOS (163)"</f>
        <v>OSVALDO DOS SANTOS (163)</v>
      </c>
      <c r="H6257" t="s">
        <v>1672</v>
      </c>
      <c r="I6257" t="str">
        <f t="shared" si="1141"/>
        <v>16/10/2025</v>
      </c>
      <c r="J6257" t="str">
        <f t="shared" si="1143"/>
        <v>07/10/2025</v>
      </c>
      <c r="K6257">
        <v>45946</v>
      </c>
      <c r="N6257">
        <v>109</v>
      </c>
      <c r="O6257" t="s">
        <v>24</v>
      </c>
      <c r="Q6257">
        <v>600</v>
      </c>
      <c r="R6257" t="str">
        <f>"FARMÁCIA INDIANA LJ 35 (10015)"</f>
        <v>FARMÁCIA INDIANA LJ 35 (10015)</v>
      </c>
      <c r="S6257" t="s">
        <v>77</v>
      </c>
      <c r="T6257">
        <v>19656</v>
      </c>
      <c r="U6257">
        <v>22908</v>
      </c>
      <c r="V6257" t="s">
        <v>77</v>
      </c>
    </row>
    <row r="6258" spans="1:22">
      <c r="A6258" t="str">
        <f t="shared" si="1138"/>
        <v>16/10/2025</v>
      </c>
      <c r="B6258" t="str">
        <f t="shared" si="1139"/>
        <v>SAÍDA</v>
      </c>
      <c r="C6258" t="str">
        <f t="shared" si="1140"/>
        <v>PIX</v>
      </c>
      <c r="D6258" t="str">
        <f>"22911"</f>
        <v>22911</v>
      </c>
      <c r="E6258" t="str">
        <f t="shared" si="1142"/>
        <v>1</v>
      </c>
      <c r="F6258" t="str">
        <f t="shared" si="1144"/>
        <v>COM</v>
      </c>
      <c r="G6258" t="str">
        <f>"VINICIUS SANTOS PEREIRA (633)"</f>
        <v>VINICIUS SANTOS PEREIRA (633)</v>
      </c>
      <c r="H6258" t="str">
        <f>"Serv.Prest. 26/09/2025 a 05/10/2025 - PIX: CELULAR - CHAVE: (73) 99818-9718"</f>
        <v>Serv.Prest. 26/09/2025 a 05/10/2025 - PIX: CELULAR - CHAVE: (73) 99818-9718</v>
      </c>
      <c r="I6258" t="str">
        <f t="shared" si="1141"/>
        <v>16/10/2025</v>
      </c>
      <c r="J6258" t="str">
        <f t="shared" si="1143"/>
        <v>07/10/2025</v>
      </c>
      <c r="K6258" t="str">
        <f>("16/10/2025")</f>
        <v>16/10/2025</v>
      </c>
      <c r="L6258">
        <v>709.75</v>
      </c>
      <c r="M6258">
        <v>709.75</v>
      </c>
      <c r="N6258">
        <v>109</v>
      </c>
      <c r="O6258" t="str">
        <f>"PAGAMENTO DE ENTREGADORES"</f>
        <v>PAGAMENTO DE ENTREGADORES</v>
      </c>
      <c r="P6258">
        <v>709.75</v>
      </c>
      <c r="S6258" t="str">
        <f>"BANCO C6 (149)"</f>
        <v>BANCO C6 (149)</v>
      </c>
      <c r="T6258">
        <v>19657</v>
      </c>
      <c r="U6258">
        <v>22911</v>
      </c>
      <c r="V6258" t="s">
        <v>77</v>
      </c>
    </row>
    <row r="6259" spans="1:22">
      <c r="A6259" t="str">
        <f t="shared" si="1138"/>
        <v>16/10/2025</v>
      </c>
      <c r="B6259" t="str">
        <f t="shared" si="1139"/>
        <v>SAÍDA</v>
      </c>
      <c r="C6259" t="str">
        <f t="shared" si="1140"/>
        <v>PIX</v>
      </c>
      <c r="D6259" t="str">
        <f>"22911"</f>
        <v>22911</v>
      </c>
      <c r="E6259" t="str">
        <f t="shared" si="1142"/>
        <v>1</v>
      </c>
      <c r="F6259" t="str">
        <f t="shared" si="1144"/>
        <v>COM</v>
      </c>
      <c r="G6259" t="str">
        <f>"VINICIUS SANTOS PEREIRA (633)"</f>
        <v>VINICIUS SANTOS PEREIRA (633)</v>
      </c>
      <c r="H6259" t="s">
        <v>1673</v>
      </c>
      <c r="I6259" t="str">
        <f t="shared" si="1141"/>
        <v>16/10/2025</v>
      </c>
      <c r="J6259" t="str">
        <f t="shared" si="1143"/>
        <v>07/10/2025</v>
      </c>
      <c r="K6259">
        <v>45946</v>
      </c>
      <c r="N6259">
        <v>109</v>
      </c>
      <c r="O6259" t="s">
        <v>24</v>
      </c>
      <c r="Q6259">
        <v>709.75</v>
      </c>
      <c r="R6259" t="str">
        <f>"FARMÁCIA INDIANA LJ 95 (10039)"</f>
        <v>FARMÁCIA INDIANA LJ 95 (10039)</v>
      </c>
      <c r="S6259" t="s">
        <v>77</v>
      </c>
      <c r="T6259">
        <v>19657</v>
      </c>
      <c r="U6259">
        <v>22911</v>
      </c>
      <c r="V6259" t="s">
        <v>77</v>
      </c>
    </row>
    <row r="6260" spans="1:22">
      <c r="A6260" t="str">
        <f t="shared" si="1138"/>
        <v>16/10/2025</v>
      </c>
      <c r="B6260" t="str">
        <f t="shared" si="1139"/>
        <v>SAÍDA</v>
      </c>
      <c r="C6260" t="str">
        <f t="shared" si="1140"/>
        <v>PIX</v>
      </c>
      <c r="D6260" t="str">
        <f>"22912"</f>
        <v>22912</v>
      </c>
      <c r="E6260" t="str">
        <f t="shared" si="1142"/>
        <v>1</v>
      </c>
      <c r="F6260" t="str">
        <f t="shared" si="1144"/>
        <v>COM</v>
      </c>
      <c r="G6260" t="str">
        <f>"WESLEI GONÇALVES SANTOS (154)"</f>
        <v>WESLEI GONÇALVES SANTOS (154)</v>
      </c>
      <c r="H6260" t="str">
        <f>"Serv.Prest. 26/09/2025 a 05/10/2025 - PIX: CPF - CHAVE: 079.068.045-97"</f>
        <v>Serv.Prest. 26/09/2025 a 05/10/2025 - PIX: CPF - CHAVE: 079.068.045-97</v>
      </c>
      <c r="I6260" t="str">
        <f t="shared" si="1141"/>
        <v>16/10/2025</v>
      </c>
      <c r="J6260" t="str">
        <f t="shared" si="1143"/>
        <v>07/10/2025</v>
      </c>
      <c r="K6260" t="str">
        <f>("16/10/2025")</f>
        <v>16/10/2025</v>
      </c>
      <c r="L6260">
        <v>600.66</v>
      </c>
      <c r="M6260">
        <v>600.66</v>
      </c>
      <c r="N6260">
        <v>109</v>
      </c>
      <c r="O6260" t="str">
        <f>"PAGAMENTO DE ENTREGADORES"</f>
        <v>PAGAMENTO DE ENTREGADORES</v>
      </c>
      <c r="P6260">
        <v>600.66</v>
      </c>
      <c r="S6260" t="str">
        <f>"BANCO C6 (149)"</f>
        <v>BANCO C6 (149)</v>
      </c>
      <c r="T6260">
        <v>19658</v>
      </c>
      <c r="U6260">
        <v>22912</v>
      </c>
      <c r="V6260" t="s">
        <v>77</v>
      </c>
    </row>
    <row r="6261" spans="1:22">
      <c r="A6261" t="str">
        <f t="shared" si="1138"/>
        <v>16/10/2025</v>
      </c>
      <c r="B6261" t="str">
        <f t="shared" si="1139"/>
        <v>SAÍDA</v>
      </c>
      <c r="C6261" t="str">
        <f t="shared" si="1140"/>
        <v>PIX</v>
      </c>
      <c r="D6261" t="str">
        <f>"22912"</f>
        <v>22912</v>
      </c>
      <c r="E6261" t="str">
        <f t="shared" si="1142"/>
        <v>1</v>
      </c>
      <c r="F6261" t="str">
        <f t="shared" si="1144"/>
        <v>COM</v>
      </c>
      <c r="G6261" t="str">
        <f>"WESLEI GONÇALVES SANTOS (154)"</f>
        <v>WESLEI GONÇALVES SANTOS (154)</v>
      </c>
      <c r="H6261" t="s">
        <v>1674</v>
      </c>
      <c r="I6261" t="str">
        <f t="shared" si="1141"/>
        <v>16/10/2025</v>
      </c>
      <c r="J6261" t="str">
        <f t="shared" si="1143"/>
        <v>07/10/2025</v>
      </c>
      <c r="K6261">
        <v>45946</v>
      </c>
      <c r="N6261">
        <v>109</v>
      </c>
      <c r="O6261" t="s">
        <v>24</v>
      </c>
      <c r="Q6261">
        <v>600.66</v>
      </c>
      <c r="R6261" t="str">
        <f>"FARMÁCIA INDIANA LJ 34 (10014)"</f>
        <v>FARMÁCIA INDIANA LJ 34 (10014)</v>
      </c>
      <c r="S6261" t="s">
        <v>77</v>
      </c>
      <c r="T6261">
        <v>19658</v>
      </c>
      <c r="U6261">
        <v>22912</v>
      </c>
      <c r="V6261" t="s">
        <v>77</v>
      </c>
    </row>
    <row r="6262" spans="1:22">
      <c r="A6262" t="str">
        <f t="shared" si="1138"/>
        <v>16/10/2025</v>
      </c>
      <c r="B6262" t="str">
        <f t="shared" si="1139"/>
        <v>SAÍDA</v>
      </c>
      <c r="C6262" t="str">
        <f t="shared" si="1140"/>
        <v>PIX</v>
      </c>
      <c r="D6262" t="str">
        <f>"22913"</f>
        <v>22913</v>
      </c>
      <c r="E6262" t="str">
        <f t="shared" si="1142"/>
        <v>1</v>
      </c>
      <c r="F6262" t="str">
        <f t="shared" si="1144"/>
        <v>COM</v>
      </c>
      <c r="G6262" t="str">
        <f>"YAN BRENDO CORREIA VIEIRA (861)"</f>
        <v>YAN BRENDO CORREIA VIEIRA (861)</v>
      </c>
      <c r="H6262" t="str">
        <f>"Serv.Prest. 26/09/2025 a 05/10/2025 - PIX: CPF - CHAVE: 096.891.935-97"</f>
        <v>Serv.Prest. 26/09/2025 a 05/10/2025 - PIX: CPF - CHAVE: 096.891.935-97</v>
      </c>
      <c r="I6262" t="str">
        <f t="shared" si="1141"/>
        <v>16/10/2025</v>
      </c>
      <c r="J6262" t="str">
        <f t="shared" si="1143"/>
        <v>07/10/2025</v>
      </c>
      <c r="K6262" t="str">
        <f>("16/10/2025")</f>
        <v>16/10/2025</v>
      </c>
      <c r="L6262">
        <v>800</v>
      </c>
      <c r="M6262">
        <v>800</v>
      </c>
      <c r="N6262">
        <v>109</v>
      </c>
      <c r="O6262" t="str">
        <f>"PAGAMENTO DE ENTREGADORES"</f>
        <v>PAGAMENTO DE ENTREGADORES</v>
      </c>
      <c r="P6262">
        <v>800</v>
      </c>
      <c r="S6262" t="str">
        <f>"BANCO C6 (149)"</f>
        <v>BANCO C6 (149)</v>
      </c>
      <c r="T6262">
        <v>19659</v>
      </c>
      <c r="U6262">
        <v>22913</v>
      </c>
      <c r="V6262" t="s">
        <v>77</v>
      </c>
    </row>
    <row r="6263" spans="1:22">
      <c r="A6263" t="str">
        <f t="shared" si="1138"/>
        <v>16/10/2025</v>
      </c>
      <c r="B6263" t="str">
        <f t="shared" si="1139"/>
        <v>SAÍDA</v>
      </c>
      <c r="C6263" t="str">
        <f t="shared" si="1140"/>
        <v>PIX</v>
      </c>
      <c r="D6263" t="str">
        <f>"22913"</f>
        <v>22913</v>
      </c>
      <c r="E6263" t="str">
        <f t="shared" si="1142"/>
        <v>1</v>
      </c>
      <c r="F6263" t="str">
        <f t="shared" si="1144"/>
        <v>COM</v>
      </c>
      <c r="G6263" t="str">
        <f>"YAN BRENDO CORREIA VIEIRA (861)"</f>
        <v>YAN BRENDO CORREIA VIEIRA (861)</v>
      </c>
      <c r="H6263" t="s">
        <v>1332</v>
      </c>
      <c r="I6263" t="str">
        <f t="shared" si="1141"/>
        <v>16/10/2025</v>
      </c>
      <c r="J6263" t="str">
        <f t="shared" si="1143"/>
        <v>07/10/2025</v>
      </c>
      <c r="K6263">
        <v>45946</v>
      </c>
      <c r="N6263">
        <v>109</v>
      </c>
      <c r="O6263" t="s">
        <v>24</v>
      </c>
      <c r="Q6263">
        <v>800</v>
      </c>
      <c r="R6263" t="str">
        <f>"FARMÁCIA INDIANA LJ 200 (10155)"</f>
        <v>FARMÁCIA INDIANA LJ 200 (10155)</v>
      </c>
      <c r="S6263" t="s">
        <v>77</v>
      </c>
      <c r="T6263">
        <v>19659</v>
      </c>
      <c r="U6263">
        <v>22913</v>
      </c>
      <c r="V6263" t="s">
        <v>77</v>
      </c>
    </row>
    <row r="6264" spans="1:22">
      <c r="A6264" t="str">
        <f t="shared" si="1138"/>
        <v>16/10/2025</v>
      </c>
      <c r="B6264" t="str">
        <f t="shared" si="1139"/>
        <v>SAÍDA</v>
      </c>
      <c r="C6264" t="str">
        <f t="shared" si="1140"/>
        <v>PIX</v>
      </c>
      <c r="D6264" t="str">
        <f>"22916"</f>
        <v>22916</v>
      </c>
      <c r="E6264" t="str">
        <f t="shared" si="1142"/>
        <v>1</v>
      </c>
      <c r="F6264" t="str">
        <f t="shared" si="1144"/>
        <v>COM</v>
      </c>
      <c r="G6264" t="str">
        <f>"ALISSON FELIPE GODINHO (219)"</f>
        <v>ALISSON FELIPE GODINHO (219)</v>
      </c>
      <c r="H6264" t="str">
        <f>"Serv.Prest. 26/09/2025 a 05/10/2025 - PIX: CELULAR - CHAVE: (33) 99877-0415"</f>
        <v>Serv.Prest. 26/09/2025 a 05/10/2025 - PIX: CELULAR - CHAVE: (33) 99877-0415</v>
      </c>
      <c r="I6264" t="str">
        <f t="shared" si="1141"/>
        <v>16/10/2025</v>
      </c>
      <c r="J6264" t="str">
        <f t="shared" si="1143"/>
        <v>07/10/2025</v>
      </c>
      <c r="K6264" t="str">
        <f>("16/10/2025")</f>
        <v>16/10/2025</v>
      </c>
      <c r="L6264">
        <v>3378</v>
      </c>
      <c r="M6264">
        <v>3378</v>
      </c>
      <c r="N6264">
        <v>109</v>
      </c>
      <c r="O6264" t="str">
        <f>"PAGAMENTO DE ENTREGADORES"</f>
        <v>PAGAMENTO DE ENTREGADORES</v>
      </c>
      <c r="P6264">
        <v>3378</v>
      </c>
      <c r="S6264" t="str">
        <f>"BANCO C6 (149)"</f>
        <v>BANCO C6 (149)</v>
      </c>
      <c r="T6264">
        <v>19660</v>
      </c>
      <c r="U6264">
        <v>22916</v>
      </c>
      <c r="V6264" t="s">
        <v>77</v>
      </c>
    </row>
    <row r="6265" spans="1:22">
      <c r="A6265" t="str">
        <f t="shared" si="1138"/>
        <v>16/10/2025</v>
      </c>
      <c r="B6265" t="str">
        <f t="shared" si="1139"/>
        <v>SAÍDA</v>
      </c>
      <c r="C6265" t="str">
        <f t="shared" si="1140"/>
        <v>PIX</v>
      </c>
      <c r="D6265" t="str">
        <f>"22916"</f>
        <v>22916</v>
      </c>
      <c r="E6265" t="str">
        <f t="shared" si="1142"/>
        <v>1</v>
      </c>
      <c r="F6265" t="str">
        <f t="shared" si="1144"/>
        <v>COM</v>
      </c>
      <c r="G6265" t="str">
        <f>"ALISSON FELIPE GODINHO (219)"</f>
        <v>ALISSON FELIPE GODINHO (219)</v>
      </c>
      <c r="H6265" t="s">
        <v>1675</v>
      </c>
      <c r="I6265" t="str">
        <f t="shared" si="1141"/>
        <v>16/10/2025</v>
      </c>
      <c r="J6265" t="str">
        <f t="shared" si="1143"/>
        <v>07/10/2025</v>
      </c>
      <c r="K6265">
        <v>45946</v>
      </c>
      <c r="N6265">
        <v>109</v>
      </c>
      <c r="O6265" t="s">
        <v>24</v>
      </c>
      <c r="Q6265">
        <v>3378</v>
      </c>
      <c r="R6265" t="str">
        <f>"FARMÁCIA INDIANA LJ 14 (10009)"</f>
        <v>FARMÁCIA INDIANA LJ 14 (10009)</v>
      </c>
      <c r="S6265" t="s">
        <v>77</v>
      </c>
      <c r="T6265">
        <v>19660</v>
      </c>
      <c r="U6265">
        <v>22916</v>
      </c>
      <c r="V6265" t="s">
        <v>77</v>
      </c>
    </row>
    <row r="6266" spans="1:22">
      <c r="A6266" t="str">
        <f t="shared" si="1138"/>
        <v>16/10/2025</v>
      </c>
      <c r="B6266" t="str">
        <f t="shared" si="1139"/>
        <v>SAÍDA</v>
      </c>
      <c r="C6266" t="str">
        <f t="shared" si="1140"/>
        <v>PIX</v>
      </c>
      <c r="D6266" t="str">
        <f>"22917"</f>
        <v>22917</v>
      </c>
      <c r="E6266" t="str">
        <f t="shared" si="1142"/>
        <v>1</v>
      </c>
      <c r="F6266" t="str">
        <f t="shared" si="1144"/>
        <v>COM</v>
      </c>
      <c r="G6266" t="str">
        <f>"AMANDA VERÍSSIMO FERREIRA (794)"</f>
        <v>AMANDA VERÍSSIMO FERREIRA (794)</v>
      </c>
      <c r="H6266" t="str">
        <f>"Serv.Prest. 26/09/2025 a 05/10/2025 - PIX: CPF - CHAVE: 099.626.666-60"</f>
        <v>Serv.Prest. 26/09/2025 a 05/10/2025 - PIX: CPF - CHAVE: 099.626.666-60</v>
      </c>
      <c r="I6266" t="str">
        <f t="shared" si="1141"/>
        <v>16/10/2025</v>
      </c>
      <c r="J6266" t="str">
        <f t="shared" si="1143"/>
        <v>07/10/2025</v>
      </c>
      <c r="K6266" t="str">
        <f>("16/10/2025")</f>
        <v>16/10/2025</v>
      </c>
      <c r="L6266">
        <v>750</v>
      </c>
      <c r="M6266">
        <v>750</v>
      </c>
      <c r="N6266">
        <v>109</v>
      </c>
      <c r="O6266" t="str">
        <f>"PAGAMENTO DE ENTREGADORES"</f>
        <v>PAGAMENTO DE ENTREGADORES</v>
      </c>
      <c r="P6266">
        <v>750</v>
      </c>
      <c r="S6266" t="str">
        <f>"BANCO C6 (149)"</f>
        <v>BANCO C6 (149)</v>
      </c>
      <c r="T6266">
        <v>19661</v>
      </c>
      <c r="U6266">
        <v>22917</v>
      </c>
      <c r="V6266" t="s">
        <v>77</v>
      </c>
    </row>
    <row r="6267" spans="1:22">
      <c r="A6267" t="str">
        <f t="shared" ref="A6267:A6330" si="1145">("16/10/2025")</f>
        <v>16/10/2025</v>
      </c>
      <c r="B6267" t="str">
        <f t="shared" ref="B6267:B6330" si="1146">"SAÍDA"</f>
        <v>SAÍDA</v>
      </c>
      <c r="C6267" t="str">
        <f t="shared" ref="C6267:C6330" si="1147">"PIX"</f>
        <v>PIX</v>
      </c>
      <c r="D6267" t="str">
        <f>"22917"</f>
        <v>22917</v>
      </c>
      <c r="E6267" t="str">
        <f t="shared" si="1142"/>
        <v>1</v>
      </c>
      <c r="F6267" t="str">
        <f t="shared" si="1144"/>
        <v>COM</v>
      </c>
      <c r="G6267" t="str">
        <f>"AMANDA VERÍSSIMO FERREIRA (794)"</f>
        <v>AMANDA VERÍSSIMO FERREIRA (794)</v>
      </c>
      <c r="H6267" t="s">
        <v>1676</v>
      </c>
      <c r="I6267" t="str">
        <f t="shared" si="1141"/>
        <v>16/10/2025</v>
      </c>
      <c r="J6267" t="str">
        <f t="shared" si="1143"/>
        <v>07/10/2025</v>
      </c>
      <c r="K6267">
        <v>45946</v>
      </c>
      <c r="N6267">
        <v>109</v>
      </c>
      <c r="O6267" t="s">
        <v>24</v>
      </c>
      <c r="Q6267">
        <v>177.6</v>
      </c>
      <c r="R6267" t="str">
        <f>"FARMÁCIA INDIANA LJ 97 (10040)"</f>
        <v>FARMÁCIA INDIANA LJ 97 (10040)</v>
      </c>
      <c r="S6267" t="s">
        <v>77</v>
      </c>
      <c r="T6267">
        <v>19661</v>
      </c>
      <c r="U6267">
        <v>22917</v>
      </c>
      <c r="V6267" t="s">
        <v>77</v>
      </c>
    </row>
    <row r="6268" spans="1:22">
      <c r="A6268" t="str">
        <f t="shared" si="1145"/>
        <v>16/10/2025</v>
      </c>
      <c r="B6268" t="str">
        <f t="shared" si="1146"/>
        <v>SAÍDA</v>
      </c>
      <c r="C6268" t="str">
        <f t="shared" si="1147"/>
        <v>PIX</v>
      </c>
      <c r="D6268" t="str">
        <f>"22917"</f>
        <v>22917</v>
      </c>
      <c r="E6268" t="str">
        <f t="shared" si="1142"/>
        <v>1</v>
      </c>
      <c r="F6268" t="str">
        <f t="shared" si="1144"/>
        <v>COM</v>
      </c>
      <c r="G6268" t="str">
        <f>"AMANDA VERÍSSIMO FERREIRA (794)"</f>
        <v>AMANDA VERÍSSIMO FERREIRA (794)</v>
      </c>
      <c r="H6268" t="s">
        <v>1676</v>
      </c>
      <c r="I6268" t="str">
        <f t="shared" si="1141"/>
        <v>16/10/2025</v>
      </c>
      <c r="J6268" t="str">
        <f t="shared" si="1143"/>
        <v>07/10/2025</v>
      </c>
      <c r="K6268">
        <v>45946</v>
      </c>
      <c r="N6268">
        <v>109</v>
      </c>
      <c r="O6268" t="s">
        <v>24</v>
      </c>
      <c r="Q6268">
        <v>296.02</v>
      </c>
      <c r="R6268" t="str">
        <f>"FARMÁCIA INDIANA LJ 111 (10049)"</f>
        <v>FARMÁCIA INDIANA LJ 111 (10049)</v>
      </c>
      <c r="S6268" t="s">
        <v>77</v>
      </c>
      <c r="T6268">
        <v>19661</v>
      </c>
      <c r="U6268">
        <v>22917</v>
      </c>
      <c r="V6268" t="s">
        <v>77</v>
      </c>
    </row>
    <row r="6269" spans="1:22">
      <c r="A6269" t="str">
        <f t="shared" si="1145"/>
        <v>16/10/2025</v>
      </c>
      <c r="B6269" t="str">
        <f t="shared" si="1146"/>
        <v>SAÍDA</v>
      </c>
      <c r="C6269" t="str">
        <f t="shared" si="1147"/>
        <v>PIX</v>
      </c>
      <c r="D6269" t="str">
        <f>"22917"</f>
        <v>22917</v>
      </c>
      <c r="E6269" t="str">
        <f t="shared" si="1142"/>
        <v>1</v>
      </c>
      <c r="F6269" t="str">
        <f t="shared" si="1144"/>
        <v>COM</v>
      </c>
      <c r="G6269" t="str">
        <f>"AMANDA VERÍSSIMO FERREIRA (794)"</f>
        <v>AMANDA VERÍSSIMO FERREIRA (794)</v>
      </c>
      <c r="H6269" t="s">
        <v>1676</v>
      </c>
      <c r="I6269" t="str">
        <f t="shared" ref="I6269:I6332" si="1148">("16/10/2025")</f>
        <v>16/10/2025</v>
      </c>
      <c r="J6269" t="str">
        <f t="shared" si="1143"/>
        <v>07/10/2025</v>
      </c>
      <c r="K6269">
        <v>45946</v>
      </c>
      <c r="N6269">
        <v>109</v>
      </c>
      <c r="O6269" t="s">
        <v>24</v>
      </c>
      <c r="Q6269">
        <v>276.38</v>
      </c>
      <c r="R6269" t="str">
        <f>"FARMÁCIA INDIANA LJ 143 (10067)"</f>
        <v>FARMÁCIA INDIANA LJ 143 (10067)</v>
      </c>
      <c r="S6269" t="s">
        <v>77</v>
      </c>
      <c r="T6269">
        <v>19661</v>
      </c>
      <c r="U6269">
        <v>22917</v>
      </c>
      <c r="V6269" t="s">
        <v>77</v>
      </c>
    </row>
    <row r="6270" spans="1:22">
      <c r="A6270" t="str">
        <f t="shared" si="1145"/>
        <v>16/10/2025</v>
      </c>
      <c r="B6270" t="str">
        <f t="shared" si="1146"/>
        <v>SAÍDA</v>
      </c>
      <c r="C6270" t="str">
        <f t="shared" si="1147"/>
        <v>PIX</v>
      </c>
      <c r="D6270" t="str">
        <f>"22918"</f>
        <v>22918</v>
      </c>
      <c r="E6270" t="str">
        <f t="shared" si="1142"/>
        <v>1</v>
      </c>
      <c r="F6270" t="str">
        <f t="shared" si="1144"/>
        <v>COM</v>
      </c>
      <c r="G6270" t="str">
        <f>"ANISSO ANIDAL DE PAULA (161)"</f>
        <v>ANISSO ANIDAL DE PAULA (161)</v>
      </c>
      <c r="H6270" t="str">
        <f>"Serv.Prest. 26/09/2025 a 05/10/2025 - PIX: E-MAIL - CHAVE: anissoanidaldepaula@gmail.com"</f>
        <v>Serv.Prest. 26/09/2025 a 05/10/2025 - PIX: E-MAIL - CHAVE: anissoanidaldepaula@gmail.com</v>
      </c>
      <c r="I6270" t="str">
        <f t="shared" si="1148"/>
        <v>16/10/2025</v>
      </c>
      <c r="J6270" t="str">
        <f t="shared" si="1143"/>
        <v>07/10/2025</v>
      </c>
      <c r="K6270" t="str">
        <f>("16/10/2025")</f>
        <v>16/10/2025</v>
      </c>
      <c r="L6270">
        <v>1156</v>
      </c>
      <c r="M6270">
        <v>1156</v>
      </c>
      <c r="N6270">
        <v>109</v>
      </c>
      <c r="O6270" t="str">
        <f>"PAGAMENTO DE ENTREGADORES"</f>
        <v>PAGAMENTO DE ENTREGADORES</v>
      </c>
      <c r="P6270">
        <v>1156</v>
      </c>
      <c r="S6270" t="str">
        <f>"BANCO C6 (149)"</f>
        <v>BANCO C6 (149)</v>
      </c>
      <c r="T6270">
        <v>19662</v>
      </c>
      <c r="U6270">
        <v>22918</v>
      </c>
      <c r="V6270" t="s">
        <v>77</v>
      </c>
    </row>
    <row r="6271" spans="1:22">
      <c r="A6271" t="str">
        <f t="shared" si="1145"/>
        <v>16/10/2025</v>
      </c>
      <c r="B6271" t="str">
        <f t="shared" si="1146"/>
        <v>SAÍDA</v>
      </c>
      <c r="C6271" t="str">
        <f t="shared" si="1147"/>
        <v>PIX</v>
      </c>
      <c r="D6271" t="str">
        <f>"22918"</f>
        <v>22918</v>
      </c>
      <c r="E6271" t="str">
        <f t="shared" si="1142"/>
        <v>1</v>
      </c>
      <c r="F6271" t="str">
        <f t="shared" si="1144"/>
        <v>COM</v>
      </c>
      <c r="G6271" t="str">
        <f>"ANISSO ANIDAL DE PAULA (161)"</f>
        <v>ANISSO ANIDAL DE PAULA (161)</v>
      </c>
      <c r="H6271" t="s">
        <v>1369</v>
      </c>
      <c r="I6271" t="str">
        <f t="shared" si="1148"/>
        <v>16/10/2025</v>
      </c>
      <c r="J6271" t="str">
        <f t="shared" si="1143"/>
        <v>07/10/2025</v>
      </c>
      <c r="K6271">
        <v>45946</v>
      </c>
      <c r="N6271">
        <v>109</v>
      </c>
      <c r="O6271" t="s">
        <v>24</v>
      </c>
      <c r="Q6271">
        <v>920.06</v>
      </c>
      <c r="R6271" t="str">
        <f>"FARMÁCIA INDIANA LJ 18 (10011)"</f>
        <v>FARMÁCIA INDIANA LJ 18 (10011)</v>
      </c>
      <c r="S6271" t="s">
        <v>77</v>
      </c>
      <c r="T6271">
        <v>19662</v>
      </c>
      <c r="U6271">
        <v>22918</v>
      </c>
      <c r="V6271" t="s">
        <v>77</v>
      </c>
    </row>
    <row r="6272" spans="1:22">
      <c r="A6272" t="str">
        <f t="shared" si="1145"/>
        <v>16/10/2025</v>
      </c>
      <c r="B6272" t="str">
        <f t="shared" si="1146"/>
        <v>SAÍDA</v>
      </c>
      <c r="C6272" t="str">
        <f t="shared" si="1147"/>
        <v>PIX</v>
      </c>
      <c r="D6272" t="str">
        <f>"22918"</f>
        <v>22918</v>
      </c>
      <c r="E6272" t="str">
        <f t="shared" si="1142"/>
        <v>1</v>
      </c>
      <c r="F6272" t="str">
        <f t="shared" si="1144"/>
        <v>COM</v>
      </c>
      <c r="G6272" t="str">
        <f>"ANISSO ANIDAL DE PAULA (161)"</f>
        <v>ANISSO ANIDAL DE PAULA (161)</v>
      </c>
      <c r="H6272" t="s">
        <v>1369</v>
      </c>
      <c r="I6272" t="str">
        <f t="shared" si="1148"/>
        <v>16/10/2025</v>
      </c>
      <c r="J6272" t="str">
        <f t="shared" si="1143"/>
        <v>07/10/2025</v>
      </c>
      <c r="K6272">
        <v>45946</v>
      </c>
      <c r="N6272">
        <v>109</v>
      </c>
      <c r="O6272" t="s">
        <v>24</v>
      </c>
      <c r="Q6272">
        <v>235.94</v>
      </c>
      <c r="R6272" t="str">
        <f>"FARMÁCIA INDIANA LJ 19 (10012)"</f>
        <v>FARMÁCIA INDIANA LJ 19 (10012)</v>
      </c>
      <c r="S6272" t="s">
        <v>77</v>
      </c>
      <c r="T6272">
        <v>19662</v>
      </c>
      <c r="U6272">
        <v>22918</v>
      </c>
      <c r="V6272" t="s">
        <v>77</v>
      </c>
    </row>
    <row r="6273" spans="1:22">
      <c r="A6273" t="str">
        <f t="shared" si="1145"/>
        <v>16/10/2025</v>
      </c>
      <c r="B6273" t="str">
        <f t="shared" si="1146"/>
        <v>SAÍDA</v>
      </c>
      <c r="C6273" t="str">
        <f t="shared" si="1147"/>
        <v>PIX</v>
      </c>
      <c r="D6273" t="str">
        <f>"22919"</f>
        <v>22919</v>
      </c>
      <c r="E6273" t="str">
        <f t="shared" si="1142"/>
        <v>1</v>
      </c>
      <c r="F6273" t="str">
        <f t="shared" si="1144"/>
        <v>COM</v>
      </c>
      <c r="G6273" t="str">
        <f>"ARLINDO JOSE MARTINS (909)"</f>
        <v>ARLINDO JOSE MARTINS (909)</v>
      </c>
      <c r="H6273" t="str">
        <f>"Serv.Prest. 26/09/2025 a 05/10/2025 - PIX: CPF - CHAVE: 037.192.076-09"</f>
        <v>Serv.Prest. 26/09/2025 a 05/10/2025 - PIX: CPF - CHAVE: 037.192.076-09</v>
      </c>
      <c r="I6273" t="str">
        <f t="shared" si="1148"/>
        <v>16/10/2025</v>
      </c>
      <c r="J6273" t="str">
        <f t="shared" si="1143"/>
        <v>07/10/2025</v>
      </c>
      <c r="K6273" t="str">
        <f>("16/10/2025")</f>
        <v>16/10/2025</v>
      </c>
      <c r="L6273">
        <v>803</v>
      </c>
      <c r="M6273">
        <v>803</v>
      </c>
      <c r="N6273">
        <v>109</v>
      </c>
      <c r="O6273" t="str">
        <f>"PAGAMENTO DE ENTREGADORES"</f>
        <v>PAGAMENTO DE ENTREGADORES</v>
      </c>
      <c r="P6273">
        <v>803</v>
      </c>
      <c r="S6273" t="str">
        <f>"BANCO C6 (149)"</f>
        <v>BANCO C6 (149)</v>
      </c>
      <c r="T6273">
        <v>19663</v>
      </c>
      <c r="U6273">
        <v>22919</v>
      </c>
      <c r="V6273" t="s">
        <v>77</v>
      </c>
    </row>
    <row r="6274" spans="1:22">
      <c r="A6274" t="str">
        <f t="shared" si="1145"/>
        <v>16/10/2025</v>
      </c>
      <c r="B6274" t="str">
        <f t="shared" si="1146"/>
        <v>SAÍDA</v>
      </c>
      <c r="C6274" t="str">
        <f t="shared" si="1147"/>
        <v>PIX</v>
      </c>
      <c r="D6274" t="str">
        <f>"22919"</f>
        <v>22919</v>
      </c>
      <c r="E6274" t="str">
        <f t="shared" si="1142"/>
        <v>1</v>
      </c>
      <c r="F6274" t="str">
        <f t="shared" si="1144"/>
        <v>COM</v>
      </c>
      <c r="G6274" t="str">
        <f>"ARLINDO JOSE MARTINS (909)"</f>
        <v>ARLINDO JOSE MARTINS (909)</v>
      </c>
      <c r="H6274" t="s">
        <v>1677</v>
      </c>
      <c r="I6274" t="str">
        <f t="shared" si="1148"/>
        <v>16/10/2025</v>
      </c>
      <c r="J6274" t="str">
        <f t="shared" si="1143"/>
        <v>07/10/2025</v>
      </c>
      <c r="K6274">
        <v>45946</v>
      </c>
      <c r="N6274">
        <v>109</v>
      </c>
      <c r="O6274" t="s">
        <v>24</v>
      </c>
      <c r="Q6274">
        <v>803</v>
      </c>
      <c r="R6274" t="str">
        <f>"FARMÁCIA INDIANA LJ 185 (10141)"</f>
        <v>FARMÁCIA INDIANA LJ 185 (10141)</v>
      </c>
      <c r="S6274" t="s">
        <v>77</v>
      </c>
      <c r="T6274">
        <v>19663</v>
      </c>
      <c r="U6274">
        <v>22919</v>
      </c>
      <c r="V6274" t="s">
        <v>77</v>
      </c>
    </row>
    <row r="6275" spans="1:22">
      <c r="A6275" t="str">
        <f t="shared" si="1145"/>
        <v>16/10/2025</v>
      </c>
      <c r="B6275" t="str">
        <f t="shared" si="1146"/>
        <v>SAÍDA</v>
      </c>
      <c r="C6275" t="str">
        <f t="shared" si="1147"/>
        <v>PIX</v>
      </c>
      <c r="D6275" t="str">
        <f>"22920"</f>
        <v>22920</v>
      </c>
      <c r="E6275" t="str">
        <f t="shared" si="1142"/>
        <v>1</v>
      </c>
      <c r="F6275" t="str">
        <f t="shared" si="1144"/>
        <v>COM</v>
      </c>
      <c r="G6275" t="str">
        <f>"ARTHUR DANTAS PACHECO (928)"</f>
        <v>ARTHUR DANTAS PACHECO (928)</v>
      </c>
      <c r="H6275" t="str">
        <f>"Serv.Prest. 26/09/2025 a 05/10/2025 - PIX: CELULAR - CHAVE: (33) 99110-6940"</f>
        <v>Serv.Prest. 26/09/2025 a 05/10/2025 - PIX: CELULAR - CHAVE: (33) 99110-6940</v>
      </c>
      <c r="I6275" t="str">
        <f t="shared" si="1148"/>
        <v>16/10/2025</v>
      </c>
      <c r="J6275" t="str">
        <f t="shared" si="1143"/>
        <v>07/10/2025</v>
      </c>
      <c r="K6275" t="str">
        <f>("16/10/2025")</f>
        <v>16/10/2025</v>
      </c>
      <c r="L6275">
        <v>1892</v>
      </c>
      <c r="M6275">
        <v>1892</v>
      </c>
      <c r="N6275">
        <v>109</v>
      </c>
      <c r="O6275" t="str">
        <f>"PAGAMENTO DE ENTREGADORES"</f>
        <v>PAGAMENTO DE ENTREGADORES</v>
      </c>
      <c r="P6275">
        <v>1892</v>
      </c>
      <c r="S6275" t="str">
        <f>"BANCO C6 (149)"</f>
        <v>BANCO C6 (149)</v>
      </c>
      <c r="T6275">
        <v>19664</v>
      </c>
      <c r="U6275">
        <v>22920</v>
      </c>
      <c r="V6275" t="s">
        <v>77</v>
      </c>
    </row>
    <row r="6276" spans="1:22">
      <c r="A6276" t="str">
        <f t="shared" si="1145"/>
        <v>16/10/2025</v>
      </c>
      <c r="B6276" t="str">
        <f t="shared" si="1146"/>
        <v>SAÍDA</v>
      </c>
      <c r="C6276" t="str">
        <f t="shared" si="1147"/>
        <v>PIX</v>
      </c>
      <c r="D6276" t="str">
        <f>"22920"</f>
        <v>22920</v>
      </c>
      <c r="E6276" t="str">
        <f t="shared" si="1142"/>
        <v>1</v>
      </c>
      <c r="F6276" t="str">
        <f t="shared" si="1144"/>
        <v>COM</v>
      </c>
      <c r="G6276" t="str">
        <f>"ARTHUR DANTAS PACHECO (928)"</f>
        <v>ARTHUR DANTAS PACHECO (928)</v>
      </c>
      <c r="H6276" t="s">
        <v>1678</v>
      </c>
      <c r="I6276" t="str">
        <f t="shared" si="1148"/>
        <v>16/10/2025</v>
      </c>
      <c r="J6276" t="str">
        <f t="shared" si="1143"/>
        <v>07/10/2025</v>
      </c>
      <c r="K6276">
        <v>45946</v>
      </c>
      <c r="N6276">
        <v>109</v>
      </c>
      <c r="O6276" t="s">
        <v>24</v>
      </c>
      <c r="Q6276">
        <v>1892</v>
      </c>
      <c r="R6276" t="str">
        <f>"FARMÁCIA INDIANA LJ 40 (10016)"</f>
        <v>FARMÁCIA INDIANA LJ 40 (10016)</v>
      </c>
      <c r="S6276" t="s">
        <v>77</v>
      </c>
      <c r="T6276">
        <v>19664</v>
      </c>
      <c r="U6276">
        <v>22920</v>
      </c>
      <c r="V6276" t="s">
        <v>77</v>
      </c>
    </row>
    <row r="6277" spans="1:22">
      <c r="A6277" t="str">
        <f t="shared" si="1145"/>
        <v>16/10/2025</v>
      </c>
      <c r="B6277" t="str">
        <f t="shared" si="1146"/>
        <v>SAÍDA</v>
      </c>
      <c r="C6277" t="str">
        <f t="shared" si="1147"/>
        <v>PIX</v>
      </c>
      <c r="D6277" t="str">
        <f>"22921"</f>
        <v>22921</v>
      </c>
      <c r="E6277" t="str">
        <f t="shared" ref="E6277:E6340" si="1149">"1"</f>
        <v>1</v>
      </c>
      <c r="F6277" t="str">
        <f t="shared" si="1144"/>
        <v>COM</v>
      </c>
      <c r="G6277" t="str">
        <f>"BRUNO BARBOSA DE MATOS (82)"</f>
        <v>BRUNO BARBOSA DE MATOS (82)</v>
      </c>
      <c r="H6277" t="str">
        <f>"Serv.Prest. 26/09/2025 a 05/10/2025 - PIX: CPF - CHAVE: 137.446.146-62"</f>
        <v>Serv.Prest. 26/09/2025 a 05/10/2025 - PIX: CPF - CHAVE: 137.446.146-62</v>
      </c>
      <c r="I6277" t="str">
        <f t="shared" si="1148"/>
        <v>16/10/2025</v>
      </c>
      <c r="J6277" t="str">
        <f t="shared" si="1143"/>
        <v>07/10/2025</v>
      </c>
      <c r="K6277" t="str">
        <f>("16/10/2025")</f>
        <v>16/10/2025</v>
      </c>
      <c r="L6277">
        <v>1716</v>
      </c>
      <c r="M6277">
        <v>1716</v>
      </c>
      <c r="N6277">
        <v>109</v>
      </c>
      <c r="O6277" t="str">
        <f>"PAGAMENTO DE ENTREGADORES"</f>
        <v>PAGAMENTO DE ENTREGADORES</v>
      </c>
      <c r="P6277">
        <v>1716</v>
      </c>
      <c r="S6277" t="str">
        <f>"BANCO C6 (149)"</f>
        <v>BANCO C6 (149)</v>
      </c>
      <c r="T6277">
        <v>19665</v>
      </c>
      <c r="U6277">
        <v>22921</v>
      </c>
      <c r="V6277" t="s">
        <v>77</v>
      </c>
    </row>
    <row r="6278" spans="1:22">
      <c r="A6278" t="str">
        <f t="shared" si="1145"/>
        <v>16/10/2025</v>
      </c>
      <c r="B6278" t="str">
        <f t="shared" si="1146"/>
        <v>SAÍDA</v>
      </c>
      <c r="C6278" t="str">
        <f t="shared" si="1147"/>
        <v>PIX</v>
      </c>
      <c r="D6278" t="str">
        <f>"22921"</f>
        <v>22921</v>
      </c>
      <c r="E6278" t="str">
        <f t="shared" si="1149"/>
        <v>1</v>
      </c>
      <c r="F6278" t="str">
        <f t="shared" si="1144"/>
        <v>COM</v>
      </c>
      <c r="G6278" t="str">
        <f>"BRUNO BARBOSA DE MATOS (82)"</f>
        <v>BRUNO BARBOSA DE MATOS (82)</v>
      </c>
      <c r="H6278" t="s">
        <v>1679</v>
      </c>
      <c r="I6278" t="str">
        <f t="shared" si="1148"/>
        <v>16/10/2025</v>
      </c>
      <c r="J6278" t="str">
        <f t="shared" si="1143"/>
        <v>07/10/2025</v>
      </c>
      <c r="K6278">
        <v>45946</v>
      </c>
      <c r="N6278">
        <v>109</v>
      </c>
      <c r="O6278" t="s">
        <v>24</v>
      </c>
      <c r="Q6278">
        <v>1716</v>
      </c>
      <c r="R6278" t="str">
        <f>"FARMÁCIA INDIANA LJ 152 (10069)"</f>
        <v>FARMÁCIA INDIANA LJ 152 (10069)</v>
      </c>
      <c r="S6278" t="s">
        <v>77</v>
      </c>
      <c r="T6278">
        <v>19665</v>
      </c>
      <c r="U6278">
        <v>22921</v>
      </c>
      <c r="V6278" t="s">
        <v>77</v>
      </c>
    </row>
    <row r="6279" spans="1:22">
      <c r="A6279" t="str">
        <f t="shared" si="1145"/>
        <v>16/10/2025</v>
      </c>
      <c r="B6279" t="str">
        <f t="shared" si="1146"/>
        <v>SAÍDA</v>
      </c>
      <c r="C6279" t="str">
        <f t="shared" si="1147"/>
        <v>PIX</v>
      </c>
      <c r="D6279" t="str">
        <f>"22922"</f>
        <v>22922</v>
      </c>
      <c r="E6279" t="str">
        <f t="shared" si="1149"/>
        <v>1</v>
      </c>
      <c r="F6279" t="str">
        <f t="shared" si="1144"/>
        <v>COM</v>
      </c>
      <c r="G6279" t="str">
        <f>"BRUNO DOS SANTOS MACHADO (702)"</f>
        <v>BRUNO DOS SANTOS MACHADO (702)</v>
      </c>
      <c r="H6279" t="str">
        <f>"Serv.Prest. 26/09/2025 a 05/10/2025 - PIX: CPF - CHAVE: 155.328.666-94"</f>
        <v>Serv.Prest. 26/09/2025 a 05/10/2025 - PIX: CPF - CHAVE: 155.328.666-94</v>
      </c>
      <c r="I6279" t="str">
        <f t="shared" si="1148"/>
        <v>16/10/2025</v>
      </c>
      <c r="J6279" t="str">
        <f t="shared" ref="J6279:J6342" si="1150">("07/10/2025")</f>
        <v>07/10/2025</v>
      </c>
      <c r="K6279" t="str">
        <f>("16/10/2025")</f>
        <v>16/10/2025</v>
      </c>
      <c r="L6279">
        <v>1200</v>
      </c>
      <c r="M6279">
        <v>1200</v>
      </c>
      <c r="N6279">
        <v>109</v>
      </c>
      <c r="O6279" t="str">
        <f>"PAGAMENTO DE ENTREGADORES"</f>
        <v>PAGAMENTO DE ENTREGADORES</v>
      </c>
      <c r="P6279">
        <v>1200</v>
      </c>
      <c r="S6279" t="str">
        <f>"BANCO C6 (149)"</f>
        <v>BANCO C6 (149)</v>
      </c>
      <c r="T6279">
        <v>19666</v>
      </c>
      <c r="U6279">
        <v>22922</v>
      </c>
      <c r="V6279" t="s">
        <v>77</v>
      </c>
    </row>
    <row r="6280" spans="1:22">
      <c r="A6280" t="str">
        <f t="shared" si="1145"/>
        <v>16/10/2025</v>
      </c>
      <c r="B6280" t="str">
        <f t="shared" si="1146"/>
        <v>SAÍDA</v>
      </c>
      <c r="C6280" t="str">
        <f t="shared" si="1147"/>
        <v>PIX</v>
      </c>
      <c r="D6280" t="str">
        <f>"22922"</f>
        <v>22922</v>
      </c>
      <c r="E6280" t="str">
        <f t="shared" si="1149"/>
        <v>1</v>
      </c>
      <c r="F6280" t="str">
        <f t="shared" si="1144"/>
        <v>COM</v>
      </c>
      <c r="G6280" t="str">
        <f>"BRUNO DOS SANTOS MACHADO (702)"</f>
        <v>BRUNO DOS SANTOS MACHADO (702)</v>
      </c>
      <c r="H6280" t="s">
        <v>1680</v>
      </c>
      <c r="I6280" t="str">
        <f t="shared" si="1148"/>
        <v>16/10/2025</v>
      </c>
      <c r="J6280" t="str">
        <f t="shared" si="1150"/>
        <v>07/10/2025</v>
      </c>
      <c r="K6280">
        <v>45946</v>
      </c>
      <c r="N6280">
        <v>109</v>
      </c>
      <c r="O6280" t="s">
        <v>24</v>
      </c>
      <c r="Q6280">
        <v>999.96</v>
      </c>
      <c r="R6280" t="str">
        <f>"FARMÁCIA INDIANA LJ 204 (10087)"</f>
        <v>FARMÁCIA INDIANA LJ 204 (10087)</v>
      </c>
      <c r="S6280" t="s">
        <v>77</v>
      </c>
      <c r="T6280">
        <v>19666</v>
      </c>
      <c r="U6280">
        <v>22922</v>
      </c>
      <c r="V6280" t="s">
        <v>77</v>
      </c>
    </row>
    <row r="6281" spans="1:22">
      <c r="A6281" t="str">
        <f t="shared" si="1145"/>
        <v>16/10/2025</v>
      </c>
      <c r="B6281" t="str">
        <f t="shared" si="1146"/>
        <v>SAÍDA</v>
      </c>
      <c r="C6281" t="str">
        <f t="shared" si="1147"/>
        <v>PIX</v>
      </c>
      <c r="D6281" t="str">
        <f>"22922"</f>
        <v>22922</v>
      </c>
      <c r="E6281" t="str">
        <f t="shared" si="1149"/>
        <v>1</v>
      </c>
      <c r="F6281" t="str">
        <f t="shared" si="1144"/>
        <v>COM</v>
      </c>
      <c r="G6281" t="str">
        <f>"BRUNO DOS SANTOS MACHADO (702)"</f>
        <v>BRUNO DOS SANTOS MACHADO (702)</v>
      </c>
      <c r="H6281" t="s">
        <v>1680</v>
      </c>
      <c r="I6281" t="str">
        <f t="shared" si="1148"/>
        <v>16/10/2025</v>
      </c>
      <c r="J6281" t="str">
        <f t="shared" si="1150"/>
        <v>07/10/2025</v>
      </c>
      <c r="K6281">
        <v>45946</v>
      </c>
      <c r="N6281">
        <v>109</v>
      </c>
      <c r="O6281" t="s">
        <v>24</v>
      </c>
      <c r="Q6281">
        <v>200.04</v>
      </c>
      <c r="R6281" t="str">
        <f>"FARMÁCIA INDIANA LJ 266 (10186)"</f>
        <v>FARMÁCIA INDIANA LJ 266 (10186)</v>
      </c>
      <c r="S6281" t="s">
        <v>77</v>
      </c>
      <c r="T6281">
        <v>19666</v>
      </c>
      <c r="U6281">
        <v>22922</v>
      </c>
      <c r="V6281" t="s">
        <v>77</v>
      </c>
    </row>
    <row r="6282" spans="1:22">
      <c r="A6282" t="str">
        <f t="shared" si="1145"/>
        <v>16/10/2025</v>
      </c>
      <c r="B6282" t="str">
        <f t="shared" si="1146"/>
        <v>SAÍDA</v>
      </c>
      <c r="C6282" t="str">
        <f t="shared" si="1147"/>
        <v>PIX</v>
      </c>
      <c r="D6282" t="str">
        <f>"22923"</f>
        <v>22923</v>
      </c>
      <c r="E6282" t="str">
        <f t="shared" si="1149"/>
        <v>1</v>
      </c>
      <c r="F6282" t="str">
        <f t="shared" si="1144"/>
        <v>COM</v>
      </c>
      <c r="G6282" t="str">
        <f>"BRUNO WAGNER DE CARVALHO OLIVEIRA (84)"</f>
        <v>BRUNO WAGNER DE CARVALHO OLIVEIRA (84)</v>
      </c>
      <c r="H6282" t="str">
        <f>"Serv.Prest. 26/09/2025 a 05/10/2025 - PIX: CELULAR - CHAVE: (32) 98896-0708"</f>
        <v>Serv.Prest. 26/09/2025 a 05/10/2025 - PIX: CELULAR - CHAVE: (32) 98896-0708</v>
      </c>
      <c r="I6282" t="str">
        <f t="shared" si="1148"/>
        <v>16/10/2025</v>
      </c>
      <c r="J6282" t="str">
        <f t="shared" si="1150"/>
        <v>07/10/2025</v>
      </c>
      <c r="K6282" t="str">
        <f>("16/10/2025")</f>
        <v>16/10/2025</v>
      </c>
      <c r="L6282">
        <v>700</v>
      </c>
      <c r="M6282">
        <v>700</v>
      </c>
      <c r="N6282">
        <v>109</v>
      </c>
      <c r="O6282" t="str">
        <f>"PAGAMENTO DE ENTREGADORES"</f>
        <v>PAGAMENTO DE ENTREGADORES</v>
      </c>
      <c r="P6282">
        <v>700</v>
      </c>
      <c r="S6282" t="str">
        <f>"BANCO C6 (149)"</f>
        <v>BANCO C6 (149)</v>
      </c>
      <c r="T6282">
        <v>19667</v>
      </c>
      <c r="U6282">
        <v>22923</v>
      </c>
      <c r="V6282" t="s">
        <v>77</v>
      </c>
    </row>
    <row r="6283" spans="1:22">
      <c r="A6283" t="str">
        <f t="shared" si="1145"/>
        <v>16/10/2025</v>
      </c>
      <c r="B6283" t="str">
        <f t="shared" si="1146"/>
        <v>SAÍDA</v>
      </c>
      <c r="C6283" t="str">
        <f t="shared" si="1147"/>
        <v>PIX</v>
      </c>
      <c r="D6283" t="str">
        <f>"22923"</f>
        <v>22923</v>
      </c>
      <c r="E6283" t="str">
        <f t="shared" si="1149"/>
        <v>1</v>
      </c>
      <c r="F6283" t="str">
        <f t="shared" si="1144"/>
        <v>COM</v>
      </c>
      <c r="G6283" t="str">
        <f>"BRUNO WAGNER DE CARVALHO OLIVEIRA (84)"</f>
        <v>BRUNO WAGNER DE CARVALHO OLIVEIRA (84)</v>
      </c>
      <c r="H6283" t="s">
        <v>1681</v>
      </c>
      <c r="I6283" t="str">
        <f t="shared" si="1148"/>
        <v>16/10/2025</v>
      </c>
      <c r="J6283" t="str">
        <f t="shared" si="1150"/>
        <v>07/10/2025</v>
      </c>
      <c r="K6283">
        <v>45946</v>
      </c>
      <c r="N6283">
        <v>109</v>
      </c>
      <c r="O6283" t="s">
        <v>24</v>
      </c>
      <c r="Q6283">
        <v>343.63</v>
      </c>
      <c r="R6283" t="str">
        <f>"FARMÁCIA INDIANA LJ 182 (10079)"</f>
        <v>FARMÁCIA INDIANA LJ 182 (10079)</v>
      </c>
      <c r="S6283" t="s">
        <v>77</v>
      </c>
      <c r="T6283">
        <v>19667</v>
      </c>
      <c r="U6283">
        <v>22923</v>
      </c>
      <c r="V6283" t="s">
        <v>77</v>
      </c>
    </row>
    <row r="6284" spans="1:22">
      <c r="A6284" t="str">
        <f t="shared" si="1145"/>
        <v>16/10/2025</v>
      </c>
      <c r="B6284" t="str">
        <f t="shared" si="1146"/>
        <v>SAÍDA</v>
      </c>
      <c r="C6284" t="str">
        <f t="shared" si="1147"/>
        <v>PIX</v>
      </c>
      <c r="D6284" t="str">
        <f>"22923"</f>
        <v>22923</v>
      </c>
      <c r="E6284" t="str">
        <f t="shared" si="1149"/>
        <v>1</v>
      </c>
      <c r="F6284" t="str">
        <f t="shared" si="1144"/>
        <v>COM</v>
      </c>
      <c r="G6284" t="str">
        <f>"BRUNO WAGNER DE CARVALHO OLIVEIRA (84)"</f>
        <v>BRUNO WAGNER DE CARVALHO OLIVEIRA (84)</v>
      </c>
      <c r="H6284" t="s">
        <v>1681</v>
      </c>
      <c r="I6284" t="str">
        <f t="shared" si="1148"/>
        <v>16/10/2025</v>
      </c>
      <c r="J6284" t="str">
        <f t="shared" si="1150"/>
        <v>07/10/2025</v>
      </c>
      <c r="K6284">
        <v>45946</v>
      </c>
      <c r="N6284">
        <v>109</v>
      </c>
      <c r="O6284" t="s">
        <v>24</v>
      </c>
      <c r="Q6284">
        <v>356.37</v>
      </c>
      <c r="R6284" t="str">
        <f>"FARMÁCIA INDIANA LJ 186 (10081)"</f>
        <v>FARMÁCIA INDIANA LJ 186 (10081)</v>
      </c>
      <c r="S6284" t="s">
        <v>77</v>
      </c>
      <c r="T6284">
        <v>19667</v>
      </c>
      <c r="U6284">
        <v>22923</v>
      </c>
      <c r="V6284" t="s">
        <v>77</v>
      </c>
    </row>
    <row r="6285" spans="1:22">
      <c r="A6285" t="str">
        <f t="shared" si="1145"/>
        <v>16/10/2025</v>
      </c>
      <c r="B6285" t="str">
        <f t="shared" si="1146"/>
        <v>SAÍDA</v>
      </c>
      <c r="C6285" t="str">
        <f t="shared" si="1147"/>
        <v>PIX</v>
      </c>
      <c r="D6285" t="str">
        <f>"22924"</f>
        <v>22924</v>
      </c>
      <c r="E6285" t="str">
        <f t="shared" si="1149"/>
        <v>1</v>
      </c>
      <c r="F6285" t="str">
        <f t="shared" si="1144"/>
        <v>COM</v>
      </c>
      <c r="G6285" t="str">
        <f>"CARLOS ROBERTO BADARÓ MACHADO (78)"</f>
        <v>CARLOS ROBERTO BADARÓ MACHADO (78)</v>
      </c>
      <c r="H6285" t="str">
        <f>"Serv.Prest. 26/09/2025 a 05/10/2025 - PIX: CELULAR - CHAVE: (32) 99166-8238"</f>
        <v>Serv.Prest. 26/09/2025 a 05/10/2025 - PIX: CELULAR - CHAVE: (32) 99166-8238</v>
      </c>
      <c r="I6285" t="str">
        <f t="shared" si="1148"/>
        <v>16/10/2025</v>
      </c>
      <c r="J6285" t="str">
        <f t="shared" si="1150"/>
        <v>07/10/2025</v>
      </c>
      <c r="K6285" t="str">
        <f>("16/10/2025")</f>
        <v>16/10/2025</v>
      </c>
      <c r="L6285">
        <v>2052</v>
      </c>
      <c r="M6285">
        <v>2052</v>
      </c>
      <c r="N6285">
        <v>109</v>
      </c>
      <c r="O6285" t="str">
        <f>"PAGAMENTO DE ENTREGADORES"</f>
        <v>PAGAMENTO DE ENTREGADORES</v>
      </c>
      <c r="P6285">
        <v>2052</v>
      </c>
      <c r="S6285" t="str">
        <f>"BANCO C6 (149)"</f>
        <v>BANCO C6 (149)</v>
      </c>
      <c r="T6285">
        <v>19668</v>
      </c>
      <c r="U6285">
        <v>22924</v>
      </c>
      <c r="V6285" t="s">
        <v>77</v>
      </c>
    </row>
    <row r="6286" spans="1:22">
      <c r="A6286" t="str">
        <f t="shared" si="1145"/>
        <v>16/10/2025</v>
      </c>
      <c r="B6286" t="str">
        <f t="shared" si="1146"/>
        <v>SAÍDA</v>
      </c>
      <c r="C6286" t="str">
        <f t="shared" si="1147"/>
        <v>PIX</v>
      </c>
      <c r="D6286" t="str">
        <f>"22924"</f>
        <v>22924</v>
      </c>
      <c r="E6286" t="str">
        <f t="shared" si="1149"/>
        <v>1</v>
      </c>
      <c r="F6286" t="str">
        <f t="shared" si="1144"/>
        <v>COM</v>
      </c>
      <c r="G6286" t="str">
        <f>"CARLOS ROBERTO BADARÓ MACHADO (78)"</f>
        <v>CARLOS ROBERTO BADARÓ MACHADO (78)</v>
      </c>
      <c r="H6286" t="s">
        <v>1682</v>
      </c>
      <c r="I6286" t="str">
        <f t="shared" si="1148"/>
        <v>16/10/2025</v>
      </c>
      <c r="J6286" t="str">
        <f t="shared" si="1150"/>
        <v>07/10/2025</v>
      </c>
      <c r="K6286">
        <v>45946</v>
      </c>
      <c r="N6286">
        <v>109</v>
      </c>
      <c r="O6286" t="s">
        <v>24</v>
      </c>
      <c r="Q6286">
        <v>2052</v>
      </c>
      <c r="R6286" t="str">
        <f>"FARMÁCIA INDIANA LJ 109 (10047)"</f>
        <v>FARMÁCIA INDIANA LJ 109 (10047)</v>
      </c>
      <c r="S6286" t="s">
        <v>77</v>
      </c>
      <c r="T6286">
        <v>19668</v>
      </c>
      <c r="U6286">
        <v>22924</v>
      </c>
      <c r="V6286" t="s">
        <v>77</v>
      </c>
    </row>
    <row r="6287" spans="1:22">
      <c r="A6287" t="str">
        <f t="shared" si="1145"/>
        <v>16/10/2025</v>
      </c>
      <c r="B6287" t="str">
        <f t="shared" si="1146"/>
        <v>SAÍDA</v>
      </c>
      <c r="C6287" t="str">
        <f t="shared" si="1147"/>
        <v>PIX</v>
      </c>
      <c r="D6287" t="str">
        <f>"22925"</f>
        <v>22925</v>
      </c>
      <c r="E6287" t="str">
        <f t="shared" si="1149"/>
        <v>1</v>
      </c>
      <c r="F6287" t="str">
        <f t="shared" si="1144"/>
        <v>COM</v>
      </c>
      <c r="G6287" t="str">
        <f>"CASSIO DIAS RIBEIRO (32)"</f>
        <v>CASSIO DIAS RIBEIRO (32)</v>
      </c>
      <c r="H6287" t="str">
        <f>"Serv.Prest. 26/09/2025 a 05/10/2025 - PIX: CPF - CHAVE: 091.575.986-14"</f>
        <v>Serv.Prest. 26/09/2025 a 05/10/2025 - PIX: CPF - CHAVE: 091.575.986-14</v>
      </c>
      <c r="I6287" t="str">
        <f t="shared" si="1148"/>
        <v>16/10/2025</v>
      </c>
      <c r="J6287" t="str">
        <f t="shared" si="1150"/>
        <v>07/10/2025</v>
      </c>
      <c r="K6287" t="str">
        <f>("16/10/2025")</f>
        <v>16/10/2025</v>
      </c>
      <c r="L6287">
        <v>752</v>
      </c>
      <c r="M6287">
        <v>752</v>
      </c>
      <c r="N6287">
        <v>109</v>
      </c>
      <c r="O6287" t="str">
        <f>"PAGAMENTO DE ENTREGADORES"</f>
        <v>PAGAMENTO DE ENTREGADORES</v>
      </c>
      <c r="P6287">
        <v>752</v>
      </c>
      <c r="S6287" t="str">
        <f>"BANCO C6 (149)"</f>
        <v>BANCO C6 (149)</v>
      </c>
      <c r="T6287">
        <v>19669</v>
      </c>
      <c r="U6287">
        <v>22925</v>
      </c>
      <c r="V6287" t="s">
        <v>77</v>
      </c>
    </row>
    <row r="6288" spans="1:22">
      <c r="A6288" t="str">
        <f t="shared" si="1145"/>
        <v>16/10/2025</v>
      </c>
      <c r="B6288" t="str">
        <f t="shared" si="1146"/>
        <v>SAÍDA</v>
      </c>
      <c r="C6288" t="str">
        <f t="shared" si="1147"/>
        <v>PIX</v>
      </c>
      <c r="D6288" t="str">
        <f>"22925"</f>
        <v>22925</v>
      </c>
      <c r="E6288" t="str">
        <f t="shared" si="1149"/>
        <v>1</v>
      </c>
      <c r="F6288" t="str">
        <f t="shared" si="1144"/>
        <v>COM</v>
      </c>
      <c r="G6288" t="str">
        <f>"CASSIO DIAS RIBEIRO (32)"</f>
        <v>CASSIO DIAS RIBEIRO (32)</v>
      </c>
      <c r="H6288" t="s">
        <v>1625</v>
      </c>
      <c r="I6288" t="str">
        <f t="shared" si="1148"/>
        <v>16/10/2025</v>
      </c>
      <c r="J6288" t="str">
        <f t="shared" si="1150"/>
        <v>07/10/2025</v>
      </c>
      <c r="K6288">
        <v>45946</v>
      </c>
      <c r="N6288">
        <v>109</v>
      </c>
      <c r="O6288" t="s">
        <v>24</v>
      </c>
      <c r="Q6288">
        <v>752</v>
      </c>
      <c r="R6288" t="str">
        <f>"FARMÁCIA INDIANA LJ 11 (10008)"</f>
        <v>FARMÁCIA INDIANA LJ 11 (10008)</v>
      </c>
      <c r="S6288" t="s">
        <v>77</v>
      </c>
      <c r="T6288">
        <v>19669</v>
      </c>
      <c r="U6288">
        <v>22925</v>
      </c>
      <c r="V6288" t="s">
        <v>77</v>
      </c>
    </row>
    <row r="6289" spans="1:22">
      <c r="A6289" t="str">
        <f t="shared" si="1145"/>
        <v>16/10/2025</v>
      </c>
      <c r="B6289" t="str">
        <f t="shared" si="1146"/>
        <v>SAÍDA</v>
      </c>
      <c r="C6289" t="str">
        <f t="shared" si="1147"/>
        <v>PIX</v>
      </c>
      <c r="D6289" t="str">
        <f>"22926"</f>
        <v>22926</v>
      </c>
      <c r="E6289" t="str">
        <f t="shared" si="1149"/>
        <v>1</v>
      </c>
      <c r="F6289" t="str">
        <f t="shared" si="1144"/>
        <v>COM</v>
      </c>
      <c r="G6289" t="str">
        <f>"CELIO JOSÉ RIBEIRO (189)"</f>
        <v>CELIO JOSÉ RIBEIRO (189)</v>
      </c>
      <c r="H6289" t="str">
        <f>"Serv.Prest. 26/09/2025 a 05/10/2025 - PIX: CELULAR - CHAVE: (33) 98845-4528"</f>
        <v>Serv.Prest. 26/09/2025 a 05/10/2025 - PIX: CELULAR - CHAVE: (33) 98845-4528</v>
      </c>
      <c r="I6289" t="str">
        <f t="shared" si="1148"/>
        <v>16/10/2025</v>
      </c>
      <c r="J6289" t="str">
        <f t="shared" si="1150"/>
        <v>07/10/2025</v>
      </c>
      <c r="K6289" t="str">
        <f>("16/10/2025")</f>
        <v>16/10/2025</v>
      </c>
      <c r="L6289">
        <v>1470</v>
      </c>
      <c r="M6289">
        <v>1470</v>
      </c>
      <c r="N6289">
        <v>109</v>
      </c>
      <c r="O6289" t="str">
        <f>"PAGAMENTO DE ENTREGADORES"</f>
        <v>PAGAMENTO DE ENTREGADORES</v>
      </c>
      <c r="P6289">
        <v>1470</v>
      </c>
      <c r="S6289" t="str">
        <f>"BANCO C6 (149)"</f>
        <v>BANCO C6 (149)</v>
      </c>
      <c r="T6289">
        <v>19670</v>
      </c>
      <c r="U6289">
        <v>22926</v>
      </c>
      <c r="V6289" t="s">
        <v>77</v>
      </c>
    </row>
    <row r="6290" spans="1:22">
      <c r="A6290" t="str">
        <f t="shared" si="1145"/>
        <v>16/10/2025</v>
      </c>
      <c r="B6290" t="str">
        <f t="shared" si="1146"/>
        <v>SAÍDA</v>
      </c>
      <c r="C6290" t="str">
        <f t="shared" si="1147"/>
        <v>PIX</v>
      </c>
      <c r="D6290" t="str">
        <f>"22926"</f>
        <v>22926</v>
      </c>
      <c r="E6290" t="str">
        <f t="shared" si="1149"/>
        <v>1</v>
      </c>
      <c r="F6290" t="str">
        <f t="shared" si="1144"/>
        <v>COM</v>
      </c>
      <c r="G6290" t="str">
        <f>"CELIO JOSÉ RIBEIRO (189)"</f>
        <v>CELIO JOSÉ RIBEIRO (189)</v>
      </c>
      <c r="H6290" t="s">
        <v>1683</v>
      </c>
      <c r="I6290" t="str">
        <f t="shared" si="1148"/>
        <v>16/10/2025</v>
      </c>
      <c r="J6290" t="str">
        <f t="shared" si="1150"/>
        <v>07/10/2025</v>
      </c>
      <c r="K6290">
        <v>45946</v>
      </c>
      <c r="N6290">
        <v>109</v>
      </c>
      <c r="O6290" t="s">
        <v>24</v>
      </c>
      <c r="Q6290">
        <v>1470</v>
      </c>
      <c r="R6290" t="str">
        <f>"FARMÁCIA INDIANA LJ 06 (10006)"</f>
        <v>FARMÁCIA INDIANA LJ 06 (10006)</v>
      </c>
      <c r="S6290" t="s">
        <v>77</v>
      </c>
      <c r="T6290">
        <v>19670</v>
      </c>
      <c r="U6290">
        <v>22926</v>
      </c>
      <c r="V6290" t="s">
        <v>77</v>
      </c>
    </row>
    <row r="6291" spans="1:22">
      <c r="A6291" t="str">
        <f t="shared" si="1145"/>
        <v>16/10/2025</v>
      </c>
      <c r="B6291" t="str">
        <f t="shared" si="1146"/>
        <v>SAÍDA</v>
      </c>
      <c r="C6291" t="str">
        <f t="shared" si="1147"/>
        <v>PIX</v>
      </c>
      <c r="D6291" t="str">
        <f>"22927"</f>
        <v>22927</v>
      </c>
      <c r="E6291" t="str">
        <f t="shared" si="1149"/>
        <v>1</v>
      </c>
      <c r="F6291" t="str">
        <f t="shared" si="1144"/>
        <v>COM</v>
      </c>
      <c r="G6291" t="str">
        <f>"CLEIDIOMAR RIBEIRO FERREIRA (34)"</f>
        <v>CLEIDIOMAR RIBEIRO FERREIRA (34)</v>
      </c>
      <c r="H6291" t="str">
        <f>"Serv.Prest. 26/09/2025 a 05/10/2025 - PIX: CELULAR - CHAVE: (31) 98511-2851"</f>
        <v>Serv.Prest. 26/09/2025 a 05/10/2025 - PIX: CELULAR - CHAVE: (31) 98511-2851</v>
      </c>
      <c r="I6291" t="str">
        <f t="shared" si="1148"/>
        <v>16/10/2025</v>
      </c>
      <c r="J6291" t="str">
        <f t="shared" si="1150"/>
        <v>07/10/2025</v>
      </c>
      <c r="K6291" t="str">
        <f>("16/10/2025")</f>
        <v>16/10/2025</v>
      </c>
      <c r="L6291">
        <v>1752</v>
      </c>
      <c r="M6291">
        <v>1752</v>
      </c>
      <c r="N6291">
        <v>109</v>
      </c>
      <c r="O6291" t="str">
        <f>"PAGAMENTO DE ENTREGADORES"</f>
        <v>PAGAMENTO DE ENTREGADORES</v>
      </c>
      <c r="P6291">
        <v>1752</v>
      </c>
      <c r="S6291" t="str">
        <f>"BANCO C6 (149)"</f>
        <v>BANCO C6 (149)</v>
      </c>
      <c r="T6291">
        <v>19671</v>
      </c>
      <c r="U6291">
        <v>22927</v>
      </c>
      <c r="V6291" t="s">
        <v>77</v>
      </c>
    </row>
    <row r="6292" spans="1:22">
      <c r="A6292" t="str">
        <f t="shared" si="1145"/>
        <v>16/10/2025</v>
      </c>
      <c r="B6292" t="str">
        <f t="shared" si="1146"/>
        <v>SAÍDA</v>
      </c>
      <c r="C6292" t="str">
        <f t="shared" si="1147"/>
        <v>PIX</v>
      </c>
      <c r="D6292" t="str">
        <f>"22927"</f>
        <v>22927</v>
      </c>
      <c r="E6292" t="str">
        <f t="shared" si="1149"/>
        <v>1</v>
      </c>
      <c r="F6292" t="str">
        <f t="shared" si="1144"/>
        <v>COM</v>
      </c>
      <c r="G6292" t="str">
        <f>"CLEIDIOMAR RIBEIRO FERREIRA (34)"</f>
        <v>CLEIDIOMAR RIBEIRO FERREIRA (34)</v>
      </c>
      <c r="H6292" t="s">
        <v>1684</v>
      </c>
      <c r="I6292" t="str">
        <f t="shared" si="1148"/>
        <v>16/10/2025</v>
      </c>
      <c r="J6292" t="str">
        <f t="shared" si="1150"/>
        <v>07/10/2025</v>
      </c>
      <c r="K6292">
        <v>45946</v>
      </c>
      <c r="N6292">
        <v>109</v>
      </c>
      <c r="O6292" t="s">
        <v>24</v>
      </c>
      <c r="Q6292">
        <v>1752</v>
      </c>
      <c r="R6292" t="str">
        <f>"FARMÁCIA INDIANA LJ 11 (10008)"</f>
        <v>FARMÁCIA INDIANA LJ 11 (10008)</v>
      </c>
      <c r="S6292" t="s">
        <v>77</v>
      </c>
      <c r="T6292">
        <v>19671</v>
      </c>
      <c r="U6292">
        <v>22927</v>
      </c>
      <c r="V6292" t="s">
        <v>77</v>
      </c>
    </row>
    <row r="6293" spans="1:22">
      <c r="A6293" t="str">
        <f t="shared" si="1145"/>
        <v>16/10/2025</v>
      </c>
      <c r="B6293" t="str">
        <f t="shared" si="1146"/>
        <v>SAÍDA</v>
      </c>
      <c r="C6293" t="str">
        <f t="shared" si="1147"/>
        <v>PIX</v>
      </c>
      <c r="D6293" t="str">
        <f>"22928"</f>
        <v>22928</v>
      </c>
      <c r="E6293" t="str">
        <f t="shared" si="1149"/>
        <v>1</v>
      </c>
      <c r="F6293" t="str">
        <f t="shared" si="1144"/>
        <v>COM</v>
      </c>
      <c r="G6293" t="str">
        <f>"CRISTIANO XAVIER DA COSTA (269)"</f>
        <v>CRISTIANO XAVIER DA COSTA (269)</v>
      </c>
      <c r="H6293" t="str">
        <f>"Serv.Prest. 26/09/2025 a 05/10/2025 - PIX: CELULAR - CHAVE: (32) 99177-6167"</f>
        <v>Serv.Prest. 26/09/2025 a 05/10/2025 - PIX: CELULAR - CHAVE: (32) 99177-6167</v>
      </c>
      <c r="I6293" t="str">
        <f t="shared" si="1148"/>
        <v>16/10/2025</v>
      </c>
      <c r="J6293" t="str">
        <f t="shared" si="1150"/>
        <v>07/10/2025</v>
      </c>
      <c r="K6293" t="str">
        <f>("16/10/2025")</f>
        <v>16/10/2025</v>
      </c>
      <c r="L6293">
        <v>2040</v>
      </c>
      <c r="M6293">
        <v>2040</v>
      </c>
      <c r="N6293">
        <v>109</v>
      </c>
      <c r="O6293" t="str">
        <f>"PAGAMENTO DE ENTREGADORES"</f>
        <v>PAGAMENTO DE ENTREGADORES</v>
      </c>
      <c r="P6293">
        <v>2040</v>
      </c>
      <c r="S6293" t="str">
        <f>"BANCO C6 (149)"</f>
        <v>BANCO C6 (149)</v>
      </c>
      <c r="T6293">
        <v>19672</v>
      </c>
      <c r="U6293">
        <v>22928</v>
      </c>
      <c r="V6293" t="s">
        <v>77</v>
      </c>
    </row>
    <row r="6294" spans="1:22">
      <c r="A6294" t="str">
        <f t="shared" si="1145"/>
        <v>16/10/2025</v>
      </c>
      <c r="B6294" t="str">
        <f t="shared" si="1146"/>
        <v>SAÍDA</v>
      </c>
      <c r="C6294" t="str">
        <f t="shared" si="1147"/>
        <v>PIX</v>
      </c>
      <c r="D6294" t="str">
        <f>"22928"</f>
        <v>22928</v>
      </c>
      <c r="E6294" t="str">
        <f t="shared" si="1149"/>
        <v>1</v>
      </c>
      <c r="F6294" t="str">
        <f t="shared" si="1144"/>
        <v>COM</v>
      </c>
      <c r="G6294" t="str">
        <f>"CRISTIANO XAVIER DA COSTA (269)"</f>
        <v>CRISTIANO XAVIER DA COSTA (269)</v>
      </c>
      <c r="H6294" t="s">
        <v>1685</v>
      </c>
      <c r="I6294" t="str">
        <f t="shared" si="1148"/>
        <v>16/10/2025</v>
      </c>
      <c r="J6294" t="str">
        <f t="shared" si="1150"/>
        <v>07/10/2025</v>
      </c>
      <c r="K6294">
        <v>45946</v>
      </c>
      <c r="N6294">
        <v>109</v>
      </c>
      <c r="O6294" t="s">
        <v>24</v>
      </c>
      <c r="Q6294">
        <v>895.15</v>
      </c>
      <c r="R6294" t="str">
        <f>"FARMÁCIA INDIANA LJ 207 (10088)"</f>
        <v>FARMÁCIA INDIANA LJ 207 (10088)</v>
      </c>
      <c r="S6294" t="s">
        <v>77</v>
      </c>
      <c r="T6294">
        <v>19672</v>
      </c>
      <c r="U6294">
        <v>22928</v>
      </c>
      <c r="V6294" t="s">
        <v>77</v>
      </c>
    </row>
    <row r="6295" spans="1:22">
      <c r="A6295" t="str">
        <f t="shared" si="1145"/>
        <v>16/10/2025</v>
      </c>
      <c r="B6295" t="str">
        <f t="shared" si="1146"/>
        <v>SAÍDA</v>
      </c>
      <c r="C6295" t="str">
        <f t="shared" si="1147"/>
        <v>PIX</v>
      </c>
      <c r="D6295" t="str">
        <f>"22928"</f>
        <v>22928</v>
      </c>
      <c r="E6295" t="str">
        <f t="shared" si="1149"/>
        <v>1</v>
      </c>
      <c r="F6295" t="str">
        <f t="shared" si="1144"/>
        <v>COM</v>
      </c>
      <c r="G6295" t="str">
        <f>"CRISTIANO XAVIER DA COSTA (269)"</f>
        <v>CRISTIANO XAVIER DA COSTA (269)</v>
      </c>
      <c r="H6295" t="s">
        <v>1685</v>
      </c>
      <c r="I6295" t="str">
        <f t="shared" si="1148"/>
        <v>16/10/2025</v>
      </c>
      <c r="J6295" t="str">
        <f t="shared" si="1150"/>
        <v>07/10/2025</v>
      </c>
      <c r="K6295">
        <v>45946</v>
      </c>
      <c r="N6295">
        <v>109</v>
      </c>
      <c r="O6295" t="s">
        <v>24</v>
      </c>
      <c r="Q6295">
        <v>1144.8499999999999</v>
      </c>
      <c r="R6295" t="str">
        <f>"FARMÁCIA INDIANA LJ 209 (10089)"</f>
        <v>FARMÁCIA INDIANA LJ 209 (10089)</v>
      </c>
      <c r="S6295" t="s">
        <v>77</v>
      </c>
      <c r="T6295">
        <v>19672</v>
      </c>
      <c r="U6295">
        <v>22928</v>
      </c>
      <c r="V6295" t="s">
        <v>77</v>
      </c>
    </row>
    <row r="6296" spans="1:22">
      <c r="A6296" t="str">
        <f t="shared" si="1145"/>
        <v>16/10/2025</v>
      </c>
      <c r="B6296" t="str">
        <f t="shared" si="1146"/>
        <v>SAÍDA</v>
      </c>
      <c r="C6296" t="str">
        <f t="shared" si="1147"/>
        <v>PIX</v>
      </c>
      <c r="D6296" t="str">
        <f>"22929"</f>
        <v>22929</v>
      </c>
      <c r="E6296" t="str">
        <f t="shared" si="1149"/>
        <v>1</v>
      </c>
      <c r="F6296" t="str">
        <f t="shared" si="1144"/>
        <v>COM</v>
      </c>
      <c r="G6296" t="str">
        <f>"DAMÁSIO JOSÉ DO NASCIMENTO NETO (147)"</f>
        <v>DAMÁSIO JOSÉ DO NASCIMENTO NETO (147)</v>
      </c>
      <c r="H6296" t="str">
        <f>"Serv.Prest. 26/09/2025 a 05/10/2025 - PIX: CPF - CHAVE: 110.483.296-82"</f>
        <v>Serv.Prest. 26/09/2025 a 05/10/2025 - PIX: CPF - CHAVE: 110.483.296-82</v>
      </c>
      <c r="I6296" t="str">
        <f t="shared" si="1148"/>
        <v>16/10/2025</v>
      </c>
      <c r="J6296" t="str">
        <f t="shared" si="1150"/>
        <v>07/10/2025</v>
      </c>
      <c r="K6296" t="str">
        <f>("16/10/2025")</f>
        <v>16/10/2025</v>
      </c>
      <c r="L6296">
        <v>2046</v>
      </c>
      <c r="M6296">
        <v>2046</v>
      </c>
      <c r="N6296">
        <v>109</v>
      </c>
      <c r="O6296" t="str">
        <f>"PAGAMENTO DE ENTREGADORES"</f>
        <v>PAGAMENTO DE ENTREGADORES</v>
      </c>
      <c r="P6296">
        <v>2046</v>
      </c>
      <c r="S6296" t="str">
        <f>"BANCO C6 (149)"</f>
        <v>BANCO C6 (149)</v>
      </c>
      <c r="T6296">
        <v>19673</v>
      </c>
      <c r="U6296">
        <v>22929</v>
      </c>
      <c r="V6296" t="s">
        <v>77</v>
      </c>
    </row>
    <row r="6297" spans="1:22">
      <c r="A6297" t="str">
        <f t="shared" si="1145"/>
        <v>16/10/2025</v>
      </c>
      <c r="B6297" t="str">
        <f t="shared" si="1146"/>
        <v>SAÍDA</v>
      </c>
      <c r="C6297" t="str">
        <f t="shared" si="1147"/>
        <v>PIX</v>
      </c>
      <c r="D6297" t="str">
        <f>"22929"</f>
        <v>22929</v>
      </c>
      <c r="E6297" t="str">
        <f t="shared" si="1149"/>
        <v>1</v>
      </c>
      <c r="F6297" t="str">
        <f t="shared" si="1144"/>
        <v>COM</v>
      </c>
      <c r="G6297" t="str">
        <f>"DAMÁSIO JOSÉ DO NASCIMENTO NETO (147)"</f>
        <v>DAMÁSIO JOSÉ DO NASCIMENTO NETO (147)</v>
      </c>
      <c r="H6297" t="s">
        <v>1686</v>
      </c>
      <c r="I6297" t="str">
        <f t="shared" si="1148"/>
        <v>16/10/2025</v>
      </c>
      <c r="J6297" t="str">
        <f t="shared" si="1150"/>
        <v>07/10/2025</v>
      </c>
      <c r="K6297">
        <v>45946</v>
      </c>
      <c r="N6297">
        <v>109</v>
      </c>
      <c r="O6297" t="s">
        <v>24</v>
      </c>
      <c r="Q6297">
        <v>2046</v>
      </c>
      <c r="R6297" t="str">
        <f>"FARMÁCIA INDIANA LJ 142 (10066)"</f>
        <v>FARMÁCIA INDIANA LJ 142 (10066)</v>
      </c>
      <c r="S6297" t="s">
        <v>77</v>
      </c>
      <c r="T6297">
        <v>19673</v>
      </c>
      <c r="U6297">
        <v>22929</v>
      </c>
      <c r="V6297" t="s">
        <v>77</v>
      </c>
    </row>
    <row r="6298" spans="1:22">
      <c r="A6298" t="str">
        <f t="shared" si="1145"/>
        <v>16/10/2025</v>
      </c>
      <c r="B6298" t="str">
        <f t="shared" si="1146"/>
        <v>SAÍDA</v>
      </c>
      <c r="C6298" t="str">
        <f t="shared" si="1147"/>
        <v>PIX</v>
      </c>
      <c r="D6298" t="str">
        <f>"22930"</f>
        <v>22930</v>
      </c>
      <c r="E6298" t="str">
        <f t="shared" si="1149"/>
        <v>1</v>
      </c>
      <c r="F6298" t="str">
        <f t="shared" si="1144"/>
        <v>COM</v>
      </c>
      <c r="G6298" t="str">
        <f>"DANILO WASHINGTON DOS SANTOS (770)"</f>
        <v>DANILO WASHINGTON DOS SANTOS (770)</v>
      </c>
      <c r="H6298" t="str">
        <f>"Serv.Prest. 26/09/2025 a 05/10/2025 - PIX: CELULAR - CHAVE: (33) 98749-5105"</f>
        <v>Serv.Prest. 26/09/2025 a 05/10/2025 - PIX: CELULAR - CHAVE: (33) 98749-5105</v>
      </c>
      <c r="I6298" t="str">
        <f t="shared" si="1148"/>
        <v>16/10/2025</v>
      </c>
      <c r="J6298" t="str">
        <f t="shared" si="1150"/>
        <v>07/10/2025</v>
      </c>
      <c r="K6298" t="str">
        <f>("16/10/2025")</f>
        <v>16/10/2025</v>
      </c>
      <c r="L6298">
        <v>1968</v>
      </c>
      <c r="M6298">
        <v>1968</v>
      </c>
      <c r="N6298">
        <v>109</v>
      </c>
      <c r="O6298" t="str">
        <f>"PAGAMENTO DE ENTREGADORES"</f>
        <v>PAGAMENTO DE ENTREGADORES</v>
      </c>
      <c r="P6298">
        <v>1968</v>
      </c>
      <c r="S6298" t="str">
        <f>"BANCO C6 (149)"</f>
        <v>BANCO C6 (149)</v>
      </c>
      <c r="T6298">
        <v>19674</v>
      </c>
      <c r="U6298">
        <v>22930</v>
      </c>
      <c r="V6298" t="s">
        <v>77</v>
      </c>
    </row>
    <row r="6299" spans="1:22">
      <c r="A6299" t="str">
        <f t="shared" si="1145"/>
        <v>16/10/2025</v>
      </c>
      <c r="B6299" t="str">
        <f t="shared" si="1146"/>
        <v>SAÍDA</v>
      </c>
      <c r="C6299" t="str">
        <f t="shared" si="1147"/>
        <v>PIX</v>
      </c>
      <c r="D6299" t="str">
        <f>"22930"</f>
        <v>22930</v>
      </c>
      <c r="E6299" t="str">
        <f t="shared" si="1149"/>
        <v>1</v>
      </c>
      <c r="F6299" t="str">
        <f t="shared" si="1144"/>
        <v>COM</v>
      </c>
      <c r="G6299" t="str">
        <f>"DANILO WASHINGTON DOS SANTOS (770)"</f>
        <v>DANILO WASHINGTON DOS SANTOS (770)</v>
      </c>
      <c r="H6299" t="s">
        <v>1687</v>
      </c>
      <c r="I6299" t="str">
        <f t="shared" si="1148"/>
        <v>16/10/2025</v>
      </c>
      <c r="J6299" t="str">
        <f t="shared" si="1150"/>
        <v>07/10/2025</v>
      </c>
      <c r="K6299">
        <v>45946</v>
      </c>
      <c r="N6299">
        <v>109</v>
      </c>
      <c r="O6299" t="s">
        <v>24</v>
      </c>
      <c r="Q6299">
        <v>1968</v>
      </c>
      <c r="R6299" t="str">
        <f>"FARMÁCIA INDIANA LJ 07 (10007)"</f>
        <v>FARMÁCIA INDIANA LJ 07 (10007)</v>
      </c>
      <c r="S6299" t="s">
        <v>77</v>
      </c>
      <c r="T6299">
        <v>19674</v>
      </c>
      <c r="U6299">
        <v>22930</v>
      </c>
      <c r="V6299" t="s">
        <v>77</v>
      </c>
    </row>
    <row r="6300" spans="1:22">
      <c r="A6300" t="str">
        <f t="shared" si="1145"/>
        <v>16/10/2025</v>
      </c>
      <c r="B6300" t="str">
        <f t="shared" si="1146"/>
        <v>SAÍDA</v>
      </c>
      <c r="C6300" t="str">
        <f t="shared" si="1147"/>
        <v>PIX</v>
      </c>
      <c r="D6300" t="str">
        <f>"22931"</f>
        <v>22931</v>
      </c>
      <c r="E6300" t="str">
        <f t="shared" si="1149"/>
        <v>1</v>
      </c>
      <c r="F6300" t="str">
        <f t="shared" si="1144"/>
        <v>COM</v>
      </c>
      <c r="G6300" t="str">
        <f>"DANTE SOARES DA SILVA (416)"</f>
        <v>DANTE SOARES DA SILVA (416)</v>
      </c>
      <c r="H6300" t="str">
        <f>"Serv.Prest. 26/09/2025 a 05/10/2025 - PIX: CELULAR - CHAVE: (33) 99802-1883"</f>
        <v>Serv.Prest. 26/09/2025 a 05/10/2025 - PIX: CELULAR - CHAVE: (33) 99802-1883</v>
      </c>
      <c r="I6300" t="str">
        <f t="shared" si="1148"/>
        <v>16/10/2025</v>
      </c>
      <c r="J6300" t="str">
        <f t="shared" si="1150"/>
        <v>07/10/2025</v>
      </c>
      <c r="K6300" t="str">
        <f>("16/10/2025")</f>
        <v>16/10/2025</v>
      </c>
      <c r="L6300">
        <v>1043.3</v>
      </c>
      <c r="M6300">
        <v>1043.3</v>
      </c>
      <c r="N6300">
        <v>109</v>
      </c>
      <c r="O6300" t="str">
        <f>"PAGAMENTO DE ENTREGADORES"</f>
        <v>PAGAMENTO DE ENTREGADORES</v>
      </c>
      <c r="P6300">
        <v>1043.3</v>
      </c>
      <c r="S6300" t="str">
        <f>"BANCO C6 (149)"</f>
        <v>BANCO C6 (149)</v>
      </c>
      <c r="T6300">
        <v>19675</v>
      </c>
      <c r="U6300">
        <v>22931</v>
      </c>
      <c r="V6300" t="s">
        <v>77</v>
      </c>
    </row>
    <row r="6301" spans="1:22">
      <c r="A6301" t="str">
        <f t="shared" si="1145"/>
        <v>16/10/2025</v>
      </c>
      <c r="B6301" t="str">
        <f t="shared" si="1146"/>
        <v>SAÍDA</v>
      </c>
      <c r="C6301" t="str">
        <f t="shared" si="1147"/>
        <v>PIX</v>
      </c>
      <c r="D6301" t="str">
        <f>"22931"</f>
        <v>22931</v>
      </c>
      <c r="E6301" t="str">
        <f t="shared" si="1149"/>
        <v>1</v>
      </c>
      <c r="F6301" t="str">
        <f t="shared" si="1144"/>
        <v>COM</v>
      </c>
      <c r="G6301" t="str">
        <f>"DANTE SOARES DA SILVA (416)"</f>
        <v>DANTE SOARES DA SILVA (416)</v>
      </c>
      <c r="H6301" t="s">
        <v>1384</v>
      </c>
      <c r="I6301" t="str">
        <f t="shared" si="1148"/>
        <v>16/10/2025</v>
      </c>
      <c r="J6301" t="str">
        <f t="shared" si="1150"/>
        <v>07/10/2025</v>
      </c>
      <c r="K6301">
        <v>45946</v>
      </c>
      <c r="N6301">
        <v>109</v>
      </c>
      <c r="O6301" t="s">
        <v>24</v>
      </c>
      <c r="Q6301">
        <v>1043.3</v>
      </c>
      <c r="R6301" t="str">
        <f>"FARMÁCIA INDIANA LJ 59 (10026)"</f>
        <v>FARMÁCIA INDIANA LJ 59 (10026)</v>
      </c>
      <c r="S6301" t="s">
        <v>77</v>
      </c>
      <c r="T6301">
        <v>19675</v>
      </c>
      <c r="U6301">
        <v>22931</v>
      </c>
      <c r="V6301" t="s">
        <v>77</v>
      </c>
    </row>
    <row r="6302" spans="1:22">
      <c r="A6302" t="str">
        <f t="shared" si="1145"/>
        <v>16/10/2025</v>
      </c>
      <c r="B6302" t="str">
        <f t="shared" si="1146"/>
        <v>SAÍDA</v>
      </c>
      <c r="C6302" t="str">
        <f t="shared" si="1147"/>
        <v>PIX</v>
      </c>
      <c r="D6302" t="str">
        <f>"22932"</f>
        <v>22932</v>
      </c>
      <c r="E6302" t="str">
        <f t="shared" si="1149"/>
        <v>1</v>
      </c>
      <c r="F6302" t="str">
        <f t="shared" si="1144"/>
        <v>COM</v>
      </c>
      <c r="G6302" t="str">
        <f>"DEVANILDO PONTES CASAGRANDE (179)"</f>
        <v>DEVANILDO PONTES CASAGRANDE (179)</v>
      </c>
      <c r="H6302" t="str">
        <f>"Serv.Prest. 26/09/2025 a 05/10/2025 - PIX: CELULAR - CHAVE: (31) 99610-7049"</f>
        <v>Serv.Prest. 26/09/2025 a 05/10/2025 - PIX: CELULAR - CHAVE: (31) 99610-7049</v>
      </c>
      <c r="I6302" t="str">
        <f t="shared" si="1148"/>
        <v>16/10/2025</v>
      </c>
      <c r="J6302" t="str">
        <f t="shared" si="1150"/>
        <v>07/10/2025</v>
      </c>
      <c r="K6302" t="str">
        <f>("16/10/2025")</f>
        <v>16/10/2025</v>
      </c>
      <c r="L6302">
        <v>1470</v>
      </c>
      <c r="M6302">
        <v>1470</v>
      </c>
      <c r="N6302">
        <v>109</v>
      </c>
      <c r="O6302" t="str">
        <f>"PAGAMENTO DE ENTREGADORES"</f>
        <v>PAGAMENTO DE ENTREGADORES</v>
      </c>
      <c r="P6302">
        <v>1470</v>
      </c>
      <c r="S6302" t="str">
        <f>"BANCO C6 (149)"</f>
        <v>BANCO C6 (149)</v>
      </c>
      <c r="T6302">
        <v>19676</v>
      </c>
      <c r="U6302">
        <v>22932</v>
      </c>
      <c r="V6302" t="s">
        <v>77</v>
      </c>
    </row>
    <row r="6303" spans="1:22">
      <c r="A6303" t="str">
        <f t="shared" si="1145"/>
        <v>16/10/2025</v>
      </c>
      <c r="B6303" t="str">
        <f t="shared" si="1146"/>
        <v>SAÍDA</v>
      </c>
      <c r="C6303" t="str">
        <f t="shared" si="1147"/>
        <v>PIX</v>
      </c>
      <c r="D6303" t="str">
        <f>"22932"</f>
        <v>22932</v>
      </c>
      <c r="E6303" t="str">
        <f t="shared" si="1149"/>
        <v>1</v>
      </c>
      <c r="F6303" t="str">
        <f t="shared" si="1144"/>
        <v>COM</v>
      </c>
      <c r="G6303" t="str">
        <f>"DEVANILDO PONTES CASAGRANDE (179)"</f>
        <v>DEVANILDO PONTES CASAGRANDE (179)</v>
      </c>
      <c r="H6303" t="s">
        <v>1688</v>
      </c>
      <c r="I6303" t="str">
        <f t="shared" si="1148"/>
        <v>16/10/2025</v>
      </c>
      <c r="J6303" t="str">
        <f t="shared" si="1150"/>
        <v>07/10/2025</v>
      </c>
      <c r="K6303">
        <v>45946</v>
      </c>
      <c r="N6303">
        <v>109</v>
      </c>
      <c r="O6303" t="s">
        <v>24</v>
      </c>
      <c r="Q6303">
        <v>1470</v>
      </c>
      <c r="R6303" t="str">
        <f>"FARMÁCIA INDIANA LJ 142 (10066)"</f>
        <v>FARMÁCIA INDIANA LJ 142 (10066)</v>
      </c>
      <c r="S6303" t="s">
        <v>77</v>
      </c>
      <c r="T6303">
        <v>19676</v>
      </c>
      <c r="U6303">
        <v>22932</v>
      </c>
      <c r="V6303" t="s">
        <v>77</v>
      </c>
    </row>
    <row r="6304" spans="1:22">
      <c r="A6304" t="str">
        <f t="shared" si="1145"/>
        <v>16/10/2025</v>
      </c>
      <c r="B6304" t="str">
        <f t="shared" si="1146"/>
        <v>SAÍDA</v>
      </c>
      <c r="C6304" t="str">
        <f t="shared" si="1147"/>
        <v>PIX</v>
      </c>
      <c r="D6304" t="str">
        <f>"22933"</f>
        <v>22933</v>
      </c>
      <c r="E6304" t="str">
        <f t="shared" si="1149"/>
        <v>1</v>
      </c>
      <c r="F6304" t="str">
        <f t="shared" si="1144"/>
        <v>COM</v>
      </c>
      <c r="G6304" t="str">
        <f>"DIEGO DAYSON FERNANDES VIEIRA (893)"</f>
        <v>DIEGO DAYSON FERNANDES VIEIRA (893)</v>
      </c>
      <c r="H6304" t="str">
        <f>"Serv.Prest. 26/09/2025 a 05/10/2025 - PIX: E-MAIL - CHAVE: turano296801@gmail.com"</f>
        <v>Serv.Prest. 26/09/2025 a 05/10/2025 - PIX: E-MAIL - CHAVE: turano296801@gmail.com</v>
      </c>
      <c r="I6304" t="str">
        <f t="shared" si="1148"/>
        <v>16/10/2025</v>
      </c>
      <c r="J6304" t="str">
        <f t="shared" si="1150"/>
        <v>07/10/2025</v>
      </c>
      <c r="K6304" t="str">
        <f>("16/10/2025")</f>
        <v>16/10/2025</v>
      </c>
      <c r="L6304">
        <v>800</v>
      </c>
      <c r="M6304">
        <v>800</v>
      </c>
      <c r="N6304">
        <v>109</v>
      </c>
      <c r="O6304" t="str">
        <f>"PAGAMENTO DE ENTREGADORES"</f>
        <v>PAGAMENTO DE ENTREGADORES</v>
      </c>
      <c r="P6304">
        <v>800</v>
      </c>
      <c r="S6304" t="str">
        <f>"BANCO C6 (149)"</f>
        <v>BANCO C6 (149)</v>
      </c>
      <c r="T6304">
        <v>19677</v>
      </c>
      <c r="U6304">
        <v>22933</v>
      </c>
      <c r="V6304" t="s">
        <v>77</v>
      </c>
    </row>
    <row r="6305" spans="1:22">
      <c r="A6305" t="str">
        <f t="shared" si="1145"/>
        <v>16/10/2025</v>
      </c>
      <c r="B6305" t="str">
        <f t="shared" si="1146"/>
        <v>SAÍDA</v>
      </c>
      <c r="C6305" t="str">
        <f t="shared" si="1147"/>
        <v>PIX</v>
      </c>
      <c r="D6305" t="str">
        <f>"22933"</f>
        <v>22933</v>
      </c>
      <c r="E6305" t="str">
        <f t="shared" si="1149"/>
        <v>1</v>
      </c>
      <c r="F6305" t="str">
        <f t="shared" si="1144"/>
        <v>COM</v>
      </c>
      <c r="G6305" t="str">
        <f>"DIEGO DAYSON FERNANDES VIEIRA (893)"</f>
        <v>DIEGO DAYSON FERNANDES VIEIRA (893)</v>
      </c>
      <c r="H6305" t="s">
        <v>1689</v>
      </c>
      <c r="I6305" t="str">
        <f t="shared" si="1148"/>
        <v>16/10/2025</v>
      </c>
      <c r="J6305" t="str">
        <f t="shared" si="1150"/>
        <v>07/10/2025</v>
      </c>
      <c r="K6305">
        <v>45946</v>
      </c>
      <c r="N6305">
        <v>109</v>
      </c>
      <c r="O6305" t="s">
        <v>24</v>
      </c>
      <c r="Q6305">
        <v>800</v>
      </c>
      <c r="R6305" t="str">
        <f>"FARMÁCIA INDIANA LJ 205 (10150)"</f>
        <v>FARMÁCIA INDIANA LJ 205 (10150)</v>
      </c>
      <c r="S6305" t="s">
        <v>77</v>
      </c>
      <c r="T6305">
        <v>19677</v>
      </c>
      <c r="U6305">
        <v>22933</v>
      </c>
      <c r="V6305" t="s">
        <v>77</v>
      </c>
    </row>
    <row r="6306" spans="1:22">
      <c r="A6306" t="str">
        <f t="shared" si="1145"/>
        <v>16/10/2025</v>
      </c>
      <c r="B6306" t="str">
        <f t="shared" si="1146"/>
        <v>SAÍDA</v>
      </c>
      <c r="C6306" t="str">
        <f t="shared" si="1147"/>
        <v>PIX</v>
      </c>
      <c r="D6306" t="str">
        <f>"22934"</f>
        <v>22934</v>
      </c>
      <c r="E6306" t="str">
        <f t="shared" si="1149"/>
        <v>1</v>
      </c>
      <c r="F6306" t="str">
        <f t="shared" si="1144"/>
        <v>COM</v>
      </c>
      <c r="G6306" t="str">
        <f>"DIEGO DIRLEY RIBEIRO (38)"</f>
        <v>DIEGO DIRLEY RIBEIRO (38)</v>
      </c>
      <c r="H6306" t="str">
        <f>"Serv.Prest. 26/09/2025 a 05/10/2025 - PIX: CPF - CHAVE: 102.023.716-38"</f>
        <v>Serv.Prest. 26/09/2025 a 05/10/2025 - PIX: CPF - CHAVE: 102.023.716-38</v>
      </c>
      <c r="I6306" t="str">
        <f t="shared" si="1148"/>
        <v>16/10/2025</v>
      </c>
      <c r="J6306" t="str">
        <f t="shared" si="1150"/>
        <v>07/10/2025</v>
      </c>
      <c r="K6306" t="str">
        <f>("16/10/2025")</f>
        <v>16/10/2025</v>
      </c>
      <c r="L6306">
        <v>2250</v>
      </c>
      <c r="M6306">
        <v>2250</v>
      </c>
      <c r="N6306">
        <v>109</v>
      </c>
      <c r="O6306" t="str">
        <f>"PAGAMENTO DE ENTREGADORES"</f>
        <v>PAGAMENTO DE ENTREGADORES</v>
      </c>
      <c r="P6306">
        <v>2250</v>
      </c>
      <c r="S6306" t="str">
        <f>"BANCO C6 (149)"</f>
        <v>BANCO C6 (149)</v>
      </c>
      <c r="T6306">
        <v>19678</v>
      </c>
      <c r="U6306">
        <v>22934</v>
      </c>
      <c r="V6306" t="s">
        <v>77</v>
      </c>
    </row>
    <row r="6307" spans="1:22">
      <c r="A6307" t="str">
        <f t="shared" si="1145"/>
        <v>16/10/2025</v>
      </c>
      <c r="B6307" t="str">
        <f t="shared" si="1146"/>
        <v>SAÍDA</v>
      </c>
      <c r="C6307" t="str">
        <f t="shared" si="1147"/>
        <v>PIX</v>
      </c>
      <c r="D6307" t="str">
        <f>"22934"</f>
        <v>22934</v>
      </c>
      <c r="E6307" t="str">
        <f t="shared" si="1149"/>
        <v>1</v>
      </c>
      <c r="F6307" t="str">
        <f t="shared" si="1144"/>
        <v>COM</v>
      </c>
      <c r="G6307" t="str">
        <f>"DIEGO DIRLEY RIBEIRO (38)"</f>
        <v>DIEGO DIRLEY RIBEIRO (38)</v>
      </c>
      <c r="H6307" t="s">
        <v>1690</v>
      </c>
      <c r="I6307" t="str">
        <f t="shared" si="1148"/>
        <v>16/10/2025</v>
      </c>
      <c r="J6307" t="str">
        <f t="shared" si="1150"/>
        <v>07/10/2025</v>
      </c>
      <c r="K6307">
        <v>45946</v>
      </c>
      <c r="N6307">
        <v>109</v>
      </c>
      <c r="O6307" t="s">
        <v>24</v>
      </c>
      <c r="Q6307">
        <v>2250</v>
      </c>
      <c r="R6307" t="str">
        <f>"FARMÁCIA INDIANA LJ 172 (10161)"</f>
        <v>FARMÁCIA INDIANA LJ 172 (10161)</v>
      </c>
      <c r="S6307" t="s">
        <v>77</v>
      </c>
      <c r="T6307">
        <v>19678</v>
      </c>
      <c r="U6307">
        <v>22934</v>
      </c>
      <c r="V6307" t="s">
        <v>77</v>
      </c>
    </row>
    <row r="6308" spans="1:22">
      <c r="A6308" t="str">
        <f t="shared" si="1145"/>
        <v>16/10/2025</v>
      </c>
      <c r="B6308" t="str">
        <f t="shared" si="1146"/>
        <v>SAÍDA</v>
      </c>
      <c r="C6308" t="str">
        <f t="shared" si="1147"/>
        <v>PIX</v>
      </c>
      <c r="D6308" t="str">
        <f>"22935"</f>
        <v>22935</v>
      </c>
      <c r="E6308" t="str">
        <f t="shared" si="1149"/>
        <v>1</v>
      </c>
      <c r="F6308" t="str">
        <f t="shared" si="1144"/>
        <v>COM</v>
      </c>
      <c r="G6308" t="str">
        <f>"DIONE OLIVEIRA SILVA (214)"</f>
        <v>DIONE OLIVEIRA SILVA (214)</v>
      </c>
      <c r="H6308" t="str">
        <f>"Serv.Prest. 26/09/2025 a 05/10/2025 - PIX: CELULAR - CHAVE: (33) 98890-5095"</f>
        <v>Serv.Prest. 26/09/2025 a 05/10/2025 - PIX: CELULAR - CHAVE: (33) 98890-5095</v>
      </c>
      <c r="I6308" t="str">
        <f t="shared" si="1148"/>
        <v>16/10/2025</v>
      </c>
      <c r="J6308" t="str">
        <f t="shared" si="1150"/>
        <v>07/10/2025</v>
      </c>
      <c r="K6308" t="str">
        <f>("16/10/2025")</f>
        <v>16/10/2025</v>
      </c>
      <c r="L6308">
        <v>2130</v>
      </c>
      <c r="M6308">
        <v>2130</v>
      </c>
      <c r="N6308">
        <v>109</v>
      </c>
      <c r="O6308" t="str">
        <f>"PAGAMENTO DE ENTREGADORES"</f>
        <v>PAGAMENTO DE ENTREGADORES</v>
      </c>
      <c r="P6308">
        <v>2130</v>
      </c>
      <c r="S6308" t="str">
        <f>"BANCO C6 (149)"</f>
        <v>BANCO C6 (149)</v>
      </c>
      <c r="T6308">
        <v>19679</v>
      </c>
      <c r="U6308">
        <v>22935</v>
      </c>
      <c r="V6308" t="s">
        <v>77</v>
      </c>
    </row>
    <row r="6309" spans="1:22">
      <c r="A6309" t="str">
        <f t="shared" si="1145"/>
        <v>16/10/2025</v>
      </c>
      <c r="B6309" t="str">
        <f t="shared" si="1146"/>
        <v>SAÍDA</v>
      </c>
      <c r="C6309" t="str">
        <f t="shared" si="1147"/>
        <v>PIX</v>
      </c>
      <c r="D6309" t="str">
        <f>"22935"</f>
        <v>22935</v>
      </c>
      <c r="E6309" t="str">
        <f t="shared" si="1149"/>
        <v>1</v>
      </c>
      <c r="F6309" t="str">
        <f t="shared" si="1144"/>
        <v>COM</v>
      </c>
      <c r="G6309" t="str">
        <f>"DIONE OLIVEIRA SILVA (214)"</f>
        <v>DIONE OLIVEIRA SILVA (214)</v>
      </c>
      <c r="H6309" t="s">
        <v>1691</v>
      </c>
      <c r="I6309" t="str">
        <f t="shared" si="1148"/>
        <v>16/10/2025</v>
      </c>
      <c r="J6309" t="str">
        <f t="shared" si="1150"/>
        <v>07/10/2025</v>
      </c>
      <c r="K6309">
        <v>45946</v>
      </c>
      <c r="N6309">
        <v>109</v>
      </c>
      <c r="O6309" t="s">
        <v>24</v>
      </c>
      <c r="Q6309">
        <v>2130</v>
      </c>
      <c r="R6309" t="str">
        <f>"FARMÁCIA INDIANA LJ 14 (10009)"</f>
        <v>FARMÁCIA INDIANA LJ 14 (10009)</v>
      </c>
      <c r="S6309" t="s">
        <v>77</v>
      </c>
      <c r="T6309">
        <v>19679</v>
      </c>
      <c r="U6309">
        <v>22935</v>
      </c>
      <c r="V6309" t="s">
        <v>77</v>
      </c>
    </row>
    <row r="6310" spans="1:22">
      <c r="A6310" t="str">
        <f t="shared" si="1145"/>
        <v>16/10/2025</v>
      </c>
      <c r="B6310" t="str">
        <f t="shared" si="1146"/>
        <v>SAÍDA</v>
      </c>
      <c r="C6310" t="str">
        <f t="shared" si="1147"/>
        <v>PIX</v>
      </c>
      <c r="D6310" t="str">
        <f>"22936"</f>
        <v>22936</v>
      </c>
      <c r="E6310" t="str">
        <f t="shared" si="1149"/>
        <v>1</v>
      </c>
      <c r="F6310" t="str">
        <f t="shared" si="1144"/>
        <v>COM</v>
      </c>
      <c r="G6310" t="str">
        <f>"EDIONIO CARVALHO DA SILVA (920)"</f>
        <v>EDIONIO CARVALHO DA SILVA (920)</v>
      </c>
      <c r="H6310" t="str">
        <f>"Serv.Prest. 26/09/2025 a 05/10/2025 - PIX: CELULAR - CHAVE: (33) 99199-7983"</f>
        <v>Serv.Prest. 26/09/2025 a 05/10/2025 - PIX: CELULAR - CHAVE: (33) 99199-7983</v>
      </c>
      <c r="I6310" t="str">
        <f t="shared" si="1148"/>
        <v>16/10/2025</v>
      </c>
      <c r="J6310" t="str">
        <f t="shared" si="1150"/>
        <v>07/10/2025</v>
      </c>
      <c r="K6310" t="str">
        <f>("16/10/2025")</f>
        <v>16/10/2025</v>
      </c>
      <c r="L6310">
        <v>750</v>
      </c>
      <c r="M6310">
        <v>750</v>
      </c>
      <c r="N6310">
        <v>109</v>
      </c>
      <c r="O6310" t="str">
        <f>"PAGAMENTO DE ENTREGADORES"</f>
        <v>PAGAMENTO DE ENTREGADORES</v>
      </c>
      <c r="P6310">
        <v>750</v>
      </c>
      <c r="S6310" t="str">
        <f>"BANCO C6 (149)"</f>
        <v>BANCO C6 (149)</v>
      </c>
      <c r="T6310">
        <v>19680</v>
      </c>
      <c r="U6310">
        <v>22936</v>
      </c>
      <c r="V6310" t="s">
        <v>77</v>
      </c>
    </row>
    <row r="6311" spans="1:22">
      <c r="A6311" t="str">
        <f t="shared" si="1145"/>
        <v>16/10/2025</v>
      </c>
      <c r="B6311" t="str">
        <f t="shared" si="1146"/>
        <v>SAÍDA</v>
      </c>
      <c r="C6311" t="str">
        <f t="shared" si="1147"/>
        <v>PIX</v>
      </c>
      <c r="D6311" t="str">
        <f>"22936"</f>
        <v>22936</v>
      </c>
      <c r="E6311" t="str">
        <f t="shared" si="1149"/>
        <v>1</v>
      </c>
      <c r="F6311" t="str">
        <f t="shared" si="1144"/>
        <v>COM</v>
      </c>
      <c r="G6311" t="str">
        <f>"EDIONIO CARVALHO DA SILVA (920)"</f>
        <v>EDIONIO CARVALHO DA SILVA (920)</v>
      </c>
      <c r="H6311" t="s">
        <v>1692</v>
      </c>
      <c r="I6311" t="str">
        <f t="shared" si="1148"/>
        <v>16/10/2025</v>
      </c>
      <c r="J6311" t="str">
        <f t="shared" si="1150"/>
        <v>07/10/2025</v>
      </c>
      <c r="K6311">
        <v>45946</v>
      </c>
      <c r="N6311">
        <v>109</v>
      </c>
      <c r="O6311" t="s">
        <v>24</v>
      </c>
      <c r="Q6311">
        <v>750</v>
      </c>
      <c r="R6311" t="str">
        <f>"FARMÁCIA INDIANA LJ 171 (10074)"</f>
        <v>FARMÁCIA INDIANA LJ 171 (10074)</v>
      </c>
      <c r="S6311" t="s">
        <v>77</v>
      </c>
      <c r="T6311">
        <v>19680</v>
      </c>
      <c r="U6311">
        <v>22936</v>
      </c>
      <c r="V6311" t="s">
        <v>77</v>
      </c>
    </row>
    <row r="6312" spans="1:22">
      <c r="A6312" t="str">
        <f t="shared" si="1145"/>
        <v>16/10/2025</v>
      </c>
      <c r="B6312" t="str">
        <f t="shared" si="1146"/>
        <v>SAÍDA</v>
      </c>
      <c r="C6312" t="str">
        <f t="shared" si="1147"/>
        <v>PIX</v>
      </c>
      <c r="D6312" t="str">
        <f>"22937"</f>
        <v>22937</v>
      </c>
      <c r="E6312" t="str">
        <f t="shared" si="1149"/>
        <v>1</v>
      </c>
      <c r="F6312" t="str">
        <f t="shared" si="1144"/>
        <v>COM</v>
      </c>
      <c r="G6312" t="str">
        <f>"EDSON JUNIOR FERREIRA DA SILVA (99)"</f>
        <v>EDSON JUNIOR FERREIRA DA SILVA (99)</v>
      </c>
      <c r="H6312" t="str">
        <f>"Serv.Prest. 26/09/2025 a 05/10/2025 - PIX: CPF - CHAVE: 141.134.256-98"</f>
        <v>Serv.Prest. 26/09/2025 a 05/10/2025 - PIX: CPF - CHAVE: 141.134.256-98</v>
      </c>
      <c r="I6312" t="str">
        <f t="shared" si="1148"/>
        <v>16/10/2025</v>
      </c>
      <c r="J6312" t="str">
        <f t="shared" si="1150"/>
        <v>07/10/2025</v>
      </c>
      <c r="K6312" t="str">
        <f>("16/10/2025")</f>
        <v>16/10/2025</v>
      </c>
      <c r="L6312">
        <v>700.7</v>
      </c>
      <c r="M6312">
        <v>700.7</v>
      </c>
      <c r="N6312">
        <v>109</v>
      </c>
      <c r="O6312" t="str">
        <f>"PAGAMENTO DE ENTREGADORES"</f>
        <v>PAGAMENTO DE ENTREGADORES</v>
      </c>
      <c r="P6312">
        <v>700.7</v>
      </c>
      <c r="S6312" t="str">
        <f>"BANCO C6 (149)"</f>
        <v>BANCO C6 (149)</v>
      </c>
      <c r="T6312">
        <v>19681</v>
      </c>
      <c r="U6312">
        <v>22937</v>
      </c>
      <c r="V6312" t="s">
        <v>77</v>
      </c>
    </row>
    <row r="6313" spans="1:22">
      <c r="A6313" t="str">
        <f t="shared" si="1145"/>
        <v>16/10/2025</v>
      </c>
      <c r="B6313" t="str">
        <f t="shared" si="1146"/>
        <v>SAÍDA</v>
      </c>
      <c r="C6313" t="str">
        <f t="shared" si="1147"/>
        <v>PIX</v>
      </c>
      <c r="D6313" t="str">
        <f>"22937"</f>
        <v>22937</v>
      </c>
      <c r="E6313" t="str">
        <f t="shared" si="1149"/>
        <v>1</v>
      </c>
      <c r="F6313" t="str">
        <f t="shared" si="1144"/>
        <v>COM</v>
      </c>
      <c r="G6313" t="str">
        <f>"EDSON JUNIOR FERREIRA DA SILVA (99)"</f>
        <v>EDSON JUNIOR FERREIRA DA SILVA (99)</v>
      </c>
      <c r="H6313" t="s">
        <v>1693</v>
      </c>
      <c r="I6313" t="str">
        <f t="shared" si="1148"/>
        <v>16/10/2025</v>
      </c>
      <c r="J6313" t="str">
        <f t="shared" si="1150"/>
        <v>07/10/2025</v>
      </c>
      <c r="K6313">
        <v>45946</v>
      </c>
      <c r="N6313">
        <v>109</v>
      </c>
      <c r="O6313" t="s">
        <v>24</v>
      </c>
      <c r="Q6313">
        <v>700.7</v>
      </c>
      <c r="R6313" t="str">
        <f>"FARMÁCIA INDIANA LJ 100 (10042)"</f>
        <v>FARMÁCIA INDIANA LJ 100 (10042)</v>
      </c>
      <c r="S6313" t="s">
        <v>77</v>
      </c>
      <c r="T6313">
        <v>19681</v>
      </c>
      <c r="U6313">
        <v>22937</v>
      </c>
      <c r="V6313" t="s">
        <v>77</v>
      </c>
    </row>
    <row r="6314" spans="1:22">
      <c r="A6314" t="str">
        <f t="shared" si="1145"/>
        <v>16/10/2025</v>
      </c>
      <c r="B6314" t="str">
        <f t="shared" si="1146"/>
        <v>SAÍDA</v>
      </c>
      <c r="C6314" t="str">
        <f t="shared" si="1147"/>
        <v>PIX</v>
      </c>
      <c r="D6314" t="str">
        <f>"22938"</f>
        <v>22938</v>
      </c>
      <c r="E6314" t="str">
        <f t="shared" si="1149"/>
        <v>1</v>
      </c>
      <c r="F6314" t="str">
        <f t="shared" ref="F6314:F6377" si="1151">"COM"</f>
        <v>COM</v>
      </c>
      <c r="G6314" t="str">
        <f>"EUDES PIMENTA (368)"</f>
        <v>EUDES PIMENTA (368)</v>
      </c>
      <c r="H6314" t="str">
        <f>"Serv.Prest. 26/09/2025 a 05/10/2025 - PIX: CPF - CHAVE: 070.073.316-70"</f>
        <v>Serv.Prest. 26/09/2025 a 05/10/2025 - PIX: CPF - CHAVE: 070.073.316-70</v>
      </c>
      <c r="I6314" t="str">
        <f t="shared" si="1148"/>
        <v>16/10/2025</v>
      </c>
      <c r="J6314" t="str">
        <f t="shared" si="1150"/>
        <v>07/10/2025</v>
      </c>
      <c r="K6314" t="str">
        <f>("16/10/2025")</f>
        <v>16/10/2025</v>
      </c>
      <c r="L6314">
        <v>1554</v>
      </c>
      <c r="M6314">
        <v>1554</v>
      </c>
      <c r="N6314">
        <v>109</v>
      </c>
      <c r="O6314" t="str">
        <f>"PAGAMENTO DE ENTREGADORES"</f>
        <v>PAGAMENTO DE ENTREGADORES</v>
      </c>
      <c r="P6314">
        <v>1554</v>
      </c>
      <c r="S6314" t="str">
        <f>"BANCO C6 (149)"</f>
        <v>BANCO C6 (149)</v>
      </c>
      <c r="T6314">
        <v>19682</v>
      </c>
      <c r="U6314">
        <v>22938</v>
      </c>
      <c r="V6314" t="s">
        <v>77</v>
      </c>
    </row>
    <row r="6315" spans="1:22">
      <c r="A6315" t="str">
        <f t="shared" si="1145"/>
        <v>16/10/2025</v>
      </c>
      <c r="B6315" t="str">
        <f t="shared" si="1146"/>
        <v>SAÍDA</v>
      </c>
      <c r="C6315" t="str">
        <f t="shared" si="1147"/>
        <v>PIX</v>
      </c>
      <c r="D6315" t="str">
        <f>"22938"</f>
        <v>22938</v>
      </c>
      <c r="E6315" t="str">
        <f t="shared" si="1149"/>
        <v>1</v>
      </c>
      <c r="F6315" t="str">
        <f t="shared" si="1151"/>
        <v>COM</v>
      </c>
      <c r="G6315" t="str">
        <f>"EUDES PIMENTA (368)"</f>
        <v>EUDES PIMENTA (368)</v>
      </c>
      <c r="H6315" t="s">
        <v>1694</v>
      </c>
      <c r="I6315" t="str">
        <f t="shared" si="1148"/>
        <v>16/10/2025</v>
      </c>
      <c r="J6315" t="str">
        <f t="shared" si="1150"/>
        <v>07/10/2025</v>
      </c>
      <c r="K6315">
        <v>45946</v>
      </c>
      <c r="N6315">
        <v>109</v>
      </c>
      <c r="O6315" t="s">
        <v>24</v>
      </c>
      <c r="Q6315">
        <v>1554</v>
      </c>
      <c r="R6315" t="str">
        <f>"FARMÁCIA INDIANA LJ 06 (10006)"</f>
        <v>FARMÁCIA INDIANA LJ 06 (10006)</v>
      </c>
      <c r="S6315" t="s">
        <v>77</v>
      </c>
      <c r="T6315">
        <v>19682</v>
      </c>
      <c r="U6315">
        <v>22938</v>
      </c>
      <c r="V6315" t="s">
        <v>77</v>
      </c>
    </row>
    <row r="6316" spans="1:22">
      <c r="A6316" t="str">
        <f t="shared" si="1145"/>
        <v>16/10/2025</v>
      </c>
      <c r="B6316" t="str">
        <f t="shared" si="1146"/>
        <v>SAÍDA</v>
      </c>
      <c r="C6316" t="str">
        <f t="shared" si="1147"/>
        <v>PIX</v>
      </c>
      <c r="D6316" t="str">
        <f>"22940"</f>
        <v>22940</v>
      </c>
      <c r="E6316" t="str">
        <f t="shared" si="1149"/>
        <v>1</v>
      </c>
      <c r="F6316" t="str">
        <f t="shared" si="1151"/>
        <v>COM</v>
      </c>
      <c r="G6316" t="str">
        <f>"FABRICIO RAMON SOARES SANTOS (645)"</f>
        <v>FABRICIO RAMON SOARES SANTOS (645)</v>
      </c>
      <c r="H6316" t="str">
        <f>"Serv.Prest. 26/09/2025 a 05/10/2025 - PIX: CELULAR - CHAVE: (31) 98483-3242"</f>
        <v>Serv.Prest. 26/09/2025 a 05/10/2025 - PIX: CELULAR - CHAVE: (31) 98483-3242</v>
      </c>
      <c r="I6316" t="str">
        <f t="shared" si="1148"/>
        <v>16/10/2025</v>
      </c>
      <c r="J6316" t="str">
        <f t="shared" si="1150"/>
        <v>07/10/2025</v>
      </c>
      <c r="K6316" t="str">
        <f>("16/10/2025")</f>
        <v>16/10/2025</v>
      </c>
      <c r="L6316">
        <v>1884</v>
      </c>
      <c r="M6316">
        <v>1884</v>
      </c>
      <c r="N6316">
        <v>109</v>
      </c>
      <c r="O6316" t="str">
        <f>"PAGAMENTO DE ENTREGADORES"</f>
        <v>PAGAMENTO DE ENTREGADORES</v>
      </c>
      <c r="P6316">
        <v>1884</v>
      </c>
      <c r="S6316" t="str">
        <f>"BANCO C6 (149)"</f>
        <v>BANCO C6 (149)</v>
      </c>
      <c r="T6316">
        <v>19683</v>
      </c>
      <c r="U6316">
        <v>22940</v>
      </c>
      <c r="V6316" t="s">
        <v>77</v>
      </c>
    </row>
    <row r="6317" spans="1:22">
      <c r="A6317" t="str">
        <f t="shared" si="1145"/>
        <v>16/10/2025</v>
      </c>
      <c r="B6317" t="str">
        <f t="shared" si="1146"/>
        <v>SAÍDA</v>
      </c>
      <c r="C6317" t="str">
        <f t="shared" si="1147"/>
        <v>PIX</v>
      </c>
      <c r="D6317" t="str">
        <f>"22940"</f>
        <v>22940</v>
      </c>
      <c r="E6317" t="str">
        <f t="shared" si="1149"/>
        <v>1</v>
      </c>
      <c r="F6317" t="str">
        <f t="shared" si="1151"/>
        <v>COM</v>
      </c>
      <c r="G6317" t="str">
        <f>"FABRICIO RAMON SOARES SANTOS (645)"</f>
        <v>FABRICIO RAMON SOARES SANTOS (645)</v>
      </c>
      <c r="H6317" t="s">
        <v>1695</v>
      </c>
      <c r="I6317" t="str">
        <f t="shared" si="1148"/>
        <v>16/10/2025</v>
      </c>
      <c r="J6317" t="str">
        <f t="shared" si="1150"/>
        <v>07/10/2025</v>
      </c>
      <c r="K6317">
        <v>45946</v>
      </c>
      <c r="N6317">
        <v>109</v>
      </c>
      <c r="O6317" t="s">
        <v>24</v>
      </c>
      <c r="Q6317">
        <v>1884</v>
      </c>
      <c r="R6317" t="str">
        <f>"FARMÁCIA INDIANA LJ 101 (10043)"</f>
        <v>FARMÁCIA INDIANA LJ 101 (10043)</v>
      </c>
      <c r="S6317" t="s">
        <v>77</v>
      </c>
      <c r="T6317">
        <v>19683</v>
      </c>
      <c r="U6317">
        <v>22940</v>
      </c>
      <c r="V6317" t="s">
        <v>77</v>
      </c>
    </row>
    <row r="6318" spans="1:22">
      <c r="A6318" t="str">
        <f t="shared" si="1145"/>
        <v>16/10/2025</v>
      </c>
      <c r="B6318" t="str">
        <f t="shared" si="1146"/>
        <v>SAÍDA</v>
      </c>
      <c r="C6318" t="str">
        <f t="shared" si="1147"/>
        <v>PIX</v>
      </c>
      <c r="D6318" t="str">
        <f>"22941"</f>
        <v>22941</v>
      </c>
      <c r="E6318" t="str">
        <f t="shared" si="1149"/>
        <v>1</v>
      </c>
      <c r="F6318" t="str">
        <f t="shared" si="1151"/>
        <v>COM</v>
      </c>
      <c r="G6318" t="str">
        <f>"GABRIEL DA SILVA REIS (824)"</f>
        <v>GABRIEL DA SILVA REIS (824)</v>
      </c>
      <c r="H6318" t="str">
        <f>"Serv.Prest. 26/09/2025 a 05/10/2025 - PIX: CPF - CHAVE: 160.160.216-28"</f>
        <v>Serv.Prest. 26/09/2025 a 05/10/2025 - PIX: CPF - CHAVE: 160.160.216-28</v>
      </c>
      <c r="I6318" t="str">
        <f t="shared" si="1148"/>
        <v>16/10/2025</v>
      </c>
      <c r="J6318" t="str">
        <f t="shared" si="1150"/>
        <v>07/10/2025</v>
      </c>
      <c r="K6318" t="str">
        <f>("16/10/2025")</f>
        <v>16/10/2025</v>
      </c>
      <c r="L6318">
        <v>700.7</v>
      </c>
      <c r="M6318">
        <v>700.7</v>
      </c>
      <c r="N6318">
        <v>109</v>
      </c>
      <c r="O6318" t="str">
        <f>"PAGAMENTO DE ENTREGADORES"</f>
        <v>PAGAMENTO DE ENTREGADORES</v>
      </c>
      <c r="P6318">
        <v>700.7</v>
      </c>
      <c r="S6318" t="str">
        <f>"BANCO C6 (149)"</f>
        <v>BANCO C6 (149)</v>
      </c>
      <c r="T6318">
        <v>19684</v>
      </c>
      <c r="U6318">
        <v>22941</v>
      </c>
      <c r="V6318" t="s">
        <v>77</v>
      </c>
    </row>
    <row r="6319" spans="1:22">
      <c r="A6319" t="str">
        <f t="shared" si="1145"/>
        <v>16/10/2025</v>
      </c>
      <c r="B6319" t="str">
        <f t="shared" si="1146"/>
        <v>SAÍDA</v>
      </c>
      <c r="C6319" t="str">
        <f t="shared" si="1147"/>
        <v>PIX</v>
      </c>
      <c r="D6319" t="str">
        <f>"22941"</f>
        <v>22941</v>
      </c>
      <c r="E6319" t="str">
        <f t="shared" si="1149"/>
        <v>1</v>
      </c>
      <c r="F6319" t="str">
        <f t="shared" si="1151"/>
        <v>COM</v>
      </c>
      <c r="G6319" t="str">
        <f>"GABRIEL DA SILVA REIS (824)"</f>
        <v>GABRIEL DA SILVA REIS (824)</v>
      </c>
      <c r="H6319" t="s">
        <v>1696</v>
      </c>
      <c r="I6319" t="str">
        <f t="shared" si="1148"/>
        <v>16/10/2025</v>
      </c>
      <c r="J6319" t="str">
        <f t="shared" si="1150"/>
        <v>07/10/2025</v>
      </c>
      <c r="K6319">
        <v>45946</v>
      </c>
      <c r="N6319">
        <v>109</v>
      </c>
      <c r="O6319" t="s">
        <v>24</v>
      </c>
      <c r="Q6319">
        <v>700.7</v>
      </c>
      <c r="R6319" t="str">
        <f>"FARMÁCIA INDIANA LJ 100 (10042)"</f>
        <v>FARMÁCIA INDIANA LJ 100 (10042)</v>
      </c>
      <c r="S6319" t="s">
        <v>77</v>
      </c>
      <c r="T6319">
        <v>19684</v>
      </c>
      <c r="U6319">
        <v>22941</v>
      </c>
      <c r="V6319" t="s">
        <v>77</v>
      </c>
    </row>
    <row r="6320" spans="1:22">
      <c r="A6320" t="str">
        <f t="shared" si="1145"/>
        <v>16/10/2025</v>
      </c>
      <c r="B6320" t="str">
        <f t="shared" si="1146"/>
        <v>SAÍDA</v>
      </c>
      <c r="C6320" t="str">
        <f t="shared" si="1147"/>
        <v>PIX</v>
      </c>
      <c r="D6320" t="str">
        <f>"22942"</f>
        <v>22942</v>
      </c>
      <c r="E6320" t="str">
        <f t="shared" si="1149"/>
        <v>1</v>
      </c>
      <c r="F6320" t="str">
        <f t="shared" si="1151"/>
        <v>COM</v>
      </c>
      <c r="G6320" t="str">
        <f>"GABRIEL SOARES VIEIRA (18)"</f>
        <v>GABRIEL SOARES VIEIRA (18)</v>
      </c>
      <c r="H6320" t="str">
        <f>"Serv.Prest. 26/09/2025 a 05/10/2025 - PIX: CPF - CHAVE: 179.800.027-09"</f>
        <v>Serv.Prest. 26/09/2025 a 05/10/2025 - PIX: CPF - CHAVE: 179.800.027-09</v>
      </c>
      <c r="I6320" t="str">
        <f t="shared" si="1148"/>
        <v>16/10/2025</v>
      </c>
      <c r="J6320" t="str">
        <f t="shared" si="1150"/>
        <v>07/10/2025</v>
      </c>
      <c r="K6320" t="str">
        <f>("16/10/2025")</f>
        <v>16/10/2025</v>
      </c>
      <c r="L6320">
        <v>2849</v>
      </c>
      <c r="M6320">
        <v>2849</v>
      </c>
      <c r="N6320">
        <v>109</v>
      </c>
      <c r="O6320" t="str">
        <f>"PAGAMENTO DE ENTREGADORES"</f>
        <v>PAGAMENTO DE ENTREGADORES</v>
      </c>
      <c r="P6320">
        <v>2849</v>
      </c>
      <c r="S6320" t="str">
        <f>"BANCO C6 (149)"</f>
        <v>BANCO C6 (149)</v>
      </c>
      <c r="T6320">
        <v>19685</v>
      </c>
      <c r="U6320">
        <v>22942</v>
      </c>
      <c r="V6320" t="s">
        <v>77</v>
      </c>
    </row>
    <row r="6321" spans="1:22">
      <c r="A6321" t="str">
        <f t="shared" si="1145"/>
        <v>16/10/2025</v>
      </c>
      <c r="B6321" t="str">
        <f t="shared" si="1146"/>
        <v>SAÍDA</v>
      </c>
      <c r="C6321" t="str">
        <f t="shared" si="1147"/>
        <v>PIX</v>
      </c>
      <c r="D6321" t="str">
        <f>"22942"</f>
        <v>22942</v>
      </c>
      <c r="E6321" t="str">
        <f t="shared" si="1149"/>
        <v>1</v>
      </c>
      <c r="F6321" t="str">
        <f t="shared" si="1151"/>
        <v>COM</v>
      </c>
      <c r="G6321" t="str">
        <f>"GABRIEL SOARES VIEIRA (18)"</f>
        <v>GABRIEL SOARES VIEIRA (18)</v>
      </c>
      <c r="H6321" t="s">
        <v>1697</v>
      </c>
      <c r="I6321" t="str">
        <f t="shared" si="1148"/>
        <v>16/10/2025</v>
      </c>
      <c r="J6321" t="str">
        <f t="shared" si="1150"/>
        <v>07/10/2025</v>
      </c>
      <c r="K6321">
        <v>45946</v>
      </c>
      <c r="N6321">
        <v>109</v>
      </c>
      <c r="O6321" t="s">
        <v>24</v>
      </c>
      <c r="Q6321">
        <v>2579.48</v>
      </c>
      <c r="R6321" t="str">
        <f>"FARMÁCIA INDIANA LJ 40 (10016)"</f>
        <v>FARMÁCIA INDIANA LJ 40 (10016)</v>
      </c>
      <c r="S6321" t="s">
        <v>77</v>
      </c>
      <c r="T6321">
        <v>19685</v>
      </c>
      <c r="U6321">
        <v>22942</v>
      </c>
      <c r="V6321" t="s">
        <v>77</v>
      </c>
    </row>
    <row r="6322" spans="1:22">
      <c r="A6322" t="str">
        <f t="shared" si="1145"/>
        <v>16/10/2025</v>
      </c>
      <c r="B6322" t="str">
        <f t="shared" si="1146"/>
        <v>SAÍDA</v>
      </c>
      <c r="C6322" t="str">
        <f t="shared" si="1147"/>
        <v>PIX</v>
      </c>
      <c r="D6322" t="str">
        <f>"22942"</f>
        <v>22942</v>
      </c>
      <c r="E6322" t="str">
        <f t="shared" si="1149"/>
        <v>1</v>
      </c>
      <c r="F6322" t="str">
        <f t="shared" si="1151"/>
        <v>COM</v>
      </c>
      <c r="G6322" t="str">
        <f>"GABRIEL SOARES VIEIRA (18)"</f>
        <v>GABRIEL SOARES VIEIRA (18)</v>
      </c>
      <c r="H6322" t="s">
        <v>1697</v>
      </c>
      <c r="I6322" t="str">
        <f t="shared" si="1148"/>
        <v>16/10/2025</v>
      </c>
      <c r="J6322" t="str">
        <f t="shared" si="1150"/>
        <v>07/10/2025</v>
      </c>
      <c r="K6322">
        <v>45946</v>
      </c>
      <c r="N6322">
        <v>109</v>
      </c>
      <c r="O6322" t="s">
        <v>24</v>
      </c>
      <c r="Q6322">
        <v>269.52</v>
      </c>
      <c r="R6322" t="str">
        <f>"FARMÁCIA INDIANA LJ 61 (10027)"</f>
        <v>FARMÁCIA INDIANA LJ 61 (10027)</v>
      </c>
      <c r="S6322" t="s">
        <v>77</v>
      </c>
      <c r="T6322">
        <v>19685</v>
      </c>
      <c r="U6322">
        <v>22942</v>
      </c>
      <c r="V6322" t="s">
        <v>77</v>
      </c>
    </row>
    <row r="6323" spans="1:22">
      <c r="A6323" t="str">
        <f t="shared" si="1145"/>
        <v>16/10/2025</v>
      </c>
      <c r="B6323" t="str">
        <f t="shared" si="1146"/>
        <v>SAÍDA</v>
      </c>
      <c r="C6323" t="str">
        <f t="shared" si="1147"/>
        <v>PIX</v>
      </c>
      <c r="D6323" t="str">
        <f>"22944"</f>
        <v>22944</v>
      </c>
      <c r="E6323" t="str">
        <f t="shared" si="1149"/>
        <v>1</v>
      </c>
      <c r="F6323" t="str">
        <f t="shared" si="1151"/>
        <v>COM</v>
      </c>
      <c r="G6323" t="str">
        <f>"GILNEI MENDES COELHO (195)"</f>
        <v>GILNEI MENDES COELHO (195)</v>
      </c>
      <c r="H6323" t="str">
        <f>"Serv.Prest. 26/09/2025 a 05/10/2025 - PIX: CPF - CHAVE: 386.313.426-53"</f>
        <v>Serv.Prest. 26/09/2025 a 05/10/2025 - PIX: CPF - CHAVE: 386.313.426-53</v>
      </c>
      <c r="I6323" t="str">
        <f t="shared" si="1148"/>
        <v>16/10/2025</v>
      </c>
      <c r="J6323" t="str">
        <f t="shared" si="1150"/>
        <v>07/10/2025</v>
      </c>
      <c r="K6323" t="str">
        <f>("16/10/2025")</f>
        <v>16/10/2025</v>
      </c>
      <c r="L6323">
        <v>1620</v>
      </c>
      <c r="M6323">
        <v>1620</v>
      </c>
      <c r="N6323">
        <v>109</v>
      </c>
      <c r="O6323" t="str">
        <f>"PAGAMENTO DE ENTREGADORES"</f>
        <v>PAGAMENTO DE ENTREGADORES</v>
      </c>
      <c r="P6323">
        <v>1620</v>
      </c>
      <c r="S6323" t="str">
        <f>"BANCO C6 (149)"</f>
        <v>BANCO C6 (149)</v>
      </c>
      <c r="T6323">
        <v>19686</v>
      </c>
      <c r="U6323">
        <v>22944</v>
      </c>
      <c r="V6323" t="s">
        <v>77</v>
      </c>
    </row>
    <row r="6324" spans="1:22">
      <c r="A6324" t="str">
        <f t="shared" si="1145"/>
        <v>16/10/2025</v>
      </c>
      <c r="B6324" t="str">
        <f t="shared" si="1146"/>
        <v>SAÍDA</v>
      </c>
      <c r="C6324" t="str">
        <f t="shared" si="1147"/>
        <v>PIX</v>
      </c>
      <c r="D6324" t="str">
        <f>"22944"</f>
        <v>22944</v>
      </c>
      <c r="E6324" t="str">
        <f t="shared" si="1149"/>
        <v>1</v>
      </c>
      <c r="F6324" t="str">
        <f t="shared" si="1151"/>
        <v>COM</v>
      </c>
      <c r="G6324" t="str">
        <f>"GILNEI MENDES COELHO (195)"</f>
        <v>GILNEI MENDES COELHO (195)</v>
      </c>
      <c r="H6324" t="s">
        <v>1698</v>
      </c>
      <c r="I6324" t="str">
        <f t="shared" si="1148"/>
        <v>16/10/2025</v>
      </c>
      <c r="J6324" t="str">
        <f t="shared" si="1150"/>
        <v>07/10/2025</v>
      </c>
      <c r="K6324">
        <v>45946</v>
      </c>
      <c r="N6324">
        <v>109</v>
      </c>
      <c r="O6324" t="s">
        <v>24</v>
      </c>
      <c r="Q6324">
        <v>1620</v>
      </c>
      <c r="R6324" t="str">
        <f>"FARMÁCIA INDIANA LJ 06 (10006)"</f>
        <v>FARMÁCIA INDIANA LJ 06 (10006)</v>
      </c>
      <c r="S6324" t="s">
        <v>77</v>
      </c>
      <c r="T6324">
        <v>19686</v>
      </c>
      <c r="U6324">
        <v>22944</v>
      </c>
      <c r="V6324" t="s">
        <v>77</v>
      </c>
    </row>
    <row r="6325" spans="1:22">
      <c r="A6325" t="str">
        <f t="shared" si="1145"/>
        <v>16/10/2025</v>
      </c>
      <c r="B6325" t="str">
        <f t="shared" si="1146"/>
        <v>SAÍDA</v>
      </c>
      <c r="C6325" t="str">
        <f t="shared" si="1147"/>
        <v>PIX</v>
      </c>
      <c r="D6325" t="str">
        <f>"22945"</f>
        <v>22945</v>
      </c>
      <c r="E6325" t="str">
        <f t="shared" si="1149"/>
        <v>1</v>
      </c>
      <c r="F6325" t="str">
        <f t="shared" si="1151"/>
        <v>COM</v>
      </c>
      <c r="G6325" t="str">
        <f>"GUILHERME QUINTINO DA ROCHA (199)"</f>
        <v>GUILHERME QUINTINO DA ROCHA (199)</v>
      </c>
      <c r="H6325" t="str">
        <f>"Serv.Prest. 26/09/2025 a 05/10/2025 - PIX: CELULAR - CHAVE: (33) 99706-4860"</f>
        <v>Serv.Prest. 26/09/2025 a 05/10/2025 - PIX: CELULAR - CHAVE: (33) 99706-4860</v>
      </c>
      <c r="I6325" t="str">
        <f t="shared" si="1148"/>
        <v>16/10/2025</v>
      </c>
      <c r="J6325" t="str">
        <f t="shared" si="1150"/>
        <v>07/10/2025</v>
      </c>
      <c r="K6325" t="str">
        <f>("16/10/2025")</f>
        <v>16/10/2025</v>
      </c>
      <c r="L6325">
        <v>1404</v>
      </c>
      <c r="M6325">
        <v>1404</v>
      </c>
      <c r="N6325">
        <v>109</v>
      </c>
      <c r="O6325" t="str">
        <f>"PAGAMENTO DE ENTREGADORES"</f>
        <v>PAGAMENTO DE ENTREGADORES</v>
      </c>
      <c r="P6325">
        <v>1404</v>
      </c>
      <c r="S6325" t="str">
        <f>"BANCO C6 (149)"</f>
        <v>BANCO C6 (149)</v>
      </c>
      <c r="T6325">
        <v>19687</v>
      </c>
      <c r="U6325">
        <v>22945</v>
      </c>
      <c r="V6325" t="s">
        <v>77</v>
      </c>
    </row>
    <row r="6326" spans="1:22">
      <c r="A6326" t="str">
        <f t="shared" si="1145"/>
        <v>16/10/2025</v>
      </c>
      <c r="B6326" t="str">
        <f t="shared" si="1146"/>
        <v>SAÍDA</v>
      </c>
      <c r="C6326" t="str">
        <f t="shared" si="1147"/>
        <v>PIX</v>
      </c>
      <c r="D6326" t="str">
        <f>"22945"</f>
        <v>22945</v>
      </c>
      <c r="E6326" t="str">
        <f t="shared" si="1149"/>
        <v>1</v>
      </c>
      <c r="F6326" t="str">
        <f t="shared" si="1151"/>
        <v>COM</v>
      </c>
      <c r="G6326" t="str">
        <f>"GUILHERME QUINTINO DA ROCHA (199)"</f>
        <v>GUILHERME QUINTINO DA ROCHA (199)</v>
      </c>
      <c r="H6326" t="s">
        <v>1699</v>
      </c>
      <c r="I6326" t="str">
        <f t="shared" si="1148"/>
        <v>16/10/2025</v>
      </c>
      <c r="J6326" t="str">
        <f t="shared" si="1150"/>
        <v>07/10/2025</v>
      </c>
      <c r="K6326">
        <v>45946</v>
      </c>
      <c r="N6326">
        <v>109</v>
      </c>
      <c r="O6326" t="s">
        <v>24</v>
      </c>
      <c r="Q6326">
        <v>1404</v>
      </c>
      <c r="R6326" t="str">
        <f>"FARMÁCIA INDIANA LJ 06 (10006)"</f>
        <v>FARMÁCIA INDIANA LJ 06 (10006)</v>
      </c>
      <c r="S6326" t="s">
        <v>77</v>
      </c>
      <c r="T6326">
        <v>19687</v>
      </c>
      <c r="U6326">
        <v>22945</v>
      </c>
      <c r="V6326" t="s">
        <v>77</v>
      </c>
    </row>
    <row r="6327" spans="1:22">
      <c r="A6327" t="str">
        <f t="shared" si="1145"/>
        <v>16/10/2025</v>
      </c>
      <c r="B6327" t="str">
        <f t="shared" si="1146"/>
        <v>SAÍDA</v>
      </c>
      <c r="C6327" t="str">
        <f t="shared" si="1147"/>
        <v>PIX</v>
      </c>
      <c r="D6327" t="str">
        <f>"22946"</f>
        <v>22946</v>
      </c>
      <c r="E6327" t="str">
        <f t="shared" si="1149"/>
        <v>1</v>
      </c>
      <c r="F6327" t="str">
        <f t="shared" si="1151"/>
        <v>COM</v>
      </c>
      <c r="G6327" t="str">
        <f>"GUSTAVO ALVES DE ARAÚJO (298)"</f>
        <v>GUSTAVO ALVES DE ARAÚJO (298)</v>
      </c>
      <c r="H6327" t="str">
        <f>"Serv.Prest. 26/09/2025 a 05/10/2025 - PIX: CELULAR - CHAVE: (31) 99816-8965"</f>
        <v>Serv.Prest. 26/09/2025 a 05/10/2025 - PIX: CELULAR - CHAVE: (31) 99816-8965</v>
      </c>
      <c r="I6327" t="str">
        <f t="shared" si="1148"/>
        <v>16/10/2025</v>
      </c>
      <c r="J6327" t="str">
        <f t="shared" si="1150"/>
        <v>07/10/2025</v>
      </c>
      <c r="K6327" t="str">
        <f>("16/10/2025")</f>
        <v>16/10/2025</v>
      </c>
      <c r="L6327">
        <v>1320</v>
      </c>
      <c r="M6327">
        <v>1320</v>
      </c>
      <c r="N6327">
        <v>109</v>
      </c>
      <c r="O6327" t="str">
        <f>"PAGAMENTO DE ENTREGADORES"</f>
        <v>PAGAMENTO DE ENTREGADORES</v>
      </c>
      <c r="P6327">
        <v>1320</v>
      </c>
      <c r="S6327" t="str">
        <f>"BANCO C6 (149)"</f>
        <v>BANCO C6 (149)</v>
      </c>
      <c r="T6327">
        <v>19688</v>
      </c>
      <c r="U6327">
        <v>22946</v>
      </c>
      <c r="V6327" t="s">
        <v>77</v>
      </c>
    </row>
    <row r="6328" spans="1:22">
      <c r="A6328" t="str">
        <f t="shared" si="1145"/>
        <v>16/10/2025</v>
      </c>
      <c r="B6328" t="str">
        <f t="shared" si="1146"/>
        <v>SAÍDA</v>
      </c>
      <c r="C6328" t="str">
        <f t="shared" si="1147"/>
        <v>PIX</v>
      </c>
      <c r="D6328" t="str">
        <f>"22946"</f>
        <v>22946</v>
      </c>
      <c r="E6328" t="str">
        <f t="shared" si="1149"/>
        <v>1</v>
      </c>
      <c r="F6328" t="str">
        <f t="shared" si="1151"/>
        <v>COM</v>
      </c>
      <c r="G6328" t="str">
        <f>"GUSTAVO ALVES DE ARAÚJO (298)"</f>
        <v>GUSTAVO ALVES DE ARAÚJO (298)</v>
      </c>
      <c r="H6328" t="s">
        <v>1700</v>
      </c>
      <c r="I6328" t="str">
        <f t="shared" si="1148"/>
        <v>16/10/2025</v>
      </c>
      <c r="J6328" t="str">
        <f t="shared" si="1150"/>
        <v>07/10/2025</v>
      </c>
      <c r="K6328">
        <v>45946</v>
      </c>
      <c r="N6328">
        <v>109</v>
      </c>
      <c r="O6328" t="s">
        <v>24</v>
      </c>
      <c r="Q6328">
        <v>1320</v>
      </c>
      <c r="R6328" t="str">
        <f>"FARMÁCIA INDIANA LJ 172 (10161)"</f>
        <v>FARMÁCIA INDIANA LJ 172 (10161)</v>
      </c>
      <c r="S6328" t="s">
        <v>77</v>
      </c>
      <c r="T6328">
        <v>19688</v>
      </c>
      <c r="U6328">
        <v>22946</v>
      </c>
      <c r="V6328" t="s">
        <v>77</v>
      </c>
    </row>
    <row r="6329" spans="1:22">
      <c r="A6329" t="str">
        <f t="shared" si="1145"/>
        <v>16/10/2025</v>
      </c>
      <c r="B6329" t="str">
        <f t="shared" si="1146"/>
        <v>SAÍDA</v>
      </c>
      <c r="C6329" t="str">
        <f t="shared" si="1147"/>
        <v>PIX</v>
      </c>
      <c r="D6329" t="str">
        <f>"22947"</f>
        <v>22947</v>
      </c>
      <c r="E6329" t="str">
        <f t="shared" si="1149"/>
        <v>1</v>
      </c>
      <c r="F6329" t="str">
        <f t="shared" si="1151"/>
        <v>COM</v>
      </c>
      <c r="G6329" t="str">
        <f>"GUSTAVO HENRIQUE OLIVEIRA (661)"</f>
        <v>GUSTAVO HENRIQUE OLIVEIRA (661)</v>
      </c>
      <c r="H6329" t="str">
        <f>"Serv.Prest. 26/09/2025 a 05/10/2025 - PIX: CPF - CHAVE: 113.084.266-58"</f>
        <v>Serv.Prest. 26/09/2025 a 05/10/2025 - PIX: CPF - CHAVE: 113.084.266-58</v>
      </c>
      <c r="I6329" t="str">
        <f t="shared" si="1148"/>
        <v>16/10/2025</v>
      </c>
      <c r="J6329" t="str">
        <f t="shared" si="1150"/>
        <v>07/10/2025</v>
      </c>
      <c r="K6329" t="str">
        <f>("16/10/2025")</f>
        <v>16/10/2025</v>
      </c>
      <c r="L6329">
        <v>702</v>
      </c>
      <c r="M6329">
        <v>702</v>
      </c>
      <c r="N6329">
        <v>109</v>
      </c>
      <c r="O6329" t="str">
        <f>"PAGAMENTO DE ENTREGADORES"</f>
        <v>PAGAMENTO DE ENTREGADORES</v>
      </c>
      <c r="P6329">
        <v>702</v>
      </c>
      <c r="S6329" t="str">
        <f>"BANCO C6 (149)"</f>
        <v>BANCO C6 (149)</v>
      </c>
      <c r="T6329">
        <v>19689</v>
      </c>
      <c r="U6329">
        <v>22947</v>
      </c>
      <c r="V6329" t="s">
        <v>77</v>
      </c>
    </row>
    <row r="6330" spans="1:22">
      <c r="A6330" t="str">
        <f t="shared" si="1145"/>
        <v>16/10/2025</v>
      </c>
      <c r="B6330" t="str">
        <f t="shared" si="1146"/>
        <v>SAÍDA</v>
      </c>
      <c r="C6330" t="str">
        <f t="shared" si="1147"/>
        <v>PIX</v>
      </c>
      <c r="D6330" t="str">
        <f>"22947"</f>
        <v>22947</v>
      </c>
      <c r="E6330" t="str">
        <f t="shared" si="1149"/>
        <v>1</v>
      </c>
      <c r="F6330" t="str">
        <f t="shared" si="1151"/>
        <v>COM</v>
      </c>
      <c r="G6330" t="str">
        <f>"GUSTAVO HENRIQUE OLIVEIRA (661)"</f>
        <v>GUSTAVO HENRIQUE OLIVEIRA (661)</v>
      </c>
      <c r="H6330" t="s">
        <v>1701</v>
      </c>
      <c r="I6330" t="str">
        <f t="shared" si="1148"/>
        <v>16/10/2025</v>
      </c>
      <c r="J6330" t="str">
        <f t="shared" si="1150"/>
        <v>07/10/2025</v>
      </c>
      <c r="K6330">
        <v>45946</v>
      </c>
      <c r="N6330">
        <v>109</v>
      </c>
      <c r="O6330" t="s">
        <v>24</v>
      </c>
      <c r="Q6330">
        <v>702</v>
      </c>
      <c r="R6330" t="str">
        <f>"FARMÁCIA INDIANA LJ 110 (10048)"</f>
        <v>FARMÁCIA INDIANA LJ 110 (10048)</v>
      </c>
      <c r="S6330" t="s">
        <v>77</v>
      </c>
      <c r="T6330">
        <v>19689</v>
      </c>
      <c r="U6330">
        <v>22947</v>
      </c>
      <c r="V6330" t="s">
        <v>77</v>
      </c>
    </row>
    <row r="6331" spans="1:22">
      <c r="A6331" t="str">
        <f t="shared" ref="A6331:A6394" si="1152">("16/10/2025")</f>
        <v>16/10/2025</v>
      </c>
      <c r="B6331" t="str">
        <f t="shared" ref="B6331:B6394" si="1153">"SAÍDA"</f>
        <v>SAÍDA</v>
      </c>
      <c r="C6331" t="str">
        <f t="shared" ref="C6331:C6394" si="1154">"PIX"</f>
        <v>PIX</v>
      </c>
      <c r="D6331" t="str">
        <f>"22948"</f>
        <v>22948</v>
      </c>
      <c r="E6331" t="str">
        <f t="shared" si="1149"/>
        <v>1</v>
      </c>
      <c r="F6331" t="str">
        <f t="shared" si="1151"/>
        <v>COM</v>
      </c>
      <c r="G6331" t="str">
        <f>"IVAN SOUZA SANTOS (101)"</f>
        <v>IVAN SOUZA SANTOS (101)</v>
      </c>
      <c r="H6331" t="str">
        <f>"Serv.Prest. 26/09/2025 a 05/10/2025 - PIX: CPF - CHAVE: 067.393.286-92"</f>
        <v>Serv.Prest. 26/09/2025 a 05/10/2025 - PIX: CPF - CHAVE: 067.393.286-92</v>
      </c>
      <c r="I6331" t="str">
        <f t="shared" si="1148"/>
        <v>16/10/2025</v>
      </c>
      <c r="J6331" t="str">
        <f t="shared" si="1150"/>
        <v>07/10/2025</v>
      </c>
      <c r="K6331" t="str">
        <f>("16/10/2025")</f>
        <v>16/10/2025</v>
      </c>
      <c r="L6331">
        <v>1195.5999999999999</v>
      </c>
      <c r="M6331">
        <v>1195.5999999999999</v>
      </c>
      <c r="N6331">
        <v>109</v>
      </c>
      <c r="O6331" t="str">
        <f>"PAGAMENTO DE ENTREGADORES"</f>
        <v>PAGAMENTO DE ENTREGADORES</v>
      </c>
      <c r="P6331">
        <v>1195.5999999999999</v>
      </c>
      <c r="S6331" t="str">
        <f>"BANCO C6 (149)"</f>
        <v>BANCO C6 (149)</v>
      </c>
      <c r="T6331">
        <v>19690</v>
      </c>
      <c r="U6331">
        <v>22948</v>
      </c>
      <c r="V6331" t="s">
        <v>77</v>
      </c>
    </row>
    <row r="6332" spans="1:22">
      <c r="A6332" t="str">
        <f t="shared" si="1152"/>
        <v>16/10/2025</v>
      </c>
      <c r="B6332" t="str">
        <f t="shared" si="1153"/>
        <v>SAÍDA</v>
      </c>
      <c r="C6332" t="str">
        <f t="shared" si="1154"/>
        <v>PIX</v>
      </c>
      <c r="D6332" t="str">
        <f>"22948"</f>
        <v>22948</v>
      </c>
      <c r="E6332" t="str">
        <f t="shared" si="1149"/>
        <v>1</v>
      </c>
      <c r="F6332" t="str">
        <f t="shared" si="1151"/>
        <v>COM</v>
      </c>
      <c r="G6332" t="str">
        <f>"IVAN SOUZA SANTOS (101)"</f>
        <v>IVAN SOUZA SANTOS (101)</v>
      </c>
      <c r="H6332" t="s">
        <v>1702</v>
      </c>
      <c r="I6332" t="str">
        <f t="shared" si="1148"/>
        <v>16/10/2025</v>
      </c>
      <c r="J6332" t="str">
        <f t="shared" si="1150"/>
        <v>07/10/2025</v>
      </c>
      <c r="K6332">
        <v>45946</v>
      </c>
      <c r="N6332">
        <v>109</v>
      </c>
      <c r="O6332" t="s">
        <v>24</v>
      </c>
      <c r="Q6332">
        <v>1195.5999999999999</v>
      </c>
      <c r="R6332" t="str">
        <f>"FARMÁCIA INDIANA LJ 59 (10026)"</f>
        <v>FARMÁCIA INDIANA LJ 59 (10026)</v>
      </c>
      <c r="S6332" t="s">
        <v>77</v>
      </c>
      <c r="T6332">
        <v>19690</v>
      </c>
      <c r="U6332">
        <v>22948</v>
      </c>
      <c r="V6332" t="s">
        <v>77</v>
      </c>
    </row>
    <row r="6333" spans="1:22">
      <c r="A6333" t="str">
        <f t="shared" si="1152"/>
        <v>16/10/2025</v>
      </c>
      <c r="B6333" t="str">
        <f t="shared" si="1153"/>
        <v>SAÍDA</v>
      </c>
      <c r="C6333" t="str">
        <f t="shared" si="1154"/>
        <v>PIX</v>
      </c>
      <c r="D6333" t="str">
        <f>"22949"</f>
        <v>22949</v>
      </c>
      <c r="E6333" t="str">
        <f t="shared" si="1149"/>
        <v>1</v>
      </c>
      <c r="F6333" t="str">
        <f t="shared" si="1151"/>
        <v>COM</v>
      </c>
      <c r="G6333" t="str">
        <f>"JANDERSON SOUZA ARCANJO (28)"</f>
        <v>JANDERSON SOUZA ARCANJO (28)</v>
      </c>
      <c r="H6333" t="str">
        <f>"Serv.Prest. 26/09/2025 a 05/10/2025 - PIX: CPF - CHAVE: 121.297.376-33"</f>
        <v>Serv.Prest. 26/09/2025 a 05/10/2025 - PIX: CPF - CHAVE: 121.297.376-33</v>
      </c>
      <c r="I6333" t="str">
        <f t="shared" ref="I6333:I6396" si="1155">("16/10/2025")</f>
        <v>16/10/2025</v>
      </c>
      <c r="J6333" t="str">
        <f t="shared" si="1150"/>
        <v>07/10/2025</v>
      </c>
      <c r="K6333" t="str">
        <f>("16/10/2025")</f>
        <v>16/10/2025</v>
      </c>
      <c r="L6333">
        <v>2101</v>
      </c>
      <c r="M6333">
        <v>2101</v>
      </c>
      <c r="N6333">
        <v>109</v>
      </c>
      <c r="O6333" t="str">
        <f>"PAGAMENTO DE ENTREGADORES"</f>
        <v>PAGAMENTO DE ENTREGADORES</v>
      </c>
      <c r="P6333">
        <v>2101</v>
      </c>
      <c r="S6333" t="str">
        <f>"BANCO C6 (149)"</f>
        <v>BANCO C6 (149)</v>
      </c>
      <c r="T6333">
        <v>19691</v>
      </c>
      <c r="U6333">
        <v>22949</v>
      </c>
      <c r="V6333" t="s">
        <v>77</v>
      </c>
    </row>
    <row r="6334" spans="1:22">
      <c r="A6334" t="str">
        <f t="shared" si="1152"/>
        <v>16/10/2025</v>
      </c>
      <c r="B6334" t="str">
        <f t="shared" si="1153"/>
        <v>SAÍDA</v>
      </c>
      <c r="C6334" t="str">
        <f t="shared" si="1154"/>
        <v>PIX</v>
      </c>
      <c r="D6334" t="str">
        <f>"22949"</f>
        <v>22949</v>
      </c>
      <c r="E6334" t="str">
        <f t="shared" si="1149"/>
        <v>1</v>
      </c>
      <c r="F6334" t="str">
        <f t="shared" si="1151"/>
        <v>COM</v>
      </c>
      <c r="G6334" t="str">
        <f>"JANDERSON SOUZA ARCANJO (28)"</f>
        <v>JANDERSON SOUZA ARCANJO (28)</v>
      </c>
      <c r="H6334" t="s">
        <v>1703</v>
      </c>
      <c r="I6334" t="str">
        <f t="shared" si="1155"/>
        <v>16/10/2025</v>
      </c>
      <c r="J6334" t="str">
        <f t="shared" si="1150"/>
        <v>07/10/2025</v>
      </c>
      <c r="K6334">
        <v>45946</v>
      </c>
      <c r="N6334">
        <v>109</v>
      </c>
      <c r="O6334" t="s">
        <v>24</v>
      </c>
      <c r="Q6334">
        <v>2090.0700000000002</v>
      </c>
      <c r="R6334" t="str">
        <f>"FARMÁCIA INDIANA LJ 40 (10016)"</f>
        <v>FARMÁCIA INDIANA LJ 40 (10016)</v>
      </c>
      <c r="S6334" t="s">
        <v>77</v>
      </c>
      <c r="T6334">
        <v>19691</v>
      </c>
      <c r="U6334">
        <v>22949</v>
      </c>
      <c r="V6334" t="s">
        <v>77</v>
      </c>
    </row>
    <row r="6335" spans="1:22">
      <c r="A6335" t="str">
        <f t="shared" si="1152"/>
        <v>16/10/2025</v>
      </c>
      <c r="B6335" t="str">
        <f t="shared" si="1153"/>
        <v>SAÍDA</v>
      </c>
      <c r="C6335" t="str">
        <f t="shared" si="1154"/>
        <v>PIX</v>
      </c>
      <c r="D6335" t="str">
        <f>"22949"</f>
        <v>22949</v>
      </c>
      <c r="E6335" t="str">
        <f t="shared" si="1149"/>
        <v>1</v>
      </c>
      <c r="F6335" t="str">
        <f t="shared" si="1151"/>
        <v>COM</v>
      </c>
      <c r="G6335" t="str">
        <f>"JANDERSON SOUZA ARCANJO (28)"</f>
        <v>JANDERSON SOUZA ARCANJO (28)</v>
      </c>
      <c r="H6335" t="s">
        <v>1703</v>
      </c>
      <c r="I6335" t="str">
        <f t="shared" si="1155"/>
        <v>16/10/2025</v>
      </c>
      <c r="J6335" t="str">
        <f t="shared" si="1150"/>
        <v>07/10/2025</v>
      </c>
      <c r="K6335">
        <v>45946</v>
      </c>
      <c r="N6335">
        <v>109</v>
      </c>
      <c r="O6335" t="s">
        <v>24</v>
      </c>
      <c r="Q6335">
        <v>10.93</v>
      </c>
      <c r="R6335" t="str">
        <f>"FARMÁCIA INDIANA LJ 61 (10027)"</f>
        <v>FARMÁCIA INDIANA LJ 61 (10027)</v>
      </c>
      <c r="S6335" t="s">
        <v>77</v>
      </c>
      <c r="T6335">
        <v>19691</v>
      </c>
      <c r="U6335">
        <v>22949</v>
      </c>
      <c r="V6335" t="s">
        <v>77</v>
      </c>
    </row>
    <row r="6336" spans="1:22">
      <c r="A6336" t="str">
        <f t="shared" si="1152"/>
        <v>16/10/2025</v>
      </c>
      <c r="B6336" t="str">
        <f t="shared" si="1153"/>
        <v>SAÍDA</v>
      </c>
      <c r="C6336" t="str">
        <f t="shared" si="1154"/>
        <v>PIX</v>
      </c>
      <c r="D6336" t="str">
        <f>"22950"</f>
        <v>22950</v>
      </c>
      <c r="E6336" t="str">
        <f t="shared" si="1149"/>
        <v>1</v>
      </c>
      <c r="F6336" t="str">
        <f t="shared" si="1151"/>
        <v>COM</v>
      </c>
      <c r="G6336" t="str">
        <f>"JEAN ARAÚJO SANTOS GERMANO (551)"</f>
        <v>JEAN ARAÚJO SANTOS GERMANO (551)</v>
      </c>
      <c r="H6336" t="str">
        <f>"Serv.Prest. 26/09/2025 a 05/10/2025 - PIX: CELULAR - CHAVE: (31) 99812-7173"</f>
        <v>Serv.Prest. 26/09/2025 a 05/10/2025 - PIX: CELULAR - CHAVE: (31) 99812-7173</v>
      </c>
      <c r="I6336" t="str">
        <f t="shared" si="1155"/>
        <v>16/10/2025</v>
      </c>
      <c r="J6336" t="str">
        <f t="shared" si="1150"/>
        <v>07/10/2025</v>
      </c>
      <c r="K6336" t="str">
        <f>("16/10/2025")</f>
        <v>16/10/2025</v>
      </c>
      <c r="L6336">
        <v>312</v>
      </c>
      <c r="M6336">
        <v>312</v>
      </c>
      <c r="N6336">
        <v>109</v>
      </c>
      <c r="O6336" t="str">
        <f>"PAGAMENTO DE ENTREGADORES"</f>
        <v>PAGAMENTO DE ENTREGADORES</v>
      </c>
      <c r="P6336">
        <v>312</v>
      </c>
      <c r="S6336" t="str">
        <f>"BANCO C6 (149)"</f>
        <v>BANCO C6 (149)</v>
      </c>
      <c r="T6336">
        <v>19692</v>
      </c>
      <c r="U6336">
        <v>22950</v>
      </c>
      <c r="V6336" t="s">
        <v>77</v>
      </c>
    </row>
    <row r="6337" spans="1:22">
      <c r="A6337" t="str">
        <f t="shared" si="1152"/>
        <v>16/10/2025</v>
      </c>
      <c r="B6337" t="str">
        <f t="shared" si="1153"/>
        <v>SAÍDA</v>
      </c>
      <c r="C6337" t="str">
        <f t="shared" si="1154"/>
        <v>PIX</v>
      </c>
      <c r="D6337" t="str">
        <f>"22950"</f>
        <v>22950</v>
      </c>
      <c r="E6337" t="str">
        <f t="shared" si="1149"/>
        <v>1</v>
      </c>
      <c r="F6337" t="str">
        <f t="shared" si="1151"/>
        <v>COM</v>
      </c>
      <c r="G6337" t="str">
        <f>"JEAN ARAÚJO SANTOS GERMANO (551)"</f>
        <v>JEAN ARAÚJO SANTOS GERMANO (551)</v>
      </c>
      <c r="H6337" t="s">
        <v>1704</v>
      </c>
      <c r="I6337" t="str">
        <f t="shared" si="1155"/>
        <v>16/10/2025</v>
      </c>
      <c r="J6337" t="str">
        <f t="shared" si="1150"/>
        <v>07/10/2025</v>
      </c>
      <c r="K6337">
        <v>45946</v>
      </c>
      <c r="N6337">
        <v>109</v>
      </c>
      <c r="O6337" t="s">
        <v>24</v>
      </c>
      <c r="Q6337">
        <v>312</v>
      </c>
      <c r="R6337" t="str">
        <f>"FARMÁCIA INDIANA LJ 142 (10066)"</f>
        <v>FARMÁCIA INDIANA LJ 142 (10066)</v>
      </c>
      <c r="S6337" t="s">
        <v>77</v>
      </c>
      <c r="T6337">
        <v>19692</v>
      </c>
      <c r="U6337">
        <v>22950</v>
      </c>
      <c r="V6337" t="s">
        <v>77</v>
      </c>
    </row>
    <row r="6338" spans="1:22">
      <c r="A6338" t="str">
        <f t="shared" si="1152"/>
        <v>16/10/2025</v>
      </c>
      <c r="B6338" t="str">
        <f t="shared" si="1153"/>
        <v>SAÍDA</v>
      </c>
      <c r="C6338" t="str">
        <f t="shared" si="1154"/>
        <v>PIX</v>
      </c>
      <c r="D6338" t="str">
        <f>"22951"</f>
        <v>22951</v>
      </c>
      <c r="E6338" t="str">
        <f t="shared" si="1149"/>
        <v>1</v>
      </c>
      <c r="F6338" t="str">
        <f t="shared" si="1151"/>
        <v>COM</v>
      </c>
      <c r="G6338" t="str">
        <f>"JEFERSON ANDRADE FERREIRA (165)"</f>
        <v>JEFERSON ANDRADE FERREIRA (165)</v>
      </c>
      <c r="H6338" t="str">
        <f>"Serv.Prest. 26/09/2025 a 05/10/2025 - PIX: CPF - CHAVE: 126.873.296-65"</f>
        <v>Serv.Prest. 26/09/2025 a 05/10/2025 - PIX: CPF - CHAVE: 126.873.296-65</v>
      </c>
      <c r="I6338" t="str">
        <f t="shared" si="1155"/>
        <v>16/10/2025</v>
      </c>
      <c r="J6338" t="str">
        <f t="shared" si="1150"/>
        <v>07/10/2025</v>
      </c>
      <c r="K6338" t="str">
        <f>("16/10/2025")</f>
        <v>16/10/2025</v>
      </c>
      <c r="L6338">
        <v>2088</v>
      </c>
      <c r="M6338">
        <v>2088</v>
      </c>
      <c r="N6338">
        <v>109</v>
      </c>
      <c r="O6338" t="str">
        <f>"PAGAMENTO DE ENTREGADORES"</f>
        <v>PAGAMENTO DE ENTREGADORES</v>
      </c>
      <c r="P6338">
        <v>2088</v>
      </c>
      <c r="S6338" t="str">
        <f>"BANCO C6 (149)"</f>
        <v>BANCO C6 (149)</v>
      </c>
      <c r="T6338">
        <v>19693</v>
      </c>
      <c r="U6338">
        <v>22951</v>
      </c>
      <c r="V6338" t="s">
        <v>77</v>
      </c>
    </row>
    <row r="6339" spans="1:22">
      <c r="A6339" t="str">
        <f t="shared" si="1152"/>
        <v>16/10/2025</v>
      </c>
      <c r="B6339" t="str">
        <f t="shared" si="1153"/>
        <v>SAÍDA</v>
      </c>
      <c r="C6339" t="str">
        <f t="shared" si="1154"/>
        <v>PIX</v>
      </c>
      <c r="D6339" t="str">
        <f>"22951"</f>
        <v>22951</v>
      </c>
      <c r="E6339" t="str">
        <f t="shared" si="1149"/>
        <v>1</v>
      </c>
      <c r="F6339" t="str">
        <f t="shared" si="1151"/>
        <v>COM</v>
      </c>
      <c r="G6339" t="str">
        <f>"JEFERSON ANDRADE FERREIRA (165)"</f>
        <v>JEFERSON ANDRADE FERREIRA (165)</v>
      </c>
      <c r="H6339" t="s">
        <v>1705</v>
      </c>
      <c r="I6339" t="str">
        <f t="shared" si="1155"/>
        <v>16/10/2025</v>
      </c>
      <c r="J6339" t="str">
        <f t="shared" si="1150"/>
        <v>07/10/2025</v>
      </c>
      <c r="K6339">
        <v>45946</v>
      </c>
      <c r="N6339">
        <v>109</v>
      </c>
      <c r="O6339" t="s">
        <v>24</v>
      </c>
      <c r="Q6339">
        <v>1320.03</v>
      </c>
      <c r="R6339" t="str">
        <f>"FARMÁCIA INDIANA LJ 101 (10043)"</f>
        <v>FARMÁCIA INDIANA LJ 101 (10043)</v>
      </c>
      <c r="S6339" t="s">
        <v>77</v>
      </c>
      <c r="T6339">
        <v>19693</v>
      </c>
      <c r="U6339">
        <v>22951</v>
      </c>
      <c r="V6339" t="s">
        <v>77</v>
      </c>
    </row>
    <row r="6340" spans="1:22">
      <c r="A6340" t="str">
        <f t="shared" si="1152"/>
        <v>16/10/2025</v>
      </c>
      <c r="B6340" t="str">
        <f t="shared" si="1153"/>
        <v>SAÍDA</v>
      </c>
      <c r="C6340" t="str">
        <f t="shared" si="1154"/>
        <v>PIX</v>
      </c>
      <c r="D6340" t="str">
        <f>"22951"</f>
        <v>22951</v>
      </c>
      <c r="E6340" t="str">
        <f t="shared" si="1149"/>
        <v>1</v>
      </c>
      <c r="F6340" t="str">
        <f t="shared" si="1151"/>
        <v>COM</v>
      </c>
      <c r="G6340" t="str">
        <f>"JEFERSON ANDRADE FERREIRA (165)"</f>
        <v>JEFERSON ANDRADE FERREIRA (165)</v>
      </c>
      <c r="H6340" t="s">
        <v>1705</v>
      </c>
      <c r="I6340" t="str">
        <f t="shared" si="1155"/>
        <v>16/10/2025</v>
      </c>
      <c r="J6340" t="str">
        <f t="shared" si="1150"/>
        <v>07/10/2025</v>
      </c>
      <c r="K6340">
        <v>45946</v>
      </c>
      <c r="N6340">
        <v>109</v>
      </c>
      <c r="O6340" t="s">
        <v>24</v>
      </c>
      <c r="Q6340">
        <v>767.97</v>
      </c>
      <c r="R6340" t="str">
        <f>"FARMÁCIA INDIANA LJ 220 (10092)"</f>
        <v>FARMÁCIA INDIANA LJ 220 (10092)</v>
      </c>
      <c r="S6340" t="s">
        <v>77</v>
      </c>
      <c r="T6340">
        <v>19693</v>
      </c>
      <c r="U6340">
        <v>22951</v>
      </c>
      <c r="V6340" t="s">
        <v>77</v>
      </c>
    </row>
    <row r="6341" spans="1:22">
      <c r="A6341" t="str">
        <f t="shared" si="1152"/>
        <v>16/10/2025</v>
      </c>
      <c r="B6341" t="str">
        <f t="shared" si="1153"/>
        <v>SAÍDA</v>
      </c>
      <c r="C6341" t="str">
        <f t="shared" si="1154"/>
        <v>PIX</v>
      </c>
      <c r="D6341" t="str">
        <f>"22952"</f>
        <v>22952</v>
      </c>
      <c r="E6341" t="str">
        <f t="shared" ref="E6341:E6404" si="1156">"1"</f>
        <v>1</v>
      </c>
      <c r="F6341" t="str">
        <f t="shared" si="1151"/>
        <v>COM</v>
      </c>
      <c r="G6341" t="str">
        <f>"JEFERSON ARAÚJO SANTOS GERMANO (180)"</f>
        <v>JEFERSON ARAÚJO SANTOS GERMANO (180)</v>
      </c>
      <c r="H6341" t="str">
        <f>"Serv.Prest. 26/09/2025 a 05/10/2025 - PIX: CPF - CHAVE: 023.645.626-19"</f>
        <v>Serv.Prest. 26/09/2025 a 05/10/2025 - PIX: CPF - CHAVE: 023.645.626-19</v>
      </c>
      <c r="I6341" t="str">
        <f t="shared" si="1155"/>
        <v>16/10/2025</v>
      </c>
      <c r="J6341" t="str">
        <f t="shared" si="1150"/>
        <v>07/10/2025</v>
      </c>
      <c r="K6341" t="str">
        <f>("16/10/2025")</f>
        <v>16/10/2025</v>
      </c>
      <c r="L6341">
        <v>996</v>
      </c>
      <c r="M6341">
        <v>996</v>
      </c>
      <c r="N6341">
        <v>109</v>
      </c>
      <c r="O6341" t="str">
        <f>"PAGAMENTO DE ENTREGADORES"</f>
        <v>PAGAMENTO DE ENTREGADORES</v>
      </c>
      <c r="P6341">
        <v>996</v>
      </c>
      <c r="S6341" t="str">
        <f>"BANCO C6 (149)"</f>
        <v>BANCO C6 (149)</v>
      </c>
      <c r="T6341">
        <v>19694</v>
      </c>
      <c r="U6341">
        <v>22952</v>
      </c>
      <c r="V6341" t="s">
        <v>77</v>
      </c>
    </row>
    <row r="6342" spans="1:22">
      <c r="A6342" t="str">
        <f t="shared" si="1152"/>
        <v>16/10/2025</v>
      </c>
      <c r="B6342" t="str">
        <f t="shared" si="1153"/>
        <v>SAÍDA</v>
      </c>
      <c r="C6342" t="str">
        <f t="shared" si="1154"/>
        <v>PIX</v>
      </c>
      <c r="D6342" t="str">
        <f>"22952"</f>
        <v>22952</v>
      </c>
      <c r="E6342" t="str">
        <f t="shared" si="1156"/>
        <v>1</v>
      </c>
      <c r="F6342" t="str">
        <f t="shared" si="1151"/>
        <v>COM</v>
      </c>
      <c r="G6342" t="str">
        <f>"JEFERSON ARAÚJO SANTOS GERMANO (180)"</f>
        <v>JEFERSON ARAÚJO SANTOS GERMANO (180)</v>
      </c>
      <c r="H6342" t="s">
        <v>1706</v>
      </c>
      <c r="I6342" t="str">
        <f t="shared" si="1155"/>
        <v>16/10/2025</v>
      </c>
      <c r="J6342" t="str">
        <f t="shared" si="1150"/>
        <v>07/10/2025</v>
      </c>
      <c r="K6342">
        <v>45946</v>
      </c>
      <c r="N6342">
        <v>109</v>
      </c>
      <c r="O6342" t="s">
        <v>24</v>
      </c>
      <c r="Q6342">
        <v>996</v>
      </c>
      <c r="R6342" t="str">
        <f>"FARMÁCIA INDIANA LJ 142 (10066)"</f>
        <v>FARMÁCIA INDIANA LJ 142 (10066)</v>
      </c>
      <c r="S6342" t="s">
        <v>77</v>
      </c>
      <c r="T6342">
        <v>19694</v>
      </c>
      <c r="U6342">
        <v>22952</v>
      </c>
      <c r="V6342" t="s">
        <v>77</v>
      </c>
    </row>
    <row r="6343" spans="1:22">
      <c r="A6343" t="str">
        <f t="shared" si="1152"/>
        <v>16/10/2025</v>
      </c>
      <c r="B6343" t="str">
        <f t="shared" si="1153"/>
        <v>SAÍDA</v>
      </c>
      <c r="C6343" t="str">
        <f t="shared" si="1154"/>
        <v>PIX</v>
      </c>
      <c r="D6343" t="str">
        <f>"22953"</f>
        <v>22953</v>
      </c>
      <c r="E6343" t="str">
        <f t="shared" si="1156"/>
        <v>1</v>
      </c>
      <c r="F6343" t="str">
        <f t="shared" si="1151"/>
        <v>COM</v>
      </c>
      <c r="G6343" t="str">
        <f>"JEFERSON DE JESUS SANTOS (910)"</f>
        <v>JEFERSON DE JESUS SANTOS (910)</v>
      </c>
      <c r="H6343" t="str">
        <f>"Serv.Prest. 26/09/2025 a 05/10/2025 - PIX: CELULAR - CHAVE: (33) 98836-6015"</f>
        <v>Serv.Prest. 26/09/2025 a 05/10/2025 - PIX: CELULAR - CHAVE: (33) 98836-6015</v>
      </c>
      <c r="I6343" t="str">
        <f t="shared" si="1155"/>
        <v>16/10/2025</v>
      </c>
      <c r="J6343" t="str">
        <f t="shared" ref="J6343:J6406" si="1157">("07/10/2025")</f>
        <v>07/10/2025</v>
      </c>
      <c r="K6343" t="str">
        <f>("16/10/2025")</f>
        <v>16/10/2025</v>
      </c>
      <c r="L6343">
        <v>1270</v>
      </c>
      <c r="M6343">
        <v>1270</v>
      </c>
      <c r="N6343">
        <v>109</v>
      </c>
      <c r="O6343" t="str">
        <f>"PAGAMENTO DE ENTREGADORES"</f>
        <v>PAGAMENTO DE ENTREGADORES</v>
      </c>
      <c r="P6343">
        <v>1270</v>
      </c>
      <c r="S6343" t="str">
        <f>"BANCO C6 (149)"</f>
        <v>BANCO C6 (149)</v>
      </c>
      <c r="T6343">
        <v>19695</v>
      </c>
      <c r="U6343">
        <v>22953</v>
      </c>
      <c r="V6343" t="s">
        <v>77</v>
      </c>
    </row>
    <row r="6344" spans="1:22">
      <c r="A6344" t="str">
        <f t="shared" si="1152"/>
        <v>16/10/2025</v>
      </c>
      <c r="B6344" t="str">
        <f t="shared" si="1153"/>
        <v>SAÍDA</v>
      </c>
      <c r="C6344" t="str">
        <f t="shared" si="1154"/>
        <v>PIX</v>
      </c>
      <c r="D6344" t="str">
        <f>"22953"</f>
        <v>22953</v>
      </c>
      <c r="E6344" t="str">
        <f t="shared" si="1156"/>
        <v>1</v>
      </c>
      <c r="F6344" t="str">
        <f t="shared" si="1151"/>
        <v>COM</v>
      </c>
      <c r="G6344" t="str">
        <f>"JEFERSON DE JESUS SANTOS (910)"</f>
        <v>JEFERSON DE JESUS SANTOS (910)</v>
      </c>
      <c r="H6344" t="s">
        <v>1422</v>
      </c>
      <c r="I6344" t="str">
        <f t="shared" si="1155"/>
        <v>16/10/2025</v>
      </c>
      <c r="J6344" t="str">
        <f t="shared" si="1157"/>
        <v>07/10/2025</v>
      </c>
      <c r="K6344">
        <v>45946</v>
      </c>
      <c r="N6344">
        <v>109</v>
      </c>
      <c r="O6344" t="s">
        <v>24</v>
      </c>
      <c r="Q6344">
        <v>1270</v>
      </c>
      <c r="R6344" t="str">
        <f>"FARMÁCIA INDIANA LJ 07 (10007)"</f>
        <v>FARMÁCIA INDIANA LJ 07 (10007)</v>
      </c>
      <c r="S6344" t="s">
        <v>77</v>
      </c>
      <c r="T6344">
        <v>19695</v>
      </c>
      <c r="U6344">
        <v>22953</v>
      </c>
      <c r="V6344" t="s">
        <v>77</v>
      </c>
    </row>
    <row r="6345" spans="1:22">
      <c r="A6345" t="str">
        <f t="shared" si="1152"/>
        <v>16/10/2025</v>
      </c>
      <c r="B6345" t="str">
        <f t="shared" si="1153"/>
        <v>SAÍDA</v>
      </c>
      <c r="C6345" t="str">
        <f t="shared" si="1154"/>
        <v>PIX</v>
      </c>
      <c r="D6345" t="str">
        <f>"22954"</f>
        <v>22954</v>
      </c>
      <c r="E6345" t="str">
        <f t="shared" si="1156"/>
        <v>1</v>
      </c>
      <c r="F6345" t="str">
        <f t="shared" si="1151"/>
        <v>COM</v>
      </c>
      <c r="G6345" t="str">
        <f>"JHONANTAN LACERDA DE JESUS (142)"</f>
        <v>JHONANTAN LACERDA DE JESUS (142)</v>
      </c>
      <c r="H6345" t="str">
        <f>"Serv.Prest. 26/09/2025 a 05/10/2025 - PIX: E-MAIL - CHAVE: jhonantanlacerda@gmail.com"</f>
        <v>Serv.Prest. 26/09/2025 a 05/10/2025 - PIX: E-MAIL - CHAVE: jhonantanlacerda@gmail.com</v>
      </c>
      <c r="I6345" t="str">
        <f t="shared" si="1155"/>
        <v>16/10/2025</v>
      </c>
      <c r="J6345" t="str">
        <f t="shared" si="1157"/>
        <v>07/10/2025</v>
      </c>
      <c r="K6345" t="str">
        <f>("16/10/2025")</f>
        <v>16/10/2025</v>
      </c>
      <c r="L6345">
        <v>1296</v>
      </c>
      <c r="M6345">
        <v>1296</v>
      </c>
      <c r="N6345">
        <v>109</v>
      </c>
      <c r="O6345" t="str">
        <f>"PAGAMENTO DE ENTREGADORES"</f>
        <v>PAGAMENTO DE ENTREGADORES</v>
      </c>
      <c r="P6345">
        <v>1296</v>
      </c>
      <c r="S6345" t="str">
        <f>"BANCO C6 (149)"</f>
        <v>BANCO C6 (149)</v>
      </c>
      <c r="T6345">
        <v>19696</v>
      </c>
      <c r="U6345">
        <v>22954</v>
      </c>
      <c r="V6345" t="s">
        <v>77</v>
      </c>
    </row>
    <row r="6346" spans="1:22">
      <c r="A6346" t="str">
        <f t="shared" si="1152"/>
        <v>16/10/2025</v>
      </c>
      <c r="B6346" t="str">
        <f t="shared" si="1153"/>
        <v>SAÍDA</v>
      </c>
      <c r="C6346" t="str">
        <f t="shared" si="1154"/>
        <v>PIX</v>
      </c>
      <c r="D6346" t="str">
        <f>"22954"</f>
        <v>22954</v>
      </c>
      <c r="E6346" t="str">
        <f t="shared" si="1156"/>
        <v>1</v>
      </c>
      <c r="F6346" t="str">
        <f t="shared" si="1151"/>
        <v>COM</v>
      </c>
      <c r="G6346" t="str">
        <f>"JHONANTAN LACERDA DE JESUS (142)"</f>
        <v>JHONANTAN LACERDA DE JESUS (142)</v>
      </c>
      <c r="H6346" t="s">
        <v>1707</v>
      </c>
      <c r="I6346" t="str">
        <f t="shared" si="1155"/>
        <v>16/10/2025</v>
      </c>
      <c r="J6346" t="str">
        <f t="shared" si="1157"/>
        <v>07/10/2025</v>
      </c>
      <c r="K6346">
        <v>45946</v>
      </c>
      <c r="N6346">
        <v>109</v>
      </c>
      <c r="O6346" t="s">
        <v>24</v>
      </c>
      <c r="Q6346">
        <v>1296</v>
      </c>
      <c r="R6346" t="str">
        <f>"FARMÁCIA INDIANA LJ 142 (10066)"</f>
        <v>FARMÁCIA INDIANA LJ 142 (10066)</v>
      </c>
      <c r="S6346" t="s">
        <v>77</v>
      </c>
      <c r="T6346">
        <v>19696</v>
      </c>
      <c r="U6346">
        <v>22954</v>
      </c>
      <c r="V6346" t="s">
        <v>77</v>
      </c>
    </row>
    <row r="6347" spans="1:22">
      <c r="A6347" t="str">
        <f t="shared" si="1152"/>
        <v>16/10/2025</v>
      </c>
      <c r="B6347" t="str">
        <f t="shared" si="1153"/>
        <v>SAÍDA</v>
      </c>
      <c r="C6347" t="str">
        <f t="shared" si="1154"/>
        <v>PIX</v>
      </c>
      <c r="D6347" t="str">
        <f>"22955"</f>
        <v>22955</v>
      </c>
      <c r="E6347" t="str">
        <f t="shared" si="1156"/>
        <v>1</v>
      </c>
      <c r="F6347" t="str">
        <f t="shared" si="1151"/>
        <v>COM</v>
      </c>
      <c r="G6347" t="str">
        <f>"JOMAR GONÇALVES DIAS (16)"</f>
        <v>JOMAR GONÇALVES DIAS (16)</v>
      </c>
      <c r="H6347" t="str">
        <f>"Serv.Prest. 26/09/2025 a 05/10/2025 - PIX: CPF - CHAVE: 602.838.315-53"</f>
        <v>Serv.Prest. 26/09/2025 a 05/10/2025 - PIX: CPF - CHAVE: 602.838.315-53</v>
      </c>
      <c r="I6347" t="str">
        <f t="shared" si="1155"/>
        <v>16/10/2025</v>
      </c>
      <c r="J6347" t="str">
        <f t="shared" si="1157"/>
        <v>07/10/2025</v>
      </c>
      <c r="K6347" t="str">
        <f>("16/10/2025")</f>
        <v>16/10/2025</v>
      </c>
      <c r="L6347">
        <v>1254</v>
      </c>
      <c r="M6347">
        <v>1254</v>
      </c>
      <c r="N6347">
        <v>109</v>
      </c>
      <c r="O6347" t="str">
        <f>"PAGAMENTO DE ENTREGADORES"</f>
        <v>PAGAMENTO DE ENTREGADORES</v>
      </c>
      <c r="P6347">
        <v>1254</v>
      </c>
      <c r="S6347" t="str">
        <f>"BANCO C6 (149)"</f>
        <v>BANCO C6 (149)</v>
      </c>
      <c r="T6347">
        <v>19697</v>
      </c>
      <c r="U6347">
        <v>22955</v>
      </c>
      <c r="V6347" t="s">
        <v>77</v>
      </c>
    </row>
    <row r="6348" spans="1:22">
      <c r="A6348" t="str">
        <f t="shared" si="1152"/>
        <v>16/10/2025</v>
      </c>
      <c r="B6348" t="str">
        <f t="shared" si="1153"/>
        <v>SAÍDA</v>
      </c>
      <c r="C6348" t="str">
        <f t="shared" si="1154"/>
        <v>PIX</v>
      </c>
      <c r="D6348" t="str">
        <f>"22955"</f>
        <v>22955</v>
      </c>
      <c r="E6348" t="str">
        <f t="shared" si="1156"/>
        <v>1</v>
      </c>
      <c r="F6348" t="str">
        <f t="shared" si="1151"/>
        <v>COM</v>
      </c>
      <c r="G6348" t="str">
        <f>"JOMAR GONÇALVES DIAS (16)"</f>
        <v>JOMAR GONÇALVES DIAS (16)</v>
      </c>
      <c r="H6348" t="s">
        <v>1708</v>
      </c>
      <c r="I6348" t="str">
        <f t="shared" si="1155"/>
        <v>16/10/2025</v>
      </c>
      <c r="J6348" t="str">
        <f t="shared" si="1157"/>
        <v>07/10/2025</v>
      </c>
      <c r="K6348">
        <v>45946</v>
      </c>
      <c r="N6348">
        <v>109</v>
      </c>
      <c r="O6348" t="s">
        <v>24</v>
      </c>
      <c r="Q6348">
        <v>1254</v>
      </c>
      <c r="R6348" t="str">
        <f>"FARMÁCIA INDIANA LJ 61 (10027)"</f>
        <v>FARMÁCIA INDIANA LJ 61 (10027)</v>
      </c>
      <c r="S6348" t="s">
        <v>77</v>
      </c>
      <c r="T6348">
        <v>19697</v>
      </c>
      <c r="U6348">
        <v>22955</v>
      </c>
      <c r="V6348" t="s">
        <v>77</v>
      </c>
    </row>
    <row r="6349" spans="1:22">
      <c r="A6349" t="str">
        <f t="shared" si="1152"/>
        <v>16/10/2025</v>
      </c>
      <c r="B6349" t="str">
        <f t="shared" si="1153"/>
        <v>SAÍDA</v>
      </c>
      <c r="C6349" t="str">
        <f t="shared" si="1154"/>
        <v>PIX</v>
      </c>
      <c r="D6349" t="str">
        <f>"22956"</f>
        <v>22956</v>
      </c>
      <c r="E6349" t="str">
        <f t="shared" si="1156"/>
        <v>1</v>
      </c>
      <c r="F6349" t="str">
        <f t="shared" si="1151"/>
        <v>COM</v>
      </c>
      <c r="G6349" t="str">
        <f>"JOSÉ CARLOS DA COSTA (83)"</f>
        <v>JOSÉ CARLOS DA COSTA (83)</v>
      </c>
      <c r="H6349" t="str">
        <f>"Serv.Prest. 26/09/2025 a 05/10/2025 - PIX: CPF - CHAVE: 043.301.196-33"</f>
        <v>Serv.Prest. 26/09/2025 a 05/10/2025 - PIX: CPF - CHAVE: 043.301.196-33</v>
      </c>
      <c r="I6349" t="str">
        <f t="shared" si="1155"/>
        <v>16/10/2025</v>
      </c>
      <c r="J6349" t="str">
        <f t="shared" si="1157"/>
        <v>07/10/2025</v>
      </c>
      <c r="K6349" t="str">
        <f>("16/10/2025")</f>
        <v>16/10/2025</v>
      </c>
      <c r="L6349">
        <v>822</v>
      </c>
      <c r="M6349">
        <v>822</v>
      </c>
      <c r="N6349">
        <v>109</v>
      </c>
      <c r="O6349" t="str">
        <f>"PAGAMENTO DE ENTREGADORES"</f>
        <v>PAGAMENTO DE ENTREGADORES</v>
      </c>
      <c r="P6349">
        <v>822</v>
      </c>
      <c r="S6349" t="str">
        <f>"BANCO C6 (149)"</f>
        <v>BANCO C6 (149)</v>
      </c>
      <c r="T6349">
        <v>19698</v>
      </c>
      <c r="U6349">
        <v>22956</v>
      </c>
      <c r="V6349" t="s">
        <v>77</v>
      </c>
    </row>
    <row r="6350" spans="1:22">
      <c r="A6350" t="str">
        <f t="shared" si="1152"/>
        <v>16/10/2025</v>
      </c>
      <c r="B6350" t="str">
        <f t="shared" si="1153"/>
        <v>SAÍDA</v>
      </c>
      <c r="C6350" t="str">
        <f t="shared" si="1154"/>
        <v>PIX</v>
      </c>
      <c r="D6350" t="str">
        <f>"22956"</f>
        <v>22956</v>
      </c>
      <c r="E6350" t="str">
        <f t="shared" si="1156"/>
        <v>1</v>
      </c>
      <c r="F6350" t="str">
        <f t="shared" si="1151"/>
        <v>COM</v>
      </c>
      <c r="G6350" t="str">
        <f>"JOSÉ CARLOS DA COSTA (83)"</f>
        <v>JOSÉ CARLOS DA COSTA (83)</v>
      </c>
      <c r="H6350" t="s">
        <v>1709</v>
      </c>
      <c r="I6350" t="str">
        <f t="shared" si="1155"/>
        <v>16/10/2025</v>
      </c>
      <c r="J6350" t="str">
        <f t="shared" si="1157"/>
        <v>07/10/2025</v>
      </c>
      <c r="K6350">
        <v>45946</v>
      </c>
      <c r="N6350">
        <v>109</v>
      </c>
      <c r="O6350" t="s">
        <v>24</v>
      </c>
      <c r="Q6350">
        <v>822</v>
      </c>
      <c r="R6350" t="str">
        <f>"FARMÁCIA INDIANA LJ 152 (10069)"</f>
        <v>FARMÁCIA INDIANA LJ 152 (10069)</v>
      </c>
      <c r="S6350" t="s">
        <v>77</v>
      </c>
      <c r="T6350">
        <v>19698</v>
      </c>
      <c r="U6350">
        <v>22956</v>
      </c>
      <c r="V6350" t="s">
        <v>77</v>
      </c>
    </row>
    <row r="6351" spans="1:22">
      <c r="A6351" t="str">
        <f t="shared" si="1152"/>
        <v>16/10/2025</v>
      </c>
      <c r="B6351" t="str">
        <f t="shared" si="1153"/>
        <v>SAÍDA</v>
      </c>
      <c r="C6351" t="str">
        <f t="shared" si="1154"/>
        <v>PIX</v>
      </c>
      <c r="D6351" t="str">
        <f>"22958"</f>
        <v>22958</v>
      </c>
      <c r="E6351" t="str">
        <f t="shared" si="1156"/>
        <v>1</v>
      </c>
      <c r="F6351" t="str">
        <f t="shared" si="1151"/>
        <v>COM</v>
      </c>
      <c r="G6351" t="str">
        <f>"JUBER FERREIRA SILVA BASTOS (192)"</f>
        <v>JUBER FERREIRA SILVA BASTOS (192)</v>
      </c>
      <c r="H6351" t="str">
        <f>"Serv.Prest. 26/09/2025 a 05/10/2025 - PIX: CPF - CHAVE: 012.459.366-62"</f>
        <v>Serv.Prest. 26/09/2025 a 05/10/2025 - PIX: CPF - CHAVE: 012.459.366-62</v>
      </c>
      <c r="I6351" t="str">
        <f t="shared" si="1155"/>
        <v>16/10/2025</v>
      </c>
      <c r="J6351" t="str">
        <f t="shared" si="1157"/>
        <v>07/10/2025</v>
      </c>
      <c r="K6351" t="str">
        <f>("16/10/2025")</f>
        <v>16/10/2025</v>
      </c>
      <c r="L6351">
        <v>1458</v>
      </c>
      <c r="M6351">
        <v>1458</v>
      </c>
      <c r="N6351">
        <v>109</v>
      </c>
      <c r="O6351" t="str">
        <f>"PAGAMENTO DE ENTREGADORES"</f>
        <v>PAGAMENTO DE ENTREGADORES</v>
      </c>
      <c r="P6351">
        <v>1458</v>
      </c>
      <c r="S6351" t="str">
        <f>"BANCO C6 (149)"</f>
        <v>BANCO C6 (149)</v>
      </c>
      <c r="T6351">
        <v>19699</v>
      </c>
      <c r="U6351">
        <v>22958</v>
      </c>
      <c r="V6351" t="s">
        <v>77</v>
      </c>
    </row>
    <row r="6352" spans="1:22">
      <c r="A6352" t="str">
        <f t="shared" si="1152"/>
        <v>16/10/2025</v>
      </c>
      <c r="B6352" t="str">
        <f t="shared" si="1153"/>
        <v>SAÍDA</v>
      </c>
      <c r="C6352" t="str">
        <f t="shared" si="1154"/>
        <v>PIX</v>
      </c>
      <c r="D6352" t="str">
        <f>"22958"</f>
        <v>22958</v>
      </c>
      <c r="E6352" t="str">
        <f t="shared" si="1156"/>
        <v>1</v>
      </c>
      <c r="F6352" t="str">
        <f t="shared" si="1151"/>
        <v>COM</v>
      </c>
      <c r="G6352" t="str">
        <f>"JUBER FERREIRA SILVA BASTOS (192)"</f>
        <v>JUBER FERREIRA SILVA BASTOS (192)</v>
      </c>
      <c r="H6352" t="s">
        <v>1710</v>
      </c>
      <c r="I6352" t="str">
        <f t="shared" si="1155"/>
        <v>16/10/2025</v>
      </c>
      <c r="J6352" t="str">
        <f t="shared" si="1157"/>
        <v>07/10/2025</v>
      </c>
      <c r="K6352">
        <v>45946</v>
      </c>
      <c r="N6352">
        <v>109</v>
      </c>
      <c r="O6352" t="s">
        <v>24</v>
      </c>
      <c r="Q6352">
        <v>1458</v>
      </c>
      <c r="R6352" t="str">
        <f>"FARMÁCIA INDIANA LJ 06 (10006)"</f>
        <v>FARMÁCIA INDIANA LJ 06 (10006)</v>
      </c>
      <c r="S6352" t="s">
        <v>77</v>
      </c>
      <c r="T6352">
        <v>19699</v>
      </c>
      <c r="U6352">
        <v>22958</v>
      </c>
      <c r="V6352" t="s">
        <v>77</v>
      </c>
    </row>
    <row r="6353" spans="1:22">
      <c r="A6353" t="str">
        <f t="shared" si="1152"/>
        <v>16/10/2025</v>
      </c>
      <c r="B6353" t="str">
        <f t="shared" si="1153"/>
        <v>SAÍDA</v>
      </c>
      <c r="C6353" t="str">
        <f t="shared" si="1154"/>
        <v>PIX</v>
      </c>
      <c r="D6353" t="str">
        <f>"22959"</f>
        <v>22959</v>
      </c>
      <c r="E6353" t="str">
        <f t="shared" si="1156"/>
        <v>1</v>
      </c>
      <c r="F6353" t="str">
        <f t="shared" si="1151"/>
        <v>COM</v>
      </c>
      <c r="G6353" t="str">
        <f>"JUNIO DE ANDRADE ARRUDA (145)"</f>
        <v>JUNIO DE ANDRADE ARRUDA (145)</v>
      </c>
      <c r="H6353" t="str">
        <f>"Serv.Prest. 26/09/2025 a 05/10/2025 - PIX: CPF - CHAVE: 077.488.126-75"</f>
        <v>Serv.Prest. 26/09/2025 a 05/10/2025 - PIX: CPF - CHAVE: 077.488.126-75</v>
      </c>
      <c r="I6353" t="str">
        <f t="shared" si="1155"/>
        <v>16/10/2025</v>
      </c>
      <c r="J6353" t="str">
        <f t="shared" si="1157"/>
        <v>07/10/2025</v>
      </c>
      <c r="K6353" t="str">
        <f>("16/10/2025")</f>
        <v>16/10/2025</v>
      </c>
      <c r="L6353">
        <v>1020</v>
      </c>
      <c r="M6353">
        <v>1020</v>
      </c>
      <c r="N6353">
        <v>109</v>
      </c>
      <c r="O6353" t="str">
        <f>"PAGAMENTO DE ENTREGADORES"</f>
        <v>PAGAMENTO DE ENTREGADORES</v>
      </c>
      <c r="P6353">
        <v>1020</v>
      </c>
      <c r="S6353" t="str">
        <f>"BANCO C6 (149)"</f>
        <v>BANCO C6 (149)</v>
      </c>
      <c r="T6353">
        <v>19700</v>
      </c>
      <c r="U6353">
        <v>22959</v>
      </c>
      <c r="V6353" t="s">
        <v>77</v>
      </c>
    </row>
    <row r="6354" spans="1:22">
      <c r="A6354" t="str">
        <f t="shared" si="1152"/>
        <v>16/10/2025</v>
      </c>
      <c r="B6354" t="str">
        <f t="shared" si="1153"/>
        <v>SAÍDA</v>
      </c>
      <c r="C6354" t="str">
        <f t="shared" si="1154"/>
        <v>PIX</v>
      </c>
      <c r="D6354" t="str">
        <f>"22959"</f>
        <v>22959</v>
      </c>
      <c r="E6354" t="str">
        <f t="shared" si="1156"/>
        <v>1</v>
      </c>
      <c r="F6354" t="str">
        <f t="shared" si="1151"/>
        <v>COM</v>
      </c>
      <c r="G6354" t="str">
        <f>"JUNIO DE ANDRADE ARRUDA (145)"</f>
        <v>JUNIO DE ANDRADE ARRUDA (145)</v>
      </c>
      <c r="H6354" t="s">
        <v>1711</v>
      </c>
      <c r="I6354" t="str">
        <f t="shared" si="1155"/>
        <v>16/10/2025</v>
      </c>
      <c r="J6354" t="str">
        <f t="shared" si="1157"/>
        <v>07/10/2025</v>
      </c>
      <c r="K6354">
        <v>45946</v>
      </c>
      <c r="N6354">
        <v>109</v>
      </c>
      <c r="O6354" t="s">
        <v>24</v>
      </c>
      <c r="Q6354">
        <v>210.02</v>
      </c>
      <c r="R6354" t="str">
        <f>"FARMÁCIA INDIANA LJ 18 (10011)"</f>
        <v>FARMÁCIA INDIANA LJ 18 (10011)</v>
      </c>
      <c r="S6354" t="s">
        <v>77</v>
      </c>
      <c r="T6354">
        <v>19700</v>
      </c>
      <c r="U6354">
        <v>22959</v>
      </c>
      <c r="V6354" t="s">
        <v>77</v>
      </c>
    </row>
    <row r="6355" spans="1:22">
      <c r="A6355" t="str">
        <f t="shared" si="1152"/>
        <v>16/10/2025</v>
      </c>
      <c r="B6355" t="str">
        <f t="shared" si="1153"/>
        <v>SAÍDA</v>
      </c>
      <c r="C6355" t="str">
        <f t="shared" si="1154"/>
        <v>PIX</v>
      </c>
      <c r="D6355" t="str">
        <f>"22959"</f>
        <v>22959</v>
      </c>
      <c r="E6355" t="str">
        <f t="shared" si="1156"/>
        <v>1</v>
      </c>
      <c r="F6355" t="str">
        <f t="shared" si="1151"/>
        <v>COM</v>
      </c>
      <c r="G6355" t="str">
        <f>"JUNIO DE ANDRADE ARRUDA (145)"</f>
        <v>JUNIO DE ANDRADE ARRUDA (145)</v>
      </c>
      <c r="H6355" t="s">
        <v>1711</v>
      </c>
      <c r="I6355" t="str">
        <f t="shared" si="1155"/>
        <v>16/10/2025</v>
      </c>
      <c r="J6355" t="str">
        <f t="shared" si="1157"/>
        <v>07/10/2025</v>
      </c>
      <c r="K6355">
        <v>45946</v>
      </c>
      <c r="N6355">
        <v>109</v>
      </c>
      <c r="O6355" t="s">
        <v>24</v>
      </c>
      <c r="Q6355">
        <v>809.98</v>
      </c>
      <c r="R6355" t="str">
        <f>"FARMÁCIA INDIANA LJ 19 (10012)"</f>
        <v>FARMÁCIA INDIANA LJ 19 (10012)</v>
      </c>
      <c r="S6355" t="s">
        <v>77</v>
      </c>
      <c r="T6355">
        <v>19700</v>
      </c>
      <c r="U6355">
        <v>22959</v>
      </c>
      <c r="V6355" t="s">
        <v>77</v>
      </c>
    </row>
    <row r="6356" spans="1:22">
      <c r="A6356" t="str">
        <f t="shared" si="1152"/>
        <v>16/10/2025</v>
      </c>
      <c r="B6356" t="str">
        <f t="shared" si="1153"/>
        <v>SAÍDA</v>
      </c>
      <c r="C6356" t="str">
        <f t="shared" si="1154"/>
        <v>PIX</v>
      </c>
      <c r="D6356" t="str">
        <f>"22960"</f>
        <v>22960</v>
      </c>
      <c r="E6356" t="str">
        <f t="shared" si="1156"/>
        <v>1</v>
      </c>
      <c r="F6356" t="str">
        <f t="shared" si="1151"/>
        <v>COM</v>
      </c>
      <c r="G6356" t="str">
        <f>"JUNIOR DOS SANTOS MACHADO (240)"</f>
        <v>JUNIOR DOS SANTOS MACHADO (240)</v>
      </c>
      <c r="H6356" t="str">
        <f>"Serv.Prest. 26/09/2025 a 05/10/2025 - PIX: CPF - CHAVE: 074.520.456-29"</f>
        <v>Serv.Prest. 26/09/2025 a 05/10/2025 - PIX: CPF - CHAVE: 074.520.456-29</v>
      </c>
      <c r="I6356" t="str">
        <f t="shared" si="1155"/>
        <v>16/10/2025</v>
      </c>
      <c r="J6356" t="str">
        <f t="shared" si="1157"/>
        <v>07/10/2025</v>
      </c>
      <c r="K6356" t="str">
        <f>("16/10/2025")</f>
        <v>16/10/2025</v>
      </c>
      <c r="L6356">
        <v>679.5</v>
      </c>
      <c r="M6356">
        <v>679.5</v>
      </c>
      <c r="N6356">
        <v>109</v>
      </c>
      <c r="O6356" t="str">
        <f>"PAGAMENTO DE ENTREGADORES"</f>
        <v>PAGAMENTO DE ENTREGADORES</v>
      </c>
      <c r="P6356">
        <v>679.5</v>
      </c>
      <c r="S6356" t="str">
        <f>"BANCO C6 (149)"</f>
        <v>BANCO C6 (149)</v>
      </c>
      <c r="T6356">
        <v>19701</v>
      </c>
      <c r="U6356">
        <v>22960</v>
      </c>
      <c r="V6356" t="s">
        <v>77</v>
      </c>
    </row>
    <row r="6357" spans="1:22">
      <c r="A6357" t="str">
        <f t="shared" si="1152"/>
        <v>16/10/2025</v>
      </c>
      <c r="B6357" t="str">
        <f t="shared" si="1153"/>
        <v>SAÍDA</v>
      </c>
      <c r="C6357" t="str">
        <f t="shared" si="1154"/>
        <v>PIX</v>
      </c>
      <c r="D6357" t="str">
        <f>"22960"</f>
        <v>22960</v>
      </c>
      <c r="E6357" t="str">
        <f t="shared" si="1156"/>
        <v>1</v>
      </c>
      <c r="F6357" t="str">
        <f t="shared" si="1151"/>
        <v>COM</v>
      </c>
      <c r="G6357" t="str">
        <f>"JUNIOR DOS SANTOS MACHADO (240)"</f>
        <v>JUNIOR DOS SANTOS MACHADO (240)</v>
      </c>
      <c r="H6357" t="s">
        <v>1431</v>
      </c>
      <c r="I6357" t="str">
        <f t="shared" si="1155"/>
        <v>16/10/2025</v>
      </c>
      <c r="J6357" t="str">
        <f t="shared" si="1157"/>
        <v>07/10/2025</v>
      </c>
      <c r="K6357">
        <v>45946</v>
      </c>
      <c r="N6357">
        <v>109</v>
      </c>
      <c r="O6357" t="s">
        <v>24</v>
      </c>
      <c r="Q6357">
        <v>679.5</v>
      </c>
      <c r="R6357" t="str">
        <f>"FARMÁCIA INDIANA LJ 62 (10028)"</f>
        <v>FARMÁCIA INDIANA LJ 62 (10028)</v>
      </c>
      <c r="S6357" t="s">
        <v>77</v>
      </c>
      <c r="T6357">
        <v>19701</v>
      </c>
      <c r="U6357">
        <v>22960</v>
      </c>
      <c r="V6357" t="s">
        <v>77</v>
      </c>
    </row>
    <row r="6358" spans="1:22">
      <c r="A6358" t="str">
        <f t="shared" si="1152"/>
        <v>16/10/2025</v>
      </c>
      <c r="B6358" t="str">
        <f t="shared" si="1153"/>
        <v>SAÍDA</v>
      </c>
      <c r="C6358" t="str">
        <f t="shared" si="1154"/>
        <v>PIX</v>
      </c>
      <c r="D6358" t="str">
        <f>"22962"</f>
        <v>22962</v>
      </c>
      <c r="E6358" t="str">
        <f t="shared" si="1156"/>
        <v>1</v>
      </c>
      <c r="F6358" t="str">
        <f t="shared" si="1151"/>
        <v>COM</v>
      </c>
      <c r="G6358" t="str">
        <f>"KALESSON BARROSO DIAS (216)"</f>
        <v>KALESSON BARROSO DIAS (216)</v>
      </c>
      <c r="H6358" t="str">
        <f>"Serv.Prest. 26/09/2025 a 05/10/2025 - PIX: CELULAR - CHAVE: (33) 99106-9330"</f>
        <v>Serv.Prest. 26/09/2025 a 05/10/2025 - PIX: CELULAR - CHAVE: (33) 99106-9330</v>
      </c>
      <c r="I6358" t="str">
        <f t="shared" si="1155"/>
        <v>16/10/2025</v>
      </c>
      <c r="J6358" t="str">
        <f t="shared" si="1157"/>
        <v>07/10/2025</v>
      </c>
      <c r="K6358" t="str">
        <f>("16/10/2025")</f>
        <v>16/10/2025</v>
      </c>
      <c r="L6358">
        <v>1440</v>
      </c>
      <c r="M6358">
        <v>1440</v>
      </c>
      <c r="N6358">
        <v>109</v>
      </c>
      <c r="O6358" t="str">
        <f>"PAGAMENTO DE ENTREGADORES"</f>
        <v>PAGAMENTO DE ENTREGADORES</v>
      </c>
      <c r="P6358">
        <v>1440</v>
      </c>
      <c r="S6358" t="str">
        <f>"BANCO C6 (149)"</f>
        <v>BANCO C6 (149)</v>
      </c>
      <c r="T6358">
        <v>19702</v>
      </c>
      <c r="U6358">
        <v>22962</v>
      </c>
      <c r="V6358" t="s">
        <v>77</v>
      </c>
    </row>
    <row r="6359" spans="1:22">
      <c r="A6359" t="str">
        <f t="shared" si="1152"/>
        <v>16/10/2025</v>
      </c>
      <c r="B6359" t="str">
        <f t="shared" si="1153"/>
        <v>SAÍDA</v>
      </c>
      <c r="C6359" t="str">
        <f t="shared" si="1154"/>
        <v>PIX</v>
      </c>
      <c r="D6359" t="str">
        <f>"22962"</f>
        <v>22962</v>
      </c>
      <c r="E6359" t="str">
        <f t="shared" si="1156"/>
        <v>1</v>
      </c>
      <c r="F6359" t="str">
        <f t="shared" si="1151"/>
        <v>COM</v>
      </c>
      <c r="G6359" t="str">
        <f>"KALESSON BARROSO DIAS (216)"</f>
        <v>KALESSON BARROSO DIAS (216)</v>
      </c>
      <c r="H6359" t="s">
        <v>1712</v>
      </c>
      <c r="I6359" t="str">
        <f t="shared" si="1155"/>
        <v>16/10/2025</v>
      </c>
      <c r="J6359" t="str">
        <f t="shared" si="1157"/>
        <v>07/10/2025</v>
      </c>
      <c r="K6359">
        <v>45946</v>
      </c>
      <c r="N6359">
        <v>109</v>
      </c>
      <c r="O6359" t="s">
        <v>24</v>
      </c>
      <c r="Q6359">
        <v>1440</v>
      </c>
      <c r="R6359" t="str">
        <f>"FARMÁCIA INDIANA LJ 06 (10006)"</f>
        <v>FARMÁCIA INDIANA LJ 06 (10006)</v>
      </c>
      <c r="S6359" t="s">
        <v>77</v>
      </c>
      <c r="T6359">
        <v>19702</v>
      </c>
      <c r="U6359">
        <v>22962</v>
      </c>
      <c r="V6359" t="s">
        <v>77</v>
      </c>
    </row>
    <row r="6360" spans="1:22">
      <c r="A6360" t="str">
        <f t="shared" si="1152"/>
        <v>16/10/2025</v>
      </c>
      <c r="B6360" t="str">
        <f t="shared" si="1153"/>
        <v>SAÍDA</v>
      </c>
      <c r="C6360" t="str">
        <f t="shared" si="1154"/>
        <v>PIX</v>
      </c>
      <c r="D6360" t="str">
        <f>"22963"</f>
        <v>22963</v>
      </c>
      <c r="E6360" t="str">
        <f t="shared" si="1156"/>
        <v>1</v>
      </c>
      <c r="F6360" t="str">
        <f t="shared" si="1151"/>
        <v>COM</v>
      </c>
      <c r="G6360" t="str">
        <f>"KELVIN NUBIO DE SOUZA TOLEDO (735)"</f>
        <v>KELVIN NUBIO DE SOUZA TOLEDO (735)</v>
      </c>
      <c r="H6360" t="str">
        <f>"Serv.Prest. 26/09/2025 a 05/10/2025 - PIX: CHAVE ALEATÓRIA - CHAVE: c489bee1-360b-4fa9-86c4-fbb0e9844cb8"</f>
        <v>Serv.Prest. 26/09/2025 a 05/10/2025 - PIX: CHAVE ALEATÓRIA - CHAVE: c489bee1-360b-4fa9-86c4-fbb0e9844cb8</v>
      </c>
      <c r="I6360" t="str">
        <f t="shared" si="1155"/>
        <v>16/10/2025</v>
      </c>
      <c r="J6360" t="str">
        <f t="shared" si="1157"/>
        <v>07/10/2025</v>
      </c>
      <c r="K6360" t="str">
        <f>("16/10/2025")</f>
        <v>16/10/2025</v>
      </c>
      <c r="L6360">
        <v>444</v>
      </c>
      <c r="M6360">
        <v>444</v>
      </c>
      <c r="N6360">
        <v>109</v>
      </c>
      <c r="O6360" t="str">
        <f>"PAGAMENTO DE ENTREGADORES"</f>
        <v>PAGAMENTO DE ENTREGADORES</v>
      </c>
      <c r="P6360">
        <v>444</v>
      </c>
      <c r="S6360" t="str">
        <f>"BANCO C6 (149)"</f>
        <v>BANCO C6 (149)</v>
      </c>
      <c r="T6360">
        <v>19703</v>
      </c>
      <c r="U6360">
        <v>22963</v>
      </c>
      <c r="V6360" t="s">
        <v>77</v>
      </c>
    </row>
    <row r="6361" spans="1:22">
      <c r="A6361" t="str">
        <f t="shared" si="1152"/>
        <v>16/10/2025</v>
      </c>
      <c r="B6361" t="str">
        <f t="shared" si="1153"/>
        <v>SAÍDA</v>
      </c>
      <c r="C6361" t="str">
        <f t="shared" si="1154"/>
        <v>PIX</v>
      </c>
      <c r="D6361" t="str">
        <f>"22963"</f>
        <v>22963</v>
      </c>
      <c r="E6361" t="str">
        <f t="shared" si="1156"/>
        <v>1</v>
      </c>
      <c r="F6361" t="str">
        <f t="shared" si="1151"/>
        <v>COM</v>
      </c>
      <c r="G6361" t="str">
        <f>"KELVIN NUBIO DE SOUZA TOLEDO (735)"</f>
        <v>KELVIN NUBIO DE SOUZA TOLEDO (735)</v>
      </c>
      <c r="H6361" t="s">
        <v>1713</v>
      </c>
      <c r="I6361" t="str">
        <f t="shared" si="1155"/>
        <v>16/10/2025</v>
      </c>
      <c r="J6361" t="str">
        <f t="shared" si="1157"/>
        <v>07/10/2025</v>
      </c>
      <c r="K6361">
        <v>45946</v>
      </c>
      <c r="N6361">
        <v>109</v>
      </c>
      <c r="O6361" t="s">
        <v>24</v>
      </c>
      <c r="Q6361">
        <v>444</v>
      </c>
      <c r="R6361" t="str">
        <f>"FARMÁCIA INDIANA LJ 152 (10069)"</f>
        <v>FARMÁCIA INDIANA LJ 152 (10069)</v>
      </c>
      <c r="S6361" t="s">
        <v>77</v>
      </c>
      <c r="T6361">
        <v>19703</v>
      </c>
      <c r="U6361">
        <v>22963</v>
      </c>
      <c r="V6361" t="s">
        <v>77</v>
      </c>
    </row>
    <row r="6362" spans="1:22">
      <c r="A6362" t="str">
        <f t="shared" si="1152"/>
        <v>16/10/2025</v>
      </c>
      <c r="B6362" t="str">
        <f t="shared" si="1153"/>
        <v>SAÍDA</v>
      </c>
      <c r="C6362" t="str">
        <f t="shared" si="1154"/>
        <v>PIX</v>
      </c>
      <c r="D6362" t="str">
        <f>"22965"</f>
        <v>22965</v>
      </c>
      <c r="E6362" t="str">
        <f t="shared" si="1156"/>
        <v>1</v>
      </c>
      <c r="F6362" t="str">
        <f t="shared" si="1151"/>
        <v>COM</v>
      </c>
      <c r="G6362" t="str">
        <f>"LEONARDO VIANA FIGUEIREDO (913)"</f>
        <v>LEONARDO VIANA FIGUEIREDO (913)</v>
      </c>
      <c r="H6362" t="str">
        <f>"Serv.Prest. 26/09/2025 a 05/10/2025 - PIX: CELULAR - CHAVE: (33) 98463-0821"</f>
        <v>Serv.Prest. 26/09/2025 a 05/10/2025 - PIX: CELULAR - CHAVE: (33) 98463-0821</v>
      </c>
      <c r="I6362" t="str">
        <f t="shared" si="1155"/>
        <v>16/10/2025</v>
      </c>
      <c r="J6362" t="str">
        <f t="shared" si="1157"/>
        <v>07/10/2025</v>
      </c>
      <c r="K6362" t="str">
        <f>("16/10/2025")</f>
        <v>16/10/2025</v>
      </c>
      <c r="L6362">
        <v>1620</v>
      </c>
      <c r="M6362">
        <v>1620</v>
      </c>
      <c r="N6362">
        <v>109</v>
      </c>
      <c r="O6362" t="str">
        <f>"PAGAMENTO DE ENTREGADORES"</f>
        <v>PAGAMENTO DE ENTREGADORES</v>
      </c>
      <c r="P6362">
        <v>1620</v>
      </c>
      <c r="S6362" t="str">
        <f>"BANCO C6 (149)"</f>
        <v>BANCO C6 (149)</v>
      </c>
      <c r="T6362">
        <v>19704</v>
      </c>
      <c r="U6362">
        <v>22965</v>
      </c>
      <c r="V6362" t="s">
        <v>77</v>
      </c>
    </row>
    <row r="6363" spans="1:22">
      <c r="A6363" t="str">
        <f t="shared" si="1152"/>
        <v>16/10/2025</v>
      </c>
      <c r="B6363" t="str">
        <f t="shared" si="1153"/>
        <v>SAÍDA</v>
      </c>
      <c r="C6363" t="str">
        <f t="shared" si="1154"/>
        <v>PIX</v>
      </c>
      <c r="D6363" t="str">
        <f>"22965"</f>
        <v>22965</v>
      </c>
      <c r="E6363" t="str">
        <f t="shared" si="1156"/>
        <v>1</v>
      </c>
      <c r="F6363" t="str">
        <f t="shared" si="1151"/>
        <v>COM</v>
      </c>
      <c r="G6363" t="str">
        <f>"LEONARDO VIANA FIGUEIREDO (913)"</f>
        <v>LEONARDO VIANA FIGUEIREDO (913)</v>
      </c>
      <c r="H6363" t="s">
        <v>1714</v>
      </c>
      <c r="I6363" t="str">
        <f t="shared" si="1155"/>
        <v>16/10/2025</v>
      </c>
      <c r="J6363" t="str">
        <f t="shared" si="1157"/>
        <v>07/10/2025</v>
      </c>
      <c r="K6363">
        <v>45946</v>
      </c>
      <c r="N6363">
        <v>109</v>
      </c>
      <c r="O6363" t="s">
        <v>24</v>
      </c>
      <c r="Q6363">
        <v>1620</v>
      </c>
      <c r="R6363" t="str">
        <f>"FARMÁCIA INDIANA LJ 06 (10006)"</f>
        <v>FARMÁCIA INDIANA LJ 06 (10006)</v>
      </c>
      <c r="S6363" t="s">
        <v>77</v>
      </c>
      <c r="T6363">
        <v>19704</v>
      </c>
      <c r="U6363">
        <v>22965</v>
      </c>
      <c r="V6363" t="s">
        <v>77</v>
      </c>
    </row>
    <row r="6364" spans="1:22">
      <c r="A6364" t="str">
        <f t="shared" si="1152"/>
        <v>16/10/2025</v>
      </c>
      <c r="B6364" t="str">
        <f t="shared" si="1153"/>
        <v>SAÍDA</v>
      </c>
      <c r="C6364" t="str">
        <f t="shared" si="1154"/>
        <v>PIX</v>
      </c>
      <c r="D6364" t="str">
        <f>"22966"</f>
        <v>22966</v>
      </c>
      <c r="E6364" t="str">
        <f t="shared" si="1156"/>
        <v>1</v>
      </c>
      <c r="F6364" t="str">
        <f t="shared" si="1151"/>
        <v>COM</v>
      </c>
      <c r="G6364" t="str">
        <f>"LEVERCI DA SILVA COURA (138)"</f>
        <v>LEVERCI DA SILVA COURA (138)</v>
      </c>
      <c r="H6364" t="str">
        <f>"Serv.Prest. 26/09/2025 a 05/10/2025 - PIX: CELULAR - CHAVE: (31) 99850-4727"</f>
        <v>Serv.Prest. 26/09/2025 a 05/10/2025 - PIX: CELULAR - CHAVE: (31) 99850-4727</v>
      </c>
      <c r="I6364" t="str">
        <f t="shared" si="1155"/>
        <v>16/10/2025</v>
      </c>
      <c r="J6364" t="str">
        <f t="shared" si="1157"/>
        <v>07/10/2025</v>
      </c>
      <c r="K6364" t="str">
        <f>("16/10/2025")</f>
        <v>16/10/2025</v>
      </c>
      <c r="L6364">
        <v>1182</v>
      </c>
      <c r="M6364">
        <v>1182</v>
      </c>
      <c r="N6364">
        <v>109</v>
      </c>
      <c r="O6364" t="str">
        <f>"PAGAMENTO DE ENTREGADORES"</f>
        <v>PAGAMENTO DE ENTREGADORES</v>
      </c>
      <c r="P6364">
        <v>1182</v>
      </c>
      <c r="S6364" t="str">
        <f>"BANCO C6 (149)"</f>
        <v>BANCO C6 (149)</v>
      </c>
      <c r="T6364">
        <v>19705</v>
      </c>
      <c r="U6364">
        <v>22966</v>
      </c>
      <c r="V6364" t="s">
        <v>77</v>
      </c>
    </row>
    <row r="6365" spans="1:22">
      <c r="A6365" t="str">
        <f t="shared" si="1152"/>
        <v>16/10/2025</v>
      </c>
      <c r="B6365" t="str">
        <f t="shared" si="1153"/>
        <v>SAÍDA</v>
      </c>
      <c r="C6365" t="str">
        <f t="shared" si="1154"/>
        <v>PIX</v>
      </c>
      <c r="D6365" t="str">
        <f>"22966"</f>
        <v>22966</v>
      </c>
      <c r="E6365" t="str">
        <f t="shared" si="1156"/>
        <v>1</v>
      </c>
      <c r="F6365" t="str">
        <f t="shared" si="1151"/>
        <v>COM</v>
      </c>
      <c r="G6365" t="str">
        <f>"LEVERCI DA SILVA COURA (138)"</f>
        <v>LEVERCI DA SILVA COURA (138)</v>
      </c>
      <c r="H6365" t="s">
        <v>1715</v>
      </c>
      <c r="I6365" t="str">
        <f t="shared" si="1155"/>
        <v>16/10/2025</v>
      </c>
      <c r="J6365" t="str">
        <f t="shared" si="1157"/>
        <v>07/10/2025</v>
      </c>
      <c r="K6365">
        <v>45946</v>
      </c>
      <c r="N6365">
        <v>109</v>
      </c>
      <c r="O6365" t="s">
        <v>24</v>
      </c>
      <c r="Q6365">
        <v>1182</v>
      </c>
      <c r="R6365" t="str">
        <f>"FARMÁCIA INDIANA LJ 18 (10011)"</f>
        <v>FARMÁCIA INDIANA LJ 18 (10011)</v>
      </c>
      <c r="S6365" t="s">
        <v>77</v>
      </c>
      <c r="T6365">
        <v>19705</v>
      </c>
      <c r="U6365">
        <v>22966</v>
      </c>
      <c r="V6365" t="s">
        <v>77</v>
      </c>
    </row>
    <row r="6366" spans="1:22">
      <c r="A6366" t="str">
        <f t="shared" si="1152"/>
        <v>16/10/2025</v>
      </c>
      <c r="B6366" t="str">
        <f t="shared" si="1153"/>
        <v>SAÍDA</v>
      </c>
      <c r="C6366" t="str">
        <f t="shared" si="1154"/>
        <v>PIX</v>
      </c>
      <c r="D6366" t="str">
        <f>"22967"</f>
        <v>22967</v>
      </c>
      <c r="E6366" t="str">
        <f t="shared" si="1156"/>
        <v>1</v>
      </c>
      <c r="F6366" t="str">
        <f t="shared" si="1151"/>
        <v>COM</v>
      </c>
      <c r="G6366" t="str">
        <f>"LUAN DOS SANTOS NUNES (719)"</f>
        <v>LUAN DOS SANTOS NUNES (719)</v>
      </c>
      <c r="H6366" t="str">
        <f>"Serv.Prest. 26/09/2025 a 05/10/2025 - PIX: CELULAR - CHAVE: (33) 98749-4693"</f>
        <v>Serv.Prest. 26/09/2025 a 05/10/2025 - PIX: CELULAR - CHAVE: (33) 98749-4693</v>
      </c>
      <c r="I6366" t="str">
        <f t="shared" si="1155"/>
        <v>16/10/2025</v>
      </c>
      <c r="J6366" t="str">
        <f t="shared" si="1157"/>
        <v>07/10/2025</v>
      </c>
      <c r="K6366" t="str">
        <f>("16/10/2025")</f>
        <v>16/10/2025</v>
      </c>
      <c r="L6366">
        <v>3272.5</v>
      </c>
      <c r="M6366">
        <v>3272.5</v>
      </c>
      <c r="N6366">
        <v>109</v>
      </c>
      <c r="O6366" t="str">
        <f>"PAGAMENTO DE ENTREGADORES"</f>
        <v>PAGAMENTO DE ENTREGADORES</v>
      </c>
      <c r="P6366">
        <v>3272.5</v>
      </c>
      <c r="S6366" t="str">
        <f>"BANCO C6 (149)"</f>
        <v>BANCO C6 (149)</v>
      </c>
      <c r="T6366">
        <v>19706</v>
      </c>
      <c r="U6366">
        <v>22967</v>
      </c>
      <c r="V6366" t="s">
        <v>77</v>
      </c>
    </row>
    <row r="6367" spans="1:22">
      <c r="A6367" t="str">
        <f t="shared" si="1152"/>
        <v>16/10/2025</v>
      </c>
      <c r="B6367" t="str">
        <f t="shared" si="1153"/>
        <v>SAÍDA</v>
      </c>
      <c r="C6367" t="str">
        <f t="shared" si="1154"/>
        <v>PIX</v>
      </c>
      <c r="D6367" t="str">
        <f>"22967"</f>
        <v>22967</v>
      </c>
      <c r="E6367" t="str">
        <f t="shared" si="1156"/>
        <v>1</v>
      </c>
      <c r="F6367" t="str">
        <f t="shared" si="1151"/>
        <v>COM</v>
      </c>
      <c r="G6367" t="str">
        <f>"LUAN DOS SANTOS NUNES (719)"</f>
        <v>LUAN DOS SANTOS NUNES (719)</v>
      </c>
      <c r="H6367" t="s">
        <v>1716</v>
      </c>
      <c r="I6367" t="str">
        <f t="shared" si="1155"/>
        <v>16/10/2025</v>
      </c>
      <c r="J6367" t="str">
        <f t="shared" si="1157"/>
        <v>07/10/2025</v>
      </c>
      <c r="K6367">
        <v>45946</v>
      </c>
      <c r="N6367">
        <v>109</v>
      </c>
      <c r="O6367" t="s">
        <v>24</v>
      </c>
      <c r="Q6367">
        <v>1375.1</v>
      </c>
      <c r="R6367" t="str">
        <f>"FARMÁCIA INDIANA LJ 40 (10016)"</f>
        <v>FARMÁCIA INDIANA LJ 40 (10016)</v>
      </c>
      <c r="S6367" t="s">
        <v>77</v>
      </c>
      <c r="T6367">
        <v>19706</v>
      </c>
      <c r="U6367">
        <v>22967</v>
      </c>
      <c r="V6367" t="s">
        <v>77</v>
      </c>
    </row>
    <row r="6368" spans="1:22">
      <c r="A6368" t="str">
        <f t="shared" si="1152"/>
        <v>16/10/2025</v>
      </c>
      <c r="B6368" t="str">
        <f t="shared" si="1153"/>
        <v>SAÍDA</v>
      </c>
      <c r="C6368" t="str">
        <f t="shared" si="1154"/>
        <v>PIX</v>
      </c>
      <c r="D6368" t="str">
        <f>"22967"</f>
        <v>22967</v>
      </c>
      <c r="E6368" t="str">
        <f t="shared" si="1156"/>
        <v>1</v>
      </c>
      <c r="F6368" t="str">
        <f t="shared" si="1151"/>
        <v>COM</v>
      </c>
      <c r="G6368" t="str">
        <f>"LUAN DOS SANTOS NUNES (719)"</f>
        <v>LUAN DOS SANTOS NUNES (719)</v>
      </c>
      <c r="H6368" t="s">
        <v>1716</v>
      </c>
      <c r="I6368" t="str">
        <f t="shared" si="1155"/>
        <v>16/10/2025</v>
      </c>
      <c r="J6368" t="str">
        <f t="shared" si="1157"/>
        <v>07/10/2025</v>
      </c>
      <c r="K6368">
        <v>45946</v>
      </c>
      <c r="N6368">
        <v>109</v>
      </c>
      <c r="O6368" t="s">
        <v>24</v>
      </c>
      <c r="Q6368">
        <v>1897.4</v>
      </c>
      <c r="R6368" t="str">
        <f>"FARMÁCIA INDIANA LJ 61 (10027)"</f>
        <v>FARMÁCIA INDIANA LJ 61 (10027)</v>
      </c>
      <c r="S6368" t="s">
        <v>77</v>
      </c>
      <c r="T6368">
        <v>19706</v>
      </c>
      <c r="U6368">
        <v>22967</v>
      </c>
      <c r="V6368" t="s">
        <v>77</v>
      </c>
    </row>
    <row r="6369" spans="1:22">
      <c r="A6369" t="str">
        <f t="shared" si="1152"/>
        <v>16/10/2025</v>
      </c>
      <c r="B6369" t="str">
        <f t="shared" si="1153"/>
        <v>SAÍDA</v>
      </c>
      <c r="C6369" t="str">
        <f t="shared" si="1154"/>
        <v>PIX</v>
      </c>
      <c r="D6369" t="str">
        <f>"22968"</f>
        <v>22968</v>
      </c>
      <c r="E6369" t="str">
        <f t="shared" si="1156"/>
        <v>1</v>
      </c>
      <c r="F6369" t="str">
        <f t="shared" si="1151"/>
        <v>COM</v>
      </c>
      <c r="G6369" t="str">
        <f>"LUAN VICTOR SERQUEIRA DA SILVA (577)"</f>
        <v>LUAN VICTOR SERQUEIRA DA SILVA (577)</v>
      </c>
      <c r="H6369" t="str">
        <f>"Serv.Prest. 26/09/2025 a 05/10/2025 - PIX: CPF - CHAVE: 161.508.516-56"</f>
        <v>Serv.Prest. 26/09/2025 a 05/10/2025 - PIX: CPF - CHAVE: 161.508.516-56</v>
      </c>
      <c r="I6369" t="str">
        <f t="shared" si="1155"/>
        <v>16/10/2025</v>
      </c>
      <c r="J6369" t="str">
        <f t="shared" si="1157"/>
        <v>07/10/2025</v>
      </c>
      <c r="K6369" t="str">
        <f>("16/10/2025")</f>
        <v>16/10/2025</v>
      </c>
      <c r="L6369">
        <v>698.5</v>
      </c>
      <c r="M6369">
        <v>700</v>
      </c>
      <c r="N6369">
        <v>109</v>
      </c>
      <c r="O6369" t="str">
        <f>"PAGAMENTO DE ENTREGADORES"</f>
        <v>PAGAMENTO DE ENTREGADORES</v>
      </c>
      <c r="P6369">
        <v>700</v>
      </c>
      <c r="S6369" t="str">
        <f>"BANCO C6 (149)"</f>
        <v>BANCO C6 (149)</v>
      </c>
      <c r="T6369">
        <v>19707</v>
      </c>
      <c r="U6369">
        <v>22968</v>
      </c>
      <c r="V6369" t="s">
        <v>77</v>
      </c>
    </row>
    <row r="6370" spans="1:22">
      <c r="A6370" t="str">
        <f t="shared" si="1152"/>
        <v>16/10/2025</v>
      </c>
      <c r="B6370" t="str">
        <f t="shared" si="1153"/>
        <v>SAÍDA</v>
      </c>
      <c r="C6370" t="str">
        <f t="shared" si="1154"/>
        <v>PIX</v>
      </c>
      <c r="D6370" t="str">
        <f>"22968"</f>
        <v>22968</v>
      </c>
      <c r="E6370" t="str">
        <f t="shared" si="1156"/>
        <v>1</v>
      </c>
      <c r="F6370" t="str">
        <f t="shared" si="1151"/>
        <v>COM</v>
      </c>
      <c r="G6370" t="str">
        <f>"LUAN VICTOR SERQUEIRA DA SILVA (577)"</f>
        <v>LUAN VICTOR SERQUEIRA DA SILVA (577)</v>
      </c>
      <c r="H6370" t="s">
        <v>1717</v>
      </c>
      <c r="I6370" t="str">
        <f t="shared" si="1155"/>
        <v>16/10/2025</v>
      </c>
      <c r="J6370" t="str">
        <f t="shared" si="1157"/>
        <v>07/10/2025</v>
      </c>
      <c r="K6370">
        <v>45946</v>
      </c>
      <c r="N6370">
        <v>109</v>
      </c>
      <c r="O6370" t="s">
        <v>24</v>
      </c>
      <c r="Q6370">
        <v>700</v>
      </c>
      <c r="R6370" t="str">
        <f>"FARMÁCIA INDIANA LJ 202 (10085)"</f>
        <v>FARMÁCIA INDIANA LJ 202 (10085)</v>
      </c>
      <c r="S6370" t="s">
        <v>77</v>
      </c>
      <c r="T6370">
        <v>19707</v>
      </c>
      <c r="U6370">
        <v>22968</v>
      </c>
      <c r="V6370" t="s">
        <v>77</v>
      </c>
    </row>
    <row r="6371" spans="1:22">
      <c r="A6371" t="str">
        <f t="shared" si="1152"/>
        <v>16/10/2025</v>
      </c>
      <c r="B6371" t="str">
        <f t="shared" si="1153"/>
        <v>SAÍDA</v>
      </c>
      <c r="C6371" t="str">
        <f t="shared" si="1154"/>
        <v>PIX</v>
      </c>
      <c r="D6371" t="str">
        <f>"22969"</f>
        <v>22969</v>
      </c>
      <c r="E6371" t="str">
        <f t="shared" si="1156"/>
        <v>1</v>
      </c>
      <c r="F6371" t="str">
        <f t="shared" si="1151"/>
        <v>COM</v>
      </c>
      <c r="G6371" t="str">
        <f>"LUCAS FERREIRA DOS SANTOS (868)"</f>
        <v>LUCAS FERREIRA DOS SANTOS (868)</v>
      </c>
      <c r="H6371" t="str">
        <f>"Serv.Prest. 26/09/2025 a 05/10/2025 - PIX: CELULAR - CHAVE: (33) 99172-0627"</f>
        <v>Serv.Prest. 26/09/2025 a 05/10/2025 - PIX: CELULAR - CHAVE: (33) 99172-0627</v>
      </c>
      <c r="I6371" t="str">
        <f t="shared" si="1155"/>
        <v>16/10/2025</v>
      </c>
      <c r="J6371" t="str">
        <f t="shared" si="1157"/>
        <v>07/10/2025</v>
      </c>
      <c r="K6371" t="str">
        <f>("16/10/2025")</f>
        <v>16/10/2025</v>
      </c>
      <c r="L6371">
        <v>1620</v>
      </c>
      <c r="M6371">
        <v>1620</v>
      </c>
      <c r="N6371">
        <v>109</v>
      </c>
      <c r="O6371" t="str">
        <f>"PAGAMENTO DE ENTREGADORES"</f>
        <v>PAGAMENTO DE ENTREGADORES</v>
      </c>
      <c r="P6371">
        <v>1620</v>
      </c>
      <c r="S6371" t="str">
        <f>"BANCO C6 (149)"</f>
        <v>BANCO C6 (149)</v>
      </c>
      <c r="T6371">
        <v>19708</v>
      </c>
      <c r="U6371">
        <v>22969</v>
      </c>
      <c r="V6371" t="s">
        <v>77</v>
      </c>
    </row>
    <row r="6372" spans="1:22">
      <c r="A6372" t="str">
        <f t="shared" si="1152"/>
        <v>16/10/2025</v>
      </c>
      <c r="B6372" t="str">
        <f t="shared" si="1153"/>
        <v>SAÍDA</v>
      </c>
      <c r="C6372" t="str">
        <f t="shared" si="1154"/>
        <v>PIX</v>
      </c>
      <c r="D6372" t="str">
        <f>"22969"</f>
        <v>22969</v>
      </c>
      <c r="E6372" t="str">
        <f t="shared" si="1156"/>
        <v>1</v>
      </c>
      <c r="F6372" t="str">
        <f t="shared" si="1151"/>
        <v>COM</v>
      </c>
      <c r="G6372" t="str">
        <f>"LUCAS FERREIRA DOS SANTOS (868)"</f>
        <v>LUCAS FERREIRA DOS SANTOS (868)</v>
      </c>
      <c r="H6372" t="s">
        <v>1718</v>
      </c>
      <c r="I6372" t="str">
        <f t="shared" si="1155"/>
        <v>16/10/2025</v>
      </c>
      <c r="J6372" t="str">
        <f t="shared" si="1157"/>
        <v>07/10/2025</v>
      </c>
      <c r="K6372">
        <v>45946</v>
      </c>
      <c r="N6372">
        <v>109</v>
      </c>
      <c r="O6372" t="s">
        <v>24</v>
      </c>
      <c r="Q6372">
        <v>1620</v>
      </c>
      <c r="R6372" t="str">
        <f>"FARMÁCIA INDIANA LJ 06 (10006)"</f>
        <v>FARMÁCIA INDIANA LJ 06 (10006)</v>
      </c>
      <c r="S6372" t="s">
        <v>77</v>
      </c>
      <c r="T6372">
        <v>19708</v>
      </c>
      <c r="U6372">
        <v>22969</v>
      </c>
      <c r="V6372" t="s">
        <v>77</v>
      </c>
    </row>
    <row r="6373" spans="1:22">
      <c r="A6373" t="str">
        <f t="shared" si="1152"/>
        <v>16/10/2025</v>
      </c>
      <c r="B6373" t="str">
        <f t="shared" si="1153"/>
        <v>SAÍDA</v>
      </c>
      <c r="C6373" t="str">
        <f t="shared" si="1154"/>
        <v>PIX</v>
      </c>
      <c r="D6373" t="str">
        <f>"22970"</f>
        <v>22970</v>
      </c>
      <c r="E6373" t="str">
        <f t="shared" si="1156"/>
        <v>1</v>
      </c>
      <c r="F6373" t="str">
        <f t="shared" si="1151"/>
        <v>COM</v>
      </c>
      <c r="G6373" t="str">
        <f>"LUIZ ALVES MARTINS (40)"</f>
        <v>LUIZ ALVES MARTINS (40)</v>
      </c>
      <c r="H6373" t="str">
        <f>"Serv.Prest. 26/09/2025 a 05/10/2025 - PIX: CELULAR - CHAVE: (33) 99981-6650"</f>
        <v>Serv.Prest. 26/09/2025 a 05/10/2025 - PIX: CELULAR - CHAVE: (33) 99981-6650</v>
      </c>
      <c r="I6373" t="str">
        <f t="shared" si="1155"/>
        <v>16/10/2025</v>
      </c>
      <c r="J6373" t="str">
        <f t="shared" si="1157"/>
        <v>07/10/2025</v>
      </c>
      <c r="K6373" t="str">
        <f>("16/10/2025")</f>
        <v>16/10/2025</v>
      </c>
      <c r="L6373">
        <v>1464</v>
      </c>
      <c r="M6373">
        <v>1464</v>
      </c>
      <c r="N6373">
        <v>109</v>
      </c>
      <c r="O6373" t="str">
        <f>"PAGAMENTO DE ENTREGADORES"</f>
        <v>PAGAMENTO DE ENTREGADORES</v>
      </c>
      <c r="P6373">
        <v>1464</v>
      </c>
      <c r="S6373" t="str">
        <f>"BANCO C6 (149)"</f>
        <v>BANCO C6 (149)</v>
      </c>
      <c r="T6373">
        <v>19709</v>
      </c>
      <c r="U6373">
        <v>22970</v>
      </c>
      <c r="V6373" t="s">
        <v>77</v>
      </c>
    </row>
    <row r="6374" spans="1:22">
      <c r="A6374" t="str">
        <f t="shared" si="1152"/>
        <v>16/10/2025</v>
      </c>
      <c r="B6374" t="str">
        <f t="shared" si="1153"/>
        <v>SAÍDA</v>
      </c>
      <c r="C6374" t="str">
        <f t="shared" si="1154"/>
        <v>PIX</v>
      </c>
      <c r="D6374" t="str">
        <f>"22970"</f>
        <v>22970</v>
      </c>
      <c r="E6374" t="str">
        <f t="shared" si="1156"/>
        <v>1</v>
      </c>
      <c r="F6374" t="str">
        <f t="shared" si="1151"/>
        <v>COM</v>
      </c>
      <c r="G6374" t="str">
        <f>"LUIZ ALVES MARTINS (40)"</f>
        <v>LUIZ ALVES MARTINS (40)</v>
      </c>
      <c r="H6374" t="s">
        <v>1719</v>
      </c>
      <c r="I6374" t="str">
        <f t="shared" si="1155"/>
        <v>16/10/2025</v>
      </c>
      <c r="J6374" t="str">
        <f t="shared" si="1157"/>
        <v>07/10/2025</v>
      </c>
      <c r="K6374">
        <v>45946</v>
      </c>
      <c r="N6374">
        <v>109</v>
      </c>
      <c r="O6374" t="s">
        <v>24</v>
      </c>
      <c r="Q6374">
        <v>1452</v>
      </c>
      <c r="R6374" t="str">
        <f>"FARMÁCIA INDIANA LJ 11 (10008)"</f>
        <v>FARMÁCIA INDIANA LJ 11 (10008)</v>
      </c>
      <c r="S6374" t="s">
        <v>77</v>
      </c>
      <c r="T6374">
        <v>19709</v>
      </c>
      <c r="U6374">
        <v>22970</v>
      </c>
      <c r="V6374" t="s">
        <v>77</v>
      </c>
    </row>
    <row r="6375" spans="1:22">
      <c r="A6375" t="str">
        <f t="shared" si="1152"/>
        <v>16/10/2025</v>
      </c>
      <c r="B6375" t="str">
        <f t="shared" si="1153"/>
        <v>SAÍDA</v>
      </c>
      <c r="C6375" t="str">
        <f t="shared" si="1154"/>
        <v>PIX</v>
      </c>
      <c r="D6375" t="str">
        <f>"22970"</f>
        <v>22970</v>
      </c>
      <c r="E6375" t="str">
        <f t="shared" si="1156"/>
        <v>1</v>
      </c>
      <c r="F6375" t="str">
        <f t="shared" si="1151"/>
        <v>COM</v>
      </c>
      <c r="G6375" t="str">
        <f>"LUIZ ALVES MARTINS (40)"</f>
        <v>LUIZ ALVES MARTINS (40)</v>
      </c>
      <c r="H6375" t="s">
        <v>1719</v>
      </c>
      <c r="I6375" t="str">
        <f t="shared" si="1155"/>
        <v>16/10/2025</v>
      </c>
      <c r="J6375" t="str">
        <f t="shared" si="1157"/>
        <v>07/10/2025</v>
      </c>
      <c r="K6375">
        <v>45946</v>
      </c>
      <c r="N6375">
        <v>109</v>
      </c>
      <c r="O6375" t="s">
        <v>24</v>
      </c>
      <c r="Q6375">
        <v>12</v>
      </c>
      <c r="R6375" t="str">
        <f>"FARMÁCIA INDIANA LJ 172 (10161)"</f>
        <v>FARMÁCIA INDIANA LJ 172 (10161)</v>
      </c>
      <c r="S6375" t="s">
        <v>77</v>
      </c>
      <c r="T6375">
        <v>19709</v>
      </c>
      <c r="U6375">
        <v>22970</v>
      </c>
      <c r="V6375" t="s">
        <v>77</v>
      </c>
    </row>
    <row r="6376" spans="1:22">
      <c r="A6376" t="str">
        <f t="shared" si="1152"/>
        <v>16/10/2025</v>
      </c>
      <c r="B6376" t="str">
        <f t="shared" si="1153"/>
        <v>SAÍDA</v>
      </c>
      <c r="C6376" t="str">
        <f t="shared" si="1154"/>
        <v>PIX</v>
      </c>
      <c r="D6376" t="str">
        <f>"22971"</f>
        <v>22971</v>
      </c>
      <c r="E6376" t="str">
        <f t="shared" si="1156"/>
        <v>1</v>
      </c>
      <c r="F6376" t="str">
        <f t="shared" si="1151"/>
        <v>COM</v>
      </c>
      <c r="G6376" t="str">
        <f>"LUIZ EDUARDO VIANA BRITO (878)"</f>
        <v>LUIZ EDUARDO VIANA BRITO (878)</v>
      </c>
      <c r="H6376" t="str">
        <f>"Serv.Prest. 26/09/2025 a 05/10/2025 - PIX: CPF - CHAVE: 101.220.976-88"</f>
        <v>Serv.Prest. 26/09/2025 a 05/10/2025 - PIX: CPF - CHAVE: 101.220.976-88</v>
      </c>
      <c r="I6376" t="str">
        <f t="shared" si="1155"/>
        <v>16/10/2025</v>
      </c>
      <c r="J6376" t="str">
        <f t="shared" si="1157"/>
        <v>07/10/2025</v>
      </c>
      <c r="K6376" t="str">
        <f>("16/10/2025")</f>
        <v>16/10/2025</v>
      </c>
      <c r="L6376">
        <v>2271.5</v>
      </c>
      <c r="M6376">
        <v>2271.5</v>
      </c>
      <c r="N6376">
        <v>109</v>
      </c>
      <c r="O6376" t="str">
        <f>"PAGAMENTO DE ENTREGADORES"</f>
        <v>PAGAMENTO DE ENTREGADORES</v>
      </c>
      <c r="P6376">
        <v>2271.5</v>
      </c>
      <c r="S6376" t="str">
        <f>"BANCO C6 (149)"</f>
        <v>BANCO C6 (149)</v>
      </c>
      <c r="T6376">
        <v>19710</v>
      </c>
      <c r="U6376">
        <v>22971</v>
      </c>
      <c r="V6376" t="s">
        <v>77</v>
      </c>
    </row>
    <row r="6377" spans="1:22">
      <c r="A6377" t="str">
        <f t="shared" si="1152"/>
        <v>16/10/2025</v>
      </c>
      <c r="B6377" t="str">
        <f t="shared" si="1153"/>
        <v>SAÍDA</v>
      </c>
      <c r="C6377" t="str">
        <f t="shared" si="1154"/>
        <v>PIX</v>
      </c>
      <c r="D6377" t="str">
        <f>"22971"</f>
        <v>22971</v>
      </c>
      <c r="E6377" t="str">
        <f t="shared" si="1156"/>
        <v>1</v>
      </c>
      <c r="F6377" t="str">
        <f t="shared" si="1151"/>
        <v>COM</v>
      </c>
      <c r="G6377" t="str">
        <f>"LUIZ EDUARDO VIANA BRITO (878)"</f>
        <v>LUIZ EDUARDO VIANA BRITO (878)</v>
      </c>
      <c r="H6377" t="s">
        <v>1720</v>
      </c>
      <c r="I6377" t="str">
        <f t="shared" si="1155"/>
        <v>16/10/2025</v>
      </c>
      <c r="J6377" t="str">
        <f t="shared" si="1157"/>
        <v>07/10/2025</v>
      </c>
      <c r="K6377">
        <v>45946</v>
      </c>
      <c r="N6377">
        <v>109</v>
      </c>
      <c r="O6377" t="s">
        <v>24</v>
      </c>
      <c r="Q6377">
        <v>2271.5</v>
      </c>
      <c r="R6377" t="str">
        <f>"FARMÁCIA INDIANA LJ 40 (10016)"</f>
        <v>FARMÁCIA INDIANA LJ 40 (10016)</v>
      </c>
      <c r="S6377" t="s">
        <v>77</v>
      </c>
      <c r="T6377">
        <v>19710</v>
      </c>
      <c r="U6377">
        <v>22971</v>
      </c>
      <c r="V6377" t="s">
        <v>77</v>
      </c>
    </row>
    <row r="6378" spans="1:22">
      <c r="A6378" t="str">
        <f t="shared" si="1152"/>
        <v>16/10/2025</v>
      </c>
      <c r="B6378" t="str">
        <f t="shared" si="1153"/>
        <v>SAÍDA</v>
      </c>
      <c r="C6378" t="str">
        <f t="shared" si="1154"/>
        <v>PIX</v>
      </c>
      <c r="D6378" t="str">
        <f>"22972"</f>
        <v>22972</v>
      </c>
      <c r="E6378" t="str">
        <f t="shared" si="1156"/>
        <v>1</v>
      </c>
      <c r="F6378" t="str">
        <f t="shared" ref="F6378:F6441" si="1158">"COM"</f>
        <v>COM</v>
      </c>
      <c r="G6378" t="str">
        <f>"LUIZ EMANUEL PINHEIRO (870)"</f>
        <v>LUIZ EMANUEL PINHEIRO (870)</v>
      </c>
      <c r="H6378" t="str">
        <f>"Serv.Prest. 26/09/2025 a 05/10/2025 - PIX: CPF - CHAVE: 129.269.326-69"</f>
        <v>Serv.Prest. 26/09/2025 a 05/10/2025 - PIX: CPF - CHAVE: 129.269.326-69</v>
      </c>
      <c r="I6378" t="str">
        <f t="shared" si="1155"/>
        <v>16/10/2025</v>
      </c>
      <c r="J6378" t="str">
        <f t="shared" si="1157"/>
        <v>07/10/2025</v>
      </c>
      <c r="K6378" t="str">
        <f>("16/10/2025")</f>
        <v>16/10/2025</v>
      </c>
      <c r="L6378">
        <v>700.8</v>
      </c>
      <c r="M6378">
        <v>700.8</v>
      </c>
      <c r="N6378">
        <v>109</v>
      </c>
      <c r="O6378" t="str">
        <f>"PAGAMENTO DE ENTREGADORES"</f>
        <v>PAGAMENTO DE ENTREGADORES</v>
      </c>
      <c r="P6378">
        <v>700.8</v>
      </c>
      <c r="S6378" t="str">
        <f>"BANCO C6 (149)"</f>
        <v>BANCO C6 (149)</v>
      </c>
      <c r="T6378">
        <v>19711</v>
      </c>
      <c r="U6378">
        <v>22972</v>
      </c>
      <c r="V6378" t="s">
        <v>77</v>
      </c>
    </row>
    <row r="6379" spans="1:22">
      <c r="A6379" t="str">
        <f t="shared" si="1152"/>
        <v>16/10/2025</v>
      </c>
      <c r="B6379" t="str">
        <f t="shared" si="1153"/>
        <v>SAÍDA</v>
      </c>
      <c r="C6379" t="str">
        <f t="shared" si="1154"/>
        <v>PIX</v>
      </c>
      <c r="D6379" t="str">
        <f>"22972"</f>
        <v>22972</v>
      </c>
      <c r="E6379" t="str">
        <f t="shared" si="1156"/>
        <v>1</v>
      </c>
      <c r="F6379" t="str">
        <f t="shared" si="1158"/>
        <v>COM</v>
      </c>
      <c r="G6379" t="str">
        <f>"LUIZ EMANUEL PINHEIRO (870)"</f>
        <v>LUIZ EMANUEL PINHEIRO (870)</v>
      </c>
      <c r="H6379" t="s">
        <v>1721</v>
      </c>
      <c r="I6379" t="str">
        <f t="shared" si="1155"/>
        <v>16/10/2025</v>
      </c>
      <c r="J6379" t="str">
        <f t="shared" si="1157"/>
        <v>07/10/2025</v>
      </c>
      <c r="K6379">
        <v>45946</v>
      </c>
      <c r="N6379">
        <v>109</v>
      </c>
      <c r="O6379" t="s">
        <v>24</v>
      </c>
      <c r="Q6379">
        <v>186.27</v>
      </c>
      <c r="R6379" t="str">
        <f>"FARMÁCIA INDIANA LJ 112 (10050)"</f>
        <v>FARMÁCIA INDIANA LJ 112 (10050)</v>
      </c>
      <c r="S6379" t="s">
        <v>77</v>
      </c>
      <c r="T6379">
        <v>19711</v>
      </c>
      <c r="U6379">
        <v>22972</v>
      </c>
      <c r="V6379" t="s">
        <v>77</v>
      </c>
    </row>
    <row r="6380" spans="1:22">
      <c r="A6380" t="str">
        <f t="shared" si="1152"/>
        <v>16/10/2025</v>
      </c>
      <c r="B6380" t="str">
        <f t="shared" si="1153"/>
        <v>SAÍDA</v>
      </c>
      <c r="C6380" t="str">
        <f t="shared" si="1154"/>
        <v>PIX</v>
      </c>
      <c r="D6380" t="str">
        <f>"22972"</f>
        <v>22972</v>
      </c>
      <c r="E6380" t="str">
        <f t="shared" si="1156"/>
        <v>1</v>
      </c>
      <c r="F6380" t="str">
        <f t="shared" si="1158"/>
        <v>COM</v>
      </c>
      <c r="G6380" t="str">
        <f>"LUIZ EMANUEL PINHEIRO (870)"</f>
        <v>LUIZ EMANUEL PINHEIRO (870)</v>
      </c>
      <c r="H6380" t="s">
        <v>1721</v>
      </c>
      <c r="I6380" t="str">
        <f t="shared" si="1155"/>
        <v>16/10/2025</v>
      </c>
      <c r="J6380" t="str">
        <f t="shared" si="1157"/>
        <v>07/10/2025</v>
      </c>
      <c r="K6380">
        <v>45946</v>
      </c>
      <c r="N6380">
        <v>109</v>
      </c>
      <c r="O6380" t="s">
        <v>24</v>
      </c>
      <c r="Q6380">
        <v>35.46</v>
      </c>
      <c r="R6380" t="str">
        <f>"FARMÁCIA INDIANA LJ 121 (10054)"</f>
        <v>FARMÁCIA INDIANA LJ 121 (10054)</v>
      </c>
      <c r="S6380" t="s">
        <v>77</v>
      </c>
      <c r="T6380">
        <v>19711</v>
      </c>
      <c r="U6380">
        <v>22972</v>
      </c>
      <c r="V6380" t="s">
        <v>77</v>
      </c>
    </row>
    <row r="6381" spans="1:22">
      <c r="A6381" t="str">
        <f t="shared" si="1152"/>
        <v>16/10/2025</v>
      </c>
      <c r="B6381" t="str">
        <f t="shared" si="1153"/>
        <v>SAÍDA</v>
      </c>
      <c r="C6381" t="str">
        <f t="shared" si="1154"/>
        <v>PIX</v>
      </c>
      <c r="D6381" t="str">
        <f>"22972"</f>
        <v>22972</v>
      </c>
      <c r="E6381" t="str">
        <f t="shared" si="1156"/>
        <v>1</v>
      </c>
      <c r="F6381" t="str">
        <f t="shared" si="1158"/>
        <v>COM</v>
      </c>
      <c r="G6381" t="str">
        <f>"LUIZ EMANUEL PINHEIRO (870)"</f>
        <v>LUIZ EMANUEL PINHEIRO (870)</v>
      </c>
      <c r="H6381" t="s">
        <v>1721</v>
      </c>
      <c r="I6381" t="str">
        <f t="shared" si="1155"/>
        <v>16/10/2025</v>
      </c>
      <c r="J6381" t="str">
        <f t="shared" si="1157"/>
        <v>07/10/2025</v>
      </c>
      <c r="K6381">
        <v>45946</v>
      </c>
      <c r="N6381">
        <v>109</v>
      </c>
      <c r="O6381" t="s">
        <v>24</v>
      </c>
      <c r="Q6381">
        <v>479.07</v>
      </c>
      <c r="R6381" t="str">
        <f>"FARMÁCIA INDIANA LJ 128 (10057)"</f>
        <v>FARMÁCIA INDIANA LJ 128 (10057)</v>
      </c>
      <c r="S6381" t="s">
        <v>77</v>
      </c>
      <c r="T6381">
        <v>19711</v>
      </c>
      <c r="U6381">
        <v>22972</v>
      </c>
      <c r="V6381" t="s">
        <v>77</v>
      </c>
    </row>
    <row r="6382" spans="1:22">
      <c r="A6382" t="str">
        <f t="shared" si="1152"/>
        <v>16/10/2025</v>
      </c>
      <c r="B6382" t="str">
        <f t="shared" si="1153"/>
        <v>SAÍDA</v>
      </c>
      <c r="C6382" t="str">
        <f t="shared" si="1154"/>
        <v>PIX</v>
      </c>
      <c r="D6382" t="str">
        <f>"22973"</f>
        <v>22973</v>
      </c>
      <c r="E6382" t="str">
        <f t="shared" si="1156"/>
        <v>1</v>
      </c>
      <c r="F6382" t="str">
        <f t="shared" si="1158"/>
        <v>COM</v>
      </c>
      <c r="G6382" t="str">
        <f>"LUIZ FERNANDO CARVALHO ALVES (198)"</f>
        <v>LUIZ FERNANDO CARVALHO ALVES (198)</v>
      </c>
      <c r="H6382" t="str">
        <f>"Serv.Prest. 26/09/2025 a 05/10/2025 - PIX: CPF - CHAVE: 705.097.186-39"</f>
        <v>Serv.Prest. 26/09/2025 a 05/10/2025 - PIX: CPF - CHAVE: 705.097.186-39</v>
      </c>
      <c r="I6382" t="str">
        <f t="shared" si="1155"/>
        <v>16/10/2025</v>
      </c>
      <c r="J6382" t="str">
        <f t="shared" si="1157"/>
        <v>07/10/2025</v>
      </c>
      <c r="K6382" t="str">
        <f>("16/10/2025")</f>
        <v>16/10/2025</v>
      </c>
      <c r="L6382">
        <v>750</v>
      </c>
      <c r="M6382">
        <v>750</v>
      </c>
      <c r="N6382">
        <v>109</v>
      </c>
      <c r="O6382" t="str">
        <f>"PAGAMENTO DE ENTREGADORES"</f>
        <v>PAGAMENTO DE ENTREGADORES</v>
      </c>
      <c r="P6382">
        <v>750</v>
      </c>
      <c r="S6382" t="str">
        <f>"BANCO C6 (149)"</f>
        <v>BANCO C6 (149)</v>
      </c>
      <c r="T6382">
        <v>19712</v>
      </c>
      <c r="U6382">
        <v>22973</v>
      </c>
      <c r="V6382" t="s">
        <v>77</v>
      </c>
    </row>
    <row r="6383" spans="1:22">
      <c r="A6383" t="str">
        <f t="shared" si="1152"/>
        <v>16/10/2025</v>
      </c>
      <c r="B6383" t="str">
        <f t="shared" si="1153"/>
        <v>SAÍDA</v>
      </c>
      <c r="C6383" t="str">
        <f t="shared" si="1154"/>
        <v>PIX</v>
      </c>
      <c r="D6383" t="str">
        <f>"22973"</f>
        <v>22973</v>
      </c>
      <c r="E6383" t="str">
        <f t="shared" si="1156"/>
        <v>1</v>
      </c>
      <c r="F6383" t="str">
        <f t="shared" si="1158"/>
        <v>COM</v>
      </c>
      <c r="G6383" t="str">
        <f>"LUIZ FERNANDO CARVALHO ALVES (198)"</f>
        <v>LUIZ FERNANDO CARVALHO ALVES (198)</v>
      </c>
      <c r="H6383" t="s">
        <v>1722</v>
      </c>
      <c r="I6383" t="str">
        <f t="shared" si="1155"/>
        <v>16/10/2025</v>
      </c>
      <c r="J6383" t="str">
        <f t="shared" si="1157"/>
        <v>07/10/2025</v>
      </c>
      <c r="K6383">
        <v>45946</v>
      </c>
      <c r="N6383">
        <v>109</v>
      </c>
      <c r="O6383" t="s">
        <v>24</v>
      </c>
      <c r="Q6383">
        <v>750</v>
      </c>
      <c r="R6383" t="str">
        <f>"FARMÁCIA INDIANA LJ 171 (10074)"</f>
        <v>FARMÁCIA INDIANA LJ 171 (10074)</v>
      </c>
      <c r="S6383" t="s">
        <v>77</v>
      </c>
      <c r="T6383">
        <v>19712</v>
      </c>
      <c r="U6383">
        <v>22973</v>
      </c>
      <c r="V6383" t="s">
        <v>77</v>
      </c>
    </row>
    <row r="6384" spans="1:22">
      <c r="A6384" t="str">
        <f t="shared" si="1152"/>
        <v>16/10/2025</v>
      </c>
      <c r="B6384" t="str">
        <f t="shared" si="1153"/>
        <v>SAÍDA</v>
      </c>
      <c r="C6384" t="str">
        <f t="shared" si="1154"/>
        <v>PIX</v>
      </c>
      <c r="D6384" t="str">
        <f>"22974"</f>
        <v>22974</v>
      </c>
      <c r="E6384" t="str">
        <f t="shared" si="1156"/>
        <v>1</v>
      </c>
      <c r="F6384" t="str">
        <f t="shared" si="1158"/>
        <v>COM</v>
      </c>
      <c r="G6384" t="str">
        <f>"MAICON HENRIQUE FERREIRA DOS SANTOS (759)"</f>
        <v>MAICON HENRIQUE FERREIRA DOS SANTOS (759)</v>
      </c>
      <c r="H6384" t="str">
        <f>"Serv.Prest. 26/09/2025 a 05/10/2025 - PIX: CELULAR - CHAVE: (31) 98412-5118"</f>
        <v>Serv.Prest. 26/09/2025 a 05/10/2025 - PIX: CELULAR - CHAVE: (31) 98412-5118</v>
      </c>
      <c r="I6384" t="str">
        <f t="shared" si="1155"/>
        <v>16/10/2025</v>
      </c>
      <c r="J6384" t="str">
        <f t="shared" si="1157"/>
        <v>07/10/2025</v>
      </c>
      <c r="K6384" t="str">
        <f>("16/10/2025")</f>
        <v>16/10/2025</v>
      </c>
      <c r="L6384">
        <v>1446</v>
      </c>
      <c r="M6384">
        <v>1446</v>
      </c>
      <c r="N6384">
        <v>109</v>
      </c>
      <c r="O6384" t="str">
        <f>"PAGAMENTO DE ENTREGADORES"</f>
        <v>PAGAMENTO DE ENTREGADORES</v>
      </c>
      <c r="P6384">
        <v>1446</v>
      </c>
      <c r="S6384" t="str">
        <f>"BANCO C6 (149)"</f>
        <v>BANCO C6 (149)</v>
      </c>
      <c r="T6384">
        <v>19713</v>
      </c>
      <c r="U6384">
        <v>22974</v>
      </c>
      <c r="V6384" t="s">
        <v>77</v>
      </c>
    </row>
    <row r="6385" spans="1:22">
      <c r="A6385" t="str">
        <f t="shared" si="1152"/>
        <v>16/10/2025</v>
      </c>
      <c r="B6385" t="str">
        <f t="shared" si="1153"/>
        <v>SAÍDA</v>
      </c>
      <c r="C6385" t="str">
        <f t="shared" si="1154"/>
        <v>PIX</v>
      </c>
      <c r="D6385" t="str">
        <f>"22974"</f>
        <v>22974</v>
      </c>
      <c r="E6385" t="str">
        <f t="shared" si="1156"/>
        <v>1</v>
      </c>
      <c r="F6385" t="str">
        <f t="shared" si="1158"/>
        <v>COM</v>
      </c>
      <c r="G6385" t="str">
        <f>"MAICON HENRIQUE FERREIRA DOS SANTOS (759)"</f>
        <v>MAICON HENRIQUE FERREIRA DOS SANTOS (759)</v>
      </c>
      <c r="H6385" t="s">
        <v>1723</v>
      </c>
      <c r="I6385" t="str">
        <f t="shared" si="1155"/>
        <v>16/10/2025</v>
      </c>
      <c r="J6385" t="str">
        <f t="shared" si="1157"/>
        <v>07/10/2025</v>
      </c>
      <c r="K6385">
        <v>45946</v>
      </c>
      <c r="N6385">
        <v>109</v>
      </c>
      <c r="O6385" t="s">
        <v>24</v>
      </c>
      <c r="Q6385">
        <v>1446</v>
      </c>
      <c r="R6385" t="str">
        <f>"FARMÁCIA INDIANA LJ 101 (10043)"</f>
        <v>FARMÁCIA INDIANA LJ 101 (10043)</v>
      </c>
      <c r="S6385" t="s">
        <v>77</v>
      </c>
      <c r="T6385">
        <v>19713</v>
      </c>
      <c r="U6385">
        <v>22974</v>
      </c>
      <c r="V6385" t="s">
        <v>77</v>
      </c>
    </row>
    <row r="6386" spans="1:22">
      <c r="A6386" t="str">
        <f t="shared" si="1152"/>
        <v>16/10/2025</v>
      </c>
      <c r="B6386" t="str">
        <f t="shared" si="1153"/>
        <v>SAÍDA</v>
      </c>
      <c r="C6386" t="str">
        <f t="shared" si="1154"/>
        <v>PIX</v>
      </c>
      <c r="D6386" t="str">
        <f>"22975"</f>
        <v>22975</v>
      </c>
      <c r="E6386" t="str">
        <f t="shared" si="1156"/>
        <v>1</v>
      </c>
      <c r="F6386" t="str">
        <f t="shared" si="1158"/>
        <v>COM</v>
      </c>
      <c r="G6386" t="str">
        <f>"MARCIO CLAUDIO DE ARAUJO (204)"</f>
        <v>MARCIO CLAUDIO DE ARAUJO (204)</v>
      </c>
      <c r="H6386" t="str">
        <f>"Serv.Prest. 26/09/2025 a 05/10/2025 - PIX: CELULAR - CHAVE: (33) 98427-3872"</f>
        <v>Serv.Prest. 26/09/2025 a 05/10/2025 - PIX: CELULAR - CHAVE: (33) 98427-3872</v>
      </c>
      <c r="I6386" t="str">
        <f t="shared" si="1155"/>
        <v>16/10/2025</v>
      </c>
      <c r="J6386" t="str">
        <f t="shared" si="1157"/>
        <v>07/10/2025</v>
      </c>
      <c r="K6386" t="str">
        <f>("16/10/2025")</f>
        <v>16/10/2025</v>
      </c>
      <c r="L6386">
        <v>1578</v>
      </c>
      <c r="M6386">
        <v>1578</v>
      </c>
      <c r="N6386">
        <v>109</v>
      </c>
      <c r="O6386" t="str">
        <f>"PAGAMENTO DE ENTREGADORES"</f>
        <v>PAGAMENTO DE ENTREGADORES</v>
      </c>
      <c r="P6386">
        <v>1578</v>
      </c>
      <c r="S6386" t="str">
        <f>"BANCO C6 (149)"</f>
        <v>BANCO C6 (149)</v>
      </c>
      <c r="T6386">
        <v>19714</v>
      </c>
      <c r="U6386">
        <v>22975</v>
      </c>
      <c r="V6386" t="s">
        <v>77</v>
      </c>
    </row>
    <row r="6387" spans="1:22">
      <c r="A6387" t="str">
        <f t="shared" si="1152"/>
        <v>16/10/2025</v>
      </c>
      <c r="B6387" t="str">
        <f t="shared" si="1153"/>
        <v>SAÍDA</v>
      </c>
      <c r="C6387" t="str">
        <f t="shared" si="1154"/>
        <v>PIX</v>
      </c>
      <c r="D6387" t="str">
        <f>"22975"</f>
        <v>22975</v>
      </c>
      <c r="E6387" t="str">
        <f t="shared" si="1156"/>
        <v>1</v>
      </c>
      <c r="F6387" t="str">
        <f t="shared" si="1158"/>
        <v>COM</v>
      </c>
      <c r="G6387" t="str">
        <f>"MARCIO CLAUDIO DE ARAUJO (204)"</f>
        <v>MARCIO CLAUDIO DE ARAUJO (204)</v>
      </c>
      <c r="H6387" t="s">
        <v>1724</v>
      </c>
      <c r="I6387" t="str">
        <f t="shared" si="1155"/>
        <v>16/10/2025</v>
      </c>
      <c r="J6387" t="str">
        <f t="shared" si="1157"/>
        <v>07/10/2025</v>
      </c>
      <c r="K6387">
        <v>45946</v>
      </c>
      <c r="N6387">
        <v>109</v>
      </c>
      <c r="O6387" t="s">
        <v>24</v>
      </c>
      <c r="Q6387">
        <v>1578</v>
      </c>
      <c r="R6387" t="str">
        <f>"FARMÁCIA INDIANA LJ 06 (10006)"</f>
        <v>FARMÁCIA INDIANA LJ 06 (10006)</v>
      </c>
      <c r="S6387" t="s">
        <v>77</v>
      </c>
      <c r="T6387">
        <v>19714</v>
      </c>
      <c r="U6387">
        <v>22975</v>
      </c>
      <c r="V6387" t="s">
        <v>77</v>
      </c>
    </row>
    <row r="6388" spans="1:22">
      <c r="A6388" t="str">
        <f t="shared" si="1152"/>
        <v>16/10/2025</v>
      </c>
      <c r="B6388" t="str">
        <f t="shared" si="1153"/>
        <v>SAÍDA</v>
      </c>
      <c r="C6388" t="str">
        <f t="shared" si="1154"/>
        <v>PIX</v>
      </c>
      <c r="D6388" t="str">
        <f>"22976"</f>
        <v>22976</v>
      </c>
      <c r="E6388" t="str">
        <f t="shared" si="1156"/>
        <v>1</v>
      </c>
      <c r="F6388" t="str">
        <f t="shared" si="1158"/>
        <v>COM</v>
      </c>
      <c r="G6388" t="str">
        <f>"MARCOS DIONI RODRIGUES GASPAR (506)"</f>
        <v>MARCOS DIONI RODRIGUES GASPAR (506)</v>
      </c>
      <c r="H6388" t="str">
        <f>"Serv.Prest. 26/09/2025 a 05/10/2025 - PIX: CELULAR - CHAVE: (33) 99815-2379"</f>
        <v>Serv.Prest. 26/09/2025 a 05/10/2025 - PIX: CELULAR - CHAVE: (33) 99815-2379</v>
      </c>
      <c r="I6388" t="str">
        <f t="shared" si="1155"/>
        <v>16/10/2025</v>
      </c>
      <c r="J6388" t="str">
        <f t="shared" si="1157"/>
        <v>07/10/2025</v>
      </c>
      <c r="K6388" t="str">
        <f>("16/10/2025")</f>
        <v>16/10/2025</v>
      </c>
      <c r="L6388">
        <v>1440</v>
      </c>
      <c r="M6388">
        <v>1440</v>
      </c>
      <c r="N6388">
        <v>109</v>
      </c>
      <c r="O6388" t="str">
        <f>"PAGAMENTO DE ENTREGADORES"</f>
        <v>PAGAMENTO DE ENTREGADORES</v>
      </c>
      <c r="P6388">
        <v>1440</v>
      </c>
      <c r="S6388" t="str">
        <f>"BANCO C6 (149)"</f>
        <v>BANCO C6 (149)</v>
      </c>
      <c r="T6388">
        <v>19715</v>
      </c>
      <c r="U6388">
        <v>22976</v>
      </c>
      <c r="V6388" t="s">
        <v>77</v>
      </c>
    </row>
    <row r="6389" spans="1:22">
      <c r="A6389" t="str">
        <f t="shared" si="1152"/>
        <v>16/10/2025</v>
      </c>
      <c r="B6389" t="str">
        <f t="shared" si="1153"/>
        <v>SAÍDA</v>
      </c>
      <c r="C6389" t="str">
        <f t="shared" si="1154"/>
        <v>PIX</v>
      </c>
      <c r="D6389" t="str">
        <f>"22976"</f>
        <v>22976</v>
      </c>
      <c r="E6389" t="str">
        <f t="shared" si="1156"/>
        <v>1</v>
      </c>
      <c r="F6389" t="str">
        <f t="shared" si="1158"/>
        <v>COM</v>
      </c>
      <c r="G6389" t="str">
        <f>"MARCOS DIONI RODRIGUES GASPAR (506)"</f>
        <v>MARCOS DIONI RODRIGUES GASPAR (506)</v>
      </c>
      <c r="H6389" t="s">
        <v>1725</v>
      </c>
      <c r="I6389" t="str">
        <f t="shared" si="1155"/>
        <v>16/10/2025</v>
      </c>
      <c r="J6389" t="str">
        <f t="shared" si="1157"/>
        <v>07/10/2025</v>
      </c>
      <c r="K6389">
        <v>45946</v>
      </c>
      <c r="N6389">
        <v>109</v>
      </c>
      <c r="O6389" t="s">
        <v>24</v>
      </c>
      <c r="Q6389">
        <v>1440</v>
      </c>
      <c r="R6389" t="str">
        <f>"FARMÁCIA INDIANA LJ 06 (10006)"</f>
        <v>FARMÁCIA INDIANA LJ 06 (10006)</v>
      </c>
      <c r="S6389" t="s">
        <v>77</v>
      </c>
      <c r="T6389">
        <v>19715</v>
      </c>
      <c r="U6389">
        <v>22976</v>
      </c>
      <c r="V6389" t="s">
        <v>77</v>
      </c>
    </row>
    <row r="6390" spans="1:22">
      <c r="A6390" t="str">
        <f t="shared" si="1152"/>
        <v>16/10/2025</v>
      </c>
      <c r="B6390" t="str">
        <f t="shared" si="1153"/>
        <v>SAÍDA</v>
      </c>
      <c r="C6390" t="str">
        <f t="shared" si="1154"/>
        <v>PIX</v>
      </c>
      <c r="D6390" t="str">
        <f>"22977"</f>
        <v>22977</v>
      </c>
      <c r="E6390" t="str">
        <f t="shared" si="1156"/>
        <v>1</v>
      </c>
      <c r="F6390" t="str">
        <f t="shared" si="1158"/>
        <v>COM</v>
      </c>
      <c r="G6390" t="str">
        <f>"MARCOS RODRIGUES PENA (64)"</f>
        <v>MARCOS RODRIGUES PENA (64)</v>
      </c>
      <c r="H6390" t="str">
        <f>"Serv.Prest. 26/09/2025 a 05/10/2025 - PIX: CELULAR - CHAVE: (33) 99194-2339"</f>
        <v>Serv.Prest. 26/09/2025 a 05/10/2025 - PIX: CELULAR - CHAVE: (33) 99194-2339</v>
      </c>
      <c r="I6390" t="str">
        <f t="shared" si="1155"/>
        <v>16/10/2025</v>
      </c>
      <c r="J6390" t="str">
        <f t="shared" si="1157"/>
        <v>07/10/2025</v>
      </c>
      <c r="K6390" t="str">
        <f>("16/10/2025")</f>
        <v>16/10/2025</v>
      </c>
      <c r="L6390">
        <v>605</v>
      </c>
      <c r="M6390">
        <v>605</v>
      </c>
      <c r="N6390">
        <v>109</v>
      </c>
      <c r="O6390" t="str">
        <f>"PAGAMENTO DE ENTREGADORES"</f>
        <v>PAGAMENTO DE ENTREGADORES</v>
      </c>
      <c r="P6390">
        <v>605</v>
      </c>
      <c r="S6390" t="str">
        <f>"BANCO C6 (149)"</f>
        <v>BANCO C6 (149)</v>
      </c>
      <c r="T6390">
        <v>19716</v>
      </c>
      <c r="U6390">
        <v>22977</v>
      </c>
      <c r="V6390" t="s">
        <v>77</v>
      </c>
    </row>
    <row r="6391" spans="1:22">
      <c r="A6391" t="str">
        <f t="shared" si="1152"/>
        <v>16/10/2025</v>
      </c>
      <c r="B6391" t="str">
        <f t="shared" si="1153"/>
        <v>SAÍDA</v>
      </c>
      <c r="C6391" t="str">
        <f t="shared" si="1154"/>
        <v>PIX</v>
      </c>
      <c r="D6391" t="str">
        <f>"22977"</f>
        <v>22977</v>
      </c>
      <c r="E6391" t="str">
        <f t="shared" si="1156"/>
        <v>1</v>
      </c>
      <c r="F6391" t="str">
        <f t="shared" si="1158"/>
        <v>COM</v>
      </c>
      <c r="G6391" t="str">
        <f>"MARCOS RODRIGUES PENA (64)"</f>
        <v>MARCOS RODRIGUES PENA (64)</v>
      </c>
      <c r="H6391" t="s">
        <v>1726</v>
      </c>
      <c r="I6391" t="str">
        <f t="shared" si="1155"/>
        <v>16/10/2025</v>
      </c>
      <c r="J6391" t="str">
        <f t="shared" si="1157"/>
        <v>07/10/2025</v>
      </c>
      <c r="K6391">
        <v>45946</v>
      </c>
      <c r="N6391">
        <v>109</v>
      </c>
      <c r="O6391" t="s">
        <v>24</v>
      </c>
      <c r="Q6391">
        <v>605</v>
      </c>
      <c r="R6391" t="str">
        <f>"FARMÁCIA INDIANA LJ 62 (10028)"</f>
        <v>FARMÁCIA INDIANA LJ 62 (10028)</v>
      </c>
      <c r="S6391" t="s">
        <v>77</v>
      </c>
      <c r="T6391">
        <v>19716</v>
      </c>
      <c r="U6391">
        <v>22977</v>
      </c>
      <c r="V6391" t="s">
        <v>77</v>
      </c>
    </row>
    <row r="6392" spans="1:22">
      <c r="A6392" t="str">
        <f t="shared" si="1152"/>
        <v>16/10/2025</v>
      </c>
      <c r="B6392" t="str">
        <f t="shared" si="1153"/>
        <v>SAÍDA</v>
      </c>
      <c r="C6392" t="str">
        <f t="shared" si="1154"/>
        <v>PIX</v>
      </c>
      <c r="D6392" t="str">
        <f>"22978"</f>
        <v>22978</v>
      </c>
      <c r="E6392" t="str">
        <f t="shared" si="1156"/>
        <v>1</v>
      </c>
      <c r="F6392" t="str">
        <f t="shared" si="1158"/>
        <v>COM</v>
      </c>
      <c r="G6392" t="str">
        <f>"MATHEUS ALMEIDA RAMOS (47)"</f>
        <v>MATHEUS ALMEIDA RAMOS (47)</v>
      </c>
      <c r="H6392" t="str">
        <f>"Serv.Prest. 26/09/2025 a 05/10/2025 - PIX: CELULAR - CHAVE: (33) 98884-1637"</f>
        <v>Serv.Prest. 26/09/2025 a 05/10/2025 - PIX: CELULAR - CHAVE: (33) 98884-1637</v>
      </c>
      <c r="I6392" t="str">
        <f t="shared" si="1155"/>
        <v>16/10/2025</v>
      </c>
      <c r="J6392" t="str">
        <f t="shared" si="1157"/>
        <v>07/10/2025</v>
      </c>
      <c r="K6392" t="str">
        <f>("16/10/2025")</f>
        <v>16/10/2025</v>
      </c>
      <c r="L6392">
        <v>246</v>
      </c>
      <c r="M6392">
        <v>246</v>
      </c>
      <c r="N6392">
        <v>109</v>
      </c>
      <c r="O6392" t="str">
        <f>"PAGAMENTO DE ENTREGADORES"</f>
        <v>PAGAMENTO DE ENTREGADORES</v>
      </c>
      <c r="P6392">
        <v>246</v>
      </c>
      <c r="S6392" t="str">
        <f>"BANCO C6 (149)"</f>
        <v>BANCO C6 (149)</v>
      </c>
      <c r="T6392">
        <v>19717</v>
      </c>
      <c r="U6392">
        <v>22978</v>
      </c>
      <c r="V6392" t="s">
        <v>77</v>
      </c>
    </row>
    <row r="6393" spans="1:22">
      <c r="A6393" t="str">
        <f t="shared" si="1152"/>
        <v>16/10/2025</v>
      </c>
      <c r="B6393" t="str">
        <f t="shared" si="1153"/>
        <v>SAÍDA</v>
      </c>
      <c r="C6393" t="str">
        <f t="shared" si="1154"/>
        <v>PIX</v>
      </c>
      <c r="D6393" t="str">
        <f>"22978"</f>
        <v>22978</v>
      </c>
      <c r="E6393" t="str">
        <f t="shared" si="1156"/>
        <v>1</v>
      </c>
      <c r="F6393" t="str">
        <f t="shared" si="1158"/>
        <v>COM</v>
      </c>
      <c r="G6393" t="str">
        <f>"MATHEUS ALMEIDA RAMOS (47)"</f>
        <v>MATHEUS ALMEIDA RAMOS (47)</v>
      </c>
      <c r="H6393" t="s">
        <v>1727</v>
      </c>
      <c r="I6393" t="str">
        <f t="shared" si="1155"/>
        <v>16/10/2025</v>
      </c>
      <c r="J6393" t="str">
        <f t="shared" si="1157"/>
        <v>07/10/2025</v>
      </c>
      <c r="K6393">
        <v>45946</v>
      </c>
      <c r="N6393">
        <v>109</v>
      </c>
      <c r="O6393" t="s">
        <v>24</v>
      </c>
      <c r="Q6393">
        <v>246</v>
      </c>
      <c r="R6393" t="str">
        <f>"FARMÁCIA INDIANA LJ 07 (10007)"</f>
        <v>FARMÁCIA INDIANA LJ 07 (10007)</v>
      </c>
      <c r="S6393" t="s">
        <v>77</v>
      </c>
      <c r="T6393">
        <v>19717</v>
      </c>
      <c r="U6393">
        <v>22978</v>
      </c>
      <c r="V6393" t="s">
        <v>77</v>
      </c>
    </row>
    <row r="6394" spans="1:22">
      <c r="A6394" t="str">
        <f t="shared" si="1152"/>
        <v>16/10/2025</v>
      </c>
      <c r="B6394" t="str">
        <f t="shared" si="1153"/>
        <v>SAÍDA</v>
      </c>
      <c r="C6394" t="str">
        <f t="shared" si="1154"/>
        <v>PIX</v>
      </c>
      <c r="D6394" t="str">
        <f>"22979"</f>
        <v>22979</v>
      </c>
      <c r="E6394" t="str">
        <f t="shared" si="1156"/>
        <v>1</v>
      </c>
      <c r="F6394" t="str">
        <f t="shared" si="1158"/>
        <v>COM</v>
      </c>
      <c r="G6394" t="str">
        <f>"MATHEUS VIEIRA DA SILVA (886)"</f>
        <v>MATHEUS VIEIRA DA SILVA (886)</v>
      </c>
      <c r="H6394" t="str">
        <f>"Serv.Prest. 26/09/2025 a 05/10/2025 - PIX: E-MAIL - CHAVE: meamatheusvieira@gmail.com"</f>
        <v>Serv.Prest. 26/09/2025 a 05/10/2025 - PIX: E-MAIL - CHAVE: meamatheusvieira@gmail.com</v>
      </c>
      <c r="I6394" t="str">
        <f t="shared" si="1155"/>
        <v>16/10/2025</v>
      </c>
      <c r="J6394" t="str">
        <f t="shared" si="1157"/>
        <v>07/10/2025</v>
      </c>
      <c r="K6394" t="str">
        <f>("16/10/2025")</f>
        <v>16/10/2025</v>
      </c>
      <c r="L6394">
        <v>912</v>
      </c>
      <c r="M6394">
        <v>912</v>
      </c>
      <c r="N6394">
        <v>109</v>
      </c>
      <c r="O6394" t="str">
        <f>"PAGAMENTO DE ENTREGADORES"</f>
        <v>PAGAMENTO DE ENTREGADORES</v>
      </c>
      <c r="P6394">
        <v>912</v>
      </c>
      <c r="S6394" t="str">
        <f>"BANCO C6 (149)"</f>
        <v>BANCO C6 (149)</v>
      </c>
      <c r="T6394">
        <v>19718</v>
      </c>
      <c r="U6394">
        <v>22979</v>
      </c>
      <c r="V6394" t="s">
        <v>77</v>
      </c>
    </row>
    <row r="6395" spans="1:22">
      <c r="A6395" t="str">
        <f t="shared" ref="A6395:A6458" si="1159">("16/10/2025")</f>
        <v>16/10/2025</v>
      </c>
      <c r="B6395" t="str">
        <f t="shared" ref="B6395:B6458" si="1160">"SAÍDA"</f>
        <v>SAÍDA</v>
      </c>
      <c r="C6395" t="str">
        <f t="shared" ref="C6395:C6458" si="1161">"PIX"</f>
        <v>PIX</v>
      </c>
      <c r="D6395" t="str">
        <f>"22979"</f>
        <v>22979</v>
      </c>
      <c r="E6395" t="str">
        <f t="shared" si="1156"/>
        <v>1</v>
      </c>
      <c r="F6395" t="str">
        <f t="shared" si="1158"/>
        <v>COM</v>
      </c>
      <c r="G6395" t="str">
        <f>"MATHEUS VIEIRA DA SILVA (886)"</f>
        <v>MATHEUS VIEIRA DA SILVA (886)</v>
      </c>
      <c r="H6395" t="s">
        <v>1728</v>
      </c>
      <c r="I6395" t="str">
        <f t="shared" si="1155"/>
        <v>16/10/2025</v>
      </c>
      <c r="J6395" t="str">
        <f t="shared" si="1157"/>
        <v>07/10/2025</v>
      </c>
      <c r="K6395">
        <v>45946</v>
      </c>
      <c r="N6395">
        <v>109</v>
      </c>
      <c r="O6395" t="s">
        <v>24</v>
      </c>
      <c r="Q6395">
        <v>912</v>
      </c>
      <c r="R6395" t="str">
        <f>"FARMÁCIA INDIANA LJ 07 (10007)"</f>
        <v>FARMÁCIA INDIANA LJ 07 (10007)</v>
      </c>
      <c r="S6395" t="s">
        <v>77</v>
      </c>
      <c r="T6395">
        <v>19718</v>
      </c>
      <c r="U6395">
        <v>22979</v>
      </c>
      <c r="V6395" t="s">
        <v>77</v>
      </c>
    </row>
    <row r="6396" spans="1:22">
      <c r="A6396" t="str">
        <f t="shared" si="1159"/>
        <v>16/10/2025</v>
      </c>
      <c r="B6396" t="str">
        <f t="shared" si="1160"/>
        <v>SAÍDA</v>
      </c>
      <c r="C6396" t="str">
        <f t="shared" si="1161"/>
        <v>PIX</v>
      </c>
      <c r="D6396" t="str">
        <f>"22980"</f>
        <v>22980</v>
      </c>
      <c r="E6396" t="str">
        <f t="shared" si="1156"/>
        <v>1</v>
      </c>
      <c r="F6396" t="str">
        <f t="shared" si="1158"/>
        <v>COM</v>
      </c>
      <c r="G6396" t="str">
        <f>"MAURO AUGUSTO MACHADO DE ASSIS (767)"</f>
        <v>MAURO AUGUSTO MACHADO DE ASSIS (767)</v>
      </c>
      <c r="H6396" t="str">
        <f>"Serv.Prest. 26/09/2025 a 05/10/2025 - PIX: CPF - CHAVE: 163.330.766-27"</f>
        <v>Serv.Prest. 26/09/2025 a 05/10/2025 - PIX: CPF - CHAVE: 163.330.766-27</v>
      </c>
      <c r="I6396" t="str">
        <f t="shared" si="1155"/>
        <v>16/10/2025</v>
      </c>
      <c r="J6396" t="str">
        <f t="shared" si="1157"/>
        <v>07/10/2025</v>
      </c>
      <c r="K6396" t="str">
        <f>("16/10/2025")</f>
        <v>16/10/2025</v>
      </c>
      <c r="L6396">
        <v>1554</v>
      </c>
      <c r="M6396">
        <v>1554</v>
      </c>
      <c r="N6396">
        <v>109</v>
      </c>
      <c r="O6396" t="str">
        <f>"PAGAMENTO DE ENTREGADORES"</f>
        <v>PAGAMENTO DE ENTREGADORES</v>
      </c>
      <c r="P6396">
        <v>1554</v>
      </c>
      <c r="S6396" t="str">
        <f>"BANCO C6 (149)"</f>
        <v>BANCO C6 (149)</v>
      </c>
      <c r="T6396">
        <v>19719</v>
      </c>
      <c r="U6396">
        <v>22980</v>
      </c>
      <c r="V6396" t="s">
        <v>77</v>
      </c>
    </row>
    <row r="6397" spans="1:22">
      <c r="A6397" t="str">
        <f t="shared" si="1159"/>
        <v>16/10/2025</v>
      </c>
      <c r="B6397" t="str">
        <f t="shared" si="1160"/>
        <v>SAÍDA</v>
      </c>
      <c r="C6397" t="str">
        <f t="shared" si="1161"/>
        <v>PIX</v>
      </c>
      <c r="D6397" t="str">
        <f>"22980"</f>
        <v>22980</v>
      </c>
      <c r="E6397" t="str">
        <f t="shared" si="1156"/>
        <v>1</v>
      </c>
      <c r="F6397" t="str">
        <f t="shared" si="1158"/>
        <v>COM</v>
      </c>
      <c r="G6397" t="str">
        <f>"MAURO AUGUSTO MACHADO DE ASSIS (767)"</f>
        <v>MAURO AUGUSTO MACHADO DE ASSIS (767)</v>
      </c>
      <c r="H6397" t="s">
        <v>1729</v>
      </c>
      <c r="I6397" t="str">
        <f t="shared" ref="I6397:I6460" si="1162">("16/10/2025")</f>
        <v>16/10/2025</v>
      </c>
      <c r="J6397" t="str">
        <f t="shared" si="1157"/>
        <v>07/10/2025</v>
      </c>
      <c r="K6397">
        <v>45946</v>
      </c>
      <c r="N6397">
        <v>109</v>
      </c>
      <c r="O6397" t="s">
        <v>24</v>
      </c>
      <c r="Q6397">
        <v>756.02</v>
      </c>
      <c r="R6397" t="str">
        <f>"FARMÁCIA INDIANA LJ 11 (10008)"</f>
        <v>FARMÁCIA INDIANA LJ 11 (10008)</v>
      </c>
      <c r="S6397" t="s">
        <v>77</v>
      </c>
      <c r="T6397">
        <v>19719</v>
      </c>
      <c r="U6397">
        <v>22980</v>
      </c>
      <c r="V6397" t="s">
        <v>77</v>
      </c>
    </row>
    <row r="6398" spans="1:22">
      <c r="A6398" t="str">
        <f t="shared" si="1159"/>
        <v>16/10/2025</v>
      </c>
      <c r="B6398" t="str">
        <f t="shared" si="1160"/>
        <v>SAÍDA</v>
      </c>
      <c r="C6398" t="str">
        <f t="shared" si="1161"/>
        <v>PIX</v>
      </c>
      <c r="D6398" t="str">
        <f>"22980"</f>
        <v>22980</v>
      </c>
      <c r="E6398" t="str">
        <f t="shared" si="1156"/>
        <v>1</v>
      </c>
      <c r="F6398" t="str">
        <f t="shared" si="1158"/>
        <v>COM</v>
      </c>
      <c r="G6398" t="str">
        <f>"MAURO AUGUSTO MACHADO DE ASSIS (767)"</f>
        <v>MAURO AUGUSTO MACHADO DE ASSIS (767)</v>
      </c>
      <c r="H6398" t="s">
        <v>1729</v>
      </c>
      <c r="I6398" t="str">
        <f t="shared" si="1162"/>
        <v>16/10/2025</v>
      </c>
      <c r="J6398" t="str">
        <f t="shared" si="1157"/>
        <v>07/10/2025</v>
      </c>
      <c r="K6398">
        <v>45946</v>
      </c>
      <c r="N6398">
        <v>109</v>
      </c>
      <c r="O6398" t="s">
        <v>24</v>
      </c>
      <c r="Q6398">
        <v>797.98</v>
      </c>
      <c r="R6398" t="str">
        <f>"FARMÁCIA INDIANA LJ 172 (10161)"</f>
        <v>FARMÁCIA INDIANA LJ 172 (10161)</v>
      </c>
      <c r="S6398" t="s">
        <v>77</v>
      </c>
      <c r="T6398">
        <v>19719</v>
      </c>
      <c r="U6398">
        <v>22980</v>
      </c>
      <c r="V6398" t="s">
        <v>77</v>
      </c>
    </row>
    <row r="6399" spans="1:22">
      <c r="A6399" t="str">
        <f t="shared" si="1159"/>
        <v>16/10/2025</v>
      </c>
      <c r="B6399" t="str">
        <f t="shared" si="1160"/>
        <v>SAÍDA</v>
      </c>
      <c r="C6399" t="str">
        <f t="shared" si="1161"/>
        <v>PIX</v>
      </c>
      <c r="D6399" t="str">
        <f>"22981"</f>
        <v>22981</v>
      </c>
      <c r="E6399" t="str">
        <f t="shared" si="1156"/>
        <v>1</v>
      </c>
      <c r="F6399" t="str">
        <f t="shared" si="1158"/>
        <v>COM</v>
      </c>
      <c r="G6399" t="str">
        <f>"MAYCON GUILHERME DUARTE (541)"</f>
        <v>MAYCON GUILHERME DUARTE (541)</v>
      </c>
      <c r="H6399" t="str">
        <f>"Serv.Prest. 26/09/2025 a 05/10/2025 - PIX: CELULAR - CHAVE: (31) 99076-6539"</f>
        <v>Serv.Prest. 26/09/2025 a 05/10/2025 - PIX: CELULAR - CHAVE: (31) 99076-6539</v>
      </c>
      <c r="I6399" t="str">
        <f t="shared" si="1162"/>
        <v>16/10/2025</v>
      </c>
      <c r="J6399" t="str">
        <f t="shared" si="1157"/>
        <v>07/10/2025</v>
      </c>
      <c r="K6399" t="str">
        <f>("16/10/2025")</f>
        <v>16/10/2025</v>
      </c>
      <c r="L6399">
        <v>1686</v>
      </c>
      <c r="M6399">
        <v>1686</v>
      </c>
      <c r="N6399">
        <v>109</v>
      </c>
      <c r="O6399" t="str">
        <f>"PAGAMENTO DE ENTREGADORES"</f>
        <v>PAGAMENTO DE ENTREGADORES</v>
      </c>
      <c r="P6399">
        <v>1686</v>
      </c>
      <c r="S6399" t="str">
        <f>"BANCO C6 (149)"</f>
        <v>BANCO C6 (149)</v>
      </c>
      <c r="T6399">
        <v>19720</v>
      </c>
      <c r="U6399">
        <v>22981</v>
      </c>
      <c r="V6399" t="s">
        <v>77</v>
      </c>
    </row>
    <row r="6400" spans="1:22">
      <c r="A6400" t="str">
        <f t="shared" si="1159"/>
        <v>16/10/2025</v>
      </c>
      <c r="B6400" t="str">
        <f t="shared" si="1160"/>
        <v>SAÍDA</v>
      </c>
      <c r="C6400" t="str">
        <f t="shared" si="1161"/>
        <v>PIX</v>
      </c>
      <c r="D6400" t="str">
        <f>"22981"</f>
        <v>22981</v>
      </c>
      <c r="E6400" t="str">
        <f t="shared" si="1156"/>
        <v>1</v>
      </c>
      <c r="F6400" t="str">
        <f t="shared" si="1158"/>
        <v>COM</v>
      </c>
      <c r="G6400" t="str">
        <f>"MAYCON GUILHERME DUARTE (541)"</f>
        <v>MAYCON GUILHERME DUARTE (541)</v>
      </c>
      <c r="H6400" t="s">
        <v>1730</v>
      </c>
      <c r="I6400" t="str">
        <f t="shared" si="1162"/>
        <v>16/10/2025</v>
      </c>
      <c r="J6400" t="str">
        <f t="shared" si="1157"/>
        <v>07/10/2025</v>
      </c>
      <c r="K6400">
        <v>45946</v>
      </c>
      <c r="N6400">
        <v>109</v>
      </c>
      <c r="O6400" t="s">
        <v>24</v>
      </c>
      <c r="Q6400">
        <v>1686</v>
      </c>
      <c r="R6400" t="str">
        <f>"FARMÁCIA INDIANA LJ 220 (10092)"</f>
        <v>FARMÁCIA INDIANA LJ 220 (10092)</v>
      </c>
      <c r="S6400" t="s">
        <v>77</v>
      </c>
      <c r="T6400">
        <v>19720</v>
      </c>
      <c r="U6400">
        <v>22981</v>
      </c>
      <c r="V6400" t="s">
        <v>77</v>
      </c>
    </row>
    <row r="6401" spans="1:22">
      <c r="A6401" t="str">
        <f t="shared" si="1159"/>
        <v>16/10/2025</v>
      </c>
      <c r="B6401" t="str">
        <f t="shared" si="1160"/>
        <v>SAÍDA</v>
      </c>
      <c r="C6401" t="str">
        <f t="shared" si="1161"/>
        <v>PIX</v>
      </c>
      <c r="D6401" t="str">
        <f>"22982"</f>
        <v>22982</v>
      </c>
      <c r="E6401" t="str">
        <f t="shared" si="1156"/>
        <v>1</v>
      </c>
      <c r="F6401" t="str">
        <f t="shared" si="1158"/>
        <v>COM</v>
      </c>
      <c r="G6401" t="str">
        <f>"MIGUEL PESSOA RAMOS (68)"</f>
        <v>MIGUEL PESSOA RAMOS (68)</v>
      </c>
      <c r="H6401" t="str">
        <f>"Serv.Prest. 26/09/2025 a 05/10/2025 - PIX: CELULAR - CHAVE: (33) 99845-0493"</f>
        <v>Serv.Prest. 26/09/2025 a 05/10/2025 - PIX: CELULAR - CHAVE: (33) 99845-0493</v>
      </c>
      <c r="I6401" t="str">
        <f t="shared" si="1162"/>
        <v>16/10/2025</v>
      </c>
      <c r="J6401" t="str">
        <f t="shared" si="1157"/>
        <v>07/10/2025</v>
      </c>
      <c r="K6401" t="str">
        <f>("16/10/2025")</f>
        <v>16/10/2025</v>
      </c>
      <c r="L6401">
        <v>1020</v>
      </c>
      <c r="M6401">
        <v>1020</v>
      </c>
      <c r="N6401">
        <v>109</v>
      </c>
      <c r="O6401" t="str">
        <f>"PAGAMENTO DE ENTREGADORES"</f>
        <v>PAGAMENTO DE ENTREGADORES</v>
      </c>
      <c r="P6401">
        <v>1020</v>
      </c>
      <c r="S6401" t="str">
        <f>"BANCO C6 (149)"</f>
        <v>BANCO C6 (149)</v>
      </c>
      <c r="T6401">
        <v>19721</v>
      </c>
      <c r="U6401">
        <v>22982</v>
      </c>
      <c r="V6401" t="s">
        <v>77</v>
      </c>
    </row>
    <row r="6402" spans="1:22">
      <c r="A6402" t="str">
        <f t="shared" si="1159"/>
        <v>16/10/2025</v>
      </c>
      <c r="B6402" t="str">
        <f t="shared" si="1160"/>
        <v>SAÍDA</v>
      </c>
      <c r="C6402" t="str">
        <f t="shared" si="1161"/>
        <v>PIX</v>
      </c>
      <c r="D6402" t="str">
        <f>"22982"</f>
        <v>22982</v>
      </c>
      <c r="E6402" t="str">
        <f t="shared" si="1156"/>
        <v>1</v>
      </c>
      <c r="F6402" t="str">
        <f t="shared" si="1158"/>
        <v>COM</v>
      </c>
      <c r="G6402" t="str">
        <f>"MIGUEL PESSOA RAMOS (68)"</f>
        <v>MIGUEL PESSOA RAMOS (68)</v>
      </c>
      <c r="H6402" t="s">
        <v>1731</v>
      </c>
      <c r="I6402" t="str">
        <f t="shared" si="1162"/>
        <v>16/10/2025</v>
      </c>
      <c r="J6402" t="str">
        <f t="shared" si="1157"/>
        <v>07/10/2025</v>
      </c>
      <c r="K6402">
        <v>45946</v>
      </c>
      <c r="N6402">
        <v>109</v>
      </c>
      <c r="O6402" t="s">
        <v>24</v>
      </c>
      <c r="Q6402">
        <v>1020</v>
      </c>
      <c r="R6402" t="str">
        <f>"FARMÁCIA INDIANA LJ 07 (10007)"</f>
        <v>FARMÁCIA INDIANA LJ 07 (10007)</v>
      </c>
      <c r="S6402" t="s">
        <v>77</v>
      </c>
      <c r="T6402">
        <v>19721</v>
      </c>
      <c r="U6402">
        <v>22982</v>
      </c>
      <c r="V6402" t="s">
        <v>77</v>
      </c>
    </row>
    <row r="6403" spans="1:22">
      <c r="A6403" t="str">
        <f t="shared" si="1159"/>
        <v>16/10/2025</v>
      </c>
      <c r="B6403" t="str">
        <f t="shared" si="1160"/>
        <v>SAÍDA</v>
      </c>
      <c r="C6403" t="str">
        <f t="shared" si="1161"/>
        <v>PIX</v>
      </c>
      <c r="D6403" t="str">
        <f>"22983"</f>
        <v>22983</v>
      </c>
      <c r="E6403" t="str">
        <f t="shared" si="1156"/>
        <v>1</v>
      </c>
      <c r="F6403" t="str">
        <f t="shared" si="1158"/>
        <v>COM</v>
      </c>
      <c r="G6403" t="str">
        <f>"MURILO BARRETO AFONSO (30)"</f>
        <v>MURILO BARRETO AFONSO (30)</v>
      </c>
      <c r="H6403" t="str">
        <f>"Serv.Prest. 26/09/2025 a 05/10/2025 - PIX: CPF - CHAVE: 123.020.026-60"</f>
        <v>Serv.Prest. 26/09/2025 a 05/10/2025 - PIX: CPF - CHAVE: 123.020.026-60</v>
      </c>
      <c r="I6403" t="str">
        <f t="shared" si="1162"/>
        <v>16/10/2025</v>
      </c>
      <c r="J6403" t="str">
        <f t="shared" si="1157"/>
        <v>07/10/2025</v>
      </c>
      <c r="K6403" t="str">
        <f>("16/10/2025")</f>
        <v>16/10/2025</v>
      </c>
      <c r="L6403">
        <v>1830</v>
      </c>
      <c r="M6403">
        <v>1830</v>
      </c>
      <c r="N6403">
        <v>109</v>
      </c>
      <c r="O6403" t="str">
        <f>"PAGAMENTO DE ENTREGADORES"</f>
        <v>PAGAMENTO DE ENTREGADORES</v>
      </c>
      <c r="P6403">
        <v>1830</v>
      </c>
      <c r="S6403" t="str">
        <f>"BANCO C6 (149)"</f>
        <v>BANCO C6 (149)</v>
      </c>
      <c r="T6403">
        <v>19722</v>
      </c>
      <c r="U6403">
        <v>22983</v>
      </c>
      <c r="V6403" t="s">
        <v>77</v>
      </c>
    </row>
    <row r="6404" spans="1:22">
      <c r="A6404" t="str">
        <f t="shared" si="1159"/>
        <v>16/10/2025</v>
      </c>
      <c r="B6404" t="str">
        <f t="shared" si="1160"/>
        <v>SAÍDA</v>
      </c>
      <c r="C6404" t="str">
        <f t="shared" si="1161"/>
        <v>PIX</v>
      </c>
      <c r="D6404" t="str">
        <f>"22983"</f>
        <v>22983</v>
      </c>
      <c r="E6404" t="str">
        <f t="shared" si="1156"/>
        <v>1</v>
      </c>
      <c r="F6404" t="str">
        <f t="shared" si="1158"/>
        <v>COM</v>
      </c>
      <c r="G6404" t="str">
        <f>"MURILO BARRETO AFONSO (30)"</f>
        <v>MURILO BARRETO AFONSO (30)</v>
      </c>
      <c r="H6404" t="s">
        <v>1732</v>
      </c>
      <c r="I6404" t="str">
        <f t="shared" si="1162"/>
        <v>16/10/2025</v>
      </c>
      <c r="J6404" t="str">
        <f t="shared" si="1157"/>
        <v>07/10/2025</v>
      </c>
      <c r="K6404">
        <v>45946</v>
      </c>
      <c r="N6404">
        <v>109</v>
      </c>
      <c r="O6404" t="s">
        <v>24</v>
      </c>
      <c r="Q6404">
        <v>942.08</v>
      </c>
      <c r="R6404" t="str">
        <f>"FARMÁCIA INDIANA LJ 118 (10052)"</f>
        <v>FARMÁCIA INDIANA LJ 118 (10052)</v>
      </c>
      <c r="S6404" t="s">
        <v>77</v>
      </c>
      <c r="T6404">
        <v>19722</v>
      </c>
      <c r="U6404">
        <v>22983</v>
      </c>
      <c r="V6404" t="s">
        <v>77</v>
      </c>
    </row>
    <row r="6405" spans="1:22">
      <c r="A6405" t="str">
        <f t="shared" si="1159"/>
        <v>16/10/2025</v>
      </c>
      <c r="B6405" t="str">
        <f t="shared" si="1160"/>
        <v>SAÍDA</v>
      </c>
      <c r="C6405" t="str">
        <f t="shared" si="1161"/>
        <v>PIX</v>
      </c>
      <c r="D6405" t="str">
        <f>"22983"</f>
        <v>22983</v>
      </c>
      <c r="E6405" t="str">
        <f t="shared" ref="E6405:E6468" si="1163">"1"</f>
        <v>1</v>
      </c>
      <c r="F6405" t="str">
        <f t="shared" si="1158"/>
        <v>COM</v>
      </c>
      <c r="G6405" t="str">
        <f>"MURILO BARRETO AFONSO (30)"</f>
        <v>MURILO BARRETO AFONSO (30)</v>
      </c>
      <c r="H6405" t="s">
        <v>1732</v>
      </c>
      <c r="I6405" t="str">
        <f t="shared" si="1162"/>
        <v>16/10/2025</v>
      </c>
      <c r="J6405" t="str">
        <f t="shared" si="1157"/>
        <v>07/10/2025</v>
      </c>
      <c r="K6405">
        <v>45946</v>
      </c>
      <c r="N6405">
        <v>109</v>
      </c>
      <c r="O6405" t="s">
        <v>24</v>
      </c>
      <c r="Q6405">
        <v>887.92</v>
      </c>
      <c r="R6405" t="str">
        <f>"FARMÁCIA INDIANA LJ 192 (10082)"</f>
        <v>FARMÁCIA INDIANA LJ 192 (10082)</v>
      </c>
      <c r="S6405" t="s">
        <v>77</v>
      </c>
      <c r="T6405">
        <v>19722</v>
      </c>
      <c r="U6405">
        <v>22983</v>
      </c>
      <c r="V6405" t="s">
        <v>77</v>
      </c>
    </row>
    <row r="6406" spans="1:22">
      <c r="A6406" t="str">
        <f t="shared" si="1159"/>
        <v>16/10/2025</v>
      </c>
      <c r="B6406" t="str">
        <f t="shared" si="1160"/>
        <v>SAÍDA</v>
      </c>
      <c r="C6406" t="str">
        <f t="shared" si="1161"/>
        <v>PIX</v>
      </c>
      <c r="D6406" t="str">
        <f>"22984"</f>
        <v>22984</v>
      </c>
      <c r="E6406" t="str">
        <f t="shared" si="1163"/>
        <v>1</v>
      </c>
      <c r="F6406" t="str">
        <f t="shared" si="1158"/>
        <v>COM</v>
      </c>
      <c r="G6406" t="str">
        <f>"NATÁLIA KAROLAINE GOMES BATISTA (936)"</f>
        <v>NATÁLIA KAROLAINE GOMES BATISTA (936)</v>
      </c>
      <c r="H6406" t="str">
        <f>"Serv.Prest. 26/09/2025 a 05/10/2025 - PIX: CELULAR - CHAVE: (33) 98817-9868"</f>
        <v>Serv.Prest. 26/09/2025 a 05/10/2025 - PIX: CELULAR - CHAVE: (33) 98817-9868</v>
      </c>
      <c r="I6406" t="str">
        <f t="shared" si="1162"/>
        <v>16/10/2025</v>
      </c>
      <c r="J6406" t="str">
        <f t="shared" si="1157"/>
        <v>07/10/2025</v>
      </c>
      <c r="K6406" t="str">
        <f>("16/10/2025")</f>
        <v>16/10/2025</v>
      </c>
      <c r="L6406">
        <v>1476</v>
      </c>
      <c r="M6406">
        <v>1476</v>
      </c>
      <c r="N6406">
        <v>109</v>
      </c>
      <c r="O6406" t="str">
        <f>"PAGAMENTO DE ENTREGADORES"</f>
        <v>PAGAMENTO DE ENTREGADORES</v>
      </c>
      <c r="P6406">
        <v>1476</v>
      </c>
      <c r="S6406" t="str">
        <f>"BANCO C6 (149)"</f>
        <v>BANCO C6 (149)</v>
      </c>
      <c r="T6406">
        <v>19723</v>
      </c>
      <c r="U6406">
        <v>22984</v>
      </c>
      <c r="V6406" t="s">
        <v>77</v>
      </c>
    </row>
    <row r="6407" spans="1:22">
      <c r="A6407" t="str">
        <f t="shared" si="1159"/>
        <v>16/10/2025</v>
      </c>
      <c r="B6407" t="str">
        <f t="shared" si="1160"/>
        <v>SAÍDA</v>
      </c>
      <c r="C6407" t="str">
        <f t="shared" si="1161"/>
        <v>PIX</v>
      </c>
      <c r="D6407" t="str">
        <f>"22984"</f>
        <v>22984</v>
      </c>
      <c r="E6407" t="str">
        <f t="shared" si="1163"/>
        <v>1</v>
      </c>
      <c r="F6407" t="str">
        <f t="shared" si="1158"/>
        <v>COM</v>
      </c>
      <c r="G6407" t="str">
        <f>"NATÁLIA KAROLAINE GOMES BATISTA (936)"</f>
        <v>NATÁLIA KAROLAINE GOMES BATISTA (936)</v>
      </c>
      <c r="H6407" t="s">
        <v>1733</v>
      </c>
      <c r="I6407" t="str">
        <f t="shared" si="1162"/>
        <v>16/10/2025</v>
      </c>
      <c r="J6407" t="str">
        <f t="shared" ref="J6407:J6470" si="1164">("07/10/2025")</f>
        <v>07/10/2025</v>
      </c>
      <c r="K6407">
        <v>45946</v>
      </c>
      <c r="N6407">
        <v>109</v>
      </c>
      <c r="O6407" t="s">
        <v>24</v>
      </c>
      <c r="Q6407">
        <v>1476</v>
      </c>
      <c r="R6407" t="str">
        <f>"FARMÁCIA INDIANA LJ 07 (10007)"</f>
        <v>FARMÁCIA INDIANA LJ 07 (10007)</v>
      </c>
      <c r="S6407" t="s">
        <v>77</v>
      </c>
      <c r="T6407">
        <v>19723</v>
      </c>
      <c r="U6407">
        <v>22984</v>
      </c>
      <c r="V6407" t="s">
        <v>77</v>
      </c>
    </row>
    <row r="6408" spans="1:22">
      <c r="A6408" t="str">
        <f t="shared" si="1159"/>
        <v>16/10/2025</v>
      </c>
      <c r="B6408" t="str">
        <f t="shared" si="1160"/>
        <v>SAÍDA</v>
      </c>
      <c r="C6408" t="str">
        <f t="shared" si="1161"/>
        <v>PIX</v>
      </c>
      <c r="D6408" t="str">
        <f>"22985"</f>
        <v>22985</v>
      </c>
      <c r="E6408" t="str">
        <f t="shared" si="1163"/>
        <v>1</v>
      </c>
      <c r="F6408" t="str">
        <f t="shared" si="1158"/>
        <v>COM</v>
      </c>
      <c r="G6408" t="str">
        <f>"NELSON DOS SANTOS RODRIGUES (37)"</f>
        <v>NELSON DOS SANTOS RODRIGUES (37)</v>
      </c>
      <c r="H6408" t="str">
        <f>"Serv.Prest. 26/09/2025 a 05/10/2025 - PIX: CPF - CHAVE: 108.680.396-59"</f>
        <v>Serv.Prest. 26/09/2025 a 05/10/2025 - PIX: CPF - CHAVE: 108.680.396-59</v>
      </c>
      <c r="I6408" t="str">
        <f t="shared" si="1162"/>
        <v>16/10/2025</v>
      </c>
      <c r="J6408" t="str">
        <f t="shared" si="1164"/>
        <v>07/10/2025</v>
      </c>
      <c r="K6408" t="str">
        <f>("16/10/2025")</f>
        <v>16/10/2025</v>
      </c>
      <c r="L6408">
        <v>1590</v>
      </c>
      <c r="M6408">
        <v>1590</v>
      </c>
      <c r="N6408">
        <v>109</v>
      </c>
      <c r="O6408" t="str">
        <f>"PAGAMENTO DE ENTREGADORES"</f>
        <v>PAGAMENTO DE ENTREGADORES</v>
      </c>
      <c r="P6408">
        <v>1590</v>
      </c>
      <c r="S6408" t="str">
        <f>"BANCO C6 (149)"</f>
        <v>BANCO C6 (149)</v>
      </c>
      <c r="T6408">
        <v>19724</v>
      </c>
      <c r="U6408">
        <v>22985</v>
      </c>
      <c r="V6408" t="s">
        <v>77</v>
      </c>
    </row>
    <row r="6409" spans="1:22">
      <c r="A6409" t="str">
        <f t="shared" si="1159"/>
        <v>16/10/2025</v>
      </c>
      <c r="B6409" t="str">
        <f t="shared" si="1160"/>
        <v>SAÍDA</v>
      </c>
      <c r="C6409" t="str">
        <f t="shared" si="1161"/>
        <v>PIX</v>
      </c>
      <c r="D6409" t="str">
        <f>"22985"</f>
        <v>22985</v>
      </c>
      <c r="E6409" t="str">
        <f t="shared" si="1163"/>
        <v>1</v>
      </c>
      <c r="F6409" t="str">
        <f t="shared" si="1158"/>
        <v>COM</v>
      </c>
      <c r="G6409" t="str">
        <f>"NELSON DOS SANTOS RODRIGUES (37)"</f>
        <v>NELSON DOS SANTOS RODRIGUES (37)</v>
      </c>
      <c r="H6409" t="s">
        <v>1734</v>
      </c>
      <c r="I6409" t="str">
        <f t="shared" si="1162"/>
        <v>16/10/2025</v>
      </c>
      <c r="J6409" t="str">
        <f t="shared" si="1164"/>
        <v>07/10/2025</v>
      </c>
      <c r="K6409">
        <v>45946</v>
      </c>
      <c r="N6409">
        <v>109</v>
      </c>
      <c r="O6409" t="s">
        <v>24</v>
      </c>
      <c r="Q6409">
        <v>1590</v>
      </c>
      <c r="R6409" t="str">
        <f>"FARMÁCIA INDIANA LJ 11 (10008)"</f>
        <v>FARMÁCIA INDIANA LJ 11 (10008)</v>
      </c>
      <c r="S6409" t="s">
        <v>77</v>
      </c>
      <c r="T6409">
        <v>19724</v>
      </c>
      <c r="U6409">
        <v>22985</v>
      </c>
      <c r="V6409" t="s">
        <v>77</v>
      </c>
    </row>
    <row r="6410" spans="1:22">
      <c r="A6410" t="str">
        <f t="shared" si="1159"/>
        <v>16/10/2025</v>
      </c>
      <c r="B6410" t="str">
        <f t="shared" si="1160"/>
        <v>SAÍDA</v>
      </c>
      <c r="C6410" t="str">
        <f t="shared" si="1161"/>
        <v>PIX</v>
      </c>
      <c r="D6410" t="str">
        <f>"22986"</f>
        <v>22986</v>
      </c>
      <c r="E6410" t="str">
        <f t="shared" si="1163"/>
        <v>1</v>
      </c>
      <c r="F6410" t="str">
        <f t="shared" si="1158"/>
        <v>COM</v>
      </c>
      <c r="G6410" t="str">
        <f>"NILTON RODRIGUES DE SOUZA (136)"</f>
        <v>NILTON RODRIGUES DE SOUZA (136)</v>
      </c>
      <c r="H6410" t="str">
        <f>"Serv.Prest. 26/09/2025 a 05/10/2025 - PIX: CPF - CHAVE: 037.974.316-78"</f>
        <v>Serv.Prest. 26/09/2025 a 05/10/2025 - PIX: CPF - CHAVE: 037.974.316-78</v>
      </c>
      <c r="I6410" t="str">
        <f t="shared" si="1162"/>
        <v>16/10/2025</v>
      </c>
      <c r="J6410" t="str">
        <f t="shared" si="1164"/>
        <v>07/10/2025</v>
      </c>
      <c r="K6410" t="str">
        <f>("16/10/2025")</f>
        <v>16/10/2025</v>
      </c>
      <c r="L6410">
        <v>1584</v>
      </c>
      <c r="M6410">
        <v>1584</v>
      </c>
      <c r="N6410">
        <v>109</v>
      </c>
      <c r="O6410" t="str">
        <f>"PAGAMENTO DE ENTREGADORES"</f>
        <v>PAGAMENTO DE ENTREGADORES</v>
      </c>
      <c r="P6410">
        <v>1584</v>
      </c>
      <c r="S6410" t="str">
        <f>"BANCO C6 (149)"</f>
        <v>BANCO C6 (149)</v>
      </c>
      <c r="T6410">
        <v>19725</v>
      </c>
      <c r="U6410">
        <v>22986</v>
      </c>
      <c r="V6410" t="s">
        <v>77</v>
      </c>
    </row>
    <row r="6411" spans="1:22">
      <c r="A6411" t="str">
        <f t="shared" si="1159"/>
        <v>16/10/2025</v>
      </c>
      <c r="B6411" t="str">
        <f t="shared" si="1160"/>
        <v>SAÍDA</v>
      </c>
      <c r="C6411" t="str">
        <f t="shared" si="1161"/>
        <v>PIX</v>
      </c>
      <c r="D6411" t="str">
        <f>"22986"</f>
        <v>22986</v>
      </c>
      <c r="E6411" t="str">
        <f t="shared" si="1163"/>
        <v>1</v>
      </c>
      <c r="F6411" t="str">
        <f t="shared" si="1158"/>
        <v>COM</v>
      </c>
      <c r="G6411" t="str">
        <f>"NILTON RODRIGUES DE SOUZA (136)"</f>
        <v>NILTON RODRIGUES DE SOUZA (136)</v>
      </c>
      <c r="H6411" t="s">
        <v>1735</v>
      </c>
      <c r="I6411" t="str">
        <f t="shared" si="1162"/>
        <v>16/10/2025</v>
      </c>
      <c r="J6411" t="str">
        <f t="shared" si="1164"/>
        <v>07/10/2025</v>
      </c>
      <c r="K6411">
        <v>45946</v>
      </c>
      <c r="N6411">
        <v>109</v>
      </c>
      <c r="O6411" t="s">
        <v>24</v>
      </c>
      <c r="Q6411">
        <v>1056.05</v>
      </c>
      <c r="R6411" t="str">
        <f>"FARMÁCIA INDIANA LJ 18 (10011)"</f>
        <v>FARMÁCIA INDIANA LJ 18 (10011)</v>
      </c>
      <c r="S6411" t="s">
        <v>77</v>
      </c>
      <c r="T6411">
        <v>19725</v>
      </c>
      <c r="U6411">
        <v>22986</v>
      </c>
      <c r="V6411" t="s">
        <v>77</v>
      </c>
    </row>
    <row r="6412" spans="1:22">
      <c r="A6412" t="str">
        <f t="shared" si="1159"/>
        <v>16/10/2025</v>
      </c>
      <c r="B6412" t="str">
        <f t="shared" si="1160"/>
        <v>SAÍDA</v>
      </c>
      <c r="C6412" t="str">
        <f t="shared" si="1161"/>
        <v>PIX</v>
      </c>
      <c r="D6412" t="str">
        <f>"22986"</f>
        <v>22986</v>
      </c>
      <c r="E6412" t="str">
        <f t="shared" si="1163"/>
        <v>1</v>
      </c>
      <c r="F6412" t="str">
        <f t="shared" si="1158"/>
        <v>COM</v>
      </c>
      <c r="G6412" t="str">
        <f>"NILTON RODRIGUES DE SOUZA (136)"</f>
        <v>NILTON RODRIGUES DE SOUZA (136)</v>
      </c>
      <c r="H6412" t="s">
        <v>1735</v>
      </c>
      <c r="I6412" t="str">
        <f t="shared" si="1162"/>
        <v>16/10/2025</v>
      </c>
      <c r="J6412" t="str">
        <f t="shared" si="1164"/>
        <v>07/10/2025</v>
      </c>
      <c r="K6412">
        <v>45946</v>
      </c>
      <c r="N6412">
        <v>109</v>
      </c>
      <c r="O6412" t="s">
        <v>24</v>
      </c>
      <c r="Q6412">
        <v>527.95000000000005</v>
      </c>
      <c r="R6412" t="str">
        <f>"FARMÁCIA INDIANA LJ 19 (10012)"</f>
        <v>FARMÁCIA INDIANA LJ 19 (10012)</v>
      </c>
      <c r="S6412" t="s">
        <v>77</v>
      </c>
      <c r="T6412">
        <v>19725</v>
      </c>
      <c r="U6412">
        <v>22986</v>
      </c>
      <c r="V6412" t="s">
        <v>77</v>
      </c>
    </row>
    <row r="6413" spans="1:22">
      <c r="A6413" t="str">
        <f t="shared" si="1159"/>
        <v>16/10/2025</v>
      </c>
      <c r="B6413" t="str">
        <f t="shared" si="1160"/>
        <v>SAÍDA</v>
      </c>
      <c r="C6413" t="str">
        <f t="shared" si="1161"/>
        <v>PIX</v>
      </c>
      <c r="D6413" t="str">
        <f>"22987"</f>
        <v>22987</v>
      </c>
      <c r="E6413" t="str">
        <f t="shared" si="1163"/>
        <v>1</v>
      </c>
      <c r="F6413" t="str">
        <f t="shared" si="1158"/>
        <v>COM</v>
      </c>
      <c r="G6413" t="str">
        <f>"PATRICK DE SOUZA CORREA (92)"</f>
        <v>PATRICK DE SOUZA CORREA (92)</v>
      </c>
      <c r="H6413" t="str">
        <f>"Serv.Prest. 26/09/2025 a 05/10/2025 - PIX: CELULAR - CHAVE: (31) 99216-8711"</f>
        <v>Serv.Prest. 26/09/2025 a 05/10/2025 - PIX: CELULAR - CHAVE: (31) 99216-8711</v>
      </c>
      <c r="I6413" t="str">
        <f t="shared" si="1162"/>
        <v>16/10/2025</v>
      </c>
      <c r="J6413" t="str">
        <f t="shared" si="1164"/>
        <v>07/10/2025</v>
      </c>
      <c r="K6413" t="str">
        <f>("16/10/2025")</f>
        <v>16/10/2025</v>
      </c>
      <c r="L6413">
        <v>600</v>
      </c>
      <c r="M6413">
        <v>600</v>
      </c>
      <c r="N6413">
        <v>109</v>
      </c>
      <c r="O6413" t="str">
        <f>"PAGAMENTO DE ENTREGADORES"</f>
        <v>PAGAMENTO DE ENTREGADORES</v>
      </c>
      <c r="P6413">
        <v>600</v>
      </c>
      <c r="S6413" t="str">
        <f>"BANCO C6 (149)"</f>
        <v>BANCO C6 (149)</v>
      </c>
      <c r="T6413">
        <v>19726</v>
      </c>
      <c r="U6413">
        <v>22987</v>
      </c>
      <c r="V6413" t="s">
        <v>77</v>
      </c>
    </row>
    <row r="6414" spans="1:22">
      <c r="A6414" t="str">
        <f t="shared" si="1159"/>
        <v>16/10/2025</v>
      </c>
      <c r="B6414" t="str">
        <f t="shared" si="1160"/>
        <v>SAÍDA</v>
      </c>
      <c r="C6414" t="str">
        <f t="shared" si="1161"/>
        <v>PIX</v>
      </c>
      <c r="D6414" t="str">
        <f>"22987"</f>
        <v>22987</v>
      </c>
      <c r="E6414" t="str">
        <f t="shared" si="1163"/>
        <v>1</v>
      </c>
      <c r="F6414" t="str">
        <f t="shared" si="1158"/>
        <v>COM</v>
      </c>
      <c r="G6414" t="str">
        <f>"PATRICK DE SOUZA CORREA (92)"</f>
        <v>PATRICK DE SOUZA CORREA (92)</v>
      </c>
      <c r="H6414" t="s">
        <v>1736</v>
      </c>
      <c r="I6414" t="str">
        <f t="shared" si="1162"/>
        <v>16/10/2025</v>
      </c>
      <c r="J6414" t="str">
        <f t="shared" si="1164"/>
        <v>07/10/2025</v>
      </c>
      <c r="K6414">
        <v>45946</v>
      </c>
      <c r="N6414">
        <v>109</v>
      </c>
      <c r="O6414" t="s">
        <v>24</v>
      </c>
      <c r="Q6414">
        <v>480</v>
      </c>
      <c r="R6414" t="str">
        <f>"FARMÁCIA INDIANA LJ 184 (10080)"</f>
        <v>FARMÁCIA INDIANA LJ 184 (10080)</v>
      </c>
      <c r="S6414" t="s">
        <v>77</v>
      </c>
      <c r="T6414">
        <v>19726</v>
      </c>
      <c r="U6414">
        <v>22987</v>
      </c>
      <c r="V6414" t="s">
        <v>77</v>
      </c>
    </row>
    <row r="6415" spans="1:22">
      <c r="A6415" t="str">
        <f t="shared" si="1159"/>
        <v>16/10/2025</v>
      </c>
      <c r="B6415" t="str">
        <f t="shared" si="1160"/>
        <v>SAÍDA</v>
      </c>
      <c r="C6415" t="str">
        <f t="shared" si="1161"/>
        <v>PIX</v>
      </c>
      <c r="D6415" t="str">
        <f>"22987"</f>
        <v>22987</v>
      </c>
      <c r="E6415" t="str">
        <f t="shared" si="1163"/>
        <v>1</v>
      </c>
      <c r="F6415" t="str">
        <f t="shared" si="1158"/>
        <v>COM</v>
      </c>
      <c r="G6415" t="str">
        <f>"PATRICK DE SOUZA CORREA (92)"</f>
        <v>PATRICK DE SOUZA CORREA (92)</v>
      </c>
      <c r="H6415" t="s">
        <v>1736</v>
      </c>
      <c r="I6415" t="str">
        <f t="shared" si="1162"/>
        <v>16/10/2025</v>
      </c>
      <c r="J6415" t="str">
        <f t="shared" si="1164"/>
        <v>07/10/2025</v>
      </c>
      <c r="K6415">
        <v>45946</v>
      </c>
      <c r="N6415">
        <v>109</v>
      </c>
      <c r="O6415" t="s">
        <v>24</v>
      </c>
      <c r="Q6415">
        <v>120</v>
      </c>
      <c r="R6415" t="str">
        <f>"FARMÁCIA INDIANA LJ 195 (10083)"</f>
        <v>FARMÁCIA INDIANA LJ 195 (10083)</v>
      </c>
      <c r="S6415" t="s">
        <v>77</v>
      </c>
      <c r="T6415">
        <v>19726</v>
      </c>
      <c r="U6415">
        <v>22987</v>
      </c>
      <c r="V6415" t="s">
        <v>77</v>
      </c>
    </row>
    <row r="6416" spans="1:22">
      <c r="A6416" t="str">
        <f t="shared" si="1159"/>
        <v>16/10/2025</v>
      </c>
      <c r="B6416" t="str">
        <f t="shared" si="1160"/>
        <v>SAÍDA</v>
      </c>
      <c r="C6416" t="str">
        <f t="shared" si="1161"/>
        <v>PIX</v>
      </c>
      <c r="D6416" t="str">
        <f>"22988"</f>
        <v>22988</v>
      </c>
      <c r="E6416" t="str">
        <f t="shared" si="1163"/>
        <v>1</v>
      </c>
      <c r="F6416" t="str">
        <f t="shared" si="1158"/>
        <v>COM</v>
      </c>
      <c r="G6416" t="str">
        <f>"PAULO HENRIQUE OLIVEIRA SILVA (39)"</f>
        <v>PAULO HENRIQUE OLIVEIRA SILVA (39)</v>
      </c>
      <c r="H6416" t="str">
        <f>"Serv.Prest. 26/09/2025 a 05/10/2025 - PIX: CELULAR - CHAVE: (31) 97339-3761"</f>
        <v>Serv.Prest. 26/09/2025 a 05/10/2025 - PIX: CELULAR - CHAVE: (31) 97339-3761</v>
      </c>
      <c r="I6416" t="str">
        <f t="shared" si="1162"/>
        <v>16/10/2025</v>
      </c>
      <c r="J6416" t="str">
        <f t="shared" si="1164"/>
        <v>07/10/2025</v>
      </c>
      <c r="K6416" t="str">
        <f>("16/10/2025")</f>
        <v>16/10/2025</v>
      </c>
      <c r="L6416">
        <v>1578</v>
      </c>
      <c r="M6416">
        <v>1578</v>
      </c>
      <c r="N6416">
        <v>109</v>
      </c>
      <c r="O6416" t="str">
        <f>"PAGAMENTO DE ENTREGADORES"</f>
        <v>PAGAMENTO DE ENTREGADORES</v>
      </c>
      <c r="P6416">
        <v>1578</v>
      </c>
      <c r="S6416" t="str">
        <f>"BANCO C6 (149)"</f>
        <v>BANCO C6 (149)</v>
      </c>
      <c r="T6416">
        <v>19727</v>
      </c>
      <c r="U6416">
        <v>22988</v>
      </c>
      <c r="V6416" t="s">
        <v>77</v>
      </c>
    </row>
    <row r="6417" spans="1:22">
      <c r="A6417" t="str">
        <f t="shared" si="1159"/>
        <v>16/10/2025</v>
      </c>
      <c r="B6417" t="str">
        <f t="shared" si="1160"/>
        <v>SAÍDA</v>
      </c>
      <c r="C6417" t="str">
        <f t="shared" si="1161"/>
        <v>PIX</v>
      </c>
      <c r="D6417" t="str">
        <f>"22988"</f>
        <v>22988</v>
      </c>
      <c r="E6417" t="str">
        <f t="shared" si="1163"/>
        <v>1</v>
      </c>
      <c r="F6417" t="str">
        <f t="shared" si="1158"/>
        <v>COM</v>
      </c>
      <c r="G6417" t="str">
        <f>"PAULO HENRIQUE OLIVEIRA SILVA (39)"</f>
        <v>PAULO HENRIQUE OLIVEIRA SILVA (39)</v>
      </c>
      <c r="H6417" t="s">
        <v>1737</v>
      </c>
      <c r="I6417" t="str">
        <f t="shared" si="1162"/>
        <v>16/10/2025</v>
      </c>
      <c r="J6417" t="str">
        <f t="shared" si="1164"/>
        <v>07/10/2025</v>
      </c>
      <c r="K6417">
        <v>45946</v>
      </c>
      <c r="N6417">
        <v>109</v>
      </c>
      <c r="O6417" t="s">
        <v>24</v>
      </c>
      <c r="Q6417">
        <v>1578</v>
      </c>
      <c r="R6417" t="str">
        <f>"FARMÁCIA INDIANA LJ 11 (10008)"</f>
        <v>FARMÁCIA INDIANA LJ 11 (10008)</v>
      </c>
      <c r="S6417" t="s">
        <v>77</v>
      </c>
      <c r="T6417">
        <v>19727</v>
      </c>
      <c r="U6417">
        <v>22988</v>
      </c>
      <c r="V6417" t="s">
        <v>77</v>
      </c>
    </row>
    <row r="6418" spans="1:22">
      <c r="A6418" t="str">
        <f t="shared" si="1159"/>
        <v>16/10/2025</v>
      </c>
      <c r="B6418" t="str">
        <f t="shared" si="1160"/>
        <v>SAÍDA</v>
      </c>
      <c r="C6418" t="str">
        <f t="shared" si="1161"/>
        <v>PIX</v>
      </c>
      <c r="D6418" t="str">
        <f>"22989"</f>
        <v>22989</v>
      </c>
      <c r="E6418" t="str">
        <f t="shared" si="1163"/>
        <v>1</v>
      </c>
      <c r="F6418" t="str">
        <f t="shared" si="1158"/>
        <v>COM</v>
      </c>
      <c r="G6418" t="str">
        <f>"PAULO MARCOS FARIA DE SOUZA L (233)"</f>
        <v>PAULO MARCOS FARIA DE SOUZA L (233)</v>
      </c>
      <c r="H6418" t="str">
        <f>"Serv.Prest. 26/09/2025 a 05/10/2025 - PIX: CELULAR - CHAVE: (35) 99264-4504"</f>
        <v>Serv.Prest. 26/09/2025 a 05/10/2025 - PIX: CELULAR - CHAVE: (35) 99264-4504</v>
      </c>
      <c r="I6418" t="str">
        <f t="shared" si="1162"/>
        <v>16/10/2025</v>
      </c>
      <c r="J6418" t="str">
        <f t="shared" si="1164"/>
        <v>07/10/2025</v>
      </c>
      <c r="K6418" t="str">
        <f>("16/10/2025")</f>
        <v>16/10/2025</v>
      </c>
      <c r="L6418">
        <v>500</v>
      </c>
      <c r="M6418">
        <v>500</v>
      </c>
      <c r="N6418">
        <v>109</v>
      </c>
      <c r="O6418" t="str">
        <f>"PAGAMENTO DE ENTREGADORES"</f>
        <v>PAGAMENTO DE ENTREGADORES</v>
      </c>
      <c r="P6418">
        <v>500</v>
      </c>
      <c r="S6418" t="str">
        <f>"BANCO C6 (149)"</f>
        <v>BANCO C6 (149)</v>
      </c>
      <c r="T6418">
        <v>19728</v>
      </c>
      <c r="U6418">
        <v>22989</v>
      </c>
      <c r="V6418" t="s">
        <v>77</v>
      </c>
    </row>
    <row r="6419" spans="1:22">
      <c r="A6419" t="str">
        <f t="shared" si="1159"/>
        <v>16/10/2025</v>
      </c>
      <c r="B6419" t="str">
        <f t="shared" si="1160"/>
        <v>SAÍDA</v>
      </c>
      <c r="C6419" t="str">
        <f t="shared" si="1161"/>
        <v>PIX</v>
      </c>
      <c r="D6419" t="str">
        <f>"22989"</f>
        <v>22989</v>
      </c>
      <c r="E6419" t="str">
        <f t="shared" si="1163"/>
        <v>1</v>
      </c>
      <c r="F6419" t="str">
        <f t="shared" si="1158"/>
        <v>COM</v>
      </c>
      <c r="G6419" t="str">
        <f>"PAULO MARCOS FARIA DE SOUZA L (233)"</f>
        <v>PAULO MARCOS FARIA DE SOUZA L (233)</v>
      </c>
      <c r="H6419" t="s">
        <v>1738</v>
      </c>
      <c r="I6419" t="str">
        <f t="shared" si="1162"/>
        <v>16/10/2025</v>
      </c>
      <c r="J6419" t="str">
        <f t="shared" si="1164"/>
        <v>07/10/2025</v>
      </c>
      <c r="K6419">
        <v>45946</v>
      </c>
      <c r="N6419">
        <v>109</v>
      </c>
      <c r="O6419" t="s">
        <v>24</v>
      </c>
      <c r="Q6419">
        <v>500</v>
      </c>
      <c r="R6419" t="str">
        <f>"FARMÁCIA INDIANA LJ 64 (10029)"</f>
        <v>FARMÁCIA INDIANA LJ 64 (10029)</v>
      </c>
      <c r="S6419" t="s">
        <v>77</v>
      </c>
      <c r="T6419">
        <v>19728</v>
      </c>
      <c r="U6419">
        <v>22989</v>
      </c>
      <c r="V6419" t="s">
        <v>77</v>
      </c>
    </row>
    <row r="6420" spans="1:22">
      <c r="A6420" t="str">
        <f t="shared" si="1159"/>
        <v>16/10/2025</v>
      </c>
      <c r="B6420" t="str">
        <f t="shared" si="1160"/>
        <v>SAÍDA</v>
      </c>
      <c r="C6420" t="str">
        <f t="shared" si="1161"/>
        <v>PIX</v>
      </c>
      <c r="D6420" t="str">
        <f>"22990"</f>
        <v>22990</v>
      </c>
      <c r="E6420" t="str">
        <f t="shared" si="1163"/>
        <v>1</v>
      </c>
      <c r="F6420" t="str">
        <f t="shared" si="1158"/>
        <v>COM</v>
      </c>
      <c r="G6420" t="str">
        <f>"PEDRO HENRIQUE DA SILVA COSTA OLIVEIRA (852)"</f>
        <v>PEDRO HENRIQUE DA SILVA COSTA OLIVEIRA (852)</v>
      </c>
      <c r="H6420" t="str">
        <f>"Serv.Prest. 26/09/2025 a 05/10/2025 - PIX: E-MAIL - CHAVE: sypedrinho@gmail.com"</f>
        <v>Serv.Prest. 26/09/2025 a 05/10/2025 - PIX: E-MAIL - CHAVE: sypedrinho@gmail.com</v>
      </c>
      <c r="I6420" t="str">
        <f t="shared" si="1162"/>
        <v>16/10/2025</v>
      </c>
      <c r="J6420" t="str">
        <f t="shared" si="1164"/>
        <v>07/10/2025</v>
      </c>
      <c r="K6420" t="str">
        <f>("16/10/2025")</f>
        <v>16/10/2025</v>
      </c>
      <c r="L6420">
        <v>962</v>
      </c>
      <c r="M6420">
        <v>962</v>
      </c>
      <c r="N6420">
        <v>109</v>
      </c>
      <c r="O6420" t="str">
        <f>"PAGAMENTO DE ENTREGADORES"</f>
        <v>PAGAMENTO DE ENTREGADORES</v>
      </c>
      <c r="P6420">
        <v>962</v>
      </c>
      <c r="S6420" t="str">
        <f>"BANCO C6 (149)"</f>
        <v>BANCO C6 (149)</v>
      </c>
      <c r="T6420">
        <v>19729</v>
      </c>
      <c r="U6420">
        <v>22990</v>
      </c>
      <c r="V6420" t="s">
        <v>77</v>
      </c>
    </row>
    <row r="6421" spans="1:22">
      <c r="A6421" t="str">
        <f t="shared" si="1159"/>
        <v>16/10/2025</v>
      </c>
      <c r="B6421" t="str">
        <f t="shared" si="1160"/>
        <v>SAÍDA</v>
      </c>
      <c r="C6421" t="str">
        <f t="shared" si="1161"/>
        <v>PIX</v>
      </c>
      <c r="D6421" t="str">
        <f>"22990"</f>
        <v>22990</v>
      </c>
      <c r="E6421" t="str">
        <f t="shared" si="1163"/>
        <v>1</v>
      </c>
      <c r="F6421" t="str">
        <f t="shared" si="1158"/>
        <v>COM</v>
      </c>
      <c r="G6421" t="str">
        <f>"PEDRO HENRIQUE DA SILVA COSTA OLIVEIRA (852)"</f>
        <v>PEDRO HENRIQUE DA SILVA COSTA OLIVEIRA (852)</v>
      </c>
      <c r="H6421" t="s">
        <v>1627</v>
      </c>
      <c r="I6421" t="str">
        <f t="shared" si="1162"/>
        <v>16/10/2025</v>
      </c>
      <c r="J6421" t="str">
        <f t="shared" si="1164"/>
        <v>07/10/2025</v>
      </c>
      <c r="K6421">
        <v>45946</v>
      </c>
      <c r="N6421">
        <v>109</v>
      </c>
      <c r="O6421" t="s">
        <v>24</v>
      </c>
      <c r="Q6421">
        <v>962</v>
      </c>
      <c r="R6421" t="str">
        <f>"FARMÁCIA INDIANA LJ 110 (10048)"</f>
        <v>FARMÁCIA INDIANA LJ 110 (10048)</v>
      </c>
      <c r="S6421" t="s">
        <v>77</v>
      </c>
      <c r="T6421">
        <v>19729</v>
      </c>
      <c r="U6421">
        <v>22990</v>
      </c>
      <c r="V6421" t="s">
        <v>77</v>
      </c>
    </row>
    <row r="6422" spans="1:22">
      <c r="A6422" t="str">
        <f t="shared" si="1159"/>
        <v>16/10/2025</v>
      </c>
      <c r="B6422" t="str">
        <f t="shared" si="1160"/>
        <v>SAÍDA</v>
      </c>
      <c r="C6422" t="str">
        <f t="shared" si="1161"/>
        <v>PIX</v>
      </c>
      <c r="D6422" t="str">
        <f>"22993"</f>
        <v>22993</v>
      </c>
      <c r="E6422" t="str">
        <f t="shared" si="1163"/>
        <v>1</v>
      </c>
      <c r="F6422" t="str">
        <f t="shared" si="1158"/>
        <v>COM</v>
      </c>
      <c r="G6422" t="str">
        <f>"RAISSON VITOR MENDES DE ABREU (705)"</f>
        <v>RAISSON VITOR MENDES DE ABREU (705)</v>
      </c>
      <c r="H6422" t="str">
        <f>"Serv.Prest. 26/09/2025 a 05/10/2025 - PIX: CELULAR - CHAVE: (31) 99959-5414"</f>
        <v>Serv.Prest. 26/09/2025 a 05/10/2025 - PIX: CELULAR - CHAVE: (31) 99959-5414</v>
      </c>
      <c r="I6422" t="str">
        <f t="shared" si="1162"/>
        <v>16/10/2025</v>
      </c>
      <c r="J6422" t="str">
        <f t="shared" si="1164"/>
        <v>07/10/2025</v>
      </c>
      <c r="K6422" t="str">
        <f>("16/10/2025")</f>
        <v>16/10/2025</v>
      </c>
      <c r="L6422">
        <v>800</v>
      </c>
      <c r="M6422">
        <v>800</v>
      </c>
      <c r="N6422">
        <v>109</v>
      </c>
      <c r="O6422" t="str">
        <f>"PAGAMENTO DE ENTREGADORES"</f>
        <v>PAGAMENTO DE ENTREGADORES</v>
      </c>
      <c r="P6422">
        <v>800</v>
      </c>
      <c r="S6422" t="str">
        <f>"BANCO C6 (149)"</f>
        <v>BANCO C6 (149)</v>
      </c>
      <c r="T6422">
        <v>19730</v>
      </c>
      <c r="U6422">
        <v>22993</v>
      </c>
      <c r="V6422" t="s">
        <v>77</v>
      </c>
    </row>
    <row r="6423" spans="1:22">
      <c r="A6423" t="str">
        <f t="shared" si="1159"/>
        <v>16/10/2025</v>
      </c>
      <c r="B6423" t="str">
        <f t="shared" si="1160"/>
        <v>SAÍDA</v>
      </c>
      <c r="C6423" t="str">
        <f t="shared" si="1161"/>
        <v>PIX</v>
      </c>
      <c r="D6423" t="str">
        <f>"22993"</f>
        <v>22993</v>
      </c>
      <c r="E6423" t="str">
        <f t="shared" si="1163"/>
        <v>1</v>
      </c>
      <c r="F6423" t="str">
        <f t="shared" si="1158"/>
        <v>COM</v>
      </c>
      <c r="G6423" t="str">
        <f>"RAISSON VITOR MENDES DE ABREU (705)"</f>
        <v>RAISSON VITOR MENDES DE ABREU (705)</v>
      </c>
      <c r="H6423" t="s">
        <v>1739</v>
      </c>
      <c r="I6423" t="str">
        <f t="shared" si="1162"/>
        <v>16/10/2025</v>
      </c>
      <c r="J6423" t="str">
        <f t="shared" si="1164"/>
        <v>07/10/2025</v>
      </c>
      <c r="K6423">
        <v>45946</v>
      </c>
      <c r="N6423">
        <v>109</v>
      </c>
      <c r="O6423" t="s">
        <v>24</v>
      </c>
      <c r="Q6423">
        <v>800</v>
      </c>
      <c r="R6423" t="str">
        <f>"FARMÁCIA INDIANA LJ 178 (10077)"</f>
        <v>FARMÁCIA INDIANA LJ 178 (10077)</v>
      </c>
      <c r="S6423" t="s">
        <v>77</v>
      </c>
      <c r="T6423">
        <v>19730</v>
      </c>
      <c r="U6423">
        <v>22993</v>
      </c>
      <c r="V6423" t="s">
        <v>77</v>
      </c>
    </row>
    <row r="6424" spans="1:22">
      <c r="A6424" t="str">
        <f t="shared" si="1159"/>
        <v>16/10/2025</v>
      </c>
      <c r="B6424" t="str">
        <f t="shared" si="1160"/>
        <v>SAÍDA</v>
      </c>
      <c r="C6424" t="str">
        <f t="shared" si="1161"/>
        <v>PIX</v>
      </c>
      <c r="D6424" t="str">
        <f>"22994"</f>
        <v>22994</v>
      </c>
      <c r="E6424" t="str">
        <f t="shared" si="1163"/>
        <v>1</v>
      </c>
      <c r="F6424" t="str">
        <f t="shared" si="1158"/>
        <v>COM</v>
      </c>
      <c r="G6424" t="str">
        <f>"RENATO GEORGE GONÇALVES (191)"</f>
        <v>RENATO GEORGE GONÇALVES (191)</v>
      </c>
      <c r="H6424" t="str">
        <f>"Serv.Prest. 26/09/2025 a 05/10/2025 - PIX: CPF - CHAVE: 012.783.036-77"</f>
        <v>Serv.Prest. 26/09/2025 a 05/10/2025 - PIX: CPF - CHAVE: 012.783.036-77</v>
      </c>
      <c r="I6424" t="str">
        <f t="shared" si="1162"/>
        <v>16/10/2025</v>
      </c>
      <c r="J6424" t="str">
        <f t="shared" si="1164"/>
        <v>07/10/2025</v>
      </c>
      <c r="K6424" t="str">
        <f>("16/10/2025")</f>
        <v>16/10/2025</v>
      </c>
      <c r="L6424">
        <v>1620</v>
      </c>
      <c r="M6424">
        <v>1620</v>
      </c>
      <c r="N6424">
        <v>109</v>
      </c>
      <c r="O6424" t="str">
        <f>"PAGAMENTO DE ENTREGADORES"</f>
        <v>PAGAMENTO DE ENTREGADORES</v>
      </c>
      <c r="P6424">
        <v>1620</v>
      </c>
      <c r="S6424" t="str">
        <f>"BANCO C6 (149)"</f>
        <v>BANCO C6 (149)</v>
      </c>
      <c r="T6424">
        <v>19731</v>
      </c>
      <c r="U6424">
        <v>22994</v>
      </c>
      <c r="V6424" t="s">
        <v>77</v>
      </c>
    </row>
    <row r="6425" spans="1:22">
      <c r="A6425" t="str">
        <f t="shared" si="1159"/>
        <v>16/10/2025</v>
      </c>
      <c r="B6425" t="str">
        <f t="shared" si="1160"/>
        <v>SAÍDA</v>
      </c>
      <c r="C6425" t="str">
        <f t="shared" si="1161"/>
        <v>PIX</v>
      </c>
      <c r="D6425" t="str">
        <f>"22994"</f>
        <v>22994</v>
      </c>
      <c r="E6425" t="str">
        <f t="shared" si="1163"/>
        <v>1</v>
      </c>
      <c r="F6425" t="str">
        <f t="shared" si="1158"/>
        <v>COM</v>
      </c>
      <c r="G6425" t="str">
        <f>"RENATO GEORGE GONÇALVES (191)"</f>
        <v>RENATO GEORGE GONÇALVES (191)</v>
      </c>
      <c r="H6425" t="s">
        <v>1740</v>
      </c>
      <c r="I6425" t="str">
        <f t="shared" si="1162"/>
        <v>16/10/2025</v>
      </c>
      <c r="J6425" t="str">
        <f t="shared" si="1164"/>
        <v>07/10/2025</v>
      </c>
      <c r="K6425">
        <v>45946</v>
      </c>
      <c r="N6425">
        <v>109</v>
      </c>
      <c r="O6425" t="s">
        <v>24</v>
      </c>
      <c r="Q6425">
        <v>1620</v>
      </c>
      <c r="R6425" t="str">
        <f>"FARMÁCIA INDIANA LJ 06 (10006)"</f>
        <v>FARMÁCIA INDIANA LJ 06 (10006)</v>
      </c>
      <c r="S6425" t="s">
        <v>77</v>
      </c>
      <c r="T6425">
        <v>19731</v>
      </c>
      <c r="U6425">
        <v>22994</v>
      </c>
      <c r="V6425" t="s">
        <v>77</v>
      </c>
    </row>
    <row r="6426" spans="1:22">
      <c r="A6426" t="str">
        <f t="shared" si="1159"/>
        <v>16/10/2025</v>
      </c>
      <c r="B6426" t="str">
        <f t="shared" si="1160"/>
        <v>SAÍDA</v>
      </c>
      <c r="C6426" t="str">
        <f t="shared" si="1161"/>
        <v>PIX</v>
      </c>
      <c r="D6426" t="str">
        <f>"22995"</f>
        <v>22995</v>
      </c>
      <c r="E6426" t="str">
        <f t="shared" si="1163"/>
        <v>1</v>
      </c>
      <c r="F6426" t="str">
        <f t="shared" si="1158"/>
        <v>COM</v>
      </c>
      <c r="G6426" t="str">
        <f>"RICARDO NASCIMENTO DE SOUZA (146)"</f>
        <v>RICARDO NASCIMENTO DE SOUZA (146)</v>
      </c>
      <c r="H6426" t="str">
        <f>"Serv.Prest. 26/09/2025 a 05/10/2025 - PIX: CELULAR - CHAVE: (31) 98891-8440"</f>
        <v>Serv.Prest. 26/09/2025 a 05/10/2025 - PIX: CELULAR - CHAVE: (31) 98891-8440</v>
      </c>
      <c r="I6426" t="str">
        <f t="shared" si="1162"/>
        <v>16/10/2025</v>
      </c>
      <c r="J6426" t="str">
        <f t="shared" si="1164"/>
        <v>07/10/2025</v>
      </c>
      <c r="K6426" t="str">
        <f>("16/10/2025")</f>
        <v>16/10/2025</v>
      </c>
      <c r="L6426">
        <v>1488</v>
      </c>
      <c r="M6426">
        <v>1488</v>
      </c>
      <c r="N6426">
        <v>109</v>
      </c>
      <c r="O6426" t="str">
        <f>"PAGAMENTO DE ENTREGADORES"</f>
        <v>PAGAMENTO DE ENTREGADORES</v>
      </c>
      <c r="P6426">
        <v>1488</v>
      </c>
      <c r="S6426" t="str">
        <f>"BANCO C6 (149)"</f>
        <v>BANCO C6 (149)</v>
      </c>
      <c r="T6426">
        <v>19732</v>
      </c>
      <c r="U6426">
        <v>22995</v>
      </c>
      <c r="V6426" t="s">
        <v>77</v>
      </c>
    </row>
    <row r="6427" spans="1:22">
      <c r="A6427" t="str">
        <f t="shared" si="1159"/>
        <v>16/10/2025</v>
      </c>
      <c r="B6427" t="str">
        <f t="shared" si="1160"/>
        <v>SAÍDA</v>
      </c>
      <c r="C6427" t="str">
        <f t="shared" si="1161"/>
        <v>PIX</v>
      </c>
      <c r="D6427" t="str">
        <f>"22995"</f>
        <v>22995</v>
      </c>
      <c r="E6427" t="str">
        <f t="shared" si="1163"/>
        <v>1</v>
      </c>
      <c r="F6427" t="str">
        <f t="shared" si="1158"/>
        <v>COM</v>
      </c>
      <c r="G6427" t="str">
        <f>"RICARDO NASCIMENTO DE SOUZA (146)"</f>
        <v>RICARDO NASCIMENTO DE SOUZA (146)</v>
      </c>
      <c r="H6427" t="s">
        <v>1741</v>
      </c>
      <c r="I6427" t="str">
        <f t="shared" si="1162"/>
        <v>16/10/2025</v>
      </c>
      <c r="J6427" t="str">
        <f t="shared" si="1164"/>
        <v>07/10/2025</v>
      </c>
      <c r="K6427">
        <v>45946</v>
      </c>
      <c r="N6427">
        <v>109</v>
      </c>
      <c r="O6427" t="s">
        <v>24</v>
      </c>
      <c r="Q6427">
        <v>1488</v>
      </c>
      <c r="R6427" t="str">
        <f>"FARMÁCIA INDIANA LJ 19 (10012)"</f>
        <v>FARMÁCIA INDIANA LJ 19 (10012)</v>
      </c>
      <c r="S6427" t="s">
        <v>77</v>
      </c>
      <c r="T6427">
        <v>19732</v>
      </c>
      <c r="U6427">
        <v>22995</v>
      </c>
      <c r="V6427" t="s">
        <v>77</v>
      </c>
    </row>
    <row r="6428" spans="1:22">
      <c r="A6428" t="str">
        <f t="shared" si="1159"/>
        <v>16/10/2025</v>
      </c>
      <c r="B6428" t="str">
        <f t="shared" si="1160"/>
        <v>SAÍDA</v>
      </c>
      <c r="C6428" t="str">
        <f t="shared" si="1161"/>
        <v>PIX</v>
      </c>
      <c r="D6428" t="str">
        <f>"22996"</f>
        <v>22996</v>
      </c>
      <c r="E6428" t="str">
        <f t="shared" si="1163"/>
        <v>1</v>
      </c>
      <c r="F6428" t="str">
        <f t="shared" si="1158"/>
        <v>COM</v>
      </c>
      <c r="G6428" t="str">
        <f>"ROGÉRIO LAURINDO BORGES (176)"</f>
        <v>ROGÉRIO LAURINDO BORGES (176)</v>
      </c>
      <c r="H6428" t="str">
        <f>"Serv.Prest. 26/09/2025 a 05/10/2025 - PIX: E-MAIL - CHAVE: roger.l.borges04@gmail.com"</f>
        <v>Serv.Prest. 26/09/2025 a 05/10/2025 - PIX: E-MAIL - CHAVE: roger.l.borges04@gmail.com</v>
      </c>
      <c r="I6428" t="str">
        <f t="shared" si="1162"/>
        <v>16/10/2025</v>
      </c>
      <c r="J6428" t="str">
        <f t="shared" si="1164"/>
        <v>07/10/2025</v>
      </c>
      <c r="K6428" t="str">
        <f>("16/10/2025")</f>
        <v>16/10/2025</v>
      </c>
      <c r="L6428">
        <v>2220</v>
      </c>
      <c r="M6428">
        <v>2220</v>
      </c>
      <c r="N6428">
        <v>109</v>
      </c>
      <c r="O6428" t="str">
        <f>"PAGAMENTO DE ENTREGADORES"</f>
        <v>PAGAMENTO DE ENTREGADORES</v>
      </c>
      <c r="P6428">
        <v>2220</v>
      </c>
      <c r="S6428" t="str">
        <f>"BANCO C6 (149)"</f>
        <v>BANCO C6 (149)</v>
      </c>
      <c r="T6428">
        <v>19733</v>
      </c>
      <c r="U6428">
        <v>22996</v>
      </c>
      <c r="V6428" t="s">
        <v>77</v>
      </c>
    </row>
    <row r="6429" spans="1:22">
      <c r="A6429" t="str">
        <f t="shared" si="1159"/>
        <v>16/10/2025</v>
      </c>
      <c r="B6429" t="str">
        <f t="shared" si="1160"/>
        <v>SAÍDA</v>
      </c>
      <c r="C6429" t="str">
        <f t="shared" si="1161"/>
        <v>PIX</v>
      </c>
      <c r="D6429" t="str">
        <f>"22996"</f>
        <v>22996</v>
      </c>
      <c r="E6429" t="str">
        <f t="shared" si="1163"/>
        <v>1</v>
      </c>
      <c r="F6429" t="str">
        <f t="shared" si="1158"/>
        <v>COM</v>
      </c>
      <c r="G6429" t="str">
        <f>"ROGÉRIO LAURINDO BORGES (176)"</f>
        <v>ROGÉRIO LAURINDO BORGES (176)</v>
      </c>
      <c r="H6429" t="s">
        <v>1742</v>
      </c>
      <c r="I6429" t="str">
        <f t="shared" si="1162"/>
        <v>16/10/2025</v>
      </c>
      <c r="J6429" t="str">
        <f t="shared" si="1164"/>
        <v>07/10/2025</v>
      </c>
      <c r="K6429">
        <v>45946</v>
      </c>
      <c r="N6429">
        <v>109</v>
      </c>
      <c r="O6429" t="s">
        <v>24</v>
      </c>
      <c r="Q6429">
        <v>2220</v>
      </c>
      <c r="R6429" t="str">
        <f>"FARMÁCIA INDIANA LJ 142 (10066)"</f>
        <v>FARMÁCIA INDIANA LJ 142 (10066)</v>
      </c>
      <c r="S6429" t="s">
        <v>77</v>
      </c>
      <c r="T6429">
        <v>19733</v>
      </c>
      <c r="U6429">
        <v>22996</v>
      </c>
      <c r="V6429" t="s">
        <v>77</v>
      </c>
    </row>
    <row r="6430" spans="1:22">
      <c r="A6430" t="str">
        <f t="shared" si="1159"/>
        <v>16/10/2025</v>
      </c>
      <c r="B6430" t="str">
        <f t="shared" si="1160"/>
        <v>SAÍDA</v>
      </c>
      <c r="C6430" t="str">
        <f t="shared" si="1161"/>
        <v>PIX</v>
      </c>
      <c r="D6430" t="str">
        <f>"22997"</f>
        <v>22997</v>
      </c>
      <c r="E6430" t="str">
        <f t="shared" si="1163"/>
        <v>1</v>
      </c>
      <c r="F6430" t="str">
        <f t="shared" si="1158"/>
        <v>COM</v>
      </c>
      <c r="G6430" t="str">
        <f>"RÔMULO LEMOS DE SOUZA (59)"</f>
        <v>RÔMULO LEMOS DE SOUZA (59)</v>
      </c>
      <c r="H6430" t="str">
        <f>"Serv.Prest. 26/09/2025 a 05/10/2025 - PIX: CELULAR - CHAVE: (33) 98840-0998"</f>
        <v>Serv.Prest. 26/09/2025 a 05/10/2025 - PIX: CELULAR - CHAVE: (33) 98840-0998</v>
      </c>
      <c r="I6430" t="str">
        <f t="shared" si="1162"/>
        <v>16/10/2025</v>
      </c>
      <c r="J6430" t="str">
        <f t="shared" si="1164"/>
        <v>07/10/2025</v>
      </c>
      <c r="K6430" t="str">
        <f>("16/10/2025")</f>
        <v>16/10/2025</v>
      </c>
      <c r="L6430">
        <v>1698</v>
      </c>
      <c r="M6430">
        <v>1698</v>
      </c>
      <c r="N6430">
        <v>109</v>
      </c>
      <c r="O6430" t="str">
        <f>"PAGAMENTO DE ENTREGADORES"</f>
        <v>PAGAMENTO DE ENTREGADORES</v>
      </c>
      <c r="P6430">
        <v>1698</v>
      </c>
      <c r="S6430" t="str">
        <f>"BANCO C6 (149)"</f>
        <v>BANCO C6 (149)</v>
      </c>
      <c r="T6430">
        <v>19734</v>
      </c>
      <c r="U6430">
        <v>22997</v>
      </c>
      <c r="V6430" t="s">
        <v>77</v>
      </c>
    </row>
    <row r="6431" spans="1:22">
      <c r="A6431" t="str">
        <f t="shared" si="1159"/>
        <v>16/10/2025</v>
      </c>
      <c r="B6431" t="str">
        <f t="shared" si="1160"/>
        <v>SAÍDA</v>
      </c>
      <c r="C6431" t="str">
        <f t="shared" si="1161"/>
        <v>PIX</v>
      </c>
      <c r="D6431" t="str">
        <f>"22997"</f>
        <v>22997</v>
      </c>
      <c r="E6431" t="str">
        <f t="shared" si="1163"/>
        <v>1</v>
      </c>
      <c r="F6431" t="str">
        <f t="shared" si="1158"/>
        <v>COM</v>
      </c>
      <c r="G6431" t="str">
        <f>"RÔMULO LEMOS DE SOUZA (59)"</f>
        <v>RÔMULO LEMOS DE SOUZA (59)</v>
      </c>
      <c r="H6431" t="s">
        <v>1743</v>
      </c>
      <c r="I6431" t="str">
        <f t="shared" si="1162"/>
        <v>16/10/2025</v>
      </c>
      <c r="J6431" t="str">
        <f t="shared" si="1164"/>
        <v>07/10/2025</v>
      </c>
      <c r="K6431">
        <v>45946</v>
      </c>
      <c r="N6431">
        <v>109</v>
      </c>
      <c r="O6431" t="s">
        <v>24</v>
      </c>
      <c r="Q6431">
        <v>1698</v>
      </c>
      <c r="R6431" t="str">
        <f>"FARMÁCIA INDIANA LJ 07 (10007)"</f>
        <v>FARMÁCIA INDIANA LJ 07 (10007)</v>
      </c>
      <c r="S6431" t="s">
        <v>77</v>
      </c>
      <c r="T6431">
        <v>19734</v>
      </c>
      <c r="U6431">
        <v>22997</v>
      </c>
      <c r="V6431" t="s">
        <v>77</v>
      </c>
    </row>
    <row r="6432" spans="1:22">
      <c r="A6432" t="str">
        <f t="shared" si="1159"/>
        <v>16/10/2025</v>
      </c>
      <c r="B6432" t="str">
        <f t="shared" si="1160"/>
        <v>SAÍDA</v>
      </c>
      <c r="C6432" t="str">
        <f t="shared" si="1161"/>
        <v>PIX</v>
      </c>
      <c r="D6432" t="str">
        <f>"22999"</f>
        <v>22999</v>
      </c>
      <c r="E6432" t="str">
        <f t="shared" si="1163"/>
        <v>1</v>
      </c>
      <c r="F6432" t="str">
        <f t="shared" si="1158"/>
        <v>COM</v>
      </c>
      <c r="G6432" t="str">
        <f>"SANRIO OLIVEIRA DO CARMO (579)"</f>
        <v>SANRIO OLIVEIRA DO CARMO (579)</v>
      </c>
      <c r="H6432" t="str">
        <f>"Serv.Prest. 26/09/2025 a 05/10/2025 - PIX: CPF - CHAVE: 118.731.976-75"</f>
        <v>Serv.Prest. 26/09/2025 a 05/10/2025 - PIX: CPF - CHAVE: 118.731.976-75</v>
      </c>
      <c r="I6432" t="str">
        <f t="shared" si="1162"/>
        <v>16/10/2025</v>
      </c>
      <c r="J6432" t="str">
        <f t="shared" si="1164"/>
        <v>07/10/2025</v>
      </c>
      <c r="K6432" t="str">
        <f>("16/10/2025")</f>
        <v>16/10/2025</v>
      </c>
      <c r="L6432">
        <v>1452</v>
      </c>
      <c r="M6432">
        <v>1452</v>
      </c>
      <c r="N6432">
        <v>109</v>
      </c>
      <c r="O6432" t="str">
        <f>"PAGAMENTO DE ENTREGADORES"</f>
        <v>PAGAMENTO DE ENTREGADORES</v>
      </c>
      <c r="P6432">
        <v>1452</v>
      </c>
      <c r="S6432" t="str">
        <f>"BANCO C6 (149)"</f>
        <v>BANCO C6 (149)</v>
      </c>
      <c r="T6432">
        <v>19735</v>
      </c>
      <c r="U6432">
        <v>22999</v>
      </c>
      <c r="V6432" t="s">
        <v>77</v>
      </c>
    </row>
    <row r="6433" spans="1:22">
      <c r="A6433" t="str">
        <f t="shared" si="1159"/>
        <v>16/10/2025</v>
      </c>
      <c r="B6433" t="str">
        <f t="shared" si="1160"/>
        <v>SAÍDA</v>
      </c>
      <c r="C6433" t="str">
        <f t="shared" si="1161"/>
        <v>PIX</v>
      </c>
      <c r="D6433" t="str">
        <f>"22999"</f>
        <v>22999</v>
      </c>
      <c r="E6433" t="str">
        <f t="shared" si="1163"/>
        <v>1</v>
      </c>
      <c r="F6433" t="str">
        <f t="shared" si="1158"/>
        <v>COM</v>
      </c>
      <c r="G6433" t="str">
        <f>"SANRIO OLIVEIRA DO CARMO (579)"</f>
        <v>SANRIO OLIVEIRA DO CARMO (579)</v>
      </c>
      <c r="H6433" t="s">
        <v>1744</v>
      </c>
      <c r="I6433" t="str">
        <f t="shared" si="1162"/>
        <v>16/10/2025</v>
      </c>
      <c r="J6433" t="str">
        <f t="shared" si="1164"/>
        <v>07/10/2025</v>
      </c>
      <c r="K6433">
        <v>45946</v>
      </c>
      <c r="N6433">
        <v>109</v>
      </c>
      <c r="O6433" t="s">
        <v>24</v>
      </c>
      <c r="Q6433">
        <v>1452</v>
      </c>
      <c r="R6433" t="str">
        <f>"FARMÁCIA INDIANA LJ 152 (10069)"</f>
        <v>FARMÁCIA INDIANA LJ 152 (10069)</v>
      </c>
      <c r="S6433" t="s">
        <v>77</v>
      </c>
      <c r="T6433">
        <v>19735</v>
      </c>
      <c r="U6433">
        <v>22999</v>
      </c>
      <c r="V6433" t="s">
        <v>77</v>
      </c>
    </row>
    <row r="6434" spans="1:22">
      <c r="A6434" t="str">
        <f t="shared" si="1159"/>
        <v>16/10/2025</v>
      </c>
      <c r="B6434" t="str">
        <f t="shared" si="1160"/>
        <v>SAÍDA</v>
      </c>
      <c r="C6434" t="str">
        <f t="shared" si="1161"/>
        <v>PIX</v>
      </c>
      <c r="D6434" t="str">
        <f>"23000"</f>
        <v>23000</v>
      </c>
      <c r="E6434" t="str">
        <f t="shared" si="1163"/>
        <v>1</v>
      </c>
      <c r="F6434" t="str">
        <f t="shared" si="1158"/>
        <v>COM</v>
      </c>
      <c r="G6434" t="str">
        <f>"SEDNEY GOMES SOARES (87)"</f>
        <v>SEDNEY GOMES SOARES (87)</v>
      </c>
      <c r="H6434" t="str">
        <f>"Serv.Prest. 26/09/2025 a 05/10/2025 - PIX: CPF - CHAVE: 048.151.276-46"</f>
        <v>Serv.Prest. 26/09/2025 a 05/10/2025 - PIX: CPF - CHAVE: 048.151.276-46</v>
      </c>
      <c r="I6434" t="str">
        <f t="shared" si="1162"/>
        <v>16/10/2025</v>
      </c>
      <c r="J6434" t="str">
        <f t="shared" si="1164"/>
        <v>07/10/2025</v>
      </c>
      <c r="K6434" t="str">
        <f>("16/10/2025")</f>
        <v>16/10/2025</v>
      </c>
      <c r="L6434">
        <v>750</v>
      </c>
      <c r="M6434">
        <v>750</v>
      </c>
      <c r="N6434">
        <v>109</v>
      </c>
      <c r="O6434" t="str">
        <f>"PAGAMENTO DE ENTREGADORES"</f>
        <v>PAGAMENTO DE ENTREGADORES</v>
      </c>
      <c r="P6434">
        <v>750</v>
      </c>
      <c r="S6434" t="str">
        <f>"BANCO C6 (149)"</f>
        <v>BANCO C6 (149)</v>
      </c>
      <c r="T6434">
        <v>19736</v>
      </c>
      <c r="U6434">
        <v>23000</v>
      </c>
      <c r="V6434" t="s">
        <v>77</v>
      </c>
    </row>
    <row r="6435" spans="1:22">
      <c r="A6435" t="str">
        <f t="shared" si="1159"/>
        <v>16/10/2025</v>
      </c>
      <c r="B6435" t="str">
        <f t="shared" si="1160"/>
        <v>SAÍDA</v>
      </c>
      <c r="C6435" t="str">
        <f t="shared" si="1161"/>
        <v>PIX</v>
      </c>
      <c r="D6435" t="str">
        <f>"23000"</f>
        <v>23000</v>
      </c>
      <c r="E6435" t="str">
        <f t="shared" si="1163"/>
        <v>1</v>
      </c>
      <c r="F6435" t="str">
        <f t="shared" si="1158"/>
        <v>COM</v>
      </c>
      <c r="G6435" t="str">
        <f>"SEDNEY GOMES SOARES (87)"</f>
        <v>SEDNEY GOMES SOARES (87)</v>
      </c>
      <c r="H6435" t="s">
        <v>1745</v>
      </c>
      <c r="I6435" t="str">
        <f t="shared" si="1162"/>
        <v>16/10/2025</v>
      </c>
      <c r="J6435" t="str">
        <f t="shared" si="1164"/>
        <v>07/10/2025</v>
      </c>
      <c r="K6435">
        <v>45946</v>
      </c>
      <c r="N6435">
        <v>109</v>
      </c>
      <c r="O6435" t="s">
        <v>24</v>
      </c>
      <c r="Q6435">
        <v>236.09</v>
      </c>
      <c r="R6435" t="str">
        <f>"FARMÁCIA INDIANA LJ 97 (10040)"</f>
        <v>FARMÁCIA INDIANA LJ 97 (10040)</v>
      </c>
      <c r="S6435" t="s">
        <v>77</v>
      </c>
      <c r="T6435">
        <v>19736</v>
      </c>
      <c r="U6435">
        <v>23000</v>
      </c>
      <c r="V6435" t="s">
        <v>77</v>
      </c>
    </row>
    <row r="6436" spans="1:22">
      <c r="A6436" t="str">
        <f t="shared" si="1159"/>
        <v>16/10/2025</v>
      </c>
      <c r="B6436" t="str">
        <f t="shared" si="1160"/>
        <v>SAÍDA</v>
      </c>
      <c r="C6436" t="str">
        <f t="shared" si="1161"/>
        <v>PIX</v>
      </c>
      <c r="D6436" t="str">
        <f>"23000"</f>
        <v>23000</v>
      </c>
      <c r="E6436" t="str">
        <f t="shared" si="1163"/>
        <v>1</v>
      </c>
      <c r="F6436" t="str">
        <f t="shared" si="1158"/>
        <v>COM</v>
      </c>
      <c r="G6436" t="str">
        <f>"SEDNEY GOMES SOARES (87)"</f>
        <v>SEDNEY GOMES SOARES (87)</v>
      </c>
      <c r="H6436" t="s">
        <v>1745</v>
      </c>
      <c r="I6436" t="str">
        <f t="shared" si="1162"/>
        <v>16/10/2025</v>
      </c>
      <c r="J6436" t="str">
        <f t="shared" si="1164"/>
        <v>07/10/2025</v>
      </c>
      <c r="K6436">
        <v>45946</v>
      </c>
      <c r="N6436">
        <v>109</v>
      </c>
      <c r="O6436" t="s">
        <v>24</v>
      </c>
      <c r="Q6436">
        <v>340.28</v>
      </c>
      <c r="R6436" t="str">
        <f>"FARMÁCIA INDIANA LJ 111 (10049)"</f>
        <v>FARMÁCIA INDIANA LJ 111 (10049)</v>
      </c>
      <c r="S6436" t="s">
        <v>77</v>
      </c>
      <c r="T6436">
        <v>19736</v>
      </c>
      <c r="U6436">
        <v>23000</v>
      </c>
      <c r="V6436" t="s">
        <v>77</v>
      </c>
    </row>
    <row r="6437" spans="1:22">
      <c r="A6437" t="str">
        <f t="shared" si="1159"/>
        <v>16/10/2025</v>
      </c>
      <c r="B6437" t="str">
        <f t="shared" si="1160"/>
        <v>SAÍDA</v>
      </c>
      <c r="C6437" t="str">
        <f t="shared" si="1161"/>
        <v>PIX</v>
      </c>
      <c r="D6437" t="str">
        <f>"23000"</f>
        <v>23000</v>
      </c>
      <c r="E6437" t="str">
        <f t="shared" si="1163"/>
        <v>1</v>
      </c>
      <c r="F6437" t="str">
        <f t="shared" si="1158"/>
        <v>COM</v>
      </c>
      <c r="G6437" t="str">
        <f>"SEDNEY GOMES SOARES (87)"</f>
        <v>SEDNEY GOMES SOARES (87)</v>
      </c>
      <c r="H6437" t="s">
        <v>1745</v>
      </c>
      <c r="I6437" t="str">
        <f t="shared" si="1162"/>
        <v>16/10/2025</v>
      </c>
      <c r="J6437" t="str">
        <f t="shared" si="1164"/>
        <v>07/10/2025</v>
      </c>
      <c r="K6437">
        <v>45946</v>
      </c>
      <c r="N6437">
        <v>109</v>
      </c>
      <c r="O6437" t="s">
        <v>24</v>
      </c>
      <c r="Q6437">
        <v>173.63</v>
      </c>
      <c r="R6437" t="str">
        <f>"FARMÁCIA INDIANA LJ 143 (10067)"</f>
        <v>FARMÁCIA INDIANA LJ 143 (10067)</v>
      </c>
      <c r="S6437" t="s">
        <v>77</v>
      </c>
      <c r="T6437">
        <v>19736</v>
      </c>
      <c r="U6437">
        <v>23000</v>
      </c>
      <c r="V6437" t="s">
        <v>77</v>
      </c>
    </row>
    <row r="6438" spans="1:22">
      <c r="A6438" t="str">
        <f t="shared" si="1159"/>
        <v>16/10/2025</v>
      </c>
      <c r="B6438" t="str">
        <f t="shared" si="1160"/>
        <v>SAÍDA</v>
      </c>
      <c r="C6438" t="str">
        <f t="shared" si="1161"/>
        <v>PIX</v>
      </c>
      <c r="D6438" t="str">
        <f>"23001"</f>
        <v>23001</v>
      </c>
      <c r="E6438" t="str">
        <f t="shared" si="1163"/>
        <v>1</v>
      </c>
      <c r="F6438" t="str">
        <f t="shared" si="1158"/>
        <v>COM</v>
      </c>
      <c r="G6438" t="str">
        <f>"SILAS ALVES DE FREITAS (35)"</f>
        <v>SILAS ALVES DE FREITAS (35)</v>
      </c>
      <c r="H6438" t="str">
        <f>"Serv.Prest. 26/09/2025 a 05/10/2025 - PIX: CPF - CHAVE: 097.855.786-74"</f>
        <v>Serv.Prest. 26/09/2025 a 05/10/2025 - PIX: CPF - CHAVE: 097.855.786-74</v>
      </c>
      <c r="I6438" t="str">
        <f t="shared" si="1162"/>
        <v>16/10/2025</v>
      </c>
      <c r="J6438" t="str">
        <f t="shared" si="1164"/>
        <v>07/10/2025</v>
      </c>
      <c r="K6438" t="str">
        <f>("16/10/2025")</f>
        <v>16/10/2025</v>
      </c>
      <c r="L6438">
        <v>1404</v>
      </c>
      <c r="M6438">
        <v>1404</v>
      </c>
      <c r="N6438">
        <v>109</v>
      </c>
      <c r="O6438" t="str">
        <f>"PAGAMENTO DE ENTREGADORES"</f>
        <v>PAGAMENTO DE ENTREGADORES</v>
      </c>
      <c r="P6438">
        <v>1404</v>
      </c>
      <c r="S6438" t="str">
        <f>"BANCO C6 (149)"</f>
        <v>BANCO C6 (149)</v>
      </c>
      <c r="T6438">
        <v>19737</v>
      </c>
      <c r="U6438">
        <v>23001</v>
      </c>
      <c r="V6438" t="s">
        <v>77</v>
      </c>
    </row>
    <row r="6439" spans="1:22">
      <c r="A6439" t="str">
        <f t="shared" si="1159"/>
        <v>16/10/2025</v>
      </c>
      <c r="B6439" t="str">
        <f t="shared" si="1160"/>
        <v>SAÍDA</v>
      </c>
      <c r="C6439" t="str">
        <f t="shared" si="1161"/>
        <v>PIX</v>
      </c>
      <c r="D6439" t="str">
        <f>"23001"</f>
        <v>23001</v>
      </c>
      <c r="E6439" t="str">
        <f t="shared" si="1163"/>
        <v>1</v>
      </c>
      <c r="F6439" t="str">
        <f t="shared" si="1158"/>
        <v>COM</v>
      </c>
      <c r="G6439" t="str">
        <f>"SILAS ALVES DE FREITAS (35)"</f>
        <v>SILAS ALVES DE FREITAS (35)</v>
      </c>
      <c r="H6439" t="s">
        <v>1746</v>
      </c>
      <c r="I6439" t="str">
        <f t="shared" si="1162"/>
        <v>16/10/2025</v>
      </c>
      <c r="J6439" t="str">
        <f t="shared" si="1164"/>
        <v>07/10/2025</v>
      </c>
      <c r="K6439">
        <v>45946</v>
      </c>
      <c r="N6439">
        <v>109</v>
      </c>
      <c r="O6439" t="s">
        <v>24</v>
      </c>
      <c r="Q6439">
        <v>1404</v>
      </c>
      <c r="R6439" t="str">
        <f>"FARMÁCIA INDIANA LJ 172 (10161)"</f>
        <v>FARMÁCIA INDIANA LJ 172 (10161)</v>
      </c>
      <c r="S6439" t="s">
        <v>77</v>
      </c>
      <c r="T6439">
        <v>19737</v>
      </c>
      <c r="U6439">
        <v>23001</v>
      </c>
      <c r="V6439" t="s">
        <v>77</v>
      </c>
    </row>
    <row r="6440" spans="1:22">
      <c r="A6440" t="str">
        <f t="shared" si="1159"/>
        <v>16/10/2025</v>
      </c>
      <c r="B6440" t="str">
        <f t="shared" si="1160"/>
        <v>SAÍDA</v>
      </c>
      <c r="C6440" t="str">
        <f t="shared" si="1161"/>
        <v>PIX</v>
      </c>
      <c r="D6440" t="str">
        <f>"23002"</f>
        <v>23002</v>
      </c>
      <c r="E6440" t="str">
        <f t="shared" si="1163"/>
        <v>1</v>
      </c>
      <c r="F6440" t="str">
        <f t="shared" si="1158"/>
        <v>COM</v>
      </c>
      <c r="G6440" t="str">
        <f>"TAYSON BARBOSA SILVINO (613)"</f>
        <v>TAYSON BARBOSA SILVINO (613)</v>
      </c>
      <c r="H6440" t="str">
        <f>"Serv.Prest. 26/09/2025 a 05/10/2025 - PIX: CHAVE ALEATÓRIA - CHAVE: 1550e869-c9d7-4436-be93-6858fd0cb900"</f>
        <v>Serv.Prest. 26/09/2025 a 05/10/2025 - PIX: CHAVE ALEATÓRIA - CHAVE: 1550e869-c9d7-4436-be93-6858fd0cb900</v>
      </c>
      <c r="I6440" t="str">
        <f t="shared" si="1162"/>
        <v>16/10/2025</v>
      </c>
      <c r="J6440" t="str">
        <f t="shared" si="1164"/>
        <v>07/10/2025</v>
      </c>
      <c r="K6440" t="str">
        <f>("16/10/2025")</f>
        <v>16/10/2025</v>
      </c>
      <c r="L6440">
        <v>1062</v>
      </c>
      <c r="M6440">
        <v>1062</v>
      </c>
      <c r="N6440">
        <v>109</v>
      </c>
      <c r="O6440" t="str">
        <f>"PAGAMENTO DE ENTREGADORES"</f>
        <v>PAGAMENTO DE ENTREGADORES</v>
      </c>
      <c r="P6440">
        <v>1062</v>
      </c>
      <c r="S6440" t="str">
        <f>"BANCO C6 (149)"</f>
        <v>BANCO C6 (149)</v>
      </c>
      <c r="T6440">
        <v>19738</v>
      </c>
      <c r="U6440">
        <v>23002</v>
      </c>
      <c r="V6440" t="s">
        <v>77</v>
      </c>
    </row>
    <row r="6441" spans="1:22">
      <c r="A6441" t="str">
        <f t="shared" si="1159"/>
        <v>16/10/2025</v>
      </c>
      <c r="B6441" t="str">
        <f t="shared" si="1160"/>
        <v>SAÍDA</v>
      </c>
      <c r="C6441" t="str">
        <f t="shared" si="1161"/>
        <v>PIX</v>
      </c>
      <c r="D6441" t="str">
        <f>"23002"</f>
        <v>23002</v>
      </c>
      <c r="E6441" t="str">
        <f t="shared" si="1163"/>
        <v>1</v>
      </c>
      <c r="F6441" t="str">
        <f t="shared" si="1158"/>
        <v>COM</v>
      </c>
      <c r="G6441" t="str">
        <f>"TAYSON BARBOSA SILVINO (613)"</f>
        <v>TAYSON BARBOSA SILVINO (613)</v>
      </c>
      <c r="H6441" t="s">
        <v>1747</v>
      </c>
      <c r="I6441" t="str">
        <f t="shared" si="1162"/>
        <v>16/10/2025</v>
      </c>
      <c r="J6441" t="str">
        <f t="shared" si="1164"/>
        <v>07/10/2025</v>
      </c>
      <c r="K6441">
        <v>45946</v>
      </c>
      <c r="N6441">
        <v>109</v>
      </c>
      <c r="O6441" t="s">
        <v>24</v>
      </c>
      <c r="Q6441">
        <v>1062</v>
      </c>
      <c r="R6441" t="str">
        <f>"FARMÁCIA INDIANA LJ 19 (10012)"</f>
        <v>FARMÁCIA INDIANA LJ 19 (10012)</v>
      </c>
      <c r="S6441" t="s">
        <v>77</v>
      </c>
      <c r="T6441">
        <v>19738</v>
      </c>
      <c r="U6441">
        <v>23002</v>
      </c>
      <c r="V6441" t="s">
        <v>77</v>
      </c>
    </row>
    <row r="6442" spans="1:22">
      <c r="A6442" t="str">
        <f t="shared" si="1159"/>
        <v>16/10/2025</v>
      </c>
      <c r="B6442" t="str">
        <f t="shared" si="1160"/>
        <v>SAÍDA</v>
      </c>
      <c r="C6442" t="str">
        <f t="shared" si="1161"/>
        <v>PIX</v>
      </c>
      <c r="D6442" t="str">
        <f>"23004"</f>
        <v>23004</v>
      </c>
      <c r="E6442" t="str">
        <f t="shared" si="1163"/>
        <v>1</v>
      </c>
      <c r="F6442" t="str">
        <f t="shared" ref="F6442:F6505" si="1165">"COM"</f>
        <v>COM</v>
      </c>
      <c r="G6442" t="str">
        <f>"VINICIUS DE SOUZA ISABEL (658)"</f>
        <v>VINICIUS DE SOUZA ISABEL (658)</v>
      </c>
      <c r="H6442" t="str">
        <f>"Serv.Prest. 26/09/2025 a 05/10/2025 - PIX: CPF - CHAVE: 092.566.416-23"</f>
        <v>Serv.Prest. 26/09/2025 a 05/10/2025 - PIX: CPF - CHAVE: 092.566.416-23</v>
      </c>
      <c r="I6442" t="str">
        <f t="shared" si="1162"/>
        <v>16/10/2025</v>
      </c>
      <c r="J6442" t="str">
        <f t="shared" si="1164"/>
        <v>07/10/2025</v>
      </c>
      <c r="K6442" t="str">
        <f>("16/10/2025")</f>
        <v>16/10/2025</v>
      </c>
      <c r="L6442">
        <v>878.5</v>
      </c>
      <c r="M6442">
        <v>878.5</v>
      </c>
      <c r="N6442">
        <v>109</v>
      </c>
      <c r="O6442" t="str">
        <f>"PAGAMENTO DE ENTREGADORES"</f>
        <v>PAGAMENTO DE ENTREGADORES</v>
      </c>
      <c r="P6442">
        <v>878.5</v>
      </c>
      <c r="S6442" t="str">
        <f>"BANCO C6 (149)"</f>
        <v>BANCO C6 (149)</v>
      </c>
      <c r="T6442">
        <v>19739</v>
      </c>
      <c r="U6442">
        <v>23004</v>
      </c>
      <c r="V6442" t="s">
        <v>77</v>
      </c>
    </row>
    <row r="6443" spans="1:22">
      <c r="A6443" t="str">
        <f t="shared" si="1159"/>
        <v>16/10/2025</v>
      </c>
      <c r="B6443" t="str">
        <f t="shared" si="1160"/>
        <v>SAÍDA</v>
      </c>
      <c r="C6443" t="str">
        <f t="shared" si="1161"/>
        <v>PIX</v>
      </c>
      <c r="D6443" t="str">
        <f>"23004"</f>
        <v>23004</v>
      </c>
      <c r="E6443" t="str">
        <f t="shared" si="1163"/>
        <v>1</v>
      </c>
      <c r="F6443" t="str">
        <f t="shared" si="1165"/>
        <v>COM</v>
      </c>
      <c r="G6443" t="str">
        <f>"VINICIUS DE SOUZA ISABEL (658)"</f>
        <v>VINICIUS DE SOUZA ISABEL (658)</v>
      </c>
      <c r="H6443" t="s">
        <v>1748</v>
      </c>
      <c r="I6443" t="str">
        <f t="shared" si="1162"/>
        <v>16/10/2025</v>
      </c>
      <c r="J6443" t="str">
        <f t="shared" si="1164"/>
        <v>07/10/2025</v>
      </c>
      <c r="K6443">
        <v>45946</v>
      </c>
      <c r="N6443">
        <v>109</v>
      </c>
      <c r="O6443" t="s">
        <v>24</v>
      </c>
      <c r="Q6443">
        <v>878.5</v>
      </c>
      <c r="R6443" t="str">
        <f>"FARMÁCIA INDIANA LJ 219 (10091)"</f>
        <v>FARMÁCIA INDIANA LJ 219 (10091)</v>
      </c>
      <c r="S6443" t="s">
        <v>77</v>
      </c>
      <c r="T6443">
        <v>19739</v>
      </c>
      <c r="U6443">
        <v>23004</v>
      </c>
      <c r="V6443" t="s">
        <v>77</v>
      </c>
    </row>
    <row r="6444" spans="1:22">
      <c r="A6444" t="str">
        <f t="shared" si="1159"/>
        <v>16/10/2025</v>
      </c>
      <c r="B6444" t="str">
        <f t="shared" si="1160"/>
        <v>SAÍDA</v>
      </c>
      <c r="C6444" t="str">
        <f t="shared" si="1161"/>
        <v>PIX</v>
      </c>
      <c r="D6444" t="str">
        <f>"23005"</f>
        <v>23005</v>
      </c>
      <c r="E6444" t="str">
        <f t="shared" si="1163"/>
        <v>1</v>
      </c>
      <c r="F6444" t="str">
        <f t="shared" si="1165"/>
        <v>COM</v>
      </c>
      <c r="G6444" t="str">
        <f>"VITOR CARDOSO FAUSTINO (257)"</f>
        <v>VITOR CARDOSO FAUSTINO (257)</v>
      </c>
      <c r="H6444" t="str">
        <f>"Serv.Prest. 26/09/2025 a 05/10/2025 - PIX: CPF - CHAVE: 157.874.046-02"</f>
        <v>Serv.Prest. 26/09/2025 a 05/10/2025 - PIX: CPF - CHAVE: 157.874.046-02</v>
      </c>
      <c r="I6444" t="str">
        <f t="shared" si="1162"/>
        <v>16/10/2025</v>
      </c>
      <c r="J6444" t="str">
        <f t="shared" si="1164"/>
        <v>07/10/2025</v>
      </c>
      <c r="K6444" t="str">
        <f>("16/10/2025")</f>
        <v>16/10/2025</v>
      </c>
      <c r="L6444">
        <v>748</v>
      </c>
      <c r="M6444">
        <v>748</v>
      </c>
      <c r="N6444">
        <v>109</v>
      </c>
      <c r="O6444" t="str">
        <f>"PAGAMENTO DE ENTREGADORES"</f>
        <v>PAGAMENTO DE ENTREGADORES</v>
      </c>
      <c r="P6444">
        <v>748</v>
      </c>
      <c r="S6444" t="str">
        <f>"BANCO C6 (149)"</f>
        <v>BANCO C6 (149)</v>
      </c>
      <c r="T6444">
        <v>19740</v>
      </c>
      <c r="U6444">
        <v>23005</v>
      </c>
      <c r="V6444" t="s">
        <v>77</v>
      </c>
    </row>
    <row r="6445" spans="1:22">
      <c r="A6445" t="str">
        <f t="shared" si="1159"/>
        <v>16/10/2025</v>
      </c>
      <c r="B6445" t="str">
        <f t="shared" si="1160"/>
        <v>SAÍDA</v>
      </c>
      <c r="C6445" t="str">
        <f t="shared" si="1161"/>
        <v>PIX</v>
      </c>
      <c r="D6445" t="str">
        <f>"23005"</f>
        <v>23005</v>
      </c>
      <c r="E6445" t="str">
        <f t="shared" si="1163"/>
        <v>1</v>
      </c>
      <c r="F6445" t="str">
        <f t="shared" si="1165"/>
        <v>COM</v>
      </c>
      <c r="G6445" t="str">
        <f>"VITOR CARDOSO FAUSTINO (257)"</f>
        <v>VITOR CARDOSO FAUSTINO (257)</v>
      </c>
      <c r="H6445" t="s">
        <v>1488</v>
      </c>
      <c r="I6445" t="str">
        <f t="shared" si="1162"/>
        <v>16/10/2025</v>
      </c>
      <c r="J6445" t="str">
        <f t="shared" si="1164"/>
        <v>07/10/2025</v>
      </c>
      <c r="K6445">
        <v>45946</v>
      </c>
      <c r="N6445">
        <v>109</v>
      </c>
      <c r="O6445" t="s">
        <v>24</v>
      </c>
      <c r="Q6445">
        <v>748</v>
      </c>
      <c r="R6445" t="str">
        <f>"FARMÁCIA INDIANA LJ 07 (10007)"</f>
        <v>FARMÁCIA INDIANA LJ 07 (10007)</v>
      </c>
      <c r="S6445" t="s">
        <v>77</v>
      </c>
      <c r="T6445">
        <v>19740</v>
      </c>
      <c r="U6445">
        <v>23005</v>
      </c>
      <c r="V6445" t="s">
        <v>77</v>
      </c>
    </row>
    <row r="6446" spans="1:22">
      <c r="A6446" t="str">
        <f t="shared" si="1159"/>
        <v>16/10/2025</v>
      </c>
      <c r="B6446" t="str">
        <f t="shared" si="1160"/>
        <v>SAÍDA</v>
      </c>
      <c r="C6446" t="str">
        <f t="shared" si="1161"/>
        <v>PIX</v>
      </c>
      <c r="D6446" t="str">
        <f>"23006"</f>
        <v>23006</v>
      </c>
      <c r="E6446" t="str">
        <f t="shared" si="1163"/>
        <v>1</v>
      </c>
      <c r="F6446" t="str">
        <f t="shared" si="1165"/>
        <v>COM</v>
      </c>
      <c r="G6446" t="str">
        <f>"VITOR DE SOUZA SILVA (360)"</f>
        <v>VITOR DE SOUZA SILVA (360)</v>
      </c>
      <c r="H6446" t="str">
        <f>"Serv.Prest. 26/09/2025 a 05/10/2025 - PIX: CPF - CHAVE: 130.194.566-81"</f>
        <v>Serv.Prest. 26/09/2025 a 05/10/2025 - PIX: CPF - CHAVE: 130.194.566-81</v>
      </c>
      <c r="I6446" t="str">
        <f t="shared" si="1162"/>
        <v>16/10/2025</v>
      </c>
      <c r="J6446" t="str">
        <f t="shared" si="1164"/>
        <v>07/10/2025</v>
      </c>
      <c r="K6446" t="str">
        <f>("16/10/2025")</f>
        <v>16/10/2025</v>
      </c>
      <c r="L6446">
        <v>700.8</v>
      </c>
      <c r="M6446">
        <v>700.8</v>
      </c>
      <c r="N6446">
        <v>109</v>
      </c>
      <c r="O6446" t="str">
        <f>"PAGAMENTO DE ENTREGADORES"</f>
        <v>PAGAMENTO DE ENTREGADORES</v>
      </c>
      <c r="P6446">
        <v>700.8</v>
      </c>
      <c r="S6446" t="str">
        <f>"BANCO C6 (149)"</f>
        <v>BANCO C6 (149)</v>
      </c>
      <c r="T6446">
        <v>19741</v>
      </c>
      <c r="U6446">
        <v>23006</v>
      </c>
      <c r="V6446" t="s">
        <v>77</v>
      </c>
    </row>
    <row r="6447" spans="1:22">
      <c r="A6447" t="str">
        <f t="shared" si="1159"/>
        <v>16/10/2025</v>
      </c>
      <c r="B6447" t="str">
        <f t="shared" si="1160"/>
        <v>SAÍDA</v>
      </c>
      <c r="C6447" t="str">
        <f t="shared" si="1161"/>
        <v>PIX</v>
      </c>
      <c r="D6447" t="str">
        <f>"23006"</f>
        <v>23006</v>
      </c>
      <c r="E6447" t="str">
        <f t="shared" si="1163"/>
        <v>1</v>
      </c>
      <c r="F6447" t="str">
        <f t="shared" si="1165"/>
        <v>COM</v>
      </c>
      <c r="G6447" t="str">
        <f>"VITOR DE SOUZA SILVA (360)"</f>
        <v>VITOR DE SOUZA SILVA (360)</v>
      </c>
      <c r="H6447" t="s">
        <v>1749</v>
      </c>
      <c r="I6447" t="str">
        <f t="shared" si="1162"/>
        <v>16/10/2025</v>
      </c>
      <c r="J6447" t="str">
        <f t="shared" si="1164"/>
        <v>07/10/2025</v>
      </c>
      <c r="K6447">
        <v>45946</v>
      </c>
      <c r="N6447">
        <v>109</v>
      </c>
      <c r="O6447" t="s">
        <v>24</v>
      </c>
      <c r="Q6447">
        <v>175.2</v>
      </c>
      <c r="R6447" t="str">
        <f>"FARMÁCIA INDIANA LJ 112 (10050)"</f>
        <v>FARMÁCIA INDIANA LJ 112 (10050)</v>
      </c>
      <c r="S6447" t="s">
        <v>77</v>
      </c>
      <c r="T6447">
        <v>19741</v>
      </c>
      <c r="U6447">
        <v>23006</v>
      </c>
      <c r="V6447" t="s">
        <v>77</v>
      </c>
    </row>
    <row r="6448" spans="1:22">
      <c r="A6448" t="str">
        <f t="shared" si="1159"/>
        <v>16/10/2025</v>
      </c>
      <c r="B6448" t="str">
        <f t="shared" si="1160"/>
        <v>SAÍDA</v>
      </c>
      <c r="C6448" t="str">
        <f t="shared" si="1161"/>
        <v>PIX</v>
      </c>
      <c r="D6448" t="str">
        <f>"23006"</f>
        <v>23006</v>
      </c>
      <c r="E6448" t="str">
        <f t="shared" si="1163"/>
        <v>1</v>
      </c>
      <c r="F6448" t="str">
        <f t="shared" si="1165"/>
        <v>COM</v>
      </c>
      <c r="G6448" t="str">
        <f>"VITOR DE SOUZA SILVA (360)"</f>
        <v>VITOR DE SOUZA SILVA (360)</v>
      </c>
      <c r="H6448" t="s">
        <v>1749</v>
      </c>
      <c r="I6448" t="str">
        <f t="shared" si="1162"/>
        <v>16/10/2025</v>
      </c>
      <c r="J6448" t="str">
        <f t="shared" si="1164"/>
        <v>07/10/2025</v>
      </c>
      <c r="K6448">
        <v>45946</v>
      </c>
      <c r="N6448">
        <v>109</v>
      </c>
      <c r="O6448" t="s">
        <v>24</v>
      </c>
      <c r="Q6448">
        <v>525.6</v>
      </c>
      <c r="R6448" t="str">
        <f>"FARMÁCIA INDIANA LJ 121 (10054)"</f>
        <v>FARMÁCIA INDIANA LJ 121 (10054)</v>
      </c>
      <c r="S6448" t="s">
        <v>77</v>
      </c>
      <c r="T6448">
        <v>19741</v>
      </c>
      <c r="U6448">
        <v>23006</v>
      </c>
      <c r="V6448" t="s">
        <v>77</v>
      </c>
    </row>
    <row r="6449" spans="1:22">
      <c r="A6449" t="str">
        <f t="shared" si="1159"/>
        <v>16/10/2025</v>
      </c>
      <c r="B6449" t="str">
        <f t="shared" si="1160"/>
        <v>SAÍDA</v>
      </c>
      <c r="C6449" t="str">
        <f t="shared" si="1161"/>
        <v>PIX</v>
      </c>
      <c r="D6449" t="str">
        <f>"23007"</f>
        <v>23007</v>
      </c>
      <c r="E6449" t="str">
        <f t="shared" si="1163"/>
        <v>1</v>
      </c>
      <c r="F6449" t="str">
        <f t="shared" si="1165"/>
        <v>COM</v>
      </c>
      <c r="G6449" t="str">
        <f>"WAGNER DOS SANTOS LIMA (31)"</f>
        <v>WAGNER DOS SANTOS LIMA (31)</v>
      </c>
      <c r="H6449" t="str">
        <f>"Serv.Prest. 26/09/2025 a 05/10/2025 - PIX: CELULAR - CHAVE: (33) 99118-9032"</f>
        <v>Serv.Prest. 26/09/2025 a 05/10/2025 - PIX: CELULAR - CHAVE: (33) 99118-9032</v>
      </c>
      <c r="I6449" t="str">
        <f t="shared" si="1162"/>
        <v>16/10/2025</v>
      </c>
      <c r="J6449" t="str">
        <f t="shared" si="1164"/>
        <v>07/10/2025</v>
      </c>
      <c r="K6449" t="str">
        <f>("16/10/2025")</f>
        <v>16/10/2025</v>
      </c>
      <c r="L6449">
        <v>1380.5</v>
      </c>
      <c r="M6449">
        <v>1380.5</v>
      </c>
      <c r="N6449">
        <v>109</v>
      </c>
      <c r="O6449" t="str">
        <f>"PAGAMENTO DE ENTREGADORES"</f>
        <v>PAGAMENTO DE ENTREGADORES</v>
      </c>
      <c r="P6449">
        <v>1380.5</v>
      </c>
      <c r="S6449" t="str">
        <f>"BANCO C6 (149)"</f>
        <v>BANCO C6 (149)</v>
      </c>
      <c r="T6449">
        <v>19742</v>
      </c>
      <c r="U6449">
        <v>23007</v>
      </c>
      <c r="V6449" t="s">
        <v>77</v>
      </c>
    </row>
    <row r="6450" spans="1:22">
      <c r="A6450" t="str">
        <f t="shared" si="1159"/>
        <v>16/10/2025</v>
      </c>
      <c r="B6450" t="str">
        <f t="shared" si="1160"/>
        <v>SAÍDA</v>
      </c>
      <c r="C6450" t="str">
        <f t="shared" si="1161"/>
        <v>PIX</v>
      </c>
      <c r="D6450" t="str">
        <f>"23007"</f>
        <v>23007</v>
      </c>
      <c r="E6450" t="str">
        <f t="shared" si="1163"/>
        <v>1</v>
      </c>
      <c r="F6450" t="str">
        <f t="shared" si="1165"/>
        <v>COM</v>
      </c>
      <c r="G6450" t="str">
        <f>"WAGNER DOS SANTOS LIMA (31)"</f>
        <v>WAGNER DOS SANTOS LIMA (31)</v>
      </c>
      <c r="H6450" t="s">
        <v>1750</v>
      </c>
      <c r="I6450" t="str">
        <f t="shared" si="1162"/>
        <v>16/10/2025</v>
      </c>
      <c r="J6450" t="str">
        <f t="shared" si="1164"/>
        <v>07/10/2025</v>
      </c>
      <c r="K6450">
        <v>45946</v>
      </c>
      <c r="N6450">
        <v>109</v>
      </c>
      <c r="O6450" t="s">
        <v>24</v>
      </c>
      <c r="Q6450">
        <v>27.47</v>
      </c>
      <c r="R6450" t="str">
        <f>"FARMÁCIA INDIANA LJ 40 (10016)"</f>
        <v>FARMÁCIA INDIANA LJ 40 (10016)</v>
      </c>
      <c r="S6450" t="s">
        <v>77</v>
      </c>
      <c r="T6450">
        <v>19742</v>
      </c>
      <c r="U6450">
        <v>23007</v>
      </c>
      <c r="V6450" t="s">
        <v>77</v>
      </c>
    </row>
    <row r="6451" spans="1:22">
      <c r="A6451" t="str">
        <f t="shared" si="1159"/>
        <v>16/10/2025</v>
      </c>
      <c r="B6451" t="str">
        <f t="shared" si="1160"/>
        <v>SAÍDA</v>
      </c>
      <c r="C6451" t="str">
        <f t="shared" si="1161"/>
        <v>PIX</v>
      </c>
      <c r="D6451" t="str">
        <f>"23007"</f>
        <v>23007</v>
      </c>
      <c r="E6451" t="str">
        <f t="shared" si="1163"/>
        <v>1</v>
      </c>
      <c r="F6451" t="str">
        <f t="shared" si="1165"/>
        <v>COM</v>
      </c>
      <c r="G6451" t="str">
        <f>"WAGNER DOS SANTOS LIMA (31)"</f>
        <v>WAGNER DOS SANTOS LIMA (31)</v>
      </c>
      <c r="H6451" t="s">
        <v>1750</v>
      </c>
      <c r="I6451" t="str">
        <f t="shared" si="1162"/>
        <v>16/10/2025</v>
      </c>
      <c r="J6451" t="str">
        <f t="shared" si="1164"/>
        <v>07/10/2025</v>
      </c>
      <c r="K6451">
        <v>45946</v>
      </c>
      <c r="N6451">
        <v>109</v>
      </c>
      <c r="O6451" t="s">
        <v>24</v>
      </c>
      <c r="Q6451">
        <v>1353.03</v>
      </c>
      <c r="R6451" t="str">
        <f>"FARMÁCIA INDIANA LJ 61 (10027)"</f>
        <v>FARMÁCIA INDIANA LJ 61 (10027)</v>
      </c>
      <c r="S6451" t="s">
        <v>77</v>
      </c>
      <c r="T6451">
        <v>19742</v>
      </c>
      <c r="U6451">
        <v>23007</v>
      </c>
      <c r="V6451" t="s">
        <v>77</v>
      </c>
    </row>
    <row r="6452" spans="1:22">
      <c r="A6452" t="str">
        <f t="shared" si="1159"/>
        <v>16/10/2025</v>
      </c>
      <c r="B6452" t="str">
        <f t="shared" si="1160"/>
        <v>SAÍDA</v>
      </c>
      <c r="C6452" t="str">
        <f t="shared" si="1161"/>
        <v>PIX</v>
      </c>
      <c r="D6452" t="str">
        <f>"23008"</f>
        <v>23008</v>
      </c>
      <c r="E6452" t="str">
        <f t="shared" si="1163"/>
        <v>1</v>
      </c>
      <c r="F6452" t="str">
        <f t="shared" si="1165"/>
        <v>COM</v>
      </c>
      <c r="G6452" t="str">
        <f>"WAGNER MARTINS MOREIRA (60)"</f>
        <v>WAGNER MARTINS MOREIRA (60)</v>
      </c>
      <c r="H6452" t="str">
        <f>"Serv.Prest. 26/09/2025 a 05/10/2025 - PIX: CPF - CHAVE: 093.481.716-23"</f>
        <v>Serv.Prest. 26/09/2025 a 05/10/2025 - PIX: CPF - CHAVE: 093.481.716-23</v>
      </c>
      <c r="I6452" t="str">
        <f t="shared" si="1162"/>
        <v>16/10/2025</v>
      </c>
      <c r="J6452" t="str">
        <f t="shared" si="1164"/>
        <v>07/10/2025</v>
      </c>
      <c r="K6452" t="str">
        <f>("16/10/2025")</f>
        <v>16/10/2025</v>
      </c>
      <c r="L6452">
        <v>78</v>
      </c>
      <c r="M6452">
        <v>78</v>
      </c>
      <c r="N6452">
        <v>109</v>
      </c>
      <c r="O6452" t="str">
        <f>"PAGAMENTO DE ENTREGADORES"</f>
        <v>PAGAMENTO DE ENTREGADORES</v>
      </c>
      <c r="P6452">
        <v>78</v>
      </c>
      <c r="S6452" t="str">
        <f>"BANCO C6 (149)"</f>
        <v>BANCO C6 (149)</v>
      </c>
      <c r="T6452">
        <v>19743</v>
      </c>
      <c r="U6452">
        <v>23008</v>
      </c>
      <c r="V6452" t="s">
        <v>77</v>
      </c>
    </row>
    <row r="6453" spans="1:22">
      <c r="A6453" t="str">
        <f t="shared" si="1159"/>
        <v>16/10/2025</v>
      </c>
      <c r="B6453" t="str">
        <f t="shared" si="1160"/>
        <v>SAÍDA</v>
      </c>
      <c r="C6453" t="str">
        <f t="shared" si="1161"/>
        <v>PIX</v>
      </c>
      <c r="D6453" t="str">
        <f>"23008"</f>
        <v>23008</v>
      </c>
      <c r="E6453" t="str">
        <f t="shared" si="1163"/>
        <v>1</v>
      </c>
      <c r="F6453" t="str">
        <f t="shared" si="1165"/>
        <v>COM</v>
      </c>
      <c r="G6453" t="str">
        <f>"WAGNER MARTINS MOREIRA (60)"</f>
        <v>WAGNER MARTINS MOREIRA (60)</v>
      </c>
      <c r="H6453" t="s">
        <v>1751</v>
      </c>
      <c r="I6453" t="str">
        <f t="shared" si="1162"/>
        <v>16/10/2025</v>
      </c>
      <c r="J6453" t="str">
        <f t="shared" si="1164"/>
        <v>07/10/2025</v>
      </c>
      <c r="K6453">
        <v>45946</v>
      </c>
      <c r="N6453">
        <v>109</v>
      </c>
      <c r="O6453" t="s">
        <v>24</v>
      </c>
      <c r="Q6453">
        <v>78</v>
      </c>
      <c r="R6453" t="str">
        <f>"FARMÁCIA INDIANA LJ 07 (10007)"</f>
        <v>FARMÁCIA INDIANA LJ 07 (10007)</v>
      </c>
      <c r="S6453" t="s">
        <v>77</v>
      </c>
      <c r="T6453">
        <v>19743</v>
      </c>
      <c r="U6453">
        <v>23008</v>
      </c>
      <c r="V6453" t="s">
        <v>77</v>
      </c>
    </row>
    <row r="6454" spans="1:22">
      <c r="A6454" t="str">
        <f t="shared" si="1159"/>
        <v>16/10/2025</v>
      </c>
      <c r="B6454" t="str">
        <f t="shared" si="1160"/>
        <v>SAÍDA</v>
      </c>
      <c r="C6454" t="str">
        <f t="shared" si="1161"/>
        <v>PIX</v>
      </c>
      <c r="D6454" t="str">
        <f>"23009"</f>
        <v>23009</v>
      </c>
      <c r="E6454" t="str">
        <f t="shared" si="1163"/>
        <v>1</v>
      </c>
      <c r="F6454" t="str">
        <f t="shared" si="1165"/>
        <v>COM</v>
      </c>
      <c r="G6454" t="str">
        <f>"WARLEN JUNIO ELIAS DE OLIVEIRA (171)"</f>
        <v>WARLEN JUNIO ELIAS DE OLIVEIRA (171)</v>
      </c>
      <c r="H6454" t="str">
        <f>"Serv.Prest. 26/09/2025 a 05/10/2025 - PIX: CELULAR - CHAVE: (31) 97251-6838"</f>
        <v>Serv.Prest. 26/09/2025 a 05/10/2025 - PIX: CELULAR - CHAVE: (31) 97251-6838</v>
      </c>
      <c r="I6454" t="str">
        <f t="shared" si="1162"/>
        <v>16/10/2025</v>
      </c>
      <c r="J6454" t="str">
        <f t="shared" si="1164"/>
        <v>07/10/2025</v>
      </c>
      <c r="K6454" t="str">
        <f>("16/10/2025")</f>
        <v>16/10/2025</v>
      </c>
      <c r="L6454">
        <v>575</v>
      </c>
      <c r="M6454">
        <v>575</v>
      </c>
      <c r="N6454">
        <v>109</v>
      </c>
      <c r="O6454" t="str">
        <f>"PAGAMENTO DE ENTREGADORES"</f>
        <v>PAGAMENTO DE ENTREGADORES</v>
      </c>
      <c r="P6454">
        <v>575</v>
      </c>
      <c r="S6454" t="str">
        <f>"BANCO C6 (149)"</f>
        <v>BANCO C6 (149)</v>
      </c>
      <c r="T6454">
        <v>19744</v>
      </c>
      <c r="U6454">
        <v>23009</v>
      </c>
      <c r="V6454" t="s">
        <v>77</v>
      </c>
    </row>
    <row r="6455" spans="1:22">
      <c r="A6455" t="str">
        <f t="shared" si="1159"/>
        <v>16/10/2025</v>
      </c>
      <c r="B6455" t="str">
        <f t="shared" si="1160"/>
        <v>SAÍDA</v>
      </c>
      <c r="C6455" t="str">
        <f t="shared" si="1161"/>
        <v>PIX</v>
      </c>
      <c r="D6455" t="str">
        <f>"23009"</f>
        <v>23009</v>
      </c>
      <c r="E6455" t="str">
        <f t="shared" si="1163"/>
        <v>1</v>
      </c>
      <c r="F6455" t="str">
        <f t="shared" si="1165"/>
        <v>COM</v>
      </c>
      <c r="G6455" t="str">
        <f>"WARLEN JUNIO ELIAS DE OLIVEIRA (171)"</f>
        <v>WARLEN JUNIO ELIAS DE OLIVEIRA (171)</v>
      </c>
      <c r="H6455" t="s">
        <v>1752</v>
      </c>
      <c r="I6455" t="str">
        <f t="shared" si="1162"/>
        <v>16/10/2025</v>
      </c>
      <c r="J6455" t="str">
        <f t="shared" si="1164"/>
        <v>07/10/2025</v>
      </c>
      <c r="K6455">
        <v>45946</v>
      </c>
      <c r="N6455">
        <v>109</v>
      </c>
      <c r="O6455" t="s">
        <v>24</v>
      </c>
      <c r="Q6455">
        <v>575</v>
      </c>
      <c r="R6455" t="str">
        <f>"FARMÁCIA INDIANA LJ 175 (10076)"</f>
        <v>FARMÁCIA INDIANA LJ 175 (10076)</v>
      </c>
      <c r="S6455" t="s">
        <v>77</v>
      </c>
      <c r="T6455">
        <v>19744</v>
      </c>
      <c r="U6455">
        <v>23009</v>
      </c>
      <c r="V6455" t="s">
        <v>77</v>
      </c>
    </row>
    <row r="6456" spans="1:22">
      <c r="A6456" t="str">
        <f t="shared" si="1159"/>
        <v>16/10/2025</v>
      </c>
      <c r="B6456" t="str">
        <f t="shared" si="1160"/>
        <v>SAÍDA</v>
      </c>
      <c r="C6456" t="str">
        <f t="shared" si="1161"/>
        <v>PIX</v>
      </c>
      <c r="D6456" t="str">
        <f>"23011"</f>
        <v>23011</v>
      </c>
      <c r="E6456" t="str">
        <f t="shared" si="1163"/>
        <v>1</v>
      </c>
      <c r="F6456" t="str">
        <f t="shared" si="1165"/>
        <v>COM</v>
      </c>
      <c r="G6456" t="str">
        <f>"WELLINGTON DOS SANTOS ALVES (438)"</f>
        <v>WELLINGTON DOS SANTOS ALVES (438)</v>
      </c>
      <c r="H6456" t="str">
        <f>"Serv.Prest. 26/09/2025 a 05/10/2025 - PIX: CELULAR - CHAVE: (32) 99800-1691"</f>
        <v>Serv.Prest. 26/09/2025 a 05/10/2025 - PIX: CELULAR - CHAVE: (32) 99800-1691</v>
      </c>
      <c r="I6456" t="str">
        <f t="shared" si="1162"/>
        <v>16/10/2025</v>
      </c>
      <c r="J6456" t="str">
        <f t="shared" si="1164"/>
        <v>07/10/2025</v>
      </c>
      <c r="K6456" t="str">
        <f>("16/10/2025")</f>
        <v>16/10/2025</v>
      </c>
      <c r="L6456">
        <v>700.8</v>
      </c>
      <c r="M6456">
        <v>700.8</v>
      </c>
      <c r="N6456">
        <v>109</v>
      </c>
      <c r="O6456" t="str">
        <f>"PAGAMENTO DE ENTREGADORES"</f>
        <v>PAGAMENTO DE ENTREGADORES</v>
      </c>
      <c r="P6456">
        <v>700.8</v>
      </c>
      <c r="S6456" t="str">
        <f>"BANCO C6 (149)"</f>
        <v>BANCO C6 (149)</v>
      </c>
      <c r="T6456">
        <v>19745</v>
      </c>
      <c r="U6456">
        <v>23011</v>
      </c>
      <c r="V6456" t="s">
        <v>77</v>
      </c>
    </row>
    <row r="6457" spans="1:22">
      <c r="A6457" t="str">
        <f t="shared" si="1159"/>
        <v>16/10/2025</v>
      </c>
      <c r="B6457" t="str">
        <f t="shared" si="1160"/>
        <v>SAÍDA</v>
      </c>
      <c r="C6457" t="str">
        <f t="shared" si="1161"/>
        <v>PIX</v>
      </c>
      <c r="D6457" t="str">
        <f>"23011"</f>
        <v>23011</v>
      </c>
      <c r="E6457" t="str">
        <f t="shared" si="1163"/>
        <v>1</v>
      </c>
      <c r="F6457" t="str">
        <f t="shared" si="1165"/>
        <v>COM</v>
      </c>
      <c r="G6457" t="str">
        <f>"WELLINGTON DOS SANTOS ALVES (438)"</f>
        <v>WELLINGTON DOS SANTOS ALVES (438)</v>
      </c>
      <c r="H6457" t="s">
        <v>1753</v>
      </c>
      <c r="I6457" t="str">
        <f t="shared" si="1162"/>
        <v>16/10/2025</v>
      </c>
      <c r="J6457" t="str">
        <f t="shared" si="1164"/>
        <v>07/10/2025</v>
      </c>
      <c r="K6457">
        <v>45946</v>
      </c>
      <c r="N6457">
        <v>109</v>
      </c>
      <c r="O6457" t="s">
        <v>24</v>
      </c>
      <c r="Q6457">
        <v>248.23</v>
      </c>
      <c r="R6457" t="str">
        <f>"FARMÁCIA INDIANA LJ 112 (10050)"</f>
        <v>FARMÁCIA INDIANA LJ 112 (10050)</v>
      </c>
      <c r="S6457" t="s">
        <v>77</v>
      </c>
      <c r="T6457">
        <v>19745</v>
      </c>
      <c r="U6457">
        <v>23011</v>
      </c>
      <c r="V6457" t="s">
        <v>77</v>
      </c>
    </row>
    <row r="6458" spans="1:22">
      <c r="A6458" t="str">
        <f t="shared" si="1159"/>
        <v>16/10/2025</v>
      </c>
      <c r="B6458" t="str">
        <f t="shared" si="1160"/>
        <v>SAÍDA</v>
      </c>
      <c r="C6458" t="str">
        <f t="shared" si="1161"/>
        <v>PIX</v>
      </c>
      <c r="D6458" t="str">
        <f>"23011"</f>
        <v>23011</v>
      </c>
      <c r="E6458" t="str">
        <f t="shared" si="1163"/>
        <v>1</v>
      </c>
      <c r="F6458" t="str">
        <f t="shared" si="1165"/>
        <v>COM</v>
      </c>
      <c r="G6458" t="str">
        <f>"WELLINGTON DOS SANTOS ALVES (438)"</f>
        <v>WELLINGTON DOS SANTOS ALVES (438)</v>
      </c>
      <c r="H6458" t="s">
        <v>1753</v>
      </c>
      <c r="I6458" t="str">
        <f t="shared" si="1162"/>
        <v>16/10/2025</v>
      </c>
      <c r="J6458" t="str">
        <f t="shared" si="1164"/>
        <v>07/10/2025</v>
      </c>
      <c r="K6458">
        <v>45946</v>
      </c>
      <c r="N6458">
        <v>109</v>
      </c>
      <c r="O6458" t="s">
        <v>24</v>
      </c>
      <c r="Q6458">
        <v>116.82</v>
      </c>
      <c r="R6458" t="str">
        <f>"FARMÁCIA INDIANA LJ 116 (10051)"</f>
        <v>FARMÁCIA INDIANA LJ 116 (10051)</v>
      </c>
      <c r="S6458" t="s">
        <v>77</v>
      </c>
      <c r="T6458">
        <v>19745</v>
      </c>
      <c r="U6458">
        <v>23011</v>
      </c>
      <c r="V6458" t="s">
        <v>77</v>
      </c>
    </row>
    <row r="6459" spans="1:22">
      <c r="A6459" t="str">
        <f t="shared" ref="A6459:A6522" si="1166">("16/10/2025")</f>
        <v>16/10/2025</v>
      </c>
      <c r="B6459" t="str">
        <f t="shared" ref="B6459:B6522" si="1167">"SAÍDA"</f>
        <v>SAÍDA</v>
      </c>
      <c r="C6459" t="str">
        <f t="shared" ref="C6459:C6522" si="1168">"PIX"</f>
        <v>PIX</v>
      </c>
      <c r="D6459" t="str">
        <f>"23011"</f>
        <v>23011</v>
      </c>
      <c r="E6459" t="str">
        <f t="shared" si="1163"/>
        <v>1</v>
      </c>
      <c r="F6459" t="str">
        <f t="shared" si="1165"/>
        <v>COM</v>
      </c>
      <c r="G6459" t="str">
        <f>"WELLINGTON DOS SANTOS ALVES (438)"</f>
        <v>WELLINGTON DOS SANTOS ALVES (438)</v>
      </c>
      <c r="H6459" t="s">
        <v>1753</v>
      </c>
      <c r="I6459" t="str">
        <f t="shared" si="1162"/>
        <v>16/10/2025</v>
      </c>
      <c r="J6459" t="str">
        <f t="shared" si="1164"/>
        <v>07/10/2025</v>
      </c>
      <c r="K6459">
        <v>45946</v>
      </c>
      <c r="N6459">
        <v>109</v>
      </c>
      <c r="O6459" t="s">
        <v>24</v>
      </c>
      <c r="Q6459">
        <v>87.6</v>
      </c>
      <c r="R6459" t="str">
        <f>"FARMÁCIA INDIANA LJ 121 (10054)"</f>
        <v>FARMÁCIA INDIANA LJ 121 (10054)</v>
      </c>
      <c r="S6459" t="s">
        <v>77</v>
      </c>
      <c r="T6459">
        <v>19745</v>
      </c>
      <c r="U6459">
        <v>23011</v>
      </c>
      <c r="V6459" t="s">
        <v>77</v>
      </c>
    </row>
    <row r="6460" spans="1:22">
      <c r="A6460" t="str">
        <f t="shared" si="1166"/>
        <v>16/10/2025</v>
      </c>
      <c r="B6460" t="str">
        <f t="shared" si="1167"/>
        <v>SAÍDA</v>
      </c>
      <c r="C6460" t="str">
        <f t="shared" si="1168"/>
        <v>PIX</v>
      </c>
      <c r="D6460" t="str">
        <f>"23011"</f>
        <v>23011</v>
      </c>
      <c r="E6460" t="str">
        <f t="shared" si="1163"/>
        <v>1</v>
      </c>
      <c r="F6460" t="str">
        <f t="shared" si="1165"/>
        <v>COM</v>
      </c>
      <c r="G6460" t="str">
        <f>"WELLINGTON DOS SANTOS ALVES (438)"</f>
        <v>WELLINGTON DOS SANTOS ALVES (438)</v>
      </c>
      <c r="H6460" t="s">
        <v>1753</v>
      </c>
      <c r="I6460" t="str">
        <f t="shared" si="1162"/>
        <v>16/10/2025</v>
      </c>
      <c r="J6460" t="str">
        <f t="shared" si="1164"/>
        <v>07/10/2025</v>
      </c>
      <c r="K6460">
        <v>45946</v>
      </c>
      <c r="N6460">
        <v>109</v>
      </c>
      <c r="O6460" t="s">
        <v>24</v>
      </c>
      <c r="Q6460">
        <v>248.15</v>
      </c>
      <c r="R6460" t="str">
        <f>"FARMÁCIA INDIANA LJ 128 (10057)"</f>
        <v>FARMÁCIA INDIANA LJ 128 (10057)</v>
      </c>
      <c r="S6460" t="s">
        <v>77</v>
      </c>
      <c r="T6460">
        <v>19745</v>
      </c>
      <c r="U6460">
        <v>23011</v>
      </c>
      <c r="V6460" t="s">
        <v>77</v>
      </c>
    </row>
    <row r="6461" spans="1:22">
      <c r="A6461" t="str">
        <f t="shared" si="1166"/>
        <v>16/10/2025</v>
      </c>
      <c r="B6461" t="str">
        <f t="shared" si="1167"/>
        <v>SAÍDA</v>
      </c>
      <c r="C6461" t="str">
        <f t="shared" si="1168"/>
        <v>PIX</v>
      </c>
      <c r="D6461" t="str">
        <f>"23012"</f>
        <v>23012</v>
      </c>
      <c r="E6461" t="str">
        <f t="shared" si="1163"/>
        <v>1</v>
      </c>
      <c r="F6461" t="str">
        <f t="shared" si="1165"/>
        <v>COM</v>
      </c>
      <c r="G6461" t="str">
        <f>"WELVES DA SILVA RAMOS (194)"</f>
        <v>WELVES DA SILVA RAMOS (194)</v>
      </c>
      <c r="H6461" t="str">
        <f>"Serv.Prest. 26/09/2025 a 05/10/2025 - PIX: CPF - CHAVE: 700.454.836-80"</f>
        <v>Serv.Prest. 26/09/2025 a 05/10/2025 - PIX: CPF - CHAVE: 700.454.836-80</v>
      </c>
      <c r="I6461" t="str">
        <f t="shared" ref="I6461:I6524" si="1169">("16/10/2025")</f>
        <v>16/10/2025</v>
      </c>
      <c r="J6461" t="str">
        <f t="shared" si="1164"/>
        <v>07/10/2025</v>
      </c>
      <c r="K6461" t="str">
        <f>("16/10/2025")</f>
        <v>16/10/2025</v>
      </c>
      <c r="L6461">
        <v>1440</v>
      </c>
      <c r="M6461">
        <v>1440</v>
      </c>
      <c r="N6461">
        <v>109</v>
      </c>
      <c r="O6461" t="str">
        <f>"PAGAMENTO DE ENTREGADORES"</f>
        <v>PAGAMENTO DE ENTREGADORES</v>
      </c>
      <c r="P6461">
        <v>1440</v>
      </c>
      <c r="S6461" t="str">
        <f>"BANCO C6 (149)"</f>
        <v>BANCO C6 (149)</v>
      </c>
      <c r="T6461">
        <v>19746</v>
      </c>
      <c r="U6461">
        <v>23012</v>
      </c>
      <c r="V6461" t="s">
        <v>77</v>
      </c>
    </row>
    <row r="6462" spans="1:22">
      <c r="A6462" t="str">
        <f t="shared" si="1166"/>
        <v>16/10/2025</v>
      </c>
      <c r="B6462" t="str">
        <f t="shared" si="1167"/>
        <v>SAÍDA</v>
      </c>
      <c r="C6462" t="str">
        <f t="shared" si="1168"/>
        <v>PIX</v>
      </c>
      <c r="D6462" t="str">
        <f>"23012"</f>
        <v>23012</v>
      </c>
      <c r="E6462" t="str">
        <f t="shared" si="1163"/>
        <v>1</v>
      </c>
      <c r="F6462" t="str">
        <f t="shared" si="1165"/>
        <v>COM</v>
      </c>
      <c r="G6462" t="str">
        <f>"WELVES DA SILVA RAMOS (194)"</f>
        <v>WELVES DA SILVA RAMOS (194)</v>
      </c>
      <c r="H6462" t="s">
        <v>1754</v>
      </c>
      <c r="I6462" t="str">
        <f t="shared" si="1169"/>
        <v>16/10/2025</v>
      </c>
      <c r="J6462" t="str">
        <f t="shared" si="1164"/>
        <v>07/10/2025</v>
      </c>
      <c r="K6462">
        <v>45946</v>
      </c>
      <c r="N6462">
        <v>109</v>
      </c>
      <c r="O6462" t="s">
        <v>24</v>
      </c>
      <c r="Q6462">
        <v>1440</v>
      </c>
      <c r="R6462" t="str">
        <f>"FARMÁCIA INDIANA LJ 06 (10006)"</f>
        <v>FARMÁCIA INDIANA LJ 06 (10006)</v>
      </c>
      <c r="S6462" t="s">
        <v>77</v>
      </c>
      <c r="T6462">
        <v>19746</v>
      </c>
      <c r="U6462">
        <v>23012</v>
      </c>
      <c r="V6462" t="s">
        <v>77</v>
      </c>
    </row>
    <row r="6463" spans="1:22">
      <c r="A6463" t="str">
        <f t="shared" si="1166"/>
        <v>16/10/2025</v>
      </c>
      <c r="B6463" t="str">
        <f t="shared" si="1167"/>
        <v>SAÍDA</v>
      </c>
      <c r="C6463" t="str">
        <f t="shared" si="1168"/>
        <v>PIX</v>
      </c>
      <c r="D6463" t="str">
        <f>"23013"</f>
        <v>23013</v>
      </c>
      <c r="E6463" t="str">
        <f t="shared" si="1163"/>
        <v>1</v>
      </c>
      <c r="F6463" t="str">
        <f t="shared" si="1165"/>
        <v>COM</v>
      </c>
      <c r="G6463" t="str">
        <f>"WEMERSON FELIPE LOPES (187)"</f>
        <v>WEMERSON FELIPE LOPES (187)</v>
      </c>
      <c r="H6463" t="str">
        <f>"Serv.Prest. 26/09/2025 a 05/10/2025 - PIX: CELULAR - CHAVE: (33) 98806-5772"</f>
        <v>Serv.Prest. 26/09/2025 a 05/10/2025 - PIX: CELULAR - CHAVE: (33) 98806-5772</v>
      </c>
      <c r="I6463" t="str">
        <f t="shared" si="1169"/>
        <v>16/10/2025</v>
      </c>
      <c r="J6463" t="str">
        <f t="shared" si="1164"/>
        <v>07/10/2025</v>
      </c>
      <c r="K6463" t="str">
        <f>("16/10/2025")</f>
        <v>16/10/2025</v>
      </c>
      <c r="L6463">
        <v>1620</v>
      </c>
      <c r="M6463">
        <v>1620</v>
      </c>
      <c r="N6463">
        <v>109</v>
      </c>
      <c r="O6463" t="str">
        <f>"PAGAMENTO DE ENTREGADORES"</f>
        <v>PAGAMENTO DE ENTREGADORES</v>
      </c>
      <c r="P6463">
        <v>1620</v>
      </c>
      <c r="S6463" t="str">
        <f>"BANCO C6 (149)"</f>
        <v>BANCO C6 (149)</v>
      </c>
      <c r="T6463">
        <v>19747</v>
      </c>
      <c r="U6463">
        <v>23013</v>
      </c>
      <c r="V6463" t="s">
        <v>77</v>
      </c>
    </row>
    <row r="6464" spans="1:22">
      <c r="A6464" t="str">
        <f t="shared" si="1166"/>
        <v>16/10/2025</v>
      </c>
      <c r="B6464" t="str">
        <f t="shared" si="1167"/>
        <v>SAÍDA</v>
      </c>
      <c r="C6464" t="str">
        <f t="shared" si="1168"/>
        <v>PIX</v>
      </c>
      <c r="D6464" t="str">
        <f>"23013"</f>
        <v>23013</v>
      </c>
      <c r="E6464" t="str">
        <f t="shared" si="1163"/>
        <v>1</v>
      </c>
      <c r="F6464" t="str">
        <f t="shared" si="1165"/>
        <v>COM</v>
      </c>
      <c r="G6464" t="str">
        <f>"WEMERSON FELIPE LOPES (187)"</f>
        <v>WEMERSON FELIPE LOPES (187)</v>
      </c>
      <c r="H6464" t="s">
        <v>1755</v>
      </c>
      <c r="I6464" t="str">
        <f t="shared" si="1169"/>
        <v>16/10/2025</v>
      </c>
      <c r="J6464" t="str">
        <f t="shared" si="1164"/>
        <v>07/10/2025</v>
      </c>
      <c r="K6464">
        <v>45946</v>
      </c>
      <c r="N6464">
        <v>109</v>
      </c>
      <c r="O6464" t="s">
        <v>24</v>
      </c>
      <c r="Q6464">
        <v>1620</v>
      </c>
      <c r="R6464" t="str">
        <f>"FARMÁCIA INDIANA LJ 06 (10006)"</f>
        <v>FARMÁCIA INDIANA LJ 06 (10006)</v>
      </c>
      <c r="S6464" t="s">
        <v>77</v>
      </c>
      <c r="T6464">
        <v>19747</v>
      </c>
      <c r="U6464">
        <v>23013</v>
      </c>
      <c r="V6464" t="s">
        <v>77</v>
      </c>
    </row>
    <row r="6465" spans="1:22">
      <c r="A6465" t="str">
        <f t="shared" si="1166"/>
        <v>16/10/2025</v>
      </c>
      <c r="B6465" t="str">
        <f t="shared" si="1167"/>
        <v>SAÍDA</v>
      </c>
      <c r="C6465" t="str">
        <f t="shared" si="1168"/>
        <v>PIX</v>
      </c>
      <c r="D6465" t="str">
        <f>"23014"</f>
        <v>23014</v>
      </c>
      <c r="E6465" t="str">
        <f t="shared" si="1163"/>
        <v>1</v>
      </c>
      <c r="F6465" t="str">
        <f t="shared" si="1165"/>
        <v>COM</v>
      </c>
      <c r="G6465" t="str">
        <f>"WEMERSON MOREIRA PESSOA (75)"</f>
        <v>WEMERSON MOREIRA PESSOA (75)</v>
      </c>
      <c r="H6465" t="str">
        <f>"Serv.Prest. 26/09/2025 a 05/10/2025 - PIX: CELULAR - CHAVE: (33) 99996-3668"</f>
        <v>Serv.Prest. 26/09/2025 a 05/10/2025 - PIX: CELULAR - CHAVE: (33) 99996-3668</v>
      </c>
      <c r="I6465" t="str">
        <f t="shared" si="1169"/>
        <v>16/10/2025</v>
      </c>
      <c r="J6465" t="str">
        <f t="shared" si="1164"/>
        <v>07/10/2025</v>
      </c>
      <c r="K6465" t="str">
        <f>("16/10/2025")</f>
        <v>16/10/2025</v>
      </c>
      <c r="L6465">
        <v>522</v>
      </c>
      <c r="M6465">
        <v>522</v>
      </c>
      <c r="N6465">
        <v>109</v>
      </c>
      <c r="O6465" t="str">
        <f>"PAGAMENTO DE ENTREGADORES"</f>
        <v>PAGAMENTO DE ENTREGADORES</v>
      </c>
      <c r="P6465">
        <v>522</v>
      </c>
      <c r="S6465" t="str">
        <f>"BANCO C6 (149)"</f>
        <v>BANCO C6 (149)</v>
      </c>
      <c r="T6465">
        <v>19748</v>
      </c>
      <c r="U6465">
        <v>23014</v>
      </c>
      <c r="V6465" t="s">
        <v>77</v>
      </c>
    </row>
    <row r="6466" spans="1:22">
      <c r="A6466" t="str">
        <f t="shared" si="1166"/>
        <v>16/10/2025</v>
      </c>
      <c r="B6466" t="str">
        <f t="shared" si="1167"/>
        <v>SAÍDA</v>
      </c>
      <c r="C6466" t="str">
        <f t="shared" si="1168"/>
        <v>PIX</v>
      </c>
      <c r="D6466" t="str">
        <f>"23014"</f>
        <v>23014</v>
      </c>
      <c r="E6466" t="str">
        <f t="shared" si="1163"/>
        <v>1</v>
      </c>
      <c r="F6466" t="str">
        <f t="shared" si="1165"/>
        <v>COM</v>
      </c>
      <c r="G6466" t="str">
        <f>"WEMERSON MOREIRA PESSOA (75)"</f>
        <v>WEMERSON MOREIRA PESSOA (75)</v>
      </c>
      <c r="H6466" t="s">
        <v>1756</v>
      </c>
      <c r="I6466" t="str">
        <f t="shared" si="1169"/>
        <v>16/10/2025</v>
      </c>
      <c r="J6466" t="str">
        <f t="shared" si="1164"/>
        <v>07/10/2025</v>
      </c>
      <c r="K6466">
        <v>45946</v>
      </c>
      <c r="N6466">
        <v>109</v>
      </c>
      <c r="O6466" t="s">
        <v>24</v>
      </c>
      <c r="Q6466">
        <v>522</v>
      </c>
      <c r="R6466" t="str">
        <f>"FARMÁCIA INDIANA LJ 07 (10007)"</f>
        <v>FARMÁCIA INDIANA LJ 07 (10007)</v>
      </c>
      <c r="S6466" t="s">
        <v>77</v>
      </c>
      <c r="T6466">
        <v>19748</v>
      </c>
      <c r="U6466">
        <v>23014</v>
      </c>
      <c r="V6466" t="s">
        <v>77</v>
      </c>
    </row>
    <row r="6467" spans="1:22">
      <c r="A6467" t="str">
        <f t="shared" si="1166"/>
        <v>16/10/2025</v>
      </c>
      <c r="B6467" t="str">
        <f t="shared" si="1167"/>
        <v>SAÍDA</v>
      </c>
      <c r="C6467" t="str">
        <f t="shared" si="1168"/>
        <v>PIX</v>
      </c>
      <c r="D6467" t="str">
        <f>"23015"</f>
        <v>23015</v>
      </c>
      <c r="E6467" t="str">
        <f t="shared" si="1163"/>
        <v>1</v>
      </c>
      <c r="F6467" t="str">
        <f t="shared" si="1165"/>
        <v>COM</v>
      </c>
      <c r="G6467" t="str">
        <f>"WENDEL LIMA DE SOUZA (112)"</f>
        <v>WENDEL LIMA DE SOUZA (112)</v>
      </c>
      <c r="H6467" t="str">
        <f>"Serv.Prest. 26/09/2025 a 05/10/2025 - PIX: CPF - CHAVE: 012.906.122-00"</f>
        <v>Serv.Prest. 26/09/2025 a 05/10/2025 - PIX: CPF - CHAVE: 012.906.122-00</v>
      </c>
      <c r="I6467" t="str">
        <f t="shared" si="1169"/>
        <v>16/10/2025</v>
      </c>
      <c r="J6467" t="str">
        <f t="shared" si="1164"/>
        <v>07/10/2025</v>
      </c>
      <c r="K6467" t="str">
        <f>("16/10/2025")</f>
        <v>16/10/2025</v>
      </c>
      <c r="L6467">
        <v>2010</v>
      </c>
      <c r="M6467">
        <v>2010</v>
      </c>
      <c r="N6467">
        <v>109</v>
      </c>
      <c r="O6467" t="str">
        <f>"PAGAMENTO DE ENTREGADORES"</f>
        <v>PAGAMENTO DE ENTREGADORES</v>
      </c>
      <c r="P6467">
        <v>2010</v>
      </c>
      <c r="S6467" t="str">
        <f>"BANCO C6 (149)"</f>
        <v>BANCO C6 (149)</v>
      </c>
      <c r="T6467">
        <v>19749</v>
      </c>
      <c r="U6467">
        <v>23015</v>
      </c>
      <c r="V6467" t="s">
        <v>77</v>
      </c>
    </row>
    <row r="6468" spans="1:22">
      <c r="A6468" t="str">
        <f t="shared" si="1166"/>
        <v>16/10/2025</v>
      </c>
      <c r="B6468" t="str">
        <f t="shared" si="1167"/>
        <v>SAÍDA</v>
      </c>
      <c r="C6468" t="str">
        <f t="shared" si="1168"/>
        <v>PIX</v>
      </c>
      <c r="D6468" t="str">
        <f>"23015"</f>
        <v>23015</v>
      </c>
      <c r="E6468" t="str">
        <f t="shared" si="1163"/>
        <v>1</v>
      </c>
      <c r="F6468" t="str">
        <f t="shared" si="1165"/>
        <v>COM</v>
      </c>
      <c r="G6468" t="str">
        <f>"WENDEL LIMA DE SOUZA (112)"</f>
        <v>WENDEL LIMA DE SOUZA (112)</v>
      </c>
      <c r="H6468" t="s">
        <v>1757</v>
      </c>
      <c r="I6468" t="str">
        <f t="shared" si="1169"/>
        <v>16/10/2025</v>
      </c>
      <c r="J6468" t="str">
        <f t="shared" si="1164"/>
        <v>07/10/2025</v>
      </c>
      <c r="K6468">
        <v>45946</v>
      </c>
      <c r="N6468">
        <v>109</v>
      </c>
      <c r="O6468" t="s">
        <v>24</v>
      </c>
      <c r="Q6468">
        <v>2010</v>
      </c>
      <c r="R6468" t="str">
        <f>"FARMÁCIA INDIANA LJ 11 (10008)"</f>
        <v>FARMÁCIA INDIANA LJ 11 (10008)</v>
      </c>
      <c r="S6468" t="s">
        <v>77</v>
      </c>
      <c r="T6468">
        <v>19749</v>
      </c>
      <c r="U6468">
        <v>23015</v>
      </c>
      <c r="V6468" t="s">
        <v>77</v>
      </c>
    </row>
    <row r="6469" spans="1:22">
      <c r="A6469" t="str">
        <f t="shared" si="1166"/>
        <v>16/10/2025</v>
      </c>
      <c r="B6469" t="str">
        <f t="shared" si="1167"/>
        <v>SAÍDA</v>
      </c>
      <c r="C6469" t="str">
        <f t="shared" si="1168"/>
        <v>PIX</v>
      </c>
      <c r="D6469" t="str">
        <f>"23016"</f>
        <v>23016</v>
      </c>
      <c r="E6469" t="str">
        <f t="shared" ref="E6469:E6532" si="1170">"1"</f>
        <v>1</v>
      </c>
      <c r="F6469" t="str">
        <f t="shared" si="1165"/>
        <v>COM</v>
      </c>
      <c r="G6469" t="str">
        <f>"WILIAN ROSA VIEIRA (488)"</f>
        <v>WILIAN ROSA VIEIRA (488)</v>
      </c>
      <c r="H6469" t="str">
        <f>"Serv.Prest. 26/09/2025 a 05/10/2025 - PIX: E-MAIL - CHAVE: wilianvieirawrv3578@gmail.com"</f>
        <v>Serv.Prest. 26/09/2025 a 05/10/2025 - PIX: E-MAIL - CHAVE: wilianvieirawrv3578@gmail.com</v>
      </c>
      <c r="I6469" t="str">
        <f t="shared" si="1169"/>
        <v>16/10/2025</v>
      </c>
      <c r="J6469" t="str">
        <f t="shared" si="1164"/>
        <v>07/10/2025</v>
      </c>
      <c r="K6469" t="str">
        <f>("16/10/2025")</f>
        <v>16/10/2025</v>
      </c>
      <c r="L6469">
        <v>1080</v>
      </c>
      <c r="M6469">
        <v>1080</v>
      </c>
      <c r="N6469">
        <v>109</v>
      </c>
      <c r="O6469" t="str">
        <f>"PAGAMENTO DE ENTREGADORES"</f>
        <v>PAGAMENTO DE ENTREGADORES</v>
      </c>
      <c r="P6469">
        <v>1080</v>
      </c>
      <c r="S6469" t="str">
        <f>"BANCO C6 (149)"</f>
        <v>BANCO C6 (149)</v>
      </c>
      <c r="T6469">
        <v>19750</v>
      </c>
      <c r="U6469">
        <v>23016</v>
      </c>
      <c r="V6469" t="s">
        <v>77</v>
      </c>
    </row>
    <row r="6470" spans="1:22">
      <c r="A6470" t="str">
        <f t="shared" si="1166"/>
        <v>16/10/2025</v>
      </c>
      <c r="B6470" t="str">
        <f t="shared" si="1167"/>
        <v>SAÍDA</v>
      </c>
      <c r="C6470" t="str">
        <f t="shared" si="1168"/>
        <v>PIX</v>
      </c>
      <c r="D6470" t="str">
        <f>"23016"</f>
        <v>23016</v>
      </c>
      <c r="E6470" t="str">
        <f t="shared" si="1170"/>
        <v>1</v>
      </c>
      <c r="F6470" t="str">
        <f t="shared" si="1165"/>
        <v>COM</v>
      </c>
      <c r="G6470" t="str">
        <f>"WILIAN ROSA VIEIRA (488)"</f>
        <v>WILIAN ROSA VIEIRA (488)</v>
      </c>
      <c r="H6470" t="s">
        <v>1758</v>
      </c>
      <c r="I6470" t="str">
        <f t="shared" si="1169"/>
        <v>16/10/2025</v>
      </c>
      <c r="J6470" t="str">
        <f t="shared" si="1164"/>
        <v>07/10/2025</v>
      </c>
      <c r="K6470">
        <v>45946</v>
      </c>
      <c r="N6470">
        <v>109</v>
      </c>
      <c r="O6470" t="s">
        <v>24</v>
      </c>
      <c r="Q6470">
        <v>455.97</v>
      </c>
      <c r="R6470" t="str">
        <f>"FARMÁCIA INDIANA LJ 103 (10044)"</f>
        <v>FARMÁCIA INDIANA LJ 103 (10044)</v>
      </c>
      <c r="S6470" t="s">
        <v>77</v>
      </c>
      <c r="T6470">
        <v>19750</v>
      </c>
      <c r="U6470">
        <v>23016</v>
      </c>
      <c r="V6470" t="s">
        <v>77</v>
      </c>
    </row>
    <row r="6471" spans="1:22">
      <c r="A6471" t="str">
        <f t="shared" si="1166"/>
        <v>16/10/2025</v>
      </c>
      <c r="B6471" t="str">
        <f t="shared" si="1167"/>
        <v>SAÍDA</v>
      </c>
      <c r="C6471" t="str">
        <f t="shared" si="1168"/>
        <v>PIX</v>
      </c>
      <c r="D6471" t="str">
        <f>"23016"</f>
        <v>23016</v>
      </c>
      <c r="E6471" t="str">
        <f t="shared" si="1170"/>
        <v>1</v>
      </c>
      <c r="F6471" t="str">
        <f t="shared" si="1165"/>
        <v>COM</v>
      </c>
      <c r="G6471" t="str">
        <f>"WILIAN ROSA VIEIRA (488)"</f>
        <v>WILIAN ROSA VIEIRA (488)</v>
      </c>
      <c r="H6471" t="s">
        <v>1758</v>
      </c>
      <c r="I6471" t="str">
        <f t="shared" si="1169"/>
        <v>16/10/2025</v>
      </c>
      <c r="J6471" t="str">
        <f t="shared" ref="J6471:J6491" si="1171">("07/10/2025")</f>
        <v>07/10/2025</v>
      </c>
      <c r="K6471">
        <v>45946</v>
      </c>
      <c r="N6471">
        <v>109</v>
      </c>
      <c r="O6471" t="s">
        <v>24</v>
      </c>
      <c r="Q6471">
        <v>288.04000000000002</v>
      </c>
      <c r="R6471" t="str">
        <f>"FARMÁCIA INDIANA LJ 140 (10064)"</f>
        <v>FARMÁCIA INDIANA LJ 140 (10064)</v>
      </c>
      <c r="S6471" t="s">
        <v>77</v>
      </c>
      <c r="T6471">
        <v>19750</v>
      </c>
      <c r="U6471">
        <v>23016</v>
      </c>
      <c r="V6471" t="s">
        <v>77</v>
      </c>
    </row>
    <row r="6472" spans="1:22">
      <c r="A6472" t="str">
        <f t="shared" si="1166"/>
        <v>16/10/2025</v>
      </c>
      <c r="B6472" t="str">
        <f t="shared" si="1167"/>
        <v>SAÍDA</v>
      </c>
      <c r="C6472" t="str">
        <f t="shared" si="1168"/>
        <v>PIX</v>
      </c>
      <c r="D6472" t="str">
        <f>"23016"</f>
        <v>23016</v>
      </c>
      <c r="E6472" t="str">
        <f t="shared" si="1170"/>
        <v>1</v>
      </c>
      <c r="F6472" t="str">
        <f t="shared" si="1165"/>
        <v>COM</v>
      </c>
      <c r="G6472" t="str">
        <f>"WILIAN ROSA VIEIRA (488)"</f>
        <v>WILIAN ROSA VIEIRA (488)</v>
      </c>
      <c r="H6472" t="s">
        <v>1758</v>
      </c>
      <c r="I6472" t="str">
        <f t="shared" si="1169"/>
        <v>16/10/2025</v>
      </c>
      <c r="J6472" t="str">
        <f t="shared" si="1171"/>
        <v>07/10/2025</v>
      </c>
      <c r="K6472">
        <v>45946</v>
      </c>
      <c r="N6472">
        <v>109</v>
      </c>
      <c r="O6472" t="s">
        <v>24</v>
      </c>
      <c r="Q6472">
        <v>23.98</v>
      </c>
      <c r="R6472" t="str">
        <f>"FARMÁCIA INDIANA LJ 141 (10065)"</f>
        <v>FARMÁCIA INDIANA LJ 141 (10065)</v>
      </c>
      <c r="S6472" t="s">
        <v>77</v>
      </c>
      <c r="T6472">
        <v>19750</v>
      </c>
      <c r="U6472">
        <v>23016</v>
      </c>
      <c r="V6472" t="s">
        <v>77</v>
      </c>
    </row>
    <row r="6473" spans="1:22">
      <c r="A6473" t="str">
        <f t="shared" si="1166"/>
        <v>16/10/2025</v>
      </c>
      <c r="B6473" t="str">
        <f t="shared" si="1167"/>
        <v>SAÍDA</v>
      </c>
      <c r="C6473" t="str">
        <f t="shared" si="1168"/>
        <v>PIX</v>
      </c>
      <c r="D6473" t="str">
        <f>"23016"</f>
        <v>23016</v>
      </c>
      <c r="E6473" t="str">
        <f t="shared" si="1170"/>
        <v>1</v>
      </c>
      <c r="F6473" t="str">
        <f t="shared" si="1165"/>
        <v>COM</v>
      </c>
      <c r="G6473" t="str">
        <f>"WILIAN ROSA VIEIRA (488)"</f>
        <v>WILIAN ROSA VIEIRA (488)</v>
      </c>
      <c r="H6473" t="s">
        <v>1758</v>
      </c>
      <c r="I6473" t="str">
        <f t="shared" si="1169"/>
        <v>16/10/2025</v>
      </c>
      <c r="J6473" t="str">
        <f t="shared" si="1171"/>
        <v>07/10/2025</v>
      </c>
      <c r="K6473">
        <v>45946</v>
      </c>
      <c r="N6473">
        <v>109</v>
      </c>
      <c r="O6473" t="s">
        <v>24</v>
      </c>
      <c r="Q6473">
        <v>312.01</v>
      </c>
      <c r="R6473" t="str">
        <f>"FARMÁCIA INDIANA LJ 154 (10070)"</f>
        <v>FARMÁCIA INDIANA LJ 154 (10070)</v>
      </c>
      <c r="S6473" t="s">
        <v>77</v>
      </c>
      <c r="T6473">
        <v>19750</v>
      </c>
      <c r="U6473">
        <v>23016</v>
      </c>
      <c r="V6473" t="s">
        <v>77</v>
      </c>
    </row>
    <row r="6474" spans="1:22">
      <c r="A6474" t="str">
        <f t="shared" si="1166"/>
        <v>16/10/2025</v>
      </c>
      <c r="B6474" t="str">
        <f t="shared" si="1167"/>
        <v>SAÍDA</v>
      </c>
      <c r="C6474" t="str">
        <f t="shared" si="1168"/>
        <v>PIX</v>
      </c>
      <c r="D6474" t="str">
        <f>"23017"</f>
        <v>23017</v>
      </c>
      <c r="E6474" t="str">
        <f t="shared" si="1170"/>
        <v>1</v>
      </c>
      <c r="F6474" t="str">
        <f t="shared" si="1165"/>
        <v>COM</v>
      </c>
      <c r="G6474" t="str">
        <f>"YAN EVERTON RODRIGUES DE LIMA (875)"</f>
        <v>YAN EVERTON RODRIGUES DE LIMA (875)</v>
      </c>
      <c r="H6474" t="str">
        <f>"Serv.Prest. 26/09/2025 a 05/10/2025 - PIX: CELULAR - CHAVE: (33) 99859-8751"</f>
        <v>Serv.Prest. 26/09/2025 a 05/10/2025 - PIX: CELULAR - CHAVE: (33) 99859-8751</v>
      </c>
      <c r="I6474" t="str">
        <f t="shared" si="1169"/>
        <v>16/10/2025</v>
      </c>
      <c r="J6474" t="str">
        <f t="shared" si="1171"/>
        <v>07/10/2025</v>
      </c>
      <c r="K6474" t="str">
        <f>("16/10/2025")</f>
        <v>16/10/2025</v>
      </c>
      <c r="L6474">
        <v>1620</v>
      </c>
      <c r="M6474">
        <v>1620</v>
      </c>
      <c r="N6474">
        <v>109</v>
      </c>
      <c r="O6474" t="str">
        <f>"PAGAMENTO DE ENTREGADORES"</f>
        <v>PAGAMENTO DE ENTREGADORES</v>
      </c>
      <c r="P6474">
        <v>1620</v>
      </c>
      <c r="S6474" t="str">
        <f>"BANCO C6 (149)"</f>
        <v>BANCO C6 (149)</v>
      </c>
      <c r="T6474">
        <v>19751</v>
      </c>
      <c r="U6474">
        <v>23017</v>
      </c>
      <c r="V6474" t="s">
        <v>77</v>
      </c>
    </row>
    <row r="6475" spans="1:22">
      <c r="A6475" t="str">
        <f t="shared" si="1166"/>
        <v>16/10/2025</v>
      </c>
      <c r="B6475" t="str">
        <f t="shared" si="1167"/>
        <v>SAÍDA</v>
      </c>
      <c r="C6475" t="str">
        <f t="shared" si="1168"/>
        <v>PIX</v>
      </c>
      <c r="D6475" t="str">
        <f>"23017"</f>
        <v>23017</v>
      </c>
      <c r="E6475" t="str">
        <f t="shared" si="1170"/>
        <v>1</v>
      </c>
      <c r="F6475" t="str">
        <f t="shared" si="1165"/>
        <v>COM</v>
      </c>
      <c r="G6475" t="str">
        <f>"YAN EVERTON RODRIGUES DE LIMA (875)"</f>
        <v>YAN EVERTON RODRIGUES DE LIMA (875)</v>
      </c>
      <c r="H6475" t="s">
        <v>1759</v>
      </c>
      <c r="I6475" t="str">
        <f t="shared" si="1169"/>
        <v>16/10/2025</v>
      </c>
      <c r="J6475" t="str">
        <f t="shared" si="1171"/>
        <v>07/10/2025</v>
      </c>
      <c r="K6475">
        <v>45946</v>
      </c>
      <c r="N6475">
        <v>109</v>
      </c>
      <c r="O6475" t="s">
        <v>24</v>
      </c>
      <c r="Q6475">
        <v>1620</v>
      </c>
      <c r="R6475" t="str">
        <f>"FARMÁCIA INDIANA LJ 06 (10006)"</f>
        <v>FARMÁCIA INDIANA LJ 06 (10006)</v>
      </c>
      <c r="S6475" t="s">
        <v>77</v>
      </c>
      <c r="T6475">
        <v>19751</v>
      </c>
      <c r="U6475">
        <v>23017</v>
      </c>
      <c r="V6475" t="s">
        <v>77</v>
      </c>
    </row>
    <row r="6476" spans="1:22">
      <c r="A6476" t="str">
        <f t="shared" si="1166"/>
        <v>16/10/2025</v>
      </c>
      <c r="B6476" t="str">
        <f t="shared" si="1167"/>
        <v>SAÍDA</v>
      </c>
      <c r="C6476" t="str">
        <f t="shared" si="1168"/>
        <v>PIX</v>
      </c>
      <c r="D6476" t="str">
        <f>"23019"</f>
        <v>23019</v>
      </c>
      <c r="E6476" t="str">
        <f t="shared" si="1170"/>
        <v>1</v>
      </c>
      <c r="F6476" t="str">
        <f t="shared" si="1165"/>
        <v>COM</v>
      </c>
      <c r="G6476" t="str">
        <f>"ANDERSON PEREIRA DOS SANTOS (746)"</f>
        <v>ANDERSON PEREIRA DOS SANTOS (746)</v>
      </c>
      <c r="H6476" t="str">
        <f>"Serv.Prest. 26/09/2025 a 05/10/2025 - PIX: CPF - CHAVE: 079.930.865-07"</f>
        <v>Serv.Prest. 26/09/2025 a 05/10/2025 - PIX: CPF - CHAVE: 079.930.865-07</v>
      </c>
      <c r="I6476" t="str">
        <f t="shared" si="1169"/>
        <v>16/10/2025</v>
      </c>
      <c r="J6476" t="str">
        <f t="shared" si="1171"/>
        <v>07/10/2025</v>
      </c>
      <c r="K6476" t="str">
        <f>("16/10/2025")</f>
        <v>16/10/2025</v>
      </c>
      <c r="L6476">
        <v>804</v>
      </c>
      <c r="M6476">
        <v>804</v>
      </c>
      <c r="N6476">
        <v>109</v>
      </c>
      <c r="O6476" t="str">
        <f>"PAGAMENTO DE ENTREGADORES"</f>
        <v>PAGAMENTO DE ENTREGADORES</v>
      </c>
      <c r="P6476">
        <v>804</v>
      </c>
      <c r="S6476" t="str">
        <f>"BANCO C6 (149)"</f>
        <v>BANCO C6 (149)</v>
      </c>
      <c r="T6476">
        <v>19752</v>
      </c>
      <c r="U6476">
        <v>23019</v>
      </c>
      <c r="V6476" t="s">
        <v>77</v>
      </c>
    </row>
    <row r="6477" spans="1:22">
      <c r="A6477" t="str">
        <f t="shared" si="1166"/>
        <v>16/10/2025</v>
      </c>
      <c r="B6477" t="str">
        <f t="shared" si="1167"/>
        <v>SAÍDA</v>
      </c>
      <c r="C6477" t="str">
        <f t="shared" si="1168"/>
        <v>PIX</v>
      </c>
      <c r="D6477" t="str">
        <f>"23019"</f>
        <v>23019</v>
      </c>
      <c r="E6477" t="str">
        <f t="shared" si="1170"/>
        <v>1</v>
      </c>
      <c r="F6477" t="str">
        <f t="shared" si="1165"/>
        <v>COM</v>
      </c>
      <c r="G6477" t="str">
        <f>"ANDERSON PEREIRA DOS SANTOS (746)"</f>
        <v>ANDERSON PEREIRA DOS SANTOS (746)</v>
      </c>
      <c r="H6477" t="s">
        <v>1760</v>
      </c>
      <c r="I6477" t="str">
        <f t="shared" si="1169"/>
        <v>16/10/2025</v>
      </c>
      <c r="J6477" t="str">
        <f t="shared" si="1171"/>
        <v>07/10/2025</v>
      </c>
      <c r="K6477">
        <v>45946</v>
      </c>
      <c r="N6477">
        <v>109</v>
      </c>
      <c r="O6477" t="s">
        <v>24</v>
      </c>
      <c r="Q6477">
        <v>471.3</v>
      </c>
      <c r="R6477" t="str">
        <f>"FARMÁCIA INDIANA LJ 211 (10168)"</f>
        <v>FARMÁCIA INDIANA LJ 211 (10168)</v>
      </c>
      <c r="S6477" t="s">
        <v>77</v>
      </c>
      <c r="T6477">
        <v>19752</v>
      </c>
      <c r="U6477">
        <v>23019</v>
      </c>
      <c r="V6477" t="s">
        <v>77</v>
      </c>
    </row>
    <row r="6478" spans="1:22">
      <c r="A6478" t="str">
        <f t="shared" si="1166"/>
        <v>16/10/2025</v>
      </c>
      <c r="B6478" t="str">
        <f t="shared" si="1167"/>
        <v>SAÍDA</v>
      </c>
      <c r="C6478" t="str">
        <f t="shared" si="1168"/>
        <v>PIX</v>
      </c>
      <c r="D6478" t="str">
        <f>"23019"</f>
        <v>23019</v>
      </c>
      <c r="E6478" t="str">
        <f t="shared" si="1170"/>
        <v>1</v>
      </c>
      <c r="F6478" t="str">
        <f t="shared" si="1165"/>
        <v>COM</v>
      </c>
      <c r="G6478" t="str">
        <f>"ANDERSON PEREIRA DOS SANTOS (746)"</f>
        <v>ANDERSON PEREIRA DOS SANTOS (746)</v>
      </c>
      <c r="H6478" t="s">
        <v>1760</v>
      </c>
      <c r="I6478" t="str">
        <f t="shared" si="1169"/>
        <v>16/10/2025</v>
      </c>
      <c r="J6478" t="str">
        <f t="shared" si="1171"/>
        <v>07/10/2025</v>
      </c>
      <c r="K6478">
        <v>45946</v>
      </c>
      <c r="N6478">
        <v>109</v>
      </c>
      <c r="O6478" t="s">
        <v>24</v>
      </c>
      <c r="Q6478">
        <v>332.7</v>
      </c>
      <c r="R6478" t="str">
        <f>"FARMÁCIA INDIANA LJ 236 (10169)"</f>
        <v>FARMÁCIA INDIANA LJ 236 (10169)</v>
      </c>
      <c r="S6478" t="s">
        <v>77</v>
      </c>
      <c r="T6478">
        <v>19752</v>
      </c>
      <c r="U6478">
        <v>23019</v>
      </c>
      <c r="V6478" t="s">
        <v>77</v>
      </c>
    </row>
    <row r="6479" spans="1:22">
      <c r="A6479" t="str">
        <f t="shared" si="1166"/>
        <v>16/10/2025</v>
      </c>
      <c r="B6479" t="str">
        <f t="shared" si="1167"/>
        <v>SAÍDA</v>
      </c>
      <c r="C6479" t="str">
        <f t="shared" si="1168"/>
        <v>PIX</v>
      </c>
      <c r="D6479" t="str">
        <f>"23020"</f>
        <v>23020</v>
      </c>
      <c r="E6479" t="str">
        <f t="shared" si="1170"/>
        <v>1</v>
      </c>
      <c r="F6479" t="str">
        <f t="shared" si="1165"/>
        <v>COM</v>
      </c>
      <c r="G6479" t="str">
        <f>"DANILO ROCHA SILVA (162)"</f>
        <v>DANILO ROCHA SILVA (162)</v>
      </c>
      <c r="H6479" t="str">
        <f>"Serv.Prest. 26/09/2025 a 05/10/2025 - PIX: CELULAR - CHAVE: (27) 99811-6850"</f>
        <v>Serv.Prest. 26/09/2025 a 05/10/2025 - PIX: CELULAR - CHAVE: (27) 99811-6850</v>
      </c>
      <c r="I6479" t="str">
        <f t="shared" si="1169"/>
        <v>16/10/2025</v>
      </c>
      <c r="J6479" t="str">
        <f t="shared" si="1171"/>
        <v>07/10/2025</v>
      </c>
      <c r="K6479" t="str">
        <f>("16/10/2025")</f>
        <v>16/10/2025</v>
      </c>
      <c r="L6479">
        <v>1458</v>
      </c>
      <c r="M6479">
        <v>1458</v>
      </c>
      <c r="N6479">
        <v>109</v>
      </c>
      <c r="O6479" t="str">
        <f>"PAGAMENTO DE ENTREGADORES"</f>
        <v>PAGAMENTO DE ENTREGADORES</v>
      </c>
      <c r="P6479">
        <v>1458</v>
      </c>
      <c r="S6479" t="str">
        <f>"BANCO C6 (149)"</f>
        <v>BANCO C6 (149)</v>
      </c>
      <c r="T6479">
        <v>19753</v>
      </c>
      <c r="U6479">
        <v>23020</v>
      </c>
      <c r="V6479" t="s">
        <v>77</v>
      </c>
    </row>
    <row r="6480" spans="1:22">
      <c r="A6480" t="str">
        <f t="shared" si="1166"/>
        <v>16/10/2025</v>
      </c>
      <c r="B6480" t="str">
        <f t="shared" si="1167"/>
        <v>SAÍDA</v>
      </c>
      <c r="C6480" t="str">
        <f t="shared" si="1168"/>
        <v>PIX</v>
      </c>
      <c r="D6480" t="str">
        <f>"23020"</f>
        <v>23020</v>
      </c>
      <c r="E6480" t="str">
        <f t="shared" si="1170"/>
        <v>1</v>
      </c>
      <c r="F6480" t="str">
        <f t="shared" si="1165"/>
        <v>COM</v>
      </c>
      <c r="G6480" t="str">
        <f>"DANILO ROCHA SILVA (162)"</f>
        <v>DANILO ROCHA SILVA (162)</v>
      </c>
      <c r="H6480" t="s">
        <v>1761</v>
      </c>
      <c r="I6480" t="str">
        <f t="shared" si="1169"/>
        <v>16/10/2025</v>
      </c>
      <c r="J6480" t="str">
        <f t="shared" si="1171"/>
        <v>07/10/2025</v>
      </c>
      <c r="K6480">
        <v>45946</v>
      </c>
      <c r="N6480">
        <v>109</v>
      </c>
      <c r="O6480" t="s">
        <v>24</v>
      </c>
      <c r="Q6480">
        <v>1458</v>
      </c>
      <c r="R6480" t="str">
        <f>"FARMÁCIA INDIANA LJ 181 (10078)"</f>
        <v>FARMÁCIA INDIANA LJ 181 (10078)</v>
      </c>
      <c r="S6480" t="s">
        <v>77</v>
      </c>
      <c r="T6480">
        <v>19753</v>
      </c>
      <c r="U6480">
        <v>23020</v>
      </c>
      <c r="V6480" t="s">
        <v>77</v>
      </c>
    </row>
    <row r="6481" spans="1:22">
      <c r="A6481" t="str">
        <f t="shared" si="1166"/>
        <v>16/10/2025</v>
      </c>
      <c r="B6481" t="str">
        <f t="shared" si="1167"/>
        <v>SAÍDA</v>
      </c>
      <c r="C6481" t="str">
        <f t="shared" si="1168"/>
        <v>PIX</v>
      </c>
      <c r="D6481" t="str">
        <f>"23021"</f>
        <v>23021</v>
      </c>
      <c r="E6481" t="str">
        <f t="shared" si="1170"/>
        <v>1</v>
      </c>
      <c r="F6481" t="str">
        <f t="shared" si="1165"/>
        <v>COM</v>
      </c>
      <c r="G6481" t="str">
        <f>"FABIO SOUZA DE JESUS (637)"</f>
        <v>FABIO SOUZA DE JESUS (637)</v>
      </c>
      <c r="H6481" t="str">
        <f>"Serv.Prest. 26/09/2025 a 05/10/2025 - PIX: CELULAR - CHAVE: (27) 99950-3450"</f>
        <v>Serv.Prest. 26/09/2025 a 05/10/2025 - PIX: CELULAR - CHAVE: (27) 99950-3450</v>
      </c>
      <c r="I6481" t="str">
        <f t="shared" si="1169"/>
        <v>16/10/2025</v>
      </c>
      <c r="J6481" t="str">
        <f t="shared" si="1171"/>
        <v>07/10/2025</v>
      </c>
      <c r="K6481" t="str">
        <f>("16/10/2025")</f>
        <v>16/10/2025</v>
      </c>
      <c r="L6481">
        <v>1166</v>
      </c>
      <c r="M6481">
        <v>1150.5</v>
      </c>
      <c r="N6481">
        <v>109</v>
      </c>
      <c r="O6481" t="str">
        <f>"PAGAMENTO DE ENTREGADORES"</f>
        <v>PAGAMENTO DE ENTREGADORES</v>
      </c>
      <c r="P6481">
        <v>1150.5</v>
      </c>
      <c r="S6481" t="str">
        <f>"BANCO C6 (149)"</f>
        <v>BANCO C6 (149)</v>
      </c>
      <c r="T6481">
        <v>19754</v>
      </c>
      <c r="U6481">
        <v>23021</v>
      </c>
      <c r="V6481" t="s">
        <v>77</v>
      </c>
    </row>
    <row r="6482" spans="1:22">
      <c r="A6482" t="str">
        <f t="shared" si="1166"/>
        <v>16/10/2025</v>
      </c>
      <c r="B6482" t="str">
        <f t="shared" si="1167"/>
        <v>SAÍDA</v>
      </c>
      <c r="C6482" t="str">
        <f t="shared" si="1168"/>
        <v>PIX</v>
      </c>
      <c r="D6482" t="str">
        <f>"23021"</f>
        <v>23021</v>
      </c>
      <c r="E6482" t="str">
        <f t="shared" si="1170"/>
        <v>1</v>
      </c>
      <c r="F6482" t="str">
        <f t="shared" si="1165"/>
        <v>COM</v>
      </c>
      <c r="G6482" t="str">
        <f>"FABIO SOUZA DE JESUS (637)"</f>
        <v>FABIO SOUZA DE JESUS (637)</v>
      </c>
      <c r="H6482" t="s">
        <v>1762</v>
      </c>
      <c r="I6482" t="str">
        <f t="shared" si="1169"/>
        <v>16/10/2025</v>
      </c>
      <c r="J6482" t="str">
        <f t="shared" si="1171"/>
        <v>07/10/2025</v>
      </c>
      <c r="K6482">
        <v>45946</v>
      </c>
      <c r="N6482">
        <v>109</v>
      </c>
      <c r="O6482" t="s">
        <v>24</v>
      </c>
      <c r="Q6482">
        <v>611.61</v>
      </c>
      <c r="R6482" t="str">
        <f>"FARMÁCIA INDIANA LJ 243 (10142)"</f>
        <v>FARMÁCIA INDIANA LJ 243 (10142)</v>
      </c>
      <c r="S6482" t="s">
        <v>77</v>
      </c>
      <c r="T6482">
        <v>19754</v>
      </c>
      <c r="U6482">
        <v>23021</v>
      </c>
      <c r="V6482" t="s">
        <v>77</v>
      </c>
    </row>
    <row r="6483" spans="1:22">
      <c r="A6483" t="str">
        <f t="shared" si="1166"/>
        <v>16/10/2025</v>
      </c>
      <c r="B6483" t="str">
        <f t="shared" si="1167"/>
        <v>SAÍDA</v>
      </c>
      <c r="C6483" t="str">
        <f t="shared" si="1168"/>
        <v>PIX</v>
      </c>
      <c r="D6483" t="str">
        <f>"23021"</f>
        <v>23021</v>
      </c>
      <c r="E6483" t="str">
        <f t="shared" si="1170"/>
        <v>1</v>
      </c>
      <c r="F6483" t="str">
        <f t="shared" si="1165"/>
        <v>COM</v>
      </c>
      <c r="G6483" t="str">
        <f>"FABIO SOUZA DE JESUS (637)"</f>
        <v>FABIO SOUZA DE JESUS (637)</v>
      </c>
      <c r="H6483" t="s">
        <v>1762</v>
      </c>
      <c r="I6483" t="str">
        <f t="shared" si="1169"/>
        <v>16/10/2025</v>
      </c>
      <c r="J6483" t="str">
        <f t="shared" si="1171"/>
        <v>07/10/2025</v>
      </c>
      <c r="K6483">
        <v>45946</v>
      </c>
      <c r="N6483">
        <v>109</v>
      </c>
      <c r="O6483" t="s">
        <v>24</v>
      </c>
      <c r="Q6483">
        <v>538.89</v>
      </c>
      <c r="R6483" t="str">
        <f>"FARMÁCIA INDIANA LJ 235 (10190)"</f>
        <v>FARMÁCIA INDIANA LJ 235 (10190)</v>
      </c>
      <c r="S6483" t="s">
        <v>77</v>
      </c>
      <c r="T6483">
        <v>19754</v>
      </c>
      <c r="U6483">
        <v>23021</v>
      </c>
      <c r="V6483" t="s">
        <v>77</v>
      </c>
    </row>
    <row r="6484" spans="1:22">
      <c r="A6484" t="str">
        <f t="shared" si="1166"/>
        <v>16/10/2025</v>
      </c>
      <c r="B6484" t="str">
        <f t="shared" si="1167"/>
        <v>SAÍDA</v>
      </c>
      <c r="C6484" t="str">
        <f t="shared" si="1168"/>
        <v>PIX</v>
      </c>
      <c r="D6484" t="str">
        <f>"23023"</f>
        <v>23023</v>
      </c>
      <c r="E6484" t="str">
        <f t="shared" si="1170"/>
        <v>1</v>
      </c>
      <c r="F6484" t="str">
        <f t="shared" si="1165"/>
        <v>COM</v>
      </c>
      <c r="G6484" t="str">
        <f>"JAIR BRISON JUNIOR (964)"</f>
        <v>JAIR BRISON JUNIOR (964)</v>
      </c>
      <c r="H6484" t="str">
        <f>"Serv.Prest. 26/09/2025 a 05/10/2025 - PIX: CPF - CHAVE: 096.116.707-61"</f>
        <v>Serv.Prest. 26/09/2025 a 05/10/2025 - PIX: CPF - CHAVE: 096.116.707-61</v>
      </c>
      <c r="I6484" t="str">
        <f t="shared" si="1169"/>
        <v>16/10/2025</v>
      </c>
      <c r="J6484" t="str">
        <f t="shared" si="1171"/>
        <v>07/10/2025</v>
      </c>
      <c r="K6484" t="str">
        <f>("16/10/2025")</f>
        <v>16/10/2025</v>
      </c>
      <c r="L6484">
        <v>154</v>
      </c>
      <c r="M6484">
        <v>154</v>
      </c>
      <c r="N6484">
        <v>109</v>
      </c>
      <c r="O6484" t="str">
        <f>"PAGAMENTO DE ENTREGADORES"</f>
        <v>PAGAMENTO DE ENTREGADORES</v>
      </c>
      <c r="P6484">
        <v>154</v>
      </c>
      <c r="S6484" t="str">
        <f>"BANCO C6 (149)"</f>
        <v>BANCO C6 (149)</v>
      </c>
      <c r="T6484">
        <v>19755</v>
      </c>
      <c r="U6484">
        <v>23023</v>
      </c>
      <c r="V6484" t="s">
        <v>77</v>
      </c>
    </row>
    <row r="6485" spans="1:22">
      <c r="A6485" t="str">
        <f t="shared" si="1166"/>
        <v>16/10/2025</v>
      </c>
      <c r="B6485" t="str">
        <f t="shared" si="1167"/>
        <v>SAÍDA</v>
      </c>
      <c r="C6485" t="str">
        <f t="shared" si="1168"/>
        <v>PIX</v>
      </c>
      <c r="D6485" t="str">
        <f>"23023"</f>
        <v>23023</v>
      </c>
      <c r="E6485" t="str">
        <f t="shared" si="1170"/>
        <v>1</v>
      </c>
      <c r="F6485" t="str">
        <f t="shared" si="1165"/>
        <v>COM</v>
      </c>
      <c r="G6485" t="str">
        <f>"JAIR BRISON JUNIOR (964)"</f>
        <v>JAIR BRISON JUNIOR (964)</v>
      </c>
      <c r="H6485" t="s">
        <v>1763</v>
      </c>
      <c r="I6485" t="str">
        <f t="shared" si="1169"/>
        <v>16/10/2025</v>
      </c>
      <c r="J6485" t="str">
        <f t="shared" si="1171"/>
        <v>07/10/2025</v>
      </c>
      <c r="K6485">
        <v>45946</v>
      </c>
      <c r="N6485">
        <v>109</v>
      </c>
      <c r="O6485" t="s">
        <v>24</v>
      </c>
      <c r="Q6485">
        <v>154</v>
      </c>
      <c r="R6485" t="str">
        <f>"FARMÁCIA INDIANA LJ 119 (10053)"</f>
        <v>FARMÁCIA INDIANA LJ 119 (10053)</v>
      </c>
      <c r="S6485" t="s">
        <v>77</v>
      </c>
      <c r="T6485">
        <v>19755</v>
      </c>
      <c r="U6485">
        <v>23023</v>
      </c>
      <c r="V6485" t="s">
        <v>77</v>
      </c>
    </row>
    <row r="6486" spans="1:22">
      <c r="A6486" t="str">
        <f t="shared" si="1166"/>
        <v>16/10/2025</v>
      </c>
      <c r="B6486" t="str">
        <f t="shared" si="1167"/>
        <v>SAÍDA</v>
      </c>
      <c r="C6486" t="str">
        <f t="shared" si="1168"/>
        <v>PIX</v>
      </c>
      <c r="D6486" t="str">
        <f>"23025"</f>
        <v>23025</v>
      </c>
      <c r="E6486" t="str">
        <f t="shared" si="1170"/>
        <v>1</v>
      </c>
      <c r="F6486" t="str">
        <f t="shared" si="1165"/>
        <v>COM</v>
      </c>
      <c r="G6486" t="str">
        <f>"JOAO ALEXANDRE DE SOUZA ARAUJO (698)"</f>
        <v>JOAO ALEXANDRE DE SOUZA ARAUJO (698)</v>
      </c>
      <c r="H6486" t="str">
        <f>"Serv.Prest. 26/09/2025 a 05/10/2025 - PIX: CPF - CHAVE: 174.029.607-90"</f>
        <v>Serv.Prest. 26/09/2025 a 05/10/2025 - PIX: CPF - CHAVE: 174.029.607-90</v>
      </c>
      <c r="I6486" t="str">
        <f t="shared" si="1169"/>
        <v>16/10/2025</v>
      </c>
      <c r="J6486" t="str">
        <f t="shared" si="1171"/>
        <v>07/10/2025</v>
      </c>
      <c r="K6486" t="str">
        <f>("16/10/2025")</f>
        <v>16/10/2025</v>
      </c>
      <c r="L6486">
        <v>600</v>
      </c>
      <c r="M6486">
        <v>600</v>
      </c>
      <c r="N6486">
        <v>134</v>
      </c>
      <c r="O6486" t="str">
        <f>"DIARIA DE MOTOBOY"</f>
        <v>DIARIA DE MOTOBOY</v>
      </c>
      <c r="P6486">
        <v>600</v>
      </c>
      <c r="S6486" t="str">
        <f>"BANCO C6 (149)"</f>
        <v>BANCO C6 (149)</v>
      </c>
      <c r="T6486">
        <v>19756</v>
      </c>
      <c r="U6486">
        <v>23025</v>
      </c>
      <c r="V6486" t="s">
        <v>77</v>
      </c>
    </row>
    <row r="6487" spans="1:22">
      <c r="A6487" t="str">
        <f t="shared" si="1166"/>
        <v>16/10/2025</v>
      </c>
      <c r="B6487" t="str">
        <f t="shared" si="1167"/>
        <v>SAÍDA</v>
      </c>
      <c r="C6487" t="str">
        <f t="shared" si="1168"/>
        <v>PIX</v>
      </c>
      <c r="D6487" t="str">
        <f>"23025"</f>
        <v>23025</v>
      </c>
      <c r="E6487" t="str">
        <f t="shared" si="1170"/>
        <v>1</v>
      </c>
      <c r="F6487" t="str">
        <f t="shared" si="1165"/>
        <v>COM</v>
      </c>
      <c r="G6487" t="str">
        <f>"JOAO ALEXANDRE DE SOUZA ARAUJO (698)"</f>
        <v>JOAO ALEXANDRE DE SOUZA ARAUJO (698)</v>
      </c>
      <c r="H6487" t="s">
        <v>1764</v>
      </c>
      <c r="I6487" t="str">
        <f t="shared" si="1169"/>
        <v>16/10/2025</v>
      </c>
      <c r="J6487" t="str">
        <f t="shared" si="1171"/>
        <v>07/10/2025</v>
      </c>
      <c r="K6487">
        <v>45946</v>
      </c>
      <c r="N6487">
        <v>134</v>
      </c>
      <c r="O6487" t="s">
        <v>41</v>
      </c>
      <c r="Q6487">
        <v>600</v>
      </c>
      <c r="R6487" t="str">
        <f>"FARMÁCIA INDIANA LJ 188 (10176)"</f>
        <v>FARMÁCIA INDIANA LJ 188 (10176)</v>
      </c>
      <c r="S6487" t="s">
        <v>77</v>
      </c>
      <c r="T6487">
        <v>19756</v>
      </c>
      <c r="U6487">
        <v>23025</v>
      </c>
      <c r="V6487" t="s">
        <v>77</v>
      </c>
    </row>
    <row r="6488" spans="1:22">
      <c r="A6488" t="str">
        <f t="shared" si="1166"/>
        <v>16/10/2025</v>
      </c>
      <c r="B6488" t="str">
        <f t="shared" si="1167"/>
        <v>SAÍDA</v>
      </c>
      <c r="C6488" t="str">
        <f t="shared" si="1168"/>
        <v>PIX</v>
      </c>
      <c r="D6488" t="str">
        <f>"23026"</f>
        <v>23026</v>
      </c>
      <c r="E6488" t="str">
        <f t="shared" si="1170"/>
        <v>1</v>
      </c>
      <c r="F6488" t="str">
        <f t="shared" si="1165"/>
        <v>COM</v>
      </c>
      <c r="G6488" t="str">
        <f>"MARCELO SOUZA DE MOURA (924)"</f>
        <v>MARCELO SOUZA DE MOURA (924)</v>
      </c>
      <c r="H6488" t="str">
        <f>"Serv.Prest. 26/09/2025 a 05/10/2025 - PIX: CELULAR - CHAVE: (73) 99167-5954"</f>
        <v>Serv.Prest. 26/09/2025 a 05/10/2025 - PIX: CELULAR - CHAVE: (73) 99167-5954</v>
      </c>
      <c r="I6488" t="str">
        <f t="shared" si="1169"/>
        <v>16/10/2025</v>
      </c>
      <c r="J6488" t="str">
        <f t="shared" si="1171"/>
        <v>07/10/2025</v>
      </c>
      <c r="K6488" t="str">
        <f>("16/10/2025")</f>
        <v>16/10/2025</v>
      </c>
      <c r="L6488">
        <v>1012.5</v>
      </c>
      <c r="M6488">
        <v>1012.5</v>
      </c>
      <c r="N6488">
        <v>109</v>
      </c>
      <c r="O6488" t="str">
        <f>"PAGAMENTO DE ENTREGADORES"</f>
        <v>PAGAMENTO DE ENTREGADORES</v>
      </c>
      <c r="P6488">
        <v>1012.5</v>
      </c>
      <c r="S6488" t="str">
        <f>"BANCO C6 (149)"</f>
        <v>BANCO C6 (149)</v>
      </c>
      <c r="T6488">
        <v>19757</v>
      </c>
      <c r="U6488">
        <v>23026</v>
      </c>
      <c r="V6488" t="s">
        <v>77</v>
      </c>
    </row>
    <row r="6489" spans="1:22">
      <c r="A6489" t="str">
        <f t="shared" si="1166"/>
        <v>16/10/2025</v>
      </c>
      <c r="B6489" t="str">
        <f t="shared" si="1167"/>
        <v>SAÍDA</v>
      </c>
      <c r="C6489" t="str">
        <f t="shared" si="1168"/>
        <v>PIX</v>
      </c>
      <c r="D6489" t="str">
        <f>"23026"</f>
        <v>23026</v>
      </c>
      <c r="E6489" t="str">
        <f t="shared" si="1170"/>
        <v>1</v>
      </c>
      <c r="F6489" t="str">
        <f t="shared" si="1165"/>
        <v>COM</v>
      </c>
      <c r="G6489" t="str">
        <f>"MARCELO SOUZA DE MOURA (924)"</f>
        <v>MARCELO SOUZA DE MOURA (924)</v>
      </c>
      <c r="H6489" t="s">
        <v>1765</v>
      </c>
      <c r="I6489" t="str">
        <f t="shared" si="1169"/>
        <v>16/10/2025</v>
      </c>
      <c r="J6489" t="str">
        <f t="shared" si="1171"/>
        <v>07/10/2025</v>
      </c>
      <c r="K6489">
        <v>45946</v>
      </c>
      <c r="N6489">
        <v>109</v>
      </c>
      <c r="O6489" t="s">
        <v>24</v>
      </c>
      <c r="Q6489">
        <v>1012.5</v>
      </c>
      <c r="R6489" t="str">
        <f>"FARMÁCIA INDIANA LJ 273 (10188)"</f>
        <v>FARMÁCIA INDIANA LJ 273 (10188)</v>
      </c>
      <c r="S6489" t="s">
        <v>77</v>
      </c>
      <c r="T6489">
        <v>19757</v>
      </c>
      <c r="U6489">
        <v>23026</v>
      </c>
      <c r="V6489" t="s">
        <v>77</v>
      </c>
    </row>
    <row r="6490" spans="1:22">
      <c r="A6490" t="str">
        <f t="shared" si="1166"/>
        <v>16/10/2025</v>
      </c>
      <c r="B6490" t="str">
        <f t="shared" si="1167"/>
        <v>SAÍDA</v>
      </c>
      <c r="C6490" t="str">
        <f t="shared" si="1168"/>
        <v>PIX</v>
      </c>
      <c r="D6490" t="str">
        <f>"23028"</f>
        <v>23028</v>
      </c>
      <c r="E6490" t="str">
        <f t="shared" si="1170"/>
        <v>1</v>
      </c>
      <c r="F6490" t="str">
        <f t="shared" si="1165"/>
        <v>COM</v>
      </c>
      <c r="G6490" t="str">
        <f>"VINÍCIUS NEVES PEREIRA (776)"</f>
        <v>VINÍCIUS NEVES PEREIRA (776)</v>
      </c>
      <c r="H6490" t="str">
        <f>"Serv.Prest. 26/09/2025 a 05/10/2025 - PIX: CPF - CHAVE: 121.963.507-37"</f>
        <v>Serv.Prest. 26/09/2025 a 05/10/2025 - PIX: CPF - CHAVE: 121.963.507-37</v>
      </c>
      <c r="I6490" t="str">
        <f t="shared" si="1169"/>
        <v>16/10/2025</v>
      </c>
      <c r="J6490" t="str">
        <f t="shared" si="1171"/>
        <v>07/10/2025</v>
      </c>
      <c r="K6490" t="str">
        <f>("16/10/2025")</f>
        <v>16/10/2025</v>
      </c>
      <c r="L6490">
        <v>750.75</v>
      </c>
      <c r="M6490">
        <v>750.75</v>
      </c>
      <c r="N6490">
        <v>109</v>
      </c>
      <c r="O6490" t="str">
        <f>"PAGAMENTO DE ENTREGADORES"</f>
        <v>PAGAMENTO DE ENTREGADORES</v>
      </c>
      <c r="P6490">
        <v>750.75</v>
      </c>
      <c r="S6490" t="str">
        <f>"BANCO C6 (149)"</f>
        <v>BANCO C6 (149)</v>
      </c>
      <c r="T6490">
        <v>19758</v>
      </c>
      <c r="U6490">
        <v>23028</v>
      </c>
      <c r="V6490" t="s">
        <v>77</v>
      </c>
    </row>
    <row r="6491" spans="1:22">
      <c r="A6491" t="str">
        <f t="shared" si="1166"/>
        <v>16/10/2025</v>
      </c>
      <c r="B6491" t="str">
        <f t="shared" si="1167"/>
        <v>SAÍDA</v>
      </c>
      <c r="C6491" t="str">
        <f t="shared" si="1168"/>
        <v>PIX</v>
      </c>
      <c r="D6491" t="str">
        <f>"23028"</f>
        <v>23028</v>
      </c>
      <c r="E6491" t="str">
        <f t="shared" si="1170"/>
        <v>1</v>
      </c>
      <c r="F6491" t="str">
        <f t="shared" si="1165"/>
        <v>COM</v>
      </c>
      <c r="G6491" t="str">
        <f>"VINÍCIUS NEVES PEREIRA (776)"</f>
        <v>VINÍCIUS NEVES PEREIRA (776)</v>
      </c>
      <c r="H6491" t="s">
        <v>1766</v>
      </c>
      <c r="I6491" t="str">
        <f t="shared" si="1169"/>
        <v>16/10/2025</v>
      </c>
      <c r="J6491" t="str">
        <f t="shared" si="1171"/>
        <v>07/10/2025</v>
      </c>
      <c r="K6491">
        <v>45946</v>
      </c>
      <c r="N6491">
        <v>109</v>
      </c>
      <c r="O6491" t="s">
        <v>24</v>
      </c>
      <c r="Q6491">
        <v>750.75</v>
      </c>
      <c r="R6491" t="str">
        <f>"FARMÁCIA INDIANA LJ 221 (10093)"</f>
        <v>FARMÁCIA INDIANA LJ 221 (10093)</v>
      </c>
      <c r="S6491" t="s">
        <v>77</v>
      </c>
      <c r="T6491">
        <v>19758</v>
      </c>
      <c r="U6491">
        <v>23028</v>
      </c>
      <c r="V6491" t="s">
        <v>77</v>
      </c>
    </row>
    <row r="6492" spans="1:22">
      <c r="A6492" t="str">
        <f t="shared" si="1166"/>
        <v>16/10/2025</v>
      </c>
      <c r="B6492" t="str">
        <f t="shared" si="1167"/>
        <v>SAÍDA</v>
      </c>
      <c r="C6492" t="str">
        <f t="shared" si="1168"/>
        <v>PIX</v>
      </c>
      <c r="D6492" t="str">
        <f>"23059"</f>
        <v>23059</v>
      </c>
      <c r="E6492" t="str">
        <f t="shared" si="1170"/>
        <v>1</v>
      </c>
      <c r="F6492" t="str">
        <f t="shared" si="1165"/>
        <v>COM</v>
      </c>
      <c r="G6492" t="str">
        <f>"CASSIO DIAS RIBEIRO (32)"</f>
        <v>CASSIO DIAS RIBEIRO (32)</v>
      </c>
      <c r="H6492" t="str">
        <f>"Serv.Prest. 29/09/2025 a 29/09/2025 - PIX: CPF - CHAVE: 091.575.986-14"</f>
        <v>Serv.Prest. 29/09/2025 a 29/09/2025 - PIX: CPF - CHAVE: 091.575.986-14</v>
      </c>
      <c r="I6492" t="str">
        <f t="shared" si="1169"/>
        <v>16/10/2025</v>
      </c>
      <c r="J6492" t="str">
        <f t="shared" ref="J6492:J6535" si="1172">("08/10/2025")</f>
        <v>08/10/2025</v>
      </c>
      <c r="K6492" t="str">
        <f>("16/10/2025")</f>
        <v>16/10/2025</v>
      </c>
      <c r="L6492">
        <v>210</v>
      </c>
      <c r="M6492">
        <v>210</v>
      </c>
      <c r="N6492">
        <v>109</v>
      </c>
      <c r="O6492" t="str">
        <f>"PAGAMENTO DE ENTREGADORES"</f>
        <v>PAGAMENTO DE ENTREGADORES</v>
      </c>
      <c r="P6492">
        <v>210</v>
      </c>
      <c r="S6492" t="str">
        <f>"BANCO C6 (149)"</f>
        <v>BANCO C6 (149)</v>
      </c>
      <c r="T6492">
        <v>19759</v>
      </c>
      <c r="U6492">
        <v>23059</v>
      </c>
      <c r="V6492" t="s">
        <v>77</v>
      </c>
    </row>
    <row r="6493" spans="1:22">
      <c r="A6493" t="str">
        <f t="shared" si="1166"/>
        <v>16/10/2025</v>
      </c>
      <c r="B6493" t="str">
        <f t="shared" si="1167"/>
        <v>SAÍDA</v>
      </c>
      <c r="C6493" t="str">
        <f t="shared" si="1168"/>
        <v>PIX</v>
      </c>
      <c r="D6493" t="str">
        <f>"23059"</f>
        <v>23059</v>
      </c>
      <c r="E6493" t="str">
        <f t="shared" si="1170"/>
        <v>1</v>
      </c>
      <c r="F6493" t="str">
        <f t="shared" si="1165"/>
        <v>COM</v>
      </c>
      <c r="G6493" t="str">
        <f>"CASSIO DIAS RIBEIRO (32)"</f>
        <v>CASSIO DIAS RIBEIRO (32)</v>
      </c>
      <c r="H6493" t="s">
        <v>1767</v>
      </c>
      <c r="I6493" t="str">
        <f t="shared" si="1169"/>
        <v>16/10/2025</v>
      </c>
      <c r="J6493" t="str">
        <f t="shared" si="1172"/>
        <v>08/10/2025</v>
      </c>
      <c r="K6493">
        <v>45946</v>
      </c>
      <c r="N6493">
        <v>109</v>
      </c>
      <c r="O6493" t="s">
        <v>24</v>
      </c>
      <c r="Q6493">
        <v>210</v>
      </c>
      <c r="R6493" t="str">
        <f>"FARMÁCIA INDIANA LJ 18 (10011)"</f>
        <v>FARMÁCIA INDIANA LJ 18 (10011)</v>
      </c>
      <c r="S6493" t="s">
        <v>77</v>
      </c>
      <c r="T6493">
        <v>19759</v>
      </c>
      <c r="U6493">
        <v>23059</v>
      </c>
      <c r="V6493" t="s">
        <v>77</v>
      </c>
    </row>
    <row r="6494" spans="1:22">
      <c r="A6494" t="str">
        <f t="shared" si="1166"/>
        <v>16/10/2025</v>
      </c>
      <c r="B6494" t="str">
        <f t="shared" si="1167"/>
        <v>SAÍDA</v>
      </c>
      <c r="C6494" t="str">
        <f t="shared" si="1168"/>
        <v>PIX</v>
      </c>
      <c r="D6494" t="str">
        <f>"23071"</f>
        <v>23071</v>
      </c>
      <c r="E6494" t="str">
        <f t="shared" si="1170"/>
        <v>1</v>
      </c>
      <c r="F6494" t="str">
        <f t="shared" si="1165"/>
        <v>COM</v>
      </c>
      <c r="G6494" t="str">
        <f>"ALAN ACOSTA (897)"</f>
        <v>ALAN ACOSTA (897)</v>
      </c>
      <c r="H6494" t="str">
        <f>"Serv.Prest. 29/09/2025 a 05/10/2025 - PIX: E-MAIL - CHAVE: alanacosta1999@gmail.com"</f>
        <v>Serv.Prest. 29/09/2025 a 05/10/2025 - PIX: E-MAIL - CHAVE: alanacosta1999@gmail.com</v>
      </c>
      <c r="I6494" t="str">
        <f t="shared" si="1169"/>
        <v>16/10/2025</v>
      </c>
      <c r="J6494" t="str">
        <f t="shared" si="1172"/>
        <v>08/10/2025</v>
      </c>
      <c r="K6494" t="str">
        <f>("16/10/2025")</f>
        <v>16/10/2025</v>
      </c>
      <c r="L6494">
        <v>800.1</v>
      </c>
      <c r="M6494">
        <v>800.1</v>
      </c>
      <c r="N6494">
        <v>109</v>
      </c>
      <c r="O6494" t="str">
        <f>"PAGAMENTO DE ENTREGADORES"</f>
        <v>PAGAMENTO DE ENTREGADORES</v>
      </c>
      <c r="P6494">
        <v>800.1</v>
      </c>
      <c r="S6494" t="str">
        <f>"BANCO C6 (149)"</f>
        <v>BANCO C6 (149)</v>
      </c>
      <c r="T6494">
        <v>19760</v>
      </c>
      <c r="U6494">
        <v>23071</v>
      </c>
      <c r="V6494" t="s">
        <v>77</v>
      </c>
    </row>
    <row r="6495" spans="1:22">
      <c r="A6495" t="str">
        <f t="shared" si="1166"/>
        <v>16/10/2025</v>
      </c>
      <c r="B6495" t="str">
        <f t="shared" si="1167"/>
        <v>SAÍDA</v>
      </c>
      <c r="C6495" t="str">
        <f t="shared" si="1168"/>
        <v>PIX</v>
      </c>
      <c r="D6495" t="str">
        <f>"23071"</f>
        <v>23071</v>
      </c>
      <c r="E6495" t="str">
        <f t="shared" si="1170"/>
        <v>1</v>
      </c>
      <c r="F6495" t="str">
        <f t="shared" si="1165"/>
        <v>COM</v>
      </c>
      <c r="G6495" t="str">
        <f>"ALAN ACOSTA (897)"</f>
        <v>ALAN ACOSTA (897)</v>
      </c>
      <c r="H6495" t="s">
        <v>1768</v>
      </c>
      <c r="I6495" t="str">
        <f t="shared" si="1169"/>
        <v>16/10/2025</v>
      </c>
      <c r="J6495" t="str">
        <f t="shared" si="1172"/>
        <v>08/10/2025</v>
      </c>
      <c r="K6495">
        <v>45946</v>
      </c>
      <c r="N6495">
        <v>109</v>
      </c>
      <c r="O6495" t="s">
        <v>24</v>
      </c>
      <c r="Q6495">
        <v>800.1</v>
      </c>
      <c r="R6495" t="str">
        <f>"AC FARMA - CID.ALTA (10166)"</f>
        <v>AC FARMA - CID.ALTA (10166)</v>
      </c>
      <c r="S6495" t="s">
        <v>77</v>
      </c>
      <c r="T6495">
        <v>19760</v>
      </c>
      <c r="U6495">
        <v>23071</v>
      </c>
      <c r="V6495" t="s">
        <v>77</v>
      </c>
    </row>
    <row r="6496" spans="1:22">
      <c r="A6496" t="str">
        <f t="shared" si="1166"/>
        <v>16/10/2025</v>
      </c>
      <c r="B6496" t="str">
        <f t="shared" si="1167"/>
        <v>SAÍDA</v>
      </c>
      <c r="C6496" t="str">
        <f t="shared" si="1168"/>
        <v>PIX</v>
      </c>
      <c r="D6496" t="str">
        <f>"23072"</f>
        <v>23072</v>
      </c>
      <c r="E6496" t="str">
        <f t="shared" si="1170"/>
        <v>1</v>
      </c>
      <c r="F6496" t="str">
        <f t="shared" si="1165"/>
        <v>COM</v>
      </c>
      <c r="G6496" t="str">
        <f>"ALEXANDRE DA CONCEICAO (714)"</f>
        <v>ALEXANDRE DA CONCEICAO (714)</v>
      </c>
      <c r="H6496" t="str">
        <f>"Serv.Prest. 29/09/2025 a 05/10/2025 - PIX: CPF - CHAVE: 975.425.989-53"</f>
        <v>Serv.Prest. 29/09/2025 a 05/10/2025 - PIX: CPF - CHAVE: 975.425.989-53</v>
      </c>
      <c r="I6496" t="str">
        <f t="shared" si="1169"/>
        <v>16/10/2025</v>
      </c>
      <c r="J6496" t="str">
        <f t="shared" si="1172"/>
        <v>08/10/2025</v>
      </c>
      <c r="K6496" t="str">
        <f>("16/10/2025")</f>
        <v>16/10/2025</v>
      </c>
      <c r="L6496">
        <v>390.6</v>
      </c>
      <c r="M6496">
        <v>390.6</v>
      </c>
      <c r="N6496">
        <v>109</v>
      </c>
      <c r="O6496" t="str">
        <f>"PAGAMENTO DE ENTREGADORES"</f>
        <v>PAGAMENTO DE ENTREGADORES</v>
      </c>
      <c r="P6496">
        <v>390.6</v>
      </c>
      <c r="S6496" t="str">
        <f>"BANCO C6 (149)"</f>
        <v>BANCO C6 (149)</v>
      </c>
      <c r="T6496">
        <v>19761</v>
      </c>
      <c r="U6496">
        <v>23072</v>
      </c>
      <c r="V6496" t="s">
        <v>77</v>
      </c>
    </row>
    <row r="6497" spans="1:22">
      <c r="A6497" t="str">
        <f t="shared" si="1166"/>
        <v>16/10/2025</v>
      </c>
      <c r="B6497" t="str">
        <f t="shared" si="1167"/>
        <v>SAÍDA</v>
      </c>
      <c r="C6497" t="str">
        <f t="shared" si="1168"/>
        <v>PIX</v>
      </c>
      <c r="D6497" t="str">
        <f>"23072"</f>
        <v>23072</v>
      </c>
      <c r="E6497" t="str">
        <f t="shared" si="1170"/>
        <v>1</v>
      </c>
      <c r="F6497" t="str">
        <f t="shared" si="1165"/>
        <v>COM</v>
      </c>
      <c r="G6497" t="str">
        <f>"ALEXANDRE DA CONCEICAO (714)"</f>
        <v>ALEXANDRE DA CONCEICAO (714)</v>
      </c>
      <c r="H6497" t="s">
        <v>1769</v>
      </c>
      <c r="I6497" t="str">
        <f t="shared" si="1169"/>
        <v>16/10/2025</v>
      </c>
      <c r="J6497" t="str">
        <f t="shared" si="1172"/>
        <v>08/10/2025</v>
      </c>
      <c r="K6497">
        <v>45946</v>
      </c>
      <c r="N6497">
        <v>109</v>
      </c>
      <c r="O6497" t="s">
        <v>24</v>
      </c>
      <c r="Q6497">
        <v>390.6</v>
      </c>
      <c r="R6497" t="str">
        <f>"AC FARMA - CID.ALTA (10166)"</f>
        <v>AC FARMA - CID.ALTA (10166)</v>
      </c>
      <c r="S6497" t="s">
        <v>77</v>
      </c>
      <c r="T6497">
        <v>19761</v>
      </c>
      <c r="U6497">
        <v>23072</v>
      </c>
      <c r="V6497" t="s">
        <v>77</v>
      </c>
    </row>
    <row r="6498" spans="1:22">
      <c r="A6498" t="str">
        <f t="shared" si="1166"/>
        <v>16/10/2025</v>
      </c>
      <c r="B6498" t="str">
        <f t="shared" si="1167"/>
        <v>SAÍDA</v>
      </c>
      <c r="C6498" t="str">
        <f t="shared" si="1168"/>
        <v>PIX</v>
      </c>
      <c r="D6498" t="str">
        <f>"23073"</f>
        <v>23073</v>
      </c>
      <c r="E6498" t="str">
        <f t="shared" si="1170"/>
        <v>1</v>
      </c>
      <c r="F6498" t="str">
        <f t="shared" si="1165"/>
        <v>COM</v>
      </c>
      <c r="G6498" t="str">
        <f>"CLAUDINEI RIBEIRO VALERIO (681)"</f>
        <v>CLAUDINEI RIBEIRO VALERIO (681)</v>
      </c>
      <c r="H6498" t="str">
        <f>"Serv.Prest. 29/09/2025 a 05/10/2025 - PIX: CELULAR - CHAVE: (43) 99630-7532"</f>
        <v>Serv.Prest. 29/09/2025 a 05/10/2025 - PIX: CELULAR - CHAVE: (43) 99630-7532</v>
      </c>
      <c r="I6498" t="str">
        <f t="shared" si="1169"/>
        <v>16/10/2025</v>
      </c>
      <c r="J6498" t="str">
        <f t="shared" si="1172"/>
        <v>08/10/2025</v>
      </c>
      <c r="K6498" t="str">
        <f>("16/10/2025")</f>
        <v>16/10/2025</v>
      </c>
      <c r="L6498">
        <v>989.1</v>
      </c>
      <c r="M6498">
        <v>989.1</v>
      </c>
      <c r="N6498">
        <v>109</v>
      </c>
      <c r="O6498" t="str">
        <f>"PAGAMENTO DE ENTREGADORES"</f>
        <v>PAGAMENTO DE ENTREGADORES</v>
      </c>
      <c r="P6498">
        <v>989.1</v>
      </c>
      <c r="S6498" t="str">
        <f>"BANCO C6 (149)"</f>
        <v>BANCO C6 (149)</v>
      </c>
      <c r="T6498">
        <v>19762</v>
      </c>
      <c r="U6498">
        <v>23073</v>
      </c>
      <c r="V6498" t="s">
        <v>77</v>
      </c>
    </row>
    <row r="6499" spans="1:22">
      <c r="A6499" t="str">
        <f t="shared" si="1166"/>
        <v>16/10/2025</v>
      </c>
      <c r="B6499" t="str">
        <f t="shared" si="1167"/>
        <v>SAÍDA</v>
      </c>
      <c r="C6499" t="str">
        <f t="shared" si="1168"/>
        <v>PIX</v>
      </c>
      <c r="D6499" t="str">
        <f>"23073"</f>
        <v>23073</v>
      </c>
      <c r="E6499" t="str">
        <f t="shared" si="1170"/>
        <v>1</v>
      </c>
      <c r="F6499" t="str">
        <f t="shared" si="1165"/>
        <v>COM</v>
      </c>
      <c r="G6499" t="str">
        <f>"CLAUDINEI RIBEIRO VALERIO (681)"</f>
        <v>CLAUDINEI RIBEIRO VALERIO (681)</v>
      </c>
      <c r="H6499" t="s">
        <v>1770</v>
      </c>
      <c r="I6499" t="str">
        <f t="shared" si="1169"/>
        <v>16/10/2025</v>
      </c>
      <c r="J6499" t="str">
        <f t="shared" si="1172"/>
        <v>08/10/2025</v>
      </c>
      <c r="K6499">
        <v>45946</v>
      </c>
      <c r="N6499">
        <v>109</v>
      </c>
      <c r="O6499" t="s">
        <v>24</v>
      </c>
      <c r="Q6499">
        <v>989.1</v>
      </c>
      <c r="R6499" t="str">
        <f>"AC FARMA - CID.ALTA (10166)"</f>
        <v>AC FARMA - CID.ALTA (10166)</v>
      </c>
      <c r="S6499" t="s">
        <v>77</v>
      </c>
      <c r="T6499">
        <v>19762</v>
      </c>
      <c r="U6499">
        <v>23073</v>
      </c>
      <c r="V6499" t="s">
        <v>77</v>
      </c>
    </row>
    <row r="6500" spans="1:22">
      <c r="A6500" t="str">
        <f t="shared" si="1166"/>
        <v>16/10/2025</v>
      </c>
      <c r="B6500" t="str">
        <f t="shared" si="1167"/>
        <v>SAÍDA</v>
      </c>
      <c r="C6500" t="str">
        <f t="shared" si="1168"/>
        <v>PIX</v>
      </c>
      <c r="D6500" t="str">
        <f>"23074"</f>
        <v>23074</v>
      </c>
      <c r="E6500" t="str">
        <f t="shared" si="1170"/>
        <v>1</v>
      </c>
      <c r="F6500" t="str">
        <f t="shared" si="1165"/>
        <v>COM</v>
      </c>
      <c r="G6500" t="str">
        <f>"FERNANDO MARTINS DA SILVA (701)"</f>
        <v>FERNANDO MARTINS DA SILVA (701)</v>
      </c>
      <c r="H6500" t="str">
        <f>"Serv.Prest. 29/09/2025 a 05/10/2025 - PIX: CPF - CHAVE: 004.682.359-06"</f>
        <v>Serv.Prest. 29/09/2025 a 05/10/2025 - PIX: CPF - CHAVE: 004.682.359-06</v>
      </c>
      <c r="I6500" t="str">
        <f t="shared" si="1169"/>
        <v>16/10/2025</v>
      </c>
      <c r="J6500" t="str">
        <f t="shared" si="1172"/>
        <v>08/10/2025</v>
      </c>
      <c r="K6500" t="str">
        <f>("16/10/2025")</f>
        <v>16/10/2025</v>
      </c>
      <c r="L6500">
        <v>970.2</v>
      </c>
      <c r="M6500">
        <v>970.2</v>
      </c>
      <c r="N6500">
        <v>109</v>
      </c>
      <c r="O6500" t="str">
        <f>"PAGAMENTO DE ENTREGADORES"</f>
        <v>PAGAMENTO DE ENTREGADORES</v>
      </c>
      <c r="P6500">
        <v>970.2</v>
      </c>
      <c r="S6500" t="str">
        <f>"BANCO C6 (149)"</f>
        <v>BANCO C6 (149)</v>
      </c>
      <c r="T6500">
        <v>19763</v>
      </c>
      <c r="U6500">
        <v>23074</v>
      </c>
      <c r="V6500" t="s">
        <v>77</v>
      </c>
    </row>
    <row r="6501" spans="1:22">
      <c r="A6501" t="str">
        <f t="shared" si="1166"/>
        <v>16/10/2025</v>
      </c>
      <c r="B6501" t="str">
        <f t="shared" si="1167"/>
        <v>SAÍDA</v>
      </c>
      <c r="C6501" t="str">
        <f t="shared" si="1168"/>
        <v>PIX</v>
      </c>
      <c r="D6501" t="str">
        <f>"23074"</f>
        <v>23074</v>
      </c>
      <c r="E6501" t="str">
        <f t="shared" si="1170"/>
        <v>1</v>
      </c>
      <c r="F6501" t="str">
        <f t="shared" si="1165"/>
        <v>COM</v>
      </c>
      <c r="G6501" t="str">
        <f>"FERNANDO MARTINS DA SILVA (701)"</f>
        <v>FERNANDO MARTINS DA SILVA (701)</v>
      </c>
      <c r="H6501" t="s">
        <v>1771</v>
      </c>
      <c r="I6501" t="str">
        <f t="shared" si="1169"/>
        <v>16/10/2025</v>
      </c>
      <c r="J6501" t="str">
        <f t="shared" si="1172"/>
        <v>08/10/2025</v>
      </c>
      <c r="K6501">
        <v>45946</v>
      </c>
      <c r="N6501">
        <v>109</v>
      </c>
      <c r="O6501" t="s">
        <v>24</v>
      </c>
      <c r="Q6501">
        <v>970.2</v>
      </c>
      <c r="R6501" t="str">
        <f>"AC FARMA - CID.ALTA (10166)"</f>
        <v>AC FARMA - CID.ALTA (10166)</v>
      </c>
      <c r="S6501" t="s">
        <v>77</v>
      </c>
      <c r="T6501">
        <v>19763</v>
      </c>
      <c r="U6501">
        <v>23074</v>
      </c>
      <c r="V6501" t="s">
        <v>77</v>
      </c>
    </row>
    <row r="6502" spans="1:22">
      <c r="A6502" t="str">
        <f t="shared" si="1166"/>
        <v>16/10/2025</v>
      </c>
      <c r="B6502" t="str">
        <f t="shared" si="1167"/>
        <v>SAÍDA</v>
      </c>
      <c r="C6502" t="str">
        <f t="shared" si="1168"/>
        <v>PIX</v>
      </c>
      <c r="D6502" t="str">
        <f>"23075"</f>
        <v>23075</v>
      </c>
      <c r="E6502" t="str">
        <f t="shared" si="1170"/>
        <v>1</v>
      </c>
      <c r="F6502" t="str">
        <f t="shared" si="1165"/>
        <v>COM</v>
      </c>
      <c r="G6502" t="str">
        <f>"GERALDO SEVERINO DE SANTANA (729)"</f>
        <v>GERALDO SEVERINO DE SANTANA (729)</v>
      </c>
      <c r="H6502" t="str">
        <f>"Serv.Prest. 29/09/2025 a 05/10/2025 - PIX: CELULAR - CHAVE: (43) 99934-1696"</f>
        <v>Serv.Prest. 29/09/2025 a 05/10/2025 - PIX: CELULAR - CHAVE: (43) 99934-1696</v>
      </c>
      <c r="I6502" t="str">
        <f t="shared" si="1169"/>
        <v>16/10/2025</v>
      </c>
      <c r="J6502" t="str">
        <f t="shared" si="1172"/>
        <v>08/10/2025</v>
      </c>
      <c r="K6502" t="str">
        <f>("16/10/2025")</f>
        <v>16/10/2025</v>
      </c>
      <c r="L6502">
        <v>630</v>
      </c>
      <c r="M6502">
        <v>630</v>
      </c>
      <c r="N6502">
        <v>109</v>
      </c>
      <c r="O6502" t="str">
        <f>"PAGAMENTO DE ENTREGADORES"</f>
        <v>PAGAMENTO DE ENTREGADORES</v>
      </c>
      <c r="P6502">
        <v>630</v>
      </c>
      <c r="S6502" t="str">
        <f>"BANCO C6 (149)"</f>
        <v>BANCO C6 (149)</v>
      </c>
      <c r="T6502">
        <v>19764</v>
      </c>
      <c r="U6502">
        <v>23075</v>
      </c>
      <c r="V6502" t="s">
        <v>77</v>
      </c>
    </row>
    <row r="6503" spans="1:22">
      <c r="A6503" t="str">
        <f t="shared" si="1166"/>
        <v>16/10/2025</v>
      </c>
      <c r="B6503" t="str">
        <f t="shared" si="1167"/>
        <v>SAÍDA</v>
      </c>
      <c r="C6503" t="str">
        <f t="shared" si="1168"/>
        <v>PIX</v>
      </c>
      <c r="D6503" t="str">
        <f>"23075"</f>
        <v>23075</v>
      </c>
      <c r="E6503" t="str">
        <f t="shared" si="1170"/>
        <v>1</v>
      </c>
      <c r="F6503" t="str">
        <f t="shared" si="1165"/>
        <v>COM</v>
      </c>
      <c r="G6503" t="str">
        <f>"GERALDO SEVERINO DE SANTANA (729)"</f>
        <v>GERALDO SEVERINO DE SANTANA (729)</v>
      </c>
      <c r="H6503" t="s">
        <v>1772</v>
      </c>
      <c r="I6503" t="str">
        <f t="shared" si="1169"/>
        <v>16/10/2025</v>
      </c>
      <c r="J6503" t="str">
        <f t="shared" si="1172"/>
        <v>08/10/2025</v>
      </c>
      <c r="K6503">
        <v>45946</v>
      </c>
      <c r="N6503">
        <v>109</v>
      </c>
      <c r="O6503" t="s">
        <v>24</v>
      </c>
      <c r="Q6503">
        <v>630</v>
      </c>
      <c r="R6503" t="str">
        <f>"AC FARMA - CID.ALTA (10166)"</f>
        <v>AC FARMA - CID.ALTA (10166)</v>
      </c>
      <c r="S6503" t="s">
        <v>77</v>
      </c>
      <c r="T6503">
        <v>19764</v>
      </c>
      <c r="U6503">
        <v>23075</v>
      </c>
      <c r="V6503" t="s">
        <v>77</v>
      </c>
    </row>
    <row r="6504" spans="1:22">
      <c r="A6504" t="str">
        <f t="shared" si="1166"/>
        <v>16/10/2025</v>
      </c>
      <c r="B6504" t="str">
        <f t="shared" si="1167"/>
        <v>SAÍDA</v>
      </c>
      <c r="C6504" t="str">
        <f t="shared" si="1168"/>
        <v>PIX</v>
      </c>
      <c r="D6504" t="str">
        <f>"23076"</f>
        <v>23076</v>
      </c>
      <c r="E6504" t="str">
        <f t="shared" si="1170"/>
        <v>1</v>
      </c>
      <c r="F6504" t="str">
        <f t="shared" si="1165"/>
        <v>COM</v>
      </c>
      <c r="G6504" t="str">
        <f>"HELITON DE OLIVEIRA RAMOS BARBOSA (724)"</f>
        <v>HELITON DE OLIVEIRA RAMOS BARBOSA (724)</v>
      </c>
      <c r="H6504" t="str">
        <f>"Serv.Prest. 29/09/2025 a 05/10/2025 - PIX: CPF - CHAVE: 074.604.219-10"</f>
        <v>Serv.Prest. 29/09/2025 a 05/10/2025 - PIX: CPF - CHAVE: 074.604.219-10</v>
      </c>
      <c r="I6504" t="str">
        <f t="shared" si="1169"/>
        <v>16/10/2025</v>
      </c>
      <c r="J6504" t="str">
        <f t="shared" si="1172"/>
        <v>08/10/2025</v>
      </c>
      <c r="K6504" t="str">
        <f>("16/10/2025")</f>
        <v>16/10/2025</v>
      </c>
      <c r="L6504">
        <v>913.5</v>
      </c>
      <c r="M6504">
        <v>913.5</v>
      </c>
      <c r="N6504">
        <v>109</v>
      </c>
      <c r="O6504" t="str">
        <f>"PAGAMENTO DE ENTREGADORES"</f>
        <v>PAGAMENTO DE ENTREGADORES</v>
      </c>
      <c r="P6504">
        <v>913.5</v>
      </c>
      <c r="S6504" t="str">
        <f>"BANCO C6 (149)"</f>
        <v>BANCO C6 (149)</v>
      </c>
      <c r="T6504">
        <v>19765</v>
      </c>
      <c r="U6504">
        <v>23076</v>
      </c>
      <c r="V6504" t="s">
        <v>77</v>
      </c>
    </row>
    <row r="6505" spans="1:22">
      <c r="A6505" t="str">
        <f t="shared" si="1166"/>
        <v>16/10/2025</v>
      </c>
      <c r="B6505" t="str">
        <f t="shared" si="1167"/>
        <v>SAÍDA</v>
      </c>
      <c r="C6505" t="str">
        <f t="shared" si="1168"/>
        <v>PIX</v>
      </c>
      <c r="D6505" t="str">
        <f>"23076"</f>
        <v>23076</v>
      </c>
      <c r="E6505" t="str">
        <f t="shared" si="1170"/>
        <v>1</v>
      </c>
      <c r="F6505" t="str">
        <f t="shared" si="1165"/>
        <v>COM</v>
      </c>
      <c r="G6505" t="str">
        <f>"HELITON DE OLIVEIRA RAMOS BARBOSA (724)"</f>
        <v>HELITON DE OLIVEIRA RAMOS BARBOSA (724)</v>
      </c>
      <c r="H6505" t="s">
        <v>1773</v>
      </c>
      <c r="I6505" t="str">
        <f t="shared" si="1169"/>
        <v>16/10/2025</v>
      </c>
      <c r="J6505" t="str">
        <f t="shared" si="1172"/>
        <v>08/10/2025</v>
      </c>
      <c r="K6505">
        <v>45946</v>
      </c>
      <c r="N6505">
        <v>109</v>
      </c>
      <c r="O6505" t="s">
        <v>24</v>
      </c>
      <c r="Q6505">
        <v>913.5</v>
      </c>
      <c r="R6505" t="str">
        <f>"AC FARMA - CID.ALTA (10166)"</f>
        <v>AC FARMA - CID.ALTA (10166)</v>
      </c>
      <c r="S6505" t="s">
        <v>77</v>
      </c>
      <c r="T6505">
        <v>19765</v>
      </c>
      <c r="U6505">
        <v>23076</v>
      </c>
      <c r="V6505" t="s">
        <v>77</v>
      </c>
    </row>
    <row r="6506" spans="1:22">
      <c r="A6506" t="str">
        <f t="shared" si="1166"/>
        <v>16/10/2025</v>
      </c>
      <c r="B6506" t="str">
        <f t="shared" si="1167"/>
        <v>SAÍDA</v>
      </c>
      <c r="C6506" t="str">
        <f t="shared" si="1168"/>
        <v>PIX</v>
      </c>
      <c r="D6506" t="str">
        <f>"23077"</f>
        <v>23077</v>
      </c>
      <c r="E6506" t="str">
        <f t="shared" si="1170"/>
        <v>1</v>
      </c>
      <c r="F6506" t="str">
        <f t="shared" ref="F6506:F6569" si="1173">"COM"</f>
        <v>COM</v>
      </c>
      <c r="G6506" t="str">
        <f>"RAUL SILVA ROMAO (727)"</f>
        <v>RAUL SILVA ROMAO (727)</v>
      </c>
      <c r="H6506" t="str">
        <f>"Serv.Prest. 29/09/2025 a 05/10/2025 - PIX: CPF - CHAVE: 878.196.869-87"</f>
        <v>Serv.Prest. 29/09/2025 a 05/10/2025 - PIX: CPF - CHAVE: 878.196.869-87</v>
      </c>
      <c r="I6506" t="str">
        <f t="shared" si="1169"/>
        <v>16/10/2025</v>
      </c>
      <c r="J6506" t="str">
        <f t="shared" si="1172"/>
        <v>08/10/2025</v>
      </c>
      <c r="K6506" t="str">
        <f>("16/10/2025")</f>
        <v>16/10/2025</v>
      </c>
      <c r="L6506">
        <v>94.5</v>
      </c>
      <c r="M6506">
        <v>94.5</v>
      </c>
      <c r="N6506">
        <v>109</v>
      </c>
      <c r="O6506" t="str">
        <f>"PAGAMENTO DE ENTREGADORES"</f>
        <v>PAGAMENTO DE ENTREGADORES</v>
      </c>
      <c r="P6506">
        <v>94.5</v>
      </c>
      <c r="S6506" t="str">
        <f>"BANCO C6 (149)"</f>
        <v>BANCO C6 (149)</v>
      </c>
      <c r="T6506">
        <v>19766</v>
      </c>
      <c r="U6506">
        <v>23077</v>
      </c>
      <c r="V6506" t="s">
        <v>77</v>
      </c>
    </row>
    <row r="6507" spans="1:22">
      <c r="A6507" t="str">
        <f t="shared" si="1166"/>
        <v>16/10/2025</v>
      </c>
      <c r="B6507" t="str">
        <f t="shared" si="1167"/>
        <v>SAÍDA</v>
      </c>
      <c r="C6507" t="str">
        <f t="shared" si="1168"/>
        <v>PIX</v>
      </c>
      <c r="D6507" t="str">
        <f>"23077"</f>
        <v>23077</v>
      </c>
      <c r="E6507" t="str">
        <f t="shared" si="1170"/>
        <v>1</v>
      </c>
      <c r="F6507" t="str">
        <f t="shared" si="1173"/>
        <v>COM</v>
      </c>
      <c r="G6507" t="str">
        <f>"RAUL SILVA ROMAO (727)"</f>
        <v>RAUL SILVA ROMAO (727)</v>
      </c>
      <c r="H6507" t="s">
        <v>1774</v>
      </c>
      <c r="I6507" t="str">
        <f t="shared" si="1169"/>
        <v>16/10/2025</v>
      </c>
      <c r="J6507" t="str">
        <f t="shared" si="1172"/>
        <v>08/10/2025</v>
      </c>
      <c r="K6507">
        <v>45946</v>
      </c>
      <c r="N6507">
        <v>109</v>
      </c>
      <c r="O6507" t="s">
        <v>24</v>
      </c>
      <c r="Q6507">
        <v>94.5</v>
      </c>
      <c r="R6507" t="str">
        <f>"AC FARMA - CID.ALTA (10166)"</f>
        <v>AC FARMA - CID.ALTA (10166)</v>
      </c>
      <c r="S6507" t="s">
        <v>77</v>
      </c>
      <c r="T6507">
        <v>19766</v>
      </c>
      <c r="U6507">
        <v>23077</v>
      </c>
      <c r="V6507" t="s">
        <v>77</v>
      </c>
    </row>
    <row r="6508" spans="1:22">
      <c r="A6508" t="str">
        <f t="shared" si="1166"/>
        <v>16/10/2025</v>
      </c>
      <c r="B6508" t="str">
        <f t="shared" si="1167"/>
        <v>SAÍDA</v>
      </c>
      <c r="C6508" t="str">
        <f t="shared" si="1168"/>
        <v>PIX</v>
      </c>
      <c r="D6508" t="str">
        <f>"23079"</f>
        <v>23079</v>
      </c>
      <c r="E6508" t="str">
        <f t="shared" si="1170"/>
        <v>1</v>
      </c>
      <c r="F6508" t="str">
        <f t="shared" si="1173"/>
        <v>COM</v>
      </c>
      <c r="G6508" t="str">
        <f>"ALAN ACOSTA (897)"</f>
        <v>ALAN ACOSTA (897)</v>
      </c>
      <c r="H6508" t="str">
        <f>"Serv.Prest. 29/09/2025 a 05/10/2025 - PIX: E-MAIL - CHAVE: alanacosta1999@gmail.com"</f>
        <v>Serv.Prest. 29/09/2025 a 05/10/2025 - PIX: E-MAIL - CHAVE: alanacosta1999@gmail.com</v>
      </c>
      <c r="I6508" t="str">
        <f t="shared" si="1169"/>
        <v>16/10/2025</v>
      </c>
      <c r="J6508" t="str">
        <f t="shared" si="1172"/>
        <v>08/10/2025</v>
      </c>
      <c r="K6508" t="str">
        <f>("16/10/2025")</f>
        <v>16/10/2025</v>
      </c>
      <c r="L6508">
        <v>138.6</v>
      </c>
      <c r="M6508">
        <v>138.6</v>
      </c>
      <c r="N6508">
        <v>109</v>
      </c>
      <c r="O6508" t="str">
        <f>"PAGAMENTO DE ENTREGADORES"</f>
        <v>PAGAMENTO DE ENTREGADORES</v>
      </c>
      <c r="P6508">
        <v>138.6</v>
      </c>
      <c r="S6508" t="str">
        <f>"BANCO C6 (149)"</f>
        <v>BANCO C6 (149)</v>
      </c>
      <c r="T6508">
        <v>19767</v>
      </c>
      <c r="U6508">
        <v>23079</v>
      </c>
      <c r="V6508" t="s">
        <v>77</v>
      </c>
    </row>
    <row r="6509" spans="1:22">
      <c r="A6509" t="str">
        <f t="shared" si="1166"/>
        <v>16/10/2025</v>
      </c>
      <c r="B6509" t="str">
        <f t="shared" si="1167"/>
        <v>SAÍDA</v>
      </c>
      <c r="C6509" t="str">
        <f t="shared" si="1168"/>
        <v>PIX</v>
      </c>
      <c r="D6509" t="str">
        <f>"23079"</f>
        <v>23079</v>
      </c>
      <c r="E6509" t="str">
        <f t="shared" si="1170"/>
        <v>1</v>
      </c>
      <c r="F6509" t="str">
        <f t="shared" si="1173"/>
        <v>COM</v>
      </c>
      <c r="G6509" t="str">
        <f>"ALAN ACOSTA (897)"</f>
        <v>ALAN ACOSTA (897)</v>
      </c>
      <c r="H6509" t="s">
        <v>1768</v>
      </c>
      <c r="I6509" t="str">
        <f t="shared" si="1169"/>
        <v>16/10/2025</v>
      </c>
      <c r="J6509" t="str">
        <f t="shared" si="1172"/>
        <v>08/10/2025</v>
      </c>
      <c r="K6509">
        <v>45946</v>
      </c>
      <c r="N6509">
        <v>109</v>
      </c>
      <c r="O6509" t="s">
        <v>24</v>
      </c>
      <c r="Q6509">
        <v>132.29</v>
      </c>
      <c r="R6509" t="str">
        <f>"AC FARMA -  FLEMINFARMA (10159)"</f>
        <v>AC FARMA -  FLEMINFARMA (10159)</v>
      </c>
      <c r="S6509" t="s">
        <v>77</v>
      </c>
      <c r="T6509">
        <v>19767</v>
      </c>
      <c r="U6509">
        <v>23079</v>
      </c>
      <c r="V6509" t="s">
        <v>77</v>
      </c>
    </row>
    <row r="6510" spans="1:22">
      <c r="A6510" t="str">
        <f t="shared" si="1166"/>
        <v>16/10/2025</v>
      </c>
      <c r="B6510" t="str">
        <f t="shared" si="1167"/>
        <v>SAÍDA</v>
      </c>
      <c r="C6510" t="str">
        <f t="shared" si="1168"/>
        <v>PIX</v>
      </c>
      <c r="D6510" t="str">
        <f>"23079"</f>
        <v>23079</v>
      </c>
      <c r="E6510" t="str">
        <f t="shared" si="1170"/>
        <v>1</v>
      </c>
      <c r="F6510" t="str">
        <f t="shared" si="1173"/>
        <v>COM</v>
      </c>
      <c r="G6510" t="str">
        <f>"ALAN ACOSTA (897)"</f>
        <v>ALAN ACOSTA (897)</v>
      </c>
      <c r="H6510" t="s">
        <v>1768</v>
      </c>
      <c r="I6510" t="str">
        <f t="shared" si="1169"/>
        <v>16/10/2025</v>
      </c>
      <c r="J6510" t="str">
        <f t="shared" si="1172"/>
        <v>08/10/2025</v>
      </c>
      <c r="K6510">
        <v>45946</v>
      </c>
      <c r="N6510">
        <v>109</v>
      </c>
      <c r="O6510" t="s">
        <v>24</v>
      </c>
      <c r="Q6510">
        <v>6.31</v>
      </c>
      <c r="R6510" t="str">
        <f>"AC FARMA - FLEMINFARMA (10160)"</f>
        <v>AC FARMA - FLEMINFARMA (10160)</v>
      </c>
      <c r="S6510" t="s">
        <v>77</v>
      </c>
      <c r="T6510">
        <v>19767</v>
      </c>
      <c r="U6510">
        <v>23079</v>
      </c>
      <c r="V6510" t="s">
        <v>77</v>
      </c>
    </row>
    <row r="6511" spans="1:22">
      <c r="A6511" t="str">
        <f t="shared" si="1166"/>
        <v>16/10/2025</v>
      </c>
      <c r="B6511" t="str">
        <f t="shared" si="1167"/>
        <v>SAÍDA</v>
      </c>
      <c r="C6511" t="str">
        <f t="shared" si="1168"/>
        <v>PIX</v>
      </c>
      <c r="D6511" t="str">
        <f>"23080"</f>
        <v>23080</v>
      </c>
      <c r="E6511" t="str">
        <f t="shared" si="1170"/>
        <v>1</v>
      </c>
      <c r="F6511" t="str">
        <f t="shared" si="1173"/>
        <v>COM</v>
      </c>
      <c r="G6511" t="str">
        <f>"ALEXANDRE DA CONCEICAO (714)"</f>
        <v>ALEXANDRE DA CONCEICAO (714)</v>
      </c>
      <c r="H6511" t="str">
        <f>"Serv.Prest. 29/09/2025 a 05/10/2025 - PIX: CPF - CHAVE: 975.425.989-53"</f>
        <v>Serv.Prest. 29/09/2025 a 05/10/2025 - PIX: CPF - CHAVE: 975.425.989-53</v>
      </c>
      <c r="I6511" t="str">
        <f t="shared" si="1169"/>
        <v>16/10/2025</v>
      </c>
      <c r="J6511" t="str">
        <f t="shared" si="1172"/>
        <v>08/10/2025</v>
      </c>
      <c r="K6511" t="str">
        <f>("16/10/2025")</f>
        <v>16/10/2025</v>
      </c>
      <c r="L6511">
        <v>25.2</v>
      </c>
      <c r="M6511">
        <v>25.2</v>
      </c>
      <c r="N6511">
        <v>109</v>
      </c>
      <c r="O6511" t="str">
        <f>"PAGAMENTO DE ENTREGADORES"</f>
        <v>PAGAMENTO DE ENTREGADORES</v>
      </c>
      <c r="P6511">
        <v>25.2</v>
      </c>
      <c r="S6511" t="str">
        <f>"BANCO C6 (149)"</f>
        <v>BANCO C6 (149)</v>
      </c>
      <c r="T6511">
        <v>19768</v>
      </c>
      <c r="U6511">
        <v>23080</v>
      </c>
      <c r="V6511" t="s">
        <v>77</v>
      </c>
    </row>
    <row r="6512" spans="1:22">
      <c r="A6512" t="str">
        <f t="shared" si="1166"/>
        <v>16/10/2025</v>
      </c>
      <c r="B6512" t="str">
        <f t="shared" si="1167"/>
        <v>SAÍDA</v>
      </c>
      <c r="C6512" t="str">
        <f t="shared" si="1168"/>
        <v>PIX</v>
      </c>
      <c r="D6512" t="str">
        <f>"23080"</f>
        <v>23080</v>
      </c>
      <c r="E6512" t="str">
        <f t="shared" si="1170"/>
        <v>1</v>
      </c>
      <c r="F6512" t="str">
        <f t="shared" si="1173"/>
        <v>COM</v>
      </c>
      <c r="G6512" t="str">
        <f>"ALEXANDRE DA CONCEICAO (714)"</f>
        <v>ALEXANDRE DA CONCEICAO (714)</v>
      </c>
      <c r="H6512" t="s">
        <v>1769</v>
      </c>
      <c r="I6512" t="str">
        <f t="shared" si="1169"/>
        <v>16/10/2025</v>
      </c>
      <c r="J6512" t="str">
        <f t="shared" si="1172"/>
        <v>08/10/2025</v>
      </c>
      <c r="K6512">
        <v>45946</v>
      </c>
      <c r="N6512">
        <v>109</v>
      </c>
      <c r="O6512" t="s">
        <v>24</v>
      </c>
      <c r="Q6512">
        <v>25.2</v>
      </c>
      <c r="R6512" t="str">
        <f>"AC FARMA -  FLEMINFARMA (10159)"</f>
        <v>AC FARMA -  FLEMINFARMA (10159)</v>
      </c>
      <c r="S6512" t="s">
        <v>77</v>
      </c>
      <c r="T6512">
        <v>19768</v>
      </c>
      <c r="U6512">
        <v>23080</v>
      </c>
      <c r="V6512" t="s">
        <v>77</v>
      </c>
    </row>
    <row r="6513" spans="1:22">
      <c r="A6513" t="str">
        <f t="shared" si="1166"/>
        <v>16/10/2025</v>
      </c>
      <c r="B6513" t="str">
        <f t="shared" si="1167"/>
        <v>SAÍDA</v>
      </c>
      <c r="C6513" t="str">
        <f t="shared" si="1168"/>
        <v>PIX</v>
      </c>
      <c r="D6513" t="str">
        <f>"23081"</f>
        <v>23081</v>
      </c>
      <c r="E6513" t="str">
        <f t="shared" si="1170"/>
        <v>1</v>
      </c>
      <c r="F6513" t="str">
        <f t="shared" si="1173"/>
        <v>COM</v>
      </c>
      <c r="G6513" t="str">
        <f>"CLAUDINEI RIBEIRO VALERIO (681)"</f>
        <v>CLAUDINEI RIBEIRO VALERIO (681)</v>
      </c>
      <c r="H6513" t="str">
        <f>"Serv.Prest. 29/09/2025 a 05/10/2025 - PIX: CELULAR - CHAVE: (43) 99630-7532"</f>
        <v>Serv.Prest. 29/09/2025 a 05/10/2025 - PIX: CELULAR - CHAVE: (43) 99630-7532</v>
      </c>
      <c r="I6513" t="str">
        <f t="shared" si="1169"/>
        <v>16/10/2025</v>
      </c>
      <c r="J6513" t="str">
        <f t="shared" si="1172"/>
        <v>08/10/2025</v>
      </c>
      <c r="K6513" t="str">
        <f>("16/10/2025")</f>
        <v>16/10/2025</v>
      </c>
      <c r="L6513">
        <v>81.900000000000006</v>
      </c>
      <c r="M6513">
        <v>81.900000000000006</v>
      </c>
      <c r="N6513">
        <v>109</v>
      </c>
      <c r="O6513" t="str">
        <f>"PAGAMENTO DE ENTREGADORES"</f>
        <v>PAGAMENTO DE ENTREGADORES</v>
      </c>
      <c r="P6513">
        <v>81.900000000000006</v>
      </c>
      <c r="S6513" t="str">
        <f>"BANCO C6 (149)"</f>
        <v>BANCO C6 (149)</v>
      </c>
      <c r="T6513">
        <v>19769</v>
      </c>
      <c r="U6513">
        <v>23081</v>
      </c>
      <c r="V6513" t="s">
        <v>77</v>
      </c>
    </row>
    <row r="6514" spans="1:22">
      <c r="A6514" t="str">
        <f t="shared" si="1166"/>
        <v>16/10/2025</v>
      </c>
      <c r="B6514" t="str">
        <f t="shared" si="1167"/>
        <v>SAÍDA</v>
      </c>
      <c r="C6514" t="str">
        <f t="shared" si="1168"/>
        <v>PIX</v>
      </c>
      <c r="D6514" t="str">
        <f>"23081"</f>
        <v>23081</v>
      </c>
      <c r="E6514" t="str">
        <f t="shared" si="1170"/>
        <v>1</v>
      </c>
      <c r="F6514" t="str">
        <f t="shared" si="1173"/>
        <v>COM</v>
      </c>
      <c r="G6514" t="str">
        <f>"CLAUDINEI RIBEIRO VALERIO (681)"</f>
        <v>CLAUDINEI RIBEIRO VALERIO (681)</v>
      </c>
      <c r="H6514" t="s">
        <v>1770</v>
      </c>
      <c r="I6514" t="str">
        <f t="shared" si="1169"/>
        <v>16/10/2025</v>
      </c>
      <c r="J6514" t="str">
        <f t="shared" si="1172"/>
        <v>08/10/2025</v>
      </c>
      <c r="K6514">
        <v>45946</v>
      </c>
      <c r="N6514">
        <v>109</v>
      </c>
      <c r="O6514" t="s">
        <v>24</v>
      </c>
      <c r="Q6514">
        <v>81.900000000000006</v>
      </c>
      <c r="R6514" t="str">
        <f>"AC FARMA -  FLEMINFARMA (10159)"</f>
        <v>AC FARMA -  FLEMINFARMA (10159)</v>
      </c>
      <c r="S6514" t="s">
        <v>77</v>
      </c>
      <c r="T6514">
        <v>19769</v>
      </c>
      <c r="U6514">
        <v>23081</v>
      </c>
      <c r="V6514" t="s">
        <v>77</v>
      </c>
    </row>
    <row r="6515" spans="1:22">
      <c r="A6515" t="str">
        <f t="shared" si="1166"/>
        <v>16/10/2025</v>
      </c>
      <c r="B6515" t="str">
        <f t="shared" si="1167"/>
        <v>SAÍDA</v>
      </c>
      <c r="C6515" t="str">
        <f t="shared" si="1168"/>
        <v>PIX</v>
      </c>
      <c r="D6515" t="str">
        <f>"23082"</f>
        <v>23082</v>
      </c>
      <c r="E6515" t="str">
        <f t="shared" si="1170"/>
        <v>1</v>
      </c>
      <c r="F6515" t="str">
        <f t="shared" si="1173"/>
        <v>COM</v>
      </c>
      <c r="G6515" t="str">
        <f>"FERNANDO MARTINS DA SILVA (701)"</f>
        <v>FERNANDO MARTINS DA SILVA (701)</v>
      </c>
      <c r="H6515" t="str">
        <f>"Serv.Prest. 29/09/2025 a 05/10/2025 - PIX: CPF - CHAVE: 004.682.359-06"</f>
        <v>Serv.Prest. 29/09/2025 a 05/10/2025 - PIX: CPF - CHAVE: 004.682.359-06</v>
      </c>
      <c r="I6515" t="str">
        <f t="shared" si="1169"/>
        <v>16/10/2025</v>
      </c>
      <c r="J6515" t="str">
        <f t="shared" si="1172"/>
        <v>08/10/2025</v>
      </c>
      <c r="K6515" t="str">
        <f>("16/10/2025")</f>
        <v>16/10/2025</v>
      </c>
      <c r="L6515">
        <v>321.3</v>
      </c>
      <c r="M6515">
        <v>321.3</v>
      </c>
      <c r="N6515">
        <v>109</v>
      </c>
      <c r="O6515" t="str">
        <f>"PAGAMENTO DE ENTREGADORES"</f>
        <v>PAGAMENTO DE ENTREGADORES</v>
      </c>
      <c r="P6515">
        <v>321.3</v>
      </c>
      <c r="S6515" t="str">
        <f>"BANCO C6 (149)"</f>
        <v>BANCO C6 (149)</v>
      </c>
      <c r="T6515">
        <v>19770</v>
      </c>
      <c r="U6515">
        <v>23082</v>
      </c>
      <c r="V6515" t="s">
        <v>77</v>
      </c>
    </row>
    <row r="6516" spans="1:22">
      <c r="A6516" t="str">
        <f t="shared" si="1166"/>
        <v>16/10/2025</v>
      </c>
      <c r="B6516" t="str">
        <f t="shared" si="1167"/>
        <v>SAÍDA</v>
      </c>
      <c r="C6516" t="str">
        <f t="shared" si="1168"/>
        <v>PIX</v>
      </c>
      <c r="D6516" t="str">
        <f>"23082"</f>
        <v>23082</v>
      </c>
      <c r="E6516" t="str">
        <f t="shared" si="1170"/>
        <v>1</v>
      </c>
      <c r="F6516" t="str">
        <f t="shared" si="1173"/>
        <v>COM</v>
      </c>
      <c r="G6516" t="str">
        <f>"FERNANDO MARTINS DA SILVA (701)"</f>
        <v>FERNANDO MARTINS DA SILVA (701)</v>
      </c>
      <c r="H6516" t="s">
        <v>1771</v>
      </c>
      <c r="I6516" t="str">
        <f t="shared" si="1169"/>
        <v>16/10/2025</v>
      </c>
      <c r="J6516" t="str">
        <f t="shared" si="1172"/>
        <v>08/10/2025</v>
      </c>
      <c r="K6516">
        <v>45946</v>
      </c>
      <c r="N6516">
        <v>109</v>
      </c>
      <c r="O6516" t="s">
        <v>24</v>
      </c>
      <c r="Q6516">
        <v>315</v>
      </c>
      <c r="R6516" t="str">
        <f>"AC FARMA -  FLEMINFARMA (10159)"</f>
        <v>AC FARMA -  FLEMINFARMA (10159)</v>
      </c>
      <c r="S6516" t="s">
        <v>77</v>
      </c>
      <c r="T6516">
        <v>19770</v>
      </c>
      <c r="U6516">
        <v>23082</v>
      </c>
      <c r="V6516" t="s">
        <v>77</v>
      </c>
    </row>
    <row r="6517" spans="1:22">
      <c r="A6517" t="str">
        <f t="shared" si="1166"/>
        <v>16/10/2025</v>
      </c>
      <c r="B6517" t="str">
        <f t="shared" si="1167"/>
        <v>SAÍDA</v>
      </c>
      <c r="C6517" t="str">
        <f t="shared" si="1168"/>
        <v>PIX</v>
      </c>
      <c r="D6517" t="str">
        <f>"23082"</f>
        <v>23082</v>
      </c>
      <c r="E6517" t="str">
        <f t="shared" si="1170"/>
        <v>1</v>
      </c>
      <c r="F6517" t="str">
        <f t="shared" si="1173"/>
        <v>COM</v>
      </c>
      <c r="G6517" t="str">
        <f>"FERNANDO MARTINS DA SILVA (701)"</f>
        <v>FERNANDO MARTINS DA SILVA (701)</v>
      </c>
      <c r="H6517" t="s">
        <v>1771</v>
      </c>
      <c r="I6517" t="str">
        <f t="shared" si="1169"/>
        <v>16/10/2025</v>
      </c>
      <c r="J6517" t="str">
        <f t="shared" si="1172"/>
        <v>08/10/2025</v>
      </c>
      <c r="K6517">
        <v>45946</v>
      </c>
      <c r="N6517">
        <v>109</v>
      </c>
      <c r="O6517" t="s">
        <v>24</v>
      </c>
      <c r="Q6517">
        <v>6.3</v>
      </c>
      <c r="R6517" t="str">
        <f>"AC FARMA - FLEMINFARMA (10160)"</f>
        <v>AC FARMA - FLEMINFARMA (10160)</v>
      </c>
      <c r="S6517" t="s">
        <v>77</v>
      </c>
      <c r="T6517">
        <v>19770</v>
      </c>
      <c r="U6517">
        <v>23082</v>
      </c>
      <c r="V6517" t="s">
        <v>77</v>
      </c>
    </row>
    <row r="6518" spans="1:22">
      <c r="A6518" t="str">
        <f t="shared" si="1166"/>
        <v>16/10/2025</v>
      </c>
      <c r="B6518" t="str">
        <f t="shared" si="1167"/>
        <v>SAÍDA</v>
      </c>
      <c r="C6518" t="str">
        <f t="shared" si="1168"/>
        <v>PIX</v>
      </c>
      <c r="D6518" t="str">
        <f>"23083"</f>
        <v>23083</v>
      </c>
      <c r="E6518" t="str">
        <f t="shared" si="1170"/>
        <v>1</v>
      </c>
      <c r="F6518" t="str">
        <f t="shared" si="1173"/>
        <v>COM</v>
      </c>
      <c r="G6518" t="str">
        <f>"GERALDO SEVERINO DE SANTANA (729)"</f>
        <v>GERALDO SEVERINO DE SANTANA (729)</v>
      </c>
      <c r="H6518" t="str">
        <f>"Serv.Prest. 29/09/2025 a 05/10/2025 - PIX: CELULAR - CHAVE: (43) 99934-1696"</f>
        <v>Serv.Prest. 29/09/2025 a 05/10/2025 - PIX: CELULAR - CHAVE: (43) 99934-1696</v>
      </c>
      <c r="I6518" t="str">
        <f t="shared" si="1169"/>
        <v>16/10/2025</v>
      </c>
      <c r="J6518" t="str">
        <f t="shared" si="1172"/>
        <v>08/10/2025</v>
      </c>
      <c r="K6518" t="str">
        <f>("16/10/2025")</f>
        <v>16/10/2025</v>
      </c>
      <c r="L6518">
        <v>245.7</v>
      </c>
      <c r="M6518">
        <v>245.7</v>
      </c>
      <c r="N6518">
        <v>109</v>
      </c>
      <c r="O6518" t="str">
        <f>"PAGAMENTO DE ENTREGADORES"</f>
        <v>PAGAMENTO DE ENTREGADORES</v>
      </c>
      <c r="P6518">
        <v>245.7</v>
      </c>
      <c r="S6518" t="str">
        <f>"BANCO C6 (149)"</f>
        <v>BANCO C6 (149)</v>
      </c>
      <c r="T6518">
        <v>19771</v>
      </c>
      <c r="U6518">
        <v>23083</v>
      </c>
      <c r="V6518" t="s">
        <v>77</v>
      </c>
    </row>
    <row r="6519" spans="1:22">
      <c r="A6519" t="str">
        <f t="shared" si="1166"/>
        <v>16/10/2025</v>
      </c>
      <c r="B6519" t="str">
        <f t="shared" si="1167"/>
        <v>SAÍDA</v>
      </c>
      <c r="C6519" t="str">
        <f t="shared" si="1168"/>
        <v>PIX</v>
      </c>
      <c r="D6519" t="str">
        <f>"23083"</f>
        <v>23083</v>
      </c>
      <c r="E6519" t="str">
        <f t="shared" si="1170"/>
        <v>1</v>
      </c>
      <c r="F6519" t="str">
        <f t="shared" si="1173"/>
        <v>COM</v>
      </c>
      <c r="G6519" t="str">
        <f>"GERALDO SEVERINO DE SANTANA (729)"</f>
        <v>GERALDO SEVERINO DE SANTANA (729)</v>
      </c>
      <c r="H6519" t="s">
        <v>1772</v>
      </c>
      <c r="I6519" t="str">
        <f t="shared" si="1169"/>
        <v>16/10/2025</v>
      </c>
      <c r="J6519" t="str">
        <f t="shared" si="1172"/>
        <v>08/10/2025</v>
      </c>
      <c r="K6519">
        <v>45946</v>
      </c>
      <c r="N6519">
        <v>109</v>
      </c>
      <c r="O6519" t="s">
        <v>24</v>
      </c>
      <c r="Q6519">
        <v>245.7</v>
      </c>
      <c r="R6519" t="str">
        <f>"AC FARMA -  FLEMINFARMA (10159)"</f>
        <v>AC FARMA -  FLEMINFARMA (10159)</v>
      </c>
      <c r="S6519" t="s">
        <v>77</v>
      </c>
      <c r="T6519">
        <v>19771</v>
      </c>
      <c r="U6519">
        <v>23083</v>
      </c>
      <c r="V6519" t="s">
        <v>77</v>
      </c>
    </row>
    <row r="6520" spans="1:22">
      <c r="A6520" t="str">
        <f t="shared" si="1166"/>
        <v>16/10/2025</v>
      </c>
      <c r="B6520" t="str">
        <f t="shared" si="1167"/>
        <v>SAÍDA</v>
      </c>
      <c r="C6520" t="str">
        <f t="shared" si="1168"/>
        <v>PIX</v>
      </c>
      <c r="D6520" t="str">
        <f>"23084"</f>
        <v>23084</v>
      </c>
      <c r="E6520" t="str">
        <f t="shared" si="1170"/>
        <v>1</v>
      </c>
      <c r="F6520" t="str">
        <f t="shared" si="1173"/>
        <v>COM</v>
      </c>
      <c r="G6520" t="str">
        <f>"HELITON DE OLIVEIRA RAMOS BARBOSA (724)"</f>
        <v>HELITON DE OLIVEIRA RAMOS BARBOSA (724)</v>
      </c>
      <c r="H6520" t="str">
        <f>"Serv.Prest. 29/09/2025 a 05/10/2025 - PIX: CPF - CHAVE: 074.604.219-10"</f>
        <v>Serv.Prest. 29/09/2025 a 05/10/2025 - PIX: CPF - CHAVE: 074.604.219-10</v>
      </c>
      <c r="I6520" t="str">
        <f t="shared" si="1169"/>
        <v>16/10/2025</v>
      </c>
      <c r="J6520" t="str">
        <f t="shared" si="1172"/>
        <v>08/10/2025</v>
      </c>
      <c r="K6520" t="str">
        <f>("16/10/2025")</f>
        <v>16/10/2025</v>
      </c>
      <c r="L6520">
        <v>226.8</v>
      </c>
      <c r="M6520">
        <v>226.8</v>
      </c>
      <c r="N6520">
        <v>109</v>
      </c>
      <c r="O6520" t="str">
        <f>"PAGAMENTO DE ENTREGADORES"</f>
        <v>PAGAMENTO DE ENTREGADORES</v>
      </c>
      <c r="P6520">
        <v>226.8</v>
      </c>
      <c r="S6520" t="str">
        <f>"BANCO C6 (149)"</f>
        <v>BANCO C6 (149)</v>
      </c>
      <c r="T6520">
        <v>19772</v>
      </c>
      <c r="U6520">
        <v>23084</v>
      </c>
      <c r="V6520" t="s">
        <v>77</v>
      </c>
    </row>
    <row r="6521" spans="1:22">
      <c r="A6521" t="str">
        <f t="shared" si="1166"/>
        <v>16/10/2025</v>
      </c>
      <c r="B6521" t="str">
        <f t="shared" si="1167"/>
        <v>SAÍDA</v>
      </c>
      <c r="C6521" t="str">
        <f t="shared" si="1168"/>
        <v>PIX</v>
      </c>
      <c r="D6521" t="str">
        <f>"23084"</f>
        <v>23084</v>
      </c>
      <c r="E6521" t="str">
        <f t="shared" si="1170"/>
        <v>1</v>
      </c>
      <c r="F6521" t="str">
        <f t="shared" si="1173"/>
        <v>COM</v>
      </c>
      <c r="G6521" t="str">
        <f>"HELITON DE OLIVEIRA RAMOS BARBOSA (724)"</f>
        <v>HELITON DE OLIVEIRA RAMOS BARBOSA (724)</v>
      </c>
      <c r="H6521" t="s">
        <v>1773</v>
      </c>
      <c r="I6521" t="str">
        <f t="shared" si="1169"/>
        <v>16/10/2025</v>
      </c>
      <c r="J6521" t="str">
        <f t="shared" si="1172"/>
        <v>08/10/2025</v>
      </c>
      <c r="K6521">
        <v>45946</v>
      </c>
      <c r="N6521">
        <v>109</v>
      </c>
      <c r="O6521" t="s">
        <v>24</v>
      </c>
      <c r="Q6521">
        <v>214.19</v>
      </c>
      <c r="R6521" t="str">
        <f>"AC FARMA -  FLEMINFARMA (10159)"</f>
        <v>AC FARMA -  FLEMINFARMA (10159)</v>
      </c>
      <c r="S6521" t="s">
        <v>77</v>
      </c>
      <c r="T6521">
        <v>19772</v>
      </c>
      <c r="U6521">
        <v>23084</v>
      </c>
      <c r="V6521" t="s">
        <v>77</v>
      </c>
    </row>
    <row r="6522" spans="1:22">
      <c r="A6522" t="str">
        <f t="shared" si="1166"/>
        <v>16/10/2025</v>
      </c>
      <c r="B6522" t="str">
        <f t="shared" si="1167"/>
        <v>SAÍDA</v>
      </c>
      <c r="C6522" t="str">
        <f t="shared" si="1168"/>
        <v>PIX</v>
      </c>
      <c r="D6522" t="str">
        <f>"23084"</f>
        <v>23084</v>
      </c>
      <c r="E6522" t="str">
        <f t="shared" si="1170"/>
        <v>1</v>
      </c>
      <c r="F6522" t="str">
        <f t="shared" si="1173"/>
        <v>COM</v>
      </c>
      <c r="G6522" t="str">
        <f>"HELITON DE OLIVEIRA RAMOS BARBOSA (724)"</f>
        <v>HELITON DE OLIVEIRA RAMOS BARBOSA (724)</v>
      </c>
      <c r="H6522" t="s">
        <v>1773</v>
      </c>
      <c r="I6522" t="str">
        <f t="shared" si="1169"/>
        <v>16/10/2025</v>
      </c>
      <c r="J6522" t="str">
        <f t="shared" si="1172"/>
        <v>08/10/2025</v>
      </c>
      <c r="K6522">
        <v>45946</v>
      </c>
      <c r="N6522">
        <v>109</v>
      </c>
      <c r="O6522" t="s">
        <v>24</v>
      </c>
      <c r="Q6522">
        <v>12.61</v>
      </c>
      <c r="R6522" t="str">
        <f>"AC FARMA - FLEMINFARMA (10160)"</f>
        <v>AC FARMA - FLEMINFARMA (10160)</v>
      </c>
      <c r="S6522" t="s">
        <v>77</v>
      </c>
      <c r="T6522">
        <v>19772</v>
      </c>
      <c r="U6522">
        <v>23084</v>
      </c>
      <c r="V6522" t="s">
        <v>77</v>
      </c>
    </row>
    <row r="6523" spans="1:22">
      <c r="A6523" t="str">
        <f t="shared" ref="A6523:A6586" si="1174">("16/10/2025")</f>
        <v>16/10/2025</v>
      </c>
      <c r="B6523" t="str">
        <f t="shared" ref="B6523:B6586" si="1175">"SAÍDA"</f>
        <v>SAÍDA</v>
      </c>
      <c r="C6523" t="str">
        <f t="shared" ref="C6523:C6586" si="1176">"PIX"</f>
        <v>PIX</v>
      </c>
      <c r="D6523" t="str">
        <f>"23086"</f>
        <v>23086</v>
      </c>
      <c r="E6523" t="str">
        <f t="shared" si="1170"/>
        <v>1</v>
      </c>
      <c r="F6523" t="str">
        <f t="shared" si="1173"/>
        <v>COM</v>
      </c>
      <c r="G6523" t="str">
        <f>"ALAN ACOSTA (897)"</f>
        <v>ALAN ACOSTA (897)</v>
      </c>
      <c r="H6523" t="str">
        <f>"Serv.Prest. 29/09/2025 a 05/10/2025 - PIX: E-MAIL - CHAVE: alanacosta1999@gmail.com"</f>
        <v>Serv.Prest. 29/09/2025 a 05/10/2025 - PIX: E-MAIL - CHAVE: alanacosta1999@gmail.com</v>
      </c>
      <c r="I6523" t="str">
        <f t="shared" si="1169"/>
        <v>16/10/2025</v>
      </c>
      <c r="J6523" t="str">
        <f t="shared" si="1172"/>
        <v>08/10/2025</v>
      </c>
      <c r="K6523" t="str">
        <f>("16/10/2025")</f>
        <v>16/10/2025</v>
      </c>
      <c r="L6523">
        <v>144.9</v>
      </c>
      <c r="M6523">
        <v>144.9</v>
      </c>
      <c r="N6523">
        <v>109</v>
      </c>
      <c r="O6523" t="str">
        <f>"PAGAMENTO DE ENTREGADORES"</f>
        <v>PAGAMENTO DE ENTREGADORES</v>
      </c>
      <c r="P6523">
        <v>144.9</v>
      </c>
      <c r="S6523" t="str">
        <f>"BANCO C6 (149)"</f>
        <v>BANCO C6 (149)</v>
      </c>
      <c r="T6523">
        <v>19773</v>
      </c>
      <c r="U6523">
        <v>23086</v>
      </c>
      <c r="V6523" t="s">
        <v>77</v>
      </c>
    </row>
    <row r="6524" spans="1:22">
      <c r="A6524" t="str">
        <f t="shared" si="1174"/>
        <v>16/10/2025</v>
      </c>
      <c r="B6524" t="str">
        <f t="shared" si="1175"/>
        <v>SAÍDA</v>
      </c>
      <c r="C6524" t="str">
        <f t="shared" si="1176"/>
        <v>PIX</v>
      </c>
      <c r="D6524" t="str">
        <f>"23086"</f>
        <v>23086</v>
      </c>
      <c r="E6524" t="str">
        <f t="shared" si="1170"/>
        <v>1</v>
      </c>
      <c r="F6524" t="str">
        <f t="shared" si="1173"/>
        <v>COM</v>
      </c>
      <c r="G6524" t="str">
        <f>"ALAN ACOSTA (897)"</f>
        <v>ALAN ACOSTA (897)</v>
      </c>
      <c r="H6524" t="s">
        <v>1768</v>
      </c>
      <c r="I6524" t="str">
        <f t="shared" si="1169"/>
        <v>16/10/2025</v>
      </c>
      <c r="J6524" t="str">
        <f t="shared" si="1172"/>
        <v>08/10/2025</v>
      </c>
      <c r="K6524">
        <v>45946</v>
      </c>
      <c r="N6524">
        <v>109</v>
      </c>
      <c r="O6524" t="s">
        <v>24</v>
      </c>
      <c r="Q6524">
        <v>138.6</v>
      </c>
      <c r="R6524" t="str">
        <f>"AC FARMA - FLEMINFARMA 5 (10183)"</f>
        <v>AC FARMA - FLEMINFARMA 5 (10183)</v>
      </c>
      <c r="S6524" t="s">
        <v>77</v>
      </c>
      <c r="T6524">
        <v>19773</v>
      </c>
      <c r="U6524">
        <v>23086</v>
      </c>
      <c r="V6524" t="s">
        <v>77</v>
      </c>
    </row>
    <row r="6525" spans="1:22">
      <c r="A6525" t="str">
        <f t="shared" si="1174"/>
        <v>16/10/2025</v>
      </c>
      <c r="B6525" t="str">
        <f t="shared" si="1175"/>
        <v>SAÍDA</v>
      </c>
      <c r="C6525" t="str">
        <f t="shared" si="1176"/>
        <v>PIX</v>
      </c>
      <c r="D6525" t="str">
        <f>"23086"</f>
        <v>23086</v>
      </c>
      <c r="E6525" t="str">
        <f t="shared" si="1170"/>
        <v>1</v>
      </c>
      <c r="F6525" t="str">
        <f t="shared" si="1173"/>
        <v>COM</v>
      </c>
      <c r="G6525" t="str">
        <f>"ALAN ACOSTA (897)"</f>
        <v>ALAN ACOSTA (897)</v>
      </c>
      <c r="H6525" t="s">
        <v>1768</v>
      </c>
      <c r="I6525" t="str">
        <f t="shared" ref="I6525:I6588" si="1177">("16/10/2025")</f>
        <v>16/10/2025</v>
      </c>
      <c r="J6525" t="str">
        <f t="shared" si="1172"/>
        <v>08/10/2025</v>
      </c>
      <c r="K6525">
        <v>45946</v>
      </c>
      <c r="N6525">
        <v>109</v>
      </c>
      <c r="O6525" t="s">
        <v>24</v>
      </c>
      <c r="Q6525">
        <v>6.3</v>
      </c>
      <c r="R6525" t="str">
        <f>"AC FARMA - FLEMINFARMA 6 (10184)"</f>
        <v>AC FARMA - FLEMINFARMA 6 (10184)</v>
      </c>
      <c r="S6525" t="s">
        <v>77</v>
      </c>
      <c r="T6525">
        <v>19773</v>
      </c>
      <c r="U6525">
        <v>23086</v>
      </c>
      <c r="V6525" t="s">
        <v>77</v>
      </c>
    </row>
    <row r="6526" spans="1:22">
      <c r="A6526" t="str">
        <f t="shared" si="1174"/>
        <v>16/10/2025</v>
      </c>
      <c r="B6526" t="str">
        <f t="shared" si="1175"/>
        <v>SAÍDA</v>
      </c>
      <c r="C6526" t="str">
        <f t="shared" si="1176"/>
        <v>PIX</v>
      </c>
      <c r="D6526" t="str">
        <f>"23087"</f>
        <v>23087</v>
      </c>
      <c r="E6526" t="str">
        <f t="shared" si="1170"/>
        <v>1</v>
      </c>
      <c r="F6526" t="str">
        <f t="shared" si="1173"/>
        <v>COM</v>
      </c>
      <c r="G6526" t="str">
        <f>"CLAUDINEI RIBEIRO VALERIO (681)"</f>
        <v>CLAUDINEI RIBEIRO VALERIO (681)</v>
      </c>
      <c r="H6526" t="str">
        <f>"Serv.Prest. 29/09/2025 a 05/10/2025 - PIX: CELULAR - CHAVE: (43) 99630-7532"</f>
        <v>Serv.Prest. 29/09/2025 a 05/10/2025 - PIX: CELULAR - CHAVE: (43) 99630-7532</v>
      </c>
      <c r="I6526" t="str">
        <f t="shared" si="1177"/>
        <v>16/10/2025</v>
      </c>
      <c r="J6526" t="str">
        <f t="shared" si="1172"/>
        <v>08/10/2025</v>
      </c>
      <c r="K6526" t="str">
        <f>("16/10/2025")</f>
        <v>16/10/2025</v>
      </c>
      <c r="L6526">
        <v>37.799999999999997</v>
      </c>
      <c r="M6526">
        <v>37.799999999999997</v>
      </c>
      <c r="N6526">
        <v>109</v>
      </c>
      <c r="O6526" t="str">
        <f>"PAGAMENTO DE ENTREGADORES"</f>
        <v>PAGAMENTO DE ENTREGADORES</v>
      </c>
      <c r="P6526">
        <v>37.799999999999997</v>
      </c>
      <c r="S6526" t="str">
        <f>"BANCO C6 (149)"</f>
        <v>BANCO C6 (149)</v>
      </c>
      <c r="T6526">
        <v>19774</v>
      </c>
      <c r="U6526">
        <v>23087</v>
      </c>
      <c r="V6526" t="s">
        <v>77</v>
      </c>
    </row>
    <row r="6527" spans="1:22">
      <c r="A6527" t="str">
        <f t="shared" si="1174"/>
        <v>16/10/2025</v>
      </c>
      <c r="B6527" t="str">
        <f t="shared" si="1175"/>
        <v>SAÍDA</v>
      </c>
      <c r="C6527" t="str">
        <f t="shared" si="1176"/>
        <v>PIX</v>
      </c>
      <c r="D6527" t="str">
        <f>"23087"</f>
        <v>23087</v>
      </c>
      <c r="E6527" t="str">
        <f t="shared" si="1170"/>
        <v>1</v>
      </c>
      <c r="F6527" t="str">
        <f t="shared" si="1173"/>
        <v>COM</v>
      </c>
      <c r="G6527" t="str">
        <f>"CLAUDINEI RIBEIRO VALERIO (681)"</f>
        <v>CLAUDINEI RIBEIRO VALERIO (681)</v>
      </c>
      <c r="H6527" t="s">
        <v>1770</v>
      </c>
      <c r="I6527" t="str">
        <f t="shared" si="1177"/>
        <v>16/10/2025</v>
      </c>
      <c r="J6527" t="str">
        <f t="shared" si="1172"/>
        <v>08/10/2025</v>
      </c>
      <c r="K6527">
        <v>45946</v>
      </c>
      <c r="N6527">
        <v>109</v>
      </c>
      <c r="O6527" t="s">
        <v>24</v>
      </c>
      <c r="Q6527">
        <v>37.799999999999997</v>
      </c>
      <c r="R6527" t="str">
        <f>"AC FARMA - FLEMINFARMA 5 (10183)"</f>
        <v>AC FARMA - FLEMINFARMA 5 (10183)</v>
      </c>
      <c r="S6527" t="s">
        <v>77</v>
      </c>
      <c r="T6527">
        <v>19774</v>
      </c>
      <c r="U6527">
        <v>23087</v>
      </c>
      <c r="V6527" t="s">
        <v>77</v>
      </c>
    </row>
    <row r="6528" spans="1:22">
      <c r="A6528" t="str">
        <f t="shared" si="1174"/>
        <v>16/10/2025</v>
      </c>
      <c r="B6528" t="str">
        <f t="shared" si="1175"/>
        <v>SAÍDA</v>
      </c>
      <c r="C6528" t="str">
        <f t="shared" si="1176"/>
        <v>PIX</v>
      </c>
      <c r="D6528" t="str">
        <f>"23088"</f>
        <v>23088</v>
      </c>
      <c r="E6528" t="str">
        <f t="shared" si="1170"/>
        <v>1</v>
      </c>
      <c r="F6528" t="str">
        <f t="shared" si="1173"/>
        <v>COM</v>
      </c>
      <c r="G6528" t="str">
        <f>"FERNANDO MARTINS DA SILVA (701)"</f>
        <v>FERNANDO MARTINS DA SILVA (701)</v>
      </c>
      <c r="H6528" t="str">
        <f>"Serv.Prest. 29/09/2025 a 05/10/2025 - PIX: CPF - CHAVE: 004.682.359-06"</f>
        <v>Serv.Prest. 29/09/2025 a 05/10/2025 - PIX: CPF - CHAVE: 004.682.359-06</v>
      </c>
      <c r="I6528" t="str">
        <f t="shared" si="1177"/>
        <v>16/10/2025</v>
      </c>
      <c r="J6528" t="str">
        <f t="shared" si="1172"/>
        <v>08/10/2025</v>
      </c>
      <c r="K6528" t="str">
        <f>("16/10/2025")</f>
        <v>16/10/2025</v>
      </c>
      <c r="L6528">
        <v>176.4</v>
      </c>
      <c r="M6528">
        <v>176.4</v>
      </c>
      <c r="N6528">
        <v>109</v>
      </c>
      <c r="O6528" t="str">
        <f>"PAGAMENTO DE ENTREGADORES"</f>
        <v>PAGAMENTO DE ENTREGADORES</v>
      </c>
      <c r="P6528">
        <v>176.4</v>
      </c>
      <c r="S6528" t="str">
        <f>"BANCO C6 (149)"</f>
        <v>BANCO C6 (149)</v>
      </c>
      <c r="T6528">
        <v>19775</v>
      </c>
      <c r="U6528">
        <v>23088</v>
      </c>
      <c r="V6528" t="s">
        <v>77</v>
      </c>
    </row>
    <row r="6529" spans="1:22">
      <c r="A6529" t="str">
        <f t="shared" si="1174"/>
        <v>16/10/2025</v>
      </c>
      <c r="B6529" t="str">
        <f t="shared" si="1175"/>
        <v>SAÍDA</v>
      </c>
      <c r="C6529" t="str">
        <f t="shared" si="1176"/>
        <v>PIX</v>
      </c>
      <c r="D6529" t="str">
        <f>"23088"</f>
        <v>23088</v>
      </c>
      <c r="E6529" t="str">
        <f t="shared" si="1170"/>
        <v>1</v>
      </c>
      <c r="F6529" t="str">
        <f t="shared" si="1173"/>
        <v>COM</v>
      </c>
      <c r="G6529" t="str">
        <f>"FERNANDO MARTINS DA SILVA (701)"</f>
        <v>FERNANDO MARTINS DA SILVA (701)</v>
      </c>
      <c r="H6529" t="s">
        <v>1771</v>
      </c>
      <c r="I6529" t="str">
        <f t="shared" si="1177"/>
        <v>16/10/2025</v>
      </c>
      <c r="J6529" t="str">
        <f t="shared" si="1172"/>
        <v>08/10/2025</v>
      </c>
      <c r="K6529">
        <v>45946</v>
      </c>
      <c r="N6529">
        <v>109</v>
      </c>
      <c r="O6529" t="s">
        <v>24</v>
      </c>
      <c r="Q6529">
        <v>170.1</v>
      </c>
      <c r="R6529" t="str">
        <f>"AC FARMA - FLEMINFARMA 5 (10183)"</f>
        <v>AC FARMA - FLEMINFARMA 5 (10183)</v>
      </c>
      <c r="S6529" t="s">
        <v>77</v>
      </c>
      <c r="T6529">
        <v>19775</v>
      </c>
      <c r="U6529">
        <v>23088</v>
      </c>
      <c r="V6529" t="s">
        <v>77</v>
      </c>
    </row>
    <row r="6530" spans="1:22">
      <c r="A6530" t="str">
        <f t="shared" si="1174"/>
        <v>16/10/2025</v>
      </c>
      <c r="B6530" t="str">
        <f t="shared" si="1175"/>
        <v>SAÍDA</v>
      </c>
      <c r="C6530" t="str">
        <f t="shared" si="1176"/>
        <v>PIX</v>
      </c>
      <c r="D6530" t="str">
        <f>"23088"</f>
        <v>23088</v>
      </c>
      <c r="E6530" t="str">
        <f t="shared" si="1170"/>
        <v>1</v>
      </c>
      <c r="F6530" t="str">
        <f t="shared" si="1173"/>
        <v>COM</v>
      </c>
      <c r="G6530" t="str">
        <f>"FERNANDO MARTINS DA SILVA (701)"</f>
        <v>FERNANDO MARTINS DA SILVA (701)</v>
      </c>
      <c r="H6530" t="s">
        <v>1771</v>
      </c>
      <c r="I6530" t="str">
        <f t="shared" si="1177"/>
        <v>16/10/2025</v>
      </c>
      <c r="J6530" t="str">
        <f t="shared" si="1172"/>
        <v>08/10/2025</v>
      </c>
      <c r="K6530">
        <v>45946</v>
      </c>
      <c r="N6530">
        <v>109</v>
      </c>
      <c r="O6530" t="s">
        <v>24</v>
      </c>
      <c r="Q6530">
        <v>6.3</v>
      </c>
      <c r="R6530" t="str">
        <f>"AC FARMA - FLEMINFARMA 6 (10184)"</f>
        <v>AC FARMA - FLEMINFARMA 6 (10184)</v>
      </c>
      <c r="S6530" t="s">
        <v>77</v>
      </c>
      <c r="T6530">
        <v>19775</v>
      </c>
      <c r="U6530">
        <v>23088</v>
      </c>
      <c r="V6530" t="s">
        <v>77</v>
      </c>
    </row>
    <row r="6531" spans="1:22">
      <c r="A6531" t="str">
        <f t="shared" si="1174"/>
        <v>16/10/2025</v>
      </c>
      <c r="B6531" t="str">
        <f t="shared" si="1175"/>
        <v>SAÍDA</v>
      </c>
      <c r="C6531" t="str">
        <f t="shared" si="1176"/>
        <v>PIX</v>
      </c>
      <c r="D6531" t="str">
        <f>"23089"</f>
        <v>23089</v>
      </c>
      <c r="E6531" t="str">
        <f t="shared" si="1170"/>
        <v>1</v>
      </c>
      <c r="F6531" t="str">
        <f t="shared" si="1173"/>
        <v>COM</v>
      </c>
      <c r="G6531" t="str">
        <f>"GERALDO SEVERINO DE SANTANA (729)"</f>
        <v>GERALDO SEVERINO DE SANTANA (729)</v>
      </c>
      <c r="H6531" t="str">
        <f>"Serv.Prest. 29/09/2025 a 05/10/2025 - PIX: CELULAR - CHAVE: (43) 99934-1696"</f>
        <v>Serv.Prest. 29/09/2025 a 05/10/2025 - PIX: CELULAR - CHAVE: (43) 99934-1696</v>
      </c>
      <c r="I6531" t="str">
        <f t="shared" si="1177"/>
        <v>16/10/2025</v>
      </c>
      <c r="J6531" t="str">
        <f t="shared" si="1172"/>
        <v>08/10/2025</v>
      </c>
      <c r="K6531" t="str">
        <f>("16/10/2025")</f>
        <v>16/10/2025</v>
      </c>
      <c r="L6531">
        <v>119.7</v>
      </c>
      <c r="M6531">
        <v>119.7</v>
      </c>
      <c r="N6531">
        <v>109</v>
      </c>
      <c r="O6531" t="str">
        <f>"PAGAMENTO DE ENTREGADORES"</f>
        <v>PAGAMENTO DE ENTREGADORES</v>
      </c>
      <c r="P6531">
        <v>119.7</v>
      </c>
      <c r="S6531" t="str">
        <f>"BANCO C6 (149)"</f>
        <v>BANCO C6 (149)</v>
      </c>
      <c r="T6531">
        <v>19776</v>
      </c>
      <c r="U6531">
        <v>23089</v>
      </c>
      <c r="V6531" t="s">
        <v>77</v>
      </c>
    </row>
    <row r="6532" spans="1:22">
      <c r="A6532" t="str">
        <f t="shared" si="1174"/>
        <v>16/10/2025</v>
      </c>
      <c r="B6532" t="str">
        <f t="shared" si="1175"/>
        <v>SAÍDA</v>
      </c>
      <c r="C6532" t="str">
        <f t="shared" si="1176"/>
        <v>PIX</v>
      </c>
      <c r="D6532" t="str">
        <f>"23089"</f>
        <v>23089</v>
      </c>
      <c r="E6532" t="str">
        <f t="shared" si="1170"/>
        <v>1</v>
      </c>
      <c r="F6532" t="str">
        <f t="shared" si="1173"/>
        <v>COM</v>
      </c>
      <c r="G6532" t="str">
        <f>"GERALDO SEVERINO DE SANTANA (729)"</f>
        <v>GERALDO SEVERINO DE SANTANA (729)</v>
      </c>
      <c r="H6532" t="s">
        <v>1772</v>
      </c>
      <c r="I6532" t="str">
        <f t="shared" si="1177"/>
        <v>16/10/2025</v>
      </c>
      <c r="J6532" t="str">
        <f t="shared" si="1172"/>
        <v>08/10/2025</v>
      </c>
      <c r="K6532">
        <v>45946</v>
      </c>
      <c r="N6532">
        <v>109</v>
      </c>
      <c r="O6532" t="s">
        <v>24</v>
      </c>
      <c r="Q6532">
        <v>107.1</v>
      </c>
      <c r="R6532" t="str">
        <f>"AC FARMA - FLEMINFARMA 5 (10183)"</f>
        <v>AC FARMA - FLEMINFARMA 5 (10183)</v>
      </c>
      <c r="S6532" t="s">
        <v>77</v>
      </c>
      <c r="T6532">
        <v>19776</v>
      </c>
      <c r="U6532">
        <v>23089</v>
      </c>
      <c r="V6532" t="s">
        <v>77</v>
      </c>
    </row>
    <row r="6533" spans="1:22">
      <c r="A6533" t="str">
        <f t="shared" si="1174"/>
        <v>16/10/2025</v>
      </c>
      <c r="B6533" t="str">
        <f t="shared" si="1175"/>
        <v>SAÍDA</v>
      </c>
      <c r="C6533" t="str">
        <f t="shared" si="1176"/>
        <v>PIX</v>
      </c>
      <c r="D6533" t="str">
        <f>"23089"</f>
        <v>23089</v>
      </c>
      <c r="E6533" t="str">
        <f t="shared" ref="E6533:E6596" si="1178">"1"</f>
        <v>1</v>
      </c>
      <c r="F6533" t="str">
        <f t="shared" si="1173"/>
        <v>COM</v>
      </c>
      <c r="G6533" t="str">
        <f>"GERALDO SEVERINO DE SANTANA (729)"</f>
        <v>GERALDO SEVERINO DE SANTANA (729)</v>
      </c>
      <c r="H6533" t="s">
        <v>1772</v>
      </c>
      <c r="I6533" t="str">
        <f t="shared" si="1177"/>
        <v>16/10/2025</v>
      </c>
      <c r="J6533" t="str">
        <f t="shared" si="1172"/>
        <v>08/10/2025</v>
      </c>
      <c r="K6533">
        <v>45946</v>
      </c>
      <c r="N6533">
        <v>109</v>
      </c>
      <c r="O6533" t="s">
        <v>24</v>
      </c>
      <c r="Q6533">
        <v>12.6</v>
      </c>
      <c r="R6533" t="str">
        <f>"AC FARMA - FLEMINFARMA 6 (10184)"</f>
        <v>AC FARMA - FLEMINFARMA 6 (10184)</v>
      </c>
      <c r="S6533" t="s">
        <v>77</v>
      </c>
      <c r="T6533">
        <v>19776</v>
      </c>
      <c r="U6533">
        <v>23089</v>
      </c>
      <c r="V6533" t="s">
        <v>77</v>
      </c>
    </row>
    <row r="6534" spans="1:22">
      <c r="A6534" t="str">
        <f t="shared" si="1174"/>
        <v>16/10/2025</v>
      </c>
      <c r="B6534" t="str">
        <f t="shared" si="1175"/>
        <v>SAÍDA</v>
      </c>
      <c r="C6534" t="str">
        <f t="shared" si="1176"/>
        <v>PIX</v>
      </c>
      <c r="D6534" t="str">
        <f>"23090"</f>
        <v>23090</v>
      </c>
      <c r="E6534" t="str">
        <f t="shared" si="1178"/>
        <v>1</v>
      </c>
      <c r="F6534" t="str">
        <f t="shared" si="1173"/>
        <v>COM</v>
      </c>
      <c r="G6534" t="str">
        <f>"HELITON DE OLIVEIRA RAMOS BARBOSA (724)"</f>
        <v>HELITON DE OLIVEIRA RAMOS BARBOSA (724)</v>
      </c>
      <c r="H6534" t="str">
        <f>"Serv.Prest. 29/09/2025 a 05/10/2025 - PIX: CPF - CHAVE: 074.604.219-10"</f>
        <v>Serv.Prest. 29/09/2025 a 05/10/2025 - PIX: CPF - CHAVE: 074.604.219-10</v>
      </c>
      <c r="I6534" t="str">
        <f t="shared" si="1177"/>
        <v>16/10/2025</v>
      </c>
      <c r="J6534" t="str">
        <f t="shared" si="1172"/>
        <v>08/10/2025</v>
      </c>
      <c r="K6534" t="str">
        <f>("16/10/2025")</f>
        <v>16/10/2025</v>
      </c>
      <c r="L6534">
        <v>94.5</v>
      </c>
      <c r="M6534">
        <v>94.5</v>
      </c>
      <c r="N6534">
        <v>109</v>
      </c>
      <c r="O6534" t="str">
        <f>"PAGAMENTO DE ENTREGADORES"</f>
        <v>PAGAMENTO DE ENTREGADORES</v>
      </c>
      <c r="P6534">
        <v>94.5</v>
      </c>
      <c r="S6534" t="str">
        <f>"BANCO C6 (149)"</f>
        <v>BANCO C6 (149)</v>
      </c>
      <c r="T6534">
        <v>19777</v>
      </c>
      <c r="U6534">
        <v>23090</v>
      </c>
      <c r="V6534" t="s">
        <v>77</v>
      </c>
    </row>
    <row r="6535" spans="1:22">
      <c r="A6535" t="str">
        <f t="shared" si="1174"/>
        <v>16/10/2025</v>
      </c>
      <c r="B6535" t="str">
        <f t="shared" si="1175"/>
        <v>SAÍDA</v>
      </c>
      <c r="C6535" t="str">
        <f t="shared" si="1176"/>
        <v>PIX</v>
      </c>
      <c r="D6535" t="str">
        <f>"23090"</f>
        <v>23090</v>
      </c>
      <c r="E6535" t="str">
        <f t="shared" si="1178"/>
        <v>1</v>
      </c>
      <c r="F6535" t="str">
        <f t="shared" si="1173"/>
        <v>COM</v>
      </c>
      <c r="G6535" t="str">
        <f>"HELITON DE OLIVEIRA RAMOS BARBOSA (724)"</f>
        <v>HELITON DE OLIVEIRA RAMOS BARBOSA (724)</v>
      </c>
      <c r="H6535" t="s">
        <v>1773</v>
      </c>
      <c r="I6535" t="str">
        <f t="shared" si="1177"/>
        <v>16/10/2025</v>
      </c>
      <c r="J6535" t="str">
        <f t="shared" si="1172"/>
        <v>08/10/2025</v>
      </c>
      <c r="K6535">
        <v>45946</v>
      </c>
      <c r="N6535">
        <v>109</v>
      </c>
      <c r="O6535" t="s">
        <v>24</v>
      </c>
      <c r="Q6535">
        <v>94.5</v>
      </c>
      <c r="R6535" t="str">
        <f>"AC FARMA - FLEMINFARMA 5 (10183)"</f>
        <v>AC FARMA - FLEMINFARMA 5 (10183)</v>
      </c>
      <c r="S6535" t="s">
        <v>77</v>
      </c>
      <c r="T6535">
        <v>19777</v>
      </c>
      <c r="U6535">
        <v>23090</v>
      </c>
      <c r="V6535" t="s">
        <v>77</v>
      </c>
    </row>
    <row r="6536" spans="1:22">
      <c r="A6536" t="str">
        <f t="shared" si="1174"/>
        <v>16/10/2025</v>
      </c>
      <c r="B6536" t="str">
        <f t="shared" si="1175"/>
        <v>SAÍDA</v>
      </c>
      <c r="C6536" t="str">
        <f t="shared" si="1176"/>
        <v>PIX</v>
      </c>
      <c r="D6536" t="str">
        <f>"22894"</f>
        <v>22894</v>
      </c>
      <c r="E6536" t="str">
        <f t="shared" si="1178"/>
        <v>1</v>
      </c>
      <c r="F6536" t="str">
        <f t="shared" si="1173"/>
        <v>COM</v>
      </c>
      <c r="G6536" t="str">
        <f>"GILSON OLIVEIRA CAMPINHO JUNIOR (132)"</f>
        <v>GILSON OLIVEIRA CAMPINHO JUNIOR (132)</v>
      </c>
      <c r="H6536" t="str">
        <f>"Serv.Prest. 26/09/2025 a 05/10/2025 - PIX: CELULAR - CHAVE: (73) 988381077"</f>
        <v>Serv.Prest. 26/09/2025 a 05/10/2025 - PIX: CELULAR - CHAVE: (73) 988381077</v>
      </c>
      <c r="I6536" t="str">
        <f t="shared" si="1177"/>
        <v>16/10/2025</v>
      </c>
      <c r="J6536" t="str">
        <f t="shared" ref="J6536:J6543" si="1179">("07/10/2025")</f>
        <v>07/10/2025</v>
      </c>
      <c r="K6536" t="str">
        <f>("16/10/2025")</f>
        <v>16/10/2025</v>
      </c>
      <c r="L6536">
        <v>330</v>
      </c>
      <c r="M6536">
        <v>330</v>
      </c>
      <c r="N6536">
        <v>109</v>
      </c>
      <c r="O6536" t="str">
        <f>"PAGAMENTO DE ENTREGADORES"</f>
        <v>PAGAMENTO DE ENTREGADORES</v>
      </c>
      <c r="P6536">
        <v>330</v>
      </c>
      <c r="S6536" t="str">
        <f>"BANCO C6 (149)"</f>
        <v>BANCO C6 (149)</v>
      </c>
      <c r="T6536">
        <v>19778</v>
      </c>
      <c r="U6536">
        <v>23519</v>
      </c>
      <c r="V6536" t="s">
        <v>77</v>
      </c>
    </row>
    <row r="6537" spans="1:22">
      <c r="A6537" t="str">
        <f t="shared" si="1174"/>
        <v>16/10/2025</v>
      </c>
      <c r="B6537" t="str">
        <f t="shared" si="1175"/>
        <v>SAÍDA</v>
      </c>
      <c r="C6537" t="str">
        <f t="shared" si="1176"/>
        <v>PIX</v>
      </c>
      <c r="D6537" t="str">
        <f>"22894"</f>
        <v>22894</v>
      </c>
      <c r="E6537" t="str">
        <f t="shared" si="1178"/>
        <v>1</v>
      </c>
      <c r="F6537" t="str">
        <f t="shared" si="1173"/>
        <v>COM</v>
      </c>
      <c r="G6537" t="str">
        <f>"GILSON OLIVEIRA CAMPINHO JUNIOR (132)"</f>
        <v>GILSON OLIVEIRA CAMPINHO JUNIOR (132)</v>
      </c>
      <c r="H6537" t="s">
        <v>1344</v>
      </c>
      <c r="I6537" t="str">
        <f t="shared" si="1177"/>
        <v>16/10/2025</v>
      </c>
      <c r="J6537" t="str">
        <f t="shared" si="1179"/>
        <v>07/10/2025</v>
      </c>
      <c r="K6537">
        <v>45946</v>
      </c>
      <c r="N6537">
        <v>109</v>
      </c>
      <c r="O6537" t="s">
        <v>24</v>
      </c>
      <c r="Q6537">
        <v>330</v>
      </c>
      <c r="R6537" t="str">
        <f>"FARMÁCIA INDIANA LJ 91 (10037)"</f>
        <v>FARMÁCIA INDIANA LJ 91 (10037)</v>
      </c>
      <c r="S6537" t="s">
        <v>77</v>
      </c>
      <c r="T6537">
        <v>19778</v>
      </c>
      <c r="U6537">
        <v>23519</v>
      </c>
      <c r="V6537" t="s">
        <v>77</v>
      </c>
    </row>
    <row r="6538" spans="1:22">
      <c r="A6538" t="str">
        <f t="shared" si="1174"/>
        <v>16/10/2025</v>
      </c>
      <c r="B6538" t="str">
        <f t="shared" si="1175"/>
        <v>SAÍDA</v>
      </c>
      <c r="C6538" t="str">
        <f t="shared" si="1176"/>
        <v>PIX</v>
      </c>
      <c r="D6538" t="str">
        <f>"23003"</f>
        <v>23003</v>
      </c>
      <c r="E6538" t="str">
        <f t="shared" si="1178"/>
        <v>1</v>
      </c>
      <c r="F6538" t="str">
        <f t="shared" si="1173"/>
        <v>COM</v>
      </c>
      <c r="G6538" t="str">
        <f>"THALES VIANA DOS SANTOS (63)"</f>
        <v>THALES VIANA DOS SANTOS (63)</v>
      </c>
      <c r="H6538" t="str">
        <f>"Serv.Prest. 26/09/2025 a 05/10/2025 - PIX: CELULAR - CHAVE: (33) 99880-7941"</f>
        <v>Serv.Prest. 26/09/2025 a 05/10/2025 - PIX: CELULAR - CHAVE: (33) 99880-7941</v>
      </c>
      <c r="I6538" t="str">
        <f t="shared" si="1177"/>
        <v>16/10/2025</v>
      </c>
      <c r="J6538" t="str">
        <f t="shared" si="1179"/>
        <v>07/10/2025</v>
      </c>
      <c r="K6538" t="str">
        <f>("16/10/2025")</f>
        <v>16/10/2025</v>
      </c>
      <c r="L6538">
        <v>951</v>
      </c>
      <c r="M6538">
        <v>951</v>
      </c>
      <c r="N6538">
        <v>109</v>
      </c>
      <c r="O6538" t="str">
        <f>"PAGAMENTO DE ENTREGADORES"</f>
        <v>PAGAMENTO DE ENTREGADORES</v>
      </c>
      <c r="P6538">
        <v>951</v>
      </c>
      <c r="S6538" t="str">
        <f>"BANCO C6 (149)"</f>
        <v>BANCO C6 (149)</v>
      </c>
      <c r="T6538">
        <v>19779</v>
      </c>
      <c r="U6538">
        <v>23521</v>
      </c>
      <c r="V6538" t="s">
        <v>77</v>
      </c>
    </row>
    <row r="6539" spans="1:22">
      <c r="A6539" t="str">
        <f t="shared" si="1174"/>
        <v>16/10/2025</v>
      </c>
      <c r="B6539" t="str">
        <f t="shared" si="1175"/>
        <v>SAÍDA</v>
      </c>
      <c r="C6539" t="str">
        <f t="shared" si="1176"/>
        <v>PIX</v>
      </c>
      <c r="D6539" t="str">
        <f>"23003"</f>
        <v>23003</v>
      </c>
      <c r="E6539" t="str">
        <f t="shared" si="1178"/>
        <v>1</v>
      </c>
      <c r="F6539" t="str">
        <f t="shared" si="1173"/>
        <v>COM</v>
      </c>
      <c r="G6539" t="str">
        <f>"THALES VIANA DOS SANTOS (63)"</f>
        <v>THALES VIANA DOS SANTOS (63)</v>
      </c>
      <c r="H6539" t="s">
        <v>1573</v>
      </c>
      <c r="I6539" t="str">
        <f t="shared" si="1177"/>
        <v>16/10/2025</v>
      </c>
      <c r="J6539" t="str">
        <f t="shared" si="1179"/>
        <v>07/10/2025</v>
      </c>
      <c r="K6539">
        <v>45946</v>
      </c>
      <c r="N6539">
        <v>109</v>
      </c>
      <c r="O6539" t="s">
        <v>24</v>
      </c>
      <c r="Q6539">
        <v>951</v>
      </c>
      <c r="R6539" t="str">
        <f>"FARMÁCIA INDIANA LJ 07 (10007)"</f>
        <v>FARMÁCIA INDIANA LJ 07 (10007)</v>
      </c>
      <c r="S6539" t="s">
        <v>77</v>
      </c>
      <c r="T6539">
        <v>19779</v>
      </c>
      <c r="U6539">
        <v>23521</v>
      </c>
      <c r="V6539" t="s">
        <v>77</v>
      </c>
    </row>
    <row r="6540" spans="1:22">
      <c r="A6540" t="str">
        <f t="shared" si="1174"/>
        <v>16/10/2025</v>
      </c>
      <c r="B6540" t="str">
        <f t="shared" si="1175"/>
        <v>SAÍDA</v>
      </c>
      <c r="C6540" t="str">
        <f t="shared" si="1176"/>
        <v>PIX</v>
      </c>
      <c r="D6540" t="str">
        <f>"22943"</f>
        <v>22943</v>
      </c>
      <c r="E6540" t="str">
        <f t="shared" si="1178"/>
        <v>1</v>
      </c>
      <c r="F6540" t="str">
        <f t="shared" si="1173"/>
        <v>COM</v>
      </c>
      <c r="G6540" t="str">
        <f>"GILDASIO DOMINGOS DOS SANTOS (54)"</f>
        <v>GILDASIO DOMINGOS DOS SANTOS (54)</v>
      </c>
      <c r="H6540" t="str">
        <f>"Serv.Prest. 26/09/2025 a 05/10/2025 - PIX: CELULAR - CHAVE: (33) 98857-0494"</f>
        <v>Serv.Prest. 26/09/2025 a 05/10/2025 - PIX: CELULAR - CHAVE: (33) 98857-0494</v>
      </c>
      <c r="I6540" t="str">
        <f t="shared" si="1177"/>
        <v>16/10/2025</v>
      </c>
      <c r="J6540" t="str">
        <f t="shared" si="1179"/>
        <v>07/10/2025</v>
      </c>
      <c r="K6540" t="str">
        <f>("16/10/2025")</f>
        <v>16/10/2025</v>
      </c>
      <c r="L6540">
        <v>606</v>
      </c>
      <c r="M6540">
        <v>606</v>
      </c>
      <c r="N6540">
        <v>109</v>
      </c>
      <c r="O6540" t="str">
        <f>"PAGAMENTO DE ENTREGADORES"</f>
        <v>PAGAMENTO DE ENTREGADORES</v>
      </c>
      <c r="P6540">
        <v>606</v>
      </c>
      <c r="S6540" t="str">
        <f>"BANCO C6 (149)"</f>
        <v>BANCO C6 (149)</v>
      </c>
      <c r="T6540">
        <v>19780</v>
      </c>
      <c r="U6540">
        <v>23522</v>
      </c>
      <c r="V6540" t="s">
        <v>77</v>
      </c>
    </row>
    <row r="6541" spans="1:22">
      <c r="A6541" t="str">
        <f t="shared" si="1174"/>
        <v>16/10/2025</v>
      </c>
      <c r="B6541" t="str">
        <f t="shared" si="1175"/>
        <v>SAÍDA</v>
      </c>
      <c r="C6541" t="str">
        <f t="shared" si="1176"/>
        <v>PIX</v>
      </c>
      <c r="D6541" t="str">
        <f>"22943"</f>
        <v>22943</v>
      </c>
      <c r="E6541" t="str">
        <f t="shared" si="1178"/>
        <v>1</v>
      </c>
      <c r="F6541" t="str">
        <f t="shared" si="1173"/>
        <v>COM</v>
      </c>
      <c r="G6541" t="str">
        <f>"GILDASIO DOMINGOS DOS SANTOS (54)"</f>
        <v>GILDASIO DOMINGOS DOS SANTOS (54)</v>
      </c>
      <c r="H6541" t="s">
        <v>1571</v>
      </c>
      <c r="I6541" t="str">
        <f t="shared" si="1177"/>
        <v>16/10/2025</v>
      </c>
      <c r="J6541" t="str">
        <f t="shared" si="1179"/>
        <v>07/10/2025</v>
      </c>
      <c r="K6541">
        <v>45946</v>
      </c>
      <c r="N6541">
        <v>109</v>
      </c>
      <c r="O6541" t="s">
        <v>24</v>
      </c>
      <c r="Q6541">
        <v>606</v>
      </c>
      <c r="R6541" t="str">
        <f>"FARMÁCIA INDIANA LJ 07 (10007)"</f>
        <v>FARMÁCIA INDIANA LJ 07 (10007)</v>
      </c>
      <c r="S6541" t="s">
        <v>77</v>
      </c>
      <c r="T6541">
        <v>19780</v>
      </c>
      <c r="U6541">
        <v>23522</v>
      </c>
      <c r="V6541" t="s">
        <v>77</v>
      </c>
    </row>
    <row r="6542" spans="1:22">
      <c r="A6542" t="str">
        <f t="shared" si="1174"/>
        <v>16/10/2025</v>
      </c>
      <c r="B6542" t="str">
        <f t="shared" si="1175"/>
        <v>SAÍDA</v>
      </c>
      <c r="C6542" t="str">
        <f t="shared" si="1176"/>
        <v>PIX</v>
      </c>
      <c r="D6542" t="str">
        <f>"22998"</f>
        <v>22998</v>
      </c>
      <c r="E6542" t="str">
        <f t="shared" si="1178"/>
        <v>1</v>
      </c>
      <c r="F6542" t="str">
        <f t="shared" si="1173"/>
        <v>COM</v>
      </c>
      <c r="G6542" t="str">
        <f>"SAMUEL JADSON SANTANA RIBEIRO (55)"</f>
        <v>SAMUEL JADSON SANTANA RIBEIRO (55)</v>
      </c>
      <c r="H6542" t="str">
        <f>"Serv.Prest. 26/09/2025 a 05/10/2025 - PIX: CPF - CHAVE: 701.955.866-62"</f>
        <v>Serv.Prest. 26/09/2025 a 05/10/2025 - PIX: CPF - CHAVE: 701.955.866-62</v>
      </c>
      <c r="I6542" t="str">
        <f t="shared" si="1177"/>
        <v>16/10/2025</v>
      </c>
      <c r="J6542" t="str">
        <f t="shared" si="1179"/>
        <v>07/10/2025</v>
      </c>
      <c r="K6542" t="str">
        <f>("16/10/2025")</f>
        <v>16/10/2025</v>
      </c>
      <c r="L6542">
        <v>627</v>
      </c>
      <c r="M6542">
        <v>627</v>
      </c>
      <c r="N6542">
        <v>109</v>
      </c>
      <c r="O6542" t="str">
        <f>"PAGAMENTO DE ENTREGADORES"</f>
        <v>PAGAMENTO DE ENTREGADORES</v>
      </c>
      <c r="P6542">
        <v>627</v>
      </c>
      <c r="S6542" t="str">
        <f>"BANCO C6 (149)"</f>
        <v>BANCO C6 (149)</v>
      </c>
      <c r="T6542">
        <v>19781</v>
      </c>
      <c r="U6542">
        <v>23523</v>
      </c>
      <c r="V6542" t="s">
        <v>77</v>
      </c>
    </row>
    <row r="6543" spans="1:22">
      <c r="A6543" t="str">
        <f t="shared" si="1174"/>
        <v>16/10/2025</v>
      </c>
      <c r="B6543" t="str">
        <f t="shared" si="1175"/>
        <v>SAÍDA</v>
      </c>
      <c r="C6543" t="str">
        <f t="shared" si="1176"/>
        <v>PIX</v>
      </c>
      <c r="D6543" t="str">
        <f>"22998"</f>
        <v>22998</v>
      </c>
      <c r="E6543" t="str">
        <f t="shared" si="1178"/>
        <v>1</v>
      </c>
      <c r="F6543" t="str">
        <f t="shared" si="1173"/>
        <v>COM</v>
      </c>
      <c r="G6543" t="str">
        <f>"SAMUEL JADSON SANTANA RIBEIRO (55)"</f>
        <v>SAMUEL JADSON SANTANA RIBEIRO (55)</v>
      </c>
      <c r="H6543" t="s">
        <v>1572</v>
      </c>
      <c r="I6543" t="str">
        <f t="shared" si="1177"/>
        <v>16/10/2025</v>
      </c>
      <c r="J6543" t="str">
        <f t="shared" si="1179"/>
        <v>07/10/2025</v>
      </c>
      <c r="K6543">
        <v>45946</v>
      </c>
      <c r="N6543">
        <v>109</v>
      </c>
      <c r="O6543" t="s">
        <v>24</v>
      </c>
      <c r="Q6543">
        <v>627</v>
      </c>
      <c r="R6543" t="str">
        <f>"FARMÁCIA INDIANA LJ 07 (10007)"</f>
        <v>FARMÁCIA INDIANA LJ 07 (10007)</v>
      </c>
      <c r="S6543" t="s">
        <v>77</v>
      </c>
      <c r="T6543">
        <v>19781</v>
      </c>
      <c r="U6543">
        <v>23523</v>
      </c>
      <c r="V6543" t="s">
        <v>77</v>
      </c>
    </row>
    <row r="6544" spans="1:22">
      <c r="A6544" t="str">
        <f t="shared" si="1174"/>
        <v>16/10/2025</v>
      </c>
      <c r="B6544" t="str">
        <f t="shared" si="1175"/>
        <v>SAÍDA</v>
      </c>
      <c r="C6544" t="str">
        <f t="shared" si="1176"/>
        <v>PIX</v>
      </c>
      <c r="D6544" t="str">
        <f>"23543"</f>
        <v>23543</v>
      </c>
      <c r="E6544" t="str">
        <f t="shared" si="1178"/>
        <v>1</v>
      </c>
      <c r="F6544" t="str">
        <f t="shared" si="1173"/>
        <v>COM</v>
      </c>
      <c r="G6544" t="str">
        <f>"DEIVID FERNANDES COSTA (828)"</f>
        <v>DEIVID FERNANDES COSTA (828)</v>
      </c>
      <c r="H6544" t="str">
        <f>"Serv.Prest. 06/10/2025 a 12/10/2025 - PIX: CELULAR - CHAVE: (62) 99550-3226"</f>
        <v>Serv.Prest. 06/10/2025 a 12/10/2025 - PIX: CELULAR - CHAVE: (62) 99550-3226</v>
      </c>
      <c r="I6544" t="str">
        <f t="shared" si="1177"/>
        <v>16/10/2025</v>
      </c>
      <c r="J6544" t="str">
        <f t="shared" ref="J6544:J6575" si="1180">("13/10/2025")</f>
        <v>13/10/2025</v>
      </c>
      <c r="K6544" t="str">
        <f>("16/10/2025")</f>
        <v>16/10/2025</v>
      </c>
      <c r="L6544">
        <v>700.85</v>
      </c>
      <c r="M6544">
        <v>700.85</v>
      </c>
      <c r="N6544">
        <v>109</v>
      </c>
      <c r="O6544" t="str">
        <f>"PAGAMENTO DE ENTREGADORES"</f>
        <v>PAGAMENTO DE ENTREGADORES</v>
      </c>
      <c r="P6544">
        <v>700.85</v>
      </c>
      <c r="S6544" t="str">
        <f>"BANCO C6 (149)"</f>
        <v>BANCO C6 (149)</v>
      </c>
      <c r="T6544">
        <v>19782</v>
      </c>
      <c r="U6544">
        <v>23543</v>
      </c>
      <c r="V6544" t="s">
        <v>77</v>
      </c>
    </row>
    <row r="6545" spans="1:22">
      <c r="A6545" t="str">
        <f t="shared" si="1174"/>
        <v>16/10/2025</v>
      </c>
      <c r="B6545" t="str">
        <f t="shared" si="1175"/>
        <v>SAÍDA</v>
      </c>
      <c r="C6545" t="str">
        <f t="shared" si="1176"/>
        <v>PIX</v>
      </c>
      <c r="D6545" t="str">
        <f>"23543"</f>
        <v>23543</v>
      </c>
      <c r="E6545" t="str">
        <f t="shared" si="1178"/>
        <v>1</v>
      </c>
      <c r="F6545" t="str">
        <f t="shared" si="1173"/>
        <v>COM</v>
      </c>
      <c r="G6545" t="str">
        <f>"DEIVID FERNANDES COSTA (828)"</f>
        <v>DEIVID FERNANDES COSTA (828)</v>
      </c>
      <c r="H6545" t="s">
        <v>1351</v>
      </c>
      <c r="I6545" t="str">
        <f t="shared" si="1177"/>
        <v>16/10/2025</v>
      </c>
      <c r="J6545" t="str">
        <f t="shared" si="1180"/>
        <v>13/10/2025</v>
      </c>
      <c r="K6545">
        <v>45946</v>
      </c>
      <c r="N6545">
        <v>109</v>
      </c>
      <c r="O6545" t="s">
        <v>24</v>
      </c>
      <c r="Q6545">
        <v>700.85</v>
      </c>
      <c r="R6545" t="str">
        <f>"BRASIL FARMA (10173)"</f>
        <v>BRASIL FARMA (10173)</v>
      </c>
      <c r="S6545" t="s">
        <v>77</v>
      </c>
      <c r="T6545">
        <v>19782</v>
      </c>
      <c r="U6545">
        <v>23543</v>
      </c>
      <c r="V6545" t="s">
        <v>77</v>
      </c>
    </row>
    <row r="6546" spans="1:22">
      <c r="A6546" t="str">
        <f t="shared" si="1174"/>
        <v>16/10/2025</v>
      </c>
      <c r="B6546" t="str">
        <f t="shared" si="1175"/>
        <v>SAÍDA</v>
      </c>
      <c r="C6546" t="str">
        <f t="shared" si="1176"/>
        <v>PIX</v>
      </c>
      <c r="D6546" t="str">
        <f>"23544"</f>
        <v>23544</v>
      </c>
      <c r="E6546" t="str">
        <f t="shared" si="1178"/>
        <v>1</v>
      </c>
      <c r="F6546" t="str">
        <f t="shared" si="1173"/>
        <v>COM</v>
      </c>
      <c r="G6546" t="str">
        <f>"MAYKON LOPES DE MENEZES (781)"</f>
        <v>MAYKON LOPES DE MENEZES (781)</v>
      </c>
      <c r="H6546" t="str">
        <f>"Serv.Prest. 06/10/2025 a 12/10/2025 - PIX: CPF - CHAVE: 012.600.851-55"</f>
        <v>Serv.Prest. 06/10/2025 a 12/10/2025 - PIX: CPF - CHAVE: 012.600.851-55</v>
      </c>
      <c r="I6546" t="str">
        <f t="shared" si="1177"/>
        <v>16/10/2025</v>
      </c>
      <c r="J6546" t="str">
        <f t="shared" si="1180"/>
        <v>13/10/2025</v>
      </c>
      <c r="K6546" t="str">
        <f>("16/10/2025")</f>
        <v>16/10/2025</v>
      </c>
      <c r="L6546">
        <v>606.9</v>
      </c>
      <c r="M6546">
        <v>606.9</v>
      </c>
      <c r="N6546">
        <v>109</v>
      </c>
      <c r="O6546" t="str">
        <f>"PAGAMENTO DE ENTREGADORES"</f>
        <v>PAGAMENTO DE ENTREGADORES</v>
      </c>
      <c r="P6546">
        <v>606.9</v>
      </c>
      <c r="S6546" t="str">
        <f>"BANCO C6 (149)"</f>
        <v>BANCO C6 (149)</v>
      </c>
      <c r="T6546">
        <v>19783</v>
      </c>
      <c r="U6546">
        <v>23544</v>
      </c>
      <c r="V6546" t="s">
        <v>77</v>
      </c>
    </row>
    <row r="6547" spans="1:22">
      <c r="A6547" t="str">
        <f t="shared" si="1174"/>
        <v>16/10/2025</v>
      </c>
      <c r="B6547" t="str">
        <f t="shared" si="1175"/>
        <v>SAÍDA</v>
      </c>
      <c r="C6547" t="str">
        <f t="shared" si="1176"/>
        <v>PIX</v>
      </c>
      <c r="D6547" t="str">
        <f>"23544"</f>
        <v>23544</v>
      </c>
      <c r="E6547" t="str">
        <f t="shared" si="1178"/>
        <v>1</v>
      </c>
      <c r="F6547" t="str">
        <f t="shared" si="1173"/>
        <v>COM</v>
      </c>
      <c r="G6547" t="str">
        <f>"MAYKON LOPES DE MENEZES (781)"</f>
        <v>MAYKON LOPES DE MENEZES (781)</v>
      </c>
      <c r="H6547" t="s">
        <v>1775</v>
      </c>
      <c r="I6547" t="str">
        <f t="shared" si="1177"/>
        <v>16/10/2025</v>
      </c>
      <c r="J6547" t="str">
        <f t="shared" si="1180"/>
        <v>13/10/2025</v>
      </c>
      <c r="K6547">
        <v>45946</v>
      </c>
      <c r="N6547">
        <v>109</v>
      </c>
      <c r="O6547" t="s">
        <v>24</v>
      </c>
      <c r="Q6547">
        <v>606.9</v>
      </c>
      <c r="R6547" t="str">
        <f>"BRASIL FARMA (10173)"</f>
        <v>BRASIL FARMA (10173)</v>
      </c>
      <c r="S6547" t="s">
        <v>77</v>
      </c>
      <c r="T6547">
        <v>19783</v>
      </c>
      <c r="U6547">
        <v>23544</v>
      </c>
      <c r="V6547" t="s">
        <v>77</v>
      </c>
    </row>
    <row r="6548" spans="1:22">
      <c r="A6548" t="str">
        <f t="shared" si="1174"/>
        <v>16/10/2025</v>
      </c>
      <c r="B6548" t="str">
        <f t="shared" si="1175"/>
        <v>SAÍDA</v>
      </c>
      <c r="C6548" t="str">
        <f t="shared" si="1176"/>
        <v>PIX</v>
      </c>
      <c r="D6548" t="str">
        <f>"23546"</f>
        <v>23546</v>
      </c>
      <c r="E6548" t="str">
        <f t="shared" si="1178"/>
        <v>1</v>
      </c>
      <c r="F6548" t="str">
        <f t="shared" si="1173"/>
        <v>COM</v>
      </c>
      <c r="G6548" t="str">
        <f>"EDUARDO COSTA DA SILVA (721)"</f>
        <v>EDUARDO COSTA DA SILVA (721)</v>
      </c>
      <c r="H6548" t="str">
        <f>"Serv.Prest. 06/10/2025 a 12/10/2025 - PIX: CELULAR - CHAVE: (11) 95552-9905"</f>
        <v>Serv.Prest. 06/10/2025 a 12/10/2025 - PIX: CELULAR - CHAVE: (11) 95552-9905</v>
      </c>
      <c r="I6548" t="str">
        <f t="shared" si="1177"/>
        <v>16/10/2025</v>
      </c>
      <c r="J6548" t="str">
        <f t="shared" si="1180"/>
        <v>13/10/2025</v>
      </c>
      <c r="K6548" t="str">
        <f>("16/10/2025")</f>
        <v>16/10/2025</v>
      </c>
      <c r="L6548">
        <v>1266.3</v>
      </c>
      <c r="M6548">
        <v>1266.3</v>
      </c>
      <c r="N6548">
        <v>109</v>
      </c>
      <c r="O6548" t="str">
        <f>"PAGAMENTO DE ENTREGADORES"</f>
        <v>PAGAMENTO DE ENTREGADORES</v>
      </c>
      <c r="P6548">
        <v>1266.3</v>
      </c>
      <c r="S6548" t="str">
        <f>"BANCO C6 (149)"</f>
        <v>BANCO C6 (149)</v>
      </c>
      <c r="T6548">
        <v>19784</v>
      </c>
      <c r="U6548">
        <v>23546</v>
      </c>
      <c r="V6548" t="s">
        <v>77</v>
      </c>
    </row>
    <row r="6549" spans="1:22">
      <c r="A6549" t="str">
        <f t="shared" si="1174"/>
        <v>16/10/2025</v>
      </c>
      <c r="B6549" t="str">
        <f t="shared" si="1175"/>
        <v>SAÍDA</v>
      </c>
      <c r="C6549" t="str">
        <f t="shared" si="1176"/>
        <v>PIX</v>
      </c>
      <c r="D6549" t="str">
        <f>"23546"</f>
        <v>23546</v>
      </c>
      <c r="E6549" t="str">
        <f t="shared" si="1178"/>
        <v>1</v>
      </c>
      <c r="F6549" t="str">
        <f t="shared" si="1173"/>
        <v>COM</v>
      </c>
      <c r="G6549" t="str">
        <f>"EDUARDO COSTA DA SILVA (721)"</f>
        <v>EDUARDO COSTA DA SILVA (721)</v>
      </c>
      <c r="H6549" t="s">
        <v>1776</v>
      </c>
      <c r="I6549" t="str">
        <f t="shared" si="1177"/>
        <v>16/10/2025</v>
      </c>
      <c r="J6549" t="str">
        <f t="shared" si="1180"/>
        <v>13/10/2025</v>
      </c>
      <c r="K6549">
        <v>45946</v>
      </c>
      <c r="N6549">
        <v>109</v>
      </c>
      <c r="O6549" t="s">
        <v>24</v>
      </c>
      <c r="Q6549">
        <v>1266.3</v>
      </c>
      <c r="R6549" t="str">
        <f>"DROGARIA AGAPEAMA (10167)"</f>
        <v>DROGARIA AGAPEAMA (10167)</v>
      </c>
      <c r="S6549" t="s">
        <v>77</v>
      </c>
      <c r="T6549">
        <v>19784</v>
      </c>
      <c r="U6549">
        <v>23546</v>
      </c>
      <c r="V6549" t="s">
        <v>77</v>
      </c>
    </row>
    <row r="6550" spans="1:22">
      <c r="A6550" t="str">
        <f t="shared" si="1174"/>
        <v>16/10/2025</v>
      </c>
      <c r="B6550" t="str">
        <f t="shared" si="1175"/>
        <v>SAÍDA</v>
      </c>
      <c r="C6550" t="str">
        <f t="shared" si="1176"/>
        <v>PIX</v>
      </c>
      <c r="D6550" t="str">
        <f>"23547"</f>
        <v>23547</v>
      </c>
      <c r="E6550" t="str">
        <f t="shared" si="1178"/>
        <v>1</v>
      </c>
      <c r="F6550" t="str">
        <f t="shared" si="1173"/>
        <v>COM</v>
      </c>
      <c r="G6550" t="str">
        <f>"GUILHERME DA SILVA GOMES (901)"</f>
        <v>GUILHERME DA SILVA GOMES (901)</v>
      </c>
      <c r="H6550" t="str">
        <f>"Serv.Prest. 06/10/2025 a 12/10/2025 - PIX: CPF - CHAVE: 505.341.528-56"</f>
        <v>Serv.Prest. 06/10/2025 a 12/10/2025 - PIX: CPF - CHAVE: 505.341.528-56</v>
      </c>
      <c r="I6550" t="str">
        <f t="shared" si="1177"/>
        <v>16/10/2025</v>
      </c>
      <c r="J6550" t="str">
        <f t="shared" si="1180"/>
        <v>13/10/2025</v>
      </c>
      <c r="K6550" t="str">
        <f>("16/10/2025")</f>
        <v>16/10/2025</v>
      </c>
      <c r="L6550">
        <v>768.6</v>
      </c>
      <c r="M6550">
        <v>768.6</v>
      </c>
      <c r="N6550">
        <v>109</v>
      </c>
      <c r="O6550" t="str">
        <f>"PAGAMENTO DE ENTREGADORES"</f>
        <v>PAGAMENTO DE ENTREGADORES</v>
      </c>
      <c r="P6550">
        <v>768.6</v>
      </c>
      <c r="S6550" t="str">
        <f>"BANCO C6 (149)"</f>
        <v>BANCO C6 (149)</v>
      </c>
      <c r="T6550">
        <v>19785</v>
      </c>
      <c r="U6550">
        <v>23547</v>
      </c>
      <c r="V6550" t="s">
        <v>77</v>
      </c>
    </row>
    <row r="6551" spans="1:22">
      <c r="A6551" t="str">
        <f t="shared" si="1174"/>
        <v>16/10/2025</v>
      </c>
      <c r="B6551" t="str">
        <f t="shared" si="1175"/>
        <v>SAÍDA</v>
      </c>
      <c r="C6551" t="str">
        <f t="shared" si="1176"/>
        <v>PIX</v>
      </c>
      <c r="D6551" t="str">
        <f>"23547"</f>
        <v>23547</v>
      </c>
      <c r="E6551" t="str">
        <f t="shared" si="1178"/>
        <v>1</v>
      </c>
      <c r="F6551" t="str">
        <f t="shared" si="1173"/>
        <v>COM</v>
      </c>
      <c r="G6551" t="str">
        <f>"GUILHERME DA SILVA GOMES (901)"</f>
        <v>GUILHERME DA SILVA GOMES (901)</v>
      </c>
      <c r="H6551" t="s">
        <v>1777</v>
      </c>
      <c r="I6551" t="str">
        <f t="shared" si="1177"/>
        <v>16/10/2025</v>
      </c>
      <c r="J6551" t="str">
        <f t="shared" si="1180"/>
        <v>13/10/2025</v>
      </c>
      <c r="K6551">
        <v>45946</v>
      </c>
      <c r="N6551">
        <v>109</v>
      </c>
      <c r="O6551" t="s">
        <v>24</v>
      </c>
      <c r="Q6551">
        <v>768.6</v>
      </c>
      <c r="R6551" t="str">
        <f>"DROGARIA AGAPEAMA (10167)"</f>
        <v>DROGARIA AGAPEAMA (10167)</v>
      </c>
      <c r="S6551" t="s">
        <v>77</v>
      </c>
      <c r="T6551">
        <v>19785</v>
      </c>
      <c r="U6551">
        <v>23547</v>
      </c>
      <c r="V6551" t="s">
        <v>77</v>
      </c>
    </row>
    <row r="6552" spans="1:22">
      <c r="A6552" t="str">
        <f t="shared" si="1174"/>
        <v>16/10/2025</v>
      </c>
      <c r="B6552" t="str">
        <f t="shared" si="1175"/>
        <v>SAÍDA</v>
      </c>
      <c r="C6552" t="str">
        <f t="shared" si="1176"/>
        <v>PIX</v>
      </c>
      <c r="D6552" t="str">
        <f>"23548"</f>
        <v>23548</v>
      </c>
      <c r="E6552" t="str">
        <f t="shared" si="1178"/>
        <v>1</v>
      </c>
      <c r="F6552" t="str">
        <f t="shared" si="1173"/>
        <v>COM</v>
      </c>
      <c r="G6552" t="str">
        <f>"WESLEY RICARDO DE OLIVEIRA (722)"</f>
        <v>WESLEY RICARDO DE OLIVEIRA (722)</v>
      </c>
      <c r="H6552" t="str">
        <f>"Serv.Prest. 06/10/2025 a 12/10/2025 - PIX: CELULAR - CHAVE: (11) 91214-6176"</f>
        <v>Serv.Prest. 06/10/2025 a 12/10/2025 - PIX: CELULAR - CHAVE: (11) 91214-6176</v>
      </c>
      <c r="I6552" t="str">
        <f t="shared" si="1177"/>
        <v>16/10/2025</v>
      </c>
      <c r="J6552" t="str">
        <f t="shared" si="1180"/>
        <v>13/10/2025</v>
      </c>
      <c r="K6552" t="str">
        <f>("16/10/2025")</f>
        <v>16/10/2025</v>
      </c>
      <c r="L6552">
        <v>1152.0999999999999</v>
      </c>
      <c r="M6552">
        <v>1152.0999999999999</v>
      </c>
      <c r="N6552">
        <v>109</v>
      </c>
      <c r="O6552" t="str">
        <f>"PAGAMENTO DE ENTREGADORES"</f>
        <v>PAGAMENTO DE ENTREGADORES</v>
      </c>
      <c r="P6552">
        <v>1152.0999999999999</v>
      </c>
      <c r="S6552" t="str">
        <f>"BANCO C6 (149)"</f>
        <v>BANCO C6 (149)</v>
      </c>
      <c r="T6552">
        <v>19786</v>
      </c>
      <c r="U6552">
        <v>23548</v>
      </c>
      <c r="V6552" t="s">
        <v>77</v>
      </c>
    </row>
    <row r="6553" spans="1:22">
      <c r="A6553" t="str">
        <f t="shared" si="1174"/>
        <v>16/10/2025</v>
      </c>
      <c r="B6553" t="str">
        <f t="shared" si="1175"/>
        <v>SAÍDA</v>
      </c>
      <c r="C6553" t="str">
        <f t="shared" si="1176"/>
        <v>PIX</v>
      </c>
      <c r="D6553" t="str">
        <f>"23548"</f>
        <v>23548</v>
      </c>
      <c r="E6553" t="str">
        <f t="shared" si="1178"/>
        <v>1</v>
      </c>
      <c r="F6553" t="str">
        <f t="shared" si="1173"/>
        <v>COM</v>
      </c>
      <c r="G6553" t="str">
        <f>"WESLEY RICARDO DE OLIVEIRA (722)"</f>
        <v>WESLEY RICARDO DE OLIVEIRA (722)</v>
      </c>
      <c r="H6553" t="s">
        <v>1778</v>
      </c>
      <c r="I6553" t="str">
        <f t="shared" si="1177"/>
        <v>16/10/2025</v>
      </c>
      <c r="J6553" t="str">
        <f t="shared" si="1180"/>
        <v>13/10/2025</v>
      </c>
      <c r="K6553">
        <v>45946</v>
      </c>
      <c r="N6553">
        <v>109</v>
      </c>
      <c r="O6553" t="s">
        <v>24</v>
      </c>
      <c r="Q6553">
        <v>1152.0999999999999</v>
      </c>
      <c r="R6553" t="str">
        <f>"DROGARIA AGAPEAMA (10167)"</f>
        <v>DROGARIA AGAPEAMA (10167)</v>
      </c>
      <c r="S6553" t="s">
        <v>77</v>
      </c>
      <c r="T6553">
        <v>19786</v>
      </c>
      <c r="U6553">
        <v>23548</v>
      </c>
      <c r="V6553" t="s">
        <v>77</v>
      </c>
    </row>
    <row r="6554" spans="1:22">
      <c r="A6554" t="str">
        <f t="shared" si="1174"/>
        <v>16/10/2025</v>
      </c>
      <c r="B6554" t="str">
        <f t="shared" si="1175"/>
        <v>SAÍDA</v>
      </c>
      <c r="C6554" t="str">
        <f t="shared" si="1176"/>
        <v>PIX</v>
      </c>
      <c r="D6554" t="str">
        <f>"23550"</f>
        <v>23550</v>
      </c>
      <c r="E6554" t="str">
        <f t="shared" si="1178"/>
        <v>1</v>
      </c>
      <c r="F6554" t="str">
        <f t="shared" si="1173"/>
        <v>COM</v>
      </c>
      <c r="G6554" t="str">
        <f>"ALEXSANDRO HENRIQUE FERREIRA (808)"</f>
        <v>ALEXSANDRO HENRIQUE FERREIRA (808)</v>
      </c>
      <c r="H6554" t="str">
        <f>"Serv.Prest. 06/10/2025 a 12/10/2025 - PIX: CPF - CHAVE: 157.591.436-03"</f>
        <v>Serv.Prest. 06/10/2025 a 12/10/2025 - PIX: CPF - CHAVE: 157.591.436-03</v>
      </c>
      <c r="I6554" t="str">
        <f t="shared" si="1177"/>
        <v>16/10/2025</v>
      </c>
      <c r="J6554" t="str">
        <f t="shared" si="1180"/>
        <v>13/10/2025</v>
      </c>
      <c r="K6554" t="str">
        <f>("16/10/2025")</f>
        <v>16/10/2025</v>
      </c>
      <c r="L6554">
        <v>904.05</v>
      </c>
      <c r="M6554">
        <v>904.05</v>
      </c>
      <c r="N6554">
        <v>109</v>
      </c>
      <c r="O6554" t="str">
        <f>"PAGAMENTO DE ENTREGADORES"</f>
        <v>PAGAMENTO DE ENTREGADORES</v>
      </c>
      <c r="P6554">
        <v>904.05</v>
      </c>
      <c r="S6554" t="str">
        <f>"BANCO C6 (149)"</f>
        <v>BANCO C6 (149)</v>
      </c>
      <c r="T6554">
        <v>19787</v>
      </c>
      <c r="U6554">
        <v>23550</v>
      </c>
      <c r="V6554" t="s">
        <v>77</v>
      </c>
    </row>
    <row r="6555" spans="1:22">
      <c r="A6555" t="str">
        <f t="shared" si="1174"/>
        <v>16/10/2025</v>
      </c>
      <c r="B6555" t="str">
        <f t="shared" si="1175"/>
        <v>SAÍDA</v>
      </c>
      <c r="C6555" t="str">
        <f t="shared" si="1176"/>
        <v>PIX</v>
      </c>
      <c r="D6555" t="str">
        <f>"23550"</f>
        <v>23550</v>
      </c>
      <c r="E6555" t="str">
        <f t="shared" si="1178"/>
        <v>1</v>
      </c>
      <c r="F6555" t="str">
        <f t="shared" si="1173"/>
        <v>COM</v>
      </c>
      <c r="G6555" t="str">
        <f>"ALEXSANDRO HENRIQUE FERREIRA (808)"</f>
        <v>ALEXSANDRO HENRIQUE FERREIRA (808)</v>
      </c>
      <c r="H6555" t="s">
        <v>1779</v>
      </c>
      <c r="I6555" t="str">
        <f t="shared" si="1177"/>
        <v>16/10/2025</v>
      </c>
      <c r="J6555" t="str">
        <f t="shared" si="1180"/>
        <v>13/10/2025</v>
      </c>
      <c r="K6555">
        <v>45946</v>
      </c>
      <c r="N6555">
        <v>109</v>
      </c>
      <c r="O6555" t="s">
        <v>24</v>
      </c>
      <c r="Q6555">
        <v>904.05</v>
      </c>
      <c r="R6555" t="str">
        <f>"DROGARIA ANA VISCONDE DO RIO BRANCO (10182)"</f>
        <v>DROGARIA ANA VISCONDE DO RIO BRANCO (10182)</v>
      </c>
      <c r="S6555" t="s">
        <v>77</v>
      </c>
      <c r="T6555">
        <v>19787</v>
      </c>
      <c r="U6555">
        <v>23550</v>
      </c>
      <c r="V6555" t="s">
        <v>77</v>
      </c>
    </row>
    <row r="6556" spans="1:22">
      <c r="A6556" t="str">
        <f t="shared" si="1174"/>
        <v>16/10/2025</v>
      </c>
      <c r="B6556" t="str">
        <f t="shared" si="1175"/>
        <v>SAÍDA</v>
      </c>
      <c r="C6556" t="str">
        <f t="shared" si="1176"/>
        <v>PIX</v>
      </c>
      <c r="D6556" t="str">
        <f>"23551"</f>
        <v>23551</v>
      </c>
      <c r="E6556" t="str">
        <f t="shared" si="1178"/>
        <v>1</v>
      </c>
      <c r="F6556" t="str">
        <f t="shared" si="1173"/>
        <v>COM</v>
      </c>
      <c r="G6556" t="str">
        <f>"ANDERSON LUIZ SOARES (807)"</f>
        <v>ANDERSON LUIZ SOARES (807)</v>
      </c>
      <c r="H6556" t="str">
        <f>"Serv.Prest. 06/10/2025 a 12/10/2025 - PIX: CELULAR - CHAVE: (32) 99920-0416"</f>
        <v>Serv.Prest. 06/10/2025 a 12/10/2025 - PIX: CELULAR - CHAVE: (32) 99920-0416</v>
      </c>
      <c r="I6556" t="str">
        <f t="shared" si="1177"/>
        <v>16/10/2025</v>
      </c>
      <c r="J6556" t="str">
        <f t="shared" si="1180"/>
        <v>13/10/2025</v>
      </c>
      <c r="K6556" t="str">
        <f>("16/10/2025")</f>
        <v>16/10/2025</v>
      </c>
      <c r="L6556">
        <v>702.45</v>
      </c>
      <c r="M6556">
        <v>702.45</v>
      </c>
      <c r="N6556">
        <v>109</v>
      </c>
      <c r="O6556" t="str">
        <f>"PAGAMENTO DE ENTREGADORES"</f>
        <v>PAGAMENTO DE ENTREGADORES</v>
      </c>
      <c r="P6556">
        <v>702.45</v>
      </c>
      <c r="S6556" t="str">
        <f>"BANCO C6 (149)"</f>
        <v>BANCO C6 (149)</v>
      </c>
      <c r="T6556">
        <v>19788</v>
      </c>
      <c r="U6556">
        <v>23551</v>
      </c>
      <c r="V6556" t="s">
        <v>77</v>
      </c>
    </row>
    <row r="6557" spans="1:22">
      <c r="A6557" t="str">
        <f t="shared" si="1174"/>
        <v>16/10/2025</v>
      </c>
      <c r="B6557" t="str">
        <f t="shared" si="1175"/>
        <v>SAÍDA</v>
      </c>
      <c r="C6557" t="str">
        <f t="shared" si="1176"/>
        <v>PIX</v>
      </c>
      <c r="D6557" t="str">
        <f>"23551"</f>
        <v>23551</v>
      </c>
      <c r="E6557" t="str">
        <f t="shared" si="1178"/>
        <v>1</v>
      </c>
      <c r="F6557" t="str">
        <f t="shared" si="1173"/>
        <v>COM</v>
      </c>
      <c r="G6557" t="str">
        <f>"ANDERSON LUIZ SOARES (807)"</f>
        <v>ANDERSON LUIZ SOARES (807)</v>
      </c>
      <c r="H6557" t="s">
        <v>1780</v>
      </c>
      <c r="I6557" t="str">
        <f t="shared" si="1177"/>
        <v>16/10/2025</v>
      </c>
      <c r="J6557" t="str">
        <f t="shared" si="1180"/>
        <v>13/10/2025</v>
      </c>
      <c r="K6557">
        <v>45946</v>
      </c>
      <c r="N6557">
        <v>109</v>
      </c>
      <c r="O6557" t="s">
        <v>24</v>
      </c>
      <c r="Q6557">
        <v>702.45</v>
      </c>
      <c r="R6557" t="str">
        <f>"DROGARIA ANA VISCONDE DO RIO BRANCO (10182)"</f>
        <v>DROGARIA ANA VISCONDE DO RIO BRANCO (10182)</v>
      </c>
      <c r="S6557" t="s">
        <v>77</v>
      </c>
      <c r="T6557">
        <v>19788</v>
      </c>
      <c r="U6557">
        <v>23551</v>
      </c>
      <c r="V6557" t="s">
        <v>77</v>
      </c>
    </row>
    <row r="6558" spans="1:22">
      <c r="A6558" t="str">
        <f t="shared" si="1174"/>
        <v>16/10/2025</v>
      </c>
      <c r="B6558" t="str">
        <f t="shared" si="1175"/>
        <v>SAÍDA</v>
      </c>
      <c r="C6558" t="str">
        <f t="shared" si="1176"/>
        <v>PIX</v>
      </c>
      <c r="D6558" t="str">
        <f>"23552"</f>
        <v>23552</v>
      </c>
      <c r="E6558" t="str">
        <f t="shared" si="1178"/>
        <v>1</v>
      </c>
      <c r="F6558" t="str">
        <f t="shared" si="1173"/>
        <v>COM</v>
      </c>
      <c r="G6558" t="str">
        <f>"BRENO VIANA MONTEIRO RODRIGUES (811)"</f>
        <v>BRENO VIANA MONTEIRO RODRIGUES (811)</v>
      </c>
      <c r="H6558" t="str">
        <f>"Serv.Prest. 06/10/2025 a 12/10/2025 - PIX: CNPJ - CHAVE: 51.676.704/0001-10"</f>
        <v>Serv.Prest. 06/10/2025 a 12/10/2025 - PIX: CNPJ - CHAVE: 51.676.704/0001-10</v>
      </c>
      <c r="I6558" t="str">
        <f t="shared" si="1177"/>
        <v>16/10/2025</v>
      </c>
      <c r="J6558" t="str">
        <f t="shared" si="1180"/>
        <v>13/10/2025</v>
      </c>
      <c r="K6558" t="str">
        <f>("16/10/2025")</f>
        <v>16/10/2025</v>
      </c>
      <c r="L6558">
        <v>702.45</v>
      </c>
      <c r="M6558">
        <v>702.45</v>
      </c>
      <c r="N6558">
        <v>109</v>
      </c>
      <c r="O6558" t="str">
        <f>"PAGAMENTO DE ENTREGADORES"</f>
        <v>PAGAMENTO DE ENTREGADORES</v>
      </c>
      <c r="P6558">
        <v>702.45</v>
      </c>
      <c r="S6558" t="str">
        <f>"BANCO C6 (149)"</f>
        <v>BANCO C6 (149)</v>
      </c>
      <c r="T6558">
        <v>19789</v>
      </c>
      <c r="U6558">
        <v>23552</v>
      </c>
      <c r="V6558" t="s">
        <v>77</v>
      </c>
    </row>
    <row r="6559" spans="1:22">
      <c r="A6559" t="str">
        <f t="shared" si="1174"/>
        <v>16/10/2025</v>
      </c>
      <c r="B6559" t="str">
        <f t="shared" si="1175"/>
        <v>SAÍDA</v>
      </c>
      <c r="C6559" t="str">
        <f t="shared" si="1176"/>
        <v>PIX</v>
      </c>
      <c r="D6559" t="str">
        <f>"23552"</f>
        <v>23552</v>
      </c>
      <c r="E6559" t="str">
        <f t="shared" si="1178"/>
        <v>1</v>
      </c>
      <c r="F6559" t="str">
        <f t="shared" si="1173"/>
        <v>COM</v>
      </c>
      <c r="G6559" t="str">
        <f>"BRENO VIANA MONTEIRO RODRIGUES (811)"</f>
        <v>BRENO VIANA MONTEIRO RODRIGUES (811)</v>
      </c>
      <c r="H6559" t="s">
        <v>1781</v>
      </c>
      <c r="I6559" t="str">
        <f t="shared" si="1177"/>
        <v>16/10/2025</v>
      </c>
      <c r="J6559" t="str">
        <f t="shared" si="1180"/>
        <v>13/10/2025</v>
      </c>
      <c r="K6559">
        <v>45946</v>
      </c>
      <c r="N6559">
        <v>109</v>
      </c>
      <c r="O6559" t="s">
        <v>24</v>
      </c>
      <c r="Q6559">
        <v>702.45</v>
      </c>
      <c r="R6559" t="str">
        <f>"DROGARIA ANA VISCONDE DO RIO BRANCO (10182)"</f>
        <v>DROGARIA ANA VISCONDE DO RIO BRANCO (10182)</v>
      </c>
      <c r="S6559" t="s">
        <v>77</v>
      </c>
      <c r="T6559">
        <v>19789</v>
      </c>
      <c r="U6559">
        <v>23552</v>
      </c>
      <c r="V6559" t="s">
        <v>77</v>
      </c>
    </row>
    <row r="6560" spans="1:22">
      <c r="A6560" t="str">
        <f t="shared" si="1174"/>
        <v>16/10/2025</v>
      </c>
      <c r="B6560" t="str">
        <f t="shared" si="1175"/>
        <v>SAÍDA</v>
      </c>
      <c r="C6560" t="str">
        <f t="shared" si="1176"/>
        <v>PIX</v>
      </c>
      <c r="D6560" t="str">
        <f>"23553"</f>
        <v>23553</v>
      </c>
      <c r="E6560" t="str">
        <f t="shared" si="1178"/>
        <v>1</v>
      </c>
      <c r="F6560" t="str">
        <f t="shared" si="1173"/>
        <v>COM</v>
      </c>
      <c r="G6560" t="str">
        <f>"GABRIEL PACHECO DE QUEIROZ NARCISO (812)"</f>
        <v>GABRIEL PACHECO DE QUEIROZ NARCISO (812)</v>
      </c>
      <c r="H6560" t="str">
        <f>"Serv.Prest. 06/10/2025 a 12/10/2025 - PIX: CPF - CHAVE: 140.108.466-40"</f>
        <v>Serv.Prest. 06/10/2025 a 12/10/2025 - PIX: CPF - CHAVE: 140.108.466-40</v>
      </c>
      <c r="I6560" t="str">
        <f t="shared" si="1177"/>
        <v>16/10/2025</v>
      </c>
      <c r="J6560" t="str">
        <f t="shared" si="1180"/>
        <v>13/10/2025</v>
      </c>
      <c r="K6560" t="str">
        <f>("16/10/2025")</f>
        <v>16/10/2025</v>
      </c>
      <c r="L6560">
        <v>702.45</v>
      </c>
      <c r="M6560">
        <v>702.45</v>
      </c>
      <c r="N6560">
        <v>109</v>
      </c>
      <c r="O6560" t="str">
        <f>"PAGAMENTO DE ENTREGADORES"</f>
        <v>PAGAMENTO DE ENTREGADORES</v>
      </c>
      <c r="P6560">
        <v>702.45</v>
      </c>
      <c r="S6560" t="str">
        <f>"BANCO C6 (149)"</f>
        <v>BANCO C6 (149)</v>
      </c>
      <c r="T6560">
        <v>19790</v>
      </c>
      <c r="U6560">
        <v>23553</v>
      </c>
      <c r="V6560" t="s">
        <v>77</v>
      </c>
    </row>
    <row r="6561" spans="1:22">
      <c r="A6561" t="str">
        <f t="shared" si="1174"/>
        <v>16/10/2025</v>
      </c>
      <c r="B6561" t="str">
        <f t="shared" si="1175"/>
        <v>SAÍDA</v>
      </c>
      <c r="C6561" t="str">
        <f t="shared" si="1176"/>
        <v>PIX</v>
      </c>
      <c r="D6561" t="str">
        <f>"23553"</f>
        <v>23553</v>
      </c>
      <c r="E6561" t="str">
        <f t="shared" si="1178"/>
        <v>1</v>
      </c>
      <c r="F6561" t="str">
        <f t="shared" si="1173"/>
        <v>COM</v>
      </c>
      <c r="G6561" t="str">
        <f>"GABRIEL PACHECO DE QUEIROZ NARCISO (812)"</f>
        <v>GABRIEL PACHECO DE QUEIROZ NARCISO (812)</v>
      </c>
      <c r="H6561" t="s">
        <v>1782</v>
      </c>
      <c r="I6561" t="str">
        <f t="shared" si="1177"/>
        <v>16/10/2025</v>
      </c>
      <c r="J6561" t="str">
        <f t="shared" si="1180"/>
        <v>13/10/2025</v>
      </c>
      <c r="K6561">
        <v>45946</v>
      </c>
      <c r="N6561">
        <v>109</v>
      </c>
      <c r="O6561" t="s">
        <v>24</v>
      </c>
      <c r="Q6561">
        <v>702.45</v>
      </c>
      <c r="R6561" t="str">
        <f>"DROGARIA ANA VISCONDE DO RIO BRANCO (10182)"</f>
        <v>DROGARIA ANA VISCONDE DO RIO BRANCO (10182)</v>
      </c>
      <c r="S6561" t="s">
        <v>77</v>
      </c>
      <c r="T6561">
        <v>19790</v>
      </c>
      <c r="U6561">
        <v>23553</v>
      </c>
      <c r="V6561" t="s">
        <v>77</v>
      </c>
    </row>
    <row r="6562" spans="1:22">
      <c r="A6562" t="str">
        <f t="shared" si="1174"/>
        <v>16/10/2025</v>
      </c>
      <c r="B6562" t="str">
        <f t="shared" si="1175"/>
        <v>SAÍDA</v>
      </c>
      <c r="C6562" t="str">
        <f t="shared" si="1176"/>
        <v>PIX</v>
      </c>
      <c r="D6562" t="str">
        <f>"23554"</f>
        <v>23554</v>
      </c>
      <c r="E6562" t="str">
        <f t="shared" si="1178"/>
        <v>1</v>
      </c>
      <c r="F6562" t="str">
        <f t="shared" si="1173"/>
        <v>COM</v>
      </c>
      <c r="G6562" t="str">
        <f>"WASHINGTON VALERIO DE SOUZA (888)"</f>
        <v>WASHINGTON VALERIO DE SOUZA (888)</v>
      </c>
      <c r="H6562" t="str">
        <f>"Serv.Prest. 06/10/2025 a 12/10/2025 - PIX: CPF - CHAVE: 080.965.696-51"</f>
        <v>Serv.Prest. 06/10/2025 a 12/10/2025 - PIX: CPF - CHAVE: 080.965.696-51</v>
      </c>
      <c r="I6562" t="str">
        <f t="shared" si="1177"/>
        <v>16/10/2025</v>
      </c>
      <c r="J6562" t="str">
        <f t="shared" si="1180"/>
        <v>13/10/2025</v>
      </c>
      <c r="K6562" t="str">
        <f>("16/10/2025")</f>
        <v>16/10/2025</v>
      </c>
      <c r="L6562">
        <v>702.45</v>
      </c>
      <c r="M6562">
        <v>702.45</v>
      </c>
      <c r="N6562">
        <v>109</v>
      </c>
      <c r="O6562" t="str">
        <f>"PAGAMENTO DE ENTREGADORES"</f>
        <v>PAGAMENTO DE ENTREGADORES</v>
      </c>
      <c r="P6562">
        <v>702.45</v>
      </c>
      <c r="S6562" t="str">
        <f>"BANCO C6 (149)"</f>
        <v>BANCO C6 (149)</v>
      </c>
      <c r="T6562">
        <v>19791</v>
      </c>
      <c r="U6562">
        <v>23554</v>
      </c>
      <c r="V6562" t="s">
        <v>77</v>
      </c>
    </row>
    <row r="6563" spans="1:22">
      <c r="A6563" t="str">
        <f t="shared" si="1174"/>
        <v>16/10/2025</v>
      </c>
      <c r="B6563" t="str">
        <f t="shared" si="1175"/>
        <v>SAÍDA</v>
      </c>
      <c r="C6563" t="str">
        <f t="shared" si="1176"/>
        <v>PIX</v>
      </c>
      <c r="D6563" t="str">
        <f>"23554"</f>
        <v>23554</v>
      </c>
      <c r="E6563" t="str">
        <f t="shared" si="1178"/>
        <v>1</v>
      </c>
      <c r="F6563" t="str">
        <f t="shared" si="1173"/>
        <v>COM</v>
      </c>
      <c r="G6563" t="str">
        <f>"WASHINGTON VALERIO DE SOUZA (888)"</f>
        <v>WASHINGTON VALERIO DE SOUZA (888)</v>
      </c>
      <c r="H6563" t="s">
        <v>1783</v>
      </c>
      <c r="I6563" t="str">
        <f t="shared" si="1177"/>
        <v>16/10/2025</v>
      </c>
      <c r="J6563" t="str">
        <f t="shared" si="1180"/>
        <v>13/10/2025</v>
      </c>
      <c r="K6563">
        <v>45946</v>
      </c>
      <c r="N6563">
        <v>109</v>
      </c>
      <c r="O6563" t="s">
        <v>24</v>
      </c>
      <c r="Q6563">
        <v>702.45</v>
      </c>
      <c r="R6563" t="str">
        <f>"DROGARIA ANA VISCONDE DO RIO BRANCO (10182)"</f>
        <v>DROGARIA ANA VISCONDE DO RIO BRANCO (10182)</v>
      </c>
      <c r="S6563" t="s">
        <v>77</v>
      </c>
      <c r="T6563">
        <v>19791</v>
      </c>
      <c r="U6563">
        <v>23554</v>
      </c>
      <c r="V6563" t="s">
        <v>77</v>
      </c>
    </row>
    <row r="6564" spans="1:22">
      <c r="A6564" t="str">
        <f t="shared" si="1174"/>
        <v>16/10/2025</v>
      </c>
      <c r="B6564" t="str">
        <f t="shared" si="1175"/>
        <v>SAÍDA</v>
      </c>
      <c r="C6564" t="str">
        <f t="shared" si="1176"/>
        <v>PIX</v>
      </c>
      <c r="D6564" t="str">
        <f>"23556"</f>
        <v>23556</v>
      </c>
      <c r="E6564" t="str">
        <f t="shared" si="1178"/>
        <v>1</v>
      </c>
      <c r="F6564" t="str">
        <f t="shared" si="1173"/>
        <v>COM</v>
      </c>
      <c r="G6564" t="str">
        <f>"ISAEL SANTOS ROSA (642)"</f>
        <v>ISAEL SANTOS ROSA (642)</v>
      </c>
      <c r="H6564" t="str">
        <f>"Serv.Prest. 06/10/2025 a 12/10/2025 - PIX: CELULAR - CHAVE: (31) 99376-7989"</f>
        <v>Serv.Prest. 06/10/2025 a 12/10/2025 - PIX: CELULAR - CHAVE: (31) 99376-7989</v>
      </c>
      <c r="I6564" t="str">
        <f t="shared" si="1177"/>
        <v>16/10/2025</v>
      </c>
      <c r="J6564" t="str">
        <f t="shared" si="1180"/>
        <v>13/10/2025</v>
      </c>
      <c r="K6564" t="str">
        <f>("16/10/2025")</f>
        <v>16/10/2025</v>
      </c>
      <c r="L6564">
        <v>1400</v>
      </c>
      <c r="M6564">
        <v>1400</v>
      </c>
      <c r="N6564">
        <v>109</v>
      </c>
      <c r="O6564" t="str">
        <f>"PAGAMENTO DE ENTREGADORES"</f>
        <v>PAGAMENTO DE ENTREGADORES</v>
      </c>
      <c r="P6564">
        <v>1400</v>
      </c>
      <c r="S6564" t="str">
        <f>"BANCO C6 (149)"</f>
        <v>BANCO C6 (149)</v>
      </c>
      <c r="T6564">
        <v>19792</v>
      </c>
      <c r="U6564">
        <v>23556</v>
      </c>
      <c r="V6564" t="s">
        <v>77</v>
      </c>
    </row>
    <row r="6565" spans="1:22">
      <c r="A6565" t="str">
        <f t="shared" si="1174"/>
        <v>16/10/2025</v>
      </c>
      <c r="B6565" t="str">
        <f t="shared" si="1175"/>
        <v>SAÍDA</v>
      </c>
      <c r="C6565" t="str">
        <f t="shared" si="1176"/>
        <v>PIX</v>
      </c>
      <c r="D6565" t="str">
        <f>"23556"</f>
        <v>23556</v>
      </c>
      <c r="E6565" t="str">
        <f t="shared" si="1178"/>
        <v>1</v>
      </c>
      <c r="F6565" t="str">
        <f t="shared" si="1173"/>
        <v>COM</v>
      </c>
      <c r="G6565" t="str">
        <f>"ISAEL SANTOS ROSA (642)"</f>
        <v>ISAEL SANTOS ROSA (642)</v>
      </c>
      <c r="H6565" t="s">
        <v>1784</v>
      </c>
      <c r="I6565" t="str">
        <f t="shared" si="1177"/>
        <v>16/10/2025</v>
      </c>
      <c r="J6565" t="str">
        <f t="shared" si="1180"/>
        <v>13/10/2025</v>
      </c>
      <c r="K6565">
        <v>45946</v>
      </c>
      <c r="N6565">
        <v>109</v>
      </c>
      <c r="O6565" t="s">
        <v>24</v>
      </c>
      <c r="Q6565">
        <v>1400</v>
      </c>
      <c r="R6565" t="str">
        <f>"DROGARIA POUPA MINAS (ULTRAMINAS) 3 (10129)"</f>
        <v>DROGARIA POUPA MINAS (ULTRAMINAS) 3 (10129)</v>
      </c>
      <c r="S6565" t="s">
        <v>77</v>
      </c>
      <c r="T6565">
        <v>19792</v>
      </c>
      <c r="U6565">
        <v>23556</v>
      </c>
      <c r="V6565" t="s">
        <v>77</v>
      </c>
    </row>
    <row r="6566" spans="1:22">
      <c r="A6566" t="str">
        <f t="shared" si="1174"/>
        <v>16/10/2025</v>
      </c>
      <c r="B6566" t="str">
        <f t="shared" si="1175"/>
        <v>SAÍDA</v>
      </c>
      <c r="C6566" t="str">
        <f t="shared" si="1176"/>
        <v>PIX</v>
      </c>
      <c r="D6566" t="str">
        <f>"23558"</f>
        <v>23558</v>
      </c>
      <c r="E6566" t="str">
        <f t="shared" si="1178"/>
        <v>1</v>
      </c>
      <c r="F6566" t="str">
        <f t="shared" si="1173"/>
        <v>COM</v>
      </c>
      <c r="G6566" t="str">
        <f>"JAMERSON SOUZA LOPES (749)"</f>
        <v>JAMERSON SOUZA LOPES (749)</v>
      </c>
      <c r="H6566" t="str">
        <f>"Serv.Prest. 06/10/2025 a 12/10/2025 - PIX: CPF - CHAVE: 423.098.018-36"</f>
        <v>Serv.Prest. 06/10/2025 a 12/10/2025 - PIX: CPF - CHAVE: 423.098.018-36</v>
      </c>
      <c r="I6566" t="str">
        <f t="shared" si="1177"/>
        <v>16/10/2025</v>
      </c>
      <c r="J6566" t="str">
        <f t="shared" si="1180"/>
        <v>13/10/2025</v>
      </c>
      <c r="K6566" t="str">
        <f>("16/10/2025")</f>
        <v>16/10/2025</v>
      </c>
      <c r="L6566">
        <v>705</v>
      </c>
      <c r="M6566">
        <v>705</v>
      </c>
      <c r="N6566">
        <v>109</v>
      </c>
      <c r="O6566" t="str">
        <f>"PAGAMENTO DE ENTREGADORES"</f>
        <v>PAGAMENTO DE ENTREGADORES</v>
      </c>
      <c r="P6566">
        <v>705</v>
      </c>
      <c r="S6566" t="str">
        <f>"BANCO C6 (149)"</f>
        <v>BANCO C6 (149)</v>
      </c>
      <c r="T6566">
        <v>19793</v>
      </c>
      <c r="U6566">
        <v>23558</v>
      </c>
      <c r="V6566" t="s">
        <v>77</v>
      </c>
    </row>
    <row r="6567" spans="1:22">
      <c r="A6567" t="str">
        <f t="shared" si="1174"/>
        <v>16/10/2025</v>
      </c>
      <c r="B6567" t="str">
        <f t="shared" si="1175"/>
        <v>SAÍDA</v>
      </c>
      <c r="C6567" t="str">
        <f t="shared" si="1176"/>
        <v>PIX</v>
      </c>
      <c r="D6567" t="str">
        <f>"23558"</f>
        <v>23558</v>
      </c>
      <c r="E6567" t="str">
        <f t="shared" si="1178"/>
        <v>1</v>
      </c>
      <c r="F6567" t="str">
        <f t="shared" si="1173"/>
        <v>COM</v>
      </c>
      <c r="G6567" t="str">
        <f>"JAMERSON SOUZA LOPES (749)"</f>
        <v>JAMERSON SOUZA LOPES (749)</v>
      </c>
      <c r="H6567" t="s">
        <v>1352</v>
      </c>
      <c r="I6567" t="str">
        <f t="shared" si="1177"/>
        <v>16/10/2025</v>
      </c>
      <c r="J6567" t="str">
        <f t="shared" si="1180"/>
        <v>13/10/2025</v>
      </c>
      <c r="K6567">
        <v>45946</v>
      </c>
      <c r="N6567">
        <v>109</v>
      </c>
      <c r="O6567" t="s">
        <v>24</v>
      </c>
      <c r="Q6567">
        <v>705</v>
      </c>
      <c r="R6567" t="str">
        <f>"DROGARIA TOTAL JUNDIAI (10177)"</f>
        <v>DROGARIA TOTAL JUNDIAI (10177)</v>
      </c>
      <c r="S6567" t="s">
        <v>77</v>
      </c>
      <c r="T6567">
        <v>19793</v>
      </c>
      <c r="U6567">
        <v>23558</v>
      </c>
      <c r="V6567" t="s">
        <v>77</v>
      </c>
    </row>
    <row r="6568" spans="1:22">
      <c r="A6568" t="str">
        <f t="shared" si="1174"/>
        <v>16/10/2025</v>
      </c>
      <c r="B6568" t="str">
        <f t="shared" si="1175"/>
        <v>SAÍDA</v>
      </c>
      <c r="C6568" t="str">
        <f t="shared" si="1176"/>
        <v>PIX</v>
      </c>
      <c r="D6568" t="str">
        <f>"23560"</f>
        <v>23560</v>
      </c>
      <c r="E6568" t="str">
        <f t="shared" si="1178"/>
        <v>1</v>
      </c>
      <c r="F6568" t="str">
        <f t="shared" si="1173"/>
        <v>COM</v>
      </c>
      <c r="G6568" t="str">
        <f>"ARLINDO COSTA FELIX (754)"</f>
        <v>ARLINDO COSTA FELIX (754)</v>
      </c>
      <c r="H6568" t="str">
        <f>"Serv.Prest. 06/10/2025 a 12/10/2025 - PIX: CPF - CHAVE: 103.983.366-79"</f>
        <v>Serv.Prest. 06/10/2025 a 12/10/2025 - PIX: CPF - CHAVE: 103.983.366-79</v>
      </c>
      <c r="I6568" t="str">
        <f t="shared" si="1177"/>
        <v>16/10/2025</v>
      </c>
      <c r="J6568" t="str">
        <f t="shared" si="1180"/>
        <v>13/10/2025</v>
      </c>
      <c r="K6568" t="str">
        <f>("16/10/2025")</f>
        <v>16/10/2025</v>
      </c>
      <c r="L6568">
        <v>978</v>
      </c>
      <c r="M6568">
        <v>978</v>
      </c>
      <c r="N6568">
        <v>109</v>
      </c>
      <c r="O6568" t="str">
        <f>"PAGAMENTO DE ENTREGADORES"</f>
        <v>PAGAMENTO DE ENTREGADORES</v>
      </c>
      <c r="P6568">
        <v>978</v>
      </c>
      <c r="S6568" t="str">
        <f>"BANCO C6 (149)"</f>
        <v>BANCO C6 (149)</v>
      </c>
      <c r="T6568">
        <v>19794</v>
      </c>
      <c r="U6568">
        <v>23560</v>
      </c>
      <c r="V6568" t="s">
        <v>77</v>
      </c>
    </row>
    <row r="6569" spans="1:22">
      <c r="A6569" t="str">
        <f t="shared" si="1174"/>
        <v>16/10/2025</v>
      </c>
      <c r="B6569" t="str">
        <f t="shared" si="1175"/>
        <v>SAÍDA</v>
      </c>
      <c r="C6569" t="str">
        <f t="shared" si="1176"/>
        <v>PIX</v>
      </c>
      <c r="D6569" t="str">
        <f>"23560"</f>
        <v>23560</v>
      </c>
      <c r="E6569" t="str">
        <f t="shared" si="1178"/>
        <v>1</v>
      </c>
      <c r="F6569" t="str">
        <f t="shared" si="1173"/>
        <v>COM</v>
      </c>
      <c r="G6569" t="str">
        <f>"ARLINDO COSTA FELIX (754)"</f>
        <v>ARLINDO COSTA FELIX (754)</v>
      </c>
      <c r="H6569" t="s">
        <v>1785</v>
      </c>
      <c r="I6569" t="str">
        <f t="shared" si="1177"/>
        <v>16/10/2025</v>
      </c>
      <c r="J6569" t="str">
        <f t="shared" si="1180"/>
        <v>13/10/2025</v>
      </c>
      <c r="K6569">
        <v>45946</v>
      </c>
      <c r="N6569">
        <v>109</v>
      </c>
      <c r="O6569" t="s">
        <v>24</v>
      </c>
      <c r="Q6569">
        <v>978</v>
      </c>
      <c r="R6569" t="str">
        <f>"ENTREFARMA (10164)"</f>
        <v>ENTREFARMA (10164)</v>
      </c>
      <c r="S6569" t="s">
        <v>77</v>
      </c>
      <c r="T6569">
        <v>19794</v>
      </c>
      <c r="U6569">
        <v>23560</v>
      </c>
      <c r="V6569" t="s">
        <v>77</v>
      </c>
    </row>
    <row r="6570" spans="1:22">
      <c r="A6570" t="str">
        <f t="shared" si="1174"/>
        <v>16/10/2025</v>
      </c>
      <c r="B6570" t="str">
        <f t="shared" si="1175"/>
        <v>SAÍDA</v>
      </c>
      <c r="C6570" t="str">
        <f t="shared" si="1176"/>
        <v>PIX</v>
      </c>
      <c r="D6570" t="str">
        <f>"23561"</f>
        <v>23561</v>
      </c>
      <c r="E6570" t="str">
        <f t="shared" si="1178"/>
        <v>1</v>
      </c>
      <c r="F6570" t="str">
        <f t="shared" ref="F6570:F6633" si="1181">"COM"</f>
        <v>COM</v>
      </c>
      <c r="G6570" t="str">
        <f>"LEONICIO CORREA DA SILVA (716)"</f>
        <v>LEONICIO CORREA DA SILVA (716)</v>
      </c>
      <c r="H6570" t="str">
        <f>"Serv.Prest. 06/10/2025 a 12/10/2025 - PIX: CPF - CHAVE: 138.263.636-98"</f>
        <v>Serv.Prest. 06/10/2025 a 12/10/2025 - PIX: CPF - CHAVE: 138.263.636-98</v>
      </c>
      <c r="I6570" t="str">
        <f t="shared" si="1177"/>
        <v>16/10/2025</v>
      </c>
      <c r="J6570" t="str">
        <f t="shared" si="1180"/>
        <v>13/10/2025</v>
      </c>
      <c r="K6570" t="str">
        <f>("16/10/2025")</f>
        <v>16/10/2025</v>
      </c>
      <c r="L6570">
        <v>1116</v>
      </c>
      <c r="M6570">
        <v>1116</v>
      </c>
      <c r="N6570">
        <v>109</v>
      </c>
      <c r="O6570" t="str">
        <f>"PAGAMENTO DE ENTREGADORES"</f>
        <v>PAGAMENTO DE ENTREGADORES</v>
      </c>
      <c r="P6570">
        <v>1116</v>
      </c>
      <c r="S6570" t="str">
        <f>"BANCO C6 (149)"</f>
        <v>BANCO C6 (149)</v>
      </c>
      <c r="T6570">
        <v>19795</v>
      </c>
      <c r="U6570">
        <v>23561</v>
      </c>
      <c r="V6570" t="s">
        <v>77</v>
      </c>
    </row>
    <row r="6571" spans="1:22">
      <c r="A6571" t="str">
        <f t="shared" si="1174"/>
        <v>16/10/2025</v>
      </c>
      <c r="B6571" t="str">
        <f t="shared" si="1175"/>
        <v>SAÍDA</v>
      </c>
      <c r="C6571" t="str">
        <f t="shared" si="1176"/>
        <v>PIX</v>
      </c>
      <c r="D6571" t="str">
        <f>"23561"</f>
        <v>23561</v>
      </c>
      <c r="E6571" t="str">
        <f t="shared" si="1178"/>
        <v>1</v>
      </c>
      <c r="F6571" t="str">
        <f t="shared" si="1181"/>
        <v>COM</v>
      </c>
      <c r="G6571" t="str">
        <f>"LEONICIO CORREA DA SILVA (716)"</f>
        <v>LEONICIO CORREA DA SILVA (716)</v>
      </c>
      <c r="H6571" t="s">
        <v>1786</v>
      </c>
      <c r="I6571" t="str">
        <f t="shared" si="1177"/>
        <v>16/10/2025</v>
      </c>
      <c r="J6571" t="str">
        <f t="shared" si="1180"/>
        <v>13/10/2025</v>
      </c>
      <c r="K6571">
        <v>45946</v>
      </c>
      <c r="N6571">
        <v>109</v>
      </c>
      <c r="O6571" t="s">
        <v>24</v>
      </c>
      <c r="Q6571">
        <v>1116</v>
      </c>
      <c r="R6571" t="str">
        <f>"ENTREFARMA (10164)"</f>
        <v>ENTREFARMA (10164)</v>
      </c>
      <c r="S6571" t="s">
        <v>77</v>
      </c>
      <c r="T6571">
        <v>19795</v>
      </c>
      <c r="U6571">
        <v>23561</v>
      </c>
      <c r="V6571" t="s">
        <v>77</v>
      </c>
    </row>
    <row r="6572" spans="1:22">
      <c r="A6572" t="str">
        <f t="shared" si="1174"/>
        <v>16/10/2025</v>
      </c>
      <c r="B6572" t="str">
        <f t="shared" si="1175"/>
        <v>SAÍDA</v>
      </c>
      <c r="C6572" t="str">
        <f t="shared" si="1176"/>
        <v>PIX</v>
      </c>
      <c r="D6572" t="str">
        <f>"23562"</f>
        <v>23562</v>
      </c>
      <c r="E6572" t="str">
        <f t="shared" si="1178"/>
        <v>1</v>
      </c>
      <c r="F6572" t="str">
        <f t="shared" si="1181"/>
        <v>COM</v>
      </c>
      <c r="G6572" t="str">
        <f>"SADRAK ENOKES BORGES (725)"</f>
        <v>SADRAK ENOKES BORGES (725)</v>
      </c>
      <c r="H6572" t="str">
        <f>"Serv.Prest. 06/10/2025 a 12/10/2025 - PIX: CPF - CHAVE: 128.367.756-37"</f>
        <v>Serv.Prest. 06/10/2025 a 12/10/2025 - PIX: CPF - CHAVE: 128.367.756-37</v>
      </c>
      <c r="I6572" t="str">
        <f t="shared" si="1177"/>
        <v>16/10/2025</v>
      </c>
      <c r="J6572" t="str">
        <f t="shared" si="1180"/>
        <v>13/10/2025</v>
      </c>
      <c r="K6572" t="str">
        <f>("16/10/2025")</f>
        <v>16/10/2025</v>
      </c>
      <c r="L6572">
        <v>1086</v>
      </c>
      <c r="M6572">
        <v>1086</v>
      </c>
      <c r="N6572">
        <v>109</v>
      </c>
      <c r="O6572" t="str">
        <f>"PAGAMENTO DE ENTREGADORES"</f>
        <v>PAGAMENTO DE ENTREGADORES</v>
      </c>
      <c r="P6572">
        <v>1086</v>
      </c>
      <c r="S6572" t="str">
        <f>"BANCO C6 (149)"</f>
        <v>BANCO C6 (149)</v>
      </c>
      <c r="T6572">
        <v>19796</v>
      </c>
      <c r="U6572">
        <v>23562</v>
      </c>
      <c r="V6572" t="s">
        <v>77</v>
      </c>
    </row>
    <row r="6573" spans="1:22">
      <c r="A6573" t="str">
        <f t="shared" si="1174"/>
        <v>16/10/2025</v>
      </c>
      <c r="B6573" t="str">
        <f t="shared" si="1175"/>
        <v>SAÍDA</v>
      </c>
      <c r="C6573" t="str">
        <f t="shared" si="1176"/>
        <v>PIX</v>
      </c>
      <c r="D6573" t="str">
        <f>"23562"</f>
        <v>23562</v>
      </c>
      <c r="E6573" t="str">
        <f t="shared" si="1178"/>
        <v>1</v>
      </c>
      <c r="F6573" t="str">
        <f t="shared" si="1181"/>
        <v>COM</v>
      </c>
      <c r="G6573" t="str">
        <f>"SADRAK ENOKES BORGES (725)"</f>
        <v>SADRAK ENOKES BORGES (725)</v>
      </c>
      <c r="H6573" t="s">
        <v>1787</v>
      </c>
      <c r="I6573" t="str">
        <f t="shared" si="1177"/>
        <v>16/10/2025</v>
      </c>
      <c r="J6573" t="str">
        <f t="shared" si="1180"/>
        <v>13/10/2025</v>
      </c>
      <c r="K6573">
        <v>45946</v>
      </c>
      <c r="N6573">
        <v>109</v>
      </c>
      <c r="O6573" t="s">
        <v>24</v>
      </c>
      <c r="Q6573">
        <v>1086</v>
      </c>
      <c r="R6573" t="str">
        <f>"ENTREFARMA (10164)"</f>
        <v>ENTREFARMA (10164)</v>
      </c>
      <c r="S6573" t="s">
        <v>77</v>
      </c>
      <c r="T6573">
        <v>19796</v>
      </c>
      <c r="U6573">
        <v>23562</v>
      </c>
      <c r="V6573" t="s">
        <v>77</v>
      </c>
    </row>
    <row r="6574" spans="1:22">
      <c r="A6574" t="str">
        <f t="shared" si="1174"/>
        <v>16/10/2025</v>
      </c>
      <c r="B6574" t="str">
        <f t="shared" si="1175"/>
        <v>SAÍDA</v>
      </c>
      <c r="C6574" t="str">
        <f t="shared" si="1176"/>
        <v>PIX</v>
      </c>
      <c r="D6574" t="str">
        <f>"23563"</f>
        <v>23563</v>
      </c>
      <c r="E6574" t="str">
        <f t="shared" si="1178"/>
        <v>1</v>
      </c>
      <c r="F6574" t="str">
        <f t="shared" si="1181"/>
        <v>COM</v>
      </c>
      <c r="G6574" t="str">
        <f>"WENDERSON GOMES (708)"</f>
        <v>WENDERSON GOMES (708)</v>
      </c>
      <c r="H6574" t="str">
        <f>"Serv.Prest. 06/10/2025 a 12/10/2025 - PIX: CPF - CHAVE: 147.592.156-03"</f>
        <v>Serv.Prest. 06/10/2025 a 12/10/2025 - PIX: CPF - CHAVE: 147.592.156-03</v>
      </c>
      <c r="I6574" t="str">
        <f t="shared" si="1177"/>
        <v>16/10/2025</v>
      </c>
      <c r="J6574" t="str">
        <f t="shared" si="1180"/>
        <v>13/10/2025</v>
      </c>
      <c r="K6574" t="str">
        <f>("16/10/2025")</f>
        <v>16/10/2025</v>
      </c>
      <c r="L6574">
        <v>1626</v>
      </c>
      <c r="M6574">
        <v>1626</v>
      </c>
      <c r="N6574">
        <v>109</v>
      </c>
      <c r="O6574" t="str">
        <f>"PAGAMENTO DE ENTREGADORES"</f>
        <v>PAGAMENTO DE ENTREGADORES</v>
      </c>
      <c r="P6574">
        <v>1626</v>
      </c>
      <c r="S6574" t="str">
        <f>"BANCO C6 (149)"</f>
        <v>BANCO C6 (149)</v>
      </c>
      <c r="T6574">
        <v>19797</v>
      </c>
      <c r="U6574">
        <v>23563</v>
      </c>
      <c r="V6574" t="s">
        <v>77</v>
      </c>
    </row>
    <row r="6575" spans="1:22">
      <c r="A6575" t="str">
        <f t="shared" si="1174"/>
        <v>16/10/2025</v>
      </c>
      <c r="B6575" t="str">
        <f t="shared" si="1175"/>
        <v>SAÍDA</v>
      </c>
      <c r="C6575" t="str">
        <f t="shared" si="1176"/>
        <v>PIX</v>
      </c>
      <c r="D6575" t="str">
        <f>"23563"</f>
        <v>23563</v>
      </c>
      <c r="E6575" t="str">
        <f t="shared" si="1178"/>
        <v>1</v>
      </c>
      <c r="F6575" t="str">
        <f t="shared" si="1181"/>
        <v>COM</v>
      </c>
      <c r="G6575" t="str">
        <f>"WENDERSON GOMES (708)"</f>
        <v>WENDERSON GOMES (708)</v>
      </c>
      <c r="H6575" t="s">
        <v>1788</v>
      </c>
      <c r="I6575" t="str">
        <f t="shared" si="1177"/>
        <v>16/10/2025</v>
      </c>
      <c r="J6575" t="str">
        <f t="shared" si="1180"/>
        <v>13/10/2025</v>
      </c>
      <c r="K6575">
        <v>45946</v>
      </c>
      <c r="N6575">
        <v>109</v>
      </c>
      <c r="O6575" t="s">
        <v>24</v>
      </c>
      <c r="Q6575">
        <v>1626</v>
      </c>
      <c r="R6575" t="str">
        <f>"ENTREFARMA (10164)"</f>
        <v>ENTREFARMA (10164)</v>
      </c>
      <c r="S6575" t="s">
        <v>77</v>
      </c>
      <c r="T6575">
        <v>19797</v>
      </c>
      <c r="U6575">
        <v>23563</v>
      </c>
      <c r="V6575" t="s">
        <v>77</v>
      </c>
    </row>
    <row r="6576" spans="1:22">
      <c r="A6576" t="str">
        <f t="shared" si="1174"/>
        <v>16/10/2025</v>
      </c>
      <c r="B6576" t="str">
        <f t="shared" si="1175"/>
        <v>SAÍDA</v>
      </c>
      <c r="C6576" t="str">
        <f t="shared" si="1176"/>
        <v>PIX</v>
      </c>
      <c r="D6576" t="str">
        <f>"23779"</f>
        <v>23779</v>
      </c>
      <c r="E6576" t="str">
        <f t="shared" si="1178"/>
        <v>1</v>
      </c>
      <c r="F6576" t="str">
        <f t="shared" si="1181"/>
        <v>COM</v>
      </c>
      <c r="G6576" t="str">
        <f>"FABRICIO QUEIROZ DE OLIVEIRA (788)"</f>
        <v>FABRICIO QUEIROZ DE OLIVEIRA (788)</v>
      </c>
      <c r="H6576" t="str">
        <f>"Serv.Prest. 06/10/2025 a 12/10/2025 - PIX: CPF - CHAVE: 138.798.486-10"</f>
        <v>Serv.Prest. 06/10/2025 a 12/10/2025 - PIX: CPF - CHAVE: 138.798.486-10</v>
      </c>
      <c r="I6576" t="str">
        <f t="shared" si="1177"/>
        <v>16/10/2025</v>
      </c>
      <c r="J6576" t="str">
        <f>("14/10/2025")</f>
        <v>14/10/2025</v>
      </c>
      <c r="K6576" t="str">
        <f>("16/10/2025")</f>
        <v>16/10/2025</v>
      </c>
      <c r="L6576">
        <v>700</v>
      </c>
      <c r="M6576">
        <v>700</v>
      </c>
      <c r="N6576">
        <v>109</v>
      </c>
      <c r="O6576" t="str">
        <f>"PAGAMENTO DE ENTREGADORES"</f>
        <v>PAGAMENTO DE ENTREGADORES</v>
      </c>
      <c r="P6576">
        <v>700</v>
      </c>
      <c r="S6576" t="str">
        <f>"BANCO C6 (149)"</f>
        <v>BANCO C6 (149)</v>
      </c>
      <c r="T6576">
        <v>19798</v>
      </c>
      <c r="U6576">
        <v>23779</v>
      </c>
      <c r="V6576" t="s">
        <v>77</v>
      </c>
    </row>
    <row r="6577" spans="1:22">
      <c r="A6577" t="str">
        <f t="shared" si="1174"/>
        <v>16/10/2025</v>
      </c>
      <c r="B6577" t="str">
        <f t="shared" si="1175"/>
        <v>SAÍDA</v>
      </c>
      <c r="C6577" t="str">
        <f t="shared" si="1176"/>
        <v>PIX</v>
      </c>
      <c r="D6577" t="str">
        <f>"23779"</f>
        <v>23779</v>
      </c>
      <c r="E6577" t="str">
        <f t="shared" si="1178"/>
        <v>1</v>
      </c>
      <c r="F6577" t="str">
        <f t="shared" si="1181"/>
        <v>COM</v>
      </c>
      <c r="G6577" t="str">
        <f>"FABRICIO QUEIROZ DE OLIVEIRA (788)"</f>
        <v>FABRICIO QUEIROZ DE OLIVEIRA (788)</v>
      </c>
      <c r="H6577" t="s">
        <v>1789</v>
      </c>
      <c r="I6577" t="str">
        <f t="shared" si="1177"/>
        <v>16/10/2025</v>
      </c>
      <c r="J6577" t="str">
        <f>("14/10/2025")</f>
        <v>14/10/2025</v>
      </c>
      <c r="K6577">
        <v>45946</v>
      </c>
      <c r="N6577">
        <v>109</v>
      </c>
      <c r="O6577" t="s">
        <v>24</v>
      </c>
      <c r="Q6577">
        <v>700</v>
      </c>
      <c r="R6577" t="str">
        <f>"FRAN FARMA LJ 2 (10131)"</f>
        <v>FRAN FARMA LJ 2 (10131)</v>
      </c>
      <c r="S6577" t="s">
        <v>77</v>
      </c>
      <c r="T6577">
        <v>19798</v>
      </c>
      <c r="U6577">
        <v>23779</v>
      </c>
      <c r="V6577" t="s">
        <v>77</v>
      </c>
    </row>
    <row r="6578" spans="1:22">
      <c r="A6578" t="str">
        <f t="shared" si="1174"/>
        <v>16/10/2025</v>
      </c>
      <c r="B6578" t="str">
        <f t="shared" si="1175"/>
        <v>SAÍDA</v>
      </c>
      <c r="C6578" t="str">
        <f t="shared" si="1176"/>
        <v>PIX</v>
      </c>
      <c r="D6578" t="str">
        <f>"23567"</f>
        <v>23567</v>
      </c>
      <c r="E6578" t="str">
        <f t="shared" si="1178"/>
        <v>1</v>
      </c>
      <c r="F6578" t="str">
        <f t="shared" si="1181"/>
        <v>COM</v>
      </c>
      <c r="G6578" t="str">
        <f>"SAMUEL SOARES DA SILVA (867)"</f>
        <v>SAMUEL SOARES DA SILVA (867)</v>
      </c>
      <c r="H6578" t="str">
        <f>"Serv.Prest. 06/10/2025 a 12/10/2025 - PIX: CPF - CHAVE: 396.124.108-28"</f>
        <v>Serv.Prest. 06/10/2025 a 12/10/2025 - PIX: CPF - CHAVE: 396.124.108-28</v>
      </c>
      <c r="I6578" t="str">
        <f t="shared" si="1177"/>
        <v>16/10/2025</v>
      </c>
      <c r="J6578" t="str">
        <f t="shared" ref="J6578:J6612" si="1182">("13/10/2025")</f>
        <v>13/10/2025</v>
      </c>
      <c r="K6578" t="str">
        <f>("16/10/2025")</f>
        <v>16/10/2025</v>
      </c>
      <c r="L6578">
        <v>1408.75</v>
      </c>
      <c r="M6578">
        <v>1408.75</v>
      </c>
      <c r="N6578">
        <v>109</v>
      </c>
      <c r="O6578" t="str">
        <f>"PAGAMENTO DE ENTREGADORES"</f>
        <v>PAGAMENTO DE ENTREGADORES</v>
      </c>
      <c r="P6578">
        <v>1408.75</v>
      </c>
      <c r="S6578" t="str">
        <f>"BANCO C6 (149)"</f>
        <v>BANCO C6 (149)</v>
      </c>
      <c r="T6578">
        <v>19799</v>
      </c>
      <c r="U6578">
        <v>23567</v>
      </c>
      <c r="V6578" t="s">
        <v>77</v>
      </c>
    </row>
    <row r="6579" spans="1:22">
      <c r="A6579" t="str">
        <f t="shared" si="1174"/>
        <v>16/10/2025</v>
      </c>
      <c r="B6579" t="str">
        <f t="shared" si="1175"/>
        <v>SAÍDA</v>
      </c>
      <c r="C6579" t="str">
        <f t="shared" si="1176"/>
        <v>PIX</v>
      </c>
      <c r="D6579" t="str">
        <f>"23567"</f>
        <v>23567</v>
      </c>
      <c r="E6579" t="str">
        <f t="shared" si="1178"/>
        <v>1</v>
      </c>
      <c r="F6579" t="str">
        <f t="shared" si="1181"/>
        <v>COM</v>
      </c>
      <c r="G6579" t="str">
        <f>"SAMUEL SOARES DA SILVA (867)"</f>
        <v>SAMUEL SOARES DA SILVA (867)</v>
      </c>
      <c r="H6579" t="s">
        <v>1600</v>
      </c>
      <c r="I6579" t="str">
        <f t="shared" si="1177"/>
        <v>16/10/2025</v>
      </c>
      <c r="J6579" t="str">
        <f t="shared" si="1182"/>
        <v>13/10/2025</v>
      </c>
      <c r="K6579">
        <v>45946</v>
      </c>
      <c r="N6579">
        <v>109</v>
      </c>
      <c r="O6579" t="s">
        <v>24</v>
      </c>
      <c r="Q6579">
        <v>1408.75</v>
      </c>
      <c r="R6579" t="str">
        <f>"DROGA ELIDA (10121)"</f>
        <v>DROGA ELIDA (10121)</v>
      </c>
      <c r="S6579" t="s">
        <v>77</v>
      </c>
      <c r="T6579">
        <v>19799</v>
      </c>
      <c r="U6579">
        <v>23567</v>
      </c>
      <c r="V6579" t="s">
        <v>77</v>
      </c>
    </row>
    <row r="6580" spans="1:22">
      <c r="A6580" t="str">
        <f t="shared" si="1174"/>
        <v>16/10/2025</v>
      </c>
      <c r="B6580" t="str">
        <f t="shared" si="1175"/>
        <v>SAÍDA</v>
      </c>
      <c r="C6580" t="str">
        <f t="shared" si="1176"/>
        <v>PIX</v>
      </c>
      <c r="D6580" t="str">
        <f>"23569"</f>
        <v>23569</v>
      </c>
      <c r="E6580" t="str">
        <f t="shared" si="1178"/>
        <v>1</v>
      </c>
      <c r="F6580" t="str">
        <f t="shared" si="1181"/>
        <v>COM</v>
      </c>
      <c r="G6580" t="str">
        <f>"JOSÉ HENRIQUE RODRIGUES (430)"</f>
        <v>JOSÉ HENRIQUE RODRIGUES (430)</v>
      </c>
      <c r="H6580" t="str">
        <f>"Serv.Prest. 06/10/2025 a 12/10/2025 - PIX: CPF - CHAVE: 100.826.516-04"</f>
        <v>Serv.Prest. 06/10/2025 a 12/10/2025 - PIX: CPF - CHAVE: 100.826.516-04</v>
      </c>
      <c r="I6580" t="str">
        <f t="shared" si="1177"/>
        <v>16/10/2025</v>
      </c>
      <c r="J6580" t="str">
        <f t="shared" si="1182"/>
        <v>13/10/2025</v>
      </c>
      <c r="K6580" t="str">
        <f>("16/10/2025")</f>
        <v>16/10/2025</v>
      </c>
      <c r="L6580">
        <v>900</v>
      </c>
      <c r="M6580">
        <v>900</v>
      </c>
      <c r="N6580">
        <v>109</v>
      </c>
      <c r="O6580" t="str">
        <f>"PAGAMENTO DE ENTREGADORES"</f>
        <v>PAGAMENTO DE ENTREGADORES</v>
      </c>
      <c r="P6580">
        <v>900</v>
      </c>
      <c r="S6580" t="str">
        <f>"BANCO C6 (149)"</f>
        <v>BANCO C6 (149)</v>
      </c>
      <c r="T6580">
        <v>19800</v>
      </c>
      <c r="U6580">
        <v>23569</v>
      </c>
      <c r="V6580" t="s">
        <v>77</v>
      </c>
    </row>
    <row r="6581" spans="1:22">
      <c r="A6581" t="str">
        <f t="shared" si="1174"/>
        <v>16/10/2025</v>
      </c>
      <c r="B6581" t="str">
        <f t="shared" si="1175"/>
        <v>SAÍDA</v>
      </c>
      <c r="C6581" t="str">
        <f t="shared" si="1176"/>
        <v>PIX</v>
      </c>
      <c r="D6581" t="str">
        <f>"23569"</f>
        <v>23569</v>
      </c>
      <c r="E6581" t="str">
        <f t="shared" si="1178"/>
        <v>1</v>
      </c>
      <c r="F6581" t="str">
        <f t="shared" si="1181"/>
        <v>COM</v>
      </c>
      <c r="G6581" t="str">
        <f>"JOSÉ HENRIQUE RODRIGUES (430)"</f>
        <v>JOSÉ HENRIQUE RODRIGUES (430)</v>
      </c>
      <c r="H6581" t="s">
        <v>1790</v>
      </c>
      <c r="I6581" t="str">
        <f t="shared" si="1177"/>
        <v>16/10/2025</v>
      </c>
      <c r="J6581" t="str">
        <f t="shared" si="1182"/>
        <v>13/10/2025</v>
      </c>
      <c r="K6581">
        <v>45946</v>
      </c>
      <c r="N6581">
        <v>109</v>
      </c>
      <c r="O6581" t="s">
        <v>24</v>
      </c>
      <c r="Q6581">
        <v>900</v>
      </c>
      <c r="R6581" t="str">
        <f>"PAGMENOS - LJ 608 (10135)"</f>
        <v>PAGMENOS - LJ 608 (10135)</v>
      </c>
      <c r="S6581" t="s">
        <v>77</v>
      </c>
      <c r="T6581">
        <v>19800</v>
      </c>
      <c r="U6581">
        <v>23569</v>
      </c>
      <c r="V6581" t="s">
        <v>77</v>
      </c>
    </row>
    <row r="6582" spans="1:22">
      <c r="A6582" t="str">
        <f t="shared" si="1174"/>
        <v>16/10/2025</v>
      </c>
      <c r="B6582" t="str">
        <f t="shared" si="1175"/>
        <v>SAÍDA</v>
      </c>
      <c r="C6582" t="str">
        <f t="shared" si="1176"/>
        <v>PIX</v>
      </c>
      <c r="D6582" t="str">
        <f>"23570"</f>
        <v>23570</v>
      </c>
      <c r="E6582" t="str">
        <f t="shared" si="1178"/>
        <v>1</v>
      </c>
      <c r="F6582" t="str">
        <f t="shared" si="1181"/>
        <v>COM</v>
      </c>
      <c r="G6582" t="str">
        <f>"TALES SILVA MARIANO (431)"</f>
        <v>TALES SILVA MARIANO (431)</v>
      </c>
      <c r="H6582" t="str">
        <f>"Serv.Prest. 06/10/2025 a 12/10/2025 - PIX: CPF - CHAVE: 126.686.406-79"</f>
        <v>Serv.Prest. 06/10/2025 a 12/10/2025 - PIX: CPF - CHAVE: 126.686.406-79</v>
      </c>
      <c r="I6582" t="str">
        <f t="shared" si="1177"/>
        <v>16/10/2025</v>
      </c>
      <c r="J6582" t="str">
        <f t="shared" si="1182"/>
        <v>13/10/2025</v>
      </c>
      <c r="K6582" t="str">
        <f>("16/10/2025")</f>
        <v>16/10/2025</v>
      </c>
      <c r="L6582">
        <v>900</v>
      </c>
      <c r="M6582">
        <v>900</v>
      </c>
      <c r="N6582">
        <v>109</v>
      </c>
      <c r="O6582" t="str">
        <f>"PAGAMENTO DE ENTREGADORES"</f>
        <v>PAGAMENTO DE ENTREGADORES</v>
      </c>
      <c r="P6582">
        <v>900</v>
      </c>
      <c r="S6582" t="str">
        <f>"BANCO C6 (149)"</f>
        <v>BANCO C6 (149)</v>
      </c>
      <c r="T6582">
        <v>19801</v>
      </c>
      <c r="U6582">
        <v>23570</v>
      </c>
      <c r="V6582" t="s">
        <v>77</v>
      </c>
    </row>
    <row r="6583" spans="1:22">
      <c r="A6583" t="str">
        <f t="shared" si="1174"/>
        <v>16/10/2025</v>
      </c>
      <c r="B6583" t="str">
        <f t="shared" si="1175"/>
        <v>SAÍDA</v>
      </c>
      <c r="C6583" t="str">
        <f t="shared" si="1176"/>
        <v>PIX</v>
      </c>
      <c r="D6583" t="str">
        <f>"23570"</f>
        <v>23570</v>
      </c>
      <c r="E6583" t="str">
        <f t="shared" si="1178"/>
        <v>1</v>
      </c>
      <c r="F6583" t="str">
        <f t="shared" si="1181"/>
        <v>COM</v>
      </c>
      <c r="G6583" t="str">
        <f>"TALES SILVA MARIANO (431)"</f>
        <v>TALES SILVA MARIANO (431)</v>
      </c>
      <c r="H6583" t="s">
        <v>1791</v>
      </c>
      <c r="I6583" t="str">
        <f t="shared" si="1177"/>
        <v>16/10/2025</v>
      </c>
      <c r="J6583" t="str">
        <f t="shared" si="1182"/>
        <v>13/10/2025</v>
      </c>
      <c r="K6583">
        <v>45946</v>
      </c>
      <c r="N6583">
        <v>109</v>
      </c>
      <c r="O6583" t="s">
        <v>24</v>
      </c>
      <c r="Q6583">
        <v>900</v>
      </c>
      <c r="R6583" t="str">
        <f>"PAGMENOS - LJ 608 (10135)"</f>
        <v>PAGMENOS - LJ 608 (10135)</v>
      </c>
      <c r="S6583" t="s">
        <v>77</v>
      </c>
      <c r="T6583">
        <v>19801</v>
      </c>
      <c r="U6583">
        <v>23570</v>
      </c>
      <c r="V6583" t="s">
        <v>77</v>
      </c>
    </row>
    <row r="6584" spans="1:22">
      <c r="A6584" t="str">
        <f t="shared" si="1174"/>
        <v>16/10/2025</v>
      </c>
      <c r="B6584" t="str">
        <f t="shared" si="1175"/>
        <v>SAÍDA</v>
      </c>
      <c r="C6584" t="str">
        <f t="shared" si="1176"/>
        <v>PIX</v>
      </c>
      <c r="D6584" t="str">
        <f>"23572"</f>
        <v>23572</v>
      </c>
      <c r="E6584" t="str">
        <f t="shared" si="1178"/>
        <v>1</v>
      </c>
      <c r="F6584" t="str">
        <f t="shared" si="1181"/>
        <v>COM</v>
      </c>
      <c r="G6584" t="str">
        <f>"WILIANA RODRIGUES E RODRIGUES (398)"</f>
        <v>WILIANA RODRIGUES E RODRIGUES (398)</v>
      </c>
      <c r="H6584" t="str">
        <f>"Serv.Prest. 06/10/2025 a 12/10/2025 - PIX: CPF - CHAVE: 016.203.336-27"</f>
        <v>Serv.Prest. 06/10/2025 a 12/10/2025 - PIX: CPF - CHAVE: 016.203.336-27</v>
      </c>
      <c r="I6584" t="str">
        <f t="shared" si="1177"/>
        <v>16/10/2025</v>
      </c>
      <c r="J6584" t="str">
        <f t="shared" si="1182"/>
        <v>13/10/2025</v>
      </c>
      <c r="K6584" t="str">
        <f>("16/10/2025")</f>
        <v>16/10/2025</v>
      </c>
      <c r="L6584">
        <v>1344</v>
      </c>
      <c r="M6584">
        <v>1344</v>
      </c>
      <c r="N6584">
        <v>109</v>
      </c>
      <c r="O6584" t="str">
        <f>"PAGAMENTO DE ENTREGADORES"</f>
        <v>PAGAMENTO DE ENTREGADORES</v>
      </c>
      <c r="P6584">
        <v>1344</v>
      </c>
      <c r="S6584" t="str">
        <f>"BANCO C6 (149)"</f>
        <v>BANCO C6 (149)</v>
      </c>
      <c r="T6584">
        <v>19802</v>
      </c>
      <c r="U6584">
        <v>23572</v>
      </c>
      <c r="V6584" t="s">
        <v>77</v>
      </c>
    </row>
    <row r="6585" spans="1:22">
      <c r="A6585" t="str">
        <f t="shared" si="1174"/>
        <v>16/10/2025</v>
      </c>
      <c r="B6585" t="str">
        <f t="shared" si="1175"/>
        <v>SAÍDA</v>
      </c>
      <c r="C6585" t="str">
        <f t="shared" si="1176"/>
        <v>PIX</v>
      </c>
      <c r="D6585" t="str">
        <f>"23572"</f>
        <v>23572</v>
      </c>
      <c r="E6585" t="str">
        <f t="shared" si="1178"/>
        <v>1</v>
      </c>
      <c r="F6585" t="str">
        <f t="shared" si="1181"/>
        <v>COM</v>
      </c>
      <c r="G6585" t="str">
        <f>"WILIANA RODRIGUES E RODRIGUES (398)"</f>
        <v>WILIANA RODRIGUES E RODRIGUES (398)</v>
      </c>
      <c r="H6585" t="s">
        <v>1792</v>
      </c>
      <c r="I6585" t="str">
        <f t="shared" si="1177"/>
        <v>16/10/2025</v>
      </c>
      <c r="J6585" t="str">
        <f t="shared" si="1182"/>
        <v>13/10/2025</v>
      </c>
      <c r="K6585">
        <v>45946</v>
      </c>
      <c r="N6585">
        <v>109</v>
      </c>
      <c r="O6585" t="s">
        <v>24</v>
      </c>
      <c r="Q6585">
        <v>1344</v>
      </c>
      <c r="R6585" t="str">
        <f>"PAGMENOS - LJ 657 (10136)"</f>
        <v>PAGMENOS - LJ 657 (10136)</v>
      </c>
      <c r="S6585" t="s">
        <v>77</v>
      </c>
      <c r="T6585">
        <v>19802</v>
      </c>
      <c r="U6585">
        <v>23572</v>
      </c>
      <c r="V6585" t="s">
        <v>77</v>
      </c>
    </row>
    <row r="6586" spans="1:22">
      <c r="A6586" t="str">
        <f t="shared" si="1174"/>
        <v>16/10/2025</v>
      </c>
      <c r="B6586" t="str">
        <f t="shared" si="1175"/>
        <v>SAÍDA</v>
      </c>
      <c r="C6586" t="str">
        <f t="shared" si="1176"/>
        <v>PIX</v>
      </c>
      <c r="D6586" t="str">
        <f>"23575"</f>
        <v>23575</v>
      </c>
      <c r="E6586" t="str">
        <f t="shared" si="1178"/>
        <v>1</v>
      </c>
      <c r="F6586" t="str">
        <f t="shared" si="1181"/>
        <v>COM</v>
      </c>
      <c r="G6586" t="str">
        <f>"BRENO HENRIQUE DE SOUSA (596)"</f>
        <v>BRENO HENRIQUE DE SOUSA (596)</v>
      </c>
      <c r="H6586" t="str">
        <f>"Serv.Prest. 06/10/2025 a 12/10/2025 - PIX: CELULAR - CHAVE: (37) 99146-2630"</f>
        <v>Serv.Prest. 06/10/2025 a 12/10/2025 - PIX: CELULAR - CHAVE: (37) 99146-2630</v>
      </c>
      <c r="I6586" t="str">
        <f t="shared" si="1177"/>
        <v>16/10/2025</v>
      </c>
      <c r="J6586" t="str">
        <f t="shared" si="1182"/>
        <v>13/10/2025</v>
      </c>
      <c r="K6586" t="str">
        <f>("16/10/2025")</f>
        <v>16/10/2025</v>
      </c>
      <c r="L6586">
        <v>930</v>
      </c>
      <c r="M6586">
        <v>930</v>
      </c>
      <c r="N6586">
        <v>109</v>
      </c>
      <c r="O6586" t="str">
        <f>"PAGAMENTO DE ENTREGADORES"</f>
        <v>PAGAMENTO DE ENTREGADORES</v>
      </c>
      <c r="P6586">
        <v>930</v>
      </c>
      <c r="S6586" t="str">
        <f>"BANCO C6 (149)"</f>
        <v>BANCO C6 (149)</v>
      </c>
      <c r="T6586">
        <v>19803</v>
      </c>
      <c r="U6586">
        <v>23575</v>
      </c>
      <c r="V6586" t="s">
        <v>77</v>
      </c>
    </row>
    <row r="6587" spans="1:22">
      <c r="A6587" t="str">
        <f t="shared" ref="A6587:A6650" si="1183">("16/10/2025")</f>
        <v>16/10/2025</v>
      </c>
      <c r="B6587" t="str">
        <f t="shared" ref="B6587:B6650" si="1184">"SAÍDA"</f>
        <v>SAÍDA</v>
      </c>
      <c r="C6587" t="str">
        <f t="shared" ref="C6587:C6650" si="1185">"PIX"</f>
        <v>PIX</v>
      </c>
      <c r="D6587" t="str">
        <f>"23575"</f>
        <v>23575</v>
      </c>
      <c r="E6587" t="str">
        <f t="shared" si="1178"/>
        <v>1</v>
      </c>
      <c r="F6587" t="str">
        <f t="shared" si="1181"/>
        <v>COM</v>
      </c>
      <c r="G6587" t="str">
        <f>"BRENO HENRIQUE DE SOUSA (596)"</f>
        <v>BRENO HENRIQUE DE SOUSA (596)</v>
      </c>
      <c r="H6587" t="s">
        <v>1602</v>
      </c>
      <c r="I6587" t="str">
        <f t="shared" si="1177"/>
        <v>16/10/2025</v>
      </c>
      <c r="J6587" t="str">
        <f t="shared" si="1182"/>
        <v>13/10/2025</v>
      </c>
      <c r="K6587">
        <v>45946</v>
      </c>
      <c r="N6587">
        <v>109</v>
      </c>
      <c r="O6587" t="s">
        <v>24</v>
      </c>
      <c r="Q6587">
        <v>930</v>
      </c>
      <c r="R6587" t="str">
        <f>"DROGARIA POUPA MINAS (ULTRAMINAS) 1 (10181)"</f>
        <v>DROGARIA POUPA MINAS (ULTRAMINAS) 1 (10181)</v>
      </c>
      <c r="S6587" t="s">
        <v>77</v>
      </c>
      <c r="T6587">
        <v>19803</v>
      </c>
      <c r="U6587">
        <v>23575</v>
      </c>
      <c r="V6587" t="s">
        <v>77</v>
      </c>
    </row>
    <row r="6588" spans="1:22">
      <c r="A6588" t="str">
        <f t="shared" si="1183"/>
        <v>16/10/2025</v>
      </c>
      <c r="B6588" t="str">
        <f t="shared" si="1184"/>
        <v>SAÍDA</v>
      </c>
      <c r="C6588" t="str">
        <f t="shared" si="1185"/>
        <v>PIX</v>
      </c>
      <c r="D6588" t="str">
        <f>"23576"</f>
        <v>23576</v>
      </c>
      <c r="E6588" t="str">
        <f t="shared" si="1178"/>
        <v>1</v>
      </c>
      <c r="F6588" t="str">
        <f t="shared" si="1181"/>
        <v>COM</v>
      </c>
      <c r="G6588" t="str">
        <f>"LUIZ PAULO DE OLIVEIRA (712)"</f>
        <v>LUIZ PAULO DE OLIVEIRA (712)</v>
      </c>
      <c r="H6588" t="str">
        <f>"Serv.Prest. 06/10/2025 a 12/10/2025 - PIX: CPF - CHAVE: 090.332.006-19"</f>
        <v>Serv.Prest. 06/10/2025 a 12/10/2025 - PIX: CPF - CHAVE: 090.332.006-19</v>
      </c>
      <c r="I6588" t="str">
        <f t="shared" si="1177"/>
        <v>16/10/2025</v>
      </c>
      <c r="J6588" t="str">
        <f t="shared" si="1182"/>
        <v>13/10/2025</v>
      </c>
      <c r="K6588" t="str">
        <f>("16/10/2025")</f>
        <v>16/10/2025</v>
      </c>
      <c r="L6588">
        <v>900</v>
      </c>
      <c r="M6588">
        <v>900</v>
      </c>
      <c r="N6588">
        <v>109</v>
      </c>
      <c r="O6588" t="str">
        <f>"PAGAMENTO DE ENTREGADORES"</f>
        <v>PAGAMENTO DE ENTREGADORES</v>
      </c>
      <c r="P6588">
        <v>900</v>
      </c>
      <c r="S6588" t="str">
        <f>"BANCO C6 (149)"</f>
        <v>BANCO C6 (149)</v>
      </c>
      <c r="T6588">
        <v>19804</v>
      </c>
      <c r="U6588">
        <v>23576</v>
      </c>
      <c r="V6588" t="s">
        <v>77</v>
      </c>
    </row>
    <row r="6589" spans="1:22">
      <c r="A6589" t="str">
        <f t="shared" si="1183"/>
        <v>16/10/2025</v>
      </c>
      <c r="B6589" t="str">
        <f t="shared" si="1184"/>
        <v>SAÍDA</v>
      </c>
      <c r="C6589" t="str">
        <f t="shared" si="1185"/>
        <v>PIX</v>
      </c>
      <c r="D6589" t="str">
        <f>"23576"</f>
        <v>23576</v>
      </c>
      <c r="E6589" t="str">
        <f t="shared" si="1178"/>
        <v>1</v>
      </c>
      <c r="F6589" t="str">
        <f t="shared" si="1181"/>
        <v>COM</v>
      </c>
      <c r="G6589" t="str">
        <f>"LUIZ PAULO DE OLIVEIRA (712)"</f>
        <v>LUIZ PAULO DE OLIVEIRA (712)</v>
      </c>
      <c r="H6589" t="s">
        <v>1793</v>
      </c>
      <c r="I6589" t="str">
        <f t="shared" ref="I6589:I6652" si="1186">("16/10/2025")</f>
        <v>16/10/2025</v>
      </c>
      <c r="J6589" t="str">
        <f t="shared" si="1182"/>
        <v>13/10/2025</v>
      </c>
      <c r="K6589">
        <v>45946</v>
      </c>
      <c r="N6589">
        <v>109</v>
      </c>
      <c r="O6589" t="s">
        <v>24</v>
      </c>
      <c r="Q6589">
        <v>900</v>
      </c>
      <c r="R6589" t="str">
        <f>"DROGARIA POUPA MINAS (ULTRAMINAS) 1 (10181)"</f>
        <v>DROGARIA POUPA MINAS (ULTRAMINAS) 1 (10181)</v>
      </c>
      <c r="S6589" t="s">
        <v>77</v>
      </c>
      <c r="T6589">
        <v>19804</v>
      </c>
      <c r="U6589">
        <v>23576</v>
      </c>
      <c r="V6589" t="s">
        <v>77</v>
      </c>
    </row>
    <row r="6590" spans="1:22">
      <c r="A6590" t="str">
        <f t="shared" si="1183"/>
        <v>16/10/2025</v>
      </c>
      <c r="B6590" t="str">
        <f t="shared" si="1184"/>
        <v>SAÍDA</v>
      </c>
      <c r="C6590" t="str">
        <f t="shared" si="1185"/>
        <v>PIX</v>
      </c>
      <c r="D6590" t="str">
        <f>"23577"</f>
        <v>23577</v>
      </c>
      <c r="E6590" t="str">
        <f t="shared" si="1178"/>
        <v>1</v>
      </c>
      <c r="F6590" t="str">
        <f t="shared" si="1181"/>
        <v>COM</v>
      </c>
      <c r="G6590" t="str">
        <f>"RICHARD HENRIQUE DA SILVA (244)"</f>
        <v>RICHARD HENRIQUE DA SILVA (244)</v>
      </c>
      <c r="H6590" t="str">
        <f>"Serv.Prest. 06/10/2025 a 12/10/2025 - PIX: CELULAR - CHAVE: (37) 99197-6834"</f>
        <v>Serv.Prest. 06/10/2025 a 12/10/2025 - PIX: CELULAR - CHAVE: (37) 99197-6834</v>
      </c>
      <c r="I6590" t="str">
        <f t="shared" si="1186"/>
        <v>16/10/2025</v>
      </c>
      <c r="J6590" t="str">
        <f t="shared" si="1182"/>
        <v>13/10/2025</v>
      </c>
      <c r="K6590" t="str">
        <f>("16/10/2025")</f>
        <v>16/10/2025</v>
      </c>
      <c r="L6590">
        <v>1560</v>
      </c>
      <c r="M6590">
        <v>1560</v>
      </c>
      <c r="N6590">
        <v>109</v>
      </c>
      <c r="O6590" t="str">
        <f>"PAGAMENTO DE ENTREGADORES"</f>
        <v>PAGAMENTO DE ENTREGADORES</v>
      </c>
      <c r="P6590">
        <v>1560</v>
      </c>
      <c r="S6590" t="str">
        <f>"BANCO C6 (149)"</f>
        <v>BANCO C6 (149)</v>
      </c>
      <c r="T6590">
        <v>19805</v>
      </c>
      <c r="U6590">
        <v>23577</v>
      </c>
      <c r="V6590" t="s">
        <v>77</v>
      </c>
    </row>
    <row r="6591" spans="1:22">
      <c r="A6591" t="str">
        <f t="shared" si="1183"/>
        <v>16/10/2025</v>
      </c>
      <c r="B6591" t="str">
        <f t="shared" si="1184"/>
        <v>SAÍDA</v>
      </c>
      <c r="C6591" t="str">
        <f t="shared" si="1185"/>
        <v>PIX</v>
      </c>
      <c r="D6591" t="str">
        <f>"23577"</f>
        <v>23577</v>
      </c>
      <c r="E6591" t="str">
        <f t="shared" si="1178"/>
        <v>1</v>
      </c>
      <c r="F6591" t="str">
        <f t="shared" si="1181"/>
        <v>COM</v>
      </c>
      <c r="G6591" t="str">
        <f>"RICHARD HENRIQUE DA SILVA (244)"</f>
        <v>RICHARD HENRIQUE DA SILVA (244)</v>
      </c>
      <c r="H6591" t="s">
        <v>1794</v>
      </c>
      <c r="I6591" t="str">
        <f t="shared" si="1186"/>
        <v>16/10/2025</v>
      </c>
      <c r="J6591" t="str">
        <f t="shared" si="1182"/>
        <v>13/10/2025</v>
      </c>
      <c r="K6591">
        <v>45946</v>
      </c>
      <c r="N6591">
        <v>109</v>
      </c>
      <c r="O6591" t="s">
        <v>24</v>
      </c>
      <c r="Q6591">
        <v>1560</v>
      </c>
      <c r="R6591" t="str">
        <f>"DROGARIA POUPA MINAS (ULTRAMINAS) 1 (10181)"</f>
        <v>DROGARIA POUPA MINAS (ULTRAMINAS) 1 (10181)</v>
      </c>
      <c r="S6591" t="s">
        <v>77</v>
      </c>
      <c r="T6591">
        <v>19805</v>
      </c>
      <c r="U6591">
        <v>23577</v>
      </c>
      <c r="V6591" t="s">
        <v>77</v>
      </c>
    </row>
    <row r="6592" spans="1:22">
      <c r="A6592" t="str">
        <f t="shared" si="1183"/>
        <v>16/10/2025</v>
      </c>
      <c r="B6592" t="str">
        <f t="shared" si="1184"/>
        <v>SAÍDA</v>
      </c>
      <c r="C6592" t="str">
        <f t="shared" si="1185"/>
        <v>PIX</v>
      </c>
      <c r="D6592" t="str">
        <f>"23578"</f>
        <v>23578</v>
      </c>
      <c r="E6592" t="str">
        <f t="shared" si="1178"/>
        <v>1</v>
      </c>
      <c r="F6592" t="str">
        <f t="shared" si="1181"/>
        <v>COM</v>
      </c>
      <c r="G6592" t="str">
        <f>"ROGERIO AUGUSTO FERREIRA (649)"</f>
        <v>ROGERIO AUGUSTO FERREIRA (649)</v>
      </c>
      <c r="H6592" t="str">
        <f>"Serv.Prest. 06/10/2025 a 12/10/2025 - PIX: CPF - CHAVE: 950.176.406-06"</f>
        <v>Serv.Prest. 06/10/2025 a 12/10/2025 - PIX: CPF - CHAVE: 950.176.406-06</v>
      </c>
      <c r="I6592" t="str">
        <f t="shared" si="1186"/>
        <v>16/10/2025</v>
      </c>
      <c r="J6592" t="str">
        <f t="shared" si="1182"/>
        <v>13/10/2025</v>
      </c>
      <c r="K6592" t="str">
        <f>("16/10/2025")</f>
        <v>16/10/2025</v>
      </c>
      <c r="L6592">
        <v>1080</v>
      </c>
      <c r="M6592">
        <v>1080</v>
      </c>
      <c r="N6592">
        <v>109</v>
      </c>
      <c r="O6592" t="str">
        <f>"PAGAMENTO DE ENTREGADORES"</f>
        <v>PAGAMENTO DE ENTREGADORES</v>
      </c>
      <c r="P6592">
        <v>1080</v>
      </c>
      <c r="S6592" t="str">
        <f>"BANCO C6 (149)"</f>
        <v>BANCO C6 (149)</v>
      </c>
      <c r="T6592">
        <v>19806</v>
      </c>
      <c r="U6592">
        <v>23578</v>
      </c>
      <c r="V6592" t="s">
        <v>77</v>
      </c>
    </row>
    <row r="6593" spans="1:22">
      <c r="A6593" t="str">
        <f t="shared" si="1183"/>
        <v>16/10/2025</v>
      </c>
      <c r="B6593" t="str">
        <f t="shared" si="1184"/>
        <v>SAÍDA</v>
      </c>
      <c r="C6593" t="str">
        <f t="shared" si="1185"/>
        <v>PIX</v>
      </c>
      <c r="D6593" t="str">
        <f>"23578"</f>
        <v>23578</v>
      </c>
      <c r="E6593" t="str">
        <f t="shared" si="1178"/>
        <v>1</v>
      </c>
      <c r="F6593" t="str">
        <f t="shared" si="1181"/>
        <v>COM</v>
      </c>
      <c r="G6593" t="str">
        <f>"ROGERIO AUGUSTO FERREIRA (649)"</f>
        <v>ROGERIO AUGUSTO FERREIRA (649)</v>
      </c>
      <c r="H6593" t="s">
        <v>1795</v>
      </c>
      <c r="I6593" t="str">
        <f t="shared" si="1186"/>
        <v>16/10/2025</v>
      </c>
      <c r="J6593" t="str">
        <f t="shared" si="1182"/>
        <v>13/10/2025</v>
      </c>
      <c r="K6593">
        <v>45946</v>
      </c>
      <c r="N6593">
        <v>109</v>
      </c>
      <c r="O6593" t="s">
        <v>24</v>
      </c>
      <c r="Q6593">
        <v>1080</v>
      </c>
      <c r="R6593" t="str">
        <f>"DROGARIA POUPA MINAS (ULTRAMINAS) 1 (10181)"</f>
        <v>DROGARIA POUPA MINAS (ULTRAMINAS) 1 (10181)</v>
      </c>
      <c r="S6593" t="s">
        <v>77</v>
      </c>
      <c r="T6593">
        <v>19806</v>
      </c>
      <c r="U6593">
        <v>23578</v>
      </c>
      <c r="V6593" t="s">
        <v>77</v>
      </c>
    </row>
    <row r="6594" spans="1:22">
      <c r="A6594" t="str">
        <f t="shared" si="1183"/>
        <v>16/10/2025</v>
      </c>
      <c r="B6594" t="str">
        <f t="shared" si="1184"/>
        <v>SAÍDA</v>
      </c>
      <c r="C6594" t="str">
        <f t="shared" si="1185"/>
        <v>PIX</v>
      </c>
      <c r="D6594" t="str">
        <f>"23579"</f>
        <v>23579</v>
      </c>
      <c r="E6594" t="str">
        <f t="shared" si="1178"/>
        <v>1</v>
      </c>
      <c r="F6594" t="str">
        <f t="shared" si="1181"/>
        <v>COM</v>
      </c>
      <c r="G6594" t="str">
        <f>"THALES VINÍCIUS RODRIGUES DE OLIVEIRA (704)"</f>
        <v>THALES VINÍCIUS RODRIGUES DE OLIVEIRA (704)</v>
      </c>
      <c r="H6594" t="str">
        <f>"Serv.Prest. 06/10/2025 a 12/10/2025 - PIX: CELULAR - CHAVE: (37) 99138-1777"</f>
        <v>Serv.Prest. 06/10/2025 a 12/10/2025 - PIX: CELULAR - CHAVE: (37) 99138-1777</v>
      </c>
      <c r="I6594" t="str">
        <f t="shared" si="1186"/>
        <v>16/10/2025</v>
      </c>
      <c r="J6594" t="str">
        <f t="shared" si="1182"/>
        <v>13/10/2025</v>
      </c>
      <c r="K6594" t="str">
        <f>("16/10/2025")</f>
        <v>16/10/2025</v>
      </c>
      <c r="L6594">
        <v>1110</v>
      </c>
      <c r="M6594">
        <v>1110</v>
      </c>
      <c r="N6594">
        <v>109</v>
      </c>
      <c r="O6594" t="str">
        <f>"PAGAMENTO DE ENTREGADORES"</f>
        <v>PAGAMENTO DE ENTREGADORES</v>
      </c>
      <c r="P6594">
        <v>1110</v>
      </c>
      <c r="S6594" t="str">
        <f>"BANCO C6 (149)"</f>
        <v>BANCO C6 (149)</v>
      </c>
      <c r="T6594">
        <v>19807</v>
      </c>
      <c r="U6594">
        <v>23579</v>
      </c>
      <c r="V6594" t="s">
        <v>77</v>
      </c>
    </row>
    <row r="6595" spans="1:22">
      <c r="A6595" t="str">
        <f t="shared" si="1183"/>
        <v>16/10/2025</v>
      </c>
      <c r="B6595" t="str">
        <f t="shared" si="1184"/>
        <v>SAÍDA</v>
      </c>
      <c r="C6595" t="str">
        <f t="shared" si="1185"/>
        <v>PIX</v>
      </c>
      <c r="D6595" t="str">
        <f>"23579"</f>
        <v>23579</v>
      </c>
      <c r="E6595" t="str">
        <f t="shared" si="1178"/>
        <v>1</v>
      </c>
      <c r="F6595" t="str">
        <f t="shared" si="1181"/>
        <v>COM</v>
      </c>
      <c r="G6595" t="str">
        <f>"THALES VINÍCIUS RODRIGUES DE OLIVEIRA (704)"</f>
        <v>THALES VINÍCIUS RODRIGUES DE OLIVEIRA (704)</v>
      </c>
      <c r="H6595" t="s">
        <v>1796</v>
      </c>
      <c r="I6595" t="str">
        <f t="shared" si="1186"/>
        <v>16/10/2025</v>
      </c>
      <c r="J6595" t="str">
        <f t="shared" si="1182"/>
        <v>13/10/2025</v>
      </c>
      <c r="K6595">
        <v>45946</v>
      </c>
      <c r="N6595">
        <v>109</v>
      </c>
      <c r="O6595" t="s">
        <v>24</v>
      </c>
      <c r="Q6595">
        <v>1110</v>
      </c>
      <c r="R6595" t="str">
        <f>"DROGARIA POUPA MINAS (ULTRAMINAS) 1 (10181)"</f>
        <v>DROGARIA POUPA MINAS (ULTRAMINAS) 1 (10181)</v>
      </c>
      <c r="S6595" t="s">
        <v>77</v>
      </c>
      <c r="T6595">
        <v>19807</v>
      </c>
      <c r="U6595">
        <v>23579</v>
      </c>
      <c r="V6595" t="s">
        <v>77</v>
      </c>
    </row>
    <row r="6596" spans="1:22">
      <c r="A6596" t="str">
        <f t="shared" si="1183"/>
        <v>16/10/2025</v>
      </c>
      <c r="B6596" t="str">
        <f t="shared" si="1184"/>
        <v>SAÍDA</v>
      </c>
      <c r="C6596" t="str">
        <f t="shared" si="1185"/>
        <v>PIX</v>
      </c>
      <c r="D6596" t="str">
        <f>"23580"</f>
        <v>23580</v>
      </c>
      <c r="E6596" t="str">
        <f t="shared" si="1178"/>
        <v>1</v>
      </c>
      <c r="F6596" t="str">
        <f t="shared" si="1181"/>
        <v>COM</v>
      </c>
      <c r="G6596" t="str">
        <f>"TIAGO VIEIRA (372)"</f>
        <v>TIAGO VIEIRA (372)</v>
      </c>
      <c r="H6596" t="str">
        <f>"Serv.Prest. 06/10/2025 a 12/10/2025 - PIX: CELULAR - CHAVE: (37) 98841-8571"</f>
        <v>Serv.Prest. 06/10/2025 a 12/10/2025 - PIX: CELULAR - CHAVE: (37) 98841-8571</v>
      </c>
      <c r="I6596" t="str">
        <f t="shared" si="1186"/>
        <v>16/10/2025</v>
      </c>
      <c r="J6596" t="str">
        <f t="shared" si="1182"/>
        <v>13/10/2025</v>
      </c>
      <c r="K6596" t="str">
        <f>("16/10/2025")</f>
        <v>16/10/2025</v>
      </c>
      <c r="L6596">
        <v>846</v>
      </c>
      <c r="M6596">
        <v>846</v>
      </c>
      <c r="N6596">
        <v>109</v>
      </c>
      <c r="O6596" t="str">
        <f>"PAGAMENTO DE ENTREGADORES"</f>
        <v>PAGAMENTO DE ENTREGADORES</v>
      </c>
      <c r="P6596">
        <v>846</v>
      </c>
      <c r="S6596" t="str">
        <f>"BANCO C6 (149)"</f>
        <v>BANCO C6 (149)</v>
      </c>
      <c r="T6596">
        <v>19808</v>
      </c>
      <c r="U6596">
        <v>23580</v>
      </c>
      <c r="V6596" t="s">
        <v>77</v>
      </c>
    </row>
    <row r="6597" spans="1:22">
      <c r="A6597" t="str">
        <f t="shared" si="1183"/>
        <v>16/10/2025</v>
      </c>
      <c r="B6597" t="str">
        <f t="shared" si="1184"/>
        <v>SAÍDA</v>
      </c>
      <c r="C6597" t="str">
        <f t="shared" si="1185"/>
        <v>PIX</v>
      </c>
      <c r="D6597" t="str">
        <f>"23580"</f>
        <v>23580</v>
      </c>
      <c r="E6597" t="str">
        <f t="shared" ref="E6597:E6660" si="1187">"1"</f>
        <v>1</v>
      </c>
      <c r="F6597" t="str">
        <f t="shared" si="1181"/>
        <v>COM</v>
      </c>
      <c r="G6597" t="str">
        <f>"TIAGO VIEIRA (372)"</f>
        <v>TIAGO VIEIRA (372)</v>
      </c>
      <c r="H6597" t="s">
        <v>1797</v>
      </c>
      <c r="I6597" t="str">
        <f t="shared" si="1186"/>
        <v>16/10/2025</v>
      </c>
      <c r="J6597" t="str">
        <f t="shared" si="1182"/>
        <v>13/10/2025</v>
      </c>
      <c r="K6597">
        <v>45946</v>
      </c>
      <c r="N6597">
        <v>109</v>
      </c>
      <c r="O6597" t="s">
        <v>24</v>
      </c>
      <c r="Q6597">
        <v>846</v>
      </c>
      <c r="R6597" t="str">
        <f>"DROGARIA POUPA MINAS (ULTRAMINAS) 1 (10181)"</f>
        <v>DROGARIA POUPA MINAS (ULTRAMINAS) 1 (10181)</v>
      </c>
      <c r="S6597" t="s">
        <v>77</v>
      </c>
      <c r="T6597">
        <v>19808</v>
      </c>
      <c r="U6597">
        <v>23580</v>
      </c>
      <c r="V6597" t="s">
        <v>77</v>
      </c>
    </row>
    <row r="6598" spans="1:22">
      <c r="A6598" t="str">
        <f t="shared" si="1183"/>
        <v>16/10/2025</v>
      </c>
      <c r="B6598" t="str">
        <f t="shared" si="1184"/>
        <v>SAÍDA</v>
      </c>
      <c r="C6598" t="str">
        <f t="shared" si="1185"/>
        <v>PIX</v>
      </c>
      <c r="D6598" t="str">
        <f>"23586"</f>
        <v>23586</v>
      </c>
      <c r="E6598" t="str">
        <f t="shared" si="1187"/>
        <v>1</v>
      </c>
      <c r="F6598" t="str">
        <f t="shared" si="1181"/>
        <v>COM</v>
      </c>
      <c r="G6598" t="str">
        <f>"LUCAS MANOEL DA SILVA (978)"</f>
        <v>LUCAS MANOEL DA SILVA (978)</v>
      </c>
      <c r="H6598" t="str">
        <f>"Serv.Prest. 06/10/2025 a 12/10/2025 - PIX: CELULAR - CHAVE: (11) 94212-6784"</f>
        <v>Serv.Prest. 06/10/2025 a 12/10/2025 - PIX: CELULAR - CHAVE: (11) 94212-6784</v>
      </c>
      <c r="I6598" t="str">
        <f t="shared" si="1186"/>
        <v>16/10/2025</v>
      </c>
      <c r="J6598" t="str">
        <f t="shared" si="1182"/>
        <v>13/10/2025</v>
      </c>
      <c r="K6598" t="str">
        <f>("16/10/2025")</f>
        <v>16/10/2025</v>
      </c>
      <c r="L6598">
        <v>1420</v>
      </c>
      <c r="M6598">
        <v>1420</v>
      </c>
      <c r="N6598">
        <v>109</v>
      </c>
      <c r="O6598" t="str">
        <f>"PAGAMENTO DE ENTREGADORES"</f>
        <v>PAGAMENTO DE ENTREGADORES</v>
      </c>
      <c r="P6598">
        <v>1420</v>
      </c>
      <c r="S6598" t="str">
        <f>"BANCO C6 (149)"</f>
        <v>BANCO C6 (149)</v>
      </c>
      <c r="T6598">
        <v>19809</v>
      </c>
      <c r="U6598">
        <v>23586</v>
      </c>
      <c r="V6598" t="s">
        <v>77</v>
      </c>
    </row>
    <row r="6599" spans="1:22">
      <c r="A6599" t="str">
        <f t="shared" si="1183"/>
        <v>16/10/2025</v>
      </c>
      <c r="B6599" t="str">
        <f t="shared" si="1184"/>
        <v>SAÍDA</v>
      </c>
      <c r="C6599" t="str">
        <f t="shared" si="1185"/>
        <v>PIX</v>
      </c>
      <c r="D6599" t="str">
        <f>"23586"</f>
        <v>23586</v>
      </c>
      <c r="E6599" t="str">
        <f t="shared" si="1187"/>
        <v>1</v>
      </c>
      <c r="F6599" t="str">
        <f t="shared" si="1181"/>
        <v>COM</v>
      </c>
      <c r="G6599" t="str">
        <f>"LUCAS MANOEL DA SILVA (978)"</f>
        <v>LUCAS MANOEL DA SILVA (978)</v>
      </c>
      <c r="H6599" t="s">
        <v>1798</v>
      </c>
      <c r="I6599" t="str">
        <f t="shared" si="1186"/>
        <v>16/10/2025</v>
      </c>
      <c r="J6599" t="str">
        <f t="shared" si="1182"/>
        <v>13/10/2025</v>
      </c>
      <c r="K6599">
        <v>45946</v>
      </c>
      <c r="N6599">
        <v>109</v>
      </c>
      <c r="O6599" t="s">
        <v>24</v>
      </c>
      <c r="Q6599">
        <v>656.75</v>
      </c>
      <c r="R6599" t="str">
        <f>"PENSE FARMA 07 (10201)"</f>
        <v>PENSE FARMA 07 (10201)</v>
      </c>
      <c r="S6599" t="s">
        <v>77</v>
      </c>
      <c r="T6599">
        <v>19809</v>
      </c>
      <c r="U6599">
        <v>23586</v>
      </c>
      <c r="V6599" t="s">
        <v>77</v>
      </c>
    </row>
    <row r="6600" spans="1:22">
      <c r="A6600" t="str">
        <f t="shared" si="1183"/>
        <v>16/10/2025</v>
      </c>
      <c r="B6600" t="str">
        <f t="shared" si="1184"/>
        <v>SAÍDA</v>
      </c>
      <c r="C6600" t="str">
        <f t="shared" si="1185"/>
        <v>PIX</v>
      </c>
      <c r="D6600" t="str">
        <f>"23586"</f>
        <v>23586</v>
      </c>
      <c r="E6600" t="str">
        <f t="shared" si="1187"/>
        <v>1</v>
      </c>
      <c r="F6600" t="str">
        <f t="shared" si="1181"/>
        <v>COM</v>
      </c>
      <c r="G6600" t="str">
        <f>"LUCAS MANOEL DA SILVA (978)"</f>
        <v>LUCAS MANOEL DA SILVA (978)</v>
      </c>
      <c r="H6600" t="s">
        <v>1798</v>
      </c>
      <c r="I6600" t="str">
        <f t="shared" si="1186"/>
        <v>16/10/2025</v>
      </c>
      <c r="J6600" t="str">
        <f t="shared" si="1182"/>
        <v>13/10/2025</v>
      </c>
      <c r="K6600">
        <v>45946</v>
      </c>
      <c r="N6600">
        <v>109</v>
      </c>
      <c r="O6600" t="s">
        <v>24</v>
      </c>
      <c r="Q6600">
        <v>426</v>
      </c>
      <c r="R6600" t="str">
        <f>"PENSE FARMA 45 (10209)"</f>
        <v>PENSE FARMA 45 (10209)</v>
      </c>
      <c r="S6600" t="s">
        <v>77</v>
      </c>
      <c r="T6600">
        <v>19809</v>
      </c>
      <c r="U6600">
        <v>23586</v>
      </c>
      <c r="V6600" t="s">
        <v>77</v>
      </c>
    </row>
    <row r="6601" spans="1:22">
      <c r="A6601" t="str">
        <f t="shared" si="1183"/>
        <v>16/10/2025</v>
      </c>
      <c r="B6601" t="str">
        <f t="shared" si="1184"/>
        <v>SAÍDA</v>
      </c>
      <c r="C6601" t="str">
        <f t="shared" si="1185"/>
        <v>PIX</v>
      </c>
      <c r="D6601" t="str">
        <f>"23586"</f>
        <v>23586</v>
      </c>
      <c r="E6601" t="str">
        <f t="shared" si="1187"/>
        <v>1</v>
      </c>
      <c r="F6601" t="str">
        <f t="shared" si="1181"/>
        <v>COM</v>
      </c>
      <c r="G6601" t="str">
        <f>"LUCAS MANOEL DA SILVA (978)"</f>
        <v>LUCAS MANOEL DA SILVA (978)</v>
      </c>
      <c r="H6601" t="s">
        <v>1798</v>
      </c>
      <c r="I6601" t="str">
        <f t="shared" si="1186"/>
        <v>16/10/2025</v>
      </c>
      <c r="J6601" t="str">
        <f t="shared" si="1182"/>
        <v>13/10/2025</v>
      </c>
      <c r="K6601">
        <v>45946</v>
      </c>
      <c r="N6601">
        <v>109</v>
      </c>
      <c r="O6601" t="s">
        <v>24</v>
      </c>
      <c r="Q6601">
        <v>337.25</v>
      </c>
      <c r="R6601" t="str">
        <f>"PENSE FARMA 50 (10210)"</f>
        <v>PENSE FARMA 50 (10210)</v>
      </c>
      <c r="S6601" t="s">
        <v>77</v>
      </c>
      <c r="T6601">
        <v>19809</v>
      </c>
      <c r="U6601">
        <v>23586</v>
      </c>
      <c r="V6601" t="s">
        <v>77</v>
      </c>
    </row>
    <row r="6602" spans="1:22">
      <c r="A6602" t="str">
        <f t="shared" si="1183"/>
        <v>16/10/2025</v>
      </c>
      <c r="B6602" t="str">
        <f t="shared" si="1184"/>
        <v>SAÍDA</v>
      </c>
      <c r="C6602" t="str">
        <f t="shared" si="1185"/>
        <v>PIX</v>
      </c>
      <c r="D6602" t="str">
        <f>"23590"</f>
        <v>23590</v>
      </c>
      <c r="E6602" t="str">
        <f t="shared" si="1187"/>
        <v>1</v>
      </c>
      <c r="F6602" t="str">
        <f t="shared" si="1181"/>
        <v>COM</v>
      </c>
      <c r="G6602" t="str">
        <f>"ALEXSANDRO APARECIDO MIRANDA (971)"</f>
        <v>ALEXSANDRO APARECIDO MIRANDA (971)</v>
      </c>
      <c r="H6602" t="str">
        <f>"Serv.Prest. 06/10/2025 a 12/10/2025 - PIX: CPF - CHAVE: 343.022.318-07"</f>
        <v>Serv.Prest. 06/10/2025 a 12/10/2025 - PIX: CPF - CHAVE: 343.022.318-07</v>
      </c>
      <c r="I6602" t="str">
        <f t="shared" si="1186"/>
        <v>16/10/2025</v>
      </c>
      <c r="J6602" t="str">
        <f t="shared" si="1182"/>
        <v>13/10/2025</v>
      </c>
      <c r="K6602" t="str">
        <f>("16/10/2025")</f>
        <v>16/10/2025</v>
      </c>
      <c r="L6602">
        <v>400</v>
      </c>
      <c r="M6602">
        <v>400</v>
      </c>
      <c r="N6602">
        <v>109</v>
      </c>
      <c r="O6602" t="str">
        <f>"PAGAMENTO DE ENTREGADORES"</f>
        <v>PAGAMENTO DE ENTREGADORES</v>
      </c>
      <c r="P6602">
        <v>400</v>
      </c>
      <c r="S6602" t="str">
        <f>"BANCO C6 (149)"</f>
        <v>BANCO C6 (149)</v>
      </c>
      <c r="T6602">
        <v>19810</v>
      </c>
      <c r="U6602">
        <v>23590</v>
      </c>
      <c r="V6602" t="s">
        <v>77</v>
      </c>
    </row>
    <row r="6603" spans="1:22">
      <c r="A6603" t="str">
        <f t="shared" si="1183"/>
        <v>16/10/2025</v>
      </c>
      <c r="B6603" t="str">
        <f t="shared" si="1184"/>
        <v>SAÍDA</v>
      </c>
      <c r="C6603" t="str">
        <f t="shared" si="1185"/>
        <v>PIX</v>
      </c>
      <c r="D6603" t="str">
        <f>"23590"</f>
        <v>23590</v>
      </c>
      <c r="E6603" t="str">
        <f t="shared" si="1187"/>
        <v>1</v>
      </c>
      <c r="F6603" t="str">
        <f t="shared" si="1181"/>
        <v>COM</v>
      </c>
      <c r="G6603" t="str">
        <f>"ALEXSANDRO APARECIDO MIRANDA (971)"</f>
        <v>ALEXSANDRO APARECIDO MIRANDA (971)</v>
      </c>
      <c r="H6603" t="s">
        <v>1799</v>
      </c>
      <c r="I6603" t="str">
        <f t="shared" si="1186"/>
        <v>16/10/2025</v>
      </c>
      <c r="J6603" t="str">
        <f t="shared" si="1182"/>
        <v>13/10/2025</v>
      </c>
      <c r="K6603">
        <v>45946</v>
      </c>
      <c r="N6603">
        <v>109</v>
      </c>
      <c r="O6603" t="s">
        <v>24</v>
      </c>
      <c r="Q6603">
        <v>100</v>
      </c>
      <c r="R6603" t="str">
        <f>"PENSE FARMA 15 (10195)"</f>
        <v>PENSE FARMA 15 (10195)</v>
      </c>
      <c r="S6603" t="s">
        <v>77</v>
      </c>
      <c r="T6603">
        <v>19810</v>
      </c>
      <c r="U6603">
        <v>23590</v>
      </c>
      <c r="V6603" t="s">
        <v>77</v>
      </c>
    </row>
    <row r="6604" spans="1:22">
      <c r="A6604" t="str">
        <f t="shared" si="1183"/>
        <v>16/10/2025</v>
      </c>
      <c r="B6604" t="str">
        <f t="shared" si="1184"/>
        <v>SAÍDA</v>
      </c>
      <c r="C6604" t="str">
        <f t="shared" si="1185"/>
        <v>PIX</v>
      </c>
      <c r="D6604" t="str">
        <f>"23590"</f>
        <v>23590</v>
      </c>
      <c r="E6604" t="str">
        <f t="shared" si="1187"/>
        <v>1</v>
      </c>
      <c r="F6604" t="str">
        <f t="shared" si="1181"/>
        <v>COM</v>
      </c>
      <c r="G6604" t="str">
        <f>"ALEXSANDRO APARECIDO MIRANDA (971)"</f>
        <v>ALEXSANDRO APARECIDO MIRANDA (971)</v>
      </c>
      <c r="H6604" t="s">
        <v>1799</v>
      </c>
      <c r="I6604" t="str">
        <f t="shared" si="1186"/>
        <v>16/10/2025</v>
      </c>
      <c r="J6604" t="str">
        <f t="shared" si="1182"/>
        <v>13/10/2025</v>
      </c>
      <c r="K6604">
        <v>45946</v>
      </c>
      <c r="N6604">
        <v>109</v>
      </c>
      <c r="O6604" t="s">
        <v>24</v>
      </c>
      <c r="Q6604">
        <v>300</v>
      </c>
      <c r="R6604" t="str">
        <f>"PENSE FARMA 60 (10197)"</f>
        <v>PENSE FARMA 60 (10197)</v>
      </c>
      <c r="S6604" t="s">
        <v>77</v>
      </c>
      <c r="T6604">
        <v>19810</v>
      </c>
      <c r="U6604">
        <v>23590</v>
      </c>
      <c r="V6604" t="s">
        <v>77</v>
      </c>
    </row>
    <row r="6605" spans="1:22">
      <c r="A6605" t="str">
        <f t="shared" si="1183"/>
        <v>16/10/2025</v>
      </c>
      <c r="B6605" t="str">
        <f t="shared" si="1184"/>
        <v>SAÍDA</v>
      </c>
      <c r="C6605" t="str">
        <f t="shared" si="1185"/>
        <v>PIX</v>
      </c>
      <c r="D6605" t="str">
        <f>"23591"</f>
        <v>23591</v>
      </c>
      <c r="E6605" t="str">
        <f t="shared" si="1187"/>
        <v>1</v>
      </c>
      <c r="F6605" t="str">
        <f t="shared" si="1181"/>
        <v>COM</v>
      </c>
      <c r="G6605" t="str">
        <f>"ERIC RODRIGUES TEIXEIRA (939)"</f>
        <v>ERIC RODRIGUES TEIXEIRA (939)</v>
      </c>
      <c r="H6605" t="str">
        <f>"Serv.Prest. 06/10/2025 a 12/10/2025 - PIX: CELULAR - CHAVE: (11) 95038-0621"</f>
        <v>Serv.Prest. 06/10/2025 a 12/10/2025 - PIX: CELULAR - CHAVE: (11) 95038-0621</v>
      </c>
      <c r="I6605" t="str">
        <f t="shared" si="1186"/>
        <v>16/10/2025</v>
      </c>
      <c r="J6605" t="str">
        <f t="shared" si="1182"/>
        <v>13/10/2025</v>
      </c>
      <c r="K6605" t="str">
        <f>("16/10/2025")</f>
        <v>16/10/2025</v>
      </c>
      <c r="L6605">
        <v>830</v>
      </c>
      <c r="M6605">
        <v>830</v>
      </c>
      <c r="N6605">
        <v>109</v>
      </c>
      <c r="O6605" t="str">
        <f>"PAGAMENTO DE ENTREGADORES"</f>
        <v>PAGAMENTO DE ENTREGADORES</v>
      </c>
      <c r="P6605">
        <v>830</v>
      </c>
      <c r="S6605" t="str">
        <f>"BANCO C6 (149)"</f>
        <v>BANCO C6 (149)</v>
      </c>
      <c r="T6605">
        <v>19811</v>
      </c>
      <c r="U6605">
        <v>23591</v>
      </c>
      <c r="V6605" t="s">
        <v>77</v>
      </c>
    </row>
    <row r="6606" spans="1:22">
      <c r="A6606" t="str">
        <f t="shared" si="1183"/>
        <v>16/10/2025</v>
      </c>
      <c r="B6606" t="str">
        <f t="shared" si="1184"/>
        <v>SAÍDA</v>
      </c>
      <c r="C6606" t="str">
        <f t="shared" si="1185"/>
        <v>PIX</v>
      </c>
      <c r="D6606" t="str">
        <f>"23591"</f>
        <v>23591</v>
      </c>
      <c r="E6606" t="str">
        <f t="shared" si="1187"/>
        <v>1</v>
      </c>
      <c r="F6606" t="str">
        <f t="shared" si="1181"/>
        <v>COM</v>
      </c>
      <c r="G6606" t="str">
        <f>"ERIC RODRIGUES TEIXEIRA (939)"</f>
        <v>ERIC RODRIGUES TEIXEIRA (939)</v>
      </c>
      <c r="H6606" t="s">
        <v>1800</v>
      </c>
      <c r="I6606" t="str">
        <f t="shared" si="1186"/>
        <v>16/10/2025</v>
      </c>
      <c r="J6606" t="str">
        <f t="shared" si="1182"/>
        <v>13/10/2025</v>
      </c>
      <c r="K6606">
        <v>45946</v>
      </c>
      <c r="N6606">
        <v>109</v>
      </c>
      <c r="O6606" t="s">
        <v>24</v>
      </c>
      <c r="Q6606">
        <v>553.36</v>
      </c>
      <c r="R6606" t="str">
        <f>"PENSE FARMA 15 (10195)"</f>
        <v>PENSE FARMA 15 (10195)</v>
      </c>
      <c r="S6606" t="s">
        <v>77</v>
      </c>
      <c r="T6606">
        <v>19811</v>
      </c>
      <c r="U6606">
        <v>23591</v>
      </c>
      <c r="V6606" t="s">
        <v>77</v>
      </c>
    </row>
    <row r="6607" spans="1:22">
      <c r="A6607" t="str">
        <f t="shared" si="1183"/>
        <v>16/10/2025</v>
      </c>
      <c r="B6607" t="str">
        <f t="shared" si="1184"/>
        <v>SAÍDA</v>
      </c>
      <c r="C6607" t="str">
        <f t="shared" si="1185"/>
        <v>PIX</v>
      </c>
      <c r="D6607" t="str">
        <f>"23591"</f>
        <v>23591</v>
      </c>
      <c r="E6607" t="str">
        <f t="shared" si="1187"/>
        <v>1</v>
      </c>
      <c r="F6607" t="str">
        <f t="shared" si="1181"/>
        <v>COM</v>
      </c>
      <c r="G6607" t="str">
        <f>"ERIC RODRIGUES TEIXEIRA (939)"</f>
        <v>ERIC RODRIGUES TEIXEIRA (939)</v>
      </c>
      <c r="H6607" t="s">
        <v>1800</v>
      </c>
      <c r="I6607" t="str">
        <f t="shared" si="1186"/>
        <v>16/10/2025</v>
      </c>
      <c r="J6607" t="str">
        <f t="shared" si="1182"/>
        <v>13/10/2025</v>
      </c>
      <c r="K6607">
        <v>45946</v>
      </c>
      <c r="N6607">
        <v>109</v>
      </c>
      <c r="O6607" t="s">
        <v>24</v>
      </c>
      <c r="Q6607">
        <v>92.21</v>
      </c>
      <c r="R6607" t="str">
        <f>"PENSE FARMA 26 (10196)"</f>
        <v>PENSE FARMA 26 (10196)</v>
      </c>
      <c r="S6607" t="s">
        <v>77</v>
      </c>
      <c r="T6607">
        <v>19811</v>
      </c>
      <c r="U6607">
        <v>23591</v>
      </c>
      <c r="V6607" t="s">
        <v>77</v>
      </c>
    </row>
    <row r="6608" spans="1:22">
      <c r="A6608" t="str">
        <f t="shared" si="1183"/>
        <v>16/10/2025</v>
      </c>
      <c r="B6608" t="str">
        <f t="shared" si="1184"/>
        <v>SAÍDA</v>
      </c>
      <c r="C6608" t="str">
        <f t="shared" si="1185"/>
        <v>PIX</v>
      </c>
      <c r="D6608" t="str">
        <f>"23591"</f>
        <v>23591</v>
      </c>
      <c r="E6608" t="str">
        <f t="shared" si="1187"/>
        <v>1</v>
      </c>
      <c r="F6608" t="str">
        <f t="shared" si="1181"/>
        <v>COM</v>
      </c>
      <c r="G6608" t="str">
        <f>"ERIC RODRIGUES TEIXEIRA (939)"</f>
        <v>ERIC RODRIGUES TEIXEIRA (939)</v>
      </c>
      <c r="H6608" t="s">
        <v>1800</v>
      </c>
      <c r="I6608" t="str">
        <f t="shared" si="1186"/>
        <v>16/10/2025</v>
      </c>
      <c r="J6608" t="str">
        <f t="shared" si="1182"/>
        <v>13/10/2025</v>
      </c>
      <c r="K6608">
        <v>45946</v>
      </c>
      <c r="N6608">
        <v>109</v>
      </c>
      <c r="O6608" t="s">
        <v>24</v>
      </c>
      <c r="Q6608">
        <v>184.43</v>
      </c>
      <c r="R6608" t="str">
        <f>"PENSE FARMA 60 (10197)"</f>
        <v>PENSE FARMA 60 (10197)</v>
      </c>
      <c r="S6608" t="s">
        <v>77</v>
      </c>
      <c r="T6608">
        <v>19811</v>
      </c>
      <c r="U6608">
        <v>23591</v>
      </c>
      <c r="V6608" t="s">
        <v>77</v>
      </c>
    </row>
    <row r="6609" spans="1:22">
      <c r="A6609" t="str">
        <f t="shared" si="1183"/>
        <v>16/10/2025</v>
      </c>
      <c r="B6609" t="str">
        <f t="shared" si="1184"/>
        <v>SAÍDA</v>
      </c>
      <c r="C6609" t="str">
        <f t="shared" si="1185"/>
        <v>PIX</v>
      </c>
      <c r="D6609" t="str">
        <f>"23593"</f>
        <v>23593</v>
      </c>
      <c r="E6609" t="str">
        <f t="shared" si="1187"/>
        <v>1</v>
      </c>
      <c r="F6609" t="str">
        <f t="shared" si="1181"/>
        <v>COM</v>
      </c>
      <c r="G6609" t="str">
        <f>"JEFFERSON AMORIM DA SILVA (940)"</f>
        <v>JEFFERSON AMORIM DA SILVA (940)</v>
      </c>
      <c r="H6609" t="str">
        <f>"Serv.Prest. 06/10/2025 a 12/10/2025 - PIX: CELULAR - CHAVE: (11) 98447-6954"</f>
        <v>Serv.Prest. 06/10/2025 a 12/10/2025 - PIX: CELULAR - CHAVE: (11) 98447-6954</v>
      </c>
      <c r="I6609" t="str">
        <f t="shared" si="1186"/>
        <v>16/10/2025</v>
      </c>
      <c r="J6609" t="str">
        <f t="shared" si="1182"/>
        <v>13/10/2025</v>
      </c>
      <c r="K6609" t="str">
        <f>("16/10/2025")</f>
        <v>16/10/2025</v>
      </c>
      <c r="L6609">
        <v>700</v>
      </c>
      <c r="M6609">
        <v>700</v>
      </c>
      <c r="N6609">
        <v>109</v>
      </c>
      <c r="O6609" t="str">
        <f>"PAGAMENTO DE ENTREGADORES"</f>
        <v>PAGAMENTO DE ENTREGADORES</v>
      </c>
      <c r="P6609">
        <v>700</v>
      </c>
      <c r="S6609" t="str">
        <f>"BANCO C6 (149)"</f>
        <v>BANCO C6 (149)</v>
      </c>
      <c r="T6609">
        <v>19812</v>
      </c>
      <c r="U6609">
        <v>23593</v>
      </c>
      <c r="V6609" t="s">
        <v>77</v>
      </c>
    </row>
    <row r="6610" spans="1:22">
      <c r="A6610" t="str">
        <f t="shared" si="1183"/>
        <v>16/10/2025</v>
      </c>
      <c r="B6610" t="str">
        <f t="shared" si="1184"/>
        <v>SAÍDA</v>
      </c>
      <c r="C6610" t="str">
        <f t="shared" si="1185"/>
        <v>PIX</v>
      </c>
      <c r="D6610" t="str">
        <f>"23593"</f>
        <v>23593</v>
      </c>
      <c r="E6610" t="str">
        <f t="shared" si="1187"/>
        <v>1</v>
      </c>
      <c r="F6610" t="str">
        <f t="shared" si="1181"/>
        <v>COM</v>
      </c>
      <c r="G6610" t="str">
        <f>"JEFFERSON AMORIM DA SILVA (940)"</f>
        <v>JEFFERSON AMORIM DA SILVA (940)</v>
      </c>
      <c r="H6610" t="s">
        <v>1801</v>
      </c>
      <c r="I6610" t="str">
        <f t="shared" si="1186"/>
        <v>16/10/2025</v>
      </c>
      <c r="J6610" t="str">
        <f t="shared" si="1182"/>
        <v>13/10/2025</v>
      </c>
      <c r="K6610">
        <v>45946</v>
      </c>
      <c r="N6610">
        <v>109</v>
      </c>
      <c r="O6610" t="s">
        <v>24</v>
      </c>
      <c r="Q6610">
        <v>533.33000000000004</v>
      </c>
      <c r="R6610" t="str">
        <f>"PENSE FARMA 15 (10195)"</f>
        <v>PENSE FARMA 15 (10195)</v>
      </c>
      <c r="S6610" t="s">
        <v>77</v>
      </c>
      <c r="T6610">
        <v>19812</v>
      </c>
      <c r="U6610">
        <v>23593</v>
      </c>
      <c r="V6610" t="s">
        <v>77</v>
      </c>
    </row>
    <row r="6611" spans="1:22">
      <c r="A6611" t="str">
        <f t="shared" si="1183"/>
        <v>16/10/2025</v>
      </c>
      <c r="B6611" t="str">
        <f t="shared" si="1184"/>
        <v>SAÍDA</v>
      </c>
      <c r="C6611" t="str">
        <f t="shared" si="1185"/>
        <v>PIX</v>
      </c>
      <c r="D6611" t="str">
        <f>"23593"</f>
        <v>23593</v>
      </c>
      <c r="E6611" t="str">
        <f t="shared" si="1187"/>
        <v>1</v>
      </c>
      <c r="F6611" t="str">
        <f t="shared" si="1181"/>
        <v>COM</v>
      </c>
      <c r="G6611" t="str">
        <f>"JEFFERSON AMORIM DA SILVA (940)"</f>
        <v>JEFFERSON AMORIM DA SILVA (940)</v>
      </c>
      <c r="H6611" t="s">
        <v>1801</v>
      </c>
      <c r="I6611" t="str">
        <f t="shared" si="1186"/>
        <v>16/10/2025</v>
      </c>
      <c r="J6611" t="str">
        <f t="shared" si="1182"/>
        <v>13/10/2025</v>
      </c>
      <c r="K6611">
        <v>45946</v>
      </c>
      <c r="N6611">
        <v>109</v>
      </c>
      <c r="O6611" t="s">
        <v>24</v>
      </c>
      <c r="Q6611">
        <v>66.64</v>
      </c>
      <c r="R6611" t="str">
        <f>"PENSE FARMA 26 (10196)"</f>
        <v>PENSE FARMA 26 (10196)</v>
      </c>
      <c r="S6611" t="s">
        <v>77</v>
      </c>
      <c r="T6611">
        <v>19812</v>
      </c>
      <c r="U6611">
        <v>23593</v>
      </c>
      <c r="V6611" t="s">
        <v>77</v>
      </c>
    </row>
    <row r="6612" spans="1:22">
      <c r="A6612" t="str">
        <f t="shared" si="1183"/>
        <v>16/10/2025</v>
      </c>
      <c r="B6612" t="str">
        <f t="shared" si="1184"/>
        <v>SAÍDA</v>
      </c>
      <c r="C6612" t="str">
        <f t="shared" si="1185"/>
        <v>PIX</v>
      </c>
      <c r="D6612" t="str">
        <f>"23593"</f>
        <v>23593</v>
      </c>
      <c r="E6612" t="str">
        <f t="shared" si="1187"/>
        <v>1</v>
      </c>
      <c r="F6612" t="str">
        <f t="shared" si="1181"/>
        <v>COM</v>
      </c>
      <c r="G6612" t="str">
        <f>"JEFFERSON AMORIM DA SILVA (940)"</f>
        <v>JEFFERSON AMORIM DA SILVA (940)</v>
      </c>
      <c r="H6612" t="s">
        <v>1801</v>
      </c>
      <c r="I6612" t="str">
        <f t="shared" si="1186"/>
        <v>16/10/2025</v>
      </c>
      <c r="J6612" t="str">
        <f t="shared" si="1182"/>
        <v>13/10/2025</v>
      </c>
      <c r="K6612">
        <v>45946</v>
      </c>
      <c r="N6612">
        <v>109</v>
      </c>
      <c r="O6612" t="s">
        <v>24</v>
      </c>
      <c r="Q6612">
        <v>100.03</v>
      </c>
      <c r="R6612" t="str">
        <f>"PENSE FARMA 60 (10197)"</f>
        <v>PENSE FARMA 60 (10197)</v>
      </c>
      <c r="S6612" t="s">
        <v>77</v>
      </c>
      <c r="T6612">
        <v>19812</v>
      </c>
      <c r="U6612">
        <v>23593</v>
      </c>
      <c r="V6612" t="s">
        <v>77</v>
      </c>
    </row>
    <row r="6613" spans="1:22">
      <c r="A6613" t="str">
        <f t="shared" si="1183"/>
        <v>16/10/2025</v>
      </c>
      <c r="B6613" t="str">
        <f t="shared" si="1184"/>
        <v>SAÍDA</v>
      </c>
      <c r="C6613" t="str">
        <f t="shared" si="1185"/>
        <v>PIX</v>
      </c>
      <c r="D6613" t="str">
        <f>"23595"</f>
        <v>23595</v>
      </c>
      <c r="E6613" t="str">
        <f t="shared" si="1187"/>
        <v>1</v>
      </c>
      <c r="F6613" t="str">
        <f t="shared" si="1181"/>
        <v>COM</v>
      </c>
      <c r="G6613" t="str">
        <f>"ELIO CALDEIRA RIBEIRO JUNIOR (840)"</f>
        <v>ELIO CALDEIRA RIBEIRO JUNIOR (840)</v>
      </c>
      <c r="H6613" t="str">
        <f>"Serv.Prest. 06/10/2025 a 12/10/2025 - PIX: CPF - CHAVE: 463.491.858-70"</f>
        <v>Serv.Prest. 06/10/2025 a 12/10/2025 - PIX: CPF - CHAVE: 463.491.858-70</v>
      </c>
      <c r="I6613" t="str">
        <f t="shared" si="1186"/>
        <v>16/10/2025</v>
      </c>
      <c r="J6613" t="str">
        <f t="shared" ref="J6613:J6644" si="1188">("14/10/2025")</f>
        <v>14/10/2025</v>
      </c>
      <c r="K6613" t="str">
        <f>("16/10/2025")</f>
        <v>16/10/2025</v>
      </c>
      <c r="L6613">
        <v>554</v>
      </c>
      <c r="M6613">
        <v>554</v>
      </c>
      <c r="N6613">
        <v>109</v>
      </c>
      <c r="O6613" t="str">
        <f>"PAGAMENTO DE ENTREGADORES"</f>
        <v>PAGAMENTO DE ENTREGADORES</v>
      </c>
      <c r="P6613">
        <v>554</v>
      </c>
      <c r="S6613" t="str">
        <f>"BANCO C6 (149)"</f>
        <v>BANCO C6 (149)</v>
      </c>
      <c r="T6613">
        <v>19813</v>
      </c>
      <c r="U6613">
        <v>23595</v>
      </c>
      <c r="V6613" t="s">
        <v>77</v>
      </c>
    </row>
    <row r="6614" spans="1:22">
      <c r="A6614" t="str">
        <f t="shared" si="1183"/>
        <v>16/10/2025</v>
      </c>
      <c r="B6614" t="str">
        <f t="shared" si="1184"/>
        <v>SAÍDA</v>
      </c>
      <c r="C6614" t="str">
        <f t="shared" si="1185"/>
        <v>PIX</v>
      </c>
      <c r="D6614" t="str">
        <f>"23595"</f>
        <v>23595</v>
      </c>
      <c r="E6614" t="str">
        <f t="shared" si="1187"/>
        <v>1</v>
      </c>
      <c r="F6614" t="str">
        <f t="shared" si="1181"/>
        <v>COM</v>
      </c>
      <c r="G6614" t="str">
        <f>"ELIO CALDEIRA RIBEIRO JUNIOR (840)"</f>
        <v>ELIO CALDEIRA RIBEIRO JUNIOR (840)</v>
      </c>
      <c r="H6614" t="s">
        <v>1626</v>
      </c>
      <c r="I6614" t="str">
        <f t="shared" si="1186"/>
        <v>16/10/2025</v>
      </c>
      <c r="J6614" t="str">
        <f t="shared" si="1188"/>
        <v>14/10/2025</v>
      </c>
      <c r="K6614">
        <v>45946</v>
      </c>
      <c r="N6614">
        <v>109</v>
      </c>
      <c r="O6614" t="s">
        <v>24</v>
      </c>
      <c r="Q6614">
        <v>554</v>
      </c>
      <c r="R6614" t="str">
        <f>"DROGARIA MEDIC CENTER LTDA (10172)"</f>
        <v>DROGARIA MEDIC CENTER LTDA (10172)</v>
      </c>
      <c r="S6614" t="s">
        <v>77</v>
      </c>
      <c r="T6614">
        <v>19813</v>
      </c>
      <c r="U6614">
        <v>23595</v>
      </c>
      <c r="V6614" t="s">
        <v>77</v>
      </c>
    </row>
    <row r="6615" spans="1:22">
      <c r="A6615" t="str">
        <f t="shared" si="1183"/>
        <v>16/10/2025</v>
      </c>
      <c r="B6615" t="str">
        <f t="shared" si="1184"/>
        <v>SAÍDA</v>
      </c>
      <c r="C6615" t="str">
        <f t="shared" si="1185"/>
        <v>PIX</v>
      </c>
      <c r="D6615" t="str">
        <f>"23598"</f>
        <v>23598</v>
      </c>
      <c r="E6615" t="str">
        <f t="shared" si="1187"/>
        <v>1</v>
      </c>
      <c r="F6615" t="str">
        <f t="shared" si="1181"/>
        <v>COM</v>
      </c>
      <c r="G6615" t="str">
        <f>"ALLAN SILVA DAMACENA (790)"</f>
        <v>ALLAN SILVA DAMACENA (790)</v>
      </c>
      <c r="H6615" t="str">
        <f>"Serv.Prest. 06/10/2025 a 12/10/2025 - PIX: CELULAR - CHAVE: (19) 98944-4977"</f>
        <v>Serv.Prest. 06/10/2025 a 12/10/2025 - PIX: CELULAR - CHAVE: (19) 98944-4977</v>
      </c>
      <c r="I6615" t="str">
        <f t="shared" si="1186"/>
        <v>16/10/2025</v>
      </c>
      <c r="J6615" t="str">
        <f t="shared" si="1188"/>
        <v>14/10/2025</v>
      </c>
      <c r="K6615" t="str">
        <f>("16/10/2025")</f>
        <v>16/10/2025</v>
      </c>
      <c r="L6615">
        <v>775</v>
      </c>
      <c r="M6615">
        <v>775</v>
      </c>
      <c r="N6615">
        <v>109</v>
      </c>
      <c r="O6615" t="str">
        <f>"PAGAMENTO DE ENTREGADORES"</f>
        <v>PAGAMENTO DE ENTREGADORES</v>
      </c>
      <c r="P6615">
        <v>775</v>
      </c>
      <c r="S6615" t="str">
        <f>"BANCO C6 (149)"</f>
        <v>BANCO C6 (149)</v>
      </c>
      <c r="T6615">
        <v>19814</v>
      </c>
      <c r="U6615">
        <v>23598</v>
      </c>
      <c r="V6615" t="s">
        <v>77</v>
      </c>
    </row>
    <row r="6616" spans="1:22">
      <c r="A6616" t="str">
        <f t="shared" si="1183"/>
        <v>16/10/2025</v>
      </c>
      <c r="B6616" t="str">
        <f t="shared" si="1184"/>
        <v>SAÍDA</v>
      </c>
      <c r="C6616" t="str">
        <f t="shared" si="1185"/>
        <v>PIX</v>
      </c>
      <c r="D6616" t="str">
        <f>"23598"</f>
        <v>23598</v>
      </c>
      <c r="E6616" t="str">
        <f t="shared" si="1187"/>
        <v>1</v>
      </c>
      <c r="F6616" t="str">
        <f t="shared" si="1181"/>
        <v>COM</v>
      </c>
      <c r="G6616" t="str">
        <f>"ALLAN SILVA DAMACENA (790)"</f>
        <v>ALLAN SILVA DAMACENA (790)</v>
      </c>
      <c r="H6616" t="s">
        <v>1624</v>
      </c>
      <c r="I6616" t="str">
        <f t="shared" si="1186"/>
        <v>16/10/2025</v>
      </c>
      <c r="J6616" t="str">
        <f t="shared" si="1188"/>
        <v>14/10/2025</v>
      </c>
      <c r="K6616">
        <v>45946</v>
      </c>
      <c r="N6616">
        <v>109</v>
      </c>
      <c r="O6616" t="s">
        <v>24</v>
      </c>
      <c r="Q6616">
        <v>775</v>
      </c>
      <c r="R6616" t="str">
        <f>"DROGARIA MORENO LTDA (10171)"</f>
        <v>DROGARIA MORENO LTDA (10171)</v>
      </c>
      <c r="S6616" t="s">
        <v>77</v>
      </c>
      <c r="T6616">
        <v>19814</v>
      </c>
      <c r="U6616">
        <v>23598</v>
      </c>
      <c r="V6616" t="s">
        <v>77</v>
      </c>
    </row>
    <row r="6617" spans="1:22">
      <c r="A6617" t="str">
        <f t="shared" si="1183"/>
        <v>16/10/2025</v>
      </c>
      <c r="B6617" t="str">
        <f t="shared" si="1184"/>
        <v>SAÍDA</v>
      </c>
      <c r="C6617" t="str">
        <f t="shared" si="1185"/>
        <v>PIX</v>
      </c>
      <c r="D6617" t="str">
        <f>"23599"</f>
        <v>23599</v>
      </c>
      <c r="E6617" t="str">
        <f t="shared" si="1187"/>
        <v>1</v>
      </c>
      <c r="F6617" t="str">
        <f t="shared" si="1181"/>
        <v>COM</v>
      </c>
      <c r="G6617" t="str">
        <f>"EDUARDO MARQUES DOS SANTOS (787)"</f>
        <v>EDUARDO MARQUES DOS SANTOS (787)</v>
      </c>
      <c r="H6617" t="str">
        <f>"Serv.Prest. 06/10/2025 a 12/10/2025 - PIX: CELULAR - CHAVE: (11) 97402-1586"</f>
        <v>Serv.Prest. 06/10/2025 a 12/10/2025 - PIX: CELULAR - CHAVE: (11) 97402-1586</v>
      </c>
      <c r="I6617" t="str">
        <f t="shared" si="1186"/>
        <v>16/10/2025</v>
      </c>
      <c r="J6617" t="str">
        <f t="shared" si="1188"/>
        <v>14/10/2025</v>
      </c>
      <c r="K6617" t="str">
        <f>("16/10/2025")</f>
        <v>16/10/2025</v>
      </c>
      <c r="L6617">
        <v>959</v>
      </c>
      <c r="M6617">
        <v>959</v>
      </c>
      <c r="N6617">
        <v>109</v>
      </c>
      <c r="O6617" t="str">
        <f>"PAGAMENTO DE ENTREGADORES"</f>
        <v>PAGAMENTO DE ENTREGADORES</v>
      </c>
      <c r="P6617">
        <v>959</v>
      </c>
      <c r="S6617" t="str">
        <f>"BANCO C6 (149)"</f>
        <v>BANCO C6 (149)</v>
      </c>
      <c r="T6617">
        <v>19815</v>
      </c>
      <c r="U6617">
        <v>23599</v>
      </c>
      <c r="V6617" t="s">
        <v>77</v>
      </c>
    </row>
    <row r="6618" spans="1:22">
      <c r="A6618" t="str">
        <f t="shared" si="1183"/>
        <v>16/10/2025</v>
      </c>
      <c r="B6618" t="str">
        <f t="shared" si="1184"/>
        <v>SAÍDA</v>
      </c>
      <c r="C6618" t="str">
        <f t="shared" si="1185"/>
        <v>PIX</v>
      </c>
      <c r="D6618" t="str">
        <f>"23599"</f>
        <v>23599</v>
      </c>
      <c r="E6618" t="str">
        <f t="shared" si="1187"/>
        <v>1</v>
      </c>
      <c r="F6618" t="str">
        <f t="shared" si="1181"/>
        <v>COM</v>
      </c>
      <c r="G6618" t="str">
        <f>"EDUARDO MARQUES DOS SANTOS (787)"</f>
        <v>EDUARDO MARQUES DOS SANTOS (787)</v>
      </c>
      <c r="H6618" t="s">
        <v>1802</v>
      </c>
      <c r="I6618" t="str">
        <f t="shared" si="1186"/>
        <v>16/10/2025</v>
      </c>
      <c r="J6618" t="str">
        <f t="shared" si="1188"/>
        <v>14/10/2025</v>
      </c>
      <c r="K6618">
        <v>45946</v>
      </c>
      <c r="N6618">
        <v>109</v>
      </c>
      <c r="O6618" t="s">
        <v>24</v>
      </c>
      <c r="Q6618">
        <v>959</v>
      </c>
      <c r="R6618" t="str">
        <f>"DROGARIA MORENO LTDA (10171)"</f>
        <v>DROGARIA MORENO LTDA (10171)</v>
      </c>
      <c r="S6618" t="s">
        <v>77</v>
      </c>
      <c r="T6618">
        <v>19815</v>
      </c>
      <c r="U6618">
        <v>23599</v>
      </c>
      <c r="V6618" t="s">
        <v>77</v>
      </c>
    </row>
    <row r="6619" spans="1:22">
      <c r="A6619" t="str">
        <f t="shared" si="1183"/>
        <v>16/10/2025</v>
      </c>
      <c r="B6619" t="str">
        <f t="shared" si="1184"/>
        <v>SAÍDA</v>
      </c>
      <c r="C6619" t="str">
        <f t="shared" si="1185"/>
        <v>PIX</v>
      </c>
      <c r="D6619" t="str">
        <f>"23601"</f>
        <v>23601</v>
      </c>
      <c r="E6619" t="str">
        <f t="shared" si="1187"/>
        <v>1</v>
      </c>
      <c r="F6619" t="str">
        <f t="shared" si="1181"/>
        <v>COM</v>
      </c>
      <c r="G6619" t="str">
        <f>"PAULO CESAR DE FARIA (865)"</f>
        <v>PAULO CESAR DE FARIA (865)</v>
      </c>
      <c r="H6619" t="str">
        <f>"Serv.Prest. 06/10/2025 a 12/10/2025 - PIX: CELULAR - CHAVE: (11) 99992-0816"</f>
        <v>Serv.Prest. 06/10/2025 a 12/10/2025 - PIX: CELULAR - CHAVE: (11) 99992-0816</v>
      </c>
      <c r="I6619" t="str">
        <f t="shared" si="1186"/>
        <v>16/10/2025</v>
      </c>
      <c r="J6619" t="str">
        <f t="shared" si="1188"/>
        <v>14/10/2025</v>
      </c>
      <c r="K6619" t="str">
        <f>("16/10/2025")</f>
        <v>16/10/2025</v>
      </c>
      <c r="L6619">
        <v>945</v>
      </c>
      <c r="M6619">
        <v>945</v>
      </c>
      <c r="N6619">
        <v>109</v>
      </c>
      <c r="O6619" t="str">
        <f>"PAGAMENTO DE ENTREGADORES"</f>
        <v>PAGAMENTO DE ENTREGADORES</v>
      </c>
      <c r="P6619">
        <v>945</v>
      </c>
      <c r="S6619" t="str">
        <f>"BANCO C6 (149)"</f>
        <v>BANCO C6 (149)</v>
      </c>
      <c r="T6619">
        <v>19816</v>
      </c>
      <c r="U6619">
        <v>23601</v>
      </c>
      <c r="V6619" t="s">
        <v>77</v>
      </c>
    </row>
    <row r="6620" spans="1:22">
      <c r="A6620" t="str">
        <f t="shared" si="1183"/>
        <v>16/10/2025</v>
      </c>
      <c r="B6620" t="str">
        <f t="shared" si="1184"/>
        <v>SAÍDA</v>
      </c>
      <c r="C6620" t="str">
        <f t="shared" si="1185"/>
        <v>PIX</v>
      </c>
      <c r="D6620" t="str">
        <f>"23601"</f>
        <v>23601</v>
      </c>
      <c r="E6620" t="str">
        <f t="shared" si="1187"/>
        <v>1</v>
      </c>
      <c r="F6620" t="str">
        <f t="shared" si="1181"/>
        <v>COM</v>
      </c>
      <c r="G6620" t="str">
        <f>"PAULO CESAR DE FARIA (865)"</f>
        <v>PAULO CESAR DE FARIA (865)</v>
      </c>
      <c r="H6620" t="s">
        <v>1803</v>
      </c>
      <c r="I6620" t="str">
        <f t="shared" si="1186"/>
        <v>16/10/2025</v>
      </c>
      <c r="J6620" t="str">
        <f t="shared" si="1188"/>
        <v>14/10/2025</v>
      </c>
      <c r="K6620">
        <v>45946</v>
      </c>
      <c r="N6620">
        <v>109</v>
      </c>
      <c r="O6620" t="s">
        <v>24</v>
      </c>
      <c r="Q6620">
        <v>945</v>
      </c>
      <c r="R6620" t="str">
        <f>"DROGARIA MORENO LTDA (10171)"</f>
        <v>DROGARIA MORENO LTDA (10171)</v>
      </c>
      <c r="S6620" t="s">
        <v>77</v>
      </c>
      <c r="T6620">
        <v>19816</v>
      </c>
      <c r="U6620">
        <v>23601</v>
      </c>
      <c r="V6620" t="s">
        <v>77</v>
      </c>
    </row>
    <row r="6621" spans="1:22">
      <c r="A6621" t="str">
        <f t="shared" si="1183"/>
        <v>16/10/2025</v>
      </c>
      <c r="B6621" t="str">
        <f t="shared" si="1184"/>
        <v>SAÍDA</v>
      </c>
      <c r="C6621" t="str">
        <f t="shared" si="1185"/>
        <v>PIX</v>
      </c>
      <c r="D6621" t="str">
        <f>"23604"</f>
        <v>23604</v>
      </c>
      <c r="E6621" t="str">
        <f t="shared" si="1187"/>
        <v>1</v>
      </c>
      <c r="F6621" t="str">
        <f t="shared" si="1181"/>
        <v>COM</v>
      </c>
      <c r="G6621" t="str">
        <f>"CLAUDIO DOS SANTOS (507)"</f>
        <v>CLAUDIO DOS SANTOS (507)</v>
      </c>
      <c r="H6621" t="str">
        <f>"Serv.Prest. 06/10/2025 a 12/10/2025 - PIX: E-MAIL - CHAVE: claudioverdinho2009@hotmail.com"</f>
        <v>Serv.Prest. 06/10/2025 a 12/10/2025 - PIX: E-MAIL - CHAVE: claudioverdinho2009@hotmail.com</v>
      </c>
      <c r="I6621" t="str">
        <f t="shared" si="1186"/>
        <v>16/10/2025</v>
      </c>
      <c r="J6621" t="str">
        <f t="shared" si="1188"/>
        <v>14/10/2025</v>
      </c>
      <c r="K6621" t="str">
        <f>("16/10/2025")</f>
        <v>16/10/2025</v>
      </c>
      <c r="L6621">
        <v>1274</v>
      </c>
      <c r="M6621">
        <v>1274</v>
      </c>
      <c r="N6621">
        <v>109</v>
      </c>
      <c r="O6621" t="str">
        <f>"PAGAMENTO DE ENTREGADORES"</f>
        <v>PAGAMENTO DE ENTREGADORES</v>
      </c>
      <c r="P6621">
        <v>1274</v>
      </c>
      <c r="S6621" t="str">
        <f>"BANCO C6 (149)"</f>
        <v>BANCO C6 (149)</v>
      </c>
      <c r="T6621">
        <v>19817</v>
      </c>
      <c r="U6621">
        <v>23604</v>
      </c>
      <c r="V6621" t="s">
        <v>77</v>
      </c>
    </row>
    <row r="6622" spans="1:22">
      <c r="A6622" t="str">
        <f t="shared" si="1183"/>
        <v>16/10/2025</v>
      </c>
      <c r="B6622" t="str">
        <f t="shared" si="1184"/>
        <v>SAÍDA</v>
      </c>
      <c r="C6622" t="str">
        <f t="shared" si="1185"/>
        <v>PIX</v>
      </c>
      <c r="D6622" t="str">
        <f>"23604"</f>
        <v>23604</v>
      </c>
      <c r="E6622" t="str">
        <f t="shared" si="1187"/>
        <v>1</v>
      </c>
      <c r="F6622" t="str">
        <f t="shared" si="1181"/>
        <v>COM</v>
      </c>
      <c r="G6622" t="str">
        <f>"CLAUDIO DOS SANTOS (507)"</f>
        <v>CLAUDIO DOS SANTOS (507)</v>
      </c>
      <c r="H6622" t="s">
        <v>1804</v>
      </c>
      <c r="I6622" t="str">
        <f t="shared" si="1186"/>
        <v>16/10/2025</v>
      </c>
      <c r="J6622" t="str">
        <f t="shared" si="1188"/>
        <v>14/10/2025</v>
      </c>
      <c r="K6622">
        <v>45946</v>
      </c>
      <c r="N6622">
        <v>109</v>
      </c>
      <c r="O6622" t="s">
        <v>24</v>
      </c>
      <c r="Q6622">
        <v>1274</v>
      </c>
      <c r="R6622" t="str">
        <f>"JAL FARMACIA E DROGARIA LJ 1 (10137)"</f>
        <v>JAL FARMACIA E DROGARIA LJ 1 (10137)</v>
      </c>
      <c r="S6622" t="s">
        <v>77</v>
      </c>
      <c r="T6622">
        <v>19817</v>
      </c>
      <c r="U6622">
        <v>23604</v>
      </c>
      <c r="V6622" t="s">
        <v>77</v>
      </c>
    </row>
    <row r="6623" spans="1:22">
      <c r="A6623" t="str">
        <f t="shared" si="1183"/>
        <v>16/10/2025</v>
      </c>
      <c r="B6623" t="str">
        <f t="shared" si="1184"/>
        <v>SAÍDA</v>
      </c>
      <c r="C6623" t="str">
        <f t="shared" si="1185"/>
        <v>PIX</v>
      </c>
      <c r="D6623" t="str">
        <f>"23605"</f>
        <v>23605</v>
      </c>
      <c r="E6623" t="str">
        <f t="shared" si="1187"/>
        <v>1</v>
      </c>
      <c r="F6623" t="str">
        <f t="shared" si="1181"/>
        <v>COM</v>
      </c>
      <c r="G6623" t="str">
        <f>"HECTOR LUIS YANEZ QUEZADA (718)"</f>
        <v>HECTOR LUIS YANEZ QUEZADA (718)</v>
      </c>
      <c r="H6623" t="str">
        <f>"Serv.Prest. 06/10/2025 a 12/10/2025 - PIX: CELULAR - CHAVE: (41) 98421-2278"</f>
        <v>Serv.Prest. 06/10/2025 a 12/10/2025 - PIX: CELULAR - CHAVE: (41) 98421-2278</v>
      </c>
      <c r="I6623" t="str">
        <f t="shared" si="1186"/>
        <v>16/10/2025</v>
      </c>
      <c r="J6623" t="str">
        <f t="shared" si="1188"/>
        <v>14/10/2025</v>
      </c>
      <c r="K6623" t="str">
        <f>("16/10/2025")</f>
        <v>16/10/2025</v>
      </c>
      <c r="L6623">
        <v>261</v>
      </c>
      <c r="M6623">
        <v>261</v>
      </c>
      <c r="N6623">
        <v>109</v>
      </c>
      <c r="O6623" t="str">
        <f>"PAGAMENTO DE ENTREGADORES"</f>
        <v>PAGAMENTO DE ENTREGADORES</v>
      </c>
      <c r="P6623">
        <v>261</v>
      </c>
      <c r="S6623" t="str">
        <f>"BANCO C6 (149)"</f>
        <v>BANCO C6 (149)</v>
      </c>
      <c r="T6623">
        <v>19818</v>
      </c>
      <c r="U6623">
        <v>23605</v>
      </c>
      <c r="V6623" t="s">
        <v>77</v>
      </c>
    </row>
    <row r="6624" spans="1:22">
      <c r="A6624" t="str">
        <f t="shared" si="1183"/>
        <v>16/10/2025</v>
      </c>
      <c r="B6624" t="str">
        <f t="shared" si="1184"/>
        <v>SAÍDA</v>
      </c>
      <c r="C6624" t="str">
        <f t="shared" si="1185"/>
        <v>PIX</v>
      </c>
      <c r="D6624" t="str">
        <f>"23605"</f>
        <v>23605</v>
      </c>
      <c r="E6624" t="str">
        <f t="shared" si="1187"/>
        <v>1</v>
      </c>
      <c r="F6624" t="str">
        <f t="shared" si="1181"/>
        <v>COM</v>
      </c>
      <c r="G6624" t="str">
        <f>"HECTOR LUIS YANEZ QUEZADA (718)"</f>
        <v>HECTOR LUIS YANEZ QUEZADA (718)</v>
      </c>
      <c r="H6624" t="s">
        <v>1805</v>
      </c>
      <c r="I6624" t="str">
        <f t="shared" si="1186"/>
        <v>16/10/2025</v>
      </c>
      <c r="J6624" t="str">
        <f t="shared" si="1188"/>
        <v>14/10/2025</v>
      </c>
      <c r="K6624">
        <v>45946</v>
      </c>
      <c r="N6624">
        <v>109</v>
      </c>
      <c r="O6624" t="s">
        <v>24</v>
      </c>
      <c r="Q6624">
        <v>261</v>
      </c>
      <c r="R6624" t="str">
        <f>"JAL FARMACIA E DROGARIA LJ 1 (10137)"</f>
        <v>JAL FARMACIA E DROGARIA LJ 1 (10137)</v>
      </c>
      <c r="S6624" t="s">
        <v>77</v>
      </c>
      <c r="T6624">
        <v>19818</v>
      </c>
      <c r="U6624">
        <v>23605</v>
      </c>
      <c r="V6624" t="s">
        <v>77</v>
      </c>
    </row>
    <row r="6625" spans="1:22">
      <c r="A6625" t="str">
        <f t="shared" si="1183"/>
        <v>16/10/2025</v>
      </c>
      <c r="B6625" t="str">
        <f t="shared" si="1184"/>
        <v>SAÍDA</v>
      </c>
      <c r="C6625" t="str">
        <f t="shared" si="1185"/>
        <v>PIX</v>
      </c>
      <c r="D6625" t="str">
        <f>"23606"</f>
        <v>23606</v>
      </c>
      <c r="E6625" t="str">
        <f t="shared" si="1187"/>
        <v>1</v>
      </c>
      <c r="F6625" t="str">
        <f t="shared" si="1181"/>
        <v>COM</v>
      </c>
      <c r="G6625" t="str">
        <f>"JESSICA BRAHOLKA (837)"</f>
        <v>JESSICA BRAHOLKA (837)</v>
      </c>
      <c r="H6625" t="str">
        <f>"Serv.Prest. 06/10/2025 a 12/10/2025 - PIX: CPF - CHAVE: 124.575.099-20"</f>
        <v>Serv.Prest. 06/10/2025 a 12/10/2025 - PIX: CPF - CHAVE: 124.575.099-20</v>
      </c>
      <c r="I6625" t="str">
        <f t="shared" si="1186"/>
        <v>16/10/2025</v>
      </c>
      <c r="J6625" t="str">
        <f t="shared" si="1188"/>
        <v>14/10/2025</v>
      </c>
      <c r="K6625" t="str">
        <f>("16/10/2025")</f>
        <v>16/10/2025</v>
      </c>
      <c r="L6625">
        <v>646</v>
      </c>
      <c r="M6625">
        <v>646</v>
      </c>
      <c r="N6625">
        <v>109</v>
      </c>
      <c r="O6625" t="str">
        <f>"PAGAMENTO DE ENTREGADORES"</f>
        <v>PAGAMENTO DE ENTREGADORES</v>
      </c>
      <c r="P6625">
        <v>646</v>
      </c>
      <c r="S6625" t="str">
        <f>"BANCO C6 (149)"</f>
        <v>BANCO C6 (149)</v>
      </c>
      <c r="T6625">
        <v>19819</v>
      </c>
      <c r="U6625">
        <v>23606</v>
      </c>
      <c r="V6625" t="s">
        <v>77</v>
      </c>
    </row>
    <row r="6626" spans="1:22">
      <c r="A6626" t="str">
        <f t="shared" si="1183"/>
        <v>16/10/2025</v>
      </c>
      <c r="B6626" t="str">
        <f t="shared" si="1184"/>
        <v>SAÍDA</v>
      </c>
      <c r="C6626" t="str">
        <f t="shared" si="1185"/>
        <v>PIX</v>
      </c>
      <c r="D6626" t="str">
        <f>"23606"</f>
        <v>23606</v>
      </c>
      <c r="E6626" t="str">
        <f t="shared" si="1187"/>
        <v>1</v>
      </c>
      <c r="F6626" t="str">
        <f t="shared" si="1181"/>
        <v>COM</v>
      </c>
      <c r="G6626" t="str">
        <f>"JESSICA BRAHOLKA (837)"</f>
        <v>JESSICA BRAHOLKA (837)</v>
      </c>
      <c r="H6626" t="s">
        <v>1806</v>
      </c>
      <c r="I6626" t="str">
        <f t="shared" si="1186"/>
        <v>16/10/2025</v>
      </c>
      <c r="J6626" t="str">
        <f t="shared" si="1188"/>
        <v>14/10/2025</v>
      </c>
      <c r="K6626">
        <v>45946</v>
      </c>
      <c r="N6626">
        <v>109</v>
      </c>
      <c r="O6626" t="s">
        <v>24</v>
      </c>
      <c r="Q6626">
        <v>646</v>
      </c>
      <c r="R6626" t="str">
        <f>"JAL FARMACIA E DROGARIA LJ 1 (10137)"</f>
        <v>JAL FARMACIA E DROGARIA LJ 1 (10137)</v>
      </c>
      <c r="S6626" t="s">
        <v>77</v>
      </c>
      <c r="T6626">
        <v>19819</v>
      </c>
      <c r="U6626">
        <v>23606</v>
      </c>
      <c r="V6626" t="s">
        <v>77</v>
      </c>
    </row>
    <row r="6627" spans="1:22">
      <c r="A6627" t="str">
        <f t="shared" si="1183"/>
        <v>16/10/2025</v>
      </c>
      <c r="B6627" t="str">
        <f t="shared" si="1184"/>
        <v>SAÍDA</v>
      </c>
      <c r="C6627" t="str">
        <f t="shared" si="1185"/>
        <v>PIX</v>
      </c>
      <c r="D6627" t="str">
        <f>"23608"</f>
        <v>23608</v>
      </c>
      <c r="E6627" t="str">
        <f t="shared" si="1187"/>
        <v>1</v>
      </c>
      <c r="F6627" t="str">
        <f t="shared" si="1181"/>
        <v>COM</v>
      </c>
      <c r="G6627" t="str">
        <f>"CLAUDIO DOS SANTOS (507)"</f>
        <v>CLAUDIO DOS SANTOS (507)</v>
      </c>
      <c r="H6627" t="str">
        <f>"Serv.Prest. 06/10/2025 a 12/10/2025 - PIX: E-MAIL - CHAVE: claudioverdinho2009@hotmail.com"</f>
        <v>Serv.Prest. 06/10/2025 a 12/10/2025 - PIX: E-MAIL - CHAVE: claudioverdinho2009@hotmail.com</v>
      </c>
      <c r="I6627" t="str">
        <f t="shared" si="1186"/>
        <v>16/10/2025</v>
      </c>
      <c r="J6627" t="str">
        <f t="shared" si="1188"/>
        <v>14/10/2025</v>
      </c>
      <c r="K6627" t="str">
        <f>("16/10/2025")</f>
        <v>16/10/2025</v>
      </c>
      <c r="L6627">
        <v>114</v>
      </c>
      <c r="M6627">
        <v>114</v>
      </c>
      <c r="N6627">
        <v>109</v>
      </c>
      <c r="O6627" t="str">
        <f>"PAGAMENTO DE ENTREGADORES"</f>
        <v>PAGAMENTO DE ENTREGADORES</v>
      </c>
      <c r="P6627">
        <v>114</v>
      </c>
      <c r="S6627" t="str">
        <f>"BANCO C6 (149)"</f>
        <v>BANCO C6 (149)</v>
      </c>
      <c r="T6627">
        <v>19820</v>
      </c>
      <c r="U6627">
        <v>23608</v>
      </c>
      <c r="V6627" t="s">
        <v>77</v>
      </c>
    </row>
    <row r="6628" spans="1:22">
      <c r="A6628" t="str">
        <f t="shared" si="1183"/>
        <v>16/10/2025</v>
      </c>
      <c r="B6628" t="str">
        <f t="shared" si="1184"/>
        <v>SAÍDA</v>
      </c>
      <c r="C6628" t="str">
        <f t="shared" si="1185"/>
        <v>PIX</v>
      </c>
      <c r="D6628" t="str">
        <f>"23608"</f>
        <v>23608</v>
      </c>
      <c r="E6628" t="str">
        <f t="shared" si="1187"/>
        <v>1</v>
      </c>
      <c r="F6628" t="str">
        <f t="shared" si="1181"/>
        <v>COM</v>
      </c>
      <c r="G6628" t="str">
        <f>"CLAUDIO DOS SANTOS (507)"</f>
        <v>CLAUDIO DOS SANTOS (507)</v>
      </c>
      <c r="H6628" t="s">
        <v>1804</v>
      </c>
      <c r="I6628" t="str">
        <f t="shared" si="1186"/>
        <v>16/10/2025</v>
      </c>
      <c r="J6628" t="str">
        <f t="shared" si="1188"/>
        <v>14/10/2025</v>
      </c>
      <c r="K6628">
        <v>45946</v>
      </c>
      <c r="N6628">
        <v>109</v>
      </c>
      <c r="O6628" t="s">
        <v>24</v>
      </c>
      <c r="Q6628">
        <v>114</v>
      </c>
      <c r="R6628" t="str">
        <f>"JAL FARMACIA E DROGARIA LJ 2 (10138)"</f>
        <v>JAL FARMACIA E DROGARIA LJ 2 (10138)</v>
      </c>
      <c r="S6628" t="s">
        <v>77</v>
      </c>
      <c r="T6628">
        <v>19820</v>
      </c>
      <c r="U6628">
        <v>23608</v>
      </c>
      <c r="V6628" t="s">
        <v>77</v>
      </c>
    </row>
    <row r="6629" spans="1:22">
      <c r="A6629" t="str">
        <f t="shared" si="1183"/>
        <v>16/10/2025</v>
      </c>
      <c r="B6629" t="str">
        <f t="shared" si="1184"/>
        <v>SAÍDA</v>
      </c>
      <c r="C6629" t="str">
        <f t="shared" si="1185"/>
        <v>PIX</v>
      </c>
      <c r="D6629" t="str">
        <f>"23609"</f>
        <v>23609</v>
      </c>
      <c r="E6629" t="str">
        <f t="shared" si="1187"/>
        <v>1</v>
      </c>
      <c r="F6629" t="str">
        <f t="shared" si="1181"/>
        <v>COM</v>
      </c>
      <c r="G6629" t="str">
        <f>"HECTOR LUIS YANEZ QUEZADA (718)"</f>
        <v>HECTOR LUIS YANEZ QUEZADA (718)</v>
      </c>
      <c r="H6629" t="str">
        <f>"Serv.Prest. 06/10/2025 a 12/10/2025 - PIX: CELULAR - CHAVE: (41) 98421-2278"</f>
        <v>Serv.Prest. 06/10/2025 a 12/10/2025 - PIX: CELULAR - CHAVE: (41) 98421-2278</v>
      </c>
      <c r="I6629" t="str">
        <f t="shared" si="1186"/>
        <v>16/10/2025</v>
      </c>
      <c r="J6629" t="str">
        <f t="shared" si="1188"/>
        <v>14/10/2025</v>
      </c>
      <c r="K6629" t="str">
        <f>("16/10/2025")</f>
        <v>16/10/2025</v>
      </c>
      <c r="L6629">
        <v>539</v>
      </c>
      <c r="M6629">
        <v>539</v>
      </c>
      <c r="N6629">
        <v>109</v>
      </c>
      <c r="O6629" t="str">
        <f>"PAGAMENTO DE ENTREGADORES"</f>
        <v>PAGAMENTO DE ENTREGADORES</v>
      </c>
      <c r="P6629">
        <v>539</v>
      </c>
      <c r="S6629" t="str">
        <f>"BANCO C6 (149)"</f>
        <v>BANCO C6 (149)</v>
      </c>
      <c r="T6629">
        <v>19821</v>
      </c>
      <c r="U6629">
        <v>23609</v>
      </c>
      <c r="V6629" t="s">
        <v>77</v>
      </c>
    </row>
    <row r="6630" spans="1:22">
      <c r="A6630" t="str">
        <f t="shared" si="1183"/>
        <v>16/10/2025</v>
      </c>
      <c r="B6630" t="str">
        <f t="shared" si="1184"/>
        <v>SAÍDA</v>
      </c>
      <c r="C6630" t="str">
        <f t="shared" si="1185"/>
        <v>PIX</v>
      </c>
      <c r="D6630" t="str">
        <f>"23609"</f>
        <v>23609</v>
      </c>
      <c r="E6630" t="str">
        <f t="shared" si="1187"/>
        <v>1</v>
      </c>
      <c r="F6630" t="str">
        <f t="shared" si="1181"/>
        <v>COM</v>
      </c>
      <c r="G6630" t="str">
        <f>"HECTOR LUIS YANEZ QUEZADA (718)"</f>
        <v>HECTOR LUIS YANEZ QUEZADA (718)</v>
      </c>
      <c r="H6630" t="s">
        <v>1805</v>
      </c>
      <c r="I6630" t="str">
        <f t="shared" si="1186"/>
        <v>16/10/2025</v>
      </c>
      <c r="J6630" t="str">
        <f t="shared" si="1188"/>
        <v>14/10/2025</v>
      </c>
      <c r="K6630">
        <v>45946</v>
      </c>
      <c r="N6630">
        <v>109</v>
      </c>
      <c r="O6630" t="s">
        <v>24</v>
      </c>
      <c r="Q6630">
        <v>539</v>
      </c>
      <c r="R6630" t="str">
        <f>"JAL FARMACIA E DROGARIA LJ 2 (10138)"</f>
        <v>JAL FARMACIA E DROGARIA LJ 2 (10138)</v>
      </c>
      <c r="S6630" t="s">
        <v>77</v>
      </c>
      <c r="T6630">
        <v>19821</v>
      </c>
      <c r="U6630">
        <v>23609</v>
      </c>
      <c r="V6630" t="s">
        <v>77</v>
      </c>
    </row>
    <row r="6631" spans="1:22">
      <c r="A6631" t="str">
        <f t="shared" si="1183"/>
        <v>16/10/2025</v>
      </c>
      <c r="B6631" t="str">
        <f t="shared" si="1184"/>
        <v>SAÍDA</v>
      </c>
      <c r="C6631" t="str">
        <f t="shared" si="1185"/>
        <v>PIX</v>
      </c>
      <c r="D6631" t="str">
        <f>"23610"</f>
        <v>23610</v>
      </c>
      <c r="E6631" t="str">
        <f t="shared" si="1187"/>
        <v>1</v>
      </c>
      <c r="F6631" t="str">
        <f t="shared" si="1181"/>
        <v>COM</v>
      </c>
      <c r="G6631" t="str">
        <f>"JESSICA BRAHOLKA (837)"</f>
        <v>JESSICA BRAHOLKA (837)</v>
      </c>
      <c r="H6631" t="str">
        <f>"Serv.Prest. 06/10/2025 a 12/10/2025 - PIX: CPF - CHAVE: 124.575.099-20"</f>
        <v>Serv.Prest. 06/10/2025 a 12/10/2025 - PIX: CPF - CHAVE: 124.575.099-20</v>
      </c>
      <c r="I6631" t="str">
        <f t="shared" si="1186"/>
        <v>16/10/2025</v>
      </c>
      <c r="J6631" t="str">
        <f t="shared" si="1188"/>
        <v>14/10/2025</v>
      </c>
      <c r="K6631" t="str">
        <f>("16/10/2025")</f>
        <v>16/10/2025</v>
      </c>
      <c r="L6631">
        <v>686</v>
      </c>
      <c r="M6631">
        <v>686</v>
      </c>
      <c r="N6631">
        <v>109</v>
      </c>
      <c r="O6631" t="str">
        <f>"PAGAMENTO DE ENTREGADORES"</f>
        <v>PAGAMENTO DE ENTREGADORES</v>
      </c>
      <c r="P6631">
        <v>686</v>
      </c>
      <c r="S6631" t="str">
        <f>"BANCO C6 (149)"</f>
        <v>BANCO C6 (149)</v>
      </c>
      <c r="T6631">
        <v>19822</v>
      </c>
      <c r="U6631">
        <v>23610</v>
      </c>
      <c r="V6631" t="s">
        <v>77</v>
      </c>
    </row>
    <row r="6632" spans="1:22">
      <c r="A6632" t="str">
        <f t="shared" si="1183"/>
        <v>16/10/2025</v>
      </c>
      <c r="B6632" t="str">
        <f t="shared" si="1184"/>
        <v>SAÍDA</v>
      </c>
      <c r="C6632" t="str">
        <f t="shared" si="1185"/>
        <v>PIX</v>
      </c>
      <c r="D6632" t="str">
        <f>"23610"</f>
        <v>23610</v>
      </c>
      <c r="E6632" t="str">
        <f t="shared" si="1187"/>
        <v>1</v>
      </c>
      <c r="F6632" t="str">
        <f t="shared" si="1181"/>
        <v>COM</v>
      </c>
      <c r="G6632" t="str">
        <f>"JESSICA BRAHOLKA (837)"</f>
        <v>JESSICA BRAHOLKA (837)</v>
      </c>
      <c r="H6632" t="s">
        <v>1806</v>
      </c>
      <c r="I6632" t="str">
        <f t="shared" si="1186"/>
        <v>16/10/2025</v>
      </c>
      <c r="J6632" t="str">
        <f t="shared" si="1188"/>
        <v>14/10/2025</v>
      </c>
      <c r="K6632">
        <v>45946</v>
      </c>
      <c r="N6632">
        <v>109</v>
      </c>
      <c r="O6632" t="s">
        <v>24</v>
      </c>
      <c r="Q6632">
        <v>686</v>
      </c>
      <c r="R6632" t="str">
        <f>"JAL FARMACIA E DROGARIA LJ 2 (10138)"</f>
        <v>JAL FARMACIA E DROGARIA LJ 2 (10138)</v>
      </c>
      <c r="S6632" t="s">
        <v>77</v>
      </c>
      <c r="T6632">
        <v>19822</v>
      </c>
      <c r="U6632">
        <v>23610</v>
      </c>
      <c r="V6632" t="s">
        <v>77</v>
      </c>
    </row>
    <row r="6633" spans="1:22">
      <c r="A6633" t="str">
        <f t="shared" si="1183"/>
        <v>16/10/2025</v>
      </c>
      <c r="B6633" t="str">
        <f t="shared" si="1184"/>
        <v>SAÍDA</v>
      </c>
      <c r="C6633" t="str">
        <f t="shared" si="1185"/>
        <v>PIX</v>
      </c>
      <c r="D6633" t="str">
        <f>"23612"</f>
        <v>23612</v>
      </c>
      <c r="E6633" t="str">
        <f t="shared" si="1187"/>
        <v>1</v>
      </c>
      <c r="F6633" t="str">
        <f t="shared" si="1181"/>
        <v>COM</v>
      </c>
      <c r="G6633" t="str">
        <f>"ALESSANDRO SILVA DOS SANTOS (966)"</f>
        <v>ALESSANDRO SILVA DOS SANTOS (966)</v>
      </c>
      <c r="H6633" t="str">
        <f>"Serv.Prest. 06/10/2025 a 12/10/2025 - PIX: E-MAIL - CHAVE: silvaalessandro3909@gmail.com"</f>
        <v>Serv.Prest. 06/10/2025 a 12/10/2025 - PIX: E-MAIL - CHAVE: silvaalessandro3909@gmail.com</v>
      </c>
      <c r="I6633" t="str">
        <f t="shared" si="1186"/>
        <v>16/10/2025</v>
      </c>
      <c r="J6633" t="str">
        <f t="shared" si="1188"/>
        <v>14/10/2025</v>
      </c>
      <c r="K6633" t="str">
        <f>("16/10/2025")</f>
        <v>16/10/2025</v>
      </c>
      <c r="L6633">
        <v>480</v>
      </c>
      <c r="M6633">
        <v>480</v>
      </c>
      <c r="N6633">
        <v>109</v>
      </c>
      <c r="O6633" t="str">
        <f>"PAGAMENTO DE ENTREGADORES"</f>
        <v>PAGAMENTO DE ENTREGADORES</v>
      </c>
      <c r="P6633">
        <v>480</v>
      </c>
      <c r="S6633" t="str">
        <f>"BANCO C6 (149)"</f>
        <v>BANCO C6 (149)</v>
      </c>
      <c r="T6633">
        <v>19823</v>
      </c>
      <c r="U6633">
        <v>23612</v>
      </c>
      <c r="V6633" t="s">
        <v>77</v>
      </c>
    </row>
    <row r="6634" spans="1:22">
      <c r="A6634" t="str">
        <f t="shared" si="1183"/>
        <v>16/10/2025</v>
      </c>
      <c r="B6634" t="str">
        <f t="shared" si="1184"/>
        <v>SAÍDA</v>
      </c>
      <c r="C6634" t="str">
        <f t="shared" si="1185"/>
        <v>PIX</v>
      </c>
      <c r="D6634" t="str">
        <f>"23612"</f>
        <v>23612</v>
      </c>
      <c r="E6634" t="str">
        <f t="shared" si="1187"/>
        <v>1</v>
      </c>
      <c r="F6634" t="str">
        <f t="shared" ref="F6634:F6697" si="1189">"COM"</f>
        <v>COM</v>
      </c>
      <c r="G6634" t="str">
        <f>"ALESSANDRO SILVA DOS SANTOS (966)"</f>
        <v>ALESSANDRO SILVA DOS SANTOS (966)</v>
      </c>
      <c r="H6634" t="s">
        <v>1807</v>
      </c>
      <c r="I6634" t="str">
        <f t="shared" si="1186"/>
        <v>16/10/2025</v>
      </c>
      <c r="J6634" t="str">
        <f t="shared" si="1188"/>
        <v>14/10/2025</v>
      </c>
      <c r="K6634">
        <v>45946</v>
      </c>
      <c r="N6634">
        <v>109</v>
      </c>
      <c r="O6634" t="s">
        <v>24</v>
      </c>
      <c r="Q6634">
        <v>480</v>
      </c>
      <c r="R6634" t="str">
        <f>"PENSE FARMA 22 (10198)"</f>
        <v>PENSE FARMA 22 (10198)</v>
      </c>
      <c r="S6634" t="s">
        <v>77</v>
      </c>
      <c r="T6634">
        <v>19823</v>
      </c>
      <c r="U6634">
        <v>23612</v>
      </c>
      <c r="V6634" t="s">
        <v>77</v>
      </c>
    </row>
    <row r="6635" spans="1:22">
      <c r="A6635" t="str">
        <f t="shared" si="1183"/>
        <v>16/10/2025</v>
      </c>
      <c r="B6635" t="str">
        <f t="shared" si="1184"/>
        <v>SAÍDA</v>
      </c>
      <c r="C6635" t="str">
        <f t="shared" si="1185"/>
        <v>PIX</v>
      </c>
      <c r="D6635" t="str">
        <f>"23615"</f>
        <v>23615</v>
      </c>
      <c r="E6635" t="str">
        <f t="shared" si="1187"/>
        <v>1</v>
      </c>
      <c r="F6635" t="str">
        <f t="shared" si="1189"/>
        <v>COM</v>
      </c>
      <c r="G6635" t="str">
        <f>"JULIEDERSON AGUIAR SANTOS (946)"</f>
        <v>JULIEDERSON AGUIAR SANTOS (946)</v>
      </c>
      <c r="H6635" t="str">
        <f>"Serv.Prest. 06/10/2025 a 12/10/2025 - PIX: CPF - CHAVE: 383.328.968-60"</f>
        <v>Serv.Prest. 06/10/2025 a 12/10/2025 - PIX: CPF - CHAVE: 383.328.968-60</v>
      </c>
      <c r="I6635" t="str">
        <f t="shared" si="1186"/>
        <v>16/10/2025</v>
      </c>
      <c r="J6635" t="str">
        <f t="shared" si="1188"/>
        <v>14/10/2025</v>
      </c>
      <c r="K6635" t="str">
        <f>("16/10/2025")</f>
        <v>16/10/2025</v>
      </c>
      <c r="L6635">
        <v>1090</v>
      </c>
      <c r="M6635">
        <v>1090</v>
      </c>
      <c r="N6635">
        <v>109</v>
      </c>
      <c r="O6635" t="str">
        <f>"PAGAMENTO DE ENTREGADORES"</f>
        <v>PAGAMENTO DE ENTREGADORES</v>
      </c>
      <c r="P6635">
        <v>1090</v>
      </c>
      <c r="S6635" t="str">
        <f>"BANCO C6 (149)"</f>
        <v>BANCO C6 (149)</v>
      </c>
      <c r="T6635">
        <v>19824</v>
      </c>
      <c r="U6635">
        <v>23615</v>
      </c>
      <c r="V6635" t="s">
        <v>77</v>
      </c>
    </row>
    <row r="6636" spans="1:22">
      <c r="A6636" t="str">
        <f t="shared" si="1183"/>
        <v>16/10/2025</v>
      </c>
      <c r="B6636" t="str">
        <f t="shared" si="1184"/>
        <v>SAÍDA</v>
      </c>
      <c r="C6636" t="str">
        <f t="shared" si="1185"/>
        <v>PIX</v>
      </c>
      <c r="D6636" t="str">
        <f>"23615"</f>
        <v>23615</v>
      </c>
      <c r="E6636" t="str">
        <f t="shared" si="1187"/>
        <v>1</v>
      </c>
      <c r="F6636" t="str">
        <f t="shared" si="1189"/>
        <v>COM</v>
      </c>
      <c r="G6636" t="str">
        <f>"JULIEDERSON AGUIAR SANTOS (946)"</f>
        <v>JULIEDERSON AGUIAR SANTOS (946)</v>
      </c>
      <c r="H6636" t="s">
        <v>1808</v>
      </c>
      <c r="I6636" t="str">
        <f t="shared" si="1186"/>
        <v>16/10/2025</v>
      </c>
      <c r="J6636" t="str">
        <f t="shared" si="1188"/>
        <v>14/10/2025</v>
      </c>
      <c r="K6636">
        <v>45946</v>
      </c>
      <c r="N6636">
        <v>109</v>
      </c>
      <c r="O6636" t="s">
        <v>24</v>
      </c>
      <c r="Q6636">
        <v>1090</v>
      </c>
      <c r="R6636" t="str">
        <f>"PENSE FARMA 22 (10198)"</f>
        <v>PENSE FARMA 22 (10198)</v>
      </c>
      <c r="S6636" t="s">
        <v>77</v>
      </c>
      <c r="T6636">
        <v>19824</v>
      </c>
      <c r="U6636">
        <v>23615</v>
      </c>
      <c r="V6636" t="s">
        <v>77</v>
      </c>
    </row>
    <row r="6637" spans="1:22">
      <c r="A6637" t="str">
        <f t="shared" si="1183"/>
        <v>16/10/2025</v>
      </c>
      <c r="B6637" t="str">
        <f t="shared" si="1184"/>
        <v>SAÍDA</v>
      </c>
      <c r="C6637" t="str">
        <f t="shared" si="1185"/>
        <v>PIX</v>
      </c>
      <c r="D6637" t="str">
        <f>"23618"</f>
        <v>23618</v>
      </c>
      <c r="E6637" t="str">
        <f t="shared" si="1187"/>
        <v>1</v>
      </c>
      <c r="F6637" t="str">
        <f t="shared" si="1189"/>
        <v>COM</v>
      </c>
      <c r="G6637" t="str">
        <f>"LUAN DOS REIS SILVA (954)"</f>
        <v>LUAN DOS REIS SILVA (954)</v>
      </c>
      <c r="H6637" t="str">
        <f>"Serv.Prest. 06/10/2025 a 12/10/2025 - PIX: CELULAR - CHAVE: (11) 95906-5439"</f>
        <v>Serv.Prest. 06/10/2025 a 12/10/2025 - PIX: CELULAR - CHAVE: (11) 95906-5439</v>
      </c>
      <c r="I6637" t="str">
        <f t="shared" si="1186"/>
        <v>16/10/2025</v>
      </c>
      <c r="J6637" t="str">
        <f t="shared" si="1188"/>
        <v>14/10/2025</v>
      </c>
      <c r="K6637" t="str">
        <f>("16/10/2025")</f>
        <v>16/10/2025</v>
      </c>
      <c r="L6637">
        <v>1455</v>
      </c>
      <c r="M6637">
        <v>1455</v>
      </c>
      <c r="N6637">
        <v>109</v>
      </c>
      <c r="O6637" t="str">
        <f>"PAGAMENTO DE ENTREGADORES"</f>
        <v>PAGAMENTO DE ENTREGADORES</v>
      </c>
      <c r="P6637">
        <v>1455</v>
      </c>
      <c r="S6637" t="str">
        <f>"BANCO C6 (149)"</f>
        <v>BANCO C6 (149)</v>
      </c>
      <c r="T6637">
        <v>19825</v>
      </c>
      <c r="U6637">
        <v>23618</v>
      </c>
      <c r="V6637" t="s">
        <v>77</v>
      </c>
    </row>
    <row r="6638" spans="1:22">
      <c r="A6638" t="str">
        <f t="shared" si="1183"/>
        <v>16/10/2025</v>
      </c>
      <c r="B6638" t="str">
        <f t="shared" si="1184"/>
        <v>SAÍDA</v>
      </c>
      <c r="C6638" t="str">
        <f t="shared" si="1185"/>
        <v>PIX</v>
      </c>
      <c r="D6638" t="str">
        <f>"23618"</f>
        <v>23618</v>
      </c>
      <c r="E6638" t="str">
        <f t="shared" si="1187"/>
        <v>1</v>
      </c>
      <c r="F6638" t="str">
        <f t="shared" si="1189"/>
        <v>COM</v>
      </c>
      <c r="G6638" t="str">
        <f>"LUAN DOS REIS SILVA (954)"</f>
        <v>LUAN DOS REIS SILVA (954)</v>
      </c>
      <c r="H6638" t="s">
        <v>1618</v>
      </c>
      <c r="I6638" t="str">
        <f t="shared" si="1186"/>
        <v>16/10/2025</v>
      </c>
      <c r="J6638" t="str">
        <f t="shared" si="1188"/>
        <v>14/10/2025</v>
      </c>
      <c r="K6638">
        <v>45946</v>
      </c>
      <c r="N6638">
        <v>109</v>
      </c>
      <c r="O6638" t="s">
        <v>24</v>
      </c>
      <c r="Q6638">
        <v>656.79</v>
      </c>
      <c r="R6638" t="str">
        <f>"PENSE FARMA 05 (10200)"</f>
        <v>PENSE FARMA 05 (10200)</v>
      </c>
      <c r="S6638" t="s">
        <v>77</v>
      </c>
      <c r="T6638">
        <v>19825</v>
      </c>
      <c r="U6638">
        <v>23618</v>
      </c>
      <c r="V6638" t="s">
        <v>77</v>
      </c>
    </row>
    <row r="6639" spans="1:22">
      <c r="A6639" t="str">
        <f t="shared" si="1183"/>
        <v>16/10/2025</v>
      </c>
      <c r="B6639" t="str">
        <f t="shared" si="1184"/>
        <v>SAÍDA</v>
      </c>
      <c r="C6639" t="str">
        <f t="shared" si="1185"/>
        <v>PIX</v>
      </c>
      <c r="D6639" t="str">
        <f>"23618"</f>
        <v>23618</v>
      </c>
      <c r="E6639" t="str">
        <f t="shared" si="1187"/>
        <v>1</v>
      </c>
      <c r="F6639" t="str">
        <f t="shared" si="1189"/>
        <v>COM</v>
      </c>
      <c r="G6639" t="str">
        <f>"LUAN DOS REIS SILVA (954)"</f>
        <v>LUAN DOS REIS SILVA (954)</v>
      </c>
      <c r="H6639" t="s">
        <v>1618</v>
      </c>
      <c r="I6639" t="str">
        <f t="shared" si="1186"/>
        <v>16/10/2025</v>
      </c>
      <c r="J6639" t="str">
        <f t="shared" si="1188"/>
        <v>14/10/2025</v>
      </c>
      <c r="K6639">
        <v>45946</v>
      </c>
      <c r="N6639">
        <v>109</v>
      </c>
      <c r="O6639" t="s">
        <v>24</v>
      </c>
      <c r="Q6639">
        <v>555.66</v>
      </c>
      <c r="R6639" t="str">
        <f>"PENSE FARMA 13 (10202)"</f>
        <v>PENSE FARMA 13 (10202)</v>
      </c>
      <c r="S6639" t="s">
        <v>77</v>
      </c>
      <c r="T6639">
        <v>19825</v>
      </c>
      <c r="U6639">
        <v>23618</v>
      </c>
      <c r="V6639" t="s">
        <v>77</v>
      </c>
    </row>
    <row r="6640" spans="1:22">
      <c r="A6640" t="str">
        <f t="shared" si="1183"/>
        <v>16/10/2025</v>
      </c>
      <c r="B6640" t="str">
        <f t="shared" si="1184"/>
        <v>SAÍDA</v>
      </c>
      <c r="C6640" t="str">
        <f t="shared" si="1185"/>
        <v>PIX</v>
      </c>
      <c r="D6640" t="str">
        <f>"23618"</f>
        <v>23618</v>
      </c>
      <c r="E6640" t="str">
        <f t="shared" si="1187"/>
        <v>1</v>
      </c>
      <c r="F6640" t="str">
        <f t="shared" si="1189"/>
        <v>COM</v>
      </c>
      <c r="G6640" t="str">
        <f>"LUAN DOS REIS SILVA (954)"</f>
        <v>LUAN DOS REIS SILVA (954)</v>
      </c>
      <c r="H6640" t="s">
        <v>1618</v>
      </c>
      <c r="I6640" t="str">
        <f t="shared" si="1186"/>
        <v>16/10/2025</v>
      </c>
      <c r="J6640" t="str">
        <f t="shared" si="1188"/>
        <v>14/10/2025</v>
      </c>
      <c r="K6640">
        <v>45946</v>
      </c>
      <c r="N6640">
        <v>109</v>
      </c>
      <c r="O6640" t="s">
        <v>24</v>
      </c>
      <c r="Q6640">
        <v>242.55</v>
      </c>
      <c r="R6640" t="str">
        <f>"PENSE FARMA 27 (10204)"</f>
        <v>PENSE FARMA 27 (10204)</v>
      </c>
      <c r="S6640" t="s">
        <v>77</v>
      </c>
      <c r="T6640">
        <v>19825</v>
      </c>
      <c r="U6640">
        <v>23618</v>
      </c>
      <c r="V6640" t="s">
        <v>77</v>
      </c>
    </row>
    <row r="6641" spans="1:22">
      <c r="A6641" t="str">
        <f t="shared" si="1183"/>
        <v>16/10/2025</v>
      </c>
      <c r="B6641" t="str">
        <f t="shared" si="1184"/>
        <v>SAÍDA</v>
      </c>
      <c r="C6641" t="str">
        <f t="shared" si="1185"/>
        <v>PIX</v>
      </c>
      <c r="D6641" t="str">
        <f>"23622"</f>
        <v>23622</v>
      </c>
      <c r="E6641" t="str">
        <f t="shared" si="1187"/>
        <v>1</v>
      </c>
      <c r="F6641" t="str">
        <f t="shared" si="1189"/>
        <v>COM</v>
      </c>
      <c r="G6641" t="str">
        <f>"HERICK KUSSYOYADA CAMARA (937)"</f>
        <v>HERICK KUSSYOYADA CAMARA (937)</v>
      </c>
      <c r="H6641" t="str">
        <f>"Serv.Prest. 06/10/2025 a 12/10/2025 - PIX: CPF - CHAVE: 427.090.718-51"</f>
        <v>Serv.Prest. 06/10/2025 a 12/10/2025 - PIX: CPF - CHAVE: 427.090.718-51</v>
      </c>
      <c r="I6641" t="str">
        <f t="shared" si="1186"/>
        <v>16/10/2025</v>
      </c>
      <c r="J6641" t="str">
        <f t="shared" si="1188"/>
        <v>14/10/2025</v>
      </c>
      <c r="K6641" t="str">
        <f>("16/10/2025")</f>
        <v>16/10/2025</v>
      </c>
      <c r="L6641">
        <v>1400</v>
      </c>
      <c r="M6641">
        <v>1400</v>
      </c>
      <c r="N6641">
        <v>109</v>
      </c>
      <c r="O6641" t="str">
        <f>"PAGAMENTO DE ENTREGADORES"</f>
        <v>PAGAMENTO DE ENTREGADORES</v>
      </c>
      <c r="P6641">
        <v>1400</v>
      </c>
      <c r="S6641" t="str">
        <f>"BANCO C6 (149)"</f>
        <v>BANCO C6 (149)</v>
      </c>
      <c r="T6641">
        <v>19826</v>
      </c>
      <c r="U6641">
        <v>23622</v>
      </c>
      <c r="V6641" t="s">
        <v>77</v>
      </c>
    </row>
    <row r="6642" spans="1:22">
      <c r="A6642" t="str">
        <f t="shared" si="1183"/>
        <v>16/10/2025</v>
      </c>
      <c r="B6642" t="str">
        <f t="shared" si="1184"/>
        <v>SAÍDA</v>
      </c>
      <c r="C6642" t="str">
        <f t="shared" si="1185"/>
        <v>PIX</v>
      </c>
      <c r="D6642" t="str">
        <f>"23622"</f>
        <v>23622</v>
      </c>
      <c r="E6642" t="str">
        <f t="shared" si="1187"/>
        <v>1</v>
      </c>
      <c r="F6642" t="str">
        <f t="shared" si="1189"/>
        <v>COM</v>
      </c>
      <c r="G6642" t="str">
        <f>"HERICK KUSSYOYADA CAMARA (937)"</f>
        <v>HERICK KUSSYOYADA CAMARA (937)</v>
      </c>
      <c r="H6642" t="s">
        <v>1809</v>
      </c>
      <c r="I6642" t="str">
        <f t="shared" si="1186"/>
        <v>16/10/2025</v>
      </c>
      <c r="J6642" t="str">
        <f t="shared" si="1188"/>
        <v>14/10/2025</v>
      </c>
      <c r="K6642">
        <v>45946</v>
      </c>
      <c r="N6642">
        <v>109</v>
      </c>
      <c r="O6642" t="s">
        <v>24</v>
      </c>
      <c r="Q6642">
        <v>1400</v>
      </c>
      <c r="R6642" t="str">
        <f>"PENSE FARMA 46 (10194)"</f>
        <v>PENSE FARMA 46 (10194)</v>
      </c>
      <c r="S6642" t="s">
        <v>77</v>
      </c>
      <c r="T6642">
        <v>19826</v>
      </c>
      <c r="U6642">
        <v>23622</v>
      </c>
      <c r="V6642" t="s">
        <v>77</v>
      </c>
    </row>
    <row r="6643" spans="1:22">
      <c r="A6643" t="str">
        <f t="shared" si="1183"/>
        <v>16/10/2025</v>
      </c>
      <c r="B6643" t="str">
        <f t="shared" si="1184"/>
        <v>SAÍDA</v>
      </c>
      <c r="C6643" t="str">
        <f t="shared" si="1185"/>
        <v>PIX</v>
      </c>
      <c r="D6643" t="str">
        <f t="shared" ref="D6643:D6648" si="1190">"23625"</f>
        <v>23625</v>
      </c>
      <c r="E6643" t="str">
        <f t="shared" si="1187"/>
        <v>1</v>
      </c>
      <c r="F6643" t="str">
        <f t="shared" si="1189"/>
        <v>COM</v>
      </c>
      <c r="G6643" t="str">
        <f t="shared" ref="G6643:G6648" si="1191">"FELIPE ALEXANDRE CAMA (976)"</f>
        <v>FELIPE ALEXANDRE CAMA (976)</v>
      </c>
      <c r="H6643" t="str">
        <f>"Serv.Prest. 06/10/2025 a 12/10/2025 - PIX: CPF - CHAVE: 471.142.438-55"</f>
        <v>Serv.Prest. 06/10/2025 a 12/10/2025 - PIX: CPF - CHAVE: 471.142.438-55</v>
      </c>
      <c r="I6643" t="str">
        <f t="shared" si="1186"/>
        <v>16/10/2025</v>
      </c>
      <c r="J6643" t="str">
        <f t="shared" si="1188"/>
        <v>14/10/2025</v>
      </c>
      <c r="K6643" t="str">
        <f>("16/10/2025")</f>
        <v>16/10/2025</v>
      </c>
      <c r="L6643">
        <v>1325</v>
      </c>
      <c r="M6643">
        <v>1325</v>
      </c>
      <c r="N6643">
        <v>109</v>
      </c>
      <c r="O6643" t="str">
        <f>"PAGAMENTO DE ENTREGADORES"</f>
        <v>PAGAMENTO DE ENTREGADORES</v>
      </c>
      <c r="P6643">
        <v>1325</v>
      </c>
      <c r="S6643" t="str">
        <f>"BANCO C6 (149)"</f>
        <v>BANCO C6 (149)</v>
      </c>
      <c r="T6643">
        <v>19827</v>
      </c>
      <c r="U6643">
        <v>23625</v>
      </c>
      <c r="V6643" t="s">
        <v>77</v>
      </c>
    </row>
    <row r="6644" spans="1:22">
      <c r="A6644" t="str">
        <f t="shared" si="1183"/>
        <v>16/10/2025</v>
      </c>
      <c r="B6644" t="str">
        <f t="shared" si="1184"/>
        <v>SAÍDA</v>
      </c>
      <c r="C6644" t="str">
        <f t="shared" si="1185"/>
        <v>PIX</v>
      </c>
      <c r="D6644" t="str">
        <f t="shared" si="1190"/>
        <v>23625</v>
      </c>
      <c r="E6644" t="str">
        <f t="shared" si="1187"/>
        <v>1</v>
      </c>
      <c r="F6644" t="str">
        <f t="shared" si="1189"/>
        <v>COM</v>
      </c>
      <c r="G6644" t="str">
        <f t="shared" si="1191"/>
        <v>FELIPE ALEXANDRE CAMA (976)</v>
      </c>
      <c r="H6644" t="s">
        <v>1810</v>
      </c>
      <c r="I6644" t="str">
        <f t="shared" si="1186"/>
        <v>16/10/2025</v>
      </c>
      <c r="J6644" t="str">
        <f t="shared" si="1188"/>
        <v>14/10/2025</v>
      </c>
      <c r="K6644">
        <v>45946</v>
      </c>
      <c r="N6644">
        <v>109</v>
      </c>
      <c r="O6644" t="s">
        <v>24</v>
      </c>
      <c r="Q6644">
        <v>189.34</v>
      </c>
      <c r="R6644" t="str">
        <f>"PENSE FARMA 20 (10203)"</f>
        <v>PENSE FARMA 20 (10203)</v>
      </c>
      <c r="S6644" t="s">
        <v>77</v>
      </c>
      <c r="T6644">
        <v>19827</v>
      </c>
      <c r="U6644">
        <v>23625</v>
      </c>
      <c r="V6644" t="s">
        <v>77</v>
      </c>
    </row>
    <row r="6645" spans="1:22">
      <c r="A6645" t="str">
        <f t="shared" si="1183"/>
        <v>16/10/2025</v>
      </c>
      <c r="B6645" t="str">
        <f t="shared" si="1184"/>
        <v>SAÍDA</v>
      </c>
      <c r="C6645" t="str">
        <f t="shared" si="1185"/>
        <v>PIX</v>
      </c>
      <c r="D6645" t="str">
        <f t="shared" si="1190"/>
        <v>23625</v>
      </c>
      <c r="E6645" t="str">
        <f t="shared" si="1187"/>
        <v>1</v>
      </c>
      <c r="F6645" t="str">
        <f t="shared" si="1189"/>
        <v>COM</v>
      </c>
      <c r="G6645" t="str">
        <f t="shared" si="1191"/>
        <v>FELIPE ALEXANDRE CAMA (976)</v>
      </c>
      <c r="H6645" t="s">
        <v>1810</v>
      </c>
      <c r="I6645" t="str">
        <f t="shared" si="1186"/>
        <v>16/10/2025</v>
      </c>
      <c r="J6645" t="str">
        <f t="shared" ref="J6645:J6676" si="1192">("14/10/2025")</f>
        <v>14/10/2025</v>
      </c>
      <c r="K6645">
        <v>45946</v>
      </c>
      <c r="N6645">
        <v>109</v>
      </c>
      <c r="O6645" t="s">
        <v>24</v>
      </c>
      <c r="Q6645">
        <v>361.33</v>
      </c>
      <c r="R6645" t="str">
        <f>"PENSE FARMA 36 (10206)"</f>
        <v>PENSE FARMA 36 (10206)</v>
      </c>
      <c r="S6645" t="s">
        <v>77</v>
      </c>
      <c r="T6645">
        <v>19827</v>
      </c>
      <c r="U6645">
        <v>23625</v>
      </c>
      <c r="V6645" t="s">
        <v>77</v>
      </c>
    </row>
    <row r="6646" spans="1:22">
      <c r="A6646" t="str">
        <f t="shared" si="1183"/>
        <v>16/10/2025</v>
      </c>
      <c r="B6646" t="str">
        <f t="shared" si="1184"/>
        <v>SAÍDA</v>
      </c>
      <c r="C6646" t="str">
        <f t="shared" si="1185"/>
        <v>PIX</v>
      </c>
      <c r="D6646" t="str">
        <f t="shared" si="1190"/>
        <v>23625</v>
      </c>
      <c r="E6646" t="str">
        <f t="shared" si="1187"/>
        <v>1</v>
      </c>
      <c r="F6646" t="str">
        <f t="shared" si="1189"/>
        <v>COM</v>
      </c>
      <c r="G6646" t="str">
        <f t="shared" si="1191"/>
        <v>FELIPE ALEXANDRE CAMA (976)</v>
      </c>
      <c r="H6646" t="s">
        <v>1810</v>
      </c>
      <c r="I6646" t="str">
        <f t="shared" si="1186"/>
        <v>16/10/2025</v>
      </c>
      <c r="J6646" t="str">
        <f t="shared" si="1192"/>
        <v>14/10/2025</v>
      </c>
      <c r="K6646">
        <v>45946</v>
      </c>
      <c r="N6646">
        <v>109</v>
      </c>
      <c r="O6646" t="s">
        <v>24</v>
      </c>
      <c r="Q6646">
        <v>85.99</v>
      </c>
      <c r="R6646" t="str">
        <f>"PENSE FARMA 40 (10207)"</f>
        <v>PENSE FARMA 40 (10207)</v>
      </c>
      <c r="S6646" t="s">
        <v>77</v>
      </c>
      <c r="T6646">
        <v>19827</v>
      </c>
      <c r="U6646">
        <v>23625</v>
      </c>
      <c r="V6646" t="s">
        <v>77</v>
      </c>
    </row>
    <row r="6647" spans="1:22">
      <c r="A6647" t="str">
        <f t="shared" si="1183"/>
        <v>16/10/2025</v>
      </c>
      <c r="B6647" t="str">
        <f t="shared" si="1184"/>
        <v>SAÍDA</v>
      </c>
      <c r="C6647" t="str">
        <f t="shared" si="1185"/>
        <v>PIX</v>
      </c>
      <c r="D6647" t="str">
        <f t="shared" si="1190"/>
        <v>23625</v>
      </c>
      <c r="E6647" t="str">
        <f t="shared" si="1187"/>
        <v>1</v>
      </c>
      <c r="F6647" t="str">
        <f t="shared" si="1189"/>
        <v>COM</v>
      </c>
      <c r="G6647" t="str">
        <f t="shared" si="1191"/>
        <v>FELIPE ALEXANDRE CAMA (976)</v>
      </c>
      <c r="H6647" t="s">
        <v>1810</v>
      </c>
      <c r="I6647" t="str">
        <f t="shared" si="1186"/>
        <v>16/10/2025</v>
      </c>
      <c r="J6647" t="str">
        <f t="shared" si="1192"/>
        <v>14/10/2025</v>
      </c>
      <c r="K6647">
        <v>45946</v>
      </c>
      <c r="N6647">
        <v>109</v>
      </c>
      <c r="O6647" t="s">
        <v>24</v>
      </c>
      <c r="Q6647">
        <v>172.12</v>
      </c>
      <c r="R6647" t="str">
        <f>"PENSE FARMA 59 (10211)"</f>
        <v>PENSE FARMA 59 (10211)</v>
      </c>
      <c r="S6647" t="s">
        <v>77</v>
      </c>
      <c r="T6647">
        <v>19827</v>
      </c>
      <c r="U6647">
        <v>23625</v>
      </c>
      <c r="V6647" t="s">
        <v>77</v>
      </c>
    </row>
    <row r="6648" spans="1:22">
      <c r="A6648" t="str">
        <f t="shared" si="1183"/>
        <v>16/10/2025</v>
      </c>
      <c r="B6648" t="str">
        <f t="shared" si="1184"/>
        <v>SAÍDA</v>
      </c>
      <c r="C6648" t="str">
        <f t="shared" si="1185"/>
        <v>PIX</v>
      </c>
      <c r="D6648" t="str">
        <f t="shared" si="1190"/>
        <v>23625</v>
      </c>
      <c r="E6648" t="str">
        <f t="shared" si="1187"/>
        <v>1</v>
      </c>
      <c r="F6648" t="str">
        <f t="shared" si="1189"/>
        <v>COM</v>
      </c>
      <c r="G6648" t="str">
        <f t="shared" si="1191"/>
        <v>FELIPE ALEXANDRE CAMA (976)</v>
      </c>
      <c r="H6648" t="s">
        <v>1810</v>
      </c>
      <c r="I6648" t="str">
        <f t="shared" si="1186"/>
        <v>16/10/2025</v>
      </c>
      <c r="J6648" t="str">
        <f t="shared" si="1192"/>
        <v>14/10/2025</v>
      </c>
      <c r="K6648">
        <v>45946</v>
      </c>
      <c r="N6648">
        <v>109</v>
      </c>
      <c r="O6648" t="s">
        <v>24</v>
      </c>
      <c r="Q6648">
        <v>516.22</v>
      </c>
      <c r="R6648" t="str">
        <f>"PENSE FARMA DARK STORE 361 (10212)"</f>
        <v>PENSE FARMA DARK STORE 361 (10212)</v>
      </c>
      <c r="S6648" t="s">
        <v>77</v>
      </c>
      <c r="T6648">
        <v>19827</v>
      </c>
      <c r="U6648">
        <v>23625</v>
      </c>
      <c r="V6648" t="s">
        <v>77</v>
      </c>
    </row>
    <row r="6649" spans="1:22">
      <c r="A6649" t="str">
        <f t="shared" si="1183"/>
        <v>16/10/2025</v>
      </c>
      <c r="B6649" t="str">
        <f t="shared" si="1184"/>
        <v>SAÍDA</v>
      </c>
      <c r="C6649" t="str">
        <f t="shared" si="1185"/>
        <v>PIX</v>
      </c>
      <c r="D6649" t="str">
        <f t="shared" ref="D6649:D6655" si="1193">"23627"</f>
        <v>23627</v>
      </c>
      <c r="E6649" t="str">
        <f t="shared" si="1187"/>
        <v>1</v>
      </c>
      <c r="F6649" t="str">
        <f t="shared" si="1189"/>
        <v>COM</v>
      </c>
      <c r="G6649" t="str">
        <f t="shared" ref="G6649:G6655" si="1194">"JULIO GUIMARAES DOS SANTOS (977)"</f>
        <v>JULIO GUIMARAES DOS SANTOS (977)</v>
      </c>
      <c r="H6649" t="str">
        <f>"Serv.Prest. 06/10/2025 a 12/10/2025 - PIX: CELULAR - CHAVE: (11) 94195-2534"</f>
        <v>Serv.Prest. 06/10/2025 a 12/10/2025 - PIX: CELULAR - CHAVE: (11) 94195-2534</v>
      </c>
      <c r="I6649" t="str">
        <f t="shared" si="1186"/>
        <v>16/10/2025</v>
      </c>
      <c r="J6649" t="str">
        <f t="shared" si="1192"/>
        <v>14/10/2025</v>
      </c>
      <c r="K6649" t="str">
        <f>("16/10/2025")</f>
        <v>16/10/2025</v>
      </c>
      <c r="L6649">
        <v>1325</v>
      </c>
      <c r="M6649">
        <v>1325</v>
      </c>
      <c r="N6649">
        <v>109</v>
      </c>
      <c r="O6649" t="str">
        <f>"PAGAMENTO DE ENTREGADORES"</f>
        <v>PAGAMENTO DE ENTREGADORES</v>
      </c>
      <c r="P6649">
        <v>1325</v>
      </c>
      <c r="S6649" t="str">
        <f>"BANCO C6 (149)"</f>
        <v>BANCO C6 (149)</v>
      </c>
      <c r="T6649">
        <v>19828</v>
      </c>
      <c r="U6649">
        <v>23627</v>
      </c>
      <c r="V6649" t="s">
        <v>77</v>
      </c>
    </row>
    <row r="6650" spans="1:22">
      <c r="A6650" t="str">
        <f t="shared" si="1183"/>
        <v>16/10/2025</v>
      </c>
      <c r="B6650" t="str">
        <f t="shared" si="1184"/>
        <v>SAÍDA</v>
      </c>
      <c r="C6650" t="str">
        <f t="shared" si="1185"/>
        <v>PIX</v>
      </c>
      <c r="D6650" t="str">
        <f t="shared" si="1193"/>
        <v>23627</v>
      </c>
      <c r="E6650" t="str">
        <f t="shared" si="1187"/>
        <v>1</v>
      </c>
      <c r="F6650" t="str">
        <f t="shared" si="1189"/>
        <v>COM</v>
      </c>
      <c r="G6650" t="str">
        <f t="shared" si="1194"/>
        <v>JULIO GUIMARAES DOS SANTOS (977)</v>
      </c>
      <c r="H6650" t="s">
        <v>1811</v>
      </c>
      <c r="I6650" t="str">
        <f t="shared" si="1186"/>
        <v>16/10/2025</v>
      </c>
      <c r="J6650" t="str">
        <f t="shared" si="1192"/>
        <v>14/10/2025</v>
      </c>
      <c r="K6650">
        <v>45946</v>
      </c>
      <c r="N6650">
        <v>109</v>
      </c>
      <c r="O6650" t="s">
        <v>24</v>
      </c>
      <c r="Q6650">
        <v>222.74</v>
      </c>
      <c r="R6650" t="str">
        <f>"PENSE FARMA 20 (10203)"</f>
        <v>PENSE FARMA 20 (10203)</v>
      </c>
      <c r="S6650" t="s">
        <v>77</v>
      </c>
      <c r="T6650">
        <v>19828</v>
      </c>
      <c r="U6650">
        <v>23627</v>
      </c>
      <c r="V6650" t="s">
        <v>77</v>
      </c>
    </row>
    <row r="6651" spans="1:22">
      <c r="A6651" t="str">
        <f t="shared" ref="A6651:A6714" si="1195">("16/10/2025")</f>
        <v>16/10/2025</v>
      </c>
      <c r="B6651" t="str">
        <f t="shared" ref="B6651:B6702" si="1196">"SAÍDA"</f>
        <v>SAÍDA</v>
      </c>
      <c r="C6651" t="str">
        <f t="shared" ref="C6651:C6702" si="1197">"PIX"</f>
        <v>PIX</v>
      </c>
      <c r="D6651" t="str">
        <f t="shared" si="1193"/>
        <v>23627</v>
      </c>
      <c r="E6651" t="str">
        <f t="shared" si="1187"/>
        <v>1</v>
      </c>
      <c r="F6651" t="str">
        <f t="shared" si="1189"/>
        <v>COM</v>
      </c>
      <c r="G6651" t="str">
        <f t="shared" si="1194"/>
        <v>JULIO GUIMARAES DOS SANTOS (977)</v>
      </c>
      <c r="H6651" t="s">
        <v>1811</v>
      </c>
      <c r="I6651" t="str">
        <f t="shared" si="1186"/>
        <v>16/10/2025</v>
      </c>
      <c r="J6651" t="str">
        <f t="shared" si="1192"/>
        <v>14/10/2025</v>
      </c>
      <c r="K6651">
        <v>45946</v>
      </c>
      <c r="N6651">
        <v>109</v>
      </c>
      <c r="O6651" t="s">
        <v>24</v>
      </c>
      <c r="Q6651">
        <v>322.89999999999998</v>
      </c>
      <c r="R6651" t="str">
        <f>"PENSE FARMA 36 (10206)"</f>
        <v>PENSE FARMA 36 (10206)</v>
      </c>
      <c r="S6651" t="s">
        <v>77</v>
      </c>
      <c r="T6651">
        <v>19828</v>
      </c>
      <c r="U6651">
        <v>23627</v>
      </c>
      <c r="V6651" t="s">
        <v>77</v>
      </c>
    </row>
    <row r="6652" spans="1:22">
      <c r="A6652" t="str">
        <f t="shared" si="1195"/>
        <v>16/10/2025</v>
      </c>
      <c r="B6652" t="str">
        <f t="shared" si="1196"/>
        <v>SAÍDA</v>
      </c>
      <c r="C6652" t="str">
        <f t="shared" si="1197"/>
        <v>PIX</v>
      </c>
      <c r="D6652" t="str">
        <f t="shared" si="1193"/>
        <v>23627</v>
      </c>
      <c r="E6652" t="str">
        <f t="shared" si="1187"/>
        <v>1</v>
      </c>
      <c r="F6652" t="str">
        <f t="shared" si="1189"/>
        <v>COM</v>
      </c>
      <c r="G6652" t="str">
        <f t="shared" si="1194"/>
        <v>JULIO GUIMARAES DOS SANTOS (977)</v>
      </c>
      <c r="H6652" t="s">
        <v>1811</v>
      </c>
      <c r="I6652" t="str">
        <f t="shared" si="1186"/>
        <v>16/10/2025</v>
      </c>
      <c r="J6652" t="str">
        <f t="shared" si="1192"/>
        <v>14/10/2025</v>
      </c>
      <c r="K6652">
        <v>45946</v>
      </c>
      <c r="N6652">
        <v>109</v>
      </c>
      <c r="O6652" t="s">
        <v>24</v>
      </c>
      <c r="Q6652">
        <v>66.78</v>
      </c>
      <c r="R6652" t="str">
        <f>"PENSE FARMA 40 (10207)"</f>
        <v>PENSE FARMA 40 (10207)</v>
      </c>
      <c r="S6652" t="s">
        <v>77</v>
      </c>
      <c r="T6652">
        <v>19828</v>
      </c>
      <c r="U6652">
        <v>23627</v>
      </c>
      <c r="V6652" t="s">
        <v>77</v>
      </c>
    </row>
    <row r="6653" spans="1:22">
      <c r="A6653" t="str">
        <f t="shared" si="1195"/>
        <v>16/10/2025</v>
      </c>
      <c r="B6653" t="str">
        <f t="shared" si="1196"/>
        <v>SAÍDA</v>
      </c>
      <c r="C6653" t="str">
        <f t="shared" si="1197"/>
        <v>PIX</v>
      </c>
      <c r="D6653" t="str">
        <f t="shared" si="1193"/>
        <v>23627</v>
      </c>
      <c r="E6653" t="str">
        <f t="shared" si="1187"/>
        <v>1</v>
      </c>
      <c r="F6653" t="str">
        <f t="shared" si="1189"/>
        <v>COM</v>
      </c>
      <c r="G6653" t="str">
        <f t="shared" si="1194"/>
        <v>JULIO GUIMARAES DOS SANTOS (977)</v>
      </c>
      <c r="H6653" t="s">
        <v>1811</v>
      </c>
      <c r="I6653" t="str">
        <f t="shared" ref="I6653:I6696" si="1198">("16/10/2025")</f>
        <v>16/10/2025</v>
      </c>
      <c r="J6653" t="str">
        <f t="shared" si="1192"/>
        <v>14/10/2025</v>
      </c>
      <c r="K6653">
        <v>45946</v>
      </c>
      <c r="N6653">
        <v>109</v>
      </c>
      <c r="O6653" t="s">
        <v>24</v>
      </c>
      <c r="Q6653">
        <v>89.04</v>
      </c>
      <c r="R6653" t="str">
        <f>"PENSE FARMA 43 (10208)"</f>
        <v>PENSE FARMA 43 (10208)</v>
      </c>
      <c r="S6653" t="s">
        <v>77</v>
      </c>
      <c r="T6653">
        <v>19828</v>
      </c>
      <c r="U6653">
        <v>23627</v>
      </c>
      <c r="V6653" t="s">
        <v>77</v>
      </c>
    </row>
    <row r="6654" spans="1:22">
      <c r="A6654" t="str">
        <f t="shared" si="1195"/>
        <v>16/10/2025</v>
      </c>
      <c r="B6654" t="str">
        <f t="shared" si="1196"/>
        <v>SAÍDA</v>
      </c>
      <c r="C6654" t="str">
        <f t="shared" si="1197"/>
        <v>PIX</v>
      </c>
      <c r="D6654" t="str">
        <f t="shared" si="1193"/>
        <v>23627</v>
      </c>
      <c r="E6654" t="str">
        <f t="shared" si="1187"/>
        <v>1</v>
      </c>
      <c r="F6654" t="str">
        <f t="shared" si="1189"/>
        <v>COM</v>
      </c>
      <c r="G6654" t="str">
        <f t="shared" si="1194"/>
        <v>JULIO GUIMARAES DOS SANTOS (977)</v>
      </c>
      <c r="H6654" t="s">
        <v>1811</v>
      </c>
      <c r="I6654" t="str">
        <f t="shared" si="1198"/>
        <v>16/10/2025</v>
      </c>
      <c r="J6654" t="str">
        <f t="shared" si="1192"/>
        <v>14/10/2025</v>
      </c>
      <c r="K6654">
        <v>45946</v>
      </c>
      <c r="N6654">
        <v>109</v>
      </c>
      <c r="O6654" t="s">
        <v>24</v>
      </c>
      <c r="Q6654">
        <v>434.2</v>
      </c>
      <c r="R6654" t="str">
        <f>"PENSE FARMA 59 (10211)"</f>
        <v>PENSE FARMA 59 (10211)</v>
      </c>
      <c r="S6654" t="s">
        <v>77</v>
      </c>
      <c r="T6654">
        <v>19828</v>
      </c>
      <c r="U6654">
        <v>23627</v>
      </c>
      <c r="V6654" t="s">
        <v>77</v>
      </c>
    </row>
    <row r="6655" spans="1:22">
      <c r="A6655" t="str">
        <f t="shared" si="1195"/>
        <v>16/10/2025</v>
      </c>
      <c r="B6655" t="str">
        <f t="shared" si="1196"/>
        <v>SAÍDA</v>
      </c>
      <c r="C6655" t="str">
        <f t="shared" si="1197"/>
        <v>PIX</v>
      </c>
      <c r="D6655" t="str">
        <f t="shared" si="1193"/>
        <v>23627</v>
      </c>
      <c r="E6655" t="str">
        <f t="shared" si="1187"/>
        <v>1</v>
      </c>
      <c r="F6655" t="str">
        <f t="shared" si="1189"/>
        <v>COM</v>
      </c>
      <c r="G6655" t="str">
        <f t="shared" si="1194"/>
        <v>JULIO GUIMARAES DOS SANTOS (977)</v>
      </c>
      <c r="H6655" t="s">
        <v>1811</v>
      </c>
      <c r="I6655" t="str">
        <f t="shared" si="1198"/>
        <v>16/10/2025</v>
      </c>
      <c r="J6655" t="str">
        <f t="shared" si="1192"/>
        <v>14/10/2025</v>
      </c>
      <c r="K6655">
        <v>45946</v>
      </c>
      <c r="N6655">
        <v>109</v>
      </c>
      <c r="O6655" t="s">
        <v>24</v>
      </c>
      <c r="Q6655">
        <v>189.34</v>
      </c>
      <c r="R6655" t="str">
        <f>"PENSE FARMA DARK STORE 361 (10212)"</f>
        <v>PENSE FARMA DARK STORE 361 (10212)</v>
      </c>
      <c r="S6655" t="s">
        <v>77</v>
      </c>
      <c r="T6655">
        <v>19828</v>
      </c>
      <c r="U6655">
        <v>23627</v>
      </c>
      <c r="V6655" t="s">
        <v>77</v>
      </c>
    </row>
    <row r="6656" spans="1:22">
      <c r="A6656" t="str">
        <f t="shared" si="1195"/>
        <v>16/10/2025</v>
      </c>
      <c r="B6656" t="str">
        <f t="shared" si="1196"/>
        <v>SAÍDA</v>
      </c>
      <c r="C6656" t="str">
        <f t="shared" si="1197"/>
        <v>PIX</v>
      </c>
      <c r="D6656" t="str">
        <f t="shared" ref="D6656:D6662" si="1199">"23628"</f>
        <v>23628</v>
      </c>
      <c r="E6656" t="str">
        <f t="shared" si="1187"/>
        <v>1</v>
      </c>
      <c r="F6656" t="str">
        <f t="shared" si="1189"/>
        <v>COM</v>
      </c>
      <c r="G6656" t="str">
        <f t="shared" ref="G6656:G6662" si="1200">"RAFAEL PEDROSO DE CAMARA (975)"</f>
        <v>RAFAEL PEDROSO DE CAMARA (975)</v>
      </c>
      <c r="H6656" t="str">
        <f>"Serv.Prest. 06/10/2025 a 12/10/2025 - PIX: CELULAR - CHAVE: (11) 99270-3082"</f>
        <v>Serv.Prest. 06/10/2025 a 12/10/2025 - PIX: CELULAR - CHAVE: (11) 99270-3082</v>
      </c>
      <c r="I6656" t="str">
        <f t="shared" si="1198"/>
        <v>16/10/2025</v>
      </c>
      <c r="J6656" t="str">
        <f t="shared" si="1192"/>
        <v>14/10/2025</v>
      </c>
      <c r="K6656" t="str">
        <f>("16/10/2025")</f>
        <v>16/10/2025</v>
      </c>
      <c r="L6656">
        <v>1375</v>
      </c>
      <c r="M6656">
        <v>1375</v>
      </c>
      <c r="N6656">
        <v>109</v>
      </c>
      <c r="O6656" t="str">
        <f>"PAGAMENTO DE ENTREGADORES"</f>
        <v>PAGAMENTO DE ENTREGADORES</v>
      </c>
      <c r="P6656">
        <v>1375</v>
      </c>
      <c r="S6656" t="str">
        <f>"BANCO C6 (149)"</f>
        <v>BANCO C6 (149)</v>
      </c>
      <c r="T6656">
        <v>19829</v>
      </c>
      <c r="U6656">
        <v>23628</v>
      </c>
      <c r="V6656" t="s">
        <v>77</v>
      </c>
    </row>
    <row r="6657" spans="1:22">
      <c r="A6657" t="str">
        <f t="shared" si="1195"/>
        <v>16/10/2025</v>
      </c>
      <c r="B6657" t="str">
        <f t="shared" si="1196"/>
        <v>SAÍDA</v>
      </c>
      <c r="C6657" t="str">
        <f t="shared" si="1197"/>
        <v>PIX</v>
      </c>
      <c r="D6657" t="str">
        <f t="shared" si="1199"/>
        <v>23628</v>
      </c>
      <c r="E6657" t="str">
        <f t="shared" si="1187"/>
        <v>1</v>
      </c>
      <c r="F6657" t="str">
        <f t="shared" si="1189"/>
        <v>COM</v>
      </c>
      <c r="G6657" t="str">
        <f t="shared" si="1200"/>
        <v>RAFAEL PEDROSO DE CAMARA (975)</v>
      </c>
      <c r="H6657" t="s">
        <v>1596</v>
      </c>
      <c r="I6657" t="str">
        <f t="shared" si="1198"/>
        <v>16/10/2025</v>
      </c>
      <c r="J6657" t="str">
        <f t="shared" si="1192"/>
        <v>14/10/2025</v>
      </c>
      <c r="K6657">
        <v>45946</v>
      </c>
      <c r="N6657">
        <v>109</v>
      </c>
      <c r="O6657" t="s">
        <v>24</v>
      </c>
      <c r="Q6657">
        <v>332.88</v>
      </c>
      <c r="R6657" t="str">
        <f>"PENSE FARMA 20 (10203)"</f>
        <v>PENSE FARMA 20 (10203)</v>
      </c>
      <c r="S6657" t="s">
        <v>77</v>
      </c>
      <c r="T6657">
        <v>19829</v>
      </c>
      <c r="U6657">
        <v>23628</v>
      </c>
      <c r="V6657" t="s">
        <v>77</v>
      </c>
    </row>
    <row r="6658" spans="1:22">
      <c r="A6658" t="str">
        <f t="shared" si="1195"/>
        <v>16/10/2025</v>
      </c>
      <c r="B6658" t="str">
        <f t="shared" si="1196"/>
        <v>SAÍDA</v>
      </c>
      <c r="C6658" t="str">
        <f t="shared" si="1197"/>
        <v>PIX</v>
      </c>
      <c r="D6658" t="str">
        <f t="shared" si="1199"/>
        <v>23628</v>
      </c>
      <c r="E6658" t="str">
        <f t="shared" si="1187"/>
        <v>1</v>
      </c>
      <c r="F6658" t="str">
        <f t="shared" si="1189"/>
        <v>COM</v>
      </c>
      <c r="G6658" t="str">
        <f t="shared" si="1200"/>
        <v>RAFAEL PEDROSO DE CAMARA (975)</v>
      </c>
      <c r="H6658" t="s">
        <v>1596</v>
      </c>
      <c r="I6658" t="str">
        <f t="shared" si="1198"/>
        <v>16/10/2025</v>
      </c>
      <c r="J6658" t="str">
        <f t="shared" si="1192"/>
        <v>14/10/2025</v>
      </c>
      <c r="K6658">
        <v>45946</v>
      </c>
      <c r="N6658">
        <v>109</v>
      </c>
      <c r="O6658" t="s">
        <v>24</v>
      </c>
      <c r="Q6658">
        <v>202.68</v>
      </c>
      <c r="R6658" t="str">
        <f>"PENSE FARMA 36 (10206)"</f>
        <v>PENSE FARMA 36 (10206)</v>
      </c>
      <c r="S6658" t="s">
        <v>77</v>
      </c>
      <c r="T6658">
        <v>19829</v>
      </c>
      <c r="U6658">
        <v>23628</v>
      </c>
      <c r="V6658" t="s">
        <v>77</v>
      </c>
    </row>
    <row r="6659" spans="1:22">
      <c r="A6659" t="str">
        <f t="shared" si="1195"/>
        <v>16/10/2025</v>
      </c>
      <c r="B6659" t="str">
        <f t="shared" si="1196"/>
        <v>SAÍDA</v>
      </c>
      <c r="C6659" t="str">
        <f t="shared" si="1197"/>
        <v>PIX</v>
      </c>
      <c r="D6659" t="str">
        <f t="shared" si="1199"/>
        <v>23628</v>
      </c>
      <c r="E6659" t="str">
        <f t="shared" si="1187"/>
        <v>1</v>
      </c>
      <c r="F6659" t="str">
        <f t="shared" si="1189"/>
        <v>COM</v>
      </c>
      <c r="G6659" t="str">
        <f t="shared" si="1200"/>
        <v>RAFAEL PEDROSO DE CAMARA (975)</v>
      </c>
      <c r="H6659" t="s">
        <v>1596</v>
      </c>
      <c r="I6659" t="str">
        <f t="shared" si="1198"/>
        <v>16/10/2025</v>
      </c>
      <c r="J6659" t="str">
        <f t="shared" si="1192"/>
        <v>14/10/2025</v>
      </c>
      <c r="K6659">
        <v>45946</v>
      </c>
      <c r="N6659">
        <v>109</v>
      </c>
      <c r="O6659" t="s">
        <v>24</v>
      </c>
      <c r="Q6659">
        <v>318.45</v>
      </c>
      <c r="R6659" t="str">
        <f>"PENSE FARMA 40 (10207)"</f>
        <v>PENSE FARMA 40 (10207)</v>
      </c>
      <c r="S6659" t="s">
        <v>77</v>
      </c>
      <c r="T6659">
        <v>19829</v>
      </c>
      <c r="U6659">
        <v>23628</v>
      </c>
      <c r="V6659" t="s">
        <v>77</v>
      </c>
    </row>
    <row r="6660" spans="1:22">
      <c r="A6660" t="str">
        <f t="shared" si="1195"/>
        <v>16/10/2025</v>
      </c>
      <c r="B6660" t="str">
        <f t="shared" si="1196"/>
        <v>SAÍDA</v>
      </c>
      <c r="C6660" t="str">
        <f t="shared" si="1197"/>
        <v>PIX</v>
      </c>
      <c r="D6660" t="str">
        <f t="shared" si="1199"/>
        <v>23628</v>
      </c>
      <c r="E6660" t="str">
        <f t="shared" si="1187"/>
        <v>1</v>
      </c>
      <c r="F6660" t="str">
        <f t="shared" si="1189"/>
        <v>COM</v>
      </c>
      <c r="G6660" t="str">
        <f t="shared" si="1200"/>
        <v>RAFAEL PEDROSO DE CAMARA (975)</v>
      </c>
      <c r="H6660" t="s">
        <v>1596</v>
      </c>
      <c r="I6660" t="str">
        <f t="shared" si="1198"/>
        <v>16/10/2025</v>
      </c>
      <c r="J6660" t="str">
        <f t="shared" si="1192"/>
        <v>14/10/2025</v>
      </c>
      <c r="K6660">
        <v>45946</v>
      </c>
      <c r="N6660">
        <v>109</v>
      </c>
      <c r="O6660" t="s">
        <v>24</v>
      </c>
      <c r="Q6660">
        <v>245.99</v>
      </c>
      <c r="R6660" t="str">
        <f>"PENSE FARMA 43 (10208)"</f>
        <v>PENSE FARMA 43 (10208)</v>
      </c>
      <c r="S6660" t="s">
        <v>77</v>
      </c>
      <c r="T6660">
        <v>19829</v>
      </c>
      <c r="U6660">
        <v>23628</v>
      </c>
      <c r="V6660" t="s">
        <v>77</v>
      </c>
    </row>
    <row r="6661" spans="1:22">
      <c r="A6661" t="str">
        <f t="shared" si="1195"/>
        <v>16/10/2025</v>
      </c>
      <c r="B6661" t="str">
        <f t="shared" si="1196"/>
        <v>SAÍDA</v>
      </c>
      <c r="C6661" t="str">
        <f t="shared" si="1197"/>
        <v>PIX</v>
      </c>
      <c r="D6661" t="str">
        <f t="shared" si="1199"/>
        <v>23628</v>
      </c>
      <c r="E6661" t="str">
        <f t="shared" ref="E6661:E6700" si="1201">"1"</f>
        <v>1</v>
      </c>
      <c r="F6661" t="str">
        <f t="shared" si="1189"/>
        <v>COM</v>
      </c>
      <c r="G6661" t="str">
        <f t="shared" si="1200"/>
        <v>RAFAEL PEDROSO DE CAMARA (975)</v>
      </c>
      <c r="H6661" t="s">
        <v>1596</v>
      </c>
      <c r="I6661" t="str">
        <f t="shared" si="1198"/>
        <v>16/10/2025</v>
      </c>
      <c r="J6661" t="str">
        <f t="shared" si="1192"/>
        <v>14/10/2025</v>
      </c>
      <c r="K6661">
        <v>45946</v>
      </c>
      <c r="N6661">
        <v>109</v>
      </c>
      <c r="O6661" t="s">
        <v>24</v>
      </c>
      <c r="Q6661">
        <v>86.9</v>
      </c>
      <c r="R6661" t="str">
        <f>"PENSE FARMA 59 (10211)"</f>
        <v>PENSE FARMA 59 (10211)</v>
      </c>
      <c r="S6661" t="s">
        <v>77</v>
      </c>
      <c r="T6661">
        <v>19829</v>
      </c>
      <c r="U6661">
        <v>23628</v>
      </c>
      <c r="V6661" t="s">
        <v>77</v>
      </c>
    </row>
    <row r="6662" spans="1:22">
      <c r="A6662" t="str">
        <f t="shared" si="1195"/>
        <v>16/10/2025</v>
      </c>
      <c r="B6662" t="str">
        <f t="shared" si="1196"/>
        <v>SAÍDA</v>
      </c>
      <c r="C6662" t="str">
        <f t="shared" si="1197"/>
        <v>PIX</v>
      </c>
      <c r="D6662" t="str">
        <f t="shared" si="1199"/>
        <v>23628</v>
      </c>
      <c r="E6662" t="str">
        <f t="shared" si="1201"/>
        <v>1</v>
      </c>
      <c r="F6662" t="str">
        <f t="shared" si="1189"/>
        <v>COM</v>
      </c>
      <c r="G6662" t="str">
        <f t="shared" si="1200"/>
        <v>RAFAEL PEDROSO DE CAMARA (975)</v>
      </c>
      <c r="H6662" t="s">
        <v>1596</v>
      </c>
      <c r="I6662" t="str">
        <f t="shared" si="1198"/>
        <v>16/10/2025</v>
      </c>
      <c r="J6662" t="str">
        <f t="shared" si="1192"/>
        <v>14/10/2025</v>
      </c>
      <c r="K6662">
        <v>45946</v>
      </c>
      <c r="N6662">
        <v>109</v>
      </c>
      <c r="O6662" t="s">
        <v>24</v>
      </c>
      <c r="Q6662">
        <v>188.1</v>
      </c>
      <c r="R6662" t="str">
        <f>"PENSE FARMA DARK STORE 361 (10212)"</f>
        <v>PENSE FARMA DARK STORE 361 (10212)</v>
      </c>
      <c r="S6662" t="s">
        <v>77</v>
      </c>
      <c r="T6662">
        <v>19829</v>
      </c>
      <c r="U6662">
        <v>23628</v>
      </c>
      <c r="V6662" t="s">
        <v>77</v>
      </c>
    </row>
    <row r="6663" spans="1:22">
      <c r="A6663" t="str">
        <f t="shared" si="1195"/>
        <v>16/10/2025</v>
      </c>
      <c r="B6663" t="str">
        <f t="shared" si="1196"/>
        <v>SAÍDA</v>
      </c>
      <c r="C6663" t="str">
        <f t="shared" si="1197"/>
        <v>PIX</v>
      </c>
      <c r="D6663" t="str">
        <f>"23630"</f>
        <v>23630</v>
      </c>
      <c r="E6663" t="str">
        <f t="shared" si="1201"/>
        <v>1</v>
      </c>
      <c r="F6663" t="str">
        <f t="shared" si="1189"/>
        <v>COM</v>
      </c>
      <c r="G6663" t="str">
        <f>"JOCIMAR VAZ FERREIRA (197)"</f>
        <v>JOCIMAR VAZ FERREIRA (197)</v>
      </c>
      <c r="H6663" t="str">
        <f>"Serv.Prest. 06/10/2025 a 12/10/2025 - PIX: CELULAR - CHAVE: (33) 99924-7557"</f>
        <v>Serv.Prest. 06/10/2025 a 12/10/2025 - PIX: CELULAR - CHAVE: (33) 99924-7557</v>
      </c>
      <c r="I6663" t="str">
        <f t="shared" si="1198"/>
        <v>16/10/2025</v>
      </c>
      <c r="J6663" t="str">
        <f t="shared" si="1192"/>
        <v>14/10/2025</v>
      </c>
      <c r="K6663" t="str">
        <f>("16/10/2025")</f>
        <v>16/10/2025</v>
      </c>
      <c r="L6663">
        <v>1086</v>
      </c>
      <c r="M6663">
        <v>1086</v>
      </c>
      <c r="N6663">
        <v>109</v>
      </c>
      <c r="O6663" t="str">
        <f>"PAGAMENTO DE ENTREGADORES"</f>
        <v>PAGAMENTO DE ENTREGADORES</v>
      </c>
      <c r="P6663">
        <v>1086</v>
      </c>
      <c r="S6663" t="str">
        <f>"BANCO C6 (149)"</f>
        <v>BANCO C6 (149)</v>
      </c>
      <c r="T6663">
        <v>19830</v>
      </c>
      <c r="U6663">
        <v>23630</v>
      </c>
      <c r="V6663" t="s">
        <v>77</v>
      </c>
    </row>
    <row r="6664" spans="1:22">
      <c r="A6664" t="str">
        <f t="shared" si="1195"/>
        <v>16/10/2025</v>
      </c>
      <c r="B6664" t="str">
        <f t="shared" si="1196"/>
        <v>SAÍDA</v>
      </c>
      <c r="C6664" t="str">
        <f t="shared" si="1197"/>
        <v>PIX</v>
      </c>
      <c r="D6664" t="str">
        <f>"23630"</f>
        <v>23630</v>
      </c>
      <c r="E6664" t="str">
        <f t="shared" si="1201"/>
        <v>1</v>
      </c>
      <c r="F6664" t="str">
        <f t="shared" si="1189"/>
        <v>COM</v>
      </c>
      <c r="G6664" t="str">
        <f>"JOCIMAR VAZ FERREIRA (197)"</f>
        <v>JOCIMAR VAZ FERREIRA (197)</v>
      </c>
      <c r="H6664" t="s">
        <v>1812</v>
      </c>
      <c r="I6664" t="str">
        <f t="shared" si="1198"/>
        <v>16/10/2025</v>
      </c>
      <c r="J6664" t="str">
        <f t="shared" si="1192"/>
        <v>14/10/2025</v>
      </c>
      <c r="K6664">
        <v>45946</v>
      </c>
      <c r="N6664">
        <v>109</v>
      </c>
      <c r="O6664" t="s">
        <v>24</v>
      </c>
      <c r="Q6664">
        <v>1086</v>
      </c>
      <c r="R6664" t="str">
        <f>"DROGARIA VAZ (10179)"</f>
        <v>DROGARIA VAZ (10179)</v>
      </c>
      <c r="S6664" t="s">
        <v>77</v>
      </c>
      <c r="T6664">
        <v>19830</v>
      </c>
      <c r="U6664">
        <v>23630</v>
      </c>
      <c r="V6664" t="s">
        <v>77</v>
      </c>
    </row>
    <row r="6665" spans="1:22">
      <c r="A6665" t="str">
        <f t="shared" si="1195"/>
        <v>16/10/2025</v>
      </c>
      <c r="B6665" t="str">
        <f t="shared" si="1196"/>
        <v>SAÍDA</v>
      </c>
      <c r="C6665" t="str">
        <f t="shared" si="1197"/>
        <v>PIX</v>
      </c>
      <c r="D6665" t="str">
        <f>"23692"</f>
        <v>23692</v>
      </c>
      <c r="E6665" t="str">
        <f t="shared" si="1201"/>
        <v>1</v>
      </c>
      <c r="F6665" t="str">
        <f t="shared" si="1189"/>
        <v>COM</v>
      </c>
      <c r="G6665" t="str">
        <f>"MAICON HENRIQUE FERREIRA DOS SANTOS (759)"</f>
        <v>MAICON HENRIQUE FERREIRA DOS SANTOS (759)</v>
      </c>
      <c r="H6665" t="str">
        <f>"Serv.Prest. 06/10/2025 a 12/10/2025 - PIX: CELULAR - CHAVE: (31) 98412-5118"</f>
        <v>Serv.Prest. 06/10/2025 a 12/10/2025 - PIX: CELULAR - CHAVE: (31) 98412-5118</v>
      </c>
      <c r="I6665" t="str">
        <f t="shared" si="1198"/>
        <v>16/10/2025</v>
      </c>
      <c r="J6665" t="str">
        <f t="shared" si="1192"/>
        <v>14/10/2025</v>
      </c>
      <c r="K6665" t="str">
        <f>("16/10/2025")</f>
        <v>16/10/2025</v>
      </c>
      <c r="L6665">
        <v>1992</v>
      </c>
      <c r="M6665">
        <v>1992</v>
      </c>
      <c r="N6665">
        <v>109</v>
      </c>
      <c r="O6665" t="str">
        <f>"PAGAMENTO DE ENTREGADORES"</f>
        <v>PAGAMENTO DE ENTREGADORES</v>
      </c>
      <c r="P6665">
        <v>1992</v>
      </c>
      <c r="S6665" t="str">
        <f>"BANCO C6 (149)"</f>
        <v>BANCO C6 (149)</v>
      </c>
      <c r="T6665">
        <v>19831</v>
      </c>
      <c r="U6665">
        <v>23692</v>
      </c>
      <c r="V6665" t="s">
        <v>77</v>
      </c>
    </row>
    <row r="6666" spans="1:22">
      <c r="A6666" t="str">
        <f t="shared" si="1195"/>
        <v>16/10/2025</v>
      </c>
      <c r="B6666" t="str">
        <f t="shared" si="1196"/>
        <v>SAÍDA</v>
      </c>
      <c r="C6666" t="str">
        <f t="shared" si="1197"/>
        <v>PIX</v>
      </c>
      <c r="D6666" t="str">
        <f>"23692"</f>
        <v>23692</v>
      </c>
      <c r="E6666" t="str">
        <f t="shared" si="1201"/>
        <v>1</v>
      </c>
      <c r="F6666" t="str">
        <f t="shared" si="1189"/>
        <v>COM</v>
      </c>
      <c r="G6666" t="str">
        <f>"MAICON HENRIQUE FERREIRA DOS SANTOS (759)"</f>
        <v>MAICON HENRIQUE FERREIRA DOS SANTOS (759)</v>
      </c>
      <c r="H6666" t="s">
        <v>1813</v>
      </c>
      <c r="I6666" t="str">
        <f t="shared" si="1198"/>
        <v>16/10/2025</v>
      </c>
      <c r="J6666" t="str">
        <f t="shared" si="1192"/>
        <v>14/10/2025</v>
      </c>
      <c r="K6666">
        <v>45946</v>
      </c>
      <c r="N6666">
        <v>109</v>
      </c>
      <c r="O6666" t="s">
        <v>24</v>
      </c>
      <c r="Q6666">
        <v>1992</v>
      </c>
      <c r="R6666" t="str">
        <f>"FARMÁCIA INDIANA LJ 101 (10043)"</f>
        <v>FARMÁCIA INDIANA LJ 101 (10043)</v>
      </c>
      <c r="S6666" t="s">
        <v>77</v>
      </c>
      <c r="T6666">
        <v>19831</v>
      </c>
      <c r="U6666">
        <v>23692</v>
      </c>
      <c r="V6666" t="s">
        <v>77</v>
      </c>
    </row>
    <row r="6667" spans="1:22">
      <c r="A6667" t="str">
        <f t="shared" si="1195"/>
        <v>16/10/2025</v>
      </c>
      <c r="B6667" t="str">
        <f t="shared" si="1196"/>
        <v>SAÍDA</v>
      </c>
      <c r="C6667" t="str">
        <f t="shared" si="1197"/>
        <v>PIX</v>
      </c>
      <c r="D6667" t="str">
        <f>"23737"</f>
        <v>23737</v>
      </c>
      <c r="E6667" t="str">
        <f t="shared" si="1201"/>
        <v>1</v>
      </c>
      <c r="F6667" t="str">
        <f t="shared" si="1189"/>
        <v>COM</v>
      </c>
      <c r="G6667" t="str">
        <f>"DANILO DE JESUS SANTOS (490)"</f>
        <v>DANILO DE JESUS SANTOS (490)</v>
      </c>
      <c r="H6667" t="str">
        <f>"Serv.Prest. 06/10/2025 a 12/10/2025 - PIX: CELULAR - CHAVE: (73) 98191-0061"</f>
        <v>Serv.Prest. 06/10/2025 a 12/10/2025 - PIX: CELULAR - CHAVE: (73) 98191-0061</v>
      </c>
      <c r="I6667" t="str">
        <f t="shared" si="1198"/>
        <v>16/10/2025</v>
      </c>
      <c r="J6667" t="str">
        <f t="shared" si="1192"/>
        <v>14/10/2025</v>
      </c>
      <c r="K6667" t="str">
        <f>("16/10/2025")</f>
        <v>16/10/2025</v>
      </c>
      <c r="L6667">
        <v>702</v>
      </c>
      <c r="M6667">
        <v>702</v>
      </c>
      <c r="N6667">
        <v>109</v>
      </c>
      <c r="O6667" t="str">
        <f>"PAGAMENTO DE ENTREGADORES"</f>
        <v>PAGAMENTO DE ENTREGADORES</v>
      </c>
      <c r="P6667">
        <v>702</v>
      </c>
      <c r="S6667" t="str">
        <f>"BANCO C6 (149)"</f>
        <v>BANCO C6 (149)</v>
      </c>
      <c r="T6667">
        <v>19832</v>
      </c>
      <c r="U6667">
        <v>23737</v>
      </c>
      <c r="V6667" t="s">
        <v>77</v>
      </c>
    </row>
    <row r="6668" spans="1:22">
      <c r="A6668" t="str">
        <f t="shared" si="1195"/>
        <v>16/10/2025</v>
      </c>
      <c r="B6668" t="str">
        <f t="shared" si="1196"/>
        <v>SAÍDA</v>
      </c>
      <c r="C6668" t="str">
        <f t="shared" si="1197"/>
        <v>PIX</v>
      </c>
      <c r="D6668" t="str">
        <f>"23737"</f>
        <v>23737</v>
      </c>
      <c r="E6668" t="str">
        <f t="shared" si="1201"/>
        <v>1</v>
      </c>
      <c r="F6668" t="str">
        <f t="shared" si="1189"/>
        <v>COM</v>
      </c>
      <c r="G6668" t="str">
        <f>"DANILO DE JESUS SANTOS (490)"</f>
        <v>DANILO DE JESUS SANTOS (490)</v>
      </c>
      <c r="H6668" t="s">
        <v>1814</v>
      </c>
      <c r="I6668" t="str">
        <f t="shared" si="1198"/>
        <v>16/10/2025</v>
      </c>
      <c r="J6668" t="str">
        <f t="shared" si="1192"/>
        <v>14/10/2025</v>
      </c>
      <c r="K6668">
        <v>45946</v>
      </c>
      <c r="N6668">
        <v>109</v>
      </c>
      <c r="O6668" t="s">
        <v>24</v>
      </c>
      <c r="Q6668">
        <v>702</v>
      </c>
      <c r="R6668" t="str">
        <f>"FARMÁCIA INDIANA LJ 145 (10068)"</f>
        <v>FARMÁCIA INDIANA LJ 145 (10068)</v>
      </c>
      <c r="S6668" t="s">
        <v>77</v>
      </c>
      <c r="T6668">
        <v>19832</v>
      </c>
      <c r="U6668">
        <v>23737</v>
      </c>
      <c r="V6668" t="s">
        <v>77</v>
      </c>
    </row>
    <row r="6669" spans="1:22">
      <c r="A6669" t="str">
        <f t="shared" si="1195"/>
        <v>16/10/2025</v>
      </c>
      <c r="B6669" t="str">
        <f t="shared" si="1196"/>
        <v>SAÍDA</v>
      </c>
      <c r="C6669" t="str">
        <f t="shared" si="1197"/>
        <v>PIX</v>
      </c>
      <c r="D6669" t="str">
        <f>"23758"</f>
        <v>23758</v>
      </c>
      <c r="E6669" t="str">
        <f t="shared" si="1201"/>
        <v>1</v>
      </c>
      <c r="F6669" t="str">
        <f t="shared" si="1189"/>
        <v>COM</v>
      </c>
      <c r="G6669" t="str">
        <f>"ROBSON OLIVEIRA DE JESUS (623)"</f>
        <v>ROBSON OLIVEIRA DE JESUS (623)</v>
      </c>
      <c r="H6669" t="str">
        <f>"Serv.Prest. 06/10/2025 a 12/10/2025 - PIX: CPF - CHAVE: 009.265.655-24"</f>
        <v>Serv.Prest. 06/10/2025 a 12/10/2025 - PIX: CPF - CHAVE: 009.265.655-24</v>
      </c>
      <c r="I6669" t="str">
        <f t="shared" si="1198"/>
        <v>16/10/2025</v>
      </c>
      <c r="J6669" t="str">
        <f t="shared" si="1192"/>
        <v>14/10/2025</v>
      </c>
      <c r="K6669" t="str">
        <f>("16/10/2025")</f>
        <v>16/10/2025</v>
      </c>
      <c r="L6669">
        <v>702</v>
      </c>
      <c r="M6669">
        <v>702</v>
      </c>
      <c r="N6669">
        <v>109</v>
      </c>
      <c r="O6669" t="str">
        <f>"PAGAMENTO DE ENTREGADORES"</f>
        <v>PAGAMENTO DE ENTREGADORES</v>
      </c>
      <c r="P6669">
        <v>702</v>
      </c>
      <c r="S6669" t="str">
        <f>"BANCO C6 (149)"</f>
        <v>BANCO C6 (149)</v>
      </c>
      <c r="T6669">
        <v>19833</v>
      </c>
      <c r="U6669">
        <v>23758</v>
      </c>
      <c r="V6669" t="s">
        <v>77</v>
      </c>
    </row>
    <row r="6670" spans="1:22">
      <c r="A6670" t="str">
        <f t="shared" si="1195"/>
        <v>16/10/2025</v>
      </c>
      <c r="B6670" t="str">
        <f t="shared" si="1196"/>
        <v>SAÍDA</v>
      </c>
      <c r="C6670" t="str">
        <f t="shared" si="1197"/>
        <v>PIX</v>
      </c>
      <c r="D6670" t="str">
        <f>"23758"</f>
        <v>23758</v>
      </c>
      <c r="E6670" t="str">
        <f t="shared" si="1201"/>
        <v>1</v>
      </c>
      <c r="F6670" t="str">
        <f t="shared" si="1189"/>
        <v>COM</v>
      </c>
      <c r="G6670" t="str">
        <f>"ROBSON OLIVEIRA DE JESUS (623)"</f>
        <v>ROBSON OLIVEIRA DE JESUS (623)</v>
      </c>
      <c r="H6670" t="s">
        <v>1815</v>
      </c>
      <c r="I6670" t="str">
        <f t="shared" si="1198"/>
        <v>16/10/2025</v>
      </c>
      <c r="J6670" t="str">
        <f t="shared" si="1192"/>
        <v>14/10/2025</v>
      </c>
      <c r="K6670">
        <v>45946</v>
      </c>
      <c r="N6670">
        <v>109</v>
      </c>
      <c r="O6670" t="s">
        <v>24</v>
      </c>
      <c r="Q6670">
        <v>702</v>
      </c>
      <c r="R6670" t="str">
        <f>"FARMÁCIA INDIANA LJ 145 (10068)"</f>
        <v>FARMÁCIA INDIANA LJ 145 (10068)</v>
      </c>
      <c r="S6670" t="s">
        <v>77</v>
      </c>
      <c r="T6670">
        <v>19833</v>
      </c>
      <c r="U6670">
        <v>23758</v>
      </c>
      <c r="V6670" t="s">
        <v>77</v>
      </c>
    </row>
    <row r="6671" spans="1:22">
      <c r="A6671" t="str">
        <f t="shared" si="1195"/>
        <v>16/10/2025</v>
      </c>
      <c r="B6671" t="str">
        <f t="shared" si="1196"/>
        <v>SAÍDA</v>
      </c>
      <c r="C6671" t="str">
        <f t="shared" si="1197"/>
        <v>PIX</v>
      </c>
      <c r="D6671" t="str">
        <f>"23759"</f>
        <v>23759</v>
      </c>
      <c r="E6671" t="str">
        <f t="shared" si="1201"/>
        <v>1</v>
      </c>
      <c r="F6671" t="str">
        <f t="shared" si="1189"/>
        <v>COM</v>
      </c>
      <c r="G6671" t="str">
        <f>"TALES DE JESUS OLIVEIRA (318)"</f>
        <v>TALES DE JESUS OLIVEIRA (318)</v>
      </c>
      <c r="H6671" t="str">
        <f>"Serv.Prest. 06/10/2025 a 12/10/2025 - PIX: CPF - CHAVE: 378.223.888-51"</f>
        <v>Serv.Prest. 06/10/2025 a 12/10/2025 - PIX: CPF - CHAVE: 378.223.888-51</v>
      </c>
      <c r="I6671" t="str">
        <f t="shared" si="1198"/>
        <v>16/10/2025</v>
      </c>
      <c r="J6671" t="str">
        <f t="shared" si="1192"/>
        <v>14/10/2025</v>
      </c>
      <c r="K6671" t="str">
        <f>("16/10/2025")</f>
        <v>16/10/2025</v>
      </c>
      <c r="L6671">
        <v>702</v>
      </c>
      <c r="M6671">
        <v>702</v>
      </c>
      <c r="N6671">
        <v>109</v>
      </c>
      <c r="O6671" t="str">
        <f>"PAGAMENTO DE ENTREGADORES"</f>
        <v>PAGAMENTO DE ENTREGADORES</v>
      </c>
      <c r="P6671">
        <v>702</v>
      </c>
      <c r="S6671" t="str">
        <f>"BANCO C6 (149)"</f>
        <v>BANCO C6 (149)</v>
      </c>
      <c r="T6671">
        <v>19834</v>
      </c>
      <c r="U6671">
        <v>23759</v>
      </c>
      <c r="V6671" t="s">
        <v>77</v>
      </c>
    </row>
    <row r="6672" spans="1:22">
      <c r="A6672" t="str">
        <f t="shared" si="1195"/>
        <v>16/10/2025</v>
      </c>
      <c r="B6672" t="str">
        <f t="shared" si="1196"/>
        <v>SAÍDA</v>
      </c>
      <c r="C6672" t="str">
        <f t="shared" si="1197"/>
        <v>PIX</v>
      </c>
      <c r="D6672" t="str">
        <f>"23759"</f>
        <v>23759</v>
      </c>
      <c r="E6672" t="str">
        <f t="shared" si="1201"/>
        <v>1</v>
      </c>
      <c r="F6672" t="str">
        <f t="shared" si="1189"/>
        <v>COM</v>
      </c>
      <c r="G6672" t="str">
        <f>"TALES DE JESUS OLIVEIRA (318)"</f>
        <v>TALES DE JESUS OLIVEIRA (318)</v>
      </c>
      <c r="H6672" t="s">
        <v>1816</v>
      </c>
      <c r="I6672" t="str">
        <f t="shared" si="1198"/>
        <v>16/10/2025</v>
      </c>
      <c r="J6672" t="str">
        <f t="shared" si="1192"/>
        <v>14/10/2025</v>
      </c>
      <c r="K6672">
        <v>45946</v>
      </c>
      <c r="N6672">
        <v>109</v>
      </c>
      <c r="O6672" t="s">
        <v>24</v>
      </c>
      <c r="Q6672">
        <v>702</v>
      </c>
      <c r="R6672" t="str">
        <f>"FARMÁCIA INDIANA LJ 145 (10068)"</f>
        <v>FARMÁCIA INDIANA LJ 145 (10068)</v>
      </c>
      <c r="S6672" t="s">
        <v>77</v>
      </c>
      <c r="T6672">
        <v>19834</v>
      </c>
      <c r="U6672">
        <v>23759</v>
      </c>
      <c r="V6672" t="s">
        <v>77</v>
      </c>
    </row>
    <row r="6673" spans="1:22">
      <c r="A6673" t="str">
        <f t="shared" si="1195"/>
        <v>16/10/2025</v>
      </c>
      <c r="B6673" t="str">
        <f t="shared" si="1196"/>
        <v>SAÍDA</v>
      </c>
      <c r="C6673" t="str">
        <f t="shared" si="1197"/>
        <v>PIX</v>
      </c>
      <c r="D6673" t="str">
        <f>"23768"</f>
        <v>23768</v>
      </c>
      <c r="E6673" t="str">
        <f t="shared" si="1201"/>
        <v>1</v>
      </c>
      <c r="F6673" t="str">
        <f t="shared" si="1189"/>
        <v>COM</v>
      </c>
      <c r="G6673" t="str">
        <f>"JOAO ALEXANDRE DE SOUZA ARAUJO (698)"</f>
        <v>JOAO ALEXANDRE DE SOUZA ARAUJO (698)</v>
      </c>
      <c r="H6673" t="str">
        <f>"Serv.Prest. 06/10/2025 a 12/10/2025 - PIX: CPF - CHAVE: 174.029.607-90"</f>
        <v>Serv.Prest. 06/10/2025 a 12/10/2025 - PIX: CPF - CHAVE: 174.029.607-90</v>
      </c>
      <c r="I6673" t="str">
        <f t="shared" si="1198"/>
        <v>16/10/2025</v>
      </c>
      <c r="J6673" t="str">
        <f t="shared" si="1192"/>
        <v>14/10/2025</v>
      </c>
      <c r="K6673" t="str">
        <f>("16/10/2025")</f>
        <v>16/10/2025</v>
      </c>
      <c r="L6673">
        <v>720</v>
      </c>
      <c r="M6673">
        <v>720</v>
      </c>
      <c r="N6673">
        <v>134</v>
      </c>
      <c r="O6673" t="str">
        <f>"DIARIA DE MOTOBOY"</f>
        <v>DIARIA DE MOTOBOY</v>
      </c>
      <c r="P6673">
        <v>720</v>
      </c>
      <c r="S6673" t="str">
        <f>"BANCO C6 (149)"</f>
        <v>BANCO C6 (149)</v>
      </c>
      <c r="T6673">
        <v>19835</v>
      </c>
      <c r="U6673">
        <v>23768</v>
      </c>
      <c r="V6673" t="s">
        <v>77</v>
      </c>
    </row>
    <row r="6674" spans="1:22">
      <c r="A6674" t="str">
        <f t="shared" si="1195"/>
        <v>16/10/2025</v>
      </c>
      <c r="B6674" t="str">
        <f t="shared" si="1196"/>
        <v>SAÍDA</v>
      </c>
      <c r="C6674" t="str">
        <f t="shared" si="1197"/>
        <v>PIX</v>
      </c>
      <c r="D6674" t="str">
        <f>"23768"</f>
        <v>23768</v>
      </c>
      <c r="E6674" t="str">
        <f t="shared" si="1201"/>
        <v>1</v>
      </c>
      <c r="F6674" t="str">
        <f t="shared" si="1189"/>
        <v>COM</v>
      </c>
      <c r="G6674" t="str">
        <f>"JOAO ALEXANDRE DE SOUZA ARAUJO (698)"</f>
        <v>JOAO ALEXANDRE DE SOUZA ARAUJO (698)</v>
      </c>
      <c r="H6674" t="s">
        <v>1817</v>
      </c>
      <c r="I6674" t="str">
        <f t="shared" si="1198"/>
        <v>16/10/2025</v>
      </c>
      <c r="J6674" t="str">
        <f t="shared" si="1192"/>
        <v>14/10/2025</v>
      </c>
      <c r="K6674">
        <v>45946</v>
      </c>
      <c r="N6674">
        <v>134</v>
      </c>
      <c r="O6674" t="s">
        <v>41</v>
      </c>
      <c r="Q6674">
        <v>720</v>
      </c>
      <c r="R6674" t="str">
        <f>"FARMÁCIA INDIANA LJ 188 (10176)"</f>
        <v>FARMÁCIA INDIANA LJ 188 (10176)</v>
      </c>
      <c r="S6674" t="s">
        <v>77</v>
      </c>
      <c r="T6674">
        <v>19835</v>
      </c>
      <c r="U6674">
        <v>23768</v>
      </c>
      <c r="V6674" t="s">
        <v>77</v>
      </c>
    </row>
    <row r="6675" spans="1:22">
      <c r="A6675" t="str">
        <f t="shared" si="1195"/>
        <v>16/10/2025</v>
      </c>
      <c r="B6675" t="str">
        <f t="shared" si="1196"/>
        <v>SAÍDA</v>
      </c>
      <c r="C6675" t="str">
        <f t="shared" si="1197"/>
        <v>PIX</v>
      </c>
      <c r="D6675" t="str">
        <f>"23695"</f>
        <v>23695</v>
      </c>
      <c r="E6675" t="str">
        <f t="shared" si="1201"/>
        <v>1</v>
      </c>
      <c r="F6675" t="str">
        <f t="shared" si="1189"/>
        <v>COM</v>
      </c>
      <c r="G6675" t="str">
        <f>"MARCOS RODRIGUES PENA (64)"</f>
        <v>MARCOS RODRIGUES PENA (64)</v>
      </c>
      <c r="H6675" t="str">
        <f>"Serv.Prest. 06/10/2025 a 12/10/2025 - PIX: CELULAR - CHAVE: (33) 99194-2339"</f>
        <v>Serv.Prest. 06/10/2025 a 12/10/2025 - PIX: CELULAR - CHAVE: (33) 99194-2339</v>
      </c>
      <c r="I6675" t="str">
        <f t="shared" si="1198"/>
        <v>16/10/2025</v>
      </c>
      <c r="J6675" t="str">
        <f t="shared" si="1192"/>
        <v>14/10/2025</v>
      </c>
      <c r="K6675" t="str">
        <f>("16/10/2025")</f>
        <v>16/10/2025</v>
      </c>
      <c r="L6675">
        <v>140</v>
      </c>
      <c r="M6675">
        <v>140</v>
      </c>
      <c r="N6675">
        <v>109</v>
      </c>
      <c r="O6675" t="str">
        <f>"PAGAMENTO DE ENTREGADORES"</f>
        <v>PAGAMENTO DE ENTREGADORES</v>
      </c>
      <c r="P6675">
        <v>140</v>
      </c>
      <c r="S6675" t="str">
        <f>"BANCO C6 (149)"</f>
        <v>BANCO C6 (149)</v>
      </c>
      <c r="T6675">
        <v>19836</v>
      </c>
      <c r="U6675">
        <v>23774</v>
      </c>
      <c r="V6675" t="s">
        <v>77</v>
      </c>
    </row>
    <row r="6676" spans="1:22">
      <c r="A6676" t="str">
        <f t="shared" si="1195"/>
        <v>16/10/2025</v>
      </c>
      <c r="B6676" t="str">
        <f t="shared" si="1196"/>
        <v>SAÍDA</v>
      </c>
      <c r="C6676" t="str">
        <f t="shared" si="1197"/>
        <v>PIX</v>
      </c>
      <c r="D6676" t="str">
        <f>"23695"</f>
        <v>23695</v>
      </c>
      <c r="E6676" t="str">
        <f t="shared" si="1201"/>
        <v>1</v>
      </c>
      <c r="F6676" t="str">
        <f t="shared" si="1189"/>
        <v>COM</v>
      </c>
      <c r="G6676" t="str">
        <f>"MARCOS RODRIGUES PENA (64)"</f>
        <v>MARCOS RODRIGUES PENA (64)</v>
      </c>
      <c r="H6676" t="s">
        <v>1818</v>
      </c>
      <c r="I6676" t="str">
        <f t="shared" si="1198"/>
        <v>16/10/2025</v>
      </c>
      <c r="J6676" t="str">
        <f t="shared" si="1192"/>
        <v>14/10/2025</v>
      </c>
      <c r="K6676">
        <v>45946</v>
      </c>
      <c r="N6676">
        <v>109</v>
      </c>
      <c r="O6676" t="s">
        <v>24</v>
      </c>
      <c r="Q6676">
        <v>140</v>
      </c>
      <c r="R6676" t="str">
        <f>"FARMÁCIA INDIANA LJ 62 (10028)"</f>
        <v>FARMÁCIA INDIANA LJ 62 (10028)</v>
      </c>
      <c r="S6676" t="s">
        <v>77</v>
      </c>
      <c r="T6676">
        <v>19836</v>
      </c>
      <c r="U6676">
        <v>23774</v>
      </c>
      <c r="V6676" t="s">
        <v>77</v>
      </c>
    </row>
    <row r="6677" spans="1:22">
      <c r="A6677" t="str">
        <f t="shared" si="1195"/>
        <v>16/10/2025</v>
      </c>
      <c r="B6677" t="str">
        <f t="shared" si="1196"/>
        <v>SAÍDA</v>
      </c>
      <c r="C6677" t="str">
        <f t="shared" si="1197"/>
        <v>PIX</v>
      </c>
      <c r="D6677" t="str">
        <f>"23781"</f>
        <v>23781</v>
      </c>
      <c r="E6677" t="str">
        <f t="shared" si="1201"/>
        <v>1</v>
      </c>
      <c r="F6677" t="str">
        <f t="shared" si="1189"/>
        <v>COM</v>
      </c>
      <c r="G6677" t="str">
        <f>"BRUNO ANDRADE LESSA (952)"</f>
        <v>BRUNO ANDRADE LESSA (952)</v>
      </c>
      <c r="H6677" t="str">
        <f>"Serv.Prest. 06/10/2025 a 12/10/2025 - PIX: CELULAR - CHAVE: (28) 99988-2177"</f>
        <v>Serv.Prest. 06/10/2025 a 12/10/2025 - PIX: CELULAR - CHAVE: (28) 99988-2177</v>
      </c>
      <c r="I6677" t="str">
        <f t="shared" si="1198"/>
        <v>16/10/2025</v>
      </c>
      <c r="J6677" t="str">
        <f t="shared" ref="J6677:J6700" si="1202">("14/10/2025")</f>
        <v>14/10/2025</v>
      </c>
      <c r="K6677" t="str">
        <f>("16/10/2025")</f>
        <v>16/10/2025</v>
      </c>
      <c r="L6677">
        <v>755</v>
      </c>
      <c r="M6677">
        <v>755</v>
      </c>
      <c r="N6677">
        <v>109</v>
      </c>
      <c r="O6677" t="str">
        <f>"PAGAMENTO DE ENTREGADORES"</f>
        <v>PAGAMENTO DE ENTREGADORES</v>
      </c>
      <c r="P6677">
        <v>755</v>
      </c>
      <c r="S6677" t="str">
        <f>"BANCO C6 (149)"</f>
        <v>BANCO C6 (149)</v>
      </c>
      <c r="T6677">
        <v>19837</v>
      </c>
      <c r="U6677">
        <v>23781</v>
      </c>
      <c r="V6677" t="s">
        <v>77</v>
      </c>
    </row>
    <row r="6678" spans="1:22">
      <c r="A6678" t="str">
        <f t="shared" si="1195"/>
        <v>16/10/2025</v>
      </c>
      <c r="B6678" t="str">
        <f t="shared" si="1196"/>
        <v>SAÍDA</v>
      </c>
      <c r="C6678" t="str">
        <f t="shared" si="1197"/>
        <v>PIX</v>
      </c>
      <c r="D6678" t="str">
        <f>"23781"</f>
        <v>23781</v>
      </c>
      <c r="E6678" t="str">
        <f t="shared" si="1201"/>
        <v>1</v>
      </c>
      <c r="F6678" t="str">
        <f t="shared" si="1189"/>
        <v>COM</v>
      </c>
      <c r="G6678" t="str">
        <f>"BRUNO ANDRADE LESSA (952)"</f>
        <v>BRUNO ANDRADE LESSA (952)</v>
      </c>
      <c r="H6678" t="s">
        <v>1819</v>
      </c>
      <c r="I6678" t="str">
        <f t="shared" si="1198"/>
        <v>16/10/2025</v>
      </c>
      <c r="J6678" t="str">
        <f t="shared" si="1202"/>
        <v>14/10/2025</v>
      </c>
      <c r="K6678">
        <v>45946</v>
      </c>
      <c r="N6678">
        <v>109</v>
      </c>
      <c r="O6678" t="s">
        <v>24</v>
      </c>
      <c r="Q6678">
        <v>755</v>
      </c>
      <c r="R6678" t="str">
        <f>"LBL FARMACIA LTDA FILIAL (10192)"</f>
        <v>LBL FARMACIA LTDA FILIAL (10192)</v>
      </c>
      <c r="S6678" t="s">
        <v>77</v>
      </c>
      <c r="T6678">
        <v>19837</v>
      </c>
      <c r="U6678">
        <v>23781</v>
      </c>
      <c r="V6678" t="s">
        <v>77</v>
      </c>
    </row>
    <row r="6679" spans="1:22">
      <c r="A6679" t="str">
        <f t="shared" si="1195"/>
        <v>16/10/2025</v>
      </c>
      <c r="B6679" t="str">
        <f t="shared" si="1196"/>
        <v>SAÍDA</v>
      </c>
      <c r="C6679" t="str">
        <f t="shared" si="1197"/>
        <v>PIX</v>
      </c>
      <c r="D6679" t="str">
        <f>"23782"</f>
        <v>23782</v>
      </c>
      <c r="E6679" t="str">
        <f t="shared" si="1201"/>
        <v>1</v>
      </c>
      <c r="F6679" t="str">
        <f t="shared" si="1189"/>
        <v>COM</v>
      </c>
      <c r="G6679" t="str">
        <f>"YAN FILIPUTI CORA (926)"</f>
        <v>YAN FILIPUTI CORA (926)</v>
      </c>
      <c r="H6679" t="str">
        <f>"Serv.Prest. 06/10/2025 a 12/10/2025 - PIX: CELULAR - CHAVE: (28) 98816-4170"</f>
        <v>Serv.Prest. 06/10/2025 a 12/10/2025 - PIX: CELULAR - CHAVE: (28) 98816-4170</v>
      </c>
      <c r="I6679" t="str">
        <f t="shared" si="1198"/>
        <v>16/10/2025</v>
      </c>
      <c r="J6679" t="str">
        <f t="shared" si="1202"/>
        <v>14/10/2025</v>
      </c>
      <c r="K6679" t="str">
        <f>("16/10/2025")</f>
        <v>16/10/2025</v>
      </c>
      <c r="L6679">
        <v>440</v>
      </c>
      <c r="M6679">
        <v>440</v>
      </c>
      <c r="N6679">
        <v>109</v>
      </c>
      <c r="O6679" t="str">
        <f>"PAGAMENTO DE ENTREGADORES"</f>
        <v>PAGAMENTO DE ENTREGADORES</v>
      </c>
      <c r="P6679">
        <v>440</v>
      </c>
      <c r="S6679" t="str">
        <f>"BANCO C6 (149)"</f>
        <v>BANCO C6 (149)</v>
      </c>
      <c r="T6679">
        <v>19838</v>
      </c>
      <c r="U6679">
        <v>23782</v>
      </c>
      <c r="V6679" t="s">
        <v>77</v>
      </c>
    </row>
    <row r="6680" spans="1:22">
      <c r="A6680" t="str">
        <f t="shared" si="1195"/>
        <v>16/10/2025</v>
      </c>
      <c r="B6680" t="str">
        <f t="shared" si="1196"/>
        <v>SAÍDA</v>
      </c>
      <c r="C6680" t="str">
        <f t="shared" si="1197"/>
        <v>PIX</v>
      </c>
      <c r="D6680" t="str">
        <f>"23782"</f>
        <v>23782</v>
      </c>
      <c r="E6680" t="str">
        <f t="shared" si="1201"/>
        <v>1</v>
      </c>
      <c r="F6680" t="str">
        <f t="shared" si="1189"/>
        <v>COM</v>
      </c>
      <c r="G6680" t="str">
        <f>"YAN FILIPUTI CORA (926)"</f>
        <v>YAN FILIPUTI CORA (926)</v>
      </c>
      <c r="H6680" t="s">
        <v>1820</v>
      </c>
      <c r="I6680" t="str">
        <f t="shared" si="1198"/>
        <v>16/10/2025</v>
      </c>
      <c r="J6680" t="str">
        <f t="shared" si="1202"/>
        <v>14/10/2025</v>
      </c>
      <c r="K6680">
        <v>45946</v>
      </c>
      <c r="N6680">
        <v>109</v>
      </c>
      <c r="O6680" t="s">
        <v>24</v>
      </c>
      <c r="Q6680">
        <v>440</v>
      </c>
      <c r="R6680" t="str">
        <f>"LBL FARMACIA LTDA FILIAL (10192)"</f>
        <v>LBL FARMACIA LTDA FILIAL (10192)</v>
      </c>
      <c r="S6680" t="s">
        <v>77</v>
      </c>
      <c r="T6680">
        <v>19838</v>
      </c>
      <c r="U6680">
        <v>23782</v>
      </c>
      <c r="V6680" t="s">
        <v>77</v>
      </c>
    </row>
    <row r="6681" spans="1:22">
      <c r="A6681" t="str">
        <f t="shared" si="1195"/>
        <v>16/10/2025</v>
      </c>
      <c r="B6681" t="str">
        <f t="shared" si="1196"/>
        <v>SAÍDA</v>
      </c>
      <c r="C6681" t="str">
        <f t="shared" si="1197"/>
        <v>PIX</v>
      </c>
      <c r="D6681" t="str">
        <f>"23784"</f>
        <v>23784</v>
      </c>
      <c r="E6681" t="str">
        <f t="shared" si="1201"/>
        <v>1</v>
      </c>
      <c r="F6681" t="str">
        <f t="shared" si="1189"/>
        <v>COM</v>
      </c>
      <c r="G6681" t="str">
        <f>"BRUNO ANDRADE LESSA (952)"</f>
        <v>BRUNO ANDRADE LESSA (952)</v>
      </c>
      <c r="H6681" t="str">
        <f>"Serv.Prest. 06/10/2025 a 12/10/2025 - PIX: CELULAR - CHAVE: (28) 99988-2177"</f>
        <v>Serv.Prest. 06/10/2025 a 12/10/2025 - PIX: CELULAR - CHAVE: (28) 99988-2177</v>
      </c>
      <c r="I6681" t="str">
        <f t="shared" si="1198"/>
        <v>16/10/2025</v>
      </c>
      <c r="J6681" t="str">
        <f t="shared" si="1202"/>
        <v>14/10/2025</v>
      </c>
      <c r="K6681" t="str">
        <f>("16/10/2025")</f>
        <v>16/10/2025</v>
      </c>
      <c r="L6681">
        <v>210</v>
      </c>
      <c r="M6681">
        <v>210</v>
      </c>
      <c r="N6681">
        <v>109</v>
      </c>
      <c r="O6681" t="str">
        <f>"PAGAMENTO DE ENTREGADORES"</f>
        <v>PAGAMENTO DE ENTREGADORES</v>
      </c>
      <c r="P6681">
        <v>210</v>
      </c>
      <c r="S6681" t="str">
        <f>"BANCO C6 (149)"</f>
        <v>BANCO C6 (149)</v>
      </c>
      <c r="T6681">
        <v>19839</v>
      </c>
      <c r="U6681">
        <v>23784</v>
      </c>
      <c r="V6681" t="s">
        <v>77</v>
      </c>
    </row>
    <row r="6682" spans="1:22">
      <c r="A6682" t="str">
        <f t="shared" si="1195"/>
        <v>16/10/2025</v>
      </c>
      <c r="B6682" t="str">
        <f t="shared" si="1196"/>
        <v>SAÍDA</v>
      </c>
      <c r="C6682" t="str">
        <f t="shared" si="1197"/>
        <v>PIX</v>
      </c>
      <c r="D6682" t="str">
        <f>"23784"</f>
        <v>23784</v>
      </c>
      <c r="E6682" t="str">
        <f t="shared" si="1201"/>
        <v>1</v>
      </c>
      <c r="F6682" t="str">
        <f t="shared" si="1189"/>
        <v>COM</v>
      </c>
      <c r="G6682" t="str">
        <f>"BRUNO ANDRADE LESSA (952)"</f>
        <v>BRUNO ANDRADE LESSA (952)</v>
      </c>
      <c r="H6682" t="s">
        <v>1819</v>
      </c>
      <c r="I6682" t="str">
        <f t="shared" si="1198"/>
        <v>16/10/2025</v>
      </c>
      <c r="J6682" t="str">
        <f t="shared" si="1202"/>
        <v>14/10/2025</v>
      </c>
      <c r="K6682">
        <v>45946</v>
      </c>
      <c r="N6682">
        <v>109</v>
      </c>
      <c r="O6682" t="s">
        <v>24</v>
      </c>
      <c r="Q6682">
        <v>210</v>
      </c>
      <c r="R6682" t="str">
        <f>"LBL FARMACIA LTDA (10189)"</f>
        <v>LBL FARMACIA LTDA (10189)</v>
      </c>
      <c r="S6682" t="s">
        <v>77</v>
      </c>
      <c r="T6682">
        <v>19839</v>
      </c>
      <c r="U6682">
        <v>23784</v>
      </c>
      <c r="V6682" t="s">
        <v>77</v>
      </c>
    </row>
    <row r="6683" spans="1:22">
      <c r="A6683" t="str">
        <f t="shared" si="1195"/>
        <v>16/10/2025</v>
      </c>
      <c r="B6683" t="str">
        <f t="shared" si="1196"/>
        <v>SAÍDA</v>
      </c>
      <c r="C6683" t="str">
        <f t="shared" si="1197"/>
        <v>PIX</v>
      </c>
      <c r="D6683" t="str">
        <f>"23785"</f>
        <v>23785</v>
      </c>
      <c r="E6683" t="str">
        <f t="shared" si="1201"/>
        <v>1</v>
      </c>
      <c r="F6683" t="str">
        <f t="shared" si="1189"/>
        <v>COM</v>
      </c>
      <c r="G6683" t="str">
        <f>"YAN FILIPUTI CORA (926)"</f>
        <v>YAN FILIPUTI CORA (926)</v>
      </c>
      <c r="H6683" t="str">
        <f>"Serv.Prest. 06/10/2025 a 12/10/2025 - PIX: CELULAR - CHAVE: (28) 98816-4170"</f>
        <v>Serv.Prest. 06/10/2025 a 12/10/2025 - PIX: CELULAR - CHAVE: (28) 98816-4170</v>
      </c>
      <c r="I6683" t="str">
        <f t="shared" si="1198"/>
        <v>16/10/2025</v>
      </c>
      <c r="J6683" t="str">
        <f t="shared" si="1202"/>
        <v>14/10/2025</v>
      </c>
      <c r="K6683" t="str">
        <f>("16/10/2025")</f>
        <v>16/10/2025</v>
      </c>
      <c r="L6683">
        <v>360</v>
      </c>
      <c r="M6683">
        <v>360</v>
      </c>
      <c r="N6683">
        <v>109</v>
      </c>
      <c r="O6683" t="str">
        <f>"PAGAMENTO DE ENTREGADORES"</f>
        <v>PAGAMENTO DE ENTREGADORES</v>
      </c>
      <c r="P6683">
        <v>360</v>
      </c>
      <c r="S6683" t="str">
        <f>"BANCO C6 (149)"</f>
        <v>BANCO C6 (149)</v>
      </c>
      <c r="T6683">
        <v>19840</v>
      </c>
      <c r="U6683">
        <v>23785</v>
      </c>
      <c r="V6683" t="s">
        <v>77</v>
      </c>
    </row>
    <row r="6684" spans="1:22">
      <c r="A6684" t="str">
        <f t="shared" si="1195"/>
        <v>16/10/2025</v>
      </c>
      <c r="B6684" t="str">
        <f t="shared" si="1196"/>
        <v>SAÍDA</v>
      </c>
      <c r="C6684" t="str">
        <f t="shared" si="1197"/>
        <v>PIX</v>
      </c>
      <c r="D6684" t="str">
        <f>"23785"</f>
        <v>23785</v>
      </c>
      <c r="E6684" t="str">
        <f t="shared" si="1201"/>
        <v>1</v>
      </c>
      <c r="F6684" t="str">
        <f t="shared" si="1189"/>
        <v>COM</v>
      </c>
      <c r="G6684" t="str">
        <f>"YAN FILIPUTI CORA (926)"</f>
        <v>YAN FILIPUTI CORA (926)</v>
      </c>
      <c r="H6684" t="s">
        <v>1820</v>
      </c>
      <c r="I6684" t="str">
        <f t="shared" si="1198"/>
        <v>16/10/2025</v>
      </c>
      <c r="J6684" t="str">
        <f t="shared" si="1202"/>
        <v>14/10/2025</v>
      </c>
      <c r="K6684">
        <v>45946</v>
      </c>
      <c r="N6684">
        <v>109</v>
      </c>
      <c r="O6684" t="s">
        <v>24</v>
      </c>
      <c r="Q6684">
        <v>360</v>
      </c>
      <c r="R6684" t="str">
        <f>"LBL FARMACIA LTDA (10189)"</f>
        <v>LBL FARMACIA LTDA (10189)</v>
      </c>
      <c r="S6684" t="s">
        <v>77</v>
      </c>
      <c r="T6684">
        <v>19840</v>
      </c>
      <c r="U6684">
        <v>23785</v>
      </c>
      <c r="V6684" t="s">
        <v>77</v>
      </c>
    </row>
    <row r="6685" spans="1:22">
      <c r="A6685" t="str">
        <f t="shared" si="1195"/>
        <v>16/10/2025</v>
      </c>
      <c r="B6685" t="str">
        <f t="shared" si="1196"/>
        <v>SAÍDA</v>
      </c>
      <c r="C6685" t="str">
        <f t="shared" si="1197"/>
        <v>PIX</v>
      </c>
      <c r="D6685" t="str">
        <f>"23787"</f>
        <v>23787</v>
      </c>
      <c r="E6685" t="str">
        <f t="shared" si="1201"/>
        <v>1</v>
      </c>
      <c r="F6685" t="str">
        <f t="shared" si="1189"/>
        <v>COM</v>
      </c>
      <c r="G6685" t="str">
        <f>"WILLIAM DA SILVA COSTA (655)"</f>
        <v>WILLIAM DA SILVA COSTA (655)</v>
      </c>
      <c r="H6685" t="str">
        <f>"Serv.Prest. 06/10/2025 a 12/10/2025 - PIX: CELULAR - CHAVE: (64) 97400-9101"</f>
        <v>Serv.Prest. 06/10/2025 a 12/10/2025 - PIX: CELULAR - CHAVE: (64) 97400-9101</v>
      </c>
      <c r="I6685" t="str">
        <f t="shared" si="1198"/>
        <v>16/10/2025</v>
      </c>
      <c r="J6685" t="str">
        <f t="shared" si="1202"/>
        <v>14/10/2025</v>
      </c>
      <c r="K6685" t="str">
        <f>("16/10/2025")</f>
        <v>16/10/2025</v>
      </c>
      <c r="L6685">
        <v>1414</v>
      </c>
      <c r="M6685">
        <v>1414</v>
      </c>
      <c r="N6685">
        <v>109</v>
      </c>
      <c r="O6685" t="str">
        <f>"PAGAMENTO DE ENTREGADORES"</f>
        <v>PAGAMENTO DE ENTREGADORES</v>
      </c>
      <c r="P6685">
        <v>1414</v>
      </c>
      <c r="S6685" t="str">
        <f>"BANCO C6 (149)"</f>
        <v>BANCO C6 (149)</v>
      </c>
      <c r="T6685">
        <v>19841</v>
      </c>
      <c r="U6685">
        <v>23787</v>
      </c>
      <c r="V6685" t="s">
        <v>77</v>
      </c>
    </row>
    <row r="6686" spans="1:22">
      <c r="A6686" t="str">
        <f t="shared" si="1195"/>
        <v>16/10/2025</v>
      </c>
      <c r="B6686" t="str">
        <f t="shared" si="1196"/>
        <v>SAÍDA</v>
      </c>
      <c r="C6686" t="str">
        <f t="shared" si="1197"/>
        <v>PIX</v>
      </c>
      <c r="D6686" t="str">
        <f>"23787"</f>
        <v>23787</v>
      </c>
      <c r="E6686" t="str">
        <f t="shared" si="1201"/>
        <v>1</v>
      </c>
      <c r="F6686" t="str">
        <f t="shared" si="1189"/>
        <v>COM</v>
      </c>
      <c r="G6686" t="str">
        <f>"WILLIAM DA SILVA COSTA (655)"</f>
        <v>WILLIAM DA SILVA COSTA (655)</v>
      </c>
      <c r="H6686" t="s">
        <v>1355</v>
      </c>
      <c r="I6686" t="str">
        <f t="shared" si="1198"/>
        <v>16/10/2025</v>
      </c>
      <c r="J6686" t="str">
        <f t="shared" si="1202"/>
        <v>14/10/2025</v>
      </c>
      <c r="K6686">
        <v>45946</v>
      </c>
      <c r="N6686">
        <v>109</v>
      </c>
      <c r="O6686" t="s">
        <v>24</v>
      </c>
      <c r="Q6686">
        <v>1414</v>
      </c>
      <c r="R6686" t="str">
        <f>"FARMACIA ECONOMIZE (10103)"</f>
        <v>FARMACIA ECONOMIZE (10103)</v>
      </c>
      <c r="S6686" t="s">
        <v>77</v>
      </c>
      <c r="T6686">
        <v>19841</v>
      </c>
      <c r="U6686">
        <v>23787</v>
      </c>
      <c r="V6686" t="s">
        <v>77</v>
      </c>
    </row>
    <row r="6687" spans="1:22">
      <c r="A6687" t="str">
        <f t="shared" si="1195"/>
        <v>16/10/2025</v>
      </c>
      <c r="B6687" t="str">
        <f t="shared" si="1196"/>
        <v>SAÍDA</v>
      </c>
      <c r="C6687" t="str">
        <f t="shared" si="1197"/>
        <v>PIX</v>
      </c>
      <c r="D6687" t="str">
        <f>"23789"</f>
        <v>23789</v>
      </c>
      <c r="E6687" t="str">
        <f t="shared" si="1201"/>
        <v>1</v>
      </c>
      <c r="F6687" t="str">
        <f t="shared" si="1189"/>
        <v>COM</v>
      </c>
      <c r="G6687" t="str">
        <f>"ALBERTO FARIAS DOS SANTOS JUNIOR (800)"</f>
        <v>ALBERTO FARIAS DOS SANTOS JUNIOR (800)</v>
      </c>
      <c r="H6687" t="str">
        <f>"Serv.Prest. 06/10/2025 a 12/10/2025 - PIX: CELULAR - CHAVE: (71) 99696-7530"</f>
        <v>Serv.Prest. 06/10/2025 a 12/10/2025 - PIX: CELULAR - CHAVE: (71) 99696-7530</v>
      </c>
      <c r="I6687" t="str">
        <f t="shared" si="1198"/>
        <v>16/10/2025</v>
      </c>
      <c r="J6687" t="str">
        <f t="shared" si="1202"/>
        <v>14/10/2025</v>
      </c>
      <c r="K6687" t="str">
        <f>("16/10/2025")</f>
        <v>16/10/2025</v>
      </c>
      <c r="L6687">
        <v>880</v>
      </c>
      <c r="M6687">
        <v>880</v>
      </c>
      <c r="N6687">
        <v>109</v>
      </c>
      <c r="O6687" t="str">
        <f>"PAGAMENTO DE ENTREGADORES"</f>
        <v>PAGAMENTO DE ENTREGADORES</v>
      </c>
      <c r="P6687">
        <v>880</v>
      </c>
      <c r="S6687" t="str">
        <f>"BANCO C6 (149)"</f>
        <v>BANCO C6 (149)</v>
      </c>
      <c r="T6687">
        <v>19842</v>
      </c>
      <c r="U6687">
        <v>23789</v>
      </c>
      <c r="V6687" t="s">
        <v>77</v>
      </c>
    </row>
    <row r="6688" spans="1:22">
      <c r="A6688" t="str">
        <f t="shared" si="1195"/>
        <v>16/10/2025</v>
      </c>
      <c r="B6688" t="str">
        <f t="shared" si="1196"/>
        <v>SAÍDA</v>
      </c>
      <c r="C6688" t="str">
        <f t="shared" si="1197"/>
        <v>PIX</v>
      </c>
      <c r="D6688" t="str">
        <f>"23789"</f>
        <v>23789</v>
      </c>
      <c r="E6688" t="str">
        <f t="shared" si="1201"/>
        <v>1</v>
      </c>
      <c r="F6688" t="str">
        <f t="shared" si="1189"/>
        <v>COM</v>
      </c>
      <c r="G6688" t="str">
        <f>"ALBERTO FARIAS DOS SANTOS JUNIOR (800)"</f>
        <v>ALBERTO FARIAS DOS SANTOS JUNIOR (800)</v>
      </c>
      <c r="H6688" t="s">
        <v>1821</v>
      </c>
      <c r="I6688" t="str">
        <f t="shared" si="1198"/>
        <v>16/10/2025</v>
      </c>
      <c r="J6688" t="str">
        <f t="shared" si="1202"/>
        <v>14/10/2025</v>
      </c>
      <c r="K6688">
        <v>45946</v>
      </c>
      <c r="N6688">
        <v>109</v>
      </c>
      <c r="O6688" t="s">
        <v>24</v>
      </c>
      <c r="Q6688">
        <v>880</v>
      </c>
      <c r="R6688" t="str">
        <f>"DELTA LOJA 2 (10123)"</f>
        <v>DELTA LOJA 2 (10123)</v>
      </c>
      <c r="S6688" t="s">
        <v>77</v>
      </c>
      <c r="T6688">
        <v>19842</v>
      </c>
      <c r="U6688">
        <v>23789</v>
      </c>
      <c r="V6688" t="s">
        <v>77</v>
      </c>
    </row>
    <row r="6689" spans="1:22">
      <c r="A6689" t="str">
        <f t="shared" si="1195"/>
        <v>16/10/2025</v>
      </c>
      <c r="B6689" t="str">
        <f t="shared" si="1196"/>
        <v>SAÍDA</v>
      </c>
      <c r="C6689" t="str">
        <f t="shared" si="1197"/>
        <v>PIX</v>
      </c>
      <c r="D6689" t="str">
        <f>"23790"</f>
        <v>23790</v>
      </c>
      <c r="E6689" t="str">
        <f t="shared" si="1201"/>
        <v>1</v>
      </c>
      <c r="F6689" t="str">
        <f t="shared" si="1189"/>
        <v>COM</v>
      </c>
      <c r="G6689" t="str">
        <f>"EDNUBIA RAMOS ALVES OLIVEIRA (899)"</f>
        <v>EDNUBIA RAMOS ALVES OLIVEIRA (899)</v>
      </c>
      <c r="H6689" t="str">
        <f>"Serv.Prest. 06/10/2025 a 12/10/2025 - PIX: CELULAR - CHAVE: (71) 99214-9256"</f>
        <v>Serv.Prest. 06/10/2025 a 12/10/2025 - PIX: CELULAR - CHAVE: (71) 99214-9256</v>
      </c>
      <c r="I6689" t="str">
        <f t="shared" si="1198"/>
        <v>16/10/2025</v>
      </c>
      <c r="J6689" t="str">
        <f t="shared" si="1202"/>
        <v>14/10/2025</v>
      </c>
      <c r="K6689" t="str">
        <f>("16/10/2025")</f>
        <v>16/10/2025</v>
      </c>
      <c r="L6689">
        <v>780</v>
      </c>
      <c r="M6689">
        <v>780</v>
      </c>
      <c r="N6689">
        <v>109</v>
      </c>
      <c r="O6689" t="str">
        <f>"PAGAMENTO DE ENTREGADORES"</f>
        <v>PAGAMENTO DE ENTREGADORES</v>
      </c>
      <c r="P6689">
        <v>780</v>
      </c>
      <c r="S6689" t="str">
        <f>"BANCO C6 (149)"</f>
        <v>BANCO C6 (149)</v>
      </c>
      <c r="T6689">
        <v>19843</v>
      </c>
      <c r="U6689">
        <v>23790</v>
      </c>
      <c r="V6689" t="s">
        <v>77</v>
      </c>
    </row>
    <row r="6690" spans="1:22">
      <c r="A6690" t="str">
        <f t="shared" si="1195"/>
        <v>16/10/2025</v>
      </c>
      <c r="B6690" t="str">
        <f t="shared" si="1196"/>
        <v>SAÍDA</v>
      </c>
      <c r="C6690" t="str">
        <f t="shared" si="1197"/>
        <v>PIX</v>
      </c>
      <c r="D6690" t="str">
        <f>"23790"</f>
        <v>23790</v>
      </c>
      <c r="E6690" t="str">
        <f t="shared" si="1201"/>
        <v>1</v>
      </c>
      <c r="F6690" t="str">
        <f t="shared" si="1189"/>
        <v>COM</v>
      </c>
      <c r="G6690" t="str">
        <f>"EDNUBIA RAMOS ALVES OLIVEIRA (899)"</f>
        <v>EDNUBIA RAMOS ALVES OLIVEIRA (899)</v>
      </c>
      <c r="H6690" t="s">
        <v>1822</v>
      </c>
      <c r="I6690" t="str">
        <f t="shared" si="1198"/>
        <v>16/10/2025</v>
      </c>
      <c r="J6690" t="str">
        <f t="shared" si="1202"/>
        <v>14/10/2025</v>
      </c>
      <c r="K6690">
        <v>45946</v>
      </c>
      <c r="N6690">
        <v>109</v>
      </c>
      <c r="O6690" t="s">
        <v>24</v>
      </c>
      <c r="Q6690">
        <v>780</v>
      </c>
      <c r="R6690" t="str">
        <f>"DELTA LOJA 2 (10123)"</f>
        <v>DELTA LOJA 2 (10123)</v>
      </c>
      <c r="S6690" t="s">
        <v>77</v>
      </c>
      <c r="T6690">
        <v>19843</v>
      </c>
      <c r="U6690">
        <v>23790</v>
      </c>
      <c r="V6690" t="s">
        <v>77</v>
      </c>
    </row>
    <row r="6691" spans="1:22">
      <c r="A6691" t="str">
        <f t="shared" si="1195"/>
        <v>16/10/2025</v>
      </c>
      <c r="B6691" t="str">
        <f t="shared" si="1196"/>
        <v>SAÍDA</v>
      </c>
      <c r="C6691" t="str">
        <f t="shared" si="1197"/>
        <v>PIX</v>
      </c>
      <c r="D6691" t="str">
        <f>"23791"</f>
        <v>23791</v>
      </c>
      <c r="E6691" t="str">
        <f t="shared" si="1201"/>
        <v>1</v>
      </c>
      <c r="F6691" t="str">
        <f t="shared" si="1189"/>
        <v>COM</v>
      </c>
      <c r="G6691" t="str">
        <f>"EDVAN DA SILVA ALVES (934)"</f>
        <v>EDVAN DA SILVA ALVES (934)</v>
      </c>
      <c r="H6691" t="str">
        <f>"Serv.Prest. 06/10/2025 a 12/10/2025 - PIX: E-MAIL - CHAVE: edvam18.alves@gmail.com"</f>
        <v>Serv.Prest. 06/10/2025 a 12/10/2025 - PIX: E-MAIL - CHAVE: edvam18.alves@gmail.com</v>
      </c>
      <c r="I6691" t="str">
        <f t="shared" si="1198"/>
        <v>16/10/2025</v>
      </c>
      <c r="J6691" t="str">
        <f t="shared" si="1202"/>
        <v>14/10/2025</v>
      </c>
      <c r="K6691" t="str">
        <f>("16/10/2025")</f>
        <v>16/10/2025</v>
      </c>
      <c r="L6691">
        <v>740</v>
      </c>
      <c r="M6691">
        <v>740</v>
      </c>
      <c r="N6691">
        <v>109</v>
      </c>
      <c r="O6691" t="str">
        <f>"PAGAMENTO DE ENTREGADORES"</f>
        <v>PAGAMENTO DE ENTREGADORES</v>
      </c>
      <c r="P6691">
        <v>740</v>
      </c>
      <c r="S6691" t="str">
        <f>"BANCO C6 (149)"</f>
        <v>BANCO C6 (149)</v>
      </c>
      <c r="T6691">
        <v>19844</v>
      </c>
      <c r="U6691">
        <v>23791</v>
      </c>
      <c r="V6691" t="s">
        <v>77</v>
      </c>
    </row>
    <row r="6692" spans="1:22">
      <c r="A6692" t="str">
        <f t="shared" si="1195"/>
        <v>16/10/2025</v>
      </c>
      <c r="B6692" t="str">
        <f t="shared" si="1196"/>
        <v>SAÍDA</v>
      </c>
      <c r="C6692" t="str">
        <f t="shared" si="1197"/>
        <v>PIX</v>
      </c>
      <c r="D6692" t="str">
        <f>"23791"</f>
        <v>23791</v>
      </c>
      <c r="E6692" t="str">
        <f t="shared" si="1201"/>
        <v>1</v>
      </c>
      <c r="F6692" t="str">
        <f t="shared" si="1189"/>
        <v>COM</v>
      </c>
      <c r="G6692" t="str">
        <f>"EDVAN DA SILVA ALVES (934)"</f>
        <v>EDVAN DA SILVA ALVES (934)</v>
      </c>
      <c r="H6692" t="s">
        <v>1823</v>
      </c>
      <c r="I6692" t="str">
        <f t="shared" si="1198"/>
        <v>16/10/2025</v>
      </c>
      <c r="J6692" t="str">
        <f t="shared" si="1202"/>
        <v>14/10/2025</v>
      </c>
      <c r="K6692">
        <v>45946</v>
      </c>
      <c r="N6692">
        <v>109</v>
      </c>
      <c r="O6692" t="s">
        <v>24</v>
      </c>
      <c r="Q6692">
        <v>740</v>
      </c>
      <c r="R6692" t="str">
        <f>"DELTA LOJA 2 (10123)"</f>
        <v>DELTA LOJA 2 (10123)</v>
      </c>
      <c r="S6692" t="s">
        <v>77</v>
      </c>
      <c r="T6692">
        <v>19844</v>
      </c>
      <c r="U6692">
        <v>23791</v>
      </c>
      <c r="V6692" t="s">
        <v>77</v>
      </c>
    </row>
    <row r="6693" spans="1:22">
      <c r="A6693" t="str">
        <f t="shared" si="1195"/>
        <v>16/10/2025</v>
      </c>
      <c r="B6693" t="str">
        <f t="shared" si="1196"/>
        <v>SAÍDA</v>
      </c>
      <c r="C6693" t="str">
        <f t="shared" si="1197"/>
        <v>PIX</v>
      </c>
      <c r="D6693" t="str">
        <f>"23792"</f>
        <v>23792</v>
      </c>
      <c r="E6693" t="str">
        <f t="shared" si="1201"/>
        <v>1</v>
      </c>
      <c r="F6693" t="str">
        <f t="shared" si="1189"/>
        <v>COM</v>
      </c>
      <c r="G6693" t="str">
        <f>"ELIENAI ROSA DO NASCIMENTO (343)"</f>
        <v>ELIENAI ROSA DO NASCIMENTO (343)</v>
      </c>
      <c r="H6693" t="str">
        <f>"Serv.Prest. 06/10/2025 a 12/10/2025 - PIX: CPF - CHAVE: 048.672.645-20"</f>
        <v>Serv.Prest. 06/10/2025 a 12/10/2025 - PIX: CPF - CHAVE: 048.672.645-20</v>
      </c>
      <c r="I6693" t="str">
        <f t="shared" si="1198"/>
        <v>16/10/2025</v>
      </c>
      <c r="J6693" t="str">
        <f t="shared" si="1202"/>
        <v>14/10/2025</v>
      </c>
      <c r="K6693" t="str">
        <f>("16/10/2025")</f>
        <v>16/10/2025</v>
      </c>
      <c r="L6693">
        <v>890</v>
      </c>
      <c r="M6693">
        <v>890</v>
      </c>
      <c r="N6693">
        <v>109</v>
      </c>
      <c r="O6693" t="str">
        <f>"PAGAMENTO DE ENTREGADORES"</f>
        <v>PAGAMENTO DE ENTREGADORES</v>
      </c>
      <c r="P6693">
        <v>890</v>
      </c>
      <c r="S6693" t="str">
        <f>"BANCO C6 (149)"</f>
        <v>BANCO C6 (149)</v>
      </c>
      <c r="T6693">
        <v>19845</v>
      </c>
      <c r="U6693">
        <v>23792</v>
      </c>
      <c r="V6693" t="s">
        <v>77</v>
      </c>
    </row>
    <row r="6694" spans="1:22">
      <c r="A6694" t="str">
        <f t="shared" si="1195"/>
        <v>16/10/2025</v>
      </c>
      <c r="B6694" t="str">
        <f t="shared" si="1196"/>
        <v>SAÍDA</v>
      </c>
      <c r="C6694" t="str">
        <f t="shared" si="1197"/>
        <v>PIX</v>
      </c>
      <c r="D6694" t="str">
        <f>"23792"</f>
        <v>23792</v>
      </c>
      <c r="E6694" t="str">
        <f t="shared" si="1201"/>
        <v>1</v>
      </c>
      <c r="F6694" t="str">
        <f t="shared" si="1189"/>
        <v>COM</v>
      </c>
      <c r="G6694" t="str">
        <f>"ELIENAI ROSA DO NASCIMENTO (343)"</f>
        <v>ELIENAI ROSA DO NASCIMENTO (343)</v>
      </c>
      <c r="H6694" t="s">
        <v>1824</v>
      </c>
      <c r="I6694" t="str">
        <f t="shared" si="1198"/>
        <v>16/10/2025</v>
      </c>
      <c r="J6694" t="str">
        <f t="shared" si="1202"/>
        <v>14/10/2025</v>
      </c>
      <c r="K6694">
        <v>45946</v>
      </c>
      <c r="N6694">
        <v>109</v>
      </c>
      <c r="O6694" t="s">
        <v>24</v>
      </c>
      <c r="Q6694">
        <v>890</v>
      </c>
      <c r="R6694" t="str">
        <f>"DELTA LOJA 2 (10123)"</f>
        <v>DELTA LOJA 2 (10123)</v>
      </c>
      <c r="S6694" t="s">
        <v>77</v>
      </c>
      <c r="T6694">
        <v>19845</v>
      </c>
      <c r="U6694">
        <v>23792</v>
      </c>
      <c r="V6694" t="s">
        <v>77</v>
      </c>
    </row>
    <row r="6695" spans="1:22">
      <c r="A6695" t="str">
        <f t="shared" si="1195"/>
        <v>16/10/2025</v>
      </c>
      <c r="B6695" t="str">
        <f t="shared" si="1196"/>
        <v>SAÍDA</v>
      </c>
      <c r="C6695" t="str">
        <f t="shared" si="1197"/>
        <v>PIX</v>
      </c>
      <c r="D6695" t="str">
        <f>"23794"</f>
        <v>23794</v>
      </c>
      <c r="E6695" t="str">
        <f t="shared" si="1201"/>
        <v>1</v>
      </c>
      <c r="F6695" t="str">
        <f t="shared" si="1189"/>
        <v>COM</v>
      </c>
      <c r="G6695" t="str">
        <f>"NILTON ADRIANO SILVA DE JESUS (943)"</f>
        <v>NILTON ADRIANO SILVA DE JESUS (943)</v>
      </c>
      <c r="H6695" t="str">
        <f>"Serv.Prest. 06/10/2025 a 12/10/2025 - PIX: CELULAR - CHAVE: (34) 99772-2954"</f>
        <v>Serv.Prest. 06/10/2025 a 12/10/2025 - PIX: CELULAR - CHAVE: (34) 99772-2954</v>
      </c>
      <c r="I6695" t="str">
        <f t="shared" si="1198"/>
        <v>16/10/2025</v>
      </c>
      <c r="J6695" t="str">
        <f t="shared" si="1202"/>
        <v>14/10/2025</v>
      </c>
      <c r="K6695" t="str">
        <f>("16/10/2025")</f>
        <v>16/10/2025</v>
      </c>
      <c r="L6695">
        <v>967.5</v>
      </c>
      <c r="M6695">
        <v>967.5</v>
      </c>
      <c r="N6695">
        <v>109</v>
      </c>
      <c r="O6695" t="str">
        <f>"PAGAMENTO DE ENTREGADORES"</f>
        <v>PAGAMENTO DE ENTREGADORES</v>
      </c>
      <c r="P6695">
        <v>967.5</v>
      </c>
      <c r="S6695" t="str">
        <f>"BANCO C6 (149)"</f>
        <v>BANCO C6 (149)</v>
      </c>
      <c r="T6695">
        <v>19846</v>
      </c>
      <c r="U6695">
        <v>23794</v>
      </c>
      <c r="V6695" t="s">
        <v>77</v>
      </c>
    </row>
    <row r="6696" spans="1:22">
      <c r="A6696" t="str">
        <f t="shared" si="1195"/>
        <v>16/10/2025</v>
      </c>
      <c r="B6696" t="str">
        <f t="shared" si="1196"/>
        <v>SAÍDA</v>
      </c>
      <c r="C6696" t="str">
        <f t="shared" si="1197"/>
        <v>PIX</v>
      </c>
      <c r="D6696" t="str">
        <f>"23794"</f>
        <v>23794</v>
      </c>
      <c r="E6696" t="str">
        <f t="shared" si="1201"/>
        <v>1</v>
      </c>
      <c r="F6696" t="str">
        <f t="shared" si="1189"/>
        <v>COM</v>
      </c>
      <c r="G6696" t="str">
        <f>"NILTON ADRIANO SILVA DE JESUS (943)"</f>
        <v>NILTON ADRIANO SILVA DE JESUS (943)</v>
      </c>
      <c r="H6696" t="s">
        <v>1825</v>
      </c>
      <c r="I6696" t="str">
        <f t="shared" si="1198"/>
        <v>16/10/2025</v>
      </c>
      <c r="J6696" t="str">
        <f t="shared" si="1202"/>
        <v>14/10/2025</v>
      </c>
      <c r="K6696">
        <v>45946</v>
      </c>
      <c r="N6696">
        <v>109</v>
      </c>
      <c r="O6696" t="s">
        <v>24</v>
      </c>
      <c r="Q6696">
        <v>967.5</v>
      </c>
      <c r="R6696" t="str">
        <f>"DROGA HONDA (10149)"</f>
        <v>DROGA HONDA (10149)</v>
      </c>
      <c r="S6696" t="s">
        <v>77</v>
      </c>
      <c r="T6696">
        <v>19846</v>
      </c>
      <c r="U6696">
        <v>23794</v>
      </c>
      <c r="V6696" t="s">
        <v>77</v>
      </c>
    </row>
    <row r="6697" spans="1:22">
      <c r="A6697" t="str">
        <f t="shared" si="1195"/>
        <v>16/10/2025</v>
      </c>
      <c r="B6697" t="str">
        <f t="shared" si="1196"/>
        <v>SAÍDA</v>
      </c>
      <c r="C6697" t="str">
        <f t="shared" si="1197"/>
        <v>PIX</v>
      </c>
      <c r="D6697" t="str">
        <f>"23743"</f>
        <v>23743</v>
      </c>
      <c r="E6697" t="str">
        <f t="shared" si="1201"/>
        <v>1</v>
      </c>
      <c r="F6697" t="str">
        <f t="shared" si="1189"/>
        <v>COM</v>
      </c>
      <c r="G6697" t="str">
        <f>"GILSON OLIVEIRA CAMPINHO JUNIOR (132)"</f>
        <v>GILSON OLIVEIRA CAMPINHO JUNIOR (132)</v>
      </c>
      <c r="H6697" t="str">
        <f>"Serv.Prest. 06/10/2025 a 12/10/2025 - PIX: CELULAR - CHAVE: (73) 988381077"</f>
        <v>Serv.Prest. 06/10/2025 a 12/10/2025 - PIX: CELULAR - CHAVE: (73) 988381077</v>
      </c>
      <c r="I6697" t="str">
        <f>("23/10/2025")</f>
        <v>23/10/2025</v>
      </c>
      <c r="J6697" t="str">
        <f t="shared" si="1202"/>
        <v>14/10/2025</v>
      </c>
      <c r="K6697" t="str">
        <f>("16/10/2025")</f>
        <v>16/10/2025</v>
      </c>
      <c r="L6697">
        <v>492</v>
      </c>
      <c r="M6697">
        <v>492</v>
      </c>
      <c r="N6697">
        <v>109</v>
      </c>
      <c r="O6697" t="str">
        <f>"PAGAMENTO DE ENTREGADORES"</f>
        <v>PAGAMENTO DE ENTREGADORES</v>
      </c>
      <c r="P6697">
        <v>492</v>
      </c>
      <c r="S6697" t="str">
        <f>"BANCO CORA (102)"</f>
        <v>BANCO CORA (102)</v>
      </c>
      <c r="T6697">
        <v>20055</v>
      </c>
      <c r="U6697">
        <v>23743</v>
      </c>
      <c r="V6697" t="s">
        <v>22</v>
      </c>
    </row>
    <row r="6698" spans="1:22">
      <c r="A6698" t="str">
        <f t="shared" si="1195"/>
        <v>16/10/2025</v>
      </c>
      <c r="B6698" t="str">
        <f t="shared" si="1196"/>
        <v>SAÍDA</v>
      </c>
      <c r="C6698" t="str">
        <f t="shared" si="1197"/>
        <v>PIX</v>
      </c>
      <c r="D6698" t="str">
        <f>"23743"</f>
        <v>23743</v>
      </c>
      <c r="E6698" t="str">
        <f t="shared" si="1201"/>
        <v>1</v>
      </c>
      <c r="F6698" t="str">
        <f t="shared" ref="F6698:F6753" si="1203">"COM"</f>
        <v>COM</v>
      </c>
      <c r="G6698" t="str">
        <f>"GILSON OLIVEIRA CAMPINHO JUNIOR (132)"</f>
        <v>GILSON OLIVEIRA CAMPINHO JUNIOR (132)</v>
      </c>
      <c r="H6698" t="s">
        <v>1826</v>
      </c>
      <c r="I6698" t="str">
        <f>("23/10/2025")</f>
        <v>23/10/2025</v>
      </c>
      <c r="J6698" t="str">
        <f t="shared" si="1202"/>
        <v>14/10/2025</v>
      </c>
      <c r="K6698">
        <v>45946</v>
      </c>
      <c r="N6698">
        <v>109</v>
      </c>
      <c r="O6698" t="s">
        <v>24</v>
      </c>
      <c r="Q6698">
        <v>492</v>
      </c>
      <c r="R6698" t="str">
        <f>"FARMÁCIA INDIANA LJ 91 (10037)"</f>
        <v>FARMÁCIA INDIANA LJ 91 (10037)</v>
      </c>
      <c r="S6698" t="s">
        <v>22</v>
      </c>
      <c r="T6698">
        <v>20055</v>
      </c>
      <c r="U6698">
        <v>23743</v>
      </c>
      <c r="V6698" t="s">
        <v>22</v>
      </c>
    </row>
    <row r="6699" spans="1:22">
      <c r="A6699" t="str">
        <f t="shared" si="1195"/>
        <v>16/10/2025</v>
      </c>
      <c r="B6699" t="str">
        <f t="shared" si="1196"/>
        <v>SAÍDA</v>
      </c>
      <c r="C6699" t="str">
        <f t="shared" si="1197"/>
        <v>PIX</v>
      </c>
      <c r="D6699" t="str">
        <f>"23770"</f>
        <v>23770</v>
      </c>
      <c r="E6699" t="str">
        <f t="shared" si="1201"/>
        <v>1</v>
      </c>
      <c r="F6699" t="str">
        <f t="shared" si="1203"/>
        <v>COM</v>
      </c>
      <c r="G6699" t="str">
        <f>"REGINALDO PEREIRA DE ASSIS (81)"</f>
        <v>REGINALDO PEREIRA DE ASSIS (81)</v>
      </c>
      <c r="H6699" t="str">
        <f>"Serv.Prest. 06/10/2025 a 12/10/2025 - PIX: CELULAR - CHAVE: (27) 99916-8443"</f>
        <v>Serv.Prest. 06/10/2025 a 12/10/2025 - PIX: CELULAR - CHAVE: (27) 99916-8443</v>
      </c>
      <c r="I6699" t="str">
        <f>("23/10/2025")</f>
        <v>23/10/2025</v>
      </c>
      <c r="J6699" t="str">
        <f t="shared" si="1202"/>
        <v>14/10/2025</v>
      </c>
      <c r="K6699" t="str">
        <f>("16/10/2025")</f>
        <v>16/10/2025</v>
      </c>
      <c r="L6699">
        <v>825</v>
      </c>
      <c r="M6699">
        <v>825</v>
      </c>
      <c r="N6699">
        <v>109</v>
      </c>
      <c r="O6699" t="str">
        <f>"PAGAMENTO DE ENTREGADORES"</f>
        <v>PAGAMENTO DE ENTREGADORES</v>
      </c>
      <c r="P6699">
        <v>825</v>
      </c>
      <c r="S6699" t="str">
        <f>"BANCO CORA (102)"</f>
        <v>BANCO CORA (102)</v>
      </c>
      <c r="T6699">
        <v>20056</v>
      </c>
      <c r="U6699">
        <v>23770</v>
      </c>
      <c r="V6699" t="s">
        <v>22</v>
      </c>
    </row>
    <row r="6700" spans="1:22">
      <c r="A6700" t="str">
        <f t="shared" si="1195"/>
        <v>16/10/2025</v>
      </c>
      <c r="B6700" t="str">
        <f t="shared" si="1196"/>
        <v>SAÍDA</v>
      </c>
      <c r="C6700" t="str">
        <f t="shared" si="1197"/>
        <v>PIX</v>
      </c>
      <c r="D6700" t="str">
        <f>"23770"</f>
        <v>23770</v>
      </c>
      <c r="E6700" t="str">
        <f t="shared" si="1201"/>
        <v>1</v>
      </c>
      <c r="F6700" t="str">
        <f t="shared" si="1203"/>
        <v>COM</v>
      </c>
      <c r="G6700" t="str">
        <f>"REGINALDO PEREIRA DE ASSIS (81)"</f>
        <v>REGINALDO PEREIRA DE ASSIS (81)</v>
      </c>
      <c r="H6700" t="s">
        <v>1827</v>
      </c>
      <c r="I6700" t="str">
        <f>("23/10/2025")</f>
        <v>23/10/2025</v>
      </c>
      <c r="J6700" t="str">
        <f t="shared" si="1202"/>
        <v>14/10/2025</v>
      </c>
      <c r="K6700">
        <v>45946</v>
      </c>
      <c r="N6700">
        <v>109</v>
      </c>
      <c r="O6700" t="s">
        <v>24</v>
      </c>
      <c r="Q6700">
        <v>825</v>
      </c>
      <c r="R6700" t="str">
        <f>"FARMÁCIA INDIANA LJ 119 (10053)"</f>
        <v>FARMÁCIA INDIANA LJ 119 (10053)</v>
      </c>
      <c r="S6700" t="s">
        <v>22</v>
      </c>
      <c r="T6700">
        <v>20056</v>
      </c>
      <c r="U6700">
        <v>23770</v>
      </c>
      <c r="V6700" t="s">
        <v>22</v>
      </c>
    </row>
    <row r="6701" spans="1:22">
      <c r="A6701" t="str">
        <f t="shared" si="1195"/>
        <v>16/10/2025</v>
      </c>
      <c r="B6701" t="str">
        <f t="shared" si="1196"/>
        <v>SAÍDA</v>
      </c>
      <c r="C6701" t="str">
        <f t="shared" si="1197"/>
        <v>PIX</v>
      </c>
      <c r="D6701" t="str">
        <f>"1610"</f>
        <v>1610</v>
      </c>
      <c r="E6701" t="str">
        <f>"25"</f>
        <v>25</v>
      </c>
      <c r="F6701" t="str">
        <f t="shared" si="1203"/>
        <v>COM</v>
      </c>
      <c r="G6701" t="str">
        <f>"WANDERSON JÚNIOR SOARES (628)"</f>
        <v>WANDERSON JÚNIOR SOARES (628)</v>
      </c>
      <c r="H6701" t="str">
        <f>"Serv.Prest. 26/10/2025 a 05/11/2025 - PIX: CPF - CHAVE: 170.180.266-01"</f>
        <v>Serv.Prest. 26/10/2025 a 05/11/2025 - PIX: CPF - CHAVE: 170.180.266-01</v>
      </c>
      <c r="I6701" t="str">
        <f>("16/10/2025")</f>
        <v>16/10/2025</v>
      </c>
      <c r="J6701" t="str">
        <f>("06/10/2025")</f>
        <v>06/10/2025</v>
      </c>
      <c r="K6701" t="str">
        <f>("16/10/2025")</f>
        <v>16/10/2025</v>
      </c>
      <c r="L6701">
        <v>700</v>
      </c>
      <c r="M6701">
        <v>700</v>
      </c>
      <c r="N6701">
        <v>109</v>
      </c>
      <c r="O6701" t="str">
        <f>"PAGAMENTO DE ENTREGADORES"</f>
        <v>PAGAMENTO DE ENTREGADORES</v>
      </c>
      <c r="P6701">
        <v>700</v>
      </c>
      <c r="S6701" t="str">
        <f>"BANCO CORA (102)"</f>
        <v>BANCO CORA (102)</v>
      </c>
      <c r="T6701">
        <v>20057</v>
      </c>
      <c r="U6701">
        <v>23853</v>
      </c>
      <c r="V6701" t="s">
        <v>22</v>
      </c>
    </row>
    <row r="6702" spans="1:22">
      <c r="A6702" t="str">
        <f t="shared" si="1195"/>
        <v>16/10/2025</v>
      </c>
      <c r="B6702" t="str">
        <f t="shared" si="1196"/>
        <v>SAÍDA</v>
      </c>
      <c r="C6702" t="str">
        <f t="shared" si="1197"/>
        <v>PIX</v>
      </c>
      <c r="D6702" t="str">
        <f>"1610"</f>
        <v>1610</v>
      </c>
      <c r="E6702" t="str">
        <f>"25"</f>
        <v>25</v>
      </c>
      <c r="F6702" t="str">
        <f t="shared" si="1203"/>
        <v>COM</v>
      </c>
      <c r="G6702" t="str">
        <f>"WANDERSON JÚNIOR SOARES (628)"</f>
        <v>WANDERSON JÚNIOR SOARES (628)</v>
      </c>
      <c r="H6702" t="s">
        <v>1828</v>
      </c>
      <c r="I6702" t="str">
        <f>("16/10/2025")</f>
        <v>16/10/2025</v>
      </c>
      <c r="J6702" t="str">
        <f>("06/10/2025")</f>
        <v>06/10/2025</v>
      </c>
      <c r="K6702">
        <v>45946</v>
      </c>
      <c r="N6702">
        <v>109</v>
      </c>
      <c r="O6702" t="s">
        <v>24</v>
      </c>
      <c r="Q6702">
        <v>700</v>
      </c>
      <c r="R6702" t="str">
        <f>"FARMÁCIA INDIANA LJ 110 (10048)"</f>
        <v>FARMÁCIA INDIANA LJ 110 (10048)</v>
      </c>
      <c r="S6702" t="s">
        <v>22</v>
      </c>
      <c r="T6702">
        <v>20057</v>
      </c>
      <c r="U6702">
        <v>23853</v>
      </c>
      <c r="V6702" t="s">
        <v>22</v>
      </c>
    </row>
    <row r="6703" spans="1:22">
      <c r="A6703" t="str">
        <f t="shared" si="1195"/>
        <v>16/10/2025</v>
      </c>
      <c r="B6703" t="str">
        <f t="shared" ref="B6703:B6734" si="1204">"ENTRADA"</f>
        <v>ENTRADA</v>
      </c>
      <c r="C6703" t="str">
        <f t="shared" ref="C6703:C6734" si="1205">"NFSE"</f>
        <v>NFSE</v>
      </c>
      <c r="D6703" t="str">
        <f>"3502"</f>
        <v>3502</v>
      </c>
      <c r="E6703" t="str">
        <f t="shared" ref="E6703:E6734" si="1206">"1"</f>
        <v>1</v>
      </c>
      <c r="F6703" t="str">
        <f t="shared" si="1203"/>
        <v>COM</v>
      </c>
      <c r="G6703" t="str">
        <f>"LBL FARMACIA LTDA FILIAL (10192)"</f>
        <v>LBL FARMACIA LTDA FILIAL (10192)</v>
      </c>
      <c r="H6703" t="str">
        <f>"Serv.Prest. 06/10/2025 a 12/10/2025 - RPS: 1378 - NFSe: 3502"</f>
        <v>Serv.Prest. 06/10/2025 a 12/10/2025 - RPS: 1378 - NFSe: 3502</v>
      </c>
      <c r="I6703" t="str">
        <f>("16/10/2025")</f>
        <v>16/10/2025</v>
      </c>
      <c r="J6703" t="str">
        <f>("14/10/2025")</f>
        <v>14/10/2025</v>
      </c>
      <c r="K6703" t="str">
        <f>("16/10/2025")</f>
        <v>16/10/2025</v>
      </c>
      <c r="L6703">
        <v>1422.05</v>
      </c>
      <c r="M6703">
        <v>1422.05</v>
      </c>
      <c r="N6703">
        <v>303</v>
      </c>
      <c r="O6703" t="str">
        <f>"RECEITAS COM ENTREGAS"</f>
        <v>RECEITAS COM ENTREGAS</v>
      </c>
      <c r="P6703">
        <v>1422.05</v>
      </c>
      <c r="S6703" t="str">
        <f>"RECEITAS COM ENTREGAS (303)"</f>
        <v>RECEITAS COM ENTREGAS (303)</v>
      </c>
      <c r="T6703">
        <v>20058</v>
      </c>
      <c r="U6703">
        <v>23780</v>
      </c>
      <c r="V6703" t="s">
        <v>22</v>
      </c>
    </row>
    <row r="6704" spans="1:22">
      <c r="A6704" t="str">
        <f t="shared" si="1195"/>
        <v>16/10/2025</v>
      </c>
      <c r="B6704" t="str">
        <f t="shared" si="1204"/>
        <v>ENTRADA</v>
      </c>
      <c r="C6704" t="str">
        <f t="shared" si="1205"/>
        <v>NFSE</v>
      </c>
      <c r="D6704" t="str">
        <f>"3502"</f>
        <v>3502</v>
      </c>
      <c r="E6704" t="str">
        <f t="shared" si="1206"/>
        <v>1</v>
      </c>
      <c r="F6704" t="str">
        <f t="shared" si="1203"/>
        <v>COM</v>
      </c>
      <c r="G6704" t="str">
        <f>"LBL FARMACIA LTDA FILIAL (10192)"</f>
        <v>LBL FARMACIA LTDA FILIAL (10192)</v>
      </c>
      <c r="H6704" t="s">
        <v>1829</v>
      </c>
      <c r="I6704" t="str">
        <f>("16/10/2025")</f>
        <v>16/10/2025</v>
      </c>
      <c r="J6704" t="str">
        <f>("14/10/2025")</f>
        <v>14/10/2025</v>
      </c>
      <c r="K6704">
        <v>45946</v>
      </c>
      <c r="N6704">
        <v>303</v>
      </c>
      <c r="O6704" t="s">
        <v>69</v>
      </c>
      <c r="Q6704">
        <v>1422.05</v>
      </c>
      <c r="R6704" t="str">
        <f>"LBL FARMACIA LTDA FILIAL (10192)"</f>
        <v>LBL FARMACIA LTDA FILIAL (10192)</v>
      </c>
      <c r="S6704" t="s">
        <v>70</v>
      </c>
      <c r="T6704">
        <v>20058</v>
      </c>
      <c r="U6704">
        <v>23780</v>
      </c>
      <c r="V6704" t="s">
        <v>22</v>
      </c>
    </row>
    <row r="6705" spans="1:22">
      <c r="A6705" t="str">
        <f t="shared" si="1195"/>
        <v>16/10/2025</v>
      </c>
      <c r="B6705" t="str">
        <f t="shared" si="1204"/>
        <v>ENTRADA</v>
      </c>
      <c r="C6705" t="str">
        <f t="shared" si="1205"/>
        <v>NFSE</v>
      </c>
      <c r="D6705" t="str">
        <f>"3473"</f>
        <v>3473</v>
      </c>
      <c r="E6705" t="str">
        <f t="shared" si="1206"/>
        <v>1</v>
      </c>
      <c r="F6705" t="str">
        <f t="shared" si="1203"/>
        <v>COM</v>
      </c>
      <c r="G6705" t="str">
        <f>"AC FARMA - CID.ALTA (10166)"</f>
        <v>AC FARMA - CID.ALTA (10166)</v>
      </c>
      <c r="H6705" t="str">
        <f>"Serv.Prest. 29/09/2025 a 05/10/2025 - RPS: 1349 - NFSe: 3473"</f>
        <v>Serv.Prest. 29/09/2025 a 05/10/2025 - RPS: 1349 - NFSe: 3473</v>
      </c>
      <c r="I6705" t="str">
        <f t="shared" ref="I6705:I6736" si="1207">("15/10/2025")</f>
        <v>15/10/2025</v>
      </c>
      <c r="J6705" t="str">
        <f t="shared" ref="J6705:J6712" si="1208">("08/10/2025")</f>
        <v>08/10/2025</v>
      </c>
      <c r="K6705" t="str">
        <f>("16/10/2025")</f>
        <v>16/10/2025</v>
      </c>
      <c r="L6705">
        <v>5745.6</v>
      </c>
      <c r="M6705">
        <v>5745.6</v>
      </c>
      <c r="N6705">
        <v>303</v>
      </c>
      <c r="O6705" t="str">
        <f>"RECEITAS COM ENTREGAS"</f>
        <v>RECEITAS COM ENTREGAS</v>
      </c>
      <c r="P6705">
        <v>5745.6</v>
      </c>
      <c r="S6705" t="str">
        <f>"RECEITAS COM ENTREGAS (303)"</f>
        <v>RECEITAS COM ENTREGAS (303)</v>
      </c>
      <c r="T6705">
        <v>20059</v>
      </c>
      <c r="U6705">
        <v>23070</v>
      </c>
      <c r="V6705" t="s">
        <v>22</v>
      </c>
    </row>
    <row r="6706" spans="1:22">
      <c r="A6706" t="str">
        <f t="shared" si="1195"/>
        <v>16/10/2025</v>
      </c>
      <c r="B6706" t="str">
        <f t="shared" si="1204"/>
        <v>ENTRADA</v>
      </c>
      <c r="C6706" t="str">
        <f t="shared" si="1205"/>
        <v>NFSE</v>
      </c>
      <c r="D6706" t="str">
        <f>"3473"</f>
        <v>3473</v>
      </c>
      <c r="E6706" t="str">
        <f t="shared" si="1206"/>
        <v>1</v>
      </c>
      <c r="F6706" t="str">
        <f t="shared" si="1203"/>
        <v>COM</v>
      </c>
      <c r="G6706" t="str">
        <f>"AC FARMA - CID.ALTA (10166)"</f>
        <v>AC FARMA - CID.ALTA (10166)</v>
      </c>
      <c r="H6706" t="s">
        <v>1830</v>
      </c>
      <c r="I6706" t="str">
        <f t="shared" si="1207"/>
        <v>15/10/2025</v>
      </c>
      <c r="J6706" t="str">
        <f t="shared" si="1208"/>
        <v>08/10/2025</v>
      </c>
      <c r="K6706">
        <v>45946</v>
      </c>
      <c r="N6706">
        <v>303</v>
      </c>
      <c r="O6706" t="s">
        <v>69</v>
      </c>
      <c r="Q6706">
        <v>5745.6</v>
      </c>
      <c r="R6706" t="str">
        <f>"AC FARMA - CID.ALTA (10166)"</f>
        <v>AC FARMA - CID.ALTA (10166)</v>
      </c>
      <c r="S6706" t="s">
        <v>70</v>
      </c>
      <c r="T6706">
        <v>20059</v>
      </c>
      <c r="U6706">
        <v>23070</v>
      </c>
      <c r="V6706" t="s">
        <v>22</v>
      </c>
    </row>
    <row r="6707" spans="1:22">
      <c r="A6707" t="str">
        <f t="shared" si="1195"/>
        <v>16/10/2025</v>
      </c>
      <c r="B6707" t="str">
        <f t="shared" si="1204"/>
        <v>ENTRADA</v>
      </c>
      <c r="C6707" t="str">
        <f t="shared" si="1205"/>
        <v>NFSE</v>
      </c>
      <c r="D6707" t="str">
        <f>"3474"</f>
        <v>3474</v>
      </c>
      <c r="E6707" t="str">
        <f t="shared" si="1206"/>
        <v>1</v>
      </c>
      <c r="F6707" t="str">
        <f t="shared" si="1203"/>
        <v>COM</v>
      </c>
      <c r="G6707" t="str">
        <f>"AC FARMA - FLEMINFARMA (10160)"</f>
        <v>AC FARMA - FLEMINFARMA (10160)</v>
      </c>
      <c r="H6707" t="str">
        <f>"Serv.Prest. 29/09/2025 a 05/10/2025 - RPS: 1350 - NFSe: 3474"</f>
        <v>Serv.Prest. 29/09/2025 a 05/10/2025 - RPS: 1350 - NFSe: 3474</v>
      </c>
      <c r="I6707" t="str">
        <f t="shared" si="1207"/>
        <v>15/10/2025</v>
      </c>
      <c r="J6707" t="str">
        <f t="shared" si="1208"/>
        <v>08/10/2025</v>
      </c>
      <c r="K6707" t="str">
        <f>("16/10/2025")</f>
        <v>16/10/2025</v>
      </c>
      <c r="L6707">
        <v>1262.25</v>
      </c>
      <c r="M6707">
        <v>1262.25</v>
      </c>
      <c r="N6707">
        <v>303</v>
      </c>
      <c r="O6707" t="str">
        <f>"RECEITAS COM ENTREGAS"</f>
        <v>RECEITAS COM ENTREGAS</v>
      </c>
      <c r="P6707">
        <v>1262.25</v>
      </c>
      <c r="S6707" t="str">
        <f>"RECEITAS COM ENTREGAS (303)"</f>
        <v>RECEITAS COM ENTREGAS (303)</v>
      </c>
      <c r="T6707">
        <v>20060</v>
      </c>
      <c r="U6707">
        <v>23078</v>
      </c>
      <c r="V6707" t="s">
        <v>22</v>
      </c>
    </row>
    <row r="6708" spans="1:22">
      <c r="A6708" t="str">
        <f t="shared" si="1195"/>
        <v>16/10/2025</v>
      </c>
      <c r="B6708" t="str">
        <f t="shared" si="1204"/>
        <v>ENTRADA</v>
      </c>
      <c r="C6708" t="str">
        <f t="shared" si="1205"/>
        <v>NFSE</v>
      </c>
      <c r="D6708" t="str">
        <f>"3474"</f>
        <v>3474</v>
      </c>
      <c r="E6708" t="str">
        <f t="shared" si="1206"/>
        <v>1</v>
      </c>
      <c r="F6708" t="str">
        <f t="shared" si="1203"/>
        <v>COM</v>
      </c>
      <c r="G6708" t="str">
        <f>"AC FARMA - FLEMINFARMA (10160)"</f>
        <v>AC FARMA - FLEMINFARMA (10160)</v>
      </c>
      <c r="H6708" t="s">
        <v>1831</v>
      </c>
      <c r="I6708" t="str">
        <f t="shared" si="1207"/>
        <v>15/10/2025</v>
      </c>
      <c r="J6708" t="str">
        <f t="shared" si="1208"/>
        <v>08/10/2025</v>
      </c>
      <c r="K6708">
        <v>45946</v>
      </c>
      <c r="N6708">
        <v>303</v>
      </c>
      <c r="O6708" t="s">
        <v>69</v>
      </c>
      <c r="Q6708">
        <v>1231.7</v>
      </c>
      <c r="R6708" t="str">
        <f>"AC FARMA -  FLEMINFARMA (10159)"</f>
        <v>AC FARMA -  FLEMINFARMA (10159)</v>
      </c>
      <c r="S6708" t="s">
        <v>70</v>
      </c>
      <c r="T6708">
        <v>20060</v>
      </c>
      <c r="U6708">
        <v>23078</v>
      </c>
      <c r="V6708" t="s">
        <v>22</v>
      </c>
    </row>
    <row r="6709" spans="1:22">
      <c r="A6709" t="str">
        <f t="shared" si="1195"/>
        <v>16/10/2025</v>
      </c>
      <c r="B6709" t="str">
        <f t="shared" si="1204"/>
        <v>ENTRADA</v>
      </c>
      <c r="C6709" t="str">
        <f t="shared" si="1205"/>
        <v>NFSE</v>
      </c>
      <c r="D6709" t="str">
        <f>"3474"</f>
        <v>3474</v>
      </c>
      <c r="E6709" t="str">
        <f t="shared" si="1206"/>
        <v>1</v>
      </c>
      <c r="F6709" t="str">
        <f t="shared" si="1203"/>
        <v>COM</v>
      </c>
      <c r="G6709" t="str">
        <f>"AC FARMA - FLEMINFARMA (10160)"</f>
        <v>AC FARMA - FLEMINFARMA (10160)</v>
      </c>
      <c r="H6709" t="s">
        <v>1831</v>
      </c>
      <c r="I6709" t="str">
        <f t="shared" si="1207"/>
        <v>15/10/2025</v>
      </c>
      <c r="J6709" t="str">
        <f t="shared" si="1208"/>
        <v>08/10/2025</v>
      </c>
      <c r="K6709">
        <v>45946</v>
      </c>
      <c r="N6709">
        <v>303</v>
      </c>
      <c r="O6709" t="s">
        <v>69</v>
      </c>
      <c r="Q6709">
        <v>30.55</v>
      </c>
      <c r="R6709" t="str">
        <f>"AC FARMA - FLEMINFARMA (10160)"</f>
        <v>AC FARMA - FLEMINFARMA (10160)</v>
      </c>
      <c r="S6709" t="s">
        <v>70</v>
      </c>
      <c r="T6709">
        <v>20060</v>
      </c>
      <c r="U6709">
        <v>23078</v>
      </c>
      <c r="V6709" t="s">
        <v>22</v>
      </c>
    </row>
    <row r="6710" spans="1:22">
      <c r="A6710" t="str">
        <f t="shared" si="1195"/>
        <v>16/10/2025</v>
      </c>
      <c r="B6710" t="str">
        <f t="shared" si="1204"/>
        <v>ENTRADA</v>
      </c>
      <c r="C6710" t="str">
        <f t="shared" si="1205"/>
        <v>NFSE</v>
      </c>
      <c r="D6710" t="str">
        <f>"3475"</f>
        <v>3475</v>
      </c>
      <c r="E6710" t="str">
        <f t="shared" si="1206"/>
        <v>1</v>
      </c>
      <c r="F6710" t="str">
        <f t="shared" si="1203"/>
        <v>COM</v>
      </c>
      <c r="G6710" t="str">
        <f>"AC FARMA - FLEMINFARMA 5 (10183)"</f>
        <v>AC FARMA - FLEMINFARMA 5 (10183)</v>
      </c>
      <c r="H6710" t="str">
        <f>"Serv.Prest. 29/09/2025 a 05/10/2025 - RPS: 1351 - NFSe: 3475"</f>
        <v>Serv.Prest. 29/09/2025 a 05/10/2025 - RPS: 1351 - NFSe: 3475</v>
      </c>
      <c r="I6710" t="str">
        <f t="shared" si="1207"/>
        <v>15/10/2025</v>
      </c>
      <c r="J6710" t="str">
        <f t="shared" si="1208"/>
        <v>08/10/2025</v>
      </c>
      <c r="K6710" t="str">
        <f>("16/10/2025")</f>
        <v>16/10/2025</v>
      </c>
      <c r="L6710">
        <v>696.15</v>
      </c>
      <c r="M6710">
        <v>696.15</v>
      </c>
      <c r="N6710">
        <v>303</v>
      </c>
      <c r="O6710" t="str">
        <f>"RECEITAS COM ENTREGAS"</f>
        <v>RECEITAS COM ENTREGAS</v>
      </c>
      <c r="P6710">
        <v>696.15</v>
      </c>
      <c r="S6710" t="str">
        <f>"RECEITAS COM ENTREGAS (303)"</f>
        <v>RECEITAS COM ENTREGAS (303)</v>
      </c>
      <c r="T6710">
        <v>20061</v>
      </c>
      <c r="U6710">
        <v>23085</v>
      </c>
      <c r="V6710" t="s">
        <v>22</v>
      </c>
    </row>
    <row r="6711" spans="1:22">
      <c r="A6711" t="str">
        <f t="shared" si="1195"/>
        <v>16/10/2025</v>
      </c>
      <c r="B6711" t="str">
        <f t="shared" si="1204"/>
        <v>ENTRADA</v>
      </c>
      <c r="C6711" t="str">
        <f t="shared" si="1205"/>
        <v>NFSE</v>
      </c>
      <c r="D6711" t="str">
        <f>"3475"</f>
        <v>3475</v>
      </c>
      <c r="E6711" t="str">
        <f t="shared" si="1206"/>
        <v>1</v>
      </c>
      <c r="F6711" t="str">
        <f t="shared" si="1203"/>
        <v>COM</v>
      </c>
      <c r="G6711" t="str">
        <f>"AC FARMA - FLEMINFARMA 5 (10183)"</f>
        <v>AC FARMA - FLEMINFARMA 5 (10183)</v>
      </c>
      <c r="H6711" t="s">
        <v>1832</v>
      </c>
      <c r="I6711" t="str">
        <f t="shared" si="1207"/>
        <v>15/10/2025</v>
      </c>
      <c r="J6711" t="str">
        <f t="shared" si="1208"/>
        <v>08/10/2025</v>
      </c>
      <c r="K6711">
        <v>45946</v>
      </c>
      <c r="N6711">
        <v>303</v>
      </c>
      <c r="O6711" t="s">
        <v>69</v>
      </c>
      <c r="Q6711">
        <v>665.52</v>
      </c>
      <c r="R6711" t="str">
        <f>"AC FARMA - FLEMINFARMA 5 (10183)"</f>
        <v>AC FARMA - FLEMINFARMA 5 (10183)</v>
      </c>
      <c r="S6711" t="s">
        <v>70</v>
      </c>
      <c r="T6711">
        <v>20061</v>
      </c>
      <c r="U6711">
        <v>23085</v>
      </c>
      <c r="V6711" t="s">
        <v>22</v>
      </c>
    </row>
    <row r="6712" spans="1:22">
      <c r="A6712" t="str">
        <f t="shared" si="1195"/>
        <v>16/10/2025</v>
      </c>
      <c r="B6712" t="str">
        <f t="shared" si="1204"/>
        <v>ENTRADA</v>
      </c>
      <c r="C6712" t="str">
        <f t="shared" si="1205"/>
        <v>NFSE</v>
      </c>
      <c r="D6712" t="str">
        <f>"3475"</f>
        <v>3475</v>
      </c>
      <c r="E6712" t="str">
        <f t="shared" si="1206"/>
        <v>1</v>
      </c>
      <c r="F6712" t="str">
        <f t="shared" si="1203"/>
        <v>COM</v>
      </c>
      <c r="G6712" t="str">
        <f>"AC FARMA - FLEMINFARMA 5 (10183)"</f>
        <v>AC FARMA - FLEMINFARMA 5 (10183)</v>
      </c>
      <c r="H6712" t="s">
        <v>1832</v>
      </c>
      <c r="I6712" t="str">
        <f t="shared" si="1207"/>
        <v>15/10/2025</v>
      </c>
      <c r="J6712" t="str">
        <f t="shared" si="1208"/>
        <v>08/10/2025</v>
      </c>
      <c r="K6712">
        <v>45946</v>
      </c>
      <c r="N6712">
        <v>303</v>
      </c>
      <c r="O6712" t="s">
        <v>69</v>
      </c>
      <c r="Q6712">
        <v>30.63</v>
      </c>
      <c r="R6712" t="str">
        <f>"AC FARMA - FLEMINFARMA 6 (10184)"</f>
        <v>AC FARMA - FLEMINFARMA 6 (10184)</v>
      </c>
      <c r="S6712" t="s">
        <v>70</v>
      </c>
      <c r="T6712">
        <v>20061</v>
      </c>
      <c r="U6712">
        <v>23085</v>
      </c>
      <c r="V6712" t="s">
        <v>22</v>
      </c>
    </row>
    <row r="6713" spans="1:22">
      <c r="A6713" t="str">
        <f t="shared" si="1195"/>
        <v>16/10/2025</v>
      </c>
      <c r="B6713" t="str">
        <f t="shared" si="1204"/>
        <v>ENTRADA</v>
      </c>
      <c r="C6713" t="str">
        <f t="shared" si="1205"/>
        <v>NFSE</v>
      </c>
      <c r="D6713" t="str">
        <f>"3476"</f>
        <v>3476</v>
      </c>
      <c r="E6713" t="str">
        <f t="shared" si="1206"/>
        <v>1</v>
      </c>
      <c r="F6713" t="str">
        <f t="shared" si="1203"/>
        <v>COM</v>
      </c>
      <c r="G6713" t="str">
        <f>"BRASIL FARMA (10173)"</f>
        <v>BRASIL FARMA (10173)</v>
      </c>
      <c r="H6713" t="str">
        <f>"Serv.Prest. 06/10/2025 a 12/10/2025 - RPS: 1352 - NFSe: 3476"</f>
        <v>Serv.Prest. 06/10/2025 a 12/10/2025 - RPS: 1352 - NFSe: 3476</v>
      </c>
      <c r="I6713" t="str">
        <f t="shared" si="1207"/>
        <v>15/10/2025</v>
      </c>
      <c r="J6713" t="str">
        <f t="shared" ref="J6713:J6728" si="1209">("13/10/2025")</f>
        <v>13/10/2025</v>
      </c>
      <c r="K6713" t="str">
        <f>("16/10/2025")</f>
        <v>16/10/2025</v>
      </c>
      <c r="L6713">
        <v>1685.04</v>
      </c>
      <c r="M6713">
        <v>1685.04</v>
      </c>
      <c r="N6713">
        <v>303</v>
      </c>
      <c r="O6713" t="str">
        <f>"RECEITAS COM ENTREGAS"</f>
        <v>RECEITAS COM ENTREGAS</v>
      </c>
      <c r="P6713">
        <v>1685.04</v>
      </c>
      <c r="S6713" t="str">
        <f>"RECEITAS COM ENTREGAS (303)"</f>
        <v>RECEITAS COM ENTREGAS (303)</v>
      </c>
      <c r="T6713">
        <v>20062</v>
      </c>
      <c r="U6713">
        <v>23542</v>
      </c>
      <c r="V6713" t="s">
        <v>22</v>
      </c>
    </row>
    <row r="6714" spans="1:22">
      <c r="A6714" t="str">
        <f t="shared" si="1195"/>
        <v>16/10/2025</v>
      </c>
      <c r="B6714" t="str">
        <f t="shared" si="1204"/>
        <v>ENTRADA</v>
      </c>
      <c r="C6714" t="str">
        <f t="shared" si="1205"/>
        <v>NFSE</v>
      </c>
      <c r="D6714" t="str">
        <f>"3476"</f>
        <v>3476</v>
      </c>
      <c r="E6714" t="str">
        <f t="shared" si="1206"/>
        <v>1</v>
      </c>
      <c r="F6714" t="str">
        <f t="shared" si="1203"/>
        <v>COM</v>
      </c>
      <c r="G6714" t="str">
        <f>"BRASIL FARMA (10173)"</f>
        <v>BRASIL FARMA (10173)</v>
      </c>
      <c r="H6714" t="s">
        <v>1833</v>
      </c>
      <c r="I6714" t="str">
        <f t="shared" si="1207"/>
        <v>15/10/2025</v>
      </c>
      <c r="J6714" t="str">
        <f t="shared" si="1209"/>
        <v>13/10/2025</v>
      </c>
      <c r="K6714">
        <v>45946</v>
      </c>
      <c r="N6714">
        <v>303</v>
      </c>
      <c r="O6714" t="s">
        <v>69</v>
      </c>
      <c r="Q6714">
        <v>1685.04</v>
      </c>
      <c r="R6714" t="str">
        <f>"BRASIL FARMA (10173)"</f>
        <v>BRASIL FARMA (10173)</v>
      </c>
      <c r="S6714" t="s">
        <v>70</v>
      </c>
      <c r="T6714">
        <v>20062</v>
      </c>
      <c r="U6714">
        <v>23542</v>
      </c>
      <c r="V6714" t="s">
        <v>22</v>
      </c>
    </row>
    <row r="6715" spans="1:22">
      <c r="A6715" t="str">
        <f t="shared" ref="A6715:A6768" si="1210">("16/10/2025")</f>
        <v>16/10/2025</v>
      </c>
      <c r="B6715" t="str">
        <f t="shared" si="1204"/>
        <v>ENTRADA</v>
      </c>
      <c r="C6715" t="str">
        <f t="shared" si="1205"/>
        <v>NFSE</v>
      </c>
      <c r="D6715" t="str">
        <f>"3478"</f>
        <v>3478</v>
      </c>
      <c r="E6715" t="str">
        <f t="shared" si="1206"/>
        <v>1</v>
      </c>
      <c r="F6715" t="str">
        <f t="shared" si="1203"/>
        <v>COM</v>
      </c>
      <c r="G6715" t="str">
        <f>"DROGARIA ANA VISCONDE DO RIO BRANCO (10182)"</f>
        <v>DROGARIA ANA VISCONDE DO RIO BRANCO (10182)</v>
      </c>
      <c r="H6715" t="str">
        <f>"Serv.Prest. 06/10/2025 a 12/10/2025 - RPS: 1354 - NFSe: 3478"</f>
        <v>Serv.Prest. 06/10/2025 a 12/10/2025 - RPS: 1354 - NFSe: 3478</v>
      </c>
      <c r="I6715" t="str">
        <f t="shared" si="1207"/>
        <v>15/10/2025</v>
      </c>
      <c r="J6715" t="str">
        <f t="shared" si="1209"/>
        <v>13/10/2025</v>
      </c>
      <c r="K6715" t="str">
        <f>("16/10/2025")</f>
        <v>16/10/2025</v>
      </c>
      <c r="L6715">
        <v>4437.72</v>
      </c>
      <c r="M6715">
        <v>4437.72</v>
      </c>
      <c r="N6715">
        <v>303</v>
      </c>
      <c r="O6715" t="str">
        <f>"RECEITAS COM ENTREGAS"</f>
        <v>RECEITAS COM ENTREGAS</v>
      </c>
      <c r="P6715">
        <v>4437.72</v>
      </c>
      <c r="S6715" t="str">
        <f>"RECEITAS COM ENTREGAS (303)"</f>
        <v>RECEITAS COM ENTREGAS (303)</v>
      </c>
      <c r="T6715">
        <v>20063</v>
      </c>
      <c r="U6715">
        <v>23549</v>
      </c>
      <c r="V6715" t="s">
        <v>22</v>
      </c>
    </row>
    <row r="6716" spans="1:22">
      <c r="A6716" t="str">
        <f t="shared" si="1210"/>
        <v>16/10/2025</v>
      </c>
      <c r="B6716" t="str">
        <f t="shared" si="1204"/>
        <v>ENTRADA</v>
      </c>
      <c r="C6716" t="str">
        <f t="shared" si="1205"/>
        <v>NFSE</v>
      </c>
      <c r="D6716" t="str">
        <f>"3478"</f>
        <v>3478</v>
      </c>
      <c r="E6716" t="str">
        <f t="shared" si="1206"/>
        <v>1</v>
      </c>
      <c r="F6716" t="str">
        <f t="shared" si="1203"/>
        <v>COM</v>
      </c>
      <c r="G6716" t="str">
        <f>"DROGARIA ANA VISCONDE DO RIO BRANCO (10182)"</f>
        <v>DROGARIA ANA VISCONDE DO RIO BRANCO (10182)</v>
      </c>
      <c r="H6716" t="s">
        <v>1834</v>
      </c>
      <c r="I6716" t="str">
        <f t="shared" si="1207"/>
        <v>15/10/2025</v>
      </c>
      <c r="J6716" t="str">
        <f t="shared" si="1209"/>
        <v>13/10/2025</v>
      </c>
      <c r="K6716">
        <v>45946</v>
      </c>
      <c r="N6716">
        <v>303</v>
      </c>
      <c r="O6716" t="s">
        <v>69</v>
      </c>
      <c r="Q6716">
        <v>4437.72</v>
      </c>
      <c r="R6716" t="str">
        <f>"DROGARIA ANA VISCONDE DO RIO BRANCO (10182)"</f>
        <v>DROGARIA ANA VISCONDE DO RIO BRANCO (10182)</v>
      </c>
      <c r="S6716" t="s">
        <v>70</v>
      </c>
      <c r="T6716">
        <v>20063</v>
      </c>
      <c r="U6716">
        <v>23549</v>
      </c>
      <c r="V6716" t="s">
        <v>22</v>
      </c>
    </row>
    <row r="6717" spans="1:22">
      <c r="A6717" t="str">
        <f t="shared" si="1210"/>
        <v>16/10/2025</v>
      </c>
      <c r="B6717" t="str">
        <f t="shared" si="1204"/>
        <v>ENTRADA</v>
      </c>
      <c r="C6717" t="str">
        <f t="shared" si="1205"/>
        <v>NFSE</v>
      </c>
      <c r="D6717" t="str">
        <f>"3479"</f>
        <v>3479</v>
      </c>
      <c r="E6717" t="str">
        <f t="shared" si="1206"/>
        <v>1</v>
      </c>
      <c r="F6717" t="str">
        <f t="shared" si="1203"/>
        <v>COM</v>
      </c>
      <c r="G6717" t="str">
        <f>"DROGARIA POUPA MINAS (ULTRAMINAS) 3 (10129)"</f>
        <v>DROGARIA POUPA MINAS (ULTRAMINAS) 3 (10129)</v>
      </c>
      <c r="H6717" t="str">
        <f>"Serv.Prest. 06/10/2025 a 12/10/2025 - RPS: 1355 - NFSe: 3479"</f>
        <v>Serv.Prest. 06/10/2025 a 12/10/2025 - RPS: 1355 - NFSe: 3479</v>
      </c>
      <c r="I6717" t="str">
        <f t="shared" si="1207"/>
        <v>15/10/2025</v>
      </c>
      <c r="J6717" t="str">
        <f t="shared" si="1209"/>
        <v>13/10/2025</v>
      </c>
      <c r="K6717" t="str">
        <f>("16/10/2025")</f>
        <v>16/10/2025</v>
      </c>
      <c r="L6717">
        <v>1544.4</v>
      </c>
      <c r="M6717">
        <v>1544.4</v>
      </c>
      <c r="N6717">
        <v>303</v>
      </c>
      <c r="O6717" t="str">
        <f>"RECEITAS COM ENTREGAS"</f>
        <v>RECEITAS COM ENTREGAS</v>
      </c>
      <c r="P6717">
        <v>1544.4</v>
      </c>
      <c r="S6717" t="str">
        <f>"RECEITAS COM ENTREGAS (303)"</f>
        <v>RECEITAS COM ENTREGAS (303)</v>
      </c>
      <c r="T6717">
        <v>20064</v>
      </c>
      <c r="U6717">
        <v>23555</v>
      </c>
      <c r="V6717" t="s">
        <v>22</v>
      </c>
    </row>
    <row r="6718" spans="1:22">
      <c r="A6718" t="str">
        <f t="shared" si="1210"/>
        <v>16/10/2025</v>
      </c>
      <c r="B6718" t="str">
        <f t="shared" si="1204"/>
        <v>ENTRADA</v>
      </c>
      <c r="C6718" t="str">
        <f t="shared" si="1205"/>
        <v>NFSE</v>
      </c>
      <c r="D6718" t="str">
        <f>"3479"</f>
        <v>3479</v>
      </c>
      <c r="E6718" t="str">
        <f t="shared" si="1206"/>
        <v>1</v>
      </c>
      <c r="F6718" t="str">
        <f t="shared" si="1203"/>
        <v>COM</v>
      </c>
      <c r="G6718" t="str">
        <f>"DROGARIA POUPA MINAS (ULTRAMINAS) 3 (10129)"</f>
        <v>DROGARIA POUPA MINAS (ULTRAMINAS) 3 (10129)</v>
      </c>
      <c r="H6718" t="s">
        <v>1835</v>
      </c>
      <c r="I6718" t="str">
        <f t="shared" si="1207"/>
        <v>15/10/2025</v>
      </c>
      <c r="J6718" t="str">
        <f t="shared" si="1209"/>
        <v>13/10/2025</v>
      </c>
      <c r="K6718">
        <v>45946</v>
      </c>
      <c r="N6718">
        <v>303</v>
      </c>
      <c r="O6718" t="s">
        <v>69</v>
      </c>
      <c r="Q6718">
        <v>1544.4</v>
      </c>
      <c r="R6718" t="str">
        <f>"DROGARIA POUPA MINAS (ULTRAMINAS) 3 (10129)"</f>
        <v>DROGARIA POUPA MINAS (ULTRAMINAS) 3 (10129)</v>
      </c>
      <c r="S6718" t="s">
        <v>70</v>
      </c>
      <c r="T6718">
        <v>20064</v>
      </c>
      <c r="U6718">
        <v>23555</v>
      </c>
      <c r="V6718" t="s">
        <v>22</v>
      </c>
    </row>
    <row r="6719" spans="1:22">
      <c r="A6719" t="str">
        <f t="shared" si="1210"/>
        <v>16/10/2025</v>
      </c>
      <c r="B6719" t="str">
        <f t="shared" si="1204"/>
        <v>ENTRADA</v>
      </c>
      <c r="C6719" t="str">
        <f t="shared" si="1205"/>
        <v>NFSE</v>
      </c>
      <c r="D6719" t="str">
        <f>"3483"</f>
        <v>3483</v>
      </c>
      <c r="E6719" t="str">
        <f t="shared" si="1206"/>
        <v>1</v>
      </c>
      <c r="F6719" t="str">
        <f t="shared" si="1203"/>
        <v>COM</v>
      </c>
      <c r="G6719" t="str">
        <f>"DROGA ELIDA (10121)"</f>
        <v>DROGA ELIDA (10121)</v>
      </c>
      <c r="H6719" t="str">
        <f>"Serv.Prest. 06/10/2025 a 12/10/2025 - RPS: 1359 - NFSe: 3483"</f>
        <v>Serv.Prest. 06/10/2025 a 12/10/2025 - RPS: 1359 - NFSe: 3483</v>
      </c>
      <c r="I6719" t="str">
        <f t="shared" si="1207"/>
        <v>15/10/2025</v>
      </c>
      <c r="J6719" t="str">
        <f t="shared" si="1209"/>
        <v>13/10/2025</v>
      </c>
      <c r="K6719" t="str">
        <f>("16/10/2025")</f>
        <v>16/10/2025</v>
      </c>
      <c r="L6719">
        <v>1839.6</v>
      </c>
      <c r="M6719">
        <v>1839.6</v>
      </c>
      <c r="N6719">
        <v>303</v>
      </c>
      <c r="O6719" t="str">
        <f>"RECEITAS COM ENTREGAS"</f>
        <v>RECEITAS COM ENTREGAS</v>
      </c>
      <c r="P6719">
        <v>1839.6</v>
      </c>
      <c r="S6719" t="str">
        <f>"RECEITAS COM ENTREGAS (303)"</f>
        <v>RECEITAS COM ENTREGAS (303)</v>
      </c>
      <c r="T6719">
        <v>20065</v>
      </c>
      <c r="U6719">
        <v>23566</v>
      </c>
      <c r="V6719" t="s">
        <v>22</v>
      </c>
    </row>
    <row r="6720" spans="1:22">
      <c r="A6720" t="str">
        <f t="shared" si="1210"/>
        <v>16/10/2025</v>
      </c>
      <c r="B6720" t="str">
        <f t="shared" si="1204"/>
        <v>ENTRADA</v>
      </c>
      <c r="C6720" t="str">
        <f t="shared" si="1205"/>
        <v>NFSE</v>
      </c>
      <c r="D6720" t="str">
        <f>"3483"</f>
        <v>3483</v>
      </c>
      <c r="E6720" t="str">
        <f t="shared" si="1206"/>
        <v>1</v>
      </c>
      <c r="F6720" t="str">
        <f t="shared" si="1203"/>
        <v>COM</v>
      </c>
      <c r="G6720" t="str">
        <f>"DROGA ELIDA (10121)"</f>
        <v>DROGA ELIDA (10121)</v>
      </c>
      <c r="H6720" t="s">
        <v>1836</v>
      </c>
      <c r="I6720" t="str">
        <f t="shared" si="1207"/>
        <v>15/10/2025</v>
      </c>
      <c r="J6720" t="str">
        <f t="shared" si="1209"/>
        <v>13/10/2025</v>
      </c>
      <c r="K6720">
        <v>45946</v>
      </c>
      <c r="N6720">
        <v>303</v>
      </c>
      <c r="O6720" t="s">
        <v>69</v>
      </c>
      <c r="Q6720">
        <v>1839.6</v>
      </c>
      <c r="R6720" t="str">
        <f>"DROGA ELIDA (10121)"</f>
        <v>DROGA ELIDA (10121)</v>
      </c>
      <c r="S6720" t="s">
        <v>70</v>
      </c>
      <c r="T6720">
        <v>20065</v>
      </c>
      <c r="U6720">
        <v>23566</v>
      </c>
      <c r="V6720" t="s">
        <v>22</v>
      </c>
    </row>
    <row r="6721" spans="1:22">
      <c r="A6721" t="str">
        <f t="shared" si="1210"/>
        <v>16/10/2025</v>
      </c>
      <c r="B6721" t="str">
        <f t="shared" si="1204"/>
        <v>ENTRADA</v>
      </c>
      <c r="C6721" t="str">
        <f t="shared" si="1205"/>
        <v>NFSE</v>
      </c>
      <c r="D6721" t="str">
        <f>"3487"</f>
        <v>3487</v>
      </c>
      <c r="E6721" t="str">
        <f t="shared" si="1206"/>
        <v>1</v>
      </c>
      <c r="F6721" t="str">
        <f t="shared" si="1203"/>
        <v>COM</v>
      </c>
      <c r="G6721" t="str">
        <f>"PENSE FARMA 07 (10201)"</f>
        <v>PENSE FARMA 07 (10201)</v>
      </c>
      <c r="H6721" t="str">
        <f>"Serv.Prest. 06/10/2025 a 12/10/2025 - RPS: 1363 - NFSe: 3487"</f>
        <v>Serv.Prest. 06/10/2025 a 12/10/2025 - RPS: 1363 - NFSe: 3487</v>
      </c>
      <c r="I6721" t="str">
        <f t="shared" si="1207"/>
        <v>15/10/2025</v>
      </c>
      <c r="J6721" t="str">
        <f t="shared" si="1209"/>
        <v>13/10/2025</v>
      </c>
      <c r="K6721" t="str">
        <f>("16/10/2025")</f>
        <v>16/10/2025</v>
      </c>
      <c r="L6721">
        <v>1517.76</v>
      </c>
      <c r="M6721">
        <v>1517.76</v>
      </c>
      <c r="N6721">
        <v>303</v>
      </c>
      <c r="O6721" t="str">
        <f>"RECEITAS COM ENTREGAS"</f>
        <v>RECEITAS COM ENTREGAS</v>
      </c>
      <c r="P6721">
        <v>1517.76</v>
      </c>
      <c r="S6721" t="str">
        <f>"RECEITAS COM ENTREGAS (303)"</f>
        <v>RECEITAS COM ENTREGAS (303)</v>
      </c>
      <c r="T6721">
        <v>20066</v>
      </c>
      <c r="U6721">
        <v>23585</v>
      </c>
      <c r="V6721" t="s">
        <v>22</v>
      </c>
    </row>
    <row r="6722" spans="1:22">
      <c r="A6722" t="str">
        <f t="shared" si="1210"/>
        <v>16/10/2025</v>
      </c>
      <c r="B6722" t="str">
        <f t="shared" si="1204"/>
        <v>ENTRADA</v>
      </c>
      <c r="C6722" t="str">
        <f t="shared" si="1205"/>
        <v>NFSE</v>
      </c>
      <c r="D6722" t="str">
        <f>"3487"</f>
        <v>3487</v>
      </c>
      <c r="E6722" t="str">
        <f t="shared" si="1206"/>
        <v>1</v>
      </c>
      <c r="F6722" t="str">
        <f t="shared" si="1203"/>
        <v>COM</v>
      </c>
      <c r="G6722" t="str">
        <f>"PENSE FARMA 07 (10201)"</f>
        <v>PENSE FARMA 07 (10201)</v>
      </c>
      <c r="H6722" t="s">
        <v>1837</v>
      </c>
      <c r="I6722" t="str">
        <f t="shared" si="1207"/>
        <v>15/10/2025</v>
      </c>
      <c r="J6722" t="str">
        <f t="shared" si="1209"/>
        <v>13/10/2025</v>
      </c>
      <c r="K6722">
        <v>45946</v>
      </c>
      <c r="N6722">
        <v>303</v>
      </c>
      <c r="O6722" t="s">
        <v>69</v>
      </c>
      <c r="Q6722">
        <v>701.96</v>
      </c>
      <c r="R6722" t="str">
        <f>"PENSE FARMA 07 (10201)"</f>
        <v>PENSE FARMA 07 (10201)</v>
      </c>
      <c r="S6722" t="s">
        <v>70</v>
      </c>
      <c r="T6722">
        <v>20066</v>
      </c>
      <c r="U6722">
        <v>23585</v>
      </c>
      <c r="V6722" t="s">
        <v>22</v>
      </c>
    </row>
    <row r="6723" spans="1:22">
      <c r="A6723" t="str">
        <f t="shared" si="1210"/>
        <v>16/10/2025</v>
      </c>
      <c r="B6723" t="str">
        <f t="shared" si="1204"/>
        <v>ENTRADA</v>
      </c>
      <c r="C6723" t="str">
        <f t="shared" si="1205"/>
        <v>NFSE</v>
      </c>
      <c r="D6723" t="str">
        <f>"3487"</f>
        <v>3487</v>
      </c>
      <c r="E6723" t="str">
        <f t="shared" si="1206"/>
        <v>1</v>
      </c>
      <c r="F6723" t="str">
        <f t="shared" si="1203"/>
        <v>COM</v>
      </c>
      <c r="G6723" t="str">
        <f>"PENSE FARMA 07 (10201)"</f>
        <v>PENSE FARMA 07 (10201)</v>
      </c>
      <c r="H6723" t="s">
        <v>1837</v>
      </c>
      <c r="I6723" t="str">
        <f t="shared" si="1207"/>
        <v>15/10/2025</v>
      </c>
      <c r="J6723" t="str">
        <f t="shared" si="1209"/>
        <v>13/10/2025</v>
      </c>
      <c r="K6723">
        <v>45946</v>
      </c>
      <c r="N6723">
        <v>303</v>
      </c>
      <c r="O6723" t="s">
        <v>69</v>
      </c>
      <c r="Q6723">
        <v>455.33</v>
      </c>
      <c r="R6723" t="str">
        <f>"PENSE FARMA 45 (10209)"</f>
        <v>PENSE FARMA 45 (10209)</v>
      </c>
      <c r="S6723" t="s">
        <v>70</v>
      </c>
      <c r="T6723">
        <v>20066</v>
      </c>
      <c r="U6723">
        <v>23585</v>
      </c>
      <c r="V6723" t="s">
        <v>22</v>
      </c>
    </row>
    <row r="6724" spans="1:22">
      <c r="A6724" t="str">
        <f t="shared" si="1210"/>
        <v>16/10/2025</v>
      </c>
      <c r="B6724" t="str">
        <f t="shared" si="1204"/>
        <v>ENTRADA</v>
      </c>
      <c r="C6724" t="str">
        <f t="shared" si="1205"/>
        <v>NFSE</v>
      </c>
      <c r="D6724" t="str">
        <f>"3487"</f>
        <v>3487</v>
      </c>
      <c r="E6724" t="str">
        <f t="shared" si="1206"/>
        <v>1</v>
      </c>
      <c r="F6724" t="str">
        <f t="shared" si="1203"/>
        <v>COM</v>
      </c>
      <c r="G6724" t="str">
        <f>"PENSE FARMA 07 (10201)"</f>
        <v>PENSE FARMA 07 (10201)</v>
      </c>
      <c r="H6724" t="s">
        <v>1837</v>
      </c>
      <c r="I6724" t="str">
        <f t="shared" si="1207"/>
        <v>15/10/2025</v>
      </c>
      <c r="J6724" t="str">
        <f t="shared" si="1209"/>
        <v>13/10/2025</v>
      </c>
      <c r="K6724">
        <v>45946</v>
      </c>
      <c r="N6724">
        <v>303</v>
      </c>
      <c r="O6724" t="s">
        <v>69</v>
      </c>
      <c r="Q6724">
        <v>360.47</v>
      </c>
      <c r="R6724" t="str">
        <f>"PENSE FARMA 50 (10210)"</f>
        <v>PENSE FARMA 50 (10210)</v>
      </c>
      <c r="S6724" t="s">
        <v>70</v>
      </c>
      <c r="T6724">
        <v>20066</v>
      </c>
      <c r="U6724">
        <v>23585</v>
      </c>
      <c r="V6724" t="s">
        <v>22</v>
      </c>
    </row>
    <row r="6725" spans="1:22">
      <c r="A6725" t="str">
        <f t="shared" si="1210"/>
        <v>16/10/2025</v>
      </c>
      <c r="B6725" t="str">
        <f t="shared" si="1204"/>
        <v>ENTRADA</v>
      </c>
      <c r="C6725" t="str">
        <f t="shared" si="1205"/>
        <v>NFSE</v>
      </c>
      <c r="D6725" t="str">
        <f>"3488"</f>
        <v>3488</v>
      </c>
      <c r="E6725" t="str">
        <f t="shared" si="1206"/>
        <v>1</v>
      </c>
      <c r="F6725" t="str">
        <f t="shared" si="1203"/>
        <v>COM</v>
      </c>
      <c r="G6725" t="str">
        <f>"PENSE FARMA 15 (10195)"</f>
        <v>PENSE FARMA 15 (10195)</v>
      </c>
      <c r="H6725" t="str">
        <f>"Serv.Prest. 06/10/2025 a 12/10/2025 - RPS: 1364 - NFSe: 3488"</f>
        <v>Serv.Prest. 06/10/2025 a 12/10/2025 - RPS: 1364 - NFSe: 3488</v>
      </c>
      <c r="I6725" t="str">
        <f t="shared" si="1207"/>
        <v>15/10/2025</v>
      </c>
      <c r="J6725" t="str">
        <f t="shared" si="1209"/>
        <v>13/10/2025</v>
      </c>
      <c r="K6725" t="str">
        <f>("16/10/2025")</f>
        <v>16/10/2025</v>
      </c>
      <c r="L6725">
        <v>2550</v>
      </c>
      <c r="M6725">
        <v>2550</v>
      </c>
      <c r="N6725">
        <v>303</v>
      </c>
      <c r="O6725" t="str">
        <f>"RECEITAS COM ENTREGAS"</f>
        <v>RECEITAS COM ENTREGAS</v>
      </c>
      <c r="P6725">
        <v>2550</v>
      </c>
      <c r="S6725" t="str">
        <f>"RECEITAS COM ENTREGAS (303)"</f>
        <v>RECEITAS COM ENTREGAS (303)</v>
      </c>
      <c r="T6725">
        <v>20067</v>
      </c>
      <c r="U6725">
        <v>23589</v>
      </c>
      <c r="V6725" t="s">
        <v>22</v>
      </c>
    </row>
    <row r="6726" spans="1:22">
      <c r="A6726" t="str">
        <f t="shared" si="1210"/>
        <v>16/10/2025</v>
      </c>
      <c r="B6726" t="str">
        <f t="shared" si="1204"/>
        <v>ENTRADA</v>
      </c>
      <c r="C6726" t="str">
        <f t="shared" si="1205"/>
        <v>NFSE</v>
      </c>
      <c r="D6726" t="str">
        <f>"3488"</f>
        <v>3488</v>
      </c>
      <c r="E6726" t="str">
        <f t="shared" si="1206"/>
        <v>1</v>
      </c>
      <c r="F6726" t="str">
        <f t="shared" si="1203"/>
        <v>COM</v>
      </c>
      <c r="G6726" t="str">
        <f>"PENSE FARMA 15 (10195)"</f>
        <v>PENSE FARMA 15 (10195)</v>
      </c>
      <c r="H6726" t="s">
        <v>1838</v>
      </c>
      <c r="I6726" t="str">
        <f t="shared" si="1207"/>
        <v>15/10/2025</v>
      </c>
      <c r="J6726" t="str">
        <f t="shared" si="1209"/>
        <v>13/10/2025</v>
      </c>
      <c r="K6726">
        <v>45946</v>
      </c>
      <c r="N6726">
        <v>303</v>
      </c>
      <c r="O6726" t="s">
        <v>69</v>
      </c>
      <c r="Q6726">
        <v>935.08</v>
      </c>
      <c r="R6726" t="str">
        <f>"PENSE FARMA 15 (10195)"</f>
        <v>PENSE FARMA 15 (10195)</v>
      </c>
      <c r="S6726" t="s">
        <v>70</v>
      </c>
      <c r="T6726">
        <v>20067</v>
      </c>
      <c r="U6726">
        <v>23589</v>
      </c>
      <c r="V6726" t="s">
        <v>22</v>
      </c>
    </row>
    <row r="6727" spans="1:22">
      <c r="A6727" t="str">
        <f t="shared" si="1210"/>
        <v>16/10/2025</v>
      </c>
      <c r="B6727" t="str">
        <f t="shared" si="1204"/>
        <v>ENTRADA</v>
      </c>
      <c r="C6727" t="str">
        <f t="shared" si="1205"/>
        <v>NFSE</v>
      </c>
      <c r="D6727" t="str">
        <f>"3488"</f>
        <v>3488</v>
      </c>
      <c r="E6727" t="str">
        <f t="shared" si="1206"/>
        <v>1</v>
      </c>
      <c r="F6727" t="str">
        <f t="shared" si="1203"/>
        <v>COM</v>
      </c>
      <c r="G6727" t="str">
        <f>"PENSE FARMA 15 (10195)"</f>
        <v>PENSE FARMA 15 (10195)</v>
      </c>
      <c r="H6727" t="s">
        <v>1838</v>
      </c>
      <c r="I6727" t="str">
        <f t="shared" si="1207"/>
        <v>15/10/2025</v>
      </c>
      <c r="J6727" t="str">
        <f t="shared" si="1209"/>
        <v>13/10/2025</v>
      </c>
      <c r="K6727">
        <v>45946</v>
      </c>
      <c r="N6727">
        <v>303</v>
      </c>
      <c r="O6727" t="s">
        <v>69</v>
      </c>
      <c r="Q6727">
        <v>765</v>
      </c>
      <c r="R6727" t="str">
        <f>"PENSE FARMA 26 (10196)"</f>
        <v>PENSE FARMA 26 (10196)</v>
      </c>
      <c r="S6727" t="s">
        <v>70</v>
      </c>
      <c r="T6727">
        <v>20067</v>
      </c>
      <c r="U6727">
        <v>23589</v>
      </c>
      <c r="V6727" t="s">
        <v>22</v>
      </c>
    </row>
    <row r="6728" spans="1:22">
      <c r="A6728" t="str">
        <f t="shared" si="1210"/>
        <v>16/10/2025</v>
      </c>
      <c r="B6728" t="str">
        <f t="shared" si="1204"/>
        <v>ENTRADA</v>
      </c>
      <c r="C6728" t="str">
        <f t="shared" si="1205"/>
        <v>NFSE</v>
      </c>
      <c r="D6728" t="str">
        <f>"3488"</f>
        <v>3488</v>
      </c>
      <c r="E6728" t="str">
        <f t="shared" si="1206"/>
        <v>1</v>
      </c>
      <c r="F6728" t="str">
        <f t="shared" si="1203"/>
        <v>COM</v>
      </c>
      <c r="G6728" t="str">
        <f>"PENSE FARMA 15 (10195)"</f>
        <v>PENSE FARMA 15 (10195)</v>
      </c>
      <c r="H6728" t="s">
        <v>1838</v>
      </c>
      <c r="I6728" t="str">
        <f t="shared" si="1207"/>
        <v>15/10/2025</v>
      </c>
      <c r="J6728" t="str">
        <f t="shared" si="1209"/>
        <v>13/10/2025</v>
      </c>
      <c r="K6728">
        <v>45946</v>
      </c>
      <c r="N6728">
        <v>303</v>
      </c>
      <c r="O6728" t="s">
        <v>69</v>
      </c>
      <c r="Q6728">
        <v>849.92</v>
      </c>
      <c r="R6728" t="str">
        <f>"PENSE FARMA 60 (10197)"</f>
        <v>PENSE FARMA 60 (10197)</v>
      </c>
      <c r="S6728" t="s">
        <v>70</v>
      </c>
      <c r="T6728">
        <v>20067</v>
      </c>
      <c r="U6728">
        <v>23589</v>
      </c>
      <c r="V6728" t="s">
        <v>22</v>
      </c>
    </row>
    <row r="6729" spans="1:22">
      <c r="A6729" t="str">
        <f t="shared" si="1210"/>
        <v>16/10/2025</v>
      </c>
      <c r="B6729" t="str">
        <f t="shared" si="1204"/>
        <v>ENTRADA</v>
      </c>
      <c r="C6729" t="str">
        <f t="shared" si="1205"/>
        <v>NFSE</v>
      </c>
      <c r="D6729" t="str">
        <f>"3489"</f>
        <v>3489</v>
      </c>
      <c r="E6729" t="str">
        <f t="shared" si="1206"/>
        <v>1</v>
      </c>
      <c r="F6729" t="str">
        <f t="shared" si="1203"/>
        <v>COM</v>
      </c>
      <c r="G6729" t="str">
        <f>"DROGARIA MEDIC CENTER LTDA (10172)"</f>
        <v>DROGARIA MEDIC CENTER LTDA (10172)</v>
      </c>
      <c r="H6729" t="str">
        <f>"Serv.Prest. 06/10/2025 a 12/10/2025 - RPS: 1365 - NFSe: 3489"</f>
        <v>Serv.Prest. 06/10/2025 a 12/10/2025 - RPS: 1365 - NFSe: 3489</v>
      </c>
      <c r="I6729" t="str">
        <f t="shared" si="1207"/>
        <v>15/10/2025</v>
      </c>
      <c r="J6729" t="str">
        <f t="shared" ref="J6729:J6751" si="1211">("14/10/2025")</f>
        <v>14/10/2025</v>
      </c>
      <c r="K6729" t="str">
        <f>("16/10/2025")</f>
        <v>16/10/2025</v>
      </c>
      <c r="L6729">
        <v>1077.3</v>
      </c>
      <c r="M6729">
        <v>1077.3</v>
      </c>
      <c r="N6729">
        <v>303</v>
      </c>
      <c r="O6729" t="str">
        <f>"RECEITAS COM ENTREGAS"</f>
        <v>RECEITAS COM ENTREGAS</v>
      </c>
      <c r="P6729">
        <v>1077.3</v>
      </c>
      <c r="S6729" t="str">
        <f>"RECEITAS COM ENTREGAS (303)"</f>
        <v>RECEITAS COM ENTREGAS (303)</v>
      </c>
      <c r="T6729">
        <v>20068</v>
      </c>
      <c r="U6729">
        <v>23594</v>
      </c>
      <c r="V6729" t="s">
        <v>22</v>
      </c>
    </row>
    <row r="6730" spans="1:22">
      <c r="A6730" t="str">
        <f t="shared" si="1210"/>
        <v>16/10/2025</v>
      </c>
      <c r="B6730" t="str">
        <f t="shared" si="1204"/>
        <v>ENTRADA</v>
      </c>
      <c r="C6730" t="str">
        <f t="shared" si="1205"/>
        <v>NFSE</v>
      </c>
      <c r="D6730" t="str">
        <f>"3489"</f>
        <v>3489</v>
      </c>
      <c r="E6730" t="str">
        <f t="shared" si="1206"/>
        <v>1</v>
      </c>
      <c r="F6730" t="str">
        <f t="shared" si="1203"/>
        <v>COM</v>
      </c>
      <c r="G6730" t="str">
        <f>"DROGARIA MEDIC CENTER LTDA (10172)"</f>
        <v>DROGARIA MEDIC CENTER LTDA (10172)</v>
      </c>
      <c r="H6730" t="s">
        <v>1839</v>
      </c>
      <c r="I6730" t="str">
        <f t="shared" si="1207"/>
        <v>15/10/2025</v>
      </c>
      <c r="J6730" t="str">
        <f t="shared" si="1211"/>
        <v>14/10/2025</v>
      </c>
      <c r="K6730">
        <v>45946</v>
      </c>
      <c r="N6730">
        <v>303</v>
      </c>
      <c r="O6730" t="s">
        <v>69</v>
      </c>
      <c r="Q6730">
        <v>1077.3</v>
      </c>
      <c r="R6730" t="str">
        <f>"DROGARIA MEDIC CENTER LTDA (10172)"</f>
        <v>DROGARIA MEDIC CENTER LTDA (10172)</v>
      </c>
      <c r="S6730" t="s">
        <v>70</v>
      </c>
      <c r="T6730">
        <v>20068</v>
      </c>
      <c r="U6730">
        <v>23594</v>
      </c>
      <c r="V6730" t="s">
        <v>22</v>
      </c>
    </row>
    <row r="6731" spans="1:22">
      <c r="A6731" t="str">
        <f t="shared" si="1210"/>
        <v>16/10/2025</v>
      </c>
      <c r="B6731" t="str">
        <f t="shared" si="1204"/>
        <v>ENTRADA</v>
      </c>
      <c r="C6731" t="str">
        <f t="shared" si="1205"/>
        <v>NFSE</v>
      </c>
      <c r="D6731" t="str">
        <f>"3490"</f>
        <v>3490</v>
      </c>
      <c r="E6731" t="str">
        <f t="shared" si="1206"/>
        <v>1</v>
      </c>
      <c r="F6731" t="str">
        <f t="shared" si="1203"/>
        <v>COM</v>
      </c>
      <c r="G6731" t="str">
        <f>"DROGARIA MORENO LTDA (10171)"</f>
        <v>DROGARIA MORENO LTDA (10171)</v>
      </c>
      <c r="H6731" t="str">
        <f>"Serv.Prest. 06/10/2025 a 12/10/2025 - RPS: 1366 - NFSe: 3490"</f>
        <v>Serv.Prest. 06/10/2025 a 12/10/2025 - RPS: 1366 - NFSe: 3490</v>
      </c>
      <c r="I6731" t="str">
        <f t="shared" si="1207"/>
        <v>15/10/2025</v>
      </c>
      <c r="J6731" t="str">
        <f t="shared" si="1211"/>
        <v>14/10/2025</v>
      </c>
      <c r="K6731" t="str">
        <f>("16/10/2025")</f>
        <v>16/10/2025</v>
      </c>
      <c r="L6731">
        <v>3393.9</v>
      </c>
      <c r="M6731">
        <v>3393.9</v>
      </c>
      <c r="N6731">
        <v>303</v>
      </c>
      <c r="O6731" t="str">
        <f>"RECEITAS COM ENTREGAS"</f>
        <v>RECEITAS COM ENTREGAS</v>
      </c>
      <c r="P6731">
        <v>3393.9</v>
      </c>
      <c r="S6731" t="str">
        <f>"RECEITAS COM ENTREGAS (303)"</f>
        <v>RECEITAS COM ENTREGAS (303)</v>
      </c>
      <c r="T6731">
        <v>20069</v>
      </c>
      <c r="U6731">
        <v>23597</v>
      </c>
      <c r="V6731" t="s">
        <v>22</v>
      </c>
    </row>
    <row r="6732" spans="1:22">
      <c r="A6732" t="str">
        <f t="shared" si="1210"/>
        <v>16/10/2025</v>
      </c>
      <c r="B6732" t="str">
        <f t="shared" si="1204"/>
        <v>ENTRADA</v>
      </c>
      <c r="C6732" t="str">
        <f t="shared" si="1205"/>
        <v>NFSE</v>
      </c>
      <c r="D6732" t="str">
        <f>"3490"</f>
        <v>3490</v>
      </c>
      <c r="E6732" t="str">
        <f t="shared" si="1206"/>
        <v>1</v>
      </c>
      <c r="F6732" t="str">
        <f t="shared" si="1203"/>
        <v>COM</v>
      </c>
      <c r="G6732" t="str">
        <f>"DROGARIA MORENO LTDA (10171)"</f>
        <v>DROGARIA MORENO LTDA (10171)</v>
      </c>
      <c r="H6732" t="s">
        <v>1840</v>
      </c>
      <c r="I6732" t="str">
        <f t="shared" si="1207"/>
        <v>15/10/2025</v>
      </c>
      <c r="J6732" t="str">
        <f t="shared" si="1211"/>
        <v>14/10/2025</v>
      </c>
      <c r="K6732">
        <v>45946</v>
      </c>
      <c r="N6732">
        <v>303</v>
      </c>
      <c r="O6732" t="s">
        <v>69</v>
      </c>
      <c r="Q6732">
        <v>3393.9</v>
      </c>
      <c r="R6732" t="str">
        <f>"DROGARIA MORENO LTDA (10171)"</f>
        <v>DROGARIA MORENO LTDA (10171)</v>
      </c>
      <c r="S6732" t="s">
        <v>70</v>
      </c>
      <c r="T6732">
        <v>20069</v>
      </c>
      <c r="U6732">
        <v>23597</v>
      </c>
      <c r="V6732" t="s">
        <v>22</v>
      </c>
    </row>
    <row r="6733" spans="1:22">
      <c r="A6733" t="str">
        <f t="shared" si="1210"/>
        <v>16/10/2025</v>
      </c>
      <c r="B6733" t="str">
        <f t="shared" si="1204"/>
        <v>ENTRADA</v>
      </c>
      <c r="C6733" t="str">
        <f t="shared" si="1205"/>
        <v>NFSE</v>
      </c>
      <c r="D6733" t="str">
        <f>"3491"</f>
        <v>3491</v>
      </c>
      <c r="E6733" t="str">
        <f t="shared" si="1206"/>
        <v>1</v>
      </c>
      <c r="F6733" t="str">
        <f t="shared" si="1203"/>
        <v>COM</v>
      </c>
      <c r="G6733" t="str">
        <f>"JAL FARMACIA E DROGARIA LJ 1 (10137)"</f>
        <v>JAL FARMACIA E DROGARIA LJ 1 (10137)</v>
      </c>
      <c r="H6733" t="str">
        <f>"Serv.Prest. 06/10/2025 a 12/10/2025 - RPS: 1367 - NFSe: 3491"</f>
        <v>Serv.Prest. 06/10/2025 a 12/10/2025 - RPS: 1367 - NFSe: 3491</v>
      </c>
      <c r="I6733" t="str">
        <f t="shared" si="1207"/>
        <v>15/10/2025</v>
      </c>
      <c r="J6733" t="str">
        <f t="shared" si="1211"/>
        <v>14/10/2025</v>
      </c>
      <c r="K6733" t="str">
        <f>("16/10/2025")</f>
        <v>16/10/2025</v>
      </c>
      <c r="L6733">
        <v>2612.4</v>
      </c>
      <c r="M6733">
        <v>2612.4</v>
      </c>
      <c r="N6733">
        <v>303</v>
      </c>
      <c r="O6733" t="str">
        <f>"RECEITAS COM ENTREGAS"</f>
        <v>RECEITAS COM ENTREGAS</v>
      </c>
      <c r="P6733">
        <v>2612.4</v>
      </c>
      <c r="S6733" t="str">
        <f>"RECEITAS COM ENTREGAS (303)"</f>
        <v>RECEITAS COM ENTREGAS (303)</v>
      </c>
      <c r="T6733">
        <v>20070</v>
      </c>
      <c r="U6733">
        <v>23603</v>
      </c>
      <c r="V6733" t="s">
        <v>22</v>
      </c>
    </row>
    <row r="6734" spans="1:22">
      <c r="A6734" t="str">
        <f t="shared" si="1210"/>
        <v>16/10/2025</v>
      </c>
      <c r="B6734" t="str">
        <f t="shared" si="1204"/>
        <v>ENTRADA</v>
      </c>
      <c r="C6734" t="str">
        <f t="shared" si="1205"/>
        <v>NFSE</v>
      </c>
      <c r="D6734" t="str">
        <f>"3491"</f>
        <v>3491</v>
      </c>
      <c r="E6734" t="str">
        <f t="shared" si="1206"/>
        <v>1</v>
      </c>
      <c r="F6734" t="str">
        <f t="shared" si="1203"/>
        <v>COM</v>
      </c>
      <c r="G6734" t="str">
        <f>"JAL FARMACIA E DROGARIA LJ 1 (10137)"</f>
        <v>JAL FARMACIA E DROGARIA LJ 1 (10137)</v>
      </c>
      <c r="H6734" t="s">
        <v>1841</v>
      </c>
      <c r="I6734" t="str">
        <f t="shared" si="1207"/>
        <v>15/10/2025</v>
      </c>
      <c r="J6734" t="str">
        <f t="shared" si="1211"/>
        <v>14/10/2025</v>
      </c>
      <c r="K6734">
        <v>45946</v>
      </c>
      <c r="N6734">
        <v>303</v>
      </c>
      <c r="O6734" t="s">
        <v>69</v>
      </c>
      <c r="Q6734">
        <v>2612.4</v>
      </c>
      <c r="R6734" t="str">
        <f>"JAL FARMACIA E DROGARIA LJ 1 (10137)"</f>
        <v>JAL FARMACIA E DROGARIA LJ 1 (10137)</v>
      </c>
      <c r="S6734" t="s">
        <v>70</v>
      </c>
      <c r="T6734">
        <v>20070</v>
      </c>
      <c r="U6734">
        <v>23603</v>
      </c>
      <c r="V6734" t="s">
        <v>22</v>
      </c>
    </row>
    <row r="6735" spans="1:22">
      <c r="A6735" t="str">
        <f t="shared" si="1210"/>
        <v>16/10/2025</v>
      </c>
      <c r="B6735" t="str">
        <f t="shared" ref="B6735:B6751" si="1212">"ENTRADA"</f>
        <v>ENTRADA</v>
      </c>
      <c r="C6735" t="str">
        <f t="shared" ref="C6735:C6751" si="1213">"NFSE"</f>
        <v>NFSE</v>
      </c>
      <c r="D6735" t="str">
        <f>"3492"</f>
        <v>3492</v>
      </c>
      <c r="E6735" t="str">
        <f t="shared" ref="E6735:E6751" si="1214">"1"</f>
        <v>1</v>
      </c>
      <c r="F6735" t="str">
        <f t="shared" si="1203"/>
        <v>COM</v>
      </c>
      <c r="G6735" t="str">
        <f>"JAL FARMACIA E DROGARIA LJ 2 (10138)"</f>
        <v>JAL FARMACIA E DROGARIA LJ 2 (10138)</v>
      </c>
      <c r="H6735" t="str">
        <f>"Serv.Prest. 06/10/2025 a 12/10/2025 - RPS: 1368 - NFSe: 3492"</f>
        <v>Serv.Prest. 06/10/2025 a 12/10/2025 - RPS: 1368 - NFSe: 3492</v>
      </c>
      <c r="I6735" t="str">
        <f t="shared" si="1207"/>
        <v>15/10/2025</v>
      </c>
      <c r="J6735" t="str">
        <f t="shared" si="1211"/>
        <v>14/10/2025</v>
      </c>
      <c r="K6735" t="str">
        <f>("16/10/2025")</f>
        <v>16/10/2025</v>
      </c>
      <c r="L6735">
        <v>1604.4</v>
      </c>
      <c r="M6735">
        <v>1604.4</v>
      </c>
      <c r="N6735">
        <v>303</v>
      </c>
      <c r="O6735" t="str">
        <f>"RECEITAS COM ENTREGAS"</f>
        <v>RECEITAS COM ENTREGAS</v>
      </c>
      <c r="P6735">
        <v>1604.4</v>
      </c>
      <c r="S6735" t="str">
        <f>"RECEITAS COM ENTREGAS (303)"</f>
        <v>RECEITAS COM ENTREGAS (303)</v>
      </c>
      <c r="T6735">
        <v>20071</v>
      </c>
      <c r="U6735">
        <v>23607</v>
      </c>
      <c r="V6735" t="s">
        <v>22</v>
      </c>
    </row>
    <row r="6736" spans="1:22">
      <c r="A6736" t="str">
        <f t="shared" si="1210"/>
        <v>16/10/2025</v>
      </c>
      <c r="B6736" t="str">
        <f t="shared" si="1212"/>
        <v>ENTRADA</v>
      </c>
      <c r="C6736" t="str">
        <f t="shared" si="1213"/>
        <v>NFSE</v>
      </c>
      <c r="D6736" t="str">
        <f>"3492"</f>
        <v>3492</v>
      </c>
      <c r="E6736" t="str">
        <f t="shared" si="1214"/>
        <v>1</v>
      </c>
      <c r="F6736" t="str">
        <f t="shared" si="1203"/>
        <v>COM</v>
      </c>
      <c r="G6736" t="str">
        <f>"JAL FARMACIA E DROGARIA LJ 2 (10138)"</f>
        <v>JAL FARMACIA E DROGARIA LJ 2 (10138)</v>
      </c>
      <c r="H6736" t="s">
        <v>1842</v>
      </c>
      <c r="I6736" t="str">
        <f t="shared" si="1207"/>
        <v>15/10/2025</v>
      </c>
      <c r="J6736" t="str">
        <f t="shared" si="1211"/>
        <v>14/10/2025</v>
      </c>
      <c r="K6736">
        <v>45946</v>
      </c>
      <c r="N6736">
        <v>303</v>
      </c>
      <c r="O6736" t="s">
        <v>69</v>
      </c>
      <c r="Q6736">
        <v>1604.4</v>
      </c>
      <c r="R6736" t="str">
        <f>"JAL FARMACIA E DROGARIA LJ 2 (10138)"</f>
        <v>JAL FARMACIA E DROGARIA LJ 2 (10138)</v>
      </c>
      <c r="S6736" t="s">
        <v>70</v>
      </c>
      <c r="T6736">
        <v>20071</v>
      </c>
      <c r="U6736">
        <v>23607</v>
      </c>
      <c r="V6736" t="s">
        <v>22</v>
      </c>
    </row>
    <row r="6737" spans="1:22">
      <c r="A6737" t="str">
        <f t="shared" si="1210"/>
        <v>16/10/2025</v>
      </c>
      <c r="B6737" t="str">
        <f t="shared" si="1212"/>
        <v>ENTRADA</v>
      </c>
      <c r="C6737" t="str">
        <f t="shared" si="1213"/>
        <v>NFSE</v>
      </c>
      <c r="D6737" t="str">
        <f>"3493"</f>
        <v>3493</v>
      </c>
      <c r="E6737" t="str">
        <f t="shared" si="1214"/>
        <v>1</v>
      </c>
      <c r="F6737" t="str">
        <f t="shared" si="1203"/>
        <v>COM</v>
      </c>
      <c r="G6737" t="str">
        <f>"PENSE FARMA 22 (10198)"</f>
        <v>PENSE FARMA 22 (10198)</v>
      </c>
      <c r="H6737" t="str">
        <f>"Serv.Prest. 06/10/2025 a 12/10/2025 - RPS: 1369 - NFSe: 3493"</f>
        <v>Serv.Prest. 06/10/2025 a 12/10/2025 - RPS: 1369 - NFSe: 3493</v>
      </c>
      <c r="I6737" t="str">
        <f t="shared" ref="I6737:I6753" si="1215">("15/10/2025")</f>
        <v>15/10/2025</v>
      </c>
      <c r="J6737" t="str">
        <f t="shared" si="1211"/>
        <v>14/10/2025</v>
      </c>
      <c r="K6737" t="str">
        <f>("16/10/2025")</f>
        <v>16/10/2025</v>
      </c>
      <c r="L6737">
        <v>2550</v>
      </c>
      <c r="M6737">
        <v>2550</v>
      </c>
      <c r="N6737">
        <v>303</v>
      </c>
      <c r="O6737" t="str">
        <f>"RECEITAS COM ENTREGAS"</f>
        <v>RECEITAS COM ENTREGAS</v>
      </c>
      <c r="P6737">
        <v>2550</v>
      </c>
      <c r="S6737" t="str">
        <f>"RECEITAS COM ENTREGAS (303)"</f>
        <v>RECEITAS COM ENTREGAS (303)</v>
      </c>
      <c r="T6737">
        <v>20072</v>
      </c>
      <c r="U6737">
        <v>23611</v>
      </c>
      <c r="V6737" t="s">
        <v>22</v>
      </c>
    </row>
    <row r="6738" spans="1:22">
      <c r="A6738" t="str">
        <f t="shared" si="1210"/>
        <v>16/10/2025</v>
      </c>
      <c r="B6738" t="str">
        <f t="shared" si="1212"/>
        <v>ENTRADA</v>
      </c>
      <c r="C6738" t="str">
        <f t="shared" si="1213"/>
        <v>NFSE</v>
      </c>
      <c r="D6738" t="str">
        <f>"3493"</f>
        <v>3493</v>
      </c>
      <c r="E6738" t="str">
        <f t="shared" si="1214"/>
        <v>1</v>
      </c>
      <c r="F6738" t="str">
        <f t="shared" si="1203"/>
        <v>COM</v>
      </c>
      <c r="G6738" t="str">
        <f>"PENSE FARMA 22 (10198)"</f>
        <v>PENSE FARMA 22 (10198)</v>
      </c>
      <c r="H6738" t="s">
        <v>1843</v>
      </c>
      <c r="I6738" t="str">
        <f t="shared" si="1215"/>
        <v>15/10/2025</v>
      </c>
      <c r="J6738" t="str">
        <f t="shared" si="1211"/>
        <v>14/10/2025</v>
      </c>
      <c r="K6738">
        <v>45946</v>
      </c>
      <c r="N6738">
        <v>303</v>
      </c>
      <c r="O6738" t="s">
        <v>69</v>
      </c>
      <c r="Q6738">
        <v>2550</v>
      </c>
      <c r="R6738" t="str">
        <f>"PENSE FARMA 22 (10198)"</f>
        <v>PENSE FARMA 22 (10198)</v>
      </c>
      <c r="S6738" t="s">
        <v>70</v>
      </c>
      <c r="T6738">
        <v>20072</v>
      </c>
      <c r="U6738">
        <v>23611</v>
      </c>
      <c r="V6738" t="s">
        <v>22</v>
      </c>
    </row>
    <row r="6739" spans="1:22">
      <c r="A6739" t="str">
        <f t="shared" si="1210"/>
        <v>16/10/2025</v>
      </c>
      <c r="B6739" t="str">
        <f t="shared" si="1212"/>
        <v>ENTRADA</v>
      </c>
      <c r="C6739" t="str">
        <f t="shared" si="1213"/>
        <v>NFSE</v>
      </c>
      <c r="D6739" t="str">
        <f>"3494"</f>
        <v>3494</v>
      </c>
      <c r="E6739" t="str">
        <f t="shared" si="1214"/>
        <v>1</v>
      </c>
      <c r="F6739" t="str">
        <f t="shared" si="1203"/>
        <v>COM</v>
      </c>
      <c r="G6739" t="str">
        <f>"PENSE FARMA 27 (10204)"</f>
        <v>PENSE FARMA 27 (10204)</v>
      </c>
      <c r="H6739" t="str">
        <f>"Serv.Prest. 06/10/2025 a 12/10/2025 - RPS: 1370 - NFSe: 3494"</f>
        <v>Serv.Prest. 06/10/2025 a 12/10/2025 - RPS: 1370 - NFSe: 3494</v>
      </c>
      <c r="I6739" t="str">
        <f t="shared" si="1215"/>
        <v>15/10/2025</v>
      </c>
      <c r="J6739" t="str">
        <f t="shared" si="1211"/>
        <v>14/10/2025</v>
      </c>
      <c r="K6739" t="str">
        <f>("16/10/2025")</f>
        <v>16/10/2025</v>
      </c>
      <c r="L6739">
        <v>3035.25</v>
      </c>
      <c r="M6739">
        <v>3035.25</v>
      </c>
      <c r="N6739">
        <v>303</v>
      </c>
      <c r="O6739" t="str">
        <f>"RECEITAS COM ENTREGAS"</f>
        <v>RECEITAS COM ENTREGAS</v>
      </c>
      <c r="P6739">
        <v>3035.25</v>
      </c>
      <c r="S6739" t="str">
        <f>"RECEITAS COM ENTREGAS (303)"</f>
        <v>RECEITAS COM ENTREGAS (303)</v>
      </c>
      <c r="T6739">
        <v>20073</v>
      </c>
      <c r="U6739">
        <v>23617</v>
      </c>
      <c r="V6739" t="s">
        <v>22</v>
      </c>
    </row>
    <row r="6740" spans="1:22">
      <c r="A6740" t="str">
        <f t="shared" si="1210"/>
        <v>16/10/2025</v>
      </c>
      <c r="B6740" t="str">
        <f t="shared" si="1212"/>
        <v>ENTRADA</v>
      </c>
      <c r="C6740" t="str">
        <f t="shared" si="1213"/>
        <v>NFSE</v>
      </c>
      <c r="D6740" t="str">
        <f>"3494"</f>
        <v>3494</v>
      </c>
      <c r="E6740" t="str">
        <f t="shared" si="1214"/>
        <v>1</v>
      </c>
      <c r="F6740" t="str">
        <f t="shared" si="1203"/>
        <v>COM</v>
      </c>
      <c r="G6740" t="str">
        <f>"PENSE FARMA 27 (10204)"</f>
        <v>PENSE FARMA 27 (10204)</v>
      </c>
      <c r="H6740" t="s">
        <v>1844</v>
      </c>
      <c r="I6740" t="str">
        <f t="shared" si="1215"/>
        <v>15/10/2025</v>
      </c>
      <c r="J6740" t="str">
        <f t="shared" si="1211"/>
        <v>14/10/2025</v>
      </c>
      <c r="K6740">
        <v>45946</v>
      </c>
      <c r="N6740">
        <v>303</v>
      </c>
      <c r="O6740" t="s">
        <v>69</v>
      </c>
      <c r="Q6740">
        <v>1063.25</v>
      </c>
      <c r="R6740" t="str">
        <f>"PENSE FARMA 05 (10200)"</f>
        <v>PENSE FARMA 05 (10200)</v>
      </c>
      <c r="S6740" t="s">
        <v>70</v>
      </c>
      <c r="T6740">
        <v>20073</v>
      </c>
      <c r="U6740">
        <v>23617</v>
      </c>
      <c r="V6740" t="s">
        <v>22</v>
      </c>
    </row>
    <row r="6741" spans="1:22">
      <c r="A6741" t="str">
        <f t="shared" si="1210"/>
        <v>16/10/2025</v>
      </c>
      <c r="B6741" t="str">
        <f t="shared" si="1212"/>
        <v>ENTRADA</v>
      </c>
      <c r="C6741" t="str">
        <f t="shared" si="1213"/>
        <v>NFSE</v>
      </c>
      <c r="D6741" t="str">
        <f>"3494"</f>
        <v>3494</v>
      </c>
      <c r="E6741" t="str">
        <f t="shared" si="1214"/>
        <v>1</v>
      </c>
      <c r="F6741" t="str">
        <f t="shared" si="1203"/>
        <v>COM</v>
      </c>
      <c r="G6741" t="str">
        <f>"PENSE FARMA 27 (10204)"</f>
        <v>PENSE FARMA 27 (10204)</v>
      </c>
      <c r="H6741" t="s">
        <v>1844</v>
      </c>
      <c r="I6741" t="str">
        <f t="shared" si="1215"/>
        <v>15/10/2025</v>
      </c>
      <c r="J6741" t="str">
        <f t="shared" si="1211"/>
        <v>14/10/2025</v>
      </c>
      <c r="K6741">
        <v>45946</v>
      </c>
      <c r="N6741">
        <v>303</v>
      </c>
      <c r="O6741" t="s">
        <v>69</v>
      </c>
      <c r="Q6741">
        <v>862.92</v>
      </c>
      <c r="R6741" t="str">
        <f>"PENSE FARMA 13 (10202)"</f>
        <v>PENSE FARMA 13 (10202)</v>
      </c>
      <c r="S6741" t="s">
        <v>70</v>
      </c>
      <c r="T6741">
        <v>20073</v>
      </c>
      <c r="U6741">
        <v>23617</v>
      </c>
      <c r="V6741" t="s">
        <v>22</v>
      </c>
    </row>
    <row r="6742" spans="1:22">
      <c r="A6742" t="str">
        <f t="shared" si="1210"/>
        <v>16/10/2025</v>
      </c>
      <c r="B6742" t="str">
        <f t="shared" si="1212"/>
        <v>ENTRADA</v>
      </c>
      <c r="C6742" t="str">
        <f t="shared" si="1213"/>
        <v>NFSE</v>
      </c>
      <c r="D6742" t="str">
        <f>"3494"</f>
        <v>3494</v>
      </c>
      <c r="E6742" t="str">
        <f t="shared" si="1214"/>
        <v>1</v>
      </c>
      <c r="F6742" t="str">
        <f t="shared" si="1203"/>
        <v>COM</v>
      </c>
      <c r="G6742" t="str">
        <f>"PENSE FARMA 27 (10204)"</f>
        <v>PENSE FARMA 27 (10204)</v>
      </c>
      <c r="H6742" t="s">
        <v>1844</v>
      </c>
      <c r="I6742" t="str">
        <f t="shared" si="1215"/>
        <v>15/10/2025</v>
      </c>
      <c r="J6742" t="str">
        <f t="shared" si="1211"/>
        <v>14/10/2025</v>
      </c>
      <c r="K6742">
        <v>45946</v>
      </c>
      <c r="N6742">
        <v>303</v>
      </c>
      <c r="O6742" t="s">
        <v>69</v>
      </c>
      <c r="Q6742">
        <v>1109.08</v>
      </c>
      <c r="R6742" t="str">
        <f>"PENSE FARMA 27 (10204)"</f>
        <v>PENSE FARMA 27 (10204)</v>
      </c>
      <c r="S6742" t="s">
        <v>70</v>
      </c>
      <c r="T6742">
        <v>20073</v>
      </c>
      <c r="U6742">
        <v>23617</v>
      </c>
      <c r="V6742" t="s">
        <v>22</v>
      </c>
    </row>
    <row r="6743" spans="1:22">
      <c r="A6743" t="str">
        <f t="shared" si="1210"/>
        <v>16/10/2025</v>
      </c>
      <c r="B6743" t="str">
        <f t="shared" si="1212"/>
        <v>ENTRADA</v>
      </c>
      <c r="C6743" t="str">
        <f t="shared" si="1213"/>
        <v>NFSE</v>
      </c>
      <c r="D6743" t="str">
        <f>"3495"</f>
        <v>3495</v>
      </c>
      <c r="E6743" t="str">
        <f t="shared" si="1214"/>
        <v>1</v>
      </c>
      <c r="F6743" t="str">
        <f t="shared" si="1203"/>
        <v>COM</v>
      </c>
      <c r="G6743" t="str">
        <f>"PENSE FARMA 46 (10194)"</f>
        <v>PENSE FARMA 46 (10194)</v>
      </c>
      <c r="H6743" t="str">
        <f>"Serv.Prest. 06/10/2025 a 12/10/2025 - RPS: 1371 - NFSe: 3495"</f>
        <v>Serv.Prest. 06/10/2025 a 12/10/2025 - RPS: 1371 - NFSe: 3495</v>
      </c>
      <c r="I6743" t="str">
        <f t="shared" si="1215"/>
        <v>15/10/2025</v>
      </c>
      <c r="J6743" t="str">
        <f t="shared" si="1211"/>
        <v>14/10/2025</v>
      </c>
      <c r="K6743" t="str">
        <f>("16/10/2025")</f>
        <v>16/10/2025</v>
      </c>
      <c r="L6743">
        <v>1700</v>
      </c>
      <c r="M6743">
        <v>1700</v>
      </c>
      <c r="N6743">
        <v>303</v>
      </c>
      <c r="O6743" t="str">
        <f>"RECEITAS COM ENTREGAS"</f>
        <v>RECEITAS COM ENTREGAS</v>
      </c>
      <c r="P6743">
        <v>1700</v>
      </c>
      <c r="S6743" t="str">
        <f>"RECEITAS COM ENTREGAS (303)"</f>
        <v>RECEITAS COM ENTREGAS (303)</v>
      </c>
      <c r="T6743">
        <v>20074</v>
      </c>
      <c r="U6743">
        <v>23621</v>
      </c>
      <c r="V6743" t="s">
        <v>22</v>
      </c>
    </row>
    <row r="6744" spans="1:22">
      <c r="A6744" t="str">
        <f t="shared" si="1210"/>
        <v>16/10/2025</v>
      </c>
      <c r="B6744" t="str">
        <f t="shared" si="1212"/>
        <v>ENTRADA</v>
      </c>
      <c r="C6744" t="str">
        <f t="shared" si="1213"/>
        <v>NFSE</v>
      </c>
      <c r="D6744" t="str">
        <f>"3495"</f>
        <v>3495</v>
      </c>
      <c r="E6744" t="str">
        <f t="shared" si="1214"/>
        <v>1</v>
      </c>
      <c r="F6744" t="str">
        <f t="shared" si="1203"/>
        <v>COM</v>
      </c>
      <c r="G6744" t="str">
        <f>"PENSE FARMA 46 (10194)"</f>
        <v>PENSE FARMA 46 (10194)</v>
      </c>
      <c r="H6744" t="s">
        <v>1845</v>
      </c>
      <c r="I6744" t="str">
        <f t="shared" si="1215"/>
        <v>15/10/2025</v>
      </c>
      <c r="J6744" t="str">
        <f t="shared" si="1211"/>
        <v>14/10/2025</v>
      </c>
      <c r="K6744">
        <v>45946</v>
      </c>
      <c r="N6744">
        <v>303</v>
      </c>
      <c r="O6744" t="s">
        <v>69</v>
      </c>
      <c r="Q6744">
        <v>1700</v>
      </c>
      <c r="R6744" t="str">
        <f>"PENSE FARMA 46 (10194)"</f>
        <v>PENSE FARMA 46 (10194)</v>
      </c>
      <c r="S6744" t="s">
        <v>70</v>
      </c>
      <c r="T6744">
        <v>20074</v>
      </c>
      <c r="U6744">
        <v>23621</v>
      </c>
      <c r="V6744" t="s">
        <v>22</v>
      </c>
    </row>
    <row r="6745" spans="1:22">
      <c r="A6745" t="str">
        <f t="shared" si="1210"/>
        <v>16/10/2025</v>
      </c>
      <c r="B6745" t="str">
        <f t="shared" si="1212"/>
        <v>ENTRADA</v>
      </c>
      <c r="C6745" t="str">
        <f t="shared" si="1213"/>
        <v>NFSE</v>
      </c>
      <c r="D6745" t="str">
        <f t="shared" ref="D6745:D6751" si="1216">"3496"</f>
        <v>3496</v>
      </c>
      <c r="E6745" t="str">
        <f t="shared" si="1214"/>
        <v>1</v>
      </c>
      <c r="F6745" t="str">
        <f t="shared" si="1203"/>
        <v>COM</v>
      </c>
      <c r="G6745" t="str">
        <f t="shared" ref="G6745:G6751" si="1217">"PENSE FARMA 36 (10206)"</f>
        <v>PENSE FARMA 36 (10206)</v>
      </c>
      <c r="H6745" t="str">
        <f>"Serv.Prest. 06/10/2025 a 12/10/2025 - RPS: 1372 - NFSe: 3496"</f>
        <v>Serv.Prest. 06/10/2025 a 12/10/2025 - RPS: 1372 - NFSe: 3496</v>
      </c>
      <c r="I6745" t="str">
        <f t="shared" si="1215"/>
        <v>15/10/2025</v>
      </c>
      <c r="J6745" t="str">
        <f t="shared" si="1211"/>
        <v>14/10/2025</v>
      </c>
      <c r="K6745" t="str">
        <f>("16/10/2025")</f>
        <v>16/10/2025</v>
      </c>
      <c r="L6745">
        <v>4826.97</v>
      </c>
      <c r="M6745">
        <v>4826.97</v>
      </c>
      <c r="N6745">
        <v>303</v>
      </c>
      <c r="O6745" t="str">
        <f>"RECEITAS COM ENTREGAS"</f>
        <v>RECEITAS COM ENTREGAS</v>
      </c>
      <c r="P6745">
        <v>4826.97</v>
      </c>
      <c r="S6745" t="str">
        <f>"RECEITAS COM ENTREGAS (303)"</f>
        <v>RECEITAS COM ENTREGAS (303)</v>
      </c>
      <c r="T6745">
        <v>20075</v>
      </c>
      <c r="U6745">
        <v>23624</v>
      </c>
      <c r="V6745" t="s">
        <v>22</v>
      </c>
    </row>
    <row r="6746" spans="1:22">
      <c r="A6746" t="str">
        <f t="shared" si="1210"/>
        <v>16/10/2025</v>
      </c>
      <c r="B6746" t="str">
        <f t="shared" si="1212"/>
        <v>ENTRADA</v>
      </c>
      <c r="C6746" t="str">
        <f t="shared" si="1213"/>
        <v>NFSE</v>
      </c>
      <c r="D6746" t="str">
        <f t="shared" si="1216"/>
        <v>3496</v>
      </c>
      <c r="E6746" t="str">
        <f t="shared" si="1214"/>
        <v>1</v>
      </c>
      <c r="F6746" t="str">
        <f t="shared" si="1203"/>
        <v>COM</v>
      </c>
      <c r="G6746" t="str">
        <f t="shared" si="1217"/>
        <v>PENSE FARMA 36 (10206)</v>
      </c>
      <c r="H6746" t="s">
        <v>1846</v>
      </c>
      <c r="I6746" t="str">
        <f t="shared" si="1215"/>
        <v>15/10/2025</v>
      </c>
      <c r="J6746" t="str">
        <f t="shared" si="1211"/>
        <v>14/10/2025</v>
      </c>
      <c r="K6746">
        <v>45946</v>
      </c>
      <c r="N6746">
        <v>303</v>
      </c>
      <c r="O6746" t="s">
        <v>69</v>
      </c>
      <c r="Q6746">
        <v>892.99</v>
      </c>
      <c r="R6746" t="str">
        <f>"PENSE FARMA 20 (10203)"</f>
        <v>PENSE FARMA 20 (10203)</v>
      </c>
      <c r="S6746" t="s">
        <v>70</v>
      </c>
      <c r="T6746">
        <v>20075</v>
      </c>
      <c r="U6746">
        <v>23624</v>
      </c>
      <c r="V6746" t="s">
        <v>22</v>
      </c>
    </row>
    <row r="6747" spans="1:22">
      <c r="A6747" t="str">
        <f t="shared" si="1210"/>
        <v>16/10/2025</v>
      </c>
      <c r="B6747" t="str">
        <f t="shared" si="1212"/>
        <v>ENTRADA</v>
      </c>
      <c r="C6747" t="str">
        <f t="shared" si="1213"/>
        <v>NFSE</v>
      </c>
      <c r="D6747" t="str">
        <f t="shared" si="1216"/>
        <v>3496</v>
      </c>
      <c r="E6747" t="str">
        <f t="shared" si="1214"/>
        <v>1</v>
      </c>
      <c r="F6747" t="str">
        <f t="shared" si="1203"/>
        <v>COM</v>
      </c>
      <c r="G6747" t="str">
        <f t="shared" si="1217"/>
        <v>PENSE FARMA 36 (10206)</v>
      </c>
      <c r="H6747" t="s">
        <v>1846</v>
      </c>
      <c r="I6747" t="str">
        <f t="shared" si="1215"/>
        <v>15/10/2025</v>
      </c>
      <c r="J6747" t="str">
        <f t="shared" si="1211"/>
        <v>14/10/2025</v>
      </c>
      <c r="K6747">
        <v>45946</v>
      </c>
      <c r="N6747">
        <v>303</v>
      </c>
      <c r="O6747" t="s">
        <v>69</v>
      </c>
      <c r="Q6747">
        <v>1058.07</v>
      </c>
      <c r="R6747" t="str">
        <f>"PENSE FARMA 36 (10206)"</f>
        <v>PENSE FARMA 36 (10206)</v>
      </c>
      <c r="S6747" t="s">
        <v>70</v>
      </c>
      <c r="T6747">
        <v>20075</v>
      </c>
      <c r="U6747">
        <v>23624</v>
      </c>
      <c r="V6747" t="s">
        <v>22</v>
      </c>
    </row>
    <row r="6748" spans="1:22">
      <c r="A6748" t="str">
        <f t="shared" si="1210"/>
        <v>16/10/2025</v>
      </c>
      <c r="B6748" t="str">
        <f t="shared" si="1212"/>
        <v>ENTRADA</v>
      </c>
      <c r="C6748" t="str">
        <f t="shared" si="1213"/>
        <v>NFSE</v>
      </c>
      <c r="D6748" t="str">
        <f t="shared" si="1216"/>
        <v>3496</v>
      </c>
      <c r="E6748" t="str">
        <f t="shared" si="1214"/>
        <v>1</v>
      </c>
      <c r="F6748" t="str">
        <f t="shared" si="1203"/>
        <v>COM</v>
      </c>
      <c r="G6748" t="str">
        <f t="shared" si="1217"/>
        <v>PENSE FARMA 36 (10206)</v>
      </c>
      <c r="H6748" t="s">
        <v>1846</v>
      </c>
      <c r="I6748" t="str">
        <f t="shared" si="1215"/>
        <v>15/10/2025</v>
      </c>
      <c r="J6748" t="str">
        <f t="shared" si="1211"/>
        <v>14/10/2025</v>
      </c>
      <c r="K6748">
        <v>45946</v>
      </c>
      <c r="N6748">
        <v>303</v>
      </c>
      <c r="O6748" t="s">
        <v>69</v>
      </c>
      <c r="Q6748">
        <v>545.45000000000005</v>
      </c>
      <c r="R6748" t="str">
        <f>"PENSE FARMA 40 (10207)"</f>
        <v>PENSE FARMA 40 (10207)</v>
      </c>
      <c r="S6748" t="s">
        <v>70</v>
      </c>
      <c r="T6748">
        <v>20075</v>
      </c>
      <c r="U6748">
        <v>23624</v>
      </c>
      <c r="V6748" t="s">
        <v>22</v>
      </c>
    </row>
    <row r="6749" spans="1:22">
      <c r="A6749" t="str">
        <f t="shared" si="1210"/>
        <v>16/10/2025</v>
      </c>
      <c r="B6749" t="str">
        <f t="shared" si="1212"/>
        <v>ENTRADA</v>
      </c>
      <c r="C6749" t="str">
        <f t="shared" si="1213"/>
        <v>NFSE</v>
      </c>
      <c r="D6749" t="str">
        <f t="shared" si="1216"/>
        <v>3496</v>
      </c>
      <c r="E6749" t="str">
        <f t="shared" si="1214"/>
        <v>1</v>
      </c>
      <c r="F6749" t="str">
        <f t="shared" si="1203"/>
        <v>COM</v>
      </c>
      <c r="G6749" t="str">
        <f t="shared" si="1217"/>
        <v>PENSE FARMA 36 (10206)</v>
      </c>
      <c r="H6749" t="s">
        <v>1846</v>
      </c>
      <c r="I6749" t="str">
        <f t="shared" si="1215"/>
        <v>15/10/2025</v>
      </c>
      <c r="J6749" t="str">
        <f t="shared" si="1211"/>
        <v>14/10/2025</v>
      </c>
      <c r="K6749">
        <v>45946</v>
      </c>
      <c r="N6749">
        <v>303</v>
      </c>
      <c r="O6749" t="s">
        <v>69</v>
      </c>
      <c r="Q6749">
        <v>413.19</v>
      </c>
      <c r="R6749" t="str">
        <f>"PENSE FARMA 43 (10208)"</f>
        <v>PENSE FARMA 43 (10208)</v>
      </c>
      <c r="S6749" t="s">
        <v>70</v>
      </c>
      <c r="T6749">
        <v>20075</v>
      </c>
      <c r="U6749">
        <v>23624</v>
      </c>
      <c r="V6749" t="s">
        <v>22</v>
      </c>
    </row>
    <row r="6750" spans="1:22">
      <c r="A6750" t="str">
        <f t="shared" si="1210"/>
        <v>16/10/2025</v>
      </c>
      <c r="B6750" t="str">
        <f t="shared" si="1212"/>
        <v>ENTRADA</v>
      </c>
      <c r="C6750" t="str">
        <f t="shared" si="1213"/>
        <v>NFSE</v>
      </c>
      <c r="D6750" t="str">
        <f t="shared" si="1216"/>
        <v>3496</v>
      </c>
      <c r="E6750" t="str">
        <f t="shared" si="1214"/>
        <v>1</v>
      </c>
      <c r="F6750" t="str">
        <f t="shared" si="1203"/>
        <v>COM</v>
      </c>
      <c r="G6750" t="str">
        <f t="shared" si="1217"/>
        <v>PENSE FARMA 36 (10206)</v>
      </c>
      <c r="H6750" t="s">
        <v>1846</v>
      </c>
      <c r="I6750" t="str">
        <f t="shared" si="1215"/>
        <v>15/10/2025</v>
      </c>
      <c r="J6750" t="str">
        <f t="shared" si="1211"/>
        <v>14/10/2025</v>
      </c>
      <c r="K6750">
        <v>45946</v>
      </c>
      <c r="N6750">
        <v>303</v>
      </c>
      <c r="O6750" t="s">
        <v>69</v>
      </c>
      <c r="Q6750">
        <v>925.81</v>
      </c>
      <c r="R6750" t="str">
        <f>"PENSE FARMA 59 (10211)"</f>
        <v>PENSE FARMA 59 (10211)</v>
      </c>
      <c r="S6750" t="s">
        <v>70</v>
      </c>
      <c r="T6750">
        <v>20075</v>
      </c>
      <c r="U6750">
        <v>23624</v>
      </c>
      <c r="V6750" t="s">
        <v>22</v>
      </c>
    </row>
    <row r="6751" spans="1:22">
      <c r="A6751" t="str">
        <f t="shared" si="1210"/>
        <v>16/10/2025</v>
      </c>
      <c r="B6751" t="str">
        <f t="shared" si="1212"/>
        <v>ENTRADA</v>
      </c>
      <c r="C6751" t="str">
        <f t="shared" si="1213"/>
        <v>NFSE</v>
      </c>
      <c r="D6751" t="str">
        <f t="shared" si="1216"/>
        <v>3496</v>
      </c>
      <c r="E6751" t="str">
        <f t="shared" si="1214"/>
        <v>1</v>
      </c>
      <c r="F6751" t="str">
        <f t="shared" si="1203"/>
        <v>COM</v>
      </c>
      <c r="G6751" t="str">
        <f t="shared" si="1217"/>
        <v>PENSE FARMA 36 (10206)</v>
      </c>
      <c r="H6751" t="s">
        <v>1846</v>
      </c>
      <c r="I6751" t="str">
        <f t="shared" si="1215"/>
        <v>15/10/2025</v>
      </c>
      <c r="J6751" t="str">
        <f t="shared" si="1211"/>
        <v>14/10/2025</v>
      </c>
      <c r="K6751">
        <v>45946</v>
      </c>
      <c r="N6751">
        <v>303</v>
      </c>
      <c r="O6751" t="s">
        <v>69</v>
      </c>
      <c r="Q6751">
        <v>991.46</v>
      </c>
      <c r="R6751" t="str">
        <f>"PENSE FARMA DARK STORE 361 (10212)"</f>
        <v>PENSE FARMA DARK STORE 361 (10212)</v>
      </c>
      <c r="S6751" t="s">
        <v>70</v>
      </c>
      <c r="T6751">
        <v>20075</v>
      </c>
      <c r="U6751">
        <v>23624</v>
      </c>
      <c r="V6751" t="s">
        <v>22</v>
      </c>
    </row>
    <row r="6752" spans="1:22">
      <c r="A6752" t="str">
        <f t="shared" si="1210"/>
        <v>16/10/2025</v>
      </c>
      <c r="B6752" t="str">
        <f t="shared" ref="B6752:B6760" si="1218">"SAÍDA"</f>
        <v>SAÍDA</v>
      </c>
      <c r="C6752" t="str">
        <f>"BOLETO"</f>
        <v>BOLETO</v>
      </c>
      <c r="D6752" t="str">
        <f>"1018200557266"</f>
        <v>1018200557266</v>
      </c>
      <c r="E6752" t="str">
        <f>"16"</f>
        <v>16</v>
      </c>
      <c r="F6752" t="str">
        <f t="shared" si="1203"/>
        <v>COM</v>
      </c>
      <c r="G6752" t="str">
        <f>"CAPEMISA SEGURADORA DE VIDA E PREVIDENCIA SA (20038)"</f>
        <v>CAPEMISA SEGURADORA DE VIDA E PREVIDENCIA SA (20038)</v>
      </c>
      <c r="H6752" t="str">
        <f>"SEGURO DE VIDA PRESTADORES - APOLICE 1018200557266"</f>
        <v>SEGURO DE VIDA PRESTADORES - APOLICE 1018200557266</v>
      </c>
      <c r="I6752" t="str">
        <f t="shared" si="1215"/>
        <v>15/10/2025</v>
      </c>
      <c r="J6752" t="str">
        <f>("30/09/2025")</f>
        <v>30/09/2025</v>
      </c>
      <c r="K6752" t="str">
        <f>("16/10/2025")</f>
        <v>16/10/2025</v>
      </c>
      <c r="L6752">
        <v>2626.5</v>
      </c>
      <c r="M6752">
        <v>2626.5</v>
      </c>
      <c r="N6752">
        <v>192</v>
      </c>
      <c r="O6752" t="str">
        <f>"PLANOS E SEGUROS"</f>
        <v>PLANOS E SEGUROS</v>
      </c>
      <c r="P6752">
        <v>2626.5</v>
      </c>
      <c r="S6752" t="str">
        <f>"BANCO CORA (102)"</f>
        <v>BANCO CORA (102)</v>
      </c>
      <c r="T6752">
        <v>20080</v>
      </c>
      <c r="U6752">
        <v>13382</v>
      </c>
      <c r="V6752" t="s">
        <v>22</v>
      </c>
    </row>
    <row r="6753" spans="1:22">
      <c r="A6753" t="str">
        <f t="shared" si="1210"/>
        <v>16/10/2025</v>
      </c>
      <c r="B6753" t="str">
        <f t="shared" si="1218"/>
        <v>SAÍDA</v>
      </c>
      <c r="C6753" t="str">
        <f>"BOLETO"</f>
        <v>BOLETO</v>
      </c>
      <c r="D6753" t="str">
        <f>"1018200557266"</f>
        <v>1018200557266</v>
      </c>
      <c r="E6753" t="str">
        <f>"16"</f>
        <v>16</v>
      </c>
      <c r="F6753" t="str">
        <f t="shared" si="1203"/>
        <v>COM</v>
      </c>
      <c r="G6753" t="str">
        <f>"CAPEMISA SEGURADORA DE VIDA E PREVIDENCIA SA (20038)"</f>
        <v>CAPEMISA SEGURADORA DE VIDA E PREVIDENCIA SA (20038)</v>
      </c>
      <c r="H6753" t="s">
        <v>629</v>
      </c>
      <c r="I6753" t="str">
        <f t="shared" si="1215"/>
        <v>15/10/2025</v>
      </c>
      <c r="J6753" t="str">
        <f>("30/09/2025")</f>
        <v>30/09/2025</v>
      </c>
      <c r="K6753">
        <v>45946</v>
      </c>
      <c r="N6753">
        <v>192</v>
      </c>
      <c r="O6753" t="s">
        <v>38</v>
      </c>
      <c r="Q6753">
        <v>2626.5</v>
      </c>
      <c r="R6753" t="str">
        <f>"CAPEMISA SEGURADORA DE VIDA E PREVIDENCIA SA (20038)"</f>
        <v>CAPEMISA SEGURADORA DE VIDA E PREVIDENCIA SA (20038)</v>
      </c>
      <c r="S6753" t="s">
        <v>22</v>
      </c>
      <c r="T6753">
        <v>20080</v>
      </c>
      <c r="U6753">
        <v>13382</v>
      </c>
      <c r="V6753" t="s">
        <v>22</v>
      </c>
    </row>
    <row r="6754" spans="1:22">
      <c r="A6754" t="str">
        <f t="shared" si="1210"/>
        <v>16/10/2025</v>
      </c>
      <c r="B6754" t="str">
        <f t="shared" si="1218"/>
        <v>SAÍDA</v>
      </c>
      <c r="C6754" t="str">
        <f>"JUROS"</f>
        <v>JUROS</v>
      </c>
      <c r="D6754" t="str">
        <f>""</f>
        <v/>
      </c>
      <c r="F6754" t="str">
        <f>"CXA"</f>
        <v>CXA</v>
      </c>
      <c r="G6754" t="str">
        <f>""</f>
        <v/>
      </c>
      <c r="H6754" t="str">
        <f>"TARIFA"</f>
        <v>TARIFA</v>
      </c>
      <c r="I6754" t="str">
        <f>("16/10/2025")</f>
        <v>16/10/2025</v>
      </c>
      <c r="J6754" t="str">
        <f>("16/10/2025")</f>
        <v>16/10/2025</v>
      </c>
      <c r="K6754" t="str">
        <f>("16/10/2025")</f>
        <v>16/10/2025</v>
      </c>
      <c r="L6754">
        <v>5.0999999999999996</v>
      </c>
      <c r="M6754">
        <v>5.0999999999999996</v>
      </c>
      <c r="N6754">
        <v>401</v>
      </c>
      <c r="O6754" t="str">
        <f>"IOF/JUROS/DESP.FINANCEIRA"</f>
        <v>IOF/JUROS/DESP.FINANCEIRA</v>
      </c>
      <c r="P6754">
        <v>5.0999999999999996</v>
      </c>
      <c r="S6754" t="str">
        <f>"BANCO CORA (102)"</f>
        <v>BANCO CORA (102)</v>
      </c>
      <c r="T6754">
        <v>20081</v>
      </c>
      <c r="U6754">
        <v>0</v>
      </c>
      <c r="V6754" t="s">
        <v>1112</v>
      </c>
    </row>
    <row r="6755" spans="1:22">
      <c r="A6755" t="str">
        <f t="shared" si="1210"/>
        <v>16/10/2025</v>
      </c>
      <c r="B6755" t="str">
        <f t="shared" si="1218"/>
        <v>SAÍDA</v>
      </c>
      <c r="C6755" t="str">
        <f t="shared" ref="C6755:C6760" si="1219">"PIX"</f>
        <v>PIX</v>
      </c>
      <c r="D6755" t="str">
        <f>"23884"</f>
        <v>23884</v>
      </c>
      <c r="E6755" t="str">
        <f t="shared" ref="E6755:E6762" si="1220">"1"</f>
        <v>1</v>
      </c>
      <c r="F6755" t="str">
        <f t="shared" ref="F6755:F6762" si="1221">"COM"</f>
        <v>COM</v>
      </c>
      <c r="G6755" t="str">
        <f>"IRENE FRAGOSO DE OLIVEIRA (1003)"</f>
        <v>IRENE FRAGOSO DE OLIVEIRA (1003)</v>
      </c>
      <c r="H6755" t="str">
        <f>"Serv.Prest. 13/10/2025 a 19/10/2025 - PIX: E-MAIL - CHAVE: irenefragoso45@gmail.com"</f>
        <v>Serv.Prest. 13/10/2025 a 19/10/2025 - PIX: E-MAIL - CHAVE: irenefragoso45@gmail.com</v>
      </c>
      <c r="I6755" t="str">
        <f>("21/10/2025")</f>
        <v>21/10/2025</v>
      </c>
      <c r="J6755" t="str">
        <f>("20/10/2025")</f>
        <v>20/10/2025</v>
      </c>
      <c r="K6755" t="str">
        <f>("16/10/2025")</f>
        <v>16/10/2025</v>
      </c>
      <c r="L6755">
        <v>170</v>
      </c>
      <c r="M6755">
        <v>170</v>
      </c>
      <c r="N6755">
        <v>134</v>
      </c>
      <c r="O6755" t="str">
        <f>"DIARIA DE MOTOBOY"</f>
        <v>DIARIA DE MOTOBOY</v>
      </c>
      <c r="P6755">
        <v>170</v>
      </c>
      <c r="S6755" t="str">
        <f>"BANCO CORA (102)"</f>
        <v>BANCO CORA (102)</v>
      </c>
      <c r="T6755">
        <v>20088</v>
      </c>
      <c r="U6755">
        <v>24120</v>
      </c>
      <c r="V6755" t="s">
        <v>22</v>
      </c>
    </row>
    <row r="6756" spans="1:22">
      <c r="A6756" t="str">
        <f t="shared" si="1210"/>
        <v>16/10/2025</v>
      </c>
      <c r="B6756" t="str">
        <f t="shared" si="1218"/>
        <v>SAÍDA</v>
      </c>
      <c r="C6756" t="str">
        <f t="shared" si="1219"/>
        <v>PIX</v>
      </c>
      <c r="D6756" t="str">
        <f>"23884"</f>
        <v>23884</v>
      </c>
      <c r="E6756" t="str">
        <f t="shared" si="1220"/>
        <v>1</v>
      </c>
      <c r="F6756" t="str">
        <f t="shared" si="1221"/>
        <v>COM</v>
      </c>
      <c r="G6756" t="str">
        <f>"IRENE FRAGOSO DE OLIVEIRA (1003)"</f>
        <v>IRENE FRAGOSO DE OLIVEIRA (1003)</v>
      </c>
      <c r="H6756" t="s">
        <v>1847</v>
      </c>
      <c r="I6756" t="str">
        <f>("21/10/2025")</f>
        <v>21/10/2025</v>
      </c>
      <c r="J6756" t="str">
        <f>("20/10/2025")</f>
        <v>20/10/2025</v>
      </c>
      <c r="K6756">
        <v>45946</v>
      </c>
      <c r="N6756">
        <v>134</v>
      </c>
      <c r="O6756" t="s">
        <v>41</v>
      </c>
      <c r="Q6756">
        <v>170</v>
      </c>
      <c r="R6756" t="str">
        <f>"PENSE FARMA 16 (10221)"</f>
        <v>PENSE FARMA 16 (10221)</v>
      </c>
      <c r="S6756" t="s">
        <v>22</v>
      </c>
      <c r="T6756">
        <v>20088</v>
      </c>
      <c r="U6756">
        <v>24120</v>
      </c>
      <c r="V6756" t="s">
        <v>22</v>
      </c>
    </row>
    <row r="6757" spans="1:22">
      <c r="A6757" t="str">
        <f t="shared" si="1210"/>
        <v>16/10/2025</v>
      </c>
      <c r="B6757" t="str">
        <f t="shared" si="1218"/>
        <v>SAÍDA</v>
      </c>
      <c r="C6757" t="str">
        <f t="shared" si="1219"/>
        <v>PIX</v>
      </c>
      <c r="D6757" t="str">
        <f>"23877"</f>
        <v>23877</v>
      </c>
      <c r="E6757" t="str">
        <f t="shared" si="1220"/>
        <v>1</v>
      </c>
      <c r="F6757" t="str">
        <f t="shared" si="1221"/>
        <v>COM</v>
      </c>
      <c r="G6757" t="str">
        <f>"RICARDO GONCALVES DE SOUSA (1006)"</f>
        <v>RICARDO GONCALVES DE SOUSA (1006)</v>
      </c>
      <c r="H6757" t="str">
        <f>"Serv.Prest. 13/10/2025 a 19/10/2025 - PIX: CELULAR - CHAVE: (11) 98310-4830"</f>
        <v>Serv.Prest. 13/10/2025 a 19/10/2025 - PIX: CELULAR - CHAVE: (11) 98310-4830</v>
      </c>
      <c r="I6757" t="str">
        <f>("21/10/2025")</f>
        <v>21/10/2025</v>
      </c>
      <c r="J6757" t="str">
        <f>("20/10/2025")</f>
        <v>20/10/2025</v>
      </c>
      <c r="K6757" t="str">
        <f>("16/10/2025")</f>
        <v>16/10/2025</v>
      </c>
      <c r="L6757">
        <v>150</v>
      </c>
      <c r="M6757">
        <v>150</v>
      </c>
      <c r="N6757">
        <v>134</v>
      </c>
      <c r="O6757" t="str">
        <f>"DIARIA DE MOTOBOY"</f>
        <v>DIARIA DE MOTOBOY</v>
      </c>
      <c r="P6757">
        <v>150</v>
      </c>
      <c r="S6757" t="str">
        <f>"BANCO CORA (102)"</f>
        <v>BANCO CORA (102)</v>
      </c>
      <c r="T6757">
        <v>20091</v>
      </c>
      <c r="U6757">
        <v>23877</v>
      </c>
      <c r="V6757" t="s">
        <v>22</v>
      </c>
    </row>
    <row r="6758" spans="1:22">
      <c r="A6758" t="str">
        <f t="shared" si="1210"/>
        <v>16/10/2025</v>
      </c>
      <c r="B6758" t="str">
        <f t="shared" si="1218"/>
        <v>SAÍDA</v>
      </c>
      <c r="C6758" t="str">
        <f t="shared" si="1219"/>
        <v>PIX</v>
      </c>
      <c r="D6758" t="str">
        <f>"23877"</f>
        <v>23877</v>
      </c>
      <c r="E6758" t="str">
        <f t="shared" si="1220"/>
        <v>1</v>
      </c>
      <c r="F6758" t="str">
        <f t="shared" si="1221"/>
        <v>COM</v>
      </c>
      <c r="G6758" t="str">
        <f>"RICARDO GONCALVES DE SOUSA (1006)"</f>
        <v>RICARDO GONCALVES DE SOUSA (1006)</v>
      </c>
      <c r="H6758" t="s">
        <v>1848</v>
      </c>
      <c r="I6758" t="str">
        <f>("21/10/2025")</f>
        <v>21/10/2025</v>
      </c>
      <c r="J6758" t="str">
        <f>("20/10/2025")</f>
        <v>20/10/2025</v>
      </c>
      <c r="K6758">
        <v>45946</v>
      </c>
      <c r="N6758">
        <v>134</v>
      </c>
      <c r="O6758" t="s">
        <v>41</v>
      </c>
      <c r="Q6758">
        <v>150</v>
      </c>
      <c r="R6758" t="str">
        <f>"PENSE FARMA 25 (10224)"</f>
        <v>PENSE FARMA 25 (10224)</v>
      </c>
      <c r="S6758" t="s">
        <v>22</v>
      </c>
      <c r="T6758">
        <v>20091</v>
      </c>
      <c r="U6758">
        <v>23877</v>
      </c>
      <c r="V6758" t="s">
        <v>22</v>
      </c>
    </row>
    <row r="6759" spans="1:22">
      <c r="A6759" t="str">
        <f t="shared" si="1210"/>
        <v>16/10/2025</v>
      </c>
      <c r="B6759" t="str">
        <f t="shared" si="1218"/>
        <v>SAÍDA</v>
      </c>
      <c r="C6759" t="str">
        <f t="shared" si="1219"/>
        <v>PIX</v>
      </c>
      <c r="D6759" t="str">
        <f>"23935"</f>
        <v>23935</v>
      </c>
      <c r="E6759" t="str">
        <f t="shared" si="1220"/>
        <v>1</v>
      </c>
      <c r="F6759" t="str">
        <f t="shared" si="1221"/>
        <v>COM</v>
      </c>
      <c r="G6759" t="str">
        <f>"DIANS APARECIDO RAMOS BERALDO (795)"</f>
        <v>DIANS APARECIDO RAMOS BERALDO (795)</v>
      </c>
      <c r="H6759" t="str">
        <f>"Serv.Prest. 13/10/2025 a 19/10/2025 - PIX: CELULAR - CHAVE: (11) 95530-0331"</f>
        <v>Serv.Prest. 13/10/2025 a 19/10/2025 - PIX: CELULAR - CHAVE: (11) 95530-0331</v>
      </c>
      <c r="I6759" t="str">
        <f>("23/10/2025")</f>
        <v>23/10/2025</v>
      </c>
      <c r="J6759" t="str">
        <f>("21/10/2025")</f>
        <v>21/10/2025</v>
      </c>
      <c r="K6759" t="str">
        <f>("16/10/2025")</f>
        <v>16/10/2025</v>
      </c>
      <c r="L6759">
        <v>80</v>
      </c>
      <c r="M6759">
        <v>80</v>
      </c>
      <c r="N6759">
        <v>109</v>
      </c>
      <c r="O6759" t="str">
        <f>"PAGAMENTO DE ENTREGADORES"</f>
        <v>PAGAMENTO DE ENTREGADORES</v>
      </c>
      <c r="P6759">
        <v>80</v>
      </c>
      <c r="S6759" t="str">
        <f>"BANCO CORA (102)"</f>
        <v>BANCO CORA (102)</v>
      </c>
      <c r="T6759">
        <v>20103</v>
      </c>
      <c r="U6759">
        <v>24140</v>
      </c>
      <c r="V6759" t="s">
        <v>22</v>
      </c>
    </row>
    <row r="6760" spans="1:22">
      <c r="A6760" t="str">
        <f t="shared" si="1210"/>
        <v>16/10/2025</v>
      </c>
      <c r="B6760" t="str">
        <f t="shared" si="1218"/>
        <v>SAÍDA</v>
      </c>
      <c r="C6760" t="str">
        <f t="shared" si="1219"/>
        <v>PIX</v>
      </c>
      <c r="D6760" t="str">
        <f>"23935"</f>
        <v>23935</v>
      </c>
      <c r="E6760" t="str">
        <f t="shared" si="1220"/>
        <v>1</v>
      </c>
      <c r="F6760" t="str">
        <f t="shared" si="1221"/>
        <v>COM</v>
      </c>
      <c r="G6760" t="str">
        <f>"DIANS APARECIDO RAMOS BERALDO (795)"</f>
        <v>DIANS APARECIDO RAMOS BERALDO (795)</v>
      </c>
      <c r="H6760" t="s">
        <v>1849</v>
      </c>
      <c r="I6760" t="str">
        <f>("23/10/2025")</f>
        <v>23/10/2025</v>
      </c>
      <c r="J6760" t="str">
        <f>("21/10/2025")</f>
        <v>21/10/2025</v>
      </c>
      <c r="K6760">
        <v>45946</v>
      </c>
      <c r="N6760">
        <v>109</v>
      </c>
      <c r="O6760" t="s">
        <v>24</v>
      </c>
      <c r="Q6760">
        <v>80</v>
      </c>
      <c r="R6760" t="str">
        <f>"DROGARIA TOTAL JUNDIAI (10177)"</f>
        <v>DROGARIA TOTAL JUNDIAI (10177)</v>
      </c>
      <c r="S6760" t="s">
        <v>22</v>
      </c>
      <c r="T6760">
        <v>20103</v>
      </c>
      <c r="U6760">
        <v>24140</v>
      </c>
      <c r="V6760" t="s">
        <v>22</v>
      </c>
    </row>
    <row r="6761" spans="1:22">
      <c r="A6761" t="str">
        <f t="shared" si="1210"/>
        <v>16/10/2025</v>
      </c>
      <c r="B6761" t="str">
        <f>"ENTRADA"</f>
        <v>ENTRADA</v>
      </c>
      <c r="C6761" t="str">
        <f>"NFSE"</f>
        <v>NFSE</v>
      </c>
      <c r="D6761" t="str">
        <f>"3486"</f>
        <v>3486</v>
      </c>
      <c r="E6761" t="str">
        <f t="shared" si="1220"/>
        <v>1</v>
      </c>
      <c r="F6761" t="str">
        <f t="shared" si="1221"/>
        <v>COM</v>
      </c>
      <c r="G6761" t="str">
        <f>"DROGARIA POUPA MINAS (DOIS AMIGOS) 5 (10140)"</f>
        <v>DROGARIA POUPA MINAS (DOIS AMIGOS) 5 (10140)</v>
      </c>
      <c r="H6761" t="str">
        <f>"Serv.Prest. 06/10/2025 a 12/10/2025 - RPS: 1362 - NFSe: 3486"</f>
        <v>Serv.Prest. 06/10/2025 a 12/10/2025 - RPS: 1362 - NFSe: 3486</v>
      </c>
      <c r="I6761" t="str">
        <f t="shared" ref="I6761:I6776" si="1222">("16/10/2025")</f>
        <v>16/10/2025</v>
      </c>
      <c r="J6761" t="str">
        <f>("13/10/2025")</f>
        <v>13/10/2025</v>
      </c>
      <c r="K6761" t="str">
        <f>("16/10/2025")</f>
        <v>16/10/2025</v>
      </c>
      <c r="L6761">
        <v>7470.23</v>
      </c>
      <c r="M6761">
        <v>7470.23</v>
      </c>
      <c r="N6761">
        <v>303</v>
      </c>
      <c r="O6761" t="str">
        <f>"RECEITAS COM ENTREGAS"</f>
        <v>RECEITAS COM ENTREGAS</v>
      </c>
      <c r="P6761">
        <v>7470.23</v>
      </c>
      <c r="S6761" t="str">
        <f>"RECEITAS COM ENTREGAS (303)"</f>
        <v>RECEITAS COM ENTREGAS (303)</v>
      </c>
      <c r="T6761">
        <v>21139</v>
      </c>
      <c r="U6761">
        <v>23574</v>
      </c>
      <c r="V6761" t="s">
        <v>22</v>
      </c>
    </row>
    <row r="6762" spans="1:22">
      <c r="A6762" t="str">
        <f t="shared" si="1210"/>
        <v>16/10/2025</v>
      </c>
      <c r="B6762" t="str">
        <f>"ENTRADA"</f>
        <v>ENTRADA</v>
      </c>
      <c r="C6762" t="str">
        <f>"NFSE"</f>
        <v>NFSE</v>
      </c>
      <c r="D6762" t="str">
        <f>"3486"</f>
        <v>3486</v>
      </c>
      <c r="E6762" t="str">
        <f t="shared" si="1220"/>
        <v>1</v>
      </c>
      <c r="F6762" t="str">
        <f t="shared" si="1221"/>
        <v>COM</v>
      </c>
      <c r="G6762" t="str">
        <f>"DROGARIA POUPA MINAS (DOIS AMIGOS) 5 (10140)"</f>
        <v>DROGARIA POUPA MINAS (DOIS AMIGOS) 5 (10140)</v>
      </c>
      <c r="H6762" t="s">
        <v>1850</v>
      </c>
      <c r="I6762" t="str">
        <f t="shared" si="1222"/>
        <v>16/10/2025</v>
      </c>
      <c r="J6762" t="str">
        <f>("13/10/2025")</f>
        <v>13/10/2025</v>
      </c>
      <c r="K6762">
        <v>45946</v>
      </c>
      <c r="N6762">
        <v>303</v>
      </c>
      <c r="O6762" t="s">
        <v>69</v>
      </c>
      <c r="Q6762">
        <v>7470.23</v>
      </c>
      <c r="R6762" t="str">
        <f>"DROGARIA POUPA MINAS (ULTRAMINAS) 1 (10181)"</f>
        <v>DROGARIA POUPA MINAS (ULTRAMINAS) 1 (10181)</v>
      </c>
      <c r="S6762" t="s">
        <v>70</v>
      </c>
      <c r="T6762">
        <v>21139</v>
      </c>
      <c r="U6762">
        <v>23574</v>
      </c>
      <c r="V6762" t="s">
        <v>22</v>
      </c>
    </row>
    <row r="6763" spans="1:22">
      <c r="A6763" t="str">
        <f t="shared" si="1210"/>
        <v>16/10/2025</v>
      </c>
      <c r="B6763" t="str">
        <f>"SAÍDA"</f>
        <v>SAÍDA</v>
      </c>
      <c r="C6763" t="str">
        <f>"RESGATE"</f>
        <v>RESGATE</v>
      </c>
      <c r="D6763" t="str">
        <f>""</f>
        <v/>
      </c>
      <c r="F6763" t="str">
        <f>"RES"</f>
        <v>RES</v>
      </c>
      <c r="G6763" t="str">
        <f>""</f>
        <v/>
      </c>
      <c r="H6763" t="str">
        <f>"RESGATE APLICAÇÃO CDB C6"</f>
        <v>RESGATE APLICAÇÃO CDB C6</v>
      </c>
      <c r="I6763" t="str">
        <f t="shared" si="1222"/>
        <v>16/10/2025</v>
      </c>
      <c r="J6763" t="str">
        <f t="shared" ref="J6763:K6768" si="1223">("16/10/2025")</f>
        <v>16/10/2025</v>
      </c>
      <c r="K6763" t="str">
        <f t="shared" si="1223"/>
        <v>16/10/2025</v>
      </c>
      <c r="N6763">
        <v>121</v>
      </c>
      <c r="O6763" t="str">
        <f>"APLICAÇÃO BANCO A"</f>
        <v>APLICAÇÃO BANCO A</v>
      </c>
      <c r="P6763">
        <v>5032.6000000000004</v>
      </c>
      <c r="S6763" t="str">
        <f>"APLICAÇÃO BANCO A (121)"</f>
        <v>APLICAÇÃO BANCO A (121)</v>
      </c>
      <c r="T6763">
        <v>22187</v>
      </c>
      <c r="U6763">
        <v>0</v>
      </c>
      <c r="V6763" t="s">
        <v>1071</v>
      </c>
    </row>
    <row r="6764" spans="1:22">
      <c r="A6764" t="str">
        <f t="shared" si="1210"/>
        <v>16/10/2025</v>
      </c>
      <c r="B6764" t="str">
        <f>"ENTRADA"</f>
        <v>ENTRADA</v>
      </c>
      <c r="C6764" t="str">
        <f>"RESGATE"</f>
        <v>RESGATE</v>
      </c>
      <c r="D6764" t="str">
        <f>""</f>
        <v/>
      </c>
      <c r="F6764" t="str">
        <f>"RES"</f>
        <v>RES</v>
      </c>
      <c r="G6764" t="str">
        <f>""</f>
        <v/>
      </c>
      <c r="H6764" t="str">
        <f>"RESGATE APLICAÇÃO CDB C6"</f>
        <v>RESGATE APLICAÇÃO CDB C6</v>
      </c>
      <c r="I6764" t="str">
        <f t="shared" si="1222"/>
        <v>16/10/2025</v>
      </c>
      <c r="J6764" t="str">
        <f t="shared" si="1223"/>
        <v>16/10/2025</v>
      </c>
      <c r="K6764" t="str">
        <f t="shared" si="1223"/>
        <v>16/10/2025</v>
      </c>
      <c r="N6764">
        <v>149</v>
      </c>
      <c r="O6764" t="str">
        <f>"BANCO C6"</f>
        <v>BANCO C6</v>
      </c>
      <c r="S6764" t="str">
        <f>"BANCO C6 (149)"</f>
        <v>BANCO C6 (149)</v>
      </c>
      <c r="T6764">
        <v>22187</v>
      </c>
      <c r="U6764">
        <v>0</v>
      </c>
      <c r="V6764" t="s">
        <v>77</v>
      </c>
    </row>
    <row r="6765" spans="1:22">
      <c r="A6765" t="str">
        <f t="shared" si="1210"/>
        <v>16/10/2025</v>
      </c>
      <c r="B6765" t="str">
        <f>"SAÍDA"</f>
        <v>SAÍDA</v>
      </c>
      <c r="C6765" t="str">
        <f>"RESGATE"</f>
        <v>RESGATE</v>
      </c>
      <c r="D6765" t="str">
        <f>""</f>
        <v/>
      </c>
      <c r="F6765" t="str">
        <f>"RES"</f>
        <v>RES</v>
      </c>
      <c r="G6765" t="str">
        <f>""</f>
        <v/>
      </c>
      <c r="H6765" t="str">
        <f>"RESGATE APLICAÇÃO CDB C6"</f>
        <v>RESGATE APLICAÇÃO CDB C6</v>
      </c>
      <c r="I6765" t="str">
        <f t="shared" si="1222"/>
        <v>16/10/2025</v>
      </c>
      <c r="J6765" t="str">
        <f t="shared" si="1223"/>
        <v>16/10/2025</v>
      </c>
      <c r="K6765" t="str">
        <f t="shared" si="1223"/>
        <v>16/10/2025</v>
      </c>
      <c r="N6765">
        <v>121</v>
      </c>
      <c r="O6765" t="str">
        <f>"APLICAÇÃO BANCO A"</f>
        <v>APLICAÇÃO BANCO A</v>
      </c>
      <c r="P6765">
        <v>15005.14</v>
      </c>
      <c r="S6765" t="str">
        <f>"APLICAÇÃO BANCO A (121)"</f>
        <v>APLICAÇÃO BANCO A (121)</v>
      </c>
      <c r="T6765">
        <v>22188</v>
      </c>
      <c r="U6765">
        <v>0</v>
      </c>
      <c r="V6765" t="s">
        <v>1071</v>
      </c>
    </row>
    <row r="6766" spans="1:22">
      <c r="A6766" t="str">
        <f t="shared" si="1210"/>
        <v>16/10/2025</v>
      </c>
      <c r="B6766" t="str">
        <f>"ENTRADA"</f>
        <v>ENTRADA</v>
      </c>
      <c r="C6766" t="str">
        <f>"RESGATE"</f>
        <v>RESGATE</v>
      </c>
      <c r="D6766" t="str">
        <f>""</f>
        <v/>
      </c>
      <c r="F6766" t="str">
        <f>"RES"</f>
        <v>RES</v>
      </c>
      <c r="G6766" t="str">
        <f>""</f>
        <v/>
      </c>
      <c r="H6766" t="str">
        <f>"RESGATE APLICAÇÃO CDB C6"</f>
        <v>RESGATE APLICAÇÃO CDB C6</v>
      </c>
      <c r="I6766" t="str">
        <f t="shared" si="1222"/>
        <v>16/10/2025</v>
      </c>
      <c r="J6766" t="str">
        <f t="shared" si="1223"/>
        <v>16/10/2025</v>
      </c>
      <c r="K6766" t="str">
        <f t="shared" si="1223"/>
        <v>16/10/2025</v>
      </c>
      <c r="N6766">
        <v>149</v>
      </c>
      <c r="O6766" t="str">
        <f>"BANCO C6"</f>
        <v>BANCO C6</v>
      </c>
      <c r="S6766" t="str">
        <f>"BANCO C6 (149)"</f>
        <v>BANCO C6 (149)</v>
      </c>
      <c r="T6766">
        <v>22188</v>
      </c>
      <c r="U6766">
        <v>0</v>
      </c>
      <c r="V6766" t="s">
        <v>77</v>
      </c>
    </row>
    <row r="6767" spans="1:22">
      <c r="A6767" t="str">
        <f t="shared" si="1210"/>
        <v>16/10/2025</v>
      </c>
      <c r="B6767" t="str">
        <f>"SAÍDA"</f>
        <v>SAÍDA</v>
      </c>
      <c r="C6767" t="str">
        <f>"TRANSFERENCIA"</f>
        <v>TRANSFERENCIA</v>
      </c>
      <c r="D6767" t="str">
        <f>""</f>
        <v/>
      </c>
      <c r="F6767" t="str">
        <f>"TRF"</f>
        <v>TRF</v>
      </c>
      <c r="G6767" t="str">
        <f>""</f>
        <v/>
      </c>
      <c r="H6767" t="str">
        <f>"TRANSFERENCIA ENTRE BANCOS  (102-&gt;149)"</f>
        <v>TRANSFERENCIA ENTRE BANCOS  (102-&gt;149)</v>
      </c>
      <c r="I6767" t="str">
        <f t="shared" si="1222"/>
        <v>16/10/2025</v>
      </c>
      <c r="J6767" t="str">
        <f t="shared" si="1223"/>
        <v>16/10/2025</v>
      </c>
      <c r="K6767" t="str">
        <f t="shared" si="1223"/>
        <v>16/10/2025</v>
      </c>
      <c r="N6767">
        <v>102</v>
      </c>
      <c r="O6767" t="str">
        <f>"BANCO CORA"</f>
        <v>BANCO CORA</v>
      </c>
      <c r="P6767">
        <v>50946.47</v>
      </c>
      <c r="S6767" t="str">
        <f>"BANCO CORA (102)"</f>
        <v>BANCO CORA (102)</v>
      </c>
      <c r="T6767">
        <v>22504</v>
      </c>
      <c r="U6767">
        <v>0</v>
      </c>
      <c r="V6767" t="s">
        <v>22</v>
      </c>
    </row>
    <row r="6768" spans="1:22">
      <c r="A6768" t="str">
        <f t="shared" si="1210"/>
        <v>16/10/2025</v>
      </c>
      <c r="B6768" t="str">
        <f t="shared" ref="B6768:B6776" si="1224">"ENTRADA"</f>
        <v>ENTRADA</v>
      </c>
      <c r="C6768" t="str">
        <f>"TRANSFERENCIA"</f>
        <v>TRANSFERENCIA</v>
      </c>
      <c r="D6768" t="str">
        <f>""</f>
        <v/>
      </c>
      <c r="F6768" t="str">
        <f>"TRF"</f>
        <v>TRF</v>
      </c>
      <c r="G6768" t="str">
        <f>""</f>
        <v/>
      </c>
      <c r="H6768" t="str">
        <f>"TRANSFERENCIA ENTRE BANCOS  (102-&gt;149)"</f>
        <v>TRANSFERENCIA ENTRE BANCOS  (102-&gt;149)</v>
      </c>
      <c r="I6768" t="str">
        <f t="shared" si="1222"/>
        <v>16/10/2025</v>
      </c>
      <c r="J6768" t="str">
        <f t="shared" si="1223"/>
        <v>16/10/2025</v>
      </c>
      <c r="K6768" t="str">
        <f t="shared" si="1223"/>
        <v>16/10/2025</v>
      </c>
      <c r="N6768">
        <v>149</v>
      </c>
      <c r="O6768" t="str">
        <f>"BANCO C6"</f>
        <v>BANCO C6</v>
      </c>
      <c r="S6768" t="str">
        <f>"BANCO C6 (149)"</f>
        <v>BANCO C6 (149)</v>
      </c>
      <c r="T6768">
        <v>22504</v>
      </c>
      <c r="U6768">
        <v>0</v>
      </c>
      <c r="V6768" t="s">
        <v>77</v>
      </c>
    </row>
    <row r="6769" spans="1:22">
      <c r="A6769" t="str">
        <f t="shared" ref="A6769:A6789" si="1225">("17/10/2025")</f>
        <v>17/10/2025</v>
      </c>
      <c r="B6769" t="str">
        <f t="shared" si="1224"/>
        <v>ENTRADA</v>
      </c>
      <c r="C6769" t="str">
        <f t="shared" ref="C6769:C6776" si="1226">"NFSE"</f>
        <v>NFSE</v>
      </c>
      <c r="D6769" t="str">
        <f>"3503"</f>
        <v>3503</v>
      </c>
      <c r="E6769" t="str">
        <f t="shared" ref="E6769:E6787" si="1227">"1"</f>
        <v>1</v>
      </c>
      <c r="F6769" t="str">
        <f t="shared" ref="F6769:F6800" si="1228">"COM"</f>
        <v>COM</v>
      </c>
      <c r="G6769" t="str">
        <f>"LBL FARMACIA LTDA (10189)"</f>
        <v>LBL FARMACIA LTDA (10189)</v>
      </c>
      <c r="H6769" t="str">
        <f>"Serv.Prest. 06/10/2025 a 12/10/2025 - RPS: 1379 - NFSe: 3503"</f>
        <v>Serv.Prest. 06/10/2025 a 12/10/2025 - RPS: 1379 - NFSe: 3503</v>
      </c>
      <c r="I6769" t="str">
        <f t="shared" si="1222"/>
        <v>16/10/2025</v>
      </c>
      <c r="J6769" t="str">
        <f t="shared" ref="J6769:J6776" si="1229">("14/10/2025")</f>
        <v>14/10/2025</v>
      </c>
      <c r="K6769" t="str">
        <f>("17/10/2025")</f>
        <v>17/10/2025</v>
      </c>
      <c r="L6769">
        <v>440.3</v>
      </c>
      <c r="M6769">
        <v>440.3</v>
      </c>
      <c r="N6769">
        <v>303</v>
      </c>
      <c r="O6769" t="str">
        <f>"RECEITAS COM ENTREGAS"</f>
        <v>RECEITAS COM ENTREGAS</v>
      </c>
      <c r="P6769">
        <v>440.3</v>
      </c>
      <c r="S6769" t="str">
        <f>"RECEITAS COM ENTREGAS (303)"</f>
        <v>RECEITAS COM ENTREGAS (303)</v>
      </c>
      <c r="T6769">
        <v>20076</v>
      </c>
      <c r="U6769">
        <v>23783</v>
      </c>
      <c r="V6769" t="s">
        <v>22</v>
      </c>
    </row>
    <row r="6770" spans="1:22">
      <c r="A6770" t="str">
        <f t="shared" si="1225"/>
        <v>17/10/2025</v>
      </c>
      <c r="B6770" t="str">
        <f t="shared" si="1224"/>
        <v>ENTRADA</v>
      </c>
      <c r="C6770" t="str">
        <f t="shared" si="1226"/>
        <v>NFSE</v>
      </c>
      <c r="D6770" t="str">
        <f>"3503"</f>
        <v>3503</v>
      </c>
      <c r="E6770" t="str">
        <f t="shared" si="1227"/>
        <v>1</v>
      </c>
      <c r="F6770" t="str">
        <f t="shared" si="1228"/>
        <v>COM</v>
      </c>
      <c r="G6770" t="str">
        <f>"LBL FARMACIA LTDA (10189)"</f>
        <v>LBL FARMACIA LTDA (10189)</v>
      </c>
      <c r="H6770" t="s">
        <v>1851</v>
      </c>
      <c r="I6770" t="str">
        <f t="shared" si="1222"/>
        <v>16/10/2025</v>
      </c>
      <c r="J6770" t="str">
        <f t="shared" si="1229"/>
        <v>14/10/2025</v>
      </c>
      <c r="K6770">
        <v>45947</v>
      </c>
      <c r="N6770">
        <v>303</v>
      </c>
      <c r="O6770" t="s">
        <v>69</v>
      </c>
      <c r="Q6770">
        <v>440.3</v>
      </c>
      <c r="R6770" t="str">
        <f>"LBL FARMACIA LTDA (10189)"</f>
        <v>LBL FARMACIA LTDA (10189)</v>
      </c>
      <c r="S6770" t="s">
        <v>70</v>
      </c>
      <c r="T6770">
        <v>20076</v>
      </c>
      <c r="U6770">
        <v>23783</v>
      </c>
      <c r="V6770" t="s">
        <v>22</v>
      </c>
    </row>
    <row r="6771" spans="1:22">
      <c r="A6771" t="str">
        <f t="shared" si="1225"/>
        <v>17/10/2025</v>
      </c>
      <c r="B6771" t="str">
        <f t="shared" si="1224"/>
        <v>ENTRADA</v>
      </c>
      <c r="C6771" t="str">
        <f t="shared" si="1226"/>
        <v>NFSE</v>
      </c>
      <c r="D6771" t="str">
        <f>"3504"</f>
        <v>3504</v>
      </c>
      <c r="E6771" t="str">
        <f t="shared" si="1227"/>
        <v>1</v>
      </c>
      <c r="F6771" t="str">
        <f t="shared" si="1228"/>
        <v>COM</v>
      </c>
      <c r="G6771" t="str">
        <f>"FARMACIA ECONOMIZE (10103)"</f>
        <v>FARMACIA ECONOMIZE (10103)</v>
      </c>
      <c r="H6771" t="str">
        <f>"Serv.Prest. 06/10/2025 a 12/10/2025 - RPS: 1380 - NFSe: 3504"</f>
        <v>Serv.Prest. 06/10/2025 a 12/10/2025 - RPS: 1380 - NFSe: 3504</v>
      </c>
      <c r="I6771" t="str">
        <f t="shared" si="1222"/>
        <v>16/10/2025</v>
      </c>
      <c r="J6771" t="str">
        <f t="shared" si="1229"/>
        <v>14/10/2025</v>
      </c>
      <c r="K6771" t="str">
        <f>("17/10/2025")</f>
        <v>17/10/2025</v>
      </c>
      <c r="L6771">
        <v>2280.96</v>
      </c>
      <c r="M6771">
        <v>2280.96</v>
      </c>
      <c r="N6771">
        <v>303</v>
      </c>
      <c r="O6771" t="str">
        <f>"RECEITAS COM ENTREGAS"</f>
        <v>RECEITAS COM ENTREGAS</v>
      </c>
      <c r="P6771">
        <v>2280.96</v>
      </c>
      <c r="S6771" t="str">
        <f>"RECEITAS COM ENTREGAS (303)"</f>
        <v>RECEITAS COM ENTREGAS (303)</v>
      </c>
      <c r="T6771">
        <v>20077</v>
      </c>
      <c r="U6771">
        <v>23786</v>
      </c>
      <c r="V6771" t="s">
        <v>22</v>
      </c>
    </row>
    <row r="6772" spans="1:22">
      <c r="A6772" t="str">
        <f t="shared" si="1225"/>
        <v>17/10/2025</v>
      </c>
      <c r="B6772" t="str">
        <f t="shared" si="1224"/>
        <v>ENTRADA</v>
      </c>
      <c r="C6772" t="str">
        <f t="shared" si="1226"/>
        <v>NFSE</v>
      </c>
      <c r="D6772" t="str">
        <f>"3504"</f>
        <v>3504</v>
      </c>
      <c r="E6772" t="str">
        <f t="shared" si="1227"/>
        <v>1</v>
      </c>
      <c r="F6772" t="str">
        <f t="shared" si="1228"/>
        <v>COM</v>
      </c>
      <c r="G6772" t="str">
        <f>"FARMACIA ECONOMIZE (10103)"</f>
        <v>FARMACIA ECONOMIZE (10103)</v>
      </c>
      <c r="H6772" t="s">
        <v>1852</v>
      </c>
      <c r="I6772" t="str">
        <f t="shared" si="1222"/>
        <v>16/10/2025</v>
      </c>
      <c r="J6772" t="str">
        <f t="shared" si="1229"/>
        <v>14/10/2025</v>
      </c>
      <c r="K6772">
        <v>45947</v>
      </c>
      <c r="N6772">
        <v>303</v>
      </c>
      <c r="O6772" t="s">
        <v>69</v>
      </c>
      <c r="Q6772">
        <v>2280.96</v>
      </c>
      <c r="R6772" t="str">
        <f>"FARMACIA ECONOMIZE (10103)"</f>
        <v>FARMACIA ECONOMIZE (10103)</v>
      </c>
      <c r="S6772" t="s">
        <v>70</v>
      </c>
      <c r="T6772">
        <v>20077</v>
      </c>
      <c r="U6772">
        <v>23786</v>
      </c>
      <c r="V6772" t="s">
        <v>22</v>
      </c>
    </row>
    <row r="6773" spans="1:22">
      <c r="A6773" t="str">
        <f t="shared" si="1225"/>
        <v>17/10/2025</v>
      </c>
      <c r="B6773" t="str">
        <f t="shared" si="1224"/>
        <v>ENTRADA</v>
      </c>
      <c r="C6773" t="str">
        <f t="shared" si="1226"/>
        <v>NFSE</v>
      </c>
      <c r="D6773" t="str">
        <f>"3505"</f>
        <v>3505</v>
      </c>
      <c r="E6773" t="str">
        <f t="shared" si="1227"/>
        <v>1</v>
      </c>
      <c r="F6773" t="str">
        <f t="shared" si="1228"/>
        <v>COM</v>
      </c>
      <c r="G6773" t="str">
        <f>"DELTA LOJA 2 (10123)"</f>
        <v>DELTA LOJA 2 (10123)</v>
      </c>
      <c r="H6773" t="str">
        <f>"Serv.Prest. 06/10/2025 a 12/10/2025 - RPS: 1381 - NFSe: 3505"</f>
        <v>Serv.Prest. 06/10/2025 a 12/10/2025 - RPS: 1381 - NFSe: 3505</v>
      </c>
      <c r="I6773" t="str">
        <f t="shared" si="1222"/>
        <v>16/10/2025</v>
      </c>
      <c r="J6773" t="str">
        <f t="shared" si="1229"/>
        <v>14/10/2025</v>
      </c>
      <c r="K6773" t="str">
        <f>("17/10/2025")</f>
        <v>17/10/2025</v>
      </c>
      <c r="L6773">
        <v>3986.5</v>
      </c>
      <c r="M6773">
        <v>3986.5</v>
      </c>
      <c r="N6773">
        <v>303</v>
      </c>
      <c r="O6773" t="str">
        <f>"RECEITAS COM ENTREGAS"</f>
        <v>RECEITAS COM ENTREGAS</v>
      </c>
      <c r="P6773">
        <v>3986.5</v>
      </c>
      <c r="S6773" t="str">
        <f>"RECEITAS COM ENTREGAS (303)"</f>
        <v>RECEITAS COM ENTREGAS (303)</v>
      </c>
      <c r="T6773">
        <v>20078</v>
      </c>
      <c r="U6773">
        <v>23788</v>
      </c>
      <c r="V6773" t="s">
        <v>22</v>
      </c>
    </row>
    <row r="6774" spans="1:22">
      <c r="A6774" t="str">
        <f t="shared" si="1225"/>
        <v>17/10/2025</v>
      </c>
      <c r="B6774" t="str">
        <f t="shared" si="1224"/>
        <v>ENTRADA</v>
      </c>
      <c r="C6774" t="str">
        <f t="shared" si="1226"/>
        <v>NFSE</v>
      </c>
      <c r="D6774" t="str">
        <f>"3505"</f>
        <v>3505</v>
      </c>
      <c r="E6774" t="str">
        <f t="shared" si="1227"/>
        <v>1</v>
      </c>
      <c r="F6774" t="str">
        <f t="shared" si="1228"/>
        <v>COM</v>
      </c>
      <c r="G6774" t="str">
        <f>"DELTA LOJA 2 (10123)"</f>
        <v>DELTA LOJA 2 (10123)</v>
      </c>
      <c r="H6774" t="s">
        <v>1853</v>
      </c>
      <c r="I6774" t="str">
        <f t="shared" si="1222"/>
        <v>16/10/2025</v>
      </c>
      <c r="J6774" t="str">
        <f t="shared" si="1229"/>
        <v>14/10/2025</v>
      </c>
      <c r="K6774">
        <v>45947</v>
      </c>
      <c r="N6774">
        <v>303</v>
      </c>
      <c r="O6774" t="s">
        <v>69</v>
      </c>
      <c r="Q6774">
        <v>3986.5</v>
      </c>
      <c r="R6774" t="str">
        <f>"DELTA LOJA 2 (10123)"</f>
        <v>DELTA LOJA 2 (10123)</v>
      </c>
      <c r="S6774" t="s">
        <v>70</v>
      </c>
      <c r="T6774">
        <v>20078</v>
      </c>
      <c r="U6774">
        <v>23788</v>
      </c>
      <c r="V6774" t="s">
        <v>22</v>
      </c>
    </row>
    <row r="6775" spans="1:22">
      <c r="A6775" t="str">
        <f t="shared" si="1225"/>
        <v>17/10/2025</v>
      </c>
      <c r="B6775" t="str">
        <f t="shared" si="1224"/>
        <v>ENTRADA</v>
      </c>
      <c r="C6775" t="str">
        <f t="shared" si="1226"/>
        <v>NFSE</v>
      </c>
      <c r="D6775" t="str">
        <f>"3506"</f>
        <v>3506</v>
      </c>
      <c r="E6775" t="str">
        <f t="shared" si="1227"/>
        <v>1</v>
      </c>
      <c r="F6775" t="str">
        <f t="shared" si="1228"/>
        <v>COM</v>
      </c>
      <c r="G6775" t="str">
        <f>"DROGA HONDA (10149)"</f>
        <v>DROGA HONDA (10149)</v>
      </c>
      <c r="H6775" t="str">
        <f>"Serv.Prest. 06/10/2025 a 12/10/2025 - RPS: 1382 - NFSe: 3506"</f>
        <v>Serv.Prest. 06/10/2025 a 12/10/2025 - RPS: 1382 - NFSe: 3506</v>
      </c>
      <c r="I6775" t="str">
        <f t="shared" si="1222"/>
        <v>16/10/2025</v>
      </c>
      <c r="J6775" t="str">
        <f t="shared" si="1229"/>
        <v>14/10/2025</v>
      </c>
      <c r="K6775" t="str">
        <f>("17/10/2025")</f>
        <v>17/10/2025</v>
      </c>
      <c r="L6775">
        <v>1196.05</v>
      </c>
      <c r="M6775">
        <v>1196.05</v>
      </c>
      <c r="N6775">
        <v>303</v>
      </c>
      <c r="O6775" t="str">
        <f>"RECEITAS COM ENTREGAS"</f>
        <v>RECEITAS COM ENTREGAS</v>
      </c>
      <c r="P6775">
        <v>1196.05</v>
      </c>
      <c r="S6775" t="str">
        <f>"RECEITAS COM ENTREGAS (303)"</f>
        <v>RECEITAS COM ENTREGAS (303)</v>
      </c>
      <c r="T6775">
        <v>20079</v>
      </c>
      <c r="U6775">
        <v>23793</v>
      </c>
      <c r="V6775" t="s">
        <v>22</v>
      </c>
    </row>
    <row r="6776" spans="1:22">
      <c r="A6776" t="str">
        <f t="shared" si="1225"/>
        <v>17/10/2025</v>
      </c>
      <c r="B6776" t="str">
        <f t="shared" si="1224"/>
        <v>ENTRADA</v>
      </c>
      <c r="C6776" t="str">
        <f t="shared" si="1226"/>
        <v>NFSE</v>
      </c>
      <c r="D6776" t="str">
        <f>"3506"</f>
        <v>3506</v>
      </c>
      <c r="E6776" t="str">
        <f t="shared" si="1227"/>
        <v>1</v>
      </c>
      <c r="F6776" t="str">
        <f t="shared" si="1228"/>
        <v>COM</v>
      </c>
      <c r="G6776" t="str">
        <f>"DROGA HONDA (10149)"</f>
        <v>DROGA HONDA (10149)</v>
      </c>
      <c r="H6776" t="s">
        <v>1854</v>
      </c>
      <c r="I6776" t="str">
        <f t="shared" si="1222"/>
        <v>16/10/2025</v>
      </c>
      <c r="J6776" t="str">
        <f t="shared" si="1229"/>
        <v>14/10/2025</v>
      </c>
      <c r="K6776">
        <v>45947</v>
      </c>
      <c r="N6776">
        <v>303</v>
      </c>
      <c r="O6776" t="s">
        <v>69</v>
      </c>
      <c r="Q6776">
        <v>1196.05</v>
      </c>
      <c r="R6776" t="str">
        <f>"DROGA HONDA (10149)"</f>
        <v>DROGA HONDA (10149)</v>
      </c>
      <c r="S6776" t="s">
        <v>70</v>
      </c>
      <c r="T6776">
        <v>20079</v>
      </c>
      <c r="U6776">
        <v>23793</v>
      </c>
      <c r="V6776" t="s">
        <v>22</v>
      </c>
    </row>
    <row r="6777" spans="1:22">
      <c r="A6777" t="str">
        <f t="shared" si="1225"/>
        <v>17/10/2025</v>
      </c>
      <c r="B6777" t="str">
        <f t="shared" ref="B6777:B6785" si="1230">"SAÍDA"</f>
        <v>SAÍDA</v>
      </c>
      <c r="C6777" t="str">
        <f t="shared" ref="C6777:C6785" si="1231">"PIX"</f>
        <v>PIX</v>
      </c>
      <c r="D6777" t="str">
        <f>"23873"</f>
        <v>23873</v>
      </c>
      <c r="E6777" t="str">
        <f t="shared" si="1227"/>
        <v>1</v>
      </c>
      <c r="F6777" t="str">
        <f t="shared" si="1228"/>
        <v>COM</v>
      </c>
      <c r="G6777" t="str">
        <f>"DARIO GILIARD DE BARROS OLIVEIRA (1011)"</f>
        <v>DARIO GILIARD DE BARROS OLIVEIRA (1011)</v>
      </c>
      <c r="H6777" t="str">
        <f>"Serv.Prest. 13/10/2025 a 19/10/2025 - PIX: CELULAR - CHAVE: (11) 96409-0865"</f>
        <v>Serv.Prest. 13/10/2025 a 19/10/2025 - PIX: CELULAR - CHAVE: (11) 96409-0865</v>
      </c>
      <c r="I6777" t="str">
        <f>("23/10/2025")</f>
        <v>23/10/2025</v>
      </c>
      <c r="J6777" t="str">
        <f>("20/10/2025")</f>
        <v>20/10/2025</v>
      </c>
      <c r="K6777" t="str">
        <f>("17/10/2025")</f>
        <v>17/10/2025</v>
      </c>
      <c r="L6777">
        <v>140</v>
      </c>
      <c r="M6777">
        <v>140</v>
      </c>
      <c r="N6777">
        <v>134</v>
      </c>
      <c r="O6777" t="str">
        <f>"DIARIA DE MOTOBOY"</f>
        <v>DIARIA DE MOTOBOY</v>
      </c>
      <c r="P6777">
        <v>140</v>
      </c>
      <c r="S6777" t="str">
        <f>"BANCO CORA (102)"</f>
        <v>BANCO CORA (102)</v>
      </c>
      <c r="T6777">
        <v>20092</v>
      </c>
      <c r="U6777">
        <v>24127</v>
      </c>
      <c r="V6777" t="s">
        <v>22</v>
      </c>
    </row>
    <row r="6778" spans="1:22">
      <c r="A6778" t="str">
        <f t="shared" si="1225"/>
        <v>17/10/2025</v>
      </c>
      <c r="B6778" t="str">
        <f t="shared" si="1230"/>
        <v>SAÍDA</v>
      </c>
      <c r="C6778" t="str">
        <f t="shared" si="1231"/>
        <v>PIX</v>
      </c>
      <c r="D6778" t="str">
        <f>"23873"</f>
        <v>23873</v>
      </c>
      <c r="E6778" t="str">
        <f t="shared" si="1227"/>
        <v>1</v>
      </c>
      <c r="F6778" t="str">
        <f t="shared" si="1228"/>
        <v>COM</v>
      </c>
      <c r="G6778" t="str">
        <f>"DARIO GILIARD DE BARROS OLIVEIRA (1011)"</f>
        <v>DARIO GILIARD DE BARROS OLIVEIRA (1011)</v>
      </c>
      <c r="H6778" t="s">
        <v>1855</v>
      </c>
      <c r="I6778" t="str">
        <f>("23/10/2025")</f>
        <v>23/10/2025</v>
      </c>
      <c r="J6778" t="str">
        <f>("20/10/2025")</f>
        <v>20/10/2025</v>
      </c>
      <c r="K6778">
        <v>45947</v>
      </c>
      <c r="N6778">
        <v>134</v>
      </c>
      <c r="O6778" t="s">
        <v>41</v>
      </c>
      <c r="Q6778">
        <v>70</v>
      </c>
      <c r="R6778" t="str">
        <f>"PENSE FARMA 15 (10195)"</f>
        <v>PENSE FARMA 15 (10195)</v>
      </c>
      <c r="S6778" t="s">
        <v>22</v>
      </c>
      <c r="T6778">
        <v>20092</v>
      </c>
      <c r="U6778">
        <v>24127</v>
      </c>
      <c r="V6778" t="s">
        <v>22</v>
      </c>
    </row>
    <row r="6779" spans="1:22">
      <c r="A6779" t="str">
        <f t="shared" si="1225"/>
        <v>17/10/2025</v>
      </c>
      <c r="B6779" t="str">
        <f t="shared" si="1230"/>
        <v>SAÍDA</v>
      </c>
      <c r="C6779" t="str">
        <f t="shared" si="1231"/>
        <v>PIX</v>
      </c>
      <c r="D6779" t="str">
        <f>"23873"</f>
        <v>23873</v>
      </c>
      <c r="E6779" t="str">
        <f t="shared" si="1227"/>
        <v>1</v>
      </c>
      <c r="F6779" t="str">
        <f t="shared" si="1228"/>
        <v>COM</v>
      </c>
      <c r="G6779" t="str">
        <f>"DARIO GILIARD DE BARROS OLIVEIRA (1011)"</f>
        <v>DARIO GILIARD DE BARROS OLIVEIRA (1011)</v>
      </c>
      <c r="H6779" t="s">
        <v>1855</v>
      </c>
      <c r="I6779" t="str">
        <f>("23/10/2025")</f>
        <v>23/10/2025</v>
      </c>
      <c r="J6779" t="str">
        <f>("20/10/2025")</f>
        <v>20/10/2025</v>
      </c>
      <c r="K6779">
        <v>45947</v>
      </c>
      <c r="N6779">
        <v>134</v>
      </c>
      <c r="O6779" t="s">
        <v>41</v>
      </c>
      <c r="Q6779">
        <v>70</v>
      </c>
      <c r="R6779" t="str">
        <f>"PENSE FARMA 60 (10197)"</f>
        <v>PENSE FARMA 60 (10197)</v>
      </c>
      <c r="S6779" t="s">
        <v>22</v>
      </c>
      <c r="T6779">
        <v>20092</v>
      </c>
      <c r="U6779">
        <v>24127</v>
      </c>
      <c r="V6779" t="s">
        <v>22</v>
      </c>
    </row>
    <row r="6780" spans="1:22">
      <c r="A6780" t="str">
        <f t="shared" si="1225"/>
        <v>17/10/2025</v>
      </c>
      <c r="B6780" t="str">
        <f t="shared" si="1230"/>
        <v>SAÍDA</v>
      </c>
      <c r="C6780" t="str">
        <f t="shared" si="1231"/>
        <v>PIX</v>
      </c>
      <c r="D6780" t="str">
        <f>"23955"</f>
        <v>23955</v>
      </c>
      <c r="E6780" t="str">
        <f t="shared" si="1227"/>
        <v>1</v>
      </c>
      <c r="F6780" t="str">
        <f t="shared" si="1228"/>
        <v>COM</v>
      </c>
      <c r="G6780" t="str">
        <f>"WILLIAM DA SILVA COSTA (655)"</f>
        <v>WILLIAM DA SILVA COSTA (655)</v>
      </c>
      <c r="H6780" t="str">
        <f>"PAGO PARA ULISSES SOUSA SANTOS - Serv.Prest. 13/10/2025 a 19/10/2025"</f>
        <v>PAGO PARA ULISSES SOUSA SANTOS - Serv.Prest. 13/10/2025 a 19/10/2025</v>
      </c>
      <c r="I6780" t="str">
        <f>("21/10/2025")</f>
        <v>21/10/2025</v>
      </c>
      <c r="J6780" t="str">
        <f>("21/10/2025")</f>
        <v>21/10/2025</v>
      </c>
      <c r="K6780" t="str">
        <f>("17/10/2025")</f>
        <v>17/10/2025</v>
      </c>
      <c r="L6780">
        <v>93</v>
      </c>
      <c r="M6780">
        <v>150</v>
      </c>
      <c r="N6780">
        <v>134</v>
      </c>
      <c r="O6780" t="str">
        <f>"DIARIA DE MOTOBOY"</f>
        <v>DIARIA DE MOTOBOY</v>
      </c>
      <c r="P6780">
        <v>150</v>
      </c>
      <c r="S6780" t="str">
        <f>"BANCO CORA (102)"</f>
        <v>BANCO CORA (102)</v>
      </c>
      <c r="T6780">
        <v>20100</v>
      </c>
      <c r="U6780">
        <v>24133</v>
      </c>
      <c r="V6780" t="s">
        <v>22</v>
      </c>
    </row>
    <row r="6781" spans="1:22">
      <c r="A6781" t="str">
        <f t="shared" si="1225"/>
        <v>17/10/2025</v>
      </c>
      <c r="B6781" t="str">
        <f t="shared" si="1230"/>
        <v>SAÍDA</v>
      </c>
      <c r="C6781" t="str">
        <f t="shared" si="1231"/>
        <v>PIX</v>
      </c>
      <c r="D6781" t="str">
        <f>"23955"</f>
        <v>23955</v>
      </c>
      <c r="E6781" t="str">
        <f t="shared" si="1227"/>
        <v>1</v>
      </c>
      <c r="F6781" t="str">
        <f t="shared" si="1228"/>
        <v>COM</v>
      </c>
      <c r="G6781" t="str">
        <f>"WILLIAM DA SILVA COSTA (655)"</f>
        <v>WILLIAM DA SILVA COSTA (655)</v>
      </c>
      <c r="H6781" t="s">
        <v>1620</v>
      </c>
      <c r="I6781" t="str">
        <f>("21/10/2025")</f>
        <v>21/10/2025</v>
      </c>
      <c r="J6781" t="str">
        <f>("21/10/2025")</f>
        <v>21/10/2025</v>
      </c>
      <c r="K6781">
        <v>45947</v>
      </c>
      <c r="N6781">
        <v>134</v>
      </c>
      <c r="O6781" t="s">
        <v>41</v>
      </c>
      <c r="Q6781">
        <v>150</v>
      </c>
      <c r="R6781" t="str">
        <f>"FARMACIA ECONOMIZE (10103)"</f>
        <v>FARMACIA ECONOMIZE (10103)</v>
      </c>
      <c r="S6781" t="s">
        <v>22</v>
      </c>
      <c r="T6781">
        <v>20100</v>
      </c>
      <c r="U6781">
        <v>24133</v>
      </c>
      <c r="V6781" t="s">
        <v>22</v>
      </c>
    </row>
    <row r="6782" spans="1:22">
      <c r="A6782" t="str">
        <f t="shared" si="1225"/>
        <v>17/10/2025</v>
      </c>
      <c r="B6782" t="str">
        <f t="shared" si="1230"/>
        <v>SAÍDA</v>
      </c>
      <c r="C6782" t="str">
        <f t="shared" si="1231"/>
        <v>PIX</v>
      </c>
      <c r="D6782" t="str">
        <f>"23935"</f>
        <v>23935</v>
      </c>
      <c r="E6782" t="str">
        <f t="shared" si="1227"/>
        <v>1</v>
      </c>
      <c r="F6782" t="str">
        <f t="shared" si="1228"/>
        <v>COM</v>
      </c>
      <c r="G6782" t="str">
        <f>"DIANS APARECIDO RAMOS BERALDO (795)"</f>
        <v>DIANS APARECIDO RAMOS BERALDO (795)</v>
      </c>
      <c r="H6782" t="str">
        <f>"Serv.Prest. 13/10/2025 a 19/10/2025 - PIX: CELULAR - CHAVE: (11) 95530-0331"</f>
        <v>Serv.Prest. 13/10/2025 a 19/10/2025 - PIX: CELULAR - CHAVE: (11) 95530-0331</v>
      </c>
      <c r="I6782" t="str">
        <f>("23/10/2025")</f>
        <v>23/10/2025</v>
      </c>
      <c r="J6782" t="str">
        <f>("21/10/2025")</f>
        <v>21/10/2025</v>
      </c>
      <c r="K6782" t="str">
        <f>("17/10/2025")</f>
        <v>17/10/2025</v>
      </c>
      <c r="L6782">
        <v>80</v>
      </c>
      <c r="M6782">
        <v>130</v>
      </c>
      <c r="N6782">
        <v>109</v>
      </c>
      <c r="O6782" t="str">
        <f>"PAGAMENTO DE ENTREGADORES"</f>
        <v>PAGAMENTO DE ENTREGADORES</v>
      </c>
      <c r="P6782">
        <v>130</v>
      </c>
      <c r="S6782" t="str">
        <f>"BANCO CORA (102)"</f>
        <v>BANCO CORA (102)</v>
      </c>
      <c r="T6782">
        <v>20104</v>
      </c>
      <c r="U6782">
        <v>24139</v>
      </c>
      <c r="V6782" t="s">
        <v>22</v>
      </c>
    </row>
    <row r="6783" spans="1:22">
      <c r="A6783" t="str">
        <f t="shared" si="1225"/>
        <v>17/10/2025</v>
      </c>
      <c r="B6783" t="str">
        <f t="shared" si="1230"/>
        <v>SAÍDA</v>
      </c>
      <c r="C6783" t="str">
        <f t="shared" si="1231"/>
        <v>PIX</v>
      </c>
      <c r="D6783" t="str">
        <f>"23935"</f>
        <v>23935</v>
      </c>
      <c r="E6783" t="str">
        <f t="shared" si="1227"/>
        <v>1</v>
      </c>
      <c r="F6783" t="str">
        <f t="shared" si="1228"/>
        <v>COM</v>
      </c>
      <c r="G6783" t="str">
        <f>"DIANS APARECIDO RAMOS BERALDO (795)"</f>
        <v>DIANS APARECIDO RAMOS BERALDO (795)</v>
      </c>
      <c r="H6783" t="s">
        <v>1849</v>
      </c>
      <c r="I6783" t="str">
        <f>("23/10/2025")</f>
        <v>23/10/2025</v>
      </c>
      <c r="J6783" t="str">
        <f>("21/10/2025")</f>
        <v>21/10/2025</v>
      </c>
      <c r="K6783">
        <v>45947</v>
      </c>
      <c r="N6783">
        <v>109</v>
      </c>
      <c r="O6783" t="s">
        <v>24</v>
      </c>
      <c r="Q6783">
        <v>130</v>
      </c>
      <c r="R6783" t="str">
        <f>"DROGARIA TOTAL JUNDIAI (10177)"</f>
        <v>DROGARIA TOTAL JUNDIAI (10177)</v>
      </c>
      <c r="S6783" t="s">
        <v>22</v>
      </c>
      <c r="T6783">
        <v>20104</v>
      </c>
      <c r="U6783">
        <v>24139</v>
      </c>
      <c r="V6783" t="s">
        <v>22</v>
      </c>
    </row>
    <row r="6784" spans="1:22">
      <c r="A6784" t="str">
        <f t="shared" si="1225"/>
        <v>17/10/2025</v>
      </c>
      <c r="B6784" t="str">
        <f t="shared" si="1230"/>
        <v>SAÍDA</v>
      </c>
      <c r="C6784" t="str">
        <f t="shared" si="1231"/>
        <v>PIX</v>
      </c>
      <c r="D6784" t="str">
        <f>"23691"</f>
        <v>23691</v>
      </c>
      <c r="E6784" t="str">
        <f t="shared" si="1227"/>
        <v>1</v>
      </c>
      <c r="F6784" t="str">
        <f t="shared" si="1228"/>
        <v>COM</v>
      </c>
      <c r="G6784" t="str">
        <f>"LUIZ PAULO LOUREIRO PRADO (475)"</f>
        <v>LUIZ PAULO LOUREIRO PRADO (475)</v>
      </c>
      <c r="H6784" t="str">
        <f>"Serv.Prest. 06/10/2025 a 12/10/2025 - PIX: CPF - CHAVE: 159.443.306-27"</f>
        <v>Serv.Prest. 06/10/2025 a 12/10/2025 - PIX: CPF - CHAVE: 159.443.306-27</v>
      </c>
      <c r="I6784" t="str">
        <f>("17/10/2025")</f>
        <v>17/10/2025</v>
      </c>
      <c r="J6784" t="str">
        <f>("14/10/2025")</f>
        <v>14/10/2025</v>
      </c>
      <c r="K6784" t="str">
        <f>("17/10/2025")</f>
        <v>17/10/2025</v>
      </c>
      <c r="L6784">
        <v>700</v>
      </c>
      <c r="M6784">
        <v>700</v>
      </c>
      <c r="N6784">
        <v>109</v>
      </c>
      <c r="O6784" t="str">
        <f>"PAGAMENTO DE ENTREGADORES"</f>
        <v>PAGAMENTO DE ENTREGADORES</v>
      </c>
      <c r="P6784">
        <v>700</v>
      </c>
      <c r="S6784" t="str">
        <f>"BANCO CORA (102)"</f>
        <v>BANCO CORA (102)</v>
      </c>
      <c r="T6784">
        <v>20109</v>
      </c>
      <c r="U6784">
        <v>23970</v>
      </c>
      <c r="V6784" t="s">
        <v>22</v>
      </c>
    </row>
    <row r="6785" spans="1:22">
      <c r="A6785" t="str">
        <f t="shared" si="1225"/>
        <v>17/10/2025</v>
      </c>
      <c r="B6785" t="str">
        <f t="shared" si="1230"/>
        <v>SAÍDA</v>
      </c>
      <c r="C6785" t="str">
        <f t="shared" si="1231"/>
        <v>PIX</v>
      </c>
      <c r="D6785" t="str">
        <f>"23691"</f>
        <v>23691</v>
      </c>
      <c r="E6785" t="str">
        <f t="shared" si="1227"/>
        <v>1</v>
      </c>
      <c r="F6785" t="str">
        <f t="shared" si="1228"/>
        <v>COM</v>
      </c>
      <c r="G6785" t="str">
        <f>"LUIZ PAULO LOUREIRO PRADO (475)"</f>
        <v>LUIZ PAULO LOUREIRO PRADO (475)</v>
      </c>
      <c r="H6785" t="s">
        <v>1856</v>
      </c>
      <c r="I6785" t="str">
        <f>("17/10/2025")</f>
        <v>17/10/2025</v>
      </c>
      <c r="J6785" t="str">
        <f>("14/10/2025")</f>
        <v>14/10/2025</v>
      </c>
      <c r="K6785">
        <v>45947</v>
      </c>
      <c r="N6785">
        <v>109</v>
      </c>
      <c r="O6785" t="s">
        <v>24</v>
      </c>
      <c r="Q6785">
        <v>700</v>
      </c>
      <c r="R6785" t="str">
        <f>"FARMÁCIA INDIANA LJ 121 (10054)"</f>
        <v>FARMÁCIA INDIANA LJ 121 (10054)</v>
      </c>
      <c r="S6785" t="s">
        <v>22</v>
      </c>
      <c r="T6785">
        <v>20109</v>
      </c>
      <c r="U6785">
        <v>23970</v>
      </c>
      <c r="V6785" t="s">
        <v>22</v>
      </c>
    </row>
    <row r="6786" spans="1:22">
      <c r="A6786" t="str">
        <f t="shared" si="1225"/>
        <v>17/10/2025</v>
      </c>
      <c r="B6786" t="str">
        <f>"ENTRADA"</f>
        <v>ENTRADA</v>
      </c>
      <c r="C6786" t="str">
        <f>"NFSE"</f>
        <v>NFSE</v>
      </c>
      <c r="D6786" t="str">
        <f>"3480"</f>
        <v>3480</v>
      </c>
      <c r="E6786" t="str">
        <f t="shared" si="1227"/>
        <v>1</v>
      </c>
      <c r="F6786" t="str">
        <f t="shared" si="1228"/>
        <v>COM</v>
      </c>
      <c r="G6786" t="str">
        <f>"DROGARIA TOTAL JUNDIAI (10177)"</f>
        <v>DROGARIA TOTAL JUNDIAI (10177)</v>
      </c>
      <c r="H6786" t="str">
        <f>"Serv.Prest. 06/10/2025 a 12/10/2025 - RPS: 1356 - NFSe: 3480"</f>
        <v>Serv.Prest. 06/10/2025 a 12/10/2025 - RPS: 1356 - NFSe: 3480</v>
      </c>
      <c r="I6786" t="str">
        <f>("15/10/2025")</f>
        <v>15/10/2025</v>
      </c>
      <c r="J6786" t="str">
        <f>("13/10/2025")</f>
        <v>13/10/2025</v>
      </c>
      <c r="K6786" t="str">
        <f>("17/10/2025")</f>
        <v>17/10/2025</v>
      </c>
      <c r="L6786">
        <v>902.42</v>
      </c>
      <c r="M6786">
        <v>920.76</v>
      </c>
      <c r="N6786">
        <v>303</v>
      </c>
      <c r="O6786" t="str">
        <f>"RECEITAS COM ENTREGAS"</f>
        <v>RECEITAS COM ENTREGAS</v>
      </c>
      <c r="P6786">
        <v>920.76</v>
      </c>
      <c r="S6786" t="str">
        <f>"RECEITAS COM ENTREGAS (303)"</f>
        <v>RECEITAS COM ENTREGAS (303)</v>
      </c>
      <c r="T6786">
        <v>22505</v>
      </c>
      <c r="U6786">
        <v>23557</v>
      </c>
      <c r="V6786" t="s">
        <v>22</v>
      </c>
    </row>
    <row r="6787" spans="1:22">
      <c r="A6787" t="str">
        <f t="shared" si="1225"/>
        <v>17/10/2025</v>
      </c>
      <c r="B6787" t="str">
        <f>"ENTRADA"</f>
        <v>ENTRADA</v>
      </c>
      <c r="C6787" t="str">
        <f>"NFSE"</f>
        <v>NFSE</v>
      </c>
      <c r="D6787" t="str">
        <f>"3480"</f>
        <v>3480</v>
      </c>
      <c r="E6787" t="str">
        <f t="shared" si="1227"/>
        <v>1</v>
      </c>
      <c r="F6787" t="str">
        <f t="shared" si="1228"/>
        <v>COM</v>
      </c>
      <c r="G6787" t="str">
        <f>"DROGARIA TOTAL JUNDIAI (10177)"</f>
        <v>DROGARIA TOTAL JUNDIAI (10177)</v>
      </c>
      <c r="H6787" t="s">
        <v>1857</v>
      </c>
      <c r="I6787" t="str">
        <f>("15/10/2025")</f>
        <v>15/10/2025</v>
      </c>
      <c r="J6787" t="str">
        <f>("13/10/2025")</f>
        <v>13/10/2025</v>
      </c>
      <c r="K6787">
        <v>45947</v>
      </c>
      <c r="N6787">
        <v>303</v>
      </c>
      <c r="O6787" t="s">
        <v>69</v>
      </c>
      <c r="Q6787">
        <v>920.76</v>
      </c>
      <c r="R6787" t="str">
        <f>"DROGARIA TOTAL JUNDIAI (10177)"</f>
        <v>DROGARIA TOTAL JUNDIAI (10177)</v>
      </c>
      <c r="S6787" t="s">
        <v>70</v>
      </c>
      <c r="T6787">
        <v>22505</v>
      </c>
      <c r="U6787">
        <v>23557</v>
      </c>
      <c r="V6787" t="s">
        <v>22</v>
      </c>
    </row>
    <row r="6788" spans="1:22">
      <c r="A6788" t="str">
        <f t="shared" si="1225"/>
        <v>17/10/2025</v>
      </c>
      <c r="B6788" t="str">
        <f t="shared" ref="B6788:B6817" si="1232">"SAÍDA"</f>
        <v>SAÍDA</v>
      </c>
      <c r="C6788" t="str">
        <f>"CONHECIMENTO"</f>
        <v>CONHECIMENTO</v>
      </c>
      <c r="D6788" t="str">
        <f>"01092025"</f>
        <v>01092025</v>
      </c>
      <c r="E6788" t="str">
        <f>"2"</f>
        <v>2</v>
      </c>
      <c r="F6788" t="str">
        <f t="shared" si="1228"/>
        <v>COM</v>
      </c>
      <c r="G6788" t="str">
        <f>"CORA SOCIEDADE DE CREDITO, FINANCIAMENTO E INVESTIMENTO (20035)"</f>
        <v>CORA SOCIEDADE DE CREDITO, FINANCIAMENTO E INVESTIMENTO (20035)</v>
      </c>
      <c r="H6788" t="str">
        <f>"TAXA BOLETO "</f>
        <v xml:space="preserve">TAXA BOLETO </v>
      </c>
      <c r="I6788" t="str">
        <f>("17/10/2025")</f>
        <v>17/10/2025</v>
      </c>
      <c r="J6788" t="str">
        <f>("01/09/2025")</f>
        <v>01/09/2025</v>
      </c>
      <c r="K6788" t="str">
        <f>("17/10/2025")</f>
        <v>17/10/2025</v>
      </c>
      <c r="L6788">
        <v>0.3</v>
      </c>
      <c r="M6788">
        <v>0.3</v>
      </c>
      <c r="N6788">
        <v>401</v>
      </c>
      <c r="O6788" t="str">
        <f>"IOF/JUROS/DESP.FINANCEIRA"</f>
        <v>IOF/JUROS/DESP.FINANCEIRA</v>
      </c>
      <c r="P6788">
        <v>0.3</v>
      </c>
      <c r="S6788" t="str">
        <f>"BANCO CORA (102)"</f>
        <v>BANCO CORA (102)</v>
      </c>
      <c r="T6788">
        <v>22506</v>
      </c>
      <c r="U6788">
        <v>26409</v>
      </c>
      <c r="V6788" t="s">
        <v>22</v>
      </c>
    </row>
    <row r="6789" spans="1:22">
      <c r="A6789" t="str">
        <f t="shared" si="1225"/>
        <v>17/10/2025</v>
      </c>
      <c r="B6789" t="str">
        <f t="shared" si="1232"/>
        <v>SAÍDA</v>
      </c>
      <c r="C6789" t="str">
        <f>"CONHECIMENTO"</f>
        <v>CONHECIMENTO</v>
      </c>
      <c r="D6789" t="str">
        <f>"01092025"</f>
        <v>01092025</v>
      </c>
      <c r="E6789" t="str">
        <f>"2"</f>
        <v>2</v>
      </c>
      <c r="F6789" t="str">
        <f t="shared" si="1228"/>
        <v>COM</v>
      </c>
      <c r="G6789" t="str">
        <f>"CORA SOCIEDADE DE CREDITO, FINANCIAMENTO E INVESTIMENTO (20035)"</f>
        <v>CORA SOCIEDADE DE CREDITO, FINANCIAMENTO E INVESTIMENTO (20035)</v>
      </c>
      <c r="H6789" t="s">
        <v>75</v>
      </c>
      <c r="I6789" t="str">
        <f>("17/10/2025")</f>
        <v>17/10/2025</v>
      </c>
      <c r="J6789" t="str">
        <f>("01/09/2025")</f>
        <v>01/09/2025</v>
      </c>
      <c r="K6789">
        <v>45947</v>
      </c>
      <c r="N6789">
        <v>401</v>
      </c>
      <c r="O6789" t="s">
        <v>76</v>
      </c>
      <c r="Q6789">
        <v>0.3</v>
      </c>
      <c r="R6789" t="str">
        <f>"CORA SOCIEDADE DE CREDITO, FINANCIAMENTO E INVESTIMENTO (20035)"</f>
        <v>CORA SOCIEDADE DE CREDITO, FINANCIAMENTO E INVESTIMENTO (20035)</v>
      </c>
      <c r="S6789" t="s">
        <v>22</v>
      </c>
      <c r="T6789">
        <v>22506</v>
      </c>
      <c r="U6789">
        <v>26409</v>
      </c>
      <c r="V6789" t="s">
        <v>22</v>
      </c>
    </row>
    <row r="6790" spans="1:22">
      <c r="A6790" t="str">
        <f t="shared" ref="A6790:A6798" si="1233">("18/10/2025")</f>
        <v>18/10/2025</v>
      </c>
      <c r="B6790" t="str">
        <f t="shared" si="1232"/>
        <v>SAÍDA</v>
      </c>
      <c r="C6790" t="str">
        <f t="shared" ref="C6790:C6809" si="1234">"PIX"</f>
        <v>PIX</v>
      </c>
      <c r="D6790" t="str">
        <f>"23873"</f>
        <v>23873</v>
      </c>
      <c r="E6790" t="str">
        <f t="shared" ref="E6790:E6796" si="1235">"1"</f>
        <v>1</v>
      </c>
      <c r="F6790" t="str">
        <f t="shared" si="1228"/>
        <v>COM</v>
      </c>
      <c r="G6790" t="str">
        <f>"DARIO GILIARD DE BARROS OLIVEIRA (1011)"</f>
        <v>DARIO GILIARD DE BARROS OLIVEIRA (1011)</v>
      </c>
      <c r="H6790" t="str">
        <f>"Serv.Prest. 13/10/2025 a 19/10/2025 - PIX: CELULAR - CHAVE: (11) 96409-0865"</f>
        <v>Serv.Prest. 13/10/2025 a 19/10/2025 - PIX: CELULAR - CHAVE: (11) 96409-0865</v>
      </c>
      <c r="I6790" t="str">
        <f>("21/10/2025")</f>
        <v>21/10/2025</v>
      </c>
      <c r="J6790" t="str">
        <f>("20/10/2025")</f>
        <v>20/10/2025</v>
      </c>
      <c r="K6790" t="str">
        <f>("18/10/2025")</f>
        <v>18/10/2025</v>
      </c>
      <c r="L6790">
        <v>150</v>
      </c>
      <c r="M6790">
        <v>160</v>
      </c>
      <c r="N6790">
        <v>134</v>
      </c>
      <c r="O6790" t="str">
        <f>"DIARIA DE MOTOBOY"</f>
        <v>DIARIA DE MOTOBOY</v>
      </c>
      <c r="P6790">
        <v>160</v>
      </c>
      <c r="S6790" t="str">
        <f>"BANCO CORA (102)"</f>
        <v>BANCO CORA (102)</v>
      </c>
      <c r="T6790">
        <v>20093</v>
      </c>
      <c r="U6790">
        <v>23873</v>
      </c>
      <c r="V6790" t="s">
        <v>22</v>
      </c>
    </row>
    <row r="6791" spans="1:22">
      <c r="A6791" t="str">
        <f t="shared" si="1233"/>
        <v>18/10/2025</v>
      </c>
      <c r="B6791" t="str">
        <f t="shared" si="1232"/>
        <v>SAÍDA</v>
      </c>
      <c r="C6791" t="str">
        <f t="shared" si="1234"/>
        <v>PIX</v>
      </c>
      <c r="D6791" t="str">
        <f>"23873"</f>
        <v>23873</v>
      </c>
      <c r="E6791" t="str">
        <f t="shared" si="1235"/>
        <v>1</v>
      </c>
      <c r="F6791" t="str">
        <f t="shared" si="1228"/>
        <v>COM</v>
      </c>
      <c r="G6791" t="str">
        <f>"DARIO GILIARD DE BARROS OLIVEIRA (1011)"</f>
        <v>DARIO GILIARD DE BARROS OLIVEIRA (1011)</v>
      </c>
      <c r="H6791" t="s">
        <v>1855</v>
      </c>
      <c r="I6791" t="str">
        <f>("21/10/2025")</f>
        <v>21/10/2025</v>
      </c>
      <c r="J6791" t="str">
        <f>("20/10/2025")</f>
        <v>20/10/2025</v>
      </c>
      <c r="K6791">
        <v>45948</v>
      </c>
      <c r="N6791">
        <v>134</v>
      </c>
      <c r="O6791" t="s">
        <v>41</v>
      </c>
      <c r="Q6791">
        <v>80</v>
      </c>
      <c r="R6791" t="str">
        <f>"PENSE FARMA 15 (10195)"</f>
        <v>PENSE FARMA 15 (10195)</v>
      </c>
      <c r="S6791" t="s">
        <v>22</v>
      </c>
      <c r="T6791">
        <v>20093</v>
      </c>
      <c r="U6791">
        <v>23873</v>
      </c>
      <c r="V6791" t="s">
        <v>22</v>
      </c>
    </row>
    <row r="6792" spans="1:22">
      <c r="A6792" t="str">
        <f t="shared" si="1233"/>
        <v>18/10/2025</v>
      </c>
      <c r="B6792" t="str">
        <f t="shared" si="1232"/>
        <v>SAÍDA</v>
      </c>
      <c r="C6792" t="str">
        <f t="shared" si="1234"/>
        <v>PIX</v>
      </c>
      <c r="D6792" t="str">
        <f>"23873"</f>
        <v>23873</v>
      </c>
      <c r="E6792" t="str">
        <f t="shared" si="1235"/>
        <v>1</v>
      </c>
      <c r="F6792" t="str">
        <f t="shared" si="1228"/>
        <v>COM</v>
      </c>
      <c r="G6792" t="str">
        <f>"DARIO GILIARD DE BARROS OLIVEIRA (1011)"</f>
        <v>DARIO GILIARD DE BARROS OLIVEIRA (1011)</v>
      </c>
      <c r="H6792" t="s">
        <v>1855</v>
      </c>
      <c r="I6792" t="str">
        <f>("21/10/2025")</f>
        <v>21/10/2025</v>
      </c>
      <c r="J6792" t="str">
        <f>("20/10/2025")</f>
        <v>20/10/2025</v>
      </c>
      <c r="K6792">
        <v>45948</v>
      </c>
      <c r="N6792">
        <v>134</v>
      </c>
      <c r="O6792" t="s">
        <v>41</v>
      </c>
      <c r="Q6792">
        <v>80</v>
      </c>
      <c r="R6792" t="str">
        <f>"PENSE FARMA 60 (10197)"</f>
        <v>PENSE FARMA 60 (10197)</v>
      </c>
      <c r="S6792" t="s">
        <v>22</v>
      </c>
      <c r="T6792">
        <v>20093</v>
      </c>
      <c r="U6792">
        <v>23873</v>
      </c>
      <c r="V6792" t="s">
        <v>22</v>
      </c>
    </row>
    <row r="6793" spans="1:22">
      <c r="A6793" t="str">
        <f t="shared" si="1233"/>
        <v>18/10/2025</v>
      </c>
      <c r="B6793" t="str">
        <f t="shared" si="1232"/>
        <v>SAÍDA</v>
      </c>
      <c r="C6793" t="str">
        <f t="shared" si="1234"/>
        <v>PIX</v>
      </c>
      <c r="D6793" t="str">
        <f>"23955"</f>
        <v>23955</v>
      </c>
      <c r="E6793" t="str">
        <f t="shared" si="1235"/>
        <v>1</v>
      </c>
      <c r="F6793" t="str">
        <f t="shared" si="1228"/>
        <v>COM</v>
      </c>
      <c r="G6793" t="str">
        <f>"WILLIAM DA SILVA COSTA (655)"</f>
        <v>WILLIAM DA SILVA COSTA (655)</v>
      </c>
      <c r="H6793" t="str">
        <f>"PAGO PARA ULISSES SOUSA SANTOS - Serv.Prest. 13/10/2025 a 19/10/2025"</f>
        <v>PAGO PARA ULISSES SOUSA SANTOS - Serv.Prest. 13/10/2025 a 19/10/2025</v>
      </c>
      <c r="I6793" t="str">
        <f>("21/10/2025")</f>
        <v>21/10/2025</v>
      </c>
      <c r="J6793" t="str">
        <f>("21/10/2025")</f>
        <v>21/10/2025</v>
      </c>
      <c r="K6793" t="str">
        <f>("18/10/2025")</f>
        <v>18/10/2025</v>
      </c>
      <c r="L6793">
        <v>93</v>
      </c>
      <c r="M6793">
        <v>150</v>
      </c>
      <c r="N6793">
        <v>134</v>
      </c>
      <c r="O6793" t="str">
        <f>"DIARIA DE MOTOBOY"</f>
        <v>DIARIA DE MOTOBOY</v>
      </c>
      <c r="P6793">
        <v>150</v>
      </c>
      <c r="S6793" t="str">
        <f>"BANCO CORA (102)"</f>
        <v>BANCO CORA (102)</v>
      </c>
      <c r="T6793">
        <v>20101</v>
      </c>
      <c r="U6793">
        <v>24134</v>
      </c>
      <c r="V6793" t="s">
        <v>22</v>
      </c>
    </row>
    <row r="6794" spans="1:22">
      <c r="A6794" t="str">
        <f t="shared" si="1233"/>
        <v>18/10/2025</v>
      </c>
      <c r="B6794" t="str">
        <f t="shared" si="1232"/>
        <v>SAÍDA</v>
      </c>
      <c r="C6794" t="str">
        <f t="shared" si="1234"/>
        <v>PIX</v>
      </c>
      <c r="D6794" t="str">
        <f>"23955"</f>
        <v>23955</v>
      </c>
      <c r="E6794" t="str">
        <f t="shared" si="1235"/>
        <v>1</v>
      </c>
      <c r="F6794" t="str">
        <f t="shared" si="1228"/>
        <v>COM</v>
      </c>
      <c r="G6794" t="str">
        <f>"WILLIAM DA SILVA COSTA (655)"</f>
        <v>WILLIAM DA SILVA COSTA (655)</v>
      </c>
      <c r="H6794" t="s">
        <v>1620</v>
      </c>
      <c r="I6794" t="str">
        <f>("21/10/2025")</f>
        <v>21/10/2025</v>
      </c>
      <c r="J6794" t="str">
        <f>("21/10/2025")</f>
        <v>21/10/2025</v>
      </c>
      <c r="K6794">
        <v>45948</v>
      </c>
      <c r="N6794">
        <v>134</v>
      </c>
      <c r="O6794" t="s">
        <v>41</v>
      </c>
      <c r="Q6794">
        <v>150</v>
      </c>
      <c r="R6794" t="str">
        <f>"FARMACIA ECONOMIZE (10103)"</f>
        <v>FARMACIA ECONOMIZE (10103)</v>
      </c>
      <c r="S6794" t="s">
        <v>22</v>
      </c>
      <c r="T6794">
        <v>20101</v>
      </c>
      <c r="U6794">
        <v>24134</v>
      </c>
      <c r="V6794" t="s">
        <v>22</v>
      </c>
    </row>
    <row r="6795" spans="1:22">
      <c r="A6795" t="str">
        <f t="shared" si="1233"/>
        <v>18/10/2025</v>
      </c>
      <c r="B6795" t="str">
        <f t="shared" si="1232"/>
        <v>SAÍDA</v>
      </c>
      <c r="C6795" t="str">
        <f t="shared" si="1234"/>
        <v>PIX</v>
      </c>
      <c r="D6795" t="str">
        <f>"23935"</f>
        <v>23935</v>
      </c>
      <c r="E6795" t="str">
        <f t="shared" si="1235"/>
        <v>1</v>
      </c>
      <c r="F6795" t="str">
        <f t="shared" si="1228"/>
        <v>COM</v>
      </c>
      <c r="G6795" t="str">
        <f>"DIANS APARECIDO RAMOS BERALDO (795)"</f>
        <v>DIANS APARECIDO RAMOS BERALDO (795)</v>
      </c>
      <c r="H6795" t="str">
        <f>"Serv.Prest. 13/10/2025 a 19/10/2025 - PIX: CELULAR - CHAVE: (11) 95530-0331"</f>
        <v>Serv.Prest. 13/10/2025 a 19/10/2025 - PIX: CELULAR - CHAVE: (11) 95530-0331</v>
      </c>
      <c r="I6795" t="str">
        <f>("23/10/2025")</f>
        <v>23/10/2025</v>
      </c>
      <c r="J6795" t="str">
        <f>("21/10/2025")</f>
        <v>21/10/2025</v>
      </c>
      <c r="K6795" t="str">
        <f>("18/10/2025")</f>
        <v>18/10/2025</v>
      </c>
      <c r="L6795">
        <v>130</v>
      </c>
      <c r="M6795">
        <v>130</v>
      </c>
      <c r="N6795">
        <v>134</v>
      </c>
      <c r="O6795" t="str">
        <f>"DIARIA DE MOTOBOY"</f>
        <v>DIARIA DE MOTOBOY</v>
      </c>
      <c r="P6795">
        <v>130</v>
      </c>
      <c r="S6795" t="str">
        <f>"BANCO CORA (102)"</f>
        <v>BANCO CORA (102)</v>
      </c>
      <c r="T6795">
        <v>20108</v>
      </c>
      <c r="U6795">
        <v>24141</v>
      </c>
      <c r="V6795" t="s">
        <v>22</v>
      </c>
    </row>
    <row r="6796" spans="1:22">
      <c r="A6796" t="str">
        <f t="shared" si="1233"/>
        <v>18/10/2025</v>
      </c>
      <c r="B6796" t="str">
        <f t="shared" si="1232"/>
        <v>SAÍDA</v>
      </c>
      <c r="C6796" t="str">
        <f t="shared" si="1234"/>
        <v>PIX</v>
      </c>
      <c r="D6796" t="str">
        <f>"23935"</f>
        <v>23935</v>
      </c>
      <c r="E6796" t="str">
        <f t="shared" si="1235"/>
        <v>1</v>
      </c>
      <c r="F6796" t="str">
        <f t="shared" si="1228"/>
        <v>COM</v>
      </c>
      <c r="G6796" t="str">
        <f>"DIANS APARECIDO RAMOS BERALDO (795)"</f>
        <v>DIANS APARECIDO RAMOS BERALDO (795)</v>
      </c>
      <c r="H6796" t="s">
        <v>1849</v>
      </c>
      <c r="I6796" t="str">
        <f>("23/10/2025")</f>
        <v>23/10/2025</v>
      </c>
      <c r="J6796" t="str">
        <f>("21/10/2025")</f>
        <v>21/10/2025</v>
      </c>
      <c r="K6796">
        <v>45948</v>
      </c>
      <c r="N6796">
        <v>134</v>
      </c>
      <c r="O6796" t="s">
        <v>41</v>
      </c>
      <c r="Q6796">
        <v>130</v>
      </c>
      <c r="R6796" t="str">
        <f>"DROGARIA TOTAL JUNDIAI (10177)"</f>
        <v>DROGARIA TOTAL JUNDIAI (10177)</v>
      </c>
      <c r="S6796" t="s">
        <v>22</v>
      </c>
      <c r="T6796">
        <v>20108</v>
      </c>
      <c r="U6796">
        <v>24141</v>
      </c>
      <c r="V6796" t="s">
        <v>22</v>
      </c>
    </row>
    <row r="6797" spans="1:22">
      <c r="A6797" t="str">
        <f t="shared" si="1233"/>
        <v>18/10/2025</v>
      </c>
      <c r="B6797" t="str">
        <f t="shared" si="1232"/>
        <v>SAÍDA</v>
      </c>
      <c r="C6797" t="str">
        <f t="shared" si="1234"/>
        <v>PIX</v>
      </c>
      <c r="D6797" t="str">
        <f>"1810"</f>
        <v>1810</v>
      </c>
      <c r="E6797" t="str">
        <f>"25"</f>
        <v>25</v>
      </c>
      <c r="F6797" t="str">
        <f t="shared" si="1228"/>
        <v>COM</v>
      </c>
      <c r="G6797" t="str">
        <f>"CASSIO DIAS RIBEIRO (32)"</f>
        <v>CASSIO DIAS RIBEIRO (32)</v>
      </c>
      <c r="H6797" t="str">
        <f>"ADIANTAMENTO"</f>
        <v>ADIANTAMENTO</v>
      </c>
      <c r="I6797" t="str">
        <f>("18/10/2025")</f>
        <v>18/10/2025</v>
      </c>
      <c r="J6797" t="str">
        <f>("18/10/2025")</f>
        <v>18/10/2025</v>
      </c>
      <c r="K6797" t="str">
        <f>("18/10/2025")</f>
        <v>18/10/2025</v>
      </c>
      <c r="L6797">
        <v>300</v>
      </c>
      <c r="M6797">
        <v>300</v>
      </c>
      <c r="N6797">
        <v>5000</v>
      </c>
      <c r="O6797" t="str">
        <f>"SOLICITACAO DE ADIANTAMENTO"</f>
        <v>SOLICITACAO DE ADIANTAMENTO</v>
      </c>
      <c r="P6797">
        <v>300</v>
      </c>
      <c r="S6797" t="str">
        <f>"BANCO CORA (102)"</f>
        <v>BANCO CORA (102)</v>
      </c>
      <c r="T6797">
        <v>21286</v>
      </c>
      <c r="U6797">
        <v>25895</v>
      </c>
      <c r="V6797" t="s">
        <v>22</v>
      </c>
    </row>
    <row r="6798" spans="1:22">
      <c r="A6798" t="str">
        <f t="shared" si="1233"/>
        <v>18/10/2025</v>
      </c>
      <c r="B6798" t="str">
        <f t="shared" si="1232"/>
        <v>SAÍDA</v>
      </c>
      <c r="C6798" t="str">
        <f t="shared" si="1234"/>
        <v>PIX</v>
      </c>
      <c r="D6798" t="str">
        <f>"1810"</f>
        <v>1810</v>
      </c>
      <c r="E6798" t="str">
        <f>"25"</f>
        <v>25</v>
      </c>
      <c r="F6798" t="str">
        <f t="shared" si="1228"/>
        <v>COM</v>
      </c>
      <c r="G6798" t="str">
        <f>"CASSIO DIAS RIBEIRO (32)"</f>
        <v>CASSIO DIAS RIBEIRO (32)</v>
      </c>
      <c r="H6798" t="s">
        <v>85</v>
      </c>
      <c r="I6798" t="str">
        <f>("18/10/2025")</f>
        <v>18/10/2025</v>
      </c>
      <c r="J6798" t="str">
        <f>("18/10/2025")</f>
        <v>18/10/2025</v>
      </c>
      <c r="K6798">
        <v>45948</v>
      </c>
      <c r="N6798">
        <v>5000</v>
      </c>
      <c r="O6798" t="s">
        <v>86</v>
      </c>
      <c r="Q6798">
        <v>300</v>
      </c>
      <c r="R6798" t="str">
        <f>"CASSIO DIAS RIBEIRO (32)"</f>
        <v>CASSIO DIAS RIBEIRO (32)</v>
      </c>
      <c r="S6798" t="s">
        <v>22</v>
      </c>
      <c r="T6798">
        <v>21286</v>
      </c>
      <c r="U6798">
        <v>25895</v>
      </c>
      <c r="V6798" t="s">
        <v>22</v>
      </c>
    </row>
    <row r="6799" spans="1:22">
      <c r="A6799" t="str">
        <f>("19/10/2025")</f>
        <v>19/10/2025</v>
      </c>
      <c r="B6799" t="str">
        <f t="shared" si="1232"/>
        <v>SAÍDA</v>
      </c>
      <c r="C6799" t="str">
        <f t="shared" si="1234"/>
        <v>PIX</v>
      </c>
      <c r="D6799" t="str">
        <f>"23900"</f>
        <v>23900</v>
      </c>
      <c r="E6799" t="str">
        <f t="shared" ref="E6799:E6809" si="1236">"1"</f>
        <v>1</v>
      </c>
      <c r="F6799" t="str">
        <f t="shared" si="1228"/>
        <v>COM</v>
      </c>
      <c r="G6799" t="str">
        <f>"PAULO EDUARDO FALCAO (1014)"</f>
        <v>PAULO EDUARDO FALCAO (1014)</v>
      </c>
      <c r="H6799" t="str">
        <f>"Serv.Prest. 13/10/2025 a 19/10/2025 - PIX: CPF - CHAVE: 281.600.398-16"</f>
        <v>Serv.Prest. 13/10/2025 a 19/10/2025 - PIX: CPF - CHAVE: 281.600.398-16</v>
      </c>
      <c r="I6799" t="str">
        <f>("20/10/2025")</f>
        <v>20/10/2025</v>
      </c>
      <c r="J6799" t="str">
        <f>("20/10/2025")</f>
        <v>20/10/2025</v>
      </c>
      <c r="K6799" t="str">
        <f>("19/10/2025")</f>
        <v>19/10/2025</v>
      </c>
      <c r="L6799">
        <v>170</v>
      </c>
      <c r="M6799">
        <v>170</v>
      </c>
      <c r="N6799">
        <v>134</v>
      </c>
      <c r="O6799" t="str">
        <f>"DIARIA DE MOTOBOY"</f>
        <v>DIARIA DE MOTOBOY</v>
      </c>
      <c r="P6799">
        <v>170</v>
      </c>
      <c r="S6799" t="str">
        <f>"BANCO CORA (102)"</f>
        <v>BANCO CORA (102)</v>
      </c>
      <c r="T6799">
        <v>20087</v>
      </c>
      <c r="U6799">
        <v>23900</v>
      </c>
      <c r="V6799" t="s">
        <v>22</v>
      </c>
    </row>
    <row r="6800" spans="1:22">
      <c r="A6800" t="str">
        <f>("19/10/2025")</f>
        <v>19/10/2025</v>
      </c>
      <c r="B6800" t="str">
        <f t="shared" si="1232"/>
        <v>SAÍDA</v>
      </c>
      <c r="C6800" t="str">
        <f t="shared" si="1234"/>
        <v>PIX</v>
      </c>
      <c r="D6800" t="str">
        <f>"23900"</f>
        <v>23900</v>
      </c>
      <c r="E6800" t="str">
        <f t="shared" si="1236"/>
        <v>1</v>
      </c>
      <c r="F6800" t="str">
        <f t="shared" si="1228"/>
        <v>COM</v>
      </c>
      <c r="G6800" t="str">
        <f>"PAULO EDUARDO FALCAO (1014)"</f>
        <v>PAULO EDUARDO FALCAO (1014)</v>
      </c>
      <c r="H6800" t="s">
        <v>1858</v>
      </c>
      <c r="I6800" t="str">
        <f>("20/10/2025")</f>
        <v>20/10/2025</v>
      </c>
      <c r="J6800" t="str">
        <f>("20/10/2025")</f>
        <v>20/10/2025</v>
      </c>
      <c r="K6800">
        <v>45949</v>
      </c>
      <c r="N6800">
        <v>134</v>
      </c>
      <c r="O6800" t="s">
        <v>41</v>
      </c>
      <c r="Q6800">
        <v>170</v>
      </c>
      <c r="R6800" t="str">
        <f>"PENSE FARMA 46 (10194)"</f>
        <v>PENSE FARMA 46 (10194)</v>
      </c>
      <c r="S6800" t="s">
        <v>22</v>
      </c>
      <c r="T6800">
        <v>20087</v>
      </c>
      <c r="U6800">
        <v>23900</v>
      </c>
      <c r="V6800" t="s">
        <v>22</v>
      </c>
    </row>
    <row r="6801" spans="1:22">
      <c r="A6801" t="str">
        <f>("19/10/2025")</f>
        <v>19/10/2025</v>
      </c>
      <c r="B6801" t="str">
        <f t="shared" si="1232"/>
        <v>SAÍDA</v>
      </c>
      <c r="C6801" t="str">
        <f t="shared" si="1234"/>
        <v>PIX</v>
      </c>
      <c r="D6801" t="str">
        <f>"23867"</f>
        <v>23867</v>
      </c>
      <c r="E6801" t="str">
        <f t="shared" si="1236"/>
        <v>1</v>
      </c>
      <c r="F6801" t="str">
        <f t="shared" ref="F6801:F6821" si="1237">"COM"</f>
        <v>COM</v>
      </c>
      <c r="G6801" t="str">
        <f>"ANDREA VOLPONI (1004)"</f>
        <v>ANDREA VOLPONI (1004)</v>
      </c>
      <c r="H6801" t="str">
        <f>"Serv.Prest. 13/10/2025 a 19/10/2025 - PIX: CPF - CHAVE: 361.750.258-06"</f>
        <v>Serv.Prest. 13/10/2025 a 19/10/2025 - PIX: CPF - CHAVE: 361.750.258-06</v>
      </c>
      <c r="I6801" t="str">
        <f>("23/10/2025")</f>
        <v>23/10/2025</v>
      </c>
      <c r="J6801" t="str">
        <f>("20/10/2025")</f>
        <v>20/10/2025</v>
      </c>
      <c r="K6801" t="str">
        <f>("19/10/2025")</f>
        <v>19/10/2025</v>
      </c>
      <c r="L6801">
        <v>70</v>
      </c>
      <c r="M6801">
        <v>70</v>
      </c>
      <c r="N6801">
        <v>109</v>
      </c>
      <c r="O6801" t="str">
        <f>"PAGAMENTO DE ENTREGADORES"</f>
        <v>PAGAMENTO DE ENTREGADORES</v>
      </c>
      <c r="P6801">
        <v>70</v>
      </c>
      <c r="S6801" t="str">
        <f>"BANCO CORA (102)"</f>
        <v>BANCO CORA (102)</v>
      </c>
      <c r="T6801">
        <v>20090</v>
      </c>
      <c r="U6801">
        <v>24124</v>
      </c>
      <c r="V6801" t="s">
        <v>22</v>
      </c>
    </row>
    <row r="6802" spans="1:22">
      <c r="A6802" t="str">
        <f>("19/10/2025")</f>
        <v>19/10/2025</v>
      </c>
      <c r="B6802" t="str">
        <f t="shared" si="1232"/>
        <v>SAÍDA</v>
      </c>
      <c r="C6802" t="str">
        <f t="shared" si="1234"/>
        <v>PIX</v>
      </c>
      <c r="D6802" t="str">
        <f>"23867"</f>
        <v>23867</v>
      </c>
      <c r="E6802" t="str">
        <f t="shared" si="1236"/>
        <v>1</v>
      </c>
      <c r="F6802" t="str">
        <f t="shared" si="1237"/>
        <v>COM</v>
      </c>
      <c r="G6802" t="str">
        <f>"ANDREA VOLPONI (1004)"</f>
        <v>ANDREA VOLPONI (1004)</v>
      </c>
      <c r="H6802" t="s">
        <v>1859</v>
      </c>
      <c r="I6802" t="str">
        <f>("23/10/2025")</f>
        <v>23/10/2025</v>
      </c>
      <c r="J6802" t="str">
        <f>("20/10/2025")</f>
        <v>20/10/2025</v>
      </c>
      <c r="K6802">
        <v>45949</v>
      </c>
      <c r="N6802">
        <v>109</v>
      </c>
      <c r="O6802" t="s">
        <v>24</v>
      </c>
      <c r="Q6802">
        <v>70</v>
      </c>
      <c r="R6802" t="str">
        <f>"PENSE FARMA 19 (10223)"</f>
        <v>PENSE FARMA 19 (10223)</v>
      </c>
      <c r="S6802" t="s">
        <v>22</v>
      </c>
      <c r="T6802">
        <v>20090</v>
      </c>
      <c r="U6802">
        <v>24124</v>
      </c>
      <c r="V6802" t="s">
        <v>22</v>
      </c>
    </row>
    <row r="6803" spans="1:22">
      <c r="A6803" t="str">
        <f t="shared" ref="A6803:A6828" si="1238">("20/10/2025")</f>
        <v>20/10/2025</v>
      </c>
      <c r="B6803" t="str">
        <f t="shared" si="1232"/>
        <v>SAÍDA</v>
      </c>
      <c r="C6803" t="str">
        <f t="shared" si="1234"/>
        <v>PIX</v>
      </c>
      <c r="D6803" t="str">
        <f>"23947"</f>
        <v>23947</v>
      </c>
      <c r="E6803" t="str">
        <f t="shared" si="1236"/>
        <v>1</v>
      </c>
      <c r="F6803" t="str">
        <f t="shared" si="1237"/>
        <v>COM</v>
      </c>
      <c r="G6803" t="str">
        <f>"SAMUEL SOARES DA SILVA (867)"</f>
        <v>SAMUEL SOARES DA SILVA (867)</v>
      </c>
      <c r="H6803" t="str">
        <f>"Serv.Prest. 13/10/2025 a 19/10/2025 - PIX: CPF - CHAVE: 396.124.108-28"</f>
        <v>Serv.Prest. 13/10/2025 a 19/10/2025 - PIX: CPF - CHAVE: 396.124.108-28</v>
      </c>
      <c r="I6803" t="str">
        <f>("23/10/2025")</f>
        <v>23/10/2025</v>
      </c>
      <c r="J6803" t="str">
        <f>("21/10/2025")</f>
        <v>21/10/2025</v>
      </c>
      <c r="K6803" t="str">
        <f>("20/10/2025")</f>
        <v>20/10/2025</v>
      </c>
      <c r="L6803">
        <v>140</v>
      </c>
      <c r="M6803">
        <v>140</v>
      </c>
      <c r="N6803">
        <v>109</v>
      </c>
      <c r="O6803" t="str">
        <f>"PAGAMENTO DE ENTREGADORES"</f>
        <v>PAGAMENTO DE ENTREGADORES</v>
      </c>
      <c r="P6803">
        <v>140</v>
      </c>
      <c r="S6803" t="str">
        <f>"BANCO CORA (102)"</f>
        <v>BANCO CORA (102)</v>
      </c>
      <c r="T6803">
        <v>20089</v>
      </c>
      <c r="U6803">
        <v>24122</v>
      </c>
      <c r="V6803" t="s">
        <v>22</v>
      </c>
    </row>
    <row r="6804" spans="1:22">
      <c r="A6804" t="str">
        <f t="shared" si="1238"/>
        <v>20/10/2025</v>
      </c>
      <c r="B6804" t="str">
        <f t="shared" si="1232"/>
        <v>SAÍDA</v>
      </c>
      <c r="C6804" t="str">
        <f t="shared" si="1234"/>
        <v>PIX</v>
      </c>
      <c r="D6804" t="str">
        <f>"23947"</f>
        <v>23947</v>
      </c>
      <c r="E6804" t="str">
        <f t="shared" si="1236"/>
        <v>1</v>
      </c>
      <c r="F6804" t="str">
        <f t="shared" si="1237"/>
        <v>COM</v>
      </c>
      <c r="G6804" t="str">
        <f>"SAMUEL SOARES DA SILVA (867)"</f>
        <v>SAMUEL SOARES DA SILVA (867)</v>
      </c>
      <c r="H6804" t="s">
        <v>1860</v>
      </c>
      <c r="I6804" t="str">
        <f>("23/10/2025")</f>
        <v>23/10/2025</v>
      </c>
      <c r="J6804" t="str">
        <f>("21/10/2025")</f>
        <v>21/10/2025</v>
      </c>
      <c r="K6804">
        <v>45950</v>
      </c>
      <c r="N6804">
        <v>109</v>
      </c>
      <c r="O6804" t="s">
        <v>24</v>
      </c>
      <c r="Q6804">
        <v>140</v>
      </c>
      <c r="R6804" t="str">
        <f>"DROGA ELIDA (10121)"</f>
        <v>DROGA ELIDA (10121)</v>
      </c>
      <c r="S6804" t="s">
        <v>22</v>
      </c>
      <c r="T6804">
        <v>20089</v>
      </c>
      <c r="U6804">
        <v>24122</v>
      </c>
      <c r="V6804" t="s">
        <v>22</v>
      </c>
    </row>
    <row r="6805" spans="1:22">
      <c r="A6805" t="str">
        <f t="shared" si="1238"/>
        <v>20/10/2025</v>
      </c>
      <c r="B6805" t="str">
        <f t="shared" si="1232"/>
        <v>SAÍDA</v>
      </c>
      <c r="C6805" t="str">
        <f t="shared" si="1234"/>
        <v>PIX</v>
      </c>
      <c r="D6805" t="str">
        <f>"23909"</f>
        <v>23909</v>
      </c>
      <c r="E6805" t="str">
        <f t="shared" si="1236"/>
        <v>1</v>
      </c>
      <c r="F6805" t="str">
        <f t="shared" si="1237"/>
        <v>COM</v>
      </c>
      <c r="G6805" t="str">
        <f>"IVO SIMÃO FILHO (988)"</f>
        <v>IVO SIMÃO FILHO (988)</v>
      </c>
      <c r="H6805" t="str">
        <f>"Serv.Prest. 13/10/2025 a 19/10/2025 - PIX: CPF - CHAVE: 290.093.188-69"</f>
        <v>Serv.Prest. 13/10/2025 a 19/10/2025 - PIX: CPF - CHAVE: 290.093.188-69</v>
      </c>
      <c r="I6805" t="str">
        <f>("21/10/2025")</f>
        <v>21/10/2025</v>
      </c>
      <c r="J6805" t="str">
        <f>("20/10/2025")</f>
        <v>20/10/2025</v>
      </c>
      <c r="K6805" t="str">
        <f>("20/10/2025")</f>
        <v>20/10/2025</v>
      </c>
      <c r="L6805">
        <v>170</v>
      </c>
      <c r="M6805">
        <v>170</v>
      </c>
      <c r="N6805">
        <v>134</v>
      </c>
      <c r="O6805" t="str">
        <f>"DIARIA DE MOTOBOY"</f>
        <v>DIARIA DE MOTOBOY</v>
      </c>
      <c r="P6805">
        <v>170</v>
      </c>
      <c r="S6805" t="str">
        <f>"BANCO CORA (102)"</f>
        <v>BANCO CORA (102)</v>
      </c>
      <c r="T6805">
        <v>20094</v>
      </c>
      <c r="U6805">
        <v>23909</v>
      </c>
      <c r="V6805" t="s">
        <v>22</v>
      </c>
    </row>
    <row r="6806" spans="1:22">
      <c r="A6806" t="str">
        <f t="shared" si="1238"/>
        <v>20/10/2025</v>
      </c>
      <c r="B6806" t="str">
        <f t="shared" si="1232"/>
        <v>SAÍDA</v>
      </c>
      <c r="C6806" t="str">
        <f t="shared" si="1234"/>
        <v>PIX</v>
      </c>
      <c r="D6806" t="str">
        <f>"23909"</f>
        <v>23909</v>
      </c>
      <c r="E6806" t="str">
        <f t="shared" si="1236"/>
        <v>1</v>
      </c>
      <c r="F6806" t="str">
        <f t="shared" si="1237"/>
        <v>COM</v>
      </c>
      <c r="G6806" t="str">
        <f>"IVO SIMÃO FILHO (988)"</f>
        <v>IVO SIMÃO FILHO (988)</v>
      </c>
      <c r="H6806" t="s">
        <v>1861</v>
      </c>
      <c r="I6806" t="str">
        <f>("21/10/2025")</f>
        <v>21/10/2025</v>
      </c>
      <c r="J6806" t="str">
        <f t="shared" ref="J6806:J6811" si="1239">("20/10/2025")</f>
        <v>20/10/2025</v>
      </c>
      <c r="K6806">
        <v>45950</v>
      </c>
      <c r="N6806">
        <v>134</v>
      </c>
      <c r="O6806" t="s">
        <v>41</v>
      </c>
      <c r="Q6806">
        <v>170</v>
      </c>
      <c r="R6806" t="str">
        <f>"PENSE FARMA 22 (10198)"</f>
        <v>PENSE FARMA 22 (10198)</v>
      </c>
      <c r="S6806" t="s">
        <v>22</v>
      </c>
      <c r="T6806">
        <v>20094</v>
      </c>
      <c r="U6806">
        <v>23909</v>
      </c>
      <c r="V6806" t="s">
        <v>22</v>
      </c>
    </row>
    <row r="6807" spans="1:22">
      <c r="A6807" t="str">
        <f t="shared" si="1238"/>
        <v>20/10/2025</v>
      </c>
      <c r="B6807" t="str">
        <f t="shared" si="1232"/>
        <v>SAÍDA</v>
      </c>
      <c r="C6807" t="str">
        <f t="shared" si="1234"/>
        <v>PIX</v>
      </c>
      <c r="D6807" t="str">
        <f>"23871"</f>
        <v>23871</v>
      </c>
      <c r="E6807" t="str">
        <f t="shared" si="1236"/>
        <v>1</v>
      </c>
      <c r="F6807" t="str">
        <f t="shared" si="1237"/>
        <v>COM</v>
      </c>
      <c r="G6807" t="str">
        <f>"WESLEY JESUS SANTOS (1020)"</f>
        <v>WESLEY JESUS SANTOS (1020)</v>
      </c>
      <c r="H6807" t="str">
        <f>"Serv.Prest. 13/10/2025 a 19/10/2025 - PIX: CELULAR - CHAVE: (11) 91767-9056"</f>
        <v>Serv.Prest. 13/10/2025 a 19/10/2025 - PIX: CELULAR - CHAVE: (11) 91767-9056</v>
      </c>
      <c r="I6807" t="str">
        <f>("21/10/2025")</f>
        <v>21/10/2025</v>
      </c>
      <c r="J6807" t="str">
        <f t="shared" si="1239"/>
        <v>20/10/2025</v>
      </c>
      <c r="K6807" t="str">
        <f>("20/10/2025")</f>
        <v>20/10/2025</v>
      </c>
      <c r="L6807">
        <v>170</v>
      </c>
      <c r="M6807">
        <v>170</v>
      </c>
      <c r="N6807">
        <v>134</v>
      </c>
      <c r="O6807" t="str">
        <f>"DIARIA DE MOTOBOY"</f>
        <v>DIARIA DE MOTOBOY</v>
      </c>
      <c r="P6807">
        <v>170</v>
      </c>
      <c r="S6807" t="str">
        <f>"BANCO CORA (102)"</f>
        <v>BANCO CORA (102)</v>
      </c>
      <c r="T6807">
        <v>20095</v>
      </c>
      <c r="U6807">
        <v>23871</v>
      </c>
      <c r="V6807" t="s">
        <v>22</v>
      </c>
    </row>
    <row r="6808" spans="1:22">
      <c r="A6808" t="str">
        <f t="shared" si="1238"/>
        <v>20/10/2025</v>
      </c>
      <c r="B6808" t="str">
        <f t="shared" si="1232"/>
        <v>SAÍDA</v>
      </c>
      <c r="C6808" t="str">
        <f t="shared" si="1234"/>
        <v>PIX</v>
      </c>
      <c r="D6808" t="str">
        <f>"23871"</f>
        <v>23871</v>
      </c>
      <c r="E6808" t="str">
        <f t="shared" si="1236"/>
        <v>1</v>
      </c>
      <c r="F6808" t="str">
        <f t="shared" si="1237"/>
        <v>COM</v>
      </c>
      <c r="G6808" t="str">
        <f>"WESLEY JESUS SANTOS (1020)"</f>
        <v>WESLEY JESUS SANTOS (1020)</v>
      </c>
      <c r="H6808" t="s">
        <v>1862</v>
      </c>
      <c r="I6808" t="str">
        <f>("21/10/2025")</f>
        <v>21/10/2025</v>
      </c>
      <c r="J6808" t="str">
        <f t="shared" si="1239"/>
        <v>20/10/2025</v>
      </c>
      <c r="K6808">
        <v>45950</v>
      </c>
      <c r="N6808">
        <v>134</v>
      </c>
      <c r="O6808" t="s">
        <v>41</v>
      </c>
      <c r="Q6808">
        <v>85</v>
      </c>
      <c r="R6808" t="str">
        <f>"PENSE FARMA 09 (10218)"</f>
        <v>PENSE FARMA 09 (10218)</v>
      </c>
      <c r="S6808" t="s">
        <v>22</v>
      </c>
      <c r="T6808">
        <v>20095</v>
      </c>
      <c r="U6808">
        <v>23871</v>
      </c>
      <c r="V6808" t="s">
        <v>22</v>
      </c>
    </row>
    <row r="6809" spans="1:22">
      <c r="A6809" t="str">
        <f t="shared" si="1238"/>
        <v>20/10/2025</v>
      </c>
      <c r="B6809" t="str">
        <f t="shared" si="1232"/>
        <v>SAÍDA</v>
      </c>
      <c r="C6809" t="str">
        <f t="shared" si="1234"/>
        <v>PIX</v>
      </c>
      <c r="D6809" t="str">
        <f>"23871"</f>
        <v>23871</v>
      </c>
      <c r="E6809" t="str">
        <f t="shared" si="1236"/>
        <v>1</v>
      </c>
      <c r="F6809" t="str">
        <f t="shared" si="1237"/>
        <v>COM</v>
      </c>
      <c r="G6809" t="str">
        <f>"WESLEY JESUS SANTOS (1020)"</f>
        <v>WESLEY JESUS SANTOS (1020)</v>
      </c>
      <c r="H6809" t="s">
        <v>1862</v>
      </c>
      <c r="I6809" t="str">
        <f>("21/10/2025")</f>
        <v>21/10/2025</v>
      </c>
      <c r="J6809" t="str">
        <f t="shared" si="1239"/>
        <v>20/10/2025</v>
      </c>
      <c r="K6809">
        <v>45950</v>
      </c>
      <c r="N6809">
        <v>134</v>
      </c>
      <c r="O6809" t="s">
        <v>41</v>
      </c>
      <c r="Q6809">
        <v>85</v>
      </c>
      <c r="R6809" t="str">
        <f>"PENSE FARMA 10 (10219)"</f>
        <v>PENSE FARMA 10 (10219)</v>
      </c>
      <c r="S6809" t="s">
        <v>22</v>
      </c>
      <c r="T6809">
        <v>20095</v>
      </c>
      <c r="U6809">
        <v>23871</v>
      </c>
      <c r="V6809" t="s">
        <v>22</v>
      </c>
    </row>
    <row r="6810" spans="1:22">
      <c r="A6810" t="str">
        <f t="shared" si="1238"/>
        <v>20/10/2025</v>
      </c>
      <c r="B6810" t="str">
        <f t="shared" si="1232"/>
        <v>SAÍDA</v>
      </c>
      <c r="C6810" t="str">
        <f>"BOLETO"</f>
        <v>BOLETO</v>
      </c>
      <c r="D6810" t="str">
        <f>"071625293821104"</f>
        <v>071625293821104</v>
      </c>
      <c r="E6810" t="str">
        <f>"21"</f>
        <v>21</v>
      </c>
      <c r="F6810" t="str">
        <f t="shared" si="1237"/>
        <v>COM</v>
      </c>
      <c r="G6810" t="str">
        <f>"MINISTERIO DA FAZENDA (20009)"</f>
        <v>MINISTERIO DA FAZENDA (20009)</v>
      </c>
      <c r="H6810" t="str">
        <f>"INSS PRESTADORES MES 09/2025"</f>
        <v>INSS PRESTADORES MES 09/2025</v>
      </c>
      <c r="I6810" t="str">
        <f>("20/10/2025")</f>
        <v>20/10/2025</v>
      </c>
      <c r="J6810" t="str">
        <f t="shared" si="1239"/>
        <v>20/10/2025</v>
      </c>
      <c r="K6810" t="str">
        <f>("20/10/2025")</f>
        <v>20/10/2025</v>
      </c>
      <c r="L6810">
        <v>36804.53</v>
      </c>
      <c r="M6810">
        <v>36804.53</v>
      </c>
      <c r="N6810">
        <v>112</v>
      </c>
      <c r="O6810" t="str">
        <f>"INSS"</f>
        <v>INSS</v>
      </c>
      <c r="P6810">
        <v>36804.53</v>
      </c>
      <c r="S6810" t="str">
        <f>"BANCO CORA (102)"</f>
        <v>BANCO CORA (102)</v>
      </c>
      <c r="T6810">
        <v>20096</v>
      </c>
      <c r="U6810">
        <v>10407</v>
      </c>
      <c r="V6810" t="s">
        <v>22</v>
      </c>
    </row>
    <row r="6811" spans="1:22">
      <c r="A6811" t="str">
        <f t="shared" si="1238"/>
        <v>20/10/2025</v>
      </c>
      <c r="B6811" t="str">
        <f t="shared" si="1232"/>
        <v>SAÍDA</v>
      </c>
      <c r="C6811" t="str">
        <f>"BOLETO"</f>
        <v>BOLETO</v>
      </c>
      <c r="D6811" t="str">
        <f>"071625293821104"</f>
        <v>071625293821104</v>
      </c>
      <c r="E6811" t="str">
        <f>"21"</f>
        <v>21</v>
      </c>
      <c r="F6811" t="str">
        <f t="shared" si="1237"/>
        <v>COM</v>
      </c>
      <c r="G6811" t="str">
        <f>"MINISTERIO DA FAZENDA (20009)"</f>
        <v>MINISTERIO DA FAZENDA (20009)</v>
      </c>
      <c r="H6811" t="s">
        <v>1863</v>
      </c>
      <c r="I6811" t="str">
        <f>("20/10/2025")</f>
        <v>20/10/2025</v>
      </c>
      <c r="J6811" t="str">
        <f t="shared" si="1239"/>
        <v>20/10/2025</v>
      </c>
      <c r="K6811">
        <v>45950</v>
      </c>
      <c r="N6811">
        <v>112</v>
      </c>
      <c r="O6811" t="s">
        <v>479</v>
      </c>
      <c r="Q6811">
        <v>36804.53</v>
      </c>
      <c r="R6811" t="str">
        <f>"MINISTERIO DA FAZENDA (20009)"</f>
        <v>MINISTERIO DA FAZENDA (20009)</v>
      </c>
      <c r="S6811" t="s">
        <v>22</v>
      </c>
      <c r="T6811">
        <v>20096</v>
      </c>
      <c r="U6811">
        <v>10407</v>
      </c>
      <c r="V6811" t="s">
        <v>22</v>
      </c>
    </row>
    <row r="6812" spans="1:22">
      <c r="A6812" t="str">
        <f t="shared" si="1238"/>
        <v>20/10/2025</v>
      </c>
      <c r="B6812" t="str">
        <f t="shared" si="1232"/>
        <v>SAÍDA</v>
      </c>
      <c r="C6812" t="str">
        <f>"BOLETO"</f>
        <v>BOLETO</v>
      </c>
      <c r="D6812" t="str">
        <f>"420398651"</f>
        <v>420398651</v>
      </c>
      <c r="E6812" t="str">
        <f>"15"</f>
        <v>15</v>
      </c>
      <c r="F6812" t="str">
        <f t="shared" si="1237"/>
        <v>COM</v>
      </c>
      <c r="G6812" t="str">
        <f>"GESTAO SOLUCAO EMPRESARIAL LTDA (20008)"</f>
        <v>GESTAO SOLUCAO EMPRESARIAL LTDA (20008)</v>
      </c>
      <c r="H6812" t="str">
        <f>"CONTABILIDADE 07/2025"</f>
        <v>CONTABILIDADE 07/2025</v>
      </c>
      <c r="I6812" t="str">
        <f>("20/10/2025")</f>
        <v>20/10/2025</v>
      </c>
      <c r="J6812" t="str">
        <f>("01/07/2025")</f>
        <v>01/07/2025</v>
      </c>
      <c r="K6812" t="str">
        <f>("20/10/2025")</f>
        <v>20/10/2025</v>
      </c>
      <c r="L6812">
        <v>1186.57</v>
      </c>
      <c r="M6812">
        <v>1186.57</v>
      </c>
      <c r="N6812">
        <v>115</v>
      </c>
      <c r="O6812" t="str">
        <f>"CONTABILIDADE"</f>
        <v>CONTABILIDADE</v>
      </c>
      <c r="P6812">
        <v>1186.57</v>
      </c>
      <c r="S6812" t="str">
        <f>"BANCO CORA (102)"</f>
        <v>BANCO CORA (102)</v>
      </c>
      <c r="T6812">
        <v>20097</v>
      </c>
      <c r="U6812">
        <v>15158</v>
      </c>
      <c r="V6812" t="s">
        <v>22</v>
      </c>
    </row>
    <row r="6813" spans="1:22">
      <c r="A6813" t="str">
        <f t="shared" si="1238"/>
        <v>20/10/2025</v>
      </c>
      <c r="B6813" t="str">
        <f t="shared" si="1232"/>
        <v>SAÍDA</v>
      </c>
      <c r="C6813" t="str">
        <f>"BOLETO"</f>
        <v>BOLETO</v>
      </c>
      <c r="D6813" t="str">
        <f>"420398651"</f>
        <v>420398651</v>
      </c>
      <c r="E6813" t="str">
        <f>"15"</f>
        <v>15</v>
      </c>
      <c r="F6813" t="str">
        <f t="shared" si="1237"/>
        <v>COM</v>
      </c>
      <c r="G6813" t="str">
        <f>"GESTAO SOLUCAO EMPRESARIAL LTDA (20008)"</f>
        <v>GESTAO SOLUCAO EMPRESARIAL LTDA (20008)</v>
      </c>
      <c r="H6813" t="s">
        <v>858</v>
      </c>
      <c r="I6813" t="str">
        <f>("20/10/2025")</f>
        <v>20/10/2025</v>
      </c>
      <c r="J6813" t="str">
        <f>("01/07/2025")</f>
        <v>01/07/2025</v>
      </c>
      <c r="K6813">
        <v>45950</v>
      </c>
      <c r="N6813">
        <v>115</v>
      </c>
      <c r="O6813" t="s">
        <v>859</v>
      </c>
      <c r="Q6813">
        <v>1186.57</v>
      </c>
      <c r="R6813" t="str">
        <f>"GESTAO SOLUCAO EMPRESARIAL LTDA (20008)"</f>
        <v>GESTAO SOLUCAO EMPRESARIAL LTDA (20008)</v>
      </c>
      <c r="S6813" t="s">
        <v>22</v>
      </c>
      <c r="T6813">
        <v>20097</v>
      </c>
      <c r="U6813">
        <v>15158</v>
      </c>
      <c r="V6813" t="s">
        <v>22</v>
      </c>
    </row>
    <row r="6814" spans="1:22">
      <c r="A6814" t="str">
        <f t="shared" si="1238"/>
        <v>20/10/2025</v>
      </c>
      <c r="B6814" t="str">
        <f t="shared" si="1232"/>
        <v>SAÍDA</v>
      </c>
      <c r="C6814" t="str">
        <f>"PIX"</f>
        <v>PIX</v>
      </c>
      <c r="D6814" t="str">
        <f>"23955"</f>
        <v>23955</v>
      </c>
      <c r="E6814" t="str">
        <f>"1"</f>
        <v>1</v>
      </c>
      <c r="F6814" t="str">
        <f t="shared" si="1237"/>
        <v>COM</v>
      </c>
      <c r="G6814" t="str">
        <f>"WILLIAM DA SILVA COSTA (655)"</f>
        <v>WILLIAM DA SILVA COSTA (655)</v>
      </c>
      <c r="H6814" t="str">
        <f>"PAGO PARA ULISSES SOUSA SANTOS - Serv.Prest. 13/10/2025 a 19/10/2025"</f>
        <v>PAGO PARA ULISSES SOUSA SANTOS - Serv.Prest. 13/10/2025 a 19/10/2025</v>
      </c>
      <c r="I6814" t="str">
        <f>("21/10/2025")</f>
        <v>21/10/2025</v>
      </c>
      <c r="J6814" t="str">
        <f>("21/10/2025")</f>
        <v>21/10/2025</v>
      </c>
      <c r="K6814" t="str">
        <f>("20/10/2025")</f>
        <v>20/10/2025</v>
      </c>
      <c r="L6814">
        <v>186</v>
      </c>
      <c r="M6814">
        <v>300</v>
      </c>
      <c r="N6814">
        <v>134</v>
      </c>
      <c r="O6814" t="str">
        <f>"DIARIA DE MOTOBOY"</f>
        <v>DIARIA DE MOTOBOY</v>
      </c>
      <c r="P6814">
        <v>300</v>
      </c>
      <c r="S6814" t="str">
        <f>"BANCO CORA (102)"</f>
        <v>BANCO CORA (102)</v>
      </c>
      <c r="T6814">
        <v>20102</v>
      </c>
      <c r="U6814">
        <v>24130</v>
      </c>
      <c r="V6814" t="s">
        <v>22</v>
      </c>
    </row>
    <row r="6815" spans="1:22">
      <c r="A6815" t="str">
        <f t="shared" si="1238"/>
        <v>20/10/2025</v>
      </c>
      <c r="B6815" t="str">
        <f t="shared" si="1232"/>
        <v>SAÍDA</v>
      </c>
      <c r="C6815" t="str">
        <f>"PIX"</f>
        <v>PIX</v>
      </c>
      <c r="D6815" t="str">
        <f>"23955"</f>
        <v>23955</v>
      </c>
      <c r="E6815" t="str">
        <f>"1"</f>
        <v>1</v>
      </c>
      <c r="F6815" t="str">
        <f t="shared" si="1237"/>
        <v>COM</v>
      </c>
      <c r="G6815" t="str">
        <f>"WILLIAM DA SILVA COSTA (655)"</f>
        <v>WILLIAM DA SILVA COSTA (655)</v>
      </c>
      <c r="H6815" t="s">
        <v>1620</v>
      </c>
      <c r="I6815" t="str">
        <f>("21/10/2025")</f>
        <v>21/10/2025</v>
      </c>
      <c r="J6815" t="str">
        <f>("21/10/2025")</f>
        <v>21/10/2025</v>
      </c>
      <c r="K6815">
        <v>45950</v>
      </c>
      <c r="N6815">
        <v>134</v>
      </c>
      <c r="O6815" t="s">
        <v>41</v>
      </c>
      <c r="Q6815">
        <v>300</v>
      </c>
      <c r="R6815" t="str">
        <f>"FARMACIA ECONOMIZE (10103)"</f>
        <v>FARMACIA ECONOMIZE (10103)</v>
      </c>
      <c r="S6815" t="s">
        <v>22</v>
      </c>
      <c r="T6815">
        <v>20102</v>
      </c>
      <c r="U6815">
        <v>24130</v>
      </c>
      <c r="V6815" t="s">
        <v>22</v>
      </c>
    </row>
    <row r="6816" spans="1:22">
      <c r="A6816" t="str">
        <f t="shared" si="1238"/>
        <v>20/10/2025</v>
      </c>
      <c r="B6816" t="str">
        <f t="shared" si="1232"/>
        <v>SAÍDA</v>
      </c>
      <c r="C6816" t="str">
        <f>"PIX"</f>
        <v>PIX</v>
      </c>
      <c r="D6816" t="str">
        <f>"23929"</f>
        <v>23929</v>
      </c>
      <c r="E6816" t="str">
        <f>"2"</f>
        <v>2</v>
      </c>
      <c r="F6816" t="str">
        <f t="shared" si="1237"/>
        <v>COM</v>
      </c>
      <c r="G6816" t="str">
        <f>"JOEL ARAGAO SALES (864)"</f>
        <v>JOEL ARAGAO SALES (864)</v>
      </c>
      <c r="H6816" t="str">
        <f>"Serv.Prest. 13/10/2025 a 19/10/2025 - PIX: CPF - CHAVE: 052.353.883-99"</f>
        <v>Serv.Prest. 13/10/2025 a 19/10/2025 - PIX: CPF - CHAVE: 052.353.883-99</v>
      </c>
      <c r="I6816" t="str">
        <f>("23/10/2025")</f>
        <v>23/10/2025</v>
      </c>
      <c r="J6816" t="str">
        <f>("21/10/2025")</f>
        <v>21/10/2025</v>
      </c>
      <c r="K6816" t="str">
        <f>("20/10/2025")</f>
        <v>20/10/2025</v>
      </c>
      <c r="L6816">
        <v>130</v>
      </c>
      <c r="M6816">
        <v>130</v>
      </c>
      <c r="N6816">
        <v>109</v>
      </c>
      <c r="O6816" t="str">
        <f>"PAGAMENTO DE ENTREGADORES"</f>
        <v>PAGAMENTO DE ENTREGADORES</v>
      </c>
      <c r="P6816">
        <v>130</v>
      </c>
      <c r="S6816" t="str">
        <f>"BANCO CORA (102)"</f>
        <v>BANCO CORA (102)</v>
      </c>
      <c r="T6816">
        <v>20335</v>
      </c>
      <c r="U6816">
        <v>24507</v>
      </c>
      <c r="V6816" t="s">
        <v>22</v>
      </c>
    </row>
    <row r="6817" spans="1:22">
      <c r="A6817" t="str">
        <f t="shared" si="1238"/>
        <v>20/10/2025</v>
      </c>
      <c r="B6817" t="str">
        <f t="shared" si="1232"/>
        <v>SAÍDA</v>
      </c>
      <c r="C6817" t="str">
        <f>"PIX"</f>
        <v>PIX</v>
      </c>
      <c r="D6817" t="str">
        <f>"23929"</f>
        <v>23929</v>
      </c>
      <c r="E6817" t="str">
        <f>"2"</f>
        <v>2</v>
      </c>
      <c r="F6817" t="str">
        <f t="shared" si="1237"/>
        <v>COM</v>
      </c>
      <c r="G6817" t="str">
        <f>"JOEL ARAGAO SALES (864)"</f>
        <v>JOEL ARAGAO SALES (864)</v>
      </c>
      <c r="H6817" t="s">
        <v>1864</v>
      </c>
      <c r="I6817" t="str">
        <f>("23/10/2025")</f>
        <v>23/10/2025</v>
      </c>
      <c r="J6817" t="str">
        <f>("21/10/2025")</f>
        <v>21/10/2025</v>
      </c>
      <c r="K6817">
        <v>45950</v>
      </c>
      <c r="N6817">
        <v>109</v>
      </c>
      <c r="O6817" t="s">
        <v>24</v>
      </c>
      <c r="Q6817">
        <v>130</v>
      </c>
      <c r="R6817" t="str">
        <f>"DROGARIA MEDIC CENTER LTDA (10172)"</f>
        <v>DROGARIA MEDIC CENTER LTDA (10172)</v>
      </c>
      <c r="S6817" t="s">
        <v>22</v>
      </c>
      <c r="T6817">
        <v>20335</v>
      </c>
      <c r="U6817">
        <v>24507</v>
      </c>
      <c r="V6817" t="s">
        <v>22</v>
      </c>
    </row>
    <row r="6818" spans="1:22">
      <c r="A6818" t="str">
        <f t="shared" si="1238"/>
        <v>20/10/2025</v>
      </c>
      <c r="B6818" t="str">
        <f>"ENTRADA"</f>
        <v>ENTRADA</v>
      </c>
      <c r="C6818" t="str">
        <f>"NFSE"</f>
        <v>NFSE</v>
      </c>
      <c r="D6818" t="str">
        <f>"3449"</f>
        <v>3449</v>
      </c>
      <c r="E6818" t="str">
        <f>"1"</f>
        <v>1</v>
      </c>
      <c r="F6818" t="str">
        <f t="shared" si="1237"/>
        <v>COM</v>
      </c>
      <c r="G6818" t="str">
        <f>"PAGMENOS - LJ 608 (10135)"</f>
        <v>PAGMENOS - LJ 608 (10135)</v>
      </c>
      <c r="H6818" t="str">
        <f>"Serv.Prest. 29/09/2025 a 05/10/2025 - RPS: 1325 - NFSe: 3449"</f>
        <v>Serv.Prest. 29/09/2025 a 05/10/2025 - RPS: 1325 - NFSe: 3449</v>
      </c>
      <c r="I6818" t="str">
        <f>("16/10/2025")</f>
        <v>16/10/2025</v>
      </c>
      <c r="J6818" t="str">
        <f>("06/10/2025")</f>
        <v>06/10/2025</v>
      </c>
      <c r="K6818" t="str">
        <f>("20/10/2025")</f>
        <v>20/10/2025</v>
      </c>
      <c r="L6818">
        <v>1922.28</v>
      </c>
      <c r="M6818">
        <v>1922.28</v>
      </c>
      <c r="N6818">
        <v>303</v>
      </c>
      <c r="O6818" t="str">
        <f>"RECEITAS COM ENTREGAS"</f>
        <v>RECEITAS COM ENTREGAS</v>
      </c>
      <c r="P6818">
        <v>1922.28</v>
      </c>
      <c r="S6818" t="str">
        <f>"RECEITAS COM ENTREGAS (303)"</f>
        <v>RECEITAS COM ENTREGAS (303)</v>
      </c>
      <c r="T6818">
        <v>22507</v>
      </c>
      <c r="U6818">
        <v>22833</v>
      </c>
      <c r="V6818" t="s">
        <v>22</v>
      </c>
    </row>
    <row r="6819" spans="1:22">
      <c r="A6819" t="str">
        <f t="shared" si="1238"/>
        <v>20/10/2025</v>
      </c>
      <c r="B6819" t="str">
        <f>"ENTRADA"</f>
        <v>ENTRADA</v>
      </c>
      <c r="C6819" t="str">
        <f>"NFSE"</f>
        <v>NFSE</v>
      </c>
      <c r="D6819" t="str">
        <f>"3449"</f>
        <v>3449</v>
      </c>
      <c r="E6819" t="str">
        <f>"1"</f>
        <v>1</v>
      </c>
      <c r="F6819" t="str">
        <f t="shared" si="1237"/>
        <v>COM</v>
      </c>
      <c r="G6819" t="str">
        <f>"PAGMENOS - LJ 608 (10135)"</f>
        <v>PAGMENOS - LJ 608 (10135)</v>
      </c>
      <c r="H6819" t="s">
        <v>1865</v>
      </c>
      <c r="I6819" t="str">
        <f>("16/10/2025")</f>
        <v>16/10/2025</v>
      </c>
      <c r="J6819" t="str">
        <f>("06/10/2025")</f>
        <v>06/10/2025</v>
      </c>
      <c r="K6819">
        <v>45950</v>
      </c>
      <c r="N6819">
        <v>303</v>
      </c>
      <c r="O6819" t="s">
        <v>69</v>
      </c>
      <c r="Q6819">
        <v>1922.28</v>
      </c>
      <c r="R6819" t="str">
        <f>"PAGMENOS - LJ 608 (10135)"</f>
        <v>PAGMENOS - LJ 608 (10135)</v>
      </c>
      <c r="S6819" t="s">
        <v>70</v>
      </c>
      <c r="T6819">
        <v>22507</v>
      </c>
      <c r="U6819">
        <v>22833</v>
      </c>
      <c r="V6819" t="s">
        <v>22</v>
      </c>
    </row>
    <row r="6820" spans="1:22">
      <c r="A6820" t="str">
        <f t="shared" si="1238"/>
        <v>20/10/2025</v>
      </c>
      <c r="B6820" t="str">
        <f>"ENTRADA"</f>
        <v>ENTRADA</v>
      </c>
      <c r="C6820" t="str">
        <f>"NFSE"</f>
        <v>NFSE</v>
      </c>
      <c r="D6820" t="str">
        <f>"3450"</f>
        <v>3450</v>
      </c>
      <c r="E6820" t="str">
        <f>"1"</f>
        <v>1</v>
      </c>
      <c r="F6820" t="str">
        <f t="shared" si="1237"/>
        <v>COM</v>
      </c>
      <c r="G6820" t="str">
        <f>"PAGMENOS - LJ 657 (10136)"</f>
        <v>PAGMENOS - LJ 657 (10136)</v>
      </c>
      <c r="H6820" t="str">
        <f>"Serv.Prest. 29/09/2025 a 05/10/2025 - RPS: 1326 - NFSe: 3450"</f>
        <v>Serv.Prest. 29/09/2025 a 05/10/2025 - RPS: 1326 - NFSe: 3450</v>
      </c>
      <c r="I6820" t="str">
        <f>("16/10/2025")</f>
        <v>16/10/2025</v>
      </c>
      <c r="J6820" t="str">
        <f>("06/10/2025")</f>
        <v>06/10/2025</v>
      </c>
      <c r="K6820" t="str">
        <f>("20/10/2025")</f>
        <v>20/10/2025</v>
      </c>
      <c r="L6820">
        <v>1605.89</v>
      </c>
      <c r="M6820">
        <v>1605.89</v>
      </c>
      <c r="N6820">
        <v>303</v>
      </c>
      <c r="O6820" t="str">
        <f>"RECEITAS COM ENTREGAS"</f>
        <v>RECEITAS COM ENTREGAS</v>
      </c>
      <c r="P6820">
        <v>1605.89</v>
      </c>
      <c r="S6820" t="str">
        <f>"RECEITAS COM ENTREGAS (303)"</f>
        <v>RECEITAS COM ENTREGAS (303)</v>
      </c>
      <c r="T6820">
        <v>22508</v>
      </c>
      <c r="U6820">
        <v>22836</v>
      </c>
      <c r="V6820" t="s">
        <v>22</v>
      </c>
    </row>
    <row r="6821" spans="1:22">
      <c r="A6821" t="str">
        <f t="shared" si="1238"/>
        <v>20/10/2025</v>
      </c>
      <c r="B6821" t="str">
        <f>"ENTRADA"</f>
        <v>ENTRADA</v>
      </c>
      <c r="C6821" t="str">
        <f>"NFSE"</f>
        <v>NFSE</v>
      </c>
      <c r="D6821" t="str">
        <f>"3450"</f>
        <v>3450</v>
      </c>
      <c r="E6821" t="str">
        <f>"1"</f>
        <v>1</v>
      </c>
      <c r="F6821" t="str">
        <f t="shared" si="1237"/>
        <v>COM</v>
      </c>
      <c r="G6821" t="str">
        <f>"PAGMENOS - LJ 657 (10136)"</f>
        <v>PAGMENOS - LJ 657 (10136)</v>
      </c>
      <c r="H6821" t="s">
        <v>1866</v>
      </c>
      <c r="I6821" t="str">
        <f>("16/10/2025")</f>
        <v>16/10/2025</v>
      </c>
      <c r="J6821" t="str">
        <f>("06/10/2025")</f>
        <v>06/10/2025</v>
      </c>
      <c r="K6821">
        <v>45950</v>
      </c>
      <c r="N6821">
        <v>303</v>
      </c>
      <c r="O6821" t="s">
        <v>69</v>
      </c>
      <c r="Q6821">
        <v>1605.89</v>
      </c>
      <c r="R6821" t="str">
        <f>"PAGMENOS - LJ 657 (10136)"</f>
        <v>PAGMENOS - LJ 657 (10136)</v>
      </c>
      <c r="S6821" t="s">
        <v>70</v>
      </c>
      <c r="T6821">
        <v>22508</v>
      </c>
      <c r="U6821">
        <v>22836</v>
      </c>
      <c r="V6821" t="s">
        <v>22</v>
      </c>
    </row>
    <row r="6822" spans="1:22">
      <c r="A6822" t="str">
        <f t="shared" si="1238"/>
        <v>20/10/2025</v>
      </c>
      <c r="B6822" t="str">
        <f>"ENTRADA"</f>
        <v>ENTRADA</v>
      </c>
      <c r="C6822" t="str">
        <f>"TRANSFERENCIA"</f>
        <v>TRANSFERENCIA</v>
      </c>
      <c r="D6822" t="str">
        <f>""</f>
        <v/>
      </c>
      <c r="F6822" t="str">
        <f>"TRF"</f>
        <v>TRF</v>
      </c>
      <c r="G6822" t="str">
        <f>""</f>
        <v/>
      </c>
      <c r="H6822" t="str">
        <f>"AJUDA DE CAIXA MOVIMENTAÇÃO  (131-&gt;102)"</f>
        <v>AJUDA DE CAIXA MOVIMENTAÇÃO  (131-&gt;102)</v>
      </c>
      <c r="I6822" t="str">
        <f t="shared" ref="I6822:K6825" si="1240">("20/10/2025")</f>
        <v>20/10/2025</v>
      </c>
      <c r="J6822" t="str">
        <f t="shared" si="1240"/>
        <v>20/10/2025</v>
      </c>
      <c r="K6822" t="str">
        <f t="shared" si="1240"/>
        <v>20/10/2025</v>
      </c>
      <c r="N6822">
        <v>102</v>
      </c>
      <c r="O6822" t="str">
        <f>"BANCO CORA"</f>
        <v>BANCO CORA</v>
      </c>
      <c r="P6822">
        <v>20000</v>
      </c>
      <c r="S6822" t="str">
        <f>"BANCO CORA (102)"</f>
        <v>BANCO CORA (102)</v>
      </c>
      <c r="T6822">
        <v>22509</v>
      </c>
      <c r="U6822">
        <v>0</v>
      </c>
      <c r="V6822" t="s">
        <v>22</v>
      </c>
    </row>
    <row r="6823" spans="1:22">
      <c r="A6823" t="str">
        <f t="shared" si="1238"/>
        <v>20/10/2025</v>
      </c>
      <c r="B6823" t="str">
        <f t="shared" ref="B6823:B6854" si="1241">"SAÍDA"</f>
        <v>SAÍDA</v>
      </c>
      <c r="C6823" t="str">
        <f>"TRANSFERENCIA"</f>
        <v>TRANSFERENCIA</v>
      </c>
      <c r="D6823" t="str">
        <f>""</f>
        <v/>
      </c>
      <c r="F6823" t="str">
        <f>"TRF"</f>
        <v>TRF</v>
      </c>
      <c r="G6823" t="str">
        <f>""</f>
        <v/>
      </c>
      <c r="H6823" t="str">
        <f>"AJUDA DE CAIXA MOVIMENTAÇÃO  (131-&gt;102)"</f>
        <v>AJUDA DE CAIXA MOVIMENTAÇÃO  (131-&gt;102)</v>
      </c>
      <c r="I6823" t="str">
        <f t="shared" si="1240"/>
        <v>20/10/2025</v>
      </c>
      <c r="J6823" t="str">
        <f t="shared" si="1240"/>
        <v>20/10/2025</v>
      </c>
      <c r="K6823" t="str">
        <f t="shared" si="1240"/>
        <v>20/10/2025</v>
      </c>
      <c r="N6823">
        <v>131</v>
      </c>
      <c r="O6823" t="str">
        <f>"CAIXA - FLUX"</f>
        <v>CAIXA - FLUX</v>
      </c>
      <c r="S6823" t="str">
        <f>"CAIXA - FLUX (131)"</f>
        <v>CAIXA - FLUX (131)</v>
      </c>
      <c r="T6823">
        <v>22509</v>
      </c>
      <c r="U6823">
        <v>0</v>
      </c>
      <c r="V6823" t="s">
        <v>577</v>
      </c>
    </row>
    <row r="6824" spans="1:22">
      <c r="A6824" t="str">
        <f t="shared" si="1238"/>
        <v>20/10/2025</v>
      </c>
      <c r="B6824" t="str">
        <f t="shared" si="1241"/>
        <v>SAÍDA</v>
      </c>
      <c r="C6824" t="str">
        <f>""</f>
        <v/>
      </c>
      <c r="D6824" t="str">
        <f>""</f>
        <v/>
      </c>
      <c r="F6824" t="str">
        <f>"CXA"</f>
        <v>CXA</v>
      </c>
      <c r="G6824" t="str">
        <f>""</f>
        <v/>
      </c>
      <c r="H6824" t="str">
        <f>"COMPRA PÃO DE QUEIJOS"</f>
        <v>COMPRA PÃO DE QUEIJOS</v>
      </c>
      <c r="I6824" t="str">
        <f t="shared" si="1240"/>
        <v>20/10/2025</v>
      </c>
      <c r="J6824" t="str">
        <f t="shared" si="1240"/>
        <v>20/10/2025</v>
      </c>
      <c r="K6824" t="str">
        <f t="shared" si="1240"/>
        <v>20/10/2025</v>
      </c>
      <c r="L6824">
        <v>6.25</v>
      </c>
      <c r="M6824">
        <v>6.25</v>
      </c>
      <c r="N6824">
        <v>708</v>
      </c>
      <c r="O6824" t="str">
        <f>"LANCHES/REFEIÇÕES"</f>
        <v>LANCHES/REFEIÇÕES</v>
      </c>
      <c r="P6824">
        <v>6.25</v>
      </c>
      <c r="S6824" t="str">
        <f>"BANCO CORA (102)"</f>
        <v>BANCO CORA (102)</v>
      </c>
      <c r="T6824">
        <v>22510</v>
      </c>
      <c r="U6824">
        <v>0</v>
      </c>
      <c r="V6824" t="s">
        <v>1867</v>
      </c>
    </row>
    <row r="6825" spans="1:22">
      <c r="A6825" t="str">
        <f t="shared" si="1238"/>
        <v>20/10/2025</v>
      </c>
      <c r="B6825" t="str">
        <f t="shared" si="1241"/>
        <v>SAÍDA</v>
      </c>
      <c r="C6825" t="str">
        <f t="shared" ref="C6825:C6830" si="1242">"PIX"</f>
        <v>PIX</v>
      </c>
      <c r="D6825" t="str">
        <f>"20102025"</f>
        <v>20102025</v>
      </c>
      <c r="E6825" t="str">
        <f t="shared" ref="E6825:E6830" si="1243">"1"</f>
        <v>1</v>
      </c>
      <c r="F6825" t="str">
        <f t="shared" ref="F6825:F6856" si="1244">"COM"</f>
        <v>COM</v>
      </c>
      <c r="G6825" t="str">
        <f>"WEIGNE SENA CARDOSO (53)"</f>
        <v>WEIGNE SENA CARDOSO (53)</v>
      </c>
      <c r="H6825" t="str">
        <f>"DESPESAS DE VIAGEM"</f>
        <v>DESPESAS DE VIAGEM</v>
      </c>
      <c r="I6825" t="str">
        <f t="shared" si="1240"/>
        <v>20/10/2025</v>
      </c>
      <c r="J6825" t="str">
        <f t="shared" si="1240"/>
        <v>20/10/2025</v>
      </c>
      <c r="K6825" t="str">
        <f t="shared" si="1240"/>
        <v>20/10/2025</v>
      </c>
      <c r="L6825">
        <v>200</v>
      </c>
      <c r="M6825">
        <v>200</v>
      </c>
      <c r="N6825">
        <v>119</v>
      </c>
      <c r="O6825" t="str">
        <f>"DESPESAS COM VIAGENS OPERACIONAIS"</f>
        <v>DESPESAS COM VIAGENS OPERACIONAIS</v>
      </c>
      <c r="P6825">
        <v>200</v>
      </c>
      <c r="S6825" t="str">
        <f>"BANCO CORA (102)"</f>
        <v>BANCO CORA (102)</v>
      </c>
      <c r="T6825">
        <v>22511</v>
      </c>
      <c r="U6825">
        <v>26410</v>
      </c>
      <c r="V6825" t="s">
        <v>22</v>
      </c>
    </row>
    <row r="6826" spans="1:22">
      <c r="A6826" t="str">
        <f t="shared" si="1238"/>
        <v>20/10/2025</v>
      </c>
      <c r="B6826" t="str">
        <f t="shared" si="1241"/>
        <v>SAÍDA</v>
      </c>
      <c r="C6826" t="str">
        <f t="shared" si="1242"/>
        <v>PIX</v>
      </c>
      <c r="D6826" t="str">
        <f>"20102025"</f>
        <v>20102025</v>
      </c>
      <c r="E6826" t="str">
        <f t="shared" si="1243"/>
        <v>1</v>
      </c>
      <c r="F6826" t="str">
        <f t="shared" si="1244"/>
        <v>COM</v>
      </c>
      <c r="G6826" t="str">
        <f>"WEIGNE SENA CARDOSO (53)"</f>
        <v>WEIGNE SENA CARDOSO (53)</v>
      </c>
      <c r="H6826" t="s">
        <v>1868</v>
      </c>
      <c r="I6826" t="str">
        <f t="shared" ref="I6826:J6828" si="1245">("20/10/2025")</f>
        <v>20/10/2025</v>
      </c>
      <c r="J6826" t="str">
        <f t="shared" si="1245"/>
        <v>20/10/2025</v>
      </c>
      <c r="K6826">
        <v>45950</v>
      </c>
      <c r="N6826">
        <v>119</v>
      </c>
      <c r="O6826" t="s">
        <v>262</v>
      </c>
      <c r="Q6826">
        <v>200</v>
      </c>
      <c r="R6826" t="str">
        <f>"WEIGNE SENA CARDOSO (53)"</f>
        <v>WEIGNE SENA CARDOSO (53)</v>
      </c>
      <c r="S6826" t="s">
        <v>22</v>
      </c>
      <c r="T6826">
        <v>22511</v>
      </c>
      <c r="U6826">
        <v>26410</v>
      </c>
      <c r="V6826" t="s">
        <v>22</v>
      </c>
    </row>
    <row r="6827" spans="1:22">
      <c r="A6827" t="str">
        <f t="shared" si="1238"/>
        <v>20/10/2025</v>
      </c>
      <c r="B6827" t="str">
        <f t="shared" si="1241"/>
        <v>SAÍDA</v>
      </c>
      <c r="C6827" t="str">
        <f t="shared" si="1242"/>
        <v>PIX</v>
      </c>
      <c r="D6827" t="str">
        <f>"20102025"</f>
        <v>20102025</v>
      </c>
      <c r="E6827" t="str">
        <f t="shared" si="1243"/>
        <v>1</v>
      </c>
      <c r="F6827" t="str">
        <f t="shared" si="1244"/>
        <v>COM</v>
      </c>
      <c r="G6827" t="str">
        <f>"RANGEL DOS SANTOS BATISTA (1016)"</f>
        <v>RANGEL DOS SANTOS BATISTA (1016)</v>
      </c>
      <c r="H6827" t="str">
        <f>"Diaria na farmacia Indiana Joao Monlevade Farmácia INDIANA LJ 110"</f>
        <v>Diaria na farmacia Indiana Joao Monlevade Farmácia INDIANA LJ 110</v>
      </c>
      <c r="I6827" t="str">
        <f t="shared" si="1245"/>
        <v>20/10/2025</v>
      </c>
      <c r="J6827" t="str">
        <f t="shared" si="1245"/>
        <v>20/10/2025</v>
      </c>
      <c r="K6827" t="str">
        <f>("20/10/2025")</f>
        <v>20/10/2025</v>
      </c>
      <c r="L6827">
        <v>150</v>
      </c>
      <c r="M6827">
        <v>150</v>
      </c>
      <c r="N6827">
        <v>134</v>
      </c>
      <c r="O6827" t="str">
        <f>"DIARIA DE MOTOBOY"</f>
        <v>DIARIA DE MOTOBOY</v>
      </c>
      <c r="P6827">
        <v>150</v>
      </c>
      <c r="S6827" t="str">
        <f>"BANCO CORA (102)"</f>
        <v>BANCO CORA (102)</v>
      </c>
      <c r="T6827">
        <v>22512</v>
      </c>
      <c r="U6827">
        <v>26411</v>
      </c>
      <c r="V6827" t="s">
        <v>22</v>
      </c>
    </row>
    <row r="6828" spans="1:22">
      <c r="A6828" t="str">
        <f t="shared" si="1238"/>
        <v>20/10/2025</v>
      </c>
      <c r="B6828" t="str">
        <f t="shared" si="1241"/>
        <v>SAÍDA</v>
      </c>
      <c r="C6828" t="str">
        <f t="shared" si="1242"/>
        <v>PIX</v>
      </c>
      <c r="D6828" t="str">
        <f>"20102025"</f>
        <v>20102025</v>
      </c>
      <c r="E6828" t="str">
        <f t="shared" si="1243"/>
        <v>1</v>
      </c>
      <c r="F6828" t="str">
        <f t="shared" si="1244"/>
        <v>COM</v>
      </c>
      <c r="G6828" t="str">
        <f>"RANGEL DOS SANTOS BATISTA (1016)"</f>
        <v>RANGEL DOS SANTOS BATISTA (1016)</v>
      </c>
      <c r="H6828" t="s">
        <v>1869</v>
      </c>
      <c r="I6828" t="str">
        <f t="shared" si="1245"/>
        <v>20/10/2025</v>
      </c>
      <c r="J6828" t="str">
        <f t="shared" si="1245"/>
        <v>20/10/2025</v>
      </c>
      <c r="K6828">
        <v>45950</v>
      </c>
      <c r="N6828">
        <v>134</v>
      </c>
      <c r="O6828" t="s">
        <v>41</v>
      </c>
      <c r="Q6828">
        <v>150</v>
      </c>
      <c r="R6828" t="str">
        <f>"RANGEL DOS SANTOS BATISTA (1016)"</f>
        <v>RANGEL DOS SANTOS BATISTA (1016)</v>
      </c>
      <c r="S6828" t="s">
        <v>22</v>
      </c>
      <c r="T6828">
        <v>22512</v>
      </c>
      <c r="U6828">
        <v>26411</v>
      </c>
      <c r="V6828" t="s">
        <v>22</v>
      </c>
    </row>
    <row r="6829" spans="1:22">
      <c r="A6829" t="str">
        <f t="shared" ref="A6829:A6871" si="1246">("21/10/2025")</f>
        <v>21/10/2025</v>
      </c>
      <c r="B6829" t="str">
        <f t="shared" si="1241"/>
        <v>SAÍDA</v>
      </c>
      <c r="C6829" t="str">
        <f t="shared" si="1242"/>
        <v>PIX</v>
      </c>
      <c r="D6829" t="str">
        <f>"23856"</f>
        <v>23856</v>
      </c>
      <c r="E6829" t="str">
        <f t="shared" si="1243"/>
        <v>1</v>
      </c>
      <c r="F6829" t="str">
        <f t="shared" si="1244"/>
        <v>COM</v>
      </c>
      <c r="G6829" t="str">
        <f>"ALEXSANDRO HENRIQUE FERREIRA (808)"</f>
        <v>ALEXSANDRO HENRIQUE FERREIRA (808)</v>
      </c>
      <c r="H6829" t="str">
        <f>"Serv.Prest. 13/10/2025 a 19/10/2025 - PIX: CPF - CHAVE: 157.591.436-03"</f>
        <v>Serv.Prest. 13/10/2025 a 19/10/2025 - PIX: CPF - CHAVE: 157.591.436-03</v>
      </c>
      <c r="I6829" t="str">
        <f>("23/10/2025")</f>
        <v>23/10/2025</v>
      </c>
      <c r="J6829" t="str">
        <f>("20/10/2025")</f>
        <v>20/10/2025</v>
      </c>
      <c r="K6829" t="str">
        <f>("21/10/2025")</f>
        <v>21/10/2025</v>
      </c>
      <c r="L6829">
        <v>75</v>
      </c>
      <c r="M6829">
        <v>75</v>
      </c>
      <c r="N6829">
        <v>109</v>
      </c>
      <c r="O6829" t="str">
        <f>"PAGAMENTO DE ENTREGADORES"</f>
        <v>PAGAMENTO DE ENTREGADORES</v>
      </c>
      <c r="P6829">
        <v>75</v>
      </c>
      <c r="S6829" t="str">
        <f>"BANCO CORA (102)"</f>
        <v>BANCO CORA (102)</v>
      </c>
      <c r="T6829">
        <v>20086</v>
      </c>
      <c r="U6829">
        <v>24117</v>
      </c>
      <c r="V6829" t="s">
        <v>22</v>
      </c>
    </row>
    <row r="6830" spans="1:22">
      <c r="A6830" t="str">
        <f t="shared" si="1246"/>
        <v>21/10/2025</v>
      </c>
      <c r="B6830" t="str">
        <f t="shared" si="1241"/>
        <v>SAÍDA</v>
      </c>
      <c r="C6830" t="str">
        <f t="shared" si="1242"/>
        <v>PIX</v>
      </c>
      <c r="D6830" t="str">
        <f>"23856"</f>
        <v>23856</v>
      </c>
      <c r="E6830" t="str">
        <f t="shared" si="1243"/>
        <v>1</v>
      </c>
      <c r="F6830" t="str">
        <f t="shared" si="1244"/>
        <v>COM</v>
      </c>
      <c r="G6830" t="str">
        <f>"ALEXSANDRO HENRIQUE FERREIRA (808)"</f>
        <v>ALEXSANDRO HENRIQUE FERREIRA (808)</v>
      </c>
      <c r="H6830" t="s">
        <v>1870</v>
      </c>
      <c r="I6830" t="str">
        <f>("23/10/2025")</f>
        <v>23/10/2025</v>
      </c>
      <c r="J6830" t="str">
        <f>("20/10/2025")</f>
        <v>20/10/2025</v>
      </c>
      <c r="K6830">
        <v>45951</v>
      </c>
      <c r="N6830">
        <v>109</v>
      </c>
      <c r="O6830" t="s">
        <v>24</v>
      </c>
      <c r="Q6830">
        <v>75</v>
      </c>
      <c r="R6830" t="str">
        <f>"DROGARIA ANA VISCONDE DO RIO BRANCO (10182)"</f>
        <v>DROGARIA ANA VISCONDE DO RIO BRANCO (10182)</v>
      </c>
      <c r="S6830" t="s">
        <v>22</v>
      </c>
      <c r="T6830">
        <v>20086</v>
      </c>
      <c r="U6830">
        <v>24117</v>
      </c>
      <c r="V6830" t="s">
        <v>22</v>
      </c>
    </row>
    <row r="6831" spans="1:22">
      <c r="A6831" t="str">
        <f t="shared" si="1246"/>
        <v>21/10/2025</v>
      </c>
      <c r="B6831" t="str">
        <f t="shared" si="1241"/>
        <v>SAÍDA</v>
      </c>
      <c r="C6831" t="str">
        <f>"BOLETO"</f>
        <v>BOLETO</v>
      </c>
      <c r="D6831" t="str">
        <f>"2368779"</f>
        <v>2368779</v>
      </c>
      <c r="E6831" t="str">
        <f>""</f>
        <v/>
      </c>
      <c r="F6831" t="str">
        <f t="shared" si="1244"/>
        <v>COM</v>
      </c>
      <c r="G6831" t="str">
        <f>"EMPRESA BRASILEIRA DE CORREIOS E TELEGRAFOS (20050)"</f>
        <v>EMPRESA BRASILEIRA DE CORREIOS E TELEGRAFOS (20050)</v>
      </c>
      <c r="H6831" t="str">
        <f>"DESPESAS COM POSTAGENS"</f>
        <v>DESPESAS COM POSTAGENS</v>
      </c>
      <c r="I6831" t="str">
        <f t="shared" ref="I6831:I6865" si="1247">("21/10/2025")</f>
        <v>21/10/2025</v>
      </c>
      <c r="J6831" t="str">
        <f>("30/09/2025")</f>
        <v>30/09/2025</v>
      </c>
      <c r="K6831" t="str">
        <f>("21/10/2025")</f>
        <v>21/10/2025</v>
      </c>
      <c r="L6831">
        <v>160.52000000000001</v>
      </c>
      <c r="M6831">
        <v>160.52000000000001</v>
      </c>
      <c r="N6831">
        <v>400</v>
      </c>
      <c r="O6831" t="str">
        <f>"COMPRA DE FORNECEDORES"</f>
        <v>COMPRA DE FORNECEDORES</v>
      </c>
      <c r="P6831">
        <v>160.52000000000001</v>
      </c>
      <c r="S6831" t="str">
        <f>"BANCO CORA (102)"</f>
        <v>BANCO CORA (102)</v>
      </c>
      <c r="T6831">
        <v>20122</v>
      </c>
      <c r="U6831">
        <v>14977</v>
      </c>
      <c r="V6831" t="s">
        <v>22</v>
      </c>
    </row>
    <row r="6832" spans="1:22">
      <c r="A6832" t="str">
        <f t="shared" si="1246"/>
        <v>21/10/2025</v>
      </c>
      <c r="B6832" t="str">
        <f t="shared" si="1241"/>
        <v>SAÍDA</v>
      </c>
      <c r="C6832" t="str">
        <f>"BOLETO"</f>
        <v>BOLETO</v>
      </c>
      <c r="D6832" t="str">
        <f>"2368779"</f>
        <v>2368779</v>
      </c>
      <c r="E6832" t="str">
        <f>""</f>
        <v/>
      </c>
      <c r="F6832" t="str">
        <f t="shared" si="1244"/>
        <v>COM</v>
      </c>
      <c r="G6832" t="str">
        <f>"EMPRESA BRASILEIRA DE CORREIOS E TELEGRAFOS (20050)"</f>
        <v>EMPRESA BRASILEIRA DE CORREIOS E TELEGRAFOS (20050)</v>
      </c>
      <c r="H6832" t="s">
        <v>860</v>
      </c>
      <c r="I6832" t="str">
        <f t="shared" si="1247"/>
        <v>21/10/2025</v>
      </c>
      <c r="J6832" t="str">
        <f>("30/09/2025")</f>
        <v>30/09/2025</v>
      </c>
      <c r="K6832">
        <v>45951</v>
      </c>
      <c r="N6832">
        <v>400</v>
      </c>
      <c r="O6832" t="s">
        <v>861</v>
      </c>
      <c r="Q6832">
        <v>160.52000000000001</v>
      </c>
      <c r="R6832" t="str">
        <f>"EMPRESA BRASILEIRA DE CORREIOS E TELEGRAFOS (20050)"</f>
        <v>EMPRESA BRASILEIRA DE CORREIOS E TELEGRAFOS (20050)</v>
      </c>
      <c r="S6832" t="s">
        <v>22</v>
      </c>
      <c r="T6832">
        <v>20122</v>
      </c>
      <c r="U6832">
        <v>14977</v>
      </c>
      <c r="V6832" t="s">
        <v>22</v>
      </c>
    </row>
    <row r="6833" spans="1:22">
      <c r="A6833" t="str">
        <f t="shared" si="1246"/>
        <v>21/10/2025</v>
      </c>
      <c r="B6833" t="str">
        <f t="shared" si="1241"/>
        <v>SAÍDA</v>
      </c>
      <c r="C6833" t="str">
        <f t="shared" ref="C6833:C6875" si="1248">"PIX"</f>
        <v>PIX</v>
      </c>
      <c r="D6833" t="str">
        <f>"23884"</f>
        <v>23884</v>
      </c>
      <c r="E6833" t="str">
        <f t="shared" ref="E6833:E6875" si="1249">"1"</f>
        <v>1</v>
      </c>
      <c r="F6833" t="str">
        <f t="shared" si="1244"/>
        <v>COM</v>
      </c>
      <c r="G6833" t="str">
        <f>"IRENE FRAGOSO DE OLIVEIRA (1003)"</f>
        <v>IRENE FRAGOSO DE OLIVEIRA (1003)</v>
      </c>
      <c r="H6833" t="str">
        <f>"Serv.Prest. 13/10/2025 a 19/10/2025 - PIX: E-MAIL - CHAVE: irenefragoso45@gmail.com"</f>
        <v>Serv.Prest. 13/10/2025 a 19/10/2025 - PIX: E-MAIL - CHAVE: irenefragoso45@gmail.com</v>
      </c>
      <c r="I6833" t="str">
        <f t="shared" si="1247"/>
        <v>21/10/2025</v>
      </c>
      <c r="J6833" t="str">
        <f>("20/10/2025")</f>
        <v>20/10/2025</v>
      </c>
      <c r="K6833" t="str">
        <f>("21/10/2025")</f>
        <v>21/10/2025</v>
      </c>
      <c r="L6833">
        <v>150</v>
      </c>
      <c r="M6833">
        <v>150</v>
      </c>
      <c r="N6833">
        <v>134</v>
      </c>
      <c r="O6833" t="str">
        <f>"DIARIA DE MOTOBOY"</f>
        <v>DIARIA DE MOTOBOY</v>
      </c>
      <c r="P6833">
        <v>150</v>
      </c>
      <c r="S6833" t="str">
        <f>"BANCO CORA (102)"</f>
        <v>BANCO CORA (102)</v>
      </c>
      <c r="T6833">
        <v>20123</v>
      </c>
      <c r="U6833">
        <v>23884</v>
      </c>
      <c r="V6833" t="s">
        <v>22</v>
      </c>
    </row>
    <row r="6834" spans="1:22">
      <c r="A6834" t="str">
        <f t="shared" si="1246"/>
        <v>21/10/2025</v>
      </c>
      <c r="B6834" t="str">
        <f t="shared" si="1241"/>
        <v>SAÍDA</v>
      </c>
      <c r="C6834" t="str">
        <f t="shared" si="1248"/>
        <v>PIX</v>
      </c>
      <c r="D6834" t="str">
        <f>"23884"</f>
        <v>23884</v>
      </c>
      <c r="E6834" t="str">
        <f t="shared" si="1249"/>
        <v>1</v>
      </c>
      <c r="F6834" t="str">
        <f t="shared" si="1244"/>
        <v>COM</v>
      </c>
      <c r="G6834" t="str">
        <f>"IRENE FRAGOSO DE OLIVEIRA (1003)"</f>
        <v>IRENE FRAGOSO DE OLIVEIRA (1003)</v>
      </c>
      <c r="H6834" t="s">
        <v>1847</v>
      </c>
      <c r="I6834" t="str">
        <f t="shared" si="1247"/>
        <v>21/10/2025</v>
      </c>
      <c r="J6834" t="str">
        <f>("20/10/2025")</f>
        <v>20/10/2025</v>
      </c>
      <c r="K6834">
        <v>45951</v>
      </c>
      <c r="N6834">
        <v>134</v>
      </c>
      <c r="O6834" t="s">
        <v>41</v>
      </c>
      <c r="Q6834">
        <v>150</v>
      </c>
      <c r="R6834" t="str">
        <f>"PENSE FARMA 16 (10221)"</f>
        <v>PENSE FARMA 16 (10221)</v>
      </c>
      <c r="S6834" t="s">
        <v>22</v>
      </c>
      <c r="T6834">
        <v>20123</v>
      </c>
      <c r="U6834">
        <v>23884</v>
      </c>
      <c r="V6834" t="s">
        <v>22</v>
      </c>
    </row>
    <row r="6835" spans="1:22">
      <c r="A6835" t="str">
        <f t="shared" si="1246"/>
        <v>21/10/2025</v>
      </c>
      <c r="B6835" t="str">
        <f t="shared" si="1241"/>
        <v>SAÍDA</v>
      </c>
      <c r="C6835" t="str">
        <f t="shared" si="1248"/>
        <v>PIX</v>
      </c>
      <c r="D6835" t="str">
        <f>"23953"</f>
        <v>23953</v>
      </c>
      <c r="E6835" t="str">
        <f t="shared" si="1249"/>
        <v>1</v>
      </c>
      <c r="F6835" t="str">
        <f t="shared" si="1244"/>
        <v>COM</v>
      </c>
      <c r="G6835" t="str">
        <f>"WILLIAM FERREIRA DE OLIVEIRA (900)"</f>
        <v>WILLIAM FERREIRA DE OLIVEIRA (900)</v>
      </c>
      <c r="H6835" t="str">
        <f>"Serv.Prest. 13/10/2025 a 19/10/2025 - PIX: CPF - CHAVE: 106.393.056-10"</f>
        <v>Serv.Prest. 13/10/2025 a 19/10/2025 - PIX: CPF - CHAVE: 106.393.056-10</v>
      </c>
      <c r="I6835" t="str">
        <f t="shared" si="1247"/>
        <v>21/10/2025</v>
      </c>
      <c r="J6835" t="str">
        <f>("21/10/2025")</f>
        <v>21/10/2025</v>
      </c>
      <c r="K6835" t="str">
        <f>("21/10/2025")</f>
        <v>21/10/2025</v>
      </c>
      <c r="L6835">
        <v>144</v>
      </c>
      <c r="M6835">
        <v>140</v>
      </c>
      <c r="N6835">
        <v>134</v>
      </c>
      <c r="O6835" t="str">
        <f>"DIARIA DE MOTOBOY"</f>
        <v>DIARIA DE MOTOBOY</v>
      </c>
      <c r="P6835">
        <v>140</v>
      </c>
      <c r="S6835" t="str">
        <f>"BANCO CORA (102)"</f>
        <v>BANCO CORA (102)</v>
      </c>
      <c r="T6835">
        <v>20124</v>
      </c>
      <c r="U6835">
        <v>23953</v>
      </c>
      <c r="V6835" t="s">
        <v>22</v>
      </c>
    </row>
    <row r="6836" spans="1:22">
      <c r="A6836" t="str">
        <f t="shared" si="1246"/>
        <v>21/10/2025</v>
      </c>
      <c r="B6836" t="str">
        <f t="shared" si="1241"/>
        <v>SAÍDA</v>
      </c>
      <c r="C6836" t="str">
        <f t="shared" si="1248"/>
        <v>PIX</v>
      </c>
      <c r="D6836" t="str">
        <f>"23953"</f>
        <v>23953</v>
      </c>
      <c r="E6836" t="str">
        <f t="shared" si="1249"/>
        <v>1</v>
      </c>
      <c r="F6836" t="str">
        <f t="shared" si="1244"/>
        <v>COM</v>
      </c>
      <c r="G6836" t="str">
        <f>"WILLIAM FERREIRA DE OLIVEIRA (900)"</f>
        <v>WILLIAM FERREIRA DE OLIVEIRA (900)</v>
      </c>
      <c r="H6836" t="s">
        <v>1871</v>
      </c>
      <c r="I6836" t="str">
        <f t="shared" si="1247"/>
        <v>21/10/2025</v>
      </c>
      <c r="J6836" t="str">
        <f t="shared" ref="J6836:J6844" si="1250">("21/10/2025")</f>
        <v>21/10/2025</v>
      </c>
      <c r="K6836">
        <v>45951</v>
      </c>
      <c r="N6836">
        <v>134</v>
      </c>
      <c r="O6836" t="s">
        <v>41</v>
      </c>
      <c r="Q6836">
        <v>140</v>
      </c>
      <c r="R6836" t="str">
        <f>"PAGMENOS - LJ 657 (10136)"</f>
        <v>PAGMENOS - LJ 657 (10136)</v>
      </c>
      <c r="S6836" t="s">
        <v>22</v>
      </c>
      <c r="T6836">
        <v>20124</v>
      </c>
      <c r="U6836">
        <v>23953</v>
      </c>
      <c r="V6836" t="s">
        <v>22</v>
      </c>
    </row>
    <row r="6837" spans="1:22">
      <c r="A6837" t="str">
        <f t="shared" si="1246"/>
        <v>21/10/2025</v>
      </c>
      <c r="B6837" t="str">
        <f t="shared" si="1241"/>
        <v>SAÍDA</v>
      </c>
      <c r="C6837" t="str">
        <f t="shared" si="1248"/>
        <v>PIX</v>
      </c>
      <c r="D6837" t="str">
        <f>"23998"</f>
        <v>23998</v>
      </c>
      <c r="E6837" t="str">
        <f t="shared" si="1249"/>
        <v>1</v>
      </c>
      <c r="F6837" t="str">
        <f t="shared" si="1244"/>
        <v>COM</v>
      </c>
      <c r="G6837" t="str">
        <f>"EZEQUIEL MATHEUS SOUSA MAXIMIANO ROSA (931)"</f>
        <v>EZEQUIEL MATHEUS SOUSA MAXIMIANO ROSA (931)</v>
      </c>
      <c r="H6837" t="str">
        <f>"Serv.Prest. 13/10/2025 a 19/10/2025 - PIX: CPF - CHAVE: 141.994.266-20"</f>
        <v>Serv.Prest. 13/10/2025 a 19/10/2025 - PIX: CPF - CHAVE: 141.994.266-20</v>
      </c>
      <c r="I6837" t="str">
        <f t="shared" si="1247"/>
        <v>21/10/2025</v>
      </c>
      <c r="J6837" t="str">
        <f t="shared" si="1250"/>
        <v>21/10/2025</v>
      </c>
      <c r="K6837" t="str">
        <f>("21/10/2025")</f>
        <v>21/10/2025</v>
      </c>
      <c r="L6837">
        <v>168</v>
      </c>
      <c r="M6837">
        <v>170</v>
      </c>
      <c r="N6837">
        <v>134</v>
      </c>
      <c r="O6837" t="str">
        <f>"DIARIA DE MOTOBOY"</f>
        <v>DIARIA DE MOTOBOY</v>
      </c>
      <c r="P6837">
        <v>170</v>
      </c>
      <c r="S6837" t="str">
        <f>"BANCO CORA (102)"</f>
        <v>BANCO CORA (102)</v>
      </c>
      <c r="T6837">
        <v>20125</v>
      </c>
      <c r="U6837">
        <v>23998</v>
      </c>
      <c r="V6837" t="s">
        <v>22</v>
      </c>
    </row>
    <row r="6838" spans="1:22">
      <c r="A6838" t="str">
        <f t="shared" si="1246"/>
        <v>21/10/2025</v>
      </c>
      <c r="B6838" t="str">
        <f t="shared" si="1241"/>
        <v>SAÍDA</v>
      </c>
      <c r="C6838" t="str">
        <f t="shared" si="1248"/>
        <v>PIX</v>
      </c>
      <c r="D6838" t="str">
        <f>"23998"</f>
        <v>23998</v>
      </c>
      <c r="E6838" t="str">
        <f t="shared" si="1249"/>
        <v>1</v>
      </c>
      <c r="F6838" t="str">
        <f t="shared" si="1244"/>
        <v>COM</v>
      </c>
      <c r="G6838" t="str">
        <f>"EZEQUIEL MATHEUS SOUSA MAXIMIANO ROSA (931)"</f>
        <v>EZEQUIEL MATHEUS SOUSA MAXIMIANO ROSA (931)</v>
      </c>
      <c r="H6838" t="s">
        <v>1872</v>
      </c>
      <c r="I6838" t="str">
        <f t="shared" si="1247"/>
        <v>21/10/2025</v>
      </c>
      <c r="J6838" t="str">
        <f t="shared" si="1250"/>
        <v>21/10/2025</v>
      </c>
      <c r="K6838">
        <v>45951</v>
      </c>
      <c r="N6838">
        <v>134</v>
      </c>
      <c r="O6838" t="s">
        <v>41</v>
      </c>
      <c r="Q6838">
        <v>170</v>
      </c>
      <c r="R6838" t="str">
        <f>"FARMÁCIA INDIANA LJ 192 (10082)"</f>
        <v>FARMÁCIA INDIANA LJ 192 (10082)</v>
      </c>
      <c r="S6838" t="s">
        <v>22</v>
      </c>
      <c r="T6838">
        <v>20125</v>
      </c>
      <c r="U6838">
        <v>23998</v>
      </c>
      <c r="V6838" t="s">
        <v>22</v>
      </c>
    </row>
    <row r="6839" spans="1:22">
      <c r="A6839" t="str">
        <f t="shared" si="1246"/>
        <v>21/10/2025</v>
      </c>
      <c r="B6839" t="str">
        <f t="shared" si="1241"/>
        <v>SAÍDA</v>
      </c>
      <c r="C6839" t="str">
        <f t="shared" si="1248"/>
        <v>PIX</v>
      </c>
      <c r="D6839" t="str">
        <f>"24019"</f>
        <v>24019</v>
      </c>
      <c r="E6839" t="str">
        <f t="shared" si="1249"/>
        <v>1</v>
      </c>
      <c r="F6839" t="str">
        <f t="shared" si="1244"/>
        <v>COM</v>
      </c>
      <c r="G6839" t="str">
        <f>"JUSSARA CRISTINA FARIA (783)"</f>
        <v>JUSSARA CRISTINA FARIA (783)</v>
      </c>
      <c r="H6839" t="str">
        <f>"Serv.Prest. 13/10/2025 a 19/10/2025 - PIX: CELULAR - CHAVE: (31) 99373-5678"</f>
        <v>Serv.Prest. 13/10/2025 a 19/10/2025 - PIX: CELULAR - CHAVE: (31) 99373-5678</v>
      </c>
      <c r="I6839" t="str">
        <f t="shared" si="1247"/>
        <v>21/10/2025</v>
      </c>
      <c r="J6839" t="str">
        <f t="shared" si="1250"/>
        <v>21/10/2025</v>
      </c>
      <c r="K6839" t="str">
        <f>("21/10/2025")</f>
        <v>21/10/2025</v>
      </c>
      <c r="L6839">
        <v>450</v>
      </c>
      <c r="M6839">
        <v>450</v>
      </c>
      <c r="N6839">
        <v>134</v>
      </c>
      <c r="O6839" t="str">
        <f>"DIARIA DE MOTOBOY"</f>
        <v>DIARIA DE MOTOBOY</v>
      </c>
      <c r="P6839">
        <v>450</v>
      </c>
      <c r="S6839" t="str">
        <f>"BANCO CORA (102)"</f>
        <v>BANCO CORA (102)</v>
      </c>
      <c r="T6839">
        <v>20126</v>
      </c>
      <c r="U6839">
        <v>24019</v>
      </c>
      <c r="V6839" t="s">
        <v>22</v>
      </c>
    </row>
    <row r="6840" spans="1:22">
      <c r="A6840" t="str">
        <f t="shared" si="1246"/>
        <v>21/10/2025</v>
      </c>
      <c r="B6840" t="str">
        <f t="shared" si="1241"/>
        <v>SAÍDA</v>
      </c>
      <c r="C6840" t="str">
        <f t="shared" si="1248"/>
        <v>PIX</v>
      </c>
      <c r="D6840" t="str">
        <f>"24019"</f>
        <v>24019</v>
      </c>
      <c r="E6840" t="str">
        <f t="shared" si="1249"/>
        <v>1</v>
      </c>
      <c r="F6840" t="str">
        <f t="shared" si="1244"/>
        <v>COM</v>
      </c>
      <c r="G6840" t="str">
        <f>"JUSSARA CRISTINA FARIA (783)"</f>
        <v>JUSSARA CRISTINA FARIA (783)</v>
      </c>
      <c r="H6840" t="s">
        <v>1873</v>
      </c>
      <c r="I6840" t="str">
        <f t="shared" si="1247"/>
        <v>21/10/2025</v>
      </c>
      <c r="J6840" t="str">
        <f t="shared" si="1250"/>
        <v>21/10/2025</v>
      </c>
      <c r="K6840">
        <v>45951</v>
      </c>
      <c r="N6840">
        <v>134</v>
      </c>
      <c r="O6840" t="s">
        <v>41</v>
      </c>
      <c r="Q6840">
        <v>450</v>
      </c>
      <c r="R6840" t="str">
        <f>"FARMÁCIA INDIANA LJ 110 (10048)"</f>
        <v>FARMÁCIA INDIANA LJ 110 (10048)</v>
      </c>
      <c r="S6840" t="s">
        <v>22</v>
      </c>
      <c r="T6840">
        <v>20126</v>
      </c>
      <c r="U6840">
        <v>24019</v>
      </c>
      <c r="V6840" t="s">
        <v>22</v>
      </c>
    </row>
    <row r="6841" spans="1:22">
      <c r="A6841" t="str">
        <f t="shared" si="1246"/>
        <v>21/10/2025</v>
      </c>
      <c r="B6841" t="str">
        <f t="shared" si="1241"/>
        <v>SAÍDA</v>
      </c>
      <c r="C6841" t="str">
        <f t="shared" si="1248"/>
        <v>PIX</v>
      </c>
      <c r="D6841" t="str">
        <f>"24022"</f>
        <v>24022</v>
      </c>
      <c r="E6841" t="str">
        <f t="shared" si="1249"/>
        <v>1</v>
      </c>
      <c r="F6841" t="str">
        <f t="shared" si="1244"/>
        <v>COM</v>
      </c>
      <c r="G6841" t="str">
        <f>"LAUAN ROCHA DE MELO (914)"</f>
        <v>LAUAN ROCHA DE MELO (914)</v>
      </c>
      <c r="H6841" t="str">
        <f>"Serv.Prest. 13/10/2025 a 19/10/2025 - PIX: CELULAR - CHAVE: (32) 99913-0476"</f>
        <v>Serv.Prest. 13/10/2025 a 19/10/2025 - PIX: CELULAR - CHAVE: (32) 99913-0476</v>
      </c>
      <c r="I6841" t="str">
        <f t="shared" si="1247"/>
        <v>21/10/2025</v>
      </c>
      <c r="J6841" t="str">
        <f t="shared" si="1250"/>
        <v>21/10/2025</v>
      </c>
      <c r="K6841" t="str">
        <f>("21/10/2025")</f>
        <v>21/10/2025</v>
      </c>
      <c r="L6841">
        <v>120</v>
      </c>
      <c r="M6841">
        <v>120</v>
      </c>
      <c r="N6841">
        <v>134</v>
      </c>
      <c r="O6841" t="str">
        <f>"DIARIA DE MOTOBOY"</f>
        <v>DIARIA DE MOTOBOY</v>
      </c>
      <c r="P6841">
        <v>120</v>
      </c>
      <c r="S6841" t="str">
        <f>"BANCO CORA (102)"</f>
        <v>BANCO CORA (102)</v>
      </c>
      <c r="T6841">
        <v>20127</v>
      </c>
      <c r="U6841">
        <v>24022</v>
      </c>
      <c r="V6841" t="s">
        <v>22</v>
      </c>
    </row>
    <row r="6842" spans="1:22">
      <c r="A6842" t="str">
        <f t="shared" si="1246"/>
        <v>21/10/2025</v>
      </c>
      <c r="B6842" t="str">
        <f t="shared" si="1241"/>
        <v>SAÍDA</v>
      </c>
      <c r="C6842" t="str">
        <f t="shared" si="1248"/>
        <v>PIX</v>
      </c>
      <c r="D6842" t="str">
        <f>"24022"</f>
        <v>24022</v>
      </c>
      <c r="E6842" t="str">
        <f t="shared" si="1249"/>
        <v>1</v>
      </c>
      <c r="F6842" t="str">
        <f t="shared" si="1244"/>
        <v>COM</v>
      </c>
      <c r="G6842" t="str">
        <f>"LAUAN ROCHA DE MELO (914)"</f>
        <v>LAUAN ROCHA DE MELO (914)</v>
      </c>
      <c r="H6842" t="s">
        <v>1874</v>
      </c>
      <c r="I6842" t="str">
        <f t="shared" si="1247"/>
        <v>21/10/2025</v>
      </c>
      <c r="J6842" t="str">
        <f t="shared" si="1250"/>
        <v>21/10/2025</v>
      </c>
      <c r="K6842">
        <v>45951</v>
      </c>
      <c r="N6842">
        <v>134</v>
      </c>
      <c r="O6842" t="s">
        <v>41</v>
      </c>
      <c r="Q6842">
        <v>120</v>
      </c>
      <c r="R6842" t="str">
        <f>"FARMÁCIA INDIANA LJ 109 (10047)"</f>
        <v>FARMÁCIA INDIANA LJ 109 (10047)</v>
      </c>
      <c r="S6842" t="s">
        <v>22</v>
      </c>
      <c r="T6842">
        <v>20127</v>
      </c>
      <c r="U6842">
        <v>24022</v>
      </c>
      <c r="V6842" t="s">
        <v>22</v>
      </c>
    </row>
    <row r="6843" spans="1:22">
      <c r="A6843" t="str">
        <f t="shared" si="1246"/>
        <v>21/10/2025</v>
      </c>
      <c r="B6843" t="str">
        <f t="shared" si="1241"/>
        <v>SAÍDA</v>
      </c>
      <c r="C6843" t="str">
        <f t="shared" si="1248"/>
        <v>PIX</v>
      </c>
      <c r="D6843" t="str">
        <f>"24052"</f>
        <v>24052</v>
      </c>
      <c r="E6843" t="str">
        <f t="shared" si="1249"/>
        <v>1</v>
      </c>
      <c r="F6843" t="str">
        <f t="shared" si="1244"/>
        <v>COM</v>
      </c>
      <c r="G6843" t="str">
        <f>"RAFAEL PEDRO MENDES (944)"</f>
        <v>RAFAEL PEDRO MENDES (944)</v>
      </c>
      <c r="H6843" t="str">
        <f>"Serv.Prest. 13/10/2025 a 19/10/2025 - PIX: CELULAR - CHAVE: (31) 99680-9634"</f>
        <v>Serv.Prest. 13/10/2025 a 19/10/2025 - PIX: CELULAR - CHAVE: (31) 99680-9634</v>
      </c>
      <c r="I6843" t="str">
        <f t="shared" si="1247"/>
        <v>21/10/2025</v>
      </c>
      <c r="J6843" t="str">
        <f t="shared" si="1250"/>
        <v>21/10/2025</v>
      </c>
      <c r="K6843" t="str">
        <f>("21/10/2025")</f>
        <v>21/10/2025</v>
      </c>
      <c r="L6843">
        <v>360</v>
      </c>
      <c r="M6843">
        <v>360</v>
      </c>
      <c r="N6843">
        <v>134</v>
      </c>
      <c r="O6843" t="str">
        <f>"DIARIA DE MOTOBOY"</f>
        <v>DIARIA DE MOTOBOY</v>
      </c>
      <c r="P6843">
        <v>360</v>
      </c>
      <c r="S6843" t="str">
        <f>"BANCO CORA (102)"</f>
        <v>BANCO CORA (102)</v>
      </c>
      <c r="T6843">
        <v>20128</v>
      </c>
      <c r="U6843">
        <v>24052</v>
      </c>
      <c r="V6843" t="s">
        <v>22</v>
      </c>
    </row>
    <row r="6844" spans="1:22">
      <c r="A6844" t="str">
        <f t="shared" si="1246"/>
        <v>21/10/2025</v>
      </c>
      <c r="B6844" t="str">
        <f t="shared" si="1241"/>
        <v>SAÍDA</v>
      </c>
      <c r="C6844" t="str">
        <f t="shared" si="1248"/>
        <v>PIX</v>
      </c>
      <c r="D6844" t="str">
        <f>"24052"</f>
        <v>24052</v>
      </c>
      <c r="E6844" t="str">
        <f t="shared" si="1249"/>
        <v>1</v>
      </c>
      <c r="F6844" t="str">
        <f t="shared" si="1244"/>
        <v>COM</v>
      </c>
      <c r="G6844" t="str">
        <f>"RAFAEL PEDRO MENDES (944)"</f>
        <v>RAFAEL PEDRO MENDES (944)</v>
      </c>
      <c r="H6844" t="s">
        <v>1875</v>
      </c>
      <c r="I6844" t="str">
        <f t="shared" si="1247"/>
        <v>21/10/2025</v>
      </c>
      <c r="J6844" t="str">
        <f t="shared" si="1250"/>
        <v>21/10/2025</v>
      </c>
      <c r="K6844">
        <v>45951</v>
      </c>
      <c r="N6844">
        <v>134</v>
      </c>
      <c r="O6844" t="s">
        <v>41</v>
      </c>
      <c r="Q6844">
        <v>360</v>
      </c>
      <c r="R6844" t="str">
        <f>"FARMÁCIA INDIANA LJ 101 (10043)"</f>
        <v>FARMÁCIA INDIANA LJ 101 (10043)</v>
      </c>
      <c r="S6844" t="s">
        <v>22</v>
      </c>
      <c r="T6844">
        <v>20128</v>
      </c>
      <c r="U6844">
        <v>24052</v>
      </c>
      <c r="V6844" t="s">
        <v>22</v>
      </c>
    </row>
    <row r="6845" spans="1:22">
      <c r="A6845" t="str">
        <f t="shared" si="1246"/>
        <v>21/10/2025</v>
      </c>
      <c r="B6845" t="str">
        <f t="shared" si="1241"/>
        <v>SAÍDA</v>
      </c>
      <c r="C6845" t="str">
        <f t="shared" si="1248"/>
        <v>PIX</v>
      </c>
      <c r="D6845" t="str">
        <f>"23881"</f>
        <v>23881</v>
      </c>
      <c r="E6845" t="str">
        <f t="shared" si="1249"/>
        <v>1</v>
      </c>
      <c r="F6845" t="str">
        <f t="shared" si="1244"/>
        <v>COM</v>
      </c>
      <c r="G6845" t="str">
        <f>"LUAN DOS REIS SILVA (954)"</f>
        <v>LUAN DOS REIS SILVA (954)</v>
      </c>
      <c r="H6845" t="str">
        <f>"Serv.Prest. 13/10/2025 a 19/10/2025 - PIX: CELULAR - CHAVE: (11) 95906-5439"</f>
        <v>Serv.Prest. 13/10/2025 a 19/10/2025 - PIX: CELULAR - CHAVE: (11) 95906-5439</v>
      </c>
      <c r="I6845" t="str">
        <f t="shared" si="1247"/>
        <v>21/10/2025</v>
      </c>
      <c r="J6845" t="str">
        <f t="shared" ref="J6845:J6865" si="1251">("20/10/2025")</f>
        <v>20/10/2025</v>
      </c>
      <c r="K6845" t="str">
        <f>("21/10/2025")</f>
        <v>21/10/2025</v>
      </c>
      <c r="L6845">
        <v>170</v>
      </c>
      <c r="M6845">
        <v>170</v>
      </c>
      <c r="N6845">
        <v>109</v>
      </c>
      <c r="O6845" t="str">
        <f>"PAGAMENTO DE ENTREGADORES"</f>
        <v>PAGAMENTO DE ENTREGADORES</v>
      </c>
      <c r="P6845">
        <v>170</v>
      </c>
      <c r="S6845" t="str">
        <f>"BANCO CORA (102)"</f>
        <v>BANCO CORA (102)</v>
      </c>
      <c r="T6845">
        <v>20129</v>
      </c>
      <c r="U6845">
        <v>24118</v>
      </c>
      <c r="V6845" t="s">
        <v>22</v>
      </c>
    </row>
    <row r="6846" spans="1:22">
      <c r="A6846" t="str">
        <f t="shared" si="1246"/>
        <v>21/10/2025</v>
      </c>
      <c r="B6846" t="str">
        <f t="shared" si="1241"/>
        <v>SAÍDA</v>
      </c>
      <c r="C6846" t="str">
        <f t="shared" si="1248"/>
        <v>PIX</v>
      </c>
      <c r="D6846" t="str">
        <f>"23881"</f>
        <v>23881</v>
      </c>
      <c r="E6846" t="str">
        <f t="shared" si="1249"/>
        <v>1</v>
      </c>
      <c r="F6846" t="str">
        <f t="shared" si="1244"/>
        <v>COM</v>
      </c>
      <c r="G6846" t="str">
        <f>"LUAN DOS REIS SILVA (954)"</f>
        <v>LUAN DOS REIS SILVA (954)</v>
      </c>
      <c r="H6846" t="s">
        <v>1876</v>
      </c>
      <c r="I6846" t="str">
        <f t="shared" si="1247"/>
        <v>21/10/2025</v>
      </c>
      <c r="J6846" t="str">
        <f t="shared" si="1251"/>
        <v>20/10/2025</v>
      </c>
      <c r="K6846">
        <v>45951</v>
      </c>
      <c r="N6846">
        <v>109</v>
      </c>
      <c r="O6846" t="s">
        <v>24</v>
      </c>
      <c r="Q6846">
        <v>56.66</v>
      </c>
      <c r="R6846" t="str">
        <f>"PENSE FARMA 05 (10200)"</f>
        <v>PENSE FARMA 05 (10200)</v>
      </c>
      <c r="S6846" t="s">
        <v>22</v>
      </c>
      <c r="T6846">
        <v>20129</v>
      </c>
      <c r="U6846">
        <v>24118</v>
      </c>
      <c r="V6846" t="s">
        <v>22</v>
      </c>
    </row>
    <row r="6847" spans="1:22">
      <c r="A6847" t="str">
        <f t="shared" si="1246"/>
        <v>21/10/2025</v>
      </c>
      <c r="B6847" t="str">
        <f t="shared" si="1241"/>
        <v>SAÍDA</v>
      </c>
      <c r="C6847" t="str">
        <f t="shared" si="1248"/>
        <v>PIX</v>
      </c>
      <c r="D6847" t="str">
        <f>"23881"</f>
        <v>23881</v>
      </c>
      <c r="E6847" t="str">
        <f t="shared" si="1249"/>
        <v>1</v>
      </c>
      <c r="F6847" t="str">
        <f t="shared" si="1244"/>
        <v>COM</v>
      </c>
      <c r="G6847" t="str">
        <f>"LUAN DOS REIS SILVA (954)"</f>
        <v>LUAN DOS REIS SILVA (954)</v>
      </c>
      <c r="H6847" t="s">
        <v>1876</v>
      </c>
      <c r="I6847" t="str">
        <f t="shared" si="1247"/>
        <v>21/10/2025</v>
      </c>
      <c r="J6847" t="str">
        <f t="shared" si="1251"/>
        <v>20/10/2025</v>
      </c>
      <c r="K6847">
        <v>45951</v>
      </c>
      <c r="N6847">
        <v>109</v>
      </c>
      <c r="O6847" t="s">
        <v>24</v>
      </c>
      <c r="Q6847">
        <v>56.66</v>
      </c>
      <c r="R6847" t="str">
        <f>"PENSE FARMA 13 (10202)"</f>
        <v>PENSE FARMA 13 (10202)</v>
      </c>
      <c r="S6847" t="s">
        <v>22</v>
      </c>
      <c r="T6847">
        <v>20129</v>
      </c>
      <c r="U6847">
        <v>24118</v>
      </c>
      <c r="V6847" t="s">
        <v>22</v>
      </c>
    </row>
    <row r="6848" spans="1:22">
      <c r="A6848" t="str">
        <f t="shared" si="1246"/>
        <v>21/10/2025</v>
      </c>
      <c r="B6848" t="str">
        <f t="shared" si="1241"/>
        <v>SAÍDA</v>
      </c>
      <c r="C6848" t="str">
        <f t="shared" si="1248"/>
        <v>PIX</v>
      </c>
      <c r="D6848" t="str">
        <f>"23881"</f>
        <v>23881</v>
      </c>
      <c r="E6848" t="str">
        <f t="shared" si="1249"/>
        <v>1</v>
      </c>
      <c r="F6848" t="str">
        <f t="shared" si="1244"/>
        <v>COM</v>
      </c>
      <c r="G6848" t="str">
        <f>"LUAN DOS REIS SILVA (954)"</f>
        <v>LUAN DOS REIS SILVA (954)</v>
      </c>
      <c r="H6848" t="s">
        <v>1876</v>
      </c>
      <c r="I6848" t="str">
        <f t="shared" si="1247"/>
        <v>21/10/2025</v>
      </c>
      <c r="J6848" t="str">
        <f t="shared" si="1251"/>
        <v>20/10/2025</v>
      </c>
      <c r="K6848">
        <v>45951</v>
      </c>
      <c r="N6848">
        <v>109</v>
      </c>
      <c r="O6848" t="s">
        <v>24</v>
      </c>
      <c r="Q6848">
        <v>56.68</v>
      </c>
      <c r="R6848" t="str">
        <f>"PENSE FARMA 27 (10204)"</f>
        <v>PENSE FARMA 27 (10204)</v>
      </c>
      <c r="S6848" t="s">
        <v>22</v>
      </c>
      <c r="T6848">
        <v>20129</v>
      </c>
      <c r="U6848">
        <v>24118</v>
      </c>
      <c r="V6848" t="s">
        <v>22</v>
      </c>
    </row>
    <row r="6849" spans="1:22">
      <c r="A6849" t="str">
        <f t="shared" si="1246"/>
        <v>21/10/2025</v>
      </c>
      <c r="B6849" t="str">
        <f t="shared" si="1241"/>
        <v>SAÍDA</v>
      </c>
      <c r="C6849" t="str">
        <f t="shared" si="1248"/>
        <v>PIX</v>
      </c>
      <c r="D6849" t="str">
        <f t="shared" ref="D6849:D6855" si="1252">"23890"</f>
        <v>23890</v>
      </c>
      <c r="E6849" t="str">
        <f t="shared" si="1249"/>
        <v>1</v>
      </c>
      <c r="F6849" t="str">
        <f t="shared" si="1244"/>
        <v>COM</v>
      </c>
      <c r="G6849" t="str">
        <f t="shared" ref="G6849:G6855" si="1253">"JULIO GUIMARAES DOS SANTOS (977)"</f>
        <v>JULIO GUIMARAES DOS SANTOS (977)</v>
      </c>
      <c r="H6849" t="str">
        <f>"Serv.Prest. 13/10/2025 a 19/10/2025 - PIX: CELULAR - CHAVE: (11) 94195-2534"</f>
        <v>Serv.Prest. 13/10/2025 a 19/10/2025 - PIX: CELULAR - CHAVE: (11) 94195-2534</v>
      </c>
      <c r="I6849" t="str">
        <f t="shared" si="1247"/>
        <v>21/10/2025</v>
      </c>
      <c r="J6849" t="str">
        <f t="shared" si="1251"/>
        <v>20/10/2025</v>
      </c>
      <c r="K6849" t="str">
        <f>("21/10/2025")</f>
        <v>21/10/2025</v>
      </c>
      <c r="L6849">
        <v>170</v>
      </c>
      <c r="M6849">
        <v>170</v>
      </c>
      <c r="N6849">
        <v>109</v>
      </c>
      <c r="O6849" t="str">
        <f>"PAGAMENTO DE ENTREGADORES"</f>
        <v>PAGAMENTO DE ENTREGADORES</v>
      </c>
      <c r="P6849">
        <v>170</v>
      </c>
      <c r="S6849" t="str">
        <f>"BANCO CORA (102)"</f>
        <v>BANCO CORA (102)</v>
      </c>
      <c r="T6849">
        <v>20130</v>
      </c>
      <c r="U6849">
        <v>24121</v>
      </c>
      <c r="V6849" t="s">
        <v>22</v>
      </c>
    </row>
    <row r="6850" spans="1:22">
      <c r="A6850" t="str">
        <f t="shared" si="1246"/>
        <v>21/10/2025</v>
      </c>
      <c r="B6850" t="str">
        <f t="shared" si="1241"/>
        <v>SAÍDA</v>
      </c>
      <c r="C6850" t="str">
        <f t="shared" si="1248"/>
        <v>PIX</v>
      </c>
      <c r="D6850" t="str">
        <f t="shared" si="1252"/>
        <v>23890</v>
      </c>
      <c r="E6850" t="str">
        <f t="shared" si="1249"/>
        <v>1</v>
      </c>
      <c r="F6850" t="str">
        <f t="shared" si="1244"/>
        <v>COM</v>
      </c>
      <c r="G6850" t="str">
        <f t="shared" si="1253"/>
        <v>JULIO GUIMARAES DOS SANTOS (977)</v>
      </c>
      <c r="H6850" t="s">
        <v>1877</v>
      </c>
      <c r="I6850" t="str">
        <f t="shared" si="1247"/>
        <v>21/10/2025</v>
      </c>
      <c r="J6850" t="str">
        <f t="shared" si="1251"/>
        <v>20/10/2025</v>
      </c>
      <c r="K6850">
        <v>45951</v>
      </c>
      <c r="N6850">
        <v>109</v>
      </c>
      <c r="O6850" t="s">
        <v>24</v>
      </c>
      <c r="Q6850">
        <v>24.3</v>
      </c>
      <c r="R6850" t="str">
        <f>"PENSE FARMA 20 (10203)"</f>
        <v>PENSE FARMA 20 (10203)</v>
      </c>
      <c r="S6850" t="s">
        <v>22</v>
      </c>
      <c r="T6850">
        <v>20130</v>
      </c>
      <c r="U6850">
        <v>24121</v>
      </c>
      <c r="V6850" t="s">
        <v>22</v>
      </c>
    </row>
    <row r="6851" spans="1:22">
      <c r="A6851" t="str">
        <f t="shared" si="1246"/>
        <v>21/10/2025</v>
      </c>
      <c r="B6851" t="str">
        <f t="shared" si="1241"/>
        <v>SAÍDA</v>
      </c>
      <c r="C6851" t="str">
        <f t="shared" si="1248"/>
        <v>PIX</v>
      </c>
      <c r="D6851" t="str">
        <f t="shared" si="1252"/>
        <v>23890</v>
      </c>
      <c r="E6851" t="str">
        <f t="shared" si="1249"/>
        <v>1</v>
      </c>
      <c r="F6851" t="str">
        <f t="shared" si="1244"/>
        <v>COM</v>
      </c>
      <c r="G6851" t="str">
        <f t="shared" si="1253"/>
        <v>JULIO GUIMARAES DOS SANTOS (977)</v>
      </c>
      <c r="H6851" t="s">
        <v>1877</v>
      </c>
      <c r="I6851" t="str">
        <f t="shared" si="1247"/>
        <v>21/10/2025</v>
      </c>
      <c r="J6851" t="str">
        <f t="shared" si="1251"/>
        <v>20/10/2025</v>
      </c>
      <c r="K6851">
        <v>45951</v>
      </c>
      <c r="N6851">
        <v>109</v>
      </c>
      <c r="O6851" t="s">
        <v>24</v>
      </c>
      <c r="Q6851">
        <v>24.29</v>
      </c>
      <c r="R6851" t="str">
        <f>"PENSE FARMA 36 (10206)"</f>
        <v>PENSE FARMA 36 (10206)</v>
      </c>
      <c r="S6851" t="s">
        <v>22</v>
      </c>
      <c r="T6851">
        <v>20130</v>
      </c>
      <c r="U6851">
        <v>24121</v>
      </c>
      <c r="V6851" t="s">
        <v>22</v>
      </c>
    </row>
    <row r="6852" spans="1:22">
      <c r="A6852" t="str">
        <f t="shared" si="1246"/>
        <v>21/10/2025</v>
      </c>
      <c r="B6852" t="str">
        <f t="shared" si="1241"/>
        <v>SAÍDA</v>
      </c>
      <c r="C6852" t="str">
        <f t="shared" si="1248"/>
        <v>PIX</v>
      </c>
      <c r="D6852" t="str">
        <f t="shared" si="1252"/>
        <v>23890</v>
      </c>
      <c r="E6852" t="str">
        <f t="shared" si="1249"/>
        <v>1</v>
      </c>
      <c r="F6852" t="str">
        <f t="shared" si="1244"/>
        <v>COM</v>
      </c>
      <c r="G6852" t="str">
        <f t="shared" si="1253"/>
        <v>JULIO GUIMARAES DOS SANTOS (977)</v>
      </c>
      <c r="H6852" t="s">
        <v>1877</v>
      </c>
      <c r="I6852" t="str">
        <f t="shared" si="1247"/>
        <v>21/10/2025</v>
      </c>
      <c r="J6852" t="str">
        <f t="shared" si="1251"/>
        <v>20/10/2025</v>
      </c>
      <c r="K6852">
        <v>45951</v>
      </c>
      <c r="N6852">
        <v>109</v>
      </c>
      <c r="O6852" t="s">
        <v>24</v>
      </c>
      <c r="Q6852">
        <v>24.29</v>
      </c>
      <c r="R6852" t="str">
        <f>"PENSE FARMA 40 (10207)"</f>
        <v>PENSE FARMA 40 (10207)</v>
      </c>
      <c r="S6852" t="s">
        <v>22</v>
      </c>
      <c r="T6852">
        <v>20130</v>
      </c>
      <c r="U6852">
        <v>24121</v>
      </c>
      <c r="V6852" t="s">
        <v>22</v>
      </c>
    </row>
    <row r="6853" spans="1:22">
      <c r="A6853" t="str">
        <f t="shared" si="1246"/>
        <v>21/10/2025</v>
      </c>
      <c r="B6853" t="str">
        <f t="shared" si="1241"/>
        <v>SAÍDA</v>
      </c>
      <c r="C6853" t="str">
        <f t="shared" si="1248"/>
        <v>PIX</v>
      </c>
      <c r="D6853" t="str">
        <f t="shared" si="1252"/>
        <v>23890</v>
      </c>
      <c r="E6853" t="str">
        <f t="shared" si="1249"/>
        <v>1</v>
      </c>
      <c r="F6853" t="str">
        <f t="shared" si="1244"/>
        <v>COM</v>
      </c>
      <c r="G6853" t="str">
        <f t="shared" si="1253"/>
        <v>JULIO GUIMARAES DOS SANTOS (977)</v>
      </c>
      <c r="H6853" t="s">
        <v>1877</v>
      </c>
      <c r="I6853" t="str">
        <f t="shared" si="1247"/>
        <v>21/10/2025</v>
      </c>
      <c r="J6853" t="str">
        <f t="shared" si="1251"/>
        <v>20/10/2025</v>
      </c>
      <c r="K6853">
        <v>45951</v>
      </c>
      <c r="N6853">
        <v>109</v>
      </c>
      <c r="O6853" t="s">
        <v>24</v>
      </c>
      <c r="Q6853">
        <v>24.29</v>
      </c>
      <c r="R6853" t="str">
        <f>"PENSE FARMA 43 (10208)"</f>
        <v>PENSE FARMA 43 (10208)</v>
      </c>
      <c r="S6853" t="s">
        <v>22</v>
      </c>
      <c r="T6853">
        <v>20130</v>
      </c>
      <c r="U6853">
        <v>24121</v>
      </c>
      <c r="V6853" t="s">
        <v>22</v>
      </c>
    </row>
    <row r="6854" spans="1:22">
      <c r="A6854" t="str">
        <f t="shared" si="1246"/>
        <v>21/10/2025</v>
      </c>
      <c r="B6854" t="str">
        <f t="shared" si="1241"/>
        <v>SAÍDA</v>
      </c>
      <c r="C6854" t="str">
        <f t="shared" si="1248"/>
        <v>PIX</v>
      </c>
      <c r="D6854" t="str">
        <f t="shared" si="1252"/>
        <v>23890</v>
      </c>
      <c r="E6854" t="str">
        <f t="shared" si="1249"/>
        <v>1</v>
      </c>
      <c r="F6854" t="str">
        <f t="shared" si="1244"/>
        <v>COM</v>
      </c>
      <c r="G6854" t="str">
        <f t="shared" si="1253"/>
        <v>JULIO GUIMARAES DOS SANTOS (977)</v>
      </c>
      <c r="H6854" t="s">
        <v>1877</v>
      </c>
      <c r="I6854" t="str">
        <f t="shared" si="1247"/>
        <v>21/10/2025</v>
      </c>
      <c r="J6854" t="str">
        <f t="shared" si="1251"/>
        <v>20/10/2025</v>
      </c>
      <c r="K6854">
        <v>45951</v>
      </c>
      <c r="N6854">
        <v>109</v>
      </c>
      <c r="O6854" t="s">
        <v>24</v>
      </c>
      <c r="Q6854">
        <v>48.57</v>
      </c>
      <c r="R6854" t="str">
        <f>"PENSE FARMA 59 (10211)"</f>
        <v>PENSE FARMA 59 (10211)</v>
      </c>
      <c r="S6854" t="s">
        <v>22</v>
      </c>
      <c r="T6854">
        <v>20130</v>
      </c>
      <c r="U6854">
        <v>24121</v>
      </c>
      <c r="V6854" t="s">
        <v>22</v>
      </c>
    </row>
    <row r="6855" spans="1:22">
      <c r="A6855" t="str">
        <f t="shared" si="1246"/>
        <v>21/10/2025</v>
      </c>
      <c r="B6855" t="str">
        <f t="shared" ref="B6855:B6875" si="1254">"SAÍDA"</f>
        <v>SAÍDA</v>
      </c>
      <c r="C6855" t="str">
        <f t="shared" si="1248"/>
        <v>PIX</v>
      </c>
      <c r="D6855" t="str">
        <f t="shared" si="1252"/>
        <v>23890</v>
      </c>
      <c r="E6855" t="str">
        <f t="shared" si="1249"/>
        <v>1</v>
      </c>
      <c r="F6855" t="str">
        <f t="shared" si="1244"/>
        <v>COM</v>
      </c>
      <c r="G6855" t="str">
        <f t="shared" si="1253"/>
        <v>JULIO GUIMARAES DOS SANTOS (977)</v>
      </c>
      <c r="H6855" t="s">
        <v>1877</v>
      </c>
      <c r="I6855" t="str">
        <f t="shared" si="1247"/>
        <v>21/10/2025</v>
      </c>
      <c r="J6855" t="str">
        <f t="shared" si="1251"/>
        <v>20/10/2025</v>
      </c>
      <c r="K6855">
        <v>45951</v>
      </c>
      <c r="N6855">
        <v>109</v>
      </c>
      <c r="O6855" t="s">
        <v>24</v>
      </c>
      <c r="Q6855">
        <v>24.26</v>
      </c>
      <c r="R6855" t="str">
        <f>"PENSE FARMA DARK STORE 361 (10212)"</f>
        <v>PENSE FARMA DARK STORE 361 (10212)</v>
      </c>
      <c r="S6855" t="s">
        <v>22</v>
      </c>
      <c r="T6855">
        <v>20130</v>
      </c>
      <c r="U6855">
        <v>24121</v>
      </c>
      <c r="V6855" t="s">
        <v>22</v>
      </c>
    </row>
    <row r="6856" spans="1:22">
      <c r="A6856" t="str">
        <f t="shared" si="1246"/>
        <v>21/10/2025</v>
      </c>
      <c r="B6856" t="str">
        <f t="shared" si="1254"/>
        <v>SAÍDA</v>
      </c>
      <c r="C6856" t="str">
        <f t="shared" si="1248"/>
        <v>PIX</v>
      </c>
      <c r="D6856" t="str">
        <f>"23867"</f>
        <v>23867</v>
      </c>
      <c r="E6856" t="str">
        <f t="shared" si="1249"/>
        <v>1</v>
      </c>
      <c r="F6856" t="str">
        <f t="shared" si="1244"/>
        <v>COM</v>
      </c>
      <c r="G6856" t="str">
        <f>"ANDREA VOLPONI (1004)"</f>
        <v>ANDREA VOLPONI (1004)</v>
      </c>
      <c r="H6856" t="str">
        <f>"Serv.Prest. 13/10/2025 a 19/10/2025 - PIX: CPF - CHAVE: 361.750.258-06"</f>
        <v>Serv.Prest. 13/10/2025 a 19/10/2025 - PIX: CPF - CHAVE: 361.750.258-06</v>
      </c>
      <c r="I6856" t="str">
        <f t="shared" si="1247"/>
        <v>21/10/2025</v>
      </c>
      <c r="J6856" t="str">
        <f t="shared" si="1251"/>
        <v>20/10/2025</v>
      </c>
      <c r="K6856" t="str">
        <f>("21/10/2025")</f>
        <v>21/10/2025</v>
      </c>
      <c r="L6856">
        <v>100</v>
      </c>
      <c r="M6856">
        <v>100</v>
      </c>
      <c r="N6856">
        <v>109</v>
      </c>
      <c r="O6856" t="str">
        <f>"PAGAMENTO DE ENTREGADORES"</f>
        <v>PAGAMENTO DE ENTREGADORES</v>
      </c>
      <c r="P6856">
        <v>100</v>
      </c>
      <c r="S6856" t="str">
        <f>"BANCO CORA (102)"</f>
        <v>BANCO CORA (102)</v>
      </c>
      <c r="T6856">
        <v>20131</v>
      </c>
      <c r="U6856">
        <v>24123</v>
      </c>
      <c r="V6856" t="s">
        <v>22</v>
      </c>
    </row>
    <row r="6857" spans="1:22">
      <c r="A6857" t="str">
        <f t="shared" si="1246"/>
        <v>21/10/2025</v>
      </c>
      <c r="B6857" t="str">
        <f t="shared" si="1254"/>
        <v>SAÍDA</v>
      </c>
      <c r="C6857" t="str">
        <f t="shared" si="1248"/>
        <v>PIX</v>
      </c>
      <c r="D6857" t="str">
        <f>"23867"</f>
        <v>23867</v>
      </c>
      <c r="E6857" t="str">
        <f t="shared" si="1249"/>
        <v>1</v>
      </c>
      <c r="F6857" t="str">
        <f t="shared" ref="F6857:F6888" si="1255">"COM"</f>
        <v>COM</v>
      </c>
      <c r="G6857" t="str">
        <f>"ANDREA VOLPONI (1004)"</f>
        <v>ANDREA VOLPONI (1004)</v>
      </c>
      <c r="H6857" t="s">
        <v>1859</v>
      </c>
      <c r="I6857" t="str">
        <f t="shared" si="1247"/>
        <v>21/10/2025</v>
      </c>
      <c r="J6857" t="str">
        <f t="shared" si="1251"/>
        <v>20/10/2025</v>
      </c>
      <c r="K6857">
        <v>45951</v>
      </c>
      <c r="N6857">
        <v>109</v>
      </c>
      <c r="O6857" t="s">
        <v>24</v>
      </c>
      <c r="Q6857">
        <v>100</v>
      </c>
      <c r="R6857" t="str">
        <f>"PENSE FARMA 19 (10223)"</f>
        <v>PENSE FARMA 19 (10223)</v>
      </c>
      <c r="S6857" t="s">
        <v>22</v>
      </c>
      <c r="T6857">
        <v>20131</v>
      </c>
      <c r="U6857">
        <v>24123</v>
      </c>
      <c r="V6857" t="s">
        <v>22</v>
      </c>
    </row>
    <row r="6858" spans="1:22">
      <c r="A6858" t="str">
        <f t="shared" si="1246"/>
        <v>21/10/2025</v>
      </c>
      <c r="B6858" t="str">
        <f t="shared" si="1254"/>
        <v>SAÍDA</v>
      </c>
      <c r="C6858" t="str">
        <f t="shared" si="1248"/>
        <v>PIX</v>
      </c>
      <c r="D6858" t="str">
        <f>"23897"</f>
        <v>23897</v>
      </c>
      <c r="E6858" t="str">
        <f t="shared" si="1249"/>
        <v>1</v>
      </c>
      <c r="F6858" t="str">
        <f t="shared" si="1255"/>
        <v>COM</v>
      </c>
      <c r="G6858" t="str">
        <f>"VICTOR HUGO SOARES DE PAULA (1021)"</f>
        <v>VICTOR HUGO SOARES DE PAULA (1021)</v>
      </c>
      <c r="H6858" t="str">
        <f>"Serv.Prest. 13/10/2025 a 19/10/2025 - PIX: CELULAR - CHAVE: (11) 98281-4526"</f>
        <v>Serv.Prest. 13/10/2025 a 19/10/2025 - PIX: CELULAR - CHAVE: (11) 98281-4526</v>
      </c>
      <c r="I6858" t="str">
        <f t="shared" si="1247"/>
        <v>21/10/2025</v>
      </c>
      <c r="J6858" t="str">
        <f t="shared" si="1251"/>
        <v>20/10/2025</v>
      </c>
      <c r="K6858" t="str">
        <f>("21/10/2025")</f>
        <v>21/10/2025</v>
      </c>
      <c r="L6858">
        <v>170</v>
      </c>
      <c r="M6858">
        <v>170</v>
      </c>
      <c r="N6858">
        <v>109</v>
      </c>
      <c r="O6858" t="str">
        <f>"PAGAMENTO DE ENTREGADORES"</f>
        <v>PAGAMENTO DE ENTREGADORES</v>
      </c>
      <c r="P6858">
        <v>170</v>
      </c>
      <c r="S6858" t="str">
        <f>"BANCO CORA (102)"</f>
        <v>BANCO CORA (102)</v>
      </c>
      <c r="T6858">
        <v>20132</v>
      </c>
      <c r="U6858">
        <v>24125</v>
      </c>
      <c r="V6858" t="s">
        <v>22</v>
      </c>
    </row>
    <row r="6859" spans="1:22">
      <c r="A6859" t="str">
        <f t="shared" si="1246"/>
        <v>21/10/2025</v>
      </c>
      <c r="B6859" t="str">
        <f t="shared" si="1254"/>
        <v>SAÍDA</v>
      </c>
      <c r="C6859" t="str">
        <f t="shared" si="1248"/>
        <v>PIX</v>
      </c>
      <c r="D6859" t="str">
        <f>"23897"</f>
        <v>23897</v>
      </c>
      <c r="E6859" t="str">
        <f t="shared" si="1249"/>
        <v>1</v>
      </c>
      <c r="F6859" t="str">
        <f t="shared" si="1255"/>
        <v>COM</v>
      </c>
      <c r="G6859" t="str">
        <f>"VICTOR HUGO SOARES DE PAULA (1021)"</f>
        <v>VICTOR HUGO SOARES DE PAULA (1021)</v>
      </c>
      <c r="H6859" t="s">
        <v>1878</v>
      </c>
      <c r="I6859" t="str">
        <f t="shared" si="1247"/>
        <v>21/10/2025</v>
      </c>
      <c r="J6859" t="str">
        <f t="shared" si="1251"/>
        <v>20/10/2025</v>
      </c>
      <c r="K6859">
        <v>45951</v>
      </c>
      <c r="N6859">
        <v>109</v>
      </c>
      <c r="O6859" t="s">
        <v>24</v>
      </c>
      <c r="Q6859">
        <v>170</v>
      </c>
      <c r="R6859" t="str">
        <f>"PENSE FARMA 44 (10231)"</f>
        <v>PENSE FARMA 44 (10231)</v>
      </c>
      <c r="S6859" t="s">
        <v>22</v>
      </c>
      <c r="T6859">
        <v>20132</v>
      </c>
      <c r="U6859">
        <v>24125</v>
      </c>
      <c r="V6859" t="s">
        <v>22</v>
      </c>
    </row>
    <row r="6860" spans="1:22">
      <c r="A6860" t="str">
        <f t="shared" si="1246"/>
        <v>21/10/2025</v>
      </c>
      <c r="B6860" t="str">
        <f t="shared" si="1254"/>
        <v>SAÍDA</v>
      </c>
      <c r="C6860" t="str">
        <f t="shared" si="1248"/>
        <v>PIX</v>
      </c>
      <c r="D6860" t="str">
        <f>"23902"</f>
        <v>23902</v>
      </c>
      <c r="E6860" t="str">
        <f t="shared" si="1249"/>
        <v>1</v>
      </c>
      <c r="F6860" t="str">
        <f t="shared" si="1255"/>
        <v>COM</v>
      </c>
      <c r="G6860" t="str">
        <f>"MATEUS VIEIRA DE SOUZA (1019)"</f>
        <v>MATEUS VIEIRA DE SOUZA (1019)</v>
      </c>
      <c r="H6860" t="str">
        <f>"Serv.Prest. 13/10/2025 a 19/10/2025 - PIX: CELULAR - CHAVE: (11) 97702-1316"</f>
        <v>Serv.Prest. 13/10/2025 a 19/10/2025 - PIX: CELULAR - CHAVE: (11) 97702-1316</v>
      </c>
      <c r="I6860" t="str">
        <f t="shared" si="1247"/>
        <v>21/10/2025</v>
      </c>
      <c r="J6860" t="str">
        <f t="shared" si="1251"/>
        <v>20/10/2025</v>
      </c>
      <c r="K6860" t="str">
        <f>("21/10/2025")</f>
        <v>21/10/2025</v>
      </c>
      <c r="L6860">
        <v>170</v>
      </c>
      <c r="M6860">
        <v>170</v>
      </c>
      <c r="N6860">
        <v>109</v>
      </c>
      <c r="O6860" t="str">
        <f>"PAGAMENTO DE ENTREGADORES"</f>
        <v>PAGAMENTO DE ENTREGADORES</v>
      </c>
      <c r="P6860">
        <v>170</v>
      </c>
      <c r="S6860" t="str">
        <f>"BANCO CORA (102)"</f>
        <v>BANCO CORA (102)</v>
      </c>
      <c r="T6860">
        <v>20133</v>
      </c>
      <c r="U6860">
        <v>24126</v>
      </c>
      <c r="V6860" t="s">
        <v>22</v>
      </c>
    </row>
    <row r="6861" spans="1:22">
      <c r="A6861" t="str">
        <f t="shared" si="1246"/>
        <v>21/10/2025</v>
      </c>
      <c r="B6861" t="str">
        <f t="shared" si="1254"/>
        <v>SAÍDA</v>
      </c>
      <c r="C6861" t="str">
        <f t="shared" si="1248"/>
        <v>PIX</v>
      </c>
      <c r="D6861" t="str">
        <f>"23902"</f>
        <v>23902</v>
      </c>
      <c r="E6861" t="str">
        <f t="shared" si="1249"/>
        <v>1</v>
      </c>
      <c r="F6861" t="str">
        <f t="shared" si="1255"/>
        <v>COM</v>
      </c>
      <c r="G6861" t="str">
        <f>"MATEUS VIEIRA DE SOUZA (1019)"</f>
        <v>MATEUS VIEIRA DE SOUZA (1019)</v>
      </c>
      <c r="H6861" t="s">
        <v>1879</v>
      </c>
      <c r="I6861" t="str">
        <f t="shared" si="1247"/>
        <v>21/10/2025</v>
      </c>
      <c r="J6861" t="str">
        <f t="shared" si="1251"/>
        <v>20/10/2025</v>
      </c>
      <c r="K6861">
        <v>45951</v>
      </c>
      <c r="N6861">
        <v>109</v>
      </c>
      <c r="O6861" t="s">
        <v>24</v>
      </c>
      <c r="Q6861">
        <v>170</v>
      </c>
      <c r="R6861" t="str">
        <f>"PENSE FARMA 47 (10232)"</f>
        <v>PENSE FARMA 47 (10232)</v>
      </c>
      <c r="S6861" t="s">
        <v>22</v>
      </c>
      <c r="T6861">
        <v>20133</v>
      </c>
      <c r="U6861">
        <v>24126</v>
      </c>
      <c r="V6861" t="s">
        <v>22</v>
      </c>
    </row>
    <row r="6862" spans="1:22">
      <c r="A6862" t="str">
        <f t="shared" si="1246"/>
        <v>21/10/2025</v>
      </c>
      <c r="B6862" t="str">
        <f t="shared" si="1254"/>
        <v>SAÍDA</v>
      </c>
      <c r="C6862" t="str">
        <f t="shared" si="1248"/>
        <v>PIX</v>
      </c>
      <c r="D6862" t="str">
        <f>"23862"</f>
        <v>23862</v>
      </c>
      <c r="E6862" t="str">
        <f t="shared" si="1249"/>
        <v>1</v>
      </c>
      <c r="F6862" t="str">
        <f t="shared" si="1255"/>
        <v>COM</v>
      </c>
      <c r="G6862" t="str">
        <f>"LUCAS MANOEL DA SILVA (978)"</f>
        <v>LUCAS MANOEL DA SILVA (978)</v>
      </c>
      <c r="H6862" t="str">
        <f>"Serv.Prest. 13/10/2025 a 19/10/2025 - PIX: CELULAR - CHAVE: (11) 94212-6784"</f>
        <v>Serv.Prest. 13/10/2025 a 19/10/2025 - PIX: CELULAR - CHAVE: (11) 94212-6784</v>
      </c>
      <c r="I6862" t="str">
        <f t="shared" si="1247"/>
        <v>21/10/2025</v>
      </c>
      <c r="J6862" t="str">
        <f t="shared" si="1251"/>
        <v>20/10/2025</v>
      </c>
      <c r="K6862" t="str">
        <f>("21/10/2025")</f>
        <v>21/10/2025</v>
      </c>
      <c r="L6862">
        <v>170</v>
      </c>
      <c r="M6862">
        <v>170</v>
      </c>
      <c r="N6862">
        <v>109</v>
      </c>
      <c r="O6862" t="str">
        <f>"PAGAMENTO DE ENTREGADORES"</f>
        <v>PAGAMENTO DE ENTREGADORES</v>
      </c>
      <c r="P6862">
        <v>170</v>
      </c>
      <c r="S6862" t="str">
        <f>"BANCO CORA (102)"</f>
        <v>BANCO CORA (102)</v>
      </c>
      <c r="T6862">
        <v>20134</v>
      </c>
      <c r="U6862">
        <v>24128</v>
      </c>
      <c r="V6862" t="s">
        <v>22</v>
      </c>
    </row>
    <row r="6863" spans="1:22">
      <c r="A6863" t="str">
        <f t="shared" si="1246"/>
        <v>21/10/2025</v>
      </c>
      <c r="B6863" t="str">
        <f t="shared" si="1254"/>
        <v>SAÍDA</v>
      </c>
      <c r="C6863" t="str">
        <f t="shared" si="1248"/>
        <v>PIX</v>
      </c>
      <c r="D6863" t="str">
        <f>"23862"</f>
        <v>23862</v>
      </c>
      <c r="E6863" t="str">
        <f t="shared" si="1249"/>
        <v>1</v>
      </c>
      <c r="F6863" t="str">
        <f t="shared" si="1255"/>
        <v>COM</v>
      </c>
      <c r="G6863" t="str">
        <f>"LUCAS MANOEL DA SILVA (978)"</f>
        <v>LUCAS MANOEL DA SILVA (978)</v>
      </c>
      <c r="H6863" t="s">
        <v>1880</v>
      </c>
      <c r="I6863" t="str">
        <f t="shared" si="1247"/>
        <v>21/10/2025</v>
      </c>
      <c r="J6863" t="str">
        <f t="shared" si="1251"/>
        <v>20/10/2025</v>
      </c>
      <c r="K6863">
        <v>45951</v>
      </c>
      <c r="N6863">
        <v>109</v>
      </c>
      <c r="O6863" t="s">
        <v>24</v>
      </c>
      <c r="Q6863">
        <v>56.66</v>
      </c>
      <c r="R6863" t="str">
        <f>"PENSE FARMA 07 (10201)"</f>
        <v>PENSE FARMA 07 (10201)</v>
      </c>
      <c r="S6863" t="s">
        <v>22</v>
      </c>
      <c r="T6863">
        <v>20134</v>
      </c>
      <c r="U6863">
        <v>24128</v>
      </c>
      <c r="V6863" t="s">
        <v>22</v>
      </c>
    </row>
    <row r="6864" spans="1:22">
      <c r="A6864" t="str">
        <f t="shared" si="1246"/>
        <v>21/10/2025</v>
      </c>
      <c r="B6864" t="str">
        <f t="shared" si="1254"/>
        <v>SAÍDA</v>
      </c>
      <c r="C6864" t="str">
        <f t="shared" si="1248"/>
        <v>PIX</v>
      </c>
      <c r="D6864" t="str">
        <f>"23862"</f>
        <v>23862</v>
      </c>
      <c r="E6864" t="str">
        <f t="shared" si="1249"/>
        <v>1</v>
      </c>
      <c r="F6864" t="str">
        <f t="shared" si="1255"/>
        <v>COM</v>
      </c>
      <c r="G6864" t="str">
        <f>"LUCAS MANOEL DA SILVA (978)"</f>
        <v>LUCAS MANOEL DA SILVA (978)</v>
      </c>
      <c r="H6864" t="s">
        <v>1880</v>
      </c>
      <c r="I6864" t="str">
        <f t="shared" si="1247"/>
        <v>21/10/2025</v>
      </c>
      <c r="J6864" t="str">
        <f t="shared" si="1251"/>
        <v>20/10/2025</v>
      </c>
      <c r="K6864">
        <v>45951</v>
      </c>
      <c r="N6864">
        <v>109</v>
      </c>
      <c r="O6864" t="s">
        <v>24</v>
      </c>
      <c r="Q6864">
        <v>56.66</v>
      </c>
      <c r="R6864" t="str">
        <f>"PENSE FARMA 45 (10209)"</f>
        <v>PENSE FARMA 45 (10209)</v>
      </c>
      <c r="S6864" t="s">
        <v>22</v>
      </c>
      <c r="T6864">
        <v>20134</v>
      </c>
      <c r="U6864">
        <v>24128</v>
      </c>
      <c r="V6864" t="s">
        <v>22</v>
      </c>
    </row>
    <row r="6865" spans="1:22">
      <c r="A6865" t="str">
        <f t="shared" si="1246"/>
        <v>21/10/2025</v>
      </c>
      <c r="B6865" t="str">
        <f t="shared" si="1254"/>
        <v>SAÍDA</v>
      </c>
      <c r="C6865" t="str">
        <f t="shared" si="1248"/>
        <v>PIX</v>
      </c>
      <c r="D6865" t="str">
        <f>"23862"</f>
        <v>23862</v>
      </c>
      <c r="E6865" t="str">
        <f t="shared" si="1249"/>
        <v>1</v>
      </c>
      <c r="F6865" t="str">
        <f t="shared" si="1255"/>
        <v>COM</v>
      </c>
      <c r="G6865" t="str">
        <f>"LUCAS MANOEL DA SILVA (978)"</f>
        <v>LUCAS MANOEL DA SILVA (978)</v>
      </c>
      <c r="H6865" t="s">
        <v>1880</v>
      </c>
      <c r="I6865" t="str">
        <f t="shared" si="1247"/>
        <v>21/10/2025</v>
      </c>
      <c r="J6865" t="str">
        <f t="shared" si="1251"/>
        <v>20/10/2025</v>
      </c>
      <c r="K6865">
        <v>45951</v>
      </c>
      <c r="N6865">
        <v>109</v>
      </c>
      <c r="O6865" t="s">
        <v>24</v>
      </c>
      <c r="Q6865">
        <v>56.68</v>
      </c>
      <c r="R6865" t="str">
        <f>"PENSE FARMA 50 (10210)"</f>
        <v>PENSE FARMA 50 (10210)</v>
      </c>
      <c r="S6865" t="s">
        <v>22</v>
      </c>
      <c r="T6865">
        <v>20134</v>
      </c>
      <c r="U6865">
        <v>24128</v>
      </c>
      <c r="V6865" t="s">
        <v>22</v>
      </c>
    </row>
    <row r="6866" spans="1:22">
      <c r="A6866" t="str">
        <f t="shared" si="1246"/>
        <v>21/10/2025</v>
      </c>
      <c r="B6866" t="str">
        <f t="shared" si="1254"/>
        <v>SAÍDA</v>
      </c>
      <c r="C6866" t="str">
        <f t="shared" si="1248"/>
        <v>PIX</v>
      </c>
      <c r="D6866" t="str">
        <f>"24436"</f>
        <v>24436</v>
      </c>
      <c r="E6866" t="str">
        <f t="shared" si="1249"/>
        <v>1</v>
      </c>
      <c r="F6866" t="str">
        <f t="shared" si="1255"/>
        <v>COM</v>
      </c>
      <c r="G6866" t="str">
        <f>"WILLIAM DA SILVA COSTA (655)"</f>
        <v>WILLIAM DA SILVA COSTA (655)</v>
      </c>
      <c r="H6866" t="str">
        <f>"PAGO PARA ULISSES SOUSA SANTOS - Serv.Prest. 20/10/2025 a 26/10/2025"</f>
        <v>PAGO PARA ULISSES SOUSA SANTOS - Serv.Prest. 20/10/2025 a 26/10/2025</v>
      </c>
      <c r="I6866" t="str">
        <f t="shared" ref="I6866:I6871" si="1256">("30/10/2025")</f>
        <v>30/10/2025</v>
      </c>
      <c r="J6866" t="str">
        <f t="shared" ref="J6866:J6871" si="1257">("27/10/2025")</f>
        <v>27/10/2025</v>
      </c>
      <c r="K6866" t="str">
        <f>("21/10/2025")</f>
        <v>21/10/2025</v>
      </c>
      <c r="L6866">
        <v>105</v>
      </c>
      <c r="M6866">
        <v>150</v>
      </c>
      <c r="N6866">
        <v>134</v>
      </c>
      <c r="O6866" t="str">
        <f>"DIARIA DE MOTOBOY"</f>
        <v>DIARIA DE MOTOBOY</v>
      </c>
      <c r="P6866">
        <v>150</v>
      </c>
      <c r="S6866" t="str">
        <f>"BANCO CORA (102)"</f>
        <v>BANCO CORA (102)</v>
      </c>
      <c r="T6866">
        <v>20329</v>
      </c>
      <c r="U6866">
        <v>24504</v>
      </c>
      <c r="V6866" t="s">
        <v>22</v>
      </c>
    </row>
    <row r="6867" spans="1:22">
      <c r="A6867" t="str">
        <f t="shared" si="1246"/>
        <v>21/10/2025</v>
      </c>
      <c r="B6867" t="str">
        <f t="shared" si="1254"/>
        <v>SAÍDA</v>
      </c>
      <c r="C6867" t="str">
        <f t="shared" si="1248"/>
        <v>PIX</v>
      </c>
      <c r="D6867" t="str">
        <f>"24436"</f>
        <v>24436</v>
      </c>
      <c r="E6867" t="str">
        <f t="shared" si="1249"/>
        <v>1</v>
      </c>
      <c r="F6867" t="str">
        <f t="shared" si="1255"/>
        <v>COM</v>
      </c>
      <c r="G6867" t="str">
        <f>"WILLIAM DA SILVA COSTA (655)"</f>
        <v>WILLIAM DA SILVA COSTA (655)</v>
      </c>
      <c r="H6867" t="s">
        <v>1881</v>
      </c>
      <c r="I6867" t="str">
        <f t="shared" si="1256"/>
        <v>30/10/2025</v>
      </c>
      <c r="J6867" t="str">
        <f t="shared" si="1257"/>
        <v>27/10/2025</v>
      </c>
      <c r="K6867">
        <v>45951</v>
      </c>
      <c r="N6867">
        <v>134</v>
      </c>
      <c r="O6867" t="s">
        <v>41</v>
      </c>
      <c r="Q6867">
        <v>150</v>
      </c>
      <c r="R6867" t="str">
        <f>"FARMACIA ECONOMIZE (10103)"</f>
        <v>FARMACIA ECONOMIZE (10103)</v>
      </c>
      <c r="S6867" t="s">
        <v>22</v>
      </c>
      <c r="T6867">
        <v>20329</v>
      </c>
      <c r="U6867">
        <v>24504</v>
      </c>
      <c r="V6867" t="s">
        <v>22</v>
      </c>
    </row>
    <row r="6868" spans="1:22">
      <c r="A6868" t="str">
        <f t="shared" si="1246"/>
        <v>21/10/2025</v>
      </c>
      <c r="B6868" t="str">
        <f t="shared" si="1254"/>
        <v>SAÍDA</v>
      </c>
      <c r="C6868" t="str">
        <f t="shared" si="1248"/>
        <v>PIX</v>
      </c>
      <c r="D6868" t="str">
        <f>"24422"</f>
        <v>24422</v>
      </c>
      <c r="E6868" t="str">
        <f t="shared" si="1249"/>
        <v>1</v>
      </c>
      <c r="F6868" t="str">
        <f t="shared" si="1255"/>
        <v>COM</v>
      </c>
      <c r="G6868" t="str">
        <f>"DIANS APARECIDO RAMOS BERALDO (795)"</f>
        <v>DIANS APARECIDO RAMOS BERALDO (795)</v>
      </c>
      <c r="H6868" t="str">
        <f>"Serv.Prest. 20/10/2025 a 26/10/2025 - PIX: CELULAR - CHAVE: (11) 95530-0331"</f>
        <v>Serv.Prest. 20/10/2025 a 26/10/2025 - PIX: CELULAR - CHAVE: (11) 95530-0331</v>
      </c>
      <c r="I6868" t="str">
        <f t="shared" si="1256"/>
        <v>30/10/2025</v>
      </c>
      <c r="J6868" t="str">
        <f t="shared" si="1257"/>
        <v>27/10/2025</v>
      </c>
      <c r="K6868" t="str">
        <f>("21/10/2025")</f>
        <v>21/10/2025</v>
      </c>
      <c r="L6868">
        <v>130</v>
      </c>
      <c r="M6868">
        <v>130</v>
      </c>
      <c r="N6868">
        <v>134</v>
      </c>
      <c r="O6868" t="str">
        <f>"DIARIA DE MOTOBOY"</f>
        <v>DIARIA DE MOTOBOY</v>
      </c>
      <c r="P6868">
        <v>130</v>
      </c>
      <c r="S6868" t="str">
        <f>"BANCO CORA (102)"</f>
        <v>BANCO CORA (102)</v>
      </c>
      <c r="T6868">
        <v>20332</v>
      </c>
      <c r="U6868">
        <v>24506</v>
      </c>
      <c r="V6868" t="s">
        <v>22</v>
      </c>
    </row>
    <row r="6869" spans="1:22">
      <c r="A6869" t="str">
        <f t="shared" si="1246"/>
        <v>21/10/2025</v>
      </c>
      <c r="B6869" t="str">
        <f t="shared" si="1254"/>
        <v>SAÍDA</v>
      </c>
      <c r="C6869" t="str">
        <f t="shared" si="1248"/>
        <v>PIX</v>
      </c>
      <c r="D6869" t="str">
        <f>"24422"</f>
        <v>24422</v>
      </c>
      <c r="E6869" t="str">
        <f t="shared" si="1249"/>
        <v>1</v>
      </c>
      <c r="F6869" t="str">
        <f t="shared" si="1255"/>
        <v>COM</v>
      </c>
      <c r="G6869" t="str">
        <f>"DIANS APARECIDO RAMOS BERALDO (795)"</f>
        <v>DIANS APARECIDO RAMOS BERALDO (795)</v>
      </c>
      <c r="H6869" t="s">
        <v>1882</v>
      </c>
      <c r="I6869" t="str">
        <f t="shared" si="1256"/>
        <v>30/10/2025</v>
      </c>
      <c r="J6869" t="str">
        <f t="shared" si="1257"/>
        <v>27/10/2025</v>
      </c>
      <c r="K6869">
        <v>45951</v>
      </c>
      <c r="N6869">
        <v>134</v>
      </c>
      <c r="O6869" t="s">
        <v>41</v>
      </c>
      <c r="Q6869">
        <v>130</v>
      </c>
      <c r="R6869" t="str">
        <f>"DROGARIA TOTAL JUNDIAI (10177)"</f>
        <v>DROGARIA TOTAL JUNDIAI (10177)</v>
      </c>
      <c r="S6869" t="s">
        <v>22</v>
      </c>
      <c r="T6869">
        <v>20332</v>
      </c>
      <c r="U6869">
        <v>24506</v>
      </c>
      <c r="V6869" t="s">
        <v>22</v>
      </c>
    </row>
    <row r="6870" spans="1:22">
      <c r="A6870" t="str">
        <f t="shared" si="1246"/>
        <v>21/10/2025</v>
      </c>
      <c r="B6870" t="str">
        <f t="shared" si="1254"/>
        <v>SAÍDA</v>
      </c>
      <c r="C6870" t="str">
        <f t="shared" si="1248"/>
        <v>PIX</v>
      </c>
      <c r="D6870" t="str">
        <f>"24433"</f>
        <v>24433</v>
      </c>
      <c r="E6870" t="str">
        <f t="shared" si="1249"/>
        <v>1</v>
      </c>
      <c r="F6870" t="str">
        <f t="shared" si="1255"/>
        <v>COM</v>
      </c>
      <c r="G6870" t="str">
        <f>"ROBERTO ALVES BATISTA (930)"</f>
        <v>ROBERTO ALVES BATISTA (930)</v>
      </c>
      <c r="H6870" t="str">
        <f>"Serv.Prest. 20/10/2025 a 26/10/2025 - PIX: CELULAR - CHAVE: (11) 96366-0000"</f>
        <v>Serv.Prest. 20/10/2025 a 26/10/2025 - PIX: CELULAR - CHAVE: (11) 96366-0000</v>
      </c>
      <c r="I6870" t="str">
        <f t="shared" si="1256"/>
        <v>30/10/2025</v>
      </c>
      <c r="J6870" t="str">
        <f t="shared" si="1257"/>
        <v>27/10/2025</v>
      </c>
      <c r="K6870" t="str">
        <f>("21/10/2025")</f>
        <v>21/10/2025</v>
      </c>
      <c r="L6870">
        <v>147</v>
      </c>
      <c r="M6870">
        <v>147</v>
      </c>
      <c r="N6870">
        <v>134</v>
      </c>
      <c r="O6870" t="str">
        <f>"DIARIA DE MOTOBOY"</f>
        <v>DIARIA DE MOTOBOY</v>
      </c>
      <c r="P6870">
        <v>147</v>
      </c>
      <c r="S6870" t="str">
        <f>"BANCO CORA (102)"</f>
        <v>BANCO CORA (102)</v>
      </c>
      <c r="T6870">
        <v>20334</v>
      </c>
      <c r="U6870">
        <v>24433</v>
      </c>
      <c r="V6870" t="s">
        <v>22</v>
      </c>
    </row>
    <row r="6871" spans="1:22">
      <c r="A6871" t="str">
        <f t="shared" si="1246"/>
        <v>21/10/2025</v>
      </c>
      <c r="B6871" t="str">
        <f t="shared" si="1254"/>
        <v>SAÍDA</v>
      </c>
      <c r="C6871" t="str">
        <f t="shared" si="1248"/>
        <v>PIX</v>
      </c>
      <c r="D6871" t="str">
        <f>"24433"</f>
        <v>24433</v>
      </c>
      <c r="E6871" t="str">
        <f t="shared" si="1249"/>
        <v>1</v>
      </c>
      <c r="F6871" t="str">
        <f t="shared" si="1255"/>
        <v>COM</v>
      </c>
      <c r="G6871" t="str">
        <f>"ROBERTO ALVES BATISTA (930)"</f>
        <v>ROBERTO ALVES BATISTA (930)</v>
      </c>
      <c r="H6871" t="s">
        <v>1883</v>
      </c>
      <c r="I6871" t="str">
        <f t="shared" si="1256"/>
        <v>30/10/2025</v>
      </c>
      <c r="J6871" t="str">
        <f t="shared" si="1257"/>
        <v>27/10/2025</v>
      </c>
      <c r="K6871">
        <v>45951</v>
      </c>
      <c r="N6871">
        <v>134</v>
      </c>
      <c r="O6871" t="s">
        <v>41</v>
      </c>
      <c r="Q6871">
        <v>147</v>
      </c>
      <c r="R6871" t="str">
        <f>"DROGARIA MORENO LTDA (10171)"</f>
        <v>DROGARIA MORENO LTDA (10171)</v>
      </c>
      <c r="S6871" t="s">
        <v>22</v>
      </c>
      <c r="T6871">
        <v>20334</v>
      </c>
      <c r="U6871">
        <v>24433</v>
      </c>
      <c r="V6871" t="s">
        <v>22</v>
      </c>
    </row>
    <row r="6872" spans="1:22">
      <c r="A6872" t="str">
        <f t="shared" ref="A6872:A6903" si="1258">("22/10/2025")</f>
        <v>22/10/2025</v>
      </c>
      <c r="B6872" t="str">
        <f t="shared" si="1254"/>
        <v>SAÍDA</v>
      </c>
      <c r="C6872" t="str">
        <f t="shared" si="1248"/>
        <v>PIX</v>
      </c>
      <c r="D6872" t="str">
        <f>"23935"</f>
        <v>23935</v>
      </c>
      <c r="E6872" t="str">
        <f t="shared" si="1249"/>
        <v>1</v>
      </c>
      <c r="F6872" t="str">
        <f t="shared" si="1255"/>
        <v>COM</v>
      </c>
      <c r="G6872" t="str">
        <f>"DIANS APARECIDO RAMOS BERALDO (795)"</f>
        <v>DIANS APARECIDO RAMOS BERALDO (795)</v>
      </c>
      <c r="H6872" t="str">
        <f>"Serv.Prest. 13/10/2025 a 19/10/2025 - PIX: CELULAR - CHAVE: (11) 95530-0331"</f>
        <v>Serv.Prest. 13/10/2025 a 19/10/2025 - PIX: CELULAR - CHAVE: (11) 95530-0331</v>
      </c>
      <c r="I6872" t="str">
        <f t="shared" ref="I6872:I6905" si="1259">("23/10/2025")</f>
        <v>23/10/2025</v>
      </c>
      <c r="J6872" t="str">
        <f>("21/10/2025")</f>
        <v>21/10/2025</v>
      </c>
      <c r="K6872" t="str">
        <f>("22/10/2025")</f>
        <v>22/10/2025</v>
      </c>
      <c r="L6872">
        <v>130</v>
      </c>
      <c r="M6872">
        <v>130</v>
      </c>
      <c r="N6872">
        <v>134</v>
      </c>
      <c r="O6872" t="str">
        <f>"DIARIA DE MOTOBOY"</f>
        <v>DIARIA DE MOTOBOY</v>
      </c>
      <c r="P6872">
        <v>130</v>
      </c>
      <c r="S6872" t="str">
        <f>"BANCO CORA (102)"</f>
        <v>BANCO CORA (102)</v>
      </c>
      <c r="T6872">
        <v>20107</v>
      </c>
      <c r="U6872">
        <v>23935</v>
      </c>
      <c r="V6872" t="s">
        <v>22</v>
      </c>
    </row>
    <row r="6873" spans="1:22">
      <c r="A6873" t="str">
        <f t="shared" si="1258"/>
        <v>22/10/2025</v>
      </c>
      <c r="B6873" t="str">
        <f t="shared" si="1254"/>
        <v>SAÍDA</v>
      </c>
      <c r="C6873" t="str">
        <f t="shared" si="1248"/>
        <v>PIX</v>
      </c>
      <c r="D6873" t="str">
        <f>"23935"</f>
        <v>23935</v>
      </c>
      <c r="E6873" t="str">
        <f t="shared" si="1249"/>
        <v>1</v>
      </c>
      <c r="F6873" t="str">
        <f t="shared" si="1255"/>
        <v>COM</v>
      </c>
      <c r="G6873" t="str">
        <f>"DIANS APARECIDO RAMOS BERALDO (795)"</f>
        <v>DIANS APARECIDO RAMOS BERALDO (795)</v>
      </c>
      <c r="H6873" t="s">
        <v>1849</v>
      </c>
      <c r="I6873" t="str">
        <f t="shared" si="1259"/>
        <v>23/10/2025</v>
      </c>
      <c r="J6873" t="str">
        <f>("21/10/2025")</f>
        <v>21/10/2025</v>
      </c>
      <c r="K6873">
        <v>45952</v>
      </c>
      <c r="N6873">
        <v>134</v>
      </c>
      <c r="O6873" t="s">
        <v>41</v>
      </c>
      <c r="Q6873">
        <v>130</v>
      </c>
      <c r="R6873" t="str">
        <f>"DROGARIA TOTAL JUNDIAI (10177)"</f>
        <v>DROGARIA TOTAL JUNDIAI (10177)</v>
      </c>
      <c r="S6873" t="s">
        <v>22</v>
      </c>
      <c r="T6873">
        <v>20107</v>
      </c>
      <c r="U6873">
        <v>23935</v>
      </c>
      <c r="V6873" t="s">
        <v>22</v>
      </c>
    </row>
    <row r="6874" spans="1:22">
      <c r="A6874" t="str">
        <f t="shared" si="1258"/>
        <v>22/10/2025</v>
      </c>
      <c r="B6874" t="str">
        <f t="shared" si="1254"/>
        <v>SAÍDA</v>
      </c>
      <c r="C6874" t="str">
        <f t="shared" si="1248"/>
        <v>PIX</v>
      </c>
      <c r="D6874" t="str">
        <f>"23931"</f>
        <v>23931</v>
      </c>
      <c r="E6874" t="str">
        <f t="shared" si="1249"/>
        <v>1</v>
      </c>
      <c r="F6874" t="str">
        <f t="shared" si="1255"/>
        <v>COM</v>
      </c>
      <c r="G6874" t="str">
        <f>"ALLAN SILVA DAMACENA (790)"</f>
        <v>ALLAN SILVA DAMACENA (790)</v>
      </c>
      <c r="H6874" t="str">
        <f>"Serv.Prest. 13/10/2025 a 19/10/2025 - PIX: CELULAR - CHAVE: (19) 98944-4977"</f>
        <v>Serv.Prest. 13/10/2025 a 19/10/2025 - PIX: CELULAR - CHAVE: (19) 98944-4977</v>
      </c>
      <c r="I6874" t="str">
        <f t="shared" si="1259"/>
        <v>23/10/2025</v>
      </c>
      <c r="J6874" t="str">
        <f>("21/10/2025")</f>
        <v>21/10/2025</v>
      </c>
      <c r="K6874" t="str">
        <f>("22/10/2025")</f>
        <v>22/10/2025</v>
      </c>
      <c r="L6874">
        <v>100</v>
      </c>
      <c r="M6874">
        <v>100</v>
      </c>
      <c r="N6874">
        <v>109</v>
      </c>
      <c r="O6874" t="str">
        <f>"PAGAMENTO DE ENTREGADORES"</f>
        <v>PAGAMENTO DE ENTREGADORES</v>
      </c>
      <c r="P6874">
        <v>100</v>
      </c>
      <c r="S6874" t="str">
        <f>"CAIXA MOVIMENTAÇÃO OPERACIONAL (132)"</f>
        <v>CAIXA MOVIMENTAÇÃO OPERACIONAL (132)</v>
      </c>
      <c r="T6874">
        <v>20110</v>
      </c>
      <c r="U6874">
        <v>24150</v>
      </c>
      <c r="V6874" t="s">
        <v>48</v>
      </c>
    </row>
    <row r="6875" spans="1:22">
      <c r="A6875" t="str">
        <f t="shared" si="1258"/>
        <v>22/10/2025</v>
      </c>
      <c r="B6875" t="str">
        <f t="shared" si="1254"/>
        <v>SAÍDA</v>
      </c>
      <c r="C6875" t="str">
        <f t="shared" si="1248"/>
        <v>PIX</v>
      </c>
      <c r="D6875" t="str">
        <f>"23931"</f>
        <v>23931</v>
      </c>
      <c r="E6875" t="str">
        <f t="shared" si="1249"/>
        <v>1</v>
      </c>
      <c r="F6875" t="str">
        <f t="shared" si="1255"/>
        <v>COM</v>
      </c>
      <c r="G6875" t="str">
        <f>"ALLAN SILVA DAMACENA (790)"</f>
        <v>ALLAN SILVA DAMACENA (790)</v>
      </c>
      <c r="H6875" t="s">
        <v>1884</v>
      </c>
      <c r="I6875" t="str">
        <f t="shared" si="1259"/>
        <v>23/10/2025</v>
      </c>
      <c r="J6875" t="str">
        <f>("21/10/2025")</f>
        <v>21/10/2025</v>
      </c>
      <c r="K6875">
        <v>45952</v>
      </c>
      <c r="N6875">
        <v>109</v>
      </c>
      <c r="O6875" t="s">
        <v>24</v>
      </c>
      <c r="Q6875">
        <v>100</v>
      </c>
      <c r="R6875" t="str">
        <f>"DROGARIA MORENO LTDA (10171)"</f>
        <v>DROGARIA MORENO LTDA (10171)</v>
      </c>
      <c r="S6875" t="s">
        <v>48</v>
      </c>
      <c r="T6875">
        <v>20110</v>
      </c>
      <c r="U6875">
        <v>24150</v>
      </c>
      <c r="V6875" t="s">
        <v>48</v>
      </c>
    </row>
    <row r="6876" spans="1:22">
      <c r="A6876" t="str">
        <f t="shared" si="1258"/>
        <v>22/10/2025</v>
      </c>
      <c r="B6876" t="str">
        <f>"ENTRADA"</f>
        <v>ENTRADA</v>
      </c>
      <c r="C6876" t="str">
        <f>"DINHEIRO"</f>
        <v>DINHEIRO</v>
      </c>
      <c r="D6876" t="str">
        <f>"2310"</f>
        <v>2310</v>
      </c>
      <c r="E6876" t="str">
        <f>"25"</f>
        <v>25</v>
      </c>
      <c r="F6876" t="str">
        <f t="shared" si="1255"/>
        <v>COM</v>
      </c>
      <c r="G6876" t="str">
        <f>"ALLAN SILVA DAMACENA (790)"</f>
        <v>ALLAN SILVA DAMACENA (790)</v>
      </c>
      <c r="H6876" t="str">
        <f>"REEMBOLSO ADIANTAMENTO"</f>
        <v>REEMBOLSO ADIANTAMENTO</v>
      </c>
      <c r="I6876" t="str">
        <f t="shared" si="1259"/>
        <v>23/10/2025</v>
      </c>
      <c r="J6876" t="str">
        <f>("11/09/2025")</f>
        <v>11/09/2025</v>
      </c>
      <c r="K6876" t="str">
        <f>("22/10/2025")</f>
        <v>22/10/2025</v>
      </c>
      <c r="L6876">
        <v>100</v>
      </c>
      <c r="M6876">
        <v>100</v>
      </c>
      <c r="N6876">
        <v>129</v>
      </c>
      <c r="O6876" t="str">
        <f>"ENTRADA DE REEMBOLSO ADIANTAMENTO"</f>
        <v>ENTRADA DE REEMBOLSO ADIANTAMENTO</v>
      </c>
      <c r="P6876">
        <v>100</v>
      </c>
      <c r="S6876" t="str">
        <f>"ENTRADA DE REEMBOLSO ADIANTAMENTO (129)"</f>
        <v>ENTRADA DE REEMBOLSO ADIANTAMENTO (129)</v>
      </c>
      <c r="T6876">
        <v>20111</v>
      </c>
      <c r="U6876">
        <v>21715</v>
      </c>
      <c r="V6876" t="s">
        <v>48</v>
      </c>
    </row>
    <row r="6877" spans="1:22">
      <c r="A6877" t="str">
        <f t="shared" si="1258"/>
        <v>22/10/2025</v>
      </c>
      <c r="B6877" t="str">
        <f>"ENTRADA"</f>
        <v>ENTRADA</v>
      </c>
      <c r="C6877" t="str">
        <f>"DINHEIRO"</f>
        <v>DINHEIRO</v>
      </c>
      <c r="D6877" t="str">
        <f>"2310"</f>
        <v>2310</v>
      </c>
      <c r="E6877" t="str">
        <f>"25"</f>
        <v>25</v>
      </c>
      <c r="F6877" t="str">
        <f t="shared" si="1255"/>
        <v>COM</v>
      </c>
      <c r="G6877" t="str">
        <f>"ALLAN SILVA DAMACENA (790)"</f>
        <v>ALLAN SILVA DAMACENA (790)</v>
      </c>
      <c r="H6877" t="s">
        <v>57</v>
      </c>
      <c r="I6877" t="str">
        <f t="shared" si="1259"/>
        <v>23/10/2025</v>
      </c>
      <c r="J6877" t="str">
        <f>("11/09/2025")</f>
        <v>11/09/2025</v>
      </c>
      <c r="K6877">
        <v>45952</v>
      </c>
      <c r="N6877">
        <v>129</v>
      </c>
      <c r="O6877" t="s">
        <v>58</v>
      </c>
      <c r="Q6877">
        <v>100</v>
      </c>
      <c r="R6877" t="str">
        <f>"ALLAN SILVA DAMACENA (790)"</f>
        <v>ALLAN SILVA DAMACENA (790)</v>
      </c>
      <c r="S6877" t="s">
        <v>59</v>
      </c>
      <c r="T6877">
        <v>20111</v>
      </c>
      <c r="U6877">
        <v>21715</v>
      </c>
      <c r="V6877" t="s">
        <v>48</v>
      </c>
    </row>
    <row r="6878" spans="1:22">
      <c r="A6878" t="str">
        <f t="shared" si="1258"/>
        <v>22/10/2025</v>
      </c>
      <c r="B6878" t="str">
        <f>"ENTRADA"</f>
        <v>ENTRADA</v>
      </c>
      <c r="C6878" t="str">
        <f>"DINHEIRO"</f>
        <v>DINHEIRO</v>
      </c>
      <c r="D6878" t="str">
        <f>"0910"</f>
        <v>0910</v>
      </c>
      <c r="E6878" t="str">
        <f>"25"</f>
        <v>25</v>
      </c>
      <c r="F6878" t="str">
        <f t="shared" si="1255"/>
        <v>COM</v>
      </c>
      <c r="G6878" t="str">
        <f>"CASSIO DIAS RIBEIRO (32)"</f>
        <v>CASSIO DIAS RIBEIRO (32)</v>
      </c>
      <c r="H6878" t="str">
        <f>"REEMBOLSO ADIANTAMENTO"</f>
        <v>REEMBOLSO ADIANTAMENTO</v>
      </c>
      <c r="I6878" t="str">
        <f t="shared" si="1259"/>
        <v>23/10/2025</v>
      </c>
      <c r="J6878" t="str">
        <f>("21/08/2025")</f>
        <v>21/08/2025</v>
      </c>
      <c r="K6878" t="str">
        <f>("22/10/2025")</f>
        <v>22/10/2025</v>
      </c>
      <c r="L6878">
        <v>12</v>
      </c>
      <c r="M6878">
        <v>12</v>
      </c>
      <c r="N6878">
        <v>129</v>
      </c>
      <c r="O6878" t="str">
        <f>"ENTRADA DE REEMBOLSO ADIANTAMENTO"</f>
        <v>ENTRADA DE REEMBOLSO ADIANTAMENTO</v>
      </c>
      <c r="P6878">
        <v>12</v>
      </c>
      <c r="S6878" t="str">
        <f>"ENTRADA DE REEMBOLSO ADIANTAMENTO (129)"</f>
        <v>ENTRADA DE REEMBOLSO ADIANTAMENTO (129)</v>
      </c>
      <c r="T6878">
        <v>20112</v>
      </c>
      <c r="U6878">
        <v>24151</v>
      </c>
      <c r="V6878" t="s">
        <v>48</v>
      </c>
    </row>
    <row r="6879" spans="1:22">
      <c r="A6879" t="str">
        <f t="shared" si="1258"/>
        <v>22/10/2025</v>
      </c>
      <c r="B6879" t="str">
        <f>"ENTRADA"</f>
        <v>ENTRADA</v>
      </c>
      <c r="C6879" t="str">
        <f>"DINHEIRO"</f>
        <v>DINHEIRO</v>
      </c>
      <c r="D6879" t="str">
        <f>"0910"</f>
        <v>0910</v>
      </c>
      <c r="E6879" t="str">
        <f>"25"</f>
        <v>25</v>
      </c>
      <c r="F6879" t="str">
        <f t="shared" si="1255"/>
        <v>COM</v>
      </c>
      <c r="G6879" t="str">
        <f>"CASSIO DIAS RIBEIRO (32)"</f>
        <v>CASSIO DIAS RIBEIRO (32)</v>
      </c>
      <c r="H6879" t="s">
        <v>57</v>
      </c>
      <c r="I6879" t="str">
        <f t="shared" si="1259"/>
        <v>23/10/2025</v>
      </c>
      <c r="J6879" t="str">
        <f>("21/08/2025")</f>
        <v>21/08/2025</v>
      </c>
      <c r="K6879">
        <v>45952</v>
      </c>
      <c r="N6879">
        <v>129</v>
      </c>
      <c r="O6879" t="s">
        <v>58</v>
      </c>
      <c r="Q6879">
        <v>12</v>
      </c>
      <c r="R6879" t="str">
        <f>"CASSIO DIAS RIBEIRO (32)"</f>
        <v>CASSIO DIAS RIBEIRO (32)</v>
      </c>
      <c r="S6879" t="s">
        <v>59</v>
      </c>
      <c r="T6879">
        <v>20112</v>
      </c>
      <c r="U6879">
        <v>24151</v>
      </c>
      <c r="V6879" t="s">
        <v>48</v>
      </c>
    </row>
    <row r="6880" spans="1:22">
      <c r="A6880" t="str">
        <f t="shared" si="1258"/>
        <v>22/10/2025</v>
      </c>
      <c r="B6880" t="str">
        <f>"SAÍDA"</f>
        <v>SAÍDA</v>
      </c>
      <c r="C6880" t="str">
        <f>"PIX"</f>
        <v>PIX</v>
      </c>
      <c r="D6880" t="str">
        <f>"23641"</f>
        <v>23641</v>
      </c>
      <c r="E6880" t="str">
        <f>"1"</f>
        <v>1</v>
      </c>
      <c r="F6880" t="str">
        <f t="shared" si="1255"/>
        <v>COM</v>
      </c>
      <c r="G6880" t="str">
        <f>"CASSIO DIAS RIBEIRO (32)"</f>
        <v>CASSIO DIAS RIBEIRO (32)</v>
      </c>
      <c r="H6880" t="str">
        <f>"Serv.Prest. 06/10/2025 a 12/10/2025 - PIX: CPF - CHAVE: 091.575.986-14"</f>
        <v>Serv.Prest. 06/10/2025 a 12/10/2025 - PIX: CPF - CHAVE: 091.575.986-14</v>
      </c>
      <c r="I6880" t="str">
        <f t="shared" si="1259"/>
        <v>23/10/2025</v>
      </c>
      <c r="J6880" t="str">
        <f>("14/10/2025")</f>
        <v>14/10/2025</v>
      </c>
      <c r="K6880" t="str">
        <f>("22/10/2025")</f>
        <v>22/10/2025</v>
      </c>
      <c r="L6880">
        <v>12</v>
      </c>
      <c r="M6880">
        <v>12</v>
      </c>
      <c r="N6880">
        <v>109</v>
      </c>
      <c r="O6880" t="str">
        <f>"PAGAMENTO DE ENTREGADORES"</f>
        <v>PAGAMENTO DE ENTREGADORES</v>
      </c>
      <c r="P6880">
        <v>12</v>
      </c>
      <c r="S6880" t="str">
        <f>"CAIXA MOVIMENTAÇÃO OPERACIONAL (132)"</f>
        <v>CAIXA MOVIMENTAÇÃO OPERACIONAL (132)</v>
      </c>
      <c r="T6880">
        <v>20113</v>
      </c>
      <c r="U6880">
        <v>23641</v>
      </c>
      <c r="V6880" t="s">
        <v>48</v>
      </c>
    </row>
    <row r="6881" spans="1:22">
      <c r="A6881" t="str">
        <f t="shared" si="1258"/>
        <v>22/10/2025</v>
      </c>
      <c r="B6881" t="str">
        <f>"SAÍDA"</f>
        <v>SAÍDA</v>
      </c>
      <c r="C6881" t="str">
        <f>"PIX"</f>
        <v>PIX</v>
      </c>
      <c r="D6881" t="str">
        <f>"23641"</f>
        <v>23641</v>
      </c>
      <c r="E6881" t="str">
        <f>"1"</f>
        <v>1</v>
      </c>
      <c r="F6881" t="str">
        <f t="shared" si="1255"/>
        <v>COM</v>
      </c>
      <c r="G6881" t="str">
        <f>"CASSIO DIAS RIBEIRO (32)"</f>
        <v>CASSIO DIAS RIBEIRO (32)</v>
      </c>
      <c r="H6881" t="s">
        <v>1885</v>
      </c>
      <c r="I6881" t="str">
        <f t="shared" si="1259"/>
        <v>23/10/2025</v>
      </c>
      <c r="J6881" t="str">
        <f>("14/10/2025")</f>
        <v>14/10/2025</v>
      </c>
      <c r="K6881">
        <v>45952</v>
      </c>
      <c r="N6881">
        <v>109</v>
      </c>
      <c r="O6881" t="s">
        <v>24</v>
      </c>
      <c r="Q6881">
        <v>12</v>
      </c>
      <c r="R6881" t="str">
        <f>"FARMÁCIA INDIANA LJ 11 (10008)"</f>
        <v>FARMÁCIA INDIANA LJ 11 (10008)</v>
      </c>
      <c r="S6881" t="s">
        <v>48</v>
      </c>
      <c r="T6881">
        <v>20113</v>
      </c>
      <c r="U6881">
        <v>23641</v>
      </c>
      <c r="V6881" t="s">
        <v>48</v>
      </c>
    </row>
    <row r="6882" spans="1:22">
      <c r="A6882" t="str">
        <f t="shared" si="1258"/>
        <v>22/10/2025</v>
      </c>
      <c r="B6882" t="str">
        <f>"SAÍDA"</f>
        <v>SAÍDA</v>
      </c>
      <c r="C6882" t="str">
        <f>"PIX"</f>
        <v>PIX</v>
      </c>
      <c r="D6882" t="str">
        <f>"23928"</f>
        <v>23928</v>
      </c>
      <c r="E6882" t="str">
        <f>"1"</f>
        <v>1</v>
      </c>
      <c r="F6882" t="str">
        <f t="shared" si="1255"/>
        <v>COM</v>
      </c>
      <c r="G6882" t="str">
        <f>"ELIO CALDEIRA RIBEIRO JUNIOR (840)"</f>
        <v>ELIO CALDEIRA RIBEIRO JUNIOR (840)</v>
      </c>
      <c r="H6882" t="str">
        <f>"Serv.Prest. 13/10/2025 a 19/10/2025 - PIX: CPF - CHAVE: 463.491.858-70"</f>
        <v>Serv.Prest. 13/10/2025 a 19/10/2025 - PIX: CPF - CHAVE: 463.491.858-70</v>
      </c>
      <c r="I6882" t="str">
        <f t="shared" si="1259"/>
        <v>23/10/2025</v>
      </c>
      <c r="J6882" t="str">
        <f>("21/10/2025")</f>
        <v>21/10/2025</v>
      </c>
      <c r="K6882" t="str">
        <f>("22/10/2025")</f>
        <v>22/10/2025</v>
      </c>
      <c r="L6882">
        <v>300</v>
      </c>
      <c r="M6882">
        <v>300</v>
      </c>
      <c r="N6882">
        <v>109</v>
      </c>
      <c r="O6882" t="str">
        <f>"PAGAMENTO DE ENTREGADORES"</f>
        <v>PAGAMENTO DE ENTREGADORES</v>
      </c>
      <c r="P6882">
        <v>300</v>
      </c>
      <c r="S6882" t="str">
        <f>"CAIXA MOVIMENTAÇÃO OPERACIONAL (132)"</f>
        <v>CAIXA MOVIMENTAÇÃO OPERACIONAL (132)</v>
      </c>
      <c r="T6882">
        <v>20114</v>
      </c>
      <c r="U6882">
        <v>24152</v>
      </c>
      <c r="V6882" t="s">
        <v>48</v>
      </c>
    </row>
    <row r="6883" spans="1:22">
      <c r="A6883" t="str">
        <f t="shared" si="1258"/>
        <v>22/10/2025</v>
      </c>
      <c r="B6883" t="str">
        <f>"SAÍDA"</f>
        <v>SAÍDA</v>
      </c>
      <c r="C6883" t="str">
        <f>"PIX"</f>
        <v>PIX</v>
      </c>
      <c r="D6883" t="str">
        <f>"23928"</f>
        <v>23928</v>
      </c>
      <c r="E6883" t="str">
        <f>"1"</f>
        <v>1</v>
      </c>
      <c r="F6883" t="str">
        <f t="shared" si="1255"/>
        <v>COM</v>
      </c>
      <c r="G6883" t="str">
        <f>"ELIO CALDEIRA RIBEIRO JUNIOR (840)"</f>
        <v>ELIO CALDEIRA RIBEIRO JUNIOR (840)</v>
      </c>
      <c r="H6883" t="s">
        <v>1886</v>
      </c>
      <c r="I6883" t="str">
        <f t="shared" si="1259"/>
        <v>23/10/2025</v>
      </c>
      <c r="J6883" t="str">
        <f>("21/10/2025")</f>
        <v>21/10/2025</v>
      </c>
      <c r="K6883">
        <v>45952</v>
      </c>
      <c r="N6883">
        <v>109</v>
      </c>
      <c r="O6883" t="s">
        <v>24</v>
      </c>
      <c r="Q6883">
        <v>300</v>
      </c>
      <c r="R6883" t="str">
        <f>"DROGARIA MEDIC CENTER LTDA (10172)"</f>
        <v>DROGARIA MEDIC CENTER LTDA (10172)</v>
      </c>
      <c r="S6883" t="s">
        <v>48</v>
      </c>
      <c r="T6883">
        <v>20114</v>
      </c>
      <c r="U6883">
        <v>24152</v>
      </c>
      <c r="V6883" t="s">
        <v>48</v>
      </c>
    </row>
    <row r="6884" spans="1:22">
      <c r="A6884" t="str">
        <f t="shared" si="1258"/>
        <v>22/10/2025</v>
      </c>
      <c r="B6884" t="str">
        <f>"ENTRADA"</f>
        <v>ENTRADA</v>
      </c>
      <c r="C6884" t="str">
        <f>"DINHEIRO"</f>
        <v>DINHEIRO</v>
      </c>
      <c r="D6884" t="str">
        <f>"2310"</f>
        <v>2310</v>
      </c>
      <c r="E6884" t="str">
        <f>"25"</f>
        <v>25</v>
      </c>
      <c r="F6884" t="str">
        <f t="shared" si="1255"/>
        <v>COM</v>
      </c>
      <c r="G6884" t="str">
        <f>"ELIO CALDEIRA RIBEIRO JUNIOR (840)"</f>
        <v>ELIO CALDEIRA RIBEIRO JUNIOR (840)</v>
      </c>
      <c r="H6884" t="str">
        <f>"REEMBOLSO ADIANTAMENTO"</f>
        <v>REEMBOLSO ADIANTAMENTO</v>
      </c>
      <c r="I6884" t="str">
        <f t="shared" si="1259"/>
        <v>23/10/2025</v>
      </c>
      <c r="J6884" t="str">
        <f>("13/10/2025")</f>
        <v>13/10/2025</v>
      </c>
      <c r="K6884" t="str">
        <f>("22/10/2025")</f>
        <v>22/10/2025</v>
      </c>
      <c r="L6884">
        <v>300</v>
      </c>
      <c r="M6884">
        <v>300</v>
      </c>
      <c r="N6884">
        <v>129</v>
      </c>
      <c r="O6884" t="str">
        <f>"ENTRADA DE REEMBOLSO ADIANTAMENTO"</f>
        <v>ENTRADA DE REEMBOLSO ADIANTAMENTO</v>
      </c>
      <c r="P6884">
        <v>300</v>
      </c>
      <c r="S6884" t="str">
        <f>"ENTRADA DE REEMBOLSO ADIANTAMENTO (129)"</f>
        <v>ENTRADA DE REEMBOLSO ADIANTAMENTO (129)</v>
      </c>
      <c r="T6884">
        <v>20115</v>
      </c>
      <c r="U6884">
        <v>23583</v>
      </c>
      <c r="V6884" t="s">
        <v>48</v>
      </c>
    </row>
    <row r="6885" spans="1:22">
      <c r="A6885" t="str">
        <f t="shared" si="1258"/>
        <v>22/10/2025</v>
      </c>
      <c r="B6885" t="str">
        <f>"ENTRADA"</f>
        <v>ENTRADA</v>
      </c>
      <c r="C6885" t="str">
        <f>"DINHEIRO"</f>
        <v>DINHEIRO</v>
      </c>
      <c r="D6885" t="str">
        <f>"2310"</f>
        <v>2310</v>
      </c>
      <c r="E6885" t="str">
        <f>"25"</f>
        <v>25</v>
      </c>
      <c r="F6885" t="str">
        <f t="shared" si="1255"/>
        <v>COM</v>
      </c>
      <c r="G6885" t="str">
        <f>"ELIO CALDEIRA RIBEIRO JUNIOR (840)"</f>
        <v>ELIO CALDEIRA RIBEIRO JUNIOR (840)</v>
      </c>
      <c r="H6885" t="s">
        <v>57</v>
      </c>
      <c r="I6885" t="str">
        <f t="shared" si="1259"/>
        <v>23/10/2025</v>
      </c>
      <c r="J6885" t="str">
        <f>("13/10/2025")</f>
        <v>13/10/2025</v>
      </c>
      <c r="K6885">
        <v>45952</v>
      </c>
      <c r="N6885">
        <v>129</v>
      </c>
      <c r="O6885" t="s">
        <v>58</v>
      </c>
      <c r="Q6885">
        <v>300</v>
      </c>
      <c r="R6885" t="str">
        <f>"ELIO CALDEIRA RIBEIRO JUNIOR (840)"</f>
        <v>ELIO CALDEIRA RIBEIRO JUNIOR (840)</v>
      </c>
      <c r="S6885" t="s">
        <v>59</v>
      </c>
      <c r="T6885">
        <v>20115</v>
      </c>
      <c r="U6885">
        <v>23583</v>
      </c>
      <c r="V6885" t="s">
        <v>48</v>
      </c>
    </row>
    <row r="6886" spans="1:22">
      <c r="A6886" t="str">
        <f t="shared" si="1258"/>
        <v>22/10/2025</v>
      </c>
      <c r="B6886" t="str">
        <f>"SAÍDA"</f>
        <v>SAÍDA</v>
      </c>
      <c r="C6886" t="str">
        <f>"PIX"</f>
        <v>PIX</v>
      </c>
      <c r="D6886" t="str">
        <f>"23936"</f>
        <v>23936</v>
      </c>
      <c r="E6886" t="str">
        <f>"1"</f>
        <v>1</v>
      </c>
      <c r="F6886" t="str">
        <f t="shared" si="1255"/>
        <v>COM</v>
      </c>
      <c r="G6886" t="str">
        <f>"JAMERSON SOUZA LOPES (749)"</f>
        <v>JAMERSON SOUZA LOPES (749)</v>
      </c>
      <c r="H6886" t="str">
        <f>"Serv.Prest. 13/10/2025 a 19/10/2025 - PIX: CPF - CHAVE: 423.098.018-36"</f>
        <v>Serv.Prest. 13/10/2025 a 19/10/2025 - PIX: CPF - CHAVE: 423.098.018-36</v>
      </c>
      <c r="I6886" t="str">
        <f t="shared" si="1259"/>
        <v>23/10/2025</v>
      </c>
      <c r="J6886" t="str">
        <f>("21/10/2025")</f>
        <v>21/10/2025</v>
      </c>
      <c r="K6886" t="str">
        <f>("22/10/2025")</f>
        <v>22/10/2025</v>
      </c>
      <c r="L6886">
        <v>100</v>
      </c>
      <c r="M6886">
        <v>100</v>
      </c>
      <c r="N6886">
        <v>109</v>
      </c>
      <c r="O6886" t="str">
        <f>"PAGAMENTO DE ENTREGADORES"</f>
        <v>PAGAMENTO DE ENTREGADORES</v>
      </c>
      <c r="P6886">
        <v>100</v>
      </c>
      <c r="S6886" t="str">
        <f>"CAIXA MOVIMENTAÇÃO OPERACIONAL (132)"</f>
        <v>CAIXA MOVIMENTAÇÃO OPERACIONAL (132)</v>
      </c>
      <c r="T6886">
        <v>20116</v>
      </c>
      <c r="U6886">
        <v>24153</v>
      </c>
      <c r="V6886" t="s">
        <v>48</v>
      </c>
    </row>
    <row r="6887" spans="1:22">
      <c r="A6887" t="str">
        <f t="shared" si="1258"/>
        <v>22/10/2025</v>
      </c>
      <c r="B6887" t="str">
        <f>"SAÍDA"</f>
        <v>SAÍDA</v>
      </c>
      <c r="C6887" t="str">
        <f>"PIX"</f>
        <v>PIX</v>
      </c>
      <c r="D6887" t="str">
        <f>"23936"</f>
        <v>23936</v>
      </c>
      <c r="E6887" t="str">
        <f>"1"</f>
        <v>1</v>
      </c>
      <c r="F6887" t="str">
        <f t="shared" si="1255"/>
        <v>COM</v>
      </c>
      <c r="G6887" t="str">
        <f>"JAMERSON SOUZA LOPES (749)"</f>
        <v>JAMERSON SOUZA LOPES (749)</v>
      </c>
      <c r="H6887" t="s">
        <v>1887</v>
      </c>
      <c r="I6887" t="str">
        <f t="shared" si="1259"/>
        <v>23/10/2025</v>
      </c>
      <c r="J6887" t="str">
        <f>("21/10/2025")</f>
        <v>21/10/2025</v>
      </c>
      <c r="K6887">
        <v>45952</v>
      </c>
      <c r="N6887">
        <v>109</v>
      </c>
      <c r="O6887" t="s">
        <v>24</v>
      </c>
      <c r="Q6887">
        <v>100</v>
      </c>
      <c r="R6887" t="str">
        <f>"DROGARIA TOTAL JUNDIAI (10177)"</f>
        <v>DROGARIA TOTAL JUNDIAI (10177)</v>
      </c>
      <c r="S6887" t="s">
        <v>48</v>
      </c>
      <c r="T6887">
        <v>20116</v>
      </c>
      <c r="U6887">
        <v>24153</v>
      </c>
      <c r="V6887" t="s">
        <v>48</v>
      </c>
    </row>
    <row r="6888" spans="1:22">
      <c r="A6888" t="str">
        <f t="shared" si="1258"/>
        <v>22/10/2025</v>
      </c>
      <c r="B6888" t="str">
        <f>"ENTRADA"</f>
        <v>ENTRADA</v>
      </c>
      <c r="C6888" t="str">
        <f>"DINHEIRO"</f>
        <v>DINHEIRO</v>
      </c>
      <c r="D6888" t="str">
        <f>"16123100"</f>
        <v>16123100</v>
      </c>
      <c r="E6888" t="str">
        <f>"25"</f>
        <v>25</v>
      </c>
      <c r="F6888" t="str">
        <f t="shared" si="1255"/>
        <v>COM</v>
      </c>
      <c r="G6888" t="str">
        <f>"JAMERSON SOUZA LOPES (749)"</f>
        <v>JAMERSON SOUZA LOPES (749)</v>
      </c>
      <c r="H6888" t="str">
        <f>"REEMBOLSO ADIANTAMENTO"</f>
        <v>REEMBOLSO ADIANTAMENTO</v>
      </c>
      <c r="I6888" t="str">
        <f t="shared" si="1259"/>
        <v>23/10/2025</v>
      </c>
      <c r="J6888" t="str">
        <f>("10/10/2025")</f>
        <v>10/10/2025</v>
      </c>
      <c r="K6888" t="str">
        <f>("22/10/2025")</f>
        <v>22/10/2025</v>
      </c>
      <c r="L6888">
        <v>100</v>
      </c>
      <c r="M6888">
        <v>100</v>
      </c>
      <c r="N6888">
        <v>129</v>
      </c>
      <c r="O6888" t="str">
        <f>"ENTRADA DE REEMBOLSO ADIANTAMENTO"</f>
        <v>ENTRADA DE REEMBOLSO ADIANTAMENTO</v>
      </c>
      <c r="P6888">
        <v>100</v>
      </c>
      <c r="S6888" t="str">
        <f>"ENTRADA DE REEMBOLSO ADIANTAMENTO (129)"</f>
        <v>ENTRADA DE REEMBOLSO ADIANTAMENTO (129)</v>
      </c>
      <c r="T6888">
        <v>20117</v>
      </c>
      <c r="U6888">
        <v>23533</v>
      </c>
      <c r="V6888" t="s">
        <v>48</v>
      </c>
    </row>
    <row r="6889" spans="1:22">
      <c r="A6889" t="str">
        <f t="shared" si="1258"/>
        <v>22/10/2025</v>
      </c>
      <c r="B6889" t="str">
        <f>"ENTRADA"</f>
        <v>ENTRADA</v>
      </c>
      <c r="C6889" t="str">
        <f>"DINHEIRO"</f>
        <v>DINHEIRO</v>
      </c>
      <c r="D6889" t="str">
        <f>"16123100"</f>
        <v>16123100</v>
      </c>
      <c r="E6889" t="str">
        <f>"25"</f>
        <v>25</v>
      </c>
      <c r="F6889" t="str">
        <f t="shared" ref="F6889:F6920" si="1260">"COM"</f>
        <v>COM</v>
      </c>
      <c r="G6889" t="str">
        <f>"JAMERSON SOUZA LOPES (749)"</f>
        <v>JAMERSON SOUZA LOPES (749)</v>
      </c>
      <c r="H6889" t="s">
        <v>57</v>
      </c>
      <c r="I6889" t="str">
        <f t="shared" si="1259"/>
        <v>23/10/2025</v>
      </c>
      <c r="J6889" t="str">
        <f>("10/10/2025")</f>
        <v>10/10/2025</v>
      </c>
      <c r="K6889">
        <v>45952</v>
      </c>
      <c r="N6889">
        <v>129</v>
      </c>
      <c r="O6889" t="s">
        <v>58</v>
      </c>
      <c r="Q6889">
        <v>100</v>
      </c>
      <c r="R6889" t="str">
        <f>"JAMERSON SOUZA LOPES (749)"</f>
        <v>JAMERSON SOUZA LOPES (749)</v>
      </c>
      <c r="S6889" t="s">
        <v>59</v>
      </c>
      <c r="T6889">
        <v>20117</v>
      </c>
      <c r="U6889">
        <v>23533</v>
      </c>
      <c r="V6889" t="s">
        <v>48</v>
      </c>
    </row>
    <row r="6890" spans="1:22">
      <c r="A6890" t="str">
        <f t="shared" si="1258"/>
        <v>22/10/2025</v>
      </c>
      <c r="B6890" t="str">
        <f>"ENTRADA"</f>
        <v>ENTRADA</v>
      </c>
      <c r="C6890" t="str">
        <f>"DINHEIRO"</f>
        <v>DINHEIRO</v>
      </c>
      <c r="D6890" t="str">
        <f>"2310"</f>
        <v>2310</v>
      </c>
      <c r="E6890" t="str">
        <f>"25"</f>
        <v>25</v>
      </c>
      <c r="F6890" t="str">
        <f t="shared" si="1260"/>
        <v>COM</v>
      </c>
      <c r="G6890" t="str">
        <f t="shared" ref="G6890:G6895" si="1261">"JEFFERSON AMORIM DA SILVA (940)"</f>
        <v>JEFFERSON AMORIM DA SILVA (940)</v>
      </c>
      <c r="H6890" t="str">
        <f>"REEMBOLSO ADIANTAMENTO"</f>
        <v>REEMBOLSO ADIANTAMENTO</v>
      </c>
      <c r="I6890" t="str">
        <f t="shared" si="1259"/>
        <v>23/10/2025</v>
      </c>
      <c r="J6890" t="str">
        <f>("13/10/2025")</f>
        <v>13/10/2025</v>
      </c>
      <c r="K6890" t="str">
        <f>("22/10/2025")</f>
        <v>22/10/2025</v>
      </c>
      <c r="L6890">
        <v>50</v>
      </c>
      <c r="M6890">
        <v>50</v>
      </c>
      <c r="N6890">
        <v>129</v>
      </c>
      <c r="O6890" t="str">
        <f>"ENTRADA DE REEMBOLSO ADIANTAMENTO"</f>
        <v>ENTRADA DE REEMBOLSO ADIANTAMENTO</v>
      </c>
      <c r="P6890">
        <v>50</v>
      </c>
      <c r="S6890" t="str">
        <f>"ENTRADA DE REEMBOLSO ADIANTAMENTO (129)"</f>
        <v>ENTRADA DE REEMBOLSO ADIANTAMENTO (129)</v>
      </c>
      <c r="T6890">
        <v>20118</v>
      </c>
      <c r="U6890">
        <v>23588</v>
      </c>
      <c r="V6890" t="s">
        <v>48</v>
      </c>
    </row>
    <row r="6891" spans="1:22">
      <c r="A6891" t="str">
        <f t="shared" si="1258"/>
        <v>22/10/2025</v>
      </c>
      <c r="B6891" t="str">
        <f>"ENTRADA"</f>
        <v>ENTRADA</v>
      </c>
      <c r="C6891" t="str">
        <f>"DINHEIRO"</f>
        <v>DINHEIRO</v>
      </c>
      <c r="D6891" t="str">
        <f>"2310"</f>
        <v>2310</v>
      </c>
      <c r="E6891" t="str">
        <f>"25"</f>
        <v>25</v>
      </c>
      <c r="F6891" t="str">
        <f t="shared" si="1260"/>
        <v>COM</v>
      </c>
      <c r="G6891" t="str">
        <f t="shared" si="1261"/>
        <v>JEFFERSON AMORIM DA SILVA (940)</v>
      </c>
      <c r="H6891" t="s">
        <v>57</v>
      </c>
      <c r="I6891" t="str">
        <f t="shared" si="1259"/>
        <v>23/10/2025</v>
      </c>
      <c r="J6891" t="str">
        <f>("13/10/2025")</f>
        <v>13/10/2025</v>
      </c>
      <c r="K6891">
        <v>45952</v>
      </c>
      <c r="N6891">
        <v>129</v>
      </c>
      <c r="O6891" t="s">
        <v>58</v>
      </c>
      <c r="Q6891">
        <v>50</v>
      </c>
      <c r="R6891" t="str">
        <f>"JEFFERSON AMORIM DA SILVA (940)"</f>
        <v>JEFFERSON AMORIM DA SILVA (940)</v>
      </c>
      <c r="S6891" t="s">
        <v>59</v>
      </c>
      <c r="T6891">
        <v>20118</v>
      </c>
      <c r="U6891">
        <v>23588</v>
      </c>
      <c r="V6891" t="s">
        <v>48</v>
      </c>
    </row>
    <row r="6892" spans="1:22">
      <c r="A6892" t="str">
        <f t="shared" si="1258"/>
        <v>22/10/2025</v>
      </c>
      <c r="B6892" t="str">
        <f>"SAÍDA"</f>
        <v>SAÍDA</v>
      </c>
      <c r="C6892" t="str">
        <f>"PIX"</f>
        <v>PIX</v>
      </c>
      <c r="D6892" t="str">
        <f>"23875"</f>
        <v>23875</v>
      </c>
      <c r="E6892" t="str">
        <f>"1"</f>
        <v>1</v>
      </c>
      <c r="F6892" t="str">
        <f t="shared" si="1260"/>
        <v>COM</v>
      </c>
      <c r="G6892" t="str">
        <f t="shared" si="1261"/>
        <v>JEFFERSON AMORIM DA SILVA (940)</v>
      </c>
      <c r="H6892" t="str">
        <f>"Serv.Prest. 13/10/2025 a 19/10/2025 - PIX: CELULAR - CHAVE: (11) 98447-6954"</f>
        <v>Serv.Prest. 13/10/2025 a 19/10/2025 - PIX: CELULAR - CHAVE: (11) 98447-6954</v>
      </c>
      <c r="I6892" t="str">
        <f t="shared" si="1259"/>
        <v>23/10/2025</v>
      </c>
      <c r="J6892" t="str">
        <f>("20/10/2025")</f>
        <v>20/10/2025</v>
      </c>
      <c r="K6892" t="str">
        <f>("22/10/2025")</f>
        <v>22/10/2025</v>
      </c>
      <c r="L6892">
        <v>50</v>
      </c>
      <c r="M6892">
        <v>50</v>
      </c>
      <c r="N6892">
        <v>109</v>
      </c>
      <c r="O6892" t="str">
        <f>"PAGAMENTO DE ENTREGADORES"</f>
        <v>PAGAMENTO DE ENTREGADORES</v>
      </c>
      <c r="P6892">
        <v>50</v>
      </c>
      <c r="S6892" t="str">
        <f>"CAIXA MOVIMENTAÇÃO OPERACIONAL (132)"</f>
        <v>CAIXA MOVIMENTAÇÃO OPERACIONAL (132)</v>
      </c>
      <c r="T6892">
        <v>20119</v>
      </c>
      <c r="U6892">
        <v>24155</v>
      </c>
      <c r="V6892" t="s">
        <v>48</v>
      </c>
    </row>
    <row r="6893" spans="1:22">
      <c r="A6893" t="str">
        <f t="shared" si="1258"/>
        <v>22/10/2025</v>
      </c>
      <c r="B6893" t="str">
        <f>"SAÍDA"</f>
        <v>SAÍDA</v>
      </c>
      <c r="C6893" t="str">
        <f>"PIX"</f>
        <v>PIX</v>
      </c>
      <c r="D6893" t="str">
        <f>"23875"</f>
        <v>23875</v>
      </c>
      <c r="E6893" t="str">
        <f>"1"</f>
        <v>1</v>
      </c>
      <c r="F6893" t="str">
        <f t="shared" si="1260"/>
        <v>COM</v>
      </c>
      <c r="G6893" t="str">
        <f t="shared" si="1261"/>
        <v>JEFFERSON AMORIM DA SILVA (940)</v>
      </c>
      <c r="H6893" t="s">
        <v>1888</v>
      </c>
      <c r="I6893" t="str">
        <f t="shared" si="1259"/>
        <v>23/10/2025</v>
      </c>
      <c r="J6893" t="str">
        <f>("20/10/2025")</f>
        <v>20/10/2025</v>
      </c>
      <c r="K6893">
        <v>45952</v>
      </c>
      <c r="N6893">
        <v>109</v>
      </c>
      <c r="O6893" t="s">
        <v>24</v>
      </c>
      <c r="Q6893">
        <v>16.66</v>
      </c>
      <c r="R6893" t="str">
        <f>"PENSE FARMA 15 (10195)"</f>
        <v>PENSE FARMA 15 (10195)</v>
      </c>
      <c r="S6893" t="s">
        <v>48</v>
      </c>
      <c r="T6893">
        <v>20119</v>
      </c>
      <c r="U6893">
        <v>24155</v>
      </c>
      <c r="V6893" t="s">
        <v>48</v>
      </c>
    </row>
    <row r="6894" spans="1:22">
      <c r="A6894" t="str">
        <f t="shared" si="1258"/>
        <v>22/10/2025</v>
      </c>
      <c r="B6894" t="str">
        <f>"SAÍDA"</f>
        <v>SAÍDA</v>
      </c>
      <c r="C6894" t="str">
        <f>"PIX"</f>
        <v>PIX</v>
      </c>
      <c r="D6894" t="str">
        <f>"23875"</f>
        <v>23875</v>
      </c>
      <c r="E6894" t="str">
        <f>"1"</f>
        <v>1</v>
      </c>
      <c r="F6894" t="str">
        <f t="shared" si="1260"/>
        <v>COM</v>
      </c>
      <c r="G6894" t="str">
        <f t="shared" si="1261"/>
        <v>JEFFERSON AMORIM DA SILVA (940)</v>
      </c>
      <c r="H6894" t="s">
        <v>1888</v>
      </c>
      <c r="I6894" t="str">
        <f t="shared" si="1259"/>
        <v>23/10/2025</v>
      </c>
      <c r="J6894" t="str">
        <f>("20/10/2025")</f>
        <v>20/10/2025</v>
      </c>
      <c r="K6894">
        <v>45952</v>
      </c>
      <c r="N6894">
        <v>109</v>
      </c>
      <c r="O6894" t="s">
        <v>24</v>
      </c>
      <c r="Q6894">
        <v>16.670000000000002</v>
      </c>
      <c r="R6894" t="str">
        <f>"PENSE FARMA 26 (10196)"</f>
        <v>PENSE FARMA 26 (10196)</v>
      </c>
      <c r="S6894" t="s">
        <v>48</v>
      </c>
      <c r="T6894">
        <v>20119</v>
      </c>
      <c r="U6894">
        <v>24155</v>
      </c>
      <c r="V6894" t="s">
        <v>48</v>
      </c>
    </row>
    <row r="6895" spans="1:22">
      <c r="A6895" t="str">
        <f t="shared" si="1258"/>
        <v>22/10/2025</v>
      </c>
      <c r="B6895" t="str">
        <f>"SAÍDA"</f>
        <v>SAÍDA</v>
      </c>
      <c r="C6895" t="str">
        <f>"PIX"</f>
        <v>PIX</v>
      </c>
      <c r="D6895" t="str">
        <f>"23875"</f>
        <v>23875</v>
      </c>
      <c r="E6895" t="str">
        <f>"1"</f>
        <v>1</v>
      </c>
      <c r="F6895" t="str">
        <f t="shared" si="1260"/>
        <v>COM</v>
      </c>
      <c r="G6895" t="str">
        <f t="shared" si="1261"/>
        <v>JEFFERSON AMORIM DA SILVA (940)</v>
      </c>
      <c r="H6895" t="s">
        <v>1888</v>
      </c>
      <c r="I6895" t="str">
        <f t="shared" si="1259"/>
        <v>23/10/2025</v>
      </c>
      <c r="J6895" t="str">
        <f>("20/10/2025")</f>
        <v>20/10/2025</v>
      </c>
      <c r="K6895">
        <v>45952</v>
      </c>
      <c r="N6895">
        <v>109</v>
      </c>
      <c r="O6895" t="s">
        <v>24</v>
      </c>
      <c r="Q6895">
        <v>16.670000000000002</v>
      </c>
      <c r="R6895" t="str">
        <f>"PENSE FARMA 60 (10197)"</f>
        <v>PENSE FARMA 60 (10197)</v>
      </c>
      <c r="S6895" t="s">
        <v>48</v>
      </c>
      <c r="T6895">
        <v>20119</v>
      </c>
      <c r="U6895">
        <v>24155</v>
      </c>
      <c r="V6895" t="s">
        <v>48</v>
      </c>
    </row>
    <row r="6896" spans="1:22">
      <c r="A6896" t="str">
        <f t="shared" si="1258"/>
        <v>22/10/2025</v>
      </c>
      <c r="B6896" t="str">
        <f>"ENTRADA"</f>
        <v>ENTRADA</v>
      </c>
      <c r="C6896" t="str">
        <f>"DINHEIRO"</f>
        <v>DINHEIRO</v>
      </c>
      <c r="D6896" t="str">
        <f>"0611"</f>
        <v>0611</v>
      </c>
      <c r="E6896" t="str">
        <f>"25"</f>
        <v>25</v>
      </c>
      <c r="F6896" t="str">
        <f t="shared" si="1260"/>
        <v>COM</v>
      </c>
      <c r="G6896" t="str">
        <f>"WEIGNE SENA CARDOSO (53)"</f>
        <v>WEIGNE SENA CARDOSO (53)</v>
      </c>
      <c r="H6896" t="str">
        <f>"REEMBOLSO ADIANTAMENTO"</f>
        <v>REEMBOLSO ADIANTAMENTO</v>
      </c>
      <c r="I6896" t="str">
        <f t="shared" si="1259"/>
        <v>23/10/2025</v>
      </c>
      <c r="J6896" t="str">
        <f>("06/10/2025")</f>
        <v>06/10/2025</v>
      </c>
      <c r="K6896" t="str">
        <f>("22/10/2025")</f>
        <v>22/10/2025</v>
      </c>
      <c r="L6896">
        <v>100</v>
      </c>
      <c r="M6896">
        <v>100</v>
      </c>
      <c r="N6896">
        <v>129</v>
      </c>
      <c r="O6896" t="str">
        <f>"ENTRADA DE REEMBOLSO ADIANTAMENTO"</f>
        <v>ENTRADA DE REEMBOLSO ADIANTAMENTO</v>
      </c>
      <c r="P6896">
        <v>100</v>
      </c>
      <c r="S6896" t="str">
        <f>"ENTRADA DE REEMBOLSO ADIANTAMENTO (129)"</f>
        <v>ENTRADA DE REEMBOLSO ADIANTAMENTO (129)</v>
      </c>
      <c r="T6896">
        <v>20120</v>
      </c>
      <c r="U6896">
        <v>8700</v>
      </c>
      <c r="V6896" t="s">
        <v>48</v>
      </c>
    </row>
    <row r="6897" spans="1:22">
      <c r="A6897" t="str">
        <f t="shared" si="1258"/>
        <v>22/10/2025</v>
      </c>
      <c r="B6897" t="str">
        <f>"ENTRADA"</f>
        <v>ENTRADA</v>
      </c>
      <c r="C6897" t="str">
        <f>"DINHEIRO"</f>
        <v>DINHEIRO</v>
      </c>
      <c r="D6897" t="str">
        <f>"0611"</f>
        <v>0611</v>
      </c>
      <c r="E6897" t="str">
        <f>"25"</f>
        <v>25</v>
      </c>
      <c r="F6897" t="str">
        <f t="shared" si="1260"/>
        <v>COM</v>
      </c>
      <c r="G6897" t="str">
        <f>"WEIGNE SENA CARDOSO (53)"</f>
        <v>WEIGNE SENA CARDOSO (53)</v>
      </c>
      <c r="H6897" t="s">
        <v>57</v>
      </c>
      <c r="I6897" t="str">
        <f t="shared" si="1259"/>
        <v>23/10/2025</v>
      </c>
      <c r="J6897" t="str">
        <f>("06/10/2025")</f>
        <v>06/10/2025</v>
      </c>
      <c r="K6897">
        <v>45952</v>
      </c>
      <c r="N6897">
        <v>129</v>
      </c>
      <c r="O6897" t="s">
        <v>58</v>
      </c>
      <c r="Q6897">
        <v>100</v>
      </c>
      <c r="R6897" t="str">
        <f>"WEIGNE SENA CARDOSO (53)"</f>
        <v>WEIGNE SENA CARDOSO (53)</v>
      </c>
      <c r="S6897" t="s">
        <v>59</v>
      </c>
      <c r="T6897">
        <v>20120</v>
      </c>
      <c r="U6897">
        <v>8700</v>
      </c>
      <c r="V6897" t="s">
        <v>48</v>
      </c>
    </row>
    <row r="6898" spans="1:22">
      <c r="A6898" t="str">
        <f t="shared" si="1258"/>
        <v>22/10/2025</v>
      </c>
      <c r="B6898" t="str">
        <f t="shared" ref="B6898:B6905" si="1262">"SAÍDA"</f>
        <v>SAÍDA</v>
      </c>
      <c r="C6898" t="str">
        <f t="shared" ref="C6898:C6905" si="1263">"PIX"</f>
        <v>PIX</v>
      </c>
      <c r="D6898" t="str">
        <f>"24071"</f>
        <v>24071</v>
      </c>
      <c r="E6898" t="str">
        <f t="shared" ref="E6898:E6929" si="1264">"1"</f>
        <v>1</v>
      </c>
      <c r="F6898" t="str">
        <f t="shared" si="1260"/>
        <v>COM</v>
      </c>
      <c r="G6898" t="str">
        <f>"WEIGNE SENA CARDOSO (53)"</f>
        <v>WEIGNE SENA CARDOSO (53)</v>
      </c>
      <c r="H6898" t="str">
        <f>"Serv.Prest. 13/10/2025 a 19/10/2025 - PIX: CPF - CHAVE: 097.245.586-81"</f>
        <v>Serv.Prest. 13/10/2025 a 19/10/2025 - PIX: CPF - CHAVE: 097.245.586-81</v>
      </c>
      <c r="I6898" t="str">
        <f t="shared" si="1259"/>
        <v>23/10/2025</v>
      </c>
      <c r="J6898" t="str">
        <f>("21/10/2025")</f>
        <v>21/10/2025</v>
      </c>
      <c r="K6898" t="str">
        <f>("22/10/2025")</f>
        <v>22/10/2025</v>
      </c>
      <c r="L6898">
        <v>100</v>
      </c>
      <c r="M6898">
        <v>100</v>
      </c>
      <c r="N6898">
        <v>109</v>
      </c>
      <c r="O6898" t="str">
        <f>"PAGAMENTO DE ENTREGADORES"</f>
        <v>PAGAMENTO DE ENTREGADORES</v>
      </c>
      <c r="P6898">
        <v>100</v>
      </c>
      <c r="S6898" t="str">
        <f>"CAIXA MOVIMENTAÇÃO OPERACIONAL (132)"</f>
        <v>CAIXA MOVIMENTAÇÃO OPERACIONAL (132)</v>
      </c>
      <c r="T6898">
        <v>20121</v>
      </c>
      <c r="U6898">
        <v>24156</v>
      </c>
      <c r="V6898" t="s">
        <v>48</v>
      </c>
    </row>
    <row r="6899" spans="1:22">
      <c r="A6899" t="str">
        <f t="shared" si="1258"/>
        <v>22/10/2025</v>
      </c>
      <c r="B6899" t="str">
        <f t="shared" si="1262"/>
        <v>SAÍDA</v>
      </c>
      <c r="C6899" t="str">
        <f t="shared" si="1263"/>
        <v>PIX</v>
      </c>
      <c r="D6899" t="str">
        <f>"24071"</f>
        <v>24071</v>
      </c>
      <c r="E6899" t="str">
        <f t="shared" si="1264"/>
        <v>1</v>
      </c>
      <c r="F6899" t="str">
        <f t="shared" si="1260"/>
        <v>COM</v>
      </c>
      <c r="G6899" t="str">
        <f>"WEIGNE SENA CARDOSO (53)"</f>
        <v>WEIGNE SENA CARDOSO (53)</v>
      </c>
      <c r="H6899" t="s">
        <v>1889</v>
      </c>
      <c r="I6899" t="str">
        <f t="shared" si="1259"/>
        <v>23/10/2025</v>
      </c>
      <c r="J6899" t="str">
        <f>("21/10/2025")</f>
        <v>21/10/2025</v>
      </c>
      <c r="K6899">
        <v>45952</v>
      </c>
      <c r="N6899">
        <v>109</v>
      </c>
      <c r="O6899" t="s">
        <v>24</v>
      </c>
      <c r="Q6899">
        <v>100</v>
      </c>
      <c r="R6899" t="str">
        <f>"FARMÁCIA INDIANA LJ 07 (10007)"</f>
        <v>FARMÁCIA INDIANA LJ 07 (10007)</v>
      </c>
      <c r="S6899" t="s">
        <v>48</v>
      </c>
      <c r="T6899">
        <v>20121</v>
      </c>
      <c r="U6899">
        <v>24156</v>
      </c>
      <c r="V6899" t="s">
        <v>48</v>
      </c>
    </row>
    <row r="6900" spans="1:22">
      <c r="A6900" t="str">
        <f t="shared" si="1258"/>
        <v>22/10/2025</v>
      </c>
      <c r="B6900" t="str">
        <f t="shared" si="1262"/>
        <v>SAÍDA</v>
      </c>
      <c r="C6900" t="str">
        <f t="shared" si="1263"/>
        <v>PIX</v>
      </c>
      <c r="D6900" t="str">
        <f>"24107"</f>
        <v>24107</v>
      </c>
      <c r="E6900" t="str">
        <f t="shared" si="1264"/>
        <v>1</v>
      </c>
      <c r="F6900" t="str">
        <f t="shared" si="1260"/>
        <v>COM</v>
      </c>
      <c r="G6900" t="str">
        <f>"YAN BRENDO CORREIA VIEIRA (861)"</f>
        <v>YAN BRENDO CORREIA VIEIRA (861)</v>
      </c>
      <c r="H6900" t="str">
        <f>"Serv.Prest. 13/10/2025 a 19/10/2025 - PIX: CPF - CHAVE: 096.891.935-97"</f>
        <v>Serv.Prest. 13/10/2025 a 19/10/2025 - PIX: CPF - CHAVE: 096.891.935-97</v>
      </c>
      <c r="I6900" t="str">
        <f t="shared" si="1259"/>
        <v>23/10/2025</v>
      </c>
      <c r="J6900" t="str">
        <f>("21/10/2025")</f>
        <v>21/10/2025</v>
      </c>
      <c r="K6900" t="str">
        <f>("22/10/2025")</f>
        <v>22/10/2025</v>
      </c>
      <c r="L6900">
        <v>150</v>
      </c>
      <c r="M6900">
        <v>150</v>
      </c>
      <c r="N6900">
        <v>109</v>
      </c>
      <c r="O6900" t="str">
        <f>"PAGAMENTO DE ENTREGADORES"</f>
        <v>PAGAMENTO DE ENTREGADORES</v>
      </c>
      <c r="P6900">
        <v>150</v>
      </c>
      <c r="S6900" t="str">
        <f>"BANCO CORA (102)"</f>
        <v>BANCO CORA (102)</v>
      </c>
      <c r="T6900">
        <v>20135</v>
      </c>
      <c r="U6900">
        <v>24129</v>
      </c>
      <c r="V6900" t="s">
        <v>22</v>
      </c>
    </row>
    <row r="6901" spans="1:22">
      <c r="A6901" t="str">
        <f t="shared" si="1258"/>
        <v>22/10/2025</v>
      </c>
      <c r="B6901" t="str">
        <f t="shared" si="1262"/>
        <v>SAÍDA</v>
      </c>
      <c r="C6901" t="str">
        <f t="shared" si="1263"/>
        <v>PIX</v>
      </c>
      <c r="D6901" t="str">
        <f>"24107"</f>
        <v>24107</v>
      </c>
      <c r="E6901" t="str">
        <f t="shared" si="1264"/>
        <v>1</v>
      </c>
      <c r="F6901" t="str">
        <f t="shared" si="1260"/>
        <v>COM</v>
      </c>
      <c r="G6901" t="str">
        <f>"YAN BRENDO CORREIA VIEIRA (861)"</f>
        <v>YAN BRENDO CORREIA VIEIRA (861)</v>
      </c>
      <c r="H6901" t="s">
        <v>1890</v>
      </c>
      <c r="I6901" t="str">
        <f t="shared" si="1259"/>
        <v>23/10/2025</v>
      </c>
      <c r="J6901" t="str">
        <f>("21/10/2025")</f>
        <v>21/10/2025</v>
      </c>
      <c r="K6901">
        <v>45952</v>
      </c>
      <c r="N6901">
        <v>109</v>
      </c>
      <c r="O6901" t="s">
        <v>24</v>
      </c>
      <c r="Q6901">
        <v>150</v>
      </c>
      <c r="R6901" t="str">
        <f>"FARMÁCIA INDIANA LJ 200 (10155)"</f>
        <v>FARMÁCIA INDIANA LJ 200 (10155)</v>
      </c>
      <c r="S6901" t="s">
        <v>22</v>
      </c>
      <c r="T6901">
        <v>20135</v>
      </c>
      <c r="U6901">
        <v>24129</v>
      </c>
      <c r="V6901" t="s">
        <v>22</v>
      </c>
    </row>
    <row r="6902" spans="1:22">
      <c r="A6902" t="str">
        <f t="shared" si="1258"/>
        <v>22/10/2025</v>
      </c>
      <c r="B6902" t="str">
        <f t="shared" si="1262"/>
        <v>SAÍDA</v>
      </c>
      <c r="C6902" t="str">
        <f t="shared" si="1263"/>
        <v>PIX</v>
      </c>
      <c r="D6902" t="str">
        <f>"23875"</f>
        <v>23875</v>
      </c>
      <c r="E6902" t="str">
        <f t="shared" si="1264"/>
        <v>1</v>
      </c>
      <c r="F6902" t="str">
        <f t="shared" si="1260"/>
        <v>COM</v>
      </c>
      <c r="G6902" t="str">
        <f>"JEFFERSON AMORIM DA SILVA (940)"</f>
        <v>JEFFERSON AMORIM DA SILVA (940)</v>
      </c>
      <c r="H6902" t="str">
        <f>"Serv.Prest. 13/10/2025 a 19/10/2025 - PIX: CELULAR - CHAVE: (11) 98447-6954"</f>
        <v>Serv.Prest. 13/10/2025 a 19/10/2025 - PIX: CELULAR - CHAVE: (11) 98447-6954</v>
      </c>
      <c r="I6902" t="str">
        <f t="shared" si="1259"/>
        <v>23/10/2025</v>
      </c>
      <c r="J6902" t="str">
        <f>("20/10/2025")</f>
        <v>20/10/2025</v>
      </c>
      <c r="K6902" t="str">
        <f>("22/10/2025")</f>
        <v>22/10/2025</v>
      </c>
      <c r="L6902">
        <v>150</v>
      </c>
      <c r="M6902">
        <v>150</v>
      </c>
      <c r="N6902">
        <v>109</v>
      </c>
      <c r="O6902" t="str">
        <f>"PAGAMENTO DE ENTREGADORES"</f>
        <v>PAGAMENTO DE ENTREGADORES</v>
      </c>
      <c r="P6902">
        <v>150</v>
      </c>
      <c r="S6902" t="str">
        <f>"BANCO CORA (102)"</f>
        <v>BANCO CORA (102)</v>
      </c>
      <c r="T6902">
        <v>20136</v>
      </c>
      <c r="U6902">
        <v>24157</v>
      </c>
      <c r="V6902" t="s">
        <v>22</v>
      </c>
    </row>
    <row r="6903" spans="1:22">
      <c r="A6903" t="str">
        <f t="shared" si="1258"/>
        <v>22/10/2025</v>
      </c>
      <c r="B6903" t="str">
        <f t="shared" si="1262"/>
        <v>SAÍDA</v>
      </c>
      <c r="C6903" t="str">
        <f t="shared" si="1263"/>
        <v>PIX</v>
      </c>
      <c r="D6903" t="str">
        <f>"23875"</f>
        <v>23875</v>
      </c>
      <c r="E6903" t="str">
        <f t="shared" si="1264"/>
        <v>1</v>
      </c>
      <c r="F6903" t="str">
        <f t="shared" si="1260"/>
        <v>COM</v>
      </c>
      <c r="G6903" t="str">
        <f>"JEFFERSON AMORIM DA SILVA (940)"</f>
        <v>JEFFERSON AMORIM DA SILVA (940)</v>
      </c>
      <c r="H6903" t="s">
        <v>1888</v>
      </c>
      <c r="I6903" t="str">
        <f t="shared" si="1259"/>
        <v>23/10/2025</v>
      </c>
      <c r="J6903" t="str">
        <f>("20/10/2025")</f>
        <v>20/10/2025</v>
      </c>
      <c r="K6903">
        <v>45952</v>
      </c>
      <c r="N6903">
        <v>109</v>
      </c>
      <c r="O6903" t="s">
        <v>24</v>
      </c>
      <c r="Q6903">
        <v>49.99</v>
      </c>
      <c r="R6903" t="str">
        <f>"PENSE FARMA 15 (10195)"</f>
        <v>PENSE FARMA 15 (10195)</v>
      </c>
      <c r="S6903" t="s">
        <v>22</v>
      </c>
      <c r="T6903">
        <v>20136</v>
      </c>
      <c r="U6903">
        <v>24157</v>
      </c>
      <c r="V6903" t="s">
        <v>22</v>
      </c>
    </row>
    <row r="6904" spans="1:22">
      <c r="A6904" t="str">
        <f t="shared" ref="A6904:A6935" si="1265">("22/10/2025")</f>
        <v>22/10/2025</v>
      </c>
      <c r="B6904" t="str">
        <f t="shared" si="1262"/>
        <v>SAÍDA</v>
      </c>
      <c r="C6904" t="str">
        <f t="shared" si="1263"/>
        <v>PIX</v>
      </c>
      <c r="D6904" t="str">
        <f>"23875"</f>
        <v>23875</v>
      </c>
      <c r="E6904" t="str">
        <f t="shared" si="1264"/>
        <v>1</v>
      </c>
      <c r="F6904" t="str">
        <f t="shared" si="1260"/>
        <v>COM</v>
      </c>
      <c r="G6904" t="str">
        <f>"JEFFERSON AMORIM DA SILVA (940)"</f>
        <v>JEFFERSON AMORIM DA SILVA (940)</v>
      </c>
      <c r="H6904" t="s">
        <v>1888</v>
      </c>
      <c r="I6904" t="str">
        <f t="shared" si="1259"/>
        <v>23/10/2025</v>
      </c>
      <c r="J6904" t="str">
        <f>("20/10/2025")</f>
        <v>20/10/2025</v>
      </c>
      <c r="K6904">
        <v>45952</v>
      </c>
      <c r="N6904">
        <v>109</v>
      </c>
      <c r="O6904" t="s">
        <v>24</v>
      </c>
      <c r="Q6904">
        <v>50</v>
      </c>
      <c r="R6904" t="str">
        <f>"PENSE FARMA 26 (10196)"</f>
        <v>PENSE FARMA 26 (10196)</v>
      </c>
      <c r="S6904" t="s">
        <v>22</v>
      </c>
      <c r="T6904">
        <v>20136</v>
      </c>
      <c r="U6904">
        <v>24157</v>
      </c>
      <c r="V6904" t="s">
        <v>22</v>
      </c>
    </row>
    <row r="6905" spans="1:22">
      <c r="A6905" t="str">
        <f t="shared" si="1265"/>
        <v>22/10/2025</v>
      </c>
      <c r="B6905" t="str">
        <f t="shared" si="1262"/>
        <v>SAÍDA</v>
      </c>
      <c r="C6905" t="str">
        <f t="shared" si="1263"/>
        <v>PIX</v>
      </c>
      <c r="D6905" t="str">
        <f>"23875"</f>
        <v>23875</v>
      </c>
      <c r="E6905" t="str">
        <f t="shared" si="1264"/>
        <v>1</v>
      </c>
      <c r="F6905" t="str">
        <f t="shared" si="1260"/>
        <v>COM</v>
      </c>
      <c r="G6905" t="str">
        <f>"JEFFERSON AMORIM DA SILVA (940)"</f>
        <v>JEFFERSON AMORIM DA SILVA (940)</v>
      </c>
      <c r="H6905" t="s">
        <v>1888</v>
      </c>
      <c r="I6905" t="str">
        <f t="shared" si="1259"/>
        <v>23/10/2025</v>
      </c>
      <c r="J6905" t="str">
        <f>("20/10/2025")</f>
        <v>20/10/2025</v>
      </c>
      <c r="K6905">
        <v>45952</v>
      </c>
      <c r="N6905">
        <v>109</v>
      </c>
      <c r="O6905" t="s">
        <v>24</v>
      </c>
      <c r="Q6905">
        <v>50.01</v>
      </c>
      <c r="R6905" t="str">
        <f>"PENSE FARMA 60 (10197)"</f>
        <v>PENSE FARMA 60 (10197)</v>
      </c>
      <c r="S6905" t="s">
        <v>22</v>
      </c>
      <c r="T6905">
        <v>20136</v>
      </c>
      <c r="U6905">
        <v>24157</v>
      </c>
      <c r="V6905" t="s">
        <v>22</v>
      </c>
    </row>
    <row r="6906" spans="1:22">
      <c r="A6906" t="str">
        <f t="shared" si="1265"/>
        <v>22/10/2025</v>
      </c>
      <c r="B6906" t="str">
        <f t="shared" ref="B6906:B6937" si="1266">"ENTRADA"</f>
        <v>ENTRADA</v>
      </c>
      <c r="C6906" t="str">
        <f t="shared" ref="C6906:C6937" si="1267">"NFSE"</f>
        <v>NFSE</v>
      </c>
      <c r="D6906" t="str">
        <f t="shared" ref="D6906:D6916" si="1268">"3500"</f>
        <v>3500</v>
      </c>
      <c r="E6906" t="str">
        <f t="shared" si="1264"/>
        <v>1</v>
      </c>
      <c r="F6906" t="str">
        <f t="shared" si="1260"/>
        <v>COM</v>
      </c>
      <c r="G6906" t="str">
        <f t="shared" ref="G6906:G6916" si="1269">"FARMÁCIA INDIANA LJ 85 (10128)"</f>
        <v>FARMÁCIA INDIANA LJ 85 (10128)</v>
      </c>
      <c r="H6906" t="str">
        <f>"Serv.Prest. 06/10/2025 a 12/10/2025 - RPS: 1376 - NFSe: 3500"</f>
        <v>Serv.Prest. 06/10/2025 a 12/10/2025 - RPS: 1376 - NFSe: 3500</v>
      </c>
      <c r="I6906" t="str">
        <f t="shared" ref="I6906:I6935" si="1270">("22/10/2025")</f>
        <v>22/10/2025</v>
      </c>
      <c r="J6906" t="str">
        <f t="shared" ref="J6906:J6916" si="1271">("14/10/2025")</f>
        <v>14/10/2025</v>
      </c>
      <c r="K6906" t="str">
        <f>("22/10/2025")</f>
        <v>22/10/2025</v>
      </c>
      <c r="L6906">
        <v>9536.94</v>
      </c>
      <c r="M6906">
        <v>9536.94</v>
      </c>
      <c r="N6906">
        <v>303</v>
      </c>
      <c r="O6906" t="str">
        <f>"RECEITAS COM ENTREGAS"</f>
        <v>RECEITAS COM ENTREGAS</v>
      </c>
      <c r="P6906">
        <v>9536.94</v>
      </c>
      <c r="S6906" t="str">
        <f>"RECEITAS COM ENTREGAS (303)"</f>
        <v>RECEITAS COM ENTREGAS (303)</v>
      </c>
      <c r="T6906">
        <v>20144</v>
      </c>
      <c r="U6906">
        <v>23763</v>
      </c>
      <c r="V6906" t="s">
        <v>77</v>
      </c>
    </row>
    <row r="6907" spans="1:22">
      <c r="A6907" t="str">
        <f t="shared" si="1265"/>
        <v>22/10/2025</v>
      </c>
      <c r="B6907" t="str">
        <f t="shared" si="1266"/>
        <v>ENTRADA</v>
      </c>
      <c r="C6907" t="str">
        <f t="shared" si="1267"/>
        <v>NFSE</v>
      </c>
      <c r="D6907" t="str">
        <f t="shared" si="1268"/>
        <v>3500</v>
      </c>
      <c r="E6907" t="str">
        <f t="shared" si="1264"/>
        <v>1</v>
      </c>
      <c r="F6907" t="str">
        <f t="shared" si="1260"/>
        <v>COM</v>
      </c>
      <c r="G6907" t="str">
        <f t="shared" si="1269"/>
        <v>FARMÁCIA INDIANA LJ 85 (10128)</v>
      </c>
      <c r="H6907" t="s">
        <v>1891</v>
      </c>
      <c r="I6907" t="str">
        <f t="shared" si="1270"/>
        <v>22/10/2025</v>
      </c>
      <c r="J6907" t="str">
        <f t="shared" si="1271"/>
        <v>14/10/2025</v>
      </c>
      <c r="K6907">
        <v>45952</v>
      </c>
      <c r="N6907">
        <v>303</v>
      </c>
      <c r="O6907" t="s">
        <v>69</v>
      </c>
      <c r="Q6907">
        <v>918.41</v>
      </c>
      <c r="R6907" t="str">
        <f>"FARMÁCIA INDIANA LJ 119 (10053)"</f>
        <v>FARMÁCIA INDIANA LJ 119 (10053)</v>
      </c>
      <c r="S6907" t="s">
        <v>70</v>
      </c>
      <c r="T6907">
        <v>20144</v>
      </c>
      <c r="U6907">
        <v>23763</v>
      </c>
      <c r="V6907" t="s">
        <v>77</v>
      </c>
    </row>
    <row r="6908" spans="1:22">
      <c r="A6908" t="str">
        <f t="shared" si="1265"/>
        <v>22/10/2025</v>
      </c>
      <c r="B6908" t="str">
        <f t="shared" si="1266"/>
        <v>ENTRADA</v>
      </c>
      <c r="C6908" t="str">
        <f t="shared" si="1267"/>
        <v>NFSE</v>
      </c>
      <c r="D6908" t="str">
        <f t="shared" si="1268"/>
        <v>3500</v>
      </c>
      <c r="E6908" t="str">
        <f t="shared" si="1264"/>
        <v>1</v>
      </c>
      <c r="F6908" t="str">
        <f t="shared" si="1260"/>
        <v>COM</v>
      </c>
      <c r="G6908" t="str">
        <f t="shared" si="1269"/>
        <v>FARMÁCIA INDIANA LJ 85 (10128)</v>
      </c>
      <c r="H6908" t="s">
        <v>1891</v>
      </c>
      <c r="I6908" t="str">
        <f t="shared" si="1270"/>
        <v>22/10/2025</v>
      </c>
      <c r="J6908" t="str">
        <f t="shared" si="1271"/>
        <v>14/10/2025</v>
      </c>
      <c r="K6908">
        <v>45952</v>
      </c>
      <c r="N6908">
        <v>303</v>
      </c>
      <c r="O6908" t="s">
        <v>69</v>
      </c>
      <c r="Q6908">
        <v>1296.07</v>
      </c>
      <c r="R6908" t="str">
        <f>"FARMÁCIA INDIANA LJ 163 (10072)"</f>
        <v>FARMÁCIA INDIANA LJ 163 (10072)</v>
      </c>
      <c r="S6908" t="s">
        <v>70</v>
      </c>
      <c r="T6908">
        <v>20144</v>
      </c>
      <c r="U6908">
        <v>23763</v>
      </c>
      <c r="V6908" t="s">
        <v>77</v>
      </c>
    </row>
    <row r="6909" spans="1:22">
      <c r="A6909" t="str">
        <f t="shared" si="1265"/>
        <v>22/10/2025</v>
      </c>
      <c r="B6909" t="str">
        <f t="shared" si="1266"/>
        <v>ENTRADA</v>
      </c>
      <c r="C6909" t="str">
        <f t="shared" si="1267"/>
        <v>NFSE</v>
      </c>
      <c r="D6909" t="str">
        <f t="shared" si="1268"/>
        <v>3500</v>
      </c>
      <c r="E6909" t="str">
        <f t="shared" si="1264"/>
        <v>1</v>
      </c>
      <c r="F6909" t="str">
        <f t="shared" si="1260"/>
        <v>COM</v>
      </c>
      <c r="G6909" t="str">
        <f t="shared" si="1269"/>
        <v>FARMÁCIA INDIANA LJ 85 (10128)</v>
      </c>
      <c r="H6909" t="s">
        <v>1891</v>
      </c>
      <c r="I6909" t="str">
        <f t="shared" si="1270"/>
        <v>22/10/2025</v>
      </c>
      <c r="J6909" t="str">
        <f t="shared" si="1271"/>
        <v>14/10/2025</v>
      </c>
      <c r="K6909">
        <v>45952</v>
      </c>
      <c r="N6909">
        <v>303</v>
      </c>
      <c r="O6909" t="s">
        <v>69</v>
      </c>
      <c r="Q6909">
        <v>2024.69</v>
      </c>
      <c r="R6909" t="str">
        <f>"FARMÁCIA INDIANA LJ 181 (10078)"</f>
        <v>FARMÁCIA INDIANA LJ 181 (10078)</v>
      </c>
      <c r="S6909" t="s">
        <v>70</v>
      </c>
      <c r="T6909">
        <v>20144</v>
      </c>
      <c r="U6909">
        <v>23763</v>
      </c>
      <c r="V6909" t="s">
        <v>77</v>
      </c>
    </row>
    <row r="6910" spans="1:22">
      <c r="A6910" t="str">
        <f t="shared" si="1265"/>
        <v>22/10/2025</v>
      </c>
      <c r="B6910" t="str">
        <f t="shared" si="1266"/>
        <v>ENTRADA</v>
      </c>
      <c r="C6910" t="str">
        <f t="shared" si="1267"/>
        <v>NFSE</v>
      </c>
      <c r="D6910" t="str">
        <f t="shared" si="1268"/>
        <v>3500</v>
      </c>
      <c r="E6910" t="str">
        <f t="shared" si="1264"/>
        <v>1</v>
      </c>
      <c r="F6910" t="str">
        <f t="shared" si="1260"/>
        <v>COM</v>
      </c>
      <c r="G6910" t="str">
        <f t="shared" si="1269"/>
        <v>FARMÁCIA INDIANA LJ 85 (10128)</v>
      </c>
      <c r="H6910" t="s">
        <v>1891</v>
      </c>
      <c r="I6910" t="str">
        <f t="shared" si="1270"/>
        <v>22/10/2025</v>
      </c>
      <c r="J6910" t="str">
        <f t="shared" si="1271"/>
        <v>14/10/2025</v>
      </c>
      <c r="K6910">
        <v>45952</v>
      </c>
      <c r="N6910">
        <v>303</v>
      </c>
      <c r="O6910" t="s">
        <v>69</v>
      </c>
      <c r="Q6910">
        <v>916.5</v>
      </c>
      <c r="R6910" t="str">
        <f>"FARMÁCIA INDIANA LJ 221 (10093)"</f>
        <v>FARMÁCIA INDIANA LJ 221 (10093)</v>
      </c>
      <c r="S6910" t="s">
        <v>70</v>
      </c>
      <c r="T6910">
        <v>20144</v>
      </c>
      <c r="U6910">
        <v>23763</v>
      </c>
      <c r="V6910" t="s">
        <v>77</v>
      </c>
    </row>
    <row r="6911" spans="1:22">
      <c r="A6911" t="str">
        <f t="shared" si="1265"/>
        <v>22/10/2025</v>
      </c>
      <c r="B6911" t="str">
        <f t="shared" si="1266"/>
        <v>ENTRADA</v>
      </c>
      <c r="C6911" t="str">
        <f t="shared" si="1267"/>
        <v>NFSE</v>
      </c>
      <c r="D6911" t="str">
        <f t="shared" si="1268"/>
        <v>3500</v>
      </c>
      <c r="E6911" t="str">
        <f t="shared" si="1264"/>
        <v>1</v>
      </c>
      <c r="F6911" t="str">
        <f t="shared" si="1260"/>
        <v>COM</v>
      </c>
      <c r="G6911" t="str">
        <f t="shared" si="1269"/>
        <v>FARMÁCIA INDIANA LJ 85 (10128)</v>
      </c>
      <c r="H6911" t="s">
        <v>1891</v>
      </c>
      <c r="I6911" t="str">
        <f t="shared" si="1270"/>
        <v>22/10/2025</v>
      </c>
      <c r="J6911" t="str">
        <f t="shared" si="1271"/>
        <v>14/10/2025</v>
      </c>
      <c r="K6911">
        <v>45952</v>
      </c>
      <c r="N6911">
        <v>303</v>
      </c>
      <c r="O6911" t="s">
        <v>69</v>
      </c>
      <c r="Q6911">
        <v>1060.51</v>
      </c>
      <c r="R6911" t="str">
        <f>"FARMÁCIA INDIANA LJ 243 (10142)"</f>
        <v>FARMÁCIA INDIANA LJ 243 (10142)</v>
      </c>
      <c r="S6911" t="s">
        <v>70</v>
      </c>
      <c r="T6911">
        <v>20144</v>
      </c>
      <c r="U6911">
        <v>23763</v>
      </c>
      <c r="V6911" t="s">
        <v>77</v>
      </c>
    </row>
    <row r="6912" spans="1:22">
      <c r="A6912" t="str">
        <f t="shared" si="1265"/>
        <v>22/10/2025</v>
      </c>
      <c r="B6912" t="str">
        <f t="shared" si="1266"/>
        <v>ENTRADA</v>
      </c>
      <c r="C6912" t="str">
        <f t="shared" si="1267"/>
        <v>NFSE</v>
      </c>
      <c r="D6912" t="str">
        <f t="shared" si="1268"/>
        <v>3500</v>
      </c>
      <c r="E6912" t="str">
        <f t="shared" si="1264"/>
        <v>1</v>
      </c>
      <c r="F6912" t="str">
        <f t="shared" si="1260"/>
        <v>COM</v>
      </c>
      <c r="G6912" t="str">
        <f t="shared" si="1269"/>
        <v>FARMÁCIA INDIANA LJ 85 (10128)</v>
      </c>
      <c r="H6912" t="s">
        <v>1891</v>
      </c>
      <c r="I6912" t="str">
        <f t="shared" si="1270"/>
        <v>22/10/2025</v>
      </c>
      <c r="J6912" t="str">
        <f t="shared" si="1271"/>
        <v>14/10/2025</v>
      </c>
      <c r="K6912">
        <v>45952</v>
      </c>
      <c r="N6912">
        <v>303</v>
      </c>
      <c r="O6912" t="s">
        <v>69</v>
      </c>
      <c r="Q6912">
        <v>488.29</v>
      </c>
      <c r="R6912" t="str">
        <f>"FARMÁCIA INDIANA LJ 211 (10168)"</f>
        <v>FARMÁCIA INDIANA LJ 211 (10168)</v>
      </c>
      <c r="S6912" t="s">
        <v>70</v>
      </c>
      <c r="T6912">
        <v>20144</v>
      </c>
      <c r="U6912">
        <v>23763</v>
      </c>
      <c r="V6912" t="s">
        <v>77</v>
      </c>
    </row>
    <row r="6913" spans="1:22">
      <c r="A6913" t="str">
        <f t="shared" si="1265"/>
        <v>22/10/2025</v>
      </c>
      <c r="B6913" t="str">
        <f t="shared" si="1266"/>
        <v>ENTRADA</v>
      </c>
      <c r="C6913" t="str">
        <f t="shared" si="1267"/>
        <v>NFSE</v>
      </c>
      <c r="D6913" t="str">
        <f t="shared" si="1268"/>
        <v>3500</v>
      </c>
      <c r="E6913" t="str">
        <f t="shared" si="1264"/>
        <v>1</v>
      </c>
      <c r="F6913" t="str">
        <f t="shared" si="1260"/>
        <v>COM</v>
      </c>
      <c r="G6913" t="str">
        <f t="shared" si="1269"/>
        <v>FARMÁCIA INDIANA LJ 85 (10128)</v>
      </c>
      <c r="H6913" t="s">
        <v>1891</v>
      </c>
      <c r="I6913" t="str">
        <f t="shared" si="1270"/>
        <v>22/10/2025</v>
      </c>
      <c r="J6913" t="str">
        <f t="shared" si="1271"/>
        <v>14/10/2025</v>
      </c>
      <c r="K6913">
        <v>45952</v>
      </c>
      <c r="N6913">
        <v>303</v>
      </c>
      <c r="O6913" t="s">
        <v>69</v>
      </c>
      <c r="Q6913">
        <v>488.29</v>
      </c>
      <c r="R6913" t="str">
        <f>"FARMÁCIA INDIANA LJ 236 (10169)"</f>
        <v>FARMÁCIA INDIANA LJ 236 (10169)</v>
      </c>
      <c r="S6913" t="s">
        <v>70</v>
      </c>
      <c r="T6913">
        <v>20144</v>
      </c>
      <c r="U6913">
        <v>23763</v>
      </c>
      <c r="V6913" t="s">
        <v>77</v>
      </c>
    </row>
    <row r="6914" spans="1:22">
      <c r="A6914" t="str">
        <f t="shared" si="1265"/>
        <v>22/10/2025</v>
      </c>
      <c r="B6914" t="str">
        <f t="shared" si="1266"/>
        <v>ENTRADA</v>
      </c>
      <c r="C6914" t="str">
        <f t="shared" si="1267"/>
        <v>NFSE</v>
      </c>
      <c r="D6914" t="str">
        <f t="shared" si="1268"/>
        <v>3500</v>
      </c>
      <c r="E6914" t="str">
        <f t="shared" si="1264"/>
        <v>1</v>
      </c>
      <c r="F6914" t="str">
        <f t="shared" si="1260"/>
        <v>COM</v>
      </c>
      <c r="G6914" t="str">
        <f t="shared" si="1269"/>
        <v>FARMÁCIA INDIANA LJ 85 (10128)</v>
      </c>
      <c r="H6914" t="s">
        <v>1891</v>
      </c>
      <c r="I6914" t="str">
        <f t="shared" si="1270"/>
        <v>22/10/2025</v>
      </c>
      <c r="J6914" t="str">
        <f t="shared" si="1271"/>
        <v>14/10/2025</v>
      </c>
      <c r="K6914">
        <v>45952</v>
      </c>
      <c r="N6914">
        <v>303</v>
      </c>
      <c r="O6914" t="s">
        <v>69</v>
      </c>
      <c r="Q6914">
        <v>976.58</v>
      </c>
      <c r="R6914" t="str">
        <f>"FARMÁCIA INDIANA LJ 188 (10176)"</f>
        <v>FARMÁCIA INDIANA LJ 188 (10176)</v>
      </c>
      <c r="S6914" t="s">
        <v>70</v>
      </c>
      <c r="T6914">
        <v>20144</v>
      </c>
      <c r="U6914">
        <v>23763</v>
      </c>
      <c r="V6914" t="s">
        <v>77</v>
      </c>
    </row>
    <row r="6915" spans="1:22">
      <c r="A6915" t="str">
        <f t="shared" si="1265"/>
        <v>22/10/2025</v>
      </c>
      <c r="B6915" t="str">
        <f t="shared" si="1266"/>
        <v>ENTRADA</v>
      </c>
      <c r="C6915" t="str">
        <f t="shared" si="1267"/>
        <v>NFSE</v>
      </c>
      <c r="D6915" t="str">
        <f t="shared" si="1268"/>
        <v>3500</v>
      </c>
      <c r="E6915" t="str">
        <f t="shared" si="1264"/>
        <v>1</v>
      </c>
      <c r="F6915" t="str">
        <f t="shared" si="1260"/>
        <v>COM</v>
      </c>
      <c r="G6915" t="str">
        <f t="shared" si="1269"/>
        <v>FARMÁCIA INDIANA LJ 85 (10128)</v>
      </c>
      <c r="H6915" t="s">
        <v>1891</v>
      </c>
      <c r="I6915" t="str">
        <f t="shared" si="1270"/>
        <v>22/10/2025</v>
      </c>
      <c r="J6915" t="str">
        <f t="shared" si="1271"/>
        <v>14/10/2025</v>
      </c>
      <c r="K6915">
        <v>45952</v>
      </c>
      <c r="N6915">
        <v>303</v>
      </c>
      <c r="O6915" t="s">
        <v>69</v>
      </c>
      <c r="Q6915">
        <v>1215.01</v>
      </c>
      <c r="R6915" t="str">
        <f>"FARMÁCIA INDIANA LJ 273 (10188)"</f>
        <v>FARMÁCIA INDIANA LJ 273 (10188)</v>
      </c>
      <c r="S6915" t="s">
        <v>70</v>
      </c>
      <c r="T6915">
        <v>20144</v>
      </c>
      <c r="U6915">
        <v>23763</v>
      </c>
      <c r="V6915" t="s">
        <v>77</v>
      </c>
    </row>
    <row r="6916" spans="1:22">
      <c r="A6916" t="str">
        <f t="shared" si="1265"/>
        <v>22/10/2025</v>
      </c>
      <c r="B6916" t="str">
        <f t="shared" si="1266"/>
        <v>ENTRADA</v>
      </c>
      <c r="C6916" t="str">
        <f t="shared" si="1267"/>
        <v>NFSE</v>
      </c>
      <c r="D6916" t="str">
        <f t="shared" si="1268"/>
        <v>3500</v>
      </c>
      <c r="E6916" t="str">
        <f t="shared" si="1264"/>
        <v>1</v>
      </c>
      <c r="F6916" t="str">
        <f t="shared" si="1260"/>
        <v>COM</v>
      </c>
      <c r="G6916" t="str">
        <f t="shared" si="1269"/>
        <v>FARMÁCIA INDIANA LJ 85 (10128)</v>
      </c>
      <c r="H6916" t="s">
        <v>1891</v>
      </c>
      <c r="I6916" t="str">
        <f t="shared" si="1270"/>
        <v>22/10/2025</v>
      </c>
      <c r="J6916" t="str">
        <f t="shared" si="1271"/>
        <v>14/10/2025</v>
      </c>
      <c r="K6916">
        <v>45952</v>
      </c>
      <c r="N6916">
        <v>303</v>
      </c>
      <c r="O6916" t="s">
        <v>69</v>
      </c>
      <c r="Q6916">
        <v>152.59</v>
      </c>
      <c r="R6916" t="str">
        <f>"FARMÁCIA INDIANA LJ 235 (10190)"</f>
        <v>FARMÁCIA INDIANA LJ 235 (10190)</v>
      </c>
      <c r="S6916" t="s">
        <v>70</v>
      </c>
      <c r="T6916">
        <v>20144</v>
      </c>
      <c r="U6916">
        <v>23763</v>
      </c>
      <c r="V6916" t="s">
        <v>77</v>
      </c>
    </row>
    <row r="6917" spans="1:22">
      <c r="A6917" t="str">
        <f t="shared" si="1265"/>
        <v>22/10/2025</v>
      </c>
      <c r="B6917" t="str">
        <f t="shared" si="1266"/>
        <v>ENTRADA</v>
      </c>
      <c r="C6917" t="str">
        <f t="shared" si="1267"/>
        <v>NFSE</v>
      </c>
      <c r="D6917" t="str">
        <f t="shared" ref="D6917:D6922" si="1272">"3512"</f>
        <v>3512</v>
      </c>
      <c r="E6917" t="str">
        <f t="shared" si="1264"/>
        <v>1</v>
      </c>
      <c r="F6917" t="str">
        <f t="shared" si="1260"/>
        <v>COM</v>
      </c>
      <c r="G6917" t="str">
        <f t="shared" ref="G6917:G6922" si="1273">"PENSE FARMA 08 (10217)"</f>
        <v>PENSE FARMA 08 (10217)</v>
      </c>
      <c r="H6917" t="str">
        <f>"Serv.Prest. 13/10/2025 a 19/10/2025 - RPS: 1388 - NFSe: 3512"</f>
        <v>Serv.Prest. 13/10/2025 a 19/10/2025 - RPS: 1388 - NFSe: 3512</v>
      </c>
      <c r="I6917" t="str">
        <f t="shared" si="1270"/>
        <v>22/10/2025</v>
      </c>
      <c r="J6917" t="str">
        <f t="shared" ref="J6917:J6926" si="1274">("20/10/2025")</f>
        <v>20/10/2025</v>
      </c>
      <c r="K6917" t="str">
        <f>("22/10/2025")</f>
        <v>22/10/2025</v>
      </c>
      <c r="L6917">
        <v>3340.5</v>
      </c>
      <c r="M6917">
        <v>3340.5</v>
      </c>
      <c r="N6917">
        <v>303</v>
      </c>
      <c r="O6917" t="str">
        <f>"RECEITAS COM ENTREGAS"</f>
        <v>RECEITAS COM ENTREGAS</v>
      </c>
      <c r="P6917">
        <v>3340.5</v>
      </c>
      <c r="S6917" t="str">
        <f>"RECEITAS COM ENTREGAS (303)"</f>
        <v>RECEITAS COM ENTREGAS (303)</v>
      </c>
      <c r="T6917">
        <v>20281</v>
      </c>
      <c r="U6917">
        <v>23863</v>
      </c>
      <c r="V6917" t="s">
        <v>22</v>
      </c>
    </row>
    <row r="6918" spans="1:22">
      <c r="A6918" t="str">
        <f t="shared" si="1265"/>
        <v>22/10/2025</v>
      </c>
      <c r="B6918" t="str">
        <f t="shared" si="1266"/>
        <v>ENTRADA</v>
      </c>
      <c r="C6918" t="str">
        <f t="shared" si="1267"/>
        <v>NFSE</v>
      </c>
      <c r="D6918" t="str">
        <f t="shared" si="1272"/>
        <v>3512</v>
      </c>
      <c r="E6918" t="str">
        <f t="shared" si="1264"/>
        <v>1</v>
      </c>
      <c r="F6918" t="str">
        <f t="shared" si="1260"/>
        <v>COM</v>
      </c>
      <c r="G6918" t="str">
        <f t="shared" si="1273"/>
        <v>PENSE FARMA 08 (10217)</v>
      </c>
      <c r="H6918" t="s">
        <v>1892</v>
      </c>
      <c r="I6918" t="str">
        <f t="shared" si="1270"/>
        <v>22/10/2025</v>
      </c>
      <c r="J6918" t="str">
        <f t="shared" si="1274"/>
        <v>20/10/2025</v>
      </c>
      <c r="K6918">
        <v>45952</v>
      </c>
      <c r="N6918">
        <v>303</v>
      </c>
      <c r="O6918" t="s">
        <v>69</v>
      </c>
      <c r="Q6918">
        <v>668.1</v>
      </c>
      <c r="R6918" t="str">
        <f>"PENSE FARMA 08 (10217)"</f>
        <v>PENSE FARMA 08 (10217)</v>
      </c>
      <c r="S6918" t="s">
        <v>70</v>
      </c>
      <c r="T6918">
        <v>20281</v>
      </c>
      <c r="U6918">
        <v>23863</v>
      </c>
      <c r="V6918" t="s">
        <v>22</v>
      </c>
    </row>
    <row r="6919" spans="1:22">
      <c r="A6919" t="str">
        <f t="shared" si="1265"/>
        <v>22/10/2025</v>
      </c>
      <c r="B6919" t="str">
        <f t="shared" si="1266"/>
        <v>ENTRADA</v>
      </c>
      <c r="C6919" t="str">
        <f t="shared" si="1267"/>
        <v>NFSE</v>
      </c>
      <c r="D6919" t="str">
        <f t="shared" si="1272"/>
        <v>3512</v>
      </c>
      <c r="E6919" t="str">
        <f t="shared" si="1264"/>
        <v>1</v>
      </c>
      <c r="F6919" t="str">
        <f t="shared" si="1260"/>
        <v>COM</v>
      </c>
      <c r="G6919" t="str">
        <f t="shared" si="1273"/>
        <v>PENSE FARMA 08 (10217)</v>
      </c>
      <c r="H6919" t="s">
        <v>1892</v>
      </c>
      <c r="I6919" t="str">
        <f t="shared" si="1270"/>
        <v>22/10/2025</v>
      </c>
      <c r="J6919" t="str">
        <f t="shared" si="1274"/>
        <v>20/10/2025</v>
      </c>
      <c r="K6919">
        <v>45952</v>
      </c>
      <c r="N6919">
        <v>303</v>
      </c>
      <c r="O6919" t="s">
        <v>69</v>
      </c>
      <c r="Q6919">
        <v>668.1</v>
      </c>
      <c r="R6919" t="str">
        <f>"PENSE FARMA 11 (10220)"</f>
        <v>PENSE FARMA 11 (10220)</v>
      </c>
      <c r="S6919" t="s">
        <v>70</v>
      </c>
      <c r="T6919">
        <v>20281</v>
      </c>
      <c r="U6919">
        <v>23863</v>
      </c>
      <c r="V6919" t="s">
        <v>22</v>
      </c>
    </row>
    <row r="6920" spans="1:22">
      <c r="A6920" t="str">
        <f t="shared" si="1265"/>
        <v>22/10/2025</v>
      </c>
      <c r="B6920" t="str">
        <f t="shared" si="1266"/>
        <v>ENTRADA</v>
      </c>
      <c r="C6920" t="str">
        <f t="shared" si="1267"/>
        <v>NFSE</v>
      </c>
      <c r="D6920" t="str">
        <f t="shared" si="1272"/>
        <v>3512</v>
      </c>
      <c r="E6920" t="str">
        <f t="shared" si="1264"/>
        <v>1</v>
      </c>
      <c r="F6920" t="str">
        <f t="shared" si="1260"/>
        <v>COM</v>
      </c>
      <c r="G6920" t="str">
        <f t="shared" si="1273"/>
        <v>PENSE FARMA 08 (10217)</v>
      </c>
      <c r="H6920" t="s">
        <v>1892</v>
      </c>
      <c r="I6920" t="str">
        <f t="shared" si="1270"/>
        <v>22/10/2025</v>
      </c>
      <c r="J6920" t="str">
        <f t="shared" si="1274"/>
        <v>20/10/2025</v>
      </c>
      <c r="K6920">
        <v>45952</v>
      </c>
      <c r="N6920">
        <v>303</v>
      </c>
      <c r="O6920" t="s">
        <v>69</v>
      </c>
      <c r="Q6920">
        <v>668.1</v>
      </c>
      <c r="R6920" t="str">
        <f>"PENSE FARMA 41 (10229)"</f>
        <v>PENSE FARMA 41 (10229)</v>
      </c>
      <c r="S6920" t="s">
        <v>70</v>
      </c>
      <c r="T6920">
        <v>20281</v>
      </c>
      <c r="U6920">
        <v>23863</v>
      </c>
      <c r="V6920" t="s">
        <v>22</v>
      </c>
    </row>
    <row r="6921" spans="1:22">
      <c r="A6921" t="str">
        <f t="shared" si="1265"/>
        <v>22/10/2025</v>
      </c>
      <c r="B6921" t="str">
        <f t="shared" si="1266"/>
        <v>ENTRADA</v>
      </c>
      <c r="C6921" t="str">
        <f t="shared" si="1267"/>
        <v>NFSE</v>
      </c>
      <c r="D6921" t="str">
        <f t="shared" si="1272"/>
        <v>3512</v>
      </c>
      <c r="E6921" t="str">
        <f t="shared" si="1264"/>
        <v>1</v>
      </c>
      <c r="F6921" t="str">
        <f t="shared" ref="F6921:F6952" si="1275">"COM"</f>
        <v>COM</v>
      </c>
      <c r="G6921" t="str">
        <f t="shared" si="1273"/>
        <v>PENSE FARMA 08 (10217)</v>
      </c>
      <c r="H6921" t="s">
        <v>1892</v>
      </c>
      <c r="I6921" t="str">
        <f t="shared" si="1270"/>
        <v>22/10/2025</v>
      </c>
      <c r="J6921" t="str">
        <f t="shared" si="1274"/>
        <v>20/10/2025</v>
      </c>
      <c r="K6921">
        <v>45952</v>
      </c>
      <c r="N6921">
        <v>303</v>
      </c>
      <c r="O6921" t="s">
        <v>69</v>
      </c>
      <c r="Q6921">
        <v>668.1</v>
      </c>
      <c r="R6921" t="str">
        <f>"PENSE FARMA 42 (10230)"</f>
        <v>PENSE FARMA 42 (10230)</v>
      </c>
      <c r="S6921" t="s">
        <v>70</v>
      </c>
      <c r="T6921">
        <v>20281</v>
      </c>
      <c r="U6921">
        <v>23863</v>
      </c>
      <c r="V6921" t="s">
        <v>22</v>
      </c>
    </row>
    <row r="6922" spans="1:22">
      <c r="A6922" t="str">
        <f t="shared" si="1265"/>
        <v>22/10/2025</v>
      </c>
      <c r="B6922" t="str">
        <f t="shared" si="1266"/>
        <v>ENTRADA</v>
      </c>
      <c r="C6922" t="str">
        <f t="shared" si="1267"/>
        <v>NFSE</v>
      </c>
      <c r="D6922" t="str">
        <f t="shared" si="1272"/>
        <v>3512</v>
      </c>
      <c r="E6922" t="str">
        <f t="shared" si="1264"/>
        <v>1</v>
      </c>
      <c r="F6922" t="str">
        <f t="shared" si="1275"/>
        <v>COM</v>
      </c>
      <c r="G6922" t="str">
        <f t="shared" si="1273"/>
        <v>PENSE FARMA 08 (10217)</v>
      </c>
      <c r="H6922" t="s">
        <v>1892</v>
      </c>
      <c r="I6922" t="str">
        <f t="shared" si="1270"/>
        <v>22/10/2025</v>
      </c>
      <c r="J6922" t="str">
        <f t="shared" si="1274"/>
        <v>20/10/2025</v>
      </c>
      <c r="K6922">
        <v>45952</v>
      </c>
      <c r="N6922">
        <v>303</v>
      </c>
      <c r="O6922" t="s">
        <v>69</v>
      </c>
      <c r="Q6922">
        <v>668.1</v>
      </c>
      <c r="R6922" t="str">
        <f>"PENSE FARMA 52 (10236)"</f>
        <v>PENSE FARMA 52 (10236)</v>
      </c>
      <c r="S6922" t="s">
        <v>70</v>
      </c>
      <c r="T6922">
        <v>20281</v>
      </c>
      <c r="U6922">
        <v>23863</v>
      </c>
      <c r="V6922" t="s">
        <v>22</v>
      </c>
    </row>
    <row r="6923" spans="1:22">
      <c r="A6923" t="str">
        <f t="shared" si="1265"/>
        <v>22/10/2025</v>
      </c>
      <c r="B6923" t="str">
        <f t="shared" si="1266"/>
        <v>ENTRADA</v>
      </c>
      <c r="C6923" t="str">
        <f t="shared" si="1267"/>
        <v>NFSE</v>
      </c>
      <c r="D6923" t="str">
        <f>"3511"</f>
        <v>3511</v>
      </c>
      <c r="E6923" t="str">
        <f t="shared" si="1264"/>
        <v>1</v>
      </c>
      <c r="F6923" t="str">
        <f t="shared" si="1275"/>
        <v>COM</v>
      </c>
      <c r="G6923" t="str">
        <f>"PENSE FARMA 07 (10201)"</f>
        <v>PENSE FARMA 07 (10201)</v>
      </c>
      <c r="H6923" t="str">
        <f>"Serv.Prest. 13/10/2025 a 19/10/2025 - RPS: 1387 - NFSe: 3511"</f>
        <v>Serv.Prest. 13/10/2025 a 19/10/2025 - RPS: 1387 - NFSe: 3511</v>
      </c>
      <c r="I6923" t="str">
        <f t="shared" si="1270"/>
        <v>22/10/2025</v>
      </c>
      <c r="J6923" t="str">
        <f t="shared" si="1274"/>
        <v>20/10/2025</v>
      </c>
      <c r="K6923" t="str">
        <f>("22/10/2025")</f>
        <v>22/10/2025</v>
      </c>
      <c r="L6923">
        <v>1517.25</v>
      </c>
      <c r="M6923">
        <v>1517.25</v>
      </c>
      <c r="N6923">
        <v>303</v>
      </c>
      <c r="O6923" t="str">
        <f>"RECEITAS COM ENTREGAS"</f>
        <v>RECEITAS COM ENTREGAS</v>
      </c>
      <c r="P6923">
        <v>1517.25</v>
      </c>
      <c r="S6923" t="str">
        <f>"RECEITAS COM ENTREGAS (303)"</f>
        <v>RECEITAS COM ENTREGAS (303)</v>
      </c>
      <c r="T6923">
        <v>20282</v>
      </c>
      <c r="U6923">
        <v>23861</v>
      </c>
      <c r="V6923" t="s">
        <v>22</v>
      </c>
    </row>
    <row r="6924" spans="1:22">
      <c r="A6924" t="str">
        <f t="shared" si="1265"/>
        <v>22/10/2025</v>
      </c>
      <c r="B6924" t="str">
        <f t="shared" si="1266"/>
        <v>ENTRADA</v>
      </c>
      <c r="C6924" t="str">
        <f t="shared" si="1267"/>
        <v>NFSE</v>
      </c>
      <c r="D6924" t="str">
        <f>"3511"</f>
        <v>3511</v>
      </c>
      <c r="E6924" t="str">
        <f t="shared" si="1264"/>
        <v>1</v>
      </c>
      <c r="F6924" t="str">
        <f t="shared" si="1275"/>
        <v>COM</v>
      </c>
      <c r="G6924" t="str">
        <f>"PENSE FARMA 07 (10201)"</f>
        <v>PENSE FARMA 07 (10201)</v>
      </c>
      <c r="H6924" t="s">
        <v>1893</v>
      </c>
      <c r="I6924" t="str">
        <f t="shared" si="1270"/>
        <v>22/10/2025</v>
      </c>
      <c r="J6924" t="str">
        <f t="shared" si="1274"/>
        <v>20/10/2025</v>
      </c>
      <c r="K6924">
        <v>45952</v>
      </c>
      <c r="N6924">
        <v>303</v>
      </c>
      <c r="O6924" t="s">
        <v>69</v>
      </c>
      <c r="Q6924">
        <v>505.7</v>
      </c>
      <c r="R6924" t="str">
        <f>"PENSE FARMA 07 (10201)"</f>
        <v>PENSE FARMA 07 (10201)</v>
      </c>
      <c r="S6924" t="s">
        <v>70</v>
      </c>
      <c r="T6924">
        <v>20282</v>
      </c>
      <c r="U6924">
        <v>23861</v>
      </c>
      <c r="V6924" t="s">
        <v>22</v>
      </c>
    </row>
    <row r="6925" spans="1:22">
      <c r="A6925" t="str">
        <f t="shared" si="1265"/>
        <v>22/10/2025</v>
      </c>
      <c r="B6925" t="str">
        <f t="shared" si="1266"/>
        <v>ENTRADA</v>
      </c>
      <c r="C6925" t="str">
        <f t="shared" si="1267"/>
        <v>NFSE</v>
      </c>
      <c r="D6925" t="str">
        <f>"3511"</f>
        <v>3511</v>
      </c>
      <c r="E6925" t="str">
        <f t="shared" si="1264"/>
        <v>1</v>
      </c>
      <c r="F6925" t="str">
        <f t="shared" si="1275"/>
        <v>COM</v>
      </c>
      <c r="G6925" t="str">
        <f>"PENSE FARMA 07 (10201)"</f>
        <v>PENSE FARMA 07 (10201)</v>
      </c>
      <c r="H6925" t="s">
        <v>1893</v>
      </c>
      <c r="I6925" t="str">
        <f t="shared" si="1270"/>
        <v>22/10/2025</v>
      </c>
      <c r="J6925" t="str">
        <f t="shared" si="1274"/>
        <v>20/10/2025</v>
      </c>
      <c r="K6925">
        <v>45952</v>
      </c>
      <c r="N6925">
        <v>303</v>
      </c>
      <c r="O6925" t="s">
        <v>69</v>
      </c>
      <c r="Q6925">
        <v>505.7</v>
      </c>
      <c r="R6925" t="str">
        <f>"PENSE FARMA 45 (10209)"</f>
        <v>PENSE FARMA 45 (10209)</v>
      </c>
      <c r="S6925" t="s">
        <v>70</v>
      </c>
      <c r="T6925">
        <v>20282</v>
      </c>
      <c r="U6925">
        <v>23861</v>
      </c>
      <c r="V6925" t="s">
        <v>22</v>
      </c>
    </row>
    <row r="6926" spans="1:22">
      <c r="A6926" t="str">
        <f t="shared" si="1265"/>
        <v>22/10/2025</v>
      </c>
      <c r="B6926" t="str">
        <f t="shared" si="1266"/>
        <v>ENTRADA</v>
      </c>
      <c r="C6926" t="str">
        <f t="shared" si="1267"/>
        <v>NFSE</v>
      </c>
      <c r="D6926" t="str">
        <f>"3511"</f>
        <v>3511</v>
      </c>
      <c r="E6926" t="str">
        <f t="shared" si="1264"/>
        <v>1</v>
      </c>
      <c r="F6926" t="str">
        <f t="shared" si="1275"/>
        <v>COM</v>
      </c>
      <c r="G6926" t="str">
        <f>"PENSE FARMA 07 (10201)"</f>
        <v>PENSE FARMA 07 (10201)</v>
      </c>
      <c r="H6926" t="s">
        <v>1893</v>
      </c>
      <c r="I6926" t="str">
        <f t="shared" si="1270"/>
        <v>22/10/2025</v>
      </c>
      <c r="J6926" t="str">
        <f t="shared" si="1274"/>
        <v>20/10/2025</v>
      </c>
      <c r="K6926">
        <v>45952</v>
      </c>
      <c r="N6926">
        <v>303</v>
      </c>
      <c r="O6926" t="s">
        <v>69</v>
      </c>
      <c r="Q6926">
        <v>505.85</v>
      </c>
      <c r="R6926" t="str">
        <f>"PENSE FARMA 50 (10210)"</f>
        <v>PENSE FARMA 50 (10210)</v>
      </c>
      <c r="S6926" t="s">
        <v>70</v>
      </c>
      <c r="T6926">
        <v>20282</v>
      </c>
      <c r="U6926">
        <v>23861</v>
      </c>
      <c r="V6926" t="s">
        <v>22</v>
      </c>
    </row>
    <row r="6927" spans="1:22">
      <c r="A6927" t="str">
        <f t="shared" si="1265"/>
        <v>22/10/2025</v>
      </c>
      <c r="B6927" t="str">
        <f t="shared" si="1266"/>
        <v>ENTRADA</v>
      </c>
      <c r="C6927" t="str">
        <f t="shared" si="1267"/>
        <v>NFSE</v>
      </c>
      <c r="D6927" t="str">
        <f>"3529"</f>
        <v>3529</v>
      </c>
      <c r="E6927" t="str">
        <f t="shared" si="1264"/>
        <v>1</v>
      </c>
      <c r="F6927" t="str">
        <f t="shared" si="1275"/>
        <v>COM</v>
      </c>
      <c r="G6927" t="str">
        <f>"DROGARIA AGAPEAMA (10167)"</f>
        <v>DROGARIA AGAPEAMA (10167)</v>
      </c>
      <c r="H6927" t="str">
        <f>"Serv.Prest. 13/10/2025 a 19/10/2025 - RPS: 1405 - NFSe: 3529"</f>
        <v>Serv.Prest. 13/10/2025 a 19/10/2025 - RPS: 1405 - NFSe: 3529</v>
      </c>
      <c r="I6927" t="str">
        <f t="shared" si="1270"/>
        <v>22/10/2025</v>
      </c>
      <c r="J6927" t="str">
        <f t="shared" ref="J6927:J6935" si="1276">("21/10/2025")</f>
        <v>21/10/2025</v>
      </c>
      <c r="K6927" t="str">
        <f>("22/10/2025")</f>
        <v>22/10/2025</v>
      </c>
      <c r="L6927">
        <v>3376.8</v>
      </c>
      <c r="M6927">
        <v>3376.8</v>
      </c>
      <c r="N6927">
        <v>303</v>
      </c>
      <c r="O6927" t="str">
        <f>"RECEITAS COM ENTREGAS"</f>
        <v>RECEITAS COM ENTREGAS</v>
      </c>
      <c r="P6927">
        <v>3376.8</v>
      </c>
      <c r="S6927" t="str">
        <f>"RECEITAS COM ENTREGAS (303)"</f>
        <v>RECEITAS COM ENTREGAS (303)</v>
      </c>
      <c r="T6927">
        <v>20283</v>
      </c>
      <c r="U6927">
        <v>23914</v>
      </c>
      <c r="V6927" t="s">
        <v>22</v>
      </c>
    </row>
    <row r="6928" spans="1:22">
      <c r="A6928" t="str">
        <f t="shared" si="1265"/>
        <v>22/10/2025</v>
      </c>
      <c r="B6928" t="str">
        <f t="shared" si="1266"/>
        <v>ENTRADA</v>
      </c>
      <c r="C6928" t="str">
        <f t="shared" si="1267"/>
        <v>NFSE</v>
      </c>
      <c r="D6928" t="str">
        <f>"3529"</f>
        <v>3529</v>
      </c>
      <c r="E6928" t="str">
        <f t="shared" si="1264"/>
        <v>1</v>
      </c>
      <c r="F6928" t="str">
        <f t="shared" si="1275"/>
        <v>COM</v>
      </c>
      <c r="G6928" t="str">
        <f>"DROGARIA AGAPEAMA (10167)"</f>
        <v>DROGARIA AGAPEAMA (10167)</v>
      </c>
      <c r="H6928" t="s">
        <v>1894</v>
      </c>
      <c r="I6928" t="str">
        <f t="shared" si="1270"/>
        <v>22/10/2025</v>
      </c>
      <c r="J6928" t="str">
        <f t="shared" si="1276"/>
        <v>21/10/2025</v>
      </c>
      <c r="K6928">
        <v>45952</v>
      </c>
      <c r="N6928">
        <v>303</v>
      </c>
      <c r="O6928" t="s">
        <v>69</v>
      </c>
      <c r="Q6928">
        <v>3376.8</v>
      </c>
      <c r="R6928" t="str">
        <f>"DROGARIA AGAPEAMA (10167)"</f>
        <v>DROGARIA AGAPEAMA (10167)</v>
      </c>
      <c r="S6928" t="s">
        <v>70</v>
      </c>
      <c r="T6928">
        <v>20283</v>
      </c>
      <c r="U6928">
        <v>23914</v>
      </c>
      <c r="V6928" t="s">
        <v>22</v>
      </c>
    </row>
    <row r="6929" spans="1:22">
      <c r="A6929" t="str">
        <f t="shared" si="1265"/>
        <v>22/10/2025</v>
      </c>
      <c r="B6929" t="str">
        <f t="shared" si="1266"/>
        <v>ENTRADA</v>
      </c>
      <c r="C6929" t="str">
        <f t="shared" si="1267"/>
        <v>NFSE</v>
      </c>
      <c r="D6929" t="str">
        <f>"3531"</f>
        <v>3531</v>
      </c>
      <c r="E6929" t="str">
        <f t="shared" si="1264"/>
        <v>1</v>
      </c>
      <c r="F6929" t="str">
        <f t="shared" si="1275"/>
        <v>COM</v>
      </c>
      <c r="G6929" t="str">
        <f>"ENTREFARMA (10164)"</f>
        <v>ENTREFARMA (10164)</v>
      </c>
      <c r="H6929" t="str">
        <f>"Serv.Prest. 13/10/2025 a 19/10/2025 - RPS: 1407 - NFSe: 3531"</f>
        <v>Serv.Prest. 13/10/2025 a 19/10/2025 - RPS: 1407 - NFSe: 3531</v>
      </c>
      <c r="I6929" t="str">
        <f t="shared" si="1270"/>
        <v>22/10/2025</v>
      </c>
      <c r="J6929" t="str">
        <f t="shared" si="1276"/>
        <v>21/10/2025</v>
      </c>
      <c r="K6929" t="str">
        <f>("22/10/2025")</f>
        <v>22/10/2025</v>
      </c>
      <c r="L6929">
        <v>6170.15</v>
      </c>
      <c r="M6929">
        <v>6170.15</v>
      </c>
      <c r="N6929">
        <v>303</v>
      </c>
      <c r="O6929" t="str">
        <f>"RECEITAS COM ENTREGAS"</f>
        <v>RECEITAS COM ENTREGAS</v>
      </c>
      <c r="P6929">
        <v>6170.15</v>
      </c>
      <c r="S6929" t="str">
        <f>"RECEITAS COM ENTREGAS (303)"</f>
        <v>RECEITAS COM ENTREGAS (303)</v>
      </c>
      <c r="T6929">
        <v>20284</v>
      </c>
      <c r="U6929">
        <v>23920</v>
      </c>
      <c r="V6929" t="s">
        <v>22</v>
      </c>
    </row>
    <row r="6930" spans="1:22">
      <c r="A6930" t="str">
        <f t="shared" si="1265"/>
        <v>22/10/2025</v>
      </c>
      <c r="B6930" t="str">
        <f t="shared" si="1266"/>
        <v>ENTRADA</v>
      </c>
      <c r="C6930" t="str">
        <f t="shared" si="1267"/>
        <v>NFSE</v>
      </c>
      <c r="D6930" t="str">
        <f>"3531"</f>
        <v>3531</v>
      </c>
      <c r="E6930" t="str">
        <f t="shared" ref="E6930:E6961" si="1277">"1"</f>
        <v>1</v>
      </c>
      <c r="F6930" t="str">
        <f t="shared" si="1275"/>
        <v>COM</v>
      </c>
      <c r="G6930" t="str">
        <f>"ENTREFARMA (10164)"</f>
        <v>ENTREFARMA (10164)</v>
      </c>
      <c r="H6930" t="s">
        <v>1895</v>
      </c>
      <c r="I6930" t="str">
        <f t="shared" si="1270"/>
        <v>22/10/2025</v>
      </c>
      <c r="J6930" t="str">
        <f t="shared" si="1276"/>
        <v>21/10/2025</v>
      </c>
      <c r="K6930">
        <v>45952</v>
      </c>
      <c r="N6930">
        <v>303</v>
      </c>
      <c r="O6930" t="s">
        <v>69</v>
      </c>
      <c r="Q6930">
        <v>6170.15</v>
      </c>
      <c r="R6930" t="str">
        <f>"ENTREFARMA (10164)"</f>
        <v>ENTREFARMA (10164)</v>
      </c>
      <c r="S6930" t="s">
        <v>70</v>
      </c>
      <c r="T6930">
        <v>20284</v>
      </c>
      <c r="U6930">
        <v>23920</v>
      </c>
      <c r="V6930" t="s">
        <v>22</v>
      </c>
    </row>
    <row r="6931" spans="1:22">
      <c r="A6931" t="str">
        <f t="shared" si="1265"/>
        <v>22/10/2025</v>
      </c>
      <c r="B6931" t="str">
        <f t="shared" si="1266"/>
        <v>ENTRADA</v>
      </c>
      <c r="C6931" t="str">
        <f t="shared" si="1267"/>
        <v>NFSE</v>
      </c>
      <c r="D6931" t="str">
        <f>"3532"</f>
        <v>3532</v>
      </c>
      <c r="E6931" t="str">
        <f t="shared" si="1277"/>
        <v>1</v>
      </c>
      <c r="F6931" t="str">
        <f t="shared" si="1275"/>
        <v>COM</v>
      </c>
      <c r="G6931" t="str">
        <f>"FRAN FARMA (10124)"</f>
        <v>FRAN FARMA (10124)</v>
      </c>
      <c r="H6931" t="str">
        <f>"Serv.Prest. 13/10/2025 a 19/10/2025 - RPS: 1408 - NFSe: 3532"</f>
        <v>Serv.Prest. 13/10/2025 a 19/10/2025 - RPS: 1408 - NFSe: 3532</v>
      </c>
      <c r="I6931" t="str">
        <f t="shared" si="1270"/>
        <v>22/10/2025</v>
      </c>
      <c r="J6931" t="str">
        <f t="shared" si="1276"/>
        <v>21/10/2025</v>
      </c>
      <c r="K6931" t="str">
        <f>("22/10/2025")</f>
        <v>22/10/2025</v>
      </c>
      <c r="L6931">
        <v>840</v>
      </c>
      <c r="M6931">
        <v>840</v>
      </c>
      <c r="N6931">
        <v>303</v>
      </c>
      <c r="O6931" t="str">
        <f>"RECEITAS COM ENTREGAS"</f>
        <v>RECEITAS COM ENTREGAS</v>
      </c>
      <c r="P6931">
        <v>840</v>
      </c>
      <c r="S6931" t="str">
        <f>"RECEITAS COM ENTREGAS (303)"</f>
        <v>RECEITAS COM ENTREGAS (303)</v>
      </c>
      <c r="T6931">
        <v>20285</v>
      </c>
      <c r="U6931">
        <v>23925</v>
      </c>
      <c r="V6931" t="s">
        <v>22</v>
      </c>
    </row>
    <row r="6932" spans="1:22">
      <c r="A6932" t="str">
        <f t="shared" si="1265"/>
        <v>22/10/2025</v>
      </c>
      <c r="B6932" t="str">
        <f t="shared" si="1266"/>
        <v>ENTRADA</v>
      </c>
      <c r="C6932" t="str">
        <f t="shared" si="1267"/>
        <v>NFSE</v>
      </c>
      <c r="D6932" t="str">
        <f>"3532"</f>
        <v>3532</v>
      </c>
      <c r="E6932" t="str">
        <f t="shared" si="1277"/>
        <v>1</v>
      </c>
      <c r="F6932" t="str">
        <f t="shared" si="1275"/>
        <v>COM</v>
      </c>
      <c r="G6932" t="str">
        <f>"FRAN FARMA (10124)"</f>
        <v>FRAN FARMA (10124)</v>
      </c>
      <c r="H6932" t="s">
        <v>1896</v>
      </c>
      <c r="I6932" t="str">
        <f t="shared" si="1270"/>
        <v>22/10/2025</v>
      </c>
      <c r="J6932" t="str">
        <f t="shared" si="1276"/>
        <v>21/10/2025</v>
      </c>
      <c r="K6932">
        <v>45952</v>
      </c>
      <c r="N6932">
        <v>303</v>
      </c>
      <c r="O6932" t="s">
        <v>69</v>
      </c>
      <c r="Q6932">
        <v>504</v>
      </c>
      <c r="R6932" t="str">
        <f>"FRAN FARMA LJ 2 (10131)"</f>
        <v>FRAN FARMA LJ 2 (10131)</v>
      </c>
      <c r="S6932" t="s">
        <v>70</v>
      </c>
      <c r="T6932">
        <v>20285</v>
      </c>
      <c r="U6932">
        <v>23925</v>
      </c>
      <c r="V6932" t="s">
        <v>22</v>
      </c>
    </row>
    <row r="6933" spans="1:22">
      <c r="A6933" t="str">
        <f t="shared" si="1265"/>
        <v>22/10/2025</v>
      </c>
      <c r="B6933" t="str">
        <f t="shared" si="1266"/>
        <v>ENTRADA</v>
      </c>
      <c r="C6933" t="str">
        <f t="shared" si="1267"/>
        <v>NFSE</v>
      </c>
      <c r="D6933" t="str">
        <f>"3532"</f>
        <v>3532</v>
      </c>
      <c r="E6933" t="str">
        <f t="shared" si="1277"/>
        <v>1</v>
      </c>
      <c r="F6933" t="str">
        <f t="shared" si="1275"/>
        <v>COM</v>
      </c>
      <c r="G6933" t="str">
        <f>"FRAN FARMA (10124)"</f>
        <v>FRAN FARMA (10124)</v>
      </c>
      <c r="H6933" t="s">
        <v>1896</v>
      </c>
      <c r="I6933" t="str">
        <f t="shared" si="1270"/>
        <v>22/10/2025</v>
      </c>
      <c r="J6933" t="str">
        <f t="shared" si="1276"/>
        <v>21/10/2025</v>
      </c>
      <c r="K6933">
        <v>45952</v>
      </c>
      <c r="N6933">
        <v>303</v>
      </c>
      <c r="O6933" t="s">
        <v>69</v>
      </c>
      <c r="Q6933">
        <v>336</v>
      </c>
      <c r="R6933" t="str">
        <f>"FRAN FARMA LJ 3 (10132)"</f>
        <v>FRAN FARMA LJ 3 (10132)</v>
      </c>
      <c r="S6933" t="s">
        <v>70</v>
      </c>
      <c r="T6933">
        <v>20285</v>
      </c>
      <c r="U6933">
        <v>23925</v>
      </c>
      <c r="V6933" t="s">
        <v>22</v>
      </c>
    </row>
    <row r="6934" spans="1:22">
      <c r="A6934" t="str">
        <f t="shared" si="1265"/>
        <v>22/10/2025</v>
      </c>
      <c r="B6934" t="str">
        <f t="shared" si="1266"/>
        <v>ENTRADA</v>
      </c>
      <c r="C6934" t="str">
        <f t="shared" si="1267"/>
        <v>NFSE</v>
      </c>
      <c r="D6934" t="str">
        <f>"3543"</f>
        <v>3543</v>
      </c>
      <c r="E6934" t="str">
        <f t="shared" si="1277"/>
        <v>1</v>
      </c>
      <c r="F6934" t="str">
        <f t="shared" si="1275"/>
        <v>COM</v>
      </c>
      <c r="G6934" t="str">
        <f>"JAL FARMACIA E DROGARIA LJ 2 (10138)"</f>
        <v>JAL FARMACIA E DROGARIA LJ 2 (10138)</v>
      </c>
      <c r="H6934" t="str">
        <f>"Serv.Prest. 13/10/2025 a 19/10/2025 - RPS: 1419 - NFSe: 3543"</f>
        <v>Serv.Prest. 13/10/2025 a 19/10/2025 - RPS: 1419 - NFSe: 3543</v>
      </c>
      <c r="I6934" t="str">
        <f t="shared" si="1270"/>
        <v>22/10/2025</v>
      </c>
      <c r="J6934" t="str">
        <f t="shared" si="1276"/>
        <v>21/10/2025</v>
      </c>
      <c r="K6934" t="str">
        <f>("22/10/2025")</f>
        <v>22/10/2025</v>
      </c>
      <c r="L6934">
        <v>1537.2</v>
      </c>
      <c r="M6934">
        <v>1537.2</v>
      </c>
      <c r="N6934">
        <v>303</v>
      </c>
      <c r="O6934" t="str">
        <f>"RECEITAS COM ENTREGAS"</f>
        <v>RECEITAS COM ENTREGAS</v>
      </c>
      <c r="P6934">
        <v>1537.2</v>
      </c>
      <c r="S6934" t="str">
        <f>"RECEITAS COM ENTREGAS (303)"</f>
        <v>RECEITAS COM ENTREGAS (303)</v>
      </c>
      <c r="T6934">
        <v>20286</v>
      </c>
      <c r="U6934">
        <v>23960</v>
      </c>
      <c r="V6934" t="s">
        <v>22</v>
      </c>
    </row>
    <row r="6935" spans="1:22">
      <c r="A6935" t="str">
        <f t="shared" si="1265"/>
        <v>22/10/2025</v>
      </c>
      <c r="B6935" t="str">
        <f t="shared" si="1266"/>
        <v>ENTRADA</v>
      </c>
      <c r="C6935" t="str">
        <f t="shared" si="1267"/>
        <v>NFSE</v>
      </c>
      <c r="D6935" t="str">
        <f>"3543"</f>
        <v>3543</v>
      </c>
      <c r="E6935" t="str">
        <f t="shared" si="1277"/>
        <v>1</v>
      </c>
      <c r="F6935" t="str">
        <f t="shared" si="1275"/>
        <v>COM</v>
      </c>
      <c r="G6935" t="str">
        <f>"JAL FARMACIA E DROGARIA LJ 2 (10138)"</f>
        <v>JAL FARMACIA E DROGARIA LJ 2 (10138)</v>
      </c>
      <c r="H6935" t="s">
        <v>1897</v>
      </c>
      <c r="I6935" t="str">
        <f t="shared" si="1270"/>
        <v>22/10/2025</v>
      </c>
      <c r="J6935" t="str">
        <f t="shared" si="1276"/>
        <v>21/10/2025</v>
      </c>
      <c r="K6935">
        <v>45952</v>
      </c>
      <c r="N6935">
        <v>303</v>
      </c>
      <c r="O6935" t="s">
        <v>69</v>
      </c>
      <c r="Q6935">
        <v>1537.2</v>
      </c>
      <c r="R6935" t="str">
        <f>"JAL FARMACIA E DROGARIA LJ 2 (10138)"</f>
        <v>JAL FARMACIA E DROGARIA LJ 2 (10138)</v>
      </c>
      <c r="S6935" t="s">
        <v>70</v>
      </c>
      <c r="T6935">
        <v>20286</v>
      </c>
      <c r="U6935">
        <v>23960</v>
      </c>
      <c r="V6935" t="s">
        <v>22</v>
      </c>
    </row>
    <row r="6936" spans="1:22">
      <c r="A6936" t="str">
        <f t="shared" ref="A6936:A6967" si="1278">("22/10/2025")</f>
        <v>22/10/2025</v>
      </c>
      <c r="B6936" t="str">
        <f t="shared" si="1266"/>
        <v>ENTRADA</v>
      </c>
      <c r="C6936" t="str">
        <f t="shared" si="1267"/>
        <v>NFSE</v>
      </c>
      <c r="D6936" t="str">
        <f>"3516"</f>
        <v>3516</v>
      </c>
      <c r="E6936" t="str">
        <f t="shared" si="1277"/>
        <v>1</v>
      </c>
      <c r="F6936" t="str">
        <f t="shared" si="1275"/>
        <v>COM</v>
      </c>
      <c r="G6936" t="str">
        <f>"PENSE FARMA 25 (10224)"</f>
        <v>PENSE FARMA 25 (10224)</v>
      </c>
      <c r="H6936" t="str">
        <f>"Serv.Prest. 13/10/2025 a 19/10/2025 - RPS: 1392 - NFSe: 3516"</f>
        <v>Serv.Prest. 13/10/2025 a 19/10/2025 - RPS: 1392 - NFSe: 3516</v>
      </c>
      <c r="I6936" t="str">
        <f t="shared" ref="I6936:I6954" si="1279">("24/10/2025")</f>
        <v>24/10/2025</v>
      </c>
      <c r="J6936" t="str">
        <f t="shared" ref="J6936:J6976" si="1280">("20/10/2025")</f>
        <v>20/10/2025</v>
      </c>
      <c r="K6936" t="str">
        <f>("22/10/2025")</f>
        <v>22/10/2025</v>
      </c>
      <c r="L6936">
        <v>2255.0500000000002</v>
      </c>
      <c r="M6936">
        <v>2255.0500000000002</v>
      </c>
      <c r="N6936">
        <v>303</v>
      </c>
      <c r="O6936" t="str">
        <f>"RECEITAS COM ENTREGAS"</f>
        <v>RECEITAS COM ENTREGAS</v>
      </c>
      <c r="P6936">
        <v>2255.0500000000002</v>
      </c>
      <c r="S6936" t="str">
        <f>"RECEITAS COM ENTREGAS (303)"</f>
        <v>RECEITAS COM ENTREGAS (303)</v>
      </c>
      <c r="T6936">
        <v>20287</v>
      </c>
      <c r="U6936">
        <v>23876</v>
      </c>
      <c r="V6936" t="s">
        <v>22</v>
      </c>
    </row>
    <row r="6937" spans="1:22">
      <c r="A6937" t="str">
        <f t="shared" si="1278"/>
        <v>22/10/2025</v>
      </c>
      <c r="B6937" t="str">
        <f t="shared" si="1266"/>
        <v>ENTRADA</v>
      </c>
      <c r="C6937" t="str">
        <f t="shared" si="1267"/>
        <v>NFSE</v>
      </c>
      <c r="D6937" t="str">
        <f>"3516"</f>
        <v>3516</v>
      </c>
      <c r="E6937" t="str">
        <f t="shared" si="1277"/>
        <v>1</v>
      </c>
      <c r="F6937" t="str">
        <f t="shared" si="1275"/>
        <v>COM</v>
      </c>
      <c r="G6937" t="str">
        <f>"PENSE FARMA 25 (10224)"</f>
        <v>PENSE FARMA 25 (10224)</v>
      </c>
      <c r="H6937" t="s">
        <v>1898</v>
      </c>
      <c r="I6937" t="str">
        <f t="shared" si="1279"/>
        <v>24/10/2025</v>
      </c>
      <c r="J6937" t="str">
        <f t="shared" si="1280"/>
        <v>20/10/2025</v>
      </c>
      <c r="K6937">
        <v>45952</v>
      </c>
      <c r="N6937">
        <v>303</v>
      </c>
      <c r="O6937" t="s">
        <v>69</v>
      </c>
      <c r="Q6937">
        <v>2255.0500000000002</v>
      </c>
      <c r="R6937" t="str">
        <f>"PENSE FARMA 25 (10224)"</f>
        <v>PENSE FARMA 25 (10224)</v>
      </c>
      <c r="S6937" t="s">
        <v>70</v>
      </c>
      <c r="T6937">
        <v>20287</v>
      </c>
      <c r="U6937">
        <v>23876</v>
      </c>
      <c r="V6937" t="s">
        <v>22</v>
      </c>
    </row>
    <row r="6938" spans="1:22">
      <c r="A6938" t="str">
        <f t="shared" si="1278"/>
        <v>22/10/2025</v>
      </c>
      <c r="B6938" t="str">
        <f t="shared" ref="B6938:B6969" si="1281">"ENTRADA"</f>
        <v>ENTRADA</v>
      </c>
      <c r="C6938" t="str">
        <f t="shared" ref="C6938:C6969" si="1282">"NFSE"</f>
        <v>NFSE</v>
      </c>
      <c r="D6938" t="str">
        <f>"3517"</f>
        <v>3517</v>
      </c>
      <c r="E6938" t="str">
        <f t="shared" si="1277"/>
        <v>1</v>
      </c>
      <c r="F6938" t="str">
        <f t="shared" si="1275"/>
        <v>COM</v>
      </c>
      <c r="G6938" t="str">
        <f>"PENSE FARMA 27 (10204)"</f>
        <v>PENSE FARMA 27 (10204)</v>
      </c>
      <c r="H6938" t="str">
        <f>"Serv.Prest. 13/10/2025 a 19/10/2025 - RPS: 1393 - NFSe: 3517"</f>
        <v>Serv.Prest. 13/10/2025 a 19/10/2025 - RPS: 1393 - NFSe: 3517</v>
      </c>
      <c r="I6938" t="str">
        <f t="shared" si="1279"/>
        <v>24/10/2025</v>
      </c>
      <c r="J6938" t="str">
        <f t="shared" si="1280"/>
        <v>20/10/2025</v>
      </c>
      <c r="K6938" t="str">
        <f>("22/10/2025")</f>
        <v>22/10/2025</v>
      </c>
      <c r="L6938">
        <v>3034.5</v>
      </c>
      <c r="M6938">
        <v>3034.5</v>
      </c>
      <c r="N6938">
        <v>303</v>
      </c>
      <c r="O6938" t="str">
        <f>"RECEITAS COM ENTREGAS"</f>
        <v>RECEITAS COM ENTREGAS</v>
      </c>
      <c r="P6938">
        <v>3034.5</v>
      </c>
      <c r="S6938" t="str">
        <f>"RECEITAS COM ENTREGAS (303)"</f>
        <v>RECEITAS COM ENTREGAS (303)</v>
      </c>
      <c r="T6938">
        <v>20288</v>
      </c>
      <c r="U6938">
        <v>23880</v>
      </c>
      <c r="V6938" t="s">
        <v>22</v>
      </c>
    </row>
    <row r="6939" spans="1:22">
      <c r="A6939" t="str">
        <f t="shared" si="1278"/>
        <v>22/10/2025</v>
      </c>
      <c r="B6939" t="str">
        <f t="shared" si="1281"/>
        <v>ENTRADA</v>
      </c>
      <c r="C6939" t="str">
        <f t="shared" si="1282"/>
        <v>NFSE</v>
      </c>
      <c r="D6939" t="str">
        <f>"3517"</f>
        <v>3517</v>
      </c>
      <c r="E6939" t="str">
        <f t="shared" si="1277"/>
        <v>1</v>
      </c>
      <c r="F6939" t="str">
        <f t="shared" si="1275"/>
        <v>COM</v>
      </c>
      <c r="G6939" t="str">
        <f>"PENSE FARMA 27 (10204)"</f>
        <v>PENSE FARMA 27 (10204)</v>
      </c>
      <c r="H6939" t="s">
        <v>1899</v>
      </c>
      <c r="I6939" t="str">
        <f t="shared" si="1279"/>
        <v>24/10/2025</v>
      </c>
      <c r="J6939" t="str">
        <f t="shared" si="1280"/>
        <v>20/10/2025</v>
      </c>
      <c r="K6939">
        <v>45952</v>
      </c>
      <c r="N6939">
        <v>303</v>
      </c>
      <c r="O6939" t="s">
        <v>69</v>
      </c>
      <c r="Q6939">
        <v>1011.4</v>
      </c>
      <c r="R6939" t="str">
        <f>"PENSE FARMA 05 (10200)"</f>
        <v>PENSE FARMA 05 (10200)</v>
      </c>
      <c r="S6939" t="s">
        <v>70</v>
      </c>
      <c r="T6939">
        <v>20288</v>
      </c>
      <c r="U6939">
        <v>23880</v>
      </c>
      <c r="V6939" t="s">
        <v>22</v>
      </c>
    </row>
    <row r="6940" spans="1:22">
      <c r="A6940" t="str">
        <f t="shared" si="1278"/>
        <v>22/10/2025</v>
      </c>
      <c r="B6940" t="str">
        <f t="shared" si="1281"/>
        <v>ENTRADA</v>
      </c>
      <c r="C6940" t="str">
        <f t="shared" si="1282"/>
        <v>NFSE</v>
      </c>
      <c r="D6940" t="str">
        <f>"3517"</f>
        <v>3517</v>
      </c>
      <c r="E6940" t="str">
        <f t="shared" si="1277"/>
        <v>1</v>
      </c>
      <c r="F6940" t="str">
        <f t="shared" si="1275"/>
        <v>COM</v>
      </c>
      <c r="G6940" t="str">
        <f>"PENSE FARMA 27 (10204)"</f>
        <v>PENSE FARMA 27 (10204)</v>
      </c>
      <c r="H6940" t="s">
        <v>1899</v>
      </c>
      <c r="I6940" t="str">
        <f t="shared" si="1279"/>
        <v>24/10/2025</v>
      </c>
      <c r="J6940" t="str">
        <f t="shared" si="1280"/>
        <v>20/10/2025</v>
      </c>
      <c r="K6940">
        <v>45952</v>
      </c>
      <c r="N6940">
        <v>303</v>
      </c>
      <c r="O6940" t="s">
        <v>69</v>
      </c>
      <c r="Q6940">
        <v>1011.4</v>
      </c>
      <c r="R6940" t="str">
        <f>"PENSE FARMA 13 (10202)"</f>
        <v>PENSE FARMA 13 (10202)</v>
      </c>
      <c r="S6940" t="s">
        <v>70</v>
      </c>
      <c r="T6940">
        <v>20288</v>
      </c>
      <c r="U6940">
        <v>23880</v>
      </c>
      <c r="V6940" t="s">
        <v>22</v>
      </c>
    </row>
    <row r="6941" spans="1:22">
      <c r="A6941" t="str">
        <f t="shared" si="1278"/>
        <v>22/10/2025</v>
      </c>
      <c r="B6941" t="str">
        <f t="shared" si="1281"/>
        <v>ENTRADA</v>
      </c>
      <c r="C6941" t="str">
        <f t="shared" si="1282"/>
        <v>NFSE</v>
      </c>
      <c r="D6941" t="str">
        <f>"3517"</f>
        <v>3517</v>
      </c>
      <c r="E6941" t="str">
        <f t="shared" si="1277"/>
        <v>1</v>
      </c>
      <c r="F6941" t="str">
        <f t="shared" si="1275"/>
        <v>COM</v>
      </c>
      <c r="G6941" t="str">
        <f>"PENSE FARMA 27 (10204)"</f>
        <v>PENSE FARMA 27 (10204)</v>
      </c>
      <c r="H6941" t="s">
        <v>1899</v>
      </c>
      <c r="I6941" t="str">
        <f t="shared" si="1279"/>
        <v>24/10/2025</v>
      </c>
      <c r="J6941" t="str">
        <f t="shared" si="1280"/>
        <v>20/10/2025</v>
      </c>
      <c r="K6941">
        <v>45952</v>
      </c>
      <c r="N6941">
        <v>303</v>
      </c>
      <c r="O6941" t="s">
        <v>69</v>
      </c>
      <c r="Q6941">
        <v>1011.7</v>
      </c>
      <c r="R6941" t="str">
        <f>"PENSE FARMA 27 (10204)"</f>
        <v>PENSE FARMA 27 (10204)</v>
      </c>
      <c r="S6941" t="s">
        <v>70</v>
      </c>
      <c r="T6941">
        <v>20288</v>
      </c>
      <c r="U6941">
        <v>23880</v>
      </c>
      <c r="V6941" t="s">
        <v>22</v>
      </c>
    </row>
    <row r="6942" spans="1:22">
      <c r="A6942" t="str">
        <f t="shared" si="1278"/>
        <v>22/10/2025</v>
      </c>
      <c r="B6942" t="str">
        <f t="shared" si="1281"/>
        <v>ENTRADA</v>
      </c>
      <c r="C6942" t="str">
        <f t="shared" si="1282"/>
        <v>NFSE</v>
      </c>
      <c r="D6942" t="str">
        <f>"3518"</f>
        <v>3518</v>
      </c>
      <c r="E6942" t="str">
        <f t="shared" si="1277"/>
        <v>1</v>
      </c>
      <c r="F6942" t="str">
        <f t="shared" si="1275"/>
        <v>COM</v>
      </c>
      <c r="G6942" t="str">
        <f>"PENSE FARMA 31 (10205)"</f>
        <v>PENSE FARMA 31 (10205)</v>
      </c>
      <c r="H6942" t="str">
        <f>"Serv.Prest. 13/10/2025 a 19/10/2025 - RPS: 1394 - NFSe: 3518"</f>
        <v>Serv.Prest. 13/10/2025 a 19/10/2025 - RPS: 1394 - NFSe: 3518</v>
      </c>
      <c r="I6942" t="str">
        <f t="shared" si="1279"/>
        <v>24/10/2025</v>
      </c>
      <c r="J6942" t="str">
        <f t="shared" si="1280"/>
        <v>20/10/2025</v>
      </c>
      <c r="K6942" t="str">
        <f>("22/10/2025")</f>
        <v>22/10/2025</v>
      </c>
      <c r="L6942">
        <v>1578.66</v>
      </c>
      <c r="M6942">
        <v>1578.66</v>
      </c>
      <c r="N6942">
        <v>303</v>
      </c>
      <c r="O6942" t="str">
        <f>"RECEITAS COM ENTREGAS"</f>
        <v>RECEITAS COM ENTREGAS</v>
      </c>
      <c r="P6942">
        <v>1578.66</v>
      </c>
      <c r="S6942" t="str">
        <f>"RECEITAS COM ENTREGAS (303)"</f>
        <v>RECEITAS COM ENTREGAS (303)</v>
      </c>
      <c r="T6942">
        <v>20289</v>
      </c>
      <c r="U6942">
        <v>23883</v>
      </c>
      <c r="V6942" t="s">
        <v>22</v>
      </c>
    </row>
    <row r="6943" spans="1:22">
      <c r="A6943" t="str">
        <f t="shared" si="1278"/>
        <v>22/10/2025</v>
      </c>
      <c r="B6943" t="str">
        <f t="shared" si="1281"/>
        <v>ENTRADA</v>
      </c>
      <c r="C6943" t="str">
        <f t="shared" si="1282"/>
        <v>NFSE</v>
      </c>
      <c r="D6943" t="str">
        <f>"3518"</f>
        <v>3518</v>
      </c>
      <c r="E6943" t="str">
        <f t="shared" si="1277"/>
        <v>1</v>
      </c>
      <c r="F6943" t="str">
        <f t="shared" si="1275"/>
        <v>COM</v>
      </c>
      <c r="G6943" t="str">
        <f>"PENSE FARMA 31 (10205)"</f>
        <v>PENSE FARMA 31 (10205)</v>
      </c>
      <c r="H6943" t="s">
        <v>1900</v>
      </c>
      <c r="I6943" t="str">
        <f t="shared" si="1279"/>
        <v>24/10/2025</v>
      </c>
      <c r="J6943" t="str">
        <f t="shared" si="1280"/>
        <v>20/10/2025</v>
      </c>
      <c r="K6943">
        <v>45952</v>
      </c>
      <c r="N6943">
        <v>303</v>
      </c>
      <c r="O6943" t="s">
        <v>69</v>
      </c>
      <c r="Q6943">
        <v>534.07000000000005</v>
      </c>
      <c r="R6943" t="str">
        <f>"PENSE FARMA 31 (10205)"</f>
        <v>PENSE FARMA 31 (10205)</v>
      </c>
      <c r="S6943" t="s">
        <v>70</v>
      </c>
      <c r="T6943">
        <v>20289</v>
      </c>
      <c r="U6943">
        <v>23883</v>
      </c>
      <c r="V6943" t="s">
        <v>22</v>
      </c>
    </row>
    <row r="6944" spans="1:22">
      <c r="A6944" t="str">
        <f t="shared" si="1278"/>
        <v>22/10/2025</v>
      </c>
      <c r="B6944" t="str">
        <f t="shared" si="1281"/>
        <v>ENTRADA</v>
      </c>
      <c r="C6944" t="str">
        <f t="shared" si="1282"/>
        <v>NFSE</v>
      </c>
      <c r="D6944" t="str">
        <f>"3518"</f>
        <v>3518</v>
      </c>
      <c r="E6944" t="str">
        <f t="shared" si="1277"/>
        <v>1</v>
      </c>
      <c r="F6944" t="str">
        <f t="shared" si="1275"/>
        <v>COM</v>
      </c>
      <c r="G6944" t="str">
        <f>"PENSE FARMA 31 (10205)"</f>
        <v>PENSE FARMA 31 (10205)</v>
      </c>
      <c r="H6944" t="s">
        <v>1900</v>
      </c>
      <c r="I6944" t="str">
        <f t="shared" si="1279"/>
        <v>24/10/2025</v>
      </c>
      <c r="J6944" t="str">
        <f t="shared" si="1280"/>
        <v>20/10/2025</v>
      </c>
      <c r="K6944">
        <v>45952</v>
      </c>
      <c r="N6944">
        <v>303</v>
      </c>
      <c r="O6944" t="s">
        <v>69</v>
      </c>
      <c r="Q6944">
        <v>522.69000000000005</v>
      </c>
      <c r="R6944" t="str">
        <f>"PENSE FARMA 16 (10221)"</f>
        <v>PENSE FARMA 16 (10221)</v>
      </c>
      <c r="S6944" t="s">
        <v>70</v>
      </c>
      <c r="T6944">
        <v>20289</v>
      </c>
      <c r="U6944">
        <v>23883</v>
      </c>
      <c r="V6944" t="s">
        <v>22</v>
      </c>
    </row>
    <row r="6945" spans="1:22">
      <c r="A6945" t="str">
        <f t="shared" si="1278"/>
        <v>22/10/2025</v>
      </c>
      <c r="B6945" t="str">
        <f t="shared" si="1281"/>
        <v>ENTRADA</v>
      </c>
      <c r="C6945" t="str">
        <f t="shared" si="1282"/>
        <v>NFSE</v>
      </c>
      <c r="D6945" t="str">
        <f>"3518"</f>
        <v>3518</v>
      </c>
      <c r="E6945" t="str">
        <f t="shared" si="1277"/>
        <v>1</v>
      </c>
      <c r="F6945" t="str">
        <f t="shared" si="1275"/>
        <v>COM</v>
      </c>
      <c r="G6945" t="str">
        <f>"PENSE FARMA 31 (10205)"</f>
        <v>PENSE FARMA 31 (10205)</v>
      </c>
      <c r="H6945" t="s">
        <v>1900</v>
      </c>
      <c r="I6945" t="str">
        <f t="shared" si="1279"/>
        <v>24/10/2025</v>
      </c>
      <c r="J6945" t="str">
        <f t="shared" si="1280"/>
        <v>20/10/2025</v>
      </c>
      <c r="K6945">
        <v>45952</v>
      </c>
      <c r="N6945">
        <v>303</v>
      </c>
      <c r="O6945" t="s">
        <v>69</v>
      </c>
      <c r="Q6945">
        <v>521.9</v>
      </c>
      <c r="R6945" t="str">
        <f>"PENSE FARMA 17 (10222)"</f>
        <v>PENSE FARMA 17 (10222)</v>
      </c>
      <c r="S6945" t="s">
        <v>70</v>
      </c>
      <c r="T6945">
        <v>20289</v>
      </c>
      <c r="U6945">
        <v>23883</v>
      </c>
      <c r="V6945" t="s">
        <v>22</v>
      </c>
    </row>
    <row r="6946" spans="1:22">
      <c r="A6946" t="str">
        <f t="shared" si="1278"/>
        <v>22/10/2025</v>
      </c>
      <c r="B6946" t="str">
        <f t="shared" si="1281"/>
        <v>ENTRADA</v>
      </c>
      <c r="C6946" t="str">
        <f t="shared" si="1282"/>
        <v>NFSE</v>
      </c>
      <c r="D6946" t="str">
        <f>"3519"</f>
        <v>3519</v>
      </c>
      <c r="E6946" t="str">
        <f t="shared" si="1277"/>
        <v>1</v>
      </c>
      <c r="F6946" t="str">
        <f t="shared" si="1275"/>
        <v>COM</v>
      </c>
      <c r="G6946" t="str">
        <f>"PENSE FARMA 35 (10227)"</f>
        <v>PENSE FARMA 35 (10227)</v>
      </c>
      <c r="H6946" t="str">
        <f>"Serv.Prest. 13/10/2025 a 19/10/2025 - RPS: 1395 - NFSe: 3519"</f>
        <v>Serv.Prest. 13/10/2025 a 19/10/2025 - RPS: 1395 - NFSe: 3519</v>
      </c>
      <c r="I6946" t="str">
        <f t="shared" si="1279"/>
        <v>24/10/2025</v>
      </c>
      <c r="J6946" t="str">
        <f t="shared" si="1280"/>
        <v>20/10/2025</v>
      </c>
      <c r="K6946" t="str">
        <f>("22/10/2025")</f>
        <v>22/10/2025</v>
      </c>
      <c r="L6946">
        <v>971.55</v>
      </c>
      <c r="M6946">
        <v>971.55</v>
      </c>
      <c r="N6946">
        <v>303</v>
      </c>
      <c r="O6946" t="str">
        <f>"RECEITAS COM ENTREGAS"</f>
        <v>RECEITAS COM ENTREGAS</v>
      </c>
      <c r="P6946">
        <v>971.55</v>
      </c>
      <c r="S6946" t="str">
        <f>"RECEITAS COM ENTREGAS (303)"</f>
        <v>RECEITAS COM ENTREGAS (303)</v>
      </c>
      <c r="T6946">
        <v>20290</v>
      </c>
      <c r="U6946">
        <v>23886</v>
      </c>
      <c r="V6946" t="s">
        <v>22</v>
      </c>
    </row>
    <row r="6947" spans="1:22">
      <c r="A6947" t="str">
        <f t="shared" si="1278"/>
        <v>22/10/2025</v>
      </c>
      <c r="B6947" t="str">
        <f t="shared" si="1281"/>
        <v>ENTRADA</v>
      </c>
      <c r="C6947" t="str">
        <f t="shared" si="1282"/>
        <v>NFSE</v>
      </c>
      <c r="D6947" t="str">
        <f>"3519"</f>
        <v>3519</v>
      </c>
      <c r="E6947" t="str">
        <f t="shared" si="1277"/>
        <v>1</v>
      </c>
      <c r="F6947" t="str">
        <f t="shared" si="1275"/>
        <v>COM</v>
      </c>
      <c r="G6947" t="str">
        <f>"PENSE FARMA 35 (10227)"</f>
        <v>PENSE FARMA 35 (10227)</v>
      </c>
      <c r="H6947" t="s">
        <v>1901</v>
      </c>
      <c r="I6947" t="str">
        <f t="shared" si="1279"/>
        <v>24/10/2025</v>
      </c>
      <c r="J6947" t="str">
        <f t="shared" si="1280"/>
        <v>20/10/2025</v>
      </c>
      <c r="K6947">
        <v>45952</v>
      </c>
      <c r="N6947">
        <v>303</v>
      </c>
      <c r="O6947" t="s">
        <v>69</v>
      </c>
      <c r="Q6947">
        <v>971.55</v>
      </c>
      <c r="R6947" t="str">
        <f>"PENSE FARMA 35 (10227)"</f>
        <v>PENSE FARMA 35 (10227)</v>
      </c>
      <c r="S6947" t="s">
        <v>70</v>
      </c>
      <c r="T6947">
        <v>20290</v>
      </c>
      <c r="U6947">
        <v>23886</v>
      </c>
      <c r="V6947" t="s">
        <v>22</v>
      </c>
    </row>
    <row r="6948" spans="1:22">
      <c r="A6948" t="str">
        <f t="shared" si="1278"/>
        <v>22/10/2025</v>
      </c>
      <c r="B6948" t="str">
        <f t="shared" si="1281"/>
        <v>ENTRADA</v>
      </c>
      <c r="C6948" t="str">
        <f t="shared" si="1282"/>
        <v>NFSE</v>
      </c>
      <c r="D6948" t="str">
        <f>"3521"</f>
        <v>3521</v>
      </c>
      <c r="E6948" t="str">
        <f t="shared" si="1277"/>
        <v>1</v>
      </c>
      <c r="F6948" t="str">
        <f t="shared" si="1275"/>
        <v>COM</v>
      </c>
      <c r="G6948" t="str">
        <f>"PENSE FARMA 39 (10228)"</f>
        <v>PENSE FARMA 39 (10228)</v>
      </c>
      <c r="H6948" t="str">
        <f>"Serv.Prest. 13/10/2025 a 19/10/2025 - RPS: 1397 - NFSe: 3521"</f>
        <v>Serv.Prest. 13/10/2025 a 19/10/2025 - RPS: 1397 - NFSe: 3521</v>
      </c>
      <c r="I6948" t="str">
        <f t="shared" si="1279"/>
        <v>24/10/2025</v>
      </c>
      <c r="J6948" t="str">
        <f t="shared" si="1280"/>
        <v>20/10/2025</v>
      </c>
      <c r="K6948" t="str">
        <f>("22/10/2025")</f>
        <v>22/10/2025</v>
      </c>
      <c r="L6948">
        <v>3156.99</v>
      </c>
      <c r="M6948">
        <v>3156.99</v>
      </c>
      <c r="N6948">
        <v>303</v>
      </c>
      <c r="O6948" t="str">
        <f>"RECEITAS COM ENTREGAS"</f>
        <v>RECEITAS COM ENTREGAS</v>
      </c>
      <c r="P6948">
        <v>3156.99</v>
      </c>
      <c r="S6948" t="str">
        <f>"RECEITAS COM ENTREGAS (303)"</f>
        <v>RECEITAS COM ENTREGAS (303)</v>
      </c>
      <c r="T6948">
        <v>20291</v>
      </c>
      <c r="U6948">
        <v>23892</v>
      </c>
      <c r="V6948" t="s">
        <v>22</v>
      </c>
    </row>
    <row r="6949" spans="1:22">
      <c r="A6949" t="str">
        <f t="shared" si="1278"/>
        <v>22/10/2025</v>
      </c>
      <c r="B6949" t="str">
        <f t="shared" si="1281"/>
        <v>ENTRADA</v>
      </c>
      <c r="C6949" t="str">
        <f t="shared" si="1282"/>
        <v>NFSE</v>
      </c>
      <c r="D6949" t="str">
        <f>"3521"</f>
        <v>3521</v>
      </c>
      <c r="E6949" t="str">
        <f t="shared" si="1277"/>
        <v>1</v>
      </c>
      <c r="F6949" t="str">
        <f t="shared" si="1275"/>
        <v>COM</v>
      </c>
      <c r="G6949" t="str">
        <f>"PENSE FARMA 39 (10228)"</f>
        <v>PENSE FARMA 39 (10228)</v>
      </c>
      <c r="H6949" t="s">
        <v>1902</v>
      </c>
      <c r="I6949" t="str">
        <f t="shared" si="1279"/>
        <v>24/10/2025</v>
      </c>
      <c r="J6949" t="str">
        <f t="shared" si="1280"/>
        <v>20/10/2025</v>
      </c>
      <c r="K6949">
        <v>45952</v>
      </c>
      <c r="N6949">
        <v>303</v>
      </c>
      <c r="O6949" t="s">
        <v>69</v>
      </c>
      <c r="Q6949">
        <v>788.94</v>
      </c>
      <c r="R6949" t="str">
        <f>"PENSE FARMA 02 (10199)"</f>
        <v>PENSE FARMA 02 (10199)</v>
      </c>
      <c r="S6949" t="s">
        <v>70</v>
      </c>
      <c r="T6949">
        <v>20291</v>
      </c>
      <c r="U6949">
        <v>23892</v>
      </c>
      <c r="V6949" t="s">
        <v>22</v>
      </c>
    </row>
    <row r="6950" spans="1:22">
      <c r="A6950" t="str">
        <f t="shared" si="1278"/>
        <v>22/10/2025</v>
      </c>
      <c r="B6950" t="str">
        <f t="shared" si="1281"/>
        <v>ENTRADA</v>
      </c>
      <c r="C6950" t="str">
        <f t="shared" si="1282"/>
        <v>NFSE</v>
      </c>
      <c r="D6950" t="str">
        <f>"3521"</f>
        <v>3521</v>
      </c>
      <c r="E6950" t="str">
        <f t="shared" si="1277"/>
        <v>1</v>
      </c>
      <c r="F6950" t="str">
        <f t="shared" si="1275"/>
        <v>COM</v>
      </c>
      <c r="G6950" t="str">
        <f>"PENSE FARMA 39 (10228)"</f>
        <v>PENSE FARMA 39 (10228)</v>
      </c>
      <c r="H6950" t="s">
        <v>1902</v>
      </c>
      <c r="I6950" t="str">
        <f t="shared" si="1279"/>
        <v>24/10/2025</v>
      </c>
      <c r="J6950" t="str">
        <f t="shared" si="1280"/>
        <v>20/10/2025</v>
      </c>
      <c r="K6950">
        <v>45952</v>
      </c>
      <c r="N6950">
        <v>303</v>
      </c>
      <c r="O6950" t="s">
        <v>69</v>
      </c>
      <c r="Q6950">
        <v>788.93</v>
      </c>
      <c r="R6950" t="str">
        <f>"PENSE FARMA 01 (10215)"</f>
        <v>PENSE FARMA 01 (10215)</v>
      </c>
      <c r="S6950" t="s">
        <v>70</v>
      </c>
      <c r="T6950">
        <v>20291</v>
      </c>
      <c r="U6950">
        <v>23892</v>
      </c>
      <c r="V6950" t="s">
        <v>22</v>
      </c>
    </row>
    <row r="6951" spans="1:22">
      <c r="A6951" t="str">
        <f t="shared" si="1278"/>
        <v>22/10/2025</v>
      </c>
      <c r="B6951" t="str">
        <f t="shared" si="1281"/>
        <v>ENTRADA</v>
      </c>
      <c r="C6951" t="str">
        <f t="shared" si="1282"/>
        <v>NFSE</v>
      </c>
      <c r="D6951" t="str">
        <f>"3521"</f>
        <v>3521</v>
      </c>
      <c r="E6951" t="str">
        <f t="shared" si="1277"/>
        <v>1</v>
      </c>
      <c r="F6951" t="str">
        <f t="shared" si="1275"/>
        <v>COM</v>
      </c>
      <c r="G6951" t="str">
        <f>"PENSE FARMA 39 (10228)"</f>
        <v>PENSE FARMA 39 (10228)</v>
      </c>
      <c r="H6951" t="s">
        <v>1902</v>
      </c>
      <c r="I6951" t="str">
        <f t="shared" si="1279"/>
        <v>24/10/2025</v>
      </c>
      <c r="J6951" t="str">
        <f t="shared" si="1280"/>
        <v>20/10/2025</v>
      </c>
      <c r="K6951">
        <v>45952</v>
      </c>
      <c r="N6951">
        <v>303</v>
      </c>
      <c r="O6951" t="s">
        <v>69</v>
      </c>
      <c r="Q6951">
        <v>788.93</v>
      </c>
      <c r="R6951" t="str">
        <f>"PENSE FARMA 03 (10216)"</f>
        <v>PENSE FARMA 03 (10216)</v>
      </c>
      <c r="S6951" t="s">
        <v>70</v>
      </c>
      <c r="T6951">
        <v>20291</v>
      </c>
      <c r="U6951">
        <v>23892</v>
      </c>
      <c r="V6951" t="s">
        <v>22</v>
      </c>
    </row>
    <row r="6952" spans="1:22">
      <c r="A6952" t="str">
        <f t="shared" si="1278"/>
        <v>22/10/2025</v>
      </c>
      <c r="B6952" t="str">
        <f t="shared" si="1281"/>
        <v>ENTRADA</v>
      </c>
      <c r="C6952" t="str">
        <f t="shared" si="1282"/>
        <v>NFSE</v>
      </c>
      <c r="D6952" t="str">
        <f>"3521"</f>
        <v>3521</v>
      </c>
      <c r="E6952" t="str">
        <f t="shared" si="1277"/>
        <v>1</v>
      </c>
      <c r="F6952" t="str">
        <f t="shared" si="1275"/>
        <v>COM</v>
      </c>
      <c r="G6952" t="str">
        <f>"PENSE FARMA 39 (10228)"</f>
        <v>PENSE FARMA 39 (10228)</v>
      </c>
      <c r="H6952" t="s">
        <v>1902</v>
      </c>
      <c r="I6952" t="str">
        <f t="shared" si="1279"/>
        <v>24/10/2025</v>
      </c>
      <c r="J6952" t="str">
        <f t="shared" si="1280"/>
        <v>20/10/2025</v>
      </c>
      <c r="K6952">
        <v>45952</v>
      </c>
      <c r="N6952">
        <v>303</v>
      </c>
      <c r="O6952" t="s">
        <v>69</v>
      </c>
      <c r="Q6952">
        <v>790.19</v>
      </c>
      <c r="R6952" t="str">
        <f>"PENSE FARMA 39 (10228)"</f>
        <v>PENSE FARMA 39 (10228)</v>
      </c>
      <c r="S6952" t="s">
        <v>70</v>
      </c>
      <c r="T6952">
        <v>20291</v>
      </c>
      <c r="U6952">
        <v>23892</v>
      </c>
      <c r="V6952" t="s">
        <v>22</v>
      </c>
    </row>
    <row r="6953" spans="1:22">
      <c r="A6953" t="str">
        <f t="shared" si="1278"/>
        <v>22/10/2025</v>
      </c>
      <c r="B6953" t="str">
        <f t="shared" si="1281"/>
        <v>ENTRADA</v>
      </c>
      <c r="C6953" t="str">
        <f t="shared" si="1282"/>
        <v>NFSE</v>
      </c>
      <c r="D6953" t="str">
        <f>"3525"</f>
        <v>3525</v>
      </c>
      <c r="E6953" t="str">
        <f t="shared" si="1277"/>
        <v>1</v>
      </c>
      <c r="F6953" t="str">
        <f t="shared" ref="F6953:F6984" si="1283">"COM"</f>
        <v>COM</v>
      </c>
      <c r="G6953" t="str">
        <f>"PENSE FARMA 51 (10235)"</f>
        <v>PENSE FARMA 51 (10235)</v>
      </c>
      <c r="H6953" t="str">
        <f>"Serv.Prest. 13/10/2025 a 19/10/2025 - RPS: 1401 - NFSe: 3525"</f>
        <v>Serv.Prest. 13/10/2025 a 19/10/2025 - RPS: 1401 - NFSe: 3525</v>
      </c>
      <c r="I6953" t="str">
        <f t="shared" si="1279"/>
        <v>24/10/2025</v>
      </c>
      <c r="J6953" t="str">
        <f t="shared" si="1280"/>
        <v>20/10/2025</v>
      </c>
      <c r="K6953" t="str">
        <f>("22/10/2025")</f>
        <v>22/10/2025</v>
      </c>
      <c r="L6953">
        <v>971.04</v>
      </c>
      <c r="M6953">
        <v>971.04</v>
      </c>
      <c r="N6953">
        <v>303</v>
      </c>
      <c r="O6953" t="str">
        <f>"RECEITAS COM ENTREGAS"</f>
        <v>RECEITAS COM ENTREGAS</v>
      </c>
      <c r="P6953">
        <v>971.04</v>
      </c>
      <c r="S6953" t="str">
        <f>"RECEITAS COM ENTREGAS (303)"</f>
        <v>RECEITAS COM ENTREGAS (303)</v>
      </c>
      <c r="T6953">
        <v>20292</v>
      </c>
      <c r="U6953">
        <v>23903</v>
      </c>
      <c r="V6953" t="s">
        <v>22</v>
      </c>
    </row>
    <row r="6954" spans="1:22">
      <c r="A6954" t="str">
        <f t="shared" si="1278"/>
        <v>22/10/2025</v>
      </c>
      <c r="B6954" t="str">
        <f t="shared" si="1281"/>
        <v>ENTRADA</v>
      </c>
      <c r="C6954" t="str">
        <f t="shared" si="1282"/>
        <v>NFSE</v>
      </c>
      <c r="D6954" t="str">
        <f>"3525"</f>
        <v>3525</v>
      </c>
      <c r="E6954" t="str">
        <f t="shared" si="1277"/>
        <v>1</v>
      </c>
      <c r="F6954" t="str">
        <f t="shared" si="1283"/>
        <v>COM</v>
      </c>
      <c r="G6954" t="str">
        <f>"PENSE FARMA 51 (10235)"</f>
        <v>PENSE FARMA 51 (10235)</v>
      </c>
      <c r="H6954" t="s">
        <v>1903</v>
      </c>
      <c r="I6954" t="str">
        <f t="shared" si="1279"/>
        <v>24/10/2025</v>
      </c>
      <c r="J6954" t="str">
        <f t="shared" si="1280"/>
        <v>20/10/2025</v>
      </c>
      <c r="K6954">
        <v>45952</v>
      </c>
      <c r="N6954">
        <v>303</v>
      </c>
      <c r="O6954" t="s">
        <v>69</v>
      </c>
      <c r="Q6954">
        <v>971.04</v>
      </c>
      <c r="R6954" t="str">
        <f>"PENSE FARMA 51 (10235)"</f>
        <v>PENSE FARMA 51 (10235)</v>
      </c>
      <c r="S6954" t="s">
        <v>70</v>
      </c>
      <c r="T6954">
        <v>20292</v>
      </c>
      <c r="U6954">
        <v>23903</v>
      </c>
      <c r="V6954" t="s">
        <v>22</v>
      </c>
    </row>
    <row r="6955" spans="1:22">
      <c r="A6955" t="str">
        <f t="shared" si="1278"/>
        <v>22/10/2025</v>
      </c>
      <c r="B6955" t="str">
        <f t="shared" si="1281"/>
        <v>ENTRADA</v>
      </c>
      <c r="C6955" t="str">
        <f t="shared" si="1282"/>
        <v>NFSE</v>
      </c>
      <c r="D6955" t="str">
        <f>"3513"</f>
        <v>3513</v>
      </c>
      <c r="E6955" t="str">
        <f t="shared" si="1277"/>
        <v>1</v>
      </c>
      <c r="F6955" t="str">
        <f t="shared" si="1283"/>
        <v>COM</v>
      </c>
      <c r="G6955" t="str">
        <f>"PENSE FARMA 09 (10218)"</f>
        <v>PENSE FARMA 09 (10218)</v>
      </c>
      <c r="H6955" t="str">
        <f>"Serv.Prest. 13/10/2025 a 19/10/2025 - RPS: 1390 - NFSe: 3513"</f>
        <v>Serv.Prest. 13/10/2025 a 19/10/2025 - RPS: 1390 - NFSe: 3513</v>
      </c>
      <c r="I6955" t="str">
        <f>("22/10/2025")</f>
        <v>22/10/2025</v>
      </c>
      <c r="J6955" t="str">
        <f t="shared" si="1280"/>
        <v>20/10/2025</v>
      </c>
      <c r="K6955" t="str">
        <f>("22/10/2025")</f>
        <v>22/10/2025</v>
      </c>
      <c r="L6955">
        <v>1668.97</v>
      </c>
      <c r="M6955">
        <v>1668.97</v>
      </c>
      <c r="N6955">
        <v>303</v>
      </c>
      <c r="O6955" t="str">
        <f>"RECEITAS COM ENTREGAS"</f>
        <v>RECEITAS COM ENTREGAS</v>
      </c>
      <c r="P6955">
        <v>1668.97</v>
      </c>
      <c r="S6955" t="str">
        <f>"RECEITAS COM ENTREGAS (303)"</f>
        <v>RECEITAS COM ENTREGAS (303)</v>
      </c>
      <c r="T6955">
        <v>20293</v>
      </c>
      <c r="U6955">
        <v>23869</v>
      </c>
      <c r="V6955" t="s">
        <v>22</v>
      </c>
    </row>
    <row r="6956" spans="1:22">
      <c r="A6956" t="str">
        <f t="shared" si="1278"/>
        <v>22/10/2025</v>
      </c>
      <c r="B6956" t="str">
        <f t="shared" si="1281"/>
        <v>ENTRADA</v>
      </c>
      <c r="C6956" t="str">
        <f t="shared" si="1282"/>
        <v>NFSE</v>
      </c>
      <c r="D6956" t="str">
        <f>"3513"</f>
        <v>3513</v>
      </c>
      <c r="E6956" t="str">
        <f t="shared" si="1277"/>
        <v>1</v>
      </c>
      <c r="F6956" t="str">
        <f t="shared" si="1283"/>
        <v>COM</v>
      </c>
      <c r="G6956" t="str">
        <f>"PENSE FARMA 09 (10218)"</f>
        <v>PENSE FARMA 09 (10218)</v>
      </c>
      <c r="H6956" t="s">
        <v>1904</v>
      </c>
      <c r="I6956" t="str">
        <f>("22/10/2025")</f>
        <v>22/10/2025</v>
      </c>
      <c r="J6956" t="str">
        <f t="shared" si="1280"/>
        <v>20/10/2025</v>
      </c>
      <c r="K6956">
        <v>45952</v>
      </c>
      <c r="N6956">
        <v>303</v>
      </c>
      <c r="O6956" t="s">
        <v>69</v>
      </c>
      <c r="Q6956">
        <v>831.48</v>
      </c>
      <c r="R6956" t="str">
        <f>"PENSE FARMA 09 (10218)"</f>
        <v>PENSE FARMA 09 (10218)</v>
      </c>
      <c r="S6956" t="s">
        <v>70</v>
      </c>
      <c r="T6956">
        <v>20293</v>
      </c>
      <c r="U6956">
        <v>23869</v>
      </c>
      <c r="V6956" t="s">
        <v>22</v>
      </c>
    </row>
    <row r="6957" spans="1:22">
      <c r="A6957" t="str">
        <f t="shared" si="1278"/>
        <v>22/10/2025</v>
      </c>
      <c r="B6957" t="str">
        <f t="shared" si="1281"/>
        <v>ENTRADA</v>
      </c>
      <c r="C6957" t="str">
        <f t="shared" si="1282"/>
        <v>NFSE</v>
      </c>
      <c r="D6957" t="str">
        <f>"3513"</f>
        <v>3513</v>
      </c>
      <c r="E6957" t="str">
        <f t="shared" si="1277"/>
        <v>1</v>
      </c>
      <c r="F6957" t="str">
        <f t="shared" si="1283"/>
        <v>COM</v>
      </c>
      <c r="G6957" t="str">
        <f>"PENSE FARMA 09 (10218)"</f>
        <v>PENSE FARMA 09 (10218)</v>
      </c>
      <c r="H6957" t="s">
        <v>1904</v>
      </c>
      <c r="I6957" t="str">
        <f>("22/10/2025")</f>
        <v>22/10/2025</v>
      </c>
      <c r="J6957" t="str">
        <f t="shared" si="1280"/>
        <v>20/10/2025</v>
      </c>
      <c r="K6957">
        <v>45952</v>
      </c>
      <c r="N6957">
        <v>303</v>
      </c>
      <c r="O6957" t="s">
        <v>69</v>
      </c>
      <c r="Q6957">
        <v>837.49</v>
      </c>
      <c r="R6957" t="str">
        <f>"PENSE FARMA 10 (10219)"</f>
        <v>PENSE FARMA 10 (10219)</v>
      </c>
      <c r="S6957" t="s">
        <v>70</v>
      </c>
      <c r="T6957">
        <v>20293</v>
      </c>
      <c r="U6957">
        <v>23869</v>
      </c>
      <c r="V6957" t="s">
        <v>22</v>
      </c>
    </row>
    <row r="6958" spans="1:22">
      <c r="A6958" t="str">
        <f t="shared" si="1278"/>
        <v>22/10/2025</v>
      </c>
      <c r="B6958" t="str">
        <f t="shared" si="1281"/>
        <v>ENTRADA</v>
      </c>
      <c r="C6958" t="str">
        <f t="shared" si="1282"/>
        <v>NFSE</v>
      </c>
      <c r="D6958" t="str">
        <f>"3514"</f>
        <v>3514</v>
      </c>
      <c r="E6958" t="str">
        <f t="shared" si="1277"/>
        <v>1</v>
      </c>
      <c r="F6958" t="str">
        <f t="shared" si="1283"/>
        <v>COM</v>
      </c>
      <c r="G6958" t="str">
        <f>"PENSE FARMA 15 (10195)"</f>
        <v>PENSE FARMA 15 (10195)</v>
      </c>
      <c r="H6958" t="str">
        <f>"Serv.Prest. 13/10/2025 a 19/10/2025 - RPS: 1391 - NFSe: 3514"</f>
        <v>Serv.Prest. 13/10/2025 a 19/10/2025 - RPS: 1391 - NFSe: 3514</v>
      </c>
      <c r="I6958" t="str">
        <f t="shared" ref="I6958:I6976" si="1284">("24/10/2025")</f>
        <v>24/10/2025</v>
      </c>
      <c r="J6958" t="str">
        <f t="shared" si="1280"/>
        <v>20/10/2025</v>
      </c>
      <c r="K6958" t="str">
        <f>("22/10/2025")</f>
        <v>22/10/2025</v>
      </c>
      <c r="L6958">
        <v>2040</v>
      </c>
      <c r="M6958">
        <v>2040</v>
      </c>
      <c r="N6958">
        <v>303</v>
      </c>
      <c r="O6958" t="str">
        <f>"RECEITAS COM ENTREGAS"</f>
        <v>RECEITAS COM ENTREGAS</v>
      </c>
      <c r="P6958">
        <v>2040</v>
      </c>
      <c r="S6958" t="str">
        <f>"RECEITAS COM ENTREGAS (303)"</f>
        <v>RECEITAS COM ENTREGAS (303)</v>
      </c>
      <c r="T6958">
        <v>20294</v>
      </c>
      <c r="U6958">
        <v>23872</v>
      </c>
      <c r="V6958" t="s">
        <v>22</v>
      </c>
    </row>
    <row r="6959" spans="1:22">
      <c r="A6959" t="str">
        <f t="shared" si="1278"/>
        <v>22/10/2025</v>
      </c>
      <c r="B6959" t="str">
        <f t="shared" si="1281"/>
        <v>ENTRADA</v>
      </c>
      <c r="C6959" t="str">
        <f t="shared" si="1282"/>
        <v>NFSE</v>
      </c>
      <c r="D6959" t="str">
        <f>"3514"</f>
        <v>3514</v>
      </c>
      <c r="E6959" t="str">
        <f t="shared" si="1277"/>
        <v>1</v>
      </c>
      <c r="F6959" t="str">
        <f t="shared" si="1283"/>
        <v>COM</v>
      </c>
      <c r="G6959" t="str">
        <f>"PENSE FARMA 15 (10195)"</f>
        <v>PENSE FARMA 15 (10195)</v>
      </c>
      <c r="H6959" t="s">
        <v>1905</v>
      </c>
      <c r="I6959" t="str">
        <f t="shared" si="1284"/>
        <v>24/10/2025</v>
      </c>
      <c r="J6959" t="str">
        <f t="shared" si="1280"/>
        <v>20/10/2025</v>
      </c>
      <c r="K6959">
        <v>45952</v>
      </c>
      <c r="N6959">
        <v>303</v>
      </c>
      <c r="O6959" t="s">
        <v>69</v>
      </c>
      <c r="Q6959">
        <v>850.07</v>
      </c>
      <c r="R6959" t="str">
        <f>"PENSE FARMA 15 (10195)"</f>
        <v>PENSE FARMA 15 (10195)</v>
      </c>
      <c r="S6959" t="s">
        <v>70</v>
      </c>
      <c r="T6959">
        <v>20294</v>
      </c>
      <c r="U6959">
        <v>23872</v>
      </c>
      <c r="V6959" t="s">
        <v>22</v>
      </c>
    </row>
    <row r="6960" spans="1:22">
      <c r="A6960" t="str">
        <f t="shared" si="1278"/>
        <v>22/10/2025</v>
      </c>
      <c r="B6960" t="str">
        <f t="shared" si="1281"/>
        <v>ENTRADA</v>
      </c>
      <c r="C6960" t="str">
        <f t="shared" si="1282"/>
        <v>NFSE</v>
      </c>
      <c r="D6960" t="str">
        <f>"3514"</f>
        <v>3514</v>
      </c>
      <c r="E6960" t="str">
        <f t="shared" si="1277"/>
        <v>1</v>
      </c>
      <c r="F6960" t="str">
        <f t="shared" si="1283"/>
        <v>COM</v>
      </c>
      <c r="G6960" t="str">
        <f>"PENSE FARMA 15 (10195)"</f>
        <v>PENSE FARMA 15 (10195)</v>
      </c>
      <c r="H6960" t="s">
        <v>1905</v>
      </c>
      <c r="I6960" t="str">
        <f t="shared" si="1284"/>
        <v>24/10/2025</v>
      </c>
      <c r="J6960" t="str">
        <f t="shared" si="1280"/>
        <v>20/10/2025</v>
      </c>
      <c r="K6960">
        <v>45952</v>
      </c>
      <c r="N6960">
        <v>303</v>
      </c>
      <c r="O6960" t="s">
        <v>69</v>
      </c>
      <c r="Q6960">
        <v>850.07</v>
      </c>
      <c r="R6960" t="str">
        <f>"PENSE FARMA 26 (10196)"</f>
        <v>PENSE FARMA 26 (10196)</v>
      </c>
      <c r="S6960" t="s">
        <v>70</v>
      </c>
      <c r="T6960">
        <v>20294</v>
      </c>
      <c r="U6960">
        <v>23872</v>
      </c>
      <c r="V6960" t="s">
        <v>22</v>
      </c>
    </row>
    <row r="6961" spans="1:22">
      <c r="A6961" t="str">
        <f t="shared" si="1278"/>
        <v>22/10/2025</v>
      </c>
      <c r="B6961" t="str">
        <f t="shared" si="1281"/>
        <v>ENTRADA</v>
      </c>
      <c r="C6961" t="str">
        <f t="shared" si="1282"/>
        <v>NFSE</v>
      </c>
      <c r="D6961" t="str">
        <f>"3514"</f>
        <v>3514</v>
      </c>
      <c r="E6961" t="str">
        <f t="shared" si="1277"/>
        <v>1</v>
      </c>
      <c r="F6961" t="str">
        <f t="shared" si="1283"/>
        <v>COM</v>
      </c>
      <c r="G6961" t="str">
        <f>"PENSE FARMA 15 (10195)"</f>
        <v>PENSE FARMA 15 (10195)</v>
      </c>
      <c r="H6961" t="s">
        <v>1905</v>
      </c>
      <c r="I6961" t="str">
        <f t="shared" si="1284"/>
        <v>24/10/2025</v>
      </c>
      <c r="J6961" t="str">
        <f t="shared" si="1280"/>
        <v>20/10/2025</v>
      </c>
      <c r="K6961">
        <v>45952</v>
      </c>
      <c r="N6961">
        <v>303</v>
      </c>
      <c r="O6961" t="s">
        <v>69</v>
      </c>
      <c r="Q6961">
        <v>339.86</v>
      </c>
      <c r="R6961" t="str">
        <f>"PENSE FARMA 60 (10197)"</f>
        <v>PENSE FARMA 60 (10197)</v>
      </c>
      <c r="S6961" t="s">
        <v>70</v>
      </c>
      <c r="T6961">
        <v>20294</v>
      </c>
      <c r="U6961">
        <v>23872</v>
      </c>
      <c r="V6961" t="s">
        <v>22</v>
      </c>
    </row>
    <row r="6962" spans="1:22">
      <c r="A6962" t="str">
        <f t="shared" si="1278"/>
        <v>22/10/2025</v>
      </c>
      <c r="B6962" t="str">
        <f t="shared" si="1281"/>
        <v>ENTRADA</v>
      </c>
      <c r="C6962" t="str">
        <f t="shared" si="1282"/>
        <v>NFSE</v>
      </c>
      <c r="D6962" t="str">
        <f t="shared" ref="D6962:D6968" si="1285">"3520"</f>
        <v>3520</v>
      </c>
      <c r="E6962" t="str">
        <f t="shared" ref="E6962:E6976" si="1286">"1"</f>
        <v>1</v>
      </c>
      <c r="F6962" t="str">
        <f t="shared" si="1283"/>
        <v>COM</v>
      </c>
      <c r="G6962" t="str">
        <f t="shared" ref="G6962:G6968" si="1287">"PENSE FARMA 36 (10206)"</f>
        <v>PENSE FARMA 36 (10206)</v>
      </c>
      <c r="H6962" t="str">
        <f>"Serv.Prest. 13/10/2025 a 19/10/2025 - RPS: 1396 - NFSe: 3520"</f>
        <v>Serv.Prest. 13/10/2025 a 19/10/2025 - RPS: 1396 - NFSe: 3520</v>
      </c>
      <c r="I6962" t="str">
        <f t="shared" si="1284"/>
        <v>24/10/2025</v>
      </c>
      <c r="J6962" t="str">
        <f t="shared" si="1280"/>
        <v>20/10/2025</v>
      </c>
      <c r="K6962" t="str">
        <f>("22/10/2025")</f>
        <v>22/10/2025</v>
      </c>
      <c r="L6962">
        <v>4826.13</v>
      </c>
      <c r="M6962">
        <v>4826.13</v>
      </c>
      <c r="N6962">
        <v>303</v>
      </c>
      <c r="O6962" t="str">
        <f>"RECEITAS COM ENTREGAS"</f>
        <v>RECEITAS COM ENTREGAS</v>
      </c>
      <c r="P6962">
        <v>4826.13</v>
      </c>
      <c r="S6962" t="str">
        <f>"RECEITAS COM ENTREGAS (303)"</f>
        <v>RECEITAS COM ENTREGAS (303)</v>
      </c>
      <c r="T6962">
        <v>20295</v>
      </c>
      <c r="U6962">
        <v>23888</v>
      </c>
      <c r="V6962" t="s">
        <v>22</v>
      </c>
    </row>
    <row r="6963" spans="1:22">
      <c r="A6963" t="str">
        <f t="shared" si="1278"/>
        <v>22/10/2025</v>
      </c>
      <c r="B6963" t="str">
        <f t="shared" si="1281"/>
        <v>ENTRADA</v>
      </c>
      <c r="C6963" t="str">
        <f t="shared" si="1282"/>
        <v>NFSE</v>
      </c>
      <c r="D6963" t="str">
        <f t="shared" si="1285"/>
        <v>3520</v>
      </c>
      <c r="E6963" t="str">
        <f t="shared" si="1286"/>
        <v>1</v>
      </c>
      <c r="F6963" t="str">
        <f t="shared" si="1283"/>
        <v>COM</v>
      </c>
      <c r="G6963" t="str">
        <f t="shared" si="1287"/>
        <v>PENSE FARMA 36 (10206)</v>
      </c>
      <c r="H6963" t="s">
        <v>1906</v>
      </c>
      <c r="I6963" t="str">
        <f t="shared" si="1284"/>
        <v>24/10/2025</v>
      </c>
      <c r="J6963" t="str">
        <f t="shared" si="1280"/>
        <v>20/10/2025</v>
      </c>
      <c r="K6963">
        <v>45952</v>
      </c>
      <c r="N6963">
        <v>303</v>
      </c>
      <c r="O6963" t="s">
        <v>69</v>
      </c>
      <c r="Q6963">
        <v>803.55</v>
      </c>
      <c r="R6963" t="str">
        <f>"PENSE FARMA 20 (10203)"</f>
        <v>PENSE FARMA 20 (10203)</v>
      </c>
      <c r="S6963" t="s">
        <v>70</v>
      </c>
      <c r="T6963">
        <v>20295</v>
      </c>
      <c r="U6963">
        <v>23888</v>
      </c>
      <c r="V6963" t="s">
        <v>22</v>
      </c>
    </row>
    <row r="6964" spans="1:22">
      <c r="A6964" t="str">
        <f t="shared" si="1278"/>
        <v>22/10/2025</v>
      </c>
      <c r="B6964" t="str">
        <f t="shared" si="1281"/>
        <v>ENTRADA</v>
      </c>
      <c r="C6964" t="str">
        <f t="shared" si="1282"/>
        <v>NFSE</v>
      </c>
      <c r="D6964" t="str">
        <f t="shared" si="1285"/>
        <v>3520</v>
      </c>
      <c r="E6964" t="str">
        <f t="shared" si="1286"/>
        <v>1</v>
      </c>
      <c r="F6964" t="str">
        <f t="shared" si="1283"/>
        <v>COM</v>
      </c>
      <c r="G6964" t="str">
        <f t="shared" si="1287"/>
        <v>PENSE FARMA 36 (10206)</v>
      </c>
      <c r="H6964" t="s">
        <v>1906</v>
      </c>
      <c r="I6964" t="str">
        <f t="shared" si="1284"/>
        <v>24/10/2025</v>
      </c>
      <c r="J6964" t="str">
        <f t="shared" si="1280"/>
        <v>20/10/2025</v>
      </c>
      <c r="K6964">
        <v>45952</v>
      </c>
      <c r="N6964">
        <v>303</v>
      </c>
      <c r="O6964" t="s">
        <v>69</v>
      </c>
      <c r="Q6964">
        <v>803.55</v>
      </c>
      <c r="R6964" t="str">
        <f>"PENSE FARMA 36 (10206)"</f>
        <v>PENSE FARMA 36 (10206)</v>
      </c>
      <c r="S6964" t="s">
        <v>70</v>
      </c>
      <c r="T6964">
        <v>20295</v>
      </c>
      <c r="U6964">
        <v>23888</v>
      </c>
      <c r="V6964" t="s">
        <v>22</v>
      </c>
    </row>
    <row r="6965" spans="1:22">
      <c r="A6965" t="str">
        <f t="shared" si="1278"/>
        <v>22/10/2025</v>
      </c>
      <c r="B6965" t="str">
        <f t="shared" si="1281"/>
        <v>ENTRADA</v>
      </c>
      <c r="C6965" t="str">
        <f t="shared" si="1282"/>
        <v>NFSE</v>
      </c>
      <c r="D6965" t="str">
        <f t="shared" si="1285"/>
        <v>3520</v>
      </c>
      <c r="E6965" t="str">
        <f t="shared" si="1286"/>
        <v>1</v>
      </c>
      <c r="F6965" t="str">
        <f t="shared" si="1283"/>
        <v>COM</v>
      </c>
      <c r="G6965" t="str">
        <f t="shared" si="1287"/>
        <v>PENSE FARMA 36 (10206)</v>
      </c>
      <c r="H6965" t="s">
        <v>1906</v>
      </c>
      <c r="I6965" t="str">
        <f t="shared" si="1284"/>
        <v>24/10/2025</v>
      </c>
      <c r="J6965" t="str">
        <f t="shared" si="1280"/>
        <v>20/10/2025</v>
      </c>
      <c r="K6965">
        <v>45952</v>
      </c>
      <c r="N6965">
        <v>303</v>
      </c>
      <c r="O6965" t="s">
        <v>69</v>
      </c>
      <c r="Q6965">
        <v>803.55</v>
      </c>
      <c r="R6965" t="str">
        <f>"PENSE FARMA 40 (10207)"</f>
        <v>PENSE FARMA 40 (10207)</v>
      </c>
      <c r="S6965" t="s">
        <v>70</v>
      </c>
      <c r="T6965">
        <v>20295</v>
      </c>
      <c r="U6965">
        <v>23888</v>
      </c>
      <c r="V6965" t="s">
        <v>22</v>
      </c>
    </row>
    <row r="6966" spans="1:22">
      <c r="A6966" t="str">
        <f t="shared" si="1278"/>
        <v>22/10/2025</v>
      </c>
      <c r="B6966" t="str">
        <f t="shared" si="1281"/>
        <v>ENTRADA</v>
      </c>
      <c r="C6966" t="str">
        <f t="shared" si="1282"/>
        <v>NFSE</v>
      </c>
      <c r="D6966" t="str">
        <f t="shared" si="1285"/>
        <v>3520</v>
      </c>
      <c r="E6966" t="str">
        <f t="shared" si="1286"/>
        <v>1</v>
      </c>
      <c r="F6966" t="str">
        <f t="shared" si="1283"/>
        <v>COM</v>
      </c>
      <c r="G6966" t="str">
        <f t="shared" si="1287"/>
        <v>PENSE FARMA 36 (10206)</v>
      </c>
      <c r="H6966" t="s">
        <v>1906</v>
      </c>
      <c r="I6966" t="str">
        <f t="shared" si="1284"/>
        <v>24/10/2025</v>
      </c>
      <c r="J6966" t="str">
        <f t="shared" si="1280"/>
        <v>20/10/2025</v>
      </c>
      <c r="K6966">
        <v>45952</v>
      </c>
      <c r="N6966">
        <v>303</v>
      </c>
      <c r="O6966" t="s">
        <v>69</v>
      </c>
      <c r="Q6966">
        <v>803.55</v>
      </c>
      <c r="R6966" t="str">
        <f>"PENSE FARMA 43 (10208)"</f>
        <v>PENSE FARMA 43 (10208)</v>
      </c>
      <c r="S6966" t="s">
        <v>70</v>
      </c>
      <c r="T6966">
        <v>20295</v>
      </c>
      <c r="U6966">
        <v>23888</v>
      </c>
      <c r="V6966" t="s">
        <v>22</v>
      </c>
    </row>
    <row r="6967" spans="1:22">
      <c r="A6967" t="str">
        <f t="shared" si="1278"/>
        <v>22/10/2025</v>
      </c>
      <c r="B6967" t="str">
        <f t="shared" si="1281"/>
        <v>ENTRADA</v>
      </c>
      <c r="C6967" t="str">
        <f t="shared" si="1282"/>
        <v>NFSE</v>
      </c>
      <c r="D6967" t="str">
        <f t="shared" si="1285"/>
        <v>3520</v>
      </c>
      <c r="E6967" t="str">
        <f t="shared" si="1286"/>
        <v>1</v>
      </c>
      <c r="F6967" t="str">
        <f t="shared" si="1283"/>
        <v>COM</v>
      </c>
      <c r="G6967" t="str">
        <f t="shared" si="1287"/>
        <v>PENSE FARMA 36 (10206)</v>
      </c>
      <c r="H6967" t="s">
        <v>1906</v>
      </c>
      <c r="I6967" t="str">
        <f t="shared" si="1284"/>
        <v>24/10/2025</v>
      </c>
      <c r="J6967" t="str">
        <f t="shared" si="1280"/>
        <v>20/10/2025</v>
      </c>
      <c r="K6967">
        <v>45952</v>
      </c>
      <c r="N6967">
        <v>303</v>
      </c>
      <c r="O6967" t="s">
        <v>69</v>
      </c>
      <c r="Q6967">
        <v>803.55</v>
      </c>
      <c r="R6967" t="str">
        <f>"PENSE FARMA 59 (10211)"</f>
        <v>PENSE FARMA 59 (10211)</v>
      </c>
      <c r="S6967" t="s">
        <v>70</v>
      </c>
      <c r="T6967">
        <v>20295</v>
      </c>
      <c r="U6967">
        <v>23888</v>
      </c>
      <c r="V6967" t="s">
        <v>22</v>
      </c>
    </row>
    <row r="6968" spans="1:22">
      <c r="A6968" t="str">
        <f t="shared" ref="A6968:A6996" si="1288">("22/10/2025")</f>
        <v>22/10/2025</v>
      </c>
      <c r="B6968" t="str">
        <f t="shared" si="1281"/>
        <v>ENTRADA</v>
      </c>
      <c r="C6968" t="str">
        <f t="shared" si="1282"/>
        <v>NFSE</v>
      </c>
      <c r="D6968" t="str">
        <f t="shared" si="1285"/>
        <v>3520</v>
      </c>
      <c r="E6968" t="str">
        <f t="shared" si="1286"/>
        <v>1</v>
      </c>
      <c r="F6968" t="str">
        <f t="shared" si="1283"/>
        <v>COM</v>
      </c>
      <c r="G6968" t="str">
        <f t="shared" si="1287"/>
        <v>PENSE FARMA 36 (10206)</v>
      </c>
      <c r="H6968" t="s">
        <v>1906</v>
      </c>
      <c r="I6968" t="str">
        <f t="shared" si="1284"/>
        <v>24/10/2025</v>
      </c>
      <c r="J6968" t="str">
        <f t="shared" si="1280"/>
        <v>20/10/2025</v>
      </c>
      <c r="K6968">
        <v>45952</v>
      </c>
      <c r="N6968">
        <v>303</v>
      </c>
      <c r="O6968" t="s">
        <v>69</v>
      </c>
      <c r="Q6968">
        <v>808.38</v>
      </c>
      <c r="R6968" t="str">
        <f>"PENSE FARMA DARK STORE 361 (10212)"</f>
        <v>PENSE FARMA DARK STORE 361 (10212)</v>
      </c>
      <c r="S6968" t="s">
        <v>70</v>
      </c>
      <c r="T6968">
        <v>20295</v>
      </c>
      <c r="U6968">
        <v>23888</v>
      </c>
      <c r="V6968" t="s">
        <v>22</v>
      </c>
    </row>
    <row r="6969" spans="1:22">
      <c r="A6969" t="str">
        <f t="shared" si="1288"/>
        <v>22/10/2025</v>
      </c>
      <c r="B6969" t="str">
        <f t="shared" si="1281"/>
        <v>ENTRADA</v>
      </c>
      <c r="C6969" t="str">
        <f t="shared" si="1282"/>
        <v>NFSE</v>
      </c>
      <c r="D6969" t="str">
        <f>"3523"</f>
        <v>3523</v>
      </c>
      <c r="E6969" t="str">
        <f t="shared" si="1286"/>
        <v>1</v>
      </c>
      <c r="F6969" t="str">
        <f t="shared" si="1283"/>
        <v>COM</v>
      </c>
      <c r="G6969" t="str">
        <f>"PENSE FARMA 46 (10194)"</f>
        <v>PENSE FARMA 46 (10194)</v>
      </c>
      <c r="H6969" t="str">
        <f>"Serv.Prest. 13/10/2025 a 19/10/2025 - RPS: 1399 - NFSe: 3523"</f>
        <v>Serv.Prest. 13/10/2025 a 19/10/2025 - RPS: 1399 - NFSe: 3523</v>
      </c>
      <c r="I6969" t="str">
        <f t="shared" si="1284"/>
        <v>24/10/2025</v>
      </c>
      <c r="J6969" t="str">
        <f t="shared" si="1280"/>
        <v>20/10/2025</v>
      </c>
      <c r="K6969" t="str">
        <f>("22/10/2025")</f>
        <v>22/10/2025</v>
      </c>
      <c r="L6969">
        <v>1700</v>
      </c>
      <c r="M6969">
        <v>1700</v>
      </c>
      <c r="N6969">
        <v>303</v>
      </c>
      <c r="O6969" t="str">
        <f>"RECEITAS COM ENTREGAS"</f>
        <v>RECEITAS COM ENTREGAS</v>
      </c>
      <c r="P6969">
        <v>1700</v>
      </c>
      <c r="S6969" t="str">
        <f>"RECEITAS COM ENTREGAS (303)"</f>
        <v>RECEITAS COM ENTREGAS (303)</v>
      </c>
      <c r="T6969">
        <v>20296</v>
      </c>
      <c r="U6969">
        <v>23898</v>
      </c>
      <c r="V6969" t="s">
        <v>22</v>
      </c>
    </row>
    <row r="6970" spans="1:22">
      <c r="A6970" t="str">
        <f t="shared" si="1288"/>
        <v>22/10/2025</v>
      </c>
      <c r="B6970" t="str">
        <f t="shared" ref="B6970:B6976" si="1289">"ENTRADA"</f>
        <v>ENTRADA</v>
      </c>
      <c r="C6970" t="str">
        <f t="shared" ref="C6970:C6976" si="1290">"NFSE"</f>
        <v>NFSE</v>
      </c>
      <c r="D6970" t="str">
        <f>"3523"</f>
        <v>3523</v>
      </c>
      <c r="E6970" t="str">
        <f t="shared" si="1286"/>
        <v>1</v>
      </c>
      <c r="F6970" t="str">
        <f t="shared" si="1283"/>
        <v>COM</v>
      </c>
      <c r="G6970" t="str">
        <f>"PENSE FARMA 46 (10194)"</f>
        <v>PENSE FARMA 46 (10194)</v>
      </c>
      <c r="H6970" t="s">
        <v>1907</v>
      </c>
      <c r="I6970" t="str">
        <f t="shared" si="1284"/>
        <v>24/10/2025</v>
      </c>
      <c r="J6970" t="str">
        <f t="shared" si="1280"/>
        <v>20/10/2025</v>
      </c>
      <c r="K6970">
        <v>45952</v>
      </c>
      <c r="N6970">
        <v>303</v>
      </c>
      <c r="O6970" t="s">
        <v>69</v>
      </c>
      <c r="Q6970">
        <v>1700</v>
      </c>
      <c r="R6970" t="str">
        <f>"PENSE FARMA 46 (10194)"</f>
        <v>PENSE FARMA 46 (10194)</v>
      </c>
      <c r="S6970" t="s">
        <v>70</v>
      </c>
      <c r="T6970">
        <v>20296</v>
      </c>
      <c r="U6970">
        <v>23898</v>
      </c>
      <c r="V6970" t="s">
        <v>22</v>
      </c>
    </row>
    <row r="6971" spans="1:22">
      <c r="A6971" t="str">
        <f t="shared" si="1288"/>
        <v>22/10/2025</v>
      </c>
      <c r="B6971" t="str">
        <f t="shared" si="1289"/>
        <v>ENTRADA</v>
      </c>
      <c r="C6971" t="str">
        <f t="shared" si="1290"/>
        <v>NFSE</v>
      </c>
      <c r="D6971" t="str">
        <f>"3524"</f>
        <v>3524</v>
      </c>
      <c r="E6971" t="str">
        <f t="shared" si="1286"/>
        <v>1</v>
      </c>
      <c r="F6971" t="str">
        <f t="shared" si="1283"/>
        <v>COM</v>
      </c>
      <c r="G6971" t="str">
        <f>"PENSE FARMA 47 (10232)"</f>
        <v>PENSE FARMA 47 (10232)</v>
      </c>
      <c r="H6971" t="str">
        <f>"Serv.Prest. 13/10/2025 a 19/10/2025 - RPS: 1400 - NFSe: 3524"</f>
        <v>Serv.Prest. 13/10/2025 a 19/10/2025 - RPS: 1400 - NFSe: 3524</v>
      </c>
      <c r="I6971" t="str">
        <f t="shared" si="1284"/>
        <v>24/10/2025</v>
      </c>
      <c r="J6971" t="str">
        <f t="shared" si="1280"/>
        <v>20/10/2025</v>
      </c>
      <c r="K6971" t="str">
        <f>("22/10/2025")</f>
        <v>22/10/2025</v>
      </c>
      <c r="L6971">
        <v>1577.94</v>
      </c>
      <c r="M6971">
        <v>1577.94</v>
      </c>
      <c r="N6971">
        <v>303</v>
      </c>
      <c r="O6971" t="str">
        <f>"RECEITAS COM ENTREGAS"</f>
        <v>RECEITAS COM ENTREGAS</v>
      </c>
      <c r="P6971">
        <v>1577.94</v>
      </c>
      <c r="S6971" t="str">
        <f>"RECEITAS COM ENTREGAS (303)"</f>
        <v>RECEITAS COM ENTREGAS (303)</v>
      </c>
      <c r="T6971">
        <v>20297</v>
      </c>
      <c r="U6971">
        <v>23901</v>
      </c>
      <c r="V6971" t="s">
        <v>22</v>
      </c>
    </row>
    <row r="6972" spans="1:22">
      <c r="A6972" t="str">
        <f t="shared" si="1288"/>
        <v>22/10/2025</v>
      </c>
      <c r="B6972" t="str">
        <f t="shared" si="1289"/>
        <v>ENTRADA</v>
      </c>
      <c r="C6972" t="str">
        <f t="shared" si="1290"/>
        <v>NFSE</v>
      </c>
      <c r="D6972" t="str">
        <f>"3524"</f>
        <v>3524</v>
      </c>
      <c r="E6972" t="str">
        <f t="shared" si="1286"/>
        <v>1</v>
      </c>
      <c r="F6972" t="str">
        <f t="shared" si="1283"/>
        <v>COM</v>
      </c>
      <c r="G6972" t="str">
        <f>"PENSE FARMA 47 (10232)"</f>
        <v>PENSE FARMA 47 (10232)</v>
      </c>
      <c r="H6972" t="s">
        <v>1908</v>
      </c>
      <c r="I6972" t="str">
        <f t="shared" si="1284"/>
        <v>24/10/2025</v>
      </c>
      <c r="J6972" t="str">
        <f t="shared" si="1280"/>
        <v>20/10/2025</v>
      </c>
      <c r="K6972">
        <v>45952</v>
      </c>
      <c r="N6972">
        <v>303</v>
      </c>
      <c r="O6972" t="s">
        <v>69</v>
      </c>
      <c r="Q6972">
        <v>1577.94</v>
      </c>
      <c r="R6972" t="str">
        <f>"PENSE FARMA 47 (10232)"</f>
        <v>PENSE FARMA 47 (10232)</v>
      </c>
      <c r="S6972" t="s">
        <v>70</v>
      </c>
      <c r="T6972">
        <v>20297</v>
      </c>
      <c r="U6972">
        <v>23901</v>
      </c>
      <c r="V6972" t="s">
        <v>22</v>
      </c>
    </row>
    <row r="6973" spans="1:22">
      <c r="A6973" t="str">
        <f t="shared" si="1288"/>
        <v>22/10/2025</v>
      </c>
      <c r="B6973" t="str">
        <f t="shared" si="1289"/>
        <v>ENTRADA</v>
      </c>
      <c r="C6973" t="str">
        <f t="shared" si="1290"/>
        <v>NFSE</v>
      </c>
      <c r="D6973" t="str">
        <f>"3526"</f>
        <v>3526</v>
      </c>
      <c r="E6973" t="str">
        <f t="shared" si="1286"/>
        <v>1</v>
      </c>
      <c r="F6973" t="str">
        <f t="shared" si="1283"/>
        <v>COM</v>
      </c>
      <c r="G6973" t="str">
        <f>"PENSE FARMA 49 (10234)"</f>
        <v>PENSE FARMA 49 (10234)</v>
      </c>
      <c r="H6973" t="str">
        <f>"Serv.Prest. 13/10/2025 a 19/10/2025 - RPS: 1402 - NFSe: 3526"</f>
        <v>Serv.Prest. 13/10/2025 a 19/10/2025 - RPS: 1402 - NFSe: 3526</v>
      </c>
      <c r="I6973" t="str">
        <f t="shared" si="1284"/>
        <v>24/10/2025</v>
      </c>
      <c r="J6973" t="str">
        <f t="shared" si="1280"/>
        <v>20/10/2025</v>
      </c>
      <c r="K6973" t="str">
        <f>("22/10/2025")</f>
        <v>22/10/2025</v>
      </c>
      <c r="L6973">
        <v>971.04</v>
      </c>
      <c r="M6973">
        <v>971.04</v>
      </c>
      <c r="N6973">
        <v>303</v>
      </c>
      <c r="O6973" t="str">
        <f>"RECEITAS COM ENTREGAS"</f>
        <v>RECEITAS COM ENTREGAS</v>
      </c>
      <c r="P6973">
        <v>971.04</v>
      </c>
      <c r="S6973" t="str">
        <f>"RECEITAS COM ENTREGAS (303)"</f>
        <v>RECEITAS COM ENTREGAS (303)</v>
      </c>
      <c r="T6973">
        <v>20298</v>
      </c>
      <c r="U6973">
        <v>23905</v>
      </c>
      <c r="V6973" t="s">
        <v>22</v>
      </c>
    </row>
    <row r="6974" spans="1:22">
      <c r="A6974" t="str">
        <f t="shared" si="1288"/>
        <v>22/10/2025</v>
      </c>
      <c r="B6974" t="str">
        <f t="shared" si="1289"/>
        <v>ENTRADA</v>
      </c>
      <c r="C6974" t="str">
        <f t="shared" si="1290"/>
        <v>NFSE</v>
      </c>
      <c r="D6974" t="str">
        <f>"3526"</f>
        <v>3526</v>
      </c>
      <c r="E6974" t="str">
        <f t="shared" si="1286"/>
        <v>1</v>
      </c>
      <c r="F6974" t="str">
        <f t="shared" si="1283"/>
        <v>COM</v>
      </c>
      <c r="G6974" t="str">
        <f>"PENSE FARMA 49 (10234)"</f>
        <v>PENSE FARMA 49 (10234)</v>
      </c>
      <c r="H6974" t="s">
        <v>1909</v>
      </c>
      <c r="I6974" t="str">
        <f t="shared" si="1284"/>
        <v>24/10/2025</v>
      </c>
      <c r="J6974" t="str">
        <f t="shared" si="1280"/>
        <v>20/10/2025</v>
      </c>
      <c r="K6974">
        <v>45952</v>
      </c>
      <c r="N6974">
        <v>303</v>
      </c>
      <c r="O6974" t="s">
        <v>69</v>
      </c>
      <c r="Q6974">
        <v>971.04</v>
      </c>
      <c r="R6974" t="str">
        <f>"PENSE FARMA 49 (10234)"</f>
        <v>PENSE FARMA 49 (10234)</v>
      </c>
      <c r="S6974" t="s">
        <v>70</v>
      </c>
      <c r="T6974">
        <v>20298</v>
      </c>
      <c r="U6974">
        <v>23905</v>
      </c>
      <c r="V6974" t="s">
        <v>22</v>
      </c>
    </row>
    <row r="6975" spans="1:22">
      <c r="A6975" t="str">
        <f t="shared" si="1288"/>
        <v>22/10/2025</v>
      </c>
      <c r="B6975" t="str">
        <f t="shared" si="1289"/>
        <v>ENTRADA</v>
      </c>
      <c r="C6975" t="str">
        <f t="shared" si="1290"/>
        <v>NFSE</v>
      </c>
      <c r="D6975" t="str">
        <f>"3527"</f>
        <v>3527</v>
      </c>
      <c r="E6975" t="str">
        <f t="shared" si="1286"/>
        <v>1</v>
      </c>
      <c r="F6975" t="str">
        <f t="shared" si="1283"/>
        <v>COM</v>
      </c>
      <c r="G6975" t="str">
        <f>"PENSE FARMA 22 (10198)"</f>
        <v>PENSE FARMA 22 (10198)</v>
      </c>
      <c r="H6975" t="str">
        <f>"Serv.Prest. 13/10/2025 a 19/10/2025 - RPS: 1403 - NFSe: 3527"</f>
        <v>Serv.Prest. 13/10/2025 a 19/10/2025 - RPS: 1403 - NFSe: 3527</v>
      </c>
      <c r="I6975" t="str">
        <f t="shared" si="1284"/>
        <v>24/10/2025</v>
      </c>
      <c r="J6975" t="str">
        <f t="shared" si="1280"/>
        <v>20/10/2025</v>
      </c>
      <c r="K6975" t="str">
        <f>("22/10/2025")</f>
        <v>22/10/2025</v>
      </c>
      <c r="L6975">
        <v>2550</v>
      </c>
      <c r="M6975">
        <v>2550</v>
      </c>
      <c r="N6975">
        <v>303</v>
      </c>
      <c r="O6975" t="str">
        <f>"RECEITAS COM ENTREGAS"</f>
        <v>RECEITAS COM ENTREGAS</v>
      </c>
      <c r="P6975">
        <v>2550</v>
      </c>
      <c r="S6975" t="str">
        <f>"RECEITAS COM ENTREGAS (303)"</f>
        <v>RECEITAS COM ENTREGAS (303)</v>
      </c>
      <c r="T6975">
        <v>20315</v>
      </c>
      <c r="U6975">
        <v>23907</v>
      </c>
      <c r="V6975" t="s">
        <v>22</v>
      </c>
    </row>
    <row r="6976" spans="1:22">
      <c r="A6976" t="str">
        <f t="shared" si="1288"/>
        <v>22/10/2025</v>
      </c>
      <c r="B6976" t="str">
        <f t="shared" si="1289"/>
        <v>ENTRADA</v>
      </c>
      <c r="C6976" t="str">
        <f t="shared" si="1290"/>
        <v>NFSE</v>
      </c>
      <c r="D6976" t="str">
        <f>"3527"</f>
        <v>3527</v>
      </c>
      <c r="E6976" t="str">
        <f t="shared" si="1286"/>
        <v>1</v>
      </c>
      <c r="F6976" t="str">
        <f t="shared" si="1283"/>
        <v>COM</v>
      </c>
      <c r="G6976" t="str">
        <f>"PENSE FARMA 22 (10198)"</f>
        <v>PENSE FARMA 22 (10198)</v>
      </c>
      <c r="H6976" t="s">
        <v>1910</v>
      </c>
      <c r="I6976" t="str">
        <f t="shared" si="1284"/>
        <v>24/10/2025</v>
      </c>
      <c r="J6976" t="str">
        <f t="shared" si="1280"/>
        <v>20/10/2025</v>
      </c>
      <c r="K6976">
        <v>45952</v>
      </c>
      <c r="N6976">
        <v>303</v>
      </c>
      <c r="O6976" t="s">
        <v>69</v>
      </c>
      <c r="Q6976">
        <v>2550</v>
      </c>
      <c r="R6976" t="str">
        <f>"PENSE FARMA 22 (10198)"</f>
        <v>PENSE FARMA 22 (10198)</v>
      </c>
      <c r="S6976" t="s">
        <v>70</v>
      </c>
      <c r="T6976">
        <v>20315</v>
      </c>
      <c r="U6976">
        <v>23907</v>
      </c>
      <c r="V6976" t="s">
        <v>22</v>
      </c>
    </row>
    <row r="6977" spans="1:22">
      <c r="A6977" t="str">
        <f t="shared" si="1288"/>
        <v>22/10/2025</v>
      </c>
      <c r="B6977" t="str">
        <f t="shared" ref="B6977:B6991" si="1291">"SAÍDA"</f>
        <v>SAÍDA</v>
      </c>
      <c r="C6977" t="str">
        <f t="shared" ref="C6977:C6991" si="1292">"PIX"</f>
        <v>PIX</v>
      </c>
      <c r="D6977" t="str">
        <f>"2210"</f>
        <v>2210</v>
      </c>
      <c r="E6977" t="str">
        <f>"25"</f>
        <v>25</v>
      </c>
      <c r="F6977" t="str">
        <f t="shared" si="1283"/>
        <v>COM</v>
      </c>
      <c r="G6977" t="str">
        <f>"JAMERSON SOUZA LOPES (749)"</f>
        <v>JAMERSON SOUZA LOPES (749)</v>
      </c>
      <c r="H6977" t="str">
        <f>"DESPESAS VIAGEM UBERABA - DROGALIDER"</f>
        <v>DESPESAS VIAGEM UBERABA - DROGALIDER</v>
      </c>
      <c r="I6977" t="str">
        <f>("22/10/2025")</f>
        <v>22/10/2025</v>
      </c>
      <c r="J6977" t="str">
        <f>("22/10/2025")</f>
        <v>22/10/2025</v>
      </c>
      <c r="K6977" t="str">
        <f>("22/10/2025")</f>
        <v>22/10/2025</v>
      </c>
      <c r="L6977">
        <v>300</v>
      </c>
      <c r="M6977">
        <v>300</v>
      </c>
      <c r="N6977">
        <v>119</v>
      </c>
      <c r="O6977" t="str">
        <f>"DESPESAS COM VIAGENS OPERACIONAIS"</f>
        <v>DESPESAS COM VIAGENS OPERACIONAIS</v>
      </c>
      <c r="P6977">
        <v>300</v>
      </c>
      <c r="S6977" t="str">
        <f>"BANCO CORA (102)"</f>
        <v>BANCO CORA (102)</v>
      </c>
      <c r="T6977">
        <v>20322</v>
      </c>
      <c r="U6977">
        <v>24488</v>
      </c>
      <c r="V6977" t="s">
        <v>22</v>
      </c>
    </row>
    <row r="6978" spans="1:22">
      <c r="A6978" t="str">
        <f t="shared" si="1288"/>
        <v>22/10/2025</v>
      </c>
      <c r="B6978" t="str">
        <f t="shared" si="1291"/>
        <v>SAÍDA</v>
      </c>
      <c r="C6978" t="str">
        <f t="shared" si="1292"/>
        <v>PIX</v>
      </c>
      <c r="D6978" t="str">
        <f>"2210"</f>
        <v>2210</v>
      </c>
      <c r="E6978" t="str">
        <f>"25"</f>
        <v>25</v>
      </c>
      <c r="F6978" t="str">
        <f t="shared" si="1283"/>
        <v>COM</v>
      </c>
      <c r="G6978" t="str">
        <f>"JAMERSON SOUZA LOPES (749)"</f>
        <v>JAMERSON SOUZA LOPES (749)</v>
      </c>
      <c r="H6978" t="s">
        <v>1911</v>
      </c>
      <c r="I6978" t="str">
        <f>("22/10/2025")</f>
        <v>22/10/2025</v>
      </c>
      <c r="J6978" t="str">
        <f>("22/10/2025")</f>
        <v>22/10/2025</v>
      </c>
      <c r="K6978">
        <v>45952</v>
      </c>
      <c r="N6978">
        <v>119</v>
      </c>
      <c r="O6978" t="s">
        <v>262</v>
      </c>
      <c r="Q6978">
        <v>300</v>
      </c>
      <c r="R6978" t="str">
        <f>"JAMERSON SOUZA LOPES (749)"</f>
        <v>JAMERSON SOUZA LOPES (749)</v>
      </c>
      <c r="S6978" t="s">
        <v>22</v>
      </c>
      <c r="T6978">
        <v>20322</v>
      </c>
      <c r="U6978">
        <v>24488</v>
      </c>
      <c r="V6978" t="s">
        <v>22</v>
      </c>
    </row>
    <row r="6979" spans="1:22">
      <c r="A6979" t="str">
        <f t="shared" si="1288"/>
        <v>22/10/2025</v>
      </c>
      <c r="B6979" t="str">
        <f t="shared" si="1291"/>
        <v>SAÍDA</v>
      </c>
      <c r="C6979" t="str">
        <f t="shared" si="1292"/>
        <v>PIX</v>
      </c>
      <c r="D6979" t="str">
        <f>"24436"</f>
        <v>24436</v>
      </c>
      <c r="E6979" t="str">
        <f t="shared" ref="E6979:E6994" si="1293">"1"</f>
        <v>1</v>
      </c>
      <c r="F6979" t="str">
        <f t="shared" si="1283"/>
        <v>COM</v>
      </c>
      <c r="G6979" t="str">
        <f>"WILLIAM DA SILVA COSTA (655)"</f>
        <v>WILLIAM DA SILVA COSTA (655)</v>
      </c>
      <c r="H6979" t="str">
        <f>"PAGO PARA ULISSES SOUSA SANTOS - Serv.Prest. 20/10/2025 a 26/10/2025"</f>
        <v>PAGO PARA ULISSES SOUSA SANTOS - Serv.Prest. 20/10/2025 a 26/10/2025</v>
      </c>
      <c r="I6979" t="str">
        <f t="shared" ref="I6979:I6991" si="1294">("30/10/2025")</f>
        <v>30/10/2025</v>
      </c>
      <c r="J6979" t="str">
        <f t="shared" ref="J6979:J6991" si="1295">("27/10/2025")</f>
        <v>27/10/2025</v>
      </c>
      <c r="K6979" t="str">
        <f>("22/10/2025")</f>
        <v>22/10/2025</v>
      </c>
      <c r="L6979">
        <v>105</v>
      </c>
      <c r="M6979">
        <v>150</v>
      </c>
      <c r="N6979">
        <v>134</v>
      </c>
      <c r="O6979" t="str">
        <f>"DIARIA DE MOTOBOY"</f>
        <v>DIARIA DE MOTOBOY</v>
      </c>
      <c r="P6979">
        <v>150</v>
      </c>
      <c r="S6979" t="str">
        <f>"BANCO CORA (102)"</f>
        <v>BANCO CORA (102)</v>
      </c>
      <c r="T6979">
        <v>20330</v>
      </c>
      <c r="U6979">
        <v>24502</v>
      </c>
      <c r="V6979" t="s">
        <v>22</v>
      </c>
    </row>
    <row r="6980" spans="1:22">
      <c r="A6980" t="str">
        <f t="shared" si="1288"/>
        <v>22/10/2025</v>
      </c>
      <c r="B6980" t="str">
        <f t="shared" si="1291"/>
        <v>SAÍDA</v>
      </c>
      <c r="C6980" t="str">
        <f t="shared" si="1292"/>
        <v>PIX</v>
      </c>
      <c r="D6980" t="str">
        <f>"24436"</f>
        <v>24436</v>
      </c>
      <c r="E6980" t="str">
        <f t="shared" si="1293"/>
        <v>1</v>
      </c>
      <c r="F6980" t="str">
        <f t="shared" si="1283"/>
        <v>COM</v>
      </c>
      <c r="G6980" t="str">
        <f>"WILLIAM DA SILVA COSTA (655)"</f>
        <v>WILLIAM DA SILVA COSTA (655)</v>
      </c>
      <c r="H6980" t="s">
        <v>1881</v>
      </c>
      <c r="I6980" t="str">
        <f t="shared" si="1294"/>
        <v>30/10/2025</v>
      </c>
      <c r="J6980" t="str">
        <f t="shared" si="1295"/>
        <v>27/10/2025</v>
      </c>
      <c r="K6980">
        <v>45952</v>
      </c>
      <c r="N6980">
        <v>134</v>
      </c>
      <c r="O6980" t="s">
        <v>41</v>
      </c>
      <c r="Q6980">
        <v>150</v>
      </c>
      <c r="R6980" t="str">
        <f>"FARMACIA ECONOMIZE (10103)"</f>
        <v>FARMACIA ECONOMIZE (10103)</v>
      </c>
      <c r="S6980" t="s">
        <v>22</v>
      </c>
      <c r="T6980">
        <v>20330</v>
      </c>
      <c r="U6980">
        <v>24502</v>
      </c>
      <c r="V6980" t="s">
        <v>22</v>
      </c>
    </row>
    <row r="6981" spans="1:22">
      <c r="A6981" t="str">
        <f t="shared" si="1288"/>
        <v>22/10/2025</v>
      </c>
      <c r="B6981" t="str">
        <f t="shared" si="1291"/>
        <v>SAÍDA</v>
      </c>
      <c r="C6981" t="str">
        <f t="shared" si="1292"/>
        <v>PIX</v>
      </c>
      <c r="D6981" t="str">
        <f>"24431"</f>
        <v>24431</v>
      </c>
      <c r="E6981" t="str">
        <f t="shared" si="1293"/>
        <v>1</v>
      </c>
      <c r="F6981" t="str">
        <f t="shared" si="1283"/>
        <v>COM</v>
      </c>
      <c r="G6981" t="str">
        <f>"JOEL ARAGAO SALES (864)"</f>
        <v>JOEL ARAGAO SALES (864)</v>
      </c>
      <c r="H6981" t="str">
        <f>"Serv.Prest. 20/10/2025 a 26/10/2025 - PIX: CPF - CHAVE: 052.353.883-99"</f>
        <v>Serv.Prest. 20/10/2025 a 26/10/2025 - PIX: CPF - CHAVE: 052.353.883-99</v>
      </c>
      <c r="I6981" t="str">
        <f t="shared" si="1294"/>
        <v>30/10/2025</v>
      </c>
      <c r="J6981" t="str">
        <f t="shared" si="1295"/>
        <v>27/10/2025</v>
      </c>
      <c r="K6981" t="str">
        <f>("22/10/2025")</f>
        <v>22/10/2025</v>
      </c>
      <c r="L6981">
        <v>189</v>
      </c>
      <c r="M6981">
        <v>130</v>
      </c>
      <c r="N6981">
        <v>109</v>
      </c>
      <c r="O6981" t="str">
        <f>"PAGAMENTO DE ENTREGADORES"</f>
        <v>PAGAMENTO DE ENTREGADORES</v>
      </c>
      <c r="P6981">
        <v>130</v>
      </c>
      <c r="S6981" t="str">
        <f>"BANCO CORA (102)"</f>
        <v>BANCO CORA (102)</v>
      </c>
      <c r="T6981">
        <v>20336</v>
      </c>
      <c r="U6981">
        <v>24431</v>
      </c>
      <c r="V6981" t="s">
        <v>22</v>
      </c>
    </row>
    <row r="6982" spans="1:22">
      <c r="A6982" t="str">
        <f t="shared" si="1288"/>
        <v>22/10/2025</v>
      </c>
      <c r="B6982" t="str">
        <f t="shared" si="1291"/>
        <v>SAÍDA</v>
      </c>
      <c r="C6982" t="str">
        <f t="shared" si="1292"/>
        <v>PIX</v>
      </c>
      <c r="D6982" t="str">
        <f>"24431"</f>
        <v>24431</v>
      </c>
      <c r="E6982" t="str">
        <f t="shared" si="1293"/>
        <v>1</v>
      </c>
      <c r="F6982" t="str">
        <f t="shared" si="1283"/>
        <v>COM</v>
      </c>
      <c r="G6982" t="str">
        <f>"JOEL ARAGAO SALES (864)"</f>
        <v>JOEL ARAGAO SALES (864)</v>
      </c>
      <c r="H6982" t="s">
        <v>1912</v>
      </c>
      <c r="I6982" t="str">
        <f t="shared" si="1294"/>
        <v>30/10/2025</v>
      </c>
      <c r="J6982" t="str">
        <f t="shared" si="1295"/>
        <v>27/10/2025</v>
      </c>
      <c r="K6982">
        <v>45952</v>
      </c>
      <c r="N6982">
        <v>109</v>
      </c>
      <c r="O6982" t="s">
        <v>24</v>
      </c>
      <c r="Q6982">
        <v>130</v>
      </c>
      <c r="R6982" t="str">
        <f>"DROGARIA MORENO LTDA (10171)"</f>
        <v>DROGARIA MORENO LTDA (10171)</v>
      </c>
      <c r="S6982" t="s">
        <v>22</v>
      </c>
      <c r="T6982">
        <v>20336</v>
      </c>
      <c r="U6982">
        <v>24431</v>
      </c>
      <c r="V6982" t="s">
        <v>22</v>
      </c>
    </row>
    <row r="6983" spans="1:22">
      <c r="A6983" t="str">
        <f t="shared" si="1288"/>
        <v>22/10/2025</v>
      </c>
      <c r="B6983" t="str">
        <f t="shared" si="1291"/>
        <v>SAÍDA</v>
      </c>
      <c r="C6983" t="str">
        <f t="shared" si="1292"/>
        <v>PIX</v>
      </c>
      <c r="D6983" t="str">
        <f>"24426"</f>
        <v>24426</v>
      </c>
      <c r="E6983" t="str">
        <f t="shared" si="1293"/>
        <v>1</v>
      </c>
      <c r="F6983" t="str">
        <f t="shared" si="1283"/>
        <v>COM</v>
      </c>
      <c r="G6983" t="str">
        <f>"FABIO JUNIOR DOS SANTOS FERRAZ (927)"</f>
        <v>FABIO JUNIOR DOS SANTOS FERRAZ (927)</v>
      </c>
      <c r="H6983" t="str">
        <f>"Serv.Prest. 20/10/2025 a 26/10/2025 - PIX: CELULAR - CHAVE: (11) 91439-9070"</f>
        <v>Serv.Prest. 20/10/2025 a 26/10/2025 - PIX: CELULAR - CHAVE: (11) 91439-9070</v>
      </c>
      <c r="I6983" t="str">
        <f t="shared" si="1294"/>
        <v>30/10/2025</v>
      </c>
      <c r="J6983" t="str">
        <f t="shared" si="1295"/>
        <v>27/10/2025</v>
      </c>
      <c r="K6983" t="str">
        <f>("22/10/2025")</f>
        <v>22/10/2025</v>
      </c>
      <c r="L6983">
        <v>133</v>
      </c>
      <c r="M6983">
        <v>130</v>
      </c>
      <c r="N6983">
        <v>109</v>
      </c>
      <c r="O6983" t="str">
        <f>"PAGAMENTO DE ENTREGADORES"</f>
        <v>PAGAMENTO DE ENTREGADORES</v>
      </c>
      <c r="P6983">
        <v>130</v>
      </c>
      <c r="S6983" t="str">
        <f>"BANCO CORA (102)"</f>
        <v>BANCO CORA (102)</v>
      </c>
      <c r="T6983">
        <v>20337</v>
      </c>
      <c r="U6983">
        <v>24426</v>
      </c>
      <c r="V6983" t="s">
        <v>22</v>
      </c>
    </row>
    <row r="6984" spans="1:22">
      <c r="A6984" t="str">
        <f t="shared" si="1288"/>
        <v>22/10/2025</v>
      </c>
      <c r="B6984" t="str">
        <f t="shared" si="1291"/>
        <v>SAÍDA</v>
      </c>
      <c r="C6984" t="str">
        <f t="shared" si="1292"/>
        <v>PIX</v>
      </c>
      <c r="D6984" t="str">
        <f>"24426"</f>
        <v>24426</v>
      </c>
      <c r="E6984" t="str">
        <f t="shared" si="1293"/>
        <v>1</v>
      </c>
      <c r="F6984" t="str">
        <f t="shared" si="1283"/>
        <v>COM</v>
      </c>
      <c r="G6984" t="str">
        <f>"FABIO JUNIOR DOS SANTOS FERRAZ (927)"</f>
        <v>FABIO JUNIOR DOS SANTOS FERRAZ (927)</v>
      </c>
      <c r="H6984" t="s">
        <v>1913</v>
      </c>
      <c r="I6984" t="str">
        <f t="shared" si="1294"/>
        <v>30/10/2025</v>
      </c>
      <c r="J6984" t="str">
        <f t="shared" si="1295"/>
        <v>27/10/2025</v>
      </c>
      <c r="K6984">
        <v>45952</v>
      </c>
      <c r="N6984">
        <v>109</v>
      </c>
      <c r="O6984" t="s">
        <v>24</v>
      </c>
      <c r="Q6984">
        <v>130</v>
      </c>
      <c r="R6984" t="str">
        <f>"DROGARIA MEDIC CENTER LTDA (10172)"</f>
        <v>DROGARIA MEDIC CENTER LTDA (10172)</v>
      </c>
      <c r="S6984" t="s">
        <v>22</v>
      </c>
      <c r="T6984">
        <v>20337</v>
      </c>
      <c r="U6984">
        <v>24426</v>
      </c>
      <c r="V6984" t="s">
        <v>22</v>
      </c>
    </row>
    <row r="6985" spans="1:22">
      <c r="A6985" t="str">
        <f t="shared" si="1288"/>
        <v>22/10/2025</v>
      </c>
      <c r="B6985" t="str">
        <f t="shared" si="1291"/>
        <v>SAÍDA</v>
      </c>
      <c r="C6985" t="str">
        <f t="shared" si="1292"/>
        <v>PIX</v>
      </c>
      <c r="D6985" t="str">
        <f>"24401"</f>
        <v>24401</v>
      </c>
      <c r="E6985" t="str">
        <f t="shared" si="1293"/>
        <v>1</v>
      </c>
      <c r="F6985" t="str">
        <f t="shared" ref="F6985:F6994" si="1296">"COM"</f>
        <v>COM</v>
      </c>
      <c r="G6985" t="str">
        <f>"ITALO GONÇALVES (974)"</f>
        <v>ITALO GONÇALVES (974)</v>
      </c>
      <c r="H6985" t="str">
        <f>"Serv.Prest. 20/10/2025 a 26/10/2025 - PIX: CELULAR - CHAVE: (11) 99220-4018"</f>
        <v>Serv.Prest. 20/10/2025 a 26/10/2025 - PIX: CELULAR - CHAVE: (11) 99220-4018</v>
      </c>
      <c r="I6985" t="str">
        <f t="shared" si="1294"/>
        <v>30/10/2025</v>
      </c>
      <c r="J6985" t="str">
        <f t="shared" si="1295"/>
        <v>27/10/2025</v>
      </c>
      <c r="K6985" t="str">
        <f>("22/10/2025")</f>
        <v>22/10/2025</v>
      </c>
      <c r="L6985">
        <v>190</v>
      </c>
      <c r="M6985">
        <v>190</v>
      </c>
      <c r="N6985">
        <v>109</v>
      </c>
      <c r="O6985" t="str">
        <f>"PAGAMENTO DE ENTREGADORES"</f>
        <v>PAGAMENTO DE ENTREGADORES</v>
      </c>
      <c r="P6985">
        <v>190</v>
      </c>
      <c r="S6985" t="str">
        <f>"BANCO CORA (102)"</f>
        <v>BANCO CORA (102)</v>
      </c>
      <c r="T6985">
        <v>20338</v>
      </c>
      <c r="U6985">
        <v>24509</v>
      </c>
      <c r="V6985" t="s">
        <v>22</v>
      </c>
    </row>
    <row r="6986" spans="1:22">
      <c r="A6986" t="str">
        <f t="shared" si="1288"/>
        <v>22/10/2025</v>
      </c>
      <c r="B6986" t="str">
        <f t="shared" si="1291"/>
        <v>SAÍDA</v>
      </c>
      <c r="C6986" t="str">
        <f t="shared" si="1292"/>
        <v>PIX</v>
      </c>
      <c r="D6986" t="str">
        <f>"24401"</f>
        <v>24401</v>
      </c>
      <c r="E6986" t="str">
        <f t="shared" si="1293"/>
        <v>1</v>
      </c>
      <c r="F6986" t="str">
        <f t="shared" si="1296"/>
        <v>COM</v>
      </c>
      <c r="G6986" t="str">
        <f>"ITALO GONÇALVES (974)"</f>
        <v>ITALO GONÇALVES (974)</v>
      </c>
      <c r="H6986" t="s">
        <v>1914</v>
      </c>
      <c r="I6986" t="str">
        <f t="shared" si="1294"/>
        <v>30/10/2025</v>
      </c>
      <c r="J6986" t="str">
        <f t="shared" si="1295"/>
        <v>27/10/2025</v>
      </c>
      <c r="K6986">
        <v>45952</v>
      </c>
      <c r="N6986">
        <v>109</v>
      </c>
      <c r="O6986" t="s">
        <v>24</v>
      </c>
      <c r="Q6986">
        <v>47.5</v>
      </c>
      <c r="R6986" t="str">
        <f>"PENSE FARMA 15 (10195)"</f>
        <v>PENSE FARMA 15 (10195)</v>
      </c>
      <c r="S6986" t="s">
        <v>22</v>
      </c>
      <c r="T6986">
        <v>20338</v>
      </c>
      <c r="U6986">
        <v>24509</v>
      </c>
      <c r="V6986" t="s">
        <v>22</v>
      </c>
    </row>
    <row r="6987" spans="1:22">
      <c r="A6987" t="str">
        <f t="shared" si="1288"/>
        <v>22/10/2025</v>
      </c>
      <c r="B6987" t="str">
        <f t="shared" si="1291"/>
        <v>SAÍDA</v>
      </c>
      <c r="C6987" t="str">
        <f t="shared" si="1292"/>
        <v>PIX</v>
      </c>
      <c r="D6987" t="str">
        <f>"24401"</f>
        <v>24401</v>
      </c>
      <c r="E6987" t="str">
        <f t="shared" si="1293"/>
        <v>1</v>
      </c>
      <c r="F6987" t="str">
        <f t="shared" si="1296"/>
        <v>COM</v>
      </c>
      <c r="G6987" t="str">
        <f>"ITALO GONÇALVES (974)"</f>
        <v>ITALO GONÇALVES (974)</v>
      </c>
      <c r="H6987" t="s">
        <v>1914</v>
      </c>
      <c r="I6987" t="str">
        <f t="shared" si="1294"/>
        <v>30/10/2025</v>
      </c>
      <c r="J6987" t="str">
        <f t="shared" si="1295"/>
        <v>27/10/2025</v>
      </c>
      <c r="K6987">
        <v>45952</v>
      </c>
      <c r="N6987">
        <v>109</v>
      </c>
      <c r="O6987" t="s">
        <v>24</v>
      </c>
      <c r="Q6987">
        <v>47.5</v>
      </c>
      <c r="R6987" t="str">
        <f>"PENSE FARMA 26 (10196)"</f>
        <v>PENSE FARMA 26 (10196)</v>
      </c>
      <c r="S6987" t="s">
        <v>22</v>
      </c>
      <c r="T6987">
        <v>20338</v>
      </c>
      <c r="U6987">
        <v>24509</v>
      </c>
      <c r="V6987" t="s">
        <v>22</v>
      </c>
    </row>
    <row r="6988" spans="1:22">
      <c r="A6988" t="str">
        <f t="shared" si="1288"/>
        <v>22/10/2025</v>
      </c>
      <c r="B6988" t="str">
        <f t="shared" si="1291"/>
        <v>SAÍDA</v>
      </c>
      <c r="C6988" t="str">
        <f t="shared" si="1292"/>
        <v>PIX</v>
      </c>
      <c r="D6988" t="str">
        <f>"24401"</f>
        <v>24401</v>
      </c>
      <c r="E6988" t="str">
        <f t="shared" si="1293"/>
        <v>1</v>
      </c>
      <c r="F6988" t="str">
        <f t="shared" si="1296"/>
        <v>COM</v>
      </c>
      <c r="G6988" t="str">
        <f>"ITALO GONÇALVES (974)"</f>
        <v>ITALO GONÇALVES (974)</v>
      </c>
      <c r="H6988" t="s">
        <v>1914</v>
      </c>
      <c r="I6988" t="str">
        <f t="shared" si="1294"/>
        <v>30/10/2025</v>
      </c>
      <c r="J6988" t="str">
        <f t="shared" si="1295"/>
        <v>27/10/2025</v>
      </c>
      <c r="K6988">
        <v>45952</v>
      </c>
      <c r="N6988">
        <v>109</v>
      </c>
      <c r="O6988" t="s">
        <v>24</v>
      </c>
      <c r="Q6988">
        <v>47.5</v>
      </c>
      <c r="R6988" t="str">
        <f>"PENSE FARMA 60 (10197)"</f>
        <v>PENSE FARMA 60 (10197)</v>
      </c>
      <c r="S6988" t="s">
        <v>22</v>
      </c>
      <c r="T6988">
        <v>20338</v>
      </c>
      <c r="U6988">
        <v>24509</v>
      </c>
      <c r="V6988" t="s">
        <v>22</v>
      </c>
    </row>
    <row r="6989" spans="1:22">
      <c r="A6989" t="str">
        <f t="shared" si="1288"/>
        <v>22/10/2025</v>
      </c>
      <c r="B6989" t="str">
        <f t="shared" si="1291"/>
        <v>SAÍDA</v>
      </c>
      <c r="C6989" t="str">
        <f t="shared" si="1292"/>
        <v>PIX</v>
      </c>
      <c r="D6989" t="str">
        <f>"24401"</f>
        <v>24401</v>
      </c>
      <c r="E6989" t="str">
        <f t="shared" si="1293"/>
        <v>1</v>
      </c>
      <c r="F6989" t="str">
        <f t="shared" si="1296"/>
        <v>COM</v>
      </c>
      <c r="G6989" t="str">
        <f>"ITALO GONÇALVES (974)"</f>
        <v>ITALO GONÇALVES (974)</v>
      </c>
      <c r="H6989" t="s">
        <v>1914</v>
      </c>
      <c r="I6989" t="str">
        <f t="shared" si="1294"/>
        <v>30/10/2025</v>
      </c>
      <c r="J6989" t="str">
        <f t="shared" si="1295"/>
        <v>27/10/2025</v>
      </c>
      <c r="K6989">
        <v>45952</v>
      </c>
      <c r="N6989">
        <v>109</v>
      </c>
      <c r="O6989" t="s">
        <v>24</v>
      </c>
      <c r="Q6989">
        <v>47.5</v>
      </c>
      <c r="R6989" t="str">
        <f>"PENSE FARMA 61 (10243)"</f>
        <v>PENSE FARMA 61 (10243)</v>
      </c>
      <c r="S6989" t="s">
        <v>22</v>
      </c>
      <c r="T6989">
        <v>20338</v>
      </c>
      <c r="U6989">
        <v>24509</v>
      </c>
      <c r="V6989" t="s">
        <v>22</v>
      </c>
    </row>
    <row r="6990" spans="1:22">
      <c r="A6990" t="str">
        <f t="shared" si="1288"/>
        <v>22/10/2025</v>
      </c>
      <c r="B6990" t="str">
        <f t="shared" si="1291"/>
        <v>SAÍDA</v>
      </c>
      <c r="C6990" t="str">
        <f t="shared" si="1292"/>
        <v>PIX</v>
      </c>
      <c r="D6990" t="str">
        <f>"24400"</f>
        <v>24400</v>
      </c>
      <c r="E6990" t="str">
        <f t="shared" si="1293"/>
        <v>1</v>
      </c>
      <c r="F6990" t="str">
        <f t="shared" si="1296"/>
        <v>COM</v>
      </c>
      <c r="G6990" t="str">
        <f>"FELIPE GUERRA MAGALHAES (1024)"</f>
        <v>FELIPE GUERRA MAGALHAES (1024)</v>
      </c>
      <c r="H6990" t="str">
        <f>"Serv.Prest. 20/10/2025 a 26/10/2025 - PIX: CELULAR - CHAVE: (11) 95764-9968"</f>
        <v>Serv.Prest. 20/10/2025 a 26/10/2025 - PIX: CELULAR - CHAVE: (11) 95764-9968</v>
      </c>
      <c r="I6990" t="str">
        <f t="shared" si="1294"/>
        <v>30/10/2025</v>
      </c>
      <c r="J6990" t="str">
        <f t="shared" si="1295"/>
        <v>27/10/2025</v>
      </c>
      <c r="K6990" t="str">
        <f>("22/10/2025")</f>
        <v>22/10/2025</v>
      </c>
      <c r="L6990">
        <v>170</v>
      </c>
      <c r="M6990">
        <v>170</v>
      </c>
      <c r="N6990">
        <v>134</v>
      </c>
      <c r="O6990" t="str">
        <f>"DIARIA DE MOTOBOY"</f>
        <v>DIARIA DE MOTOBOY</v>
      </c>
      <c r="P6990">
        <v>170</v>
      </c>
      <c r="S6990" t="str">
        <f>"BANCO CORA (102)"</f>
        <v>BANCO CORA (102)</v>
      </c>
      <c r="T6990">
        <v>20339</v>
      </c>
      <c r="U6990">
        <v>24400</v>
      </c>
      <c r="V6990" t="s">
        <v>22</v>
      </c>
    </row>
    <row r="6991" spans="1:22">
      <c r="A6991" t="str">
        <f t="shared" si="1288"/>
        <v>22/10/2025</v>
      </c>
      <c r="B6991" t="str">
        <f t="shared" si="1291"/>
        <v>SAÍDA</v>
      </c>
      <c r="C6991" t="str">
        <f t="shared" si="1292"/>
        <v>PIX</v>
      </c>
      <c r="D6991" t="str">
        <f>"24400"</f>
        <v>24400</v>
      </c>
      <c r="E6991" t="str">
        <f t="shared" si="1293"/>
        <v>1</v>
      </c>
      <c r="F6991" t="str">
        <f t="shared" si="1296"/>
        <v>COM</v>
      </c>
      <c r="G6991" t="str">
        <f>"FELIPE GUERRA MAGALHAES (1024)"</f>
        <v>FELIPE GUERRA MAGALHAES (1024)</v>
      </c>
      <c r="H6991" t="s">
        <v>1915</v>
      </c>
      <c r="I6991" t="str">
        <f t="shared" si="1294"/>
        <v>30/10/2025</v>
      </c>
      <c r="J6991" t="str">
        <f t="shared" si="1295"/>
        <v>27/10/2025</v>
      </c>
      <c r="K6991">
        <v>45952</v>
      </c>
      <c r="N6991">
        <v>134</v>
      </c>
      <c r="O6991" t="s">
        <v>41</v>
      </c>
      <c r="Q6991">
        <v>170</v>
      </c>
      <c r="R6991" t="str">
        <f>"PENSE FARMA 15 (10195)"</f>
        <v>PENSE FARMA 15 (10195)</v>
      </c>
      <c r="S6991" t="s">
        <v>22</v>
      </c>
      <c r="T6991">
        <v>20339</v>
      </c>
      <c r="U6991">
        <v>24400</v>
      </c>
      <c r="V6991" t="s">
        <v>22</v>
      </c>
    </row>
    <row r="6992" spans="1:22">
      <c r="A6992" t="str">
        <f t="shared" si="1288"/>
        <v>22/10/2025</v>
      </c>
      <c r="B6992" t="str">
        <f>"ENTRADA"</f>
        <v>ENTRADA</v>
      </c>
      <c r="C6992" t="str">
        <f>"NFSE"</f>
        <v>NFSE</v>
      </c>
      <c r="D6992" t="str">
        <f>"3522"</f>
        <v>3522</v>
      </c>
      <c r="E6992" t="str">
        <f t="shared" si="1293"/>
        <v>1</v>
      </c>
      <c r="F6992" t="str">
        <f t="shared" si="1296"/>
        <v>COM</v>
      </c>
      <c r="G6992" t="str">
        <f>"PENSE FARMA 44 (10231)"</f>
        <v>PENSE FARMA 44 (10231)</v>
      </c>
      <c r="H6992" t="str">
        <f>"Serv.Prest. 13/10/2025 a 19/10/2025 - RPS: 1398 - NFSe: 3522"</f>
        <v>Serv.Prest. 13/10/2025 a 19/10/2025 - RPS: 1398 - NFSe: 3522</v>
      </c>
      <c r="I6992" t="str">
        <f>("22/10/2025")</f>
        <v>22/10/2025</v>
      </c>
      <c r="J6992" t="str">
        <f>("20/10/2025")</f>
        <v>20/10/2025</v>
      </c>
      <c r="K6992" t="str">
        <f>("22/10/2025")</f>
        <v>22/10/2025</v>
      </c>
      <c r="L6992">
        <v>3337.94</v>
      </c>
      <c r="M6992">
        <v>3337.94</v>
      </c>
      <c r="N6992">
        <v>303</v>
      </c>
      <c r="O6992" t="str">
        <f>"RECEITAS COM ENTREGAS"</f>
        <v>RECEITAS COM ENTREGAS</v>
      </c>
      <c r="P6992">
        <v>3337.94</v>
      </c>
      <c r="S6992" t="str">
        <f>"RECEITAS COM ENTREGAS (303)"</f>
        <v>RECEITAS COM ENTREGAS (303)</v>
      </c>
      <c r="T6992">
        <v>22513</v>
      </c>
      <c r="U6992">
        <v>23895</v>
      </c>
      <c r="V6992" t="s">
        <v>22</v>
      </c>
    </row>
    <row r="6993" spans="1:22">
      <c r="A6993" t="str">
        <f t="shared" si="1288"/>
        <v>22/10/2025</v>
      </c>
      <c r="B6993" t="str">
        <f>"ENTRADA"</f>
        <v>ENTRADA</v>
      </c>
      <c r="C6993" t="str">
        <f>"NFSE"</f>
        <v>NFSE</v>
      </c>
      <c r="D6993" t="str">
        <f>"3522"</f>
        <v>3522</v>
      </c>
      <c r="E6993" t="str">
        <f t="shared" si="1293"/>
        <v>1</v>
      </c>
      <c r="F6993" t="str">
        <f t="shared" si="1296"/>
        <v>COM</v>
      </c>
      <c r="G6993" t="str">
        <f>"PENSE FARMA 44 (10231)"</f>
        <v>PENSE FARMA 44 (10231)</v>
      </c>
      <c r="H6993" t="s">
        <v>1916</v>
      </c>
      <c r="I6993" t="str">
        <f>("22/10/2025")</f>
        <v>22/10/2025</v>
      </c>
      <c r="J6993" t="str">
        <f>("20/10/2025")</f>
        <v>20/10/2025</v>
      </c>
      <c r="K6993">
        <v>45952</v>
      </c>
      <c r="N6993">
        <v>303</v>
      </c>
      <c r="O6993" t="s">
        <v>69</v>
      </c>
      <c r="Q6993">
        <v>1668.97</v>
      </c>
      <c r="R6993" t="str">
        <f>"PENSE FARMA 44 (10231)"</f>
        <v>PENSE FARMA 44 (10231)</v>
      </c>
      <c r="S6993" t="s">
        <v>70</v>
      </c>
      <c r="T6993">
        <v>22513</v>
      </c>
      <c r="U6993">
        <v>23895</v>
      </c>
      <c r="V6993" t="s">
        <v>22</v>
      </c>
    </row>
    <row r="6994" spans="1:22">
      <c r="A6994" t="str">
        <f t="shared" si="1288"/>
        <v>22/10/2025</v>
      </c>
      <c r="B6994" t="str">
        <f>"ENTRADA"</f>
        <v>ENTRADA</v>
      </c>
      <c r="C6994" t="str">
        <f>"NFSE"</f>
        <v>NFSE</v>
      </c>
      <c r="D6994" t="str">
        <f>"3522"</f>
        <v>3522</v>
      </c>
      <c r="E6994" t="str">
        <f t="shared" si="1293"/>
        <v>1</v>
      </c>
      <c r="F6994" t="str">
        <f t="shared" si="1296"/>
        <v>COM</v>
      </c>
      <c r="G6994" t="str">
        <f>"PENSE FARMA 44 (10231)"</f>
        <v>PENSE FARMA 44 (10231)</v>
      </c>
      <c r="H6994" t="s">
        <v>1916</v>
      </c>
      <c r="I6994" t="str">
        <f>("22/10/2025")</f>
        <v>22/10/2025</v>
      </c>
      <c r="J6994" t="str">
        <f>("20/10/2025")</f>
        <v>20/10/2025</v>
      </c>
      <c r="K6994">
        <v>45952</v>
      </c>
      <c r="N6994">
        <v>303</v>
      </c>
      <c r="O6994" t="s">
        <v>69</v>
      </c>
      <c r="Q6994">
        <v>1668.97</v>
      </c>
      <c r="R6994" t="str">
        <f>"PENSE FARMA 48 (10233)"</f>
        <v>PENSE FARMA 48 (10233)</v>
      </c>
      <c r="S6994" t="s">
        <v>70</v>
      </c>
      <c r="T6994">
        <v>22513</v>
      </c>
      <c r="U6994">
        <v>23895</v>
      </c>
      <c r="V6994" t="s">
        <v>22</v>
      </c>
    </row>
    <row r="6995" spans="1:22">
      <c r="A6995" t="str">
        <f t="shared" si="1288"/>
        <v>22/10/2025</v>
      </c>
      <c r="B6995" t="str">
        <f>"ENTRADA"</f>
        <v>ENTRADA</v>
      </c>
      <c r="C6995" t="str">
        <f>"TRANSFERENCIA"</f>
        <v>TRANSFERENCIA</v>
      </c>
      <c r="D6995" t="str">
        <f>""</f>
        <v/>
      </c>
      <c r="F6995" t="str">
        <f>"TRF"</f>
        <v>TRF</v>
      </c>
      <c r="G6995" t="str">
        <f>""</f>
        <v/>
      </c>
      <c r="H6995" t="str">
        <f>"TRANSFERENCIA ENTRE BANCOS  (149-&gt;102)"</f>
        <v>TRANSFERENCIA ENTRE BANCOS  (149-&gt;102)</v>
      </c>
      <c r="I6995" t="str">
        <f>("22/10/2025")</f>
        <v>22/10/2025</v>
      </c>
      <c r="J6995" t="str">
        <f>("22/10/2025")</f>
        <v>22/10/2025</v>
      </c>
      <c r="K6995" t="str">
        <f>("22/10/2025")</f>
        <v>22/10/2025</v>
      </c>
      <c r="N6995">
        <v>102</v>
      </c>
      <c r="O6995" t="str">
        <f>"BANCO CORA"</f>
        <v>BANCO CORA</v>
      </c>
      <c r="P6995">
        <v>2000</v>
      </c>
      <c r="S6995" t="str">
        <f>"BANCO CORA (102)"</f>
        <v>BANCO CORA (102)</v>
      </c>
      <c r="T6995">
        <v>22514</v>
      </c>
      <c r="U6995">
        <v>0</v>
      </c>
      <c r="V6995" t="s">
        <v>22</v>
      </c>
    </row>
    <row r="6996" spans="1:22">
      <c r="A6996" t="str">
        <f t="shared" si="1288"/>
        <v>22/10/2025</v>
      </c>
      <c r="B6996" t="str">
        <f t="shared" ref="B6996:B7001" si="1297">"SAÍDA"</f>
        <v>SAÍDA</v>
      </c>
      <c r="C6996" t="str">
        <f>"TRANSFERENCIA"</f>
        <v>TRANSFERENCIA</v>
      </c>
      <c r="D6996" t="str">
        <f>""</f>
        <v/>
      </c>
      <c r="F6996" t="str">
        <f>"TRF"</f>
        <v>TRF</v>
      </c>
      <c r="G6996" t="str">
        <f>""</f>
        <v/>
      </c>
      <c r="H6996" t="str">
        <f>"TRANSFERENCIA ENTRE BANCOS  (149-&gt;102)"</f>
        <v>TRANSFERENCIA ENTRE BANCOS  (149-&gt;102)</v>
      </c>
      <c r="I6996" t="str">
        <f>("22/10/2025")</f>
        <v>22/10/2025</v>
      </c>
      <c r="J6996" t="str">
        <f>("22/10/2025")</f>
        <v>22/10/2025</v>
      </c>
      <c r="K6996" t="str">
        <f>("22/10/2025")</f>
        <v>22/10/2025</v>
      </c>
      <c r="N6996">
        <v>149</v>
      </c>
      <c r="O6996" t="str">
        <f>"BANCO C6"</f>
        <v>BANCO C6</v>
      </c>
      <c r="S6996" t="str">
        <f>"BANCO C6 (149)"</f>
        <v>BANCO C6 (149)</v>
      </c>
      <c r="T6996">
        <v>22514</v>
      </c>
      <c r="U6996">
        <v>0</v>
      </c>
      <c r="V6996" t="s">
        <v>77</v>
      </c>
    </row>
    <row r="6997" spans="1:22">
      <c r="A6997" t="str">
        <f t="shared" ref="A6997:A7060" si="1298">("23/10/2025")</f>
        <v>23/10/2025</v>
      </c>
      <c r="B6997" t="str">
        <f t="shared" si="1297"/>
        <v>SAÍDA</v>
      </c>
      <c r="C6997" t="str">
        <f>"PIX"</f>
        <v>PIX</v>
      </c>
      <c r="D6997" t="str">
        <f>"23659"</f>
        <v>23659</v>
      </c>
      <c r="E6997" t="str">
        <f t="shared" ref="E6997:E7033" si="1299">"1"</f>
        <v>1</v>
      </c>
      <c r="F6997" t="str">
        <f t="shared" ref="F6997:F7060" si="1300">"COM"</f>
        <v>COM</v>
      </c>
      <c r="G6997" t="str">
        <f>"GABRIEL SOARES VIEIRA (18)"</f>
        <v>GABRIEL SOARES VIEIRA (18)</v>
      </c>
      <c r="H6997" t="str">
        <f>"Serv.Prest. 06/10/2025 a 12/10/2025 - PIX: CPF - CHAVE: 179.800.027-09"</f>
        <v>Serv.Prest. 06/10/2025 a 12/10/2025 - PIX: CPF - CHAVE: 179.800.027-09</v>
      </c>
      <c r="I6997" t="str">
        <f>("24/10/2025")</f>
        <v>24/10/2025</v>
      </c>
      <c r="J6997" t="str">
        <f>("14/10/2025")</f>
        <v>14/10/2025</v>
      </c>
      <c r="K6997" t="str">
        <f>("23/10/2025")</f>
        <v>23/10/2025</v>
      </c>
      <c r="L6997">
        <v>200</v>
      </c>
      <c r="M6997">
        <v>200</v>
      </c>
      <c r="N6997">
        <v>109</v>
      </c>
      <c r="O6997" t="str">
        <f>"PAGAMENTO DE ENTREGADORES"</f>
        <v>PAGAMENTO DE ENTREGADORES</v>
      </c>
      <c r="P6997">
        <v>200</v>
      </c>
      <c r="S6997" t="str">
        <f>"BANCO CORA (102)"</f>
        <v>BANCO CORA (102)</v>
      </c>
      <c r="T6997">
        <v>20137</v>
      </c>
      <c r="U6997">
        <v>24160</v>
      </c>
      <c r="V6997" t="s">
        <v>22</v>
      </c>
    </row>
    <row r="6998" spans="1:22">
      <c r="A6998" t="str">
        <f t="shared" si="1298"/>
        <v>23/10/2025</v>
      </c>
      <c r="B6998" t="str">
        <f t="shared" si="1297"/>
        <v>SAÍDA</v>
      </c>
      <c r="C6998" t="str">
        <f>"PIX"</f>
        <v>PIX</v>
      </c>
      <c r="D6998" t="str">
        <f>"23659"</f>
        <v>23659</v>
      </c>
      <c r="E6998" t="str">
        <f t="shared" si="1299"/>
        <v>1</v>
      </c>
      <c r="F6998" t="str">
        <f t="shared" si="1300"/>
        <v>COM</v>
      </c>
      <c r="G6998" t="str">
        <f>"GABRIEL SOARES VIEIRA (18)"</f>
        <v>GABRIEL SOARES VIEIRA (18)</v>
      </c>
      <c r="H6998" t="s">
        <v>1917</v>
      </c>
      <c r="I6998" t="str">
        <f>("24/10/2025")</f>
        <v>24/10/2025</v>
      </c>
      <c r="J6998" t="str">
        <f>("14/10/2025")</f>
        <v>14/10/2025</v>
      </c>
      <c r="K6998">
        <v>45953</v>
      </c>
      <c r="N6998">
        <v>109</v>
      </c>
      <c r="O6998" t="s">
        <v>24</v>
      </c>
      <c r="Q6998">
        <v>190.84</v>
      </c>
      <c r="R6998" t="str">
        <f>"FARMÁCIA INDIANA LJ 40 (10016)"</f>
        <v>FARMÁCIA INDIANA LJ 40 (10016)</v>
      </c>
      <c r="S6998" t="s">
        <v>22</v>
      </c>
      <c r="T6998">
        <v>20137</v>
      </c>
      <c r="U6998">
        <v>24160</v>
      </c>
      <c r="V6998" t="s">
        <v>22</v>
      </c>
    </row>
    <row r="6999" spans="1:22">
      <c r="A6999" t="str">
        <f t="shared" si="1298"/>
        <v>23/10/2025</v>
      </c>
      <c r="B6999" t="str">
        <f t="shared" si="1297"/>
        <v>SAÍDA</v>
      </c>
      <c r="C6999" t="str">
        <f>"PIX"</f>
        <v>PIX</v>
      </c>
      <c r="D6999" t="str">
        <f>"23659"</f>
        <v>23659</v>
      </c>
      <c r="E6999" t="str">
        <f t="shared" si="1299"/>
        <v>1</v>
      </c>
      <c r="F6999" t="str">
        <f t="shared" si="1300"/>
        <v>COM</v>
      </c>
      <c r="G6999" t="str">
        <f>"GABRIEL SOARES VIEIRA (18)"</f>
        <v>GABRIEL SOARES VIEIRA (18)</v>
      </c>
      <c r="H6999" t="s">
        <v>1917</v>
      </c>
      <c r="I6999" t="str">
        <f>("24/10/2025")</f>
        <v>24/10/2025</v>
      </c>
      <c r="J6999" t="str">
        <f>("14/10/2025")</f>
        <v>14/10/2025</v>
      </c>
      <c r="K6999">
        <v>45953</v>
      </c>
      <c r="N6999">
        <v>109</v>
      </c>
      <c r="O6999" t="s">
        <v>24</v>
      </c>
      <c r="Q6999">
        <v>9.16</v>
      </c>
      <c r="R6999" t="str">
        <f>"FARMÁCIA INDIANA LJ 61 (10027)"</f>
        <v>FARMÁCIA INDIANA LJ 61 (10027)</v>
      </c>
      <c r="S6999" t="s">
        <v>22</v>
      </c>
      <c r="T6999">
        <v>20137</v>
      </c>
      <c r="U6999">
        <v>24160</v>
      </c>
      <c r="V6999" t="s">
        <v>22</v>
      </c>
    </row>
    <row r="7000" spans="1:22">
      <c r="A7000" t="str">
        <f t="shared" si="1298"/>
        <v>23/10/2025</v>
      </c>
      <c r="B7000" t="str">
        <f t="shared" si="1297"/>
        <v>SAÍDA</v>
      </c>
      <c r="C7000" t="str">
        <f>"PIX"</f>
        <v>PIX</v>
      </c>
      <c r="D7000" t="str">
        <f>"24071"</f>
        <v>24071</v>
      </c>
      <c r="E7000" t="str">
        <f t="shared" si="1299"/>
        <v>1</v>
      </c>
      <c r="F7000" t="str">
        <f t="shared" si="1300"/>
        <v>COM</v>
      </c>
      <c r="G7000" t="str">
        <f>"WEIGNE SENA CARDOSO (53)"</f>
        <v>WEIGNE SENA CARDOSO (53)</v>
      </c>
      <c r="H7000" t="str">
        <f>"Serv.Prest. 13/10/2025 a 19/10/2025 - PIX: CPF - CHAVE: 097.245.586-81"</f>
        <v>Serv.Prest. 13/10/2025 a 19/10/2025 - PIX: CPF - CHAVE: 097.245.586-81</v>
      </c>
      <c r="I7000" t="str">
        <f>("24/10/2025")</f>
        <v>24/10/2025</v>
      </c>
      <c r="J7000" t="str">
        <f>("21/10/2025")</f>
        <v>21/10/2025</v>
      </c>
      <c r="K7000" t="str">
        <f>("23/10/2025")</f>
        <v>23/10/2025</v>
      </c>
      <c r="L7000">
        <v>500</v>
      </c>
      <c r="M7000">
        <v>500</v>
      </c>
      <c r="N7000">
        <v>109</v>
      </c>
      <c r="O7000" t="str">
        <f>"PAGAMENTO DE ENTREGADORES"</f>
        <v>PAGAMENTO DE ENTREGADORES</v>
      </c>
      <c r="P7000">
        <v>500</v>
      </c>
      <c r="S7000" t="str">
        <f>"BANCO CORA (102)"</f>
        <v>BANCO CORA (102)</v>
      </c>
      <c r="T7000">
        <v>20138</v>
      </c>
      <c r="U7000">
        <v>24161</v>
      </c>
      <c r="V7000" t="s">
        <v>22</v>
      </c>
    </row>
    <row r="7001" spans="1:22">
      <c r="A7001" t="str">
        <f t="shared" si="1298"/>
        <v>23/10/2025</v>
      </c>
      <c r="B7001" t="str">
        <f t="shared" si="1297"/>
        <v>SAÍDA</v>
      </c>
      <c r="C7001" t="str">
        <f>"PIX"</f>
        <v>PIX</v>
      </c>
      <c r="D7001" t="str">
        <f>"24071"</f>
        <v>24071</v>
      </c>
      <c r="E7001" t="str">
        <f t="shared" si="1299"/>
        <v>1</v>
      </c>
      <c r="F7001" t="str">
        <f t="shared" si="1300"/>
        <v>COM</v>
      </c>
      <c r="G7001" t="str">
        <f>"WEIGNE SENA CARDOSO (53)"</f>
        <v>WEIGNE SENA CARDOSO (53)</v>
      </c>
      <c r="H7001" t="s">
        <v>1889</v>
      </c>
      <c r="I7001" t="str">
        <f>("24/10/2025")</f>
        <v>24/10/2025</v>
      </c>
      <c r="J7001" t="str">
        <f>("21/10/2025")</f>
        <v>21/10/2025</v>
      </c>
      <c r="K7001">
        <v>45953</v>
      </c>
      <c r="N7001">
        <v>109</v>
      </c>
      <c r="O7001" t="s">
        <v>24</v>
      </c>
      <c r="Q7001">
        <v>500</v>
      </c>
      <c r="R7001" t="str">
        <f>"FARMÁCIA INDIANA LJ 07 (10007)"</f>
        <v>FARMÁCIA INDIANA LJ 07 (10007)</v>
      </c>
      <c r="S7001" t="s">
        <v>22</v>
      </c>
      <c r="T7001">
        <v>20138</v>
      </c>
      <c r="U7001">
        <v>24161</v>
      </c>
      <c r="V7001" t="s">
        <v>22</v>
      </c>
    </row>
    <row r="7002" spans="1:22">
      <c r="A7002" t="str">
        <f t="shared" si="1298"/>
        <v>23/10/2025</v>
      </c>
      <c r="B7002" t="str">
        <f t="shared" ref="B7002:B7033" si="1301">"ENTRADA"</f>
        <v>ENTRADA</v>
      </c>
      <c r="C7002" t="str">
        <f t="shared" ref="C7002:C7033" si="1302">"NFSE"</f>
        <v>NFSE</v>
      </c>
      <c r="D7002" t="str">
        <f>"3510"</f>
        <v>3510</v>
      </c>
      <c r="E7002" t="str">
        <f t="shared" si="1299"/>
        <v>1</v>
      </c>
      <c r="F7002" t="str">
        <f t="shared" si="1300"/>
        <v>COM</v>
      </c>
      <c r="G7002" t="str">
        <f>"DROGARIA ANA VISCONDE DO RIO BRANCO (10182)"</f>
        <v>DROGARIA ANA VISCONDE DO RIO BRANCO (10182)</v>
      </c>
      <c r="H7002" t="str">
        <f>"Serv.Prest. 13/10/2025 a 19/10/2025 - RPS: 1386 - NFSe: 3510"</f>
        <v>Serv.Prest. 13/10/2025 a 19/10/2025 - RPS: 1386 - NFSe: 3510</v>
      </c>
      <c r="I7002" t="str">
        <f t="shared" ref="I7002:I7029" si="1303">("22/10/2025")</f>
        <v>22/10/2025</v>
      </c>
      <c r="J7002" t="str">
        <f>("20/10/2025")</f>
        <v>20/10/2025</v>
      </c>
      <c r="K7002" t="str">
        <f>("23/10/2025")</f>
        <v>23/10/2025</v>
      </c>
      <c r="L7002">
        <v>4437.72</v>
      </c>
      <c r="M7002">
        <v>4437.72</v>
      </c>
      <c r="N7002">
        <v>303</v>
      </c>
      <c r="O7002" t="str">
        <f>"RECEITAS COM ENTREGAS"</f>
        <v>RECEITAS COM ENTREGAS</v>
      </c>
      <c r="P7002">
        <v>4437.72</v>
      </c>
      <c r="S7002" t="str">
        <f>"RECEITAS COM ENTREGAS (303)"</f>
        <v>RECEITAS COM ENTREGAS (303)</v>
      </c>
      <c r="T7002">
        <v>20299</v>
      </c>
      <c r="U7002">
        <v>23855</v>
      </c>
      <c r="V7002" t="s">
        <v>22</v>
      </c>
    </row>
    <row r="7003" spans="1:22">
      <c r="A7003" t="str">
        <f t="shared" si="1298"/>
        <v>23/10/2025</v>
      </c>
      <c r="B7003" t="str">
        <f t="shared" si="1301"/>
        <v>ENTRADA</v>
      </c>
      <c r="C7003" t="str">
        <f t="shared" si="1302"/>
        <v>NFSE</v>
      </c>
      <c r="D7003" t="str">
        <f>"3510"</f>
        <v>3510</v>
      </c>
      <c r="E7003" t="str">
        <f t="shared" si="1299"/>
        <v>1</v>
      </c>
      <c r="F7003" t="str">
        <f t="shared" si="1300"/>
        <v>COM</v>
      </c>
      <c r="G7003" t="str">
        <f>"DROGARIA ANA VISCONDE DO RIO BRANCO (10182)"</f>
        <v>DROGARIA ANA VISCONDE DO RIO BRANCO (10182)</v>
      </c>
      <c r="H7003" t="s">
        <v>1918</v>
      </c>
      <c r="I7003" t="str">
        <f t="shared" si="1303"/>
        <v>22/10/2025</v>
      </c>
      <c r="J7003" t="str">
        <f>("20/10/2025")</f>
        <v>20/10/2025</v>
      </c>
      <c r="K7003">
        <v>45953</v>
      </c>
      <c r="N7003">
        <v>303</v>
      </c>
      <c r="O7003" t="s">
        <v>69</v>
      </c>
      <c r="Q7003">
        <v>4437.72</v>
      </c>
      <c r="R7003" t="str">
        <f>"DROGARIA ANA VISCONDE DO RIO BRANCO (10182)"</f>
        <v>DROGARIA ANA VISCONDE DO RIO BRANCO (10182)</v>
      </c>
      <c r="S7003" t="s">
        <v>70</v>
      </c>
      <c r="T7003">
        <v>20299</v>
      </c>
      <c r="U7003">
        <v>23855</v>
      </c>
      <c r="V7003" t="s">
        <v>22</v>
      </c>
    </row>
    <row r="7004" spans="1:22">
      <c r="A7004" t="str">
        <f t="shared" si="1298"/>
        <v>23/10/2025</v>
      </c>
      <c r="B7004" t="str">
        <f t="shared" si="1301"/>
        <v>ENTRADA</v>
      </c>
      <c r="C7004" t="str">
        <f t="shared" si="1302"/>
        <v>NFSE</v>
      </c>
      <c r="D7004" t="str">
        <f>"3509"</f>
        <v>3509</v>
      </c>
      <c r="E7004" t="str">
        <f t="shared" si="1299"/>
        <v>1</v>
      </c>
      <c r="F7004" t="str">
        <f t="shared" si="1300"/>
        <v>COM</v>
      </c>
      <c r="G7004" t="str">
        <f>"AC FARMA - FLEMINFARMA 5 (10183)"</f>
        <v>AC FARMA - FLEMINFARMA 5 (10183)</v>
      </c>
      <c r="H7004" t="str">
        <f>"Serv.Prest. 06/10/2025 a 12/10/2025 - RPS: 1385 - NFSe: 3509"</f>
        <v>Serv.Prest. 06/10/2025 a 12/10/2025 - RPS: 1385 - NFSe: 3509</v>
      </c>
      <c r="I7004" t="str">
        <f t="shared" si="1303"/>
        <v>22/10/2025</v>
      </c>
      <c r="J7004" t="str">
        <f t="shared" ref="J7004:J7011" si="1304">("16/10/2025")</f>
        <v>16/10/2025</v>
      </c>
      <c r="K7004" t="str">
        <f>("23/10/2025")</f>
        <v>23/10/2025</v>
      </c>
      <c r="L7004">
        <v>634.95000000000005</v>
      </c>
      <c r="M7004">
        <v>634.95000000000005</v>
      </c>
      <c r="N7004">
        <v>303</v>
      </c>
      <c r="O7004" t="str">
        <f>"RECEITAS COM ENTREGAS"</f>
        <v>RECEITAS COM ENTREGAS</v>
      </c>
      <c r="P7004">
        <v>634.95000000000005</v>
      </c>
      <c r="S7004" t="str">
        <f>"RECEITAS COM ENTREGAS (303)"</f>
        <v>RECEITAS COM ENTREGAS (303)</v>
      </c>
      <c r="T7004">
        <v>20300</v>
      </c>
      <c r="U7004">
        <v>23848</v>
      </c>
      <c r="V7004" t="s">
        <v>22</v>
      </c>
    </row>
    <row r="7005" spans="1:22">
      <c r="A7005" t="str">
        <f t="shared" si="1298"/>
        <v>23/10/2025</v>
      </c>
      <c r="B7005" t="str">
        <f t="shared" si="1301"/>
        <v>ENTRADA</v>
      </c>
      <c r="C7005" t="str">
        <f t="shared" si="1302"/>
        <v>NFSE</v>
      </c>
      <c r="D7005" t="str">
        <f>"3509"</f>
        <v>3509</v>
      </c>
      <c r="E7005" t="str">
        <f t="shared" si="1299"/>
        <v>1</v>
      </c>
      <c r="F7005" t="str">
        <f t="shared" si="1300"/>
        <v>COM</v>
      </c>
      <c r="G7005" t="str">
        <f>"AC FARMA - FLEMINFARMA 5 (10183)"</f>
        <v>AC FARMA - FLEMINFARMA 5 (10183)</v>
      </c>
      <c r="H7005" t="s">
        <v>1919</v>
      </c>
      <c r="I7005" t="str">
        <f t="shared" si="1303"/>
        <v>22/10/2025</v>
      </c>
      <c r="J7005" t="str">
        <f t="shared" si="1304"/>
        <v>16/10/2025</v>
      </c>
      <c r="K7005">
        <v>45953</v>
      </c>
      <c r="N7005">
        <v>303</v>
      </c>
      <c r="O7005" t="s">
        <v>69</v>
      </c>
      <c r="Q7005">
        <v>612.03</v>
      </c>
      <c r="R7005" t="str">
        <f>"AC FARMA - FLEMINFARMA 5 (10183)"</f>
        <v>AC FARMA - FLEMINFARMA 5 (10183)</v>
      </c>
      <c r="S7005" t="s">
        <v>70</v>
      </c>
      <c r="T7005">
        <v>20300</v>
      </c>
      <c r="U7005">
        <v>23848</v>
      </c>
      <c r="V7005" t="s">
        <v>22</v>
      </c>
    </row>
    <row r="7006" spans="1:22">
      <c r="A7006" t="str">
        <f t="shared" si="1298"/>
        <v>23/10/2025</v>
      </c>
      <c r="B7006" t="str">
        <f t="shared" si="1301"/>
        <v>ENTRADA</v>
      </c>
      <c r="C7006" t="str">
        <f t="shared" si="1302"/>
        <v>NFSE</v>
      </c>
      <c r="D7006" t="str">
        <f>"3509"</f>
        <v>3509</v>
      </c>
      <c r="E7006" t="str">
        <f t="shared" si="1299"/>
        <v>1</v>
      </c>
      <c r="F7006" t="str">
        <f t="shared" si="1300"/>
        <v>COM</v>
      </c>
      <c r="G7006" t="str">
        <f>"AC FARMA - FLEMINFARMA 5 (10183)"</f>
        <v>AC FARMA - FLEMINFARMA 5 (10183)</v>
      </c>
      <c r="H7006" t="s">
        <v>1919</v>
      </c>
      <c r="I7006" t="str">
        <f t="shared" si="1303"/>
        <v>22/10/2025</v>
      </c>
      <c r="J7006" t="str">
        <f t="shared" si="1304"/>
        <v>16/10/2025</v>
      </c>
      <c r="K7006">
        <v>45953</v>
      </c>
      <c r="N7006">
        <v>303</v>
      </c>
      <c r="O7006" t="s">
        <v>69</v>
      </c>
      <c r="Q7006">
        <v>22.92</v>
      </c>
      <c r="R7006" t="str">
        <f>"AC FARMA - FLEMINFARMA 6 (10184)"</f>
        <v>AC FARMA - FLEMINFARMA 6 (10184)</v>
      </c>
      <c r="S7006" t="s">
        <v>70</v>
      </c>
      <c r="T7006">
        <v>20300</v>
      </c>
      <c r="U7006">
        <v>23848</v>
      </c>
      <c r="V7006" t="s">
        <v>22</v>
      </c>
    </row>
    <row r="7007" spans="1:22">
      <c r="A7007" t="str">
        <f t="shared" si="1298"/>
        <v>23/10/2025</v>
      </c>
      <c r="B7007" t="str">
        <f t="shared" si="1301"/>
        <v>ENTRADA</v>
      </c>
      <c r="C7007" t="str">
        <f t="shared" si="1302"/>
        <v>NFSE</v>
      </c>
      <c r="D7007" t="str">
        <f>"3508"</f>
        <v>3508</v>
      </c>
      <c r="E7007" t="str">
        <f t="shared" si="1299"/>
        <v>1</v>
      </c>
      <c r="F7007" t="str">
        <f t="shared" si="1300"/>
        <v>COM</v>
      </c>
      <c r="G7007" t="str">
        <f>"AC FARMA - FLEMINFARMA (10160)"</f>
        <v>AC FARMA - FLEMINFARMA (10160)</v>
      </c>
      <c r="H7007" t="str">
        <f>"Serv.Prest. 06/10/2025 a 12/10/2025 - RPS: 1384 - NFSe: 3508"</f>
        <v>Serv.Prest. 06/10/2025 a 12/10/2025 - RPS: 1384 - NFSe: 3508</v>
      </c>
      <c r="I7007" t="str">
        <f t="shared" si="1303"/>
        <v>22/10/2025</v>
      </c>
      <c r="J7007" t="str">
        <f t="shared" si="1304"/>
        <v>16/10/2025</v>
      </c>
      <c r="K7007" t="str">
        <f>("23/10/2025")</f>
        <v>23/10/2025</v>
      </c>
      <c r="L7007">
        <v>1185.75</v>
      </c>
      <c r="M7007">
        <v>1185.75</v>
      </c>
      <c r="N7007">
        <v>303</v>
      </c>
      <c r="O7007" t="str">
        <f>"RECEITAS COM ENTREGAS"</f>
        <v>RECEITAS COM ENTREGAS</v>
      </c>
      <c r="P7007">
        <v>1185.75</v>
      </c>
      <c r="S7007" t="str">
        <f>"RECEITAS COM ENTREGAS (303)"</f>
        <v>RECEITAS COM ENTREGAS (303)</v>
      </c>
      <c r="T7007">
        <v>20301</v>
      </c>
      <c r="U7007">
        <v>23841</v>
      </c>
      <c r="V7007" t="s">
        <v>22</v>
      </c>
    </row>
    <row r="7008" spans="1:22">
      <c r="A7008" t="str">
        <f t="shared" si="1298"/>
        <v>23/10/2025</v>
      </c>
      <c r="B7008" t="str">
        <f t="shared" si="1301"/>
        <v>ENTRADA</v>
      </c>
      <c r="C7008" t="str">
        <f t="shared" si="1302"/>
        <v>NFSE</v>
      </c>
      <c r="D7008" t="str">
        <f>"3508"</f>
        <v>3508</v>
      </c>
      <c r="E7008" t="str">
        <f t="shared" si="1299"/>
        <v>1</v>
      </c>
      <c r="F7008" t="str">
        <f t="shared" si="1300"/>
        <v>COM</v>
      </c>
      <c r="G7008" t="str">
        <f>"AC FARMA - FLEMINFARMA (10160)"</f>
        <v>AC FARMA - FLEMINFARMA (10160)</v>
      </c>
      <c r="H7008" t="s">
        <v>1920</v>
      </c>
      <c r="I7008" t="str">
        <f t="shared" si="1303"/>
        <v>22/10/2025</v>
      </c>
      <c r="J7008" t="str">
        <f t="shared" si="1304"/>
        <v>16/10/2025</v>
      </c>
      <c r="K7008">
        <v>45953</v>
      </c>
      <c r="N7008">
        <v>303</v>
      </c>
      <c r="O7008" t="s">
        <v>69</v>
      </c>
      <c r="Q7008">
        <v>1139.8599999999999</v>
      </c>
      <c r="R7008" t="str">
        <f>"AC FARMA -  FLEMINFARMA (10159)"</f>
        <v>AC FARMA -  FLEMINFARMA (10159)</v>
      </c>
      <c r="S7008" t="s">
        <v>70</v>
      </c>
      <c r="T7008">
        <v>20301</v>
      </c>
      <c r="U7008">
        <v>23841</v>
      </c>
      <c r="V7008" t="s">
        <v>22</v>
      </c>
    </row>
    <row r="7009" spans="1:22">
      <c r="A7009" t="str">
        <f t="shared" si="1298"/>
        <v>23/10/2025</v>
      </c>
      <c r="B7009" t="str">
        <f t="shared" si="1301"/>
        <v>ENTRADA</v>
      </c>
      <c r="C7009" t="str">
        <f t="shared" si="1302"/>
        <v>NFSE</v>
      </c>
      <c r="D7009" t="str">
        <f>"3508"</f>
        <v>3508</v>
      </c>
      <c r="E7009" t="str">
        <f t="shared" si="1299"/>
        <v>1</v>
      </c>
      <c r="F7009" t="str">
        <f t="shared" si="1300"/>
        <v>COM</v>
      </c>
      <c r="G7009" t="str">
        <f>"AC FARMA - FLEMINFARMA (10160)"</f>
        <v>AC FARMA - FLEMINFARMA (10160)</v>
      </c>
      <c r="H7009" t="s">
        <v>1920</v>
      </c>
      <c r="I7009" t="str">
        <f t="shared" si="1303"/>
        <v>22/10/2025</v>
      </c>
      <c r="J7009" t="str">
        <f t="shared" si="1304"/>
        <v>16/10/2025</v>
      </c>
      <c r="K7009">
        <v>45953</v>
      </c>
      <c r="N7009">
        <v>303</v>
      </c>
      <c r="O7009" t="s">
        <v>69</v>
      </c>
      <c r="Q7009">
        <v>45.89</v>
      </c>
      <c r="R7009" t="str">
        <f>"AC FARMA - FLEMINFARMA (10160)"</f>
        <v>AC FARMA - FLEMINFARMA (10160)</v>
      </c>
      <c r="S7009" t="s">
        <v>70</v>
      </c>
      <c r="T7009">
        <v>20301</v>
      </c>
      <c r="U7009">
        <v>23841</v>
      </c>
      <c r="V7009" t="s">
        <v>22</v>
      </c>
    </row>
    <row r="7010" spans="1:22">
      <c r="A7010" t="str">
        <f t="shared" si="1298"/>
        <v>23/10/2025</v>
      </c>
      <c r="B7010" t="str">
        <f t="shared" si="1301"/>
        <v>ENTRADA</v>
      </c>
      <c r="C7010" t="str">
        <f t="shared" si="1302"/>
        <v>NFSE</v>
      </c>
      <c r="D7010" t="str">
        <f>"3507"</f>
        <v>3507</v>
      </c>
      <c r="E7010" t="str">
        <f t="shared" si="1299"/>
        <v>1</v>
      </c>
      <c r="F7010" t="str">
        <f t="shared" si="1300"/>
        <v>COM</v>
      </c>
      <c r="G7010" t="str">
        <f>"AC FARMA - CID.ALTA (10166)"</f>
        <v>AC FARMA - CID.ALTA (10166)</v>
      </c>
      <c r="H7010" t="str">
        <f>"Serv.Prest. 06/10/2025 a 12/10/2025 - RPS: 1383 - NFSe: 3507"</f>
        <v>Serv.Prest. 06/10/2025 a 12/10/2025 - RPS: 1383 - NFSe: 3507</v>
      </c>
      <c r="I7010" t="str">
        <f t="shared" si="1303"/>
        <v>22/10/2025</v>
      </c>
      <c r="J7010" t="str">
        <f t="shared" si="1304"/>
        <v>16/10/2025</v>
      </c>
      <c r="K7010" t="str">
        <f>("23/10/2025")</f>
        <v>23/10/2025</v>
      </c>
      <c r="L7010">
        <v>5397.84</v>
      </c>
      <c r="M7010">
        <v>5397.84</v>
      </c>
      <c r="N7010">
        <v>303</v>
      </c>
      <c r="O7010" t="str">
        <f>"RECEITAS COM ENTREGAS"</f>
        <v>RECEITAS COM ENTREGAS</v>
      </c>
      <c r="P7010">
        <v>5397.84</v>
      </c>
      <c r="S7010" t="str">
        <f>"RECEITAS COM ENTREGAS (303)"</f>
        <v>RECEITAS COM ENTREGAS (303)</v>
      </c>
      <c r="T7010">
        <v>20302</v>
      </c>
      <c r="U7010">
        <v>23833</v>
      </c>
      <c r="V7010" t="s">
        <v>22</v>
      </c>
    </row>
    <row r="7011" spans="1:22">
      <c r="A7011" t="str">
        <f t="shared" si="1298"/>
        <v>23/10/2025</v>
      </c>
      <c r="B7011" t="str">
        <f t="shared" si="1301"/>
        <v>ENTRADA</v>
      </c>
      <c r="C7011" t="str">
        <f t="shared" si="1302"/>
        <v>NFSE</v>
      </c>
      <c r="D7011" t="str">
        <f>"3507"</f>
        <v>3507</v>
      </c>
      <c r="E7011" t="str">
        <f t="shared" si="1299"/>
        <v>1</v>
      </c>
      <c r="F7011" t="str">
        <f t="shared" si="1300"/>
        <v>COM</v>
      </c>
      <c r="G7011" t="str">
        <f>"AC FARMA - CID.ALTA (10166)"</f>
        <v>AC FARMA - CID.ALTA (10166)</v>
      </c>
      <c r="H7011" t="s">
        <v>1921</v>
      </c>
      <c r="I7011" t="str">
        <f t="shared" si="1303"/>
        <v>22/10/2025</v>
      </c>
      <c r="J7011" t="str">
        <f t="shared" si="1304"/>
        <v>16/10/2025</v>
      </c>
      <c r="K7011">
        <v>45953</v>
      </c>
      <c r="N7011">
        <v>303</v>
      </c>
      <c r="O7011" t="s">
        <v>69</v>
      </c>
      <c r="Q7011">
        <v>5397.84</v>
      </c>
      <c r="R7011" t="str">
        <f>"AC FARMA - CID.ALTA (10166)"</f>
        <v>AC FARMA - CID.ALTA (10166)</v>
      </c>
      <c r="S7011" t="s">
        <v>70</v>
      </c>
      <c r="T7011">
        <v>20302</v>
      </c>
      <c r="U7011">
        <v>23833</v>
      </c>
      <c r="V7011" t="s">
        <v>22</v>
      </c>
    </row>
    <row r="7012" spans="1:22">
      <c r="A7012" t="str">
        <f t="shared" si="1298"/>
        <v>23/10/2025</v>
      </c>
      <c r="B7012" t="str">
        <f t="shared" si="1301"/>
        <v>ENTRADA</v>
      </c>
      <c r="C7012" t="str">
        <f t="shared" si="1302"/>
        <v>NFSE</v>
      </c>
      <c r="D7012" t="str">
        <f>"3528"</f>
        <v>3528</v>
      </c>
      <c r="E7012" t="str">
        <f t="shared" si="1299"/>
        <v>1</v>
      </c>
      <c r="F7012" t="str">
        <f t="shared" si="1300"/>
        <v>COM</v>
      </c>
      <c r="G7012" t="str">
        <f>"BRASIL FARMA (10173)"</f>
        <v>BRASIL FARMA (10173)</v>
      </c>
      <c r="H7012" t="str">
        <f>"Serv.Prest. 13/10/2025 a 19/10/2025 - RPS: 1404 - NFSe: 3528"</f>
        <v>Serv.Prest. 13/10/2025 a 19/10/2025 - RPS: 1404 - NFSe: 3528</v>
      </c>
      <c r="I7012" t="str">
        <f t="shared" si="1303"/>
        <v>22/10/2025</v>
      </c>
      <c r="J7012" t="str">
        <f t="shared" ref="J7012:J7033" si="1305">("21/10/2025")</f>
        <v>21/10/2025</v>
      </c>
      <c r="K7012" t="str">
        <f>("23/10/2025")</f>
        <v>23/10/2025</v>
      </c>
      <c r="L7012">
        <v>1685.04</v>
      </c>
      <c r="M7012">
        <v>1685.04</v>
      </c>
      <c r="N7012">
        <v>303</v>
      </c>
      <c r="O7012" t="str">
        <f>"RECEITAS COM ENTREGAS"</f>
        <v>RECEITAS COM ENTREGAS</v>
      </c>
      <c r="P7012">
        <v>1685.04</v>
      </c>
      <c r="S7012" t="str">
        <f>"RECEITAS COM ENTREGAS (303)"</f>
        <v>RECEITAS COM ENTREGAS (303)</v>
      </c>
      <c r="T7012">
        <v>20303</v>
      </c>
      <c r="U7012">
        <v>23911</v>
      </c>
      <c r="V7012" t="s">
        <v>22</v>
      </c>
    </row>
    <row r="7013" spans="1:22">
      <c r="A7013" t="str">
        <f t="shared" si="1298"/>
        <v>23/10/2025</v>
      </c>
      <c r="B7013" t="str">
        <f t="shared" si="1301"/>
        <v>ENTRADA</v>
      </c>
      <c r="C7013" t="str">
        <f t="shared" si="1302"/>
        <v>NFSE</v>
      </c>
      <c r="D7013" t="str">
        <f>"3528"</f>
        <v>3528</v>
      </c>
      <c r="E7013" t="str">
        <f t="shared" si="1299"/>
        <v>1</v>
      </c>
      <c r="F7013" t="str">
        <f t="shared" si="1300"/>
        <v>COM</v>
      </c>
      <c r="G7013" t="str">
        <f>"BRASIL FARMA (10173)"</f>
        <v>BRASIL FARMA (10173)</v>
      </c>
      <c r="H7013" t="s">
        <v>1922</v>
      </c>
      <c r="I7013" t="str">
        <f t="shared" si="1303"/>
        <v>22/10/2025</v>
      </c>
      <c r="J7013" t="str">
        <f t="shared" si="1305"/>
        <v>21/10/2025</v>
      </c>
      <c r="K7013">
        <v>45953</v>
      </c>
      <c r="N7013">
        <v>303</v>
      </c>
      <c r="O7013" t="s">
        <v>69</v>
      </c>
      <c r="Q7013">
        <v>1685.04</v>
      </c>
      <c r="R7013" t="str">
        <f>"BRASIL FARMA (10173)"</f>
        <v>BRASIL FARMA (10173)</v>
      </c>
      <c r="S7013" t="s">
        <v>70</v>
      </c>
      <c r="T7013">
        <v>20303</v>
      </c>
      <c r="U7013">
        <v>23911</v>
      </c>
      <c r="V7013" t="s">
        <v>22</v>
      </c>
    </row>
    <row r="7014" spans="1:22">
      <c r="A7014" t="str">
        <f t="shared" si="1298"/>
        <v>23/10/2025</v>
      </c>
      <c r="B7014" t="str">
        <f t="shared" si="1301"/>
        <v>ENTRADA</v>
      </c>
      <c r="C7014" t="str">
        <f t="shared" si="1302"/>
        <v>NFSE</v>
      </c>
      <c r="D7014" t="str">
        <f>"3533"</f>
        <v>3533</v>
      </c>
      <c r="E7014" t="str">
        <f t="shared" si="1299"/>
        <v>1</v>
      </c>
      <c r="F7014" t="str">
        <f t="shared" si="1300"/>
        <v>COM</v>
      </c>
      <c r="G7014" t="str">
        <f>"DROGARIA MEDIC CENTER LTDA (10172)"</f>
        <v>DROGARIA MEDIC CENTER LTDA (10172)</v>
      </c>
      <c r="H7014" t="str">
        <f>"Serv.Prest. 13/10/2025 a 19/10/2025 - RPS: 1409 - NFSe: 3533"</f>
        <v>Serv.Prest. 13/10/2025 a 19/10/2025 - RPS: 1409 - NFSe: 3533</v>
      </c>
      <c r="I7014" t="str">
        <f t="shared" si="1303"/>
        <v>22/10/2025</v>
      </c>
      <c r="J7014" t="str">
        <f t="shared" si="1305"/>
        <v>21/10/2025</v>
      </c>
      <c r="K7014" t="str">
        <f>("23/10/2025")</f>
        <v>23/10/2025</v>
      </c>
      <c r="L7014">
        <v>1061.0999999999999</v>
      </c>
      <c r="M7014">
        <v>1061.0999999999999</v>
      </c>
      <c r="N7014">
        <v>303</v>
      </c>
      <c r="O7014" t="str">
        <f>"RECEITAS COM ENTREGAS"</f>
        <v>RECEITAS COM ENTREGAS</v>
      </c>
      <c r="P7014">
        <v>1061.0999999999999</v>
      </c>
      <c r="S7014" t="str">
        <f>"RECEITAS COM ENTREGAS (303)"</f>
        <v>RECEITAS COM ENTREGAS (303)</v>
      </c>
      <c r="T7014">
        <v>20304</v>
      </c>
      <c r="U7014">
        <v>23927</v>
      </c>
      <c r="V7014" t="s">
        <v>22</v>
      </c>
    </row>
    <row r="7015" spans="1:22">
      <c r="A7015" t="str">
        <f t="shared" si="1298"/>
        <v>23/10/2025</v>
      </c>
      <c r="B7015" t="str">
        <f t="shared" si="1301"/>
        <v>ENTRADA</v>
      </c>
      <c r="C7015" t="str">
        <f t="shared" si="1302"/>
        <v>NFSE</v>
      </c>
      <c r="D7015" t="str">
        <f>"3533"</f>
        <v>3533</v>
      </c>
      <c r="E7015" t="str">
        <f t="shared" si="1299"/>
        <v>1</v>
      </c>
      <c r="F7015" t="str">
        <f t="shared" si="1300"/>
        <v>COM</v>
      </c>
      <c r="G7015" t="str">
        <f>"DROGARIA MEDIC CENTER LTDA (10172)"</f>
        <v>DROGARIA MEDIC CENTER LTDA (10172)</v>
      </c>
      <c r="H7015" t="s">
        <v>1923</v>
      </c>
      <c r="I7015" t="str">
        <f t="shared" si="1303"/>
        <v>22/10/2025</v>
      </c>
      <c r="J7015" t="str">
        <f t="shared" si="1305"/>
        <v>21/10/2025</v>
      </c>
      <c r="K7015">
        <v>45953</v>
      </c>
      <c r="N7015">
        <v>303</v>
      </c>
      <c r="O7015" t="s">
        <v>69</v>
      </c>
      <c r="Q7015">
        <v>1061.0999999999999</v>
      </c>
      <c r="R7015" t="str">
        <f>"DROGARIA MEDIC CENTER LTDA (10172)"</f>
        <v>DROGARIA MEDIC CENTER LTDA (10172)</v>
      </c>
      <c r="S7015" t="s">
        <v>70</v>
      </c>
      <c r="T7015">
        <v>20304</v>
      </c>
      <c r="U7015">
        <v>23927</v>
      </c>
      <c r="V7015" t="s">
        <v>22</v>
      </c>
    </row>
    <row r="7016" spans="1:22">
      <c r="A7016" t="str">
        <f t="shared" si="1298"/>
        <v>23/10/2025</v>
      </c>
      <c r="B7016" t="str">
        <f t="shared" si="1301"/>
        <v>ENTRADA</v>
      </c>
      <c r="C7016" t="str">
        <f t="shared" si="1302"/>
        <v>NFSE</v>
      </c>
      <c r="D7016" t="str">
        <f>"3534"</f>
        <v>3534</v>
      </c>
      <c r="E7016" t="str">
        <f t="shared" si="1299"/>
        <v>1</v>
      </c>
      <c r="F7016" t="str">
        <f t="shared" si="1300"/>
        <v>COM</v>
      </c>
      <c r="G7016" t="str">
        <f>"DROGARIA MORENO LTDA (10171)"</f>
        <v>DROGARIA MORENO LTDA (10171)</v>
      </c>
      <c r="H7016" t="str">
        <f>"Serv.Prest. 13/10/2025 a 19/10/2025 - RPS: 1410 - NFSe: 3534"</f>
        <v>Serv.Prest. 13/10/2025 a 19/10/2025 - RPS: 1410 - NFSe: 3534</v>
      </c>
      <c r="I7016" t="str">
        <f t="shared" si="1303"/>
        <v>22/10/2025</v>
      </c>
      <c r="J7016" t="str">
        <f t="shared" si="1305"/>
        <v>21/10/2025</v>
      </c>
      <c r="K7016" t="str">
        <f>("23/10/2025")</f>
        <v>23/10/2025</v>
      </c>
      <c r="L7016">
        <v>3483</v>
      </c>
      <c r="M7016">
        <v>3483</v>
      </c>
      <c r="N7016">
        <v>303</v>
      </c>
      <c r="O7016" t="str">
        <f>"RECEITAS COM ENTREGAS"</f>
        <v>RECEITAS COM ENTREGAS</v>
      </c>
      <c r="P7016">
        <v>3483</v>
      </c>
      <c r="S7016" t="str">
        <f>"RECEITAS COM ENTREGAS (303)"</f>
        <v>RECEITAS COM ENTREGAS (303)</v>
      </c>
      <c r="T7016">
        <v>20305</v>
      </c>
      <c r="U7016">
        <v>23930</v>
      </c>
      <c r="V7016" t="s">
        <v>22</v>
      </c>
    </row>
    <row r="7017" spans="1:22">
      <c r="A7017" t="str">
        <f t="shared" si="1298"/>
        <v>23/10/2025</v>
      </c>
      <c r="B7017" t="str">
        <f t="shared" si="1301"/>
        <v>ENTRADA</v>
      </c>
      <c r="C7017" t="str">
        <f t="shared" si="1302"/>
        <v>NFSE</v>
      </c>
      <c r="D7017" t="str">
        <f>"3534"</f>
        <v>3534</v>
      </c>
      <c r="E7017" t="str">
        <f t="shared" si="1299"/>
        <v>1</v>
      </c>
      <c r="F7017" t="str">
        <f t="shared" si="1300"/>
        <v>COM</v>
      </c>
      <c r="G7017" t="str">
        <f>"DROGARIA MORENO LTDA (10171)"</f>
        <v>DROGARIA MORENO LTDA (10171)</v>
      </c>
      <c r="H7017" t="s">
        <v>1924</v>
      </c>
      <c r="I7017" t="str">
        <f t="shared" si="1303"/>
        <v>22/10/2025</v>
      </c>
      <c r="J7017" t="str">
        <f t="shared" si="1305"/>
        <v>21/10/2025</v>
      </c>
      <c r="K7017">
        <v>45953</v>
      </c>
      <c r="N7017">
        <v>303</v>
      </c>
      <c r="O7017" t="s">
        <v>69</v>
      </c>
      <c r="Q7017">
        <v>3483</v>
      </c>
      <c r="R7017" t="str">
        <f>"DROGARIA MORENO LTDA (10171)"</f>
        <v>DROGARIA MORENO LTDA (10171)</v>
      </c>
      <c r="S7017" t="s">
        <v>70</v>
      </c>
      <c r="T7017">
        <v>20305</v>
      </c>
      <c r="U7017">
        <v>23930</v>
      </c>
      <c r="V7017" t="s">
        <v>22</v>
      </c>
    </row>
    <row r="7018" spans="1:22">
      <c r="A7018" t="str">
        <f t="shared" si="1298"/>
        <v>23/10/2025</v>
      </c>
      <c r="B7018" t="str">
        <f t="shared" si="1301"/>
        <v>ENTRADA</v>
      </c>
      <c r="C7018" t="str">
        <f t="shared" si="1302"/>
        <v>NFSE</v>
      </c>
      <c r="D7018" t="str">
        <f>"3535"</f>
        <v>3535</v>
      </c>
      <c r="E7018" t="str">
        <f t="shared" si="1299"/>
        <v>1</v>
      </c>
      <c r="F7018" t="str">
        <f t="shared" si="1300"/>
        <v>COM</v>
      </c>
      <c r="G7018" t="str">
        <f>"DROGARIA TOTAL JUNDIAI (10177)"</f>
        <v>DROGARIA TOTAL JUNDIAI (10177)</v>
      </c>
      <c r="H7018" t="str">
        <f>"Serv.Prest. 13/10/2025 a 19/10/2025 - RPS: 1411 - NFSe: 3535"</f>
        <v>Serv.Prest. 13/10/2025 a 19/10/2025 - RPS: 1411 - NFSe: 3535</v>
      </c>
      <c r="I7018" t="str">
        <f t="shared" si="1303"/>
        <v>22/10/2025</v>
      </c>
      <c r="J7018" t="str">
        <f t="shared" si="1305"/>
        <v>21/10/2025</v>
      </c>
      <c r="K7018" t="str">
        <f>("23/10/2025")</f>
        <v>23/10/2025</v>
      </c>
      <c r="L7018">
        <v>902.42</v>
      </c>
      <c r="M7018">
        <v>902.42</v>
      </c>
      <c r="N7018">
        <v>303</v>
      </c>
      <c r="O7018" t="str">
        <f>"RECEITAS COM ENTREGAS"</f>
        <v>RECEITAS COM ENTREGAS</v>
      </c>
      <c r="P7018">
        <v>902.42</v>
      </c>
      <c r="S7018" t="str">
        <f>"RECEITAS COM ENTREGAS (303)"</f>
        <v>RECEITAS COM ENTREGAS (303)</v>
      </c>
      <c r="T7018">
        <v>20306</v>
      </c>
      <c r="U7018">
        <v>23934</v>
      </c>
      <c r="V7018" t="s">
        <v>22</v>
      </c>
    </row>
    <row r="7019" spans="1:22">
      <c r="A7019" t="str">
        <f t="shared" si="1298"/>
        <v>23/10/2025</v>
      </c>
      <c r="B7019" t="str">
        <f t="shared" si="1301"/>
        <v>ENTRADA</v>
      </c>
      <c r="C7019" t="str">
        <f t="shared" si="1302"/>
        <v>NFSE</v>
      </c>
      <c r="D7019" t="str">
        <f>"3535"</f>
        <v>3535</v>
      </c>
      <c r="E7019" t="str">
        <f t="shared" si="1299"/>
        <v>1</v>
      </c>
      <c r="F7019" t="str">
        <f t="shared" si="1300"/>
        <v>COM</v>
      </c>
      <c r="G7019" t="str">
        <f>"DROGARIA TOTAL JUNDIAI (10177)"</f>
        <v>DROGARIA TOTAL JUNDIAI (10177)</v>
      </c>
      <c r="H7019" t="s">
        <v>1925</v>
      </c>
      <c r="I7019" t="str">
        <f t="shared" si="1303"/>
        <v>22/10/2025</v>
      </c>
      <c r="J7019" t="str">
        <f t="shared" si="1305"/>
        <v>21/10/2025</v>
      </c>
      <c r="K7019">
        <v>45953</v>
      </c>
      <c r="N7019">
        <v>303</v>
      </c>
      <c r="O7019" t="s">
        <v>69</v>
      </c>
      <c r="Q7019">
        <v>902.42</v>
      </c>
      <c r="R7019" t="str">
        <f>"DROGARIA TOTAL JUNDIAI (10177)"</f>
        <v>DROGARIA TOTAL JUNDIAI (10177)</v>
      </c>
      <c r="S7019" t="s">
        <v>70</v>
      </c>
      <c r="T7019">
        <v>20306</v>
      </c>
      <c r="U7019">
        <v>23934</v>
      </c>
      <c r="V7019" t="s">
        <v>22</v>
      </c>
    </row>
    <row r="7020" spans="1:22">
      <c r="A7020" t="str">
        <f t="shared" si="1298"/>
        <v>23/10/2025</v>
      </c>
      <c r="B7020" t="str">
        <f t="shared" si="1301"/>
        <v>ENTRADA</v>
      </c>
      <c r="C7020" t="str">
        <f t="shared" si="1302"/>
        <v>NFSE</v>
      </c>
      <c r="D7020" t="str">
        <f>"3538"</f>
        <v>3538</v>
      </c>
      <c r="E7020" t="str">
        <f t="shared" si="1299"/>
        <v>1</v>
      </c>
      <c r="F7020" t="str">
        <f t="shared" si="1300"/>
        <v>COM</v>
      </c>
      <c r="G7020" t="str">
        <f>"DROGA ELIDA (10121)"</f>
        <v>DROGA ELIDA (10121)</v>
      </c>
      <c r="H7020" t="str">
        <f>"Serv.Prest. 13/10/2025 a 19/10/2025 - RPS: 1414 - NFSe: 3538"</f>
        <v>Serv.Prest. 13/10/2025 a 19/10/2025 - RPS: 1414 - NFSe: 3538</v>
      </c>
      <c r="I7020" t="str">
        <f t="shared" si="1303"/>
        <v>22/10/2025</v>
      </c>
      <c r="J7020" t="str">
        <f t="shared" si="1305"/>
        <v>21/10/2025</v>
      </c>
      <c r="K7020" t="str">
        <f>("23/10/2025")</f>
        <v>23/10/2025</v>
      </c>
      <c r="L7020">
        <v>1839.6</v>
      </c>
      <c r="M7020">
        <v>1839.6</v>
      </c>
      <c r="N7020">
        <v>303</v>
      </c>
      <c r="O7020" t="str">
        <f>"RECEITAS COM ENTREGAS"</f>
        <v>RECEITAS COM ENTREGAS</v>
      </c>
      <c r="P7020">
        <v>1839.6</v>
      </c>
      <c r="S7020" t="str">
        <f>"RECEITAS COM ENTREGAS (303)"</f>
        <v>RECEITAS COM ENTREGAS (303)</v>
      </c>
      <c r="T7020">
        <v>20307</v>
      </c>
      <c r="U7020">
        <v>23946</v>
      </c>
      <c r="V7020" t="s">
        <v>22</v>
      </c>
    </row>
    <row r="7021" spans="1:22">
      <c r="A7021" t="str">
        <f t="shared" si="1298"/>
        <v>23/10/2025</v>
      </c>
      <c r="B7021" t="str">
        <f t="shared" si="1301"/>
        <v>ENTRADA</v>
      </c>
      <c r="C7021" t="str">
        <f t="shared" si="1302"/>
        <v>NFSE</v>
      </c>
      <c r="D7021" t="str">
        <f>"3538"</f>
        <v>3538</v>
      </c>
      <c r="E7021" t="str">
        <f t="shared" si="1299"/>
        <v>1</v>
      </c>
      <c r="F7021" t="str">
        <f t="shared" si="1300"/>
        <v>COM</v>
      </c>
      <c r="G7021" t="str">
        <f>"DROGA ELIDA (10121)"</f>
        <v>DROGA ELIDA (10121)</v>
      </c>
      <c r="H7021" t="s">
        <v>1926</v>
      </c>
      <c r="I7021" t="str">
        <f t="shared" si="1303"/>
        <v>22/10/2025</v>
      </c>
      <c r="J7021" t="str">
        <f t="shared" si="1305"/>
        <v>21/10/2025</v>
      </c>
      <c r="K7021">
        <v>45953</v>
      </c>
      <c r="N7021">
        <v>303</v>
      </c>
      <c r="O7021" t="s">
        <v>69</v>
      </c>
      <c r="Q7021">
        <v>1839.6</v>
      </c>
      <c r="R7021" t="str">
        <f>"DROGA ELIDA (10121)"</f>
        <v>DROGA ELIDA (10121)</v>
      </c>
      <c r="S7021" t="s">
        <v>70</v>
      </c>
      <c r="T7021">
        <v>20307</v>
      </c>
      <c r="U7021">
        <v>23946</v>
      </c>
      <c r="V7021" t="s">
        <v>22</v>
      </c>
    </row>
    <row r="7022" spans="1:22">
      <c r="A7022" t="str">
        <f t="shared" si="1298"/>
        <v>23/10/2025</v>
      </c>
      <c r="B7022" t="str">
        <f t="shared" si="1301"/>
        <v>ENTRADA</v>
      </c>
      <c r="C7022" t="str">
        <f t="shared" si="1302"/>
        <v>NFSE</v>
      </c>
      <c r="D7022" t="str">
        <f>"3541"</f>
        <v>3541</v>
      </c>
      <c r="E7022" t="str">
        <f t="shared" si="1299"/>
        <v>1</v>
      </c>
      <c r="F7022" t="str">
        <f t="shared" si="1300"/>
        <v>COM</v>
      </c>
      <c r="G7022" t="str">
        <f>"FARMACIA ECONOMIZE (10103)"</f>
        <v>FARMACIA ECONOMIZE (10103)</v>
      </c>
      <c r="H7022" t="str">
        <f>"Serv.Prest. 13/10/2025 a 19/10/2025 - RPS: 1417 - NFSe: 3541"</f>
        <v>Serv.Prest. 13/10/2025 a 19/10/2025 - RPS: 1417 - NFSe: 3541</v>
      </c>
      <c r="I7022" t="str">
        <f t="shared" si="1303"/>
        <v>22/10/2025</v>
      </c>
      <c r="J7022" t="str">
        <f t="shared" si="1305"/>
        <v>21/10/2025</v>
      </c>
      <c r="K7022" t="str">
        <f>("23/10/2025")</f>
        <v>23/10/2025</v>
      </c>
      <c r="L7022">
        <v>2368.08</v>
      </c>
      <c r="M7022">
        <v>2368.08</v>
      </c>
      <c r="N7022">
        <v>303</v>
      </c>
      <c r="O7022" t="str">
        <f>"RECEITAS COM ENTREGAS"</f>
        <v>RECEITAS COM ENTREGAS</v>
      </c>
      <c r="P7022">
        <v>2368.08</v>
      </c>
      <c r="S7022" t="str">
        <f>"RECEITAS COM ENTREGAS (303)"</f>
        <v>RECEITAS COM ENTREGAS (303)</v>
      </c>
      <c r="T7022">
        <v>20308</v>
      </c>
      <c r="U7022">
        <v>23954</v>
      </c>
      <c r="V7022" t="s">
        <v>22</v>
      </c>
    </row>
    <row r="7023" spans="1:22">
      <c r="A7023" t="str">
        <f t="shared" si="1298"/>
        <v>23/10/2025</v>
      </c>
      <c r="B7023" t="str">
        <f t="shared" si="1301"/>
        <v>ENTRADA</v>
      </c>
      <c r="C7023" t="str">
        <f t="shared" si="1302"/>
        <v>NFSE</v>
      </c>
      <c r="D7023" t="str">
        <f>"3541"</f>
        <v>3541</v>
      </c>
      <c r="E7023" t="str">
        <f t="shared" si="1299"/>
        <v>1</v>
      </c>
      <c r="F7023" t="str">
        <f t="shared" si="1300"/>
        <v>COM</v>
      </c>
      <c r="G7023" t="str">
        <f>"FARMACIA ECONOMIZE (10103)"</f>
        <v>FARMACIA ECONOMIZE (10103)</v>
      </c>
      <c r="H7023" t="s">
        <v>1927</v>
      </c>
      <c r="I7023" t="str">
        <f t="shared" si="1303"/>
        <v>22/10/2025</v>
      </c>
      <c r="J7023" t="str">
        <f t="shared" si="1305"/>
        <v>21/10/2025</v>
      </c>
      <c r="K7023">
        <v>45953</v>
      </c>
      <c r="N7023">
        <v>303</v>
      </c>
      <c r="O7023" t="s">
        <v>69</v>
      </c>
      <c r="Q7023">
        <v>2368.08</v>
      </c>
      <c r="R7023" t="str">
        <f>"FARMACIA ECONOMIZE (10103)"</f>
        <v>FARMACIA ECONOMIZE (10103)</v>
      </c>
      <c r="S7023" t="s">
        <v>70</v>
      </c>
      <c r="T7023">
        <v>20308</v>
      </c>
      <c r="U7023">
        <v>23954</v>
      </c>
      <c r="V7023" t="s">
        <v>22</v>
      </c>
    </row>
    <row r="7024" spans="1:22">
      <c r="A7024" t="str">
        <f t="shared" si="1298"/>
        <v>23/10/2025</v>
      </c>
      <c r="B7024" t="str">
        <f t="shared" si="1301"/>
        <v>ENTRADA</v>
      </c>
      <c r="C7024" t="str">
        <f t="shared" si="1302"/>
        <v>NFSE</v>
      </c>
      <c r="D7024" t="str">
        <f>"3542"</f>
        <v>3542</v>
      </c>
      <c r="E7024" t="str">
        <f t="shared" si="1299"/>
        <v>1</v>
      </c>
      <c r="F7024" t="str">
        <f t="shared" si="1300"/>
        <v>COM</v>
      </c>
      <c r="G7024" t="str">
        <f>"JAL FARMACIA E DROGARIA LJ 1 (10137)"</f>
        <v>JAL FARMACIA E DROGARIA LJ 1 (10137)</v>
      </c>
      <c r="H7024" t="str">
        <f>"Serv.Prest. 13/10/2025 a 19/10/2025 - RPS: 1418 - NFSe: 3542"</f>
        <v>Serv.Prest. 13/10/2025 a 19/10/2025 - RPS: 1418 - NFSe: 3542</v>
      </c>
      <c r="I7024" t="str">
        <f t="shared" si="1303"/>
        <v>22/10/2025</v>
      </c>
      <c r="J7024" t="str">
        <f t="shared" si="1305"/>
        <v>21/10/2025</v>
      </c>
      <c r="K7024" t="str">
        <f>("23/10/2025")</f>
        <v>23/10/2025</v>
      </c>
      <c r="L7024">
        <v>2184</v>
      </c>
      <c r="M7024">
        <v>2184</v>
      </c>
      <c r="N7024">
        <v>303</v>
      </c>
      <c r="O7024" t="str">
        <f>"RECEITAS COM ENTREGAS"</f>
        <v>RECEITAS COM ENTREGAS</v>
      </c>
      <c r="P7024">
        <v>2184</v>
      </c>
      <c r="S7024" t="str">
        <f>"RECEITAS COM ENTREGAS (303)"</f>
        <v>RECEITAS COM ENTREGAS (303)</v>
      </c>
      <c r="T7024">
        <v>20309</v>
      </c>
      <c r="U7024">
        <v>23956</v>
      </c>
      <c r="V7024" t="s">
        <v>22</v>
      </c>
    </row>
    <row r="7025" spans="1:22">
      <c r="A7025" t="str">
        <f t="shared" si="1298"/>
        <v>23/10/2025</v>
      </c>
      <c r="B7025" t="str">
        <f t="shared" si="1301"/>
        <v>ENTRADA</v>
      </c>
      <c r="C7025" t="str">
        <f t="shared" si="1302"/>
        <v>NFSE</v>
      </c>
      <c r="D7025" t="str">
        <f>"3542"</f>
        <v>3542</v>
      </c>
      <c r="E7025" t="str">
        <f t="shared" si="1299"/>
        <v>1</v>
      </c>
      <c r="F7025" t="str">
        <f t="shared" si="1300"/>
        <v>COM</v>
      </c>
      <c r="G7025" t="str">
        <f>"JAL FARMACIA E DROGARIA LJ 1 (10137)"</f>
        <v>JAL FARMACIA E DROGARIA LJ 1 (10137)</v>
      </c>
      <c r="H7025" t="s">
        <v>1928</v>
      </c>
      <c r="I7025" t="str">
        <f t="shared" si="1303"/>
        <v>22/10/2025</v>
      </c>
      <c r="J7025" t="str">
        <f t="shared" si="1305"/>
        <v>21/10/2025</v>
      </c>
      <c r="K7025">
        <v>45953</v>
      </c>
      <c r="N7025">
        <v>303</v>
      </c>
      <c r="O7025" t="s">
        <v>69</v>
      </c>
      <c r="Q7025">
        <v>2184</v>
      </c>
      <c r="R7025" t="str">
        <f>"JAL FARMACIA E DROGARIA LJ 1 (10137)"</f>
        <v>JAL FARMACIA E DROGARIA LJ 1 (10137)</v>
      </c>
      <c r="S7025" t="s">
        <v>70</v>
      </c>
      <c r="T7025">
        <v>20309</v>
      </c>
      <c r="U7025">
        <v>23956</v>
      </c>
      <c r="V7025" t="s">
        <v>22</v>
      </c>
    </row>
    <row r="7026" spans="1:22">
      <c r="A7026" t="str">
        <f t="shared" si="1298"/>
        <v>23/10/2025</v>
      </c>
      <c r="B7026" t="str">
        <f t="shared" si="1301"/>
        <v>ENTRADA</v>
      </c>
      <c r="C7026" t="str">
        <f t="shared" si="1302"/>
        <v>NFSE</v>
      </c>
      <c r="D7026" t="str">
        <f>"3544"</f>
        <v>3544</v>
      </c>
      <c r="E7026" t="str">
        <f t="shared" si="1299"/>
        <v>1</v>
      </c>
      <c r="F7026" t="str">
        <f t="shared" si="1300"/>
        <v>COM</v>
      </c>
      <c r="G7026" t="str">
        <f>"LBL FARMACIA LTDA FILIAL (10192)"</f>
        <v>LBL FARMACIA LTDA FILIAL (10192)</v>
      </c>
      <c r="H7026" t="str">
        <f>"Serv.Prest. 13/10/2025 a 19/10/2025 - RPS: 1420 - NFSe: 3544"</f>
        <v>Serv.Prest. 13/10/2025 a 19/10/2025 - RPS: 1420 - NFSe: 3544</v>
      </c>
      <c r="I7026" t="str">
        <f t="shared" si="1303"/>
        <v>22/10/2025</v>
      </c>
      <c r="J7026" t="str">
        <f t="shared" si="1305"/>
        <v>21/10/2025</v>
      </c>
      <c r="K7026" t="str">
        <f>("23/10/2025")</f>
        <v>23/10/2025</v>
      </c>
      <c r="L7026">
        <v>1267.3499999999999</v>
      </c>
      <c r="M7026">
        <v>1267.3499999999999</v>
      </c>
      <c r="N7026">
        <v>303</v>
      </c>
      <c r="O7026" t="str">
        <f>"RECEITAS COM ENTREGAS"</f>
        <v>RECEITAS COM ENTREGAS</v>
      </c>
      <c r="P7026">
        <v>1267.3499999999999</v>
      </c>
      <c r="S7026" t="str">
        <f>"RECEITAS COM ENTREGAS (303)"</f>
        <v>RECEITAS COM ENTREGAS (303)</v>
      </c>
      <c r="T7026">
        <v>20310</v>
      </c>
      <c r="U7026">
        <v>23964</v>
      </c>
      <c r="V7026" t="s">
        <v>22</v>
      </c>
    </row>
    <row r="7027" spans="1:22">
      <c r="A7027" t="str">
        <f t="shared" si="1298"/>
        <v>23/10/2025</v>
      </c>
      <c r="B7027" t="str">
        <f t="shared" si="1301"/>
        <v>ENTRADA</v>
      </c>
      <c r="C7027" t="str">
        <f t="shared" si="1302"/>
        <v>NFSE</v>
      </c>
      <c r="D7027" t="str">
        <f>"3544"</f>
        <v>3544</v>
      </c>
      <c r="E7027" t="str">
        <f t="shared" si="1299"/>
        <v>1</v>
      </c>
      <c r="F7027" t="str">
        <f t="shared" si="1300"/>
        <v>COM</v>
      </c>
      <c r="G7027" t="str">
        <f>"LBL FARMACIA LTDA FILIAL (10192)"</f>
        <v>LBL FARMACIA LTDA FILIAL (10192)</v>
      </c>
      <c r="H7027" t="s">
        <v>1929</v>
      </c>
      <c r="I7027" t="str">
        <f t="shared" si="1303"/>
        <v>22/10/2025</v>
      </c>
      <c r="J7027" t="str">
        <f t="shared" si="1305"/>
        <v>21/10/2025</v>
      </c>
      <c r="K7027">
        <v>45953</v>
      </c>
      <c r="N7027">
        <v>303</v>
      </c>
      <c r="O7027" t="s">
        <v>69</v>
      </c>
      <c r="Q7027">
        <v>1267.3499999999999</v>
      </c>
      <c r="R7027" t="str">
        <f>"LBL FARMACIA LTDA FILIAL (10192)"</f>
        <v>LBL FARMACIA LTDA FILIAL (10192)</v>
      </c>
      <c r="S7027" t="s">
        <v>70</v>
      </c>
      <c r="T7027">
        <v>20310</v>
      </c>
      <c r="U7027">
        <v>23964</v>
      </c>
      <c r="V7027" t="s">
        <v>22</v>
      </c>
    </row>
    <row r="7028" spans="1:22">
      <c r="A7028" t="str">
        <f t="shared" si="1298"/>
        <v>23/10/2025</v>
      </c>
      <c r="B7028" t="str">
        <f t="shared" si="1301"/>
        <v>ENTRADA</v>
      </c>
      <c r="C7028" t="str">
        <f t="shared" si="1302"/>
        <v>NFSE</v>
      </c>
      <c r="D7028" t="str">
        <f>"3545"</f>
        <v>3545</v>
      </c>
      <c r="E7028" t="str">
        <f t="shared" si="1299"/>
        <v>1</v>
      </c>
      <c r="F7028" t="str">
        <f t="shared" si="1300"/>
        <v>COM</v>
      </c>
      <c r="G7028" t="str">
        <f>"LBL FARMACIA LTDA (10189)"</f>
        <v>LBL FARMACIA LTDA (10189)</v>
      </c>
      <c r="H7028" t="str">
        <f>"Serv.Prest. 13/10/2025 a 19/10/2025 - RPS: 1421 - NFSe: 3545"</f>
        <v>Serv.Prest. 13/10/2025 a 19/10/2025 - RPS: 1421 - NFSe: 3545</v>
      </c>
      <c r="I7028" t="str">
        <f t="shared" si="1303"/>
        <v>22/10/2025</v>
      </c>
      <c r="J7028" t="str">
        <f t="shared" si="1305"/>
        <v>21/10/2025</v>
      </c>
      <c r="K7028" t="str">
        <f>("23/10/2025")</f>
        <v>23/10/2025</v>
      </c>
      <c r="L7028">
        <v>434.35</v>
      </c>
      <c r="M7028">
        <v>434.35</v>
      </c>
      <c r="N7028">
        <v>303</v>
      </c>
      <c r="O7028" t="str">
        <f>"RECEITAS COM ENTREGAS"</f>
        <v>RECEITAS COM ENTREGAS</v>
      </c>
      <c r="P7028">
        <v>434.35</v>
      </c>
      <c r="S7028" t="str">
        <f>"RECEITAS COM ENTREGAS (303)"</f>
        <v>RECEITAS COM ENTREGAS (303)</v>
      </c>
      <c r="T7028">
        <v>20311</v>
      </c>
      <c r="U7028">
        <v>23967</v>
      </c>
      <c r="V7028" t="s">
        <v>22</v>
      </c>
    </row>
    <row r="7029" spans="1:22">
      <c r="A7029" t="str">
        <f t="shared" si="1298"/>
        <v>23/10/2025</v>
      </c>
      <c r="B7029" t="str">
        <f t="shared" si="1301"/>
        <v>ENTRADA</v>
      </c>
      <c r="C7029" t="str">
        <f t="shared" si="1302"/>
        <v>NFSE</v>
      </c>
      <c r="D7029" t="str">
        <f>"3545"</f>
        <v>3545</v>
      </c>
      <c r="E7029" t="str">
        <f t="shared" si="1299"/>
        <v>1</v>
      </c>
      <c r="F7029" t="str">
        <f t="shared" si="1300"/>
        <v>COM</v>
      </c>
      <c r="G7029" t="str">
        <f>"LBL FARMACIA LTDA (10189)"</f>
        <v>LBL FARMACIA LTDA (10189)</v>
      </c>
      <c r="H7029" t="s">
        <v>1930</v>
      </c>
      <c r="I7029" t="str">
        <f t="shared" si="1303"/>
        <v>22/10/2025</v>
      </c>
      <c r="J7029" t="str">
        <f t="shared" si="1305"/>
        <v>21/10/2025</v>
      </c>
      <c r="K7029">
        <v>45953</v>
      </c>
      <c r="N7029">
        <v>303</v>
      </c>
      <c r="O7029" t="s">
        <v>69</v>
      </c>
      <c r="Q7029">
        <v>434.35</v>
      </c>
      <c r="R7029" t="str">
        <f>"LBL FARMACIA LTDA (10189)"</f>
        <v>LBL FARMACIA LTDA (10189)</v>
      </c>
      <c r="S7029" t="s">
        <v>70</v>
      </c>
      <c r="T7029">
        <v>20311</v>
      </c>
      <c r="U7029">
        <v>23967</v>
      </c>
      <c r="V7029" t="s">
        <v>22</v>
      </c>
    </row>
    <row r="7030" spans="1:22">
      <c r="A7030" t="str">
        <f t="shared" si="1298"/>
        <v>23/10/2025</v>
      </c>
      <c r="B7030" t="str">
        <f t="shared" si="1301"/>
        <v>ENTRADA</v>
      </c>
      <c r="C7030" t="str">
        <f t="shared" si="1302"/>
        <v>NFSE</v>
      </c>
      <c r="D7030" t="str">
        <f>"3549"</f>
        <v>3549</v>
      </c>
      <c r="E7030" t="str">
        <f t="shared" si="1299"/>
        <v>1</v>
      </c>
      <c r="F7030" t="str">
        <f t="shared" si="1300"/>
        <v>COM</v>
      </c>
      <c r="G7030" t="str">
        <f>"DELTA LOJA 2 (10123)"</f>
        <v>DELTA LOJA 2 (10123)</v>
      </c>
      <c r="H7030" t="str">
        <f>"Serv.Prest. 13/10/2025 a 19/10/2025 - RPS: 1425 - NFSe: 3549"</f>
        <v>Serv.Prest. 13/10/2025 a 19/10/2025 - RPS: 1425 - NFSe: 3549</v>
      </c>
      <c r="I7030" t="str">
        <f>("23/10/2025")</f>
        <v>23/10/2025</v>
      </c>
      <c r="J7030" t="str">
        <f t="shared" si="1305"/>
        <v>21/10/2025</v>
      </c>
      <c r="K7030" t="str">
        <f>("23/10/2025")</f>
        <v>23/10/2025</v>
      </c>
      <c r="L7030">
        <v>4533.8999999999996</v>
      </c>
      <c r="M7030">
        <v>4533.8999999999996</v>
      </c>
      <c r="N7030">
        <v>303</v>
      </c>
      <c r="O7030" t="str">
        <f>"RECEITAS COM ENTREGAS"</f>
        <v>RECEITAS COM ENTREGAS</v>
      </c>
      <c r="P7030">
        <v>4533.8999999999996</v>
      </c>
      <c r="S7030" t="str">
        <f>"RECEITAS COM ENTREGAS (303)"</f>
        <v>RECEITAS COM ENTREGAS (303)</v>
      </c>
      <c r="T7030">
        <v>20312</v>
      </c>
      <c r="U7030">
        <v>24142</v>
      </c>
      <c r="V7030" t="s">
        <v>22</v>
      </c>
    </row>
    <row r="7031" spans="1:22">
      <c r="A7031" t="str">
        <f t="shared" si="1298"/>
        <v>23/10/2025</v>
      </c>
      <c r="B7031" t="str">
        <f t="shared" si="1301"/>
        <v>ENTRADA</v>
      </c>
      <c r="C7031" t="str">
        <f t="shared" si="1302"/>
        <v>NFSE</v>
      </c>
      <c r="D7031" t="str">
        <f>"3549"</f>
        <v>3549</v>
      </c>
      <c r="E7031" t="str">
        <f t="shared" si="1299"/>
        <v>1</v>
      </c>
      <c r="F7031" t="str">
        <f t="shared" si="1300"/>
        <v>COM</v>
      </c>
      <c r="G7031" t="str">
        <f>"DELTA LOJA 2 (10123)"</f>
        <v>DELTA LOJA 2 (10123)</v>
      </c>
      <c r="H7031" t="s">
        <v>1931</v>
      </c>
      <c r="I7031" t="str">
        <f>("23/10/2025")</f>
        <v>23/10/2025</v>
      </c>
      <c r="J7031" t="str">
        <f t="shared" si="1305"/>
        <v>21/10/2025</v>
      </c>
      <c r="K7031">
        <v>45953</v>
      </c>
      <c r="N7031">
        <v>303</v>
      </c>
      <c r="O7031" t="s">
        <v>69</v>
      </c>
      <c r="Q7031">
        <v>4533.8999999999996</v>
      </c>
      <c r="R7031" t="str">
        <f>"DELTA LOJA 2 (10123)"</f>
        <v>DELTA LOJA 2 (10123)</v>
      </c>
      <c r="S7031" t="s">
        <v>70</v>
      </c>
      <c r="T7031">
        <v>20312</v>
      </c>
      <c r="U7031">
        <v>24142</v>
      </c>
      <c r="V7031" t="s">
        <v>22</v>
      </c>
    </row>
    <row r="7032" spans="1:22">
      <c r="A7032" t="str">
        <f t="shared" si="1298"/>
        <v>23/10/2025</v>
      </c>
      <c r="B7032" t="str">
        <f t="shared" si="1301"/>
        <v>ENTRADA</v>
      </c>
      <c r="C7032" t="str">
        <f t="shared" si="1302"/>
        <v>NFSE</v>
      </c>
      <c r="D7032" t="str">
        <f>"3550"</f>
        <v>3550</v>
      </c>
      <c r="E7032" t="str">
        <f t="shared" si="1299"/>
        <v>1</v>
      </c>
      <c r="F7032" t="str">
        <f t="shared" si="1300"/>
        <v>COM</v>
      </c>
      <c r="G7032" t="str">
        <f>"DROGA HONDA (10149)"</f>
        <v>DROGA HONDA (10149)</v>
      </c>
      <c r="H7032" t="str">
        <f>"Serv.Prest. 13/10/2025 a 19/10/2025 - RPS: 1426 - NFSe: 3550"</f>
        <v>Serv.Prest. 13/10/2025 a 19/10/2025 - RPS: 1426 - NFSe: 3550</v>
      </c>
      <c r="I7032" t="str">
        <f>("23/10/2025")</f>
        <v>23/10/2025</v>
      </c>
      <c r="J7032" t="str">
        <f t="shared" si="1305"/>
        <v>21/10/2025</v>
      </c>
      <c r="K7032" t="str">
        <f>("23/10/2025")</f>
        <v>23/10/2025</v>
      </c>
      <c r="L7032">
        <v>1248.05</v>
      </c>
      <c r="M7032">
        <v>1248.05</v>
      </c>
      <c r="N7032">
        <v>303</v>
      </c>
      <c r="O7032" t="str">
        <f>"RECEITAS COM ENTREGAS"</f>
        <v>RECEITAS COM ENTREGAS</v>
      </c>
      <c r="P7032">
        <v>1248.05</v>
      </c>
      <c r="S7032" t="str">
        <f>"RECEITAS COM ENTREGAS (303)"</f>
        <v>RECEITAS COM ENTREGAS (303)</v>
      </c>
      <c r="T7032">
        <v>20313</v>
      </c>
      <c r="U7032">
        <v>24148</v>
      </c>
      <c r="V7032" t="s">
        <v>22</v>
      </c>
    </row>
    <row r="7033" spans="1:22">
      <c r="A7033" t="str">
        <f t="shared" si="1298"/>
        <v>23/10/2025</v>
      </c>
      <c r="B7033" t="str">
        <f t="shared" si="1301"/>
        <v>ENTRADA</v>
      </c>
      <c r="C7033" t="str">
        <f t="shared" si="1302"/>
        <v>NFSE</v>
      </c>
      <c r="D7033" t="str">
        <f>"3550"</f>
        <v>3550</v>
      </c>
      <c r="E7033" t="str">
        <f t="shared" si="1299"/>
        <v>1</v>
      </c>
      <c r="F7033" t="str">
        <f t="shared" si="1300"/>
        <v>COM</v>
      </c>
      <c r="G7033" t="str">
        <f>"DROGA HONDA (10149)"</f>
        <v>DROGA HONDA (10149)</v>
      </c>
      <c r="H7033" t="s">
        <v>1932</v>
      </c>
      <c r="I7033" t="str">
        <f>("23/10/2025")</f>
        <v>23/10/2025</v>
      </c>
      <c r="J7033" t="str">
        <f t="shared" si="1305"/>
        <v>21/10/2025</v>
      </c>
      <c r="K7033">
        <v>45953</v>
      </c>
      <c r="N7033">
        <v>303</v>
      </c>
      <c r="O7033" t="s">
        <v>69</v>
      </c>
      <c r="Q7033">
        <v>1248.05</v>
      </c>
      <c r="R7033" t="str">
        <f>"DROGA HONDA (10149)"</f>
        <v>DROGA HONDA (10149)</v>
      </c>
      <c r="S7033" t="s">
        <v>70</v>
      </c>
      <c r="T7033">
        <v>20313</v>
      </c>
      <c r="U7033">
        <v>24148</v>
      </c>
      <c r="V7033" t="s">
        <v>22</v>
      </c>
    </row>
    <row r="7034" spans="1:22">
      <c r="A7034" t="str">
        <f t="shared" si="1298"/>
        <v>23/10/2025</v>
      </c>
      <c r="B7034" t="str">
        <f t="shared" ref="B7034:B7097" si="1306">"SAÍDA"</f>
        <v>SAÍDA</v>
      </c>
      <c r="C7034" t="str">
        <f>"BOLETO"</f>
        <v>BOLETO</v>
      </c>
      <c r="D7034" t="str">
        <f>"30880"</f>
        <v>30880</v>
      </c>
      <c r="E7034" t="str">
        <f>""</f>
        <v/>
      </c>
      <c r="F7034" t="str">
        <f t="shared" si="1300"/>
        <v>COM</v>
      </c>
      <c r="G7034" t="str">
        <f>"DINIZ E MORATO LTDA (20081)"</f>
        <v>DINIZ E MORATO LTDA (20081)</v>
      </c>
      <c r="H7034" t="str">
        <f>"MENSALIDADE UNICO CONTATO - CRM + DISPARA 09/2025"</f>
        <v>MENSALIDADE UNICO CONTATO - CRM + DISPARA 09/2025</v>
      </c>
      <c r="I7034" t="str">
        <f>("22/10/2025")</f>
        <v>22/10/2025</v>
      </c>
      <c r="J7034" t="str">
        <f>("17/04/2025")</f>
        <v>17/04/2025</v>
      </c>
      <c r="K7034" t="str">
        <f>("23/10/2025")</f>
        <v>23/10/2025</v>
      </c>
      <c r="L7034">
        <v>1289</v>
      </c>
      <c r="M7034">
        <v>1289</v>
      </c>
      <c r="N7034">
        <v>104</v>
      </c>
      <c r="O7034" t="str">
        <f>"SOFTWARE / LICENÇAS"</f>
        <v>SOFTWARE / LICENÇAS</v>
      </c>
      <c r="P7034">
        <v>1289</v>
      </c>
      <c r="S7034" t="str">
        <f>"BANCO CORA (102)"</f>
        <v>BANCO CORA (102)</v>
      </c>
      <c r="T7034">
        <v>20316</v>
      </c>
      <c r="U7034">
        <v>12778</v>
      </c>
      <c r="V7034" t="s">
        <v>22</v>
      </c>
    </row>
    <row r="7035" spans="1:22">
      <c r="A7035" t="str">
        <f t="shared" si="1298"/>
        <v>23/10/2025</v>
      </c>
      <c r="B7035" t="str">
        <f t="shared" si="1306"/>
        <v>SAÍDA</v>
      </c>
      <c r="C7035" t="str">
        <f>"BOLETO"</f>
        <v>BOLETO</v>
      </c>
      <c r="D7035" t="str">
        <f>"30880"</f>
        <v>30880</v>
      </c>
      <c r="E7035" t="str">
        <f>""</f>
        <v/>
      </c>
      <c r="F7035" t="str">
        <f t="shared" si="1300"/>
        <v>COM</v>
      </c>
      <c r="G7035" t="str">
        <f>"DINIZ E MORATO LTDA (20081)"</f>
        <v>DINIZ E MORATO LTDA (20081)</v>
      </c>
      <c r="H7035" t="s">
        <v>1933</v>
      </c>
      <c r="I7035" t="str">
        <f>("22/10/2025")</f>
        <v>22/10/2025</v>
      </c>
      <c r="J7035" t="str">
        <f>("17/04/2025")</f>
        <v>17/04/2025</v>
      </c>
      <c r="K7035">
        <v>45953</v>
      </c>
      <c r="N7035">
        <v>104</v>
      </c>
      <c r="O7035" t="s">
        <v>34</v>
      </c>
      <c r="Q7035">
        <v>1289</v>
      </c>
      <c r="R7035" t="str">
        <f>"DINIZ E MORATO LTDA (20081)"</f>
        <v>DINIZ E MORATO LTDA (20081)</v>
      </c>
      <c r="S7035" t="s">
        <v>22</v>
      </c>
      <c r="T7035">
        <v>20316</v>
      </c>
      <c r="U7035">
        <v>12778</v>
      </c>
      <c r="V7035" t="s">
        <v>22</v>
      </c>
    </row>
    <row r="7036" spans="1:22">
      <c r="A7036" t="str">
        <f t="shared" si="1298"/>
        <v>23/10/2025</v>
      </c>
      <c r="B7036" t="str">
        <f t="shared" si="1306"/>
        <v>SAÍDA</v>
      </c>
      <c r="C7036" t="str">
        <f t="shared" ref="C7036:C7099" si="1307">"PIX"</f>
        <v>PIX</v>
      </c>
      <c r="D7036" t="str">
        <f>"23878"</f>
        <v>23878</v>
      </c>
      <c r="E7036" t="str">
        <f t="shared" ref="E7036:E7099" si="1308">"1"</f>
        <v>1</v>
      </c>
      <c r="F7036" t="str">
        <f t="shared" si="1300"/>
        <v>COM</v>
      </c>
      <c r="G7036" t="str">
        <f>"RODRIGO TEIXEIRA ROCHA (1007)"</f>
        <v>RODRIGO TEIXEIRA ROCHA (1007)</v>
      </c>
      <c r="H7036" t="str">
        <f>"Serv.Prest. 13/10/2025 a 19/10/2025 - PIX: CPF - CHAVE: 506.935.218-05"</f>
        <v>Serv.Prest. 13/10/2025 a 19/10/2025 - PIX: CPF - CHAVE: 506.935.218-05</v>
      </c>
      <c r="I7036" t="str">
        <f>("23/10/2025")</f>
        <v>23/10/2025</v>
      </c>
      <c r="J7036" t="str">
        <f>("20/10/2025")</f>
        <v>20/10/2025</v>
      </c>
      <c r="K7036" t="str">
        <f>("23/10/2025")</f>
        <v>23/10/2025</v>
      </c>
      <c r="L7036">
        <v>560</v>
      </c>
      <c r="M7036">
        <v>560</v>
      </c>
      <c r="N7036">
        <v>109</v>
      </c>
      <c r="O7036" t="str">
        <f>"PAGAMENTO DE ENTREGADORES"</f>
        <v>PAGAMENTO DE ENTREGADORES</v>
      </c>
      <c r="P7036">
        <v>560</v>
      </c>
      <c r="S7036" t="str">
        <f>"BANCO CORA (102)"</f>
        <v>BANCO CORA (102)</v>
      </c>
      <c r="T7036">
        <v>20317</v>
      </c>
      <c r="U7036">
        <v>23878</v>
      </c>
      <c r="V7036" t="s">
        <v>22</v>
      </c>
    </row>
    <row r="7037" spans="1:22">
      <c r="A7037" t="str">
        <f t="shared" si="1298"/>
        <v>23/10/2025</v>
      </c>
      <c r="B7037" t="str">
        <f t="shared" si="1306"/>
        <v>SAÍDA</v>
      </c>
      <c r="C7037" t="str">
        <f t="shared" si="1307"/>
        <v>PIX</v>
      </c>
      <c r="D7037" t="str">
        <f>"23878"</f>
        <v>23878</v>
      </c>
      <c r="E7037" t="str">
        <f t="shared" si="1308"/>
        <v>1</v>
      </c>
      <c r="F7037" t="str">
        <f t="shared" si="1300"/>
        <v>COM</v>
      </c>
      <c r="G7037" t="str">
        <f>"RODRIGO TEIXEIRA ROCHA (1007)"</f>
        <v>RODRIGO TEIXEIRA ROCHA (1007)</v>
      </c>
      <c r="H7037" t="s">
        <v>1934</v>
      </c>
      <c r="I7037" t="str">
        <f>("23/10/2025")</f>
        <v>23/10/2025</v>
      </c>
      <c r="J7037" t="str">
        <f>("20/10/2025")</f>
        <v>20/10/2025</v>
      </c>
      <c r="K7037">
        <v>45953</v>
      </c>
      <c r="N7037">
        <v>109</v>
      </c>
      <c r="O7037" t="s">
        <v>24</v>
      </c>
      <c r="Q7037">
        <v>560</v>
      </c>
      <c r="R7037" t="str">
        <f>"PENSE FARMA 25 (10224)"</f>
        <v>PENSE FARMA 25 (10224)</v>
      </c>
      <c r="S7037" t="s">
        <v>22</v>
      </c>
      <c r="T7037">
        <v>20317</v>
      </c>
      <c r="U7037">
        <v>23878</v>
      </c>
      <c r="V7037" t="s">
        <v>22</v>
      </c>
    </row>
    <row r="7038" spans="1:22">
      <c r="A7038" t="str">
        <f t="shared" si="1298"/>
        <v>23/10/2025</v>
      </c>
      <c r="B7038" t="str">
        <f t="shared" si="1306"/>
        <v>SAÍDA</v>
      </c>
      <c r="C7038" t="str">
        <f t="shared" si="1307"/>
        <v>PIX</v>
      </c>
      <c r="D7038" t="str">
        <f>"24436"</f>
        <v>24436</v>
      </c>
      <c r="E7038" t="str">
        <f t="shared" si="1308"/>
        <v>1</v>
      </c>
      <c r="F7038" t="str">
        <f t="shared" si="1300"/>
        <v>COM</v>
      </c>
      <c r="G7038" t="str">
        <f>"WILLIAM DA SILVA COSTA (655)"</f>
        <v>WILLIAM DA SILVA COSTA (655)</v>
      </c>
      <c r="H7038" t="str">
        <f>"PAGO PARA ULISSES SOUSA SANTOS - Serv.Prest. 20/10/2025 a 26/10/2025"</f>
        <v>PAGO PARA ULISSES SOUSA SANTOS - Serv.Prest. 20/10/2025 a 26/10/2025</v>
      </c>
      <c r="I7038" t="str">
        <f>("30/10/2025")</f>
        <v>30/10/2025</v>
      </c>
      <c r="J7038" t="str">
        <f>("27/10/2025")</f>
        <v>27/10/2025</v>
      </c>
      <c r="K7038" t="str">
        <f>("23/10/2025")</f>
        <v>23/10/2025</v>
      </c>
      <c r="L7038">
        <v>105</v>
      </c>
      <c r="M7038">
        <v>150</v>
      </c>
      <c r="N7038">
        <v>134</v>
      </c>
      <c r="O7038" t="str">
        <f>"DIARIA DE MOTOBOY"</f>
        <v>DIARIA DE MOTOBOY</v>
      </c>
      <c r="P7038">
        <v>150</v>
      </c>
      <c r="S7038" t="str">
        <f>"BANCO CORA (102)"</f>
        <v>BANCO CORA (102)</v>
      </c>
      <c r="T7038">
        <v>20331</v>
      </c>
      <c r="U7038">
        <v>24503</v>
      </c>
      <c r="V7038" t="s">
        <v>22</v>
      </c>
    </row>
    <row r="7039" spans="1:22">
      <c r="A7039" t="str">
        <f t="shared" si="1298"/>
        <v>23/10/2025</v>
      </c>
      <c r="B7039" t="str">
        <f t="shared" si="1306"/>
        <v>SAÍDA</v>
      </c>
      <c r="C7039" t="str">
        <f t="shared" si="1307"/>
        <v>PIX</v>
      </c>
      <c r="D7039" t="str">
        <f>"24436"</f>
        <v>24436</v>
      </c>
      <c r="E7039" t="str">
        <f t="shared" si="1308"/>
        <v>1</v>
      </c>
      <c r="F7039" t="str">
        <f t="shared" si="1300"/>
        <v>COM</v>
      </c>
      <c r="G7039" t="str">
        <f>"WILLIAM DA SILVA COSTA (655)"</f>
        <v>WILLIAM DA SILVA COSTA (655)</v>
      </c>
      <c r="H7039" t="s">
        <v>1881</v>
      </c>
      <c r="I7039" t="str">
        <f>("30/10/2025")</f>
        <v>30/10/2025</v>
      </c>
      <c r="J7039" t="str">
        <f>("27/10/2025")</f>
        <v>27/10/2025</v>
      </c>
      <c r="K7039">
        <v>45953</v>
      </c>
      <c r="N7039">
        <v>134</v>
      </c>
      <c r="O7039" t="s">
        <v>41</v>
      </c>
      <c r="Q7039">
        <v>150</v>
      </c>
      <c r="R7039" t="str">
        <f>"FARMACIA ECONOMIZE (10103)"</f>
        <v>FARMACIA ECONOMIZE (10103)</v>
      </c>
      <c r="S7039" t="s">
        <v>22</v>
      </c>
      <c r="T7039">
        <v>20331</v>
      </c>
      <c r="U7039">
        <v>24503</v>
      </c>
      <c r="V7039" t="s">
        <v>22</v>
      </c>
    </row>
    <row r="7040" spans="1:22">
      <c r="A7040" t="str">
        <f t="shared" si="1298"/>
        <v>23/10/2025</v>
      </c>
      <c r="B7040" t="str">
        <f t="shared" si="1306"/>
        <v>SAÍDA</v>
      </c>
      <c r="C7040" t="str">
        <f t="shared" si="1307"/>
        <v>PIX</v>
      </c>
      <c r="D7040" t="str">
        <f t="shared" ref="D7040:D7045" si="1309">"23865"</f>
        <v>23865</v>
      </c>
      <c r="E7040" t="str">
        <f t="shared" si="1308"/>
        <v>1</v>
      </c>
      <c r="F7040" t="str">
        <f t="shared" si="1300"/>
        <v>COM</v>
      </c>
      <c r="G7040" t="str">
        <f t="shared" ref="G7040:G7045" si="1310">"EDUARDO RODRIGUES ALVES STEPHANO (999)"</f>
        <v>EDUARDO RODRIGUES ALVES STEPHANO (999)</v>
      </c>
      <c r="H7040" t="str">
        <f>"Serv.Prest. 13/10/2025 a 19/10/2025 - PIX: CPF - CHAVE: 370.849.948-40"</f>
        <v>Serv.Prest. 13/10/2025 a 19/10/2025 - PIX: CPF - CHAVE: 370.849.948-40</v>
      </c>
      <c r="I7040" t="str">
        <f t="shared" ref="I7040:I7103" si="1311">("23/10/2025")</f>
        <v>23/10/2025</v>
      </c>
      <c r="J7040" t="str">
        <f t="shared" ref="J7040:J7065" si="1312">("20/10/2025")</f>
        <v>20/10/2025</v>
      </c>
      <c r="K7040" t="str">
        <f>("23/10/2025")</f>
        <v>23/10/2025</v>
      </c>
      <c r="L7040">
        <v>1375</v>
      </c>
      <c r="M7040">
        <v>1375</v>
      </c>
      <c r="N7040">
        <v>109</v>
      </c>
      <c r="O7040" t="str">
        <f>"PAGAMENTO DE ENTREGADORES"</f>
        <v>PAGAMENTO DE ENTREGADORES</v>
      </c>
      <c r="P7040">
        <v>1375</v>
      </c>
      <c r="S7040" t="str">
        <f>"BANCO C6 (149)"</f>
        <v>BANCO C6 (149)</v>
      </c>
      <c r="T7040">
        <v>21857</v>
      </c>
      <c r="U7040">
        <v>23865</v>
      </c>
      <c r="V7040" t="s">
        <v>77</v>
      </c>
    </row>
    <row r="7041" spans="1:22">
      <c r="A7041" t="str">
        <f t="shared" si="1298"/>
        <v>23/10/2025</v>
      </c>
      <c r="B7041" t="str">
        <f t="shared" si="1306"/>
        <v>SAÍDA</v>
      </c>
      <c r="C7041" t="str">
        <f t="shared" si="1307"/>
        <v>PIX</v>
      </c>
      <c r="D7041" t="str">
        <f t="shared" si="1309"/>
        <v>23865</v>
      </c>
      <c r="E7041" t="str">
        <f t="shared" si="1308"/>
        <v>1</v>
      </c>
      <c r="F7041" t="str">
        <f t="shared" si="1300"/>
        <v>COM</v>
      </c>
      <c r="G7041" t="str">
        <f t="shared" si="1310"/>
        <v>EDUARDO RODRIGUES ALVES STEPHANO (999)</v>
      </c>
      <c r="H7041" t="s">
        <v>1935</v>
      </c>
      <c r="I7041" t="str">
        <f t="shared" si="1311"/>
        <v>23/10/2025</v>
      </c>
      <c r="J7041" t="str">
        <f t="shared" si="1312"/>
        <v>20/10/2025</v>
      </c>
      <c r="K7041">
        <v>45953</v>
      </c>
      <c r="N7041">
        <v>109</v>
      </c>
      <c r="O7041" t="s">
        <v>24</v>
      </c>
      <c r="Q7041">
        <v>275</v>
      </c>
      <c r="R7041" t="str">
        <f>"PENSE FARMA 08 (10217)"</f>
        <v>PENSE FARMA 08 (10217)</v>
      </c>
      <c r="S7041" t="s">
        <v>77</v>
      </c>
      <c r="T7041">
        <v>21857</v>
      </c>
      <c r="U7041">
        <v>23865</v>
      </c>
      <c r="V7041" t="s">
        <v>77</v>
      </c>
    </row>
    <row r="7042" spans="1:22">
      <c r="A7042" t="str">
        <f t="shared" si="1298"/>
        <v>23/10/2025</v>
      </c>
      <c r="B7042" t="str">
        <f t="shared" si="1306"/>
        <v>SAÍDA</v>
      </c>
      <c r="C7042" t="str">
        <f t="shared" si="1307"/>
        <v>PIX</v>
      </c>
      <c r="D7042" t="str">
        <f t="shared" si="1309"/>
        <v>23865</v>
      </c>
      <c r="E7042" t="str">
        <f t="shared" si="1308"/>
        <v>1</v>
      </c>
      <c r="F7042" t="str">
        <f t="shared" si="1300"/>
        <v>COM</v>
      </c>
      <c r="G7042" t="str">
        <f t="shared" si="1310"/>
        <v>EDUARDO RODRIGUES ALVES STEPHANO (999)</v>
      </c>
      <c r="H7042" t="s">
        <v>1935</v>
      </c>
      <c r="I7042" t="str">
        <f t="shared" si="1311"/>
        <v>23/10/2025</v>
      </c>
      <c r="J7042" t="str">
        <f t="shared" si="1312"/>
        <v>20/10/2025</v>
      </c>
      <c r="K7042">
        <v>45953</v>
      </c>
      <c r="N7042">
        <v>109</v>
      </c>
      <c r="O7042" t="s">
        <v>24</v>
      </c>
      <c r="Q7042">
        <v>275</v>
      </c>
      <c r="R7042" t="str">
        <f>"PENSE FARMA 11 (10220)"</f>
        <v>PENSE FARMA 11 (10220)</v>
      </c>
      <c r="S7042" t="s">
        <v>77</v>
      </c>
      <c r="T7042">
        <v>21857</v>
      </c>
      <c r="U7042">
        <v>23865</v>
      </c>
      <c r="V7042" t="s">
        <v>77</v>
      </c>
    </row>
    <row r="7043" spans="1:22">
      <c r="A7043" t="str">
        <f t="shared" si="1298"/>
        <v>23/10/2025</v>
      </c>
      <c r="B7043" t="str">
        <f t="shared" si="1306"/>
        <v>SAÍDA</v>
      </c>
      <c r="C7043" t="str">
        <f t="shared" si="1307"/>
        <v>PIX</v>
      </c>
      <c r="D7043" t="str">
        <f t="shared" si="1309"/>
        <v>23865</v>
      </c>
      <c r="E7043" t="str">
        <f t="shared" si="1308"/>
        <v>1</v>
      </c>
      <c r="F7043" t="str">
        <f t="shared" si="1300"/>
        <v>COM</v>
      </c>
      <c r="G7043" t="str">
        <f t="shared" si="1310"/>
        <v>EDUARDO RODRIGUES ALVES STEPHANO (999)</v>
      </c>
      <c r="H7043" t="s">
        <v>1935</v>
      </c>
      <c r="I7043" t="str">
        <f t="shared" si="1311"/>
        <v>23/10/2025</v>
      </c>
      <c r="J7043" t="str">
        <f t="shared" si="1312"/>
        <v>20/10/2025</v>
      </c>
      <c r="K7043">
        <v>45953</v>
      </c>
      <c r="N7043">
        <v>109</v>
      </c>
      <c r="O7043" t="s">
        <v>24</v>
      </c>
      <c r="Q7043">
        <v>275</v>
      </c>
      <c r="R7043" t="str">
        <f>"PENSE FARMA 41 (10229)"</f>
        <v>PENSE FARMA 41 (10229)</v>
      </c>
      <c r="S7043" t="s">
        <v>77</v>
      </c>
      <c r="T7043">
        <v>21857</v>
      </c>
      <c r="U7043">
        <v>23865</v>
      </c>
      <c r="V7043" t="s">
        <v>77</v>
      </c>
    </row>
    <row r="7044" spans="1:22">
      <c r="A7044" t="str">
        <f t="shared" si="1298"/>
        <v>23/10/2025</v>
      </c>
      <c r="B7044" t="str">
        <f t="shared" si="1306"/>
        <v>SAÍDA</v>
      </c>
      <c r="C7044" t="str">
        <f t="shared" si="1307"/>
        <v>PIX</v>
      </c>
      <c r="D7044" t="str">
        <f t="shared" si="1309"/>
        <v>23865</v>
      </c>
      <c r="E7044" t="str">
        <f t="shared" si="1308"/>
        <v>1</v>
      </c>
      <c r="F7044" t="str">
        <f t="shared" si="1300"/>
        <v>COM</v>
      </c>
      <c r="G7044" t="str">
        <f t="shared" si="1310"/>
        <v>EDUARDO RODRIGUES ALVES STEPHANO (999)</v>
      </c>
      <c r="H7044" t="s">
        <v>1935</v>
      </c>
      <c r="I7044" t="str">
        <f t="shared" si="1311"/>
        <v>23/10/2025</v>
      </c>
      <c r="J7044" t="str">
        <f t="shared" si="1312"/>
        <v>20/10/2025</v>
      </c>
      <c r="K7044">
        <v>45953</v>
      </c>
      <c r="N7044">
        <v>109</v>
      </c>
      <c r="O7044" t="s">
        <v>24</v>
      </c>
      <c r="Q7044">
        <v>275</v>
      </c>
      <c r="R7044" t="str">
        <f>"PENSE FARMA 42 (10230)"</f>
        <v>PENSE FARMA 42 (10230)</v>
      </c>
      <c r="S7044" t="s">
        <v>77</v>
      </c>
      <c r="T7044">
        <v>21857</v>
      </c>
      <c r="U7044">
        <v>23865</v>
      </c>
      <c r="V7044" t="s">
        <v>77</v>
      </c>
    </row>
    <row r="7045" spans="1:22">
      <c r="A7045" t="str">
        <f t="shared" si="1298"/>
        <v>23/10/2025</v>
      </c>
      <c r="B7045" t="str">
        <f t="shared" si="1306"/>
        <v>SAÍDA</v>
      </c>
      <c r="C7045" t="str">
        <f t="shared" si="1307"/>
        <v>PIX</v>
      </c>
      <c r="D7045" t="str">
        <f t="shared" si="1309"/>
        <v>23865</v>
      </c>
      <c r="E7045" t="str">
        <f t="shared" si="1308"/>
        <v>1</v>
      </c>
      <c r="F7045" t="str">
        <f t="shared" si="1300"/>
        <v>COM</v>
      </c>
      <c r="G7045" t="str">
        <f t="shared" si="1310"/>
        <v>EDUARDO RODRIGUES ALVES STEPHANO (999)</v>
      </c>
      <c r="H7045" t="s">
        <v>1935</v>
      </c>
      <c r="I7045" t="str">
        <f t="shared" si="1311"/>
        <v>23/10/2025</v>
      </c>
      <c r="J7045" t="str">
        <f t="shared" si="1312"/>
        <v>20/10/2025</v>
      </c>
      <c r="K7045">
        <v>45953</v>
      </c>
      <c r="N7045">
        <v>109</v>
      </c>
      <c r="O7045" t="s">
        <v>24</v>
      </c>
      <c r="Q7045">
        <v>275</v>
      </c>
      <c r="R7045" t="str">
        <f>"PENSE FARMA 52 (10236)"</f>
        <v>PENSE FARMA 52 (10236)</v>
      </c>
      <c r="S7045" t="s">
        <v>77</v>
      </c>
      <c r="T7045">
        <v>21857</v>
      </c>
      <c r="U7045">
        <v>23865</v>
      </c>
      <c r="V7045" t="s">
        <v>77</v>
      </c>
    </row>
    <row r="7046" spans="1:22">
      <c r="A7046" t="str">
        <f t="shared" si="1298"/>
        <v>23/10/2025</v>
      </c>
      <c r="B7046" t="str">
        <f t="shared" si="1306"/>
        <v>SAÍDA</v>
      </c>
      <c r="C7046" t="str">
        <f t="shared" si="1307"/>
        <v>PIX</v>
      </c>
      <c r="D7046" t="str">
        <f t="shared" ref="D7046:D7051" si="1313">"23864"</f>
        <v>23864</v>
      </c>
      <c r="E7046" t="str">
        <f t="shared" si="1308"/>
        <v>1</v>
      </c>
      <c r="F7046" t="str">
        <f t="shared" si="1300"/>
        <v>COM</v>
      </c>
      <c r="G7046" t="str">
        <f t="shared" ref="G7046:G7051" si="1314">"DANILO VICENTE MARINHO SANTOS (1018)"</f>
        <v>DANILO VICENTE MARINHO SANTOS (1018)</v>
      </c>
      <c r="H7046" t="str">
        <f>"Serv.Prest. 13/10/2025 a 19/10/2025 - PIX: CELULAR - CHAVE: (11) 98768-7863"</f>
        <v>Serv.Prest. 13/10/2025 a 19/10/2025 - PIX: CELULAR - CHAVE: (11) 98768-7863</v>
      </c>
      <c r="I7046" t="str">
        <f t="shared" si="1311"/>
        <v>23/10/2025</v>
      </c>
      <c r="J7046" t="str">
        <f t="shared" si="1312"/>
        <v>20/10/2025</v>
      </c>
      <c r="K7046" t="str">
        <f>("23/10/2025")</f>
        <v>23/10/2025</v>
      </c>
      <c r="L7046">
        <v>1375</v>
      </c>
      <c r="M7046">
        <v>1375</v>
      </c>
      <c r="N7046">
        <v>109</v>
      </c>
      <c r="O7046" t="str">
        <f>"PAGAMENTO DE ENTREGADORES"</f>
        <v>PAGAMENTO DE ENTREGADORES</v>
      </c>
      <c r="P7046">
        <v>1375</v>
      </c>
      <c r="S7046" t="str">
        <f>"BANCO C6 (149)"</f>
        <v>BANCO C6 (149)</v>
      </c>
      <c r="T7046">
        <v>21858</v>
      </c>
      <c r="U7046">
        <v>23864</v>
      </c>
      <c r="V7046" t="s">
        <v>77</v>
      </c>
    </row>
    <row r="7047" spans="1:22">
      <c r="A7047" t="str">
        <f t="shared" si="1298"/>
        <v>23/10/2025</v>
      </c>
      <c r="B7047" t="str">
        <f t="shared" si="1306"/>
        <v>SAÍDA</v>
      </c>
      <c r="C7047" t="str">
        <f t="shared" si="1307"/>
        <v>PIX</v>
      </c>
      <c r="D7047" t="str">
        <f t="shared" si="1313"/>
        <v>23864</v>
      </c>
      <c r="E7047" t="str">
        <f t="shared" si="1308"/>
        <v>1</v>
      </c>
      <c r="F7047" t="str">
        <f t="shared" si="1300"/>
        <v>COM</v>
      </c>
      <c r="G7047" t="str">
        <f t="shared" si="1314"/>
        <v>DANILO VICENTE MARINHO SANTOS (1018)</v>
      </c>
      <c r="H7047" t="s">
        <v>1936</v>
      </c>
      <c r="I7047" t="str">
        <f t="shared" si="1311"/>
        <v>23/10/2025</v>
      </c>
      <c r="J7047" t="str">
        <f t="shared" si="1312"/>
        <v>20/10/2025</v>
      </c>
      <c r="K7047">
        <v>45953</v>
      </c>
      <c r="N7047">
        <v>109</v>
      </c>
      <c r="O7047" t="s">
        <v>24</v>
      </c>
      <c r="Q7047">
        <v>229.21</v>
      </c>
      <c r="R7047" t="str">
        <f>"PENSE FARMA 08 (10217)"</f>
        <v>PENSE FARMA 08 (10217)</v>
      </c>
      <c r="S7047" t="s">
        <v>77</v>
      </c>
      <c r="T7047">
        <v>21858</v>
      </c>
      <c r="U7047">
        <v>23864</v>
      </c>
      <c r="V7047" t="s">
        <v>77</v>
      </c>
    </row>
    <row r="7048" spans="1:22">
      <c r="A7048" t="str">
        <f t="shared" si="1298"/>
        <v>23/10/2025</v>
      </c>
      <c r="B7048" t="str">
        <f t="shared" si="1306"/>
        <v>SAÍDA</v>
      </c>
      <c r="C7048" t="str">
        <f t="shared" si="1307"/>
        <v>PIX</v>
      </c>
      <c r="D7048" t="str">
        <f t="shared" si="1313"/>
        <v>23864</v>
      </c>
      <c r="E7048" t="str">
        <f t="shared" si="1308"/>
        <v>1</v>
      </c>
      <c r="F7048" t="str">
        <f t="shared" si="1300"/>
        <v>COM</v>
      </c>
      <c r="G7048" t="str">
        <f t="shared" si="1314"/>
        <v>DANILO VICENTE MARINHO SANTOS (1018)</v>
      </c>
      <c r="H7048" t="s">
        <v>1936</v>
      </c>
      <c r="I7048" t="str">
        <f t="shared" si="1311"/>
        <v>23/10/2025</v>
      </c>
      <c r="J7048" t="str">
        <f t="shared" si="1312"/>
        <v>20/10/2025</v>
      </c>
      <c r="K7048">
        <v>45953</v>
      </c>
      <c r="N7048">
        <v>109</v>
      </c>
      <c r="O7048" t="s">
        <v>24</v>
      </c>
      <c r="Q7048">
        <v>458.29</v>
      </c>
      <c r="R7048" t="str">
        <f>"PENSE FARMA 11 (10220)"</f>
        <v>PENSE FARMA 11 (10220)</v>
      </c>
      <c r="S7048" t="s">
        <v>77</v>
      </c>
      <c r="T7048">
        <v>21858</v>
      </c>
      <c r="U7048">
        <v>23864</v>
      </c>
      <c r="V7048" t="s">
        <v>77</v>
      </c>
    </row>
    <row r="7049" spans="1:22">
      <c r="A7049" t="str">
        <f t="shared" si="1298"/>
        <v>23/10/2025</v>
      </c>
      <c r="B7049" t="str">
        <f t="shared" si="1306"/>
        <v>SAÍDA</v>
      </c>
      <c r="C7049" t="str">
        <f t="shared" si="1307"/>
        <v>PIX</v>
      </c>
      <c r="D7049" t="str">
        <f t="shared" si="1313"/>
        <v>23864</v>
      </c>
      <c r="E7049" t="str">
        <f t="shared" si="1308"/>
        <v>1</v>
      </c>
      <c r="F7049" t="str">
        <f t="shared" si="1300"/>
        <v>COM</v>
      </c>
      <c r="G7049" t="str">
        <f t="shared" si="1314"/>
        <v>DANILO VICENTE MARINHO SANTOS (1018)</v>
      </c>
      <c r="H7049" t="s">
        <v>1936</v>
      </c>
      <c r="I7049" t="str">
        <f t="shared" si="1311"/>
        <v>23/10/2025</v>
      </c>
      <c r="J7049" t="str">
        <f t="shared" si="1312"/>
        <v>20/10/2025</v>
      </c>
      <c r="K7049">
        <v>45953</v>
      </c>
      <c r="N7049">
        <v>109</v>
      </c>
      <c r="O7049" t="s">
        <v>24</v>
      </c>
      <c r="Q7049">
        <v>229.21</v>
      </c>
      <c r="R7049" t="str">
        <f>"PENSE FARMA 41 (10229)"</f>
        <v>PENSE FARMA 41 (10229)</v>
      </c>
      <c r="S7049" t="s">
        <v>77</v>
      </c>
      <c r="T7049">
        <v>21858</v>
      </c>
      <c r="U7049">
        <v>23864</v>
      </c>
      <c r="V7049" t="s">
        <v>77</v>
      </c>
    </row>
    <row r="7050" spans="1:22">
      <c r="A7050" t="str">
        <f t="shared" si="1298"/>
        <v>23/10/2025</v>
      </c>
      <c r="B7050" t="str">
        <f t="shared" si="1306"/>
        <v>SAÍDA</v>
      </c>
      <c r="C7050" t="str">
        <f t="shared" si="1307"/>
        <v>PIX</v>
      </c>
      <c r="D7050" t="str">
        <f t="shared" si="1313"/>
        <v>23864</v>
      </c>
      <c r="E7050" t="str">
        <f t="shared" si="1308"/>
        <v>1</v>
      </c>
      <c r="F7050" t="str">
        <f t="shared" si="1300"/>
        <v>COM</v>
      </c>
      <c r="G7050" t="str">
        <f t="shared" si="1314"/>
        <v>DANILO VICENTE MARINHO SANTOS (1018)</v>
      </c>
      <c r="H7050" t="s">
        <v>1936</v>
      </c>
      <c r="I7050" t="str">
        <f t="shared" si="1311"/>
        <v>23/10/2025</v>
      </c>
      <c r="J7050" t="str">
        <f t="shared" si="1312"/>
        <v>20/10/2025</v>
      </c>
      <c r="K7050">
        <v>45953</v>
      </c>
      <c r="N7050">
        <v>109</v>
      </c>
      <c r="O7050" t="s">
        <v>24</v>
      </c>
      <c r="Q7050">
        <v>229.21</v>
      </c>
      <c r="R7050" t="str">
        <f>"PENSE FARMA 42 (10230)"</f>
        <v>PENSE FARMA 42 (10230)</v>
      </c>
      <c r="S7050" t="s">
        <v>77</v>
      </c>
      <c r="T7050">
        <v>21858</v>
      </c>
      <c r="U7050">
        <v>23864</v>
      </c>
      <c r="V7050" t="s">
        <v>77</v>
      </c>
    </row>
    <row r="7051" spans="1:22">
      <c r="A7051" t="str">
        <f t="shared" si="1298"/>
        <v>23/10/2025</v>
      </c>
      <c r="B7051" t="str">
        <f t="shared" si="1306"/>
        <v>SAÍDA</v>
      </c>
      <c r="C7051" t="str">
        <f t="shared" si="1307"/>
        <v>PIX</v>
      </c>
      <c r="D7051" t="str">
        <f t="shared" si="1313"/>
        <v>23864</v>
      </c>
      <c r="E7051" t="str">
        <f t="shared" si="1308"/>
        <v>1</v>
      </c>
      <c r="F7051" t="str">
        <f t="shared" si="1300"/>
        <v>COM</v>
      </c>
      <c r="G7051" t="str">
        <f t="shared" si="1314"/>
        <v>DANILO VICENTE MARINHO SANTOS (1018)</v>
      </c>
      <c r="H7051" t="s">
        <v>1936</v>
      </c>
      <c r="I7051" t="str">
        <f t="shared" si="1311"/>
        <v>23/10/2025</v>
      </c>
      <c r="J7051" t="str">
        <f t="shared" si="1312"/>
        <v>20/10/2025</v>
      </c>
      <c r="K7051">
        <v>45953</v>
      </c>
      <c r="N7051">
        <v>109</v>
      </c>
      <c r="O7051" t="s">
        <v>24</v>
      </c>
      <c r="Q7051">
        <v>229.08</v>
      </c>
      <c r="R7051" t="str">
        <f>"PENSE FARMA 52 (10236)"</f>
        <v>PENSE FARMA 52 (10236)</v>
      </c>
      <c r="S7051" t="s">
        <v>77</v>
      </c>
      <c r="T7051">
        <v>21858</v>
      </c>
      <c r="U7051">
        <v>23864</v>
      </c>
      <c r="V7051" t="s">
        <v>77</v>
      </c>
    </row>
    <row r="7052" spans="1:22">
      <c r="A7052" t="str">
        <f t="shared" si="1298"/>
        <v>23/10/2025</v>
      </c>
      <c r="B7052" t="str">
        <f t="shared" si="1306"/>
        <v>SAÍDA</v>
      </c>
      <c r="C7052" t="str">
        <f t="shared" si="1307"/>
        <v>PIX</v>
      </c>
      <c r="D7052" t="str">
        <f>"23862"</f>
        <v>23862</v>
      </c>
      <c r="E7052" t="str">
        <f t="shared" si="1308"/>
        <v>1</v>
      </c>
      <c r="F7052" t="str">
        <f t="shared" si="1300"/>
        <v>COM</v>
      </c>
      <c r="G7052" t="str">
        <f>"LUCAS MANOEL DA SILVA (978)"</f>
        <v>LUCAS MANOEL DA SILVA (978)</v>
      </c>
      <c r="H7052" t="str">
        <f>"Serv.Prest. 13/10/2025 a 19/10/2025 - PIX: CELULAR - CHAVE: (11) 94212-6784"</f>
        <v>Serv.Prest. 13/10/2025 a 19/10/2025 - PIX: CELULAR - CHAVE: (11) 94212-6784</v>
      </c>
      <c r="I7052" t="str">
        <f t="shared" si="1311"/>
        <v>23/10/2025</v>
      </c>
      <c r="J7052" t="str">
        <f t="shared" si="1312"/>
        <v>20/10/2025</v>
      </c>
      <c r="K7052" t="str">
        <f>("23/10/2025")</f>
        <v>23/10/2025</v>
      </c>
      <c r="L7052">
        <v>1250</v>
      </c>
      <c r="M7052">
        <v>1250</v>
      </c>
      <c r="N7052">
        <v>109</v>
      </c>
      <c r="O7052" t="str">
        <f>"PAGAMENTO DE ENTREGADORES"</f>
        <v>PAGAMENTO DE ENTREGADORES</v>
      </c>
      <c r="P7052">
        <v>1250</v>
      </c>
      <c r="S7052" t="str">
        <f>"BANCO C6 (149)"</f>
        <v>BANCO C6 (149)</v>
      </c>
      <c r="T7052">
        <v>21859</v>
      </c>
      <c r="U7052">
        <v>23862</v>
      </c>
      <c r="V7052" t="s">
        <v>77</v>
      </c>
    </row>
    <row r="7053" spans="1:22">
      <c r="A7053" t="str">
        <f t="shared" si="1298"/>
        <v>23/10/2025</v>
      </c>
      <c r="B7053" t="str">
        <f t="shared" si="1306"/>
        <v>SAÍDA</v>
      </c>
      <c r="C7053" t="str">
        <f t="shared" si="1307"/>
        <v>PIX</v>
      </c>
      <c r="D7053" t="str">
        <f>"23862"</f>
        <v>23862</v>
      </c>
      <c r="E7053" t="str">
        <f t="shared" si="1308"/>
        <v>1</v>
      </c>
      <c r="F7053" t="str">
        <f t="shared" si="1300"/>
        <v>COM</v>
      </c>
      <c r="G7053" t="str">
        <f>"LUCAS MANOEL DA SILVA (978)"</f>
        <v>LUCAS MANOEL DA SILVA (978)</v>
      </c>
      <c r="H7053" t="s">
        <v>1880</v>
      </c>
      <c r="I7053" t="str">
        <f t="shared" si="1311"/>
        <v>23/10/2025</v>
      </c>
      <c r="J7053" t="str">
        <f t="shared" si="1312"/>
        <v>20/10/2025</v>
      </c>
      <c r="K7053">
        <v>45953</v>
      </c>
      <c r="N7053">
        <v>109</v>
      </c>
      <c r="O7053" t="s">
        <v>24</v>
      </c>
      <c r="Q7053">
        <v>416.62</v>
      </c>
      <c r="R7053" t="str">
        <f>"PENSE FARMA 07 (10201)"</f>
        <v>PENSE FARMA 07 (10201)</v>
      </c>
      <c r="S7053" t="s">
        <v>77</v>
      </c>
      <c r="T7053">
        <v>21859</v>
      </c>
      <c r="U7053">
        <v>23862</v>
      </c>
      <c r="V7053" t="s">
        <v>77</v>
      </c>
    </row>
    <row r="7054" spans="1:22">
      <c r="A7054" t="str">
        <f t="shared" si="1298"/>
        <v>23/10/2025</v>
      </c>
      <c r="B7054" t="str">
        <f t="shared" si="1306"/>
        <v>SAÍDA</v>
      </c>
      <c r="C7054" t="str">
        <f t="shared" si="1307"/>
        <v>PIX</v>
      </c>
      <c r="D7054" t="str">
        <f>"23862"</f>
        <v>23862</v>
      </c>
      <c r="E7054" t="str">
        <f t="shared" si="1308"/>
        <v>1</v>
      </c>
      <c r="F7054" t="str">
        <f t="shared" si="1300"/>
        <v>COM</v>
      </c>
      <c r="G7054" t="str">
        <f>"LUCAS MANOEL DA SILVA (978)"</f>
        <v>LUCAS MANOEL DA SILVA (978)</v>
      </c>
      <c r="H7054" t="s">
        <v>1880</v>
      </c>
      <c r="I7054" t="str">
        <f t="shared" si="1311"/>
        <v>23/10/2025</v>
      </c>
      <c r="J7054" t="str">
        <f t="shared" si="1312"/>
        <v>20/10/2025</v>
      </c>
      <c r="K7054">
        <v>45953</v>
      </c>
      <c r="N7054">
        <v>109</v>
      </c>
      <c r="O7054" t="s">
        <v>24</v>
      </c>
      <c r="Q7054">
        <v>416.63</v>
      </c>
      <c r="R7054" t="str">
        <f>"PENSE FARMA 45 (10209)"</f>
        <v>PENSE FARMA 45 (10209)</v>
      </c>
      <c r="S7054" t="s">
        <v>77</v>
      </c>
      <c r="T7054">
        <v>21859</v>
      </c>
      <c r="U7054">
        <v>23862</v>
      </c>
      <c r="V7054" t="s">
        <v>77</v>
      </c>
    </row>
    <row r="7055" spans="1:22">
      <c r="A7055" t="str">
        <f t="shared" si="1298"/>
        <v>23/10/2025</v>
      </c>
      <c r="B7055" t="str">
        <f t="shared" si="1306"/>
        <v>SAÍDA</v>
      </c>
      <c r="C7055" t="str">
        <f t="shared" si="1307"/>
        <v>PIX</v>
      </c>
      <c r="D7055" t="str">
        <f>"23862"</f>
        <v>23862</v>
      </c>
      <c r="E7055" t="str">
        <f t="shared" si="1308"/>
        <v>1</v>
      </c>
      <c r="F7055" t="str">
        <f t="shared" si="1300"/>
        <v>COM</v>
      </c>
      <c r="G7055" t="str">
        <f>"LUCAS MANOEL DA SILVA (978)"</f>
        <v>LUCAS MANOEL DA SILVA (978)</v>
      </c>
      <c r="H7055" t="s">
        <v>1880</v>
      </c>
      <c r="I7055" t="str">
        <f t="shared" si="1311"/>
        <v>23/10/2025</v>
      </c>
      <c r="J7055" t="str">
        <f t="shared" si="1312"/>
        <v>20/10/2025</v>
      </c>
      <c r="K7055">
        <v>45953</v>
      </c>
      <c r="N7055">
        <v>109</v>
      </c>
      <c r="O7055" t="s">
        <v>24</v>
      </c>
      <c r="Q7055">
        <v>416.75</v>
      </c>
      <c r="R7055" t="str">
        <f>"PENSE FARMA 50 (10210)"</f>
        <v>PENSE FARMA 50 (10210)</v>
      </c>
      <c r="S7055" t="s">
        <v>77</v>
      </c>
      <c r="T7055">
        <v>21859</v>
      </c>
      <c r="U7055">
        <v>23862</v>
      </c>
      <c r="V7055" t="s">
        <v>77</v>
      </c>
    </row>
    <row r="7056" spans="1:22">
      <c r="A7056" t="str">
        <f t="shared" si="1298"/>
        <v>23/10/2025</v>
      </c>
      <c r="B7056" t="str">
        <f t="shared" si="1306"/>
        <v>SAÍDA</v>
      </c>
      <c r="C7056" t="str">
        <f t="shared" si="1307"/>
        <v>PIX</v>
      </c>
      <c r="D7056" t="str">
        <f>"23860"</f>
        <v>23860</v>
      </c>
      <c r="E7056" t="str">
        <f t="shared" si="1308"/>
        <v>1</v>
      </c>
      <c r="F7056" t="str">
        <f t="shared" si="1300"/>
        <v>COM</v>
      </c>
      <c r="G7056" t="str">
        <f>"WILLIAM ANDRE SILVA COELLO (850)"</f>
        <v>WILLIAM ANDRE SILVA COELLO (850)</v>
      </c>
      <c r="H7056" t="str">
        <f>"Serv.Prest. 13/10/2025 a 19/10/2025 - PIX: CPF - CHAVE: 100.710.806-19"</f>
        <v>Serv.Prest. 13/10/2025 a 19/10/2025 - PIX: CPF - CHAVE: 100.710.806-19</v>
      </c>
      <c r="I7056" t="str">
        <f t="shared" si="1311"/>
        <v>23/10/2025</v>
      </c>
      <c r="J7056" t="str">
        <f t="shared" si="1312"/>
        <v>20/10/2025</v>
      </c>
      <c r="K7056" t="str">
        <f>("23/10/2025")</f>
        <v>23/10/2025</v>
      </c>
      <c r="L7056">
        <v>702.45</v>
      </c>
      <c r="M7056">
        <v>702.45</v>
      </c>
      <c r="N7056">
        <v>109</v>
      </c>
      <c r="O7056" t="str">
        <f>"PAGAMENTO DE ENTREGADORES"</f>
        <v>PAGAMENTO DE ENTREGADORES</v>
      </c>
      <c r="P7056">
        <v>702.45</v>
      </c>
      <c r="S7056" t="str">
        <f>"BANCO C6 (149)"</f>
        <v>BANCO C6 (149)</v>
      </c>
      <c r="T7056">
        <v>21860</v>
      </c>
      <c r="U7056">
        <v>23860</v>
      </c>
      <c r="V7056" t="s">
        <v>77</v>
      </c>
    </row>
    <row r="7057" spans="1:22">
      <c r="A7057" t="str">
        <f t="shared" si="1298"/>
        <v>23/10/2025</v>
      </c>
      <c r="B7057" t="str">
        <f t="shared" si="1306"/>
        <v>SAÍDA</v>
      </c>
      <c r="C7057" t="str">
        <f t="shared" si="1307"/>
        <v>PIX</v>
      </c>
      <c r="D7057" t="str">
        <f>"23860"</f>
        <v>23860</v>
      </c>
      <c r="E7057" t="str">
        <f t="shared" si="1308"/>
        <v>1</v>
      </c>
      <c r="F7057" t="str">
        <f t="shared" si="1300"/>
        <v>COM</v>
      </c>
      <c r="G7057" t="str">
        <f>"WILLIAM ANDRE SILVA COELLO (850)"</f>
        <v>WILLIAM ANDRE SILVA COELLO (850)</v>
      </c>
      <c r="H7057" t="s">
        <v>1937</v>
      </c>
      <c r="I7057" t="str">
        <f t="shared" si="1311"/>
        <v>23/10/2025</v>
      </c>
      <c r="J7057" t="str">
        <f t="shared" si="1312"/>
        <v>20/10/2025</v>
      </c>
      <c r="K7057">
        <v>45953</v>
      </c>
      <c r="N7057">
        <v>109</v>
      </c>
      <c r="O7057" t="s">
        <v>24</v>
      </c>
      <c r="Q7057">
        <v>702.45</v>
      </c>
      <c r="R7057" t="str">
        <f>"DROGARIA ANA VISCONDE DO RIO BRANCO (10182)"</f>
        <v>DROGARIA ANA VISCONDE DO RIO BRANCO (10182)</v>
      </c>
      <c r="S7057" t="s">
        <v>77</v>
      </c>
      <c r="T7057">
        <v>21860</v>
      </c>
      <c r="U7057">
        <v>23860</v>
      </c>
      <c r="V7057" t="s">
        <v>77</v>
      </c>
    </row>
    <row r="7058" spans="1:22">
      <c r="A7058" t="str">
        <f t="shared" si="1298"/>
        <v>23/10/2025</v>
      </c>
      <c r="B7058" t="str">
        <f t="shared" si="1306"/>
        <v>SAÍDA</v>
      </c>
      <c r="C7058" t="str">
        <f t="shared" si="1307"/>
        <v>PIX</v>
      </c>
      <c r="D7058" t="str">
        <f>"23859"</f>
        <v>23859</v>
      </c>
      <c r="E7058" t="str">
        <f t="shared" si="1308"/>
        <v>1</v>
      </c>
      <c r="F7058" t="str">
        <f t="shared" si="1300"/>
        <v>COM</v>
      </c>
      <c r="G7058" t="str">
        <f>"GABRIEL PACHECO DE QUEIROZ NARCISO (812)"</f>
        <v>GABRIEL PACHECO DE QUEIROZ NARCISO (812)</v>
      </c>
      <c r="H7058" t="str">
        <f>"Serv.Prest. 13/10/2025 a 19/10/2025 - PIX: CPF - CHAVE: 140.108.466-40"</f>
        <v>Serv.Prest. 13/10/2025 a 19/10/2025 - PIX: CPF - CHAVE: 140.108.466-40</v>
      </c>
      <c r="I7058" t="str">
        <f t="shared" si="1311"/>
        <v>23/10/2025</v>
      </c>
      <c r="J7058" t="str">
        <f t="shared" si="1312"/>
        <v>20/10/2025</v>
      </c>
      <c r="K7058" t="str">
        <f>("23/10/2025")</f>
        <v>23/10/2025</v>
      </c>
      <c r="L7058">
        <v>702.45</v>
      </c>
      <c r="M7058">
        <v>702.45</v>
      </c>
      <c r="N7058">
        <v>109</v>
      </c>
      <c r="O7058" t="str">
        <f>"PAGAMENTO DE ENTREGADORES"</f>
        <v>PAGAMENTO DE ENTREGADORES</v>
      </c>
      <c r="P7058">
        <v>702.45</v>
      </c>
      <c r="S7058" t="str">
        <f>"BANCO C6 (149)"</f>
        <v>BANCO C6 (149)</v>
      </c>
      <c r="T7058">
        <v>21861</v>
      </c>
      <c r="U7058">
        <v>23859</v>
      </c>
      <c r="V7058" t="s">
        <v>77</v>
      </c>
    </row>
    <row r="7059" spans="1:22">
      <c r="A7059" t="str">
        <f t="shared" si="1298"/>
        <v>23/10/2025</v>
      </c>
      <c r="B7059" t="str">
        <f t="shared" si="1306"/>
        <v>SAÍDA</v>
      </c>
      <c r="C7059" t="str">
        <f t="shared" si="1307"/>
        <v>PIX</v>
      </c>
      <c r="D7059" t="str">
        <f>"23859"</f>
        <v>23859</v>
      </c>
      <c r="E7059" t="str">
        <f t="shared" si="1308"/>
        <v>1</v>
      </c>
      <c r="F7059" t="str">
        <f t="shared" si="1300"/>
        <v>COM</v>
      </c>
      <c r="G7059" t="str">
        <f>"GABRIEL PACHECO DE QUEIROZ NARCISO (812)"</f>
        <v>GABRIEL PACHECO DE QUEIROZ NARCISO (812)</v>
      </c>
      <c r="H7059" t="s">
        <v>1938</v>
      </c>
      <c r="I7059" t="str">
        <f t="shared" si="1311"/>
        <v>23/10/2025</v>
      </c>
      <c r="J7059" t="str">
        <f t="shared" si="1312"/>
        <v>20/10/2025</v>
      </c>
      <c r="K7059">
        <v>45953</v>
      </c>
      <c r="N7059">
        <v>109</v>
      </c>
      <c r="O7059" t="s">
        <v>24</v>
      </c>
      <c r="Q7059">
        <v>702.45</v>
      </c>
      <c r="R7059" t="str">
        <f>"DROGARIA ANA VISCONDE DO RIO BRANCO (10182)"</f>
        <v>DROGARIA ANA VISCONDE DO RIO BRANCO (10182)</v>
      </c>
      <c r="S7059" t="s">
        <v>77</v>
      </c>
      <c r="T7059">
        <v>21861</v>
      </c>
      <c r="U7059">
        <v>23859</v>
      </c>
      <c r="V7059" t="s">
        <v>77</v>
      </c>
    </row>
    <row r="7060" spans="1:22">
      <c r="A7060" t="str">
        <f t="shared" si="1298"/>
        <v>23/10/2025</v>
      </c>
      <c r="B7060" t="str">
        <f t="shared" si="1306"/>
        <v>SAÍDA</v>
      </c>
      <c r="C7060" t="str">
        <f t="shared" si="1307"/>
        <v>PIX</v>
      </c>
      <c r="D7060" t="str">
        <f>"23858"</f>
        <v>23858</v>
      </c>
      <c r="E7060" t="str">
        <f t="shared" si="1308"/>
        <v>1</v>
      </c>
      <c r="F7060" t="str">
        <f t="shared" si="1300"/>
        <v>COM</v>
      </c>
      <c r="G7060" t="str">
        <f>"BRENO VIANA MONTEIRO RODRIGUES (811)"</f>
        <v>BRENO VIANA MONTEIRO RODRIGUES (811)</v>
      </c>
      <c r="H7060" t="str">
        <f>"Serv.Prest. 13/10/2025 a 19/10/2025 - PIX: CNPJ - CHAVE: 51.676.704/0001-10"</f>
        <v>Serv.Prest. 13/10/2025 a 19/10/2025 - PIX: CNPJ - CHAVE: 51.676.704/0001-10</v>
      </c>
      <c r="I7060" t="str">
        <f t="shared" si="1311"/>
        <v>23/10/2025</v>
      </c>
      <c r="J7060" t="str">
        <f t="shared" si="1312"/>
        <v>20/10/2025</v>
      </c>
      <c r="K7060" t="str">
        <f>("23/10/2025")</f>
        <v>23/10/2025</v>
      </c>
      <c r="L7060">
        <v>702.45</v>
      </c>
      <c r="M7060">
        <v>702.45</v>
      </c>
      <c r="N7060">
        <v>109</v>
      </c>
      <c r="O7060" t="str">
        <f>"PAGAMENTO DE ENTREGADORES"</f>
        <v>PAGAMENTO DE ENTREGADORES</v>
      </c>
      <c r="P7060">
        <v>702.45</v>
      </c>
      <c r="S7060" t="str">
        <f>"BANCO C6 (149)"</f>
        <v>BANCO C6 (149)</v>
      </c>
      <c r="T7060">
        <v>21862</v>
      </c>
      <c r="U7060">
        <v>23858</v>
      </c>
      <c r="V7060" t="s">
        <v>77</v>
      </c>
    </row>
    <row r="7061" spans="1:22">
      <c r="A7061" t="str">
        <f t="shared" ref="A7061:A7124" si="1315">("23/10/2025")</f>
        <v>23/10/2025</v>
      </c>
      <c r="B7061" t="str">
        <f t="shared" si="1306"/>
        <v>SAÍDA</v>
      </c>
      <c r="C7061" t="str">
        <f t="shared" si="1307"/>
        <v>PIX</v>
      </c>
      <c r="D7061" t="str">
        <f>"23858"</f>
        <v>23858</v>
      </c>
      <c r="E7061" t="str">
        <f t="shared" si="1308"/>
        <v>1</v>
      </c>
      <c r="F7061" t="str">
        <f t="shared" ref="F7061:F7124" si="1316">"COM"</f>
        <v>COM</v>
      </c>
      <c r="G7061" t="str">
        <f>"BRENO VIANA MONTEIRO RODRIGUES (811)"</f>
        <v>BRENO VIANA MONTEIRO RODRIGUES (811)</v>
      </c>
      <c r="H7061" t="s">
        <v>1939</v>
      </c>
      <c r="I7061" t="str">
        <f t="shared" si="1311"/>
        <v>23/10/2025</v>
      </c>
      <c r="J7061" t="str">
        <f t="shared" si="1312"/>
        <v>20/10/2025</v>
      </c>
      <c r="K7061">
        <v>45953</v>
      </c>
      <c r="N7061">
        <v>109</v>
      </c>
      <c r="O7061" t="s">
        <v>24</v>
      </c>
      <c r="Q7061">
        <v>702.45</v>
      </c>
      <c r="R7061" t="str">
        <f>"DROGARIA ANA VISCONDE DO RIO BRANCO (10182)"</f>
        <v>DROGARIA ANA VISCONDE DO RIO BRANCO (10182)</v>
      </c>
      <c r="S7061" t="s">
        <v>77</v>
      </c>
      <c r="T7061">
        <v>21862</v>
      </c>
      <c r="U7061">
        <v>23858</v>
      </c>
      <c r="V7061" t="s">
        <v>77</v>
      </c>
    </row>
    <row r="7062" spans="1:22">
      <c r="A7062" t="str">
        <f t="shared" si="1315"/>
        <v>23/10/2025</v>
      </c>
      <c r="B7062" t="str">
        <f t="shared" si="1306"/>
        <v>SAÍDA</v>
      </c>
      <c r="C7062" t="str">
        <f t="shared" si="1307"/>
        <v>PIX</v>
      </c>
      <c r="D7062" t="str">
        <f>"23857"</f>
        <v>23857</v>
      </c>
      <c r="E7062" t="str">
        <f t="shared" si="1308"/>
        <v>1</v>
      </c>
      <c r="F7062" t="str">
        <f t="shared" si="1316"/>
        <v>COM</v>
      </c>
      <c r="G7062" t="str">
        <f>"ANDERSON LUIZ SOARES (807)"</f>
        <v>ANDERSON LUIZ SOARES (807)</v>
      </c>
      <c r="H7062" t="str">
        <f>"Serv.Prest. 13/10/2025 a 19/10/2025 - PIX: CELULAR - CHAVE: (32) 99920-0416"</f>
        <v>Serv.Prest. 13/10/2025 a 19/10/2025 - PIX: CELULAR - CHAVE: (32) 99920-0416</v>
      </c>
      <c r="I7062" t="str">
        <f t="shared" si="1311"/>
        <v>23/10/2025</v>
      </c>
      <c r="J7062" t="str">
        <f t="shared" si="1312"/>
        <v>20/10/2025</v>
      </c>
      <c r="K7062" t="str">
        <f>("23/10/2025")</f>
        <v>23/10/2025</v>
      </c>
      <c r="L7062">
        <v>702.45</v>
      </c>
      <c r="M7062">
        <v>702.45</v>
      </c>
      <c r="N7062">
        <v>109</v>
      </c>
      <c r="O7062" t="str">
        <f>"PAGAMENTO DE ENTREGADORES"</f>
        <v>PAGAMENTO DE ENTREGADORES</v>
      </c>
      <c r="P7062">
        <v>702.45</v>
      </c>
      <c r="S7062" t="str">
        <f>"BANCO C6 (149)"</f>
        <v>BANCO C6 (149)</v>
      </c>
      <c r="T7062">
        <v>21863</v>
      </c>
      <c r="U7062">
        <v>23857</v>
      </c>
      <c r="V7062" t="s">
        <v>77</v>
      </c>
    </row>
    <row r="7063" spans="1:22">
      <c r="A7063" t="str">
        <f t="shared" si="1315"/>
        <v>23/10/2025</v>
      </c>
      <c r="B7063" t="str">
        <f t="shared" si="1306"/>
        <v>SAÍDA</v>
      </c>
      <c r="C7063" t="str">
        <f t="shared" si="1307"/>
        <v>PIX</v>
      </c>
      <c r="D7063" t="str">
        <f>"23857"</f>
        <v>23857</v>
      </c>
      <c r="E7063" t="str">
        <f t="shared" si="1308"/>
        <v>1</v>
      </c>
      <c r="F7063" t="str">
        <f t="shared" si="1316"/>
        <v>COM</v>
      </c>
      <c r="G7063" t="str">
        <f>"ANDERSON LUIZ SOARES (807)"</f>
        <v>ANDERSON LUIZ SOARES (807)</v>
      </c>
      <c r="H7063" t="s">
        <v>1940</v>
      </c>
      <c r="I7063" t="str">
        <f t="shared" si="1311"/>
        <v>23/10/2025</v>
      </c>
      <c r="J7063" t="str">
        <f t="shared" si="1312"/>
        <v>20/10/2025</v>
      </c>
      <c r="K7063">
        <v>45953</v>
      </c>
      <c r="N7063">
        <v>109</v>
      </c>
      <c r="O7063" t="s">
        <v>24</v>
      </c>
      <c r="Q7063">
        <v>702.45</v>
      </c>
      <c r="R7063" t="str">
        <f>"DROGARIA ANA VISCONDE DO RIO BRANCO (10182)"</f>
        <v>DROGARIA ANA VISCONDE DO RIO BRANCO (10182)</v>
      </c>
      <c r="S7063" t="s">
        <v>77</v>
      </c>
      <c r="T7063">
        <v>21863</v>
      </c>
      <c r="U7063">
        <v>23857</v>
      </c>
      <c r="V7063" t="s">
        <v>77</v>
      </c>
    </row>
    <row r="7064" spans="1:22">
      <c r="A7064" t="str">
        <f t="shared" si="1315"/>
        <v>23/10/2025</v>
      </c>
      <c r="B7064" t="str">
        <f t="shared" si="1306"/>
        <v>SAÍDA</v>
      </c>
      <c r="C7064" t="str">
        <f t="shared" si="1307"/>
        <v>PIX</v>
      </c>
      <c r="D7064" t="str">
        <f>"23856"</f>
        <v>23856</v>
      </c>
      <c r="E7064" t="str">
        <f t="shared" si="1308"/>
        <v>1</v>
      </c>
      <c r="F7064" t="str">
        <f t="shared" si="1316"/>
        <v>COM</v>
      </c>
      <c r="G7064" t="str">
        <f>"ALEXSANDRO HENRIQUE FERREIRA (808)"</f>
        <v>ALEXSANDRO HENRIQUE FERREIRA (808)</v>
      </c>
      <c r="H7064" t="str">
        <f>"Serv.Prest. 13/10/2025 a 19/10/2025 - PIX: CPF - CHAVE: 157.591.436-03"</f>
        <v>Serv.Prest. 13/10/2025 a 19/10/2025 - PIX: CPF - CHAVE: 157.591.436-03</v>
      </c>
      <c r="I7064" t="str">
        <f t="shared" si="1311"/>
        <v>23/10/2025</v>
      </c>
      <c r="J7064" t="str">
        <f t="shared" si="1312"/>
        <v>20/10/2025</v>
      </c>
      <c r="K7064" t="str">
        <f>("23/10/2025")</f>
        <v>23/10/2025</v>
      </c>
      <c r="L7064">
        <v>829.05</v>
      </c>
      <c r="M7064">
        <v>829.05</v>
      </c>
      <c r="N7064">
        <v>109</v>
      </c>
      <c r="O7064" t="str">
        <f>"PAGAMENTO DE ENTREGADORES"</f>
        <v>PAGAMENTO DE ENTREGADORES</v>
      </c>
      <c r="P7064">
        <v>829.05</v>
      </c>
      <c r="S7064" t="str">
        <f>"BANCO C6 (149)"</f>
        <v>BANCO C6 (149)</v>
      </c>
      <c r="T7064">
        <v>21864</v>
      </c>
      <c r="U7064">
        <v>23856</v>
      </c>
      <c r="V7064" t="s">
        <v>77</v>
      </c>
    </row>
    <row r="7065" spans="1:22">
      <c r="A7065" t="str">
        <f t="shared" si="1315"/>
        <v>23/10/2025</v>
      </c>
      <c r="B7065" t="str">
        <f t="shared" si="1306"/>
        <v>SAÍDA</v>
      </c>
      <c r="C7065" t="str">
        <f t="shared" si="1307"/>
        <v>PIX</v>
      </c>
      <c r="D7065" t="str">
        <f>"23856"</f>
        <v>23856</v>
      </c>
      <c r="E7065" t="str">
        <f t="shared" si="1308"/>
        <v>1</v>
      </c>
      <c r="F7065" t="str">
        <f t="shared" si="1316"/>
        <v>COM</v>
      </c>
      <c r="G7065" t="str">
        <f>"ALEXSANDRO HENRIQUE FERREIRA (808)"</f>
        <v>ALEXSANDRO HENRIQUE FERREIRA (808)</v>
      </c>
      <c r="H7065" t="s">
        <v>1870</v>
      </c>
      <c r="I7065" t="str">
        <f t="shared" si="1311"/>
        <v>23/10/2025</v>
      </c>
      <c r="J7065" t="str">
        <f t="shared" si="1312"/>
        <v>20/10/2025</v>
      </c>
      <c r="K7065">
        <v>45953</v>
      </c>
      <c r="N7065">
        <v>109</v>
      </c>
      <c r="O7065" t="s">
        <v>24</v>
      </c>
      <c r="Q7065">
        <v>829.05</v>
      </c>
      <c r="R7065" t="str">
        <f>"DROGARIA ANA VISCONDE DO RIO BRANCO (10182)"</f>
        <v>DROGARIA ANA VISCONDE DO RIO BRANCO (10182)</v>
      </c>
      <c r="S7065" t="s">
        <v>77</v>
      </c>
      <c r="T7065">
        <v>21864</v>
      </c>
      <c r="U7065">
        <v>23856</v>
      </c>
      <c r="V7065" t="s">
        <v>77</v>
      </c>
    </row>
    <row r="7066" spans="1:22">
      <c r="A7066" t="str">
        <f t="shared" si="1315"/>
        <v>23/10/2025</v>
      </c>
      <c r="B7066" t="str">
        <f t="shared" si="1306"/>
        <v>SAÍDA</v>
      </c>
      <c r="C7066" t="str">
        <f t="shared" si="1307"/>
        <v>PIX</v>
      </c>
      <c r="D7066" t="str">
        <f>"23852"</f>
        <v>23852</v>
      </c>
      <c r="E7066" t="str">
        <f t="shared" si="1308"/>
        <v>1</v>
      </c>
      <c r="F7066" t="str">
        <f t="shared" si="1316"/>
        <v>COM</v>
      </c>
      <c r="G7066" t="str">
        <f>"HELITON DE OLIVEIRA RAMOS BARBOSA (724)"</f>
        <v>HELITON DE OLIVEIRA RAMOS BARBOSA (724)</v>
      </c>
      <c r="H7066" t="str">
        <f>"Serv.Prest. 06/10/2025 a 12/10/2025 - PIX: CPF - CHAVE: 074.604.219-10"</f>
        <v>Serv.Prest. 06/10/2025 a 12/10/2025 - PIX: CPF - CHAVE: 074.604.219-10</v>
      </c>
      <c r="I7066" t="str">
        <f t="shared" si="1311"/>
        <v>23/10/2025</v>
      </c>
      <c r="J7066" t="str">
        <f t="shared" ref="J7066:J7104" si="1317">("16/10/2025")</f>
        <v>16/10/2025</v>
      </c>
      <c r="K7066" t="str">
        <f>("23/10/2025")</f>
        <v>23/10/2025</v>
      </c>
      <c r="L7066">
        <v>138.6</v>
      </c>
      <c r="M7066">
        <v>138.6</v>
      </c>
      <c r="N7066">
        <v>109</v>
      </c>
      <c r="O7066" t="str">
        <f>"PAGAMENTO DE ENTREGADORES"</f>
        <v>PAGAMENTO DE ENTREGADORES</v>
      </c>
      <c r="P7066">
        <v>138.6</v>
      </c>
      <c r="S7066" t="str">
        <f>"BANCO C6 (149)"</f>
        <v>BANCO C6 (149)</v>
      </c>
      <c r="T7066">
        <v>21865</v>
      </c>
      <c r="U7066">
        <v>23852</v>
      </c>
      <c r="V7066" t="s">
        <v>77</v>
      </c>
    </row>
    <row r="7067" spans="1:22">
      <c r="A7067" t="str">
        <f t="shared" si="1315"/>
        <v>23/10/2025</v>
      </c>
      <c r="B7067" t="str">
        <f t="shared" si="1306"/>
        <v>SAÍDA</v>
      </c>
      <c r="C7067" t="str">
        <f t="shared" si="1307"/>
        <v>PIX</v>
      </c>
      <c r="D7067" t="str">
        <f>"23852"</f>
        <v>23852</v>
      </c>
      <c r="E7067" t="str">
        <f t="shared" si="1308"/>
        <v>1</v>
      </c>
      <c r="F7067" t="str">
        <f t="shared" si="1316"/>
        <v>COM</v>
      </c>
      <c r="G7067" t="str">
        <f>"HELITON DE OLIVEIRA RAMOS BARBOSA (724)"</f>
        <v>HELITON DE OLIVEIRA RAMOS BARBOSA (724)</v>
      </c>
      <c r="H7067" t="s">
        <v>1941</v>
      </c>
      <c r="I7067" t="str">
        <f t="shared" si="1311"/>
        <v>23/10/2025</v>
      </c>
      <c r="J7067" t="str">
        <f t="shared" si="1317"/>
        <v>16/10/2025</v>
      </c>
      <c r="K7067">
        <v>45953</v>
      </c>
      <c r="N7067">
        <v>109</v>
      </c>
      <c r="O7067" t="s">
        <v>24</v>
      </c>
      <c r="Q7067">
        <v>138.6</v>
      </c>
      <c r="R7067" t="str">
        <f>"AC FARMA - FLEMINFARMA 5 (10183)"</f>
        <v>AC FARMA - FLEMINFARMA 5 (10183)</v>
      </c>
      <c r="S7067" t="s">
        <v>77</v>
      </c>
      <c r="T7067">
        <v>21865</v>
      </c>
      <c r="U7067">
        <v>23852</v>
      </c>
      <c r="V7067" t="s">
        <v>77</v>
      </c>
    </row>
    <row r="7068" spans="1:22">
      <c r="A7068" t="str">
        <f t="shared" si="1315"/>
        <v>23/10/2025</v>
      </c>
      <c r="B7068" t="str">
        <f t="shared" si="1306"/>
        <v>SAÍDA</v>
      </c>
      <c r="C7068" t="str">
        <f t="shared" si="1307"/>
        <v>PIX</v>
      </c>
      <c r="D7068" t="str">
        <f>"23851"</f>
        <v>23851</v>
      </c>
      <c r="E7068" t="str">
        <f t="shared" si="1308"/>
        <v>1</v>
      </c>
      <c r="F7068" t="str">
        <f t="shared" si="1316"/>
        <v>COM</v>
      </c>
      <c r="G7068" t="str">
        <f>"GERALDO SEVERINO DE SANTANA (729)"</f>
        <v>GERALDO SEVERINO DE SANTANA (729)</v>
      </c>
      <c r="H7068" t="str">
        <f>"Serv.Prest. 06/10/2025 a 12/10/2025 - PIX: CELULAR - CHAVE: (43) 99934-1696"</f>
        <v>Serv.Prest. 06/10/2025 a 12/10/2025 - PIX: CELULAR - CHAVE: (43) 99934-1696</v>
      </c>
      <c r="I7068" t="str">
        <f t="shared" si="1311"/>
        <v>23/10/2025</v>
      </c>
      <c r="J7068" t="str">
        <f t="shared" si="1317"/>
        <v>16/10/2025</v>
      </c>
      <c r="K7068" t="str">
        <f>("23/10/2025")</f>
        <v>23/10/2025</v>
      </c>
      <c r="L7068">
        <v>69.3</v>
      </c>
      <c r="M7068">
        <v>69.3</v>
      </c>
      <c r="N7068">
        <v>109</v>
      </c>
      <c r="O7068" t="str">
        <f>"PAGAMENTO DE ENTREGADORES"</f>
        <v>PAGAMENTO DE ENTREGADORES</v>
      </c>
      <c r="P7068">
        <v>69.3</v>
      </c>
      <c r="S7068" t="str">
        <f>"BANCO C6 (149)"</f>
        <v>BANCO C6 (149)</v>
      </c>
      <c r="T7068">
        <v>21866</v>
      </c>
      <c r="U7068">
        <v>23851</v>
      </c>
      <c r="V7068" t="s">
        <v>77</v>
      </c>
    </row>
    <row r="7069" spans="1:22">
      <c r="A7069" t="str">
        <f t="shared" si="1315"/>
        <v>23/10/2025</v>
      </c>
      <c r="B7069" t="str">
        <f t="shared" si="1306"/>
        <v>SAÍDA</v>
      </c>
      <c r="C7069" t="str">
        <f t="shared" si="1307"/>
        <v>PIX</v>
      </c>
      <c r="D7069" t="str">
        <f>"23851"</f>
        <v>23851</v>
      </c>
      <c r="E7069" t="str">
        <f t="shared" si="1308"/>
        <v>1</v>
      </c>
      <c r="F7069" t="str">
        <f t="shared" si="1316"/>
        <v>COM</v>
      </c>
      <c r="G7069" t="str">
        <f>"GERALDO SEVERINO DE SANTANA (729)"</f>
        <v>GERALDO SEVERINO DE SANTANA (729)</v>
      </c>
      <c r="H7069" t="s">
        <v>1942</v>
      </c>
      <c r="I7069" t="str">
        <f t="shared" si="1311"/>
        <v>23/10/2025</v>
      </c>
      <c r="J7069" t="str">
        <f t="shared" si="1317"/>
        <v>16/10/2025</v>
      </c>
      <c r="K7069">
        <v>45953</v>
      </c>
      <c r="N7069">
        <v>109</v>
      </c>
      <c r="O7069" t="s">
        <v>24</v>
      </c>
      <c r="Q7069">
        <v>69.3</v>
      </c>
      <c r="R7069" t="str">
        <f>"AC FARMA - FLEMINFARMA 5 (10183)"</f>
        <v>AC FARMA - FLEMINFARMA 5 (10183)</v>
      </c>
      <c r="S7069" t="s">
        <v>77</v>
      </c>
      <c r="T7069">
        <v>21866</v>
      </c>
      <c r="U7069">
        <v>23851</v>
      </c>
      <c r="V7069" t="s">
        <v>77</v>
      </c>
    </row>
    <row r="7070" spans="1:22">
      <c r="A7070" t="str">
        <f t="shared" si="1315"/>
        <v>23/10/2025</v>
      </c>
      <c r="B7070" t="str">
        <f t="shared" si="1306"/>
        <v>SAÍDA</v>
      </c>
      <c r="C7070" t="str">
        <f t="shared" si="1307"/>
        <v>PIX</v>
      </c>
      <c r="D7070" t="str">
        <f>"23850"</f>
        <v>23850</v>
      </c>
      <c r="E7070" t="str">
        <f t="shared" si="1308"/>
        <v>1</v>
      </c>
      <c r="F7070" t="str">
        <f t="shared" si="1316"/>
        <v>COM</v>
      </c>
      <c r="G7070" t="str">
        <f>"FERNANDO MARTINS DA SILVA (701)"</f>
        <v>FERNANDO MARTINS DA SILVA (701)</v>
      </c>
      <c r="H7070" t="str">
        <f>"Serv.Prest. 06/10/2025 a 12/10/2025 - PIX: CPF - CHAVE: 004.682.359-06"</f>
        <v>Serv.Prest. 06/10/2025 a 12/10/2025 - PIX: CPF - CHAVE: 004.682.359-06</v>
      </c>
      <c r="I7070" t="str">
        <f t="shared" si="1311"/>
        <v>23/10/2025</v>
      </c>
      <c r="J7070" t="str">
        <f t="shared" si="1317"/>
        <v>16/10/2025</v>
      </c>
      <c r="K7070" t="str">
        <f>("23/10/2025")</f>
        <v>23/10/2025</v>
      </c>
      <c r="L7070">
        <v>182.7</v>
      </c>
      <c r="M7070">
        <v>182.7</v>
      </c>
      <c r="N7070">
        <v>109</v>
      </c>
      <c r="O7070" t="str">
        <f>"PAGAMENTO DE ENTREGADORES"</f>
        <v>PAGAMENTO DE ENTREGADORES</v>
      </c>
      <c r="P7070">
        <v>182.7</v>
      </c>
      <c r="S7070" t="str">
        <f>"BANCO C6 (149)"</f>
        <v>BANCO C6 (149)</v>
      </c>
      <c r="T7070">
        <v>21867</v>
      </c>
      <c r="U7070">
        <v>23850</v>
      </c>
      <c r="V7070" t="s">
        <v>77</v>
      </c>
    </row>
    <row r="7071" spans="1:22">
      <c r="A7071" t="str">
        <f t="shared" si="1315"/>
        <v>23/10/2025</v>
      </c>
      <c r="B7071" t="str">
        <f t="shared" si="1306"/>
        <v>SAÍDA</v>
      </c>
      <c r="C7071" t="str">
        <f t="shared" si="1307"/>
        <v>PIX</v>
      </c>
      <c r="D7071" t="str">
        <f>"23850"</f>
        <v>23850</v>
      </c>
      <c r="E7071" t="str">
        <f t="shared" si="1308"/>
        <v>1</v>
      </c>
      <c r="F7071" t="str">
        <f t="shared" si="1316"/>
        <v>COM</v>
      </c>
      <c r="G7071" t="str">
        <f>"FERNANDO MARTINS DA SILVA (701)"</f>
        <v>FERNANDO MARTINS DA SILVA (701)</v>
      </c>
      <c r="H7071" t="s">
        <v>1943</v>
      </c>
      <c r="I7071" t="str">
        <f t="shared" si="1311"/>
        <v>23/10/2025</v>
      </c>
      <c r="J7071" t="str">
        <f t="shared" si="1317"/>
        <v>16/10/2025</v>
      </c>
      <c r="K7071">
        <v>45953</v>
      </c>
      <c r="N7071">
        <v>109</v>
      </c>
      <c r="O7071" t="s">
        <v>24</v>
      </c>
      <c r="Q7071">
        <v>176.4</v>
      </c>
      <c r="R7071" t="str">
        <f>"AC FARMA - FLEMINFARMA 5 (10183)"</f>
        <v>AC FARMA - FLEMINFARMA 5 (10183)</v>
      </c>
      <c r="S7071" t="s">
        <v>77</v>
      </c>
      <c r="T7071">
        <v>21867</v>
      </c>
      <c r="U7071">
        <v>23850</v>
      </c>
      <c r="V7071" t="s">
        <v>77</v>
      </c>
    </row>
    <row r="7072" spans="1:22">
      <c r="A7072" t="str">
        <f t="shared" si="1315"/>
        <v>23/10/2025</v>
      </c>
      <c r="B7072" t="str">
        <f t="shared" si="1306"/>
        <v>SAÍDA</v>
      </c>
      <c r="C7072" t="str">
        <f t="shared" si="1307"/>
        <v>PIX</v>
      </c>
      <c r="D7072" t="str">
        <f>"23850"</f>
        <v>23850</v>
      </c>
      <c r="E7072" t="str">
        <f t="shared" si="1308"/>
        <v>1</v>
      </c>
      <c r="F7072" t="str">
        <f t="shared" si="1316"/>
        <v>COM</v>
      </c>
      <c r="G7072" t="str">
        <f>"FERNANDO MARTINS DA SILVA (701)"</f>
        <v>FERNANDO MARTINS DA SILVA (701)</v>
      </c>
      <c r="H7072" t="s">
        <v>1943</v>
      </c>
      <c r="I7072" t="str">
        <f t="shared" si="1311"/>
        <v>23/10/2025</v>
      </c>
      <c r="J7072" t="str">
        <f t="shared" si="1317"/>
        <v>16/10/2025</v>
      </c>
      <c r="K7072">
        <v>45953</v>
      </c>
      <c r="N7072">
        <v>109</v>
      </c>
      <c r="O7072" t="s">
        <v>24</v>
      </c>
      <c r="Q7072">
        <v>6.3</v>
      </c>
      <c r="R7072" t="str">
        <f>"AC FARMA - FLEMINFARMA 6 (10184)"</f>
        <v>AC FARMA - FLEMINFARMA 6 (10184)</v>
      </c>
      <c r="S7072" t="s">
        <v>77</v>
      </c>
      <c r="T7072">
        <v>21867</v>
      </c>
      <c r="U7072">
        <v>23850</v>
      </c>
      <c r="V7072" t="s">
        <v>77</v>
      </c>
    </row>
    <row r="7073" spans="1:22">
      <c r="A7073" t="str">
        <f t="shared" si="1315"/>
        <v>23/10/2025</v>
      </c>
      <c r="B7073" t="str">
        <f t="shared" si="1306"/>
        <v>SAÍDA</v>
      </c>
      <c r="C7073" t="str">
        <f t="shared" si="1307"/>
        <v>PIX</v>
      </c>
      <c r="D7073" t="str">
        <f>"23849"</f>
        <v>23849</v>
      </c>
      <c r="E7073" t="str">
        <f t="shared" si="1308"/>
        <v>1</v>
      </c>
      <c r="F7073" t="str">
        <f t="shared" si="1316"/>
        <v>COM</v>
      </c>
      <c r="G7073" t="str">
        <f>"ALAN ACOSTA (897)"</f>
        <v>ALAN ACOSTA (897)</v>
      </c>
      <c r="H7073" t="str">
        <f>"Serv.Prest. 06/10/2025 a 12/10/2025 - PIX: E-MAIL - CHAVE: alanacosta1999@gmail.com"</f>
        <v>Serv.Prest. 06/10/2025 a 12/10/2025 - PIX: E-MAIL - CHAVE: alanacosta1999@gmail.com</v>
      </c>
      <c r="I7073" t="str">
        <f t="shared" si="1311"/>
        <v>23/10/2025</v>
      </c>
      <c r="J7073" t="str">
        <f t="shared" si="1317"/>
        <v>16/10/2025</v>
      </c>
      <c r="K7073" t="str">
        <f>("23/10/2025")</f>
        <v>23/10/2025</v>
      </c>
      <c r="L7073">
        <v>132.30000000000001</v>
      </c>
      <c r="M7073">
        <v>132.30000000000001</v>
      </c>
      <c r="N7073">
        <v>109</v>
      </c>
      <c r="O7073" t="str">
        <f>"PAGAMENTO DE ENTREGADORES"</f>
        <v>PAGAMENTO DE ENTREGADORES</v>
      </c>
      <c r="P7073">
        <v>132.30000000000001</v>
      </c>
      <c r="S7073" t="str">
        <f>"BANCO C6 (149)"</f>
        <v>BANCO C6 (149)</v>
      </c>
      <c r="T7073">
        <v>21868</v>
      </c>
      <c r="U7073">
        <v>23849</v>
      </c>
      <c r="V7073" t="s">
        <v>77</v>
      </c>
    </row>
    <row r="7074" spans="1:22">
      <c r="A7074" t="str">
        <f t="shared" si="1315"/>
        <v>23/10/2025</v>
      </c>
      <c r="B7074" t="str">
        <f t="shared" si="1306"/>
        <v>SAÍDA</v>
      </c>
      <c r="C7074" t="str">
        <f t="shared" si="1307"/>
        <v>PIX</v>
      </c>
      <c r="D7074" t="str">
        <f>"23849"</f>
        <v>23849</v>
      </c>
      <c r="E7074" t="str">
        <f t="shared" si="1308"/>
        <v>1</v>
      </c>
      <c r="F7074" t="str">
        <f t="shared" si="1316"/>
        <v>COM</v>
      </c>
      <c r="G7074" t="str">
        <f>"ALAN ACOSTA (897)"</f>
        <v>ALAN ACOSTA (897)</v>
      </c>
      <c r="H7074" t="s">
        <v>1944</v>
      </c>
      <c r="I7074" t="str">
        <f t="shared" si="1311"/>
        <v>23/10/2025</v>
      </c>
      <c r="J7074" t="str">
        <f t="shared" si="1317"/>
        <v>16/10/2025</v>
      </c>
      <c r="K7074">
        <v>45953</v>
      </c>
      <c r="N7074">
        <v>109</v>
      </c>
      <c r="O7074" t="s">
        <v>24</v>
      </c>
      <c r="Q7074">
        <v>119.71</v>
      </c>
      <c r="R7074" t="str">
        <f>"AC FARMA - FLEMINFARMA 5 (10183)"</f>
        <v>AC FARMA - FLEMINFARMA 5 (10183)</v>
      </c>
      <c r="S7074" t="s">
        <v>77</v>
      </c>
      <c r="T7074">
        <v>21868</v>
      </c>
      <c r="U7074">
        <v>23849</v>
      </c>
      <c r="V7074" t="s">
        <v>77</v>
      </c>
    </row>
    <row r="7075" spans="1:22">
      <c r="A7075" t="str">
        <f t="shared" si="1315"/>
        <v>23/10/2025</v>
      </c>
      <c r="B7075" t="str">
        <f t="shared" si="1306"/>
        <v>SAÍDA</v>
      </c>
      <c r="C7075" t="str">
        <f t="shared" si="1307"/>
        <v>PIX</v>
      </c>
      <c r="D7075" t="str">
        <f>"23849"</f>
        <v>23849</v>
      </c>
      <c r="E7075" t="str">
        <f t="shared" si="1308"/>
        <v>1</v>
      </c>
      <c r="F7075" t="str">
        <f t="shared" si="1316"/>
        <v>COM</v>
      </c>
      <c r="G7075" t="str">
        <f>"ALAN ACOSTA (897)"</f>
        <v>ALAN ACOSTA (897)</v>
      </c>
      <c r="H7075" t="s">
        <v>1944</v>
      </c>
      <c r="I7075" t="str">
        <f t="shared" si="1311"/>
        <v>23/10/2025</v>
      </c>
      <c r="J7075" t="str">
        <f t="shared" si="1317"/>
        <v>16/10/2025</v>
      </c>
      <c r="K7075">
        <v>45953</v>
      </c>
      <c r="N7075">
        <v>109</v>
      </c>
      <c r="O7075" t="s">
        <v>24</v>
      </c>
      <c r="Q7075">
        <v>12.59</v>
      </c>
      <c r="R7075" t="str">
        <f>"AC FARMA - FLEMINFARMA 6 (10184)"</f>
        <v>AC FARMA - FLEMINFARMA 6 (10184)</v>
      </c>
      <c r="S7075" t="s">
        <v>77</v>
      </c>
      <c r="T7075">
        <v>21868</v>
      </c>
      <c r="U7075">
        <v>23849</v>
      </c>
      <c r="V7075" t="s">
        <v>77</v>
      </c>
    </row>
    <row r="7076" spans="1:22">
      <c r="A7076" t="str">
        <f t="shared" si="1315"/>
        <v>23/10/2025</v>
      </c>
      <c r="B7076" t="str">
        <f t="shared" si="1306"/>
        <v>SAÍDA</v>
      </c>
      <c r="C7076" t="str">
        <f t="shared" si="1307"/>
        <v>PIX</v>
      </c>
      <c r="D7076" t="str">
        <f>"23847"</f>
        <v>23847</v>
      </c>
      <c r="E7076" t="str">
        <f t="shared" si="1308"/>
        <v>1</v>
      </c>
      <c r="F7076" t="str">
        <f t="shared" si="1316"/>
        <v>COM</v>
      </c>
      <c r="G7076" t="str">
        <f>"HELITON DE OLIVEIRA RAMOS BARBOSA (724)"</f>
        <v>HELITON DE OLIVEIRA RAMOS BARBOSA (724)</v>
      </c>
      <c r="H7076" t="str">
        <f>"Serv.Prest. 06/10/2025 a 12/10/2025 - PIX: CPF - CHAVE: 074.604.219-10"</f>
        <v>Serv.Prest. 06/10/2025 a 12/10/2025 - PIX: CPF - CHAVE: 074.604.219-10</v>
      </c>
      <c r="I7076" t="str">
        <f t="shared" si="1311"/>
        <v>23/10/2025</v>
      </c>
      <c r="J7076" t="str">
        <f t="shared" si="1317"/>
        <v>16/10/2025</v>
      </c>
      <c r="K7076" t="str">
        <f>("23/10/2025")</f>
        <v>23/10/2025</v>
      </c>
      <c r="L7076">
        <v>264.60000000000002</v>
      </c>
      <c r="M7076">
        <v>264.60000000000002</v>
      </c>
      <c r="N7076">
        <v>109</v>
      </c>
      <c r="O7076" t="str">
        <f>"PAGAMENTO DE ENTREGADORES"</f>
        <v>PAGAMENTO DE ENTREGADORES</v>
      </c>
      <c r="P7076">
        <v>264.60000000000002</v>
      </c>
      <c r="S7076" t="str">
        <f>"BANCO C6 (149)"</f>
        <v>BANCO C6 (149)</v>
      </c>
      <c r="T7076">
        <v>21869</v>
      </c>
      <c r="U7076">
        <v>23847</v>
      </c>
      <c r="V7076" t="s">
        <v>77</v>
      </c>
    </row>
    <row r="7077" spans="1:22">
      <c r="A7077" t="str">
        <f t="shared" si="1315"/>
        <v>23/10/2025</v>
      </c>
      <c r="B7077" t="str">
        <f t="shared" si="1306"/>
        <v>SAÍDA</v>
      </c>
      <c r="C7077" t="str">
        <f t="shared" si="1307"/>
        <v>PIX</v>
      </c>
      <c r="D7077" t="str">
        <f>"23847"</f>
        <v>23847</v>
      </c>
      <c r="E7077" t="str">
        <f t="shared" si="1308"/>
        <v>1</v>
      </c>
      <c r="F7077" t="str">
        <f t="shared" si="1316"/>
        <v>COM</v>
      </c>
      <c r="G7077" t="str">
        <f>"HELITON DE OLIVEIRA RAMOS BARBOSA (724)"</f>
        <v>HELITON DE OLIVEIRA RAMOS BARBOSA (724)</v>
      </c>
      <c r="H7077" t="s">
        <v>1941</v>
      </c>
      <c r="I7077" t="str">
        <f t="shared" si="1311"/>
        <v>23/10/2025</v>
      </c>
      <c r="J7077" t="str">
        <f t="shared" si="1317"/>
        <v>16/10/2025</v>
      </c>
      <c r="K7077">
        <v>45953</v>
      </c>
      <c r="N7077">
        <v>109</v>
      </c>
      <c r="O7077" t="s">
        <v>24</v>
      </c>
      <c r="Q7077">
        <v>258.3</v>
      </c>
      <c r="R7077" t="str">
        <f>"AC FARMA -  FLEMINFARMA (10159)"</f>
        <v>AC FARMA -  FLEMINFARMA (10159)</v>
      </c>
      <c r="S7077" t="s">
        <v>77</v>
      </c>
      <c r="T7077">
        <v>21869</v>
      </c>
      <c r="U7077">
        <v>23847</v>
      </c>
      <c r="V7077" t="s">
        <v>77</v>
      </c>
    </row>
    <row r="7078" spans="1:22">
      <c r="A7078" t="str">
        <f t="shared" si="1315"/>
        <v>23/10/2025</v>
      </c>
      <c r="B7078" t="str">
        <f t="shared" si="1306"/>
        <v>SAÍDA</v>
      </c>
      <c r="C7078" t="str">
        <f t="shared" si="1307"/>
        <v>PIX</v>
      </c>
      <c r="D7078" t="str">
        <f>"23847"</f>
        <v>23847</v>
      </c>
      <c r="E7078" t="str">
        <f t="shared" si="1308"/>
        <v>1</v>
      </c>
      <c r="F7078" t="str">
        <f t="shared" si="1316"/>
        <v>COM</v>
      </c>
      <c r="G7078" t="str">
        <f>"HELITON DE OLIVEIRA RAMOS BARBOSA (724)"</f>
        <v>HELITON DE OLIVEIRA RAMOS BARBOSA (724)</v>
      </c>
      <c r="H7078" t="s">
        <v>1941</v>
      </c>
      <c r="I7078" t="str">
        <f t="shared" si="1311"/>
        <v>23/10/2025</v>
      </c>
      <c r="J7078" t="str">
        <f t="shared" si="1317"/>
        <v>16/10/2025</v>
      </c>
      <c r="K7078">
        <v>45953</v>
      </c>
      <c r="N7078">
        <v>109</v>
      </c>
      <c r="O7078" t="s">
        <v>24</v>
      </c>
      <c r="Q7078">
        <v>6.3</v>
      </c>
      <c r="R7078" t="str">
        <f>"AC FARMA - FLEMINFARMA (10160)"</f>
        <v>AC FARMA - FLEMINFARMA (10160)</v>
      </c>
      <c r="S7078" t="s">
        <v>77</v>
      </c>
      <c r="T7078">
        <v>21869</v>
      </c>
      <c r="U7078">
        <v>23847</v>
      </c>
      <c r="V7078" t="s">
        <v>77</v>
      </c>
    </row>
    <row r="7079" spans="1:22">
      <c r="A7079" t="str">
        <f t="shared" si="1315"/>
        <v>23/10/2025</v>
      </c>
      <c r="B7079" t="str">
        <f t="shared" si="1306"/>
        <v>SAÍDA</v>
      </c>
      <c r="C7079" t="str">
        <f t="shared" si="1307"/>
        <v>PIX</v>
      </c>
      <c r="D7079" t="str">
        <f>"23846"</f>
        <v>23846</v>
      </c>
      <c r="E7079" t="str">
        <f t="shared" si="1308"/>
        <v>1</v>
      </c>
      <c r="F7079" t="str">
        <f t="shared" si="1316"/>
        <v>COM</v>
      </c>
      <c r="G7079" t="str">
        <f>"GERALDO SEVERINO DE SANTANA (729)"</f>
        <v>GERALDO SEVERINO DE SANTANA (729)</v>
      </c>
      <c r="H7079" t="str">
        <f>"Serv.Prest. 06/10/2025 a 12/10/2025 - PIX: CELULAR - CHAVE: (43) 99934-1696"</f>
        <v>Serv.Prest. 06/10/2025 a 12/10/2025 - PIX: CELULAR - CHAVE: (43) 99934-1696</v>
      </c>
      <c r="I7079" t="str">
        <f t="shared" si="1311"/>
        <v>23/10/2025</v>
      </c>
      <c r="J7079" t="str">
        <f t="shared" si="1317"/>
        <v>16/10/2025</v>
      </c>
      <c r="K7079" t="str">
        <f>("23/10/2025")</f>
        <v>23/10/2025</v>
      </c>
      <c r="L7079">
        <v>252</v>
      </c>
      <c r="M7079">
        <v>252</v>
      </c>
      <c r="N7079">
        <v>109</v>
      </c>
      <c r="O7079" t="str">
        <f>"PAGAMENTO DE ENTREGADORES"</f>
        <v>PAGAMENTO DE ENTREGADORES</v>
      </c>
      <c r="P7079">
        <v>252</v>
      </c>
      <c r="S7079" t="str">
        <f>"BANCO C6 (149)"</f>
        <v>BANCO C6 (149)</v>
      </c>
      <c r="T7079">
        <v>21870</v>
      </c>
      <c r="U7079">
        <v>23846</v>
      </c>
      <c r="V7079" t="s">
        <v>77</v>
      </c>
    </row>
    <row r="7080" spans="1:22">
      <c r="A7080" t="str">
        <f t="shared" si="1315"/>
        <v>23/10/2025</v>
      </c>
      <c r="B7080" t="str">
        <f t="shared" si="1306"/>
        <v>SAÍDA</v>
      </c>
      <c r="C7080" t="str">
        <f t="shared" si="1307"/>
        <v>PIX</v>
      </c>
      <c r="D7080" t="str">
        <f>"23846"</f>
        <v>23846</v>
      </c>
      <c r="E7080" t="str">
        <f t="shared" si="1308"/>
        <v>1</v>
      </c>
      <c r="F7080" t="str">
        <f t="shared" si="1316"/>
        <v>COM</v>
      </c>
      <c r="G7080" t="str">
        <f>"GERALDO SEVERINO DE SANTANA (729)"</f>
        <v>GERALDO SEVERINO DE SANTANA (729)</v>
      </c>
      <c r="H7080" t="s">
        <v>1942</v>
      </c>
      <c r="I7080" t="str">
        <f t="shared" si="1311"/>
        <v>23/10/2025</v>
      </c>
      <c r="J7080" t="str">
        <f t="shared" si="1317"/>
        <v>16/10/2025</v>
      </c>
      <c r="K7080">
        <v>45953</v>
      </c>
      <c r="N7080">
        <v>109</v>
      </c>
      <c r="O7080" t="s">
        <v>24</v>
      </c>
      <c r="Q7080">
        <v>233.1</v>
      </c>
      <c r="R7080" t="str">
        <f>"AC FARMA -  FLEMINFARMA (10159)"</f>
        <v>AC FARMA -  FLEMINFARMA (10159)</v>
      </c>
      <c r="S7080" t="s">
        <v>77</v>
      </c>
      <c r="T7080">
        <v>21870</v>
      </c>
      <c r="U7080">
        <v>23846</v>
      </c>
      <c r="V7080" t="s">
        <v>77</v>
      </c>
    </row>
    <row r="7081" spans="1:22">
      <c r="A7081" t="str">
        <f t="shared" si="1315"/>
        <v>23/10/2025</v>
      </c>
      <c r="B7081" t="str">
        <f t="shared" si="1306"/>
        <v>SAÍDA</v>
      </c>
      <c r="C7081" t="str">
        <f t="shared" si="1307"/>
        <v>PIX</v>
      </c>
      <c r="D7081" t="str">
        <f>"23846"</f>
        <v>23846</v>
      </c>
      <c r="E7081" t="str">
        <f t="shared" si="1308"/>
        <v>1</v>
      </c>
      <c r="F7081" t="str">
        <f t="shared" si="1316"/>
        <v>COM</v>
      </c>
      <c r="G7081" t="str">
        <f>"GERALDO SEVERINO DE SANTANA (729)"</f>
        <v>GERALDO SEVERINO DE SANTANA (729)</v>
      </c>
      <c r="H7081" t="s">
        <v>1942</v>
      </c>
      <c r="I7081" t="str">
        <f t="shared" si="1311"/>
        <v>23/10/2025</v>
      </c>
      <c r="J7081" t="str">
        <f t="shared" si="1317"/>
        <v>16/10/2025</v>
      </c>
      <c r="K7081">
        <v>45953</v>
      </c>
      <c r="N7081">
        <v>109</v>
      </c>
      <c r="O7081" t="s">
        <v>24</v>
      </c>
      <c r="Q7081">
        <v>18.899999999999999</v>
      </c>
      <c r="R7081" t="str">
        <f>"AC FARMA - FLEMINFARMA (10160)"</f>
        <v>AC FARMA - FLEMINFARMA (10160)</v>
      </c>
      <c r="S7081" t="s">
        <v>77</v>
      </c>
      <c r="T7081">
        <v>21870</v>
      </c>
      <c r="U7081">
        <v>23846</v>
      </c>
      <c r="V7081" t="s">
        <v>77</v>
      </c>
    </row>
    <row r="7082" spans="1:22">
      <c r="A7082" t="str">
        <f t="shared" si="1315"/>
        <v>23/10/2025</v>
      </c>
      <c r="B7082" t="str">
        <f t="shared" si="1306"/>
        <v>SAÍDA</v>
      </c>
      <c r="C7082" t="str">
        <f t="shared" si="1307"/>
        <v>PIX</v>
      </c>
      <c r="D7082" t="str">
        <f>"23845"</f>
        <v>23845</v>
      </c>
      <c r="E7082" t="str">
        <f t="shared" si="1308"/>
        <v>1</v>
      </c>
      <c r="F7082" t="str">
        <f t="shared" si="1316"/>
        <v>COM</v>
      </c>
      <c r="G7082" t="str">
        <f>"FERNANDO MARTINS DA SILVA (701)"</f>
        <v>FERNANDO MARTINS DA SILVA (701)</v>
      </c>
      <c r="H7082" t="str">
        <f>"Serv.Prest. 06/10/2025 a 12/10/2025 - PIX: CPF - CHAVE: 004.682.359-06"</f>
        <v>Serv.Prest. 06/10/2025 a 12/10/2025 - PIX: CPF - CHAVE: 004.682.359-06</v>
      </c>
      <c r="I7082" t="str">
        <f t="shared" si="1311"/>
        <v>23/10/2025</v>
      </c>
      <c r="J7082" t="str">
        <f t="shared" si="1317"/>
        <v>16/10/2025</v>
      </c>
      <c r="K7082" t="str">
        <f>("23/10/2025")</f>
        <v>23/10/2025</v>
      </c>
      <c r="L7082">
        <v>252</v>
      </c>
      <c r="M7082">
        <v>252</v>
      </c>
      <c r="N7082">
        <v>109</v>
      </c>
      <c r="O7082" t="str">
        <f>"PAGAMENTO DE ENTREGADORES"</f>
        <v>PAGAMENTO DE ENTREGADORES</v>
      </c>
      <c r="P7082">
        <v>252</v>
      </c>
      <c r="S7082" t="str">
        <f>"BANCO C6 (149)"</f>
        <v>BANCO C6 (149)</v>
      </c>
      <c r="T7082">
        <v>21871</v>
      </c>
      <c r="U7082">
        <v>23845</v>
      </c>
      <c r="V7082" t="s">
        <v>77</v>
      </c>
    </row>
    <row r="7083" spans="1:22">
      <c r="A7083" t="str">
        <f t="shared" si="1315"/>
        <v>23/10/2025</v>
      </c>
      <c r="B7083" t="str">
        <f t="shared" si="1306"/>
        <v>SAÍDA</v>
      </c>
      <c r="C7083" t="str">
        <f t="shared" si="1307"/>
        <v>PIX</v>
      </c>
      <c r="D7083" t="str">
        <f>"23845"</f>
        <v>23845</v>
      </c>
      <c r="E7083" t="str">
        <f t="shared" si="1308"/>
        <v>1</v>
      </c>
      <c r="F7083" t="str">
        <f t="shared" si="1316"/>
        <v>COM</v>
      </c>
      <c r="G7083" t="str">
        <f>"FERNANDO MARTINS DA SILVA (701)"</f>
        <v>FERNANDO MARTINS DA SILVA (701)</v>
      </c>
      <c r="H7083" t="s">
        <v>1943</v>
      </c>
      <c r="I7083" t="str">
        <f t="shared" si="1311"/>
        <v>23/10/2025</v>
      </c>
      <c r="J7083" t="str">
        <f t="shared" si="1317"/>
        <v>16/10/2025</v>
      </c>
      <c r="K7083">
        <v>45953</v>
      </c>
      <c r="N7083">
        <v>109</v>
      </c>
      <c r="O7083" t="s">
        <v>24</v>
      </c>
      <c r="Q7083">
        <v>239.4</v>
      </c>
      <c r="R7083" t="str">
        <f>"AC FARMA -  FLEMINFARMA (10159)"</f>
        <v>AC FARMA -  FLEMINFARMA (10159)</v>
      </c>
      <c r="S7083" t="s">
        <v>77</v>
      </c>
      <c r="T7083">
        <v>21871</v>
      </c>
      <c r="U7083">
        <v>23845</v>
      </c>
      <c r="V7083" t="s">
        <v>77</v>
      </c>
    </row>
    <row r="7084" spans="1:22">
      <c r="A7084" t="str">
        <f t="shared" si="1315"/>
        <v>23/10/2025</v>
      </c>
      <c r="B7084" t="str">
        <f t="shared" si="1306"/>
        <v>SAÍDA</v>
      </c>
      <c r="C7084" t="str">
        <f t="shared" si="1307"/>
        <v>PIX</v>
      </c>
      <c r="D7084" t="str">
        <f>"23845"</f>
        <v>23845</v>
      </c>
      <c r="E7084" t="str">
        <f t="shared" si="1308"/>
        <v>1</v>
      </c>
      <c r="F7084" t="str">
        <f t="shared" si="1316"/>
        <v>COM</v>
      </c>
      <c r="G7084" t="str">
        <f>"FERNANDO MARTINS DA SILVA (701)"</f>
        <v>FERNANDO MARTINS DA SILVA (701)</v>
      </c>
      <c r="H7084" t="s">
        <v>1943</v>
      </c>
      <c r="I7084" t="str">
        <f t="shared" si="1311"/>
        <v>23/10/2025</v>
      </c>
      <c r="J7084" t="str">
        <f t="shared" si="1317"/>
        <v>16/10/2025</v>
      </c>
      <c r="K7084">
        <v>45953</v>
      </c>
      <c r="N7084">
        <v>109</v>
      </c>
      <c r="O7084" t="s">
        <v>24</v>
      </c>
      <c r="Q7084">
        <v>12.6</v>
      </c>
      <c r="R7084" t="str">
        <f>"AC FARMA - FLEMINFARMA (10160)"</f>
        <v>AC FARMA - FLEMINFARMA (10160)</v>
      </c>
      <c r="S7084" t="s">
        <v>77</v>
      </c>
      <c r="T7084">
        <v>21871</v>
      </c>
      <c r="U7084">
        <v>23845</v>
      </c>
      <c r="V7084" t="s">
        <v>77</v>
      </c>
    </row>
    <row r="7085" spans="1:22">
      <c r="A7085" t="str">
        <f t="shared" si="1315"/>
        <v>23/10/2025</v>
      </c>
      <c r="B7085" t="str">
        <f t="shared" si="1306"/>
        <v>SAÍDA</v>
      </c>
      <c r="C7085" t="str">
        <f t="shared" si="1307"/>
        <v>PIX</v>
      </c>
      <c r="D7085" t="str">
        <f>"23844"</f>
        <v>23844</v>
      </c>
      <c r="E7085" t="str">
        <f t="shared" si="1308"/>
        <v>1</v>
      </c>
      <c r="F7085" t="str">
        <f t="shared" si="1316"/>
        <v>COM</v>
      </c>
      <c r="G7085" t="str">
        <f>"CLAUDINEI RIBEIRO VALERIO (681)"</f>
        <v>CLAUDINEI RIBEIRO VALERIO (681)</v>
      </c>
      <c r="H7085" t="str">
        <f>"Serv.Prest. 06/10/2025 a 12/10/2025 - PIX: CELULAR - CHAVE: (43) 99630-7532"</f>
        <v>Serv.Prest. 06/10/2025 a 12/10/2025 - PIX: CELULAR - CHAVE: (43) 99630-7532</v>
      </c>
      <c r="I7085" t="str">
        <f t="shared" si="1311"/>
        <v>23/10/2025</v>
      </c>
      <c r="J7085" t="str">
        <f t="shared" si="1317"/>
        <v>16/10/2025</v>
      </c>
      <c r="K7085" t="str">
        <f>("23/10/2025")</f>
        <v>23/10/2025</v>
      </c>
      <c r="L7085">
        <v>31.5</v>
      </c>
      <c r="M7085">
        <v>31.5</v>
      </c>
      <c r="N7085">
        <v>109</v>
      </c>
      <c r="O7085" t="str">
        <f>"PAGAMENTO DE ENTREGADORES"</f>
        <v>PAGAMENTO DE ENTREGADORES</v>
      </c>
      <c r="P7085">
        <v>31.5</v>
      </c>
      <c r="S7085" t="str">
        <f>"BANCO C6 (149)"</f>
        <v>BANCO C6 (149)</v>
      </c>
      <c r="T7085">
        <v>21872</v>
      </c>
      <c r="U7085">
        <v>23844</v>
      </c>
      <c r="V7085" t="s">
        <v>77</v>
      </c>
    </row>
    <row r="7086" spans="1:22">
      <c r="A7086" t="str">
        <f t="shared" si="1315"/>
        <v>23/10/2025</v>
      </c>
      <c r="B7086" t="str">
        <f t="shared" si="1306"/>
        <v>SAÍDA</v>
      </c>
      <c r="C7086" t="str">
        <f t="shared" si="1307"/>
        <v>PIX</v>
      </c>
      <c r="D7086" t="str">
        <f>"23844"</f>
        <v>23844</v>
      </c>
      <c r="E7086" t="str">
        <f t="shared" si="1308"/>
        <v>1</v>
      </c>
      <c r="F7086" t="str">
        <f t="shared" si="1316"/>
        <v>COM</v>
      </c>
      <c r="G7086" t="str">
        <f>"CLAUDINEI RIBEIRO VALERIO (681)"</f>
        <v>CLAUDINEI RIBEIRO VALERIO (681)</v>
      </c>
      <c r="H7086" t="s">
        <v>1945</v>
      </c>
      <c r="I7086" t="str">
        <f t="shared" si="1311"/>
        <v>23/10/2025</v>
      </c>
      <c r="J7086" t="str">
        <f t="shared" si="1317"/>
        <v>16/10/2025</v>
      </c>
      <c r="K7086">
        <v>45953</v>
      </c>
      <c r="N7086">
        <v>109</v>
      </c>
      <c r="O7086" t="s">
        <v>24</v>
      </c>
      <c r="Q7086">
        <v>31.5</v>
      </c>
      <c r="R7086" t="str">
        <f>"AC FARMA -  FLEMINFARMA (10159)"</f>
        <v>AC FARMA -  FLEMINFARMA (10159)</v>
      </c>
      <c r="S7086" t="s">
        <v>77</v>
      </c>
      <c r="T7086">
        <v>21872</v>
      </c>
      <c r="U7086">
        <v>23844</v>
      </c>
      <c r="V7086" t="s">
        <v>77</v>
      </c>
    </row>
    <row r="7087" spans="1:22">
      <c r="A7087" t="str">
        <f t="shared" si="1315"/>
        <v>23/10/2025</v>
      </c>
      <c r="B7087" t="str">
        <f t="shared" si="1306"/>
        <v>SAÍDA</v>
      </c>
      <c r="C7087" t="str">
        <f t="shared" si="1307"/>
        <v>PIX</v>
      </c>
      <c r="D7087" t="str">
        <f>"23843"</f>
        <v>23843</v>
      </c>
      <c r="E7087" t="str">
        <f t="shared" si="1308"/>
        <v>1</v>
      </c>
      <c r="F7087" t="str">
        <f t="shared" si="1316"/>
        <v>COM</v>
      </c>
      <c r="G7087" t="str">
        <f>"ALEXANDRE DA CONCEICAO (714)"</f>
        <v>ALEXANDRE DA CONCEICAO (714)</v>
      </c>
      <c r="H7087" t="str">
        <f>"Serv.Prest. 06/10/2025 a 12/10/2025 - PIX: CPF - CHAVE: 975.425.989-53"</f>
        <v>Serv.Prest. 06/10/2025 a 12/10/2025 - PIX: CPF - CHAVE: 975.425.989-53</v>
      </c>
      <c r="I7087" t="str">
        <f t="shared" si="1311"/>
        <v>23/10/2025</v>
      </c>
      <c r="J7087" t="str">
        <f t="shared" si="1317"/>
        <v>16/10/2025</v>
      </c>
      <c r="K7087" t="str">
        <f>("23/10/2025")</f>
        <v>23/10/2025</v>
      </c>
      <c r="L7087">
        <v>31.5</v>
      </c>
      <c r="M7087">
        <v>31.5</v>
      </c>
      <c r="N7087">
        <v>109</v>
      </c>
      <c r="O7087" t="str">
        <f>"PAGAMENTO DE ENTREGADORES"</f>
        <v>PAGAMENTO DE ENTREGADORES</v>
      </c>
      <c r="P7087">
        <v>31.5</v>
      </c>
      <c r="S7087" t="str">
        <f>"BANCO C6 (149)"</f>
        <v>BANCO C6 (149)</v>
      </c>
      <c r="T7087">
        <v>21873</v>
      </c>
      <c r="U7087">
        <v>23843</v>
      </c>
      <c r="V7087" t="s">
        <v>77</v>
      </c>
    </row>
    <row r="7088" spans="1:22">
      <c r="A7088" t="str">
        <f t="shared" si="1315"/>
        <v>23/10/2025</v>
      </c>
      <c r="B7088" t="str">
        <f t="shared" si="1306"/>
        <v>SAÍDA</v>
      </c>
      <c r="C7088" t="str">
        <f t="shared" si="1307"/>
        <v>PIX</v>
      </c>
      <c r="D7088" t="str">
        <f>"23843"</f>
        <v>23843</v>
      </c>
      <c r="E7088" t="str">
        <f t="shared" si="1308"/>
        <v>1</v>
      </c>
      <c r="F7088" t="str">
        <f t="shared" si="1316"/>
        <v>COM</v>
      </c>
      <c r="G7088" t="str">
        <f>"ALEXANDRE DA CONCEICAO (714)"</f>
        <v>ALEXANDRE DA CONCEICAO (714)</v>
      </c>
      <c r="H7088" t="s">
        <v>1946</v>
      </c>
      <c r="I7088" t="str">
        <f t="shared" si="1311"/>
        <v>23/10/2025</v>
      </c>
      <c r="J7088" t="str">
        <f t="shared" si="1317"/>
        <v>16/10/2025</v>
      </c>
      <c r="K7088">
        <v>45953</v>
      </c>
      <c r="N7088">
        <v>109</v>
      </c>
      <c r="O7088" t="s">
        <v>24</v>
      </c>
      <c r="Q7088">
        <v>31.5</v>
      </c>
      <c r="R7088" t="str">
        <f>"AC FARMA -  FLEMINFARMA (10159)"</f>
        <v>AC FARMA -  FLEMINFARMA (10159)</v>
      </c>
      <c r="S7088" t="s">
        <v>77</v>
      </c>
      <c r="T7088">
        <v>21873</v>
      </c>
      <c r="U7088">
        <v>23843</v>
      </c>
      <c r="V7088" t="s">
        <v>77</v>
      </c>
    </row>
    <row r="7089" spans="1:22">
      <c r="A7089" t="str">
        <f t="shared" si="1315"/>
        <v>23/10/2025</v>
      </c>
      <c r="B7089" t="str">
        <f t="shared" si="1306"/>
        <v>SAÍDA</v>
      </c>
      <c r="C7089" t="str">
        <f t="shared" si="1307"/>
        <v>PIX</v>
      </c>
      <c r="D7089" t="str">
        <f>"23842"</f>
        <v>23842</v>
      </c>
      <c r="E7089" t="str">
        <f t="shared" si="1308"/>
        <v>1</v>
      </c>
      <c r="F7089" t="str">
        <f t="shared" si="1316"/>
        <v>COM</v>
      </c>
      <c r="G7089" t="str">
        <f>"ALAN ACOSTA (897)"</f>
        <v>ALAN ACOSTA (897)</v>
      </c>
      <c r="H7089" t="str">
        <f>"Serv.Prest. 06/10/2025 a 12/10/2025 - PIX: E-MAIL - CHAVE: alanacosta1999@gmail.com"</f>
        <v>Serv.Prest. 06/10/2025 a 12/10/2025 - PIX: E-MAIL - CHAVE: alanacosta1999@gmail.com</v>
      </c>
      <c r="I7089" t="str">
        <f t="shared" si="1311"/>
        <v>23/10/2025</v>
      </c>
      <c r="J7089" t="str">
        <f t="shared" si="1317"/>
        <v>16/10/2025</v>
      </c>
      <c r="K7089" t="str">
        <f>("23/10/2025")</f>
        <v>23/10/2025</v>
      </c>
      <c r="L7089">
        <v>144.9</v>
      </c>
      <c r="M7089">
        <v>144.9</v>
      </c>
      <c r="N7089">
        <v>109</v>
      </c>
      <c r="O7089" t="str">
        <f>"PAGAMENTO DE ENTREGADORES"</f>
        <v>PAGAMENTO DE ENTREGADORES</v>
      </c>
      <c r="P7089">
        <v>144.9</v>
      </c>
      <c r="S7089" t="str">
        <f>"BANCO C6 (149)"</f>
        <v>BANCO C6 (149)</v>
      </c>
      <c r="T7089">
        <v>21874</v>
      </c>
      <c r="U7089">
        <v>23842</v>
      </c>
      <c r="V7089" t="s">
        <v>77</v>
      </c>
    </row>
    <row r="7090" spans="1:22">
      <c r="A7090" t="str">
        <f t="shared" si="1315"/>
        <v>23/10/2025</v>
      </c>
      <c r="B7090" t="str">
        <f t="shared" si="1306"/>
        <v>SAÍDA</v>
      </c>
      <c r="C7090" t="str">
        <f t="shared" si="1307"/>
        <v>PIX</v>
      </c>
      <c r="D7090" t="str">
        <f>"23842"</f>
        <v>23842</v>
      </c>
      <c r="E7090" t="str">
        <f t="shared" si="1308"/>
        <v>1</v>
      </c>
      <c r="F7090" t="str">
        <f t="shared" si="1316"/>
        <v>COM</v>
      </c>
      <c r="G7090" t="str">
        <f>"ALAN ACOSTA (897)"</f>
        <v>ALAN ACOSTA (897)</v>
      </c>
      <c r="H7090" t="s">
        <v>1944</v>
      </c>
      <c r="I7090" t="str">
        <f t="shared" si="1311"/>
        <v>23/10/2025</v>
      </c>
      <c r="J7090" t="str">
        <f t="shared" si="1317"/>
        <v>16/10/2025</v>
      </c>
      <c r="K7090">
        <v>45953</v>
      </c>
      <c r="N7090">
        <v>109</v>
      </c>
      <c r="O7090" t="s">
        <v>24</v>
      </c>
      <c r="Q7090">
        <v>144.9</v>
      </c>
      <c r="R7090" t="str">
        <f>"AC FARMA -  FLEMINFARMA (10159)"</f>
        <v>AC FARMA -  FLEMINFARMA (10159)</v>
      </c>
      <c r="S7090" t="s">
        <v>77</v>
      </c>
      <c r="T7090">
        <v>21874</v>
      </c>
      <c r="U7090">
        <v>23842</v>
      </c>
      <c r="V7090" t="s">
        <v>77</v>
      </c>
    </row>
    <row r="7091" spans="1:22">
      <c r="A7091" t="str">
        <f t="shared" si="1315"/>
        <v>23/10/2025</v>
      </c>
      <c r="B7091" t="str">
        <f t="shared" si="1306"/>
        <v>SAÍDA</v>
      </c>
      <c r="C7091" t="str">
        <f t="shared" si="1307"/>
        <v>PIX</v>
      </c>
      <c r="D7091" t="str">
        <f>"23840"</f>
        <v>23840</v>
      </c>
      <c r="E7091" t="str">
        <f t="shared" si="1308"/>
        <v>1</v>
      </c>
      <c r="F7091" t="str">
        <f t="shared" si="1316"/>
        <v>COM</v>
      </c>
      <c r="G7091" t="str">
        <f>"RAUL SILVA ROMAO (727)"</f>
        <v>RAUL SILVA ROMAO (727)</v>
      </c>
      <c r="H7091" t="str">
        <f>"Serv.Prest. 06/10/2025 a 12/10/2025 - PIX: CPF - CHAVE: 878.196.869-87"</f>
        <v>Serv.Prest. 06/10/2025 a 12/10/2025 - PIX: CPF - CHAVE: 878.196.869-87</v>
      </c>
      <c r="I7091" t="str">
        <f t="shared" si="1311"/>
        <v>23/10/2025</v>
      </c>
      <c r="J7091" t="str">
        <f t="shared" si="1317"/>
        <v>16/10/2025</v>
      </c>
      <c r="K7091" t="str">
        <f>("23/10/2025")</f>
        <v>23/10/2025</v>
      </c>
      <c r="L7091">
        <v>598.5</v>
      </c>
      <c r="M7091">
        <v>598.5</v>
      </c>
      <c r="N7091">
        <v>109</v>
      </c>
      <c r="O7091" t="str">
        <f>"PAGAMENTO DE ENTREGADORES"</f>
        <v>PAGAMENTO DE ENTREGADORES</v>
      </c>
      <c r="P7091">
        <v>598.5</v>
      </c>
      <c r="S7091" t="str">
        <f>"BANCO C6 (149)"</f>
        <v>BANCO C6 (149)</v>
      </c>
      <c r="T7091">
        <v>21875</v>
      </c>
      <c r="U7091">
        <v>23840</v>
      </c>
      <c r="V7091" t="s">
        <v>77</v>
      </c>
    </row>
    <row r="7092" spans="1:22">
      <c r="A7092" t="str">
        <f t="shared" si="1315"/>
        <v>23/10/2025</v>
      </c>
      <c r="B7092" t="str">
        <f t="shared" si="1306"/>
        <v>SAÍDA</v>
      </c>
      <c r="C7092" t="str">
        <f t="shared" si="1307"/>
        <v>PIX</v>
      </c>
      <c r="D7092" t="str">
        <f>"23840"</f>
        <v>23840</v>
      </c>
      <c r="E7092" t="str">
        <f t="shared" si="1308"/>
        <v>1</v>
      </c>
      <c r="F7092" t="str">
        <f t="shared" si="1316"/>
        <v>COM</v>
      </c>
      <c r="G7092" t="str">
        <f>"RAUL SILVA ROMAO (727)"</f>
        <v>RAUL SILVA ROMAO (727)</v>
      </c>
      <c r="H7092" t="s">
        <v>1947</v>
      </c>
      <c r="I7092" t="str">
        <f t="shared" si="1311"/>
        <v>23/10/2025</v>
      </c>
      <c r="J7092" t="str">
        <f t="shared" si="1317"/>
        <v>16/10/2025</v>
      </c>
      <c r="K7092">
        <v>45953</v>
      </c>
      <c r="N7092">
        <v>109</v>
      </c>
      <c r="O7092" t="s">
        <v>24</v>
      </c>
      <c r="Q7092">
        <v>598.5</v>
      </c>
      <c r="R7092" t="str">
        <f>"AC FARMA - CID.ALTA (10166)"</f>
        <v>AC FARMA - CID.ALTA (10166)</v>
      </c>
      <c r="S7092" t="s">
        <v>77</v>
      </c>
      <c r="T7092">
        <v>21875</v>
      </c>
      <c r="U7092">
        <v>23840</v>
      </c>
      <c r="V7092" t="s">
        <v>77</v>
      </c>
    </row>
    <row r="7093" spans="1:22">
      <c r="A7093" t="str">
        <f t="shared" si="1315"/>
        <v>23/10/2025</v>
      </c>
      <c r="B7093" t="str">
        <f t="shared" si="1306"/>
        <v>SAÍDA</v>
      </c>
      <c r="C7093" t="str">
        <f t="shared" si="1307"/>
        <v>PIX</v>
      </c>
      <c r="D7093" t="str">
        <f>"23839"</f>
        <v>23839</v>
      </c>
      <c r="E7093" t="str">
        <f t="shared" si="1308"/>
        <v>1</v>
      </c>
      <c r="F7093" t="str">
        <f t="shared" si="1316"/>
        <v>COM</v>
      </c>
      <c r="G7093" t="str">
        <f>"HELITON DE OLIVEIRA RAMOS BARBOSA (724)"</f>
        <v>HELITON DE OLIVEIRA RAMOS BARBOSA (724)</v>
      </c>
      <c r="H7093" t="str">
        <f>"Serv.Prest. 06/10/2025 a 12/10/2025 - PIX: CPF - CHAVE: 074.604.219-10"</f>
        <v>Serv.Prest. 06/10/2025 a 12/10/2025 - PIX: CPF - CHAVE: 074.604.219-10</v>
      </c>
      <c r="I7093" t="str">
        <f t="shared" si="1311"/>
        <v>23/10/2025</v>
      </c>
      <c r="J7093" t="str">
        <f t="shared" si="1317"/>
        <v>16/10/2025</v>
      </c>
      <c r="K7093" t="str">
        <f>("23/10/2025")</f>
        <v>23/10/2025</v>
      </c>
      <c r="L7093">
        <v>793.8</v>
      </c>
      <c r="M7093">
        <v>793.8</v>
      </c>
      <c r="N7093">
        <v>109</v>
      </c>
      <c r="O7093" t="str">
        <f>"PAGAMENTO DE ENTREGADORES"</f>
        <v>PAGAMENTO DE ENTREGADORES</v>
      </c>
      <c r="P7093">
        <v>793.8</v>
      </c>
      <c r="S7093" t="str">
        <f>"BANCO C6 (149)"</f>
        <v>BANCO C6 (149)</v>
      </c>
      <c r="T7093">
        <v>21876</v>
      </c>
      <c r="U7093">
        <v>23839</v>
      </c>
      <c r="V7093" t="s">
        <v>77</v>
      </c>
    </row>
    <row r="7094" spans="1:22">
      <c r="A7094" t="str">
        <f t="shared" si="1315"/>
        <v>23/10/2025</v>
      </c>
      <c r="B7094" t="str">
        <f t="shared" si="1306"/>
        <v>SAÍDA</v>
      </c>
      <c r="C7094" t="str">
        <f t="shared" si="1307"/>
        <v>PIX</v>
      </c>
      <c r="D7094" t="str">
        <f>"23839"</f>
        <v>23839</v>
      </c>
      <c r="E7094" t="str">
        <f t="shared" si="1308"/>
        <v>1</v>
      </c>
      <c r="F7094" t="str">
        <f t="shared" si="1316"/>
        <v>COM</v>
      </c>
      <c r="G7094" t="str">
        <f>"HELITON DE OLIVEIRA RAMOS BARBOSA (724)"</f>
        <v>HELITON DE OLIVEIRA RAMOS BARBOSA (724)</v>
      </c>
      <c r="H7094" t="s">
        <v>1941</v>
      </c>
      <c r="I7094" t="str">
        <f t="shared" si="1311"/>
        <v>23/10/2025</v>
      </c>
      <c r="J7094" t="str">
        <f t="shared" si="1317"/>
        <v>16/10/2025</v>
      </c>
      <c r="K7094">
        <v>45953</v>
      </c>
      <c r="N7094">
        <v>109</v>
      </c>
      <c r="O7094" t="s">
        <v>24</v>
      </c>
      <c r="Q7094">
        <v>793.8</v>
      </c>
      <c r="R7094" t="str">
        <f>"AC FARMA - CID.ALTA (10166)"</f>
        <v>AC FARMA - CID.ALTA (10166)</v>
      </c>
      <c r="S7094" t="s">
        <v>77</v>
      </c>
      <c r="T7094">
        <v>21876</v>
      </c>
      <c r="U7094">
        <v>23839</v>
      </c>
      <c r="V7094" t="s">
        <v>77</v>
      </c>
    </row>
    <row r="7095" spans="1:22">
      <c r="A7095" t="str">
        <f t="shared" si="1315"/>
        <v>23/10/2025</v>
      </c>
      <c r="B7095" t="str">
        <f t="shared" si="1306"/>
        <v>SAÍDA</v>
      </c>
      <c r="C7095" t="str">
        <f t="shared" si="1307"/>
        <v>PIX</v>
      </c>
      <c r="D7095" t="str">
        <f>"23838"</f>
        <v>23838</v>
      </c>
      <c r="E7095" t="str">
        <f t="shared" si="1308"/>
        <v>1</v>
      </c>
      <c r="F7095" t="str">
        <f t="shared" si="1316"/>
        <v>COM</v>
      </c>
      <c r="G7095" t="str">
        <f>"GERALDO SEVERINO DE SANTANA (729)"</f>
        <v>GERALDO SEVERINO DE SANTANA (729)</v>
      </c>
      <c r="H7095" t="str">
        <f>"Serv.Prest. 06/10/2025 a 12/10/2025 - PIX: CELULAR - CHAVE: (43) 99934-1696"</f>
        <v>Serv.Prest. 06/10/2025 a 12/10/2025 - PIX: CELULAR - CHAVE: (43) 99934-1696</v>
      </c>
      <c r="I7095" t="str">
        <f t="shared" si="1311"/>
        <v>23/10/2025</v>
      </c>
      <c r="J7095" t="str">
        <f t="shared" si="1317"/>
        <v>16/10/2025</v>
      </c>
      <c r="K7095" t="str">
        <f>("23/10/2025")</f>
        <v>23/10/2025</v>
      </c>
      <c r="L7095">
        <v>699.3</v>
      </c>
      <c r="M7095">
        <v>699.3</v>
      </c>
      <c r="N7095">
        <v>109</v>
      </c>
      <c r="O7095" t="str">
        <f>"PAGAMENTO DE ENTREGADORES"</f>
        <v>PAGAMENTO DE ENTREGADORES</v>
      </c>
      <c r="P7095">
        <v>699.3</v>
      </c>
      <c r="S7095" t="str">
        <f>"BANCO C6 (149)"</f>
        <v>BANCO C6 (149)</v>
      </c>
      <c r="T7095">
        <v>21877</v>
      </c>
      <c r="U7095">
        <v>23838</v>
      </c>
      <c r="V7095" t="s">
        <v>77</v>
      </c>
    </row>
    <row r="7096" spans="1:22">
      <c r="A7096" t="str">
        <f t="shared" si="1315"/>
        <v>23/10/2025</v>
      </c>
      <c r="B7096" t="str">
        <f t="shared" si="1306"/>
        <v>SAÍDA</v>
      </c>
      <c r="C7096" t="str">
        <f t="shared" si="1307"/>
        <v>PIX</v>
      </c>
      <c r="D7096" t="str">
        <f>"23838"</f>
        <v>23838</v>
      </c>
      <c r="E7096" t="str">
        <f t="shared" si="1308"/>
        <v>1</v>
      </c>
      <c r="F7096" t="str">
        <f t="shared" si="1316"/>
        <v>COM</v>
      </c>
      <c r="G7096" t="str">
        <f>"GERALDO SEVERINO DE SANTANA (729)"</f>
        <v>GERALDO SEVERINO DE SANTANA (729)</v>
      </c>
      <c r="H7096" t="s">
        <v>1942</v>
      </c>
      <c r="I7096" t="str">
        <f t="shared" si="1311"/>
        <v>23/10/2025</v>
      </c>
      <c r="J7096" t="str">
        <f t="shared" si="1317"/>
        <v>16/10/2025</v>
      </c>
      <c r="K7096">
        <v>45953</v>
      </c>
      <c r="N7096">
        <v>109</v>
      </c>
      <c r="O7096" t="s">
        <v>24</v>
      </c>
      <c r="Q7096">
        <v>699.3</v>
      </c>
      <c r="R7096" t="str">
        <f>"AC FARMA - CID.ALTA (10166)"</f>
        <v>AC FARMA - CID.ALTA (10166)</v>
      </c>
      <c r="S7096" t="s">
        <v>77</v>
      </c>
      <c r="T7096">
        <v>21877</v>
      </c>
      <c r="U7096">
        <v>23838</v>
      </c>
      <c r="V7096" t="s">
        <v>77</v>
      </c>
    </row>
    <row r="7097" spans="1:22">
      <c r="A7097" t="str">
        <f t="shared" si="1315"/>
        <v>23/10/2025</v>
      </c>
      <c r="B7097" t="str">
        <f t="shared" si="1306"/>
        <v>SAÍDA</v>
      </c>
      <c r="C7097" t="str">
        <f t="shared" si="1307"/>
        <v>PIX</v>
      </c>
      <c r="D7097" t="str">
        <f>"23837"</f>
        <v>23837</v>
      </c>
      <c r="E7097" t="str">
        <f t="shared" si="1308"/>
        <v>1</v>
      </c>
      <c r="F7097" t="str">
        <f t="shared" si="1316"/>
        <v>COM</v>
      </c>
      <c r="G7097" t="str">
        <f>"FERNANDO MARTINS DA SILVA (701)"</f>
        <v>FERNANDO MARTINS DA SILVA (701)</v>
      </c>
      <c r="H7097" t="str">
        <f>"Serv.Prest. 06/10/2025 a 12/10/2025 - PIX: CPF - CHAVE: 004.682.359-06"</f>
        <v>Serv.Prest. 06/10/2025 a 12/10/2025 - PIX: CPF - CHAVE: 004.682.359-06</v>
      </c>
      <c r="I7097" t="str">
        <f t="shared" si="1311"/>
        <v>23/10/2025</v>
      </c>
      <c r="J7097" t="str">
        <f t="shared" si="1317"/>
        <v>16/10/2025</v>
      </c>
      <c r="K7097" t="str">
        <f>("23/10/2025")</f>
        <v>23/10/2025</v>
      </c>
      <c r="L7097">
        <v>907.2</v>
      </c>
      <c r="M7097">
        <v>907.2</v>
      </c>
      <c r="N7097">
        <v>109</v>
      </c>
      <c r="O7097" t="str">
        <f>"PAGAMENTO DE ENTREGADORES"</f>
        <v>PAGAMENTO DE ENTREGADORES</v>
      </c>
      <c r="P7097">
        <v>907.2</v>
      </c>
      <c r="S7097" t="str">
        <f>"BANCO C6 (149)"</f>
        <v>BANCO C6 (149)</v>
      </c>
      <c r="T7097">
        <v>21878</v>
      </c>
      <c r="U7097">
        <v>23837</v>
      </c>
      <c r="V7097" t="s">
        <v>77</v>
      </c>
    </row>
    <row r="7098" spans="1:22">
      <c r="A7098" t="str">
        <f t="shared" si="1315"/>
        <v>23/10/2025</v>
      </c>
      <c r="B7098" t="str">
        <f t="shared" ref="B7098:B7161" si="1318">"SAÍDA"</f>
        <v>SAÍDA</v>
      </c>
      <c r="C7098" t="str">
        <f t="shared" si="1307"/>
        <v>PIX</v>
      </c>
      <c r="D7098" t="str">
        <f>"23837"</f>
        <v>23837</v>
      </c>
      <c r="E7098" t="str">
        <f t="shared" si="1308"/>
        <v>1</v>
      </c>
      <c r="F7098" t="str">
        <f t="shared" si="1316"/>
        <v>COM</v>
      </c>
      <c r="G7098" t="str">
        <f>"FERNANDO MARTINS DA SILVA (701)"</f>
        <v>FERNANDO MARTINS DA SILVA (701)</v>
      </c>
      <c r="H7098" t="s">
        <v>1943</v>
      </c>
      <c r="I7098" t="str">
        <f t="shared" si="1311"/>
        <v>23/10/2025</v>
      </c>
      <c r="J7098" t="str">
        <f t="shared" si="1317"/>
        <v>16/10/2025</v>
      </c>
      <c r="K7098">
        <v>45953</v>
      </c>
      <c r="N7098">
        <v>109</v>
      </c>
      <c r="O7098" t="s">
        <v>24</v>
      </c>
      <c r="Q7098">
        <v>907.2</v>
      </c>
      <c r="R7098" t="str">
        <f>"AC FARMA - CID.ALTA (10166)"</f>
        <v>AC FARMA - CID.ALTA (10166)</v>
      </c>
      <c r="S7098" t="s">
        <v>77</v>
      </c>
      <c r="T7098">
        <v>21878</v>
      </c>
      <c r="U7098">
        <v>23837</v>
      </c>
      <c r="V7098" t="s">
        <v>77</v>
      </c>
    </row>
    <row r="7099" spans="1:22">
      <c r="A7099" t="str">
        <f t="shared" si="1315"/>
        <v>23/10/2025</v>
      </c>
      <c r="B7099" t="str">
        <f t="shared" si="1318"/>
        <v>SAÍDA</v>
      </c>
      <c r="C7099" t="str">
        <f t="shared" si="1307"/>
        <v>PIX</v>
      </c>
      <c r="D7099" t="str">
        <f>"23836"</f>
        <v>23836</v>
      </c>
      <c r="E7099" t="str">
        <f t="shared" si="1308"/>
        <v>1</v>
      </c>
      <c r="F7099" t="str">
        <f t="shared" si="1316"/>
        <v>COM</v>
      </c>
      <c r="G7099" t="str">
        <f>"CLAUDINEI RIBEIRO VALERIO (681)"</f>
        <v>CLAUDINEI RIBEIRO VALERIO (681)</v>
      </c>
      <c r="H7099" t="str">
        <f>"Serv.Prest. 06/10/2025 a 12/10/2025 - PIX: CELULAR - CHAVE: (43) 99630-7532"</f>
        <v>Serv.Prest. 06/10/2025 a 12/10/2025 - PIX: CELULAR - CHAVE: (43) 99630-7532</v>
      </c>
      <c r="I7099" t="str">
        <f t="shared" si="1311"/>
        <v>23/10/2025</v>
      </c>
      <c r="J7099" t="str">
        <f t="shared" si="1317"/>
        <v>16/10/2025</v>
      </c>
      <c r="K7099" t="str">
        <f>("23/10/2025")</f>
        <v>23/10/2025</v>
      </c>
      <c r="L7099">
        <v>661.5</v>
      </c>
      <c r="M7099">
        <v>661.5</v>
      </c>
      <c r="N7099">
        <v>109</v>
      </c>
      <c r="O7099" t="str">
        <f>"PAGAMENTO DE ENTREGADORES"</f>
        <v>PAGAMENTO DE ENTREGADORES</v>
      </c>
      <c r="P7099">
        <v>661.5</v>
      </c>
      <c r="S7099" t="str">
        <f>"BANCO C6 (149)"</f>
        <v>BANCO C6 (149)</v>
      </c>
      <c r="T7099">
        <v>21879</v>
      </c>
      <c r="U7099">
        <v>23836</v>
      </c>
      <c r="V7099" t="s">
        <v>77</v>
      </c>
    </row>
    <row r="7100" spans="1:22">
      <c r="A7100" t="str">
        <f t="shared" si="1315"/>
        <v>23/10/2025</v>
      </c>
      <c r="B7100" t="str">
        <f t="shared" si="1318"/>
        <v>SAÍDA</v>
      </c>
      <c r="C7100" t="str">
        <f t="shared" ref="C7100:C7163" si="1319">"PIX"</f>
        <v>PIX</v>
      </c>
      <c r="D7100" t="str">
        <f>"23836"</f>
        <v>23836</v>
      </c>
      <c r="E7100" t="str">
        <f t="shared" ref="E7100:E7163" si="1320">"1"</f>
        <v>1</v>
      </c>
      <c r="F7100" t="str">
        <f t="shared" si="1316"/>
        <v>COM</v>
      </c>
      <c r="G7100" t="str">
        <f>"CLAUDINEI RIBEIRO VALERIO (681)"</f>
        <v>CLAUDINEI RIBEIRO VALERIO (681)</v>
      </c>
      <c r="H7100" t="s">
        <v>1945</v>
      </c>
      <c r="I7100" t="str">
        <f t="shared" si="1311"/>
        <v>23/10/2025</v>
      </c>
      <c r="J7100" t="str">
        <f t="shared" si="1317"/>
        <v>16/10/2025</v>
      </c>
      <c r="K7100">
        <v>45953</v>
      </c>
      <c r="N7100">
        <v>109</v>
      </c>
      <c r="O7100" t="s">
        <v>24</v>
      </c>
      <c r="Q7100">
        <v>661.5</v>
      </c>
      <c r="R7100" t="str">
        <f>"AC FARMA - CID.ALTA (10166)"</f>
        <v>AC FARMA - CID.ALTA (10166)</v>
      </c>
      <c r="S7100" t="s">
        <v>77</v>
      </c>
      <c r="T7100">
        <v>21879</v>
      </c>
      <c r="U7100">
        <v>23836</v>
      </c>
      <c r="V7100" t="s">
        <v>77</v>
      </c>
    </row>
    <row r="7101" spans="1:22">
      <c r="A7101" t="str">
        <f t="shared" si="1315"/>
        <v>23/10/2025</v>
      </c>
      <c r="B7101" t="str">
        <f t="shared" si="1318"/>
        <v>SAÍDA</v>
      </c>
      <c r="C7101" t="str">
        <f t="shared" si="1319"/>
        <v>PIX</v>
      </c>
      <c r="D7101" t="str">
        <f>"23835"</f>
        <v>23835</v>
      </c>
      <c r="E7101" t="str">
        <f t="shared" si="1320"/>
        <v>1</v>
      </c>
      <c r="F7101" t="str">
        <f t="shared" si="1316"/>
        <v>COM</v>
      </c>
      <c r="G7101" t="str">
        <f>"ALEXANDRE DA CONCEICAO (714)"</f>
        <v>ALEXANDRE DA CONCEICAO (714)</v>
      </c>
      <c r="H7101" t="str">
        <f>"Serv.Prest. 06/10/2025 a 12/10/2025 - PIX: CPF - CHAVE: 975.425.989-53"</f>
        <v>Serv.Prest. 06/10/2025 a 12/10/2025 - PIX: CPF - CHAVE: 975.425.989-53</v>
      </c>
      <c r="I7101" t="str">
        <f t="shared" si="1311"/>
        <v>23/10/2025</v>
      </c>
      <c r="J7101" t="str">
        <f t="shared" si="1317"/>
        <v>16/10/2025</v>
      </c>
      <c r="K7101" t="str">
        <f>("23/10/2025")</f>
        <v>23/10/2025</v>
      </c>
      <c r="L7101">
        <v>258.3</v>
      </c>
      <c r="M7101">
        <v>258.3</v>
      </c>
      <c r="N7101">
        <v>109</v>
      </c>
      <c r="O7101" t="str">
        <f>"PAGAMENTO DE ENTREGADORES"</f>
        <v>PAGAMENTO DE ENTREGADORES</v>
      </c>
      <c r="P7101">
        <v>258.3</v>
      </c>
      <c r="S7101" t="str">
        <f>"BANCO C6 (149)"</f>
        <v>BANCO C6 (149)</v>
      </c>
      <c r="T7101">
        <v>21880</v>
      </c>
      <c r="U7101">
        <v>23835</v>
      </c>
      <c r="V7101" t="s">
        <v>77</v>
      </c>
    </row>
    <row r="7102" spans="1:22">
      <c r="A7102" t="str">
        <f t="shared" si="1315"/>
        <v>23/10/2025</v>
      </c>
      <c r="B7102" t="str">
        <f t="shared" si="1318"/>
        <v>SAÍDA</v>
      </c>
      <c r="C7102" t="str">
        <f t="shared" si="1319"/>
        <v>PIX</v>
      </c>
      <c r="D7102" t="str">
        <f>"23835"</f>
        <v>23835</v>
      </c>
      <c r="E7102" t="str">
        <f t="shared" si="1320"/>
        <v>1</v>
      </c>
      <c r="F7102" t="str">
        <f t="shared" si="1316"/>
        <v>COM</v>
      </c>
      <c r="G7102" t="str">
        <f>"ALEXANDRE DA CONCEICAO (714)"</f>
        <v>ALEXANDRE DA CONCEICAO (714)</v>
      </c>
      <c r="H7102" t="s">
        <v>1946</v>
      </c>
      <c r="I7102" t="str">
        <f t="shared" si="1311"/>
        <v>23/10/2025</v>
      </c>
      <c r="J7102" t="str">
        <f t="shared" si="1317"/>
        <v>16/10/2025</v>
      </c>
      <c r="K7102">
        <v>45953</v>
      </c>
      <c r="N7102">
        <v>109</v>
      </c>
      <c r="O7102" t="s">
        <v>24</v>
      </c>
      <c r="Q7102">
        <v>258.3</v>
      </c>
      <c r="R7102" t="str">
        <f>"AC FARMA - CID.ALTA (10166)"</f>
        <v>AC FARMA - CID.ALTA (10166)</v>
      </c>
      <c r="S7102" t="s">
        <v>77</v>
      </c>
      <c r="T7102">
        <v>21880</v>
      </c>
      <c r="U7102">
        <v>23835</v>
      </c>
      <c r="V7102" t="s">
        <v>77</v>
      </c>
    </row>
    <row r="7103" spans="1:22">
      <c r="A7103" t="str">
        <f t="shared" si="1315"/>
        <v>23/10/2025</v>
      </c>
      <c r="B7103" t="str">
        <f t="shared" si="1318"/>
        <v>SAÍDA</v>
      </c>
      <c r="C7103" t="str">
        <f t="shared" si="1319"/>
        <v>PIX</v>
      </c>
      <c r="D7103" t="str">
        <f>"23834"</f>
        <v>23834</v>
      </c>
      <c r="E7103" t="str">
        <f t="shared" si="1320"/>
        <v>1</v>
      </c>
      <c r="F7103" t="str">
        <f t="shared" si="1316"/>
        <v>COM</v>
      </c>
      <c r="G7103" t="str">
        <f>"ALAN ACOSTA (897)"</f>
        <v>ALAN ACOSTA (897)</v>
      </c>
      <c r="H7103" t="str">
        <f>"Serv.Prest. 06/10/2025 a 12/10/2025 - PIX: E-MAIL - CHAVE: alanacosta1999@gmail.com"</f>
        <v>Serv.Prest. 06/10/2025 a 12/10/2025 - PIX: E-MAIL - CHAVE: alanacosta1999@gmail.com</v>
      </c>
      <c r="I7103" t="str">
        <f t="shared" si="1311"/>
        <v>23/10/2025</v>
      </c>
      <c r="J7103" t="str">
        <f t="shared" si="1317"/>
        <v>16/10/2025</v>
      </c>
      <c r="K7103" t="str">
        <f>("23/10/2025")</f>
        <v>23/10/2025</v>
      </c>
      <c r="L7103">
        <v>579.6</v>
      </c>
      <c r="M7103">
        <v>579.6</v>
      </c>
      <c r="N7103">
        <v>109</v>
      </c>
      <c r="O7103" t="str">
        <f>"PAGAMENTO DE ENTREGADORES"</f>
        <v>PAGAMENTO DE ENTREGADORES</v>
      </c>
      <c r="P7103">
        <v>579.6</v>
      </c>
      <c r="S7103" t="str">
        <f>"BANCO C6 (149)"</f>
        <v>BANCO C6 (149)</v>
      </c>
      <c r="T7103">
        <v>21881</v>
      </c>
      <c r="U7103">
        <v>23834</v>
      </c>
      <c r="V7103" t="s">
        <v>77</v>
      </c>
    </row>
    <row r="7104" spans="1:22">
      <c r="A7104" t="str">
        <f t="shared" si="1315"/>
        <v>23/10/2025</v>
      </c>
      <c r="B7104" t="str">
        <f t="shared" si="1318"/>
        <v>SAÍDA</v>
      </c>
      <c r="C7104" t="str">
        <f t="shared" si="1319"/>
        <v>PIX</v>
      </c>
      <c r="D7104" t="str">
        <f>"23834"</f>
        <v>23834</v>
      </c>
      <c r="E7104" t="str">
        <f t="shared" si="1320"/>
        <v>1</v>
      </c>
      <c r="F7104" t="str">
        <f t="shared" si="1316"/>
        <v>COM</v>
      </c>
      <c r="G7104" t="str">
        <f>"ALAN ACOSTA (897)"</f>
        <v>ALAN ACOSTA (897)</v>
      </c>
      <c r="H7104" t="s">
        <v>1944</v>
      </c>
      <c r="I7104" t="str">
        <f t="shared" ref="I7104:I7167" si="1321">("23/10/2025")</f>
        <v>23/10/2025</v>
      </c>
      <c r="J7104" t="str">
        <f t="shared" si="1317"/>
        <v>16/10/2025</v>
      </c>
      <c r="K7104">
        <v>45953</v>
      </c>
      <c r="N7104">
        <v>109</v>
      </c>
      <c r="O7104" t="s">
        <v>24</v>
      </c>
      <c r="Q7104">
        <v>579.6</v>
      </c>
      <c r="R7104" t="str">
        <f>"AC FARMA - CID.ALTA (10166)"</f>
        <v>AC FARMA - CID.ALTA (10166)</v>
      </c>
      <c r="S7104" t="s">
        <v>77</v>
      </c>
      <c r="T7104">
        <v>21881</v>
      </c>
      <c r="U7104">
        <v>23834</v>
      </c>
      <c r="V7104" t="s">
        <v>77</v>
      </c>
    </row>
    <row r="7105" spans="1:22">
      <c r="A7105" t="str">
        <f t="shared" si="1315"/>
        <v>23/10/2025</v>
      </c>
      <c r="B7105" t="str">
        <f t="shared" si="1318"/>
        <v>SAÍDA</v>
      </c>
      <c r="C7105" t="str">
        <f t="shared" si="1319"/>
        <v>PIX</v>
      </c>
      <c r="D7105" t="str">
        <f>"23879"</f>
        <v>23879</v>
      </c>
      <c r="E7105" t="str">
        <f t="shared" si="1320"/>
        <v>1</v>
      </c>
      <c r="F7105" t="str">
        <f t="shared" si="1316"/>
        <v>COM</v>
      </c>
      <c r="G7105" t="str">
        <f>"VAGNER DIEGO DE OLIVEIRA MELO (990)"</f>
        <v>VAGNER DIEGO DE OLIVEIRA MELO (990)</v>
      </c>
      <c r="H7105" t="str">
        <f>"Serv.Prest. 13/10/2025 a 19/10/2025 - PIX: CPF - CHAVE: 419.678.508-52"</f>
        <v>Serv.Prest. 13/10/2025 a 19/10/2025 - PIX: CPF - CHAVE: 419.678.508-52</v>
      </c>
      <c r="I7105" t="str">
        <f t="shared" si="1321"/>
        <v>23/10/2025</v>
      </c>
      <c r="J7105" t="str">
        <f t="shared" ref="J7105:J7136" si="1322">("20/10/2025")</f>
        <v>20/10/2025</v>
      </c>
      <c r="K7105" t="str">
        <f>("23/10/2025")</f>
        <v>23/10/2025</v>
      </c>
      <c r="L7105">
        <v>1300</v>
      </c>
      <c r="M7105">
        <v>1300</v>
      </c>
      <c r="N7105">
        <v>109</v>
      </c>
      <c r="O7105" t="str">
        <f>"PAGAMENTO DE ENTREGADORES"</f>
        <v>PAGAMENTO DE ENTREGADORES</v>
      </c>
      <c r="P7105">
        <v>1300</v>
      </c>
      <c r="S7105" t="str">
        <f>"BANCO C6 (149)"</f>
        <v>BANCO C6 (149)</v>
      </c>
      <c r="T7105">
        <v>21882</v>
      </c>
      <c r="U7105">
        <v>23879</v>
      </c>
      <c r="V7105" t="s">
        <v>77</v>
      </c>
    </row>
    <row r="7106" spans="1:22">
      <c r="A7106" t="str">
        <f t="shared" si="1315"/>
        <v>23/10/2025</v>
      </c>
      <c r="B7106" t="str">
        <f t="shared" si="1318"/>
        <v>SAÍDA</v>
      </c>
      <c r="C7106" t="str">
        <f t="shared" si="1319"/>
        <v>PIX</v>
      </c>
      <c r="D7106" t="str">
        <f>"23879"</f>
        <v>23879</v>
      </c>
      <c r="E7106" t="str">
        <f t="shared" si="1320"/>
        <v>1</v>
      </c>
      <c r="F7106" t="str">
        <f t="shared" si="1316"/>
        <v>COM</v>
      </c>
      <c r="G7106" t="str">
        <f>"VAGNER DIEGO DE OLIVEIRA MELO (990)"</f>
        <v>VAGNER DIEGO DE OLIVEIRA MELO (990)</v>
      </c>
      <c r="H7106" t="s">
        <v>1948</v>
      </c>
      <c r="I7106" t="str">
        <f t="shared" si="1321"/>
        <v>23/10/2025</v>
      </c>
      <c r="J7106" t="str">
        <f t="shared" si="1322"/>
        <v>20/10/2025</v>
      </c>
      <c r="K7106">
        <v>45953</v>
      </c>
      <c r="N7106">
        <v>109</v>
      </c>
      <c r="O7106" t="s">
        <v>24</v>
      </c>
      <c r="Q7106">
        <v>1300</v>
      </c>
      <c r="R7106" t="str">
        <f>"PENSE FARMA 25 (10224)"</f>
        <v>PENSE FARMA 25 (10224)</v>
      </c>
      <c r="S7106" t="s">
        <v>77</v>
      </c>
      <c r="T7106">
        <v>21882</v>
      </c>
      <c r="U7106">
        <v>23879</v>
      </c>
      <c r="V7106" t="s">
        <v>77</v>
      </c>
    </row>
    <row r="7107" spans="1:22">
      <c r="A7107" t="str">
        <f t="shared" si="1315"/>
        <v>23/10/2025</v>
      </c>
      <c r="B7107" t="str">
        <f t="shared" si="1318"/>
        <v>SAÍDA</v>
      </c>
      <c r="C7107" t="str">
        <f t="shared" si="1319"/>
        <v>PIX</v>
      </c>
      <c r="D7107" t="str">
        <f>"23875"</f>
        <v>23875</v>
      </c>
      <c r="E7107" t="str">
        <f t="shared" si="1320"/>
        <v>1</v>
      </c>
      <c r="F7107" t="str">
        <f t="shared" si="1316"/>
        <v>COM</v>
      </c>
      <c r="G7107" t="str">
        <f>"JEFFERSON AMORIM DA SILVA (940)"</f>
        <v>JEFFERSON AMORIM DA SILVA (940)</v>
      </c>
      <c r="H7107" t="str">
        <f>"Serv.Prest. 13/10/2025 a 19/10/2025 - PIX: CELULAR - CHAVE: (11) 98447-6954"</f>
        <v>Serv.Prest. 13/10/2025 a 19/10/2025 - PIX: CELULAR - CHAVE: (11) 98447-6954</v>
      </c>
      <c r="I7107" t="str">
        <f t="shared" si="1321"/>
        <v>23/10/2025</v>
      </c>
      <c r="J7107" t="str">
        <f t="shared" si="1322"/>
        <v>20/10/2025</v>
      </c>
      <c r="K7107" t="str">
        <f>("23/10/2025")</f>
        <v>23/10/2025</v>
      </c>
      <c r="L7107">
        <v>550</v>
      </c>
      <c r="M7107">
        <v>550</v>
      </c>
      <c r="N7107">
        <v>109</v>
      </c>
      <c r="O7107" t="str">
        <f>"PAGAMENTO DE ENTREGADORES"</f>
        <v>PAGAMENTO DE ENTREGADORES</v>
      </c>
      <c r="P7107">
        <v>550</v>
      </c>
      <c r="S7107" t="str">
        <f>"BANCO C6 (149)"</f>
        <v>BANCO C6 (149)</v>
      </c>
      <c r="T7107">
        <v>21883</v>
      </c>
      <c r="U7107">
        <v>23875</v>
      </c>
      <c r="V7107" t="s">
        <v>77</v>
      </c>
    </row>
    <row r="7108" spans="1:22">
      <c r="A7108" t="str">
        <f t="shared" si="1315"/>
        <v>23/10/2025</v>
      </c>
      <c r="B7108" t="str">
        <f t="shared" si="1318"/>
        <v>SAÍDA</v>
      </c>
      <c r="C7108" t="str">
        <f t="shared" si="1319"/>
        <v>PIX</v>
      </c>
      <c r="D7108" t="str">
        <f>"23875"</f>
        <v>23875</v>
      </c>
      <c r="E7108" t="str">
        <f t="shared" si="1320"/>
        <v>1</v>
      </c>
      <c r="F7108" t="str">
        <f t="shared" si="1316"/>
        <v>COM</v>
      </c>
      <c r="G7108" t="str">
        <f>"JEFFERSON AMORIM DA SILVA (940)"</f>
        <v>JEFFERSON AMORIM DA SILVA (940)</v>
      </c>
      <c r="H7108" t="s">
        <v>1888</v>
      </c>
      <c r="I7108" t="str">
        <f t="shared" si="1321"/>
        <v>23/10/2025</v>
      </c>
      <c r="J7108" t="str">
        <f t="shared" si="1322"/>
        <v>20/10/2025</v>
      </c>
      <c r="K7108">
        <v>45953</v>
      </c>
      <c r="N7108">
        <v>109</v>
      </c>
      <c r="O7108" t="s">
        <v>24</v>
      </c>
      <c r="Q7108">
        <v>183.31</v>
      </c>
      <c r="R7108" t="str">
        <f>"PENSE FARMA 15 (10195)"</f>
        <v>PENSE FARMA 15 (10195)</v>
      </c>
      <c r="S7108" t="s">
        <v>77</v>
      </c>
      <c r="T7108">
        <v>21883</v>
      </c>
      <c r="U7108">
        <v>23875</v>
      </c>
      <c r="V7108" t="s">
        <v>77</v>
      </c>
    </row>
    <row r="7109" spans="1:22">
      <c r="A7109" t="str">
        <f t="shared" si="1315"/>
        <v>23/10/2025</v>
      </c>
      <c r="B7109" t="str">
        <f t="shared" si="1318"/>
        <v>SAÍDA</v>
      </c>
      <c r="C7109" t="str">
        <f t="shared" si="1319"/>
        <v>PIX</v>
      </c>
      <c r="D7109" t="str">
        <f>"23875"</f>
        <v>23875</v>
      </c>
      <c r="E7109" t="str">
        <f t="shared" si="1320"/>
        <v>1</v>
      </c>
      <c r="F7109" t="str">
        <f t="shared" si="1316"/>
        <v>COM</v>
      </c>
      <c r="G7109" t="str">
        <f>"JEFFERSON AMORIM DA SILVA (940)"</f>
        <v>JEFFERSON AMORIM DA SILVA (940)</v>
      </c>
      <c r="H7109" t="s">
        <v>1888</v>
      </c>
      <c r="I7109" t="str">
        <f t="shared" si="1321"/>
        <v>23/10/2025</v>
      </c>
      <c r="J7109" t="str">
        <f t="shared" si="1322"/>
        <v>20/10/2025</v>
      </c>
      <c r="K7109">
        <v>45953</v>
      </c>
      <c r="N7109">
        <v>109</v>
      </c>
      <c r="O7109" t="s">
        <v>24</v>
      </c>
      <c r="Q7109">
        <v>183.32</v>
      </c>
      <c r="R7109" t="str">
        <f>"PENSE FARMA 26 (10196)"</f>
        <v>PENSE FARMA 26 (10196)</v>
      </c>
      <c r="S7109" t="s">
        <v>77</v>
      </c>
      <c r="T7109">
        <v>21883</v>
      </c>
      <c r="U7109">
        <v>23875</v>
      </c>
      <c r="V7109" t="s">
        <v>77</v>
      </c>
    </row>
    <row r="7110" spans="1:22">
      <c r="A7110" t="str">
        <f t="shared" si="1315"/>
        <v>23/10/2025</v>
      </c>
      <c r="B7110" t="str">
        <f t="shared" si="1318"/>
        <v>SAÍDA</v>
      </c>
      <c r="C7110" t="str">
        <f t="shared" si="1319"/>
        <v>PIX</v>
      </c>
      <c r="D7110" t="str">
        <f>"23875"</f>
        <v>23875</v>
      </c>
      <c r="E7110" t="str">
        <f t="shared" si="1320"/>
        <v>1</v>
      </c>
      <c r="F7110" t="str">
        <f t="shared" si="1316"/>
        <v>COM</v>
      </c>
      <c r="G7110" t="str">
        <f>"JEFFERSON AMORIM DA SILVA (940)"</f>
        <v>JEFFERSON AMORIM DA SILVA (940)</v>
      </c>
      <c r="H7110" t="s">
        <v>1888</v>
      </c>
      <c r="I7110" t="str">
        <f t="shared" si="1321"/>
        <v>23/10/2025</v>
      </c>
      <c r="J7110" t="str">
        <f t="shared" si="1322"/>
        <v>20/10/2025</v>
      </c>
      <c r="K7110">
        <v>45953</v>
      </c>
      <c r="N7110">
        <v>109</v>
      </c>
      <c r="O7110" t="s">
        <v>24</v>
      </c>
      <c r="Q7110">
        <v>183.37</v>
      </c>
      <c r="R7110" t="str">
        <f>"PENSE FARMA 60 (10197)"</f>
        <v>PENSE FARMA 60 (10197)</v>
      </c>
      <c r="S7110" t="s">
        <v>77</v>
      </c>
      <c r="T7110">
        <v>21883</v>
      </c>
      <c r="U7110">
        <v>23875</v>
      </c>
      <c r="V7110" t="s">
        <v>77</v>
      </c>
    </row>
    <row r="7111" spans="1:22">
      <c r="A7111" t="str">
        <f t="shared" si="1315"/>
        <v>23/10/2025</v>
      </c>
      <c r="B7111" t="str">
        <f t="shared" si="1318"/>
        <v>SAÍDA</v>
      </c>
      <c r="C7111" t="str">
        <f t="shared" si="1319"/>
        <v>PIX</v>
      </c>
      <c r="D7111" t="str">
        <f>"23874"</f>
        <v>23874</v>
      </c>
      <c r="E7111" t="str">
        <f t="shared" si="1320"/>
        <v>1</v>
      </c>
      <c r="F7111" t="str">
        <f t="shared" si="1316"/>
        <v>COM</v>
      </c>
      <c r="G7111" t="str">
        <f>"ERIC RODRIGUES TEIXEIRA (939)"</f>
        <v>ERIC RODRIGUES TEIXEIRA (939)</v>
      </c>
      <c r="H7111" t="str">
        <f>"Serv.Prest. 13/10/2025 a 19/10/2025 - PIX: CELULAR - CHAVE: (11) 95038-0621"</f>
        <v>Serv.Prest. 13/10/2025 a 19/10/2025 - PIX: CELULAR - CHAVE: (11) 95038-0621</v>
      </c>
      <c r="I7111" t="str">
        <f t="shared" si="1321"/>
        <v>23/10/2025</v>
      </c>
      <c r="J7111" t="str">
        <f t="shared" si="1322"/>
        <v>20/10/2025</v>
      </c>
      <c r="K7111" t="str">
        <f>("23/10/2025")</f>
        <v>23/10/2025</v>
      </c>
      <c r="L7111">
        <v>700</v>
      </c>
      <c r="M7111">
        <v>700</v>
      </c>
      <c r="N7111">
        <v>109</v>
      </c>
      <c r="O7111" t="str">
        <f>"PAGAMENTO DE ENTREGADORES"</f>
        <v>PAGAMENTO DE ENTREGADORES</v>
      </c>
      <c r="P7111">
        <v>700</v>
      </c>
      <c r="S7111" t="str">
        <f>"BANCO C6 (149)"</f>
        <v>BANCO C6 (149)</v>
      </c>
      <c r="T7111">
        <v>21884</v>
      </c>
      <c r="U7111">
        <v>23874</v>
      </c>
      <c r="V7111" t="s">
        <v>77</v>
      </c>
    </row>
    <row r="7112" spans="1:22">
      <c r="A7112" t="str">
        <f t="shared" si="1315"/>
        <v>23/10/2025</v>
      </c>
      <c r="B7112" t="str">
        <f t="shared" si="1318"/>
        <v>SAÍDA</v>
      </c>
      <c r="C7112" t="str">
        <f t="shared" si="1319"/>
        <v>PIX</v>
      </c>
      <c r="D7112" t="str">
        <f>"23874"</f>
        <v>23874</v>
      </c>
      <c r="E7112" t="str">
        <f t="shared" si="1320"/>
        <v>1</v>
      </c>
      <c r="F7112" t="str">
        <f t="shared" si="1316"/>
        <v>COM</v>
      </c>
      <c r="G7112" t="str">
        <f>"ERIC RODRIGUES TEIXEIRA (939)"</f>
        <v>ERIC RODRIGUES TEIXEIRA (939)</v>
      </c>
      <c r="H7112" t="s">
        <v>1949</v>
      </c>
      <c r="I7112" t="str">
        <f t="shared" si="1321"/>
        <v>23/10/2025</v>
      </c>
      <c r="J7112" t="str">
        <f t="shared" si="1322"/>
        <v>20/10/2025</v>
      </c>
      <c r="K7112">
        <v>45953</v>
      </c>
      <c r="N7112">
        <v>109</v>
      </c>
      <c r="O7112" t="s">
        <v>24</v>
      </c>
      <c r="Q7112">
        <v>233.31</v>
      </c>
      <c r="R7112" t="str">
        <f>"PENSE FARMA 15 (10195)"</f>
        <v>PENSE FARMA 15 (10195)</v>
      </c>
      <c r="S7112" t="s">
        <v>77</v>
      </c>
      <c r="T7112">
        <v>21884</v>
      </c>
      <c r="U7112">
        <v>23874</v>
      </c>
      <c r="V7112" t="s">
        <v>77</v>
      </c>
    </row>
    <row r="7113" spans="1:22">
      <c r="A7113" t="str">
        <f t="shared" si="1315"/>
        <v>23/10/2025</v>
      </c>
      <c r="B7113" t="str">
        <f t="shared" si="1318"/>
        <v>SAÍDA</v>
      </c>
      <c r="C7113" t="str">
        <f t="shared" si="1319"/>
        <v>PIX</v>
      </c>
      <c r="D7113" t="str">
        <f>"23874"</f>
        <v>23874</v>
      </c>
      <c r="E7113" t="str">
        <f t="shared" si="1320"/>
        <v>1</v>
      </c>
      <c r="F7113" t="str">
        <f t="shared" si="1316"/>
        <v>COM</v>
      </c>
      <c r="G7113" t="str">
        <f>"ERIC RODRIGUES TEIXEIRA (939)"</f>
        <v>ERIC RODRIGUES TEIXEIRA (939)</v>
      </c>
      <c r="H7113" t="s">
        <v>1949</v>
      </c>
      <c r="I7113" t="str">
        <f t="shared" si="1321"/>
        <v>23/10/2025</v>
      </c>
      <c r="J7113" t="str">
        <f t="shared" si="1322"/>
        <v>20/10/2025</v>
      </c>
      <c r="K7113">
        <v>45953</v>
      </c>
      <c r="N7113">
        <v>109</v>
      </c>
      <c r="O7113" t="s">
        <v>24</v>
      </c>
      <c r="Q7113">
        <v>233.31</v>
      </c>
      <c r="R7113" t="str">
        <f>"PENSE FARMA 26 (10196)"</f>
        <v>PENSE FARMA 26 (10196)</v>
      </c>
      <c r="S7113" t="s">
        <v>77</v>
      </c>
      <c r="T7113">
        <v>21884</v>
      </c>
      <c r="U7113">
        <v>23874</v>
      </c>
      <c r="V7113" t="s">
        <v>77</v>
      </c>
    </row>
    <row r="7114" spans="1:22">
      <c r="A7114" t="str">
        <f t="shared" si="1315"/>
        <v>23/10/2025</v>
      </c>
      <c r="B7114" t="str">
        <f t="shared" si="1318"/>
        <v>SAÍDA</v>
      </c>
      <c r="C7114" t="str">
        <f t="shared" si="1319"/>
        <v>PIX</v>
      </c>
      <c r="D7114" t="str">
        <f>"23874"</f>
        <v>23874</v>
      </c>
      <c r="E7114" t="str">
        <f t="shared" si="1320"/>
        <v>1</v>
      </c>
      <c r="F7114" t="str">
        <f t="shared" si="1316"/>
        <v>COM</v>
      </c>
      <c r="G7114" t="str">
        <f>"ERIC RODRIGUES TEIXEIRA (939)"</f>
        <v>ERIC RODRIGUES TEIXEIRA (939)</v>
      </c>
      <c r="H7114" t="s">
        <v>1949</v>
      </c>
      <c r="I7114" t="str">
        <f t="shared" si="1321"/>
        <v>23/10/2025</v>
      </c>
      <c r="J7114" t="str">
        <f t="shared" si="1322"/>
        <v>20/10/2025</v>
      </c>
      <c r="K7114">
        <v>45953</v>
      </c>
      <c r="N7114">
        <v>109</v>
      </c>
      <c r="O7114" t="s">
        <v>24</v>
      </c>
      <c r="Q7114">
        <v>233.38</v>
      </c>
      <c r="R7114" t="str">
        <f>"PENSE FARMA 60 (10197)"</f>
        <v>PENSE FARMA 60 (10197)</v>
      </c>
      <c r="S7114" t="s">
        <v>77</v>
      </c>
      <c r="T7114">
        <v>21884</v>
      </c>
      <c r="U7114">
        <v>23874</v>
      </c>
      <c r="V7114" t="s">
        <v>77</v>
      </c>
    </row>
    <row r="7115" spans="1:22">
      <c r="A7115" t="str">
        <f t="shared" si="1315"/>
        <v>23/10/2025</v>
      </c>
      <c r="B7115" t="str">
        <f t="shared" si="1318"/>
        <v>SAÍDA</v>
      </c>
      <c r="C7115" t="str">
        <f t="shared" si="1319"/>
        <v>PIX</v>
      </c>
      <c r="D7115" t="str">
        <f>"23870"</f>
        <v>23870</v>
      </c>
      <c r="E7115" t="str">
        <f t="shared" si="1320"/>
        <v>1</v>
      </c>
      <c r="F7115" t="str">
        <f t="shared" si="1316"/>
        <v>COM</v>
      </c>
      <c r="G7115" t="str">
        <f>"MARCOS DUARTE CARVALHO (998)"</f>
        <v>MARCOS DUARTE CARVALHO (998)</v>
      </c>
      <c r="H7115" t="str">
        <f>"Serv.Prest. 13/10/2025 a 19/10/2025 - PIX: CPF - CHAVE: 396.877.618-65"</f>
        <v>Serv.Prest. 13/10/2025 a 19/10/2025 - PIX: CPF - CHAVE: 396.877.618-65</v>
      </c>
      <c r="I7115" t="str">
        <f t="shared" si="1321"/>
        <v>23/10/2025</v>
      </c>
      <c r="J7115" t="str">
        <f t="shared" si="1322"/>
        <v>20/10/2025</v>
      </c>
      <c r="K7115" t="str">
        <f>("23/10/2025")</f>
        <v>23/10/2025</v>
      </c>
      <c r="L7115">
        <v>1375</v>
      </c>
      <c r="M7115">
        <v>1375</v>
      </c>
      <c r="N7115">
        <v>109</v>
      </c>
      <c r="O7115" t="str">
        <f>"PAGAMENTO DE ENTREGADORES"</f>
        <v>PAGAMENTO DE ENTREGADORES</v>
      </c>
      <c r="P7115">
        <v>1375</v>
      </c>
      <c r="S7115" t="str">
        <f>"BANCO C6 (149)"</f>
        <v>BANCO C6 (149)</v>
      </c>
      <c r="T7115">
        <v>21885</v>
      </c>
      <c r="U7115">
        <v>23870</v>
      </c>
      <c r="V7115" t="s">
        <v>77</v>
      </c>
    </row>
    <row r="7116" spans="1:22">
      <c r="A7116" t="str">
        <f t="shared" si="1315"/>
        <v>23/10/2025</v>
      </c>
      <c r="B7116" t="str">
        <f t="shared" si="1318"/>
        <v>SAÍDA</v>
      </c>
      <c r="C7116" t="str">
        <f t="shared" si="1319"/>
        <v>PIX</v>
      </c>
      <c r="D7116" t="str">
        <f>"23870"</f>
        <v>23870</v>
      </c>
      <c r="E7116" t="str">
        <f t="shared" si="1320"/>
        <v>1</v>
      </c>
      <c r="F7116" t="str">
        <f t="shared" si="1316"/>
        <v>COM</v>
      </c>
      <c r="G7116" t="str">
        <f>"MARCOS DUARTE CARVALHO (998)"</f>
        <v>MARCOS DUARTE CARVALHO (998)</v>
      </c>
      <c r="H7116" t="s">
        <v>1950</v>
      </c>
      <c r="I7116" t="str">
        <f t="shared" si="1321"/>
        <v>23/10/2025</v>
      </c>
      <c r="J7116" t="str">
        <f t="shared" si="1322"/>
        <v>20/10/2025</v>
      </c>
      <c r="K7116">
        <v>45953</v>
      </c>
      <c r="N7116">
        <v>109</v>
      </c>
      <c r="O7116" t="s">
        <v>24</v>
      </c>
      <c r="Q7116">
        <v>687.5</v>
      </c>
      <c r="R7116" t="str">
        <f>"PENSE FARMA 09 (10218)"</f>
        <v>PENSE FARMA 09 (10218)</v>
      </c>
      <c r="S7116" t="s">
        <v>77</v>
      </c>
      <c r="T7116">
        <v>21885</v>
      </c>
      <c r="U7116">
        <v>23870</v>
      </c>
      <c r="V7116" t="s">
        <v>77</v>
      </c>
    </row>
    <row r="7117" spans="1:22">
      <c r="A7117" t="str">
        <f t="shared" si="1315"/>
        <v>23/10/2025</v>
      </c>
      <c r="B7117" t="str">
        <f t="shared" si="1318"/>
        <v>SAÍDA</v>
      </c>
      <c r="C7117" t="str">
        <f t="shared" si="1319"/>
        <v>PIX</v>
      </c>
      <c r="D7117" t="str">
        <f>"23870"</f>
        <v>23870</v>
      </c>
      <c r="E7117" t="str">
        <f t="shared" si="1320"/>
        <v>1</v>
      </c>
      <c r="F7117" t="str">
        <f t="shared" si="1316"/>
        <v>COM</v>
      </c>
      <c r="G7117" t="str">
        <f>"MARCOS DUARTE CARVALHO (998)"</f>
        <v>MARCOS DUARTE CARVALHO (998)</v>
      </c>
      <c r="H7117" t="s">
        <v>1950</v>
      </c>
      <c r="I7117" t="str">
        <f t="shared" si="1321"/>
        <v>23/10/2025</v>
      </c>
      <c r="J7117" t="str">
        <f t="shared" si="1322"/>
        <v>20/10/2025</v>
      </c>
      <c r="K7117">
        <v>45953</v>
      </c>
      <c r="N7117">
        <v>109</v>
      </c>
      <c r="O7117" t="s">
        <v>24</v>
      </c>
      <c r="Q7117">
        <v>687.5</v>
      </c>
      <c r="R7117" t="str">
        <f>"PENSE FARMA 10 (10219)"</f>
        <v>PENSE FARMA 10 (10219)</v>
      </c>
      <c r="S7117" t="s">
        <v>77</v>
      </c>
      <c r="T7117">
        <v>21885</v>
      </c>
      <c r="U7117">
        <v>23870</v>
      </c>
      <c r="V7117" t="s">
        <v>77</v>
      </c>
    </row>
    <row r="7118" spans="1:22">
      <c r="A7118" t="str">
        <f t="shared" si="1315"/>
        <v>23/10/2025</v>
      </c>
      <c r="B7118" t="str">
        <f t="shared" si="1318"/>
        <v>SAÍDA</v>
      </c>
      <c r="C7118" t="str">
        <f t="shared" si="1319"/>
        <v>PIX</v>
      </c>
      <c r="D7118" t="str">
        <f>"23868"</f>
        <v>23868</v>
      </c>
      <c r="E7118" t="str">
        <f t="shared" si="1320"/>
        <v>1</v>
      </c>
      <c r="F7118" t="str">
        <f t="shared" si="1316"/>
        <v>COM</v>
      </c>
      <c r="G7118" t="str">
        <f>"BRUCE HENRIQUE COSTA DOS SANTOS CONCEI?? (996)"</f>
        <v>BRUCE HENRIQUE COSTA DOS SANTOS CONCEI?? (996)</v>
      </c>
      <c r="H7118" t="str">
        <f>"Serv.Prest. 13/10/2025 a 19/10/2025 - PIX: CNPJ - CHAVE: 52.606.983/0001-08"</f>
        <v>Serv.Prest. 13/10/2025 a 19/10/2025 - PIX: CNPJ - CHAVE: 52.606.983/0001-08</v>
      </c>
      <c r="I7118" t="str">
        <f t="shared" si="1321"/>
        <v>23/10/2025</v>
      </c>
      <c r="J7118" t="str">
        <f t="shared" si="1322"/>
        <v>20/10/2025</v>
      </c>
      <c r="K7118" t="str">
        <f>("23/10/2025")</f>
        <v>23/10/2025</v>
      </c>
      <c r="L7118">
        <v>1375</v>
      </c>
      <c r="M7118">
        <v>1375</v>
      </c>
      <c r="N7118">
        <v>109</v>
      </c>
      <c r="O7118" t="str">
        <f>"PAGAMENTO DE ENTREGADORES"</f>
        <v>PAGAMENTO DE ENTREGADORES</v>
      </c>
      <c r="P7118">
        <v>1375</v>
      </c>
      <c r="S7118" t="str">
        <f>"BANCO C6 (149)"</f>
        <v>BANCO C6 (149)</v>
      </c>
      <c r="T7118">
        <v>21886</v>
      </c>
      <c r="U7118">
        <v>23868</v>
      </c>
      <c r="V7118" t="s">
        <v>77</v>
      </c>
    </row>
    <row r="7119" spans="1:22">
      <c r="A7119" t="str">
        <f t="shared" si="1315"/>
        <v>23/10/2025</v>
      </c>
      <c r="B7119" t="str">
        <f t="shared" si="1318"/>
        <v>SAÍDA</v>
      </c>
      <c r="C7119" t="str">
        <f t="shared" si="1319"/>
        <v>PIX</v>
      </c>
      <c r="D7119" t="str">
        <f>"23868"</f>
        <v>23868</v>
      </c>
      <c r="E7119" t="str">
        <f t="shared" si="1320"/>
        <v>1</v>
      </c>
      <c r="F7119" t="str">
        <f t="shared" si="1316"/>
        <v>COM</v>
      </c>
      <c r="G7119" t="str">
        <f>"BRUCE HENRIQUE COSTA DOS SANTOS CONCEI?? (996)"</f>
        <v>BRUCE HENRIQUE COSTA DOS SANTOS CONCEI?? (996)</v>
      </c>
      <c r="H7119" t="s">
        <v>1951</v>
      </c>
      <c r="I7119" t="str">
        <f t="shared" si="1321"/>
        <v>23/10/2025</v>
      </c>
      <c r="J7119" t="str">
        <f t="shared" si="1322"/>
        <v>20/10/2025</v>
      </c>
      <c r="K7119">
        <v>45953</v>
      </c>
      <c r="N7119">
        <v>109</v>
      </c>
      <c r="O7119" t="s">
        <v>24</v>
      </c>
      <c r="Q7119">
        <v>1375</v>
      </c>
      <c r="R7119" t="str">
        <f>"PENSE FARMA 19 (10223)"</f>
        <v>PENSE FARMA 19 (10223)</v>
      </c>
      <c r="S7119" t="s">
        <v>77</v>
      </c>
      <c r="T7119">
        <v>21886</v>
      </c>
      <c r="U7119">
        <v>23868</v>
      </c>
      <c r="V7119" t="s">
        <v>77</v>
      </c>
    </row>
    <row r="7120" spans="1:22">
      <c r="A7120" t="str">
        <f t="shared" si="1315"/>
        <v>23/10/2025</v>
      </c>
      <c r="B7120" t="str">
        <f t="shared" si="1318"/>
        <v>SAÍDA</v>
      </c>
      <c r="C7120" t="str">
        <f t="shared" si="1319"/>
        <v>PIX</v>
      </c>
      <c r="D7120" t="str">
        <f>"23867"</f>
        <v>23867</v>
      </c>
      <c r="E7120" t="str">
        <f t="shared" si="1320"/>
        <v>1</v>
      </c>
      <c r="F7120" t="str">
        <f t="shared" si="1316"/>
        <v>COM</v>
      </c>
      <c r="G7120" t="str">
        <f>"ANDREA VOLPONI (1004)"</f>
        <v>ANDREA VOLPONI (1004)</v>
      </c>
      <c r="H7120" t="str">
        <f>"Serv.Prest. 13/10/2025 a 19/10/2025 - PIX: CPF - CHAVE: 361.750.258-06"</f>
        <v>Serv.Prest. 13/10/2025 a 19/10/2025 - PIX: CPF - CHAVE: 361.750.258-06</v>
      </c>
      <c r="I7120" t="str">
        <f t="shared" si="1321"/>
        <v>23/10/2025</v>
      </c>
      <c r="J7120" t="str">
        <f t="shared" si="1322"/>
        <v>20/10/2025</v>
      </c>
      <c r="K7120" t="str">
        <f>("23/10/2025")</f>
        <v>23/10/2025</v>
      </c>
      <c r="L7120">
        <v>790</v>
      </c>
      <c r="M7120">
        <v>790</v>
      </c>
      <c r="N7120">
        <v>109</v>
      </c>
      <c r="O7120" t="str">
        <f>"PAGAMENTO DE ENTREGADORES"</f>
        <v>PAGAMENTO DE ENTREGADORES</v>
      </c>
      <c r="P7120">
        <v>790</v>
      </c>
      <c r="S7120" t="str">
        <f>"BANCO C6 (149)"</f>
        <v>BANCO C6 (149)</v>
      </c>
      <c r="T7120">
        <v>21887</v>
      </c>
      <c r="U7120">
        <v>23867</v>
      </c>
      <c r="V7120" t="s">
        <v>77</v>
      </c>
    </row>
    <row r="7121" spans="1:22">
      <c r="A7121" t="str">
        <f t="shared" si="1315"/>
        <v>23/10/2025</v>
      </c>
      <c r="B7121" t="str">
        <f t="shared" si="1318"/>
        <v>SAÍDA</v>
      </c>
      <c r="C7121" t="str">
        <f t="shared" si="1319"/>
        <v>PIX</v>
      </c>
      <c r="D7121" t="str">
        <f>"23867"</f>
        <v>23867</v>
      </c>
      <c r="E7121" t="str">
        <f t="shared" si="1320"/>
        <v>1</v>
      </c>
      <c r="F7121" t="str">
        <f t="shared" si="1316"/>
        <v>COM</v>
      </c>
      <c r="G7121" t="str">
        <f>"ANDREA VOLPONI (1004)"</f>
        <v>ANDREA VOLPONI (1004)</v>
      </c>
      <c r="H7121" t="s">
        <v>1859</v>
      </c>
      <c r="I7121" t="str">
        <f t="shared" si="1321"/>
        <v>23/10/2025</v>
      </c>
      <c r="J7121" t="str">
        <f t="shared" si="1322"/>
        <v>20/10/2025</v>
      </c>
      <c r="K7121">
        <v>45953</v>
      </c>
      <c r="N7121">
        <v>109</v>
      </c>
      <c r="O7121" t="s">
        <v>24</v>
      </c>
      <c r="Q7121">
        <v>790</v>
      </c>
      <c r="R7121" t="str">
        <f>"PENSE FARMA 19 (10223)"</f>
        <v>PENSE FARMA 19 (10223)</v>
      </c>
      <c r="S7121" t="s">
        <v>77</v>
      </c>
      <c r="T7121">
        <v>21887</v>
      </c>
      <c r="U7121">
        <v>23867</v>
      </c>
      <c r="V7121" t="s">
        <v>77</v>
      </c>
    </row>
    <row r="7122" spans="1:22">
      <c r="A7122" t="str">
        <f t="shared" si="1315"/>
        <v>23/10/2025</v>
      </c>
      <c r="B7122" t="str">
        <f t="shared" si="1318"/>
        <v>SAÍDA</v>
      </c>
      <c r="C7122" t="str">
        <f t="shared" si="1319"/>
        <v>PIX</v>
      </c>
      <c r="D7122" t="str">
        <f>"23881"</f>
        <v>23881</v>
      </c>
      <c r="E7122" t="str">
        <f t="shared" si="1320"/>
        <v>1</v>
      </c>
      <c r="F7122" t="str">
        <f t="shared" si="1316"/>
        <v>COM</v>
      </c>
      <c r="G7122" t="str">
        <f>"LUAN DOS REIS SILVA (954)"</f>
        <v>LUAN DOS REIS SILVA (954)</v>
      </c>
      <c r="H7122" t="str">
        <f>"Serv.Prest. 13/10/2025 a 19/10/2025 - PIX: CELULAR - CHAVE: (11) 95906-5439"</f>
        <v>Serv.Prest. 13/10/2025 a 19/10/2025 - PIX: CELULAR - CHAVE: (11) 95906-5439</v>
      </c>
      <c r="I7122" t="str">
        <f t="shared" si="1321"/>
        <v>23/10/2025</v>
      </c>
      <c r="J7122" t="str">
        <f t="shared" si="1322"/>
        <v>20/10/2025</v>
      </c>
      <c r="K7122" t="str">
        <f>("23/10/2025")</f>
        <v>23/10/2025</v>
      </c>
      <c r="L7122">
        <v>1250</v>
      </c>
      <c r="M7122">
        <v>1250</v>
      </c>
      <c r="N7122">
        <v>109</v>
      </c>
      <c r="O7122" t="str">
        <f>"PAGAMENTO DE ENTREGADORES"</f>
        <v>PAGAMENTO DE ENTREGADORES</v>
      </c>
      <c r="P7122">
        <v>1250</v>
      </c>
      <c r="S7122" t="str">
        <f>"BANCO C6 (149)"</f>
        <v>BANCO C6 (149)</v>
      </c>
      <c r="T7122">
        <v>21888</v>
      </c>
      <c r="U7122">
        <v>23881</v>
      </c>
      <c r="V7122" t="s">
        <v>77</v>
      </c>
    </row>
    <row r="7123" spans="1:22">
      <c r="A7123" t="str">
        <f t="shared" si="1315"/>
        <v>23/10/2025</v>
      </c>
      <c r="B7123" t="str">
        <f t="shared" si="1318"/>
        <v>SAÍDA</v>
      </c>
      <c r="C7123" t="str">
        <f t="shared" si="1319"/>
        <v>PIX</v>
      </c>
      <c r="D7123" t="str">
        <f>"23881"</f>
        <v>23881</v>
      </c>
      <c r="E7123" t="str">
        <f t="shared" si="1320"/>
        <v>1</v>
      </c>
      <c r="F7123" t="str">
        <f t="shared" si="1316"/>
        <v>COM</v>
      </c>
      <c r="G7123" t="str">
        <f>"LUAN DOS REIS SILVA (954)"</f>
        <v>LUAN DOS REIS SILVA (954)</v>
      </c>
      <c r="H7123" t="s">
        <v>1876</v>
      </c>
      <c r="I7123" t="str">
        <f t="shared" si="1321"/>
        <v>23/10/2025</v>
      </c>
      <c r="J7123" t="str">
        <f t="shared" si="1322"/>
        <v>20/10/2025</v>
      </c>
      <c r="K7123">
        <v>45953</v>
      </c>
      <c r="N7123">
        <v>109</v>
      </c>
      <c r="O7123" t="s">
        <v>24</v>
      </c>
      <c r="Q7123">
        <v>416.62</v>
      </c>
      <c r="R7123" t="str">
        <f>"PENSE FARMA 05 (10200)"</f>
        <v>PENSE FARMA 05 (10200)</v>
      </c>
      <c r="S7123" t="s">
        <v>77</v>
      </c>
      <c r="T7123">
        <v>21888</v>
      </c>
      <c r="U7123">
        <v>23881</v>
      </c>
      <c r="V7123" t="s">
        <v>77</v>
      </c>
    </row>
    <row r="7124" spans="1:22">
      <c r="A7124" t="str">
        <f t="shared" si="1315"/>
        <v>23/10/2025</v>
      </c>
      <c r="B7124" t="str">
        <f t="shared" si="1318"/>
        <v>SAÍDA</v>
      </c>
      <c r="C7124" t="str">
        <f t="shared" si="1319"/>
        <v>PIX</v>
      </c>
      <c r="D7124" t="str">
        <f>"23881"</f>
        <v>23881</v>
      </c>
      <c r="E7124" t="str">
        <f t="shared" si="1320"/>
        <v>1</v>
      </c>
      <c r="F7124" t="str">
        <f t="shared" si="1316"/>
        <v>COM</v>
      </c>
      <c r="G7124" t="str">
        <f>"LUAN DOS REIS SILVA (954)"</f>
        <v>LUAN DOS REIS SILVA (954)</v>
      </c>
      <c r="H7124" t="s">
        <v>1876</v>
      </c>
      <c r="I7124" t="str">
        <f t="shared" si="1321"/>
        <v>23/10/2025</v>
      </c>
      <c r="J7124" t="str">
        <f t="shared" si="1322"/>
        <v>20/10/2025</v>
      </c>
      <c r="K7124">
        <v>45953</v>
      </c>
      <c r="N7124">
        <v>109</v>
      </c>
      <c r="O7124" t="s">
        <v>24</v>
      </c>
      <c r="Q7124">
        <v>416.63</v>
      </c>
      <c r="R7124" t="str">
        <f>"PENSE FARMA 13 (10202)"</f>
        <v>PENSE FARMA 13 (10202)</v>
      </c>
      <c r="S7124" t="s">
        <v>77</v>
      </c>
      <c r="T7124">
        <v>21888</v>
      </c>
      <c r="U7124">
        <v>23881</v>
      </c>
      <c r="V7124" t="s">
        <v>77</v>
      </c>
    </row>
    <row r="7125" spans="1:22">
      <c r="A7125" t="str">
        <f t="shared" ref="A7125:A7188" si="1323">("23/10/2025")</f>
        <v>23/10/2025</v>
      </c>
      <c r="B7125" t="str">
        <f t="shared" si="1318"/>
        <v>SAÍDA</v>
      </c>
      <c r="C7125" t="str">
        <f t="shared" si="1319"/>
        <v>PIX</v>
      </c>
      <c r="D7125" t="str">
        <f>"23881"</f>
        <v>23881</v>
      </c>
      <c r="E7125" t="str">
        <f t="shared" si="1320"/>
        <v>1</v>
      </c>
      <c r="F7125" t="str">
        <f t="shared" ref="F7125:F7188" si="1324">"COM"</f>
        <v>COM</v>
      </c>
      <c r="G7125" t="str">
        <f>"LUAN DOS REIS SILVA (954)"</f>
        <v>LUAN DOS REIS SILVA (954)</v>
      </c>
      <c r="H7125" t="s">
        <v>1876</v>
      </c>
      <c r="I7125" t="str">
        <f t="shared" si="1321"/>
        <v>23/10/2025</v>
      </c>
      <c r="J7125" t="str">
        <f t="shared" si="1322"/>
        <v>20/10/2025</v>
      </c>
      <c r="K7125">
        <v>45953</v>
      </c>
      <c r="N7125">
        <v>109</v>
      </c>
      <c r="O7125" t="s">
        <v>24</v>
      </c>
      <c r="Q7125">
        <v>416.75</v>
      </c>
      <c r="R7125" t="str">
        <f>"PENSE FARMA 27 (10204)"</f>
        <v>PENSE FARMA 27 (10204)</v>
      </c>
      <c r="S7125" t="s">
        <v>77</v>
      </c>
      <c r="T7125">
        <v>21888</v>
      </c>
      <c r="U7125">
        <v>23881</v>
      </c>
      <c r="V7125" t="s">
        <v>77</v>
      </c>
    </row>
    <row r="7126" spans="1:22">
      <c r="A7126" t="str">
        <f t="shared" si="1323"/>
        <v>23/10/2025</v>
      </c>
      <c r="B7126" t="str">
        <f t="shared" si="1318"/>
        <v>SAÍDA</v>
      </c>
      <c r="C7126" t="str">
        <f t="shared" si="1319"/>
        <v>PIX</v>
      </c>
      <c r="D7126" t="str">
        <f>"23882"</f>
        <v>23882</v>
      </c>
      <c r="E7126" t="str">
        <f t="shared" si="1320"/>
        <v>1</v>
      </c>
      <c r="F7126" t="str">
        <f t="shared" si="1324"/>
        <v>COM</v>
      </c>
      <c r="G7126" t="str">
        <f>"MANOEL DE JESUS ALMEIDA (1017)"</f>
        <v>MANOEL DE JESUS ALMEIDA (1017)</v>
      </c>
      <c r="H7126" t="str">
        <f>"Serv.Prest. 13/10/2025 a 19/10/2025 - PIX: CPF - CHAVE: 026.422.254-70"</f>
        <v>Serv.Prest. 13/10/2025 a 19/10/2025 - PIX: CPF - CHAVE: 026.422.254-70</v>
      </c>
      <c r="I7126" t="str">
        <f t="shared" si="1321"/>
        <v>23/10/2025</v>
      </c>
      <c r="J7126" t="str">
        <f t="shared" si="1322"/>
        <v>20/10/2025</v>
      </c>
      <c r="K7126" t="str">
        <f>("23/10/2025")</f>
        <v>23/10/2025</v>
      </c>
      <c r="L7126">
        <v>1250</v>
      </c>
      <c r="M7126">
        <v>1250</v>
      </c>
      <c r="N7126">
        <v>109</v>
      </c>
      <c r="O7126" t="str">
        <f>"PAGAMENTO DE ENTREGADORES"</f>
        <v>PAGAMENTO DE ENTREGADORES</v>
      </c>
      <c r="P7126">
        <v>1250</v>
      </c>
      <c r="S7126" t="str">
        <f>"BANCO C6 (149)"</f>
        <v>BANCO C6 (149)</v>
      </c>
      <c r="T7126">
        <v>21889</v>
      </c>
      <c r="U7126">
        <v>23882</v>
      </c>
      <c r="V7126" t="s">
        <v>77</v>
      </c>
    </row>
    <row r="7127" spans="1:22">
      <c r="A7127" t="str">
        <f t="shared" si="1323"/>
        <v>23/10/2025</v>
      </c>
      <c r="B7127" t="str">
        <f t="shared" si="1318"/>
        <v>SAÍDA</v>
      </c>
      <c r="C7127" t="str">
        <f t="shared" si="1319"/>
        <v>PIX</v>
      </c>
      <c r="D7127" t="str">
        <f>"23882"</f>
        <v>23882</v>
      </c>
      <c r="E7127" t="str">
        <f t="shared" si="1320"/>
        <v>1</v>
      </c>
      <c r="F7127" t="str">
        <f t="shared" si="1324"/>
        <v>COM</v>
      </c>
      <c r="G7127" t="str">
        <f>"MANOEL DE JESUS ALMEIDA (1017)"</f>
        <v>MANOEL DE JESUS ALMEIDA (1017)</v>
      </c>
      <c r="H7127" t="s">
        <v>1952</v>
      </c>
      <c r="I7127" t="str">
        <f t="shared" si="1321"/>
        <v>23/10/2025</v>
      </c>
      <c r="J7127" t="str">
        <f t="shared" si="1322"/>
        <v>20/10/2025</v>
      </c>
      <c r="K7127">
        <v>45953</v>
      </c>
      <c r="N7127">
        <v>109</v>
      </c>
      <c r="O7127" t="s">
        <v>24</v>
      </c>
      <c r="Q7127">
        <v>416.62</v>
      </c>
      <c r="R7127" t="str">
        <f>"PENSE FARMA 05 (10200)"</f>
        <v>PENSE FARMA 05 (10200)</v>
      </c>
      <c r="S7127" t="s">
        <v>77</v>
      </c>
      <c r="T7127">
        <v>21889</v>
      </c>
      <c r="U7127">
        <v>23882</v>
      </c>
      <c r="V7127" t="s">
        <v>77</v>
      </c>
    </row>
    <row r="7128" spans="1:22">
      <c r="A7128" t="str">
        <f t="shared" si="1323"/>
        <v>23/10/2025</v>
      </c>
      <c r="B7128" t="str">
        <f t="shared" si="1318"/>
        <v>SAÍDA</v>
      </c>
      <c r="C7128" t="str">
        <f t="shared" si="1319"/>
        <v>PIX</v>
      </c>
      <c r="D7128" t="str">
        <f>"23882"</f>
        <v>23882</v>
      </c>
      <c r="E7128" t="str">
        <f t="shared" si="1320"/>
        <v>1</v>
      </c>
      <c r="F7128" t="str">
        <f t="shared" si="1324"/>
        <v>COM</v>
      </c>
      <c r="G7128" t="str">
        <f>"MANOEL DE JESUS ALMEIDA (1017)"</f>
        <v>MANOEL DE JESUS ALMEIDA (1017)</v>
      </c>
      <c r="H7128" t="s">
        <v>1952</v>
      </c>
      <c r="I7128" t="str">
        <f t="shared" si="1321"/>
        <v>23/10/2025</v>
      </c>
      <c r="J7128" t="str">
        <f t="shared" si="1322"/>
        <v>20/10/2025</v>
      </c>
      <c r="K7128">
        <v>45953</v>
      </c>
      <c r="N7128">
        <v>109</v>
      </c>
      <c r="O7128" t="s">
        <v>24</v>
      </c>
      <c r="Q7128">
        <v>416.63</v>
      </c>
      <c r="R7128" t="str">
        <f>"PENSE FARMA 13 (10202)"</f>
        <v>PENSE FARMA 13 (10202)</v>
      </c>
      <c r="S7128" t="s">
        <v>77</v>
      </c>
      <c r="T7128">
        <v>21889</v>
      </c>
      <c r="U7128">
        <v>23882</v>
      </c>
      <c r="V7128" t="s">
        <v>77</v>
      </c>
    </row>
    <row r="7129" spans="1:22">
      <c r="A7129" t="str">
        <f t="shared" si="1323"/>
        <v>23/10/2025</v>
      </c>
      <c r="B7129" t="str">
        <f t="shared" si="1318"/>
        <v>SAÍDA</v>
      </c>
      <c r="C7129" t="str">
        <f t="shared" si="1319"/>
        <v>PIX</v>
      </c>
      <c r="D7129" t="str">
        <f>"23882"</f>
        <v>23882</v>
      </c>
      <c r="E7129" t="str">
        <f t="shared" si="1320"/>
        <v>1</v>
      </c>
      <c r="F7129" t="str">
        <f t="shared" si="1324"/>
        <v>COM</v>
      </c>
      <c r="G7129" t="str">
        <f>"MANOEL DE JESUS ALMEIDA (1017)"</f>
        <v>MANOEL DE JESUS ALMEIDA (1017)</v>
      </c>
      <c r="H7129" t="s">
        <v>1952</v>
      </c>
      <c r="I7129" t="str">
        <f t="shared" si="1321"/>
        <v>23/10/2025</v>
      </c>
      <c r="J7129" t="str">
        <f t="shared" si="1322"/>
        <v>20/10/2025</v>
      </c>
      <c r="K7129">
        <v>45953</v>
      </c>
      <c r="N7129">
        <v>109</v>
      </c>
      <c r="O7129" t="s">
        <v>24</v>
      </c>
      <c r="Q7129">
        <v>416.75</v>
      </c>
      <c r="R7129" t="str">
        <f>"PENSE FARMA 27 (10204)"</f>
        <v>PENSE FARMA 27 (10204)</v>
      </c>
      <c r="S7129" t="s">
        <v>77</v>
      </c>
      <c r="T7129">
        <v>21889</v>
      </c>
      <c r="U7129">
        <v>23882</v>
      </c>
      <c r="V7129" t="s">
        <v>77</v>
      </c>
    </row>
    <row r="7130" spans="1:22">
      <c r="A7130" t="str">
        <f t="shared" si="1323"/>
        <v>23/10/2025</v>
      </c>
      <c r="B7130" t="str">
        <f t="shared" si="1318"/>
        <v>SAÍDA</v>
      </c>
      <c r="C7130" t="str">
        <f t="shared" si="1319"/>
        <v>PIX</v>
      </c>
      <c r="D7130" t="str">
        <f>"23885"</f>
        <v>23885</v>
      </c>
      <c r="E7130" t="str">
        <f t="shared" si="1320"/>
        <v>1</v>
      </c>
      <c r="F7130" t="str">
        <f t="shared" si="1324"/>
        <v>COM</v>
      </c>
      <c r="G7130" t="str">
        <f>"MATHEUS DA ROCHA GOMES (1002)"</f>
        <v>MATHEUS DA ROCHA GOMES (1002)</v>
      </c>
      <c r="H7130" t="str">
        <f>"Serv.Prest. 13/10/2025 a 19/10/2025 - PIX: CPF - CHAVE: 469.543.578-04"</f>
        <v>Serv.Prest. 13/10/2025 a 19/10/2025 - PIX: CPF - CHAVE: 469.543.578-04</v>
      </c>
      <c r="I7130" t="str">
        <f t="shared" si="1321"/>
        <v>23/10/2025</v>
      </c>
      <c r="J7130" t="str">
        <f t="shared" si="1322"/>
        <v>20/10/2025</v>
      </c>
      <c r="K7130" t="str">
        <f>("23/10/2025")</f>
        <v>23/10/2025</v>
      </c>
      <c r="L7130">
        <v>1115</v>
      </c>
      <c r="M7130">
        <v>1114.3</v>
      </c>
      <c r="N7130">
        <v>109</v>
      </c>
      <c r="O7130" t="str">
        <f>"PAGAMENTO DE ENTREGADORES"</f>
        <v>PAGAMENTO DE ENTREGADORES</v>
      </c>
      <c r="P7130">
        <v>1114.3</v>
      </c>
      <c r="S7130" t="str">
        <f>"BANCO C6 (149)"</f>
        <v>BANCO C6 (149)</v>
      </c>
      <c r="T7130">
        <v>21890</v>
      </c>
      <c r="U7130">
        <v>23885</v>
      </c>
      <c r="V7130" t="s">
        <v>77</v>
      </c>
    </row>
    <row r="7131" spans="1:22">
      <c r="A7131" t="str">
        <f t="shared" si="1323"/>
        <v>23/10/2025</v>
      </c>
      <c r="B7131" t="str">
        <f t="shared" si="1318"/>
        <v>SAÍDA</v>
      </c>
      <c r="C7131" t="str">
        <f t="shared" si="1319"/>
        <v>PIX</v>
      </c>
      <c r="D7131" t="str">
        <f>"23885"</f>
        <v>23885</v>
      </c>
      <c r="E7131" t="str">
        <f t="shared" si="1320"/>
        <v>1</v>
      </c>
      <c r="F7131" t="str">
        <f t="shared" si="1324"/>
        <v>COM</v>
      </c>
      <c r="G7131" t="str">
        <f>"MATHEUS DA ROCHA GOMES (1002)"</f>
        <v>MATHEUS DA ROCHA GOMES (1002)</v>
      </c>
      <c r="H7131" t="s">
        <v>1953</v>
      </c>
      <c r="I7131" t="str">
        <f t="shared" si="1321"/>
        <v>23/10/2025</v>
      </c>
      <c r="J7131" t="str">
        <f t="shared" si="1322"/>
        <v>20/10/2025</v>
      </c>
      <c r="K7131">
        <v>45953</v>
      </c>
      <c r="N7131">
        <v>109</v>
      </c>
      <c r="O7131" t="s">
        <v>24</v>
      </c>
      <c r="Q7131">
        <v>371.39</v>
      </c>
      <c r="R7131" t="str">
        <f>"PENSE FARMA 31 (10205)"</f>
        <v>PENSE FARMA 31 (10205)</v>
      </c>
      <c r="S7131" t="s">
        <v>77</v>
      </c>
      <c r="T7131">
        <v>21890</v>
      </c>
      <c r="U7131">
        <v>23885</v>
      </c>
      <c r="V7131" t="s">
        <v>77</v>
      </c>
    </row>
    <row r="7132" spans="1:22">
      <c r="A7132" t="str">
        <f t="shared" si="1323"/>
        <v>23/10/2025</v>
      </c>
      <c r="B7132" t="str">
        <f t="shared" si="1318"/>
        <v>SAÍDA</v>
      </c>
      <c r="C7132" t="str">
        <f t="shared" si="1319"/>
        <v>PIX</v>
      </c>
      <c r="D7132" t="str">
        <f>"23885"</f>
        <v>23885</v>
      </c>
      <c r="E7132" t="str">
        <f t="shared" si="1320"/>
        <v>1</v>
      </c>
      <c r="F7132" t="str">
        <f t="shared" si="1324"/>
        <v>COM</v>
      </c>
      <c r="G7132" t="str">
        <f>"MATHEUS DA ROCHA GOMES (1002)"</f>
        <v>MATHEUS DA ROCHA GOMES (1002)</v>
      </c>
      <c r="H7132" t="s">
        <v>1953</v>
      </c>
      <c r="I7132" t="str">
        <f t="shared" si="1321"/>
        <v>23/10/2025</v>
      </c>
      <c r="J7132" t="str">
        <f t="shared" si="1322"/>
        <v>20/10/2025</v>
      </c>
      <c r="K7132">
        <v>45953</v>
      </c>
      <c r="N7132">
        <v>109</v>
      </c>
      <c r="O7132" t="s">
        <v>24</v>
      </c>
      <c r="Q7132">
        <v>371.4</v>
      </c>
      <c r="R7132" t="str">
        <f>"PENSE FARMA 16 (10221)"</f>
        <v>PENSE FARMA 16 (10221)</v>
      </c>
      <c r="S7132" t="s">
        <v>77</v>
      </c>
      <c r="T7132">
        <v>21890</v>
      </c>
      <c r="U7132">
        <v>23885</v>
      </c>
      <c r="V7132" t="s">
        <v>77</v>
      </c>
    </row>
    <row r="7133" spans="1:22">
      <c r="A7133" t="str">
        <f t="shared" si="1323"/>
        <v>23/10/2025</v>
      </c>
      <c r="B7133" t="str">
        <f t="shared" si="1318"/>
        <v>SAÍDA</v>
      </c>
      <c r="C7133" t="str">
        <f t="shared" si="1319"/>
        <v>PIX</v>
      </c>
      <c r="D7133" t="str">
        <f>"23885"</f>
        <v>23885</v>
      </c>
      <c r="E7133" t="str">
        <f t="shared" si="1320"/>
        <v>1</v>
      </c>
      <c r="F7133" t="str">
        <f t="shared" si="1324"/>
        <v>COM</v>
      </c>
      <c r="G7133" t="str">
        <f>"MATHEUS DA ROCHA GOMES (1002)"</f>
        <v>MATHEUS DA ROCHA GOMES (1002)</v>
      </c>
      <c r="H7133" t="s">
        <v>1953</v>
      </c>
      <c r="I7133" t="str">
        <f t="shared" si="1321"/>
        <v>23/10/2025</v>
      </c>
      <c r="J7133" t="str">
        <f t="shared" si="1322"/>
        <v>20/10/2025</v>
      </c>
      <c r="K7133">
        <v>45953</v>
      </c>
      <c r="N7133">
        <v>109</v>
      </c>
      <c r="O7133" t="s">
        <v>24</v>
      </c>
      <c r="Q7133">
        <v>371.51</v>
      </c>
      <c r="R7133" t="str">
        <f>"PENSE FARMA 17 (10222)"</f>
        <v>PENSE FARMA 17 (10222)</v>
      </c>
      <c r="S7133" t="s">
        <v>77</v>
      </c>
      <c r="T7133">
        <v>21890</v>
      </c>
      <c r="U7133">
        <v>23885</v>
      </c>
      <c r="V7133" t="s">
        <v>77</v>
      </c>
    </row>
    <row r="7134" spans="1:22">
      <c r="A7134" t="str">
        <f t="shared" si="1323"/>
        <v>23/10/2025</v>
      </c>
      <c r="B7134" t="str">
        <f t="shared" si="1318"/>
        <v>SAÍDA</v>
      </c>
      <c r="C7134" t="str">
        <f t="shared" si="1319"/>
        <v>PIX</v>
      </c>
      <c r="D7134" t="str">
        <f>"23887"</f>
        <v>23887</v>
      </c>
      <c r="E7134" t="str">
        <f t="shared" si="1320"/>
        <v>1</v>
      </c>
      <c r="F7134" t="str">
        <f t="shared" si="1324"/>
        <v>COM</v>
      </c>
      <c r="G7134" t="str">
        <f>"PEDRO HENRIQUE XAVIER DOS SANTOS (993)"</f>
        <v>PEDRO HENRIQUE XAVIER DOS SANTOS (993)</v>
      </c>
      <c r="H7134" t="str">
        <f>"Serv.Prest. 13/10/2025 a 19/10/2025 - PIX: CPF - CHAVE: 489.237.478-40"</f>
        <v>Serv.Prest. 13/10/2025 a 19/10/2025 - PIX: CPF - CHAVE: 489.237.478-40</v>
      </c>
      <c r="I7134" t="str">
        <f t="shared" si="1321"/>
        <v>23/10/2025</v>
      </c>
      <c r="J7134" t="str">
        <f t="shared" si="1322"/>
        <v>20/10/2025</v>
      </c>
      <c r="K7134" t="str">
        <f>("23/10/2025")</f>
        <v>23/10/2025</v>
      </c>
      <c r="L7134">
        <v>800</v>
      </c>
      <c r="M7134">
        <v>800</v>
      </c>
      <c r="N7134">
        <v>109</v>
      </c>
      <c r="O7134" t="str">
        <f>"PAGAMENTO DE ENTREGADORES"</f>
        <v>PAGAMENTO DE ENTREGADORES</v>
      </c>
      <c r="P7134">
        <v>800</v>
      </c>
      <c r="S7134" t="str">
        <f>"BANCO C6 (149)"</f>
        <v>BANCO C6 (149)</v>
      </c>
      <c r="T7134">
        <v>21891</v>
      </c>
      <c r="U7134">
        <v>23887</v>
      </c>
      <c r="V7134" t="s">
        <v>77</v>
      </c>
    </row>
    <row r="7135" spans="1:22">
      <c r="A7135" t="str">
        <f t="shared" si="1323"/>
        <v>23/10/2025</v>
      </c>
      <c r="B7135" t="str">
        <f t="shared" si="1318"/>
        <v>SAÍDA</v>
      </c>
      <c r="C7135" t="str">
        <f t="shared" si="1319"/>
        <v>PIX</v>
      </c>
      <c r="D7135" t="str">
        <f>"23887"</f>
        <v>23887</v>
      </c>
      <c r="E7135" t="str">
        <f t="shared" si="1320"/>
        <v>1</v>
      </c>
      <c r="F7135" t="str">
        <f t="shared" si="1324"/>
        <v>COM</v>
      </c>
      <c r="G7135" t="str">
        <f>"PEDRO HENRIQUE XAVIER DOS SANTOS (993)"</f>
        <v>PEDRO HENRIQUE XAVIER DOS SANTOS (993)</v>
      </c>
      <c r="H7135" t="s">
        <v>1954</v>
      </c>
      <c r="I7135" t="str">
        <f t="shared" si="1321"/>
        <v>23/10/2025</v>
      </c>
      <c r="J7135" t="str">
        <f t="shared" si="1322"/>
        <v>20/10/2025</v>
      </c>
      <c r="K7135">
        <v>45953</v>
      </c>
      <c r="N7135">
        <v>109</v>
      </c>
      <c r="O7135" t="s">
        <v>24</v>
      </c>
      <c r="Q7135">
        <v>800</v>
      </c>
      <c r="R7135" t="str">
        <f>"PENSE FARMA 35 (10227)"</f>
        <v>PENSE FARMA 35 (10227)</v>
      </c>
      <c r="S7135" t="s">
        <v>77</v>
      </c>
      <c r="T7135">
        <v>21891</v>
      </c>
      <c r="U7135">
        <v>23887</v>
      </c>
      <c r="V7135" t="s">
        <v>77</v>
      </c>
    </row>
    <row r="7136" spans="1:22">
      <c r="A7136" t="str">
        <f t="shared" si="1323"/>
        <v>23/10/2025</v>
      </c>
      <c r="B7136" t="str">
        <f t="shared" si="1318"/>
        <v>SAÍDA</v>
      </c>
      <c r="C7136" t="str">
        <f t="shared" si="1319"/>
        <v>PIX</v>
      </c>
      <c r="D7136" t="str">
        <f t="shared" ref="D7136:D7142" si="1325">"23889"</f>
        <v>23889</v>
      </c>
      <c r="E7136" t="str">
        <f t="shared" si="1320"/>
        <v>1</v>
      </c>
      <c r="F7136" t="str">
        <f t="shared" si="1324"/>
        <v>COM</v>
      </c>
      <c r="G7136" t="str">
        <f t="shared" ref="G7136:G7142" si="1326">"FELIPE ALEXANDRE CAMA (976)"</f>
        <v>FELIPE ALEXANDRE CAMA (976)</v>
      </c>
      <c r="H7136" t="str">
        <f>"Serv.Prest. 13/10/2025 a 19/10/2025 - PIX: CPF - CHAVE: 471.142.438-55"</f>
        <v>Serv.Prest. 13/10/2025 a 19/10/2025 - PIX: CPF - CHAVE: 471.142.438-55</v>
      </c>
      <c r="I7136" t="str">
        <f t="shared" si="1321"/>
        <v>23/10/2025</v>
      </c>
      <c r="J7136" t="str">
        <f t="shared" si="1322"/>
        <v>20/10/2025</v>
      </c>
      <c r="K7136" t="str">
        <f>("23/10/2025")</f>
        <v>23/10/2025</v>
      </c>
      <c r="L7136">
        <v>1325</v>
      </c>
      <c r="M7136">
        <v>1325</v>
      </c>
      <c r="N7136">
        <v>109</v>
      </c>
      <c r="O7136" t="str">
        <f>"PAGAMENTO DE ENTREGADORES"</f>
        <v>PAGAMENTO DE ENTREGADORES</v>
      </c>
      <c r="P7136">
        <v>1325</v>
      </c>
      <c r="S7136" t="str">
        <f>"BANCO C6 (149)"</f>
        <v>BANCO C6 (149)</v>
      </c>
      <c r="T7136">
        <v>21892</v>
      </c>
      <c r="U7136">
        <v>23889</v>
      </c>
      <c r="V7136" t="s">
        <v>77</v>
      </c>
    </row>
    <row r="7137" spans="1:22">
      <c r="A7137" t="str">
        <f t="shared" si="1323"/>
        <v>23/10/2025</v>
      </c>
      <c r="B7137" t="str">
        <f t="shared" si="1318"/>
        <v>SAÍDA</v>
      </c>
      <c r="C7137" t="str">
        <f t="shared" si="1319"/>
        <v>PIX</v>
      </c>
      <c r="D7137" t="str">
        <f t="shared" si="1325"/>
        <v>23889</v>
      </c>
      <c r="E7137" t="str">
        <f t="shared" si="1320"/>
        <v>1</v>
      </c>
      <c r="F7137" t="str">
        <f t="shared" si="1324"/>
        <v>COM</v>
      </c>
      <c r="G7137" t="str">
        <f t="shared" si="1326"/>
        <v>FELIPE ALEXANDRE CAMA (976)</v>
      </c>
      <c r="H7137" t="s">
        <v>1955</v>
      </c>
      <c r="I7137" t="str">
        <f t="shared" si="1321"/>
        <v>23/10/2025</v>
      </c>
      <c r="J7137" t="str">
        <f t="shared" ref="J7137:J7168" si="1327">("20/10/2025")</f>
        <v>20/10/2025</v>
      </c>
      <c r="K7137">
        <v>45953</v>
      </c>
      <c r="N7137">
        <v>109</v>
      </c>
      <c r="O7137" t="s">
        <v>24</v>
      </c>
      <c r="Q7137">
        <v>220.87</v>
      </c>
      <c r="R7137" t="str">
        <f>"PENSE FARMA 20 (10203)"</f>
        <v>PENSE FARMA 20 (10203)</v>
      </c>
      <c r="S7137" t="s">
        <v>77</v>
      </c>
      <c r="T7137">
        <v>21892</v>
      </c>
      <c r="U7137">
        <v>23889</v>
      </c>
      <c r="V7137" t="s">
        <v>77</v>
      </c>
    </row>
    <row r="7138" spans="1:22">
      <c r="A7138" t="str">
        <f t="shared" si="1323"/>
        <v>23/10/2025</v>
      </c>
      <c r="B7138" t="str">
        <f t="shared" si="1318"/>
        <v>SAÍDA</v>
      </c>
      <c r="C7138" t="str">
        <f t="shared" si="1319"/>
        <v>PIX</v>
      </c>
      <c r="D7138" t="str">
        <f t="shared" si="1325"/>
        <v>23889</v>
      </c>
      <c r="E7138" t="str">
        <f t="shared" si="1320"/>
        <v>1</v>
      </c>
      <c r="F7138" t="str">
        <f t="shared" si="1324"/>
        <v>COM</v>
      </c>
      <c r="G7138" t="str">
        <f t="shared" si="1326"/>
        <v>FELIPE ALEXANDRE CAMA (976)</v>
      </c>
      <c r="H7138" t="s">
        <v>1955</v>
      </c>
      <c r="I7138" t="str">
        <f t="shared" si="1321"/>
        <v>23/10/2025</v>
      </c>
      <c r="J7138" t="str">
        <f t="shared" si="1327"/>
        <v>20/10/2025</v>
      </c>
      <c r="K7138">
        <v>45953</v>
      </c>
      <c r="N7138">
        <v>109</v>
      </c>
      <c r="O7138" t="s">
        <v>24</v>
      </c>
      <c r="Q7138">
        <v>220.88</v>
      </c>
      <c r="R7138" t="str">
        <f>"PENSE FARMA 36 (10206)"</f>
        <v>PENSE FARMA 36 (10206)</v>
      </c>
      <c r="S7138" t="s">
        <v>77</v>
      </c>
      <c r="T7138">
        <v>21892</v>
      </c>
      <c r="U7138">
        <v>23889</v>
      </c>
      <c r="V7138" t="s">
        <v>77</v>
      </c>
    </row>
    <row r="7139" spans="1:22">
      <c r="A7139" t="str">
        <f t="shared" si="1323"/>
        <v>23/10/2025</v>
      </c>
      <c r="B7139" t="str">
        <f t="shared" si="1318"/>
        <v>SAÍDA</v>
      </c>
      <c r="C7139" t="str">
        <f t="shared" si="1319"/>
        <v>PIX</v>
      </c>
      <c r="D7139" t="str">
        <f t="shared" si="1325"/>
        <v>23889</v>
      </c>
      <c r="E7139" t="str">
        <f t="shared" si="1320"/>
        <v>1</v>
      </c>
      <c r="F7139" t="str">
        <f t="shared" si="1324"/>
        <v>COM</v>
      </c>
      <c r="G7139" t="str">
        <f t="shared" si="1326"/>
        <v>FELIPE ALEXANDRE CAMA (976)</v>
      </c>
      <c r="H7139" t="s">
        <v>1955</v>
      </c>
      <c r="I7139" t="str">
        <f t="shared" si="1321"/>
        <v>23/10/2025</v>
      </c>
      <c r="J7139" t="str">
        <f t="shared" si="1327"/>
        <v>20/10/2025</v>
      </c>
      <c r="K7139">
        <v>45953</v>
      </c>
      <c r="N7139">
        <v>109</v>
      </c>
      <c r="O7139" t="s">
        <v>24</v>
      </c>
      <c r="Q7139">
        <v>220.88</v>
      </c>
      <c r="R7139" t="str">
        <f>"PENSE FARMA 40 (10207)"</f>
        <v>PENSE FARMA 40 (10207)</v>
      </c>
      <c r="S7139" t="s">
        <v>77</v>
      </c>
      <c r="T7139">
        <v>21892</v>
      </c>
      <c r="U7139">
        <v>23889</v>
      </c>
      <c r="V7139" t="s">
        <v>77</v>
      </c>
    </row>
    <row r="7140" spans="1:22">
      <c r="A7140" t="str">
        <f t="shared" si="1323"/>
        <v>23/10/2025</v>
      </c>
      <c r="B7140" t="str">
        <f t="shared" si="1318"/>
        <v>SAÍDA</v>
      </c>
      <c r="C7140" t="str">
        <f t="shared" si="1319"/>
        <v>PIX</v>
      </c>
      <c r="D7140" t="str">
        <f t="shared" si="1325"/>
        <v>23889</v>
      </c>
      <c r="E7140" t="str">
        <f t="shared" si="1320"/>
        <v>1</v>
      </c>
      <c r="F7140" t="str">
        <f t="shared" si="1324"/>
        <v>COM</v>
      </c>
      <c r="G7140" t="str">
        <f t="shared" si="1326"/>
        <v>FELIPE ALEXANDRE CAMA (976)</v>
      </c>
      <c r="H7140" t="s">
        <v>1955</v>
      </c>
      <c r="I7140" t="str">
        <f t="shared" si="1321"/>
        <v>23/10/2025</v>
      </c>
      <c r="J7140" t="str">
        <f t="shared" si="1327"/>
        <v>20/10/2025</v>
      </c>
      <c r="K7140">
        <v>45953</v>
      </c>
      <c r="N7140">
        <v>109</v>
      </c>
      <c r="O7140" t="s">
        <v>24</v>
      </c>
      <c r="Q7140">
        <v>220.88</v>
      </c>
      <c r="R7140" t="str">
        <f>"PENSE FARMA 43 (10208)"</f>
        <v>PENSE FARMA 43 (10208)</v>
      </c>
      <c r="S7140" t="s">
        <v>77</v>
      </c>
      <c r="T7140">
        <v>21892</v>
      </c>
      <c r="U7140">
        <v>23889</v>
      </c>
      <c r="V7140" t="s">
        <v>77</v>
      </c>
    </row>
    <row r="7141" spans="1:22">
      <c r="A7141" t="str">
        <f t="shared" si="1323"/>
        <v>23/10/2025</v>
      </c>
      <c r="B7141" t="str">
        <f t="shared" si="1318"/>
        <v>SAÍDA</v>
      </c>
      <c r="C7141" t="str">
        <f t="shared" si="1319"/>
        <v>PIX</v>
      </c>
      <c r="D7141" t="str">
        <f t="shared" si="1325"/>
        <v>23889</v>
      </c>
      <c r="E7141" t="str">
        <f t="shared" si="1320"/>
        <v>1</v>
      </c>
      <c r="F7141" t="str">
        <f t="shared" si="1324"/>
        <v>COM</v>
      </c>
      <c r="G7141" t="str">
        <f t="shared" si="1326"/>
        <v>FELIPE ALEXANDRE CAMA (976)</v>
      </c>
      <c r="H7141" t="s">
        <v>1955</v>
      </c>
      <c r="I7141" t="str">
        <f t="shared" si="1321"/>
        <v>23/10/2025</v>
      </c>
      <c r="J7141" t="str">
        <f t="shared" si="1327"/>
        <v>20/10/2025</v>
      </c>
      <c r="K7141">
        <v>45953</v>
      </c>
      <c r="N7141">
        <v>109</v>
      </c>
      <c r="O7141" t="s">
        <v>24</v>
      </c>
      <c r="Q7141">
        <v>220.88</v>
      </c>
      <c r="R7141" t="str">
        <f>"PENSE FARMA 59 (10211)"</f>
        <v>PENSE FARMA 59 (10211)</v>
      </c>
      <c r="S7141" t="s">
        <v>77</v>
      </c>
      <c r="T7141">
        <v>21892</v>
      </c>
      <c r="U7141">
        <v>23889</v>
      </c>
      <c r="V7141" t="s">
        <v>77</v>
      </c>
    </row>
    <row r="7142" spans="1:22">
      <c r="A7142" t="str">
        <f t="shared" si="1323"/>
        <v>23/10/2025</v>
      </c>
      <c r="B7142" t="str">
        <f t="shared" si="1318"/>
        <v>SAÍDA</v>
      </c>
      <c r="C7142" t="str">
        <f t="shared" si="1319"/>
        <v>PIX</v>
      </c>
      <c r="D7142" t="str">
        <f t="shared" si="1325"/>
        <v>23889</v>
      </c>
      <c r="E7142" t="str">
        <f t="shared" si="1320"/>
        <v>1</v>
      </c>
      <c r="F7142" t="str">
        <f t="shared" si="1324"/>
        <v>COM</v>
      </c>
      <c r="G7142" t="str">
        <f t="shared" si="1326"/>
        <v>FELIPE ALEXANDRE CAMA (976)</v>
      </c>
      <c r="H7142" t="s">
        <v>1955</v>
      </c>
      <c r="I7142" t="str">
        <f t="shared" si="1321"/>
        <v>23/10/2025</v>
      </c>
      <c r="J7142" t="str">
        <f t="shared" si="1327"/>
        <v>20/10/2025</v>
      </c>
      <c r="K7142">
        <v>45953</v>
      </c>
      <c r="N7142">
        <v>109</v>
      </c>
      <c r="O7142" t="s">
        <v>24</v>
      </c>
      <c r="Q7142">
        <v>220.61</v>
      </c>
      <c r="R7142" t="str">
        <f>"PENSE FARMA DARK STORE 361 (10212)"</f>
        <v>PENSE FARMA DARK STORE 361 (10212)</v>
      </c>
      <c r="S7142" t="s">
        <v>77</v>
      </c>
      <c r="T7142">
        <v>21892</v>
      </c>
      <c r="U7142">
        <v>23889</v>
      </c>
      <c r="V7142" t="s">
        <v>77</v>
      </c>
    </row>
    <row r="7143" spans="1:22">
      <c r="A7143" t="str">
        <f t="shared" si="1323"/>
        <v>23/10/2025</v>
      </c>
      <c r="B7143" t="str">
        <f t="shared" si="1318"/>
        <v>SAÍDA</v>
      </c>
      <c r="C7143" t="str">
        <f t="shared" si="1319"/>
        <v>PIX</v>
      </c>
      <c r="D7143" t="str">
        <f t="shared" ref="D7143:D7149" si="1328">"23890"</f>
        <v>23890</v>
      </c>
      <c r="E7143" t="str">
        <f t="shared" si="1320"/>
        <v>1</v>
      </c>
      <c r="F7143" t="str">
        <f t="shared" si="1324"/>
        <v>COM</v>
      </c>
      <c r="G7143" t="str">
        <f t="shared" ref="G7143:G7149" si="1329">"JULIO GUIMARAES DOS SANTOS (977)"</f>
        <v>JULIO GUIMARAES DOS SANTOS (977)</v>
      </c>
      <c r="H7143" t="str">
        <f>"Serv.Prest. 13/10/2025 a 19/10/2025 - PIX: CELULAR - CHAVE: (11) 94195-2534"</f>
        <v>Serv.Prest. 13/10/2025 a 19/10/2025 - PIX: CELULAR - CHAVE: (11) 94195-2534</v>
      </c>
      <c r="I7143" t="str">
        <f t="shared" si="1321"/>
        <v>23/10/2025</v>
      </c>
      <c r="J7143" t="str">
        <f t="shared" si="1327"/>
        <v>20/10/2025</v>
      </c>
      <c r="K7143" t="str">
        <f>("23/10/2025")</f>
        <v>23/10/2025</v>
      </c>
      <c r="L7143">
        <v>1325</v>
      </c>
      <c r="M7143">
        <v>1325</v>
      </c>
      <c r="N7143">
        <v>109</v>
      </c>
      <c r="O7143" t="str">
        <f>"PAGAMENTO DE ENTREGADORES"</f>
        <v>PAGAMENTO DE ENTREGADORES</v>
      </c>
      <c r="P7143">
        <v>1325</v>
      </c>
      <c r="S7143" t="str">
        <f>"BANCO C6 (149)"</f>
        <v>BANCO C6 (149)</v>
      </c>
      <c r="T7143">
        <v>21893</v>
      </c>
      <c r="U7143">
        <v>23890</v>
      </c>
      <c r="V7143" t="s">
        <v>77</v>
      </c>
    </row>
    <row r="7144" spans="1:22">
      <c r="A7144" t="str">
        <f t="shared" si="1323"/>
        <v>23/10/2025</v>
      </c>
      <c r="B7144" t="str">
        <f t="shared" si="1318"/>
        <v>SAÍDA</v>
      </c>
      <c r="C7144" t="str">
        <f t="shared" si="1319"/>
        <v>PIX</v>
      </c>
      <c r="D7144" t="str">
        <f t="shared" si="1328"/>
        <v>23890</v>
      </c>
      <c r="E7144" t="str">
        <f t="shared" si="1320"/>
        <v>1</v>
      </c>
      <c r="F7144" t="str">
        <f t="shared" si="1324"/>
        <v>COM</v>
      </c>
      <c r="G7144" t="str">
        <f t="shared" si="1329"/>
        <v>JULIO GUIMARAES DOS SANTOS (977)</v>
      </c>
      <c r="H7144" t="s">
        <v>1877</v>
      </c>
      <c r="I7144" t="str">
        <f t="shared" si="1321"/>
        <v>23/10/2025</v>
      </c>
      <c r="J7144" t="str">
        <f t="shared" si="1327"/>
        <v>20/10/2025</v>
      </c>
      <c r="K7144">
        <v>45953</v>
      </c>
      <c r="N7144">
        <v>109</v>
      </c>
      <c r="O7144" t="s">
        <v>24</v>
      </c>
      <c r="Q7144">
        <v>189.35</v>
      </c>
      <c r="R7144" t="str">
        <f>"PENSE FARMA 20 (10203)"</f>
        <v>PENSE FARMA 20 (10203)</v>
      </c>
      <c r="S7144" t="s">
        <v>77</v>
      </c>
      <c r="T7144">
        <v>21893</v>
      </c>
      <c r="U7144">
        <v>23890</v>
      </c>
      <c r="V7144" t="s">
        <v>77</v>
      </c>
    </row>
    <row r="7145" spans="1:22">
      <c r="A7145" t="str">
        <f t="shared" si="1323"/>
        <v>23/10/2025</v>
      </c>
      <c r="B7145" t="str">
        <f t="shared" si="1318"/>
        <v>SAÍDA</v>
      </c>
      <c r="C7145" t="str">
        <f t="shared" si="1319"/>
        <v>PIX</v>
      </c>
      <c r="D7145" t="str">
        <f t="shared" si="1328"/>
        <v>23890</v>
      </c>
      <c r="E7145" t="str">
        <f t="shared" si="1320"/>
        <v>1</v>
      </c>
      <c r="F7145" t="str">
        <f t="shared" si="1324"/>
        <v>COM</v>
      </c>
      <c r="G7145" t="str">
        <f t="shared" si="1329"/>
        <v>JULIO GUIMARAES DOS SANTOS (977)</v>
      </c>
      <c r="H7145" t="s">
        <v>1877</v>
      </c>
      <c r="I7145" t="str">
        <f t="shared" si="1321"/>
        <v>23/10/2025</v>
      </c>
      <c r="J7145" t="str">
        <f t="shared" si="1327"/>
        <v>20/10/2025</v>
      </c>
      <c r="K7145">
        <v>45953</v>
      </c>
      <c r="N7145">
        <v>109</v>
      </c>
      <c r="O7145" t="s">
        <v>24</v>
      </c>
      <c r="Q7145">
        <v>189.34</v>
      </c>
      <c r="R7145" t="str">
        <f>"PENSE FARMA 36 (10206)"</f>
        <v>PENSE FARMA 36 (10206)</v>
      </c>
      <c r="S7145" t="s">
        <v>77</v>
      </c>
      <c r="T7145">
        <v>21893</v>
      </c>
      <c r="U7145">
        <v>23890</v>
      </c>
      <c r="V7145" t="s">
        <v>77</v>
      </c>
    </row>
    <row r="7146" spans="1:22">
      <c r="A7146" t="str">
        <f t="shared" si="1323"/>
        <v>23/10/2025</v>
      </c>
      <c r="B7146" t="str">
        <f t="shared" si="1318"/>
        <v>SAÍDA</v>
      </c>
      <c r="C7146" t="str">
        <f t="shared" si="1319"/>
        <v>PIX</v>
      </c>
      <c r="D7146" t="str">
        <f t="shared" si="1328"/>
        <v>23890</v>
      </c>
      <c r="E7146" t="str">
        <f t="shared" si="1320"/>
        <v>1</v>
      </c>
      <c r="F7146" t="str">
        <f t="shared" si="1324"/>
        <v>COM</v>
      </c>
      <c r="G7146" t="str">
        <f t="shared" si="1329"/>
        <v>JULIO GUIMARAES DOS SANTOS (977)</v>
      </c>
      <c r="H7146" t="s">
        <v>1877</v>
      </c>
      <c r="I7146" t="str">
        <f t="shared" si="1321"/>
        <v>23/10/2025</v>
      </c>
      <c r="J7146" t="str">
        <f t="shared" si="1327"/>
        <v>20/10/2025</v>
      </c>
      <c r="K7146">
        <v>45953</v>
      </c>
      <c r="N7146">
        <v>109</v>
      </c>
      <c r="O7146" t="s">
        <v>24</v>
      </c>
      <c r="Q7146">
        <v>189.34</v>
      </c>
      <c r="R7146" t="str">
        <f>"PENSE FARMA 40 (10207)"</f>
        <v>PENSE FARMA 40 (10207)</v>
      </c>
      <c r="S7146" t="s">
        <v>77</v>
      </c>
      <c r="T7146">
        <v>21893</v>
      </c>
      <c r="U7146">
        <v>23890</v>
      </c>
      <c r="V7146" t="s">
        <v>77</v>
      </c>
    </row>
    <row r="7147" spans="1:22">
      <c r="A7147" t="str">
        <f t="shared" si="1323"/>
        <v>23/10/2025</v>
      </c>
      <c r="B7147" t="str">
        <f t="shared" si="1318"/>
        <v>SAÍDA</v>
      </c>
      <c r="C7147" t="str">
        <f t="shared" si="1319"/>
        <v>PIX</v>
      </c>
      <c r="D7147" t="str">
        <f t="shared" si="1328"/>
        <v>23890</v>
      </c>
      <c r="E7147" t="str">
        <f t="shared" si="1320"/>
        <v>1</v>
      </c>
      <c r="F7147" t="str">
        <f t="shared" si="1324"/>
        <v>COM</v>
      </c>
      <c r="G7147" t="str">
        <f t="shared" si="1329"/>
        <v>JULIO GUIMARAES DOS SANTOS (977)</v>
      </c>
      <c r="H7147" t="s">
        <v>1877</v>
      </c>
      <c r="I7147" t="str">
        <f t="shared" si="1321"/>
        <v>23/10/2025</v>
      </c>
      <c r="J7147" t="str">
        <f t="shared" si="1327"/>
        <v>20/10/2025</v>
      </c>
      <c r="K7147">
        <v>45953</v>
      </c>
      <c r="N7147">
        <v>109</v>
      </c>
      <c r="O7147" t="s">
        <v>24</v>
      </c>
      <c r="Q7147">
        <v>189.34</v>
      </c>
      <c r="R7147" t="str">
        <f>"PENSE FARMA 43 (10208)"</f>
        <v>PENSE FARMA 43 (10208)</v>
      </c>
      <c r="S7147" t="s">
        <v>77</v>
      </c>
      <c r="T7147">
        <v>21893</v>
      </c>
      <c r="U7147">
        <v>23890</v>
      </c>
      <c r="V7147" t="s">
        <v>77</v>
      </c>
    </row>
    <row r="7148" spans="1:22">
      <c r="A7148" t="str">
        <f t="shared" si="1323"/>
        <v>23/10/2025</v>
      </c>
      <c r="B7148" t="str">
        <f t="shared" si="1318"/>
        <v>SAÍDA</v>
      </c>
      <c r="C7148" t="str">
        <f t="shared" si="1319"/>
        <v>PIX</v>
      </c>
      <c r="D7148" t="str">
        <f t="shared" si="1328"/>
        <v>23890</v>
      </c>
      <c r="E7148" t="str">
        <f t="shared" si="1320"/>
        <v>1</v>
      </c>
      <c r="F7148" t="str">
        <f t="shared" si="1324"/>
        <v>COM</v>
      </c>
      <c r="G7148" t="str">
        <f t="shared" si="1329"/>
        <v>JULIO GUIMARAES DOS SANTOS (977)</v>
      </c>
      <c r="H7148" t="s">
        <v>1877</v>
      </c>
      <c r="I7148" t="str">
        <f t="shared" si="1321"/>
        <v>23/10/2025</v>
      </c>
      <c r="J7148" t="str">
        <f t="shared" si="1327"/>
        <v>20/10/2025</v>
      </c>
      <c r="K7148">
        <v>45953</v>
      </c>
      <c r="N7148">
        <v>109</v>
      </c>
      <c r="O7148" t="s">
        <v>24</v>
      </c>
      <c r="Q7148">
        <v>378.55</v>
      </c>
      <c r="R7148" t="str">
        <f>"PENSE FARMA 59 (10211)"</f>
        <v>PENSE FARMA 59 (10211)</v>
      </c>
      <c r="S7148" t="s">
        <v>77</v>
      </c>
      <c r="T7148">
        <v>21893</v>
      </c>
      <c r="U7148">
        <v>23890</v>
      </c>
      <c r="V7148" t="s">
        <v>77</v>
      </c>
    </row>
    <row r="7149" spans="1:22">
      <c r="A7149" t="str">
        <f t="shared" si="1323"/>
        <v>23/10/2025</v>
      </c>
      <c r="B7149" t="str">
        <f t="shared" si="1318"/>
        <v>SAÍDA</v>
      </c>
      <c r="C7149" t="str">
        <f t="shared" si="1319"/>
        <v>PIX</v>
      </c>
      <c r="D7149" t="str">
        <f t="shared" si="1328"/>
        <v>23890</v>
      </c>
      <c r="E7149" t="str">
        <f t="shared" si="1320"/>
        <v>1</v>
      </c>
      <c r="F7149" t="str">
        <f t="shared" si="1324"/>
        <v>COM</v>
      </c>
      <c r="G7149" t="str">
        <f t="shared" si="1329"/>
        <v>JULIO GUIMARAES DOS SANTOS (977)</v>
      </c>
      <c r="H7149" t="s">
        <v>1877</v>
      </c>
      <c r="I7149" t="str">
        <f t="shared" si="1321"/>
        <v>23/10/2025</v>
      </c>
      <c r="J7149" t="str">
        <f t="shared" si="1327"/>
        <v>20/10/2025</v>
      </c>
      <c r="K7149">
        <v>45953</v>
      </c>
      <c r="N7149">
        <v>109</v>
      </c>
      <c r="O7149" t="s">
        <v>24</v>
      </c>
      <c r="Q7149">
        <v>189.08</v>
      </c>
      <c r="R7149" t="str">
        <f>"PENSE FARMA DARK STORE 361 (10212)"</f>
        <v>PENSE FARMA DARK STORE 361 (10212)</v>
      </c>
      <c r="S7149" t="s">
        <v>77</v>
      </c>
      <c r="T7149">
        <v>21893</v>
      </c>
      <c r="U7149">
        <v>23890</v>
      </c>
      <c r="V7149" t="s">
        <v>77</v>
      </c>
    </row>
    <row r="7150" spans="1:22">
      <c r="A7150" t="str">
        <f t="shared" si="1323"/>
        <v>23/10/2025</v>
      </c>
      <c r="B7150" t="str">
        <f t="shared" si="1318"/>
        <v>SAÍDA</v>
      </c>
      <c r="C7150" t="str">
        <f t="shared" si="1319"/>
        <v>PIX</v>
      </c>
      <c r="D7150" t="str">
        <f t="shared" ref="D7150:D7156" si="1330">"23891"</f>
        <v>23891</v>
      </c>
      <c r="E7150" t="str">
        <f t="shared" si="1320"/>
        <v>1</v>
      </c>
      <c r="F7150" t="str">
        <f t="shared" si="1324"/>
        <v>COM</v>
      </c>
      <c r="G7150" t="str">
        <f t="shared" ref="G7150:G7156" si="1331">"RAFAEL PEDROSO DE CAMARA (975)"</f>
        <v>RAFAEL PEDROSO DE CAMARA (975)</v>
      </c>
      <c r="H7150" t="str">
        <f>"Serv.Prest. 13/10/2025 a 19/10/2025 - PIX: CELULAR - CHAVE: (11) 99270-3082"</f>
        <v>Serv.Prest. 13/10/2025 a 19/10/2025 - PIX: CELULAR - CHAVE: (11) 99270-3082</v>
      </c>
      <c r="I7150" t="str">
        <f t="shared" si="1321"/>
        <v>23/10/2025</v>
      </c>
      <c r="J7150" t="str">
        <f t="shared" si="1327"/>
        <v>20/10/2025</v>
      </c>
      <c r="K7150" t="str">
        <f>("23/10/2025")</f>
        <v>23/10/2025</v>
      </c>
      <c r="L7150">
        <v>1375</v>
      </c>
      <c r="M7150">
        <v>1375</v>
      </c>
      <c r="N7150">
        <v>109</v>
      </c>
      <c r="O7150" t="str">
        <f>"PAGAMENTO DE ENTREGADORES"</f>
        <v>PAGAMENTO DE ENTREGADORES</v>
      </c>
      <c r="P7150">
        <v>1375</v>
      </c>
      <c r="S7150" t="str">
        <f>"BANCO C6 (149)"</f>
        <v>BANCO C6 (149)</v>
      </c>
      <c r="T7150">
        <v>21894</v>
      </c>
      <c r="U7150">
        <v>23891</v>
      </c>
      <c r="V7150" t="s">
        <v>77</v>
      </c>
    </row>
    <row r="7151" spans="1:22">
      <c r="A7151" t="str">
        <f t="shared" si="1323"/>
        <v>23/10/2025</v>
      </c>
      <c r="B7151" t="str">
        <f t="shared" si="1318"/>
        <v>SAÍDA</v>
      </c>
      <c r="C7151" t="str">
        <f t="shared" si="1319"/>
        <v>PIX</v>
      </c>
      <c r="D7151" t="str">
        <f t="shared" si="1330"/>
        <v>23891</v>
      </c>
      <c r="E7151" t="str">
        <f t="shared" si="1320"/>
        <v>1</v>
      </c>
      <c r="F7151" t="str">
        <f t="shared" si="1324"/>
        <v>COM</v>
      </c>
      <c r="G7151" t="str">
        <f t="shared" si="1331"/>
        <v>RAFAEL PEDROSO DE CAMARA (975)</v>
      </c>
      <c r="H7151" t="s">
        <v>1956</v>
      </c>
      <c r="I7151" t="str">
        <f t="shared" si="1321"/>
        <v>23/10/2025</v>
      </c>
      <c r="J7151" t="str">
        <f t="shared" si="1327"/>
        <v>20/10/2025</v>
      </c>
      <c r="K7151">
        <v>45953</v>
      </c>
      <c r="N7151">
        <v>109</v>
      </c>
      <c r="O7151" t="s">
        <v>24</v>
      </c>
      <c r="Q7151">
        <v>229.22</v>
      </c>
      <c r="R7151" t="str">
        <f>"PENSE FARMA 20 (10203)"</f>
        <v>PENSE FARMA 20 (10203)</v>
      </c>
      <c r="S7151" t="s">
        <v>77</v>
      </c>
      <c r="T7151">
        <v>21894</v>
      </c>
      <c r="U7151">
        <v>23891</v>
      </c>
      <c r="V7151" t="s">
        <v>77</v>
      </c>
    </row>
    <row r="7152" spans="1:22">
      <c r="A7152" t="str">
        <f t="shared" si="1323"/>
        <v>23/10/2025</v>
      </c>
      <c r="B7152" t="str">
        <f t="shared" si="1318"/>
        <v>SAÍDA</v>
      </c>
      <c r="C7152" t="str">
        <f t="shared" si="1319"/>
        <v>PIX</v>
      </c>
      <c r="D7152" t="str">
        <f t="shared" si="1330"/>
        <v>23891</v>
      </c>
      <c r="E7152" t="str">
        <f t="shared" si="1320"/>
        <v>1</v>
      </c>
      <c r="F7152" t="str">
        <f t="shared" si="1324"/>
        <v>COM</v>
      </c>
      <c r="G7152" t="str">
        <f t="shared" si="1331"/>
        <v>RAFAEL PEDROSO DE CAMARA (975)</v>
      </c>
      <c r="H7152" t="s">
        <v>1956</v>
      </c>
      <c r="I7152" t="str">
        <f t="shared" si="1321"/>
        <v>23/10/2025</v>
      </c>
      <c r="J7152" t="str">
        <f t="shared" si="1327"/>
        <v>20/10/2025</v>
      </c>
      <c r="K7152">
        <v>45953</v>
      </c>
      <c r="N7152">
        <v>109</v>
      </c>
      <c r="O7152" t="s">
        <v>24</v>
      </c>
      <c r="Q7152">
        <v>229.21</v>
      </c>
      <c r="R7152" t="str">
        <f>"PENSE FARMA 36 (10206)"</f>
        <v>PENSE FARMA 36 (10206)</v>
      </c>
      <c r="S7152" t="s">
        <v>77</v>
      </c>
      <c r="T7152">
        <v>21894</v>
      </c>
      <c r="U7152">
        <v>23891</v>
      </c>
      <c r="V7152" t="s">
        <v>77</v>
      </c>
    </row>
    <row r="7153" spans="1:22">
      <c r="A7153" t="str">
        <f t="shared" si="1323"/>
        <v>23/10/2025</v>
      </c>
      <c r="B7153" t="str">
        <f t="shared" si="1318"/>
        <v>SAÍDA</v>
      </c>
      <c r="C7153" t="str">
        <f t="shared" si="1319"/>
        <v>PIX</v>
      </c>
      <c r="D7153" t="str">
        <f t="shared" si="1330"/>
        <v>23891</v>
      </c>
      <c r="E7153" t="str">
        <f t="shared" si="1320"/>
        <v>1</v>
      </c>
      <c r="F7153" t="str">
        <f t="shared" si="1324"/>
        <v>COM</v>
      </c>
      <c r="G7153" t="str">
        <f t="shared" si="1331"/>
        <v>RAFAEL PEDROSO DE CAMARA (975)</v>
      </c>
      <c r="H7153" t="s">
        <v>1956</v>
      </c>
      <c r="I7153" t="str">
        <f t="shared" si="1321"/>
        <v>23/10/2025</v>
      </c>
      <c r="J7153" t="str">
        <f t="shared" si="1327"/>
        <v>20/10/2025</v>
      </c>
      <c r="K7153">
        <v>45953</v>
      </c>
      <c r="N7153">
        <v>109</v>
      </c>
      <c r="O7153" t="s">
        <v>24</v>
      </c>
      <c r="Q7153">
        <v>229.21</v>
      </c>
      <c r="R7153" t="str">
        <f>"PENSE FARMA 40 (10207)"</f>
        <v>PENSE FARMA 40 (10207)</v>
      </c>
      <c r="S7153" t="s">
        <v>77</v>
      </c>
      <c r="T7153">
        <v>21894</v>
      </c>
      <c r="U7153">
        <v>23891</v>
      </c>
      <c r="V7153" t="s">
        <v>77</v>
      </c>
    </row>
    <row r="7154" spans="1:22">
      <c r="A7154" t="str">
        <f t="shared" si="1323"/>
        <v>23/10/2025</v>
      </c>
      <c r="B7154" t="str">
        <f t="shared" si="1318"/>
        <v>SAÍDA</v>
      </c>
      <c r="C7154" t="str">
        <f t="shared" si="1319"/>
        <v>PIX</v>
      </c>
      <c r="D7154" t="str">
        <f t="shared" si="1330"/>
        <v>23891</v>
      </c>
      <c r="E7154" t="str">
        <f t="shared" si="1320"/>
        <v>1</v>
      </c>
      <c r="F7154" t="str">
        <f t="shared" si="1324"/>
        <v>COM</v>
      </c>
      <c r="G7154" t="str">
        <f t="shared" si="1331"/>
        <v>RAFAEL PEDROSO DE CAMARA (975)</v>
      </c>
      <c r="H7154" t="s">
        <v>1956</v>
      </c>
      <c r="I7154" t="str">
        <f t="shared" si="1321"/>
        <v>23/10/2025</v>
      </c>
      <c r="J7154" t="str">
        <f t="shared" si="1327"/>
        <v>20/10/2025</v>
      </c>
      <c r="K7154">
        <v>45953</v>
      </c>
      <c r="N7154">
        <v>109</v>
      </c>
      <c r="O7154" t="s">
        <v>24</v>
      </c>
      <c r="Q7154">
        <v>229.21</v>
      </c>
      <c r="R7154" t="str">
        <f>"PENSE FARMA 43 (10208)"</f>
        <v>PENSE FARMA 43 (10208)</v>
      </c>
      <c r="S7154" t="s">
        <v>77</v>
      </c>
      <c r="T7154">
        <v>21894</v>
      </c>
      <c r="U7154">
        <v>23891</v>
      </c>
      <c r="V7154" t="s">
        <v>77</v>
      </c>
    </row>
    <row r="7155" spans="1:22">
      <c r="A7155" t="str">
        <f t="shared" si="1323"/>
        <v>23/10/2025</v>
      </c>
      <c r="B7155" t="str">
        <f t="shared" si="1318"/>
        <v>SAÍDA</v>
      </c>
      <c r="C7155" t="str">
        <f t="shared" si="1319"/>
        <v>PIX</v>
      </c>
      <c r="D7155" t="str">
        <f t="shared" si="1330"/>
        <v>23891</v>
      </c>
      <c r="E7155" t="str">
        <f t="shared" si="1320"/>
        <v>1</v>
      </c>
      <c r="F7155" t="str">
        <f t="shared" si="1324"/>
        <v>COM</v>
      </c>
      <c r="G7155" t="str">
        <f t="shared" si="1331"/>
        <v>RAFAEL PEDROSO DE CAMARA (975)</v>
      </c>
      <c r="H7155" t="s">
        <v>1956</v>
      </c>
      <c r="I7155" t="str">
        <f t="shared" si="1321"/>
        <v>23/10/2025</v>
      </c>
      <c r="J7155" t="str">
        <f t="shared" si="1327"/>
        <v>20/10/2025</v>
      </c>
      <c r="K7155">
        <v>45953</v>
      </c>
      <c r="N7155">
        <v>109</v>
      </c>
      <c r="O7155" t="s">
        <v>24</v>
      </c>
      <c r="Q7155">
        <v>229.21</v>
      </c>
      <c r="R7155" t="str">
        <f>"PENSE FARMA 59 (10211)"</f>
        <v>PENSE FARMA 59 (10211)</v>
      </c>
      <c r="S7155" t="s">
        <v>77</v>
      </c>
      <c r="T7155">
        <v>21894</v>
      </c>
      <c r="U7155">
        <v>23891</v>
      </c>
      <c r="V7155" t="s">
        <v>77</v>
      </c>
    </row>
    <row r="7156" spans="1:22">
      <c r="A7156" t="str">
        <f t="shared" si="1323"/>
        <v>23/10/2025</v>
      </c>
      <c r="B7156" t="str">
        <f t="shared" si="1318"/>
        <v>SAÍDA</v>
      </c>
      <c r="C7156" t="str">
        <f t="shared" si="1319"/>
        <v>PIX</v>
      </c>
      <c r="D7156" t="str">
        <f t="shared" si="1330"/>
        <v>23891</v>
      </c>
      <c r="E7156" t="str">
        <f t="shared" si="1320"/>
        <v>1</v>
      </c>
      <c r="F7156" t="str">
        <f t="shared" si="1324"/>
        <v>COM</v>
      </c>
      <c r="G7156" t="str">
        <f t="shared" si="1331"/>
        <v>RAFAEL PEDROSO DE CAMARA (975)</v>
      </c>
      <c r="H7156" t="s">
        <v>1956</v>
      </c>
      <c r="I7156" t="str">
        <f t="shared" si="1321"/>
        <v>23/10/2025</v>
      </c>
      <c r="J7156" t="str">
        <f t="shared" si="1327"/>
        <v>20/10/2025</v>
      </c>
      <c r="K7156">
        <v>45953</v>
      </c>
      <c r="N7156">
        <v>109</v>
      </c>
      <c r="O7156" t="s">
        <v>24</v>
      </c>
      <c r="Q7156">
        <v>228.94</v>
      </c>
      <c r="R7156" t="str">
        <f>"PENSE FARMA DARK STORE 361 (10212)"</f>
        <v>PENSE FARMA DARK STORE 361 (10212)</v>
      </c>
      <c r="S7156" t="s">
        <v>77</v>
      </c>
      <c r="T7156">
        <v>21894</v>
      </c>
      <c r="U7156">
        <v>23891</v>
      </c>
      <c r="V7156" t="s">
        <v>77</v>
      </c>
    </row>
    <row r="7157" spans="1:22">
      <c r="A7157" t="str">
        <f t="shared" si="1323"/>
        <v>23/10/2025</v>
      </c>
      <c r="B7157" t="str">
        <f t="shared" si="1318"/>
        <v>SAÍDA</v>
      </c>
      <c r="C7157" t="str">
        <f t="shared" si="1319"/>
        <v>PIX</v>
      </c>
      <c r="D7157" t="str">
        <f>"23893"</f>
        <v>23893</v>
      </c>
      <c r="E7157" t="str">
        <f t="shared" si="1320"/>
        <v>1</v>
      </c>
      <c r="F7157" t="str">
        <f t="shared" si="1324"/>
        <v>COM</v>
      </c>
      <c r="G7157" t="str">
        <f>"ALAN COSTA SILVA (994)"</f>
        <v>ALAN COSTA SILVA (994)</v>
      </c>
      <c r="H7157" t="str">
        <f>"Serv.Prest. 13/10/2025 a 19/10/2025 - PIX: CELULAR - CHAVE: (11) 98484-6837"</f>
        <v>Serv.Prest. 13/10/2025 a 19/10/2025 - PIX: CELULAR - CHAVE: (11) 98484-6837</v>
      </c>
      <c r="I7157" t="str">
        <f t="shared" si="1321"/>
        <v>23/10/2025</v>
      </c>
      <c r="J7157" t="str">
        <f t="shared" si="1327"/>
        <v>20/10/2025</v>
      </c>
      <c r="K7157" t="str">
        <f>("23/10/2025")</f>
        <v>23/10/2025</v>
      </c>
      <c r="L7157">
        <v>1300</v>
      </c>
      <c r="M7157">
        <v>1300</v>
      </c>
      <c r="N7157">
        <v>109</v>
      </c>
      <c r="O7157" t="str">
        <f>"PAGAMENTO DE ENTREGADORES"</f>
        <v>PAGAMENTO DE ENTREGADORES</v>
      </c>
      <c r="P7157">
        <v>1300</v>
      </c>
      <c r="S7157" t="str">
        <f>"BANCO C6 (149)"</f>
        <v>BANCO C6 (149)</v>
      </c>
      <c r="T7157">
        <v>21895</v>
      </c>
      <c r="U7157">
        <v>23893</v>
      </c>
      <c r="V7157" t="s">
        <v>77</v>
      </c>
    </row>
    <row r="7158" spans="1:22">
      <c r="A7158" t="str">
        <f t="shared" si="1323"/>
        <v>23/10/2025</v>
      </c>
      <c r="B7158" t="str">
        <f t="shared" si="1318"/>
        <v>SAÍDA</v>
      </c>
      <c r="C7158" t="str">
        <f t="shared" si="1319"/>
        <v>PIX</v>
      </c>
      <c r="D7158" t="str">
        <f>"23893"</f>
        <v>23893</v>
      </c>
      <c r="E7158" t="str">
        <f t="shared" si="1320"/>
        <v>1</v>
      </c>
      <c r="F7158" t="str">
        <f t="shared" si="1324"/>
        <v>COM</v>
      </c>
      <c r="G7158" t="str">
        <f>"ALAN COSTA SILVA (994)"</f>
        <v>ALAN COSTA SILVA (994)</v>
      </c>
      <c r="H7158" t="s">
        <v>1957</v>
      </c>
      <c r="I7158" t="str">
        <f t="shared" si="1321"/>
        <v>23/10/2025</v>
      </c>
      <c r="J7158" t="str">
        <f t="shared" si="1327"/>
        <v>20/10/2025</v>
      </c>
      <c r="K7158">
        <v>45953</v>
      </c>
      <c r="N7158">
        <v>109</v>
      </c>
      <c r="O7158" t="s">
        <v>24</v>
      </c>
      <c r="Q7158">
        <v>433.29</v>
      </c>
      <c r="R7158" t="str">
        <f>"PENSE FARMA 02 (10199)"</f>
        <v>PENSE FARMA 02 (10199)</v>
      </c>
      <c r="S7158" t="s">
        <v>77</v>
      </c>
      <c r="T7158">
        <v>21895</v>
      </c>
      <c r="U7158">
        <v>23893</v>
      </c>
      <c r="V7158" t="s">
        <v>77</v>
      </c>
    </row>
    <row r="7159" spans="1:22">
      <c r="A7159" t="str">
        <f t="shared" si="1323"/>
        <v>23/10/2025</v>
      </c>
      <c r="B7159" t="str">
        <f t="shared" si="1318"/>
        <v>SAÍDA</v>
      </c>
      <c r="C7159" t="str">
        <f t="shared" si="1319"/>
        <v>PIX</v>
      </c>
      <c r="D7159" t="str">
        <f>"23893"</f>
        <v>23893</v>
      </c>
      <c r="E7159" t="str">
        <f t="shared" si="1320"/>
        <v>1</v>
      </c>
      <c r="F7159" t="str">
        <f t="shared" si="1324"/>
        <v>COM</v>
      </c>
      <c r="G7159" t="str">
        <f>"ALAN COSTA SILVA (994)"</f>
        <v>ALAN COSTA SILVA (994)</v>
      </c>
      <c r="H7159" t="s">
        <v>1957</v>
      </c>
      <c r="I7159" t="str">
        <f t="shared" si="1321"/>
        <v>23/10/2025</v>
      </c>
      <c r="J7159" t="str">
        <f t="shared" si="1327"/>
        <v>20/10/2025</v>
      </c>
      <c r="K7159">
        <v>45953</v>
      </c>
      <c r="N7159">
        <v>109</v>
      </c>
      <c r="O7159" t="s">
        <v>24</v>
      </c>
      <c r="Q7159">
        <v>216.71</v>
      </c>
      <c r="R7159" t="str">
        <f>"PENSE FARMA 01 (10215)"</f>
        <v>PENSE FARMA 01 (10215)</v>
      </c>
      <c r="S7159" t="s">
        <v>77</v>
      </c>
      <c r="T7159">
        <v>21895</v>
      </c>
      <c r="U7159">
        <v>23893</v>
      </c>
      <c r="V7159" t="s">
        <v>77</v>
      </c>
    </row>
    <row r="7160" spans="1:22">
      <c r="A7160" t="str">
        <f t="shared" si="1323"/>
        <v>23/10/2025</v>
      </c>
      <c r="B7160" t="str">
        <f t="shared" si="1318"/>
        <v>SAÍDA</v>
      </c>
      <c r="C7160" t="str">
        <f t="shared" si="1319"/>
        <v>PIX</v>
      </c>
      <c r="D7160" t="str">
        <f>"23893"</f>
        <v>23893</v>
      </c>
      <c r="E7160" t="str">
        <f t="shared" si="1320"/>
        <v>1</v>
      </c>
      <c r="F7160" t="str">
        <f t="shared" si="1324"/>
        <v>COM</v>
      </c>
      <c r="G7160" t="str">
        <f>"ALAN COSTA SILVA (994)"</f>
        <v>ALAN COSTA SILVA (994)</v>
      </c>
      <c r="H7160" t="s">
        <v>1957</v>
      </c>
      <c r="I7160" t="str">
        <f t="shared" si="1321"/>
        <v>23/10/2025</v>
      </c>
      <c r="J7160" t="str">
        <f t="shared" si="1327"/>
        <v>20/10/2025</v>
      </c>
      <c r="K7160">
        <v>45953</v>
      </c>
      <c r="N7160">
        <v>109</v>
      </c>
      <c r="O7160" t="s">
        <v>24</v>
      </c>
      <c r="Q7160">
        <v>216.71</v>
      </c>
      <c r="R7160" t="str">
        <f>"PENSE FARMA 03 (10216)"</f>
        <v>PENSE FARMA 03 (10216)</v>
      </c>
      <c r="S7160" t="s">
        <v>77</v>
      </c>
      <c r="T7160">
        <v>21895</v>
      </c>
      <c r="U7160">
        <v>23893</v>
      </c>
      <c r="V7160" t="s">
        <v>77</v>
      </c>
    </row>
    <row r="7161" spans="1:22">
      <c r="A7161" t="str">
        <f t="shared" si="1323"/>
        <v>23/10/2025</v>
      </c>
      <c r="B7161" t="str">
        <f t="shared" si="1318"/>
        <v>SAÍDA</v>
      </c>
      <c r="C7161" t="str">
        <f t="shared" si="1319"/>
        <v>PIX</v>
      </c>
      <c r="D7161" t="str">
        <f>"23893"</f>
        <v>23893</v>
      </c>
      <c r="E7161" t="str">
        <f t="shared" si="1320"/>
        <v>1</v>
      </c>
      <c r="F7161" t="str">
        <f t="shared" si="1324"/>
        <v>COM</v>
      </c>
      <c r="G7161" t="str">
        <f>"ALAN COSTA SILVA (994)"</f>
        <v>ALAN COSTA SILVA (994)</v>
      </c>
      <c r="H7161" t="s">
        <v>1957</v>
      </c>
      <c r="I7161" t="str">
        <f t="shared" si="1321"/>
        <v>23/10/2025</v>
      </c>
      <c r="J7161" t="str">
        <f t="shared" si="1327"/>
        <v>20/10/2025</v>
      </c>
      <c r="K7161">
        <v>45953</v>
      </c>
      <c r="N7161">
        <v>109</v>
      </c>
      <c r="O7161" t="s">
        <v>24</v>
      </c>
      <c r="Q7161">
        <v>433.29</v>
      </c>
      <c r="R7161" t="str">
        <f>"PENSE FARMA 39 (10228)"</f>
        <v>PENSE FARMA 39 (10228)</v>
      </c>
      <c r="S7161" t="s">
        <v>77</v>
      </c>
      <c r="T7161">
        <v>21895</v>
      </c>
      <c r="U7161">
        <v>23893</v>
      </c>
      <c r="V7161" t="s">
        <v>77</v>
      </c>
    </row>
    <row r="7162" spans="1:22">
      <c r="A7162" t="str">
        <f t="shared" si="1323"/>
        <v>23/10/2025</v>
      </c>
      <c r="B7162" t="str">
        <f t="shared" ref="B7162:B7225" si="1332">"SAÍDA"</f>
        <v>SAÍDA</v>
      </c>
      <c r="C7162" t="str">
        <f t="shared" si="1319"/>
        <v>PIX</v>
      </c>
      <c r="D7162" t="str">
        <f>"23894"</f>
        <v>23894</v>
      </c>
      <c r="E7162" t="str">
        <f t="shared" si="1320"/>
        <v>1</v>
      </c>
      <c r="F7162" t="str">
        <f t="shared" si="1324"/>
        <v>COM</v>
      </c>
      <c r="G7162" t="str">
        <f>"IGOR LOPES DA SILVA (991)"</f>
        <v>IGOR LOPES DA SILVA (991)</v>
      </c>
      <c r="H7162" t="str">
        <f>"Serv.Prest. 13/10/2025 a 19/10/2025 - PIX: CELULAR - CHAVE: (11) 95054-2206"</f>
        <v>Serv.Prest. 13/10/2025 a 19/10/2025 - PIX: CELULAR - CHAVE: (11) 95054-2206</v>
      </c>
      <c r="I7162" t="str">
        <f t="shared" si="1321"/>
        <v>23/10/2025</v>
      </c>
      <c r="J7162" t="str">
        <f t="shared" si="1327"/>
        <v>20/10/2025</v>
      </c>
      <c r="K7162" t="str">
        <f>("23/10/2025")</f>
        <v>23/10/2025</v>
      </c>
      <c r="L7162">
        <v>1300</v>
      </c>
      <c r="M7162">
        <v>1300</v>
      </c>
      <c r="N7162">
        <v>109</v>
      </c>
      <c r="O7162" t="str">
        <f>"PAGAMENTO DE ENTREGADORES"</f>
        <v>PAGAMENTO DE ENTREGADORES</v>
      </c>
      <c r="P7162">
        <v>1300</v>
      </c>
      <c r="S7162" t="str">
        <f>"BANCO C6 (149)"</f>
        <v>BANCO C6 (149)</v>
      </c>
      <c r="T7162">
        <v>21896</v>
      </c>
      <c r="U7162">
        <v>23894</v>
      </c>
      <c r="V7162" t="s">
        <v>77</v>
      </c>
    </row>
    <row r="7163" spans="1:22">
      <c r="A7163" t="str">
        <f t="shared" si="1323"/>
        <v>23/10/2025</v>
      </c>
      <c r="B7163" t="str">
        <f t="shared" si="1332"/>
        <v>SAÍDA</v>
      </c>
      <c r="C7163" t="str">
        <f t="shared" si="1319"/>
        <v>PIX</v>
      </c>
      <c r="D7163" t="str">
        <f>"23894"</f>
        <v>23894</v>
      </c>
      <c r="E7163" t="str">
        <f t="shared" si="1320"/>
        <v>1</v>
      </c>
      <c r="F7163" t="str">
        <f t="shared" si="1324"/>
        <v>COM</v>
      </c>
      <c r="G7163" t="str">
        <f>"IGOR LOPES DA SILVA (991)"</f>
        <v>IGOR LOPES DA SILVA (991)</v>
      </c>
      <c r="H7163" t="s">
        <v>1958</v>
      </c>
      <c r="I7163" t="str">
        <f t="shared" si="1321"/>
        <v>23/10/2025</v>
      </c>
      <c r="J7163" t="str">
        <f t="shared" si="1327"/>
        <v>20/10/2025</v>
      </c>
      <c r="K7163">
        <v>45953</v>
      </c>
      <c r="N7163">
        <v>109</v>
      </c>
      <c r="O7163" t="s">
        <v>24</v>
      </c>
      <c r="Q7163">
        <v>433.29</v>
      </c>
      <c r="R7163" t="str">
        <f>"PENSE FARMA 02 (10199)"</f>
        <v>PENSE FARMA 02 (10199)</v>
      </c>
      <c r="S7163" t="s">
        <v>77</v>
      </c>
      <c r="T7163">
        <v>21896</v>
      </c>
      <c r="U7163">
        <v>23894</v>
      </c>
      <c r="V7163" t="s">
        <v>77</v>
      </c>
    </row>
    <row r="7164" spans="1:22">
      <c r="A7164" t="str">
        <f t="shared" si="1323"/>
        <v>23/10/2025</v>
      </c>
      <c r="B7164" t="str">
        <f t="shared" si="1332"/>
        <v>SAÍDA</v>
      </c>
      <c r="C7164" t="str">
        <f t="shared" ref="C7164:C7227" si="1333">"PIX"</f>
        <v>PIX</v>
      </c>
      <c r="D7164" t="str">
        <f>"23894"</f>
        <v>23894</v>
      </c>
      <c r="E7164" t="str">
        <f t="shared" ref="E7164:E7227" si="1334">"1"</f>
        <v>1</v>
      </c>
      <c r="F7164" t="str">
        <f t="shared" si="1324"/>
        <v>COM</v>
      </c>
      <c r="G7164" t="str">
        <f>"IGOR LOPES DA SILVA (991)"</f>
        <v>IGOR LOPES DA SILVA (991)</v>
      </c>
      <c r="H7164" t="s">
        <v>1958</v>
      </c>
      <c r="I7164" t="str">
        <f t="shared" si="1321"/>
        <v>23/10/2025</v>
      </c>
      <c r="J7164" t="str">
        <f t="shared" si="1327"/>
        <v>20/10/2025</v>
      </c>
      <c r="K7164">
        <v>45953</v>
      </c>
      <c r="N7164">
        <v>109</v>
      </c>
      <c r="O7164" t="s">
        <v>24</v>
      </c>
      <c r="Q7164">
        <v>216.71</v>
      </c>
      <c r="R7164" t="str">
        <f>"PENSE FARMA 01 (10215)"</f>
        <v>PENSE FARMA 01 (10215)</v>
      </c>
      <c r="S7164" t="s">
        <v>77</v>
      </c>
      <c r="T7164">
        <v>21896</v>
      </c>
      <c r="U7164">
        <v>23894</v>
      </c>
      <c r="V7164" t="s">
        <v>77</v>
      </c>
    </row>
    <row r="7165" spans="1:22">
      <c r="A7165" t="str">
        <f t="shared" si="1323"/>
        <v>23/10/2025</v>
      </c>
      <c r="B7165" t="str">
        <f t="shared" si="1332"/>
        <v>SAÍDA</v>
      </c>
      <c r="C7165" t="str">
        <f t="shared" si="1333"/>
        <v>PIX</v>
      </c>
      <c r="D7165" t="str">
        <f>"23894"</f>
        <v>23894</v>
      </c>
      <c r="E7165" t="str">
        <f t="shared" si="1334"/>
        <v>1</v>
      </c>
      <c r="F7165" t="str">
        <f t="shared" si="1324"/>
        <v>COM</v>
      </c>
      <c r="G7165" t="str">
        <f>"IGOR LOPES DA SILVA (991)"</f>
        <v>IGOR LOPES DA SILVA (991)</v>
      </c>
      <c r="H7165" t="s">
        <v>1958</v>
      </c>
      <c r="I7165" t="str">
        <f t="shared" si="1321"/>
        <v>23/10/2025</v>
      </c>
      <c r="J7165" t="str">
        <f t="shared" si="1327"/>
        <v>20/10/2025</v>
      </c>
      <c r="K7165">
        <v>45953</v>
      </c>
      <c r="N7165">
        <v>109</v>
      </c>
      <c r="O7165" t="s">
        <v>24</v>
      </c>
      <c r="Q7165">
        <v>216.71</v>
      </c>
      <c r="R7165" t="str">
        <f>"PENSE FARMA 03 (10216)"</f>
        <v>PENSE FARMA 03 (10216)</v>
      </c>
      <c r="S7165" t="s">
        <v>77</v>
      </c>
      <c r="T7165">
        <v>21896</v>
      </c>
      <c r="U7165">
        <v>23894</v>
      </c>
      <c r="V7165" t="s">
        <v>77</v>
      </c>
    </row>
    <row r="7166" spans="1:22">
      <c r="A7166" t="str">
        <f t="shared" si="1323"/>
        <v>23/10/2025</v>
      </c>
      <c r="B7166" t="str">
        <f t="shared" si="1332"/>
        <v>SAÍDA</v>
      </c>
      <c r="C7166" t="str">
        <f t="shared" si="1333"/>
        <v>PIX</v>
      </c>
      <c r="D7166" t="str">
        <f>"23894"</f>
        <v>23894</v>
      </c>
      <c r="E7166" t="str">
        <f t="shared" si="1334"/>
        <v>1</v>
      </c>
      <c r="F7166" t="str">
        <f t="shared" si="1324"/>
        <v>COM</v>
      </c>
      <c r="G7166" t="str">
        <f>"IGOR LOPES DA SILVA (991)"</f>
        <v>IGOR LOPES DA SILVA (991)</v>
      </c>
      <c r="H7166" t="s">
        <v>1958</v>
      </c>
      <c r="I7166" t="str">
        <f t="shared" si="1321"/>
        <v>23/10/2025</v>
      </c>
      <c r="J7166" t="str">
        <f t="shared" si="1327"/>
        <v>20/10/2025</v>
      </c>
      <c r="K7166">
        <v>45953</v>
      </c>
      <c r="N7166">
        <v>109</v>
      </c>
      <c r="O7166" t="s">
        <v>24</v>
      </c>
      <c r="Q7166">
        <v>433.29</v>
      </c>
      <c r="R7166" t="str">
        <f>"PENSE FARMA 39 (10228)"</f>
        <v>PENSE FARMA 39 (10228)</v>
      </c>
      <c r="S7166" t="s">
        <v>77</v>
      </c>
      <c r="T7166">
        <v>21896</v>
      </c>
      <c r="U7166">
        <v>23894</v>
      </c>
      <c r="V7166" t="s">
        <v>77</v>
      </c>
    </row>
    <row r="7167" spans="1:22">
      <c r="A7167" t="str">
        <f t="shared" si="1323"/>
        <v>23/10/2025</v>
      </c>
      <c r="B7167" t="str">
        <f t="shared" si="1332"/>
        <v>SAÍDA</v>
      </c>
      <c r="C7167" t="str">
        <f t="shared" si="1333"/>
        <v>PIX</v>
      </c>
      <c r="D7167" t="str">
        <f>"23896"</f>
        <v>23896</v>
      </c>
      <c r="E7167" t="str">
        <f t="shared" si="1334"/>
        <v>1</v>
      </c>
      <c r="F7167" t="str">
        <f t="shared" si="1324"/>
        <v>COM</v>
      </c>
      <c r="G7167" t="str">
        <f>"MARCOS VINICIUS CORREIA JULI??O (1001)"</f>
        <v>MARCOS VINICIUS CORREIA JULI??O (1001)</v>
      </c>
      <c r="H7167" t="str">
        <f>"Serv.Prest. 13/10/2025 a 19/10/2025 - PIX: CELULAR - CHAVE: (11) 98144-5840"</f>
        <v>Serv.Prest. 13/10/2025 a 19/10/2025 - PIX: CELULAR - CHAVE: (11) 98144-5840</v>
      </c>
      <c r="I7167" t="str">
        <f t="shared" si="1321"/>
        <v>23/10/2025</v>
      </c>
      <c r="J7167" t="str">
        <f t="shared" si="1327"/>
        <v>20/10/2025</v>
      </c>
      <c r="K7167" t="str">
        <f>("23/10/2025")</f>
        <v>23/10/2025</v>
      </c>
      <c r="L7167">
        <v>1180</v>
      </c>
      <c r="M7167">
        <v>1180</v>
      </c>
      <c r="N7167">
        <v>109</v>
      </c>
      <c r="O7167" t="str">
        <f>"PAGAMENTO DE ENTREGADORES"</f>
        <v>PAGAMENTO DE ENTREGADORES</v>
      </c>
      <c r="P7167">
        <v>1180</v>
      </c>
      <c r="S7167" t="str">
        <f>"BANCO C6 (149)"</f>
        <v>BANCO C6 (149)</v>
      </c>
      <c r="T7167">
        <v>21897</v>
      </c>
      <c r="U7167">
        <v>23896</v>
      </c>
      <c r="V7167" t="s">
        <v>77</v>
      </c>
    </row>
    <row r="7168" spans="1:22">
      <c r="A7168" t="str">
        <f t="shared" si="1323"/>
        <v>23/10/2025</v>
      </c>
      <c r="B7168" t="str">
        <f t="shared" si="1332"/>
        <v>SAÍDA</v>
      </c>
      <c r="C7168" t="str">
        <f t="shared" si="1333"/>
        <v>PIX</v>
      </c>
      <c r="D7168" t="str">
        <f>"23896"</f>
        <v>23896</v>
      </c>
      <c r="E7168" t="str">
        <f t="shared" si="1334"/>
        <v>1</v>
      </c>
      <c r="F7168" t="str">
        <f t="shared" si="1324"/>
        <v>COM</v>
      </c>
      <c r="G7168" t="str">
        <f>"MARCOS VINICIUS CORREIA JULI??O (1001)"</f>
        <v>MARCOS VINICIUS CORREIA JULI??O (1001)</v>
      </c>
      <c r="H7168" t="s">
        <v>1959</v>
      </c>
      <c r="I7168" t="str">
        <f t="shared" ref="I7168:I7231" si="1335">("23/10/2025")</f>
        <v>23/10/2025</v>
      </c>
      <c r="J7168" t="str">
        <f t="shared" si="1327"/>
        <v>20/10/2025</v>
      </c>
      <c r="K7168">
        <v>45953</v>
      </c>
      <c r="N7168">
        <v>109</v>
      </c>
      <c r="O7168" t="s">
        <v>24</v>
      </c>
      <c r="Q7168">
        <v>590</v>
      </c>
      <c r="R7168" t="str">
        <f>"PENSE FARMA 44 (10231)"</f>
        <v>PENSE FARMA 44 (10231)</v>
      </c>
      <c r="S7168" t="s">
        <v>77</v>
      </c>
      <c r="T7168">
        <v>21897</v>
      </c>
      <c r="U7168">
        <v>23896</v>
      </c>
      <c r="V7168" t="s">
        <v>77</v>
      </c>
    </row>
    <row r="7169" spans="1:22">
      <c r="A7169" t="str">
        <f t="shared" si="1323"/>
        <v>23/10/2025</v>
      </c>
      <c r="B7169" t="str">
        <f t="shared" si="1332"/>
        <v>SAÍDA</v>
      </c>
      <c r="C7169" t="str">
        <f t="shared" si="1333"/>
        <v>PIX</v>
      </c>
      <c r="D7169" t="str">
        <f>"23896"</f>
        <v>23896</v>
      </c>
      <c r="E7169" t="str">
        <f t="shared" si="1334"/>
        <v>1</v>
      </c>
      <c r="F7169" t="str">
        <f t="shared" si="1324"/>
        <v>COM</v>
      </c>
      <c r="G7169" t="str">
        <f>"MARCOS VINICIUS CORREIA JULI??O (1001)"</f>
        <v>MARCOS VINICIUS CORREIA JULI??O (1001)</v>
      </c>
      <c r="H7169" t="s">
        <v>1959</v>
      </c>
      <c r="I7169" t="str">
        <f t="shared" si="1335"/>
        <v>23/10/2025</v>
      </c>
      <c r="J7169" t="str">
        <f t="shared" ref="J7169:J7183" si="1336">("20/10/2025")</f>
        <v>20/10/2025</v>
      </c>
      <c r="K7169">
        <v>45953</v>
      </c>
      <c r="N7169">
        <v>109</v>
      </c>
      <c r="O7169" t="s">
        <v>24</v>
      </c>
      <c r="Q7169">
        <v>590</v>
      </c>
      <c r="R7169" t="str">
        <f>"PENSE FARMA 48 (10233)"</f>
        <v>PENSE FARMA 48 (10233)</v>
      </c>
      <c r="S7169" t="s">
        <v>77</v>
      </c>
      <c r="T7169">
        <v>21897</v>
      </c>
      <c r="U7169">
        <v>23896</v>
      </c>
      <c r="V7169" t="s">
        <v>77</v>
      </c>
    </row>
    <row r="7170" spans="1:22">
      <c r="A7170" t="str">
        <f t="shared" si="1323"/>
        <v>23/10/2025</v>
      </c>
      <c r="B7170" t="str">
        <f t="shared" si="1332"/>
        <v>SAÍDA</v>
      </c>
      <c r="C7170" t="str">
        <f t="shared" si="1333"/>
        <v>PIX</v>
      </c>
      <c r="D7170" t="str">
        <f>"23897"</f>
        <v>23897</v>
      </c>
      <c r="E7170" t="str">
        <f t="shared" si="1334"/>
        <v>1</v>
      </c>
      <c r="F7170" t="str">
        <f t="shared" si="1324"/>
        <v>COM</v>
      </c>
      <c r="G7170" t="str">
        <f>"VICTOR HUGO SOARES DE PAULA (1021)"</f>
        <v>VICTOR HUGO SOARES DE PAULA (1021)</v>
      </c>
      <c r="H7170" t="str">
        <f>"Serv.Prest. 13/10/2025 a 19/10/2025 - PIX: CELULAR - CHAVE: (11) 98281-4526"</f>
        <v>Serv.Prest. 13/10/2025 a 19/10/2025 - PIX: CELULAR - CHAVE: (11) 98281-4526</v>
      </c>
      <c r="I7170" t="str">
        <f t="shared" si="1335"/>
        <v>23/10/2025</v>
      </c>
      <c r="J7170" t="str">
        <f t="shared" si="1336"/>
        <v>20/10/2025</v>
      </c>
      <c r="K7170" t="str">
        <f>("23/10/2025")</f>
        <v>23/10/2025</v>
      </c>
      <c r="L7170">
        <v>1375</v>
      </c>
      <c r="M7170">
        <v>1375</v>
      </c>
      <c r="N7170">
        <v>109</v>
      </c>
      <c r="O7170" t="str">
        <f>"PAGAMENTO DE ENTREGADORES"</f>
        <v>PAGAMENTO DE ENTREGADORES</v>
      </c>
      <c r="P7170">
        <v>1375</v>
      </c>
      <c r="S7170" t="str">
        <f>"BANCO C6 (149)"</f>
        <v>BANCO C6 (149)</v>
      </c>
      <c r="T7170">
        <v>21898</v>
      </c>
      <c r="U7170">
        <v>23897</v>
      </c>
      <c r="V7170" t="s">
        <v>77</v>
      </c>
    </row>
    <row r="7171" spans="1:22">
      <c r="A7171" t="str">
        <f t="shared" si="1323"/>
        <v>23/10/2025</v>
      </c>
      <c r="B7171" t="str">
        <f t="shared" si="1332"/>
        <v>SAÍDA</v>
      </c>
      <c r="C7171" t="str">
        <f t="shared" si="1333"/>
        <v>PIX</v>
      </c>
      <c r="D7171" t="str">
        <f>"23897"</f>
        <v>23897</v>
      </c>
      <c r="E7171" t="str">
        <f t="shared" si="1334"/>
        <v>1</v>
      </c>
      <c r="F7171" t="str">
        <f t="shared" si="1324"/>
        <v>COM</v>
      </c>
      <c r="G7171" t="str">
        <f>"VICTOR HUGO SOARES DE PAULA (1021)"</f>
        <v>VICTOR HUGO SOARES DE PAULA (1021)</v>
      </c>
      <c r="H7171" t="s">
        <v>1878</v>
      </c>
      <c r="I7171" t="str">
        <f t="shared" si="1335"/>
        <v>23/10/2025</v>
      </c>
      <c r="J7171" t="str">
        <f t="shared" si="1336"/>
        <v>20/10/2025</v>
      </c>
      <c r="K7171">
        <v>45953</v>
      </c>
      <c r="N7171">
        <v>109</v>
      </c>
      <c r="O7171" t="s">
        <v>24</v>
      </c>
      <c r="Q7171">
        <v>1375</v>
      </c>
      <c r="R7171" t="str">
        <f>"PENSE FARMA 44 (10231)"</f>
        <v>PENSE FARMA 44 (10231)</v>
      </c>
      <c r="S7171" t="s">
        <v>77</v>
      </c>
      <c r="T7171">
        <v>21898</v>
      </c>
      <c r="U7171">
        <v>23897</v>
      </c>
      <c r="V7171" t="s">
        <v>77</v>
      </c>
    </row>
    <row r="7172" spans="1:22">
      <c r="A7172" t="str">
        <f t="shared" si="1323"/>
        <v>23/10/2025</v>
      </c>
      <c r="B7172" t="str">
        <f t="shared" si="1332"/>
        <v>SAÍDA</v>
      </c>
      <c r="C7172" t="str">
        <f t="shared" si="1333"/>
        <v>PIX</v>
      </c>
      <c r="D7172" t="str">
        <f>"23899"</f>
        <v>23899</v>
      </c>
      <c r="E7172" t="str">
        <f t="shared" si="1334"/>
        <v>1</v>
      </c>
      <c r="F7172" t="str">
        <f t="shared" si="1324"/>
        <v>COM</v>
      </c>
      <c r="G7172" t="str">
        <f>"HERICK KUSSYOYADA CAMARA (937)"</f>
        <v>HERICK KUSSYOYADA CAMARA (937)</v>
      </c>
      <c r="H7172" t="str">
        <f>"Serv.Prest. 13/10/2025 a 19/10/2025 - PIX: CPF - CHAVE: 427.090.718-51"</f>
        <v>Serv.Prest. 13/10/2025 a 19/10/2025 - PIX: CPF - CHAVE: 427.090.718-51</v>
      </c>
      <c r="I7172" t="str">
        <f t="shared" si="1335"/>
        <v>23/10/2025</v>
      </c>
      <c r="J7172" t="str">
        <f t="shared" si="1336"/>
        <v>20/10/2025</v>
      </c>
      <c r="K7172" t="str">
        <f>("23/10/2025")</f>
        <v>23/10/2025</v>
      </c>
      <c r="L7172">
        <v>1400</v>
      </c>
      <c r="M7172">
        <v>1400</v>
      </c>
      <c r="N7172">
        <v>109</v>
      </c>
      <c r="O7172" t="str">
        <f>"PAGAMENTO DE ENTREGADORES"</f>
        <v>PAGAMENTO DE ENTREGADORES</v>
      </c>
      <c r="P7172">
        <v>1400</v>
      </c>
      <c r="S7172" t="str">
        <f>"BANCO C6 (149)"</f>
        <v>BANCO C6 (149)</v>
      </c>
      <c r="T7172">
        <v>21899</v>
      </c>
      <c r="U7172">
        <v>23899</v>
      </c>
      <c r="V7172" t="s">
        <v>77</v>
      </c>
    </row>
    <row r="7173" spans="1:22">
      <c r="A7173" t="str">
        <f t="shared" si="1323"/>
        <v>23/10/2025</v>
      </c>
      <c r="B7173" t="str">
        <f t="shared" si="1332"/>
        <v>SAÍDA</v>
      </c>
      <c r="C7173" t="str">
        <f t="shared" si="1333"/>
        <v>PIX</v>
      </c>
      <c r="D7173" t="str">
        <f>"23899"</f>
        <v>23899</v>
      </c>
      <c r="E7173" t="str">
        <f t="shared" si="1334"/>
        <v>1</v>
      </c>
      <c r="F7173" t="str">
        <f t="shared" si="1324"/>
        <v>COM</v>
      </c>
      <c r="G7173" t="str">
        <f>"HERICK KUSSYOYADA CAMARA (937)"</f>
        <v>HERICK KUSSYOYADA CAMARA (937)</v>
      </c>
      <c r="H7173" t="s">
        <v>1960</v>
      </c>
      <c r="I7173" t="str">
        <f t="shared" si="1335"/>
        <v>23/10/2025</v>
      </c>
      <c r="J7173" t="str">
        <f t="shared" si="1336"/>
        <v>20/10/2025</v>
      </c>
      <c r="K7173">
        <v>45953</v>
      </c>
      <c r="N7173">
        <v>109</v>
      </c>
      <c r="O7173" t="s">
        <v>24</v>
      </c>
      <c r="Q7173">
        <v>1400</v>
      </c>
      <c r="R7173" t="str">
        <f>"PENSE FARMA 46 (10194)"</f>
        <v>PENSE FARMA 46 (10194)</v>
      </c>
      <c r="S7173" t="s">
        <v>77</v>
      </c>
      <c r="T7173">
        <v>21899</v>
      </c>
      <c r="U7173">
        <v>23899</v>
      </c>
      <c r="V7173" t="s">
        <v>77</v>
      </c>
    </row>
    <row r="7174" spans="1:22">
      <c r="A7174" t="str">
        <f t="shared" si="1323"/>
        <v>23/10/2025</v>
      </c>
      <c r="B7174" t="str">
        <f t="shared" si="1332"/>
        <v>SAÍDA</v>
      </c>
      <c r="C7174" t="str">
        <f t="shared" si="1333"/>
        <v>PIX</v>
      </c>
      <c r="D7174" t="str">
        <f>"23902"</f>
        <v>23902</v>
      </c>
      <c r="E7174" t="str">
        <f t="shared" si="1334"/>
        <v>1</v>
      </c>
      <c r="F7174" t="str">
        <f t="shared" si="1324"/>
        <v>COM</v>
      </c>
      <c r="G7174" t="str">
        <f>"MATEUS VIEIRA DE SOUZA (1019)"</f>
        <v>MATEUS VIEIRA DE SOUZA (1019)</v>
      </c>
      <c r="H7174" t="str">
        <f>"Serv.Prest. 13/10/2025 a 19/10/2025 - PIX: CELULAR - CHAVE: (11) 97702-1316"</f>
        <v>Serv.Prest. 13/10/2025 a 19/10/2025 - PIX: CELULAR - CHAVE: (11) 97702-1316</v>
      </c>
      <c r="I7174" t="str">
        <f t="shared" si="1335"/>
        <v>23/10/2025</v>
      </c>
      <c r="J7174" t="str">
        <f t="shared" si="1336"/>
        <v>20/10/2025</v>
      </c>
      <c r="K7174" t="str">
        <f>("23/10/2025")</f>
        <v>23/10/2025</v>
      </c>
      <c r="L7174">
        <v>1300</v>
      </c>
      <c r="M7174">
        <v>1300</v>
      </c>
      <c r="N7174">
        <v>109</v>
      </c>
      <c r="O7174" t="str">
        <f>"PAGAMENTO DE ENTREGADORES"</f>
        <v>PAGAMENTO DE ENTREGADORES</v>
      </c>
      <c r="P7174">
        <v>1300</v>
      </c>
      <c r="S7174" t="str">
        <f>"BANCO C6 (149)"</f>
        <v>BANCO C6 (149)</v>
      </c>
      <c r="T7174">
        <v>21900</v>
      </c>
      <c r="U7174">
        <v>23902</v>
      </c>
      <c r="V7174" t="s">
        <v>77</v>
      </c>
    </row>
    <row r="7175" spans="1:22">
      <c r="A7175" t="str">
        <f t="shared" si="1323"/>
        <v>23/10/2025</v>
      </c>
      <c r="B7175" t="str">
        <f t="shared" si="1332"/>
        <v>SAÍDA</v>
      </c>
      <c r="C7175" t="str">
        <f t="shared" si="1333"/>
        <v>PIX</v>
      </c>
      <c r="D7175" t="str">
        <f>"23902"</f>
        <v>23902</v>
      </c>
      <c r="E7175" t="str">
        <f t="shared" si="1334"/>
        <v>1</v>
      </c>
      <c r="F7175" t="str">
        <f t="shared" si="1324"/>
        <v>COM</v>
      </c>
      <c r="G7175" t="str">
        <f>"MATEUS VIEIRA DE SOUZA (1019)"</f>
        <v>MATEUS VIEIRA DE SOUZA (1019)</v>
      </c>
      <c r="H7175" t="s">
        <v>1879</v>
      </c>
      <c r="I7175" t="str">
        <f t="shared" si="1335"/>
        <v>23/10/2025</v>
      </c>
      <c r="J7175" t="str">
        <f t="shared" si="1336"/>
        <v>20/10/2025</v>
      </c>
      <c r="K7175">
        <v>45953</v>
      </c>
      <c r="N7175">
        <v>109</v>
      </c>
      <c r="O7175" t="s">
        <v>24</v>
      </c>
      <c r="Q7175">
        <v>1300</v>
      </c>
      <c r="R7175" t="str">
        <f>"PENSE FARMA 47 (10232)"</f>
        <v>PENSE FARMA 47 (10232)</v>
      </c>
      <c r="S7175" t="s">
        <v>77</v>
      </c>
      <c r="T7175">
        <v>21900</v>
      </c>
      <c r="U7175">
        <v>23902</v>
      </c>
      <c r="V7175" t="s">
        <v>77</v>
      </c>
    </row>
    <row r="7176" spans="1:22">
      <c r="A7176" t="str">
        <f t="shared" si="1323"/>
        <v>23/10/2025</v>
      </c>
      <c r="B7176" t="str">
        <f t="shared" si="1332"/>
        <v>SAÍDA</v>
      </c>
      <c r="C7176" t="str">
        <f t="shared" si="1333"/>
        <v>PIX</v>
      </c>
      <c r="D7176" t="str">
        <f>"23904"</f>
        <v>23904</v>
      </c>
      <c r="E7176" t="str">
        <f t="shared" si="1334"/>
        <v>1</v>
      </c>
      <c r="F7176" t="str">
        <f t="shared" si="1324"/>
        <v>COM</v>
      </c>
      <c r="G7176" t="str">
        <f>"ADRIANO DE OMENA CARMO (992)"</f>
        <v>ADRIANO DE OMENA CARMO (992)</v>
      </c>
      <c r="H7176" t="str">
        <f>"Serv.Prest. 13/10/2025 a 19/10/2025 - PIX: CELULAR - CHAVE: (11) 98612-9589"</f>
        <v>Serv.Prest. 13/10/2025 a 19/10/2025 - PIX: CELULAR - CHAVE: (11) 98612-9589</v>
      </c>
      <c r="I7176" t="str">
        <f t="shared" si="1335"/>
        <v>23/10/2025</v>
      </c>
      <c r="J7176" t="str">
        <f t="shared" si="1336"/>
        <v>20/10/2025</v>
      </c>
      <c r="K7176" t="str">
        <f>("23/10/2025")</f>
        <v>23/10/2025</v>
      </c>
      <c r="L7176">
        <v>800</v>
      </c>
      <c r="M7176">
        <v>800</v>
      </c>
      <c r="N7176">
        <v>109</v>
      </c>
      <c r="O7176" t="str">
        <f>"PAGAMENTO DE ENTREGADORES"</f>
        <v>PAGAMENTO DE ENTREGADORES</v>
      </c>
      <c r="P7176">
        <v>800</v>
      </c>
      <c r="S7176" t="str">
        <f>"BANCO C6 (149)"</f>
        <v>BANCO C6 (149)</v>
      </c>
      <c r="T7176">
        <v>21901</v>
      </c>
      <c r="U7176">
        <v>23904</v>
      </c>
      <c r="V7176" t="s">
        <v>77</v>
      </c>
    </row>
    <row r="7177" spans="1:22">
      <c r="A7177" t="str">
        <f t="shared" si="1323"/>
        <v>23/10/2025</v>
      </c>
      <c r="B7177" t="str">
        <f t="shared" si="1332"/>
        <v>SAÍDA</v>
      </c>
      <c r="C7177" t="str">
        <f t="shared" si="1333"/>
        <v>PIX</v>
      </c>
      <c r="D7177" t="str">
        <f>"23904"</f>
        <v>23904</v>
      </c>
      <c r="E7177" t="str">
        <f t="shared" si="1334"/>
        <v>1</v>
      </c>
      <c r="F7177" t="str">
        <f t="shared" si="1324"/>
        <v>COM</v>
      </c>
      <c r="G7177" t="str">
        <f>"ADRIANO DE OMENA CARMO (992)"</f>
        <v>ADRIANO DE OMENA CARMO (992)</v>
      </c>
      <c r="H7177" t="s">
        <v>1961</v>
      </c>
      <c r="I7177" t="str">
        <f t="shared" si="1335"/>
        <v>23/10/2025</v>
      </c>
      <c r="J7177" t="str">
        <f t="shared" si="1336"/>
        <v>20/10/2025</v>
      </c>
      <c r="K7177">
        <v>45953</v>
      </c>
      <c r="N7177">
        <v>109</v>
      </c>
      <c r="O7177" t="s">
        <v>24</v>
      </c>
      <c r="Q7177">
        <v>800</v>
      </c>
      <c r="R7177" t="str">
        <f>"PENSE FARMA 51 (10235)"</f>
        <v>PENSE FARMA 51 (10235)</v>
      </c>
      <c r="S7177" t="s">
        <v>77</v>
      </c>
      <c r="T7177">
        <v>21901</v>
      </c>
      <c r="U7177">
        <v>23904</v>
      </c>
      <c r="V7177" t="s">
        <v>77</v>
      </c>
    </row>
    <row r="7178" spans="1:22">
      <c r="A7178" t="str">
        <f t="shared" si="1323"/>
        <v>23/10/2025</v>
      </c>
      <c r="B7178" t="str">
        <f t="shared" si="1332"/>
        <v>SAÍDA</v>
      </c>
      <c r="C7178" t="str">
        <f t="shared" si="1333"/>
        <v>PIX</v>
      </c>
      <c r="D7178" t="str">
        <f>"23906"</f>
        <v>23906</v>
      </c>
      <c r="E7178" t="str">
        <f t="shared" si="1334"/>
        <v>1</v>
      </c>
      <c r="F7178" t="str">
        <f t="shared" si="1324"/>
        <v>COM</v>
      </c>
      <c r="G7178" t="str">
        <f>"GABRIEL SIQUEIRA DA SILVA (997)"</f>
        <v>GABRIEL SIQUEIRA DA SILVA (997)</v>
      </c>
      <c r="H7178" t="str">
        <f>"Serv.Prest. 13/10/2025 a 19/10/2025 - PIX: CPF - CHAVE: 500.480.978-02"</f>
        <v>Serv.Prest. 13/10/2025 a 19/10/2025 - PIX: CPF - CHAVE: 500.480.978-02</v>
      </c>
      <c r="I7178" t="str">
        <f t="shared" si="1335"/>
        <v>23/10/2025</v>
      </c>
      <c r="J7178" t="str">
        <f t="shared" si="1336"/>
        <v>20/10/2025</v>
      </c>
      <c r="K7178" t="str">
        <f>("23/10/2025")</f>
        <v>23/10/2025</v>
      </c>
      <c r="L7178">
        <v>800</v>
      </c>
      <c r="M7178">
        <v>800</v>
      </c>
      <c r="N7178">
        <v>109</v>
      </c>
      <c r="O7178" t="str">
        <f>"PAGAMENTO DE ENTREGADORES"</f>
        <v>PAGAMENTO DE ENTREGADORES</v>
      </c>
      <c r="P7178">
        <v>800</v>
      </c>
      <c r="S7178" t="str">
        <f>"BANCO C6 (149)"</f>
        <v>BANCO C6 (149)</v>
      </c>
      <c r="T7178">
        <v>21902</v>
      </c>
      <c r="U7178">
        <v>23906</v>
      </c>
      <c r="V7178" t="s">
        <v>77</v>
      </c>
    </row>
    <row r="7179" spans="1:22">
      <c r="A7179" t="str">
        <f t="shared" si="1323"/>
        <v>23/10/2025</v>
      </c>
      <c r="B7179" t="str">
        <f t="shared" si="1332"/>
        <v>SAÍDA</v>
      </c>
      <c r="C7179" t="str">
        <f t="shared" si="1333"/>
        <v>PIX</v>
      </c>
      <c r="D7179" t="str">
        <f>"23906"</f>
        <v>23906</v>
      </c>
      <c r="E7179" t="str">
        <f t="shared" si="1334"/>
        <v>1</v>
      </c>
      <c r="F7179" t="str">
        <f t="shared" si="1324"/>
        <v>COM</v>
      </c>
      <c r="G7179" t="str">
        <f>"GABRIEL SIQUEIRA DA SILVA (997)"</f>
        <v>GABRIEL SIQUEIRA DA SILVA (997)</v>
      </c>
      <c r="H7179" t="s">
        <v>1962</v>
      </c>
      <c r="I7179" t="str">
        <f t="shared" si="1335"/>
        <v>23/10/2025</v>
      </c>
      <c r="J7179" t="str">
        <f t="shared" si="1336"/>
        <v>20/10/2025</v>
      </c>
      <c r="K7179">
        <v>45953</v>
      </c>
      <c r="N7179">
        <v>109</v>
      </c>
      <c r="O7179" t="s">
        <v>24</v>
      </c>
      <c r="Q7179">
        <v>800</v>
      </c>
      <c r="R7179" t="str">
        <f>"PENSE FARMA 49 (10234)"</f>
        <v>PENSE FARMA 49 (10234)</v>
      </c>
      <c r="S7179" t="s">
        <v>77</v>
      </c>
      <c r="T7179">
        <v>21902</v>
      </c>
      <c r="U7179">
        <v>23906</v>
      </c>
      <c r="V7179" t="s">
        <v>77</v>
      </c>
    </row>
    <row r="7180" spans="1:22">
      <c r="A7180" t="str">
        <f t="shared" si="1323"/>
        <v>23/10/2025</v>
      </c>
      <c r="B7180" t="str">
        <f t="shared" si="1332"/>
        <v>SAÍDA</v>
      </c>
      <c r="C7180" t="str">
        <f t="shared" si="1333"/>
        <v>PIX</v>
      </c>
      <c r="D7180" t="str">
        <f>"23908"</f>
        <v>23908</v>
      </c>
      <c r="E7180" t="str">
        <f t="shared" si="1334"/>
        <v>1</v>
      </c>
      <c r="F7180" t="str">
        <f t="shared" si="1324"/>
        <v>COM</v>
      </c>
      <c r="G7180" t="str">
        <f>"ALESSANDRO SILVA DOS SANTOS (966)"</f>
        <v>ALESSANDRO SILVA DOS SANTOS (966)</v>
      </c>
      <c r="H7180" t="str">
        <f>"Serv.Prest. 13/10/2025 a 19/10/2025 - PIX: E-MAIL - CHAVE: silvaalessandro3909@gmail.com"</f>
        <v>Serv.Prest. 13/10/2025 a 19/10/2025 - PIX: E-MAIL - CHAVE: silvaalessandro3909@gmail.com</v>
      </c>
      <c r="I7180" t="str">
        <f t="shared" si="1335"/>
        <v>23/10/2025</v>
      </c>
      <c r="J7180" t="str">
        <f t="shared" si="1336"/>
        <v>20/10/2025</v>
      </c>
      <c r="K7180" t="str">
        <f>("23/10/2025")</f>
        <v>23/10/2025</v>
      </c>
      <c r="L7180">
        <v>1030</v>
      </c>
      <c r="M7180">
        <v>1030</v>
      </c>
      <c r="N7180">
        <v>109</v>
      </c>
      <c r="O7180" t="str">
        <f>"PAGAMENTO DE ENTREGADORES"</f>
        <v>PAGAMENTO DE ENTREGADORES</v>
      </c>
      <c r="P7180">
        <v>1030</v>
      </c>
      <c r="S7180" t="str">
        <f>"BANCO C6 (149)"</f>
        <v>BANCO C6 (149)</v>
      </c>
      <c r="T7180">
        <v>21903</v>
      </c>
      <c r="U7180">
        <v>23908</v>
      </c>
      <c r="V7180" t="s">
        <v>77</v>
      </c>
    </row>
    <row r="7181" spans="1:22">
      <c r="A7181" t="str">
        <f t="shared" si="1323"/>
        <v>23/10/2025</v>
      </c>
      <c r="B7181" t="str">
        <f t="shared" si="1332"/>
        <v>SAÍDA</v>
      </c>
      <c r="C7181" t="str">
        <f t="shared" si="1333"/>
        <v>PIX</v>
      </c>
      <c r="D7181" t="str">
        <f>"23908"</f>
        <v>23908</v>
      </c>
      <c r="E7181" t="str">
        <f t="shared" si="1334"/>
        <v>1</v>
      </c>
      <c r="F7181" t="str">
        <f t="shared" si="1324"/>
        <v>COM</v>
      </c>
      <c r="G7181" t="str">
        <f>"ALESSANDRO SILVA DOS SANTOS (966)"</f>
        <v>ALESSANDRO SILVA DOS SANTOS (966)</v>
      </c>
      <c r="H7181" t="s">
        <v>1963</v>
      </c>
      <c r="I7181" t="str">
        <f t="shared" si="1335"/>
        <v>23/10/2025</v>
      </c>
      <c r="J7181" t="str">
        <f t="shared" si="1336"/>
        <v>20/10/2025</v>
      </c>
      <c r="K7181">
        <v>45953</v>
      </c>
      <c r="N7181">
        <v>109</v>
      </c>
      <c r="O7181" t="s">
        <v>24</v>
      </c>
      <c r="Q7181">
        <v>1030</v>
      </c>
      <c r="R7181" t="str">
        <f>"PENSE FARMA 22 (10198)"</f>
        <v>PENSE FARMA 22 (10198)</v>
      </c>
      <c r="S7181" t="s">
        <v>77</v>
      </c>
      <c r="T7181">
        <v>21903</v>
      </c>
      <c r="U7181">
        <v>23908</v>
      </c>
      <c r="V7181" t="s">
        <v>77</v>
      </c>
    </row>
    <row r="7182" spans="1:22">
      <c r="A7182" t="str">
        <f t="shared" si="1323"/>
        <v>23/10/2025</v>
      </c>
      <c r="B7182" t="str">
        <f t="shared" si="1332"/>
        <v>SAÍDA</v>
      </c>
      <c r="C7182" t="str">
        <f t="shared" si="1333"/>
        <v>PIX</v>
      </c>
      <c r="D7182" t="str">
        <f>"23910"</f>
        <v>23910</v>
      </c>
      <c r="E7182" t="str">
        <f t="shared" si="1334"/>
        <v>1</v>
      </c>
      <c r="F7182" t="str">
        <f t="shared" si="1324"/>
        <v>COM</v>
      </c>
      <c r="G7182" t="str">
        <f>"JULIEDERSON AGUIAR SANTOS (946)"</f>
        <v>JULIEDERSON AGUIAR SANTOS (946)</v>
      </c>
      <c r="H7182" t="str">
        <f>"Serv.Prest. 13/10/2025 a 19/10/2025 - PIX: CPF - CHAVE: 383.328.968-60"</f>
        <v>Serv.Prest. 13/10/2025 a 19/10/2025 - PIX: CPF - CHAVE: 383.328.968-60</v>
      </c>
      <c r="I7182" t="str">
        <f t="shared" si="1335"/>
        <v>23/10/2025</v>
      </c>
      <c r="J7182" t="str">
        <f t="shared" si="1336"/>
        <v>20/10/2025</v>
      </c>
      <c r="K7182" t="str">
        <f>("23/10/2025")</f>
        <v>23/10/2025</v>
      </c>
      <c r="L7182">
        <v>1110</v>
      </c>
      <c r="M7182">
        <v>1110</v>
      </c>
      <c r="N7182">
        <v>109</v>
      </c>
      <c r="O7182" t="str">
        <f>"PAGAMENTO DE ENTREGADORES"</f>
        <v>PAGAMENTO DE ENTREGADORES</v>
      </c>
      <c r="P7182">
        <v>1110</v>
      </c>
      <c r="S7182" t="str">
        <f>"BANCO C6 (149)"</f>
        <v>BANCO C6 (149)</v>
      </c>
      <c r="T7182">
        <v>21904</v>
      </c>
      <c r="U7182">
        <v>23910</v>
      </c>
      <c r="V7182" t="s">
        <v>77</v>
      </c>
    </row>
    <row r="7183" spans="1:22">
      <c r="A7183" t="str">
        <f t="shared" si="1323"/>
        <v>23/10/2025</v>
      </c>
      <c r="B7183" t="str">
        <f t="shared" si="1332"/>
        <v>SAÍDA</v>
      </c>
      <c r="C7183" t="str">
        <f t="shared" si="1333"/>
        <v>PIX</v>
      </c>
      <c r="D7183" t="str">
        <f>"23910"</f>
        <v>23910</v>
      </c>
      <c r="E7183" t="str">
        <f t="shared" si="1334"/>
        <v>1</v>
      </c>
      <c r="F7183" t="str">
        <f t="shared" si="1324"/>
        <v>COM</v>
      </c>
      <c r="G7183" t="str">
        <f>"JULIEDERSON AGUIAR SANTOS (946)"</f>
        <v>JULIEDERSON AGUIAR SANTOS (946)</v>
      </c>
      <c r="H7183" t="s">
        <v>1964</v>
      </c>
      <c r="I7183" t="str">
        <f t="shared" si="1335"/>
        <v>23/10/2025</v>
      </c>
      <c r="J7183" t="str">
        <f t="shared" si="1336"/>
        <v>20/10/2025</v>
      </c>
      <c r="K7183">
        <v>45953</v>
      </c>
      <c r="N7183">
        <v>109</v>
      </c>
      <c r="O7183" t="s">
        <v>24</v>
      </c>
      <c r="Q7183">
        <v>1110</v>
      </c>
      <c r="R7183" t="str">
        <f>"PENSE FARMA 22 (10198)"</f>
        <v>PENSE FARMA 22 (10198)</v>
      </c>
      <c r="S7183" t="s">
        <v>77</v>
      </c>
      <c r="T7183">
        <v>21904</v>
      </c>
      <c r="U7183">
        <v>23910</v>
      </c>
      <c r="V7183" t="s">
        <v>77</v>
      </c>
    </row>
    <row r="7184" spans="1:22">
      <c r="A7184" t="str">
        <f t="shared" si="1323"/>
        <v>23/10/2025</v>
      </c>
      <c r="B7184" t="str">
        <f t="shared" si="1332"/>
        <v>SAÍDA</v>
      </c>
      <c r="C7184" t="str">
        <f t="shared" si="1333"/>
        <v>PIX</v>
      </c>
      <c r="D7184" t="str">
        <f>"23912"</f>
        <v>23912</v>
      </c>
      <c r="E7184" t="str">
        <f t="shared" si="1334"/>
        <v>1</v>
      </c>
      <c r="F7184" t="str">
        <f t="shared" si="1324"/>
        <v>COM</v>
      </c>
      <c r="G7184" t="str">
        <f>"DEIVID FERNANDES COSTA (828)"</f>
        <v>DEIVID FERNANDES COSTA (828)</v>
      </c>
      <c r="H7184" t="str">
        <f>"Serv.Prest. 13/10/2025 a 19/10/2025 - PIX: CELULAR - CHAVE: (62) 99550-3226"</f>
        <v>Serv.Prest. 13/10/2025 a 19/10/2025 - PIX: CELULAR - CHAVE: (62) 99550-3226</v>
      </c>
      <c r="I7184" t="str">
        <f t="shared" si="1335"/>
        <v>23/10/2025</v>
      </c>
      <c r="J7184" t="str">
        <f t="shared" ref="J7184:J7215" si="1337">("21/10/2025")</f>
        <v>21/10/2025</v>
      </c>
      <c r="K7184" t="str">
        <f>("23/10/2025")</f>
        <v>23/10/2025</v>
      </c>
      <c r="L7184">
        <v>702.1</v>
      </c>
      <c r="M7184">
        <v>702.1</v>
      </c>
      <c r="N7184">
        <v>109</v>
      </c>
      <c r="O7184" t="str">
        <f>"PAGAMENTO DE ENTREGADORES"</f>
        <v>PAGAMENTO DE ENTREGADORES</v>
      </c>
      <c r="P7184">
        <v>702.1</v>
      </c>
      <c r="S7184" t="str">
        <f>"BANCO C6 (149)"</f>
        <v>BANCO C6 (149)</v>
      </c>
      <c r="T7184">
        <v>21905</v>
      </c>
      <c r="U7184">
        <v>23912</v>
      </c>
      <c r="V7184" t="s">
        <v>77</v>
      </c>
    </row>
    <row r="7185" spans="1:22">
      <c r="A7185" t="str">
        <f t="shared" si="1323"/>
        <v>23/10/2025</v>
      </c>
      <c r="B7185" t="str">
        <f t="shared" si="1332"/>
        <v>SAÍDA</v>
      </c>
      <c r="C7185" t="str">
        <f t="shared" si="1333"/>
        <v>PIX</v>
      </c>
      <c r="D7185" t="str">
        <f>"23912"</f>
        <v>23912</v>
      </c>
      <c r="E7185" t="str">
        <f t="shared" si="1334"/>
        <v>1</v>
      </c>
      <c r="F7185" t="str">
        <f t="shared" si="1324"/>
        <v>COM</v>
      </c>
      <c r="G7185" t="str">
        <f>"DEIVID FERNANDES COSTA (828)"</f>
        <v>DEIVID FERNANDES COSTA (828)</v>
      </c>
      <c r="H7185" t="s">
        <v>1965</v>
      </c>
      <c r="I7185" t="str">
        <f t="shared" si="1335"/>
        <v>23/10/2025</v>
      </c>
      <c r="J7185" t="str">
        <f t="shared" si="1337"/>
        <v>21/10/2025</v>
      </c>
      <c r="K7185">
        <v>45953</v>
      </c>
      <c r="N7185">
        <v>109</v>
      </c>
      <c r="O7185" t="s">
        <v>24</v>
      </c>
      <c r="Q7185">
        <v>702.1</v>
      </c>
      <c r="R7185" t="str">
        <f>"BRASIL FARMA (10173)"</f>
        <v>BRASIL FARMA (10173)</v>
      </c>
      <c r="S7185" t="s">
        <v>77</v>
      </c>
      <c r="T7185">
        <v>21905</v>
      </c>
      <c r="U7185">
        <v>23912</v>
      </c>
      <c r="V7185" t="s">
        <v>77</v>
      </c>
    </row>
    <row r="7186" spans="1:22">
      <c r="A7186" t="str">
        <f t="shared" si="1323"/>
        <v>23/10/2025</v>
      </c>
      <c r="B7186" t="str">
        <f t="shared" si="1332"/>
        <v>SAÍDA</v>
      </c>
      <c r="C7186" t="str">
        <f t="shared" si="1333"/>
        <v>PIX</v>
      </c>
      <c r="D7186" t="str">
        <f>"23913"</f>
        <v>23913</v>
      </c>
      <c r="E7186" t="str">
        <f t="shared" si="1334"/>
        <v>1</v>
      </c>
      <c r="F7186" t="str">
        <f t="shared" si="1324"/>
        <v>COM</v>
      </c>
      <c r="G7186" t="str">
        <f>"MAYKON LOPES DE MENEZES (781)"</f>
        <v>MAYKON LOPES DE MENEZES (781)</v>
      </c>
      <c r="H7186" t="str">
        <f>"Serv.Prest. 13/10/2025 a 19/10/2025 - PIX: CPF - CHAVE: 012.600.851-55"</f>
        <v>Serv.Prest. 13/10/2025 a 19/10/2025 - PIX: CPF - CHAVE: 012.600.851-55</v>
      </c>
      <c r="I7186" t="str">
        <f t="shared" si="1335"/>
        <v>23/10/2025</v>
      </c>
      <c r="J7186" t="str">
        <f t="shared" si="1337"/>
        <v>21/10/2025</v>
      </c>
      <c r="K7186" t="str">
        <f>("23/10/2025")</f>
        <v>23/10/2025</v>
      </c>
      <c r="L7186">
        <v>702.1</v>
      </c>
      <c r="M7186">
        <v>702.1</v>
      </c>
      <c r="N7186">
        <v>109</v>
      </c>
      <c r="O7186" t="str">
        <f>"PAGAMENTO DE ENTREGADORES"</f>
        <v>PAGAMENTO DE ENTREGADORES</v>
      </c>
      <c r="P7186">
        <v>702.1</v>
      </c>
      <c r="S7186" t="str">
        <f>"BANCO C6 (149)"</f>
        <v>BANCO C6 (149)</v>
      </c>
      <c r="T7186">
        <v>21906</v>
      </c>
      <c r="U7186">
        <v>23913</v>
      </c>
      <c r="V7186" t="s">
        <v>77</v>
      </c>
    </row>
    <row r="7187" spans="1:22">
      <c r="A7187" t="str">
        <f t="shared" si="1323"/>
        <v>23/10/2025</v>
      </c>
      <c r="B7187" t="str">
        <f t="shared" si="1332"/>
        <v>SAÍDA</v>
      </c>
      <c r="C7187" t="str">
        <f t="shared" si="1333"/>
        <v>PIX</v>
      </c>
      <c r="D7187" t="str">
        <f>"23913"</f>
        <v>23913</v>
      </c>
      <c r="E7187" t="str">
        <f t="shared" si="1334"/>
        <v>1</v>
      </c>
      <c r="F7187" t="str">
        <f t="shared" si="1324"/>
        <v>COM</v>
      </c>
      <c r="G7187" t="str">
        <f>"MAYKON LOPES DE MENEZES (781)"</f>
        <v>MAYKON LOPES DE MENEZES (781)</v>
      </c>
      <c r="H7187" t="s">
        <v>1966</v>
      </c>
      <c r="I7187" t="str">
        <f t="shared" si="1335"/>
        <v>23/10/2025</v>
      </c>
      <c r="J7187" t="str">
        <f t="shared" si="1337"/>
        <v>21/10/2025</v>
      </c>
      <c r="K7187">
        <v>45953</v>
      </c>
      <c r="N7187">
        <v>109</v>
      </c>
      <c r="O7187" t="s">
        <v>24</v>
      </c>
      <c r="Q7187">
        <v>702.1</v>
      </c>
      <c r="R7187" t="str">
        <f>"BRASIL FARMA (10173)"</f>
        <v>BRASIL FARMA (10173)</v>
      </c>
      <c r="S7187" t="s">
        <v>77</v>
      </c>
      <c r="T7187">
        <v>21906</v>
      </c>
      <c r="U7187">
        <v>23913</v>
      </c>
      <c r="V7187" t="s">
        <v>77</v>
      </c>
    </row>
    <row r="7188" spans="1:22">
      <c r="A7188" t="str">
        <f t="shared" si="1323"/>
        <v>23/10/2025</v>
      </c>
      <c r="B7188" t="str">
        <f t="shared" si="1332"/>
        <v>SAÍDA</v>
      </c>
      <c r="C7188" t="str">
        <f t="shared" si="1333"/>
        <v>PIX</v>
      </c>
      <c r="D7188" t="str">
        <f>"23915"</f>
        <v>23915</v>
      </c>
      <c r="E7188" t="str">
        <f t="shared" si="1334"/>
        <v>1</v>
      </c>
      <c r="F7188" t="str">
        <f t="shared" si="1324"/>
        <v>COM</v>
      </c>
      <c r="G7188" t="str">
        <f>"EDUARDO COSTA DA SILVA (721)"</f>
        <v>EDUARDO COSTA DA SILVA (721)</v>
      </c>
      <c r="H7188" t="str">
        <f>"Serv.Prest. 13/10/2025 a 19/10/2025 - PIX: CELULAR - CHAVE: (11) 95552-9905"</f>
        <v>Serv.Prest. 13/10/2025 a 19/10/2025 - PIX: CELULAR - CHAVE: (11) 95552-9905</v>
      </c>
      <c r="I7188" t="str">
        <f t="shared" si="1335"/>
        <v>23/10/2025</v>
      </c>
      <c r="J7188" t="str">
        <f t="shared" si="1337"/>
        <v>21/10/2025</v>
      </c>
      <c r="K7188" t="str">
        <f>("23/10/2025")</f>
        <v>23/10/2025</v>
      </c>
      <c r="L7188">
        <v>1001.7</v>
      </c>
      <c r="M7188">
        <v>1001.7</v>
      </c>
      <c r="N7188">
        <v>109</v>
      </c>
      <c r="O7188" t="str">
        <f>"PAGAMENTO DE ENTREGADORES"</f>
        <v>PAGAMENTO DE ENTREGADORES</v>
      </c>
      <c r="P7188">
        <v>1001.7</v>
      </c>
      <c r="S7188" t="str">
        <f>"BANCO C6 (149)"</f>
        <v>BANCO C6 (149)</v>
      </c>
      <c r="T7188">
        <v>21907</v>
      </c>
      <c r="U7188">
        <v>23915</v>
      </c>
      <c r="V7188" t="s">
        <v>77</v>
      </c>
    </row>
    <row r="7189" spans="1:22">
      <c r="A7189" t="str">
        <f t="shared" ref="A7189:A7252" si="1338">("23/10/2025")</f>
        <v>23/10/2025</v>
      </c>
      <c r="B7189" t="str">
        <f t="shared" si="1332"/>
        <v>SAÍDA</v>
      </c>
      <c r="C7189" t="str">
        <f t="shared" si="1333"/>
        <v>PIX</v>
      </c>
      <c r="D7189" t="str">
        <f>"23915"</f>
        <v>23915</v>
      </c>
      <c r="E7189" t="str">
        <f t="shared" si="1334"/>
        <v>1</v>
      </c>
      <c r="F7189" t="str">
        <f t="shared" ref="F7189:F7252" si="1339">"COM"</f>
        <v>COM</v>
      </c>
      <c r="G7189" t="str">
        <f>"EDUARDO COSTA DA SILVA (721)"</f>
        <v>EDUARDO COSTA DA SILVA (721)</v>
      </c>
      <c r="H7189" t="s">
        <v>1967</v>
      </c>
      <c r="I7189" t="str">
        <f t="shared" si="1335"/>
        <v>23/10/2025</v>
      </c>
      <c r="J7189" t="str">
        <f t="shared" si="1337"/>
        <v>21/10/2025</v>
      </c>
      <c r="K7189">
        <v>45953</v>
      </c>
      <c r="N7189">
        <v>109</v>
      </c>
      <c r="O7189" t="s">
        <v>24</v>
      </c>
      <c r="Q7189">
        <v>1001.7</v>
      </c>
      <c r="R7189" t="str">
        <f>"DROGARIA AGAPEAMA (10167)"</f>
        <v>DROGARIA AGAPEAMA (10167)</v>
      </c>
      <c r="S7189" t="s">
        <v>77</v>
      </c>
      <c r="T7189">
        <v>21907</v>
      </c>
      <c r="U7189">
        <v>23915</v>
      </c>
      <c r="V7189" t="s">
        <v>77</v>
      </c>
    </row>
    <row r="7190" spans="1:22">
      <c r="A7190" t="str">
        <f t="shared" si="1338"/>
        <v>23/10/2025</v>
      </c>
      <c r="B7190" t="str">
        <f t="shared" si="1332"/>
        <v>SAÍDA</v>
      </c>
      <c r="C7190" t="str">
        <f t="shared" si="1333"/>
        <v>PIX</v>
      </c>
      <c r="D7190" t="str">
        <f>"23916"</f>
        <v>23916</v>
      </c>
      <c r="E7190" t="str">
        <f t="shared" si="1334"/>
        <v>1</v>
      </c>
      <c r="F7190" t="str">
        <f t="shared" si="1339"/>
        <v>COM</v>
      </c>
      <c r="G7190" t="str">
        <f>"GUILHERME DA SILVA GOMES (901)"</f>
        <v>GUILHERME DA SILVA GOMES (901)</v>
      </c>
      <c r="H7190" t="str">
        <f>"Serv.Prest. 13/10/2025 a 19/10/2025 - PIX: CPF - CHAVE: 505.341.528-56"</f>
        <v>Serv.Prest. 13/10/2025 a 19/10/2025 - PIX: CPF - CHAVE: 505.341.528-56</v>
      </c>
      <c r="I7190" t="str">
        <f t="shared" si="1335"/>
        <v>23/10/2025</v>
      </c>
      <c r="J7190" t="str">
        <f t="shared" si="1337"/>
        <v>21/10/2025</v>
      </c>
      <c r="K7190" t="str">
        <f>("23/10/2025")</f>
        <v>23/10/2025</v>
      </c>
      <c r="L7190">
        <v>1026.9000000000001</v>
      </c>
      <c r="M7190">
        <v>1026.9000000000001</v>
      </c>
      <c r="N7190">
        <v>109</v>
      </c>
      <c r="O7190" t="str">
        <f>"PAGAMENTO DE ENTREGADORES"</f>
        <v>PAGAMENTO DE ENTREGADORES</v>
      </c>
      <c r="P7190">
        <v>1026.9000000000001</v>
      </c>
      <c r="S7190" t="str">
        <f>"BANCO C6 (149)"</f>
        <v>BANCO C6 (149)</v>
      </c>
      <c r="T7190">
        <v>21908</v>
      </c>
      <c r="U7190">
        <v>23916</v>
      </c>
      <c r="V7190" t="s">
        <v>77</v>
      </c>
    </row>
    <row r="7191" spans="1:22">
      <c r="A7191" t="str">
        <f t="shared" si="1338"/>
        <v>23/10/2025</v>
      </c>
      <c r="B7191" t="str">
        <f t="shared" si="1332"/>
        <v>SAÍDA</v>
      </c>
      <c r="C7191" t="str">
        <f t="shared" si="1333"/>
        <v>PIX</v>
      </c>
      <c r="D7191" t="str">
        <f>"23916"</f>
        <v>23916</v>
      </c>
      <c r="E7191" t="str">
        <f t="shared" si="1334"/>
        <v>1</v>
      </c>
      <c r="F7191" t="str">
        <f t="shared" si="1339"/>
        <v>COM</v>
      </c>
      <c r="G7191" t="str">
        <f>"GUILHERME DA SILVA GOMES (901)"</f>
        <v>GUILHERME DA SILVA GOMES (901)</v>
      </c>
      <c r="H7191" t="s">
        <v>1968</v>
      </c>
      <c r="I7191" t="str">
        <f t="shared" si="1335"/>
        <v>23/10/2025</v>
      </c>
      <c r="J7191" t="str">
        <f t="shared" si="1337"/>
        <v>21/10/2025</v>
      </c>
      <c r="K7191">
        <v>45953</v>
      </c>
      <c r="N7191">
        <v>109</v>
      </c>
      <c r="O7191" t="s">
        <v>24</v>
      </c>
      <c r="Q7191">
        <v>1026.9000000000001</v>
      </c>
      <c r="R7191" t="str">
        <f>"DROGARIA AGAPEAMA (10167)"</f>
        <v>DROGARIA AGAPEAMA (10167)</v>
      </c>
      <c r="S7191" t="s">
        <v>77</v>
      </c>
      <c r="T7191">
        <v>21908</v>
      </c>
      <c r="U7191">
        <v>23916</v>
      </c>
      <c r="V7191" t="s">
        <v>77</v>
      </c>
    </row>
    <row r="7192" spans="1:22">
      <c r="A7192" t="str">
        <f t="shared" si="1338"/>
        <v>23/10/2025</v>
      </c>
      <c r="B7192" t="str">
        <f t="shared" si="1332"/>
        <v>SAÍDA</v>
      </c>
      <c r="C7192" t="str">
        <f t="shared" si="1333"/>
        <v>PIX</v>
      </c>
      <c r="D7192" t="str">
        <f>"23917"</f>
        <v>23917</v>
      </c>
      <c r="E7192" t="str">
        <f t="shared" si="1334"/>
        <v>1</v>
      </c>
      <c r="F7192" t="str">
        <f t="shared" si="1339"/>
        <v>COM</v>
      </c>
      <c r="G7192" t="str">
        <f>"WESLEY RICARDO DE OLIVEIRA (722)"</f>
        <v>WESLEY RICARDO DE OLIVEIRA (722)</v>
      </c>
      <c r="H7192" t="str">
        <f>"Serv.Prest. 13/10/2025 a 19/10/2025 - PIX: CELULAR - CHAVE: (11) 91214-6176"</f>
        <v>Serv.Prest. 13/10/2025 a 19/10/2025 - PIX: CELULAR - CHAVE: (11) 91214-6176</v>
      </c>
      <c r="I7192" t="str">
        <f t="shared" si="1335"/>
        <v>23/10/2025</v>
      </c>
      <c r="J7192" t="str">
        <f t="shared" si="1337"/>
        <v>21/10/2025</v>
      </c>
      <c r="K7192" t="str">
        <f>("23/10/2025")</f>
        <v>23/10/2025</v>
      </c>
      <c r="L7192">
        <v>926.1</v>
      </c>
      <c r="M7192">
        <v>926.1</v>
      </c>
      <c r="N7192">
        <v>109</v>
      </c>
      <c r="O7192" t="str">
        <f>"PAGAMENTO DE ENTREGADORES"</f>
        <v>PAGAMENTO DE ENTREGADORES</v>
      </c>
      <c r="P7192">
        <v>926.1</v>
      </c>
      <c r="S7192" t="str">
        <f>"BANCO C6 (149)"</f>
        <v>BANCO C6 (149)</v>
      </c>
      <c r="T7192">
        <v>21909</v>
      </c>
      <c r="U7192">
        <v>23917</v>
      </c>
      <c r="V7192" t="s">
        <v>77</v>
      </c>
    </row>
    <row r="7193" spans="1:22">
      <c r="A7193" t="str">
        <f t="shared" si="1338"/>
        <v>23/10/2025</v>
      </c>
      <c r="B7193" t="str">
        <f t="shared" si="1332"/>
        <v>SAÍDA</v>
      </c>
      <c r="C7193" t="str">
        <f t="shared" si="1333"/>
        <v>PIX</v>
      </c>
      <c r="D7193" t="str">
        <f>"23917"</f>
        <v>23917</v>
      </c>
      <c r="E7193" t="str">
        <f t="shared" si="1334"/>
        <v>1</v>
      </c>
      <c r="F7193" t="str">
        <f t="shared" si="1339"/>
        <v>COM</v>
      </c>
      <c r="G7193" t="str">
        <f>"WESLEY RICARDO DE OLIVEIRA (722)"</f>
        <v>WESLEY RICARDO DE OLIVEIRA (722)</v>
      </c>
      <c r="H7193" t="s">
        <v>1969</v>
      </c>
      <c r="I7193" t="str">
        <f t="shared" si="1335"/>
        <v>23/10/2025</v>
      </c>
      <c r="J7193" t="str">
        <f t="shared" si="1337"/>
        <v>21/10/2025</v>
      </c>
      <c r="K7193">
        <v>45953</v>
      </c>
      <c r="N7193">
        <v>109</v>
      </c>
      <c r="O7193" t="s">
        <v>24</v>
      </c>
      <c r="Q7193">
        <v>926.1</v>
      </c>
      <c r="R7193" t="str">
        <f>"DROGARIA AGAPEAMA (10167)"</f>
        <v>DROGARIA AGAPEAMA (10167)</v>
      </c>
      <c r="S7193" t="s">
        <v>77</v>
      </c>
      <c r="T7193">
        <v>21909</v>
      </c>
      <c r="U7193">
        <v>23917</v>
      </c>
      <c r="V7193" t="s">
        <v>77</v>
      </c>
    </row>
    <row r="7194" spans="1:22">
      <c r="A7194" t="str">
        <f t="shared" si="1338"/>
        <v>23/10/2025</v>
      </c>
      <c r="B7194" t="str">
        <f t="shared" si="1332"/>
        <v>SAÍDA</v>
      </c>
      <c r="C7194" t="str">
        <f t="shared" si="1333"/>
        <v>PIX</v>
      </c>
      <c r="D7194" t="str">
        <f>"23919"</f>
        <v>23919</v>
      </c>
      <c r="E7194" t="str">
        <f t="shared" si="1334"/>
        <v>1</v>
      </c>
      <c r="F7194" t="str">
        <f t="shared" si="1339"/>
        <v>COM</v>
      </c>
      <c r="G7194" t="str">
        <f>"ISAEL SANTOS ROSA (642)"</f>
        <v>ISAEL SANTOS ROSA (642)</v>
      </c>
      <c r="H7194" t="str">
        <f>"Serv.Prest. 13/10/2025 a 19/10/2025 - PIX: CELULAR - CHAVE: (31) 99376-7989"</f>
        <v>Serv.Prest. 13/10/2025 a 19/10/2025 - PIX: CELULAR - CHAVE: (31) 99376-7989</v>
      </c>
      <c r="I7194" t="str">
        <f t="shared" si="1335"/>
        <v>23/10/2025</v>
      </c>
      <c r="J7194" t="str">
        <f t="shared" si="1337"/>
        <v>21/10/2025</v>
      </c>
      <c r="K7194" t="str">
        <f>("23/10/2025")</f>
        <v>23/10/2025</v>
      </c>
      <c r="L7194">
        <v>1400</v>
      </c>
      <c r="M7194">
        <v>1400</v>
      </c>
      <c r="N7194">
        <v>109</v>
      </c>
      <c r="O7194" t="str">
        <f>"PAGAMENTO DE ENTREGADORES"</f>
        <v>PAGAMENTO DE ENTREGADORES</v>
      </c>
      <c r="P7194">
        <v>1400</v>
      </c>
      <c r="S7194" t="str">
        <f>"BANCO C6 (149)"</f>
        <v>BANCO C6 (149)</v>
      </c>
      <c r="T7194">
        <v>21910</v>
      </c>
      <c r="U7194">
        <v>23919</v>
      </c>
      <c r="V7194" t="s">
        <v>77</v>
      </c>
    </row>
    <row r="7195" spans="1:22">
      <c r="A7195" t="str">
        <f t="shared" si="1338"/>
        <v>23/10/2025</v>
      </c>
      <c r="B7195" t="str">
        <f t="shared" si="1332"/>
        <v>SAÍDA</v>
      </c>
      <c r="C7195" t="str">
        <f t="shared" si="1333"/>
        <v>PIX</v>
      </c>
      <c r="D7195" t="str">
        <f>"23919"</f>
        <v>23919</v>
      </c>
      <c r="E7195" t="str">
        <f t="shared" si="1334"/>
        <v>1</v>
      </c>
      <c r="F7195" t="str">
        <f t="shared" si="1339"/>
        <v>COM</v>
      </c>
      <c r="G7195" t="str">
        <f>"ISAEL SANTOS ROSA (642)"</f>
        <v>ISAEL SANTOS ROSA (642)</v>
      </c>
      <c r="H7195" t="s">
        <v>1970</v>
      </c>
      <c r="I7195" t="str">
        <f t="shared" si="1335"/>
        <v>23/10/2025</v>
      </c>
      <c r="J7195" t="str">
        <f t="shared" si="1337"/>
        <v>21/10/2025</v>
      </c>
      <c r="K7195">
        <v>45953</v>
      </c>
      <c r="N7195">
        <v>109</v>
      </c>
      <c r="O7195" t="s">
        <v>24</v>
      </c>
      <c r="Q7195">
        <v>1400</v>
      </c>
      <c r="R7195" t="str">
        <f>"DROGARIA POUPA MINAS (ULTRAMINAS) 3 (10129)"</f>
        <v>DROGARIA POUPA MINAS (ULTRAMINAS) 3 (10129)</v>
      </c>
      <c r="S7195" t="s">
        <v>77</v>
      </c>
      <c r="T7195">
        <v>21910</v>
      </c>
      <c r="U7195">
        <v>23919</v>
      </c>
      <c r="V7195" t="s">
        <v>77</v>
      </c>
    </row>
    <row r="7196" spans="1:22">
      <c r="A7196" t="str">
        <f t="shared" si="1338"/>
        <v>23/10/2025</v>
      </c>
      <c r="B7196" t="str">
        <f t="shared" si="1332"/>
        <v>SAÍDA</v>
      </c>
      <c r="C7196" t="str">
        <f t="shared" si="1333"/>
        <v>PIX</v>
      </c>
      <c r="D7196" t="str">
        <f>"23921"</f>
        <v>23921</v>
      </c>
      <c r="E7196" t="str">
        <f t="shared" si="1334"/>
        <v>1</v>
      </c>
      <c r="F7196" t="str">
        <f t="shared" si="1339"/>
        <v>COM</v>
      </c>
      <c r="G7196" t="str">
        <f>"ARLINDO COSTA FELIX (754)"</f>
        <v>ARLINDO COSTA FELIX (754)</v>
      </c>
      <c r="H7196" t="str">
        <f>"Serv.Prest. 13/10/2025 a 19/10/2025 - PIX: CPF - CHAVE: 103.983.366-79"</f>
        <v>Serv.Prest. 13/10/2025 a 19/10/2025 - PIX: CPF - CHAVE: 103.983.366-79</v>
      </c>
      <c r="I7196" t="str">
        <f t="shared" si="1335"/>
        <v>23/10/2025</v>
      </c>
      <c r="J7196" t="str">
        <f t="shared" si="1337"/>
        <v>21/10/2025</v>
      </c>
      <c r="K7196" t="str">
        <f>("23/10/2025")</f>
        <v>23/10/2025</v>
      </c>
      <c r="L7196">
        <v>1338</v>
      </c>
      <c r="M7196">
        <v>1338</v>
      </c>
      <c r="N7196">
        <v>109</v>
      </c>
      <c r="O7196" t="str">
        <f>"PAGAMENTO DE ENTREGADORES"</f>
        <v>PAGAMENTO DE ENTREGADORES</v>
      </c>
      <c r="P7196">
        <v>1338</v>
      </c>
      <c r="S7196" t="str">
        <f>"BANCO C6 (149)"</f>
        <v>BANCO C6 (149)</v>
      </c>
      <c r="T7196">
        <v>21911</v>
      </c>
      <c r="U7196">
        <v>23921</v>
      </c>
      <c r="V7196" t="s">
        <v>77</v>
      </c>
    </row>
    <row r="7197" spans="1:22">
      <c r="A7197" t="str">
        <f t="shared" si="1338"/>
        <v>23/10/2025</v>
      </c>
      <c r="B7197" t="str">
        <f t="shared" si="1332"/>
        <v>SAÍDA</v>
      </c>
      <c r="C7197" t="str">
        <f t="shared" si="1333"/>
        <v>PIX</v>
      </c>
      <c r="D7197" t="str">
        <f>"23921"</f>
        <v>23921</v>
      </c>
      <c r="E7197" t="str">
        <f t="shared" si="1334"/>
        <v>1</v>
      </c>
      <c r="F7197" t="str">
        <f t="shared" si="1339"/>
        <v>COM</v>
      </c>
      <c r="G7197" t="str">
        <f>"ARLINDO COSTA FELIX (754)"</f>
        <v>ARLINDO COSTA FELIX (754)</v>
      </c>
      <c r="H7197" t="s">
        <v>1971</v>
      </c>
      <c r="I7197" t="str">
        <f t="shared" si="1335"/>
        <v>23/10/2025</v>
      </c>
      <c r="J7197" t="str">
        <f t="shared" si="1337"/>
        <v>21/10/2025</v>
      </c>
      <c r="K7197">
        <v>45953</v>
      </c>
      <c r="N7197">
        <v>109</v>
      </c>
      <c r="O7197" t="s">
        <v>24</v>
      </c>
      <c r="Q7197">
        <v>1338</v>
      </c>
      <c r="R7197" t="str">
        <f>"ENTREFARMA (10164)"</f>
        <v>ENTREFARMA (10164)</v>
      </c>
      <c r="S7197" t="s">
        <v>77</v>
      </c>
      <c r="T7197">
        <v>21911</v>
      </c>
      <c r="U7197">
        <v>23921</v>
      </c>
      <c r="V7197" t="s">
        <v>77</v>
      </c>
    </row>
    <row r="7198" spans="1:22">
      <c r="A7198" t="str">
        <f t="shared" si="1338"/>
        <v>23/10/2025</v>
      </c>
      <c r="B7198" t="str">
        <f t="shared" si="1332"/>
        <v>SAÍDA</v>
      </c>
      <c r="C7198" t="str">
        <f t="shared" si="1333"/>
        <v>PIX</v>
      </c>
      <c r="D7198" t="str">
        <f>"23922"</f>
        <v>23922</v>
      </c>
      <c r="E7198" t="str">
        <f t="shared" si="1334"/>
        <v>1</v>
      </c>
      <c r="F7198" t="str">
        <f t="shared" si="1339"/>
        <v>COM</v>
      </c>
      <c r="G7198" t="str">
        <f>"LEONICIO CORREA DA SILVA (716)"</f>
        <v>LEONICIO CORREA DA SILVA (716)</v>
      </c>
      <c r="H7198" t="str">
        <f>"Serv.Prest. 13/10/2025 a 19/10/2025 - PIX: CPF - CHAVE: 138.263.636-98"</f>
        <v>Serv.Prest. 13/10/2025 a 19/10/2025 - PIX: CPF - CHAVE: 138.263.636-98</v>
      </c>
      <c r="I7198" t="str">
        <f t="shared" si="1335"/>
        <v>23/10/2025</v>
      </c>
      <c r="J7198" t="str">
        <f t="shared" si="1337"/>
        <v>21/10/2025</v>
      </c>
      <c r="K7198" t="str">
        <f>("23/10/2025")</f>
        <v>23/10/2025</v>
      </c>
      <c r="L7198">
        <v>798</v>
      </c>
      <c r="M7198">
        <v>798</v>
      </c>
      <c r="N7198">
        <v>109</v>
      </c>
      <c r="O7198" t="str">
        <f>"PAGAMENTO DE ENTREGADORES"</f>
        <v>PAGAMENTO DE ENTREGADORES</v>
      </c>
      <c r="P7198">
        <v>798</v>
      </c>
      <c r="S7198" t="str">
        <f>"BANCO C6 (149)"</f>
        <v>BANCO C6 (149)</v>
      </c>
      <c r="T7198">
        <v>21912</v>
      </c>
      <c r="U7198">
        <v>23922</v>
      </c>
      <c r="V7198" t="s">
        <v>77</v>
      </c>
    </row>
    <row r="7199" spans="1:22">
      <c r="A7199" t="str">
        <f t="shared" si="1338"/>
        <v>23/10/2025</v>
      </c>
      <c r="B7199" t="str">
        <f t="shared" si="1332"/>
        <v>SAÍDA</v>
      </c>
      <c r="C7199" t="str">
        <f t="shared" si="1333"/>
        <v>PIX</v>
      </c>
      <c r="D7199" t="str">
        <f>"23922"</f>
        <v>23922</v>
      </c>
      <c r="E7199" t="str">
        <f t="shared" si="1334"/>
        <v>1</v>
      </c>
      <c r="F7199" t="str">
        <f t="shared" si="1339"/>
        <v>COM</v>
      </c>
      <c r="G7199" t="str">
        <f>"LEONICIO CORREA DA SILVA (716)"</f>
        <v>LEONICIO CORREA DA SILVA (716)</v>
      </c>
      <c r="H7199" t="s">
        <v>1972</v>
      </c>
      <c r="I7199" t="str">
        <f t="shared" si="1335"/>
        <v>23/10/2025</v>
      </c>
      <c r="J7199" t="str">
        <f t="shared" si="1337"/>
        <v>21/10/2025</v>
      </c>
      <c r="K7199">
        <v>45953</v>
      </c>
      <c r="N7199">
        <v>109</v>
      </c>
      <c r="O7199" t="s">
        <v>24</v>
      </c>
      <c r="Q7199">
        <v>798</v>
      </c>
      <c r="R7199" t="str">
        <f>"ENTREFARMA (10164)"</f>
        <v>ENTREFARMA (10164)</v>
      </c>
      <c r="S7199" t="s">
        <v>77</v>
      </c>
      <c r="T7199">
        <v>21912</v>
      </c>
      <c r="U7199">
        <v>23922</v>
      </c>
      <c r="V7199" t="s">
        <v>77</v>
      </c>
    </row>
    <row r="7200" spans="1:22">
      <c r="A7200" t="str">
        <f t="shared" si="1338"/>
        <v>23/10/2025</v>
      </c>
      <c r="B7200" t="str">
        <f t="shared" si="1332"/>
        <v>SAÍDA</v>
      </c>
      <c r="C7200" t="str">
        <f t="shared" si="1333"/>
        <v>PIX</v>
      </c>
      <c r="D7200" t="str">
        <f>"23923"</f>
        <v>23923</v>
      </c>
      <c r="E7200" t="str">
        <f t="shared" si="1334"/>
        <v>1</v>
      </c>
      <c r="F7200" t="str">
        <f t="shared" si="1339"/>
        <v>COM</v>
      </c>
      <c r="G7200" t="str">
        <f>"SADRAK ENOKES BORGES (725)"</f>
        <v>SADRAK ENOKES BORGES (725)</v>
      </c>
      <c r="H7200" t="str">
        <f>"Serv.Prest. 13/10/2025 a 19/10/2025 - PIX: CPF - CHAVE: 128.367.756-37"</f>
        <v>Serv.Prest. 13/10/2025 a 19/10/2025 - PIX: CPF - CHAVE: 128.367.756-37</v>
      </c>
      <c r="I7200" t="str">
        <f t="shared" si="1335"/>
        <v>23/10/2025</v>
      </c>
      <c r="J7200" t="str">
        <f t="shared" si="1337"/>
        <v>21/10/2025</v>
      </c>
      <c r="K7200" t="str">
        <f>("23/10/2025")</f>
        <v>23/10/2025</v>
      </c>
      <c r="L7200">
        <v>1200</v>
      </c>
      <c r="M7200">
        <v>1200</v>
      </c>
      <c r="N7200">
        <v>109</v>
      </c>
      <c r="O7200" t="str">
        <f>"PAGAMENTO DE ENTREGADORES"</f>
        <v>PAGAMENTO DE ENTREGADORES</v>
      </c>
      <c r="P7200">
        <v>1200</v>
      </c>
      <c r="S7200" t="str">
        <f>"BANCO C6 (149)"</f>
        <v>BANCO C6 (149)</v>
      </c>
      <c r="T7200">
        <v>21913</v>
      </c>
      <c r="U7200">
        <v>23923</v>
      </c>
      <c r="V7200" t="s">
        <v>77</v>
      </c>
    </row>
    <row r="7201" spans="1:22">
      <c r="A7201" t="str">
        <f t="shared" si="1338"/>
        <v>23/10/2025</v>
      </c>
      <c r="B7201" t="str">
        <f t="shared" si="1332"/>
        <v>SAÍDA</v>
      </c>
      <c r="C7201" t="str">
        <f t="shared" si="1333"/>
        <v>PIX</v>
      </c>
      <c r="D7201" t="str">
        <f>"23923"</f>
        <v>23923</v>
      </c>
      <c r="E7201" t="str">
        <f t="shared" si="1334"/>
        <v>1</v>
      </c>
      <c r="F7201" t="str">
        <f t="shared" si="1339"/>
        <v>COM</v>
      </c>
      <c r="G7201" t="str">
        <f>"SADRAK ENOKES BORGES (725)"</f>
        <v>SADRAK ENOKES BORGES (725)</v>
      </c>
      <c r="H7201" t="s">
        <v>1973</v>
      </c>
      <c r="I7201" t="str">
        <f t="shared" si="1335"/>
        <v>23/10/2025</v>
      </c>
      <c r="J7201" t="str">
        <f t="shared" si="1337"/>
        <v>21/10/2025</v>
      </c>
      <c r="K7201">
        <v>45953</v>
      </c>
      <c r="N7201">
        <v>109</v>
      </c>
      <c r="O7201" t="s">
        <v>24</v>
      </c>
      <c r="Q7201">
        <v>1200</v>
      </c>
      <c r="R7201" t="str">
        <f>"ENTREFARMA (10164)"</f>
        <v>ENTREFARMA (10164)</v>
      </c>
      <c r="S7201" t="s">
        <v>77</v>
      </c>
      <c r="T7201">
        <v>21913</v>
      </c>
      <c r="U7201">
        <v>23923</v>
      </c>
      <c r="V7201" t="s">
        <v>77</v>
      </c>
    </row>
    <row r="7202" spans="1:22">
      <c r="A7202" t="str">
        <f t="shared" si="1338"/>
        <v>23/10/2025</v>
      </c>
      <c r="B7202" t="str">
        <f t="shared" si="1332"/>
        <v>SAÍDA</v>
      </c>
      <c r="C7202" t="str">
        <f t="shared" si="1333"/>
        <v>PIX</v>
      </c>
      <c r="D7202" t="str">
        <f>"23924"</f>
        <v>23924</v>
      </c>
      <c r="E7202" t="str">
        <f t="shared" si="1334"/>
        <v>1</v>
      </c>
      <c r="F7202" t="str">
        <f t="shared" si="1339"/>
        <v>COM</v>
      </c>
      <c r="G7202" t="str">
        <f>"WENDERSON GOMES (708)"</f>
        <v>WENDERSON GOMES (708)</v>
      </c>
      <c r="H7202" t="str">
        <f>"Serv.Prest. 13/10/2025 a 19/10/2025 - PIX: CPF - CHAVE: 147.592.156-03"</f>
        <v>Serv.Prest. 13/10/2025 a 19/10/2025 - PIX: CPF - CHAVE: 147.592.156-03</v>
      </c>
      <c r="I7202" t="str">
        <f t="shared" si="1335"/>
        <v>23/10/2025</v>
      </c>
      <c r="J7202" t="str">
        <f t="shared" si="1337"/>
        <v>21/10/2025</v>
      </c>
      <c r="K7202" t="str">
        <f>("23/10/2025")</f>
        <v>23/10/2025</v>
      </c>
      <c r="L7202">
        <v>1788</v>
      </c>
      <c r="M7202">
        <v>1788</v>
      </c>
      <c r="N7202">
        <v>109</v>
      </c>
      <c r="O7202" t="str">
        <f>"PAGAMENTO DE ENTREGADORES"</f>
        <v>PAGAMENTO DE ENTREGADORES</v>
      </c>
      <c r="P7202">
        <v>1788</v>
      </c>
      <c r="S7202" t="str">
        <f>"BANCO C6 (149)"</f>
        <v>BANCO C6 (149)</v>
      </c>
      <c r="T7202">
        <v>21914</v>
      </c>
      <c r="U7202">
        <v>23924</v>
      </c>
      <c r="V7202" t="s">
        <v>77</v>
      </c>
    </row>
    <row r="7203" spans="1:22">
      <c r="A7203" t="str">
        <f t="shared" si="1338"/>
        <v>23/10/2025</v>
      </c>
      <c r="B7203" t="str">
        <f t="shared" si="1332"/>
        <v>SAÍDA</v>
      </c>
      <c r="C7203" t="str">
        <f t="shared" si="1333"/>
        <v>PIX</v>
      </c>
      <c r="D7203" t="str">
        <f>"23924"</f>
        <v>23924</v>
      </c>
      <c r="E7203" t="str">
        <f t="shared" si="1334"/>
        <v>1</v>
      </c>
      <c r="F7203" t="str">
        <f t="shared" si="1339"/>
        <v>COM</v>
      </c>
      <c r="G7203" t="str">
        <f>"WENDERSON GOMES (708)"</f>
        <v>WENDERSON GOMES (708)</v>
      </c>
      <c r="H7203" t="s">
        <v>1974</v>
      </c>
      <c r="I7203" t="str">
        <f t="shared" si="1335"/>
        <v>23/10/2025</v>
      </c>
      <c r="J7203" t="str">
        <f t="shared" si="1337"/>
        <v>21/10/2025</v>
      </c>
      <c r="K7203">
        <v>45953</v>
      </c>
      <c r="N7203">
        <v>109</v>
      </c>
      <c r="O7203" t="s">
        <v>24</v>
      </c>
      <c r="Q7203">
        <v>1788</v>
      </c>
      <c r="R7203" t="str">
        <f>"ENTREFARMA (10164)"</f>
        <v>ENTREFARMA (10164)</v>
      </c>
      <c r="S7203" t="s">
        <v>77</v>
      </c>
      <c r="T7203">
        <v>21914</v>
      </c>
      <c r="U7203">
        <v>23924</v>
      </c>
      <c r="V7203" t="s">
        <v>77</v>
      </c>
    </row>
    <row r="7204" spans="1:22">
      <c r="A7204" t="str">
        <f t="shared" si="1338"/>
        <v>23/10/2025</v>
      </c>
      <c r="B7204" t="str">
        <f t="shared" si="1332"/>
        <v>SAÍDA</v>
      </c>
      <c r="C7204" t="str">
        <f t="shared" si="1333"/>
        <v>PIX</v>
      </c>
      <c r="D7204" t="str">
        <f>"23926"</f>
        <v>23926</v>
      </c>
      <c r="E7204" t="str">
        <f t="shared" si="1334"/>
        <v>1</v>
      </c>
      <c r="F7204" t="str">
        <f t="shared" si="1339"/>
        <v>COM</v>
      </c>
      <c r="G7204" t="str">
        <f>"FABRICIO QUEIROZ DE OLIVEIRA (788)"</f>
        <v>FABRICIO QUEIROZ DE OLIVEIRA (788)</v>
      </c>
      <c r="H7204" t="str">
        <f>"Serv.Prest. 13/10/2025 a 19/10/2025 - PIX: CPF - CHAVE: 138.798.486-10"</f>
        <v>Serv.Prest. 13/10/2025 a 19/10/2025 - PIX: CPF - CHAVE: 138.798.486-10</v>
      </c>
      <c r="I7204" t="str">
        <f t="shared" si="1335"/>
        <v>23/10/2025</v>
      </c>
      <c r="J7204" t="str">
        <f t="shared" si="1337"/>
        <v>21/10/2025</v>
      </c>
      <c r="K7204" t="str">
        <f>("23/10/2025")</f>
        <v>23/10/2025</v>
      </c>
      <c r="L7204">
        <v>700</v>
      </c>
      <c r="M7204">
        <v>700</v>
      </c>
      <c r="N7204">
        <v>109</v>
      </c>
      <c r="O7204" t="str">
        <f>"PAGAMENTO DE ENTREGADORES"</f>
        <v>PAGAMENTO DE ENTREGADORES</v>
      </c>
      <c r="P7204">
        <v>700</v>
      </c>
      <c r="S7204" t="str">
        <f>"BANCO C6 (149)"</f>
        <v>BANCO C6 (149)</v>
      </c>
      <c r="T7204">
        <v>21915</v>
      </c>
      <c r="U7204">
        <v>23926</v>
      </c>
      <c r="V7204" t="s">
        <v>77</v>
      </c>
    </row>
    <row r="7205" spans="1:22">
      <c r="A7205" t="str">
        <f t="shared" si="1338"/>
        <v>23/10/2025</v>
      </c>
      <c r="B7205" t="str">
        <f t="shared" si="1332"/>
        <v>SAÍDA</v>
      </c>
      <c r="C7205" t="str">
        <f t="shared" si="1333"/>
        <v>PIX</v>
      </c>
      <c r="D7205" t="str">
        <f>"23926"</f>
        <v>23926</v>
      </c>
      <c r="E7205" t="str">
        <f t="shared" si="1334"/>
        <v>1</v>
      </c>
      <c r="F7205" t="str">
        <f t="shared" si="1339"/>
        <v>COM</v>
      </c>
      <c r="G7205" t="str">
        <f>"FABRICIO QUEIROZ DE OLIVEIRA (788)"</f>
        <v>FABRICIO QUEIROZ DE OLIVEIRA (788)</v>
      </c>
      <c r="H7205" t="s">
        <v>1975</v>
      </c>
      <c r="I7205" t="str">
        <f t="shared" si="1335"/>
        <v>23/10/2025</v>
      </c>
      <c r="J7205" t="str">
        <f t="shared" si="1337"/>
        <v>21/10/2025</v>
      </c>
      <c r="K7205">
        <v>45953</v>
      </c>
      <c r="N7205">
        <v>109</v>
      </c>
      <c r="O7205" t="s">
        <v>24</v>
      </c>
      <c r="Q7205">
        <v>516.17999999999995</v>
      </c>
      <c r="R7205" t="str">
        <f>"FRAN FARMA LJ 2 (10131)"</f>
        <v>FRAN FARMA LJ 2 (10131)</v>
      </c>
      <c r="S7205" t="s">
        <v>77</v>
      </c>
      <c r="T7205">
        <v>21915</v>
      </c>
      <c r="U7205">
        <v>23926</v>
      </c>
      <c r="V7205" t="s">
        <v>77</v>
      </c>
    </row>
    <row r="7206" spans="1:22">
      <c r="A7206" t="str">
        <f t="shared" si="1338"/>
        <v>23/10/2025</v>
      </c>
      <c r="B7206" t="str">
        <f t="shared" si="1332"/>
        <v>SAÍDA</v>
      </c>
      <c r="C7206" t="str">
        <f t="shared" si="1333"/>
        <v>PIX</v>
      </c>
      <c r="D7206" t="str">
        <f>"23926"</f>
        <v>23926</v>
      </c>
      <c r="E7206" t="str">
        <f t="shared" si="1334"/>
        <v>1</v>
      </c>
      <c r="F7206" t="str">
        <f t="shared" si="1339"/>
        <v>COM</v>
      </c>
      <c r="G7206" t="str">
        <f>"FABRICIO QUEIROZ DE OLIVEIRA (788)"</f>
        <v>FABRICIO QUEIROZ DE OLIVEIRA (788)</v>
      </c>
      <c r="H7206" t="s">
        <v>1975</v>
      </c>
      <c r="I7206" t="str">
        <f t="shared" si="1335"/>
        <v>23/10/2025</v>
      </c>
      <c r="J7206" t="str">
        <f t="shared" si="1337"/>
        <v>21/10/2025</v>
      </c>
      <c r="K7206">
        <v>45953</v>
      </c>
      <c r="N7206">
        <v>109</v>
      </c>
      <c r="O7206" t="s">
        <v>24</v>
      </c>
      <c r="Q7206">
        <v>183.82</v>
      </c>
      <c r="R7206" t="str">
        <f>"FRAN FARMA LJ 3 (10132)"</f>
        <v>FRAN FARMA LJ 3 (10132)</v>
      </c>
      <c r="S7206" t="s">
        <v>77</v>
      </c>
      <c r="T7206">
        <v>21915</v>
      </c>
      <c r="U7206">
        <v>23926</v>
      </c>
      <c r="V7206" t="s">
        <v>77</v>
      </c>
    </row>
    <row r="7207" spans="1:22">
      <c r="A7207" t="str">
        <f t="shared" si="1338"/>
        <v>23/10/2025</v>
      </c>
      <c r="B7207" t="str">
        <f t="shared" si="1332"/>
        <v>SAÍDA</v>
      </c>
      <c r="C7207" t="str">
        <f t="shared" si="1333"/>
        <v>PIX</v>
      </c>
      <c r="D7207" t="str">
        <f>"23928"</f>
        <v>23928</v>
      </c>
      <c r="E7207" t="str">
        <f t="shared" si="1334"/>
        <v>1</v>
      </c>
      <c r="F7207" t="str">
        <f t="shared" si="1339"/>
        <v>COM</v>
      </c>
      <c r="G7207" t="str">
        <f>"ELIO CALDEIRA RIBEIRO JUNIOR (840)"</f>
        <v>ELIO CALDEIRA RIBEIRO JUNIOR (840)</v>
      </c>
      <c r="H7207" t="str">
        <f>"Serv.Prest. 13/10/2025 a 19/10/2025 - PIX: CPF - CHAVE: 463.491.858-70"</f>
        <v>Serv.Prest. 13/10/2025 a 19/10/2025 - PIX: CPF - CHAVE: 463.491.858-70</v>
      </c>
      <c r="I7207" t="str">
        <f t="shared" si="1335"/>
        <v>23/10/2025</v>
      </c>
      <c r="J7207" t="str">
        <f t="shared" si="1337"/>
        <v>21/10/2025</v>
      </c>
      <c r="K7207" t="str">
        <f>("23/10/2025")</f>
        <v>23/10/2025</v>
      </c>
      <c r="L7207">
        <v>547</v>
      </c>
      <c r="M7207">
        <v>547</v>
      </c>
      <c r="N7207">
        <v>109</v>
      </c>
      <c r="O7207" t="str">
        <f>"PAGAMENTO DE ENTREGADORES"</f>
        <v>PAGAMENTO DE ENTREGADORES</v>
      </c>
      <c r="P7207">
        <v>547</v>
      </c>
      <c r="S7207" t="str">
        <f>"BANCO C6 (149)"</f>
        <v>BANCO C6 (149)</v>
      </c>
      <c r="T7207">
        <v>21916</v>
      </c>
      <c r="U7207">
        <v>23928</v>
      </c>
      <c r="V7207" t="s">
        <v>77</v>
      </c>
    </row>
    <row r="7208" spans="1:22">
      <c r="A7208" t="str">
        <f t="shared" si="1338"/>
        <v>23/10/2025</v>
      </c>
      <c r="B7208" t="str">
        <f t="shared" si="1332"/>
        <v>SAÍDA</v>
      </c>
      <c r="C7208" t="str">
        <f t="shared" si="1333"/>
        <v>PIX</v>
      </c>
      <c r="D7208" t="str">
        <f>"23928"</f>
        <v>23928</v>
      </c>
      <c r="E7208" t="str">
        <f t="shared" si="1334"/>
        <v>1</v>
      </c>
      <c r="F7208" t="str">
        <f t="shared" si="1339"/>
        <v>COM</v>
      </c>
      <c r="G7208" t="str">
        <f>"ELIO CALDEIRA RIBEIRO JUNIOR (840)"</f>
        <v>ELIO CALDEIRA RIBEIRO JUNIOR (840)</v>
      </c>
      <c r="H7208" t="s">
        <v>1886</v>
      </c>
      <c r="I7208" t="str">
        <f t="shared" si="1335"/>
        <v>23/10/2025</v>
      </c>
      <c r="J7208" t="str">
        <f t="shared" si="1337"/>
        <v>21/10/2025</v>
      </c>
      <c r="K7208">
        <v>45953</v>
      </c>
      <c r="N7208">
        <v>109</v>
      </c>
      <c r="O7208" t="s">
        <v>24</v>
      </c>
      <c r="Q7208">
        <v>547</v>
      </c>
      <c r="R7208" t="str">
        <f>"DROGARIA MEDIC CENTER LTDA (10172)"</f>
        <v>DROGARIA MEDIC CENTER LTDA (10172)</v>
      </c>
      <c r="S7208" t="s">
        <v>77</v>
      </c>
      <c r="T7208">
        <v>21916</v>
      </c>
      <c r="U7208">
        <v>23928</v>
      </c>
      <c r="V7208" t="s">
        <v>77</v>
      </c>
    </row>
    <row r="7209" spans="1:22">
      <c r="A7209" t="str">
        <f t="shared" si="1338"/>
        <v>23/10/2025</v>
      </c>
      <c r="B7209" t="str">
        <f t="shared" si="1332"/>
        <v>SAÍDA</v>
      </c>
      <c r="C7209" t="str">
        <f t="shared" si="1333"/>
        <v>PIX</v>
      </c>
      <c r="D7209" t="str">
        <f>"23929"</f>
        <v>23929</v>
      </c>
      <c r="E7209" t="str">
        <f t="shared" si="1334"/>
        <v>1</v>
      </c>
      <c r="F7209" t="str">
        <f t="shared" si="1339"/>
        <v>COM</v>
      </c>
      <c r="G7209" t="str">
        <f>"JOEL ARAGAO SALES (864)"</f>
        <v>JOEL ARAGAO SALES (864)</v>
      </c>
      <c r="H7209" t="str">
        <f>"Serv.Prest. 13/10/2025 a 19/10/2025 - PIX: CPF - CHAVE: 052.353.883-99"</f>
        <v>Serv.Prest. 13/10/2025 a 19/10/2025 - PIX: CPF - CHAVE: 052.353.883-99</v>
      </c>
      <c r="I7209" t="str">
        <f t="shared" si="1335"/>
        <v>23/10/2025</v>
      </c>
      <c r="J7209" t="str">
        <f t="shared" si="1337"/>
        <v>21/10/2025</v>
      </c>
      <c r="K7209" t="str">
        <f>("23/10/2025")</f>
        <v>23/10/2025</v>
      </c>
      <c r="L7209">
        <v>133</v>
      </c>
      <c r="M7209">
        <v>133</v>
      </c>
      <c r="N7209">
        <v>109</v>
      </c>
      <c r="O7209" t="str">
        <f>"PAGAMENTO DE ENTREGADORES"</f>
        <v>PAGAMENTO DE ENTREGADORES</v>
      </c>
      <c r="P7209">
        <v>133</v>
      </c>
      <c r="S7209" t="str">
        <f>"BANCO C6 (149)"</f>
        <v>BANCO C6 (149)</v>
      </c>
      <c r="T7209">
        <v>21917</v>
      </c>
      <c r="U7209">
        <v>23929</v>
      </c>
      <c r="V7209" t="s">
        <v>77</v>
      </c>
    </row>
    <row r="7210" spans="1:22">
      <c r="A7210" t="str">
        <f t="shared" si="1338"/>
        <v>23/10/2025</v>
      </c>
      <c r="B7210" t="str">
        <f t="shared" si="1332"/>
        <v>SAÍDA</v>
      </c>
      <c r="C7210" t="str">
        <f t="shared" si="1333"/>
        <v>PIX</v>
      </c>
      <c r="D7210" t="str">
        <f>"23929"</f>
        <v>23929</v>
      </c>
      <c r="E7210" t="str">
        <f t="shared" si="1334"/>
        <v>1</v>
      </c>
      <c r="F7210" t="str">
        <f t="shared" si="1339"/>
        <v>COM</v>
      </c>
      <c r="G7210" t="str">
        <f>"JOEL ARAGAO SALES (864)"</f>
        <v>JOEL ARAGAO SALES (864)</v>
      </c>
      <c r="H7210" t="s">
        <v>1864</v>
      </c>
      <c r="I7210" t="str">
        <f t="shared" si="1335"/>
        <v>23/10/2025</v>
      </c>
      <c r="J7210" t="str">
        <f t="shared" si="1337"/>
        <v>21/10/2025</v>
      </c>
      <c r="K7210">
        <v>45953</v>
      </c>
      <c r="N7210">
        <v>109</v>
      </c>
      <c r="O7210" t="s">
        <v>24</v>
      </c>
      <c r="Q7210">
        <v>133</v>
      </c>
      <c r="R7210" t="str">
        <f>"DROGARIA MEDIC CENTER LTDA (10172)"</f>
        <v>DROGARIA MEDIC CENTER LTDA (10172)</v>
      </c>
      <c r="S7210" t="s">
        <v>77</v>
      </c>
      <c r="T7210">
        <v>21917</v>
      </c>
      <c r="U7210">
        <v>23929</v>
      </c>
      <c r="V7210" t="s">
        <v>77</v>
      </c>
    </row>
    <row r="7211" spans="1:22">
      <c r="A7211" t="str">
        <f t="shared" si="1338"/>
        <v>23/10/2025</v>
      </c>
      <c r="B7211" t="str">
        <f t="shared" si="1332"/>
        <v>SAÍDA</v>
      </c>
      <c r="C7211" t="str">
        <f t="shared" si="1333"/>
        <v>PIX</v>
      </c>
      <c r="D7211" t="str">
        <f>"23931"</f>
        <v>23931</v>
      </c>
      <c r="E7211" t="str">
        <f t="shared" si="1334"/>
        <v>1</v>
      </c>
      <c r="F7211" t="str">
        <f t="shared" si="1339"/>
        <v>COM</v>
      </c>
      <c r="G7211" t="str">
        <f>"ALLAN SILVA DAMACENA (790)"</f>
        <v>ALLAN SILVA DAMACENA (790)</v>
      </c>
      <c r="H7211" t="str">
        <f>"Serv.Prest. 13/10/2025 a 19/10/2025 - PIX: CELULAR - CHAVE: (19) 98944-4977"</f>
        <v>Serv.Prest. 13/10/2025 a 19/10/2025 - PIX: CELULAR - CHAVE: (19) 98944-4977</v>
      </c>
      <c r="I7211" t="str">
        <f t="shared" si="1335"/>
        <v>23/10/2025</v>
      </c>
      <c r="J7211" t="str">
        <f t="shared" si="1337"/>
        <v>21/10/2025</v>
      </c>
      <c r="K7211" t="str">
        <f>("23/10/2025")</f>
        <v>23/10/2025</v>
      </c>
      <c r="L7211">
        <v>1097</v>
      </c>
      <c r="M7211">
        <v>1097</v>
      </c>
      <c r="N7211">
        <v>109</v>
      </c>
      <c r="O7211" t="str">
        <f>"PAGAMENTO DE ENTREGADORES"</f>
        <v>PAGAMENTO DE ENTREGADORES</v>
      </c>
      <c r="P7211">
        <v>1097</v>
      </c>
      <c r="S7211" t="str">
        <f>"BANCO C6 (149)"</f>
        <v>BANCO C6 (149)</v>
      </c>
      <c r="T7211">
        <v>21918</v>
      </c>
      <c r="U7211">
        <v>23931</v>
      </c>
      <c r="V7211" t="s">
        <v>77</v>
      </c>
    </row>
    <row r="7212" spans="1:22">
      <c r="A7212" t="str">
        <f t="shared" si="1338"/>
        <v>23/10/2025</v>
      </c>
      <c r="B7212" t="str">
        <f t="shared" si="1332"/>
        <v>SAÍDA</v>
      </c>
      <c r="C7212" t="str">
        <f t="shared" si="1333"/>
        <v>PIX</v>
      </c>
      <c r="D7212" t="str">
        <f>"23931"</f>
        <v>23931</v>
      </c>
      <c r="E7212" t="str">
        <f t="shared" si="1334"/>
        <v>1</v>
      </c>
      <c r="F7212" t="str">
        <f t="shared" si="1339"/>
        <v>COM</v>
      </c>
      <c r="G7212" t="str">
        <f>"ALLAN SILVA DAMACENA (790)"</f>
        <v>ALLAN SILVA DAMACENA (790)</v>
      </c>
      <c r="H7212" t="s">
        <v>1884</v>
      </c>
      <c r="I7212" t="str">
        <f t="shared" si="1335"/>
        <v>23/10/2025</v>
      </c>
      <c r="J7212" t="str">
        <f t="shared" si="1337"/>
        <v>21/10/2025</v>
      </c>
      <c r="K7212">
        <v>45953</v>
      </c>
      <c r="N7212">
        <v>109</v>
      </c>
      <c r="O7212" t="s">
        <v>24</v>
      </c>
      <c r="Q7212">
        <v>1097</v>
      </c>
      <c r="R7212" t="str">
        <f>"DROGARIA MORENO LTDA (10171)"</f>
        <v>DROGARIA MORENO LTDA (10171)</v>
      </c>
      <c r="S7212" t="s">
        <v>77</v>
      </c>
      <c r="T7212">
        <v>21918</v>
      </c>
      <c r="U7212">
        <v>23931</v>
      </c>
      <c r="V7212" t="s">
        <v>77</v>
      </c>
    </row>
    <row r="7213" spans="1:22">
      <c r="A7213" t="str">
        <f t="shared" si="1338"/>
        <v>23/10/2025</v>
      </c>
      <c r="B7213" t="str">
        <f t="shared" si="1332"/>
        <v>SAÍDA</v>
      </c>
      <c r="C7213" t="str">
        <f t="shared" si="1333"/>
        <v>PIX</v>
      </c>
      <c r="D7213" t="str">
        <f>"23932"</f>
        <v>23932</v>
      </c>
      <c r="E7213" t="str">
        <f t="shared" si="1334"/>
        <v>1</v>
      </c>
      <c r="F7213" t="str">
        <f t="shared" si="1339"/>
        <v>COM</v>
      </c>
      <c r="G7213" t="str">
        <f>"EDUARDO MARQUES DOS SANTOS (787)"</f>
        <v>EDUARDO MARQUES DOS SANTOS (787)</v>
      </c>
      <c r="H7213" t="str">
        <f>"Serv.Prest. 13/10/2025 a 19/10/2025 - PIX: CELULAR - CHAVE: (11) 97402-1586"</f>
        <v>Serv.Prest. 13/10/2025 a 19/10/2025 - PIX: CELULAR - CHAVE: (11) 97402-1586</v>
      </c>
      <c r="I7213" t="str">
        <f t="shared" si="1335"/>
        <v>23/10/2025</v>
      </c>
      <c r="J7213" t="str">
        <f t="shared" si="1337"/>
        <v>21/10/2025</v>
      </c>
      <c r="K7213" t="str">
        <f>("23/10/2025")</f>
        <v>23/10/2025</v>
      </c>
      <c r="L7213">
        <v>966</v>
      </c>
      <c r="M7213">
        <v>966</v>
      </c>
      <c r="N7213">
        <v>109</v>
      </c>
      <c r="O7213" t="str">
        <f>"PAGAMENTO DE ENTREGADORES"</f>
        <v>PAGAMENTO DE ENTREGADORES</v>
      </c>
      <c r="P7213">
        <v>966</v>
      </c>
      <c r="S7213" t="str">
        <f>"BANCO C6 (149)"</f>
        <v>BANCO C6 (149)</v>
      </c>
      <c r="T7213">
        <v>21919</v>
      </c>
      <c r="U7213">
        <v>23932</v>
      </c>
      <c r="V7213" t="s">
        <v>77</v>
      </c>
    </row>
    <row r="7214" spans="1:22">
      <c r="A7214" t="str">
        <f t="shared" si="1338"/>
        <v>23/10/2025</v>
      </c>
      <c r="B7214" t="str">
        <f t="shared" si="1332"/>
        <v>SAÍDA</v>
      </c>
      <c r="C7214" t="str">
        <f t="shared" si="1333"/>
        <v>PIX</v>
      </c>
      <c r="D7214" t="str">
        <f>"23932"</f>
        <v>23932</v>
      </c>
      <c r="E7214" t="str">
        <f t="shared" si="1334"/>
        <v>1</v>
      </c>
      <c r="F7214" t="str">
        <f t="shared" si="1339"/>
        <v>COM</v>
      </c>
      <c r="G7214" t="str">
        <f>"EDUARDO MARQUES DOS SANTOS (787)"</f>
        <v>EDUARDO MARQUES DOS SANTOS (787)</v>
      </c>
      <c r="H7214" t="s">
        <v>1976</v>
      </c>
      <c r="I7214" t="str">
        <f t="shared" si="1335"/>
        <v>23/10/2025</v>
      </c>
      <c r="J7214" t="str">
        <f t="shared" si="1337"/>
        <v>21/10/2025</v>
      </c>
      <c r="K7214">
        <v>45953</v>
      </c>
      <c r="N7214">
        <v>109</v>
      </c>
      <c r="O7214" t="s">
        <v>24</v>
      </c>
      <c r="Q7214">
        <v>966</v>
      </c>
      <c r="R7214" t="str">
        <f>"DROGARIA MORENO LTDA (10171)"</f>
        <v>DROGARIA MORENO LTDA (10171)</v>
      </c>
      <c r="S7214" t="s">
        <v>77</v>
      </c>
      <c r="T7214">
        <v>21919</v>
      </c>
      <c r="U7214">
        <v>23932</v>
      </c>
      <c r="V7214" t="s">
        <v>77</v>
      </c>
    </row>
    <row r="7215" spans="1:22">
      <c r="A7215" t="str">
        <f t="shared" si="1338"/>
        <v>23/10/2025</v>
      </c>
      <c r="B7215" t="str">
        <f t="shared" si="1332"/>
        <v>SAÍDA</v>
      </c>
      <c r="C7215" t="str">
        <f t="shared" si="1333"/>
        <v>PIX</v>
      </c>
      <c r="D7215" t="str">
        <f>"23933"</f>
        <v>23933</v>
      </c>
      <c r="E7215" t="str">
        <f t="shared" si="1334"/>
        <v>1</v>
      </c>
      <c r="F7215" t="str">
        <f t="shared" si="1339"/>
        <v>COM</v>
      </c>
      <c r="G7215" t="str">
        <f>"PAULO CESAR DE FARIA (865)"</f>
        <v>PAULO CESAR DE FARIA (865)</v>
      </c>
      <c r="H7215" t="str">
        <f>"Serv.Prest. 13/10/2025 a 19/10/2025 - PIX: CELULAR - CHAVE: (11) 99992-0816"</f>
        <v>Serv.Prest. 13/10/2025 a 19/10/2025 - PIX: CELULAR - CHAVE: (11) 99992-0816</v>
      </c>
      <c r="I7215" t="str">
        <f t="shared" si="1335"/>
        <v>23/10/2025</v>
      </c>
      <c r="J7215" t="str">
        <f t="shared" si="1337"/>
        <v>21/10/2025</v>
      </c>
      <c r="K7215" t="str">
        <f>("23/10/2025")</f>
        <v>23/10/2025</v>
      </c>
      <c r="L7215">
        <v>847</v>
      </c>
      <c r="M7215">
        <v>847</v>
      </c>
      <c r="N7215">
        <v>109</v>
      </c>
      <c r="O7215" t="str">
        <f>"PAGAMENTO DE ENTREGADORES"</f>
        <v>PAGAMENTO DE ENTREGADORES</v>
      </c>
      <c r="P7215">
        <v>847</v>
      </c>
      <c r="S7215" t="str">
        <f>"BANCO C6 (149)"</f>
        <v>BANCO C6 (149)</v>
      </c>
      <c r="T7215">
        <v>21920</v>
      </c>
      <c r="U7215">
        <v>23933</v>
      </c>
      <c r="V7215" t="s">
        <v>77</v>
      </c>
    </row>
    <row r="7216" spans="1:22">
      <c r="A7216" t="str">
        <f t="shared" si="1338"/>
        <v>23/10/2025</v>
      </c>
      <c r="B7216" t="str">
        <f t="shared" si="1332"/>
        <v>SAÍDA</v>
      </c>
      <c r="C7216" t="str">
        <f t="shared" si="1333"/>
        <v>PIX</v>
      </c>
      <c r="D7216" t="str">
        <f>"23933"</f>
        <v>23933</v>
      </c>
      <c r="E7216" t="str">
        <f t="shared" si="1334"/>
        <v>1</v>
      </c>
      <c r="F7216" t="str">
        <f t="shared" si="1339"/>
        <v>COM</v>
      </c>
      <c r="G7216" t="str">
        <f>"PAULO CESAR DE FARIA (865)"</f>
        <v>PAULO CESAR DE FARIA (865)</v>
      </c>
      <c r="H7216" t="s">
        <v>1977</v>
      </c>
      <c r="I7216" t="str">
        <f t="shared" si="1335"/>
        <v>23/10/2025</v>
      </c>
      <c r="J7216" t="str">
        <f t="shared" ref="J7216:J7247" si="1340">("21/10/2025")</f>
        <v>21/10/2025</v>
      </c>
      <c r="K7216">
        <v>45953</v>
      </c>
      <c r="N7216">
        <v>109</v>
      </c>
      <c r="O7216" t="s">
        <v>24</v>
      </c>
      <c r="Q7216">
        <v>847</v>
      </c>
      <c r="R7216" t="str">
        <f>"DROGARIA MORENO LTDA (10171)"</f>
        <v>DROGARIA MORENO LTDA (10171)</v>
      </c>
      <c r="S7216" t="s">
        <v>77</v>
      </c>
      <c r="T7216">
        <v>21920</v>
      </c>
      <c r="U7216">
        <v>23933</v>
      </c>
      <c r="V7216" t="s">
        <v>77</v>
      </c>
    </row>
    <row r="7217" spans="1:22">
      <c r="A7217" t="str">
        <f t="shared" si="1338"/>
        <v>23/10/2025</v>
      </c>
      <c r="B7217" t="str">
        <f t="shared" si="1332"/>
        <v>SAÍDA</v>
      </c>
      <c r="C7217" t="str">
        <f t="shared" si="1333"/>
        <v>PIX</v>
      </c>
      <c r="D7217" t="str">
        <f>"23936"</f>
        <v>23936</v>
      </c>
      <c r="E7217" t="str">
        <f t="shared" si="1334"/>
        <v>1</v>
      </c>
      <c r="F7217" t="str">
        <f t="shared" si="1339"/>
        <v>COM</v>
      </c>
      <c r="G7217" t="str">
        <f>"JAMERSON SOUZA LOPES (749)"</f>
        <v>JAMERSON SOUZA LOPES (749)</v>
      </c>
      <c r="H7217" t="str">
        <f>"Serv.Prest. 13/10/2025 a 19/10/2025 - PIX: CPF - CHAVE: 423.098.018-36"</f>
        <v>Serv.Prest. 13/10/2025 a 19/10/2025 - PIX: CPF - CHAVE: 423.098.018-36</v>
      </c>
      <c r="I7217" t="str">
        <f t="shared" si="1335"/>
        <v>23/10/2025</v>
      </c>
      <c r="J7217" t="str">
        <f t="shared" si="1340"/>
        <v>21/10/2025</v>
      </c>
      <c r="K7217" t="str">
        <f>("23/10/2025")</f>
        <v>23/10/2025</v>
      </c>
      <c r="L7217">
        <v>243</v>
      </c>
      <c r="M7217">
        <v>243</v>
      </c>
      <c r="N7217">
        <v>109</v>
      </c>
      <c r="O7217" t="str">
        <f>"PAGAMENTO DE ENTREGADORES"</f>
        <v>PAGAMENTO DE ENTREGADORES</v>
      </c>
      <c r="P7217">
        <v>243</v>
      </c>
      <c r="S7217" t="str">
        <f>"BANCO C6 (149)"</f>
        <v>BANCO C6 (149)</v>
      </c>
      <c r="T7217">
        <v>21921</v>
      </c>
      <c r="U7217">
        <v>23936</v>
      </c>
      <c r="V7217" t="s">
        <v>77</v>
      </c>
    </row>
    <row r="7218" spans="1:22">
      <c r="A7218" t="str">
        <f t="shared" si="1338"/>
        <v>23/10/2025</v>
      </c>
      <c r="B7218" t="str">
        <f t="shared" si="1332"/>
        <v>SAÍDA</v>
      </c>
      <c r="C7218" t="str">
        <f t="shared" si="1333"/>
        <v>PIX</v>
      </c>
      <c r="D7218" t="str">
        <f>"23936"</f>
        <v>23936</v>
      </c>
      <c r="E7218" t="str">
        <f t="shared" si="1334"/>
        <v>1</v>
      </c>
      <c r="F7218" t="str">
        <f t="shared" si="1339"/>
        <v>COM</v>
      </c>
      <c r="G7218" t="str">
        <f>"JAMERSON SOUZA LOPES (749)"</f>
        <v>JAMERSON SOUZA LOPES (749)</v>
      </c>
      <c r="H7218" t="s">
        <v>1887</v>
      </c>
      <c r="I7218" t="str">
        <f t="shared" si="1335"/>
        <v>23/10/2025</v>
      </c>
      <c r="J7218" t="str">
        <f t="shared" si="1340"/>
        <v>21/10/2025</v>
      </c>
      <c r="K7218">
        <v>45953</v>
      </c>
      <c r="N7218">
        <v>109</v>
      </c>
      <c r="O7218" t="s">
        <v>24</v>
      </c>
      <c r="Q7218">
        <v>243</v>
      </c>
      <c r="R7218" t="str">
        <f>"DROGARIA TOTAL JUNDIAI (10177)"</f>
        <v>DROGARIA TOTAL JUNDIAI (10177)</v>
      </c>
      <c r="S7218" t="s">
        <v>77</v>
      </c>
      <c r="T7218">
        <v>21921</v>
      </c>
      <c r="U7218">
        <v>23936</v>
      </c>
      <c r="V7218" t="s">
        <v>77</v>
      </c>
    </row>
    <row r="7219" spans="1:22">
      <c r="A7219" t="str">
        <f t="shared" si="1338"/>
        <v>23/10/2025</v>
      </c>
      <c r="B7219" t="str">
        <f t="shared" si="1332"/>
        <v>SAÍDA</v>
      </c>
      <c r="C7219" t="str">
        <f t="shared" si="1333"/>
        <v>PIX</v>
      </c>
      <c r="D7219" t="str">
        <f>"23938"</f>
        <v>23938</v>
      </c>
      <c r="E7219" t="str">
        <f t="shared" si="1334"/>
        <v>1</v>
      </c>
      <c r="F7219" t="str">
        <f t="shared" si="1339"/>
        <v>COM</v>
      </c>
      <c r="G7219" t="str">
        <f>"BRENO HENRIQUE DE SOUSA (596)"</f>
        <v>BRENO HENRIQUE DE SOUSA (596)</v>
      </c>
      <c r="H7219" t="str">
        <f>"Serv.Prest. 13/10/2025 a 19/10/2025 - PIX: CELULAR - CHAVE: (37) 99146-2630"</f>
        <v>Serv.Prest. 13/10/2025 a 19/10/2025 - PIX: CELULAR - CHAVE: (37) 99146-2630</v>
      </c>
      <c r="I7219" t="str">
        <f t="shared" si="1335"/>
        <v>23/10/2025</v>
      </c>
      <c r="J7219" t="str">
        <f t="shared" si="1340"/>
        <v>21/10/2025</v>
      </c>
      <c r="K7219" t="str">
        <f>("23/10/2025")</f>
        <v>23/10/2025</v>
      </c>
      <c r="L7219">
        <v>1080</v>
      </c>
      <c r="M7219">
        <v>1080</v>
      </c>
      <c r="N7219">
        <v>109</v>
      </c>
      <c r="O7219" t="str">
        <f>"PAGAMENTO DE ENTREGADORES"</f>
        <v>PAGAMENTO DE ENTREGADORES</v>
      </c>
      <c r="P7219">
        <v>1080</v>
      </c>
      <c r="S7219" t="str">
        <f>"BANCO C6 (149)"</f>
        <v>BANCO C6 (149)</v>
      </c>
      <c r="T7219">
        <v>21922</v>
      </c>
      <c r="U7219">
        <v>23938</v>
      </c>
      <c r="V7219" t="s">
        <v>77</v>
      </c>
    </row>
    <row r="7220" spans="1:22">
      <c r="A7220" t="str">
        <f t="shared" si="1338"/>
        <v>23/10/2025</v>
      </c>
      <c r="B7220" t="str">
        <f t="shared" si="1332"/>
        <v>SAÍDA</v>
      </c>
      <c r="C7220" t="str">
        <f t="shared" si="1333"/>
        <v>PIX</v>
      </c>
      <c r="D7220" t="str">
        <f>"23938"</f>
        <v>23938</v>
      </c>
      <c r="E7220" t="str">
        <f t="shared" si="1334"/>
        <v>1</v>
      </c>
      <c r="F7220" t="str">
        <f t="shared" si="1339"/>
        <v>COM</v>
      </c>
      <c r="G7220" t="str">
        <f>"BRENO HENRIQUE DE SOUSA (596)"</f>
        <v>BRENO HENRIQUE DE SOUSA (596)</v>
      </c>
      <c r="H7220" t="s">
        <v>1978</v>
      </c>
      <c r="I7220" t="str">
        <f t="shared" si="1335"/>
        <v>23/10/2025</v>
      </c>
      <c r="J7220" t="str">
        <f t="shared" si="1340"/>
        <v>21/10/2025</v>
      </c>
      <c r="K7220">
        <v>45953</v>
      </c>
      <c r="N7220">
        <v>109</v>
      </c>
      <c r="O7220" t="s">
        <v>24</v>
      </c>
      <c r="Q7220">
        <v>1080</v>
      </c>
      <c r="R7220" t="str">
        <f>"DROGARIA POUPA MINAS (ULTRAMINAS) 1 (10181)"</f>
        <v>DROGARIA POUPA MINAS (ULTRAMINAS) 1 (10181)</v>
      </c>
      <c r="S7220" t="s">
        <v>77</v>
      </c>
      <c r="T7220">
        <v>21922</v>
      </c>
      <c r="U7220">
        <v>23938</v>
      </c>
      <c r="V7220" t="s">
        <v>77</v>
      </c>
    </row>
    <row r="7221" spans="1:22">
      <c r="A7221" t="str">
        <f t="shared" si="1338"/>
        <v>23/10/2025</v>
      </c>
      <c r="B7221" t="str">
        <f t="shared" si="1332"/>
        <v>SAÍDA</v>
      </c>
      <c r="C7221" t="str">
        <f t="shared" si="1333"/>
        <v>PIX</v>
      </c>
      <c r="D7221" t="str">
        <f>"23939"</f>
        <v>23939</v>
      </c>
      <c r="E7221" t="str">
        <f t="shared" si="1334"/>
        <v>1</v>
      </c>
      <c r="F7221" t="str">
        <f t="shared" si="1339"/>
        <v>COM</v>
      </c>
      <c r="G7221" t="str">
        <f>"LUIZ PAULO DE OLIVEIRA (712)"</f>
        <v>LUIZ PAULO DE OLIVEIRA (712)</v>
      </c>
      <c r="H7221" t="str">
        <f>"Serv.Prest. 13/10/2025 a 19/10/2025 - PIX: CPF - CHAVE: 090.332.006-19"</f>
        <v>Serv.Prest. 13/10/2025 a 19/10/2025 - PIX: CPF - CHAVE: 090.332.006-19</v>
      </c>
      <c r="I7221" t="str">
        <f t="shared" si="1335"/>
        <v>23/10/2025</v>
      </c>
      <c r="J7221" t="str">
        <f t="shared" si="1340"/>
        <v>21/10/2025</v>
      </c>
      <c r="K7221" t="str">
        <f>("23/10/2025")</f>
        <v>23/10/2025</v>
      </c>
      <c r="L7221">
        <v>1380</v>
      </c>
      <c r="M7221">
        <v>1380</v>
      </c>
      <c r="N7221">
        <v>109</v>
      </c>
      <c r="O7221" t="str">
        <f>"PAGAMENTO DE ENTREGADORES"</f>
        <v>PAGAMENTO DE ENTREGADORES</v>
      </c>
      <c r="P7221">
        <v>1380</v>
      </c>
      <c r="S7221" t="str">
        <f>"BANCO C6 (149)"</f>
        <v>BANCO C6 (149)</v>
      </c>
      <c r="T7221">
        <v>21923</v>
      </c>
      <c r="U7221">
        <v>23939</v>
      </c>
      <c r="V7221" t="s">
        <v>77</v>
      </c>
    </row>
    <row r="7222" spans="1:22">
      <c r="A7222" t="str">
        <f t="shared" si="1338"/>
        <v>23/10/2025</v>
      </c>
      <c r="B7222" t="str">
        <f t="shared" si="1332"/>
        <v>SAÍDA</v>
      </c>
      <c r="C7222" t="str">
        <f t="shared" si="1333"/>
        <v>PIX</v>
      </c>
      <c r="D7222" t="str">
        <f>"23939"</f>
        <v>23939</v>
      </c>
      <c r="E7222" t="str">
        <f t="shared" si="1334"/>
        <v>1</v>
      </c>
      <c r="F7222" t="str">
        <f t="shared" si="1339"/>
        <v>COM</v>
      </c>
      <c r="G7222" t="str">
        <f>"LUIZ PAULO DE OLIVEIRA (712)"</f>
        <v>LUIZ PAULO DE OLIVEIRA (712)</v>
      </c>
      <c r="H7222" t="s">
        <v>1979</v>
      </c>
      <c r="I7222" t="str">
        <f t="shared" si="1335"/>
        <v>23/10/2025</v>
      </c>
      <c r="J7222" t="str">
        <f t="shared" si="1340"/>
        <v>21/10/2025</v>
      </c>
      <c r="K7222">
        <v>45953</v>
      </c>
      <c r="N7222">
        <v>109</v>
      </c>
      <c r="O7222" t="s">
        <v>24</v>
      </c>
      <c r="Q7222">
        <v>1380</v>
      </c>
      <c r="R7222" t="str">
        <f>"DROGARIA POUPA MINAS (ULTRAMINAS) 1 (10181)"</f>
        <v>DROGARIA POUPA MINAS (ULTRAMINAS) 1 (10181)</v>
      </c>
      <c r="S7222" t="s">
        <v>77</v>
      </c>
      <c r="T7222">
        <v>21923</v>
      </c>
      <c r="U7222">
        <v>23939</v>
      </c>
      <c r="V7222" t="s">
        <v>77</v>
      </c>
    </row>
    <row r="7223" spans="1:22">
      <c r="A7223" t="str">
        <f t="shared" si="1338"/>
        <v>23/10/2025</v>
      </c>
      <c r="B7223" t="str">
        <f t="shared" si="1332"/>
        <v>SAÍDA</v>
      </c>
      <c r="C7223" t="str">
        <f t="shared" si="1333"/>
        <v>PIX</v>
      </c>
      <c r="D7223" t="str">
        <f>"23940"</f>
        <v>23940</v>
      </c>
      <c r="E7223" t="str">
        <f t="shared" si="1334"/>
        <v>1</v>
      </c>
      <c r="F7223" t="str">
        <f t="shared" si="1339"/>
        <v>COM</v>
      </c>
      <c r="G7223" t="str">
        <f>"RICHARD HENRIQUE DA SILVA (244)"</f>
        <v>RICHARD HENRIQUE DA SILVA (244)</v>
      </c>
      <c r="H7223" t="str">
        <f>"Serv.Prest. 13/10/2025 a 19/10/2025 - PIX: CELULAR - CHAVE: (37) 99197-6834"</f>
        <v>Serv.Prest. 13/10/2025 a 19/10/2025 - PIX: CELULAR - CHAVE: (37) 99197-6834</v>
      </c>
      <c r="I7223" t="str">
        <f t="shared" si="1335"/>
        <v>23/10/2025</v>
      </c>
      <c r="J7223" t="str">
        <f t="shared" si="1340"/>
        <v>21/10/2025</v>
      </c>
      <c r="K7223" t="str">
        <f>("23/10/2025")</f>
        <v>23/10/2025</v>
      </c>
      <c r="L7223">
        <v>1440</v>
      </c>
      <c r="M7223">
        <v>1440</v>
      </c>
      <c r="N7223">
        <v>109</v>
      </c>
      <c r="O7223" t="str">
        <f>"PAGAMENTO DE ENTREGADORES"</f>
        <v>PAGAMENTO DE ENTREGADORES</v>
      </c>
      <c r="P7223">
        <v>1440</v>
      </c>
      <c r="S7223" t="str">
        <f>"BANCO C6 (149)"</f>
        <v>BANCO C6 (149)</v>
      </c>
      <c r="T7223">
        <v>21924</v>
      </c>
      <c r="U7223">
        <v>23940</v>
      </c>
      <c r="V7223" t="s">
        <v>77</v>
      </c>
    </row>
    <row r="7224" spans="1:22">
      <c r="A7224" t="str">
        <f t="shared" si="1338"/>
        <v>23/10/2025</v>
      </c>
      <c r="B7224" t="str">
        <f t="shared" si="1332"/>
        <v>SAÍDA</v>
      </c>
      <c r="C7224" t="str">
        <f t="shared" si="1333"/>
        <v>PIX</v>
      </c>
      <c r="D7224" t="str">
        <f>"23940"</f>
        <v>23940</v>
      </c>
      <c r="E7224" t="str">
        <f t="shared" si="1334"/>
        <v>1</v>
      </c>
      <c r="F7224" t="str">
        <f t="shared" si="1339"/>
        <v>COM</v>
      </c>
      <c r="G7224" t="str">
        <f>"RICHARD HENRIQUE DA SILVA (244)"</f>
        <v>RICHARD HENRIQUE DA SILVA (244)</v>
      </c>
      <c r="H7224" t="s">
        <v>1980</v>
      </c>
      <c r="I7224" t="str">
        <f t="shared" si="1335"/>
        <v>23/10/2025</v>
      </c>
      <c r="J7224" t="str">
        <f t="shared" si="1340"/>
        <v>21/10/2025</v>
      </c>
      <c r="K7224">
        <v>45953</v>
      </c>
      <c r="N7224">
        <v>109</v>
      </c>
      <c r="O7224" t="s">
        <v>24</v>
      </c>
      <c r="Q7224">
        <v>1440</v>
      </c>
      <c r="R7224" t="str">
        <f>"DROGARIA POUPA MINAS (ULTRAMINAS) 1 (10181)"</f>
        <v>DROGARIA POUPA MINAS (ULTRAMINAS) 1 (10181)</v>
      </c>
      <c r="S7224" t="s">
        <v>77</v>
      </c>
      <c r="T7224">
        <v>21924</v>
      </c>
      <c r="U7224">
        <v>23940</v>
      </c>
      <c r="V7224" t="s">
        <v>77</v>
      </c>
    </row>
    <row r="7225" spans="1:22">
      <c r="A7225" t="str">
        <f t="shared" si="1338"/>
        <v>23/10/2025</v>
      </c>
      <c r="B7225" t="str">
        <f t="shared" si="1332"/>
        <v>SAÍDA</v>
      </c>
      <c r="C7225" t="str">
        <f t="shared" si="1333"/>
        <v>PIX</v>
      </c>
      <c r="D7225" t="str">
        <f>"23941"</f>
        <v>23941</v>
      </c>
      <c r="E7225" t="str">
        <f t="shared" si="1334"/>
        <v>1</v>
      </c>
      <c r="F7225" t="str">
        <f t="shared" si="1339"/>
        <v>COM</v>
      </c>
      <c r="G7225" t="str">
        <f>"ROGERIO AUGUSTO FERREIRA (649)"</f>
        <v>ROGERIO AUGUSTO FERREIRA (649)</v>
      </c>
      <c r="H7225" t="str">
        <f>"Serv.Prest. 13/10/2025 a 19/10/2025 - PIX: CPF - CHAVE: 950.176.406-06"</f>
        <v>Serv.Prest. 13/10/2025 a 19/10/2025 - PIX: CPF - CHAVE: 950.176.406-06</v>
      </c>
      <c r="I7225" t="str">
        <f t="shared" si="1335"/>
        <v>23/10/2025</v>
      </c>
      <c r="J7225" t="str">
        <f t="shared" si="1340"/>
        <v>21/10/2025</v>
      </c>
      <c r="K7225" t="str">
        <f>("23/10/2025")</f>
        <v>23/10/2025</v>
      </c>
      <c r="L7225">
        <v>1080</v>
      </c>
      <c r="M7225">
        <v>1080</v>
      </c>
      <c r="N7225">
        <v>109</v>
      </c>
      <c r="O7225" t="str">
        <f>"PAGAMENTO DE ENTREGADORES"</f>
        <v>PAGAMENTO DE ENTREGADORES</v>
      </c>
      <c r="P7225">
        <v>1080</v>
      </c>
      <c r="S7225" t="str">
        <f>"BANCO C6 (149)"</f>
        <v>BANCO C6 (149)</v>
      </c>
      <c r="T7225">
        <v>21925</v>
      </c>
      <c r="U7225">
        <v>23941</v>
      </c>
      <c r="V7225" t="s">
        <v>77</v>
      </c>
    </row>
    <row r="7226" spans="1:22">
      <c r="A7226" t="str">
        <f t="shared" si="1338"/>
        <v>23/10/2025</v>
      </c>
      <c r="B7226" t="str">
        <f t="shared" ref="B7226:B7279" si="1341">"SAÍDA"</f>
        <v>SAÍDA</v>
      </c>
      <c r="C7226" t="str">
        <f t="shared" si="1333"/>
        <v>PIX</v>
      </c>
      <c r="D7226" t="str">
        <f>"23941"</f>
        <v>23941</v>
      </c>
      <c r="E7226" t="str">
        <f t="shared" si="1334"/>
        <v>1</v>
      </c>
      <c r="F7226" t="str">
        <f t="shared" si="1339"/>
        <v>COM</v>
      </c>
      <c r="G7226" t="str">
        <f>"ROGERIO AUGUSTO FERREIRA (649)"</f>
        <v>ROGERIO AUGUSTO FERREIRA (649)</v>
      </c>
      <c r="H7226" t="s">
        <v>1981</v>
      </c>
      <c r="I7226" t="str">
        <f t="shared" si="1335"/>
        <v>23/10/2025</v>
      </c>
      <c r="J7226" t="str">
        <f t="shared" si="1340"/>
        <v>21/10/2025</v>
      </c>
      <c r="K7226">
        <v>45953</v>
      </c>
      <c r="N7226">
        <v>109</v>
      </c>
      <c r="O7226" t="s">
        <v>24</v>
      </c>
      <c r="Q7226">
        <v>1080</v>
      </c>
      <c r="R7226" t="str">
        <f>"DROGARIA POUPA MINAS (ULTRAMINAS) 1 (10181)"</f>
        <v>DROGARIA POUPA MINAS (ULTRAMINAS) 1 (10181)</v>
      </c>
      <c r="S7226" t="s">
        <v>77</v>
      </c>
      <c r="T7226">
        <v>21925</v>
      </c>
      <c r="U7226">
        <v>23941</v>
      </c>
      <c r="V7226" t="s">
        <v>77</v>
      </c>
    </row>
    <row r="7227" spans="1:22">
      <c r="A7227" t="str">
        <f t="shared" si="1338"/>
        <v>23/10/2025</v>
      </c>
      <c r="B7227" t="str">
        <f t="shared" si="1341"/>
        <v>SAÍDA</v>
      </c>
      <c r="C7227" t="str">
        <f t="shared" si="1333"/>
        <v>PIX</v>
      </c>
      <c r="D7227" t="str">
        <f>"23942"</f>
        <v>23942</v>
      </c>
      <c r="E7227" t="str">
        <f t="shared" si="1334"/>
        <v>1</v>
      </c>
      <c r="F7227" t="str">
        <f t="shared" si="1339"/>
        <v>COM</v>
      </c>
      <c r="G7227" t="str">
        <f>"THALES VINÍCIUS RODRIGUES DE OLIVEIRA (704)"</f>
        <v>THALES VINÍCIUS RODRIGUES DE OLIVEIRA (704)</v>
      </c>
      <c r="H7227" t="str">
        <f>"Serv.Prest. 13/10/2025 a 19/10/2025 - PIX: CELULAR - CHAVE: (37) 99138-1777"</f>
        <v>Serv.Prest. 13/10/2025 a 19/10/2025 - PIX: CELULAR - CHAVE: (37) 99138-1777</v>
      </c>
      <c r="I7227" t="str">
        <f t="shared" si="1335"/>
        <v>23/10/2025</v>
      </c>
      <c r="J7227" t="str">
        <f t="shared" si="1340"/>
        <v>21/10/2025</v>
      </c>
      <c r="K7227" t="str">
        <f>("23/10/2025")</f>
        <v>23/10/2025</v>
      </c>
      <c r="L7227">
        <v>1080</v>
      </c>
      <c r="M7227">
        <v>1080</v>
      </c>
      <c r="N7227">
        <v>109</v>
      </c>
      <c r="O7227" t="str">
        <f>"PAGAMENTO DE ENTREGADORES"</f>
        <v>PAGAMENTO DE ENTREGADORES</v>
      </c>
      <c r="P7227">
        <v>1080</v>
      </c>
      <c r="S7227" t="str">
        <f>"BANCO C6 (149)"</f>
        <v>BANCO C6 (149)</v>
      </c>
      <c r="T7227">
        <v>21926</v>
      </c>
      <c r="U7227">
        <v>23942</v>
      </c>
      <c r="V7227" t="s">
        <v>77</v>
      </c>
    </row>
    <row r="7228" spans="1:22">
      <c r="A7228" t="str">
        <f t="shared" si="1338"/>
        <v>23/10/2025</v>
      </c>
      <c r="B7228" t="str">
        <f t="shared" si="1341"/>
        <v>SAÍDA</v>
      </c>
      <c r="C7228" t="str">
        <f t="shared" ref="C7228:C7278" si="1342">"PIX"</f>
        <v>PIX</v>
      </c>
      <c r="D7228" t="str">
        <f>"23942"</f>
        <v>23942</v>
      </c>
      <c r="E7228" t="str">
        <f t="shared" ref="E7228:E7274" si="1343">"1"</f>
        <v>1</v>
      </c>
      <c r="F7228" t="str">
        <f t="shared" si="1339"/>
        <v>COM</v>
      </c>
      <c r="G7228" t="str">
        <f>"THALES VINÍCIUS RODRIGUES DE OLIVEIRA (704)"</f>
        <v>THALES VINÍCIUS RODRIGUES DE OLIVEIRA (704)</v>
      </c>
      <c r="H7228" t="s">
        <v>1982</v>
      </c>
      <c r="I7228" t="str">
        <f t="shared" si="1335"/>
        <v>23/10/2025</v>
      </c>
      <c r="J7228" t="str">
        <f t="shared" si="1340"/>
        <v>21/10/2025</v>
      </c>
      <c r="K7228">
        <v>45953</v>
      </c>
      <c r="N7228">
        <v>109</v>
      </c>
      <c r="O7228" t="s">
        <v>24</v>
      </c>
      <c r="Q7228">
        <v>1080</v>
      </c>
      <c r="R7228" t="str">
        <f>"DROGARIA POUPA MINAS (ULTRAMINAS) 1 (10181)"</f>
        <v>DROGARIA POUPA MINAS (ULTRAMINAS) 1 (10181)</v>
      </c>
      <c r="S7228" t="s">
        <v>77</v>
      </c>
      <c r="T7228">
        <v>21926</v>
      </c>
      <c r="U7228">
        <v>23942</v>
      </c>
      <c r="V7228" t="s">
        <v>77</v>
      </c>
    </row>
    <row r="7229" spans="1:22">
      <c r="A7229" t="str">
        <f t="shared" si="1338"/>
        <v>23/10/2025</v>
      </c>
      <c r="B7229" t="str">
        <f t="shared" si="1341"/>
        <v>SAÍDA</v>
      </c>
      <c r="C7229" t="str">
        <f t="shared" si="1342"/>
        <v>PIX</v>
      </c>
      <c r="D7229" t="str">
        <f>"23943"</f>
        <v>23943</v>
      </c>
      <c r="E7229" t="str">
        <f t="shared" si="1343"/>
        <v>1</v>
      </c>
      <c r="F7229" t="str">
        <f t="shared" si="1339"/>
        <v>COM</v>
      </c>
      <c r="G7229" t="str">
        <f>"TIAGO VIEIRA (372)"</f>
        <v>TIAGO VIEIRA (372)</v>
      </c>
      <c r="H7229" t="str">
        <f>"Serv.Prest. 13/10/2025 a 19/10/2025 - PIX: CELULAR - CHAVE: (37) 98841-8571"</f>
        <v>Serv.Prest. 13/10/2025 a 19/10/2025 - PIX: CELULAR - CHAVE: (37) 98841-8571</v>
      </c>
      <c r="I7229" t="str">
        <f t="shared" si="1335"/>
        <v>23/10/2025</v>
      </c>
      <c r="J7229" t="str">
        <f t="shared" si="1340"/>
        <v>21/10/2025</v>
      </c>
      <c r="K7229" t="str">
        <f>("23/10/2025")</f>
        <v>23/10/2025</v>
      </c>
      <c r="L7229">
        <v>540</v>
      </c>
      <c r="M7229">
        <v>540</v>
      </c>
      <c r="N7229">
        <v>109</v>
      </c>
      <c r="O7229" t="str">
        <f>"PAGAMENTO DE ENTREGADORES"</f>
        <v>PAGAMENTO DE ENTREGADORES</v>
      </c>
      <c r="P7229">
        <v>540</v>
      </c>
      <c r="S7229" t="str">
        <f>"BANCO C6 (149)"</f>
        <v>BANCO C6 (149)</v>
      </c>
      <c r="T7229">
        <v>21927</v>
      </c>
      <c r="U7229">
        <v>23943</v>
      </c>
      <c r="V7229" t="s">
        <v>77</v>
      </c>
    </row>
    <row r="7230" spans="1:22">
      <c r="A7230" t="str">
        <f t="shared" si="1338"/>
        <v>23/10/2025</v>
      </c>
      <c r="B7230" t="str">
        <f t="shared" si="1341"/>
        <v>SAÍDA</v>
      </c>
      <c r="C7230" t="str">
        <f t="shared" si="1342"/>
        <v>PIX</v>
      </c>
      <c r="D7230" t="str">
        <f>"23943"</f>
        <v>23943</v>
      </c>
      <c r="E7230" t="str">
        <f t="shared" si="1343"/>
        <v>1</v>
      </c>
      <c r="F7230" t="str">
        <f t="shared" si="1339"/>
        <v>COM</v>
      </c>
      <c r="G7230" t="str">
        <f>"TIAGO VIEIRA (372)"</f>
        <v>TIAGO VIEIRA (372)</v>
      </c>
      <c r="H7230" t="s">
        <v>1983</v>
      </c>
      <c r="I7230" t="str">
        <f t="shared" si="1335"/>
        <v>23/10/2025</v>
      </c>
      <c r="J7230" t="str">
        <f t="shared" si="1340"/>
        <v>21/10/2025</v>
      </c>
      <c r="K7230">
        <v>45953</v>
      </c>
      <c r="N7230">
        <v>109</v>
      </c>
      <c r="O7230" t="s">
        <v>24</v>
      </c>
      <c r="Q7230">
        <v>540</v>
      </c>
      <c r="R7230" t="str">
        <f>"DROGARIA POUPA MINAS (ULTRAMINAS) 1 (10181)"</f>
        <v>DROGARIA POUPA MINAS (ULTRAMINAS) 1 (10181)</v>
      </c>
      <c r="S7230" t="s">
        <v>77</v>
      </c>
      <c r="T7230">
        <v>21927</v>
      </c>
      <c r="U7230">
        <v>23943</v>
      </c>
      <c r="V7230" t="s">
        <v>77</v>
      </c>
    </row>
    <row r="7231" spans="1:22">
      <c r="A7231" t="str">
        <f t="shared" si="1338"/>
        <v>23/10/2025</v>
      </c>
      <c r="B7231" t="str">
        <f t="shared" si="1341"/>
        <v>SAÍDA</v>
      </c>
      <c r="C7231" t="str">
        <f t="shared" si="1342"/>
        <v>PIX</v>
      </c>
      <c r="D7231" t="str">
        <f>"23945"</f>
        <v>23945</v>
      </c>
      <c r="E7231" t="str">
        <f t="shared" si="1343"/>
        <v>1</v>
      </c>
      <c r="F7231" t="str">
        <f t="shared" si="1339"/>
        <v>COM</v>
      </c>
      <c r="G7231" t="str">
        <f>"JOCIMAR VAZ FERREIRA (197)"</f>
        <v>JOCIMAR VAZ FERREIRA (197)</v>
      </c>
      <c r="H7231" t="str">
        <f>"Serv.Prest. 13/10/2025 a 19/10/2025 - PIX: CELULAR - CHAVE: (33) 99924-7557"</f>
        <v>Serv.Prest. 13/10/2025 a 19/10/2025 - PIX: CELULAR - CHAVE: (33) 99924-7557</v>
      </c>
      <c r="I7231" t="str">
        <f t="shared" si="1335"/>
        <v>23/10/2025</v>
      </c>
      <c r="J7231" t="str">
        <f t="shared" si="1340"/>
        <v>21/10/2025</v>
      </c>
      <c r="K7231" t="str">
        <f>("23/10/2025")</f>
        <v>23/10/2025</v>
      </c>
      <c r="L7231">
        <v>954</v>
      </c>
      <c r="M7231">
        <v>954</v>
      </c>
      <c r="N7231">
        <v>109</v>
      </c>
      <c r="O7231" t="str">
        <f>"PAGAMENTO DE ENTREGADORES"</f>
        <v>PAGAMENTO DE ENTREGADORES</v>
      </c>
      <c r="P7231">
        <v>954</v>
      </c>
      <c r="S7231" t="str">
        <f>"BANCO C6 (149)"</f>
        <v>BANCO C6 (149)</v>
      </c>
      <c r="T7231">
        <v>21928</v>
      </c>
      <c r="U7231">
        <v>23945</v>
      </c>
      <c r="V7231" t="s">
        <v>77</v>
      </c>
    </row>
    <row r="7232" spans="1:22">
      <c r="A7232" t="str">
        <f t="shared" si="1338"/>
        <v>23/10/2025</v>
      </c>
      <c r="B7232" t="str">
        <f t="shared" si="1341"/>
        <v>SAÍDA</v>
      </c>
      <c r="C7232" t="str">
        <f t="shared" si="1342"/>
        <v>PIX</v>
      </c>
      <c r="D7232" t="str">
        <f>"23945"</f>
        <v>23945</v>
      </c>
      <c r="E7232" t="str">
        <f t="shared" si="1343"/>
        <v>1</v>
      </c>
      <c r="F7232" t="str">
        <f t="shared" si="1339"/>
        <v>COM</v>
      </c>
      <c r="G7232" t="str">
        <f>"JOCIMAR VAZ FERREIRA (197)"</f>
        <v>JOCIMAR VAZ FERREIRA (197)</v>
      </c>
      <c r="H7232" t="s">
        <v>1984</v>
      </c>
      <c r="I7232" t="str">
        <f t="shared" ref="I7232:I7280" si="1344">("23/10/2025")</f>
        <v>23/10/2025</v>
      </c>
      <c r="J7232" t="str">
        <f t="shared" si="1340"/>
        <v>21/10/2025</v>
      </c>
      <c r="K7232">
        <v>45953</v>
      </c>
      <c r="N7232">
        <v>109</v>
      </c>
      <c r="O7232" t="s">
        <v>24</v>
      </c>
      <c r="Q7232">
        <v>954</v>
      </c>
      <c r="R7232" t="str">
        <f>"DROGARIA VAZ (10179)"</f>
        <v>DROGARIA VAZ (10179)</v>
      </c>
      <c r="S7232" t="s">
        <v>77</v>
      </c>
      <c r="T7232">
        <v>21928</v>
      </c>
      <c r="U7232">
        <v>23945</v>
      </c>
      <c r="V7232" t="s">
        <v>77</v>
      </c>
    </row>
    <row r="7233" spans="1:22">
      <c r="A7233" t="str">
        <f t="shared" si="1338"/>
        <v>23/10/2025</v>
      </c>
      <c r="B7233" t="str">
        <f t="shared" si="1341"/>
        <v>SAÍDA</v>
      </c>
      <c r="C7233" t="str">
        <f t="shared" si="1342"/>
        <v>PIX</v>
      </c>
      <c r="D7233" t="str">
        <f>"23947"</f>
        <v>23947</v>
      </c>
      <c r="E7233" t="str">
        <f t="shared" si="1343"/>
        <v>1</v>
      </c>
      <c r="F7233" t="str">
        <f t="shared" si="1339"/>
        <v>COM</v>
      </c>
      <c r="G7233" t="str">
        <f>"SAMUEL SOARES DA SILVA (867)"</f>
        <v>SAMUEL SOARES DA SILVA (867)</v>
      </c>
      <c r="H7233" t="str">
        <f>"Serv.Prest. 13/10/2025 a 19/10/2025 - PIX: CPF - CHAVE: 396.124.108-28"</f>
        <v>Serv.Prest. 13/10/2025 a 19/10/2025 - PIX: CPF - CHAVE: 396.124.108-28</v>
      </c>
      <c r="I7233" t="str">
        <f t="shared" si="1344"/>
        <v>23/10/2025</v>
      </c>
      <c r="J7233" t="str">
        <f t="shared" si="1340"/>
        <v>21/10/2025</v>
      </c>
      <c r="K7233" t="str">
        <f>("23/10/2025")</f>
        <v>23/10/2025</v>
      </c>
      <c r="L7233">
        <v>1408.75</v>
      </c>
      <c r="M7233">
        <v>1408.75</v>
      </c>
      <c r="N7233">
        <v>109</v>
      </c>
      <c r="O7233" t="str">
        <f>"PAGAMENTO DE ENTREGADORES"</f>
        <v>PAGAMENTO DE ENTREGADORES</v>
      </c>
      <c r="P7233">
        <v>1408.75</v>
      </c>
      <c r="S7233" t="str">
        <f>"BANCO C6 (149)"</f>
        <v>BANCO C6 (149)</v>
      </c>
      <c r="T7233">
        <v>21929</v>
      </c>
      <c r="U7233">
        <v>23947</v>
      </c>
      <c r="V7233" t="s">
        <v>77</v>
      </c>
    </row>
    <row r="7234" spans="1:22">
      <c r="A7234" t="str">
        <f t="shared" si="1338"/>
        <v>23/10/2025</v>
      </c>
      <c r="B7234" t="str">
        <f t="shared" si="1341"/>
        <v>SAÍDA</v>
      </c>
      <c r="C7234" t="str">
        <f t="shared" si="1342"/>
        <v>PIX</v>
      </c>
      <c r="D7234" t="str">
        <f>"23947"</f>
        <v>23947</v>
      </c>
      <c r="E7234" t="str">
        <f t="shared" si="1343"/>
        <v>1</v>
      </c>
      <c r="F7234" t="str">
        <f t="shared" si="1339"/>
        <v>COM</v>
      </c>
      <c r="G7234" t="str">
        <f>"SAMUEL SOARES DA SILVA (867)"</f>
        <v>SAMUEL SOARES DA SILVA (867)</v>
      </c>
      <c r="H7234" t="s">
        <v>1860</v>
      </c>
      <c r="I7234" t="str">
        <f t="shared" si="1344"/>
        <v>23/10/2025</v>
      </c>
      <c r="J7234" t="str">
        <f t="shared" si="1340"/>
        <v>21/10/2025</v>
      </c>
      <c r="K7234">
        <v>45953</v>
      </c>
      <c r="N7234">
        <v>109</v>
      </c>
      <c r="O7234" t="s">
        <v>24</v>
      </c>
      <c r="Q7234">
        <v>1408.75</v>
      </c>
      <c r="R7234" t="str">
        <f>"DROGA ELIDA (10121)"</f>
        <v>DROGA ELIDA (10121)</v>
      </c>
      <c r="S7234" t="s">
        <v>77</v>
      </c>
      <c r="T7234">
        <v>21929</v>
      </c>
      <c r="U7234">
        <v>23947</v>
      </c>
      <c r="V7234" t="s">
        <v>77</v>
      </c>
    </row>
    <row r="7235" spans="1:22">
      <c r="A7235" t="str">
        <f t="shared" si="1338"/>
        <v>23/10/2025</v>
      </c>
      <c r="B7235" t="str">
        <f t="shared" si="1341"/>
        <v>SAÍDA</v>
      </c>
      <c r="C7235" t="str">
        <f t="shared" si="1342"/>
        <v>PIX</v>
      </c>
      <c r="D7235" t="str">
        <f>"23949"</f>
        <v>23949</v>
      </c>
      <c r="E7235" t="str">
        <f t="shared" si="1343"/>
        <v>1</v>
      </c>
      <c r="F7235" t="str">
        <f t="shared" si="1339"/>
        <v>COM</v>
      </c>
      <c r="G7235" t="str">
        <f>"JOSÉ HENRIQUE RODRIGUES (430)"</f>
        <v>JOSÉ HENRIQUE RODRIGUES (430)</v>
      </c>
      <c r="H7235" t="str">
        <f>"Serv.Prest. 13/10/2025 a 19/10/2025 - PIX: CPF - CHAVE: 100.826.516-04"</f>
        <v>Serv.Prest. 13/10/2025 a 19/10/2025 - PIX: CPF - CHAVE: 100.826.516-04</v>
      </c>
      <c r="I7235" t="str">
        <f t="shared" si="1344"/>
        <v>23/10/2025</v>
      </c>
      <c r="J7235" t="str">
        <f t="shared" si="1340"/>
        <v>21/10/2025</v>
      </c>
      <c r="K7235" t="str">
        <f>("23/10/2025")</f>
        <v>23/10/2025</v>
      </c>
      <c r="L7235">
        <v>900</v>
      </c>
      <c r="M7235">
        <v>900</v>
      </c>
      <c r="N7235">
        <v>109</v>
      </c>
      <c r="O7235" t="str">
        <f>"PAGAMENTO DE ENTREGADORES"</f>
        <v>PAGAMENTO DE ENTREGADORES</v>
      </c>
      <c r="P7235">
        <v>900</v>
      </c>
      <c r="S7235" t="str">
        <f>"BANCO C6 (149)"</f>
        <v>BANCO C6 (149)</v>
      </c>
      <c r="T7235">
        <v>21930</v>
      </c>
      <c r="U7235">
        <v>23949</v>
      </c>
      <c r="V7235" t="s">
        <v>77</v>
      </c>
    </row>
    <row r="7236" spans="1:22">
      <c r="A7236" t="str">
        <f t="shared" si="1338"/>
        <v>23/10/2025</v>
      </c>
      <c r="B7236" t="str">
        <f t="shared" si="1341"/>
        <v>SAÍDA</v>
      </c>
      <c r="C7236" t="str">
        <f t="shared" si="1342"/>
        <v>PIX</v>
      </c>
      <c r="D7236" t="str">
        <f>"23949"</f>
        <v>23949</v>
      </c>
      <c r="E7236" t="str">
        <f t="shared" si="1343"/>
        <v>1</v>
      </c>
      <c r="F7236" t="str">
        <f t="shared" si="1339"/>
        <v>COM</v>
      </c>
      <c r="G7236" t="str">
        <f>"JOSÉ HENRIQUE RODRIGUES (430)"</f>
        <v>JOSÉ HENRIQUE RODRIGUES (430)</v>
      </c>
      <c r="H7236" t="s">
        <v>1985</v>
      </c>
      <c r="I7236" t="str">
        <f t="shared" si="1344"/>
        <v>23/10/2025</v>
      </c>
      <c r="J7236" t="str">
        <f t="shared" si="1340"/>
        <v>21/10/2025</v>
      </c>
      <c r="K7236">
        <v>45953</v>
      </c>
      <c r="N7236">
        <v>109</v>
      </c>
      <c r="O7236" t="s">
        <v>24</v>
      </c>
      <c r="Q7236">
        <v>900</v>
      </c>
      <c r="R7236" t="str">
        <f>"PAGMENOS - LJ 608 (10135)"</f>
        <v>PAGMENOS - LJ 608 (10135)</v>
      </c>
      <c r="S7236" t="s">
        <v>77</v>
      </c>
      <c r="T7236">
        <v>21930</v>
      </c>
      <c r="U7236">
        <v>23949</v>
      </c>
      <c r="V7236" t="s">
        <v>77</v>
      </c>
    </row>
    <row r="7237" spans="1:22">
      <c r="A7237" t="str">
        <f t="shared" si="1338"/>
        <v>23/10/2025</v>
      </c>
      <c r="B7237" t="str">
        <f t="shared" si="1341"/>
        <v>SAÍDA</v>
      </c>
      <c r="C7237" t="str">
        <f t="shared" si="1342"/>
        <v>PIX</v>
      </c>
      <c r="D7237" t="str">
        <f>"23950"</f>
        <v>23950</v>
      </c>
      <c r="E7237" t="str">
        <f t="shared" si="1343"/>
        <v>1</v>
      </c>
      <c r="F7237" t="str">
        <f t="shared" si="1339"/>
        <v>COM</v>
      </c>
      <c r="G7237" t="str">
        <f>"TALES SILVA MARIANO (431)"</f>
        <v>TALES SILVA MARIANO (431)</v>
      </c>
      <c r="H7237" t="str">
        <f>"Serv.Prest. 13/10/2025 a 19/10/2025 - PIX: CPF - CHAVE: 126.686.406-79"</f>
        <v>Serv.Prest. 13/10/2025 a 19/10/2025 - PIX: CPF - CHAVE: 126.686.406-79</v>
      </c>
      <c r="I7237" t="str">
        <f t="shared" si="1344"/>
        <v>23/10/2025</v>
      </c>
      <c r="J7237" t="str">
        <f t="shared" si="1340"/>
        <v>21/10/2025</v>
      </c>
      <c r="K7237" t="str">
        <f>("23/10/2025")</f>
        <v>23/10/2025</v>
      </c>
      <c r="L7237">
        <v>900</v>
      </c>
      <c r="M7237">
        <v>900</v>
      </c>
      <c r="N7237">
        <v>109</v>
      </c>
      <c r="O7237" t="str">
        <f>"PAGAMENTO DE ENTREGADORES"</f>
        <v>PAGAMENTO DE ENTREGADORES</v>
      </c>
      <c r="P7237">
        <v>900</v>
      </c>
      <c r="S7237" t="str">
        <f>"BANCO C6 (149)"</f>
        <v>BANCO C6 (149)</v>
      </c>
      <c r="T7237">
        <v>21931</v>
      </c>
      <c r="U7237">
        <v>23950</v>
      </c>
      <c r="V7237" t="s">
        <v>77</v>
      </c>
    </row>
    <row r="7238" spans="1:22">
      <c r="A7238" t="str">
        <f t="shared" si="1338"/>
        <v>23/10/2025</v>
      </c>
      <c r="B7238" t="str">
        <f t="shared" si="1341"/>
        <v>SAÍDA</v>
      </c>
      <c r="C7238" t="str">
        <f t="shared" si="1342"/>
        <v>PIX</v>
      </c>
      <c r="D7238" t="str">
        <f>"23950"</f>
        <v>23950</v>
      </c>
      <c r="E7238" t="str">
        <f t="shared" si="1343"/>
        <v>1</v>
      </c>
      <c r="F7238" t="str">
        <f t="shared" si="1339"/>
        <v>COM</v>
      </c>
      <c r="G7238" t="str">
        <f>"TALES SILVA MARIANO (431)"</f>
        <v>TALES SILVA MARIANO (431)</v>
      </c>
      <c r="H7238" t="s">
        <v>1986</v>
      </c>
      <c r="I7238" t="str">
        <f t="shared" si="1344"/>
        <v>23/10/2025</v>
      </c>
      <c r="J7238" t="str">
        <f t="shared" si="1340"/>
        <v>21/10/2025</v>
      </c>
      <c r="K7238">
        <v>45953</v>
      </c>
      <c r="N7238">
        <v>109</v>
      </c>
      <c r="O7238" t="s">
        <v>24</v>
      </c>
      <c r="Q7238">
        <v>900</v>
      </c>
      <c r="R7238" t="str">
        <f>"PAGMENOS - LJ 608 (10135)"</f>
        <v>PAGMENOS - LJ 608 (10135)</v>
      </c>
      <c r="S7238" t="s">
        <v>77</v>
      </c>
      <c r="T7238">
        <v>21931</v>
      </c>
      <c r="U7238">
        <v>23950</v>
      </c>
      <c r="V7238" t="s">
        <v>77</v>
      </c>
    </row>
    <row r="7239" spans="1:22">
      <c r="A7239" t="str">
        <f t="shared" si="1338"/>
        <v>23/10/2025</v>
      </c>
      <c r="B7239" t="str">
        <f t="shared" si="1341"/>
        <v>SAÍDA</v>
      </c>
      <c r="C7239" t="str">
        <f t="shared" si="1342"/>
        <v>PIX</v>
      </c>
      <c r="D7239" t="str">
        <f>"23952"</f>
        <v>23952</v>
      </c>
      <c r="E7239" t="str">
        <f t="shared" si="1343"/>
        <v>1</v>
      </c>
      <c r="F7239" t="str">
        <f t="shared" si="1339"/>
        <v>COM</v>
      </c>
      <c r="G7239" t="str">
        <f>"WILIANA RODRIGUES E RODRIGUES (398)"</f>
        <v>WILIANA RODRIGUES E RODRIGUES (398)</v>
      </c>
      <c r="H7239" t="str">
        <f>"Serv.Prest. 13/10/2025 a 19/10/2025 - PIX: CPF - CHAVE: 016.203.336-27"</f>
        <v>Serv.Prest. 13/10/2025 a 19/10/2025 - PIX: CPF - CHAVE: 016.203.336-27</v>
      </c>
      <c r="I7239" t="str">
        <f t="shared" si="1344"/>
        <v>23/10/2025</v>
      </c>
      <c r="J7239" t="str">
        <f t="shared" si="1340"/>
        <v>21/10/2025</v>
      </c>
      <c r="K7239" t="str">
        <f>("23/10/2025")</f>
        <v>23/10/2025</v>
      </c>
      <c r="L7239">
        <v>1344</v>
      </c>
      <c r="M7239">
        <v>1344</v>
      </c>
      <c r="N7239">
        <v>109</v>
      </c>
      <c r="O7239" t="str">
        <f>"PAGAMENTO DE ENTREGADORES"</f>
        <v>PAGAMENTO DE ENTREGADORES</v>
      </c>
      <c r="P7239">
        <v>1344</v>
      </c>
      <c r="S7239" t="str">
        <f>"BANCO C6 (149)"</f>
        <v>BANCO C6 (149)</v>
      </c>
      <c r="T7239">
        <v>21932</v>
      </c>
      <c r="U7239">
        <v>23952</v>
      </c>
      <c r="V7239" t="s">
        <v>77</v>
      </c>
    </row>
    <row r="7240" spans="1:22">
      <c r="A7240" t="str">
        <f t="shared" si="1338"/>
        <v>23/10/2025</v>
      </c>
      <c r="B7240" t="str">
        <f t="shared" si="1341"/>
        <v>SAÍDA</v>
      </c>
      <c r="C7240" t="str">
        <f t="shared" si="1342"/>
        <v>PIX</v>
      </c>
      <c r="D7240" t="str">
        <f>"23952"</f>
        <v>23952</v>
      </c>
      <c r="E7240" t="str">
        <f t="shared" si="1343"/>
        <v>1</v>
      </c>
      <c r="F7240" t="str">
        <f t="shared" si="1339"/>
        <v>COM</v>
      </c>
      <c r="G7240" t="str">
        <f>"WILIANA RODRIGUES E RODRIGUES (398)"</f>
        <v>WILIANA RODRIGUES E RODRIGUES (398)</v>
      </c>
      <c r="H7240" t="s">
        <v>1987</v>
      </c>
      <c r="I7240" t="str">
        <f t="shared" si="1344"/>
        <v>23/10/2025</v>
      </c>
      <c r="J7240" t="str">
        <f t="shared" si="1340"/>
        <v>21/10/2025</v>
      </c>
      <c r="K7240">
        <v>45953</v>
      </c>
      <c r="N7240">
        <v>109</v>
      </c>
      <c r="O7240" t="s">
        <v>24</v>
      </c>
      <c r="Q7240">
        <v>1344</v>
      </c>
      <c r="R7240" t="str">
        <f>"PAGMENOS - LJ 657 (10136)"</f>
        <v>PAGMENOS - LJ 657 (10136)</v>
      </c>
      <c r="S7240" t="s">
        <v>77</v>
      </c>
      <c r="T7240">
        <v>21932</v>
      </c>
      <c r="U7240">
        <v>23952</v>
      </c>
      <c r="V7240" t="s">
        <v>77</v>
      </c>
    </row>
    <row r="7241" spans="1:22">
      <c r="A7241" t="str">
        <f t="shared" si="1338"/>
        <v>23/10/2025</v>
      </c>
      <c r="B7241" t="str">
        <f t="shared" si="1341"/>
        <v>SAÍDA</v>
      </c>
      <c r="C7241" t="str">
        <f t="shared" si="1342"/>
        <v>PIX</v>
      </c>
      <c r="D7241" t="str">
        <f>"23955"</f>
        <v>23955</v>
      </c>
      <c r="E7241" t="str">
        <f t="shared" si="1343"/>
        <v>1</v>
      </c>
      <c r="F7241" t="str">
        <f t="shared" si="1339"/>
        <v>COM</v>
      </c>
      <c r="G7241" t="str">
        <f>"WILLIAM DA SILVA COSTA (655)"</f>
        <v>WILLIAM DA SILVA COSTA (655)</v>
      </c>
      <c r="H7241" t="str">
        <f>"Serv.Prest. 13/10/2025 a 19/10/2025 - PIX: CELULAR - CHAVE: (64) 97400-9101"</f>
        <v>Serv.Prest. 13/10/2025 a 19/10/2025 - PIX: CELULAR - CHAVE: (64) 97400-9101</v>
      </c>
      <c r="I7241" t="str">
        <f t="shared" si="1344"/>
        <v>23/10/2025</v>
      </c>
      <c r="J7241" t="str">
        <f t="shared" si="1340"/>
        <v>21/10/2025</v>
      </c>
      <c r="K7241" t="str">
        <f>("23/10/2025")</f>
        <v>23/10/2025</v>
      </c>
      <c r="L7241">
        <v>1442</v>
      </c>
      <c r="M7241">
        <v>1442</v>
      </c>
      <c r="N7241">
        <v>109</v>
      </c>
      <c r="O7241" t="str">
        <f>"PAGAMENTO DE ENTREGADORES"</f>
        <v>PAGAMENTO DE ENTREGADORES</v>
      </c>
      <c r="P7241">
        <v>1442</v>
      </c>
      <c r="S7241" t="str">
        <f>"BANCO C6 (149)"</f>
        <v>BANCO C6 (149)</v>
      </c>
      <c r="T7241">
        <v>21933</v>
      </c>
      <c r="U7241">
        <v>23955</v>
      </c>
      <c r="V7241" t="s">
        <v>77</v>
      </c>
    </row>
    <row r="7242" spans="1:22">
      <c r="A7242" t="str">
        <f t="shared" si="1338"/>
        <v>23/10/2025</v>
      </c>
      <c r="B7242" t="str">
        <f t="shared" si="1341"/>
        <v>SAÍDA</v>
      </c>
      <c r="C7242" t="str">
        <f t="shared" si="1342"/>
        <v>PIX</v>
      </c>
      <c r="D7242" t="str">
        <f>"23955"</f>
        <v>23955</v>
      </c>
      <c r="E7242" t="str">
        <f t="shared" si="1343"/>
        <v>1</v>
      </c>
      <c r="F7242" t="str">
        <f t="shared" si="1339"/>
        <v>COM</v>
      </c>
      <c r="G7242" t="str">
        <f>"WILLIAM DA SILVA COSTA (655)"</f>
        <v>WILLIAM DA SILVA COSTA (655)</v>
      </c>
      <c r="H7242" t="s">
        <v>1988</v>
      </c>
      <c r="I7242" t="str">
        <f t="shared" si="1344"/>
        <v>23/10/2025</v>
      </c>
      <c r="J7242" t="str">
        <f t="shared" si="1340"/>
        <v>21/10/2025</v>
      </c>
      <c r="K7242">
        <v>45953</v>
      </c>
      <c r="N7242">
        <v>109</v>
      </c>
      <c r="O7242" t="s">
        <v>24</v>
      </c>
      <c r="Q7242">
        <v>1442</v>
      </c>
      <c r="R7242" t="str">
        <f>"FARMACIA ECONOMIZE (10103)"</f>
        <v>FARMACIA ECONOMIZE (10103)</v>
      </c>
      <c r="S7242" t="s">
        <v>77</v>
      </c>
      <c r="T7242">
        <v>21933</v>
      </c>
      <c r="U7242">
        <v>23955</v>
      </c>
      <c r="V7242" t="s">
        <v>77</v>
      </c>
    </row>
    <row r="7243" spans="1:22">
      <c r="A7243" t="str">
        <f t="shared" si="1338"/>
        <v>23/10/2025</v>
      </c>
      <c r="B7243" t="str">
        <f t="shared" si="1341"/>
        <v>SAÍDA</v>
      </c>
      <c r="C7243" t="str">
        <f t="shared" si="1342"/>
        <v>PIX</v>
      </c>
      <c r="D7243" t="str">
        <f>"23957"</f>
        <v>23957</v>
      </c>
      <c r="E7243" t="str">
        <f t="shared" si="1343"/>
        <v>1</v>
      </c>
      <c r="F7243" t="str">
        <f t="shared" si="1339"/>
        <v>COM</v>
      </c>
      <c r="G7243" t="str">
        <f>"CLAUDIO DOS SANTOS (507)"</f>
        <v>CLAUDIO DOS SANTOS (507)</v>
      </c>
      <c r="H7243" t="str">
        <f>"Serv.Prest. 13/10/2025 a 19/10/2025 - PIX: E-MAIL - CHAVE: claudioverdinho2009@hotmail.com"</f>
        <v>Serv.Prest. 13/10/2025 a 19/10/2025 - PIX: E-MAIL - CHAVE: claudioverdinho2009@hotmail.com</v>
      </c>
      <c r="I7243" t="str">
        <f t="shared" si="1344"/>
        <v>23/10/2025</v>
      </c>
      <c r="J7243" t="str">
        <f t="shared" si="1340"/>
        <v>21/10/2025</v>
      </c>
      <c r="K7243" t="str">
        <f>("23/10/2025")</f>
        <v>23/10/2025</v>
      </c>
      <c r="L7243">
        <v>1050</v>
      </c>
      <c r="M7243">
        <v>1050</v>
      </c>
      <c r="N7243">
        <v>109</v>
      </c>
      <c r="O7243" t="str">
        <f>"PAGAMENTO DE ENTREGADORES"</f>
        <v>PAGAMENTO DE ENTREGADORES</v>
      </c>
      <c r="P7243">
        <v>1050</v>
      </c>
      <c r="S7243" t="str">
        <f>"BANCO C6 (149)"</f>
        <v>BANCO C6 (149)</v>
      </c>
      <c r="T7243">
        <v>21934</v>
      </c>
      <c r="U7243">
        <v>23957</v>
      </c>
      <c r="V7243" t="s">
        <v>77</v>
      </c>
    </row>
    <row r="7244" spans="1:22">
      <c r="A7244" t="str">
        <f t="shared" si="1338"/>
        <v>23/10/2025</v>
      </c>
      <c r="B7244" t="str">
        <f t="shared" si="1341"/>
        <v>SAÍDA</v>
      </c>
      <c r="C7244" t="str">
        <f t="shared" si="1342"/>
        <v>PIX</v>
      </c>
      <c r="D7244" t="str">
        <f>"23957"</f>
        <v>23957</v>
      </c>
      <c r="E7244" t="str">
        <f t="shared" si="1343"/>
        <v>1</v>
      </c>
      <c r="F7244" t="str">
        <f t="shared" si="1339"/>
        <v>COM</v>
      </c>
      <c r="G7244" t="str">
        <f>"CLAUDIO DOS SANTOS (507)"</f>
        <v>CLAUDIO DOS SANTOS (507)</v>
      </c>
      <c r="H7244" t="s">
        <v>1989</v>
      </c>
      <c r="I7244" t="str">
        <f t="shared" si="1344"/>
        <v>23/10/2025</v>
      </c>
      <c r="J7244" t="str">
        <f t="shared" si="1340"/>
        <v>21/10/2025</v>
      </c>
      <c r="K7244">
        <v>45953</v>
      </c>
      <c r="N7244">
        <v>109</v>
      </c>
      <c r="O7244" t="s">
        <v>24</v>
      </c>
      <c r="Q7244">
        <v>1050</v>
      </c>
      <c r="R7244" t="str">
        <f>"JAL FARMACIA E DROGARIA LJ 1 (10137)"</f>
        <v>JAL FARMACIA E DROGARIA LJ 1 (10137)</v>
      </c>
      <c r="S7244" t="s">
        <v>77</v>
      </c>
      <c r="T7244">
        <v>21934</v>
      </c>
      <c r="U7244">
        <v>23957</v>
      </c>
      <c r="V7244" t="s">
        <v>77</v>
      </c>
    </row>
    <row r="7245" spans="1:22">
      <c r="A7245" t="str">
        <f t="shared" si="1338"/>
        <v>23/10/2025</v>
      </c>
      <c r="B7245" t="str">
        <f t="shared" si="1341"/>
        <v>SAÍDA</v>
      </c>
      <c r="C7245" t="str">
        <f t="shared" si="1342"/>
        <v>PIX</v>
      </c>
      <c r="D7245" t="str">
        <f>"23958"</f>
        <v>23958</v>
      </c>
      <c r="E7245" t="str">
        <f t="shared" si="1343"/>
        <v>1</v>
      </c>
      <c r="F7245" t="str">
        <f t="shared" si="1339"/>
        <v>COM</v>
      </c>
      <c r="G7245" t="str">
        <f>"HECTOR LUIS YANEZ QUEZADA (718)"</f>
        <v>HECTOR LUIS YANEZ QUEZADA (718)</v>
      </c>
      <c r="H7245" t="str">
        <f>"Serv.Prest. 13/10/2025 a 19/10/2025 - PIX: CELULAR - CHAVE: (41) 98421-2278"</f>
        <v>Serv.Prest. 13/10/2025 a 19/10/2025 - PIX: CELULAR - CHAVE: (41) 98421-2278</v>
      </c>
      <c r="I7245" t="str">
        <f t="shared" si="1344"/>
        <v>23/10/2025</v>
      </c>
      <c r="J7245" t="str">
        <f t="shared" si="1340"/>
        <v>21/10/2025</v>
      </c>
      <c r="K7245" t="str">
        <f>("23/10/2025")</f>
        <v>23/10/2025</v>
      </c>
      <c r="L7245">
        <v>238</v>
      </c>
      <c r="M7245">
        <v>238</v>
      </c>
      <c r="N7245">
        <v>109</v>
      </c>
      <c r="O7245" t="str">
        <f>"PAGAMENTO DE ENTREGADORES"</f>
        <v>PAGAMENTO DE ENTREGADORES</v>
      </c>
      <c r="P7245">
        <v>238</v>
      </c>
      <c r="S7245" t="str">
        <f>"BANCO C6 (149)"</f>
        <v>BANCO C6 (149)</v>
      </c>
      <c r="T7245">
        <v>21935</v>
      </c>
      <c r="U7245">
        <v>23958</v>
      </c>
      <c r="V7245" t="s">
        <v>77</v>
      </c>
    </row>
    <row r="7246" spans="1:22">
      <c r="A7246" t="str">
        <f t="shared" si="1338"/>
        <v>23/10/2025</v>
      </c>
      <c r="B7246" t="str">
        <f t="shared" si="1341"/>
        <v>SAÍDA</v>
      </c>
      <c r="C7246" t="str">
        <f t="shared" si="1342"/>
        <v>PIX</v>
      </c>
      <c r="D7246" t="str">
        <f>"23958"</f>
        <v>23958</v>
      </c>
      <c r="E7246" t="str">
        <f t="shared" si="1343"/>
        <v>1</v>
      </c>
      <c r="F7246" t="str">
        <f t="shared" si="1339"/>
        <v>COM</v>
      </c>
      <c r="G7246" t="str">
        <f>"HECTOR LUIS YANEZ QUEZADA (718)"</f>
        <v>HECTOR LUIS YANEZ QUEZADA (718)</v>
      </c>
      <c r="H7246" t="s">
        <v>1990</v>
      </c>
      <c r="I7246" t="str">
        <f t="shared" si="1344"/>
        <v>23/10/2025</v>
      </c>
      <c r="J7246" t="str">
        <f t="shared" si="1340"/>
        <v>21/10/2025</v>
      </c>
      <c r="K7246">
        <v>45953</v>
      </c>
      <c r="N7246">
        <v>109</v>
      </c>
      <c r="O7246" t="s">
        <v>24</v>
      </c>
      <c r="Q7246">
        <v>238</v>
      </c>
      <c r="R7246" t="str">
        <f>"JAL FARMACIA E DROGARIA LJ 1 (10137)"</f>
        <v>JAL FARMACIA E DROGARIA LJ 1 (10137)</v>
      </c>
      <c r="S7246" t="s">
        <v>77</v>
      </c>
      <c r="T7246">
        <v>21935</v>
      </c>
      <c r="U7246">
        <v>23958</v>
      </c>
      <c r="V7246" t="s">
        <v>77</v>
      </c>
    </row>
    <row r="7247" spans="1:22">
      <c r="A7247" t="str">
        <f t="shared" si="1338"/>
        <v>23/10/2025</v>
      </c>
      <c r="B7247" t="str">
        <f t="shared" si="1341"/>
        <v>SAÍDA</v>
      </c>
      <c r="C7247" t="str">
        <f t="shared" si="1342"/>
        <v>PIX</v>
      </c>
      <c r="D7247" t="str">
        <f>"23959"</f>
        <v>23959</v>
      </c>
      <c r="E7247" t="str">
        <f t="shared" si="1343"/>
        <v>1</v>
      </c>
      <c r="F7247" t="str">
        <f t="shared" si="1339"/>
        <v>COM</v>
      </c>
      <c r="G7247" t="str">
        <f>"JESSICA BRAHOLKA (837)"</f>
        <v>JESSICA BRAHOLKA (837)</v>
      </c>
      <c r="H7247" t="str">
        <f>"Serv.Prest. 13/10/2025 a 19/10/2025 - PIX: CPF - CHAVE: 124.575.099-20"</f>
        <v>Serv.Prest. 13/10/2025 a 19/10/2025 - PIX: CPF - CHAVE: 124.575.099-20</v>
      </c>
      <c r="I7247" t="str">
        <f t="shared" si="1344"/>
        <v>23/10/2025</v>
      </c>
      <c r="J7247" t="str">
        <f t="shared" si="1340"/>
        <v>21/10/2025</v>
      </c>
      <c r="K7247" t="str">
        <f>("23/10/2025")</f>
        <v>23/10/2025</v>
      </c>
      <c r="L7247">
        <v>532</v>
      </c>
      <c r="M7247">
        <v>532</v>
      </c>
      <c r="N7247">
        <v>109</v>
      </c>
      <c r="O7247" t="str">
        <f>"PAGAMENTO DE ENTREGADORES"</f>
        <v>PAGAMENTO DE ENTREGADORES</v>
      </c>
      <c r="P7247">
        <v>532</v>
      </c>
      <c r="S7247" t="str">
        <f>"BANCO C6 (149)"</f>
        <v>BANCO C6 (149)</v>
      </c>
      <c r="T7247">
        <v>21936</v>
      </c>
      <c r="U7247">
        <v>23959</v>
      </c>
      <c r="V7247" t="s">
        <v>77</v>
      </c>
    </row>
    <row r="7248" spans="1:22">
      <c r="A7248" t="str">
        <f t="shared" si="1338"/>
        <v>23/10/2025</v>
      </c>
      <c r="B7248" t="str">
        <f t="shared" si="1341"/>
        <v>SAÍDA</v>
      </c>
      <c r="C7248" t="str">
        <f t="shared" si="1342"/>
        <v>PIX</v>
      </c>
      <c r="D7248" t="str">
        <f>"23959"</f>
        <v>23959</v>
      </c>
      <c r="E7248" t="str">
        <f t="shared" si="1343"/>
        <v>1</v>
      </c>
      <c r="F7248" t="str">
        <f t="shared" si="1339"/>
        <v>COM</v>
      </c>
      <c r="G7248" t="str">
        <f>"JESSICA BRAHOLKA (837)"</f>
        <v>JESSICA BRAHOLKA (837)</v>
      </c>
      <c r="H7248" t="s">
        <v>1991</v>
      </c>
      <c r="I7248" t="str">
        <f t="shared" si="1344"/>
        <v>23/10/2025</v>
      </c>
      <c r="J7248" t="str">
        <f t="shared" ref="J7248:J7274" si="1345">("21/10/2025")</f>
        <v>21/10/2025</v>
      </c>
      <c r="K7248">
        <v>45953</v>
      </c>
      <c r="N7248">
        <v>109</v>
      </c>
      <c r="O7248" t="s">
        <v>24</v>
      </c>
      <c r="Q7248">
        <v>532</v>
      </c>
      <c r="R7248" t="str">
        <f>"JAL FARMACIA E DROGARIA LJ 1 (10137)"</f>
        <v>JAL FARMACIA E DROGARIA LJ 1 (10137)</v>
      </c>
      <c r="S7248" t="s">
        <v>77</v>
      </c>
      <c r="T7248">
        <v>21936</v>
      </c>
      <c r="U7248">
        <v>23959</v>
      </c>
      <c r="V7248" t="s">
        <v>77</v>
      </c>
    </row>
    <row r="7249" spans="1:22">
      <c r="A7249" t="str">
        <f t="shared" si="1338"/>
        <v>23/10/2025</v>
      </c>
      <c r="B7249" t="str">
        <f t="shared" si="1341"/>
        <v>SAÍDA</v>
      </c>
      <c r="C7249" t="str">
        <f t="shared" si="1342"/>
        <v>PIX</v>
      </c>
      <c r="D7249" t="str">
        <f>"23961"</f>
        <v>23961</v>
      </c>
      <c r="E7249" t="str">
        <f t="shared" si="1343"/>
        <v>1</v>
      </c>
      <c r="F7249" t="str">
        <f t="shared" si="1339"/>
        <v>COM</v>
      </c>
      <c r="G7249" t="str">
        <f>"CLAUDIO DOS SANTOS (507)"</f>
        <v>CLAUDIO DOS SANTOS (507)</v>
      </c>
      <c r="H7249" t="str">
        <f>"Serv.Prest. 13/10/2025 a 19/10/2025 - PIX: E-MAIL - CHAVE: claudioverdinho2009@hotmail.com"</f>
        <v>Serv.Prest. 13/10/2025 a 19/10/2025 - PIX: E-MAIL - CHAVE: claudioverdinho2009@hotmail.com</v>
      </c>
      <c r="I7249" t="str">
        <f t="shared" si="1344"/>
        <v>23/10/2025</v>
      </c>
      <c r="J7249" t="str">
        <f t="shared" si="1345"/>
        <v>21/10/2025</v>
      </c>
      <c r="K7249" t="str">
        <f>("23/10/2025")</f>
        <v>23/10/2025</v>
      </c>
      <c r="L7249">
        <v>121</v>
      </c>
      <c r="M7249">
        <v>121</v>
      </c>
      <c r="N7249">
        <v>109</v>
      </c>
      <c r="O7249" t="str">
        <f>"PAGAMENTO DE ENTREGADORES"</f>
        <v>PAGAMENTO DE ENTREGADORES</v>
      </c>
      <c r="P7249">
        <v>121</v>
      </c>
      <c r="S7249" t="str">
        <f>"BANCO C6 (149)"</f>
        <v>BANCO C6 (149)</v>
      </c>
      <c r="T7249">
        <v>21937</v>
      </c>
      <c r="U7249">
        <v>23961</v>
      </c>
      <c r="V7249" t="s">
        <v>77</v>
      </c>
    </row>
    <row r="7250" spans="1:22">
      <c r="A7250" t="str">
        <f t="shared" si="1338"/>
        <v>23/10/2025</v>
      </c>
      <c r="B7250" t="str">
        <f t="shared" si="1341"/>
        <v>SAÍDA</v>
      </c>
      <c r="C7250" t="str">
        <f t="shared" si="1342"/>
        <v>PIX</v>
      </c>
      <c r="D7250" t="str">
        <f>"23961"</f>
        <v>23961</v>
      </c>
      <c r="E7250" t="str">
        <f t="shared" si="1343"/>
        <v>1</v>
      </c>
      <c r="F7250" t="str">
        <f t="shared" si="1339"/>
        <v>COM</v>
      </c>
      <c r="G7250" t="str">
        <f>"CLAUDIO DOS SANTOS (507)"</f>
        <v>CLAUDIO DOS SANTOS (507)</v>
      </c>
      <c r="H7250" t="s">
        <v>1989</v>
      </c>
      <c r="I7250" t="str">
        <f t="shared" si="1344"/>
        <v>23/10/2025</v>
      </c>
      <c r="J7250" t="str">
        <f t="shared" si="1345"/>
        <v>21/10/2025</v>
      </c>
      <c r="K7250">
        <v>45953</v>
      </c>
      <c r="N7250">
        <v>109</v>
      </c>
      <c r="O7250" t="s">
        <v>24</v>
      </c>
      <c r="Q7250">
        <v>121</v>
      </c>
      <c r="R7250" t="str">
        <f>"JAL FARMACIA E DROGARIA LJ 2 (10138)"</f>
        <v>JAL FARMACIA E DROGARIA LJ 2 (10138)</v>
      </c>
      <c r="S7250" t="s">
        <v>77</v>
      </c>
      <c r="T7250">
        <v>21937</v>
      </c>
      <c r="U7250">
        <v>23961</v>
      </c>
      <c r="V7250" t="s">
        <v>77</v>
      </c>
    </row>
    <row r="7251" spans="1:22">
      <c r="A7251" t="str">
        <f t="shared" si="1338"/>
        <v>23/10/2025</v>
      </c>
      <c r="B7251" t="str">
        <f t="shared" si="1341"/>
        <v>SAÍDA</v>
      </c>
      <c r="C7251" t="str">
        <f t="shared" si="1342"/>
        <v>PIX</v>
      </c>
      <c r="D7251" t="str">
        <f>"23962"</f>
        <v>23962</v>
      </c>
      <c r="E7251" t="str">
        <f t="shared" si="1343"/>
        <v>1</v>
      </c>
      <c r="F7251" t="str">
        <f t="shared" si="1339"/>
        <v>COM</v>
      </c>
      <c r="G7251" t="str">
        <f>"HECTOR LUIS YANEZ QUEZADA (718)"</f>
        <v>HECTOR LUIS YANEZ QUEZADA (718)</v>
      </c>
      <c r="H7251" t="str">
        <f>"Serv.Prest. 13/10/2025 a 19/10/2025 - PIX: CELULAR - CHAVE: (41) 98421-2278"</f>
        <v>Serv.Prest. 13/10/2025 a 19/10/2025 - PIX: CELULAR - CHAVE: (41) 98421-2278</v>
      </c>
      <c r="I7251" t="str">
        <f t="shared" si="1344"/>
        <v>23/10/2025</v>
      </c>
      <c r="J7251" t="str">
        <f t="shared" si="1345"/>
        <v>21/10/2025</v>
      </c>
      <c r="K7251" t="str">
        <f>("23/10/2025")</f>
        <v>23/10/2025</v>
      </c>
      <c r="L7251">
        <v>562</v>
      </c>
      <c r="M7251">
        <v>562</v>
      </c>
      <c r="N7251">
        <v>109</v>
      </c>
      <c r="O7251" t="str">
        <f>"PAGAMENTO DE ENTREGADORES"</f>
        <v>PAGAMENTO DE ENTREGADORES</v>
      </c>
      <c r="P7251">
        <v>562</v>
      </c>
      <c r="S7251" t="str">
        <f>"BANCO C6 (149)"</f>
        <v>BANCO C6 (149)</v>
      </c>
      <c r="T7251">
        <v>21938</v>
      </c>
      <c r="U7251">
        <v>23962</v>
      </c>
      <c r="V7251" t="s">
        <v>77</v>
      </c>
    </row>
    <row r="7252" spans="1:22">
      <c r="A7252" t="str">
        <f t="shared" si="1338"/>
        <v>23/10/2025</v>
      </c>
      <c r="B7252" t="str">
        <f t="shared" si="1341"/>
        <v>SAÍDA</v>
      </c>
      <c r="C7252" t="str">
        <f t="shared" si="1342"/>
        <v>PIX</v>
      </c>
      <c r="D7252" t="str">
        <f>"23962"</f>
        <v>23962</v>
      </c>
      <c r="E7252" t="str">
        <f t="shared" si="1343"/>
        <v>1</v>
      </c>
      <c r="F7252" t="str">
        <f t="shared" si="1339"/>
        <v>COM</v>
      </c>
      <c r="G7252" t="str">
        <f>"HECTOR LUIS YANEZ QUEZADA (718)"</f>
        <v>HECTOR LUIS YANEZ QUEZADA (718)</v>
      </c>
      <c r="H7252" t="s">
        <v>1990</v>
      </c>
      <c r="I7252" t="str">
        <f t="shared" si="1344"/>
        <v>23/10/2025</v>
      </c>
      <c r="J7252" t="str">
        <f t="shared" si="1345"/>
        <v>21/10/2025</v>
      </c>
      <c r="K7252">
        <v>45953</v>
      </c>
      <c r="N7252">
        <v>109</v>
      </c>
      <c r="O7252" t="s">
        <v>24</v>
      </c>
      <c r="Q7252">
        <v>562</v>
      </c>
      <c r="R7252" t="str">
        <f>"JAL FARMACIA E DROGARIA LJ 2 (10138)"</f>
        <v>JAL FARMACIA E DROGARIA LJ 2 (10138)</v>
      </c>
      <c r="S7252" t="s">
        <v>77</v>
      </c>
      <c r="T7252">
        <v>21938</v>
      </c>
      <c r="U7252">
        <v>23962</v>
      </c>
      <c r="V7252" t="s">
        <v>77</v>
      </c>
    </row>
    <row r="7253" spans="1:22">
      <c r="A7253" t="str">
        <f t="shared" ref="A7253:A7280" si="1346">("23/10/2025")</f>
        <v>23/10/2025</v>
      </c>
      <c r="B7253" t="str">
        <f t="shared" si="1341"/>
        <v>SAÍDA</v>
      </c>
      <c r="C7253" t="str">
        <f t="shared" si="1342"/>
        <v>PIX</v>
      </c>
      <c r="D7253" t="str">
        <f>"23963"</f>
        <v>23963</v>
      </c>
      <c r="E7253" t="str">
        <f t="shared" si="1343"/>
        <v>1</v>
      </c>
      <c r="F7253" t="str">
        <f t="shared" ref="F7253:F7278" si="1347">"COM"</f>
        <v>COM</v>
      </c>
      <c r="G7253" t="str">
        <f>"JESSICA BRAHOLKA (837)"</f>
        <v>JESSICA BRAHOLKA (837)</v>
      </c>
      <c r="H7253" t="str">
        <f>"Serv.Prest. 13/10/2025 a 19/10/2025 - PIX: CPF - CHAVE: 124.575.099-20"</f>
        <v>Serv.Prest. 13/10/2025 a 19/10/2025 - PIX: CPF - CHAVE: 124.575.099-20</v>
      </c>
      <c r="I7253" t="str">
        <f t="shared" si="1344"/>
        <v>23/10/2025</v>
      </c>
      <c r="J7253" t="str">
        <f t="shared" si="1345"/>
        <v>21/10/2025</v>
      </c>
      <c r="K7253" t="str">
        <f>("23/10/2025")</f>
        <v>23/10/2025</v>
      </c>
      <c r="L7253">
        <v>604</v>
      </c>
      <c r="M7253">
        <v>604</v>
      </c>
      <c r="N7253">
        <v>109</v>
      </c>
      <c r="O7253" t="str">
        <f>"PAGAMENTO DE ENTREGADORES"</f>
        <v>PAGAMENTO DE ENTREGADORES</v>
      </c>
      <c r="P7253">
        <v>604</v>
      </c>
      <c r="S7253" t="str">
        <f>"BANCO C6 (149)"</f>
        <v>BANCO C6 (149)</v>
      </c>
      <c r="T7253">
        <v>21939</v>
      </c>
      <c r="U7253">
        <v>23963</v>
      </c>
      <c r="V7253" t="s">
        <v>77</v>
      </c>
    </row>
    <row r="7254" spans="1:22">
      <c r="A7254" t="str">
        <f t="shared" si="1346"/>
        <v>23/10/2025</v>
      </c>
      <c r="B7254" t="str">
        <f t="shared" si="1341"/>
        <v>SAÍDA</v>
      </c>
      <c r="C7254" t="str">
        <f t="shared" si="1342"/>
        <v>PIX</v>
      </c>
      <c r="D7254" t="str">
        <f>"23963"</f>
        <v>23963</v>
      </c>
      <c r="E7254" t="str">
        <f t="shared" si="1343"/>
        <v>1</v>
      </c>
      <c r="F7254" t="str">
        <f t="shared" si="1347"/>
        <v>COM</v>
      </c>
      <c r="G7254" t="str">
        <f>"JESSICA BRAHOLKA (837)"</f>
        <v>JESSICA BRAHOLKA (837)</v>
      </c>
      <c r="H7254" t="s">
        <v>1991</v>
      </c>
      <c r="I7254" t="str">
        <f t="shared" si="1344"/>
        <v>23/10/2025</v>
      </c>
      <c r="J7254" t="str">
        <f t="shared" si="1345"/>
        <v>21/10/2025</v>
      </c>
      <c r="K7254">
        <v>45953</v>
      </c>
      <c r="N7254">
        <v>109</v>
      </c>
      <c r="O7254" t="s">
        <v>24</v>
      </c>
      <c r="Q7254">
        <v>604</v>
      </c>
      <c r="R7254" t="str">
        <f>"JAL FARMACIA E DROGARIA LJ 2 (10138)"</f>
        <v>JAL FARMACIA E DROGARIA LJ 2 (10138)</v>
      </c>
      <c r="S7254" t="s">
        <v>77</v>
      </c>
      <c r="T7254">
        <v>21939</v>
      </c>
      <c r="U7254">
        <v>23963</v>
      </c>
      <c r="V7254" t="s">
        <v>77</v>
      </c>
    </row>
    <row r="7255" spans="1:22">
      <c r="A7255" t="str">
        <f t="shared" si="1346"/>
        <v>23/10/2025</v>
      </c>
      <c r="B7255" t="str">
        <f t="shared" si="1341"/>
        <v>SAÍDA</v>
      </c>
      <c r="C7255" t="str">
        <f t="shared" si="1342"/>
        <v>PIX</v>
      </c>
      <c r="D7255" t="str">
        <f>"23965"</f>
        <v>23965</v>
      </c>
      <c r="E7255" t="str">
        <f t="shared" si="1343"/>
        <v>1</v>
      </c>
      <c r="F7255" t="str">
        <f t="shared" si="1347"/>
        <v>COM</v>
      </c>
      <c r="G7255" t="str">
        <f>"BRUNO ANDRADE LESSA (952)"</f>
        <v>BRUNO ANDRADE LESSA (952)</v>
      </c>
      <c r="H7255" t="str">
        <f>"Serv.Prest. 13/10/2025 a 19/10/2025 - PIX: CELULAR - CHAVE: (28) 99988-2177"</f>
        <v>Serv.Prest. 13/10/2025 a 19/10/2025 - PIX: CELULAR - CHAVE: (28) 99988-2177</v>
      </c>
      <c r="I7255" t="str">
        <f t="shared" si="1344"/>
        <v>23/10/2025</v>
      </c>
      <c r="J7255" t="str">
        <f t="shared" si="1345"/>
        <v>21/10/2025</v>
      </c>
      <c r="K7255" t="str">
        <f>("23/10/2025")</f>
        <v>23/10/2025</v>
      </c>
      <c r="L7255">
        <v>580</v>
      </c>
      <c r="M7255">
        <v>580</v>
      </c>
      <c r="N7255">
        <v>109</v>
      </c>
      <c r="O7255" t="str">
        <f>"PAGAMENTO DE ENTREGADORES"</f>
        <v>PAGAMENTO DE ENTREGADORES</v>
      </c>
      <c r="P7255">
        <v>580</v>
      </c>
      <c r="S7255" t="str">
        <f>"BANCO C6 (149)"</f>
        <v>BANCO C6 (149)</v>
      </c>
      <c r="T7255">
        <v>21940</v>
      </c>
      <c r="U7255">
        <v>23965</v>
      </c>
      <c r="V7255" t="s">
        <v>77</v>
      </c>
    </row>
    <row r="7256" spans="1:22">
      <c r="A7256" t="str">
        <f t="shared" si="1346"/>
        <v>23/10/2025</v>
      </c>
      <c r="B7256" t="str">
        <f t="shared" si="1341"/>
        <v>SAÍDA</v>
      </c>
      <c r="C7256" t="str">
        <f t="shared" si="1342"/>
        <v>PIX</v>
      </c>
      <c r="D7256" t="str">
        <f>"23965"</f>
        <v>23965</v>
      </c>
      <c r="E7256" t="str">
        <f t="shared" si="1343"/>
        <v>1</v>
      </c>
      <c r="F7256" t="str">
        <f t="shared" si="1347"/>
        <v>COM</v>
      </c>
      <c r="G7256" t="str">
        <f>"BRUNO ANDRADE LESSA (952)"</f>
        <v>BRUNO ANDRADE LESSA (952)</v>
      </c>
      <c r="H7256" t="s">
        <v>1992</v>
      </c>
      <c r="I7256" t="str">
        <f t="shared" si="1344"/>
        <v>23/10/2025</v>
      </c>
      <c r="J7256" t="str">
        <f t="shared" si="1345"/>
        <v>21/10/2025</v>
      </c>
      <c r="K7256">
        <v>45953</v>
      </c>
      <c r="N7256">
        <v>109</v>
      </c>
      <c r="O7256" t="s">
        <v>24</v>
      </c>
      <c r="Q7256">
        <v>580</v>
      </c>
      <c r="R7256" t="str">
        <f>"LBL FARMACIA LTDA FILIAL (10192)"</f>
        <v>LBL FARMACIA LTDA FILIAL (10192)</v>
      </c>
      <c r="S7256" t="s">
        <v>77</v>
      </c>
      <c r="T7256">
        <v>21940</v>
      </c>
      <c r="U7256">
        <v>23965</v>
      </c>
      <c r="V7256" t="s">
        <v>77</v>
      </c>
    </row>
    <row r="7257" spans="1:22">
      <c r="A7257" t="str">
        <f t="shared" si="1346"/>
        <v>23/10/2025</v>
      </c>
      <c r="B7257" t="str">
        <f t="shared" si="1341"/>
        <v>SAÍDA</v>
      </c>
      <c r="C7257" t="str">
        <f t="shared" si="1342"/>
        <v>PIX</v>
      </c>
      <c r="D7257" t="str">
        <f>"23966"</f>
        <v>23966</v>
      </c>
      <c r="E7257" t="str">
        <f t="shared" si="1343"/>
        <v>1</v>
      </c>
      <c r="F7257" t="str">
        <f t="shared" si="1347"/>
        <v>COM</v>
      </c>
      <c r="G7257" t="str">
        <f>"YAN FILIPUTI CORA (926)"</f>
        <v>YAN FILIPUTI CORA (926)</v>
      </c>
      <c r="H7257" t="str">
        <f>"Serv.Prest. 13/10/2025 a 19/10/2025 - PIX: CELULAR - CHAVE: (28) 98816-4170"</f>
        <v>Serv.Prest. 13/10/2025 a 19/10/2025 - PIX: CELULAR - CHAVE: (28) 98816-4170</v>
      </c>
      <c r="I7257" t="str">
        <f t="shared" si="1344"/>
        <v>23/10/2025</v>
      </c>
      <c r="J7257" t="str">
        <f t="shared" si="1345"/>
        <v>21/10/2025</v>
      </c>
      <c r="K7257" t="str">
        <f>("23/10/2025")</f>
        <v>23/10/2025</v>
      </c>
      <c r="L7257">
        <v>485</v>
      </c>
      <c r="M7257">
        <v>485</v>
      </c>
      <c r="N7257">
        <v>109</v>
      </c>
      <c r="O7257" t="str">
        <f>"PAGAMENTO DE ENTREGADORES"</f>
        <v>PAGAMENTO DE ENTREGADORES</v>
      </c>
      <c r="P7257">
        <v>485</v>
      </c>
      <c r="S7257" t="str">
        <f>"BANCO C6 (149)"</f>
        <v>BANCO C6 (149)</v>
      </c>
      <c r="T7257">
        <v>21941</v>
      </c>
      <c r="U7257">
        <v>23966</v>
      </c>
      <c r="V7257" t="s">
        <v>77</v>
      </c>
    </row>
    <row r="7258" spans="1:22">
      <c r="A7258" t="str">
        <f t="shared" si="1346"/>
        <v>23/10/2025</v>
      </c>
      <c r="B7258" t="str">
        <f t="shared" si="1341"/>
        <v>SAÍDA</v>
      </c>
      <c r="C7258" t="str">
        <f t="shared" si="1342"/>
        <v>PIX</v>
      </c>
      <c r="D7258" t="str">
        <f>"23966"</f>
        <v>23966</v>
      </c>
      <c r="E7258" t="str">
        <f t="shared" si="1343"/>
        <v>1</v>
      </c>
      <c r="F7258" t="str">
        <f t="shared" si="1347"/>
        <v>COM</v>
      </c>
      <c r="G7258" t="str">
        <f>"YAN FILIPUTI CORA (926)"</f>
        <v>YAN FILIPUTI CORA (926)</v>
      </c>
      <c r="H7258" t="s">
        <v>1993</v>
      </c>
      <c r="I7258" t="str">
        <f t="shared" si="1344"/>
        <v>23/10/2025</v>
      </c>
      <c r="J7258" t="str">
        <f t="shared" si="1345"/>
        <v>21/10/2025</v>
      </c>
      <c r="K7258">
        <v>45953</v>
      </c>
      <c r="N7258">
        <v>109</v>
      </c>
      <c r="O7258" t="s">
        <v>24</v>
      </c>
      <c r="Q7258">
        <v>485</v>
      </c>
      <c r="R7258" t="str">
        <f>"LBL FARMACIA LTDA FILIAL (10192)"</f>
        <v>LBL FARMACIA LTDA FILIAL (10192)</v>
      </c>
      <c r="S7258" t="s">
        <v>77</v>
      </c>
      <c r="T7258">
        <v>21941</v>
      </c>
      <c r="U7258">
        <v>23966</v>
      </c>
      <c r="V7258" t="s">
        <v>77</v>
      </c>
    </row>
    <row r="7259" spans="1:22">
      <c r="A7259" t="str">
        <f t="shared" si="1346"/>
        <v>23/10/2025</v>
      </c>
      <c r="B7259" t="str">
        <f t="shared" si="1341"/>
        <v>SAÍDA</v>
      </c>
      <c r="C7259" t="str">
        <f t="shared" si="1342"/>
        <v>PIX</v>
      </c>
      <c r="D7259" t="str">
        <f>"23968"</f>
        <v>23968</v>
      </c>
      <c r="E7259" t="str">
        <f t="shared" si="1343"/>
        <v>1</v>
      </c>
      <c r="F7259" t="str">
        <f t="shared" si="1347"/>
        <v>COM</v>
      </c>
      <c r="G7259" t="str">
        <f>"BRUNO ANDRADE LESSA (952)"</f>
        <v>BRUNO ANDRADE LESSA (952)</v>
      </c>
      <c r="H7259" t="str">
        <f>"Serv.Prest. 13/10/2025 a 19/10/2025 - PIX: CELULAR - CHAVE: (28) 99988-2177"</f>
        <v>Serv.Prest. 13/10/2025 a 19/10/2025 - PIX: CELULAR - CHAVE: (28) 99988-2177</v>
      </c>
      <c r="I7259" t="str">
        <f t="shared" si="1344"/>
        <v>23/10/2025</v>
      </c>
      <c r="J7259" t="str">
        <f t="shared" si="1345"/>
        <v>21/10/2025</v>
      </c>
      <c r="K7259" t="str">
        <f>("23/10/2025")</f>
        <v>23/10/2025</v>
      </c>
      <c r="L7259">
        <v>250</v>
      </c>
      <c r="M7259">
        <v>250</v>
      </c>
      <c r="N7259">
        <v>109</v>
      </c>
      <c r="O7259" t="str">
        <f>"PAGAMENTO DE ENTREGADORES"</f>
        <v>PAGAMENTO DE ENTREGADORES</v>
      </c>
      <c r="P7259">
        <v>250</v>
      </c>
      <c r="S7259" t="str">
        <f>"BANCO C6 (149)"</f>
        <v>BANCO C6 (149)</v>
      </c>
      <c r="T7259">
        <v>21942</v>
      </c>
      <c r="U7259">
        <v>23968</v>
      </c>
      <c r="V7259" t="s">
        <v>77</v>
      </c>
    </row>
    <row r="7260" spans="1:22">
      <c r="A7260" t="str">
        <f t="shared" si="1346"/>
        <v>23/10/2025</v>
      </c>
      <c r="B7260" t="str">
        <f t="shared" si="1341"/>
        <v>SAÍDA</v>
      </c>
      <c r="C7260" t="str">
        <f t="shared" si="1342"/>
        <v>PIX</v>
      </c>
      <c r="D7260" t="str">
        <f>"23968"</f>
        <v>23968</v>
      </c>
      <c r="E7260" t="str">
        <f t="shared" si="1343"/>
        <v>1</v>
      </c>
      <c r="F7260" t="str">
        <f t="shared" si="1347"/>
        <v>COM</v>
      </c>
      <c r="G7260" t="str">
        <f>"BRUNO ANDRADE LESSA (952)"</f>
        <v>BRUNO ANDRADE LESSA (952)</v>
      </c>
      <c r="H7260" t="s">
        <v>1992</v>
      </c>
      <c r="I7260" t="str">
        <f t="shared" si="1344"/>
        <v>23/10/2025</v>
      </c>
      <c r="J7260" t="str">
        <f t="shared" si="1345"/>
        <v>21/10/2025</v>
      </c>
      <c r="K7260">
        <v>45953</v>
      </c>
      <c r="N7260">
        <v>109</v>
      </c>
      <c r="O7260" t="s">
        <v>24</v>
      </c>
      <c r="Q7260">
        <v>250</v>
      </c>
      <c r="R7260" t="str">
        <f>"LBL FARMACIA LTDA (10189)"</f>
        <v>LBL FARMACIA LTDA (10189)</v>
      </c>
      <c r="S7260" t="s">
        <v>77</v>
      </c>
      <c r="T7260">
        <v>21942</v>
      </c>
      <c r="U7260">
        <v>23968</v>
      </c>
      <c r="V7260" t="s">
        <v>77</v>
      </c>
    </row>
    <row r="7261" spans="1:22">
      <c r="A7261" t="str">
        <f t="shared" si="1346"/>
        <v>23/10/2025</v>
      </c>
      <c r="B7261" t="str">
        <f t="shared" si="1341"/>
        <v>SAÍDA</v>
      </c>
      <c r="C7261" t="str">
        <f t="shared" si="1342"/>
        <v>PIX</v>
      </c>
      <c r="D7261" t="str">
        <f>"23969"</f>
        <v>23969</v>
      </c>
      <c r="E7261" t="str">
        <f t="shared" si="1343"/>
        <v>1</v>
      </c>
      <c r="F7261" t="str">
        <f t="shared" si="1347"/>
        <v>COM</v>
      </c>
      <c r="G7261" t="str">
        <f>"YAN FILIPUTI CORA (926)"</f>
        <v>YAN FILIPUTI CORA (926)</v>
      </c>
      <c r="H7261" t="str">
        <f>"Serv.Prest. 13/10/2025 a 19/10/2025 - PIX: CELULAR - CHAVE: (28) 98816-4170"</f>
        <v>Serv.Prest. 13/10/2025 a 19/10/2025 - PIX: CELULAR - CHAVE: (28) 98816-4170</v>
      </c>
      <c r="I7261" t="str">
        <f t="shared" si="1344"/>
        <v>23/10/2025</v>
      </c>
      <c r="J7261" t="str">
        <f t="shared" si="1345"/>
        <v>21/10/2025</v>
      </c>
      <c r="K7261" t="str">
        <f>("23/10/2025")</f>
        <v>23/10/2025</v>
      </c>
      <c r="L7261">
        <v>315</v>
      </c>
      <c r="M7261">
        <v>315</v>
      </c>
      <c r="N7261">
        <v>109</v>
      </c>
      <c r="O7261" t="str">
        <f>"PAGAMENTO DE ENTREGADORES"</f>
        <v>PAGAMENTO DE ENTREGADORES</v>
      </c>
      <c r="P7261">
        <v>315</v>
      </c>
      <c r="S7261" t="str">
        <f>"BANCO C6 (149)"</f>
        <v>BANCO C6 (149)</v>
      </c>
      <c r="T7261">
        <v>21943</v>
      </c>
      <c r="U7261">
        <v>23969</v>
      </c>
      <c r="V7261" t="s">
        <v>77</v>
      </c>
    </row>
    <row r="7262" spans="1:22">
      <c r="A7262" t="str">
        <f t="shared" si="1346"/>
        <v>23/10/2025</v>
      </c>
      <c r="B7262" t="str">
        <f t="shared" si="1341"/>
        <v>SAÍDA</v>
      </c>
      <c r="C7262" t="str">
        <f t="shared" si="1342"/>
        <v>PIX</v>
      </c>
      <c r="D7262" t="str">
        <f>"23969"</f>
        <v>23969</v>
      </c>
      <c r="E7262" t="str">
        <f t="shared" si="1343"/>
        <v>1</v>
      </c>
      <c r="F7262" t="str">
        <f t="shared" si="1347"/>
        <v>COM</v>
      </c>
      <c r="G7262" t="str">
        <f>"YAN FILIPUTI CORA (926)"</f>
        <v>YAN FILIPUTI CORA (926)</v>
      </c>
      <c r="H7262" t="s">
        <v>1993</v>
      </c>
      <c r="I7262" t="str">
        <f t="shared" si="1344"/>
        <v>23/10/2025</v>
      </c>
      <c r="J7262" t="str">
        <f t="shared" si="1345"/>
        <v>21/10/2025</v>
      </c>
      <c r="K7262">
        <v>45953</v>
      </c>
      <c r="N7262">
        <v>109</v>
      </c>
      <c r="O7262" t="s">
        <v>24</v>
      </c>
      <c r="Q7262">
        <v>315</v>
      </c>
      <c r="R7262" t="str">
        <f>"LBL FARMACIA LTDA (10189)"</f>
        <v>LBL FARMACIA LTDA (10189)</v>
      </c>
      <c r="S7262" t="s">
        <v>77</v>
      </c>
      <c r="T7262">
        <v>21943</v>
      </c>
      <c r="U7262">
        <v>23969</v>
      </c>
      <c r="V7262" t="s">
        <v>77</v>
      </c>
    </row>
    <row r="7263" spans="1:22">
      <c r="A7263" t="str">
        <f t="shared" si="1346"/>
        <v>23/10/2025</v>
      </c>
      <c r="B7263" t="str">
        <f t="shared" si="1341"/>
        <v>SAÍDA</v>
      </c>
      <c r="C7263" t="str">
        <f t="shared" si="1342"/>
        <v>PIX</v>
      </c>
      <c r="D7263" t="str">
        <f>"24143"</f>
        <v>24143</v>
      </c>
      <c r="E7263" t="str">
        <f t="shared" si="1343"/>
        <v>1</v>
      </c>
      <c r="F7263" t="str">
        <f t="shared" si="1347"/>
        <v>COM</v>
      </c>
      <c r="G7263" t="str">
        <f>"ALBERTO FARIAS DOS SANTOS JUNIOR (800)"</f>
        <v>ALBERTO FARIAS DOS SANTOS JUNIOR (800)</v>
      </c>
      <c r="H7263" t="str">
        <f>"Serv.Prest. 13/10/2025 a 19/10/2025 - PIX: CELULAR - CHAVE: (71) 99696-7530"</f>
        <v>Serv.Prest. 13/10/2025 a 19/10/2025 - PIX: CELULAR - CHAVE: (71) 99696-7530</v>
      </c>
      <c r="I7263" t="str">
        <f t="shared" si="1344"/>
        <v>23/10/2025</v>
      </c>
      <c r="J7263" t="str">
        <f t="shared" si="1345"/>
        <v>21/10/2025</v>
      </c>
      <c r="K7263" t="str">
        <f>("23/10/2025")</f>
        <v>23/10/2025</v>
      </c>
      <c r="L7263">
        <v>800</v>
      </c>
      <c r="M7263">
        <v>800</v>
      </c>
      <c r="N7263">
        <v>109</v>
      </c>
      <c r="O7263" t="str">
        <f>"PAGAMENTO DE ENTREGADORES"</f>
        <v>PAGAMENTO DE ENTREGADORES</v>
      </c>
      <c r="P7263">
        <v>800</v>
      </c>
      <c r="S7263" t="str">
        <f>"BANCO C6 (149)"</f>
        <v>BANCO C6 (149)</v>
      </c>
      <c r="T7263">
        <v>21944</v>
      </c>
      <c r="U7263">
        <v>24143</v>
      </c>
      <c r="V7263" t="s">
        <v>77</v>
      </c>
    </row>
    <row r="7264" spans="1:22">
      <c r="A7264" t="str">
        <f t="shared" si="1346"/>
        <v>23/10/2025</v>
      </c>
      <c r="B7264" t="str">
        <f t="shared" si="1341"/>
        <v>SAÍDA</v>
      </c>
      <c r="C7264" t="str">
        <f t="shared" si="1342"/>
        <v>PIX</v>
      </c>
      <c r="D7264" t="str">
        <f>"24143"</f>
        <v>24143</v>
      </c>
      <c r="E7264" t="str">
        <f t="shared" si="1343"/>
        <v>1</v>
      </c>
      <c r="F7264" t="str">
        <f t="shared" si="1347"/>
        <v>COM</v>
      </c>
      <c r="G7264" t="str">
        <f>"ALBERTO FARIAS DOS SANTOS JUNIOR (800)"</f>
        <v>ALBERTO FARIAS DOS SANTOS JUNIOR (800)</v>
      </c>
      <c r="H7264" t="s">
        <v>1994</v>
      </c>
      <c r="I7264" t="str">
        <f t="shared" si="1344"/>
        <v>23/10/2025</v>
      </c>
      <c r="J7264" t="str">
        <f t="shared" si="1345"/>
        <v>21/10/2025</v>
      </c>
      <c r="K7264">
        <v>45953</v>
      </c>
      <c r="N7264">
        <v>109</v>
      </c>
      <c r="O7264" t="s">
        <v>24</v>
      </c>
      <c r="Q7264">
        <v>800</v>
      </c>
      <c r="R7264" t="str">
        <f>"DELTA LOJA 2 (10123)"</f>
        <v>DELTA LOJA 2 (10123)</v>
      </c>
      <c r="S7264" t="s">
        <v>77</v>
      </c>
      <c r="T7264">
        <v>21944</v>
      </c>
      <c r="U7264">
        <v>24143</v>
      </c>
      <c r="V7264" t="s">
        <v>77</v>
      </c>
    </row>
    <row r="7265" spans="1:22">
      <c r="A7265" t="str">
        <f t="shared" si="1346"/>
        <v>23/10/2025</v>
      </c>
      <c r="B7265" t="str">
        <f t="shared" si="1341"/>
        <v>SAÍDA</v>
      </c>
      <c r="C7265" t="str">
        <f t="shared" si="1342"/>
        <v>PIX</v>
      </c>
      <c r="D7265" t="str">
        <f>"24144"</f>
        <v>24144</v>
      </c>
      <c r="E7265" t="str">
        <f t="shared" si="1343"/>
        <v>1</v>
      </c>
      <c r="F7265" t="str">
        <f t="shared" si="1347"/>
        <v>COM</v>
      </c>
      <c r="G7265" t="str">
        <f>"EDNUBIA RAMOS ALVES OLIVEIRA (899)"</f>
        <v>EDNUBIA RAMOS ALVES OLIVEIRA (899)</v>
      </c>
      <c r="H7265" t="str">
        <f>"Serv.Prest. 13/10/2025 a 19/10/2025 - PIX: CELULAR - CHAVE: (71) 99214-9256"</f>
        <v>Serv.Prest. 13/10/2025 a 19/10/2025 - PIX: CELULAR - CHAVE: (71) 99214-9256</v>
      </c>
      <c r="I7265" t="str">
        <f t="shared" si="1344"/>
        <v>23/10/2025</v>
      </c>
      <c r="J7265" t="str">
        <f t="shared" si="1345"/>
        <v>21/10/2025</v>
      </c>
      <c r="K7265" t="str">
        <f>("23/10/2025")</f>
        <v>23/10/2025</v>
      </c>
      <c r="L7265">
        <v>750</v>
      </c>
      <c r="M7265">
        <v>750</v>
      </c>
      <c r="N7265">
        <v>109</v>
      </c>
      <c r="O7265" t="str">
        <f>"PAGAMENTO DE ENTREGADORES"</f>
        <v>PAGAMENTO DE ENTREGADORES</v>
      </c>
      <c r="P7265">
        <v>750</v>
      </c>
      <c r="S7265" t="str">
        <f>"BANCO C6 (149)"</f>
        <v>BANCO C6 (149)</v>
      </c>
      <c r="T7265">
        <v>21945</v>
      </c>
      <c r="U7265">
        <v>24144</v>
      </c>
      <c r="V7265" t="s">
        <v>77</v>
      </c>
    </row>
    <row r="7266" spans="1:22">
      <c r="A7266" t="str">
        <f t="shared" si="1346"/>
        <v>23/10/2025</v>
      </c>
      <c r="B7266" t="str">
        <f t="shared" si="1341"/>
        <v>SAÍDA</v>
      </c>
      <c r="C7266" t="str">
        <f t="shared" si="1342"/>
        <v>PIX</v>
      </c>
      <c r="D7266" t="str">
        <f>"24144"</f>
        <v>24144</v>
      </c>
      <c r="E7266" t="str">
        <f t="shared" si="1343"/>
        <v>1</v>
      </c>
      <c r="F7266" t="str">
        <f t="shared" si="1347"/>
        <v>COM</v>
      </c>
      <c r="G7266" t="str">
        <f>"EDNUBIA RAMOS ALVES OLIVEIRA (899)"</f>
        <v>EDNUBIA RAMOS ALVES OLIVEIRA (899)</v>
      </c>
      <c r="H7266" t="s">
        <v>1995</v>
      </c>
      <c r="I7266" t="str">
        <f t="shared" si="1344"/>
        <v>23/10/2025</v>
      </c>
      <c r="J7266" t="str">
        <f t="shared" si="1345"/>
        <v>21/10/2025</v>
      </c>
      <c r="K7266">
        <v>45953</v>
      </c>
      <c r="N7266">
        <v>109</v>
      </c>
      <c r="O7266" t="s">
        <v>24</v>
      </c>
      <c r="Q7266">
        <v>750</v>
      </c>
      <c r="R7266" t="str">
        <f>"DELTA LOJA 2 (10123)"</f>
        <v>DELTA LOJA 2 (10123)</v>
      </c>
      <c r="S7266" t="s">
        <v>77</v>
      </c>
      <c r="T7266">
        <v>21945</v>
      </c>
      <c r="U7266">
        <v>24144</v>
      </c>
      <c r="V7266" t="s">
        <v>77</v>
      </c>
    </row>
    <row r="7267" spans="1:22">
      <c r="A7267" t="str">
        <f t="shared" si="1346"/>
        <v>23/10/2025</v>
      </c>
      <c r="B7267" t="str">
        <f t="shared" si="1341"/>
        <v>SAÍDA</v>
      </c>
      <c r="C7267" t="str">
        <f t="shared" si="1342"/>
        <v>PIX</v>
      </c>
      <c r="D7267" t="str">
        <f>"24145"</f>
        <v>24145</v>
      </c>
      <c r="E7267" t="str">
        <f t="shared" si="1343"/>
        <v>1</v>
      </c>
      <c r="F7267" t="str">
        <f t="shared" si="1347"/>
        <v>COM</v>
      </c>
      <c r="G7267" t="str">
        <f>"EDVAN DA SILVA ALVES (934)"</f>
        <v>EDVAN DA SILVA ALVES (934)</v>
      </c>
      <c r="H7267" t="str">
        <f>"Serv.Prest. 13/10/2025 a 19/10/2025 - PIX: E-MAIL - CHAVE: edvam18.alves@gmail.com"</f>
        <v>Serv.Prest. 13/10/2025 a 19/10/2025 - PIX: E-MAIL - CHAVE: edvam18.alves@gmail.com</v>
      </c>
      <c r="I7267" t="str">
        <f t="shared" si="1344"/>
        <v>23/10/2025</v>
      </c>
      <c r="J7267" t="str">
        <f t="shared" si="1345"/>
        <v>21/10/2025</v>
      </c>
      <c r="K7267" t="str">
        <f>("23/10/2025")</f>
        <v>23/10/2025</v>
      </c>
      <c r="L7267">
        <v>770</v>
      </c>
      <c r="M7267">
        <v>770</v>
      </c>
      <c r="N7267">
        <v>109</v>
      </c>
      <c r="O7267" t="str">
        <f>"PAGAMENTO DE ENTREGADORES"</f>
        <v>PAGAMENTO DE ENTREGADORES</v>
      </c>
      <c r="P7267">
        <v>770</v>
      </c>
      <c r="S7267" t="str">
        <f>"BANCO C6 (149)"</f>
        <v>BANCO C6 (149)</v>
      </c>
      <c r="T7267">
        <v>21946</v>
      </c>
      <c r="U7267">
        <v>24145</v>
      </c>
      <c r="V7267" t="s">
        <v>77</v>
      </c>
    </row>
    <row r="7268" spans="1:22">
      <c r="A7268" t="str">
        <f t="shared" si="1346"/>
        <v>23/10/2025</v>
      </c>
      <c r="B7268" t="str">
        <f t="shared" si="1341"/>
        <v>SAÍDA</v>
      </c>
      <c r="C7268" t="str">
        <f t="shared" si="1342"/>
        <v>PIX</v>
      </c>
      <c r="D7268" t="str">
        <f>"24145"</f>
        <v>24145</v>
      </c>
      <c r="E7268" t="str">
        <f t="shared" si="1343"/>
        <v>1</v>
      </c>
      <c r="F7268" t="str">
        <f t="shared" si="1347"/>
        <v>COM</v>
      </c>
      <c r="G7268" t="str">
        <f>"EDVAN DA SILVA ALVES (934)"</f>
        <v>EDVAN DA SILVA ALVES (934)</v>
      </c>
      <c r="H7268" t="s">
        <v>1996</v>
      </c>
      <c r="I7268" t="str">
        <f t="shared" si="1344"/>
        <v>23/10/2025</v>
      </c>
      <c r="J7268" t="str">
        <f t="shared" si="1345"/>
        <v>21/10/2025</v>
      </c>
      <c r="K7268">
        <v>45953</v>
      </c>
      <c r="N7268">
        <v>109</v>
      </c>
      <c r="O7268" t="s">
        <v>24</v>
      </c>
      <c r="Q7268">
        <v>770</v>
      </c>
      <c r="R7268" t="str">
        <f>"DELTA LOJA 2 (10123)"</f>
        <v>DELTA LOJA 2 (10123)</v>
      </c>
      <c r="S7268" t="s">
        <v>77</v>
      </c>
      <c r="T7268">
        <v>21946</v>
      </c>
      <c r="U7268">
        <v>24145</v>
      </c>
      <c r="V7268" t="s">
        <v>77</v>
      </c>
    </row>
    <row r="7269" spans="1:22">
      <c r="A7269" t="str">
        <f t="shared" si="1346"/>
        <v>23/10/2025</v>
      </c>
      <c r="B7269" t="str">
        <f t="shared" si="1341"/>
        <v>SAÍDA</v>
      </c>
      <c r="C7269" t="str">
        <f t="shared" si="1342"/>
        <v>PIX</v>
      </c>
      <c r="D7269" t="str">
        <f>"24146"</f>
        <v>24146</v>
      </c>
      <c r="E7269" t="str">
        <f t="shared" si="1343"/>
        <v>1</v>
      </c>
      <c r="F7269" t="str">
        <f t="shared" si="1347"/>
        <v>COM</v>
      </c>
      <c r="G7269" t="str">
        <f>"ELIENAI ROSA DO NASCIMENTO (343)"</f>
        <v>ELIENAI ROSA DO NASCIMENTO (343)</v>
      </c>
      <c r="H7269" t="str">
        <f>"Serv.Prest. 13/10/2025 a 19/10/2025 - PIX: CPF - CHAVE: 048.672.645-20"</f>
        <v>Serv.Prest. 13/10/2025 a 19/10/2025 - PIX: CPF - CHAVE: 048.672.645-20</v>
      </c>
      <c r="I7269" t="str">
        <f t="shared" si="1344"/>
        <v>23/10/2025</v>
      </c>
      <c r="J7269" t="str">
        <f t="shared" si="1345"/>
        <v>21/10/2025</v>
      </c>
      <c r="K7269" t="str">
        <f>("23/10/2025")</f>
        <v>23/10/2025</v>
      </c>
      <c r="L7269">
        <v>740</v>
      </c>
      <c r="M7269">
        <v>740</v>
      </c>
      <c r="N7269">
        <v>109</v>
      </c>
      <c r="O7269" t="str">
        <f>"PAGAMENTO DE ENTREGADORES"</f>
        <v>PAGAMENTO DE ENTREGADORES</v>
      </c>
      <c r="P7269">
        <v>740</v>
      </c>
      <c r="S7269" t="str">
        <f>"BANCO C6 (149)"</f>
        <v>BANCO C6 (149)</v>
      </c>
      <c r="T7269">
        <v>21947</v>
      </c>
      <c r="U7269">
        <v>24146</v>
      </c>
      <c r="V7269" t="s">
        <v>77</v>
      </c>
    </row>
    <row r="7270" spans="1:22">
      <c r="A7270" t="str">
        <f t="shared" si="1346"/>
        <v>23/10/2025</v>
      </c>
      <c r="B7270" t="str">
        <f t="shared" si="1341"/>
        <v>SAÍDA</v>
      </c>
      <c r="C7270" t="str">
        <f t="shared" si="1342"/>
        <v>PIX</v>
      </c>
      <c r="D7270" t="str">
        <f>"24146"</f>
        <v>24146</v>
      </c>
      <c r="E7270" t="str">
        <f t="shared" si="1343"/>
        <v>1</v>
      </c>
      <c r="F7270" t="str">
        <f t="shared" si="1347"/>
        <v>COM</v>
      </c>
      <c r="G7270" t="str">
        <f>"ELIENAI ROSA DO NASCIMENTO (343)"</f>
        <v>ELIENAI ROSA DO NASCIMENTO (343)</v>
      </c>
      <c r="H7270" t="s">
        <v>1997</v>
      </c>
      <c r="I7270" t="str">
        <f t="shared" si="1344"/>
        <v>23/10/2025</v>
      </c>
      <c r="J7270" t="str">
        <f t="shared" si="1345"/>
        <v>21/10/2025</v>
      </c>
      <c r="K7270">
        <v>45953</v>
      </c>
      <c r="N7270">
        <v>109</v>
      </c>
      <c r="O7270" t="s">
        <v>24</v>
      </c>
      <c r="Q7270">
        <v>740</v>
      </c>
      <c r="R7270" t="str">
        <f>"DELTA LOJA 2 (10123)"</f>
        <v>DELTA LOJA 2 (10123)</v>
      </c>
      <c r="S7270" t="s">
        <v>77</v>
      </c>
      <c r="T7270">
        <v>21947</v>
      </c>
      <c r="U7270">
        <v>24146</v>
      </c>
      <c r="V7270" t="s">
        <v>77</v>
      </c>
    </row>
    <row r="7271" spans="1:22">
      <c r="A7271" t="str">
        <f t="shared" si="1346"/>
        <v>23/10/2025</v>
      </c>
      <c r="B7271" t="str">
        <f t="shared" si="1341"/>
        <v>SAÍDA</v>
      </c>
      <c r="C7271" t="str">
        <f t="shared" si="1342"/>
        <v>PIX</v>
      </c>
      <c r="D7271" t="str">
        <f>"24147"</f>
        <v>24147</v>
      </c>
      <c r="E7271" t="str">
        <f t="shared" si="1343"/>
        <v>1</v>
      </c>
      <c r="F7271" t="str">
        <f t="shared" si="1347"/>
        <v>COM</v>
      </c>
      <c r="G7271" t="str">
        <f>"JHON CARLOS DOS SANTOS LIMA (995)"</f>
        <v>JHON CARLOS DOS SANTOS LIMA (995)</v>
      </c>
      <c r="H7271" t="str">
        <f>"Serv.Prest. 13/10/2025 a 19/10/2025 - PIX: CELULAR - CHAVE: (71) 98124-7946"</f>
        <v>Serv.Prest. 13/10/2025 a 19/10/2025 - PIX: CELULAR - CHAVE: (71) 98124-7946</v>
      </c>
      <c r="I7271" t="str">
        <f t="shared" si="1344"/>
        <v>23/10/2025</v>
      </c>
      <c r="J7271" t="str">
        <f t="shared" si="1345"/>
        <v>21/10/2025</v>
      </c>
      <c r="K7271" t="str">
        <f>("23/10/2025")</f>
        <v>23/10/2025</v>
      </c>
      <c r="L7271">
        <v>675</v>
      </c>
      <c r="M7271">
        <v>675</v>
      </c>
      <c r="N7271">
        <v>109</v>
      </c>
      <c r="O7271" t="str">
        <f>"PAGAMENTO DE ENTREGADORES"</f>
        <v>PAGAMENTO DE ENTREGADORES</v>
      </c>
      <c r="P7271">
        <v>675</v>
      </c>
      <c r="S7271" t="str">
        <f>"BANCO C6 (149)"</f>
        <v>BANCO C6 (149)</v>
      </c>
      <c r="T7271">
        <v>21948</v>
      </c>
      <c r="U7271">
        <v>24147</v>
      </c>
      <c r="V7271" t="s">
        <v>77</v>
      </c>
    </row>
    <row r="7272" spans="1:22">
      <c r="A7272" t="str">
        <f t="shared" si="1346"/>
        <v>23/10/2025</v>
      </c>
      <c r="B7272" t="str">
        <f t="shared" si="1341"/>
        <v>SAÍDA</v>
      </c>
      <c r="C7272" t="str">
        <f t="shared" si="1342"/>
        <v>PIX</v>
      </c>
      <c r="D7272" t="str">
        <f>"24147"</f>
        <v>24147</v>
      </c>
      <c r="E7272" t="str">
        <f t="shared" si="1343"/>
        <v>1</v>
      </c>
      <c r="F7272" t="str">
        <f t="shared" si="1347"/>
        <v>COM</v>
      </c>
      <c r="G7272" t="str">
        <f>"JHON CARLOS DOS SANTOS LIMA (995)"</f>
        <v>JHON CARLOS DOS SANTOS LIMA (995)</v>
      </c>
      <c r="H7272" t="s">
        <v>1998</v>
      </c>
      <c r="I7272" t="str">
        <f t="shared" si="1344"/>
        <v>23/10/2025</v>
      </c>
      <c r="J7272" t="str">
        <f t="shared" si="1345"/>
        <v>21/10/2025</v>
      </c>
      <c r="K7272">
        <v>45953</v>
      </c>
      <c r="N7272">
        <v>109</v>
      </c>
      <c r="O7272" t="s">
        <v>24</v>
      </c>
      <c r="Q7272">
        <v>675</v>
      </c>
      <c r="R7272" t="str">
        <f>"DELTA LOJA 2 (10123)"</f>
        <v>DELTA LOJA 2 (10123)</v>
      </c>
      <c r="S7272" t="s">
        <v>77</v>
      </c>
      <c r="T7272">
        <v>21948</v>
      </c>
      <c r="U7272">
        <v>24147</v>
      </c>
      <c r="V7272" t="s">
        <v>77</v>
      </c>
    </row>
    <row r="7273" spans="1:22">
      <c r="A7273" t="str">
        <f t="shared" si="1346"/>
        <v>23/10/2025</v>
      </c>
      <c r="B7273" t="str">
        <f t="shared" si="1341"/>
        <v>SAÍDA</v>
      </c>
      <c r="C7273" t="str">
        <f t="shared" si="1342"/>
        <v>PIX</v>
      </c>
      <c r="D7273" t="str">
        <f>"24149"</f>
        <v>24149</v>
      </c>
      <c r="E7273" t="str">
        <f t="shared" si="1343"/>
        <v>1</v>
      </c>
      <c r="F7273" t="str">
        <f t="shared" si="1347"/>
        <v>COM</v>
      </c>
      <c r="G7273" t="str">
        <f>"NILTON ADRIANO SILVA DE JESUS (943)"</f>
        <v>NILTON ADRIANO SILVA DE JESUS (943)</v>
      </c>
      <c r="H7273" t="str">
        <f>"Serv.Prest. 13/10/2025 a 19/10/2025 - PIX: CELULAR - CHAVE: (34) 99772-2954"</f>
        <v>Serv.Prest. 13/10/2025 a 19/10/2025 - PIX: CELULAR - CHAVE: (34) 99772-2954</v>
      </c>
      <c r="I7273" t="str">
        <f t="shared" si="1344"/>
        <v>23/10/2025</v>
      </c>
      <c r="J7273" t="str">
        <f t="shared" si="1345"/>
        <v>21/10/2025</v>
      </c>
      <c r="K7273" t="str">
        <f>("23/10/2025")</f>
        <v>23/10/2025</v>
      </c>
      <c r="L7273">
        <v>1026</v>
      </c>
      <c r="M7273">
        <v>1026</v>
      </c>
      <c r="N7273">
        <v>109</v>
      </c>
      <c r="O7273" t="str">
        <f>"PAGAMENTO DE ENTREGADORES"</f>
        <v>PAGAMENTO DE ENTREGADORES</v>
      </c>
      <c r="P7273">
        <v>1026</v>
      </c>
      <c r="S7273" t="str">
        <f>"BANCO C6 (149)"</f>
        <v>BANCO C6 (149)</v>
      </c>
      <c r="T7273">
        <v>21949</v>
      </c>
      <c r="U7273">
        <v>24149</v>
      </c>
      <c r="V7273" t="s">
        <v>77</v>
      </c>
    </row>
    <row r="7274" spans="1:22">
      <c r="A7274" t="str">
        <f t="shared" si="1346"/>
        <v>23/10/2025</v>
      </c>
      <c r="B7274" t="str">
        <f t="shared" si="1341"/>
        <v>SAÍDA</v>
      </c>
      <c r="C7274" t="str">
        <f t="shared" si="1342"/>
        <v>PIX</v>
      </c>
      <c r="D7274" t="str">
        <f>"24149"</f>
        <v>24149</v>
      </c>
      <c r="E7274" t="str">
        <f t="shared" si="1343"/>
        <v>1</v>
      </c>
      <c r="F7274" t="str">
        <f t="shared" si="1347"/>
        <v>COM</v>
      </c>
      <c r="G7274" t="str">
        <f>"NILTON ADRIANO SILVA DE JESUS (943)"</f>
        <v>NILTON ADRIANO SILVA DE JESUS (943)</v>
      </c>
      <c r="H7274" t="s">
        <v>1999</v>
      </c>
      <c r="I7274" t="str">
        <f t="shared" si="1344"/>
        <v>23/10/2025</v>
      </c>
      <c r="J7274" t="str">
        <f t="shared" si="1345"/>
        <v>21/10/2025</v>
      </c>
      <c r="K7274">
        <v>45953</v>
      </c>
      <c r="N7274">
        <v>109</v>
      </c>
      <c r="O7274" t="s">
        <v>24</v>
      </c>
      <c r="Q7274">
        <v>1026</v>
      </c>
      <c r="R7274" t="str">
        <f>"DROGA HONDA (10149)"</f>
        <v>DROGA HONDA (10149)</v>
      </c>
      <c r="S7274" t="s">
        <v>77</v>
      </c>
      <c r="T7274">
        <v>21949</v>
      </c>
      <c r="U7274">
        <v>24149</v>
      </c>
      <c r="V7274" t="s">
        <v>77</v>
      </c>
    </row>
    <row r="7275" spans="1:22">
      <c r="A7275" t="str">
        <f t="shared" si="1346"/>
        <v>23/10/2025</v>
      </c>
      <c r="B7275" t="str">
        <f t="shared" si="1341"/>
        <v>SAÍDA</v>
      </c>
      <c r="C7275" t="str">
        <f t="shared" si="1342"/>
        <v>PIX</v>
      </c>
      <c r="D7275" t="str">
        <f>"23936"</f>
        <v>23936</v>
      </c>
      <c r="E7275" t="str">
        <f>"2"</f>
        <v>2</v>
      </c>
      <c r="F7275" t="str">
        <f t="shared" si="1347"/>
        <v>COM</v>
      </c>
      <c r="G7275" t="str">
        <f>"JAMERSON SOUZA LOPES (749)"</f>
        <v>JAMERSON SOUZA LOPES (749)</v>
      </c>
      <c r="H7275" t="str">
        <f>"DIARIAS VIAGEM PARA SAO PAULO (PENSE FARMA) - PIX: CPF - CHAVE: 423.098.018-36"</f>
        <v>DIARIAS VIAGEM PARA SAO PAULO (PENSE FARMA) - PIX: CPF - CHAVE: 423.098.018-36</v>
      </c>
      <c r="I7275" t="str">
        <f t="shared" si="1344"/>
        <v>23/10/2025</v>
      </c>
      <c r="J7275" t="str">
        <f>("16/10/2025")</f>
        <v>16/10/2025</v>
      </c>
      <c r="K7275" t="str">
        <f>("23/10/2025")</f>
        <v>23/10/2025</v>
      </c>
      <c r="L7275">
        <v>600</v>
      </c>
      <c r="M7275">
        <v>600</v>
      </c>
      <c r="N7275">
        <v>119</v>
      </c>
      <c r="O7275" t="str">
        <f>"DESPESAS COM VIAGENS OPERACIONAIS"</f>
        <v>DESPESAS COM VIAGENS OPERACIONAIS</v>
      </c>
      <c r="P7275">
        <v>600</v>
      </c>
      <c r="S7275" t="str">
        <f>"BANCO C6 (149)"</f>
        <v>BANCO C6 (149)</v>
      </c>
      <c r="T7275">
        <v>21950</v>
      </c>
      <c r="U7275">
        <v>24154</v>
      </c>
      <c r="V7275" t="s">
        <v>77</v>
      </c>
    </row>
    <row r="7276" spans="1:22">
      <c r="A7276" t="str">
        <f t="shared" si="1346"/>
        <v>23/10/2025</v>
      </c>
      <c r="B7276" t="str">
        <f t="shared" si="1341"/>
        <v>SAÍDA</v>
      </c>
      <c r="C7276" t="str">
        <f t="shared" si="1342"/>
        <v>PIX</v>
      </c>
      <c r="D7276" t="str">
        <f>"23936"</f>
        <v>23936</v>
      </c>
      <c r="E7276" t="str">
        <f>"2"</f>
        <v>2</v>
      </c>
      <c r="F7276" t="str">
        <f t="shared" si="1347"/>
        <v>COM</v>
      </c>
      <c r="G7276" t="str">
        <f>"JAMERSON SOUZA LOPES (749)"</f>
        <v>JAMERSON SOUZA LOPES (749)</v>
      </c>
      <c r="H7276" t="s">
        <v>2000</v>
      </c>
      <c r="I7276" t="str">
        <f t="shared" si="1344"/>
        <v>23/10/2025</v>
      </c>
      <c r="J7276" t="str">
        <f>("16/10/2025")</f>
        <v>16/10/2025</v>
      </c>
      <c r="K7276">
        <v>45953</v>
      </c>
      <c r="N7276">
        <v>119</v>
      </c>
      <c r="O7276" t="s">
        <v>262</v>
      </c>
      <c r="Q7276">
        <v>600</v>
      </c>
      <c r="R7276" t="str">
        <f>"PENSE FARMA 01 (10215)"</f>
        <v>PENSE FARMA 01 (10215)</v>
      </c>
      <c r="S7276" t="s">
        <v>77</v>
      </c>
      <c r="T7276">
        <v>21950</v>
      </c>
      <c r="U7276">
        <v>24154</v>
      </c>
      <c r="V7276" t="s">
        <v>77</v>
      </c>
    </row>
    <row r="7277" spans="1:22">
      <c r="A7277" t="str">
        <f t="shared" si="1346"/>
        <v>23/10/2025</v>
      </c>
      <c r="B7277" t="str">
        <f t="shared" si="1341"/>
        <v>SAÍDA</v>
      </c>
      <c r="C7277" t="str">
        <f t="shared" si="1342"/>
        <v>PIX</v>
      </c>
      <c r="D7277" t="str">
        <f>"2310"</f>
        <v>2310</v>
      </c>
      <c r="E7277" t="str">
        <f>"25"</f>
        <v>25</v>
      </c>
      <c r="F7277" t="str">
        <f t="shared" si="1347"/>
        <v>COM</v>
      </c>
      <c r="G7277" t="str">
        <f>"51.114.831 TANIA CRISTINA JOAQUIM (20120)"</f>
        <v>51.114.831 TANIA CRISTINA JOAQUIM (20120)</v>
      </c>
      <c r="H7277" t="str">
        <f>"PAGAMENTO PRESTACAO DE SERVICOS - PIX CELULAR (11) 99181-5502"</f>
        <v>PAGAMENTO PRESTACAO DE SERVICOS - PIX CELULAR (11) 99181-5502</v>
      </c>
      <c r="I7277" t="str">
        <f t="shared" si="1344"/>
        <v>23/10/2025</v>
      </c>
      <c r="J7277" t="str">
        <f>("13/10/2025")</f>
        <v>13/10/2025</v>
      </c>
      <c r="K7277" t="str">
        <f>("23/10/2025")</f>
        <v>23/10/2025</v>
      </c>
      <c r="L7277">
        <v>625</v>
      </c>
      <c r="M7277">
        <v>625</v>
      </c>
      <c r="N7277">
        <v>114</v>
      </c>
      <c r="O7277" t="str">
        <f>"PRESTADORES DE SERVIÇOS"</f>
        <v>PRESTADORES DE SERVIÇOS</v>
      </c>
      <c r="P7277">
        <v>625</v>
      </c>
      <c r="S7277" t="str">
        <f>"BANCO C6 (149)"</f>
        <v>BANCO C6 (149)</v>
      </c>
      <c r="T7277">
        <v>21951</v>
      </c>
      <c r="U7277">
        <v>24159</v>
      </c>
      <c r="V7277" t="s">
        <v>77</v>
      </c>
    </row>
    <row r="7278" spans="1:22">
      <c r="A7278" t="str">
        <f t="shared" si="1346"/>
        <v>23/10/2025</v>
      </c>
      <c r="B7278" t="str">
        <f t="shared" si="1341"/>
        <v>SAÍDA</v>
      </c>
      <c r="C7278" t="str">
        <f t="shared" si="1342"/>
        <v>PIX</v>
      </c>
      <c r="D7278" t="str">
        <f>"2310"</f>
        <v>2310</v>
      </c>
      <c r="E7278" t="str">
        <f>"25"</f>
        <v>25</v>
      </c>
      <c r="F7278" t="str">
        <f t="shared" si="1347"/>
        <v>COM</v>
      </c>
      <c r="G7278" t="str">
        <f>"51.114.831 TANIA CRISTINA JOAQUIM (20120)"</f>
        <v>51.114.831 TANIA CRISTINA JOAQUIM (20120)</v>
      </c>
      <c r="H7278" t="s">
        <v>2001</v>
      </c>
      <c r="I7278" t="str">
        <f t="shared" si="1344"/>
        <v>23/10/2025</v>
      </c>
      <c r="J7278" t="str">
        <f>("13/10/2025")</f>
        <v>13/10/2025</v>
      </c>
      <c r="K7278">
        <v>45953</v>
      </c>
      <c r="N7278">
        <v>114</v>
      </c>
      <c r="O7278" t="s">
        <v>260</v>
      </c>
      <c r="Q7278">
        <v>625</v>
      </c>
      <c r="R7278" t="str">
        <f>"51.114.831 TANIA CRISTINA JOAQUIM (20120)"</f>
        <v>51.114.831 TANIA CRISTINA JOAQUIM (20120)</v>
      </c>
      <c r="S7278" t="s">
        <v>77</v>
      </c>
      <c r="T7278">
        <v>21951</v>
      </c>
      <c r="U7278">
        <v>24159</v>
      </c>
      <c r="V7278" t="s">
        <v>77</v>
      </c>
    </row>
    <row r="7279" spans="1:22">
      <c r="A7279" t="str">
        <f t="shared" si="1346"/>
        <v>23/10/2025</v>
      </c>
      <c r="B7279" t="str">
        <f t="shared" si="1341"/>
        <v>SAÍDA</v>
      </c>
      <c r="C7279" t="str">
        <f>"TRANSFERENCIA"</f>
        <v>TRANSFERENCIA</v>
      </c>
      <c r="D7279" t="str">
        <f>""</f>
        <v/>
      </c>
      <c r="F7279" t="str">
        <f>"TRF"</f>
        <v>TRF</v>
      </c>
      <c r="G7279" t="str">
        <f>""</f>
        <v/>
      </c>
      <c r="H7279" t="str">
        <f>"TRANSFERENCIA ENTRE BANCOS  (102-&gt;149)"</f>
        <v>TRANSFERENCIA ENTRE BANCOS  (102-&gt;149)</v>
      </c>
      <c r="I7279" t="str">
        <f t="shared" si="1344"/>
        <v>23/10/2025</v>
      </c>
      <c r="J7279" t="str">
        <f>("23/10/2025")</f>
        <v>23/10/2025</v>
      </c>
      <c r="K7279" t="str">
        <f>("23/10/2025")</f>
        <v>23/10/2025</v>
      </c>
      <c r="N7279">
        <v>102</v>
      </c>
      <c r="O7279" t="str">
        <f>"BANCO CORA"</f>
        <v>BANCO CORA</v>
      </c>
      <c r="P7279">
        <v>72471.460000000006</v>
      </c>
      <c r="S7279" t="str">
        <f>"BANCO CORA (102)"</f>
        <v>BANCO CORA (102)</v>
      </c>
      <c r="T7279">
        <v>22515</v>
      </c>
      <c r="U7279">
        <v>0</v>
      </c>
      <c r="V7279" t="s">
        <v>22</v>
      </c>
    </row>
    <row r="7280" spans="1:22">
      <c r="A7280" t="str">
        <f t="shared" si="1346"/>
        <v>23/10/2025</v>
      </c>
      <c r="B7280" t="str">
        <f>"ENTRADA"</f>
        <v>ENTRADA</v>
      </c>
      <c r="C7280" t="str">
        <f>"TRANSFERENCIA"</f>
        <v>TRANSFERENCIA</v>
      </c>
      <c r="D7280" t="str">
        <f>""</f>
        <v/>
      </c>
      <c r="F7280" t="str">
        <f>"TRF"</f>
        <v>TRF</v>
      </c>
      <c r="G7280" t="str">
        <f>""</f>
        <v/>
      </c>
      <c r="H7280" t="str">
        <f>"TRANSFERENCIA ENTRE BANCOS  (102-&gt;149)"</f>
        <v>TRANSFERENCIA ENTRE BANCOS  (102-&gt;149)</v>
      </c>
      <c r="I7280" t="str">
        <f t="shared" si="1344"/>
        <v>23/10/2025</v>
      </c>
      <c r="J7280" t="str">
        <f>("23/10/2025")</f>
        <v>23/10/2025</v>
      </c>
      <c r="K7280" t="str">
        <f>("23/10/2025")</f>
        <v>23/10/2025</v>
      </c>
      <c r="N7280">
        <v>149</v>
      </c>
      <c r="O7280" t="str">
        <f>"BANCO C6"</f>
        <v>BANCO C6</v>
      </c>
      <c r="S7280" t="str">
        <f>"BANCO C6 (149)"</f>
        <v>BANCO C6 (149)</v>
      </c>
      <c r="T7280">
        <v>22515</v>
      </c>
      <c r="U7280">
        <v>0</v>
      </c>
      <c r="V7280" t="s">
        <v>77</v>
      </c>
    </row>
    <row r="7281" spans="1:22">
      <c r="A7281" t="str">
        <f t="shared" ref="A7281:A7344" si="1348">("24/10/2025")</f>
        <v>24/10/2025</v>
      </c>
      <c r="B7281" t="str">
        <f t="shared" ref="B7281:B7291" si="1349">"SAÍDA"</f>
        <v>SAÍDA</v>
      </c>
      <c r="C7281" t="str">
        <f t="shared" ref="C7281:C7291" si="1350">"PIX"</f>
        <v>PIX</v>
      </c>
      <c r="D7281" t="str">
        <f>"24088"</f>
        <v>24088</v>
      </c>
      <c r="E7281" t="str">
        <f>"1"</f>
        <v>1</v>
      </c>
      <c r="F7281" t="str">
        <f t="shared" ref="F7281:F7344" si="1351">"COM"</f>
        <v>COM</v>
      </c>
      <c r="G7281" t="str">
        <f>"GILSON OLIVEIRA CAMPINHO JUNIOR (132)"</f>
        <v>GILSON OLIVEIRA CAMPINHO JUNIOR (132)</v>
      </c>
      <c r="H7281" t="str">
        <f>"Serv.Prest. 13/10/2025 a 19/10/2025 - PIX: CELULAR - CHAVE: (73) 988381077"</f>
        <v>Serv.Prest. 13/10/2025 a 19/10/2025 - PIX: CELULAR - CHAVE: (73) 988381077</v>
      </c>
      <c r="I7281" t="str">
        <f>("30/10/2025")</f>
        <v>30/10/2025</v>
      </c>
      <c r="J7281" t="str">
        <f>("21/10/2025")</f>
        <v>21/10/2025</v>
      </c>
      <c r="K7281" t="str">
        <f>("24/10/2025")</f>
        <v>24/10/2025</v>
      </c>
      <c r="L7281">
        <v>708</v>
      </c>
      <c r="M7281">
        <v>708</v>
      </c>
      <c r="N7281">
        <v>109</v>
      </c>
      <c r="O7281" t="str">
        <f>"PAGAMENTO DE ENTREGADORES"</f>
        <v>PAGAMENTO DE ENTREGADORES</v>
      </c>
      <c r="P7281">
        <v>708</v>
      </c>
      <c r="S7281" t="str">
        <f>"BANCO CORA (102)"</f>
        <v>BANCO CORA (102)</v>
      </c>
      <c r="T7281">
        <v>20139</v>
      </c>
      <c r="U7281">
        <v>24088</v>
      </c>
      <c r="V7281" t="s">
        <v>22</v>
      </c>
    </row>
    <row r="7282" spans="1:22">
      <c r="A7282" t="str">
        <f t="shared" si="1348"/>
        <v>24/10/2025</v>
      </c>
      <c r="B7282" t="str">
        <f t="shared" si="1349"/>
        <v>SAÍDA</v>
      </c>
      <c r="C7282" t="str">
        <f t="shared" si="1350"/>
        <v>PIX</v>
      </c>
      <c r="D7282" t="str">
        <f>"24088"</f>
        <v>24088</v>
      </c>
      <c r="E7282" t="str">
        <f>"1"</f>
        <v>1</v>
      </c>
      <c r="F7282" t="str">
        <f t="shared" si="1351"/>
        <v>COM</v>
      </c>
      <c r="G7282" t="str">
        <f>"GILSON OLIVEIRA CAMPINHO JUNIOR (132)"</f>
        <v>GILSON OLIVEIRA CAMPINHO JUNIOR (132)</v>
      </c>
      <c r="H7282" t="s">
        <v>2002</v>
      </c>
      <c r="I7282" t="str">
        <f>("30/10/2025")</f>
        <v>30/10/2025</v>
      </c>
      <c r="J7282" t="str">
        <f>("21/10/2025")</f>
        <v>21/10/2025</v>
      </c>
      <c r="K7282">
        <v>45954</v>
      </c>
      <c r="N7282">
        <v>109</v>
      </c>
      <c r="O7282" t="s">
        <v>24</v>
      </c>
      <c r="Q7282">
        <v>708</v>
      </c>
      <c r="R7282" t="str">
        <f>"FARMÁCIA INDIANA LJ 91 (10037)"</f>
        <v>FARMÁCIA INDIANA LJ 91 (10037)</v>
      </c>
      <c r="S7282" t="s">
        <v>22</v>
      </c>
      <c r="T7282">
        <v>20139</v>
      </c>
      <c r="U7282">
        <v>24088</v>
      </c>
      <c r="V7282" t="s">
        <v>22</v>
      </c>
    </row>
    <row r="7283" spans="1:22">
      <c r="A7283" t="str">
        <f t="shared" si="1348"/>
        <v>24/10/2025</v>
      </c>
      <c r="B7283" t="str">
        <f t="shared" si="1349"/>
        <v>SAÍDA</v>
      </c>
      <c r="C7283" t="str">
        <f t="shared" si="1350"/>
        <v>PIX</v>
      </c>
      <c r="D7283" t="str">
        <f>"24110"</f>
        <v>24110</v>
      </c>
      <c r="E7283" t="str">
        <f>"1"</f>
        <v>1</v>
      </c>
      <c r="F7283" t="str">
        <f t="shared" si="1351"/>
        <v>COM</v>
      </c>
      <c r="G7283" t="str">
        <f>"CLEIDIVAN SALOMÃO DOS SANTOS (982)"</f>
        <v>CLEIDIVAN SALOMÃO DOS SANTOS (982)</v>
      </c>
      <c r="H7283" t="str">
        <f>"Serv.Prest. 13/10/2025 a 19/10/2025 - PIX: CPF - CHAVE: 077.317.327-70"</f>
        <v>Serv.Prest. 13/10/2025 a 19/10/2025 - PIX: CPF - CHAVE: 077.317.327-70</v>
      </c>
      <c r="I7283" t="str">
        <f>("30/10/2025")</f>
        <v>30/10/2025</v>
      </c>
      <c r="J7283" t="str">
        <f>("21/10/2025")</f>
        <v>21/10/2025</v>
      </c>
      <c r="K7283" t="str">
        <f>("24/10/2025")</f>
        <v>24/10/2025</v>
      </c>
      <c r="L7283">
        <v>517</v>
      </c>
      <c r="M7283">
        <v>517</v>
      </c>
      <c r="N7283">
        <v>109</v>
      </c>
      <c r="O7283" t="str">
        <f>"PAGAMENTO DE ENTREGADORES"</f>
        <v>PAGAMENTO DE ENTREGADORES</v>
      </c>
      <c r="P7283">
        <v>517</v>
      </c>
      <c r="S7283" t="str">
        <f>"BANCO CORA (102)"</f>
        <v>BANCO CORA (102)</v>
      </c>
      <c r="T7283">
        <v>20140</v>
      </c>
      <c r="U7283">
        <v>24110</v>
      </c>
      <c r="V7283" t="s">
        <v>22</v>
      </c>
    </row>
    <row r="7284" spans="1:22">
      <c r="A7284" t="str">
        <f t="shared" si="1348"/>
        <v>24/10/2025</v>
      </c>
      <c r="B7284" t="str">
        <f t="shared" si="1349"/>
        <v>SAÍDA</v>
      </c>
      <c r="C7284" t="str">
        <f t="shared" si="1350"/>
        <v>PIX</v>
      </c>
      <c r="D7284" t="str">
        <f>"24110"</f>
        <v>24110</v>
      </c>
      <c r="E7284" t="str">
        <f>"1"</f>
        <v>1</v>
      </c>
      <c r="F7284" t="str">
        <f t="shared" si="1351"/>
        <v>COM</v>
      </c>
      <c r="G7284" t="str">
        <f>"CLEIDIVAN SALOMÃO DOS SANTOS (982)"</f>
        <v>CLEIDIVAN SALOMÃO DOS SANTOS (982)</v>
      </c>
      <c r="H7284" t="s">
        <v>2003</v>
      </c>
      <c r="I7284" t="str">
        <f>("30/10/2025")</f>
        <v>30/10/2025</v>
      </c>
      <c r="J7284" t="str">
        <f>("21/10/2025")</f>
        <v>21/10/2025</v>
      </c>
      <c r="K7284">
        <v>45954</v>
      </c>
      <c r="N7284">
        <v>109</v>
      </c>
      <c r="O7284" t="s">
        <v>24</v>
      </c>
      <c r="Q7284">
        <v>98.49</v>
      </c>
      <c r="R7284" t="str">
        <f>"FARMÁCIA INDIANA LJ 243 (10142)"</f>
        <v>FARMÁCIA INDIANA LJ 243 (10142)</v>
      </c>
      <c r="S7284" t="s">
        <v>22</v>
      </c>
      <c r="T7284">
        <v>20140</v>
      </c>
      <c r="U7284">
        <v>24110</v>
      </c>
      <c r="V7284" t="s">
        <v>22</v>
      </c>
    </row>
    <row r="7285" spans="1:22">
      <c r="A7285" t="str">
        <f t="shared" si="1348"/>
        <v>24/10/2025</v>
      </c>
      <c r="B7285" t="str">
        <f t="shared" si="1349"/>
        <v>SAÍDA</v>
      </c>
      <c r="C7285" t="str">
        <f t="shared" si="1350"/>
        <v>PIX</v>
      </c>
      <c r="D7285" t="str">
        <f>"24110"</f>
        <v>24110</v>
      </c>
      <c r="E7285" t="str">
        <f>"1"</f>
        <v>1</v>
      </c>
      <c r="F7285" t="str">
        <f t="shared" si="1351"/>
        <v>COM</v>
      </c>
      <c r="G7285" t="str">
        <f>"CLEIDIVAN SALOMÃO DOS SANTOS (982)"</f>
        <v>CLEIDIVAN SALOMÃO DOS SANTOS (982)</v>
      </c>
      <c r="H7285" t="s">
        <v>2003</v>
      </c>
      <c r="I7285" t="str">
        <f>("30/10/2025")</f>
        <v>30/10/2025</v>
      </c>
      <c r="J7285" t="str">
        <f>("21/10/2025")</f>
        <v>21/10/2025</v>
      </c>
      <c r="K7285">
        <v>45954</v>
      </c>
      <c r="N7285">
        <v>109</v>
      </c>
      <c r="O7285" t="s">
        <v>24</v>
      </c>
      <c r="Q7285">
        <v>418.51</v>
      </c>
      <c r="R7285" t="str">
        <f>"FARMÁCIA INDIANA LJ 235 (10190)"</f>
        <v>FARMÁCIA INDIANA LJ 235 (10190)</v>
      </c>
      <c r="S7285" t="s">
        <v>22</v>
      </c>
      <c r="T7285">
        <v>20140</v>
      </c>
      <c r="U7285">
        <v>24110</v>
      </c>
      <c r="V7285" t="s">
        <v>22</v>
      </c>
    </row>
    <row r="7286" spans="1:22">
      <c r="A7286" t="str">
        <f t="shared" si="1348"/>
        <v>24/10/2025</v>
      </c>
      <c r="B7286" t="str">
        <f t="shared" si="1349"/>
        <v>SAÍDA</v>
      </c>
      <c r="C7286" t="str">
        <f t="shared" si="1350"/>
        <v>PIX</v>
      </c>
      <c r="D7286" t="str">
        <f>"15022025"</f>
        <v>15022025</v>
      </c>
      <c r="E7286" t="str">
        <f>"34"</f>
        <v>34</v>
      </c>
      <c r="F7286" t="str">
        <f t="shared" si="1351"/>
        <v>COM</v>
      </c>
      <c r="G7286" t="str">
        <f>"ALBERTO KENNEDY ALMEIDA DE JESUS (20026)"</f>
        <v>ALBERTO KENNEDY ALMEIDA DE JESUS (20026)</v>
      </c>
      <c r="H7286" t="str">
        <f>"PAGAMENTO PRESTACAO DE SERVICO"</f>
        <v>PAGAMENTO PRESTACAO DE SERVICO</v>
      </c>
      <c r="I7286" t="str">
        <f>("15/11/2025")</f>
        <v>15/11/2025</v>
      </c>
      <c r="J7286" t="str">
        <f>("14/02/2025")</f>
        <v>14/02/2025</v>
      </c>
      <c r="K7286" t="str">
        <f>("24/10/2025")</f>
        <v>24/10/2025</v>
      </c>
      <c r="L7286">
        <v>500</v>
      </c>
      <c r="M7286">
        <v>500</v>
      </c>
      <c r="N7286">
        <v>103</v>
      </c>
      <c r="O7286" t="str">
        <f>"PAGAMENTO DE FUNCIONÁRIOS"</f>
        <v>PAGAMENTO DE FUNCIONÁRIOS</v>
      </c>
      <c r="P7286">
        <v>500</v>
      </c>
      <c r="S7286" t="str">
        <f>"BANCO CORA (102)"</f>
        <v>BANCO CORA (102)</v>
      </c>
      <c r="T7286">
        <v>20141</v>
      </c>
      <c r="U7286">
        <v>24333</v>
      </c>
      <c r="V7286" t="s">
        <v>22</v>
      </c>
    </row>
    <row r="7287" spans="1:22">
      <c r="A7287" t="str">
        <f t="shared" si="1348"/>
        <v>24/10/2025</v>
      </c>
      <c r="B7287" t="str">
        <f t="shared" si="1349"/>
        <v>SAÍDA</v>
      </c>
      <c r="C7287" t="str">
        <f t="shared" si="1350"/>
        <v>PIX</v>
      </c>
      <c r="D7287" t="str">
        <f>"15022025"</f>
        <v>15022025</v>
      </c>
      <c r="E7287" t="str">
        <f>"34"</f>
        <v>34</v>
      </c>
      <c r="F7287" t="str">
        <f t="shared" si="1351"/>
        <v>COM</v>
      </c>
      <c r="G7287" t="str">
        <f>"ALBERTO KENNEDY ALMEIDA DE JESUS (20026)"</f>
        <v>ALBERTO KENNEDY ALMEIDA DE JESUS (20026)</v>
      </c>
      <c r="H7287" t="s">
        <v>587</v>
      </c>
      <c r="I7287" t="str">
        <f>("15/11/2025")</f>
        <v>15/11/2025</v>
      </c>
      <c r="J7287" t="str">
        <f>("14/02/2025")</f>
        <v>14/02/2025</v>
      </c>
      <c r="K7287">
        <v>45954</v>
      </c>
      <c r="N7287">
        <v>103</v>
      </c>
      <c r="O7287" t="s">
        <v>267</v>
      </c>
      <c r="Q7287">
        <v>500</v>
      </c>
      <c r="R7287" t="str">
        <f>"ALBERTO KENNEDY ALMEIDA DE JESUS (20026)"</f>
        <v>ALBERTO KENNEDY ALMEIDA DE JESUS (20026)</v>
      </c>
      <c r="S7287" t="s">
        <v>22</v>
      </c>
      <c r="T7287">
        <v>20141</v>
      </c>
      <c r="U7287">
        <v>24333</v>
      </c>
      <c r="V7287" t="s">
        <v>22</v>
      </c>
    </row>
    <row r="7288" spans="1:22">
      <c r="A7288" t="str">
        <f t="shared" si="1348"/>
        <v>24/10/2025</v>
      </c>
      <c r="B7288" t="str">
        <f t="shared" si="1349"/>
        <v>SAÍDA</v>
      </c>
      <c r="C7288" t="str">
        <f t="shared" si="1350"/>
        <v>PIX</v>
      </c>
      <c r="D7288" t="str">
        <f>"15022025"</f>
        <v>15022025</v>
      </c>
      <c r="E7288" t="str">
        <f>"35"</f>
        <v>35</v>
      </c>
      <c r="F7288" t="str">
        <f t="shared" si="1351"/>
        <v>COM</v>
      </c>
      <c r="G7288" t="str">
        <f>"ALBERTO KENNEDY ALMEIDA DE JESUS (20026)"</f>
        <v>ALBERTO KENNEDY ALMEIDA DE JESUS (20026)</v>
      </c>
      <c r="H7288" t="str">
        <f>"PAGAMENTO PRESTACAO DE SERVICO"</f>
        <v>PAGAMENTO PRESTACAO DE SERVICO</v>
      </c>
      <c r="I7288" t="str">
        <f>("15/12/2025")</f>
        <v>15/12/2025</v>
      </c>
      <c r="J7288" t="str">
        <f>("14/02/2025")</f>
        <v>14/02/2025</v>
      </c>
      <c r="K7288" t="str">
        <f>("24/10/2025")</f>
        <v>24/10/2025</v>
      </c>
      <c r="L7288">
        <v>500</v>
      </c>
      <c r="M7288">
        <v>500</v>
      </c>
      <c r="N7288">
        <v>103</v>
      </c>
      <c r="O7288" t="str">
        <f>"PAGAMENTO DE FUNCIONÁRIOS"</f>
        <v>PAGAMENTO DE FUNCIONÁRIOS</v>
      </c>
      <c r="S7288" t="str">
        <f>"BANCO CORA (102)"</f>
        <v>BANCO CORA (102)</v>
      </c>
      <c r="T7288">
        <v>20141</v>
      </c>
      <c r="U7288">
        <v>24334</v>
      </c>
      <c r="V7288" t="s">
        <v>22</v>
      </c>
    </row>
    <row r="7289" spans="1:22">
      <c r="A7289" t="str">
        <f t="shared" si="1348"/>
        <v>24/10/2025</v>
      </c>
      <c r="B7289" t="str">
        <f t="shared" si="1349"/>
        <v>SAÍDA</v>
      </c>
      <c r="C7289" t="str">
        <f t="shared" si="1350"/>
        <v>PIX</v>
      </c>
      <c r="D7289" t="str">
        <f>"15022025"</f>
        <v>15022025</v>
      </c>
      <c r="E7289" t="str">
        <f>"35"</f>
        <v>35</v>
      </c>
      <c r="F7289" t="str">
        <f t="shared" si="1351"/>
        <v>COM</v>
      </c>
      <c r="G7289" t="str">
        <f>"ALBERTO KENNEDY ALMEIDA DE JESUS (20026)"</f>
        <v>ALBERTO KENNEDY ALMEIDA DE JESUS (20026)</v>
      </c>
      <c r="H7289" t="s">
        <v>587</v>
      </c>
      <c r="I7289" t="str">
        <f>("15/12/2025")</f>
        <v>15/12/2025</v>
      </c>
      <c r="J7289" t="str">
        <f>("14/02/2025")</f>
        <v>14/02/2025</v>
      </c>
      <c r="K7289">
        <v>45954</v>
      </c>
      <c r="N7289">
        <v>103</v>
      </c>
      <c r="O7289" t="s">
        <v>267</v>
      </c>
      <c r="Q7289">
        <v>500</v>
      </c>
      <c r="R7289" t="str">
        <f>"ALBERTO KENNEDY ALMEIDA DE JESUS (20026)"</f>
        <v>ALBERTO KENNEDY ALMEIDA DE JESUS (20026)</v>
      </c>
      <c r="S7289" t="s">
        <v>22</v>
      </c>
      <c r="T7289">
        <v>20141</v>
      </c>
      <c r="U7289">
        <v>24334</v>
      </c>
      <c r="V7289" t="s">
        <v>22</v>
      </c>
    </row>
    <row r="7290" spans="1:22">
      <c r="A7290" t="str">
        <f t="shared" si="1348"/>
        <v>24/10/2025</v>
      </c>
      <c r="B7290" t="str">
        <f t="shared" si="1349"/>
        <v>SAÍDA</v>
      </c>
      <c r="C7290" t="str">
        <f t="shared" si="1350"/>
        <v>PIX</v>
      </c>
      <c r="D7290" t="str">
        <f>"24215"</f>
        <v>24215</v>
      </c>
      <c r="E7290" t="str">
        <f>"2"</f>
        <v>2</v>
      </c>
      <c r="F7290" t="str">
        <f t="shared" si="1351"/>
        <v>COM</v>
      </c>
      <c r="G7290" t="str">
        <f>"GUSTAVO HENRIQUE OLIVEIRA (661)"</f>
        <v>GUSTAVO HENRIQUE OLIVEIRA (661)</v>
      </c>
      <c r="H7290" t="str">
        <f>"DIARIA 11/10/2025 - JOAO MONLEVADE - PIX: CPF - CHAVE: 113.084.266-58"</f>
        <v>DIARIA 11/10/2025 - JOAO MONLEVADE - PIX: CPF - CHAVE: 113.084.266-58</v>
      </c>
      <c r="I7290" t="str">
        <f>("24/10/2025")</f>
        <v>24/10/2025</v>
      </c>
      <c r="J7290" t="str">
        <f>("24/10/2025")</f>
        <v>24/10/2025</v>
      </c>
      <c r="K7290" t="str">
        <f>("24/10/2025")</f>
        <v>24/10/2025</v>
      </c>
      <c r="L7290">
        <v>120</v>
      </c>
      <c r="M7290">
        <v>120</v>
      </c>
      <c r="N7290">
        <v>5000</v>
      </c>
      <c r="O7290" t="str">
        <f>"SOLICITACAO DE ADIANTAMENTO"</f>
        <v>SOLICITACAO DE ADIANTAMENTO</v>
      </c>
      <c r="P7290">
        <v>120</v>
      </c>
      <c r="S7290" t="str">
        <f>"BANCO CORA (102)"</f>
        <v>BANCO CORA (102)</v>
      </c>
      <c r="T7290">
        <v>20142</v>
      </c>
      <c r="U7290">
        <v>24335</v>
      </c>
      <c r="V7290" t="s">
        <v>22</v>
      </c>
    </row>
    <row r="7291" spans="1:22">
      <c r="A7291" t="str">
        <f t="shared" si="1348"/>
        <v>24/10/2025</v>
      </c>
      <c r="B7291" t="str">
        <f t="shared" si="1349"/>
        <v>SAÍDA</v>
      </c>
      <c r="C7291" t="str">
        <f t="shared" si="1350"/>
        <v>PIX</v>
      </c>
      <c r="D7291" t="str">
        <f>"24215"</f>
        <v>24215</v>
      </c>
      <c r="E7291" t="str">
        <f>"2"</f>
        <v>2</v>
      </c>
      <c r="F7291" t="str">
        <f t="shared" si="1351"/>
        <v>COM</v>
      </c>
      <c r="G7291" t="str">
        <f>"GUSTAVO HENRIQUE OLIVEIRA (661)"</f>
        <v>GUSTAVO HENRIQUE OLIVEIRA (661)</v>
      </c>
      <c r="H7291" t="s">
        <v>2004</v>
      </c>
      <c r="I7291" t="str">
        <f>("24/10/2025")</f>
        <v>24/10/2025</v>
      </c>
      <c r="J7291" t="str">
        <f>("24/10/2025")</f>
        <v>24/10/2025</v>
      </c>
      <c r="K7291">
        <v>45954</v>
      </c>
      <c r="N7291">
        <v>5000</v>
      </c>
      <c r="O7291" t="s">
        <v>86</v>
      </c>
      <c r="Q7291">
        <v>120</v>
      </c>
      <c r="R7291" t="str">
        <f>"GUSTAVO HENRIQUE OLIVEIRA (661)"</f>
        <v>GUSTAVO HENRIQUE OLIVEIRA (661)</v>
      </c>
      <c r="S7291" t="s">
        <v>22</v>
      </c>
      <c r="T7291">
        <v>20142</v>
      </c>
      <c r="U7291">
        <v>24335</v>
      </c>
      <c r="V7291" t="s">
        <v>22</v>
      </c>
    </row>
    <row r="7292" spans="1:22">
      <c r="A7292" t="str">
        <f t="shared" si="1348"/>
        <v>24/10/2025</v>
      </c>
      <c r="B7292" t="str">
        <f t="shared" ref="B7292:B7339" si="1352">"ENTRADA"</f>
        <v>ENTRADA</v>
      </c>
      <c r="C7292" t="str">
        <f t="shared" ref="C7292:C7339" si="1353">"NFSE"</f>
        <v>NFSE</v>
      </c>
      <c r="D7292" t="str">
        <f t="shared" ref="D7292:D7339" si="1354">"3498"</f>
        <v>3498</v>
      </c>
      <c r="E7292" t="str">
        <f t="shared" ref="E7292:E7355" si="1355">"1"</f>
        <v>1</v>
      </c>
      <c r="F7292" t="str">
        <f t="shared" si="1351"/>
        <v>COM</v>
      </c>
      <c r="G7292" t="str">
        <f t="shared" ref="G7292:G7339" si="1356">"FARMÁCIA INDIANA LJ 1 (10126)"</f>
        <v>FARMÁCIA INDIANA LJ 1 (10126)</v>
      </c>
      <c r="H7292" t="str">
        <f>"Serv.Prest. 06/10/2025 a 12/10/2025 - RPS: 1374 - NFSe: 3498"</f>
        <v>Serv.Prest. 06/10/2025 a 12/10/2025 - RPS: 1374 - NFSe: 3498</v>
      </c>
      <c r="I7292" t="str">
        <f t="shared" ref="I7292:I7339" si="1357">("22/10/2025")</f>
        <v>22/10/2025</v>
      </c>
      <c r="J7292" t="str">
        <f t="shared" ref="J7292:J7355" si="1358">("14/10/2025")</f>
        <v>14/10/2025</v>
      </c>
      <c r="K7292" t="str">
        <f>("24/10/2025")</f>
        <v>24/10/2025</v>
      </c>
      <c r="L7292">
        <v>119080.55</v>
      </c>
      <c r="M7292">
        <v>119080.55</v>
      </c>
      <c r="N7292">
        <v>303</v>
      </c>
      <c r="O7292" t="str">
        <f>"RECEITAS COM ENTREGAS"</f>
        <v>RECEITAS COM ENTREGAS</v>
      </c>
      <c r="P7292">
        <v>119080.55</v>
      </c>
      <c r="S7292" t="str">
        <f>"RECEITAS COM ENTREGAS (303)"</f>
        <v>RECEITAS COM ENTREGAS (303)</v>
      </c>
      <c r="T7292">
        <v>20146</v>
      </c>
      <c r="U7292">
        <v>23631</v>
      </c>
      <c r="V7292" t="s">
        <v>77</v>
      </c>
    </row>
    <row r="7293" spans="1:22">
      <c r="A7293" t="str">
        <f t="shared" si="1348"/>
        <v>24/10/2025</v>
      </c>
      <c r="B7293" t="str">
        <f t="shared" si="1352"/>
        <v>ENTRADA</v>
      </c>
      <c r="C7293" t="str">
        <f t="shared" si="1353"/>
        <v>NFSE</v>
      </c>
      <c r="D7293" t="str">
        <f t="shared" si="1354"/>
        <v>3498</v>
      </c>
      <c r="E7293" t="str">
        <f t="shared" si="1355"/>
        <v>1</v>
      </c>
      <c r="F7293" t="str">
        <f t="shared" si="1351"/>
        <v>COM</v>
      </c>
      <c r="G7293" t="str">
        <f t="shared" si="1356"/>
        <v>FARMÁCIA INDIANA LJ 1 (10126)</v>
      </c>
      <c r="H7293" t="s">
        <v>2005</v>
      </c>
      <c r="I7293" t="str">
        <f t="shared" si="1357"/>
        <v>22/10/2025</v>
      </c>
      <c r="J7293" t="str">
        <f t="shared" si="1358"/>
        <v>14/10/2025</v>
      </c>
      <c r="K7293">
        <v>45954</v>
      </c>
      <c r="N7293">
        <v>303</v>
      </c>
      <c r="O7293" t="s">
        <v>69</v>
      </c>
      <c r="Q7293">
        <v>17647.77</v>
      </c>
      <c r="R7293" t="str">
        <f>"FARMÁCIA INDIANA LJ 06 (10006)"</f>
        <v>FARMÁCIA INDIANA LJ 06 (10006)</v>
      </c>
      <c r="S7293" t="s">
        <v>70</v>
      </c>
      <c r="T7293">
        <v>20146</v>
      </c>
      <c r="U7293">
        <v>23631</v>
      </c>
      <c r="V7293" t="s">
        <v>77</v>
      </c>
    </row>
    <row r="7294" spans="1:22">
      <c r="A7294" t="str">
        <f t="shared" si="1348"/>
        <v>24/10/2025</v>
      </c>
      <c r="B7294" t="str">
        <f t="shared" si="1352"/>
        <v>ENTRADA</v>
      </c>
      <c r="C7294" t="str">
        <f t="shared" si="1353"/>
        <v>NFSE</v>
      </c>
      <c r="D7294" t="str">
        <f t="shared" si="1354"/>
        <v>3498</v>
      </c>
      <c r="E7294" t="str">
        <f t="shared" si="1355"/>
        <v>1</v>
      </c>
      <c r="F7294" t="str">
        <f t="shared" si="1351"/>
        <v>COM</v>
      </c>
      <c r="G7294" t="str">
        <f t="shared" si="1356"/>
        <v>FARMÁCIA INDIANA LJ 1 (10126)</v>
      </c>
      <c r="H7294" t="s">
        <v>2005</v>
      </c>
      <c r="I7294" t="str">
        <f t="shared" si="1357"/>
        <v>22/10/2025</v>
      </c>
      <c r="J7294" t="str">
        <f t="shared" si="1358"/>
        <v>14/10/2025</v>
      </c>
      <c r="K7294">
        <v>45954</v>
      </c>
      <c r="N7294">
        <v>303</v>
      </c>
      <c r="O7294" t="s">
        <v>69</v>
      </c>
      <c r="Q7294">
        <v>12384.38</v>
      </c>
      <c r="R7294" t="str">
        <f>"FARMÁCIA INDIANA LJ 07 (10007)"</f>
        <v>FARMÁCIA INDIANA LJ 07 (10007)</v>
      </c>
      <c r="S7294" t="s">
        <v>70</v>
      </c>
      <c r="T7294">
        <v>20146</v>
      </c>
      <c r="U7294">
        <v>23631</v>
      </c>
      <c r="V7294" t="s">
        <v>77</v>
      </c>
    </row>
    <row r="7295" spans="1:22">
      <c r="A7295" t="str">
        <f t="shared" si="1348"/>
        <v>24/10/2025</v>
      </c>
      <c r="B7295" t="str">
        <f t="shared" si="1352"/>
        <v>ENTRADA</v>
      </c>
      <c r="C7295" t="str">
        <f t="shared" si="1353"/>
        <v>NFSE</v>
      </c>
      <c r="D7295" t="str">
        <f t="shared" si="1354"/>
        <v>3498</v>
      </c>
      <c r="E7295" t="str">
        <f t="shared" si="1355"/>
        <v>1</v>
      </c>
      <c r="F7295" t="str">
        <f t="shared" si="1351"/>
        <v>COM</v>
      </c>
      <c r="G7295" t="str">
        <f t="shared" si="1356"/>
        <v>FARMÁCIA INDIANA LJ 1 (10126)</v>
      </c>
      <c r="H7295" t="s">
        <v>2005</v>
      </c>
      <c r="I7295" t="str">
        <f t="shared" si="1357"/>
        <v>22/10/2025</v>
      </c>
      <c r="J7295" t="str">
        <f t="shared" si="1358"/>
        <v>14/10/2025</v>
      </c>
      <c r="K7295">
        <v>45954</v>
      </c>
      <c r="N7295">
        <v>303</v>
      </c>
      <c r="O7295" t="s">
        <v>69</v>
      </c>
      <c r="Q7295">
        <v>9990.86</v>
      </c>
      <c r="R7295" t="str">
        <f>"FARMÁCIA INDIANA LJ 11 (10008)"</f>
        <v>FARMÁCIA INDIANA LJ 11 (10008)</v>
      </c>
      <c r="S7295" t="s">
        <v>70</v>
      </c>
      <c r="T7295">
        <v>20146</v>
      </c>
      <c r="U7295">
        <v>23631</v>
      </c>
      <c r="V7295" t="s">
        <v>77</v>
      </c>
    </row>
    <row r="7296" spans="1:22">
      <c r="A7296" t="str">
        <f t="shared" si="1348"/>
        <v>24/10/2025</v>
      </c>
      <c r="B7296" t="str">
        <f t="shared" si="1352"/>
        <v>ENTRADA</v>
      </c>
      <c r="C7296" t="str">
        <f t="shared" si="1353"/>
        <v>NFSE</v>
      </c>
      <c r="D7296" t="str">
        <f t="shared" si="1354"/>
        <v>3498</v>
      </c>
      <c r="E7296" t="str">
        <f t="shared" si="1355"/>
        <v>1</v>
      </c>
      <c r="F7296" t="str">
        <f t="shared" si="1351"/>
        <v>COM</v>
      </c>
      <c r="G7296" t="str">
        <f t="shared" si="1356"/>
        <v>FARMÁCIA INDIANA LJ 1 (10126)</v>
      </c>
      <c r="H7296" t="s">
        <v>2005</v>
      </c>
      <c r="I7296" t="str">
        <f t="shared" si="1357"/>
        <v>22/10/2025</v>
      </c>
      <c r="J7296" t="str">
        <f t="shared" si="1358"/>
        <v>14/10/2025</v>
      </c>
      <c r="K7296">
        <v>45954</v>
      </c>
      <c r="N7296">
        <v>303</v>
      </c>
      <c r="O7296" t="s">
        <v>69</v>
      </c>
      <c r="Q7296">
        <v>4108.28</v>
      </c>
      <c r="R7296" t="str">
        <f>"FARMÁCIA INDIANA LJ 14 (10009)"</f>
        <v>FARMÁCIA INDIANA LJ 14 (10009)</v>
      </c>
      <c r="S7296" t="s">
        <v>70</v>
      </c>
      <c r="T7296">
        <v>20146</v>
      </c>
      <c r="U7296">
        <v>23631</v>
      </c>
      <c r="V7296" t="s">
        <v>77</v>
      </c>
    </row>
    <row r="7297" spans="1:22">
      <c r="A7297" t="str">
        <f t="shared" si="1348"/>
        <v>24/10/2025</v>
      </c>
      <c r="B7297" t="str">
        <f t="shared" si="1352"/>
        <v>ENTRADA</v>
      </c>
      <c r="C7297" t="str">
        <f t="shared" si="1353"/>
        <v>NFSE</v>
      </c>
      <c r="D7297" t="str">
        <f t="shared" si="1354"/>
        <v>3498</v>
      </c>
      <c r="E7297" t="str">
        <f t="shared" si="1355"/>
        <v>1</v>
      </c>
      <c r="F7297" t="str">
        <f t="shared" si="1351"/>
        <v>COM</v>
      </c>
      <c r="G7297" t="str">
        <f t="shared" si="1356"/>
        <v>FARMÁCIA INDIANA LJ 1 (10126)</v>
      </c>
      <c r="H7297" t="s">
        <v>2005</v>
      </c>
      <c r="I7297" t="str">
        <f t="shared" si="1357"/>
        <v>22/10/2025</v>
      </c>
      <c r="J7297" t="str">
        <f t="shared" si="1358"/>
        <v>14/10/2025</v>
      </c>
      <c r="K7297">
        <v>45954</v>
      </c>
      <c r="N7297">
        <v>303</v>
      </c>
      <c r="O7297" t="s">
        <v>69</v>
      </c>
      <c r="Q7297">
        <v>2560.23</v>
      </c>
      <c r="R7297" t="str">
        <f>"FARMÁCIA INDIANA LJ 18 (10011)"</f>
        <v>FARMÁCIA INDIANA LJ 18 (10011)</v>
      </c>
      <c r="S7297" t="s">
        <v>70</v>
      </c>
      <c r="T7297">
        <v>20146</v>
      </c>
      <c r="U7297">
        <v>23631</v>
      </c>
      <c r="V7297" t="s">
        <v>77</v>
      </c>
    </row>
    <row r="7298" spans="1:22">
      <c r="A7298" t="str">
        <f t="shared" si="1348"/>
        <v>24/10/2025</v>
      </c>
      <c r="B7298" t="str">
        <f t="shared" si="1352"/>
        <v>ENTRADA</v>
      </c>
      <c r="C7298" t="str">
        <f t="shared" si="1353"/>
        <v>NFSE</v>
      </c>
      <c r="D7298" t="str">
        <f t="shared" si="1354"/>
        <v>3498</v>
      </c>
      <c r="E7298" t="str">
        <f t="shared" si="1355"/>
        <v>1</v>
      </c>
      <c r="F7298" t="str">
        <f t="shared" si="1351"/>
        <v>COM</v>
      </c>
      <c r="G7298" t="str">
        <f t="shared" si="1356"/>
        <v>FARMÁCIA INDIANA LJ 1 (10126)</v>
      </c>
      <c r="H7298" t="s">
        <v>2005</v>
      </c>
      <c r="I7298" t="str">
        <f t="shared" si="1357"/>
        <v>22/10/2025</v>
      </c>
      <c r="J7298" t="str">
        <f t="shared" si="1358"/>
        <v>14/10/2025</v>
      </c>
      <c r="K7298">
        <v>45954</v>
      </c>
      <c r="N7298">
        <v>303</v>
      </c>
      <c r="O7298" t="s">
        <v>69</v>
      </c>
      <c r="Q7298">
        <v>3691.5</v>
      </c>
      <c r="R7298" t="str">
        <f>"FARMÁCIA INDIANA LJ 19 (10012)"</f>
        <v>FARMÁCIA INDIANA LJ 19 (10012)</v>
      </c>
      <c r="S7298" t="s">
        <v>70</v>
      </c>
      <c r="T7298">
        <v>20146</v>
      </c>
      <c r="U7298">
        <v>23631</v>
      </c>
      <c r="V7298" t="s">
        <v>77</v>
      </c>
    </row>
    <row r="7299" spans="1:22">
      <c r="A7299" t="str">
        <f t="shared" si="1348"/>
        <v>24/10/2025</v>
      </c>
      <c r="B7299" t="str">
        <f t="shared" si="1352"/>
        <v>ENTRADA</v>
      </c>
      <c r="C7299" t="str">
        <f t="shared" si="1353"/>
        <v>NFSE</v>
      </c>
      <c r="D7299" t="str">
        <f t="shared" si="1354"/>
        <v>3498</v>
      </c>
      <c r="E7299" t="str">
        <f t="shared" si="1355"/>
        <v>1</v>
      </c>
      <c r="F7299" t="str">
        <f t="shared" si="1351"/>
        <v>COM</v>
      </c>
      <c r="G7299" t="str">
        <f t="shared" si="1356"/>
        <v>FARMÁCIA INDIANA LJ 1 (10126)</v>
      </c>
      <c r="H7299" t="s">
        <v>2005</v>
      </c>
      <c r="I7299" t="str">
        <f t="shared" si="1357"/>
        <v>22/10/2025</v>
      </c>
      <c r="J7299" t="str">
        <f t="shared" si="1358"/>
        <v>14/10/2025</v>
      </c>
      <c r="K7299">
        <v>45954</v>
      </c>
      <c r="N7299">
        <v>303</v>
      </c>
      <c r="O7299" t="s">
        <v>69</v>
      </c>
      <c r="Q7299">
        <v>4656.05</v>
      </c>
      <c r="R7299" t="str">
        <f>"FARMÁCIA INDIANA LJ 40 (10016)"</f>
        <v>FARMÁCIA INDIANA LJ 40 (10016)</v>
      </c>
      <c r="S7299" t="s">
        <v>70</v>
      </c>
      <c r="T7299">
        <v>20146</v>
      </c>
      <c r="U7299">
        <v>23631</v>
      </c>
      <c r="V7299" t="s">
        <v>77</v>
      </c>
    </row>
    <row r="7300" spans="1:22">
      <c r="A7300" t="str">
        <f t="shared" si="1348"/>
        <v>24/10/2025</v>
      </c>
      <c r="B7300" t="str">
        <f t="shared" si="1352"/>
        <v>ENTRADA</v>
      </c>
      <c r="C7300" t="str">
        <f t="shared" si="1353"/>
        <v>NFSE</v>
      </c>
      <c r="D7300" t="str">
        <f t="shared" si="1354"/>
        <v>3498</v>
      </c>
      <c r="E7300" t="str">
        <f t="shared" si="1355"/>
        <v>1</v>
      </c>
      <c r="F7300" t="str">
        <f t="shared" si="1351"/>
        <v>COM</v>
      </c>
      <c r="G7300" t="str">
        <f t="shared" si="1356"/>
        <v>FARMÁCIA INDIANA LJ 1 (10126)</v>
      </c>
      <c r="H7300" t="s">
        <v>2005</v>
      </c>
      <c r="I7300" t="str">
        <f t="shared" si="1357"/>
        <v>22/10/2025</v>
      </c>
      <c r="J7300" t="str">
        <f t="shared" si="1358"/>
        <v>14/10/2025</v>
      </c>
      <c r="K7300">
        <v>45954</v>
      </c>
      <c r="N7300">
        <v>303</v>
      </c>
      <c r="O7300" t="s">
        <v>69</v>
      </c>
      <c r="Q7300">
        <v>2083.91</v>
      </c>
      <c r="R7300" t="str">
        <f>"FARMÁCIA INDIANA LJ 59 (10026)"</f>
        <v>FARMÁCIA INDIANA LJ 59 (10026)</v>
      </c>
      <c r="S7300" t="s">
        <v>70</v>
      </c>
      <c r="T7300">
        <v>20146</v>
      </c>
      <c r="U7300">
        <v>23631</v>
      </c>
      <c r="V7300" t="s">
        <v>77</v>
      </c>
    </row>
    <row r="7301" spans="1:22">
      <c r="A7301" t="str">
        <f t="shared" si="1348"/>
        <v>24/10/2025</v>
      </c>
      <c r="B7301" t="str">
        <f t="shared" si="1352"/>
        <v>ENTRADA</v>
      </c>
      <c r="C7301" t="str">
        <f t="shared" si="1353"/>
        <v>NFSE</v>
      </c>
      <c r="D7301" t="str">
        <f t="shared" si="1354"/>
        <v>3498</v>
      </c>
      <c r="E7301" t="str">
        <f t="shared" si="1355"/>
        <v>1</v>
      </c>
      <c r="F7301" t="str">
        <f t="shared" si="1351"/>
        <v>COM</v>
      </c>
      <c r="G7301" t="str">
        <f t="shared" si="1356"/>
        <v>FARMÁCIA INDIANA LJ 1 (10126)</v>
      </c>
      <c r="H7301" t="s">
        <v>2005</v>
      </c>
      <c r="I7301" t="str">
        <f t="shared" si="1357"/>
        <v>22/10/2025</v>
      </c>
      <c r="J7301" t="str">
        <f t="shared" si="1358"/>
        <v>14/10/2025</v>
      </c>
      <c r="K7301">
        <v>45954</v>
      </c>
      <c r="N7301">
        <v>303</v>
      </c>
      <c r="O7301" t="s">
        <v>69</v>
      </c>
      <c r="Q7301">
        <v>4513.1499999999996</v>
      </c>
      <c r="R7301" t="str">
        <f>"FARMÁCIA INDIANA LJ 61 (10027)"</f>
        <v>FARMÁCIA INDIANA LJ 61 (10027)</v>
      </c>
      <c r="S7301" t="s">
        <v>70</v>
      </c>
      <c r="T7301">
        <v>20146</v>
      </c>
      <c r="U7301">
        <v>23631</v>
      </c>
      <c r="V7301" t="s">
        <v>77</v>
      </c>
    </row>
    <row r="7302" spans="1:22">
      <c r="A7302" t="str">
        <f t="shared" si="1348"/>
        <v>24/10/2025</v>
      </c>
      <c r="B7302" t="str">
        <f t="shared" si="1352"/>
        <v>ENTRADA</v>
      </c>
      <c r="C7302" t="str">
        <f t="shared" si="1353"/>
        <v>NFSE</v>
      </c>
      <c r="D7302" t="str">
        <f t="shared" si="1354"/>
        <v>3498</v>
      </c>
      <c r="E7302" t="str">
        <f t="shared" si="1355"/>
        <v>1</v>
      </c>
      <c r="F7302" t="str">
        <f t="shared" si="1351"/>
        <v>COM</v>
      </c>
      <c r="G7302" t="str">
        <f t="shared" si="1356"/>
        <v>FARMÁCIA INDIANA LJ 1 (10126)</v>
      </c>
      <c r="H7302" t="s">
        <v>2005</v>
      </c>
      <c r="I7302" t="str">
        <f t="shared" si="1357"/>
        <v>22/10/2025</v>
      </c>
      <c r="J7302" t="str">
        <f t="shared" si="1358"/>
        <v>14/10/2025</v>
      </c>
      <c r="K7302">
        <v>45954</v>
      </c>
      <c r="N7302">
        <v>303</v>
      </c>
      <c r="O7302" t="s">
        <v>69</v>
      </c>
      <c r="Q7302">
        <v>2119.63</v>
      </c>
      <c r="R7302" t="str">
        <f>"FARMÁCIA INDIANA LJ 62 (10028)"</f>
        <v>FARMÁCIA INDIANA LJ 62 (10028)</v>
      </c>
      <c r="S7302" t="s">
        <v>70</v>
      </c>
      <c r="T7302">
        <v>20146</v>
      </c>
      <c r="U7302">
        <v>23631</v>
      </c>
      <c r="V7302" t="s">
        <v>77</v>
      </c>
    </row>
    <row r="7303" spans="1:22">
      <c r="A7303" t="str">
        <f t="shared" si="1348"/>
        <v>24/10/2025</v>
      </c>
      <c r="B7303" t="str">
        <f t="shared" si="1352"/>
        <v>ENTRADA</v>
      </c>
      <c r="C7303" t="str">
        <f t="shared" si="1353"/>
        <v>NFSE</v>
      </c>
      <c r="D7303" t="str">
        <f t="shared" si="1354"/>
        <v>3498</v>
      </c>
      <c r="E7303" t="str">
        <f t="shared" si="1355"/>
        <v>1</v>
      </c>
      <c r="F7303" t="str">
        <f t="shared" si="1351"/>
        <v>COM</v>
      </c>
      <c r="G7303" t="str">
        <f t="shared" si="1356"/>
        <v>FARMÁCIA INDIANA LJ 1 (10126)</v>
      </c>
      <c r="H7303" t="s">
        <v>2005</v>
      </c>
      <c r="I7303" t="str">
        <f t="shared" si="1357"/>
        <v>22/10/2025</v>
      </c>
      <c r="J7303" t="str">
        <f t="shared" si="1358"/>
        <v>14/10/2025</v>
      </c>
      <c r="K7303">
        <v>45954</v>
      </c>
      <c r="N7303">
        <v>303</v>
      </c>
      <c r="O7303" t="s">
        <v>69</v>
      </c>
      <c r="Q7303">
        <v>607.30999999999995</v>
      </c>
      <c r="R7303" t="str">
        <f>"FARMÁCIA INDIANA LJ 64 (10029)"</f>
        <v>FARMÁCIA INDIANA LJ 64 (10029)</v>
      </c>
      <c r="S7303" t="s">
        <v>70</v>
      </c>
      <c r="T7303">
        <v>20146</v>
      </c>
      <c r="U7303">
        <v>23631</v>
      </c>
      <c r="V7303" t="s">
        <v>77</v>
      </c>
    </row>
    <row r="7304" spans="1:22">
      <c r="A7304" t="str">
        <f t="shared" si="1348"/>
        <v>24/10/2025</v>
      </c>
      <c r="B7304" t="str">
        <f t="shared" si="1352"/>
        <v>ENTRADA</v>
      </c>
      <c r="C7304" t="str">
        <f t="shared" si="1353"/>
        <v>NFSE</v>
      </c>
      <c r="D7304" t="str">
        <f t="shared" si="1354"/>
        <v>3498</v>
      </c>
      <c r="E7304" t="str">
        <f t="shared" si="1355"/>
        <v>1</v>
      </c>
      <c r="F7304" t="str">
        <f t="shared" si="1351"/>
        <v>COM</v>
      </c>
      <c r="G7304" t="str">
        <f t="shared" si="1356"/>
        <v>FARMÁCIA INDIANA LJ 1 (10126)</v>
      </c>
      <c r="H7304" t="s">
        <v>2005</v>
      </c>
      <c r="I7304" t="str">
        <f t="shared" si="1357"/>
        <v>22/10/2025</v>
      </c>
      <c r="J7304" t="str">
        <f t="shared" si="1358"/>
        <v>14/10/2025</v>
      </c>
      <c r="K7304">
        <v>45954</v>
      </c>
      <c r="N7304">
        <v>303</v>
      </c>
      <c r="O7304" t="s">
        <v>69</v>
      </c>
      <c r="Q7304">
        <v>607.30999999999995</v>
      </c>
      <c r="R7304" t="str">
        <f>"FARMÁCIA INDIANA LJ 97 (10040)"</f>
        <v>FARMÁCIA INDIANA LJ 97 (10040)</v>
      </c>
      <c r="S7304" t="s">
        <v>70</v>
      </c>
      <c r="T7304">
        <v>20146</v>
      </c>
      <c r="U7304">
        <v>23631</v>
      </c>
      <c r="V7304" t="s">
        <v>77</v>
      </c>
    </row>
    <row r="7305" spans="1:22">
      <c r="A7305" t="str">
        <f t="shared" si="1348"/>
        <v>24/10/2025</v>
      </c>
      <c r="B7305" t="str">
        <f t="shared" si="1352"/>
        <v>ENTRADA</v>
      </c>
      <c r="C7305" t="str">
        <f t="shared" si="1353"/>
        <v>NFSE</v>
      </c>
      <c r="D7305" t="str">
        <f t="shared" si="1354"/>
        <v>3498</v>
      </c>
      <c r="E7305" t="str">
        <f t="shared" si="1355"/>
        <v>1</v>
      </c>
      <c r="F7305" t="str">
        <f t="shared" si="1351"/>
        <v>COM</v>
      </c>
      <c r="G7305" t="str">
        <f t="shared" si="1356"/>
        <v>FARMÁCIA INDIANA LJ 1 (10126)</v>
      </c>
      <c r="H7305" t="s">
        <v>2005</v>
      </c>
      <c r="I7305" t="str">
        <f t="shared" si="1357"/>
        <v>22/10/2025</v>
      </c>
      <c r="J7305" t="str">
        <f t="shared" si="1358"/>
        <v>14/10/2025</v>
      </c>
      <c r="K7305">
        <v>45954</v>
      </c>
      <c r="N7305">
        <v>303</v>
      </c>
      <c r="O7305" t="s">
        <v>69</v>
      </c>
      <c r="Q7305">
        <v>1702.85</v>
      </c>
      <c r="R7305" t="str">
        <f>"FARMÁCIA INDIANA LJ 100 (10042)"</f>
        <v>FARMÁCIA INDIANA LJ 100 (10042)</v>
      </c>
      <c r="S7305" t="s">
        <v>70</v>
      </c>
      <c r="T7305">
        <v>20146</v>
      </c>
      <c r="U7305">
        <v>23631</v>
      </c>
      <c r="V7305" t="s">
        <v>77</v>
      </c>
    </row>
    <row r="7306" spans="1:22">
      <c r="A7306" t="str">
        <f t="shared" si="1348"/>
        <v>24/10/2025</v>
      </c>
      <c r="B7306" t="str">
        <f t="shared" si="1352"/>
        <v>ENTRADA</v>
      </c>
      <c r="C7306" t="str">
        <f t="shared" si="1353"/>
        <v>NFSE</v>
      </c>
      <c r="D7306" t="str">
        <f t="shared" si="1354"/>
        <v>3498</v>
      </c>
      <c r="E7306" t="str">
        <f t="shared" si="1355"/>
        <v>1</v>
      </c>
      <c r="F7306" t="str">
        <f t="shared" si="1351"/>
        <v>COM</v>
      </c>
      <c r="G7306" t="str">
        <f t="shared" si="1356"/>
        <v>FARMÁCIA INDIANA LJ 1 (10126)</v>
      </c>
      <c r="H7306" t="s">
        <v>2005</v>
      </c>
      <c r="I7306" t="str">
        <f t="shared" si="1357"/>
        <v>22/10/2025</v>
      </c>
      <c r="J7306" t="str">
        <f t="shared" si="1358"/>
        <v>14/10/2025</v>
      </c>
      <c r="K7306">
        <v>45954</v>
      </c>
      <c r="N7306">
        <v>303</v>
      </c>
      <c r="O7306" t="s">
        <v>69</v>
      </c>
      <c r="Q7306">
        <v>7073.38</v>
      </c>
      <c r="R7306" t="str">
        <f>"FARMÁCIA INDIANA LJ 101 (10043)"</f>
        <v>FARMÁCIA INDIANA LJ 101 (10043)</v>
      </c>
      <c r="S7306" t="s">
        <v>70</v>
      </c>
      <c r="T7306">
        <v>20146</v>
      </c>
      <c r="U7306">
        <v>23631</v>
      </c>
      <c r="V7306" t="s">
        <v>77</v>
      </c>
    </row>
    <row r="7307" spans="1:22">
      <c r="A7307" t="str">
        <f t="shared" si="1348"/>
        <v>24/10/2025</v>
      </c>
      <c r="B7307" t="str">
        <f t="shared" si="1352"/>
        <v>ENTRADA</v>
      </c>
      <c r="C7307" t="str">
        <f t="shared" si="1353"/>
        <v>NFSE</v>
      </c>
      <c r="D7307" t="str">
        <f t="shared" si="1354"/>
        <v>3498</v>
      </c>
      <c r="E7307" t="str">
        <f t="shared" si="1355"/>
        <v>1</v>
      </c>
      <c r="F7307" t="str">
        <f t="shared" si="1351"/>
        <v>COM</v>
      </c>
      <c r="G7307" t="str">
        <f t="shared" si="1356"/>
        <v>FARMÁCIA INDIANA LJ 1 (10126)</v>
      </c>
      <c r="H7307" t="s">
        <v>2005</v>
      </c>
      <c r="I7307" t="str">
        <f t="shared" si="1357"/>
        <v>22/10/2025</v>
      </c>
      <c r="J7307" t="str">
        <f t="shared" si="1358"/>
        <v>14/10/2025</v>
      </c>
      <c r="K7307">
        <v>45954</v>
      </c>
      <c r="N7307">
        <v>303</v>
      </c>
      <c r="O7307" t="s">
        <v>69</v>
      </c>
      <c r="Q7307">
        <v>905.01</v>
      </c>
      <c r="R7307" t="str">
        <f>"FARMÁCIA INDIANA LJ 103 (10044)"</f>
        <v>FARMÁCIA INDIANA LJ 103 (10044)</v>
      </c>
      <c r="S7307" t="s">
        <v>70</v>
      </c>
      <c r="T7307">
        <v>20146</v>
      </c>
      <c r="U7307">
        <v>23631</v>
      </c>
      <c r="V7307" t="s">
        <v>77</v>
      </c>
    </row>
    <row r="7308" spans="1:22">
      <c r="A7308" t="str">
        <f t="shared" si="1348"/>
        <v>24/10/2025</v>
      </c>
      <c r="B7308" t="str">
        <f t="shared" si="1352"/>
        <v>ENTRADA</v>
      </c>
      <c r="C7308" t="str">
        <f t="shared" si="1353"/>
        <v>NFSE</v>
      </c>
      <c r="D7308" t="str">
        <f t="shared" si="1354"/>
        <v>3498</v>
      </c>
      <c r="E7308" t="str">
        <f t="shared" si="1355"/>
        <v>1</v>
      </c>
      <c r="F7308" t="str">
        <f t="shared" si="1351"/>
        <v>COM</v>
      </c>
      <c r="G7308" t="str">
        <f t="shared" si="1356"/>
        <v>FARMÁCIA INDIANA LJ 1 (10126)</v>
      </c>
      <c r="H7308" t="s">
        <v>2005</v>
      </c>
      <c r="I7308" t="str">
        <f t="shared" si="1357"/>
        <v>22/10/2025</v>
      </c>
      <c r="J7308" t="str">
        <f t="shared" si="1358"/>
        <v>14/10/2025</v>
      </c>
      <c r="K7308">
        <v>45954</v>
      </c>
      <c r="N7308">
        <v>303</v>
      </c>
      <c r="O7308" t="s">
        <v>69</v>
      </c>
      <c r="Q7308">
        <v>2631.68</v>
      </c>
      <c r="R7308" t="str">
        <f>"FARMÁCIA INDIANA LJ 109 (10047)"</f>
        <v>FARMÁCIA INDIANA LJ 109 (10047)</v>
      </c>
      <c r="S7308" t="s">
        <v>70</v>
      </c>
      <c r="T7308">
        <v>20146</v>
      </c>
      <c r="U7308">
        <v>23631</v>
      </c>
      <c r="V7308" t="s">
        <v>77</v>
      </c>
    </row>
    <row r="7309" spans="1:22">
      <c r="A7309" t="str">
        <f t="shared" si="1348"/>
        <v>24/10/2025</v>
      </c>
      <c r="B7309" t="str">
        <f t="shared" si="1352"/>
        <v>ENTRADA</v>
      </c>
      <c r="C7309" t="str">
        <f t="shared" si="1353"/>
        <v>NFSE</v>
      </c>
      <c r="D7309" t="str">
        <f t="shared" si="1354"/>
        <v>3498</v>
      </c>
      <c r="E7309" t="str">
        <f t="shared" si="1355"/>
        <v>1</v>
      </c>
      <c r="F7309" t="str">
        <f t="shared" si="1351"/>
        <v>COM</v>
      </c>
      <c r="G7309" t="str">
        <f t="shared" si="1356"/>
        <v>FARMÁCIA INDIANA LJ 1 (10126)</v>
      </c>
      <c r="H7309" t="s">
        <v>2005</v>
      </c>
      <c r="I7309" t="str">
        <f t="shared" si="1357"/>
        <v>22/10/2025</v>
      </c>
      <c r="J7309" t="str">
        <f t="shared" si="1358"/>
        <v>14/10/2025</v>
      </c>
      <c r="K7309">
        <v>45954</v>
      </c>
      <c r="N7309">
        <v>303</v>
      </c>
      <c r="O7309" t="s">
        <v>69</v>
      </c>
      <c r="Q7309">
        <v>3072.28</v>
      </c>
      <c r="R7309" t="str">
        <f>"FARMÁCIA INDIANA LJ 110 (10048)"</f>
        <v>FARMÁCIA INDIANA LJ 110 (10048)</v>
      </c>
      <c r="S7309" t="s">
        <v>70</v>
      </c>
      <c r="T7309">
        <v>20146</v>
      </c>
      <c r="U7309">
        <v>23631</v>
      </c>
      <c r="V7309" t="s">
        <v>77</v>
      </c>
    </row>
    <row r="7310" spans="1:22">
      <c r="A7310" t="str">
        <f t="shared" si="1348"/>
        <v>24/10/2025</v>
      </c>
      <c r="B7310" t="str">
        <f t="shared" si="1352"/>
        <v>ENTRADA</v>
      </c>
      <c r="C7310" t="str">
        <f t="shared" si="1353"/>
        <v>NFSE</v>
      </c>
      <c r="D7310" t="str">
        <f t="shared" si="1354"/>
        <v>3498</v>
      </c>
      <c r="E7310" t="str">
        <f t="shared" si="1355"/>
        <v>1</v>
      </c>
      <c r="F7310" t="str">
        <f t="shared" si="1351"/>
        <v>COM</v>
      </c>
      <c r="G7310" t="str">
        <f t="shared" si="1356"/>
        <v>FARMÁCIA INDIANA LJ 1 (10126)</v>
      </c>
      <c r="H7310" t="s">
        <v>2005</v>
      </c>
      <c r="I7310" t="str">
        <f t="shared" si="1357"/>
        <v>22/10/2025</v>
      </c>
      <c r="J7310" t="str">
        <f t="shared" si="1358"/>
        <v>14/10/2025</v>
      </c>
      <c r="K7310">
        <v>45954</v>
      </c>
      <c r="N7310">
        <v>303</v>
      </c>
      <c r="O7310" t="s">
        <v>69</v>
      </c>
      <c r="Q7310">
        <v>595.4</v>
      </c>
      <c r="R7310" t="str">
        <f>"FARMÁCIA INDIANA LJ 111 (10049)"</f>
        <v>FARMÁCIA INDIANA LJ 111 (10049)</v>
      </c>
      <c r="S7310" t="s">
        <v>70</v>
      </c>
      <c r="T7310">
        <v>20146</v>
      </c>
      <c r="U7310">
        <v>23631</v>
      </c>
      <c r="V7310" t="s">
        <v>77</v>
      </c>
    </row>
    <row r="7311" spans="1:22">
      <c r="A7311" t="str">
        <f t="shared" si="1348"/>
        <v>24/10/2025</v>
      </c>
      <c r="B7311" t="str">
        <f t="shared" si="1352"/>
        <v>ENTRADA</v>
      </c>
      <c r="C7311" t="str">
        <f t="shared" si="1353"/>
        <v>NFSE</v>
      </c>
      <c r="D7311" t="str">
        <f t="shared" si="1354"/>
        <v>3498</v>
      </c>
      <c r="E7311" t="str">
        <f t="shared" si="1355"/>
        <v>1</v>
      </c>
      <c r="F7311" t="str">
        <f t="shared" si="1351"/>
        <v>COM</v>
      </c>
      <c r="G7311" t="str">
        <f t="shared" si="1356"/>
        <v>FARMÁCIA INDIANA LJ 1 (10126)</v>
      </c>
      <c r="H7311" t="s">
        <v>2005</v>
      </c>
      <c r="I7311" t="str">
        <f t="shared" si="1357"/>
        <v>22/10/2025</v>
      </c>
      <c r="J7311" t="str">
        <f t="shared" si="1358"/>
        <v>14/10/2025</v>
      </c>
      <c r="K7311">
        <v>45954</v>
      </c>
      <c r="N7311">
        <v>303</v>
      </c>
      <c r="O7311" t="s">
        <v>69</v>
      </c>
      <c r="Q7311">
        <v>845.47</v>
      </c>
      <c r="R7311" t="str">
        <f>"FARMÁCIA INDIANA LJ 112 (10050)"</f>
        <v>FARMÁCIA INDIANA LJ 112 (10050)</v>
      </c>
      <c r="S7311" t="s">
        <v>70</v>
      </c>
      <c r="T7311">
        <v>20146</v>
      </c>
      <c r="U7311">
        <v>23631</v>
      </c>
      <c r="V7311" t="s">
        <v>77</v>
      </c>
    </row>
    <row r="7312" spans="1:22">
      <c r="A7312" t="str">
        <f t="shared" si="1348"/>
        <v>24/10/2025</v>
      </c>
      <c r="B7312" t="str">
        <f t="shared" si="1352"/>
        <v>ENTRADA</v>
      </c>
      <c r="C7312" t="str">
        <f t="shared" si="1353"/>
        <v>NFSE</v>
      </c>
      <c r="D7312" t="str">
        <f t="shared" si="1354"/>
        <v>3498</v>
      </c>
      <c r="E7312" t="str">
        <f t="shared" si="1355"/>
        <v>1</v>
      </c>
      <c r="F7312" t="str">
        <f t="shared" si="1351"/>
        <v>COM</v>
      </c>
      <c r="G7312" t="str">
        <f t="shared" si="1356"/>
        <v>FARMÁCIA INDIANA LJ 1 (10126)</v>
      </c>
      <c r="H7312" t="s">
        <v>2005</v>
      </c>
      <c r="I7312" t="str">
        <f t="shared" si="1357"/>
        <v>22/10/2025</v>
      </c>
      <c r="J7312" t="str">
        <f t="shared" si="1358"/>
        <v>14/10/2025</v>
      </c>
      <c r="K7312">
        <v>45954</v>
      </c>
      <c r="N7312">
        <v>303</v>
      </c>
      <c r="O7312" t="s">
        <v>69</v>
      </c>
      <c r="Q7312">
        <v>845.47</v>
      </c>
      <c r="R7312" t="str">
        <f>"FARMÁCIA INDIANA LJ 116 (10051)"</f>
        <v>FARMÁCIA INDIANA LJ 116 (10051)</v>
      </c>
      <c r="S7312" t="s">
        <v>70</v>
      </c>
      <c r="T7312">
        <v>20146</v>
      </c>
      <c r="U7312">
        <v>23631</v>
      </c>
      <c r="V7312" t="s">
        <v>77</v>
      </c>
    </row>
    <row r="7313" spans="1:22">
      <c r="A7313" t="str">
        <f t="shared" si="1348"/>
        <v>24/10/2025</v>
      </c>
      <c r="B7313" t="str">
        <f t="shared" si="1352"/>
        <v>ENTRADA</v>
      </c>
      <c r="C7313" t="str">
        <f t="shared" si="1353"/>
        <v>NFSE</v>
      </c>
      <c r="D7313" t="str">
        <f t="shared" si="1354"/>
        <v>3498</v>
      </c>
      <c r="E7313" t="str">
        <f t="shared" si="1355"/>
        <v>1</v>
      </c>
      <c r="F7313" t="str">
        <f t="shared" si="1351"/>
        <v>COM</v>
      </c>
      <c r="G7313" t="str">
        <f t="shared" si="1356"/>
        <v>FARMÁCIA INDIANA LJ 1 (10126)</v>
      </c>
      <c r="H7313" t="s">
        <v>2005</v>
      </c>
      <c r="I7313" t="str">
        <f t="shared" si="1357"/>
        <v>22/10/2025</v>
      </c>
      <c r="J7313" t="str">
        <f t="shared" si="1358"/>
        <v>14/10/2025</v>
      </c>
      <c r="K7313">
        <v>45954</v>
      </c>
      <c r="N7313">
        <v>303</v>
      </c>
      <c r="O7313" t="s">
        <v>69</v>
      </c>
      <c r="Q7313">
        <v>1095.54</v>
      </c>
      <c r="R7313" t="str">
        <f>"FARMÁCIA INDIANA LJ 118 (10052)"</f>
        <v>FARMÁCIA INDIANA LJ 118 (10052)</v>
      </c>
      <c r="S7313" t="s">
        <v>70</v>
      </c>
      <c r="T7313">
        <v>20146</v>
      </c>
      <c r="U7313">
        <v>23631</v>
      </c>
      <c r="V7313" t="s">
        <v>77</v>
      </c>
    </row>
    <row r="7314" spans="1:22">
      <c r="A7314" t="str">
        <f t="shared" si="1348"/>
        <v>24/10/2025</v>
      </c>
      <c r="B7314" t="str">
        <f t="shared" si="1352"/>
        <v>ENTRADA</v>
      </c>
      <c r="C7314" t="str">
        <f t="shared" si="1353"/>
        <v>NFSE</v>
      </c>
      <c r="D7314" t="str">
        <f t="shared" si="1354"/>
        <v>3498</v>
      </c>
      <c r="E7314" t="str">
        <f t="shared" si="1355"/>
        <v>1</v>
      </c>
      <c r="F7314" t="str">
        <f t="shared" si="1351"/>
        <v>COM</v>
      </c>
      <c r="G7314" t="str">
        <f t="shared" si="1356"/>
        <v>FARMÁCIA INDIANA LJ 1 (10126)</v>
      </c>
      <c r="H7314" t="s">
        <v>2005</v>
      </c>
      <c r="I7314" t="str">
        <f t="shared" si="1357"/>
        <v>22/10/2025</v>
      </c>
      <c r="J7314" t="str">
        <f t="shared" si="1358"/>
        <v>14/10/2025</v>
      </c>
      <c r="K7314">
        <v>45954</v>
      </c>
      <c r="N7314">
        <v>303</v>
      </c>
      <c r="O7314" t="s">
        <v>69</v>
      </c>
      <c r="Q7314">
        <v>845.47</v>
      </c>
      <c r="R7314" t="str">
        <f>"FARMÁCIA INDIANA LJ 121 (10054)"</f>
        <v>FARMÁCIA INDIANA LJ 121 (10054)</v>
      </c>
      <c r="S7314" t="s">
        <v>70</v>
      </c>
      <c r="T7314">
        <v>20146</v>
      </c>
      <c r="U7314">
        <v>23631</v>
      </c>
      <c r="V7314" t="s">
        <v>77</v>
      </c>
    </row>
    <row r="7315" spans="1:22">
      <c r="A7315" t="str">
        <f t="shared" si="1348"/>
        <v>24/10/2025</v>
      </c>
      <c r="B7315" t="str">
        <f t="shared" si="1352"/>
        <v>ENTRADA</v>
      </c>
      <c r="C7315" t="str">
        <f t="shared" si="1353"/>
        <v>NFSE</v>
      </c>
      <c r="D7315" t="str">
        <f t="shared" si="1354"/>
        <v>3498</v>
      </c>
      <c r="E7315" t="str">
        <f t="shared" si="1355"/>
        <v>1</v>
      </c>
      <c r="F7315" t="str">
        <f t="shared" si="1351"/>
        <v>COM</v>
      </c>
      <c r="G7315" t="str">
        <f t="shared" si="1356"/>
        <v>FARMÁCIA INDIANA LJ 1 (10126)</v>
      </c>
      <c r="H7315" t="s">
        <v>2005</v>
      </c>
      <c r="I7315" t="str">
        <f t="shared" si="1357"/>
        <v>22/10/2025</v>
      </c>
      <c r="J7315" t="str">
        <f t="shared" si="1358"/>
        <v>14/10/2025</v>
      </c>
      <c r="K7315">
        <v>45954</v>
      </c>
      <c r="N7315">
        <v>303</v>
      </c>
      <c r="O7315" t="s">
        <v>69</v>
      </c>
      <c r="Q7315">
        <v>845.47</v>
      </c>
      <c r="R7315" t="str">
        <f>"FARMÁCIA INDIANA LJ 128 (10057)"</f>
        <v>FARMÁCIA INDIANA LJ 128 (10057)</v>
      </c>
      <c r="S7315" t="s">
        <v>70</v>
      </c>
      <c r="T7315">
        <v>20146</v>
      </c>
      <c r="U7315">
        <v>23631</v>
      </c>
      <c r="V7315" t="s">
        <v>77</v>
      </c>
    </row>
    <row r="7316" spans="1:22">
      <c r="A7316" t="str">
        <f t="shared" si="1348"/>
        <v>24/10/2025</v>
      </c>
      <c r="B7316" t="str">
        <f t="shared" si="1352"/>
        <v>ENTRADA</v>
      </c>
      <c r="C7316" t="str">
        <f t="shared" si="1353"/>
        <v>NFSE</v>
      </c>
      <c r="D7316" t="str">
        <f t="shared" si="1354"/>
        <v>3498</v>
      </c>
      <c r="E7316" t="str">
        <f t="shared" si="1355"/>
        <v>1</v>
      </c>
      <c r="F7316" t="str">
        <f t="shared" si="1351"/>
        <v>COM</v>
      </c>
      <c r="G7316" t="str">
        <f t="shared" si="1356"/>
        <v>FARMÁCIA INDIANA LJ 1 (10126)</v>
      </c>
      <c r="H7316" t="s">
        <v>2005</v>
      </c>
      <c r="I7316" t="str">
        <f t="shared" si="1357"/>
        <v>22/10/2025</v>
      </c>
      <c r="J7316" t="str">
        <f t="shared" si="1358"/>
        <v>14/10/2025</v>
      </c>
      <c r="K7316">
        <v>45954</v>
      </c>
      <c r="N7316">
        <v>303</v>
      </c>
      <c r="O7316" t="s">
        <v>69</v>
      </c>
      <c r="Q7316">
        <v>321.52</v>
      </c>
      <c r="R7316" t="str">
        <f>"FARMÁCIA INDIANA LJ 140 (10064)"</f>
        <v>FARMÁCIA INDIANA LJ 140 (10064)</v>
      </c>
      <c r="S7316" t="s">
        <v>70</v>
      </c>
      <c r="T7316">
        <v>20146</v>
      </c>
      <c r="U7316">
        <v>23631</v>
      </c>
      <c r="V7316" t="s">
        <v>77</v>
      </c>
    </row>
    <row r="7317" spans="1:22">
      <c r="A7317" t="str">
        <f t="shared" si="1348"/>
        <v>24/10/2025</v>
      </c>
      <c r="B7317" t="str">
        <f t="shared" si="1352"/>
        <v>ENTRADA</v>
      </c>
      <c r="C7317" t="str">
        <f t="shared" si="1353"/>
        <v>NFSE</v>
      </c>
      <c r="D7317" t="str">
        <f t="shared" si="1354"/>
        <v>3498</v>
      </c>
      <c r="E7317" t="str">
        <f t="shared" si="1355"/>
        <v>1</v>
      </c>
      <c r="F7317" t="str">
        <f t="shared" si="1351"/>
        <v>COM</v>
      </c>
      <c r="G7317" t="str">
        <f t="shared" si="1356"/>
        <v>FARMÁCIA INDIANA LJ 1 (10126)</v>
      </c>
      <c r="H7317" t="s">
        <v>2005</v>
      </c>
      <c r="I7317" t="str">
        <f t="shared" si="1357"/>
        <v>22/10/2025</v>
      </c>
      <c r="J7317" t="str">
        <f t="shared" si="1358"/>
        <v>14/10/2025</v>
      </c>
      <c r="K7317">
        <v>45954</v>
      </c>
      <c r="N7317">
        <v>303</v>
      </c>
      <c r="O7317" t="s">
        <v>69</v>
      </c>
      <c r="Q7317">
        <v>119.08</v>
      </c>
      <c r="R7317" t="str">
        <f>"FARMÁCIA INDIANA LJ 141 (10065)"</f>
        <v>FARMÁCIA INDIANA LJ 141 (10065)</v>
      </c>
      <c r="S7317" t="s">
        <v>70</v>
      </c>
      <c r="T7317">
        <v>20146</v>
      </c>
      <c r="U7317">
        <v>23631</v>
      </c>
      <c r="V7317" t="s">
        <v>77</v>
      </c>
    </row>
    <row r="7318" spans="1:22">
      <c r="A7318" t="str">
        <f t="shared" si="1348"/>
        <v>24/10/2025</v>
      </c>
      <c r="B7318" t="str">
        <f t="shared" si="1352"/>
        <v>ENTRADA</v>
      </c>
      <c r="C7318" t="str">
        <f t="shared" si="1353"/>
        <v>NFSE</v>
      </c>
      <c r="D7318" t="str">
        <f t="shared" si="1354"/>
        <v>3498</v>
      </c>
      <c r="E7318" t="str">
        <f t="shared" si="1355"/>
        <v>1</v>
      </c>
      <c r="F7318" t="str">
        <f t="shared" si="1351"/>
        <v>COM</v>
      </c>
      <c r="G7318" t="str">
        <f t="shared" si="1356"/>
        <v>FARMÁCIA INDIANA LJ 1 (10126)</v>
      </c>
      <c r="H7318" t="s">
        <v>2005</v>
      </c>
      <c r="I7318" t="str">
        <f t="shared" si="1357"/>
        <v>22/10/2025</v>
      </c>
      <c r="J7318" t="str">
        <f t="shared" si="1358"/>
        <v>14/10/2025</v>
      </c>
      <c r="K7318">
        <v>45954</v>
      </c>
      <c r="N7318">
        <v>303</v>
      </c>
      <c r="O7318" t="s">
        <v>69</v>
      </c>
      <c r="Q7318">
        <v>6656.6</v>
      </c>
      <c r="R7318" t="str">
        <f>"FARMÁCIA INDIANA LJ 142 (10066)"</f>
        <v>FARMÁCIA INDIANA LJ 142 (10066)</v>
      </c>
      <c r="S7318" t="s">
        <v>70</v>
      </c>
      <c r="T7318">
        <v>20146</v>
      </c>
      <c r="U7318">
        <v>23631</v>
      </c>
      <c r="V7318" t="s">
        <v>77</v>
      </c>
    </row>
    <row r="7319" spans="1:22">
      <c r="A7319" t="str">
        <f t="shared" si="1348"/>
        <v>24/10/2025</v>
      </c>
      <c r="B7319" t="str">
        <f t="shared" si="1352"/>
        <v>ENTRADA</v>
      </c>
      <c r="C7319" t="str">
        <f t="shared" si="1353"/>
        <v>NFSE</v>
      </c>
      <c r="D7319" t="str">
        <f t="shared" si="1354"/>
        <v>3498</v>
      </c>
      <c r="E7319" t="str">
        <f t="shared" si="1355"/>
        <v>1</v>
      </c>
      <c r="F7319" t="str">
        <f t="shared" si="1351"/>
        <v>COM</v>
      </c>
      <c r="G7319" t="str">
        <f t="shared" si="1356"/>
        <v>FARMÁCIA INDIANA LJ 1 (10126)</v>
      </c>
      <c r="H7319" t="s">
        <v>2005</v>
      </c>
      <c r="I7319" t="str">
        <f t="shared" si="1357"/>
        <v>22/10/2025</v>
      </c>
      <c r="J7319" t="str">
        <f t="shared" si="1358"/>
        <v>14/10/2025</v>
      </c>
      <c r="K7319">
        <v>45954</v>
      </c>
      <c r="N7319">
        <v>303</v>
      </c>
      <c r="O7319" t="s">
        <v>69</v>
      </c>
      <c r="Q7319">
        <v>607.30999999999995</v>
      </c>
      <c r="R7319" t="str">
        <f>"FARMÁCIA INDIANA LJ 143 (10067)"</f>
        <v>FARMÁCIA INDIANA LJ 143 (10067)</v>
      </c>
      <c r="S7319" t="s">
        <v>70</v>
      </c>
      <c r="T7319">
        <v>20146</v>
      </c>
      <c r="U7319">
        <v>23631</v>
      </c>
      <c r="V7319" t="s">
        <v>77</v>
      </c>
    </row>
    <row r="7320" spans="1:22">
      <c r="A7320" t="str">
        <f t="shared" si="1348"/>
        <v>24/10/2025</v>
      </c>
      <c r="B7320" t="str">
        <f t="shared" si="1352"/>
        <v>ENTRADA</v>
      </c>
      <c r="C7320" t="str">
        <f t="shared" si="1353"/>
        <v>NFSE</v>
      </c>
      <c r="D7320" t="str">
        <f t="shared" si="1354"/>
        <v>3498</v>
      </c>
      <c r="E7320" t="str">
        <f t="shared" si="1355"/>
        <v>1</v>
      </c>
      <c r="F7320" t="str">
        <f t="shared" si="1351"/>
        <v>COM</v>
      </c>
      <c r="G7320" t="str">
        <f t="shared" si="1356"/>
        <v>FARMÁCIA INDIANA LJ 1 (10126)</v>
      </c>
      <c r="H7320" t="s">
        <v>2005</v>
      </c>
      <c r="I7320" t="str">
        <f t="shared" si="1357"/>
        <v>22/10/2025</v>
      </c>
      <c r="J7320" t="str">
        <f t="shared" si="1358"/>
        <v>14/10/2025</v>
      </c>
      <c r="K7320">
        <v>45954</v>
      </c>
      <c r="N7320">
        <v>303</v>
      </c>
      <c r="O7320" t="s">
        <v>69</v>
      </c>
      <c r="Q7320">
        <v>4048.74</v>
      </c>
      <c r="R7320" t="str">
        <f>"FARMÁCIA INDIANA LJ 152 (10069)"</f>
        <v>FARMÁCIA INDIANA LJ 152 (10069)</v>
      </c>
      <c r="S7320" t="s">
        <v>70</v>
      </c>
      <c r="T7320">
        <v>20146</v>
      </c>
      <c r="U7320">
        <v>23631</v>
      </c>
      <c r="V7320" t="s">
        <v>77</v>
      </c>
    </row>
    <row r="7321" spans="1:22">
      <c r="A7321" t="str">
        <f t="shared" si="1348"/>
        <v>24/10/2025</v>
      </c>
      <c r="B7321" t="str">
        <f t="shared" si="1352"/>
        <v>ENTRADA</v>
      </c>
      <c r="C7321" t="str">
        <f t="shared" si="1353"/>
        <v>NFSE</v>
      </c>
      <c r="D7321" t="str">
        <f t="shared" si="1354"/>
        <v>3498</v>
      </c>
      <c r="E7321" t="str">
        <f t="shared" si="1355"/>
        <v>1</v>
      </c>
      <c r="F7321" t="str">
        <f t="shared" si="1351"/>
        <v>COM</v>
      </c>
      <c r="G7321" t="str">
        <f t="shared" si="1356"/>
        <v>FARMÁCIA INDIANA LJ 1 (10126)</v>
      </c>
      <c r="H7321" t="s">
        <v>2005</v>
      </c>
      <c r="I7321" t="str">
        <f t="shared" si="1357"/>
        <v>22/10/2025</v>
      </c>
      <c r="J7321" t="str">
        <f t="shared" si="1358"/>
        <v>14/10/2025</v>
      </c>
      <c r="K7321">
        <v>45954</v>
      </c>
      <c r="N7321">
        <v>303</v>
      </c>
      <c r="O7321" t="s">
        <v>69</v>
      </c>
      <c r="Q7321">
        <v>297.7</v>
      </c>
      <c r="R7321" t="str">
        <f>"FARMÁCIA INDIANA LJ 154 (10070)"</f>
        <v>FARMÁCIA INDIANA LJ 154 (10070)</v>
      </c>
      <c r="S7321" t="s">
        <v>70</v>
      </c>
      <c r="T7321">
        <v>20146</v>
      </c>
      <c r="U7321">
        <v>23631</v>
      </c>
      <c r="V7321" t="s">
        <v>77</v>
      </c>
    </row>
    <row r="7322" spans="1:22">
      <c r="A7322" t="str">
        <f t="shared" si="1348"/>
        <v>24/10/2025</v>
      </c>
      <c r="B7322" t="str">
        <f t="shared" si="1352"/>
        <v>ENTRADA</v>
      </c>
      <c r="C7322" t="str">
        <f t="shared" si="1353"/>
        <v>NFSE</v>
      </c>
      <c r="D7322" t="str">
        <f t="shared" si="1354"/>
        <v>3498</v>
      </c>
      <c r="E7322" t="str">
        <f t="shared" si="1355"/>
        <v>1</v>
      </c>
      <c r="F7322" t="str">
        <f t="shared" si="1351"/>
        <v>COM</v>
      </c>
      <c r="G7322" t="str">
        <f t="shared" si="1356"/>
        <v>FARMÁCIA INDIANA LJ 1 (10126)</v>
      </c>
      <c r="H7322" t="s">
        <v>2005</v>
      </c>
      <c r="I7322" t="str">
        <f t="shared" si="1357"/>
        <v>22/10/2025</v>
      </c>
      <c r="J7322" t="str">
        <f t="shared" si="1358"/>
        <v>14/10/2025</v>
      </c>
      <c r="K7322">
        <v>45954</v>
      </c>
      <c r="N7322">
        <v>303</v>
      </c>
      <c r="O7322" t="s">
        <v>69</v>
      </c>
      <c r="Q7322">
        <v>1821.93</v>
      </c>
      <c r="R7322" t="str">
        <f>"FARMÁCIA INDIANA LJ 171 (10074)"</f>
        <v>FARMÁCIA INDIANA LJ 171 (10074)</v>
      </c>
      <c r="S7322" t="s">
        <v>70</v>
      </c>
      <c r="T7322">
        <v>20146</v>
      </c>
      <c r="U7322">
        <v>23631</v>
      </c>
      <c r="V7322" t="s">
        <v>77</v>
      </c>
    </row>
    <row r="7323" spans="1:22">
      <c r="A7323" t="str">
        <f t="shared" si="1348"/>
        <v>24/10/2025</v>
      </c>
      <c r="B7323" t="str">
        <f t="shared" si="1352"/>
        <v>ENTRADA</v>
      </c>
      <c r="C7323" t="str">
        <f t="shared" si="1353"/>
        <v>NFSE</v>
      </c>
      <c r="D7323" t="str">
        <f t="shared" si="1354"/>
        <v>3498</v>
      </c>
      <c r="E7323" t="str">
        <f t="shared" si="1355"/>
        <v>1</v>
      </c>
      <c r="F7323" t="str">
        <f t="shared" si="1351"/>
        <v>COM</v>
      </c>
      <c r="G7323" t="str">
        <f t="shared" si="1356"/>
        <v>FARMÁCIA INDIANA LJ 1 (10126)</v>
      </c>
      <c r="H7323" t="s">
        <v>2005</v>
      </c>
      <c r="I7323" t="str">
        <f t="shared" si="1357"/>
        <v>22/10/2025</v>
      </c>
      <c r="J7323" t="str">
        <f t="shared" si="1358"/>
        <v>14/10/2025</v>
      </c>
      <c r="K7323">
        <v>45954</v>
      </c>
      <c r="N7323">
        <v>303</v>
      </c>
      <c r="O7323" t="s">
        <v>69</v>
      </c>
      <c r="Q7323">
        <v>702.58</v>
      </c>
      <c r="R7323" t="str">
        <f>"FARMÁCIA INDIANA LJ 175 (10076)"</f>
        <v>FARMÁCIA INDIANA LJ 175 (10076)</v>
      </c>
      <c r="S7323" t="s">
        <v>70</v>
      </c>
      <c r="T7323">
        <v>20146</v>
      </c>
      <c r="U7323">
        <v>23631</v>
      </c>
      <c r="V7323" t="s">
        <v>77</v>
      </c>
    </row>
    <row r="7324" spans="1:22">
      <c r="A7324" t="str">
        <f t="shared" si="1348"/>
        <v>24/10/2025</v>
      </c>
      <c r="B7324" t="str">
        <f t="shared" si="1352"/>
        <v>ENTRADA</v>
      </c>
      <c r="C7324" t="str">
        <f t="shared" si="1353"/>
        <v>NFSE</v>
      </c>
      <c r="D7324" t="str">
        <f t="shared" si="1354"/>
        <v>3498</v>
      </c>
      <c r="E7324" t="str">
        <f t="shared" si="1355"/>
        <v>1</v>
      </c>
      <c r="F7324" t="str">
        <f t="shared" si="1351"/>
        <v>COM</v>
      </c>
      <c r="G7324" t="str">
        <f t="shared" si="1356"/>
        <v>FARMÁCIA INDIANA LJ 1 (10126)</v>
      </c>
      <c r="H7324" t="s">
        <v>2005</v>
      </c>
      <c r="I7324" t="str">
        <f t="shared" si="1357"/>
        <v>22/10/2025</v>
      </c>
      <c r="J7324" t="str">
        <f t="shared" si="1358"/>
        <v>14/10/2025</v>
      </c>
      <c r="K7324">
        <v>45954</v>
      </c>
      <c r="N7324">
        <v>303</v>
      </c>
      <c r="O7324" t="s">
        <v>69</v>
      </c>
      <c r="Q7324">
        <v>1178.9000000000001</v>
      </c>
      <c r="R7324" t="str">
        <f>"FARMÁCIA INDIANA LJ 178 (10077)"</f>
        <v>FARMÁCIA INDIANA LJ 178 (10077)</v>
      </c>
      <c r="S7324" t="s">
        <v>70</v>
      </c>
      <c r="T7324">
        <v>20146</v>
      </c>
      <c r="U7324">
        <v>23631</v>
      </c>
      <c r="V7324" t="s">
        <v>77</v>
      </c>
    </row>
    <row r="7325" spans="1:22">
      <c r="A7325" t="str">
        <f t="shared" si="1348"/>
        <v>24/10/2025</v>
      </c>
      <c r="B7325" t="str">
        <f t="shared" si="1352"/>
        <v>ENTRADA</v>
      </c>
      <c r="C7325" t="str">
        <f t="shared" si="1353"/>
        <v>NFSE</v>
      </c>
      <c r="D7325" t="str">
        <f t="shared" si="1354"/>
        <v>3498</v>
      </c>
      <c r="E7325" t="str">
        <f t="shared" si="1355"/>
        <v>1</v>
      </c>
      <c r="F7325" t="str">
        <f t="shared" si="1351"/>
        <v>COM</v>
      </c>
      <c r="G7325" t="str">
        <f t="shared" si="1356"/>
        <v>FARMÁCIA INDIANA LJ 1 (10126)</v>
      </c>
      <c r="H7325" t="s">
        <v>2005</v>
      </c>
      <c r="I7325" t="str">
        <f t="shared" si="1357"/>
        <v>22/10/2025</v>
      </c>
      <c r="J7325" t="str">
        <f t="shared" si="1358"/>
        <v>14/10/2025</v>
      </c>
      <c r="K7325">
        <v>45954</v>
      </c>
      <c r="N7325">
        <v>303</v>
      </c>
      <c r="O7325" t="s">
        <v>69</v>
      </c>
      <c r="Q7325">
        <v>416.78</v>
      </c>
      <c r="R7325" t="str">
        <f>"FARMÁCIA INDIANA LJ 182 (10079)"</f>
        <v>FARMÁCIA INDIANA LJ 182 (10079)</v>
      </c>
      <c r="S7325" t="s">
        <v>70</v>
      </c>
      <c r="T7325">
        <v>20146</v>
      </c>
      <c r="U7325">
        <v>23631</v>
      </c>
      <c r="V7325" t="s">
        <v>77</v>
      </c>
    </row>
    <row r="7326" spans="1:22">
      <c r="A7326" t="str">
        <f t="shared" si="1348"/>
        <v>24/10/2025</v>
      </c>
      <c r="B7326" t="str">
        <f t="shared" si="1352"/>
        <v>ENTRADA</v>
      </c>
      <c r="C7326" t="str">
        <f t="shared" si="1353"/>
        <v>NFSE</v>
      </c>
      <c r="D7326" t="str">
        <f t="shared" si="1354"/>
        <v>3498</v>
      </c>
      <c r="E7326" t="str">
        <f t="shared" si="1355"/>
        <v>1</v>
      </c>
      <c r="F7326" t="str">
        <f t="shared" si="1351"/>
        <v>COM</v>
      </c>
      <c r="G7326" t="str">
        <f t="shared" si="1356"/>
        <v>FARMÁCIA INDIANA LJ 1 (10126)</v>
      </c>
      <c r="H7326" t="s">
        <v>2005</v>
      </c>
      <c r="I7326" t="str">
        <f t="shared" si="1357"/>
        <v>22/10/2025</v>
      </c>
      <c r="J7326" t="str">
        <f t="shared" si="1358"/>
        <v>14/10/2025</v>
      </c>
      <c r="K7326">
        <v>45954</v>
      </c>
      <c r="N7326">
        <v>303</v>
      </c>
      <c r="O7326" t="s">
        <v>69</v>
      </c>
      <c r="Q7326">
        <v>357.24</v>
      </c>
      <c r="R7326" t="str">
        <f>"FARMÁCIA INDIANA LJ 184 (10080)"</f>
        <v>FARMÁCIA INDIANA LJ 184 (10080)</v>
      </c>
      <c r="S7326" t="s">
        <v>70</v>
      </c>
      <c r="T7326">
        <v>20146</v>
      </c>
      <c r="U7326">
        <v>23631</v>
      </c>
      <c r="V7326" t="s">
        <v>77</v>
      </c>
    </row>
    <row r="7327" spans="1:22">
      <c r="A7327" t="str">
        <f t="shared" si="1348"/>
        <v>24/10/2025</v>
      </c>
      <c r="B7327" t="str">
        <f t="shared" si="1352"/>
        <v>ENTRADA</v>
      </c>
      <c r="C7327" t="str">
        <f t="shared" si="1353"/>
        <v>NFSE</v>
      </c>
      <c r="D7327" t="str">
        <f t="shared" si="1354"/>
        <v>3498</v>
      </c>
      <c r="E7327" t="str">
        <f t="shared" si="1355"/>
        <v>1</v>
      </c>
      <c r="F7327" t="str">
        <f t="shared" si="1351"/>
        <v>COM</v>
      </c>
      <c r="G7327" t="str">
        <f t="shared" si="1356"/>
        <v>FARMÁCIA INDIANA LJ 1 (10126)</v>
      </c>
      <c r="H7327" t="s">
        <v>2005</v>
      </c>
      <c r="I7327" t="str">
        <f t="shared" si="1357"/>
        <v>22/10/2025</v>
      </c>
      <c r="J7327" t="str">
        <f t="shared" si="1358"/>
        <v>14/10/2025</v>
      </c>
      <c r="K7327">
        <v>45954</v>
      </c>
      <c r="N7327">
        <v>303</v>
      </c>
      <c r="O7327" t="s">
        <v>69</v>
      </c>
      <c r="Q7327">
        <v>416.78</v>
      </c>
      <c r="R7327" t="str">
        <f>"FARMÁCIA INDIANA LJ 186 (10081)"</f>
        <v>FARMÁCIA INDIANA LJ 186 (10081)</v>
      </c>
      <c r="S7327" t="s">
        <v>70</v>
      </c>
      <c r="T7327">
        <v>20146</v>
      </c>
      <c r="U7327">
        <v>23631</v>
      </c>
      <c r="V7327" t="s">
        <v>77</v>
      </c>
    </row>
    <row r="7328" spans="1:22">
      <c r="A7328" t="str">
        <f t="shared" si="1348"/>
        <v>24/10/2025</v>
      </c>
      <c r="B7328" t="str">
        <f t="shared" si="1352"/>
        <v>ENTRADA</v>
      </c>
      <c r="C7328" t="str">
        <f t="shared" si="1353"/>
        <v>NFSE</v>
      </c>
      <c r="D7328" t="str">
        <f t="shared" si="1354"/>
        <v>3498</v>
      </c>
      <c r="E7328" t="str">
        <f t="shared" si="1355"/>
        <v>1</v>
      </c>
      <c r="F7328" t="str">
        <f t="shared" si="1351"/>
        <v>COM</v>
      </c>
      <c r="G7328" t="str">
        <f t="shared" si="1356"/>
        <v>FARMÁCIA INDIANA LJ 1 (10126)</v>
      </c>
      <c r="H7328" t="s">
        <v>2005</v>
      </c>
      <c r="I7328" t="str">
        <f t="shared" si="1357"/>
        <v>22/10/2025</v>
      </c>
      <c r="J7328" t="str">
        <f t="shared" si="1358"/>
        <v>14/10/2025</v>
      </c>
      <c r="K7328">
        <v>45954</v>
      </c>
      <c r="N7328">
        <v>303</v>
      </c>
      <c r="O7328" t="s">
        <v>69</v>
      </c>
      <c r="Q7328">
        <v>869.29</v>
      </c>
      <c r="R7328" t="str">
        <f>"FARMÁCIA INDIANA LJ 192 (10082)"</f>
        <v>FARMÁCIA INDIANA LJ 192 (10082)</v>
      </c>
      <c r="S7328" t="s">
        <v>70</v>
      </c>
      <c r="T7328">
        <v>20146</v>
      </c>
      <c r="U7328">
        <v>23631</v>
      </c>
      <c r="V7328" t="s">
        <v>77</v>
      </c>
    </row>
    <row r="7329" spans="1:22">
      <c r="A7329" t="str">
        <f t="shared" si="1348"/>
        <v>24/10/2025</v>
      </c>
      <c r="B7329" t="str">
        <f t="shared" si="1352"/>
        <v>ENTRADA</v>
      </c>
      <c r="C7329" t="str">
        <f t="shared" si="1353"/>
        <v>NFSE</v>
      </c>
      <c r="D7329" t="str">
        <f t="shared" si="1354"/>
        <v>3498</v>
      </c>
      <c r="E7329" t="str">
        <f t="shared" si="1355"/>
        <v>1</v>
      </c>
      <c r="F7329" t="str">
        <f t="shared" si="1351"/>
        <v>COM</v>
      </c>
      <c r="G7329" t="str">
        <f t="shared" si="1356"/>
        <v>FARMÁCIA INDIANA LJ 1 (10126)</v>
      </c>
      <c r="H7329" t="s">
        <v>2005</v>
      </c>
      <c r="I7329" t="str">
        <f t="shared" si="1357"/>
        <v>22/10/2025</v>
      </c>
      <c r="J7329" t="str">
        <f t="shared" si="1358"/>
        <v>14/10/2025</v>
      </c>
      <c r="K7329">
        <v>45954</v>
      </c>
      <c r="N7329">
        <v>303</v>
      </c>
      <c r="O7329" t="s">
        <v>69</v>
      </c>
      <c r="Q7329">
        <v>357.24</v>
      </c>
      <c r="R7329" t="str">
        <f>"FARMÁCIA INDIANA LJ 195 (10083)"</f>
        <v>FARMÁCIA INDIANA LJ 195 (10083)</v>
      </c>
      <c r="S7329" t="s">
        <v>70</v>
      </c>
      <c r="T7329">
        <v>20146</v>
      </c>
      <c r="U7329">
        <v>23631</v>
      </c>
      <c r="V7329" t="s">
        <v>77</v>
      </c>
    </row>
    <row r="7330" spans="1:22">
      <c r="A7330" t="str">
        <f t="shared" si="1348"/>
        <v>24/10/2025</v>
      </c>
      <c r="B7330" t="str">
        <f t="shared" si="1352"/>
        <v>ENTRADA</v>
      </c>
      <c r="C7330" t="str">
        <f t="shared" si="1353"/>
        <v>NFSE</v>
      </c>
      <c r="D7330" t="str">
        <f t="shared" si="1354"/>
        <v>3498</v>
      </c>
      <c r="E7330" t="str">
        <f t="shared" si="1355"/>
        <v>1</v>
      </c>
      <c r="F7330" t="str">
        <f t="shared" si="1351"/>
        <v>COM</v>
      </c>
      <c r="G7330" t="str">
        <f t="shared" si="1356"/>
        <v>FARMÁCIA INDIANA LJ 1 (10126)</v>
      </c>
      <c r="H7330" t="s">
        <v>2005</v>
      </c>
      <c r="I7330" t="str">
        <f t="shared" si="1357"/>
        <v>22/10/2025</v>
      </c>
      <c r="J7330" t="str">
        <f t="shared" si="1358"/>
        <v>14/10/2025</v>
      </c>
      <c r="K7330">
        <v>45954</v>
      </c>
      <c r="N7330">
        <v>303</v>
      </c>
      <c r="O7330" t="s">
        <v>69</v>
      </c>
      <c r="Q7330">
        <v>845.47</v>
      </c>
      <c r="R7330" t="str">
        <f>"FARMÁCIA INDIANA LJ 202 (10085)"</f>
        <v>FARMÁCIA INDIANA LJ 202 (10085)</v>
      </c>
      <c r="S7330" t="s">
        <v>70</v>
      </c>
      <c r="T7330">
        <v>20146</v>
      </c>
      <c r="U7330">
        <v>23631</v>
      </c>
      <c r="V7330" t="s">
        <v>77</v>
      </c>
    </row>
    <row r="7331" spans="1:22">
      <c r="A7331" t="str">
        <f t="shared" si="1348"/>
        <v>24/10/2025</v>
      </c>
      <c r="B7331" t="str">
        <f t="shared" si="1352"/>
        <v>ENTRADA</v>
      </c>
      <c r="C7331" t="str">
        <f t="shared" si="1353"/>
        <v>NFSE</v>
      </c>
      <c r="D7331" t="str">
        <f t="shared" si="1354"/>
        <v>3498</v>
      </c>
      <c r="E7331" t="str">
        <f t="shared" si="1355"/>
        <v>1</v>
      </c>
      <c r="F7331" t="str">
        <f t="shared" si="1351"/>
        <v>COM</v>
      </c>
      <c r="G7331" t="str">
        <f t="shared" si="1356"/>
        <v>FARMÁCIA INDIANA LJ 1 (10126)</v>
      </c>
      <c r="H7331" t="s">
        <v>2005</v>
      </c>
      <c r="I7331" t="str">
        <f t="shared" si="1357"/>
        <v>22/10/2025</v>
      </c>
      <c r="J7331" t="str">
        <f t="shared" si="1358"/>
        <v>14/10/2025</v>
      </c>
      <c r="K7331">
        <v>45954</v>
      </c>
      <c r="N7331">
        <v>303</v>
      </c>
      <c r="O7331" t="s">
        <v>69</v>
      </c>
      <c r="Q7331">
        <v>714.48</v>
      </c>
      <c r="R7331" t="str">
        <f>"FARMÁCIA INDIANA LJ 204 (10087)"</f>
        <v>FARMÁCIA INDIANA LJ 204 (10087)</v>
      </c>
      <c r="S7331" t="s">
        <v>70</v>
      </c>
      <c r="T7331">
        <v>20146</v>
      </c>
      <c r="U7331">
        <v>23631</v>
      </c>
      <c r="V7331" t="s">
        <v>77</v>
      </c>
    </row>
    <row r="7332" spans="1:22">
      <c r="A7332" t="str">
        <f t="shared" si="1348"/>
        <v>24/10/2025</v>
      </c>
      <c r="B7332" t="str">
        <f t="shared" si="1352"/>
        <v>ENTRADA</v>
      </c>
      <c r="C7332" t="str">
        <f t="shared" si="1353"/>
        <v>NFSE</v>
      </c>
      <c r="D7332" t="str">
        <f t="shared" si="1354"/>
        <v>3498</v>
      </c>
      <c r="E7332" t="str">
        <f t="shared" si="1355"/>
        <v>1</v>
      </c>
      <c r="F7332" t="str">
        <f t="shared" si="1351"/>
        <v>COM</v>
      </c>
      <c r="G7332" t="str">
        <f t="shared" si="1356"/>
        <v>FARMÁCIA INDIANA LJ 1 (10126)</v>
      </c>
      <c r="H7332" t="s">
        <v>2005</v>
      </c>
      <c r="I7332" t="str">
        <f t="shared" si="1357"/>
        <v>22/10/2025</v>
      </c>
      <c r="J7332" t="str">
        <f t="shared" si="1358"/>
        <v>14/10/2025</v>
      </c>
      <c r="K7332">
        <v>45954</v>
      </c>
      <c r="N7332">
        <v>303</v>
      </c>
      <c r="O7332" t="s">
        <v>69</v>
      </c>
      <c r="Q7332">
        <v>1321.79</v>
      </c>
      <c r="R7332" t="str">
        <f>"FARMÁCIA INDIANA LJ 207 (10088)"</f>
        <v>FARMÁCIA INDIANA LJ 207 (10088)</v>
      </c>
      <c r="S7332" t="s">
        <v>70</v>
      </c>
      <c r="T7332">
        <v>20146</v>
      </c>
      <c r="U7332">
        <v>23631</v>
      </c>
      <c r="V7332" t="s">
        <v>77</v>
      </c>
    </row>
    <row r="7333" spans="1:22">
      <c r="A7333" t="str">
        <f t="shared" si="1348"/>
        <v>24/10/2025</v>
      </c>
      <c r="B7333" t="str">
        <f t="shared" si="1352"/>
        <v>ENTRADA</v>
      </c>
      <c r="C7333" t="str">
        <f t="shared" si="1353"/>
        <v>NFSE</v>
      </c>
      <c r="D7333" t="str">
        <f t="shared" si="1354"/>
        <v>3498</v>
      </c>
      <c r="E7333" t="str">
        <f t="shared" si="1355"/>
        <v>1</v>
      </c>
      <c r="F7333" t="str">
        <f t="shared" si="1351"/>
        <v>COM</v>
      </c>
      <c r="G7333" t="str">
        <f t="shared" si="1356"/>
        <v>FARMÁCIA INDIANA LJ 1 (10126)</v>
      </c>
      <c r="H7333" t="s">
        <v>2005</v>
      </c>
      <c r="I7333" t="str">
        <f t="shared" si="1357"/>
        <v>22/10/2025</v>
      </c>
      <c r="J7333" t="str">
        <f t="shared" si="1358"/>
        <v>14/10/2025</v>
      </c>
      <c r="K7333">
        <v>45954</v>
      </c>
      <c r="N7333">
        <v>303</v>
      </c>
      <c r="O7333" t="s">
        <v>69</v>
      </c>
      <c r="Q7333">
        <v>1131.27</v>
      </c>
      <c r="R7333" t="str">
        <f>"FARMÁCIA INDIANA LJ 209 (10089)"</f>
        <v>FARMÁCIA INDIANA LJ 209 (10089)</v>
      </c>
      <c r="S7333" t="s">
        <v>70</v>
      </c>
      <c r="T7333">
        <v>20146</v>
      </c>
      <c r="U7333">
        <v>23631</v>
      </c>
      <c r="V7333" t="s">
        <v>77</v>
      </c>
    </row>
    <row r="7334" spans="1:22">
      <c r="A7334" t="str">
        <f t="shared" si="1348"/>
        <v>24/10/2025</v>
      </c>
      <c r="B7334" t="str">
        <f t="shared" si="1352"/>
        <v>ENTRADA</v>
      </c>
      <c r="C7334" t="str">
        <f t="shared" si="1353"/>
        <v>NFSE</v>
      </c>
      <c r="D7334" t="str">
        <f t="shared" si="1354"/>
        <v>3498</v>
      </c>
      <c r="E7334" t="str">
        <f t="shared" si="1355"/>
        <v>1</v>
      </c>
      <c r="F7334" t="str">
        <f t="shared" si="1351"/>
        <v>COM</v>
      </c>
      <c r="G7334" t="str">
        <f t="shared" si="1356"/>
        <v>FARMÁCIA INDIANA LJ 1 (10126)</v>
      </c>
      <c r="H7334" t="s">
        <v>2005</v>
      </c>
      <c r="I7334" t="str">
        <f t="shared" si="1357"/>
        <v>22/10/2025</v>
      </c>
      <c r="J7334" t="str">
        <f t="shared" si="1358"/>
        <v>14/10/2025</v>
      </c>
      <c r="K7334">
        <v>45954</v>
      </c>
      <c r="N7334">
        <v>303</v>
      </c>
      <c r="O7334" t="s">
        <v>69</v>
      </c>
      <c r="Q7334">
        <v>845.47</v>
      </c>
      <c r="R7334" t="str">
        <f>"FARMÁCIA INDIANA LJ 219 (10091)"</f>
        <v>FARMÁCIA INDIANA LJ 219 (10091)</v>
      </c>
      <c r="S7334" t="s">
        <v>70</v>
      </c>
      <c r="T7334">
        <v>20146</v>
      </c>
      <c r="U7334">
        <v>23631</v>
      </c>
      <c r="V7334" t="s">
        <v>77</v>
      </c>
    </row>
    <row r="7335" spans="1:22">
      <c r="A7335" t="str">
        <f t="shared" si="1348"/>
        <v>24/10/2025</v>
      </c>
      <c r="B7335" t="str">
        <f t="shared" si="1352"/>
        <v>ENTRADA</v>
      </c>
      <c r="C7335" t="str">
        <f t="shared" si="1353"/>
        <v>NFSE</v>
      </c>
      <c r="D7335" t="str">
        <f t="shared" si="1354"/>
        <v>3498</v>
      </c>
      <c r="E7335" t="str">
        <f t="shared" si="1355"/>
        <v>1</v>
      </c>
      <c r="F7335" t="str">
        <f t="shared" si="1351"/>
        <v>COM</v>
      </c>
      <c r="G7335" t="str">
        <f t="shared" si="1356"/>
        <v>FARMÁCIA INDIANA LJ 1 (10126)</v>
      </c>
      <c r="H7335" t="s">
        <v>2005</v>
      </c>
      <c r="I7335" t="str">
        <f t="shared" si="1357"/>
        <v>22/10/2025</v>
      </c>
      <c r="J7335" t="str">
        <f t="shared" si="1358"/>
        <v>14/10/2025</v>
      </c>
      <c r="K7335">
        <v>45954</v>
      </c>
      <c r="N7335">
        <v>303</v>
      </c>
      <c r="O7335" t="s">
        <v>69</v>
      </c>
      <c r="Q7335">
        <v>2238.71</v>
      </c>
      <c r="R7335" t="str">
        <f>"FARMÁCIA INDIANA LJ 220 (10092)"</f>
        <v>FARMÁCIA INDIANA LJ 220 (10092)</v>
      </c>
      <c r="S7335" t="s">
        <v>70</v>
      </c>
      <c r="T7335">
        <v>20146</v>
      </c>
      <c r="U7335">
        <v>23631</v>
      </c>
      <c r="V7335" t="s">
        <v>77</v>
      </c>
    </row>
    <row r="7336" spans="1:22">
      <c r="A7336" t="str">
        <f t="shared" si="1348"/>
        <v>24/10/2025</v>
      </c>
      <c r="B7336" t="str">
        <f t="shared" si="1352"/>
        <v>ENTRADA</v>
      </c>
      <c r="C7336" t="str">
        <f t="shared" si="1353"/>
        <v>NFSE</v>
      </c>
      <c r="D7336" t="str">
        <f t="shared" si="1354"/>
        <v>3498</v>
      </c>
      <c r="E7336" t="str">
        <f t="shared" si="1355"/>
        <v>1</v>
      </c>
      <c r="F7336" t="str">
        <f t="shared" si="1351"/>
        <v>COM</v>
      </c>
      <c r="G7336" t="str">
        <f t="shared" si="1356"/>
        <v>FARMÁCIA INDIANA LJ 1 (10126)</v>
      </c>
      <c r="H7336" t="s">
        <v>2005</v>
      </c>
      <c r="I7336" t="str">
        <f t="shared" si="1357"/>
        <v>22/10/2025</v>
      </c>
      <c r="J7336" t="str">
        <f t="shared" si="1358"/>
        <v>14/10/2025</v>
      </c>
      <c r="K7336">
        <v>45954</v>
      </c>
      <c r="N7336">
        <v>303</v>
      </c>
      <c r="O7336" t="s">
        <v>69</v>
      </c>
      <c r="Q7336">
        <v>976.46</v>
      </c>
      <c r="R7336" t="str">
        <f>"FARMÁCIA INDIANA LJ 185 (10141)"</f>
        <v>FARMÁCIA INDIANA LJ 185 (10141)</v>
      </c>
      <c r="S7336" t="s">
        <v>70</v>
      </c>
      <c r="T7336">
        <v>20146</v>
      </c>
      <c r="U7336">
        <v>23631</v>
      </c>
      <c r="V7336" t="s">
        <v>77</v>
      </c>
    </row>
    <row r="7337" spans="1:22">
      <c r="A7337" t="str">
        <f t="shared" si="1348"/>
        <v>24/10/2025</v>
      </c>
      <c r="B7337" t="str">
        <f t="shared" si="1352"/>
        <v>ENTRADA</v>
      </c>
      <c r="C7337" t="str">
        <f t="shared" si="1353"/>
        <v>NFSE</v>
      </c>
      <c r="D7337" t="str">
        <f t="shared" si="1354"/>
        <v>3498</v>
      </c>
      <c r="E7337" t="str">
        <f t="shared" si="1355"/>
        <v>1</v>
      </c>
      <c r="F7337" t="str">
        <f t="shared" si="1351"/>
        <v>COM</v>
      </c>
      <c r="G7337" t="str">
        <f t="shared" si="1356"/>
        <v>FARMÁCIA INDIANA LJ 1 (10126)</v>
      </c>
      <c r="H7337" t="s">
        <v>2005</v>
      </c>
      <c r="I7337" t="str">
        <f t="shared" si="1357"/>
        <v>22/10/2025</v>
      </c>
      <c r="J7337" t="str">
        <f t="shared" si="1358"/>
        <v>14/10/2025</v>
      </c>
      <c r="K7337">
        <v>45954</v>
      </c>
      <c r="N7337">
        <v>303</v>
      </c>
      <c r="O7337" t="s">
        <v>69</v>
      </c>
      <c r="Q7337">
        <v>964.55</v>
      </c>
      <c r="R7337" t="str">
        <f>"FARMÁCIA INDIANA LJ 205 (10150)"</f>
        <v>FARMÁCIA INDIANA LJ 205 (10150)</v>
      </c>
      <c r="S7337" t="s">
        <v>70</v>
      </c>
      <c r="T7337">
        <v>20146</v>
      </c>
      <c r="U7337">
        <v>23631</v>
      </c>
      <c r="V7337" t="s">
        <v>77</v>
      </c>
    </row>
    <row r="7338" spans="1:22">
      <c r="A7338" t="str">
        <f t="shared" si="1348"/>
        <v>24/10/2025</v>
      </c>
      <c r="B7338" t="str">
        <f t="shared" si="1352"/>
        <v>ENTRADA</v>
      </c>
      <c r="C7338" t="str">
        <f t="shared" si="1353"/>
        <v>NFSE</v>
      </c>
      <c r="D7338" t="str">
        <f t="shared" si="1354"/>
        <v>3498</v>
      </c>
      <c r="E7338" t="str">
        <f t="shared" si="1355"/>
        <v>1</v>
      </c>
      <c r="F7338" t="str">
        <f t="shared" si="1351"/>
        <v>COM</v>
      </c>
      <c r="G7338" t="str">
        <f t="shared" si="1356"/>
        <v>FARMÁCIA INDIANA LJ 1 (10126)</v>
      </c>
      <c r="H7338" t="s">
        <v>2005</v>
      </c>
      <c r="I7338" t="str">
        <f t="shared" si="1357"/>
        <v>22/10/2025</v>
      </c>
      <c r="J7338" t="str">
        <f t="shared" si="1358"/>
        <v>14/10/2025</v>
      </c>
      <c r="K7338">
        <v>45954</v>
      </c>
      <c r="N7338">
        <v>303</v>
      </c>
      <c r="O7338" t="s">
        <v>69</v>
      </c>
      <c r="Q7338">
        <v>5692.05</v>
      </c>
      <c r="R7338" t="str">
        <f>"FARMÁCIA INDIANA LJ 172 (10161)"</f>
        <v>FARMÁCIA INDIANA LJ 172 (10161)</v>
      </c>
      <c r="S7338" t="s">
        <v>70</v>
      </c>
      <c r="T7338">
        <v>20146</v>
      </c>
      <c r="U7338">
        <v>23631</v>
      </c>
      <c r="V7338" t="s">
        <v>77</v>
      </c>
    </row>
    <row r="7339" spans="1:22">
      <c r="A7339" t="str">
        <f t="shared" si="1348"/>
        <v>24/10/2025</v>
      </c>
      <c r="B7339" t="str">
        <f t="shared" si="1352"/>
        <v>ENTRADA</v>
      </c>
      <c r="C7339" t="str">
        <f t="shared" si="1353"/>
        <v>NFSE</v>
      </c>
      <c r="D7339" t="str">
        <f t="shared" si="1354"/>
        <v>3498</v>
      </c>
      <c r="E7339" t="str">
        <f t="shared" si="1355"/>
        <v>1</v>
      </c>
      <c r="F7339" t="str">
        <f t="shared" si="1351"/>
        <v>COM</v>
      </c>
      <c r="G7339" t="str">
        <f t="shared" si="1356"/>
        <v>FARMÁCIA INDIANA LJ 1 (10126)</v>
      </c>
      <c r="H7339" t="s">
        <v>2005</v>
      </c>
      <c r="I7339" t="str">
        <f t="shared" si="1357"/>
        <v>22/10/2025</v>
      </c>
      <c r="J7339" t="str">
        <f t="shared" si="1358"/>
        <v>14/10/2025</v>
      </c>
      <c r="K7339">
        <v>45954</v>
      </c>
      <c r="N7339">
        <v>303</v>
      </c>
      <c r="O7339" t="s">
        <v>69</v>
      </c>
      <c r="Q7339">
        <v>750.21</v>
      </c>
      <c r="R7339" t="str">
        <f>"FARMÁCIA INDIANA LJ 266 (10186)"</f>
        <v>FARMÁCIA INDIANA LJ 266 (10186)</v>
      </c>
      <c r="S7339" t="s">
        <v>70</v>
      </c>
      <c r="T7339">
        <v>20146</v>
      </c>
      <c r="U7339">
        <v>23631</v>
      </c>
      <c r="V7339" t="s">
        <v>77</v>
      </c>
    </row>
    <row r="7340" spans="1:22">
      <c r="A7340" t="str">
        <f t="shared" si="1348"/>
        <v>24/10/2025</v>
      </c>
      <c r="B7340" t="str">
        <f t="shared" ref="B7340:B7403" si="1359">"SAÍDA"</f>
        <v>SAÍDA</v>
      </c>
      <c r="C7340" t="str">
        <f t="shared" ref="C7340:C7403" si="1360">"PIX"</f>
        <v>PIX</v>
      </c>
      <c r="D7340" t="str">
        <f>"23632"</f>
        <v>23632</v>
      </c>
      <c r="E7340" t="str">
        <f t="shared" si="1355"/>
        <v>1</v>
      </c>
      <c r="F7340" t="str">
        <f t="shared" si="1351"/>
        <v>COM</v>
      </c>
      <c r="G7340" t="str">
        <f>"ALISSON FELIPE GODINHO (219)"</f>
        <v>ALISSON FELIPE GODINHO (219)</v>
      </c>
      <c r="H7340" t="str">
        <f>"Serv.Prest. 06/10/2025 a 12/10/2025 - PIX: CELULAR - CHAVE: (33) 99877-0415"</f>
        <v>Serv.Prest. 06/10/2025 a 12/10/2025 - PIX: CELULAR - CHAVE: (33) 99877-0415</v>
      </c>
      <c r="I7340" t="str">
        <f t="shared" ref="I7340:I7403" si="1361">("24/10/2025")</f>
        <v>24/10/2025</v>
      </c>
      <c r="J7340" t="str">
        <f t="shared" si="1358"/>
        <v>14/10/2025</v>
      </c>
      <c r="K7340" t="str">
        <f>("24/10/2025")</f>
        <v>24/10/2025</v>
      </c>
      <c r="L7340">
        <v>1686</v>
      </c>
      <c r="M7340">
        <v>1686</v>
      </c>
      <c r="N7340">
        <v>109</v>
      </c>
      <c r="O7340" t="str">
        <f>"PAGAMENTO DE ENTREGADORES"</f>
        <v>PAGAMENTO DE ENTREGADORES</v>
      </c>
      <c r="P7340">
        <v>1686</v>
      </c>
      <c r="S7340" t="str">
        <f>"BANCO C6 (149)"</f>
        <v>BANCO C6 (149)</v>
      </c>
      <c r="T7340">
        <v>20148</v>
      </c>
      <c r="U7340">
        <v>23632</v>
      </c>
      <c r="V7340" t="s">
        <v>77</v>
      </c>
    </row>
    <row r="7341" spans="1:22">
      <c r="A7341" t="str">
        <f t="shared" si="1348"/>
        <v>24/10/2025</v>
      </c>
      <c r="B7341" t="str">
        <f t="shared" si="1359"/>
        <v>SAÍDA</v>
      </c>
      <c r="C7341" t="str">
        <f t="shared" si="1360"/>
        <v>PIX</v>
      </c>
      <c r="D7341" t="str">
        <f>"23632"</f>
        <v>23632</v>
      </c>
      <c r="E7341" t="str">
        <f t="shared" si="1355"/>
        <v>1</v>
      </c>
      <c r="F7341" t="str">
        <f t="shared" si="1351"/>
        <v>COM</v>
      </c>
      <c r="G7341" t="str">
        <f>"ALISSON FELIPE GODINHO (219)"</f>
        <v>ALISSON FELIPE GODINHO (219)</v>
      </c>
      <c r="H7341" t="s">
        <v>2006</v>
      </c>
      <c r="I7341" t="str">
        <f t="shared" si="1361"/>
        <v>24/10/2025</v>
      </c>
      <c r="J7341" t="str">
        <f t="shared" si="1358"/>
        <v>14/10/2025</v>
      </c>
      <c r="K7341">
        <v>45954</v>
      </c>
      <c r="N7341">
        <v>109</v>
      </c>
      <c r="O7341" t="s">
        <v>24</v>
      </c>
      <c r="Q7341">
        <v>1686</v>
      </c>
      <c r="R7341" t="str">
        <f>"FARMÁCIA INDIANA LJ 14 (10009)"</f>
        <v>FARMÁCIA INDIANA LJ 14 (10009)</v>
      </c>
      <c r="S7341" t="s">
        <v>77</v>
      </c>
      <c r="T7341">
        <v>20148</v>
      </c>
      <c r="U7341">
        <v>23632</v>
      </c>
      <c r="V7341" t="s">
        <v>77</v>
      </c>
    </row>
    <row r="7342" spans="1:22">
      <c r="A7342" t="str">
        <f t="shared" si="1348"/>
        <v>24/10/2025</v>
      </c>
      <c r="B7342" t="str">
        <f t="shared" si="1359"/>
        <v>SAÍDA</v>
      </c>
      <c r="C7342" t="str">
        <f t="shared" si="1360"/>
        <v>PIX</v>
      </c>
      <c r="D7342" t="str">
        <f>"23633"</f>
        <v>23633</v>
      </c>
      <c r="E7342" t="str">
        <f t="shared" si="1355"/>
        <v>1</v>
      </c>
      <c r="F7342" t="str">
        <f t="shared" si="1351"/>
        <v>COM</v>
      </c>
      <c r="G7342" t="str">
        <f>"AMANDA VERÍSSIMO FERREIRA (794)"</f>
        <v>AMANDA VERÍSSIMO FERREIRA (794)</v>
      </c>
      <c r="H7342" t="str">
        <f>"Serv.Prest. 06/10/2025 a 12/10/2025 - PIX: CPF - CHAVE: 099.626.666-60"</f>
        <v>Serv.Prest. 06/10/2025 a 12/10/2025 - PIX: CPF - CHAVE: 099.626.666-60</v>
      </c>
      <c r="I7342" t="str">
        <f t="shared" si="1361"/>
        <v>24/10/2025</v>
      </c>
      <c r="J7342" t="str">
        <f t="shared" si="1358"/>
        <v>14/10/2025</v>
      </c>
      <c r="K7342" t="str">
        <f>("24/10/2025")</f>
        <v>24/10/2025</v>
      </c>
      <c r="L7342">
        <v>750</v>
      </c>
      <c r="M7342">
        <v>750</v>
      </c>
      <c r="N7342">
        <v>109</v>
      </c>
      <c r="O7342" t="str">
        <f>"PAGAMENTO DE ENTREGADORES"</f>
        <v>PAGAMENTO DE ENTREGADORES</v>
      </c>
      <c r="P7342">
        <v>750</v>
      </c>
      <c r="S7342" t="str">
        <f>"BANCO C6 (149)"</f>
        <v>BANCO C6 (149)</v>
      </c>
      <c r="T7342">
        <v>20149</v>
      </c>
      <c r="U7342">
        <v>23633</v>
      </c>
      <c r="V7342" t="s">
        <v>77</v>
      </c>
    </row>
    <row r="7343" spans="1:22">
      <c r="A7343" t="str">
        <f t="shared" si="1348"/>
        <v>24/10/2025</v>
      </c>
      <c r="B7343" t="str">
        <f t="shared" si="1359"/>
        <v>SAÍDA</v>
      </c>
      <c r="C7343" t="str">
        <f t="shared" si="1360"/>
        <v>PIX</v>
      </c>
      <c r="D7343" t="str">
        <f>"23633"</f>
        <v>23633</v>
      </c>
      <c r="E7343" t="str">
        <f t="shared" si="1355"/>
        <v>1</v>
      </c>
      <c r="F7343" t="str">
        <f t="shared" si="1351"/>
        <v>COM</v>
      </c>
      <c r="G7343" t="str">
        <f>"AMANDA VERÍSSIMO FERREIRA (794)"</f>
        <v>AMANDA VERÍSSIMO FERREIRA (794)</v>
      </c>
      <c r="H7343" t="s">
        <v>2007</v>
      </c>
      <c r="I7343" t="str">
        <f t="shared" si="1361"/>
        <v>24/10/2025</v>
      </c>
      <c r="J7343" t="str">
        <f t="shared" si="1358"/>
        <v>14/10/2025</v>
      </c>
      <c r="K7343">
        <v>45954</v>
      </c>
      <c r="N7343">
        <v>109</v>
      </c>
      <c r="O7343" t="s">
        <v>24</v>
      </c>
      <c r="Q7343">
        <v>34.119999999999997</v>
      </c>
      <c r="R7343" t="str">
        <f>"FARMÁCIA INDIANA LJ 97 (10040)"</f>
        <v>FARMÁCIA INDIANA LJ 97 (10040)</v>
      </c>
      <c r="S7343" t="s">
        <v>77</v>
      </c>
      <c r="T7343">
        <v>20149</v>
      </c>
      <c r="U7343">
        <v>23633</v>
      </c>
      <c r="V7343" t="s">
        <v>77</v>
      </c>
    </row>
    <row r="7344" spans="1:22">
      <c r="A7344" t="str">
        <f t="shared" si="1348"/>
        <v>24/10/2025</v>
      </c>
      <c r="B7344" t="str">
        <f t="shared" si="1359"/>
        <v>SAÍDA</v>
      </c>
      <c r="C7344" t="str">
        <f t="shared" si="1360"/>
        <v>PIX</v>
      </c>
      <c r="D7344" t="str">
        <f>"23633"</f>
        <v>23633</v>
      </c>
      <c r="E7344" t="str">
        <f t="shared" si="1355"/>
        <v>1</v>
      </c>
      <c r="F7344" t="str">
        <f t="shared" si="1351"/>
        <v>COM</v>
      </c>
      <c r="G7344" t="str">
        <f>"AMANDA VERÍSSIMO FERREIRA (794)"</f>
        <v>AMANDA VERÍSSIMO FERREIRA (794)</v>
      </c>
      <c r="H7344" t="s">
        <v>2007</v>
      </c>
      <c r="I7344" t="str">
        <f t="shared" si="1361"/>
        <v>24/10/2025</v>
      </c>
      <c r="J7344" t="str">
        <f t="shared" si="1358"/>
        <v>14/10/2025</v>
      </c>
      <c r="K7344">
        <v>45954</v>
      </c>
      <c r="N7344">
        <v>109</v>
      </c>
      <c r="O7344" t="s">
        <v>24</v>
      </c>
      <c r="Q7344">
        <v>511.35</v>
      </c>
      <c r="R7344" t="str">
        <f>"FARMÁCIA INDIANA LJ 111 (10049)"</f>
        <v>FARMÁCIA INDIANA LJ 111 (10049)</v>
      </c>
      <c r="S7344" t="s">
        <v>77</v>
      </c>
      <c r="T7344">
        <v>20149</v>
      </c>
      <c r="U7344">
        <v>23633</v>
      </c>
      <c r="V7344" t="s">
        <v>77</v>
      </c>
    </row>
    <row r="7345" spans="1:22">
      <c r="A7345" t="str">
        <f t="shared" ref="A7345:A7408" si="1362">("24/10/2025")</f>
        <v>24/10/2025</v>
      </c>
      <c r="B7345" t="str">
        <f t="shared" si="1359"/>
        <v>SAÍDA</v>
      </c>
      <c r="C7345" t="str">
        <f t="shared" si="1360"/>
        <v>PIX</v>
      </c>
      <c r="D7345" t="str">
        <f>"23633"</f>
        <v>23633</v>
      </c>
      <c r="E7345" t="str">
        <f t="shared" si="1355"/>
        <v>1</v>
      </c>
      <c r="F7345" t="str">
        <f t="shared" ref="F7345:F7408" si="1363">"COM"</f>
        <v>COM</v>
      </c>
      <c r="G7345" t="str">
        <f>"AMANDA VERÍSSIMO FERREIRA (794)"</f>
        <v>AMANDA VERÍSSIMO FERREIRA (794)</v>
      </c>
      <c r="H7345" t="s">
        <v>2007</v>
      </c>
      <c r="I7345" t="str">
        <f t="shared" si="1361"/>
        <v>24/10/2025</v>
      </c>
      <c r="J7345" t="str">
        <f t="shared" si="1358"/>
        <v>14/10/2025</v>
      </c>
      <c r="K7345">
        <v>45954</v>
      </c>
      <c r="N7345">
        <v>109</v>
      </c>
      <c r="O7345" t="s">
        <v>24</v>
      </c>
      <c r="Q7345">
        <v>204.53</v>
      </c>
      <c r="R7345" t="str">
        <f>"FARMÁCIA INDIANA LJ 143 (10067)"</f>
        <v>FARMÁCIA INDIANA LJ 143 (10067)</v>
      </c>
      <c r="S7345" t="s">
        <v>77</v>
      </c>
      <c r="T7345">
        <v>20149</v>
      </c>
      <c r="U7345">
        <v>23633</v>
      </c>
      <c r="V7345" t="s">
        <v>77</v>
      </c>
    </row>
    <row r="7346" spans="1:22">
      <c r="A7346" t="str">
        <f t="shared" si="1362"/>
        <v>24/10/2025</v>
      </c>
      <c r="B7346" t="str">
        <f t="shared" si="1359"/>
        <v>SAÍDA</v>
      </c>
      <c r="C7346" t="str">
        <f t="shared" si="1360"/>
        <v>PIX</v>
      </c>
      <c r="D7346" t="str">
        <f>"23634"</f>
        <v>23634</v>
      </c>
      <c r="E7346" t="str">
        <f t="shared" si="1355"/>
        <v>1</v>
      </c>
      <c r="F7346" t="str">
        <f t="shared" si="1363"/>
        <v>COM</v>
      </c>
      <c r="G7346" t="str">
        <f>"ANISSO ANIDAL DE PAULA (161)"</f>
        <v>ANISSO ANIDAL DE PAULA (161)</v>
      </c>
      <c r="H7346" t="str">
        <f>"Serv.Prest. 06/10/2025 a 12/10/2025 - PIX: E-MAIL - CHAVE: anissoanidaldepaula@gmail.com"</f>
        <v>Serv.Prest. 06/10/2025 a 12/10/2025 - PIX: E-MAIL - CHAVE: anissoanidaldepaula@gmail.com</v>
      </c>
      <c r="I7346" t="str">
        <f t="shared" si="1361"/>
        <v>24/10/2025</v>
      </c>
      <c r="J7346" t="str">
        <f t="shared" si="1358"/>
        <v>14/10/2025</v>
      </c>
      <c r="K7346" t="str">
        <f>("24/10/2025")</f>
        <v>24/10/2025</v>
      </c>
      <c r="L7346">
        <v>840</v>
      </c>
      <c r="M7346">
        <v>840</v>
      </c>
      <c r="N7346">
        <v>109</v>
      </c>
      <c r="O7346" t="str">
        <f>"PAGAMENTO DE ENTREGADORES"</f>
        <v>PAGAMENTO DE ENTREGADORES</v>
      </c>
      <c r="P7346">
        <v>840</v>
      </c>
      <c r="S7346" t="str">
        <f>"BANCO C6 (149)"</f>
        <v>BANCO C6 (149)</v>
      </c>
      <c r="T7346">
        <v>20150</v>
      </c>
      <c r="U7346">
        <v>23634</v>
      </c>
      <c r="V7346" t="s">
        <v>77</v>
      </c>
    </row>
    <row r="7347" spans="1:22">
      <c r="A7347" t="str">
        <f t="shared" si="1362"/>
        <v>24/10/2025</v>
      </c>
      <c r="B7347" t="str">
        <f t="shared" si="1359"/>
        <v>SAÍDA</v>
      </c>
      <c r="C7347" t="str">
        <f t="shared" si="1360"/>
        <v>PIX</v>
      </c>
      <c r="D7347" t="str">
        <f>"23634"</f>
        <v>23634</v>
      </c>
      <c r="E7347" t="str">
        <f t="shared" si="1355"/>
        <v>1</v>
      </c>
      <c r="F7347" t="str">
        <f t="shared" si="1363"/>
        <v>COM</v>
      </c>
      <c r="G7347" t="str">
        <f>"ANISSO ANIDAL DE PAULA (161)"</f>
        <v>ANISSO ANIDAL DE PAULA (161)</v>
      </c>
      <c r="H7347" t="s">
        <v>2008</v>
      </c>
      <c r="I7347" t="str">
        <f t="shared" si="1361"/>
        <v>24/10/2025</v>
      </c>
      <c r="J7347" t="str">
        <f t="shared" si="1358"/>
        <v>14/10/2025</v>
      </c>
      <c r="K7347">
        <v>45954</v>
      </c>
      <c r="N7347">
        <v>109</v>
      </c>
      <c r="O7347" t="s">
        <v>24</v>
      </c>
      <c r="Q7347">
        <v>642.01</v>
      </c>
      <c r="R7347" t="str">
        <f>"FARMÁCIA INDIANA LJ 18 (10011)"</f>
        <v>FARMÁCIA INDIANA LJ 18 (10011)</v>
      </c>
      <c r="S7347" t="s">
        <v>77</v>
      </c>
      <c r="T7347">
        <v>20150</v>
      </c>
      <c r="U7347">
        <v>23634</v>
      </c>
      <c r="V7347" t="s">
        <v>77</v>
      </c>
    </row>
    <row r="7348" spans="1:22">
      <c r="A7348" t="str">
        <f t="shared" si="1362"/>
        <v>24/10/2025</v>
      </c>
      <c r="B7348" t="str">
        <f t="shared" si="1359"/>
        <v>SAÍDA</v>
      </c>
      <c r="C7348" t="str">
        <f t="shared" si="1360"/>
        <v>PIX</v>
      </c>
      <c r="D7348" t="str">
        <f>"23634"</f>
        <v>23634</v>
      </c>
      <c r="E7348" t="str">
        <f t="shared" si="1355"/>
        <v>1</v>
      </c>
      <c r="F7348" t="str">
        <f t="shared" si="1363"/>
        <v>COM</v>
      </c>
      <c r="G7348" t="str">
        <f>"ANISSO ANIDAL DE PAULA (161)"</f>
        <v>ANISSO ANIDAL DE PAULA (161)</v>
      </c>
      <c r="H7348" t="s">
        <v>2008</v>
      </c>
      <c r="I7348" t="str">
        <f t="shared" si="1361"/>
        <v>24/10/2025</v>
      </c>
      <c r="J7348" t="str">
        <f t="shared" si="1358"/>
        <v>14/10/2025</v>
      </c>
      <c r="K7348">
        <v>45954</v>
      </c>
      <c r="N7348">
        <v>109</v>
      </c>
      <c r="O7348" t="s">
        <v>24</v>
      </c>
      <c r="Q7348">
        <v>197.99</v>
      </c>
      <c r="R7348" t="str">
        <f>"FARMÁCIA INDIANA LJ 19 (10012)"</f>
        <v>FARMÁCIA INDIANA LJ 19 (10012)</v>
      </c>
      <c r="S7348" t="s">
        <v>77</v>
      </c>
      <c r="T7348">
        <v>20150</v>
      </c>
      <c r="U7348">
        <v>23634</v>
      </c>
      <c r="V7348" t="s">
        <v>77</v>
      </c>
    </row>
    <row r="7349" spans="1:22">
      <c r="A7349" t="str">
        <f t="shared" si="1362"/>
        <v>24/10/2025</v>
      </c>
      <c r="B7349" t="str">
        <f t="shared" si="1359"/>
        <v>SAÍDA</v>
      </c>
      <c r="C7349" t="str">
        <f t="shared" si="1360"/>
        <v>PIX</v>
      </c>
      <c r="D7349" t="str">
        <f>"23635"</f>
        <v>23635</v>
      </c>
      <c r="E7349" t="str">
        <f t="shared" si="1355"/>
        <v>1</v>
      </c>
      <c r="F7349" t="str">
        <f t="shared" si="1363"/>
        <v>COM</v>
      </c>
      <c r="G7349" t="str">
        <f>"ARLINDO JOSE MARTINS (909)"</f>
        <v>ARLINDO JOSE MARTINS (909)</v>
      </c>
      <c r="H7349" t="str">
        <f>"Serv.Prest. 06/10/2025 a 12/10/2025 - PIX: CPF - CHAVE: 037.192.076-09"</f>
        <v>Serv.Prest. 06/10/2025 a 12/10/2025 - PIX: CPF - CHAVE: 037.192.076-09</v>
      </c>
      <c r="I7349" t="str">
        <f t="shared" si="1361"/>
        <v>24/10/2025</v>
      </c>
      <c r="J7349" t="str">
        <f t="shared" si="1358"/>
        <v>14/10/2025</v>
      </c>
      <c r="K7349" t="str">
        <f>("24/10/2025")</f>
        <v>24/10/2025</v>
      </c>
      <c r="L7349">
        <v>803</v>
      </c>
      <c r="M7349">
        <v>803</v>
      </c>
      <c r="N7349">
        <v>109</v>
      </c>
      <c r="O7349" t="str">
        <f>"PAGAMENTO DE ENTREGADORES"</f>
        <v>PAGAMENTO DE ENTREGADORES</v>
      </c>
      <c r="P7349">
        <v>803</v>
      </c>
      <c r="S7349" t="str">
        <f>"BANCO C6 (149)"</f>
        <v>BANCO C6 (149)</v>
      </c>
      <c r="T7349">
        <v>20151</v>
      </c>
      <c r="U7349">
        <v>23635</v>
      </c>
      <c r="V7349" t="s">
        <v>77</v>
      </c>
    </row>
    <row r="7350" spans="1:22">
      <c r="A7350" t="str">
        <f t="shared" si="1362"/>
        <v>24/10/2025</v>
      </c>
      <c r="B7350" t="str">
        <f t="shared" si="1359"/>
        <v>SAÍDA</v>
      </c>
      <c r="C7350" t="str">
        <f t="shared" si="1360"/>
        <v>PIX</v>
      </c>
      <c r="D7350" t="str">
        <f>"23635"</f>
        <v>23635</v>
      </c>
      <c r="E7350" t="str">
        <f t="shared" si="1355"/>
        <v>1</v>
      </c>
      <c r="F7350" t="str">
        <f t="shared" si="1363"/>
        <v>COM</v>
      </c>
      <c r="G7350" t="str">
        <f>"ARLINDO JOSE MARTINS (909)"</f>
        <v>ARLINDO JOSE MARTINS (909)</v>
      </c>
      <c r="H7350" t="s">
        <v>2009</v>
      </c>
      <c r="I7350" t="str">
        <f t="shared" si="1361"/>
        <v>24/10/2025</v>
      </c>
      <c r="J7350" t="str">
        <f t="shared" si="1358"/>
        <v>14/10/2025</v>
      </c>
      <c r="K7350">
        <v>45954</v>
      </c>
      <c r="N7350">
        <v>109</v>
      </c>
      <c r="O7350" t="s">
        <v>24</v>
      </c>
      <c r="Q7350">
        <v>803</v>
      </c>
      <c r="R7350" t="str">
        <f>"FARMÁCIA INDIANA LJ 185 (10141)"</f>
        <v>FARMÁCIA INDIANA LJ 185 (10141)</v>
      </c>
      <c r="S7350" t="s">
        <v>77</v>
      </c>
      <c r="T7350">
        <v>20151</v>
      </c>
      <c r="U7350">
        <v>23635</v>
      </c>
      <c r="V7350" t="s">
        <v>77</v>
      </c>
    </row>
    <row r="7351" spans="1:22">
      <c r="A7351" t="str">
        <f t="shared" si="1362"/>
        <v>24/10/2025</v>
      </c>
      <c r="B7351" t="str">
        <f t="shared" si="1359"/>
        <v>SAÍDA</v>
      </c>
      <c r="C7351" t="str">
        <f t="shared" si="1360"/>
        <v>PIX</v>
      </c>
      <c r="D7351" t="str">
        <f>"23636"</f>
        <v>23636</v>
      </c>
      <c r="E7351" t="str">
        <f t="shared" si="1355"/>
        <v>1</v>
      </c>
      <c r="F7351" t="str">
        <f t="shared" si="1363"/>
        <v>COM</v>
      </c>
      <c r="G7351" t="str">
        <f>"ARTHUR DANTAS PACHECO (928)"</f>
        <v>ARTHUR DANTAS PACHECO (928)</v>
      </c>
      <c r="H7351" t="str">
        <f>"Serv.Prest. 06/10/2025 a 12/10/2025 - PIX: CELULAR - CHAVE: (33) 99110-6940"</f>
        <v>Serv.Prest. 06/10/2025 a 12/10/2025 - PIX: CELULAR - CHAVE: (33) 99110-6940</v>
      </c>
      <c r="I7351" t="str">
        <f t="shared" si="1361"/>
        <v>24/10/2025</v>
      </c>
      <c r="J7351" t="str">
        <f t="shared" si="1358"/>
        <v>14/10/2025</v>
      </c>
      <c r="K7351" t="str">
        <f>("24/10/2025")</f>
        <v>24/10/2025</v>
      </c>
      <c r="L7351">
        <v>770</v>
      </c>
      <c r="M7351">
        <v>770</v>
      </c>
      <c r="N7351">
        <v>109</v>
      </c>
      <c r="O7351" t="str">
        <f>"PAGAMENTO DE ENTREGADORES"</f>
        <v>PAGAMENTO DE ENTREGADORES</v>
      </c>
      <c r="P7351">
        <v>770</v>
      </c>
      <c r="S7351" t="str">
        <f>"BANCO C6 (149)"</f>
        <v>BANCO C6 (149)</v>
      </c>
      <c r="T7351">
        <v>20152</v>
      </c>
      <c r="U7351">
        <v>23636</v>
      </c>
      <c r="V7351" t="s">
        <v>77</v>
      </c>
    </row>
    <row r="7352" spans="1:22">
      <c r="A7352" t="str">
        <f t="shared" si="1362"/>
        <v>24/10/2025</v>
      </c>
      <c r="B7352" t="str">
        <f t="shared" si="1359"/>
        <v>SAÍDA</v>
      </c>
      <c r="C7352" t="str">
        <f t="shared" si="1360"/>
        <v>PIX</v>
      </c>
      <c r="D7352" t="str">
        <f>"23636"</f>
        <v>23636</v>
      </c>
      <c r="E7352" t="str">
        <f t="shared" si="1355"/>
        <v>1</v>
      </c>
      <c r="F7352" t="str">
        <f t="shared" si="1363"/>
        <v>COM</v>
      </c>
      <c r="G7352" t="str">
        <f>"ARTHUR DANTAS PACHECO (928)"</f>
        <v>ARTHUR DANTAS PACHECO (928)</v>
      </c>
      <c r="H7352" t="s">
        <v>2010</v>
      </c>
      <c r="I7352" t="str">
        <f t="shared" si="1361"/>
        <v>24/10/2025</v>
      </c>
      <c r="J7352" t="str">
        <f t="shared" si="1358"/>
        <v>14/10/2025</v>
      </c>
      <c r="K7352">
        <v>45954</v>
      </c>
      <c r="N7352">
        <v>109</v>
      </c>
      <c r="O7352" t="s">
        <v>24</v>
      </c>
      <c r="Q7352">
        <v>770</v>
      </c>
      <c r="R7352" t="str">
        <f>"FARMÁCIA INDIANA LJ 40 (10016)"</f>
        <v>FARMÁCIA INDIANA LJ 40 (10016)</v>
      </c>
      <c r="S7352" t="s">
        <v>77</v>
      </c>
      <c r="T7352">
        <v>20152</v>
      </c>
      <c r="U7352">
        <v>23636</v>
      </c>
      <c r="V7352" t="s">
        <v>77</v>
      </c>
    </row>
    <row r="7353" spans="1:22">
      <c r="A7353" t="str">
        <f t="shared" si="1362"/>
        <v>24/10/2025</v>
      </c>
      <c r="B7353" t="str">
        <f t="shared" si="1359"/>
        <v>SAÍDA</v>
      </c>
      <c r="C7353" t="str">
        <f t="shared" si="1360"/>
        <v>PIX</v>
      </c>
      <c r="D7353" t="str">
        <f>"23637"</f>
        <v>23637</v>
      </c>
      <c r="E7353" t="str">
        <f t="shared" si="1355"/>
        <v>1</v>
      </c>
      <c r="F7353" t="str">
        <f t="shared" si="1363"/>
        <v>COM</v>
      </c>
      <c r="G7353" t="str">
        <f>"BRUNO BARBOSA DE MATOS (82)"</f>
        <v>BRUNO BARBOSA DE MATOS (82)</v>
      </c>
      <c r="H7353" t="str">
        <f>"Serv.Prest. 06/10/2025 a 12/10/2025 - PIX: CPF - CHAVE: 137.446.146-62"</f>
        <v>Serv.Prest. 06/10/2025 a 12/10/2025 - PIX: CPF - CHAVE: 137.446.146-62</v>
      </c>
      <c r="I7353" t="str">
        <f t="shared" si="1361"/>
        <v>24/10/2025</v>
      </c>
      <c r="J7353" t="str">
        <f t="shared" si="1358"/>
        <v>14/10/2025</v>
      </c>
      <c r="K7353" t="str">
        <f>("24/10/2025")</f>
        <v>24/10/2025</v>
      </c>
      <c r="L7353">
        <v>1350</v>
      </c>
      <c r="M7353">
        <v>1350</v>
      </c>
      <c r="N7353">
        <v>109</v>
      </c>
      <c r="O7353" t="str">
        <f>"PAGAMENTO DE ENTREGADORES"</f>
        <v>PAGAMENTO DE ENTREGADORES</v>
      </c>
      <c r="P7353">
        <v>1350</v>
      </c>
      <c r="S7353" t="str">
        <f>"BANCO C6 (149)"</f>
        <v>BANCO C6 (149)</v>
      </c>
      <c r="T7353">
        <v>20153</v>
      </c>
      <c r="U7353">
        <v>23637</v>
      </c>
      <c r="V7353" t="s">
        <v>77</v>
      </c>
    </row>
    <row r="7354" spans="1:22">
      <c r="A7354" t="str">
        <f t="shared" si="1362"/>
        <v>24/10/2025</v>
      </c>
      <c r="B7354" t="str">
        <f t="shared" si="1359"/>
        <v>SAÍDA</v>
      </c>
      <c r="C7354" t="str">
        <f t="shared" si="1360"/>
        <v>PIX</v>
      </c>
      <c r="D7354" t="str">
        <f>"23637"</f>
        <v>23637</v>
      </c>
      <c r="E7354" t="str">
        <f t="shared" si="1355"/>
        <v>1</v>
      </c>
      <c r="F7354" t="str">
        <f t="shared" si="1363"/>
        <v>COM</v>
      </c>
      <c r="G7354" t="str">
        <f>"BRUNO BARBOSA DE MATOS (82)"</f>
        <v>BRUNO BARBOSA DE MATOS (82)</v>
      </c>
      <c r="H7354" t="s">
        <v>2011</v>
      </c>
      <c r="I7354" t="str">
        <f t="shared" si="1361"/>
        <v>24/10/2025</v>
      </c>
      <c r="J7354" t="str">
        <f t="shared" si="1358"/>
        <v>14/10/2025</v>
      </c>
      <c r="K7354">
        <v>45954</v>
      </c>
      <c r="N7354">
        <v>109</v>
      </c>
      <c r="O7354" t="s">
        <v>24</v>
      </c>
      <c r="Q7354">
        <v>1350</v>
      </c>
      <c r="R7354" t="str">
        <f>"FARMÁCIA INDIANA LJ 152 (10069)"</f>
        <v>FARMÁCIA INDIANA LJ 152 (10069)</v>
      </c>
      <c r="S7354" t="s">
        <v>77</v>
      </c>
      <c r="T7354">
        <v>20153</v>
      </c>
      <c r="U7354">
        <v>23637</v>
      </c>
      <c r="V7354" t="s">
        <v>77</v>
      </c>
    </row>
    <row r="7355" spans="1:22">
      <c r="A7355" t="str">
        <f t="shared" si="1362"/>
        <v>24/10/2025</v>
      </c>
      <c r="B7355" t="str">
        <f t="shared" si="1359"/>
        <v>SAÍDA</v>
      </c>
      <c r="C7355" t="str">
        <f t="shared" si="1360"/>
        <v>PIX</v>
      </c>
      <c r="D7355" t="str">
        <f>"23638"</f>
        <v>23638</v>
      </c>
      <c r="E7355" t="str">
        <f t="shared" si="1355"/>
        <v>1</v>
      </c>
      <c r="F7355" t="str">
        <f t="shared" si="1363"/>
        <v>COM</v>
      </c>
      <c r="G7355" t="str">
        <f>"BRUNO DOS SANTOS MACHADO (702)"</f>
        <v>BRUNO DOS SANTOS MACHADO (702)</v>
      </c>
      <c r="H7355" t="str">
        <f>"Serv.Prest. 06/10/2025 a 12/10/2025 - PIX: CPF - CHAVE: 155.328.666-94"</f>
        <v>Serv.Prest. 06/10/2025 a 12/10/2025 - PIX: CPF - CHAVE: 155.328.666-94</v>
      </c>
      <c r="I7355" t="str">
        <f t="shared" si="1361"/>
        <v>24/10/2025</v>
      </c>
      <c r="J7355" t="str">
        <f t="shared" si="1358"/>
        <v>14/10/2025</v>
      </c>
      <c r="K7355" t="str">
        <f>("24/10/2025")</f>
        <v>24/10/2025</v>
      </c>
      <c r="L7355">
        <v>1200</v>
      </c>
      <c r="M7355">
        <v>1200</v>
      </c>
      <c r="N7355">
        <v>109</v>
      </c>
      <c r="O7355" t="str">
        <f>"PAGAMENTO DE ENTREGADORES"</f>
        <v>PAGAMENTO DE ENTREGADORES</v>
      </c>
      <c r="P7355">
        <v>1200</v>
      </c>
      <c r="S7355" t="str">
        <f>"BANCO C6 (149)"</f>
        <v>BANCO C6 (149)</v>
      </c>
      <c r="T7355">
        <v>20154</v>
      </c>
      <c r="U7355">
        <v>23638</v>
      </c>
      <c r="V7355" t="s">
        <v>77</v>
      </c>
    </row>
    <row r="7356" spans="1:22">
      <c r="A7356" t="str">
        <f t="shared" si="1362"/>
        <v>24/10/2025</v>
      </c>
      <c r="B7356" t="str">
        <f t="shared" si="1359"/>
        <v>SAÍDA</v>
      </c>
      <c r="C7356" t="str">
        <f t="shared" si="1360"/>
        <v>PIX</v>
      </c>
      <c r="D7356" t="str">
        <f>"23638"</f>
        <v>23638</v>
      </c>
      <c r="E7356" t="str">
        <f t="shared" ref="E7356:E7419" si="1364">"1"</f>
        <v>1</v>
      </c>
      <c r="F7356" t="str">
        <f t="shared" si="1363"/>
        <v>COM</v>
      </c>
      <c r="G7356" t="str">
        <f>"BRUNO DOS SANTOS MACHADO (702)"</f>
        <v>BRUNO DOS SANTOS MACHADO (702)</v>
      </c>
      <c r="H7356" t="s">
        <v>2012</v>
      </c>
      <c r="I7356" t="str">
        <f t="shared" si="1361"/>
        <v>24/10/2025</v>
      </c>
      <c r="J7356" t="str">
        <f t="shared" ref="J7356:J7419" si="1365">("14/10/2025")</f>
        <v>14/10/2025</v>
      </c>
      <c r="K7356">
        <v>45954</v>
      </c>
      <c r="N7356">
        <v>109</v>
      </c>
      <c r="O7356" t="s">
        <v>24</v>
      </c>
      <c r="Q7356">
        <v>600</v>
      </c>
      <c r="R7356" t="str">
        <f>"FARMÁCIA INDIANA LJ 204 (10087)"</f>
        <v>FARMÁCIA INDIANA LJ 204 (10087)</v>
      </c>
      <c r="S7356" t="s">
        <v>77</v>
      </c>
      <c r="T7356">
        <v>20154</v>
      </c>
      <c r="U7356">
        <v>23638</v>
      </c>
      <c r="V7356" t="s">
        <v>77</v>
      </c>
    </row>
    <row r="7357" spans="1:22">
      <c r="A7357" t="str">
        <f t="shared" si="1362"/>
        <v>24/10/2025</v>
      </c>
      <c r="B7357" t="str">
        <f t="shared" si="1359"/>
        <v>SAÍDA</v>
      </c>
      <c r="C7357" t="str">
        <f t="shared" si="1360"/>
        <v>PIX</v>
      </c>
      <c r="D7357" t="str">
        <f>"23638"</f>
        <v>23638</v>
      </c>
      <c r="E7357" t="str">
        <f t="shared" si="1364"/>
        <v>1</v>
      </c>
      <c r="F7357" t="str">
        <f t="shared" si="1363"/>
        <v>COM</v>
      </c>
      <c r="G7357" t="str">
        <f>"BRUNO DOS SANTOS MACHADO (702)"</f>
        <v>BRUNO DOS SANTOS MACHADO (702)</v>
      </c>
      <c r="H7357" t="s">
        <v>2012</v>
      </c>
      <c r="I7357" t="str">
        <f t="shared" si="1361"/>
        <v>24/10/2025</v>
      </c>
      <c r="J7357" t="str">
        <f t="shared" si="1365"/>
        <v>14/10/2025</v>
      </c>
      <c r="K7357">
        <v>45954</v>
      </c>
      <c r="N7357">
        <v>109</v>
      </c>
      <c r="O7357" t="s">
        <v>24</v>
      </c>
      <c r="Q7357">
        <v>600</v>
      </c>
      <c r="R7357" t="str">
        <f>"FARMÁCIA INDIANA LJ 266 (10186)"</f>
        <v>FARMÁCIA INDIANA LJ 266 (10186)</v>
      </c>
      <c r="S7357" t="s">
        <v>77</v>
      </c>
      <c r="T7357">
        <v>20154</v>
      </c>
      <c r="U7357">
        <v>23638</v>
      </c>
      <c r="V7357" t="s">
        <v>77</v>
      </c>
    </row>
    <row r="7358" spans="1:22">
      <c r="A7358" t="str">
        <f t="shared" si="1362"/>
        <v>24/10/2025</v>
      </c>
      <c r="B7358" t="str">
        <f t="shared" si="1359"/>
        <v>SAÍDA</v>
      </c>
      <c r="C7358" t="str">
        <f t="shared" si="1360"/>
        <v>PIX</v>
      </c>
      <c r="D7358" t="str">
        <f>"23639"</f>
        <v>23639</v>
      </c>
      <c r="E7358" t="str">
        <f t="shared" si="1364"/>
        <v>1</v>
      </c>
      <c r="F7358" t="str">
        <f t="shared" si="1363"/>
        <v>COM</v>
      </c>
      <c r="G7358" t="str">
        <f>"BRUNO WAGNER DE CARVALHO OLIVEIRA (84)"</f>
        <v>BRUNO WAGNER DE CARVALHO OLIVEIRA (84)</v>
      </c>
      <c r="H7358" t="str">
        <f>"Serv.Prest. 06/10/2025 a 12/10/2025 - PIX: CELULAR - CHAVE: (32) 98896-0708"</f>
        <v>Serv.Prest. 06/10/2025 a 12/10/2025 - PIX: CELULAR - CHAVE: (32) 98896-0708</v>
      </c>
      <c r="I7358" t="str">
        <f t="shared" si="1361"/>
        <v>24/10/2025</v>
      </c>
      <c r="J7358" t="str">
        <f t="shared" si="1365"/>
        <v>14/10/2025</v>
      </c>
      <c r="K7358" t="str">
        <f>("24/10/2025")</f>
        <v>24/10/2025</v>
      </c>
      <c r="L7358">
        <v>700</v>
      </c>
      <c r="M7358">
        <v>700</v>
      </c>
      <c r="N7358">
        <v>109</v>
      </c>
      <c r="O7358" t="str">
        <f>"PAGAMENTO DE ENTREGADORES"</f>
        <v>PAGAMENTO DE ENTREGADORES</v>
      </c>
      <c r="P7358">
        <v>700</v>
      </c>
      <c r="S7358" t="str">
        <f>"BANCO C6 (149)"</f>
        <v>BANCO C6 (149)</v>
      </c>
      <c r="T7358">
        <v>20155</v>
      </c>
      <c r="U7358">
        <v>23639</v>
      </c>
      <c r="V7358" t="s">
        <v>77</v>
      </c>
    </row>
    <row r="7359" spans="1:22">
      <c r="A7359" t="str">
        <f t="shared" si="1362"/>
        <v>24/10/2025</v>
      </c>
      <c r="B7359" t="str">
        <f t="shared" si="1359"/>
        <v>SAÍDA</v>
      </c>
      <c r="C7359" t="str">
        <f t="shared" si="1360"/>
        <v>PIX</v>
      </c>
      <c r="D7359" t="str">
        <f>"23639"</f>
        <v>23639</v>
      </c>
      <c r="E7359" t="str">
        <f t="shared" si="1364"/>
        <v>1</v>
      </c>
      <c r="F7359" t="str">
        <f t="shared" si="1363"/>
        <v>COM</v>
      </c>
      <c r="G7359" t="str">
        <f>"BRUNO WAGNER DE CARVALHO OLIVEIRA (84)"</f>
        <v>BRUNO WAGNER DE CARVALHO OLIVEIRA (84)</v>
      </c>
      <c r="H7359" t="s">
        <v>2013</v>
      </c>
      <c r="I7359" t="str">
        <f t="shared" si="1361"/>
        <v>24/10/2025</v>
      </c>
      <c r="J7359" t="str">
        <f t="shared" si="1365"/>
        <v>14/10/2025</v>
      </c>
      <c r="K7359">
        <v>45954</v>
      </c>
      <c r="N7359">
        <v>109</v>
      </c>
      <c r="O7359" t="s">
        <v>24</v>
      </c>
      <c r="Q7359">
        <v>256.69</v>
      </c>
      <c r="R7359" t="str">
        <f>"FARMÁCIA INDIANA LJ 182 (10079)"</f>
        <v>FARMÁCIA INDIANA LJ 182 (10079)</v>
      </c>
      <c r="S7359" t="s">
        <v>77</v>
      </c>
      <c r="T7359">
        <v>20155</v>
      </c>
      <c r="U7359">
        <v>23639</v>
      </c>
      <c r="V7359" t="s">
        <v>77</v>
      </c>
    </row>
    <row r="7360" spans="1:22">
      <c r="A7360" t="str">
        <f t="shared" si="1362"/>
        <v>24/10/2025</v>
      </c>
      <c r="B7360" t="str">
        <f t="shared" si="1359"/>
        <v>SAÍDA</v>
      </c>
      <c r="C7360" t="str">
        <f t="shared" si="1360"/>
        <v>PIX</v>
      </c>
      <c r="D7360" t="str">
        <f>"23639"</f>
        <v>23639</v>
      </c>
      <c r="E7360" t="str">
        <f t="shared" si="1364"/>
        <v>1</v>
      </c>
      <c r="F7360" t="str">
        <f t="shared" si="1363"/>
        <v>COM</v>
      </c>
      <c r="G7360" t="str">
        <f>"BRUNO WAGNER DE CARVALHO OLIVEIRA (84)"</f>
        <v>BRUNO WAGNER DE CARVALHO OLIVEIRA (84)</v>
      </c>
      <c r="H7360" t="s">
        <v>2013</v>
      </c>
      <c r="I7360" t="str">
        <f t="shared" si="1361"/>
        <v>24/10/2025</v>
      </c>
      <c r="J7360" t="str">
        <f t="shared" si="1365"/>
        <v>14/10/2025</v>
      </c>
      <c r="K7360">
        <v>45954</v>
      </c>
      <c r="N7360">
        <v>109</v>
      </c>
      <c r="O7360" t="s">
        <v>24</v>
      </c>
      <c r="Q7360">
        <v>443.31</v>
      </c>
      <c r="R7360" t="str">
        <f>"FARMÁCIA INDIANA LJ 186 (10081)"</f>
        <v>FARMÁCIA INDIANA LJ 186 (10081)</v>
      </c>
      <c r="S7360" t="s">
        <v>77</v>
      </c>
      <c r="T7360">
        <v>20155</v>
      </c>
      <c r="U7360">
        <v>23639</v>
      </c>
      <c r="V7360" t="s">
        <v>77</v>
      </c>
    </row>
    <row r="7361" spans="1:22">
      <c r="A7361" t="str">
        <f t="shared" si="1362"/>
        <v>24/10/2025</v>
      </c>
      <c r="B7361" t="str">
        <f t="shared" si="1359"/>
        <v>SAÍDA</v>
      </c>
      <c r="C7361" t="str">
        <f t="shared" si="1360"/>
        <v>PIX</v>
      </c>
      <c r="D7361" t="str">
        <f>"23640"</f>
        <v>23640</v>
      </c>
      <c r="E7361" t="str">
        <f t="shared" si="1364"/>
        <v>1</v>
      </c>
      <c r="F7361" t="str">
        <f t="shared" si="1363"/>
        <v>COM</v>
      </c>
      <c r="G7361" t="str">
        <f>"CARLOS ROBERTO BADARÓ MACHADO (78)"</f>
        <v>CARLOS ROBERTO BADARÓ MACHADO (78)</v>
      </c>
      <c r="H7361" t="str">
        <f>"Serv.Prest. 06/10/2025 a 12/10/2025 - PIX: CELULAR - CHAVE: (32) 99166-8238"</f>
        <v>Serv.Prest. 06/10/2025 a 12/10/2025 - PIX: CELULAR - CHAVE: (32) 99166-8238</v>
      </c>
      <c r="I7361" t="str">
        <f t="shared" si="1361"/>
        <v>24/10/2025</v>
      </c>
      <c r="J7361" t="str">
        <f t="shared" si="1365"/>
        <v>14/10/2025</v>
      </c>
      <c r="K7361" t="str">
        <f>("24/10/2025")</f>
        <v>24/10/2025</v>
      </c>
      <c r="L7361">
        <v>2076</v>
      </c>
      <c r="M7361">
        <v>2076</v>
      </c>
      <c r="N7361">
        <v>109</v>
      </c>
      <c r="O7361" t="str">
        <f>"PAGAMENTO DE ENTREGADORES"</f>
        <v>PAGAMENTO DE ENTREGADORES</v>
      </c>
      <c r="P7361">
        <v>2076</v>
      </c>
      <c r="S7361" t="str">
        <f>"BANCO C6 (149)"</f>
        <v>BANCO C6 (149)</v>
      </c>
      <c r="T7361">
        <v>20156</v>
      </c>
      <c r="U7361">
        <v>23640</v>
      </c>
      <c r="V7361" t="s">
        <v>77</v>
      </c>
    </row>
    <row r="7362" spans="1:22">
      <c r="A7362" t="str">
        <f t="shared" si="1362"/>
        <v>24/10/2025</v>
      </c>
      <c r="B7362" t="str">
        <f t="shared" si="1359"/>
        <v>SAÍDA</v>
      </c>
      <c r="C7362" t="str">
        <f t="shared" si="1360"/>
        <v>PIX</v>
      </c>
      <c r="D7362" t="str">
        <f>"23640"</f>
        <v>23640</v>
      </c>
      <c r="E7362" t="str">
        <f t="shared" si="1364"/>
        <v>1</v>
      </c>
      <c r="F7362" t="str">
        <f t="shared" si="1363"/>
        <v>COM</v>
      </c>
      <c r="G7362" t="str">
        <f>"CARLOS ROBERTO BADARÓ MACHADO (78)"</f>
        <v>CARLOS ROBERTO BADARÓ MACHADO (78)</v>
      </c>
      <c r="H7362" t="s">
        <v>2014</v>
      </c>
      <c r="I7362" t="str">
        <f t="shared" si="1361"/>
        <v>24/10/2025</v>
      </c>
      <c r="J7362" t="str">
        <f t="shared" si="1365"/>
        <v>14/10/2025</v>
      </c>
      <c r="K7362">
        <v>45954</v>
      </c>
      <c r="N7362">
        <v>109</v>
      </c>
      <c r="O7362" t="s">
        <v>24</v>
      </c>
      <c r="Q7362">
        <v>2076</v>
      </c>
      <c r="R7362" t="str">
        <f>"FARMÁCIA INDIANA LJ 109 (10047)"</f>
        <v>FARMÁCIA INDIANA LJ 109 (10047)</v>
      </c>
      <c r="S7362" t="s">
        <v>77</v>
      </c>
      <c r="T7362">
        <v>20156</v>
      </c>
      <c r="U7362">
        <v>23640</v>
      </c>
      <c r="V7362" t="s">
        <v>77</v>
      </c>
    </row>
    <row r="7363" spans="1:22">
      <c r="A7363" t="str">
        <f t="shared" si="1362"/>
        <v>24/10/2025</v>
      </c>
      <c r="B7363" t="str">
        <f t="shared" si="1359"/>
        <v>SAÍDA</v>
      </c>
      <c r="C7363" t="str">
        <f t="shared" si="1360"/>
        <v>PIX</v>
      </c>
      <c r="D7363" t="str">
        <f>"23642"</f>
        <v>23642</v>
      </c>
      <c r="E7363" t="str">
        <f t="shared" si="1364"/>
        <v>1</v>
      </c>
      <c r="F7363" t="str">
        <f t="shared" si="1363"/>
        <v>COM</v>
      </c>
      <c r="G7363" t="str">
        <f>"CELIO JOSÉ RIBEIRO (189)"</f>
        <v>CELIO JOSÉ RIBEIRO (189)</v>
      </c>
      <c r="H7363" t="str">
        <f>"Serv.Prest. 06/10/2025 a 12/10/2025 - PIX: CELULAR - CHAVE: (33) 98845-4528"</f>
        <v>Serv.Prest. 06/10/2025 a 12/10/2025 - PIX: CELULAR - CHAVE: (33) 98845-4528</v>
      </c>
      <c r="I7363" t="str">
        <f t="shared" si="1361"/>
        <v>24/10/2025</v>
      </c>
      <c r="J7363" t="str">
        <f t="shared" si="1365"/>
        <v>14/10/2025</v>
      </c>
      <c r="K7363" t="str">
        <f>("24/10/2025")</f>
        <v>24/10/2025</v>
      </c>
      <c r="L7363">
        <v>1188</v>
      </c>
      <c r="M7363">
        <v>1188</v>
      </c>
      <c r="N7363">
        <v>109</v>
      </c>
      <c r="O7363" t="str">
        <f>"PAGAMENTO DE ENTREGADORES"</f>
        <v>PAGAMENTO DE ENTREGADORES</v>
      </c>
      <c r="P7363">
        <v>1188</v>
      </c>
      <c r="S7363" t="str">
        <f>"BANCO C6 (149)"</f>
        <v>BANCO C6 (149)</v>
      </c>
      <c r="T7363">
        <v>20157</v>
      </c>
      <c r="U7363">
        <v>23642</v>
      </c>
      <c r="V7363" t="s">
        <v>77</v>
      </c>
    </row>
    <row r="7364" spans="1:22">
      <c r="A7364" t="str">
        <f t="shared" si="1362"/>
        <v>24/10/2025</v>
      </c>
      <c r="B7364" t="str">
        <f t="shared" si="1359"/>
        <v>SAÍDA</v>
      </c>
      <c r="C7364" t="str">
        <f t="shared" si="1360"/>
        <v>PIX</v>
      </c>
      <c r="D7364" t="str">
        <f>"23642"</f>
        <v>23642</v>
      </c>
      <c r="E7364" t="str">
        <f t="shared" si="1364"/>
        <v>1</v>
      </c>
      <c r="F7364" t="str">
        <f t="shared" si="1363"/>
        <v>COM</v>
      </c>
      <c r="G7364" t="str">
        <f>"CELIO JOSÉ RIBEIRO (189)"</f>
        <v>CELIO JOSÉ RIBEIRO (189)</v>
      </c>
      <c r="H7364" t="s">
        <v>2015</v>
      </c>
      <c r="I7364" t="str">
        <f t="shared" si="1361"/>
        <v>24/10/2025</v>
      </c>
      <c r="J7364" t="str">
        <f t="shared" si="1365"/>
        <v>14/10/2025</v>
      </c>
      <c r="K7364">
        <v>45954</v>
      </c>
      <c r="N7364">
        <v>109</v>
      </c>
      <c r="O7364" t="s">
        <v>24</v>
      </c>
      <c r="Q7364">
        <v>1188</v>
      </c>
      <c r="R7364" t="str">
        <f>"FARMÁCIA INDIANA LJ 06 (10006)"</f>
        <v>FARMÁCIA INDIANA LJ 06 (10006)</v>
      </c>
      <c r="S7364" t="s">
        <v>77</v>
      </c>
      <c r="T7364">
        <v>20157</v>
      </c>
      <c r="U7364">
        <v>23642</v>
      </c>
      <c r="V7364" t="s">
        <v>77</v>
      </c>
    </row>
    <row r="7365" spans="1:22">
      <c r="A7365" t="str">
        <f t="shared" si="1362"/>
        <v>24/10/2025</v>
      </c>
      <c r="B7365" t="str">
        <f t="shared" si="1359"/>
        <v>SAÍDA</v>
      </c>
      <c r="C7365" t="str">
        <f t="shared" si="1360"/>
        <v>PIX</v>
      </c>
      <c r="D7365" t="str">
        <f>"23643"</f>
        <v>23643</v>
      </c>
      <c r="E7365" t="str">
        <f t="shared" si="1364"/>
        <v>1</v>
      </c>
      <c r="F7365" t="str">
        <f t="shared" si="1363"/>
        <v>COM</v>
      </c>
      <c r="G7365" t="str">
        <f>"CLEIDIOMAR RIBEIRO FERREIRA (34)"</f>
        <v>CLEIDIOMAR RIBEIRO FERREIRA (34)</v>
      </c>
      <c r="H7365" t="str">
        <f>"Serv.Prest. 06/10/2025 a 12/10/2025 - PIX: CELULAR - CHAVE: (31) 98511-2851"</f>
        <v>Serv.Prest. 06/10/2025 a 12/10/2025 - PIX: CELULAR - CHAVE: (31) 98511-2851</v>
      </c>
      <c r="I7365" t="str">
        <f t="shared" si="1361"/>
        <v>24/10/2025</v>
      </c>
      <c r="J7365" t="str">
        <f t="shared" si="1365"/>
        <v>14/10/2025</v>
      </c>
      <c r="K7365" t="str">
        <f>("24/10/2025")</f>
        <v>24/10/2025</v>
      </c>
      <c r="L7365">
        <v>1938</v>
      </c>
      <c r="M7365">
        <v>1938</v>
      </c>
      <c r="N7365">
        <v>109</v>
      </c>
      <c r="O7365" t="str">
        <f>"PAGAMENTO DE ENTREGADORES"</f>
        <v>PAGAMENTO DE ENTREGADORES</v>
      </c>
      <c r="P7365">
        <v>1938</v>
      </c>
      <c r="S7365" t="str">
        <f>"BANCO C6 (149)"</f>
        <v>BANCO C6 (149)</v>
      </c>
      <c r="T7365">
        <v>20158</v>
      </c>
      <c r="U7365">
        <v>23643</v>
      </c>
      <c r="V7365" t="s">
        <v>77</v>
      </c>
    </row>
    <row r="7366" spans="1:22">
      <c r="A7366" t="str">
        <f t="shared" si="1362"/>
        <v>24/10/2025</v>
      </c>
      <c r="B7366" t="str">
        <f t="shared" si="1359"/>
        <v>SAÍDA</v>
      </c>
      <c r="C7366" t="str">
        <f t="shared" si="1360"/>
        <v>PIX</v>
      </c>
      <c r="D7366" t="str">
        <f>"23643"</f>
        <v>23643</v>
      </c>
      <c r="E7366" t="str">
        <f t="shared" si="1364"/>
        <v>1</v>
      </c>
      <c r="F7366" t="str">
        <f t="shared" si="1363"/>
        <v>COM</v>
      </c>
      <c r="G7366" t="str">
        <f>"CLEIDIOMAR RIBEIRO FERREIRA (34)"</f>
        <v>CLEIDIOMAR RIBEIRO FERREIRA (34)</v>
      </c>
      <c r="H7366" t="s">
        <v>2016</v>
      </c>
      <c r="I7366" t="str">
        <f t="shared" si="1361"/>
        <v>24/10/2025</v>
      </c>
      <c r="J7366" t="str">
        <f t="shared" si="1365"/>
        <v>14/10/2025</v>
      </c>
      <c r="K7366">
        <v>45954</v>
      </c>
      <c r="N7366">
        <v>109</v>
      </c>
      <c r="O7366" t="s">
        <v>24</v>
      </c>
      <c r="Q7366">
        <v>1938</v>
      </c>
      <c r="R7366" t="str">
        <f>"FARMÁCIA INDIANA LJ 11 (10008)"</f>
        <v>FARMÁCIA INDIANA LJ 11 (10008)</v>
      </c>
      <c r="S7366" t="s">
        <v>77</v>
      </c>
      <c r="T7366">
        <v>20158</v>
      </c>
      <c r="U7366">
        <v>23643</v>
      </c>
      <c r="V7366" t="s">
        <v>77</v>
      </c>
    </row>
    <row r="7367" spans="1:22">
      <c r="A7367" t="str">
        <f t="shared" si="1362"/>
        <v>24/10/2025</v>
      </c>
      <c r="B7367" t="str">
        <f t="shared" si="1359"/>
        <v>SAÍDA</v>
      </c>
      <c r="C7367" t="str">
        <f t="shared" si="1360"/>
        <v>PIX</v>
      </c>
      <c r="D7367" t="str">
        <f>"23644"</f>
        <v>23644</v>
      </c>
      <c r="E7367" t="str">
        <f t="shared" si="1364"/>
        <v>1</v>
      </c>
      <c r="F7367" t="str">
        <f t="shared" si="1363"/>
        <v>COM</v>
      </c>
      <c r="G7367" t="str">
        <f>"CRISTIANO XAVIER DA COSTA (269)"</f>
        <v>CRISTIANO XAVIER DA COSTA (269)</v>
      </c>
      <c r="H7367" t="str">
        <f>"Serv.Prest. 06/10/2025 a 12/10/2025 - PIX: CELULAR - CHAVE: (32) 99177-6167"</f>
        <v>Serv.Prest. 06/10/2025 a 12/10/2025 - PIX: CELULAR - CHAVE: (32) 99177-6167</v>
      </c>
      <c r="I7367" t="str">
        <f t="shared" si="1361"/>
        <v>24/10/2025</v>
      </c>
      <c r="J7367" t="str">
        <f t="shared" si="1365"/>
        <v>14/10/2025</v>
      </c>
      <c r="K7367" t="str">
        <f>("24/10/2025")</f>
        <v>24/10/2025</v>
      </c>
      <c r="L7367">
        <v>2040</v>
      </c>
      <c r="M7367">
        <v>2040</v>
      </c>
      <c r="N7367">
        <v>109</v>
      </c>
      <c r="O7367" t="str">
        <f>"PAGAMENTO DE ENTREGADORES"</f>
        <v>PAGAMENTO DE ENTREGADORES</v>
      </c>
      <c r="P7367">
        <v>2040</v>
      </c>
      <c r="S7367" t="str">
        <f>"BANCO C6 (149)"</f>
        <v>BANCO C6 (149)</v>
      </c>
      <c r="T7367">
        <v>20159</v>
      </c>
      <c r="U7367">
        <v>23644</v>
      </c>
      <c r="V7367" t="s">
        <v>77</v>
      </c>
    </row>
    <row r="7368" spans="1:22">
      <c r="A7368" t="str">
        <f t="shared" si="1362"/>
        <v>24/10/2025</v>
      </c>
      <c r="B7368" t="str">
        <f t="shared" si="1359"/>
        <v>SAÍDA</v>
      </c>
      <c r="C7368" t="str">
        <f t="shared" si="1360"/>
        <v>PIX</v>
      </c>
      <c r="D7368" t="str">
        <f>"23644"</f>
        <v>23644</v>
      </c>
      <c r="E7368" t="str">
        <f t="shared" si="1364"/>
        <v>1</v>
      </c>
      <c r="F7368" t="str">
        <f t="shared" si="1363"/>
        <v>COM</v>
      </c>
      <c r="G7368" t="str">
        <f>"CRISTIANO XAVIER DA COSTA (269)"</f>
        <v>CRISTIANO XAVIER DA COSTA (269)</v>
      </c>
      <c r="H7368" t="s">
        <v>2017</v>
      </c>
      <c r="I7368" t="str">
        <f t="shared" si="1361"/>
        <v>24/10/2025</v>
      </c>
      <c r="J7368" t="str">
        <f t="shared" si="1365"/>
        <v>14/10/2025</v>
      </c>
      <c r="K7368">
        <v>45954</v>
      </c>
      <c r="N7368">
        <v>109</v>
      </c>
      <c r="O7368" t="s">
        <v>24</v>
      </c>
      <c r="Q7368">
        <v>1224</v>
      </c>
      <c r="R7368" t="str">
        <f>"FARMÁCIA INDIANA LJ 207 (10088)"</f>
        <v>FARMÁCIA INDIANA LJ 207 (10088)</v>
      </c>
      <c r="S7368" t="s">
        <v>77</v>
      </c>
      <c r="T7368">
        <v>20159</v>
      </c>
      <c r="U7368">
        <v>23644</v>
      </c>
      <c r="V7368" t="s">
        <v>77</v>
      </c>
    </row>
    <row r="7369" spans="1:22">
      <c r="A7369" t="str">
        <f t="shared" si="1362"/>
        <v>24/10/2025</v>
      </c>
      <c r="B7369" t="str">
        <f t="shared" si="1359"/>
        <v>SAÍDA</v>
      </c>
      <c r="C7369" t="str">
        <f t="shared" si="1360"/>
        <v>PIX</v>
      </c>
      <c r="D7369" t="str">
        <f>"23644"</f>
        <v>23644</v>
      </c>
      <c r="E7369" t="str">
        <f t="shared" si="1364"/>
        <v>1</v>
      </c>
      <c r="F7369" t="str">
        <f t="shared" si="1363"/>
        <v>COM</v>
      </c>
      <c r="G7369" t="str">
        <f>"CRISTIANO XAVIER DA COSTA (269)"</f>
        <v>CRISTIANO XAVIER DA COSTA (269)</v>
      </c>
      <c r="H7369" t="s">
        <v>2017</v>
      </c>
      <c r="I7369" t="str">
        <f t="shared" si="1361"/>
        <v>24/10/2025</v>
      </c>
      <c r="J7369" t="str">
        <f t="shared" si="1365"/>
        <v>14/10/2025</v>
      </c>
      <c r="K7369">
        <v>45954</v>
      </c>
      <c r="N7369">
        <v>109</v>
      </c>
      <c r="O7369" t="s">
        <v>24</v>
      </c>
      <c r="Q7369">
        <v>816</v>
      </c>
      <c r="R7369" t="str">
        <f>"FARMÁCIA INDIANA LJ 209 (10089)"</f>
        <v>FARMÁCIA INDIANA LJ 209 (10089)</v>
      </c>
      <c r="S7369" t="s">
        <v>77</v>
      </c>
      <c r="T7369">
        <v>20159</v>
      </c>
      <c r="U7369">
        <v>23644</v>
      </c>
      <c r="V7369" t="s">
        <v>77</v>
      </c>
    </row>
    <row r="7370" spans="1:22">
      <c r="A7370" t="str">
        <f t="shared" si="1362"/>
        <v>24/10/2025</v>
      </c>
      <c r="B7370" t="str">
        <f t="shared" si="1359"/>
        <v>SAÍDA</v>
      </c>
      <c r="C7370" t="str">
        <f t="shared" si="1360"/>
        <v>PIX</v>
      </c>
      <c r="D7370" t="str">
        <f>"23645"</f>
        <v>23645</v>
      </c>
      <c r="E7370" t="str">
        <f t="shared" si="1364"/>
        <v>1</v>
      </c>
      <c r="F7370" t="str">
        <f t="shared" si="1363"/>
        <v>COM</v>
      </c>
      <c r="G7370" t="str">
        <f>"DAMÁSIO JOSÉ DO NASCIMENTO NETO (147)"</f>
        <v>DAMÁSIO JOSÉ DO NASCIMENTO NETO (147)</v>
      </c>
      <c r="H7370" t="str">
        <f>"Serv.Prest. 06/10/2025 a 12/10/2025 - PIX: CPF - CHAVE: 110.483.296-82"</f>
        <v>Serv.Prest. 06/10/2025 a 12/10/2025 - PIX: CPF - CHAVE: 110.483.296-82</v>
      </c>
      <c r="I7370" t="str">
        <f t="shared" si="1361"/>
        <v>24/10/2025</v>
      </c>
      <c r="J7370" t="str">
        <f t="shared" si="1365"/>
        <v>14/10/2025</v>
      </c>
      <c r="K7370" t="str">
        <f>("24/10/2025")</f>
        <v>24/10/2025</v>
      </c>
      <c r="L7370">
        <v>1074</v>
      </c>
      <c r="M7370">
        <v>1074</v>
      </c>
      <c r="N7370">
        <v>109</v>
      </c>
      <c r="O7370" t="str">
        <f>"PAGAMENTO DE ENTREGADORES"</f>
        <v>PAGAMENTO DE ENTREGADORES</v>
      </c>
      <c r="P7370">
        <v>1074</v>
      </c>
      <c r="S7370" t="str">
        <f>"BANCO C6 (149)"</f>
        <v>BANCO C6 (149)</v>
      </c>
      <c r="T7370">
        <v>20160</v>
      </c>
      <c r="U7370">
        <v>23645</v>
      </c>
      <c r="V7370" t="s">
        <v>77</v>
      </c>
    </row>
    <row r="7371" spans="1:22">
      <c r="A7371" t="str">
        <f t="shared" si="1362"/>
        <v>24/10/2025</v>
      </c>
      <c r="B7371" t="str">
        <f t="shared" si="1359"/>
        <v>SAÍDA</v>
      </c>
      <c r="C7371" t="str">
        <f t="shared" si="1360"/>
        <v>PIX</v>
      </c>
      <c r="D7371" t="str">
        <f>"23645"</f>
        <v>23645</v>
      </c>
      <c r="E7371" t="str">
        <f t="shared" si="1364"/>
        <v>1</v>
      </c>
      <c r="F7371" t="str">
        <f t="shared" si="1363"/>
        <v>COM</v>
      </c>
      <c r="G7371" t="str">
        <f>"DAMÁSIO JOSÉ DO NASCIMENTO NETO (147)"</f>
        <v>DAMÁSIO JOSÉ DO NASCIMENTO NETO (147)</v>
      </c>
      <c r="H7371" t="s">
        <v>2018</v>
      </c>
      <c r="I7371" t="str">
        <f t="shared" si="1361"/>
        <v>24/10/2025</v>
      </c>
      <c r="J7371" t="str">
        <f t="shared" si="1365"/>
        <v>14/10/2025</v>
      </c>
      <c r="K7371">
        <v>45954</v>
      </c>
      <c r="N7371">
        <v>109</v>
      </c>
      <c r="O7371" t="s">
        <v>24</v>
      </c>
      <c r="Q7371">
        <v>1074</v>
      </c>
      <c r="R7371" t="str">
        <f>"FARMÁCIA INDIANA LJ 142 (10066)"</f>
        <v>FARMÁCIA INDIANA LJ 142 (10066)</v>
      </c>
      <c r="S7371" t="s">
        <v>77</v>
      </c>
      <c r="T7371">
        <v>20160</v>
      </c>
      <c r="U7371">
        <v>23645</v>
      </c>
      <c r="V7371" t="s">
        <v>77</v>
      </c>
    </row>
    <row r="7372" spans="1:22">
      <c r="A7372" t="str">
        <f t="shared" si="1362"/>
        <v>24/10/2025</v>
      </c>
      <c r="B7372" t="str">
        <f t="shared" si="1359"/>
        <v>SAÍDA</v>
      </c>
      <c r="C7372" t="str">
        <f t="shared" si="1360"/>
        <v>PIX</v>
      </c>
      <c r="D7372" t="str">
        <f>"23646"</f>
        <v>23646</v>
      </c>
      <c r="E7372" t="str">
        <f t="shared" si="1364"/>
        <v>1</v>
      </c>
      <c r="F7372" t="str">
        <f t="shared" si="1363"/>
        <v>COM</v>
      </c>
      <c r="G7372" t="str">
        <f>"DANILO WASHINGTON DOS SANTOS (770)"</f>
        <v>DANILO WASHINGTON DOS SANTOS (770)</v>
      </c>
      <c r="H7372" t="str">
        <f>"Serv.Prest. 06/10/2025 a 12/10/2025 - PIX: CELULAR - CHAVE: (33) 98749-5105"</f>
        <v>Serv.Prest. 06/10/2025 a 12/10/2025 - PIX: CELULAR - CHAVE: (33) 98749-5105</v>
      </c>
      <c r="I7372" t="str">
        <f t="shared" si="1361"/>
        <v>24/10/2025</v>
      </c>
      <c r="J7372" t="str">
        <f t="shared" si="1365"/>
        <v>14/10/2025</v>
      </c>
      <c r="K7372" t="str">
        <f>("24/10/2025")</f>
        <v>24/10/2025</v>
      </c>
      <c r="L7372">
        <v>876</v>
      </c>
      <c r="M7372">
        <v>876</v>
      </c>
      <c r="N7372">
        <v>109</v>
      </c>
      <c r="O7372" t="str">
        <f>"PAGAMENTO DE ENTREGADORES"</f>
        <v>PAGAMENTO DE ENTREGADORES</v>
      </c>
      <c r="P7372">
        <v>876</v>
      </c>
      <c r="S7372" t="str">
        <f>"BANCO C6 (149)"</f>
        <v>BANCO C6 (149)</v>
      </c>
      <c r="T7372">
        <v>20161</v>
      </c>
      <c r="U7372">
        <v>23646</v>
      </c>
      <c r="V7372" t="s">
        <v>77</v>
      </c>
    </row>
    <row r="7373" spans="1:22">
      <c r="A7373" t="str">
        <f t="shared" si="1362"/>
        <v>24/10/2025</v>
      </c>
      <c r="B7373" t="str">
        <f t="shared" si="1359"/>
        <v>SAÍDA</v>
      </c>
      <c r="C7373" t="str">
        <f t="shared" si="1360"/>
        <v>PIX</v>
      </c>
      <c r="D7373" t="str">
        <f>"23646"</f>
        <v>23646</v>
      </c>
      <c r="E7373" t="str">
        <f t="shared" si="1364"/>
        <v>1</v>
      </c>
      <c r="F7373" t="str">
        <f t="shared" si="1363"/>
        <v>COM</v>
      </c>
      <c r="G7373" t="str">
        <f>"DANILO WASHINGTON DOS SANTOS (770)"</f>
        <v>DANILO WASHINGTON DOS SANTOS (770)</v>
      </c>
      <c r="H7373" t="s">
        <v>2019</v>
      </c>
      <c r="I7373" t="str">
        <f t="shared" si="1361"/>
        <v>24/10/2025</v>
      </c>
      <c r="J7373" t="str">
        <f t="shared" si="1365"/>
        <v>14/10/2025</v>
      </c>
      <c r="K7373">
        <v>45954</v>
      </c>
      <c r="N7373">
        <v>109</v>
      </c>
      <c r="O7373" t="s">
        <v>24</v>
      </c>
      <c r="Q7373">
        <v>876</v>
      </c>
      <c r="R7373" t="str">
        <f>"FARMÁCIA INDIANA LJ 07 (10007)"</f>
        <v>FARMÁCIA INDIANA LJ 07 (10007)</v>
      </c>
      <c r="S7373" t="s">
        <v>77</v>
      </c>
      <c r="T7373">
        <v>20161</v>
      </c>
      <c r="U7373">
        <v>23646</v>
      </c>
      <c r="V7373" t="s">
        <v>77</v>
      </c>
    </row>
    <row r="7374" spans="1:22">
      <c r="A7374" t="str">
        <f t="shared" si="1362"/>
        <v>24/10/2025</v>
      </c>
      <c r="B7374" t="str">
        <f t="shared" si="1359"/>
        <v>SAÍDA</v>
      </c>
      <c r="C7374" t="str">
        <f t="shared" si="1360"/>
        <v>PIX</v>
      </c>
      <c r="D7374" t="str">
        <f>"23647"</f>
        <v>23647</v>
      </c>
      <c r="E7374" t="str">
        <f t="shared" si="1364"/>
        <v>1</v>
      </c>
      <c r="F7374" t="str">
        <f t="shared" si="1363"/>
        <v>COM</v>
      </c>
      <c r="G7374" t="str">
        <f>"DANTE SOARES DA SILVA (416)"</f>
        <v>DANTE SOARES DA SILVA (416)</v>
      </c>
      <c r="H7374" t="str">
        <f>"Serv.Prest. 06/10/2025 a 12/10/2025 - PIX: CELULAR - CHAVE: (33) 99802-1883"</f>
        <v>Serv.Prest. 06/10/2025 a 12/10/2025 - PIX: CELULAR - CHAVE: (33) 99802-1883</v>
      </c>
      <c r="I7374" t="str">
        <f t="shared" si="1361"/>
        <v>24/10/2025</v>
      </c>
      <c r="J7374" t="str">
        <f t="shared" si="1365"/>
        <v>14/10/2025</v>
      </c>
      <c r="K7374" t="str">
        <f>("24/10/2025")</f>
        <v>24/10/2025</v>
      </c>
      <c r="L7374">
        <v>681.1</v>
      </c>
      <c r="M7374">
        <v>681.1</v>
      </c>
      <c r="N7374">
        <v>109</v>
      </c>
      <c r="O7374" t="str">
        <f>"PAGAMENTO DE ENTREGADORES"</f>
        <v>PAGAMENTO DE ENTREGADORES</v>
      </c>
      <c r="P7374">
        <v>681.1</v>
      </c>
      <c r="S7374" t="str">
        <f>"BANCO C6 (149)"</f>
        <v>BANCO C6 (149)</v>
      </c>
      <c r="T7374">
        <v>20162</v>
      </c>
      <c r="U7374">
        <v>23647</v>
      </c>
      <c r="V7374" t="s">
        <v>77</v>
      </c>
    </row>
    <row r="7375" spans="1:22">
      <c r="A7375" t="str">
        <f t="shared" si="1362"/>
        <v>24/10/2025</v>
      </c>
      <c r="B7375" t="str">
        <f t="shared" si="1359"/>
        <v>SAÍDA</v>
      </c>
      <c r="C7375" t="str">
        <f t="shared" si="1360"/>
        <v>PIX</v>
      </c>
      <c r="D7375" t="str">
        <f>"23647"</f>
        <v>23647</v>
      </c>
      <c r="E7375" t="str">
        <f t="shared" si="1364"/>
        <v>1</v>
      </c>
      <c r="F7375" t="str">
        <f t="shared" si="1363"/>
        <v>COM</v>
      </c>
      <c r="G7375" t="str">
        <f>"DANTE SOARES DA SILVA (416)"</f>
        <v>DANTE SOARES DA SILVA (416)</v>
      </c>
      <c r="H7375" t="s">
        <v>2020</v>
      </c>
      <c r="I7375" t="str">
        <f t="shared" si="1361"/>
        <v>24/10/2025</v>
      </c>
      <c r="J7375" t="str">
        <f t="shared" si="1365"/>
        <v>14/10/2025</v>
      </c>
      <c r="K7375">
        <v>45954</v>
      </c>
      <c r="N7375">
        <v>109</v>
      </c>
      <c r="O7375" t="s">
        <v>24</v>
      </c>
      <c r="Q7375">
        <v>681.1</v>
      </c>
      <c r="R7375" t="str">
        <f>"FARMÁCIA INDIANA LJ 59 (10026)"</f>
        <v>FARMÁCIA INDIANA LJ 59 (10026)</v>
      </c>
      <c r="S7375" t="s">
        <v>77</v>
      </c>
      <c r="T7375">
        <v>20162</v>
      </c>
      <c r="U7375">
        <v>23647</v>
      </c>
      <c r="V7375" t="s">
        <v>77</v>
      </c>
    </row>
    <row r="7376" spans="1:22">
      <c r="A7376" t="str">
        <f t="shared" si="1362"/>
        <v>24/10/2025</v>
      </c>
      <c r="B7376" t="str">
        <f t="shared" si="1359"/>
        <v>SAÍDA</v>
      </c>
      <c r="C7376" t="str">
        <f t="shared" si="1360"/>
        <v>PIX</v>
      </c>
      <c r="D7376" t="str">
        <f>"23648"</f>
        <v>23648</v>
      </c>
      <c r="E7376" t="str">
        <f t="shared" si="1364"/>
        <v>1</v>
      </c>
      <c r="F7376" t="str">
        <f t="shared" si="1363"/>
        <v>COM</v>
      </c>
      <c r="G7376" t="str">
        <f>"DEVANILDO PONTES CASAGRANDE (179)"</f>
        <v>DEVANILDO PONTES CASAGRANDE (179)</v>
      </c>
      <c r="H7376" t="str">
        <f>"Serv.Prest. 06/10/2025 a 12/10/2025 - PIX: CELULAR - CHAVE: (31) 99610-7049"</f>
        <v>Serv.Prest. 06/10/2025 a 12/10/2025 - PIX: CELULAR - CHAVE: (31) 99610-7049</v>
      </c>
      <c r="I7376" t="str">
        <f t="shared" si="1361"/>
        <v>24/10/2025</v>
      </c>
      <c r="J7376" t="str">
        <f t="shared" si="1365"/>
        <v>14/10/2025</v>
      </c>
      <c r="K7376" t="str">
        <f>("24/10/2025")</f>
        <v>24/10/2025</v>
      </c>
      <c r="L7376">
        <v>714</v>
      </c>
      <c r="M7376">
        <v>714</v>
      </c>
      <c r="N7376">
        <v>109</v>
      </c>
      <c r="O7376" t="str">
        <f>"PAGAMENTO DE ENTREGADORES"</f>
        <v>PAGAMENTO DE ENTREGADORES</v>
      </c>
      <c r="P7376">
        <v>714</v>
      </c>
      <c r="S7376" t="str">
        <f>"BANCO C6 (149)"</f>
        <v>BANCO C6 (149)</v>
      </c>
      <c r="T7376">
        <v>20163</v>
      </c>
      <c r="U7376">
        <v>23648</v>
      </c>
      <c r="V7376" t="s">
        <v>77</v>
      </c>
    </row>
    <row r="7377" spans="1:22">
      <c r="A7377" t="str">
        <f t="shared" si="1362"/>
        <v>24/10/2025</v>
      </c>
      <c r="B7377" t="str">
        <f t="shared" si="1359"/>
        <v>SAÍDA</v>
      </c>
      <c r="C7377" t="str">
        <f t="shared" si="1360"/>
        <v>PIX</v>
      </c>
      <c r="D7377" t="str">
        <f>"23648"</f>
        <v>23648</v>
      </c>
      <c r="E7377" t="str">
        <f t="shared" si="1364"/>
        <v>1</v>
      </c>
      <c r="F7377" t="str">
        <f t="shared" si="1363"/>
        <v>COM</v>
      </c>
      <c r="G7377" t="str">
        <f>"DEVANILDO PONTES CASAGRANDE (179)"</f>
        <v>DEVANILDO PONTES CASAGRANDE (179)</v>
      </c>
      <c r="H7377" t="s">
        <v>2021</v>
      </c>
      <c r="I7377" t="str">
        <f t="shared" si="1361"/>
        <v>24/10/2025</v>
      </c>
      <c r="J7377" t="str">
        <f t="shared" si="1365"/>
        <v>14/10/2025</v>
      </c>
      <c r="K7377">
        <v>45954</v>
      </c>
      <c r="N7377">
        <v>109</v>
      </c>
      <c r="O7377" t="s">
        <v>24</v>
      </c>
      <c r="Q7377">
        <v>714</v>
      </c>
      <c r="R7377" t="str">
        <f>"FARMÁCIA INDIANA LJ 142 (10066)"</f>
        <v>FARMÁCIA INDIANA LJ 142 (10066)</v>
      </c>
      <c r="S7377" t="s">
        <v>77</v>
      </c>
      <c r="T7377">
        <v>20163</v>
      </c>
      <c r="U7377">
        <v>23648</v>
      </c>
      <c r="V7377" t="s">
        <v>77</v>
      </c>
    </row>
    <row r="7378" spans="1:22">
      <c r="A7378" t="str">
        <f t="shared" si="1362"/>
        <v>24/10/2025</v>
      </c>
      <c r="B7378" t="str">
        <f t="shared" si="1359"/>
        <v>SAÍDA</v>
      </c>
      <c r="C7378" t="str">
        <f t="shared" si="1360"/>
        <v>PIX</v>
      </c>
      <c r="D7378" t="str">
        <f>"23650"</f>
        <v>23650</v>
      </c>
      <c r="E7378" t="str">
        <f t="shared" si="1364"/>
        <v>1</v>
      </c>
      <c r="F7378" t="str">
        <f t="shared" si="1363"/>
        <v>COM</v>
      </c>
      <c r="G7378" t="str">
        <f>"DIEGO DAYSON FERNANDES VIEIRA (893)"</f>
        <v>DIEGO DAYSON FERNANDES VIEIRA (893)</v>
      </c>
      <c r="H7378" t="str">
        <f>"Serv.Prest. 06/10/2025 a 12/10/2025 - PIX: E-MAIL - CHAVE: turano296801@gmail.com"</f>
        <v>Serv.Prest. 06/10/2025 a 12/10/2025 - PIX: E-MAIL - CHAVE: turano296801@gmail.com</v>
      </c>
      <c r="I7378" t="str">
        <f t="shared" si="1361"/>
        <v>24/10/2025</v>
      </c>
      <c r="J7378" t="str">
        <f t="shared" si="1365"/>
        <v>14/10/2025</v>
      </c>
      <c r="K7378" t="str">
        <f>("24/10/2025")</f>
        <v>24/10/2025</v>
      </c>
      <c r="L7378">
        <v>800</v>
      </c>
      <c r="M7378">
        <v>800</v>
      </c>
      <c r="N7378">
        <v>109</v>
      </c>
      <c r="O7378" t="str">
        <f>"PAGAMENTO DE ENTREGADORES"</f>
        <v>PAGAMENTO DE ENTREGADORES</v>
      </c>
      <c r="P7378">
        <v>800</v>
      </c>
      <c r="S7378" t="str">
        <f>"BANCO C6 (149)"</f>
        <v>BANCO C6 (149)</v>
      </c>
      <c r="T7378">
        <v>20164</v>
      </c>
      <c r="U7378">
        <v>23650</v>
      </c>
      <c r="V7378" t="s">
        <v>77</v>
      </c>
    </row>
    <row r="7379" spans="1:22">
      <c r="A7379" t="str">
        <f t="shared" si="1362"/>
        <v>24/10/2025</v>
      </c>
      <c r="B7379" t="str">
        <f t="shared" si="1359"/>
        <v>SAÍDA</v>
      </c>
      <c r="C7379" t="str">
        <f t="shared" si="1360"/>
        <v>PIX</v>
      </c>
      <c r="D7379" t="str">
        <f>"23650"</f>
        <v>23650</v>
      </c>
      <c r="E7379" t="str">
        <f t="shared" si="1364"/>
        <v>1</v>
      </c>
      <c r="F7379" t="str">
        <f t="shared" si="1363"/>
        <v>COM</v>
      </c>
      <c r="G7379" t="str">
        <f>"DIEGO DAYSON FERNANDES VIEIRA (893)"</f>
        <v>DIEGO DAYSON FERNANDES VIEIRA (893)</v>
      </c>
      <c r="H7379" t="s">
        <v>2022</v>
      </c>
      <c r="I7379" t="str">
        <f t="shared" si="1361"/>
        <v>24/10/2025</v>
      </c>
      <c r="J7379" t="str">
        <f t="shared" si="1365"/>
        <v>14/10/2025</v>
      </c>
      <c r="K7379">
        <v>45954</v>
      </c>
      <c r="N7379">
        <v>109</v>
      </c>
      <c r="O7379" t="s">
        <v>24</v>
      </c>
      <c r="Q7379">
        <v>800</v>
      </c>
      <c r="R7379" t="str">
        <f>"FARMÁCIA INDIANA LJ 205 (10150)"</f>
        <v>FARMÁCIA INDIANA LJ 205 (10150)</v>
      </c>
      <c r="S7379" t="s">
        <v>77</v>
      </c>
      <c r="T7379">
        <v>20164</v>
      </c>
      <c r="U7379">
        <v>23650</v>
      </c>
      <c r="V7379" t="s">
        <v>77</v>
      </c>
    </row>
    <row r="7380" spans="1:22">
      <c r="A7380" t="str">
        <f t="shared" si="1362"/>
        <v>24/10/2025</v>
      </c>
      <c r="B7380" t="str">
        <f t="shared" si="1359"/>
        <v>SAÍDA</v>
      </c>
      <c r="C7380" t="str">
        <f t="shared" si="1360"/>
        <v>PIX</v>
      </c>
      <c r="D7380" t="str">
        <f>"23651"</f>
        <v>23651</v>
      </c>
      <c r="E7380" t="str">
        <f t="shared" si="1364"/>
        <v>1</v>
      </c>
      <c r="F7380" t="str">
        <f t="shared" si="1363"/>
        <v>COM</v>
      </c>
      <c r="G7380" t="str">
        <f>"DIEGO DIRLEY RIBEIRO (38)"</f>
        <v>DIEGO DIRLEY RIBEIRO (38)</v>
      </c>
      <c r="H7380" t="str">
        <f>"Serv.Prest. 06/10/2025 a 12/10/2025 - PIX: CPF - CHAVE: 102.023.716-38"</f>
        <v>Serv.Prest. 06/10/2025 a 12/10/2025 - PIX: CPF - CHAVE: 102.023.716-38</v>
      </c>
      <c r="I7380" t="str">
        <f t="shared" si="1361"/>
        <v>24/10/2025</v>
      </c>
      <c r="J7380" t="str">
        <f t="shared" si="1365"/>
        <v>14/10/2025</v>
      </c>
      <c r="K7380" t="str">
        <f>("24/10/2025")</f>
        <v>24/10/2025</v>
      </c>
      <c r="L7380">
        <v>1830</v>
      </c>
      <c r="M7380">
        <v>1830</v>
      </c>
      <c r="N7380">
        <v>109</v>
      </c>
      <c r="O7380" t="str">
        <f>"PAGAMENTO DE ENTREGADORES"</f>
        <v>PAGAMENTO DE ENTREGADORES</v>
      </c>
      <c r="P7380">
        <v>1830</v>
      </c>
      <c r="S7380" t="str">
        <f>"BANCO C6 (149)"</f>
        <v>BANCO C6 (149)</v>
      </c>
      <c r="T7380">
        <v>20165</v>
      </c>
      <c r="U7380">
        <v>23651</v>
      </c>
      <c r="V7380" t="s">
        <v>77</v>
      </c>
    </row>
    <row r="7381" spans="1:22">
      <c r="A7381" t="str">
        <f t="shared" si="1362"/>
        <v>24/10/2025</v>
      </c>
      <c r="B7381" t="str">
        <f t="shared" si="1359"/>
        <v>SAÍDA</v>
      </c>
      <c r="C7381" t="str">
        <f t="shared" si="1360"/>
        <v>PIX</v>
      </c>
      <c r="D7381" t="str">
        <f>"23651"</f>
        <v>23651</v>
      </c>
      <c r="E7381" t="str">
        <f t="shared" si="1364"/>
        <v>1</v>
      </c>
      <c r="F7381" t="str">
        <f t="shared" si="1363"/>
        <v>COM</v>
      </c>
      <c r="G7381" t="str">
        <f>"DIEGO DIRLEY RIBEIRO (38)"</f>
        <v>DIEGO DIRLEY RIBEIRO (38)</v>
      </c>
      <c r="H7381" t="s">
        <v>2023</v>
      </c>
      <c r="I7381" t="str">
        <f t="shared" si="1361"/>
        <v>24/10/2025</v>
      </c>
      <c r="J7381" t="str">
        <f t="shared" si="1365"/>
        <v>14/10/2025</v>
      </c>
      <c r="K7381">
        <v>45954</v>
      </c>
      <c r="N7381">
        <v>109</v>
      </c>
      <c r="O7381" t="s">
        <v>24</v>
      </c>
      <c r="Q7381">
        <v>1830</v>
      </c>
      <c r="R7381" t="str">
        <f>"FARMÁCIA INDIANA LJ 172 (10161)"</f>
        <v>FARMÁCIA INDIANA LJ 172 (10161)</v>
      </c>
      <c r="S7381" t="s">
        <v>77</v>
      </c>
      <c r="T7381">
        <v>20165</v>
      </c>
      <c r="U7381">
        <v>23651</v>
      </c>
      <c r="V7381" t="s">
        <v>77</v>
      </c>
    </row>
    <row r="7382" spans="1:22">
      <c r="A7382" t="str">
        <f t="shared" si="1362"/>
        <v>24/10/2025</v>
      </c>
      <c r="B7382" t="str">
        <f t="shared" si="1359"/>
        <v>SAÍDA</v>
      </c>
      <c r="C7382" t="str">
        <f t="shared" si="1360"/>
        <v>PIX</v>
      </c>
      <c r="D7382" t="str">
        <f>"23652"</f>
        <v>23652</v>
      </c>
      <c r="E7382" t="str">
        <f t="shared" si="1364"/>
        <v>1</v>
      </c>
      <c r="F7382" t="str">
        <f t="shared" si="1363"/>
        <v>COM</v>
      </c>
      <c r="G7382" t="str">
        <f>"DIONE OLIVEIRA SILVA (214)"</f>
        <v>DIONE OLIVEIRA SILVA (214)</v>
      </c>
      <c r="H7382" t="str">
        <f>"Serv.Prest. 06/10/2025 a 12/10/2025 - PIX: CELULAR - CHAVE: (33) 98890-5095"</f>
        <v>Serv.Prest. 06/10/2025 a 12/10/2025 - PIX: CELULAR - CHAVE: (33) 98890-5095</v>
      </c>
      <c r="I7382" t="str">
        <f t="shared" si="1361"/>
        <v>24/10/2025</v>
      </c>
      <c r="J7382" t="str">
        <f t="shared" si="1365"/>
        <v>14/10/2025</v>
      </c>
      <c r="K7382" t="str">
        <f>("24/10/2025")</f>
        <v>24/10/2025</v>
      </c>
      <c r="L7382">
        <v>1806</v>
      </c>
      <c r="M7382">
        <v>1806</v>
      </c>
      <c r="N7382">
        <v>109</v>
      </c>
      <c r="O7382" t="str">
        <f>"PAGAMENTO DE ENTREGADORES"</f>
        <v>PAGAMENTO DE ENTREGADORES</v>
      </c>
      <c r="P7382">
        <v>1806</v>
      </c>
      <c r="S7382" t="str">
        <f>"BANCO C6 (149)"</f>
        <v>BANCO C6 (149)</v>
      </c>
      <c r="T7382">
        <v>20166</v>
      </c>
      <c r="U7382">
        <v>23652</v>
      </c>
      <c r="V7382" t="s">
        <v>77</v>
      </c>
    </row>
    <row r="7383" spans="1:22">
      <c r="A7383" t="str">
        <f t="shared" si="1362"/>
        <v>24/10/2025</v>
      </c>
      <c r="B7383" t="str">
        <f t="shared" si="1359"/>
        <v>SAÍDA</v>
      </c>
      <c r="C7383" t="str">
        <f t="shared" si="1360"/>
        <v>PIX</v>
      </c>
      <c r="D7383" t="str">
        <f>"23652"</f>
        <v>23652</v>
      </c>
      <c r="E7383" t="str">
        <f t="shared" si="1364"/>
        <v>1</v>
      </c>
      <c r="F7383" t="str">
        <f t="shared" si="1363"/>
        <v>COM</v>
      </c>
      <c r="G7383" t="str">
        <f>"DIONE OLIVEIRA SILVA (214)"</f>
        <v>DIONE OLIVEIRA SILVA (214)</v>
      </c>
      <c r="H7383" t="s">
        <v>2024</v>
      </c>
      <c r="I7383" t="str">
        <f t="shared" si="1361"/>
        <v>24/10/2025</v>
      </c>
      <c r="J7383" t="str">
        <f t="shared" si="1365"/>
        <v>14/10/2025</v>
      </c>
      <c r="K7383">
        <v>45954</v>
      </c>
      <c r="N7383">
        <v>109</v>
      </c>
      <c r="O7383" t="s">
        <v>24</v>
      </c>
      <c r="Q7383">
        <v>1806</v>
      </c>
      <c r="R7383" t="str">
        <f>"FARMÁCIA INDIANA LJ 14 (10009)"</f>
        <v>FARMÁCIA INDIANA LJ 14 (10009)</v>
      </c>
      <c r="S7383" t="s">
        <v>77</v>
      </c>
      <c r="T7383">
        <v>20166</v>
      </c>
      <c r="U7383">
        <v>23652</v>
      </c>
      <c r="V7383" t="s">
        <v>77</v>
      </c>
    </row>
    <row r="7384" spans="1:22">
      <c r="A7384" t="str">
        <f t="shared" si="1362"/>
        <v>24/10/2025</v>
      </c>
      <c r="B7384" t="str">
        <f t="shared" si="1359"/>
        <v>SAÍDA</v>
      </c>
      <c r="C7384" t="str">
        <f t="shared" si="1360"/>
        <v>PIX</v>
      </c>
      <c r="D7384" t="str">
        <f>"23653"</f>
        <v>23653</v>
      </c>
      <c r="E7384" t="str">
        <f t="shared" si="1364"/>
        <v>1</v>
      </c>
      <c r="F7384" t="str">
        <f t="shared" si="1363"/>
        <v>COM</v>
      </c>
      <c r="G7384" t="str">
        <f>"EDIONIO CARVALHO DA SILVA (920)"</f>
        <v>EDIONIO CARVALHO DA SILVA (920)</v>
      </c>
      <c r="H7384" t="str">
        <f>"Serv.Prest. 06/10/2025 a 12/10/2025 - PIX: CELULAR - CHAVE: (33) 99199-7983"</f>
        <v>Serv.Prest. 06/10/2025 a 12/10/2025 - PIX: CELULAR - CHAVE: (33) 99199-7983</v>
      </c>
      <c r="I7384" t="str">
        <f t="shared" si="1361"/>
        <v>24/10/2025</v>
      </c>
      <c r="J7384" t="str">
        <f t="shared" si="1365"/>
        <v>14/10/2025</v>
      </c>
      <c r="K7384" t="str">
        <f>("24/10/2025")</f>
        <v>24/10/2025</v>
      </c>
      <c r="L7384">
        <v>750</v>
      </c>
      <c r="M7384">
        <v>750</v>
      </c>
      <c r="N7384">
        <v>109</v>
      </c>
      <c r="O7384" t="str">
        <f>"PAGAMENTO DE ENTREGADORES"</f>
        <v>PAGAMENTO DE ENTREGADORES</v>
      </c>
      <c r="P7384">
        <v>750</v>
      </c>
      <c r="S7384" t="str">
        <f>"BANCO C6 (149)"</f>
        <v>BANCO C6 (149)</v>
      </c>
      <c r="T7384">
        <v>20167</v>
      </c>
      <c r="U7384">
        <v>23653</v>
      </c>
      <c r="V7384" t="s">
        <v>77</v>
      </c>
    </row>
    <row r="7385" spans="1:22">
      <c r="A7385" t="str">
        <f t="shared" si="1362"/>
        <v>24/10/2025</v>
      </c>
      <c r="B7385" t="str">
        <f t="shared" si="1359"/>
        <v>SAÍDA</v>
      </c>
      <c r="C7385" t="str">
        <f t="shared" si="1360"/>
        <v>PIX</v>
      </c>
      <c r="D7385" t="str">
        <f>"23653"</f>
        <v>23653</v>
      </c>
      <c r="E7385" t="str">
        <f t="shared" si="1364"/>
        <v>1</v>
      </c>
      <c r="F7385" t="str">
        <f t="shared" si="1363"/>
        <v>COM</v>
      </c>
      <c r="G7385" t="str">
        <f>"EDIONIO CARVALHO DA SILVA (920)"</f>
        <v>EDIONIO CARVALHO DA SILVA (920)</v>
      </c>
      <c r="H7385" t="s">
        <v>2025</v>
      </c>
      <c r="I7385" t="str">
        <f t="shared" si="1361"/>
        <v>24/10/2025</v>
      </c>
      <c r="J7385" t="str">
        <f t="shared" si="1365"/>
        <v>14/10/2025</v>
      </c>
      <c r="K7385">
        <v>45954</v>
      </c>
      <c r="N7385">
        <v>109</v>
      </c>
      <c r="O7385" t="s">
        <v>24</v>
      </c>
      <c r="Q7385">
        <v>750</v>
      </c>
      <c r="R7385" t="str">
        <f>"FARMÁCIA INDIANA LJ 171 (10074)"</f>
        <v>FARMÁCIA INDIANA LJ 171 (10074)</v>
      </c>
      <c r="S7385" t="s">
        <v>77</v>
      </c>
      <c r="T7385">
        <v>20167</v>
      </c>
      <c r="U7385">
        <v>23653</v>
      </c>
      <c r="V7385" t="s">
        <v>77</v>
      </c>
    </row>
    <row r="7386" spans="1:22">
      <c r="A7386" t="str">
        <f t="shared" si="1362"/>
        <v>24/10/2025</v>
      </c>
      <c r="B7386" t="str">
        <f t="shared" si="1359"/>
        <v>SAÍDA</v>
      </c>
      <c r="C7386" t="str">
        <f t="shared" si="1360"/>
        <v>PIX</v>
      </c>
      <c r="D7386" t="str">
        <f>"23654"</f>
        <v>23654</v>
      </c>
      <c r="E7386" t="str">
        <f t="shared" si="1364"/>
        <v>1</v>
      </c>
      <c r="F7386" t="str">
        <f t="shared" si="1363"/>
        <v>COM</v>
      </c>
      <c r="G7386" t="str">
        <f>"EDSON JUNIOR FERREIRA DA SILVA (99)"</f>
        <v>EDSON JUNIOR FERREIRA DA SILVA (99)</v>
      </c>
      <c r="H7386" t="str">
        <f>"Serv.Prest. 06/10/2025 a 12/10/2025 - PIX: CPF - CHAVE: 141.134.256-98"</f>
        <v>Serv.Prest. 06/10/2025 a 12/10/2025 - PIX: CPF - CHAVE: 141.134.256-98</v>
      </c>
      <c r="I7386" t="str">
        <f t="shared" si="1361"/>
        <v>24/10/2025</v>
      </c>
      <c r="J7386" t="str">
        <f t="shared" si="1365"/>
        <v>14/10/2025</v>
      </c>
      <c r="K7386" t="str">
        <f>("24/10/2025")</f>
        <v>24/10/2025</v>
      </c>
      <c r="L7386">
        <v>700.7</v>
      </c>
      <c r="M7386">
        <v>700.7</v>
      </c>
      <c r="N7386">
        <v>109</v>
      </c>
      <c r="O7386" t="str">
        <f>"PAGAMENTO DE ENTREGADORES"</f>
        <v>PAGAMENTO DE ENTREGADORES</v>
      </c>
      <c r="P7386">
        <v>700.7</v>
      </c>
      <c r="S7386" t="str">
        <f>"BANCO C6 (149)"</f>
        <v>BANCO C6 (149)</v>
      </c>
      <c r="T7386">
        <v>20168</v>
      </c>
      <c r="U7386">
        <v>23654</v>
      </c>
      <c r="V7386" t="s">
        <v>77</v>
      </c>
    </row>
    <row r="7387" spans="1:22">
      <c r="A7387" t="str">
        <f t="shared" si="1362"/>
        <v>24/10/2025</v>
      </c>
      <c r="B7387" t="str">
        <f t="shared" si="1359"/>
        <v>SAÍDA</v>
      </c>
      <c r="C7387" t="str">
        <f t="shared" si="1360"/>
        <v>PIX</v>
      </c>
      <c r="D7387" t="str">
        <f>"23654"</f>
        <v>23654</v>
      </c>
      <c r="E7387" t="str">
        <f t="shared" si="1364"/>
        <v>1</v>
      </c>
      <c r="F7387" t="str">
        <f t="shared" si="1363"/>
        <v>COM</v>
      </c>
      <c r="G7387" t="str">
        <f>"EDSON JUNIOR FERREIRA DA SILVA (99)"</f>
        <v>EDSON JUNIOR FERREIRA DA SILVA (99)</v>
      </c>
      <c r="H7387" t="s">
        <v>2026</v>
      </c>
      <c r="I7387" t="str">
        <f t="shared" si="1361"/>
        <v>24/10/2025</v>
      </c>
      <c r="J7387" t="str">
        <f t="shared" si="1365"/>
        <v>14/10/2025</v>
      </c>
      <c r="K7387">
        <v>45954</v>
      </c>
      <c r="N7387">
        <v>109</v>
      </c>
      <c r="O7387" t="s">
        <v>24</v>
      </c>
      <c r="Q7387">
        <v>700.7</v>
      </c>
      <c r="R7387" t="str">
        <f>"FARMÁCIA INDIANA LJ 100 (10042)"</f>
        <v>FARMÁCIA INDIANA LJ 100 (10042)</v>
      </c>
      <c r="S7387" t="s">
        <v>77</v>
      </c>
      <c r="T7387">
        <v>20168</v>
      </c>
      <c r="U7387">
        <v>23654</v>
      </c>
      <c r="V7387" t="s">
        <v>77</v>
      </c>
    </row>
    <row r="7388" spans="1:22">
      <c r="A7388" t="str">
        <f t="shared" si="1362"/>
        <v>24/10/2025</v>
      </c>
      <c r="B7388" t="str">
        <f t="shared" si="1359"/>
        <v>SAÍDA</v>
      </c>
      <c r="C7388" t="str">
        <f t="shared" si="1360"/>
        <v>PIX</v>
      </c>
      <c r="D7388" t="str">
        <f>"23655"</f>
        <v>23655</v>
      </c>
      <c r="E7388" t="str">
        <f t="shared" si="1364"/>
        <v>1</v>
      </c>
      <c r="F7388" t="str">
        <f t="shared" si="1363"/>
        <v>COM</v>
      </c>
      <c r="G7388" t="str">
        <f>"EUDES PIMENTA (368)"</f>
        <v>EUDES PIMENTA (368)</v>
      </c>
      <c r="H7388" t="str">
        <f>"Serv.Prest. 06/10/2025 a 12/10/2025 - PIX: CPF - CHAVE: 070.073.316-70"</f>
        <v>Serv.Prest. 06/10/2025 a 12/10/2025 - PIX: CPF - CHAVE: 070.073.316-70</v>
      </c>
      <c r="I7388" t="str">
        <f t="shared" si="1361"/>
        <v>24/10/2025</v>
      </c>
      <c r="J7388" t="str">
        <f t="shared" si="1365"/>
        <v>14/10/2025</v>
      </c>
      <c r="K7388" t="str">
        <f>("24/10/2025")</f>
        <v>24/10/2025</v>
      </c>
      <c r="L7388">
        <v>1080</v>
      </c>
      <c r="M7388">
        <v>1080</v>
      </c>
      <c r="N7388">
        <v>109</v>
      </c>
      <c r="O7388" t="str">
        <f>"PAGAMENTO DE ENTREGADORES"</f>
        <v>PAGAMENTO DE ENTREGADORES</v>
      </c>
      <c r="P7388">
        <v>1080</v>
      </c>
      <c r="S7388" t="str">
        <f>"BANCO C6 (149)"</f>
        <v>BANCO C6 (149)</v>
      </c>
      <c r="T7388">
        <v>20169</v>
      </c>
      <c r="U7388">
        <v>23655</v>
      </c>
      <c r="V7388" t="s">
        <v>77</v>
      </c>
    </row>
    <row r="7389" spans="1:22">
      <c r="A7389" t="str">
        <f t="shared" si="1362"/>
        <v>24/10/2025</v>
      </c>
      <c r="B7389" t="str">
        <f t="shared" si="1359"/>
        <v>SAÍDA</v>
      </c>
      <c r="C7389" t="str">
        <f t="shared" si="1360"/>
        <v>PIX</v>
      </c>
      <c r="D7389" t="str">
        <f>"23655"</f>
        <v>23655</v>
      </c>
      <c r="E7389" t="str">
        <f t="shared" si="1364"/>
        <v>1</v>
      </c>
      <c r="F7389" t="str">
        <f t="shared" si="1363"/>
        <v>COM</v>
      </c>
      <c r="G7389" t="str">
        <f>"EUDES PIMENTA (368)"</f>
        <v>EUDES PIMENTA (368)</v>
      </c>
      <c r="H7389" t="s">
        <v>2027</v>
      </c>
      <c r="I7389" t="str">
        <f t="shared" si="1361"/>
        <v>24/10/2025</v>
      </c>
      <c r="J7389" t="str">
        <f t="shared" si="1365"/>
        <v>14/10/2025</v>
      </c>
      <c r="K7389">
        <v>45954</v>
      </c>
      <c r="N7389">
        <v>109</v>
      </c>
      <c r="O7389" t="s">
        <v>24</v>
      </c>
      <c r="Q7389">
        <v>1080</v>
      </c>
      <c r="R7389" t="str">
        <f>"FARMÁCIA INDIANA LJ 06 (10006)"</f>
        <v>FARMÁCIA INDIANA LJ 06 (10006)</v>
      </c>
      <c r="S7389" t="s">
        <v>77</v>
      </c>
      <c r="T7389">
        <v>20169</v>
      </c>
      <c r="U7389">
        <v>23655</v>
      </c>
      <c r="V7389" t="s">
        <v>77</v>
      </c>
    </row>
    <row r="7390" spans="1:22">
      <c r="A7390" t="str">
        <f t="shared" si="1362"/>
        <v>24/10/2025</v>
      </c>
      <c r="B7390" t="str">
        <f t="shared" si="1359"/>
        <v>SAÍDA</v>
      </c>
      <c r="C7390" t="str">
        <f t="shared" si="1360"/>
        <v>PIX</v>
      </c>
      <c r="D7390" t="str">
        <f>"23657"</f>
        <v>23657</v>
      </c>
      <c r="E7390" t="str">
        <f t="shared" si="1364"/>
        <v>1</v>
      </c>
      <c r="F7390" t="str">
        <f t="shared" si="1363"/>
        <v>COM</v>
      </c>
      <c r="G7390" t="str">
        <f>"FABRICIO RAMON SOARES SANTOS (645)"</f>
        <v>FABRICIO RAMON SOARES SANTOS (645)</v>
      </c>
      <c r="H7390" t="str">
        <f>"Serv.Prest. 06/10/2025 a 12/10/2025 - PIX: CELULAR - CHAVE: (31) 98483-3242"</f>
        <v>Serv.Prest. 06/10/2025 a 12/10/2025 - PIX: CELULAR - CHAVE: (31) 98483-3242</v>
      </c>
      <c r="I7390" t="str">
        <f t="shared" si="1361"/>
        <v>24/10/2025</v>
      </c>
      <c r="J7390" t="str">
        <f t="shared" si="1365"/>
        <v>14/10/2025</v>
      </c>
      <c r="K7390" t="str">
        <f>("24/10/2025")</f>
        <v>24/10/2025</v>
      </c>
      <c r="L7390">
        <v>2034</v>
      </c>
      <c r="M7390">
        <v>2034</v>
      </c>
      <c r="N7390">
        <v>109</v>
      </c>
      <c r="O7390" t="str">
        <f>"PAGAMENTO DE ENTREGADORES"</f>
        <v>PAGAMENTO DE ENTREGADORES</v>
      </c>
      <c r="P7390">
        <v>2034</v>
      </c>
      <c r="S7390" t="str">
        <f>"BANCO C6 (149)"</f>
        <v>BANCO C6 (149)</v>
      </c>
      <c r="T7390">
        <v>20170</v>
      </c>
      <c r="U7390">
        <v>23657</v>
      </c>
      <c r="V7390" t="s">
        <v>77</v>
      </c>
    </row>
    <row r="7391" spans="1:22">
      <c r="A7391" t="str">
        <f t="shared" si="1362"/>
        <v>24/10/2025</v>
      </c>
      <c r="B7391" t="str">
        <f t="shared" si="1359"/>
        <v>SAÍDA</v>
      </c>
      <c r="C7391" t="str">
        <f t="shared" si="1360"/>
        <v>PIX</v>
      </c>
      <c r="D7391" t="str">
        <f>"23657"</f>
        <v>23657</v>
      </c>
      <c r="E7391" t="str">
        <f t="shared" si="1364"/>
        <v>1</v>
      </c>
      <c r="F7391" t="str">
        <f t="shared" si="1363"/>
        <v>COM</v>
      </c>
      <c r="G7391" t="str">
        <f>"FABRICIO RAMON SOARES SANTOS (645)"</f>
        <v>FABRICIO RAMON SOARES SANTOS (645)</v>
      </c>
      <c r="H7391" t="s">
        <v>2028</v>
      </c>
      <c r="I7391" t="str">
        <f t="shared" si="1361"/>
        <v>24/10/2025</v>
      </c>
      <c r="J7391" t="str">
        <f t="shared" si="1365"/>
        <v>14/10/2025</v>
      </c>
      <c r="K7391">
        <v>45954</v>
      </c>
      <c r="N7391">
        <v>109</v>
      </c>
      <c r="O7391" t="s">
        <v>24</v>
      </c>
      <c r="Q7391">
        <v>2034</v>
      </c>
      <c r="R7391" t="str">
        <f>"FARMÁCIA INDIANA LJ 101 (10043)"</f>
        <v>FARMÁCIA INDIANA LJ 101 (10043)</v>
      </c>
      <c r="S7391" t="s">
        <v>77</v>
      </c>
      <c r="T7391">
        <v>20170</v>
      </c>
      <c r="U7391">
        <v>23657</v>
      </c>
      <c r="V7391" t="s">
        <v>77</v>
      </c>
    </row>
    <row r="7392" spans="1:22">
      <c r="A7392" t="str">
        <f t="shared" si="1362"/>
        <v>24/10/2025</v>
      </c>
      <c r="B7392" t="str">
        <f t="shared" si="1359"/>
        <v>SAÍDA</v>
      </c>
      <c r="C7392" t="str">
        <f t="shared" si="1360"/>
        <v>PIX</v>
      </c>
      <c r="D7392" t="str">
        <f>"23658"</f>
        <v>23658</v>
      </c>
      <c r="E7392" t="str">
        <f t="shared" si="1364"/>
        <v>1</v>
      </c>
      <c r="F7392" t="str">
        <f t="shared" si="1363"/>
        <v>COM</v>
      </c>
      <c r="G7392" t="str">
        <f>"GABRIEL DA SILVA REIS (824)"</f>
        <v>GABRIEL DA SILVA REIS (824)</v>
      </c>
      <c r="H7392" t="str">
        <f>"Serv.Prest. 06/10/2025 a 12/10/2025 - PIX: CPF - CHAVE: 160.160.216-28"</f>
        <v>Serv.Prest. 06/10/2025 a 12/10/2025 - PIX: CPF - CHAVE: 160.160.216-28</v>
      </c>
      <c r="I7392" t="str">
        <f t="shared" si="1361"/>
        <v>24/10/2025</v>
      </c>
      <c r="J7392" t="str">
        <f t="shared" si="1365"/>
        <v>14/10/2025</v>
      </c>
      <c r="K7392" t="str">
        <f>("24/10/2025")</f>
        <v>24/10/2025</v>
      </c>
      <c r="L7392">
        <v>700.7</v>
      </c>
      <c r="M7392">
        <v>700.7</v>
      </c>
      <c r="N7392">
        <v>109</v>
      </c>
      <c r="O7392" t="str">
        <f>"PAGAMENTO DE ENTREGADORES"</f>
        <v>PAGAMENTO DE ENTREGADORES</v>
      </c>
      <c r="P7392">
        <v>700.7</v>
      </c>
      <c r="S7392" t="str">
        <f>"BANCO C6 (149)"</f>
        <v>BANCO C6 (149)</v>
      </c>
      <c r="T7392">
        <v>20171</v>
      </c>
      <c r="U7392">
        <v>23658</v>
      </c>
      <c r="V7392" t="s">
        <v>77</v>
      </c>
    </row>
    <row r="7393" spans="1:22">
      <c r="A7393" t="str">
        <f t="shared" si="1362"/>
        <v>24/10/2025</v>
      </c>
      <c r="B7393" t="str">
        <f t="shared" si="1359"/>
        <v>SAÍDA</v>
      </c>
      <c r="C7393" t="str">
        <f t="shared" si="1360"/>
        <v>PIX</v>
      </c>
      <c r="D7393" t="str">
        <f>"23658"</f>
        <v>23658</v>
      </c>
      <c r="E7393" t="str">
        <f t="shared" si="1364"/>
        <v>1</v>
      </c>
      <c r="F7393" t="str">
        <f t="shared" si="1363"/>
        <v>COM</v>
      </c>
      <c r="G7393" t="str">
        <f>"GABRIEL DA SILVA REIS (824)"</f>
        <v>GABRIEL DA SILVA REIS (824)</v>
      </c>
      <c r="H7393" t="s">
        <v>2029</v>
      </c>
      <c r="I7393" t="str">
        <f t="shared" si="1361"/>
        <v>24/10/2025</v>
      </c>
      <c r="J7393" t="str">
        <f t="shared" si="1365"/>
        <v>14/10/2025</v>
      </c>
      <c r="K7393">
        <v>45954</v>
      </c>
      <c r="N7393">
        <v>109</v>
      </c>
      <c r="O7393" t="s">
        <v>24</v>
      </c>
      <c r="Q7393">
        <v>700.7</v>
      </c>
      <c r="R7393" t="str">
        <f>"FARMÁCIA INDIANA LJ 100 (10042)"</f>
        <v>FARMÁCIA INDIANA LJ 100 (10042)</v>
      </c>
      <c r="S7393" t="s">
        <v>77</v>
      </c>
      <c r="T7393">
        <v>20171</v>
      </c>
      <c r="U7393">
        <v>23658</v>
      </c>
      <c r="V7393" t="s">
        <v>77</v>
      </c>
    </row>
    <row r="7394" spans="1:22">
      <c r="A7394" t="str">
        <f t="shared" si="1362"/>
        <v>24/10/2025</v>
      </c>
      <c r="B7394" t="str">
        <f t="shared" si="1359"/>
        <v>SAÍDA</v>
      </c>
      <c r="C7394" t="str">
        <f t="shared" si="1360"/>
        <v>PIX</v>
      </c>
      <c r="D7394" t="str">
        <f>"23659"</f>
        <v>23659</v>
      </c>
      <c r="E7394" t="str">
        <f t="shared" si="1364"/>
        <v>1</v>
      </c>
      <c r="F7394" t="str">
        <f t="shared" si="1363"/>
        <v>COM</v>
      </c>
      <c r="G7394" t="str">
        <f>"GABRIEL SOARES VIEIRA (18)"</f>
        <v>GABRIEL SOARES VIEIRA (18)</v>
      </c>
      <c r="H7394" t="str">
        <f>"Serv.Prest. 06/10/2025 a 12/10/2025 - PIX: CPF - CHAVE: 179.800.027-09"</f>
        <v>Serv.Prest. 06/10/2025 a 12/10/2025 - PIX: CPF - CHAVE: 179.800.027-09</v>
      </c>
      <c r="I7394" t="str">
        <f t="shared" si="1361"/>
        <v>24/10/2025</v>
      </c>
      <c r="J7394" t="str">
        <f t="shared" si="1365"/>
        <v>14/10/2025</v>
      </c>
      <c r="K7394" t="str">
        <f>("24/10/2025")</f>
        <v>24/10/2025</v>
      </c>
      <c r="L7394">
        <v>641.5</v>
      </c>
      <c r="M7394">
        <v>641.5</v>
      </c>
      <c r="N7394">
        <v>109</v>
      </c>
      <c r="O7394" t="str">
        <f>"PAGAMENTO DE ENTREGADORES"</f>
        <v>PAGAMENTO DE ENTREGADORES</v>
      </c>
      <c r="P7394">
        <v>641.5</v>
      </c>
      <c r="S7394" t="str">
        <f>"BANCO C6 (149)"</f>
        <v>BANCO C6 (149)</v>
      </c>
      <c r="T7394">
        <v>20172</v>
      </c>
      <c r="U7394">
        <v>23659</v>
      </c>
      <c r="V7394" t="s">
        <v>77</v>
      </c>
    </row>
    <row r="7395" spans="1:22">
      <c r="A7395" t="str">
        <f t="shared" si="1362"/>
        <v>24/10/2025</v>
      </c>
      <c r="B7395" t="str">
        <f t="shared" si="1359"/>
        <v>SAÍDA</v>
      </c>
      <c r="C7395" t="str">
        <f t="shared" si="1360"/>
        <v>PIX</v>
      </c>
      <c r="D7395" t="str">
        <f>"23659"</f>
        <v>23659</v>
      </c>
      <c r="E7395" t="str">
        <f t="shared" si="1364"/>
        <v>1</v>
      </c>
      <c r="F7395" t="str">
        <f t="shared" si="1363"/>
        <v>COM</v>
      </c>
      <c r="G7395" t="str">
        <f>"GABRIEL SOARES VIEIRA (18)"</f>
        <v>GABRIEL SOARES VIEIRA (18)</v>
      </c>
      <c r="H7395" t="s">
        <v>1917</v>
      </c>
      <c r="I7395" t="str">
        <f t="shared" si="1361"/>
        <v>24/10/2025</v>
      </c>
      <c r="J7395" t="str">
        <f t="shared" si="1365"/>
        <v>14/10/2025</v>
      </c>
      <c r="K7395">
        <v>45954</v>
      </c>
      <c r="N7395">
        <v>109</v>
      </c>
      <c r="O7395" t="s">
        <v>24</v>
      </c>
      <c r="Q7395">
        <v>612.12</v>
      </c>
      <c r="R7395" t="str">
        <f>"FARMÁCIA INDIANA LJ 40 (10016)"</f>
        <v>FARMÁCIA INDIANA LJ 40 (10016)</v>
      </c>
      <c r="S7395" t="s">
        <v>77</v>
      </c>
      <c r="T7395">
        <v>20172</v>
      </c>
      <c r="U7395">
        <v>23659</v>
      </c>
      <c r="V7395" t="s">
        <v>77</v>
      </c>
    </row>
    <row r="7396" spans="1:22">
      <c r="A7396" t="str">
        <f t="shared" si="1362"/>
        <v>24/10/2025</v>
      </c>
      <c r="B7396" t="str">
        <f t="shared" si="1359"/>
        <v>SAÍDA</v>
      </c>
      <c r="C7396" t="str">
        <f t="shared" si="1360"/>
        <v>PIX</v>
      </c>
      <c r="D7396" t="str">
        <f>"23659"</f>
        <v>23659</v>
      </c>
      <c r="E7396" t="str">
        <f t="shared" si="1364"/>
        <v>1</v>
      </c>
      <c r="F7396" t="str">
        <f t="shared" si="1363"/>
        <v>COM</v>
      </c>
      <c r="G7396" t="str">
        <f>"GABRIEL SOARES VIEIRA (18)"</f>
        <v>GABRIEL SOARES VIEIRA (18)</v>
      </c>
      <c r="H7396" t="s">
        <v>1917</v>
      </c>
      <c r="I7396" t="str">
        <f t="shared" si="1361"/>
        <v>24/10/2025</v>
      </c>
      <c r="J7396" t="str">
        <f t="shared" si="1365"/>
        <v>14/10/2025</v>
      </c>
      <c r="K7396">
        <v>45954</v>
      </c>
      <c r="N7396">
        <v>109</v>
      </c>
      <c r="O7396" t="s">
        <v>24</v>
      </c>
      <c r="Q7396">
        <v>29.38</v>
      </c>
      <c r="R7396" t="str">
        <f>"FARMÁCIA INDIANA LJ 61 (10027)"</f>
        <v>FARMÁCIA INDIANA LJ 61 (10027)</v>
      </c>
      <c r="S7396" t="s">
        <v>77</v>
      </c>
      <c r="T7396">
        <v>20172</v>
      </c>
      <c r="U7396">
        <v>23659</v>
      </c>
      <c r="V7396" t="s">
        <v>77</v>
      </c>
    </row>
    <row r="7397" spans="1:22">
      <c r="A7397" t="str">
        <f t="shared" si="1362"/>
        <v>24/10/2025</v>
      </c>
      <c r="B7397" t="str">
        <f t="shared" si="1359"/>
        <v>SAÍDA</v>
      </c>
      <c r="C7397" t="str">
        <f t="shared" si="1360"/>
        <v>PIX</v>
      </c>
      <c r="D7397" t="str">
        <f>"23660"</f>
        <v>23660</v>
      </c>
      <c r="E7397" t="str">
        <f t="shared" si="1364"/>
        <v>1</v>
      </c>
      <c r="F7397" t="str">
        <f t="shared" si="1363"/>
        <v>COM</v>
      </c>
      <c r="G7397" t="str">
        <f>"GILDASIO DOMINGOS DOS SANTOS (54)"</f>
        <v>GILDASIO DOMINGOS DOS SANTOS (54)</v>
      </c>
      <c r="H7397" t="str">
        <f>"Serv.Prest. 06/10/2025 a 12/10/2025 - PIX: CELULAR - CHAVE: (33) 98857-0494"</f>
        <v>Serv.Prest. 06/10/2025 a 12/10/2025 - PIX: CELULAR - CHAVE: (33) 98857-0494</v>
      </c>
      <c r="I7397" t="str">
        <f t="shared" si="1361"/>
        <v>24/10/2025</v>
      </c>
      <c r="J7397" t="str">
        <f t="shared" si="1365"/>
        <v>14/10/2025</v>
      </c>
      <c r="K7397" t="str">
        <f>("24/10/2025")</f>
        <v>24/10/2025</v>
      </c>
      <c r="L7397">
        <v>1062</v>
      </c>
      <c r="M7397">
        <v>1062</v>
      </c>
      <c r="N7397">
        <v>109</v>
      </c>
      <c r="O7397" t="str">
        <f>"PAGAMENTO DE ENTREGADORES"</f>
        <v>PAGAMENTO DE ENTREGADORES</v>
      </c>
      <c r="P7397">
        <v>1062</v>
      </c>
      <c r="S7397" t="str">
        <f>"BANCO C6 (149)"</f>
        <v>BANCO C6 (149)</v>
      </c>
      <c r="T7397">
        <v>20173</v>
      </c>
      <c r="U7397">
        <v>23660</v>
      </c>
      <c r="V7397" t="s">
        <v>77</v>
      </c>
    </row>
    <row r="7398" spans="1:22">
      <c r="A7398" t="str">
        <f t="shared" si="1362"/>
        <v>24/10/2025</v>
      </c>
      <c r="B7398" t="str">
        <f t="shared" si="1359"/>
        <v>SAÍDA</v>
      </c>
      <c r="C7398" t="str">
        <f t="shared" si="1360"/>
        <v>PIX</v>
      </c>
      <c r="D7398" t="str">
        <f>"23660"</f>
        <v>23660</v>
      </c>
      <c r="E7398" t="str">
        <f t="shared" si="1364"/>
        <v>1</v>
      </c>
      <c r="F7398" t="str">
        <f t="shared" si="1363"/>
        <v>COM</v>
      </c>
      <c r="G7398" t="str">
        <f>"GILDASIO DOMINGOS DOS SANTOS (54)"</f>
        <v>GILDASIO DOMINGOS DOS SANTOS (54)</v>
      </c>
      <c r="H7398" t="s">
        <v>2030</v>
      </c>
      <c r="I7398" t="str">
        <f t="shared" si="1361"/>
        <v>24/10/2025</v>
      </c>
      <c r="J7398" t="str">
        <f t="shared" si="1365"/>
        <v>14/10/2025</v>
      </c>
      <c r="K7398">
        <v>45954</v>
      </c>
      <c r="N7398">
        <v>109</v>
      </c>
      <c r="O7398" t="s">
        <v>24</v>
      </c>
      <c r="Q7398">
        <v>1062</v>
      </c>
      <c r="R7398" t="str">
        <f>"FARMÁCIA INDIANA LJ 07 (10007)"</f>
        <v>FARMÁCIA INDIANA LJ 07 (10007)</v>
      </c>
      <c r="S7398" t="s">
        <v>77</v>
      </c>
      <c r="T7398">
        <v>20173</v>
      </c>
      <c r="U7398">
        <v>23660</v>
      </c>
      <c r="V7398" t="s">
        <v>77</v>
      </c>
    </row>
    <row r="7399" spans="1:22">
      <c r="A7399" t="str">
        <f t="shared" si="1362"/>
        <v>24/10/2025</v>
      </c>
      <c r="B7399" t="str">
        <f t="shared" si="1359"/>
        <v>SAÍDA</v>
      </c>
      <c r="C7399" t="str">
        <f t="shared" si="1360"/>
        <v>PIX</v>
      </c>
      <c r="D7399" t="str">
        <f>"23661"</f>
        <v>23661</v>
      </c>
      <c r="E7399" t="str">
        <f t="shared" si="1364"/>
        <v>1</v>
      </c>
      <c r="F7399" t="str">
        <f t="shared" si="1363"/>
        <v>COM</v>
      </c>
      <c r="G7399" t="str">
        <f>"GILNEI MENDES COELHO (195)"</f>
        <v>GILNEI MENDES COELHO (195)</v>
      </c>
      <c r="H7399" t="str">
        <f>"Serv.Prest. 06/10/2025 a 12/10/2025 - PIX: CPF - CHAVE: 386.313.426-53"</f>
        <v>Serv.Prest. 06/10/2025 a 12/10/2025 - PIX: CPF - CHAVE: 386.313.426-53</v>
      </c>
      <c r="I7399" t="str">
        <f t="shared" si="1361"/>
        <v>24/10/2025</v>
      </c>
      <c r="J7399" t="str">
        <f t="shared" si="1365"/>
        <v>14/10/2025</v>
      </c>
      <c r="K7399" t="str">
        <f>("24/10/2025")</f>
        <v>24/10/2025</v>
      </c>
      <c r="L7399">
        <v>1062</v>
      </c>
      <c r="M7399">
        <v>1062</v>
      </c>
      <c r="N7399">
        <v>109</v>
      </c>
      <c r="O7399" t="str">
        <f>"PAGAMENTO DE ENTREGADORES"</f>
        <v>PAGAMENTO DE ENTREGADORES</v>
      </c>
      <c r="P7399">
        <v>1062</v>
      </c>
      <c r="S7399" t="str">
        <f>"BANCO C6 (149)"</f>
        <v>BANCO C6 (149)</v>
      </c>
      <c r="T7399">
        <v>20174</v>
      </c>
      <c r="U7399">
        <v>23661</v>
      </c>
      <c r="V7399" t="s">
        <v>77</v>
      </c>
    </row>
    <row r="7400" spans="1:22">
      <c r="A7400" t="str">
        <f t="shared" si="1362"/>
        <v>24/10/2025</v>
      </c>
      <c r="B7400" t="str">
        <f t="shared" si="1359"/>
        <v>SAÍDA</v>
      </c>
      <c r="C7400" t="str">
        <f t="shared" si="1360"/>
        <v>PIX</v>
      </c>
      <c r="D7400" t="str">
        <f>"23661"</f>
        <v>23661</v>
      </c>
      <c r="E7400" t="str">
        <f t="shared" si="1364"/>
        <v>1</v>
      </c>
      <c r="F7400" t="str">
        <f t="shared" si="1363"/>
        <v>COM</v>
      </c>
      <c r="G7400" t="str">
        <f>"GILNEI MENDES COELHO (195)"</f>
        <v>GILNEI MENDES COELHO (195)</v>
      </c>
      <c r="H7400" t="s">
        <v>2031</v>
      </c>
      <c r="I7400" t="str">
        <f t="shared" si="1361"/>
        <v>24/10/2025</v>
      </c>
      <c r="J7400" t="str">
        <f t="shared" si="1365"/>
        <v>14/10/2025</v>
      </c>
      <c r="K7400">
        <v>45954</v>
      </c>
      <c r="N7400">
        <v>109</v>
      </c>
      <c r="O7400" t="s">
        <v>24</v>
      </c>
      <c r="Q7400">
        <v>1062</v>
      </c>
      <c r="R7400" t="str">
        <f>"FARMÁCIA INDIANA LJ 06 (10006)"</f>
        <v>FARMÁCIA INDIANA LJ 06 (10006)</v>
      </c>
      <c r="S7400" t="s">
        <v>77</v>
      </c>
      <c r="T7400">
        <v>20174</v>
      </c>
      <c r="U7400">
        <v>23661</v>
      </c>
      <c r="V7400" t="s">
        <v>77</v>
      </c>
    </row>
    <row r="7401" spans="1:22">
      <c r="A7401" t="str">
        <f t="shared" si="1362"/>
        <v>24/10/2025</v>
      </c>
      <c r="B7401" t="str">
        <f t="shared" si="1359"/>
        <v>SAÍDA</v>
      </c>
      <c r="C7401" t="str">
        <f t="shared" si="1360"/>
        <v>PIX</v>
      </c>
      <c r="D7401" t="str">
        <f>"23662"</f>
        <v>23662</v>
      </c>
      <c r="E7401" t="str">
        <f t="shared" si="1364"/>
        <v>1</v>
      </c>
      <c r="F7401" t="str">
        <f t="shared" si="1363"/>
        <v>COM</v>
      </c>
      <c r="G7401" t="str">
        <f>"GUILHERME QUINTINO DA ROCHA (199)"</f>
        <v>GUILHERME QUINTINO DA ROCHA (199)</v>
      </c>
      <c r="H7401" t="str">
        <f>"Serv.Prest. 06/10/2025 a 12/10/2025 - PIX: CELULAR - CHAVE: (33) 99706-4860"</f>
        <v>Serv.Prest. 06/10/2025 a 12/10/2025 - PIX: CELULAR - CHAVE: (33) 99706-4860</v>
      </c>
      <c r="I7401" t="str">
        <f t="shared" si="1361"/>
        <v>24/10/2025</v>
      </c>
      <c r="J7401" t="str">
        <f t="shared" si="1365"/>
        <v>14/10/2025</v>
      </c>
      <c r="K7401" t="str">
        <f>("24/10/2025")</f>
        <v>24/10/2025</v>
      </c>
      <c r="L7401">
        <v>1116</v>
      </c>
      <c r="M7401">
        <v>1116</v>
      </c>
      <c r="N7401">
        <v>109</v>
      </c>
      <c r="O7401" t="str">
        <f>"PAGAMENTO DE ENTREGADORES"</f>
        <v>PAGAMENTO DE ENTREGADORES</v>
      </c>
      <c r="P7401">
        <v>1116</v>
      </c>
      <c r="S7401" t="str">
        <f>"BANCO C6 (149)"</f>
        <v>BANCO C6 (149)</v>
      </c>
      <c r="T7401">
        <v>20175</v>
      </c>
      <c r="U7401">
        <v>23662</v>
      </c>
      <c r="V7401" t="s">
        <v>77</v>
      </c>
    </row>
    <row r="7402" spans="1:22">
      <c r="A7402" t="str">
        <f t="shared" si="1362"/>
        <v>24/10/2025</v>
      </c>
      <c r="B7402" t="str">
        <f t="shared" si="1359"/>
        <v>SAÍDA</v>
      </c>
      <c r="C7402" t="str">
        <f t="shared" si="1360"/>
        <v>PIX</v>
      </c>
      <c r="D7402" t="str">
        <f>"23662"</f>
        <v>23662</v>
      </c>
      <c r="E7402" t="str">
        <f t="shared" si="1364"/>
        <v>1</v>
      </c>
      <c r="F7402" t="str">
        <f t="shared" si="1363"/>
        <v>COM</v>
      </c>
      <c r="G7402" t="str">
        <f>"GUILHERME QUINTINO DA ROCHA (199)"</f>
        <v>GUILHERME QUINTINO DA ROCHA (199)</v>
      </c>
      <c r="H7402" t="s">
        <v>2032</v>
      </c>
      <c r="I7402" t="str">
        <f t="shared" si="1361"/>
        <v>24/10/2025</v>
      </c>
      <c r="J7402" t="str">
        <f t="shared" si="1365"/>
        <v>14/10/2025</v>
      </c>
      <c r="K7402">
        <v>45954</v>
      </c>
      <c r="N7402">
        <v>109</v>
      </c>
      <c r="O7402" t="s">
        <v>24</v>
      </c>
      <c r="Q7402">
        <v>1116</v>
      </c>
      <c r="R7402" t="str">
        <f>"FARMÁCIA INDIANA LJ 06 (10006)"</f>
        <v>FARMÁCIA INDIANA LJ 06 (10006)</v>
      </c>
      <c r="S7402" t="s">
        <v>77</v>
      </c>
      <c r="T7402">
        <v>20175</v>
      </c>
      <c r="U7402">
        <v>23662</v>
      </c>
      <c r="V7402" t="s">
        <v>77</v>
      </c>
    </row>
    <row r="7403" spans="1:22">
      <c r="A7403" t="str">
        <f t="shared" si="1362"/>
        <v>24/10/2025</v>
      </c>
      <c r="B7403" t="str">
        <f t="shared" si="1359"/>
        <v>SAÍDA</v>
      </c>
      <c r="C7403" t="str">
        <f t="shared" si="1360"/>
        <v>PIX</v>
      </c>
      <c r="D7403" t="str">
        <f>"23663"</f>
        <v>23663</v>
      </c>
      <c r="E7403" t="str">
        <f t="shared" si="1364"/>
        <v>1</v>
      </c>
      <c r="F7403" t="str">
        <f t="shared" si="1363"/>
        <v>COM</v>
      </c>
      <c r="G7403" t="str">
        <f>"GUSTAVO ALVES DE ARAÚJO (298)"</f>
        <v>GUSTAVO ALVES DE ARAÚJO (298)</v>
      </c>
      <c r="H7403" t="str">
        <f>"Serv.Prest. 06/10/2025 a 12/10/2025 - PIX: CELULAR - CHAVE: (31) 99816-8965"</f>
        <v>Serv.Prest. 06/10/2025 a 12/10/2025 - PIX: CELULAR - CHAVE: (31) 99816-8965</v>
      </c>
      <c r="I7403" t="str">
        <f t="shared" si="1361"/>
        <v>24/10/2025</v>
      </c>
      <c r="J7403" t="str">
        <f t="shared" si="1365"/>
        <v>14/10/2025</v>
      </c>
      <c r="K7403" t="str">
        <f>("24/10/2025")</f>
        <v>24/10/2025</v>
      </c>
      <c r="L7403">
        <v>984</v>
      </c>
      <c r="M7403">
        <v>984</v>
      </c>
      <c r="N7403">
        <v>109</v>
      </c>
      <c r="O7403" t="str">
        <f>"PAGAMENTO DE ENTREGADORES"</f>
        <v>PAGAMENTO DE ENTREGADORES</v>
      </c>
      <c r="P7403">
        <v>984</v>
      </c>
      <c r="S7403" t="str">
        <f>"BANCO C6 (149)"</f>
        <v>BANCO C6 (149)</v>
      </c>
      <c r="T7403">
        <v>20176</v>
      </c>
      <c r="U7403">
        <v>23663</v>
      </c>
      <c r="V7403" t="s">
        <v>77</v>
      </c>
    </row>
    <row r="7404" spans="1:22">
      <c r="A7404" t="str">
        <f t="shared" si="1362"/>
        <v>24/10/2025</v>
      </c>
      <c r="B7404" t="str">
        <f t="shared" ref="B7404:B7467" si="1366">"SAÍDA"</f>
        <v>SAÍDA</v>
      </c>
      <c r="C7404" t="str">
        <f t="shared" ref="C7404:C7467" si="1367">"PIX"</f>
        <v>PIX</v>
      </c>
      <c r="D7404" t="str">
        <f>"23663"</f>
        <v>23663</v>
      </c>
      <c r="E7404" t="str">
        <f t="shared" si="1364"/>
        <v>1</v>
      </c>
      <c r="F7404" t="str">
        <f t="shared" si="1363"/>
        <v>COM</v>
      </c>
      <c r="G7404" t="str">
        <f>"GUSTAVO ALVES DE ARAÚJO (298)"</f>
        <v>GUSTAVO ALVES DE ARAÚJO (298)</v>
      </c>
      <c r="H7404" t="s">
        <v>2033</v>
      </c>
      <c r="I7404" t="str">
        <f t="shared" ref="I7404:I7467" si="1368">("24/10/2025")</f>
        <v>24/10/2025</v>
      </c>
      <c r="J7404" t="str">
        <f t="shared" si="1365"/>
        <v>14/10/2025</v>
      </c>
      <c r="K7404">
        <v>45954</v>
      </c>
      <c r="N7404">
        <v>109</v>
      </c>
      <c r="O7404" t="s">
        <v>24</v>
      </c>
      <c r="Q7404">
        <v>984</v>
      </c>
      <c r="R7404" t="str">
        <f>"FARMÁCIA INDIANA LJ 172 (10161)"</f>
        <v>FARMÁCIA INDIANA LJ 172 (10161)</v>
      </c>
      <c r="S7404" t="s">
        <v>77</v>
      </c>
      <c r="T7404">
        <v>20176</v>
      </c>
      <c r="U7404">
        <v>23663</v>
      </c>
      <c r="V7404" t="s">
        <v>77</v>
      </c>
    </row>
    <row r="7405" spans="1:22">
      <c r="A7405" t="str">
        <f t="shared" si="1362"/>
        <v>24/10/2025</v>
      </c>
      <c r="B7405" t="str">
        <f t="shared" si="1366"/>
        <v>SAÍDA</v>
      </c>
      <c r="C7405" t="str">
        <f t="shared" si="1367"/>
        <v>PIX</v>
      </c>
      <c r="D7405" t="str">
        <f>"23664"</f>
        <v>23664</v>
      </c>
      <c r="E7405" t="str">
        <f t="shared" si="1364"/>
        <v>1</v>
      </c>
      <c r="F7405" t="str">
        <f t="shared" si="1363"/>
        <v>COM</v>
      </c>
      <c r="G7405" t="str">
        <f>"GUSTAVO HENRIQUE OLIVEIRA (661)"</f>
        <v>GUSTAVO HENRIQUE OLIVEIRA (661)</v>
      </c>
      <c r="H7405" t="str">
        <f>"Serv.Prest. 06/10/2025 a 12/10/2025 - PIX: CPF - CHAVE: 113.084.266-58"</f>
        <v>Serv.Prest. 06/10/2025 a 12/10/2025 - PIX: CPF - CHAVE: 113.084.266-58</v>
      </c>
      <c r="I7405" t="str">
        <f t="shared" si="1368"/>
        <v>24/10/2025</v>
      </c>
      <c r="J7405" t="str">
        <f t="shared" si="1365"/>
        <v>14/10/2025</v>
      </c>
      <c r="K7405" t="str">
        <f>("24/10/2025")</f>
        <v>24/10/2025</v>
      </c>
      <c r="L7405">
        <v>702</v>
      </c>
      <c r="M7405">
        <v>702</v>
      </c>
      <c r="N7405">
        <v>109</v>
      </c>
      <c r="O7405" t="str">
        <f>"PAGAMENTO DE ENTREGADORES"</f>
        <v>PAGAMENTO DE ENTREGADORES</v>
      </c>
      <c r="P7405">
        <v>702</v>
      </c>
      <c r="S7405" t="str">
        <f>"BANCO C6 (149)"</f>
        <v>BANCO C6 (149)</v>
      </c>
      <c r="T7405">
        <v>20177</v>
      </c>
      <c r="U7405">
        <v>23664</v>
      </c>
      <c r="V7405" t="s">
        <v>77</v>
      </c>
    </row>
    <row r="7406" spans="1:22">
      <c r="A7406" t="str">
        <f t="shared" si="1362"/>
        <v>24/10/2025</v>
      </c>
      <c r="B7406" t="str">
        <f t="shared" si="1366"/>
        <v>SAÍDA</v>
      </c>
      <c r="C7406" t="str">
        <f t="shared" si="1367"/>
        <v>PIX</v>
      </c>
      <c r="D7406" t="str">
        <f>"23664"</f>
        <v>23664</v>
      </c>
      <c r="E7406" t="str">
        <f t="shared" si="1364"/>
        <v>1</v>
      </c>
      <c r="F7406" t="str">
        <f t="shared" si="1363"/>
        <v>COM</v>
      </c>
      <c r="G7406" t="str">
        <f>"GUSTAVO HENRIQUE OLIVEIRA (661)"</f>
        <v>GUSTAVO HENRIQUE OLIVEIRA (661)</v>
      </c>
      <c r="H7406" t="s">
        <v>2034</v>
      </c>
      <c r="I7406" t="str">
        <f t="shared" si="1368"/>
        <v>24/10/2025</v>
      </c>
      <c r="J7406" t="str">
        <f t="shared" si="1365"/>
        <v>14/10/2025</v>
      </c>
      <c r="K7406">
        <v>45954</v>
      </c>
      <c r="N7406">
        <v>109</v>
      </c>
      <c r="O7406" t="s">
        <v>24</v>
      </c>
      <c r="Q7406">
        <v>702</v>
      </c>
      <c r="R7406" t="str">
        <f>"FARMÁCIA INDIANA LJ 110 (10048)"</f>
        <v>FARMÁCIA INDIANA LJ 110 (10048)</v>
      </c>
      <c r="S7406" t="s">
        <v>77</v>
      </c>
      <c r="T7406">
        <v>20177</v>
      </c>
      <c r="U7406">
        <v>23664</v>
      </c>
      <c r="V7406" t="s">
        <v>77</v>
      </c>
    </row>
    <row r="7407" spans="1:22">
      <c r="A7407" t="str">
        <f t="shared" si="1362"/>
        <v>24/10/2025</v>
      </c>
      <c r="B7407" t="str">
        <f t="shared" si="1366"/>
        <v>SAÍDA</v>
      </c>
      <c r="C7407" t="str">
        <f t="shared" si="1367"/>
        <v>PIX</v>
      </c>
      <c r="D7407" t="str">
        <f>"23665"</f>
        <v>23665</v>
      </c>
      <c r="E7407" t="str">
        <f t="shared" si="1364"/>
        <v>1</v>
      </c>
      <c r="F7407" t="str">
        <f t="shared" si="1363"/>
        <v>COM</v>
      </c>
      <c r="G7407" t="str">
        <f>"IVAN SOUZA SANTOS (101)"</f>
        <v>IVAN SOUZA SANTOS (101)</v>
      </c>
      <c r="H7407" t="str">
        <f>"Serv.Prest. 06/10/2025 a 12/10/2025 - PIX: CPF - CHAVE: 067.393.286-92"</f>
        <v>Serv.Prest. 06/10/2025 a 12/10/2025 - PIX: CPF - CHAVE: 067.393.286-92</v>
      </c>
      <c r="I7407" t="str">
        <f t="shared" si="1368"/>
        <v>24/10/2025</v>
      </c>
      <c r="J7407" t="str">
        <f t="shared" si="1365"/>
        <v>14/10/2025</v>
      </c>
      <c r="K7407" t="str">
        <f>("24/10/2025")</f>
        <v>24/10/2025</v>
      </c>
      <c r="L7407">
        <v>1033.9000000000001</v>
      </c>
      <c r="M7407">
        <v>1033.9000000000001</v>
      </c>
      <c r="N7407">
        <v>109</v>
      </c>
      <c r="O7407" t="str">
        <f>"PAGAMENTO DE ENTREGADORES"</f>
        <v>PAGAMENTO DE ENTREGADORES</v>
      </c>
      <c r="P7407">
        <v>1033.9000000000001</v>
      </c>
      <c r="S7407" t="str">
        <f>"BANCO C6 (149)"</f>
        <v>BANCO C6 (149)</v>
      </c>
      <c r="T7407">
        <v>20178</v>
      </c>
      <c r="U7407">
        <v>23665</v>
      </c>
      <c r="V7407" t="s">
        <v>77</v>
      </c>
    </row>
    <row r="7408" spans="1:22">
      <c r="A7408" t="str">
        <f t="shared" si="1362"/>
        <v>24/10/2025</v>
      </c>
      <c r="B7408" t="str">
        <f t="shared" si="1366"/>
        <v>SAÍDA</v>
      </c>
      <c r="C7408" t="str">
        <f t="shared" si="1367"/>
        <v>PIX</v>
      </c>
      <c r="D7408" t="str">
        <f>"23665"</f>
        <v>23665</v>
      </c>
      <c r="E7408" t="str">
        <f t="shared" si="1364"/>
        <v>1</v>
      </c>
      <c r="F7408" t="str">
        <f t="shared" si="1363"/>
        <v>COM</v>
      </c>
      <c r="G7408" t="str">
        <f>"IVAN SOUZA SANTOS (101)"</f>
        <v>IVAN SOUZA SANTOS (101)</v>
      </c>
      <c r="H7408" t="s">
        <v>2035</v>
      </c>
      <c r="I7408" t="str">
        <f t="shared" si="1368"/>
        <v>24/10/2025</v>
      </c>
      <c r="J7408" t="str">
        <f t="shared" si="1365"/>
        <v>14/10/2025</v>
      </c>
      <c r="K7408">
        <v>45954</v>
      </c>
      <c r="N7408">
        <v>109</v>
      </c>
      <c r="O7408" t="s">
        <v>24</v>
      </c>
      <c r="Q7408">
        <v>1033.9000000000001</v>
      </c>
      <c r="R7408" t="str">
        <f>"FARMÁCIA INDIANA LJ 59 (10026)"</f>
        <v>FARMÁCIA INDIANA LJ 59 (10026)</v>
      </c>
      <c r="S7408" t="s">
        <v>77</v>
      </c>
      <c r="T7408">
        <v>20178</v>
      </c>
      <c r="U7408">
        <v>23665</v>
      </c>
      <c r="V7408" t="s">
        <v>77</v>
      </c>
    </row>
    <row r="7409" spans="1:22">
      <c r="A7409" t="str">
        <f t="shared" ref="A7409:A7472" si="1369">("24/10/2025")</f>
        <v>24/10/2025</v>
      </c>
      <c r="B7409" t="str">
        <f t="shared" si="1366"/>
        <v>SAÍDA</v>
      </c>
      <c r="C7409" t="str">
        <f t="shared" si="1367"/>
        <v>PIX</v>
      </c>
      <c r="D7409" t="str">
        <f>"23666"</f>
        <v>23666</v>
      </c>
      <c r="E7409" t="str">
        <f t="shared" si="1364"/>
        <v>1</v>
      </c>
      <c r="F7409" t="str">
        <f t="shared" ref="F7409:F7472" si="1370">"COM"</f>
        <v>COM</v>
      </c>
      <c r="G7409" t="str">
        <f>"JANDERSON SOUZA ARCANJO (28)"</f>
        <v>JANDERSON SOUZA ARCANJO (28)</v>
      </c>
      <c r="H7409" t="str">
        <f>"Serv.Prest. 06/10/2025 a 12/10/2025 - PIX: CPF - CHAVE: 121.297.376-33"</f>
        <v>Serv.Prest. 06/10/2025 a 12/10/2025 - PIX: CPF - CHAVE: 121.297.376-33</v>
      </c>
      <c r="I7409" t="str">
        <f t="shared" si="1368"/>
        <v>24/10/2025</v>
      </c>
      <c r="J7409" t="str">
        <f t="shared" si="1365"/>
        <v>14/10/2025</v>
      </c>
      <c r="K7409" t="str">
        <f>("24/10/2025")</f>
        <v>24/10/2025</v>
      </c>
      <c r="L7409">
        <v>841.5</v>
      </c>
      <c r="M7409">
        <v>841.5</v>
      </c>
      <c r="N7409">
        <v>109</v>
      </c>
      <c r="O7409" t="str">
        <f>"PAGAMENTO DE ENTREGADORES"</f>
        <v>PAGAMENTO DE ENTREGADORES</v>
      </c>
      <c r="P7409">
        <v>841.5</v>
      </c>
      <c r="S7409" t="str">
        <f>"BANCO C6 (149)"</f>
        <v>BANCO C6 (149)</v>
      </c>
      <c r="T7409">
        <v>20179</v>
      </c>
      <c r="U7409">
        <v>23666</v>
      </c>
      <c r="V7409" t="s">
        <v>77</v>
      </c>
    </row>
    <row r="7410" spans="1:22">
      <c r="A7410" t="str">
        <f t="shared" si="1369"/>
        <v>24/10/2025</v>
      </c>
      <c r="B7410" t="str">
        <f t="shared" si="1366"/>
        <v>SAÍDA</v>
      </c>
      <c r="C7410" t="str">
        <f t="shared" si="1367"/>
        <v>PIX</v>
      </c>
      <c r="D7410" t="str">
        <f>"23666"</f>
        <v>23666</v>
      </c>
      <c r="E7410" t="str">
        <f t="shared" si="1364"/>
        <v>1</v>
      </c>
      <c r="F7410" t="str">
        <f t="shared" si="1370"/>
        <v>COM</v>
      </c>
      <c r="G7410" t="str">
        <f>"JANDERSON SOUZA ARCANJO (28)"</f>
        <v>JANDERSON SOUZA ARCANJO (28)</v>
      </c>
      <c r="H7410" t="s">
        <v>2036</v>
      </c>
      <c r="I7410" t="str">
        <f t="shared" si="1368"/>
        <v>24/10/2025</v>
      </c>
      <c r="J7410" t="str">
        <f t="shared" si="1365"/>
        <v>14/10/2025</v>
      </c>
      <c r="K7410">
        <v>45954</v>
      </c>
      <c r="N7410">
        <v>109</v>
      </c>
      <c r="O7410" t="s">
        <v>24</v>
      </c>
      <c r="Q7410">
        <v>841.5</v>
      </c>
      <c r="R7410" t="str">
        <f>"FARMÁCIA INDIANA LJ 40 (10016)"</f>
        <v>FARMÁCIA INDIANA LJ 40 (10016)</v>
      </c>
      <c r="S7410" t="s">
        <v>77</v>
      </c>
      <c r="T7410">
        <v>20179</v>
      </c>
      <c r="U7410">
        <v>23666</v>
      </c>
      <c r="V7410" t="s">
        <v>77</v>
      </c>
    </row>
    <row r="7411" spans="1:22">
      <c r="A7411" t="str">
        <f t="shared" si="1369"/>
        <v>24/10/2025</v>
      </c>
      <c r="B7411" t="str">
        <f t="shared" si="1366"/>
        <v>SAÍDA</v>
      </c>
      <c r="C7411" t="str">
        <f t="shared" si="1367"/>
        <v>PIX</v>
      </c>
      <c r="D7411" t="str">
        <f>"23667"</f>
        <v>23667</v>
      </c>
      <c r="E7411" t="str">
        <f t="shared" si="1364"/>
        <v>1</v>
      </c>
      <c r="F7411" t="str">
        <f t="shared" si="1370"/>
        <v>COM</v>
      </c>
      <c r="G7411" t="str">
        <f>"JEAN ARAÚJO SANTOS GERMANO (551)"</f>
        <v>JEAN ARAÚJO SANTOS GERMANO (551)</v>
      </c>
      <c r="H7411" t="str">
        <f>"Serv.Prest. 06/10/2025 a 12/10/2025 - PIX: CELULAR - CHAVE: (31) 99812-7173"</f>
        <v>Serv.Prest. 06/10/2025 a 12/10/2025 - PIX: CELULAR - CHAVE: (31) 99812-7173</v>
      </c>
      <c r="I7411" t="str">
        <f t="shared" si="1368"/>
        <v>24/10/2025</v>
      </c>
      <c r="J7411" t="str">
        <f t="shared" si="1365"/>
        <v>14/10/2025</v>
      </c>
      <c r="K7411" t="str">
        <f>("24/10/2025")</f>
        <v>24/10/2025</v>
      </c>
      <c r="L7411">
        <v>828</v>
      </c>
      <c r="M7411">
        <v>828</v>
      </c>
      <c r="N7411">
        <v>109</v>
      </c>
      <c r="O7411" t="str">
        <f>"PAGAMENTO DE ENTREGADORES"</f>
        <v>PAGAMENTO DE ENTREGADORES</v>
      </c>
      <c r="P7411">
        <v>828</v>
      </c>
      <c r="S7411" t="str">
        <f>"BANCO C6 (149)"</f>
        <v>BANCO C6 (149)</v>
      </c>
      <c r="T7411">
        <v>20180</v>
      </c>
      <c r="U7411">
        <v>23667</v>
      </c>
      <c r="V7411" t="s">
        <v>77</v>
      </c>
    </row>
    <row r="7412" spans="1:22">
      <c r="A7412" t="str">
        <f t="shared" si="1369"/>
        <v>24/10/2025</v>
      </c>
      <c r="B7412" t="str">
        <f t="shared" si="1366"/>
        <v>SAÍDA</v>
      </c>
      <c r="C7412" t="str">
        <f t="shared" si="1367"/>
        <v>PIX</v>
      </c>
      <c r="D7412" t="str">
        <f>"23667"</f>
        <v>23667</v>
      </c>
      <c r="E7412" t="str">
        <f t="shared" si="1364"/>
        <v>1</v>
      </c>
      <c r="F7412" t="str">
        <f t="shared" si="1370"/>
        <v>COM</v>
      </c>
      <c r="G7412" t="str">
        <f>"JEAN ARAÚJO SANTOS GERMANO (551)"</f>
        <v>JEAN ARAÚJO SANTOS GERMANO (551)</v>
      </c>
      <c r="H7412" t="s">
        <v>2037</v>
      </c>
      <c r="I7412" t="str">
        <f t="shared" si="1368"/>
        <v>24/10/2025</v>
      </c>
      <c r="J7412" t="str">
        <f t="shared" si="1365"/>
        <v>14/10/2025</v>
      </c>
      <c r="K7412">
        <v>45954</v>
      </c>
      <c r="N7412">
        <v>109</v>
      </c>
      <c r="O7412" t="s">
        <v>24</v>
      </c>
      <c r="Q7412">
        <v>828</v>
      </c>
      <c r="R7412" t="str">
        <f>"FARMÁCIA INDIANA LJ 142 (10066)"</f>
        <v>FARMÁCIA INDIANA LJ 142 (10066)</v>
      </c>
      <c r="S7412" t="s">
        <v>77</v>
      </c>
      <c r="T7412">
        <v>20180</v>
      </c>
      <c r="U7412">
        <v>23667</v>
      </c>
      <c r="V7412" t="s">
        <v>77</v>
      </c>
    </row>
    <row r="7413" spans="1:22">
      <c r="A7413" t="str">
        <f t="shared" si="1369"/>
        <v>24/10/2025</v>
      </c>
      <c r="B7413" t="str">
        <f t="shared" si="1366"/>
        <v>SAÍDA</v>
      </c>
      <c r="C7413" t="str">
        <f t="shared" si="1367"/>
        <v>PIX</v>
      </c>
      <c r="D7413" t="str">
        <f>"23668"</f>
        <v>23668</v>
      </c>
      <c r="E7413" t="str">
        <f t="shared" si="1364"/>
        <v>1</v>
      </c>
      <c r="F7413" t="str">
        <f t="shared" si="1370"/>
        <v>COM</v>
      </c>
      <c r="G7413" t="str">
        <f>"JEFERSON ANDRADE FERREIRA (165)"</f>
        <v>JEFERSON ANDRADE FERREIRA (165)</v>
      </c>
      <c r="H7413" t="str">
        <f>"Serv.Prest. 06/10/2025 a 12/10/2025 - PIX: CPF - CHAVE: 126.873.296-65"</f>
        <v>Serv.Prest. 06/10/2025 a 12/10/2025 - PIX: CPF - CHAVE: 126.873.296-65</v>
      </c>
      <c r="I7413" t="str">
        <f t="shared" si="1368"/>
        <v>24/10/2025</v>
      </c>
      <c r="J7413" t="str">
        <f t="shared" si="1365"/>
        <v>14/10/2025</v>
      </c>
      <c r="K7413" t="str">
        <f>("24/10/2025")</f>
        <v>24/10/2025</v>
      </c>
      <c r="L7413">
        <v>1986</v>
      </c>
      <c r="M7413">
        <v>1986</v>
      </c>
      <c r="N7413">
        <v>109</v>
      </c>
      <c r="O7413" t="str">
        <f>"PAGAMENTO DE ENTREGADORES"</f>
        <v>PAGAMENTO DE ENTREGADORES</v>
      </c>
      <c r="P7413">
        <v>1986</v>
      </c>
      <c r="S7413" t="str">
        <f>"BANCO C6 (149)"</f>
        <v>BANCO C6 (149)</v>
      </c>
      <c r="T7413">
        <v>20181</v>
      </c>
      <c r="U7413">
        <v>23668</v>
      </c>
      <c r="V7413" t="s">
        <v>77</v>
      </c>
    </row>
    <row r="7414" spans="1:22">
      <c r="A7414" t="str">
        <f t="shared" si="1369"/>
        <v>24/10/2025</v>
      </c>
      <c r="B7414" t="str">
        <f t="shared" si="1366"/>
        <v>SAÍDA</v>
      </c>
      <c r="C7414" t="str">
        <f t="shared" si="1367"/>
        <v>PIX</v>
      </c>
      <c r="D7414" t="str">
        <f>"23668"</f>
        <v>23668</v>
      </c>
      <c r="E7414" t="str">
        <f t="shared" si="1364"/>
        <v>1</v>
      </c>
      <c r="F7414" t="str">
        <f t="shared" si="1370"/>
        <v>COM</v>
      </c>
      <c r="G7414" t="str">
        <f>"JEFERSON ANDRADE FERREIRA (165)"</f>
        <v>JEFERSON ANDRADE FERREIRA (165)</v>
      </c>
      <c r="H7414" t="s">
        <v>2038</v>
      </c>
      <c r="I7414" t="str">
        <f t="shared" si="1368"/>
        <v>24/10/2025</v>
      </c>
      <c r="J7414" t="str">
        <f t="shared" si="1365"/>
        <v>14/10/2025</v>
      </c>
      <c r="K7414">
        <v>45954</v>
      </c>
      <c r="N7414">
        <v>109</v>
      </c>
      <c r="O7414" t="s">
        <v>24</v>
      </c>
      <c r="Q7414">
        <v>1326.05</v>
      </c>
      <c r="R7414" t="str">
        <f>"FARMÁCIA INDIANA LJ 101 (10043)"</f>
        <v>FARMÁCIA INDIANA LJ 101 (10043)</v>
      </c>
      <c r="S7414" t="s">
        <v>77</v>
      </c>
      <c r="T7414">
        <v>20181</v>
      </c>
      <c r="U7414">
        <v>23668</v>
      </c>
      <c r="V7414" t="s">
        <v>77</v>
      </c>
    </row>
    <row r="7415" spans="1:22">
      <c r="A7415" t="str">
        <f t="shared" si="1369"/>
        <v>24/10/2025</v>
      </c>
      <c r="B7415" t="str">
        <f t="shared" si="1366"/>
        <v>SAÍDA</v>
      </c>
      <c r="C7415" t="str">
        <f t="shared" si="1367"/>
        <v>PIX</v>
      </c>
      <c r="D7415" t="str">
        <f>"23668"</f>
        <v>23668</v>
      </c>
      <c r="E7415" t="str">
        <f t="shared" si="1364"/>
        <v>1</v>
      </c>
      <c r="F7415" t="str">
        <f t="shared" si="1370"/>
        <v>COM</v>
      </c>
      <c r="G7415" t="str">
        <f>"JEFERSON ANDRADE FERREIRA (165)"</f>
        <v>JEFERSON ANDRADE FERREIRA (165)</v>
      </c>
      <c r="H7415" t="s">
        <v>2038</v>
      </c>
      <c r="I7415" t="str">
        <f t="shared" si="1368"/>
        <v>24/10/2025</v>
      </c>
      <c r="J7415" t="str">
        <f t="shared" si="1365"/>
        <v>14/10/2025</v>
      </c>
      <c r="K7415">
        <v>45954</v>
      </c>
      <c r="N7415">
        <v>109</v>
      </c>
      <c r="O7415" t="s">
        <v>24</v>
      </c>
      <c r="Q7415">
        <v>659.95</v>
      </c>
      <c r="R7415" t="str">
        <f>"FARMÁCIA INDIANA LJ 220 (10092)"</f>
        <v>FARMÁCIA INDIANA LJ 220 (10092)</v>
      </c>
      <c r="S7415" t="s">
        <v>77</v>
      </c>
      <c r="T7415">
        <v>20181</v>
      </c>
      <c r="U7415">
        <v>23668</v>
      </c>
      <c r="V7415" t="s">
        <v>77</v>
      </c>
    </row>
    <row r="7416" spans="1:22">
      <c r="A7416" t="str">
        <f t="shared" si="1369"/>
        <v>24/10/2025</v>
      </c>
      <c r="B7416" t="str">
        <f t="shared" si="1366"/>
        <v>SAÍDA</v>
      </c>
      <c r="C7416" t="str">
        <f t="shared" si="1367"/>
        <v>PIX</v>
      </c>
      <c r="D7416" t="str">
        <f>"23669"</f>
        <v>23669</v>
      </c>
      <c r="E7416" t="str">
        <f t="shared" si="1364"/>
        <v>1</v>
      </c>
      <c r="F7416" t="str">
        <f t="shared" si="1370"/>
        <v>COM</v>
      </c>
      <c r="G7416" t="str">
        <f>"JEFERSON ARAÚJO SANTOS GERMANO (180)"</f>
        <v>JEFERSON ARAÚJO SANTOS GERMANO (180)</v>
      </c>
      <c r="H7416" t="str">
        <f>"Serv.Prest. 06/10/2025 a 12/10/2025 - PIX: CPF - CHAVE: 023.645.626-19"</f>
        <v>Serv.Prest. 06/10/2025 a 12/10/2025 - PIX: CPF - CHAVE: 023.645.626-19</v>
      </c>
      <c r="I7416" t="str">
        <f t="shared" si="1368"/>
        <v>24/10/2025</v>
      </c>
      <c r="J7416" t="str">
        <f t="shared" si="1365"/>
        <v>14/10/2025</v>
      </c>
      <c r="K7416" t="str">
        <f>("24/10/2025")</f>
        <v>24/10/2025</v>
      </c>
      <c r="L7416">
        <v>900</v>
      </c>
      <c r="M7416">
        <v>900</v>
      </c>
      <c r="N7416">
        <v>109</v>
      </c>
      <c r="O7416" t="str">
        <f>"PAGAMENTO DE ENTREGADORES"</f>
        <v>PAGAMENTO DE ENTREGADORES</v>
      </c>
      <c r="P7416">
        <v>900</v>
      </c>
      <c r="S7416" t="str">
        <f>"BANCO C6 (149)"</f>
        <v>BANCO C6 (149)</v>
      </c>
      <c r="T7416">
        <v>20182</v>
      </c>
      <c r="U7416">
        <v>23669</v>
      </c>
      <c r="V7416" t="s">
        <v>77</v>
      </c>
    </row>
    <row r="7417" spans="1:22">
      <c r="A7417" t="str">
        <f t="shared" si="1369"/>
        <v>24/10/2025</v>
      </c>
      <c r="B7417" t="str">
        <f t="shared" si="1366"/>
        <v>SAÍDA</v>
      </c>
      <c r="C7417" t="str">
        <f t="shared" si="1367"/>
        <v>PIX</v>
      </c>
      <c r="D7417" t="str">
        <f>"23669"</f>
        <v>23669</v>
      </c>
      <c r="E7417" t="str">
        <f t="shared" si="1364"/>
        <v>1</v>
      </c>
      <c r="F7417" t="str">
        <f t="shared" si="1370"/>
        <v>COM</v>
      </c>
      <c r="G7417" t="str">
        <f>"JEFERSON ARAÚJO SANTOS GERMANO (180)"</f>
        <v>JEFERSON ARAÚJO SANTOS GERMANO (180)</v>
      </c>
      <c r="H7417" t="s">
        <v>2039</v>
      </c>
      <c r="I7417" t="str">
        <f t="shared" si="1368"/>
        <v>24/10/2025</v>
      </c>
      <c r="J7417" t="str">
        <f t="shared" si="1365"/>
        <v>14/10/2025</v>
      </c>
      <c r="K7417">
        <v>45954</v>
      </c>
      <c r="N7417">
        <v>109</v>
      </c>
      <c r="O7417" t="s">
        <v>24</v>
      </c>
      <c r="Q7417">
        <v>900</v>
      </c>
      <c r="R7417" t="str">
        <f>"FARMÁCIA INDIANA LJ 142 (10066)"</f>
        <v>FARMÁCIA INDIANA LJ 142 (10066)</v>
      </c>
      <c r="S7417" t="s">
        <v>77</v>
      </c>
      <c r="T7417">
        <v>20182</v>
      </c>
      <c r="U7417">
        <v>23669</v>
      </c>
      <c r="V7417" t="s">
        <v>77</v>
      </c>
    </row>
    <row r="7418" spans="1:22">
      <c r="A7418" t="str">
        <f t="shared" si="1369"/>
        <v>24/10/2025</v>
      </c>
      <c r="B7418" t="str">
        <f t="shared" si="1366"/>
        <v>SAÍDA</v>
      </c>
      <c r="C7418" t="str">
        <f t="shared" si="1367"/>
        <v>PIX</v>
      </c>
      <c r="D7418" t="str">
        <f>"23670"</f>
        <v>23670</v>
      </c>
      <c r="E7418" t="str">
        <f t="shared" si="1364"/>
        <v>1</v>
      </c>
      <c r="F7418" t="str">
        <f t="shared" si="1370"/>
        <v>COM</v>
      </c>
      <c r="G7418" t="str">
        <f>"JEFERSON DE JESUS SANTOS (910)"</f>
        <v>JEFERSON DE JESUS SANTOS (910)</v>
      </c>
      <c r="H7418" t="str">
        <f>"Serv.Prest. 06/10/2025 a 12/10/2025 - PIX: CELULAR - CHAVE: (33) 98836-6015"</f>
        <v>Serv.Prest. 06/10/2025 a 12/10/2025 - PIX: CELULAR - CHAVE: (33) 98836-6015</v>
      </c>
      <c r="I7418" t="str">
        <f t="shared" si="1368"/>
        <v>24/10/2025</v>
      </c>
      <c r="J7418" t="str">
        <f t="shared" si="1365"/>
        <v>14/10/2025</v>
      </c>
      <c r="K7418" t="str">
        <f>("24/10/2025")</f>
        <v>24/10/2025</v>
      </c>
      <c r="L7418">
        <v>864</v>
      </c>
      <c r="M7418">
        <v>864</v>
      </c>
      <c r="N7418">
        <v>109</v>
      </c>
      <c r="O7418" t="str">
        <f>"PAGAMENTO DE ENTREGADORES"</f>
        <v>PAGAMENTO DE ENTREGADORES</v>
      </c>
      <c r="P7418">
        <v>864</v>
      </c>
      <c r="S7418" t="str">
        <f>"BANCO C6 (149)"</f>
        <v>BANCO C6 (149)</v>
      </c>
      <c r="T7418">
        <v>20183</v>
      </c>
      <c r="U7418">
        <v>23670</v>
      </c>
      <c r="V7418" t="s">
        <v>77</v>
      </c>
    </row>
    <row r="7419" spans="1:22">
      <c r="A7419" t="str">
        <f t="shared" si="1369"/>
        <v>24/10/2025</v>
      </c>
      <c r="B7419" t="str">
        <f t="shared" si="1366"/>
        <v>SAÍDA</v>
      </c>
      <c r="C7419" t="str">
        <f t="shared" si="1367"/>
        <v>PIX</v>
      </c>
      <c r="D7419" t="str">
        <f>"23670"</f>
        <v>23670</v>
      </c>
      <c r="E7419" t="str">
        <f t="shared" si="1364"/>
        <v>1</v>
      </c>
      <c r="F7419" t="str">
        <f t="shared" si="1370"/>
        <v>COM</v>
      </c>
      <c r="G7419" t="str">
        <f>"JEFERSON DE JESUS SANTOS (910)"</f>
        <v>JEFERSON DE JESUS SANTOS (910)</v>
      </c>
      <c r="H7419" t="s">
        <v>2040</v>
      </c>
      <c r="I7419" t="str">
        <f t="shared" si="1368"/>
        <v>24/10/2025</v>
      </c>
      <c r="J7419" t="str">
        <f t="shared" si="1365"/>
        <v>14/10/2025</v>
      </c>
      <c r="K7419">
        <v>45954</v>
      </c>
      <c r="N7419">
        <v>109</v>
      </c>
      <c r="O7419" t="s">
        <v>24</v>
      </c>
      <c r="Q7419">
        <v>864</v>
      </c>
      <c r="R7419" t="str">
        <f>"FARMÁCIA INDIANA LJ 07 (10007)"</f>
        <v>FARMÁCIA INDIANA LJ 07 (10007)</v>
      </c>
      <c r="S7419" t="s">
        <v>77</v>
      </c>
      <c r="T7419">
        <v>20183</v>
      </c>
      <c r="U7419">
        <v>23670</v>
      </c>
      <c r="V7419" t="s">
        <v>77</v>
      </c>
    </row>
    <row r="7420" spans="1:22">
      <c r="A7420" t="str">
        <f t="shared" si="1369"/>
        <v>24/10/2025</v>
      </c>
      <c r="B7420" t="str">
        <f t="shared" si="1366"/>
        <v>SAÍDA</v>
      </c>
      <c r="C7420" t="str">
        <f t="shared" si="1367"/>
        <v>PIX</v>
      </c>
      <c r="D7420" t="str">
        <f>"23671"</f>
        <v>23671</v>
      </c>
      <c r="E7420" t="str">
        <f t="shared" ref="E7420:E7483" si="1371">"1"</f>
        <v>1</v>
      </c>
      <c r="F7420" t="str">
        <f t="shared" si="1370"/>
        <v>COM</v>
      </c>
      <c r="G7420" t="str">
        <f>"JHONANTAN LACERDA DE JESUS (142)"</f>
        <v>JHONANTAN LACERDA DE JESUS (142)</v>
      </c>
      <c r="H7420" t="str">
        <f>"Serv.Prest. 06/10/2025 a 12/10/2025 - PIX: E-MAIL - CHAVE: jhonantanlacerda@gmail.com"</f>
        <v>Serv.Prest. 06/10/2025 a 12/10/2025 - PIX: E-MAIL - CHAVE: jhonantanlacerda@gmail.com</v>
      </c>
      <c r="I7420" t="str">
        <f t="shared" si="1368"/>
        <v>24/10/2025</v>
      </c>
      <c r="J7420" t="str">
        <f t="shared" ref="J7420:J7483" si="1372">("14/10/2025")</f>
        <v>14/10/2025</v>
      </c>
      <c r="K7420" t="str">
        <f>("24/10/2025")</f>
        <v>24/10/2025</v>
      </c>
      <c r="L7420">
        <v>846</v>
      </c>
      <c r="M7420">
        <v>846</v>
      </c>
      <c r="N7420">
        <v>109</v>
      </c>
      <c r="O7420" t="str">
        <f>"PAGAMENTO DE ENTREGADORES"</f>
        <v>PAGAMENTO DE ENTREGADORES</v>
      </c>
      <c r="P7420">
        <v>846</v>
      </c>
      <c r="S7420" t="str">
        <f>"BANCO C6 (149)"</f>
        <v>BANCO C6 (149)</v>
      </c>
      <c r="T7420">
        <v>20184</v>
      </c>
      <c r="U7420">
        <v>23671</v>
      </c>
      <c r="V7420" t="s">
        <v>77</v>
      </c>
    </row>
    <row r="7421" spans="1:22">
      <c r="A7421" t="str">
        <f t="shared" si="1369"/>
        <v>24/10/2025</v>
      </c>
      <c r="B7421" t="str">
        <f t="shared" si="1366"/>
        <v>SAÍDA</v>
      </c>
      <c r="C7421" t="str">
        <f t="shared" si="1367"/>
        <v>PIX</v>
      </c>
      <c r="D7421" t="str">
        <f>"23671"</f>
        <v>23671</v>
      </c>
      <c r="E7421" t="str">
        <f t="shared" si="1371"/>
        <v>1</v>
      </c>
      <c r="F7421" t="str">
        <f t="shared" si="1370"/>
        <v>COM</v>
      </c>
      <c r="G7421" t="str">
        <f>"JHONANTAN LACERDA DE JESUS (142)"</f>
        <v>JHONANTAN LACERDA DE JESUS (142)</v>
      </c>
      <c r="H7421" t="s">
        <v>2041</v>
      </c>
      <c r="I7421" t="str">
        <f t="shared" si="1368"/>
        <v>24/10/2025</v>
      </c>
      <c r="J7421" t="str">
        <f t="shared" si="1372"/>
        <v>14/10/2025</v>
      </c>
      <c r="K7421">
        <v>45954</v>
      </c>
      <c r="N7421">
        <v>109</v>
      </c>
      <c r="O7421" t="s">
        <v>24</v>
      </c>
      <c r="Q7421">
        <v>846</v>
      </c>
      <c r="R7421" t="str">
        <f>"FARMÁCIA INDIANA LJ 142 (10066)"</f>
        <v>FARMÁCIA INDIANA LJ 142 (10066)</v>
      </c>
      <c r="S7421" t="s">
        <v>77</v>
      </c>
      <c r="T7421">
        <v>20184</v>
      </c>
      <c r="U7421">
        <v>23671</v>
      </c>
      <c r="V7421" t="s">
        <v>77</v>
      </c>
    </row>
    <row r="7422" spans="1:22">
      <c r="A7422" t="str">
        <f t="shared" si="1369"/>
        <v>24/10/2025</v>
      </c>
      <c r="B7422" t="str">
        <f t="shared" si="1366"/>
        <v>SAÍDA</v>
      </c>
      <c r="C7422" t="str">
        <f t="shared" si="1367"/>
        <v>PIX</v>
      </c>
      <c r="D7422" t="str">
        <f>"23672"</f>
        <v>23672</v>
      </c>
      <c r="E7422" t="str">
        <f t="shared" si="1371"/>
        <v>1</v>
      </c>
      <c r="F7422" t="str">
        <f t="shared" si="1370"/>
        <v>COM</v>
      </c>
      <c r="G7422" t="str">
        <f>"JOMAR GONÇALVES DIAS (16)"</f>
        <v>JOMAR GONÇALVES DIAS (16)</v>
      </c>
      <c r="H7422" t="str">
        <f>"Serv.Prest. 06/10/2025 a 12/10/2025 - PIX: CPF - CHAVE: 602.838.315-53"</f>
        <v>Serv.Prest. 06/10/2025 a 12/10/2025 - PIX: CPF - CHAVE: 602.838.315-53</v>
      </c>
      <c r="I7422" t="str">
        <f t="shared" si="1368"/>
        <v>24/10/2025</v>
      </c>
      <c r="J7422" t="str">
        <f t="shared" si="1372"/>
        <v>14/10/2025</v>
      </c>
      <c r="K7422" t="str">
        <f>("24/10/2025")</f>
        <v>24/10/2025</v>
      </c>
      <c r="L7422">
        <v>1050.5</v>
      </c>
      <c r="M7422">
        <v>1050.5</v>
      </c>
      <c r="N7422">
        <v>109</v>
      </c>
      <c r="O7422" t="str">
        <f>"PAGAMENTO DE ENTREGADORES"</f>
        <v>PAGAMENTO DE ENTREGADORES</v>
      </c>
      <c r="P7422">
        <v>1050.5</v>
      </c>
      <c r="S7422" t="str">
        <f>"BANCO C6 (149)"</f>
        <v>BANCO C6 (149)</v>
      </c>
      <c r="T7422">
        <v>20185</v>
      </c>
      <c r="U7422">
        <v>23672</v>
      </c>
      <c r="V7422" t="s">
        <v>77</v>
      </c>
    </row>
    <row r="7423" spans="1:22">
      <c r="A7423" t="str">
        <f t="shared" si="1369"/>
        <v>24/10/2025</v>
      </c>
      <c r="B7423" t="str">
        <f t="shared" si="1366"/>
        <v>SAÍDA</v>
      </c>
      <c r="C7423" t="str">
        <f t="shared" si="1367"/>
        <v>PIX</v>
      </c>
      <c r="D7423" t="str">
        <f>"23672"</f>
        <v>23672</v>
      </c>
      <c r="E7423" t="str">
        <f t="shared" si="1371"/>
        <v>1</v>
      </c>
      <c r="F7423" t="str">
        <f t="shared" si="1370"/>
        <v>COM</v>
      </c>
      <c r="G7423" t="str">
        <f>"JOMAR GONÇALVES DIAS (16)"</f>
        <v>JOMAR GONÇALVES DIAS (16)</v>
      </c>
      <c r="H7423" t="s">
        <v>2042</v>
      </c>
      <c r="I7423" t="str">
        <f t="shared" si="1368"/>
        <v>24/10/2025</v>
      </c>
      <c r="J7423" t="str">
        <f t="shared" si="1372"/>
        <v>14/10/2025</v>
      </c>
      <c r="K7423">
        <v>45954</v>
      </c>
      <c r="N7423">
        <v>109</v>
      </c>
      <c r="O7423" t="s">
        <v>24</v>
      </c>
      <c r="Q7423">
        <v>11.03</v>
      </c>
      <c r="R7423" t="str">
        <f>"FARMÁCIA INDIANA LJ 40 (10016)"</f>
        <v>FARMÁCIA INDIANA LJ 40 (10016)</v>
      </c>
      <c r="S7423" t="s">
        <v>77</v>
      </c>
      <c r="T7423">
        <v>20185</v>
      </c>
      <c r="U7423">
        <v>23672</v>
      </c>
      <c r="V7423" t="s">
        <v>77</v>
      </c>
    </row>
    <row r="7424" spans="1:22">
      <c r="A7424" t="str">
        <f t="shared" si="1369"/>
        <v>24/10/2025</v>
      </c>
      <c r="B7424" t="str">
        <f t="shared" si="1366"/>
        <v>SAÍDA</v>
      </c>
      <c r="C7424" t="str">
        <f t="shared" si="1367"/>
        <v>PIX</v>
      </c>
      <c r="D7424" t="str">
        <f>"23672"</f>
        <v>23672</v>
      </c>
      <c r="E7424" t="str">
        <f t="shared" si="1371"/>
        <v>1</v>
      </c>
      <c r="F7424" t="str">
        <f t="shared" si="1370"/>
        <v>COM</v>
      </c>
      <c r="G7424" t="str">
        <f>"JOMAR GONÇALVES DIAS (16)"</f>
        <v>JOMAR GONÇALVES DIAS (16)</v>
      </c>
      <c r="H7424" t="s">
        <v>2042</v>
      </c>
      <c r="I7424" t="str">
        <f t="shared" si="1368"/>
        <v>24/10/2025</v>
      </c>
      <c r="J7424" t="str">
        <f t="shared" si="1372"/>
        <v>14/10/2025</v>
      </c>
      <c r="K7424">
        <v>45954</v>
      </c>
      <c r="N7424">
        <v>109</v>
      </c>
      <c r="O7424" t="s">
        <v>24</v>
      </c>
      <c r="Q7424">
        <v>1039.47</v>
      </c>
      <c r="R7424" t="str">
        <f>"FARMÁCIA INDIANA LJ 61 (10027)"</f>
        <v>FARMÁCIA INDIANA LJ 61 (10027)</v>
      </c>
      <c r="S7424" t="s">
        <v>77</v>
      </c>
      <c r="T7424">
        <v>20185</v>
      </c>
      <c r="U7424">
        <v>23672</v>
      </c>
      <c r="V7424" t="s">
        <v>77</v>
      </c>
    </row>
    <row r="7425" spans="1:22">
      <c r="A7425" t="str">
        <f t="shared" si="1369"/>
        <v>24/10/2025</v>
      </c>
      <c r="B7425" t="str">
        <f t="shared" si="1366"/>
        <v>SAÍDA</v>
      </c>
      <c r="C7425" t="str">
        <f t="shared" si="1367"/>
        <v>PIX</v>
      </c>
      <c r="D7425" t="str">
        <f>"23673"</f>
        <v>23673</v>
      </c>
      <c r="E7425" t="str">
        <f t="shared" si="1371"/>
        <v>1</v>
      </c>
      <c r="F7425" t="str">
        <f t="shared" si="1370"/>
        <v>COM</v>
      </c>
      <c r="G7425" t="str">
        <f>"JOSÉ CARLOS DA COSTA (83)"</f>
        <v>JOSÉ CARLOS DA COSTA (83)</v>
      </c>
      <c r="H7425" t="str">
        <f>"Serv.Prest. 06/10/2025 a 12/10/2025 - PIX: CPF - CHAVE: 043.301.196-33"</f>
        <v>Serv.Prest. 06/10/2025 a 12/10/2025 - PIX: CPF - CHAVE: 043.301.196-33</v>
      </c>
      <c r="I7425" t="str">
        <f t="shared" si="1368"/>
        <v>24/10/2025</v>
      </c>
      <c r="J7425" t="str">
        <f t="shared" si="1372"/>
        <v>14/10/2025</v>
      </c>
      <c r="K7425" t="str">
        <f>("24/10/2025")</f>
        <v>24/10/2025</v>
      </c>
      <c r="L7425">
        <v>666</v>
      </c>
      <c r="M7425">
        <v>666</v>
      </c>
      <c r="N7425">
        <v>109</v>
      </c>
      <c r="O7425" t="str">
        <f>"PAGAMENTO DE ENTREGADORES"</f>
        <v>PAGAMENTO DE ENTREGADORES</v>
      </c>
      <c r="P7425">
        <v>666</v>
      </c>
      <c r="S7425" t="str">
        <f>"BANCO C6 (149)"</f>
        <v>BANCO C6 (149)</v>
      </c>
      <c r="T7425">
        <v>20186</v>
      </c>
      <c r="U7425">
        <v>23673</v>
      </c>
      <c r="V7425" t="s">
        <v>77</v>
      </c>
    </row>
    <row r="7426" spans="1:22">
      <c r="A7426" t="str">
        <f t="shared" si="1369"/>
        <v>24/10/2025</v>
      </c>
      <c r="B7426" t="str">
        <f t="shared" si="1366"/>
        <v>SAÍDA</v>
      </c>
      <c r="C7426" t="str">
        <f t="shared" si="1367"/>
        <v>PIX</v>
      </c>
      <c r="D7426" t="str">
        <f>"23673"</f>
        <v>23673</v>
      </c>
      <c r="E7426" t="str">
        <f t="shared" si="1371"/>
        <v>1</v>
      </c>
      <c r="F7426" t="str">
        <f t="shared" si="1370"/>
        <v>COM</v>
      </c>
      <c r="G7426" t="str">
        <f>"JOSÉ CARLOS DA COSTA (83)"</f>
        <v>JOSÉ CARLOS DA COSTA (83)</v>
      </c>
      <c r="H7426" t="s">
        <v>2043</v>
      </c>
      <c r="I7426" t="str">
        <f t="shared" si="1368"/>
        <v>24/10/2025</v>
      </c>
      <c r="J7426" t="str">
        <f t="shared" si="1372"/>
        <v>14/10/2025</v>
      </c>
      <c r="K7426">
        <v>45954</v>
      </c>
      <c r="N7426">
        <v>109</v>
      </c>
      <c r="O7426" t="s">
        <v>24</v>
      </c>
      <c r="Q7426">
        <v>666</v>
      </c>
      <c r="R7426" t="str">
        <f>"FARMÁCIA INDIANA LJ 152 (10069)"</f>
        <v>FARMÁCIA INDIANA LJ 152 (10069)</v>
      </c>
      <c r="S7426" t="s">
        <v>77</v>
      </c>
      <c r="T7426">
        <v>20186</v>
      </c>
      <c r="U7426">
        <v>23673</v>
      </c>
      <c r="V7426" t="s">
        <v>77</v>
      </c>
    </row>
    <row r="7427" spans="1:22">
      <c r="A7427" t="str">
        <f t="shared" si="1369"/>
        <v>24/10/2025</v>
      </c>
      <c r="B7427" t="str">
        <f t="shared" si="1366"/>
        <v>SAÍDA</v>
      </c>
      <c r="C7427" t="str">
        <f t="shared" si="1367"/>
        <v>PIX</v>
      </c>
      <c r="D7427" t="str">
        <f>"23675"</f>
        <v>23675</v>
      </c>
      <c r="E7427" t="str">
        <f t="shared" si="1371"/>
        <v>1</v>
      </c>
      <c r="F7427" t="str">
        <f t="shared" si="1370"/>
        <v>COM</v>
      </c>
      <c r="G7427" t="str">
        <f>"JUBER FERREIRA SILVA BASTOS (192)"</f>
        <v>JUBER FERREIRA SILVA BASTOS (192)</v>
      </c>
      <c r="H7427" t="str">
        <f>"Serv.Prest. 06/10/2025 a 12/10/2025 - PIX: CPF - CHAVE: 012.459.366-62"</f>
        <v>Serv.Prest. 06/10/2025 a 12/10/2025 - PIX: CPF - CHAVE: 012.459.366-62</v>
      </c>
      <c r="I7427" t="str">
        <f t="shared" si="1368"/>
        <v>24/10/2025</v>
      </c>
      <c r="J7427" t="str">
        <f t="shared" si="1372"/>
        <v>14/10/2025</v>
      </c>
      <c r="K7427" t="str">
        <f>("24/10/2025")</f>
        <v>24/10/2025</v>
      </c>
      <c r="L7427">
        <v>972</v>
      </c>
      <c r="M7427">
        <v>972</v>
      </c>
      <c r="N7427">
        <v>109</v>
      </c>
      <c r="O7427" t="str">
        <f>"PAGAMENTO DE ENTREGADORES"</f>
        <v>PAGAMENTO DE ENTREGADORES</v>
      </c>
      <c r="P7427">
        <v>972</v>
      </c>
      <c r="S7427" t="str">
        <f>"BANCO C6 (149)"</f>
        <v>BANCO C6 (149)</v>
      </c>
      <c r="T7427">
        <v>20187</v>
      </c>
      <c r="U7427">
        <v>23675</v>
      </c>
      <c r="V7427" t="s">
        <v>77</v>
      </c>
    </row>
    <row r="7428" spans="1:22">
      <c r="A7428" t="str">
        <f t="shared" si="1369"/>
        <v>24/10/2025</v>
      </c>
      <c r="B7428" t="str">
        <f t="shared" si="1366"/>
        <v>SAÍDA</v>
      </c>
      <c r="C7428" t="str">
        <f t="shared" si="1367"/>
        <v>PIX</v>
      </c>
      <c r="D7428" t="str">
        <f>"23675"</f>
        <v>23675</v>
      </c>
      <c r="E7428" t="str">
        <f t="shared" si="1371"/>
        <v>1</v>
      </c>
      <c r="F7428" t="str">
        <f t="shared" si="1370"/>
        <v>COM</v>
      </c>
      <c r="G7428" t="str">
        <f>"JUBER FERREIRA SILVA BASTOS (192)"</f>
        <v>JUBER FERREIRA SILVA BASTOS (192)</v>
      </c>
      <c r="H7428" t="s">
        <v>2044</v>
      </c>
      <c r="I7428" t="str">
        <f t="shared" si="1368"/>
        <v>24/10/2025</v>
      </c>
      <c r="J7428" t="str">
        <f t="shared" si="1372"/>
        <v>14/10/2025</v>
      </c>
      <c r="K7428">
        <v>45954</v>
      </c>
      <c r="N7428">
        <v>109</v>
      </c>
      <c r="O7428" t="s">
        <v>24</v>
      </c>
      <c r="Q7428">
        <v>972</v>
      </c>
      <c r="R7428" t="str">
        <f>"FARMÁCIA INDIANA LJ 06 (10006)"</f>
        <v>FARMÁCIA INDIANA LJ 06 (10006)</v>
      </c>
      <c r="S7428" t="s">
        <v>77</v>
      </c>
      <c r="T7428">
        <v>20187</v>
      </c>
      <c r="U7428">
        <v>23675</v>
      </c>
      <c r="V7428" t="s">
        <v>77</v>
      </c>
    </row>
    <row r="7429" spans="1:22">
      <c r="A7429" t="str">
        <f t="shared" si="1369"/>
        <v>24/10/2025</v>
      </c>
      <c r="B7429" t="str">
        <f t="shared" si="1366"/>
        <v>SAÍDA</v>
      </c>
      <c r="C7429" t="str">
        <f t="shared" si="1367"/>
        <v>PIX</v>
      </c>
      <c r="D7429" t="str">
        <f>"23676"</f>
        <v>23676</v>
      </c>
      <c r="E7429" t="str">
        <f t="shared" si="1371"/>
        <v>1</v>
      </c>
      <c r="F7429" t="str">
        <f t="shared" si="1370"/>
        <v>COM</v>
      </c>
      <c r="G7429" t="str">
        <f>"JUNIO DE ANDRADE ARRUDA (145)"</f>
        <v>JUNIO DE ANDRADE ARRUDA (145)</v>
      </c>
      <c r="H7429" t="str">
        <f>"Serv.Prest. 06/10/2025 a 12/10/2025 - PIX: CPF - CHAVE: 077.488.126-75"</f>
        <v>Serv.Prest. 06/10/2025 a 12/10/2025 - PIX: CPF - CHAVE: 077.488.126-75</v>
      </c>
      <c r="I7429" t="str">
        <f t="shared" si="1368"/>
        <v>24/10/2025</v>
      </c>
      <c r="J7429" t="str">
        <f t="shared" si="1372"/>
        <v>14/10/2025</v>
      </c>
      <c r="K7429" t="str">
        <f>("24/10/2025")</f>
        <v>24/10/2025</v>
      </c>
      <c r="L7429">
        <v>786</v>
      </c>
      <c r="M7429">
        <v>786</v>
      </c>
      <c r="N7429">
        <v>109</v>
      </c>
      <c r="O7429" t="str">
        <f>"PAGAMENTO DE ENTREGADORES"</f>
        <v>PAGAMENTO DE ENTREGADORES</v>
      </c>
      <c r="P7429">
        <v>786</v>
      </c>
      <c r="S7429" t="str">
        <f>"BANCO C6 (149)"</f>
        <v>BANCO C6 (149)</v>
      </c>
      <c r="T7429">
        <v>20188</v>
      </c>
      <c r="U7429">
        <v>23676</v>
      </c>
      <c r="V7429" t="s">
        <v>77</v>
      </c>
    </row>
    <row r="7430" spans="1:22">
      <c r="A7430" t="str">
        <f t="shared" si="1369"/>
        <v>24/10/2025</v>
      </c>
      <c r="B7430" t="str">
        <f t="shared" si="1366"/>
        <v>SAÍDA</v>
      </c>
      <c r="C7430" t="str">
        <f t="shared" si="1367"/>
        <v>PIX</v>
      </c>
      <c r="D7430" t="str">
        <f>"23676"</f>
        <v>23676</v>
      </c>
      <c r="E7430" t="str">
        <f t="shared" si="1371"/>
        <v>1</v>
      </c>
      <c r="F7430" t="str">
        <f t="shared" si="1370"/>
        <v>COM</v>
      </c>
      <c r="G7430" t="str">
        <f>"JUNIO DE ANDRADE ARRUDA (145)"</f>
        <v>JUNIO DE ANDRADE ARRUDA (145)</v>
      </c>
      <c r="H7430" t="s">
        <v>2045</v>
      </c>
      <c r="I7430" t="str">
        <f t="shared" si="1368"/>
        <v>24/10/2025</v>
      </c>
      <c r="J7430" t="str">
        <f t="shared" si="1372"/>
        <v>14/10/2025</v>
      </c>
      <c r="K7430">
        <v>45954</v>
      </c>
      <c r="N7430">
        <v>109</v>
      </c>
      <c r="O7430" t="s">
        <v>24</v>
      </c>
      <c r="Q7430">
        <v>23.97</v>
      </c>
      <c r="R7430" t="str">
        <f>"FARMÁCIA INDIANA LJ 18 (10011)"</f>
        <v>FARMÁCIA INDIANA LJ 18 (10011)</v>
      </c>
      <c r="S7430" t="s">
        <v>77</v>
      </c>
      <c r="T7430">
        <v>20188</v>
      </c>
      <c r="U7430">
        <v>23676</v>
      </c>
      <c r="V7430" t="s">
        <v>77</v>
      </c>
    </row>
    <row r="7431" spans="1:22">
      <c r="A7431" t="str">
        <f t="shared" si="1369"/>
        <v>24/10/2025</v>
      </c>
      <c r="B7431" t="str">
        <f t="shared" si="1366"/>
        <v>SAÍDA</v>
      </c>
      <c r="C7431" t="str">
        <f t="shared" si="1367"/>
        <v>PIX</v>
      </c>
      <c r="D7431" t="str">
        <f>"23676"</f>
        <v>23676</v>
      </c>
      <c r="E7431" t="str">
        <f t="shared" si="1371"/>
        <v>1</v>
      </c>
      <c r="F7431" t="str">
        <f t="shared" si="1370"/>
        <v>COM</v>
      </c>
      <c r="G7431" t="str">
        <f>"JUNIO DE ANDRADE ARRUDA (145)"</f>
        <v>JUNIO DE ANDRADE ARRUDA (145)</v>
      </c>
      <c r="H7431" t="s">
        <v>2045</v>
      </c>
      <c r="I7431" t="str">
        <f t="shared" si="1368"/>
        <v>24/10/2025</v>
      </c>
      <c r="J7431" t="str">
        <f t="shared" si="1372"/>
        <v>14/10/2025</v>
      </c>
      <c r="K7431">
        <v>45954</v>
      </c>
      <c r="N7431">
        <v>109</v>
      </c>
      <c r="O7431" t="s">
        <v>24</v>
      </c>
      <c r="Q7431">
        <v>762.03</v>
      </c>
      <c r="R7431" t="str">
        <f>"FARMÁCIA INDIANA LJ 19 (10012)"</f>
        <v>FARMÁCIA INDIANA LJ 19 (10012)</v>
      </c>
      <c r="S7431" t="s">
        <v>77</v>
      </c>
      <c r="T7431">
        <v>20188</v>
      </c>
      <c r="U7431">
        <v>23676</v>
      </c>
      <c r="V7431" t="s">
        <v>77</v>
      </c>
    </row>
    <row r="7432" spans="1:22">
      <c r="A7432" t="str">
        <f t="shared" si="1369"/>
        <v>24/10/2025</v>
      </c>
      <c r="B7432" t="str">
        <f t="shared" si="1366"/>
        <v>SAÍDA</v>
      </c>
      <c r="C7432" t="str">
        <f t="shared" si="1367"/>
        <v>PIX</v>
      </c>
      <c r="D7432" t="str">
        <f>"23677"</f>
        <v>23677</v>
      </c>
      <c r="E7432" t="str">
        <f t="shared" si="1371"/>
        <v>1</v>
      </c>
      <c r="F7432" t="str">
        <f t="shared" si="1370"/>
        <v>COM</v>
      </c>
      <c r="G7432" t="str">
        <f>"JUNIOR DOS SANTOS MACHADO (240)"</f>
        <v>JUNIOR DOS SANTOS MACHADO (240)</v>
      </c>
      <c r="H7432" t="str">
        <f>"Serv.Prest. 06/10/2025 a 12/10/2025 - PIX: CPF - CHAVE: 074.520.456-29"</f>
        <v>Serv.Prest. 06/10/2025 a 12/10/2025 - PIX: CPF - CHAVE: 074.520.456-29</v>
      </c>
      <c r="I7432" t="str">
        <f t="shared" si="1368"/>
        <v>24/10/2025</v>
      </c>
      <c r="J7432" t="str">
        <f t="shared" si="1372"/>
        <v>14/10/2025</v>
      </c>
      <c r="K7432" t="str">
        <f>("24/10/2025")</f>
        <v>24/10/2025</v>
      </c>
      <c r="L7432">
        <v>973.5</v>
      </c>
      <c r="M7432">
        <v>973.5</v>
      </c>
      <c r="N7432">
        <v>109</v>
      </c>
      <c r="O7432" t="str">
        <f>"PAGAMENTO DE ENTREGADORES"</f>
        <v>PAGAMENTO DE ENTREGADORES</v>
      </c>
      <c r="P7432">
        <v>973.5</v>
      </c>
      <c r="S7432" t="str">
        <f>"BANCO C6 (149)"</f>
        <v>BANCO C6 (149)</v>
      </c>
      <c r="T7432">
        <v>20189</v>
      </c>
      <c r="U7432">
        <v>23677</v>
      </c>
      <c r="V7432" t="s">
        <v>77</v>
      </c>
    </row>
    <row r="7433" spans="1:22">
      <c r="A7433" t="str">
        <f t="shared" si="1369"/>
        <v>24/10/2025</v>
      </c>
      <c r="B7433" t="str">
        <f t="shared" si="1366"/>
        <v>SAÍDA</v>
      </c>
      <c r="C7433" t="str">
        <f t="shared" si="1367"/>
        <v>PIX</v>
      </c>
      <c r="D7433" t="str">
        <f>"23677"</f>
        <v>23677</v>
      </c>
      <c r="E7433" t="str">
        <f t="shared" si="1371"/>
        <v>1</v>
      </c>
      <c r="F7433" t="str">
        <f t="shared" si="1370"/>
        <v>COM</v>
      </c>
      <c r="G7433" t="str">
        <f>"JUNIOR DOS SANTOS MACHADO (240)"</f>
        <v>JUNIOR DOS SANTOS MACHADO (240)</v>
      </c>
      <c r="H7433" t="s">
        <v>2046</v>
      </c>
      <c r="I7433" t="str">
        <f t="shared" si="1368"/>
        <v>24/10/2025</v>
      </c>
      <c r="J7433" t="str">
        <f t="shared" si="1372"/>
        <v>14/10/2025</v>
      </c>
      <c r="K7433">
        <v>45954</v>
      </c>
      <c r="N7433">
        <v>109</v>
      </c>
      <c r="O7433" t="s">
        <v>24</v>
      </c>
      <c r="Q7433">
        <v>973.5</v>
      </c>
      <c r="R7433" t="str">
        <f>"FARMÁCIA INDIANA LJ 62 (10028)"</f>
        <v>FARMÁCIA INDIANA LJ 62 (10028)</v>
      </c>
      <c r="S7433" t="s">
        <v>77</v>
      </c>
      <c r="T7433">
        <v>20189</v>
      </c>
      <c r="U7433">
        <v>23677</v>
      </c>
      <c r="V7433" t="s">
        <v>77</v>
      </c>
    </row>
    <row r="7434" spans="1:22">
      <c r="A7434" t="str">
        <f t="shared" si="1369"/>
        <v>24/10/2025</v>
      </c>
      <c r="B7434" t="str">
        <f t="shared" si="1366"/>
        <v>SAÍDA</v>
      </c>
      <c r="C7434" t="str">
        <f t="shared" si="1367"/>
        <v>PIX</v>
      </c>
      <c r="D7434" t="str">
        <f>"23679"</f>
        <v>23679</v>
      </c>
      <c r="E7434" t="str">
        <f t="shared" si="1371"/>
        <v>1</v>
      </c>
      <c r="F7434" t="str">
        <f t="shared" si="1370"/>
        <v>COM</v>
      </c>
      <c r="G7434" t="str">
        <f>"KALESSON BARROSO DIAS (216)"</f>
        <v>KALESSON BARROSO DIAS (216)</v>
      </c>
      <c r="H7434" t="str">
        <f>"Serv.Prest. 06/10/2025 a 12/10/2025 - PIX: CELULAR - CHAVE: (33) 99106-9330"</f>
        <v>Serv.Prest. 06/10/2025 a 12/10/2025 - PIX: CELULAR - CHAVE: (33) 99106-9330</v>
      </c>
      <c r="I7434" t="str">
        <f t="shared" si="1368"/>
        <v>24/10/2025</v>
      </c>
      <c r="J7434" t="str">
        <f t="shared" si="1372"/>
        <v>14/10/2025</v>
      </c>
      <c r="K7434" t="str">
        <f>("24/10/2025")</f>
        <v>24/10/2025</v>
      </c>
      <c r="L7434">
        <v>1080</v>
      </c>
      <c r="M7434">
        <v>1080</v>
      </c>
      <c r="N7434">
        <v>109</v>
      </c>
      <c r="O7434" t="str">
        <f>"PAGAMENTO DE ENTREGADORES"</f>
        <v>PAGAMENTO DE ENTREGADORES</v>
      </c>
      <c r="P7434">
        <v>1080</v>
      </c>
      <c r="S7434" t="str">
        <f>"BANCO C6 (149)"</f>
        <v>BANCO C6 (149)</v>
      </c>
      <c r="T7434">
        <v>20190</v>
      </c>
      <c r="U7434">
        <v>23679</v>
      </c>
      <c r="V7434" t="s">
        <v>77</v>
      </c>
    </row>
    <row r="7435" spans="1:22">
      <c r="A7435" t="str">
        <f t="shared" si="1369"/>
        <v>24/10/2025</v>
      </c>
      <c r="B7435" t="str">
        <f t="shared" si="1366"/>
        <v>SAÍDA</v>
      </c>
      <c r="C7435" t="str">
        <f t="shared" si="1367"/>
        <v>PIX</v>
      </c>
      <c r="D7435" t="str">
        <f>"23679"</f>
        <v>23679</v>
      </c>
      <c r="E7435" t="str">
        <f t="shared" si="1371"/>
        <v>1</v>
      </c>
      <c r="F7435" t="str">
        <f t="shared" si="1370"/>
        <v>COM</v>
      </c>
      <c r="G7435" t="str">
        <f>"KALESSON BARROSO DIAS (216)"</f>
        <v>KALESSON BARROSO DIAS (216)</v>
      </c>
      <c r="H7435" t="s">
        <v>2047</v>
      </c>
      <c r="I7435" t="str">
        <f t="shared" si="1368"/>
        <v>24/10/2025</v>
      </c>
      <c r="J7435" t="str">
        <f t="shared" si="1372"/>
        <v>14/10/2025</v>
      </c>
      <c r="K7435">
        <v>45954</v>
      </c>
      <c r="N7435">
        <v>109</v>
      </c>
      <c r="O7435" t="s">
        <v>24</v>
      </c>
      <c r="Q7435">
        <v>1080</v>
      </c>
      <c r="R7435" t="str">
        <f>"FARMÁCIA INDIANA LJ 06 (10006)"</f>
        <v>FARMÁCIA INDIANA LJ 06 (10006)</v>
      </c>
      <c r="S7435" t="s">
        <v>77</v>
      </c>
      <c r="T7435">
        <v>20190</v>
      </c>
      <c r="U7435">
        <v>23679</v>
      </c>
      <c r="V7435" t="s">
        <v>77</v>
      </c>
    </row>
    <row r="7436" spans="1:22">
      <c r="A7436" t="str">
        <f t="shared" si="1369"/>
        <v>24/10/2025</v>
      </c>
      <c r="B7436" t="str">
        <f t="shared" si="1366"/>
        <v>SAÍDA</v>
      </c>
      <c r="C7436" t="str">
        <f t="shared" si="1367"/>
        <v>PIX</v>
      </c>
      <c r="D7436" t="str">
        <f>"23680"</f>
        <v>23680</v>
      </c>
      <c r="E7436" t="str">
        <f t="shared" si="1371"/>
        <v>1</v>
      </c>
      <c r="F7436" t="str">
        <f t="shared" si="1370"/>
        <v>COM</v>
      </c>
      <c r="G7436" t="str">
        <f>"KELVIN NUBIO DE SOUZA TOLEDO (735)"</f>
        <v>KELVIN NUBIO DE SOUZA TOLEDO (735)</v>
      </c>
      <c r="H7436" t="str">
        <f>"Serv.Prest. 06/10/2025 a 12/10/2025 - PIX: CHAVE ALEATÓRIA - CHAVE: c489bee1-360b-4fa9-86c4-fbb0e9844cb8"</f>
        <v>Serv.Prest. 06/10/2025 a 12/10/2025 - PIX: CHAVE ALEATÓRIA - CHAVE: c489bee1-360b-4fa9-86c4-fbb0e9844cb8</v>
      </c>
      <c r="I7436" t="str">
        <f t="shared" si="1368"/>
        <v>24/10/2025</v>
      </c>
      <c r="J7436" t="str">
        <f t="shared" si="1372"/>
        <v>14/10/2025</v>
      </c>
      <c r="K7436" t="str">
        <f>("24/10/2025")</f>
        <v>24/10/2025</v>
      </c>
      <c r="L7436">
        <v>276</v>
      </c>
      <c r="M7436">
        <v>276</v>
      </c>
      <c r="N7436">
        <v>109</v>
      </c>
      <c r="O7436" t="str">
        <f>"PAGAMENTO DE ENTREGADORES"</f>
        <v>PAGAMENTO DE ENTREGADORES</v>
      </c>
      <c r="P7436">
        <v>276</v>
      </c>
      <c r="S7436" t="str">
        <f>"BANCO C6 (149)"</f>
        <v>BANCO C6 (149)</v>
      </c>
      <c r="T7436">
        <v>20191</v>
      </c>
      <c r="U7436">
        <v>23680</v>
      </c>
      <c r="V7436" t="s">
        <v>77</v>
      </c>
    </row>
    <row r="7437" spans="1:22">
      <c r="A7437" t="str">
        <f t="shared" si="1369"/>
        <v>24/10/2025</v>
      </c>
      <c r="B7437" t="str">
        <f t="shared" si="1366"/>
        <v>SAÍDA</v>
      </c>
      <c r="C7437" t="str">
        <f t="shared" si="1367"/>
        <v>PIX</v>
      </c>
      <c r="D7437" t="str">
        <f>"23680"</f>
        <v>23680</v>
      </c>
      <c r="E7437" t="str">
        <f t="shared" si="1371"/>
        <v>1</v>
      </c>
      <c r="F7437" t="str">
        <f t="shared" si="1370"/>
        <v>COM</v>
      </c>
      <c r="G7437" t="str">
        <f>"KELVIN NUBIO DE SOUZA TOLEDO (735)"</f>
        <v>KELVIN NUBIO DE SOUZA TOLEDO (735)</v>
      </c>
      <c r="H7437" t="s">
        <v>2048</v>
      </c>
      <c r="I7437" t="str">
        <f t="shared" si="1368"/>
        <v>24/10/2025</v>
      </c>
      <c r="J7437" t="str">
        <f t="shared" si="1372"/>
        <v>14/10/2025</v>
      </c>
      <c r="K7437">
        <v>45954</v>
      </c>
      <c r="N7437">
        <v>109</v>
      </c>
      <c r="O7437" t="s">
        <v>24</v>
      </c>
      <c r="Q7437">
        <v>276</v>
      </c>
      <c r="R7437" t="str">
        <f>"FARMÁCIA INDIANA LJ 152 (10069)"</f>
        <v>FARMÁCIA INDIANA LJ 152 (10069)</v>
      </c>
      <c r="S7437" t="s">
        <v>77</v>
      </c>
      <c r="T7437">
        <v>20191</v>
      </c>
      <c r="U7437">
        <v>23680</v>
      </c>
      <c r="V7437" t="s">
        <v>77</v>
      </c>
    </row>
    <row r="7438" spans="1:22">
      <c r="A7438" t="str">
        <f t="shared" si="1369"/>
        <v>24/10/2025</v>
      </c>
      <c r="B7438" t="str">
        <f t="shared" si="1366"/>
        <v>SAÍDA</v>
      </c>
      <c r="C7438" t="str">
        <f t="shared" si="1367"/>
        <v>PIX</v>
      </c>
      <c r="D7438" t="str">
        <f>"23682"</f>
        <v>23682</v>
      </c>
      <c r="E7438" t="str">
        <f t="shared" si="1371"/>
        <v>1</v>
      </c>
      <c r="F7438" t="str">
        <f t="shared" si="1370"/>
        <v>COM</v>
      </c>
      <c r="G7438" t="str">
        <f>"LEONARDO VIANA FIGUEIREDO (913)"</f>
        <v>LEONARDO VIANA FIGUEIREDO (913)</v>
      </c>
      <c r="H7438" t="str">
        <f>"Serv.Prest. 06/10/2025 a 12/10/2025 - PIX: CELULAR - CHAVE: (33) 98463-0821"</f>
        <v>Serv.Prest. 06/10/2025 a 12/10/2025 - PIX: CELULAR - CHAVE: (33) 98463-0821</v>
      </c>
      <c r="I7438" t="str">
        <f t="shared" si="1368"/>
        <v>24/10/2025</v>
      </c>
      <c r="J7438" t="str">
        <f t="shared" si="1372"/>
        <v>14/10/2025</v>
      </c>
      <c r="K7438" t="str">
        <f>("24/10/2025")</f>
        <v>24/10/2025</v>
      </c>
      <c r="L7438">
        <v>1080</v>
      </c>
      <c r="M7438">
        <v>1080</v>
      </c>
      <c r="N7438">
        <v>109</v>
      </c>
      <c r="O7438" t="str">
        <f>"PAGAMENTO DE ENTREGADORES"</f>
        <v>PAGAMENTO DE ENTREGADORES</v>
      </c>
      <c r="P7438">
        <v>1080</v>
      </c>
      <c r="S7438" t="str">
        <f>"BANCO C6 (149)"</f>
        <v>BANCO C6 (149)</v>
      </c>
      <c r="T7438">
        <v>20192</v>
      </c>
      <c r="U7438">
        <v>23682</v>
      </c>
      <c r="V7438" t="s">
        <v>77</v>
      </c>
    </row>
    <row r="7439" spans="1:22">
      <c r="A7439" t="str">
        <f t="shared" si="1369"/>
        <v>24/10/2025</v>
      </c>
      <c r="B7439" t="str">
        <f t="shared" si="1366"/>
        <v>SAÍDA</v>
      </c>
      <c r="C7439" t="str">
        <f t="shared" si="1367"/>
        <v>PIX</v>
      </c>
      <c r="D7439" t="str">
        <f>"23682"</f>
        <v>23682</v>
      </c>
      <c r="E7439" t="str">
        <f t="shared" si="1371"/>
        <v>1</v>
      </c>
      <c r="F7439" t="str">
        <f t="shared" si="1370"/>
        <v>COM</v>
      </c>
      <c r="G7439" t="str">
        <f>"LEONARDO VIANA FIGUEIREDO (913)"</f>
        <v>LEONARDO VIANA FIGUEIREDO (913)</v>
      </c>
      <c r="H7439" t="s">
        <v>2049</v>
      </c>
      <c r="I7439" t="str">
        <f t="shared" si="1368"/>
        <v>24/10/2025</v>
      </c>
      <c r="J7439" t="str">
        <f t="shared" si="1372"/>
        <v>14/10/2025</v>
      </c>
      <c r="K7439">
        <v>45954</v>
      </c>
      <c r="N7439">
        <v>109</v>
      </c>
      <c r="O7439" t="s">
        <v>24</v>
      </c>
      <c r="Q7439">
        <v>1080</v>
      </c>
      <c r="R7439" t="str">
        <f>"FARMÁCIA INDIANA LJ 06 (10006)"</f>
        <v>FARMÁCIA INDIANA LJ 06 (10006)</v>
      </c>
      <c r="S7439" t="s">
        <v>77</v>
      </c>
      <c r="T7439">
        <v>20192</v>
      </c>
      <c r="U7439">
        <v>23682</v>
      </c>
      <c r="V7439" t="s">
        <v>77</v>
      </c>
    </row>
    <row r="7440" spans="1:22">
      <c r="A7440" t="str">
        <f t="shared" si="1369"/>
        <v>24/10/2025</v>
      </c>
      <c r="B7440" t="str">
        <f t="shared" si="1366"/>
        <v>SAÍDA</v>
      </c>
      <c r="C7440" t="str">
        <f t="shared" si="1367"/>
        <v>PIX</v>
      </c>
      <c r="D7440" t="str">
        <f>"23683"</f>
        <v>23683</v>
      </c>
      <c r="E7440" t="str">
        <f t="shared" si="1371"/>
        <v>1</v>
      </c>
      <c r="F7440" t="str">
        <f t="shared" si="1370"/>
        <v>COM</v>
      </c>
      <c r="G7440" t="str">
        <f>"LEVERCI DA SILVA COURA (138)"</f>
        <v>LEVERCI DA SILVA COURA (138)</v>
      </c>
      <c r="H7440" t="str">
        <f>"Serv.Prest. 06/10/2025 a 12/10/2025 - PIX: CELULAR - CHAVE: (31) 99850-4727"</f>
        <v>Serv.Prest. 06/10/2025 a 12/10/2025 - PIX: CELULAR - CHAVE: (31) 99850-4727</v>
      </c>
      <c r="I7440" t="str">
        <f t="shared" si="1368"/>
        <v>24/10/2025</v>
      </c>
      <c r="J7440" t="str">
        <f t="shared" si="1372"/>
        <v>14/10/2025</v>
      </c>
      <c r="K7440" t="str">
        <f>("24/10/2025")</f>
        <v>24/10/2025</v>
      </c>
      <c r="L7440">
        <v>780</v>
      </c>
      <c r="M7440">
        <v>780</v>
      </c>
      <c r="N7440">
        <v>109</v>
      </c>
      <c r="O7440" t="str">
        <f>"PAGAMENTO DE ENTREGADORES"</f>
        <v>PAGAMENTO DE ENTREGADORES</v>
      </c>
      <c r="P7440">
        <v>780</v>
      </c>
      <c r="S7440" t="str">
        <f>"BANCO C6 (149)"</f>
        <v>BANCO C6 (149)</v>
      </c>
      <c r="T7440">
        <v>20193</v>
      </c>
      <c r="U7440">
        <v>23683</v>
      </c>
      <c r="V7440" t="s">
        <v>77</v>
      </c>
    </row>
    <row r="7441" spans="1:22">
      <c r="A7441" t="str">
        <f t="shared" si="1369"/>
        <v>24/10/2025</v>
      </c>
      <c r="B7441" t="str">
        <f t="shared" si="1366"/>
        <v>SAÍDA</v>
      </c>
      <c r="C7441" t="str">
        <f t="shared" si="1367"/>
        <v>PIX</v>
      </c>
      <c r="D7441" t="str">
        <f>"23683"</f>
        <v>23683</v>
      </c>
      <c r="E7441" t="str">
        <f t="shared" si="1371"/>
        <v>1</v>
      </c>
      <c r="F7441" t="str">
        <f t="shared" si="1370"/>
        <v>COM</v>
      </c>
      <c r="G7441" t="str">
        <f>"LEVERCI DA SILVA COURA (138)"</f>
        <v>LEVERCI DA SILVA COURA (138)</v>
      </c>
      <c r="H7441" t="s">
        <v>2050</v>
      </c>
      <c r="I7441" t="str">
        <f t="shared" si="1368"/>
        <v>24/10/2025</v>
      </c>
      <c r="J7441" t="str">
        <f t="shared" si="1372"/>
        <v>14/10/2025</v>
      </c>
      <c r="K7441">
        <v>45954</v>
      </c>
      <c r="N7441">
        <v>109</v>
      </c>
      <c r="O7441" t="s">
        <v>24</v>
      </c>
      <c r="Q7441">
        <v>780</v>
      </c>
      <c r="R7441" t="str">
        <f>"FARMÁCIA INDIANA LJ 18 (10011)"</f>
        <v>FARMÁCIA INDIANA LJ 18 (10011)</v>
      </c>
      <c r="S7441" t="s">
        <v>77</v>
      </c>
      <c r="T7441">
        <v>20193</v>
      </c>
      <c r="U7441">
        <v>23683</v>
      </c>
      <c r="V7441" t="s">
        <v>77</v>
      </c>
    </row>
    <row r="7442" spans="1:22">
      <c r="A7442" t="str">
        <f t="shared" si="1369"/>
        <v>24/10/2025</v>
      </c>
      <c r="B7442" t="str">
        <f t="shared" si="1366"/>
        <v>SAÍDA</v>
      </c>
      <c r="C7442" t="str">
        <f t="shared" si="1367"/>
        <v>PIX</v>
      </c>
      <c r="D7442" t="str">
        <f>"23684"</f>
        <v>23684</v>
      </c>
      <c r="E7442" t="str">
        <f t="shared" si="1371"/>
        <v>1</v>
      </c>
      <c r="F7442" t="str">
        <f t="shared" si="1370"/>
        <v>COM</v>
      </c>
      <c r="G7442" t="str">
        <f>"LUAN DOS SANTOS NUNES (719)"</f>
        <v>LUAN DOS SANTOS NUNES (719)</v>
      </c>
      <c r="H7442" t="str">
        <f>"Serv.Prest. 06/10/2025 a 12/10/2025 - PIX: CELULAR - CHAVE: (33) 98749-4693"</f>
        <v>Serv.Prest. 06/10/2025 a 12/10/2025 - PIX: CELULAR - CHAVE: (33) 98749-4693</v>
      </c>
      <c r="I7442" t="str">
        <f t="shared" si="1368"/>
        <v>24/10/2025</v>
      </c>
      <c r="J7442" t="str">
        <f t="shared" si="1372"/>
        <v>14/10/2025</v>
      </c>
      <c r="K7442" t="str">
        <f>("24/10/2025")</f>
        <v>24/10/2025</v>
      </c>
      <c r="L7442">
        <v>1771</v>
      </c>
      <c r="M7442">
        <v>1771</v>
      </c>
      <c r="N7442">
        <v>109</v>
      </c>
      <c r="O7442" t="str">
        <f>"PAGAMENTO DE ENTREGADORES"</f>
        <v>PAGAMENTO DE ENTREGADORES</v>
      </c>
      <c r="P7442">
        <v>1771</v>
      </c>
      <c r="S7442" t="str">
        <f>"BANCO C6 (149)"</f>
        <v>BANCO C6 (149)</v>
      </c>
      <c r="T7442">
        <v>20194</v>
      </c>
      <c r="U7442">
        <v>23684</v>
      </c>
      <c r="V7442" t="s">
        <v>77</v>
      </c>
    </row>
    <row r="7443" spans="1:22">
      <c r="A7443" t="str">
        <f t="shared" si="1369"/>
        <v>24/10/2025</v>
      </c>
      <c r="B7443" t="str">
        <f t="shared" si="1366"/>
        <v>SAÍDA</v>
      </c>
      <c r="C7443" t="str">
        <f t="shared" si="1367"/>
        <v>PIX</v>
      </c>
      <c r="D7443" t="str">
        <f>"23684"</f>
        <v>23684</v>
      </c>
      <c r="E7443" t="str">
        <f t="shared" si="1371"/>
        <v>1</v>
      </c>
      <c r="F7443" t="str">
        <f t="shared" si="1370"/>
        <v>COM</v>
      </c>
      <c r="G7443" t="str">
        <f>"LUAN DOS SANTOS NUNES (719)"</f>
        <v>LUAN DOS SANTOS NUNES (719)</v>
      </c>
      <c r="H7443" t="s">
        <v>2051</v>
      </c>
      <c r="I7443" t="str">
        <f t="shared" si="1368"/>
        <v>24/10/2025</v>
      </c>
      <c r="J7443" t="str">
        <f t="shared" si="1372"/>
        <v>14/10/2025</v>
      </c>
      <c r="K7443">
        <v>45954</v>
      </c>
      <c r="N7443">
        <v>109</v>
      </c>
      <c r="O7443" t="s">
        <v>24</v>
      </c>
      <c r="Q7443">
        <v>275.04000000000002</v>
      </c>
      <c r="R7443" t="str">
        <f>"FARMÁCIA INDIANA LJ 40 (10016)"</f>
        <v>FARMÁCIA INDIANA LJ 40 (10016)</v>
      </c>
      <c r="S7443" t="s">
        <v>77</v>
      </c>
      <c r="T7443">
        <v>20194</v>
      </c>
      <c r="U7443">
        <v>23684</v>
      </c>
      <c r="V7443" t="s">
        <v>77</v>
      </c>
    </row>
    <row r="7444" spans="1:22">
      <c r="A7444" t="str">
        <f t="shared" si="1369"/>
        <v>24/10/2025</v>
      </c>
      <c r="B7444" t="str">
        <f t="shared" si="1366"/>
        <v>SAÍDA</v>
      </c>
      <c r="C7444" t="str">
        <f t="shared" si="1367"/>
        <v>PIX</v>
      </c>
      <c r="D7444" t="str">
        <f>"23684"</f>
        <v>23684</v>
      </c>
      <c r="E7444" t="str">
        <f t="shared" si="1371"/>
        <v>1</v>
      </c>
      <c r="F7444" t="str">
        <f t="shared" si="1370"/>
        <v>COM</v>
      </c>
      <c r="G7444" t="str">
        <f>"LUAN DOS SANTOS NUNES (719)"</f>
        <v>LUAN DOS SANTOS NUNES (719)</v>
      </c>
      <c r="H7444" t="s">
        <v>2051</v>
      </c>
      <c r="I7444" t="str">
        <f t="shared" si="1368"/>
        <v>24/10/2025</v>
      </c>
      <c r="J7444" t="str">
        <f t="shared" si="1372"/>
        <v>14/10/2025</v>
      </c>
      <c r="K7444">
        <v>45954</v>
      </c>
      <c r="N7444">
        <v>109</v>
      </c>
      <c r="O7444" t="s">
        <v>24</v>
      </c>
      <c r="Q7444">
        <v>1495.96</v>
      </c>
      <c r="R7444" t="str">
        <f>"FARMÁCIA INDIANA LJ 61 (10027)"</f>
        <v>FARMÁCIA INDIANA LJ 61 (10027)</v>
      </c>
      <c r="S7444" t="s">
        <v>77</v>
      </c>
      <c r="T7444">
        <v>20194</v>
      </c>
      <c r="U7444">
        <v>23684</v>
      </c>
      <c r="V7444" t="s">
        <v>77</v>
      </c>
    </row>
    <row r="7445" spans="1:22">
      <c r="A7445" t="str">
        <f t="shared" si="1369"/>
        <v>24/10/2025</v>
      </c>
      <c r="B7445" t="str">
        <f t="shared" si="1366"/>
        <v>SAÍDA</v>
      </c>
      <c r="C7445" t="str">
        <f t="shared" si="1367"/>
        <v>PIX</v>
      </c>
      <c r="D7445" t="str">
        <f>"23685"</f>
        <v>23685</v>
      </c>
      <c r="E7445" t="str">
        <f t="shared" si="1371"/>
        <v>1</v>
      </c>
      <c r="F7445" t="str">
        <f t="shared" si="1370"/>
        <v>COM</v>
      </c>
      <c r="G7445" t="str">
        <f>"LUAN VICTOR SERQUEIRA DA SILVA (577)"</f>
        <v>LUAN VICTOR SERQUEIRA DA SILVA (577)</v>
      </c>
      <c r="H7445" t="str">
        <f>"Serv.Prest. 06/10/2025 a 12/10/2025 - PIX: CPF - CHAVE: 161.508.516-56"</f>
        <v>Serv.Prest. 06/10/2025 a 12/10/2025 - PIX: CPF - CHAVE: 161.508.516-56</v>
      </c>
      <c r="I7445" t="str">
        <f t="shared" si="1368"/>
        <v>24/10/2025</v>
      </c>
      <c r="J7445" t="str">
        <f t="shared" si="1372"/>
        <v>14/10/2025</v>
      </c>
      <c r="K7445" t="str">
        <f>("24/10/2025")</f>
        <v>24/10/2025</v>
      </c>
      <c r="L7445">
        <v>698.5</v>
      </c>
      <c r="M7445">
        <v>700</v>
      </c>
      <c r="N7445">
        <v>109</v>
      </c>
      <c r="O7445" t="str">
        <f>"PAGAMENTO DE ENTREGADORES"</f>
        <v>PAGAMENTO DE ENTREGADORES</v>
      </c>
      <c r="P7445">
        <v>700</v>
      </c>
      <c r="S7445" t="str">
        <f>"BANCO C6 (149)"</f>
        <v>BANCO C6 (149)</v>
      </c>
      <c r="T7445">
        <v>20195</v>
      </c>
      <c r="U7445">
        <v>23685</v>
      </c>
      <c r="V7445" t="s">
        <v>77</v>
      </c>
    </row>
    <row r="7446" spans="1:22">
      <c r="A7446" t="str">
        <f t="shared" si="1369"/>
        <v>24/10/2025</v>
      </c>
      <c r="B7446" t="str">
        <f t="shared" si="1366"/>
        <v>SAÍDA</v>
      </c>
      <c r="C7446" t="str">
        <f t="shared" si="1367"/>
        <v>PIX</v>
      </c>
      <c r="D7446" t="str">
        <f>"23685"</f>
        <v>23685</v>
      </c>
      <c r="E7446" t="str">
        <f t="shared" si="1371"/>
        <v>1</v>
      </c>
      <c r="F7446" t="str">
        <f t="shared" si="1370"/>
        <v>COM</v>
      </c>
      <c r="G7446" t="str">
        <f>"LUAN VICTOR SERQUEIRA DA SILVA (577)"</f>
        <v>LUAN VICTOR SERQUEIRA DA SILVA (577)</v>
      </c>
      <c r="H7446" t="s">
        <v>2052</v>
      </c>
      <c r="I7446" t="str">
        <f t="shared" si="1368"/>
        <v>24/10/2025</v>
      </c>
      <c r="J7446" t="str">
        <f t="shared" si="1372"/>
        <v>14/10/2025</v>
      </c>
      <c r="K7446">
        <v>45954</v>
      </c>
      <c r="N7446">
        <v>109</v>
      </c>
      <c r="O7446" t="s">
        <v>24</v>
      </c>
      <c r="Q7446">
        <v>700</v>
      </c>
      <c r="R7446" t="str">
        <f>"FARMÁCIA INDIANA LJ 202 (10085)"</f>
        <v>FARMÁCIA INDIANA LJ 202 (10085)</v>
      </c>
      <c r="S7446" t="s">
        <v>77</v>
      </c>
      <c r="T7446">
        <v>20195</v>
      </c>
      <c r="U7446">
        <v>23685</v>
      </c>
      <c r="V7446" t="s">
        <v>77</v>
      </c>
    </row>
    <row r="7447" spans="1:22">
      <c r="A7447" t="str">
        <f t="shared" si="1369"/>
        <v>24/10/2025</v>
      </c>
      <c r="B7447" t="str">
        <f t="shared" si="1366"/>
        <v>SAÍDA</v>
      </c>
      <c r="C7447" t="str">
        <f t="shared" si="1367"/>
        <v>PIX</v>
      </c>
      <c r="D7447" t="str">
        <f>"23686"</f>
        <v>23686</v>
      </c>
      <c r="E7447" t="str">
        <f t="shared" si="1371"/>
        <v>1</v>
      </c>
      <c r="F7447" t="str">
        <f t="shared" si="1370"/>
        <v>COM</v>
      </c>
      <c r="G7447" t="str">
        <f>"LUCAS FERREIRA DOS SANTOS (868)"</f>
        <v>LUCAS FERREIRA DOS SANTOS (868)</v>
      </c>
      <c r="H7447" t="str">
        <f>"Serv.Prest. 06/10/2025 a 12/10/2025 - PIX: CELULAR - CHAVE: (33) 99172-0627"</f>
        <v>Serv.Prest. 06/10/2025 a 12/10/2025 - PIX: CELULAR - CHAVE: (33) 99172-0627</v>
      </c>
      <c r="I7447" t="str">
        <f t="shared" si="1368"/>
        <v>24/10/2025</v>
      </c>
      <c r="J7447" t="str">
        <f t="shared" si="1372"/>
        <v>14/10/2025</v>
      </c>
      <c r="K7447" t="str">
        <f>("24/10/2025")</f>
        <v>24/10/2025</v>
      </c>
      <c r="L7447">
        <v>1080</v>
      </c>
      <c r="M7447">
        <v>1080</v>
      </c>
      <c r="N7447">
        <v>109</v>
      </c>
      <c r="O7447" t="str">
        <f>"PAGAMENTO DE ENTREGADORES"</f>
        <v>PAGAMENTO DE ENTREGADORES</v>
      </c>
      <c r="P7447">
        <v>1080</v>
      </c>
      <c r="S7447" t="str">
        <f>"BANCO C6 (149)"</f>
        <v>BANCO C6 (149)</v>
      </c>
      <c r="T7447">
        <v>20196</v>
      </c>
      <c r="U7447">
        <v>23686</v>
      </c>
      <c r="V7447" t="s">
        <v>77</v>
      </c>
    </row>
    <row r="7448" spans="1:22">
      <c r="A7448" t="str">
        <f t="shared" si="1369"/>
        <v>24/10/2025</v>
      </c>
      <c r="B7448" t="str">
        <f t="shared" si="1366"/>
        <v>SAÍDA</v>
      </c>
      <c r="C7448" t="str">
        <f t="shared" si="1367"/>
        <v>PIX</v>
      </c>
      <c r="D7448" t="str">
        <f>"23686"</f>
        <v>23686</v>
      </c>
      <c r="E7448" t="str">
        <f t="shared" si="1371"/>
        <v>1</v>
      </c>
      <c r="F7448" t="str">
        <f t="shared" si="1370"/>
        <v>COM</v>
      </c>
      <c r="G7448" t="str">
        <f>"LUCAS FERREIRA DOS SANTOS (868)"</f>
        <v>LUCAS FERREIRA DOS SANTOS (868)</v>
      </c>
      <c r="H7448" t="s">
        <v>2053</v>
      </c>
      <c r="I7448" t="str">
        <f t="shared" si="1368"/>
        <v>24/10/2025</v>
      </c>
      <c r="J7448" t="str">
        <f t="shared" si="1372"/>
        <v>14/10/2025</v>
      </c>
      <c r="K7448">
        <v>45954</v>
      </c>
      <c r="N7448">
        <v>109</v>
      </c>
      <c r="O7448" t="s">
        <v>24</v>
      </c>
      <c r="Q7448">
        <v>1080</v>
      </c>
      <c r="R7448" t="str">
        <f>"FARMÁCIA INDIANA LJ 06 (10006)"</f>
        <v>FARMÁCIA INDIANA LJ 06 (10006)</v>
      </c>
      <c r="S7448" t="s">
        <v>77</v>
      </c>
      <c r="T7448">
        <v>20196</v>
      </c>
      <c r="U7448">
        <v>23686</v>
      </c>
      <c r="V7448" t="s">
        <v>77</v>
      </c>
    </row>
    <row r="7449" spans="1:22">
      <c r="A7449" t="str">
        <f t="shared" si="1369"/>
        <v>24/10/2025</v>
      </c>
      <c r="B7449" t="str">
        <f t="shared" si="1366"/>
        <v>SAÍDA</v>
      </c>
      <c r="C7449" t="str">
        <f t="shared" si="1367"/>
        <v>PIX</v>
      </c>
      <c r="D7449" t="str">
        <f>"23687"</f>
        <v>23687</v>
      </c>
      <c r="E7449" t="str">
        <f t="shared" si="1371"/>
        <v>1</v>
      </c>
      <c r="F7449" t="str">
        <f t="shared" si="1370"/>
        <v>COM</v>
      </c>
      <c r="G7449" t="str">
        <f>"LUIZ ALVES MARTINS (40)"</f>
        <v>LUIZ ALVES MARTINS (40)</v>
      </c>
      <c r="H7449" t="str">
        <f>"Serv.Prest. 06/10/2025 a 12/10/2025 - PIX: CELULAR - CHAVE: (33) 99981-6650"</f>
        <v>Serv.Prest. 06/10/2025 a 12/10/2025 - PIX: CELULAR - CHAVE: (33) 99981-6650</v>
      </c>
      <c r="I7449" t="str">
        <f t="shared" si="1368"/>
        <v>24/10/2025</v>
      </c>
      <c r="J7449" t="str">
        <f t="shared" si="1372"/>
        <v>14/10/2025</v>
      </c>
      <c r="K7449" t="str">
        <f>("24/10/2025")</f>
        <v>24/10/2025</v>
      </c>
      <c r="L7449">
        <v>1212</v>
      </c>
      <c r="M7449">
        <v>1212</v>
      </c>
      <c r="N7449">
        <v>109</v>
      </c>
      <c r="O7449" t="str">
        <f>"PAGAMENTO DE ENTREGADORES"</f>
        <v>PAGAMENTO DE ENTREGADORES</v>
      </c>
      <c r="P7449">
        <v>1212</v>
      </c>
      <c r="S7449" t="str">
        <f>"BANCO C6 (149)"</f>
        <v>BANCO C6 (149)</v>
      </c>
      <c r="T7449">
        <v>20197</v>
      </c>
      <c r="U7449">
        <v>23687</v>
      </c>
      <c r="V7449" t="s">
        <v>77</v>
      </c>
    </row>
    <row r="7450" spans="1:22">
      <c r="A7450" t="str">
        <f t="shared" si="1369"/>
        <v>24/10/2025</v>
      </c>
      <c r="B7450" t="str">
        <f t="shared" si="1366"/>
        <v>SAÍDA</v>
      </c>
      <c r="C7450" t="str">
        <f t="shared" si="1367"/>
        <v>PIX</v>
      </c>
      <c r="D7450" t="str">
        <f>"23687"</f>
        <v>23687</v>
      </c>
      <c r="E7450" t="str">
        <f t="shared" si="1371"/>
        <v>1</v>
      </c>
      <c r="F7450" t="str">
        <f t="shared" si="1370"/>
        <v>COM</v>
      </c>
      <c r="G7450" t="str">
        <f>"LUIZ ALVES MARTINS (40)"</f>
        <v>LUIZ ALVES MARTINS (40)</v>
      </c>
      <c r="H7450" t="s">
        <v>2054</v>
      </c>
      <c r="I7450" t="str">
        <f t="shared" si="1368"/>
        <v>24/10/2025</v>
      </c>
      <c r="J7450" t="str">
        <f t="shared" si="1372"/>
        <v>14/10/2025</v>
      </c>
      <c r="K7450">
        <v>45954</v>
      </c>
      <c r="N7450">
        <v>109</v>
      </c>
      <c r="O7450" t="s">
        <v>24</v>
      </c>
      <c r="Q7450">
        <v>1212</v>
      </c>
      <c r="R7450" t="str">
        <f>"FARMÁCIA INDIANA LJ 11 (10008)"</f>
        <v>FARMÁCIA INDIANA LJ 11 (10008)</v>
      </c>
      <c r="S7450" t="s">
        <v>77</v>
      </c>
      <c r="T7450">
        <v>20197</v>
      </c>
      <c r="U7450">
        <v>23687</v>
      </c>
      <c r="V7450" t="s">
        <v>77</v>
      </c>
    </row>
    <row r="7451" spans="1:22">
      <c r="A7451" t="str">
        <f t="shared" si="1369"/>
        <v>24/10/2025</v>
      </c>
      <c r="B7451" t="str">
        <f t="shared" si="1366"/>
        <v>SAÍDA</v>
      </c>
      <c r="C7451" t="str">
        <f t="shared" si="1367"/>
        <v>PIX</v>
      </c>
      <c r="D7451" t="str">
        <f>"23688"</f>
        <v>23688</v>
      </c>
      <c r="E7451" t="str">
        <f t="shared" si="1371"/>
        <v>1</v>
      </c>
      <c r="F7451" t="str">
        <f t="shared" si="1370"/>
        <v>COM</v>
      </c>
      <c r="G7451" t="str">
        <f>"LUIZ EDUARDO VIANA BRITO (878)"</f>
        <v>LUIZ EDUARDO VIANA BRITO (878)</v>
      </c>
      <c r="H7451" t="str">
        <f>"Serv.Prest. 06/10/2025 a 12/10/2025 - PIX: CPF - CHAVE: 101.220.976-88"</f>
        <v>Serv.Prest. 06/10/2025 a 12/10/2025 - PIX: CPF - CHAVE: 101.220.976-88</v>
      </c>
      <c r="I7451" t="str">
        <f t="shared" si="1368"/>
        <v>24/10/2025</v>
      </c>
      <c r="J7451" t="str">
        <f t="shared" si="1372"/>
        <v>14/10/2025</v>
      </c>
      <c r="K7451" t="str">
        <f>("24/10/2025")</f>
        <v>24/10/2025</v>
      </c>
      <c r="L7451">
        <v>1166</v>
      </c>
      <c r="M7451">
        <v>1166</v>
      </c>
      <c r="N7451">
        <v>109</v>
      </c>
      <c r="O7451" t="str">
        <f>"PAGAMENTO DE ENTREGADORES"</f>
        <v>PAGAMENTO DE ENTREGADORES</v>
      </c>
      <c r="P7451">
        <v>1166</v>
      </c>
      <c r="S7451" t="str">
        <f>"BANCO C6 (149)"</f>
        <v>BANCO C6 (149)</v>
      </c>
      <c r="T7451">
        <v>20198</v>
      </c>
      <c r="U7451">
        <v>23688</v>
      </c>
      <c r="V7451" t="s">
        <v>77</v>
      </c>
    </row>
    <row r="7452" spans="1:22">
      <c r="A7452" t="str">
        <f t="shared" si="1369"/>
        <v>24/10/2025</v>
      </c>
      <c r="B7452" t="str">
        <f t="shared" si="1366"/>
        <v>SAÍDA</v>
      </c>
      <c r="C7452" t="str">
        <f t="shared" si="1367"/>
        <v>PIX</v>
      </c>
      <c r="D7452" t="str">
        <f>"23688"</f>
        <v>23688</v>
      </c>
      <c r="E7452" t="str">
        <f t="shared" si="1371"/>
        <v>1</v>
      </c>
      <c r="F7452" t="str">
        <f t="shared" si="1370"/>
        <v>COM</v>
      </c>
      <c r="G7452" t="str">
        <f>"LUIZ EDUARDO VIANA BRITO (878)"</f>
        <v>LUIZ EDUARDO VIANA BRITO (878)</v>
      </c>
      <c r="H7452" t="s">
        <v>2055</v>
      </c>
      <c r="I7452" t="str">
        <f t="shared" si="1368"/>
        <v>24/10/2025</v>
      </c>
      <c r="J7452" t="str">
        <f t="shared" si="1372"/>
        <v>14/10/2025</v>
      </c>
      <c r="K7452">
        <v>45954</v>
      </c>
      <c r="N7452">
        <v>109</v>
      </c>
      <c r="O7452" t="s">
        <v>24</v>
      </c>
      <c r="Q7452">
        <v>1166</v>
      </c>
      <c r="R7452" t="str">
        <f>"FARMÁCIA INDIANA LJ 40 (10016)"</f>
        <v>FARMÁCIA INDIANA LJ 40 (10016)</v>
      </c>
      <c r="S7452" t="s">
        <v>77</v>
      </c>
      <c r="T7452">
        <v>20198</v>
      </c>
      <c r="U7452">
        <v>23688</v>
      </c>
      <c r="V7452" t="s">
        <v>77</v>
      </c>
    </row>
    <row r="7453" spans="1:22">
      <c r="A7453" t="str">
        <f t="shared" si="1369"/>
        <v>24/10/2025</v>
      </c>
      <c r="B7453" t="str">
        <f t="shared" si="1366"/>
        <v>SAÍDA</v>
      </c>
      <c r="C7453" t="str">
        <f t="shared" si="1367"/>
        <v>PIX</v>
      </c>
      <c r="D7453" t="str">
        <f>"23689"</f>
        <v>23689</v>
      </c>
      <c r="E7453" t="str">
        <f t="shared" si="1371"/>
        <v>1</v>
      </c>
      <c r="F7453" t="str">
        <f t="shared" si="1370"/>
        <v>COM</v>
      </c>
      <c r="G7453" t="str">
        <f>"LUIZ EMANUEL PINHEIRO (870)"</f>
        <v>LUIZ EMANUEL PINHEIRO (870)</v>
      </c>
      <c r="H7453" t="str">
        <f>"Serv.Prest. 06/10/2025 a 12/10/2025 - PIX: CPF - CHAVE: 129.269.326-69"</f>
        <v>Serv.Prest. 06/10/2025 a 12/10/2025 - PIX: CPF - CHAVE: 129.269.326-69</v>
      </c>
      <c r="I7453" t="str">
        <f t="shared" si="1368"/>
        <v>24/10/2025</v>
      </c>
      <c r="J7453" t="str">
        <f t="shared" si="1372"/>
        <v>14/10/2025</v>
      </c>
      <c r="K7453" t="str">
        <f>("24/10/2025")</f>
        <v>24/10/2025</v>
      </c>
      <c r="L7453">
        <v>700.8</v>
      </c>
      <c r="M7453">
        <v>700.8</v>
      </c>
      <c r="N7453">
        <v>109</v>
      </c>
      <c r="O7453" t="str">
        <f>"PAGAMENTO DE ENTREGADORES"</f>
        <v>PAGAMENTO DE ENTREGADORES</v>
      </c>
      <c r="P7453">
        <v>700.8</v>
      </c>
      <c r="S7453" t="str">
        <f>"BANCO C6 (149)"</f>
        <v>BANCO C6 (149)</v>
      </c>
      <c r="T7453">
        <v>20199</v>
      </c>
      <c r="U7453">
        <v>23689</v>
      </c>
      <c r="V7453" t="s">
        <v>77</v>
      </c>
    </row>
    <row r="7454" spans="1:22">
      <c r="A7454" t="str">
        <f t="shared" si="1369"/>
        <v>24/10/2025</v>
      </c>
      <c r="B7454" t="str">
        <f t="shared" si="1366"/>
        <v>SAÍDA</v>
      </c>
      <c r="C7454" t="str">
        <f t="shared" si="1367"/>
        <v>PIX</v>
      </c>
      <c r="D7454" t="str">
        <f>"23689"</f>
        <v>23689</v>
      </c>
      <c r="E7454" t="str">
        <f t="shared" si="1371"/>
        <v>1</v>
      </c>
      <c r="F7454" t="str">
        <f t="shared" si="1370"/>
        <v>COM</v>
      </c>
      <c r="G7454" t="str">
        <f>"LUIZ EMANUEL PINHEIRO (870)"</f>
        <v>LUIZ EMANUEL PINHEIRO (870)</v>
      </c>
      <c r="H7454" t="s">
        <v>2056</v>
      </c>
      <c r="I7454" t="str">
        <f t="shared" si="1368"/>
        <v>24/10/2025</v>
      </c>
      <c r="J7454" t="str">
        <f t="shared" si="1372"/>
        <v>14/10/2025</v>
      </c>
      <c r="K7454">
        <v>45954</v>
      </c>
      <c r="N7454">
        <v>109</v>
      </c>
      <c r="O7454" t="s">
        <v>24</v>
      </c>
      <c r="Q7454">
        <v>131.4</v>
      </c>
      <c r="R7454" t="str">
        <f>"FARMÁCIA INDIANA LJ 112 (10050)"</f>
        <v>FARMÁCIA INDIANA LJ 112 (10050)</v>
      </c>
      <c r="S7454" t="s">
        <v>77</v>
      </c>
      <c r="T7454">
        <v>20199</v>
      </c>
      <c r="U7454">
        <v>23689</v>
      </c>
      <c r="V7454" t="s">
        <v>77</v>
      </c>
    </row>
    <row r="7455" spans="1:22">
      <c r="A7455" t="str">
        <f t="shared" si="1369"/>
        <v>24/10/2025</v>
      </c>
      <c r="B7455" t="str">
        <f t="shared" si="1366"/>
        <v>SAÍDA</v>
      </c>
      <c r="C7455" t="str">
        <f t="shared" si="1367"/>
        <v>PIX</v>
      </c>
      <c r="D7455" t="str">
        <f>"23689"</f>
        <v>23689</v>
      </c>
      <c r="E7455" t="str">
        <f t="shared" si="1371"/>
        <v>1</v>
      </c>
      <c r="F7455" t="str">
        <f t="shared" si="1370"/>
        <v>COM</v>
      </c>
      <c r="G7455" t="str">
        <f>"LUIZ EMANUEL PINHEIRO (870)"</f>
        <v>LUIZ EMANUEL PINHEIRO (870)</v>
      </c>
      <c r="H7455" t="s">
        <v>2056</v>
      </c>
      <c r="I7455" t="str">
        <f t="shared" si="1368"/>
        <v>24/10/2025</v>
      </c>
      <c r="J7455" t="str">
        <f t="shared" si="1372"/>
        <v>14/10/2025</v>
      </c>
      <c r="K7455">
        <v>45954</v>
      </c>
      <c r="N7455">
        <v>109</v>
      </c>
      <c r="O7455" t="s">
        <v>24</v>
      </c>
      <c r="Q7455">
        <v>43.8</v>
      </c>
      <c r="R7455" t="str">
        <f>"FARMÁCIA INDIANA LJ 121 (10054)"</f>
        <v>FARMÁCIA INDIANA LJ 121 (10054)</v>
      </c>
      <c r="S7455" t="s">
        <v>77</v>
      </c>
      <c r="T7455">
        <v>20199</v>
      </c>
      <c r="U7455">
        <v>23689</v>
      </c>
      <c r="V7455" t="s">
        <v>77</v>
      </c>
    </row>
    <row r="7456" spans="1:22">
      <c r="A7456" t="str">
        <f t="shared" si="1369"/>
        <v>24/10/2025</v>
      </c>
      <c r="B7456" t="str">
        <f t="shared" si="1366"/>
        <v>SAÍDA</v>
      </c>
      <c r="C7456" t="str">
        <f t="shared" si="1367"/>
        <v>PIX</v>
      </c>
      <c r="D7456" t="str">
        <f>"23689"</f>
        <v>23689</v>
      </c>
      <c r="E7456" t="str">
        <f t="shared" si="1371"/>
        <v>1</v>
      </c>
      <c r="F7456" t="str">
        <f t="shared" si="1370"/>
        <v>COM</v>
      </c>
      <c r="G7456" t="str">
        <f>"LUIZ EMANUEL PINHEIRO (870)"</f>
        <v>LUIZ EMANUEL PINHEIRO (870)</v>
      </c>
      <c r="H7456" t="s">
        <v>2056</v>
      </c>
      <c r="I7456" t="str">
        <f t="shared" si="1368"/>
        <v>24/10/2025</v>
      </c>
      <c r="J7456" t="str">
        <f t="shared" si="1372"/>
        <v>14/10/2025</v>
      </c>
      <c r="K7456">
        <v>45954</v>
      </c>
      <c r="N7456">
        <v>109</v>
      </c>
      <c r="O7456" t="s">
        <v>24</v>
      </c>
      <c r="Q7456">
        <v>525.6</v>
      </c>
      <c r="R7456" t="str">
        <f>"FARMÁCIA INDIANA LJ 128 (10057)"</f>
        <v>FARMÁCIA INDIANA LJ 128 (10057)</v>
      </c>
      <c r="S7456" t="s">
        <v>77</v>
      </c>
      <c r="T7456">
        <v>20199</v>
      </c>
      <c r="U7456">
        <v>23689</v>
      </c>
      <c r="V7456" t="s">
        <v>77</v>
      </c>
    </row>
    <row r="7457" spans="1:22">
      <c r="A7457" t="str">
        <f t="shared" si="1369"/>
        <v>24/10/2025</v>
      </c>
      <c r="B7457" t="str">
        <f t="shared" si="1366"/>
        <v>SAÍDA</v>
      </c>
      <c r="C7457" t="str">
        <f t="shared" si="1367"/>
        <v>PIX</v>
      </c>
      <c r="D7457" t="str">
        <f>"23690"</f>
        <v>23690</v>
      </c>
      <c r="E7457" t="str">
        <f t="shared" si="1371"/>
        <v>1</v>
      </c>
      <c r="F7457" t="str">
        <f t="shared" si="1370"/>
        <v>COM</v>
      </c>
      <c r="G7457" t="str">
        <f>"LUIZ FERNANDO CARVALHO ALVES (198)"</f>
        <v>LUIZ FERNANDO CARVALHO ALVES (198)</v>
      </c>
      <c r="H7457" t="str">
        <f>"Serv.Prest. 06/10/2025 a 12/10/2025 - PIX: CPF - CHAVE: 705.097.186-39"</f>
        <v>Serv.Prest. 06/10/2025 a 12/10/2025 - PIX: CPF - CHAVE: 705.097.186-39</v>
      </c>
      <c r="I7457" t="str">
        <f t="shared" si="1368"/>
        <v>24/10/2025</v>
      </c>
      <c r="J7457" t="str">
        <f t="shared" si="1372"/>
        <v>14/10/2025</v>
      </c>
      <c r="K7457" t="str">
        <f>("24/10/2025")</f>
        <v>24/10/2025</v>
      </c>
      <c r="L7457">
        <v>750</v>
      </c>
      <c r="M7457">
        <v>750</v>
      </c>
      <c r="N7457">
        <v>109</v>
      </c>
      <c r="O7457" t="str">
        <f>"PAGAMENTO DE ENTREGADORES"</f>
        <v>PAGAMENTO DE ENTREGADORES</v>
      </c>
      <c r="P7457">
        <v>750</v>
      </c>
      <c r="S7457" t="str">
        <f>"BANCO C6 (149)"</f>
        <v>BANCO C6 (149)</v>
      </c>
      <c r="T7457">
        <v>20200</v>
      </c>
      <c r="U7457">
        <v>23690</v>
      </c>
      <c r="V7457" t="s">
        <v>77</v>
      </c>
    </row>
    <row r="7458" spans="1:22">
      <c r="A7458" t="str">
        <f t="shared" si="1369"/>
        <v>24/10/2025</v>
      </c>
      <c r="B7458" t="str">
        <f t="shared" si="1366"/>
        <v>SAÍDA</v>
      </c>
      <c r="C7458" t="str">
        <f t="shared" si="1367"/>
        <v>PIX</v>
      </c>
      <c r="D7458" t="str">
        <f>"23690"</f>
        <v>23690</v>
      </c>
      <c r="E7458" t="str">
        <f t="shared" si="1371"/>
        <v>1</v>
      </c>
      <c r="F7458" t="str">
        <f t="shared" si="1370"/>
        <v>COM</v>
      </c>
      <c r="G7458" t="str">
        <f>"LUIZ FERNANDO CARVALHO ALVES (198)"</f>
        <v>LUIZ FERNANDO CARVALHO ALVES (198)</v>
      </c>
      <c r="H7458" t="s">
        <v>2057</v>
      </c>
      <c r="I7458" t="str">
        <f t="shared" si="1368"/>
        <v>24/10/2025</v>
      </c>
      <c r="J7458" t="str">
        <f t="shared" si="1372"/>
        <v>14/10/2025</v>
      </c>
      <c r="K7458">
        <v>45954</v>
      </c>
      <c r="N7458">
        <v>109</v>
      </c>
      <c r="O7458" t="s">
        <v>24</v>
      </c>
      <c r="Q7458">
        <v>750</v>
      </c>
      <c r="R7458" t="str">
        <f>"FARMÁCIA INDIANA LJ 171 (10074)"</f>
        <v>FARMÁCIA INDIANA LJ 171 (10074)</v>
      </c>
      <c r="S7458" t="s">
        <v>77</v>
      </c>
      <c r="T7458">
        <v>20200</v>
      </c>
      <c r="U7458">
        <v>23690</v>
      </c>
      <c r="V7458" t="s">
        <v>77</v>
      </c>
    </row>
    <row r="7459" spans="1:22">
      <c r="A7459" t="str">
        <f t="shared" si="1369"/>
        <v>24/10/2025</v>
      </c>
      <c r="B7459" t="str">
        <f t="shared" si="1366"/>
        <v>SAÍDA</v>
      </c>
      <c r="C7459" t="str">
        <f t="shared" si="1367"/>
        <v>PIX</v>
      </c>
      <c r="D7459" t="str">
        <f>"23691"</f>
        <v>23691</v>
      </c>
      <c r="E7459" t="str">
        <f t="shared" si="1371"/>
        <v>1</v>
      </c>
      <c r="F7459" t="str">
        <f t="shared" si="1370"/>
        <v>COM</v>
      </c>
      <c r="G7459" t="str">
        <f>"LUIZ PAULO LOUREIRO PRADO (475)"</f>
        <v>LUIZ PAULO LOUREIRO PRADO (475)</v>
      </c>
      <c r="H7459" t="str">
        <f>"Serv.Prest. 06/10/2025 a 12/10/2025 - PIX: CPF - CHAVE: 159.443.306-27"</f>
        <v>Serv.Prest. 06/10/2025 a 12/10/2025 - PIX: CPF - CHAVE: 159.443.306-27</v>
      </c>
      <c r="I7459" t="str">
        <f t="shared" si="1368"/>
        <v>24/10/2025</v>
      </c>
      <c r="J7459" t="str">
        <f t="shared" si="1372"/>
        <v>14/10/2025</v>
      </c>
      <c r="K7459" t="str">
        <f>("24/10/2025")</f>
        <v>24/10/2025</v>
      </c>
      <c r="L7459">
        <v>701.6</v>
      </c>
      <c r="M7459">
        <v>701.6</v>
      </c>
      <c r="N7459">
        <v>109</v>
      </c>
      <c r="O7459" t="str">
        <f>"PAGAMENTO DE ENTREGADORES"</f>
        <v>PAGAMENTO DE ENTREGADORES</v>
      </c>
      <c r="P7459">
        <v>701.6</v>
      </c>
      <c r="S7459" t="str">
        <f>"BANCO C6 (149)"</f>
        <v>BANCO C6 (149)</v>
      </c>
      <c r="T7459">
        <v>20201</v>
      </c>
      <c r="U7459">
        <v>23691</v>
      </c>
      <c r="V7459" t="s">
        <v>77</v>
      </c>
    </row>
    <row r="7460" spans="1:22">
      <c r="A7460" t="str">
        <f t="shared" si="1369"/>
        <v>24/10/2025</v>
      </c>
      <c r="B7460" t="str">
        <f t="shared" si="1366"/>
        <v>SAÍDA</v>
      </c>
      <c r="C7460" t="str">
        <f t="shared" si="1367"/>
        <v>PIX</v>
      </c>
      <c r="D7460" t="str">
        <f>"23691"</f>
        <v>23691</v>
      </c>
      <c r="E7460" t="str">
        <f t="shared" si="1371"/>
        <v>1</v>
      </c>
      <c r="F7460" t="str">
        <f t="shared" si="1370"/>
        <v>COM</v>
      </c>
      <c r="G7460" t="str">
        <f>"LUIZ PAULO LOUREIRO PRADO (475)"</f>
        <v>LUIZ PAULO LOUREIRO PRADO (475)</v>
      </c>
      <c r="H7460" t="s">
        <v>1856</v>
      </c>
      <c r="I7460" t="str">
        <f t="shared" si="1368"/>
        <v>24/10/2025</v>
      </c>
      <c r="J7460" t="str">
        <f t="shared" si="1372"/>
        <v>14/10/2025</v>
      </c>
      <c r="K7460">
        <v>45954</v>
      </c>
      <c r="N7460">
        <v>109</v>
      </c>
      <c r="O7460" t="s">
        <v>24</v>
      </c>
      <c r="Q7460">
        <v>701.6</v>
      </c>
      <c r="R7460" t="str">
        <f>"FARMÁCIA INDIANA LJ 121 (10054)"</f>
        <v>FARMÁCIA INDIANA LJ 121 (10054)</v>
      </c>
      <c r="S7460" t="s">
        <v>77</v>
      </c>
      <c r="T7460">
        <v>20201</v>
      </c>
      <c r="U7460">
        <v>23691</v>
      </c>
      <c r="V7460" t="s">
        <v>77</v>
      </c>
    </row>
    <row r="7461" spans="1:22">
      <c r="A7461" t="str">
        <f t="shared" si="1369"/>
        <v>24/10/2025</v>
      </c>
      <c r="B7461" t="str">
        <f t="shared" si="1366"/>
        <v>SAÍDA</v>
      </c>
      <c r="C7461" t="str">
        <f t="shared" si="1367"/>
        <v>PIX</v>
      </c>
      <c r="D7461" t="str">
        <f>"23693"</f>
        <v>23693</v>
      </c>
      <c r="E7461" t="str">
        <f t="shared" si="1371"/>
        <v>1</v>
      </c>
      <c r="F7461" t="str">
        <f t="shared" si="1370"/>
        <v>COM</v>
      </c>
      <c r="G7461" t="str">
        <f>"MARCIO CLAUDIO DE ARAUJO (204)"</f>
        <v>MARCIO CLAUDIO DE ARAUJO (204)</v>
      </c>
      <c r="H7461" t="str">
        <f>"Serv.Prest. 06/10/2025 a 12/10/2025 - PIX: CELULAR - CHAVE: (33) 98427-3872"</f>
        <v>Serv.Prest. 06/10/2025 a 12/10/2025 - PIX: CELULAR - CHAVE: (33) 98427-3872</v>
      </c>
      <c r="I7461" t="str">
        <f t="shared" si="1368"/>
        <v>24/10/2025</v>
      </c>
      <c r="J7461" t="str">
        <f t="shared" si="1372"/>
        <v>14/10/2025</v>
      </c>
      <c r="K7461" t="str">
        <f>("24/10/2025")</f>
        <v>24/10/2025</v>
      </c>
      <c r="L7461">
        <v>918</v>
      </c>
      <c r="M7461">
        <v>918</v>
      </c>
      <c r="N7461">
        <v>109</v>
      </c>
      <c r="O7461" t="str">
        <f>"PAGAMENTO DE ENTREGADORES"</f>
        <v>PAGAMENTO DE ENTREGADORES</v>
      </c>
      <c r="P7461">
        <v>918</v>
      </c>
      <c r="S7461" t="str">
        <f>"BANCO C6 (149)"</f>
        <v>BANCO C6 (149)</v>
      </c>
      <c r="T7461">
        <v>20202</v>
      </c>
      <c r="U7461">
        <v>23693</v>
      </c>
      <c r="V7461" t="s">
        <v>77</v>
      </c>
    </row>
    <row r="7462" spans="1:22">
      <c r="A7462" t="str">
        <f t="shared" si="1369"/>
        <v>24/10/2025</v>
      </c>
      <c r="B7462" t="str">
        <f t="shared" si="1366"/>
        <v>SAÍDA</v>
      </c>
      <c r="C7462" t="str">
        <f t="shared" si="1367"/>
        <v>PIX</v>
      </c>
      <c r="D7462" t="str">
        <f>"23693"</f>
        <v>23693</v>
      </c>
      <c r="E7462" t="str">
        <f t="shared" si="1371"/>
        <v>1</v>
      </c>
      <c r="F7462" t="str">
        <f t="shared" si="1370"/>
        <v>COM</v>
      </c>
      <c r="G7462" t="str">
        <f>"MARCIO CLAUDIO DE ARAUJO (204)"</f>
        <v>MARCIO CLAUDIO DE ARAUJO (204)</v>
      </c>
      <c r="H7462" t="s">
        <v>2058</v>
      </c>
      <c r="I7462" t="str">
        <f t="shared" si="1368"/>
        <v>24/10/2025</v>
      </c>
      <c r="J7462" t="str">
        <f t="shared" si="1372"/>
        <v>14/10/2025</v>
      </c>
      <c r="K7462">
        <v>45954</v>
      </c>
      <c r="N7462">
        <v>109</v>
      </c>
      <c r="O7462" t="s">
        <v>24</v>
      </c>
      <c r="Q7462">
        <v>918</v>
      </c>
      <c r="R7462" t="str">
        <f>"FARMÁCIA INDIANA LJ 06 (10006)"</f>
        <v>FARMÁCIA INDIANA LJ 06 (10006)</v>
      </c>
      <c r="S7462" t="s">
        <v>77</v>
      </c>
      <c r="T7462">
        <v>20202</v>
      </c>
      <c r="U7462">
        <v>23693</v>
      </c>
      <c r="V7462" t="s">
        <v>77</v>
      </c>
    </row>
    <row r="7463" spans="1:22">
      <c r="A7463" t="str">
        <f t="shared" si="1369"/>
        <v>24/10/2025</v>
      </c>
      <c r="B7463" t="str">
        <f t="shared" si="1366"/>
        <v>SAÍDA</v>
      </c>
      <c r="C7463" t="str">
        <f t="shared" si="1367"/>
        <v>PIX</v>
      </c>
      <c r="D7463" t="str">
        <f>"23694"</f>
        <v>23694</v>
      </c>
      <c r="E7463" t="str">
        <f t="shared" si="1371"/>
        <v>1</v>
      </c>
      <c r="F7463" t="str">
        <f t="shared" si="1370"/>
        <v>COM</v>
      </c>
      <c r="G7463" t="str">
        <f>"MARCOS DIONI RODRIGUES GASPAR (506)"</f>
        <v>MARCOS DIONI RODRIGUES GASPAR (506)</v>
      </c>
      <c r="H7463" t="str">
        <f>"Serv.Prest. 06/10/2025 a 12/10/2025 - PIX: CELULAR - CHAVE: (33) 99815-2379"</f>
        <v>Serv.Prest. 06/10/2025 a 12/10/2025 - PIX: CELULAR - CHAVE: (33) 99815-2379</v>
      </c>
      <c r="I7463" t="str">
        <f t="shared" si="1368"/>
        <v>24/10/2025</v>
      </c>
      <c r="J7463" t="str">
        <f t="shared" si="1372"/>
        <v>14/10/2025</v>
      </c>
      <c r="K7463" t="str">
        <f>("24/10/2025")</f>
        <v>24/10/2025</v>
      </c>
      <c r="L7463">
        <v>1080</v>
      </c>
      <c r="M7463">
        <v>1080</v>
      </c>
      <c r="N7463">
        <v>109</v>
      </c>
      <c r="O7463" t="str">
        <f>"PAGAMENTO DE ENTREGADORES"</f>
        <v>PAGAMENTO DE ENTREGADORES</v>
      </c>
      <c r="P7463">
        <v>1080</v>
      </c>
      <c r="S7463" t="str">
        <f>"BANCO C6 (149)"</f>
        <v>BANCO C6 (149)</v>
      </c>
      <c r="T7463">
        <v>20203</v>
      </c>
      <c r="U7463">
        <v>23694</v>
      </c>
      <c r="V7463" t="s">
        <v>77</v>
      </c>
    </row>
    <row r="7464" spans="1:22">
      <c r="A7464" t="str">
        <f t="shared" si="1369"/>
        <v>24/10/2025</v>
      </c>
      <c r="B7464" t="str">
        <f t="shared" si="1366"/>
        <v>SAÍDA</v>
      </c>
      <c r="C7464" t="str">
        <f t="shared" si="1367"/>
        <v>PIX</v>
      </c>
      <c r="D7464" t="str">
        <f>"23694"</f>
        <v>23694</v>
      </c>
      <c r="E7464" t="str">
        <f t="shared" si="1371"/>
        <v>1</v>
      </c>
      <c r="F7464" t="str">
        <f t="shared" si="1370"/>
        <v>COM</v>
      </c>
      <c r="G7464" t="str">
        <f>"MARCOS DIONI RODRIGUES GASPAR (506)"</f>
        <v>MARCOS DIONI RODRIGUES GASPAR (506)</v>
      </c>
      <c r="H7464" t="s">
        <v>2059</v>
      </c>
      <c r="I7464" t="str">
        <f t="shared" si="1368"/>
        <v>24/10/2025</v>
      </c>
      <c r="J7464" t="str">
        <f t="shared" si="1372"/>
        <v>14/10/2025</v>
      </c>
      <c r="K7464">
        <v>45954</v>
      </c>
      <c r="N7464">
        <v>109</v>
      </c>
      <c r="O7464" t="s">
        <v>24</v>
      </c>
      <c r="Q7464">
        <v>1080</v>
      </c>
      <c r="R7464" t="str">
        <f>"FARMÁCIA INDIANA LJ 06 (10006)"</f>
        <v>FARMÁCIA INDIANA LJ 06 (10006)</v>
      </c>
      <c r="S7464" t="s">
        <v>77</v>
      </c>
      <c r="T7464">
        <v>20203</v>
      </c>
      <c r="U7464">
        <v>23694</v>
      </c>
      <c r="V7464" t="s">
        <v>77</v>
      </c>
    </row>
    <row r="7465" spans="1:22">
      <c r="A7465" t="str">
        <f t="shared" si="1369"/>
        <v>24/10/2025</v>
      </c>
      <c r="B7465" t="str">
        <f t="shared" si="1366"/>
        <v>SAÍDA</v>
      </c>
      <c r="C7465" t="str">
        <f t="shared" si="1367"/>
        <v>PIX</v>
      </c>
      <c r="D7465" t="str">
        <f>"23695"</f>
        <v>23695</v>
      </c>
      <c r="E7465" t="str">
        <f t="shared" si="1371"/>
        <v>1</v>
      </c>
      <c r="F7465" t="str">
        <f t="shared" si="1370"/>
        <v>COM</v>
      </c>
      <c r="G7465" t="str">
        <f>"MARCOS RODRIGUES PENA (64)"</f>
        <v>MARCOS RODRIGUES PENA (64)</v>
      </c>
      <c r="H7465" t="str">
        <f>"Serv.Prest. 06/10/2025 a 12/10/2025 - PIX: CELULAR - CHAVE: (33) 99194-2339"</f>
        <v>Serv.Prest. 06/10/2025 a 12/10/2025 - PIX: CELULAR - CHAVE: (33) 99194-2339</v>
      </c>
      <c r="I7465" t="str">
        <f t="shared" si="1368"/>
        <v>24/10/2025</v>
      </c>
      <c r="J7465" t="str">
        <f t="shared" si="1372"/>
        <v>14/10/2025</v>
      </c>
      <c r="K7465" t="str">
        <f>("24/10/2025")</f>
        <v>24/10/2025</v>
      </c>
      <c r="L7465">
        <v>756.5</v>
      </c>
      <c r="M7465">
        <v>756.5</v>
      </c>
      <c r="N7465">
        <v>109</v>
      </c>
      <c r="O7465" t="str">
        <f>"PAGAMENTO DE ENTREGADORES"</f>
        <v>PAGAMENTO DE ENTREGADORES</v>
      </c>
      <c r="P7465">
        <v>756.5</v>
      </c>
      <c r="S7465" t="str">
        <f>"BANCO C6 (149)"</f>
        <v>BANCO C6 (149)</v>
      </c>
      <c r="T7465">
        <v>20204</v>
      </c>
      <c r="U7465">
        <v>23695</v>
      </c>
      <c r="V7465" t="s">
        <v>77</v>
      </c>
    </row>
    <row r="7466" spans="1:22">
      <c r="A7466" t="str">
        <f t="shared" si="1369"/>
        <v>24/10/2025</v>
      </c>
      <c r="B7466" t="str">
        <f t="shared" si="1366"/>
        <v>SAÍDA</v>
      </c>
      <c r="C7466" t="str">
        <f t="shared" si="1367"/>
        <v>PIX</v>
      </c>
      <c r="D7466" t="str">
        <f>"23695"</f>
        <v>23695</v>
      </c>
      <c r="E7466" t="str">
        <f t="shared" si="1371"/>
        <v>1</v>
      </c>
      <c r="F7466" t="str">
        <f t="shared" si="1370"/>
        <v>COM</v>
      </c>
      <c r="G7466" t="str">
        <f>"MARCOS RODRIGUES PENA (64)"</f>
        <v>MARCOS RODRIGUES PENA (64)</v>
      </c>
      <c r="H7466" t="s">
        <v>1818</v>
      </c>
      <c r="I7466" t="str">
        <f t="shared" si="1368"/>
        <v>24/10/2025</v>
      </c>
      <c r="J7466" t="str">
        <f t="shared" si="1372"/>
        <v>14/10/2025</v>
      </c>
      <c r="K7466">
        <v>45954</v>
      </c>
      <c r="N7466">
        <v>109</v>
      </c>
      <c r="O7466" t="s">
        <v>24</v>
      </c>
      <c r="Q7466">
        <v>756.5</v>
      </c>
      <c r="R7466" t="str">
        <f>"FARMÁCIA INDIANA LJ 62 (10028)"</f>
        <v>FARMÁCIA INDIANA LJ 62 (10028)</v>
      </c>
      <c r="S7466" t="s">
        <v>77</v>
      </c>
      <c r="T7466">
        <v>20204</v>
      </c>
      <c r="U7466">
        <v>23695</v>
      </c>
      <c r="V7466" t="s">
        <v>77</v>
      </c>
    </row>
    <row r="7467" spans="1:22">
      <c r="A7467" t="str">
        <f t="shared" si="1369"/>
        <v>24/10/2025</v>
      </c>
      <c r="B7467" t="str">
        <f t="shared" si="1366"/>
        <v>SAÍDA</v>
      </c>
      <c r="C7467" t="str">
        <f t="shared" si="1367"/>
        <v>PIX</v>
      </c>
      <c r="D7467" t="str">
        <f>"23696"</f>
        <v>23696</v>
      </c>
      <c r="E7467" t="str">
        <f t="shared" si="1371"/>
        <v>1</v>
      </c>
      <c r="F7467" t="str">
        <f t="shared" si="1370"/>
        <v>COM</v>
      </c>
      <c r="G7467" t="str">
        <f>"MATHEUS VIEIRA DA SILVA (886)"</f>
        <v>MATHEUS VIEIRA DA SILVA (886)</v>
      </c>
      <c r="H7467" t="str">
        <f>"Serv.Prest. 06/10/2025 a 12/10/2025 - PIX: E-MAIL - CHAVE: meamatheusvieira@gmail.com"</f>
        <v>Serv.Prest. 06/10/2025 a 12/10/2025 - PIX: E-MAIL - CHAVE: meamatheusvieira@gmail.com</v>
      </c>
      <c r="I7467" t="str">
        <f t="shared" si="1368"/>
        <v>24/10/2025</v>
      </c>
      <c r="J7467" t="str">
        <f t="shared" si="1372"/>
        <v>14/10/2025</v>
      </c>
      <c r="K7467" t="str">
        <f>("24/10/2025")</f>
        <v>24/10/2025</v>
      </c>
      <c r="L7467">
        <v>1248</v>
      </c>
      <c r="M7467">
        <v>1164</v>
      </c>
      <c r="N7467">
        <v>109</v>
      </c>
      <c r="O7467" t="str">
        <f>"PAGAMENTO DE ENTREGADORES"</f>
        <v>PAGAMENTO DE ENTREGADORES</v>
      </c>
      <c r="P7467">
        <v>1164</v>
      </c>
      <c r="S7467" t="str">
        <f>"BANCO C6 (149)"</f>
        <v>BANCO C6 (149)</v>
      </c>
      <c r="T7467">
        <v>20205</v>
      </c>
      <c r="U7467">
        <v>23696</v>
      </c>
      <c r="V7467" t="s">
        <v>77</v>
      </c>
    </row>
    <row r="7468" spans="1:22">
      <c r="A7468" t="str">
        <f t="shared" si="1369"/>
        <v>24/10/2025</v>
      </c>
      <c r="B7468" t="str">
        <f t="shared" ref="B7468:B7531" si="1373">"SAÍDA"</f>
        <v>SAÍDA</v>
      </c>
      <c r="C7468" t="str">
        <f t="shared" ref="C7468:C7531" si="1374">"PIX"</f>
        <v>PIX</v>
      </c>
      <c r="D7468" t="str">
        <f>"23696"</f>
        <v>23696</v>
      </c>
      <c r="E7468" t="str">
        <f t="shared" si="1371"/>
        <v>1</v>
      </c>
      <c r="F7468" t="str">
        <f t="shared" si="1370"/>
        <v>COM</v>
      </c>
      <c r="G7468" t="str">
        <f>"MATHEUS VIEIRA DA SILVA (886)"</f>
        <v>MATHEUS VIEIRA DA SILVA (886)</v>
      </c>
      <c r="H7468" t="s">
        <v>2060</v>
      </c>
      <c r="I7468" t="str">
        <f t="shared" ref="I7468:I7531" si="1375">("24/10/2025")</f>
        <v>24/10/2025</v>
      </c>
      <c r="J7468" t="str">
        <f t="shared" si="1372"/>
        <v>14/10/2025</v>
      </c>
      <c r="K7468">
        <v>45954</v>
      </c>
      <c r="N7468">
        <v>109</v>
      </c>
      <c r="O7468" t="s">
        <v>24</v>
      </c>
      <c r="Q7468">
        <v>1164</v>
      </c>
      <c r="R7468" t="str">
        <f>"FARMÁCIA INDIANA LJ 07 (10007)"</f>
        <v>FARMÁCIA INDIANA LJ 07 (10007)</v>
      </c>
      <c r="S7468" t="s">
        <v>77</v>
      </c>
      <c r="T7468">
        <v>20205</v>
      </c>
      <c r="U7468">
        <v>23696</v>
      </c>
      <c r="V7468" t="s">
        <v>77</v>
      </c>
    </row>
    <row r="7469" spans="1:22">
      <c r="A7469" t="str">
        <f t="shared" si="1369"/>
        <v>24/10/2025</v>
      </c>
      <c r="B7469" t="str">
        <f t="shared" si="1373"/>
        <v>SAÍDA</v>
      </c>
      <c r="C7469" t="str">
        <f t="shared" si="1374"/>
        <v>PIX</v>
      </c>
      <c r="D7469" t="str">
        <f>"23698"</f>
        <v>23698</v>
      </c>
      <c r="E7469" t="str">
        <f t="shared" si="1371"/>
        <v>1</v>
      </c>
      <c r="F7469" t="str">
        <f t="shared" si="1370"/>
        <v>COM</v>
      </c>
      <c r="G7469" t="str">
        <f>"MAURO AUGUSTO MACHADO DE ASSIS (767)"</f>
        <v>MAURO AUGUSTO MACHADO DE ASSIS (767)</v>
      </c>
      <c r="H7469" t="str">
        <f>"Serv.Prest. 06/10/2025 a 12/10/2025 - PIX: CPF - CHAVE: 163.330.766-27"</f>
        <v>Serv.Prest. 06/10/2025 a 12/10/2025 - PIX: CPF - CHAVE: 163.330.766-27</v>
      </c>
      <c r="I7469" t="str">
        <f t="shared" si="1375"/>
        <v>24/10/2025</v>
      </c>
      <c r="J7469" t="str">
        <f t="shared" si="1372"/>
        <v>14/10/2025</v>
      </c>
      <c r="K7469" t="str">
        <f>("24/10/2025")</f>
        <v>24/10/2025</v>
      </c>
      <c r="L7469">
        <v>1236</v>
      </c>
      <c r="M7469">
        <v>1236</v>
      </c>
      <c r="N7469">
        <v>109</v>
      </c>
      <c r="O7469" t="str">
        <f>"PAGAMENTO DE ENTREGADORES"</f>
        <v>PAGAMENTO DE ENTREGADORES</v>
      </c>
      <c r="P7469">
        <v>1236</v>
      </c>
      <c r="S7469" t="str">
        <f>"BANCO C6 (149)"</f>
        <v>BANCO C6 (149)</v>
      </c>
      <c r="T7469">
        <v>20206</v>
      </c>
      <c r="U7469">
        <v>23698</v>
      </c>
      <c r="V7469" t="s">
        <v>77</v>
      </c>
    </row>
    <row r="7470" spans="1:22">
      <c r="A7470" t="str">
        <f t="shared" si="1369"/>
        <v>24/10/2025</v>
      </c>
      <c r="B7470" t="str">
        <f t="shared" si="1373"/>
        <v>SAÍDA</v>
      </c>
      <c r="C7470" t="str">
        <f t="shared" si="1374"/>
        <v>PIX</v>
      </c>
      <c r="D7470" t="str">
        <f>"23698"</f>
        <v>23698</v>
      </c>
      <c r="E7470" t="str">
        <f t="shared" si="1371"/>
        <v>1</v>
      </c>
      <c r="F7470" t="str">
        <f t="shared" si="1370"/>
        <v>COM</v>
      </c>
      <c r="G7470" t="str">
        <f>"MAURO AUGUSTO MACHADO DE ASSIS (767)"</f>
        <v>MAURO AUGUSTO MACHADO DE ASSIS (767)</v>
      </c>
      <c r="H7470" t="s">
        <v>2061</v>
      </c>
      <c r="I7470" t="str">
        <f t="shared" si="1375"/>
        <v>24/10/2025</v>
      </c>
      <c r="J7470" t="str">
        <f t="shared" si="1372"/>
        <v>14/10/2025</v>
      </c>
      <c r="K7470">
        <v>45954</v>
      </c>
      <c r="N7470">
        <v>109</v>
      </c>
      <c r="O7470" t="s">
        <v>24</v>
      </c>
      <c r="Q7470">
        <v>606.01</v>
      </c>
      <c r="R7470" t="str">
        <f>"FARMÁCIA INDIANA LJ 11 (10008)"</f>
        <v>FARMÁCIA INDIANA LJ 11 (10008)</v>
      </c>
      <c r="S7470" t="s">
        <v>77</v>
      </c>
      <c r="T7470">
        <v>20206</v>
      </c>
      <c r="U7470">
        <v>23698</v>
      </c>
      <c r="V7470" t="s">
        <v>77</v>
      </c>
    </row>
    <row r="7471" spans="1:22">
      <c r="A7471" t="str">
        <f t="shared" si="1369"/>
        <v>24/10/2025</v>
      </c>
      <c r="B7471" t="str">
        <f t="shared" si="1373"/>
        <v>SAÍDA</v>
      </c>
      <c r="C7471" t="str">
        <f t="shared" si="1374"/>
        <v>PIX</v>
      </c>
      <c r="D7471" t="str">
        <f>"23698"</f>
        <v>23698</v>
      </c>
      <c r="E7471" t="str">
        <f t="shared" si="1371"/>
        <v>1</v>
      </c>
      <c r="F7471" t="str">
        <f t="shared" si="1370"/>
        <v>COM</v>
      </c>
      <c r="G7471" t="str">
        <f>"MAURO AUGUSTO MACHADO DE ASSIS (767)"</f>
        <v>MAURO AUGUSTO MACHADO DE ASSIS (767)</v>
      </c>
      <c r="H7471" t="s">
        <v>2061</v>
      </c>
      <c r="I7471" t="str">
        <f t="shared" si="1375"/>
        <v>24/10/2025</v>
      </c>
      <c r="J7471" t="str">
        <f t="shared" si="1372"/>
        <v>14/10/2025</v>
      </c>
      <c r="K7471">
        <v>45954</v>
      </c>
      <c r="N7471">
        <v>109</v>
      </c>
      <c r="O7471" t="s">
        <v>24</v>
      </c>
      <c r="Q7471">
        <v>629.99</v>
      </c>
      <c r="R7471" t="str">
        <f>"FARMÁCIA INDIANA LJ 172 (10161)"</f>
        <v>FARMÁCIA INDIANA LJ 172 (10161)</v>
      </c>
      <c r="S7471" t="s">
        <v>77</v>
      </c>
      <c r="T7471">
        <v>20206</v>
      </c>
      <c r="U7471">
        <v>23698</v>
      </c>
      <c r="V7471" t="s">
        <v>77</v>
      </c>
    </row>
    <row r="7472" spans="1:22">
      <c r="A7472" t="str">
        <f t="shared" si="1369"/>
        <v>24/10/2025</v>
      </c>
      <c r="B7472" t="str">
        <f t="shared" si="1373"/>
        <v>SAÍDA</v>
      </c>
      <c r="C7472" t="str">
        <f t="shared" si="1374"/>
        <v>PIX</v>
      </c>
      <c r="D7472" t="str">
        <f>"23699"</f>
        <v>23699</v>
      </c>
      <c r="E7472" t="str">
        <f t="shared" si="1371"/>
        <v>1</v>
      </c>
      <c r="F7472" t="str">
        <f t="shared" si="1370"/>
        <v>COM</v>
      </c>
      <c r="G7472" t="str">
        <f>"MAYCON GUILHERME DUARTE (541)"</f>
        <v>MAYCON GUILHERME DUARTE (541)</v>
      </c>
      <c r="H7472" t="str">
        <f>"Serv.Prest. 06/10/2025 a 12/10/2025 - PIX: CELULAR - CHAVE: (31) 99076-6539"</f>
        <v>Serv.Prest. 06/10/2025 a 12/10/2025 - PIX: CELULAR - CHAVE: (31) 99076-6539</v>
      </c>
      <c r="I7472" t="str">
        <f t="shared" si="1375"/>
        <v>24/10/2025</v>
      </c>
      <c r="J7472" t="str">
        <f t="shared" si="1372"/>
        <v>14/10/2025</v>
      </c>
      <c r="K7472" t="str">
        <f>("24/10/2025")</f>
        <v>24/10/2025</v>
      </c>
      <c r="L7472">
        <v>1206</v>
      </c>
      <c r="M7472">
        <v>1206</v>
      </c>
      <c r="N7472">
        <v>109</v>
      </c>
      <c r="O7472" t="str">
        <f>"PAGAMENTO DE ENTREGADORES"</f>
        <v>PAGAMENTO DE ENTREGADORES</v>
      </c>
      <c r="P7472">
        <v>1206</v>
      </c>
      <c r="S7472" t="str">
        <f>"BANCO C6 (149)"</f>
        <v>BANCO C6 (149)</v>
      </c>
      <c r="T7472">
        <v>20207</v>
      </c>
      <c r="U7472">
        <v>23699</v>
      </c>
      <c r="V7472" t="s">
        <v>77</v>
      </c>
    </row>
    <row r="7473" spans="1:22">
      <c r="A7473" t="str">
        <f t="shared" ref="A7473:A7536" si="1376">("24/10/2025")</f>
        <v>24/10/2025</v>
      </c>
      <c r="B7473" t="str">
        <f t="shared" si="1373"/>
        <v>SAÍDA</v>
      </c>
      <c r="C7473" t="str">
        <f t="shared" si="1374"/>
        <v>PIX</v>
      </c>
      <c r="D7473" t="str">
        <f>"23699"</f>
        <v>23699</v>
      </c>
      <c r="E7473" t="str">
        <f t="shared" si="1371"/>
        <v>1</v>
      </c>
      <c r="F7473" t="str">
        <f t="shared" ref="F7473:F7536" si="1377">"COM"</f>
        <v>COM</v>
      </c>
      <c r="G7473" t="str">
        <f>"MAYCON GUILHERME DUARTE (541)"</f>
        <v>MAYCON GUILHERME DUARTE (541)</v>
      </c>
      <c r="H7473" t="s">
        <v>2062</v>
      </c>
      <c r="I7473" t="str">
        <f t="shared" si="1375"/>
        <v>24/10/2025</v>
      </c>
      <c r="J7473" t="str">
        <f t="shared" si="1372"/>
        <v>14/10/2025</v>
      </c>
      <c r="K7473">
        <v>45954</v>
      </c>
      <c r="N7473">
        <v>109</v>
      </c>
      <c r="O7473" t="s">
        <v>24</v>
      </c>
      <c r="Q7473">
        <v>1206</v>
      </c>
      <c r="R7473" t="str">
        <f>"FARMÁCIA INDIANA LJ 220 (10092)"</f>
        <v>FARMÁCIA INDIANA LJ 220 (10092)</v>
      </c>
      <c r="S7473" t="s">
        <v>77</v>
      </c>
      <c r="T7473">
        <v>20207</v>
      </c>
      <c r="U7473">
        <v>23699</v>
      </c>
      <c r="V7473" t="s">
        <v>77</v>
      </c>
    </row>
    <row r="7474" spans="1:22">
      <c r="A7474" t="str">
        <f t="shared" si="1376"/>
        <v>24/10/2025</v>
      </c>
      <c r="B7474" t="str">
        <f t="shared" si="1373"/>
        <v>SAÍDA</v>
      </c>
      <c r="C7474" t="str">
        <f t="shared" si="1374"/>
        <v>PIX</v>
      </c>
      <c r="D7474" t="str">
        <f>"23700"</f>
        <v>23700</v>
      </c>
      <c r="E7474" t="str">
        <f t="shared" si="1371"/>
        <v>1</v>
      </c>
      <c r="F7474" t="str">
        <f t="shared" si="1377"/>
        <v>COM</v>
      </c>
      <c r="G7474" t="str">
        <f>"MIGUEL PESSOA RAMOS (68)"</f>
        <v>MIGUEL PESSOA RAMOS (68)</v>
      </c>
      <c r="H7474" t="str">
        <f>"Serv.Prest. 06/10/2025 a 12/10/2025 - PIX: CELULAR - CHAVE: (33) 99845-0493"</f>
        <v>Serv.Prest. 06/10/2025 a 12/10/2025 - PIX: CELULAR - CHAVE: (33) 99845-0493</v>
      </c>
      <c r="I7474" t="str">
        <f t="shared" si="1375"/>
        <v>24/10/2025</v>
      </c>
      <c r="J7474" t="str">
        <f t="shared" si="1372"/>
        <v>14/10/2025</v>
      </c>
      <c r="K7474" t="str">
        <f>("24/10/2025")</f>
        <v>24/10/2025</v>
      </c>
      <c r="L7474">
        <v>954</v>
      </c>
      <c r="M7474">
        <v>954</v>
      </c>
      <c r="N7474">
        <v>109</v>
      </c>
      <c r="O7474" t="str">
        <f>"PAGAMENTO DE ENTREGADORES"</f>
        <v>PAGAMENTO DE ENTREGADORES</v>
      </c>
      <c r="P7474">
        <v>954</v>
      </c>
      <c r="S7474" t="str">
        <f>"BANCO C6 (149)"</f>
        <v>BANCO C6 (149)</v>
      </c>
      <c r="T7474">
        <v>20208</v>
      </c>
      <c r="U7474">
        <v>23700</v>
      </c>
      <c r="V7474" t="s">
        <v>77</v>
      </c>
    </row>
    <row r="7475" spans="1:22">
      <c r="A7475" t="str">
        <f t="shared" si="1376"/>
        <v>24/10/2025</v>
      </c>
      <c r="B7475" t="str">
        <f t="shared" si="1373"/>
        <v>SAÍDA</v>
      </c>
      <c r="C7475" t="str">
        <f t="shared" si="1374"/>
        <v>PIX</v>
      </c>
      <c r="D7475" t="str">
        <f>"23700"</f>
        <v>23700</v>
      </c>
      <c r="E7475" t="str">
        <f t="shared" si="1371"/>
        <v>1</v>
      </c>
      <c r="F7475" t="str">
        <f t="shared" si="1377"/>
        <v>COM</v>
      </c>
      <c r="G7475" t="str">
        <f>"MIGUEL PESSOA RAMOS (68)"</f>
        <v>MIGUEL PESSOA RAMOS (68)</v>
      </c>
      <c r="H7475" t="s">
        <v>2063</v>
      </c>
      <c r="I7475" t="str">
        <f t="shared" si="1375"/>
        <v>24/10/2025</v>
      </c>
      <c r="J7475" t="str">
        <f t="shared" si="1372"/>
        <v>14/10/2025</v>
      </c>
      <c r="K7475">
        <v>45954</v>
      </c>
      <c r="N7475">
        <v>109</v>
      </c>
      <c r="O7475" t="s">
        <v>24</v>
      </c>
      <c r="Q7475">
        <v>954</v>
      </c>
      <c r="R7475" t="str">
        <f>"FARMÁCIA INDIANA LJ 07 (10007)"</f>
        <v>FARMÁCIA INDIANA LJ 07 (10007)</v>
      </c>
      <c r="S7475" t="s">
        <v>77</v>
      </c>
      <c r="T7475">
        <v>20208</v>
      </c>
      <c r="U7475">
        <v>23700</v>
      </c>
      <c r="V7475" t="s">
        <v>77</v>
      </c>
    </row>
    <row r="7476" spans="1:22">
      <c r="A7476" t="str">
        <f t="shared" si="1376"/>
        <v>24/10/2025</v>
      </c>
      <c r="B7476" t="str">
        <f t="shared" si="1373"/>
        <v>SAÍDA</v>
      </c>
      <c r="C7476" t="str">
        <f t="shared" si="1374"/>
        <v>PIX</v>
      </c>
      <c r="D7476" t="str">
        <f>"23701"</f>
        <v>23701</v>
      </c>
      <c r="E7476" t="str">
        <f t="shared" si="1371"/>
        <v>1</v>
      </c>
      <c r="F7476" t="str">
        <f t="shared" si="1377"/>
        <v>COM</v>
      </c>
      <c r="G7476" t="str">
        <f>"MURILO BARRETO AFONSO (30)"</f>
        <v>MURILO BARRETO AFONSO (30)</v>
      </c>
      <c r="H7476" t="str">
        <f>"Serv.Prest. 06/10/2025 a 12/10/2025 - PIX: CPF - CHAVE: 123.020.026-60"</f>
        <v>Serv.Prest. 06/10/2025 a 12/10/2025 - PIX: CPF - CHAVE: 123.020.026-60</v>
      </c>
      <c r="I7476" t="str">
        <f t="shared" si="1375"/>
        <v>24/10/2025</v>
      </c>
      <c r="J7476" t="str">
        <f t="shared" si="1372"/>
        <v>14/10/2025</v>
      </c>
      <c r="K7476" t="str">
        <f>("24/10/2025")</f>
        <v>24/10/2025</v>
      </c>
      <c r="L7476">
        <v>1464</v>
      </c>
      <c r="M7476">
        <v>1464</v>
      </c>
      <c r="N7476">
        <v>109</v>
      </c>
      <c r="O7476" t="str">
        <f>"PAGAMENTO DE ENTREGADORES"</f>
        <v>PAGAMENTO DE ENTREGADORES</v>
      </c>
      <c r="P7476">
        <v>1464</v>
      </c>
      <c r="S7476" t="str">
        <f>"BANCO C6 (149)"</f>
        <v>BANCO C6 (149)</v>
      </c>
      <c r="T7476">
        <v>20209</v>
      </c>
      <c r="U7476">
        <v>23701</v>
      </c>
      <c r="V7476" t="s">
        <v>77</v>
      </c>
    </row>
    <row r="7477" spans="1:22">
      <c r="A7477" t="str">
        <f t="shared" si="1376"/>
        <v>24/10/2025</v>
      </c>
      <c r="B7477" t="str">
        <f t="shared" si="1373"/>
        <v>SAÍDA</v>
      </c>
      <c r="C7477" t="str">
        <f t="shared" si="1374"/>
        <v>PIX</v>
      </c>
      <c r="D7477" t="str">
        <f>"23701"</f>
        <v>23701</v>
      </c>
      <c r="E7477" t="str">
        <f t="shared" si="1371"/>
        <v>1</v>
      </c>
      <c r="F7477" t="str">
        <f t="shared" si="1377"/>
        <v>COM</v>
      </c>
      <c r="G7477" t="str">
        <f>"MURILO BARRETO AFONSO (30)"</f>
        <v>MURILO BARRETO AFONSO (30)</v>
      </c>
      <c r="H7477" t="s">
        <v>2064</v>
      </c>
      <c r="I7477" t="str">
        <f t="shared" si="1375"/>
        <v>24/10/2025</v>
      </c>
      <c r="J7477" t="str">
        <f t="shared" si="1372"/>
        <v>14/10/2025</v>
      </c>
      <c r="K7477">
        <v>45954</v>
      </c>
      <c r="N7477">
        <v>109</v>
      </c>
      <c r="O7477" t="s">
        <v>24</v>
      </c>
      <c r="Q7477">
        <v>828.04</v>
      </c>
      <c r="R7477" t="str">
        <f>"FARMÁCIA INDIANA LJ 118 (10052)"</f>
        <v>FARMÁCIA INDIANA LJ 118 (10052)</v>
      </c>
      <c r="S7477" t="s">
        <v>77</v>
      </c>
      <c r="T7477">
        <v>20209</v>
      </c>
      <c r="U7477">
        <v>23701</v>
      </c>
      <c r="V7477" t="s">
        <v>77</v>
      </c>
    </row>
    <row r="7478" spans="1:22">
      <c r="A7478" t="str">
        <f t="shared" si="1376"/>
        <v>24/10/2025</v>
      </c>
      <c r="B7478" t="str">
        <f t="shared" si="1373"/>
        <v>SAÍDA</v>
      </c>
      <c r="C7478" t="str">
        <f t="shared" si="1374"/>
        <v>PIX</v>
      </c>
      <c r="D7478" t="str">
        <f>"23701"</f>
        <v>23701</v>
      </c>
      <c r="E7478" t="str">
        <f t="shared" si="1371"/>
        <v>1</v>
      </c>
      <c r="F7478" t="str">
        <f t="shared" si="1377"/>
        <v>COM</v>
      </c>
      <c r="G7478" t="str">
        <f>"MURILO BARRETO AFONSO (30)"</f>
        <v>MURILO BARRETO AFONSO (30)</v>
      </c>
      <c r="H7478" t="s">
        <v>2064</v>
      </c>
      <c r="I7478" t="str">
        <f t="shared" si="1375"/>
        <v>24/10/2025</v>
      </c>
      <c r="J7478" t="str">
        <f t="shared" si="1372"/>
        <v>14/10/2025</v>
      </c>
      <c r="K7478">
        <v>45954</v>
      </c>
      <c r="N7478">
        <v>109</v>
      </c>
      <c r="O7478" t="s">
        <v>24</v>
      </c>
      <c r="Q7478">
        <v>635.96</v>
      </c>
      <c r="R7478" t="str">
        <f>"FARMÁCIA INDIANA LJ 192 (10082)"</f>
        <v>FARMÁCIA INDIANA LJ 192 (10082)</v>
      </c>
      <c r="S7478" t="s">
        <v>77</v>
      </c>
      <c r="T7478">
        <v>20209</v>
      </c>
      <c r="U7478">
        <v>23701</v>
      </c>
      <c r="V7478" t="s">
        <v>77</v>
      </c>
    </row>
    <row r="7479" spans="1:22">
      <c r="A7479" t="str">
        <f t="shared" si="1376"/>
        <v>24/10/2025</v>
      </c>
      <c r="B7479" t="str">
        <f t="shared" si="1373"/>
        <v>SAÍDA</v>
      </c>
      <c r="C7479" t="str">
        <f t="shared" si="1374"/>
        <v>PIX</v>
      </c>
      <c r="D7479" t="str">
        <f>"23702"</f>
        <v>23702</v>
      </c>
      <c r="E7479" t="str">
        <f t="shared" si="1371"/>
        <v>1</v>
      </c>
      <c r="F7479" t="str">
        <f t="shared" si="1377"/>
        <v>COM</v>
      </c>
      <c r="G7479" t="str">
        <f>"NATÁLIA KAROLAINE GOMES BATISTA (936)"</f>
        <v>NATÁLIA KAROLAINE GOMES BATISTA (936)</v>
      </c>
      <c r="H7479" t="str">
        <f>"Serv.Prest. 06/10/2025 a 12/10/2025 - PIX: CELULAR - CHAVE: (33) 98817-9868"</f>
        <v>Serv.Prest. 06/10/2025 a 12/10/2025 - PIX: CELULAR - CHAVE: (33) 98817-9868</v>
      </c>
      <c r="I7479" t="str">
        <f t="shared" si="1375"/>
        <v>24/10/2025</v>
      </c>
      <c r="J7479" t="str">
        <f t="shared" si="1372"/>
        <v>14/10/2025</v>
      </c>
      <c r="K7479" t="str">
        <f>("24/10/2025")</f>
        <v>24/10/2025</v>
      </c>
      <c r="L7479">
        <v>798</v>
      </c>
      <c r="M7479">
        <v>798</v>
      </c>
      <c r="N7479">
        <v>109</v>
      </c>
      <c r="O7479" t="str">
        <f>"PAGAMENTO DE ENTREGADORES"</f>
        <v>PAGAMENTO DE ENTREGADORES</v>
      </c>
      <c r="P7479">
        <v>798</v>
      </c>
      <c r="S7479" t="str">
        <f>"BANCO C6 (149)"</f>
        <v>BANCO C6 (149)</v>
      </c>
      <c r="T7479">
        <v>20210</v>
      </c>
      <c r="U7479">
        <v>23702</v>
      </c>
      <c r="V7479" t="s">
        <v>77</v>
      </c>
    </row>
    <row r="7480" spans="1:22">
      <c r="A7480" t="str">
        <f t="shared" si="1376"/>
        <v>24/10/2025</v>
      </c>
      <c r="B7480" t="str">
        <f t="shared" si="1373"/>
        <v>SAÍDA</v>
      </c>
      <c r="C7480" t="str">
        <f t="shared" si="1374"/>
        <v>PIX</v>
      </c>
      <c r="D7480" t="str">
        <f>"23702"</f>
        <v>23702</v>
      </c>
      <c r="E7480" t="str">
        <f t="shared" si="1371"/>
        <v>1</v>
      </c>
      <c r="F7480" t="str">
        <f t="shared" si="1377"/>
        <v>COM</v>
      </c>
      <c r="G7480" t="str">
        <f>"NATÁLIA KAROLAINE GOMES BATISTA (936)"</f>
        <v>NATÁLIA KAROLAINE GOMES BATISTA (936)</v>
      </c>
      <c r="H7480" t="s">
        <v>2065</v>
      </c>
      <c r="I7480" t="str">
        <f t="shared" si="1375"/>
        <v>24/10/2025</v>
      </c>
      <c r="J7480" t="str">
        <f t="shared" si="1372"/>
        <v>14/10/2025</v>
      </c>
      <c r="K7480">
        <v>45954</v>
      </c>
      <c r="N7480">
        <v>109</v>
      </c>
      <c r="O7480" t="s">
        <v>24</v>
      </c>
      <c r="Q7480">
        <v>798</v>
      </c>
      <c r="R7480" t="str">
        <f>"FARMÁCIA INDIANA LJ 07 (10007)"</f>
        <v>FARMÁCIA INDIANA LJ 07 (10007)</v>
      </c>
      <c r="S7480" t="s">
        <v>77</v>
      </c>
      <c r="T7480">
        <v>20210</v>
      </c>
      <c r="U7480">
        <v>23702</v>
      </c>
      <c r="V7480" t="s">
        <v>77</v>
      </c>
    </row>
    <row r="7481" spans="1:22">
      <c r="A7481" t="str">
        <f t="shared" si="1376"/>
        <v>24/10/2025</v>
      </c>
      <c r="B7481" t="str">
        <f t="shared" si="1373"/>
        <v>SAÍDA</v>
      </c>
      <c r="C7481" t="str">
        <f t="shared" si="1374"/>
        <v>PIX</v>
      </c>
      <c r="D7481" t="str">
        <f>"23703"</f>
        <v>23703</v>
      </c>
      <c r="E7481" t="str">
        <f t="shared" si="1371"/>
        <v>1</v>
      </c>
      <c r="F7481" t="str">
        <f t="shared" si="1377"/>
        <v>COM</v>
      </c>
      <c r="G7481" t="str">
        <f>"NELSON DOS SANTOS RODRIGUES (37)"</f>
        <v>NELSON DOS SANTOS RODRIGUES (37)</v>
      </c>
      <c r="H7481" t="str">
        <f>"Serv.Prest. 06/10/2025 a 12/10/2025 - PIX: CPF - CHAVE: 108.680.396-59"</f>
        <v>Serv.Prest. 06/10/2025 a 12/10/2025 - PIX: CPF - CHAVE: 108.680.396-59</v>
      </c>
      <c r="I7481" t="str">
        <f t="shared" si="1375"/>
        <v>24/10/2025</v>
      </c>
      <c r="J7481" t="str">
        <f t="shared" si="1372"/>
        <v>14/10/2025</v>
      </c>
      <c r="K7481" t="str">
        <f>("24/10/2025")</f>
        <v>24/10/2025</v>
      </c>
      <c r="L7481">
        <v>1578</v>
      </c>
      <c r="M7481">
        <v>1578</v>
      </c>
      <c r="N7481">
        <v>109</v>
      </c>
      <c r="O7481" t="str">
        <f>"PAGAMENTO DE ENTREGADORES"</f>
        <v>PAGAMENTO DE ENTREGADORES</v>
      </c>
      <c r="P7481">
        <v>1578</v>
      </c>
      <c r="S7481" t="str">
        <f>"BANCO C6 (149)"</f>
        <v>BANCO C6 (149)</v>
      </c>
      <c r="T7481">
        <v>20211</v>
      </c>
      <c r="U7481">
        <v>23703</v>
      </c>
      <c r="V7481" t="s">
        <v>77</v>
      </c>
    </row>
    <row r="7482" spans="1:22">
      <c r="A7482" t="str">
        <f t="shared" si="1376"/>
        <v>24/10/2025</v>
      </c>
      <c r="B7482" t="str">
        <f t="shared" si="1373"/>
        <v>SAÍDA</v>
      </c>
      <c r="C7482" t="str">
        <f t="shared" si="1374"/>
        <v>PIX</v>
      </c>
      <c r="D7482" t="str">
        <f>"23703"</f>
        <v>23703</v>
      </c>
      <c r="E7482" t="str">
        <f t="shared" si="1371"/>
        <v>1</v>
      </c>
      <c r="F7482" t="str">
        <f t="shared" si="1377"/>
        <v>COM</v>
      </c>
      <c r="G7482" t="str">
        <f>"NELSON DOS SANTOS RODRIGUES (37)"</f>
        <v>NELSON DOS SANTOS RODRIGUES (37)</v>
      </c>
      <c r="H7482" t="s">
        <v>2066</v>
      </c>
      <c r="I7482" t="str">
        <f t="shared" si="1375"/>
        <v>24/10/2025</v>
      </c>
      <c r="J7482" t="str">
        <f t="shared" si="1372"/>
        <v>14/10/2025</v>
      </c>
      <c r="K7482">
        <v>45954</v>
      </c>
      <c r="N7482">
        <v>109</v>
      </c>
      <c r="O7482" t="s">
        <v>24</v>
      </c>
      <c r="Q7482">
        <v>1578</v>
      </c>
      <c r="R7482" t="str">
        <f>"FARMÁCIA INDIANA LJ 11 (10008)"</f>
        <v>FARMÁCIA INDIANA LJ 11 (10008)</v>
      </c>
      <c r="S7482" t="s">
        <v>77</v>
      </c>
      <c r="T7482">
        <v>20211</v>
      </c>
      <c r="U7482">
        <v>23703</v>
      </c>
      <c r="V7482" t="s">
        <v>77</v>
      </c>
    </row>
    <row r="7483" spans="1:22">
      <c r="A7483" t="str">
        <f t="shared" si="1376"/>
        <v>24/10/2025</v>
      </c>
      <c r="B7483" t="str">
        <f t="shared" si="1373"/>
        <v>SAÍDA</v>
      </c>
      <c r="C7483" t="str">
        <f t="shared" si="1374"/>
        <v>PIX</v>
      </c>
      <c r="D7483" t="str">
        <f>"23704"</f>
        <v>23704</v>
      </c>
      <c r="E7483" t="str">
        <f t="shared" si="1371"/>
        <v>1</v>
      </c>
      <c r="F7483" t="str">
        <f t="shared" si="1377"/>
        <v>COM</v>
      </c>
      <c r="G7483" t="str">
        <f>"NILTON RODRIGUES DE SOUZA (136)"</f>
        <v>NILTON RODRIGUES DE SOUZA (136)</v>
      </c>
      <c r="H7483" t="str">
        <f>"Serv.Prest. 06/10/2025 a 12/10/2025 - PIX: CPF - CHAVE: 037.974.316-78"</f>
        <v>Serv.Prest. 06/10/2025 a 12/10/2025 - PIX: CPF - CHAVE: 037.974.316-78</v>
      </c>
      <c r="I7483" t="str">
        <f t="shared" si="1375"/>
        <v>24/10/2025</v>
      </c>
      <c r="J7483" t="str">
        <f t="shared" si="1372"/>
        <v>14/10/2025</v>
      </c>
      <c r="K7483" t="str">
        <f>("24/10/2025")</f>
        <v>24/10/2025</v>
      </c>
      <c r="L7483">
        <v>990</v>
      </c>
      <c r="M7483">
        <v>990</v>
      </c>
      <c r="N7483">
        <v>109</v>
      </c>
      <c r="O7483" t="str">
        <f>"PAGAMENTO DE ENTREGADORES"</f>
        <v>PAGAMENTO DE ENTREGADORES</v>
      </c>
      <c r="P7483">
        <v>990</v>
      </c>
      <c r="S7483" t="str">
        <f>"BANCO C6 (149)"</f>
        <v>BANCO C6 (149)</v>
      </c>
      <c r="T7483">
        <v>20212</v>
      </c>
      <c r="U7483">
        <v>23704</v>
      </c>
      <c r="V7483" t="s">
        <v>77</v>
      </c>
    </row>
    <row r="7484" spans="1:22">
      <c r="A7484" t="str">
        <f t="shared" si="1376"/>
        <v>24/10/2025</v>
      </c>
      <c r="B7484" t="str">
        <f t="shared" si="1373"/>
        <v>SAÍDA</v>
      </c>
      <c r="C7484" t="str">
        <f t="shared" si="1374"/>
        <v>PIX</v>
      </c>
      <c r="D7484" t="str">
        <f>"23704"</f>
        <v>23704</v>
      </c>
      <c r="E7484" t="str">
        <f t="shared" ref="E7484:E7547" si="1378">"1"</f>
        <v>1</v>
      </c>
      <c r="F7484" t="str">
        <f t="shared" si="1377"/>
        <v>COM</v>
      </c>
      <c r="G7484" t="str">
        <f>"NILTON RODRIGUES DE SOUZA (136)"</f>
        <v>NILTON RODRIGUES DE SOUZA (136)</v>
      </c>
      <c r="H7484" t="s">
        <v>2067</v>
      </c>
      <c r="I7484" t="str">
        <f t="shared" si="1375"/>
        <v>24/10/2025</v>
      </c>
      <c r="J7484" t="str">
        <f t="shared" ref="J7484:J7547" si="1379">("14/10/2025")</f>
        <v>14/10/2025</v>
      </c>
      <c r="K7484">
        <v>45954</v>
      </c>
      <c r="N7484">
        <v>109</v>
      </c>
      <c r="O7484" t="s">
        <v>24</v>
      </c>
      <c r="Q7484">
        <v>773.98</v>
      </c>
      <c r="R7484" t="str">
        <f>"FARMÁCIA INDIANA LJ 18 (10011)"</f>
        <v>FARMÁCIA INDIANA LJ 18 (10011)</v>
      </c>
      <c r="S7484" t="s">
        <v>77</v>
      </c>
      <c r="T7484">
        <v>20212</v>
      </c>
      <c r="U7484">
        <v>23704</v>
      </c>
      <c r="V7484" t="s">
        <v>77</v>
      </c>
    </row>
    <row r="7485" spans="1:22">
      <c r="A7485" t="str">
        <f t="shared" si="1376"/>
        <v>24/10/2025</v>
      </c>
      <c r="B7485" t="str">
        <f t="shared" si="1373"/>
        <v>SAÍDA</v>
      </c>
      <c r="C7485" t="str">
        <f t="shared" si="1374"/>
        <v>PIX</v>
      </c>
      <c r="D7485" t="str">
        <f>"23704"</f>
        <v>23704</v>
      </c>
      <c r="E7485" t="str">
        <f t="shared" si="1378"/>
        <v>1</v>
      </c>
      <c r="F7485" t="str">
        <f t="shared" si="1377"/>
        <v>COM</v>
      </c>
      <c r="G7485" t="str">
        <f>"NILTON RODRIGUES DE SOUZA (136)"</f>
        <v>NILTON RODRIGUES DE SOUZA (136)</v>
      </c>
      <c r="H7485" t="s">
        <v>2067</v>
      </c>
      <c r="I7485" t="str">
        <f t="shared" si="1375"/>
        <v>24/10/2025</v>
      </c>
      <c r="J7485" t="str">
        <f t="shared" si="1379"/>
        <v>14/10/2025</v>
      </c>
      <c r="K7485">
        <v>45954</v>
      </c>
      <c r="N7485">
        <v>109</v>
      </c>
      <c r="O7485" t="s">
        <v>24</v>
      </c>
      <c r="Q7485">
        <v>216.02</v>
      </c>
      <c r="R7485" t="str">
        <f>"FARMÁCIA INDIANA LJ 19 (10012)"</f>
        <v>FARMÁCIA INDIANA LJ 19 (10012)</v>
      </c>
      <c r="S7485" t="s">
        <v>77</v>
      </c>
      <c r="T7485">
        <v>20212</v>
      </c>
      <c r="U7485">
        <v>23704</v>
      </c>
      <c r="V7485" t="s">
        <v>77</v>
      </c>
    </row>
    <row r="7486" spans="1:22">
      <c r="A7486" t="str">
        <f t="shared" si="1376"/>
        <v>24/10/2025</v>
      </c>
      <c r="B7486" t="str">
        <f t="shared" si="1373"/>
        <v>SAÍDA</v>
      </c>
      <c r="C7486" t="str">
        <f t="shared" si="1374"/>
        <v>PIX</v>
      </c>
      <c r="D7486" t="str">
        <f>"23705"</f>
        <v>23705</v>
      </c>
      <c r="E7486" t="str">
        <f t="shared" si="1378"/>
        <v>1</v>
      </c>
      <c r="F7486" t="str">
        <f t="shared" si="1377"/>
        <v>COM</v>
      </c>
      <c r="G7486" t="str">
        <f>"PATRICK DE SOUZA CORREA (92)"</f>
        <v>PATRICK DE SOUZA CORREA (92)</v>
      </c>
      <c r="H7486" t="str">
        <f>"Serv.Prest. 06/10/2025 a 12/10/2025 - PIX: CELULAR - CHAVE: (31) 99216-8711"</f>
        <v>Serv.Prest. 06/10/2025 a 12/10/2025 - PIX: CELULAR - CHAVE: (31) 99216-8711</v>
      </c>
      <c r="I7486" t="str">
        <f t="shared" si="1375"/>
        <v>24/10/2025</v>
      </c>
      <c r="J7486" t="str">
        <f t="shared" si="1379"/>
        <v>14/10/2025</v>
      </c>
      <c r="K7486" t="str">
        <f>("24/10/2025")</f>
        <v>24/10/2025</v>
      </c>
      <c r="L7486">
        <v>600</v>
      </c>
      <c r="M7486">
        <v>600</v>
      </c>
      <c r="N7486">
        <v>109</v>
      </c>
      <c r="O7486" t="str">
        <f>"PAGAMENTO DE ENTREGADORES"</f>
        <v>PAGAMENTO DE ENTREGADORES</v>
      </c>
      <c r="P7486">
        <v>600</v>
      </c>
      <c r="S7486" t="str">
        <f>"BANCO C6 (149)"</f>
        <v>BANCO C6 (149)</v>
      </c>
      <c r="T7486">
        <v>20213</v>
      </c>
      <c r="U7486">
        <v>23705</v>
      </c>
      <c r="V7486" t="s">
        <v>77</v>
      </c>
    </row>
    <row r="7487" spans="1:22">
      <c r="A7487" t="str">
        <f t="shared" si="1376"/>
        <v>24/10/2025</v>
      </c>
      <c r="B7487" t="str">
        <f t="shared" si="1373"/>
        <v>SAÍDA</v>
      </c>
      <c r="C7487" t="str">
        <f t="shared" si="1374"/>
        <v>PIX</v>
      </c>
      <c r="D7487" t="str">
        <f>"23705"</f>
        <v>23705</v>
      </c>
      <c r="E7487" t="str">
        <f t="shared" si="1378"/>
        <v>1</v>
      </c>
      <c r="F7487" t="str">
        <f t="shared" si="1377"/>
        <v>COM</v>
      </c>
      <c r="G7487" t="str">
        <f>"PATRICK DE SOUZA CORREA (92)"</f>
        <v>PATRICK DE SOUZA CORREA (92)</v>
      </c>
      <c r="H7487" t="s">
        <v>2068</v>
      </c>
      <c r="I7487" t="str">
        <f t="shared" si="1375"/>
        <v>24/10/2025</v>
      </c>
      <c r="J7487" t="str">
        <f t="shared" si="1379"/>
        <v>14/10/2025</v>
      </c>
      <c r="K7487">
        <v>45954</v>
      </c>
      <c r="N7487">
        <v>109</v>
      </c>
      <c r="O7487" t="s">
        <v>24</v>
      </c>
      <c r="Q7487">
        <v>450</v>
      </c>
      <c r="R7487" t="str">
        <f>"FARMÁCIA INDIANA LJ 184 (10080)"</f>
        <v>FARMÁCIA INDIANA LJ 184 (10080)</v>
      </c>
      <c r="S7487" t="s">
        <v>77</v>
      </c>
      <c r="T7487">
        <v>20213</v>
      </c>
      <c r="U7487">
        <v>23705</v>
      </c>
      <c r="V7487" t="s">
        <v>77</v>
      </c>
    </row>
    <row r="7488" spans="1:22">
      <c r="A7488" t="str">
        <f t="shared" si="1376"/>
        <v>24/10/2025</v>
      </c>
      <c r="B7488" t="str">
        <f t="shared" si="1373"/>
        <v>SAÍDA</v>
      </c>
      <c r="C7488" t="str">
        <f t="shared" si="1374"/>
        <v>PIX</v>
      </c>
      <c r="D7488" t="str">
        <f>"23705"</f>
        <v>23705</v>
      </c>
      <c r="E7488" t="str">
        <f t="shared" si="1378"/>
        <v>1</v>
      </c>
      <c r="F7488" t="str">
        <f t="shared" si="1377"/>
        <v>COM</v>
      </c>
      <c r="G7488" t="str">
        <f>"PATRICK DE SOUZA CORREA (92)"</f>
        <v>PATRICK DE SOUZA CORREA (92)</v>
      </c>
      <c r="H7488" t="s">
        <v>2068</v>
      </c>
      <c r="I7488" t="str">
        <f t="shared" si="1375"/>
        <v>24/10/2025</v>
      </c>
      <c r="J7488" t="str">
        <f t="shared" si="1379"/>
        <v>14/10/2025</v>
      </c>
      <c r="K7488">
        <v>45954</v>
      </c>
      <c r="N7488">
        <v>109</v>
      </c>
      <c r="O7488" t="s">
        <v>24</v>
      </c>
      <c r="Q7488">
        <v>150</v>
      </c>
      <c r="R7488" t="str">
        <f>"FARMÁCIA INDIANA LJ 195 (10083)"</f>
        <v>FARMÁCIA INDIANA LJ 195 (10083)</v>
      </c>
      <c r="S7488" t="s">
        <v>77</v>
      </c>
      <c r="T7488">
        <v>20213</v>
      </c>
      <c r="U7488">
        <v>23705</v>
      </c>
      <c r="V7488" t="s">
        <v>77</v>
      </c>
    </row>
    <row r="7489" spans="1:22">
      <c r="A7489" t="str">
        <f t="shared" si="1376"/>
        <v>24/10/2025</v>
      </c>
      <c r="B7489" t="str">
        <f t="shared" si="1373"/>
        <v>SAÍDA</v>
      </c>
      <c r="C7489" t="str">
        <f t="shared" si="1374"/>
        <v>PIX</v>
      </c>
      <c r="D7489" t="str">
        <f>"23706"</f>
        <v>23706</v>
      </c>
      <c r="E7489" t="str">
        <f t="shared" si="1378"/>
        <v>1</v>
      </c>
      <c r="F7489" t="str">
        <f t="shared" si="1377"/>
        <v>COM</v>
      </c>
      <c r="G7489" t="str">
        <f>"PAULO HENRIQUE OLIVEIRA SILVA (39)"</f>
        <v>PAULO HENRIQUE OLIVEIRA SILVA (39)</v>
      </c>
      <c r="H7489" t="str">
        <f>"Serv.Prest. 06/10/2025 a 12/10/2025 - PIX: CELULAR - CHAVE: (31) 97339-3761"</f>
        <v>Serv.Prest. 06/10/2025 a 12/10/2025 - PIX: CELULAR - CHAVE: (31) 97339-3761</v>
      </c>
      <c r="I7489" t="str">
        <f t="shared" si="1375"/>
        <v>24/10/2025</v>
      </c>
      <c r="J7489" t="str">
        <f t="shared" si="1379"/>
        <v>14/10/2025</v>
      </c>
      <c r="K7489" t="str">
        <f>("24/10/2025")</f>
        <v>24/10/2025</v>
      </c>
      <c r="L7489">
        <v>1596</v>
      </c>
      <c r="M7489">
        <v>1596</v>
      </c>
      <c r="N7489">
        <v>109</v>
      </c>
      <c r="O7489" t="str">
        <f>"PAGAMENTO DE ENTREGADORES"</f>
        <v>PAGAMENTO DE ENTREGADORES</v>
      </c>
      <c r="P7489">
        <v>1596</v>
      </c>
      <c r="S7489" t="str">
        <f>"BANCO C6 (149)"</f>
        <v>BANCO C6 (149)</v>
      </c>
      <c r="T7489">
        <v>20214</v>
      </c>
      <c r="U7489">
        <v>23706</v>
      </c>
      <c r="V7489" t="s">
        <v>77</v>
      </c>
    </row>
    <row r="7490" spans="1:22">
      <c r="A7490" t="str">
        <f t="shared" si="1376"/>
        <v>24/10/2025</v>
      </c>
      <c r="B7490" t="str">
        <f t="shared" si="1373"/>
        <v>SAÍDA</v>
      </c>
      <c r="C7490" t="str">
        <f t="shared" si="1374"/>
        <v>PIX</v>
      </c>
      <c r="D7490" t="str">
        <f>"23706"</f>
        <v>23706</v>
      </c>
      <c r="E7490" t="str">
        <f t="shared" si="1378"/>
        <v>1</v>
      </c>
      <c r="F7490" t="str">
        <f t="shared" si="1377"/>
        <v>COM</v>
      </c>
      <c r="G7490" t="str">
        <f>"PAULO HENRIQUE OLIVEIRA SILVA (39)"</f>
        <v>PAULO HENRIQUE OLIVEIRA SILVA (39)</v>
      </c>
      <c r="H7490" t="s">
        <v>2069</v>
      </c>
      <c r="I7490" t="str">
        <f t="shared" si="1375"/>
        <v>24/10/2025</v>
      </c>
      <c r="J7490" t="str">
        <f t="shared" si="1379"/>
        <v>14/10/2025</v>
      </c>
      <c r="K7490">
        <v>45954</v>
      </c>
      <c r="N7490">
        <v>109</v>
      </c>
      <c r="O7490" t="s">
        <v>24</v>
      </c>
      <c r="Q7490">
        <v>1596</v>
      </c>
      <c r="R7490" t="str">
        <f>"FARMÁCIA INDIANA LJ 11 (10008)"</f>
        <v>FARMÁCIA INDIANA LJ 11 (10008)</v>
      </c>
      <c r="S7490" t="s">
        <v>77</v>
      </c>
      <c r="T7490">
        <v>20214</v>
      </c>
      <c r="U7490">
        <v>23706</v>
      </c>
      <c r="V7490" t="s">
        <v>77</v>
      </c>
    </row>
    <row r="7491" spans="1:22">
      <c r="A7491" t="str">
        <f t="shared" si="1376"/>
        <v>24/10/2025</v>
      </c>
      <c r="B7491" t="str">
        <f t="shared" si="1373"/>
        <v>SAÍDA</v>
      </c>
      <c r="C7491" t="str">
        <f t="shared" si="1374"/>
        <v>PIX</v>
      </c>
      <c r="D7491" t="str">
        <f>"23707"</f>
        <v>23707</v>
      </c>
      <c r="E7491" t="str">
        <f t="shared" si="1378"/>
        <v>1</v>
      </c>
      <c r="F7491" t="str">
        <f t="shared" si="1377"/>
        <v>COM</v>
      </c>
      <c r="G7491" t="str">
        <f>"PAULO MARCOS FARIA DE SOUZA L (233)"</f>
        <v>PAULO MARCOS FARIA DE SOUZA L (233)</v>
      </c>
      <c r="H7491" t="str">
        <f>"Serv.Prest. 06/10/2025 a 12/10/2025 - PIX: CELULAR - CHAVE: (35) 99264-4504"</f>
        <v>Serv.Prest. 06/10/2025 a 12/10/2025 - PIX: CELULAR - CHAVE: (35) 99264-4504</v>
      </c>
      <c r="I7491" t="str">
        <f t="shared" si="1375"/>
        <v>24/10/2025</v>
      </c>
      <c r="J7491" t="str">
        <f t="shared" si="1379"/>
        <v>14/10/2025</v>
      </c>
      <c r="K7491" t="str">
        <f>("24/10/2025")</f>
        <v>24/10/2025</v>
      </c>
      <c r="L7491">
        <v>500</v>
      </c>
      <c r="M7491">
        <v>500</v>
      </c>
      <c r="N7491">
        <v>109</v>
      </c>
      <c r="O7491" t="str">
        <f>"PAGAMENTO DE ENTREGADORES"</f>
        <v>PAGAMENTO DE ENTREGADORES</v>
      </c>
      <c r="P7491">
        <v>500</v>
      </c>
      <c r="S7491" t="str">
        <f>"BANCO C6 (149)"</f>
        <v>BANCO C6 (149)</v>
      </c>
      <c r="T7491">
        <v>20215</v>
      </c>
      <c r="U7491">
        <v>23707</v>
      </c>
      <c r="V7491" t="s">
        <v>77</v>
      </c>
    </row>
    <row r="7492" spans="1:22">
      <c r="A7492" t="str">
        <f t="shared" si="1376"/>
        <v>24/10/2025</v>
      </c>
      <c r="B7492" t="str">
        <f t="shared" si="1373"/>
        <v>SAÍDA</v>
      </c>
      <c r="C7492" t="str">
        <f t="shared" si="1374"/>
        <v>PIX</v>
      </c>
      <c r="D7492" t="str">
        <f>"23707"</f>
        <v>23707</v>
      </c>
      <c r="E7492" t="str">
        <f t="shared" si="1378"/>
        <v>1</v>
      </c>
      <c r="F7492" t="str">
        <f t="shared" si="1377"/>
        <v>COM</v>
      </c>
      <c r="G7492" t="str">
        <f>"PAULO MARCOS FARIA DE SOUZA L (233)"</f>
        <v>PAULO MARCOS FARIA DE SOUZA L (233)</v>
      </c>
      <c r="H7492" t="s">
        <v>2070</v>
      </c>
      <c r="I7492" t="str">
        <f t="shared" si="1375"/>
        <v>24/10/2025</v>
      </c>
      <c r="J7492" t="str">
        <f t="shared" si="1379"/>
        <v>14/10/2025</v>
      </c>
      <c r="K7492">
        <v>45954</v>
      </c>
      <c r="N7492">
        <v>109</v>
      </c>
      <c r="O7492" t="s">
        <v>24</v>
      </c>
      <c r="Q7492">
        <v>500</v>
      </c>
      <c r="R7492" t="str">
        <f>"FARMÁCIA INDIANA LJ 64 (10029)"</f>
        <v>FARMÁCIA INDIANA LJ 64 (10029)</v>
      </c>
      <c r="S7492" t="s">
        <v>77</v>
      </c>
      <c r="T7492">
        <v>20215</v>
      </c>
      <c r="U7492">
        <v>23707</v>
      </c>
      <c r="V7492" t="s">
        <v>77</v>
      </c>
    </row>
    <row r="7493" spans="1:22">
      <c r="A7493" t="str">
        <f t="shared" si="1376"/>
        <v>24/10/2025</v>
      </c>
      <c r="B7493" t="str">
        <f t="shared" si="1373"/>
        <v>SAÍDA</v>
      </c>
      <c r="C7493" t="str">
        <f t="shared" si="1374"/>
        <v>PIX</v>
      </c>
      <c r="D7493" t="str">
        <f>"23708"</f>
        <v>23708</v>
      </c>
      <c r="E7493" t="str">
        <f t="shared" si="1378"/>
        <v>1</v>
      </c>
      <c r="F7493" t="str">
        <f t="shared" si="1377"/>
        <v>COM</v>
      </c>
      <c r="G7493" t="str">
        <f>"PEDRO HENRIQUE DA SILVA COSTA OLIVEIRA (852)"</f>
        <v>PEDRO HENRIQUE DA SILVA COSTA OLIVEIRA (852)</v>
      </c>
      <c r="H7493" t="str">
        <f>"Serv.Prest. 06/10/2025 a 12/10/2025 - PIX: E-MAIL - CHAVE: sypedrinho@gmail.com"</f>
        <v>Serv.Prest. 06/10/2025 a 12/10/2025 - PIX: E-MAIL - CHAVE: sypedrinho@gmail.com</v>
      </c>
      <c r="I7493" t="str">
        <f t="shared" si="1375"/>
        <v>24/10/2025</v>
      </c>
      <c r="J7493" t="str">
        <f t="shared" si="1379"/>
        <v>14/10/2025</v>
      </c>
      <c r="K7493" t="str">
        <f>("24/10/2025")</f>
        <v>24/10/2025</v>
      </c>
      <c r="L7493">
        <v>602</v>
      </c>
      <c r="M7493">
        <v>602</v>
      </c>
      <c r="N7493">
        <v>109</v>
      </c>
      <c r="O7493" t="str">
        <f>"PAGAMENTO DE ENTREGADORES"</f>
        <v>PAGAMENTO DE ENTREGADORES</v>
      </c>
      <c r="P7493">
        <v>602</v>
      </c>
      <c r="S7493" t="str">
        <f>"BANCO C6 (149)"</f>
        <v>BANCO C6 (149)</v>
      </c>
      <c r="T7493">
        <v>20216</v>
      </c>
      <c r="U7493">
        <v>23708</v>
      </c>
      <c r="V7493" t="s">
        <v>77</v>
      </c>
    </row>
    <row r="7494" spans="1:22">
      <c r="A7494" t="str">
        <f t="shared" si="1376"/>
        <v>24/10/2025</v>
      </c>
      <c r="B7494" t="str">
        <f t="shared" si="1373"/>
        <v>SAÍDA</v>
      </c>
      <c r="C7494" t="str">
        <f t="shared" si="1374"/>
        <v>PIX</v>
      </c>
      <c r="D7494" t="str">
        <f>"23708"</f>
        <v>23708</v>
      </c>
      <c r="E7494" t="str">
        <f t="shared" si="1378"/>
        <v>1</v>
      </c>
      <c r="F7494" t="str">
        <f t="shared" si="1377"/>
        <v>COM</v>
      </c>
      <c r="G7494" t="str">
        <f>"PEDRO HENRIQUE DA SILVA COSTA OLIVEIRA (852)"</f>
        <v>PEDRO HENRIQUE DA SILVA COSTA OLIVEIRA (852)</v>
      </c>
      <c r="H7494" t="s">
        <v>1628</v>
      </c>
      <c r="I7494" t="str">
        <f t="shared" si="1375"/>
        <v>24/10/2025</v>
      </c>
      <c r="J7494" t="str">
        <f t="shared" si="1379"/>
        <v>14/10/2025</v>
      </c>
      <c r="K7494">
        <v>45954</v>
      </c>
      <c r="N7494">
        <v>109</v>
      </c>
      <c r="O7494" t="s">
        <v>24</v>
      </c>
      <c r="Q7494">
        <v>602</v>
      </c>
      <c r="R7494" t="str">
        <f>"FARMÁCIA INDIANA LJ 110 (10048)"</f>
        <v>FARMÁCIA INDIANA LJ 110 (10048)</v>
      </c>
      <c r="S7494" t="s">
        <v>77</v>
      </c>
      <c r="T7494">
        <v>20216</v>
      </c>
      <c r="U7494">
        <v>23708</v>
      </c>
      <c r="V7494" t="s">
        <v>77</v>
      </c>
    </row>
    <row r="7495" spans="1:22">
      <c r="A7495" t="str">
        <f t="shared" si="1376"/>
        <v>24/10/2025</v>
      </c>
      <c r="B7495" t="str">
        <f t="shared" si="1373"/>
        <v>SAÍDA</v>
      </c>
      <c r="C7495" t="str">
        <f t="shared" si="1374"/>
        <v>PIX</v>
      </c>
      <c r="D7495" t="str">
        <f>"23710"</f>
        <v>23710</v>
      </c>
      <c r="E7495" t="str">
        <f t="shared" si="1378"/>
        <v>1</v>
      </c>
      <c r="F7495" t="str">
        <f t="shared" si="1377"/>
        <v>COM</v>
      </c>
      <c r="G7495" t="str">
        <f>"RAISSON VITOR MENDES DE ABREU (705)"</f>
        <v>RAISSON VITOR MENDES DE ABREU (705)</v>
      </c>
      <c r="H7495" t="str">
        <f>"Serv.Prest. 06/10/2025 a 12/10/2025 - PIX: CELULAR - CHAVE: (31) 99959-5414"</f>
        <v>Serv.Prest. 06/10/2025 a 12/10/2025 - PIX: CELULAR - CHAVE: (31) 99959-5414</v>
      </c>
      <c r="I7495" t="str">
        <f t="shared" si="1375"/>
        <v>24/10/2025</v>
      </c>
      <c r="J7495" t="str">
        <f t="shared" si="1379"/>
        <v>14/10/2025</v>
      </c>
      <c r="K7495" t="str">
        <f>("24/10/2025")</f>
        <v>24/10/2025</v>
      </c>
      <c r="L7495">
        <v>800</v>
      </c>
      <c r="M7495">
        <v>800</v>
      </c>
      <c r="N7495">
        <v>109</v>
      </c>
      <c r="O7495" t="str">
        <f>"PAGAMENTO DE ENTREGADORES"</f>
        <v>PAGAMENTO DE ENTREGADORES</v>
      </c>
      <c r="P7495">
        <v>800</v>
      </c>
      <c r="S7495" t="str">
        <f>"BANCO C6 (149)"</f>
        <v>BANCO C6 (149)</v>
      </c>
      <c r="T7495">
        <v>20217</v>
      </c>
      <c r="U7495">
        <v>23710</v>
      </c>
      <c r="V7495" t="s">
        <v>77</v>
      </c>
    </row>
    <row r="7496" spans="1:22">
      <c r="A7496" t="str">
        <f t="shared" si="1376"/>
        <v>24/10/2025</v>
      </c>
      <c r="B7496" t="str">
        <f t="shared" si="1373"/>
        <v>SAÍDA</v>
      </c>
      <c r="C7496" t="str">
        <f t="shared" si="1374"/>
        <v>PIX</v>
      </c>
      <c r="D7496" t="str">
        <f>"23710"</f>
        <v>23710</v>
      </c>
      <c r="E7496" t="str">
        <f t="shared" si="1378"/>
        <v>1</v>
      </c>
      <c r="F7496" t="str">
        <f t="shared" si="1377"/>
        <v>COM</v>
      </c>
      <c r="G7496" t="str">
        <f>"RAISSON VITOR MENDES DE ABREU (705)"</f>
        <v>RAISSON VITOR MENDES DE ABREU (705)</v>
      </c>
      <c r="H7496" t="s">
        <v>2071</v>
      </c>
      <c r="I7496" t="str">
        <f t="shared" si="1375"/>
        <v>24/10/2025</v>
      </c>
      <c r="J7496" t="str">
        <f t="shared" si="1379"/>
        <v>14/10/2025</v>
      </c>
      <c r="K7496">
        <v>45954</v>
      </c>
      <c r="N7496">
        <v>109</v>
      </c>
      <c r="O7496" t="s">
        <v>24</v>
      </c>
      <c r="Q7496">
        <v>800</v>
      </c>
      <c r="R7496" t="str">
        <f>"FARMÁCIA INDIANA LJ 178 (10077)"</f>
        <v>FARMÁCIA INDIANA LJ 178 (10077)</v>
      </c>
      <c r="S7496" t="s">
        <v>77</v>
      </c>
      <c r="T7496">
        <v>20217</v>
      </c>
      <c r="U7496">
        <v>23710</v>
      </c>
      <c r="V7496" t="s">
        <v>77</v>
      </c>
    </row>
    <row r="7497" spans="1:22">
      <c r="A7497" t="str">
        <f t="shared" si="1376"/>
        <v>24/10/2025</v>
      </c>
      <c r="B7497" t="str">
        <f t="shared" si="1373"/>
        <v>SAÍDA</v>
      </c>
      <c r="C7497" t="str">
        <f t="shared" si="1374"/>
        <v>PIX</v>
      </c>
      <c r="D7497" t="str">
        <f>"23711"</f>
        <v>23711</v>
      </c>
      <c r="E7497" t="str">
        <f t="shared" si="1378"/>
        <v>1</v>
      </c>
      <c r="F7497" t="str">
        <f t="shared" si="1377"/>
        <v>COM</v>
      </c>
      <c r="G7497" t="str">
        <f>"RENATO GEORGE GONÇALVES (191)"</f>
        <v>RENATO GEORGE GONÇALVES (191)</v>
      </c>
      <c r="H7497" t="str">
        <f>"Serv.Prest. 06/10/2025 a 12/10/2025 - PIX: CPF - CHAVE: 012.783.036-77"</f>
        <v>Serv.Prest. 06/10/2025 a 12/10/2025 - PIX: CPF - CHAVE: 012.783.036-77</v>
      </c>
      <c r="I7497" t="str">
        <f t="shared" si="1375"/>
        <v>24/10/2025</v>
      </c>
      <c r="J7497" t="str">
        <f t="shared" si="1379"/>
        <v>14/10/2025</v>
      </c>
      <c r="K7497" t="str">
        <f>("24/10/2025")</f>
        <v>24/10/2025</v>
      </c>
      <c r="L7497">
        <v>1080</v>
      </c>
      <c r="M7497">
        <v>1080</v>
      </c>
      <c r="N7497">
        <v>109</v>
      </c>
      <c r="O7497" t="str">
        <f>"PAGAMENTO DE ENTREGADORES"</f>
        <v>PAGAMENTO DE ENTREGADORES</v>
      </c>
      <c r="P7497">
        <v>1080</v>
      </c>
      <c r="S7497" t="str">
        <f>"BANCO C6 (149)"</f>
        <v>BANCO C6 (149)</v>
      </c>
      <c r="T7497">
        <v>20218</v>
      </c>
      <c r="U7497">
        <v>23711</v>
      </c>
      <c r="V7497" t="s">
        <v>77</v>
      </c>
    </row>
    <row r="7498" spans="1:22">
      <c r="A7498" t="str">
        <f t="shared" si="1376"/>
        <v>24/10/2025</v>
      </c>
      <c r="B7498" t="str">
        <f t="shared" si="1373"/>
        <v>SAÍDA</v>
      </c>
      <c r="C7498" t="str">
        <f t="shared" si="1374"/>
        <v>PIX</v>
      </c>
      <c r="D7498" t="str">
        <f>"23711"</f>
        <v>23711</v>
      </c>
      <c r="E7498" t="str">
        <f t="shared" si="1378"/>
        <v>1</v>
      </c>
      <c r="F7498" t="str">
        <f t="shared" si="1377"/>
        <v>COM</v>
      </c>
      <c r="G7498" t="str">
        <f>"RENATO GEORGE GONÇALVES (191)"</f>
        <v>RENATO GEORGE GONÇALVES (191)</v>
      </c>
      <c r="H7498" t="s">
        <v>2072</v>
      </c>
      <c r="I7498" t="str">
        <f t="shared" si="1375"/>
        <v>24/10/2025</v>
      </c>
      <c r="J7498" t="str">
        <f t="shared" si="1379"/>
        <v>14/10/2025</v>
      </c>
      <c r="K7498">
        <v>45954</v>
      </c>
      <c r="N7498">
        <v>109</v>
      </c>
      <c r="O7498" t="s">
        <v>24</v>
      </c>
      <c r="Q7498">
        <v>1080</v>
      </c>
      <c r="R7498" t="str">
        <f>"FARMÁCIA INDIANA LJ 06 (10006)"</f>
        <v>FARMÁCIA INDIANA LJ 06 (10006)</v>
      </c>
      <c r="S7498" t="s">
        <v>77</v>
      </c>
      <c r="T7498">
        <v>20218</v>
      </c>
      <c r="U7498">
        <v>23711</v>
      </c>
      <c r="V7498" t="s">
        <v>77</v>
      </c>
    </row>
    <row r="7499" spans="1:22">
      <c r="A7499" t="str">
        <f t="shared" si="1376"/>
        <v>24/10/2025</v>
      </c>
      <c r="B7499" t="str">
        <f t="shared" si="1373"/>
        <v>SAÍDA</v>
      </c>
      <c r="C7499" t="str">
        <f t="shared" si="1374"/>
        <v>PIX</v>
      </c>
      <c r="D7499" t="str">
        <f>"23712"</f>
        <v>23712</v>
      </c>
      <c r="E7499" t="str">
        <f t="shared" si="1378"/>
        <v>1</v>
      </c>
      <c r="F7499" t="str">
        <f t="shared" si="1377"/>
        <v>COM</v>
      </c>
      <c r="G7499" t="str">
        <f>"RICARDO NASCIMENTO DE SOUZA (146)"</f>
        <v>RICARDO NASCIMENTO DE SOUZA (146)</v>
      </c>
      <c r="H7499" t="str">
        <f>"Serv.Prest. 06/10/2025 a 12/10/2025 - PIX: CELULAR - CHAVE: (31) 98891-8440"</f>
        <v>Serv.Prest. 06/10/2025 a 12/10/2025 - PIX: CELULAR - CHAVE: (31) 98891-8440</v>
      </c>
      <c r="I7499" t="str">
        <f t="shared" si="1375"/>
        <v>24/10/2025</v>
      </c>
      <c r="J7499" t="str">
        <f t="shared" si="1379"/>
        <v>14/10/2025</v>
      </c>
      <c r="K7499" t="str">
        <f>("24/10/2025")</f>
        <v>24/10/2025</v>
      </c>
      <c r="L7499">
        <v>1116</v>
      </c>
      <c r="M7499">
        <v>1116</v>
      </c>
      <c r="N7499">
        <v>109</v>
      </c>
      <c r="O7499" t="str">
        <f>"PAGAMENTO DE ENTREGADORES"</f>
        <v>PAGAMENTO DE ENTREGADORES</v>
      </c>
      <c r="P7499">
        <v>1116</v>
      </c>
      <c r="S7499" t="str">
        <f>"BANCO C6 (149)"</f>
        <v>BANCO C6 (149)</v>
      </c>
      <c r="T7499">
        <v>20219</v>
      </c>
      <c r="U7499">
        <v>23712</v>
      </c>
      <c r="V7499" t="s">
        <v>77</v>
      </c>
    </row>
    <row r="7500" spans="1:22">
      <c r="A7500" t="str">
        <f t="shared" si="1376"/>
        <v>24/10/2025</v>
      </c>
      <c r="B7500" t="str">
        <f t="shared" si="1373"/>
        <v>SAÍDA</v>
      </c>
      <c r="C7500" t="str">
        <f t="shared" si="1374"/>
        <v>PIX</v>
      </c>
      <c r="D7500" t="str">
        <f>"23712"</f>
        <v>23712</v>
      </c>
      <c r="E7500" t="str">
        <f t="shared" si="1378"/>
        <v>1</v>
      </c>
      <c r="F7500" t="str">
        <f t="shared" si="1377"/>
        <v>COM</v>
      </c>
      <c r="G7500" t="str">
        <f>"RICARDO NASCIMENTO DE SOUZA (146)"</f>
        <v>RICARDO NASCIMENTO DE SOUZA (146)</v>
      </c>
      <c r="H7500" t="s">
        <v>2073</v>
      </c>
      <c r="I7500" t="str">
        <f t="shared" si="1375"/>
        <v>24/10/2025</v>
      </c>
      <c r="J7500" t="str">
        <f t="shared" si="1379"/>
        <v>14/10/2025</v>
      </c>
      <c r="K7500">
        <v>45954</v>
      </c>
      <c r="N7500">
        <v>109</v>
      </c>
      <c r="O7500" t="s">
        <v>24</v>
      </c>
      <c r="Q7500">
        <v>1116</v>
      </c>
      <c r="R7500" t="str">
        <f>"FARMÁCIA INDIANA LJ 19 (10012)"</f>
        <v>FARMÁCIA INDIANA LJ 19 (10012)</v>
      </c>
      <c r="S7500" t="s">
        <v>77</v>
      </c>
      <c r="T7500">
        <v>20219</v>
      </c>
      <c r="U7500">
        <v>23712</v>
      </c>
      <c r="V7500" t="s">
        <v>77</v>
      </c>
    </row>
    <row r="7501" spans="1:22">
      <c r="A7501" t="str">
        <f t="shared" si="1376"/>
        <v>24/10/2025</v>
      </c>
      <c r="B7501" t="str">
        <f t="shared" si="1373"/>
        <v>SAÍDA</v>
      </c>
      <c r="C7501" t="str">
        <f t="shared" si="1374"/>
        <v>PIX</v>
      </c>
      <c r="D7501" t="str">
        <f>"23713"</f>
        <v>23713</v>
      </c>
      <c r="E7501" t="str">
        <f t="shared" si="1378"/>
        <v>1</v>
      </c>
      <c r="F7501" t="str">
        <f t="shared" si="1377"/>
        <v>COM</v>
      </c>
      <c r="G7501" t="str">
        <f>"ROGÉRIO LAURINDO BORGES (176)"</f>
        <v>ROGÉRIO LAURINDO BORGES (176)</v>
      </c>
      <c r="H7501" t="str">
        <f>"Serv.Prest. 06/10/2025 a 12/10/2025 - PIX: E-MAIL - CHAVE: roger.l.borges04@gmail.com"</f>
        <v>Serv.Prest. 06/10/2025 a 12/10/2025 - PIX: E-MAIL - CHAVE: roger.l.borges04@gmail.com</v>
      </c>
      <c r="I7501" t="str">
        <f t="shared" si="1375"/>
        <v>24/10/2025</v>
      </c>
      <c r="J7501" t="str">
        <f t="shared" si="1379"/>
        <v>14/10/2025</v>
      </c>
      <c r="K7501" t="str">
        <f>("24/10/2025")</f>
        <v>24/10/2025</v>
      </c>
      <c r="L7501">
        <v>1182</v>
      </c>
      <c r="M7501">
        <v>1182</v>
      </c>
      <c r="N7501">
        <v>109</v>
      </c>
      <c r="O7501" t="str">
        <f>"PAGAMENTO DE ENTREGADORES"</f>
        <v>PAGAMENTO DE ENTREGADORES</v>
      </c>
      <c r="P7501">
        <v>1182</v>
      </c>
      <c r="S7501" t="str">
        <f>"BANCO C6 (149)"</f>
        <v>BANCO C6 (149)</v>
      </c>
      <c r="T7501">
        <v>20220</v>
      </c>
      <c r="U7501">
        <v>23713</v>
      </c>
      <c r="V7501" t="s">
        <v>77</v>
      </c>
    </row>
    <row r="7502" spans="1:22">
      <c r="A7502" t="str">
        <f t="shared" si="1376"/>
        <v>24/10/2025</v>
      </c>
      <c r="B7502" t="str">
        <f t="shared" si="1373"/>
        <v>SAÍDA</v>
      </c>
      <c r="C7502" t="str">
        <f t="shared" si="1374"/>
        <v>PIX</v>
      </c>
      <c r="D7502" t="str">
        <f>"23713"</f>
        <v>23713</v>
      </c>
      <c r="E7502" t="str">
        <f t="shared" si="1378"/>
        <v>1</v>
      </c>
      <c r="F7502" t="str">
        <f t="shared" si="1377"/>
        <v>COM</v>
      </c>
      <c r="G7502" t="str">
        <f>"ROGÉRIO LAURINDO BORGES (176)"</f>
        <v>ROGÉRIO LAURINDO BORGES (176)</v>
      </c>
      <c r="H7502" t="s">
        <v>2074</v>
      </c>
      <c r="I7502" t="str">
        <f t="shared" si="1375"/>
        <v>24/10/2025</v>
      </c>
      <c r="J7502" t="str">
        <f t="shared" si="1379"/>
        <v>14/10/2025</v>
      </c>
      <c r="K7502">
        <v>45954</v>
      </c>
      <c r="N7502">
        <v>109</v>
      </c>
      <c r="O7502" t="s">
        <v>24</v>
      </c>
      <c r="Q7502">
        <v>1182</v>
      </c>
      <c r="R7502" t="str">
        <f>"FARMÁCIA INDIANA LJ 142 (10066)"</f>
        <v>FARMÁCIA INDIANA LJ 142 (10066)</v>
      </c>
      <c r="S7502" t="s">
        <v>77</v>
      </c>
      <c r="T7502">
        <v>20220</v>
      </c>
      <c r="U7502">
        <v>23713</v>
      </c>
      <c r="V7502" t="s">
        <v>77</v>
      </c>
    </row>
    <row r="7503" spans="1:22">
      <c r="A7503" t="str">
        <f t="shared" si="1376"/>
        <v>24/10/2025</v>
      </c>
      <c r="B7503" t="str">
        <f t="shared" si="1373"/>
        <v>SAÍDA</v>
      </c>
      <c r="C7503" t="str">
        <f t="shared" si="1374"/>
        <v>PIX</v>
      </c>
      <c r="D7503" t="str">
        <f>"23714"</f>
        <v>23714</v>
      </c>
      <c r="E7503" t="str">
        <f t="shared" si="1378"/>
        <v>1</v>
      </c>
      <c r="F7503" t="str">
        <f t="shared" si="1377"/>
        <v>COM</v>
      </c>
      <c r="G7503" t="str">
        <f>"RÔMULO LEMOS DE SOUZA (59)"</f>
        <v>RÔMULO LEMOS DE SOUZA (59)</v>
      </c>
      <c r="H7503" t="str">
        <f>"Serv.Prest. 06/10/2025 a 12/10/2025 - PIX: CELULAR - CHAVE: (33) 98840-0998"</f>
        <v>Serv.Prest. 06/10/2025 a 12/10/2025 - PIX: CELULAR - CHAVE: (33) 98840-0998</v>
      </c>
      <c r="I7503" t="str">
        <f t="shared" si="1375"/>
        <v>24/10/2025</v>
      </c>
      <c r="J7503" t="str">
        <f t="shared" si="1379"/>
        <v>14/10/2025</v>
      </c>
      <c r="K7503" t="str">
        <f>("24/10/2025")</f>
        <v>24/10/2025</v>
      </c>
      <c r="L7503">
        <v>822</v>
      </c>
      <c r="M7503">
        <v>822</v>
      </c>
      <c r="N7503">
        <v>109</v>
      </c>
      <c r="O7503" t="str">
        <f>"PAGAMENTO DE ENTREGADORES"</f>
        <v>PAGAMENTO DE ENTREGADORES</v>
      </c>
      <c r="P7503">
        <v>822</v>
      </c>
      <c r="S7503" t="str">
        <f>"BANCO C6 (149)"</f>
        <v>BANCO C6 (149)</v>
      </c>
      <c r="T7503">
        <v>20221</v>
      </c>
      <c r="U7503">
        <v>23714</v>
      </c>
      <c r="V7503" t="s">
        <v>77</v>
      </c>
    </row>
    <row r="7504" spans="1:22">
      <c r="A7504" t="str">
        <f t="shared" si="1376"/>
        <v>24/10/2025</v>
      </c>
      <c r="B7504" t="str">
        <f t="shared" si="1373"/>
        <v>SAÍDA</v>
      </c>
      <c r="C7504" t="str">
        <f t="shared" si="1374"/>
        <v>PIX</v>
      </c>
      <c r="D7504" t="str">
        <f>"23714"</f>
        <v>23714</v>
      </c>
      <c r="E7504" t="str">
        <f t="shared" si="1378"/>
        <v>1</v>
      </c>
      <c r="F7504" t="str">
        <f t="shared" si="1377"/>
        <v>COM</v>
      </c>
      <c r="G7504" t="str">
        <f>"RÔMULO LEMOS DE SOUZA (59)"</f>
        <v>RÔMULO LEMOS DE SOUZA (59)</v>
      </c>
      <c r="H7504" t="s">
        <v>2075</v>
      </c>
      <c r="I7504" t="str">
        <f t="shared" si="1375"/>
        <v>24/10/2025</v>
      </c>
      <c r="J7504" t="str">
        <f t="shared" si="1379"/>
        <v>14/10/2025</v>
      </c>
      <c r="K7504">
        <v>45954</v>
      </c>
      <c r="N7504">
        <v>109</v>
      </c>
      <c r="O7504" t="s">
        <v>24</v>
      </c>
      <c r="Q7504">
        <v>822</v>
      </c>
      <c r="R7504" t="str">
        <f>"FARMÁCIA INDIANA LJ 07 (10007)"</f>
        <v>FARMÁCIA INDIANA LJ 07 (10007)</v>
      </c>
      <c r="S7504" t="s">
        <v>77</v>
      </c>
      <c r="T7504">
        <v>20221</v>
      </c>
      <c r="U7504">
        <v>23714</v>
      </c>
      <c r="V7504" t="s">
        <v>77</v>
      </c>
    </row>
    <row r="7505" spans="1:22">
      <c r="A7505" t="str">
        <f t="shared" si="1376"/>
        <v>24/10/2025</v>
      </c>
      <c r="B7505" t="str">
        <f t="shared" si="1373"/>
        <v>SAÍDA</v>
      </c>
      <c r="C7505" t="str">
        <f t="shared" si="1374"/>
        <v>PIX</v>
      </c>
      <c r="D7505" t="str">
        <f>"23715"</f>
        <v>23715</v>
      </c>
      <c r="E7505" t="str">
        <f t="shared" si="1378"/>
        <v>1</v>
      </c>
      <c r="F7505" t="str">
        <f t="shared" si="1377"/>
        <v>COM</v>
      </c>
      <c r="G7505" t="str">
        <f>"SAMUEL JADSON SANTANA RIBEIRO (55)"</f>
        <v>SAMUEL JADSON SANTANA RIBEIRO (55)</v>
      </c>
      <c r="H7505" t="str">
        <f>"Serv.Prest. 06/10/2025 a 12/10/2025 - PIX: CPF - CHAVE: 701.955.866-62"</f>
        <v>Serv.Prest. 06/10/2025 a 12/10/2025 - PIX: CPF - CHAVE: 701.955.866-62</v>
      </c>
      <c r="I7505" t="str">
        <f t="shared" si="1375"/>
        <v>24/10/2025</v>
      </c>
      <c r="J7505" t="str">
        <f t="shared" si="1379"/>
        <v>14/10/2025</v>
      </c>
      <c r="K7505" t="str">
        <f>("24/10/2025")</f>
        <v>24/10/2025</v>
      </c>
      <c r="L7505">
        <v>960</v>
      </c>
      <c r="M7505">
        <v>960</v>
      </c>
      <c r="N7505">
        <v>109</v>
      </c>
      <c r="O7505" t="str">
        <f>"PAGAMENTO DE ENTREGADORES"</f>
        <v>PAGAMENTO DE ENTREGADORES</v>
      </c>
      <c r="P7505">
        <v>960</v>
      </c>
      <c r="S7505" t="str">
        <f>"BANCO C6 (149)"</f>
        <v>BANCO C6 (149)</v>
      </c>
      <c r="T7505">
        <v>20222</v>
      </c>
      <c r="U7505">
        <v>23715</v>
      </c>
      <c r="V7505" t="s">
        <v>77</v>
      </c>
    </row>
    <row r="7506" spans="1:22">
      <c r="A7506" t="str">
        <f t="shared" si="1376"/>
        <v>24/10/2025</v>
      </c>
      <c r="B7506" t="str">
        <f t="shared" si="1373"/>
        <v>SAÍDA</v>
      </c>
      <c r="C7506" t="str">
        <f t="shared" si="1374"/>
        <v>PIX</v>
      </c>
      <c r="D7506" t="str">
        <f>"23715"</f>
        <v>23715</v>
      </c>
      <c r="E7506" t="str">
        <f t="shared" si="1378"/>
        <v>1</v>
      </c>
      <c r="F7506" t="str">
        <f t="shared" si="1377"/>
        <v>COM</v>
      </c>
      <c r="G7506" t="str">
        <f>"SAMUEL JADSON SANTANA RIBEIRO (55)"</f>
        <v>SAMUEL JADSON SANTANA RIBEIRO (55)</v>
      </c>
      <c r="H7506" t="s">
        <v>2076</v>
      </c>
      <c r="I7506" t="str">
        <f t="shared" si="1375"/>
        <v>24/10/2025</v>
      </c>
      <c r="J7506" t="str">
        <f t="shared" si="1379"/>
        <v>14/10/2025</v>
      </c>
      <c r="K7506">
        <v>45954</v>
      </c>
      <c r="N7506">
        <v>109</v>
      </c>
      <c r="O7506" t="s">
        <v>24</v>
      </c>
      <c r="Q7506">
        <v>960</v>
      </c>
      <c r="R7506" t="str">
        <f>"FARMÁCIA INDIANA LJ 07 (10007)"</f>
        <v>FARMÁCIA INDIANA LJ 07 (10007)</v>
      </c>
      <c r="S7506" t="s">
        <v>77</v>
      </c>
      <c r="T7506">
        <v>20222</v>
      </c>
      <c r="U7506">
        <v>23715</v>
      </c>
      <c r="V7506" t="s">
        <v>77</v>
      </c>
    </row>
    <row r="7507" spans="1:22">
      <c r="A7507" t="str">
        <f t="shared" si="1376"/>
        <v>24/10/2025</v>
      </c>
      <c r="B7507" t="str">
        <f t="shared" si="1373"/>
        <v>SAÍDA</v>
      </c>
      <c r="C7507" t="str">
        <f t="shared" si="1374"/>
        <v>PIX</v>
      </c>
      <c r="D7507" t="str">
        <f>"23716"</f>
        <v>23716</v>
      </c>
      <c r="E7507" t="str">
        <f t="shared" si="1378"/>
        <v>1</v>
      </c>
      <c r="F7507" t="str">
        <f t="shared" si="1377"/>
        <v>COM</v>
      </c>
      <c r="G7507" t="str">
        <f>"SANRIO OLIVEIRA DO CARMO (579)"</f>
        <v>SANRIO OLIVEIRA DO CARMO (579)</v>
      </c>
      <c r="H7507" t="str">
        <f>"Serv.Prest. 06/10/2025 a 12/10/2025 - PIX: CPF - CHAVE: 118.731.976-75"</f>
        <v>Serv.Prest. 06/10/2025 a 12/10/2025 - PIX: CPF - CHAVE: 118.731.976-75</v>
      </c>
      <c r="I7507" t="str">
        <f t="shared" si="1375"/>
        <v>24/10/2025</v>
      </c>
      <c r="J7507" t="str">
        <f t="shared" si="1379"/>
        <v>14/10/2025</v>
      </c>
      <c r="K7507" t="str">
        <f>("24/10/2025")</f>
        <v>24/10/2025</v>
      </c>
      <c r="L7507">
        <v>1086</v>
      </c>
      <c r="M7507">
        <v>1086</v>
      </c>
      <c r="N7507">
        <v>109</v>
      </c>
      <c r="O7507" t="str">
        <f>"PAGAMENTO DE ENTREGADORES"</f>
        <v>PAGAMENTO DE ENTREGADORES</v>
      </c>
      <c r="P7507">
        <v>1086</v>
      </c>
      <c r="S7507" t="str">
        <f>"BANCO C6 (149)"</f>
        <v>BANCO C6 (149)</v>
      </c>
      <c r="T7507">
        <v>20223</v>
      </c>
      <c r="U7507">
        <v>23716</v>
      </c>
      <c r="V7507" t="s">
        <v>77</v>
      </c>
    </row>
    <row r="7508" spans="1:22">
      <c r="A7508" t="str">
        <f t="shared" si="1376"/>
        <v>24/10/2025</v>
      </c>
      <c r="B7508" t="str">
        <f t="shared" si="1373"/>
        <v>SAÍDA</v>
      </c>
      <c r="C7508" t="str">
        <f t="shared" si="1374"/>
        <v>PIX</v>
      </c>
      <c r="D7508" t="str">
        <f>"23716"</f>
        <v>23716</v>
      </c>
      <c r="E7508" t="str">
        <f t="shared" si="1378"/>
        <v>1</v>
      </c>
      <c r="F7508" t="str">
        <f t="shared" si="1377"/>
        <v>COM</v>
      </c>
      <c r="G7508" t="str">
        <f>"SANRIO OLIVEIRA DO CARMO (579)"</f>
        <v>SANRIO OLIVEIRA DO CARMO (579)</v>
      </c>
      <c r="H7508" t="s">
        <v>2077</v>
      </c>
      <c r="I7508" t="str">
        <f t="shared" si="1375"/>
        <v>24/10/2025</v>
      </c>
      <c r="J7508" t="str">
        <f t="shared" si="1379"/>
        <v>14/10/2025</v>
      </c>
      <c r="K7508">
        <v>45954</v>
      </c>
      <c r="N7508">
        <v>109</v>
      </c>
      <c r="O7508" t="s">
        <v>24</v>
      </c>
      <c r="Q7508">
        <v>1086</v>
      </c>
      <c r="R7508" t="str">
        <f>"FARMÁCIA INDIANA LJ 152 (10069)"</f>
        <v>FARMÁCIA INDIANA LJ 152 (10069)</v>
      </c>
      <c r="S7508" t="s">
        <v>77</v>
      </c>
      <c r="T7508">
        <v>20223</v>
      </c>
      <c r="U7508">
        <v>23716</v>
      </c>
      <c r="V7508" t="s">
        <v>77</v>
      </c>
    </row>
    <row r="7509" spans="1:22">
      <c r="A7509" t="str">
        <f t="shared" si="1376"/>
        <v>24/10/2025</v>
      </c>
      <c r="B7509" t="str">
        <f t="shared" si="1373"/>
        <v>SAÍDA</v>
      </c>
      <c r="C7509" t="str">
        <f t="shared" si="1374"/>
        <v>PIX</v>
      </c>
      <c r="D7509" t="str">
        <f>"23717"</f>
        <v>23717</v>
      </c>
      <c r="E7509" t="str">
        <f t="shared" si="1378"/>
        <v>1</v>
      </c>
      <c r="F7509" t="str">
        <f t="shared" si="1377"/>
        <v>COM</v>
      </c>
      <c r="G7509" t="str">
        <f>"SEDNEY GOMES SOARES (87)"</f>
        <v>SEDNEY GOMES SOARES (87)</v>
      </c>
      <c r="H7509" t="str">
        <f>"Serv.Prest. 06/10/2025 a 12/10/2025 - PIX: CPF - CHAVE: 048.151.276-46"</f>
        <v>Serv.Prest. 06/10/2025 a 12/10/2025 - PIX: CPF - CHAVE: 048.151.276-46</v>
      </c>
      <c r="I7509" t="str">
        <f t="shared" si="1375"/>
        <v>24/10/2025</v>
      </c>
      <c r="J7509" t="str">
        <f t="shared" si="1379"/>
        <v>14/10/2025</v>
      </c>
      <c r="K7509" t="str">
        <f>("24/10/2025")</f>
        <v>24/10/2025</v>
      </c>
      <c r="L7509">
        <v>750</v>
      </c>
      <c r="M7509">
        <v>750</v>
      </c>
      <c r="N7509">
        <v>109</v>
      </c>
      <c r="O7509" t="str">
        <f>"PAGAMENTO DE ENTREGADORES"</f>
        <v>PAGAMENTO DE ENTREGADORES</v>
      </c>
      <c r="P7509">
        <v>750</v>
      </c>
      <c r="S7509" t="str">
        <f>"BANCO C6 (149)"</f>
        <v>BANCO C6 (149)</v>
      </c>
      <c r="T7509">
        <v>20224</v>
      </c>
      <c r="U7509">
        <v>23717</v>
      </c>
      <c r="V7509" t="s">
        <v>77</v>
      </c>
    </row>
    <row r="7510" spans="1:22">
      <c r="A7510" t="str">
        <f t="shared" si="1376"/>
        <v>24/10/2025</v>
      </c>
      <c r="B7510" t="str">
        <f t="shared" si="1373"/>
        <v>SAÍDA</v>
      </c>
      <c r="C7510" t="str">
        <f t="shared" si="1374"/>
        <v>PIX</v>
      </c>
      <c r="D7510" t="str">
        <f>"23717"</f>
        <v>23717</v>
      </c>
      <c r="E7510" t="str">
        <f t="shared" si="1378"/>
        <v>1</v>
      </c>
      <c r="F7510" t="str">
        <f t="shared" si="1377"/>
        <v>COM</v>
      </c>
      <c r="G7510" t="str">
        <f>"SEDNEY GOMES SOARES (87)"</f>
        <v>SEDNEY GOMES SOARES (87)</v>
      </c>
      <c r="H7510" t="s">
        <v>2078</v>
      </c>
      <c r="I7510" t="str">
        <f t="shared" si="1375"/>
        <v>24/10/2025</v>
      </c>
      <c r="J7510" t="str">
        <f t="shared" si="1379"/>
        <v>14/10/2025</v>
      </c>
      <c r="K7510">
        <v>45954</v>
      </c>
      <c r="N7510">
        <v>109</v>
      </c>
      <c r="O7510" t="s">
        <v>24</v>
      </c>
      <c r="Q7510">
        <v>159.97</v>
      </c>
      <c r="R7510" t="str">
        <f>"FARMÁCIA INDIANA LJ 97 (10040)"</f>
        <v>FARMÁCIA INDIANA LJ 97 (10040)</v>
      </c>
      <c r="S7510" t="s">
        <v>77</v>
      </c>
      <c r="T7510">
        <v>20224</v>
      </c>
      <c r="U7510">
        <v>23717</v>
      </c>
      <c r="V7510" t="s">
        <v>77</v>
      </c>
    </row>
    <row r="7511" spans="1:22">
      <c r="A7511" t="str">
        <f t="shared" si="1376"/>
        <v>24/10/2025</v>
      </c>
      <c r="B7511" t="str">
        <f t="shared" si="1373"/>
        <v>SAÍDA</v>
      </c>
      <c r="C7511" t="str">
        <f t="shared" si="1374"/>
        <v>PIX</v>
      </c>
      <c r="D7511" t="str">
        <f>"23717"</f>
        <v>23717</v>
      </c>
      <c r="E7511" t="str">
        <f t="shared" si="1378"/>
        <v>1</v>
      </c>
      <c r="F7511" t="str">
        <f t="shared" si="1377"/>
        <v>COM</v>
      </c>
      <c r="G7511" t="str">
        <f>"SEDNEY GOMES SOARES (87)"</f>
        <v>SEDNEY GOMES SOARES (87)</v>
      </c>
      <c r="H7511" t="s">
        <v>2078</v>
      </c>
      <c r="I7511" t="str">
        <f t="shared" si="1375"/>
        <v>24/10/2025</v>
      </c>
      <c r="J7511" t="str">
        <f t="shared" si="1379"/>
        <v>14/10/2025</v>
      </c>
      <c r="K7511">
        <v>45954</v>
      </c>
      <c r="N7511">
        <v>109</v>
      </c>
      <c r="O7511" t="s">
        <v>24</v>
      </c>
      <c r="Q7511">
        <v>480</v>
      </c>
      <c r="R7511" t="str">
        <f>"FARMÁCIA INDIANA LJ 111 (10049)"</f>
        <v>FARMÁCIA INDIANA LJ 111 (10049)</v>
      </c>
      <c r="S7511" t="s">
        <v>77</v>
      </c>
      <c r="T7511">
        <v>20224</v>
      </c>
      <c r="U7511">
        <v>23717</v>
      </c>
      <c r="V7511" t="s">
        <v>77</v>
      </c>
    </row>
    <row r="7512" spans="1:22">
      <c r="A7512" t="str">
        <f t="shared" si="1376"/>
        <v>24/10/2025</v>
      </c>
      <c r="B7512" t="str">
        <f t="shared" si="1373"/>
        <v>SAÍDA</v>
      </c>
      <c r="C7512" t="str">
        <f t="shared" si="1374"/>
        <v>PIX</v>
      </c>
      <c r="D7512" t="str">
        <f>"23717"</f>
        <v>23717</v>
      </c>
      <c r="E7512" t="str">
        <f t="shared" si="1378"/>
        <v>1</v>
      </c>
      <c r="F7512" t="str">
        <f t="shared" si="1377"/>
        <v>COM</v>
      </c>
      <c r="G7512" t="str">
        <f>"SEDNEY GOMES SOARES (87)"</f>
        <v>SEDNEY GOMES SOARES (87)</v>
      </c>
      <c r="H7512" t="s">
        <v>2078</v>
      </c>
      <c r="I7512" t="str">
        <f t="shared" si="1375"/>
        <v>24/10/2025</v>
      </c>
      <c r="J7512" t="str">
        <f t="shared" si="1379"/>
        <v>14/10/2025</v>
      </c>
      <c r="K7512">
        <v>45954</v>
      </c>
      <c r="N7512">
        <v>109</v>
      </c>
      <c r="O7512" t="s">
        <v>24</v>
      </c>
      <c r="Q7512">
        <v>110.03</v>
      </c>
      <c r="R7512" t="str">
        <f>"FARMÁCIA INDIANA LJ 143 (10067)"</f>
        <v>FARMÁCIA INDIANA LJ 143 (10067)</v>
      </c>
      <c r="S7512" t="s">
        <v>77</v>
      </c>
      <c r="T7512">
        <v>20224</v>
      </c>
      <c r="U7512">
        <v>23717</v>
      </c>
      <c r="V7512" t="s">
        <v>77</v>
      </c>
    </row>
    <row r="7513" spans="1:22">
      <c r="A7513" t="str">
        <f t="shared" si="1376"/>
        <v>24/10/2025</v>
      </c>
      <c r="B7513" t="str">
        <f t="shared" si="1373"/>
        <v>SAÍDA</v>
      </c>
      <c r="C7513" t="str">
        <f t="shared" si="1374"/>
        <v>PIX</v>
      </c>
      <c r="D7513" t="str">
        <f>"23718"</f>
        <v>23718</v>
      </c>
      <c r="E7513" t="str">
        <f t="shared" si="1378"/>
        <v>1</v>
      </c>
      <c r="F7513" t="str">
        <f t="shared" si="1377"/>
        <v>COM</v>
      </c>
      <c r="G7513" t="str">
        <f>"SILAS ALVES DE FREITAS (35)"</f>
        <v>SILAS ALVES DE FREITAS (35)</v>
      </c>
      <c r="H7513" t="str">
        <f>"Serv.Prest. 06/10/2025 a 12/10/2025 - PIX: CPF - CHAVE: 097.855.786-74"</f>
        <v>Serv.Prest. 06/10/2025 a 12/10/2025 - PIX: CPF - CHAVE: 097.855.786-74</v>
      </c>
      <c r="I7513" t="str">
        <f t="shared" si="1375"/>
        <v>24/10/2025</v>
      </c>
      <c r="J7513" t="str">
        <f t="shared" si="1379"/>
        <v>14/10/2025</v>
      </c>
      <c r="K7513" t="str">
        <f>("24/10/2025")</f>
        <v>24/10/2025</v>
      </c>
      <c r="L7513">
        <v>1296</v>
      </c>
      <c r="M7513">
        <v>1296</v>
      </c>
      <c r="N7513">
        <v>109</v>
      </c>
      <c r="O7513" t="str">
        <f>"PAGAMENTO DE ENTREGADORES"</f>
        <v>PAGAMENTO DE ENTREGADORES</v>
      </c>
      <c r="P7513">
        <v>1296</v>
      </c>
      <c r="S7513" t="str">
        <f>"BANCO C6 (149)"</f>
        <v>BANCO C6 (149)</v>
      </c>
      <c r="T7513">
        <v>20225</v>
      </c>
      <c r="U7513">
        <v>23718</v>
      </c>
      <c r="V7513" t="s">
        <v>77</v>
      </c>
    </row>
    <row r="7514" spans="1:22">
      <c r="A7514" t="str">
        <f t="shared" si="1376"/>
        <v>24/10/2025</v>
      </c>
      <c r="B7514" t="str">
        <f t="shared" si="1373"/>
        <v>SAÍDA</v>
      </c>
      <c r="C7514" t="str">
        <f t="shared" si="1374"/>
        <v>PIX</v>
      </c>
      <c r="D7514" t="str">
        <f>"23718"</f>
        <v>23718</v>
      </c>
      <c r="E7514" t="str">
        <f t="shared" si="1378"/>
        <v>1</v>
      </c>
      <c r="F7514" t="str">
        <f t="shared" si="1377"/>
        <v>COM</v>
      </c>
      <c r="G7514" t="str">
        <f>"SILAS ALVES DE FREITAS (35)"</f>
        <v>SILAS ALVES DE FREITAS (35)</v>
      </c>
      <c r="H7514" t="s">
        <v>2079</v>
      </c>
      <c r="I7514" t="str">
        <f t="shared" si="1375"/>
        <v>24/10/2025</v>
      </c>
      <c r="J7514" t="str">
        <f t="shared" si="1379"/>
        <v>14/10/2025</v>
      </c>
      <c r="K7514">
        <v>45954</v>
      </c>
      <c r="N7514">
        <v>109</v>
      </c>
      <c r="O7514" t="s">
        <v>24</v>
      </c>
      <c r="Q7514">
        <v>1296</v>
      </c>
      <c r="R7514" t="str">
        <f>"FARMÁCIA INDIANA LJ 172 (10161)"</f>
        <v>FARMÁCIA INDIANA LJ 172 (10161)</v>
      </c>
      <c r="S7514" t="s">
        <v>77</v>
      </c>
      <c r="T7514">
        <v>20225</v>
      </c>
      <c r="U7514">
        <v>23718</v>
      </c>
      <c r="V7514" t="s">
        <v>77</v>
      </c>
    </row>
    <row r="7515" spans="1:22">
      <c r="A7515" t="str">
        <f t="shared" si="1376"/>
        <v>24/10/2025</v>
      </c>
      <c r="B7515" t="str">
        <f t="shared" si="1373"/>
        <v>SAÍDA</v>
      </c>
      <c r="C7515" t="str">
        <f t="shared" si="1374"/>
        <v>PIX</v>
      </c>
      <c r="D7515" t="str">
        <f>"23719"</f>
        <v>23719</v>
      </c>
      <c r="E7515" t="str">
        <f t="shared" si="1378"/>
        <v>1</v>
      </c>
      <c r="F7515" t="str">
        <f t="shared" si="1377"/>
        <v>COM</v>
      </c>
      <c r="G7515" t="str">
        <f>"TAYSON BARBOSA SILVINO (613)"</f>
        <v>TAYSON BARBOSA SILVINO (613)</v>
      </c>
      <c r="H7515" t="str">
        <f>"Serv.Prest. 06/10/2025 a 12/10/2025 - PIX: CHAVE ALEATÓRIA - CHAVE: 1550e869-c9d7-4436-be93-6858fd0cb900"</f>
        <v>Serv.Prest. 06/10/2025 a 12/10/2025 - PIX: CHAVE ALEATÓRIA - CHAVE: 1550e869-c9d7-4436-be93-6858fd0cb900</v>
      </c>
      <c r="I7515" t="str">
        <f t="shared" si="1375"/>
        <v>24/10/2025</v>
      </c>
      <c r="J7515" t="str">
        <f t="shared" si="1379"/>
        <v>14/10/2025</v>
      </c>
      <c r="K7515" t="str">
        <f>("24/10/2025")</f>
        <v>24/10/2025</v>
      </c>
      <c r="L7515">
        <v>786</v>
      </c>
      <c r="M7515">
        <v>786</v>
      </c>
      <c r="N7515">
        <v>109</v>
      </c>
      <c r="O7515" t="str">
        <f>"PAGAMENTO DE ENTREGADORES"</f>
        <v>PAGAMENTO DE ENTREGADORES</v>
      </c>
      <c r="P7515">
        <v>786</v>
      </c>
      <c r="S7515" t="str">
        <f>"BANCO C6 (149)"</f>
        <v>BANCO C6 (149)</v>
      </c>
      <c r="T7515">
        <v>20226</v>
      </c>
      <c r="U7515">
        <v>23719</v>
      </c>
      <c r="V7515" t="s">
        <v>77</v>
      </c>
    </row>
    <row r="7516" spans="1:22">
      <c r="A7516" t="str">
        <f t="shared" si="1376"/>
        <v>24/10/2025</v>
      </c>
      <c r="B7516" t="str">
        <f t="shared" si="1373"/>
        <v>SAÍDA</v>
      </c>
      <c r="C7516" t="str">
        <f t="shared" si="1374"/>
        <v>PIX</v>
      </c>
      <c r="D7516" t="str">
        <f>"23719"</f>
        <v>23719</v>
      </c>
      <c r="E7516" t="str">
        <f t="shared" si="1378"/>
        <v>1</v>
      </c>
      <c r="F7516" t="str">
        <f t="shared" si="1377"/>
        <v>COM</v>
      </c>
      <c r="G7516" t="str">
        <f>"TAYSON BARBOSA SILVINO (613)"</f>
        <v>TAYSON BARBOSA SILVINO (613)</v>
      </c>
      <c r="H7516" t="s">
        <v>2080</v>
      </c>
      <c r="I7516" t="str">
        <f t="shared" si="1375"/>
        <v>24/10/2025</v>
      </c>
      <c r="J7516" t="str">
        <f t="shared" si="1379"/>
        <v>14/10/2025</v>
      </c>
      <c r="K7516">
        <v>45954</v>
      </c>
      <c r="N7516">
        <v>109</v>
      </c>
      <c r="O7516" t="s">
        <v>24</v>
      </c>
      <c r="Q7516">
        <v>786</v>
      </c>
      <c r="R7516" t="str">
        <f>"FARMÁCIA INDIANA LJ 19 (10012)"</f>
        <v>FARMÁCIA INDIANA LJ 19 (10012)</v>
      </c>
      <c r="S7516" t="s">
        <v>77</v>
      </c>
      <c r="T7516">
        <v>20226</v>
      </c>
      <c r="U7516">
        <v>23719</v>
      </c>
      <c r="V7516" t="s">
        <v>77</v>
      </c>
    </row>
    <row r="7517" spans="1:22">
      <c r="A7517" t="str">
        <f t="shared" si="1376"/>
        <v>24/10/2025</v>
      </c>
      <c r="B7517" t="str">
        <f t="shared" si="1373"/>
        <v>SAÍDA</v>
      </c>
      <c r="C7517" t="str">
        <f t="shared" si="1374"/>
        <v>PIX</v>
      </c>
      <c r="D7517" t="str">
        <f>"23720"</f>
        <v>23720</v>
      </c>
      <c r="E7517" t="str">
        <f t="shared" si="1378"/>
        <v>1</v>
      </c>
      <c r="F7517" t="str">
        <f t="shared" si="1377"/>
        <v>COM</v>
      </c>
      <c r="G7517" t="str">
        <f>"THALES VIANA DOS SANTOS (63)"</f>
        <v>THALES VIANA DOS SANTOS (63)</v>
      </c>
      <c r="H7517" t="str">
        <f>"Serv.Prest. 06/10/2025 a 12/10/2025 - PIX: CELULAR - CHAVE: (33) 99880-7941"</f>
        <v>Serv.Prest. 06/10/2025 a 12/10/2025 - PIX: CELULAR - CHAVE: (33) 99880-7941</v>
      </c>
      <c r="I7517" t="str">
        <f t="shared" si="1375"/>
        <v>24/10/2025</v>
      </c>
      <c r="J7517" t="str">
        <f t="shared" si="1379"/>
        <v>14/10/2025</v>
      </c>
      <c r="K7517" t="str">
        <f>("24/10/2025")</f>
        <v>24/10/2025</v>
      </c>
      <c r="L7517">
        <v>774</v>
      </c>
      <c r="M7517">
        <v>774</v>
      </c>
      <c r="N7517">
        <v>109</v>
      </c>
      <c r="O7517" t="str">
        <f>"PAGAMENTO DE ENTREGADORES"</f>
        <v>PAGAMENTO DE ENTREGADORES</v>
      </c>
      <c r="P7517">
        <v>774</v>
      </c>
      <c r="S7517" t="str">
        <f>"BANCO C6 (149)"</f>
        <v>BANCO C6 (149)</v>
      </c>
      <c r="T7517">
        <v>20227</v>
      </c>
      <c r="U7517">
        <v>23720</v>
      </c>
      <c r="V7517" t="s">
        <v>77</v>
      </c>
    </row>
    <row r="7518" spans="1:22">
      <c r="A7518" t="str">
        <f t="shared" si="1376"/>
        <v>24/10/2025</v>
      </c>
      <c r="B7518" t="str">
        <f t="shared" si="1373"/>
        <v>SAÍDA</v>
      </c>
      <c r="C7518" t="str">
        <f t="shared" si="1374"/>
        <v>PIX</v>
      </c>
      <c r="D7518" t="str">
        <f>"23720"</f>
        <v>23720</v>
      </c>
      <c r="E7518" t="str">
        <f t="shared" si="1378"/>
        <v>1</v>
      </c>
      <c r="F7518" t="str">
        <f t="shared" si="1377"/>
        <v>COM</v>
      </c>
      <c r="G7518" t="str">
        <f>"THALES VIANA DOS SANTOS (63)"</f>
        <v>THALES VIANA DOS SANTOS (63)</v>
      </c>
      <c r="H7518" t="s">
        <v>2081</v>
      </c>
      <c r="I7518" t="str">
        <f t="shared" si="1375"/>
        <v>24/10/2025</v>
      </c>
      <c r="J7518" t="str">
        <f t="shared" si="1379"/>
        <v>14/10/2025</v>
      </c>
      <c r="K7518">
        <v>45954</v>
      </c>
      <c r="N7518">
        <v>109</v>
      </c>
      <c r="O7518" t="s">
        <v>24</v>
      </c>
      <c r="Q7518">
        <v>774</v>
      </c>
      <c r="R7518" t="str">
        <f>"FARMÁCIA INDIANA LJ 07 (10007)"</f>
        <v>FARMÁCIA INDIANA LJ 07 (10007)</v>
      </c>
      <c r="S7518" t="s">
        <v>77</v>
      </c>
      <c r="T7518">
        <v>20227</v>
      </c>
      <c r="U7518">
        <v>23720</v>
      </c>
      <c r="V7518" t="s">
        <v>77</v>
      </c>
    </row>
    <row r="7519" spans="1:22">
      <c r="A7519" t="str">
        <f t="shared" si="1376"/>
        <v>24/10/2025</v>
      </c>
      <c r="B7519" t="str">
        <f t="shared" si="1373"/>
        <v>SAÍDA</v>
      </c>
      <c r="C7519" t="str">
        <f t="shared" si="1374"/>
        <v>PIX</v>
      </c>
      <c r="D7519" t="str">
        <f>"23721"</f>
        <v>23721</v>
      </c>
      <c r="E7519" t="str">
        <f t="shared" si="1378"/>
        <v>1</v>
      </c>
      <c r="F7519" t="str">
        <f t="shared" si="1377"/>
        <v>COM</v>
      </c>
      <c r="G7519" t="str">
        <f>"VINICIUS DE SOUZA ISABEL (658)"</f>
        <v>VINICIUS DE SOUZA ISABEL (658)</v>
      </c>
      <c r="H7519" t="str">
        <f>"Serv.Prest. 06/10/2025 a 12/10/2025 - PIX: CPF - CHAVE: 092.566.416-23"</f>
        <v>Serv.Prest. 06/10/2025 a 12/10/2025 - PIX: CPF - CHAVE: 092.566.416-23</v>
      </c>
      <c r="I7519" t="str">
        <f t="shared" si="1375"/>
        <v>24/10/2025</v>
      </c>
      <c r="J7519" t="str">
        <f t="shared" si="1379"/>
        <v>14/10/2025</v>
      </c>
      <c r="K7519" t="str">
        <f>("24/10/2025")</f>
        <v>24/10/2025</v>
      </c>
      <c r="L7519">
        <v>700</v>
      </c>
      <c r="M7519">
        <v>700</v>
      </c>
      <c r="N7519">
        <v>109</v>
      </c>
      <c r="O7519" t="str">
        <f>"PAGAMENTO DE ENTREGADORES"</f>
        <v>PAGAMENTO DE ENTREGADORES</v>
      </c>
      <c r="P7519">
        <v>700</v>
      </c>
      <c r="S7519" t="str">
        <f>"BANCO C6 (149)"</f>
        <v>BANCO C6 (149)</v>
      </c>
      <c r="T7519">
        <v>20228</v>
      </c>
      <c r="U7519">
        <v>23721</v>
      </c>
      <c r="V7519" t="s">
        <v>77</v>
      </c>
    </row>
    <row r="7520" spans="1:22">
      <c r="A7520" t="str">
        <f t="shared" si="1376"/>
        <v>24/10/2025</v>
      </c>
      <c r="B7520" t="str">
        <f t="shared" si="1373"/>
        <v>SAÍDA</v>
      </c>
      <c r="C7520" t="str">
        <f t="shared" si="1374"/>
        <v>PIX</v>
      </c>
      <c r="D7520" t="str">
        <f>"23721"</f>
        <v>23721</v>
      </c>
      <c r="E7520" t="str">
        <f t="shared" si="1378"/>
        <v>1</v>
      </c>
      <c r="F7520" t="str">
        <f t="shared" si="1377"/>
        <v>COM</v>
      </c>
      <c r="G7520" t="str">
        <f>"VINICIUS DE SOUZA ISABEL (658)"</f>
        <v>VINICIUS DE SOUZA ISABEL (658)</v>
      </c>
      <c r="H7520" t="s">
        <v>2082</v>
      </c>
      <c r="I7520" t="str">
        <f t="shared" si="1375"/>
        <v>24/10/2025</v>
      </c>
      <c r="J7520" t="str">
        <f t="shared" si="1379"/>
        <v>14/10/2025</v>
      </c>
      <c r="K7520">
        <v>45954</v>
      </c>
      <c r="N7520">
        <v>109</v>
      </c>
      <c r="O7520" t="s">
        <v>24</v>
      </c>
      <c r="Q7520">
        <v>700</v>
      </c>
      <c r="R7520" t="str">
        <f>"FARMÁCIA INDIANA LJ 219 (10091)"</f>
        <v>FARMÁCIA INDIANA LJ 219 (10091)</v>
      </c>
      <c r="S7520" t="s">
        <v>77</v>
      </c>
      <c r="T7520">
        <v>20228</v>
      </c>
      <c r="U7520">
        <v>23721</v>
      </c>
      <c r="V7520" t="s">
        <v>77</v>
      </c>
    </row>
    <row r="7521" spans="1:22">
      <c r="A7521" t="str">
        <f t="shared" si="1376"/>
        <v>24/10/2025</v>
      </c>
      <c r="B7521" t="str">
        <f t="shared" si="1373"/>
        <v>SAÍDA</v>
      </c>
      <c r="C7521" t="str">
        <f t="shared" si="1374"/>
        <v>PIX</v>
      </c>
      <c r="D7521" t="str">
        <f>"23722"</f>
        <v>23722</v>
      </c>
      <c r="E7521" t="str">
        <f t="shared" si="1378"/>
        <v>1</v>
      </c>
      <c r="F7521" t="str">
        <f t="shared" si="1377"/>
        <v>COM</v>
      </c>
      <c r="G7521" t="str">
        <f>"VITOR CARDOSO FAUSTINO (257)"</f>
        <v>VITOR CARDOSO FAUSTINO (257)</v>
      </c>
      <c r="H7521" t="str">
        <f>"Serv.Prest. 06/10/2025 a 12/10/2025 - PIX: CPF - CHAVE: 157.874.046-02"</f>
        <v>Serv.Prest. 06/10/2025 a 12/10/2025 - PIX: CPF - CHAVE: 157.874.046-02</v>
      </c>
      <c r="I7521" t="str">
        <f t="shared" si="1375"/>
        <v>24/10/2025</v>
      </c>
      <c r="J7521" t="str">
        <f t="shared" si="1379"/>
        <v>14/10/2025</v>
      </c>
      <c r="K7521" t="str">
        <f>("24/10/2025")</f>
        <v>24/10/2025</v>
      </c>
      <c r="L7521">
        <v>462</v>
      </c>
      <c r="M7521">
        <v>462</v>
      </c>
      <c r="N7521">
        <v>109</v>
      </c>
      <c r="O7521" t="str">
        <f>"PAGAMENTO DE ENTREGADORES"</f>
        <v>PAGAMENTO DE ENTREGADORES</v>
      </c>
      <c r="P7521">
        <v>462</v>
      </c>
      <c r="S7521" t="str">
        <f>"BANCO C6 (149)"</f>
        <v>BANCO C6 (149)</v>
      </c>
      <c r="T7521">
        <v>20229</v>
      </c>
      <c r="U7521">
        <v>23722</v>
      </c>
      <c r="V7521" t="s">
        <v>77</v>
      </c>
    </row>
    <row r="7522" spans="1:22">
      <c r="A7522" t="str">
        <f t="shared" si="1376"/>
        <v>24/10/2025</v>
      </c>
      <c r="B7522" t="str">
        <f t="shared" si="1373"/>
        <v>SAÍDA</v>
      </c>
      <c r="C7522" t="str">
        <f t="shared" si="1374"/>
        <v>PIX</v>
      </c>
      <c r="D7522" t="str">
        <f>"23722"</f>
        <v>23722</v>
      </c>
      <c r="E7522" t="str">
        <f t="shared" si="1378"/>
        <v>1</v>
      </c>
      <c r="F7522" t="str">
        <f t="shared" si="1377"/>
        <v>COM</v>
      </c>
      <c r="G7522" t="str">
        <f>"VITOR CARDOSO FAUSTINO (257)"</f>
        <v>VITOR CARDOSO FAUSTINO (257)</v>
      </c>
      <c r="H7522" t="s">
        <v>2083</v>
      </c>
      <c r="I7522" t="str">
        <f t="shared" si="1375"/>
        <v>24/10/2025</v>
      </c>
      <c r="J7522" t="str">
        <f t="shared" si="1379"/>
        <v>14/10/2025</v>
      </c>
      <c r="K7522">
        <v>45954</v>
      </c>
      <c r="N7522">
        <v>109</v>
      </c>
      <c r="O7522" t="s">
        <v>24</v>
      </c>
      <c r="Q7522">
        <v>462</v>
      </c>
      <c r="R7522" t="str">
        <f>"FARMÁCIA INDIANA LJ 07 (10007)"</f>
        <v>FARMÁCIA INDIANA LJ 07 (10007)</v>
      </c>
      <c r="S7522" t="s">
        <v>77</v>
      </c>
      <c r="T7522">
        <v>20229</v>
      </c>
      <c r="U7522">
        <v>23722</v>
      </c>
      <c r="V7522" t="s">
        <v>77</v>
      </c>
    </row>
    <row r="7523" spans="1:22">
      <c r="A7523" t="str">
        <f t="shared" si="1376"/>
        <v>24/10/2025</v>
      </c>
      <c r="B7523" t="str">
        <f t="shared" si="1373"/>
        <v>SAÍDA</v>
      </c>
      <c r="C7523" t="str">
        <f t="shared" si="1374"/>
        <v>PIX</v>
      </c>
      <c r="D7523" t="str">
        <f>"23723"</f>
        <v>23723</v>
      </c>
      <c r="E7523" t="str">
        <f t="shared" si="1378"/>
        <v>1</v>
      </c>
      <c r="F7523" t="str">
        <f t="shared" si="1377"/>
        <v>COM</v>
      </c>
      <c r="G7523" t="str">
        <f>"VITOR DE SOUZA SILVA (360)"</f>
        <v>VITOR DE SOUZA SILVA (360)</v>
      </c>
      <c r="H7523" t="str">
        <f>"Serv.Prest. 06/10/2025 a 12/10/2025 - PIX: CPF - CHAVE: 130.194.566-81"</f>
        <v>Serv.Prest. 06/10/2025 a 12/10/2025 - PIX: CPF - CHAVE: 130.194.566-81</v>
      </c>
      <c r="I7523" t="str">
        <f t="shared" si="1375"/>
        <v>24/10/2025</v>
      </c>
      <c r="J7523" t="str">
        <f t="shared" si="1379"/>
        <v>14/10/2025</v>
      </c>
      <c r="K7523" t="str">
        <f>("24/10/2025")</f>
        <v>24/10/2025</v>
      </c>
      <c r="L7523">
        <v>700.8</v>
      </c>
      <c r="M7523">
        <v>700.8</v>
      </c>
      <c r="N7523">
        <v>109</v>
      </c>
      <c r="O7523" t="str">
        <f>"PAGAMENTO DE ENTREGADORES"</f>
        <v>PAGAMENTO DE ENTREGADORES</v>
      </c>
      <c r="P7523">
        <v>700.8</v>
      </c>
      <c r="S7523" t="str">
        <f>"BANCO C6 (149)"</f>
        <v>BANCO C6 (149)</v>
      </c>
      <c r="T7523">
        <v>20230</v>
      </c>
      <c r="U7523">
        <v>23723</v>
      </c>
      <c r="V7523" t="s">
        <v>77</v>
      </c>
    </row>
    <row r="7524" spans="1:22">
      <c r="A7524" t="str">
        <f t="shared" si="1376"/>
        <v>24/10/2025</v>
      </c>
      <c r="B7524" t="str">
        <f t="shared" si="1373"/>
        <v>SAÍDA</v>
      </c>
      <c r="C7524" t="str">
        <f t="shared" si="1374"/>
        <v>PIX</v>
      </c>
      <c r="D7524" t="str">
        <f>"23723"</f>
        <v>23723</v>
      </c>
      <c r="E7524" t="str">
        <f t="shared" si="1378"/>
        <v>1</v>
      </c>
      <c r="F7524" t="str">
        <f t="shared" si="1377"/>
        <v>COM</v>
      </c>
      <c r="G7524" t="str">
        <f>"VITOR DE SOUZA SILVA (360)"</f>
        <v>VITOR DE SOUZA SILVA (360)</v>
      </c>
      <c r="H7524" t="s">
        <v>2084</v>
      </c>
      <c r="I7524" t="str">
        <f t="shared" si="1375"/>
        <v>24/10/2025</v>
      </c>
      <c r="J7524" t="str">
        <f t="shared" si="1379"/>
        <v>14/10/2025</v>
      </c>
      <c r="K7524">
        <v>45954</v>
      </c>
      <c r="N7524">
        <v>109</v>
      </c>
      <c r="O7524" t="s">
        <v>24</v>
      </c>
      <c r="Q7524">
        <v>82.48</v>
      </c>
      <c r="R7524" t="str">
        <f>"FARMÁCIA INDIANA LJ 121 (10054)"</f>
        <v>FARMÁCIA INDIANA LJ 121 (10054)</v>
      </c>
      <c r="S7524" t="s">
        <v>77</v>
      </c>
      <c r="T7524">
        <v>20230</v>
      </c>
      <c r="U7524">
        <v>23723</v>
      </c>
      <c r="V7524" t="s">
        <v>77</v>
      </c>
    </row>
    <row r="7525" spans="1:22">
      <c r="A7525" t="str">
        <f t="shared" si="1376"/>
        <v>24/10/2025</v>
      </c>
      <c r="B7525" t="str">
        <f t="shared" si="1373"/>
        <v>SAÍDA</v>
      </c>
      <c r="C7525" t="str">
        <f t="shared" si="1374"/>
        <v>PIX</v>
      </c>
      <c r="D7525" t="str">
        <f>"23723"</f>
        <v>23723</v>
      </c>
      <c r="E7525" t="str">
        <f t="shared" si="1378"/>
        <v>1</v>
      </c>
      <c r="F7525" t="str">
        <f t="shared" si="1377"/>
        <v>COM</v>
      </c>
      <c r="G7525" t="str">
        <f>"VITOR DE SOUZA SILVA (360)"</f>
        <v>VITOR DE SOUZA SILVA (360)</v>
      </c>
      <c r="H7525" t="s">
        <v>2084</v>
      </c>
      <c r="I7525" t="str">
        <f t="shared" si="1375"/>
        <v>24/10/2025</v>
      </c>
      <c r="J7525" t="str">
        <f t="shared" si="1379"/>
        <v>14/10/2025</v>
      </c>
      <c r="K7525">
        <v>45954</v>
      </c>
      <c r="N7525">
        <v>109</v>
      </c>
      <c r="O7525" t="s">
        <v>24</v>
      </c>
      <c r="Q7525">
        <v>618.32000000000005</v>
      </c>
      <c r="R7525" t="str">
        <f>"FARMÁCIA INDIANA LJ 128 (10057)"</f>
        <v>FARMÁCIA INDIANA LJ 128 (10057)</v>
      </c>
      <c r="S7525" t="s">
        <v>77</v>
      </c>
      <c r="T7525">
        <v>20230</v>
      </c>
      <c r="U7525">
        <v>23723</v>
      </c>
      <c r="V7525" t="s">
        <v>77</v>
      </c>
    </row>
    <row r="7526" spans="1:22">
      <c r="A7526" t="str">
        <f t="shared" si="1376"/>
        <v>24/10/2025</v>
      </c>
      <c r="B7526" t="str">
        <f t="shared" si="1373"/>
        <v>SAÍDA</v>
      </c>
      <c r="C7526" t="str">
        <f t="shared" si="1374"/>
        <v>PIX</v>
      </c>
      <c r="D7526" t="str">
        <f>"23724"</f>
        <v>23724</v>
      </c>
      <c r="E7526" t="str">
        <f t="shared" si="1378"/>
        <v>1</v>
      </c>
      <c r="F7526" t="str">
        <f t="shared" si="1377"/>
        <v>COM</v>
      </c>
      <c r="G7526" t="str">
        <f>"WAGNER DOS SANTOS LIMA (31)"</f>
        <v>WAGNER DOS SANTOS LIMA (31)</v>
      </c>
      <c r="H7526" t="str">
        <f>"Serv.Prest. 06/10/2025 a 12/10/2025 - PIX: CELULAR - CHAVE: (33) 99118-9032"</f>
        <v>Serv.Prest. 06/10/2025 a 12/10/2025 - PIX: CELULAR - CHAVE: (33) 99118-9032</v>
      </c>
      <c r="I7526" t="str">
        <f t="shared" si="1375"/>
        <v>24/10/2025</v>
      </c>
      <c r="J7526" t="str">
        <f t="shared" si="1379"/>
        <v>14/10/2025</v>
      </c>
      <c r="K7526" t="str">
        <f>("24/10/2025")</f>
        <v>24/10/2025</v>
      </c>
      <c r="L7526">
        <v>1182.5</v>
      </c>
      <c r="M7526">
        <v>1182.5</v>
      </c>
      <c r="N7526">
        <v>109</v>
      </c>
      <c r="O7526" t="str">
        <f>"PAGAMENTO DE ENTREGADORES"</f>
        <v>PAGAMENTO DE ENTREGADORES</v>
      </c>
      <c r="P7526">
        <v>1182.5</v>
      </c>
      <c r="S7526" t="str">
        <f>"BANCO C6 (149)"</f>
        <v>BANCO C6 (149)</v>
      </c>
      <c r="T7526">
        <v>20231</v>
      </c>
      <c r="U7526">
        <v>23724</v>
      </c>
      <c r="V7526" t="s">
        <v>77</v>
      </c>
    </row>
    <row r="7527" spans="1:22">
      <c r="A7527" t="str">
        <f t="shared" si="1376"/>
        <v>24/10/2025</v>
      </c>
      <c r="B7527" t="str">
        <f t="shared" si="1373"/>
        <v>SAÍDA</v>
      </c>
      <c r="C7527" t="str">
        <f t="shared" si="1374"/>
        <v>PIX</v>
      </c>
      <c r="D7527" t="str">
        <f>"23724"</f>
        <v>23724</v>
      </c>
      <c r="E7527" t="str">
        <f t="shared" si="1378"/>
        <v>1</v>
      </c>
      <c r="F7527" t="str">
        <f t="shared" si="1377"/>
        <v>COM</v>
      </c>
      <c r="G7527" t="str">
        <f>"WAGNER DOS SANTOS LIMA (31)"</f>
        <v>WAGNER DOS SANTOS LIMA (31)</v>
      </c>
      <c r="H7527" t="s">
        <v>2085</v>
      </c>
      <c r="I7527" t="str">
        <f t="shared" si="1375"/>
        <v>24/10/2025</v>
      </c>
      <c r="J7527" t="str">
        <f t="shared" si="1379"/>
        <v>14/10/2025</v>
      </c>
      <c r="K7527">
        <v>45954</v>
      </c>
      <c r="N7527">
        <v>109</v>
      </c>
      <c r="O7527" t="s">
        <v>24</v>
      </c>
      <c r="Q7527">
        <v>1182.5</v>
      </c>
      <c r="R7527" t="str">
        <f>"FARMÁCIA INDIANA LJ 61 (10027)"</f>
        <v>FARMÁCIA INDIANA LJ 61 (10027)</v>
      </c>
      <c r="S7527" t="s">
        <v>77</v>
      </c>
      <c r="T7527">
        <v>20231</v>
      </c>
      <c r="U7527">
        <v>23724</v>
      </c>
      <c r="V7527" t="s">
        <v>77</v>
      </c>
    </row>
    <row r="7528" spans="1:22">
      <c r="A7528" t="str">
        <f t="shared" si="1376"/>
        <v>24/10/2025</v>
      </c>
      <c r="B7528" t="str">
        <f t="shared" si="1373"/>
        <v>SAÍDA</v>
      </c>
      <c r="C7528" t="str">
        <f t="shared" si="1374"/>
        <v>PIX</v>
      </c>
      <c r="D7528" t="str">
        <f>"23725"</f>
        <v>23725</v>
      </c>
      <c r="E7528" t="str">
        <f t="shared" si="1378"/>
        <v>1</v>
      </c>
      <c r="F7528" t="str">
        <f t="shared" si="1377"/>
        <v>COM</v>
      </c>
      <c r="G7528" t="str">
        <f>"WANDERSON JÚNIOR SOARES (628)"</f>
        <v>WANDERSON JÚNIOR SOARES (628)</v>
      </c>
      <c r="H7528" t="str">
        <f>"Serv.Prest. 06/10/2025 a 12/10/2025 - PIX: CPF - CHAVE: 170.180.266-01"</f>
        <v>Serv.Prest. 06/10/2025 a 12/10/2025 - PIX: CPF - CHAVE: 170.180.266-01</v>
      </c>
      <c r="I7528" t="str">
        <f t="shared" si="1375"/>
        <v>24/10/2025</v>
      </c>
      <c r="J7528" t="str">
        <f t="shared" si="1379"/>
        <v>14/10/2025</v>
      </c>
      <c r="K7528" t="str">
        <f>("24/10/2025")</f>
        <v>24/10/2025</v>
      </c>
      <c r="L7528">
        <v>702</v>
      </c>
      <c r="M7528">
        <v>702</v>
      </c>
      <c r="N7528">
        <v>109</v>
      </c>
      <c r="O7528" t="str">
        <f>"PAGAMENTO DE ENTREGADORES"</f>
        <v>PAGAMENTO DE ENTREGADORES</v>
      </c>
      <c r="P7528">
        <v>702</v>
      </c>
      <c r="S7528" t="str">
        <f>"BANCO C6 (149)"</f>
        <v>BANCO C6 (149)</v>
      </c>
      <c r="T7528">
        <v>20232</v>
      </c>
      <c r="U7528">
        <v>23725</v>
      </c>
      <c r="V7528" t="s">
        <v>77</v>
      </c>
    </row>
    <row r="7529" spans="1:22">
      <c r="A7529" t="str">
        <f t="shared" si="1376"/>
        <v>24/10/2025</v>
      </c>
      <c r="B7529" t="str">
        <f t="shared" si="1373"/>
        <v>SAÍDA</v>
      </c>
      <c r="C7529" t="str">
        <f t="shared" si="1374"/>
        <v>PIX</v>
      </c>
      <c r="D7529" t="str">
        <f>"23725"</f>
        <v>23725</v>
      </c>
      <c r="E7529" t="str">
        <f t="shared" si="1378"/>
        <v>1</v>
      </c>
      <c r="F7529" t="str">
        <f t="shared" si="1377"/>
        <v>COM</v>
      </c>
      <c r="G7529" t="str">
        <f>"WANDERSON JÚNIOR SOARES (628)"</f>
        <v>WANDERSON JÚNIOR SOARES (628)</v>
      </c>
      <c r="H7529" t="s">
        <v>2086</v>
      </c>
      <c r="I7529" t="str">
        <f t="shared" si="1375"/>
        <v>24/10/2025</v>
      </c>
      <c r="J7529" t="str">
        <f t="shared" si="1379"/>
        <v>14/10/2025</v>
      </c>
      <c r="K7529">
        <v>45954</v>
      </c>
      <c r="N7529">
        <v>109</v>
      </c>
      <c r="O7529" t="s">
        <v>24</v>
      </c>
      <c r="Q7529">
        <v>702</v>
      </c>
      <c r="R7529" t="str">
        <f>"FARMÁCIA INDIANA LJ 110 (10048)"</f>
        <v>FARMÁCIA INDIANA LJ 110 (10048)</v>
      </c>
      <c r="S7529" t="s">
        <v>77</v>
      </c>
      <c r="T7529">
        <v>20232</v>
      </c>
      <c r="U7529">
        <v>23725</v>
      </c>
      <c r="V7529" t="s">
        <v>77</v>
      </c>
    </row>
    <row r="7530" spans="1:22">
      <c r="A7530" t="str">
        <f t="shared" si="1376"/>
        <v>24/10/2025</v>
      </c>
      <c r="B7530" t="str">
        <f t="shared" si="1373"/>
        <v>SAÍDA</v>
      </c>
      <c r="C7530" t="str">
        <f t="shared" si="1374"/>
        <v>PIX</v>
      </c>
      <c r="D7530" t="str">
        <f>"23726"</f>
        <v>23726</v>
      </c>
      <c r="E7530" t="str">
        <f t="shared" si="1378"/>
        <v>1</v>
      </c>
      <c r="F7530" t="str">
        <f t="shared" si="1377"/>
        <v>COM</v>
      </c>
      <c r="G7530" t="str">
        <f>"WARLEN JUNIO ELIAS DE OLIVEIRA (171)"</f>
        <v>WARLEN JUNIO ELIAS DE OLIVEIRA (171)</v>
      </c>
      <c r="H7530" t="str">
        <f>"Serv.Prest. 06/10/2025 a 12/10/2025 - PIX: CELULAR - CHAVE: (31) 97251-6838"</f>
        <v>Serv.Prest. 06/10/2025 a 12/10/2025 - PIX: CELULAR - CHAVE: (31) 97251-6838</v>
      </c>
      <c r="I7530" t="str">
        <f t="shared" si="1375"/>
        <v>24/10/2025</v>
      </c>
      <c r="J7530" t="str">
        <f t="shared" si="1379"/>
        <v>14/10/2025</v>
      </c>
      <c r="K7530" t="str">
        <f>("24/10/2025")</f>
        <v>24/10/2025</v>
      </c>
      <c r="L7530">
        <v>575</v>
      </c>
      <c r="M7530">
        <v>575</v>
      </c>
      <c r="N7530">
        <v>109</v>
      </c>
      <c r="O7530" t="str">
        <f>"PAGAMENTO DE ENTREGADORES"</f>
        <v>PAGAMENTO DE ENTREGADORES</v>
      </c>
      <c r="P7530">
        <v>575</v>
      </c>
      <c r="S7530" t="str">
        <f>"BANCO C6 (149)"</f>
        <v>BANCO C6 (149)</v>
      </c>
      <c r="T7530">
        <v>20233</v>
      </c>
      <c r="U7530">
        <v>23726</v>
      </c>
      <c r="V7530" t="s">
        <v>77</v>
      </c>
    </row>
    <row r="7531" spans="1:22">
      <c r="A7531" t="str">
        <f t="shared" si="1376"/>
        <v>24/10/2025</v>
      </c>
      <c r="B7531" t="str">
        <f t="shared" si="1373"/>
        <v>SAÍDA</v>
      </c>
      <c r="C7531" t="str">
        <f t="shared" si="1374"/>
        <v>PIX</v>
      </c>
      <c r="D7531" t="str">
        <f>"23726"</f>
        <v>23726</v>
      </c>
      <c r="E7531" t="str">
        <f t="shared" si="1378"/>
        <v>1</v>
      </c>
      <c r="F7531" t="str">
        <f t="shared" si="1377"/>
        <v>COM</v>
      </c>
      <c r="G7531" t="str">
        <f>"WARLEN JUNIO ELIAS DE OLIVEIRA (171)"</f>
        <v>WARLEN JUNIO ELIAS DE OLIVEIRA (171)</v>
      </c>
      <c r="H7531" t="s">
        <v>2087</v>
      </c>
      <c r="I7531" t="str">
        <f t="shared" si="1375"/>
        <v>24/10/2025</v>
      </c>
      <c r="J7531" t="str">
        <f t="shared" si="1379"/>
        <v>14/10/2025</v>
      </c>
      <c r="K7531">
        <v>45954</v>
      </c>
      <c r="N7531">
        <v>109</v>
      </c>
      <c r="O7531" t="s">
        <v>24</v>
      </c>
      <c r="Q7531">
        <v>575</v>
      </c>
      <c r="R7531" t="str">
        <f>"FARMÁCIA INDIANA LJ 175 (10076)"</f>
        <v>FARMÁCIA INDIANA LJ 175 (10076)</v>
      </c>
      <c r="S7531" t="s">
        <v>77</v>
      </c>
      <c r="T7531">
        <v>20233</v>
      </c>
      <c r="U7531">
        <v>23726</v>
      </c>
      <c r="V7531" t="s">
        <v>77</v>
      </c>
    </row>
    <row r="7532" spans="1:22">
      <c r="A7532" t="str">
        <f t="shared" si="1376"/>
        <v>24/10/2025</v>
      </c>
      <c r="B7532" t="str">
        <f t="shared" ref="B7532:B7595" si="1380">"SAÍDA"</f>
        <v>SAÍDA</v>
      </c>
      <c r="C7532" t="str">
        <f t="shared" ref="C7532:C7595" si="1381">"PIX"</f>
        <v>PIX</v>
      </c>
      <c r="D7532" t="str">
        <f>"23728"</f>
        <v>23728</v>
      </c>
      <c r="E7532" t="str">
        <f t="shared" si="1378"/>
        <v>1</v>
      </c>
      <c r="F7532" t="str">
        <f t="shared" si="1377"/>
        <v>COM</v>
      </c>
      <c r="G7532" t="str">
        <f>"WELLINGTON DOS SANTOS ALVES (438)"</f>
        <v>WELLINGTON DOS SANTOS ALVES (438)</v>
      </c>
      <c r="H7532" t="str">
        <f>"Serv.Prest. 06/10/2025 a 12/10/2025 - PIX: CELULAR - CHAVE: (32) 99800-1691"</f>
        <v>Serv.Prest. 06/10/2025 a 12/10/2025 - PIX: CELULAR - CHAVE: (32) 99800-1691</v>
      </c>
      <c r="I7532" t="str">
        <f t="shared" ref="I7532:I7595" si="1382">("24/10/2025")</f>
        <v>24/10/2025</v>
      </c>
      <c r="J7532" t="str">
        <f t="shared" si="1379"/>
        <v>14/10/2025</v>
      </c>
      <c r="K7532" t="str">
        <f>("24/10/2025")</f>
        <v>24/10/2025</v>
      </c>
      <c r="L7532">
        <v>700.8</v>
      </c>
      <c r="M7532">
        <v>700.8</v>
      </c>
      <c r="N7532">
        <v>109</v>
      </c>
      <c r="O7532" t="str">
        <f>"PAGAMENTO DE ENTREGADORES"</f>
        <v>PAGAMENTO DE ENTREGADORES</v>
      </c>
      <c r="P7532">
        <v>700.8</v>
      </c>
      <c r="S7532" t="str">
        <f>"BANCO C6 (149)"</f>
        <v>BANCO C6 (149)</v>
      </c>
      <c r="T7532">
        <v>20234</v>
      </c>
      <c r="U7532">
        <v>23728</v>
      </c>
      <c r="V7532" t="s">
        <v>77</v>
      </c>
    </row>
    <row r="7533" spans="1:22">
      <c r="A7533" t="str">
        <f t="shared" si="1376"/>
        <v>24/10/2025</v>
      </c>
      <c r="B7533" t="str">
        <f t="shared" si="1380"/>
        <v>SAÍDA</v>
      </c>
      <c r="C7533" t="str">
        <f t="shared" si="1381"/>
        <v>PIX</v>
      </c>
      <c r="D7533" t="str">
        <f>"23728"</f>
        <v>23728</v>
      </c>
      <c r="E7533" t="str">
        <f t="shared" si="1378"/>
        <v>1</v>
      </c>
      <c r="F7533" t="str">
        <f t="shared" si="1377"/>
        <v>COM</v>
      </c>
      <c r="G7533" t="str">
        <f>"WELLINGTON DOS SANTOS ALVES (438)"</f>
        <v>WELLINGTON DOS SANTOS ALVES (438)</v>
      </c>
      <c r="H7533" t="s">
        <v>2088</v>
      </c>
      <c r="I7533" t="str">
        <f t="shared" si="1382"/>
        <v>24/10/2025</v>
      </c>
      <c r="J7533" t="str">
        <f t="shared" si="1379"/>
        <v>14/10/2025</v>
      </c>
      <c r="K7533">
        <v>45954</v>
      </c>
      <c r="N7533">
        <v>109</v>
      </c>
      <c r="O7533" t="s">
        <v>24</v>
      </c>
      <c r="Q7533">
        <v>381.17</v>
      </c>
      <c r="R7533" t="str">
        <f>"FARMÁCIA INDIANA LJ 112 (10050)"</f>
        <v>FARMÁCIA INDIANA LJ 112 (10050)</v>
      </c>
      <c r="S7533" t="s">
        <v>77</v>
      </c>
      <c r="T7533">
        <v>20234</v>
      </c>
      <c r="U7533">
        <v>23728</v>
      </c>
      <c r="V7533" t="s">
        <v>77</v>
      </c>
    </row>
    <row r="7534" spans="1:22">
      <c r="A7534" t="str">
        <f t="shared" si="1376"/>
        <v>24/10/2025</v>
      </c>
      <c r="B7534" t="str">
        <f t="shared" si="1380"/>
        <v>SAÍDA</v>
      </c>
      <c r="C7534" t="str">
        <f t="shared" si="1381"/>
        <v>PIX</v>
      </c>
      <c r="D7534" t="str">
        <f>"23728"</f>
        <v>23728</v>
      </c>
      <c r="E7534" t="str">
        <f t="shared" si="1378"/>
        <v>1</v>
      </c>
      <c r="F7534" t="str">
        <f t="shared" si="1377"/>
        <v>COM</v>
      </c>
      <c r="G7534" t="str">
        <f>"WELLINGTON DOS SANTOS ALVES (438)"</f>
        <v>WELLINGTON DOS SANTOS ALVES (438)</v>
      </c>
      <c r="H7534" t="s">
        <v>2088</v>
      </c>
      <c r="I7534" t="str">
        <f t="shared" si="1382"/>
        <v>24/10/2025</v>
      </c>
      <c r="J7534" t="str">
        <f t="shared" si="1379"/>
        <v>14/10/2025</v>
      </c>
      <c r="K7534">
        <v>45954</v>
      </c>
      <c r="N7534">
        <v>109</v>
      </c>
      <c r="O7534" t="s">
        <v>24</v>
      </c>
      <c r="Q7534">
        <v>184.45</v>
      </c>
      <c r="R7534" t="str">
        <f>"FARMÁCIA INDIANA LJ 116 (10051)"</f>
        <v>FARMÁCIA INDIANA LJ 116 (10051)</v>
      </c>
      <c r="S7534" t="s">
        <v>77</v>
      </c>
      <c r="T7534">
        <v>20234</v>
      </c>
      <c r="U7534">
        <v>23728</v>
      </c>
      <c r="V7534" t="s">
        <v>77</v>
      </c>
    </row>
    <row r="7535" spans="1:22">
      <c r="A7535" t="str">
        <f t="shared" si="1376"/>
        <v>24/10/2025</v>
      </c>
      <c r="B7535" t="str">
        <f t="shared" si="1380"/>
        <v>SAÍDA</v>
      </c>
      <c r="C7535" t="str">
        <f t="shared" si="1381"/>
        <v>PIX</v>
      </c>
      <c r="D7535" t="str">
        <f>"23728"</f>
        <v>23728</v>
      </c>
      <c r="E7535" t="str">
        <f t="shared" si="1378"/>
        <v>1</v>
      </c>
      <c r="F7535" t="str">
        <f t="shared" si="1377"/>
        <v>COM</v>
      </c>
      <c r="G7535" t="str">
        <f>"WELLINGTON DOS SANTOS ALVES (438)"</f>
        <v>WELLINGTON DOS SANTOS ALVES (438)</v>
      </c>
      <c r="H7535" t="s">
        <v>2088</v>
      </c>
      <c r="I7535" t="str">
        <f t="shared" si="1382"/>
        <v>24/10/2025</v>
      </c>
      <c r="J7535" t="str">
        <f t="shared" si="1379"/>
        <v>14/10/2025</v>
      </c>
      <c r="K7535">
        <v>45954</v>
      </c>
      <c r="N7535">
        <v>109</v>
      </c>
      <c r="O7535" t="s">
        <v>24</v>
      </c>
      <c r="Q7535">
        <v>36.86</v>
      </c>
      <c r="R7535" t="str">
        <f>"FARMÁCIA INDIANA LJ 121 (10054)"</f>
        <v>FARMÁCIA INDIANA LJ 121 (10054)</v>
      </c>
      <c r="S7535" t="s">
        <v>77</v>
      </c>
      <c r="T7535">
        <v>20234</v>
      </c>
      <c r="U7535">
        <v>23728</v>
      </c>
      <c r="V7535" t="s">
        <v>77</v>
      </c>
    </row>
    <row r="7536" spans="1:22">
      <c r="A7536" t="str">
        <f t="shared" si="1376"/>
        <v>24/10/2025</v>
      </c>
      <c r="B7536" t="str">
        <f t="shared" si="1380"/>
        <v>SAÍDA</v>
      </c>
      <c r="C7536" t="str">
        <f t="shared" si="1381"/>
        <v>PIX</v>
      </c>
      <c r="D7536" t="str">
        <f>"23728"</f>
        <v>23728</v>
      </c>
      <c r="E7536" t="str">
        <f t="shared" si="1378"/>
        <v>1</v>
      </c>
      <c r="F7536" t="str">
        <f t="shared" si="1377"/>
        <v>COM</v>
      </c>
      <c r="G7536" t="str">
        <f>"WELLINGTON DOS SANTOS ALVES (438)"</f>
        <v>WELLINGTON DOS SANTOS ALVES (438)</v>
      </c>
      <c r="H7536" t="s">
        <v>2088</v>
      </c>
      <c r="I7536" t="str">
        <f t="shared" si="1382"/>
        <v>24/10/2025</v>
      </c>
      <c r="J7536" t="str">
        <f t="shared" si="1379"/>
        <v>14/10/2025</v>
      </c>
      <c r="K7536">
        <v>45954</v>
      </c>
      <c r="N7536">
        <v>109</v>
      </c>
      <c r="O7536" t="s">
        <v>24</v>
      </c>
      <c r="Q7536">
        <v>98.32</v>
      </c>
      <c r="R7536" t="str">
        <f>"FARMÁCIA INDIANA LJ 128 (10057)"</f>
        <v>FARMÁCIA INDIANA LJ 128 (10057)</v>
      </c>
      <c r="S7536" t="s">
        <v>77</v>
      </c>
      <c r="T7536">
        <v>20234</v>
      </c>
      <c r="U7536">
        <v>23728</v>
      </c>
      <c r="V7536" t="s">
        <v>77</v>
      </c>
    </row>
    <row r="7537" spans="1:22">
      <c r="A7537" t="str">
        <f t="shared" ref="A7537:A7600" si="1383">("24/10/2025")</f>
        <v>24/10/2025</v>
      </c>
      <c r="B7537" t="str">
        <f t="shared" si="1380"/>
        <v>SAÍDA</v>
      </c>
      <c r="C7537" t="str">
        <f t="shared" si="1381"/>
        <v>PIX</v>
      </c>
      <c r="D7537" t="str">
        <f>"23729"</f>
        <v>23729</v>
      </c>
      <c r="E7537" t="str">
        <f t="shared" si="1378"/>
        <v>1</v>
      </c>
      <c r="F7537" t="str">
        <f t="shared" ref="F7537:F7600" si="1384">"COM"</f>
        <v>COM</v>
      </c>
      <c r="G7537" t="str">
        <f>"WELVES DA SILVA RAMOS (194)"</f>
        <v>WELVES DA SILVA RAMOS (194)</v>
      </c>
      <c r="H7537" t="str">
        <f>"Serv.Prest. 06/10/2025 a 12/10/2025 - PIX: CPF - CHAVE: 700.454.836-80"</f>
        <v>Serv.Prest. 06/10/2025 a 12/10/2025 - PIX: CPF - CHAVE: 700.454.836-80</v>
      </c>
      <c r="I7537" t="str">
        <f t="shared" si="1382"/>
        <v>24/10/2025</v>
      </c>
      <c r="J7537" t="str">
        <f t="shared" si="1379"/>
        <v>14/10/2025</v>
      </c>
      <c r="K7537" t="str">
        <f>("24/10/2025")</f>
        <v>24/10/2025</v>
      </c>
      <c r="L7537">
        <v>1080</v>
      </c>
      <c r="M7537">
        <v>1080</v>
      </c>
      <c r="N7537">
        <v>109</v>
      </c>
      <c r="O7537" t="str">
        <f>"PAGAMENTO DE ENTREGADORES"</f>
        <v>PAGAMENTO DE ENTREGADORES</v>
      </c>
      <c r="P7537">
        <v>1080</v>
      </c>
      <c r="S7537" t="str">
        <f>"BANCO C6 (149)"</f>
        <v>BANCO C6 (149)</v>
      </c>
      <c r="T7537">
        <v>20235</v>
      </c>
      <c r="U7537">
        <v>23729</v>
      </c>
      <c r="V7537" t="s">
        <v>77</v>
      </c>
    </row>
    <row r="7538" spans="1:22">
      <c r="A7538" t="str">
        <f t="shared" si="1383"/>
        <v>24/10/2025</v>
      </c>
      <c r="B7538" t="str">
        <f t="shared" si="1380"/>
        <v>SAÍDA</v>
      </c>
      <c r="C7538" t="str">
        <f t="shared" si="1381"/>
        <v>PIX</v>
      </c>
      <c r="D7538" t="str">
        <f>"23729"</f>
        <v>23729</v>
      </c>
      <c r="E7538" t="str">
        <f t="shared" si="1378"/>
        <v>1</v>
      </c>
      <c r="F7538" t="str">
        <f t="shared" si="1384"/>
        <v>COM</v>
      </c>
      <c r="G7538" t="str">
        <f>"WELVES DA SILVA RAMOS (194)"</f>
        <v>WELVES DA SILVA RAMOS (194)</v>
      </c>
      <c r="H7538" t="s">
        <v>2089</v>
      </c>
      <c r="I7538" t="str">
        <f t="shared" si="1382"/>
        <v>24/10/2025</v>
      </c>
      <c r="J7538" t="str">
        <f t="shared" si="1379"/>
        <v>14/10/2025</v>
      </c>
      <c r="K7538">
        <v>45954</v>
      </c>
      <c r="N7538">
        <v>109</v>
      </c>
      <c r="O7538" t="s">
        <v>24</v>
      </c>
      <c r="Q7538">
        <v>1080</v>
      </c>
      <c r="R7538" t="str">
        <f>"FARMÁCIA INDIANA LJ 06 (10006)"</f>
        <v>FARMÁCIA INDIANA LJ 06 (10006)</v>
      </c>
      <c r="S7538" t="s">
        <v>77</v>
      </c>
      <c r="T7538">
        <v>20235</v>
      </c>
      <c r="U7538">
        <v>23729</v>
      </c>
      <c r="V7538" t="s">
        <v>77</v>
      </c>
    </row>
    <row r="7539" spans="1:22">
      <c r="A7539" t="str">
        <f t="shared" si="1383"/>
        <v>24/10/2025</v>
      </c>
      <c r="B7539" t="str">
        <f t="shared" si="1380"/>
        <v>SAÍDA</v>
      </c>
      <c r="C7539" t="str">
        <f t="shared" si="1381"/>
        <v>PIX</v>
      </c>
      <c r="D7539" t="str">
        <f>"23730"</f>
        <v>23730</v>
      </c>
      <c r="E7539" t="str">
        <f t="shared" si="1378"/>
        <v>1</v>
      </c>
      <c r="F7539" t="str">
        <f t="shared" si="1384"/>
        <v>COM</v>
      </c>
      <c r="G7539" t="str">
        <f>"WEMERSON FELIPE LOPES (187)"</f>
        <v>WEMERSON FELIPE LOPES (187)</v>
      </c>
      <c r="H7539" t="str">
        <f>"Serv.Prest. 06/10/2025 a 12/10/2025 - PIX: CELULAR - CHAVE: (33) 98806-5772"</f>
        <v>Serv.Prest. 06/10/2025 a 12/10/2025 - PIX: CELULAR - CHAVE: (33) 98806-5772</v>
      </c>
      <c r="I7539" t="str">
        <f t="shared" si="1382"/>
        <v>24/10/2025</v>
      </c>
      <c r="J7539" t="str">
        <f t="shared" si="1379"/>
        <v>14/10/2025</v>
      </c>
      <c r="K7539" t="str">
        <f>("24/10/2025")</f>
        <v>24/10/2025</v>
      </c>
      <c r="L7539">
        <v>1092</v>
      </c>
      <c r="M7539">
        <v>1092</v>
      </c>
      <c r="N7539">
        <v>109</v>
      </c>
      <c r="O7539" t="str">
        <f>"PAGAMENTO DE ENTREGADORES"</f>
        <v>PAGAMENTO DE ENTREGADORES</v>
      </c>
      <c r="P7539">
        <v>1092</v>
      </c>
      <c r="S7539" t="str">
        <f>"BANCO C6 (149)"</f>
        <v>BANCO C6 (149)</v>
      </c>
      <c r="T7539">
        <v>20236</v>
      </c>
      <c r="U7539">
        <v>23730</v>
      </c>
      <c r="V7539" t="s">
        <v>77</v>
      </c>
    </row>
    <row r="7540" spans="1:22">
      <c r="A7540" t="str">
        <f t="shared" si="1383"/>
        <v>24/10/2025</v>
      </c>
      <c r="B7540" t="str">
        <f t="shared" si="1380"/>
        <v>SAÍDA</v>
      </c>
      <c r="C7540" t="str">
        <f t="shared" si="1381"/>
        <v>PIX</v>
      </c>
      <c r="D7540" t="str">
        <f>"23730"</f>
        <v>23730</v>
      </c>
      <c r="E7540" t="str">
        <f t="shared" si="1378"/>
        <v>1</v>
      </c>
      <c r="F7540" t="str">
        <f t="shared" si="1384"/>
        <v>COM</v>
      </c>
      <c r="G7540" t="str">
        <f>"WEMERSON FELIPE LOPES (187)"</f>
        <v>WEMERSON FELIPE LOPES (187)</v>
      </c>
      <c r="H7540" t="s">
        <v>2090</v>
      </c>
      <c r="I7540" t="str">
        <f t="shared" si="1382"/>
        <v>24/10/2025</v>
      </c>
      <c r="J7540" t="str">
        <f t="shared" si="1379"/>
        <v>14/10/2025</v>
      </c>
      <c r="K7540">
        <v>45954</v>
      </c>
      <c r="N7540">
        <v>109</v>
      </c>
      <c r="O7540" t="s">
        <v>24</v>
      </c>
      <c r="Q7540">
        <v>1092</v>
      </c>
      <c r="R7540" t="str">
        <f>"FARMÁCIA INDIANA LJ 06 (10006)"</f>
        <v>FARMÁCIA INDIANA LJ 06 (10006)</v>
      </c>
      <c r="S7540" t="s">
        <v>77</v>
      </c>
      <c r="T7540">
        <v>20236</v>
      </c>
      <c r="U7540">
        <v>23730</v>
      </c>
      <c r="V7540" t="s">
        <v>77</v>
      </c>
    </row>
    <row r="7541" spans="1:22">
      <c r="A7541" t="str">
        <f t="shared" si="1383"/>
        <v>24/10/2025</v>
      </c>
      <c r="B7541" t="str">
        <f t="shared" si="1380"/>
        <v>SAÍDA</v>
      </c>
      <c r="C7541" t="str">
        <f t="shared" si="1381"/>
        <v>PIX</v>
      </c>
      <c r="D7541" t="str">
        <f>"23731"</f>
        <v>23731</v>
      </c>
      <c r="E7541" t="str">
        <f t="shared" si="1378"/>
        <v>1</v>
      </c>
      <c r="F7541" t="str">
        <f t="shared" si="1384"/>
        <v>COM</v>
      </c>
      <c r="G7541" t="str">
        <f>"WEMERSON MOREIRA PESSOA (75)"</f>
        <v>WEMERSON MOREIRA PESSOA (75)</v>
      </c>
      <c r="H7541" t="str">
        <f>"Serv.Prest. 06/10/2025 a 12/10/2025 - PIX: CELULAR - CHAVE: (33) 99996-3668"</f>
        <v>Serv.Prest. 06/10/2025 a 12/10/2025 - PIX: CELULAR - CHAVE: (33) 99996-3668</v>
      </c>
      <c r="I7541" t="str">
        <f t="shared" si="1382"/>
        <v>24/10/2025</v>
      </c>
      <c r="J7541" t="str">
        <f t="shared" si="1379"/>
        <v>14/10/2025</v>
      </c>
      <c r="K7541" t="str">
        <f>("24/10/2025")</f>
        <v>24/10/2025</v>
      </c>
      <c r="L7541">
        <v>900</v>
      </c>
      <c r="M7541">
        <v>900</v>
      </c>
      <c r="N7541">
        <v>109</v>
      </c>
      <c r="O7541" t="str">
        <f>"PAGAMENTO DE ENTREGADORES"</f>
        <v>PAGAMENTO DE ENTREGADORES</v>
      </c>
      <c r="P7541">
        <v>900</v>
      </c>
      <c r="S7541" t="str">
        <f>"BANCO C6 (149)"</f>
        <v>BANCO C6 (149)</v>
      </c>
      <c r="T7541">
        <v>20237</v>
      </c>
      <c r="U7541">
        <v>23731</v>
      </c>
      <c r="V7541" t="s">
        <v>77</v>
      </c>
    </row>
    <row r="7542" spans="1:22">
      <c r="A7542" t="str">
        <f t="shared" si="1383"/>
        <v>24/10/2025</v>
      </c>
      <c r="B7542" t="str">
        <f t="shared" si="1380"/>
        <v>SAÍDA</v>
      </c>
      <c r="C7542" t="str">
        <f t="shared" si="1381"/>
        <v>PIX</v>
      </c>
      <c r="D7542" t="str">
        <f>"23731"</f>
        <v>23731</v>
      </c>
      <c r="E7542" t="str">
        <f t="shared" si="1378"/>
        <v>1</v>
      </c>
      <c r="F7542" t="str">
        <f t="shared" si="1384"/>
        <v>COM</v>
      </c>
      <c r="G7542" t="str">
        <f>"WEMERSON MOREIRA PESSOA (75)"</f>
        <v>WEMERSON MOREIRA PESSOA (75)</v>
      </c>
      <c r="H7542" t="s">
        <v>2091</v>
      </c>
      <c r="I7542" t="str">
        <f t="shared" si="1382"/>
        <v>24/10/2025</v>
      </c>
      <c r="J7542" t="str">
        <f t="shared" si="1379"/>
        <v>14/10/2025</v>
      </c>
      <c r="K7542">
        <v>45954</v>
      </c>
      <c r="N7542">
        <v>109</v>
      </c>
      <c r="O7542" t="s">
        <v>24</v>
      </c>
      <c r="Q7542">
        <v>900</v>
      </c>
      <c r="R7542" t="str">
        <f>"FARMÁCIA INDIANA LJ 07 (10007)"</f>
        <v>FARMÁCIA INDIANA LJ 07 (10007)</v>
      </c>
      <c r="S7542" t="s">
        <v>77</v>
      </c>
      <c r="T7542">
        <v>20237</v>
      </c>
      <c r="U7542">
        <v>23731</v>
      </c>
      <c r="V7542" t="s">
        <v>77</v>
      </c>
    </row>
    <row r="7543" spans="1:22">
      <c r="A7543" t="str">
        <f t="shared" si="1383"/>
        <v>24/10/2025</v>
      </c>
      <c r="B7543" t="str">
        <f t="shared" si="1380"/>
        <v>SAÍDA</v>
      </c>
      <c r="C7543" t="str">
        <f t="shared" si="1381"/>
        <v>PIX</v>
      </c>
      <c r="D7543" t="str">
        <f>"23732"</f>
        <v>23732</v>
      </c>
      <c r="E7543" t="str">
        <f t="shared" si="1378"/>
        <v>1</v>
      </c>
      <c r="F7543" t="str">
        <f t="shared" si="1384"/>
        <v>COM</v>
      </c>
      <c r="G7543" t="str">
        <f>"WENDEL LIMA DE SOUZA (112)"</f>
        <v>WENDEL LIMA DE SOUZA (112)</v>
      </c>
      <c r="H7543" t="str">
        <f>"Serv.Prest. 06/10/2025 a 12/10/2025 - PIX: CPF - CHAVE: 012.906.122-00"</f>
        <v>Serv.Prest. 06/10/2025 a 12/10/2025 - PIX: CPF - CHAVE: 012.906.122-00</v>
      </c>
      <c r="I7543" t="str">
        <f t="shared" si="1382"/>
        <v>24/10/2025</v>
      </c>
      <c r="J7543" t="str">
        <f t="shared" si="1379"/>
        <v>14/10/2025</v>
      </c>
      <c r="K7543" t="str">
        <f>("24/10/2025")</f>
        <v>24/10/2025</v>
      </c>
      <c r="L7543">
        <v>1386</v>
      </c>
      <c r="M7543">
        <v>1386</v>
      </c>
      <c r="N7543">
        <v>109</v>
      </c>
      <c r="O7543" t="str">
        <f>"PAGAMENTO DE ENTREGADORES"</f>
        <v>PAGAMENTO DE ENTREGADORES</v>
      </c>
      <c r="P7543">
        <v>1386</v>
      </c>
      <c r="S7543" t="str">
        <f>"BANCO C6 (149)"</f>
        <v>BANCO C6 (149)</v>
      </c>
      <c r="T7543">
        <v>20238</v>
      </c>
      <c r="U7543">
        <v>23732</v>
      </c>
      <c r="V7543" t="s">
        <v>77</v>
      </c>
    </row>
    <row r="7544" spans="1:22">
      <c r="A7544" t="str">
        <f t="shared" si="1383"/>
        <v>24/10/2025</v>
      </c>
      <c r="B7544" t="str">
        <f t="shared" si="1380"/>
        <v>SAÍDA</v>
      </c>
      <c r="C7544" t="str">
        <f t="shared" si="1381"/>
        <v>PIX</v>
      </c>
      <c r="D7544" t="str">
        <f>"23732"</f>
        <v>23732</v>
      </c>
      <c r="E7544" t="str">
        <f t="shared" si="1378"/>
        <v>1</v>
      </c>
      <c r="F7544" t="str">
        <f t="shared" si="1384"/>
        <v>COM</v>
      </c>
      <c r="G7544" t="str">
        <f>"WENDEL LIMA DE SOUZA (112)"</f>
        <v>WENDEL LIMA DE SOUZA (112)</v>
      </c>
      <c r="H7544" t="s">
        <v>2092</v>
      </c>
      <c r="I7544" t="str">
        <f t="shared" si="1382"/>
        <v>24/10/2025</v>
      </c>
      <c r="J7544" t="str">
        <f t="shared" si="1379"/>
        <v>14/10/2025</v>
      </c>
      <c r="K7544">
        <v>45954</v>
      </c>
      <c r="N7544">
        <v>109</v>
      </c>
      <c r="O7544" t="s">
        <v>24</v>
      </c>
      <c r="Q7544">
        <v>1386</v>
      </c>
      <c r="R7544" t="str">
        <f>"FARMÁCIA INDIANA LJ 11 (10008)"</f>
        <v>FARMÁCIA INDIANA LJ 11 (10008)</v>
      </c>
      <c r="S7544" t="s">
        <v>77</v>
      </c>
      <c r="T7544">
        <v>20238</v>
      </c>
      <c r="U7544">
        <v>23732</v>
      </c>
      <c r="V7544" t="s">
        <v>77</v>
      </c>
    </row>
    <row r="7545" spans="1:22">
      <c r="A7545" t="str">
        <f t="shared" si="1383"/>
        <v>24/10/2025</v>
      </c>
      <c r="B7545" t="str">
        <f t="shared" si="1380"/>
        <v>SAÍDA</v>
      </c>
      <c r="C7545" t="str">
        <f t="shared" si="1381"/>
        <v>PIX</v>
      </c>
      <c r="D7545" t="str">
        <f>"23733"</f>
        <v>23733</v>
      </c>
      <c r="E7545" t="str">
        <f t="shared" si="1378"/>
        <v>1</v>
      </c>
      <c r="F7545" t="str">
        <f t="shared" si="1384"/>
        <v>COM</v>
      </c>
      <c r="G7545" t="str">
        <f>"WILIAN ROSA VIEIRA (488)"</f>
        <v>WILIAN ROSA VIEIRA (488)</v>
      </c>
      <c r="H7545" t="str">
        <f>"Serv.Prest. 06/10/2025 a 12/10/2025 - PIX: E-MAIL - CHAVE: wilianvieirawrv3578@gmail.com"</f>
        <v>Serv.Prest. 06/10/2025 a 12/10/2025 - PIX: E-MAIL - CHAVE: wilianvieirawrv3578@gmail.com</v>
      </c>
      <c r="I7545" t="str">
        <f t="shared" si="1382"/>
        <v>24/10/2025</v>
      </c>
      <c r="J7545" t="str">
        <f t="shared" si="1379"/>
        <v>14/10/2025</v>
      </c>
      <c r="K7545" t="str">
        <f>("24/10/2025")</f>
        <v>24/10/2025</v>
      </c>
      <c r="L7545">
        <v>1362</v>
      </c>
      <c r="M7545">
        <v>1362</v>
      </c>
      <c r="N7545">
        <v>109</v>
      </c>
      <c r="O7545" t="str">
        <f>"PAGAMENTO DE ENTREGADORES"</f>
        <v>PAGAMENTO DE ENTREGADORES</v>
      </c>
      <c r="P7545">
        <v>1362</v>
      </c>
      <c r="S7545" t="str">
        <f>"BANCO C6 (149)"</f>
        <v>BANCO C6 (149)</v>
      </c>
      <c r="T7545">
        <v>20239</v>
      </c>
      <c r="U7545">
        <v>23733</v>
      </c>
      <c r="V7545" t="s">
        <v>77</v>
      </c>
    </row>
    <row r="7546" spans="1:22">
      <c r="A7546" t="str">
        <f t="shared" si="1383"/>
        <v>24/10/2025</v>
      </c>
      <c r="B7546" t="str">
        <f t="shared" si="1380"/>
        <v>SAÍDA</v>
      </c>
      <c r="C7546" t="str">
        <f t="shared" si="1381"/>
        <v>PIX</v>
      </c>
      <c r="D7546" t="str">
        <f>"23733"</f>
        <v>23733</v>
      </c>
      <c r="E7546" t="str">
        <f t="shared" si="1378"/>
        <v>1</v>
      </c>
      <c r="F7546" t="str">
        <f t="shared" si="1384"/>
        <v>COM</v>
      </c>
      <c r="G7546" t="str">
        <f>"WILIAN ROSA VIEIRA (488)"</f>
        <v>WILIAN ROSA VIEIRA (488)</v>
      </c>
      <c r="H7546" t="s">
        <v>2093</v>
      </c>
      <c r="I7546" t="str">
        <f t="shared" si="1382"/>
        <v>24/10/2025</v>
      </c>
      <c r="J7546" t="str">
        <f t="shared" si="1379"/>
        <v>14/10/2025</v>
      </c>
      <c r="K7546">
        <v>45954</v>
      </c>
      <c r="N7546">
        <v>109</v>
      </c>
      <c r="O7546" t="s">
        <v>24</v>
      </c>
      <c r="Q7546">
        <v>750.05</v>
      </c>
      <c r="R7546" t="str">
        <f>"FARMÁCIA INDIANA LJ 103 (10044)"</f>
        <v>FARMÁCIA INDIANA LJ 103 (10044)</v>
      </c>
      <c r="S7546" t="s">
        <v>77</v>
      </c>
      <c r="T7546">
        <v>20239</v>
      </c>
      <c r="U7546">
        <v>23733</v>
      </c>
      <c r="V7546" t="s">
        <v>77</v>
      </c>
    </row>
    <row r="7547" spans="1:22">
      <c r="A7547" t="str">
        <f t="shared" si="1383"/>
        <v>24/10/2025</v>
      </c>
      <c r="B7547" t="str">
        <f t="shared" si="1380"/>
        <v>SAÍDA</v>
      </c>
      <c r="C7547" t="str">
        <f t="shared" si="1381"/>
        <v>PIX</v>
      </c>
      <c r="D7547" t="str">
        <f>"23733"</f>
        <v>23733</v>
      </c>
      <c r="E7547" t="str">
        <f t="shared" si="1378"/>
        <v>1</v>
      </c>
      <c r="F7547" t="str">
        <f t="shared" si="1384"/>
        <v>COM</v>
      </c>
      <c r="G7547" t="str">
        <f>"WILIAN ROSA VIEIRA (488)"</f>
        <v>WILIAN ROSA VIEIRA (488)</v>
      </c>
      <c r="H7547" t="s">
        <v>2093</v>
      </c>
      <c r="I7547" t="str">
        <f t="shared" si="1382"/>
        <v>24/10/2025</v>
      </c>
      <c r="J7547" t="str">
        <f t="shared" si="1379"/>
        <v>14/10/2025</v>
      </c>
      <c r="K7547">
        <v>45954</v>
      </c>
      <c r="N7547">
        <v>109</v>
      </c>
      <c r="O7547" t="s">
        <v>24</v>
      </c>
      <c r="Q7547">
        <v>263.95999999999998</v>
      </c>
      <c r="R7547" t="str">
        <f>"FARMÁCIA INDIANA LJ 140 (10064)"</f>
        <v>FARMÁCIA INDIANA LJ 140 (10064)</v>
      </c>
      <c r="S7547" t="s">
        <v>77</v>
      </c>
      <c r="T7547">
        <v>20239</v>
      </c>
      <c r="U7547">
        <v>23733</v>
      </c>
      <c r="V7547" t="s">
        <v>77</v>
      </c>
    </row>
    <row r="7548" spans="1:22">
      <c r="A7548" t="str">
        <f t="shared" si="1383"/>
        <v>24/10/2025</v>
      </c>
      <c r="B7548" t="str">
        <f t="shared" si="1380"/>
        <v>SAÍDA</v>
      </c>
      <c r="C7548" t="str">
        <f t="shared" si="1381"/>
        <v>PIX</v>
      </c>
      <c r="D7548" t="str">
        <f>"23733"</f>
        <v>23733</v>
      </c>
      <c r="E7548" t="str">
        <f t="shared" ref="E7548:E7611" si="1385">"1"</f>
        <v>1</v>
      </c>
      <c r="F7548" t="str">
        <f t="shared" si="1384"/>
        <v>COM</v>
      </c>
      <c r="G7548" t="str">
        <f>"WILIAN ROSA VIEIRA (488)"</f>
        <v>WILIAN ROSA VIEIRA (488)</v>
      </c>
      <c r="H7548" t="s">
        <v>2093</v>
      </c>
      <c r="I7548" t="str">
        <f t="shared" si="1382"/>
        <v>24/10/2025</v>
      </c>
      <c r="J7548" t="str">
        <f t="shared" ref="J7548:J7614" si="1386">("14/10/2025")</f>
        <v>14/10/2025</v>
      </c>
      <c r="K7548">
        <v>45954</v>
      </c>
      <c r="N7548">
        <v>109</v>
      </c>
      <c r="O7548" t="s">
        <v>24</v>
      </c>
      <c r="Q7548">
        <v>102.01</v>
      </c>
      <c r="R7548" t="str">
        <f>"FARMÁCIA INDIANA LJ 141 (10065)"</f>
        <v>FARMÁCIA INDIANA LJ 141 (10065)</v>
      </c>
      <c r="S7548" t="s">
        <v>77</v>
      </c>
      <c r="T7548">
        <v>20239</v>
      </c>
      <c r="U7548">
        <v>23733</v>
      </c>
      <c r="V7548" t="s">
        <v>77</v>
      </c>
    </row>
    <row r="7549" spans="1:22">
      <c r="A7549" t="str">
        <f t="shared" si="1383"/>
        <v>24/10/2025</v>
      </c>
      <c r="B7549" t="str">
        <f t="shared" si="1380"/>
        <v>SAÍDA</v>
      </c>
      <c r="C7549" t="str">
        <f t="shared" si="1381"/>
        <v>PIX</v>
      </c>
      <c r="D7549" t="str">
        <f>"23733"</f>
        <v>23733</v>
      </c>
      <c r="E7549" t="str">
        <f t="shared" si="1385"/>
        <v>1</v>
      </c>
      <c r="F7549" t="str">
        <f t="shared" si="1384"/>
        <v>COM</v>
      </c>
      <c r="G7549" t="str">
        <f>"WILIAN ROSA VIEIRA (488)"</f>
        <v>WILIAN ROSA VIEIRA (488)</v>
      </c>
      <c r="H7549" t="s">
        <v>2093</v>
      </c>
      <c r="I7549" t="str">
        <f t="shared" si="1382"/>
        <v>24/10/2025</v>
      </c>
      <c r="J7549" t="str">
        <f t="shared" si="1386"/>
        <v>14/10/2025</v>
      </c>
      <c r="K7549">
        <v>45954</v>
      </c>
      <c r="N7549">
        <v>109</v>
      </c>
      <c r="O7549" t="s">
        <v>24</v>
      </c>
      <c r="Q7549">
        <v>245.98</v>
      </c>
      <c r="R7549" t="str">
        <f>"FARMÁCIA INDIANA LJ 154 (10070)"</f>
        <v>FARMÁCIA INDIANA LJ 154 (10070)</v>
      </c>
      <c r="S7549" t="s">
        <v>77</v>
      </c>
      <c r="T7549">
        <v>20239</v>
      </c>
      <c r="U7549">
        <v>23733</v>
      </c>
      <c r="V7549" t="s">
        <v>77</v>
      </c>
    </row>
    <row r="7550" spans="1:22">
      <c r="A7550" t="str">
        <f t="shared" si="1383"/>
        <v>24/10/2025</v>
      </c>
      <c r="B7550" t="str">
        <f t="shared" si="1380"/>
        <v>SAÍDA</v>
      </c>
      <c r="C7550" t="str">
        <f t="shared" si="1381"/>
        <v>PIX</v>
      </c>
      <c r="D7550" t="str">
        <f>"23734"</f>
        <v>23734</v>
      </c>
      <c r="E7550" t="str">
        <f t="shared" si="1385"/>
        <v>1</v>
      </c>
      <c r="F7550" t="str">
        <f t="shared" si="1384"/>
        <v>COM</v>
      </c>
      <c r="G7550" t="str">
        <f>"YAN EVERTON RODRIGUES DE LIMA (875)"</f>
        <v>YAN EVERTON RODRIGUES DE LIMA (875)</v>
      </c>
      <c r="H7550" t="str">
        <f>"Serv.Prest. 06/10/2025 a 12/10/2025 - PIX: CELULAR - CHAVE: (33) 99859-8751"</f>
        <v>Serv.Prest. 06/10/2025 a 12/10/2025 - PIX: CELULAR - CHAVE: (33) 99859-8751</v>
      </c>
      <c r="I7550" t="str">
        <f t="shared" si="1382"/>
        <v>24/10/2025</v>
      </c>
      <c r="J7550" t="str">
        <f t="shared" si="1386"/>
        <v>14/10/2025</v>
      </c>
      <c r="K7550" t="str">
        <f>("24/10/2025")</f>
        <v>24/10/2025</v>
      </c>
      <c r="L7550">
        <v>1080</v>
      </c>
      <c r="M7550">
        <v>1080</v>
      </c>
      <c r="N7550">
        <v>109</v>
      </c>
      <c r="O7550" t="str">
        <f>"PAGAMENTO DE ENTREGADORES"</f>
        <v>PAGAMENTO DE ENTREGADORES</v>
      </c>
      <c r="P7550">
        <v>1080</v>
      </c>
      <c r="S7550" t="str">
        <f>"BANCO C6 (149)"</f>
        <v>BANCO C6 (149)</v>
      </c>
      <c r="T7550">
        <v>20240</v>
      </c>
      <c r="U7550">
        <v>23734</v>
      </c>
      <c r="V7550" t="s">
        <v>77</v>
      </c>
    </row>
    <row r="7551" spans="1:22">
      <c r="A7551" t="str">
        <f t="shared" si="1383"/>
        <v>24/10/2025</v>
      </c>
      <c r="B7551" t="str">
        <f t="shared" si="1380"/>
        <v>SAÍDA</v>
      </c>
      <c r="C7551" t="str">
        <f t="shared" si="1381"/>
        <v>PIX</v>
      </c>
      <c r="D7551" t="str">
        <f>"23734"</f>
        <v>23734</v>
      </c>
      <c r="E7551" t="str">
        <f t="shared" si="1385"/>
        <v>1</v>
      </c>
      <c r="F7551" t="str">
        <f t="shared" si="1384"/>
        <v>COM</v>
      </c>
      <c r="G7551" t="str">
        <f>"YAN EVERTON RODRIGUES DE LIMA (875)"</f>
        <v>YAN EVERTON RODRIGUES DE LIMA (875)</v>
      </c>
      <c r="H7551" t="s">
        <v>2094</v>
      </c>
      <c r="I7551" t="str">
        <f t="shared" si="1382"/>
        <v>24/10/2025</v>
      </c>
      <c r="J7551" t="str">
        <f t="shared" si="1386"/>
        <v>14/10/2025</v>
      </c>
      <c r="K7551">
        <v>45954</v>
      </c>
      <c r="N7551">
        <v>109</v>
      </c>
      <c r="O7551" t="s">
        <v>24</v>
      </c>
      <c r="Q7551">
        <v>1080</v>
      </c>
      <c r="R7551" t="str">
        <f>"FARMÁCIA INDIANA LJ 06 (10006)"</f>
        <v>FARMÁCIA INDIANA LJ 06 (10006)</v>
      </c>
      <c r="S7551" t="s">
        <v>77</v>
      </c>
      <c r="T7551">
        <v>20240</v>
      </c>
      <c r="U7551">
        <v>23734</v>
      </c>
      <c r="V7551" t="s">
        <v>77</v>
      </c>
    </row>
    <row r="7552" spans="1:22">
      <c r="A7552" t="str">
        <f t="shared" si="1383"/>
        <v>24/10/2025</v>
      </c>
      <c r="B7552" t="str">
        <f t="shared" si="1380"/>
        <v>SAÍDA</v>
      </c>
      <c r="C7552" t="str">
        <f t="shared" si="1381"/>
        <v>PIX</v>
      </c>
      <c r="D7552" t="str">
        <f>"23736"</f>
        <v>23736</v>
      </c>
      <c r="E7552" t="str">
        <f t="shared" si="1385"/>
        <v>1</v>
      </c>
      <c r="F7552" t="str">
        <f t="shared" si="1384"/>
        <v>COM</v>
      </c>
      <c r="G7552" t="str">
        <f>"CARLOS ALBERTO DE JESUS SANTOS (110)"</f>
        <v>CARLOS ALBERTO DE JESUS SANTOS (110)</v>
      </c>
      <c r="H7552" t="str">
        <f>"Serv.Prest. 06/10/2025 a 12/10/2025 - PIX: CPF - CHAVE: 036.875.515-04"</f>
        <v>Serv.Prest. 06/10/2025 a 12/10/2025 - PIX: CPF - CHAVE: 036.875.515-04</v>
      </c>
      <c r="I7552" t="str">
        <f t="shared" si="1382"/>
        <v>24/10/2025</v>
      </c>
      <c r="J7552" t="str">
        <f t="shared" si="1386"/>
        <v>14/10/2025</v>
      </c>
      <c r="K7552" t="str">
        <f>("24/10/2025")</f>
        <v>24/10/2025</v>
      </c>
      <c r="L7552">
        <v>654</v>
      </c>
      <c r="M7552">
        <v>654</v>
      </c>
      <c r="N7552">
        <v>109</v>
      </c>
      <c r="O7552" t="str">
        <f>"PAGAMENTO DE ENTREGADORES"</f>
        <v>PAGAMENTO DE ENTREGADORES</v>
      </c>
      <c r="P7552">
        <v>654</v>
      </c>
      <c r="S7552" t="str">
        <f>"BANCO C6 (149)"</f>
        <v>BANCO C6 (149)</v>
      </c>
      <c r="T7552">
        <v>20241</v>
      </c>
      <c r="U7552">
        <v>23736</v>
      </c>
      <c r="V7552" t="s">
        <v>77</v>
      </c>
    </row>
    <row r="7553" spans="1:22">
      <c r="A7553" t="str">
        <f t="shared" si="1383"/>
        <v>24/10/2025</v>
      </c>
      <c r="B7553" t="str">
        <f t="shared" si="1380"/>
        <v>SAÍDA</v>
      </c>
      <c r="C7553" t="str">
        <f t="shared" si="1381"/>
        <v>PIX</v>
      </c>
      <c r="D7553" t="str">
        <f>"23736"</f>
        <v>23736</v>
      </c>
      <c r="E7553" t="str">
        <f t="shared" si="1385"/>
        <v>1</v>
      </c>
      <c r="F7553" t="str">
        <f t="shared" si="1384"/>
        <v>COM</v>
      </c>
      <c r="G7553" t="str">
        <f>"CARLOS ALBERTO DE JESUS SANTOS (110)"</f>
        <v>CARLOS ALBERTO DE JESUS SANTOS (110)</v>
      </c>
      <c r="H7553" t="s">
        <v>2095</v>
      </c>
      <c r="I7553" t="str">
        <f t="shared" si="1382"/>
        <v>24/10/2025</v>
      </c>
      <c r="J7553" t="str">
        <f t="shared" si="1386"/>
        <v>14/10/2025</v>
      </c>
      <c r="K7553">
        <v>45954</v>
      </c>
      <c r="N7553">
        <v>109</v>
      </c>
      <c r="O7553" t="s">
        <v>24</v>
      </c>
      <c r="Q7553">
        <v>130.80000000000001</v>
      </c>
      <c r="R7553" t="str">
        <f>"FARMÁCIA INDIANA LJ 65 (10030)"</f>
        <v>FARMÁCIA INDIANA LJ 65 (10030)</v>
      </c>
      <c r="S7553" t="s">
        <v>77</v>
      </c>
      <c r="T7553">
        <v>20241</v>
      </c>
      <c r="U7553">
        <v>23736</v>
      </c>
      <c r="V7553" t="s">
        <v>77</v>
      </c>
    </row>
    <row r="7554" spans="1:22">
      <c r="A7554" t="str">
        <f t="shared" si="1383"/>
        <v>24/10/2025</v>
      </c>
      <c r="B7554" t="str">
        <f t="shared" si="1380"/>
        <v>SAÍDA</v>
      </c>
      <c r="C7554" t="str">
        <f t="shared" si="1381"/>
        <v>PIX</v>
      </c>
      <c r="D7554" t="str">
        <f>"23736"</f>
        <v>23736</v>
      </c>
      <c r="E7554" t="str">
        <f t="shared" si="1385"/>
        <v>1</v>
      </c>
      <c r="F7554" t="str">
        <f t="shared" si="1384"/>
        <v>COM</v>
      </c>
      <c r="G7554" t="str">
        <f>"CARLOS ALBERTO DE JESUS SANTOS (110)"</f>
        <v>CARLOS ALBERTO DE JESUS SANTOS (110)</v>
      </c>
      <c r="H7554" t="s">
        <v>2095</v>
      </c>
      <c r="I7554" t="str">
        <f t="shared" si="1382"/>
        <v>24/10/2025</v>
      </c>
      <c r="J7554" t="str">
        <f t="shared" si="1386"/>
        <v>14/10/2025</v>
      </c>
      <c r="K7554">
        <v>45954</v>
      </c>
      <c r="N7554">
        <v>109</v>
      </c>
      <c r="O7554" t="s">
        <v>24</v>
      </c>
      <c r="Q7554">
        <v>523.20000000000005</v>
      </c>
      <c r="R7554" t="str">
        <f>"FARMÁCIA INDIANA LJ 173 (10075)"</f>
        <v>FARMÁCIA INDIANA LJ 173 (10075)</v>
      </c>
      <c r="S7554" t="s">
        <v>77</v>
      </c>
      <c r="T7554">
        <v>20241</v>
      </c>
      <c r="U7554">
        <v>23736</v>
      </c>
      <c r="V7554" t="s">
        <v>77</v>
      </c>
    </row>
    <row r="7555" spans="1:22">
      <c r="A7555" t="str">
        <f t="shared" si="1383"/>
        <v>24/10/2025</v>
      </c>
      <c r="B7555" t="str">
        <f t="shared" si="1380"/>
        <v>SAÍDA</v>
      </c>
      <c r="C7555" t="str">
        <f t="shared" si="1381"/>
        <v>PIX</v>
      </c>
      <c r="D7555" t="str">
        <f>"23738"</f>
        <v>23738</v>
      </c>
      <c r="E7555" t="str">
        <f t="shared" si="1385"/>
        <v>1</v>
      </c>
      <c r="F7555" t="str">
        <f t="shared" si="1384"/>
        <v>COM</v>
      </c>
      <c r="G7555" t="str">
        <f>"DIOCLECIO SANDES JOTA (135)"</f>
        <v>DIOCLECIO SANDES JOTA (135)</v>
      </c>
      <c r="H7555" t="str">
        <f>"Serv.Prest. 06/10/2025 a 12/10/2025 - PIX: CELULAR - CHAVE: (73) 99966-7211"</f>
        <v>Serv.Prest. 06/10/2025 a 12/10/2025 - PIX: CELULAR - CHAVE: (73) 99966-7211</v>
      </c>
      <c r="I7555" t="str">
        <f t="shared" si="1382"/>
        <v>24/10/2025</v>
      </c>
      <c r="J7555" t="str">
        <f t="shared" si="1386"/>
        <v>14/10/2025</v>
      </c>
      <c r="K7555" t="str">
        <f>("24/10/2025")</f>
        <v>24/10/2025</v>
      </c>
      <c r="L7555">
        <v>1440</v>
      </c>
      <c r="M7555">
        <v>1440</v>
      </c>
      <c r="N7555">
        <v>109</v>
      </c>
      <c r="O7555" t="str">
        <f>"PAGAMENTO DE ENTREGADORES"</f>
        <v>PAGAMENTO DE ENTREGADORES</v>
      </c>
      <c r="P7555">
        <v>1440</v>
      </c>
      <c r="S7555" t="str">
        <f>"BANCO C6 (149)"</f>
        <v>BANCO C6 (149)</v>
      </c>
      <c r="T7555">
        <v>20242</v>
      </c>
      <c r="U7555">
        <v>23738</v>
      </c>
      <c r="V7555" t="s">
        <v>77</v>
      </c>
    </row>
    <row r="7556" spans="1:22">
      <c r="A7556" t="str">
        <f t="shared" si="1383"/>
        <v>24/10/2025</v>
      </c>
      <c r="B7556" t="str">
        <f t="shared" si="1380"/>
        <v>SAÍDA</v>
      </c>
      <c r="C7556" t="str">
        <f t="shared" si="1381"/>
        <v>PIX</v>
      </c>
      <c r="D7556" t="str">
        <f>"23738"</f>
        <v>23738</v>
      </c>
      <c r="E7556" t="str">
        <f t="shared" si="1385"/>
        <v>1</v>
      </c>
      <c r="F7556" t="str">
        <f t="shared" si="1384"/>
        <v>COM</v>
      </c>
      <c r="G7556" t="str">
        <f>"DIOCLECIO SANDES JOTA (135)"</f>
        <v>DIOCLECIO SANDES JOTA (135)</v>
      </c>
      <c r="H7556" t="s">
        <v>2096</v>
      </c>
      <c r="I7556" t="str">
        <f t="shared" si="1382"/>
        <v>24/10/2025</v>
      </c>
      <c r="J7556" t="str">
        <f t="shared" si="1386"/>
        <v>14/10/2025</v>
      </c>
      <c r="K7556">
        <v>45954</v>
      </c>
      <c r="N7556">
        <v>109</v>
      </c>
      <c r="O7556" t="s">
        <v>24</v>
      </c>
      <c r="Q7556">
        <v>1440</v>
      </c>
      <c r="R7556" t="str">
        <f>"FARMÁCIA INDIANA LJ 91 (10037)"</f>
        <v>FARMÁCIA INDIANA LJ 91 (10037)</v>
      </c>
      <c r="S7556" t="s">
        <v>77</v>
      </c>
      <c r="T7556">
        <v>20242</v>
      </c>
      <c r="U7556">
        <v>23738</v>
      </c>
      <c r="V7556" t="s">
        <v>77</v>
      </c>
    </row>
    <row r="7557" spans="1:22">
      <c r="A7557" t="str">
        <f t="shared" si="1383"/>
        <v>24/10/2025</v>
      </c>
      <c r="B7557" t="str">
        <f t="shared" si="1380"/>
        <v>SAÍDA</v>
      </c>
      <c r="C7557" t="str">
        <f t="shared" si="1381"/>
        <v>PIX</v>
      </c>
      <c r="D7557" t="str">
        <f>"23739"</f>
        <v>23739</v>
      </c>
      <c r="E7557" t="str">
        <f t="shared" si="1385"/>
        <v>1</v>
      </c>
      <c r="F7557" t="str">
        <f t="shared" si="1384"/>
        <v>COM</v>
      </c>
      <c r="G7557" t="str">
        <f>"EDUARDO SILVA DE JESUS (143)"</f>
        <v>EDUARDO SILVA DE JESUS (143)</v>
      </c>
      <c r="H7557" t="str">
        <f>"Serv.Prest. 06/10/2025 a 12/10/2025 - PIX: CPF - CHAVE: 094.947.395-23"</f>
        <v>Serv.Prest. 06/10/2025 a 12/10/2025 - PIX: CPF - CHAVE: 094.947.395-23</v>
      </c>
      <c r="I7557" t="str">
        <f t="shared" si="1382"/>
        <v>24/10/2025</v>
      </c>
      <c r="J7557" t="str">
        <f t="shared" si="1386"/>
        <v>14/10/2025</v>
      </c>
      <c r="K7557" t="str">
        <f>("24/10/2025")</f>
        <v>24/10/2025</v>
      </c>
      <c r="L7557">
        <v>564</v>
      </c>
      <c r="M7557">
        <v>564</v>
      </c>
      <c r="N7557">
        <v>109</v>
      </c>
      <c r="O7557" t="str">
        <f>"PAGAMENTO DE ENTREGADORES"</f>
        <v>PAGAMENTO DE ENTREGADORES</v>
      </c>
      <c r="P7557">
        <v>564</v>
      </c>
      <c r="S7557" t="str">
        <f>"BANCO C6 (149)"</f>
        <v>BANCO C6 (149)</v>
      </c>
      <c r="T7557">
        <v>20243</v>
      </c>
      <c r="U7557">
        <v>23739</v>
      </c>
      <c r="V7557" t="s">
        <v>77</v>
      </c>
    </row>
    <row r="7558" spans="1:22">
      <c r="A7558" t="str">
        <f t="shared" si="1383"/>
        <v>24/10/2025</v>
      </c>
      <c r="B7558" t="str">
        <f t="shared" si="1380"/>
        <v>SAÍDA</v>
      </c>
      <c r="C7558" t="str">
        <f t="shared" si="1381"/>
        <v>PIX</v>
      </c>
      <c r="D7558" t="str">
        <f>"23739"</f>
        <v>23739</v>
      </c>
      <c r="E7558" t="str">
        <f t="shared" si="1385"/>
        <v>1</v>
      </c>
      <c r="F7558" t="str">
        <f t="shared" si="1384"/>
        <v>COM</v>
      </c>
      <c r="G7558" t="str">
        <f>"EDUARDO SILVA DE JESUS (143)"</f>
        <v>EDUARDO SILVA DE JESUS (143)</v>
      </c>
      <c r="H7558" t="s">
        <v>2097</v>
      </c>
      <c r="I7558" t="str">
        <f t="shared" si="1382"/>
        <v>24/10/2025</v>
      </c>
      <c r="J7558" t="str">
        <f t="shared" si="1386"/>
        <v>14/10/2025</v>
      </c>
      <c r="K7558">
        <v>45954</v>
      </c>
      <c r="N7558">
        <v>109</v>
      </c>
      <c r="O7558" t="s">
        <v>24</v>
      </c>
      <c r="Q7558">
        <v>564</v>
      </c>
      <c r="R7558" t="str">
        <f>"FARMÁCIA INDIANA LJ 91 (10037)"</f>
        <v>FARMÁCIA INDIANA LJ 91 (10037)</v>
      </c>
      <c r="S7558" t="s">
        <v>77</v>
      </c>
      <c r="T7558">
        <v>20243</v>
      </c>
      <c r="U7558">
        <v>23739</v>
      </c>
      <c r="V7558" t="s">
        <v>77</v>
      </c>
    </row>
    <row r="7559" spans="1:22">
      <c r="A7559" t="str">
        <f t="shared" si="1383"/>
        <v>24/10/2025</v>
      </c>
      <c r="B7559" t="str">
        <f t="shared" si="1380"/>
        <v>SAÍDA</v>
      </c>
      <c r="C7559" t="str">
        <f t="shared" si="1381"/>
        <v>PIX</v>
      </c>
      <c r="D7559" t="str">
        <f>"23740"</f>
        <v>23740</v>
      </c>
      <c r="E7559" t="str">
        <f t="shared" si="1385"/>
        <v>1</v>
      </c>
      <c r="F7559" t="str">
        <f t="shared" si="1384"/>
        <v>COM</v>
      </c>
      <c r="G7559" t="str">
        <f>"ERIC DE RAMOS GOMES (606)"</f>
        <v>ERIC DE RAMOS GOMES (606)</v>
      </c>
      <c r="H7559" t="str">
        <f>"Serv.Prest. 06/10/2025 a 12/10/2025 - PIX: E-MAIL - CHAVE: ericgomes508@gmail.com"</f>
        <v>Serv.Prest. 06/10/2025 a 12/10/2025 - PIX: E-MAIL - CHAVE: ericgomes508@gmail.com</v>
      </c>
      <c r="I7559" t="str">
        <f t="shared" si="1382"/>
        <v>24/10/2025</v>
      </c>
      <c r="J7559" t="str">
        <f t="shared" si="1386"/>
        <v>14/10/2025</v>
      </c>
      <c r="K7559" t="str">
        <f>("24/10/2025")</f>
        <v>24/10/2025</v>
      </c>
      <c r="L7559">
        <v>582</v>
      </c>
      <c r="M7559">
        <v>582</v>
      </c>
      <c r="N7559">
        <v>109</v>
      </c>
      <c r="O7559" t="str">
        <f>"PAGAMENTO DE ENTREGADORES"</f>
        <v>PAGAMENTO DE ENTREGADORES</v>
      </c>
      <c r="P7559">
        <v>582</v>
      </c>
      <c r="S7559" t="str">
        <f>"BANCO C6 (149)"</f>
        <v>BANCO C6 (149)</v>
      </c>
      <c r="T7559">
        <v>20244</v>
      </c>
      <c r="U7559">
        <v>23740</v>
      </c>
      <c r="V7559" t="s">
        <v>77</v>
      </c>
    </row>
    <row r="7560" spans="1:22">
      <c r="A7560" t="str">
        <f t="shared" si="1383"/>
        <v>24/10/2025</v>
      </c>
      <c r="B7560" t="str">
        <f t="shared" si="1380"/>
        <v>SAÍDA</v>
      </c>
      <c r="C7560" t="str">
        <f t="shared" si="1381"/>
        <v>PIX</v>
      </c>
      <c r="D7560" t="str">
        <f>"23740"</f>
        <v>23740</v>
      </c>
      <c r="E7560" t="str">
        <f t="shared" si="1385"/>
        <v>1</v>
      </c>
      <c r="F7560" t="str">
        <f t="shared" si="1384"/>
        <v>COM</v>
      </c>
      <c r="G7560" t="str">
        <f>"ERIC DE RAMOS GOMES (606)"</f>
        <v>ERIC DE RAMOS GOMES (606)</v>
      </c>
      <c r="H7560" t="s">
        <v>2098</v>
      </c>
      <c r="I7560" t="str">
        <f t="shared" si="1382"/>
        <v>24/10/2025</v>
      </c>
      <c r="J7560" t="str">
        <f t="shared" si="1386"/>
        <v>14/10/2025</v>
      </c>
      <c r="K7560">
        <v>45954</v>
      </c>
      <c r="N7560">
        <v>109</v>
      </c>
      <c r="O7560" t="s">
        <v>24</v>
      </c>
      <c r="Q7560">
        <v>582</v>
      </c>
      <c r="R7560" t="str">
        <f>"FARMÁCIA INDIANA LJ 91 (10037)"</f>
        <v>FARMÁCIA INDIANA LJ 91 (10037)</v>
      </c>
      <c r="S7560" t="s">
        <v>77</v>
      </c>
      <c r="T7560">
        <v>20244</v>
      </c>
      <c r="U7560">
        <v>23740</v>
      </c>
      <c r="V7560" t="s">
        <v>77</v>
      </c>
    </row>
    <row r="7561" spans="1:22">
      <c r="A7561" t="str">
        <f t="shared" si="1383"/>
        <v>24/10/2025</v>
      </c>
      <c r="B7561" t="str">
        <f t="shared" si="1380"/>
        <v>SAÍDA</v>
      </c>
      <c r="C7561" t="str">
        <f t="shared" si="1381"/>
        <v>PIX</v>
      </c>
      <c r="D7561" t="str">
        <f>"23741"</f>
        <v>23741</v>
      </c>
      <c r="E7561" t="str">
        <f t="shared" si="1385"/>
        <v>1</v>
      </c>
      <c r="F7561" t="str">
        <f t="shared" si="1384"/>
        <v>COM</v>
      </c>
      <c r="G7561" t="str">
        <f>"GABRIEL SOUZA RIBEIRO (425)"</f>
        <v>GABRIEL SOUZA RIBEIRO (425)</v>
      </c>
      <c r="H7561" t="str">
        <f>"Serv.Prest. 06/10/2025 a 12/10/2025 - PIX: CPF - CHAVE: 087.398.185-51"</f>
        <v>Serv.Prest. 06/10/2025 a 12/10/2025 - PIX: CPF - CHAVE: 087.398.185-51</v>
      </c>
      <c r="I7561" t="str">
        <f t="shared" si="1382"/>
        <v>24/10/2025</v>
      </c>
      <c r="J7561" t="str">
        <f t="shared" si="1386"/>
        <v>14/10/2025</v>
      </c>
      <c r="K7561" t="str">
        <f>("24/10/2025")</f>
        <v>24/10/2025</v>
      </c>
      <c r="L7561">
        <v>654</v>
      </c>
      <c r="M7561">
        <v>654</v>
      </c>
      <c r="N7561">
        <v>109</v>
      </c>
      <c r="O7561" t="str">
        <f>"PAGAMENTO DE ENTREGADORES"</f>
        <v>PAGAMENTO DE ENTREGADORES</v>
      </c>
      <c r="P7561">
        <v>654</v>
      </c>
      <c r="S7561" t="str">
        <f>"BANCO C6 (149)"</f>
        <v>BANCO C6 (149)</v>
      </c>
      <c r="T7561">
        <v>20245</v>
      </c>
      <c r="U7561">
        <v>23741</v>
      </c>
      <c r="V7561" t="s">
        <v>77</v>
      </c>
    </row>
    <row r="7562" spans="1:22">
      <c r="A7562" t="str">
        <f t="shared" si="1383"/>
        <v>24/10/2025</v>
      </c>
      <c r="B7562" t="str">
        <f t="shared" si="1380"/>
        <v>SAÍDA</v>
      </c>
      <c r="C7562" t="str">
        <f t="shared" si="1381"/>
        <v>PIX</v>
      </c>
      <c r="D7562" t="str">
        <f>"23741"</f>
        <v>23741</v>
      </c>
      <c r="E7562" t="str">
        <f t="shared" si="1385"/>
        <v>1</v>
      </c>
      <c r="F7562" t="str">
        <f t="shared" si="1384"/>
        <v>COM</v>
      </c>
      <c r="G7562" t="str">
        <f>"GABRIEL SOUZA RIBEIRO (425)"</f>
        <v>GABRIEL SOUZA RIBEIRO (425)</v>
      </c>
      <c r="H7562" t="s">
        <v>2099</v>
      </c>
      <c r="I7562" t="str">
        <f t="shared" si="1382"/>
        <v>24/10/2025</v>
      </c>
      <c r="J7562" t="str">
        <f t="shared" si="1386"/>
        <v>14/10/2025</v>
      </c>
      <c r="K7562">
        <v>45954</v>
      </c>
      <c r="N7562">
        <v>109</v>
      </c>
      <c r="O7562" t="s">
        <v>24</v>
      </c>
      <c r="Q7562">
        <v>654</v>
      </c>
      <c r="R7562" t="str">
        <f>"FARMÁCIA INDIANA LJ 65 (10030)"</f>
        <v>FARMÁCIA INDIANA LJ 65 (10030)</v>
      </c>
      <c r="S7562" t="s">
        <v>77</v>
      </c>
      <c r="T7562">
        <v>20245</v>
      </c>
      <c r="U7562">
        <v>23741</v>
      </c>
      <c r="V7562" t="s">
        <v>77</v>
      </c>
    </row>
    <row r="7563" spans="1:22">
      <c r="A7563" t="str">
        <f t="shared" si="1383"/>
        <v>24/10/2025</v>
      </c>
      <c r="B7563" t="str">
        <f t="shared" si="1380"/>
        <v>SAÍDA</v>
      </c>
      <c r="C7563" t="str">
        <f t="shared" si="1381"/>
        <v>PIX</v>
      </c>
      <c r="D7563" t="str">
        <f>"23742"</f>
        <v>23742</v>
      </c>
      <c r="E7563" t="str">
        <f t="shared" si="1385"/>
        <v>1</v>
      </c>
      <c r="F7563" t="str">
        <f t="shared" si="1384"/>
        <v>COM</v>
      </c>
      <c r="G7563" t="str">
        <f>"GILBERTO PINHEIRO DA ROCHA (155)"</f>
        <v>GILBERTO PINHEIRO DA ROCHA (155)</v>
      </c>
      <c r="H7563" t="str">
        <f>"Serv.Prest. 06/10/2025 a 12/10/2025 - PIX: CELULAR - CHAVE: (73) 99941-8352"</f>
        <v>Serv.Prest. 06/10/2025 a 12/10/2025 - PIX: CELULAR - CHAVE: (73) 99941-8352</v>
      </c>
      <c r="I7563" t="str">
        <f t="shared" si="1382"/>
        <v>24/10/2025</v>
      </c>
      <c r="J7563" t="str">
        <f t="shared" si="1386"/>
        <v>14/10/2025</v>
      </c>
      <c r="K7563" t="str">
        <f>("24/10/2025")</f>
        <v>24/10/2025</v>
      </c>
      <c r="L7563">
        <v>722.5</v>
      </c>
      <c r="M7563">
        <v>722.5</v>
      </c>
      <c r="N7563">
        <v>109</v>
      </c>
      <c r="O7563" t="str">
        <f>"PAGAMENTO DE ENTREGADORES"</f>
        <v>PAGAMENTO DE ENTREGADORES</v>
      </c>
      <c r="P7563">
        <v>722.5</v>
      </c>
      <c r="S7563" t="str">
        <f>"BANCO C6 (149)"</f>
        <v>BANCO C6 (149)</v>
      </c>
      <c r="T7563">
        <v>20246</v>
      </c>
      <c r="U7563">
        <v>23742</v>
      </c>
      <c r="V7563" t="s">
        <v>77</v>
      </c>
    </row>
    <row r="7564" spans="1:22">
      <c r="A7564" t="str">
        <f t="shared" si="1383"/>
        <v>24/10/2025</v>
      </c>
      <c r="B7564" t="str">
        <f t="shared" si="1380"/>
        <v>SAÍDA</v>
      </c>
      <c r="C7564" t="str">
        <f t="shared" si="1381"/>
        <v>PIX</v>
      </c>
      <c r="D7564" t="str">
        <f>"23742"</f>
        <v>23742</v>
      </c>
      <c r="E7564" t="str">
        <f t="shared" si="1385"/>
        <v>1</v>
      </c>
      <c r="F7564" t="str">
        <f t="shared" si="1384"/>
        <v>COM</v>
      </c>
      <c r="G7564" t="str">
        <f>"GILBERTO PINHEIRO DA ROCHA (155)"</f>
        <v>GILBERTO PINHEIRO DA ROCHA (155)</v>
      </c>
      <c r="H7564" t="s">
        <v>2100</v>
      </c>
      <c r="I7564" t="str">
        <f t="shared" si="1382"/>
        <v>24/10/2025</v>
      </c>
      <c r="J7564" t="str">
        <f t="shared" si="1386"/>
        <v>14/10/2025</v>
      </c>
      <c r="K7564">
        <v>45954</v>
      </c>
      <c r="N7564">
        <v>109</v>
      </c>
      <c r="O7564" t="s">
        <v>24</v>
      </c>
      <c r="Q7564">
        <v>722.5</v>
      </c>
      <c r="R7564" t="str">
        <f>"FARMÁCIA INDIANA LJ 34 (10014)"</f>
        <v>FARMÁCIA INDIANA LJ 34 (10014)</v>
      </c>
      <c r="S7564" t="s">
        <v>77</v>
      </c>
      <c r="T7564">
        <v>20246</v>
      </c>
      <c r="U7564">
        <v>23742</v>
      </c>
      <c r="V7564" t="s">
        <v>77</v>
      </c>
    </row>
    <row r="7565" spans="1:22">
      <c r="A7565" t="str">
        <f t="shared" si="1383"/>
        <v>24/10/2025</v>
      </c>
      <c r="B7565" t="str">
        <f t="shared" si="1380"/>
        <v>SAÍDA</v>
      </c>
      <c r="C7565" t="str">
        <f t="shared" si="1381"/>
        <v>PIX</v>
      </c>
      <c r="D7565" t="str">
        <f>"23744"</f>
        <v>23744</v>
      </c>
      <c r="E7565" t="str">
        <f t="shared" si="1385"/>
        <v>1</v>
      </c>
      <c r="F7565" t="str">
        <f t="shared" si="1384"/>
        <v>COM</v>
      </c>
      <c r="G7565" t="str">
        <f>"GUSTAVO SILVA LIMA (771)"</f>
        <v>GUSTAVO SILVA LIMA (771)</v>
      </c>
      <c r="H7565" t="str">
        <f>"Serv.Prest. 06/10/2025 a 12/10/2025 - PIX: CELULAR - CHAVE: (73) 98888-3793"</f>
        <v>Serv.Prest. 06/10/2025 a 12/10/2025 - PIX: CELULAR - CHAVE: (73) 98888-3793</v>
      </c>
      <c r="I7565" t="str">
        <f t="shared" si="1382"/>
        <v>24/10/2025</v>
      </c>
      <c r="J7565" t="str">
        <f t="shared" si="1386"/>
        <v>14/10/2025</v>
      </c>
      <c r="K7565" t="str">
        <f>("24/10/2025")</f>
        <v>24/10/2025</v>
      </c>
      <c r="L7565">
        <v>654</v>
      </c>
      <c r="M7565">
        <v>654</v>
      </c>
      <c r="N7565">
        <v>109</v>
      </c>
      <c r="O7565" t="str">
        <f>"PAGAMENTO DE ENTREGADORES"</f>
        <v>PAGAMENTO DE ENTREGADORES</v>
      </c>
      <c r="P7565">
        <v>654</v>
      </c>
      <c r="S7565" t="str">
        <f>"BANCO C6 (149)"</f>
        <v>BANCO C6 (149)</v>
      </c>
      <c r="T7565">
        <v>20247</v>
      </c>
      <c r="U7565">
        <v>23744</v>
      </c>
      <c r="V7565" t="s">
        <v>77</v>
      </c>
    </row>
    <row r="7566" spans="1:22">
      <c r="A7566" t="str">
        <f t="shared" si="1383"/>
        <v>24/10/2025</v>
      </c>
      <c r="B7566" t="str">
        <f t="shared" si="1380"/>
        <v>SAÍDA</v>
      </c>
      <c r="C7566" t="str">
        <f t="shared" si="1381"/>
        <v>PIX</v>
      </c>
      <c r="D7566" t="str">
        <f>"23744"</f>
        <v>23744</v>
      </c>
      <c r="E7566" t="str">
        <f t="shared" si="1385"/>
        <v>1</v>
      </c>
      <c r="F7566" t="str">
        <f t="shared" si="1384"/>
        <v>COM</v>
      </c>
      <c r="G7566" t="str">
        <f>"GUSTAVO SILVA LIMA (771)"</f>
        <v>GUSTAVO SILVA LIMA (771)</v>
      </c>
      <c r="H7566" t="s">
        <v>2101</v>
      </c>
      <c r="I7566" t="str">
        <f t="shared" si="1382"/>
        <v>24/10/2025</v>
      </c>
      <c r="J7566" t="str">
        <f t="shared" si="1386"/>
        <v>14/10/2025</v>
      </c>
      <c r="K7566">
        <v>45954</v>
      </c>
      <c r="N7566">
        <v>109</v>
      </c>
      <c r="O7566" t="s">
        <v>24</v>
      </c>
      <c r="Q7566">
        <v>654</v>
      </c>
      <c r="R7566" t="str">
        <f>"FARMÁCIA INDIANA LJ 65 (10030)"</f>
        <v>FARMÁCIA INDIANA LJ 65 (10030)</v>
      </c>
      <c r="S7566" t="s">
        <v>77</v>
      </c>
      <c r="T7566">
        <v>20247</v>
      </c>
      <c r="U7566">
        <v>23744</v>
      </c>
      <c r="V7566" t="s">
        <v>77</v>
      </c>
    </row>
    <row r="7567" spans="1:22">
      <c r="A7567" t="str">
        <f t="shared" si="1383"/>
        <v>24/10/2025</v>
      </c>
      <c r="B7567" t="str">
        <f t="shared" si="1380"/>
        <v>SAÍDA</v>
      </c>
      <c r="C7567" t="str">
        <f t="shared" si="1381"/>
        <v>PIX</v>
      </c>
      <c r="D7567" t="str">
        <f>"23745"</f>
        <v>23745</v>
      </c>
      <c r="E7567" t="str">
        <f t="shared" si="1385"/>
        <v>1</v>
      </c>
      <c r="F7567" t="str">
        <f t="shared" si="1384"/>
        <v>COM</v>
      </c>
      <c r="G7567" t="str">
        <f>"JALDENIR MENDES DOS SANTOS (167)"</f>
        <v>JALDENIR MENDES DOS SANTOS (167)</v>
      </c>
      <c r="H7567" t="str">
        <f>"Serv.Prest. 06/10/2025 a 12/10/2025 - PIX: CPF - CHAVE: 439.169.103-53"</f>
        <v>Serv.Prest. 06/10/2025 a 12/10/2025 - PIX: CPF - CHAVE: 439.169.103-53</v>
      </c>
      <c r="I7567" t="str">
        <f t="shared" si="1382"/>
        <v>24/10/2025</v>
      </c>
      <c r="J7567" t="str">
        <f t="shared" si="1386"/>
        <v>14/10/2025</v>
      </c>
      <c r="K7567" t="str">
        <f>("24/10/2025")</f>
        <v>24/10/2025</v>
      </c>
      <c r="L7567">
        <v>871.25</v>
      </c>
      <c r="M7567">
        <v>871.25</v>
      </c>
      <c r="N7567">
        <v>109</v>
      </c>
      <c r="O7567" t="str">
        <f>"PAGAMENTO DE ENTREGADORES"</f>
        <v>PAGAMENTO DE ENTREGADORES</v>
      </c>
      <c r="P7567">
        <v>871.25</v>
      </c>
      <c r="S7567" t="str">
        <f>"BANCO C6 (149)"</f>
        <v>BANCO C6 (149)</v>
      </c>
      <c r="T7567">
        <v>20248</v>
      </c>
      <c r="U7567">
        <v>23745</v>
      </c>
      <c r="V7567" t="s">
        <v>77</v>
      </c>
    </row>
    <row r="7568" spans="1:22">
      <c r="A7568" t="str">
        <f t="shared" si="1383"/>
        <v>24/10/2025</v>
      </c>
      <c r="B7568" t="str">
        <f t="shared" si="1380"/>
        <v>SAÍDA</v>
      </c>
      <c r="C7568" t="str">
        <f t="shared" si="1381"/>
        <v>PIX</v>
      </c>
      <c r="D7568" t="str">
        <f>"23745"</f>
        <v>23745</v>
      </c>
      <c r="E7568" t="str">
        <f t="shared" si="1385"/>
        <v>1</v>
      </c>
      <c r="F7568" t="str">
        <f t="shared" si="1384"/>
        <v>COM</v>
      </c>
      <c r="G7568" t="str">
        <f>"JALDENIR MENDES DOS SANTOS (167)"</f>
        <v>JALDENIR MENDES DOS SANTOS (167)</v>
      </c>
      <c r="H7568" t="s">
        <v>2102</v>
      </c>
      <c r="I7568" t="str">
        <f t="shared" si="1382"/>
        <v>24/10/2025</v>
      </c>
      <c r="J7568" t="str">
        <f t="shared" si="1386"/>
        <v>14/10/2025</v>
      </c>
      <c r="K7568">
        <v>45954</v>
      </c>
      <c r="N7568">
        <v>109</v>
      </c>
      <c r="O7568" t="s">
        <v>24</v>
      </c>
      <c r="Q7568">
        <v>871.25</v>
      </c>
      <c r="R7568" t="str">
        <f>"FARMÁCIA INDIANA LJ 34 (10014)"</f>
        <v>FARMÁCIA INDIANA LJ 34 (10014)</v>
      </c>
      <c r="S7568" t="s">
        <v>77</v>
      </c>
      <c r="T7568">
        <v>20248</v>
      </c>
      <c r="U7568">
        <v>23745</v>
      </c>
      <c r="V7568" t="s">
        <v>77</v>
      </c>
    </row>
    <row r="7569" spans="1:22">
      <c r="A7569" t="str">
        <f t="shared" si="1383"/>
        <v>24/10/2025</v>
      </c>
      <c r="B7569" t="str">
        <f t="shared" si="1380"/>
        <v>SAÍDA</v>
      </c>
      <c r="C7569" t="str">
        <f t="shared" si="1381"/>
        <v>PIX</v>
      </c>
      <c r="D7569" t="str">
        <f>"23746"</f>
        <v>23746</v>
      </c>
      <c r="E7569" t="str">
        <f t="shared" si="1385"/>
        <v>1</v>
      </c>
      <c r="F7569" t="str">
        <f t="shared" si="1384"/>
        <v>COM</v>
      </c>
      <c r="G7569" t="str">
        <f>"JARLES DE SOUZA PEREIRA (109)"</f>
        <v>JARLES DE SOUZA PEREIRA (109)</v>
      </c>
      <c r="H7569" t="str">
        <f>"Serv.Prest. 06/10/2025 a 12/10/2025 - PIX: CELULAR - CHAVE: (73) 99115-9602"</f>
        <v>Serv.Prest. 06/10/2025 a 12/10/2025 - PIX: CELULAR - CHAVE: (73) 99115-9602</v>
      </c>
      <c r="I7569" t="str">
        <f t="shared" si="1382"/>
        <v>24/10/2025</v>
      </c>
      <c r="J7569" t="str">
        <f t="shared" si="1386"/>
        <v>14/10/2025</v>
      </c>
      <c r="K7569" t="str">
        <f>("24/10/2025")</f>
        <v>24/10/2025</v>
      </c>
      <c r="L7569">
        <v>654</v>
      </c>
      <c r="M7569">
        <v>654</v>
      </c>
      <c r="N7569">
        <v>109</v>
      </c>
      <c r="O7569" t="str">
        <f>"PAGAMENTO DE ENTREGADORES"</f>
        <v>PAGAMENTO DE ENTREGADORES</v>
      </c>
      <c r="P7569">
        <v>654</v>
      </c>
      <c r="S7569" t="str">
        <f>"BANCO C6 (149)"</f>
        <v>BANCO C6 (149)</v>
      </c>
      <c r="T7569">
        <v>20249</v>
      </c>
      <c r="U7569">
        <v>23746</v>
      </c>
      <c r="V7569" t="s">
        <v>77</v>
      </c>
    </row>
    <row r="7570" spans="1:22">
      <c r="A7570" t="str">
        <f t="shared" si="1383"/>
        <v>24/10/2025</v>
      </c>
      <c r="B7570" t="str">
        <f t="shared" si="1380"/>
        <v>SAÍDA</v>
      </c>
      <c r="C7570" t="str">
        <f t="shared" si="1381"/>
        <v>PIX</v>
      </c>
      <c r="D7570" t="str">
        <f>"23746"</f>
        <v>23746</v>
      </c>
      <c r="E7570" t="str">
        <f t="shared" si="1385"/>
        <v>1</v>
      </c>
      <c r="F7570" t="str">
        <f t="shared" si="1384"/>
        <v>COM</v>
      </c>
      <c r="G7570" t="str">
        <f>"JARLES DE SOUZA PEREIRA (109)"</f>
        <v>JARLES DE SOUZA PEREIRA (109)</v>
      </c>
      <c r="H7570" t="s">
        <v>2103</v>
      </c>
      <c r="I7570" t="str">
        <f t="shared" si="1382"/>
        <v>24/10/2025</v>
      </c>
      <c r="J7570" t="str">
        <f t="shared" si="1386"/>
        <v>14/10/2025</v>
      </c>
      <c r="K7570">
        <v>45954</v>
      </c>
      <c r="N7570">
        <v>109</v>
      </c>
      <c r="O7570" t="s">
        <v>24</v>
      </c>
      <c r="Q7570">
        <v>654</v>
      </c>
      <c r="R7570" t="str">
        <f>"FARMÁCIA INDIANA LJ 173 (10075)"</f>
        <v>FARMÁCIA INDIANA LJ 173 (10075)</v>
      </c>
      <c r="S7570" t="s">
        <v>77</v>
      </c>
      <c r="T7570">
        <v>20249</v>
      </c>
      <c r="U7570">
        <v>23746</v>
      </c>
      <c r="V7570" t="s">
        <v>77</v>
      </c>
    </row>
    <row r="7571" spans="1:22">
      <c r="A7571" t="str">
        <f t="shared" si="1383"/>
        <v>24/10/2025</v>
      </c>
      <c r="B7571" t="str">
        <f t="shared" si="1380"/>
        <v>SAÍDA</v>
      </c>
      <c r="C7571" t="str">
        <f t="shared" si="1381"/>
        <v>PIX</v>
      </c>
      <c r="D7571" t="str">
        <f>"23747"</f>
        <v>23747</v>
      </c>
      <c r="E7571" t="str">
        <f t="shared" si="1385"/>
        <v>1</v>
      </c>
      <c r="F7571" t="str">
        <f t="shared" si="1384"/>
        <v>COM</v>
      </c>
      <c r="G7571" t="str">
        <f>"JIRLANIA RODRIGUES DOS SANTOS (152)"</f>
        <v>JIRLANIA RODRIGUES DOS SANTOS (152)</v>
      </c>
      <c r="H7571" t="str">
        <f>"Serv.Prest. 06/10/2025 a 12/10/2025 - PIX: CPF - CHAVE: 035.018.455-02"</f>
        <v>Serv.Prest. 06/10/2025 a 12/10/2025 - PIX: CPF - CHAVE: 035.018.455-02</v>
      </c>
      <c r="I7571" t="str">
        <f t="shared" si="1382"/>
        <v>24/10/2025</v>
      </c>
      <c r="J7571" t="str">
        <f t="shared" si="1386"/>
        <v>14/10/2025</v>
      </c>
      <c r="K7571" t="str">
        <f>("24/10/2025")</f>
        <v>24/10/2025</v>
      </c>
      <c r="L7571">
        <v>890.25</v>
      </c>
      <c r="M7571">
        <v>890.25</v>
      </c>
      <c r="N7571">
        <v>109</v>
      </c>
      <c r="O7571" t="str">
        <f>"PAGAMENTO DE ENTREGADORES"</f>
        <v>PAGAMENTO DE ENTREGADORES</v>
      </c>
      <c r="P7571">
        <v>890.25</v>
      </c>
      <c r="S7571" t="str">
        <f>"BANCO C6 (149)"</f>
        <v>BANCO C6 (149)</v>
      </c>
      <c r="T7571">
        <v>20250</v>
      </c>
      <c r="U7571">
        <v>23747</v>
      </c>
      <c r="V7571" t="s">
        <v>77</v>
      </c>
    </row>
    <row r="7572" spans="1:22">
      <c r="A7572" t="str">
        <f t="shared" si="1383"/>
        <v>24/10/2025</v>
      </c>
      <c r="B7572" t="str">
        <f t="shared" si="1380"/>
        <v>SAÍDA</v>
      </c>
      <c r="C7572" t="str">
        <f t="shared" si="1381"/>
        <v>PIX</v>
      </c>
      <c r="D7572" t="str">
        <f>"23747"</f>
        <v>23747</v>
      </c>
      <c r="E7572" t="str">
        <f t="shared" si="1385"/>
        <v>1</v>
      </c>
      <c r="F7572" t="str">
        <f t="shared" si="1384"/>
        <v>COM</v>
      </c>
      <c r="G7572" t="str">
        <f>"JIRLANIA RODRIGUES DOS SANTOS (152)"</f>
        <v>JIRLANIA RODRIGUES DOS SANTOS (152)</v>
      </c>
      <c r="H7572" t="s">
        <v>1655</v>
      </c>
      <c r="I7572" t="str">
        <f t="shared" si="1382"/>
        <v>24/10/2025</v>
      </c>
      <c r="J7572" t="str">
        <f t="shared" si="1386"/>
        <v>14/10/2025</v>
      </c>
      <c r="K7572">
        <v>45954</v>
      </c>
      <c r="N7572">
        <v>109</v>
      </c>
      <c r="O7572" t="s">
        <v>24</v>
      </c>
      <c r="Q7572">
        <v>890.25</v>
      </c>
      <c r="R7572" t="str">
        <f>"FARMÁCIA INDIANA LJ 95 (10039)"</f>
        <v>FARMÁCIA INDIANA LJ 95 (10039)</v>
      </c>
      <c r="S7572" t="s">
        <v>77</v>
      </c>
      <c r="T7572">
        <v>20250</v>
      </c>
      <c r="U7572">
        <v>23747</v>
      </c>
      <c r="V7572" t="s">
        <v>77</v>
      </c>
    </row>
    <row r="7573" spans="1:22">
      <c r="A7573" t="str">
        <f t="shared" si="1383"/>
        <v>24/10/2025</v>
      </c>
      <c r="B7573" t="str">
        <f t="shared" si="1380"/>
        <v>SAÍDA</v>
      </c>
      <c r="C7573" t="str">
        <f t="shared" si="1381"/>
        <v>PIX</v>
      </c>
      <c r="D7573" t="str">
        <f>"23748"</f>
        <v>23748</v>
      </c>
      <c r="E7573" t="str">
        <f t="shared" si="1385"/>
        <v>1</v>
      </c>
      <c r="F7573" t="str">
        <f t="shared" si="1384"/>
        <v>COM</v>
      </c>
      <c r="G7573" t="str">
        <f>"JOAO PEDRO BRITO DE SOUZA (876)"</f>
        <v>JOAO PEDRO BRITO DE SOUZA (876)</v>
      </c>
      <c r="H7573" t="str">
        <f>"Serv.Prest. 06/10/2025 a 12/10/2025 - PIX: CPF - CHAVE: 860.305.455-07"</f>
        <v>Serv.Prest. 06/10/2025 a 12/10/2025 - PIX: CPF - CHAVE: 860.305.455-07</v>
      </c>
      <c r="I7573" t="str">
        <f t="shared" si="1382"/>
        <v>24/10/2025</v>
      </c>
      <c r="J7573" t="str">
        <f t="shared" si="1386"/>
        <v>14/10/2025</v>
      </c>
      <c r="K7573" t="str">
        <f>("24/10/2025")</f>
        <v>24/10/2025</v>
      </c>
      <c r="L7573">
        <v>1585</v>
      </c>
      <c r="M7573">
        <v>1585</v>
      </c>
      <c r="N7573">
        <v>109</v>
      </c>
      <c r="O7573" t="str">
        <f>"PAGAMENTO DE ENTREGADORES"</f>
        <v>PAGAMENTO DE ENTREGADORES</v>
      </c>
      <c r="P7573">
        <v>1585</v>
      </c>
      <c r="S7573" t="str">
        <f>"BANCO C6 (149)"</f>
        <v>BANCO C6 (149)</v>
      </c>
      <c r="T7573">
        <v>20251</v>
      </c>
      <c r="U7573">
        <v>23748</v>
      </c>
      <c r="V7573" t="s">
        <v>77</v>
      </c>
    </row>
    <row r="7574" spans="1:22">
      <c r="A7574" t="str">
        <f t="shared" si="1383"/>
        <v>24/10/2025</v>
      </c>
      <c r="B7574" t="str">
        <f t="shared" si="1380"/>
        <v>SAÍDA</v>
      </c>
      <c r="C7574" t="str">
        <f t="shared" si="1381"/>
        <v>PIX</v>
      </c>
      <c r="D7574" t="str">
        <f>"23748"</f>
        <v>23748</v>
      </c>
      <c r="E7574" t="str">
        <f t="shared" si="1385"/>
        <v>1</v>
      </c>
      <c r="F7574" t="str">
        <f t="shared" si="1384"/>
        <v>COM</v>
      </c>
      <c r="G7574" t="str">
        <f>"JOAO PEDRO BRITO DE SOUZA (876)"</f>
        <v>JOAO PEDRO BRITO DE SOUZA (876)</v>
      </c>
      <c r="H7574" t="s">
        <v>2104</v>
      </c>
      <c r="I7574" t="str">
        <f t="shared" si="1382"/>
        <v>24/10/2025</v>
      </c>
      <c r="J7574" t="str">
        <f t="shared" si="1386"/>
        <v>14/10/2025</v>
      </c>
      <c r="K7574">
        <v>45954</v>
      </c>
      <c r="N7574">
        <v>109</v>
      </c>
      <c r="O7574" t="s">
        <v>24</v>
      </c>
      <c r="Q7574">
        <v>764.92</v>
      </c>
      <c r="R7574" t="str">
        <f>"FARMÁCIA INDIANA LJ 48 (10018)"</f>
        <v>FARMÁCIA INDIANA LJ 48 (10018)</v>
      </c>
      <c r="S7574" t="s">
        <v>77</v>
      </c>
      <c r="T7574">
        <v>20251</v>
      </c>
      <c r="U7574">
        <v>23748</v>
      </c>
      <c r="V7574" t="s">
        <v>77</v>
      </c>
    </row>
    <row r="7575" spans="1:22">
      <c r="A7575" t="str">
        <f t="shared" si="1383"/>
        <v>24/10/2025</v>
      </c>
      <c r="B7575" t="str">
        <f t="shared" si="1380"/>
        <v>SAÍDA</v>
      </c>
      <c r="C7575" t="str">
        <f t="shared" si="1381"/>
        <v>PIX</v>
      </c>
      <c r="D7575" t="str">
        <f>"23748"</f>
        <v>23748</v>
      </c>
      <c r="E7575" t="str">
        <f t="shared" si="1385"/>
        <v>1</v>
      </c>
      <c r="F7575" t="str">
        <f t="shared" si="1384"/>
        <v>COM</v>
      </c>
      <c r="G7575" t="str">
        <f>"JOAO PEDRO BRITO DE SOUZA (876)"</f>
        <v>JOAO PEDRO BRITO DE SOUZA (876)</v>
      </c>
      <c r="H7575" t="s">
        <v>2104</v>
      </c>
      <c r="I7575" t="str">
        <f t="shared" si="1382"/>
        <v>24/10/2025</v>
      </c>
      <c r="J7575" t="str">
        <f t="shared" si="1386"/>
        <v>14/10/2025</v>
      </c>
      <c r="K7575">
        <v>45954</v>
      </c>
      <c r="N7575">
        <v>109</v>
      </c>
      <c r="O7575" t="s">
        <v>24</v>
      </c>
      <c r="Q7575">
        <v>820.08</v>
      </c>
      <c r="R7575" t="str">
        <f>"FARMÁCIA INDIANA LJ 169 (10073)"</f>
        <v>FARMÁCIA INDIANA LJ 169 (10073)</v>
      </c>
      <c r="S7575" t="s">
        <v>77</v>
      </c>
      <c r="T7575">
        <v>20251</v>
      </c>
      <c r="U7575">
        <v>23748</v>
      </c>
      <c r="V7575" t="s">
        <v>77</v>
      </c>
    </row>
    <row r="7576" spans="1:22">
      <c r="A7576" t="str">
        <f t="shared" si="1383"/>
        <v>24/10/2025</v>
      </c>
      <c r="B7576" t="str">
        <f t="shared" si="1380"/>
        <v>SAÍDA</v>
      </c>
      <c r="C7576" t="str">
        <f t="shared" si="1381"/>
        <v>PIX</v>
      </c>
      <c r="D7576" t="str">
        <f>"23749"</f>
        <v>23749</v>
      </c>
      <c r="E7576" t="str">
        <f t="shared" si="1385"/>
        <v>1</v>
      </c>
      <c r="F7576" t="str">
        <f t="shared" si="1384"/>
        <v>COM</v>
      </c>
      <c r="G7576" t="str">
        <f>"JOSE MARIO MENEZES DA CRUZ (941)"</f>
        <v>JOSE MARIO MENEZES DA CRUZ (941)</v>
      </c>
      <c r="H7576" t="str">
        <f>"Serv.Prest. 06/10/2025 a 12/10/2025 - PIX: CPF - CHAVE: 009.476.175-23"</f>
        <v>Serv.Prest. 06/10/2025 a 12/10/2025 - PIX: CPF - CHAVE: 009.476.175-23</v>
      </c>
      <c r="I7576" t="str">
        <f t="shared" si="1382"/>
        <v>24/10/2025</v>
      </c>
      <c r="J7576" t="str">
        <f t="shared" si="1386"/>
        <v>14/10/2025</v>
      </c>
      <c r="K7576" t="str">
        <f>("24/10/2025")</f>
        <v>24/10/2025</v>
      </c>
      <c r="L7576">
        <v>870</v>
      </c>
      <c r="M7576">
        <v>870</v>
      </c>
      <c r="N7576">
        <v>109</v>
      </c>
      <c r="O7576" t="str">
        <f>"PAGAMENTO DE ENTREGADORES"</f>
        <v>PAGAMENTO DE ENTREGADORES</v>
      </c>
      <c r="P7576">
        <v>870</v>
      </c>
      <c r="S7576" t="str">
        <f>"BANCO C6 (149)"</f>
        <v>BANCO C6 (149)</v>
      </c>
      <c r="T7576">
        <v>20252</v>
      </c>
      <c r="U7576">
        <v>23749</v>
      </c>
      <c r="V7576" t="s">
        <v>77</v>
      </c>
    </row>
    <row r="7577" spans="1:22">
      <c r="A7577" t="str">
        <f t="shared" si="1383"/>
        <v>24/10/2025</v>
      </c>
      <c r="B7577" t="str">
        <f t="shared" si="1380"/>
        <v>SAÍDA</v>
      </c>
      <c r="C7577" t="str">
        <f t="shared" si="1381"/>
        <v>PIX</v>
      </c>
      <c r="D7577" t="str">
        <f>"23749"</f>
        <v>23749</v>
      </c>
      <c r="E7577" t="str">
        <f t="shared" si="1385"/>
        <v>1</v>
      </c>
      <c r="F7577" t="str">
        <f t="shared" si="1384"/>
        <v>COM</v>
      </c>
      <c r="G7577" t="str">
        <f>"JOSE MARIO MENEZES DA CRUZ (941)"</f>
        <v>JOSE MARIO MENEZES DA CRUZ (941)</v>
      </c>
      <c r="H7577" t="s">
        <v>2105</v>
      </c>
      <c r="I7577" t="str">
        <f t="shared" si="1382"/>
        <v>24/10/2025</v>
      </c>
      <c r="J7577" t="str">
        <f t="shared" si="1386"/>
        <v>14/10/2025</v>
      </c>
      <c r="K7577">
        <v>45954</v>
      </c>
      <c r="N7577">
        <v>109</v>
      </c>
      <c r="O7577" t="s">
        <v>24</v>
      </c>
      <c r="Q7577">
        <v>870</v>
      </c>
      <c r="R7577" t="str">
        <f>"FARMÁCIA INDIANA LJ 33 (10187)"</f>
        <v>FARMÁCIA INDIANA LJ 33 (10187)</v>
      </c>
      <c r="S7577" t="s">
        <v>77</v>
      </c>
      <c r="T7577">
        <v>20252</v>
      </c>
      <c r="U7577">
        <v>23749</v>
      </c>
      <c r="V7577" t="s">
        <v>77</v>
      </c>
    </row>
    <row r="7578" spans="1:22">
      <c r="A7578" t="str">
        <f t="shared" si="1383"/>
        <v>24/10/2025</v>
      </c>
      <c r="B7578" t="str">
        <f t="shared" si="1380"/>
        <v>SAÍDA</v>
      </c>
      <c r="C7578" t="str">
        <f t="shared" si="1381"/>
        <v>PIX</v>
      </c>
      <c r="D7578" t="str">
        <f>"23750"</f>
        <v>23750</v>
      </c>
      <c r="E7578" t="str">
        <f t="shared" si="1385"/>
        <v>1</v>
      </c>
      <c r="F7578" t="str">
        <f t="shared" si="1384"/>
        <v>COM</v>
      </c>
      <c r="G7578" t="str">
        <f>"JUNIO SOUZA SILVA (610)"</f>
        <v>JUNIO SOUZA SILVA (610)</v>
      </c>
      <c r="H7578" t="str">
        <f>"Serv.Prest. 06/10/2025 a 12/10/2025 - PIX: CELULAR - CHAVE: (73) 98105-2187"</f>
        <v>Serv.Prest. 06/10/2025 a 12/10/2025 - PIX: CELULAR - CHAVE: (73) 98105-2187</v>
      </c>
      <c r="I7578" t="str">
        <f t="shared" si="1382"/>
        <v>24/10/2025</v>
      </c>
      <c r="J7578" t="str">
        <f t="shared" si="1386"/>
        <v>14/10/2025</v>
      </c>
      <c r="K7578" t="str">
        <f>("24/10/2025")</f>
        <v>24/10/2025</v>
      </c>
      <c r="L7578">
        <v>600</v>
      </c>
      <c r="M7578">
        <v>600</v>
      </c>
      <c r="N7578">
        <v>109</v>
      </c>
      <c r="O7578" t="str">
        <f>"PAGAMENTO DE ENTREGADORES"</f>
        <v>PAGAMENTO DE ENTREGADORES</v>
      </c>
      <c r="P7578">
        <v>600</v>
      </c>
      <c r="S7578" t="str">
        <f>"BANCO C6 (149)"</f>
        <v>BANCO C6 (149)</v>
      </c>
      <c r="T7578">
        <v>20253</v>
      </c>
      <c r="U7578">
        <v>23750</v>
      </c>
      <c r="V7578" t="s">
        <v>77</v>
      </c>
    </row>
    <row r="7579" spans="1:22">
      <c r="A7579" t="str">
        <f t="shared" si="1383"/>
        <v>24/10/2025</v>
      </c>
      <c r="B7579" t="str">
        <f t="shared" si="1380"/>
        <v>SAÍDA</v>
      </c>
      <c r="C7579" t="str">
        <f t="shared" si="1381"/>
        <v>PIX</v>
      </c>
      <c r="D7579" t="str">
        <f>"23750"</f>
        <v>23750</v>
      </c>
      <c r="E7579" t="str">
        <f t="shared" si="1385"/>
        <v>1</v>
      </c>
      <c r="F7579" t="str">
        <f t="shared" si="1384"/>
        <v>COM</v>
      </c>
      <c r="G7579" t="str">
        <f>"JUNIO SOUZA SILVA (610)"</f>
        <v>JUNIO SOUZA SILVA (610)</v>
      </c>
      <c r="H7579" t="s">
        <v>2106</v>
      </c>
      <c r="I7579" t="str">
        <f t="shared" si="1382"/>
        <v>24/10/2025</v>
      </c>
      <c r="J7579" t="str">
        <f t="shared" si="1386"/>
        <v>14/10/2025</v>
      </c>
      <c r="K7579">
        <v>45954</v>
      </c>
      <c r="N7579">
        <v>109</v>
      </c>
      <c r="O7579" t="s">
        <v>24</v>
      </c>
      <c r="Q7579">
        <v>600</v>
      </c>
      <c r="R7579" t="str">
        <f>"FARMÁCIA INDIANA LJ 77 (10034)"</f>
        <v>FARMÁCIA INDIANA LJ 77 (10034)</v>
      </c>
      <c r="S7579" t="s">
        <v>77</v>
      </c>
      <c r="T7579">
        <v>20253</v>
      </c>
      <c r="U7579">
        <v>23750</v>
      </c>
      <c r="V7579" t="s">
        <v>77</v>
      </c>
    </row>
    <row r="7580" spans="1:22">
      <c r="A7580" t="str">
        <f t="shared" si="1383"/>
        <v>24/10/2025</v>
      </c>
      <c r="B7580" t="str">
        <f t="shared" si="1380"/>
        <v>SAÍDA</v>
      </c>
      <c r="C7580" t="str">
        <f t="shared" si="1381"/>
        <v>PIX</v>
      </c>
      <c r="D7580" t="str">
        <f>"23751"</f>
        <v>23751</v>
      </c>
      <c r="E7580" t="str">
        <f t="shared" si="1385"/>
        <v>1</v>
      </c>
      <c r="F7580" t="str">
        <f t="shared" si="1384"/>
        <v>COM</v>
      </c>
      <c r="G7580" t="str">
        <f>"KHENNEDY DAVY DOS SANTOS SILVA (692)"</f>
        <v>KHENNEDY DAVY DOS SANTOS SILVA (692)</v>
      </c>
      <c r="H7580" t="str">
        <f>"Serv.Prest. 06/10/2025 a 12/10/2025 - PIX: CPF - CHAVE: 094.700.685-05"</f>
        <v>Serv.Prest. 06/10/2025 a 12/10/2025 - PIX: CPF - CHAVE: 094.700.685-05</v>
      </c>
      <c r="I7580" t="str">
        <f t="shared" si="1382"/>
        <v>24/10/2025</v>
      </c>
      <c r="J7580" t="str">
        <f t="shared" si="1386"/>
        <v>14/10/2025</v>
      </c>
      <c r="K7580" t="str">
        <f>("24/10/2025")</f>
        <v>24/10/2025</v>
      </c>
      <c r="L7580">
        <v>654</v>
      </c>
      <c r="M7580">
        <v>654</v>
      </c>
      <c r="N7580">
        <v>109</v>
      </c>
      <c r="O7580" t="str">
        <f>"PAGAMENTO DE ENTREGADORES"</f>
        <v>PAGAMENTO DE ENTREGADORES</v>
      </c>
      <c r="P7580">
        <v>654</v>
      </c>
      <c r="S7580" t="str">
        <f>"BANCO C6 (149)"</f>
        <v>BANCO C6 (149)</v>
      </c>
      <c r="T7580">
        <v>20254</v>
      </c>
      <c r="U7580">
        <v>23751</v>
      </c>
      <c r="V7580" t="s">
        <v>77</v>
      </c>
    </row>
    <row r="7581" spans="1:22">
      <c r="A7581" t="str">
        <f t="shared" si="1383"/>
        <v>24/10/2025</v>
      </c>
      <c r="B7581" t="str">
        <f t="shared" si="1380"/>
        <v>SAÍDA</v>
      </c>
      <c r="C7581" t="str">
        <f t="shared" si="1381"/>
        <v>PIX</v>
      </c>
      <c r="D7581" t="str">
        <f>"23751"</f>
        <v>23751</v>
      </c>
      <c r="E7581" t="str">
        <f t="shared" si="1385"/>
        <v>1</v>
      </c>
      <c r="F7581" t="str">
        <f t="shared" si="1384"/>
        <v>COM</v>
      </c>
      <c r="G7581" t="str">
        <f>"KHENNEDY DAVY DOS SANTOS SILVA (692)"</f>
        <v>KHENNEDY DAVY DOS SANTOS SILVA (692)</v>
      </c>
      <c r="H7581" t="s">
        <v>2107</v>
      </c>
      <c r="I7581" t="str">
        <f t="shared" si="1382"/>
        <v>24/10/2025</v>
      </c>
      <c r="J7581" t="str">
        <f t="shared" si="1386"/>
        <v>14/10/2025</v>
      </c>
      <c r="K7581">
        <v>45954</v>
      </c>
      <c r="N7581">
        <v>109</v>
      </c>
      <c r="O7581" t="s">
        <v>24</v>
      </c>
      <c r="Q7581">
        <v>592.72</v>
      </c>
      <c r="R7581" t="str">
        <f>"FARMÁCIA INDIANA LJ 65 (10030)"</f>
        <v>FARMÁCIA INDIANA LJ 65 (10030)</v>
      </c>
      <c r="S7581" t="s">
        <v>77</v>
      </c>
      <c r="T7581">
        <v>20254</v>
      </c>
      <c r="U7581">
        <v>23751</v>
      </c>
      <c r="V7581" t="s">
        <v>77</v>
      </c>
    </row>
    <row r="7582" spans="1:22">
      <c r="A7582" t="str">
        <f t="shared" si="1383"/>
        <v>24/10/2025</v>
      </c>
      <c r="B7582" t="str">
        <f t="shared" si="1380"/>
        <v>SAÍDA</v>
      </c>
      <c r="C7582" t="str">
        <f t="shared" si="1381"/>
        <v>PIX</v>
      </c>
      <c r="D7582" t="str">
        <f>"23751"</f>
        <v>23751</v>
      </c>
      <c r="E7582" t="str">
        <f t="shared" si="1385"/>
        <v>1</v>
      </c>
      <c r="F7582" t="str">
        <f t="shared" si="1384"/>
        <v>COM</v>
      </c>
      <c r="G7582" t="str">
        <f>"KHENNEDY DAVY DOS SANTOS SILVA (692)"</f>
        <v>KHENNEDY DAVY DOS SANTOS SILVA (692)</v>
      </c>
      <c r="H7582" t="s">
        <v>2107</v>
      </c>
      <c r="I7582" t="str">
        <f t="shared" si="1382"/>
        <v>24/10/2025</v>
      </c>
      <c r="J7582" t="str">
        <f t="shared" si="1386"/>
        <v>14/10/2025</v>
      </c>
      <c r="K7582">
        <v>45954</v>
      </c>
      <c r="N7582">
        <v>109</v>
      </c>
      <c r="O7582" t="s">
        <v>24</v>
      </c>
      <c r="Q7582">
        <v>61.28</v>
      </c>
      <c r="R7582" t="str">
        <f>"FARMÁCIA INDIANA LJ 173 (10075)"</f>
        <v>FARMÁCIA INDIANA LJ 173 (10075)</v>
      </c>
      <c r="S7582" t="s">
        <v>77</v>
      </c>
      <c r="T7582">
        <v>20254</v>
      </c>
      <c r="U7582">
        <v>23751</v>
      </c>
      <c r="V7582" t="s">
        <v>77</v>
      </c>
    </row>
    <row r="7583" spans="1:22">
      <c r="A7583" t="str">
        <f t="shared" si="1383"/>
        <v>24/10/2025</v>
      </c>
      <c r="B7583" t="str">
        <f t="shared" si="1380"/>
        <v>SAÍDA</v>
      </c>
      <c r="C7583" t="str">
        <f t="shared" si="1381"/>
        <v>PIX</v>
      </c>
      <c r="D7583" t="str">
        <f>"23752"</f>
        <v>23752</v>
      </c>
      <c r="E7583" t="str">
        <f t="shared" si="1385"/>
        <v>1</v>
      </c>
      <c r="F7583" t="str">
        <f t="shared" si="1384"/>
        <v>COM</v>
      </c>
      <c r="G7583" t="str">
        <f>"LEONARDO MERCÊS CAJAZEIRAS (235)"</f>
        <v>LEONARDO MERCÊS CAJAZEIRAS (235)</v>
      </c>
      <c r="H7583" t="str">
        <f>"Serv.Prest. 06/10/2025 a 12/10/2025 - PIX: CELULAR - CHAVE: (73) 99803-0715"</f>
        <v>Serv.Prest. 06/10/2025 a 12/10/2025 - PIX: CELULAR - CHAVE: (73) 99803-0715</v>
      </c>
      <c r="I7583" t="str">
        <f t="shared" si="1382"/>
        <v>24/10/2025</v>
      </c>
      <c r="J7583" t="str">
        <f t="shared" si="1386"/>
        <v>14/10/2025</v>
      </c>
      <c r="K7583" t="str">
        <f>("24/10/2025")</f>
        <v>24/10/2025</v>
      </c>
      <c r="L7583">
        <v>600</v>
      </c>
      <c r="M7583">
        <v>600</v>
      </c>
      <c r="N7583">
        <v>109</v>
      </c>
      <c r="O7583" t="str">
        <f>"PAGAMENTO DE ENTREGADORES"</f>
        <v>PAGAMENTO DE ENTREGADORES</v>
      </c>
      <c r="P7583">
        <v>600</v>
      </c>
      <c r="S7583" t="str">
        <f>"BANCO C6 (149)"</f>
        <v>BANCO C6 (149)</v>
      </c>
      <c r="T7583">
        <v>20255</v>
      </c>
      <c r="U7583">
        <v>23752</v>
      </c>
      <c r="V7583" t="s">
        <v>77</v>
      </c>
    </row>
    <row r="7584" spans="1:22">
      <c r="A7584" t="str">
        <f t="shared" si="1383"/>
        <v>24/10/2025</v>
      </c>
      <c r="B7584" t="str">
        <f t="shared" si="1380"/>
        <v>SAÍDA</v>
      </c>
      <c r="C7584" t="str">
        <f t="shared" si="1381"/>
        <v>PIX</v>
      </c>
      <c r="D7584" t="str">
        <f>"23752"</f>
        <v>23752</v>
      </c>
      <c r="E7584" t="str">
        <f t="shared" si="1385"/>
        <v>1</v>
      </c>
      <c r="F7584" t="str">
        <f t="shared" si="1384"/>
        <v>COM</v>
      </c>
      <c r="G7584" t="str">
        <f>"LEONARDO MERCÊS CAJAZEIRAS (235)"</f>
        <v>LEONARDO MERCÊS CAJAZEIRAS (235)</v>
      </c>
      <c r="H7584" t="s">
        <v>2108</v>
      </c>
      <c r="I7584" t="str">
        <f t="shared" si="1382"/>
        <v>24/10/2025</v>
      </c>
      <c r="J7584" t="str">
        <f t="shared" si="1386"/>
        <v>14/10/2025</v>
      </c>
      <c r="K7584">
        <v>45954</v>
      </c>
      <c r="N7584">
        <v>109</v>
      </c>
      <c r="O7584" t="s">
        <v>24</v>
      </c>
      <c r="Q7584">
        <v>600</v>
      </c>
      <c r="R7584" t="str">
        <f>"FARMÁCIA INDIANA LJ 35 (10015)"</f>
        <v>FARMÁCIA INDIANA LJ 35 (10015)</v>
      </c>
      <c r="S7584" t="s">
        <v>77</v>
      </c>
      <c r="T7584">
        <v>20255</v>
      </c>
      <c r="U7584">
        <v>23752</v>
      </c>
      <c r="V7584" t="s">
        <v>77</v>
      </c>
    </row>
    <row r="7585" spans="1:22">
      <c r="A7585" t="str">
        <f t="shared" si="1383"/>
        <v>24/10/2025</v>
      </c>
      <c r="B7585" t="str">
        <f t="shared" si="1380"/>
        <v>SAÍDA</v>
      </c>
      <c r="C7585" t="str">
        <f t="shared" si="1381"/>
        <v>PIX</v>
      </c>
      <c r="D7585" t="str">
        <f>"23753"</f>
        <v>23753</v>
      </c>
      <c r="E7585" t="str">
        <f t="shared" si="1385"/>
        <v>1</v>
      </c>
      <c r="F7585" t="str">
        <f t="shared" si="1384"/>
        <v>COM</v>
      </c>
      <c r="G7585" t="str">
        <f>"LUCAS MOREIRA PEREIRA (153)"</f>
        <v>LUCAS MOREIRA PEREIRA (153)</v>
      </c>
      <c r="H7585" t="str">
        <f>"Serv.Prest. 06/10/2025 a 12/10/2025 - PIX: CELULAR - CHAVE: (73) 99967-3239"</f>
        <v>Serv.Prest. 06/10/2025 a 12/10/2025 - PIX: CELULAR - CHAVE: (73) 99967-3239</v>
      </c>
      <c r="I7585" t="str">
        <f t="shared" si="1382"/>
        <v>24/10/2025</v>
      </c>
      <c r="J7585" t="str">
        <f t="shared" si="1386"/>
        <v>14/10/2025</v>
      </c>
      <c r="K7585" t="str">
        <f>("24/10/2025")</f>
        <v>24/10/2025</v>
      </c>
      <c r="L7585">
        <v>1960</v>
      </c>
      <c r="M7585">
        <v>1960</v>
      </c>
      <c r="N7585">
        <v>109</v>
      </c>
      <c r="O7585" t="str">
        <f>"PAGAMENTO DE ENTREGADORES"</f>
        <v>PAGAMENTO DE ENTREGADORES</v>
      </c>
      <c r="P7585">
        <v>1960</v>
      </c>
      <c r="S7585" t="str">
        <f>"BANCO C6 (149)"</f>
        <v>BANCO C6 (149)</v>
      </c>
      <c r="T7585">
        <v>20256</v>
      </c>
      <c r="U7585">
        <v>23753</v>
      </c>
      <c r="V7585" t="s">
        <v>77</v>
      </c>
    </row>
    <row r="7586" spans="1:22">
      <c r="A7586" t="str">
        <f t="shared" si="1383"/>
        <v>24/10/2025</v>
      </c>
      <c r="B7586" t="str">
        <f t="shared" si="1380"/>
        <v>SAÍDA</v>
      </c>
      <c r="C7586" t="str">
        <f t="shared" si="1381"/>
        <v>PIX</v>
      </c>
      <c r="D7586" t="str">
        <f>"23753"</f>
        <v>23753</v>
      </c>
      <c r="E7586" t="str">
        <f t="shared" si="1385"/>
        <v>1</v>
      </c>
      <c r="F7586" t="str">
        <f t="shared" si="1384"/>
        <v>COM</v>
      </c>
      <c r="G7586" t="str">
        <f>"LUCAS MOREIRA PEREIRA (153)"</f>
        <v>LUCAS MOREIRA PEREIRA (153)</v>
      </c>
      <c r="H7586" t="s">
        <v>2109</v>
      </c>
      <c r="I7586" t="str">
        <f t="shared" si="1382"/>
        <v>24/10/2025</v>
      </c>
      <c r="J7586" t="str">
        <f t="shared" si="1386"/>
        <v>14/10/2025</v>
      </c>
      <c r="K7586">
        <v>45954</v>
      </c>
      <c r="N7586">
        <v>109</v>
      </c>
      <c r="O7586" t="s">
        <v>24</v>
      </c>
      <c r="Q7586">
        <v>1609.94</v>
      </c>
      <c r="R7586" t="str">
        <f>"FARMÁCIA INDIANA LJ 48 (10018)"</f>
        <v>FARMÁCIA INDIANA LJ 48 (10018)</v>
      </c>
      <c r="S7586" t="s">
        <v>77</v>
      </c>
      <c r="T7586">
        <v>20256</v>
      </c>
      <c r="U7586">
        <v>23753</v>
      </c>
      <c r="V7586" t="s">
        <v>77</v>
      </c>
    </row>
    <row r="7587" spans="1:22">
      <c r="A7587" t="str">
        <f t="shared" si="1383"/>
        <v>24/10/2025</v>
      </c>
      <c r="B7587" t="str">
        <f t="shared" si="1380"/>
        <v>SAÍDA</v>
      </c>
      <c r="C7587" t="str">
        <f t="shared" si="1381"/>
        <v>PIX</v>
      </c>
      <c r="D7587" t="str">
        <f>"23753"</f>
        <v>23753</v>
      </c>
      <c r="E7587" t="str">
        <f t="shared" si="1385"/>
        <v>1</v>
      </c>
      <c r="F7587" t="str">
        <f t="shared" si="1384"/>
        <v>COM</v>
      </c>
      <c r="G7587" t="str">
        <f>"LUCAS MOREIRA PEREIRA (153)"</f>
        <v>LUCAS MOREIRA PEREIRA (153)</v>
      </c>
      <c r="H7587" t="s">
        <v>2109</v>
      </c>
      <c r="I7587" t="str">
        <f t="shared" si="1382"/>
        <v>24/10/2025</v>
      </c>
      <c r="J7587" t="str">
        <f t="shared" si="1386"/>
        <v>14/10/2025</v>
      </c>
      <c r="K7587">
        <v>45954</v>
      </c>
      <c r="N7587">
        <v>109</v>
      </c>
      <c r="O7587" t="s">
        <v>24</v>
      </c>
      <c r="Q7587">
        <v>350.06</v>
      </c>
      <c r="R7587" t="str">
        <f>"FARMÁCIA INDIANA LJ 169 (10073)"</f>
        <v>FARMÁCIA INDIANA LJ 169 (10073)</v>
      </c>
      <c r="S7587" t="s">
        <v>77</v>
      </c>
      <c r="T7587">
        <v>20256</v>
      </c>
      <c r="U7587">
        <v>23753</v>
      </c>
      <c r="V7587" t="s">
        <v>77</v>
      </c>
    </row>
    <row r="7588" spans="1:22">
      <c r="A7588" t="str">
        <f t="shared" si="1383"/>
        <v>24/10/2025</v>
      </c>
      <c r="B7588" t="str">
        <f t="shared" si="1380"/>
        <v>SAÍDA</v>
      </c>
      <c r="C7588" t="str">
        <f t="shared" si="1381"/>
        <v>PIX</v>
      </c>
      <c r="D7588" t="str">
        <f>"23754"</f>
        <v>23754</v>
      </c>
      <c r="E7588" t="str">
        <f t="shared" si="1385"/>
        <v>1</v>
      </c>
      <c r="F7588" t="str">
        <f t="shared" si="1384"/>
        <v>COM</v>
      </c>
      <c r="G7588" t="str">
        <f>"MARIA ILZA PEREIRA DOS SANTOS (618)"</f>
        <v>MARIA ILZA PEREIRA DOS SANTOS (618)</v>
      </c>
      <c r="H7588" t="str">
        <f>"Serv.Prest. 06/10/2025 a 12/10/2025 - PIX: CPF - CHAVE: 003.157.195-67"</f>
        <v>Serv.Prest. 06/10/2025 a 12/10/2025 - PIX: CPF - CHAVE: 003.157.195-67</v>
      </c>
      <c r="I7588" t="str">
        <f t="shared" si="1382"/>
        <v>24/10/2025</v>
      </c>
      <c r="J7588" t="str">
        <f t="shared" si="1386"/>
        <v>14/10/2025</v>
      </c>
      <c r="K7588" t="str">
        <f>("24/10/2025")</f>
        <v>24/10/2025</v>
      </c>
      <c r="L7588">
        <v>654</v>
      </c>
      <c r="M7588">
        <v>654</v>
      </c>
      <c r="N7588">
        <v>109</v>
      </c>
      <c r="O7588" t="str">
        <f>"PAGAMENTO DE ENTREGADORES"</f>
        <v>PAGAMENTO DE ENTREGADORES</v>
      </c>
      <c r="P7588">
        <v>654</v>
      </c>
      <c r="S7588" t="str">
        <f>"BANCO C6 (149)"</f>
        <v>BANCO C6 (149)</v>
      </c>
      <c r="T7588">
        <v>20257</v>
      </c>
      <c r="U7588">
        <v>23754</v>
      </c>
      <c r="V7588" t="s">
        <v>77</v>
      </c>
    </row>
    <row r="7589" spans="1:22">
      <c r="A7589" t="str">
        <f t="shared" si="1383"/>
        <v>24/10/2025</v>
      </c>
      <c r="B7589" t="str">
        <f t="shared" si="1380"/>
        <v>SAÍDA</v>
      </c>
      <c r="C7589" t="str">
        <f t="shared" si="1381"/>
        <v>PIX</v>
      </c>
      <c r="D7589" t="str">
        <f>"23754"</f>
        <v>23754</v>
      </c>
      <c r="E7589" t="str">
        <f t="shared" si="1385"/>
        <v>1</v>
      </c>
      <c r="F7589" t="str">
        <f t="shared" si="1384"/>
        <v>COM</v>
      </c>
      <c r="G7589" t="str">
        <f>"MARIA ILZA PEREIRA DOS SANTOS (618)"</f>
        <v>MARIA ILZA PEREIRA DOS SANTOS (618)</v>
      </c>
      <c r="H7589" t="s">
        <v>2110</v>
      </c>
      <c r="I7589" t="str">
        <f t="shared" si="1382"/>
        <v>24/10/2025</v>
      </c>
      <c r="J7589" t="str">
        <f t="shared" si="1386"/>
        <v>14/10/2025</v>
      </c>
      <c r="K7589">
        <v>45954</v>
      </c>
      <c r="N7589">
        <v>109</v>
      </c>
      <c r="O7589" t="s">
        <v>24</v>
      </c>
      <c r="Q7589">
        <v>541.25</v>
      </c>
      <c r="R7589" t="str">
        <f>"FARMÁCIA INDIANA LJ 65 (10030)"</f>
        <v>FARMÁCIA INDIANA LJ 65 (10030)</v>
      </c>
      <c r="S7589" t="s">
        <v>77</v>
      </c>
      <c r="T7589">
        <v>20257</v>
      </c>
      <c r="U7589">
        <v>23754</v>
      </c>
      <c r="V7589" t="s">
        <v>77</v>
      </c>
    </row>
    <row r="7590" spans="1:22">
      <c r="A7590" t="str">
        <f t="shared" si="1383"/>
        <v>24/10/2025</v>
      </c>
      <c r="B7590" t="str">
        <f t="shared" si="1380"/>
        <v>SAÍDA</v>
      </c>
      <c r="C7590" t="str">
        <f t="shared" si="1381"/>
        <v>PIX</v>
      </c>
      <c r="D7590" t="str">
        <f>"23754"</f>
        <v>23754</v>
      </c>
      <c r="E7590" t="str">
        <f t="shared" si="1385"/>
        <v>1</v>
      </c>
      <c r="F7590" t="str">
        <f t="shared" si="1384"/>
        <v>COM</v>
      </c>
      <c r="G7590" t="str">
        <f>"MARIA ILZA PEREIRA DOS SANTOS (618)"</f>
        <v>MARIA ILZA PEREIRA DOS SANTOS (618)</v>
      </c>
      <c r="H7590" t="s">
        <v>2110</v>
      </c>
      <c r="I7590" t="str">
        <f t="shared" si="1382"/>
        <v>24/10/2025</v>
      </c>
      <c r="J7590" t="str">
        <f t="shared" si="1386"/>
        <v>14/10/2025</v>
      </c>
      <c r="K7590">
        <v>45954</v>
      </c>
      <c r="N7590">
        <v>109</v>
      </c>
      <c r="O7590" t="s">
        <v>24</v>
      </c>
      <c r="Q7590">
        <v>112.75</v>
      </c>
      <c r="R7590" t="str">
        <f>"FARMÁCIA INDIANA LJ 173 (10075)"</f>
        <v>FARMÁCIA INDIANA LJ 173 (10075)</v>
      </c>
      <c r="S7590" t="s">
        <v>77</v>
      </c>
      <c r="T7590">
        <v>20257</v>
      </c>
      <c r="U7590">
        <v>23754</v>
      </c>
      <c r="V7590" t="s">
        <v>77</v>
      </c>
    </row>
    <row r="7591" spans="1:22">
      <c r="A7591" t="str">
        <f t="shared" si="1383"/>
        <v>24/10/2025</v>
      </c>
      <c r="B7591" t="str">
        <f t="shared" si="1380"/>
        <v>SAÍDA</v>
      </c>
      <c r="C7591" t="str">
        <f t="shared" si="1381"/>
        <v>PIX</v>
      </c>
      <c r="D7591" t="str">
        <f>"23755"</f>
        <v>23755</v>
      </c>
      <c r="E7591" t="str">
        <f t="shared" si="1385"/>
        <v>1</v>
      </c>
      <c r="F7591" t="str">
        <f t="shared" si="1384"/>
        <v>COM</v>
      </c>
      <c r="G7591" t="str">
        <f>"MOABIO AZEVEDO DOS SANTOS (131)"</f>
        <v>MOABIO AZEVEDO DOS SANTOS (131)</v>
      </c>
      <c r="H7591" t="str">
        <f>"Serv.Prest. 06/10/2025 a 12/10/2025 - PIX: CNPJ - CHAVE: 33.412.676/0001-41"</f>
        <v>Serv.Prest. 06/10/2025 a 12/10/2025 - PIX: CNPJ - CHAVE: 33.412.676/0001-41</v>
      </c>
      <c r="I7591" t="str">
        <f t="shared" si="1382"/>
        <v>24/10/2025</v>
      </c>
      <c r="J7591" t="str">
        <f t="shared" si="1386"/>
        <v>14/10/2025</v>
      </c>
      <c r="K7591" t="str">
        <f>("24/10/2025")</f>
        <v>24/10/2025</v>
      </c>
      <c r="L7591">
        <v>1128</v>
      </c>
      <c r="M7591">
        <v>1128</v>
      </c>
      <c r="N7591">
        <v>109</v>
      </c>
      <c r="O7591" t="str">
        <f>"PAGAMENTO DE ENTREGADORES"</f>
        <v>PAGAMENTO DE ENTREGADORES</v>
      </c>
      <c r="P7591">
        <v>1128</v>
      </c>
      <c r="S7591" t="str">
        <f>"BANCO C6 (149)"</f>
        <v>BANCO C6 (149)</v>
      </c>
      <c r="T7591">
        <v>20258</v>
      </c>
      <c r="U7591">
        <v>23755</v>
      </c>
      <c r="V7591" t="s">
        <v>77</v>
      </c>
    </row>
    <row r="7592" spans="1:22">
      <c r="A7592" t="str">
        <f t="shared" si="1383"/>
        <v>24/10/2025</v>
      </c>
      <c r="B7592" t="str">
        <f t="shared" si="1380"/>
        <v>SAÍDA</v>
      </c>
      <c r="C7592" t="str">
        <f t="shared" si="1381"/>
        <v>PIX</v>
      </c>
      <c r="D7592" t="str">
        <f>"23755"</f>
        <v>23755</v>
      </c>
      <c r="E7592" t="str">
        <f t="shared" si="1385"/>
        <v>1</v>
      </c>
      <c r="F7592" t="str">
        <f t="shared" si="1384"/>
        <v>COM</v>
      </c>
      <c r="G7592" t="str">
        <f>"MOABIO AZEVEDO DOS SANTOS (131)"</f>
        <v>MOABIO AZEVEDO DOS SANTOS (131)</v>
      </c>
      <c r="H7592" t="s">
        <v>2111</v>
      </c>
      <c r="I7592" t="str">
        <f t="shared" si="1382"/>
        <v>24/10/2025</v>
      </c>
      <c r="J7592" t="str">
        <f t="shared" si="1386"/>
        <v>14/10/2025</v>
      </c>
      <c r="K7592">
        <v>45954</v>
      </c>
      <c r="N7592">
        <v>109</v>
      </c>
      <c r="O7592" t="s">
        <v>24</v>
      </c>
      <c r="Q7592">
        <v>1128</v>
      </c>
      <c r="R7592" t="str">
        <f>"FARMÁCIA INDIANA LJ 91 (10037)"</f>
        <v>FARMÁCIA INDIANA LJ 91 (10037)</v>
      </c>
      <c r="S7592" t="s">
        <v>77</v>
      </c>
      <c r="T7592">
        <v>20258</v>
      </c>
      <c r="U7592">
        <v>23755</v>
      </c>
      <c r="V7592" t="s">
        <v>77</v>
      </c>
    </row>
    <row r="7593" spans="1:22">
      <c r="A7593" t="str">
        <f t="shared" si="1383"/>
        <v>24/10/2025</v>
      </c>
      <c r="B7593" t="str">
        <f t="shared" si="1380"/>
        <v>SAÍDA</v>
      </c>
      <c r="C7593" t="str">
        <f t="shared" si="1381"/>
        <v>PIX</v>
      </c>
      <c r="D7593" t="str">
        <f>"23757"</f>
        <v>23757</v>
      </c>
      <c r="E7593" t="str">
        <f t="shared" si="1385"/>
        <v>1</v>
      </c>
      <c r="F7593" t="str">
        <f t="shared" si="1384"/>
        <v>COM</v>
      </c>
      <c r="G7593" t="str">
        <f>"OSVALDO DOS SANTOS (163)"</f>
        <v>OSVALDO DOS SANTOS (163)</v>
      </c>
      <c r="H7593" t="str">
        <f>"Serv.Prest. 06/10/2025 a 12/10/2025 - PIX: CELULAR - CHAVE: (73) 99977-2721"</f>
        <v>Serv.Prest. 06/10/2025 a 12/10/2025 - PIX: CELULAR - CHAVE: (73) 99977-2721</v>
      </c>
      <c r="I7593" t="str">
        <f t="shared" si="1382"/>
        <v>24/10/2025</v>
      </c>
      <c r="J7593" t="str">
        <f t="shared" si="1386"/>
        <v>14/10/2025</v>
      </c>
      <c r="K7593" t="str">
        <f>("24/10/2025")</f>
        <v>24/10/2025</v>
      </c>
      <c r="L7593">
        <v>600</v>
      </c>
      <c r="M7593">
        <v>600</v>
      </c>
      <c r="N7593">
        <v>109</v>
      </c>
      <c r="O7593" t="str">
        <f>"PAGAMENTO DE ENTREGADORES"</f>
        <v>PAGAMENTO DE ENTREGADORES</v>
      </c>
      <c r="P7593">
        <v>600</v>
      </c>
      <c r="S7593" t="str">
        <f>"BANCO C6 (149)"</f>
        <v>BANCO C6 (149)</v>
      </c>
      <c r="T7593">
        <v>20259</v>
      </c>
      <c r="U7593">
        <v>23757</v>
      </c>
      <c r="V7593" t="s">
        <v>77</v>
      </c>
    </row>
    <row r="7594" spans="1:22">
      <c r="A7594" t="str">
        <f t="shared" si="1383"/>
        <v>24/10/2025</v>
      </c>
      <c r="B7594" t="str">
        <f t="shared" si="1380"/>
        <v>SAÍDA</v>
      </c>
      <c r="C7594" t="str">
        <f t="shared" si="1381"/>
        <v>PIX</v>
      </c>
      <c r="D7594" t="str">
        <f>"23757"</f>
        <v>23757</v>
      </c>
      <c r="E7594" t="str">
        <f t="shared" si="1385"/>
        <v>1</v>
      </c>
      <c r="F7594" t="str">
        <f t="shared" si="1384"/>
        <v>COM</v>
      </c>
      <c r="G7594" t="str">
        <f>"OSVALDO DOS SANTOS (163)"</f>
        <v>OSVALDO DOS SANTOS (163)</v>
      </c>
      <c r="H7594" t="s">
        <v>2112</v>
      </c>
      <c r="I7594" t="str">
        <f t="shared" si="1382"/>
        <v>24/10/2025</v>
      </c>
      <c r="J7594" t="str">
        <f t="shared" si="1386"/>
        <v>14/10/2025</v>
      </c>
      <c r="K7594">
        <v>45954</v>
      </c>
      <c r="N7594">
        <v>109</v>
      </c>
      <c r="O7594" t="s">
        <v>24</v>
      </c>
      <c r="Q7594">
        <v>600</v>
      </c>
      <c r="R7594" t="str">
        <f>"FARMÁCIA INDIANA LJ 35 (10015)"</f>
        <v>FARMÁCIA INDIANA LJ 35 (10015)</v>
      </c>
      <c r="S7594" t="s">
        <v>77</v>
      </c>
      <c r="T7594">
        <v>20259</v>
      </c>
      <c r="U7594">
        <v>23757</v>
      </c>
      <c r="V7594" t="s">
        <v>77</v>
      </c>
    </row>
    <row r="7595" spans="1:22">
      <c r="A7595" t="str">
        <f t="shared" si="1383"/>
        <v>24/10/2025</v>
      </c>
      <c r="B7595" t="str">
        <f t="shared" si="1380"/>
        <v>SAÍDA</v>
      </c>
      <c r="C7595" t="str">
        <f t="shared" si="1381"/>
        <v>PIX</v>
      </c>
      <c r="D7595" t="str">
        <f>"23760"</f>
        <v>23760</v>
      </c>
      <c r="E7595" t="str">
        <f t="shared" si="1385"/>
        <v>1</v>
      </c>
      <c r="F7595" t="str">
        <f t="shared" si="1384"/>
        <v>COM</v>
      </c>
      <c r="G7595" t="str">
        <f>"VINICIUS SANTOS PEREIRA (633)"</f>
        <v>VINICIUS SANTOS PEREIRA (633)</v>
      </c>
      <c r="H7595" t="str">
        <f>"Serv.Prest. 06/10/2025 a 12/10/2025 - PIX: CELULAR - CHAVE: (73) 99818-9718"</f>
        <v>Serv.Prest. 06/10/2025 a 12/10/2025 - PIX: CELULAR - CHAVE: (73) 99818-9718</v>
      </c>
      <c r="I7595" t="str">
        <f t="shared" si="1382"/>
        <v>24/10/2025</v>
      </c>
      <c r="J7595" t="str">
        <f t="shared" si="1386"/>
        <v>14/10/2025</v>
      </c>
      <c r="K7595" t="str">
        <f>("24/10/2025")</f>
        <v>24/10/2025</v>
      </c>
      <c r="L7595">
        <v>692.75</v>
      </c>
      <c r="M7595">
        <v>692.75</v>
      </c>
      <c r="N7595">
        <v>109</v>
      </c>
      <c r="O7595" t="str">
        <f>"PAGAMENTO DE ENTREGADORES"</f>
        <v>PAGAMENTO DE ENTREGADORES</v>
      </c>
      <c r="P7595">
        <v>692.75</v>
      </c>
      <c r="S7595" t="str">
        <f>"BANCO C6 (149)"</f>
        <v>BANCO C6 (149)</v>
      </c>
      <c r="T7595">
        <v>20260</v>
      </c>
      <c r="U7595">
        <v>23760</v>
      </c>
      <c r="V7595" t="s">
        <v>77</v>
      </c>
    </row>
    <row r="7596" spans="1:22">
      <c r="A7596" t="str">
        <f t="shared" si="1383"/>
        <v>24/10/2025</v>
      </c>
      <c r="B7596" t="str">
        <f t="shared" ref="B7596:B7632" si="1387">"SAÍDA"</f>
        <v>SAÍDA</v>
      </c>
      <c r="C7596" t="str">
        <f t="shared" ref="C7596:C7628" si="1388">"PIX"</f>
        <v>PIX</v>
      </c>
      <c r="D7596" t="str">
        <f>"23760"</f>
        <v>23760</v>
      </c>
      <c r="E7596" t="str">
        <f t="shared" si="1385"/>
        <v>1</v>
      </c>
      <c r="F7596" t="str">
        <f t="shared" si="1384"/>
        <v>COM</v>
      </c>
      <c r="G7596" t="str">
        <f>"VINICIUS SANTOS PEREIRA (633)"</f>
        <v>VINICIUS SANTOS PEREIRA (633)</v>
      </c>
      <c r="H7596" t="s">
        <v>2113</v>
      </c>
      <c r="I7596" t="str">
        <f t="shared" ref="I7596:I7628" si="1389">("24/10/2025")</f>
        <v>24/10/2025</v>
      </c>
      <c r="J7596" t="str">
        <f t="shared" si="1386"/>
        <v>14/10/2025</v>
      </c>
      <c r="K7596">
        <v>45954</v>
      </c>
      <c r="N7596">
        <v>109</v>
      </c>
      <c r="O7596" t="s">
        <v>24</v>
      </c>
      <c r="Q7596">
        <v>692.75</v>
      </c>
      <c r="R7596" t="str">
        <f>"FARMÁCIA INDIANA LJ 95 (10039)"</f>
        <v>FARMÁCIA INDIANA LJ 95 (10039)</v>
      </c>
      <c r="S7596" t="s">
        <v>77</v>
      </c>
      <c r="T7596">
        <v>20260</v>
      </c>
      <c r="U7596">
        <v>23760</v>
      </c>
      <c r="V7596" t="s">
        <v>77</v>
      </c>
    </row>
    <row r="7597" spans="1:22">
      <c r="A7597" t="str">
        <f t="shared" si="1383"/>
        <v>24/10/2025</v>
      </c>
      <c r="B7597" t="str">
        <f t="shared" si="1387"/>
        <v>SAÍDA</v>
      </c>
      <c r="C7597" t="str">
        <f t="shared" si="1388"/>
        <v>PIX</v>
      </c>
      <c r="D7597" t="str">
        <f>"23761"</f>
        <v>23761</v>
      </c>
      <c r="E7597" t="str">
        <f t="shared" si="1385"/>
        <v>1</v>
      </c>
      <c r="F7597" t="str">
        <f t="shared" si="1384"/>
        <v>COM</v>
      </c>
      <c r="G7597" t="str">
        <f>"WESLEI GONÇALVES SANTOS (154)"</f>
        <v>WESLEI GONÇALVES SANTOS (154)</v>
      </c>
      <c r="H7597" t="str">
        <f>"Serv.Prest. 06/10/2025 a 12/10/2025 - PIX: CPF - CHAVE: 079.068.045-97"</f>
        <v>Serv.Prest. 06/10/2025 a 12/10/2025 - PIX: CPF - CHAVE: 079.068.045-97</v>
      </c>
      <c r="I7597" t="str">
        <f t="shared" si="1389"/>
        <v>24/10/2025</v>
      </c>
      <c r="J7597" t="str">
        <f t="shared" si="1386"/>
        <v>14/10/2025</v>
      </c>
      <c r="K7597" t="str">
        <f>("24/10/2025")</f>
        <v>24/10/2025</v>
      </c>
      <c r="L7597">
        <v>600.66</v>
      </c>
      <c r="M7597">
        <v>600.66</v>
      </c>
      <c r="N7597">
        <v>109</v>
      </c>
      <c r="O7597" t="str">
        <f>"PAGAMENTO DE ENTREGADORES"</f>
        <v>PAGAMENTO DE ENTREGADORES</v>
      </c>
      <c r="P7597">
        <v>600.66</v>
      </c>
      <c r="S7597" t="str">
        <f>"BANCO C6 (149)"</f>
        <v>BANCO C6 (149)</v>
      </c>
      <c r="T7597">
        <v>20261</v>
      </c>
      <c r="U7597">
        <v>23761</v>
      </c>
      <c r="V7597" t="s">
        <v>77</v>
      </c>
    </row>
    <row r="7598" spans="1:22">
      <c r="A7598" t="str">
        <f t="shared" si="1383"/>
        <v>24/10/2025</v>
      </c>
      <c r="B7598" t="str">
        <f t="shared" si="1387"/>
        <v>SAÍDA</v>
      </c>
      <c r="C7598" t="str">
        <f t="shared" si="1388"/>
        <v>PIX</v>
      </c>
      <c r="D7598" t="str">
        <f>"23761"</f>
        <v>23761</v>
      </c>
      <c r="E7598" t="str">
        <f t="shared" si="1385"/>
        <v>1</v>
      </c>
      <c r="F7598" t="str">
        <f t="shared" si="1384"/>
        <v>COM</v>
      </c>
      <c r="G7598" t="str">
        <f>"WESLEI GONÇALVES SANTOS (154)"</f>
        <v>WESLEI GONÇALVES SANTOS (154)</v>
      </c>
      <c r="H7598" t="s">
        <v>2114</v>
      </c>
      <c r="I7598" t="str">
        <f t="shared" si="1389"/>
        <v>24/10/2025</v>
      </c>
      <c r="J7598" t="str">
        <f t="shared" si="1386"/>
        <v>14/10/2025</v>
      </c>
      <c r="K7598">
        <v>45954</v>
      </c>
      <c r="N7598">
        <v>109</v>
      </c>
      <c r="O7598" t="s">
        <v>24</v>
      </c>
      <c r="Q7598">
        <v>600.66</v>
      </c>
      <c r="R7598" t="str">
        <f>"FARMÁCIA INDIANA LJ 34 (10014)"</f>
        <v>FARMÁCIA INDIANA LJ 34 (10014)</v>
      </c>
      <c r="S7598" t="s">
        <v>77</v>
      </c>
      <c r="T7598">
        <v>20261</v>
      </c>
      <c r="U7598">
        <v>23761</v>
      </c>
      <c r="V7598" t="s">
        <v>77</v>
      </c>
    </row>
    <row r="7599" spans="1:22">
      <c r="A7599" t="str">
        <f t="shared" si="1383"/>
        <v>24/10/2025</v>
      </c>
      <c r="B7599" t="str">
        <f t="shared" si="1387"/>
        <v>SAÍDA</v>
      </c>
      <c r="C7599" t="str">
        <f t="shared" si="1388"/>
        <v>PIX</v>
      </c>
      <c r="D7599" t="str">
        <f>"23762"</f>
        <v>23762</v>
      </c>
      <c r="E7599" t="str">
        <f t="shared" si="1385"/>
        <v>1</v>
      </c>
      <c r="F7599" t="str">
        <f t="shared" si="1384"/>
        <v>COM</v>
      </c>
      <c r="G7599" t="str">
        <f>"YAN BRENDO CORREIA VIEIRA (861)"</f>
        <v>YAN BRENDO CORREIA VIEIRA (861)</v>
      </c>
      <c r="H7599" t="str">
        <f>"Serv.Prest. 06/10/2025 a 12/10/2025 - PIX: CPF - CHAVE: 096.891.935-97"</f>
        <v>Serv.Prest. 06/10/2025 a 12/10/2025 - PIX: CPF - CHAVE: 096.891.935-97</v>
      </c>
      <c r="I7599" t="str">
        <f t="shared" si="1389"/>
        <v>24/10/2025</v>
      </c>
      <c r="J7599" t="str">
        <f t="shared" si="1386"/>
        <v>14/10/2025</v>
      </c>
      <c r="K7599" t="str">
        <f>("24/10/2025")</f>
        <v>24/10/2025</v>
      </c>
      <c r="L7599">
        <v>800</v>
      </c>
      <c r="M7599">
        <v>800</v>
      </c>
      <c r="N7599">
        <v>109</v>
      </c>
      <c r="O7599" t="str">
        <f>"PAGAMENTO DE ENTREGADORES"</f>
        <v>PAGAMENTO DE ENTREGADORES</v>
      </c>
      <c r="P7599">
        <v>800</v>
      </c>
      <c r="S7599" t="str">
        <f>"BANCO C6 (149)"</f>
        <v>BANCO C6 (149)</v>
      </c>
      <c r="T7599">
        <v>20262</v>
      </c>
      <c r="U7599">
        <v>23762</v>
      </c>
      <c r="V7599" t="s">
        <v>77</v>
      </c>
    </row>
    <row r="7600" spans="1:22">
      <c r="A7600" t="str">
        <f t="shared" si="1383"/>
        <v>24/10/2025</v>
      </c>
      <c r="B7600" t="str">
        <f t="shared" si="1387"/>
        <v>SAÍDA</v>
      </c>
      <c r="C7600" t="str">
        <f t="shared" si="1388"/>
        <v>PIX</v>
      </c>
      <c r="D7600" t="str">
        <f>"23762"</f>
        <v>23762</v>
      </c>
      <c r="E7600" t="str">
        <f t="shared" si="1385"/>
        <v>1</v>
      </c>
      <c r="F7600" t="str">
        <f t="shared" si="1384"/>
        <v>COM</v>
      </c>
      <c r="G7600" t="str">
        <f>"YAN BRENDO CORREIA VIEIRA (861)"</f>
        <v>YAN BRENDO CORREIA VIEIRA (861)</v>
      </c>
      <c r="H7600" t="s">
        <v>1619</v>
      </c>
      <c r="I7600" t="str">
        <f t="shared" si="1389"/>
        <v>24/10/2025</v>
      </c>
      <c r="J7600" t="str">
        <f t="shared" si="1386"/>
        <v>14/10/2025</v>
      </c>
      <c r="K7600">
        <v>45954</v>
      </c>
      <c r="N7600">
        <v>109</v>
      </c>
      <c r="O7600" t="s">
        <v>24</v>
      </c>
      <c r="Q7600">
        <v>800</v>
      </c>
      <c r="R7600" t="str">
        <f>"FARMÁCIA INDIANA LJ 200 (10155)"</f>
        <v>FARMÁCIA INDIANA LJ 200 (10155)</v>
      </c>
      <c r="S7600" t="s">
        <v>77</v>
      </c>
      <c r="T7600">
        <v>20262</v>
      </c>
      <c r="U7600">
        <v>23762</v>
      </c>
      <c r="V7600" t="s">
        <v>77</v>
      </c>
    </row>
    <row r="7601" spans="1:22">
      <c r="A7601" t="str">
        <f t="shared" ref="A7601:A7650" si="1390">("24/10/2025")</f>
        <v>24/10/2025</v>
      </c>
      <c r="B7601" t="str">
        <f t="shared" si="1387"/>
        <v>SAÍDA</v>
      </c>
      <c r="C7601" t="str">
        <f t="shared" si="1388"/>
        <v>PIX</v>
      </c>
      <c r="D7601" t="str">
        <f>"23764"</f>
        <v>23764</v>
      </c>
      <c r="E7601" t="str">
        <f t="shared" si="1385"/>
        <v>1</v>
      </c>
      <c r="F7601" t="str">
        <f t="shared" ref="F7601:F7646" si="1391">"COM"</f>
        <v>COM</v>
      </c>
      <c r="G7601" t="str">
        <f>"ANDERSON PEREIRA DOS SANTOS (746)"</f>
        <v>ANDERSON PEREIRA DOS SANTOS (746)</v>
      </c>
      <c r="H7601" t="str">
        <f>"Serv.Prest. 06/10/2025 a 12/10/2025 - PIX: CPF - CHAVE: 079.930.865-07"</f>
        <v>Serv.Prest. 06/10/2025 a 12/10/2025 - PIX: CPF - CHAVE: 079.930.865-07</v>
      </c>
      <c r="I7601" t="str">
        <f t="shared" si="1389"/>
        <v>24/10/2025</v>
      </c>
      <c r="J7601" t="str">
        <f t="shared" si="1386"/>
        <v>14/10/2025</v>
      </c>
      <c r="K7601" t="str">
        <f>("24/10/2025")</f>
        <v>24/10/2025</v>
      </c>
      <c r="L7601">
        <v>804</v>
      </c>
      <c r="M7601">
        <v>804</v>
      </c>
      <c r="N7601">
        <v>109</v>
      </c>
      <c r="O7601" t="str">
        <f>"PAGAMENTO DE ENTREGADORES"</f>
        <v>PAGAMENTO DE ENTREGADORES</v>
      </c>
      <c r="P7601">
        <v>804</v>
      </c>
      <c r="S7601" t="str">
        <f>"BANCO C6 (149)"</f>
        <v>BANCO C6 (149)</v>
      </c>
      <c r="T7601">
        <v>20263</v>
      </c>
      <c r="U7601">
        <v>23764</v>
      </c>
      <c r="V7601" t="s">
        <v>77</v>
      </c>
    </row>
    <row r="7602" spans="1:22">
      <c r="A7602" t="str">
        <f t="shared" si="1390"/>
        <v>24/10/2025</v>
      </c>
      <c r="B7602" t="str">
        <f t="shared" si="1387"/>
        <v>SAÍDA</v>
      </c>
      <c r="C7602" t="str">
        <f t="shared" si="1388"/>
        <v>PIX</v>
      </c>
      <c r="D7602" t="str">
        <f>"23764"</f>
        <v>23764</v>
      </c>
      <c r="E7602" t="str">
        <f t="shared" si="1385"/>
        <v>1</v>
      </c>
      <c r="F7602" t="str">
        <f t="shared" si="1391"/>
        <v>COM</v>
      </c>
      <c r="G7602" t="str">
        <f>"ANDERSON PEREIRA DOS SANTOS (746)"</f>
        <v>ANDERSON PEREIRA DOS SANTOS (746)</v>
      </c>
      <c r="H7602" t="s">
        <v>2115</v>
      </c>
      <c r="I7602" t="str">
        <f t="shared" si="1389"/>
        <v>24/10/2025</v>
      </c>
      <c r="J7602" t="str">
        <f t="shared" si="1386"/>
        <v>14/10/2025</v>
      </c>
      <c r="K7602">
        <v>45954</v>
      </c>
      <c r="N7602">
        <v>109</v>
      </c>
      <c r="O7602" t="s">
        <v>24</v>
      </c>
      <c r="Q7602">
        <v>211.61</v>
      </c>
      <c r="R7602" t="str">
        <f>"FARMÁCIA INDIANA LJ 211 (10168)"</f>
        <v>FARMÁCIA INDIANA LJ 211 (10168)</v>
      </c>
      <c r="S7602" t="s">
        <v>77</v>
      </c>
      <c r="T7602">
        <v>20263</v>
      </c>
      <c r="U7602">
        <v>23764</v>
      </c>
      <c r="V7602" t="s">
        <v>77</v>
      </c>
    </row>
    <row r="7603" spans="1:22">
      <c r="A7603" t="str">
        <f t="shared" si="1390"/>
        <v>24/10/2025</v>
      </c>
      <c r="B7603" t="str">
        <f t="shared" si="1387"/>
        <v>SAÍDA</v>
      </c>
      <c r="C7603" t="str">
        <f t="shared" si="1388"/>
        <v>PIX</v>
      </c>
      <c r="D7603" t="str">
        <f>"23764"</f>
        <v>23764</v>
      </c>
      <c r="E7603" t="str">
        <f t="shared" si="1385"/>
        <v>1</v>
      </c>
      <c r="F7603" t="str">
        <f t="shared" si="1391"/>
        <v>COM</v>
      </c>
      <c r="G7603" t="str">
        <f>"ANDERSON PEREIRA DOS SANTOS (746)"</f>
        <v>ANDERSON PEREIRA DOS SANTOS (746)</v>
      </c>
      <c r="H7603" t="s">
        <v>2115</v>
      </c>
      <c r="I7603" t="str">
        <f t="shared" si="1389"/>
        <v>24/10/2025</v>
      </c>
      <c r="J7603" t="str">
        <f t="shared" si="1386"/>
        <v>14/10/2025</v>
      </c>
      <c r="K7603">
        <v>45954</v>
      </c>
      <c r="N7603">
        <v>109</v>
      </c>
      <c r="O7603" t="s">
        <v>24</v>
      </c>
      <c r="Q7603">
        <v>592.39</v>
      </c>
      <c r="R7603" t="str">
        <f>"FARMÁCIA INDIANA LJ 236 (10169)"</f>
        <v>FARMÁCIA INDIANA LJ 236 (10169)</v>
      </c>
      <c r="S7603" t="s">
        <v>77</v>
      </c>
      <c r="T7603">
        <v>20263</v>
      </c>
      <c r="U7603">
        <v>23764</v>
      </c>
      <c r="V7603" t="s">
        <v>77</v>
      </c>
    </row>
    <row r="7604" spans="1:22">
      <c r="A7604" t="str">
        <f t="shared" si="1390"/>
        <v>24/10/2025</v>
      </c>
      <c r="B7604" t="str">
        <f t="shared" si="1387"/>
        <v>SAÍDA</v>
      </c>
      <c r="C7604" t="str">
        <f t="shared" si="1388"/>
        <v>PIX</v>
      </c>
      <c r="D7604" t="str">
        <f>"23765"</f>
        <v>23765</v>
      </c>
      <c r="E7604" t="str">
        <f t="shared" si="1385"/>
        <v>1</v>
      </c>
      <c r="F7604" t="str">
        <f t="shared" si="1391"/>
        <v>COM</v>
      </c>
      <c r="G7604" t="str">
        <f>"DANILO ROCHA SILVA (162)"</f>
        <v>DANILO ROCHA SILVA (162)</v>
      </c>
      <c r="H7604" t="str">
        <f>"Serv.Prest. 06/10/2025 a 12/10/2025 - PIX: CELULAR - CHAVE: (27) 99811-6850"</f>
        <v>Serv.Prest. 06/10/2025 a 12/10/2025 - PIX: CELULAR - CHAVE: (27) 99811-6850</v>
      </c>
      <c r="I7604" t="str">
        <f t="shared" si="1389"/>
        <v>24/10/2025</v>
      </c>
      <c r="J7604" t="str">
        <f t="shared" si="1386"/>
        <v>14/10/2025</v>
      </c>
      <c r="K7604" t="str">
        <f>("24/10/2025")</f>
        <v>24/10/2025</v>
      </c>
      <c r="L7604">
        <v>1687.5</v>
      </c>
      <c r="M7604">
        <v>1687.5</v>
      </c>
      <c r="N7604">
        <v>109</v>
      </c>
      <c r="O7604" t="str">
        <f>"PAGAMENTO DE ENTREGADORES"</f>
        <v>PAGAMENTO DE ENTREGADORES</v>
      </c>
      <c r="P7604">
        <v>1687.5</v>
      </c>
      <c r="S7604" t="str">
        <f>"BANCO C6 (149)"</f>
        <v>BANCO C6 (149)</v>
      </c>
      <c r="T7604">
        <v>20264</v>
      </c>
      <c r="U7604">
        <v>23765</v>
      </c>
      <c r="V7604" t="s">
        <v>77</v>
      </c>
    </row>
    <row r="7605" spans="1:22">
      <c r="A7605" t="str">
        <f t="shared" si="1390"/>
        <v>24/10/2025</v>
      </c>
      <c r="B7605" t="str">
        <f t="shared" si="1387"/>
        <v>SAÍDA</v>
      </c>
      <c r="C7605" t="str">
        <f t="shared" si="1388"/>
        <v>PIX</v>
      </c>
      <c r="D7605" t="str">
        <f>"23765"</f>
        <v>23765</v>
      </c>
      <c r="E7605" t="str">
        <f t="shared" si="1385"/>
        <v>1</v>
      </c>
      <c r="F7605" t="str">
        <f t="shared" si="1391"/>
        <v>COM</v>
      </c>
      <c r="G7605" t="str">
        <f>"DANILO ROCHA SILVA (162)"</f>
        <v>DANILO ROCHA SILVA (162)</v>
      </c>
      <c r="H7605" t="s">
        <v>2116</v>
      </c>
      <c r="I7605" t="str">
        <f t="shared" si="1389"/>
        <v>24/10/2025</v>
      </c>
      <c r="J7605" t="str">
        <f t="shared" si="1386"/>
        <v>14/10/2025</v>
      </c>
      <c r="K7605">
        <v>45954</v>
      </c>
      <c r="N7605">
        <v>109</v>
      </c>
      <c r="O7605" t="s">
        <v>24</v>
      </c>
      <c r="Q7605">
        <v>1687.5</v>
      </c>
      <c r="R7605" t="str">
        <f>"FARMÁCIA INDIANA LJ 181 (10078)"</f>
        <v>FARMÁCIA INDIANA LJ 181 (10078)</v>
      </c>
      <c r="S7605" t="s">
        <v>77</v>
      </c>
      <c r="T7605">
        <v>20264</v>
      </c>
      <c r="U7605">
        <v>23765</v>
      </c>
      <c r="V7605" t="s">
        <v>77</v>
      </c>
    </row>
    <row r="7606" spans="1:22">
      <c r="A7606" t="str">
        <f t="shared" si="1390"/>
        <v>24/10/2025</v>
      </c>
      <c r="B7606" t="str">
        <f t="shared" si="1387"/>
        <v>SAÍDA</v>
      </c>
      <c r="C7606" t="str">
        <f t="shared" si="1388"/>
        <v>PIX</v>
      </c>
      <c r="D7606" t="str">
        <f>"23766"</f>
        <v>23766</v>
      </c>
      <c r="E7606" t="str">
        <f t="shared" si="1385"/>
        <v>1</v>
      </c>
      <c r="F7606" t="str">
        <f t="shared" si="1391"/>
        <v>COM</v>
      </c>
      <c r="G7606" t="str">
        <f>"FABIO SOUZA DE JESUS (637)"</f>
        <v>FABIO SOUZA DE JESUS (637)</v>
      </c>
      <c r="H7606" t="str">
        <f>"Serv.Prest. 06/10/2025 a 12/10/2025 - PIX: CELULAR - CHAVE: (27) 99950-3450"</f>
        <v>Serv.Prest. 06/10/2025 a 12/10/2025 - PIX: CELULAR - CHAVE: (27) 99950-3450</v>
      </c>
      <c r="I7606" t="str">
        <f t="shared" si="1389"/>
        <v>24/10/2025</v>
      </c>
      <c r="J7606" t="str">
        <f t="shared" si="1386"/>
        <v>14/10/2025</v>
      </c>
      <c r="K7606" t="str">
        <f>("24/10/2025")</f>
        <v>24/10/2025</v>
      </c>
      <c r="L7606">
        <v>1001</v>
      </c>
      <c r="M7606">
        <v>1001</v>
      </c>
      <c r="N7606">
        <v>109</v>
      </c>
      <c r="O7606" t="str">
        <f>"PAGAMENTO DE ENTREGADORES"</f>
        <v>PAGAMENTO DE ENTREGADORES</v>
      </c>
      <c r="P7606">
        <v>1001</v>
      </c>
      <c r="S7606" t="str">
        <f>"BANCO C6 (149)"</f>
        <v>BANCO C6 (149)</v>
      </c>
      <c r="T7606">
        <v>20265</v>
      </c>
      <c r="U7606">
        <v>23766</v>
      </c>
      <c r="V7606" t="s">
        <v>77</v>
      </c>
    </row>
    <row r="7607" spans="1:22">
      <c r="A7607" t="str">
        <f t="shared" si="1390"/>
        <v>24/10/2025</v>
      </c>
      <c r="B7607" t="str">
        <f t="shared" si="1387"/>
        <v>SAÍDA</v>
      </c>
      <c r="C7607" t="str">
        <f t="shared" si="1388"/>
        <v>PIX</v>
      </c>
      <c r="D7607" t="str">
        <f>"23766"</f>
        <v>23766</v>
      </c>
      <c r="E7607" t="str">
        <f t="shared" si="1385"/>
        <v>1</v>
      </c>
      <c r="F7607" t="str">
        <f t="shared" si="1391"/>
        <v>COM</v>
      </c>
      <c r="G7607" t="str">
        <f>"FABIO SOUZA DE JESUS (637)"</f>
        <v>FABIO SOUZA DE JESUS (637)</v>
      </c>
      <c r="H7607" t="s">
        <v>2117</v>
      </c>
      <c r="I7607" t="str">
        <f t="shared" si="1389"/>
        <v>24/10/2025</v>
      </c>
      <c r="J7607" t="str">
        <f t="shared" si="1386"/>
        <v>14/10/2025</v>
      </c>
      <c r="K7607">
        <v>45954</v>
      </c>
      <c r="N7607">
        <v>109</v>
      </c>
      <c r="O7607" t="s">
        <v>24</v>
      </c>
      <c r="Q7607">
        <v>688.19</v>
      </c>
      <c r="R7607" t="str">
        <f>"FARMÁCIA INDIANA LJ 243 (10142)"</f>
        <v>FARMÁCIA INDIANA LJ 243 (10142)</v>
      </c>
      <c r="S7607" t="s">
        <v>77</v>
      </c>
      <c r="T7607">
        <v>20265</v>
      </c>
      <c r="U7607">
        <v>23766</v>
      </c>
      <c r="V7607" t="s">
        <v>77</v>
      </c>
    </row>
    <row r="7608" spans="1:22">
      <c r="A7608" t="str">
        <f t="shared" si="1390"/>
        <v>24/10/2025</v>
      </c>
      <c r="B7608" t="str">
        <f t="shared" si="1387"/>
        <v>SAÍDA</v>
      </c>
      <c r="C7608" t="str">
        <f t="shared" si="1388"/>
        <v>PIX</v>
      </c>
      <c r="D7608" t="str">
        <f>"23766"</f>
        <v>23766</v>
      </c>
      <c r="E7608" t="str">
        <f t="shared" si="1385"/>
        <v>1</v>
      </c>
      <c r="F7608" t="str">
        <f t="shared" si="1391"/>
        <v>COM</v>
      </c>
      <c r="G7608" t="str">
        <f>"FABIO SOUZA DE JESUS (637)"</f>
        <v>FABIO SOUZA DE JESUS (637)</v>
      </c>
      <c r="H7608" t="s">
        <v>2117</v>
      </c>
      <c r="I7608" t="str">
        <f t="shared" si="1389"/>
        <v>24/10/2025</v>
      </c>
      <c r="J7608" t="str">
        <f t="shared" si="1386"/>
        <v>14/10/2025</v>
      </c>
      <c r="K7608">
        <v>45954</v>
      </c>
      <c r="N7608">
        <v>109</v>
      </c>
      <c r="O7608" t="s">
        <v>24</v>
      </c>
      <c r="Q7608">
        <v>312.81</v>
      </c>
      <c r="R7608" t="str">
        <f>"FARMÁCIA INDIANA LJ 235 (10190)"</f>
        <v>FARMÁCIA INDIANA LJ 235 (10190)</v>
      </c>
      <c r="S7608" t="s">
        <v>77</v>
      </c>
      <c r="T7608">
        <v>20265</v>
      </c>
      <c r="U7608">
        <v>23766</v>
      </c>
      <c r="V7608" t="s">
        <v>77</v>
      </c>
    </row>
    <row r="7609" spans="1:22">
      <c r="A7609" t="str">
        <f t="shared" si="1390"/>
        <v>24/10/2025</v>
      </c>
      <c r="B7609" t="str">
        <f t="shared" si="1387"/>
        <v>SAÍDA</v>
      </c>
      <c r="C7609" t="str">
        <f t="shared" si="1388"/>
        <v>PIX</v>
      </c>
      <c r="D7609" t="str">
        <f>"23767"</f>
        <v>23767</v>
      </c>
      <c r="E7609" t="str">
        <f t="shared" si="1385"/>
        <v>1</v>
      </c>
      <c r="F7609" t="str">
        <f t="shared" si="1391"/>
        <v>COM</v>
      </c>
      <c r="G7609" t="str">
        <f>"GABRIEL PRATES DE OLIVEIRA (511)"</f>
        <v>GABRIEL PRATES DE OLIVEIRA (511)</v>
      </c>
      <c r="H7609" t="str">
        <f>"Serv.Prest. 06/10/2025 a 12/10/2025 - PIX: CELULAR - CHAVE: (27) 99869-8144"</f>
        <v>Serv.Prest. 06/10/2025 a 12/10/2025 - PIX: CELULAR - CHAVE: (27) 99869-8144</v>
      </c>
      <c r="I7609" t="str">
        <f t="shared" si="1389"/>
        <v>24/10/2025</v>
      </c>
      <c r="J7609" t="str">
        <f t="shared" si="1386"/>
        <v>14/10/2025</v>
      </c>
      <c r="K7609" t="str">
        <f>("24/10/2025")</f>
        <v>24/10/2025</v>
      </c>
      <c r="L7609">
        <v>1080</v>
      </c>
      <c r="M7609">
        <v>1080</v>
      </c>
      <c r="N7609">
        <v>109</v>
      </c>
      <c r="O7609" t="str">
        <f>"PAGAMENTO DE ENTREGADORES"</f>
        <v>PAGAMENTO DE ENTREGADORES</v>
      </c>
      <c r="P7609">
        <v>1080</v>
      </c>
      <c r="S7609" t="str">
        <f>"BANCO C6 (149)"</f>
        <v>BANCO C6 (149)</v>
      </c>
      <c r="T7609">
        <v>20266</v>
      </c>
      <c r="U7609">
        <v>23767</v>
      </c>
      <c r="V7609" t="s">
        <v>77</v>
      </c>
    </row>
    <row r="7610" spans="1:22">
      <c r="A7610" t="str">
        <f t="shared" si="1390"/>
        <v>24/10/2025</v>
      </c>
      <c r="B7610" t="str">
        <f t="shared" si="1387"/>
        <v>SAÍDA</v>
      </c>
      <c r="C7610" t="str">
        <f t="shared" si="1388"/>
        <v>PIX</v>
      </c>
      <c r="D7610" t="str">
        <f>"23767"</f>
        <v>23767</v>
      </c>
      <c r="E7610" t="str">
        <f t="shared" si="1385"/>
        <v>1</v>
      </c>
      <c r="F7610" t="str">
        <f t="shared" si="1391"/>
        <v>COM</v>
      </c>
      <c r="G7610" t="str">
        <f>"GABRIEL PRATES DE OLIVEIRA (511)"</f>
        <v>GABRIEL PRATES DE OLIVEIRA (511)</v>
      </c>
      <c r="H7610" t="s">
        <v>2118</v>
      </c>
      <c r="I7610" t="str">
        <f t="shared" si="1389"/>
        <v>24/10/2025</v>
      </c>
      <c r="J7610" t="str">
        <f t="shared" si="1386"/>
        <v>14/10/2025</v>
      </c>
      <c r="K7610">
        <v>45954</v>
      </c>
      <c r="N7610">
        <v>109</v>
      </c>
      <c r="O7610" t="s">
        <v>24</v>
      </c>
      <c r="Q7610">
        <v>1080</v>
      </c>
      <c r="R7610" t="str">
        <f>"FARMÁCIA INDIANA LJ 163 (10072)"</f>
        <v>FARMÁCIA INDIANA LJ 163 (10072)</v>
      </c>
      <c r="S7610" t="s">
        <v>77</v>
      </c>
      <c r="T7610">
        <v>20266</v>
      </c>
      <c r="U7610">
        <v>23767</v>
      </c>
      <c r="V7610" t="s">
        <v>77</v>
      </c>
    </row>
    <row r="7611" spans="1:22">
      <c r="A7611" t="str">
        <f t="shared" si="1390"/>
        <v>24/10/2025</v>
      </c>
      <c r="B7611" t="str">
        <f t="shared" si="1387"/>
        <v>SAÍDA</v>
      </c>
      <c r="C7611" t="str">
        <f t="shared" si="1388"/>
        <v>PIX</v>
      </c>
      <c r="D7611" t="str">
        <f>"23769"</f>
        <v>23769</v>
      </c>
      <c r="E7611" t="str">
        <f t="shared" si="1385"/>
        <v>1</v>
      </c>
      <c r="F7611" t="str">
        <f t="shared" si="1391"/>
        <v>COM</v>
      </c>
      <c r="G7611" t="str">
        <f>"MARCELO SOUZA DE MOURA (924)"</f>
        <v>MARCELO SOUZA DE MOURA (924)</v>
      </c>
      <c r="H7611" t="str">
        <f>"Serv.Prest. 06/10/2025 a 12/10/2025 - PIX: CELULAR - CHAVE: (73) 99167-5954"</f>
        <v>Serv.Prest. 06/10/2025 a 12/10/2025 - PIX: CELULAR - CHAVE: (73) 99167-5954</v>
      </c>
      <c r="I7611" t="str">
        <f t="shared" si="1389"/>
        <v>24/10/2025</v>
      </c>
      <c r="J7611" t="str">
        <f t="shared" si="1386"/>
        <v>14/10/2025</v>
      </c>
      <c r="K7611" t="str">
        <f>("24/10/2025")</f>
        <v>24/10/2025</v>
      </c>
      <c r="L7611">
        <v>1012.5</v>
      </c>
      <c r="M7611">
        <v>1012.5</v>
      </c>
      <c r="N7611">
        <v>109</v>
      </c>
      <c r="O7611" t="str">
        <f>"PAGAMENTO DE ENTREGADORES"</f>
        <v>PAGAMENTO DE ENTREGADORES</v>
      </c>
      <c r="P7611">
        <v>1012.5</v>
      </c>
      <c r="S7611" t="str">
        <f>"BANCO C6 (149)"</f>
        <v>BANCO C6 (149)</v>
      </c>
      <c r="T7611">
        <v>20267</v>
      </c>
      <c r="U7611">
        <v>23769</v>
      </c>
      <c r="V7611" t="s">
        <v>77</v>
      </c>
    </row>
    <row r="7612" spans="1:22">
      <c r="A7612" t="str">
        <f t="shared" si="1390"/>
        <v>24/10/2025</v>
      </c>
      <c r="B7612" t="str">
        <f t="shared" si="1387"/>
        <v>SAÍDA</v>
      </c>
      <c r="C7612" t="str">
        <f t="shared" si="1388"/>
        <v>PIX</v>
      </c>
      <c r="D7612" t="str">
        <f>"23769"</f>
        <v>23769</v>
      </c>
      <c r="E7612" t="str">
        <f t="shared" ref="E7612:E7626" si="1392">"1"</f>
        <v>1</v>
      </c>
      <c r="F7612" t="str">
        <f t="shared" si="1391"/>
        <v>COM</v>
      </c>
      <c r="G7612" t="str">
        <f>"MARCELO SOUZA DE MOURA (924)"</f>
        <v>MARCELO SOUZA DE MOURA (924)</v>
      </c>
      <c r="H7612" t="s">
        <v>2119</v>
      </c>
      <c r="I7612" t="str">
        <f t="shared" si="1389"/>
        <v>24/10/2025</v>
      </c>
      <c r="J7612" t="str">
        <f t="shared" si="1386"/>
        <v>14/10/2025</v>
      </c>
      <c r="K7612">
        <v>45954</v>
      </c>
      <c r="N7612">
        <v>109</v>
      </c>
      <c r="O7612" t="s">
        <v>24</v>
      </c>
      <c r="Q7612">
        <v>1012.5</v>
      </c>
      <c r="R7612" t="str">
        <f>"FARMÁCIA INDIANA LJ 273 (10188)"</f>
        <v>FARMÁCIA INDIANA LJ 273 (10188)</v>
      </c>
      <c r="S7612" t="s">
        <v>77</v>
      </c>
      <c r="T7612">
        <v>20267</v>
      </c>
      <c r="U7612">
        <v>23769</v>
      </c>
      <c r="V7612" t="s">
        <v>77</v>
      </c>
    </row>
    <row r="7613" spans="1:22">
      <c r="A7613" t="str">
        <f t="shared" si="1390"/>
        <v>24/10/2025</v>
      </c>
      <c r="B7613" t="str">
        <f t="shared" si="1387"/>
        <v>SAÍDA</v>
      </c>
      <c r="C7613" t="str">
        <f t="shared" si="1388"/>
        <v>PIX</v>
      </c>
      <c r="D7613" t="str">
        <f>"23772"</f>
        <v>23772</v>
      </c>
      <c r="E7613" t="str">
        <f t="shared" si="1392"/>
        <v>1</v>
      </c>
      <c r="F7613" t="str">
        <f t="shared" si="1391"/>
        <v>COM</v>
      </c>
      <c r="G7613" t="str">
        <f>"VINÍCIUS NEVES PEREIRA (776)"</f>
        <v>VINÍCIUS NEVES PEREIRA (776)</v>
      </c>
      <c r="H7613" t="str">
        <f>"Serv.Prest. 06/10/2025 a 12/10/2025 - PIX: CPF - CHAVE: 121.963.507-37"</f>
        <v>Serv.Prest. 06/10/2025 a 12/10/2025 - PIX: CPF - CHAVE: 121.963.507-37</v>
      </c>
      <c r="I7613" t="str">
        <f t="shared" si="1389"/>
        <v>24/10/2025</v>
      </c>
      <c r="J7613" t="str">
        <f t="shared" si="1386"/>
        <v>14/10/2025</v>
      </c>
      <c r="K7613" t="str">
        <f>("24/10/2025")</f>
        <v>24/10/2025</v>
      </c>
      <c r="L7613">
        <v>750.75</v>
      </c>
      <c r="M7613">
        <v>750.75</v>
      </c>
      <c r="N7613">
        <v>109</v>
      </c>
      <c r="O7613" t="str">
        <f>"PAGAMENTO DE ENTREGADORES"</f>
        <v>PAGAMENTO DE ENTREGADORES</v>
      </c>
      <c r="P7613">
        <v>750.75</v>
      </c>
      <c r="S7613" t="str">
        <f>"BANCO C6 (149)"</f>
        <v>BANCO C6 (149)</v>
      </c>
      <c r="T7613">
        <v>20268</v>
      </c>
      <c r="U7613">
        <v>23772</v>
      </c>
      <c r="V7613" t="s">
        <v>77</v>
      </c>
    </row>
    <row r="7614" spans="1:22">
      <c r="A7614" t="str">
        <f t="shared" si="1390"/>
        <v>24/10/2025</v>
      </c>
      <c r="B7614" t="str">
        <f t="shared" si="1387"/>
        <v>SAÍDA</v>
      </c>
      <c r="C7614" t="str">
        <f t="shared" si="1388"/>
        <v>PIX</v>
      </c>
      <c r="D7614" t="str">
        <f>"23772"</f>
        <v>23772</v>
      </c>
      <c r="E7614" t="str">
        <f t="shared" si="1392"/>
        <v>1</v>
      </c>
      <c r="F7614" t="str">
        <f t="shared" si="1391"/>
        <v>COM</v>
      </c>
      <c r="G7614" t="str">
        <f>"VINÍCIUS NEVES PEREIRA (776)"</f>
        <v>VINÍCIUS NEVES PEREIRA (776)</v>
      </c>
      <c r="H7614" t="s">
        <v>2120</v>
      </c>
      <c r="I7614" t="str">
        <f t="shared" si="1389"/>
        <v>24/10/2025</v>
      </c>
      <c r="J7614" t="str">
        <f t="shared" si="1386"/>
        <v>14/10/2025</v>
      </c>
      <c r="K7614">
        <v>45954</v>
      </c>
      <c r="N7614">
        <v>109</v>
      </c>
      <c r="O7614" t="s">
        <v>24</v>
      </c>
      <c r="Q7614">
        <v>750.75</v>
      </c>
      <c r="R7614" t="str">
        <f>"FARMÁCIA INDIANA LJ 221 (10093)"</f>
        <v>FARMÁCIA INDIANA LJ 221 (10093)</v>
      </c>
      <c r="S7614" t="s">
        <v>77</v>
      </c>
      <c r="T7614">
        <v>20268</v>
      </c>
      <c r="U7614">
        <v>23772</v>
      </c>
      <c r="V7614" t="s">
        <v>77</v>
      </c>
    </row>
    <row r="7615" spans="1:22">
      <c r="A7615" t="str">
        <f t="shared" si="1390"/>
        <v>24/10/2025</v>
      </c>
      <c r="B7615" t="str">
        <f t="shared" si="1387"/>
        <v>SAÍDA</v>
      </c>
      <c r="C7615" t="str">
        <f t="shared" si="1388"/>
        <v>PIX</v>
      </c>
      <c r="D7615" t="str">
        <f>"24071"</f>
        <v>24071</v>
      </c>
      <c r="E7615" t="str">
        <f t="shared" si="1392"/>
        <v>1</v>
      </c>
      <c r="F7615" t="str">
        <f t="shared" si="1391"/>
        <v>COM</v>
      </c>
      <c r="G7615" t="str">
        <f>"WEIGNE SENA CARDOSO (53)"</f>
        <v>WEIGNE SENA CARDOSO (53)</v>
      </c>
      <c r="H7615" t="str">
        <f>"Serv.Prest. 13/10/2025 a 19/10/2025 - PIX: CPF - CHAVE: 097.245.586-81"</f>
        <v>Serv.Prest. 13/10/2025 a 19/10/2025 - PIX: CPF - CHAVE: 097.245.586-81</v>
      </c>
      <c r="I7615" t="str">
        <f t="shared" si="1389"/>
        <v>24/10/2025</v>
      </c>
      <c r="J7615" t="str">
        <f t="shared" ref="J7615:J7628" si="1393">("21/10/2025")</f>
        <v>21/10/2025</v>
      </c>
      <c r="K7615" t="str">
        <f>("24/10/2025")</f>
        <v>24/10/2025</v>
      </c>
      <c r="L7615">
        <v>408</v>
      </c>
      <c r="M7615">
        <v>408</v>
      </c>
      <c r="N7615">
        <v>109</v>
      </c>
      <c r="O7615" t="str">
        <f>"PAGAMENTO DE ENTREGADORES"</f>
        <v>PAGAMENTO DE ENTREGADORES</v>
      </c>
      <c r="P7615">
        <v>408</v>
      </c>
      <c r="S7615" t="str">
        <f>"BANCO C6 (149)"</f>
        <v>BANCO C6 (149)</v>
      </c>
      <c r="T7615">
        <v>20269</v>
      </c>
      <c r="U7615">
        <v>24071</v>
      </c>
      <c r="V7615" t="s">
        <v>77</v>
      </c>
    </row>
    <row r="7616" spans="1:22">
      <c r="A7616" t="str">
        <f t="shared" si="1390"/>
        <v>24/10/2025</v>
      </c>
      <c r="B7616" t="str">
        <f t="shared" si="1387"/>
        <v>SAÍDA</v>
      </c>
      <c r="C7616" t="str">
        <f t="shared" si="1388"/>
        <v>PIX</v>
      </c>
      <c r="D7616" t="str">
        <f>"24071"</f>
        <v>24071</v>
      </c>
      <c r="E7616" t="str">
        <f t="shared" si="1392"/>
        <v>1</v>
      </c>
      <c r="F7616" t="str">
        <f t="shared" si="1391"/>
        <v>COM</v>
      </c>
      <c r="G7616" t="str">
        <f>"WEIGNE SENA CARDOSO (53)"</f>
        <v>WEIGNE SENA CARDOSO (53)</v>
      </c>
      <c r="H7616" t="s">
        <v>1889</v>
      </c>
      <c r="I7616" t="str">
        <f t="shared" si="1389"/>
        <v>24/10/2025</v>
      </c>
      <c r="J7616" t="str">
        <f t="shared" si="1393"/>
        <v>21/10/2025</v>
      </c>
      <c r="K7616">
        <v>45954</v>
      </c>
      <c r="N7616">
        <v>109</v>
      </c>
      <c r="O7616" t="s">
        <v>24</v>
      </c>
      <c r="Q7616">
        <v>408</v>
      </c>
      <c r="R7616" t="str">
        <f>"FARMÁCIA INDIANA LJ 07 (10007)"</f>
        <v>FARMÁCIA INDIANA LJ 07 (10007)</v>
      </c>
      <c r="S7616" t="s">
        <v>77</v>
      </c>
      <c r="T7616">
        <v>20269</v>
      </c>
      <c r="U7616">
        <v>24071</v>
      </c>
      <c r="V7616" t="s">
        <v>77</v>
      </c>
    </row>
    <row r="7617" spans="1:22">
      <c r="A7617" t="str">
        <f t="shared" si="1390"/>
        <v>24/10/2025</v>
      </c>
      <c r="B7617" t="str">
        <f t="shared" si="1387"/>
        <v>SAÍDA</v>
      </c>
      <c r="C7617" t="str">
        <f t="shared" si="1388"/>
        <v>PIX</v>
      </c>
      <c r="D7617" t="str">
        <f>"24082"</f>
        <v>24082</v>
      </c>
      <c r="E7617" t="str">
        <f t="shared" si="1392"/>
        <v>1</v>
      </c>
      <c r="F7617" t="str">
        <f t="shared" si="1391"/>
        <v>COM</v>
      </c>
      <c r="G7617" t="str">
        <f>"DANILO DE JESUS SANTOS (490)"</f>
        <v>DANILO DE JESUS SANTOS (490)</v>
      </c>
      <c r="H7617" t="str">
        <f>"Serv.Prest. 13/10/2025 a 19/10/2025 - PIX: CELULAR - CHAVE: (73) 98191-0061"</f>
        <v>Serv.Prest. 13/10/2025 a 19/10/2025 - PIX: CELULAR - CHAVE: (73) 98191-0061</v>
      </c>
      <c r="I7617" t="str">
        <f t="shared" si="1389"/>
        <v>24/10/2025</v>
      </c>
      <c r="J7617" t="str">
        <f t="shared" si="1393"/>
        <v>21/10/2025</v>
      </c>
      <c r="K7617" t="str">
        <f>("24/10/2025")</f>
        <v>24/10/2025</v>
      </c>
      <c r="L7617">
        <v>702</v>
      </c>
      <c r="M7617">
        <v>700</v>
      </c>
      <c r="N7617">
        <v>109</v>
      </c>
      <c r="O7617" t="str">
        <f>"PAGAMENTO DE ENTREGADORES"</f>
        <v>PAGAMENTO DE ENTREGADORES</v>
      </c>
      <c r="P7617">
        <v>700</v>
      </c>
      <c r="S7617" t="str">
        <f>"BANCO C6 (149)"</f>
        <v>BANCO C6 (149)</v>
      </c>
      <c r="T7617">
        <v>20270</v>
      </c>
      <c r="U7617">
        <v>24082</v>
      </c>
      <c r="V7617" t="s">
        <v>77</v>
      </c>
    </row>
    <row r="7618" spans="1:22">
      <c r="A7618" t="str">
        <f t="shared" si="1390"/>
        <v>24/10/2025</v>
      </c>
      <c r="B7618" t="str">
        <f t="shared" si="1387"/>
        <v>SAÍDA</v>
      </c>
      <c r="C7618" t="str">
        <f t="shared" si="1388"/>
        <v>PIX</v>
      </c>
      <c r="D7618" t="str">
        <f>"24082"</f>
        <v>24082</v>
      </c>
      <c r="E7618" t="str">
        <f t="shared" si="1392"/>
        <v>1</v>
      </c>
      <c r="F7618" t="str">
        <f t="shared" si="1391"/>
        <v>COM</v>
      </c>
      <c r="G7618" t="str">
        <f>"DANILO DE JESUS SANTOS (490)"</f>
        <v>DANILO DE JESUS SANTOS (490)</v>
      </c>
      <c r="H7618" t="s">
        <v>2121</v>
      </c>
      <c r="I7618" t="str">
        <f t="shared" si="1389"/>
        <v>24/10/2025</v>
      </c>
      <c r="J7618" t="str">
        <f t="shared" si="1393"/>
        <v>21/10/2025</v>
      </c>
      <c r="K7618">
        <v>45954</v>
      </c>
      <c r="N7618">
        <v>109</v>
      </c>
      <c r="O7618" t="s">
        <v>24</v>
      </c>
      <c r="Q7618">
        <v>700</v>
      </c>
      <c r="R7618" t="str">
        <f>"FARMÁCIA INDIANA LJ 145 (10068)"</f>
        <v>FARMÁCIA INDIANA LJ 145 (10068)</v>
      </c>
      <c r="S7618" t="s">
        <v>77</v>
      </c>
      <c r="T7618">
        <v>20270</v>
      </c>
      <c r="U7618">
        <v>24082</v>
      </c>
      <c r="V7618" t="s">
        <v>77</v>
      </c>
    </row>
    <row r="7619" spans="1:22">
      <c r="A7619" t="str">
        <f t="shared" si="1390"/>
        <v>24/10/2025</v>
      </c>
      <c r="B7619" t="str">
        <f t="shared" si="1387"/>
        <v>SAÍDA</v>
      </c>
      <c r="C7619" t="str">
        <f t="shared" si="1388"/>
        <v>PIX</v>
      </c>
      <c r="D7619" t="str">
        <f>"24103"</f>
        <v>24103</v>
      </c>
      <c r="E7619" t="str">
        <f t="shared" si="1392"/>
        <v>1</v>
      </c>
      <c r="F7619" t="str">
        <f t="shared" si="1391"/>
        <v>COM</v>
      </c>
      <c r="G7619" t="str">
        <f>"ROBSON OLIVEIRA DE JESUS (623)"</f>
        <v>ROBSON OLIVEIRA DE JESUS (623)</v>
      </c>
      <c r="H7619" t="str">
        <f>"Serv.Prest. 13/10/2025 a 19/10/2025 - PIX: CELULAR - CHAVE: (73) 98166-3325"</f>
        <v>Serv.Prest. 13/10/2025 a 19/10/2025 - PIX: CELULAR - CHAVE: (73) 98166-3325</v>
      </c>
      <c r="I7619" t="str">
        <f t="shared" si="1389"/>
        <v>24/10/2025</v>
      </c>
      <c r="J7619" t="str">
        <f t="shared" si="1393"/>
        <v>21/10/2025</v>
      </c>
      <c r="K7619" t="str">
        <f>("24/10/2025")</f>
        <v>24/10/2025</v>
      </c>
      <c r="L7619">
        <v>702</v>
      </c>
      <c r="M7619">
        <v>702</v>
      </c>
      <c r="N7619">
        <v>109</v>
      </c>
      <c r="O7619" t="str">
        <f>"PAGAMENTO DE ENTREGADORES"</f>
        <v>PAGAMENTO DE ENTREGADORES</v>
      </c>
      <c r="P7619">
        <v>702</v>
      </c>
      <c r="S7619" t="str">
        <f>"BANCO C6 (149)"</f>
        <v>BANCO C6 (149)</v>
      </c>
      <c r="T7619">
        <v>20271</v>
      </c>
      <c r="U7619">
        <v>24103</v>
      </c>
      <c r="V7619" t="s">
        <v>77</v>
      </c>
    </row>
    <row r="7620" spans="1:22">
      <c r="A7620" t="str">
        <f t="shared" si="1390"/>
        <v>24/10/2025</v>
      </c>
      <c r="B7620" t="str">
        <f t="shared" si="1387"/>
        <v>SAÍDA</v>
      </c>
      <c r="C7620" t="str">
        <f t="shared" si="1388"/>
        <v>PIX</v>
      </c>
      <c r="D7620" t="str">
        <f>"24103"</f>
        <v>24103</v>
      </c>
      <c r="E7620" t="str">
        <f t="shared" si="1392"/>
        <v>1</v>
      </c>
      <c r="F7620" t="str">
        <f t="shared" si="1391"/>
        <v>COM</v>
      </c>
      <c r="G7620" t="str">
        <f>"ROBSON OLIVEIRA DE JESUS (623)"</f>
        <v>ROBSON OLIVEIRA DE JESUS (623)</v>
      </c>
      <c r="H7620" t="s">
        <v>2122</v>
      </c>
      <c r="I7620" t="str">
        <f t="shared" si="1389"/>
        <v>24/10/2025</v>
      </c>
      <c r="J7620" t="str">
        <f t="shared" si="1393"/>
        <v>21/10/2025</v>
      </c>
      <c r="K7620">
        <v>45954</v>
      </c>
      <c r="N7620">
        <v>109</v>
      </c>
      <c r="O7620" t="s">
        <v>24</v>
      </c>
      <c r="Q7620">
        <v>702</v>
      </c>
      <c r="R7620" t="str">
        <f>"FARMÁCIA INDIANA LJ 145 (10068)"</f>
        <v>FARMÁCIA INDIANA LJ 145 (10068)</v>
      </c>
      <c r="S7620" t="s">
        <v>77</v>
      </c>
      <c r="T7620">
        <v>20271</v>
      </c>
      <c r="U7620">
        <v>24103</v>
      </c>
      <c r="V7620" t="s">
        <v>77</v>
      </c>
    </row>
    <row r="7621" spans="1:22">
      <c r="A7621" t="str">
        <f t="shared" si="1390"/>
        <v>24/10/2025</v>
      </c>
      <c r="B7621" t="str">
        <f t="shared" si="1387"/>
        <v>SAÍDA</v>
      </c>
      <c r="C7621" t="str">
        <f t="shared" si="1388"/>
        <v>PIX</v>
      </c>
      <c r="D7621" t="str">
        <f>"24104"</f>
        <v>24104</v>
      </c>
      <c r="E7621" t="str">
        <f t="shared" si="1392"/>
        <v>1</v>
      </c>
      <c r="F7621" t="str">
        <f t="shared" si="1391"/>
        <v>COM</v>
      </c>
      <c r="G7621" t="str">
        <f>"TALES DE JESUS OLIVEIRA (318)"</f>
        <v>TALES DE JESUS OLIVEIRA (318)</v>
      </c>
      <c r="H7621" t="str">
        <f>"Serv.Prest. 13/10/2025 a 19/10/2025 - PIX: CPF - CHAVE: 378.223.888-51"</f>
        <v>Serv.Prest. 13/10/2025 a 19/10/2025 - PIX: CPF - CHAVE: 378.223.888-51</v>
      </c>
      <c r="I7621" t="str">
        <f t="shared" si="1389"/>
        <v>24/10/2025</v>
      </c>
      <c r="J7621" t="str">
        <f t="shared" si="1393"/>
        <v>21/10/2025</v>
      </c>
      <c r="K7621" t="str">
        <f>("24/10/2025")</f>
        <v>24/10/2025</v>
      </c>
      <c r="L7621">
        <v>702</v>
      </c>
      <c r="M7621">
        <v>700</v>
      </c>
      <c r="N7621">
        <v>109</v>
      </c>
      <c r="O7621" t="str">
        <f>"PAGAMENTO DE ENTREGADORES"</f>
        <v>PAGAMENTO DE ENTREGADORES</v>
      </c>
      <c r="P7621">
        <v>700</v>
      </c>
      <c r="S7621" t="str">
        <f>"BANCO C6 (149)"</f>
        <v>BANCO C6 (149)</v>
      </c>
      <c r="T7621">
        <v>20272</v>
      </c>
      <c r="U7621">
        <v>24104</v>
      </c>
      <c r="V7621" t="s">
        <v>77</v>
      </c>
    </row>
    <row r="7622" spans="1:22">
      <c r="A7622" t="str">
        <f t="shared" si="1390"/>
        <v>24/10/2025</v>
      </c>
      <c r="B7622" t="str">
        <f t="shared" si="1387"/>
        <v>SAÍDA</v>
      </c>
      <c r="C7622" t="str">
        <f t="shared" si="1388"/>
        <v>PIX</v>
      </c>
      <c r="D7622" t="str">
        <f>"24104"</f>
        <v>24104</v>
      </c>
      <c r="E7622" t="str">
        <f t="shared" si="1392"/>
        <v>1</v>
      </c>
      <c r="F7622" t="str">
        <f t="shared" si="1391"/>
        <v>COM</v>
      </c>
      <c r="G7622" t="str">
        <f>"TALES DE JESUS OLIVEIRA (318)"</f>
        <v>TALES DE JESUS OLIVEIRA (318)</v>
      </c>
      <c r="H7622" t="s">
        <v>2123</v>
      </c>
      <c r="I7622" t="str">
        <f t="shared" si="1389"/>
        <v>24/10/2025</v>
      </c>
      <c r="J7622" t="str">
        <f t="shared" si="1393"/>
        <v>21/10/2025</v>
      </c>
      <c r="K7622">
        <v>45954</v>
      </c>
      <c r="N7622">
        <v>109</v>
      </c>
      <c r="O7622" t="s">
        <v>24</v>
      </c>
      <c r="Q7622">
        <v>700</v>
      </c>
      <c r="R7622" t="str">
        <f>"FARMÁCIA INDIANA LJ 145 (10068)"</f>
        <v>FARMÁCIA INDIANA LJ 145 (10068)</v>
      </c>
      <c r="S7622" t="s">
        <v>77</v>
      </c>
      <c r="T7622">
        <v>20272</v>
      </c>
      <c r="U7622">
        <v>24104</v>
      </c>
      <c r="V7622" t="s">
        <v>77</v>
      </c>
    </row>
    <row r="7623" spans="1:22">
      <c r="A7623" t="str">
        <f t="shared" si="1390"/>
        <v>24/10/2025</v>
      </c>
      <c r="B7623" t="str">
        <f t="shared" si="1387"/>
        <v>SAÍDA</v>
      </c>
      <c r="C7623" t="str">
        <f t="shared" si="1388"/>
        <v>PIX</v>
      </c>
      <c r="D7623" t="str">
        <f>"24115"</f>
        <v>24115</v>
      </c>
      <c r="E7623" t="str">
        <f t="shared" si="1392"/>
        <v>1</v>
      </c>
      <c r="F7623" t="str">
        <f t="shared" si="1391"/>
        <v>COM</v>
      </c>
      <c r="G7623" t="str">
        <f>"REGINALDO PEREIRA DE ASSIS (81)"</f>
        <v>REGINALDO PEREIRA DE ASSIS (81)</v>
      </c>
      <c r="H7623" t="str">
        <f>"Serv.Prest. 13/10/2025 a 19/10/2025 - PIX: CELULAR - CHAVE: (27) 99916-8443"</f>
        <v>Serv.Prest. 13/10/2025 a 19/10/2025 - PIX: CELULAR - CHAVE: (27) 99916-8443</v>
      </c>
      <c r="I7623" t="str">
        <f t="shared" si="1389"/>
        <v>24/10/2025</v>
      </c>
      <c r="J7623" t="str">
        <f t="shared" si="1393"/>
        <v>21/10/2025</v>
      </c>
      <c r="K7623" t="str">
        <f>("24/10/2025")</f>
        <v>24/10/2025</v>
      </c>
      <c r="L7623">
        <v>825</v>
      </c>
      <c r="M7623">
        <v>825</v>
      </c>
      <c r="N7623">
        <v>109</v>
      </c>
      <c r="O7623" t="str">
        <f>"PAGAMENTO DE ENTREGADORES"</f>
        <v>PAGAMENTO DE ENTREGADORES</v>
      </c>
      <c r="P7623">
        <v>825</v>
      </c>
      <c r="S7623" t="str">
        <f>"BANCO C6 (149)"</f>
        <v>BANCO C6 (149)</v>
      </c>
      <c r="T7623">
        <v>20273</v>
      </c>
      <c r="U7623">
        <v>24115</v>
      </c>
      <c r="V7623" t="s">
        <v>77</v>
      </c>
    </row>
    <row r="7624" spans="1:22">
      <c r="A7624" t="str">
        <f t="shared" si="1390"/>
        <v>24/10/2025</v>
      </c>
      <c r="B7624" t="str">
        <f t="shared" si="1387"/>
        <v>SAÍDA</v>
      </c>
      <c r="C7624" t="str">
        <f t="shared" si="1388"/>
        <v>PIX</v>
      </c>
      <c r="D7624" t="str">
        <f>"24115"</f>
        <v>24115</v>
      </c>
      <c r="E7624" t="str">
        <f t="shared" si="1392"/>
        <v>1</v>
      </c>
      <c r="F7624" t="str">
        <f t="shared" si="1391"/>
        <v>COM</v>
      </c>
      <c r="G7624" t="str">
        <f>"REGINALDO PEREIRA DE ASSIS (81)"</f>
        <v>REGINALDO PEREIRA DE ASSIS (81)</v>
      </c>
      <c r="H7624" t="s">
        <v>2124</v>
      </c>
      <c r="I7624" t="str">
        <f t="shared" si="1389"/>
        <v>24/10/2025</v>
      </c>
      <c r="J7624" t="str">
        <f t="shared" si="1393"/>
        <v>21/10/2025</v>
      </c>
      <c r="K7624">
        <v>45954</v>
      </c>
      <c r="N7624">
        <v>109</v>
      </c>
      <c r="O7624" t="s">
        <v>24</v>
      </c>
      <c r="Q7624">
        <v>825</v>
      </c>
      <c r="R7624" t="str">
        <f>"FARMÁCIA INDIANA LJ 119 (10053)"</f>
        <v>FARMÁCIA INDIANA LJ 119 (10053)</v>
      </c>
      <c r="S7624" t="s">
        <v>77</v>
      </c>
      <c r="T7624">
        <v>20273</v>
      </c>
      <c r="U7624">
        <v>24115</v>
      </c>
      <c r="V7624" t="s">
        <v>77</v>
      </c>
    </row>
    <row r="7625" spans="1:22">
      <c r="A7625" t="str">
        <f t="shared" si="1390"/>
        <v>24/10/2025</v>
      </c>
      <c r="B7625" t="str">
        <f t="shared" si="1387"/>
        <v>SAÍDA</v>
      </c>
      <c r="C7625" t="str">
        <f t="shared" si="1388"/>
        <v>PIX</v>
      </c>
      <c r="D7625" t="str">
        <f>"24018"</f>
        <v>24018</v>
      </c>
      <c r="E7625" t="str">
        <f t="shared" si="1392"/>
        <v>1</v>
      </c>
      <c r="F7625" t="str">
        <f t="shared" si="1391"/>
        <v>COM</v>
      </c>
      <c r="G7625" t="str">
        <f>"JUNIOR DOS SANTOS MACHADO (240)"</f>
        <v>JUNIOR DOS SANTOS MACHADO (240)</v>
      </c>
      <c r="H7625" t="str">
        <f>"Serv.Prest. 13/10/2025 a 19/10/2025 - PIX: CPF - CHAVE: 074.520.456-29"</f>
        <v>Serv.Prest. 13/10/2025 a 19/10/2025 - PIX: CPF - CHAVE: 074.520.456-29</v>
      </c>
      <c r="I7625" t="str">
        <f t="shared" si="1389"/>
        <v>24/10/2025</v>
      </c>
      <c r="J7625" t="str">
        <f t="shared" si="1393"/>
        <v>21/10/2025</v>
      </c>
      <c r="K7625" t="str">
        <f>("24/10/2025")</f>
        <v>24/10/2025</v>
      </c>
      <c r="L7625">
        <v>140</v>
      </c>
      <c r="M7625">
        <v>140</v>
      </c>
      <c r="N7625">
        <v>109</v>
      </c>
      <c r="O7625" t="str">
        <f>"PAGAMENTO DE ENTREGADORES"</f>
        <v>PAGAMENTO DE ENTREGADORES</v>
      </c>
      <c r="P7625">
        <v>140</v>
      </c>
      <c r="S7625" t="str">
        <f>"BANCO C6 (149)"</f>
        <v>BANCO C6 (149)</v>
      </c>
      <c r="T7625">
        <v>20274</v>
      </c>
      <c r="U7625">
        <v>24119</v>
      </c>
      <c r="V7625" t="s">
        <v>77</v>
      </c>
    </row>
    <row r="7626" spans="1:22">
      <c r="A7626" t="str">
        <f t="shared" si="1390"/>
        <v>24/10/2025</v>
      </c>
      <c r="B7626" t="str">
        <f t="shared" si="1387"/>
        <v>SAÍDA</v>
      </c>
      <c r="C7626" t="str">
        <f t="shared" si="1388"/>
        <v>PIX</v>
      </c>
      <c r="D7626" t="str">
        <f>"24018"</f>
        <v>24018</v>
      </c>
      <c r="E7626" t="str">
        <f t="shared" si="1392"/>
        <v>1</v>
      </c>
      <c r="F7626" t="str">
        <f t="shared" si="1391"/>
        <v>COM</v>
      </c>
      <c r="G7626" t="str">
        <f>"JUNIOR DOS SANTOS MACHADO (240)"</f>
        <v>JUNIOR DOS SANTOS MACHADO (240)</v>
      </c>
      <c r="H7626" t="s">
        <v>2125</v>
      </c>
      <c r="I7626" t="str">
        <f t="shared" si="1389"/>
        <v>24/10/2025</v>
      </c>
      <c r="J7626" t="str">
        <f t="shared" si="1393"/>
        <v>21/10/2025</v>
      </c>
      <c r="K7626">
        <v>45954</v>
      </c>
      <c r="N7626">
        <v>109</v>
      </c>
      <c r="O7626" t="s">
        <v>24</v>
      </c>
      <c r="Q7626">
        <v>140</v>
      </c>
      <c r="R7626" t="str">
        <f>"FARMÁCIA INDIANA LJ 62 (10028)"</f>
        <v>FARMÁCIA INDIANA LJ 62 (10028)</v>
      </c>
      <c r="S7626" t="s">
        <v>77</v>
      </c>
      <c r="T7626">
        <v>20274</v>
      </c>
      <c r="U7626">
        <v>24119</v>
      </c>
      <c r="V7626" t="s">
        <v>77</v>
      </c>
    </row>
    <row r="7627" spans="1:22">
      <c r="A7627" t="str">
        <f t="shared" si="1390"/>
        <v>24/10/2025</v>
      </c>
      <c r="B7627" t="str">
        <f t="shared" si="1387"/>
        <v>SAÍDA</v>
      </c>
      <c r="C7627" t="str">
        <f t="shared" si="1388"/>
        <v>PIX</v>
      </c>
      <c r="D7627" t="str">
        <f>"24064"</f>
        <v>24064</v>
      </c>
      <c r="E7627" t="str">
        <f>"2"</f>
        <v>2</v>
      </c>
      <c r="F7627" t="str">
        <f t="shared" si="1391"/>
        <v>COM</v>
      </c>
      <c r="G7627" t="str">
        <f>"VICTOR RILLEY CRUZ MESQUITA (1005)"</f>
        <v>VICTOR RILLEY CRUZ MESQUITA (1005)</v>
      </c>
      <c r="H7627" t="str">
        <f>"Serv.Prest. 06/10/2025 a 12/10/2025 - PIX: CELULAR - CHAVE: (33) 99874-5128"</f>
        <v>Serv.Prest. 06/10/2025 a 12/10/2025 - PIX: CELULAR - CHAVE: (33) 99874-5128</v>
      </c>
      <c r="I7627" t="str">
        <f t="shared" si="1389"/>
        <v>24/10/2025</v>
      </c>
      <c r="J7627" t="str">
        <f t="shared" si="1393"/>
        <v>21/10/2025</v>
      </c>
      <c r="K7627" t="str">
        <f>("24/10/2025")</f>
        <v>24/10/2025</v>
      </c>
      <c r="L7627">
        <v>156</v>
      </c>
      <c r="M7627">
        <v>156</v>
      </c>
      <c r="N7627">
        <v>109</v>
      </c>
      <c r="O7627" t="str">
        <f>"PAGAMENTO DE ENTREGADORES"</f>
        <v>PAGAMENTO DE ENTREGADORES</v>
      </c>
      <c r="P7627">
        <v>156</v>
      </c>
      <c r="S7627" t="str">
        <f>"BANCO C6 (149)"</f>
        <v>BANCO C6 (149)</v>
      </c>
      <c r="T7627">
        <v>20275</v>
      </c>
      <c r="U7627">
        <v>24158</v>
      </c>
      <c r="V7627" t="s">
        <v>77</v>
      </c>
    </row>
    <row r="7628" spans="1:22">
      <c r="A7628" t="str">
        <f t="shared" si="1390"/>
        <v>24/10/2025</v>
      </c>
      <c r="B7628" t="str">
        <f t="shared" si="1387"/>
        <v>SAÍDA</v>
      </c>
      <c r="C7628" t="str">
        <f t="shared" si="1388"/>
        <v>PIX</v>
      </c>
      <c r="D7628" t="str">
        <f>"24064"</f>
        <v>24064</v>
      </c>
      <c r="E7628" t="str">
        <f>"2"</f>
        <v>2</v>
      </c>
      <c r="F7628" t="str">
        <f t="shared" si="1391"/>
        <v>COM</v>
      </c>
      <c r="G7628" t="str">
        <f>"VICTOR RILLEY CRUZ MESQUITA (1005)"</f>
        <v>VICTOR RILLEY CRUZ MESQUITA (1005)</v>
      </c>
      <c r="H7628" t="s">
        <v>2126</v>
      </c>
      <c r="I7628" t="str">
        <f t="shared" si="1389"/>
        <v>24/10/2025</v>
      </c>
      <c r="J7628" t="str">
        <f t="shared" si="1393"/>
        <v>21/10/2025</v>
      </c>
      <c r="K7628">
        <v>45954</v>
      </c>
      <c r="N7628">
        <v>109</v>
      </c>
      <c r="O7628" t="s">
        <v>24</v>
      </c>
      <c r="Q7628">
        <v>156</v>
      </c>
      <c r="R7628" t="str">
        <f>"FARMÁCIA INDIANA LJ 07 (10007)"</f>
        <v>FARMÁCIA INDIANA LJ 07 (10007)</v>
      </c>
      <c r="S7628" t="s">
        <v>77</v>
      </c>
      <c r="T7628">
        <v>20275</v>
      </c>
      <c r="U7628">
        <v>24158</v>
      </c>
      <c r="V7628" t="s">
        <v>77</v>
      </c>
    </row>
    <row r="7629" spans="1:22">
      <c r="A7629" t="str">
        <f t="shared" si="1390"/>
        <v>24/10/2025</v>
      </c>
      <c r="B7629" t="str">
        <f t="shared" si="1387"/>
        <v>SAÍDA</v>
      </c>
      <c r="C7629" t="str">
        <f>"DINHEIRO"</f>
        <v>DINHEIRO</v>
      </c>
      <c r="D7629" t="str">
        <f>"36"</f>
        <v>36</v>
      </c>
      <c r="E7629" t="str">
        <f>"6"</f>
        <v>6</v>
      </c>
      <c r="F7629" t="str">
        <f t="shared" si="1391"/>
        <v>COM</v>
      </c>
      <c r="G7629" t="str">
        <f>"AGORA MIDIA MARKETING DIRETO LTDA (20047)"</f>
        <v>AGORA MIDIA MARKETING DIRETO LTDA (20047)</v>
      </c>
      <c r="H7629" t="str">
        <f>"ASSESSORIA EM MARKETING DIGITAL 05/2025"</f>
        <v>ASSESSORIA EM MARKETING DIGITAL 05/2025</v>
      </c>
      <c r="I7629" t="str">
        <f t="shared" ref="I7629:I7634" si="1394">("23/10/2025")</f>
        <v>23/10/2025</v>
      </c>
      <c r="J7629" t="str">
        <f>("28/05/2025")</f>
        <v>28/05/2025</v>
      </c>
      <c r="K7629" t="str">
        <f>("24/10/2025")</f>
        <v>24/10/2025</v>
      </c>
      <c r="L7629">
        <v>750</v>
      </c>
      <c r="M7629">
        <v>750</v>
      </c>
      <c r="N7629">
        <v>127</v>
      </c>
      <c r="O7629" t="str">
        <f>"PUBLICIDADE E PROPAGANDAS"</f>
        <v>PUBLICIDADE E PROPAGANDAS</v>
      </c>
      <c r="P7629">
        <v>750</v>
      </c>
      <c r="S7629" t="str">
        <f>"BANCO CORA (102)"</f>
        <v>BANCO CORA (102)</v>
      </c>
      <c r="T7629">
        <v>20279</v>
      </c>
      <c r="U7629">
        <v>15478</v>
      </c>
      <c r="V7629" t="s">
        <v>22</v>
      </c>
    </row>
    <row r="7630" spans="1:22">
      <c r="A7630" t="str">
        <f t="shared" si="1390"/>
        <v>24/10/2025</v>
      </c>
      <c r="B7630" t="str">
        <f t="shared" si="1387"/>
        <v>SAÍDA</v>
      </c>
      <c r="C7630" t="str">
        <f>"DINHEIRO"</f>
        <v>DINHEIRO</v>
      </c>
      <c r="D7630" t="str">
        <f>"36"</f>
        <v>36</v>
      </c>
      <c r="E7630" t="str">
        <f>"6"</f>
        <v>6</v>
      </c>
      <c r="F7630" t="str">
        <f t="shared" si="1391"/>
        <v>COM</v>
      </c>
      <c r="G7630" t="str">
        <f>"AGORA MIDIA MARKETING DIRETO LTDA (20047)"</f>
        <v>AGORA MIDIA MARKETING DIRETO LTDA (20047)</v>
      </c>
      <c r="H7630" t="s">
        <v>2127</v>
      </c>
      <c r="I7630" t="str">
        <f t="shared" si="1394"/>
        <v>23/10/2025</v>
      </c>
      <c r="J7630" t="str">
        <f>("28/05/2025")</f>
        <v>28/05/2025</v>
      </c>
      <c r="K7630">
        <v>45954</v>
      </c>
      <c r="N7630">
        <v>127</v>
      </c>
      <c r="O7630" t="s">
        <v>865</v>
      </c>
      <c r="Q7630">
        <v>750</v>
      </c>
      <c r="R7630" t="str">
        <f>"AGORA MIDIA MARKETING DIRETO LTDA (20047)"</f>
        <v>AGORA MIDIA MARKETING DIRETO LTDA (20047)</v>
      </c>
      <c r="S7630" t="s">
        <v>22</v>
      </c>
      <c r="T7630">
        <v>20279</v>
      </c>
      <c r="U7630">
        <v>15478</v>
      </c>
      <c r="V7630" t="s">
        <v>22</v>
      </c>
    </row>
    <row r="7631" spans="1:22">
      <c r="A7631" t="str">
        <f t="shared" si="1390"/>
        <v>24/10/2025</v>
      </c>
      <c r="B7631" t="str">
        <f t="shared" si="1387"/>
        <v>SAÍDA</v>
      </c>
      <c r="C7631" t="str">
        <f>"DINHEIRO"</f>
        <v>DINHEIRO</v>
      </c>
      <c r="D7631" t="str">
        <f>"39"</f>
        <v>39</v>
      </c>
      <c r="E7631" t="str">
        <f t="shared" ref="E7631:E7644" si="1395">"1"</f>
        <v>1</v>
      </c>
      <c r="F7631" t="str">
        <f t="shared" si="1391"/>
        <v>COM</v>
      </c>
      <c r="G7631" t="str">
        <f>"AGORA MIDIA MARKETING DIRETO LTDA (20047)"</f>
        <v>AGORA MIDIA MARKETING DIRETO LTDA (20047)</v>
      </c>
      <c r="H7631" t="str">
        <f>"ASSESSORIA EM MARKETING DIGITAL 10/2025"</f>
        <v>ASSESSORIA EM MARKETING DIGITAL 10/2025</v>
      </c>
      <c r="I7631" t="str">
        <f t="shared" si="1394"/>
        <v>23/10/2025</v>
      </c>
      <c r="J7631" t="str">
        <f>("15/10/2025")</f>
        <v>15/10/2025</v>
      </c>
      <c r="K7631" t="str">
        <f>("24/10/2025")</f>
        <v>24/10/2025</v>
      </c>
      <c r="L7631">
        <v>1500</v>
      </c>
      <c r="M7631">
        <v>1500</v>
      </c>
      <c r="N7631">
        <v>127</v>
      </c>
      <c r="O7631" t="str">
        <f>"PUBLICIDADE E PROPAGANDAS"</f>
        <v>PUBLICIDADE E PROPAGANDAS</v>
      </c>
      <c r="P7631">
        <v>1500</v>
      </c>
      <c r="S7631" t="str">
        <f>"BANCO CORA (102)"</f>
        <v>BANCO CORA (102)</v>
      </c>
      <c r="T7631">
        <v>20280</v>
      </c>
      <c r="U7631">
        <v>23972</v>
      </c>
      <c r="V7631" t="s">
        <v>22</v>
      </c>
    </row>
    <row r="7632" spans="1:22">
      <c r="A7632" t="str">
        <f t="shared" si="1390"/>
        <v>24/10/2025</v>
      </c>
      <c r="B7632" t="str">
        <f t="shared" si="1387"/>
        <v>SAÍDA</v>
      </c>
      <c r="C7632" t="str">
        <f>"DINHEIRO"</f>
        <v>DINHEIRO</v>
      </c>
      <c r="D7632" t="str">
        <f>"39"</f>
        <v>39</v>
      </c>
      <c r="E7632" t="str">
        <f t="shared" si="1395"/>
        <v>1</v>
      </c>
      <c r="F7632" t="str">
        <f t="shared" si="1391"/>
        <v>COM</v>
      </c>
      <c r="G7632" t="str">
        <f>"AGORA MIDIA MARKETING DIRETO LTDA (20047)"</f>
        <v>AGORA MIDIA MARKETING DIRETO LTDA (20047)</v>
      </c>
      <c r="H7632" t="s">
        <v>2128</v>
      </c>
      <c r="I7632" t="str">
        <f t="shared" si="1394"/>
        <v>23/10/2025</v>
      </c>
      <c r="J7632" t="str">
        <f>("15/10/2025")</f>
        <v>15/10/2025</v>
      </c>
      <c r="K7632">
        <v>45954</v>
      </c>
      <c r="N7632">
        <v>127</v>
      </c>
      <c r="O7632" t="s">
        <v>865</v>
      </c>
      <c r="Q7632">
        <v>1500</v>
      </c>
      <c r="R7632" t="str">
        <f>"AGORA MIDIA MARKETING DIRETO LTDA (20047)"</f>
        <v>AGORA MIDIA MARKETING DIRETO LTDA (20047)</v>
      </c>
      <c r="S7632" t="s">
        <v>22</v>
      </c>
      <c r="T7632">
        <v>20280</v>
      </c>
      <c r="U7632">
        <v>23972</v>
      </c>
      <c r="V7632" t="s">
        <v>22</v>
      </c>
    </row>
    <row r="7633" spans="1:22">
      <c r="A7633" t="str">
        <f t="shared" si="1390"/>
        <v>24/10/2025</v>
      </c>
      <c r="B7633" t="str">
        <f>"ENTRADA"</f>
        <v>ENTRADA</v>
      </c>
      <c r="C7633" t="str">
        <f>"NFSE"</f>
        <v>NFSE</v>
      </c>
      <c r="D7633" t="str">
        <f>"3530"</f>
        <v>3530</v>
      </c>
      <c r="E7633" t="str">
        <f t="shared" si="1395"/>
        <v>1</v>
      </c>
      <c r="F7633" t="str">
        <f t="shared" si="1391"/>
        <v>COM</v>
      </c>
      <c r="G7633" t="str">
        <f>"DROGARIA POUPA MINAS (ULTRAMINAS) 3 (10129)"</f>
        <v>DROGARIA POUPA MINAS (ULTRAMINAS) 3 (10129)</v>
      </c>
      <c r="H7633" t="str">
        <f>"Serv.Prest. 13/10/2025 a 19/10/2025 - RPS: 1406 - NFSe: 3530"</f>
        <v>Serv.Prest. 13/10/2025 a 19/10/2025 - RPS: 1406 - NFSe: 3530</v>
      </c>
      <c r="I7633" t="str">
        <f t="shared" si="1394"/>
        <v>23/10/2025</v>
      </c>
      <c r="J7633" t="str">
        <f>("21/10/2025")</f>
        <v>21/10/2025</v>
      </c>
      <c r="K7633" t="str">
        <f>("24/10/2025")</f>
        <v>24/10/2025</v>
      </c>
      <c r="L7633">
        <v>1544.4</v>
      </c>
      <c r="M7633">
        <v>1544.4</v>
      </c>
      <c r="N7633">
        <v>303</v>
      </c>
      <c r="O7633" t="str">
        <f>"RECEITAS COM ENTREGAS"</f>
        <v>RECEITAS COM ENTREGAS</v>
      </c>
      <c r="P7633">
        <v>1544.4</v>
      </c>
      <c r="S7633" t="str">
        <f>"RECEITAS COM ENTREGAS (303)"</f>
        <v>RECEITAS COM ENTREGAS (303)</v>
      </c>
      <c r="T7633">
        <v>20314</v>
      </c>
      <c r="U7633">
        <v>23918</v>
      </c>
      <c r="V7633" t="s">
        <v>22</v>
      </c>
    </row>
    <row r="7634" spans="1:22">
      <c r="A7634" t="str">
        <f t="shared" si="1390"/>
        <v>24/10/2025</v>
      </c>
      <c r="B7634" t="str">
        <f>"ENTRADA"</f>
        <v>ENTRADA</v>
      </c>
      <c r="C7634" t="str">
        <f>"NFSE"</f>
        <v>NFSE</v>
      </c>
      <c r="D7634" t="str">
        <f>"3530"</f>
        <v>3530</v>
      </c>
      <c r="E7634" t="str">
        <f t="shared" si="1395"/>
        <v>1</v>
      </c>
      <c r="F7634" t="str">
        <f t="shared" si="1391"/>
        <v>COM</v>
      </c>
      <c r="G7634" t="str">
        <f>"DROGARIA POUPA MINAS (ULTRAMINAS) 3 (10129)"</f>
        <v>DROGARIA POUPA MINAS (ULTRAMINAS) 3 (10129)</v>
      </c>
      <c r="H7634" t="s">
        <v>2129</v>
      </c>
      <c r="I7634" t="str">
        <f t="shared" si="1394"/>
        <v>23/10/2025</v>
      </c>
      <c r="J7634" t="str">
        <f>("21/10/2025")</f>
        <v>21/10/2025</v>
      </c>
      <c r="K7634">
        <v>45954</v>
      </c>
      <c r="N7634">
        <v>303</v>
      </c>
      <c r="O7634" t="s">
        <v>69</v>
      </c>
      <c r="Q7634">
        <v>1544.4</v>
      </c>
      <c r="R7634" t="str">
        <f>"DROGARIA POUPA MINAS (ULTRAMINAS) 3 (10129)"</f>
        <v>DROGARIA POUPA MINAS (ULTRAMINAS) 3 (10129)</v>
      </c>
      <c r="S7634" t="s">
        <v>70</v>
      </c>
      <c r="T7634">
        <v>20314</v>
      </c>
      <c r="U7634">
        <v>23918</v>
      </c>
      <c r="V7634" t="s">
        <v>22</v>
      </c>
    </row>
    <row r="7635" spans="1:22">
      <c r="A7635" t="str">
        <f t="shared" si="1390"/>
        <v>24/10/2025</v>
      </c>
      <c r="B7635" t="str">
        <f t="shared" ref="B7635:B7642" si="1396">"SAÍDA"</f>
        <v>SAÍDA</v>
      </c>
      <c r="C7635" t="str">
        <f t="shared" ref="C7635:C7642" si="1397">"PIX"</f>
        <v>PIX</v>
      </c>
      <c r="D7635" t="str">
        <f>"24422"</f>
        <v>24422</v>
      </c>
      <c r="E7635" t="str">
        <f t="shared" si="1395"/>
        <v>1</v>
      </c>
      <c r="F7635" t="str">
        <f t="shared" si="1391"/>
        <v>COM</v>
      </c>
      <c r="G7635" t="str">
        <f>"DIANS APARECIDO RAMOS BERALDO (795)"</f>
        <v>DIANS APARECIDO RAMOS BERALDO (795)</v>
      </c>
      <c r="H7635" t="str">
        <f>"Serv.Prest. 20/10/2025 a 26/10/2025 - PIX: CELULAR - CHAVE: (11) 95530-0331"</f>
        <v>Serv.Prest. 20/10/2025 a 26/10/2025 - PIX: CELULAR - CHAVE: (11) 95530-0331</v>
      </c>
      <c r="I7635" t="str">
        <f t="shared" ref="I7635:I7642" si="1398">("30/10/2025")</f>
        <v>30/10/2025</v>
      </c>
      <c r="J7635" t="str">
        <f>("27/10/2025")</f>
        <v>27/10/2025</v>
      </c>
      <c r="K7635" t="str">
        <f>("24/10/2025")</f>
        <v>24/10/2025</v>
      </c>
      <c r="L7635">
        <v>262</v>
      </c>
      <c r="M7635">
        <v>260</v>
      </c>
      <c r="N7635">
        <v>134</v>
      </c>
      <c r="O7635" t="str">
        <f>"DIARIA DE MOTOBOY"</f>
        <v>DIARIA DE MOTOBOY</v>
      </c>
      <c r="P7635">
        <v>260</v>
      </c>
      <c r="S7635" t="str">
        <f>"BANCO CORA (102)"</f>
        <v>BANCO CORA (102)</v>
      </c>
      <c r="T7635">
        <v>20333</v>
      </c>
      <c r="U7635">
        <v>24422</v>
      </c>
      <c r="V7635" t="s">
        <v>22</v>
      </c>
    </row>
    <row r="7636" spans="1:22">
      <c r="A7636" t="str">
        <f t="shared" si="1390"/>
        <v>24/10/2025</v>
      </c>
      <c r="B7636" t="str">
        <f t="shared" si="1396"/>
        <v>SAÍDA</v>
      </c>
      <c r="C7636" t="str">
        <f t="shared" si="1397"/>
        <v>PIX</v>
      </c>
      <c r="D7636" t="str">
        <f>"24422"</f>
        <v>24422</v>
      </c>
      <c r="E7636" t="str">
        <f t="shared" si="1395"/>
        <v>1</v>
      </c>
      <c r="F7636" t="str">
        <f t="shared" si="1391"/>
        <v>COM</v>
      </c>
      <c r="G7636" t="str">
        <f>"DIANS APARECIDO RAMOS BERALDO (795)"</f>
        <v>DIANS APARECIDO RAMOS BERALDO (795)</v>
      </c>
      <c r="H7636" t="s">
        <v>1882</v>
      </c>
      <c r="I7636" t="str">
        <f t="shared" si="1398"/>
        <v>30/10/2025</v>
      </c>
      <c r="J7636" t="str">
        <f>("27/10/2025")</f>
        <v>27/10/2025</v>
      </c>
      <c r="K7636">
        <v>45954</v>
      </c>
      <c r="N7636">
        <v>134</v>
      </c>
      <c r="O7636" t="s">
        <v>41</v>
      </c>
      <c r="Q7636">
        <v>260</v>
      </c>
      <c r="R7636" t="str">
        <f>"DROGARIA TOTAL JUNDIAI (10177)"</f>
        <v>DROGARIA TOTAL JUNDIAI (10177)</v>
      </c>
      <c r="S7636" t="s">
        <v>22</v>
      </c>
      <c r="T7636">
        <v>20333</v>
      </c>
      <c r="U7636">
        <v>24422</v>
      </c>
      <c r="V7636" t="s">
        <v>22</v>
      </c>
    </row>
    <row r="7637" spans="1:22">
      <c r="A7637" t="str">
        <f t="shared" si="1390"/>
        <v>24/10/2025</v>
      </c>
      <c r="B7637" t="str">
        <f t="shared" si="1396"/>
        <v>SAÍDA</v>
      </c>
      <c r="C7637" t="str">
        <f t="shared" si="1397"/>
        <v>PIX</v>
      </c>
      <c r="D7637" t="str">
        <f>"24395"</f>
        <v>24395</v>
      </c>
      <c r="E7637" t="str">
        <f t="shared" si="1395"/>
        <v>1</v>
      </c>
      <c r="F7637" t="str">
        <f t="shared" si="1391"/>
        <v>COM</v>
      </c>
      <c r="G7637" t="str">
        <f>"IVO SIMÃO FILHO (988)"</f>
        <v>IVO SIMÃO FILHO (988)</v>
      </c>
      <c r="H7637" t="str">
        <f>"Serv.Prest. 20/10/2025 a 26/10/2025 - PIX: CPF - CHAVE: 290.093.188-69"</f>
        <v>Serv.Prest. 20/10/2025 a 26/10/2025 - PIX: CPF - CHAVE: 290.093.188-69</v>
      </c>
      <c r="I7637" t="str">
        <f t="shared" si="1398"/>
        <v>30/10/2025</v>
      </c>
      <c r="J7637" t="str">
        <f>("27/10/2025")</f>
        <v>27/10/2025</v>
      </c>
      <c r="K7637" t="str">
        <f>("24/10/2025")</f>
        <v>24/10/2025</v>
      </c>
      <c r="L7637">
        <v>170</v>
      </c>
      <c r="M7637">
        <v>170</v>
      </c>
      <c r="N7637">
        <v>134</v>
      </c>
      <c r="O7637" t="str">
        <f>"DIARIA DE MOTOBOY"</f>
        <v>DIARIA DE MOTOBOY</v>
      </c>
      <c r="P7637">
        <v>170</v>
      </c>
      <c r="S7637" t="str">
        <f>"BANCO CORA (102)"</f>
        <v>BANCO CORA (102)</v>
      </c>
      <c r="T7637">
        <v>20341</v>
      </c>
      <c r="U7637">
        <v>24395</v>
      </c>
      <c r="V7637" t="s">
        <v>22</v>
      </c>
    </row>
    <row r="7638" spans="1:22">
      <c r="A7638" t="str">
        <f t="shared" si="1390"/>
        <v>24/10/2025</v>
      </c>
      <c r="B7638" t="str">
        <f t="shared" si="1396"/>
        <v>SAÍDA</v>
      </c>
      <c r="C7638" t="str">
        <f t="shared" si="1397"/>
        <v>PIX</v>
      </c>
      <c r="D7638" t="str">
        <f>"24395"</f>
        <v>24395</v>
      </c>
      <c r="E7638" t="str">
        <f t="shared" si="1395"/>
        <v>1</v>
      </c>
      <c r="F7638" t="str">
        <f t="shared" si="1391"/>
        <v>COM</v>
      </c>
      <c r="G7638" t="str">
        <f>"IVO SIMÃO FILHO (988)"</f>
        <v>IVO SIMÃO FILHO (988)</v>
      </c>
      <c r="H7638" t="s">
        <v>2130</v>
      </c>
      <c r="I7638" t="str">
        <f t="shared" si="1398"/>
        <v>30/10/2025</v>
      </c>
      <c r="J7638" t="str">
        <f>("27/10/2025")</f>
        <v>27/10/2025</v>
      </c>
      <c r="K7638">
        <v>45954</v>
      </c>
      <c r="N7638">
        <v>134</v>
      </c>
      <c r="O7638" t="s">
        <v>41</v>
      </c>
      <c r="Q7638">
        <v>170</v>
      </c>
      <c r="R7638" t="str">
        <f>"PENSE FARMA 22 (10198)"</f>
        <v>PENSE FARMA 22 (10198)</v>
      </c>
      <c r="S7638" t="s">
        <v>22</v>
      </c>
      <c r="T7638">
        <v>20341</v>
      </c>
      <c r="U7638">
        <v>24395</v>
      </c>
      <c r="V7638" t="s">
        <v>22</v>
      </c>
    </row>
    <row r="7639" spans="1:22">
      <c r="A7639" t="str">
        <f t="shared" si="1390"/>
        <v>24/10/2025</v>
      </c>
      <c r="B7639" t="str">
        <f t="shared" si="1396"/>
        <v>SAÍDA</v>
      </c>
      <c r="C7639" t="str">
        <f t="shared" si="1397"/>
        <v>PIX</v>
      </c>
      <c r="D7639" t="str">
        <f>"24534"</f>
        <v>24534</v>
      </c>
      <c r="E7639" t="str">
        <f t="shared" si="1395"/>
        <v>1</v>
      </c>
      <c r="F7639" t="str">
        <f t="shared" si="1391"/>
        <v>COM</v>
      </c>
      <c r="G7639" t="str">
        <f>"MICHELLE RIBEIRO DA SILVA (1012)"</f>
        <v>MICHELLE RIBEIRO DA SILVA (1012)</v>
      </c>
      <c r="H7639" t="str">
        <f>"Serv.Prest. 20/10/2025 a 26/10/2025 - PIX: CPF - CHAVE: 115.519.146-38"</f>
        <v>Serv.Prest. 20/10/2025 a 26/10/2025 - PIX: CPF - CHAVE: 115.519.146-38</v>
      </c>
      <c r="I7639" t="str">
        <f t="shared" si="1398"/>
        <v>30/10/2025</v>
      </c>
      <c r="J7639" t="str">
        <f>("30/10/2025")</f>
        <v>30/10/2025</v>
      </c>
      <c r="K7639" t="str">
        <f>("24/10/2025")</f>
        <v>24/10/2025</v>
      </c>
      <c r="L7639">
        <v>67</v>
      </c>
      <c r="M7639">
        <v>67</v>
      </c>
      <c r="N7639">
        <v>109</v>
      </c>
      <c r="O7639" t="str">
        <f>"PAGAMENTO DE ENTREGADORES"</f>
        <v>PAGAMENTO DE ENTREGADORES</v>
      </c>
      <c r="P7639">
        <v>67</v>
      </c>
      <c r="S7639" t="str">
        <f>"BANCO CORA (102)"</f>
        <v>BANCO CORA (102)</v>
      </c>
      <c r="T7639">
        <v>20345</v>
      </c>
      <c r="U7639">
        <v>24534</v>
      </c>
      <c r="V7639" t="s">
        <v>22</v>
      </c>
    </row>
    <row r="7640" spans="1:22">
      <c r="A7640" t="str">
        <f t="shared" si="1390"/>
        <v>24/10/2025</v>
      </c>
      <c r="B7640" t="str">
        <f t="shared" si="1396"/>
        <v>SAÍDA</v>
      </c>
      <c r="C7640" t="str">
        <f t="shared" si="1397"/>
        <v>PIX</v>
      </c>
      <c r="D7640" t="str">
        <f>"24534"</f>
        <v>24534</v>
      </c>
      <c r="E7640" t="str">
        <f t="shared" si="1395"/>
        <v>1</v>
      </c>
      <c r="F7640" t="str">
        <f t="shared" si="1391"/>
        <v>COM</v>
      </c>
      <c r="G7640" t="str">
        <f>"MICHELLE RIBEIRO DA SILVA (1012)"</f>
        <v>MICHELLE RIBEIRO DA SILVA (1012)</v>
      </c>
      <c r="H7640" t="s">
        <v>2131</v>
      </c>
      <c r="I7640" t="str">
        <f t="shared" si="1398"/>
        <v>30/10/2025</v>
      </c>
      <c r="J7640" t="str">
        <f>("30/10/2025")</f>
        <v>30/10/2025</v>
      </c>
      <c r="K7640">
        <v>45954</v>
      </c>
      <c r="N7640">
        <v>109</v>
      </c>
      <c r="O7640" t="s">
        <v>24</v>
      </c>
      <c r="Q7640">
        <v>67</v>
      </c>
      <c r="R7640" t="str">
        <f>"DROGALIDER 64 (10250)"</f>
        <v>DROGALIDER 64 (10250)</v>
      </c>
      <c r="S7640" t="s">
        <v>22</v>
      </c>
      <c r="T7640">
        <v>20345</v>
      </c>
      <c r="U7640">
        <v>24534</v>
      </c>
      <c r="V7640" t="s">
        <v>22</v>
      </c>
    </row>
    <row r="7641" spans="1:22">
      <c r="A7641" t="str">
        <f t="shared" si="1390"/>
        <v>24/10/2025</v>
      </c>
      <c r="B7641" t="str">
        <f t="shared" si="1396"/>
        <v>SAÍDA</v>
      </c>
      <c r="C7641" t="str">
        <f t="shared" si="1397"/>
        <v>PIX</v>
      </c>
      <c r="D7641" t="str">
        <f>"24538"</f>
        <v>24538</v>
      </c>
      <c r="E7641" t="str">
        <f t="shared" si="1395"/>
        <v>1</v>
      </c>
      <c r="F7641" t="str">
        <f t="shared" si="1391"/>
        <v>COM</v>
      </c>
      <c r="G7641" t="str">
        <f>"MICHELLE RIBEIRO DA SILVA (1012)"</f>
        <v>MICHELLE RIBEIRO DA SILVA (1012)</v>
      </c>
      <c r="H7641" t="str">
        <f>"Serv.Prest. 20/10/2025 a 26/10/2025 - PIX: CPF - CHAVE: 115.519.146-38"</f>
        <v>Serv.Prest. 20/10/2025 a 26/10/2025 - PIX: CPF - CHAVE: 115.519.146-38</v>
      </c>
      <c r="I7641" t="str">
        <f t="shared" si="1398"/>
        <v>30/10/2025</v>
      </c>
      <c r="J7641" t="str">
        <f>("30/10/2025")</f>
        <v>30/10/2025</v>
      </c>
      <c r="K7641" t="str">
        <f>("24/10/2025")</f>
        <v>24/10/2025</v>
      </c>
      <c r="L7641">
        <v>103</v>
      </c>
      <c r="M7641">
        <v>103</v>
      </c>
      <c r="N7641">
        <v>109</v>
      </c>
      <c r="O7641" t="str">
        <f>"PAGAMENTO DE ENTREGADORES"</f>
        <v>PAGAMENTO DE ENTREGADORES</v>
      </c>
      <c r="S7641" t="str">
        <f>"BANCO CORA (102)"</f>
        <v>BANCO CORA (102)</v>
      </c>
      <c r="T7641">
        <v>20345</v>
      </c>
      <c r="U7641">
        <v>24538</v>
      </c>
      <c r="V7641" t="s">
        <v>22</v>
      </c>
    </row>
    <row r="7642" spans="1:22">
      <c r="A7642" t="str">
        <f t="shared" si="1390"/>
        <v>24/10/2025</v>
      </c>
      <c r="B7642" t="str">
        <f t="shared" si="1396"/>
        <v>SAÍDA</v>
      </c>
      <c r="C7642" t="str">
        <f t="shared" si="1397"/>
        <v>PIX</v>
      </c>
      <c r="D7642" t="str">
        <f>"24538"</f>
        <v>24538</v>
      </c>
      <c r="E7642" t="str">
        <f t="shared" si="1395"/>
        <v>1</v>
      </c>
      <c r="F7642" t="str">
        <f t="shared" si="1391"/>
        <v>COM</v>
      </c>
      <c r="G7642" t="str">
        <f>"MICHELLE RIBEIRO DA SILVA (1012)"</f>
        <v>MICHELLE RIBEIRO DA SILVA (1012)</v>
      </c>
      <c r="H7642" t="s">
        <v>2131</v>
      </c>
      <c r="I7642" t="str">
        <f t="shared" si="1398"/>
        <v>30/10/2025</v>
      </c>
      <c r="J7642" t="str">
        <f>("30/10/2025")</f>
        <v>30/10/2025</v>
      </c>
      <c r="K7642">
        <v>45954</v>
      </c>
      <c r="N7642">
        <v>109</v>
      </c>
      <c r="O7642" t="s">
        <v>24</v>
      </c>
      <c r="Q7642">
        <v>103</v>
      </c>
      <c r="R7642" t="str">
        <f>"DROGALIDER 66 (10251)"</f>
        <v>DROGALIDER 66 (10251)</v>
      </c>
      <c r="S7642" t="s">
        <v>22</v>
      </c>
      <c r="T7642">
        <v>20345</v>
      </c>
      <c r="U7642">
        <v>24538</v>
      </c>
      <c r="V7642" t="s">
        <v>22</v>
      </c>
    </row>
    <row r="7643" spans="1:22">
      <c r="A7643" t="str">
        <f t="shared" si="1390"/>
        <v>24/10/2025</v>
      </c>
      <c r="B7643" t="str">
        <f>"ENTRADA"</f>
        <v>ENTRADA</v>
      </c>
      <c r="C7643" t="str">
        <f>"NFSE"</f>
        <v>NFSE</v>
      </c>
      <c r="D7643" t="str">
        <f>"3536"</f>
        <v>3536</v>
      </c>
      <c r="E7643" t="str">
        <f t="shared" si="1395"/>
        <v>1</v>
      </c>
      <c r="F7643" t="str">
        <f t="shared" si="1391"/>
        <v>COM</v>
      </c>
      <c r="G7643" t="str">
        <f>"DROGARIA POUPA MINAS (DOIS AMIGOS) 5 (10140)"</f>
        <v>DROGARIA POUPA MINAS (DOIS AMIGOS) 5 (10140)</v>
      </c>
      <c r="H7643" t="str">
        <f>"Serv.Prest. 13/10/2025 a 19/10/2025 - RPS: 1412 - NFSe: 3536"</f>
        <v>Serv.Prest. 13/10/2025 a 19/10/2025 - RPS: 1412 - NFSe: 3536</v>
      </c>
      <c r="I7643" t="str">
        <f>("23/10/2025")</f>
        <v>23/10/2025</v>
      </c>
      <c r="J7643" t="str">
        <f>("21/10/2025")</f>
        <v>21/10/2025</v>
      </c>
      <c r="K7643" t="str">
        <f>("24/10/2025")</f>
        <v>24/10/2025</v>
      </c>
      <c r="L7643">
        <v>7497.77</v>
      </c>
      <c r="M7643">
        <v>7497.77</v>
      </c>
      <c r="N7643">
        <v>303</v>
      </c>
      <c r="O7643" t="str">
        <f>"RECEITAS COM ENTREGAS"</f>
        <v>RECEITAS COM ENTREGAS</v>
      </c>
      <c r="P7643">
        <v>7497.77</v>
      </c>
      <c r="S7643" t="str">
        <f>"RECEITAS COM ENTREGAS (303)"</f>
        <v>RECEITAS COM ENTREGAS (303)</v>
      </c>
      <c r="T7643">
        <v>22516</v>
      </c>
      <c r="U7643">
        <v>23937</v>
      </c>
      <c r="V7643" t="s">
        <v>22</v>
      </c>
    </row>
    <row r="7644" spans="1:22">
      <c r="A7644" t="str">
        <f t="shared" si="1390"/>
        <v>24/10/2025</v>
      </c>
      <c r="B7644" t="str">
        <f>"ENTRADA"</f>
        <v>ENTRADA</v>
      </c>
      <c r="C7644" t="str">
        <f>"NFSE"</f>
        <v>NFSE</v>
      </c>
      <c r="D7644" t="str">
        <f>"3536"</f>
        <v>3536</v>
      </c>
      <c r="E7644" t="str">
        <f t="shared" si="1395"/>
        <v>1</v>
      </c>
      <c r="F7644" t="str">
        <f t="shared" si="1391"/>
        <v>COM</v>
      </c>
      <c r="G7644" t="str">
        <f>"DROGARIA POUPA MINAS (DOIS AMIGOS) 5 (10140)"</f>
        <v>DROGARIA POUPA MINAS (DOIS AMIGOS) 5 (10140)</v>
      </c>
      <c r="H7644" t="s">
        <v>2132</v>
      </c>
      <c r="I7644" t="str">
        <f>("23/10/2025")</f>
        <v>23/10/2025</v>
      </c>
      <c r="J7644" t="str">
        <f>("21/10/2025")</f>
        <v>21/10/2025</v>
      </c>
      <c r="K7644">
        <v>45954</v>
      </c>
      <c r="N7644">
        <v>303</v>
      </c>
      <c r="O7644" t="s">
        <v>69</v>
      </c>
      <c r="Q7644">
        <v>7497.77</v>
      </c>
      <c r="R7644" t="str">
        <f>"DROGARIA POUPA MINAS (ULTRAMINAS) 1 (10181)"</f>
        <v>DROGARIA POUPA MINAS (ULTRAMINAS) 1 (10181)</v>
      </c>
      <c r="S7644" t="s">
        <v>70</v>
      </c>
      <c r="T7644">
        <v>22516</v>
      </c>
      <c r="U7644">
        <v>23937</v>
      </c>
      <c r="V7644" t="s">
        <v>22</v>
      </c>
    </row>
    <row r="7645" spans="1:22">
      <c r="A7645" t="str">
        <f t="shared" si="1390"/>
        <v>24/10/2025</v>
      </c>
      <c r="B7645" t="str">
        <f>"SAÍDA"</f>
        <v>SAÍDA</v>
      </c>
      <c r="C7645" t="str">
        <f>"DINHEIRO"</f>
        <v>DINHEIRO</v>
      </c>
      <c r="D7645" t="str">
        <f>"39"</f>
        <v>39</v>
      </c>
      <c r="E7645" t="str">
        <f>""</f>
        <v/>
      </c>
      <c r="F7645" t="str">
        <f t="shared" si="1391"/>
        <v>COM</v>
      </c>
      <c r="G7645" t="str">
        <f>"AGORA MIDIA MARKETING DIRETO LTDA (20047)"</f>
        <v>AGORA MIDIA MARKETING DIRETO LTDA (20047)</v>
      </c>
      <c r="H7645" t="str">
        <f>"ASSESSORIA EM MARKETING DIGITAL 09/2025"</f>
        <v>ASSESSORIA EM MARKETING DIGITAL 09/2025</v>
      </c>
      <c r="I7645" t="str">
        <f>("23/10/2025")</f>
        <v>23/10/2025</v>
      </c>
      <c r="J7645" t="str">
        <f>("15/10/2025")</f>
        <v>15/10/2025</v>
      </c>
      <c r="K7645" t="str">
        <f>("24/10/2025")</f>
        <v>24/10/2025</v>
      </c>
      <c r="L7645">
        <v>1500</v>
      </c>
      <c r="M7645">
        <v>1500</v>
      </c>
      <c r="N7645">
        <v>127</v>
      </c>
      <c r="O7645" t="str">
        <f>"PUBLICIDADE E PROPAGANDAS"</f>
        <v>PUBLICIDADE E PROPAGANDAS</v>
      </c>
      <c r="P7645">
        <v>1500</v>
      </c>
      <c r="S7645" t="str">
        <f>"BANCO CORA (102)"</f>
        <v>BANCO CORA (102)</v>
      </c>
      <c r="T7645">
        <v>22517</v>
      </c>
      <c r="U7645">
        <v>23971</v>
      </c>
      <c r="V7645" t="s">
        <v>22</v>
      </c>
    </row>
    <row r="7646" spans="1:22">
      <c r="A7646" t="str">
        <f t="shared" si="1390"/>
        <v>24/10/2025</v>
      </c>
      <c r="B7646" t="str">
        <f>"SAÍDA"</f>
        <v>SAÍDA</v>
      </c>
      <c r="C7646" t="str">
        <f>"DINHEIRO"</f>
        <v>DINHEIRO</v>
      </c>
      <c r="D7646" t="str">
        <f>"39"</f>
        <v>39</v>
      </c>
      <c r="E7646" t="str">
        <f>""</f>
        <v/>
      </c>
      <c r="F7646" t="str">
        <f t="shared" si="1391"/>
        <v>COM</v>
      </c>
      <c r="G7646" t="str">
        <f>"AGORA MIDIA MARKETING DIRETO LTDA (20047)"</f>
        <v>AGORA MIDIA MARKETING DIRETO LTDA (20047)</v>
      </c>
      <c r="H7646" t="s">
        <v>2133</v>
      </c>
      <c r="I7646" t="str">
        <f>("23/10/2025")</f>
        <v>23/10/2025</v>
      </c>
      <c r="J7646" t="str">
        <f>("15/10/2025")</f>
        <v>15/10/2025</v>
      </c>
      <c r="K7646">
        <v>45954</v>
      </c>
      <c r="N7646">
        <v>127</v>
      </c>
      <c r="O7646" t="s">
        <v>865</v>
      </c>
      <c r="Q7646">
        <v>1500</v>
      </c>
      <c r="R7646" t="str">
        <f>"AGORA MIDIA MARKETING DIRETO LTDA (20047)"</f>
        <v>AGORA MIDIA MARKETING DIRETO LTDA (20047)</v>
      </c>
      <c r="S7646" t="s">
        <v>22</v>
      </c>
      <c r="T7646">
        <v>22517</v>
      </c>
      <c r="U7646">
        <v>23971</v>
      </c>
      <c r="V7646" t="s">
        <v>22</v>
      </c>
    </row>
    <row r="7647" spans="1:22">
      <c r="A7647" t="str">
        <f t="shared" si="1390"/>
        <v>24/10/2025</v>
      </c>
      <c r="B7647" t="str">
        <f>"SAÍDA"</f>
        <v>SAÍDA</v>
      </c>
      <c r="C7647" t="str">
        <f>"TRANSFERENCIA"</f>
        <v>TRANSFERENCIA</v>
      </c>
      <c r="D7647" t="str">
        <f>""</f>
        <v/>
      </c>
      <c r="F7647" t="str">
        <f>"TRF"</f>
        <v>TRF</v>
      </c>
      <c r="G7647" t="str">
        <f>""</f>
        <v/>
      </c>
      <c r="H7647" t="str">
        <f>"TRANSFERENCIA ENTRE BANCOS (102-&gt;149)"</f>
        <v>TRANSFERENCIA ENTRE BANCOS (102-&gt;149)</v>
      </c>
      <c r="I7647" t="str">
        <f t="shared" ref="I7647:K7648" si="1399">("24/10/2025")</f>
        <v>24/10/2025</v>
      </c>
      <c r="J7647" t="str">
        <f t="shared" si="1399"/>
        <v>24/10/2025</v>
      </c>
      <c r="K7647" t="str">
        <f t="shared" si="1399"/>
        <v>24/10/2025</v>
      </c>
      <c r="N7647">
        <v>102</v>
      </c>
      <c r="O7647" t="str">
        <f>"BANCO CORA"</f>
        <v>BANCO CORA</v>
      </c>
      <c r="P7647">
        <v>3774</v>
      </c>
      <c r="S7647" t="str">
        <f>"BANCO CORA (102)"</f>
        <v>BANCO CORA (102)</v>
      </c>
      <c r="T7647">
        <v>22518</v>
      </c>
      <c r="U7647">
        <v>0</v>
      </c>
      <c r="V7647" t="s">
        <v>22</v>
      </c>
    </row>
    <row r="7648" spans="1:22">
      <c r="A7648" t="str">
        <f t="shared" si="1390"/>
        <v>24/10/2025</v>
      </c>
      <c r="B7648" t="str">
        <f>"ENTRADA"</f>
        <v>ENTRADA</v>
      </c>
      <c r="C7648" t="str">
        <f>"TRANSFERENCIA"</f>
        <v>TRANSFERENCIA</v>
      </c>
      <c r="D7648" t="str">
        <f>""</f>
        <v/>
      </c>
      <c r="F7648" t="str">
        <f>"TRF"</f>
        <v>TRF</v>
      </c>
      <c r="G7648" t="str">
        <f>""</f>
        <v/>
      </c>
      <c r="H7648" t="str">
        <f>"TRANSFERENCIA ENTRE BANCOS (102-&gt;149)"</f>
        <v>TRANSFERENCIA ENTRE BANCOS (102-&gt;149)</v>
      </c>
      <c r="I7648" t="str">
        <f t="shared" si="1399"/>
        <v>24/10/2025</v>
      </c>
      <c r="J7648" t="str">
        <f t="shared" si="1399"/>
        <v>24/10/2025</v>
      </c>
      <c r="K7648" t="str">
        <f t="shared" si="1399"/>
        <v>24/10/2025</v>
      </c>
      <c r="N7648">
        <v>149</v>
      </c>
      <c r="O7648" t="str">
        <f>"BANCO C6"</f>
        <v>BANCO C6</v>
      </c>
      <c r="S7648" t="str">
        <f>"BANCO C6 (149)"</f>
        <v>BANCO C6 (149)</v>
      </c>
      <c r="T7648">
        <v>22518</v>
      </c>
      <c r="U7648">
        <v>0</v>
      </c>
      <c r="V7648" t="s">
        <v>77</v>
      </c>
    </row>
    <row r="7649" spans="1:22">
      <c r="A7649" t="str">
        <f t="shared" si="1390"/>
        <v>24/10/2025</v>
      </c>
      <c r="B7649" t="str">
        <f>"ENTRADA"</f>
        <v>ENTRADA</v>
      </c>
      <c r="C7649" t="str">
        <f>"NFSE"</f>
        <v>NFSE</v>
      </c>
      <c r="D7649" t="str">
        <f>"3537"</f>
        <v>3537</v>
      </c>
      <c r="E7649" t="str">
        <f t="shared" ref="E7649:E7668" si="1400">"1"</f>
        <v>1</v>
      </c>
      <c r="F7649" t="str">
        <f t="shared" ref="F7649:F7670" si="1401">"COM"</f>
        <v>COM</v>
      </c>
      <c r="G7649" t="str">
        <f>"DROGARIA VAZ (10179)"</f>
        <v>DROGARIA VAZ (10179)</v>
      </c>
      <c r="H7649" t="str">
        <f>"Serv.Prest. 13/10/2025 a 19/10/2025 - RPS: 1413 - NFSe: 3537"</f>
        <v>Serv.Prest. 13/10/2025 a 19/10/2025 - RPS: 1413 - NFSe: 3537</v>
      </c>
      <c r="I7649" t="str">
        <f>("22/10/2025")</f>
        <v>22/10/2025</v>
      </c>
      <c r="J7649" t="str">
        <f>("21/10/2025")</f>
        <v>21/10/2025</v>
      </c>
      <c r="K7649" t="str">
        <f>("24/10/2025")</f>
        <v>24/10/2025</v>
      </c>
      <c r="L7649">
        <v>1152.83</v>
      </c>
      <c r="M7649">
        <v>1176.6400000000001</v>
      </c>
      <c r="N7649">
        <v>303</v>
      </c>
      <c r="O7649" t="str">
        <f>"RECEITAS COM ENTREGAS"</f>
        <v>RECEITAS COM ENTREGAS</v>
      </c>
      <c r="P7649">
        <v>1176.6400000000001</v>
      </c>
      <c r="S7649" t="str">
        <f>"RECEITAS COM ENTREGAS (303)"</f>
        <v>RECEITAS COM ENTREGAS (303)</v>
      </c>
      <c r="T7649">
        <v>22519</v>
      </c>
      <c r="U7649">
        <v>23944</v>
      </c>
      <c r="V7649" t="s">
        <v>22</v>
      </c>
    </row>
    <row r="7650" spans="1:22">
      <c r="A7650" t="str">
        <f t="shared" si="1390"/>
        <v>24/10/2025</v>
      </c>
      <c r="B7650" t="str">
        <f>"ENTRADA"</f>
        <v>ENTRADA</v>
      </c>
      <c r="C7650" t="str">
        <f>"NFSE"</f>
        <v>NFSE</v>
      </c>
      <c r="D7650" t="str">
        <f>"3537"</f>
        <v>3537</v>
      </c>
      <c r="E7650" t="str">
        <f t="shared" si="1400"/>
        <v>1</v>
      </c>
      <c r="F7650" t="str">
        <f t="shared" si="1401"/>
        <v>COM</v>
      </c>
      <c r="G7650" t="str">
        <f>"DROGARIA VAZ (10179)"</f>
        <v>DROGARIA VAZ (10179)</v>
      </c>
      <c r="H7650" t="s">
        <v>2134</v>
      </c>
      <c r="I7650" t="str">
        <f>("22/10/2025")</f>
        <v>22/10/2025</v>
      </c>
      <c r="J7650" t="str">
        <f>("21/10/2025")</f>
        <v>21/10/2025</v>
      </c>
      <c r="K7650">
        <v>45954</v>
      </c>
      <c r="N7650">
        <v>303</v>
      </c>
      <c r="O7650" t="s">
        <v>69</v>
      </c>
      <c r="Q7650">
        <v>1176.6400000000001</v>
      </c>
      <c r="R7650" t="str">
        <f>"DROGARIA VAZ (10179)"</f>
        <v>DROGARIA VAZ (10179)</v>
      </c>
      <c r="S7650" t="s">
        <v>70</v>
      </c>
      <c r="T7650">
        <v>22519</v>
      </c>
      <c r="U7650">
        <v>23944</v>
      </c>
      <c r="V7650" t="s">
        <v>22</v>
      </c>
    </row>
    <row r="7651" spans="1:22">
      <c r="A7651" t="str">
        <f>("25/10/2025")</f>
        <v>25/10/2025</v>
      </c>
      <c r="B7651" t="str">
        <f t="shared" ref="B7651:B7666" si="1402">"SAÍDA"</f>
        <v>SAÍDA</v>
      </c>
      <c r="C7651" t="str">
        <f t="shared" ref="C7651:C7666" si="1403">"PIX"</f>
        <v>PIX</v>
      </c>
      <c r="D7651" t="str">
        <f>"24403"</f>
        <v>24403</v>
      </c>
      <c r="E7651" t="str">
        <f t="shared" si="1400"/>
        <v>1</v>
      </c>
      <c r="F7651" t="str">
        <f t="shared" si="1401"/>
        <v>COM</v>
      </c>
      <c r="G7651" t="str">
        <f>"RODRIGO SOUSA SANTOS (1031)"</f>
        <v>RODRIGO SOUSA SANTOS (1031)</v>
      </c>
      <c r="H7651" t="str">
        <f>"Serv.Prest. 20/10/2025 a 26/10/2025 - PIX: CPF - CHAVE: 361.868.298-04"</f>
        <v>Serv.Prest. 20/10/2025 a 26/10/2025 - PIX: CPF - CHAVE: 361.868.298-04</v>
      </c>
      <c r="I7651" t="str">
        <f t="shared" ref="I7651:I7658" si="1404">("30/10/2025")</f>
        <v>30/10/2025</v>
      </c>
      <c r="J7651" t="str">
        <f>("27/10/2025")</f>
        <v>27/10/2025</v>
      </c>
      <c r="K7651" t="str">
        <f>("25/10/2025")</f>
        <v>25/10/2025</v>
      </c>
      <c r="L7651">
        <v>200</v>
      </c>
      <c r="M7651">
        <v>200</v>
      </c>
      <c r="N7651">
        <v>134</v>
      </c>
      <c r="O7651" t="str">
        <f>"DIARIA DE MOTOBOY"</f>
        <v>DIARIA DE MOTOBOY</v>
      </c>
      <c r="P7651">
        <v>200</v>
      </c>
      <c r="S7651" t="str">
        <f>"BANCO CORA (102)"</f>
        <v>BANCO CORA (102)</v>
      </c>
      <c r="T7651">
        <v>20340</v>
      </c>
      <c r="U7651">
        <v>24403</v>
      </c>
      <c r="V7651" t="s">
        <v>22</v>
      </c>
    </row>
    <row r="7652" spans="1:22">
      <c r="A7652" t="str">
        <f>("25/10/2025")</f>
        <v>25/10/2025</v>
      </c>
      <c r="B7652" t="str">
        <f t="shared" si="1402"/>
        <v>SAÍDA</v>
      </c>
      <c r="C7652" t="str">
        <f t="shared" si="1403"/>
        <v>PIX</v>
      </c>
      <c r="D7652" t="str">
        <f>"24403"</f>
        <v>24403</v>
      </c>
      <c r="E7652" t="str">
        <f t="shared" si="1400"/>
        <v>1</v>
      </c>
      <c r="F7652" t="str">
        <f t="shared" si="1401"/>
        <v>COM</v>
      </c>
      <c r="G7652" t="str">
        <f>"RODRIGO SOUSA SANTOS (1031)"</f>
        <v>RODRIGO SOUSA SANTOS (1031)</v>
      </c>
      <c r="H7652" t="s">
        <v>2135</v>
      </c>
      <c r="I7652" t="str">
        <f t="shared" si="1404"/>
        <v>30/10/2025</v>
      </c>
      <c r="J7652" t="str">
        <f>("27/10/2025")</f>
        <v>27/10/2025</v>
      </c>
      <c r="K7652">
        <v>45955</v>
      </c>
      <c r="N7652">
        <v>134</v>
      </c>
      <c r="O7652" t="s">
        <v>41</v>
      </c>
      <c r="Q7652">
        <v>200</v>
      </c>
      <c r="R7652" t="str">
        <f>"PENSE FARMA 26 (10196)"</f>
        <v>PENSE FARMA 26 (10196)</v>
      </c>
      <c r="S7652" t="s">
        <v>22</v>
      </c>
      <c r="T7652">
        <v>20340</v>
      </c>
      <c r="U7652">
        <v>24403</v>
      </c>
      <c r="V7652" t="s">
        <v>22</v>
      </c>
    </row>
    <row r="7653" spans="1:22">
      <c r="A7653" t="str">
        <f>("25/10/2025")</f>
        <v>25/10/2025</v>
      </c>
      <c r="B7653" t="str">
        <f t="shared" si="1402"/>
        <v>SAÍDA</v>
      </c>
      <c r="C7653" t="str">
        <f t="shared" si="1403"/>
        <v>PIX</v>
      </c>
      <c r="D7653" t="str">
        <f>"24473"</f>
        <v>24473</v>
      </c>
      <c r="E7653" t="str">
        <f t="shared" si="1400"/>
        <v>1</v>
      </c>
      <c r="F7653" t="str">
        <f t="shared" si="1401"/>
        <v>COM</v>
      </c>
      <c r="G7653" t="str">
        <f>"BRUNO AUGUSTO GONCALVES BARBOSA (1022)"</f>
        <v>BRUNO AUGUSTO GONCALVES BARBOSA (1022)</v>
      </c>
      <c r="H7653" t="str">
        <f>"Serv.Prest. 20/10/2025 a 26/10/2025 - PIX: CPF - CHAVE: 604.319.363-90"</f>
        <v>Serv.Prest. 20/10/2025 a 26/10/2025 - PIX: CPF - CHAVE: 604.319.363-90</v>
      </c>
      <c r="I7653" t="str">
        <f t="shared" si="1404"/>
        <v>30/10/2025</v>
      </c>
      <c r="J7653" t="str">
        <f>("28/10/2025")</f>
        <v>28/10/2025</v>
      </c>
      <c r="K7653" t="str">
        <f>("25/10/2025")</f>
        <v>25/10/2025</v>
      </c>
      <c r="L7653">
        <v>121.5</v>
      </c>
      <c r="M7653">
        <v>120</v>
      </c>
      <c r="N7653">
        <v>134</v>
      </c>
      <c r="O7653" t="str">
        <f>"DIARIA DE MOTOBOY"</f>
        <v>DIARIA DE MOTOBOY</v>
      </c>
      <c r="P7653">
        <v>120</v>
      </c>
      <c r="S7653" t="str">
        <f>"BANCO CORA (102)"</f>
        <v>BANCO CORA (102)</v>
      </c>
      <c r="T7653">
        <v>20343</v>
      </c>
      <c r="U7653">
        <v>24473</v>
      </c>
      <c r="V7653" t="s">
        <v>22</v>
      </c>
    </row>
    <row r="7654" spans="1:22">
      <c r="A7654" t="str">
        <f>("25/10/2025")</f>
        <v>25/10/2025</v>
      </c>
      <c r="B7654" t="str">
        <f t="shared" si="1402"/>
        <v>SAÍDA</v>
      </c>
      <c r="C7654" t="str">
        <f t="shared" si="1403"/>
        <v>PIX</v>
      </c>
      <c r="D7654" t="str">
        <f>"24473"</f>
        <v>24473</v>
      </c>
      <c r="E7654" t="str">
        <f t="shared" si="1400"/>
        <v>1</v>
      </c>
      <c r="F7654" t="str">
        <f t="shared" si="1401"/>
        <v>COM</v>
      </c>
      <c r="G7654" t="str">
        <f>"BRUNO AUGUSTO GONCALVES BARBOSA (1022)"</f>
        <v>BRUNO AUGUSTO GONCALVES BARBOSA (1022)</v>
      </c>
      <c r="H7654" t="s">
        <v>2136</v>
      </c>
      <c r="I7654" t="str">
        <f t="shared" si="1404"/>
        <v>30/10/2025</v>
      </c>
      <c r="J7654" t="str">
        <f>("28/10/2025")</f>
        <v>28/10/2025</v>
      </c>
      <c r="K7654">
        <v>45955</v>
      </c>
      <c r="N7654">
        <v>134</v>
      </c>
      <c r="O7654" t="s">
        <v>41</v>
      </c>
      <c r="Q7654">
        <v>120</v>
      </c>
      <c r="R7654" t="str">
        <f>"DROGA HONDA (10149)"</f>
        <v>DROGA HONDA (10149)</v>
      </c>
      <c r="S7654" t="s">
        <v>22</v>
      </c>
      <c r="T7654">
        <v>20343</v>
      </c>
      <c r="U7654">
        <v>24473</v>
      </c>
      <c r="V7654" t="s">
        <v>22</v>
      </c>
    </row>
    <row r="7655" spans="1:22">
      <c r="A7655" t="str">
        <f>("26/10/2025")</f>
        <v>26/10/2025</v>
      </c>
      <c r="B7655" t="str">
        <f t="shared" si="1402"/>
        <v>SAÍDA</v>
      </c>
      <c r="C7655" t="str">
        <f t="shared" si="1403"/>
        <v>PIX</v>
      </c>
      <c r="D7655" t="str">
        <f>"24412"</f>
        <v>24412</v>
      </c>
      <c r="E7655" t="str">
        <f t="shared" si="1400"/>
        <v>1</v>
      </c>
      <c r="F7655" t="str">
        <f t="shared" si="1401"/>
        <v>COM</v>
      </c>
      <c r="G7655" t="str">
        <f>"SAMUEL SOARES DA SILVA (867)"</f>
        <v>SAMUEL SOARES DA SILVA (867)</v>
      </c>
      <c r="H7655" t="str">
        <f>"Serv.Prest. 20/10/2025 a 26/10/2025 - PIX: CPF - CHAVE: 396.124.108-28"</f>
        <v>Serv.Prest. 20/10/2025 a 26/10/2025 - PIX: CPF - CHAVE: 396.124.108-28</v>
      </c>
      <c r="I7655" t="str">
        <f t="shared" si="1404"/>
        <v>30/10/2025</v>
      </c>
      <c r="J7655" t="str">
        <f>("27/10/2025")</f>
        <v>27/10/2025</v>
      </c>
      <c r="K7655" t="str">
        <f>("26/10/2025")</f>
        <v>26/10/2025</v>
      </c>
      <c r="L7655">
        <v>140</v>
      </c>
      <c r="M7655">
        <v>140</v>
      </c>
      <c r="N7655">
        <v>109</v>
      </c>
      <c r="O7655" t="str">
        <f>"PAGAMENTO DE ENTREGADORES"</f>
        <v>PAGAMENTO DE ENTREGADORES</v>
      </c>
      <c r="P7655">
        <v>140</v>
      </c>
      <c r="S7655" t="str">
        <f>"BANCO CORA (102)"</f>
        <v>BANCO CORA (102)</v>
      </c>
      <c r="T7655">
        <v>20277</v>
      </c>
      <c r="U7655">
        <v>24445</v>
      </c>
      <c r="V7655" t="s">
        <v>22</v>
      </c>
    </row>
    <row r="7656" spans="1:22">
      <c r="A7656" t="str">
        <f>("26/10/2025")</f>
        <v>26/10/2025</v>
      </c>
      <c r="B7656" t="str">
        <f t="shared" si="1402"/>
        <v>SAÍDA</v>
      </c>
      <c r="C7656" t="str">
        <f t="shared" si="1403"/>
        <v>PIX</v>
      </c>
      <c r="D7656" t="str">
        <f>"24412"</f>
        <v>24412</v>
      </c>
      <c r="E7656" t="str">
        <f t="shared" si="1400"/>
        <v>1</v>
      </c>
      <c r="F7656" t="str">
        <f t="shared" si="1401"/>
        <v>COM</v>
      </c>
      <c r="G7656" t="str">
        <f>"SAMUEL SOARES DA SILVA (867)"</f>
        <v>SAMUEL SOARES DA SILVA (867)</v>
      </c>
      <c r="H7656" t="s">
        <v>2137</v>
      </c>
      <c r="I7656" t="str">
        <f t="shared" si="1404"/>
        <v>30/10/2025</v>
      </c>
      <c r="J7656" t="str">
        <f>("27/10/2025")</f>
        <v>27/10/2025</v>
      </c>
      <c r="K7656">
        <v>45956</v>
      </c>
      <c r="N7656">
        <v>109</v>
      </c>
      <c r="O7656" t="s">
        <v>24</v>
      </c>
      <c r="Q7656">
        <v>140</v>
      </c>
      <c r="R7656" t="str">
        <f>"DROGA ELIDA (10121)"</f>
        <v>DROGA ELIDA (10121)</v>
      </c>
      <c r="S7656" t="s">
        <v>22</v>
      </c>
      <c r="T7656">
        <v>20277</v>
      </c>
      <c r="U7656">
        <v>24445</v>
      </c>
      <c r="V7656" t="s">
        <v>22</v>
      </c>
    </row>
    <row r="7657" spans="1:22">
      <c r="A7657" t="str">
        <f>("26/10/2025")</f>
        <v>26/10/2025</v>
      </c>
      <c r="B7657" t="str">
        <f t="shared" si="1402"/>
        <v>SAÍDA</v>
      </c>
      <c r="C7657" t="str">
        <f t="shared" si="1403"/>
        <v>PIX</v>
      </c>
      <c r="D7657" t="str">
        <f>"24370"</f>
        <v>24370</v>
      </c>
      <c r="E7657" t="str">
        <f t="shared" si="1400"/>
        <v>1</v>
      </c>
      <c r="F7657" t="str">
        <f t="shared" si="1401"/>
        <v>COM</v>
      </c>
      <c r="G7657" t="str">
        <f>"VINICIUS GABRIEL SILVA COSTA (1036)"</f>
        <v>VINICIUS GABRIEL SILVA COSTA (1036)</v>
      </c>
      <c r="H7657" t="str">
        <f>"Serv.Prest. 20/10/2025 a 26/10/2025 - PIX: CPF - CHAVE: 481.220.058-02"</f>
        <v>Serv.Prest. 20/10/2025 a 26/10/2025 - PIX: CPF - CHAVE: 481.220.058-02</v>
      </c>
      <c r="I7657" t="str">
        <f t="shared" si="1404"/>
        <v>30/10/2025</v>
      </c>
      <c r="J7657" t="str">
        <f>("27/10/2025")</f>
        <v>27/10/2025</v>
      </c>
      <c r="K7657" t="str">
        <f>("26/10/2025")</f>
        <v>26/10/2025</v>
      </c>
      <c r="L7657">
        <v>190</v>
      </c>
      <c r="M7657">
        <v>190</v>
      </c>
      <c r="N7657">
        <v>134</v>
      </c>
      <c r="O7657" t="str">
        <f>"DIARIA DE MOTOBOY"</f>
        <v>DIARIA DE MOTOBOY</v>
      </c>
      <c r="P7657">
        <v>190</v>
      </c>
      <c r="S7657" t="str">
        <f>"BANCO CORA (102)"</f>
        <v>BANCO CORA (102)</v>
      </c>
      <c r="T7657">
        <v>20278</v>
      </c>
      <c r="U7657">
        <v>24370</v>
      </c>
      <c r="V7657" t="s">
        <v>22</v>
      </c>
    </row>
    <row r="7658" spans="1:22">
      <c r="A7658" t="str">
        <f>("26/10/2025")</f>
        <v>26/10/2025</v>
      </c>
      <c r="B7658" t="str">
        <f t="shared" si="1402"/>
        <v>SAÍDA</v>
      </c>
      <c r="C7658" t="str">
        <f t="shared" si="1403"/>
        <v>PIX</v>
      </c>
      <c r="D7658" t="str">
        <f>"24370"</f>
        <v>24370</v>
      </c>
      <c r="E7658" t="str">
        <f t="shared" si="1400"/>
        <v>1</v>
      </c>
      <c r="F7658" t="str">
        <f t="shared" si="1401"/>
        <v>COM</v>
      </c>
      <c r="G7658" t="str">
        <f>"VINICIUS GABRIEL SILVA COSTA (1036)"</f>
        <v>VINICIUS GABRIEL SILVA COSTA (1036)</v>
      </c>
      <c r="H7658" t="s">
        <v>2138</v>
      </c>
      <c r="I7658" t="str">
        <f t="shared" si="1404"/>
        <v>30/10/2025</v>
      </c>
      <c r="J7658" t="str">
        <f>("27/10/2025")</f>
        <v>27/10/2025</v>
      </c>
      <c r="K7658">
        <v>45956</v>
      </c>
      <c r="N7658">
        <v>134</v>
      </c>
      <c r="O7658" t="s">
        <v>41</v>
      </c>
      <c r="Q7658">
        <v>190</v>
      </c>
      <c r="R7658" t="str">
        <f>"PENSE FARMA 01 (10215)"</f>
        <v>PENSE FARMA 01 (10215)</v>
      </c>
      <c r="S7658" t="s">
        <v>22</v>
      </c>
      <c r="T7658">
        <v>20278</v>
      </c>
      <c r="U7658">
        <v>24370</v>
      </c>
      <c r="V7658" t="s">
        <v>22</v>
      </c>
    </row>
    <row r="7659" spans="1:22">
      <c r="A7659" t="str">
        <f t="shared" ref="A7659:A7670" si="1405">("27/10/2025")</f>
        <v>27/10/2025</v>
      </c>
      <c r="B7659" t="str">
        <f t="shared" si="1402"/>
        <v>SAÍDA</v>
      </c>
      <c r="C7659" t="str">
        <f t="shared" si="1403"/>
        <v>PIX</v>
      </c>
      <c r="D7659" t="str">
        <f>"24113"</f>
        <v>24113</v>
      </c>
      <c r="E7659" t="str">
        <f t="shared" si="1400"/>
        <v>1</v>
      </c>
      <c r="F7659" t="str">
        <f t="shared" si="1401"/>
        <v>COM</v>
      </c>
      <c r="G7659" t="str">
        <f t="shared" ref="G7659:G7664" si="1406">"JOAO ALEXANDRE DE SOUZA ARAUJO (698)"</f>
        <v>JOAO ALEXANDRE DE SOUZA ARAUJO (698)</v>
      </c>
      <c r="H7659" t="str">
        <f>"Serv.Prest. 20/10/2025 a 24/10/2025 - PIX: CPF - CHAVE: 174.029.607-90"</f>
        <v>Serv.Prest. 20/10/2025 a 24/10/2025 - PIX: CPF - CHAVE: 174.029.607-90</v>
      </c>
      <c r="I7659" t="str">
        <f>("31/10/2025")</f>
        <v>31/10/2025</v>
      </c>
      <c r="J7659" t="str">
        <f>("21/10/2025")</f>
        <v>21/10/2025</v>
      </c>
      <c r="K7659" t="str">
        <f>("27/10/2025")</f>
        <v>27/10/2025</v>
      </c>
      <c r="L7659">
        <v>720</v>
      </c>
      <c r="M7659">
        <v>720</v>
      </c>
      <c r="N7659">
        <v>109</v>
      </c>
      <c r="O7659" t="str">
        <f>"PAGAMENTO DE ENTREGADORES"</f>
        <v>PAGAMENTO DE ENTREGADORES</v>
      </c>
      <c r="P7659">
        <v>720</v>
      </c>
      <c r="S7659" t="str">
        <f>"BANCO CORA (102)"</f>
        <v>BANCO CORA (102)</v>
      </c>
      <c r="T7659">
        <v>20143</v>
      </c>
      <c r="U7659">
        <v>24113</v>
      </c>
      <c r="V7659" t="s">
        <v>22</v>
      </c>
    </row>
    <row r="7660" spans="1:22">
      <c r="A7660" t="str">
        <f t="shared" si="1405"/>
        <v>27/10/2025</v>
      </c>
      <c r="B7660" t="str">
        <f t="shared" si="1402"/>
        <v>SAÍDA</v>
      </c>
      <c r="C7660" t="str">
        <f t="shared" si="1403"/>
        <v>PIX</v>
      </c>
      <c r="D7660" t="str">
        <f>"24113"</f>
        <v>24113</v>
      </c>
      <c r="E7660" t="str">
        <f t="shared" si="1400"/>
        <v>1</v>
      </c>
      <c r="F7660" t="str">
        <f t="shared" si="1401"/>
        <v>COM</v>
      </c>
      <c r="G7660" t="str">
        <f t="shared" si="1406"/>
        <v>JOAO ALEXANDRE DE SOUZA ARAUJO (698)</v>
      </c>
      <c r="H7660" t="s">
        <v>2139</v>
      </c>
      <c r="I7660" t="str">
        <f>("31/10/2025")</f>
        <v>31/10/2025</v>
      </c>
      <c r="J7660" t="str">
        <f>("21/10/2025")</f>
        <v>21/10/2025</v>
      </c>
      <c r="K7660">
        <v>45957</v>
      </c>
      <c r="N7660">
        <v>109</v>
      </c>
      <c r="O7660" t="s">
        <v>24</v>
      </c>
      <c r="Q7660">
        <v>720</v>
      </c>
      <c r="R7660" t="str">
        <f>"FARMÁCIA INDIANA LJ 188 (10176)"</f>
        <v>FARMÁCIA INDIANA LJ 188 (10176)</v>
      </c>
      <c r="S7660" t="s">
        <v>22</v>
      </c>
      <c r="T7660">
        <v>20143</v>
      </c>
      <c r="U7660">
        <v>24113</v>
      </c>
      <c r="V7660" t="s">
        <v>22</v>
      </c>
    </row>
    <row r="7661" spans="1:22">
      <c r="A7661" t="str">
        <f t="shared" si="1405"/>
        <v>27/10/2025</v>
      </c>
      <c r="B7661" t="str">
        <f t="shared" si="1402"/>
        <v>SAÍDA</v>
      </c>
      <c r="C7661" t="str">
        <f t="shared" si="1403"/>
        <v>PIX</v>
      </c>
      <c r="D7661" t="str">
        <f>"24316"</f>
        <v>24316</v>
      </c>
      <c r="E7661" t="str">
        <f t="shared" si="1400"/>
        <v>1</v>
      </c>
      <c r="F7661" t="str">
        <f t="shared" si="1401"/>
        <v>COM</v>
      </c>
      <c r="G7661" t="str">
        <f t="shared" si="1406"/>
        <v>JOAO ALEXANDRE DE SOUZA ARAUJO (698)</v>
      </c>
      <c r="H7661" t="str">
        <f>"Serv.Prest. 20/10/2025 a 24/10/2025 - PIX: CPF - CHAVE: 174.029.607-90"</f>
        <v>Serv.Prest. 20/10/2025 a 24/10/2025 - PIX: CPF - CHAVE: 174.029.607-90</v>
      </c>
      <c r="I7661" t="str">
        <f>("06/11/2025")</f>
        <v>06/11/2025</v>
      </c>
      <c r="J7661" t="str">
        <f>("24/10/2025")</f>
        <v>24/10/2025</v>
      </c>
      <c r="K7661" t="str">
        <f>("27/10/2025")</f>
        <v>27/10/2025</v>
      </c>
      <c r="L7661">
        <v>720</v>
      </c>
      <c r="M7661">
        <v>720</v>
      </c>
      <c r="N7661">
        <v>109</v>
      </c>
      <c r="O7661" t="str">
        <f>"PAGAMENTO DE ENTREGADORES"</f>
        <v>PAGAMENTO DE ENTREGADORES</v>
      </c>
      <c r="S7661" t="str">
        <f>"BANCO CORA (102)"</f>
        <v>BANCO CORA (102)</v>
      </c>
      <c r="T7661">
        <v>20143</v>
      </c>
      <c r="U7661">
        <v>24316</v>
      </c>
      <c r="V7661" t="s">
        <v>22</v>
      </c>
    </row>
    <row r="7662" spans="1:22">
      <c r="A7662" t="str">
        <f t="shared" si="1405"/>
        <v>27/10/2025</v>
      </c>
      <c r="B7662" t="str">
        <f t="shared" si="1402"/>
        <v>SAÍDA</v>
      </c>
      <c r="C7662" t="str">
        <f t="shared" si="1403"/>
        <v>PIX</v>
      </c>
      <c r="D7662" t="str">
        <f>"24316"</f>
        <v>24316</v>
      </c>
      <c r="E7662" t="str">
        <f t="shared" si="1400"/>
        <v>1</v>
      </c>
      <c r="F7662" t="str">
        <f t="shared" si="1401"/>
        <v>COM</v>
      </c>
      <c r="G7662" t="str">
        <f t="shared" si="1406"/>
        <v>JOAO ALEXANDRE DE SOUZA ARAUJO (698)</v>
      </c>
      <c r="H7662" t="s">
        <v>2139</v>
      </c>
      <c r="I7662" t="str">
        <f>("06/11/2025")</f>
        <v>06/11/2025</v>
      </c>
      <c r="J7662" t="str">
        <f>("24/10/2025")</f>
        <v>24/10/2025</v>
      </c>
      <c r="K7662">
        <v>45957</v>
      </c>
      <c r="N7662">
        <v>109</v>
      </c>
      <c r="O7662" t="s">
        <v>24</v>
      </c>
      <c r="Q7662">
        <v>720</v>
      </c>
      <c r="R7662" t="str">
        <f>"FARMÁCIA INDIANA LJ 188 (10176)"</f>
        <v>FARMÁCIA INDIANA LJ 188 (10176)</v>
      </c>
      <c r="S7662" t="s">
        <v>22</v>
      </c>
      <c r="T7662">
        <v>20143</v>
      </c>
      <c r="U7662">
        <v>24316</v>
      </c>
      <c r="V7662" t="s">
        <v>22</v>
      </c>
    </row>
    <row r="7663" spans="1:22">
      <c r="A7663" t="str">
        <f t="shared" si="1405"/>
        <v>27/10/2025</v>
      </c>
      <c r="B7663" t="str">
        <f t="shared" si="1402"/>
        <v>SAÍDA</v>
      </c>
      <c r="C7663" t="str">
        <f t="shared" si="1403"/>
        <v>PIX</v>
      </c>
      <c r="D7663" t="str">
        <f>"24113"</f>
        <v>24113</v>
      </c>
      <c r="E7663" t="str">
        <f t="shared" si="1400"/>
        <v>1</v>
      </c>
      <c r="F7663" t="str">
        <f t="shared" si="1401"/>
        <v>COM</v>
      </c>
      <c r="G7663" t="str">
        <f t="shared" si="1406"/>
        <v>JOAO ALEXANDRE DE SOUZA ARAUJO (698)</v>
      </c>
      <c r="H7663" t="str">
        <f>"Serv.Prest. 13/10/2025 a 19/10/2025 - PIX: CPF - CHAVE: 174.029.607-90"</f>
        <v>Serv.Prest. 13/10/2025 a 19/10/2025 - PIX: CPF - CHAVE: 174.029.607-90</v>
      </c>
      <c r="I7663" t="str">
        <f>("31/10/2025")</f>
        <v>31/10/2025</v>
      </c>
      <c r="J7663" t="str">
        <f>("21/10/2025")</f>
        <v>21/10/2025</v>
      </c>
      <c r="K7663" t="str">
        <f>("27/10/2025")</f>
        <v>27/10/2025</v>
      </c>
      <c r="L7663">
        <v>720</v>
      </c>
      <c r="M7663">
        <v>720</v>
      </c>
      <c r="N7663">
        <v>134</v>
      </c>
      <c r="O7663" t="str">
        <f>"DIARIA DE MOTOBOY"</f>
        <v>DIARIA DE MOTOBOY</v>
      </c>
      <c r="S7663" t="str">
        <f>"BANCO CORA (102)"</f>
        <v>BANCO CORA (102)</v>
      </c>
      <c r="T7663">
        <v>20143</v>
      </c>
      <c r="U7663">
        <v>24113</v>
      </c>
      <c r="V7663" t="s">
        <v>22</v>
      </c>
    </row>
    <row r="7664" spans="1:22">
      <c r="A7664" t="str">
        <f t="shared" si="1405"/>
        <v>27/10/2025</v>
      </c>
      <c r="B7664" t="str">
        <f t="shared" si="1402"/>
        <v>SAÍDA</v>
      </c>
      <c r="C7664" t="str">
        <f t="shared" si="1403"/>
        <v>PIX</v>
      </c>
      <c r="D7664" t="str">
        <f>"24113"</f>
        <v>24113</v>
      </c>
      <c r="E7664" t="str">
        <f t="shared" si="1400"/>
        <v>1</v>
      </c>
      <c r="F7664" t="str">
        <f t="shared" si="1401"/>
        <v>COM</v>
      </c>
      <c r="G7664" t="str">
        <f t="shared" si="1406"/>
        <v>JOAO ALEXANDRE DE SOUZA ARAUJO (698)</v>
      </c>
      <c r="H7664" t="s">
        <v>2140</v>
      </c>
      <c r="I7664" t="str">
        <f>("31/10/2025")</f>
        <v>31/10/2025</v>
      </c>
      <c r="J7664" t="str">
        <f>("21/10/2025")</f>
        <v>21/10/2025</v>
      </c>
      <c r="K7664">
        <v>45957</v>
      </c>
      <c r="N7664">
        <v>134</v>
      </c>
      <c r="O7664" t="s">
        <v>41</v>
      </c>
      <c r="Q7664">
        <v>720</v>
      </c>
      <c r="R7664" t="str">
        <f>"FARMÁCIA INDIANA LJ 188 (10176)"</f>
        <v>FARMÁCIA INDIANA LJ 188 (10176)</v>
      </c>
      <c r="S7664" t="s">
        <v>22</v>
      </c>
      <c r="T7664">
        <v>20143</v>
      </c>
      <c r="U7664">
        <v>24113</v>
      </c>
      <c r="V7664" t="s">
        <v>22</v>
      </c>
    </row>
    <row r="7665" spans="1:22">
      <c r="A7665" t="str">
        <f t="shared" si="1405"/>
        <v>27/10/2025</v>
      </c>
      <c r="B7665" t="str">
        <f t="shared" si="1402"/>
        <v>SAÍDA</v>
      </c>
      <c r="C7665" t="str">
        <f t="shared" si="1403"/>
        <v>PIX</v>
      </c>
      <c r="D7665" t="str">
        <f>"24395"</f>
        <v>24395</v>
      </c>
      <c r="E7665" t="str">
        <f t="shared" si="1400"/>
        <v>1</v>
      </c>
      <c r="F7665" t="str">
        <f t="shared" si="1401"/>
        <v>COM</v>
      </c>
      <c r="G7665" t="str">
        <f>"IVO SIMÃO FILHO (988)"</f>
        <v>IVO SIMÃO FILHO (988)</v>
      </c>
      <c r="H7665" t="str">
        <f>"Serv.Prest. 20/10/2025 a 26/10/2025 - PIX: CPF - CHAVE: 290.093.188-69"</f>
        <v>Serv.Prest. 20/10/2025 a 26/10/2025 - PIX: CPF - CHAVE: 290.093.188-69</v>
      </c>
      <c r="I7665" t="str">
        <f>("30/10/2025")</f>
        <v>30/10/2025</v>
      </c>
      <c r="J7665" t="str">
        <f>("27/10/2025")</f>
        <v>27/10/2025</v>
      </c>
      <c r="K7665" t="str">
        <f>("27/10/2025")</f>
        <v>27/10/2025</v>
      </c>
      <c r="L7665">
        <v>170</v>
      </c>
      <c r="M7665">
        <v>170</v>
      </c>
      <c r="N7665">
        <v>134</v>
      </c>
      <c r="O7665" t="str">
        <f>"DIARIA DE MOTOBOY"</f>
        <v>DIARIA DE MOTOBOY</v>
      </c>
      <c r="P7665">
        <v>170</v>
      </c>
      <c r="S7665" t="str">
        <f>"BANCO CORA (102)"</f>
        <v>BANCO CORA (102)</v>
      </c>
      <c r="T7665">
        <v>20342</v>
      </c>
      <c r="U7665">
        <v>24510</v>
      </c>
      <c r="V7665" t="s">
        <v>22</v>
      </c>
    </row>
    <row r="7666" spans="1:22">
      <c r="A7666" t="str">
        <f t="shared" si="1405"/>
        <v>27/10/2025</v>
      </c>
      <c r="B7666" t="str">
        <f t="shared" si="1402"/>
        <v>SAÍDA</v>
      </c>
      <c r="C7666" t="str">
        <f t="shared" si="1403"/>
        <v>PIX</v>
      </c>
      <c r="D7666" t="str">
        <f>"24395"</f>
        <v>24395</v>
      </c>
      <c r="E7666" t="str">
        <f t="shared" si="1400"/>
        <v>1</v>
      </c>
      <c r="F7666" t="str">
        <f t="shared" si="1401"/>
        <v>COM</v>
      </c>
      <c r="G7666" t="str">
        <f>"IVO SIMÃO FILHO (988)"</f>
        <v>IVO SIMÃO FILHO (988)</v>
      </c>
      <c r="H7666" t="s">
        <v>2130</v>
      </c>
      <c r="I7666" t="str">
        <f>("30/10/2025")</f>
        <v>30/10/2025</v>
      </c>
      <c r="J7666" t="str">
        <f>("27/10/2025")</f>
        <v>27/10/2025</v>
      </c>
      <c r="K7666">
        <v>45957</v>
      </c>
      <c r="N7666">
        <v>134</v>
      </c>
      <c r="O7666" t="s">
        <v>41</v>
      </c>
      <c r="Q7666">
        <v>170</v>
      </c>
      <c r="R7666" t="str">
        <f>"PENSE FARMA 22 (10198)"</f>
        <v>PENSE FARMA 22 (10198)</v>
      </c>
      <c r="S7666" t="s">
        <v>22</v>
      </c>
      <c r="T7666">
        <v>20342</v>
      </c>
      <c r="U7666">
        <v>24510</v>
      </c>
      <c r="V7666" t="s">
        <v>22</v>
      </c>
    </row>
    <row r="7667" spans="1:22">
      <c r="A7667" t="str">
        <f t="shared" si="1405"/>
        <v>27/10/2025</v>
      </c>
      <c r="B7667" t="str">
        <f>"ENTRADA"</f>
        <v>ENTRADA</v>
      </c>
      <c r="C7667" t="str">
        <f>"NFSE"</f>
        <v>NFSE</v>
      </c>
      <c r="D7667" t="str">
        <f>"3515"</f>
        <v>3515</v>
      </c>
      <c r="E7667" t="str">
        <f t="shared" si="1400"/>
        <v>1</v>
      </c>
      <c r="F7667" t="str">
        <f t="shared" si="1401"/>
        <v>COM</v>
      </c>
      <c r="G7667" t="str">
        <f>"PENSE FARMA 19 (10223)"</f>
        <v>PENSE FARMA 19 (10223)</v>
      </c>
      <c r="H7667" t="str">
        <f>"Serv.Prest. 13/10/2025 a 19/10/2025 - RPS: 1389 - NFSe: 3515"</f>
        <v>Serv.Prest. 13/10/2025 a 19/10/2025 - RPS: 1389 - NFSe: 3515</v>
      </c>
      <c r="I7667" t="str">
        <f>("22/10/2025")</f>
        <v>22/10/2025</v>
      </c>
      <c r="J7667" t="str">
        <f>("20/10/2025")</f>
        <v>20/10/2025</v>
      </c>
      <c r="K7667" t="str">
        <f>("27/10/2025")</f>
        <v>27/10/2025</v>
      </c>
      <c r="L7667">
        <v>2621.81</v>
      </c>
      <c r="M7667">
        <v>2621.81</v>
      </c>
      <c r="N7667">
        <v>303</v>
      </c>
      <c r="O7667" t="str">
        <f>"RECEITAS COM ENTREGAS"</f>
        <v>RECEITAS COM ENTREGAS</v>
      </c>
      <c r="P7667">
        <v>2621.81</v>
      </c>
      <c r="S7667" t="str">
        <f>"RECEITAS COM ENTREGAS (303)"</f>
        <v>RECEITAS COM ENTREGAS (303)</v>
      </c>
      <c r="T7667">
        <v>20355</v>
      </c>
      <c r="U7667">
        <v>23866</v>
      </c>
      <c r="V7667" t="s">
        <v>22</v>
      </c>
    </row>
    <row r="7668" spans="1:22">
      <c r="A7668" t="str">
        <f t="shared" si="1405"/>
        <v>27/10/2025</v>
      </c>
      <c r="B7668" t="str">
        <f>"ENTRADA"</f>
        <v>ENTRADA</v>
      </c>
      <c r="C7668" t="str">
        <f>"NFSE"</f>
        <v>NFSE</v>
      </c>
      <c r="D7668" t="str">
        <f>"3515"</f>
        <v>3515</v>
      </c>
      <c r="E7668" t="str">
        <f t="shared" si="1400"/>
        <v>1</v>
      </c>
      <c r="F7668" t="str">
        <f t="shared" si="1401"/>
        <v>COM</v>
      </c>
      <c r="G7668" t="str">
        <f>"PENSE FARMA 19 (10223)"</f>
        <v>PENSE FARMA 19 (10223)</v>
      </c>
      <c r="H7668" t="s">
        <v>2141</v>
      </c>
      <c r="I7668" t="str">
        <f>("22/10/2025")</f>
        <v>22/10/2025</v>
      </c>
      <c r="J7668" t="str">
        <f>("20/10/2025")</f>
        <v>20/10/2025</v>
      </c>
      <c r="K7668">
        <v>45957</v>
      </c>
      <c r="N7668">
        <v>303</v>
      </c>
      <c r="O7668" t="s">
        <v>69</v>
      </c>
      <c r="Q7668">
        <v>2621.81</v>
      </c>
      <c r="R7668" t="str">
        <f>"PENSE FARMA 19 (10223)"</f>
        <v>PENSE FARMA 19 (10223)</v>
      </c>
      <c r="S7668" t="s">
        <v>70</v>
      </c>
      <c r="T7668">
        <v>20355</v>
      </c>
      <c r="U7668">
        <v>23866</v>
      </c>
      <c r="V7668" t="s">
        <v>22</v>
      </c>
    </row>
    <row r="7669" spans="1:22">
      <c r="A7669" t="str">
        <f t="shared" si="1405"/>
        <v>27/10/2025</v>
      </c>
      <c r="B7669" t="str">
        <f>"SAÍDA"</f>
        <v>SAÍDA</v>
      </c>
      <c r="C7669" t="str">
        <f>"PIX"</f>
        <v>PIX</v>
      </c>
      <c r="D7669" t="str">
        <f>"26012025"</f>
        <v>26012025</v>
      </c>
      <c r="E7669" t="str">
        <f>"34"</f>
        <v>34</v>
      </c>
      <c r="F7669" t="str">
        <f t="shared" si="1401"/>
        <v>COM</v>
      </c>
      <c r="G7669" t="str">
        <f>"SARAH RODRIGUES DE JESUS CAETANO (20043)"</f>
        <v>SARAH RODRIGUES DE JESUS CAETANO (20043)</v>
      </c>
      <c r="H7669" t="str">
        <f>"ASSESSORIA JURIDICA"</f>
        <v>ASSESSORIA JURIDICA</v>
      </c>
      <c r="I7669" t="str">
        <f>("26/10/2025")</f>
        <v>26/10/2025</v>
      </c>
      <c r="J7669" t="str">
        <f>("01/01/2025")</f>
        <v>01/01/2025</v>
      </c>
      <c r="K7669" t="str">
        <f>("27/10/2025")</f>
        <v>27/10/2025</v>
      </c>
      <c r="L7669">
        <v>3000</v>
      </c>
      <c r="M7669">
        <v>3000</v>
      </c>
      <c r="N7669">
        <v>122</v>
      </c>
      <c r="O7669" t="str">
        <f>"HONORARIOS ADVOCATICIOS"</f>
        <v>HONORARIOS ADVOCATICIOS</v>
      </c>
      <c r="P7669">
        <v>3000</v>
      </c>
      <c r="S7669" t="str">
        <f>"BANCO CORA (102)"</f>
        <v>BANCO CORA (102)</v>
      </c>
      <c r="T7669">
        <v>20387</v>
      </c>
      <c r="U7669">
        <v>8314</v>
      </c>
      <c r="V7669" t="s">
        <v>22</v>
      </c>
    </row>
    <row r="7670" spans="1:22">
      <c r="A7670" t="str">
        <f t="shared" si="1405"/>
        <v>27/10/2025</v>
      </c>
      <c r="B7670" t="str">
        <f>"SAÍDA"</f>
        <v>SAÍDA</v>
      </c>
      <c r="C7670" t="str">
        <f>"PIX"</f>
        <v>PIX</v>
      </c>
      <c r="D7670" t="str">
        <f>"26012025"</f>
        <v>26012025</v>
      </c>
      <c r="E7670" t="str">
        <f>"34"</f>
        <v>34</v>
      </c>
      <c r="F7670" t="str">
        <f t="shared" si="1401"/>
        <v>COM</v>
      </c>
      <c r="G7670" t="str">
        <f>"SARAH RODRIGUES DE JESUS CAETANO (20043)"</f>
        <v>SARAH RODRIGUES DE JESUS CAETANO (20043)</v>
      </c>
      <c r="H7670" t="s">
        <v>2142</v>
      </c>
      <c r="I7670" t="str">
        <f>("26/10/2025")</f>
        <v>26/10/2025</v>
      </c>
      <c r="J7670" t="str">
        <f>("01/01/2025")</f>
        <v>01/01/2025</v>
      </c>
      <c r="K7670">
        <v>45957</v>
      </c>
      <c r="N7670">
        <v>122</v>
      </c>
      <c r="O7670" t="s">
        <v>857</v>
      </c>
      <c r="Q7670">
        <v>3000</v>
      </c>
      <c r="R7670" t="str">
        <f>"SARAH RODRIGUES DE JESUS CAETANO (20043)"</f>
        <v>SARAH RODRIGUES DE JESUS CAETANO (20043)</v>
      </c>
      <c r="S7670" t="s">
        <v>22</v>
      </c>
      <c r="T7670">
        <v>20387</v>
      </c>
      <c r="U7670">
        <v>8314</v>
      </c>
      <c r="V7670" t="s">
        <v>22</v>
      </c>
    </row>
    <row r="7671" spans="1:22">
      <c r="A7671" t="str">
        <f t="shared" ref="A7671:A7702" si="1407">("28/10/2025")</f>
        <v>28/10/2025</v>
      </c>
      <c r="B7671" t="str">
        <f>"SAÍDA"</f>
        <v>SAÍDA</v>
      </c>
      <c r="C7671" t="str">
        <f>"TRANSFERENCIA"</f>
        <v>TRANSFERENCIA</v>
      </c>
      <c r="D7671" t="str">
        <f>""</f>
        <v/>
      </c>
      <c r="F7671" t="str">
        <f>"TRF"</f>
        <v>TRF</v>
      </c>
      <c r="G7671" t="str">
        <f>""</f>
        <v/>
      </c>
      <c r="H7671" t="str">
        <f>"TRANSFERENCIA ENTRE CONTAS (102-&gt;143)"</f>
        <v>TRANSFERENCIA ENTRE CONTAS (102-&gt;143)</v>
      </c>
      <c r="I7671" t="str">
        <f t="shared" ref="I7671:K7672" si="1408">("28/10/2025")</f>
        <v>28/10/2025</v>
      </c>
      <c r="J7671" t="str">
        <f t="shared" si="1408"/>
        <v>28/10/2025</v>
      </c>
      <c r="K7671" t="str">
        <f t="shared" si="1408"/>
        <v>28/10/2025</v>
      </c>
      <c r="N7671">
        <v>102</v>
      </c>
      <c r="O7671" t="str">
        <f>"BANCO CORA"</f>
        <v>BANCO CORA</v>
      </c>
      <c r="P7671">
        <v>100</v>
      </c>
      <c r="S7671" t="str">
        <f>"BANCO CORA (102)"</f>
        <v>BANCO CORA (102)</v>
      </c>
      <c r="T7671">
        <v>20276</v>
      </c>
      <c r="U7671">
        <v>0</v>
      </c>
      <c r="V7671" t="s">
        <v>22</v>
      </c>
    </row>
    <row r="7672" spans="1:22">
      <c r="A7672" t="str">
        <f t="shared" si="1407"/>
        <v>28/10/2025</v>
      </c>
      <c r="B7672" t="str">
        <f>"ENTRADA"</f>
        <v>ENTRADA</v>
      </c>
      <c r="C7672" t="str">
        <f>"TRANSFERENCIA"</f>
        <v>TRANSFERENCIA</v>
      </c>
      <c r="D7672" t="str">
        <f>""</f>
        <v/>
      </c>
      <c r="F7672" t="str">
        <f>"TRF"</f>
        <v>TRF</v>
      </c>
      <c r="G7672" t="str">
        <f>""</f>
        <v/>
      </c>
      <c r="H7672" t="str">
        <f>"TRANSFERENCIA ENTRE CONTAS (102-&gt;143)"</f>
        <v>TRANSFERENCIA ENTRE CONTAS (102-&gt;143)</v>
      </c>
      <c r="I7672" t="str">
        <f t="shared" si="1408"/>
        <v>28/10/2025</v>
      </c>
      <c r="J7672" t="str">
        <f t="shared" si="1408"/>
        <v>28/10/2025</v>
      </c>
      <c r="K7672" t="str">
        <f t="shared" si="1408"/>
        <v>28/10/2025</v>
      </c>
      <c r="N7672">
        <v>143</v>
      </c>
      <c r="O7672" t="str">
        <f>"BANCO SICREDI"</f>
        <v>BANCO SICREDI</v>
      </c>
      <c r="S7672" t="str">
        <f>"BANCO SICREDI (143)"</f>
        <v>BANCO SICREDI (143)</v>
      </c>
      <c r="T7672">
        <v>20276</v>
      </c>
      <c r="U7672">
        <v>0</v>
      </c>
      <c r="V7672" t="s">
        <v>2143</v>
      </c>
    </row>
    <row r="7673" spans="1:22">
      <c r="A7673" t="str">
        <f t="shared" si="1407"/>
        <v>28/10/2025</v>
      </c>
      <c r="B7673" t="str">
        <f t="shared" ref="B7673:B7715" si="1409">"SAÍDA"</f>
        <v>SAÍDA</v>
      </c>
      <c r="C7673" t="str">
        <f t="shared" ref="C7673:C7715" si="1410">"PIX"</f>
        <v>PIX</v>
      </c>
      <c r="D7673" t="str">
        <f>"2810"</f>
        <v>2810</v>
      </c>
      <c r="E7673" t="str">
        <f>"25"</f>
        <v>25</v>
      </c>
      <c r="F7673" t="str">
        <f t="shared" ref="F7673:F7736" si="1411">"COM"</f>
        <v>COM</v>
      </c>
      <c r="G7673" t="str">
        <f>"MICHELLE RIBEIRO DA SILVA (1012)"</f>
        <v>MICHELLE RIBEIRO DA SILVA (1012)</v>
      </c>
      <c r="H7673" t="str">
        <f>"DIARIAS DROGALIDER UBERABA - PIX: CPF - CHAVE: 115.519.146-38"</f>
        <v>DIARIAS DROGALIDER UBERABA - PIX: CPF - CHAVE: 115.519.146-38</v>
      </c>
      <c r="I7673" t="str">
        <f>("28/10/2025")</f>
        <v>28/10/2025</v>
      </c>
      <c r="J7673" t="str">
        <f>("26/10/2025")</f>
        <v>26/10/2025</v>
      </c>
      <c r="K7673" t="str">
        <f>("28/10/2025")</f>
        <v>28/10/2025</v>
      </c>
      <c r="L7673">
        <v>230</v>
      </c>
      <c r="M7673">
        <v>230</v>
      </c>
      <c r="N7673">
        <v>134</v>
      </c>
      <c r="O7673" t="str">
        <f>"DIARIA DE MOTOBOY"</f>
        <v>DIARIA DE MOTOBOY</v>
      </c>
      <c r="P7673">
        <v>230</v>
      </c>
      <c r="S7673" t="str">
        <f>"BANCO CORA (102)"</f>
        <v>BANCO CORA (102)</v>
      </c>
      <c r="T7673">
        <v>20346</v>
      </c>
      <c r="U7673">
        <v>24451</v>
      </c>
      <c r="V7673" t="s">
        <v>22</v>
      </c>
    </row>
    <row r="7674" spans="1:22">
      <c r="A7674" t="str">
        <f t="shared" si="1407"/>
        <v>28/10/2025</v>
      </c>
      <c r="B7674" t="str">
        <f t="shared" si="1409"/>
        <v>SAÍDA</v>
      </c>
      <c r="C7674" t="str">
        <f t="shared" si="1410"/>
        <v>PIX</v>
      </c>
      <c r="D7674" t="str">
        <f>"24519"</f>
        <v>24519</v>
      </c>
      <c r="E7674" t="str">
        <f t="shared" ref="E7674:E7692" si="1412">"1"</f>
        <v>1</v>
      </c>
      <c r="F7674" t="str">
        <f t="shared" si="1411"/>
        <v>COM</v>
      </c>
      <c r="G7674" t="str">
        <f t="shared" ref="G7674:G7681" si="1413">"GUSTAVO BENÍCIO DOS SANTOS (1032)"</f>
        <v>GUSTAVO BENÍCIO DOS SANTOS (1032)</v>
      </c>
      <c r="H7674" t="str">
        <f>"Serv.Prest. 20/10/2025 a 26/10/2025 - PIX: CPF - CHAVE: 034.055.155-05"</f>
        <v>Serv.Prest. 20/10/2025 a 26/10/2025 - PIX: CPF - CHAVE: 034.055.155-05</v>
      </c>
      <c r="I7674" t="str">
        <f t="shared" ref="I7674:J7681" si="1414">("30/10/2025")</f>
        <v>30/10/2025</v>
      </c>
      <c r="J7674" t="str">
        <f t="shared" si="1414"/>
        <v>30/10/2025</v>
      </c>
      <c r="K7674" t="str">
        <f>("28/10/2025")</f>
        <v>28/10/2025</v>
      </c>
      <c r="L7674">
        <v>100</v>
      </c>
      <c r="M7674">
        <v>100</v>
      </c>
      <c r="N7674">
        <v>109</v>
      </c>
      <c r="O7674" t="str">
        <f>"PAGAMENTO DE ENTREGADORES"</f>
        <v>PAGAMENTO DE ENTREGADORES</v>
      </c>
      <c r="P7674">
        <v>100</v>
      </c>
      <c r="S7674" t="str">
        <f>"BANCO CORA (102)"</f>
        <v>BANCO CORA (102)</v>
      </c>
      <c r="T7674">
        <v>20347</v>
      </c>
      <c r="U7674">
        <v>24519</v>
      </c>
      <c r="V7674" t="s">
        <v>22</v>
      </c>
    </row>
    <row r="7675" spans="1:22">
      <c r="A7675" t="str">
        <f t="shared" si="1407"/>
        <v>28/10/2025</v>
      </c>
      <c r="B7675" t="str">
        <f t="shared" si="1409"/>
        <v>SAÍDA</v>
      </c>
      <c r="C7675" t="str">
        <f t="shared" si="1410"/>
        <v>PIX</v>
      </c>
      <c r="D7675" t="str">
        <f>"24519"</f>
        <v>24519</v>
      </c>
      <c r="E7675" t="str">
        <f t="shared" si="1412"/>
        <v>1</v>
      </c>
      <c r="F7675" t="str">
        <f t="shared" si="1411"/>
        <v>COM</v>
      </c>
      <c r="G7675" t="str">
        <f t="shared" si="1413"/>
        <v>GUSTAVO BENÍCIO DOS SANTOS (1032)</v>
      </c>
      <c r="H7675" t="s">
        <v>2144</v>
      </c>
      <c r="I7675" t="str">
        <f t="shared" si="1414"/>
        <v>30/10/2025</v>
      </c>
      <c r="J7675" t="str">
        <f t="shared" si="1414"/>
        <v>30/10/2025</v>
      </c>
      <c r="K7675">
        <v>45958</v>
      </c>
      <c r="N7675">
        <v>109</v>
      </c>
      <c r="O7675" t="s">
        <v>24</v>
      </c>
      <c r="Q7675">
        <v>100</v>
      </c>
      <c r="R7675" t="str">
        <f>"DROGALIDER 25 (10246)"</f>
        <v>DROGALIDER 25 (10246)</v>
      </c>
      <c r="S7675" t="s">
        <v>22</v>
      </c>
      <c r="T7675">
        <v>20347</v>
      </c>
      <c r="U7675">
        <v>24519</v>
      </c>
      <c r="V7675" t="s">
        <v>22</v>
      </c>
    </row>
    <row r="7676" spans="1:22">
      <c r="A7676" t="str">
        <f t="shared" si="1407"/>
        <v>28/10/2025</v>
      </c>
      <c r="B7676" t="str">
        <f t="shared" si="1409"/>
        <v>SAÍDA</v>
      </c>
      <c r="C7676" t="str">
        <f t="shared" si="1410"/>
        <v>PIX</v>
      </c>
      <c r="D7676" t="str">
        <f>"24528"</f>
        <v>24528</v>
      </c>
      <c r="E7676" t="str">
        <f t="shared" si="1412"/>
        <v>1</v>
      </c>
      <c r="F7676" t="str">
        <f t="shared" si="1411"/>
        <v>COM</v>
      </c>
      <c r="G7676" t="str">
        <f t="shared" si="1413"/>
        <v>GUSTAVO BENÍCIO DOS SANTOS (1032)</v>
      </c>
      <c r="H7676" t="str">
        <f>"Serv.Prest. 20/10/2025 a 26/10/2025 - PIX: CPF - CHAVE: 034.055.155-05"</f>
        <v>Serv.Prest. 20/10/2025 a 26/10/2025 - PIX: CPF - CHAVE: 034.055.155-05</v>
      </c>
      <c r="I7676" t="str">
        <f t="shared" si="1414"/>
        <v>30/10/2025</v>
      </c>
      <c r="J7676" t="str">
        <f t="shared" si="1414"/>
        <v>30/10/2025</v>
      </c>
      <c r="K7676" t="str">
        <f>("28/10/2025")</f>
        <v>28/10/2025</v>
      </c>
      <c r="L7676">
        <v>100</v>
      </c>
      <c r="M7676">
        <v>100</v>
      </c>
      <c r="N7676">
        <v>109</v>
      </c>
      <c r="O7676" t="str">
        <f>"PAGAMENTO DE ENTREGADORES"</f>
        <v>PAGAMENTO DE ENTREGADORES</v>
      </c>
      <c r="S7676" t="str">
        <f>"BANCO CORA (102)"</f>
        <v>BANCO CORA (102)</v>
      </c>
      <c r="T7676">
        <v>20347</v>
      </c>
      <c r="U7676">
        <v>24528</v>
      </c>
      <c r="V7676" t="s">
        <v>22</v>
      </c>
    </row>
    <row r="7677" spans="1:22">
      <c r="A7677" t="str">
        <f t="shared" si="1407"/>
        <v>28/10/2025</v>
      </c>
      <c r="B7677" t="str">
        <f t="shared" si="1409"/>
        <v>SAÍDA</v>
      </c>
      <c r="C7677" t="str">
        <f t="shared" si="1410"/>
        <v>PIX</v>
      </c>
      <c r="D7677" t="str">
        <f>"24528"</f>
        <v>24528</v>
      </c>
      <c r="E7677" t="str">
        <f t="shared" si="1412"/>
        <v>1</v>
      </c>
      <c r="F7677" t="str">
        <f t="shared" si="1411"/>
        <v>COM</v>
      </c>
      <c r="G7677" t="str">
        <f t="shared" si="1413"/>
        <v>GUSTAVO BENÍCIO DOS SANTOS (1032)</v>
      </c>
      <c r="H7677" t="s">
        <v>2144</v>
      </c>
      <c r="I7677" t="str">
        <f t="shared" si="1414"/>
        <v>30/10/2025</v>
      </c>
      <c r="J7677" t="str">
        <f t="shared" si="1414"/>
        <v>30/10/2025</v>
      </c>
      <c r="K7677">
        <v>45958</v>
      </c>
      <c r="N7677">
        <v>109</v>
      </c>
      <c r="O7677" t="s">
        <v>24</v>
      </c>
      <c r="Q7677">
        <v>100</v>
      </c>
      <c r="R7677" t="str">
        <f>"DROGALIDER 58 (10213)"</f>
        <v>DROGALIDER 58 (10213)</v>
      </c>
      <c r="S7677" t="s">
        <v>22</v>
      </c>
      <c r="T7677">
        <v>20347</v>
      </c>
      <c r="U7677">
        <v>24528</v>
      </c>
      <c r="V7677" t="s">
        <v>22</v>
      </c>
    </row>
    <row r="7678" spans="1:22">
      <c r="A7678" t="str">
        <f t="shared" si="1407"/>
        <v>28/10/2025</v>
      </c>
      <c r="B7678" t="str">
        <f t="shared" si="1409"/>
        <v>SAÍDA</v>
      </c>
      <c r="C7678" t="str">
        <f t="shared" si="1410"/>
        <v>PIX</v>
      </c>
      <c r="D7678" t="str">
        <f>"24537"</f>
        <v>24537</v>
      </c>
      <c r="E7678" t="str">
        <f t="shared" si="1412"/>
        <v>1</v>
      </c>
      <c r="F7678" t="str">
        <f t="shared" si="1411"/>
        <v>COM</v>
      </c>
      <c r="G7678" t="str">
        <f t="shared" si="1413"/>
        <v>GUSTAVO BENÍCIO DOS SANTOS (1032)</v>
      </c>
      <c r="H7678" t="str">
        <f>"Serv.Prest. 20/10/2025 a 26/10/2025 - PIX: CPF - CHAVE: 034.055.155-05"</f>
        <v>Serv.Prest. 20/10/2025 a 26/10/2025 - PIX: CPF - CHAVE: 034.055.155-05</v>
      </c>
      <c r="I7678" t="str">
        <f t="shared" si="1414"/>
        <v>30/10/2025</v>
      </c>
      <c r="J7678" t="str">
        <f t="shared" si="1414"/>
        <v>30/10/2025</v>
      </c>
      <c r="K7678" t="str">
        <f>("28/10/2025")</f>
        <v>28/10/2025</v>
      </c>
      <c r="L7678">
        <v>50</v>
      </c>
      <c r="M7678">
        <v>50</v>
      </c>
      <c r="N7678">
        <v>109</v>
      </c>
      <c r="O7678" t="str">
        <f>"PAGAMENTO DE ENTREGADORES"</f>
        <v>PAGAMENTO DE ENTREGADORES</v>
      </c>
      <c r="S7678" t="str">
        <f>"BANCO CORA (102)"</f>
        <v>BANCO CORA (102)</v>
      </c>
      <c r="T7678">
        <v>20347</v>
      </c>
      <c r="U7678">
        <v>24537</v>
      </c>
      <c r="V7678" t="s">
        <v>22</v>
      </c>
    </row>
    <row r="7679" spans="1:22">
      <c r="A7679" t="str">
        <f t="shared" si="1407"/>
        <v>28/10/2025</v>
      </c>
      <c r="B7679" t="str">
        <f t="shared" si="1409"/>
        <v>SAÍDA</v>
      </c>
      <c r="C7679" t="str">
        <f t="shared" si="1410"/>
        <v>PIX</v>
      </c>
      <c r="D7679" t="str">
        <f>"24537"</f>
        <v>24537</v>
      </c>
      <c r="E7679" t="str">
        <f t="shared" si="1412"/>
        <v>1</v>
      </c>
      <c r="F7679" t="str">
        <f t="shared" si="1411"/>
        <v>COM</v>
      </c>
      <c r="G7679" t="str">
        <f t="shared" si="1413"/>
        <v>GUSTAVO BENÍCIO DOS SANTOS (1032)</v>
      </c>
      <c r="H7679" t="s">
        <v>2144</v>
      </c>
      <c r="I7679" t="str">
        <f t="shared" si="1414"/>
        <v>30/10/2025</v>
      </c>
      <c r="J7679" t="str">
        <f t="shared" si="1414"/>
        <v>30/10/2025</v>
      </c>
      <c r="K7679">
        <v>45958</v>
      </c>
      <c r="N7679">
        <v>109</v>
      </c>
      <c r="O7679" t="s">
        <v>24</v>
      </c>
      <c r="Q7679">
        <v>50</v>
      </c>
      <c r="R7679" t="str">
        <f>"DROGALIDER 66 (10251)"</f>
        <v>DROGALIDER 66 (10251)</v>
      </c>
      <c r="S7679" t="s">
        <v>22</v>
      </c>
      <c r="T7679">
        <v>20347</v>
      </c>
      <c r="U7679">
        <v>24537</v>
      </c>
      <c r="V7679" t="s">
        <v>22</v>
      </c>
    </row>
    <row r="7680" spans="1:22">
      <c r="A7680" t="str">
        <f t="shared" si="1407"/>
        <v>28/10/2025</v>
      </c>
      <c r="B7680" t="str">
        <f t="shared" si="1409"/>
        <v>SAÍDA</v>
      </c>
      <c r="C7680" t="str">
        <f t="shared" si="1410"/>
        <v>PIX</v>
      </c>
      <c r="D7680" t="str">
        <f>"24537"</f>
        <v>24537</v>
      </c>
      <c r="E7680" t="str">
        <f t="shared" si="1412"/>
        <v>1</v>
      </c>
      <c r="F7680" t="str">
        <f t="shared" si="1411"/>
        <v>COM</v>
      </c>
      <c r="G7680" t="str">
        <f t="shared" si="1413"/>
        <v>GUSTAVO BENÍCIO DOS SANTOS (1032)</v>
      </c>
      <c r="H7680" t="str">
        <f>"Serv.Prest. 20/10/2025 a 26/10/2025 - PIX: CPF - CHAVE: 034.055.155-05"</f>
        <v>Serv.Prest. 20/10/2025 a 26/10/2025 - PIX: CPF - CHAVE: 034.055.155-05</v>
      </c>
      <c r="I7680" t="str">
        <f t="shared" si="1414"/>
        <v>30/10/2025</v>
      </c>
      <c r="J7680" t="str">
        <f t="shared" si="1414"/>
        <v>30/10/2025</v>
      </c>
      <c r="K7680" t="str">
        <f>("28/10/2025")</f>
        <v>28/10/2025</v>
      </c>
      <c r="L7680">
        <v>50</v>
      </c>
      <c r="M7680">
        <v>50</v>
      </c>
      <c r="N7680">
        <v>109</v>
      </c>
      <c r="O7680" t="str">
        <f>"PAGAMENTO DE ENTREGADORES"</f>
        <v>PAGAMENTO DE ENTREGADORES</v>
      </c>
      <c r="S7680" t="str">
        <f>"BANCO CORA (102)"</f>
        <v>BANCO CORA (102)</v>
      </c>
      <c r="T7680">
        <v>20347</v>
      </c>
      <c r="U7680">
        <v>24540</v>
      </c>
      <c r="V7680" t="s">
        <v>22</v>
      </c>
    </row>
    <row r="7681" spans="1:22">
      <c r="A7681" t="str">
        <f t="shared" si="1407"/>
        <v>28/10/2025</v>
      </c>
      <c r="B7681" t="str">
        <f t="shared" si="1409"/>
        <v>SAÍDA</v>
      </c>
      <c r="C7681" t="str">
        <f t="shared" si="1410"/>
        <v>PIX</v>
      </c>
      <c r="D7681" t="str">
        <f>"24537"</f>
        <v>24537</v>
      </c>
      <c r="E7681" t="str">
        <f t="shared" si="1412"/>
        <v>1</v>
      </c>
      <c r="F7681" t="str">
        <f t="shared" si="1411"/>
        <v>COM</v>
      </c>
      <c r="G7681" t="str">
        <f t="shared" si="1413"/>
        <v>GUSTAVO BENÍCIO DOS SANTOS (1032)</v>
      </c>
      <c r="H7681" t="s">
        <v>2144</v>
      </c>
      <c r="I7681" t="str">
        <f t="shared" si="1414"/>
        <v>30/10/2025</v>
      </c>
      <c r="J7681" t="str">
        <f t="shared" si="1414"/>
        <v>30/10/2025</v>
      </c>
      <c r="K7681">
        <v>45958</v>
      </c>
      <c r="N7681">
        <v>109</v>
      </c>
      <c r="O7681" t="s">
        <v>24</v>
      </c>
      <c r="Q7681">
        <v>50</v>
      </c>
      <c r="R7681" t="str">
        <f>"DROGALIDER 66 (10251)"</f>
        <v>DROGALIDER 66 (10251)</v>
      </c>
      <c r="S7681" t="s">
        <v>22</v>
      </c>
      <c r="T7681">
        <v>20347</v>
      </c>
      <c r="U7681">
        <v>24540</v>
      </c>
      <c r="V7681" t="s">
        <v>22</v>
      </c>
    </row>
    <row r="7682" spans="1:22">
      <c r="A7682" t="str">
        <f t="shared" si="1407"/>
        <v>28/10/2025</v>
      </c>
      <c r="B7682" t="str">
        <f t="shared" si="1409"/>
        <v>SAÍDA</v>
      </c>
      <c r="C7682" t="str">
        <f t="shared" si="1410"/>
        <v>PIX</v>
      </c>
      <c r="D7682" t="str">
        <f>"24357"</f>
        <v>24357</v>
      </c>
      <c r="E7682" t="str">
        <f t="shared" si="1412"/>
        <v>1</v>
      </c>
      <c r="F7682" t="str">
        <f t="shared" si="1411"/>
        <v>COM</v>
      </c>
      <c r="G7682" t="str">
        <f>"IRENE FRAGOSO DE OLIVEIRA (1003)"</f>
        <v>IRENE FRAGOSO DE OLIVEIRA (1003)</v>
      </c>
      <c r="H7682" t="str">
        <f>"Serv.Prest. 20/10/2025 a 26/10/2025 - PIX: E-MAIL - CHAVE: irenefragoso45@gmail.com"</f>
        <v>Serv.Prest. 20/10/2025 a 26/10/2025 - PIX: E-MAIL - CHAVE: irenefragoso45@gmail.com</v>
      </c>
      <c r="I7682" t="str">
        <f t="shared" ref="I7682:I7713" si="1415">("28/10/2025")</f>
        <v>28/10/2025</v>
      </c>
      <c r="J7682" t="str">
        <f t="shared" ref="J7682:J7692" si="1416">("27/10/2025")</f>
        <v>27/10/2025</v>
      </c>
      <c r="K7682" t="str">
        <f>("28/10/2025")</f>
        <v>28/10/2025</v>
      </c>
      <c r="L7682">
        <v>200</v>
      </c>
      <c r="M7682">
        <v>200</v>
      </c>
      <c r="N7682">
        <v>134</v>
      </c>
      <c r="O7682" t="str">
        <f>"DIARIA DE MOTOBOY"</f>
        <v>DIARIA DE MOTOBOY</v>
      </c>
      <c r="P7682">
        <v>200</v>
      </c>
      <c r="S7682" t="str">
        <f>"BANCO CORA (102)"</f>
        <v>BANCO CORA (102)</v>
      </c>
      <c r="T7682">
        <v>20390</v>
      </c>
      <c r="U7682">
        <v>24357</v>
      </c>
      <c r="V7682" t="s">
        <v>22</v>
      </c>
    </row>
    <row r="7683" spans="1:22">
      <c r="A7683" t="str">
        <f t="shared" si="1407"/>
        <v>28/10/2025</v>
      </c>
      <c r="B7683" t="str">
        <f t="shared" si="1409"/>
        <v>SAÍDA</v>
      </c>
      <c r="C7683" t="str">
        <f t="shared" si="1410"/>
        <v>PIX</v>
      </c>
      <c r="D7683" t="str">
        <f>"24357"</f>
        <v>24357</v>
      </c>
      <c r="E7683" t="str">
        <f t="shared" si="1412"/>
        <v>1</v>
      </c>
      <c r="F7683" t="str">
        <f t="shared" si="1411"/>
        <v>COM</v>
      </c>
      <c r="G7683" t="str">
        <f>"IRENE FRAGOSO DE OLIVEIRA (1003)"</f>
        <v>IRENE FRAGOSO DE OLIVEIRA (1003)</v>
      </c>
      <c r="H7683" t="s">
        <v>2145</v>
      </c>
      <c r="I7683" t="str">
        <f t="shared" si="1415"/>
        <v>28/10/2025</v>
      </c>
      <c r="J7683" t="str">
        <f t="shared" si="1416"/>
        <v>27/10/2025</v>
      </c>
      <c r="K7683">
        <v>45958</v>
      </c>
      <c r="N7683">
        <v>134</v>
      </c>
      <c r="O7683" t="s">
        <v>41</v>
      </c>
      <c r="Q7683">
        <v>200</v>
      </c>
      <c r="R7683" t="str">
        <f>"PENSE FARMA 16 (10221)"</f>
        <v>PENSE FARMA 16 (10221)</v>
      </c>
      <c r="S7683" t="s">
        <v>22</v>
      </c>
      <c r="T7683">
        <v>20390</v>
      </c>
      <c r="U7683">
        <v>24357</v>
      </c>
      <c r="V7683" t="s">
        <v>22</v>
      </c>
    </row>
    <row r="7684" spans="1:22">
      <c r="A7684" t="str">
        <f t="shared" si="1407"/>
        <v>28/10/2025</v>
      </c>
      <c r="B7684" t="str">
        <f t="shared" si="1409"/>
        <v>SAÍDA</v>
      </c>
      <c r="C7684" t="str">
        <f t="shared" si="1410"/>
        <v>PIX</v>
      </c>
      <c r="D7684" t="str">
        <f>"24427"</f>
        <v>24427</v>
      </c>
      <c r="E7684" t="str">
        <f t="shared" si="1412"/>
        <v>1</v>
      </c>
      <c r="F7684" t="str">
        <f t="shared" si="1411"/>
        <v>COM</v>
      </c>
      <c r="G7684" t="str">
        <f>"JAMERSON SOUZA LOPES (749)"</f>
        <v>JAMERSON SOUZA LOPES (749)</v>
      </c>
      <c r="H7684" t="str">
        <f>"Serv.Prest. 20/10/2025 a 26/10/2025 - PIX: CPF - CHAVE: 423.098.018-36"</f>
        <v>Serv.Prest. 20/10/2025 a 26/10/2025 - PIX: CPF - CHAVE: 423.098.018-36</v>
      </c>
      <c r="I7684" t="str">
        <f t="shared" si="1415"/>
        <v>28/10/2025</v>
      </c>
      <c r="J7684" t="str">
        <f t="shared" si="1416"/>
        <v>27/10/2025</v>
      </c>
      <c r="K7684" t="str">
        <f>("28/10/2025")</f>
        <v>28/10/2025</v>
      </c>
      <c r="N7684">
        <v>109</v>
      </c>
      <c r="O7684" t="str">
        <f>"PAGAMENTO DE ENTREGADORES"</f>
        <v>PAGAMENTO DE ENTREGADORES</v>
      </c>
      <c r="P7684">
        <v>130</v>
      </c>
      <c r="S7684" t="str">
        <f>"BANCO CORA (102)"</f>
        <v>BANCO CORA (102)</v>
      </c>
      <c r="T7684">
        <v>20391</v>
      </c>
      <c r="U7684">
        <v>24427</v>
      </c>
      <c r="V7684" t="s">
        <v>22</v>
      </c>
    </row>
    <row r="7685" spans="1:22">
      <c r="A7685" t="str">
        <f t="shared" si="1407"/>
        <v>28/10/2025</v>
      </c>
      <c r="B7685" t="str">
        <f t="shared" si="1409"/>
        <v>SAÍDA</v>
      </c>
      <c r="C7685" t="str">
        <f t="shared" si="1410"/>
        <v>PIX</v>
      </c>
      <c r="D7685" t="str">
        <f>"24427"</f>
        <v>24427</v>
      </c>
      <c r="E7685" t="str">
        <f t="shared" si="1412"/>
        <v>1</v>
      </c>
      <c r="F7685" t="str">
        <f t="shared" si="1411"/>
        <v>COM</v>
      </c>
      <c r="G7685" t="str">
        <f>"JAMERSON SOUZA LOPES (749)"</f>
        <v>JAMERSON SOUZA LOPES (749)</v>
      </c>
      <c r="H7685" t="str">
        <f>"Serv.Prest. 20/10/2025 a 26/10/2025 - PIX: CPF - CHAVE: 423.098.018-36 - JAMERSON SOUZA LOPES"</f>
        <v>Serv.Prest. 20/10/2025 a 26/10/2025 - PIX: CPF - CHAVE: 423.098.018-36 - JAMERSON SOUZA LOPES</v>
      </c>
      <c r="I7685" t="str">
        <f t="shared" si="1415"/>
        <v>28/10/2025</v>
      </c>
      <c r="J7685" t="str">
        <f t="shared" si="1416"/>
        <v>27/10/2025</v>
      </c>
      <c r="K7685" t="str">
        <f>("28/10/2025")</f>
        <v>28/10/2025</v>
      </c>
      <c r="L7685">
        <v>260</v>
      </c>
      <c r="M7685">
        <v>260</v>
      </c>
      <c r="N7685">
        <v>5000</v>
      </c>
      <c r="O7685" t="str">
        <f>"SOLICITACAO DE ADIANTAMENTO"</f>
        <v>SOLICITACAO DE ADIANTAMENTO</v>
      </c>
      <c r="S7685" t="str">
        <f>"BANCO CORA (102)"</f>
        <v>BANCO CORA (102)</v>
      </c>
      <c r="T7685">
        <v>20391</v>
      </c>
      <c r="U7685">
        <v>24427</v>
      </c>
      <c r="V7685" t="s">
        <v>22</v>
      </c>
    </row>
    <row r="7686" spans="1:22">
      <c r="A7686" t="str">
        <f t="shared" si="1407"/>
        <v>28/10/2025</v>
      </c>
      <c r="B7686" t="str">
        <f t="shared" si="1409"/>
        <v>SAÍDA</v>
      </c>
      <c r="C7686" t="str">
        <f t="shared" si="1410"/>
        <v>PIX</v>
      </c>
      <c r="D7686" t="str">
        <f>"24427"</f>
        <v>24427</v>
      </c>
      <c r="E7686" t="str">
        <f t="shared" si="1412"/>
        <v>1</v>
      </c>
      <c r="F7686" t="str">
        <f t="shared" si="1411"/>
        <v>COM</v>
      </c>
      <c r="G7686" t="str">
        <f>"JAMERSON SOUZA LOPES (749)"</f>
        <v>JAMERSON SOUZA LOPES (749)</v>
      </c>
      <c r="H7686" t="s">
        <v>2146</v>
      </c>
      <c r="I7686" t="str">
        <f t="shared" si="1415"/>
        <v>28/10/2025</v>
      </c>
      <c r="J7686" t="str">
        <f t="shared" si="1416"/>
        <v>27/10/2025</v>
      </c>
      <c r="K7686">
        <v>45958</v>
      </c>
      <c r="N7686">
        <v>109</v>
      </c>
      <c r="O7686" t="s">
        <v>24</v>
      </c>
      <c r="Q7686">
        <v>260</v>
      </c>
      <c r="R7686" t="str">
        <f>"DROGARIA MEDIC CENTER LTDA (10172)"</f>
        <v>DROGARIA MEDIC CENTER LTDA (10172)</v>
      </c>
      <c r="S7686" t="s">
        <v>22</v>
      </c>
      <c r="T7686">
        <v>20391</v>
      </c>
      <c r="U7686">
        <v>24427</v>
      </c>
      <c r="V7686" t="s">
        <v>22</v>
      </c>
    </row>
    <row r="7687" spans="1:22">
      <c r="A7687" t="str">
        <f t="shared" si="1407"/>
        <v>28/10/2025</v>
      </c>
      <c r="B7687" t="str">
        <f t="shared" si="1409"/>
        <v>SAÍDA</v>
      </c>
      <c r="C7687" t="str">
        <f t="shared" si="1410"/>
        <v>PIX</v>
      </c>
      <c r="D7687" t="str">
        <f>"24391"</f>
        <v>24391</v>
      </c>
      <c r="E7687" t="str">
        <f t="shared" si="1412"/>
        <v>1</v>
      </c>
      <c r="F7687" t="str">
        <f t="shared" si="1411"/>
        <v>COM</v>
      </c>
      <c r="G7687" t="str">
        <f>"LUAN DOS REIS SILVA (954)"</f>
        <v>LUAN DOS REIS SILVA (954)</v>
      </c>
      <c r="H7687" t="str">
        <f>"Serv.Prest. 20/10/2025 a 26/10/2025 - PIX: CELULAR - CHAVE: (11) 95906-5439"</f>
        <v>Serv.Prest. 20/10/2025 a 26/10/2025 - PIX: CELULAR - CHAVE: (11) 95906-5439</v>
      </c>
      <c r="I7687" t="str">
        <f t="shared" si="1415"/>
        <v>28/10/2025</v>
      </c>
      <c r="J7687" t="str">
        <f t="shared" si="1416"/>
        <v>27/10/2025</v>
      </c>
      <c r="K7687" t="str">
        <f>("28/10/2025")</f>
        <v>28/10/2025</v>
      </c>
      <c r="L7687">
        <v>170</v>
      </c>
      <c r="M7687">
        <v>170</v>
      </c>
      <c r="N7687">
        <v>109</v>
      </c>
      <c r="O7687" t="str">
        <f>"PAGAMENTO DE ENTREGADORES"</f>
        <v>PAGAMENTO DE ENTREGADORES</v>
      </c>
      <c r="P7687">
        <v>170</v>
      </c>
      <c r="S7687" t="str">
        <f>"BANCO CORA (102)"</f>
        <v>BANCO CORA (102)</v>
      </c>
      <c r="T7687">
        <v>20392</v>
      </c>
      <c r="U7687">
        <v>24440</v>
      </c>
      <c r="V7687" t="s">
        <v>22</v>
      </c>
    </row>
    <row r="7688" spans="1:22">
      <c r="A7688" t="str">
        <f t="shared" si="1407"/>
        <v>28/10/2025</v>
      </c>
      <c r="B7688" t="str">
        <f t="shared" si="1409"/>
        <v>SAÍDA</v>
      </c>
      <c r="C7688" t="str">
        <f t="shared" si="1410"/>
        <v>PIX</v>
      </c>
      <c r="D7688" t="str">
        <f>"24391"</f>
        <v>24391</v>
      </c>
      <c r="E7688" t="str">
        <f t="shared" si="1412"/>
        <v>1</v>
      </c>
      <c r="F7688" t="str">
        <f t="shared" si="1411"/>
        <v>COM</v>
      </c>
      <c r="G7688" t="str">
        <f>"LUAN DOS REIS SILVA (954)"</f>
        <v>LUAN DOS REIS SILVA (954)</v>
      </c>
      <c r="H7688" t="s">
        <v>2147</v>
      </c>
      <c r="I7688" t="str">
        <f t="shared" si="1415"/>
        <v>28/10/2025</v>
      </c>
      <c r="J7688" t="str">
        <f t="shared" si="1416"/>
        <v>27/10/2025</v>
      </c>
      <c r="K7688">
        <v>45958</v>
      </c>
      <c r="N7688">
        <v>109</v>
      </c>
      <c r="O7688" t="s">
        <v>24</v>
      </c>
      <c r="Q7688">
        <v>56.66</v>
      </c>
      <c r="R7688" t="str">
        <f>"PENSE FARMA 05 (10200)"</f>
        <v>PENSE FARMA 05 (10200)</v>
      </c>
      <c r="S7688" t="s">
        <v>22</v>
      </c>
      <c r="T7688">
        <v>20392</v>
      </c>
      <c r="U7688">
        <v>24440</v>
      </c>
      <c r="V7688" t="s">
        <v>22</v>
      </c>
    </row>
    <row r="7689" spans="1:22">
      <c r="A7689" t="str">
        <f t="shared" si="1407"/>
        <v>28/10/2025</v>
      </c>
      <c r="B7689" t="str">
        <f t="shared" si="1409"/>
        <v>SAÍDA</v>
      </c>
      <c r="C7689" t="str">
        <f t="shared" si="1410"/>
        <v>PIX</v>
      </c>
      <c r="D7689" t="str">
        <f>"24391"</f>
        <v>24391</v>
      </c>
      <c r="E7689" t="str">
        <f t="shared" si="1412"/>
        <v>1</v>
      </c>
      <c r="F7689" t="str">
        <f t="shared" si="1411"/>
        <v>COM</v>
      </c>
      <c r="G7689" t="str">
        <f>"LUAN DOS REIS SILVA (954)"</f>
        <v>LUAN DOS REIS SILVA (954)</v>
      </c>
      <c r="H7689" t="s">
        <v>2147</v>
      </c>
      <c r="I7689" t="str">
        <f t="shared" si="1415"/>
        <v>28/10/2025</v>
      </c>
      <c r="J7689" t="str">
        <f t="shared" si="1416"/>
        <v>27/10/2025</v>
      </c>
      <c r="K7689">
        <v>45958</v>
      </c>
      <c r="N7689">
        <v>109</v>
      </c>
      <c r="O7689" t="s">
        <v>24</v>
      </c>
      <c r="Q7689">
        <v>56.66</v>
      </c>
      <c r="R7689" t="str">
        <f>"PENSE FARMA 13 (10202)"</f>
        <v>PENSE FARMA 13 (10202)</v>
      </c>
      <c r="S7689" t="s">
        <v>22</v>
      </c>
      <c r="T7689">
        <v>20392</v>
      </c>
      <c r="U7689">
        <v>24440</v>
      </c>
      <c r="V7689" t="s">
        <v>22</v>
      </c>
    </row>
    <row r="7690" spans="1:22">
      <c r="A7690" t="str">
        <f t="shared" si="1407"/>
        <v>28/10/2025</v>
      </c>
      <c r="B7690" t="str">
        <f t="shared" si="1409"/>
        <v>SAÍDA</v>
      </c>
      <c r="C7690" t="str">
        <f t="shared" si="1410"/>
        <v>PIX</v>
      </c>
      <c r="D7690" t="str">
        <f>"24391"</f>
        <v>24391</v>
      </c>
      <c r="E7690" t="str">
        <f t="shared" si="1412"/>
        <v>1</v>
      </c>
      <c r="F7690" t="str">
        <f t="shared" si="1411"/>
        <v>COM</v>
      </c>
      <c r="G7690" t="str">
        <f>"LUAN DOS REIS SILVA (954)"</f>
        <v>LUAN DOS REIS SILVA (954)</v>
      </c>
      <c r="H7690" t="s">
        <v>2147</v>
      </c>
      <c r="I7690" t="str">
        <f t="shared" si="1415"/>
        <v>28/10/2025</v>
      </c>
      <c r="J7690" t="str">
        <f t="shared" si="1416"/>
        <v>27/10/2025</v>
      </c>
      <c r="K7690">
        <v>45958</v>
      </c>
      <c r="N7690">
        <v>109</v>
      </c>
      <c r="O7690" t="s">
        <v>24</v>
      </c>
      <c r="Q7690">
        <v>56.68</v>
      </c>
      <c r="R7690" t="str">
        <f>"PENSE FARMA 27 (10204)"</f>
        <v>PENSE FARMA 27 (10204)</v>
      </c>
      <c r="S7690" t="s">
        <v>22</v>
      </c>
      <c r="T7690">
        <v>20392</v>
      </c>
      <c r="U7690">
        <v>24440</v>
      </c>
      <c r="V7690" t="s">
        <v>22</v>
      </c>
    </row>
    <row r="7691" spans="1:22">
      <c r="A7691" t="str">
        <f t="shared" si="1407"/>
        <v>28/10/2025</v>
      </c>
      <c r="B7691" t="str">
        <f t="shared" si="1409"/>
        <v>SAÍDA</v>
      </c>
      <c r="C7691" t="str">
        <f t="shared" si="1410"/>
        <v>PIX</v>
      </c>
      <c r="D7691" t="str">
        <f>"24425"</f>
        <v>24425</v>
      </c>
      <c r="E7691" t="str">
        <f t="shared" si="1412"/>
        <v>1</v>
      </c>
      <c r="F7691" t="str">
        <f t="shared" si="1411"/>
        <v>COM</v>
      </c>
      <c r="G7691" t="str">
        <f>"ELIO CALDEIRA RIBEIRO JUNIOR (840)"</f>
        <v>ELIO CALDEIRA RIBEIRO JUNIOR (840)</v>
      </c>
      <c r="H7691" t="str">
        <f>"Serv.Prest. 20/10/2025 a 26/10/2025 - PIX: CPF - CHAVE: 463.491.858-70"</f>
        <v>Serv.Prest. 20/10/2025 a 26/10/2025 - PIX: CPF - CHAVE: 463.491.858-70</v>
      </c>
      <c r="I7691" t="str">
        <f t="shared" si="1415"/>
        <v>28/10/2025</v>
      </c>
      <c r="J7691" t="str">
        <f t="shared" si="1416"/>
        <v>27/10/2025</v>
      </c>
      <c r="K7691" t="str">
        <f>("28/10/2025")</f>
        <v>28/10/2025</v>
      </c>
      <c r="L7691">
        <v>150</v>
      </c>
      <c r="M7691">
        <v>150</v>
      </c>
      <c r="N7691">
        <v>109</v>
      </c>
      <c r="O7691" t="str">
        <f>"PAGAMENTO DE ENTREGADORES"</f>
        <v>PAGAMENTO DE ENTREGADORES</v>
      </c>
      <c r="P7691">
        <v>150</v>
      </c>
      <c r="S7691" t="str">
        <f>"BANCO CORA (102)"</f>
        <v>BANCO CORA (102)</v>
      </c>
      <c r="T7691">
        <v>20393</v>
      </c>
      <c r="U7691">
        <v>24441</v>
      </c>
      <c r="V7691" t="s">
        <v>22</v>
      </c>
    </row>
    <row r="7692" spans="1:22">
      <c r="A7692" t="str">
        <f t="shared" si="1407"/>
        <v>28/10/2025</v>
      </c>
      <c r="B7692" t="str">
        <f t="shared" si="1409"/>
        <v>SAÍDA</v>
      </c>
      <c r="C7692" t="str">
        <f t="shared" si="1410"/>
        <v>PIX</v>
      </c>
      <c r="D7692" t="str">
        <f>"24425"</f>
        <v>24425</v>
      </c>
      <c r="E7692" t="str">
        <f t="shared" si="1412"/>
        <v>1</v>
      </c>
      <c r="F7692" t="str">
        <f t="shared" si="1411"/>
        <v>COM</v>
      </c>
      <c r="G7692" t="str">
        <f>"ELIO CALDEIRA RIBEIRO JUNIOR (840)"</f>
        <v>ELIO CALDEIRA RIBEIRO JUNIOR (840)</v>
      </c>
      <c r="H7692" t="s">
        <v>2148</v>
      </c>
      <c r="I7692" t="str">
        <f t="shared" si="1415"/>
        <v>28/10/2025</v>
      </c>
      <c r="J7692" t="str">
        <f t="shared" si="1416"/>
        <v>27/10/2025</v>
      </c>
      <c r="K7692">
        <v>45958</v>
      </c>
      <c r="N7692">
        <v>109</v>
      </c>
      <c r="O7692" t="s">
        <v>24</v>
      </c>
      <c r="Q7692">
        <v>150</v>
      </c>
      <c r="R7692" t="str">
        <f>"DROGARIA MEDIC CENTER LTDA (10172)"</f>
        <v>DROGARIA MEDIC CENTER LTDA (10172)</v>
      </c>
      <c r="S7692" t="s">
        <v>22</v>
      </c>
      <c r="T7692">
        <v>20393</v>
      </c>
      <c r="U7692">
        <v>24441</v>
      </c>
      <c r="V7692" t="s">
        <v>22</v>
      </c>
    </row>
    <row r="7693" spans="1:22">
      <c r="A7693" t="str">
        <f t="shared" si="1407"/>
        <v>28/10/2025</v>
      </c>
      <c r="B7693" t="str">
        <f t="shared" si="1409"/>
        <v>SAÍDA</v>
      </c>
      <c r="C7693" t="str">
        <f t="shared" si="1410"/>
        <v>PIX</v>
      </c>
      <c r="D7693" t="str">
        <f>"2810"</f>
        <v>2810</v>
      </c>
      <c r="E7693" t="str">
        <f>"25"</f>
        <v>25</v>
      </c>
      <c r="F7693" t="str">
        <f t="shared" si="1411"/>
        <v>COM</v>
      </c>
      <c r="G7693" t="str">
        <f>"EZEQUIEL MATHEUS SOUSA MAXIMIANO ROSA (931)"</f>
        <v>EZEQUIEL MATHEUS SOUSA MAXIMIANO ROSA (931)</v>
      </c>
      <c r="H7693" t="str">
        <f>"Serv.Prest. 20/10/2025 a 26/10/2025 - PIX: CPF - CHAVE: 141.994.266-20"</f>
        <v>Serv.Prest. 20/10/2025 a 26/10/2025 - PIX: CPF - CHAVE: 141.994.266-20</v>
      </c>
      <c r="I7693" t="str">
        <f t="shared" si="1415"/>
        <v>28/10/2025</v>
      </c>
      <c r="J7693" t="str">
        <f>("26/10/2025")</f>
        <v>26/10/2025</v>
      </c>
      <c r="K7693" t="str">
        <f>("28/10/2025")</f>
        <v>28/10/2025</v>
      </c>
      <c r="L7693">
        <v>170</v>
      </c>
      <c r="M7693">
        <v>170</v>
      </c>
      <c r="N7693">
        <v>5000</v>
      </c>
      <c r="O7693" t="str">
        <f>"SOLICITACAO DE ADIANTAMENTO"</f>
        <v>SOLICITACAO DE ADIANTAMENTO</v>
      </c>
      <c r="P7693">
        <v>170</v>
      </c>
      <c r="S7693" t="str">
        <f>"BANCO CORA (102)"</f>
        <v>BANCO CORA (102)</v>
      </c>
      <c r="T7693">
        <v>20394</v>
      </c>
      <c r="U7693">
        <v>24443</v>
      </c>
      <c r="V7693" t="s">
        <v>22</v>
      </c>
    </row>
    <row r="7694" spans="1:22">
      <c r="A7694" t="str">
        <f t="shared" si="1407"/>
        <v>28/10/2025</v>
      </c>
      <c r="B7694" t="str">
        <f t="shared" si="1409"/>
        <v>SAÍDA</v>
      </c>
      <c r="C7694" t="str">
        <f t="shared" si="1410"/>
        <v>PIX</v>
      </c>
      <c r="D7694" t="str">
        <f>"2810"</f>
        <v>2810</v>
      </c>
      <c r="E7694" t="str">
        <f>"25"</f>
        <v>25</v>
      </c>
      <c r="F7694" t="str">
        <f t="shared" si="1411"/>
        <v>COM</v>
      </c>
      <c r="G7694" t="str">
        <f>"EZEQUIEL MATHEUS SOUSA MAXIMIANO ROSA (931)"</f>
        <v>EZEQUIEL MATHEUS SOUSA MAXIMIANO ROSA (931)</v>
      </c>
      <c r="H7694" t="s">
        <v>2149</v>
      </c>
      <c r="I7694" t="str">
        <f t="shared" si="1415"/>
        <v>28/10/2025</v>
      </c>
      <c r="J7694" t="str">
        <f>("26/10/2025")</f>
        <v>26/10/2025</v>
      </c>
      <c r="K7694">
        <v>45958</v>
      </c>
      <c r="N7694">
        <v>5000</v>
      </c>
      <c r="O7694" t="s">
        <v>86</v>
      </c>
      <c r="Q7694">
        <v>170</v>
      </c>
      <c r="R7694" t="str">
        <f>"FARMÁCIA INDIANA LJ 118 (10052)"</f>
        <v>FARMÁCIA INDIANA LJ 118 (10052)</v>
      </c>
      <c r="S7694" t="s">
        <v>22</v>
      </c>
      <c r="T7694">
        <v>20394</v>
      </c>
      <c r="U7694">
        <v>24443</v>
      </c>
      <c r="V7694" t="s">
        <v>22</v>
      </c>
    </row>
    <row r="7695" spans="1:22">
      <c r="A7695" t="str">
        <f t="shared" si="1407"/>
        <v>28/10/2025</v>
      </c>
      <c r="B7695" t="str">
        <f t="shared" si="1409"/>
        <v>SAÍDA</v>
      </c>
      <c r="C7695" t="str">
        <f t="shared" si="1410"/>
        <v>PIX</v>
      </c>
      <c r="D7695" t="str">
        <f t="shared" ref="D7695:D7701" si="1417">"24388"</f>
        <v>24388</v>
      </c>
      <c r="E7695" t="str">
        <f t="shared" ref="E7695:E7704" si="1418">"1"</f>
        <v>1</v>
      </c>
      <c r="F7695" t="str">
        <f t="shared" si="1411"/>
        <v>COM</v>
      </c>
      <c r="G7695" t="str">
        <f t="shared" ref="G7695:G7701" si="1419">"JULIO GUIMARAES DOS SANTOS (977)"</f>
        <v>JULIO GUIMARAES DOS SANTOS (977)</v>
      </c>
      <c r="H7695" t="str">
        <f>"Serv.Prest. 20/10/2025 a 26/10/2025 - PIX: CELULAR - CHAVE: (11) 94195-2534"</f>
        <v>Serv.Prest. 20/10/2025 a 26/10/2025 - PIX: CELULAR - CHAVE: (11) 94195-2534</v>
      </c>
      <c r="I7695" t="str">
        <f t="shared" si="1415"/>
        <v>28/10/2025</v>
      </c>
      <c r="J7695" t="str">
        <f t="shared" ref="J7695:J7704" si="1420">("27/10/2025")</f>
        <v>27/10/2025</v>
      </c>
      <c r="K7695" t="str">
        <f>("28/10/2025")</f>
        <v>28/10/2025</v>
      </c>
      <c r="L7695">
        <v>170</v>
      </c>
      <c r="M7695">
        <v>170</v>
      </c>
      <c r="N7695">
        <v>109</v>
      </c>
      <c r="O7695" t="str">
        <f>"PAGAMENTO DE ENTREGADORES"</f>
        <v>PAGAMENTO DE ENTREGADORES</v>
      </c>
      <c r="P7695">
        <v>170</v>
      </c>
      <c r="S7695" t="str">
        <f>"BANCO CORA (102)"</f>
        <v>BANCO CORA (102)</v>
      </c>
      <c r="T7695">
        <v>20395</v>
      </c>
      <c r="U7695">
        <v>24444</v>
      </c>
      <c r="V7695" t="s">
        <v>22</v>
      </c>
    </row>
    <row r="7696" spans="1:22">
      <c r="A7696" t="str">
        <f t="shared" si="1407"/>
        <v>28/10/2025</v>
      </c>
      <c r="B7696" t="str">
        <f t="shared" si="1409"/>
        <v>SAÍDA</v>
      </c>
      <c r="C7696" t="str">
        <f t="shared" si="1410"/>
        <v>PIX</v>
      </c>
      <c r="D7696" t="str">
        <f t="shared" si="1417"/>
        <v>24388</v>
      </c>
      <c r="E7696" t="str">
        <f t="shared" si="1418"/>
        <v>1</v>
      </c>
      <c r="F7696" t="str">
        <f t="shared" si="1411"/>
        <v>COM</v>
      </c>
      <c r="G7696" t="str">
        <f t="shared" si="1419"/>
        <v>JULIO GUIMARAES DOS SANTOS (977)</v>
      </c>
      <c r="H7696" t="s">
        <v>2150</v>
      </c>
      <c r="I7696" t="str">
        <f t="shared" si="1415"/>
        <v>28/10/2025</v>
      </c>
      <c r="J7696" t="str">
        <f t="shared" si="1420"/>
        <v>27/10/2025</v>
      </c>
      <c r="K7696">
        <v>45958</v>
      </c>
      <c r="N7696">
        <v>109</v>
      </c>
      <c r="O7696" t="s">
        <v>24</v>
      </c>
      <c r="Q7696">
        <v>28.34</v>
      </c>
      <c r="R7696" t="str">
        <f>"PENSE FARMA 20 (10203)"</f>
        <v>PENSE FARMA 20 (10203)</v>
      </c>
      <c r="S7696" t="s">
        <v>22</v>
      </c>
      <c r="T7696">
        <v>20395</v>
      </c>
      <c r="U7696">
        <v>24444</v>
      </c>
      <c r="V7696" t="s">
        <v>22</v>
      </c>
    </row>
    <row r="7697" spans="1:22">
      <c r="A7697" t="str">
        <f t="shared" si="1407"/>
        <v>28/10/2025</v>
      </c>
      <c r="B7697" t="str">
        <f t="shared" si="1409"/>
        <v>SAÍDA</v>
      </c>
      <c r="C7697" t="str">
        <f t="shared" si="1410"/>
        <v>PIX</v>
      </c>
      <c r="D7697" t="str">
        <f t="shared" si="1417"/>
        <v>24388</v>
      </c>
      <c r="E7697" t="str">
        <f t="shared" si="1418"/>
        <v>1</v>
      </c>
      <c r="F7697" t="str">
        <f t="shared" si="1411"/>
        <v>COM</v>
      </c>
      <c r="G7697" t="str">
        <f t="shared" si="1419"/>
        <v>JULIO GUIMARAES DOS SANTOS (977)</v>
      </c>
      <c r="H7697" t="s">
        <v>2150</v>
      </c>
      <c r="I7697" t="str">
        <f t="shared" si="1415"/>
        <v>28/10/2025</v>
      </c>
      <c r="J7697" t="str">
        <f t="shared" si="1420"/>
        <v>27/10/2025</v>
      </c>
      <c r="K7697">
        <v>45958</v>
      </c>
      <c r="N7697">
        <v>109</v>
      </c>
      <c r="O7697" t="s">
        <v>24</v>
      </c>
      <c r="Q7697">
        <v>28.34</v>
      </c>
      <c r="R7697" t="str">
        <f>"PENSE FARMA 36 (10206)"</f>
        <v>PENSE FARMA 36 (10206)</v>
      </c>
      <c r="S7697" t="s">
        <v>22</v>
      </c>
      <c r="T7697">
        <v>20395</v>
      </c>
      <c r="U7697">
        <v>24444</v>
      </c>
      <c r="V7697" t="s">
        <v>22</v>
      </c>
    </row>
    <row r="7698" spans="1:22">
      <c r="A7698" t="str">
        <f t="shared" si="1407"/>
        <v>28/10/2025</v>
      </c>
      <c r="B7698" t="str">
        <f t="shared" si="1409"/>
        <v>SAÍDA</v>
      </c>
      <c r="C7698" t="str">
        <f t="shared" si="1410"/>
        <v>PIX</v>
      </c>
      <c r="D7698" t="str">
        <f t="shared" si="1417"/>
        <v>24388</v>
      </c>
      <c r="E7698" t="str">
        <f t="shared" si="1418"/>
        <v>1</v>
      </c>
      <c r="F7698" t="str">
        <f t="shared" si="1411"/>
        <v>COM</v>
      </c>
      <c r="G7698" t="str">
        <f t="shared" si="1419"/>
        <v>JULIO GUIMARAES DOS SANTOS (977)</v>
      </c>
      <c r="H7698" t="s">
        <v>2150</v>
      </c>
      <c r="I7698" t="str">
        <f t="shared" si="1415"/>
        <v>28/10/2025</v>
      </c>
      <c r="J7698" t="str">
        <f t="shared" si="1420"/>
        <v>27/10/2025</v>
      </c>
      <c r="K7698">
        <v>45958</v>
      </c>
      <c r="N7698">
        <v>109</v>
      </c>
      <c r="O7698" t="s">
        <v>24</v>
      </c>
      <c r="Q7698">
        <v>28.34</v>
      </c>
      <c r="R7698" t="str">
        <f>"PENSE FARMA 40 (10207)"</f>
        <v>PENSE FARMA 40 (10207)</v>
      </c>
      <c r="S7698" t="s">
        <v>22</v>
      </c>
      <c r="T7698">
        <v>20395</v>
      </c>
      <c r="U7698">
        <v>24444</v>
      </c>
      <c r="V7698" t="s">
        <v>22</v>
      </c>
    </row>
    <row r="7699" spans="1:22">
      <c r="A7699" t="str">
        <f t="shared" si="1407"/>
        <v>28/10/2025</v>
      </c>
      <c r="B7699" t="str">
        <f t="shared" si="1409"/>
        <v>SAÍDA</v>
      </c>
      <c r="C7699" t="str">
        <f t="shared" si="1410"/>
        <v>PIX</v>
      </c>
      <c r="D7699" t="str">
        <f t="shared" si="1417"/>
        <v>24388</v>
      </c>
      <c r="E7699" t="str">
        <f t="shared" si="1418"/>
        <v>1</v>
      </c>
      <c r="F7699" t="str">
        <f t="shared" si="1411"/>
        <v>COM</v>
      </c>
      <c r="G7699" t="str">
        <f t="shared" si="1419"/>
        <v>JULIO GUIMARAES DOS SANTOS (977)</v>
      </c>
      <c r="H7699" t="s">
        <v>2150</v>
      </c>
      <c r="I7699" t="str">
        <f t="shared" si="1415"/>
        <v>28/10/2025</v>
      </c>
      <c r="J7699" t="str">
        <f t="shared" si="1420"/>
        <v>27/10/2025</v>
      </c>
      <c r="K7699">
        <v>45958</v>
      </c>
      <c r="N7699">
        <v>109</v>
      </c>
      <c r="O7699" t="s">
        <v>24</v>
      </c>
      <c r="Q7699">
        <v>28.34</v>
      </c>
      <c r="R7699" t="str">
        <f>"PENSE FARMA 43 (10208)"</f>
        <v>PENSE FARMA 43 (10208)</v>
      </c>
      <c r="S7699" t="s">
        <v>22</v>
      </c>
      <c r="T7699">
        <v>20395</v>
      </c>
      <c r="U7699">
        <v>24444</v>
      </c>
      <c r="V7699" t="s">
        <v>22</v>
      </c>
    </row>
    <row r="7700" spans="1:22">
      <c r="A7700" t="str">
        <f t="shared" si="1407"/>
        <v>28/10/2025</v>
      </c>
      <c r="B7700" t="str">
        <f t="shared" si="1409"/>
        <v>SAÍDA</v>
      </c>
      <c r="C7700" t="str">
        <f t="shared" si="1410"/>
        <v>PIX</v>
      </c>
      <c r="D7700" t="str">
        <f t="shared" si="1417"/>
        <v>24388</v>
      </c>
      <c r="E7700" t="str">
        <f t="shared" si="1418"/>
        <v>1</v>
      </c>
      <c r="F7700" t="str">
        <f t="shared" si="1411"/>
        <v>COM</v>
      </c>
      <c r="G7700" t="str">
        <f t="shared" si="1419"/>
        <v>JULIO GUIMARAES DOS SANTOS (977)</v>
      </c>
      <c r="H7700" t="s">
        <v>2150</v>
      </c>
      <c r="I7700" t="str">
        <f t="shared" si="1415"/>
        <v>28/10/2025</v>
      </c>
      <c r="J7700" t="str">
        <f t="shared" si="1420"/>
        <v>27/10/2025</v>
      </c>
      <c r="K7700">
        <v>45958</v>
      </c>
      <c r="N7700">
        <v>109</v>
      </c>
      <c r="O7700" t="s">
        <v>24</v>
      </c>
      <c r="Q7700">
        <v>28.34</v>
      </c>
      <c r="R7700" t="str">
        <f>"PENSE FARMA 59 (10211)"</f>
        <v>PENSE FARMA 59 (10211)</v>
      </c>
      <c r="S7700" t="s">
        <v>22</v>
      </c>
      <c r="T7700">
        <v>20395</v>
      </c>
      <c r="U7700">
        <v>24444</v>
      </c>
      <c r="V7700" t="s">
        <v>22</v>
      </c>
    </row>
    <row r="7701" spans="1:22">
      <c r="A7701" t="str">
        <f t="shared" si="1407"/>
        <v>28/10/2025</v>
      </c>
      <c r="B7701" t="str">
        <f t="shared" si="1409"/>
        <v>SAÍDA</v>
      </c>
      <c r="C7701" t="str">
        <f t="shared" si="1410"/>
        <v>PIX</v>
      </c>
      <c r="D7701" t="str">
        <f t="shared" si="1417"/>
        <v>24388</v>
      </c>
      <c r="E7701" t="str">
        <f t="shared" si="1418"/>
        <v>1</v>
      </c>
      <c r="F7701" t="str">
        <f t="shared" si="1411"/>
        <v>COM</v>
      </c>
      <c r="G7701" t="str">
        <f t="shared" si="1419"/>
        <v>JULIO GUIMARAES DOS SANTOS (977)</v>
      </c>
      <c r="H7701" t="s">
        <v>2150</v>
      </c>
      <c r="I7701" t="str">
        <f t="shared" si="1415"/>
        <v>28/10/2025</v>
      </c>
      <c r="J7701" t="str">
        <f t="shared" si="1420"/>
        <v>27/10/2025</v>
      </c>
      <c r="K7701">
        <v>45958</v>
      </c>
      <c r="N7701">
        <v>109</v>
      </c>
      <c r="O7701" t="s">
        <v>24</v>
      </c>
      <c r="Q7701">
        <v>28.3</v>
      </c>
      <c r="R7701" t="str">
        <f>"PENSE FARMA DARK STORE 361 (10212)"</f>
        <v>PENSE FARMA DARK STORE 361 (10212)</v>
      </c>
      <c r="S7701" t="s">
        <v>22</v>
      </c>
      <c r="T7701">
        <v>20395</v>
      </c>
      <c r="U7701">
        <v>24444</v>
      </c>
      <c r="V7701" t="s">
        <v>22</v>
      </c>
    </row>
    <row r="7702" spans="1:22">
      <c r="A7702" t="str">
        <f t="shared" si="1407"/>
        <v>28/10/2025</v>
      </c>
      <c r="B7702" t="str">
        <f t="shared" si="1409"/>
        <v>SAÍDA</v>
      </c>
      <c r="C7702" t="str">
        <f t="shared" si="1410"/>
        <v>PIX</v>
      </c>
      <c r="D7702" t="str">
        <f>"24361"</f>
        <v>24361</v>
      </c>
      <c r="E7702" t="str">
        <f t="shared" si="1418"/>
        <v>1</v>
      </c>
      <c r="F7702" t="str">
        <f t="shared" si="1411"/>
        <v>COM</v>
      </c>
      <c r="G7702" t="str">
        <f>"VICTOR HUGO SOARES DE PAULA (1021)"</f>
        <v>VICTOR HUGO SOARES DE PAULA (1021)</v>
      </c>
      <c r="H7702" t="str">
        <f>"Serv.Prest. 20/10/2025 a 26/10/2025 - PIX: CELULAR - CHAVE: (11) 98281-4526"</f>
        <v>Serv.Prest. 20/10/2025 a 26/10/2025 - PIX: CELULAR - CHAVE: (11) 98281-4526</v>
      </c>
      <c r="I7702" t="str">
        <f t="shared" si="1415"/>
        <v>28/10/2025</v>
      </c>
      <c r="J7702" t="str">
        <f t="shared" si="1420"/>
        <v>27/10/2025</v>
      </c>
      <c r="K7702" t="str">
        <f>("28/10/2025")</f>
        <v>28/10/2025</v>
      </c>
      <c r="L7702">
        <v>170</v>
      </c>
      <c r="M7702">
        <v>170</v>
      </c>
      <c r="N7702">
        <v>109</v>
      </c>
      <c r="O7702" t="str">
        <f>"PAGAMENTO DE ENTREGADORES"</f>
        <v>PAGAMENTO DE ENTREGADORES</v>
      </c>
      <c r="P7702">
        <v>170</v>
      </c>
      <c r="S7702" t="str">
        <f>"BANCO CORA (102)"</f>
        <v>BANCO CORA (102)</v>
      </c>
      <c r="T7702">
        <v>20396</v>
      </c>
      <c r="U7702">
        <v>24446</v>
      </c>
      <c r="V7702" t="s">
        <v>22</v>
      </c>
    </row>
    <row r="7703" spans="1:22">
      <c r="A7703" t="str">
        <f t="shared" ref="A7703:A7725" si="1421">("28/10/2025")</f>
        <v>28/10/2025</v>
      </c>
      <c r="B7703" t="str">
        <f t="shared" si="1409"/>
        <v>SAÍDA</v>
      </c>
      <c r="C7703" t="str">
        <f t="shared" si="1410"/>
        <v>PIX</v>
      </c>
      <c r="D7703" t="str">
        <f>"24361"</f>
        <v>24361</v>
      </c>
      <c r="E7703" t="str">
        <f t="shared" si="1418"/>
        <v>1</v>
      </c>
      <c r="F7703" t="str">
        <f t="shared" si="1411"/>
        <v>COM</v>
      </c>
      <c r="G7703" t="str">
        <f>"VICTOR HUGO SOARES DE PAULA (1021)"</f>
        <v>VICTOR HUGO SOARES DE PAULA (1021)</v>
      </c>
      <c r="H7703" t="s">
        <v>2151</v>
      </c>
      <c r="I7703" t="str">
        <f t="shared" si="1415"/>
        <v>28/10/2025</v>
      </c>
      <c r="J7703" t="str">
        <f t="shared" si="1420"/>
        <v>27/10/2025</v>
      </c>
      <c r="K7703">
        <v>45958</v>
      </c>
      <c r="N7703">
        <v>109</v>
      </c>
      <c r="O7703" t="s">
        <v>24</v>
      </c>
      <c r="Q7703">
        <v>85</v>
      </c>
      <c r="R7703" t="str">
        <f>"PENSE FARMA 44 (10231)"</f>
        <v>PENSE FARMA 44 (10231)</v>
      </c>
      <c r="S7703" t="s">
        <v>22</v>
      </c>
      <c r="T7703">
        <v>20396</v>
      </c>
      <c r="U7703">
        <v>24446</v>
      </c>
      <c r="V7703" t="s">
        <v>22</v>
      </c>
    </row>
    <row r="7704" spans="1:22">
      <c r="A7704" t="str">
        <f t="shared" si="1421"/>
        <v>28/10/2025</v>
      </c>
      <c r="B7704" t="str">
        <f t="shared" si="1409"/>
        <v>SAÍDA</v>
      </c>
      <c r="C7704" t="str">
        <f t="shared" si="1410"/>
        <v>PIX</v>
      </c>
      <c r="D7704" t="str">
        <f>"24361"</f>
        <v>24361</v>
      </c>
      <c r="E7704" t="str">
        <f t="shared" si="1418"/>
        <v>1</v>
      </c>
      <c r="F7704" t="str">
        <f t="shared" si="1411"/>
        <v>COM</v>
      </c>
      <c r="G7704" t="str">
        <f>"VICTOR HUGO SOARES DE PAULA (1021)"</f>
        <v>VICTOR HUGO SOARES DE PAULA (1021)</v>
      </c>
      <c r="H7704" t="s">
        <v>2151</v>
      </c>
      <c r="I7704" t="str">
        <f t="shared" si="1415"/>
        <v>28/10/2025</v>
      </c>
      <c r="J7704" t="str">
        <f t="shared" si="1420"/>
        <v>27/10/2025</v>
      </c>
      <c r="K7704">
        <v>45958</v>
      </c>
      <c r="N7704">
        <v>109</v>
      </c>
      <c r="O7704" t="s">
        <v>24</v>
      </c>
      <c r="Q7704">
        <v>85</v>
      </c>
      <c r="R7704" t="str">
        <f>"PENSE FARMA 48 (10233)"</f>
        <v>PENSE FARMA 48 (10233)</v>
      </c>
      <c r="S7704" t="s">
        <v>22</v>
      </c>
      <c r="T7704">
        <v>20396</v>
      </c>
      <c r="U7704">
        <v>24446</v>
      </c>
      <c r="V7704" t="s">
        <v>22</v>
      </c>
    </row>
    <row r="7705" spans="1:22">
      <c r="A7705" t="str">
        <f t="shared" si="1421"/>
        <v>28/10/2025</v>
      </c>
      <c r="B7705" t="str">
        <f t="shared" si="1409"/>
        <v>SAÍDA</v>
      </c>
      <c r="C7705" t="str">
        <f t="shared" si="1410"/>
        <v>PIX</v>
      </c>
      <c r="D7705" t="str">
        <f>"2810"</f>
        <v>2810</v>
      </c>
      <c r="E7705" t="str">
        <f>"25"</f>
        <v>25</v>
      </c>
      <c r="F7705" t="str">
        <f t="shared" si="1411"/>
        <v>COM</v>
      </c>
      <c r="G7705" t="str">
        <f>"JOSE ERIC SILVA MACENA (854)"</f>
        <v>JOSE ERIC SILVA MACENA (854)</v>
      </c>
      <c r="H7705" t="str">
        <f>"Serv.Prest. 20/10/2025 a 26/10/2025 - PIX: E-MAIL - CHAVE: ericsilva8marcena@gmail.com"</f>
        <v>Serv.Prest. 20/10/2025 a 26/10/2025 - PIX: E-MAIL - CHAVE: ericsilva8marcena@gmail.com</v>
      </c>
      <c r="I7705" t="str">
        <f t="shared" si="1415"/>
        <v>28/10/2025</v>
      </c>
      <c r="J7705" t="str">
        <f>("26/10/2025")</f>
        <v>26/10/2025</v>
      </c>
      <c r="K7705" t="str">
        <f>("28/10/2025")</f>
        <v>28/10/2025</v>
      </c>
      <c r="L7705">
        <v>180</v>
      </c>
      <c r="M7705">
        <v>180</v>
      </c>
      <c r="N7705">
        <v>134</v>
      </c>
      <c r="O7705" t="str">
        <f>"DIARIA DE MOTOBOY"</f>
        <v>DIARIA DE MOTOBOY</v>
      </c>
      <c r="P7705">
        <v>180</v>
      </c>
      <c r="S7705" t="str">
        <f>"BANCO CORA (102)"</f>
        <v>BANCO CORA (102)</v>
      </c>
      <c r="T7705">
        <v>20397</v>
      </c>
      <c r="U7705">
        <v>24447</v>
      </c>
      <c r="V7705" t="s">
        <v>22</v>
      </c>
    </row>
    <row r="7706" spans="1:22">
      <c r="A7706" t="str">
        <f t="shared" si="1421"/>
        <v>28/10/2025</v>
      </c>
      <c r="B7706" t="str">
        <f t="shared" si="1409"/>
        <v>SAÍDA</v>
      </c>
      <c r="C7706" t="str">
        <f t="shared" si="1410"/>
        <v>PIX</v>
      </c>
      <c r="D7706" t="str">
        <f>"2810"</f>
        <v>2810</v>
      </c>
      <c r="E7706" t="str">
        <f>"25"</f>
        <v>25</v>
      </c>
      <c r="F7706" t="str">
        <f t="shared" si="1411"/>
        <v>COM</v>
      </c>
      <c r="G7706" t="str">
        <f>"JOSE ERIC SILVA MACENA (854)"</f>
        <v>JOSE ERIC SILVA MACENA (854)</v>
      </c>
      <c r="H7706" t="s">
        <v>2152</v>
      </c>
      <c r="I7706" t="str">
        <f t="shared" si="1415"/>
        <v>28/10/2025</v>
      </c>
      <c r="J7706" t="str">
        <f>("26/10/2025")</f>
        <v>26/10/2025</v>
      </c>
      <c r="K7706">
        <v>45958</v>
      </c>
      <c r="N7706">
        <v>134</v>
      </c>
      <c r="O7706" t="s">
        <v>41</v>
      </c>
      <c r="Q7706">
        <v>180</v>
      </c>
      <c r="R7706" t="str">
        <f>"FARMÁCIA INDIANA LJ 101 (10043)"</f>
        <v>FARMÁCIA INDIANA LJ 101 (10043)</v>
      </c>
      <c r="S7706" t="s">
        <v>22</v>
      </c>
      <c r="T7706">
        <v>20397</v>
      </c>
      <c r="U7706">
        <v>24447</v>
      </c>
      <c r="V7706" t="s">
        <v>22</v>
      </c>
    </row>
    <row r="7707" spans="1:22">
      <c r="A7707" t="str">
        <f t="shared" si="1421"/>
        <v>28/10/2025</v>
      </c>
      <c r="B7707" t="str">
        <f t="shared" si="1409"/>
        <v>SAÍDA</v>
      </c>
      <c r="C7707" t="str">
        <f t="shared" si="1410"/>
        <v>PIX</v>
      </c>
      <c r="D7707" t="str">
        <f>"2810"</f>
        <v>2810</v>
      </c>
      <c r="E7707" t="str">
        <f>"25"</f>
        <v>25</v>
      </c>
      <c r="F7707" t="str">
        <f t="shared" si="1411"/>
        <v>COM</v>
      </c>
      <c r="G7707" t="str">
        <f>"JUSSARA CRISTINA FARIA (783)"</f>
        <v>JUSSARA CRISTINA FARIA (783)</v>
      </c>
      <c r="H7707" t="str">
        <f>"Serv.Prest. 20/10/2025 a 26/10/2025 - PIX: CELULAR - CHAVE: (31) 99373-5678"</f>
        <v>Serv.Prest. 20/10/2025 a 26/10/2025 - PIX: CELULAR - CHAVE: (31) 99373-5678</v>
      </c>
      <c r="I7707" t="str">
        <f t="shared" si="1415"/>
        <v>28/10/2025</v>
      </c>
      <c r="J7707" t="str">
        <f>("26/10/2025")</f>
        <v>26/10/2025</v>
      </c>
      <c r="K7707" t="str">
        <f>("28/10/2025")</f>
        <v>28/10/2025</v>
      </c>
      <c r="L7707">
        <v>450</v>
      </c>
      <c r="M7707">
        <v>450</v>
      </c>
      <c r="N7707">
        <v>5000</v>
      </c>
      <c r="O7707" t="str">
        <f>"SOLICITACAO DE ADIANTAMENTO"</f>
        <v>SOLICITACAO DE ADIANTAMENTO</v>
      </c>
      <c r="P7707">
        <v>450</v>
      </c>
      <c r="S7707" t="str">
        <f>"BANCO CORA (102)"</f>
        <v>BANCO CORA (102)</v>
      </c>
      <c r="T7707">
        <v>20398</v>
      </c>
      <c r="U7707">
        <v>24448</v>
      </c>
      <c r="V7707" t="s">
        <v>22</v>
      </c>
    </row>
    <row r="7708" spans="1:22">
      <c r="A7708" t="str">
        <f t="shared" si="1421"/>
        <v>28/10/2025</v>
      </c>
      <c r="B7708" t="str">
        <f t="shared" si="1409"/>
        <v>SAÍDA</v>
      </c>
      <c r="C7708" t="str">
        <f t="shared" si="1410"/>
        <v>PIX</v>
      </c>
      <c r="D7708" t="str">
        <f>"2810"</f>
        <v>2810</v>
      </c>
      <c r="E7708" t="str">
        <f>"25"</f>
        <v>25</v>
      </c>
      <c r="F7708" t="str">
        <f t="shared" si="1411"/>
        <v>COM</v>
      </c>
      <c r="G7708" t="str">
        <f>"LAUAN ROCHA DE MELO (914)"</f>
        <v>LAUAN ROCHA DE MELO (914)</v>
      </c>
      <c r="H7708" t="str">
        <f>"Serv.Prest. 20/10/2025 a 26/10/2025 - PIX: CELULAR - CHAVE: (32) 99913-0476"</f>
        <v>Serv.Prest. 20/10/2025 a 26/10/2025 - PIX: CELULAR - CHAVE: (32) 99913-0476</v>
      </c>
      <c r="I7708" t="str">
        <f t="shared" si="1415"/>
        <v>28/10/2025</v>
      </c>
      <c r="J7708" t="str">
        <f>("26/10/2025")</f>
        <v>26/10/2025</v>
      </c>
      <c r="K7708" t="str">
        <f>("28/10/2025")</f>
        <v>28/10/2025</v>
      </c>
      <c r="L7708">
        <v>120</v>
      </c>
      <c r="M7708">
        <v>120</v>
      </c>
      <c r="N7708">
        <v>5000</v>
      </c>
      <c r="O7708" t="str">
        <f>"SOLICITACAO DE ADIANTAMENTO"</f>
        <v>SOLICITACAO DE ADIANTAMENTO</v>
      </c>
      <c r="P7708">
        <v>120</v>
      </c>
      <c r="S7708" t="str">
        <f>"BANCO CORA (102)"</f>
        <v>BANCO CORA (102)</v>
      </c>
      <c r="T7708">
        <v>20399</v>
      </c>
      <c r="U7708">
        <v>24449</v>
      </c>
      <c r="V7708" t="s">
        <v>22</v>
      </c>
    </row>
    <row r="7709" spans="1:22">
      <c r="A7709" t="str">
        <f t="shared" si="1421"/>
        <v>28/10/2025</v>
      </c>
      <c r="B7709" t="str">
        <f t="shared" si="1409"/>
        <v>SAÍDA</v>
      </c>
      <c r="C7709" t="str">
        <f t="shared" si="1410"/>
        <v>PIX</v>
      </c>
      <c r="D7709" t="str">
        <f>"24310"</f>
        <v>24310</v>
      </c>
      <c r="E7709" t="str">
        <f t="shared" ref="E7709:E7719" si="1422">"1"</f>
        <v>1</v>
      </c>
      <c r="F7709" t="str">
        <f t="shared" si="1411"/>
        <v>COM</v>
      </c>
      <c r="G7709" t="str">
        <f>"YAN BRENDO CORREIA VIEIRA (861)"</f>
        <v>YAN BRENDO CORREIA VIEIRA (861)</v>
      </c>
      <c r="H7709" t="str">
        <f>"Serv.Prest. 20/10/2025 a 24/10/2025 - PIX: CPF - CHAVE: 096.891.935-97"</f>
        <v>Serv.Prest. 20/10/2025 a 24/10/2025 - PIX: CPF - CHAVE: 096.891.935-97</v>
      </c>
      <c r="I7709" t="str">
        <f t="shared" si="1415"/>
        <v>28/10/2025</v>
      </c>
      <c r="J7709" t="str">
        <f>("24/10/2025")</f>
        <v>24/10/2025</v>
      </c>
      <c r="K7709" t="str">
        <f>("28/10/2025")</f>
        <v>28/10/2025</v>
      </c>
      <c r="N7709">
        <v>109</v>
      </c>
      <c r="O7709" t="str">
        <f>"PAGAMENTO DE ENTREGADORES"</f>
        <v>PAGAMENTO DE ENTREGADORES</v>
      </c>
      <c r="P7709">
        <v>150</v>
      </c>
      <c r="S7709" t="str">
        <f>"BANCO CORA (102)"</f>
        <v>BANCO CORA (102)</v>
      </c>
      <c r="T7709">
        <v>20400</v>
      </c>
      <c r="U7709">
        <v>24450</v>
      </c>
      <c r="V7709" t="s">
        <v>22</v>
      </c>
    </row>
    <row r="7710" spans="1:22">
      <c r="A7710" t="str">
        <f t="shared" si="1421"/>
        <v>28/10/2025</v>
      </c>
      <c r="B7710" t="str">
        <f t="shared" si="1409"/>
        <v>SAÍDA</v>
      </c>
      <c r="C7710" t="str">
        <f t="shared" si="1410"/>
        <v>PIX</v>
      </c>
      <c r="D7710" t="str">
        <f>"24310"</f>
        <v>24310</v>
      </c>
      <c r="E7710" t="str">
        <f t="shared" si="1422"/>
        <v>1</v>
      </c>
      <c r="F7710" t="str">
        <f t="shared" si="1411"/>
        <v>COM</v>
      </c>
      <c r="G7710" t="str">
        <f>"YAN BRENDO CORREIA VIEIRA (861)"</f>
        <v>YAN BRENDO CORREIA VIEIRA (861)</v>
      </c>
      <c r="H7710" t="str">
        <f>"Serv.Prest. 20/10/2025 a 24/10/2025 - PIX: CPF - CHAVE: 096.891.935-97 - YAN BRENDO CORREIA VIEIRA"</f>
        <v>Serv.Prest. 20/10/2025 a 24/10/2025 - PIX: CPF - CHAVE: 096.891.935-97 - YAN BRENDO CORREIA VIEIRA</v>
      </c>
      <c r="I7710" t="str">
        <f t="shared" si="1415"/>
        <v>28/10/2025</v>
      </c>
      <c r="J7710" t="str">
        <f>("24/10/2025")</f>
        <v>24/10/2025</v>
      </c>
      <c r="K7710" t="str">
        <f>("28/10/2025")</f>
        <v>28/10/2025</v>
      </c>
      <c r="L7710">
        <v>300</v>
      </c>
      <c r="M7710">
        <v>300</v>
      </c>
      <c r="N7710">
        <v>5000</v>
      </c>
      <c r="O7710" t="str">
        <f>"SOLICITACAO DE ADIANTAMENTO"</f>
        <v>SOLICITACAO DE ADIANTAMENTO</v>
      </c>
      <c r="S7710" t="str">
        <f>"BANCO CORA (102)"</f>
        <v>BANCO CORA (102)</v>
      </c>
      <c r="T7710">
        <v>20400</v>
      </c>
      <c r="U7710">
        <v>24450</v>
      </c>
      <c r="V7710" t="s">
        <v>22</v>
      </c>
    </row>
    <row r="7711" spans="1:22">
      <c r="A7711" t="str">
        <f t="shared" si="1421"/>
        <v>28/10/2025</v>
      </c>
      <c r="B7711" t="str">
        <f t="shared" si="1409"/>
        <v>SAÍDA</v>
      </c>
      <c r="C7711" t="str">
        <f t="shared" si="1410"/>
        <v>PIX</v>
      </c>
      <c r="D7711" t="str">
        <f>"24310"</f>
        <v>24310</v>
      </c>
      <c r="E7711" t="str">
        <f t="shared" si="1422"/>
        <v>1</v>
      </c>
      <c r="F7711" t="str">
        <f t="shared" si="1411"/>
        <v>COM</v>
      </c>
      <c r="G7711" t="str">
        <f>"YAN BRENDO CORREIA VIEIRA (861)"</f>
        <v>YAN BRENDO CORREIA VIEIRA (861)</v>
      </c>
      <c r="H7711" t="s">
        <v>2153</v>
      </c>
      <c r="I7711" t="str">
        <f t="shared" si="1415"/>
        <v>28/10/2025</v>
      </c>
      <c r="J7711" t="str">
        <f>("24/10/2025")</f>
        <v>24/10/2025</v>
      </c>
      <c r="K7711">
        <v>45958</v>
      </c>
      <c r="N7711">
        <v>109</v>
      </c>
      <c r="O7711" t="s">
        <v>24</v>
      </c>
      <c r="Q7711">
        <v>300</v>
      </c>
      <c r="R7711" t="str">
        <f>"FARMÁCIA INDIANA LJ 200 (10155)"</f>
        <v>FARMÁCIA INDIANA LJ 200 (10155)</v>
      </c>
      <c r="S7711" t="s">
        <v>22</v>
      </c>
      <c r="T7711">
        <v>20400</v>
      </c>
      <c r="U7711">
        <v>24450</v>
      </c>
      <c r="V7711" t="s">
        <v>22</v>
      </c>
    </row>
    <row r="7712" spans="1:22">
      <c r="A7712" t="str">
        <f t="shared" si="1421"/>
        <v>28/10/2025</v>
      </c>
      <c r="B7712" t="str">
        <f t="shared" si="1409"/>
        <v>SAÍDA</v>
      </c>
      <c r="C7712" t="str">
        <f t="shared" si="1410"/>
        <v>PIX</v>
      </c>
      <c r="D7712" t="str">
        <f>"24342"</f>
        <v>24342</v>
      </c>
      <c r="E7712" t="str">
        <f t="shared" si="1422"/>
        <v>1</v>
      </c>
      <c r="F7712" t="str">
        <f t="shared" si="1411"/>
        <v>COM</v>
      </c>
      <c r="G7712" t="str">
        <f>"WILLIAM FERREIRA DE OLIVEIRA (900)"</f>
        <v>WILLIAM FERREIRA DE OLIVEIRA (900)</v>
      </c>
      <c r="H7712" t="str">
        <f>"Serv.Prest. 20/10/2025 a 26/10/2025 - PIX: CPF - CHAVE: 106.393.056-10"</f>
        <v>Serv.Prest. 20/10/2025 a 26/10/2025 - PIX: CPF - CHAVE: 106.393.056-10</v>
      </c>
      <c r="I7712" t="str">
        <f t="shared" si="1415"/>
        <v>28/10/2025</v>
      </c>
      <c r="J7712" t="str">
        <f>("27/10/2025")</f>
        <v>27/10/2025</v>
      </c>
      <c r="K7712" t="str">
        <f>("28/10/2025")</f>
        <v>28/10/2025</v>
      </c>
      <c r="L7712">
        <v>144</v>
      </c>
      <c r="M7712">
        <v>140</v>
      </c>
      <c r="N7712">
        <v>134</v>
      </c>
      <c r="O7712" t="str">
        <f>"DIARIA DE MOTOBOY"</f>
        <v>DIARIA DE MOTOBOY</v>
      </c>
      <c r="P7712">
        <v>140</v>
      </c>
      <c r="S7712" t="str">
        <f>"BANCO CORA (102)"</f>
        <v>BANCO CORA (102)</v>
      </c>
      <c r="T7712">
        <v>20401</v>
      </c>
      <c r="U7712">
        <v>24342</v>
      </c>
      <c r="V7712" t="s">
        <v>22</v>
      </c>
    </row>
    <row r="7713" spans="1:22">
      <c r="A7713" t="str">
        <f t="shared" si="1421"/>
        <v>28/10/2025</v>
      </c>
      <c r="B7713" t="str">
        <f t="shared" si="1409"/>
        <v>SAÍDA</v>
      </c>
      <c r="C7713" t="str">
        <f t="shared" si="1410"/>
        <v>PIX</v>
      </c>
      <c r="D7713" t="str">
        <f>"24342"</f>
        <v>24342</v>
      </c>
      <c r="E7713" t="str">
        <f t="shared" si="1422"/>
        <v>1</v>
      </c>
      <c r="F7713" t="str">
        <f t="shared" si="1411"/>
        <v>COM</v>
      </c>
      <c r="G7713" t="str">
        <f>"WILLIAM FERREIRA DE OLIVEIRA (900)"</f>
        <v>WILLIAM FERREIRA DE OLIVEIRA (900)</v>
      </c>
      <c r="H7713" t="s">
        <v>2154</v>
      </c>
      <c r="I7713" t="str">
        <f t="shared" si="1415"/>
        <v>28/10/2025</v>
      </c>
      <c r="J7713" t="str">
        <f>("27/10/2025")</f>
        <v>27/10/2025</v>
      </c>
      <c r="K7713">
        <v>45958</v>
      </c>
      <c r="N7713">
        <v>134</v>
      </c>
      <c r="O7713" t="s">
        <v>41</v>
      </c>
      <c r="Q7713">
        <v>140</v>
      </c>
      <c r="R7713" t="str">
        <f>"PAGMENOS - LJ 657 (10136)"</f>
        <v>PAGMENOS - LJ 657 (10136)</v>
      </c>
      <c r="S7713" t="s">
        <v>22</v>
      </c>
      <c r="T7713">
        <v>20401</v>
      </c>
      <c r="U7713">
        <v>24342</v>
      </c>
      <c r="V7713" t="s">
        <v>22</v>
      </c>
    </row>
    <row r="7714" spans="1:22">
      <c r="A7714" t="str">
        <f t="shared" si="1421"/>
        <v>28/10/2025</v>
      </c>
      <c r="B7714" t="str">
        <f t="shared" si="1409"/>
        <v>SAÍDA</v>
      </c>
      <c r="C7714" t="str">
        <f t="shared" si="1410"/>
        <v>PIX</v>
      </c>
      <c r="D7714" t="str">
        <f>"24626"</f>
        <v>24626</v>
      </c>
      <c r="E7714" t="str">
        <f t="shared" si="1422"/>
        <v>1</v>
      </c>
      <c r="F7714" t="str">
        <f t="shared" si="1411"/>
        <v>COM</v>
      </c>
      <c r="G7714" t="str">
        <f>"IVO SIMÃO FILHO (988)"</f>
        <v>IVO SIMÃO FILHO (988)</v>
      </c>
      <c r="H7714" t="str">
        <f>"Serv.Prest. 27/10/2025 a 02/11/2025 - PIX: CPF - CHAVE: 290.093.188-69"</f>
        <v>Serv.Prest. 27/10/2025 a 02/11/2025 - PIX: CPF - CHAVE: 290.093.188-69</v>
      </c>
      <c r="I7714" t="str">
        <f>("06/11/2025")</f>
        <v>06/11/2025</v>
      </c>
      <c r="J7714" t="str">
        <f>("03/11/2025")</f>
        <v>03/11/2025</v>
      </c>
      <c r="K7714" t="str">
        <f>("28/10/2025")</f>
        <v>28/10/2025</v>
      </c>
      <c r="L7714">
        <v>170</v>
      </c>
      <c r="M7714">
        <v>170</v>
      </c>
      <c r="N7714">
        <v>134</v>
      </c>
      <c r="O7714" t="str">
        <f>"DIARIA DE MOTOBOY"</f>
        <v>DIARIA DE MOTOBOY</v>
      </c>
      <c r="P7714">
        <v>170</v>
      </c>
      <c r="S7714" t="str">
        <f>"BANCO CORA (102)"</f>
        <v>BANCO CORA (102)</v>
      </c>
      <c r="T7714">
        <v>20466</v>
      </c>
      <c r="U7714">
        <v>24626</v>
      </c>
      <c r="V7714" t="s">
        <v>22</v>
      </c>
    </row>
    <row r="7715" spans="1:22">
      <c r="A7715" t="str">
        <f t="shared" si="1421"/>
        <v>28/10/2025</v>
      </c>
      <c r="B7715" t="str">
        <f t="shared" si="1409"/>
        <v>SAÍDA</v>
      </c>
      <c r="C7715" t="str">
        <f t="shared" si="1410"/>
        <v>PIX</v>
      </c>
      <c r="D7715" t="str">
        <f>"24626"</f>
        <v>24626</v>
      </c>
      <c r="E7715" t="str">
        <f t="shared" si="1422"/>
        <v>1</v>
      </c>
      <c r="F7715" t="str">
        <f t="shared" si="1411"/>
        <v>COM</v>
      </c>
      <c r="G7715" t="str">
        <f>"IVO SIMÃO FILHO (988)"</f>
        <v>IVO SIMÃO FILHO (988)</v>
      </c>
      <c r="H7715" t="s">
        <v>2155</v>
      </c>
      <c r="I7715" t="str">
        <f>("06/11/2025")</f>
        <v>06/11/2025</v>
      </c>
      <c r="J7715" t="str">
        <f>("03/11/2025")</f>
        <v>03/11/2025</v>
      </c>
      <c r="K7715">
        <v>45958</v>
      </c>
      <c r="N7715">
        <v>134</v>
      </c>
      <c r="O7715" t="s">
        <v>41</v>
      </c>
      <c r="Q7715">
        <v>170</v>
      </c>
      <c r="R7715" t="str">
        <f>"PENSE FARMA 22 (10198)"</f>
        <v>PENSE FARMA 22 (10198)</v>
      </c>
      <c r="S7715" t="s">
        <v>22</v>
      </c>
      <c r="T7715">
        <v>20466</v>
      </c>
      <c r="U7715">
        <v>24626</v>
      </c>
      <c r="V7715" t="s">
        <v>22</v>
      </c>
    </row>
    <row r="7716" spans="1:22">
      <c r="A7716" t="str">
        <f t="shared" si="1421"/>
        <v>28/10/2025</v>
      </c>
      <c r="B7716" t="str">
        <f>"ENTRADA"</f>
        <v>ENTRADA</v>
      </c>
      <c r="C7716" t="str">
        <f>"NFSE"</f>
        <v>NFSE</v>
      </c>
      <c r="D7716" t="str">
        <f>"3484"</f>
        <v>3484</v>
      </c>
      <c r="E7716" t="str">
        <f t="shared" si="1422"/>
        <v>1</v>
      </c>
      <c r="F7716" t="str">
        <f t="shared" si="1411"/>
        <v>COM</v>
      </c>
      <c r="G7716" t="str">
        <f>"PAGMENOS - LJ 608 (10135)"</f>
        <v>PAGMENOS - LJ 608 (10135)</v>
      </c>
      <c r="H7716" t="str">
        <f>"Serv.Prest. 06/10/2025 a 12/10/2025 - RPS: 1360 - NFSe: 3484"</f>
        <v>Serv.Prest. 06/10/2025 a 12/10/2025 - RPS: 1360 - NFSe: 3484</v>
      </c>
      <c r="I7716" t="str">
        <f>("23/10/2025")</f>
        <v>23/10/2025</v>
      </c>
      <c r="J7716" t="str">
        <f>("13/10/2025")</f>
        <v>13/10/2025</v>
      </c>
      <c r="K7716" t="str">
        <f>("28/10/2025")</f>
        <v>28/10/2025</v>
      </c>
      <c r="L7716">
        <v>1922.28</v>
      </c>
      <c r="M7716">
        <v>1922.28</v>
      </c>
      <c r="N7716">
        <v>303</v>
      </c>
      <c r="O7716" t="str">
        <f>"RECEITAS COM ENTREGAS"</f>
        <v>RECEITAS COM ENTREGAS</v>
      </c>
      <c r="P7716">
        <v>1922.28</v>
      </c>
      <c r="S7716" t="str">
        <f>"RECEITAS COM ENTREGAS (303)"</f>
        <v>RECEITAS COM ENTREGAS (303)</v>
      </c>
      <c r="T7716">
        <v>22520</v>
      </c>
      <c r="U7716">
        <v>23568</v>
      </c>
      <c r="V7716" t="s">
        <v>22</v>
      </c>
    </row>
    <row r="7717" spans="1:22">
      <c r="A7717" t="str">
        <f t="shared" si="1421"/>
        <v>28/10/2025</v>
      </c>
      <c r="B7717" t="str">
        <f>"ENTRADA"</f>
        <v>ENTRADA</v>
      </c>
      <c r="C7717" t="str">
        <f>"NFSE"</f>
        <v>NFSE</v>
      </c>
      <c r="D7717" t="str">
        <f>"3484"</f>
        <v>3484</v>
      </c>
      <c r="E7717" t="str">
        <f t="shared" si="1422"/>
        <v>1</v>
      </c>
      <c r="F7717" t="str">
        <f t="shared" si="1411"/>
        <v>COM</v>
      </c>
      <c r="G7717" t="str">
        <f>"PAGMENOS - LJ 608 (10135)"</f>
        <v>PAGMENOS - LJ 608 (10135)</v>
      </c>
      <c r="H7717" t="s">
        <v>2156</v>
      </c>
      <c r="I7717" t="str">
        <f>("23/10/2025")</f>
        <v>23/10/2025</v>
      </c>
      <c r="J7717" t="str">
        <f>("13/10/2025")</f>
        <v>13/10/2025</v>
      </c>
      <c r="K7717">
        <v>45958</v>
      </c>
      <c r="N7717">
        <v>303</v>
      </c>
      <c r="O7717" t="s">
        <v>69</v>
      </c>
      <c r="Q7717">
        <v>1922.28</v>
      </c>
      <c r="R7717" t="str">
        <f>"PAGMENOS - LJ 608 (10135)"</f>
        <v>PAGMENOS - LJ 608 (10135)</v>
      </c>
      <c r="S7717" t="s">
        <v>70</v>
      </c>
      <c r="T7717">
        <v>22520</v>
      </c>
      <c r="U7717">
        <v>23568</v>
      </c>
      <c r="V7717" t="s">
        <v>22</v>
      </c>
    </row>
    <row r="7718" spans="1:22">
      <c r="A7718" t="str">
        <f t="shared" si="1421"/>
        <v>28/10/2025</v>
      </c>
      <c r="B7718" t="str">
        <f>"ENTRADA"</f>
        <v>ENTRADA</v>
      </c>
      <c r="C7718" t="str">
        <f>"NFSE"</f>
        <v>NFSE</v>
      </c>
      <c r="D7718" t="str">
        <f>"3485"</f>
        <v>3485</v>
      </c>
      <c r="E7718" t="str">
        <f t="shared" si="1422"/>
        <v>1</v>
      </c>
      <c r="F7718" t="str">
        <f t="shared" si="1411"/>
        <v>COM</v>
      </c>
      <c r="G7718" t="str">
        <f>"PAGMENOS - LJ 657 (10136)"</f>
        <v>PAGMENOS - LJ 657 (10136)</v>
      </c>
      <c r="H7718" t="str">
        <f>"Serv.Prest. 06/10/2025 a 12/10/2025 - RPS: 1361 - NFSe: 3485"</f>
        <v>Serv.Prest. 06/10/2025 a 12/10/2025 - RPS: 1361 - NFSe: 3485</v>
      </c>
      <c r="I7718" t="str">
        <f>("23/10/2025")</f>
        <v>23/10/2025</v>
      </c>
      <c r="J7718" t="str">
        <f>("13/10/2025")</f>
        <v>13/10/2025</v>
      </c>
      <c r="K7718" t="str">
        <f>("28/10/2025")</f>
        <v>28/10/2025</v>
      </c>
      <c r="L7718">
        <v>1605.89</v>
      </c>
      <c r="M7718">
        <v>1605.89</v>
      </c>
      <c r="N7718">
        <v>303</v>
      </c>
      <c r="O7718" t="str">
        <f>"RECEITAS COM ENTREGAS"</f>
        <v>RECEITAS COM ENTREGAS</v>
      </c>
      <c r="P7718">
        <v>1605.89</v>
      </c>
      <c r="S7718" t="str">
        <f>"RECEITAS COM ENTREGAS (303)"</f>
        <v>RECEITAS COM ENTREGAS (303)</v>
      </c>
      <c r="T7718">
        <v>22521</v>
      </c>
      <c r="U7718">
        <v>23571</v>
      </c>
      <c r="V7718" t="s">
        <v>22</v>
      </c>
    </row>
    <row r="7719" spans="1:22">
      <c r="A7719" t="str">
        <f t="shared" si="1421"/>
        <v>28/10/2025</v>
      </c>
      <c r="B7719" t="str">
        <f>"ENTRADA"</f>
        <v>ENTRADA</v>
      </c>
      <c r="C7719" t="str">
        <f>"NFSE"</f>
        <v>NFSE</v>
      </c>
      <c r="D7719" t="str">
        <f>"3485"</f>
        <v>3485</v>
      </c>
      <c r="E7719" t="str">
        <f t="shared" si="1422"/>
        <v>1</v>
      </c>
      <c r="F7719" t="str">
        <f t="shared" si="1411"/>
        <v>COM</v>
      </c>
      <c r="G7719" t="str">
        <f>"PAGMENOS - LJ 657 (10136)"</f>
        <v>PAGMENOS - LJ 657 (10136)</v>
      </c>
      <c r="H7719" t="s">
        <v>2157</v>
      </c>
      <c r="I7719" t="str">
        <f>("23/10/2025")</f>
        <v>23/10/2025</v>
      </c>
      <c r="J7719" t="str">
        <f>("13/10/2025")</f>
        <v>13/10/2025</v>
      </c>
      <c r="K7719">
        <v>45958</v>
      </c>
      <c r="N7719">
        <v>303</v>
      </c>
      <c r="O7719" t="s">
        <v>69</v>
      </c>
      <c r="Q7719">
        <v>1605.89</v>
      </c>
      <c r="R7719" t="str">
        <f>"PAGMENOS - LJ 657 (10136)"</f>
        <v>PAGMENOS - LJ 657 (10136)</v>
      </c>
      <c r="S7719" t="s">
        <v>70</v>
      </c>
      <c r="T7719">
        <v>22521</v>
      </c>
      <c r="U7719">
        <v>23571</v>
      </c>
      <c r="V7719" t="s">
        <v>22</v>
      </c>
    </row>
    <row r="7720" spans="1:22">
      <c r="A7720" t="str">
        <f t="shared" si="1421"/>
        <v>28/10/2025</v>
      </c>
      <c r="B7720" t="str">
        <f t="shared" ref="B7720:B7727" si="1423">"SAÍDA"</f>
        <v>SAÍDA</v>
      </c>
      <c r="C7720" t="str">
        <f t="shared" ref="C7720:C7727" si="1424">"PIX"</f>
        <v>PIX</v>
      </c>
      <c r="D7720" t="str">
        <f>"052025"</f>
        <v>052025</v>
      </c>
      <c r="E7720" t="str">
        <f>"6"</f>
        <v>6</v>
      </c>
      <c r="F7720" t="str">
        <f t="shared" si="1411"/>
        <v>COM</v>
      </c>
      <c r="G7720" t="str">
        <f>"AUTENTIQUE LTDA (20040)"</f>
        <v>AUTENTIQUE LTDA (20040)</v>
      </c>
      <c r="H7720" t="str">
        <f>"PLATAFORMA DE ASSINATUARS DIGITAIS"</f>
        <v>PLATAFORMA DE ASSINATUARS DIGITAIS</v>
      </c>
      <c r="I7720" t="str">
        <f>("18/10/2025")</f>
        <v>18/10/2025</v>
      </c>
      <c r="J7720" t="str">
        <f>("13/05/2025")</f>
        <v>13/05/2025</v>
      </c>
      <c r="K7720" t="str">
        <f>("28/10/2025")</f>
        <v>28/10/2025</v>
      </c>
      <c r="L7720">
        <v>99</v>
      </c>
      <c r="M7720">
        <v>99</v>
      </c>
      <c r="N7720">
        <v>104</v>
      </c>
      <c r="O7720" t="str">
        <f>"SOFTWARE / LICENÇAS"</f>
        <v>SOFTWARE / LICENÇAS</v>
      </c>
      <c r="P7720">
        <v>99</v>
      </c>
      <c r="S7720" t="str">
        <f>"BANCO CORA (102)"</f>
        <v>BANCO CORA (102)</v>
      </c>
      <c r="T7720">
        <v>22522</v>
      </c>
      <c r="U7720">
        <v>14969</v>
      </c>
      <c r="V7720" t="s">
        <v>22</v>
      </c>
    </row>
    <row r="7721" spans="1:22">
      <c r="A7721" t="str">
        <f t="shared" si="1421"/>
        <v>28/10/2025</v>
      </c>
      <c r="B7721" t="str">
        <f t="shared" si="1423"/>
        <v>SAÍDA</v>
      </c>
      <c r="C7721" t="str">
        <f t="shared" si="1424"/>
        <v>PIX</v>
      </c>
      <c r="D7721" t="str">
        <f>"052025"</f>
        <v>052025</v>
      </c>
      <c r="E7721" t="str">
        <f>"6"</f>
        <v>6</v>
      </c>
      <c r="F7721" t="str">
        <f t="shared" si="1411"/>
        <v>COM</v>
      </c>
      <c r="G7721" t="str">
        <f>"AUTENTIQUE LTDA (20040)"</f>
        <v>AUTENTIQUE LTDA (20040)</v>
      </c>
      <c r="H7721" t="s">
        <v>820</v>
      </c>
      <c r="I7721" t="str">
        <f>("18/10/2025")</f>
        <v>18/10/2025</v>
      </c>
      <c r="J7721" t="str">
        <f>("13/05/2025")</f>
        <v>13/05/2025</v>
      </c>
      <c r="K7721">
        <v>45958</v>
      </c>
      <c r="N7721">
        <v>104</v>
      </c>
      <c r="O7721" t="s">
        <v>34</v>
      </c>
      <c r="Q7721">
        <v>99</v>
      </c>
      <c r="R7721" t="str">
        <f>"AUTENTIQUE LTDA (20040)"</f>
        <v>AUTENTIQUE LTDA (20040)</v>
      </c>
      <c r="S7721" t="s">
        <v>22</v>
      </c>
      <c r="T7721">
        <v>22522</v>
      </c>
      <c r="U7721">
        <v>14969</v>
      </c>
      <c r="V7721" t="s">
        <v>22</v>
      </c>
    </row>
    <row r="7722" spans="1:22">
      <c r="A7722" t="str">
        <f t="shared" si="1421"/>
        <v>28/10/2025</v>
      </c>
      <c r="B7722" t="str">
        <f t="shared" si="1423"/>
        <v>SAÍDA</v>
      </c>
      <c r="C7722" t="str">
        <f t="shared" si="1424"/>
        <v>PIX</v>
      </c>
      <c r="D7722" t="str">
        <f>"24406"</f>
        <v>24406</v>
      </c>
      <c r="E7722" t="str">
        <f t="shared" ref="E7722:E7753" si="1425">"1"</f>
        <v>1</v>
      </c>
      <c r="F7722" t="str">
        <f t="shared" si="1411"/>
        <v>COM</v>
      </c>
      <c r="G7722" t="str">
        <f>"JEFFERSON DA SILVA LOPES (1037)"</f>
        <v>JEFFERSON DA SILVA LOPES (1037)</v>
      </c>
      <c r="H7722" t="str">
        <f>"Serv.Prest. 20/10/2025 a 26/10/2025 - PIX: CPF - CHAVE: 507.243.348-07"</f>
        <v>Serv.Prest. 20/10/2025 a 26/10/2025 - PIX: CPF - CHAVE: 507.243.348-07</v>
      </c>
      <c r="I7722" t="str">
        <f>("28/10/2025")</f>
        <v>28/10/2025</v>
      </c>
      <c r="J7722" t="str">
        <f t="shared" ref="J7722:J7753" si="1426">("27/10/2025")</f>
        <v>27/10/2025</v>
      </c>
      <c r="K7722" t="str">
        <f>("28/10/2025")</f>
        <v>28/10/2025</v>
      </c>
      <c r="L7722">
        <v>170</v>
      </c>
      <c r="M7722">
        <v>170</v>
      </c>
      <c r="N7722">
        <v>134</v>
      </c>
      <c r="O7722" t="str">
        <f>"DIARIA DE MOTOBOY"</f>
        <v>DIARIA DE MOTOBOY</v>
      </c>
      <c r="P7722">
        <v>170</v>
      </c>
      <c r="S7722" t="str">
        <f>"BANCO CORA (102)"</f>
        <v>BANCO CORA (102)</v>
      </c>
      <c r="T7722">
        <v>22523</v>
      </c>
      <c r="U7722">
        <v>24406</v>
      </c>
      <c r="V7722" t="s">
        <v>22</v>
      </c>
    </row>
    <row r="7723" spans="1:22">
      <c r="A7723" t="str">
        <f t="shared" si="1421"/>
        <v>28/10/2025</v>
      </c>
      <c r="B7723" t="str">
        <f t="shared" si="1423"/>
        <v>SAÍDA</v>
      </c>
      <c r="C7723" t="str">
        <f t="shared" si="1424"/>
        <v>PIX</v>
      </c>
      <c r="D7723" t="str">
        <f>"24406"</f>
        <v>24406</v>
      </c>
      <c r="E7723" t="str">
        <f t="shared" si="1425"/>
        <v>1</v>
      </c>
      <c r="F7723" t="str">
        <f t="shared" si="1411"/>
        <v>COM</v>
      </c>
      <c r="G7723" t="str">
        <f>"JEFFERSON DA SILVA LOPES (1037)"</f>
        <v>JEFFERSON DA SILVA LOPES (1037)</v>
      </c>
      <c r="H7723" t="s">
        <v>2158</v>
      </c>
      <c r="I7723" t="str">
        <f>("28/10/2025")</f>
        <v>28/10/2025</v>
      </c>
      <c r="J7723" t="str">
        <f t="shared" si="1426"/>
        <v>27/10/2025</v>
      </c>
      <c r="K7723">
        <v>45958</v>
      </c>
      <c r="N7723">
        <v>134</v>
      </c>
      <c r="O7723" t="s">
        <v>41</v>
      </c>
      <c r="Q7723">
        <v>170</v>
      </c>
      <c r="R7723" t="str">
        <f>"PENSE FARMA 07 (10201)"</f>
        <v>PENSE FARMA 07 (10201)</v>
      </c>
      <c r="S7723" t="s">
        <v>22</v>
      </c>
      <c r="T7723">
        <v>22523</v>
      </c>
      <c r="U7723">
        <v>24406</v>
      </c>
      <c r="V7723" t="s">
        <v>22</v>
      </c>
    </row>
    <row r="7724" spans="1:22">
      <c r="A7724" t="str">
        <f t="shared" si="1421"/>
        <v>28/10/2025</v>
      </c>
      <c r="B7724" t="str">
        <f t="shared" si="1423"/>
        <v>SAÍDA</v>
      </c>
      <c r="C7724" t="str">
        <f t="shared" si="1424"/>
        <v>PIX</v>
      </c>
      <c r="D7724" t="str">
        <f>"24372"</f>
        <v>24372</v>
      </c>
      <c r="E7724" t="str">
        <f t="shared" si="1425"/>
        <v>1</v>
      </c>
      <c r="F7724" t="str">
        <f t="shared" si="1411"/>
        <v>COM</v>
      </c>
      <c r="G7724" t="str">
        <f>"ALEXANDER GUSTAVO GUILHERME FRANCISCO (1035)"</f>
        <v>ALEXANDER GUSTAVO GUILHERME FRANCISCO (1035)</v>
      </c>
      <c r="H7724" t="str">
        <f>"Serv.Prest. 20/10/2025 a 26/10/2025 - PIX: CPF - CHAVE: 502.953.968-90"</f>
        <v>Serv.Prest. 20/10/2025 a 26/10/2025 - PIX: CPF - CHAVE: 502.953.968-90</v>
      </c>
      <c r="I7724" t="str">
        <f>("28/10/2025")</f>
        <v>28/10/2025</v>
      </c>
      <c r="J7724" t="str">
        <f t="shared" si="1426"/>
        <v>27/10/2025</v>
      </c>
      <c r="K7724" t="str">
        <f>("28/10/2025")</f>
        <v>28/10/2025</v>
      </c>
      <c r="L7724">
        <v>170</v>
      </c>
      <c r="M7724">
        <v>170</v>
      </c>
      <c r="N7724">
        <v>134</v>
      </c>
      <c r="O7724" t="str">
        <f>"DIARIA DE MOTOBOY"</f>
        <v>DIARIA DE MOTOBOY</v>
      </c>
      <c r="P7724">
        <v>170</v>
      </c>
      <c r="S7724" t="str">
        <f>"BANCO CORA (102)"</f>
        <v>BANCO CORA (102)</v>
      </c>
      <c r="T7724">
        <v>22524</v>
      </c>
      <c r="U7724">
        <v>24372</v>
      </c>
      <c r="V7724" t="s">
        <v>22</v>
      </c>
    </row>
    <row r="7725" spans="1:22">
      <c r="A7725" t="str">
        <f t="shared" si="1421"/>
        <v>28/10/2025</v>
      </c>
      <c r="B7725" t="str">
        <f t="shared" si="1423"/>
        <v>SAÍDA</v>
      </c>
      <c r="C7725" t="str">
        <f t="shared" si="1424"/>
        <v>PIX</v>
      </c>
      <c r="D7725" t="str">
        <f>"24372"</f>
        <v>24372</v>
      </c>
      <c r="E7725" t="str">
        <f t="shared" si="1425"/>
        <v>1</v>
      </c>
      <c r="F7725" t="str">
        <f t="shared" si="1411"/>
        <v>COM</v>
      </c>
      <c r="G7725" t="str">
        <f>"ALEXANDER GUSTAVO GUILHERME FRANCISCO (1035)"</f>
        <v>ALEXANDER GUSTAVO GUILHERME FRANCISCO (1035)</v>
      </c>
      <c r="H7725" t="s">
        <v>2159</v>
      </c>
      <c r="I7725" t="str">
        <f>("28/10/2025")</f>
        <v>28/10/2025</v>
      </c>
      <c r="J7725" t="str">
        <f t="shared" si="1426"/>
        <v>27/10/2025</v>
      </c>
      <c r="K7725">
        <v>45958</v>
      </c>
      <c r="N7725">
        <v>134</v>
      </c>
      <c r="O7725" t="s">
        <v>41</v>
      </c>
      <c r="Q7725">
        <v>170</v>
      </c>
      <c r="R7725" t="str">
        <f>"PENSE FARMA 47 (10232)"</f>
        <v>PENSE FARMA 47 (10232)</v>
      </c>
      <c r="S7725" t="s">
        <v>22</v>
      </c>
      <c r="T7725">
        <v>22524</v>
      </c>
      <c r="U7725">
        <v>24372</v>
      </c>
      <c r="V7725" t="s">
        <v>22</v>
      </c>
    </row>
    <row r="7726" spans="1:22">
      <c r="A7726" t="str">
        <f t="shared" ref="A7726:A7757" si="1427">("29/10/2025")</f>
        <v>29/10/2025</v>
      </c>
      <c r="B7726" t="str">
        <f t="shared" si="1423"/>
        <v>SAÍDA</v>
      </c>
      <c r="C7726" t="str">
        <f t="shared" si="1424"/>
        <v>PIX</v>
      </c>
      <c r="D7726" t="str">
        <f>"24412"</f>
        <v>24412</v>
      </c>
      <c r="E7726" t="str">
        <f t="shared" si="1425"/>
        <v>1</v>
      </c>
      <c r="F7726" t="str">
        <f t="shared" si="1411"/>
        <v>COM</v>
      </c>
      <c r="G7726" t="str">
        <f>"SAMUEL SOARES DA SILVA (867)"</f>
        <v>SAMUEL SOARES DA SILVA (867)</v>
      </c>
      <c r="H7726" t="str">
        <f>"Serv.Prest. 20/10/2025 a 26/10/2025 - PIX: CPF - CHAVE: 396.124.108-28"</f>
        <v>Serv.Prest. 20/10/2025 a 26/10/2025 - PIX: CPF - CHAVE: 396.124.108-28</v>
      </c>
      <c r="I7726" t="str">
        <f>("30/10/2025")</f>
        <v>30/10/2025</v>
      </c>
      <c r="J7726" t="str">
        <f t="shared" si="1426"/>
        <v>27/10/2025</v>
      </c>
      <c r="K7726" t="str">
        <f>("29/10/2025")</f>
        <v>29/10/2025</v>
      </c>
      <c r="L7726">
        <v>108.75</v>
      </c>
      <c r="M7726">
        <v>100</v>
      </c>
      <c r="N7726">
        <v>109</v>
      </c>
      <c r="O7726" t="str">
        <f>"PAGAMENTO DE ENTREGADORES"</f>
        <v>PAGAMENTO DE ENTREGADORES</v>
      </c>
      <c r="P7726">
        <v>100</v>
      </c>
      <c r="S7726" t="str">
        <f>"BANCO CORA (102)"</f>
        <v>BANCO CORA (102)</v>
      </c>
      <c r="T7726">
        <v>20318</v>
      </c>
      <c r="U7726">
        <v>24476</v>
      </c>
      <c r="V7726" t="s">
        <v>22</v>
      </c>
    </row>
    <row r="7727" spans="1:22">
      <c r="A7727" t="str">
        <f t="shared" si="1427"/>
        <v>29/10/2025</v>
      </c>
      <c r="B7727" t="str">
        <f t="shared" si="1423"/>
        <v>SAÍDA</v>
      </c>
      <c r="C7727" t="str">
        <f t="shared" si="1424"/>
        <v>PIX</v>
      </c>
      <c r="D7727" t="str">
        <f>"24412"</f>
        <v>24412</v>
      </c>
      <c r="E7727" t="str">
        <f t="shared" si="1425"/>
        <v>1</v>
      </c>
      <c r="F7727" t="str">
        <f t="shared" si="1411"/>
        <v>COM</v>
      </c>
      <c r="G7727" t="str">
        <f>"SAMUEL SOARES DA SILVA (867)"</f>
        <v>SAMUEL SOARES DA SILVA (867)</v>
      </c>
      <c r="H7727" t="s">
        <v>2137</v>
      </c>
      <c r="I7727" t="str">
        <f>("30/10/2025")</f>
        <v>30/10/2025</v>
      </c>
      <c r="J7727" t="str">
        <f t="shared" si="1426"/>
        <v>27/10/2025</v>
      </c>
      <c r="K7727">
        <v>45959</v>
      </c>
      <c r="N7727">
        <v>109</v>
      </c>
      <c r="O7727" t="s">
        <v>24</v>
      </c>
      <c r="Q7727">
        <v>100</v>
      </c>
      <c r="R7727" t="str">
        <f>"DROGA ELIDA (10121)"</f>
        <v>DROGA ELIDA (10121)</v>
      </c>
      <c r="S7727" t="s">
        <v>22</v>
      </c>
      <c r="T7727">
        <v>20318</v>
      </c>
      <c r="U7727">
        <v>24476</v>
      </c>
      <c r="V7727" t="s">
        <v>22</v>
      </c>
    </row>
    <row r="7728" spans="1:22">
      <c r="A7728" t="str">
        <f t="shared" si="1427"/>
        <v>29/10/2025</v>
      </c>
      <c r="B7728" t="str">
        <f t="shared" ref="B7728:B7759" si="1428">"ENTRADA"</f>
        <v>ENTRADA</v>
      </c>
      <c r="C7728" t="str">
        <f t="shared" ref="C7728:C7759" si="1429">"NFSE"</f>
        <v>NFSE</v>
      </c>
      <c r="D7728" t="str">
        <f>"3559"</f>
        <v>3559</v>
      </c>
      <c r="E7728" t="str">
        <f t="shared" si="1425"/>
        <v>1</v>
      </c>
      <c r="F7728" t="str">
        <f t="shared" si="1411"/>
        <v>COM</v>
      </c>
      <c r="G7728" t="str">
        <f>"DROGARIA AGAPEAMA (10167)"</f>
        <v>DROGARIA AGAPEAMA (10167)</v>
      </c>
      <c r="H7728" t="str">
        <f>"Serv.Prest. 20/10/2025 a 26/10/2025 - RPS: 1435 - NFSe: 3559"</f>
        <v>Serv.Prest. 20/10/2025 a 26/10/2025 - RPS: 1435 - NFSe: 3559</v>
      </c>
      <c r="I7728" t="str">
        <f t="shared" ref="I7728:I7759" si="1430">("29/10/2025")</f>
        <v>29/10/2025</v>
      </c>
      <c r="J7728" t="str">
        <f t="shared" si="1426"/>
        <v>27/10/2025</v>
      </c>
      <c r="K7728" t="str">
        <f>("29/10/2025")</f>
        <v>29/10/2025</v>
      </c>
      <c r="L7728">
        <v>3441.6</v>
      </c>
      <c r="M7728">
        <v>3441.6</v>
      </c>
      <c r="N7728">
        <v>303</v>
      </c>
      <c r="O7728" t="str">
        <f>"RECEITAS COM ENTREGAS"</f>
        <v>RECEITAS COM ENTREGAS</v>
      </c>
      <c r="P7728">
        <v>3441.6</v>
      </c>
      <c r="S7728" t="str">
        <f>"RECEITAS COM ENTREGAS (303)"</f>
        <v>RECEITAS COM ENTREGAS (303)</v>
      </c>
      <c r="T7728">
        <v>20356</v>
      </c>
      <c r="U7728">
        <v>24343</v>
      </c>
      <c r="V7728" t="s">
        <v>22</v>
      </c>
    </row>
    <row r="7729" spans="1:22">
      <c r="A7729" t="str">
        <f t="shared" si="1427"/>
        <v>29/10/2025</v>
      </c>
      <c r="B7729" t="str">
        <f t="shared" si="1428"/>
        <v>ENTRADA</v>
      </c>
      <c r="C7729" t="str">
        <f t="shared" si="1429"/>
        <v>NFSE</v>
      </c>
      <c r="D7729" t="str">
        <f>"3559"</f>
        <v>3559</v>
      </c>
      <c r="E7729" t="str">
        <f t="shared" si="1425"/>
        <v>1</v>
      </c>
      <c r="F7729" t="str">
        <f t="shared" si="1411"/>
        <v>COM</v>
      </c>
      <c r="G7729" t="str">
        <f>"DROGARIA AGAPEAMA (10167)"</f>
        <v>DROGARIA AGAPEAMA (10167)</v>
      </c>
      <c r="H7729" t="s">
        <v>2160</v>
      </c>
      <c r="I7729" t="str">
        <f t="shared" si="1430"/>
        <v>29/10/2025</v>
      </c>
      <c r="J7729" t="str">
        <f t="shared" si="1426"/>
        <v>27/10/2025</v>
      </c>
      <c r="K7729">
        <v>45959</v>
      </c>
      <c r="N7729">
        <v>303</v>
      </c>
      <c r="O7729" t="s">
        <v>69</v>
      </c>
      <c r="Q7729">
        <v>3441.6</v>
      </c>
      <c r="R7729" t="str">
        <f>"DROGARIA AGAPEAMA (10167)"</f>
        <v>DROGARIA AGAPEAMA (10167)</v>
      </c>
      <c r="S7729" t="s">
        <v>70</v>
      </c>
      <c r="T7729">
        <v>20356</v>
      </c>
      <c r="U7729">
        <v>24343</v>
      </c>
      <c r="V7729" t="s">
        <v>22</v>
      </c>
    </row>
    <row r="7730" spans="1:22">
      <c r="A7730" t="str">
        <f t="shared" si="1427"/>
        <v>29/10/2025</v>
      </c>
      <c r="B7730" t="str">
        <f t="shared" si="1428"/>
        <v>ENTRADA</v>
      </c>
      <c r="C7730" t="str">
        <f t="shared" si="1429"/>
        <v>NFSE</v>
      </c>
      <c r="D7730" t="str">
        <f>"3560"</f>
        <v>3560</v>
      </c>
      <c r="E7730" t="str">
        <f t="shared" si="1425"/>
        <v>1</v>
      </c>
      <c r="F7730" t="str">
        <f t="shared" si="1411"/>
        <v>COM</v>
      </c>
      <c r="G7730" t="str">
        <f>"ENTREFARMA (10164)"</f>
        <v>ENTREFARMA (10164)</v>
      </c>
      <c r="H7730" t="str">
        <f>"Serv.Prest. 20/10/2025 a 26/10/2025 - RPS: 1436 - NFSe: 3560"</f>
        <v>Serv.Prest. 20/10/2025 a 26/10/2025 - RPS: 1436 - NFSe: 3560</v>
      </c>
      <c r="I7730" t="str">
        <f t="shared" si="1430"/>
        <v>29/10/2025</v>
      </c>
      <c r="J7730" t="str">
        <f t="shared" si="1426"/>
        <v>27/10/2025</v>
      </c>
      <c r="K7730" t="str">
        <f>("29/10/2025")</f>
        <v>29/10/2025</v>
      </c>
      <c r="L7730">
        <v>6675.9</v>
      </c>
      <c r="M7730">
        <v>6675.9</v>
      </c>
      <c r="N7730">
        <v>303</v>
      </c>
      <c r="O7730" t="str">
        <f>"RECEITAS COM ENTREGAS"</f>
        <v>RECEITAS COM ENTREGAS</v>
      </c>
      <c r="P7730">
        <v>6675.9</v>
      </c>
      <c r="S7730" t="str">
        <f>"RECEITAS COM ENTREGAS (303)"</f>
        <v>RECEITAS COM ENTREGAS (303)</v>
      </c>
      <c r="T7730">
        <v>20357</v>
      </c>
      <c r="U7730">
        <v>24347</v>
      </c>
      <c r="V7730" t="s">
        <v>22</v>
      </c>
    </row>
    <row r="7731" spans="1:22">
      <c r="A7731" t="str">
        <f t="shared" si="1427"/>
        <v>29/10/2025</v>
      </c>
      <c r="B7731" t="str">
        <f t="shared" si="1428"/>
        <v>ENTRADA</v>
      </c>
      <c r="C7731" t="str">
        <f t="shared" si="1429"/>
        <v>NFSE</v>
      </c>
      <c r="D7731" t="str">
        <f>"3560"</f>
        <v>3560</v>
      </c>
      <c r="E7731" t="str">
        <f t="shared" si="1425"/>
        <v>1</v>
      </c>
      <c r="F7731" t="str">
        <f t="shared" si="1411"/>
        <v>COM</v>
      </c>
      <c r="G7731" t="str">
        <f>"ENTREFARMA (10164)"</f>
        <v>ENTREFARMA (10164)</v>
      </c>
      <c r="H7731" t="s">
        <v>2161</v>
      </c>
      <c r="I7731" t="str">
        <f t="shared" si="1430"/>
        <v>29/10/2025</v>
      </c>
      <c r="J7731" t="str">
        <f t="shared" si="1426"/>
        <v>27/10/2025</v>
      </c>
      <c r="K7731">
        <v>45959</v>
      </c>
      <c r="N7731">
        <v>303</v>
      </c>
      <c r="O7731" t="s">
        <v>69</v>
      </c>
      <c r="Q7731">
        <v>6675.9</v>
      </c>
      <c r="R7731" t="str">
        <f>"ENTREFARMA (10164)"</f>
        <v>ENTREFARMA (10164)</v>
      </c>
      <c r="S7731" t="s">
        <v>70</v>
      </c>
      <c r="T7731">
        <v>20357</v>
      </c>
      <c r="U7731">
        <v>24347</v>
      </c>
      <c r="V7731" t="s">
        <v>22</v>
      </c>
    </row>
    <row r="7732" spans="1:22">
      <c r="A7732" t="str">
        <f t="shared" si="1427"/>
        <v>29/10/2025</v>
      </c>
      <c r="B7732" t="str">
        <f t="shared" si="1428"/>
        <v>ENTRADA</v>
      </c>
      <c r="C7732" t="str">
        <f t="shared" si="1429"/>
        <v>NFSE</v>
      </c>
      <c r="D7732" t="str">
        <f>"3561"</f>
        <v>3561</v>
      </c>
      <c r="E7732" t="str">
        <f t="shared" si="1425"/>
        <v>1</v>
      </c>
      <c r="F7732" t="str">
        <f t="shared" si="1411"/>
        <v>COM</v>
      </c>
      <c r="G7732" t="str">
        <f>"FRAN FARMA (10124)"</f>
        <v>FRAN FARMA (10124)</v>
      </c>
      <c r="H7732" t="str">
        <f>"Serv.Prest. 20/10/2025 a 26/10/2025 - RPS: 1437 - NFSe: 3561"</f>
        <v>Serv.Prest. 20/10/2025 a 26/10/2025 - RPS: 1437 - NFSe: 3561</v>
      </c>
      <c r="I7732" t="str">
        <f t="shared" si="1430"/>
        <v>29/10/2025</v>
      </c>
      <c r="J7732" t="str">
        <f t="shared" si="1426"/>
        <v>27/10/2025</v>
      </c>
      <c r="K7732" t="str">
        <f>("29/10/2025")</f>
        <v>29/10/2025</v>
      </c>
      <c r="L7732">
        <v>840</v>
      </c>
      <c r="M7732">
        <v>840</v>
      </c>
      <c r="N7732">
        <v>303</v>
      </c>
      <c r="O7732" t="str">
        <f>"RECEITAS COM ENTREGAS"</f>
        <v>RECEITAS COM ENTREGAS</v>
      </c>
      <c r="P7732">
        <v>840</v>
      </c>
      <c r="S7732" t="str">
        <f>"RECEITAS COM ENTREGAS (303)"</f>
        <v>RECEITAS COM ENTREGAS (303)</v>
      </c>
      <c r="T7732">
        <v>20358</v>
      </c>
      <c r="U7732">
        <v>24352</v>
      </c>
      <c r="V7732" t="s">
        <v>22</v>
      </c>
    </row>
    <row r="7733" spans="1:22">
      <c r="A7733" t="str">
        <f t="shared" si="1427"/>
        <v>29/10/2025</v>
      </c>
      <c r="B7733" t="str">
        <f t="shared" si="1428"/>
        <v>ENTRADA</v>
      </c>
      <c r="C7733" t="str">
        <f t="shared" si="1429"/>
        <v>NFSE</v>
      </c>
      <c r="D7733" t="str">
        <f>"3561"</f>
        <v>3561</v>
      </c>
      <c r="E7733" t="str">
        <f t="shared" si="1425"/>
        <v>1</v>
      </c>
      <c r="F7733" t="str">
        <f t="shared" si="1411"/>
        <v>COM</v>
      </c>
      <c r="G7733" t="str">
        <f>"FRAN FARMA (10124)"</f>
        <v>FRAN FARMA (10124)</v>
      </c>
      <c r="H7733" t="s">
        <v>2162</v>
      </c>
      <c r="I7733" t="str">
        <f t="shared" si="1430"/>
        <v>29/10/2025</v>
      </c>
      <c r="J7733" t="str">
        <f t="shared" si="1426"/>
        <v>27/10/2025</v>
      </c>
      <c r="K7733">
        <v>45959</v>
      </c>
      <c r="N7733">
        <v>303</v>
      </c>
      <c r="O7733" t="s">
        <v>69</v>
      </c>
      <c r="Q7733">
        <v>504</v>
      </c>
      <c r="R7733" t="str">
        <f>"FRAN FARMA LJ 2 (10131)"</f>
        <v>FRAN FARMA LJ 2 (10131)</v>
      </c>
      <c r="S7733" t="s">
        <v>70</v>
      </c>
      <c r="T7733">
        <v>20358</v>
      </c>
      <c r="U7733">
        <v>24352</v>
      </c>
      <c r="V7733" t="s">
        <v>22</v>
      </c>
    </row>
    <row r="7734" spans="1:22">
      <c r="A7734" t="str">
        <f t="shared" si="1427"/>
        <v>29/10/2025</v>
      </c>
      <c r="B7734" t="str">
        <f t="shared" si="1428"/>
        <v>ENTRADA</v>
      </c>
      <c r="C7734" t="str">
        <f t="shared" si="1429"/>
        <v>NFSE</v>
      </c>
      <c r="D7734" t="str">
        <f>"3561"</f>
        <v>3561</v>
      </c>
      <c r="E7734" t="str">
        <f t="shared" si="1425"/>
        <v>1</v>
      </c>
      <c r="F7734" t="str">
        <f t="shared" si="1411"/>
        <v>COM</v>
      </c>
      <c r="G7734" t="str">
        <f>"FRAN FARMA (10124)"</f>
        <v>FRAN FARMA (10124)</v>
      </c>
      <c r="H7734" t="s">
        <v>2162</v>
      </c>
      <c r="I7734" t="str">
        <f t="shared" si="1430"/>
        <v>29/10/2025</v>
      </c>
      <c r="J7734" t="str">
        <f t="shared" si="1426"/>
        <v>27/10/2025</v>
      </c>
      <c r="K7734">
        <v>45959</v>
      </c>
      <c r="N7734">
        <v>303</v>
      </c>
      <c r="O7734" t="s">
        <v>69</v>
      </c>
      <c r="Q7734">
        <v>336</v>
      </c>
      <c r="R7734" t="str">
        <f>"FRAN FARMA LJ 3 (10132)"</f>
        <v>FRAN FARMA LJ 3 (10132)</v>
      </c>
      <c r="S7734" t="s">
        <v>70</v>
      </c>
      <c r="T7734">
        <v>20358</v>
      </c>
      <c r="U7734">
        <v>24352</v>
      </c>
      <c r="V7734" t="s">
        <v>22</v>
      </c>
    </row>
    <row r="7735" spans="1:22">
      <c r="A7735" t="str">
        <f t="shared" si="1427"/>
        <v>29/10/2025</v>
      </c>
      <c r="B7735" t="str">
        <f t="shared" si="1428"/>
        <v>ENTRADA</v>
      </c>
      <c r="C7735" t="str">
        <f t="shared" si="1429"/>
        <v>NFSE</v>
      </c>
      <c r="D7735" t="str">
        <f>"3562"</f>
        <v>3562</v>
      </c>
      <c r="E7735" t="str">
        <f t="shared" si="1425"/>
        <v>1</v>
      </c>
      <c r="F7735" t="str">
        <f t="shared" si="1411"/>
        <v>COM</v>
      </c>
      <c r="G7735" t="str">
        <f>"PENSE FARMA 51 (10235)"</f>
        <v>PENSE FARMA 51 (10235)</v>
      </c>
      <c r="H7735" t="str">
        <f>"Serv.Prest. 20/10/2025 a 26/10/2025 - RPS: 1438 - NFSe: 3562"</f>
        <v>Serv.Prest. 20/10/2025 a 26/10/2025 - RPS: 1438 - NFSe: 3562</v>
      </c>
      <c r="I7735" t="str">
        <f t="shared" si="1430"/>
        <v>29/10/2025</v>
      </c>
      <c r="J7735" t="str">
        <f t="shared" si="1426"/>
        <v>27/10/2025</v>
      </c>
      <c r="K7735" t="str">
        <f>("29/10/2025")</f>
        <v>29/10/2025</v>
      </c>
      <c r="L7735">
        <v>971.04</v>
      </c>
      <c r="M7735">
        <v>971.04</v>
      </c>
      <c r="N7735">
        <v>303</v>
      </c>
      <c r="O7735" t="str">
        <f>"RECEITAS COM ENTREGAS"</f>
        <v>RECEITAS COM ENTREGAS</v>
      </c>
      <c r="P7735">
        <v>971.04</v>
      </c>
      <c r="S7735" t="str">
        <f>"RECEITAS COM ENTREGAS (303)"</f>
        <v>RECEITAS COM ENTREGAS (303)</v>
      </c>
      <c r="T7735">
        <v>20359</v>
      </c>
      <c r="U7735">
        <v>24354</v>
      </c>
      <c r="V7735" t="s">
        <v>22</v>
      </c>
    </row>
    <row r="7736" spans="1:22">
      <c r="A7736" t="str">
        <f t="shared" si="1427"/>
        <v>29/10/2025</v>
      </c>
      <c r="B7736" t="str">
        <f t="shared" si="1428"/>
        <v>ENTRADA</v>
      </c>
      <c r="C7736" t="str">
        <f t="shared" si="1429"/>
        <v>NFSE</v>
      </c>
      <c r="D7736" t="str">
        <f>"3562"</f>
        <v>3562</v>
      </c>
      <c r="E7736" t="str">
        <f t="shared" si="1425"/>
        <v>1</v>
      </c>
      <c r="F7736" t="str">
        <f t="shared" si="1411"/>
        <v>COM</v>
      </c>
      <c r="G7736" t="str">
        <f>"PENSE FARMA 51 (10235)"</f>
        <v>PENSE FARMA 51 (10235)</v>
      </c>
      <c r="H7736" t="s">
        <v>2163</v>
      </c>
      <c r="I7736" t="str">
        <f t="shared" si="1430"/>
        <v>29/10/2025</v>
      </c>
      <c r="J7736" t="str">
        <f t="shared" si="1426"/>
        <v>27/10/2025</v>
      </c>
      <c r="K7736">
        <v>45959</v>
      </c>
      <c r="N7736">
        <v>303</v>
      </c>
      <c r="O7736" t="s">
        <v>69</v>
      </c>
      <c r="Q7736">
        <v>971.04</v>
      </c>
      <c r="R7736" t="str">
        <f>"PENSE FARMA 51 (10235)"</f>
        <v>PENSE FARMA 51 (10235)</v>
      </c>
      <c r="S7736" t="s">
        <v>70</v>
      </c>
      <c r="T7736">
        <v>20359</v>
      </c>
      <c r="U7736">
        <v>24354</v>
      </c>
      <c r="V7736" t="s">
        <v>22</v>
      </c>
    </row>
    <row r="7737" spans="1:22">
      <c r="A7737" t="str">
        <f t="shared" si="1427"/>
        <v>29/10/2025</v>
      </c>
      <c r="B7737" t="str">
        <f t="shared" si="1428"/>
        <v>ENTRADA</v>
      </c>
      <c r="C7737" t="str">
        <f t="shared" si="1429"/>
        <v>NFSE</v>
      </c>
      <c r="D7737" t="str">
        <f>"3563"</f>
        <v>3563</v>
      </c>
      <c r="E7737" t="str">
        <f t="shared" si="1425"/>
        <v>1</v>
      </c>
      <c r="F7737" t="str">
        <f t="shared" ref="F7737:F7800" si="1431">"COM"</f>
        <v>COM</v>
      </c>
      <c r="G7737" t="str">
        <f>"PENSE FARMA 31 (10205)"</f>
        <v>PENSE FARMA 31 (10205)</v>
      </c>
      <c r="H7737" t="str">
        <f>"Serv.Prest. 20/10/2025 a 26/10/2025 - RPS: 1439 - NFSe: 3563"</f>
        <v>Serv.Prest. 20/10/2025 a 26/10/2025 - RPS: 1439 - NFSe: 3563</v>
      </c>
      <c r="I7737" t="str">
        <f t="shared" si="1430"/>
        <v>29/10/2025</v>
      </c>
      <c r="J7737" t="str">
        <f t="shared" si="1426"/>
        <v>27/10/2025</v>
      </c>
      <c r="K7737" t="str">
        <f>("29/10/2025")</f>
        <v>29/10/2025</v>
      </c>
      <c r="L7737">
        <v>1608.94</v>
      </c>
      <c r="M7737">
        <v>1608.94</v>
      </c>
      <c r="N7737">
        <v>303</v>
      </c>
      <c r="O7737" t="str">
        <f>"RECEITAS COM ENTREGAS"</f>
        <v>RECEITAS COM ENTREGAS</v>
      </c>
      <c r="P7737">
        <v>1608.94</v>
      </c>
      <c r="S7737" t="str">
        <f>"RECEITAS COM ENTREGAS (303)"</f>
        <v>RECEITAS COM ENTREGAS (303)</v>
      </c>
      <c r="T7737">
        <v>20360</v>
      </c>
      <c r="U7737">
        <v>24356</v>
      </c>
      <c r="V7737" t="s">
        <v>22</v>
      </c>
    </row>
    <row r="7738" spans="1:22">
      <c r="A7738" t="str">
        <f t="shared" si="1427"/>
        <v>29/10/2025</v>
      </c>
      <c r="B7738" t="str">
        <f t="shared" si="1428"/>
        <v>ENTRADA</v>
      </c>
      <c r="C7738" t="str">
        <f t="shared" si="1429"/>
        <v>NFSE</v>
      </c>
      <c r="D7738" t="str">
        <f>"3563"</f>
        <v>3563</v>
      </c>
      <c r="E7738" t="str">
        <f t="shared" si="1425"/>
        <v>1</v>
      </c>
      <c r="F7738" t="str">
        <f t="shared" si="1431"/>
        <v>COM</v>
      </c>
      <c r="G7738" t="str">
        <f>"PENSE FARMA 31 (10205)"</f>
        <v>PENSE FARMA 31 (10205)</v>
      </c>
      <c r="H7738" t="s">
        <v>2164</v>
      </c>
      <c r="I7738" t="str">
        <f t="shared" si="1430"/>
        <v>29/10/2025</v>
      </c>
      <c r="J7738" t="str">
        <f t="shared" si="1426"/>
        <v>27/10/2025</v>
      </c>
      <c r="K7738">
        <v>45959</v>
      </c>
      <c r="N7738">
        <v>303</v>
      </c>
      <c r="O7738" t="s">
        <v>69</v>
      </c>
      <c r="Q7738">
        <v>534.01</v>
      </c>
      <c r="R7738" t="str">
        <f>"PENSE FARMA 31 (10205)"</f>
        <v>PENSE FARMA 31 (10205)</v>
      </c>
      <c r="S7738" t="s">
        <v>70</v>
      </c>
      <c r="T7738">
        <v>20360</v>
      </c>
      <c r="U7738">
        <v>24356</v>
      </c>
      <c r="V7738" t="s">
        <v>22</v>
      </c>
    </row>
    <row r="7739" spans="1:22">
      <c r="A7739" t="str">
        <f t="shared" si="1427"/>
        <v>29/10/2025</v>
      </c>
      <c r="B7739" t="str">
        <f t="shared" si="1428"/>
        <v>ENTRADA</v>
      </c>
      <c r="C7739" t="str">
        <f t="shared" si="1429"/>
        <v>NFSE</v>
      </c>
      <c r="D7739" t="str">
        <f>"3563"</f>
        <v>3563</v>
      </c>
      <c r="E7739" t="str">
        <f t="shared" si="1425"/>
        <v>1</v>
      </c>
      <c r="F7739" t="str">
        <f t="shared" si="1431"/>
        <v>COM</v>
      </c>
      <c r="G7739" t="str">
        <f>"PENSE FARMA 31 (10205)"</f>
        <v>PENSE FARMA 31 (10205)</v>
      </c>
      <c r="H7739" t="s">
        <v>2164</v>
      </c>
      <c r="I7739" t="str">
        <f t="shared" si="1430"/>
        <v>29/10/2025</v>
      </c>
      <c r="J7739" t="str">
        <f t="shared" si="1426"/>
        <v>27/10/2025</v>
      </c>
      <c r="K7739">
        <v>45959</v>
      </c>
      <c r="N7739">
        <v>303</v>
      </c>
      <c r="O7739" t="s">
        <v>69</v>
      </c>
      <c r="Q7739">
        <v>540.76</v>
      </c>
      <c r="R7739" t="str">
        <f>"PENSE FARMA 16 (10221)"</f>
        <v>PENSE FARMA 16 (10221)</v>
      </c>
      <c r="S7739" t="s">
        <v>70</v>
      </c>
      <c r="T7739">
        <v>20360</v>
      </c>
      <c r="U7739">
        <v>24356</v>
      </c>
      <c r="V7739" t="s">
        <v>22</v>
      </c>
    </row>
    <row r="7740" spans="1:22">
      <c r="A7740" t="str">
        <f t="shared" si="1427"/>
        <v>29/10/2025</v>
      </c>
      <c r="B7740" t="str">
        <f t="shared" si="1428"/>
        <v>ENTRADA</v>
      </c>
      <c r="C7740" t="str">
        <f t="shared" si="1429"/>
        <v>NFSE</v>
      </c>
      <c r="D7740" t="str">
        <f>"3563"</f>
        <v>3563</v>
      </c>
      <c r="E7740" t="str">
        <f t="shared" si="1425"/>
        <v>1</v>
      </c>
      <c r="F7740" t="str">
        <f t="shared" si="1431"/>
        <v>COM</v>
      </c>
      <c r="G7740" t="str">
        <f>"PENSE FARMA 31 (10205)"</f>
        <v>PENSE FARMA 31 (10205)</v>
      </c>
      <c r="H7740" t="s">
        <v>2164</v>
      </c>
      <c r="I7740" t="str">
        <f t="shared" si="1430"/>
        <v>29/10/2025</v>
      </c>
      <c r="J7740" t="str">
        <f t="shared" si="1426"/>
        <v>27/10/2025</v>
      </c>
      <c r="K7740">
        <v>45959</v>
      </c>
      <c r="N7740">
        <v>303</v>
      </c>
      <c r="O7740" t="s">
        <v>69</v>
      </c>
      <c r="Q7740">
        <v>534.16999999999996</v>
      </c>
      <c r="R7740" t="str">
        <f>"PENSE FARMA 17 (10222)"</f>
        <v>PENSE FARMA 17 (10222)</v>
      </c>
      <c r="S7740" t="s">
        <v>70</v>
      </c>
      <c r="T7740">
        <v>20360</v>
      </c>
      <c r="U7740">
        <v>24356</v>
      </c>
      <c r="V7740" t="s">
        <v>22</v>
      </c>
    </row>
    <row r="7741" spans="1:22">
      <c r="A7741" t="str">
        <f t="shared" si="1427"/>
        <v>29/10/2025</v>
      </c>
      <c r="B7741" t="str">
        <f t="shared" si="1428"/>
        <v>ENTRADA</v>
      </c>
      <c r="C7741" t="str">
        <f t="shared" si="1429"/>
        <v>NFSE</v>
      </c>
      <c r="D7741" t="str">
        <f>"3564"</f>
        <v>3564</v>
      </c>
      <c r="E7741" t="str">
        <f t="shared" si="1425"/>
        <v>1</v>
      </c>
      <c r="F7741" t="str">
        <f t="shared" si="1431"/>
        <v>COM</v>
      </c>
      <c r="G7741" t="str">
        <f>"PENSE FARMA 44 (10231)"</f>
        <v>PENSE FARMA 44 (10231)</v>
      </c>
      <c r="H7741" t="str">
        <f>"Serv.Prest. 20/10/2025 a 26/10/2025 - RPS: 1440 - NFSe: 3564"</f>
        <v>Serv.Prest. 20/10/2025 a 26/10/2025 - RPS: 1440 - NFSe: 3564</v>
      </c>
      <c r="I7741" t="str">
        <f t="shared" si="1430"/>
        <v>29/10/2025</v>
      </c>
      <c r="J7741" t="str">
        <f t="shared" si="1426"/>
        <v>27/10/2025</v>
      </c>
      <c r="K7741" t="str">
        <f>("29/10/2025")</f>
        <v>29/10/2025</v>
      </c>
      <c r="L7741">
        <v>3337.94</v>
      </c>
      <c r="M7741">
        <v>3337.94</v>
      </c>
      <c r="N7741">
        <v>303</v>
      </c>
      <c r="O7741" t="str">
        <f>"RECEITAS COM ENTREGAS"</f>
        <v>RECEITAS COM ENTREGAS</v>
      </c>
      <c r="P7741">
        <v>3337.94</v>
      </c>
      <c r="S7741" t="str">
        <f>"RECEITAS COM ENTREGAS (303)"</f>
        <v>RECEITAS COM ENTREGAS (303)</v>
      </c>
      <c r="T7741">
        <v>20361</v>
      </c>
      <c r="U7741">
        <v>24359</v>
      </c>
      <c r="V7741" t="s">
        <v>22</v>
      </c>
    </row>
    <row r="7742" spans="1:22">
      <c r="A7742" t="str">
        <f t="shared" si="1427"/>
        <v>29/10/2025</v>
      </c>
      <c r="B7742" t="str">
        <f t="shared" si="1428"/>
        <v>ENTRADA</v>
      </c>
      <c r="C7742" t="str">
        <f t="shared" si="1429"/>
        <v>NFSE</v>
      </c>
      <c r="D7742" t="str">
        <f>"3564"</f>
        <v>3564</v>
      </c>
      <c r="E7742" t="str">
        <f t="shared" si="1425"/>
        <v>1</v>
      </c>
      <c r="F7742" t="str">
        <f t="shared" si="1431"/>
        <v>COM</v>
      </c>
      <c r="G7742" t="str">
        <f>"PENSE FARMA 44 (10231)"</f>
        <v>PENSE FARMA 44 (10231)</v>
      </c>
      <c r="H7742" t="s">
        <v>2165</v>
      </c>
      <c r="I7742" t="str">
        <f t="shared" si="1430"/>
        <v>29/10/2025</v>
      </c>
      <c r="J7742" t="str">
        <f t="shared" si="1426"/>
        <v>27/10/2025</v>
      </c>
      <c r="K7742">
        <v>45959</v>
      </c>
      <c r="N7742">
        <v>303</v>
      </c>
      <c r="O7742" t="s">
        <v>69</v>
      </c>
      <c r="Q7742">
        <v>1668.97</v>
      </c>
      <c r="R7742" t="str">
        <f>"PENSE FARMA 44 (10231)"</f>
        <v>PENSE FARMA 44 (10231)</v>
      </c>
      <c r="S7742" t="s">
        <v>70</v>
      </c>
      <c r="T7742">
        <v>20361</v>
      </c>
      <c r="U7742">
        <v>24359</v>
      </c>
      <c r="V7742" t="s">
        <v>22</v>
      </c>
    </row>
    <row r="7743" spans="1:22">
      <c r="A7743" t="str">
        <f t="shared" si="1427"/>
        <v>29/10/2025</v>
      </c>
      <c r="B7743" t="str">
        <f t="shared" si="1428"/>
        <v>ENTRADA</v>
      </c>
      <c r="C7743" t="str">
        <f t="shared" si="1429"/>
        <v>NFSE</v>
      </c>
      <c r="D7743" t="str">
        <f>"3564"</f>
        <v>3564</v>
      </c>
      <c r="E7743" t="str">
        <f t="shared" si="1425"/>
        <v>1</v>
      </c>
      <c r="F7743" t="str">
        <f t="shared" si="1431"/>
        <v>COM</v>
      </c>
      <c r="G7743" t="str">
        <f>"PENSE FARMA 44 (10231)"</f>
        <v>PENSE FARMA 44 (10231)</v>
      </c>
      <c r="H7743" t="s">
        <v>2165</v>
      </c>
      <c r="I7743" t="str">
        <f t="shared" si="1430"/>
        <v>29/10/2025</v>
      </c>
      <c r="J7743" t="str">
        <f t="shared" si="1426"/>
        <v>27/10/2025</v>
      </c>
      <c r="K7743">
        <v>45959</v>
      </c>
      <c r="N7743">
        <v>303</v>
      </c>
      <c r="O7743" t="s">
        <v>69</v>
      </c>
      <c r="Q7743">
        <v>1668.97</v>
      </c>
      <c r="R7743" t="str">
        <f>"PENSE FARMA 48 (10233)"</f>
        <v>PENSE FARMA 48 (10233)</v>
      </c>
      <c r="S7743" t="s">
        <v>70</v>
      </c>
      <c r="T7743">
        <v>20361</v>
      </c>
      <c r="U7743">
        <v>24359</v>
      </c>
      <c r="V7743" t="s">
        <v>22</v>
      </c>
    </row>
    <row r="7744" spans="1:22">
      <c r="A7744" t="str">
        <f t="shared" si="1427"/>
        <v>29/10/2025</v>
      </c>
      <c r="B7744" t="str">
        <f t="shared" si="1428"/>
        <v>ENTRADA</v>
      </c>
      <c r="C7744" t="str">
        <f t="shared" si="1429"/>
        <v>NFSE</v>
      </c>
      <c r="D7744" t="str">
        <f>"3565"</f>
        <v>3565</v>
      </c>
      <c r="E7744" t="str">
        <f t="shared" si="1425"/>
        <v>1</v>
      </c>
      <c r="F7744" t="str">
        <f t="shared" si="1431"/>
        <v>COM</v>
      </c>
      <c r="G7744" t="str">
        <f>"PENSE FARMA 19 (10223)"</f>
        <v>PENSE FARMA 19 (10223)</v>
      </c>
      <c r="H7744" t="str">
        <f>"Serv.Prest. 20/10/2025 a 26/10/2025 - RPS: 1441 - NFSe: 3565"</f>
        <v>Serv.Prest. 20/10/2025 a 26/10/2025 - RPS: 1441 - NFSe: 3565</v>
      </c>
      <c r="I7744" t="str">
        <f t="shared" si="1430"/>
        <v>29/10/2025</v>
      </c>
      <c r="J7744" t="str">
        <f t="shared" si="1426"/>
        <v>27/10/2025</v>
      </c>
      <c r="K7744" t="str">
        <f>("29/10/2025")</f>
        <v>29/10/2025</v>
      </c>
      <c r="L7744">
        <v>3337.95</v>
      </c>
      <c r="M7744">
        <v>3337.95</v>
      </c>
      <c r="N7744">
        <v>303</v>
      </c>
      <c r="O7744" t="str">
        <f>"RECEITAS COM ENTREGAS"</f>
        <v>RECEITAS COM ENTREGAS</v>
      </c>
      <c r="P7744">
        <v>3337.95</v>
      </c>
      <c r="S7744" t="str">
        <f>"RECEITAS COM ENTREGAS (303)"</f>
        <v>RECEITAS COM ENTREGAS (303)</v>
      </c>
      <c r="T7744">
        <v>20362</v>
      </c>
      <c r="U7744">
        <v>24362</v>
      </c>
      <c r="V7744" t="s">
        <v>22</v>
      </c>
    </row>
    <row r="7745" spans="1:22">
      <c r="A7745" t="str">
        <f t="shared" si="1427"/>
        <v>29/10/2025</v>
      </c>
      <c r="B7745" t="str">
        <f t="shared" si="1428"/>
        <v>ENTRADA</v>
      </c>
      <c r="C7745" t="str">
        <f t="shared" si="1429"/>
        <v>NFSE</v>
      </c>
      <c r="D7745" t="str">
        <f>"3565"</f>
        <v>3565</v>
      </c>
      <c r="E7745" t="str">
        <f t="shared" si="1425"/>
        <v>1</v>
      </c>
      <c r="F7745" t="str">
        <f t="shared" si="1431"/>
        <v>COM</v>
      </c>
      <c r="G7745" t="str">
        <f>"PENSE FARMA 19 (10223)"</f>
        <v>PENSE FARMA 19 (10223)</v>
      </c>
      <c r="H7745" t="s">
        <v>2166</v>
      </c>
      <c r="I7745" t="str">
        <f t="shared" si="1430"/>
        <v>29/10/2025</v>
      </c>
      <c r="J7745" t="str">
        <f t="shared" si="1426"/>
        <v>27/10/2025</v>
      </c>
      <c r="K7745">
        <v>45959</v>
      </c>
      <c r="N7745">
        <v>303</v>
      </c>
      <c r="O7745" t="s">
        <v>69</v>
      </c>
      <c r="Q7745">
        <v>3337.95</v>
      </c>
      <c r="R7745" t="str">
        <f>"PENSE FARMA 19 (10223)"</f>
        <v>PENSE FARMA 19 (10223)</v>
      </c>
      <c r="S7745" t="s">
        <v>70</v>
      </c>
      <c r="T7745">
        <v>20362</v>
      </c>
      <c r="U7745">
        <v>24362</v>
      </c>
      <c r="V7745" t="s">
        <v>22</v>
      </c>
    </row>
    <row r="7746" spans="1:22">
      <c r="A7746" t="str">
        <f t="shared" si="1427"/>
        <v>29/10/2025</v>
      </c>
      <c r="B7746" t="str">
        <f t="shared" si="1428"/>
        <v>ENTRADA</v>
      </c>
      <c r="C7746" t="str">
        <f t="shared" si="1429"/>
        <v>NFSE</v>
      </c>
      <c r="D7746" t="str">
        <f>"3566"</f>
        <v>3566</v>
      </c>
      <c r="E7746" t="str">
        <f t="shared" si="1425"/>
        <v>1</v>
      </c>
      <c r="F7746" t="str">
        <f t="shared" si="1431"/>
        <v>COM</v>
      </c>
      <c r="G7746" t="str">
        <f>"PENSE FARMA 49 (10234)"</f>
        <v>PENSE FARMA 49 (10234)</v>
      </c>
      <c r="H7746" t="str">
        <f>"Serv.Prest. 20/10/2025 a 26/10/2025 - RPS: 1442 - NFSe: 3566"</f>
        <v>Serv.Prest. 20/10/2025 a 26/10/2025 - RPS: 1442 - NFSe: 3566</v>
      </c>
      <c r="I7746" t="str">
        <f t="shared" si="1430"/>
        <v>29/10/2025</v>
      </c>
      <c r="J7746" t="str">
        <f t="shared" si="1426"/>
        <v>27/10/2025</v>
      </c>
      <c r="K7746" t="str">
        <f>("29/10/2025")</f>
        <v>29/10/2025</v>
      </c>
      <c r="L7746">
        <v>971.04</v>
      </c>
      <c r="M7746">
        <v>971.04</v>
      </c>
      <c r="N7746">
        <v>303</v>
      </c>
      <c r="O7746" t="str">
        <f>"RECEITAS COM ENTREGAS"</f>
        <v>RECEITAS COM ENTREGAS</v>
      </c>
      <c r="P7746">
        <v>971.04</v>
      </c>
      <c r="S7746" t="str">
        <f>"RECEITAS COM ENTREGAS (303)"</f>
        <v>RECEITAS COM ENTREGAS (303)</v>
      </c>
      <c r="T7746">
        <v>20363</v>
      </c>
      <c r="U7746">
        <v>24365</v>
      </c>
      <c r="V7746" t="s">
        <v>22</v>
      </c>
    </row>
    <row r="7747" spans="1:22">
      <c r="A7747" t="str">
        <f t="shared" si="1427"/>
        <v>29/10/2025</v>
      </c>
      <c r="B7747" t="str">
        <f t="shared" si="1428"/>
        <v>ENTRADA</v>
      </c>
      <c r="C7747" t="str">
        <f t="shared" si="1429"/>
        <v>NFSE</v>
      </c>
      <c r="D7747" t="str">
        <f>"3566"</f>
        <v>3566</v>
      </c>
      <c r="E7747" t="str">
        <f t="shared" si="1425"/>
        <v>1</v>
      </c>
      <c r="F7747" t="str">
        <f t="shared" si="1431"/>
        <v>COM</v>
      </c>
      <c r="G7747" t="str">
        <f>"PENSE FARMA 49 (10234)"</f>
        <v>PENSE FARMA 49 (10234)</v>
      </c>
      <c r="H7747" t="s">
        <v>2167</v>
      </c>
      <c r="I7747" t="str">
        <f t="shared" si="1430"/>
        <v>29/10/2025</v>
      </c>
      <c r="J7747" t="str">
        <f t="shared" si="1426"/>
        <v>27/10/2025</v>
      </c>
      <c r="K7747">
        <v>45959</v>
      </c>
      <c r="N7747">
        <v>303</v>
      </c>
      <c r="O7747" t="s">
        <v>69</v>
      </c>
      <c r="Q7747">
        <v>971.04</v>
      </c>
      <c r="R7747" t="str">
        <f>"PENSE FARMA 49 (10234)"</f>
        <v>PENSE FARMA 49 (10234)</v>
      </c>
      <c r="S7747" t="s">
        <v>70</v>
      </c>
      <c r="T7747">
        <v>20363</v>
      </c>
      <c r="U7747">
        <v>24365</v>
      </c>
      <c r="V7747" t="s">
        <v>22</v>
      </c>
    </row>
    <row r="7748" spans="1:22">
      <c r="A7748" t="str">
        <f t="shared" si="1427"/>
        <v>29/10/2025</v>
      </c>
      <c r="B7748" t="str">
        <f t="shared" si="1428"/>
        <v>ENTRADA</v>
      </c>
      <c r="C7748" t="str">
        <f t="shared" si="1429"/>
        <v>NFSE</v>
      </c>
      <c r="D7748" t="str">
        <f>"3567"</f>
        <v>3567</v>
      </c>
      <c r="E7748" t="str">
        <f t="shared" si="1425"/>
        <v>1</v>
      </c>
      <c r="F7748" t="str">
        <f t="shared" si="1431"/>
        <v>COM</v>
      </c>
      <c r="G7748" t="str">
        <f>"PENSE FARMA 39 (10228)"</f>
        <v>PENSE FARMA 39 (10228)</v>
      </c>
      <c r="H7748" t="str">
        <f>"Serv.Prest. 20/10/2025 a 26/10/2025 - RPS: 1443 - NFSe: 3567"</f>
        <v>Serv.Prest. 20/10/2025 a 26/10/2025 - RPS: 1443 - NFSe: 3567</v>
      </c>
      <c r="I7748" t="str">
        <f t="shared" si="1430"/>
        <v>29/10/2025</v>
      </c>
      <c r="J7748" t="str">
        <f t="shared" si="1426"/>
        <v>27/10/2025</v>
      </c>
      <c r="K7748" t="str">
        <f>("29/10/2025")</f>
        <v>29/10/2025</v>
      </c>
      <c r="L7748">
        <v>3156.99</v>
      </c>
      <c r="M7748">
        <v>3156.99</v>
      </c>
      <c r="N7748">
        <v>303</v>
      </c>
      <c r="O7748" t="str">
        <f>"RECEITAS COM ENTREGAS"</f>
        <v>RECEITAS COM ENTREGAS</v>
      </c>
      <c r="P7748">
        <v>3156.99</v>
      </c>
      <c r="S7748" t="str">
        <f>"RECEITAS COM ENTREGAS (303)"</f>
        <v>RECEITAS COM ENTREGAS (303)</v>
      </c>
      <c r="T7748">
        <v>20364</v>
      </c>
      <c r="U7748">
        <v>24367</v>
      </c>
      <c r="V7748" t="s">
        <v>22</v>
      </c>
    </row>
    <row r="7749" spans="1:22">
      <c r="A7749" t="str">
        <f t="shared" si="1427"/>
        <v>29/10/2025</v>
      </c>
      <c r="B7749" t="str">
        <f t="shared" si="1428"/>
        <v>ENTRADA</v>
      </c>
      <c r="C7749" t="str">
        <f t="shared" si="1429"/>
        <v>NFSE</v>
      </c>
      <c r="D7749" t="str">
        <f>"3567"</f>
        <v>3567</v>
      </c>
      <c r="E7749" t="str">
        <f t="shared" si="1425"/>
        <v>1</v>
      </c>
      <c r="F7749" t="str">
        <f t="shared" si="1431"/>
        <v>COM</v>
      </c>
      <c r="G7749" t="str">
        <f>"PENSE FARMA 39 (10228)"</f>
        <v>PENSE FARMA 39 (10228)</v>
      </c>
      <c r="H7749" t="s">
        <v>2168</v>
      </c>
      <c r="I7749" t="str">
        <f t="shared" si="1430"/>
        <v>29/10/2025</v>
      </c>
      <c r="J7749" t="str">
        <f t="shared" si="1426"/>
        <v>27/10/2025</v>
      </c>
      <c r="K7749">
        <v>45959</v>
      </c>
      <c r="N7749">
        <v>303</v>
      </c>
      <c r="O7749" t="s">
        <v>69</v>
      </c>
      <c r="Q7749">
        <v>788.94</v>
      </c>
      <c r="R7749" t="str">
        <f>"PENSE FARMA 02 (10199)"</f>
        <v>PENSE FARMA 02 (10199)</v>
      </c>
      <c r="S7749" t="s">
        <v>70</v>
      </c>
      <c r="T7749">
        <v>20364</v>
      </c>
      <c r="U7749">
        <v>24367</v>
      </c>
      <c r="V7749" t="s">
        <v>22</v>
      </c>
    </row>
    <row r="7750" spans="1:22">
      <c r="A7750" t="str">
        <f t="shared" si="1427"/>
        <v>29/10/2025</v>
      </c>
      <c r="B7750" t="str">
        <f t="shared" si="1428"/>
        <v>ENTRADA</v>
      </c>
      <c r="C7750" t="str">
        <f t="shared" si="1429"/>
        <v>NFSE</v>
      </c>
      <c r="D7750" t="str">
        <f>"3567"</f>
        <v>3567</v>
      </c>
      <c r="E7750" t="str">
        <f t="shared" si="1425"/>
        <v>1</v>
      </c>
      <c r="F7750" t="str">
        <f t="shared" si="1431"/>
        <v>COM</v>
      </c>
      <c r="G7750" t="str">
        <f>"PENSE FARMA 39 (10228)"</f>
        <v>PENSE FARMA 39 (10228)</v>
      </c>
      <c r="H7750" t="s">
        <v>2168</v>
      </c>
      <c r="I7750" t="str">
        <f t="shared" si="1430"/>
        <v>29/10/2025</v>
      </c>
      <c r="J7750" t="str">
        <f t="shared" si="1426"/>
        <v>27/10/2025</v>
      </c>
      <c r="K7750">
        <v>45959</v>
      </c>
      <c r="N7750">
        <v>303</v>
      </c>
      <c r="O7750" t="s">
        <v>69</v>
      </c>
      <c r="Q7750">
        <v>788.93</v>
      </c>
      <c r="R7750" t="str">
        <f>"PENSE FARMA 01 (10215)"</f>
        <v>PENSE FARMA 01 (10215)</v>
      </c>
      <c r="S7750" t="s">
        <v>70</v>
      </c>
      <c r="T7750">
        <v>20364</v>
      </c>
      <c r="U7750">
        <v>24367</v>
      </c>
      <c r="V7750" t="s">
        <v>22</v>
      </c>
    </row>
    <row r="7751" spans="1:22">
      <c r="A7751" t="str">
        <f t="shared" si="1427"/>
        <v>29/10/2025</v>
      </c>
      <c r="B7751" t="str">
        <f t="shared" si="1428"/>
        <v>ENTRADA</v>
      </c>
      <c r="C7751" t="str">
        <f t="shared" si="1429"/>
        <v>NFSE</v>
      </c>
      <c r="D7751" t="str">
        <f>"3567"</f>
        <v>3567</v>
      </c>
      <c r="E7751" t="str">
        <f t="shared" si="1425"/>
        <v>1</v>
      </c>
      <c r="F7751" t="str">
        <f t="shared" si="1431"/>
        <v>COM</v>
      </c>
      <c r="G7751" t="str">
        <f>"PENSE FARMA 39 (10228)"</f>
        <v>PENSE FARMA 39 (10228)</v>
      </c>
      <c r="H7751" t="s">
        <v>2168</v>
      </c>
      <c r="I7751" t="str">
        <f t="shared" si="1430"/>
        <v>29/10/2025</v>
      </c>
      <c r="J7751" t="str">
        <f t="shared" si="1426"/>
        <v>27/10/2025</v>
      </c>
      <c r="K7751">
        <v>45959</v>
      </c>
      <c r="N7751">
        <v>303</v>
      </c>
      <c r="O7751" t="s">
        <v>69</v>
      </c>
      <c r="Q7751">
        <v>788.93</v>
      </c>
      <c r="R7751" t="str">
        <f>"PENSE FARMA 03 (10216)"</f>
        <v>PENSE FARMA 03 (10216)</v>
      </c>
      <c r="S7751" t="s">
        <v>70</v>
      </c>
      <c r="T7751">
        <v>20364</v>
      </c>
      <c r="U7751">
        <v>24367</v>
      </c>
      <c r="V7751" t="s">
        <v>22</v>
      </c>
    </row>
    <row r="7752" spans="1:22">
      <c r="A7752" t="str">
        <f t="shared" si="1427"/>
        <v>29/10/2025</v>
      </c>
      <c r="B7752" t="str">
        <f t="shared" si="1428"/>
        <v>ENTRADA</v>
      </c>
      <c r="C7752" t="str">
        <f t="shared" si="1429"/>
        <v>NFSE</v>
      </c>
      <c r="D7752" t="str">
        <f>"3567"</f>
        <v>3567</v>
      </c>
      <c r="E7752" t="str">
        <f t="shared" si="1425"/>
        <v>1</v>
      </c>
      <c r="F7752" t="str">
        <f t="shared" si="1431"/>
        <v>COM</v>
      </c>
      <c r="G7752" t="str">
        <f>"PENSE FARMA 39 (10228)"</f>
        <v>PENSE FARMA 39 (10228)</v>
      </c>
      <c r="H7752" t="s">
        <v>2168</v>
      </c>
      <c r="I7752" t="str">
        <f t="shared" si="1430"/>
        <v>29/10/2025</v>
      </c>
      <c r="J7752" t="str">
        <f t="shared" si="1426"/>
        <v>27/10/2025</v>
      </c>
      <c r="K7752">
        <v>45959</v>
      </c>
      <c r="N7752">
        <v>303</v>
      </c>
      <c r="O7752" t="s">
        <v>69</v>
      </c>
      <c r="Q7752">
        <v>790.19</v>
      </c>
      <c r="R7752" t="str">
        <f>"PENSE FARMA 39 (10228)"</f>
        <v>PENSE FARMA 39 (10228)</v>
      </c>
      <c r="S7752" t="s">
        <v>70</v>
      </c>
      <c r="T7752">
        <v>20364</v>
      </c>
      <c r="U7752">
        <v>24367</v>
      </c>
      <c r="V7752" t="s">
        <v>22</v>
      </c>
    </row>
    <row r="7753" spans="1:22">
      <c r="A7753" t="str">
        <f t="shared" si="1427"/>
        <v>29/10/2025</v>
      </c>
      <c r="B7753" t="str">
        <f t="shared" si="1428"/>
        <v>ENTRADA</v>
      </c>
      <c r="C7753" t="str">
        <f t="shared" si="1429"/>
        <v>NFSE</v>
      </c>
      <c r="D7753" t="str">
        <f>"3568"</f>
        <v>3568</v>
      </c>
      <c r="E7753" t="str">
        <f t="shared" si="1425"/>
        <v>1</v>
      </c>
      <c r="F7753" t="str">
        <f t="shared" si="1431"/>
        <v>COM</v>
      </c>
      <c r="G7753" t="str">
        <f>"PENSE FARMA 47 (10232)"</f>
        <v>PENSE FARMA 47 (10232)</v>
      </c>
      <c r="H7753" t="str">
        <f>"Serv.Prest. 20/10/2025 a 26/10/2025 - RPS: 1444 - NFSe: 3568"</f>
        <v>Serv.Prest. 20/10/2025 a 26/10/2025 - RPS: 1444 - NFSe: 3568</v>
      </c>
      <c r="I7753" t="str">
        <f t="shared" si="1430"/>
        <v>29/10/2025</v>
      </c>
      <c r="J7753" t="str">
        <f t="shared" si="1426"/>
        <v>27/10/2025</v>
      </c>
      <c r="K7753" t="str">
        <f>("29/10/2025")</f>
        <v>29/10/2025</v>
      </c>
      <c r="L7753">
        <v>1577.94</v>
      </c>
      <c r="M7753">
        <v>1577.94</v>
      </c>
      <c r="N7753">
        <v>303</v>
      </c>
      <c r="O7753" t="str">
        <f>"RECEITAS COM ENTREGAS"</f>
        <v>RECEITAS COM ENTREGAS</v>
      </c>
      <c r="P7753">
        <v>1577.94</v>
      </c>
      <c r="S7753" t="str">
        <f>"RECEITAS COM ENTREGAS (303)"</f>
        <v>RECEITAS COM ENTREGAS (303)</v>
      </c>
      <c r="T7753">
        <v>20365</v>
      </c>
      <c r="U7753">
        <v>24371</v>
      </c>
      <c r="V7753" t="s">
        <v>22</v>
      </c>
    </row>
    <row r="7754" spans="1:22">
      <c r="A7754" t="str">
        <f t="shared" si="1427"/>
        <v>29/10/2025</v>
      </c>
      <c r="B7754" t="str">
        <f t="shared" si="1428"/>
        <v>ENTRADA</v>
      </c>
      <c r="C7754" t="str">
        <f t="shared" si="1429"/>
        <v>NFSE</v>
      </c>
      <c r="D7754" t="str">
        <f>"3568"</f>
        <v>3568</v>
      </c>
      <c r="E7754" t="str">
        <f t="shared" ref="E7754:E7785" si="1432">"1"</f>
        <v>1</v>
      </c>
      <c r="F7754" t="str">
        <f t="shared" si="1431"/>
        <v>COM</v>
      </c>
      <c r="G7754" t="str">
        <f>"PENSE FARMA 47 (10232)"</f>
        <v>PENSE FARMA 47 (10232)</v>
      </c>
      <c r="H7754" t="s">
        <v>2169</v>
      </c>
      <c r="I7754" t="str">
        <f t="shared" si="1430"/>
        <v>29/10/2025</v>
      </c>
      <c r="J7754" t="str">
        <f t="shared" ref="J7754:J7782" si="1433">("27/10/2025")</f>
        <v>27/10/2025</v>
      </c>
      <c r="K7754">
        <v>45959</v>
      </c>
      <c r="N7754">
        <v>303</v>
      </c>
      <c r="O7754" t="s">
        <v>69</v>
      </c>
      <c r="Q7754">
        <v>1577.94</v>
      </c>
      <c r="R7754" t="str">
        <f>"PENSE FARMA 47 (10232)"</f>
        <v>PENSE FARMA 47 (10232)</v>
      </c>
      <c r="S7754" t="s">
        <v>70</v>
      </c>
      <c r="T7754">
        <v>20365</v>
      </c>
      <c r="U7754">
        <v>24371</v>
      </c>
      <c r="V7754" t="s">
        <v>22</v>
      </c>
    </row>
    <row r="7755" spans="1:22">
      <c r="A7755" t="str">
        <f t="shared" si="1427"/>
        <v>29/10/2025</v>
      </c>
      <c r="B7755" t="str">
        <f t="shared" si="1428"/>
        <v>ENTRADA</v>
      </c>
      <c r="C7755" t="str">
        <f t="shared" si="1429"/>
        <v>NFSE</v>
      </c>
      <c r="D7755" t="str">
        <f>"3569"</f>
        <v>3569</v>
      </c>
      <c r="E7755" t="str">
        <f t="shared" si="1432"/>
        <v>1</v>
      </c>
      <c r="F7755" t="str">
        <f t="shared" si="1431"/>
        <v>COM</v>
      </c>
      <c r="G7755" t="str">
        <f>"PENSE FARMA 25 (10224)"</f>
        <v>PENSE FARMA 25 (10224)</v>
      </c>
      <c r="H7755" t="str">
        <f>"Serv.Prest. 20/10/2025 a 26/10/2025 - RPS: 1445 - NFSe: 3569"</f>
        <v>Serv.Prest. 20/10/2025 a 26/10/2025 - RPS: 1445 - NFSe: 3569</v>
      </c>
      <c r="I7755" t="str">
        <f t="shared" si="1430"/>
        <v>29/10/2025</v>
      </c>
      <c r="J7755" t="str">
        <f t="shared" si="1433"/>
        <v>27/10/2025</v>
      </c>
      <c r="K7755" t="str">
        <f>("29/10/2025")</f>
        <v>29/10/2025</v>
      </c>
      <c r="L7755">
        <v>3156.95</v>
      </c>
      <c r="M7755">
        <v>3156.95</v>
      </c>
      <c r="N7755">
        <v>303</v>
      </c>
      <c r="O7755" t="str">
        <f>"RECEITAS COM ENTREGAS"</f>
        <v>RECEITAS COM ENTREGAS</v>
      </c>
      <c r="P7755">
        <v>3156.95</v>
      </c>
      <c r="S7755" t="str">
        <f>"RECEITAS COM ENTREGAS (303)"</f>
        <v>RECEITAS COM ENTREGAS (303)</v>
      </c>
      <c r="T7755">
        <v>20366</v>
      </c>
      <c r="U7755">
        <v>24374</v>
      </c>
      <c r="V7755" t="s">
        <v>22</v>
      </c>
    </row>
    <row r="7756" spans="1:22">
      <c r="A7756" t="str">
        <f t="shared" si="1427"/>
        <v>29/10/2025</v>
      </c>
      <c r="B7756" t="str">
        <f t="shared" si="1428"/>
        <v>ENTRADA</v>
      </c>
      <c r="C7756" t="str">
        <f t="shared" si="1429"/>
        <v>NFSE</v>
      </c>
      <c r="D7756" t="str">
        <f>"3569"</f>
        <v>3569</v>
      </c>
      <c r="E7756" t="str">
        <f t="shared" si="1432"/>
        <v>1</v>
      </c>
      <c r="F7756" t="str">
        <f t="shared" si="1431"/>
        <v>COM</v>
      </c>
      <c r="G7756" t="str">
        <f>"PENSE FARMA 25 (10224)"</f>
        <v>PENSE FARMA 25 (10224)</v>
      </c>
      <c r="H7756" t="s">
        <v>2170</v>
      </c>
      <c r="I7756" t="str">
        <f t="shared" si="1430"/>
        <v>29/10/2025</v>
      </c>
      <c r="J7756" t="str">
        <f t="shared" si="1433"/>
        <v>27/10/2025</v>
      </c>
      <c r="K7756">
        <v>45959</v>
      </c>
      <c r="N7756">
        <v>303</v>
      </c>
      <c r="O7756" t="s">
        <v>69</v>
      </c>
      <c r="Q7756">
        <v>3156.95</v>
      </c>
      <c r="R7756" t="str">
        <f>"PENSE FARMA 25 (10224)"</f>
        <v>PENSE FARMA 25 (10224)</v>
      </c>
      <c r="S7756" t="s">
        <v>70</v>
      </c>
      <c r="T7756">
        <v>20366</v>
      </c>
      <c r="U7756">
        <v>24374</v>
      </c>
      <c r="V7756" t="s">
        <v>22</v>
      </c>
    </row>
    <row r="7757" spans="1:22">
      <c r="A7757" t="str">
        <f t="shared" si="1427"/>
        <v>29/10/2025</v>
      </c>
      <c r="B7757" t="str">
        <f t="shared" si="1428"/>
        <v>ENTRADA</v>
      </c>
      <c r="C7757" t="str">
        <f t="shared" si="1429"/>
        <v>NFSE</v>
      </c>
      <c r="D7757" t="str">
        <f>"3570"</f>
        <v>3570</v>
      </c>
      <c r="E7757" t="str">
        <f t="shared" si="1432"/>
        <v>1</v>
      </c>
      <c r="F7757" t="str">
        <f t="shared" si="1431"/>
        <v>COM</v>
      </c>
      <c r="G7757" t="str">
        <f>"PENSE FARMA 35 (10227)"</f>
        <v>PENSE FARMA 35 (10227)</v>
      </c>
      <c r="H7757" t="str">
        <f>"Serv.Prest. 20/10/2025 a 26/10/2025 - RPS: 1446 - NFSe: 3570"</f>
        <v>Serv.Prest. 20/10/2025 a 26/10/2025 - RPS: 1446 - NFSe: 3570</v>
      </c>
      <c r="I7757" t="str">
        <f t="shared" si="1430"/>
        <v>29/10/2025</v>
      </c>
      <c r="J7757" t="str">
        <f t="shared" si="1433"/>
        <v>27/10/2025</v>
      </c>
      <c r="K7757" t="str">
        <f>("29/10/2025")</f>
        <v>29/10/2025</v>
      </c>
      <c r="L7757">
        <v>971.55</v>
      </c>
      <c r="M7757">
        <v>971.55</v>
      </c>
      <c r="N7757">
        <v>303</v>
      </c>
      <c r="O7757" t="str">
        <f>"RECEITAS COM ENTREGAS"</f>
        <v>RECEITAS COM ENTREGAS</v>
      </c>
      <c r="P7757">
        <v>971.55</v>
      </c>
      <c r="S7757" t="str">
        <f>"RECEITAS COM ENTREGAS (303)"</f>
        <v>RECEITAS COM ENTREGAS (303)</v>
      </c>
      <c r="T7757">
        <v>20367</v>
      </c>
      <c r="U7757">
        <v>24377</v>
      </c>
      <c r="V7757" t="s">
        <v>22</v>
      </c>
    </row>
    <row r="7758" spans="1:22">
      <c r="A7758" t="str">
        <f t="shared" ref="A7758:A7789" si="1434">("29/10/2025")</f>
        <v>29/10/2025</v>
      </c>
      <c r="B7758" t="str">
        <f t="shared" si="1428"/>
        <v>ENTRADA</v>
      </c>
      <c r="C7758" t="str">
        <f t="shared" si="1429"/>
        <v>NFSE</v>
      </c>
      <c r="D7758" t="str">
        <f>"3570"</f>
        <v>3570</v>
      </c>
      <c r="E7758" t="str">
        <f t="shared" si="1432"/>
        <v>1</v>
      </c>
      <c r="F7758" t="str">
        <f t="shared" si="1431"/>
        <v>COM</v>
      </c>
      <c r="G7758" t="str">
        <f>"PENSE FARMA 35 (10227)"</f>
        <v>PENSE FARMA 35 (10227)</v>
      </c>
      <c r="H7758" t="s">
        <v>2171</v>
      </c>
      <c r="I7758" t="str">
        <f t="shared" si="1430"/>
        <v>29/10/2025</v>
      </c>
      <c r="J7758" t="str">
        <f t="shared" si="1433"/>
        <v>27/10/2025</v>
      </c>
      <c r="K7758">
        <v>45959</v>
      </c>
      <c r="N7758">
        <v>303</v>
      </c>
      <c r="O7758" t="s">
        <v>69</v>
      </c>
      <c r="Q7758">
        <v>971.55</v>
      </c>
      <c r="R7758" t="str">
        <f>"PENSE FARMA 35 (10227)"</f>
        <v>PENSE FARMA 35 (10227)</v>
      </c>
      <c r="S7758" t="s">
        <v>70</v>
      </c>
      <c r="T7758">
        <v>20367</v>
      </c>
      <c r="U7758">
        <v>24377</v>
      </c>
      <c r="V7758" t="s">
        <v>22</v>
      </c>
    </row>
    <row r="7759" spans="1:22">
      <c r="A7759" t="str">
        <f t="shared" si="1434"/>
        <v>29/10/2025</v>
      </c>
      <c r="B7759" t="str">
        <f t="shared" si="1428"/>
        <v>ENTRADA</v>
      </c>
      <c r="C7759" t="str">
        <f t="shared" si="1429"/>
        <v>NFSE</v>
      </c>
      <c r="D7759" t="str">
        <f t="shared" ref="D7759:D7764" si="1435">"3571"</f>
        <v>3571</v>
      </c>
      <c r="E7759" t="str">
        <f t="shared" si="1432"/>
        <v>1</v>
      </c>
      <c r="F7759" t="str">
        <f t="shared" si="1431"/>
        <v>COM</v>
      </c>
      <c r="G7759" t="str">
        <f t="shared" ref="G7759:G7764" si="1436">"PENSE FARMA 08 (10217)"</f>
        <v>PENSE FARMA 08 (10217)</v>
      </c>
      <c r="H7759" t="str">
        <f>"Serv.Prest. 20/10/2025 a 26/10/2025 - RPS: 1447 - NFSe: 3571"</f>
        <v>Serv.Prest. 20/10/2025 a 26/10/2025 - RPS: 1447 - NFSe: 3571</v>
      </c>
      <c r="I7759" t="str">
        <f t="shared" si="1430"/>
        <v>29/10/2025</v>
      </c>
      <c r="J7759" t="str">
        <f t="shared" si="1433"/>
        <v>27/10/2025</v>
      </c>
      <c r="K7759" t="str">
        <f>("29/10/2025")</f>
        <v>29/10/2025</v>
      </c>
      <c r="L7759">
        <v>3340.5</v>
      </c>
      <c r="M7759">
        <v>3340.5</v>
      </c>
      <c r="N7759">
        <v>303</v>
      </c>
      <c r="O7759" t="str">
        <f>"RECEITAS COM ENTREGAS"</f>
        <v>RECEITAS COM ENTREGAS</v>
      </c>
      <c r="P7759">
        <v>3340.5</v>
      </c>
      <c r="S7759" t="str">
        <f>"RECEITAS COM ENTREGAS (303)"</f>
        <v>RECEITAS COM ENTREGAS (303)</v>
      </c>
      <c r="T7759">
        <v>20368</v>
      </c>
      <c r="U7759">
        <v>24379</v>
      </c>
      <c r="V7759" t="s">
        <v>22</v>
      </c>
    </row>
    <row r="7760" spans="1:22">
      <c r="A7760" t="str">
        <f t="shared" si="1434"/>
        <v>29/10/2025</v>
      </c>
      <c r="B7760" t="str">
        <f t="shared" ref="B7760:B7788" si="1437">"ENTRADA"</f>
        <v>ENTRADA</v>
      </c>
      <c r="C7760" t="str">
        <f t="shared" ref="C7760:C7788" si="1438">"NFSE"</f>
        <v>NFSE</v>
      </c>
      <c r="D7760" t="str">
        <f t="shared" si="1435"/>
        <v>3571</v>
      </c>
      <c r="E7760" t="str">
        <f t="shared" si="1432"/>
        <v>1</v>
      </c>
      <c r="F7760" t="str">
        <f t="shared" si="1431"/>
        <v>COM</v>
      </c>
      <c r="G7760" t="str">
        <f t="shared" si="1436"/>
        <v>PENSE FARMA 08 (10217)</v>
      </c>
      <c r="H7760" t="s">
        <v>2172</v>
      </c>
      <c r="I7760" t="str">
        <f t="shared" ref="I7760:I7788" si="1439">("29/10/2025")</f>
        <v>29/10/2025</v>
      </c>
      <c r="J7760" t="str">
        <f t="shared" si="1433"/>
        <v>27/10/2025</v>
      </c>
      <c r="K7760">
        <v>45959</v>
      </c>
      <c r="N7760">
        <v>303</v>
      </c>
      <c r="O7760" t="s">
        <v>69</v>
      </c>
      <c r="Q7760">
        <v>668.1</v>
      </c>
      <c r="R7760" t="str">
        <f>"PENSE FARMA 08 (10217)"</f>
        <v>PENSE FARMA 08 (10217)</v>
      </c>
      <c r="S7760" t="s">
        <v>70</v>
      </c>
      <c r="T7760">
        <v>20368</v>
      </c>
      <c r="U7760">
        <v>24379</v>
      </c>
      <c r="V7760" t="s">
        <v>22</v>
      </c>
    </row>
    <row r="7761" spans="1:22">
      <c r="A7761" t="str">
        <f t="shared" si="1434"/>
        <v>29/10/2025</v>
      </c>
      <c r="B7761" t="str">
        <f t="shared" si="1437"/>
        <v>ENTRADA</v>
      </c>
      <c r="C7761" t="str">
        <f t="shared" si="1438"/>
        <v>NFSE</v>
      </c>
      <c r="D7761" t="str">
        <f t="shared" si="1435"/>
        <v>3571</v>
      </c>
      <c r="E7761" t="str">
        <f t="shared" si="1432"/>
        <v>1</v>
      </c>
      <c r="F7761" t="str">
        <f t="shared" si="1431"/>
        <v>COM</v>
      </c>
      <c r="G7761" t="str">
        <f t="shared" si="1436"/>
        <v>PENSE FARMA 08 (10217)</v>
      </c>
      <c r="H7761" t="s">
        <v>2172</v>
      </c>
      <c r="I7761" t="str">
        <f t="shared" si="1439"/>
        <v>29/10/2025</v>
      </c>
      <c r="J7761" t="str">
        <f t="shared" si="1433"/>
        <v>27/10/2025</v>
      </c>
      <c r="K7761">
        <v>45959</v>
      </c>
      <c r="N7761">
        <v>303</v>
      </c>
      <c r="O7761" t="s">
        <v>69</v>
      </c>
      <c r="Q7761">
        <v>668.1</v>
      </c>
      <c r="R7761" t="str">
        <f>"PENSE FARMA 11 (10220)"</f>
        <v>PENSE FARMA 11 (10220)</v>
      </c>
      <c r="S7761" t="s">
        <v>70</v>
      </c>
      <c r="T7761">
        <v>20368</v>
      </c>
      <c r="U7761">
        <v>24379</v>
      </c>
      <c r="V7761" t="s">
        <v>22</v>
      </c>
    </row>
    <row r="7762" spans="1:22">
      <c r="A7762" t="str">
        <f t="shared" si="1434"/>
        <v>29/10/2025</v>
      </c>
      <c r="B7762" t="str">
        <f t="shared" si="1437"/>
        <v>ENTRADA</v>
      </c>
      <c r="C7762" t="str">
        <f t="shared" si="1438"/>
        <v>NFSE</v>
      </c>
      <c r="D7762" t="str">
        <f t="shared" si="1435"/>
        <v>3571</v>
      </c>
      <c r="E7762" t="str">
        <f t="shared" si="1432"/>
        <v>1</v>
      </c>
      <c r="F7762" t="str">
        <f t="shared" si="1431"/>
        <v>COM</v>
      </c>
      <c r="G7762" t="str">
        <f t="shared" si="1436"/>
        <v>PENSE FARMA 08 (10217)</v>
      </c>
      <c r="H7762" t="s">
        <v>2172</v>
      </c>
      <c r="I7762" t="str">
        <f t="shared" si="1439"/>
        <v>29/10/2025</v>
      </c>
      <c r="J7762" t="str">
        <f t="shared" si="1433"/>
        <v>27/10/2025</v>
      </c>
      <c r="K7762">
        <v>45959</v>
      </c>
      <c r="N7762">
        <v>303</v>
      </c>
      <c r="O7762" t="s">
        <v>69</v>
      </c>
      <c r="Q7762">
        <v>668.1</v>
      </c>
      <c r="R7762" t="str">
        <f>"PENSE FARMA 41 (10229)"</f>
        <v>PENSE FARMA 41 (10229)</v>
      </c>
      <c r="S7762" t="s">
        <v>70</v>
      </c>
      <c r="T7762">
        <v>20368</v>
      </c>
      <c r="U7762">
        <v>24379</v>
      </c>
      <c r="V7762" t="s">
        <v>22</v>
      </c>
    </row>
    <row r="7763" spans="1:22">
      <c r="A7763" t="str">
        <f t="shared" si="1434"/>
        <v>29/10/2025</v>
      </c>
      <c r="B7763" t="str">
        <f t="shared" si="1437"/>
        <v>ENTRADA</v>
      </c>
      <c r="C7763" t="str">
        <f t="shared" si="1438"/>
        <v>NFSE</v>
      </c>
      <c r="D7763" t="str">
        <f t="shared" si="1435"/>
        <v>3571</v>
      </c>
      <c r="E7763" t="str">
        <f t="shared" si="1432"/>
        <v>1</v>
      </c>
      <c r="F7763" t="str">
        <f t="shared" si="1431"/>
        <v>COM</v>
      </c>
      <c r="G7763" t="str">
        <f t="shared" si="1436"/>
        <v>PENSE FARMA 08 (10217)</v>
      </c>
      <c r="H7763" t="s">
        <v>2172</v>
      </c>
      <c r="I7763" t="str">
        <f t="shared" si="1439"/>
        <v>29/10/2025</v>
      </c>
      <c r="J7763" t="str">
        <f t="shared" si="1433"/>
        <v>27/10/2025</v>
      </c>
      <c r="K7763">
        <v>45959</v>
      </c>
      <c r="N7763">
        <v>303</v>
      </c>
      <c r="O7763" t="s">
        <v>69</v>
      </c>
      <c r="Q7763">
        <v>668.1</v>
      </c>
      <c r="R7763" t="str">
        <f>"PENSE FARMA 42 (10230)"</f>
        <v>PENSE FARMA 42 (10230)</v>
      </c>
      <c r="S7763" t="s">
        <v>70</v>
      </c>
      <c r="T7763">
        <v>20368</v>
      </c>
      <c r="U7763">
        <v>24379</v>
      </c>
      <c r="V7763" t="s">
        <v>22</v>
      </c>
    </row>
    <row r="7764" spans="1:22">
      <c r="A7764" t="str">
        <f t="shared" si="1434"/>
        <v>29/10/2025</v>
      </c>
      <c r="B7764" t="str">
        <f t="shared" si="1437"/>
        <v>ENTRADA</v>
      </c>
      <c r="C7764" t="str">
        <f t="shared" si="1438"/>
        <v>NFSE</v>
      </c>
      <c r="D7764" t="str">
        <f t="shared" si="1435"/>
        <v>3571</v>
      </c>
      <c r="E7764" t="str">
        <f t="shared" si="1432"/>
        <v>1</v>
      </c>
      <c r="F7764" t="str">
        <f t="shared" si="1431"/>
        <v>COM</v>
      </c>
      <c r="G7764" t="str">
        <f t="shared" si="1436"/>
        <v>PENSE FARMA 08 (10217)</v>
      </c>
      <c r="H7764" t="s">
        <v>2172</v>
      </c>
      <c r="I7764" t="str">
        <f t="shared" si="1439"/>
        <v>29/10/2025</v>
      </c>
      <c r="J7764" t="str">
        <f t="shared" si="1433"/>
        <v>27/10/2025</v>
      </c>
      <c r="K7764">
        <v>45959</v>
      </c>
      <c r="N7764">
        <v>303</v>
      </c>
      <c r="O7764" t="s">
        <v>69</v>
      </c>
      <c r="Q7764">
        <v>668.1</v>
      </c>
      <c r="R7764" t="str">
        <f>"PENSE FARMA 52 (10236)"</f>
        <v>PENSE FARMA 52 (10236)</v>
      </c>
      <c r="S7764" t="s">
        <v>70</v>
      </c>
      <c r="T7764">
        <v>20368</v>
      </c>
      <c r="U7764">
        <v>24379</v>
      </c>
      <c r="V7764" t="s">
        <v>22</v>
      </c>
    </row>
    <row r="7765" spans="1:22">
      <c r="A7765" t="str">
        <f t="shared" si="1434"/>
        <v>29/10/2025</v>
      </c>
      <c r="B7765" t="str">
        <f t="shared" si="1437"/>
        <v>ENTRADA</v>
      </c>
      <c r="C7765" t="str">
        <f t="shared" si="1438"/>
        <v>NFSE</v>
      </c>
      <c r="D7765" t="str">
        <f>"3572"</f>
        <v>3572</v>
      </c>
      <c r="E7765" t="str">
        <f t="shared" si="1432"/>
        <v>1</v>
      </c>
      <c r="F7765" t="str">
        <f t="shared" si="1431"/>
        <v>COM</v>
      </c>
      <c r="G7765" t="str">
        <f>"PENSE FARMA 09 (10218)"</f>
        <v>PENSE FARMA 09 (10218)</v>
      </c>
      <c r="H7765" t="str">
        <f>"Serv.Prest. 20/10/2025 a 26/10/2025 - RPS: 1448 - NFSe: 3572"</f>
        <v>Serv.Prest. 20/10/2025 a 26/10/2025 - RPS: 1448 - NFSe: 3572</v>
      </c>
      <c r="I7765" t="str">
        <f t="shared" si="1439"/>
        <v>29/10/2025</v>
      </c>
      <c r="J7765" t="str">
        <f t="shared" si="1433"/>
        <v>27/10/2025</v>
      </c>
      <c r="K7765" t="str">
        <f>("29/10/2025")</f>
        <v>29/10/2025</v>
      </c>
      <c r="L7765">
        <v>1669.34</v>
      </c>
      <c r="M7765">
        <v>1669.34</v>
      </c>
      <c r="N7765">
        <v>303</v>
      </c>
      <c r="O7765" t="str">
        <f>"RECEITAS COM ENTREGAS"</f>
        <v>RECEITAS COM ENTREGAS</v>
      </c>
      <c r="P7765">
        <v>1669.34</v>
      </c>
      <c r="S7765" t="str">
        <f>"RECEITAS COM ENTREGAS (303)"</f>
        <v>RECEITAS COM ENTREGAS (303)</v>
      </c>
      <c r="T7765">
        <v>20369</v>
      </c>
      <c r="U7765">
        <v>24382</v>
      </c>
      <c r="V7765" t="s">
        <v>22</v>
      </c>
    </row>
    <row r="7766" spans="1:22">
      <c r="A7766" t="str">
        <f t="shared" si="1434"/>
        <v>29/10/2025</v>
      </c>
      <c r="B7766" t="str">
        <f t="shared" si="1437"/>
        <v>ENTRADA</v>
      </c>
      <c r="C7766" t="str">
        <f t="shared" si="1438"/>
        <v>NFSE</v>
      </c>
      <c r="D7766" t="str">
        <f>"3572"</f>
        <v>3572</v>
      </c>
      <c r="E7766" t="str">
        <f t="shared" si="1432"/>
        <v>1</v>
      </c>
      <c r="F7766" t="str">
        <f t="shared" si="1431"/>
        <v>COM</v>
      </c>
      <c r="G7766" t="str">
        <f>"PENSE FARMA 09 (10218)"</f>
        <v>PENSE FARMA 09 (10218)</v>
      </c>
      <c r="H7766" t="s">
        <v>2173</v>
      </c>
      <c r="I7766" t="str">
        <f t="shared" si="1439"/>
        <v>29/10/2025</v>
      </c>
      <c r="J7766" t="str">
        <f t="shared" si="1433"/>
        <v>27/10/2025</v>
      </c>
      <c r="K7766">
        <v>45959</v>
      </c>
      <c r="N7766">
        <v>303</v>
      </c>
      <c r="O7766" t="s">
        <v>69</v>
      </c>
      <c r="Q7766">
        <v>837.67</v>
      </c>
      <c r="R7766" t="str">
        <f>"PENSE FARMA 09 (10218)"</f>
        <v>PENSE FARMA 09 (10218)</v>
      </c>
      <c r="S7766" t="s">
        <v>70</v>
      </c>
      <c r="T7766">
        <v>20369</v>
      </c>
      <c r="U7766">
        <v>24382</v>
      </c>
      <c r="V7766" t="s">
        <v>22</v>
      </c>
    </row>
    <row r="7767" spans="1:22">
      <c r="A7767" t="str">
        <f t="shared" si="1434"/>
        <v>29/10/2025</v>
      </c>
      <c r="B7767" t="str">
        <f t="shared" si="1437"/>
        <v>ENTRADA</v>
      </c>
      <c r="C7767" t="str">
        <f t="shared" si="1438"/>
        <v>NFSE</v>
      </c>
      <c r="D7767" t="str">
        <f>"3572"</f>
        <v>3572</v>
      </c>
      <c r="E7767" t="str">
        <f t="shared" si="1432"/>
        <v>1</v>
      </c>
      <c r="F7767" t="str">
        <f t="shared" si="1431"/>
        <v>COM</v>
      </c>
      <c r="G7767" t="str">
        <f>"PENSE FARMA 09 (10218)"</f>
        <v>PENSE FARMA 09 (10218)</v>
      </c>
      <c r="H7767" t="s">
        <v>2173</v>
      </c>
      <c r="I7767" t="str">
        <f t="shared" si="1439"/>
        <v>29/10/2025</v>
      </c>
      <c r="J7767" t="str">
        <f t="shared" si="1433"/>
        <v>27/10/2025</v>
      </c>
      <c r="K7767">
        <v>45959</v>
      </c>
      <c r="N7767">
        <v>303</v>
      </c>
      <c r="O7767" t="s">
        <v>69</v>
      </c>
      <c r="Q7767">
        <v>831.67</v>
      </c>
      <c r="R7767" t="str">
        <f>"PENSE FARMA 10 (10219)"</f>
        <v>PENSE FARMA 10 (10219)</v>
      </c>
      <c r="S7767" t="s">
        <v>70</v>
      </c>
      <c r="T7767">
        <v>20369</v>
      </c>
      <c r="U7767">
        <v>24382</v>
      </c>
      <c r="V7767" t="s">
        <v>22</v>
      </c>
    </row>
    <row r="7768" spans="1:22">
      <c r="A7768" t="str">
        <f t="shared" si="1434"/>
        <v>29/10/2025</v>
      </c>
      <c r="B7768" t="str">
        <f t="shared" si="1437"/>
        <v>ENTRADA</v>
      </c>
      <c r="C7768" t="str">
        <f t="shared" si="1438"/>
        <v>NFSE</v>
      </c>
      <c r="D7768" t="str">
        <f>"3573"</f>
        <v>3573</v>
      </c>
      <c r="E7768" t="str">
        <f t="shared" si="1432"/>
        <v>1</v>
      </c>
      <c r="F7768" t="str">
        <f t="shared" si="1431"/>
        <v>COM</v>
      </c>
      <c r="G7768" t="str">
        <f>"PENSE FARMA 46 (10194)"</f>
        <v>PENSE FARMA 46 (10194)</v>
      </c>
      <c r="H7768" t="str">
        <f>"Serv.Prest. 20/10/2025 a 26/10/2025 - RPS: 1449 - NFSe: 3573"</f>
        <v>Serv.Prest. 20/10/2025 a 26/10/2025 - RPS: 1449 - NFSe: 3573</v>
      </c>
      <c r="I7768" t="str">
        <f t="shared" si="1439"/>
        <v>29/10/2025</v>
      </c>
      <c r="J7768" t="str">
        <f t="shared" si="1433"/>
        <v>27/10/2025</v>
      </c>
      <c r="K7768" t="str">
        <f>("29/10/2025")</f>
        <v>29/10/2025</v>
      </c>
      <c r="L7768">
        <v>1700</v>
      </c>
      <c r="M7768">
        <v>1700</v>
      </c>
      <c r="N7768">
        <v>303</v>
      </c>
      <c r="O7768" t="str">
        <f>"RECEITAS COM ENTREGAS"</f>
        <v>RECEITAS COM ENTREGAS</v>
      </c>
      <c r="P7768">
        <v>1700</v>
      </c>
      <c r="S7768" t="str">
        <f>"RECEITAS COM ENTREGAS (303)"</f>
        <v>RECEITAS COM ENTREGAS (303)</v>
      </c>
      <c r="T7768">
        <v>20370</v>
      </c>
      <c r="U7768">
        <v>24384</v>
      </c>
      <c r="V7768" t="s">
        <v>22</v>
      </c>
    </row>
    <row r="7769" spans="1:22">
      <c r="A7769" t="str">
        <f t="shared" si="1434"/>
        <v>29/10/2025</v>
      </c>
      <c r="B7769" t="str">
        <f t="shared" si="1437"/>
        <v>ENTRADA</v>
      </c>
      <c r="C7769" t="str">
        <f t="shared" si="1438"/>
        <v>NFSE</v>
      </c>
      <c r="D7769" t="str">
        <f>"3573"</f>
        <v>3573</v>
      </c>
      <c r="E7769" t="str">
        <f t="shared" si="1432"/>
        <v>1</v>
      </c>
      <c r="F7769" t="str">
        <f t="shared" si="1431"/>
        <v>COM</v>
      </c>
      <c r="G7769" t="str">
        <f>"PENSE FARMA 46 (10194)"</f>
        <v>PENSE FARMA 46 (10194)</v>
      </c>
      <c r="H7769" t="s">
        <v>2174</v>
      </c>
      <c r="I7769" t="str">
        <f t="shared" si="1439"/>
        <v>29/10/2025</v>
      </c>
      <c r="J7769" t="str">
        <f t="shared" si="1433"/>
        <v>27/10/2025</v>
      </c>
      <c r="K7769">
        <v>45959</v>
      </c>
      <c r="N7769">
        <v>303</v>
      </c>
      <c r="O7769" t="s">
        <v>69</v>
      </c>
      <c r="Q7769">
        <v>1700</v>
      </c>
      <c r="R7769" t="str">
        <f>"PENSE FARMA 46 (10194)"</f>
        <v>PENSE FARMA 46 (10194)</v>
      </c>
      <c r="S7769" t="s">
        <v>70</v>
      </c>
      <c r="T7769">
        <v>20370</v>
      </c>
      <c r="U7769">
        <v>24384</v>
      </c>
      <c r="V7769" t="s">
        <v>22</v>
      </c>
    </row>
    <row r="7770" spans="1:22">
      <c r="A7770" t="str">
        <f t="shared" si="1434"/>
        <v>29/10/2025</v>
      </c>
      <c r="B7770" t="str">
        <f t="shared" si="1437"/>
        <v>ENTRADA</v>
      </c>
      <c r="C7770" t="str">
        <f t="shared" si="1438"/>
        <v>NFSE</v>
      </c>
      <c r="D7770" t="str">
        <f t="shared" ref="D7770:D7776" si="1440">"3574"</f>
        <v>3574</v>
      </c>
      <c r="E7770" t="str">
        <f t="shared" si="1432"/>
        <v>1</v>
      </c>
      <c r="F7770" t="str">
        <f t="shared" si="1431"/>
        <v>COM</v>
      </c>
      <c r="G7770" t="str">
        <f t="shared" ref="G7770:G7776" si="1441">"PENSE FARMA 36 (10206)"</f>
        <v>PENSE FARMA 36 (10206)</v>
      </c>
      <c r="H7770" t="str">
        <f>"Serv.Prest. 20/10/2025 a 26/10/2025 - RPS: 1450 - NFSe: 3574"</f>
        <v>Serv.Prest. 20/10/2025 a 26/10/2025 - RPS: 1450 - NFSe: 3574</v>
      </c>
      <c r="I7770" t="str">
        <f t="shared" si="1439"/>
        <v>29/10/2025</v>
      </c>
      <c r="J7770" t="str">
        <f t="shared" si="1433"/>
        <v>27/10/2025</v>
      </c>
      <c r="K7770" t="str">
        <f>("29/10/2025")</f>
        <v>29/10/2025</v>
      </c>
      <c r="L7770">
        <v>4826.13</v>
      </c>
      <c r="M7770">
        <v>4826.13</v>
      </c>
      <c r="N7770">
        <v>303</v>
      </c>
      <c r="O7770" t="str">
        <f>"RECEITAS COM ENTREGAS"</f>
        <v>RECEITAS COM ENTREGAS</v>
      </c>
      <c r="P7770">
        <v>4826.13</v>
      </c>
      <c r="S7770" t="str">
        <f>"RECEITAS COM ENTREGAS (303)"</f>
        <v>RECEITAS COM ENTREGAS (303)</v>
      </c>
      <c r="T7770">
        <v>20371</v>
      </c>
      <c r="U7770">
        <v>24386</v>
      </c>
      <c r="V7770" t="s">
        <v>22</v>
      </c>
    </row>
    <row r="7771" spans="1:22">
      <c r="A7771" t="str">
        <f t="shared" si="1434"/>
        <v>29/10/2025</v>
      </c>
      <c r="B7771" t="str">
        <f t="shared" si="1437"/>
        <v>ENTRADA</v>
      </c>
      <c r="C7771" t="str">
        <f t="shared" si="1438"/>
        <v>NFSE</v>
      </c>
      <c r="D7771" t="str">
        <f t="shared" si="1440"/>
        <v>3574</v>
      </c>
      <c r="E7771" t="str">
        <f t="shared" si="1432"/>
        <v>1</v>
      </c>
      <c r="F7771" t="str">
        <f t="shared" si="1431"/>
        <v>COM</v>
      </c>
      <c r="G7771" t="str">
        <f t="shared" si="1441"/>
        <v>PENSE FARMA 36 (10206)</v>
      </c>
      <c r="H7771" t="s">
        <v>2175</v>
      </c>
      <c r="I7771" t="str">
        <f t="shared" si="1439"/>
        <v>29/10/2025</v>
      </c>
      <c r="J7771" t="str">
        <f t="shared" si="1433"/>
        <v>27/10/2025</v>
      </c>
      <c r="K7771">
        <v>45959</v>
      </c>
      <c r="N7771">
        <v>303</v>
      </c>
      <c r="O7771" t="s">
        <v>69</v>
      </c>
      <c r="Q7771">
        <v>803.55</v>
      </c>
      <c r="R7771" t="str">
        <f>"PENSE FARMA 20 (10203)"</f>
        <v>PENSE FARMA 20 (10203)</v>
      </c>
      <c r="S7771" t="s">
        <v>70</v>
      </c>
      <c r="T7771">
        <v>20371</v>
      </c>
      <c r="U7771">
        <v>24386</v>
      </c>
      <c r="V7771" t="s">
        <v>22</v>
      </c>
    </row>
    <row r="7772" spans="1:22">
      <c r="A7772" t="str">
        <f t="shared" si="1434"/>
        <v>29/10/2025</v>
      </c>
      <c r="B7772" t="str">
        <f t="shared" si="1437"/>
        <v>ENTRADA</v>
      </c>
      <c r="C7772" t="str">
        <f t="shared" si="1438"/>
        <v>NFSE</v>
      </c>
      <c r="D7772" t="str">
        <f t="shared" si="1440"/>
        <v>3574</v>
      </c>
      <c r="E7772" t="str">
        <f t="shared" si="1432"/>
        <v>1</v>
      </c>
      <c r="F7772" t="str">
        <f t="shared" si="1431"/>
        <v>COM</v>
      </c>
      <c r="G7772" t="str">
        <f t="shared" si="1441"/>
        <v>PENSE FARMA 36 (10206)</v>
      </c>
      <c r="H7772" t="s">
        <v>2175</v>
      </c>
      <c r="I7772" t="str">
        <f t="shared" si="1439"/>
        <v>29/10/2025</v>
      </c>
      <c r="J7772" t="str">
        <f t="shared" si="1433"/>
        <v>27/10/2025</v>
      </c>
      <c r="K7772">
        <v>45959</v>
      </c>
      <c r="N7772">
        <v>303</v>
      </c>
      <c r="O7772" t="s">
        <v>69</v>
      </c>
      <c r="Q7772">
        <v>803.55</v>
      </c>
      <c r="R7772" t="str">
        <f>"PENSE FARMA 36 (10206)"</f>
        <v>PENSE FARMA 36 (10206)</v>
      </c>
      <c r="S7772" t="s">
        <v>70</v>
      </c>
      <c r="T7772">
        <v>20371</v>
      </c>
      <c r="U7772">
        <v>24386</v>
      </c>
      <c r="V7772" t="s">
        <v>22</v>
      </c>
    </row>
    <row r="7773" spans="1:22">
      <c r="A7773" t="str">
        <f t="shared" si="1434"/>
        <v>29/10/2025</v>
      </c>
      <c r="B7773" t="str">
        <f t="shared" si="1437"/>
        <v>ENTRADA</v>
      </c>
      <c r="C7773" t="str">
        <f t="shared" si="1438"/>
        <v>NFSE</v>
      </c>
      <c r="D7773" t="str">
        <f t="shared" si="1440"/>
        <v>3574</v>
      </c>
      <c r="E7773" t="str">
        <f t="shared" si="1432"/>
        <v>1</v>
      </c>
      <c r="F7773" t="str">
        <f t="shared" si="1431"/>
        <v>COM</v>
      </c>
      <c r="G7773" t="str">
        <f t="shared" si="1441"/>
        <v>PENSE FARMA 36 (10206)</v>
      </c>
      <c r="H7773" t="s">
        <v>2175</v>
      </c>
      <c r="I7773" t="str">
        <f t="shared" si="1439"/>
        <v>29/10/2025</v>
      </c>
      <c r="J7773" t="str">
        <f t="shared" si="1433"/>
        <v>27/10/2025</v>
      </c>
      <c r="K7773">
        <v>45959</v>
      </c>
      <c r="N7773">
        <v>303</v>
      </c>
      <c r="O7773" t="s">
        <v>69</v>
      </c>
      <c r="Q7773">
        <v>803.55</v>
      </c>
      <c r="R7773" t="str">
        <f>"PENSE FARMA 40 (10207)"</f>
        <v>PENSE FARMA 40 (10207)</v>
      </c>
      <c r="S7773" t="s">
        <v>70</v>
      </c>
      <c r="T7773">
        <v>20371</v>
      </c>
      <c r="U7773">
        <v>24386</v>
      </c>
      <c r="V7773" t="s">
        <v>22</v>
      </c>
    </row>
    <row r="7774" spans="1:22">
      <c r="A7774" t="str">
        <f t="shared" si="1434"/>
        <v>29/10/2025</v>
      </c>
      <c r="B7774" t="str">
        <f t="shared" si="1437"/>
        <v>ENTRADA</v>
      </c>
      <c r="C7774" t="str">
        <f t="shared" si="1438"/>
        <v>NFSE</v>
      </c>
      <c r="D7774" t="str">
        <f t="shared" si="1440"/>
        <v>3574</v>
      </c>
      <c r="E7774" t="str">
        <f t="shared" si="1432"/>
        <v>1</v>
      </c>
      <c r="F7774" t="str">
        <f t="shared" si="1431"/>
        <v>COM</v>
      </c>
      <c r="G7774" t="str">
        <f t="shared" si="1441"/>
        <v>PENSE FARMA 36 (10206)</v>
      </c>
      <c r="H7774" t="s">
        <v>2175</v>
      </c>
      <c r="I7774" t="str">
        <f t="shared" si="1439"/>
        <v>29/10/2025</v>
      </c>
      <c r="J7774" t="str">
        <f t="shared" si="1433"/>
        <v>27/10/2025</v>
      </c>
      <c r="K7774">
        <v>45959</v>
      </c>
      <c r="N7774">
        <v>303</v>
      </c>
      <c r="O7774" t="s">
        <v>69</v>
      </c>
      <c r="Q7774">
        <v>803.55</v>
      </c>
      <c r="R7774" t="str">
        <f>"PENSE FARMA 43 (10208)"</f>
        <v>PENSE FARMA 43 (10208)</v>
      </c>
      <c r="S7774" t="s">
        <v>70</v>
      </c>
      <c r="T7774">
        <v>20371</v>
      </c>
      <c r="U7774">
        <v>24386</v>
      </c>
      <c r="V7774" t="s">
        <v>22</v>
      </c>
    </row>
    <row r="7775" spans="1:22">
      <c r="A7775" t="str">
        <f t="shared" si="1434"/>
        <v>29/10/2025</v>
      </c>
      <c r="B7775" t="str">
        <f t="shared" si="1437"/>
        <v>ENTRADA</v>
      </c>
      <c r="C7775" t="str">
        <f t="shared" si="1438"/>
        <v>NFSE</v>
      </c>
      <c r="D7775" t="str">
        <f t="shared" si="1440"/>
        <v>3574</v>
      </c>
      <c r="E7775" t="str">
        <f t="shared" si="1432"/>
        <v>1</v>
      </c>
      <c r="F7775" t="str">
        <f t="shared" si="1431"/>
        <v>COM</v>
      </c>
      <c r="G7775" t="str">
        <f t="shared" si="1441"/>
        <v>PENSE FARMA 36 (10206)</v>
      </c>
      <c r="H7775" t="s">
        <v>2175</v>
      </c>
      <c r="I7775" t="str">
        <f t="shared" si="1439"/>
        <v>29/10/2025</v>
      </c>
      <c r="J7775" t="str">
        <f t="shared" si="1433"/>
        <v>27/10/2025</v>
      </c>
      <c r="K7775">
        <v>45959</v>
      </c>
      <c r="N7775">
        <v>303</v>
      </c>
      <c r="O7775" t="s">
        <v>69</v>
      </c>
      <c r="Q7775">
        <v>803.55</v>
      </c>
      <c r="R7775" t="str">
        <f>"PENSE FARMA 59 (10211)"</f>
        <v>PENSE FARMA 59 (10211)</v>
      </c>
      <c r="S7775" t="s">
        <v>70</v>
      </c>
      <c r="T7775">
        <v>20371</v>
      </c>
      <c r="U7775">
        <v>24386</v>
      </c>
      <c r="V7775" t="s">
        <v>22</v>
      </c>
    </row>
    <row r="7776" spans="1:22">
      <c r="A7776" t="str">
        <f t="shared" si="1434"/>
        <v>29/10/2025</v>
      </c>
      <c r="B7776" t="str">
        <f t="shared" si="1437"/>
        <v>ENTRADA</v>
      </c>
      <c r="C7776" t="str">
        <f t="shared" si="1438"/>
        <v>NFSE</v>
      </c>
      <c r="D7776" t="str">
        <f t="shared" si="1440"/>
        <v>3574</v>
      </c>
      <c r="E7776" t="str">
        <f t="shared" si="1432"/>
        <v>1</v>
      </c>
      <c r="F7776" t="str">
        <f t="shared" si="1431"/>
        <v>COM</v>
      </c>
      <c r="G7776" t="str">
        <f t="shared" si="1441"/>
        <v>PENSE FARMA 36 (10206)</v>
      </c>
      <c r="H7776" t="s">
        <v>2175</v>
      </c>
      <c r="I7776" t="str">
        <f t="shared" si="1439"/>
        <v>29/10/2025</v>
      </c>
      <c r="J7776" t="str">
        <f t="shared" si="1433"/>
        <v>27/10/2025</v>
      </c>
      <c r="K7776">
        <v>45959</v>
      </c>
      <c r="N7776">
        <v>303</v>
      </c>
      <c r="O7776" t="s">
        <v>69</v>
      </c>
      <c r="Q7776">
        <v>808.38</v>
      </c>
      <c r="R7776" t="str">
        <f>"PENSE FARMA DARK STORE 361 (10212)"</f>
        <v>PENSE FARMA DARK STORE 361 (10212)</v>
      </c>
      <c r="S7776" t="s">
        <v>70</v>
      </c>
      <c r="T7776">
        <v>20371</v>
      </c>
      <c r="U7776">
        <v>24386</v>
      </c>
      <c r="V7776" t="s">
        <v>22</v>
      </c>
    </row>
    <row r="7777" spans="1:22">
      <c r="A7777" t="str">
        <f t="shared" si="1434"/>
        <v>29/10/2025</v>
      </c>
      <c r="B7777" t="str">
        <f t="shared" si="1437"/>
        <v>ENTRADA</v>
      </c>
      <c r="C7777" t="str">
        <f t="shared" si="1438"/>
        <v>NFSE</v>
      </c>
      <c r="D7777" t="str">
        <f>"3575"</f>
        <v>3575</v>
      </c>
      <c r="E7777" t="str">
        <f t="shared" si="1432"/>
        <v>1</v>
      </c>
      <c r="F7777" t="str">
        <f t="shared" si="1431"/>
        <v>COM</v>
      </c>
      <c r="G7777" t="str">
        <f>"PENSE FARMA 27 (10204)"</f>
        <v>PENSE FARMA 27 (10204)</v>
      </c>
      <c r="H7777" t="str">
        <f>"Serv.Prest. 20/10/2025 a 26/10/2025 - RPS: 1451 - NFSe: 3575"</f>
        <v>Serv.Prest. 20/10/2025 a 26/10/2025 - RPS: 1451 - NFSe: 3575</v>
      </c>
      <c r="I7777" t="str">
        <f t="shared" si="1439"/>
        <v>29/10/2025</v>
      </c>
      <c r="J7777" t="str">
        <f t="shared" si="1433"/>
        <v>27/10/2025</v>
      </c>
      <c r="K7777" t="str">
        <f>("29/10/2025")</f>
        <v>29/10/2025</v>
      </c>
      <c r="L7777">
        <v>3034.5</v>
      </c>
      <c r="M7777">
        <v>3034.5</v>
      </c>
      <c r="N7777">
        <v>303</v>
      </c>
      <c r="O7777" t="str">
        <f>"RECEITAS COM ENTREGAS"</f>
        <v>RECEITAS COM ENTREGAS</v>
      </c>
      <c r="P7777">
        <v>3034.5</v>
      </c>
      <c r="S7777" t="str">
        <f>"RECEITAS COM ENTREGAS (303)"</f>
        <v>RECEITAS COM ENTREGAS (303)</v>
      </c>
      <c r="T7777">
        <v>20372</v>
      </c>
      <c r="U7777">
        <v>24390</v>
      </c>
      <c r="V7777" t="s">
        <v>22</v>
      </c>
    </row>
    <row r="7778" spans="1:22">
      <c r="A7778" t="str">
        <f t="shared" si="1434"/>
        <v>29/10/2025</v>
      </c>
      <c r="B7778" t="str">
        <f t="shared" si="1437"/>
        <v>ENTRADA</v>
      </c>
      <c r="C7778" t="str">
        <f t="shared" si="1438"/>
        <v>NFSE</v>
      </c>
      <c r="D7778" t="str">
        <f>"3575"</f>
        <v>3575</v>
      </c>
      <c r="E7778" t="str">
        <f t="shared" si="1432"/>
        <v>1</v>
      </c>
      <c r="F7778" t="str">
        <f t="shared" si="1431"/>
        <v>COM</v>
      </c>
      <c r="G7778" t="str">
        <f>"PENSE FARMA 27 (10204)"</f>
        <v>PENSE FARMA 27 (10204)</v>
      </c>
      <c r="H7778" t="s">
        <v>2176</v>
      </c>
      <c r="I7778" t="str">
        <f t="shared" si="1439"/>
        <v>29/10/2025</v>
      </c>
      <c r="J7778" t="str">
        <f t="shared" si="1433"/>
        <v>27/10/2025</v>
      </c>
      <c r="K7778">
        <v>45959</v>
      </c>
      <c r="N7778">
        <v>303</v>
      </c>
      <c r="O7778" t="s">
        <v>69</v>
      </c>
      <c r="Q7778">
        <v>1011.4</v>
      </c>
      <c r="R7778" t="str">
        <f>"PENSE FARMA 05 (10200)"</f>
        <v>PENSE FARMA 05 (10200)</v>
      </c>
      <c r="S7778" t="s">
        <v>70</v>
      </c>
      <c r="T7778">
        <v>20372</v>
      </c>
      <c r="U7778">
        <v>24390</v>
      </c>
      <c r="V7778" t="s">
        <v>22</v>
      </c>
    </row>
    <row r="7779" spans="1:22">
      <c r="A7779" t="str">
        <f t="shared" si="1434"/>
        <v>29/10/2025</v>
      </c>
      <c r="B7779" t="str">
        <f t="shared" si="1437"/>
        <v>ENTRADA</v>
      </c>
      <c r="C7779" t="str">
        <f t="shared" si="1438"/>
        <v>NFSE</v>
      </c>
      <c r="D7779" t="str">
        <f>"3575"</f>
        <v>3575</v>
      </c>
      <c r="E7779" t="str">
        <f t="shared" si="1432"/>
        <v>1</v>
      </c>
      <c r="F7779" t="str">
        <f t="shared" si="1431"/>
        <v>COM</v>
      </c>
      <c r="G7779" t="str">
        <f>"PENSE FARMA 27 (10204)"</f>
        <v>PENSE FARMA 27 (10204)</v>
      </c>
      <c r="H7779" t="s">
        <v>2176</v>
      </c>
      <c r="I7779" t="str">
        <f t="shared" si="1439"/>
        <v>29/10/2025</v>
      </c>
      <c r="J7779" t="str">
        <f t="shared" si="1433"/>
        <v>27/10/2025</v>
      </c>
      <c r="K7779">
        <v>45959</v>
      </c>
      <c r="N7779">
        <v>303</v>
      </c>
      <c r="O7779" t="s">
        <v>69</v>
      </c>
      <c r="Q7779">
        <v>1011.4</v>
      </c>
      <c r="R7779" t="str">
        <f>"PENSE FARMA 13 (10202)"</f>
        <v>PENSE FARMA 13 (10202)</v>
      </c>
      <c r="S7779" t="s">
        <v>70</v>
      </c>
      <c r="T7779">
        <v>20372</v>
      </c>
      <c r="U7779">
        <v>24390</v>
      </c>
      <c r="V7779" t="s">
        <v>22</v>
      </c>
    </row>
    <row r="7780" spans="1:22">
      <c r="A7780" t="str">
        <f t="shared" si="1434"/>
        <v>29/10/2025</v>
      </c>
      <c r="B7780" t="str">
        <f t="shared" si="1437"/>
        <v>ENTRADA</v>
      </c>
      <c r="C7780" t="str">
        <f t="shared" si="1438"/>
        <v>NFSE</v>
      </c>
      <c r="D7780" t="str">
        <f>"3575"</f>
        <v>3575</v>
      </c>
      <c r="E7780" t="str">
        <f t="shared" si="1432"/>
        <v>1</v>
      </c>
      <c r="F7780" t="str">
        <f t="shared" si="1431"/>
        <v>COM</v>
      </c>
      <c r="G7780" t="str">
        <f>"PENSE FARMA 27 (10204)"</f>
        <v>PENSE FARMA 27 (10204)</v>
      </c>
      <c r="H7780" t="s">
        <v>2176</v>
      </c>
      <c r="I7780" t="str">
        <f t="shared" si="1439"/>
        <v>29/10/2025</v>
      </c>
      <c r="J7780" t="str">
        <f t="shared" si="1433"/>
        <v>27/10/2025</v>
      </c>
      <c r="K7780">
        <v>45959</v>
      </c>
      <c r="N7780">
        <v>303</v>
      </c>
      <c r="O7780" t="s">
        <v>69</v>
      </c>
      <c r="Q7780">
        <v>1011.7</v>
      </c>
      <c r="R7780" t="str">
        <f>"PENSE FARMA 27 (10204)"</f>
        <v>PENSE FARMA 27 (10204)</v>
      </c>
      <c r="S7780" t="s">
        <v>70</v>
      </c>
      <c r="T7780">
        <v>20372</v>
      </c>
      <c r="U7780">
        <v>24390</v>
      </c>
      <c r="V7780" t="s">
        <v>22</v>
      </c>
    </row>
    <row r="7781" spans="1:22">
      <c r="A7781" t="str">
        <f t="shared" si="1434"/>
        <v>29/10/2025</v>
      </c>
      <c r="B7781" t="str">
        <f t="shared" si="1437"/>
        <v>ENTRADA</v>
      </c>
      <c r="C7781" t="str">
        <f t="shared" si="1438"/>
        <v>NFSE</v>
      </c>
      <c r="D7781" t="str">
        <f>"3581"</f>
        <v>3581</v>
      </c>
      <c r="E7781" t="str">
        <f t="shared" si="1432"/>
        <v>1</v>
      </c>
      <c r="F7781" t="str">
        <f t="shared" si="1431"/>
        <v>COM</v>
      </c>
      <c r="G7781" t="str">
        <f>"DROGARIA ANA VISCONDE DO RIO BRANCO (10182)"</f>
        <v>DROGARIA ANA VISCONDE DO RIO BRANCO (10182)</v>
      </c>
      <c r="H7781" t="str">
        <f>"Serv.Prest. 20/10/2025 a 26/10/2025 - RPS: 1457 - NFSe: 3581"</f>
        <v>Serv.Prest. 20/10/2025 a 26/10/2025 - RPS: 1457 - NFSe: 3581</v>
      </c>
      <c r="I7781" t="str">
        <f t="shared" si="1439"/>
        <v>29/10/2025</v>
      </c>
      <c r="J7781" t="str">
        <f t="shared" si="1433"/>
        <v>27/10/2025</v>
      </c>
      <c r="K7781" t="str">
        <f>("29/10/2025")</f>
        <v>29/10/2025</v>
      </c>
      <c r="L7781">
        <v>4490.55</v>
      </c>
      <c r="M7781">
        <v>4490.55</v>
      </c>
      <c r="N7781">
        <v>303</v>
      </c>
      <c r="O7781" t="str">
        <f>"RECEITAS COM ENTREGAS"</f>
        <v>RECEITAS COM ENTREGAS</v>
      </c>
      <c r="P7781">
        <v>4490.55</v>
      </c>
      <c r="S7781" t="str">
        <f>"RECEITAS COM ENTREGAS (303)"</f>
        <v>RECEITAS COM ENTREGAS (303)</v>
      </c>
      <c r="T7781">
        <v>20373</v>
      </c>
      <c r="U7781">
        <v>24413</v>
      </c>
      <c r="V7781" t="s">
        <v>22</v>
      </c>
    </row>
    <row r="7782" spans="1:22">
      <c r="A7782" t="str">
        <f t="shared" si="1434"/>
        <v>29/10/2025</v>
      </c>
      <c r="B7782" t="str">
        <f t="shared" si="1437"/>
        <v>ENTRADA</v>
      </c>
      <c r="C7782" t="str">
        <f t="shared" si="1438"/>
        <v>NFSE</v>
      </c>
      <c r="D7782" t="str">
        <f>"3581"</f>
        <v>3581</v>
      </c>
      <c r="E7782" t="str">
        <f t="shared" si="1432"/>
        <v>1</v>
      </c>
      <c r="F7782" t="str">
        <f t="shared" si="1431"/>
        <v>COM</v>
      </c>
      <c r="G7782" t="str">
        <f>"DROGARIA ANA VISCONDE DO RIO BRANCO (10182)"</f>
        <v>DROGARIA ANA VISCONDE DO RIO BRANCO (10182)</v>
      </c>
      <c r="H7782" t="s">
        <v>2177</v>
      </c>
      <c r="I7782" t="str">
        <f t="shared" si="1439"/>
        <v>29/10/2025</v>
      </c>
      <c r="J7782" t="str">
        <f t="shared" si="1433"/>
        <v>27/10/2025</v>
      </c>
      <c r="K7782">
        <v>45959</v>
      </c>
      <c r="N7782">
        <v>303</v>
      </c>
      <c r="O7782" t="s">
        <v>69</v>
      </c>
      <c r="Q7782">
        <v>4490.55</v>
      </c>
      <c r="R7782" t="str">
        <f>"DROGARIA ANA VISCONDE DO RIO BRANCO (10182)"</f>
        <v>DROGARIA ANA VISCONDE DO RIO BRANCO (10182)</v>
      </c>
      <c r="S7782" t="s">
        <v>70</v>
      </c>
      <c r="T7782">
        <v>20373</v>
      </c>
      <c r="U7782">
        <v>24413</v>
      </c>
      <c r="V7782" t="s">
        <v>22</v>
      </c>
    </row>
    <row r="7783" spans="1:22">
      <c r="A7783" t="str">
        <f t="shared" si="1434"/>
        <v>29/10/2025</v>
      </c>
      <c r="B7783" t="str">
        <f t="shared" si="1437"/>
        <v>ENTRADA</v>
      </c>
      <c r="C7783" t="str">
        <f t="shared" si="1438"/>
        <v>NFSE</v>
      </c>
      <c r="D7783" t="str">
        <f>"3588"</f>
        <v>3588</v>
      </c>
      <c r="E7783" t="str">
        <f t="shared" si="1432"/>
        <v>1</v>
      </c>
      <c r="F7783" t="str">
        <f t="shared" si="1431"/>
        <v>COM</v>
      </c>
      <c r="G7783" t="str">
        <f>"JAL FARMACIA E DROGARIA LJ 2 (10138)"</f>
        <v>JAL FARMACIA E DROGARIA LJ 2 (10138)</v>
      </c>
      <c r="H7783" t="str">
        <f>"Serv.Prest. 20/10/2025 a 26/10/2025 - RPS: 1464 - NFSe: 3588"</f>
        <v>Serv.Prest. 20/10/2025 a 26/10/2025 - RPS: 1464 - NFSe: 3588</v>
      </c>
      <c r="I7783" t="str">
        <f t="shared" si="1439"/>
        <v>29/10/2025</v>
      </c>
      <c r="J7783" t="str">
        <f t="shared" ref="J7783:J7788" si="1442">("28/10/2025")</f>
        <v>28/10/2025</v>
      </c>
      <c r="K7783" t="str">
        <f>("29/10/2025")</f>
        <v>29/10/2025</v>
      </c>
      <c r="L7783">
        <v>1691.5</v>
      </c>
      <c r="M7783">
        <v>1691.5</v>
      </c>
      <c r="N7783">
        <v>303</v>
      </c>
      <c r="O7783" t="str">
        <f>"RECEITAS COM ENTREGAS"</f>
        <v>RECEITAS COM ENTREGAS</v>
      </c>
      <c r="P7783">
        <v>1691.5</v>
      </c>
      <c r="S7783" t="str">
        <f>"RECEITAS COM ENTREGAS (303)"</f>
        <v>RECEITAS COM ENTREGAS (303)</v>
      </c>
      <c r="T7783">
        <v>20374</v>
      </c>
      <c r="U7783">
        <v>24452</v>
      </c>
      <c r="V7783" t="s">
        <v>22</v>
      </c>
    </row>
    <row r="7784" spans="1:22">
      <c r="A7784" t="str">
        <f t="shared" si="1434"/>
        <v>29/10/2025</v>
      </c>
      <c r="B7784" t="str">
        <f t="shared" si="1437"/>
        <v>ENTRADA</v>
      </c>
      <c r="C7784" t="str">
        <f t="shared" si="1438"/>
        <v>NFSE</v>
      </c>
      <c r="D7784" t="str">
        <f>"3588"</f>
        <v>3588</v>
      </c>
      <c r="E7784" t="str">
        <f t="shared" si="1432"/>
        <v>1</v>
      </c>
      <c r="F7784" t="str">
        <f t="shared" si="1431"/>
        <v>COM</v>
      </c>
      <c r="G7784" t="str">
        <f>"JAL FARMACIA E DROGARIA LJ 2 (10138)"</f>
        <v>JAL FARMACIA E DROGARIA LJ 2 (10138)</v>
      </c>
      <c r="H7784" t="s">
        <v>2178</v>
      </c>
      <c r="I7784" t="str">
        <f t="shared" si="1439"/>
        <v>29/10/2025</v>
      </c>
      <c r="J7784" t="str">
        <f t="shared" si="1442"/>
        <v>28/10/2025</v>
      </c>
      <c r="K7784">
        <v>45959</v>
      </c>
      <c r="N7784">
        <v>303</v>
      </c>
      <c r="O7784" t="s">
        <v>69</v>
      </c>
      <c r="Q7784">
        <v>1691.5</v>
      </c>
      <c r="R7784" t="str">
        <f>"JAL FARMACIA E DROGARIA LJ 2 (10138)"</f>
        <v>JAL FARMACIA E DROGARIA LJ 2 (10138)</v>
      </c>
      <c r="S7784" t="s">
        <v>70</v>
      </c>
      <c r="T7784">
        <v>20374</v>
      </c>
      <c r="U7784">
        <v>24452</v>
      </c>
      <c r="V7784" t="s">
        <v>22</v>
      </c>
    </row>
    <row r="7785" spans="1:22">
      <c r="A7785" t="str">
        <f t="shared" si="1434"/>
        <v>29/10/2025</v>
      </c>
      <c r="B7785" t="str">
        <f t="shared" si="1437"/>
        <v>ENTRADA</v>
      </c>
      <c r="C7785" t="str">
        <f t="shared" si="1438"/>
        <v>NFSE</v>
      </c>
      <c r="D7785" t="str">
        <f>"3592"</f>
        <v>3592</v>
      </c>
      <c r="E7785" t="str">
        <f t="shared" si="1432"/>
        <v>1</v>
      </c>
      <c r="F7785" t="str">
        <f t="shared" si="1431"/>
        <v>COM</v>
      </c>
      <c r="G7785" t="str">
        <f>"DELTA LOJA 2 (10123)"</f>
        <v>DELTA LOJA 2 (10123)</v>
      </c>
      <c r="H7785" t="str">
        <f>"Serv.Prest. 20/10/2025 a 26/10/2025 - RPS: 1468 - NFSe: 3592"</f>
        <v>Serv.Prest. 20/10/2025 a 26/10/2025 - RPS: 1468 - NFSe: 3592</v>
      </c>
      <c r="I7785" t="str">
        <f t="shared" si="1439"/>
        <v>29/10/2025</v>
      </c>
      <c r="J7785" t="str">
        <f t="shared" si="1442"/>
        <v>28/10/2025</v>
      </c>
      <c r="K7785" t="str">
        <f>("29/10/2025")</f>
        <v>29/10/2025</v>
      </c>
      <c r="L7785">
        <v>4646.95</v>
      </c>
      <c r="M7785">
        <v>4646.95</v>
      </c>
      <c r="N7785">
        <v>303</v>
      </c>
      <c r="O7785" t="str">
        <f>"RECEITAS COM ENTREGAS"</f>
        <v>RECEITAS COM ENTREGAS</v>
      </c>
      <c r="P7785">
        <v>4646.95</v>
      </c>
      <c r="S7785" t="str">
        <f>"RECEITAS COM ENTREGAS (303)"</f>
        <v>RECEITAS COM ENTREGAS (303)</v>
      </c>
      <c r="T7785">
        <v>20375</v>
      </c>
      <c r="U7785">
        <v>24466</v>
      </c>
      <c r="V7785" t="s">
        <v>22</v>
      </c>
    </row>
    <row r="7786" spans="1:22">
      <c r="A7786" t="str">
        <f t="shared" si="1434"/>
        <v>29/10/2025</v>
      </c>
      <c r="B7786" t="str">
        <f t="shared" si="1437"/>
        <v>ENTRADA</v>
      </c>
      <c r="C7786" t="str">
        <f t="shared" si="1438"/>
        <v>NFSE</v>
      </c>
      <c r="D7786" t="str">
        <f>"3592"</f>
        <v>3592</v>
      </c>
      <c r="E7786" t="str">
        <f t="shared" ref="E7786:E7817" si="1443">"1"</f>
        <v>1</v>
      </c>
      <c r="F7786" t="str">
        <f t="shared" si="1431"/>
        <v>COM</v>
      </c>
      <c r="G7786" t="str">
        <f>"DELTA LOJA 2 (10123)"</f>
        <v>DELTA LOJA 2 (10123)</v>
      </c>
      <c r="H7786" t="s">
        <v>2179</v>
      </c>
      <c r="I7786" t="str">
        <f t="shared" si="1439"/>
        <v>29/10/2025</v>
      </c>
      <c r="J7786" t="str">
        <f t="shared" si="1442"/>
        <v>28/10/2025</v>
      </c>
      <c r="K7786">
        <v>45959</v>
      </c>
      <c r="N7786">
        <v>303</v>
      </c>
      <c r="O7786" t="s">
        <v>69</v>
      </c>
      <c r="Q7786">
        <v>4646.95</v>
      </c>
      <c r="R7786" t="str">
        <f>"DELTA LOJA 2 (10123)"</f>
        <v>DELTA LOJA 2 (10123)</v>
      </c>
      <c r="S7786" t="s">
        <v>70</v>
      </c>
      <c r="T7786">
        <v>20375</v>
      </c>
      <c r="U7786">
        <v>24466</v>
      </c>
      <c r="V7786" t="s">
        <v>22</v>
      </c>
    </row>
    <row r="7787" spans="1:22">
      <c r="A7787" t="str">
        <f t="shared" si="1434"/>
        <v>29/10/2025</v>
      </c>
      <c r="B7787" t="str">
        <f t="shared" si="1437"/>
        <v>ENTRADA</v>
      </c>
      <c r="C7787" t="str">
        <f t="shared" si="1438"/>
        <v>NFSE</v>
      </c>
      <c r="D7787" t="str">
        <f>"3593"</f>
        <v>3593</v>
      </c>
      <c r="E7787" t="str">
        <f t="shared" si="1443"/>
        <v>1</v>
      </c>
      <c r="F7787" t="str">
        <f t="shared" si="1431"/>
        <v>COM</v>
      </c>
      <c r="G7787" t="str">
        <f>"DROGA HONDA (10149)"</f>
        <v>DROGA HONDA (10149)</v>
      </c>
      <c r="H7787" t="str">
        <f>"Serv.Prest. 20/10/2025 a 26/10/2025 - RPS: 1469 - NFSe: 3593"</f>
        <v>Serv.Prest. 20/10/2025 a 26/10/2025 - RPS: 1469 - NFSe: 3593</v>
      </c>
      <c r="I7787" t="str">
        <f t="shared" si="1439"/>
        <v>29/10/2025</v>
      </c>
      <c r="J7787" t="str">
        <f t="shared" si="1442"/>
        <v>28/10/2025</v>
      </c>
      <c r="K7787" t="str">
        <f>("29/10/2025")</f>
        <v>29/10/2025</v>
      </c>
      <c r="L7787">
        <v>1664.06</v>
      </c>
      <c r="M7787">
        <v>1664.06</v>
      </c>
      <c r="N7787">
        <v>303</v>
      </c>
      <c r="O7787" t="str">
        <f>"RECEITAS COM ENTREGAS"</f>
        <v>RECEITAS COM ENTREGAS</v>
      </c>
      <c r="P7787">
        <v>1664.06</v>
      </c>
      <c r="S7787" t="str">
        <f>"RECEITAS COM ENTREGAS (303)"</f>
        <v>RECEITAS COM ENTREGAS (303)</v>
      </c>
      <c r="T7787">
        <v>20376</v>
      </c>
      <c r="U7787">
        <v>24472</v>
      </c>
      <c r="V7787" t="s">
        <v>22</v>
      </c>
    </row>
    <row r="7788" spans="1:22">
      <c r="A7788" t="str">
        <f t="shared" si="1434"/>
        <v>29/10/2025</v>
      </c>
      <c r="B7788" t="str">
        <f t="shared" si="1437"/>
        <v>ENTRADA</v>
      </c>
      <c r="C7788" t="str">
        <f t="shared" si="1438"/>
        <v>NFSE</v>
      </c>
      <c r="D7788" t="str">
        <f>"3593"</f>
        <v>3593</v>
      </c>
      <c r="E7788" t="str">
        <f t="shared" si="1443"/>
        <v>1</v>
      </c>
      <c r="F7788" t="str">
        <f t="shared" si="1431"/>
        <v>COM</v>
      </c>
      <c r="G7788" t="str">
        <f>"DROGA HONDA (10149)"</f>
        <v>DROGA HONDA (10149)</v>
      </c>
      <c r="H7788" t="s">
        <v>2180</v>
      </c>
      <c r="I7788" t="str">
        <f t="shared" si="1439"/>
        <v>29/10/2025</v>
      </c>
      <c r="J7788" t="str">
        <f t="shared" si="1442"/>
        <v>28/10/2025</v>
      </c>
      <c r="K7788">
        <v>45959</v>
      </c>
      <c r="N7788">
        <v>303</v>
      </c>
      <c r="O7788" t="s">
        <v>69</v>
      </c>
      <c r="Q7788">
        <v>1664.06</v>
      </c>
      <c r="R7788" t="str">
        <f>"DROGA HONDA (10149)"</f>
        <v>DROGA HONDA (10149)</v>
      </c>
      <c r="S7788" t="s">
        <v>70</v>
      </c>
      <c r="T7788">
        <v>20376</v>
      </c>
      <c r="U7788">
        <v>24472</v>
      </c>
      <c r="V7788" t="s">
        <v>22</v>
      </c>
    </row>
    <row r="7789" spans="1:22">
      <c r="A7789" t="str">
        <f t="shared" si="1434"/>
        <v>29/10/2025</v>
      </c>
      <c r="B7789" t="str">
        <f t="shared" ref="B7789:B7797" si="1444">"SAÍDA"</f>
        <v>SAÍDA</v>
      </c>
      <c r="C7789" t="str">
        <f t="shared" ref="C7789:C7797" si="1445">"PIX"</f>
        <v>PIX</v>
      </c>
      <c r="D7789" t="str">
        <f>"24607"</f>
        <v>24607</v>
      </c>
      <c r="E7789" t="str">
        <f t="shared" si="1443"/>
        <v>1</v>
      </c>
      <c r="F7789" t="str">
        <f t="shared" si="1431"/>
        <v>COM</v>
      </c>
      <c r="G7789" t="str">
        <f>"RAIMUNDO SARAIVA DE LIMA FILHO (1048)"</f>
        <v>RAIMUNDO SARAIVA DE LIMA FILHO (1048)</v>
      </c>
      <c r="H7789" t="str">
        <f>"Serv.Prest. 27/10/2025 a 02/11/2025 - PIX: CELULAR - CHAVE: (11) 94875-4305"</f>
        <v>Serv.Prest. 27/10/2025 a 02/11/2025 - PIX: CELULAR - CHAVE: (11) 94875-4305</v>
      </c>
      <c r="I7789" t="str">
        <f t="shared" ref="I7789:I7797" si="1446">("06/11/2025")</f>
        <v>06/11/2025</v>
      </c>
      <c r="J7789" t="str">
        <f t="shared" ref="J7789:J7797" si="1447">("03/11/2025")</f>
        <v>03/11/2025</v>
      </c>
      <c r="K7789" t="str">
        <f>("29/10/2025")</f>
        <v>29/10/2025</v>
      </c>
      <c r="L7789">
        <v>200</v>
      </c>
      <c r="M7789">
        <v>200</v>
      </c>
      <c r="N7789">
        <v>134</v>
      </c>
      <c r="O7789" t="str">
        <f>"DIARIA DE MOTOBOY"</f>
        <v>DIARIA DE MOTOBOY</v>
      </c>
      <c r="P7789">
        <v>200</v>
      </c>
      <c r="S7789" t="str">
        <f>"BANCO CORA (102)"</f>
        <v>BANCO CORA (102)</v>
      </c>
      <c r="T7789">
        <v>20442</v>
      </c>
      <c r="U7789">
        <v>24607</v>
      </c>
      <c r="V7789" t="s">
        <v>22</v>
      </c>
    </row>
    <row r="7790" spans="1:22">
      <c r="A7790" t="str">
        <f t="shared" ref="A7790:A7821" si="1448">("29/10/2025")</f>
        <v>29/10/2025</v>
      </c>
      <c r="B7790" t="str">
        <f t="shared" si="1444"/>
        <v>SAÍDA</v>
      </c>
      <c r="C7790" t="str">
        <f t="shared" si="1445"/>
        <v>PIX</v>
      </c>
      <c r="D7790" t="str">
        <f>"24607"</f>
        <v>24607</v>
      </c>
      <c r="E7790" t="str">
        <f t="shared" si="1443"/>
        <v>1</v>
      </c>
      <c r="F7790" t="str">
        <f t="shared" si="1431"/>
        <v>COM</v>
      </c>
      <c r="G7790" t="str">
        <f>"RAIMUNDO SARAIVA DE LIMA FILHO (1048)"</f>
        <v>RAIMUNDO SARAIVA DE LIMA FILHO (1048)</v>
      </c>
      <c r="H7790" t="s">
        <v>2181</v>
      </c>
      <c r="I7790" t="str">
        <f t="shared" si="1446"/>
        <v>06/11/2025</v>
      </c>
      <c r="J7790" t="str">
        <f t="shared" si="1447"/>
        <v>03/11/2025</v>
      </c>
      <c r="K7790">
        <v>45959</v>
      </c>
      <c r="N7790">
        <v>134</v>
      </c>
      <c r="O7790" t="s">
        <v>41</v>
      </c>
      <c r="Q7790">
        <v>200</v>
      </c>
      <c r="R7790" t="str">
        <f>"PENSE FARMA 46 (10194)"</f>
        <v>PENSE FARMA 46 (10194)</v>
      </c>
      <c r="S7790" t="s">
        <v>22</v>
      </c>
      <c r="T7790">
        <v>20442</v>
      </c>
      <c r="U7790">
        <v>24607</v>
      </c>
      <c r="V7790" t="s">
        <v>22</v>
      </c>
    </row>
    <row r="7791" spans="1:22">
      <c r="A7791" t="str">
        <f t="shared" si="1448"/>
        <v>29/10/2025</v>
      </c>
      <c r="B7791" t="str">
        <f t="shared" si="1444"/>
        <v>SAÍDA</v>
      </c>
      <c r="C7791" t="str">
        <f t="shared" si="1445"/>
        <v>PIX</v>
      </c>
      <c r="D7791" t="str">
        <f>"24607"</f>
        <v>24607</v>
      </c>
      <c r="E7791" t="str">
        <f t="shared" si="1443"/>
        <v>1</v>
      </c>
      <c r="F7791" t="str">
        <f t="shared" si="1431"/>
        <v>COM</v>
      </c>
      <c r="G7791" t="str">
        <f>"RAIMUNDO SARAIVA DE LIMA FILHO (1048)"</f>
        <v>RAIMUNDO SARAIVA DE LIMA FILHO (1048)</v>
      </c>
      <c r="H7791" t="str">
        <f>"Serv.Prest. 27/10/2025 a 02/11/2025 - PIX: CELULAR - CHAVE: (11) 94875-4305"</f>
        <v>Serv.Prest. 27/10/2025 a 02/11/2025 - PIX: CELULAR - CHAVE: (11) 94875-4305</v>
      </c>
      <c r="I7791" t="str">
        <f t="shared" si="1446"/>
        <v>06/11/2025</v>
      </c>
      <c r="J7791" t="str">
        <f t="shared" si="1447"/>
        <v>03/11/2025</v>
      </c>
      <c r="K7791" t="str">
        <f>("29/10/2025")</f>
        <v>29/10/2025</v>
      </c>
      <c r="L7791">
        <v>200</v>
      </c>
      <c r="M7791">
        <v>200</v>
      </c>
      <c r="N7791">
        <v>134</v>
      </c>
      <c r="O7791" t="str">
        <f>"DIARIA DE MOTOBOY"</f>
        <v>DIARIA DE MOTOBOY</v>
      </c>
      <c r="P7791">
        <v>200</v>
      </c>
      <c r="S7791" t="str">
        <f>"BANCO CORA (102)"</f>
        <v>BANCO CORA (102)</v>
      </c>
      <c r="T7791">
        <v>20443</v>
      </c>
      <c r="U7791">
        <v>24919</v>
      </c>
      <c r="V7791" t="s">
        <v>22</v>
      </c>
    </row>
    <row r="7792" spans="1:22">
      <c r="A7792" t="str">
        <f t="shared" si="1448"/>
        <v>29/10/2025</v>
      </c>
      <c r="B7792" t="str">
        <f t="shared" si="1444"/>
        <v>SAÍDA</v>
      </c>
      <c r="C7792" t="str">
        <f t="shared" si="1445"/>
        <v>PIX</v>
      </c>
      <c r="D7792" t="str">
        <f>"24607"</f>
        <v>24607</v>
      </c>
      <c r="E7792" t="str">
        <f t="shared" si="1443"/>
        <v>1</v>
      </c>
      <c r="F7792" t="str">
        <f t="shared" si="1431"/>
        <v>COM</v>
      </c>
      <c r="G7792" t="str">
        <f>"RAIMUNDO SARAIVA DE LIMA FILHO (1048)"</f>
        <v>RAIMUNDO SARAIVA DE LIMA FILHO (1048)</v>
      </c>
      <c r="H7792" t="s">
        <v>2181</v>
      </c>
      <c r="I7792" t="str">
        <f t="shared" si="1446"/>
        <v>06/11/2025</v>
      </c>
      <c r="J7792" t="str">
        <f t="shared" si="1447"/>
        <v>03/11/2025</v>
      </c>
      <c r="K7792">
        <v>45959</v>
      </c>
      <c r="N7792">
        <v>134</v>
      </c>
      <c r="O7792" t="s">
        <v>41</v>
      </c>
      <c r="Q7792">
        <v>200</v>
      </c>
      <c r="R7792" t="str">
        <f>"PENSE FARMA 46 (10194)"</f>
        <v>PENSE FARMA 46 (10194)</v>
      </c>
      <c r="S7792" t="s">
        <v>22</v>
      </c>
      <c r="T7792">
        <v>20443</v>
      </c>
      <c r="U7792">
        <v>24919</v>
      </c>
      <c r="V7792" t="s">
        <v>22</v>
      </c>
    </row>
    <row r="7793" spans="1:22">
      <c r="A7793" t="str">
        <f t="shared" si="1448"/>
        <v>29/10/2025</v>
      </c>
      <c r="B7793" t="str">
        <f t="shared" si="1444"/>
        <v>SAÍDA</v>
      </c>
      <c r="C7793" t="str">
        <f t="shared" si="1445"/>
        <v>PIX</v>
      </c>
      <c r="D7793" t="str">
        <f>"24622"</f>
        <v>24622</v>
      </c>
      <c r="E7793" t="str">
        <f t="shared" si="1443"/>
        <v>1</v>
      </c>
      <c r="F7793" t="str">
        <f t="shared" si="1431"/>
        <v>COM</v>
      </c>
      <c r="G7793" t="str">
        <f>"NATHAN PETRIN SOUSA DA SILVA (1049)"</f>
        <v>NATHAN PETRIN SOUSA DA SILVA (1049)</v>
      </c>
      <c r="H7793" t="str">
        <f>"Serv.Prest. 27/10/2025 a 02/11/2025 - PIX: CELULAR - CHAVE: (11) 98731-4534"</f>
        <v>Serv.Prest. 27/10/2025 a 02/11/2025 - PIX: CELULAR - CHAVE: (11) 98731-4534</v>
      </c>
      <c r="I7793" t="str">
        <f t="shared" si="1446"/>
        <v>06/11/2025</v>
      </c>
      <c r="J7793" t="str">
        <f t="shared" si="1447"/>
        <v>03/11/2025</v>
      </c>
      <c r="K7793" t="str">
        <f>("29/10/2025")</f>
        <v>29/10/2025</v>
      </c>
      <c r="L7793">
        <v>100</v>
      </c>
      <c r="M7793">
        <v>100</v>
      </c>
      <c r="N7793">
        <v>109</v>
      </c>
      <c r="O7793" t="str">
        <f>"PAGAMENTO DE ENTREGADORES"</f>
        <v>PAGAMENTO DE ENTREGADORES</v>
      </c>
      <c r="P7793">
        <v>100</v>
      </c>
      <c r="S7793" t="str">
        <f>"BANCO CORA (102)"</f>
        <v>BANCO CORA (102)</v>
      </c>
      <c r="T7793">
        <v>20463</v>
      </c>
      <c r="U7793">
        <v>24929</v>
      </c>
      <c r="V7793" t="s">
        <v>22</v>
      </c>
    </row>
    <row r="7794" spans="1:22">
      <c r="A7794" t="str">
        <f t="shared" si="1448"/>
        <v>29/10/2025</v>
      </c>
      <c r="B7794" t="str">
        <f t="shared" si="1444"/>
        <v>SAÍDA</v>
      </c>
      <c r="C7794" t="str">
        <f t="shared" si="1445"/>
        <v>PIX</v>
      </c>
      <c r="D7794" t="str">
        <f>"24622"</f>
        <v>24622</v>
      </c>
      <c r="E7794" t="str">
        <f t="shared" si="1443"/>
        <v>1</v>
      </c>
      <c r="F7794" t="str">
        <f t="shared" si="1431"/>
        <v>COM</v>
      </c>
      <c r="G7794" t="str">
        <f>"NATHAN PETRIN SOUSA DA SILVA (1049)"</f>
        <v>NATHAN PETRIN SOUSA DA SILVA (1049)</v>
      </c>
      <c r="H7794" t="s">
        <v>2182</v>
      </c>
      <c r="I7794" t="str">
        <f t="shared" si="1446"/>
        <v>06/11/2025</v>
      </c>
      <c r="J7794" t="str">
        <f t="shared" si="1447"/>
        <v>03/11/2025</v>
      </c>
      <c r="K7794">
        <v>45959</v>
      </c>
      <c r="N7794">
        <v>109</v>
      </c>
      <c r="O7794" t="s">
        <v>24</v>
      </c>
      <c r="Q7794">
        <v>25</v>
      </c>
      <c r="R7794" t="str">
        <f>"PENSE FARMA 15 (10195)"</f>
        <v>PENSE FARMA 15 (10195)</v>
      </c>
      <c r="S7794" t="s">
        <v>22</v>
      </c>
      <c r="T7794">
        <v>20463</v>
      </c>
      <c r="U7794">
        <v>24929</v>
      </c>
      <c r="V7794" t="s">
        <v>22</v>
      </c>
    </row>
    <row r="7795" spans="1:22">
      <c r="A7795" t="str">
        <f t="shared" si="1448"/>
        <v>29/10/2025</v>
      </c>
      <c r="B7795" t="str">
        <f t="shared" si="1444"/>
        <v>SAÍDA</v>
      </c>
      <c r="C7795" t="str">
        <f t="shared" si="1445"/>
        <v>PIX</v>
      </c>
      <c r="D7795" t="str">
        <f>"24622"</f>
        <v>24622</v>
      </c>
      <c r="E7795" t="str">
        <f t="shared" si="1443"/>
        <v>1</v>
      </c>
      <c r="F7795" t="str">
        <f t="shared" si="1431"/>
        <v>COM</v>
      </c>
      <c r="G7795" t="str">
        <f>"NATHAN PETRIN SOUSA DA SILVA (1049)"</f>
        <v>NATHAN PETRIN SOUSA DA SILVA (1049)</v>
      </c>
      <c r="H7795" t="s">
        <v>2182</v>
      </c>
      <c r="I7795" t="str">
        <f t="shared" si="1446"/>
        <v>06/11/2025</v>
      </c>
      <c r="J7795" t="str">
        <f t="shared" si="1447"/>
        <v>03/11/2025</v>
      </c>
      <c r="K7795">
        <v>45959</v>
      </c>
      <c r="N7795">
        <v>109</v>
      </c>
      <c r="O7795" t="s">
        <v>24</v>
      </c>
      <c r="Q7795">
        <v>25</v>
      </c>
      <c r="R7795" t="str">
        <f>"PENSE FARMA 26 (10196)"</f>
        <v>PENSE FARMA 26 (10196)</v>
      </c>
      <c r="S7795" t="s">
        <v>22</v>
      </c>
      <c r="T7795">
        <v>20463</v>
      </c>
      <c r="U7795">
        <v>24929</v>
      </c>
      <c r="V7795" t="s">
        <v>22</v>
      </c>
    </row>
    <row r="7796" spans="1:22">
      <c r="A7796" t="str">
        <f t="shared" si="1448"/>
        <v>29/10/2025</v>
      </c>
      <c r="B7796" t="str">
        <f t="shared" si="1444"/>
        <v>SAÍDA</v>
      </c>
      <c r="C7796" t="str">
        <f t="shared" si="1445"/>
        <v>PIX</v>
      </c>
      <c r="D7796" t="str">
        <f>"24622"</f>
        <v>24622</v>
      </c>
      <c r="E7796" t="str">
        <f t="shared" si="1443"/>
        <v>1</v>
      </c>
      <c r="F7796" t="str">
        <f t="shared" si="1431"/>
        <v>COM</v>
      </c>
      <c r="G7796" t="str">
        <f>"NATHAN PETRIN SOUSA DA SILVA (1049)"</f>
        <v>NATHAN PETRIN SOUSA DA SILVA (1049)</v>
      </c>
      <c r="H7796" t="s">
        <v>2182</v>
      </c>
      <c r="I7796" t="str">
        <f t="shared" si="1446"/>
        <v>06/11/2025</v>
      </c>
      <c r="J7796" t="str">
        <f t="shared" si="1447"/>
        <v>03/11/2025</v>
      </c>
      <c r="K7796">
        <v>45959</v>
      </c>
      <c r="N7796">
        <v>109</v>
      </c>
      <c r="O7796" t="s">
        <v>24</v>
      </c>
      <c r="Q7796">
        <v>25</v>
      </c>
      <c r="R7796" t="str">
        <f>"PENSE FARMA 60 (10197)"</f>
        <v>PENSE FARMA 60 (10197)</v>
      </c>
      <c r="S7796" t="s">
        <v>22</v>
      </c>
      <c r="T7796">
        <v>20463</v>
      </c>
      <c r="U7796">
        <v>24929</v>
      </c>
      <c r="V7796" t="s">
        <v>22</v>
      </c>
    </row>
    <row r="7797" spans="1:22">
      <c r="A7797" t="str">
        <f t="shared" si="1448"/>
        <v>29/10/2025</v>
      </c>
      <c r="B7797" t="str">
        <f t="shared" si="1444"/>
        <v>SAÍDA</v>
      </c>
      <c r="C7797" t="str">
        <f t="shared" si="1445"/>
        <v>PIX</v>
      </c>
      <c r="D7797" t="str">
        <f>"24622"</f>
        <v>24622</v>
      </c>
      <c r="E7797" t="str">
        <f t="shared" si="1443"/>
        <v>1</v>
      </c>
      <c r="F7797" t="str">
        <f t="shared" si="1431"/>
        <v>COM</v>
      </c>
      <c r="G7797" t="str">
        <f>"NATHAN PETRIN SOUSA DA SILVA (1049)"</f>
        <v>NATHAN PETRIN SOUSA DA SILVA (1049)</v>
      </c>
      <c r="H7797" t="s">
        <v>2182</v>
      </c>
      <c r="I7797" t="str">
        <f t="shared" si="1446"/>
        <v>06/11/2025</v>
      </c>
      <c r="J7797" t="str">
        <f t="shared" si="1447"/>
        <v>03/11/2025</v>
      </c>
      <c r="K7797">
        <v>45959</v>
      </c>
      <c r="N7797">
        <v>109</v>
      </c>
      <c r="O7797" t="s">
        <v>24</v>
      </c>
      <c r="Q7797">
        <v>25</v>
      </c>
      <c r="R7797" t="str">
        <f>"PENSE FARMA 61 (10243)"</f>
        <v>PENSE FARMA 61 (10243)</v>
      </c>
      <c r="S7797" t="s">
        <v>22</v>
      </c>
      <c r="T7797">
        <v>20463</v>
      </c>
      <c r="U7797">
        <v>24929</v>
      </c>
      <c r="V7797" t="s">
        <v>22</v>
      </c>
    </row>
    <row r="7798" spans="1:22">
      <c r="A7798" t="str">
        <f t="shared" si="1448"/>
        <v>29/10/2025</v>
      </c>
      <c r="B7798" t="str">
        <f t="shared" ref="B7798:B7829" si="1449">"ENTRADA"</f>
        <v>ENTRADA</v>
      </c>
      <c r="C7798" t="str">
        <f t="shared" ref="C7798:C7829" si="1450">"NFSE"</f>
        <v>NFSE</v>
      </c>
      <c r="D7798" t="str">
        <f t="shared" ref="D7798:D7845" si="1451">"3546"</f>
        <v>3546</v>
      </c>
      <c r="E7798" t="str">
        <f t="shared" si="1443"/>
        <v>1</v>
      </c>
      <c r="F7798" t="str">
        <f t="shared" si="1431"/>
        <v>COM</v>
      </c>
      <c r="G7798" t="str">
        <f t="shared" ref="G7798:G7845" si="1452">"FARMÁCIA INDIANA LJ 1 (10126)"</f>
        <v>FARMÁCIA INDIANA LJ 1 (10126)</v>
      </c>
      <c r="H7798" t="str">
        <f>"Serv.Prest. 13/10/2025 a 19/10/2025 - RPS: 1422 - NFSe: 3546"</f>
        <v>Serv.Prest. 13/10/2025 a 19/10/2025 - RPS: 1422 - NFSe: 3546</v>
      </c>
      <c r="I7798" t="str">
        <f t="shared" ref="I7798:I7845" si="1453">("29/10/2025")</f>
        <v>29/10/2025</v>
      </c>
      <c r="J7798" t="str">
        <f t="shared" ref="J7798:J7845" si="1454">("21/10/2025")</f>
        <v>21/10/2025</v>
      </c>
      <c r="K7798" t="str">
        <f>("29/10/2025")</f>
        <v>29/10/2025</v>
      </c>
      <c r="L7798">
        <v>115533.66</v>
      </c>
      <c r="M7798">
        <v>115533.66</v>
      </c>
      <c r="N7798">
        <v>303</v>
      </c>
      <c r="O7798" t="str">
        <f>"RECEITAS COM ENTREGAS"</f>
        <v>RECEITAS COM ENTREGAS</v>
      </c>
      <c r="P7798">
        <v>115533.66</v>
      </c>
      <c r="S7798" t="str">
        <f>"RECEITAS COM ENTREGAS (303)"</f>
        <v>RECEITAS COM ENTREGAS (303)</v>
      </c>
      <c r="T7798">
        <v>21838</v>
      </c>
      <c r="U7798">
        <v>23973</v>
      </c>
      <c r="V7798" t="s">
        <v>77</v>
      </c>
    </row>
    <row r="7799" spans="1:22">
      <c r="A7799" t="str">
        <f t="shared" si="1448"/>
        <v>29/10/2025</v>
      </c>
      <c r="B7799" t="str">
        <f t="shared" si="1449"/>
        <v>ENTRADA</v>
      </c>
      <c r="C7799" t="str">
        <f t="shared" si="1450"/>
        <v>NFSE</v>
      </c>
      <c r="D7799" t="str">
        <f t="shared" si="1451"/>
        <v>3546</v>
      </c>
      <c r="E7799" t="str">
        <f t="shared" si="1443"/>
        <v>1</v>
      </c>
      <c r="F7799" t="str">
        <f t="shared" si="1431"/>
        <v>COM</v>
      </c>
      <c r="G7799" t="str">
        <f t="shared" si="1452"/>
        <v>FARMÁCIA INDIANA LJ 1 (10126)</v>
      </c>
      <c r="H7799" t="s">
        <v>2183</v>
      </c>
      <c r="I7799" t="str">
        <f t="shared" si="1453"/>
        <v>29/10/2025</v>
      </c>
      <c r="J7799" t="str">
        <f t="shared" si="1454"/>
        <v>21/10/2025</v>
      </c>
      <c r="K7799">
        <v>45959</v>
      </c>
      <c r="N7799">
        <v>303</v>
      </c>
      <c r="O7799" t="s">
        <v>69</v>
      </c>
      <c r="Q7799">
        <v>18092.57</v>
      </c>
      <c r="R7799" t="str">
        <f>"FARMÁCIA INDIANA LJ 06 (10006)"</f>
        <v>FARMÁCIA INDIANA LJ 06 (10006)</v>
      </c>
      <c r="S7799" t="s">
        <v>70</v>
      </c>
      <c r="T7799">
        <v>21838</v>
      </c>
      <c r="U7799">
        <v>23973</v>
      </c>
      <c r="V7799" t="s">
        <v>77</v>
      </c>
    </row>
    <row r="7800" spans="1:22">
      <c r="A7800" t="str">
        <f t="shared" si="1448"/>
        <v>29/10/2025</v>
      </c>
      <c r="B7800" t="str">
        <f t="shared" si="1449"/>
        <v>ENTRADA</v>
      </c>
      <c r="C7800" t="str">
        <f t="shared" si="1450"/>
        <v>NFSE</v>
      </c>
      <c r="D7800" t="str">
        <f t="shared" si="1451"/>
        <v>3546</v>
      </c>
      <c r="E7800" t="str">
        <f t="shared" si="1443"/>
        <v>1</v>
      </c>
      <c r="F7800" t="str">
        <f t="shared" si="1431"/>
        <v>COM</v>
      </c>
      <c r="G7800" t="str">
        <f t="shared" si="1452"/>
        <v>FARMÁCIA INDIANA LJ 1 (10126)</v>
      </c>
      <c r="H7800" t="s">
        <v>2183</v>
      </c>
      <c r="I7800" t="str">
        <f t="shared" si="1453"/>
        <v>29/10/2025</v>
      </c>
      <c r="J7800" t="str">
        <f t="shared" si="1454"/>
        <v>21/10/2025</v>
      </c>
      <c r="K7800">
        <v>45959</v>
      </c>
      <c r="N7800">
        <v>303</v>
      </c>
      <c r="O7800" t="s">
        <v>69</v>
      </c>
      <c r="Q7800">
        <v>13066.86</v>
      </c>
      <c r="R7800" t="str">
        <f>"FARMÁCIA INDIANA LJ 07 (10007)"</f>
        <v>FARMÁCIA INDIANA LJ 07 (10007)</v>
      </c>
      <c r="S7800" t="s">
        <v>70</v>
      </c>
      <c r="T7800">
        <v>21838</v>
      </c>
      <c r="U7800">
        <v>23973</v>
      </c>
      <c r="V7800" t="s">
        <v>77</v>
      </c>
    </row>
    <row r="7801" spans="1:22">
      <c r="A7801" t="str">
        <f t="shared" si="1448"/>
        <v>29/10/2025</v>
      </c>
      <c r="B7801" t="str">
        <f t="shared" si="1449"/>
        <v>ENTRADA</v>
      </c>
      <c r="C7801" t="str">
        <f t="shared" si="1450"/>
        <v>NFSE</v>
      </c>
      <c r="D7801" t="str">
        <f t="shared" si="1451"/>
        <v>3546</v>
      </c>
      <c r="E7801" t="str">
        <f t="shared" si="1443"/>
        <v>1</v>
      </c>
      <c r="F7801" t="str">
        <f t="shared" ref="F7801:F7864" si="1455">"COM"</f>
        <v>COM</v>
      </c>
      <c r="G7801" t="str">
        <f t="shared" si="1452"/>
        <v>FARMÁCIA INDIANA LJ 1 (10126)</v>
      </c>
      <c r="H7801" t="s">
        <v>2183</v>
      </c>
      <c r="I7801" t="str">
        <f t="shared" si="1453"/>
        <v>29/10/2025</v>
      </c>
      <c r="J7801" t="str">
        <f t="shared" si="1454"/>
        <v>21/10/2025</v>
      </c>
      <c r="K7801">
        <v>45959</v>
      </c>
      <c r="N7801">
        <v>303</v>
      </c>
      <c r="O7801" t="s">
        <v>69</v>
      </c>
      <c r="Q7801">
        <v>9335.1200000000008</v>
      </c>
      <c r="R7801" t="str">
        <f>"FARMÁCIA INDIANA LJ 11 (10008)"</f>
        <v>FARMÁCIA INDIANA LJ 11 (10008)</v>
      </c>
      <c r="S7801" t="s">
        <v>70</v>
      </c>
      <c r="T7801">
        <v>21838</v>
      </c>
      <c r="U7801">
        <v>23973</v>
      </c>
      <c r="V7801" t="s">
        <v>77</v>
      </c>
    </row>
    <row r="7802" spans="1:22">
      <c r="A7802" t="str">
        <f t="shared" si="1448"/>
        <v>29/10/2025</v>
      </c>
      <c r="B7802" t="str">
        <f t="shared" si="1449"/>
        <v>ENTRADA</v>
      </c>
      <c r="C7802" t="str">
        <f t="shared" si="1450"/>
        <v>NFSE</v>
      </c>
      <c r="D7802" t="str">
        <f t="shared" si="1451"/>
        <v>3546</v>
      </c>
      <c r="E7802" t="str">
        <f t="shared" si="1443"/>
        <v>1</v>
      </c>
      <c r="F7802" t="str">
        <f t="shared" si="1455"/>
        <v>COM</v>
      </c>
      <c r="G7802" t="str">
        <f t="shared" si="1452"/>
        <v>FARMÁCIA INDIANA LJ 1 (10126)</v>
      </c>
      <c r="H7802" t="s">
        <v>2183</v>
      </c>
      <c r="I7802" t="str">
        <f t="shared" si="1453"/>
        <v>29/10/2025</v>
      </c>
      <c r="J7802" t="str">
        <f t="shared" si="1454"/>
        <v>21/10/2025</v>
      </c>
      <c r="K7802">
        <v>45959</v>
      </c>
      <c r="N7802">
        <v>303</v>
      </c>
      <c r="O7802" t="s">
        <v>69</v>
      </c>
      <c r="Q7802">
        <v>4124.55</v>
      </c>
      <c r="R7802" t="str">
        <f>"FARMÁCIA INDIANA LJ 14 (10009)"</f>
        <v>FARMÁCIA INDIANA LJ 14 (10009)</v>
      </c>
      <c r="S7802" t="s">
        <v>70</v>
      </c>
      <c r="T7802">
        <v>21838</v>
      </c>
      <c r="U7802">
        <v>23973</v>
      </c>
      <c r="V7802" t="s">
        <v>77</v>
      </c>
    </row>
    <row r="7803" spans="1:22">
      <c r="A7803" t="str">
        <f t="shared" si="1448"/>
        <v>29/10/2025</v>
      </c>
      <c r="B7803" t="str">
        <f t="shared" si="1449"/>
        <v>ENTRADA</v>
      </c>
      <c r="C7803" t="str">
        <f t="shared" si="1450"/>
        <v>NFSE</v>
      </c>
      <c r="D7803" t="str">
        <f t="shared" si="1451"/>
        <v>3546</v>
      </c>
      <c r="E7803" t="str">
        <f t="shared" si="1443"/>
        <v>1</v>
      </c>
      <c r="F7803" t="str">
        <f t="shared" si="1455"/>
        <v>COM</v>
      </c>
      <c r="G7803" t="str">
        <f t="shared" si="1452"/>
        <v>FARMÁCIA INDIANA LJ 1 (10126)</v>
      </c>
      <c r="H7803" t="s">
        <v>2183</v>
      </c>
      <c r="I7803" t="str">
        <f t="shared" si="1453"/>
        <v>29/10/2025</v>
      </c>
      <c r="J7803" t="str">
        <f t="shared" si="1454"/>
        <v>21/10/2025</v>
      </c>
      <c r="K7803">
        <v>45959</v>
      </c>
      <c r="N7803">
        <v>303</v>
      </c>
      <c r="O7803" t="s">
        <v>69</v>
      </c>
      <c r="Q7803">
        <v>3697.08</v>
      </c>
      <c r="R7803" t="str">
        <f>"FARMÁCIA INDIANA LJ 18 (10011)"</f>
        <v>FARMÁCIA INDIANA LJ 18 (10011)</v>
      </c>
      <c r="S7803" t="s">
        <v>70</v>
      </c>
      <c r="T7803">
        <v>21838</v>
      </c>
      <c r="U7803">
        <v>23973</v>
      </c>
      <c r="V7803" t="s">
        <v>77</v>
      </c>
    </row>
    <row r="7804" spans="1:22">
      <c r="A7804" t="str">
        <f t="shared" si="1448"/>
        <v>29/10/2025</v>
      </c>
      <c r="B7804" t="str">
        <f t="shared" si="1449"/>
        <v>ENTRADA</v>
      </c>
      <c r="C7804" t="str">
        <f t="shared" si="1450"/>
        <v>NFSE</v>
      </c>
      <c r="D7804" t="str">
        <f t="shared" si="1451"/>
        <v>3546</v>
      </c>
      <c r="E7804" t="str">
        <f t="shared" si="1443"/>
        <v>1</v>
      </c>
      <c r="F7804" t="str">
        <f t="shared" si="1455"/>
        <v>COM</v>
      </c>
      <c r="G7804" t="str">
        <f t="shared" si="1452"/>
        <v>FARMÁCIA INDIANA LJ 1 (10126)</v>
      </c>
      <c r="H7804" t="s">
        <v>2183</v>
      </c>
      <c r="I7804" t="str">
        <f t="shared" si="1453"/>
        <v>29/10/2025</v>
      </c>
      <c r="J7804" t="str">
        <f t="shared" si="1454"/>
        <v>21/10/2025</v>
      </c>
      <c r="K7804">
        <v>45959</v>
      </c>
      <c r="N7804">
        <v>303</v>
      </c>
      <c r="O7804" t="s">
        <v>69</v>
      </c>
      <c r="Q7804">
        <v>3523.78</v>
      </c>
      <c r="R7804" t="str">
        <f>"FARMÁCIA INDIANA LJ 19 (10012)"</f>
        <v>FARMÁCIA INDIANA LJ 19 (10012)</v>
      </c>
      <c r="S7804" t="s">
        <v>70</v>
      </c>
      <c r="T7804">
        <v>21838</v>
      </c>
      <c r="U7804">
        <v>23973</v>
      </c>
      <c r="V7804" t="s">
        <v>77</v>
      </c>
    </row>
    <row r="7805" spans="1:22">
      <c r="A7805" t="str">
        <f t="shared" si="1448"/>
        <v>29/10/2025</v>
      </c>
      <c r="B7805" t="str">
        <f t="shared" si="1449"/>
        <v>ENTRADA</v>
      </c>
      <c r="C7805" t="str">
        <f t="shared" si="1450"/>
        <v>NFSE</v>
      </c>
      <c r="D7805" t="str">
        <f t="shared" si="1451"/>
        <v>3546</v>
      </c>
      <c r="E7805" t="str">
        <f t="shared" si="1443"/>
        <v>1</v>
      </c>
      <c r="F7805" t="str">
        <f t="shared" si="1455"/>
        <v>COM</v>
      </c>
      <c r="G7805" t="str">
        <f t="shared" si="1452"/>
        <v>FARMÁCIA INDIANA LJ 1 (10126)</v>
      </c>
      <c r="H7805" t="s">
        <v>2183</v>
      </c>
      <c r="I7805" t="str">
        <f t="shared" si="1453"/>
        <v>29/10/2025</v>
      </c>
      <c r="J7805" t="str">
        <f t="shared" si="1454"/>
        <v>21/10/2025</v>
      </c>
      <c r="K7805">
        <v>45959</v>
      </c>
      <c r="N7805">
        <v>303</v>
      </c>
      <c r="O7805" t="s">
        <v>69</v>
      </c>
      <c r="Q7805">
        <v>3454.46</v>
      </c>
      <c r="R7805" t="str">
        <f>"FARMÁCIA INDIANA LJ 40 (10016)"</f>
        <v>FARMÁCIA INDIANA LJ 40 (10016)</v>
      </c>
      <c r="S7805" t="s">
        <v>70</v>
      </c>
      <c r="T7805">
        <v>21838</v>
      </c>
      <c r="U7805">
        <v>23973</v>
      </c>
      <c r="V7805" t="s">
        <v>77</v>
      </c>
    </row>
    <row r="7806" spans="1:22">
      <c r="A7806" t="str">
        <f t="shared" si="1448"/>
        <v>29/10/2025</v>
      </c>
      <c r="B7806" t="str">
        <f t="shared" si="1449"/>
        <v>ENTRADA</v>
      </c>
      <c r="C7806" t="str">
        <f t="shared" si="1450"/>
        <v>NFSE</v>
      </c>
      <c r="D7806" t="str">
        <f t="shared" si="1451"/>
        <v>3546</v>
      </c>
      <c r="E7806" t="str">
        <f t="shared" si="1443"/>
        <v>1</v>
      </c>
      <c r="F7806" t="str">
        <f t="shared" si="1455"/>
        <v>COM</v>
      </c>
      <c r="G7806" t="str">
        <f t="shared" si="1452"/>
        <v>FARMÁCIA INDIANA LJ 1 (10126)</v>
      </c>
      <c r="H7806" t="s">
        <v>2183</v>
      </c>
      <c r="I7806" t="str">
        <f t="shared" si="1453"/>
        <v>29/10/2025</v>
      </c>
      <c r="J7806" t="str">
        <f t="shared" si="1454"/>
        <v>21/10/2025</v>
      </c>
      <c r="K7806">
        <v>45959</v>
      </c>
      <c r="N7806">
        <v>303</v>
      </c>
      <c r="O7806" t="s">
        <v>69</v>
      </c>
      <c r="Q7806">
        <v>2044.95</v>
      </c>
      <c r="R7806" t="str">
        <f>"FARMÁCIA INDIANA LJ 59 (10026)"</f>
        <v>FARMÁCIA INDIANA LJ 59 (10026)</v>
      </c>
      <c r="S7806" t="s">
        <v>70</v>
      </c>
      <c r="T7806">
        <v>21838</v>
      </c>
      <c r="U7806">
        <v>23973</v>
      </c>
      <c r="V7806" t="s">
        <v>77</v>
      </c>
    </row>
    <row r="7807" spans="1:22">
      <c r="A7807" t="str">
        <f t="shared" si="1448"/>
        <v>29/10/2025</v>
      </c>
      <c r="B7807" t="str">
        <f t="shared" si="1449"/>
        <v>ENTRADA</v>
      </c>
      <c r="C7807" t="str">
        <f t="shared" si="1450"/>
        <v>NFSE</v>
      </c>
      <c r="D7807" t="str">
        <f t="shared" si="1451"/>
        <v>3546</v>
      </c>
      <c r="E7807" t="str">
        <f t="shared" si="1443"/>
        <v>1</v>
      </c>
      <c r="F7807" t="str">
        <f t="shared" si="1455"/>
        <v>COM</v>
      </c>
      <c r="G7807" t="str">
        <f t="shared" si="1452"/>
        <v>FARMÁCIA INDIANA LJ 1 (10126)</v>
      </c>
      <c r="H7807" t="s">
        <v>2183</v>
      </c>
      <c r="I7807" t="str">
        <f t="shared" si="1453"/>
        <v>29/10/2025</v>
      </c>
      <c r="J7807" t="str">
        <f t="shared" si="1454"/>
        <v>21/10/2025</v>
      </c>
      <c r="K7807">
        <v>45959</v>
      </c>
      <c r="N7807">
        <v>303</v>
      </c>
      <c r="O7807" t="s">
        <v>69</v>
      </c>
      <c r="Q7807">
        <v>3974.36</v>
      </c>
      <c r="R7807" t="str">
        <f>"FARMÁCIA INDIANA LJ 61 (10027)"</f>
        <v>FARMÁCIA INDIANA LJ 61 (10027)</v>
      </c>
      <c r="S7807" t="s">
        <v>70</v>
      </c>
      <c r="T7807">
        <v>21838</v>
      </c>
      <c r="U7807">
        <v>23973</v>
      </c>
      <c r="V7807" t="s">
        <v>77</v>
      </c>
    </row>
    <row r="7808" spans="1:22">
      <c r="A7808" t="str">
        <f t="shared" si="1448"/>
        <v>29/10/2025</v>
      </c>
      <c r="B7808" t="str">
        <f t="shared" si="1449"/>
        <v>ENTRADA</v>
      </c>
      <c r="C7808" t="str">
        <f t="shared" si="1450"/>
        <v>NFSE</v>
      </c>
      <c r="D7808" t="str">
        <f t="shared" si="1451"/>
        <v>3546</v>
      </c>
      <c r="E7808" t="str">
        <f t="shared" si="1443"/>
        <v>1</v>
      </c>
      <c r="F7808" t="str">
        <f t="shared" si="1455"/>
        <v>COM</v>
      </c>
      <c r="G7808" t="str">
        <f t="shared" si="1452"/>
        <v>FARMÁCIA INDIANA LJ 1 (10126)</v>
      </c>
      <c r="H7808" t="s">
        <v>2183</v>
      </c>
      <c r="I7808" t="str">
        <f t="shared" si="1453"/>
        <v>29/10/2025</v>
      </c>
      <c r="J7808" t="str">
        <f t="shared" si="1454"/>
        <v>21/10/2025</v>
      </c>
      <c r="K7808">
        <v>45959</v>
      </c>
      <c r="N7808">
        <v>303</v>
      </c>
      <c r="O7808" t="s">
        <v>69</v>
      </c>
      <c r="Q7808">
        <v>1617.47</v>
      </c>
      <c r="R7808" t="str">
        <f>"FARMÁCIA INDIANA LJ 62 (10028)"</f>
        <v>FARMÁCIA INDIANA LJ 62 (10028)</v>
      </c>
      <c r="S7808" t="s">
        <v>70</v>
      </c>
      <c r="T7808">
        <v>21838</v>
      </c>
      <c r="U7808">
        <v>23973</v>
      </c>
      <c r="V7808" t="s">
        <v>77</v>
      </c>
    </row>
    <row r="7809" spans="1:22">
      <c r="A7809" t="str">
        <f t="shared" si="1448"/>
        <v>29/10/2025</v>
      </c>
      <c r="B7809" t="str">
        <f t="shared" si="1449"/>
        <v>ENTRADA</v>
      </c>
      <c r="C7809" t="str">
        <f t="shared" si="1450"/>
        <v>NFSE</v>
      </c>
      <c r="D7809" t="str">
        <f t="shared" si="1451"/>
        <v>3546</v>
      </c>
      <c r="E7809" t="str">
        <f t="shared" si="1443"/>
        <v>1</v>
      </c>
      <c r="F7809" t="str">
        <f t="shared" si="1455"/>
        <v>COM</v>
      </c>
      <c r="G7809" t="str">
        <f t="shared" si="1452"/>
        <v>FARMÁCIA INDIANA LJ 1 (10126)</v>
      </c>
      <c r="H7809" t="s">
        <v>2183</v>
      </c>
      <c r="I7809" t="str">
        <f t="shared" si="1453"/>
        <v>29/10/2025</v>
      </c>
      <c r="J7809" t="str">
        <f t="shared" si="1454"/>
        <v>21/10/2025</v>
      </c>
      <c r="K7809">
        <v>45959</v>
      </c>
      <c r="N7809">
        <v>303</v>
      </c>
      <c r="O7809" t="s">
        <v>69</v>
      </c>
      <c r="Q7809">
        <v>612.33000000000004</v>
      </c>
      <c r="R7809" t="str">
        <f>"FARMÁCIA INDIANA LJ 64 (10029)"</f>
        <v>FARMÁCIA INDIANA LJ 64 (10029)</v>
      </c>
      <c r="S7809" t="s">
        <v>70</v>
      </c>
      <c r="T7809">
        <v>21838</v>
      </c>
      <c r="U7809">
        <v>23973</v>
      </c>
      <c r="V7809" t="s">
        <v>77</v>
      </c>
    </row>
    <row r="7810" spans="1:22">
      <c r="A7810" t="str">
        <f t="shared" si="1448"/>
        <v>29/10/2025</v>
      </c>
      <c r="B7810" t="str">
        <f t="shared" si="1449"/>
        <v>ENTRADA</v>
      </c>
      <c r="C7810" t="str">
        <f t="shared" si="1450"/>
        <v>NFSE</v>
      </c>
      <c r="D7810" t="str">
        <f t="shared" si="1451"/>
        <v>3546</v>
      </c>
      <c r="E7810" t="str">
        <f t="shared" si="1443"/>
        <v>1</v>
      </c>
      <c r="F7810" t="str">
        <f t="shared" si="1455"/>
        <v>COM</v>
      </c>
      <c r="G7810" t="str">
        <f t="shared" si="1452"/>
        <v>FARMÁCIA INDIANA LJ 1 (10126)</v>
      </c>
      <c r="H7810" t="s">
        <v>2183</v>
      </c>
      <c r="I7810" t="str">
        <f t="shared" si="1453"/>
        <v>29/10/2025</v>
      </c>
      <c r="J7810" t="str">
        <f t="shared" si="1454"/>
        <v>21/10/2025</v>
      </c>
      <c r="K7810">
        <v>45959</v>
      </c>
      <c r="N7810">
        <v>303</v>
      </c>
      <c r="O7810" t="s">
        <v>69</v>
      </c>
      <c r="Q7810">
        <v>600.78</v>
      </c>
      <c r="R7810" t="str">
        <f>"FARMÁCIA INDIANA LJ 97 (10040)"</f>
        <v>FARMÁCIA INDIANA LJ 97 (10040)</v>
      </c>
      <c r="S7810" t="s">
        <v>70</v>
      </c>
      <c r="T7810">
        <v>21838</v>
      </c>
      <c r="U7810">
        <v>23973</v>
      </c>
      <c r="V7810" t="s">
        <v>77</v>
      </c>
    </row>
    <row r="7811" spans="1:22">
      <c r="A7811" t="str">
        <f t="shared" si="1448"/>
        <v>29/10/2025</v>
      </c>
      <c r="B7811" t="str">
        <f t="shared" si="1449"/>
        <v>ENTRADA</v>
      </c>
      <c r="C7811" t="str">
        <f t="shared" si="1450"/>
        <v>NFSE</v>
      </c>
      <c r="D7811" t="str">
        <f t="shared" si="1451"/>
        <v>3546</v>
      </c>
      <c r="E7811" t="str">
        <f t="shared" si="1443"/>
        <v>1</v>
      </c>
      <c r="F7811" t="str">
        <f t="shared" si="1455"/>
        <v>COM</v>
      </c>
      <c r="G7811" t="str">
        <f t="shared" si="1452"/>
        <v>FARMÁCIA INDIANA LJ 1 (10126)</v>
      </c>
      <c r="H7811" t="s">
        <v>2183</v>
      </c>
      <c r="I7811" t="str">
        <f t="shared" si="1453"/>
        <v>29/10/2025</v>
      </c>
      <c r="J7811" t="str">
        <f t="shared" si="1454"/>
        <v>21/10/2025</v>
      </c>
      <c r="K7811">
        <v>45959</v>
      </c>
      <c r="N7811">
        <v>303</v>
      </c>
      <c r="O7811" t="s">
        <v>69</v>
      </c>
      <c r="Q7811">
        <v>1698.34</v>
      </c>
      <c r="R7811" t="str">
        <f>"FARMÁCIA INDIANA LJ 100 (10042)"</f>
        <v>FARMÁCIA INDIANA LJ 100 (10042)</v>
      </c>
      <c r="S7811" t="s">
        <v>70</v>
      </c>
      <c r="T7811">
        <v>21838</v>
      </c>
      <c r="U7811">
        <v>23973</v>
      </c>
      <c r="V7811" t="s">
        <v>77</v>
      </c>
    </row>
    <row r="7812" spans="1:22">
      <c r="A7812" t="str">
        <f t="shared" si="1448"/>
        <v>29/10/2025</v>
      </c>
      <c r="B7812" t="str">
        <f t="shared" si="1449"/>
        <v>ENTRADA</v>
      </c>
      <c r="C7812" t="str">
        <f t="shared" si="1450"/>
        <v>NFSE</v>
      </c>
      <c r="D7812" t="str">
        <f t="shared" si="1451"/>
        <v>3546</v>
      </c>
      <c r="E7812" t="str">
        <f t="shared" si="1443"/>
        <v>1</v>
      </c>
      <c r="F7812" t="str">
        <f t="shared" si="1455"/>
        <v>COM</v>
      </c>
      <c r="G7812" t="str">
        <f t="shared" si="1452"/>
        <v>FARMÁCIA INDIANA LJ 1 (10126)</v>
      </c>
      <c r="H7812" t="s">
        <v>2183</v>
      </c>
      <c r="I7812" t="str">
        <f t="shared" si="1453"/>
        <v>29/10/2025</v>
      </c>
      <c r="J7812" t="str">
        <f t="shared" si="1454"/>
        <v>21/10/2025</v>
      </c>
      <c r="K7812">
        <v>45959</v>
      </c>
      <c r="N7812">
        <v>303</v>
      </c>
      <c r="O7812" t="s">
        <v>69</v>
      </c>
      <c r="Q7812">
        <v>4887.07</v>
      </c>
      <c r="R7812" t="str">
        <f>"FARMÁCIA INDIANA LJ 101 (10043)"</f>
        <v>FARMÁCIA INDIANA LJ 101 (10043)</v>
      </c>
      <c r="S7812" t="s">
        <v>70</v>
      </c>
      <c r="T7812">
        <v>21838</v>
      </c>
      <c r="U7812">
        <v>23973</v>
      </c>
      <c r="V7812" t="s">
        <v>77</v>
      </c>
    </row>
    <row r="7813" spans="1:22">
      <c r="A7813" t="str">
        <f t="shared" si="1448"/>
        <v>29/10/2025</v>
      </c>
      <c r="B7813" t="str">
        <f t="shared" si="1449"/>
        <v>ENTRADA</v>
      </c>
      <c r="C7813" t="str">
        <f t="shared" si="1450"/>
        <v>NFSE</v>
      </c>
      <c r="D7813" t="str">
        <f t="shared" si="1451"/>
        <v>3546</v>
      </c>
      <c r="E7813" t="str">
        <f t="shared" si="1443"/>
        <v>1</v>
      </c>
      <c r="F7813" t="str">
        <f t="shared" si="1455"/>
        <v>COM</v>
      </c>
      <c r="G7813" t="str">
        <f t="shared" si="1452"/>
        <v>FARMÁCIA INDIANA LJ 1 (10126)</v>
      </c>
      <c r="H7813" t="s">
        <v>2183</v>
      </c>
      <c r="I7813" t="str">
        <f t="shared" si="1453"/>
        <v>29/10/2025</v>
      </c>
      <c r="J7813" t="str">
        <f t="shared" si="1454"/>
        <v>21/10/2025</v>
      </c>
      <c r="K7813">
        <v>45959</v>
      </c>
      <c r="N7813">
        <v>303</v>
      </c>
      <c r="O7813" t="s">
        <v>69</v>
      </c>
      <c r="Q7813">
        <v>404.37</v>
      </c>
      <c r="R7813" t="str">
        <f>"FARMÁCIA INDIANA LJ 103 (10044)"</f>
        <v>FARMÁCIA INDIANA LJ 103 (10044)</v>
      </c>
      <c r="S7813" t="s">
        <v>70</v>
      </c>
      <c r="T7813">
        <v>21838</v>
      </c>
      <c r="U7813">
        <v>23973</v>
      </c>
      <c r="V7813" t="s">
        <v>77</v>
      </c>
    </row>
    <row r="7814" spans="1:22">
      <c r="A7814" t="str">
        <f t="shared" si="1448"/>
        <v>29/10/2025</v>
      </c>
      <c r="B7814" t="str">
        <f t="shared" si="1449"/>
        <v>ENTRADA</v>
      </c>
      <c r="C7814" t="str">
        <f t="shared" si="1450"/>
        <v>NFSE</v>
      </c>
      <c r="D7814" t="str">
        <f t="shared" si="1451"/>
        <v>3546</v>
      </c>
      <c r="E7814" t="str">
        <f t="shared" si="1443"/>
        <v>1</v>
      </c>
      <c r="F7814" t="str">
        <f t="shared" si="1455"/>
        <v>COM</v>
      </c>
      <c r="G7814" t="str">
        <f t="shared" si="1452"/>
        <v>FARMÁCIA INDIANA LJ 1 (10126)</v>
      </c>
      <c r="H7814" t="s">
        <v>2183</v>
      </c>
      <c r="I7814" t="str">
        <f t="shared" si="1453"/>
        <v>29/10/2025</v>
      </c>
      <c r="J7814" t="str">
        <f t="shared" si="1454"/>
        <v>21/10/2025</v>
      </c>
      <c r="K7814">
        <v>45959</v>
      </c>
      <c r="N7814">
        <v>303</v>
      </c>
      <c r="O7814" t="s">
        <v>69</v>
      </c>
      <c r="Q7814">
        <v>2172.0300000000002</v>
      </c>
      <c r="R7814" t="str">
        <f>"FARMÁCIA INDIANA LJ 109 (10047)"</f>
        <v>FARMÁCIA INDIANA LJ 109 (10047)</v>
      </c>
      <c r="S7814" t="s">
        <v>70</v>
      </c>
      <c r="T7814">
        <v>21838</v>
      </c>
      <c r="U7814">
        <v>23973</v>
      </c>
      <c r="V7814" t="s">
        <v>77</v>
      </c>
    </row>
    <row r="7815" spans="1:22">
      <c r="A7815" t="str">
        <f t="shared" si="1448"/>
        <v>29/10/2025</v>
      </c>
      <c r="B7815" t="str">
        <f t="shared" si="1449"/>
        <v>ENTRADA</v>
      </c>
      <c r="C7815" t="str">
        <f t="shared" si="1450"/>
        <v>NFSE</v>
      </c>
      <c r="D7815" t="str">
        <f t="shared" si="1451"/>
        <v>3546</v>
      </c>
      <c r="E7815" t="str">
        <f t="shared" si="1443"/>
        <v>1</v>
      </c>
      <c r="F7815" t="str">
        <f t="shared" si="1455"/>
        <v>COM</v>
      </c>
      <c r="G7815" t="str">
        <f t="shared" si="1452"/>
        <v>FARMÁCIA INDIANA LJ 1 (10126)</v>
      </c>
      <c r="H7815" t="s">
        <v>2183</v>
      </c>
      <c r="I7815" t="str">
        <f t="shared" si="1453"/>
        <v>29/10/2025</v>
      </c>
      <c r="J7815" t="str">
        <f t="shared" si="1454"/>
        <v>21/10/2025</v>
      </c>
      <c r="K7815">
        <v>45959</v>
      </c>
      <c r="N7815">
        <v>303</v>
      </c>
      <c r="O7815" t="s">
        <v>69</v>
      </c>
      <c r="Q7815">
        <v>3061.64</v>
      </c>
      <c r="R7815" t="str">
        <f>"FARMÁCIA INDIANA LJ 110 (10048)"</f>
        <v>FARMÁCIA INDIANA LJ 110 (10048)</v>
      </c>
      <c r="S7815" t="s">
        <v>70</v>
      </c>
      <c r="T7815">
        <v>21838</v>
      </c>
      <c r="U7815">
        <v>23973</v>
      </c>
      <c r="V7815" t="s">
        <v>77</v>
      </c>
    </row>
    <row r="7816" spans="1:22">
      <c r="A7816" t="str">
        <f t="shared" si="1448"/>
        <v>29/10/2025</v>
      </c>
      <c r="B7816" t="str">
        <f t="shared" si="1449"/>
        <v>ENTRADA</v>
      </c>
      <c r="C7816" t="str">
        <f t="shared" si="1450"/>
        <v>NFSE</v>
      </c>
      <c r="D7816" t="str">
        <f t="shared" si="1451"/>
        <v>3546</v>
      </c>
      <c r="E7816" t="str">
        <f t="shared" si="1443"/>
        <v>1</v>
      </c>
      <c r="F7816" t="str">
        <f t="shared" si="1455"/>
        <v>COM</v>
      </c>
      <c r="G7816" t="str">
        <f t="shared" si="1452"/>
        <v>FARMÁCIA INDIANA LJ 1 (10126)</v>
      </c>
      <c r="H7816" t="s">
        <v>2183</v>
      </c>
      <c r="I7816" t="str">
        <f t="shared" si="1453"/>
        <v>29/10/2025</v>
      </c>
      <c r="J7816" t="str">
        <f t="shared" si="1454"/>
        <v>21/10/2025</v>
      </c>
      <c r="K7816">
        <v>45959</v>
      </c>
      <c r="N7816">
        <v>303</v>
      </c>
      <c r="O7816" t="s">
        <v>69</v>
      </c>
      <c r="Q7816">
        <v>589.22</v>
      </c>
      <c r="R7816" t="str">
        <f>"FARMÁCIA INDIANA LJ 111 (10049)"</f>
        <v>FARMÁCIA INDIANA LJ 111 (10049)</v>
      </c>
      <c r="S7816" t="s">
        <v>70</v>
      </c>
      <c r="T7816">
        <v>21838</v>
      </c>
      <c r="U7816">
        <v>23973</v>
      </c>
      <c r="V7816" t="s">
        <v>77</v>
      </c>
    </row>
    <row r="7817" spans="1:22">
      <c r="A7817" t="str">
        <f t="shared" si="1448"/>
        <v>29/10/2025</v>
      </c>
      <c r="B7817" t="str">
        <f t="shared" si="1449"/>
        <v>ENTRADA</v>
      </c>
      <c r="C7817" t="str">
        <f t="shared" si="1450"/>
        <v>NFSE</v>
      </c>
      <c r="D7817" t="str">
        <f t="shared" si="1451"/>
        <v>3546</v>
      </c>
      <c r="E7817" t="str">
        <f t="shared" si="1443"/>
        <v>1</v>
      </c>
      <c r="F7817" t="str">
        <f t="shared" si="1455"/>
        <v>COM</v>
      </c>
      <c r="G7817" t="str">
        <f t="shared" si="1452"/>
        <v>FARMÁCIA INDIANA LJ 1 (10126)</v>
      </c>
      <c r="H7817" t="s">
        <v>2183</v>
      </c>
      <c r="I7817" t="str">
        <f t="shared" si="1453"/>
        <v>29/10/2025</v>
      </c>
      <c r="J7817" t="str">
        <f t="shared" si="1454"/>
        <v>21/10/2025</v>
      </c>
      <c r="K7817">
        <v>45959</v>
      </c>
      <c r="N7817">
        <v>303</v>
      </c>
      <c r="O7817" t="s">
        <v>69</v>
      </c>
      <c r="Q7817">
        <v>854.95</v>
      </c>
      <c r="R7817" t="str">
        <f>"FARMÁCIA INDIANA LJ 112 (10050)"</f>
        <v>FARMÁCIA INDIANA LJ 112 (10050)</v>
      </c>
      <c r="S7817" t="s">
        <v>70</v>
      </c>
      <c r="T7817">
        <v>21838</v>
      </c>
      <c r="U7817">
        <v>23973</v>
      </c>
      <c r="V7817" t="s">
        <v>77</v>
      </c>
    </row>
    <row r="7818" spans="1:22">
      <c r="A7818" t="str">
        <f t="shared" si="1448"/>
        <v>29/10/2025</v>
      </c>
      <c r="B7818" t="str">
        <f t="shared" si="1449"/>
        <v>ENTRADA</v>
      </c>
      <c r="C7818" t="str">
        <f t="shared" si="1450"/>
        <v>NFSE</v>
      </c>
      <c r="D7818" t="str">
        <f t="shared" si="1451"/>
        <v>3546</v>
      </c>
      <c r="E7818" t="str">
        <f t="shared" ref="E7818:E7849" si="1456">"1"</f>
        <v>1</v>
      </c>
      <c r="F7818" t="str">
        <f t="shared" si="1455"/>
        <v>COM</v>
      </c>
      <c r="G7818" t="str">
        <f t="shared" si="1452"/>
        <v>FARMÁCIA INDIANA LJ 1 (10126)</v>
      </c>
      <c r="H7818" t="s">
        <v>2183</v>
      </c>
      <c r="I7818" t="str">
        <f t="shared" si="1453"/>
        <v>29/10/2025</v>
      </c>
      <c r="J7818" t="str">
        <f t="shared" si="1454"/>
        <v>21/10/2025</v>
      </c>
      <c r="K7818">
        <v>45959</v>
      </c>
      <c r="N7818">
        <v>303</v>
      </c>
      <c r="O7818" t="s">
        <v>69</v>
      </c>
      <c r="Q7818">
        <v>854.95</v>
      </c>
      <c r="R7818" t="str">
        <f>"FARMÁCIA INDIANA LJ 116 (10051)"</f>
        <v>FARMÁCIA INDIANA LJ 116 (10051)</v>
      </c>
      <c r="S7818" t="s">
        <v>70</v>
      </c>
      <c r="T7818">
        <v>21838</v>
      </c>
      <c r="U7818">
        <v>23973</v>
      </c>
      <c r="V7818" t="s">
        <v>77</v>
      </c>
    </row>
    <row r="7819" spans="1:22">
      <c r="A7819" t="str">
        <f t="shared" si="1448"/>
        <v>29/10/2025</v>
      </c>
      <c r="B7819" t="str">
        <f t="shared" si="1449"/>
        <v>ENTRADA</v>
      </c>
      <c r="C7819" t="str">
        <f t="shared" si="1450"/>
        <v>NFSE</v>
      </c>
      <c r="D7819" t="str">
        <f t="shared" si="1451"/>
        <v>3546</v>
      </c>
      <c r="E7819" t="str">
        <f t="shared" si="1456"/>
        <v>1</v>
      </c>
      <c r="F7819" t="str">
        <f t="shared" si="1455"/>
        <v>COM</v>
      </c>
      <c r="G7819" t="str">
        <f t="shared" si="1452"/>
        <v>FARMÁCIA INDIANA LJ 1 (10126)</v>
      </c>
      <c r="H7819" t="s">
        <v>2183</v>
      </c>
      <c r="I7819" t="str">
        <f t="shared" si="1453"/>
        <v>29/10/2025</v>
      </c>
      <c r="J7819" t="str">
        <f t="shared" si="1454"/>
        <v>21/10/2025</v>
      </c>
      <c r="K7819">
        <v>45959</v>
      </c>
      <c r="N7819">
        <v>303</v>
      </c>
      <c r="O7819" t="s">
        <v>69</v>
      </c>
      <c r="Q7819">
        <v>831.84</v>
      </c>
      <c r="R7819" t="str">
        <f>"FARMÁCIA INDIANA LJ 118 (10052)"</f>
        <v>FARMÁCIA INDIANA LJ 118 (10052)</v>
      </c>
      <c r="S7819" t="s">
        <v>70</v>
      </c>
      <c r="T7819">
        <v>21838</v>
      </c>
      <c r="U7819">
        <v>23973</v>
      </c>
      <c r="V7819" t="s">
        <v>77</v>
      </c>
    </row>
    <row r="7820" spans="1:22">
      <c r="A7820" t="str">
        <f t="shared" si="1448"/>
        <v>29/10/2025</v>
      </c>
      <c r="B7820" t="str">
        <f t="shared" si="1449"/>
        <v>ENTRADA</v>
      </c>
      <c r="C7820" t="str">
        <f t="shared" si="1450"/>
        <v>NFSE</v>
      </c>
      <c r="D7820" t="str">
        <f t="shared" si="1451"/>
        <v>3546</v>
      </c>
      <c r="E7820" t="str">
        <f t="shared" si="1456"/>
        <v>1</v>
      </c>
      <c r="F7820" t="str">
        <f t="shared" si="1455"/>
        <v>COM</v>
      </c>
      <c r="G7820" t="str">
        <f t="shared" si="1452"/>
        <v>FARMÁCIA INDIANA LJ 1 (10126)</v>
      </c>
      <c r="H7820" t="s">
        <v>2183</v>
      </c>
      <c r="I7820" t="str">
        <f t="shared" si="1453"/>
        <v>29/10/2025</v>
      </c>
      <c r="J7820" t="str">
        <f t="shared" si="1454"/>
        <v>21/10/2025</v>
      </c>
      <c r="K7820">
        <v>45959</v>
      </c>
      <c r="N7820">
        <v>303</v>
      </c>
      <c r="O7820" t="s">
        <v>69</v>
      </c>
      <c r="Q7820">
        <v>854.95</v>
      </c>
      <c r="R7820" t="str">
        <f>"FARMÁCIA INDIANA LJ 121 (10054)"</f>
        <v>FARMÁCIA INDIANA LJ 121 (10054)</v>
      </c>
      <c r="S7820" t="s">
        <v>70</v>
      </c>
      <c r="T7820">
        <v>21838</v>
      </c>
      <c r="U7820">
        <v>23973</v>
      </c>
      <c r="V7820" t="s">
        <v>77</v>
      </c>
    </row>
    <row r="7821" spans="1:22">
      <c r="A7821" t="str">
        <f t="shared" si="1448"/>
        <v>29/10/2025</v>
      </c>
      <c r="B7821" t="str">
        <f t="shared" si="1449"/>
        <v>ENTRADA</v>
      </c>
      <c r="C7821" t="str">
        <f t="shared" si="1450"/>
        <v>NFSE</v>
      </c>
      <c r="D7821" t="str">
        <f t="shared" si="1451"/>
        <v>3546</v>
      </c>
      <c r="E7821" t="str">
        <f t="shared" si="1456"/>
        <v>1</v>
      </c>
      <c r="F7821" t="str">
        <f t="shared" si="1455"/>
        <v>COM</v>
      </c>
      <c r="G7821" t="str">
        <f t="shared" si="1452"/>
        <v>FARMÁCIA INDIANA LJ 1 (10126)</v>
      </c>
      <c r="H7821" t="s">
        <v>2183</v>
      </c>
      <c r="I7821" t="str">
        <f t="shared" si="1453"/>
        <v>29/10/2025</v>
      </c>
      <c r="J7821" t="str">
        <f t="shared" si="1454"/>
        <v>21/10/2025</v>
      </c>
      <c r="K7821">
        <v>45959</v>
      </c>
      <c r="N7821">
        <v>303</v>
      </c>
      <c r="O7821" t="s">
        <v>69</v>
      </c>
      <c r="Q7821">
        <v>854.95</v>
      </c>
      <c r="R7821" t="str">
        <f>"FARMÁCIA INDIANA LJ 128 (10057)"</f>
        <v>FARMÁCIA INDIANA LJ 128 (10057)</v>
      </c>
      <c r="S7821" t="s">
        <v>70</v>
      </c>
      <c r="T7821">
        <v>21838</v>
      </c>
      <c r="U7821">
        <v>23973</v>
      </c>
      <c r="V7821" t="s">
        <v>77</v>
      </c>
    </row>
    <row r="7822" spans="1:22">
      <c r="A7822" t="str">
        <f t="shared" ref="A7822:A7853" si="1457">("29/10/2025")</f>
        <v>29/10/2025</v>
      </c>
      <c r="B7822" t="str">
        <f t="shared" si="1449"/>
        <v>ENTRADA</v>
      </c>
      <c r="C7822" t="str">
        <f t="shared" si="1450"/>
        <v>NFSE</v>
      </c>
      <c r="D7822" t="str">
        <f t="shared" si="1451"/>
        <v>3546</v>
      </c>
      <c r="E7822" t="str">
        <f t="shared" si="1456"/>
        <v>1</v>
      </c>
      <c r="F7822" t="str">
        <f t="shared" si="1455"/>
        <v>COM</v>
      </c>
      <c r="G7822" t="str">
        <f t="shared" si="1452"/>
        <v>FARMÁCIA INDIANA LJ 1 (10126)</v>
      </c>
      <c r="H7822" t="s">
        <v>2183</v>
      </c>
      <c r="I7822" t="str">
        <f t="shared" si="1453"/>
        <v>29/10/2025</v>
      </c>
      <c r="J7822" t="str">
        <f t="shared" si="1454"/>
        <v>21/10/2025</v>
      </c>
      <c r="K7822">
        <v>45959</v>
      </c>
      <c r="N7822">
        <v>303</v>
      </c>
      <c r="O7822" t="s">
        <v>69</v>
      </c>
      <c r="Q7822">
        <v>196.41</v>
      </c>
      <c r="R7822" t="str">
        <f>"FARMÁCIA INDIANA LJ 140 (10064)"</f>
        <v>FARMÁCIA INDIANA LJ 140 (10064)</v>
      </c>
      <c r="S7822" t="s">
        <v>70</v>
      </c>
      <c r="T7822">
        <v>21838</v>
      </c>
      <c r="U7822">
        <v>23973</v>
      </c>
      <c r="V7822" t="s">
        <v>77</v>
      </c>
    </row>
    <row r="7823" spans="1:22">
      <c r="A7823" t="str">
        <f t="shared" si="1457"/>
        <v>29/10/2025</v>
      </c>
      <c r="B7823" t="str">
        <f t="shared" si="1449"/>
        <v>ENTRADA</v>
      </c>
      <c r="C7823" t="str">
        <f t="shared" si="1450"/>
        <v>NFSE</v>
      </c>
      <c r="D7823" t="str">
        <f t="shared" si="1451"/>
        <v>3546</v>
      </c>
      <c r="E7823" t="str">
        <f t="shared" si="1456"/>
        <v>1</v>
      </c>
      <c r="F7823" t="str">
        <f t="shared" si="1455"/>
        <v>COM</v>
      </c>
      <c r="G7823" t="str">
        <f t="shared" si="1452"/>
        <v>FARMÁCIA INDIANA LJ 1 (10126)</v>
      </c>
      <c r="H7823" t="s">
        <v>2183</v>
      </c>
      <c r="I7823" t="str">
        <f t="shared" si="1453"/>
        <v>29/10/2025</v>
      </c>
      <c r="J7823" t="str">
        <f t="shared" si="1454"/>
        <v>21/10/2025</v>
      </c>
      <c r="K7823">
        <v>45959</v>
      </c>
      <c r="N7823">
        <v>303</v>
      </c>
      <c r="O7823" t="s">
        <v>69</v>
      </c>
      <c r="Q7823">
        <v>103.98</v>
      </c>
      <c r="R7823" t="str">
        <f>"FARMÁCIA INDIANA LJ 141 (10065)"</f>
        <v>FARMÁCIA INDIANA LJ 141 (10065)</v>
      </c>
      <c r="S7823" t="s">
        <v>70</v>
      </c>
      <c r="T7823">
        <v>21838</v>
      </c>
      <c r="U7823">
        <v>23973</v>
      </c>
      <c r="V7823" t="s">
        <v>77</v>
      </c>
    </row>
    <row r="7824" spans="1:22">
      <c r="A7824" t="str">
        <f t="shared" si="1457"/>
        <v>29/10/2025</v>
      </c>
      <c r="B7824" t="str">
        <f t="shared" si="1449"/>
        <v>ENTRADA</v>
      </c>
      <c r="C7824" t="str">
        <f t="shared" si="1450"/>
        <v>NFSE</v>
      </c>
      <c r="D7824" t="str">
        <f t="shared" si="1451"/>
        <v>3546</v>
      </c>
      <c r="E7824" t="str">
        <f t="shared" si="1456"/>
        <v>1</v>
      </c>
      <c r="F7824" t="str">
        <f t="shared" si="1455"/>
        <v>COM</v>
      </c>
      <c r="G7824" t="str">
        <f t="shared" si="1452"/>
        <v>FARMÁCIA INDIANA LJ 1 (10126)</v>
      </c>
      <c r="H7824" t="s">
        <v>2183</v>
      </c>
      <c r="I7824" t="str">
        <f t="shared" si="1453"/>
        <v>29/10/2025</v>
      </c>
      <c r="J7824" t="str">
        <f t="shared" si="1454"/>
        <v>21/10/2025</v>
      </c>
      <c r="K7824">
        <v>45959</v>
      </c>
      <c r="N7824">
        <v>303</v>
      </c>
      <c r="O7824" t="s">
        <v>69</v>
      </c>
      <c r="Q7824">
        <v>6700.95</v>
      </c>
      <c r="R7824" t="str">
        <f>"FARMÁCIA INDIANA LJ 142 (10066)"</f>
        <v>FARMÁCIA INDIANA LJ 142 (10066)</v>
      </c>
      <c r="S7824" t="s">
        <v>70</v>
      </c>
      <c r="T7824">
        <v>21838</v>
      </c>
      <c r="U7824">
        <v>23973</v>
      </c>
      <c r="V7824" t="s">
        <v>77</v>
      </c>
    </row>
    <row r="7825" spans="1:22">
      <c r="A7825" t="str">
        <f t="shared" si="1457"/>
        <v>29/10/2025</v>
      </c>
      <c r="B7825" t="str">
        <f t="shared" si="1449"/>
        <v>ENTRADA</v>
      </c>
      <c r="C7825" t="str">
        <f t="shared" si="1450"/>
        <v>NFSE</v>
      </c>
      <c r="D7825" t="str">
        <f t="shared" si="1451"/>
        <v>3546</v>
      </c>
      <c r="E7825" t="str">
        <f t="shared" si="1456"/>
        <v>1</v>
      </c>
      <c r="F7825" t="str">
        <f t="shared" si="1455"/>
        <v>COM</v>
      </c>
      <c r="G7825" t="str">
        <f t="shared" si="1452"/>
        <v>FARMÁCIA INDIANA LJ 1 (10126)</v>
      </c>
      <c r="H7825" t="s">
        <v>2183</v>
      </c>
      <c r="I7825" t="str">
        <f t="shared" si="1453"/>
        <v>29/10/2025</v>
      </c>
      <c r="J7825" t="str">
        <f t="shared" si="1454"/>
        <v>21/10/2025</v>
      </c>
      <c r="K7825">
        <v>45959</v>
      </c>
      <c r="N7825">
        <v>303</v>
      </c>
      <c r="O7825" t="s">
        <v>69</v>
      </c>
      <c r="Q7825">
        <v>600.78</v>
      </c>
      <c r="R7825" t="str">
        <f>"FARMÁCIA INDIANA LJ 143 (10067)"</f>
        <v>FARMÁCIA INDIANA LJ 143 (10067)</v>
      </c>
      <c r="S7825" t="s">
        <v>70</v>
      </c>
      <c r="T7825">
        <v>21838</v>
      </c>
      <c r="U7825">
        <v>23973</v>
      </c>
      <c r="V7825" t="s">
        <v>77</v>
      </c>
    </row>
    <row r="7826" spans="1:22">
      <c r="A7826" t="str">
        <f t="shared" si="1457"/>
        <v>29/10/2025</v>
      </c>
      <c r="B7826" t="str">
        <f t="shared" si="1449"/>
        <v>ENTRADA</v>
      </c>
      <c r="C7826" t="str">
        <f t="shared" si="1450"/>
        <v>NFSE</v>
      </c>
      <c r="D7826" t="str">
        <f t="shared" si="1451"/>
        <v>3546</v>
      </c>
      <c r="E7826" t="str">
        <f t="shared" si="1456"/>
        <v>1</v>
      </c>
      <c r="F7826" t="str">
        <f t="shared" si="1455"/>
        <v>COM</v>
      </c>
      <c r="G7826" t="str">
        <f t="shared" si="1452"/>
        <v>FARMÁCIA INDIANA LJ 1 (10126)</v>
      </c>
      <c r="H7826" t="s">
        <v>2183</v>
      </c>
      <c r="I7826" t="str">
        <f t="shared" si="1453"/>
        <v>29/10/2025</v>
      </c>
      <c r="J7826" t="str">
        <f t="shared" si="1454"/>
        <v>21/10/2025</v>
      </c>
      <c r="K7826">
        <v>45959</v>
      </c>
      <c r="N7826">
        <v>303</v>
      </c>
      <c r="O7826" t="s">
        <v>69</v>
      </c>
      <c r="Q7826">
        <v>3639.31</v>
      </c>
      <c r="R7826" t="str">
        <f>"FARMÁCIA INDIANA LJ 152 (10069)"</f>
        <v>FARMÁCIA INDIANA LJ 152 (10069)</v>
      </c>
      <c r="S7826" t="s">
        <v>70</v>
      </c>
      <c r="T7826">
        <v>21838</v>
      </c>
      <c r="U7826">
        <v>23973</v>
      </c>
      <c r="V7826" t="s">
        <v>77</v>
      </c>
    </row>
    <row r="7827" spans="1:22">
      <c r="A7827" t="str">
        <f t="shared" si="1457"/>
        <v>29/10/2025</v>
      </c>
      <c r="B7827" t="str">
        <f t="shared" si="1449"/>
        <v>ENTRADA</v>
      </c>
      <c r="C7827" t="str">
        <f t="shared" si="1450"/>
        <v>NFSE</v>
      </c>
      <c r="D7827" t="str">
        <f t="shared" si="1451"/>
        <v>3546</v>
      </c>
      <c r="E7827" t="str">
        <f t="shared" si="1456"/>
        <v>1</v>
      </c>
      <c r="F7827" t="str">
        <f t="shared" si="1455"/>
        <v>COM</v>
      </c>
      <c r="G7827" t="str">
        <f t="shared" si="1452"/>
        <v>FARMÁCIA INDIANA LJ 1 (10126)</v>
      </c>
      <c r="H7827" t="s">
        <v>2183</v>
      </c>
      <c r="I7827" t="str">
        <f t="shared" si="1453"/>
        <v>29/10/2025</v>
      </c>
      <c r="J7827" t="str">
        <f t="shared" si="1454"/>
        <v>21/10/2025</v>
      </c>
      <c r="K7827">
        <v>45959</v>
      </c>
      <c r="N7827">
        <v>303</v>
      </c>
      <c r="O7827" t="s">
        <v>69</v>
      </c>
      <c r="Q7827">
        <v>242.62</v>
      </c>
      <c r="R7827" t="str">
        <f>"FARMÁCIA INDIANA LJ 154 (10070)"</f>
        <v>FARMÁCIA INDIANA LJ 154 (10070)</v>
      </c>
      <c r="S7827" t="s">
        <v>70</v>
      </c>
      <c r="T7827">
        <v>21838</v>
      </c>
      <c r="U7827">
        <v>23973</v>
      </c>
      <c r="V7827" t="s">
        <v>77</v>
      </c>
    </row>
    <row r="7828" spans="1:22">
      <c r="A7828" t="str">
        <f t="shared" si="1457"/>
        <v>29/10/2025</v>
      </c>
      <c r="B7828" t="str">
        <f t="shared" si="1449"/>
        <v>ENTRADA</v>
      </c>
      <c r="C7828" t="str">
        <f t="shared" si="1450"/>
        <v>NFSE</v>
      </c>
      <c r="D7828" t="str">
        <f t="shared" si="1451"/>
        <v>3546</v>
      </c>
      <c r="E7828" t="str">
        <f t="shared" si="1456"/>
        <v>1</v>
      </c>
      <c r="F7828" t="str">
        <f t="shared" si="1455"/>
        <v>COM</v>
      </c>
      <c r="G7828" t="str">
        <f t="shared" si="1452"/>
        <v>FARMÁCIA INDIANA LJ 1 (10126)</v>
      </c>
      <c r="H7828" t="s">
        <v>2183</v>
      </c>
      <c r="I7828" t="str">
        <f t="shared" si="1453"/>
        <v>29/10/2025</v>
      </c>
      <c r="J7828" t="str">
        <f t="shared" si="1454"/>
        <v>21/10/2025</v>
      </c>
      <c r="K7828">
        <v>45959</v>
      </c>
      <c r="N7828">
        <v>303</v>
      </c>
      <c r="O7828" t="s">
        <v>69</v>
      </c>
      <c r="Q7828">
        <v>1825.43</v>
      </c>
      <c r="R7828" t="str">
        <f>"FARMÁCIA INDIANA LJ 171 (10074)"</f>
        <v>FARMÁCIA INDIANA LJ 171 (10074)</v>
      </c>
      <c r="S7828" t="s">
        <v>70</v>
      </c>
      <c r="T7828">
        <v>21838</v>
      </c>
      <c r="U7828">
        <v>23973</v>
      </c>
      <c r="V7828" t="s">
        <v>77</v>
      </c>
    </row>
    <row r="7829" spans="1:22">
      <c r="A7829" t="str">
        <f t="shared" si="1457"/>
        <v>29/10/2025</v>
      </c>
      <c r="B7829" t="str">
        <f t="shared" si="1449"/>
        <v>ENTRADA</v>
      </c>
      <c r="C7829" t="str">
        <f t="shared" si="1450"/>
        <v>NFSE</v>
      </c>
      <c r="D7829" t="str">
        <f t="shared" si="1451"/>
        <v>3546</v>
      </c>
      <c r="E7829" t="str">
        <f t="shared" si="1456"/>
        <v>1</v>
      </c>
      <c r="F7829" t="str">
        <f t="shared" si="1455"/>
        <v>COM</v>
      </c>
      <c r="G7829" t="str">
        <f t="shared" si="1452"/>
        <v>FARMÁCIA INDIANA LJ 1 (10126)</v>
      </c>
      <c r="H7829" t="s">
        <v>2183</v>
      </c>
      <c r="I7829" t="str">
        <f t="shared" si="1453"/>
        <v>29/10/2025</v>
      </c>
      <c r="J7829" t="str">
        <f t="shared" si="1454"/>
        <v>21/10/2025</v>
      </c>
      <c r="K7829">
        <v>45959</v>
      </c>
      <c r="N7829">
        <v>303</v>
      </c>
      <c r="O7829" t="s">
        <v>69</v>
      </c>
      <c r="Q7829">
        <v>693.2</v>
      </c>
      <c r="R7829" t="str">
        <f>"FARMÁCIA INDIANA LJ 175 (10076)"</f>
        <v>FARMÁCIA INDIANA LJ 175 (10076)</v>
      </c>
      <c r="S7829" t="s">
        <v>70</v>
      </c>
      <c r="T7829">
        <v>21838</v>
      </c>
      <c r="U7829">
        <v>23973</v>
      </c>
      <c r="V7829" t="s">
        <v>77</v>
      </c>
    </row>
    <row r="7830" spans="1:22">
      <c r="A7830" t="str">
        <f t="shared" si="1457"/>
        <v>29/10/2025</v>
      </c>
      <c r="B7830" t="str">
        <f t="shared" ref="B7830:B7861" si="1458">"ENTRADA"</f>
        <v>ENTRADA</v>
      </c>
      <c r="C7830" t="str">
        <f t="shared" ref="C7830:C7861" si="1459">"NFSE"</f>
        <v>NFSE</v>
      </c>
      <c r="D7830" t="str">
        <f t="shared" si="1451"/>
        <v>3546</v>
      </c>
      <c r="E7830" t="str">
        <f t="shared" si="1456"/>
        <v>1</v>
      </c>
      <c r="F7830" t="str">
        <f t="shared" si="1455"/>
        <v>COM</v>
      </c>
      <c r="G7830" t="str">
        <f t="shared" si="1452"/>
        <v>FARMÁCIA INDIANA LJ 1 (10126)</v>
      </c>
      <c r="H7830" t="s">
        <v>2183</v>
      </c>
      <c r="I7830" t="str">
        <f t="shared" si="1453"/>
        <v>29/10/2025</v>
      </c>
      <c r="J7830" t="str">
        <f t="shared" si="1454"/>
        <v>21/10/2025</v>
      </c>
      <c r="K7830">
        <v>45959</v>
      </c>
      <c r="N7830">
        <v>303</v>
      </c>
      <c r="O7830" t="s">
        <v>69</v>
      </c>
      <c r="Q7830">
        <v>1178.44</v>
      </c>
      <c r="R7830" t="str">
        <f>"FARMÁCIA INDIANA LJ 178 (10077)"</f>
        <v>FARMÁCIA INDIANA LJ 178 (10077)</v>
      </c>
      <c r="S7830" t="s">
        <v>70</v>
      </c>
      <c r="T7830">
        <v>21838</v>
      </c>
      <c r="U7830">
        <v>23973</v>
      </c>
      <c r="V7830" t="s">
        <v>77</v>
      </c>
    </row>
    <row r="7831" spans="1:22">
      <c r="A7831" t="str">
        <f t="shared" si="1457"/>
        <v>29/10/2025</v>
      </c>
      <c r="B7831" t="str">
        <f t="shared" si="1458"/>
        <v>ENTRADA</v>
      </c>
      <c r="C7831" t="str">
        <f t="shared" si="1459"/>
        <v>NFSE</v>
      </c>
      <c r="D7831" t="str">
        <f t="shared" si="1451"/>
        <v>3546</v>
      </c>
      <c r="E7831" t="str">
        <f t="shared" si="1456"/>
        <v>1</v>
      </c>
      <c r="F7831" t="str">
        <f t="shared" si="1455"/>
        <v>COM</v>
      </c>
      <c r="G7831" t="str">
        <f t="shared" si="1452"/>
        <v>FARMÁCIA INDIANA LJ 1 (10126)</v>
      </c>
      <c r="H7831" t="s">
        <v>2183</v>
      </c>
      <c r="I7831" t="str">
        <f t="shared" si="1453"/>
        <v>29/10/2025</v>
      </c>
      <c r="J7831" t="str">
        <f t="shared" si="1454"/>
        <v>21/10/2025</v>
      </c>
      <c r="K7831">
        <v>45959</v>
      </c>
      <c r="N7831">
        <v>303</v>
      </c>
      <c r="O7831" t="s">
        <v>69</v>
      </c>
      <c r="Q7831">
        <v>415.92</v>
      </c>
      <c r="R7831" t="str">
        <f>"FARMÁCIA INDIANA LJ 182 (10079)"</f>
        <v>FARMÁCIA INDIANA LJ 182 (10079)</v>
      </c>
      <c r="S7831" t="s">
        <v>70</v>
      </c>
      <c r="T7831">
        <v>21838</v>
      </c>
      <c r="U7831">
        <v>23973</v>
      </c>
      <c r="V7831" t="s">
        <v>77</v>
      </c>
    </row>
    <row r="7832" spans="1:22">
      <c r="A7832" t="str">
        <f t="shared" si="1457"/>
        <v>29/10/2025</v>
      </c>
      <c r="B7832" t="str">
        <f t="shared" si="1458"/>
        <v>ENTRADA</v>
      </c>
      <c r="C7832" t="str">
        <f t="shared" si="1459"/>
        <v>NFSE</v>
      </c>
      <c r="D7832" t="str">
        <f t="shared" si="1451"/>
        <v>3546</v>
      </c>
      <c r="E7832" t="str">
        <f t="shared" si="1456"/>
        <v>1</v>
      </c>
      <c r="F7832" t="str">
        <f t="shared" si="1455"/>
        <v>COM</v>
      </c>
      <c r="G7832" t="str">
        <f t="shared" si="1452"/>
        <v>FARMÁCIA INDIANA LJ 1 (10126)</v>
      </c>
      <c r="H7832" t="s">
        <v>2183</v>
      </c>
      <c r="I7832" t="str">
        <f t="shared" si="1453"/>
        <v>29/10/2025</v>
      </c>
      <c r="J7832" t="str">
        <f t="shared" si="1454"/>
        <v>21/10/2025</v>
      </c>
      <c r="K7832">
        <v>45959</v>
      </c>
      <c r="N7832">
        <v>303</v>
      </c>
      <c r="O7832" t="s">
        <v>69</v>
      </c>
      <c r="Q7832">
        <v>358.15</v>
      </c>
      <c r="R7832" t="str">
        <f>"FARMÁCIA INDIANA LJ 184 (10080)"</f>
        <v>FARMÁCIA INDIANA LJ 184 (10080)</v>
      </c>
      <c r="S7832" t="s">
        <v>70</v>
      </c>
      <c r="T7832">
        <v>21838</v>
      </c>
      <c r="U7832">
        <v>23973</v>
      </c>
      <c r="V7832" t="s">
        <v>77</v>
      </c>
    </row>
    <row r="7833" spans="1:22">
      <c r="A7833" t="str">
        <f t="shared" si="1457"/>
        <v>29/10/2025</v>
      </c>
      <c r="B7833" t="str">
        <f t="shared" si="1458"/>
        <v>ENTRADA</v>
      </c>
      <c r="C7833" t="str">
        <f t="shared" si="1459"/>
        <v>NFSE</v>
      </c>
      <c r="D7833" t="str">
        <f t="shared" si="1451"/>
        <v>3546</v>
      </c>
      <c r="E7833" t="str">
        <f t="shared" si="1456"/>
        <v>1</v>
      </c>
      <c r="F7833" t="str">
        <f t="shared" si="1455"/>
        <v>COM</v>
      </c>
      <c r="G7833" t="str">
        <f t="shared" si="1452"/>
        <v>FARMÁCIA INDIANA LJ 1 (10126)</v>
      </c>
      <c r="H7833" t="s">
        <v>2183</v>
      </c>
      <c r="I7833" t="str">
        <f t="shared" si="1453"/>
        <v>29/10/2025</v>
      </c>
      <c r="J7833" t="str">
        <f t="shared" si="1454"/>
        <v>21/10/2025</v>
      </c>
      <c r="K7833">
        <v>45959</v>
      </c>
      <c r="N7833">
        <v>303</v>
      </c>
      <c r="O7833" t="s">
        <v>69</v>
      </c>
      <c r="Q7833">
        <v>415.92</v>
      </c>
      <c r="R7833" t="str">
        <f>"FARMÁCIA INDIANA LJ 186 (10081)"</f>
        <v>FARMÁCIA INDIANA LJ 186 (10081)</v>
      </c>
      <c r="S7833" t="s">
        <v>70</v>
      </c>
      <c r="T7833">
        <v>21838</v>
      </c>
      <c r="U7833">
        <v>23973</v>
      </c>
      <c r="V7833" t="s">
        <v>77</v>
      </c>
    </row>
    <row r="7834" spans="1:22">
      <c r="A7834" t="str">
        <f t="shared" si="1457"/>
        <v>29/10/2025</v>
      </c>
      <c r="B7834" t="str">
        <f t="shared" si="1458"/>
        <v>ENTRADA</v>
      </c>
      <c r="C7834" t="str">
        <f t="shared" si="1459"/>
        <v>NFSE</v>
      </c>
      <c r="D7834" t="str">
        <f t="shared" si="1451"/>
        <v>3546</v>
      </c>
      <c r="E7834" t="str">
        <f t="shared" si="1456"/>
        <v>1</v>
      </c>
      <c r="F7834" t="str">
        <f t="shared" si="1455"/>
        <v>COM</v>
      </c>
      <c r="G7834" t="str">
        <f t="shared" si="1452"/>
        <v>FARMÁCIA INDIANA LJ 1 (10126)</v>
      </c>
      <c r="H7834" t="s">
        <v>2183</v>
      </c>
      <c r="I7834" t="str">
        <f t="shared" si="1453"/>
        <v>29/10/2025</v>
      </c>
      <c r="J7834" t="str">
        <f t="shared" si="1454"/>
        <v>21/10/2025</v>
      </c>
      <c r="K7834">
        <v>45959</v>
      </c>
      <c r="N7834">
        <v>303</v>
      </c>
      <c r="O7834" t="s">
        <v>69</v>
      </c>
      <c r="Q7834">
        <v>866.5</v>
      </c>
      <c r="R7834" t="str">
        <f>"FARMÁCIA INDIANA LJ 192 (10082)"</f>
        <v>FARMÁCIA INDIANA LJ 192 (10082)</v>
      </c>
      <c r="S7834" t="s">
        <v>70</v>
      </c>
      <c r="T7834">
        <v>21838</v>
      </c>
      <c r="U7834">
        <v>23973</v>
      </c>
      <c r="V7834" t="s">
        <v>77</v>
      </c>
    </row>
    <row r="7835" spans="1:22">
      <c r="A7835" t="str">
        <f t="shared" si="1457"/>
        <v>29/10/2025</v>
      </c>
      <c r="B7835" t="str">
        <f t="shared" si="1458"/>
        <v>ENTRADA</v>
      </c>
      <c r="C7835" t="str">
        <f t="shared" si="1459"/>
        <v>NFSE</v>
      </c>
      <c r="D7835" t="str">
        <f t="shared" si="1451"/>
        <v>3546</v>
      </c>
      <c r="E7835" t="str">
        <f t="shared" si="1456"/>
        <v>1</v>
      </c>
      <c r="F7835" t="str">
        <f t="shared" si="1455"/>
        <v>COM</v>
      </c>
      <c r="G7835" t="str">
        <f t="shared" si="1452"/>
        <v>FARMÁCIA INDIANA LJ 1 (10126)</v>
      </c>
      <c r="H7835" t="s">
        <v>2183</v>
      </c>
      <c r="I7835" t="str">
        <f t="shared" si="1453"/>
        <v>29/10/2025</v>
      </c>
      <c r="J7835" t="str">
        <f t="shared" si="1454"/>
        <v>21/10/2025</v>
      </c>
      <c r="K7835">
        <v>45959</v>
      </c>
      <c r="N7835">
        <v>303</v>
      </c>
      <c r="O7835" t="s">
        <v>69</v>
      </c>
      <c r="Q7835">
        <v>358.15</v>
      </c>
      <c r="R7835" t="str">
        <f>"FARMÁCIA INDIANA LJ 195 (10083)"</f>
        <v>FARMÁCIA INDIANA LJ 195 (10083)</v>
      </c>
      <c r="S7835" t="s">
        <v>70</v>
      </c>
      <c r="T7835">
        <v>21838</v>
      </c>
      <c r="U7835">
        <v>23973</v>
      </c>
      <c r="V7835" t="s">
        <v>77</v>
      </c>
    </row>
    <row r="7836" spans="1:22">
      <c r="A7836" t="str">
        <f t="shared" si="1457"/>
        <v>29/10/2025</v>
      </c>
      <c r="B7836" t="str">
        <f t="shared" si="1458"/>
        <v>ENTRADA</v>
      </c>
      <c r="C7836" t="str">
        <f t="shared" si="1459"/>
        <v>NFSE</v>
      </c>
      <c r="D7836" t="str">
        <f t="shared" si="1451"/>
        <v>3546</v>
      </c>
      <c r="E7836" t="str">
        <f t="shared" si="1456"/>
        <v>1</v>
      </c>
      <c r="F7836" t="str">
        <f t="shared" si="1455"/>
        <v>COM</v>
      </c>
      <c r="G7836" t="str">
        <f t="shared" si="1452"/>
        <v>FARMÁCIA INDIANA LJ 1 (10126)</v>
      </c>
      <c r="H7836" t="s">
        <v>2183</v>
      </c>
      <c r="I7836" t="str">
        <f t="shared" si="1453"/>
        <v>29/10/2025</v>
      </c>
      <c r="J7836" t="str">
        <f t="shared" si="1454"/>
        <v>21/10/2025</v>
      </c>
      <c r="K7836">
        <v>45959</v>
      </c>
      <c r="N7836">
        <v>303</v>
      </c>
      <c r="O7836" t="s">
        <v>69</v>
      </c>
      <c r="Q7836">
        <v>843.4</v>
      </c>
      <c r="R7836" t="str">
        <f>"FARMÁCIA INDIANA LJ 202 (10085)"</f>
        <v>FARMÁCIA INDIANA LJ 202 (10085)</v>
      </c>
      <c r="S7836" t="s">
        <v>70</v>
      </c>
      <c r="T7836">
        <v>21838</v>
      </c>
      <c r="U7836">
        <v>23973</v>
      </c>
      <c r="V7836" t="s">
        <v>77</v>
      </c>
    </row>
    <row r="7837" spans="1:22">
      <c r="A7837" t="str">
        <f t="shared" si="1457"/>
        <v>29/10/2025</v>
      </c>
      <c r="B7837" t="str">
        <f t="shared" si="1458"/>
        <v>ENTRADA</v>
      </c>
      <c r="C7837" t="str">
        <f t="shared" si="1459"/>
        <v>NFSE</v>
      </c>
      <c r="D7837" t="str">
        <f t="shared" si="1451"/>
        <v>3546</v>
      </c>
      <c r="E7837" t="str">
        <f t="shared" si="1456"/>
        <v>1</v>
      </c>
      <c r="F7837" t="str">
        <f t="shared" si="1455"/>
        <v>COM</v>
      </c>
      <c r="G7837" t="str">
        <f t="shared" si="1452"/>
        <v>FARMÁCIA INDIANA LJ 1 (10126)</v>
      </c>
      <c r="H7837" t="s">
        <v>2183</v>
      </c>
      <c r="I7837" t="str">
        <f t="shared" si="1453"/>
        <v>29/10/2025</v>
      </c>
      <c r="J7837" t="str">
        <f t="shared" si="1454"/>
        <v>21/10/2025</v>
      </c>
      <c r="K7837">
        <v>45959</v>
      </c>
      <c r="N7837">
        <v>303</v>
      </c>
      <c r="O7837" t="s">
        <v>69</v>
      </c>
      <c r="Q7837">
        <v>716.31</v>
      </c>
      <c r="R7837" t="str">
        <f>"FARMÁCIA INDIANA LJ 204 (10087)"</f>
        <v>FARMÁCIA INDIANA LJ 204 (10087)</v>
      </c>
      <c r="S7837" t="s">
        <v>70</v>
      </c>
      <c r="T7837">
        <v>21838</v>
      </c>
      <c r="U7837">
        <v>23973</v>
      </c>
      <c r="V7837" t="s">
        <v>77</v>
      </c>
    </row>
    <row r="7838" spans="1:22">
      <c r="A7838" t="str">
        <f t="shared" si="1457"/>
        <v>29/10/2025</v>
      </c>
      <c r="B7838" t="str">
        <f t="shared" si="1458"/>
        <v>ENTRADA</v>
      </c>
      <c r="C7838" t="str">
        <f t="shared" si="1459"/>
        <v>NFSE</v>
      </c>
      <c r="D7838" t="str">
        <f t="shared" si="1451"/>
        <v>3546</v>
      </c>
      <c r="E7838" t="str">
        <f t="shared" si="1456"/>
        <v>1</v>
      </c>
      <c r="F7838" t="str">
        <f t="shared" si="1455"/>
        <v>COM</v>
      </c>
      <c r="G7838" t="str">
        <f t="shared" si="1452"/>
        <v>FARMÁCIA INDIANA LJ 1 (10126)</v>
      </c>
      <c r="H7838" t="s">
        <v>2183</v>
      </c>
      <c r="I7838" t="str">
        <f t="shared" si="1453"/>
        <v>29/10/2025</v>
      </c>
      <c r="J7838" t="str">
        <f t="shared" si="1454"/>
        <v>21/10/2025</v>
      </c>
      <c r="K7838">
        <v>45959</v>
      </c>
      <c r="N7838">
        <v>303</v>
      </c>
      <c r="O7838" t="s">
        <v>69</v>
      </c>
      <c r="Q7838">
        <v>1317.08</v>
      </c>
      <c r="R7838" t="str">
        <f>"FARMÁCIA INDIANA LJ 207 (10088)"</f>
        <v>FARMÁCIA INDIANA LJ 207 (10088)</v>
      </c>
      <c r="S7838" t="s">
        <v>70</v>
      </c>
      <c r="T7838">
        <v>21838</v>
      </c>
      <c r="U7838">
        <v>23973</v>
      </c>
      <c r="V7838" t="s">
        <v>77</v>
      </c>
    </row>
    <row r="7839" spans="1:22">
      <c r="A7839" t="str">
        <f t="shared" si="1457"/>
        <v>29/10/2025</v>
      </c>
      <c r="B7839" t="str">
        <f t="shared" si="1458"/>
        <v>ENTRADA</v>
      </c>
      <c r="C7839" t="str">
        <f t="shared" si="1459"/>
        <v>NFSE</v>
      </c>
      <c r="D7839" t="str">
        <f t="shared" si="1451"/>
        <v>3546</v>
      </c>
      <c r="E7839" t="str">
        <f t="shared" si="1456"/>
        <v>1</v>
      </c>
      <c r="F7839" t="str">
        <f t="shared" si="1455"/>
        <v>COM</v>
      </c>
      <c r="G7839" t="str">
        <f t="shared" si="1452"/>
        <v>FARMÁCIA INDIANA LJ 1 (10126)</v>
      </c>
      <c r="H7839" t="s">
        <v>2183</v>
      </c>
      <c r="I7839" t="str">
        <f t="shared" si="1453"/>
        <v>29/10/2025</v>
      </c>
      <c r="J7839" t="str">
        <f t="shared" si="1454"/>
        <v>21/10/2025</v>
      </c>
      <c r="K7839">
        <v>45959</v>
      </c>
      <c r="N7839">
        <v>303</v>
      </c>
      <c r="O7839" t="s">
        <v>69</v>
      </c>
      <c r="Q7839">
        <v>1132.23</v>
      </c>
      <c r="R7839" t="str">
        <f>"FARMÁCIA INDIANA LJ 209 (10089)"</f>
        <v>FARMÁCIA INDIANA LJ 209 (10089)</v>
      </c>
      <c r="S7839" t="s">
        <v>70</v>
      </c>
      <c r="T7839">
        <v>21838</v>
      </c>
      <c r="U7839">
        <v>23973</v>
      </c>
      <c r="V7839" t="s">
        <v>77</v>
      </c>
    </row>
    <row r="7840" spans="1:22">
      <c r="A7840" t="str">
        <f t="shared" si="1457"/>
        <v>29/10/2025</v>
      </c>
      <c r="B7840" t="str">
        <f t="shared" si="1458"/>
        <v>ENTRADA</v>
      </c>
      <c r="C7840" t="str">
        <f t="shared" si="1459"/>
        <v>NFSE</v>
      </c>
      <c r="D7840" t="str">
        <f t="shared" si="1451"/>
        <v>3546</v>
      </c>
      <c r="E7840" t="str">
        <f t="shared" si="1456"/>
        <v>1</v>
      </c>
      <c r="F7840" t="str">
        <f t="shared" si="1455"/>
        <v>COM</v>
      </c>
      <c r="G7840" t="str">
        <f t="shared" si="1452"/>
        <v>FARMÁCIA INDIANA LJ 1 (10126)</v>
      </c>
      <c r="H7840" t="s">
        <v>2183</v>
      </c>
      <c r="I7840" t="str">
        <f t="shared" si="1453"/>
        <v>29/10/2025</v>
      </c>
      <c r="J7840" t="str">
        <f t="shared" si="1454"/>
        <v>21/10/2025</v>
      </c>
      <c r="K7840">
        <v>45959</v>
      </c>
      <c r="N7840">
        <v>303</v>
      </c>
      <c r="O7840" t="s">
        <v>69</v>
      </c>
      <c r="Q7840">
        <v>1709.9</v>
      </c>
      <c r="R7840" t="str">
        <f>"FARMÁCIA INDIANA LJ 219 (10091)"</f>
        <v>FARMÁCIA INDIANA LJ 219 (10091)</v>
      </c>
      <c r="S7840" t="s">
        <v>70</v>
      </c>
      <c r="T7840">
        <v>21838</v>
      </c>
      <c r="U7840">
        <v>23973</v>
      </c>
      <c r="V7840" t="s">
        <v>77</v>
      </c>
    </row>
    <row r="7841" spans="1:22">
      <c r="A7841" t="str">
        <f t="shared" si="1457"/>
        <v>29/10/2025</v>
      </c>
      <c r="B7841" t="str">
        <f t="shared" si="1458"/>
        <v>ENTRADA</v>
      </c>
      <c r="C7841" t="str">
        <f t="shared" si="1459"/>
        <v>NFSE</v>
      </c>
      <c r="D7841" t="str">
        <f t="shared" si="1451"/>
        <v>3546</v>
      </c>
      <c r="E7841" t="str">
        <f t="shared" si="1456"/>
        <v>1</v>
      </c>
      <c r="F7841" t="str">
        <f t="shared" si="1455"/>
        <v>COM</v>
      </c>
      <c r="G7841" t="str">
        <f t="shared" si="1452"/>
        <v>FARMÁCIA INDIANA LJ 1 (10126)</v>
      </c>
      <c r="H7841" t="s">
        <v>2183</v>
      </c>
      <c r="I7841" t="str">
        <f t="shared" si="1453"/>
        <v>29/10/2025</v>
      </c>
      <c r="J7841" t="str">
        <f t="shared" si="1454"/>
        <v>21/10/2025</v>
      </c>
      <c r="K7841">
        <v>45959</v>
      </c>
      <c r="N7841">
        <v>303</v>
      </c>
      <c r="O7841" t="s">
        <v>69</v>
      </c>
      <c r="Q7841">
        <v>2426.21</v>
      </c>
      <c r="R7841" t="str">
        <f>"FARMÁCIA INDIANA LJ 220 (10092)"</f>
        <v>FARMÁCIA INDIANA LJ 220 (10092)</v>
      </c>
      <c r="S7841" t="s">
        <v>70</v>
      </c>
      <c r="T7841">
        <v>21838</v>
      </c>
      <c r="U7841">
        <v>23973</v>
      </c>
      <c r="V7841" t="s">
        <v>77</v>
      </c>
    </row>
    <row r="7842" spans="1:22">
      <c r="A7842" t="str">
        <f t="shared" si="1457"/>
        <v>29/10/2025</v>
      </c>
      <c r="B7842" t="str">
        <f t="shared" si="1458"/>
        <v>ENTRADA</v>
      </c>
      <c r="C7842" t="str">
        <f t="shared" si="1459"/>
        <v>NFSE</v>
      </c>
      <c r="D7842" t="str">
        <f t="shared" si="1451"/>
        <v>3546</v>
      </c>
      <c r="E7842" t="str">
        <f t="shared" si="1456"/>
        <v>1</v>
      </c>
      <c r="F7842" t="str">
        <f t="shared" si="1455"/>
        <v>COM</v>
      </c>
      <c r="G7842" t="str">
        <f t="shared" si="1452"/>
        <v>FARMÁCIA INDIANA LJ 1 (10126)</v>
      </c>
      <c r="H7842" t="s">
        <v>2183</v>
      </c>
      <c r="I7842" t="str">
        <f t="shared" si="1453"/>
        <v>29/10/2025</v>
      </c>
      <c r="J7842" t="str">
        <f t="shared" si="1454"/>
        <v>21/10/2025</v>
      </c>
      <c r="K7842">
        <v>45959</v>
      </c>
      <c r="N7842">
        <v>303</v>
      </c>
      <c r="O7842" t="s">
        <v>69</v>
      </c>
      <c r="Q7842">
        <v>970.48</v>
      </c>
      <c r="R7842" t="str">
        <f>"FARMÁCIA INDIANA LJ 185 (10141)"</f>
        <v>FARMÁCIA INDIANA LJ 185 (10141)</v>
      </c>
      <c r="S7842" t="s">
        <v>70</v>
      </c>
      <c r="T7842">
        <v>21838</v>
      </c>
      <c r="U7842">
        <v>23973</v>
      </c>
      <c r="V7842" t="s">
        <v>77</v>
      </c>
    </row>
    <row r="7843" spans="1:22">
      <c r="A7843" t="str">
        <f t="shared" si="1457"/>
        <v>29/10/2025</v>
      </c>
      <c r="B7843" t="str">
        <f t="shared" si="1458"/>
        <v>ENTRADA</v>
      </c>
      <c r="C7843" t="str">
        <f t="shared" si="1459"/>
        <v>NFSE</v>
      </c>
      <c r="D7843" t="str">
        <f t="shared" si="1451"/>
        <v>3546</v>
      </c>
      <c r="E7843" t="str">
        <f t="shared" si="1456"/>
        <v>1</v>
      </c>
      <c r="F7843" t="str">
        <f t="shared" si="1455"/>
        <v>COM</v>
      </c>
      <c r="G7843" t="str">
        <f t="shared" si="1452"/>
        <v>FARMÁCIA INDIANA LJ 1 (10126)</v>
      </c>
      <c r="H7843" t="s">
        <v>2183</v>
      </c>
      <c r="I7843" t="str">
        <f t="shared" si="1453"/>
        <v>29/10/2025</v>
      </c>
      <c r="J7843" t="str">
        <f t="shared" si="1454"/>
        <v>21/10/2025</v>
      </c>
      <c r="K7843">
        <v>45959</v>
      </c>
      <c r="N7843">
        <v>303</v>
      </c>
      <c r="O7843" t="s">
        <v>69</v>
      </c>
      <c r="Q7843">
        <v>958.93</v>
      </c>
      <c r="R7843" t="str">
        <f>"FARMÁCIA INDIANA LJ 205 (10150)"</f>
        <v>FARMÁCIA INDIANA LJ 205 (10150)</v>
      </c>
      <c r="S7843" t="s">
        <v>70</v>
      </c>
      <c r="T7843">
        <v>21838</v>
      </c>
      <c r="U7843">
        <v>23973</v>
      </c>
      <c r="V7843" t="s">
        <v>77</v>
      </c>
    </row>
    <row r="7844" spans="1:22">
      <c r="A7844" t="str">
        <f t="shared" si="1457"/>
        <v>29/10/2025</v>
      </c>
      <c r="B7844" t="str">
        <f t="shared" si="1458"/>
        <v>ENTRADA</v>
      </c>
      <c r="C7844" t="str">
        <f t="shared" si="1459"/>
        <v>NFSE</v>
      </c>
      <c r="D7844" t="str">
        <f t="shared" si="1451"/>
        <v>3546</v>
      </c>
      <c r="E7844" t="str">
        <f t="shared" si="1456"/>
        <v>1</v>
      </c>
      <c r="F7844" t="str">
        <f t="shared" si="1455"/>
        <v>COM</v>
      </c>
      <c r="G7844" t="str">
        <f t="shared" si="1452"/>
        <v>FARMÁCIA INDIANA LJ 1 (10126)</v>
      </c>
      <c r="H7844" t="s">
        <v>2183</v>
      </c>
      <c r="I7844" t="str">
        <f t="shared" si="1453"/>
        <v>29/10/2025</v>
      </c>
      <c r="J7844" t="str">
        <f t="shared" si="1454"/>
        <v>21/10/2025</v>
      </c>
      <c r="K7844">
        <v>45959</v>
      </c>
      <c r="N7844">
        <v>303</v>
      </c>
      <c r="O7844" t="s">
        <v>69</v>
      </c>
      <c r="Q7844">
        <v>5915.32</v>
      </c>
      <c r="R7844" t="str">
        <f>"FARMÁCIA INDIANA LJ 172 (10161)"</f>
        <v>FARMÁCIA INDIANA LJ 172 (10161)</v>
      </c>
      <c r="S7844" t="s">
        <v>70</v>
      </c>
      <c r="T7844">
        <v>21838</v>
      </c>
      <c r="U7844">
        <v>23973</v>
      </c>
      <c r="V7844" t="s">
        <v>77</v>
      </c>
    </row>
    <row r="7845" spans="1:22">
      <c r="A7845" t="str">
        <f t="shared" si="1457"/>
        <v>29/10/2025</v>
      </c>
      <c r="B7845" t="str">
        <f t="shared" si="1458"/>
        <v>ENTRADA</v>
      </c>
      <c r="C7845" t="str">
        <f t="shared" si="1459"/>
        <v>NFSE</v>
      </c>
      <c r="D7845" t="str">
        <f t="shared" si="1451"/>
        <v>3546</v>
      </c>
      <c r="E7845" t="str">
        <f t="shared" si="1456"/>
        <v>1</v>
      </c>
      <c r="F7845" t="str">
        <f t="shared" si="1455"/>
        <v>COM</v>
      </c>
      <c r="G7845" t="str">
        <f t="shared" si="1452"/>
        <v>FARMÁCIA INDIANA LJ 1 (10126)</v>
      </c>
      <c r="H7845" t="s">
        <v>2183</v>
      </c>
      <c r="I7845" t="str">
        <f t="shared" si="1453"/>
        <v>29/10/2025</v>
      </c>
      <c r="J7845" t="str">
        <f t="shared" si="1454"/>
        <v>21/10/2025</v>
      </c>
      <c r="K7845">
        <v>45959</v>
      </c>
      <c r="N7845">
        <v>303</v>
      </c>
      <c r="O7845" t="s">
        <v>69</v>
      </c>
      <c r="Q7845">
        <v>739.42</v>
      </c>
      <c r="R7845" t="str">
        <f>"FARMÁCIA INDIANA LJ 266 (10186)"</f>
        <v>FARMÁCIA INDIANA LJ 266 (10186)</v>
      </c>
      <c r="S7845" t="s">
        <v>70</v>
      </c>
      <c r="T7845">
        <v>21838</v>
      </c>
      <c r="U7845">
        <v>23973</v>
      </c>
      <c r="V7845" t="s">
        <v>77</v>
      </c>
    </row>
    <row r="7846" spans="1:22">
      <c r="A7846" t="str">
        <f t="shared" si="1457"/>
        <v>29/10/2025</v>
      </c>
      <c r="B7846" t="str">
        <f t="shared" si="1458"/>
        <v>ENTRADA</v>
      </c>
      <c r="C7846" t="str">
        <f t="shared" si="1459"/>
        <v>NFSE</v>
      </c>
      <c r="D7846" t="str">
        <f t="shared" ref="D7846:D7858" si="1460">"3499"</f>
        <v>3499</v>
      </c>
      <c r="E7846" t="str">
        <f t="shared" si="1456"/>
        <v>1</v>
      </c>
      <c r="F7846" t="str">
        <f t="shared" si="1455"/>
        <v>COM</v>
      </c>
      <c r="G7846" t="str">
        <f t="shared" ref="G7846:G7871" si="1461">"FARMÁCIA INDIANA LJ 30 (10127)"</f>
        <v>FARMÁCIA INDIANA LJ 30 (10127)</v>
      </c>
      <c r="H7846" t="str">
        <f>"Serv.Prest. 06/10/2025 a 12/10/2025 - RPS: 1375 - NFSe: 3499"</f>
        <v>Serv.Prest. 06/10/2025 a 12/10/2025 - RPS: 1375 - NFSe: 3499</v>
      </c>
      <c r="I7846" t="str">
        <f t="shared" ref="I7846:I7858" si="1462">("22/10/2025")</f>
        <v>22/10/2025</v>
      </c>
      <c r="J7846" t="str">
        <f t="shared" ref="J7846:J7858" si="1463">("14/10/2025")</f>
        <v>14/10/2025</v>
      </c>
      <c r="K7846" t="str">
        <f>("29/10/2025")</f>
        <v>29/10/2025</v>
      </c>
      <c r="L7846">
        <v>25921.56</v>
      </c>
      <c r="M7846">
        <v>25921.56</v>
      </c>
      <c r="N7846">
        <v>303</v>
      </c>
      <c r="O7846" t="str">
        <f>"RECEITAS COM ENTREGAS"</f>
        <v>RECEITAS COM ENTREGAS</v>
      </c>
      <c r="P7846">
        <v>25921.56</v>
      </c>
      <c r="S7846" t="str">
        <f>"RECEITAS COM ENTREGAS (303)"</f>
        <v>RECEITAS COM ENTREGAS (303)</v>
      </c>
      <c r="T7846">
        <v>21848</v>
      </c>
      <c r="U7846">
        <v>23735</v>
      </c>
      <c r="V7846" t="s">
        <v>77</v>
      </c>
    </row>
    <row r="7847" spans="1:22">
      <c r="A7847" t="str">
        <f t="shared" si="1457"/>
        <v>29/10/2025</v>
      </c>
      <c r="B7847" t="str">
        <f t="shared" si="1458"/>
        <v>ENTRADA</v>
      </c>
      <c r="C7847" t="str">
        <f t="shared" si="1459"/>
        <v>NFSE</v>
      </c>
      <c r="D7847" t="str">
        <f t="shared" si="1460"/>
        <v>3499</v>
      </c>
      <c r="E7847" t="str">
        <f t="shared" si="1456"/>
        <v>1</v>
      </c>
      <c r="F7847" t="str">
        <f t="shared" si="1455"/>
        <v>COM</v>
      </c>
      <c r="G7847" t="str">
        <f t="shared" si="1461"/>
        <v>FARMÁCIA INDIANA LJ 30 (10127)</v>
      </c>
      <c r="H7847" t="s">
        <v>2184</v>
      </c>
      <c r="I7847" t="str">
        <f t="shared" si="1462"/>
        <v>22/10/2025</v>
      </c>
      <c r="J7847" t="str">
        <f t="shared" si="1463"/>
        <v>14/10/2025</v>
      </c>
      <c r="K7847">
        <v>45959</v>
      </c>
      <c r="N7847">
        <v>303</v>
      </c>
      <c r="O7847" t="s">
        <v>69</v>
      </c>
      <c r="Q7847">
        <v>2623.25</v>
      </c>
      <c r="R7847" t="str">
        <f>"FARMÁCIA INDIANA LJ 34 (10014)"</f>
        <v>FARMÁCIA INDIANA LJ 34 (10014)</v>
      </c>
      <c r="S7847" t="s">
        <v>70</v>
      </c>
      <c r="T7847">
        <v>21848</v>
      </c>
      <c r="U7847">
        <v>23735</v>
      </c>
      <c r="V7847" t="s">
        <v>77</v>
      </c>
    </row>
    <row r="7848" spans="1:22">
      <c r="A7848" t="str">
        <f t="shared" si="1457"/>
        <v>29/10/2025</v>
      </c>
      <c r="B7848" t="str">
        <f t="shared" si="1458"/>
        <v>ENTRADA</v>
      </c>
      <c r="C7848" t="str">
        <f t="shared" si="1459"/>
        <v>NFSE</v>
      </c>
      <c r="D7848" t="str">
        <f t="shared" si="1460"/>
        <v>3499</v>
      </c>
      <c r="E7848" t="str">
        <f t="shared" si="1456"/>
        <v>1</v>
      </c>
      <c r="F7848" t="str">
        <f t="shared" si="1455"/>
        <v>COM</v>
      </c>
      <c r="G7848" t="str">
        <f t="shared" si="1461"/>
        <v>FARMÁCIA INDIANA LJ 30 (10127)</v>
      </c>
      <c r="H7848" t="s">
        <v>2184</v>
      </c>
      <c r="I7848" t="str">
        <f t="shared" si="1462"/>
        <v>22/10/2025</v>
      </c>
      <c r="J7848" t="str">
        <f t="shared" si="1463"/>
        <v>14/10/2025</v>
      </c>
      <c r="K7848">
        <v>45959</v>
      </c>
      <c r="N7848">
        <v>303</v>
      </c>
      <c r="O7848" t="s">
        <v>69</v>
      </c>
      <c r="Q7848">
        <v>1428.28</v>
      </c>
      <c r="R7848" t="str">
        <f>"FARMÁCIA INDIANA LJ 35 (10015)"</f>
        <v>FARMÁCIA INDIANA LJ 35 (10015)</v>
      </c>
      <c r="S7848" t="s">
        <v>70</v>
      </c>
      <c r="T7848">
        <v>21848</v>
      </c>
      <c r="U7848">
        <v>23735</v>
      </c>
      <c r="V7848" t="s">
        <v>77</v>
      </c>
    </row>
    <row r="7849" spans="1:22">
      <c r="A7849" t="str">
        <f t="shared" si="1457"/>
        <v>29/10/2025</v>
      </c>
      <c r="B7849" t="str">
        <f t="shared" si="1458"/>
        <v>ENTRADA</v>
      </c>
      <c r="C7849" t="str">
        <f t="shared" si="1459"/>
        <v>NFSE</v>
      </c>
      <c r="D7849" t="str">
        <f t="shared" si="1460"/>
        <v>3499</v>
      </c>
      <c r="E7849" t="str">
        <f t="shared" si="1456"/>
        <v>1</v>
      </c>
      <c r="F7849" t="str">
        <f t="shared" si="1455"/>
        <v>COM</v>
      </c>
      <c r="G7849" t="str">
        <f t="shared" si="1461"/>
        <v>FARMÁCIA INDIANA LJ 30 (10127)</v>
      </c>
      <c r="H7849" t="s">
        <v>2184</v>
      </c>
      <c r="I7849" t="str">
        <f t="shared" si="1462"/>
        <v>22/10/2025</v>
      </c>
      <c r="J7849" t="str">
        <f t="shared" si="1463"/>
        <v>14/10/2025</v>
      </c>
      <c r="K7849">
        <v>45959</v>
      </c>
      <c r="N7849">
        <v>303</v>
      </c>
      <c r="O7849" t="s">
        <v>69</v>
      </c>
      <c r="Q7849">
        <v>2885.07</v>
      </c>
      <c r="R7849" t="str">
        <f>"FARMÁCIA INDIANA LJ 48 (10018)"</f>
        <v>FARMÁCIA INDIANA LJ 48 (10018)</v>
      </c>
      <c r="S7849" t="s">
        <v>70</v>
      </c>
      <c r="T7849">
        <v>21848</v>
      </c>
      <c r="U7849">
        <v>23735</v>
      </c>
      <c r="V7849" t="s">
        <v>77</v>
      </c>
    </row>
    <row r="7850" spans="1:22">
      <c r="A7850" t="str">
        <f t="shared" si="1457"/>
        <v>29/10/2025</v>
      </c>
      <c r="B7850" t="str">
        <f t="shared" si="1458"/>
        <v>ENTRADA</v>
      </c>
      <c r="C7850" t="str">
        <f t="shared" si="1459"/>
        <v>NFSE</v>
      </c>
      <c r="D7850" t="str">
        <f t="shared" si="1460"/>
        <v>3499</v>
      </c>
      <c r="E7850" t="str">
        <f t="shared" ref="E7850:E7882" si="1464">"1"</f>
        <v>1</v>
      </c>
      <c r="F7850" t="str">
        <f t="shared" si="1455"/>
        <v>COM</v>
      </c>
      <c r="G7850" t="str">
        <f t="shared" si="1461"/>
        <v>FARMÁCIA INDIANA LJ 30 (10127)</v>
      </c>
      <c r="H7850" t="s">
        <v>2184</v>
      </c>
      <c r="I7850" t="str">
        <f t="shared" si="1462"/>
        <v>22/10/2025</v>
      </c>
      <c r="J7850" t="str">
        <f t="shared" si="1463"/>
        <v>14/10/2025</v>
      </c>
      <c r="K7850">
        <v>45959</v>
      </c>
      <c r="N7850">
        <v>303</v>
      </c>
      <c r="O7850" t="s">
        <v>69</v>
      </c>
      <c r="Q7850">
        <v>3139.1</v>
      </c>
      <c r="R7850" t="str">
        <f>"FARMÁCIA INDIANA LJ 65 (10030)"</f>
        <v>FARMÁCIA INDIANA LJ 65 (10030)</v>
      </c>
      <c r="S7850" t="s">
        <v>70</v>
      </c>
      <c r="T7850">
        <v>21848</v>
      </c>
      <c r="U7850">
        <v>23735</v>
      </c>
      <c r="V7850" t="s">
        <v>77</v>
      </c>
    </row>
    <row r="7851" spans="1:22">
      <c r="A7851" t="str">
        <f t="shared" si="1457"/>
        <v>29/10/2025</v>
      </c>
      <c r="B7851" t="str">
        <f t="shared" si="1458"/>
        <v>ENTRADA</v>
      </c>
      <c r="C7851" t="str">
        <f t="shared" si="1459"/>
        <v>NFSE</v>
      </c>
      <c r="D7851" t="str">
        <f t="shared" si="1460"/>
        <v>3499</v>
      </c>
      <c r="E7851" t="str">
        <f t="shared" si="1464"/>
        <v>1</v>
      </c>
      <c r="F7851" t="str">
        <f t="shared" si="1455"/>
        <v>COM</v>
      </c>
      <c r="G7851" t="str">
        <f t="shared" si="1461"/>
        <v>FARMÁCIA INDIANA LJ 30 (10127)</v>
      </c>
      <c r="H7851" t="s">
        <v>2184</v>
      </c>
      <c r="I7851" t="str">
        <f t="shared" si="1462"/>
        <v>22/10/2025</v>
      </c>
      <c r="J7851" t="str">
        <f t="shared" si="1463"/>
        <v>14/10/2025</v>
      </c>
      <c r="K7851">
        <v>45959</v>
      </c>
      <c r="N7851">
        <v>303</v>
      </c>
      <c r="O7851" t="s">
        <v>69</v>
      </c>
      <c r="Q7851">
        <v>728.4</v>
      </c>
      <c r="R7851" t="str">
        <f>"FARMÁCIA INDIANA LJ 77 (10034)"</f>
        <v>FARMÁCIA INDIANA LJ 77 (10034)</v>
      </c>
      <c r="S7851" t="s">
        <v>70</v>
      </c>
      <c r="T7851">
        <v>21848</v>
      </c>
      <c r="U7851">
        <v>23735</v>
      </c>
      <c r="V7851" t="s">
        <v>77</v>
      </c>
    </row>
    <row r="7852" spans="1:22">
      <c r="A7852" t="str">
        <f t="shared" si="1457"/>
        <v>29/10/2025</v>
      </c>
      <c r="B7852" t="str">
        <f t="shared" si="1458"/>
        <v>ENTRADA</v>
      </c>
      <c r="C7852" t="str">
        <f t="shared" si="1459"/>
        <v>NFSE</v>
      </c>
      <c r="D7852" t="str">
        <f t="shared" si="1460"/>
        <v>3499</v>
      </c>
      <c r="E7852" t="str">
        <f t="shared" si="1464"/>
        <v>1</v>
      </c>
      <c r="F7852" t="str">
        <f t="shared" si="1455"/>
        <v>COM</v>
      </c>
      <c r="G7852" t="str">
        <f t="shared" si="1461"/>
        <v>FARMÁCIA INDIANA LJ 30 (10127)</v>
      </c>
      <c r="H7852" t="s">
        <v>2184</v>
      </c>
      <c r="I7852" t="str">
        <f t="shared" si="1462"/>
        <v>22/10/2025</v>
      </c>
      <c r="J7852" t="str">
        <f t="shared" si="1463"/>
        <v>14/10/2025</v>
      </c>
      <c r="K7852">
        <v>45959</v>
      </c>
      <c r="N7852">
        <v>303</v>
      </c>
      <c r="O7852" t="s">
        <v>69</v>
      </c>
      <c r="Q7852">
        <v>5370.95</v>
      </c>
      <c r="R7852" t="str">
        <f>"FARMÁCIA INDIANA LJ 91 (10037)"</f>
        <v>FARMÁCIA INDIANA LJ 91 (10037)</v>
      </c>
      <c r="S7852" t="s">
        <v>70</v>
      </c>
      <c r="T7852">
        <v>21848</v>
      </c>
      <c r="U7852">
        <v>23735</v>
      </c>
      <c r="V7852" t="s">
        <v>77</v>
      </c>
    </row>
    <row r="7853" spans="1:22">
      <c r="A7853" t="str">
        <f t="shared" si="1457"/>
        <v>29/10/2025</v>
      </c>
      <c r="B7853" t="str">
        <f t="shared" si="1458"/>
        <v>ENTRADA</v>
      </c>
      <c r="C7853" t="str">
        <f t="shared" si="1459"/>
        <v>NFSE</v>
      </c>
      <c r="D7853" t="str">
        <f t="shared" si="1460"/>
        <v>3499</v>
      </c>
      <c r="E7853" t="str">
        <f t="shared" si="1464"/>
        <v>1</v>
      </c>
      <c r="F7853" t="str">
        <f t="shared" si="1455"/>
        <v>COM</v>
      </c>
      <c r="G7853" t="str">
        <f t="shared" si="1461"/>
        <v>FARMÁCIA INDIANA LJ 30 (10127)</v>
      </c>
      <c r="H7853" t="s">
        <v>2184</v>
      </c>
      <c r="I7853" t="str">
        <f t="shared" si="1462"/>
        <v>22/10/2025</v>
      </c>
      <c r="J7853" t="str">
        <f t="shared" si="1463"/>
        <v>14/10/2025</v>
      </c>
      <c r="K7853">
        <v>45959</v>
      </c>
      <c r="N7853">
        <v>303</v>
      </c>
      <c r="O7853" t="s">
        <v>69</v>
      </c>
      <c r="Q7853">
        <v>2019.29</v>
      </c>
      <c r="R7853" t="str">
        <f>"FARMÁCIA INDIANA LJ 95 (10039)"</f>
        <v>FARMÁCIA INDIANA LJ 95 (10039)</v>
      </c>
      <c r="S7853" t="s">
        <v>70</v>
      </c>
      <c r="T7853">
        <v>21848</v>
      </c>
      <c r="U7853">
        <v>23735</v>
      </c>
      <c r="V7853" t="s">
        <v>77</v>
      </c>
    </row>
    <row r="7854" spans="1:22">
      <c r="A7854" t="str">
        <f t="shared" ref="A7854:A7884" si="1465">("29/10/2025")</f>
        <v>29/10/2025</v>
      </c>
      <c r="B7854" t="str">
        <f t="shared" si="1458"/>
        <v>ENTRADA</v>
      </c>
      <c r="C7854" t="str">
        <f t="shared" si="1459"/>
        <v>NFSE</v>
      </c>
      <c r="D7854" t="str">
        <f t="shared" si="1460"/>
        <v>3499</v>
      </c>
      <c r="E7854" t="str">
        <f t="shared" si="1464"/>
        <v>1</v>
      </c>
      <c r="F7854" t="str">
        <f t="shared" si="1455"/>
        <v>COM</v>
      </c>
      <c r="G7854" t="str">
        <f t="shared" si="1461"/>
        <v>FARMÁCIA INDIANA LJ 30 (10127)</v>
      </c>
      <c r="H7854" t="s">
        <v>2184</v>
      </c>
      <c r="I7854" t="str">
        <f t="shared" si="1462"/>
        <v>22/10/2025</v>
      </c>
      <c r="J7854" t="str">
        <f t="shared" si="1463"/>
        <v>14/10/2025</v>
      </c>
      <c r="K7854">
        <v>45959</v>
      </c>
      <c r="N7854">
        <v>303</v>
      </c>
      <c r="O7854" t="s">
        <v>69</v>
      </c>
      <c r="Q7854">
        <v>2527.35</v>
      </c>
      <c r="R7854" t="str">
        <f>"FARMÁCIA INDIANA LJ 145 (10068)"</f>
        <v>FARMÁCIA INDIANA LJ 145 (10068)</v>
      </c>
      <c r="S7854" t="s">
        <v>70</v>
      </c>
      <c r="T7854">
        <v>21848</v>
      </c>
      <c r="U7854">
        <v>23735</v>
      </c>
      <c r="V7854" t="s">
        <v>77</v>
      </c>
    </row>
    <row r="7855" spans="1:22">
      <c r="A7855" t="str">
        <f t="shared" si="1465"/>
        <v>29/10/2025</v>
      </c>
      <c r="B7855" t="str">
        <f t="shared" si="1458"/>
        <v>ENTRADA</v>
      </c>
      <c r="C7855" t="str">
        <f t="shared" si="1459"/>
        <v>NFSE</v>
      </c>
      <c r="D7855" t="str">
        <f t="shared" si="1460"/>
        <v>3499</v>
      </c>
      <c r="E7855" t="str">
        <f t="shared" si="1464"/>
        <v>1</v>
      </c>
      <c r="F7855" t="str">
        <f t="shared" si="1455"/>
        <v>COM</v>
      </c>
      <c r="G7855" t="str">
        <f t="shared" si="1461"/>
        <v>FARMÁCIA INDIANA LJ 30 (10127)</v>
      </c>
      <c r="H7855" t="s">
        <v>2184</v>
      </c>
      <c r="I7855" t="str">
        <f t="shared" si="1462"/>
        <v>22/10/2025</v>
      </c>
      <c r="J7855" t="str">
        <f t="shared" si="1463"/>
        <v>14/10/2025</v>
      </c>
      <c r="K7855">
        <v>45959</v>
      </c>
      <c r="N7855">
        <v>303</v>
      </c>
      <c r="O7855" t="s">
        <v>69</v>
      </c>
      <c r="Q7855">
        <v>1420.5</v>
      </c>
      <c r="R7855" t="str">
        <f>"FARMÁCIA INDIANA LJ 169 (10073)"</f>
        <v>FARMÁCIA INDIANA LJ 169 (10073)</v>
      </c>
      <c r="S7855" t="s">
        <v>70</v>
      </c>
      <c r="T7855">
        <v>21848</v>
      </c>
      <c r="U7855">
        <v>23735</v>
      </c>
      <c r="V7855" t="s">
        <v>77</v>
      </c>
    </row>
    <row r="7856" spans="1:22">
      <c r="A7856" t="str">
        <f t="shared" si="1465"/>
        <v>29/10/2025</v>
      </c>
      <c r="B7856" t="str">
        <f t="shared" si="1458"/>
        <v>ENTRADA</v>
      </c>
      <c r="C7856" t="str">
        <f t="shared" si="1459"/>
        <v>NFSE</v>
      </c>
      <c r="D7856" t="str">
        <f t="shared" si="1460"/>
        <v>3499</v>
      </c>
      <c r="E7856" t="str">
        <f t="shared" si="1464"/>
        <v>1</v>
      </c>
      <c r="F7856" t="str">
        <f t="shared" si="1455"/>
        <v>COM</v>
      </c>
      <c r="G7856" t="str">
        <f t="shared" si="1461"/>
        <v>FARMÁCIA INDIANA LJ 30 (10127)</v>
      </c>
      <c r="H7856" t="s">
        <v>2184</v>
      </c>
      <c r="I7856" t="str">
        <f t="shared" si="1462"/>
        <v>22/10/2025</v>
      </c>
      <c r="J7856" t="str">
        <f t="shared" si="1463"/>
        <v>14/10/2025</v>
      </c>
      <c r="K7856">
        <v>45959</v>
      </c>
      <c r="N7856">
        <v>303</v>
      </c>
      <c r="O7856" t="s">
        <v>69</v>
      </c>
      <c r="Q7856">
        <v>1570.85</v>
      </c>
      <c r="R7856" t="str">
        <f>"FARMÁCIA INDIANA LJ 173 (10075)"</f>
        <v>FARMÁCIA INDIANA LJ 173 (10075)</v>
      </c>
      <c r="S7856" t="s">
        <v>70</v>
      </c>
      <c r="T7856">
        <v>21848</v>
      </c>
      <c r="U7856">
        <v>23735</v>
      </c>
      <c r="V7856" t="s">
        <v>77</v>
      </c>
    </row>
    <row r="7857" spans="1:22">
      <c r="A7857" t="str">
        <f t="shared" si="1465"/>
        <v>29/10/2025</v>
      </c>
      <c r="B7857" t="str">
        <f t="shared" si="1458"/>
        <v>ENTRADA</v>
      </c>
      <c r="C7857" t="str">
        <f t="shared" si="1459"/>
        <v>NFSE</v>
      </c>
      <c r="D7857" t="str">
        <f t="shared" si="1460"/>
        <v>3499</v>
      </c>
      <c r="E7857" t="str">
        <f t="shared" si="1464"/>
        <v>1</v>
      </c>
      <c r="F7857" t="str">
        <f t="shared" si="1455"/>
        <v>COM</v>
      </c>
      <c r="G7857" t="str">
        <f t="shared" si="1461"/>
        <v>FARMÁCIA INDIANA LJ 30 (10127)</v>
      </c>
      <c r="H7857" t="s">
        <v>2184</v>
      </c>
      <c r="I7857" t="str">
        <f t="shared" si="1462"/>
        <v>22/10/2025</v>
      </c>
      <c r="J7857" t="str">
        <f t="shared" si="1463"/>
        <v>14/10/2025</v>
      </c>
      <c r="K7857">
        <v>45959</v>
      </c>
      <c r="N7857">
        <v>303</v>
      </c>
      <c r="O7857" t="s">
        <v>69</v>
      </c>
      <c r="Q7857">
        <v>1153.51</v>
      </c>
      <c r="R7857" t="str">
        <f>"FARMÁCIA INDIANA LJ 200 (10155)"</f>
        <v>FARMÁCIA INDIANA LJ 200 (10155)</v>
      </c>
      <c r="S7857" t="s">
        <v>70</v>
      </c>
      <c r="T7857">
        <v>21848</v>
      </c>
      <c r="U7857">
        <v>23735</v>
      </c>
      <c r="V7857" t="s">
        <v>77</v>
      </c>
    </row>
    <row r="7858" spans="1:22">
      <c r="A7858" t="str">
        <f t="shared" si="1465"/>
        <v>29/10/2025</v>
      </c>
      <c r="B7858" t="str">
        <f t="shared" si="1458"/>
        <v>ENTRADA</v>
      </c>
      <c r="C7858" t="str">
        <f t="shared" si="1459"/>
        <v>NFSE</v>
      </c>
      <c r="D7858" t="str">
        <f t="shared" si="1460"/>
        <v>3499</v>
      </c>
      <c r="E7858" t="str">
        <f t="shared" si="1464"/>
        <v>1</v>
      </c>
      <c r="F7858" t="str">
        <f t="shared" si="1455"/>
        <v>COM</v>
      </c>
      <c r="G7858" t="str">
        <f t="shared" si="1461"/>
        <v>FARMÁCIA INDIANA LJ 30 (10127)</v>
      </c>
      <c r="H7858" t="s">
        <v>2184</v>
      </c>
      <c r="I7858" t="str">
        <f t="shared" si="1462"/>
        <v>22/10/2025</v>
      </c>
      <c r="J7858" t="str">
        <f t="shared" si="1463"/>
        <v>14/10/2025</v>
      </c>
      <c r="K7858">
        <v>45959</v>
      </c>
      <c r="N7858">
        <v>303</v>
      </c>
      <c r="O7858" t="s">
        <v>69</v>
      </c>
      <c r="Q7858">
        <v>1055.01</v>
      </c>
      <c r="R7858" t="str">
        <f>"FARMÁCIA INDIANA LJ 33 (10187)"</f>
        <v>FARMÁCIA INDIANA LJ 33 (10187)</v>
      </c>
      <c r="S7858" t="s">
        <v>70</v>
      </c>
      <c r="T7858">
        <v>21848</v>
      </c>
      <c r="U7858">
        <v>23735</v>
      </c>
      <c r="V7858" t="s">
        <v>77</v>
      </c>
    </row>
    <row r="7859" spans="1:22">
      <c r="A7859" t="str">
        <f t="shared" si="1465"/>
        <v>29/10/2025</v>
      </c>
      <c r="B7859" t="str">
        <f t="shared" si="1458"/>
        <v>ENTRADA</v>
      </c>
      <c r="C7859" t="str">
        <f t="shared" si="1459"/>
        <v>NFSE</v>
      </c>
      <c r="D7859" t="str">
        <f t="shared" ref="D7859:D7871" si="1466">"3547"</f>
        <v>3547</v>
      </c>
      <c r="E7859" t="str">
        <f t="shared" si="1464"/>
        <v>1</v>
      </c>
      <c r="F7859" t="str">
        <f t="shared" si="1455"/>
        <v>COM</v>
      </c>
      <c r="G7859" t="str">
        <f t="shared" si="1461"/>
        <v>FARMÁCIA INDIANA LJ 30 (10127)</v>
      </c>
      <c r="H7859" t="str">
        <f>"Serv.Prest. 13/10/2025 a 19/10/2025 - RPS: 1423 - NFSe: 3547"</f>
        <v>Serv.Prest. 13/10/2025 a 19/10/2025 - RPS: 1423 - NFSe: 3547</v>
      </c>
      <c r="I7859" t="str">
        <f t="shared" ref="I7859:I7884" si="1467">("29/10/2025")</f>
        <v>29/10/2025</v>
      </c>
      <c r="J7859" t="str">
        <f t="shared" ref="J7859:J7882" si="1468">("21/10/2025")</f>
        <v>21/10/2025</v>
      </c>
      <c r="K7859" t="str">
        <f>("29/10/2025")</f>
        <v>29/10/2025</v>
      </c>
      <c r="L7859">
        <v>24839.09</v>
      </c>
      <c r="M7859">
        <v>24839.09</v>
      </c>
      <c r="N7859">
        <v>303</v>
      </c>
      <c r="O7859" t="str">
        <f>"RECEITAS COM ENTREGAS"</f>
        <v>RECEITAS COM ENTREGAS</v>
      </c>
      <c r="P7859">
        <v>24839.09</v>
      </c>
      <c r="S7859" t="str">
        <f>"RECEITAS COM ENTREGAS (303)"</f>
        <v>RECEITAS COM ENTREGAS (303)</v>
      </c>
      <c r="T7859">
        <v>21849</v>
      </c>
      <c r="U7859">
        <v>24080</v>
      </c>
      <c r="V7859" t="s">
        <v>77</v>
      </c>
    </row>
    <row r="7860" spans="1:22">
      <c r="A7860" t="str">
        <f t="shared" si="1465"/>
        <v>29/10/2025</v>
      </c>
      <c r="B7860" t="str">
        <f t="shared" si="1458"/>
        <v>ENTRADA</v>
      </c>
      <c r="C7860" t="str">
        <f t="shared" si="1459"/>
        <v>NFSE</v>
      </c>
      <c r="D7860" t="str">
        <f t="shared" si="1466"/>
        <v>3547</v>
      </c>
      <c r="E7860" t="str">
        <f t="shared" si="1464"/>
        <v>1</v>
      </c>
      <c r="F7860" t="str">
        <f t="shared" si="1455"/>
        <v>COM</v>
      </c>
      <c r="G7860" t="str">
        <f t="shared" si="1461"/>
        <v>FARMÁCIA INDIANA LJ 30 (10127)</v>
      </c>
      <c r="H7860" t="s">
        <v>2185</v>
      </c>
      <c r="I7860" t="str">
        <f t="shared" si="1467"/>
        <v>29/10/2025</v>
      </c>
      <c r="J7860" t="str">
        <f t="shared" si="1468"/>
        <v>21/10/2025</v>
      </c>
      <c r="K7860">
        <v>45959</v>
      </c>
      <c r="N7860">
        <v>303</v>
      </c>
      <c r="O7860" t="s">
        <v>69</v>
      </c>
      <c r="Q7860">
        <v>2622.99</v>
      </c>
      <c r="R7860" t="str">
        <f>"FARMÁCIA INDIANA LJ 34 (10014)"</f>
        <v>FARMÁCIA INDIANA LJ 34 (10014)</v>
      </c>
      <c r="S7860" t="s">
        <v>70</v>
      </c>
      <c r="T7860">
        <v>21849</v>
      </c>
      <c r="U7860">
        <v>24080</v>
      </c>
      <c r="V7860" t="s">
        <v>77</v>
      </c>
    </row>
    <row r="7861" spans="1:22">
      <c r="A7861" t="str">
        <f t="shared" si="1465"/>
        <v>29/10/2025</v>
      </c>
      <c r="B7861" t="str">
        <f t="shared" si="1458"/>
        <v>ENTRADA</v>
      </c>
      <c r="C7861" t="str">
        <f t="shared" si="1459"/>
        <v>NFSE</v>
      </c>
      <c r="D7861" t="str">
        <f t="shared" si="1466"/>
        <v>3547</v>
      </c>
      <c r="E7861" t="str">
        <f t="shared" si="1464"/>
        <v>1</v>
      </c>
      <c r="F7861" t="str">
        <f t="shared" si="1455"/>
        <v>COM</v>
      </c>
      <c r="G7861" t="str">
        <f t="shared" si="1461"/>
        <v>FARMÁCIA INDIANA LJ 30 (10127)</v>
      </c>
      <c r="H7861" t="s">
        <v>2185</v>
      </c>
      <c r="I7861" t="str">
        <f t="shared" si="1467"/>
        <v>29/10/2025</v>
      </c>
      <c r="J7861" t="str">
        <f t="shared" si="1468"/>
        <v>21/10/2025</v>
      </c>
      <c r="K7861">
        <v>45959</v>
      </c>
      <c r="N7861">
        <v>303</v>
      </c>
      <c r="O7861" t="s">
        <v>69</v>
      </c>
      <c r="Q7861">
        <v>1428.25</v>
      </c>
      <c r="R7861" t="str">
        <f>"FARMÁCIA INDIANA LJ 35 (10015)"</f>
        <v>FARMÁCIA INDIANA LJ 35 (10015)</v>
      </c>
      <c r="S7861" t="s">
        <v>70</v>
      </c>
      <c r="T7861">
        <v>21849</v>
      </c>
      <c r="U7861">
        <v>24080</v>
      </c>
      <c r="V7861" t="s">
        <v>77</v>
      </c>
    </row>
    <row r="7862" spans="1:22">
      <c r="A7862" t="str">
        <f t="shared" si="1465"/>
        <v>29/10/2025</v>
      </c>
      <c r="B7862" t="str">
        <f t="shared" ref="B7862:B7882" si="1469">"ENTRADA"</f>
        <v>ENTRADA</v>
      </c>
      <c r="C7862" t="str">
        <f t="shared" ref="C7862:C7882" si="1470">"NFSE"</f>
        <v>NFSE</v>
      </c>
      <c r="D7862" t="str">
        <f t="shared" si="1466"/>
        <v>3547</v>
      </c>
      <c r="E7862" t="str">
        <f t="shared" si="1464"/>
        <v>1</v>
      </c>
      <c r="F7862" t="str">
        <f t="shared" si="1455"/>
        <v>COM</v>
      </c>
      <c r="G7862" t="str">
        <f t="shared" si="1461"/>
        <v>FARMÁCIA INDIANA LJ 30 (10127)</v>
      </c>
      <c r="H7862" t="s">
        <v>2185</v>
      </c>
      <c r="I7862" t="str">
        <f t="shared" si="1467"/>
        <v>29/10/2025</v>
      </c>
      <c r="J7862" t="str">
        <f t="shared" si="1468"/>
        <v>21/10/2025</v>
      </c>
      <c r="K7862">
        <v>45959</v>
      </c>
      <c r="N7862">
        <v>303</v>
      </c>
      <c r="O7862" t="s">
        <v>69</v>
      </c>
      <c r="Q7862">
        <v>2466.52</v>
      </c>
      <c r="R7862" t="str">
        <f>"FARMÁCIA INDIANA LJ 48 (10018)"</f>
        <v>FARMÁCIA INDIANA LJ 48 (10018)</v>
      </c>
      <c r="S7862" t="s">
        <v>70</v>
      </c>
      <c r="T7862">
        <v>21849</v>
      </c>
      <c r="U7862">
        <v>24080</v>
      </c>
      <c r="V7862" t="s">
        <v>77</v>
      </c>
    </row>
    <row r="7863" spans="1:22">
      <c r="A7863" t="str">
        <f t="shared" si="1465"/>
        <v>29/10/2025</v>
      </c>
      <c r="B7863" t="str">
        <f t="shared" si="1469"/>
        <v>ENTRADA</v>
      </c>
      <c r="C7863" t="str">
        <f t="shared" si="1470"/>
        <v>NFSE</v>
      </c>
      <c r="D7863" t="str">
        <f t="shared" si="1466"/>
        <v>3547</v>
      </c>
      <c r="E7863" t="str">
        <f t="shared" si="1464"/>
        <v>1</v>
      </c>
      <c r="F7863" t="str">
        <f t="shared" si="1455"/>
        <v>COM</v>
      </c>
      <c r="G7863" t="str">
        <f t="shared" si="1461"/>
        <v>FARMÁCIA INDIANA LJ 30 (10127)</v>
      </c>
      <c r="H7863" t="s">
        <v>2185</v>
      </c>
      <c r="I7863" t="str">
        <f t="shared" si="1467"/>
        <v>29/10/2025</v>
      </c>
      <c r="J7863" t="str">
        <f t="shared" si="1468"/>
        <v>21/10/2025</v>
      </c>
      <c r="K7863">
        <v>45959</v>
      </c>
      <c r="N7863">
        <v>303</v>
      </c>
      <c r="O7863" t="s">
        <v>69</v>
      </c>
      <c r="Q7863">
        <v>3139.66</v>
      </c>
      <c r="R7863" t="str">
        <f>"FARMÁCIA INDIANA LJ 65 (10030)"</f>
        <v>FARMÁCIA INDIANA LJ 65 (10030)</v>
      </c>
      <c r="S7863" t="s">
        <v>70</v>
      </c>
      <c r="T7863">
        <v>21849</v>
      </c>
      <c r="U7863">
        <v>24080</v>
      </c>
      <c r="V7863" t="s">
        <v>77</v>
      </c>
    </row>
    <row r="7864" spans="1:22">
      <c r="A7864" t="str">
        <f t="shared" si="1465"/>
        <v>29/10/2025</v>
      </c>
      <c r="B7864" t="str">
        <f t="shared" si="1469"/>
        <v>ENTRADA</v>
      </c>
      <c r="C7864" t="str">
        <f t="shared" si="1470"/>
        <v>NFSE</v>
      </c>
      <c r="D7864" t="str">
        <f t="shared" si="1466"/>
        <v>3547</v>
      </c>
      <c r="E7864" t="str">
        <f t="shared" si="1464"/>
        <v>1</v>
      </c>
      <c r="F7864" t="str">
        <f t="shared" si="1455"/>
        <v>COM</v>
      </c>
      <c r="G7864" t="str">
        <f t="shared" si="1461"/>
        <v>FARMÁCIA INDIANA LJ 30 (10127)</v>
      </c>
      <c r="H7864" t="s">
        <v>2185</v>
      </c>
      <c r="I7864" t="str">
        <f t="shared" si="1467"/>
        <v>29/10/2025</v>
      </c>
      <c r="J7864" t="str">
        <f t="shared" si="1468"/>
        <v>21/10/2025</v>
      </c>
      <c r="K7864">
        <v>45959</v>
      </c>
      <c r="N7864">
        <v>303</v>
      </c>
      <c r="O7864" t="s">
        <v>69</v>
      </c>
      <c r="Q7864">
        <v>727.79</v>
      </c>
      <c r="R7864" t="str">
        <f>"FARMÁCIA INDIANA LJ 77 (10034)"</f>
        <v>FARMÁCIA INDIANA LJ 77 (10034)</v>
      </c>
      <c r="S7864" t="s">
        <v>70</v>
      </c>
      <c r="T7864">
        <v>21849</v>
      </c>
      <c r="U7864">
        <v>24080</v>
      </c>
      <c r="V7864" t="s">
        <v>77</v>
      </c>
    </row>
    <row r="7865" spans="1:22">
      <c r="A7865" t="str">
        <f t="shared" si="1465"/>
        <v>29/10/2025</v>
      </c>
      <c r="B7865" t="str">
        <f t="shared" si="1469"/>
        <v>ENTRADA</v>
      </c>
      <c r="C7865" t="str">
        <f t="shared" si="1470"/>
        <v>NFSE</v>
      </c>
      <c r="D7865" t="str">
        <f t="shared" si="1466"/>
        <v>3547</v>
      </c>
      <c r="E7865" t="str">
        <f t="shared" si="1464"/>
        <v>1</v>
      </c>
      <c r="F7865" t="str">
        <f t="shared" ref="F7865:F7928" si="1471">"COM"</f>
        <v>COM</v>
      </c>
      <c r="G7865" t="str">
        <f t="shared" si="1461"/>
        <v>FARMÁCIA INDIANA LJ 30 (10127)</v>
      </c>
      <c r="H7865" t="s">
        <v>2185</v>
      </c>
      <c r="I7865" t="str">
        <f t="shared" si="1467"/>
        <v>29/10/2025</v>
      </c>
      <c r="J7865" t="str">
        <f t="shared" si="1468"/>
        <v>21/10/2025</v>
      </c>
      <c r="K7865">
        <v>45959</v>
      </c>
      <c r="N7865">
        <v>303</v>
      </c>
      <c r="O7865" t="s">
        <v>69</v>
      </c>
      <c r="Q7865">
        <v>5293.21</v>
      </c>
      <c r="R7865" t="str">
        <f>"FARMÁCIA INDIANA LJ 91 (10037)"</f>
        <v>FARMÁCIA INDIANA LJ 91 (10037)</v>
      </c>
      <c r="S7865" t="s">
        <v>70</v>
      </c>
      <c r="T7865">
        <v>21849</v>
      </c>
      <c r="U7865">
        <v>24080</v>
      </c>
      <c r="V7865" t="s">
        <v>77</v>
      </c>
    </row>
    <row r="7866" spans="1:22">
      <c r="A7866" t="str">
        <f t="shared" si="1465"/>
        <v>29/10/2025</v>
      </c>
      <c r="B7866" t="str">
        <f t="shared" si="1469"/>
        <v>ENTRADA</v>
      </c>
      <c r="C7866" t="str">
        <f t="shared" si="1470"/>
        <v>NFSE</v>
      </c>
      <c r="D7866" t="str">
        <f t="shared" si="1466"/>
        <v>3547</v>
      </c>
      <c r="E7866" t="str">
        <f t="shared" si="1464"/>
        <v>1</v>
      </c>
      <c r="F7866" t="str">
        <f t="shared" si="1471"/>
        <v>COM</v>
      </c>
      <c r="G7866" t="str">
        <f t="shared" si="1461"/>
        <v>FARMÁCIA INDIANA LJ 30 (10127)</v>
      </c>
      <c r="H7866" t="s">
        <v>2185</v>
      </c>
      <c r="I7866" t="str">
        <f t="shared" si="1467"/>
        <v>29/10/2025</v>
      </c>
      <c r="J7866" t="str">
        <f t="shared" si="1468"/>
        <v>21/10/2025</v>
      </c>
      <c r="K7866">
        <v>45959</v>
      </c>
      <c r="N7866">
        <v>303</v>
      </c>
      <c r="O7866" t="s">
        <v>69</v>
      </c>
      <c r="Q7866">
        <v>1897.71</v>
      </c>
      <c r="R7866" t="str">
        <f>"FARMÁCIA INDIANA LJ 95 (10039)"</f>
        <v>FARMÁCIA INDIANA LJ 95 (10039)</v>
      </c>
      <c r="S7866" t="s">
        <v>70</v>
      </c>
      <c r="T7866">
        <v>21849</v>
      </c>
      <c r="U7866">
        <v>24080</v>
      </c>
      <c r="V7866" t="s">
        <v>77</v>
      </c>
    </row>
    <row r="7867" spans="1:22">
      <c r="A7867" t="str">
        <f t="shared" si="1465"/>
        <v>29/10/2025</v>
      </c>
      <c r="B7867" t="str">
        <f t="shared" si="1469"/>
        <v>ENTRADA</v>
      </c>
      <c r="C7867" t="str">
        <f t="shared" si="1470"/>
        <v>NFSE</v>
      </c>
      <c r="D7867" t="str">
        <f t="shared" si="1466"/>
        <v>3547</v>
      </c>
      <c r="E7867" t="str">
        <f t="shared" si="1464"/>
        <v>1</v>
      </c>
      <c r="F7867" t="str">
        <f t="shared" si="1471"/>
        <v>COM</v>
      </c>
      <c r="G7867" t="str">
        <f t="shared" si="1461"/>
        <v>FARMÁCIA INDIANA LJ 30 (10127)</v>
      </c>
      <c r="H7867" t="s">
        <v>2185</v>
      </c>
      <c r="I7867" t="str">
        <f t="shared" si="1467"/>
        <v>29/10/2025</v>
      </c>
      <c r="J7867" t="str">
        <f t="shared" si="1468"/>
        <v>21/10/2025</v>
      </c>
      <c r="K7867">
        <v>45959</v>
      </c>
      <c r="N7867">
        <v>303</v>
      </c>
      <c r="O7867" t="s">
        <v>69</v>
      </c>
      <c r="Q7867">
        <v>2526.14</v>
      </c>
      <c r="R7867" t="str">
        <f>"FARMÁCIA INDIANA LJ 145 (10068)"</f>
        <v>FARMÁCIA INDIANA LJ 145 (10068)</v>
      </c>
      <c r="S7867" t="s">
        <v>70</v>
      </c>
      <c r="T7867">
        <v>21849</v>
      </c>
      <c r="U7867">
        <v>24080</v>
      </c>
      <c r="V7867" t="s">
        <v>77</v>
      </c>
    </row>
    <row r="7868" spans="1:22">
      <c r="A7868" t="str">
        <f t="shared" si="1465"/>
        <v>29/10/2025</v>
      </c>
      <c r="B7868" t="str">
        <f t="shared" si="1469"/>
        <v>ENTRADA</v>
      </c>
      <c r="C7868" t="str">
        <f t="shared" si="1470"/>
        <v>NFSE</v>
      </c>
      <c r="D7868" t="str">
        <f t="shared" si="1466"/>
        <v>3547</v>
      </c>
      <c r="E7868" t="str">
        <f t="shared" si="1464"/>
        <v>1</v>
      </c>
      <c r="F7868" t="str">
        <f t="shared" si="1471"/>
        <v>COM</v>
      </c>
      <c r="G7868" t="str">
        <f t="shared" si="1461"/>
        <v>FARMÁCIA INDIANA LJ 30 (10127)</v>
      </c>
      <c r="H7868" t="s">
        <v>2185</v>
      </c>
      <c r="I7868" t="str">
        <f t="shared" si="1467"/>
        <v>29/10/2025</v>
      </c>
      <c r="J7868" t="str">
        <f t="shared" si="1468"/>
        <v>21/10/2025</v>
      </c>
      <c r="K7868">
        <v>45959</v>
      </c>
      <c r="N7868">
        <v>303</v>
      </c>
      <c r="O7868" t="s">
        <v>69</v>
      </c>
      <c r="Q7868">
        <v>958.79</v>
      </c>
      <c r="R7868" t="str">
        <f>"FARMÁCIA INDIANA LJ 169 (10073)"</f>
        <v>FARMÁCIA INDIANA LJ 169 (10073)</v>
      </c>
      <c r="S7868" t="s">
        <v>70</v>
      </c>
      <c r="T7868">
        <v>21849</v>
      </c>
      <c r="U7868">
        <v>24080</v>
      </c>
      <c r="V7868" t="s">
        <v>77</v>
      </c>
    </row>
    <row r="7869" spans="1:22">
      <c r="A7869" t="str">
        <f t="shared" si="1465"/>
        <v>29/10/2025</v>
      </c>
      <c r="B7869" t="str">
        <f t="shared" si="1469"/>
        <v>ENTRADA</v>
      </c>
      <c r="C7869" t="str">
        <f t="shared" si="1470"/>
        <v>NFSE</v>
      </c>
      <c r="D7869" t="str">
        <f t="shared" si="1466"/>
        <v>3547</v>
      </c>
      <c r="E7869" t="str">
        <f t="shared" si="1464"/>
        <v>1</v>
      </c>
      <c r="F7869" t="str">
        <f t="shared" si="1471"/>
        <v>COM</v>
      </c>
      <c r="G7869" t="str">
        <f t="shared" si="1461"/>
        <v>FARMÁCIA INDIANA LJ 30 (10127)</v>
      </c>
      <c r="H7869" t="s">
        <v>2185</v>
      </c>
      <c r="I7869" t="str">
        <f t="shared" si="1467"/>
        <v>29/10/2025</v>
      </c>
      <c r="J7869" t="str">
        <f t="shared" si="1468"/>
        <v>21/10/2025</v>
      </c>
      <c r="K7869">
        <v>45959</v>
      </c>
      <c r="N7869">
        <v>303</v>
      </c>
      <c r="O7869" t="s">
        <v>69</v>
      </c>
      <c r="Q7869">
        <v>1569.83</v>
      </c>
      <c r="R7869" t="str">
        <f>"FARMÁCIA INDIANA LJ 173 (10075)"</f>
        <v>FARMÁCIA INDIANA LJ 173 (10075)</v>
      </c>
      <c r="S7869" t="s">
        <v>70</v>
      </c>
      <c r="T7869">
        <v>21849</v>
      </c>
      <c r="U7869">
        <v>24080</v>
      </c>
      <c r="V7869" t="s">
        <v>77</v>
      </c>
    </row>
    <row r="7870" spans="1:22">
      <c r="A7870" t="str">
        <f t="shared" si="1465"/>
        <v>29/10/2025</v>
      </c>
      <c r="B7870" t="str">
        <f t="shared" si="1469"/>
        <v>ENTRADA</v>
      </c>
      <c r="C7870" t="str">
        <f t="shared" si="1470"/>
        <v>NFSE</v>
      </c>
      <c r="D7870" t="str">
        <f t="shared" si="1466"/>
        <v>3547</v>
      </c>
      <c r="E7870" t="str">
        <f t="shared" si="1464"/>
        <v>1</v>
      </c>
      <c r="F7870" t="str">
        <f t="shared" si="1471"/>
        <v>COM</v>
      </c>
      <c r="G7870" t="str">
        <f t="shared" si="1461"/>
        <v>FARMÁCIA INDIANA LJ 30 (10127)</v>
      </c>
      <c r="H7870" t="s">
        <v>2185</v>
      </c>
      <c r="I7870" t="str">
        <f t="shared" si="1467"/>
        <v>29/10/2025</v>
      </c>
      <c r="J7870" t="str">
        <f t="shared" si="1468"/>
        <v>21/10/2025</v>
      </c>
      <c r="K7870">
        <v>45959</v>
      </c>
      <c r="N7870">
        <v>303</v>
      </c>
      <c r="O7870" t="s">
        <v>69</v>
      </c>
      <c r="Q7870">
        <v>1155.02</v>
      </c>
      <c r="R7870" t="str">
        <f>"FARMÁCIA INDIANA LJ 200 (10155)"</f>
        <v>FARMÁCIA INDIANA LJ 200 (10155)</v>
      </c>
      <c r="S7870" t="s">
        <v>70</v>
      </c>
      <c r="T7870">
        <v>21849</v>
      </c>
      <c r="U7870">
        <v>24080</v>
      </c>
      <c r="V7870" t="s">
        <v>77</v>
      </c>
    </row>
    <row r="7871" spans="1:22">
      <c r="A7871" t="str">
        <f t="shared" si="1465"/>
        <v>29/10/2025</v>
      </c>
      <c r="B7871" t="str">
        <f t="shared" si="1469"/>
        <v>ENTRADA</v>
      </c>
      <c r="C7871" t="str">
        <f t="shared" si="1470"/>
        <v>NFSE</v>
      </c>
      <c r="D7871" t="str">
        <f t="shared" si="1466"/>
        <v>3547</v>
      </c>
      <c r="E7871" t="str">
        <f t="shared" si="1464"/>
        <v>1</v>
      </c>
      <c r="F7871" t="str">
        <f t="shared" si="1471"/>
        <v>COM</v>
      </c>
      <c r="G7871" t="str">
        <f t="shared" si="1461"/>
        <v>FARMÁCIA INDIANA LJ 30 (10127)</v>
      </c>
      <c r="H7871" t="s">
        <v>2185</v>
      </c>
      <c r="I7871" t="str">
        <f t="shared" si="1467"/>
        <v>29/10/2025</v>
      </c>
      <c r="J7871" t="str">
        <f t="shared" si="1468"/>
        <v>21/10/2025</v>
      </c>
      <c r="K7871">
        <v>45959</v>
      </c>
      <c r="N7871">
        <v>303</v>
      </c>
      <c r="O7871" t="s">
        <v>69</v>
      </c>
      <c r="Q7871">
        <v>1053.18</v>
      </c>
      <c r="R7871" t="str">
        <f>"FARMÁCIA INDIANA LJ 33 (10187)"</f>
        <v>FARMÁCIA INDIANA LJ 33 (10187)</v>
      </c>
      <c r="S7871" t="s">
        <v>70</v>
      </c>
      <c r="T7871">
        <v>21849</v>
      </c>
      <c r="U7871">
        <v>24080</v>
      </c>
      <c r="V7871" t="s">
        <v>77</v>
      </c>
    </row>
    <row r="7872" spans="1:22">
      <c r="A7872" t="str">
        <f t="shared" si="1465"/>
        <v>29/10/2025</v>
      </c>
      <c r="B7872" t="str">
        <f t="shared" si="1469"/>
        <v>ENTRADA</v>
      </c>
      <c r="C7872" t="str">
        <f t="shared" si="1470"/>
        <v>NFSE</v>
      </c>
      <c r="D7872" t="str">
        <f t="shared" ref="D7872:D7882" si="1472">"3548"</f>
        <v>3548</v>
      </c>
      <c r="E7872" t="str">
        <f t="shared" si="1464"/>
        <v>1</v>
      </c>
      <c r="F7872" t="str">
        <f t="shared" si="1471"/>
        <v>COM</v>
      </c>
      <c r="G7872" t="str">
        <f t="shared" ref="G7872:G7882" si="1473">"FARMÁCIA INDIANA LJ 85 (10128)"</f>
        <v>FARMÁCIA INDIANA LJ 85 (10128)</v>
      </c>
      <c r="H7872" t="str">
        <f>"Serv.Prest. 13/10/2025 a 19/10/2025 - RPS: 1424 - NFSe: 3548"</f>
        <v>Serv.Prest. 13/10/2025 a 19/10/2025 - RPS: 1424 - NFSe: 3548</v>
      </c>
      <c r="I7872" t="str">
        <f t="shared" si="1467"/>
        <v>29/10/2025</v>
      </c>
      <c r="J7872" t="str">
        <f t="shared" si="1468"/>
        <v>21/10/2025</v>
      </c>
      <c r="K7872" t="str">
        <f>("29/10/2025")</f>
        <v>29/10/2025</v>
      </c>
      <c r="L7872">
        <v>8723.77</v>
      </c>
      <c r="M7872">
        <v>8723.77</v>
      </c>
      <c r="N7872">
        <v>303</v>
      </c>
      <c r="O7872" t="str">
        <f>"RECEITAS COM ENTREGAS"</f>
        <v>RECEITAS COM ENTREGAS</v>
      </c>
      <c r="P7872">
        <v>8723.77</v>
      </c>
      <c r="S7872" t="str">
        <f>"RECEITAS COM ENTREGAS (303)"</f>
        <v>RECEITAS COM ENTREGAS (303)</v>
      </c>
      <c r="T7872">
        <v>21850</v>
      </c>
      <c r="U7872">
        <v>24108</v>
      </c>
      <c r="V7872" t="s">
        <v>77</v>
      </c>
    </row>
    <row r="7873" spans="1:22">
      <c r="A7873" t="str">
        <f t="shared" si="1465"/>
        <v>29/10/2025</v>
      </c>
      <c r="B7873" t="str">
        <f t="shared" si="1469"/>
        <v>ENTRADA</v>
      </c>
      <c r="C7873" t="str">
        <f t="shared" si="1470"/>
        <v>NFSE</v>
      </c>
      <c r="D7873" t="str">
        <f t="shared" si="1472"/>
        <v>3548</v>
      </c>
      <c r="E7873" t="str">
        <f t="shared" si="1464"/>
        <v>1</v>
      </c>
      <c r="F7873" t="str">
        <f t="shared" si="1471"/>
        <v>COM</v>
      </c>
      <c r="G7873" t="str">
        <f t="shared" si="1473"/>
        <v>FARMÁCIA INDIANA LJ 85 (10128)</v>
      </c>
      <c r="H7873" t="s">
        <v>2186</v>
      </c>
      <c r="I7873" t="str">
        <f t="shared" si="1467"/>
        <v>29/10/2025</v>
      </c>
      <c r="J7873" t="str">
        <f t="shared" si="1468"/>
        <v>21/10/2025</v>
      </c>
      <c r="K7873">
        <v>45959</v>
      </c>
      <c r="N7873">
        <v>303</v>
      </c>
      <c r="O7873" t="s">
        <v>69</v>
      </c>
      <c r="Q7873">
        <v>917.74</v>
      </c>
      <c r="R7873" t="str">
        <f>"FARMÁCIA INDIANA LJ 119 (10053)"</f>
        <v>FARMÁCIA INDIANA LJ 119 (10053)</v>
      </c>
      <c r="S7873" t="s">
        <v>70</v>
      </c>
      <c r="T7873">
        <v>21850</v>
      </c>
      <c r="U7873">
        <v>24108</v>
      </c>
      <c r="V7873" t="s">
        <v>77</v>
      </c>
    </row>
    <row r="7874" spans="1:22">
      <c r="A7874" t="str">
        <f t="shared" si="1465"/>
        <v>29/10/2025</v>
      </c>
      <c r="B7874" t="str">
        <f t="shared" si="1469"/>
        <v>ENTRADA</v>
      </c>
      <c r="C7874" t="str">
        <f t="shared" si="1470"/>
        <v>NFSE</v>
      </c>
      <c r="D7874" t="str">
        <f t="shared" si="1472"/>
        <v>3548</v>
      </c>
      <c r="E7874" t="str">
        <f t="shared" si="1464"/>
        <v>1</v>
      </c>
      <c r="F7874" t="str">
        <f t="shared" si="1471"/>
        <v>COM</v>
      </c>
      <c r="G7874" t="str">
        <f t="shared" si="1473"/>
        <v>FARMÁCIA INDIANA LJ 85 (10128)</v>
      </c>
      <c r="H7874" t="s">
        <v>2186</v>
      </c>
      <c r="I7874" t="str">
        <f t="shared" si="1467"/>
        <v>29/10/2025</v>
      </c>
      <c r="J7874" t="str">
        <f t="shared" si="1468"/>
        <v>21/10/2025</v>
      </c>
      <c r="K7874">
        <v>45959</v>
      </c>
      <c r="N7874">
        <v>303</v>
      </c>
      <c r="O7874" t="s">
        <v>69</v>
      </c>
      <c r="Q7874">
        <v>950.02</v>
      </c>
      <c r="R7874" t="str">
        <f>"FARMÁCIA INDIANA LJ 163 (10072)"</f>
        <v>FARMÁCIA INDIANA LJ 163 (10072)</v>
      </c>
      <c r="S7874" t="s">
        <v>70</v>
      </c>
      <c r="T7874">
        <v>21850</v>
      </c>
      <c r="U7874">
        <v>24108</v>
      </c>
      <c r="V7874" t="s">
        <v>77</v>
      </c>
    </row>
    <row r="7875" spans="1:22">
      <c r="A7875" t="str">
        <f t="shared" si="1465"/>
        <v>29/10/2025</v>
      </c>
      <c r="B7875" t="str">
        <f t="shared" si="1469"/>
        <v>ENTRADA</v>
      </c>
      <c r="C7875" t="str">
        <f t="shared" si="1470"/>
        <v>NFSE</v>
      </c>
      <c r="D7875" t="str">
        <f t="shared" si="1472"/>
        <v>3548</v>
      </c>
      <c r="E7875" t="str">
        <f t="shared" si="1464"/>
        <v>1</v>
      </c>
      <c r="F7875" t="str">
        <f t="shared" si="1471"/>
        <v>COM</v>
      </c>
      <c r="G7875" t="str">
        <f t="shared" si="1473"/>
        <v>FARMÁCIA INDIANA LJ 85 (10128)</v>
      </c>
      <c r="H7875" t="s">
        <v>2186</v>
      </c>
      <c r="I7875" t="str">
        <f t="shared" si="1467"/>
        <v>29/10/2025</v>
      </c>
      <c r="J7875" t="str">
        <f t="shared" si="1468"/>
        <v>21/10/2025</v>
      </c>
      <c r="K7875">
        <v>45959</v>
      </c>
      <c r="N7875">
        <v>303</v>
      </c>
      <c r="O7875" t="s">
        <v>69</v>
      </c>
      <c r="Q7875">
        <v>1517.06</v>
      </c>
      <c r="R7875" t="str">
        <f>"FARMÁCIA INDIANA LJ 181 (10078)"</f>
        <v>FARMÁCIA INDIANA LJ 181 (10078)</v>
      </c>
      <c r="S7875" t="s">
        <v>70</v>
      </c>
      <c r="T7875">
        <v>21850</v>
      </c>
      <c r="U7875">
        <v>24108</v>
      </c>
      <c r="V7875" t="s">
        <v>77</v>
      </c>
    </row>
    <row r="7876" spans="1:22">
      <c r="A7876" t="str">
        <f t="shared" si="1465"/>
        <v>29/10/2025</v>
      </c>
      <c r="B7876" t="str">
        <f t="shared" si="1469"/>
        <v>ENTRADA</v>
      </c>
      <c r="C7876" t="str">
        <f t="shared" si="1470"/>
        <v>NFSE</v>
      </c>
      <c r="D7876" t="str">
        <f t="shared" si="1472"/>
        <v>3548</v>
      </c>
      <c r="E7876" t="str">
        <f t="shared" si="1464"/>
        <v>1</v>
      </c>
      <c r="F7876" t="str">
        <f t="shared" si="1471"/>
        <v>COM</v>
      </c>
      <c r="G7876" t="str">
        <f t="shared" si="1473"/>
        <v>FARMÁCIA INDIANA LJ 85 (10128)</v>
      </c>
      <c r="H7876" t="s">
        <v>2186</v>
      </c>
      <c r="I7876" t="str">
        <f t="shared" si="1467"/>
        <v>29/10/2025</v>
      </c>
      <c r="J7876" t="str">
        <f t="shared" si="1468"/>
        <v>21/10/2025</v>
      </c>
      <c r="K7876">
        <v>45959</v>
      </c>
      <c r="N7876">
        <v>303</v>
      </c>
      <c r="O7876" t="s">
        <v>69</v>
      </c>
      <c r="Q7876">
        <v>916</v>
      </c>
      <c r="R7876" t="str">
        <f>"FARMÁCIA INDIANA LJ 221 (10093)"</f>
        <v>FARMÁCIA INDIANA LJ 221 (10093)</v>
      </c>
      <c r="S7876" t="s">
        <v>70</v>
      </c>
      <c r="T7876">
        <v>21850</v>
      </c>
      <c r="U7876">
        <v>24108</v>
      </c>
      <c r="V7876" t="s">
        <v>77</v>
      </c>
    </row>
    <row r="7877" spans="1:22">
      <c r="A7877" t="str">
        <f t="shared" si="1465"/>
        <v>29/10/2025</v>
      </c>
      <c r="B7877" t="str">
        <f t="shared" si="1469"/>
        <v>ENTRADA</v>
      </c>
      <c r="C7877" t="str">
        <f t="shared" si="1470"/>
        <v>NFSE</v>
      </c>
      <c r="D7877" t="str">
        <f t="shared" si="1472"/>
        <v>3548</v>
      </c>
      <c r="E7877" t="str">
        <f t="shared" si="1464"/>
        <v>1</v>
      </c>
      <c r="F7877" t="str">
        <f t="shared" si="1471"/>
        <v>COM</v>
      </c>
      <c r="G7877" t="str">
        <f t="shared" si="1473"/>
        <v>FARMÁCIA INDIANA LJ 85 (10128)</v>
      </c>
      <c r="H7877" t="s">
        <v>2186</v>
      </c>
      <c r="I7877" t="str">
        <f t="shared" si="1467"/>
        <v>29/10/2025</v>
      </c>
      <c r="J7877" t="str">
        <f t="shared" si="1468"/>
        <v>21/10/2025</v>
      </c>
      <c r="K7877">
        <v>45959</v>
      </c>
      <c r="N7877">
        <v>303</v>
      </c>
      <c r="O7877" t="s">
        <v>69</v>
      </c>
      <c r="Q7877">
        <v>1100.94</v>
      </c>
      <c r="R7877" t="str">
        <f>"FARMÁCIA INDIANA LJ 243 (10142)"</f>
        <v>FARMÁCIA INDIANA LJ 243 (10142)</v>
      </c>
      <c r="S7877" t="s">
        <v>70</v>
      </c>
      <c r="T7877">
        <v>21850</v>
      </c>
      <c r="U7877">
        <v>24108</v>
      </c>
      <c r="V7877" t="s">
        <v>77</v>
      </c>
    </row>
    <row r="7878" spans="1:22">
      <c r="A7878" t="str">
        <f t="shared" si="1465"/>
        <v>29/10/2025</v>
      </c>
      <c r="B7878" t="str">
        <f t="shared" si="1469"/>
        <v>ENTRADA</v>
      </c>
      <c r="C7878" t="str">
        <f t="shared" si="1470"/>
        <v>NFSE</v>
      </c>
      <c r="D7878" t="str">
        <f t="shared" si="1472"/>
        <v>3548</v>
      </c>
      <c r="E7878" t="str">
        <f t="shared" si="1464"/>
        <v>1</v>
      </c>
      <c r="F7878" t="str">
        <f t="shared" si="1471"/>
        <v>COM</v>
      </c>
      <c r="G7878" t="str">
        <f t="shared" si="1473"/>
        <v>FARMÁCIA INDIANA LJ 85 (10128)</v>
      </c>
      <c r="H7878" t="s">
        <v>2186</v>
      </c>
      <c r="I7878" t="str">
        <f t="shared" si="1467"/>
        <v>29/10/2025</v>
      </c>
      <c r="J7878" t="str">
        <f t="shared" si="1468"/>
        <v>21/10/2025</v>
      </c>
      <c r="K7878">
        <v>45959</v>
      </c>
      <c r="N7878">
        <v>303</v>
      </c>
      <c r="O7878" t="s">
        <v>69</v>
      </c>
      <c r="Q7878">
        <v>487.66</v>
      </c>
      <c r="R7878" t="str">
        <f>"FARMÁCIA INDIANA LJ 211 (10168)"</f>
        <v>FARMÁCIA INDIANA LJ 211 (10168)</v>
      </c>
      <c r="S7878" t="s">
        <v>70</v>
      </c>
      <c r="T7878">
        <v>21850</v>
      </c>
      <c r="U7878">
        <v>24108</v>
      </c>
      <c r="V7878" t="s">
        <v>77</v>
      </c>
    </row>
    <row r="7879" spans="1:22">
      <c r="A7879" t="str">
        <f t="shared" si="1465"/>
        <v>29/10/2025</v>
      </c>
      <c r="B7879" t="str">
        <f t="shared" si="1469"/>
        <v>ENTRADA</v>
      </c>
      <c r="C7879" t="str">
        <f t="shared" si="1470"/>
        <v>NFSE</v>
      </c>
      <c r="D7879" t="str">
        <f t="shared" si="1472"/>
        <v>3548</v>
      </c>
      <c r="E7879" t="str">
        <f t="shared" si="1464"/>
        <v>1</v>
      </c>
      <c r="F7879" t="str">
        <f t="shared" si="1471"/>
        <v>COM</v>
      </c>
      <c r="G7879" t="str">
        <f t="shared" si="1473"/>
        <v>FARMÁCIA INDIANA LJ 85 (10128)</v>
      </c>
      <c r="H7879" t="s">
        <v>2186</v>
      </c>
      <c r="I7879" t="str">
        <f t="shared" si="1467"/>
        <v>29/10/2025</v>
      </c>
      <c r="J7879" t="str">
        <f t="shared" si="1468"/>
        <v>21/10/2025</v>
      </c>
      <c r="K7879">
        <v>45959</v>
      </c>
      <c r="N7879">
        <v>303</v>
      </c>
      <c r="O7879" t="s">
        <v>69</v>
      </c>
      <c r="Q7879">
        <v>487.66</v>
      </c>
      <c r="R7879" t="str">
        <f>"FARMÁCIA INDIANA LJ 236 (10169)"</f>
        <v>FARMÁCIA INDIANA LJ 236 (10169)</v>
      </c>
      <c r="S7879" t="s">
        <v>70</v>
      </c>
      <c r="T7879">
        <v>21850</v>
      </c>
      <c r="U7879">
        <v>24108</v>
      </c>
      <c r="V7879" t="s">
        <v>77</v>
      </c>
    </row>
    <row r="7880" spans="1:22">
      <c r="A7880" t="str">
        <f t="shared" si="1465"/>
        <v>29/10/2025</v>
      </c>
      <c r="B7880" t="str">
        <f t="shared" si="1469"/>
        <v>ENTRADA</v>
      </c>
      <c r="C7880" t="str">
        <f t="shared" si="1470"/>
        <v>NFSE</v>
      </c>
      <c r="D7880" t="str">
        <f t="shared" si="1472"/>
        <v>3548</v>
      </c>
      <c r="E7880" t="str">
        <f t="shared" si="1464"/>
        <v>1</v>
      </c>
      <c r="F7880" t="str">
        <f t="shared" si="1471"/>
        <v>COM</v>
      </c>
      <c r="G7880" t="str">
        <f t="shared" si="1473"/>
        <v>FARMÁCIA INDIANA LJ 85 (10128)</v>
      </c>
      <c r="H7880" t="s">
        <v>2186</v>
      </c>
      <c r="I7880" t="str">
        <f t="shared" si="1467"/>
        <v>29/10/2025</v>
      </c>
      <c r="J7880" t="str">
        <f t="shared" si="1468"/>
        <v>21/10/2025</v>
      </c>
      <c r="K7880">
        <v>45959</v>
      </c>
      <c r="N7880">
        <v>303</v>
      </c>
      <c r="O7880" t="s">
        <v>69</v>
      </c>
      <c r="Q7880">
        <v>976.19</v>
      </c>
      <c r="R7880" t="str">
        <f>"FARMÁCIA INDIANA LJ 188 (10176)"</f>
        <v>FARMÁCIA INDIANA LJ 188 (10176)</v>
      </c>
      <c r="S7880" t="s">
        <v>70</v>
      </c>
      <c r="T7880">
        <v>21850</v>
      </c>
      <c r="U7880">
        <v>24108</v>
      </c>
      <c r="V7880" t="s">
        <v>77</v>
      </c>
    </row>
    <row r="7881" spans="1:22">
      <c r="A7881" t="str">
        <f t="shared" si="1465"/>
        <v>29/10/2025</v>
      </c>
      <c r="B7881" t="str">
        <f t="shared" si="1469"/>
        <v>ENTRADA</v>
      </c>
      <c r="C7881" t="str">
        <f t="shared" si="1470"/>
        <v>NFSE</v>
      </c>
      <c r="D7881" t="str">
        <f t="shared" si="1472"/>
        <v>3548</v>
      </c>
      <c r="E7881" t="str">
        <f t="shared" si="1464"/>
        <v>1</v>
      </c>
      <c r="F7881" t="str">
        <f t="shared" si="1471"/>
        <v>COM</v>
      </c>
      <c r="G7881" t="str">
        <f t="shared" si="1473"/>
        <v>FARMÁCIA INDIANA LJ 85 (10128)</v>
      </c>
      <c r="H7881" t="s">
        <v>2186</v>
      </c>
      <c r="I7881" t="str">
        <f t="shared" si="1467"/>
        <v>29/10/2025</v>
      </c>
      <c r="J7881" t="str">
        <f t="shared" si="1468"/>
        <v>21/10/2025</v>
      </c>
      <c r="K7881">
        <v>45959</v>
      </c>
      <c r="N7881">
        <v>303</v>
      </c>
      <c r="O7881" t="s">
        <v>69</v>
      </c>
      <c r="Q7881">
        <v>1215.22</v>
      </c>
      <c r="R7881" t="str">
        <f>"FARMÁCIA INDIANA LJ 273 (10188)"</f>
        <v>FARMÁCIA INDIANA LJ 273 (10188)</v>
      </c>
      <c r="S7881" t="s">
        <v>70</v>
      </c>
      <c r="T7881">
        <v>21850</v>
      </c>
      <c r="U7881">
        <v>24108</v>
      </c>
      <c r="V7881" t="s">
        <v>77</v>
      </c>
    </row>
    <row r="7882" spans="1:22">
      <c r="A7882" t="str">
        <f t="shared" si="1465"/>
        <v>29/10/2025</v>
      </c>
      <c r="B7882" t="str">
        <f t="shared" si="1469"/>
        <v>ENTRADA</v>
      </c>
      <c r="C7882" t="str">
        <f t="shared" si="1470"/>
        <v>NFSE</v>
      </c>
      <c r="D7882" t="str">
        <f t="shared" si="1472"/>
        <v>3548</v>
      </c>
      <c r="E7882" t="str">
        <f t="shared" si="1464"/>
        <v>1</v>
      </c>
      <c r="F7882" t="str">
        <f t="shared" si="1471"/>
        <v>COM</v>
      </c>
      <c r="G7882" t="str">
        <f t="shared" si="1473"/>
        <v>FARMÁCIA INDIANA LJ 85 (10128)</v>
      </c>
      <c r="H7882" t="s">
        <v>2186</v>
      </c>
      <c r="I7882" t="str">
        <f t="shared" si="1467"/>
        <v>29/10/2025</v>
      </c>
      <c r="J7882" t="str">
        <f t="shared" si="1468"/>
        <v>21/10/2025</v>
      </c>
      <c r="K7882">
        <v>45959</v>
      </c>
      <c r="N7882">
        <v>303</v>
      </c>
      <c r="O7882" t="s">
        <v>69</v>
      </c>
      <c r="Q7882">
        <v>155.28</v>
      </c>
      <c r="R7882" t="str">
        <f>"FARMÁCIA INDIANA LJ 235 (10190)"</f>
        <v>FARMÁCIA INDIANA LJ 235 (10190)</v>
      </c>
      <c r="S7882" t="s">
        <v>70</v>
      </c>
      <c r="T7882">
        <v>21850</v>
      </c>
      <c r="U7882">
        <v>24108</v>
      </c>
      <c r="V7882" t="s">
        <v>77</v>
      </c>
    </row>
    <row r="7883" spans="1:22">
      <c r="A7883" t="str">
        <f t="shared" si="1465"/>
        <v>29/10/2025</v>
      </c>
      <c r="B7883" t="str">
        <f>"SAÍDA"</f>
        <v>SAÍDA</v>
      </c>
      <c r="C7883" t="str">
        <f>"PIX"</f>
        <v>PIX</v>
      </c>
      <c r="D7883" t="str">
        <f>"2910"</f>
        <v>2910</v>
      </c>
      <c r="E7883" t="str">
        <f>"25"</f>
        <v>25</v>
      </c>
      <c r="F7883" t="str">
        <f t="shared" si="1471"/>
        <v>COM</v>
      </c>
      <c r="G7883" t="str">
        <f>"GILSON OLIVEIRA CAMPINHO JUNIOR (132)"</f>
        <v>GILSON OLIVEIRA CAMPINHO JUNIOR (132)</v>
      </c>
      <c r="H7883" t="str">
        <f>"ADIANTAMENTO"</f>
        <v>ADIANTAMENTO</v>
      </c>
      <c r="I7883" t="str">
        <f t="shared" si="1467"/>
        <v>29/10/2025</v>
      </c>
      <c r="J7883" t="str">
        <f>("29/10/2025")</f>
        <v>29/10/2025</v>
      </c>
      <c r="K7883" t="str">
        <f>("29/10/2025")</f>
        <v>29/10/2025</v>
      </c>
      <c r="L7883">
        <v>500</v>
      </c>
      <c r="M7883">
        <v>500</v>
      </c>
      <c r="N7883">
        <v>5000</v>
      </c>
      <c r="O7883" t="str">
        <f>"SOLICITACAO DE ADIANTAMENTO"</f>
        <v>SOLICITACAO DE ADIANTAMENTO</v>
      </c>
      <c r="P7883">
        <v>500</v>
      </c>
      <c r="S7883" t="str">
        <f>"BANCO CORA (102)"</f>
        <v>BANCO CORA (102)</v>
      </c>
      <c r="T7883">
        <v>21952</v>
      </c>
      <c r="U7883">
        <v>24517</v>
      </c>
      <c r="V7883" t="s">
        <v>22</v>
      </c>
    </row>
    <row r="7884" spans="1:22">
      <c r="A7884" t="str">
        <f t="shared" si="1465"/>
        <v>29/10/2025</v>
      </c>
      <c r="B7884" t="str">
        <f>"SAÍDA"</f>
        <v>SAÍDA</v>
      </c>
      <c r="C7884" t="str">
        <f>"PIX"</f>
        <v>PIX</v>
      </c>
      <c r="D7884" t="str">
        <f>"2910"</f>
        <v>2910</v>
      </c>
      <c r="E7884" t="str">
        <f>"25"</f>
        <v>25</v>
      </c>
      <c r="F7884" t="str">
        <f t="shared" si="1471"/>
        <v>COM</v>
      </c>
      <c r="G7884" t="str">
        <f>"GILSON OLIVEIRA CAMPINHO JUNIOR (132)"</f>
        <v>GILSON OLIVEIRA CAMPINHO JUNIOR (132)</v>
      </c>
      <c r="H7884" t="s">
        <v>85</v>
      </c>
      <c r="I7884" t="str">
        <f t="shared" si="1467"/>
        <v>29/10/2025</v>
      </c>
      <c r="J7884" t="str">
        <f>("29/10/2025")</f>
        <v>29/10/2025</v>
      </c>
      <c r="K7884">
        <v>45959</v>
      </c>
      <c r="N7884">
        <v>5000</v>
      </c>
      <c r="O7884" t="s">
        <v>86</v>
      </c>
      <c r="Q7884">
        <v>500</v>
      </c>
      <c r="R7884" t="str">
        <f>"GILSON OLIVEIRA CAMPINHO JUNIOR (132)"</f>
        <v>GILSON OLIVEIRA CAMPINHO JUNIOR (132)</v>
      </c>
      <c r="S7884" t="s">
        <v>22</v>
      </c>
      <c r="T7884">
        <v>21952</v>
      </c>
      <c r="U7884">
        <v>24517</v>
      </c>
      <c r="V7884" t="s">
        <v>22</v>
      </c>
    </row>
    <row r="7885" spans="1:22">
      <c r="A7885" t="str">
        <f t="shared" ref="A7885:A7948" si="1474">("30/10/2025")</f>
        <v>30/10/2025</v>
      </c>
      <c r="B7885" t="str">
        <f>"SAÍDA"</f>
        <v>SAÍDA</v>
      </c>
      <c r="C7885" t="str">
        <f>"PIX"</f>
        <v>PIX</v>
      </c>
      <c r="D7885" t="str">
        <f>"24429"</f>
        <v>24429</v>
      </c>
      <c r="E7885" t="str">
        <f>"1"</f>
        <v>1</v>
      </c>
      <c r="F7885" t="str">
        <f t="shared" si="1471"/>
        <v>COM</v>
      </c>
      <c r="G7885" t="str">
        <f>"ALLAN SILVA DAMACENA (790)"</f>
        <v>ALLAN SILVA DAMACENA (790)</v>
      </c>
      <c r="H7885" t="str">
        <f>"Serv.Prest. 20/10/2025 a 26/10/2025 - PIX: CELULAR - CHAVE: (19) 98944-4977"</f>
        <v>Serv.Prest. 20/10/2025 a 26/10/2025 - PIX: CELULAR - CHAVE: (19) 98944-4977</v>
      </c>
      <c r="I7885" t="str">
        <f t="shared" ref="I7885:I7923" si="1475">("30/10/2025")</f>
        <v>30/10/2025</v>
      </c>
      <c r="J7885" t="str">
        <f>("27/10/2025")</f>
        <v>27/10/2025</v>
      </c>
      <c r="K7885" t="str">
        <f>("30/10/2025")</f>
        <v>30/10/2025</v>
      </c>
      <c r="L7885">
        <v>100</v>
      </c>
      <c r="M7885">
        <v>100</v>
      </c>
      <c r="N7885">
        <v>109</v>
      </c>
      <c r="O7885" t="str">
        <f>"PAGAMENTO DE ENTREGADORES"</f>
        <v>PAGAMENTO DE ENTREGADORES</v>
      </c>
      <c r="P7885">
        <v>100</v>
      </c>
      <c r="S7885" t="str">
        <f>"CAIXA MOVIMENTAÇÃO OPERACIONAL (132)"</f>
        <v>CAIXA MOVIMENTAÇÃO OPERACIONAL (132)</v>
      </c>
      <c r="T7885">
        <v>20319</v>
      </c>
      <c r="U7885">
        <v>24484</v>
      </c>
      <c r="V7885" t="s">
        <v>48</v>
      </c>
    </row>
    <row r="7886" spans="1:22">
      <c r="A7886" t="str">
        <f t="shared" si="1474"/>
        <v>30/10/2025</v>
      </c>
      <c r="B7886" t="str">
        <f>"SAÍDA"</f>
        <v>SAÍDA</v>
      </c>
      <c r="C7886" t="str">
        <f>"PIX"</f>
        <v>PIX</v>
      </c>
      <c r="D7886" t="str">
        <f>"24429"</f>
        <v>24429</v>
      </c>
      <c r="E7886" t="str">
        <f>"1"</f>
        <v>1</v>
      </c>
      <c r="F7886" t="str">
        <f t="shared" si="1471"/>
        <v>COM</v>
      </c>
      <c r="G7886" t="str">
        <f>"ALLAN SILVA DAMACENA (790)"</f>
        <v>ALLAN SILVA DAMACENA (790)</v>
      </c>
      <c r="H7886" t="s">
        <v>2187</v>
      </c>
      <c r="I7886" t="str">
        <f t="shared" si="1475"/>
        <v>30/10/2025</v>
      </c>
      <c r="J7886" t="str">
        <f>("27/10/2025")</f>
        <v>27/10/2025</v>
      </c>
      <c r="K7886">
        <v>45960</v>
      </c>
      <c r="N7886">
        <v>109</v>
      </c>
      <c r="O7886" t="s">
        <v>24</v>
      </c>
      <c r="Q7886">
        <v>100</v>
      </c>
      <c r="R7886" t="str">
        <f>"DROGARIA MORENO LTDA (10171)"</f>
        <v>DROGARIA MORENO LTDA (10171)</v>
      </c>
      <c r="S7886" t="s">
        <v>48</v>
      </c>
      <c r="T7886">
        <v>20319</v>
      </c>
      <c r="U7886">
        <v>24484</v>
      </c>
      <c r="V7886" t="s">
        <v>48</v>
      </c>
    </row>
    <row r="7887" spans="1:22">
      <c r="A7887" t="str">
        <f t="shared" si="1474"/>
        <v>30/10/2025</v>
      </c>
      <c r="B7887" t="str">
        <f>"ENTRADA"</f>
        <v>ENTRADA</v>
      </c>
      <c r="C7887" t="str">
        <f>"DINHEIRO"</f>
        <v>DINHEIRO</v>
      </c>
      <c r="D7887" t="str">
        <f>"1809"</f>
        <v>1809</v>
      </c>
      <c r="E7887" t="str">
        <f>"25"</f>
        <v>25</v>
      </c>
      <c r="F7887" t="str">
        <f t="shared" si="1471"/>
        <v>COM</v>
      </c>
      <c r="G7887" t="str">
        <f>"ALLAN SILVA DAMACENA (790)"</f>
        <v>ALLAN SILVA DAMACENA (790)</v>
      </c>
      <c r="H7887" t="str">
        <f>"REEMBOLSO ADIANTAMENTO"</f>
        <v>REEMBOLSO ADIANTAMENTO</v>
      </c>
      <c r="I7887" t="str">
        <f t="shared" si="1475"/>
        <v>30/10/2025</v>
      </c>
      <c r="J7887" t="str">
        <f>("11/09/2025")</f>
        <v>11/09/2025</v>
      </c>
      <c r="K7887" t="str">
        <f>("30/10/2025")</f>
        <v>30/10/2025</v>
      </c>
      <c r="L7887">
        <v>100</v>
      </c>
      <c r="M7887">
        <v>100</v>
      </c>
      <c r="N7887">
        <v>129</v>
      </c>
      <c r="O7887" t="str">
        <f>"ENTRADA DE REEMBOLSO ADIANTAMENTO"</f>
        <v>ENTRADA DE REEMBOLSO ADIANTAMENTO</v>
      </c>
      <c r="P7887">
        <v>100</v>
      </c>
      <c r="S7887" t="str">
        <f>"ENTRADA DE REEMBOLSO ADIANTAMENTO (129)"</f>
        <v>ENTRADA DE REEMBOLSO ADIANTAMENTO (129)</v>
      </c>
      <c r="T7887">
        <v>20320</v>
      </c>
      <c r="U7887">
        <v>21714</v>
      </c>
      <c r="V7887" t="s">
        <v>48</v>
      </c>
    </row>
    <row r="7888" spans="1:22">
      <c r="A7888" t="str">
        <f t="shared" si="1474"/>
        <v>30/10/2025</v>
      </c>
      <c r="B7888" t="str">
        <f>"ENTRADA"</f>
        <v>ENTRADA</v>
      </c>
      <c r="C7888" t="str">
        <f>"DINHEIRO"</f>
        <v>DINHEIRO</v>
      </c>
      <c r="D7888" t="str">
        <f>"1809"</f>
        <v>1809</v>
      </c>
      <c r="E7888" t="str">
        <f>"25"</f>
        <v>25</v>
      </c>
      <c r="F7888" t="str">
        <f t="shared" si="1471"/>
        <v>COM</v>
      </c>
      <c r="G7888" t="str">
        <f>"ALLAN SILVA DAMACENA (790)"</f>
        <v>ALLAN SILVA DAMACENA (790)</v>
      </c>
      <c r="H7888" t="s">
        <v>57</v>
      </c>
      <c r="I7888" t="str">
        <f t="shared" si="1475"/>
        <v>30/10/2025</v>
      </c>
      <c r="J7888" t="str">
        <f>("11/09/2025")</f>
        <v>11/09/2025</v>
      </c>
      <c r="K7888">
        <v>45960</v>
      </c>
      <c r="N7888">
        <v>129</v>
      </c>
      <c r="O7888" t="s">
        <v>58</v>
      </c>
      <c r="Q7888">
        <v>100</v>
      </c>
      <c r="R7888" t="str">
        <f>"ALLAN SILVA DAMACENA (790)"</f>
        <v>ALLAN SILVA DAMACENA (790)</v>
      </c>
      <c r="S7888" t="s">
        <v>59</v>
      </c>
      <c r="T7888">
        <v>20320</v>
      </c>
      <c r="U7888">
        <v>21714</v>
      </c>
      <c r="V7888" t="s">
        <v>48</v>
      </c>
    </row>
    <row r="7889" spans="1:22">
      <c r="A7889" t="str">
        <f t="shared" si="1474"/>
        <v>30/10/2025</v>
      </c>
      <c r="B7889" t="str">
        <f>"SAÍDA"</f>
        <v>SAÍDA</v>
      </c>
      <c r="C7889" t="str">
        <f>"PIX"</f>
        <v>PIX</v>
      </c>
      <c r="D7889" t="str">
        <f>"24423"</f>
        <v>24423</v>
      </c>
      <c r="E7889" t="str">
        <f>"1"</f>
        <v>1</v>
      </c>
      <c r="F7889" t="str">
        <f t="shared" si="1471"/>
        <v>COM</v>
      </c>
      <c r="G7889" t="str">
        <f t="shared" ref="G7889:G7895" si="1476">"JAMERSON SOUZA LOPES (749)"</f>
        <v>JAMERSON SOUZA LOPES (749)</v>
      </c>
      <c r="H7889" t="str">
        <f>"Serv.Prest. 20/10/2025 a 26/10/2025 - PIX: CPF - CHAVE: 423.098.018-36"</f>
        <v>Serv.Prest. 20/10/2025 a 26/10/2025 - PIX: CPF - CHAVE: 423.098.018-36</v>
      </c>
      <c r="I7889" t="str">
        <f t="shared" si="1475"/>
        <v>30/10/2025</v>
      </c>
      <c r="J7889" t="str">
        <f>("27/10/2025")</f>
        <v>27/10/2025</v>
      </c>
      <c r="K7889" t="str">
        <f>("30/10/2025")</f>
        <v>30/10/2025</v>
      </c>
      <c r="L7889">
        <v>100</v>
      </c>
      <c r="M7889">
        <v>100</v>
      </c>
      <c r="N7889">
        <v>109</v>
      </c>
      <c r="O7889" t="str">
        <f>"PAGAMENTO DE ENTREGADORES"</f>
        <v>PAGAMENTO DE ENTREGADORES</v>
      </c>
      <c r="P7889">
        <v>100</v>
      </c>
      <c r="S7889" t="str">
        <f>"CAIXA MOVIMENTAÇÃO OPERACIONAL (132)"</f>
        <v>CAIXA MOVIMENTAÇÃO OPERACIONAL (132)</v>
      </c>
      <c r="T7889">
        <v>20323</v>
      </c>
      <c r="U7889">
        <v>24493</v>
      </c>
      <c r="V7889" t="s">
        <v>48</v>
      </c>
    </row>
    <row r="7890" spans="1:22">
      <c r="A7890" t="str">
        <f t="shared" si="1474"/>
        <v>30/10/2025</v>
      </c>
      <c r="B7890" t="str">
        <f>"SAÍDA"</f>
        <v>SAÍDA</v>
      </c>
      <c r="C7890" t="str">
        <f>"PIX"</f>
        <v>PIX</v>
      </c>
      <c r="D7890" t="str">
        <f>"24423"</f>
        <v>24423</v>
      </c>
      <c r="E7890" t="str">
        <f>"1"</f>
        <v>1</v>
      </c>
      <c r="F7890" t="str">
        <f t="shared" si="1471"/>
        <v>COM</v>
      </c>
      <c r="G7890" t="str">
        <f t="shared" si="1476"/>
        <v>JAMERSON SOUZA LOPES (749)</v>
      </c>
      <c r="H7890" t="s">
        <v>2146</v>
      </c>
      <c r="I7890" t="str">
        <f t="shared" si="1475"/>
        <v>30/10/2025</v>
      </c>
      <c r="J7890" t="str">
        <f>("27/10/2025")</f>
        <v>27/10/2025</v>
      </c>
      <c r="K7890">
        <v>45960</v>
      </c>
      <c r="N7890">
        <v>109</v>
      </c>
      <c r="O7890" t="s">
        <v>24</v>
      </c>
      <c r="Q7890">
        <v>100</v>
      </c>
      <c r="R7890" t="str">
        <f>"DROGARIA TOTAL JUNDIAI (10177)"</f>
        <v>DROGARIA TOTAL JUNDIAI (10177)</v>
      </c>
      <c r="S7890" t="s">
        <v>48</v>
      </c>
      <c r="T7890">
        <v>20323</v>
      </c>
      <c r="U7890">
        <v>24493</v>
      </c>
      <c r="V7890" t="s">
        <v>48</v>
      </c>
    </row>
    <row r="7891" spans="1:22">
      <c r="A7891" t="str">
        <f t="shared" si="1474"/>
        <v>30/10/2025</v>
      </c>
      <c r="B7891" t="str">
        <f>"ENTRADA"</f>
        <v>ENTRADA</v>
      </c>
      <c r="C7891" t="str">
        <f>"DINHEIRO"</f>
        <v>DINHEIRO</v>
      </c>
      <c r="D7891" t="str">
        <f>"3010"</f>
        <v>3010</v>
      </c>
      <c r="E7891" t="str">
        <f>"25"</f>
        <v>25</v>
      </c>
      <c r="F7891" t="str">
        <f t="shared" si="1471"/>
        <v>COM</v>
      </c>
      <c r="G7891" t="str">
        <f t="shared" si="1476"/>
        <v>JAMERSON SOUZA LOPES (749)</v>
      </c>
      <c r="H7891" t="str">
        <f>"REEMBOLSO ADIANTAMENTO"</f>
        <v>REEMBOLSO ADIANTAMENTO</v>
      </c>
      <c r="I7891" t="str">
        <f t="shared" si="1475"/>
        <v>30/10/2025</v>
      </c>
      <c r="J7891" t="str">
        <f>("10/10/2025")</f>
        <v>10/10/2025</v>
      </c>
      <c r="K7891" t="str">
        <f>("30/10/2025")</f>
        <v>30/10/2025</v>
      </c>
      <c r="L7891">
        <v>100</v>
      </c>
      <c r="M7891">
        <v>100</v>
      </c>
      <c r="N7891">
        <v>129</v>
      </c>
      <c r="O7891" t="str">
        <f>"ENTRADA DE REEMBOLSO ADIANTAMENTO"</f>
        <v>ENTRADA DE REEMBOLSO ADIANTAMENTO</v>
      </c>
      <c r="P7891">
        <v>100</v>
      </c>
      <c r="S7891" t="str">
        <f>"ENTRADA DE REEMBOLSO ADIANTAMENTO (129)"</f>
        <v>ENTRADA DE REEMBOLSO ADIANTAMENTO (129)</v>
      </c>
      <c r="T7891">
        <v>20324</v>
      </c>
      <c r="U7891">
        <v>23534</v>
      </c>
      <c r="V7891" t="s">
        <v>48</v>
      </c>
    </row>
    <row r="7892" spans="1:22">
      <c r="A7892" t="str">
        <f t="shared" si="1474"/>
        <v>30/10/2025</v>
      </c>
      <c r="B7892" t="str">
        <f>"ENTRADA"</f>
        <v>ENTRADA</v>
      </c>
      <c r="C7892" t="str">
        <f>"DINHEIRO"</f>
        <v>DINHEIRO</v>
      </c>
      <c r="D7892" t="str">
        <f>"3010"</f>
        <v>3010</v>
      </c>
      <c r="E7892" t="str">
        <f>"25"</f>
        <v>25</v>
      </c>
      <c r="F7892" t="str">
        <f t="shared" si="1471"/>
        <v>COM</v>
      </c>
      <c r="G7892" t="str">
        <f t="shared" si="1476"/>
        <v>JAMERSON SOUZA LOPES (749)</v>
      </c>
      <c r="H7892" t="s">
        <v>57</v>
      </c>
      <c r="I7892" t="str">
        <f t="shared" si="1475"/>
        <v>30/10/2025</v>
      </c>
      <c r="J7892" t="str">
        <f>("10/10/2025")</f>
        <v>10/10/2025</v>
      </c>
      <c r="K7892">
        <v>45960</v>
      </c>
      <c r="N7892">
        <v>129</v>
      </c>
      <c r="O7892" t="s">
        <v>58</v>
      </c>
      <c r="Q7892">
        <v>100</v>
      </c>
      <c r="R7892" t="str">
        <f>"JAMERSON SOUZA LOPES (749)"</f>
        <v>JAMERSON SOUZA LOPES (749)</v>
      </c>
      <c r="S7892" t="s">
        <v>59</v>
      </c>
      <c r="T7892">
        <v>20324</v>
      </c>
      <c r="U7892">
        <v>23534</v>
      </c>
      <c r="V7892" t="s">
        <v>48</v>
      </c>
    </row>
    <row r="7893" spans="1:22">
      <c r="A7893" t="str">
        <f t="shared" si="1474"/>
        <v>30/10/2025</v>
      </c>
      <c r="B7893" t="str">
        <f>"ENTRADA"</f>
        <v>ENTRADA</v>
      </c>
      <c r="C7893" t="str">
        <f>"DINHEIRO"</f>
        <v>DINHEIRO</v>
      </c>
      <c r="D7893" t="str">
        <f>"301025"</f>
        <v>301025</v>
      </c>
      <c r="E7893" t="str">
        <f>"25"</f>
        <v>25</v>
      </c>
      <c r="F7893" t="str">
        <f t="shared" si="1471"/>
        <v>COM</v>
      </c>
      <c r="G7893" t="str">
        <f t="shared" si="1476"/>
        <v>JAMERSON SOUZA LOPES (749)</v>
      </c>
      <c r="H7893" t="str">
        <f>"REEMBOLSO VALOR PAGA A MAIS EM DESPESAS DE VIAGEM"</f>
        <v>REEMBOLSO VALOR PAGA A MAIS EM DESPESAS DE VIAGEM</v>
      </c>
      <c r="I7893" t="str">
        <f t="shared" si="1475"/>
        <v>30/10/2025</v>
      </c>
      <c r="J7893" t="str">
        <f>("23/10/2025")</f>
        <v>23/10/2025</v>
      </c>
      <c r="K7893" t="str">
        <f>("30/10/2025")</f>
        <v>30/10/2025</v>
      </c>
      <c r="L7893">
        <v>189.02</v>
      </c>
      <c r="M7893">
        <v>189.02</v>
      </c>
      <c r="N7893">
        <v>129</v>
      </c>
      <c r="O7893" t="str">
        <f>"ENTRADA DE REEMBOLSO ADIANTAMENTO"</f>
        <v>ENTRADA DE REEMBOLSO ADIANTAMENTO</v>
      </c>
      <c r="P7893">
        <v>189.02</v>
      </c>
      <c r="S7893" t="str">
        <f>"ENTRADA DE REEMBOLSO ADIANTAMENTO (129)"</f>
        <v>ENTRADA DE REEMBOLSO ADIANTAMENTO (129)</v>
      </c>
      <c r="T7893">
        <v>20325</v>
      </c>
      <c r="U7893">
        <v>24495</v>
      </c>
      <c r="V7893" t="s">
        <v>48</v>
      </c>
    </row>
    <row r="7894" spans="1:22">
      <c r="A7894" t="str">
        <f t="shared" si="1474"/>
        <v>30/10/2025</v>
      </c>
      <c r="B7894" t="str">
        <f>"SAÍDA"</f>
        <v>SAÍDA</v>
      </c>
      <c r="C7894" t="str">
        <f>"PIX"</f>
        <v>PIX</v>
      </c>
      <c r="D7894" t="str">
        <f>"24423"</f>
        <v>24423</v>
      </c>
      <c r="E7894" t="str">
        <f>"1"</f>
        <v>1</v>
      </c>
      <c r="F7894" t="str">
        <f t="shared" si="1471"/>
        <v>COM</v>
      </c>
      <c r="G7894" t="str">
        <f t="shared" si="1476"/>
        <v>JAMERSON SOUZA LOPES (749)</v>
      </c>
      <c r="H7894" t="str">
        <f>"Serv.Prest. 20/10/2025 a 26/10/2025 - PIX: CPF - CHAVE: 423.098.018-36"</f>
        <v>Serv.Prest. 20/10/2025 a 26/10/2025 - PIX: CPF - CHAVE: 423.098.018-36</v>
      </c>
      <c r="I7894" t="str">
        <f t="shared" si="1475"/>
        <v>30/10/2025</v>
      </c>
      <c r="J7894" t="str">
        <f>("27/10/2025")</f>
        <v>27/10/2025</v>
      </c>
      <c r="K7894" t="str">
        <f>("30/10/2025")</f>
        <v>30/10/2025</v>
      </c>
      <c r="L7894">
        <v>189.02</v>
      </c>
      <c r="M7894">
        <v>189.02</v>
      </c>
      <c r="N7894">
        <v>109</v>
      </c>
      <c r="O7894" t="str">
        <f>"PAGAMENTO DE ENTREGADORES"</f>
        <v>PAGAMENTO DE ENTREGADORES</v>
      </c>
      <c r="P7894">
        <v>189.02</v>
      </c>
      <c r="S7894" t="str">
        <f>"CAIXA MOVIMENTAÇÃO OPERACIONAL (132)"</f>
        <v>CAIXA MOVIMENTAÇÃO OPERACIONAL (132)</v>
      </c>
      <c r="T7894">
        <v>20326</v>
      </c>
      <c r="U7894">
        <v>24494</v>
      </c>
      <c r="V7894" t="s">
        <v>48</v>
      </c>
    </row>
    <row r="7895" spans="1:22">
      <c r="A7895" t="str">
        <f t="shared" si="1474"/>
        <v>30/10/2025</v>
      </c>
      <c r="B7895" t="str">
        <f>"SAÍDA"</f>
        <v>SAÍDA</v>
      </c>
      <c r="C7895" t="str">
        <f>"PIX"</f>
        <v>PIX</v>
      </c>
      <c r="D7895" t="str">
        <f>"24423"</f>
        <v>24423</v>
      </c>
      <c r="E7895" t="str">
        <f>"1"</f>
        <v>1</v>
      </c>
      <c r="F7895" t="str">
        <f t="shared" si="1471"/>
        <v>COM</v>
      </c>
      <c r="G7895" t="str">
        <f t="shared" si="1476"/>
        <v>JAMERSON SOUZA LOPES (749)</v>
      </c>
      <c r="H7895" t="s">
        <v>2146</v>
      </c>
      <c r="I7895" t="str">
        <f t="shared" si="1475"/>
        <v>30/10/2025</v>
      </c>
      <c r="J7895" t="str">
        <f>("27/10/2025")</f>
        <v>27/10/2025</v>
      </c>
      <c r="K7895">
        <v>45960</v>
      </c>
      <c r="N7895">
        <v>109</v>
      </c>
      <c r="O7895" t="s">
        <v>24</v>
      </c>
      <c r="Q7895">
        <v>189.02</v>
      </c>
      <c r="R7895" t="str">
        <f>"DROGARIA TOTAL JUNDIAI (10177)"</f>
        <v>DROGARIA TOTAL JUNDIAI (10177)</v>
      </c>
      <c r="S7895" t="s">
        <v>48</v>
      </c>
      <c r="T7895">
        <v>20326</v>
      </c>
      <c r="U7895">
        <v>24494</v>
      </c>
      <c r="V7895" t="s">
        <v>48</v>
      </c>
    </row>
    <row r="7896" spans="1:22">
      <c r="A7896" t="str">
        <f t="shared" si="1474"/>
        <v>30/10/2025</v>
      </c>
      <c r="B7896" t="str">
        <f>"SAÍDA"</f>
        <v>SAÍDA</v>
      </c>
      <c r="C7896" t="str">
        <f>"PIX"</f>
        <v>PIX</v>
      </c>
      <c r="D7896" t="str">
        <f>"24050"</f>
        <v>24050</v>
      </c>
      <c r="E7896" t="str">
        <f>"1"</f>
        <v>1</v>
      </c>
      <c r="F7896" t="str">
        <f t="shared" si="1471"/>
        <v>COM</v>
      </c>
      <c r="G7896" t="str">
        <f>"PEDRO HENRIQUE DA SILVA COSTA OLIVEIRA (852)"</f>
        <v>PEDRO HENRIQUE DA SILVA COSTA OLIVEIRA (852)</v>
      </c>
      <c r="H7896" t="str">
        <f>"Serv.Prest. 13/10/2025 a 19/10/2025 - PIX: E-MAIL - CHAVE: sypedrinho@gmail.com"</f>
        <v>Serv.Prest. 13/10/2025 a 19/10/2025 - PIX: E-MAIL - CHAVE: sypedrinho@gmail.com</v>
      </c>
      <c r="I7896" t="str">
        <f t="shared" si="1475"/>
        <v>30/10/2025</v>
      </c>
      <c r="J7896" t="str">
        <f>("21/10/2025")</f>
        <v>21/10/2025</v>
      </c>
      <c r="K7896" t="str">
        <f>("30/10/2025")</f>
        <v>30/10/2025</v>
      </c>
      <c r="L7896">
        <v>100</v>
      </c>
      <c r="M7896">
        <v>100</v>
      </c>
      <c r="N7896">
        <v>109</v>
      </c>
      <c r="O7896" t="str">
        <f>"PAGAMENTO DE ENTREGADORES"</f>
        <v>PAGAMENTO DE ENTREGADORES</v>
      </c>
      <c r="P7896">
        <v>100</v>
      </c>
      <c r="S7896" t="str">
        <f>"CAIXA MOVIMENTAÇÃO OPERACIONAL (132)"</f>
        <v>CAIXA MOVIMENTAÇÃO OPERACIONAL (132)</v>
      </c>
      <c r="T7896">
        <v>20327</v>
      </c>
      <c r="U7896">
        <v>24496</v>
      </c>
      <c r="V7896" t="s">
        <v>48</v>
      </c>
    </row>
    <row r="7897" spans="1:22">
      <c r="A7897" t="str">
        <f t="shared" si="1474"/>
        <v>30/10/2025</v>
      </c>
      <c r="B7897" t="str">
        <f>"SAÍDA"</f>
        <v>SAÍDA</v>
      </c>
      <c r="C7897" t="str">
        <f>"PIX"</f>
        <v>PIX</v>
      </c>
      <c r="D7897" t="str">
        <f>"24050"</f>
        <v>24050</v>
      </c>
      <c r="E7897" t="str">
        <f>"1"</f>
        <v>1</v>
      </c>
      <c r="F7897" t="str">
        <f t="shared" si="1471"/>
        <v>COM</v>
      </c>
      <c r="G7897" t="str">
        <f>"PEDRO HENRIQUE DA SILVA COSTA OLIVEIRA (852)"</f>
        <v>PEDRO HENRIQUE DA SILVA COSTA OLIVEIRA (852)</v>
      </c>
      <c r="H7897" t="s">
        <v>2188</v>
      </c>
      <c r="I7897" t="str">
        <f t="shared" si="1475"/>
        <v>30/10/2025</v>
      </c>
      <c r="J7897" t="str">
        <f>("21/10/2025")</f>
        <v>21/10/2025</v>
      </c>
      <c r="K7897">
        <v>45960</v>
      </c>
      <c r="N7897">
        <v>109</v>
      </c>
      <c r="O7897" t="s">
        <v>24</v>
      </c>
      <c r="Q7897">
        <v>100</v>
      </c>
      <c r="R7897" t="str">
        <f>"FARMÁCIA INDIANA LJ 110 (10048)"</f>
        <v>FARMÁCIA INDIANA LJ 110 (10048)</v>
      </c>
      <c r="S7897" t="s">
        <v>48</v>
      </c>
      <c r="T7897">
        <v>20327</v>
      </c>
      <c r="U7897">
        <v>24496</v>
      </c>
      <c r="V7897" t="s">
        <v>48</v>
      </c>
    </row>
    <row r="7898" spans="1:22">
      <c r="A7898" t="str">
        <f t="shared" si="1474"/>
        <v>30/10/2025</v>
      </c>
      <c r="B7898" t="str">
        <f>"ENTRADA"</f>
        <v>ENTRADA</v>
      </c>
      <c r="C7898" t="str">
        <f>"DINHEIRO"</f>
        <v>DINHEIRO</v>
      </c>
      <c r="D7898" t="str">
        <f>"3010"</f>
        <v>3010</v>
      </c>
      <c r="E7898" t="str">
        <f>"25"</f>
        <v>25</v>
      </c>
      <c r="F7898" t="str">
        <f t="shared" si="1471"/>
        <v>COM</v>
      </c>
      <c r="G7898" t="str">
        <f>"PEDRO HENRIQUE DA SILVA COSTA OLIVEIRA (852)"</f>
        <v>PEDRO HENRIQUE DA SILVA COSTA OLIVEIRA (852)</v>
      </c>
      <c r="H7898" t="str">
        <f>"REEMBOLSO ADIANTAMENTO"</f>
        <v>REEMBOLSO ADIANTAMENTO</v>
      </c>
      <c r="I7898" t="str">
        <f t="shared" si="1475"/>
        <v>30/10/2025</v>
      </c>
      <c r="J7898" t="str">
        <f>("12/09/2025")</f>
        <v>12/09/2025</v>
      </c>
      <c r="K7898" t="str">
        <f>("30/10/2025")</f>
        <v>30/10/2025</v>
      </c>
      <c r="L7898">
        <v>100</v>
      </c>
      <c r="M7898">
        <v>100</v>
      </c>
      <c r="N7898">
        <v>129</v>
      </c>
      <c r="O7898" t="str">
        <f>"ENTRADA DE REEMBOLSO ADIANTAMENTO"</f>
        <v>ENTRADA DE REEMBOLSO ADIANTAMENTO</v>
      </c>
      <c r="P7898">
        <v>100</v>
      </c>
      <c r="S7898" t="str">
        <f>"ENTRADA DE REEMBOLSO ADIANTAMENTO (129)"</f>
        <v>ENTRADA DE REEMBOLSO ADIANTAMENTO (129)</v>
      </c>
      <c r="T7898">
        <v>20328</v>
      </c>
      <c r="U7898">
        <v>21950</v>
      </c>
      <c r="V7898" t="s">
        <v>48</v>
      </c>
    </row>
    <row r="7899" spans="1:22">
      <c r="A7899" t="str">
        <f t="shared" si="1474"/>
        <v>30/10/2025</v>
      </c>
      <c r="B7899" t="str">
        <f>"ENTRADA"</f>
        <v>ENTRADA</v>
      </c>
      <c r="C7899" t="str">
        <f>"DINHEIRO"</f>
        <v>DINHEIRO</v>
      </c>
      <c r="D7899" t="str">
        <f>"3010"</f>
        <v>3010</v>
      </c>
      <c r="E7899" t="str">
        <f>"25"</f>
        <v>25</v>
      </c>
      <c r="F7899" t="str">
        <f t="shared" si="1471"/>
        <v>COM</v>
      </c>
      <c r="G7899" t="str">
        <f>"PEDRO HENRIQUE DA SILVA COSTA OLIVEIRA (852)"</f>
        <v>PEDRO HENRIQUE DA SILVA COSTA OLIVEIRA (852)</v>
      </c>
      <c r="H7899" t="s">
        <v>57</v>
      </c>
      <c r="I7899" t="str">
        <f t="shared" si="1475"/>
        <v>30/10/2025</v>
      </c>
      <c r="J7899" t="str">
        <f>("12/09/2025")</f>
        <v>12/09/2025</v>
      </c>
      <c r="K7899">
        <v>45960</v>
      </c>
      <c r="N7899">
        <v>129</v>
      </c>
      <c r="O7899" t="s">
        <v>58</v>
      </c>
      <c r="Q7899">
        <v>100</v>
      </c>
      <c r="R7899" t="str">
        <f>"PEDRO HENRIQUE DA SILVA COSTA OLIVEIRA (852)"</f>
        <v>PEDRO HENRIQUE DA SILVA COSTA OLIVEIRA (852)</v>
      </c>
      <c r="S7899" t="s">
        <v>59</v>
      </c>
      <c r="T7899">
        <v>20328</v>
      </c>
      <c r="U7899">
        <v>21950</v>
      </c>
      <c r="V7899" t="s">
        <v>48</v>
      </c>
    </row>
    <row r="7900" spans="1:22">
      <c r="A7900" t="str">
        <f t="shared" si="1474"/>
        <v>30/10/2025</v>
      </c>
      <c r="B7900" t="str">
        <f t="shared" ref="B7900:B7927" si="1477">"SAÍDA"</f>
        <v>SAÍDA</v>
      </c>
      <c r="C7900" t="str">
        <f t="shared" ref="C7900:C7927" si="1478">"PIX"</f>
        <v>PIX</v>
      </c>
      <c r="D7900" t="str">
        <f>"24520"</f>
        <v>24520</v>
      </c>
      <c r="E7900" t="str">
        <f t="shared" ref="E7900:E7931" si="1479">"1"</f>
        <v>1</v>
      </c>
      <c r="F7900" t="str">
        <f t="shared" si="1471"/>
        <v>COM</v>
      </c>
      <c r="G7900" t="str">
        <f t="shared" ref="G7900:G7907" si="1480">"HANDREY RAFAEL TEODORO GEROLIM (1029)"</f>
        <v>HANDREY RAFAEL TEODORO GEROLIM (1029)</v>
      </c>
      <c r="H7900" t="str">
        <f>"Serv.Prest. 20/10/2025 a 26/10/2025 - PIX: CPF - CHAVE: 126.720.606-30"</f>
        <v>Serv.Prest. 20/10/2025 a 26/10/2025 - PIX: CPF - CHAVE: 126.720.606-30</v>
      </c>
      <c r="I7900" t="str">
        <f t="shared" si="1475"/>
        <v>30/10/2025</v>
      </c>
      <c r="J7900" t="str">
        <f>("30/10/2025")</f>
        <v>30/10/2025</v>
      </c>
      <c r="K7900" t="str">
        <f>("30/10/2025")</f>
        <v>30/10/2025</v>
      </c>
      <c r="L7900">
        <v>33</v>
      </c>
      <c r="M7900">
        <v>33</v>
      </c>
      <c r="N7900">
        <v>109</v>
      </c>
      <c r="O7900" t="str">
        <f>"PAGAMENTO DE ENTREGADORES"</f>
        <v>PAGAMENTO DE ENTREGADORES</v>
      </c>
      <c r="P7900">
        <v>33</v>
      </c>
      <c r="S7900" t="str">
        <f>"BANCO CORA (102)"</f>
        <v>BANCO CORA (102)</v>
      </c>
      <c r="T7900">
        <v>20348</v>
      </c>
      <c r="U7900">
        <v>24520</v>
      </c>
      <c r="V7900" t="s">
        <v>22</v>
      </c>
    </row>
    <row r="7901" spans="1:22">
      <c r="A7901" t="str">
        <f t="shared" si="1474"/>
        <v>30/10/2025</v>
      </c>
      <c r="B7901" t="str">
        <f t="shared" si="1477"/>
        <v>SAÍDA</v>
      </c>
      <c r="C7901" t="str">
        <f t="shared" si="1478"/>
        <v>PIX</v>
      </c>
      <c r="D7901" t="str">
        <f>"24520"</f>
        <v>24520</v>
      </c>
      <c r="E7901" t="str">
        <f t="shared" si="1479"/>
        <v>1</v>
      </c>
      <c r="F7901" t="str">
        <f t="shared" si="1471"/>
        <v>COM</v>
      </c>
      <c r="G7901" t="str">
        <f t="shared" si="1480"/>
        <v>HANDREY RAFAEL TEODORO GEROLIM (1029)</v>
      </c>
      <c r="H7901" t="s">
        <v>2189</v>
      </c>
      <c r="I7901" t="str">
        <f t="shared" si="1475"/>
        <v>30/10/2025</v>
      </c>
      <c r="J7901" t="str">
        <f t="shared" ref="J7901:J7923" si="1481">("30/10/2025")</f>
        <v>30/10/2025</v>
      </c>
      <c r="K7901">
        <v>45960</v>
      </c>
      <c r="N7901">
        <v>109</v>
      </c>
      <c r="O7901" t="s">
        <v>24</v>
      </c>
      <c r="Q7901">
        <v>33</v>
      </c>
      <c r="R7901" t="str">
        <f>"DROGALIDER 25 (10246)"</f>
        <v>DROGALIDER 25 (10246)</v>
      </c>
      <c r="S7901" t="s">
        <v>22</v>
      </c>
      <c r="T7901">
        <v>20348</v>
      </c>
      <c r="U7901">
        <v>24520</v>
      </c>
      <c r="V7901" t="s">
        <v>22</v>
      </c>
    </row>
    <row r="7902" spans="1:22">
      <c r="A7902" t="str">
        <f t="shared" si="1474"/>
        <v>30/10/2025</v>
      </c>
      <c r="B7902" t="str">
        <f t="shared" si="1477"/>
        <v>SAÍDA</v>
      </c>
      <c r="C7902" t="str">
        <f t="shared" si="1478"/>
        <v>PIX</v>
      </c>
      <c r="D7902" t="str">
        <f>"24524"</f>
        <v>24524</v>
      </c>
      <c r="E7902" t="str">
        <f t="shared" si="1479"/>
        <v>1</v>
      </c>
      <c r="F7902" t="str">
        <f t="shared" si="1471"/>
        <v>COM</v>
      </c>
      <c r="G7902" t="str">
        <f t="shared" si="1480"/>
        <v>HANDREY RAFAEL TEODORO GEROLIM (1029)</v>
      </c>
      <c r="H7902" t="str">
        <f>"Serv.Prest. 20/10/2025 a 26/10/2025 - PIX: CPF - CHAVE: 126.720.606-30"</f>
        <v>Serv.Prest. 20/10/2025 a 26/10/2025 - PIX: CPF - CHAVE: 126.720.606-30</v>
      </c>
      <c r="I7902" t="str">
        <f t="shared" si="1475"/>
        <v>30/10/2025</v>
      </c>
      <c r="J7902" t="str">
        <f t="shared" si="1481"/>
        <v>30/10/2025</v>
      </c>
      <c r="K7902" t="str">
        <f>("30/10/2025")</f>
        <v>30/10/2025</v>
      </c>
      <c r="L7902">
        <v>33</v>
      </c>
      <c r="M7902">
        <v>33</v>
      </c>
      <c r="N7902">
        <v>109</v>
      </c>
      <c r="O7902" t="str">
        <f>"PAGAMENTO DE ENTREGADORES"</f>
        <v>PAGAMENTO DE ENTREGADORES</v>
      </c>
      <c r="S7902" t="str">
        <f>"BANCO CORA (102)"</f>
        <v>BANCO CORA (102)</v>
      </c>
      <c r="T7902">
        <v>20348</v>
      </c>
      <c r="U7902">
        <v>24524</v>
      </c>
      <c r="V7902" t="s">
        <v>22</v>
      </c>
    </row>
    <row r="7903" spans="1:22">
      <c r="A7903" t="str">
        <f t="shared" si="1474"/>
        <v>30/10/2025</v>
      </c>
      <c r="B7903" t="str">
        <f t="shared" si="1477"/>
        <v>SAÍDA</v>
      </c>
      <c r="C7903" t="str">
        <f t="shared" si="1478"/>
        <v>PIX</v>
      </c>
      <c r="D7903" t="str">
        <f>"24524"</f>
        <v>24524</v>
      </c>
      <c r="E7903" t="str">
        <f t="shared" si="1479"/>
        <v>1</v>
      </c>
      <c r="F7903" t="str">
        <f t="shared" si="1471"/>
        <v>COM</v>
      </c>
      <c r="G7903" t="str">
        <f t="shared" si="1480"/>
        <v>HANDREY RAFAEL TEODORO GEROLIM (1029)</v>
      </c>
      <c r="H7903" t="s">
        <v>2189</v>
      </c>
      <c r="I7903" t="str">
        <f t="shared" si="1475"/>
        <v>30/10/2025</v>
      </c>
      <c r="J7903" t="str">
        <f t="shared" si="1481"/>
        <v>30/10/2025</v>
      </c>
      <c r="K7903">
        <v>45960</v>
      </c>
      <c r="N7903">
        <v>109</v>
      </c>
      <c r="O7903" t="s">
        <v>24</v>
      </c>
      <c r="Q7903">
        <v>33</v>
      </c>
      <c r="R7903" t="str">
        <f>"DROGALIDER 46 (10248)"</f>
        <v>DROGALIDER 46 (10248)</v>
      </c>
      <c r="S7903" t="s">
        <v>22</v>
      </c>
      <c r="T7903">
        <v>20348</v>
      </c>
      <c r="U7903">
        <v>24524</v>
      </c>
      <c r="V7903" t="s">
        <v>22</v>
      </c>
    </row>
    <row r="7904" spans="1:22">
      <c r="A7904" t="str">
        <f t="shared" si="1474"/>
        <v>30/10/2025</v>
      </c>
      <c r="B7904" t="str">
        <f t="shared" si="1477"/>
        <v>SAÍDA</v>
      </c>
      <c r="C7904" t="str">
        <f t="shared" si="1478"/>
        <v>PIX</v>
      </c>
      <c r="D7904" t="str">
        <f>"24529"</f>
        <v>24529</v>
      </c>
      <c r="E7904" t="str">
        <f t="shared" si="1479"/>
        <v>1</v>
      </c>
      <c r="F7904" t="str">
        <f t="shared" si="1471"/>
        <v>COM</v>
      </c>
      <c r="G7904" t="str">
        <f t="shared" si="1480"/>
        <v>HANDREY RAFAEL TEODORO GEROLIM (1029)</v>
      </c>
      <c r="H7904" t="str">
        <f>"Serv.Prest. 20/10/2025 a 26/10/2025 - PIX: CPF - CHAVE: 126.720.606-30"</f>
        <v>Serv.Prest. 20/10/2025 a 26/10/2025 - PIX: CPF - CHAVE: 126.720.606-30</v>
      </c>
      <c r="I7904" t="str">
        <f t="shared" si="1475"/>
        <v>30/10/2025</v>
      </c>
      <c r="J7904" t="str">
        <f t="shared" si="1481"/>
        <v>30/10/2025</v>
      </c>
      <c r="K7904" t="str">
        <f>("30/10/2025")</f>
        <v>30/10/2025</v>
      </c>
      <c r="L7904">
        <v>33</v>
      </c>
      <c r="M7904">
        <v>33</v>
      </c>
      <c r="N7904">
        <v>109</v>
      </c>
      <c r="O7904" t="str">
        <f>"PAGAMENTO DE ENTREGADORES"</f>
        <v>PAGAMENTO DE ENTREGADORES</v>
      </c>
      <c r="S7904" t="str">
        <f>"BANCO CORA (102)"</f>
        <v>BANCO CORA (102)</v>
      </c>
      <c r="T7904">
        <v>20348</v>
      </c>
      <c r="U7904">
        <v>24529</v>
      </c>
      <c r="V7904" t="s">
        <v>22</v>
      </c>
    </row>
    <row r="7905" spans="1:22">
      <c r="A7905" t="str">
        <f t="shared" si="1474"/>
        <v>30/10/2025</v>
      </c>
      <c r="B7905" t="str">
        <f t="shared" si="1477"/>
        <v>SAÍDA</v>
      </c>
      <c r="C7905" t="str">
        <f t="shared" si="1478"/>
        <v>PIX</v>
      </c>
      <c r="D7905" t="str">
        <f>"24529"</f>
        <v>24529</v>
      </c>
      <c r="E7905" t="str">
        <f t="shared" si="1479"/>
        <v>1</v>
      </c>
      <c r="F7905" t="str">
        <f t="shared" si="1471"/>
        <v>COM</v>
      </c>
      <c r="G7905" t="str">
        <f t="shared" si="1480"/>
        <v>HANDREY RAFAEL TEODORO GEROLIM (1029)</v>
      </c>
      <c r="H7905" t="s">
        <v>2189</v>
      </c>
      <c r="I7905" t="str">
        <f t="shared" si="1475"/>
        <v>30/10/2025</v>
      </c>
      <c r="J7905" t="str">
        <f t="shared" si="1481"/>
        <v>30/10/2025</v>
      </c>
      <c r="K7905">
        <v>45960</v>
      </c>
      <c r="N7905">
        <v>109</v>
      </c>
      <c r="O7905" t="s">
        <v>24</v>
      </c>
      <c r="Q7905">
        <v>33</v>
      </c>
      <c r="R7905" t="str">
        <f>"DROGALIDER 58 (10213)"</f>
        <v>DROGALIDER 58 (10213)</v>
      </c>
      <c r="S7905" t="s">
        <v>22</v>
      </c>
      <c r="T7905">
        <v>20348</v>
      </c>
      <c r="U7905">
        <v>24529</v>
      </c>
      <c r="V7905" t="s">
        <v>22</v>
      </c>
    </row>
    <row r="7906" spans="1:22">
      <c r="A7906" t="str">
        <f t="shared" si="1474"/>
        <v>30/10/2025</v>
      </c>
      <c r="B7906" t="str">
        <f t="shared" si="1477"/>
        <v>SAÍDA</v>
      </c>
      <c r="C7906" t="str">
        <f t="shared" si="1478"/>
        <v>PIX</v>
      </c>
      <c r="D7906" t="str">
        <f>"24533"</f>
        <v>24533</v>
      </c>
      <c r="E7906" t="str">
        <f t="shared" si="1479"/>
        <v>1</v>
      </c>
      <c r="F7906" t="str">
        <f t="shared" si="1471"/>
        <v>COM</v>
      </c>
      <c r="G7906" t="str">
        <f t="shared" si="1480"/>
        <v>HANDREY RAFAEL TEODORO GEROLIM (1029)</v>
      </c>
      <c r="H7906" t="str">
        <f>"Serv.Prest. 20/10/2025 a 26/10/2025 - PIX: CPF - CHAVE: 126.720.606-30"</f>
        <v>Serv.Prest. 20/10/2025 a 26/10/2025 - PIX: CPF - CHAVE: 126.720.606-30</v>
      </c>
      <c r="I7906" t="str">
        <f t="shared" si="1475"/>
        <v>30/10/2025</v>
      </c>
      <c r="J7906" t="str">
        <f t="shared" si="1481"/>
        <v>30/10/2025</v>
      </c>
      <c r="K7906" t="str">
        <f>("30/10/2025")</f>
        <v>30/10/2025</v>
      </c>
      <c r="L7906">
        <v>33</v>
      </c>
      <c r="M7906">
        <v>31</v>
      </c>
      <c r="N7906">
        <v>109</v>
      </c>
      <c r="O7906" t="str">
        <f>"PAGAMENTO DE ENTREGADORES"</f>
        <v>PAGAMENTO DE ENTREGADORES</v>
      </c>
      <c r="S7906" t="str">
        <f>"BANCO CORA (102)"</f>
        <v>BANCO CORA (102)</v>
      </c>
      <c r="T7906">
        <v>20348</v>
      </c>
      <c r="U7906">
        <v>24533</v>
      </c>
      <c r="V7906" t="s">
        <v>22</v>
      </c>
    </row>
    <row r="7907" spans="1:22">
      <c r="A7907" t="str">
        <f t="shared" si="1474"/>
        <v>30/10/2025</v>
      </c>
      <c r="B7907" t="str">
        <f t="shared" si="1477"/>
        <v>SAÍDA</v>
      </c>
      <c r="C7907" t="str">
        <f t="shared" si="1478"/>
        <v>PIX</v>
      </c>
      <c r="D7907" t="str">
        <f>"24533"</f>
        <v>24533</v>
      </c>
      <c r="E7907" t="str">
        <f t="shared" si="1479"/>
        <v>1</v>
      </c>
      <c r="F7907" t="str">
        <f t="shared" si="1471"/>
        <v>COM</v>
      </c>
      <c r="G7907" t="str">
        <f t="shared" si="1480"/>
        <v>HANDREY RAFAEL TEODORO GEROLIM (1029)</v>
      </c>
      <c r="H7907" t="s">
        <v>2189</v>
      </c>
      <c r="I7907" t="str">
        <f t="shared" si="1475"/>
        <v>30/10/2025</v>
      </c>
      <c r="J7907" t="str">
        <f t="shared" si="1481"/>
        <v>30/10/2025</v>
      </c>
      <c r="K7907">
        <v>45960</v>
      </c>
      <c r="N7907">
        <v>109</v>
      </c>
      <c r="O7907" t="s">
        <v>24</v>
      </c>
      <c r="Q7907">
        <v>31</v>
      </c>
      <c r="R7907" t="str">
        <f>"DROGALIDER 64 (10250)"</f>
        <v>DROGALIDER 64 (10250)</v>
      </c>
      <c r="S7907" t="s">
        <v>22</v>
      </c>
      <c r="T7907">
        <v>20348</v>
      </c>
      <c r="U7907">
        <v>24533</v>
      </c>
      <c r="V7907" t="s">
        <v>22</v>
      </c>
    </row>
    <row r="7908" spans="1:22">
      <c r="A7908" t="str">
        <f t="shared" si="1474"/>
        <v>30/10/2025</v>
      </c>
      <c r="B7908" t="str">
        <f t="shared" si="1477"/>
        <v>SAÍDA</v>
      </c>
      <c r="C7908" t="str">
        <f t="shared" si="1478"/>
        <v>PIX</v>
      </c>
      <c r="D7908" t="str">
        <f>"24521"</f>
        <v>24521</v>
      </c>
      <c r="E7908" t="str">
        <f t="shared" si="1479"/>
        <v>1</v>
      </c>
      <c r="F7908" t="str">
        <f t="shared" si="1471"/>
        <v>COM</v>
      </c>
      <c r="G7908" t="str">
        <f t="shared" ref="G7908:G7913" si="1482">"MICHELLE RIBEIRO DA SILVA (1012)"</f>
        <v>MICHELLE RIBEIRO DA SILVA (1012)</v>
      </c>
      <c r="H7908" t="str">
        <f>"Serv.Prest. 20/10/2025 a 26/10/2025 - PIX: CPF - CHAVE: 115.519.146-38"</f>
        <v>Serv.Prest. 20/10/2025 a 26/10/2025 - PIX: CPF - CHAVE: 115.519.146-38</v>
      </c>
      <c r="I7908" t="str">
        <f t="shared" si="1475"/>
        <v>30/10/2025</v>
      </c>
      <c r="J7908" t="str">
        <f t="shared" si="1481"/>
        <v>30/10/2025</v>
      </c>
      <c r="K7908" t="str">
        <f>("30/10/2025")</f>
        <v>30/10/2025</v>
      </c>
      <c r="L7908">
        <v>103</v>
      </c>
      <c r="M7908">
        <v>139</v>
      </c>
      <c r="N7908">
        <v>109</v>
      </c>
      <c r="O7908" t="str">
        <f>"PAGAMENTO DE ENTREGADORES"</f>
        <v>PAGAMENTO DE ENTREGADORES</v>
      </c>
      <c r="P7908">
        <v>139</v>
      </c>
      <c r="S7908" t="str">
        <f>"BANCO CORA (102)"</f>
        <v>BANCO CORA (102)</v>
      </c>
      <c r="T7908">
        <v>20349</v>
      </c>
      <c r="U7908">
        <v>24521</v>
      </c>
      <c r="V7908" t="s">
        <v>22</v>
      </c>
    </row>
    <row r="7909" spans="1:22">
      <c r="A7909" t="str">
        <f t="shared" si="1474"/>
        <v>30/10/2025</v>
      </c>
      <c r="B7909" t="str">
        <f t="shared" si="1477"/>
        <v>SAÍDA</v>
      </c>
      <c r="C7909" t="str">
        <f t="shared" si="1478"/>
        <v>PIX</v>
      </c>
      <c r="D7909" t="str">
        <f>"24521"</f>
        <v>24521</v>
      </c>
      <c r="E7909" t="str">
        <f t="shared" si="1479"/>
        <v>1</v>
      </c>
      <c r="F7909" t="str">
        <f t="shared" si="1471"/>
        <v>COM</v>
      </c>
      <c r="G7909" t="str">
        <f t="shared" si="1482"/>
        <v>MICHELLE RIBEIRO DA SILVA (1012)</v>
      </c>
      <c r="H7909" t="s">
        <v>2131</v>
      </c>
      <c r="I7909" t="str">
        <f t="shared" si="1475"/>
        <v>30/10/2025</v>
      </c>
      <c r="J7909" t="str">
        <f t="shared" si="1481"/>
        <v>30/10/2025</v>
      </c>
      <c r="K7909">
        <v>45960</v>
      </c>
      <c r="N7909">
        <v>109</v>
      </c>
      <c r="O7909" t="s">
        <v>24</v>
      </c>
      <c r="Q7909">
        <v>139</v>
      </c>
      <c r="R7909" t="str">
        <f>"DROGALIDER 25 (10246)"</f>
        <v>DROGALIDER 25 (10246)</v>
      </c>
      <c r="S7909" t="s">
        <v>22</v>
      </c>
      <c r="T7909">
        <v>20349</v>
      </c>
      <c r="U7909">
        <v>24521</v>
      </c>
      <c r="V7909" t="s">
        <v>22</v>
      </c>
    </row>
    <row r="7910" spans="1:22">
      <c r="A7910" t="str">
        <f t="shared" si="1474"/>
        <v>30/10/2025</v>
      </c>
      <c r="B7910" t="str">
        <f t="shared" si="1477"/>
        <v>SAÍDA</v>
      </c>
      <c r="C7910" t="str">
        <f t="shared" si="1478"/>
        <v>PIX</v>
      </c>
      <c r="D7910" t="str">
        <f>"24525"</f>
        <v>24525</v>
      </c>
      <c r="E7910" t="str">
        <f t="shared" si="1479"/>
        <v>1</v>
      </c>
      <c r="F7910" t="str">
        <f t="shared" si="1471"/>
        <v>COM</v>
      </c>
      <c r="G7910" t="str">
        <f t="shared" si="1482"/>
        <v>MICHELLE RIBEIRO DA SILVA (1012)</v>
      </c>
      <c r="H7910" t="str">
        <f>"Serv.Prest. 20/10/2025 a 26/10/2025 - PIX: CPF - CHAVE: 115.519.146-38"</f>
        <v>Serv.Prest. 20/10/2025 a 26/10/2025 - PIX: CPF - CHAVE: 115.519.146-38</v>
      </c>
      <c r="I7910" t="str">
        <f t="shared" si="1475"/>
        <v>30/10/2025</v>
      </c>
      <c r="J7910" t="str">
        <f t="shared" si="1481"/>
        <v>30/10/2025</v>
      </c>
      <c r="K7910" t="str">
        <f>("30/10/2025")</f>
        <v>30/10/2025</v>
      </c>
      <c r="L7910">
        <v>103</v>
      </c>
      <c r="M7910">
        <v>103</v>
      </c>
      <c r="N7910">
        <v>109</v>
      </c>
      <c r="O7910" t="str">
        <f>"PAGAMENTO DE ENTREGADORES"</f>
        <v>PAGAMENTO DE ENTREGADORES</v>
      </c>
      <c r="S7910" t="str">
        <f>"BANCO CORA (102)"</f>
        <v>BANCO CORA (102)</v>
      </c>
      <c r="T7910">
        <v>20349</v>
      </c>
      <c r="U7910">
        <v>24525</v>
      </c>
      <c r="V7910" t="s">
        <v>22</v>
      </c>
    </row>
    <row r="7911" spans="1:22">
      <c r="A7911" t="str">
        <f t="shared" si="1474"/>
        <v>30/10/2025</v>
      </c>
      <c r="B7911" t="str">
        <f t="shared" si="1477"/>
        <v>SAÍDA</v>
      </c>
      <c r="C7911" t="str">
        <f t="shared" si="1478"/>
        <v>PIX</v>
      </c>
      <c r="D7911" t="str">
        <f>"24525"</f>
        <v>24525</v>
      </c>
      <c r="E7911" t="str">
        <f t="shared" si="1479"/>
        <v>1</v>
      </c>
      <c r="F7911" t="str">
        <f t="shared" si="1471"/>
        <v>COM</v>
      </c>
      <c r="G7911" t="str">
        <f t="shared" si="1482"/>
        <v>MICHELLE RIBEIRO DA SILVA (1012)</v>
      </c>
      <c r="H7911" t="s">
        <v>2131</v>
      </c>
      <c r="I7911" t="str">
        <f t="shared" si="1475"/>
        <v>30/10/2025</v>
      </c>
      <c r="J7911" t="str">
        <f t="shared" si="1481"/>
        <v>30/10/2025</v>
      </c>
      <c r="K7911">
        <v>45960</v>
      </c>
      <c r="N7911">
        <v>109</v>
      </c>
      <c r="O7911" t="s">
        <v>24</v>
      </c>
      <c r="Q7911">
        <v>103</v>
      </c>
      <c r="R7911" t="str">
        <f>"DROGALIDER 46 (10248)"</f>
        <v>DROGALIDER 46 (10248)</v>
      </c>
      <c r="S7911" t="s">
        <v>22</v>
      </c>
      <c r="T7911">
        <v>20349</v>
      </c>
      <c r="U7911">
        <v>24525</v>
      </c>
      <c r="V7911" t="s">
        <v>22</v>
      </c>
    </row>
    <row r="7912" spans="1:22">
      <c r="A7912" t="str">
        <f t="shared" si="1474"/>
        <v>30/10/2025</v>
      </c>
      <c r="B7912" t="str">
        <f t="shared" si="1477"/>
        <v>SAÍDA</v>
      </c>
      <c r="C7912" t="str">
        <f t="shared" si="1478"/>
        <v>PIX</v>
      </c>
      <c r="D7912" t="str">
        <f>"24530"</f>
        <v>24530</v>
      </c>
      <c r="E7912" t="str">
        <f t="shared" si="1479"/>
        <v>1</v>
      </c>
      <c r="F7912" t="str">
        <f t="shared" si="1471"/>
        <v>COM</v>
      </c>
      <c r="G7912" t="str">
        <f t="shared" si="1482"/>
        <v>MICHELLE RIBEIRO DA SILVA (1012)</v>
      </c>
      <c r="H7912" t="str">
        <f>"Serv.Prest. 20/10/2025 a 26/10/2025 - PIX: CPF - CHAVE: 115.519.146-38"</f>
        <v>Serv.Prest. 20/10/2025 a 26/10/2025 - PIX: CPF - CHAVE: 115.519.146-38</v>
      </c>
      <c r="I7912" t="str">
        <f t="shared" si="1475"/>
        <v>30/10/2025</v>
      </c>
      <c r="J7912" t="str">
        <f t="shared" si="1481"/>
        <v>30/10/2025</v>
      </c>
      <c r="K7912" t="str">
        <f>("30/10/2025")</f>
        <v>30/10/2025</v>
      </c>
      <c r="L7912">
        <v>103</v>
      </c>
      <c r="M7912">
        <v>103</v>
      </c>
      <c r="N7912">
        <v>109</v>
      </c>
      <c r="O7912" t="str">
        <f>"PAGAMENTO DE ENTREGADORES"</f>
        <v>PAGAMENTO DE ENTREGADORES</v>
      </c>
      <c r="S7912" t="str">
        <f>"BANCO CORA (102)"</f>
        <v>BANCO CORA (102)</v>
      </c>
      <c r="T7912">
        <v>20349</v>
      </c>
      <c r="U7912">
        <v>24530</v>
      </c>
      <c r="V7912" t="s">
        <v>22</v>
      </c>
    </row>
    <row r="7913" spans="1:22">
      <c r="A7913" t="str">
        <f t="shared" si="1474"/>
        <v>30/10/2025</v>
      </c>
      <c r="B7913" t="str">
        <f t="shared" si="1477"/>
        <v>SAÍDA</v>
      </c>
      <c r="C7913" t="str">
        <f t="shared" si="1478"/>
        <v>PIX</v>
      </c>
      <c r="D7913" t="str">
        <f>"24530"</f>
        <v>24530</v>
      </c>
      <c r="E7913" t="str">
        <f t="shared" si="1479"/>
        <v>1</v>
      </c>
      <c r="F7913" t="str">
        <f t="shared" si="1471"/>
        <v>COM</v>
      </c>
      <c r="G7913" t="str">
        <f t="shared" si="1482"/>
        <v>MICHELLE RIBEIRO DA SILVA (1012)</v>
      </c>
      <c r="H7913" t="s">
        <v>2131</v>
      </c>
      <c r="I7913" t="str">
        <f t="shared" si="1475"/>
        <v>30/10/2025</v>
      </c>
      <c r="J7913" t="str">
        <f t="shared" si="1481"/>
        <v>30/10/2025</v>
      </c>
      <c r="K7913">
        <v>45960</v>
      </c>
      <c r="N7913">
        <v>109</v>
      </c>
      <c r="O7913" t="s">
        <v>24</v>
      </c>
      <c r="Q7913">
        <v>103</v>
      </c>
      <c r="R7913" t="str">
        <f>"DROGALIDER 58 (10213)"</f>
        <v>DROGALIDER 58 (10213)</v>
      </c>
      <c r="S7913" t="s">
        <v>22</v>
      </c>
      <c r="T7913">
        <v>20349</v>
      </c>
      <c r="U7913">
        <v>24530</v>
      </c>
      <c r="V7913" t="s">
        <v>22</v>
      </c>
    </row>
    <row r="7914" spans="1:22">
      <c r="A7914" t="str">
        <f t="shared" si="1474"/>
        <v>30/10/2025</v>
      </c>
      <c r="B7914" t="str">
        <f t="shared" si="1477"/>
        <v>SAÍDA</v>
      </c>
      <c r="C7914" t="str">
        <f t="shared" si="1478"/>
        <v>PIX</v>
      </c>
      <c r="D7914" t="str">
        <f>"24522"</f>
        <v>24522</v>
      </c>
      <c r="E7914" t="str">
        <f t="shared" si="1479"/>
        <v>1</v>
      </c>
      <c r="F7914" t="str">
        <f t="shared" si="1471"/>
        <v>COM</v>
      </c>
      <c r="G7914" t="str">
        <f t="shared" ref="G7914:G7923" si="1483">"SARA GABRIELLE SANTOS SILVA (710)"</f>
        <v>SARA GABRIELLE SANTOS SILVA (710)</v>
      </c>
      <c r="H7914" t="str">
        <f>"Serv.Prest. 20/10/2025 a 26/10/2025 - PIX: CPF - CHAVE: 023.116.166-25"</f>
        <v>Serv.Prest. 20/10/2025 a 26/10/2025 - PIX: CPF - CHAVE: 023.116.166-25</v>
      </c>
      <c r="I7914" t="str">
        <f t="shared" si="1475"/>
        <v>30/10/2025</v>
      </c>
      <c r="J7914" t="str">
        <f t="shared" si="1481"/>
        <v>30/10/2025</v>
      </c>
      <c r="K7914" t="str">
        <f>("30/10/2025")</f>
        <v>30/10/2025</v>
      </c>
      <c r="L7914">
        <v>92</v>
      </c>
      <c r="M7914">
        <v>92</v>
      </c>
      <c r="N7914">
        <v>109</v>
      </c>
      <c r="O7914" t="str">
        <f>"PAGAMENTO DE ENTREGADORES"</f>
        <v>PAGAMENTO DE ENTREGADORES</v>
      </c>
      <c r="P7914">
        <v>92</v>
      </c>
      <c r="S7914" t="str">
        <f>"BANCO CORA (102)"</f>
        <v>BANCO CORA (102)</v>
      </c>
      <c r="T7914">
        <v>20350</v>
      </c>
      <c r="U7914">
        <v>24522</v>
      </c>
      <c r="V7914" t="s">
        <v>22</v>
      </c>
    </row>
    <row r="7915" spans="1:22">
      <c r="A7915" t="str">
        <f t="shared" si="1474"/>
        <v>30/10/2025</v>
      </c>
      <c r="B7915" t="str">
        <f t="shared" si="1477"/>
        <v>SAÍDA</v>
      </c>
      <c r="C7915" t="str">
        <f t="shared" si="1478"/>
        <v>PIX</v>
      </c>
      <c r="D7915" t="str">
        <f>"24522"</f>
        <v>24522</v>
      </c>
      <c r="E7915" t="str">
        <f t="shared" si="1479"/>
        <v>1</v>
      </c>
      <c r="F7915" t="str">
        <f t="shared" si="1471"/>
        <v>COM</v>
      </c>
      <c r="G7915" t="str">
        <f t="shared" si="1483"/>
        <v>SARA GABRIELLE SANTOS SILVA (710)</v>
      </c>
      <c r="H7915" t="s">
        <v>2190</v>
      </c>
      <c r="I7915" t="str">
        <f t="shared" si="1475"/>
        <v>30/10/2025</v>
      </c>
      <c r="J7915" t="str">
        <f t="shared" si="1481"/>
        <v>30/10/2025</v>
      </c>
      <c r="K7915">
        <v>45960</v>
      </c>
      <c r="N7915">
        <v>109</v>
      </c>
      <c r="O7915" t="s">
        <v>24</v>
      </c>
      <c r="Q7915">
        <v>92</v>
      </c>
      <c r="R7915" t="str">
        <f>"DROGALIDER 25 (10246)"</f>
        <v>DROGALIDER 25 (10246)</v>
      </c>
      <c r="S7915" t="s">
        <v>22</v>
      </c>
      <c r="T7915">
        <v>20350</v>
      </c>
      <c r="U7915">
        <v>24522</v>
      </c>
      <c r="V7915" t="s">
        <v>22</v>
      </c>
    </row>
    <row r="7916" spans="1:22">
      <c r="A7916" t="str">
        <f t="shared" si="1474"/>
        <v>30/10/2025</v>
      </c>
      <c r="B7916" t="str">
        <f t="shared" si="1477"/>
        <v>SAÍDA</v>
      </c>
      <c r="C7916" t="str">
        <f t="shared" si="1478"/>
        <v>PIX</v>
      </c>
      <c r="D7916" t="str">
        <f>"24526"</f>
        <v>24526</v>
      </c>
      <c r="E7916" t="str">
        <f t="shared" si="1479"/>
        <v>1</v>
      </c>
      <c r="F7916" t="str">
        <f t="shared" si="1471"/>
        <v>COM</v>
      </c>
      <c r="G7916" t="str">
        <f t="shared" si="1483"/>
        <v>SARA GABRIELLE SANTOS SILVA (710)</v>
      </c>
      <c r="H7916" t="str">
        <f>"Serv.Prest. 20/10/2025 a 26/10/2025 - PIX: CPF - CHAVE: 023.116.166-25"</f>
        <v>Serv.Prest. 20/10/2025 a 26/10/2025 - PIX: CPF - CHAVE: 023.116.166-25</v>
      </c>
      <c r="I7916" t="str">
        <f t="shared" si="1475"/>
        <v>30/10/2025</v>
      </c>
      <c r="J7916" t="str">
        <f t="shared" si="1481"/>
        <v>30/10/2025</v>
      </c>
      <c r="K7916" t="str">
        <f>("30/10/2025")</f>
        <v>30/10/2025</v>
      </c>
      <c r="L7916">
        <v>92</v>
      </c>
      <c r="M7916">
        <v>92</v>
      </c>
      <c r="N7916">
        <v>109</v>
      </c>
      <c r="O7916" t="str">
        <f>"PAGAMENTO DE ENTREGADORES"</f>
        <v>PAGAMENTO DE ENTREGADORES</v>
      </c>
      <c r="S7916" t="str">
        <f>"BANCO CORA (102)"</f>
        <v>BANCO CORA (102)</v>
      </c>
      <c r="T7916">
        <v>20350</v>
      </c>
      <c r="U7916">
        <v>24526</v>
      </c>
      <c r="V7916" t="s">
        <v>22</v>
      </c>
    </row>
    <row r="7917" spans="1:22">
      <c r="A7917" t="str">
        <f t="shared" si="1474"/>
        <v>30/10/2025</v>
      </c>
      <c r="B7917" t="str">
        <f t="shared" si="1477"/>
        <v>SAÍDA</v>
      </c>
      <c r="C7917" t="str">
        <f t="shared" si="1478"/>
        <v>PIX</v>
      </c>
      <c r="D7917" t="str">
        <f>"24526"</f>
        <v>24526</v>
      </c>
      <c r="E7917" t="str">
        <f t="shared" si="1479"/>
        <v>1</v>
      </c>
      <c r="F7917" t="str">
        <f t="shared" si="1471"/>
        <v>COM</v>
      </c>
      <c r="G7917" t="str">
        <f t="shared" si="1483"/>
        <v>SARA GABRIELLE SANTOS SILVA (710)</v>
      </c>
      <c r="H7917" t="s">
        <v>2190</v>
      </c>
      <c r="I7917" t="str">
        <f t="shared" si="1475"/>
        <v>30/10/2025</v>
      </c>
      <c r="J7917" t="str">
        <f t="shared" si="1481"/>
        <v>30/10/2025</v>
      </c>
      <c r="K7917">
        <v>45960</v>
      </c>
      <c r="N7917">
        <v>109</v>
      </c>
      <c r="O7917" t="s">
        <v>24</v>
      </c>
      <c r="Q7917">
        <v>92</v>
      </c>
      <c r="R7917" t="str">
        <f>"DROGALIDER 46 (10248)"</f>
        <v>DROGALIDER 46 (10248)</v>
      </c>
      <c r="S7917" t="s">
        <v>22</v>
      </c>
      <c r="T7917">
        <v>20350</v>
      </c>
      <c r="U7917">
        <v>24526</v>
      </c>
      <c r="V7917" t="s">
        <v>22</v>
      </c>
    </row>
    <row r="7918" spans="1:22">
      <c r="A7918" t="str">
        <f t="shared" si="1474"/>
        <v>30/10/2025</v>
      </c>
      <c r="B7918" t="str">
        <f t="shared" si="1477"/>
        <v>SAÍDA</v>
      </c>
      <c r="C7918" t="str">
        <f t="shared" si="1478"/>
        <v>PIX</v>
      </c>
      <c r="D7918" t="str">
        <f>"24531"</f>
        <v>24531</v>
      </c>
      <c r="E7918" t="str">
        <f t="shared" si="1479"/>
        <v>1</v>
      </c>
      <c r="F7918" t="str">
        <f t="shared" si="1471"/>
        <v>COM</v>
      </c>
      <c r="G7918" t="str">
        <f t="shared" si="1483"/>
        <v>SARA GABRIELLE SANTOS SILVA (710)</v>
      </c>
      <c r="H7918" t="str">
        <f>"Serv.Prest. 20/10/2025 a 26/10/2025 - PIX: CPF - CHAVE: 023.116.166-25"</f>
        <v>Serv.Prest. 20/10/2025 a 26/10/2025 - PIX: CPF - CHAVE: 023.116.166-25</v>
      </c>
      <c r="I7918" t="str">
        <f t="shared" si="1475"/>
        <v>30/10/2025</v>
      </c>
      <c r="J7918" t="str">
        <f t="shared" si="1481"/>
        <v>30/10/2025</v>
      </c>
      <c r="K7918" t="str">
        <f>("30/10/2025")</f>
        <v>30/10/2025</v>
      </c>
      <c r="L7918">
        <v>92</v>
      </c>
      <c r="M7918">
        <v>92</v>
      </c>
      <c r="N7918">
        <v>109</v>
      </c>
      <c r="O7918" t="str">
        <f>"PAGAMENTO DE ENTREGADORES"</f>
        <v>PAGAMENTO DE ENTREGADORES</v>
      </c>
      <c r="S7918" t="str">
        <f>"BANCO CORA (102)"</f>
        <v>BANCO CORA (102)</v>
      </c>
      <c r="T7918">
        <v>20350</v>
      </c>
      <c r="U7918">
        <v>24531</v>
      </c>
      <c r="V7918" t="s">
        <v>22</v>
      </c>
    </row>
    <row r="7919" spans="1:22">
      <c r="A7919" t="str">
        <f t="shared" si="1474"/>
        <v>30/10/2025</v>
      </c>
      <c r="B7919" t="str">
        <f t="shared" si="1477"/>
        <v>SAÍDA</v>
      </c>
      <c r="C7919" t="str">
        <f t="shared" si="1478"/>
        <v>PIX</v>
      </c>
      <c r="D7919" t="str">
        <f>"24531"</f>
        <v>24531</v>
      </c>
      <c r="E7919" t="str">
        <f t="shared" si="1479"/>
        <v>1</v>
      </c>
      <c r="F7919" t="str">
        <f t="shared" si="1471"/>
        <v>COM</v>
      </c>
      <c r="G7919" t="str">
        <f t="shared" si="1483"/>
        <v>SARA GABRIELLE SANTOS SILVA (710)</v>
      </c>
      <c r="H7919" t="s">
        <v>2190</v>
      </c>
      <c r="I7919" t="str">
        <f t="shared" si="1475"/>
        <v>30/10/2025</v>
      </c>
      <c r="J7919" t="str">
        <f t="shared" si="1481"/>
        <v>30/10/2025</v>
      </c>
      <c r="K7919">
        <v>45960</v>
      </c>
      <c r="N7919">
        <v>109</v>
      </c>
      <c r="O7919" t="s">
        <v>24</v>
      </c>
      <c r="Q7919">
        <v>92</v>
      </c>
      <c r="R7919" t="str">
        <f>"DROGALIDER 58 (10213)"</f>
        <v>DROGALIDER 58 (10213)</v>
      </c>
      <c r="S7919" t="s">
        <v>22</v>
      </c>
      <c r="T7919">
        <v>20350</v>
      </c>
      <c r="U7919">
        <v>24531</v>
      </c>
      <c r="V7919" t="s">
        <v>22</v>
      </c>
    </row>
    <row r="7920" spans="1:22">
      <c r="A7920" t="str">
        <f t="shared" si="1474"/>
        <v>30/10/2025</v>
      </c>
      <c r="B7920" t="str">
        <f t="shared" si="1477"/>
        <v>SAÍDA</v>
      </c>
      <c r="C7920" t="str">
        <f t="shared" si="1478"/>
        <v>PIX</v>
      </c>
      <c r="D7920" t="str">
        <f>"24535"</f>
        <v>24535</v>
      </c>
      <c r="E7920" t="str">
        <f t="shared" si="1479"/>
        <v>1</v>
      </c>
      <c r="F7920" t="str">
        <f t="shared" si="1471"/>
        <v>COM</v>
      </c>
      <c r="G7920" t="str">
        <f t="shared" si="1483"/>
        <v>SARA GABRIELLE SANTOS SILVA (710)</v>
      </c>
      <c r="H7920" t="str">
        <f>"Serv.Prest. 20/10/2025 a 26/10/2025 - PIX: CPF - CHAVE: 023.116.166-25"</f>
        <v>Serv.Prest. 20/10/2025 a 26/10/2025 - PIX: CPF - CHAVE: 023.116.166-25</v>
      </c>
      <c r="I7920" t="str">
        <f t="shared" si="1475"/>
        <v>30/10/2025</v>
      </c>
      <c r="J7920" t="str">
        <f t="shared" si="1481"/>
        <v>30/10/2025</v>
      </c>
      <c r="K7920" t="str">
        <f>("30/10/2025")</f>
        <v>30/10/2025</v>
      </c>
      <c r="L7920">
        <v>92</v>
      </c>
      <c r="M7920">
        <v>92</v>
      </c>
      <c r="N7920">
        <v>109</v>
      </c>
      <c r="O7920" t="str">
        <f>"PAGAMENTO DE ENTREGADORES"</f>
        <v>PAGAMENTO DE ENTREGADORES</v>
      </c>
      <c r="S7920" t="str">
        <f>"BANCO CORA (102)"</f>
        <v>BANCO CORA (102)</v>
      </c>
      <c r="T7920">
        <v>20350</v>
      </c>
      <c r="U7920">
        <v>24535</v>
      </c>
      <c r="V7920" t="s">
        <v>22</v>
      </c>
    </row>
    <row r="7921" spans="1:22">
      <c r="A7921" t="str">
        <f t="shared" si="1474"/>
        <v>30/10/2025</v>
      </c>
      <c r="B7921" t="str">
        <f t="shared" si="1477"/>
        <v>SAÍDA</v>
      </c>
      <c r="C7921" t="str">
        <f t="shared" si="1478"/>
        <v>PIX</v>
      </c>
      <c r="D7921" t="str">
        <f>"24535"</f>
        <v>24535</v>
      </c>
      <c r="E7921" t="str">
        <f t="shared" si="1479"/>
        <v>1</v>
      </c>
      <c r="F7921" t="str">
        <f t="shared" si="1471"/>
        <v>COM</v>
      </c>
      <c r="G7921" t="str">
        <f t="shared" si="1483"/>
        <v>SARA GABRIELLE SANTOS SILVA (710)</v>
      </c>
      <c r="H7921" t="s">
        <v>2190</v>
      </c>
      <c r="I7921" t="str">
        <f t="shared" si="1475"/>
        <v>30/10/2025</v>
      </c>
      <c r="J7921" t="str">
        <f t="shared" si="1481"/>
        <v>30/10/2025</v>
      </c>
      <c r="K7921">
        <v>45960</v>
      </c>
      <c r="N7921">
        <v>109</v>
      </c>
      <c r="O7921" t="s">
        <v>24</v>
      </c>
      <c r="Q7921">
        <v>92</v>
      </c>
      <c r="R7921" t="str">
        <f>"DROGALIDER 64 (10250)"</f>
        <v>DROGALIDER 64 (10250)</v>
      </c>
      <c r="S7921" t="s">
        <v>22</v>
      </c>
      <c r="T7921">
        <v>20350</v>
      </c>
      <c r="U7921">
        <v>24535</v>
      </c>
      <c r="V7921" t="s">
        <v>22</v>
      </c>
    </row>
    <row r="7922" spans="1:22">
      <c r="A7922" t="str">
        <f t="shared" si="1474"/>
        <v>30/10/2025</v>
      </c>
      <c r="B7922" t="str">
        <f t="shared" si="1477"/>
        <v>SAÍDA</v>
      </c>
      <c r="C7922" t="str">
        <f t="shared" si="1478"/>
        <v>PIX</v>
      </c>
      <c r="D7922" t="str">
        <f>"24539"</f>
        <v>24539</v>
      </c>
      <c r="E7922" t="str">
        <f t="shared" si="1479"/>
        <v>1</v>
      </c>
      <c r="F7922" t="str">
        <f t="shared" si="1471"/>
        <v>COM</v>
      </c>
      <c r="G7922" t="str">
        <f t="shared" si="1483"/>
        <v>SARA GABRIELLE SANTOS SILVA (710)</v>
      </c>
      <c r="H7922" t="str">
        <f>"Serv.Prest. 20/10/2025 a 26/10/2025 - PIX: CPF - CHAVE: 023.116.166-25"</f>
        <v>Serv.Prest. 20/10/2025 a 26/10/2025 - PIX: CPF - CHAVE: 023.116.166-25</v>
      </c>
      <c r="I7922" t="str">
        <f t="shared" si="1475"/>
        <v>30/10/2025</v>
      </c>
      <c r="J7922" t="str">
        <f t="shared" si="1481"/>
        <v>30/10/2025</v>
      </c>
      <c r="K7922" t="str">
        <f>("30/10/2025")</f>
        <v>30/10/2025</v>
      </c>
      <c r="L7922">
        <v>92</v>
      </c>
      <c r="M7922">
        <v>92</v>
      </c>
      <c r="N7922">
        <v>109</v>
      </c>
      <c r="O7922" t="str">
        <f>"PAGAMENTO DE ENTREGADORES"</f>
        <v>PAGAMENTO DE ENTREGADORES</v>
      </c>
      <c r="S7922" t="str">
        <f>"BANCO CORA (102)"</f>
        <v>BANCO CORA (102)</v>
      </c>
      <c r="T7922">
        <v>20350</v>
      </c>
      <c r="U7922">
        <v>24539</v>
      </c>
      <c r="V7922" t="s">
        <v>22</v>
      </c>
    </row>
    <row r="7923" spans="1:22">
      <c r="A7923" t="str">
        <f t="shared" si="1474"/>
        <v>30/10/2025</v>
      </c>
      <c r="B7923" t="str">
        <f t="shared" si="1477"/>
        <v>SAÍDA</v>
      </c>
      <c r="C7923" t="str">
        <f t="shared" si="1478"/>
        <v>PIX</v>
      </c>
      <c r="D7923" t="str">
        <f>"24539"</f>
        <v>24539</v>
      </c>
      <c r="E7923" t="str">
        <f t="shared" si="1479"/>
        <v>1</v>
      </c>
      <c r="F7923" t="str">
        <f t="shared" si="1471"/>
        <v>COM</v>
      </c>
      <c r="G7923" t="str">
        <f t="shared" si="1483"/>
        <v>SARA GABRIELLE SANTOS SILVA (710)</v>
      </c>
      <c r="H7923" t="s">
        <v>2190</v>
      </c>
      <c r="I7923" t="str">
        <f t="shared" si="1475"/>
        <v>30/10/2025</v>
      </c>
      <c r="J7923" t="str">
        <f t="shared" si="1481"/>
        <v>30/10/2025</v>
      </c>
      <c r="K7923">
        <v>45960</v>
      </c>
      <c r="N7923">
        <v>109</v>
      </c>
      <c r="O7923" t="s">
        <v>24</v>
      </c>
      <c r="Q7923">
        <v>92</v>
      </c>
      <c r="R7923" t="str">
        <f>"DROGALIDER 66 (10251)"</f>
        <v>DROGALIDER 66 (10251)</v>
      </c>
      <c r="S7923" t="s">
        <v>22</v>
      </c>
      <c r="T7923">
        <v>20350</v>
      </c>
      <c r="U7923">
        <v>24539</v>
      </c>
      <c r="V7923" t="s">
        <v>22</v>
      </c>
    </row>
    <row r="7924" spans="1:22">
      <c r="A7924" t="str">
        <f t="shared" si="1474"/>
        <v>30/10/2025</v>
      </c>
      <c r="B7924" t="str">
        <f t="shared" si="1477"/>
        <v>SAÍDA</v>
      </c>
      <c r="C7924" t="str">
        <f t="shared" si="1478"/>
        <v>PIX</v>
      </c>
      <c r="D7924" t="str">
        <f>"24286"</f>
        <v>24286</v>
      </c>
      <c r="E7924" t="str">
        <f t="shared" si="1479"/>
        <v>1</v>
      </c>
      <c r="F7924" t="str">
        <f t="shared" si="1471"/>
        <v>COM</v>
      </c>
      <c r="G7924" t="str">
        <f>"DANILO DE JESUS SANTOS (490)"</f>
        <v>DANILO DE JESUS SANTOS (490)</v>
      </c>
      <c r="H7924" t="str">
        <f>"Serv.Prest. 20/10/2025 a 24/10/2025 - PIX: CELULAR - CHAVE: (73) 98191-0061"</f>
        <v>Serv.Prest. 20/10/2025 a 24/10/2025 - PIX: CELULAR - CHAVE: (73) 98191-0061</v>
      </c>
      <c r="I7924" t="str">
        <f>("06/11/2025")</f>
        <v>06/11/2025</v>
      </c>
      <c r="J7924" t="str">
        <f t="shared" ref="J7924:J7935" si="1484">("24/10/2025")</f>
        <v>24/10/2025</v>
      </c>
      <c r="K7924" t="str">
        <f>("30/10/2025")</f>
        <v>30/10/2025</v>
      </c>
      <c r="L7924">
        <v>702</v>
      </c>
      <c r="M7924">
        <v>700</v>
      </c>
      <c r="N7924">
        <v>109</v>
      </c>
      <c r="O7924" t="str">
        <f>"PAGAMENTO DE ENTREGADORES"</f>
        <v>PAGAMENTO DE ENTREGADORES</v>
      </c>
      <c r="P7924">
        <v>700</v>
      </c>
      <c r="S7924" t="str">
        <f>"BANCO CORA (102)"</f>
        <v>BANCO CORA (102)</v>
      </c>
      <c r="T7924">
        <v>20351</v>
      </c>
      <c r="U7924">
        <v>24286</v>
      </c>
      <c r="V7924" t="s">
        <v>22</v>
      </c>
    </row>
    <row r="7925" spans="1:22">
      <c r="A7925" t="str">
        <f t="shared" si="1474"/>
        <v>30/10/2025</v>
      </c>
      <c r="B7925" t="str">
        <f t="shared" si="1477"/>
        <v>SAÍDA</v>
      </c>
      <c r="C7925" t="str">
        <f t="shared" si="1478"/>
        <v>PIX</v>
      </c>
      <c r="D7925" t="str">
        <f>"24286"</f>
        <v>24286</v>
      </c>
      <c r="E7925" t="str">
        <f t="shared" si="1479"/>
        <v>1</v>
      </c>
      <c r="F7925" t="str">
        <f t="shared" si="1471"/>
        <v>COM</v>
      </c>
      <c r="G7925" t="str">
        <f>"DANILO DE JESUS SANTOS (490)"</f>
        <v>DANILO DE JESUS SANTOS (490)</v>
      </c>
      <c r="H7925" t="s">
        <v>2191</v>
      </c>
      <c r="I7925" t="str">
        <f>("06/11/2025")</f>
        <v>06/11/2025</v>
      </c>
      <c r="J7925" t="str">
        <f t="shared" si="1484"/>
        <v>24/10/2025</v>
      </c>
      <c r="K7925">
        <v>45960</v>
      </c>
      <c r="N7925">
        <v>109</v>
      </c>
      <c r="O7925" t="s">
        <v>24</v>
      </c>
      <c r="Q7925">
        <v>700</v>
      </c>
      <c r="R7925" t="str">
        <f>"FARMÁCIA INDIANA LJ 145 (10068)"</f>
        <v>FARMÁCIA INDIANA LJ 145 (10068)</v>
      </c>
      <c r="S7925" t="s">
        <v>22</v>
      </c>
      <c r="T7925">
        <v>20351</v>
      </c>
      <c r="U7925">
        <v>24286</v>
      </c>
      <c r="V7925" t="s">
        <v>22</v>
      </c>
    </row>
    <row r="7926" spans="1:22">
      <c r="A7926" t="str">
        <f t="shared" si="1474"/>
        <v>30/10/2025</v>
      </c>
      <c r="B7926" t="str">
        <f t="shared" si="1477"/>
        <v>SAÍDA</v>
      </c>
      <c r="C7926" t="str">
        <f t="shared" si="1478"/>
        <v>PIX</v>
      </c>
      <c r="D7926" t="str">
        <f>"24307"</f>
        <v>24307</v>
      </c>
      <c r="E7926" t="str">
        <f t="shared" si="1479"/>
        <v>1</v>
      </c>
      <c r="F7926" t="str">
        <f t="shared" si="1471"/>
        <v>COM</v>
      </c>
      <c r="G7926" t="str">
        <f>"TALES DE JESUS OLIVEIRA (318)"</f>
        <v>TALES DE JESUS OLIVEIRA (318)</v>
      </c>
      <c r="H7926" t="str">
        <f>"Serv.Prest. 20/10/2025 a 24/10/2025 - PIX: CPF - CHAVE: 378.223.888-51"</f>
        <v>Serv.Prest. 20/10/2025 a 24/10/2025 - PIX: CPF - CHAVE: 378.223.888-51</v>
      </c>
      <c r="I7926" t="str">
        <f>("06/11/2025")</f>
        <v>06/11/2025</v>
      </c>
      <c r="J7926" t="str">
        <f t="shared" si="1484"/>
        <v>24/10/2025</v>
      </c>
      <c r="K7926" t="str">
        <f>("30/10/2025")</f>
        <v>30/10/2025</v>
      </c>
      <c r="L7926">
        <v>702</v>
      </c>
      <c r="M7926">
        <v>700</v>
      </c>
      <c r="N7926">
        <v>109</v>
      </c>
      <c r="O7926" t="str">
        <f>"PAGAMENTO DE ENTREGADORES"</f>
        <v>PAGAMENTO DE ENTREGADORES</v>
      </c>
      <c r="P7926">
        <v>700</v>
      </c>
      <c r="S7926" t="str">
        <f>"BANCO CORA (102)"</f>
        <v>BANCO CORA (102)</v>
      </c>
      <c r="T7926">
        <v>20352</v>
      </c>
      <c r="U7926">
        <v>24307</v>
      </c>
      <c r="V7926" t="s">
        <v>22</v>
      </c>
    </row>
    <row r="7927" spans="1:22">
      <c r="A7927" t="str">
        <f t="shared" si="1474"/>
        <v>30/10/2025</v>
      </c>
      <c r="B7927" t="str">
        <f t="shared" si="1477"/>
        <v>SAÍDA</v>
      </c>
      <c r="C7927" t="str">
        <f t="shared" si="1478"/>
        <v>PIX</v>
      </c>
      <c r="D7927" t="str">
        <f>"24307"</f>
        <v>24307</v>
      </c>
      <c r="E7927" t="str">
        <f t="shared" si="1479"/>
        <v>1</v>
      </c>
      <c r="F7927" t="str">
        <f t="shared" si="1471"/>
        <v>COM</v>
      </c>
      <c r="G7927" t="str">
        <f>"TALES DE JESUS OLIVEIRA (318)"</f>
        <v>TALES DE JESUS OLIVEIRA (318)</v>
      </c>
      <c r="H7927" t="s">
        <v>2192</v>
      </c>
      <c r="I7927" t="str">
        <f>("06/11/2025")</f>
        <v>06/11/2025</v>
      </c>
      <c r="J7927" t="str">
        <f t="shared" si="1484"/>
        <v>24/10/2025</v>
      </c>
      <c r="K7927">
        <v>45960</v>
      </c>
      <c r="N7927">
        <v>109</v>
      </c>
      <c r="O7927" t="s">
        <v>24</v>
      </c>
      <c r="Q7927">
        <v>700</v>
      </c>
      <c r="R7927" t="str">
        <f>"FARMÁCIA INDIANA LJ 145 (10068)"</f>
        <v>FARMÁCIA INDIANA LJ 145 (10068)</v>
      </c>
      <c r="S7927" t="s">
        <v>22</v>
      </c>
      <c r="T7927">
        <v>20352</v>
      </c>
      <c r="U7927">
        <v>24307</v>
      </c>
      <c r="V7927" t="s">
        <v>22</v>
      </c>
    </row>
    <row r="7928" spans="1:22">
      <c r="A7928" t="str">
        <f t="shared" si="1474"/>
        <v>30/10/2025</v>
      </c>
      <c r="B7928" t="str">
        <f t="shared" ref="B7928:B7949" si="1485">"ENTRADA"</f>
        <v>ENTRADA</v>
      </c>
      <c r="C7928" t="str">
        <f t="shared" ref="C7928:C7949" si="1486">"NFSE"</f>
        <v>NFSE</v>
      </c>
      <c r="D7928" t="str">
        <f>"3551"</f>
        <v>3551</v>
      </c>
      <c r="E7928" t="str">
        <f t="shared" si="1479"/>
        <v>1</v>
      </c>
      <c r="F7928" t="str">
        <f t="shared" si="1471"/>
        <v>COM</v>
      </c>
      <c r="G7928" t="str">
        <f>"AC FARMA - CID.ALTA (10166)"</f>
        <v>AC FARMA - CID.ALTA (10166)</v>
      </c>
      <c r="H7928" t="str">
        <f>"Serv.Prest. 13/10/2025 a 19/10/2025 - RPS: 1427 - NFSe: 3551"</f>
        <v>Serv.Prest. 13/10/2025 a 19/10/2025 - RPS: 1427 - NFSe: 3551</v>
      </c>
      <c r="I7928" t="str">
        <f t="shared" ref="I7928:I7949" si="1487">("29/10/2025")</f>
        <v>29/10/2025</v>
      </c>
      <c r="J7928" t="str">
        <f t="shared" si="1484"/>
        <v>24/10/2025</v>
      </c>
      <c r="K7928" t="str">
        <f>("30/10/2025")</f>
        <v>30/10/2025</v>
      </c>
      <c r="L7928">
        <v>5148.3599999999997</v>
      </c>
      <c r="M7928">
        <v>5148.3599999999997</v>
      </c>
      <c r="N7928">
        <v>303</v>
      </c>
      <c r="O7928" t="str">
        <f>"RECEITAS COM ENTREGAS"</f>
        <v>RECEITAS COM ENTREGAS</v>
      </c>
      <c r="P7928">
        <v>5148.3599999999997</v>
      </c>
      <c r="S7928" t="str">
        <f>"RECEITAS COM ENTREGAS (303)"</f>
        <v>RECEITAS COM ENTREGAS (303)</v>
      </c>
      <c r="T7928">
        <v>20377</v>
      </c>
      <c r="U7928">
        <v>24162</v>
      </c>
      <c r="V7928" t="s">
        <v>22</v>
      </c>
    </row>
    <row r="7929" spans="1:22">
      <c r="A7929" t="str">
        <f t="shared" si="1474"/>
        <v>30/10/2025</v>
      </c>
      <c r="B7929" t="str">
        <f t="shared" si="1485"/>
        <v>ENTRADA</v>
      </c>
      <c r="C7929" t="str">
        <f t="shared" si="1486"/>
        <v>NFSE</v>
      </c>
      <c r="D7929" t="str">
        <f>"3551"</f>
        <v>3551</v>
      </c>
      <c r="E7929" t="str">
        <f t="shared" si="1479"/>
        <v>1</v>
      </c>
      <c r="F7929" t="str">
        <f t="shared" ref="F7929:F7992" si="1488">"COM"</f>
        <v>COM</v>
      </c>
      <c r="G7929" t="str">
        <f>"AC FARMA - CID.ALTA (10166)"</f>
        <v>AC FARMA - CID.ALTA (10166)</v>
      </c>
      <c r="H7929" t="s">
        <v>2193</v>
      </c>
      <c r="I7929" t="str">
        <f t="shared" si="1487"/>
        <v>29/10/2025</v>
      </c>
      <c r="J7929" t="str">
        <f t="shared" si="1484"/>
        <v>24/10/2025</v>
      </c>
      <c r="K7929">
        <v>45960</v>
      </c>
      <c r="N7929">
        <v>303</v>
      </c>
      <c r="O7929" t="s">
        <v>69</v>
      </c>
      <c r="Q7929">
        <v>5148.3599999999997</v>
      </c>
      <c r="R7929" t="str">
        <f>"AC FARMA - CID.ALTA (10166)"</f>
        <v>AC FARMA - CID.ALTA (10166)</v>
      </c>
      <c r="S7929" t="s">
        <v>70</v>
      </c>
      <c r="T7929">
        <v>20377</v>
      </c>
      <c r="U7929">
        <v>24162</v>
      </c>
      <c r="V7929" t="s">
        <v>22</v>
      </c>
    </row>
    <row r="7930" spans="1:22">
      <c r="A7930" t="str">
        <f t="shared" si="1474"/>
        <v>30/10/2025</v>
      </c>
      <c r="B7930" t="str">
        <f t="shared" si="1485"/>
        <v>ENTRADA</v>
      </c>
      <c r="C7930" t="str">
        <f t="shared" si="1486"/>
        <v>NFSE</v>
      </c>
      <c r="D7930" t="str">
        <f>"3552"</f>
        <v>3552</v>
      </c>
      <c r="E7930" t="str">
        <f t="shared" si="1479"/>
        <v>1</v>
      </c>
      <c r="F7930" t="str">
        <f t="shared" si="1488"/>
        <v>COM</v>
      </c>
      <c r="G7930" t="str">
        <f>"AC FARMA - FLEMINFARMA (10160)"</f>
        <v>AC FARMA - FLEMINFARMA (10160)</v>
      </c>
      <c r="H7930" t="str">
        <f>"Serv.Prest. 13/10/2025 a 19/10/2025 - RPS: 1428 - NFSe: 3552"</f>
        <v>Serv.Prest. 13/10/2025 a 19/10/2025 - RPS: 1428 - NFSe: 3552</v>
      </c>
      <c r="I7930" t="str">
        <f t="shared" si="1487"/>
        <v>29/10/2025</v>
      </c>
      <c r="J7930" t="str">
        <f t="shared" si="1484"/>
        <v>24/10/2025</v>
      </c>
      <c r="K7930" t="str">
        <f>("30/10/2025")</f>
        <v>30/10/2025</v>
      </c>
      <c r="L7930">
        <v>1216.3499999999999</v>
      </c>
      <c r="M7930">
        <v>1216.3499999999999</v>
      </c>
      <c r="N7930">
        <v>303</v>
      </c>
      <c r="O7930" t="str">
        <f>"RECEITAS COM ENTREGAS"</f>
        <v>RECEITAS COM ENTREGAS</v>
      </c>
      <c r="P7930">
        <v>1216.3499999999999</v>
      </c>
      <c r="S7930" t="str">
        <f>"RECEITAS COM ENTREGAS (303)"</f>
        <v>RECEITAS COM ENTREGAS (303)</v>
      </c>
      <c r="T7930">
        <v>20378</v>
      </c>
      <c r="U7930">
        <v>24170</v>
      </c>
      <c r="V7930" t="s">
        <v>22</v>
      </c>
    </row>
    <row r="7931" spans="1:22">
      <c r="A7931" t="str">
        <f t="shared" si="1474"/>
        <v>30/10/2025</v>
      </c>
      <c r="B7931" t="str">
        <f t="shared" si="1485"/>
        <v>ENTRADA</v>
      </c>
      <c r="C7931" t="str">
        <f t="shared" si="1486"/>
        <v>NFSE</v>
      </c>
      <c r="D7931" t="str">
        <f>"3552"</f>
        <v>3552</v>
      </c>
      <c r="E7931" t="str">
        <f t="shared" si="1479"/>
        <v>1</v>
      </c>
      <c r="F7931" t="str">
        <f t="shared" si="1488"/>
        <v>COM</v>
      </c>
      <c r="G7931" t="str">
        <f>"AC FARMA - FLEMINFARMA (10160)"</f>
        <v>AC FARMA - FLEMINFARMA (10160)</v>
      </c>
      <c r="H7931" t="s">
        <v>2194</v>
      </c>
      <c r="I7931" t="str">
        <f t="shared" si="1487"/>
        <v>29/10/2025</v>
      </c>
      <c r="J7931" t="str">
        <f t="shared" si="1484"/>
        <v>24/10/2025</v>
      </c>
      <c r="K7931">
        <v>45960</v>
      </c>
      <c r="N7931">
        <v>303</v>
      </c>
      <c r="O7931" t="s">
        <v>69</v>
      </c>
      <c r="Q7931">
        <v>1170.49</v>
      </c>
      <c r="R7931" t="str">
        <f>"AC FARMA -  FLEMINFARMA (10159)"</f>
        <v>AC FARMA -  FLEMINFARMA (10159)</v>
      </c>
      <c r="S7931" t="s">
        <v>70</v>
      </c>
      <c r="T7931">
        <v>20378</v>
      </c>
      <c r="U7931">
        <v>24170</v>
      </c>
      <c r="V7931" t="s">
        <v>22</v>
      </c>
    </row>
    <row r="7932" spans="1:22">
      <c r="A7932" t="str">
        <f t="shared" si="1474"/>
        <v>30/10/2025</v>
      </c>
      <c r="B7932" t="str">
        <f t="shared" si="1485"/>
        <v>ENTRADA</v>
      </c>
      <c r="C7932" t="str">
        <f t="shared" si="1486"/>
        <v>NFSE</v>
      </c>
      <c r="D7932" t="str">
        <f>"3552"</f>
        <v>3552</v>
      </c>
      <c r="E7932" t="str">
        <f t="shared" ref="E7932:E7949" si="1489">"1"</f>
        <v>1</v>
      </c>
      <c r="F7932" t="str">
        <f t="shared" si="1488"/>
        <v>COM</v>
      </c>
      <c r="G7932" t="str">
        <f>"AC FARMA - FLEMINFARMA (10160)"</f>
        <v>AC FARMA - FLEMINFARMA (10160)</v>
      </c>
      <c r="H7932" t="s">
        <v>2194</v>
      </c>
      <c r="I7932" t="str">
        <f t="shared" si="1487"/>
        <v>29/10/2025</v>
      </c>
      <c r="J7932" t="str">
        <f t="shared" si="1484"/>
        <v>24/10/2025</v>
      </c>
      <c r="K7932">
        <v>45960</v>
      </c>
      <c r="N7932">
        <v>303</v>
      </c>
      <c r="O7932" t="s">
        <v>69</v>
      </c>
      <c r="Q7932">
        <v>45.86</v>
      </c>
      <c r="R7932" t="str">
        <f>"AC FARMA - FLEMINFARMA (10160)"</f>
        <v>AC FARMA - FLEMINFARMA (10160)</v>
      </c>
      <c r="S7932" t="s">
        <v>70</v>
      </c>
      <c r="T7932">
        <v>20378</v>
      </c>
      <c r="U7932">
        <v>24170</v>
      </c>
      <c r="V7932" t="s">
        <v>22</v>
      </c>
    </row>
    <row r="7933" spans="1:22">
      <c r="A7933" t="str">
        <f t="shared" si="1474"/>
        <v>30/10/2025</v>
      </c>
      <c r="B7933" t="str">
        <f t="shared" si="1485"/>
        <v>ENTRADA</v>
      </c>
      <c r="C7933" t="str">
        <f t="shared" si="1486"/>
        <v>NFSE</v>
      </c>
      <c r="D7933" t="str">
        <f>"3553"</f>
        <v>3553</v>
      </c>
      <c r="E7933" t="str">
        <f t="shared" si="1489"/>
        <v>1</v>
      </c>
      <c r="F7933" t="str">
        <f t="shared" si="1488"/>
        <v>COM</v>
      </c>
      <c r="G7933" t="str">
        <f>"AC FARMA - FLEMINFARMA 5 (10183)"</f>
        <v>AC FARMA - FLEMINFARMA 5 (10183)</v>
      </c>
      <c r="H7933" t="str">
        <f>"Serv.Prest. 13/10/2025 a 19/10/2025 - RPS: 1429 - NFSe: 3553"</f>
        <v>Serv.Prest. 13/10/2025 a 19/10/2025 - RPS: 1429 - NFSe: 3553</v>
      </c>
      <c r="I7933" t="str">
        <f t="shared" si="1487"/>
        <v>29/10/2025</v>
      </c>
      <c r="J7933" t="str">
        <f t="shared" si="1484"/>
        <v>24/10/2025</v>
      </c>
      <c r="K7933" t="str">
        <f>("30/10/2025")</f>
        <v>30/10/2025</v>
      </c>
      <c r="L7933">
        <v>650.25</v>
      </c>
      <c r="M7933">
        <v>650.25</v>
      </c>
      <c r="N7933">
        <v>303</v>
      </c>
      <c r="O7933" t="str">
        <f>"RECEITAS COM ENTREGAS"</f>
        <v>RECEITAS COM ENTREGAS</v>
      </c>
      <c r="P7933">
        <v>650.25</v>
      </c>
      <c r="S7933" t="str">
        <f>"RECEITAS COM ENTREGAS (303)"</f>
        <v>RECEITAS COM ENTREGAS (303)</v>
      </c>
      <c r="T7933">
        <v>20379</v>
      </c>
      <c r="U7933">
        <v>24177</v>
      </c>
      <c r="V7933" t="s">
        <v>22</v>
      </c>
    </row>
    <row r="7934" spans="1:22">
      <c r="A7934" t="str">
        <f t="shared" si="1474"/>
        <v>30/10/2025</v>
      </c>
      <c r="B7934" t="str">
        <f t="shared" si="1485"/>
        <v>ENTRADA</v>
      </c>
      <c r="C7934" t="str">
        <f t="shared" si="1486"/>
        <v>NFSE</v>
      </c>
      <c r="D7934" t="str">
        <f>"3553"</f>
        <v>3553</v>
      </c>
      <c r="E7934" t="str">
        <f t="shared" si="1489"/>
        <v>1</v>
      </c>
      <c r="F7934" t="str">
        <f t="shared" si="1488"/>
        <v>COM</v>
      </c>
      <c r="G7934" t="str">
        <f>"AC FARMA - FLEMINFARMA 5 (10183)"</f>
        <v>AC FARMA - FLEMINFARMA 5 (10183)</v>
      </c>
      <c r="H7934" t="s">
        <v>2195</v>
      </c>
      <c r="I7934" t="str">
        <f t="shared" si="1487"/>
        <v>29/10/2025</v>
      </c>
      <c r="J7934" t="str">
        <f t="shared" si="1484"/>
        <v>24/10/2025</v>
      </c>
      <c r="K7934">
        <v>45960</v>
      </c>
      <c r="N7934">
        <v>303</v>
      </c>
      <c r="O7934" t="s">
        <v>69</v>
      </c>
      <c r="Q7934">
        <v>627.29999999999995</v>
      </c>
      <c r="R7934" t="str">
        <f>"AC FARMA - FLEMINFARMA 5 (10183)"</f>
        <v>AC FARMA - FLEMINFARMA 5 (10183)</v>
      </c>
      <c r="S7934" t="s">
        <v>70</v>
      </c>
      <c r="T7934">
        <v>20379</v>
      </c>
      <c r="U7934">
        <v>24177</v>
      </c>
      <c r="V7934" t="s">
        <v>22</v>
      </c>
    </row>
    <row r="7935" spans="1:22">
      <c r="A7935" t="str">
        <f t="shared" si="1474"/>
        <v>30/10/2025</v>
      </c>
      <c r="B7935" t="str">
        <f t="shared" si="1485"/>
        <v>ENTRADA</v>
      </c>
      <c r="C7935" t="str">
        <f t="shared" si="1486"/>
        <v>NFSE</v>
      </c>
      <c r="D7935" t="str">
        <f>"3553"</f>
        <v>3553</v>
      </c>
      <c r="E7935" t="str">
        <f t="shared" si="1489"/>
        <v>1</v>
      </c>
      <c r="F7935" t="str">
        <f t="shared" si="1488"/>
        <v>COM</v>
      </c>
      <c r="G7935" t="str">
        <f>"AC FARMA - FLEMINFARMA 5 (10183)"</f>
        <v>AC FARMA - FLEMINFARMA 5 (10183)</v>
      </c>
      <c r="H7935" t="s">
        <v>2195</v>
      </c>
      <c r="I7935" t="str">
        <f t="shared" si="1487"/>
        <v>29/10/2025</v>
      </c>
      <c r="J7935" t="str">
        <f t="shared" si="1484"/>
        <v>24/10/2025</v>
      </c>
      <c r="K7935">
        <v>45960</v>
      </c>
      <c r="N7935">
        <v>303</v>
      </c>
      <c r="O7935" t="s">
        <v>69</v>
      </c>
      <c r="Q7935">
        <v>22.95</v>
      </c>
      <c r="R7935" t="str">
        <f>"AC FARMA - FLEMINFARMA 6 (10184)"</f>
        <v>AC FARMA - FLEMINFARMA 6 (10184)</v>
      </c>
      <c r="S7935" t="s">
        <v>70</v>
      </c>
      <c r="T7935">
        <v>20379</v>
      </c>
      <c r="U7935">
        <v>24177</v>
      </c>
      <c r="V7935" t="s">
        <v>22</v>
      </c>
    </row>
    <row r="7936" spans="1:22">
      <c r="A7936" t="str">
        <f t="shared" si="1474"/>
        <v>30/10/2025</v>
      </c>
      <c r="B7936" t="str">
        <f t="shared" si="1485"/>
        <v>ENTRADA</v>
      </c>
      <c r="C7936" t="str">
        <f t="shared" si="1486"/>
        <v>NFSE</v>
      </c>
      <c r="D7936" t="str">
        <f>"3579"</f>
        <v>3579</v>
      </c>
      <c r="E7936" t="str">
        <f t="shared" si="1489"/>
        <v>1</v>
      </c>
      <c r="F7936" t="str">
        <f t="shared" si="1488"/>
        <v>COM</v>
      </c>
      <c r="G7936" t="str">
        <f>"BRASIL FARMA (10173)"</f>
        <v>BRASIL FARMA (10173)</v>
      </c>
      <c r="H7936" t="str">
        <f>"Serv.Prest. 20/10/2025 a 26/10/2025 - RPS: 1455 - NFSe: 3579"</f>
        <v>Serv.Prest. 20/10/2025 a 26/10/2025 - RPS: 1455 - NFSe: 3579</v>
      </c>
      <c r="I7936" t="str">
        <f t="shared" si="1487"/>
        <v>29/10/2025</v>
      </c>
      <c r="J7936" t="str">
        <f t="shared" ref="J7936:J7945" si="1490">("27/10/2025")</f>
        <v>27/10/2025</v>
      </c>
      <c r="K7936" t="str">
        <f>("30/10/2025")</f>
        <v>30/10/2025</v>
      </c>
      <c r="L7936">
        <v>1705.1</v>
      </c>
      <c r="M7936">
        <v>1705.1</v>
      </c>
      <c r="N7936">
        <v>303</v>
      </c>
      <c r="O7936" t="str">
        <f>"RECEITAS COM ENTREGAS"</f>
        <v>RECEITAS COM ENTREGAS</v>
      </c>
      <c r="P7936">
        <v>1705.1</v>
      </c>
      <c r="S7936" t="str">
        <f>"RECEITAS COM ENTREGAS (303)"</f>
        <v>RECEITAS COM ENTREGAS (303)</v>
      </c>
      <c r="T7936">
        <v>20380</v>
      </c>
      <c r="U7936">
        <v>24408</v>
      </c>
      <c r="V7936" t="s">
        <v>22</v>
      </c>
    </row>
    <row r="7937" spans="1:22">
      <c r="A7937" t="str">
        <f t="shared" si="1474"/>
        <v>30/10/2025</v>
      </c>
      <c r="B7937" t="str">
        <f t="shared" si="1485"/>
        <v>ENTRADA</v>
      </c>
      <c r="C7937" t="str">
        <f t="shared" si="1486"/>
        <v>NFSE</v>
      </c>
      <c r="D7937" t="str">
        <f>"3579"</f>
        <v>3579</v>
      </c>
      <c r="E7937" t="str">
        <f t="shared" si="1489"/>
        <v>1</v>
      </c>
      <c r="F7937" t="str">
        <f t="shared" si="1488"/>
        <v>COM</v>
      </c>
      <c r="G7937" t="str">
        <f>"BRASIL FARMA (10173)"</f>
        <v>BRASIL FARMA (10173)</v>
      </c>
      <c r="H7937" t="s">
        <v>2196</v>
      </c>
      <c r="I7937" t="str">
        <f t="shared" si="1487"/>
        <v>29/10/2025</v>
      </c>
      <c r="J7937" t="str">
        <f t="shared" si="1490"/>
        <v>27/10/2025</v>
      </c>
      <c r="K7937">
        <v>45960</v>
      </c>
      <c r="N7937">
        <v>303</v>
      </c>
      <c r="O7937" t="s">
        <v>69</v>
      </c>
      <c r="Q7937">
        <v>1705.1</v>
      </c>
      <c r="R7937" t="str">
        <f>"BRASIL FARMA (10173)"</f>
        <v>BRASIL FARMA (10173)</v>
      </c>
      <c r="S7937" t="s">
        <v>70</v>
      </c>
      <c r="T7937">
        <v>20380</v>
      </c>
      <c r="U7937">
        <v>24408</v>
      </c>
      <c r="V7937" t="s">
        <v>22</v>
      </c>
    </row>
    <row r="7938" spans="1:22">
      <c r="A7938" t="str">
        <f t="shared" si="1474"/>
        <v>30/10/2025</v>
      </c>
      <c r="B7938" t="str">
        <f t="shared" si="1485"/>
        <v>ENTRADA</v>
      </c>
      <c r="C7938" t="str">
        <f t="shared" si="1486"/>
        <v>NFSE</v>
      </c>
      <c r="D7938" t="str">
        <f>"3580"</f>
        <v>3580</v>
      </c>
      <c r="E7938" t="str">
        <f t="shared" si="1489"/>
        <v>1</v>
      </c>
      <c r="F7938" t="str">
        <f t="shared" si="1488"/>
        <v>COM</v>
      </c>
      <c r="G7938" t="str">
        <f>"DROGA ELIDA (10121)"</f>
        <v>DROGA ELIDA (10121)</v>
      </c>
      <c r="H7938" t="str">
        <f>"Serv.Prest. 20/10/2025 a 26/10/2025 - RPS: 1456 - NFSe: 3580"</f>
        <v>Serv.Prest. 20/10/2025 a 26/10/2025 - RPS: 1456 - NFSe: 3580</v>
      </c>
      <c r="I7938" t="str">
        <f t="shared" si="1487"/>
        <v>29/10/2025</v>
      </c>
      <c r="J7938" t="str">
        <f t="shared" si="1490"/>
        <v>27/10/2025</v>
      </c>
      <c r="K7938" t="str">
        <f>("30/10/2025")</f>
        <v>30/10/2025</v>
      </c>
      <c r="L7938">
        <v>1861.5</v>
      </c>
      <c r="M7938">
        <v>1861.5</v>
      </c>
      <c r="N7938">
        <v>303</v>
      </c>
      <c r="O7938" t="str">
        <f>"RECEITAS COM ENTREGAS"</f>
        <v>RECEITAS COM ENTREGAS</v>
      </c>
      <c r="P7938">
        <v>1861.5</v>
      </c>
      <c r="S7938" t="str">
        <f>"RECEITAS COM ENTREGAS (303)"</f>
        <v>RECEITAS COM ENTREGAS (303)</v>
      </c>
      <c r="T7938">
        <v>20381</v>
      </c>
      <c r="U7938">
        <v>24411</v>
      </c>
      <c r="V7938" t="s">
        <v>22</v>
      </c>
    </row>
    <row r="7939" spans="1:22">
      <c r="A7939" t="str">
        <f t="shared" si="1474"/>
        <v>30/10/2025</v>
      </c>
      <c r="B7939" t="str">
        <f t="shared" si="1485"/>
        <v>ENTRADA</v>
      </c>
      <c r="C7939" t="str">
        <f t="shared" si="1486"/>
        <v>NFSE</v>
      </c>
      <c r="D7939" t="str">
        <f>"3580"</f>
        <v>3580</v>
      </c>
      <c r="E7939" t="str">
        <f t="shared" si="1489"/>
        <v>1</v>
      </c>
      <c r="F7939" t="str">
        <f t="shared" si="1488"/>
        <v>COM</v>
      </c>
      <c r="G7939" t="str">
        <f>"DROGA ELIDA (10121)"</f>
        <v>DROGA ELIDA (10121)</v>
      </c>
      <c r="H7939" t="s">
        <v>2197</v>
      </c>
      <c r="I7939" t="str">
        <f t="shared" si="1487"/>
        <v>29/10/2025</v>
      </c>
      <c r="J7939" t="str">
        <f t="shared" si="1490"/>
        <v>27/10/2025</v>
      </c>
      <c r="K7939">
        <v>45960</v>
      </c>
      <c r="N7939">
        <v>303</v>
      </c>
      <c r="O7939" t="s">
        <v>69</v>
      </c>
      <c r="Q7939">
        <v>1861.5</v>
      </c>
      <c r="R7939" t="str">
        <f>"DROGA ELIDA (10121)"</f>
        <v>DROGA ELIDA (10121)</v>
      </c>
      <c r="S7939" t="s">
        <v>70</v>
      </c>
      <c r="T7939">
        <v>20381</v>
      </c>
      <c r="U7939">
        <v>24411</v>
      </c>
      <c r="V7939" t="s">
        <v>22</v>
      </c>
    </row>
    <row r="7940" spans="1:22">
      <c r="A7940" t="str">
        <f t="shared" si="1474"/>
        <v>30/10/2025</v>
      </c>
      <c r="B7940" t="str">
        <f t="shared" si="1485"/>
        <v>ENTRADA</v>
      </c>
      <c r="C7940" t="str">
        <f t="shared" si="1486"/>
        <v>NFSE</v>
      </c>
      <c r="D7940" t="str">
        <f>"3583"</f>
        <v>3583</v>
      </c>
      <c r="E7940" t="str">
        <f t="shared" si="1489"/>
        <v>1</v>
      </c>
      <c r="F7940" t="str">
        <f t="shared" si="1488"/>
        <v>COM</v>
      </c>
      <c r="G7940" t="str">
        <f>"DROGARIA TOTAL JUNDIAI (10177)"</f>
        <v>DROGARIA TOTAL JUNDIAI (10177)</v>
      </c>
      <c r="H7940" t="str">
        <f>"Serv.Prest. 20/10/2025 a 26/10/2025 - RPS: 1459 - NFSe: 3583"</f>
        <v>Serv.Prest. 20/10/2025 a 26/10/2025 - RPS: 1459 - NFSe: 3583</v>
      </c>
      <c r="I7940" t="str">
        <f t="shared" si="1487"/>
        <v>29/10/2025</v>
      </c>
      <c r="J7940" t="str">
        <f t="shared" si="1490"/>
        <v>27/10/2025</v>
      </c>
      <c r="K7940" t="str">
        <f>("30/10/2025")</f>
        <v>30/10/2025</v>
      </c>
      <c r="L7940">
        <v>902.42</v>
      </c>
      <c r="M7940">
        <v>902.42</v>
      </c>
      <c r="N7940">
        <v>303</v>
      </c>
      <c r="O7940" t="str">
        <f>"RECEITAS COM ENTREGAS"</f>
        <v>RECEITAS COM ENTREGAS</v>
      </c>
      <c r="P7940">
        <v>902.42</v>
      </c>
      <c r="S7940" t="str">
        <f>"RECEITAS COM ENTREGAS (303)"</f>
        <v>RECEITAS COM ENTREGAS (303)</v>
      </c>
      <c r="T7940">
        <v>20382</v>
      </c>
      <c r="U7940">
        <v>24421</v>
      </c>
      <c r="V7940" t="s">
        <v>22</v>
      </c>
    </row>
    <row r="7941" spans="1:22">
      <c r="A7941" t="str">
        <f t="shared" si="1474"/>
        <v>30/10/2025</v>
      </c>
      <c r="B7941" t="str">
        <f t="shared" si="1485"/>
        <v>ENTRADA</v>
      </c>
      <c r="C7941" t="str">
        <f t="shared" si="1486"/>
        <v>NFSE</v>
      </c>
      <c r="D7941" t="str">
        <f>"3583"</f>
        <v>3583</v>
      </c>
      <c r="E7941" t="str">
        <f t="shared" si="1489"/>
        <v>1</v>
      </c>
      <c r="F7941" t="str">
        <f t="shared" si="1488"/>
        <v>COM</v>
      </c>
      <c r="G7941" t="str">
        <f>"DROGARIA TOTAL JUNDIAI (10177)"</f>
        <v>DROGARIA TOTAL JUNDIAI (10177)</v>
      </c>
      <c r="H7941" t="s">
        <v>2198</v>
      </c>
      <c r="I7941" t="str">
        <f t="shared" si="1487"/>
        <v>29/10/2025</v>
      </c>
      <c r="J7941" t="str">
        <f t="shared" si="1490"/>
        <v>27/10/2025</v>
      </c>
      <c r="K7941">
        <v>45960</v>
      </c>
      <c r="N7941">
        <v>303</v>
      </c>
      <c r="O7941" t="s">
        <v>69</v>
      </c>
      <c r="Q7941">
        <v>902.42</v>
      </c>
      <c r="R7941" t="str">
        <f>"DROGARIA TOTAL JUNDIAI (10177)"</f>
        <v>DROGARIA TOTAL JUNDIAI (10177)</v>
      </c>
      <c r="S7941" t="s">
        <v>70</v>
      </c>
      <c r="T7941">
        <v>20382</v>
      </c>
      <c r="U7941">
        <v>24421</v>
      </c>
      <c r="V7941" t="s">
        <v>22</v>
      </c>
    </row>
    <row r="7942" spans="1:22">
      <c r="A7942" t="str">
        <f t="shared" si="1474"/>
        <v>30/10/2025</v>
      </c>
      <c r="B7942" t="str">
        <f t="shared" si="1485"/>
        <v>ENTRADA</v>
      </c>
      <c r="C7942" t="str">
        <f t="shared" si="1486"/>
        <v>NFSE</v>
      </c>
      <c r="D7942" t="str">
        <f>"3584"</f>
        <v>3584</v>
      </c>
      <c r="E7942" t="str">
        <f t="shared" si="1489"/>
        <v>1</v>
      </c>
      <c r="F7942" t="str">
        <f t="shared" si="1488"/>
        <v>COM</v>
      </c>
      <c r="G7942" t="str">
        <f>"DROGARIA MEDIC CENTER LTDA (10172)"</f>
        <v>DROGARIA MEDIC CENTER LTDA (10172)</v>
      </c>
      <c r="H7942" t="str">
        <f>"Serv.Prest. 20/10/2025 a 26/10/2025 - RPS: 1460 - NFSe: 3584"</f>
        <v>Serv.Prest. 20/10/2025 a 26/10/2025 - RPS: 1460 - NFSe: 3584</v>
      </c>
      <c r="I7942" t="str">
        <f t="shared" si="1487"/>
        <v>29/10/2025</v>
      </c>
      <c r="J7942" t="str">
        <f t="shared" si="1490"/>
        <v>27/10/2025</v>
      </c>
      <c r="K7942" t="str">
        <f>("30/10/2025")</f>
        <v>30/10/2025</v>
      </c>
      <c r="L7942">
        <v>1198.8</v>
      </c>
      <c r="M7942">
        <v>1198.8</v>
      </c>
      <c r="N7942">
        <v>303</v>
      </c>
      <c r="O7942" t="str">
        <f>"RECEITAS COM ENTREGAS"</f>
        <v>RECEITAS COM ENTREGAS</v>
      </c>
      <c r="P7942">
        <v>1198.8</v>
      </c>
      <c r="S7942" t="str">
        <f>"RECEITAS COM ENTREGAS (303)"</f>
        <v>RECEITAS COM ENTREGAS (303)</v>
      </c>
      <c r="T7942">
        <v>20383</v>
      </c>
      <c r="U7942">
        <v>24424</v>
      </c>
      <c r="V7942" t="s">
        <v>22</v>
      </c>
    </row>
    <row r="7943" spans="1:22">
      <c r="A7943" t="str">
        <f t="shared" si="1474"/>
        <v>30/10/2025</v>
      </c>
      <c r="B7943" t="str">
        <f t="shared" si="1485"/>
        <v>ENTRADA</v>
      </c>
      <c r="C7943" t="str">
        <f t="shared" si="1486"/>
        <v>NFSE</v>
      </c>
      <c r="D7943" t="str">
        <f>"3584"</f>
        <v>3584</v>
      </c>
      <c r="E7943" t="str">
        <f t="shared" si="1489"/>
        <v>1</v>
      </c>
      <c r="F7943" t="str">
        <f t="shared" si="1488"/>
        <v>COM</v>
      </c>
      <c r="G7943" t="str">
        <f>"DROGARIA MEDIC CENTER LTDA (10172)"</f>
        <v>DROGARIA MEDIC CENTER LTDA (10172)</v>
      </c>
      <c r="H7943" t="s">
        <v>2199</v>
      </c>
      <c r="I7943" t="str">
        <f t="shared" si="1487"/>
        <v>29/10/2025</v>
      </c>
      <c r="J7943" t="str">
        <f t="shared" si="1490"/>
        <v>27/10/2025</v>
      </c>
      <c r="K7943">
        <v>45960</v>
      </c>
      <c r="N7943">
        <v>303</v>
      </c>
      <c r="O7943" t="s">
        <v>69</v>
      </c>
      <c r="Q7943">
        <v>1198.8</v>
      </c>
      <c r="R7943" t="str">
        <f>"DROGARIA MEDIC CENTER LTDA (10172)"</f>
        <v>DROGARIA MEDIC CENTER LTDA (10172)</v>
      </c>
      <c r="S7943" t="s">
        <v>70</v>
      </c>
      <c r="T7943">
        <v>20383</v>
      </c>
      <c r="U7943">
        <v>24424</v>
      </c>
      <c r="V7943" t="s">
        <v>22</v>
      </c>
    </row>
    <row r="7944" spans="1:22">
      <c r="A7944" t="str">
        <f t="shared" si="1474"/>
        <v>30/10/2025</v>
      </c>
      <c r="B7944" t="str">
        <f t="shared" si="1485"/>
        <v>ENTRADA</v>
      </c>
      <c r="C7944" t="str">
        <f t="shared" si="1486"/>
        <v>NFSE</v>
      </c>
      <c r="D7944" t="str">
        <f>"3586"</f>
        <v>3586</v>
      </c>
      <c r="E7944" t="str">
        <f t="shared" si="1489"/>
        <v>1</v>
      </c>
      <c r="F7944" t="str">
        <f t="shared" si="1488"/>
        <v>COM</v>
      </c>
      <c r="G7944" t="str">
        <f>"FARMACIA ECONOMIZE (10103)"</f>
        <v>FARMACIA ECONOMIZE (10103)</v>
      </c>
      <c r="H7944" t="str">
        <f>"Serv.Prest. 20/10/2025 a 26/10/2025 - RPS: 1462 - NFSe: 3586"</f>
        <v>Serv.Prest. 20/10/2025 a 26/10/2025 - RPS: 1462 - NFSe: 3586</v>
      </c>
      <c r="I7944" t="str">
        <f t="shared" si="1487"/>
        <v>29/10/2025</v>
      </c>
      <c r="J7944" t="str">
        <f t="shared" si="1490"/>
        <v>27/10/2025</v>
      </c>
      <c r="K7944" t="str">
        <f>("30/10/2025")</f>
        <v>30/10/2025</v>
      </c>
      <c r="L7944">
        <v>2178</v>
      </c>
      <c r="M7944">
        <v>2178</v>
      </c>
      <c r="N7944">
        <v>303</v>
      </c>
      <c r="O7944" t="str">
        <f>"RECEITAS COM ENTREGAS"</f>
        <v>RECEITAS COM ENTREGAS</v>
      </c>
      <c r="P7944">
        <v>2178</v>
      </c>
      <c r="S7944" t="str">
        <f>"RECEITAS COM ENTREGAS (303)"</f>
        <v>RECEITAS COM ENTREGAS (303)</v>
      </c>
      <c r="T7944">
        <v>20384</v>
      </c>
      <c r="U7944">
        <v>24434</v>
      </c>
      <c r="V7944" t="s">
        <v>22</v>
      </c>
    </row>
    <row r="7945" spans="1:22">
      <c r="A7945" t="str">
        <f t="shared" si="1474"/>
        <v>30/10/2025</v>
      </c>
      <c r="B7945" t="str">
        <f t="shared" si="1485"/>
        <v>ENTRADA</v>
      </c>
      <c r="C7945" t="str">
        <f t="shared" si="1486"/>
        <v>NFSE</v>
      </c>
      <c r="D7945" t="str">
        <f>"3586"</f>
        <v>3586</v>
      </c>
      <c r="E7945" t="str">
        <f t="shared" si="1489"/>
        <v>1</v>
      </c>
      <c r="F7945" t="str">
        <f t="shared" si="1488"/>
        <v>COM</v>
      </c>
      <c r="G7945" t="str">
        <f>"FARMACIA ECONOMIZE (10103)"</f>
        <v>FARMACIA ECONOMIZE (10103)</v>
      </c>
      <c r="H7945" t="s">
        <v>2200</v>
      </c>
      <c r="I7945" t="str">
        <f t="shared" si="1487"/>
        <v>29/10/2025</v>
      </c>
      <c r="J7945" t="str">
        <f t="shared" si="1490"/>
        <v>27/10/2025</v>
      </c>
      <c r="K7945">
        <v>45960</v>
      </c>
      <c r="N7945">
        <v>303</v>
      </c>
      <c r="O7945" t="s">
        <v>69</v>
      </c>
      <c r="Q7945">
        <v>2178</v>
      </c>
      <c r="R7945" t="str">
        <f>"FARMACIA ECONOMIZE (10103)"</f>
        <v>FARMACIA ECONOMIZE (10103)</v>
      </c>
      <c r="S7945" t="s">
        <v>70</v>
      </c>
      <c r="T7945">
        <v>20384</v>
      </c>
      <c r="U7945">
        <v>24434</v>
      </c>
      <c r="V7945" t="s">
        <v>22</v>
      </c>
    </row>
    <row r="7946" spans="1:22">
      <c r="A7946" t="str">
        <f t="shared" si="1474"/>
        <v>30/10/2025</v>
      </c>
      <c r="B7946" t="str">
        <f t="shared" si="1485"/>
        <v>ENTRADA</v>
      </c>
      <c r="C7946" t="str">
        <f t="shared" si="1486"/>
        <v>NFSE</v>
      </c>
      <c r="D7946" t="str">
        <f>"3590"</f>
        <v>3590</v>
      </c>
      <c r="E7946" t="str">
        <f t="shared" si="1489"/>
        <v>1</v>
      </c>
      <c r="F7946" t="str">
        <f t="shared" si="1488"/>
        <v>COM</v>
      </c>
      <c r="G7946" t="str">
        <f>"LBL FARMACIA LTDA FILIAL (10192)"</f>
        <v>LBL FARMACIA LTDA FILIAL (10192)</v>
      </c>
      <c r="H7946" t="str">
        <f>"Serv.Prest. 20/10/2025 a 26/10/2025 - RPS: 1466 - NFSe: 3590"</f>
        <v>Serv.Prest. 20/10/2025 a 26/10/2025 - RPS: 1466 - NFSe: 3590</v>
      </c>
      <c r="I7946" t="str">
        <f t="shared" si="1487"/>
        <v>29/10/2025</v>
      </c>
      <c r="J7946" t="str">
        <f>("28/10/2025")</f>
        <v>28/10/2025</v>
      </c>
      <c r="K7946" t="str">
        <f>("30/10/2025")</f>
        <v>30/10/2025</v>
      </c>
      <c r="L7946">
        <v>1481.55</v>
      </c>
      <c r="M7946">
        <v>1481.55</v>
      </c>
      <c r="N7946">
        <v>303</v>
      </c>
      <c r="O7946" t="str">
        <f>"RECEITAS COM ENTREGAS"</f>
        <v>RECEITAS COM ENTREGAS</v>
      </c>
      <c r="P7946">
        <v>1481.55</v>
      </c>
      <c r="S7946" t="str">
        <f>"RECEITAS COM ENTREGAS (303)"</f>
        <v>RECEITAS COM ENTREGAS (303)</v>
      </c>
      <c r="T7946">
        <v>20385</v>
      </c>
      <c r="U7946">
        <v>24460</v>
      </c>
      <c r="V7946" t="s">
        <v>22</v>
      </c>
    </row>
    <row r="7947" spans="1:22">
      <c r="A7947" t="str">
        <f t="shared" si="1474"/>
        <v>30/10/2025</v>
      </c>
      <c r="B7947" t="str">
        <f t="shared" si="1485"/>
        <v>ENTRADA</v>
      </c>
      <c r="C7947" t="str">
        <f t="shared" si="1486"/>
        <v>NFSE</v>
      </c>
      <c r="D7947" t="str">
        <f>"3590"</f>
        <v>3590</v>
      </c>
      <c r="E7947" t="str">
        <f t="shared" si="1489"/>
        <v>1</v>
      </c>
      <c r="F7947" t="str">
        <f t="shared" si="1488"/>
        <v>COM</v>
      </c>
      <c r="G7947" t="str">
        <f>"LBL FARMACIA LTDA FILIAL (10192)"</f>
        <v>LBL FARMACIA LTDA FILIAL (10192)</v>
      </c>
      <c r="H7947" t="s">
        <v>2201</v>
      </c>
      <c r="I7947" t="str">
        <f t="shared" si="1487"/>
        <v>29/10/2025</v>
      </c>
      <c r="J7947" t="str">
        <f>("28/10/2025")</f>
        <v>28/10/2025</v>
      </c>
      <c r="K7947">
        <v>45960</v>
      </c>
      <c r="N7947">
        <v>303</v>
      </c>
      <c r="O7947" t="s">
        <v>69</v>
      </c>
      <c r="Q7947">
        <v>1481.55</v>
      </c>
      <c r="R7947" t="str">
        <f>"LBL FARMACIA LTDA FILIAL (10192)"</f>
        <v>LBL FARMACIA LTDA FILIAL (10192)</v>
      </c>
      <c r="S7947" t="s">
        <v>70</v>
      </c>
      <c r="T7947">
        <v>20385</v>
      </c>
      <c r="U7947">
        <v>24460</v>
      </c>
      <c r="V7947" t="s">
        <v>22</v>
      </c>
    </row>
    <row r="7948" spans="1:22">
      <c r="A7948" t="str">
        <f t="shared" si="1474"/>
        <v>30/10/2025</v>
      </c>
      <c r="B7948" t="str">
        <f t="shared" si="1485"/>
        <v>ENTRADA</v>
      </c>
      <c r="C7948" t="str">
        <f t="shared" si="1486"/>
        <v>NFSE</v>
      </c>
      <c r="D7948" t="str">
        <f>"3591"</f>
        <v>3591</v>
      </c>
      <c r="E7948" t="str">
        <f t="shared" si="1489"/>
        <v>1</v>
      </c>
      <c r="F7948" t="str">
        <f t="shared" si="1488"/>
        <v>COM</v>
      </c>
      <c r="G7948" t="str">
        <f>"LBL FARMACIA LTDA (10189)"</f>
        <v>LBL FARMACIA LTDA (10189)</v>
      </c>
      <c r="H7948" t="str">
        <f>"Serv.Prest. 20/10/2025 a 26/10/2025 - RPS: 1467 - NFSe: 3591"</f>
        <v>Serv.Prest. 20/10/2025 a 26/10/2025 - RPS: 1467 - NFSe: 3591</v>
      </c>
      <c r="I7948" t="str">
        <f t="shared" si="1487"/>
        <v>29/10/2025</v>
      </c>
      <c r="J7948" t="str">
        <f>("28/10/2025")</f>
        <v>28/10/2025</v>
      </c>
      <c r="K7948" t="str">
        <f>("30/10/2025")</f>
        <v>30/10/2025</v>
      </c>
      <c r="L7948">
        <v>553.35</v>
      </c>
      <c r="M7948">
        <v>553.35</v>
      </c>
      <c r="N7948">
        <v>303</v>
      </c>
      <c r="O7948" t="str">
        <f>"RECEITAS COM ENTREGAS"</f>
        <v>RECEITAS COM ENTREGAS</v>
      </c>
      <c r="P7948">
        <v>553.35</v>
      </c>
      <c r="S7948" t="str">
        <f>"RECEITAS COM ENTREGAS (303)"</f>
        <v>RECEITAS COM ENTREGAS (303)</v>
      </c>
      <c r="T7948">
        <v>20386</v>
      </c>
      <c r="U7948">
        <v>24463</v>
      </c>
      <c r="V7948" t="s">
        <v>22</v>
      </c>
    </row>
    <row r="7949" spans="1:22">
      <c r="A7949" t="str">
        <f t="shared" ref="A7949:A8012" si="1491">("30/10/2025")</f>
        <v>30/10/2025</v>
      </c>
      <c r="B7949" t="str">
        <f t="shared" si="1485"/>
        <v>ENTRADA</v>
      </c>
      <c r="C7949" t="str">
        <f t="shared" si="1486"/>
        <v>NFSE</v>
      </c>
      <c r="D7949" t="str">
        <f>"3591"</f>
        <v>3591</v>
      </c>
      <c r="E7949" t="str">
        <f t="shared" si="1489"/>
        <v>1</v>
      </c>
      <c r="F7949" t="str">
        <f t="shared" si="1488"/>
        <v>COM</v>
      </c>
      <c r="G7949" t="str">
        <f>"LBL FARMACIA LTDA (10189)"</f>
        <v>LBL FARMACIA LTDA (10189)</v>
      </c>
      <c r="H7949" t="s">
        <v>2202</v>
      </c>
      <c r="I7949" t="str">
        <f t="shared" si="1487"/>
        <v>29/10/2025</v>
      </c>
      <c r="J7949" t="str">
        <f>("28/10/2025")</f>
        <v>28/10/2025</v>
      </c>
      <c r="K7949">
        <v>45960</v>
      </c>
      <c r="N7949">
        <v>303</v>
      </c>
      <c r="O7949" t="s">
        <v>69</v>
      </c>
      <c r="Q7949">
        <v>553.35</v>
      </c>
      <c r="R7949" t="str">
        <f>"LBL FARMACIA LTDA (10189)"</f>
        <v>LBL FARMACIA LTDA (10189)</v>
      </c>
      <c r="S7949" t="s">
        <v>70</v>
      </c>
      <c r="T7949">
        <v>20386</v>
      </c>
      <c r="U7949">
        <v>24463</v>
      </c>
      <c r="V7949" t="s">
        <v>22</v>
      </c>
    </row>
    <row r="7950" spans="1:22">
      <c r="A7950" t="str">
        <f t="shared" si="1491"/>
        <v>30/10/2025</v>
      </c>
      <c r="B7950" t="str">
        <f t="shared" ref="B7950:B8013" si="1492">"SAÍDA"</f>
        <v>SAÍDA</v>
      </c>
      <c r="C7950" t="str">
        <f>"BOLETO"</f>
        <v>BOLETO</v>
      </c>
      <c r="D7950" t="str">
        <f>"24550"</f>
        <v>24550</v>
      </c>
      <c r="E7950" t="str">
        <f>""</f>
        <v/>
      </c>
      <c r="F7950" t="str">
        <f t="shared" si="1488"/>
        <v>COM</v>
      </c>
      <c r="G7950" t="str">
        <f>"SYSTEM DESIGN INFORMATICA LTDA (20039)"</f>
        <v>SYSTEM DESIGN INFORMATICA LTDA (20039)</v>
      </c>
      <c r="H7950" t="str">
        <f>"MANUTENCAO SISTEMA SD"</f>
        <v>MANUTENCAO SISTEMA SD</v>
      </c>
      <c r="I7950" t="str">
        <f t="shared" ref="I7950:I8013" si="1493">("30/10/2025")</f>
        <v>30/10/2025</v>
      </c>
      <c r="J7950" t="str">
        <f>("13/10/2025")</f>
        <v>13/10/2025</v>
      </c>
      <c r="K7950" t="str">
        <f>("30/10/2025")</f>
        <v>30/10/2025</v>
      </c>
      <c r="L7950">
        <v>863</v>
      </c>
      <c r="M7950">
        <v>863</v>
      </c>
      <c r="N7950">
        <v>104</v>
      </c>
      <c r="O7950" t="str">
        <f>"SOFTWARE / LICENÇAS"</f>
        <v>SOFTWARE / LICENÇAS</v>
      </c>
      <c r="P7950">
        <v>863</v>
      </c>
      <c r="S7950" t="str">
        <f>"BANCO CORA (102)"</f>
        <v>BANCO CORA (102)</v>
      </c>
      <c r="T7950">
        <v>20795</v>
      </c>
      <c r="U7950">
        <v>14961</v>
      </c>
      <c r="V7950" t="s">
        <v>22</v>
      </c>
    </row>
    <row r="7951" spans="1:22">
      <c r="A7951" t="str">
        <f t="shared" si="1491"/>
        <v>30/10/2025</v>
      </c>
      <c r="B7951" t="str">
        <f t="shared" si="1492"/>
        <v>SAÍDA</v>
      </c>
      <c r="C7951" t="str">
        <f>"BOLETO"</f>
        <v>BOLETO</v>
      </c>
      <c r="D7951" t="str">
        <f>"24550"</f>
        <v>24550</v>
      </c>
      <c r="E7951" t="str">
        <f>""</f>
        <v/>
      </c>
      <c r="F7951" t="str">
        <f t="shared" si="1488"/>
        <v>COM</v>
      </c>
      <c r="G7951" t="str">
        <f>"SYSTEM DESIGN INFORMATICA LTDA (20039)"</f>
        <v>SYSTEM DESIGN INFORMATICA LTDA (20039)</v>
      </c>
      <c r="H7951" t="s">
        <v>33</v>
      </c>
      <c r="I7951" t="str">
        <f t="shared" si="1493"/>
        <v>30/10/2025</v>
      </c>
      <c r="J7951" t="str">
        <f>("13/10/2025")</f>
        <v>13/10/2025</v>
      </c>
      <c r="K7951">
        <v>45960</v>
      </c>
      <c r="N7951">
        <v>104</v>
      </c>
      <c r="O7951" t="s">
        <v>34</v>
      </c>
      <c r="Q7951">
        <v>863</v>
      </c>
      <c r="R7951" t="str">
        <f>"SYSTEM DESIGN INFORMATICA LTDA (20039)"</f>
        <v>SYSTEM DESIGN INFORMATICA LTDA (20039)</v>
      </c>
      <c r="S7951" t="s">
        <v>22</v>
      </c>
      <c r="T7951">
        <v>20795</v>
      </c>
      <c r="U7951">
        <v>14961</v>
      </c>
      <c r="V7951" t="s">
        <v>22</v>
      </c>
    </row>
    <row r="7952" spans="1:22">
      <c r="A7952" t="str">
        <f t="shared" si="1491"/>
        <v>30/10/2025</v>
      </c>
      <c r="B7952" t="str">
        <f t="shared" si="1492"/>
        <v>SAÍDA</v>
      </c>
      <c r="C7952" t="str">
        <f t="shared" ref="C7952:C8015" si="1494">"PIX"</f>
        <v>PIX</v>
      </c>
      <c r="D7952" t="str">
        <f>"2310"</f>
        <v>2310</v>
      </c>
      <c r="E7952" t="str">
        <f>"30"</f>
        <v>30</v>
      </c>
      <c r="F7952" t="str">
        <f t="shared" si="1488"/>
        <v>COM</v>
      </c>
      <c r="G7952" t="str">
        <f>"51.114.831 TANIA CRISTINA JOAQUIM (20120)"</f>
        <v>51.114.831 TANIA CRISTINA JOAQUIM (20120)</v>
      </c>
      <c r="H7952" t="str">
        <f>"PAGAMENTO PRESTACAO DE SERVICOS - PIX CELULAR (11) 99181-5502"</f>
        <v>PAGAMENTO PRESTACAO DE SERVICOS - PIX CELULAR (11) 99181-5502</v>
      </c>
      <c r="I7952" t="str">
        <f t="shared" si="1493"/>
        <v>30/10/2025</v>
      </c>
      <c r="J7952" t="str">
        <f>("13/10/2025")</f>
        <v>13/10/2025</v>
      </c>
      <c r="K7952" t="str">
        <f>("30/10/2025")</f>
        <v>30/10/2025</v>
      </c>
      <c r="L7952">
        <v>625</v>
      </c>
      <c r="M7952">
        <v>625</v>
      </c>
      <c r="N7952">
        <v>114</v>
      </c>
      <c r="O7952" t="str">
        <f>"PRESTADORES DE SERVIÇOS"</f>
        <v>PRESTADORES DE SERVIÇOS</v>
      </c>
      <c r="P7952">
        <v>625</v>
      </c>
      <c r="S7952" t="str">
        <f>"BANCO CORA (102)"</f>
        <v>BANCO CORA (102)</v>
      </c>
      <c r="T7952">
        <v>20796</v>
      </c>
      <c r="U7952">
        <v>24541</v>
      </c>
      <c r="V7952" t="s">
        <v>22</v>
      </c>
    </row>
    <row r="7953" spans="1:22">
      <c r="A7953" t="str">
        <f t="shared" si="1491"/>
        <v>30/10/2025</v>
      </c>
      <c r="B7953" t="str">
        <f t="shared" si="1492"/>
        <v>SAÍDA</v>
      </c>
      <c r="C7953" t="str">
        <f t="shared" si="1494"/>
        <v>PIX</v>
      </c>
      <c r="D7953" t="str">
        <f>"2310"</f>
        <v>2310</v>
      </c>
      <c r="E7953" t="str">
        <f>"30"</f>
        <v>30</v>
      </c>
      <c r="F7953" t="str">
        <f t="shared" si="1488"/>
        <v>COM</v>
      </c>
      <c r="G7953" t="str">
        <f>"51.114.831 TANIA CRISTINA JOAQUIM (20120)"</f>
        <v>51.114.831 TANIA CRISTINA JOAQUIM (20120)</v>
      </c>
      <c r="H7953" t="s">
        <v>2001</v>
      </c>
      <c r="I7953" t="str">
        <f t="shared" si="1493"/>
        <v>30/10/2025</v>
      </c>
      <c r="J7953" t="str">
        <f>("13/10/2025")</f>
        <v>13/10/2025</v>
      </c>
      <c r="K7953">
        <v>45960</v>
      </c>
      <c r="N7953">
        <v>114</v>
      </c>
      <c r="O7953" t="s">
        <v>260</v>
      </c>
      <c r="Q7953">
        <v>625</v>
      </c>
      <c r="R7953" t="str">
        <f>"51.114.831 TANIA CRISTINA JOAQUIM (20120)"</f>
        <v>51.114.831 TANIA CRISTINA JOAQUIM (20120)</v>
      </c>
      <c r="S7953" t="s">
        <v>22</v>
      </c>
      <c r="T7953">
        <v>20796</v>
      </c>
      <c r="U7953">
        <v>24541</v>
      </c>
      <c r="V7953" t="s">
        <v>22</v>
      </c>
    </row>
    <row r="7954" spans="1:22">
      <c r="A7954" t="str">
        <f t="shared" si="1491"/>
        <v>30/10/2025</v>
      </c>
      <c r="B7954" t="str">
        <f t="shared" si="1492"/>
        <v>SAÍDA</v>
      </c>
      <c r="C7954" t="str">
        <f t="shared" si="1494"/>
        <v>PIX</v>
      </c>
      <c r="D7954" t="str">
        <f t="shared" ref="D7954:D7959" si="1495">"24380"</f>
        <v>24380</v>
      </c>
      <c r="E7954" t="str">
        <f t="shared" ref="E7954:E7969" si="1496">"1"</f>
        <v>1</v>
      </c>
      <c r="F7954" t="str">
        <f t="shared" si="1488"/>
        <v>COM</v>
      </c>
      <c r="G7954" t="str">
        <f t="shared" ref="G7954:G7959" si="1497">"DANILO VICENTE MARINHO SANTOS (1018)"</f>
        <v>DANILO VICENTE MARINHO SANTOS (1018)</v>
      </c>
      <c r="H7954" t="str">
        <f>"Serv.Prest. 20/10/2025 a 26/10/2025 - PIX: CELULAR - CHAVE: (11) 98768-7863"</f>
        <v>Serv.Prest. 20/10/2025 a 26/10/2025 - PIX: CELULAR - CHAVE: (11) 98768-7863</v>
      </c>
      <c r="I7954" t="str">
        <f t="shared" si="1493"/>
        <v>30/10/2025</v>
      </c>
      <c r="J7954" t="str">
        <f t="shared" ref="J7954:J7959" si="1498">("27/10/2025")</f>
        <v>27/10/2025</v>
      </c>
      <c r="K7954" t="str">
        <f>("30/10/2025")</f>
        <v>30/10/2025</v>
      </c>
      <c r="L7954">
        <v>1375</v>
      </c>
      <c r="M7954">
        <v>1375</v>
      </c>
      <c r="N7954">
        <v>109</v>
      </c>
      <c r="O7954" t="str">
        <f>"PAGAMENTO DE ENTREGADORES"</f>
        <v>PAGAMENTO DE ENTREGADORES</v>
      </c>
      <c r="P7954">
        <v>1375</v>
      </c>
      <c r="S7954" t="str">
        <f>"BANCO CORA (102)"</f>
        <v>BANCO CORA (102)</v>
      </c>
      <c r="T7954">
        <v>20797</v>
      </c>
      <c r="U7954">
        <v>24380</v>
      </c>
      <c r="V7954" t="s">
        <v>22</v>
      </c>
    </row>
    <row r="7955" spans="1:22">
      <c r="A7955" t="str">
        <f t="shared" si="1491"/>
        <v>30/10/2025</v>
      </c>
      <c r="B7955" t="str">
        <f t="shared" si="1492"/>
        <v>SAÍDA</v>
      </c>
      <c r="C7955" t="str">
        <f t="shared" si="1494"/>
        <v>PIX</v>
      </c>
      <c r="D7955" t="str">
        <f t="shared" si="1495"/>
        <v>24380</v>
      </c>
      <c r="E7955" t="str">
        <f t="shared" si="1496"/>
        <v>1</v>
      </c>
      <c r="F7955" t="str">
        <f t="shared" si="1488"/>
        <v>COM</v>
      </c>
      <c r="G7955" t="str">
        <f t="shared" si="1497"/>
        <v>DANILO VICENTE MARINHO SANTOS (1018)</v>
      </c>
      <c r="H7955" t="s">
        <v>2203</v>
      </c>
      <c r="I7955" t="str">
        <f t="shared" si="1493"/>
        <v>30/10/2025</v>
      </c>
      <c r="J7955" t="str">
        <f t="shared" si="1498"/>
        <v>27/10/2025</v>
      </c>
      <c r="K7955">
        <v>45960</v>
      </c>
      <c r="N7955">
        <v>109</v>
      </c>
      <c r="O7955" t="s">
        <v>24</v>
      </c>
      <c r="Q7955">
        <v>275</v>
      </c>
      <c r="R7955" t="str">
        <f>"PENSE FARMA 08 (10217)"</f>
        <v>PENSE FARMA 08 (10217)</v>
      </c>
      <c r="S7955" t="s">
        <v>22</v>
      </c>
      <c r="T7955">
        <v>20797</v>
      </c>
      <c r="U7955">
        <v>24380</v>
      </c>
      <c r="V7955" t="s">
        <v>22</v>
      </c>
    </row>
    <row r="7956" spans="1:22">
      <c r="A7956" t="str">
        <f t="shared" si="1491"/>
        <v>30/10/2025</v>
      </c>
      <c r="B7956" t="str">
        <f t="shared" si="1492"/>
        <v>SAÍDA</v>
      </c>
      <c r="C7956" t="str">
        <f t="shared" si="1494"/>
        <v>PIX</v>
      </c>
      <c r="D7956" t="str">
        <f t="shared" si="1495"/>
        <v>24380</v>
      </c>
      <c r="E7956" t="str">
        <f t="shared" si="1496"/>
        <v>1</v>
      </c>
      <c r="F7956" t="str">
        <f t="shared" si="1488"/>
        <v>COM</v>
      </c>
      <c r="G7956" t="str">
        <f t="shared" si="1497"/>
        <v>DANILO VICENTE MARINHO SANTOS (1018)</v>
      </c>
      <c r="H7956" t="s">
        <v>2203</v>
      </c>
      <c r="I7956" t="str">
        <f t="shared" si="1493"/>
        <v>30/10/2025</v>
      </c>
      <c r="J7956" t="str">
        <f t="shared" si="1498"/>
        <v>27/10/2025</v>
      </c>
      <c r="K7956">
        <v>45960</v>
      </c>
      <c r="N7956">
        <v>109</v>
      </c>
      <c r="O7956" t="s">
        <v>24</v>
      </c>
      <c r="Q7956">
        <v>275</v>
      </c>
      <c r="R7956" t="str">
        <f>"PENSE FARMA 11 (10220)"</f>
        <v>PENSE FARMA 11 (10220)</v>
      </c>
      <c r="S7956" t="s">
        <v>22</v>
      </c>
      <c r="T7956">
        <v>20797</v>
      </c>
      <c r="U7956">
        <v>24380</v>
      </c>
      <c r="V7956" t="s">
        <v>22</v>
      </c>
    </row>
    <row r="7957" spans="1:22">
      <c r="A7957" t="str">
        <f t="shared" si="1491"/>
        <v>30/10/2025</v>
      </c>
      <c r="B7957" t="str">
        <f t="shared" si="1492"/>
        <v>SAÍDA</v>
      </c>
      <c r="C7957" t="str">
        <f t="shared" si="1494"/>
        <v>PIX</v>
      </c>
      <c r="D7957" t="str">
        <f t="shared" si="1495"/>
        <v>24380</v>
      </c>
      <c r="E7957" t="str">
        <f t="shared" si="1496"/>
        <v>1</v>
      </c>
      <c r="F7957" t="str">
        <f t="shared" si="1488"/>
        <v>COM</v>
      </c>
      <c r="G7957" t="str">
        <f t="shared" si="1497"/>
        <v>DANILO VICENTE MARINHO SANTOS (1018)</v>
      </c>
      <c r="H7957" t="s">
        <v>2203</v>
      </c>
      <c r="I7957" t="str">
        <f t="shared" si="1493"/>
        <v>30/10/2025</v>
      </c>
      <c r="J7957" t="str">
        <f t="shared" si="1498"/>
        <v>27/10/2025</v>
      </c>
      <c r="K7957">
        <v>45960</v>
      </c>
      <c r="N7957">
        <v>109</v>
      </c>
      <c r="O7957" t="s">
        <v>24</v>
      </c>
      <c r="Q7957">
        <v>275</v>
      </c>
      <c r="R7957" t="str">
        <f>"PENSE FARMA 41 (10229)"</f>
        <v>PENSE FARMA 41 (10229)</v>
      </c>
      <c r="S7957" t="s">
        <v>22</v>
      </c>
      <c r="T7957">
        <v>20797</v>
      </c>
      <c r="U7957">
        <v>24380</v>
      </c>
      <c r="V7957" t="s">
        <v>22</v>
      </c>
    </row>
    <row r="7958" spans="1:22">
      <c r="A7958" t="str">
        <f t="shared" si="1491"/>
        <v>30/10/2025</v>
      </c>
      <c r="B7958" t="str">
        <f t="shared" si="1492"/>
        <v>SAÍDA</v>
      </c>
      <c r="C7958" t="str">
        <f t="shared" si="1494"/>
        <v>PIX</v>
      </c>
      <c r="D7958" t="str">
        <f t="shared" si="1495"/>
        <v>24380</v>
      </c>
      <c r="E7958" t="str">
        <f t="shared" si="1496"/>
        <v>1</v>
      </c>
      <c r="F7958" t="str">
        <f t="shared" si="1488"/>
        <v>COM</v>
      </c>
      <c r="G7958" t="str">
        <f t="shared" si="1497"/>
        <v>DANILO VICENTE MARINHO SANTOS (1018)</v>
      </c>
      <c r="H7958" t="s">
        <v>2203</v>
      </c>
      <c r="I7958" t="str">
        <f t="shared" si="1493"/>
        <v>30/10/2025</v>
      </c>
      <c r="J7958" t="str">
        <f t="shared" si="1498"/>
        <v>27/10/2025</v>
      </c>
      <c r="K7958">
        <v>45960</v>
      </c>
      <c r="N7958">
        <v>109</v>
      </c>
      <c r="O7958" t="s">
        <v>24</v>
      </c>
      <c r="Q7958">
        <v>275</v>
      </c>
      <c r="R7958" t="str">
        <f>"PENSE FARMA 42 (10230)"</f>
        <v>PENSE FARMA 42 (10230)</v>
      </c>
      <c r="S7958" t="s">
        <v>22</v>
      </c>
      <c r="T7958">
        <v>20797</v>
      </c>
      <c r="U7958">
        <v>24380</v>
      </c>
      <c r="V7958" t="s">
        <v>22</v>
      </c>
    </row>
    <row r="7959" spans="1:22">
      <c r="A7959" t="str">
        <f t="shared" si="1491"/>
        <v>30/10/2025</v>
      </c>
      <c r="B7959" t="str">
        <f t="shared" si="1492"/>
        <v>SAÍDA</v>
      </c>
      <c r="C7959" t="str">
        <f t="shared" si="1494"/>
        <v>PIX</v>
      </c>
      <c r="D7959" t="str">
        <f t="shared" si="1495"/>
        <v>24380</v>
      </c>
      <c r="E7959" t="str">
        <f t="shared" si="1496"/>
        <v>1</v>
      </c>
      <c r="F7959" t="str">
        <f t="shared" si="1488"/>
        <v>COM</v>
      </c>
      <c r="G7959" t="str">
        <f t="shared" si="1497"/>
        <v>DANILO VICENTE MARINHO SANTOS (1018)</v>
      </c>
      <c r="H7959" t="s">
        <v>2203</v>
      </c>
      <c r="I7959" t="str">
        <f t="shared" si="1493"/>
        <v>30/10/2025</v>
      </c>
      <c r="J7959" t="str">
        <f t="shared" si="1498"/>
        <v>27/10/2025</v>
      </c>
      <c r="K7959">
        <v>45960</v>
      </c>
      <c r="N7959">
        <v>109</v>
      </c>
      <c r="O7959" t="s">
        <v>24</v>
      </c>
      <c r="Q7959">
        <v>275</v>
      </c>
      <c r="R7959" t="str">
        <f>"PENSE FARMA 52 (10236)"</f>
        <v>PENSE FARMA 52 (10236)</v>
      </c>
      <c r="S7959" t="s">
        <v>22</v>
      </c>
      <c r="T7959">
        <v>20797</v>
      </c>
      <c r="U7959">
        <v>24380</v>
      </c>
      <c r="V7959" t="s">
        <v>22</v>
      </c>
    </row>
    <row r="7960" spans="1:22">
      <c r="A7960" t="str">
        <f t="shared" si="1491"/>
        <v>30/10/2025</v>
      </c>
      <c r="B7960" t="str">
        <f t="shared" si="1492"/>
        <v>SAÍDA</v>
      </c>
      <c r="C7960" t="str">
        <f t="shared" si="1494"/>
        <v>PIX</v>
      </c>
      <c r="D7960" t="str">
        <f>"24172"</f>
        <v>24172</v>
      </c>
      <c r="E7960" t="str">
        <f t="shared" si="1496"/>
        <v>1</v>
      </c>
      <c r="F7960" t="str">
        <f t="shared" si="1488"/>
        <v>COM</v>
      </c>
      <c r="G7960" t="str">
        <f>"ALEXANDRE DA CONCEICAO (714)"</f>
        <v>ALEXANDRE DA CONCEICAO (714)</v>
      </c>
      <c r="H7960" t="str">
        <f>"Serv.Prest. 13/10/2025 a 19/10/2025 - PIX: CPF - CHAVE: 975.425.989-53"</f>
        <v>Serv.Prest. 13/10/2025 a 19/10/2025 - PIX: CPF - CHAVE: 975.425.989-53</v>
      </c>
      <c r="I7960" t="str">
        <f t="shared" si="1493"/>
        <v>30/10/2025</v>
      </c>
      <c r="J7960" t="str">
        <f>("24/10/2025")</f>
        <v>24/10/2025</v>
      </c>
      <c r="K7960" t="str">
        <f>("30/10/2025")</f>
        <v>30/10/2025</v>
      </c>
      <c r="L7960">
        <v>18.899999999999999</v>
      </c>
      <c r="M7960">
        <v>18.899999999999999</v>
      </c>
      <c r="N7960">
        <v>109</v>
      </c>
      <c r="O7960" t="str">
        <f>"PAGAMENTO DE ENTREGADORES"</f>
        <v>PAGAMENTO DE ENTREGADORES</v>
      </c>
      <c r="P7960">
        <v>18.899999999999999</v>
      </c>
      <c r="S7960" t="str">
        <f>"BANCO CORA (102)"</f>
        <v>BANCO CORA (102)</v>
      </c>
      <c r="T7960">
        <v>20798</v>
      </c>
      <c r="U7960">
        <v>24172</v>
      </c>
      <c r="V7960" t="s">
        <v>22</v>
      </c>
    </row>
    <row r="7961" spans="1:22">
      <c r="A7961" t="str">
        <f t="shared" si="1491"/>
        <v>30/10/2025</v>
      </c>
      <c r="B7961" t="str">
        <f t="shared" si="1492"/>
        <v>SAÍDA</v>
      </c>
      <c r="C7961" t="str">
        <f t="shared" si="1494"/>
        <v>PIX</v>
      </c>
      <c r="D7961" t="str">
        <f>"24172"</f>
        <v>24172</v>
      </c>
      <c r="E7961" t="str">
        <f t="shared" si="1496"/>
        <v>1</v>
      </c>
      <c r="F7961" t="str">
        <f t="shared" si="1488"/>
        <v>COM</v>
      </c>
      <c r="G7961" t="str">
        <f>"ALEXANDRE DA CONCEICAO (714)"</f>
        <v>ALEXANDRE DA CONCEICAO (714)</v>
      </c>
      <c r="H7961" t="s">
        <v>2204</v>
      </c>
      <c r="I7961" t="str">
        <f t="shared" si="1493"/>
        <v>30/10/2025</v>
      </c>
      <c r="J7961" t="str">
        <f>("24/10/2025")</f>
        <v>24/10/2025</v>
      </c>
      <c r="K7961">
        <v>45960</v>
      </c>
      <c r="N7961">
        <v>109</v>
      </c>
      <c r="O7961" t="s">
        <v>24</v>
      </c>
      <c r="Q7961">
        <v>18.899999999999999</v>
      </c>
      <c r="R7961" t="str">
        <f>"AC FARMA -  FLEMINFARMA (10159)"</f>
        <v>AC FARMA -  FLEMINFARMA (10159)</v>
      </c>
      <c r="S7961" t="s">
        <v>22</v>
      </c>
      <c r="T7961">
        <v>20798</v>
      </c>
      <c r="U7961">
        <v>24172</v>
      </c>
      <c r="V7961" t="s">
        <v>22</v>
      </c>
    </row>
    <row r="7962" spans="1:22">
      <c r="A7962" t="str">
        <f t="shared" si="1491"/>
        <v>30/10/2025</v>
      </c>
      <c r="B7962" t="str">
        <f t="shared" si="1492"/>
        <v>SAÍDA</v>
      </c>
      <c r="C7962" t="str">
        <f t="shared" si="1494"/>
        <v>PIX</v>
      </c>
      <c r="D7962" t="str">
        <f>"24423"</f>
        <v>24423</v>
      </c>
      <c r="E7962" t="str">
        <f t="shared" si="1496"/>
        <v>1</v>
      </c>
      <c r="F7962" t="str">
        <f t="shared" si="1488"/>
        <v>COM</v>
      </c>
      <c r="G7962" t="str">
        <f>"JAMERSON SOUZA LOPES (749)"</f>
        <v>JAMERSON SOUZA LOPES (749)</v>
      </c>
      <c r="H7962" t="str">
        <f>"Serv.Prest. 20/10/2025 a 26/10/2025 - PIX: CPF - CHAVE: 423.098.018-36"</f>
        <v>Serv.Prest. 20/10/2025 a 26/10/2025 - PIX: CPF - CHAVE: 423.098.018-36</v>
      </c>
      <c r="I7962" t="str">
        <f t="shared" si="1493"/>
        <v>30/10/2025</v>
      </c>
      <c r="J7962" t="str">
        <f>("27/10/2025")</f>
        <v>27/10/2025</v>
      </c>
      <c r="K7962" t="str">
        <f>("30/10/2025")</f>
        <v>30/10/2025</v>
      </c>
      <c r="L7962">
        <v>172.98</v>
      </c>
      <c r="M7962">
        <v>172.98</v>
      </c>
      <c r="N7962">
        <v>109</v>
      </c>
      <c r="O7962" t="str">
        <f>"PAGAMENTO DE ENTREGADORES"</f>
        <v>PAGAMENTO DE ENTREGADORES</v>
      </c>
      <c r="P7962">
        <v>172.98</v>
      </c>
      <c r="S7962" t="str">
        <f>"BANCO CORA (102)"</f>
        <v>BANCO CORA (102)</v>
      </c>
      <c r="T7962">
        <v>20799</v>
      </c>
      <c r="U7962">
        <v>24423</v>
      </c>
      <c r="V7962" t="s">
        <v>22</v>
      </c>
    </row>
    <row r="7963" spans="1:22">
      <c r="A7963" t="str">
        <f t="shared" si="1491"/>
        <v>30/10/2025</v>
      </c>
      <c r="B7963" t="str">
        <f t="shared" si="1492"/>
        <v>SAÍDA</v>
      </c>
      <c r="C7963" t="str">
        <f t="shared" si="1494"/>
        <v>PIX</v>
      </c>
      <c r="D7963" t="str">
        <f>"24423"</f>
        <v>24423</v>
      </c>
      <c r="E7963" t="str">
        <f t="shared" si="1496"/>
        <v>1</v>
      </c>
      <c r="F7963" t="str">
        <f t="shared" si="1488"/>
        <v>COM</v>
      </c>
      <c r="G7963" t="str">
        <f>"JAMERSON SOUZA LOPES (749)"</f>
        <v>JAMERSON SOUZA LOPES (749)</v>
      </c>
      <c r="H7963" t="s">
        <v>2146</v>
      </c>
      <c r="I7963" t="str">
        <f t="shared" si="1493"/>
        <v>30/10/2025</v>
      </c>
      <c r="J7963" t="str">
        <f>("27/10/2025")</f>
        <v>27/10/2025</v>
      </c>
      <c r="K7963">
        <v>45960</v>
      </c>
      <c r="N7963">
        <v>109</v>
      </c>
      <c r="O7963" t="s">
        <v>24</v>
      </c>
      <c r="Q7963">
        <v>172.98</v>
      </c>
      <c r="R7963" t="str">
        <f>"DROGARIA TOTAL JUNDIAI (10177)"</f>
        <v>DROGARIA TOTAL JUNDIAI (10177)</v>
      </c>
      <c r="S7963" t="s">
        <v>22</v>
      </c>
      <c r="T7963">
        <v>20799</v>
      </c>
      <c r="U7963">
        <v>24423</v>
      </c>
      <c r="V7963" t="s">
        <v>22</v>
      </c>
    </row>
    <row r="7964" spans="1:22">
      <c r="A7964" t="str">
        <f t="shared" si="1491"/>
        <v>30/10/2025</v>
      </c>
      <c r="B7964" t="str">
        <f t="shared" si="1492"/>
        <v>SAÍDA</v>
      </c>
      <c r="C7964" t="str">
        <f t="shared" si="1494"/>
        <v>PIX</v>
      </c>
      <c r="D7964" t="str">
        <f>"24094"</f>
        <v>24094</v>
      </c>
      <c r="E7964" t="str">
        <f t="shared" si="1496"/>
        <v>1</v>
      </c>
      <c r="F7964" t="str">
        <f t="shared" si="1488"/>
        <v>COM</v>
      </c>
      <c r="G7964" t="str">
        <f>"JOSE MARIO MENEZES DA CRUZ (941)"</f>
        <v>JOSE MARIO MENEZES DA CRUZ (941)</v>
      </c>
      <c r="H7964" t="str">
        <f>"Serv.Prest. 13/10/2025 a 19/10/2025 - PIX: CPF - CHAVE: 009.476.175-23"</f>
        <v>Serv.Prest. 13/10/2025 a 19/10/2025 - PIX: CPF - CHAVE: 009.476.175-23</v>
      </c>
      <c r="I7964" t="str">
        <f t="shared" si="1493"/>
        <v>30/10/2025</v>
      </c>
      <c r="J7964" t="str">
        <f>("21/10/2025")</f>
        <v>21/10/2025</v>
      </c>
      <c r="K7964" t="str">
        <f>("30/10/2025")</f>
        <v>30/10/2025</v>
      </c>
      <c r="L7964">
        <v>870</v>
      </c>
      <c r="M7964">
        <v>870</v>
      </c>
      <c r="N7964">
        <v>109</v>
      </c>
      <c r="O7964" t="str">
        <f>"PAGAMENTO DE ENTREGADORES"</f>
        <v>PAGAMENTO DE ENTREGADORES</v>
      </c>
      <c r="P7964">
        <v>870</v>
      </c>
      <c r="S7964" t="str">
        <f>"BANCO CORA (102)"</f>
        <v>BANCO CORA (102)</v>
      </c>
      <c r="T7964">
        <v>20800</v>
      </c>
      <c r="U7964">
        <v>24094</v>
      </c>
      <c r="V7964" t="s">
        <v>22</v>
      </c>
    </row>
    <row r="7965" spans="1:22">
      <c r="A7965" t="str">
        <f t="shared" si="1491"/>
        <v>30/10/2025</v>
      </c>
      <c r="B7965" t="str">
        <f t="shared" si="1492"/>
        <v>SAÍDA</v>
      </c>
      <c r="C7965" t="str">
        <f t="shared" si="1494"/>
        <v>PIX</v>
      </c>
      <c r="D7965" t="str">
        <f>"24094"</f>
        <v>24094</v>
      </c>
      <c r="E7965" t="str">
        <f t="shared" si="1496"/>
        <v>1</v>
      </c>
      <c r="F7965" t="str">
        <f t="shared" si="1488"/>
        <v>COM</v>
      </c>
      <c r="G7965" t="str">
        <f>"JOSE MARIO MENEZES DA CRUZ (941)"</f>
        <v>JOSE MARIO MENEZES DA CRUZ (941)</v>
      </c>
      <c r="H7965" t="s">
        <v>2205</v>
      </c>
      <c r="I7965" t="str">
        <f t="shared" si="1493"/>
        <v>30/10/2025</v>
      </c>
      <c r="J7965" t="str">
        <f>("21/10/2025")</f>
        <v>21/10/2025</v>
      </c>
      <c r="K7965">
        <v>45960</v>
      </c>
      <c r="N7965">
        <v>109</v>
      </c>
      <c r="O7965" t="s">
        <v>24</v>
      </c>
      <c r="Q7965">
        <v>870</v>
      </c>
      <c r="R7965" t="str">
        <f>"FARMÁCIA INDIANA LJ 33 (10187)"</f>
        <v>FARMÁCIA INDIANA LJ 33 (10187)</v>
      </c>
      <c r="S7965" t="s">
        <v>22</v>
      </c>
      <c r="T7965">
        <v>20800</v>
      </c>
      <c r="U7965">
        <v>24094</v>
      </c>
      <c r="V7965" t="s">
        <v>22</v>
      </c>
    </row>
    <row r="7966" spans="1:22">
      <c r="A7966" t="str">
        <f t="shared" si="1491"/>
        <v>30/10/2025</v>
      </c>
      <c r="B7966" t="str">
        <f t="shared" si="1492"/>
        <v>SAÍDA</v>
      </c>
      <c r="C7966" t="str">
        <f t="shared" si="1494"/>
        <v>PIX</v>
      </c>
      <c r="D7966" t="str">
        <f>"24020"</f>
        <v>24020</v>
      </c>
      <c r="E7966" t="str">
        <f t="shared" si="1496"/>
        <v>1</v>
      </c>
      <c r="F7966" t="str">
        <f t="shared" si="1488"/>
        <v>COM</v>
      </c>
      <c r="G7966" t="str">
        <f>"KALESSON BARROSO DIAS (216)"</f>
        <v>KALESSON BARROSO DIAS (216)</v>
      </c>
      <c r="H7966" t="str">
        <f>"Serv.Prest. 13/10/2025 a 19/10/2025 - PIX: CELULAR - CHAVE: (33) 99106-9330"</f>
        <v>Serv.Prest. 13/10/2025 a 19/10/2025 - PIX: CELULAR - CHAVE: (33) 99106-9330</v>
      </c>
      <c r="I7966" t="str">
        <f t="shared" si="1493"/>
        <v>30/10/2025</v>
      </c>
      <c r="J7966" t="str">
        <f>("21/10/2025")</f>
        <v>21/10/2025</v>
      </c>
      <c r="K7966" t="str">
        <f>("30/10/2025")</f>
        <v>30/10/2025</v>
      </c>
      <c r="L7966">
        <v>1080</v>
      </c>
      <c r="M7966">
        <v>1080</v>
      </c>
      <c r="N7966">
        <v>109</v>
      </c>
      <c r="O7966" t="str">
        <f>"PAGAMENTO DE ENTREGADORES"</f>
        <v>PAGAMENTO DE ENTREGADORES</v>
      </c>
      <c r="P7966">
        <v>1080</v>
      </c>
      <c r="S7966" t="str">
        <f>"BANCO CORA (102)"</f>
        <v>BANCO CORA (102)</v>
      </c>
      <c r="T7966">
        <v>20801</v>
      </c>
      <c r="U7966">
        <v>24020</v>
      </c>
      <c r="V7966" t="s">
        <v>22</v>
      </c>
    </row>
    <row r="7967" spans="1:22">
      <c r="A7967" t="str">
        <f t="shared" si="1491"/>
        <v>30/10/2025</v>
      </c>
      <c r="B7967" t="str">
        <f t="shared" si="1492"/>
        <v>SAÍDA</v>
      </c>
      <c r="C7967" t="str">
        <f t="shared" si="1494"/>
        <v>PIX</v>
      </c>
      <c r="D7967" t="str">
        <f>"24020"</f>
        <v>24020</v>
      </c>
      <c r="E7967" t="str">
        <f t="shared" si="1496"/>
        <v>1</v>
      </c>
      <c r="F7967" t="str">
        <f t="shared" si="1488"/>
        <v>COM</v>
      </c>
      <c r="G7967" t="str">
        <f>"KALESSON BARROSO DIAS (216)"</f>
        <v>KALESSON BARROSO DIAS (216)</v>
      </c>
      <c r="H7967" t="s">
        <v>2206</v>
      </c>
      <c r="I7967" t="str">
        <f t="shared" si="1493"/>
        <v>30/10/2025</v>
      </c>
      <c r="J7967" t="str">
        <f>("21/10/2025")</f>
        <v>21/10/2025</v>
      </c>
      <c r="K7967">
        <v>45960</v>
      </c>
      <c r="N7967">
        <v>109</v>
      </c>
      <c r="O7967" t="s">
        <v>24</v>
      </c>
      <c r="Q7967">
        <v>1080</v>
      </c>
      <c r="R7967" t="str">
        <f>"FARMÁCIA INDIANA LJ 06 (10006)"</f>
        <v>FARMÁCIA INDIANA LJ 06 (10006)</v>
      </c>
      <c r="S7967" t="s">
        <v>22</v>
      </c>
      <c r="T7967">
        <v>20801</v>
      </c>
      <c r="U7967">
        <v>24020</v>
      </c>
      <c r="V7967" t="s">
        <v>22</v>
      </c>
    </row>
    <row r="7968" spans="1:22">
      <c r="A7968" t="str">
        <f t="shared" si="1491"/>
        <v>30/10/2025</v>
      </c>
      <c r="B7968" t="str">
        <f t="shared" si="1492"/>
        <v>SAÍDA</v>
      </c>
      <c r="C7968" t="str">
        <f t="shared" si="1494"/>
        <v>PIX</v>
      </c>
      <c r="D7968" t="str">
        <f>"24420"</f>
        <v>24420</v>
      </c>
      <c r="E7968" t="str">
        <f t="shared" si="1496"/>
        <v>1</v>
      </c>
      <c r="F7968" t="str">
        <f t="shared" si="1488"/>
        <v>COM</v>
      </c>
      <c r="G7968" t="str">
        <f>"ISAEL SANTOS ROSA (642)"</f>
        <v>ISAEL SANTOS ROSA (642)</v>
      </c>
      <c r="H7968" t="str">
        <f>"Serv.Prest. 20/10/2025 a 26/10/2025 - PIX: CELULAR - CHAVE: (31) 99376-7989"</f>
        <v>Serv.Prest. 20/10/2025 a 26/10/2025 - PIX: CELULAR - CHAVE: (31) 99376-7989</v>
      </c>
      <c r="I7968" t="str">
        <f t="shared" si="1493"/>
        <v>30/10/2025</v>
      </c>
      <c r="J7968" t="str">
        <f>("27/10/2025")</f>
        <v>27/10/2025</v>
      </c>
      <c r="K7968" t="str">
        <f>("30/10/2025")</f>
        <v>30/10/2025</v>
      </c>
      <c r="L7968">
        <v>1400</v>
      </c>
      <c r="M7968">
        <v>1400</v>
      </c>
      <c r="N7968">
        <v>109</v>
      </c>
      <c r="O7968" t="str">
        <f>"PAGAMENTO DE ENTREGADORES"</f>
        <v>PAGAMENTO DE ENTREGADORES</v>
      </c>
      <c r="P7968">
        <v>1400</v>
      </c>
      <c r="S7968" t="str">
        <f>"BANCO CORA (102)"</f>
        <v>BANCO CORA (102)</v>
      </c>
      <c r="T7968">
        <v>20802</v>
      </c>
      <c r="U7968">
        <v>24420</v>
      </c>
      <c r="V7968" t="s">
        <v>22</v>
      </c>
    </row>
    <row r="7969" spans="1:22">
      <c r="A7969" t="str">
        <f t="shared" si="1491"/>
        <v>30/10/2025</v>
      </c>
      <c r="B7969" t="str">
        <f t="shared" si="1492"/>
        <v>SAÍDA</v>
      </c>
      <c r="C7969" t="str">
        <f t="shared" si="1494"/>
        <v>PIX</v>
      </c>
      <c r="D7969" t="str">
        <f>"24420"</f>
        <v>24420</v>
      </c>
      <c r="E7969" t="str">
        <f t="shared" si="1496"/>
        <v>1</v>
      </c>
      <c r="F7969" t="str">
        <f t="shared" si="1488"/>
        <v>COM</v>
      </c>
      <c r="G7969" t="str">
        <f>"ISAEL SANTOS ROSA (642)"</f>
        <v>ISAEL SANTOS ROSA (642)</v>
      </c>
      <c r="H7969" t="s">
        <v>2207</v>
      </c>
      <c r="I7969" t="str">
        <f t="shared" si="1493"/>
        <v>30/10/2025</v>
      </c>
      <c r="J7969" t="str">
        <f>("27/10/2025")</f>
        <v>27/10/2025</v>
      </c>
      <c r="K7969">
        <v>45960</v>
      </c>
      <c r="N7969">
        <v>109</v>
      </c>
      <c r="O7969" t="s">
        <v>24</v>
      </c>
      <c r="Q7969">
        <v>1400</v>
      </c>
      <c r="R7969" t="str">
        <f>"DROGARIA POUPA MINAS (ULTRAMINAS) 3 (10129)"</f>
        <v>DROGARIA POUPA MINAS (ULTRAMINAS) 3 (10129)</v>
      </c>
      <c r="S7969" t="s">
        <v>22</v>
      </c>
      <c r="T7969">
        <v>20802</v>
      </c>
      <c r="U7969">
        <v>24420</v>
      </c>
      <c r="V7969" t="s">
        <v>22</v>
      </c>
    </row>
    <row r="7970" spans="1:22">
      <c r="A7970" t="str">
        <f t="shared" si="1491"/>
        <v>30/10/2025</v>
      </c>
      <c r="B7970" t="str">
        <f t="shared" si="1492"/>
        <v>SAÍDA</v>
      </c>
      <c r="C7970" t="str">
        <f t="shared" si="1494"/>
        <v>PIX</v>
      </c>
      <c r="D7970" t="str">
        <f>"24423"</f>
        <v>24423</v>
      </c>
      <c r="E7970" t="str">
        <f>"2"</f>
        <v>2</v>
      </c>
      <c r="F7970" t="str">
        <f t="shared" si="1488"/>
        <v>COM</v>
      </c>
      <c r="G7970" t="str">
        <f>"JAMERSON SOUZA LOPES (749)"</f>
        <v>JAMERSON SOUZA LOPES (749)</v>
      </c>
      <c r="H7970" t="str">
        <f>"DIARIA 28/10/2025 - PIX: CPF - CHAVE: 423.098.018-36"</f>
        <v>DIARIA 28/10/2025 - PIX: CPF - CHAVE: 423.098.018-36</v>
      </c>
      <c r="I7970" t="str">
        <f t="shared" si="1493"/>
        <v>30/10/2025</v>
      </c>
      <c r="J7970" t="str">
        <f>("28/10/2025")</f>
        <v>28/10/2025</v>
      </c>
      <c r="K7970" t="str">
        <f>("30/10/2025")</f>
        <v>30/10/2025</v>
      </c>
      <c r="L7970">
        <v>130</v>
      </c>
      <c r="M7970">
        <v>130</v>
      </c>
      <c r="N7970">
        <v>5000</v>
      </c>
      <c r="O7970" t="str">
        <f>"SOLICITACAO DE ADIANTAMENTO"</f>
        <v>SOLICITACAO DE ADIANTAMENTO</v>
      </c>
      <c r="P7970">
        <v>130</v>
      </c>
      <c r="S7970" t="str">
        <f>"BANCO CORA (102)"</f>
        <v>BANCO CORA (102)</v>
      </c>
      <c r="T7970">
        <v>21825</v>
      </c>
      <c r="U7970">
        <v>24491</v>
      </c>
      <c r="V7970" t="s">
        <v>22</v>
      </c>
    </row>
    <row r="7971" spans="1:22">
      <c r="A7971" t="str">
        <f t="shared" si="1491"/>
        <v>30/10/2025</v>
      </c>
      <c r="B7971" t="str">
        <f t="shared" si="1492"/>
        <v>SAÍDA</v>
      </c>
      <c r="C7971" t="str">
        <f t="shared" si="1494"/>
        <v>PIX</v>
      </c>
      <c r="D7971" t="str">
        <f>"24423"</f>
        <v>24423</v>
      </c>
      <c r="E7971" t="str">
        <f>"2"</f>
        <v>2</v>
      </c>
      <c r="F7971" t="str">
        <f t="shared" si="1488"/>
        <v>COM</v>
      </c>
      <c r="G7971" t="str">
        <f>"JAMERSON SOUZA LOPES (749)"</f>
        <v>JAMERSON SOUZA LOPES (749)</v>
      </c>
      <c r="H7971" t="s">
        <v>2208</v>
      </c>
      <c r="I7971" t="str">
        <f t="shared" si="1493"/>
        <v>30/10/2025</v>
      </c>
      <c r="J7971" t="str">
        <f>("28/10/2025")</f>
        <v>28/10/2025</v>
      </c>
      <c r="K7971">
        <v>45960</v>
      </c>
      <c r="N7971">
        <v>5000</v>
      </c>
      <c r="O7971" t="s">
        <v>86</v>
      </c>
      <c r="Q7971">
        <v>130</v>
      </c>
      <c r="R7971" t="str">
        <f>"JAMERSON SOUZA LOPES (749)"</f>
        <v>JAMERSON SOUZA LOPES (749)</v>
      </c>
      <c r="S7971" t="s">
        <v>22</v>
      </c>
      <c r="T7971">
        <v>21825</v>
      </c>
      <c r="U7971">
        <v>24491</v>
      </c>
      <c r="V7971" t="s">
        <v>22</v>
      </c>
    </row>
    <row r="7972" spans="1:22">
      <c r="A7972" t="str">
        <f t="shared" si="1491"/>
        <v>30/10/2025</v>
      </c>
      <c r="B7972" t="str">
        <f t="shared" si="1492"/>
        <v>SAÍDA</v>
      </c>
      <c r="C7972" t="str">
        <f t="shared" si="1494"/>
        <v>PIX</v>
      </c>
      <c r="D7972" t="str">
        <f>"301020"</f>
        <v>301020</v>
      </c>
      <c r="E7972" t="str">
        <f t="shared" ref="E7972:E7979" si="1499">"25"</f>
        <v>25</v>
      </c>
      <c r="F7972" t="str">
        <f t="shared" si="1488"/>
        <v>COM</v>
      </c>
      <c r="G7972" t="str">
        <f>"HENRIQUE AMORIM DA SILVA (447)"</f>
        <v>HENRIQUE AMORIM DA SILVA (447)</v>
      </c>
      <c r="H7972" t="str">
        <f>"DEVOLUCAO 8 COTAS COOPERATIVA - PIX: CELULAR - CHAVE: (33) 99854-8720"</f>
        <v>DEVOLUCAO 8 COTAS COOPERATIVA - PIX: CELULAR - CHAVE: (33) 99854-8720</v>
      </c>
      <c r="I7972" t="str">
        <f t="shared" si="1493"/>
        <v>30/10/2025</v>
      </c>
      <c r="J7972" t="str">
        <f>("29/10/2025")</f>
        <v>29/10/2025</v>
      </c>
      <c r="K7972" t="str">
        <f>("30/10/2025")</f>
        <v>30/10/2025</v>
      </c>
      <c r="L7972">
        <v>160</v>
      </c>
      <c r="M7972">
        <v>160</v>
      </c>
      <c r="N7972">
        <v>130</v>
      </c>
      <c r="O7972" t="str">
        <f>"DEVOLUÇÃO COTA COOPERATIVA"</f>
        <v>DEVOLUÇÃO COTA COOPERATIVA</v>
      </c>
      <c r="P7972">
        <v>160</v>
      </c>
      <c r="S7972" t="str">
        <f>"BANCO C6 (149)"</f>
        <v>BANCO C6 (149)</v>
      </c>
      <c r="T7972">
        <v>21954</v>
      </c>
      <c r="U7972">
        <v>24516</v>
      </c>
      <c r="V7972" t="s">
        <v>77</v>
      </c>
    </row>
    <row r="7973" spans="1:22">
      <c r="A7973" t="str">
        <f t="shared" si="1491"/>
        <v>30/10/2025</v>
      </c>
      <c r="B7973" t="str">
        <f t="shared" si="1492"/>
        <v>SAÍDA</v>
      </c>
      <c r="C7973" t="str">
        <f t="shared" si="1494"/>
        <v>PIX</v>
      </c>
      <c r="D7973" t="str">
        <f>"301020"</f>
        <v>301020</v>
      </c>
      <c r="E7973" t="str">
        <f t="shared" si="1499"/>
        <v>25</v>
      </c>
      <c r="F7973" t="str">
        <f t="shared" si="1488"/>
        <v>COM</v>
      </c>
      <c r="G7973" t="str">
        <f>"HENRIQUE AMORIM DA SILVA (447)"</f>
        <v>HENRIQUE AMORIM DA SILVA (447)</v>
      </c>
      <c r="H7973" t="s">
        <v>2209</v>
      </c>
      <c r="I7973" t="str">
        <f t="shared" si="1493"/>
        <v>30/10/2025</v>
      </c>
      <c r="J7973" t="str">
        <f>("29/10/2025")</f>
        <v>29/10/2025</v>
      </c>
      <c r="K7973">
        <v>45960</v>
      </c>
      <c r="N7973">
        <v>130</v>
      </c>
      <c r="O7973" t="s">
        <v>291</v>
      </c>
      <c r="Q7973">
        <v>160</v>
      </c>
      <c r="R7973" t="str">
        <f>"HENRIQUE AMORIM DA SILVA (447)"</f>
        <v>HENRIQUE AMORIM DA SILVA (447)</v>
      </c>
      <c r="S7973" t="s">
        <v>77</v>
      </c>
      <c r="T7973">
        <v>21954</v>
      </c>
      <c r="U7973">
        <v>24516</v>
      </c>
      <c r="V7973" t="s">
        <v>77</v>
      </c>
    </row>
    <row r="7974" spans="1:22">
      <c r="A7974" t="str">
        <f t="shared" si="1491"/>
        <v>30/10/2025</v>
      </c>
      <c r="B7974" t="str">
        <f t="shared" si="1492"/>
        <v>SAÍDA</v>
      </c>
      <c r="C7974" t="str">
        <f t="shared" si="1494"/>
        <v>PIX</v>
      </c>
      <c r="D7974" t="str">
        <f t="shared" ref="D7974:D7979" si="1500">"3010"</f>
        <v>3010</v>
      </c>
      <c r="E7974" t="str">
        <f t="shared" si="1499"/>
        <v>25</v>
      </c>
      <c r="F7974" t="str">
        <f t="shared" si="1488"/>
        <v>COM</v>
      </c>
      <c r="G7974" t="str">
        <f>"HENRIQUE AMORIM DA SILVA (447)"</f>
        <v>HENRIQUE AMORIM DA SILVA (447)</v>
      </c>
      <c r="H7974" t="str">
        <f>"Serv.Prest. 27/10/2025 a 29/10/2025 - PIX: CELULAR - CHAVE: (33) 99854-8720"</f>
        <v>Serv.Prest. 27/10/2025 a 29/10/2025 - PIX: CELULAR - CHAVE: (33) 99854-8720</v>
      </c>
      <c r="I7974" t="str">
        <f t="shared" si="1493"/>
        <v>30/10/2025</v>
      </c>
      <c r="J7974" t="str">
        <f>("27/10/2025")</f>
        <v>27/10/2025</v>
      </c>
      <c r="K7974" t="str">
        <f>("30/10/2025")</f>
        <v>30/10/2025</v>
      </c>
      <c r="L7974">
        <v>321.43</v>
      </c>
      <c r="M7974">
        <v>321.43</v>
      </c>
      <c r="N7974">
        <v>109</v>
      </c>
      <c r="O7974" t="str">
        <f>"PAGAMENTO DE ENTREGADORES"</f>
        <v>PAGAMENTO DE ENTREGADORES</v>
      </c>
      <c r="P7974">
        <v>321.43</v>
      </c>
      <c r="S7974" t="str">
        <f>"BANCO C6 (149)"</f>
        <v>BANCO C6 (149)</v>
      </c>
      <c r="T7974">
        <v>21955</v>
      </c>
      <c r="U7974">
        <v>24515</v>
      </c>
      <c r="V7974" t="s">
        <v>77</v>
      </c>
    </row>
    <row r="7975" spans="1:22">
      <c r="A7975" t="str">
        <f t="shared" si="1491"/>
        <v>30/10/2025</v>
      </c>
      <c r="B7975" t="str">
        <f t="shared" si="1492"/>
        <v>SAÍDA</v>
      </c>
      <c r="C7975" t="str">
        <f t="shared" si="1494"/>
        <v>PIX</v>
      </c>
      <c r="D7975" t="str">
        <f t="shared" si="1500"/>
        <v>3010</v>
      </c>
      <c r="E7975" t="str">
        <f t="shared" si="1499"/>
        <v>25</v>
      </c>
      <c r="F7975" t="str">
        <f t="shared" si="1488"/>
        <v>COM</v>
      </c>
      <c r="G7975" t="str">
        <f>"HENRIQUE AMORIM DA SILVA (447)"</f>
        <v>HENRIQUE AMORIM DA SILVA (447)</v>
      </c>
      <c r="H7975" t="s">
        <v>2210</v>
      </c>
      <c r="I7975" t="str">
        <f t="shared" si="1493"/>
        <v>30/10/2025</v>
      </c>
      <c r="J7975" t="str">
        <f>("27/10/2025")</f>
        <v>27/10/2025</v>
      </c>
      <c r="K7975">
        <v>45960</v>
      </c>
      <c r="N7975">
        <v>109</v>
      </c>
      <c r="O7975" t="s">
        <v>24</v>
      </c>
      <c r="Q7975">
        <v>321.43</v>
      </c>
      <c r="R7975" t="str">
        <f>"HENRIQUE AMORIM DA SILVA (447)"</f>
        <v>HENRIQUE AMORIM DA SILVA (447)</v>
      </c>
      <c r="S7975" t="s">
        <v>77</v>
      </c>
      <c r="T7975">
        <v>21955</v>
      </c>
      <c r="U7975">
        <v>24515</v>
      </c>
      <c r="V7975" t="s">
        <v>77</v>
      </c>
    </row>
    <row r="7976" spans="1:22">
      <c r="A7976" t="str">
        <f t="shared" si="1491"/>
        <v>30/10/2025</v>
      </c>
      <c r="B7976" t="str">
        <f t="shared" si="1492"/>
        <v>SAÍDA</v>
      </c>
      <c r="C7976" t="str">
        <f t="shared" si="1494"/>
        <v>PIX</v>
      </c>
      <c r="D7976" t="str">
        <f t="shared" si="1500"/>
        <v>3010</v>
      </c>
      <c r="E7976" t="str">
        <f t="shared" si="1499"/>
        <v>25</v>
      </c>
      <c r="F7976" t="str">
        <f t="shared" si="1488"/>
        <v>COM</v>
      </c>
      <c r="G7976" t="str">
        <f>"WANDERSON JÚNIOR SOARES (628)"</f>
        <v>WANDERSON JÚNIOR SOARES (628)</v>
      </c>
      <c r="H7976" t="str">
        <f>"DEVOLUCAO 9 COTAS COOPERATIVA - PIX: CPF - CHAVE: 170.180.266-01"</f>
        <v>DEVOLUCAO 9 COTAS COOPERATIVA - PIX: CPF - CHAVE: 170.180.266-01</v>
      </c>
      <c r="I7976" t="str">
        <f t="shared" si="1493"/>
        <v>30/10/2025</v>
      </c>
      <c r="J7976" t="str">
        <f>("29/10/2025")</f>
        <v>29/10/2025</v>
      </c>
      <c r="K7976" t="str">
        <f>("30/10/2025")</f>
        <v>30/10/2025</v>
      </c>
      <c r="L7976">
        <v>180</v>
      </c>
      <c r="M7976">
        <v>180</v>
      </c>
      <c r="N7976">
        <v>130</v>
      </c>
      <c r="O7976" t="str">
        <f>"DEVOLUÇÃO COTA COOPERATIVA"</f>
        <v>DEVOLUÇÃO COTA COOPERATIVA</v>
      </c>
      <c r="P7976">
        <v>180</v>
      </c>
      <c r="S7976" t="str">
        <f>"BANCO C6 (149)"</f>
        <v>BANCO C6 (149)</v>
      </c>
      <c r="T7976">
        <v>21956</v>
      </c>
      <c r="U7976">
        <v>24514</v>
      </c>
      <c r="V7976" t="s">
        <v>77</v>
      </c>
    </row>
    <row r="7977" spans="1:22">
      <c r="A7977" t="str">
        <f t="shared" si="1491"/>
        <v>30/10/2025</v>
      </c>
      <c r="B7977" t="str">
        <f t="shared" si="1492"/>
        <v>SAÍDA</v>
      </c>
      <c r="C7977" t="str">
        <f t="shared" si="1494"/>
        <v>PIX</v>
      </c>
      <c r="D7977" t="str">
        <f t="shared" si="1500"/>
        <v>3010</v>
      </c>
      <c r="E7977" t="str">
        <f t="shared" si="1499"/>
        <v>25</v>
      </c>
      <c r="F7977" t="str">
        <f t="shared" si="1488"/>
        <v>COM</v>
      </c>
      <c r="G7977" t="str">
        <f>"WANDERSON JÚNIOR SOARES (628)"</f>
        <v>WANDERSON JÚNIOR SOARES (628)</v>
      </c>
      <c r="H7977" t="s">
        <v>2211</v>
      </c>
      <c r="I7977" t="str">
        <f t="shared" si="1493"/>
        <v>30/10/2025</v>
      </c>
      <c r="J7977" t="str">
        <f>("29/10/2025")</f>
        <v>29/10/2025</v>
      </c>
      <c r="K7977">
        <v>45960</v>
      </c>
      <c r="N7977">
        <v>130</v>
      </c>
      <c r="O7977" t="s">
        <v>291</v>
      </c>
      <c r="Q7977">
        <v>180</v>
      </c>
      <c r="R7977" t="str">
        <f>"WANDERSON JÚNIOR SOARES (628)"</f>
        <v>WANDERSON JÚNIOR SOARES (628)</v>
      </c>
      <c r="S7977" t="s">
        <v>77</v>
      </c>
      <c r="T7977">
        <v>21956</v>
      </c>
      <c r="U7977">
        <v>24514</v>
      </c>
      <c r="V7977" t="s">
        <v>77</v>
      </c>
    </row>
    <row r="7978" spans="1:22">
      <c r="A7978" t="str">
        <f t="shared" si="1491"/>
        <v>30/10/2025</v>
      </c>
      <c r="B7978" t="str">
        <f t="shared" si="1492"/>
        <v>SAÍDA</v>
      </c>
      <c r="C7978" t="str">
        <f t="shared" si="1494"/>
        <v>PIX</v>
      </c>
      <c r="D7978" t="str">
        <f t="shared" si="1500"/>
        <v>3010</v>
      </c>
      <c r="E7978" t="str">
        <f t="shared" si="1499"/>
        <v>25</v>
      </c>
      <c r="F7978" t="str">
        <f t="shared" si="1488"/>
        <v>COM</v>
      </c>
      <c r="G7978" t="str">
        <f>"CARLOS EDUARDO DOS SANTOS DE FREITAS (356)"</f>
        <v>CARLOS EDUARDO DOS SANTOS DE FREITAS (356)</v>
      </c>
      <c r="H7978" t="str">
        <f>"DEVOLUCAO 9 COTAS COOPERATIVA - PIX: CELULAR - CHAVE: (71) 99729-9802"</f>
        <v>DEVOLUCAO 9 COTAS COOPERATIVA - PIX: CELULAR - CHAVE: (71) 99729-9802</v>
      </c>
      <c r="I7978" t="str">
        <f t="shared" si="1493"/>
        <v>30/10/2025</v>
      </c>
      <c r="J7978" t="str">
        <f>("29/10/2025")</f>
        <v>29/10/2025</v>
      </c>
      <c r="K7978" t="str">
        <f>("30/10/2025")</f>
        <v>30/10/2025</v>
      </c>
      <c r="L7978">
        <v>180</v>
      </c>
      <c r="M7978">
        <v>180</v>
      </c>
      <c r="N7978">
        <v>130</v>
      </c>
      <c r="O7978" t="str">
        <f>"DEVOLUÇÃO COTA COOPERATIVA"</f>
        <v>DEVOLUÇÃO COTA COOPERATIVA</v>
      </c>
      <c r="P7978">
        <v>180</v>
      </c>
      <c r="S7978" t="str">
        <f>"BANCO C6 (149)"</f>
        <v>BANCO C6 (149)</v>
      </c>
      <c r="T7978">
        <v>21957</v>
      </c>
      <c r="U7978">
        <v>24513</v>
      </c>
      <c r="V7978" t="s">
        <v>77</v>
      </c>
    </row>
    <row r="7979" spans="1:22">
      <c r="A7979" t="str">
        <f t="shared" si="1491"/>
        <v>30/10/2025</v>
      </c>
      <c r="B7979" t="str">
        <f t="shared" si="1492"/>
        <v>SAÍDA</v>
      </c>
      <c r="C7979" t="str">
        <f t="shared" si="1494"/>
        <v>PIX</v>
      </c>
      <c r="D7979" t="str">
        <f t="shared" si="1500"/>
        <v>3010</v>
      </c>
      <c r="E7979" t="str">
        <f t="shared" si="1499"/>
        <v>25</v>
      </c>
      <c r="F7979" t="str">
        <f t="shared" si="1488"/>
        <v>COM</v>
      </c>
      <c r="G7979" t="str">
        <f>"CARLOS EDUARDO DOS SANTOS DE FREITAS (356)"</f>
        <v>CARLOS EDUARDO DOS SANTOS DE FREITAS (356)</v>
      </c>
      <c r="H7979" t="s">
        <v>2212</v>
      </c>
      <c r="I7979" t="str">
        <f t="shared" si="1493"/>
        <v>30/10/2025</v>
      </c>
      <c r="J7979" t="str">
        <f>("29/10/2025")</f>
        <v>29/10/2025</v>
      </c>
      <c r="K7979">
        <v>45960</v>
      </c>
      <c r="N7979">
        <v>130</v>
      </c>
      <c r="O7979" t="s">
        <v>291</v>
      </c>
      <c r="Q7979">
        <v>180</v>
      </c>
      <c r="R7979" t="str">
        <f>"CARLOS EDUARDO DOS SANTOS DE FREITAS (356)"</f>
        <v>CARLOS EDUARDO DOS SANTOS DE FREITAS (356)</v>
      </c>
      <c r="S7979" t="s">
        <v>77</v>
      </c>
      <c r="T7979">
        <v>21957</v>
      </c>
      <c r="U7979">
        <v>24513</v>
      </c>
      <c r="V7979" t="s">
        <v>77</v>
      </c>
    </row>
    <row r="7980" spans="1:22">
      <c r="A7980" t="str">
        <f t="shared" si="1491"/>
        <v>30/10/2025</v>
      </c>
      <c r="B7980" t="str">
        <f t="shared" si="1492"/>
        <v>SAÍDA</v>
      </c>
      <c r="C7980" t="str">
        <f t="shared" si="1494"/>
        <v>PIX</v>
      </c>
      <c r="D7980" t="str">
        <f>"23974"</f>
        <v>23974</v>
      </c>
      <c r="E7980" t="str">
        <f t="shared" ref="E7980:E8043" si="1501">"1"</f>
        <v>1</v>
      </c>
      <c r="F7980" t="str">
        <f t="shared" si="1488"/>
        <v>COM</v>
      </c>
      <c r="G7980" t="str">
        <f>"ALISSON FELIPE GODINHO (219)"</f>
        <v>ALISSON FELIPE GODINHO (219)</v>
      </c>
      <c r="H7980" t="str">
        <f>"Serv.Prest. 13/10/2025 a 19/10/2025 - PIX: CELULAR - CHAVE: (33) 99877-0415"</f>
        <v>Serv.Prest. 13/10/2025 a 19/10/2025 - PIX: CELULAR - CHAVE: (33) 99877-0415</v>
      </c>
      <c r="I7980" t="str">
        <f t="shared" si="1493"/>
        <v>30/10/2025</v>
      </c>
      <c r="J7980" t="str">
        <f t="shared" ref="J7980:J8043" si="1502">("21/10/2025")</f>
        <v>21/10/2025</v>
      </c>
      <c r="K7980" t="str">
        <f>("30/10/2025")</f>
        <v>30/10/2025</v>
      </c>
      <c r="L7980">
        <v>1818</v>
      </c>
      <c r="M7980">
        <v>1818</v>
      </c>
      <c r="N7980">
        <v>109</v>
      </c>
      <c r="O7980" t="str">
        <f>"PAGAMENTO DE ENTREGADORES"</f>
        <v>PAGAMENTO DE ENTREGADORES</v>
      </c>
      <c r="P7980">
        <v>1818</v>
      </c>
      <c r="S7980" t="str">
        <f>"BANCO C6 (149)"</f>
        <v>BANCO C6 (149)</v>
      </c>
      <c r="T7980">
        <v>21958</v>
      </c>
      <c r="U7980">
        <v>23974</v>
      </c>
      <c r="V7980" t="s">
        <v>77</v>
      </c>
    </row>
    <row r="7981" spans="1:22">
      <c r="A7981" t="str">
        <f t="shared" si="1491"/>
        <v>30/10/2025</v>
      </c>
      <c r="B7981" t="str">
        <f t="shared" si="1492"/>
        <v>SAÍDA</v>
      </c>
      <c r="C7981" t="str">
        <f t="shared" si="1494"/>
        <v>PIX</v>
      </c>
      <c r="D7981" t="str">
        <f>"23974"</f>
        <v>23974</v>
      </c>
      <c r="E7981" t="str">
        <f t="shared" si="1501"/>
        <v>1</v>
      </c>
      <c r="F7981" t="str">
        <f t="shared" si="1488"/>
        <v>COM</v>
      </c>
      <c r="G7981" t="str">
        <f>"ALISSON FELIPE GODINHO (219)"</f>
        <v>ALISSON FELIPE GODINHO (219)</v>
      </c>
      <c r="H7981" t="s">
        <v>2213</v>
      </c>
      <c r="I7981" t="str">
        <f t="shared" si="1493"/>
        <v>30/10/2025</v>
      </c>
      <c r="J7981" t="str">
        <f t="shared" si="1502"/>
        <v>21/10/2025</v>
      </c>
      <c r="K7981">
        <v>45960</v>
      </c>
      <c r="N7981">
        <v>109</v>
      </c>
      <c r="O7981" t="s">
        <v>24</v>
      </c>
      <c r="Q7981">
        <v>1818</v>
      </c>
      <c r="R7981" t="str">
        <f>"FARMÁCIA INDIANA LJ 14 (10009)"</f>
        <v>FARMÁCIA INDIANA LJ 14 (10009)</v>
      </c>
      <c r="S7981" t="s">
        <v>77</v>
      </c>
      <c r="T7981">
        <v>21958</v>
      </c>
      <c r="U7981">
        <v>23974</v>
      </c>
      <c r="V7981" t="s">
        <v>77</v>
      </c>
    </row>
    <row r="7982" spans="1:22">
      <c r="A7982" t="str">
        <f t="shared" si="1491"/>
        <v>30/10/2025</v>
      </c>
      <c r="B7982" t="str">
        <f t="shared" si="1492"/>
        <v>SAÍDA</v>
      </c>
      <c r="C7982" t="str">
        <f t="shared" si="1494"/>
        <v>PIX</v>
      </c>
      <c r="D7982" t="str">
        <f>"23975"</f>
        <v>23975</v>
      </c>
      <c r="E7982" t="str">
        <f t="shared" si="1501"/>
        <v>1</v>
      </c>
      <c r="F7982" t="str">
        <f t="shared" si="1488"/>
        <v>COM</v>
      </c>
      <c r="G7982" t="str">
        <f>"AMANDA VERÍSSIMO FERREIRA (794)"</f>
        <v>AMANDA VERÍSSIMO FERREIRA (794)</v>
      </c>
      <c r="H7982" t="str">
        <f>"Serv.Prest. 13/10/2025 a 19/10/2025 - PIX: CPF - CHAVE: 099.626.666-60"</f>
        <v>Serv.Prest. 13/10/2025 a 19/10/2025 - PIX: CPF - CHAVE: 099.626.666-60</v>
      </c>
      <c r="I7982" t="str">
        <f t="shared" si="1493"/>
        <v>30/10/2025</v>
      </c>
      <c r="J7982" t="str">
        <f t="shared" si="1502"/>
        <v>21/10/2025</v>
      </c>
      <c r="K7982" t="str">
        <f>("30/10/2025")</f>
        <v>30/10/2025</v>
      </c>
      <c r="L7982">
        <v>750</v>
      </c>
      <c r="M7982">
        <v>750</v>
      </c>
      <c r="N7982">
        <v>109</v>
      </c>
      <c r="O7982" t="str">
        <f>"PAGAMENTO DE ENTREGADORES"</f>
        <v>PAGAMENTO DE ENTREGADORES</v>
      </c>
      <c r="P7982">
        <v>750</v>
      </c>
      <c r="S7982" t="str">
        <f>"BANCO C6 (149)"</f>
        <v>BANCO C6 (149)</v>
      </c>
      <c r="T7982">
        <v>21959</v>
      </c>
      <c r="U7982">
        <v>23975</v>
      </c>
      <c r="V7982" t="s">
        <v>77</v>
      </c>
    </row>
    <row r="7983" spans="1:22">
      <c r="A7983" t="str">
        <f t="shared" si="1491"/>
        <v>30/10/2025</v>
      </c>
      <c r="B7983" t="str">
        <f t="shared" si="1492"/>
        <v>SAÍDA</v>
      </c>
      <c r="C7983" t="str">
        <f t="shared" si="1494"/>
        <v>PIX</v>
      </c>
      <c r="D7983" t="str">
        <f>"23975"</f>
        <v>23975</v>
      </c>
      <c r="E7983" t="str">
        <f t="shared" si="1501"/>
        <v>1</v>
      </c>
      <c r="F7983" t="str">
        <f t="shared" si="1488"/>
        <v>COM</v>
      </c>
      <c r="G7983" t="str">
        <f>"AMANDA VERÍSSIMO FERREIRA (794)"</f>
        <v>AMANDA VERÍSSIMO FERREIRA (794)</v>
      </c>
      <c r="H7983" t="s">
        <v>2214</v>
      </c>
      <c r="I7983" t="str">
        <f t="shared" si="1493"/>
        <v>30/10/2025</v>
      </c>
      <c r="J7983" t="str">
        <f t="shared" si="1502"/>
        <v>21/10/2025</v>
      </c>
      <c r="K7983">
        <v>45960</v>
      </c>
      <c r="N7983">
        <v>109</v>
      </c>
      <c r="O7983" t="s">
        <v>24</v>
      </c>
      <c r="Q7983">
        <v>130.41999999999999</v>
      </c>
      <c r="R7983" t="str">
        <f>"FARMÁCIA INDIANA LJ 97 (10040)"</f>
        <v>FARMÁCIA INDIANA LJ 97 (10040)</v>
      </c>
      <c r="S7983" t="s">
        <v>77</v>
      </c>
      <c r="T7983">
        <v>21959</v>
      </c>
      <c r="U7983">
        <v>23975</v>
      </c>
      <c r="V7983" t="s">
        <v>77</v>
      </c>
    </row>
    <row r="7984" spans="1:22">
      <c r="A7984" t="str">
        <f t="shared" si="1491"/>
        <v>30/10/2025</v>
      </c>
      <c r="B7984" t="str">
        <f t="shared" si="1492"/>
        <v>SAÍDA</v>
      </c>
      <c r="C7984" t="str">
        <f t="shared" si="1494"/>
        <v>PIX</v>
      </c>
      <c r="D7984" t="str">
        <f>"23975"</f>
        <v>23975</v>
      </c>
      <c r="E7984" t="str">
        <f t="shared" si="1501"/>
        <v>1</v>
      </c>
      <c r="F7984" t="str">
        <f t="shared" si="1488"/>
        <v>COM</v>
      </c>
      <c r="G7984" t="str">
        <f>"AMANDA VERÍSSIMO FERREIRA (794)"</f>
        <v>AMANDA VERÍSSIMO FERREIRA (794)</v>
      </c>
      <c r="H7984" t="s">
        <v>2214</v>
      </c>
      <c r="I7984" t="str">
        <f t="shared" si="1493"/>
        <v>30/10/2025</v>
      </c>
      <c r="J7984" t="str">
        <f t="shared" si="1502"/>
        <v>21/10/2025</v>
      </c>
      <c r="K7984">
        <v>45960</v>
      </c>
      <c r="N7984">
        <v>109</v>
      </c>
      <c r="O7984" t="s">
        <v>24</v>
      </c>
      <c r="Q7984">
        <v>293.48</v>
      </c>
      <c r="R7984" t="str">
        <f>"FARMÁCIA INDIANA LJ 111 (10049)"</f>
        <v>FARMÁCIA INDIANA LJ 111 (10049)</v>
      </c>
      <c r="S7984" t="s">
        <v>77</v>
      </c>
      <c r="T7984">
        <v>21959</v>
      </c>
      <c r="U7984">
        <v>23975</v>
      </c>
      <c r="V7984" t="s">
        <v>77</v>
      </c>
    </row>
    <row r="7985" spans="1:22">
      <c r="A7985" t="str">
        <f t="shared" si="1491"/>
        <v>30/10/2025</v>
      </c>
      <c r="B7985" t="str">
        <f t="shared" si="1492"/>
        <v>SAÍDA</v>
      </c>
      <c r="C7985" t="str">
        <f t="shared" si="1494"/>
        <v>PIX</v>
      </c>
      <c r="D7985" t="str">
        <f>"23975"</f>
        <v>23975</v>
      </c>
      <c r="E7985" t="str">
        <f t="shared" si="1501"/>
        <v>1</v>
      </c>
      <c r="F7985" t="str">
        <f t="shared" si="1488"/>
        <v>COM</v>
      </c>
      <c r="G7985" t="str">
        <f>"AMANDA VERÍSSIMO FERREIRA (794)"</f>
        <v>AMANDA VERÍSSIMO FERREIRA (794)</v>
      </c>
      <c r="H7985" t="s">
        <v>2214</v>
      </c>
      <c r="I7985" t="str">
        <f t="shared" si="1493"/>
        <v>30/10/2025</v>
      </c>
      <c r="J7985" t="str">
        <f t="shared" si="1502"/>
        <v>21/10/2025</v>
      </c>
      <c r="K7985">
        <v>45960</v>
      </c>
      <c r="N7985">
        <v>109</v>
      </c>
      <c r="O7985" t="s">
        <v>24</v>
      </c>
      <c r="Q7985">
        <v>326.10000000000002</v>
      </c>
      <c r="R7985" t="str">
        <f>"FARMÁCIA INDIANA LJ 143 (10067)"</f>
        <v>FARMÁCIA INDIANA LJ 143 (10067)</v>
      </c>
      <c r="S7985" t="s">
        <v>77</v>
      </c>
      <c r="T7985">
        <v>21959</v>
      </c>
      <c r="U7985">
        <v>23975</v>
      </c>
      <c r="V7985" t="s">
        <v>77</v>
      </c>
    </row>
    <row r="7986" spans="1:22">
      <c r="A7986" t="str">
        <f t="shared" si="1491"/>
        <v>30/10/2025</v>
      </c>
      <c r="B7986" t="str">
        <f t="shared" si="1492"/>
        <v>SAÍDA</v>
      </c>
      <c r="C7986" t="str">
        <f t="shared" si="1494"/>
        <v>PIX</v>
      </c>
      <c r="D7986" t="str">
        <f>"23976"</f>
        <v>23976</v>
      </c>
      <c r="E7986" t="str">
        <f t="shared" si="1501"/>
        <v>1</v>
      </c>
      <c r="F7986" t="str">
        <f t="shared" si="1488"/>
        <v>COM</v>
      </c>
      <c r="G7986" t="str">
        <f>"ANISSO ANIDAL DE PAULA (161)"</f>
        <v>ANISSO ANIDAL DE PAULA (161)</v>
      </c>
      <c r="H7986" t="str">
        <f>"Serv.Prest. 13/10/2025 a 19/10/2025 - PIX: E-MAIL - CHAVE: anissoanidaldepaula@gmail.com"</f>
        <v>Serv.Prest. 13/10/2025 a 19/10/2025 - PIX: E-MAIL - CHAVE: anissoanidaldepaula@gmail.com</v>
      </c>
      <c r="I7986" t="str">
        <f t="shared" si="1493"/>
        <v>30/10/2025</v>
      </c>
      <c r="J7986" t="str">
        <f t="shared" si="1502"/>
        <v>21/10/2025</v>
      </c>
      <c r="K7986" t="str">
        <f>("30/10/2025")</f>
        <v>30/10/2025</v>
      </c>
      <c r="L7986">
        <v>852</v>
      </c>
      <c r="M7986">
        <v>852</v>
      </c>
      <c r="N7986">
        <v>109</v>
      </c>
      <c r="O7986" t="str">
        <f>"PAGAMENTO DE ENTREGADORES"</f>
        <v>PAGAMENTO DE ENTREGADORES</v>
      </c>
      <c r="P7986">
        <v>852</v>
      </c>
      <c r="S7986" t="str">
        <f>"BANCO C6 (149)"</f>
        <v>BANCO C6 (149)</v>
      </c>
      <c r="T7986">
        <v>21960</v>
      </c>
      <c r="U7986">
        <v>23976</v>
      </c>
      <c r="V7986" t="s">
        <v>77</v>
      </c>
    </row>
    <row r="7987" spans="1:22">
      <c r="A7987" t="str">
        <f t="shared" si="1491"/>
        <v>30/10/2025</v>
      </c>
      <c r="B7987" t="str">
        <f t="shared" si="1492"/>
        <v>SAÍDA</v>
      </c>
      <c r="C7987" t="str">
        <f t="shared" si="1494"/>
        <v>PIX</v>
      </c>
      <c r="D7987" t="str">
        <f>"23976"</f>
        <v>23976</v>
      </c>
      <c r="E7987" t="str">
        <f t="shared" si="1501"/>
        <v>1</v>
      </c>
      <c r="F7987" t="str">
        <f t="shared" si="1488"/>
        <v>COM</v>
      </c>
      <c r="G7987" t="str">
        <f>"ANISSO ANIDAL DE PAULA (161)"</f>
        <v>ANISSO ANIDAL DE PAULA (161)</v>
      </c>
      <c r="H7987" t="s">
        <v>2215</v>
      </c>
      <c r="I7987" t="str">
        <f t="shared" si="1493"/>
        <v>30/10/2025</v>
      </c>
      <c r="J7987" t="str">
        <f t="shared" si="1502"/>
        <v>21/10/2025</v>
      </c>
      <c r="K7987">
        <v>45960</v>
      </c>
      <c r="N7987">
        <v>109</v>
      </c>
      <c r="O7987" t="s">
        <v>24</v>
      </c>
      <c r="Q7987">
        <v>732.04</v>
      </c>
      <c r="R7987" t="str">
        <f>"FARMÁCIA INDIANA LJ 18 (10011)"</f>
        <v>FARMÁCIA INDIANA LJ 18 (10011)</v>
      </c>
      <c r="S7987" t="s">
        <v>77</v>
      </c>
      <c r="T7987">
        <v>21960</v>
      </c>
      <c r="U7987">
        <v>23976</v>
      </c>
      <c r="V7987" t="s">
        <v>77</v>
      </c>
    </row>
    <row r="7988" spans="1:22">
      <c r="A7988" t="str">
        <f t="shared" si="1491"/>
        <v>30/10/2025</v>
      </c>
      <c r="B7988" t="str">
        <f t="shared" si="1492"/>
        <v>SAÍDA</v>
      </c>
      <c r="C7988" t="str">
        <f t="shared" si="1494"/>
        <v>PIX</v>
      </c>
      <c r="D7988" t="str">
        <f>"23976"</f>
        <v>23976</v>
      </c>
      <c r="E7988" t="str">
        <f t="shared" si="1501"/>
        <v>1</v>
      </c>
      <c r="F7988" t="str">
        <f t="shared" si="1488"/>
        <v>COM</v>
      </c>
      <c r="G7988" t="str">
        <f>"ANISSO ANIDAL DE PAULA (161)"</f>
        <v>ANISSO ANIDAL DE PAULA (161)</v>
      </c>
      <c r="H7988" t="s">
        <v>2215</v>
      </c>
      <c r="I7988" t="str">
        <f t="shared" si="1493"/>
        <v>30/10/2025</v>
      </c>
      <c r="J7988" t="str">
        <f t="shared" si="1502"/>
        <v>21/10/2025</v>
      </c>
      <c r="K7988">
        <v>45960</v>
      </c>
      <c r="N7988">
        <v>109</v>
      </c>
      <c r="O7988" t="s">
        <v>24</v>
      </c>
      <c r="Q7988">
        <v>119.96</v>
      </c>
      <c r="R7988" t="str">
        <f>"FARMÁCIA INDIANA LJ 19 (10012)"</f>
        <v>FARMÁCIA INDIANA LJ 19 (10012)</v>
      </c>
      <c r="S7988" t="s">
        <v>77</v>
      </c>
      <c r="T7988">
        <v>21960</v>
      </c>
      <c r="U7988">
        <v>23976</v>
      </c>
      <c r="V7988" t="s">
        <v>77</v>
      </c>
    </row>
    <row r="7989" spans="1:22">
      <c r="A7989" t="str">
        <f t="shared" si="1491"/>
        <v>30/10/2025</v>
      </c>
      <c r="B7989" t="str">
        <f t="shared" si="1492"/>
        <v>SAÍDA</v>
      </c>
      <c r="C7989" t="str">
        <f t="shared" si="1494"/>
        <v>PIX</v>
      </c>
      <c r="D7989" t="str">
        <f>"23977"</f>
        <v>23977</v>
      </c>
      <c r="E7989" t="str">
        <f t="shared" si="1501"/>
        <v>1</v>
      </c>
      <c r="F7989" t="str">
        <f t="shared" si="1488"/>
        <v>COM</v>
      </c>
      <c r="G7989" t="str">
        <f>"ARLINDO JOSE MARTINS (909)"</f>
        <v>ARLINDO JOSE MARTINS (909)</v>
      </c>
      <c r="H7989" t="str">
        <f>"Serv.Prest. 13/10/2025 a 19/10/2025 - PIX: CPF - CHAVE: 037.192.076-09"</f>
        <v>Serv.Prest. 13/10/2025 a 19/10/2025 - PIX: CPF - CHAVE: 037.192.076-09</v>
      </c>
      <c r="I7989" t="str">
        <f t="shared" si="1493"/>
        <v>30/10/2025</v>
      </c>
      <c r="J7989" t="str">
        <f t="shared" si="1502"/>
        <v>21/10/2025</v>
      </c>
      <c r="K7989" t="str">
        <f>("30/10/2025")</f>
        <v>30/10/2025</v>
      </c>
      <c r="L7989">
        <v>803</v>
      </c>
      <c r="M7989">
        <v>803</v>
      </c>
      <c r="N7989">
        <v>109</v>
      </c>
      <c r="O7989" t="str">
        <f>"PAGAMENTO DE ENTREGADORES"</f>
        <v>PAGAMENTO DE ENTREGADORES</v>
      </c>
      <c r="P7989">
        <v>803</v>
      </c>
      <c r="S7989" t="str">
        <f>"BANCO C6 (149)"</f>
        <v>BANCO C6 (149)</v>
      </c>
      <c r="T7989">
        <v>21961</v>
      </c>
      <c r="U7989">
        <v>23977</v>
      </c>
      <c r="V7989" t="s">
        <v>77</v>
      </c>
    </row>
    <row r="7990" spans="1:22">
      <c r="A7990" t="str">
        <f t="shared" si="1491"/>
        <v>30/10/2025</v>
      </c>
      <c r="B7990" t="str">
        <f t="shared" si="1492"/>
        <v>SAÍDA</v>
      </c>
      <c r="C7990" t="str">
        <f t="shared" si="1494"/>
        <v>PIX</v>
      </c>
      <c r="D7990" t="str">
        <f>"23977"</f>
        <v>23977</v>
      </c>
      <c r="E7990" t="str">
        <f t="shared" si="1501"/>
        <v>1</v>
      </c>
      <c r="F7990" t="str">
        <f t="shared" si="1488"/>
        <v>COM</v>
      </c>
      <c r="G7990" t="str">
        <f>"ARLINDO JOSE MARTINS (909)"</f>
        <v>ARLINDO JOSE MARTINS (909)</v>
      </c>
      <c r="H7990" t="s">
        <v>2216</v>
      </c>
      <c r="I7990" t="str">
        <f t="shared" si="1493"/>
        <v>30/10/2025</v>
      </c>
      <c r="J7990" t="str">
        <f t="shared" si="1502"/>
        <v>21/10/2025</v>
      </c>
      <c r="K7990">
        <v>45960</v>
      </c>
      <c r="N7990">
        <v>109</v>
      </c>
      <c r="O7990" t="s">
        <v>24</v>
      </c>
      <c r="Q7990">
        <v>803</v>
      </c>
      <c r="R7990" t="str">
        <f>"FARMÁCIA INDIANA LJ 185 (10141)"</f>
        <v>FARMÁCIA INDIANA LJ 185 (10141)</v>
      </c>
      <c r="S7990" t="s">
        <v>77</v>
      </c>
      <c r="T7990">
        <v>21961</v>
      </c>
      <c r="U7990">
        <v>23977</v>
      </c>
      <c r="V7990" t="s">
        <v>77</v>
      </c>
    </row>
    <row r="7991" spans="1:22">
      <c r="A7991" t="str">
        <f t="shared" si="1491"/>
        <v>30/10/2025</v>
      </c>
      <c r="B7991" t="str">
        <f t="shared" si="1492"/>
        <v>SAÍDA</v>
      </c>
      <c r="C7991" t="str">
        <f t="shared" si="1494"/>
        <v>PIX</v>
      </c>
      <c r="D7991" t="str">
        <f>"23978"</f>
        <v>23978</v>
      </c>
      <c r="E7991" t="str">
        <f t="shared" si="1501"/>
        <v>1</v>
      </c>
      <c r="F7991" t="str">
        <f t="shared" si="1488"/>
        <v>COM</v>
      </c>
      <c r="G7991" t="str">
        <f>"ARTHUR DANTAS PACHECO (928)"</f>
        <v>ARTHUR DANTAS PACHECO (928)</v>
      </c>
      <c r="H7991" t="str">
        <f>"Serv.Prest. 13/10/2025 a 19/10/2025 - PIX: CELULAR - CHAVE: (33) 99110-6940"</f>
        <v>Serv.Prest. 13/10/2025 a 19/10/2025 - PIX: CELULAR - CHAVE: (33) 99110-6940</v>
      </c>
      <c r="I7991" t="str">
        <f t="shared" si="1493"/>
        <v>30/10/2025</v>
      </c>
      <c r="J7991" t="str">
        <f t="shared" si="1502"/>
        <v>21/10/2025</v>
      </c>
      <c r="K7991" t="str">
        <f>("30/10/2025")</f>
        <v>30/10/2025</v>
      </c>
      <c r="L7991">
        <v>588.5</v>
      </c>
      <c r="M7991">
        <v>588.5</v>
      </c>
      <c r="N7991">
        <v>109</v>
      </c>
      <c r="O7991" t="str">
        <f>"PAGAMENTO DE ENTREGADORES"</f>
        <v>PAGAMENTO DE ENTREGADORES</v>
      </c>
      <c r="P7991">
        <v>588.5</v>
      </c>
      <c r="S7991" t="str">
        <f>"BANCO C6 (149)"</f>
        <v>BANCO C6 (149)</v>
      </c>
      <c r="T7991">
        <v>21962</v>
      </c>
      <c r="U7991">
        <v>23978</v>
      </c>
      <c r="V7991" t="s">
        <v>77</v>
      </c>
    </row>
    <row r="7992" spans="1:22">
      <c r="A7992" t="str">
        <f t="shared" si="1491"/>
        <v>30/10/2025</v>
      </c>
      <c r="B7992" t="str">
        <f t="shared" si="1492"/>
        <v>SAÍDA</v>
      </c>
      <c r="C7992" t="str">
        <f t="shared" si="1494"/>
        <v>PIX</v>
      </c>
      <c r="D7992" t="str">
        <f>"23978"</f>
        <v>23978</v>
      </c>
      <c r="E7992" t="str">
        <f t="shared" si="1501"/>
        <v>1</v>
      </c>
      <c r="F7992" t="str">
        <f t="shared" si="1488"/>
        <v>COM</v>
      </c>
      <c r="G7992" t="str">
        <f>"ARTHUR DANTAS PACHECO (928)"</f>
        <v>ARTHUR DANTAS PACHECO (928)</v>
      </c>
      <c r="H7992" t="s">
        <v>2217</v>
      </c>
      <c r="I7992" t="str">
        <f t="shared" si="1493"/>
        <v>30/10/2025</v>
      </c>
      <c r="J7992" t="str">
        <f t="shared" si="1502"/>
        <v>21/10/2025</v>
      </c>
      <c r="K7992">
        <v>45960</v>
      </c>
      <c r="N7992">
        <v>109</v>
      </c>
      <c r="O7992" t="s">
        <v>24</v>
      </c>
      <c r="Q7992">
        <v>588.5</v>
      </c>
      <c r="R7992" t="str">
        <f>"FARMÁCIA INDIANA LJ 40 (10016)"</f>
        <v>FARMÁCIA INDIANA LJ 40 (10016)</v>
      </c>
      <c r="S7992" t="s">
        <v>77</v>
      </c>
      <c r="T7992">
        <v>21962</v>
      </c>
      <c r="U7992">
        <v>23978</v>
      </c>
      <c r="V7992" t="s">
        <v>77</v>
      </c>
    </row>
    <row r="7993" spans="1:22">
      <c r="A7993" t="str">
        <f t="shared" si="1491"/>
        <v>30/10/2025</v>
      </c>
      <c r="B7993" t="str">
        <f t="shared" si="1492"/>
        <v>SAÍDA</v>
      </c>
      <c r="C7993" t="str">
        <f t="shared" si="1494"/>
        <v>PIX</v>
      </c>
      <c r="D7993" t="str">
        <f>"23979"</f>
        <v>23979</v>
      </c>
      <c r="E7993" t="str">
        <f t="shared" si="1501"/>
        <v>1</v>
      </c>
      <c r="F7993" t="str">
        <f t="shared" ref="F7993:F8056" si="1503">"COM"</f>
        <v>COM</v>
      </c>
      <c r="G7993" t="str">
        <f>"BRUNO BARBOSA DE MATOS (82)"</f>
        <v>BRUNO BARBOSA DE MATOS (82)</v>
      </c>
      <c r="H7993" t="str">
        <f>"Serv.Prest. 13/10/2025 a 19/10/2025 - PIX: CPF - CHAVE: 137.446.146-62"</f>
        <v>Serv.Prest. 13/10/2025 a 19/10/2025 - PIX: CPF - CHAVE: 137.446.146-62</v>
      </c>
      <c r="I7993" t="str">
        <f t="shared" si="1493"/>
        <v>30/10/2025</v>
      </c>
      <c r="J7993" t="str">
        <f t="shared" si="1502"/>
        <v>21/10/2025</v>
      </c>
      <c r="K7993" t="str">
        <f>("30/10/2025")</f>
        <v>30/10/2025</v>
      </c>
      <c r="L7993">
        <v>1116</v>
      </c>
      <c r="M7993">
        <v>1116</v>
      </c>
      <c r="N7993">
        <v>109</v>
      </c>
      <c r="O7993" t="str">
        <f>"PAGAMENTO DE ENTREGADORES"</f>
        <v>PAGAMENTO DE ENTREGADORES</v>
      </c>
      <c r="P7993">
        <v>1116</v>
      </c>
      <c r="S7993" t="str">
        <f>"BANCO C6 (149)"</f>
        <v>BANCO C6 (149)</v>
      </c>
      <c r="T7993">
        <v>21963</v>
      </c>
      <c r="U7993">
        <v>23979</v>
      </c>
      <c r="V7993" t="s">
        <v>77</v>
      </c>
    </row>
    <row r="7994" spans="1:22">
      <c r="A7994" t="str">
        <f t="shared" si="1491"/>
        <v>30/10/2025</v>
      </c>
      <c r="B7994" t="str">
        <f t="shared" si="1492"/>
        <v>SAÍDA</v>
      </c>
      <c r="C7994" t="str">
        <f t="shared" si="1494"/>
        <v>PIX</v>
      </c>
      <c r="D7994" t="str">
        <f>"23979"</f>
        <v>23979</v>
      </c>
      <c r="E7994" t="str">
        <f t="shared" si="1501"/>
        <v>1</v>
      </c>
      <c r="F7994" t="str">
        <f t="shared" si="1503"/>
        <v>COM</v>
      </c>
      <c r="G7994" t="str">
        <f>"BRUNO BARBOSA DE MATOS (82)"</f>
        <v>BRUNO BARBOSA DE MATOS (82)</v>
      </c>
      <c r="H7994" t="s">
        <v>2218</v>
      </c>
      <c r="I7994" t="str">
        <f t="shared" si="1493"/>
        <v>30/10/2025</v>
      </c>
      <c r="J7994" t="str">
        <f t="shared" si="1502"/>
        <v>21/10/2025</v>
      </c>
      <c r="K7994">
        <v>45960</v>
      </c>
      <c r="N7994">
        <v>109</v>
      </c>
      <c r="O7994" t="s">
        <v>24</v>
      </c>
      <c r="Q7994">
        <v>1116</v>
      </c>
      <c r="R7994" t="str">
        <f>"FARMÁCIA INDIANA LJ 152 (10069)"</f>
        <v>FARMÁCIA INDIANA LJ 152 (10069)</v>
      </c>
      <c r="S7994" t="s">
        <v>77</v>
      </c>
      <c r="T7994">
        <v>21963</v>
      </c>
      <c r="U7994">
        <v>23979</v>
      </c>
      <c r="V7994" t="s">
        <v>77</v>
      </c>
    </row>
    <row r="7995" spans="1:22">
      <c r="A7995" t="str">
        <f t="shared" si="1491"/>
        <v>30/10/2025</v>
      </c>
      <c r="B7995" t="str">
        <f t="shared" si="1492"/>
        <v>SAÍDA</v>
      </c>
      <c r="C7995" t="str">
        <f t="shared" si="1494"/>
        <v>PIX</v>
      </c>
      <c r="D7995" t="str">
        <f>"23980"</f>
        <v>23980</v>
      </c>
      <c r="E7995" t="str">
        <f t="shared" si="1501"/>
        <v>1</v>
      </c>
      <c r="F7995" t="str">
        <f t="shared" si="1503"/>
        <v>COM</v>
      </c>
      <c r="G7995" t="str">
        <f>"BRUNO DOS SANTOS MACHADO (702)"</f>
        <v>BRUNO DOS SANTOS MACHADO (702)</v>
      </c>
      <c r="H7995" t="str">
        <f>"Serv.Prest. 13/10/2025 a 19/10/2025 - PIX: CPF - CHAVE: 155.328.666-94"</f>
        <v>Serv.Prest. 13/10/2025 a 19/10/2025 - PIX: CPF - CHAVE: 155.328.666-94</v>
      </c>
      <c r="I7995" t="str">
        <f t="shared" si="1493"/>
        <v>30/10/2025</v>
      </c>
      <c r="J7995" t="str">
        <f t="shared" si="1502"/>
        <v>21/10/2025</v>
      </c>
      <c r="K7995" t="str">
        <f>("30/10/2025")</f>
        <v>30/10/2025</v>
      </c>
      <c r="L7995">
        <v>1200</v>
      </c>
      <c r="M7995">
        <v>1200</v>
      </c>
      <c r="N7995">
        <v>109</v>
      </c>
      <c r="O7995" t="str">
        <f>"PAGAMENTO DE ENTREGADORES"</f>
        <v>PAGAMENTO DE ENTREGADORES</v>
      </c>
      <c r="P7995">
        <v>1200</v>
      </c>
      <c r="S7995" t="str">
        <f>"BANCO C6 (149)"</f>
        <v>BANCO C6 (149)</v>
      </c>
      <c r="T7995">
        <v>21964</v>
      </c>
      <c r="U7995">
        <v>23980</v>
      </c>
      <c r="V7995" t="s">
        <v>77</v>
      </c>
    </row>
    <row r="7996" spans="1:22">
      <c r="A7996" t="str">
        <f t="shared" si="1491"/>
        <v>30/10/2025</v>
      </c>
      <c r="B7996" t="str">
        <f t="shared" si="1492"/>
        <v>SAÍDA</v>
      </c>
      <c r="C7996" t="str">
        <f t="shared" si="1494"/>
        <v>PIX</v>
      </c>
      <c r="D7996" t="str">
        <f>"23980"</f>
        <v>23980</v>
      </c>
      <c r="E7996" t="str">
        <f t="shared" si="1501"/>
        <v>1</v>
      </c>
      <c r="F7996" t="str">
        <f t="shared" si="1503"/>
        <v>COM</v>
      </c>
      <c r="G7996" t="str">
        <f>"BRUNO DOS SANTOS MACHADO (702)"</f>
        <v>BRUNO DOS SANTOS MACHADO (702)</v>
      </c>
      <c r="H7996" t="s">
        <v>2219</v>
      </c>
      <c r="I7996" t="str">
        <f t="shared" si="1493"/>
        <v>30/10/2025</v>
      </c>
      <c r="J7996" t="str">
        <f t="shared" si="1502"/>
        <v>21/10/2025</v>
      </c>
      <c r="K7996">
        <v>45960</v>
      </c>
      <c r="N7996">
        <v>109</v>
      </c>
      <c r="O7996" t="s">
        <v>24</v>
      </c>
      <c r="Q7996">
        <v>800.04</v>
      </c>
      <c r="R7996" t="str">
        <f>"FARMÁCIA INDIANA LJ 204 (10087)"</f>
        <v>FARMÁCIA INDIANA LJ 204 (10087)</v>
      </c>
      <c r="S7996" t="s">
        <v>77</v>
      </c>
      <c r="T7996">
        <v>21964</v>
      </c>
      <c r="U7996">
        <v>23980</v>
      </c>
      <c r="V7996" t="s">
        <v>77</v>
      </c>
    </row>
    <row r="7997" spans="1:22">
      <c r="A7997" t="str">
        <f t="shared" si="1491"/>
        <v>30/10/2025</v>
      </c>
      <c r="B7997" t="str">
        <f t="shared" si="1492"/>
        <v>SAÍDA</v>
      </c>
      <c r="C7997" t="str">
        <f t="shared" si="1494"/>
        <v>PIX</v>
      </c>
      <c r="D7997" t="str">
        <f>"23980"</f>
        <v>23980</v>
      </c>
      <c r="E7997" t="str">
        <f t="shared" si="1501"/>
        <v>1</v>
      </c>
      <c r="F7997" t="str">
        <f t="shared" si="1503"/>
        <v>COM</v>
      </c>
      <c r="G7997" t="str">
        <f>"BRUNO DOS SANTOS MACHADO (702)"</f>
        <v>BRUNO DOS SANTOS MACHADO (702)</v>
      </c>
      <c r="H7997" t="s">
        <v>2219</v>
      </c>
      <c r="I7997" t="str">
        <f t="shared" si="1493"/>
        <v>30/10/2025</v>
      </c>
      <c r="J7997" t="str">
        <f t="shared" si="1502"/>
        <v>21/10/2025</v>
      </c>
      <c r="K7997">
        <v>45960</v>
      </c>
      <c r="N7997">
        <v>109</v>
      </c>
      <c r="O7997" t="s">
        <v>24</v>
      </c>
      <c r="Q7997">
        <v>399.96</v>
      </c>
      <c r="R7997" t="str">
        <f>"FARMÁCIA INDIANA LJ 266 (10186)"</f>
        <v>FARMÁCIA INDIANA LJ 266 (10186)</v>
      </c>
      <c r="S7997" t="s">
        <v>77</v>
      </c>
      <c r="T7997">
        <v>21964</v>
      </c>
      <c r="U7997">
        <v>23980</v>
      </c>
      <c r="V7997" t="s">
        <v>77</v>
      </c>
    </row>
    <row r="7998" spans="1:22">
      <c r="A7998" t="str">
        <f t="shared" si="1491"/>
        <v>30/10/2025</v>
      </c>
      <c r="B7998" t="str">
        <f t="shared" si="1492"/>
        <v>SAÍDA</v>
      </c>
      <c r="C7998" t="str">
        <f t="shared" si="1494"/>
        <v>PIX</v>
      </c>
      <c r="D7998" t="str">
        <f>"23981"</f>
        <v>23981</v>
      </c>
      <c r="E7998" t="str">
        <f t="shared" si="1501"/>
        <v>1</v>
      </c>
      <c r="F7998" t="str">
        <f t="shared" si="1503"/>
        <v>COM</v>
      </c>
      <c r="G7998" t="str">
        <f>"BRUNO WAGNER DE CARVALHO OLIVEIRA (84)"</f>
        <v>BRUNO WAGNER DE CARVALHO OLIVEIRA (84)</v>
      </c>
      <c r="H7998" t="str">
        <f>"Serv.Prest. 13/10/2025 a 19/10/2025 - PIX: CELULAR - CHAVE: (32) 98896-0708"</f>
        <v>Serv.Prest. 13/10/2025 a 19/10/2025 - PIX: CELULAR - CHAVE: (32) 98896-0708</v>
      </c>
      <c r="I7998" t="str">
        <f t="shared" si="1493"/>
        <v>30/10/2025</v>
      </c>
      <c r="J7998" t="str">
        <f t="shared" si="1502"/>
        <v>21/10/2025</v>
      </c>
      <c r="K7998" t="str">
        <f>("30/10/2025")</f>
        <v>30/10/2025</v>
      </c>
      <c r="L7998">
        <v>700</v>
      </c>
      <c r="M7998">
        <v>700</v>
      </c>
      <c r="N7998">
        <v>109</v>
      </c>
      <c r="O7998" t="str">
        <f>"PAGAMENTO DE ENTREGADORES"</f>
        <v>PAGAMENTO DE ENTREGADORES</v>
      </c>
      <c r="P7998">
        <v>700</v>
      </c>
      <c r="S7998" t="str">
        <f>"BANCO C6 (149)"</f>
        <v>BANCO C6 (149)</v>
      </c>
      <c r="T7998">
        <v>21965</v>
      </c>
      <c r="U7998">
        <v>23981</v>
      </c>
      <c r="V7998" t="s">
        <v>77</v>
      </c>
    </row>
    <row r="7999" spans="1:22">
      <c r="A7999" t="str">
        <f t="shared" si="1491"/>
        <v>30/10/2025</v>
      </c>
      <c r="B7999" t="str">
        <f t="shared" si="1492"/>
        <v>SAÍDA</v>
      </c>
      <c r="C7999" t="str">
        <f t="shared" si="1494"/>
        <v>PIX</v>
      </c>
      <c r="D7999" t="str">
        <f>"23981"</f>
        <v>23981</v>
      </c>
      <c r="E7999" t="str">
        <f t="shared" si="1501"/>
        <v>1</v>
      </c>
      <c r="F7999" t="str">
        <f t="shared" si="1503"/>
        <v>COM</v>
      </c>
      <c r="G7999" t="str">
        <f>"BRUNO WAGNER DE CARVALHO OLIVEIRA (84)"</f>
        <v>BRUNO WAGNER DE CARVALHO OLIVEIRA (84)</v>
      </c>
      <c r="H7999" t="s">
        <v>2220</v>
      </c>
      <c r="I7999" t="str">
        <f t="shared" si="1493"/>
        <v>30/10/2025</v>
      </c>
      <c r="J7999" t="str">
        <f t="shared" si="1502"/>
        <v>21/10/2025</v>
      </c>
      <c r="K7999">
        <v>45960</v>
      </c>
      <c r="N7999">
        <v>109</v>
      </c>
      <c r="O7999" t="s">
        <v>24</v>
      </c>
      <c r="Q7999">
        <v>87.5</v>
      </c>
      <c r="R7999" t="str">
        <f>"FARMÁCIA INDIANA LJ 182 (10079)"</f>
        <v>FARMÁCIA INDIANA LJ 182 (10079)</v>
      </c>
      <c r="S7999" t="s">
        <v>77</v>
      </c>
      <c r="T7999">
        <v>21965</v>
      </c>
      <c r="U7999">
        <v>23981</v>
      </c>
      <c r="V7999" t="s">
        <v>77</v>
      </c>
    </row>
    <row r="8000" spans="1:22">
      <c r="A8000" t="str">
        <f t="shared" si="1491"/>
        <v>30/10/2025</v>
      </c>
      <c r="B8000" t="str">
        <f t="shared" si="1492"/>
        <v>SAÍDA</v>
      </c>
      <c r="C8000" t="str">
        <f t="shared" si="1494"/>
        <v>PIX</v>
      </c>
      <c r="D8000" t="str">
        <f>"23981"</f>
        <v>23981</v>
      </c>
      <c r="E8000" t="str">
        <f t="shared" si="1501"/>
        <v>1</v>
      </c>
      <c r="F8000" t="str">
        <f t="shared" si="1503"/>
        <v>COM</v>
      </c>
      <c r="G8000" t="str">
        <f>"BRUNO WAGNER DE CARVALHO OLIVEIRA (84)"</f>
        <v>BRUNO WAGNER DE CARVALHO OLIVEIRA (84)</v>
      </c>
      <c r="H8000" t="s">
        <v>2220</v>
      </c>
      <c r="I8000" t="str">
        <f t="shared" si="1493"/>
        <v>30/10/2025</v>
      </c>
      <c r="J8000" t="str">
        <f t="shared" si="1502"/>
        <v>21/10/2025</v>
      </c>
      <c r="K8000">
        <v>45960</v>
      </c>
      <c r="N8000">
        <v>109</v>
      </c>
      <c r="O8000" t="s">
        <v>24</v>
      </c>
      <c r="Q8000">
        <v>612.5</v>
      </c>
      <c r="R8000" t="str">
        <f>"FARMÁCIA INDIANA LJ 186 (10081)"</f>
        <v>FARMÁCIA INDIANA LJ 186 (10081)</v>
      </c>
      <c r="S8000" t="s">
        <v>77</v>
      </c>
      <c r="T8000">
        <v>21965</v>
      </c>
      <c r="U8000">
        <v>23981</v>
      </c>
      <c r="V8000" t="s">
        <v>77</v>
      </c>
    </row>
    <row r="8001" spans="1:22">
      <c r="A8001" t="str">
        <f t="shared" si="1491"/>
        <v>30/10/2025</v>
      </c>
      <c r="B8001" t="str">
        <f t="shared" si="1492"/>
        <v>SAÍDA</v>
      </c>
      <c r="C8001" t="str">
        <f t="shared" si="1494"/>
        <v>PIX</v>
      </c>
      <c r="D8001" t="str">
        <f>"23982"</f>
        <v>23982</v>
      </c>
      <c r="E8001" t="str">
        <f t="shared" si="1501"/>
        <v>1</v>
      </c>
      <c r="F8001" t="str">
        <f t="shared" si="1503"/>
        <v>COM</v>
      </c>
      <c r="G8001" t="str">
        <f>"CARLOS ROBERTO BADARÓ MACHADO (78)"</f>
        <v>CARLOS ROBERTO BADARÓ MACHADO (78)</v>
      </c>
      <c r="H8001" t="str">
        <f>"Serv.Prest. 13/10/2025 a 19/10/2025 - PIX: CELULAR - CHAVE: (32) 99166-8238"</f>
        <v>Serv.Prest. 13/10/2025 a 19/10/2025 - PIX: CELULAR - CHAVE: (32) 99166-8238</v>
      </c>
      <c r="I8001" t="str">
        <f t="shared" si="1493"/>
        <v>30/10/2025</v>
      </c>
      <c r="J8001" t="str">
        <f t="shared" si="1502"/>
        <v>21/10/2025</v>
      </c>
      <c r="K8001" t="str">
        <f>("30/10/2025")</f>
        <v>30/10/2025</v>
      </c>
      <c r="L8001">
        <v>1692</v>
      </c>
      <c r="M8001">
        <v>1692</v>
      </c>
      <c r="N8001">
        <v>109</v>
      </c>
      <c r="O8001" t="str">
        <f>"PAGAMENTO DE ENTREGADORES"</f>
        <v>PAGAMENTO DE ENTREGADORES</v>
      </c>
      <c r="P8001">
        <v>1692</v>
      </c>
      <c r="S8001" t="str">
        <f>"BANCO C6 (149)"</f>
        <v>BANCO C6 (149)</v>
      </c>
      <c r="T8001">
        <v>21966</v>
      </c>
      <c r="U8001">
        <v>23982</v>
      </c>
      <c r="V8001" t="s">
        <v>77</v>
      </c>
    </row>
    <row r="8002" spans="1:22">
      <c r="A8002" t="str">
        <f t="shared" si="1491"/>
        <v>30/10/2025</v>
      </c>
      <c r="B8002" t="str">
        <f t="shared" si="1492"/>
        <v>SAÍDA</v>
      </c>
      <c r="C8002" t="str">
        <f t="shared" si="1494"/>
        <v>PIX</v>
      </c>
      <c r="D8002" t="str">
        <f>"23982"</f>
        <v>23982</v>
      </c>
      <c r="E8002" t="str">
        <f t="shared" si="1501"/>
        <v>1</v>
      </c>
      <c r="F8002" t="str">
        <f t="shared" si="1503"/>
        <v>COM</v>
      </c>
      <c r="G8002" t="str">
        <f>"CARLOS ROBERTO BADARÓ MACHADO (78)"</f>
        <v>CARLOS ROBERTO BADARÓ MACHADO (78)</v>
      </c>
      <c r="H8002" t="s">
        <v>2221</v>
      </c>
      <c r="I8002" t="str">
        <f t="shared" si="1493"/>
        <v>30/10/2025</v>
      </c>
      <c r="J8002" t="str">
        <f t="shared" si="1502"/>
        <v>21/10/2025</v>
      </c>
      <c r="K8002">
        <v>45960</v>
      </c>
      <c r="N8002">
        <v>109</v>
      </c>
      <c r="O8002" t="s">
        <v>24</v>
      </c>
      <c r="Q8002">
        <v>1692</v>
      </c>
      <c r="R8002" t="str">
        <f>"FARMÁCIA INDIANA LJ 109 (10047)"</f>
        <v>FARMÁCIA INDIANA LJ 109 (10047)</v>
      </c>
      <c r="S8002" t="s">
        <v>77</v>
      </c>
      <c r="T8002">
        <v>21966</v>
      </c>
      <c r="U8002">
        <v>23982</v>
      </c>
      <c r="V8002" t="s">
        <v>77</v>
      </c>
    </row>
    <row r="8003" spans="1:22">
      <c r="A8003" t="str">
        <f t="shared" si="1491"/>
        <v>30/10/2025</v>
      </c>
      <c r="B8003" t="str">
        <f t="shared" si="1492"/>
        <v>SAÍDA</v>
      </c>
      <c r="C8003" t="str">
        <f t="shared" si="1494"/>
        <v>PIX</v>
      </c>
      <c r="D8003" t="str">
        <f>"23983"</f>
        <v>23983</v>
      </c>
      <c r="E8003" t="str">
        <f t="shared" si="1501"/>
        <v>1</v>
      </c>
      <c r="F8003" t="str">
        <f t="shared" si="1503"/>
        <v>COM</v>
      </c>
      <c r="G8003" t="str">
        <f>"CASSIO DIAS RIBEIRO (32)"</f>
        <v>CASSIO DIAS RIBEIRO (32)</v>
      </c>
      <c r="H8003" t="str">
        <f>"Serv.Prest. 13/10/2025 a 19/10/2025 - PIX: CPF - CHAVE: 091.575.986-14"</f>
        <v>Serv.Prest. 13/10/2025 a 19/10/2025 - PIX: CPF - CHAVE: 091.575.986-14</v>
      </c>
      <c r="I8003" t="str">
        <f t="shared" si="1493"/>
        <v>30/10/2025</v>
      </c>
      <c r="J8003" t="str">
        <f t="shared" si="1502"/>
        <v>21/10/2025</v>
      </c>
      <c r="K8003" t="str">
        <f>("30/10/2025")</f>
        <v>30/10/2025</v>
      </c>
      <c r="L8003">
        <v>1446</v>
      </c>
      <c r="M8003">
        <v>1446</v>
      </c>
      <c r="N8003">
        <v>109</v>
      </c>
      <c r="O8003" t="str">
        <f>"PAGAMENTO DE ENTREGADORES"</f>
        <v>PAGAMENTO DE ENTREGADORES</v>
      </c>
      <c r="P8003">
        <v>1446</v>
      </c>
      <c r="S8003" t="str">
        <f>"BANCO C6 (149)"</f>
        <v>BANCO C6 (149)</v>
      </c>
      <c r="T8003">
        <v>21967</v>
      </c>
      <c r="U8003">
        <v>23983</v>
      </c>
      <c r="V8003" t="s">
        <v>77</v>
      </c>
    </row>
    <row r="8004" spans="1:22">
      <c r="A8004" t="str">
        <f t="shared" si="1491"/>
        <v>30/10/2025</v>
      </c>
      <c r="B8004" t="str">
        <f t="shared" si="1492"/>
        <v>SAÍDA</v>
      </c>
      <c r="C8004" t="str">
        <f t="shared" si="1494"/>
        <v>PIX</v>
      </c>
      <c r="D8004" t="str">
        <f>"23983"</f>
        <v>23983</v>
      </c>
      <c r="E8004" t="str">
        <f t="shared" si="1501"/>
        <v>1</v>
      </c>
      <c r="F8004" t="str">
        <f t="shared" si="1503"/>
        <v>COM</v>
      </c>
      <c r="G8004" t="str">
        <f>"CASSIO DIAS RIBEIRO (32)"</f>
        <v>CASSIO DIAS RIBEIRO (32)</v>
      </c>
      <c r="H8004" t="s">
        <v>2222</v>
      </c>
      <c r="I8004" t="str">
        <f t="shared" si="1493"/>
        <v>30/10/2025</v>
      </c>
      <c r="J8004" t="str">
        <f t="shared" si="1502"/>
        <v>21/10/2025</v>
      </c>
      <c r="K8004">
        <v>45960</v>
      </c>
      <c r="N8004">
        <v>109</v>
      </c>
      <c r="O8004" t="s">
        <v>24</v>
      </c>
      <c r="Q8004">
        <v>432.06</v>
      </c>
      <c r="R8004" t="str">
        <f>"FARMÁCIA INDIANA LJ 11 (10008)"</f>
        <v>FARMÁCIA INDIANA LJ 11 (10008)</v>
      </c>
      <c r="S8004" t="s">
        <v>77</v>
      </c>
      <c r="T8004">
        <v>21967</v>
      </c>
      <c r="U8004">
        <v>23983</v>
      </c>
      <c r="V8004" t="s">
        <v>77</v>
      </c>
    </row>
    <row r="8005" spans="1:22">
      <c r="A8005" t="str">
        <f t="shared" si="1491"/>
        <v>30/10/2025</v>
      </c>
      <c r="B8005" t="str">
        <f t="shared" si="1492"/>
        <v>SAÍDA</v>
      </c>
      <c r="C8005" t="str">
        <f t="shared" si="1494"/>
        <v>PIX</v>
      </c>
      <c r="D8005" t="str">
        <f>"23983"</f>
        <v>23983</v>
      </c>
      <c r="E8005" t="str">
        <f t="shared" si="1501"/>
        <v>1</v>
      </c>
      <c r="F8005" t="str">
        <f t="shared" si="1503"/>
        <v>COM</v>
      </c>
      <c r="G8005" t="str">
        <f>"CASSIO DIAS RIBEIRO (32)"</f>
        <v>CASSIO DIAS RIBEIRO (32)</v>
      </c>
      <c r="H8005" t="s">
        <v>2222</v>
      </c>
      <c r="I8005" t="str">
        <f t="shared" si="1493"/>
        <v>30/10/2025</v>
      </c>
      <c r="J8005" t="str">
        <f t="shared" si="1502"/>
        <v>21/10/2025</v>
      </c>
      <c r="K8005">
        <v>45960</v>
      </c>
      <c r="N8005">
        <v>109</v>
      </c>
      <c r="O8005" t="s">
        <v>24</v>
      </c>
      <c r="Q8005">
        <v>1013.94</v>
      </c>
      <c r="R8005" t="str">
        <f>"FARMÁCIA INDIANA LJ 18 (10011)"</f>
        <v>FARMÁCIA INDIANA LJ 18 (10011)</v>
      </c>
      <c r="S8005" t="s">
        <v>77</v>
      </c>
      <c r="T8005">
        <v>21967</v>
      </c>
      <c r="U8005">
        <v>23983</v>
      </c>
      <c r="V8005" t="s">
        <v>77</v>
      </c>
    </row>
    <row r="8006" spans="1:22">
      <c r="A8006" t="str">
        <f t="shared" si="1491"/>
        <v>30/10/2025</v>
      </c>
      <c r="B8006" t="str">
        <f t="shared" si="1492"/>
        <v>SAÍDA</v>
      </c>
      <c r="C8006" t="str">
        <f t="shared" si="1494"/>
        <v>PIX</v>
      </c>
      <c r="D8006" t="str">
        <f>"23984"</f>
        <v>23984</v>
      </c>
      <c r="E8006" t="str">
        <f t="shared" si="1501"/>
        <v>1</v>
      </c>
      <c r="F8006" t="str">
        <f t="shared" si="1503"/>
        <v>COM</v>
      </c>
      <c r="G8006" t="str">
        <f>"CELIO JOSÉ RIBEIRO (189)"</f>
        <v>CELIO JOSÉ RIBEIRO (189)</v>
      </c>
      <c r="H8006" t="str">
        <f>"Serv.Prest. 13/10/2025 a 19/10/2025 - PIX: CELULAR - CHAVE: (33) 98845-4528"</f>
        <v>Serv.Prest. 13/10/2025 a 19/10/2025 - PIX: CELULAR - CHAVE: (33) 98845-4528</v>
      </c>
      <c r="I8006" t="str">
        <f t="shared" si="1493"/>
        <v>30/10/2025</v>
      </c>
      <c r="J8006" t="str">
        <f t="shared" si="1502"/>
        <v>21/10/2025</v>
      </c>
      <c r="K8006" t="str">
        <f>("30/10/2025")</f>
        <v>30/10/2025</v>
      </c>
      <c r="L8006">
        <v>1122</v>
      </c>
      <c r="M8006">
        <v>1122</v>
      </c>
      <c r="N8006">
        <v>109</v>
      </c>
      <c r="O8006" t="str">
        <f>"PAGAMENTO DE ENTREGADORES"</f>
        <v>PAGAMENTO DE ENTREGADORES</v>
      </c>
      <c r="P8006">
        <v>1122</v>
      </c>
      <c r="S8006" t="str">
        <f>"BANCO C6 (149)"</f>
        <v>BANCO C6 (149)</v>
      </c>
      <c r="T8006">
        <v>21968</v>
      </c>
      <c r="U8006">
        <v>23984</v>
      </c>
      <c r="V8006" t="s">
        <v>77</v>
      </c>
    </row>
    <row r="8007" spans="1:22">
      <c r="A8007" t="str">
        <f t="shared" si="1491"/>
        <v>30/10/2025</v>
      </c>
      <c r="B8007" t="str">
        <f t="shared" si="1492"/>
        <v>SAÍDA</v>
      </c>
      <c r="C8007" t="str">
        <f t="shared" si="1494"/>
        <v>PIX</v>
      </c>
      <c r="D8007" t="str">
        <f>"23984"</f>
        <v>23984</v>
      </c>
      <c r="E8007" t="str">
        <f t="shared" si="1501"/>
        <v>1</v>
      </c>
      <c r="F8007" t="str">
        <f t="shared" si="1503"/>
        <v>COM</v>
      </c>
      <c r="G8007" t="str">
        <f>"CELIO JOSÉ RIBEIRO (189)"</f>
        <v>CELIO JOSÉ RIBEIRO (189)</v>
      </c>
      <c r="H8007" t="s">
        <v>2223</v>
      </c>
      <c r="I8007" t="str">
        <f t="shared" si="1493"/>
        <v>30/10/2025</v>
      </c>
      <c r="J8007" t="str">
        <f t="shared" si="1502"/>
        <v>21/10/2025</v>
      </c>
      <c r="K8007">
        <v>45960</v>
      </c>
      <c r="N8007">
        <v>109</v>
      </c>
      <c r="O8007" t="s">
        <v>24</v>
      </c>
      <c r="Q8007">
        <v>1122</v>
      </c>
      <c r="R8007" t="str">
        <f>"FARMÁCIA INDIANA LJ 06 (10006)"</f>
        <v>FARMÁCIA INDIANA LJ 06 (10006)</v>
      </c>
      <c r="S8007" t="s">
        <v>77</v>
      </c>
      <c r="T8007">
        <v>21968</v>
      </c>
      <c r="U8007">
        <v>23984</v>
      </c>
      <c r="V8007" t="s">
        <v>77</v>
      </c>
    </row>
    <row r="8008" spans="1:22">
      <c r="A8008" t="str">
        <f t="shared" si="1491"/>
        <v>30/10/2025</v>
      </c>
      <c r="B8008" t="str">
        <f t="shared" si="1492"/>
        <v>SAÍDA</v>
      </c>
      <c r="C8008" t="str">
        <f t="shared" si="1494"/>
        <v>PIX</v>
      </c>
      <c r="D8008" t="str">
        <f>"23985"</f>
        <v>23985</v>
      </c>
      <c r="E8008" t="str">
        <f t="shared" si="1501"/>
        <v>1</v>
      </c>
      <c r="F8008" t="str">
        <f t="shared" si="1503"/>
        <v>COM</v>
      </c>
      <c r="G8008" t="str">
        <f>"CLEIDIOMAR RIBEIRO FERREIRA (34)"</f>
        <v>CLEIDIOMAR RIBEIRO FERREIRA (34)</v>
      </c>
      <c r="H8008" t="str">
        <f>"Serv.Prest. 13/10/2025 a 19/10/2025 - PIX: CELULAR - CHAVE: (31) 98511-2851"</f>
        <v>Serv.Prest. 13/10/2025 a 19/10/2025 - PIX: CELULAR - CHAVE: (31) 98511-2851</v>
      </c>
      <c r="I8008" t="str">
        <f t="shared" si="1493"/>
        <v>30/10/2025</v>
      </c>
      <c r="J8008" t="str">
        <f t="shared" si="1502"/>
        <v>21/10/2025</v>
      </c>
      <c r="K8008" t="str">
        <f>("30/10/2025")</f>
        <v>30/10/2025</v>
      </c>
      <c r="L8008">
        <v>1680</v>
      </c>
      <c r="M8008">
        <v>1680</v>
      </c>
      <c r="N8008">
        <v>109</v>
      </c>
      <c r="O8008" t="str">
        <f>"PAGAMENTO DE ENTREGADORES"</f>
        <v>PAGAMENTO DE ENTREGADORES</v>
      </c>
      <c r="P8008">
        <v>1680</v>
      </c>
      <c r="S8008" t="str">
        <f>"BANCO C6 (149)"</f>
        <v>BANCO C6 (149)</v>
      </c>
      <c r="T8008">
        <v>21969</v>
      </c>
      <c r="U8008">
        <v>23985</v>
      </c>
      <c r="V8008" t="s">
        <v>77</v>
      </c>
    </row>
    <row r="8009" spans="1:22">
      <c r="A8009" t="str">
        <f t="shared" si="1491"/>
        <v>30/10/2025</v>
      </c>
      <c r="B8009" t="str">
        <f t="shared" si="1492"/>
        <v>SAÍDA</v>
      </c>
      <c r="C8009" t="str">
        <f t="shared" si="1494"/>
        <v>PIX</v>
      </c>
      <c r="D8009" t="str">
        <f>"23985"</f>
        <v>23985</v>
      </c>
      <c r="E8009" t="str">
        <f t="shared" si="1501"/>
        <v>1</v>
      </c>
      <c r="F8009" t="str">
        <f t="shared" si="1503"/>
        <v>COM</v>
      </c>
      <c r="G8009" t="str">
        <f>"CLEIDIOMAR RIBEIRO FERREIRA (34)"</f>
        <v>CLEIDIOMAR RIBEIRO FERREIRA (34)</v>
      </c>
      <c r="H8009" t="s">
        <v>2224</v>
      </c>
      <c r="I8009" t="str">
        <f t="shared" si="1493"/>
        <v>30/10/2025</v>
      </c>
      <c r="J8009" t="str">
        <f t="shared" si="1502"/>
        <v>21/10/2025</v>
      </c>
      <c r="K8009">
        <v>45960</v>
      </c>
      <c r="N8009">
        <v>109</v>
      </c>
      <c r="O8009" t="s">
        <v>24</v>
      </c>
      <c r="Q8009">
        <v>1680</v>
      </c>
      <c r="R8009" t="str">
        <f>"FARMÁCIA INDIANA LJ 11 (10008)"</f>
        <v>FARMÁCIA INDIANA LJ 11 (10008)</v>
      </c>
      <c r="S8009" t="s">
        <v>77</v>
      </c>
      <c r="T8009">
        <v>21969</v>
      </c>
      <c r="U8009">
        <v>23985</v>
      </c>
      <c r="V8009" t="s">
        <v>77</v>
      </c>
    </row>
    <row r="8010" spans="1:22">
      <c r="A8010" t="str">
        <f t="shared" si="1491"/>
        <v>30/10/2025</v>
      </c>
      <c r="B8010" t="str">
        <f t="shared" si="1492"/>
        <v>SAÍDA</v>
      </c>
      <c r="C8010" t="str">
        <f t="shared" si="1494"/>
        <v>PIX</v>
      </c>
      <c r="D8010" t="str">
        <f>"23986"</f>
        <v>23986</v>
      </c>
      <c r="E8010" t="str">
        <f t="shared" si="1501"/>
        <v>1</v>
      </c>
      <c r="F8010" t="str">
        <f t="shared" si="1503"/>
        <v>COM</v>
      </c>
      <c r="G8010" t="str">
        <f>"CRISTIANO XAVIER DA COSTA (269)"</f>
        <v>CRISTIANO XAVIER DA COSTA (269)</v>
      </c>
      <c r="H8010" t="str">
        <f>"Serv.Prest. 13/10/2025 a 19/10/2025 - PIX: CELULAR - CHAVE: (32) 99177-6167"</f>
        <v>Serv.Prest. 13/10/2025 a 19/10/2025 - PIX: CELULAR - CHAVE: (32) 99177-6167</v>
      </c>
      <c r="I8010" t="str">
        <f t="shared" si="1493"/>
        <v>30/10/2025</v>
      </c>
      <c r="J8010" t="str">
        <f t="shared" si="1502"/>
        <v>21/10/2025</v>
      </c>
      <c r="K8010" t="str">
        <f>("30/10/2025")</f>
        <v>30/10/2025</v>
      </c>
      <c r="L8010">
        <v>2040</v>
      </c>
      <c r="M8010">
        <v>2040</v>
      </c>
      <c r="N8010">
        <v>109</v>
      </c>
      <c r="O8010" t="str">
        <f>"PAGAMENTO DE ENTREGADORES"</f>
        <v>PAGAMENTO DE ENTREGADORES</v>
      </c>
      <c r="P8010">
        <v>2040</v>
      </c>
      <c r="S8010" t="str">
        <f>"BANCO C6 (149)"</f>
        <v>BANCO C6 (149)</v>
      </c>
      <c r="T8010">
        <v>21970</v>
      </c>
      <c r="U8010">
        <v>23986</v>
      </c>
      <c r="V8010" t="s">
        <v>77</v>
      </c>
    </row>
    <row r="8011" spans="1:22">
      <c r="A8011" t="str">
        <f t="shared" si="1491"/>
        <v>30/10/2025</v>
      </c>
      <c r="B8011" t="str">
        <f t="shared" si="1492"/>
        <v>SAÍDA</v>
      </c>
      <c r="C8011" t="str">
        <f t="shared" si="1494"/>
        <v>PIX</v>
      </c>
      <c r="D8011" t="str">
        <f>"23986"</f>
        <v>23986</v>
      </c>
      <c r="E8011" t="str">
        <f t="shared" si="1501"/>
        <v>1</v>
      </c>
      <c r="F8011" t="str">
        <f t="shared" si="1503"/>
        <v>COM</v>
      </c>
      <c r="G8011" t="str">
        <f>"CRISTIANO XAVIER DA COSTA (269)"</f>
        <v>CRISTIANO XAVIER DA COSTA (269)</v>
      </c>
      <c r="H8011" t="s">
        <v>2225</v>
      </c>
      <c r="I8011" t="str">
        <f t="shared" si="1493"/>
        <v>30/10/2025</v>
      </c>
      <c r="J8011" t="str">
        <f t="shared" si="1502"/>
        <v>21/10/2025</v>
      </c>
      <c r="K8011">
        <v>45960</v>
      </c>
      <c r="N8011">
        <v>109</v>
      </c>
      <c r="O8011" t="s">
        <v>24</v>
      </c>
      <c r="Q8011">
        <v>902.9</v>
      </c>
      <c r="R8011" t="str">
        <f>"FARMÁCIA INDIANA LJ 207 (10088)"</f>
        <v>FARMÁCIA INDIANA LJ 207 (10088)</v>
      </c>
      <c r="S8011" t="s">
        <v>77</v>
      </c>
      <c r="T8011">
        <v>21970</v>
      </c>
      <c r="U8011">
        <v>23986</v>
      </c>
      <c r="V8011" t="s">
        <v>77</v>
      </c>
    </row>
    <row r="8012" spans="1:22">
      <c r="A8012" t="str">
        <f t="shared" si="1491"/>
        <v>30/10/2025</v>
      </c>
      <c r="B8012" t="str">
        <f t="shared" si="1492"/>
        <v>SAÍDA</v>
      </c>
      <c r="C8012" t="str">
        <f t="shared" si="1494"/>
        <v>PIX</v>
      </c>
      <c r="D8012" t="str">
        <f>"23986"</f>
        <v>23986</v>
      </c>
      <c r="E8012" t="str">
        <f t="shared" si="1501"/>
        <v>1</v>
      </c>
      <c r="F8012" t="str">
        <f t="shared" si="1503"/>
        <v>COM</v>
      </c>
      <c r="G8012" t="str">
        <f>"CRISTIANO XAVIER DA COSTA (269)"</f>
        <v>CRISTIANO XAVIER DA COSTA (269)</v>
      </c>
      <c r="H8012" t="s">
        <v>2225</v>
      </c>
      <c r="I8012" t="str">
        <f t="shared" si="1493"/>
        <v>30/10/2025</v>
      </c>
      <c r="J8012" t="str">
        <f t="shared" si="1502"/>
        <v>21/10/2025</v>
      </c>
      <c r="K8012">
        <v>45960</v>
      </c>
      <c r="N8012">
        <v>109</v>
      </c>
      <c r="O8012" t="s">
        <v>24</v>
      </c>
      <c r="Q8012">
        <v>1137.0999999999999</v>
      </c>
      <c r="R8012" t="str">
        <f>"FARMÁCIA INDIANA LJ 209 (10089)"</f>
        <v>FARMÁCIA INDIANA LJ 209 (10089)</v>
      </c>
      <c r="S8012" t="s">
        <v>77</v>
      </c>
      <c r="T8012">
        <v>21970</v>
      </c>
      <c r="U8012">
        <v>23986</v>
      </c>
      <c r="V8012" t="s">
        <v>77</v>
      </c>
    </row>
    <row r="8013" spans="1:22">
      <c r="A8013" t="str">
        <f t="shared" ref="A8013:A8076" si="1504">("30/10/2025")</f>
        <v>30/10/2025</v>
      </c>
      <c r="B8013" t="str">
        <f t="shared" si="1492"/>
        <v>SAÍDA</v>
      </c>
      <c r="C8013" t="str">
        <f t="shared" si="1494"/>
        <v>PIX</v>
      </c>
      <c r="D8013" t="str">
        <f>"23987"</f>
        <v>23987</v>
      </c>
      <c r="E8013" t="str">
        <f t="shared" si="1501"/>
        <v>1</v>
      </c>
      <c r="F8013" t="str">
        <f t="shared" si="1503"/>
        <v>COM</v>
      </c>
      <c r="G8013" t="str">
        <f>"DAMÁSIO JOSÉ DO NASCIMENTO NETO (147)"</f>
        <v>DAMÁSIO JOSÉ DO NASCIMENTO NETO (147)</v>
      </c>
      <c r="H8013" t="str">
        <f>"Serv.Prest. 13/10/2025 a 19/10/2025 - PIX: CPF - CHAVE: 110.483.296-82"</f>
        <v>Serv.Prest. 13/10/2025 a 19/10/2025 - PIX: CPF - CHAVE: 110.483.296-82</v>
      </c>
      <c r="I8013" t="str">
        <f t="shared" si="1493"/>
        <v>30/10/2025</v>
      </c>
      <c r="J8013" t="str">
        <f t="shared" si="1502"/>
        <v>21/10/2025</v>
      </c>
      <c r="K8013" t="str">
        <f>("30/10/2025")</f>
        <v>30/10/2025</v>
      </c>
      <c r="L8013">
        <v>1146</v>
      </c>
      <c r="M8013">
        <v>1146</v>
      </c>
      <c r="N8013">
        <v>109</v>
      </c>
      <c r="O8013" t="str">
        <f>"PAGAMENTO DE ENTREGADORES"</f>
        <v>PAGAMENTO DE ENTREGADORES</v>
      </c>
      <c r="P8013">
        <v>1146</v>
      </c>
      <c r="S8013" t="str">
        <f>"BANCO C6 (149)"</f>
        <v>BANCO C6 (149)</v>
      </c>
      <c r="T8013">
        <v>21971</v>
      </c>
      <c r="U8013">
        <v>23987</v>
      </c>
      <c r="V8013" t="s">
        <v>77</v>
      </c>
    </row>
    <row r="8014" spans="1:22">
      <c r="A8014" t="str">
        <f t="shared" si="1504"/>
        <v>30/10/2025</v>
      </c>
      <c r="B8014" t="str">
        <f t="shared" ref="B8014:B8077" si="1505">"SAÍDA"</f>
        <v>SAÍDA</v>
      </c>
      <c r="C8014" t="str">
        <f t="shared" si="1494"/>
        <v>PIX</v>
      </c>
      <c r="D8014" t="str">
        <f>"23987"</f>
        <v>23987</v>
      </c>
      <c r="E8014" t="str">
        <f t="shared" si="1501"/>
        <v>1</v>
      </c>
      <c r="F8014" t="str">
        <f t="shared" si="1503"/>
        <v>COM</v>
      </c>
      <c r="G8014" t="str">
        <f>"DAMÁSIO JOSÉ DO NASCIMENTO NETO (147)"</f>
        <v>DAMÁSIO JOSÉ DO NASCIMENTO NETO (147)</v>
      </c>
      <c r="H8014" t="s">
        <v>2226</v>
      </c>
      <c r="I8014" t="str">
        <f t="shared" ref="I8014:I8077" si="1506">("30/10/2025")</f>
        <v>30/10/2025</v>
      </c>
      <c r="J8014" t="str">
        <f t="shared" si="1502"/>
        <v>21/10/2025</v>
      </c>
      <c r="K8014">
        <v>45960</v>
      </c>
      <c r="N8014">
        <v>109</v>
      </c>
      <c r="O8014" t="s">
        <v>24</v>
      </c>
      <c r="Q8014">
        <v>1146</v>
      </c>
      <c r="R8014" t="str">
        <f>"FARMÁCIA INDIANA LJ 142 (10066)"</f>
        <v>FARMÁCIA INDIANA LJ 142 (10066)</v>
      </c>
      <c r="S8014" t="s">
        <v>77</v>
      </c>
      <c r="T8014">
        <v>21971</v>
      </c>
      <c r="U8014">
        <v>23987</v>
      </c>
      <c r="V8014" t="s">
        <v>77</v>
      </c>
    </row>
    <row r="8015" spans="1:22">
      <c r="A8015" t="str">
        <f t="shared" si="1504"/>
        <v>30/10/2025</v>
      </c>
      <c r="B8015" t="str">
        <f t="shared" si="1505"/>
        <v>SAÍDA</v>
      </c>
      <c r="C8015" t="str">
        <f t="shared" si="1494"/>
        <v>PIX</v>
      </c>
      <c r="D8015" t="str">
        <f>"23988"</f>
        <v>23988</v>
      </c>
      <c r="E8015" t="str">
        <f t="shared" si="1501"/>
        <v>1</v>
      </c>
      <c r="F8015" t="str">
        <f t="shared" si="1503"/>
        <v>COM</v>
      </c>
      <c r="G8015" t="str">
        <f>"DANILO WASHINGTON DOS SANTOS (770)"</f>
        <v>DANILO WASHINGTON DOS SANTOS (770)</v>
      </c>
      <c r="H8015" t="str">
        <f>"Serv.Prest. 13/10/2025 a 19/10/2025 - PIX: CELULAR - CHAVE: (33) 98749-5105"</f>
        <v>Serv.Prest. 13/10/2025 a 19/10/2025 - PIX: CELULAR - CHAVE: (33) 98749-5105</v>
      </c>
      <c r="I8015" t="str">
        <f t="shared" si="1506"/>
        <v>30/10/2025</v>
      </c>
      <c r="J8015" t="str">
        <f t="shared" si="1502"/>
        <v>21/10/2025</v>
      </c>
      <c r="K8015" t="str">
        <f>("30/10/2025")</f>
        <v>30/10/2025</v>
      </c>
      <c r="L8015">
        <v>858</v>
      </c>
      <c r="M8015">
        <v>858</v>
      </c>
      <c r="N8015">
        <v>109</v>
      </c>
      <c r="O8015" t="str">
        <f>"PAGAMENTO DE ENTREGADORES"</f>
        <v>PAGAMENTO DE ENTREGADORES</v>
      </c>
      <c r="P8015">
        <v>858</v>
      </c>
      <c r="S8015" t="str">
        <f>"BANCO C6 (149)"</f>
        <v>BANCO C6 (149)</v>
      </c>
      <c r="T8015">
        <v>21972</v>
      </c>
      <c r="U8015">
        <v>23988</v>
      </c>
      <c r="V8015" t="s">
        <v>77</v>
      </c>
    </row>
    <row r="8016" spans="1:22">
      <c r="A8016" t="str">
        <f t="shared" si="1504"/>
        <v>30/10/2025</v>
      </c>
      <c r="B8016" t="str">
        <f t="shared" si="1505"/>
        <v>SAÍDA</v>
      </c>
      <c r="C8016" t="str">
        <f t="shared" ref="C8016:C8079" si="1507">"PIX"</f>
        <v>PIX</v>
      </c>
      <c r="D8016" t="str">
        <f>"23988"</f>
        <v>23988</v>
      </c>
      <c r="E8016" t="str">
        <f t="shared" si="1501"/>
        <v>1</v>
      </c>
      <c r="F8016" t="str">
        <f t="shared" si="1503"/>
        <v>COM</v>
      </c>
      <c r="G8016" t="str">
        <f>"DANILO WASHINGTON DOS SANTOS (770)"</f>
        <v>DANILO WASHINGTON DOS SANTOS (770)</v>
      </c>
      <c r="H8016" t="s">
        <v>2227</v>
      </c>
      <c r="I8016" t="str">
        <f t="shared" si="1506"/>
        <v>30/10/2025</v>
      </c>
      <c r="J8016" t="str">
        <f t="shared" si="1502"/>
        <v>21/10/2025</v>
      </c>
      <c r="K8016">
        <v>45960</v>
      </c>
      <c r="N8016">
        <v>109</v>
      </c>
      <c r="O8016" t="s">
        <v>24</v>
      </c>
      <c r="Q8016">
        <v>858</v>
      </c>
      <c r="R8016" t="str">
        <f>"FARMÁCIA INDIANA LJ 07 (10007)"</f>
        <v>FARMÁCIA INDIANA LJ 07 (10007)</v>
      </c>
      <c r="S8016" t="s">
        <v>77</v>
      </c>
      <c r="T8016">
        <v>21972</v>
      </c>
      <c r="U8016">
        <v>23988</v>
      </c>
      <c r="V8016" t="s">
        <v>77</v>
      </c>
    </row>
    <row r="8017" spans="1:22">
      <c r="A8017" t="str">
        <f t="shared" si="1504"/>
        <v>30/10/2025</v>
      </c>
      <c r="B8017" t="str">
        <f t="shared" si="1505"/>
        <v>SAÍDA</v>
      </c>
      <c r="C8017" t="str">
        <f t="shared" si="1507"/>
        <v>PIX</v>
      </c>
      <c r="D8017" t="str">
        <f>"23989"</f>
        <v>23989</v>
      </c>
      <c r="E8017" t="str">
        <f t="shared" si="1501"/>
        <v>1</v>
      </c>
      <c r="F8017" t="str">
        <f t="shared" si="1503"/>
        <v>COM</v>
      </c>
      <c r="G8017" t="str">
        <f>"DANTE SOARES DA SILVA (416)"</f>
        <v>DANTE SOARES DA SILVA (416)</v>
      </c>
      <c r="H8017" t="str">
        <f>"Serv.Prest. 13/10/2025 a 19/10/2025 - PIX: CELULAR - CHAVE: (33) 99802-1883"</f>
        <v>Serv.Prest. 13/10/2025 a 19/10/2025 - PIX: CELULAR - CHAVE: (33) 99802-1883</v>
      </c>
      <c r="I8017" t="str">
        <f t="shared" si="1506"/>
        <v>30/10/2025</v>
      </c>
      <c r="J8017" t="str">
        <f t="shared" si="1502"/>
        <v>21/10/2025</v>
      </c>
      <c r="K8017" t="str">
        <f>("30/10/2025")</f>
        <v>30/10/2025</v>
      </c>
      <c r="L8017">
        <v>774.2</v>
      </c>
      <c r="M8017">
        <v>774.2</v>
      </c>
      <c r="N8017">
        <v>109</v>
      </c>
      <c r="O8017" t="str">
        <f>"PAGAMENTO DE ENTREGADORES"</f>
        <v>PAGAMENTO DE ENTREGADORES</v>
      </c>
      <c r="P8017">
        <v>774.2</v>
      </c>
      <c r="S8017" t="str">
        <f>"BANCO C6 (149)"</f>
        <v>BANCO C6 (149)</v>
      </c>
      <c r="T8017">
        <v>21973</v>
      </c>
      <c r="U8017">
        <v>23989</v>
      </c>
      <c r="V8017" t="s">
        <v>77</v>
      </c>
    </row>
    <row r="8018" spans="1:22">
      <c r="A8018" t="str">
        <f t="shared" si="1504"/>
        <v>30/10/2025</v>
      </c>
      <c r="B8018" t="str">
        <f t="shared" si="1505"/>
        <v>SAÍDA</v>
      </c>
      <c r="C8018" t="str">
        <f t="shared" si="1507"/>
        <v>PIX</v>
      </c>
      <c r="D8018" t="str">
        <f>"23989"</f>
        <v>23989</v>
      </c>
      <c r="E8018" t="str">
        <f t="shared" si="1501"/>
        <v>1</v>
      </c>
      <c r="F8018" t="str">
        <f t="shared" si="1503"/>
        <v>COM</v>
      </c>
      <c r="G8018" t="str">
        <f>"DANTE SOARES DA SILVA (416)"</f>
        <v>DANTE SOARES DA SILVA (416)</v>
      </c>
      <c r="H8018" t="s">
        <v>2228</v>
      </c>
      <c r="I8018" t="str">
        <f t="shared" si="1506"/>
        <v>30/10/2025</v>
      </c>
      <c r="J8018" t="str">
        <f t="shared" si="1502"/>
        <v>21/10/2025</v>
      </c>
      <c r="K8018">
        <v>45960</v>
      </c>
      <c r="N8018">
        <v>109</v>
      </c>
      <c r="O8018" t="s">
        <v>24</v>
      </c>
      <c r="Q8018">
        <v>774.2</v>
      </c>
      <c r="R8018" t="str">
        <f>"FARMÁCIA INDIANA LJ 59 (10026)"</f>
        <v>FARMÁCIA INDIANA LJ 59 (10026)</v>
      </c>
      <c r="S8018" t="s">
        <v>77</v>
      </c>
      <c r="T8018">
        <v>21973</v>
      </c>
      <c r="U8018">
        <v>23989</v>
      </c>
      <c r="V8018" t="s">
        <v>77</v>
      </c>
    </row>
    <row r="8019" spans="1:22">
      <c r="A8019" t="str">
        <f t="shared" si="1504"/>
        <v>30/10/2025</v>
      </c>
      <c r="B8019" t="str">
        <f t="shared" si="1505"/>
        <v>SAÍDA</v>
      </c>
      <c r="C8019" t="str">
        <f t="shared" si="1507"/>
        <v>PIX</v>
      </c>
      <c r="D8019" t="str">
        <f>"23990"</f>
        <v>23990</v>
      </c>
      <c r="E8019" t="str">
        <f t="shared" si="1501"/>
        <v>1</v>
      </c>
      <c r="F8019" t="str">
        <f t="shared" si="1503"/>
        <v>COM</v>
      </c>
      <c r="G8019" t="str">
        <f>"DEVANILDO PONTES CASAGRANDE (179)"</f>
        <v>DEVANILDO PONTES CASAGRANDE (179)</v>
      </c>
      <c r="H8019" t="str">
        <f>"Serv.Prest. 13/10/2025 a 19/10/2025 - PIX: CELULAR - CHAVE: (31) 99610-7049"</f>
        <v>Serv.Prest. 13/10/2025 a 19/10/2025 - PIX: CELULAR - CHAVE: (31) 99610-7049</v>
      </c>
      <c r="I8019" t="str">
        <f t="shared" si="1506"/>
        <v>30/10/2025</v>
      </c>
      <c r="J8019" t="str">
        <f t="shared" si="1502"/>
        <v>21/10/2025</v>
      </c>
      <c r="K8019" t="str">
        <f>("30/10/2025")</f>
        <v>30/10/2025</v>
      </c>
      <c r="L8019">
        <v>846</v>
      </c>
      <c r="M8019">
        <v>846</v>
      </c>
      <c r="N8019">
        <v>109</v>
      </c>
      <c r="O8019" t="str">
        <f>"PAGAMENTO DE ENTREGADORES"</f>
        <v>PAGAMENTO DE ENTREGADORES</v>
      </c>
      <c r="P8019">
        <v>846</v>
      </c>
      <c r="S8019" t="str">
        <f>"BANCO C6 (149)"</f>
        <v>BANCO C6 (149)</v>
      </c>
      <c r="T8019">
        <v>21974</v>
      </c>
      <c r="U8019">
        <v>23990</v>
      </c>
      <c r="V8019" t="s">
        <v>77</v>
      </c>
    </row>
    <row r="8020" spans="1:22">
      <c r="A8020" t="str">
        <f t="shared" si="1504"/>
        <v>30/10/2025</v>
      </c>
      <c r="B8020" t="str">
        <f t="shared" si="1505"/>
        <v>SAÍDA</v>
      </c>
      <c r="C8020" t="str">
        <f t="shared" si="1507"/>
        <v>PIX</v>
      </c>
      <c r="D8020" t="str">
        <f>"23990"</f>
        <v>23990</v>
      </c>
      <c r="E8020" t="str">
        <f t="shared" si="1501"/>
        <v>1</v>
      </c>
      <c r="F8020" t="str">
        <f t="shared" si="1503"/>
        <v>COM</v>
      </c>
      <c r="G8020" t="str">
        <f>"DEVANILDO PONTES CASAGRANDE (179)"</f>
        <v>DEVANILDO PONTES CASAGRANDE (179)</v>
      </c>
      <c r="H8020" t="s">
        <v>2229</v>
      </c>
      <c r="I8020" t="str">
        <f t="shared" si="1506"/>
        <v>30/10/2025</v>
      </c>
      <c r="J8020" t="str">
        <f t="shared" si="1502"/>
        <v>21/10/2025</v>
      </c>
      <c r="K8020">
        <v>45960</v>
      </c>
      <c r="N8020">
        <v>109</v>
      </c>
      <c r="O8020" t="s">
        <v>24</v>
      </c>
      <c r="Q8020">
        <v>846</v>
      </c>
      <c r="R8020" t="str">
        <f>"FARMÁCIA INDIANA LJ 142 (10066)"</f>
        <v>FARMÁCIA INDIANA LJ 142 (10066)</v>
      </c>
      <c r="S8020" t="s">
        <v>77</v>
      </c>
      <c r="T8020">
        <v>21974</v>
      </c>
      <c r="U8020">
        <v>23990</v>
      </c>
      <c r="V8020" t="s">
        <v>77</v>
      </c>
    </row>
    <row r="8021" spans="1:22">
      <c r="A8021" t="str">
        <f t="shared" si="1504"/>
        <v>30/10/2025</v>
      </c>
      <c r="B8021" t="str">
        <f t="shared" si="1505"/>
        <v>SAÍDA</v>
      </c>
      <c r="C8021" t="str">
        <f t="shared" si="1507"/>
        <v>PIX</v>
      </c>
      <c r="D8021" t="str">
        <f>"23992"</f>
        <v>23992</v>
      </c>
      <c r="E8021" t="str">
        <f t="shared" si="1501"/>
        <v>1</v>
      </c>
      <c r="F8021" t="str">
        <f t="shared" si="1503"/>
        <v>COM</v>
      </c>
      <c r="G8021" t="str">
        <f>"DIEGO DAYSON FERNANDES VIEIRA (893)"</f>
        <v>DIEGO DAYSON FERNANDES VIEIRA (893)</v>
      </c>
      <c r="H8021" t="str">
        <f>"Serv.Prest. 13/10/2025 a 19/10/2025 - PIX: E-MAIL - CHAVE: turano296801@gmail.com"</f>
        <v>Serv.Prest. 13/10/2025 a 19/10/2025 - PIX: E-MAIL - CHAVE: turano296801@gmail.com</v>
      </c>
      <c r="I8021" t="str">
        <f t="shared" si="1506"/>
        <v>30/10/2025</v>
      </c>
      <c r="J8021" t="str">
        <f t="shared" si="1502"/>
        <v>21/10/2025</v>
      </c>
      <c r="K8021" t="str">
        <f>("30/10/2025")</f>
        <v>30/10/2025</v>
      </c>
      <c r="L8021">
        <v>800</v>
      </c>
      <c r="M8021">
        <v>800</v>
      </c>
      <c r="N8021">
        <v>109</v>
      </c>
      <c r="O8021" t="str">
        <f>"PAGAMENTO DE ENTREGADORES"</f>
        <v>PAGAMENTO DE ENTREGADORES</v>
      </c>
      <c r="P8021">
        <v>800</v>
      </c>
      <c r="S8021" t="str">
        <f>"BANCO C6 (149)"</f>
        <v>BANCO C6 (149)</v>
      </c>
      <c r="T8021">
        <v>21975</v>
      </c>
      <c r="U8021">
        <v>23992</v>
      </c>
      <c r="V8021" t="s">
        <v>77</v>
      </c>
    </row>
    <row r="8022" spans="1:22">
      <c r="A8022" t="str">
        <f t="shared" si="1504"/>
        <v>30/10/2025</v>
      </c>
      <c r="B8022" t="str">
        <f t="shared" si="1505"/>
        <v>SAÍDA</v>
      </c>
      <c r="C8022" t="str">
        <f t="shared" si="1507"/>
        <v>PIX</v>
      </c>
      <c r="D8022" t="str">
        <f>"23992"</f>
        <v>23992</v>
      </c>
      <c r="E8022" t="str">
        <f t="shared" si="1501"/>
        <v>1</v>
      </c>
      <c r="F8022" t="str">
        <f t="shared" si="1503"/>
        <v>COM</v>
      </c>
      <c r="G8022" t="str">
        <f>"DIEGO DAYSON FERNANDES VIEIRA (893)"</f>
        <v>DIEGO DAYSON FERNANDES VIEIRA (893)</v>
      </c>
      <c r="H8022" t="s">
        <v>2230</v>
      </c>
      <c r="I8022" t="str">
        <f t="shared" si="1506"/>
        <v>30/10/2025</v>
      </c>
      <c r="J8022" t="str">
        <f t="shared" si="1502"/>
        <v>21/10/2025</v>
      </c>
      <c r="K8022">
        <v>45960</v>
      </c>
      <c r="N8022">
        <v>109</v>
      </c>
      <c r="O8022" t="s">
        <v>24</v>
      </c>
      <c r="Q8022">
        <v>800</v>
      </c>
      <c r="R8022" t="str">
        <f>"FARMÁCIA INDIANA LJ 205 (10150)"</f>
        <v>FARMÁCIA INDIANA LJ 205 (10150)</v>
      </c>
      <c r="S8022" t="s">
        <v>77</v>
      </c>
      <c r="T8022">
        <v>21975</v>
      </c>
      <c r="U8022">
        <v>23992</v>
      </c>
      <c r="V8022" t="s">
        <v>77</v>
      </c>
    </row>
    <row r="8023" spans="1:22">
      <c r="A8023" t="str">
        <f t="shared" si="1504"/>
        <v>30/10/2025</v>
      </c>
      <c r="B8023" t="str">
        <f t="shared" si="1505"/>
        <v>SAÍDA</v>
      </c>
      <c r="C8023" t="str">
        <f t="shared" si="1507"/>
        <v>PIX</v>
      </c>
      <c r="D8023" t="str">
        <f>"23993"</f>
        <v>23993</v>
      </c>
      <c r="E8023" t="str">
        <f t="shared" si="1501"/>
        <v>1</v>
      </c>
      <c r="F8023" t="str">
        <f t="shared" si="1503"/>
        <v>COM</v>
      </c>
      <c r="G8023" t="str">
        <f>"DIEGO DIRLEY RIBEIRO (38)"</f>
        <v>DIEGO DIRLEY RIBEIRO (38)</v>
      </c>
      <c r="H8023" t="str">
        <f>"Serv.Prest. 13/10/2025 a 19/10/2025 - PIX: CPF - CHAVE: 102.023.716-38"</f>
        <v>Serv.Prest. 13/10/2025 a 19/10/2025 - PIX: CPF - CHAVE: 102.023.716-38</v>
      </c>
      <c r="I8023" t="str">
        <f t="shared" si="1506"/>
        <v>30/10/2025</v>
      </c>
      <c r="J8023" t="str">
        <f t="shared" si="1502"/>
        <v>21/10/2025</v>
      </c>
      <c r="K8023" t="str">
        <f>("30/10/2025")</f>
        <v>30/10/2025</v>
      </c>
      <c r="L8023">
        <v>1530</v>
      </c>
      <c r="M8023">
        <v>1530</v>
      </c>
      <c r="N8023">
        <v>109</v>
      </c>
      <c r="O8023" t="str">
        <f>"PAGAMENTO DE ENTREGADORES"</f>
        <v>PAGAMENTO DE ENTREGADORES</v>
      </c>
      <c r="P8023">
        <v>1530</v>
      </c>
      <c r="S8023" t="str">
        <f>"BANCO C6 (149)"</f>
        <v>BANCO C6 (149)</v>
      </c>
      <c r="T8023">
        <v>21976</v>
      </c>
      <c r="U8023">
        <v>23993</v>
      </c>
      <c r="V8023" t="s">
        <v>77</v>
      </c>
    </row>
    <row r="8024" spans="1:22">
      <c r="A8024" t="str">
        <f t="shared" si="1504"/>
        <v>30/10/2025</v>
      </c>
      <c r="B8024" t="str">
        <f t="shared" si="1505"/>
        <v>SAÍDA</v>
      </c>
      <c r="C8024" t="str">
        <f t="shared" si="1507"/>
        <v>PIX</v>
      </c>
      <c r="D8024" t="str">
        <f>"23993"</f>
        <v>23993</v>
      </c>
      <c r="E8024" t="str">
        <f t="shared" si="1501"/>
        <v>1</v>
      </c>
      <c r="F8024" t="str">
        <f t="shared" si="1503"/>
        <v>COM</v>
      </c>
      <c r="G8024" t="str">
        <f>"DIEGO DIRLEY RIBEIRO (38)"</f>
        <v>DIEGO DIRLEY RIBEIRO (38)</v>
      </c>
      <c r="H8024" t="s">
        <v>2231</v>
      </c>
      <c r="I8024" t="str">
        <f t="shared" si="1506"/>
        <v>30/10/2025</v>
      </c>
      <c r="J8024" t="str">
        <f t="shared" si="1502"/>
        <v>21/10/2025</v>
      </c>
      <c r="K8024">
        <v>45960</v>
      </c>
      <c r="N8024">
        <v>109</v>
      </c>
      <c r="O8024" t="s">
        <v>24</v>
      </c>
      <c r="Q8024">
        <v>1530</v>
      </c>
      <c r="R8024" t="str">
        <f>"FARMÁCIA INDIANA LJ 172 (10161)"</f>
        <v>FARMÁCIA INDIANA LJ 172 (10161)</v>
      </c>
      <c r="S8024" t="s">
        <v>77</v>
      </c>
      <c r="T8024">
        <v>21976</v>
      </c>
      <c r="U8024">
        <v>23993</v>
      </c>
      <c r="V8024" t="s">
        <v>77</v>
      </c>
    </row>
    <row r="8025" spans="1:22">
      <c r="A8025" t="str">
        <f t="shared" si="1504"/>
        <v>30/10/2025</v>
      </c>
      <c r="B8025" t="str">
        <f t="shared" si="1505"/>
        <v>SAÍDA</v>
      </c>
      <c r="C8025" t="str">
        <f t="shared" si="1507"/>
        <v>PIX</v>
      </c>
      <c r="D8025" t="str">
        <f>"23994"</f>
        <v>23994</v>
      </c>
      <c r="E8025" t="str">
        <f t="shared" si="1501"/>
        <v>1</v>
      </c>
      <c r="F8025" t="str">
        <f t="shared" si="1503"/>
        <v>COM</v>
      </c>
      <c r="G8025" t="str">
        <f>"DIONE OLIVEIRA SILVA (214)"</f>
        <v>DIONE OLIVEIRA SILVA (214)</v>
      </c>
      <c r="H8025" t="str">
        <f>"Serv.Prest. 13/10/2025 a 19/10/2025 - PIX: CELULAR - CHAVE: (33) 98890-5095"</f>
        <v>Serv.Prest. 13/10/2025 a 19/10/2025 - PIX: CELULAR - CHAVE: (33) 98890-5095</v>
      </c>
      <c r="I8025" t="str">
        <f t="shared" si="1506"/>
        <v>30/10/2025</v>
      </c>
      <c r="J8025" t="str">
        <f t="shared" si="1502"/>
        <v>21/10/2025</v>
      </c>
      <c r="K8025" t="str">
        <f>("30/10/2025")</f>
        <v>30/10/2025</v>
      </c>
      <c r="L8025">
        <v>1686</v>
      </c>
      <c r="M8025">
        <v>1686</v>
      </c>
      <c r="N8025">
        <v>109</v>
      </c>
      <c r="O8025" t="str">
        <f>"PAGAMENTO DE ENTREGADORES"</f>
        <v>PAGAMENTO DE ENTREGADORES</v>
      </c>
      <c r="P8025">
        <v>1686</v>
      </c>
      <c r="S8025" t="str">
        <f>"BANCO C6 (149)"</f>
        <v>BANCO C6 (149)</v>
      </c>
      <c r="T8025">
        <v>21977</v>
      </c>
      <c r="U8025">
        <v>23994</v>
      </c>
      <c r="V8025" t="s">
        <v>77</v>
      </c>
    </row>
    <row r="8026" spans="1:22">
      <c r="A8026" t="str">
        <f t="shared" si="1504"/>
        <v>30/10/2025</v>
      </c>
      <c r="B8026" t="str">
        <f t="shared" si="1505"/>
        <v>SAÍDA</v>
      </c>
      <c r="C8026" t="str">
        <f t="shared" si="1507"/>
        <v>PIX</v>
      </c>
      <c r="D8026" t="str">
        <f>"23994"</f>
        <v>23994</v>
      </c>
      <c r="E8026" t="str">
        <f t="shared" si="1501"/>
        <v>1</v>
      </c>
      <c r="F8026" t="str">
        <f t="shared" si="1503"/>
        <v>COM</v>
      </c>
      <c r="G8026" t="str">
        <f>"DIONE OLIVEIRA SILVA (214)"</f>
        <v>DIONE OLIVEIRA SILVA (214)</v>
      </c>
      <c r="H8026" t="s">
        <v>2232</v>
      </c>
      <c r="I8026" t="str">
        <f t="shared" si="1506"/>
        <v>30/10/2025</v>
      </c>
      <c r="J8026" t="str">
        <f t="shared" si="1502"/>
        <v>21/10/2025</v>
      </c>
      <c r="K8026">
        <v>45960</v>
      </c>
      <c r="N8026">
        <v>109</v>
      </c>
      <c r="O8026" t="s">
        <v>24</v>
      </c>
      <c r="Q8026">
        <v>1686</v>
      </c>
      <c r="R8026" t="str">
        <f>"FARMÁCIA INDIANA LJ 14 (10009)"</f>
        <v>FARMÁCIA INDIANA LJ 14 (10009)</v>
      </c>
      <c r="S8026" t="s">
        <v>77</v>
      </c>
      <c r="T8026">
        <v>21977</v>
      </c>
      <c r="U8026">
        <v>23994</v>
      </c>
      <c r="V8026" t="s">
        <v>77</v>
      </c>
    </row>
    <row r="8027" spans="1:22">
      <c r="A8027" t="str">
        <f t="shared" si="1504"/>
        <v>30/10/2025</v>
      </c>
      <c r="B8027" t="str">
        <f t="shared" si="1505"/>
        <v>SAÍDA</v>
      </c>
      <c r="C8027" t="str">
        <f t="shared" si="1507"/>
        <v>PIX</v>
      </c>
      <c r="D8027" t="str">
        <f>"23995"</f>
        <v>23995</v>
      </c>
      <c r="E8027" t="str">
        <f t="shared" si="1501"/>
        <v>1</v>
      </c>
      <c r="F8027" t="str">
        <f t="shared" si="1503"/>
        <v>COM</v>
      </c>
      <c r="G8027" t="str">
        <f>"EDIONIO CARVALHO DA SILVA (920)"</f>
        <v>EDIONIO CARVALHO DA SILVA (920)</v>
      </c>
      <c r="H8027" t="str">
        <f>"Serv.Prest. 13/10/2025 a 19/10/2025 - PIX: CELULAR - CHAVE: (33) 99199-7983"</f>
        <v>Serv.Prest. 13/10/2025 a 19/10/2025 - PIX: CELULAR - CHAVE: (33) 99199-7983</v>
      </c>
      <c r="I8027" t="str">
        <f t="shared" si="1506"/>
        <v>30/10/2025</v>
      </c>
      <c r="J8027" t="str">
        <f t="shared" si="1502"/>
        <v>21/10/2025</v>
      </c>
      <c r="K8027" t="str">
        <f>("30/10/2025")</f>
        <v>30/10/2025</v>
      </c>
      <c r="L8027">
        <v>750</v>
      </c>
      <c r="M8027">
        <v>750</v>
      </c>
      <c r="N8027">
        <v>109</v>
      </c>
      <c r="O8027" t="str">
        <f>"PAGAMENTO DE ENTREGADORES"</f>
        <v>PAGAMENTO DE ENTREGADORES</v>
      </c>
      <c r="P8027">
        <v>750</v>
      </c>
      <c r="S8027" t="str">
        <f>"BANCO C6 (149)"</f>
        <v>BANCO C6 (149)</v>
      </c>
      <c r="T8027">
        <v>21978</v>
      </c>
      <c r="U8027">
        <v>23995</v>
      </c>
      <c r="V8027" t="s">
        <v>77</v>
      </c>
    </row>
    <row r="8028" spans="1:22">
      <c r="A8028" t="str">
        <f t="shared" si="1504"/>
        <v>30/10/2025</v>
      </c>
      <c r="B8028" t="str">
        <f t="shared" si="1505"/>
        <v>SAÍDA</v>
      </c>
      <c r="C8028" t="str">
        <f t="shared" si="1507"/>
        <v>PIX</v>
      </c>
      <c r="D8028" t="str">
        <f>"23995"</f>
        <v>23995</v>
      </c>
      <c r="E8028" t="str">
        <f t="shared" si="1501"/>
        <v>1</v>
      </c>
      <c r="F8028" t="str">
        <f t="shared" si="1503"/>
        <v>COM</v>
      </c>
      <c r="G8028" t="str">
        <f>"EDIONIO CARVALHO DA SILVA (920)"</f>
        <v>EDIONIO CARVALHO DA SILVA (920)</v>
      </c>
      <c r="H8028" t="s">
        <v>2233</v>
      </c>
      <c r="I8028" t="str">
        <f t="shared" si="1506"/>
        <v>30/10/2025</v>
      </c>
      <c r="J8028" t="str">
        <f t="shared" si="1502"/>
        <v>21/10/2025</v>
      </c>
      <c r="K8028">
        <v>45960</v>
      </c>
      <c r="N8028">
        <v>109</v>
      </c>
      <c r="O8028" t="s">
        <v>24</v>
      </c>
      <c r="Q8028">
        <v>750</v>
      </c>
      <c r="R8028" t="str">
        <f>"FARMÁCIA INDIANA LJ 171 (10074)"</f>
        <v>FARMÁCIA INDIANA LJ 171 (10074)</v>
      </c>
      <c r="S8028" t="s">
        <v>77</v>
      </c>
      <c r="T8028">
        <v>21978</v>
      </c>
      <c r="U8028">
        <v>23995</v>
      </c>
      <c r="V8028" t="s">
        <v>77</v>
      </c>
    </row>
    <row r="8029" spans="1:22">
      <c r="A8029" t="str">
        <f t="shared" si="1504"/>
        <v>30/10/2025</v>
      </c>
      <c r="B8029" t="str">
        <f t="shared" si="1505"/>
        <v>SAÍDA</v>
      </c>
      <c r="C8029" t="str">
        <f t="shared" si="1507"/>
        <v>PIX</v>
      </c>
      <c r="D8029" t="str">
        <f>"23996"</f>
        <v>23996</v>
      </c>
      <c r="E8029" t="str">
        <f t="shared" si="1501"/>
        <v>1</v>
      </c>
      <c r="F8029" t="str">
        <f t="shared" si="1503"/>
        <v>COM</v>
      </c>
      <c r="G8029" t="str">
        <f>"EDSON JUNIOR FERREIRA DA SILVA (99)"</f>
        <v>EDSON JUNIOR FERREIRA DA SILVA (99)</v>
      </c>
      <c r="H8029" t="str">
        <f>"Serv.Prest. 13/10/2025 a 19/10/2025 - PIX: CPF - CHAVE: 141.134.256-98"</f>
        <v>Serv.Prest. 13/10/2025 a 19/10/2025 - PIX: CPF - CHAVE: 141.134.256-98</v>
      </c>
      <c r="I8029" t="str">
        <f t="shared" si="1506"/>
        <v>30/10/2025</v>
      </c>
      <c r="J8029" t="str">
        <f t="shared" si="1502"/>
        <v>21/10/2025</v>
      </c>
      <c r="K8029" t="str">
        <f>("30/10/2025")</f>
        <v>30/10/2025</v>
      </c>
      <c r="L8029">
        <v>700.7</v>
      </c>
      <c r="M8029">
        <v>700.7</v>
      </c>
      <c r="N8029">
        <v>109</v>
      </c>
      <c r="O8029" t="str">
        <f>"PAGAMENTO DE ENTREGADORES"</f>
        <v>PAGAMENTO DE ENTREGADORES</v>
      </c>
      <c r="P8029">
        <v>700.7</v>
      </c>
      <c r="S8029" t="str">
        <f>"BANCO C6 (149)"</f>
        <v>BANCO C6 (149)</v>
      </c>
      <c r="T8029">
        <v>21979</v>
      </c>
      <c r="U8029">
        <v>23996</v>
      </c>
      <c r="V8029" t="s">
        <v>77</v>
      </c>
    </row>
    <row r="8030" spans="1:22">
      <c r="A8030" t="str">
        <f t="shared" si="1504"/>
        <v>30/10/2025</v>
      </c>
      <c r="B8030" t="str">
        <f t="shared" si="1505"/>
        <v>SAÍDA</v>
      </c>
      <c r="C8030" t="str">
        <f t="shared" si="1507"/>
        <v>PIX</v>
      </c>
      <c r="D8030" t="str">
        <f>"23996"</f>
        <v>23996</v>
      </c>
      <c r="E8030" t="str">
        <f t="shared" si="1501"/>
        <v>1</v>
      </c>
      <c r="F8030" t="str">
        <f t="shared" si="1503"/>
        <v>COM</v>
      </c>
      <c r="G8030" t="str">
        <f>"EDSON JUNIOR FERREIRA DA SILVA (99)"</f>
        <v>EDSON JUNIOR FERREIRA DA SILVA (99)</v>
      </c>
      <c r="H8030" t="s">
        <v>2234</v>
      </c>
      <c r="I8030" t="str">
        <f t="shared" si="1506"/>
        <v>30/10/2025</v>
      </c>
      <c r="J8030" t="str">
        <f t="shared" si="1502"/>
        <v>21/10/2025</v>
      </c>
      <c r="K8030">
        <v>45960</v>
      </c>
      <c r="N8030">
        <v>109</v>
      </c>
      <c r="O8030" t="s">
        <v>24</v>
      </c>
      <c r="Q8030">
        <v>700.7</v>
      </c>
      <c r="R8030" t="str">
        <f>"FARMÁCIA INDIANA LJ 100 (10042)"</f>
        <v>FARMÁCIA INDIANA LJ 100 (10042)</v>
      </c>
      <c r="S8030" t="s">
        <v>77</v>
      </c>
      <c r="T8030">
        <v>21979</v>
      </c>
      <c r="U8030">
        <v>23996</v>
      </c>
      <c r="V8030" t="s">
        <v>77</v>
      </c>
    </row>
    <row r="8031" spans="1:22">
      <c r="A8031" t="str">
        <f t="shared" si="1504"/>
        <v>30/10/2025</v>
      </c>
      <c r="B8031" t="str">
        <f t="shared" si="1505"/>
        <v>SAÍDA</v>
      </c>
      <c r="C8031" t="str">
        <f t="shared" si="1507"/>
        <v>PIX</v>
      </c>
      <c r="D8031" t="str">
        <f>"23997"</f>
        <v>23997</v>
      </c>
      <c r="E8031" t="str">
        <f t="shared" si="1501"/>
        <v>1</v>
      </c>
      <c r="F8031" t="str">
        <f t="shared" si="1503"/>
        <v>COM</v>
      </c>
      <c r="G8031" t="str">
        <f>"EUDES PIMENTA (368)"</f>
        <v>EUDES PIMENTA (368)</v>
      </c>
      <c r="H8031" t="str">
        <f>"Serv.Prest. 13/10/2025 a 19/10/2025 - PIX: CPF - CHAVE: 070.073.316-70"</f>
        <v>Serv.Prest. 13/10/2025 a 19/10/2025 - PIX: CPF - CHAVE: 070.073.316-70</v>
      </c>
      <c r="I8031" t="str">
        <f t="shared" si="1506"/>
        <v>30/10/2025</v>
      </c>
      <c r="J8031" t="str">
        <f t="shared" si="1502"/>
        <v>21/10/2025</v>
      </c>
      <c r="K8031" t="str">
        <f>("30/10/2025")</f>
        <v>30/10/2025</v>
      </c>
      <c r="L8031">
        <v>966</v>
      </c>
      <c r="M8031">
        <v>966</v>
      </c>
      <c r="N8031">
        <v>109</v>
      </c>
      <c r="O8031" t="str">
        <f>"PAGAMENTO DE ENTREGADORES"</f>
        <v>PAGAMENTO DE ENTREGADORES</v>
      </c>
      <c r="P8031">
        <v>966</v>
      </c>
      <c r="S8031" t="str">
        <f>"BANCO C6 (149)"</f>
        <v>BANCO C6 (149)</v>
      </c>
      <c r="T8031">
        <v>21980</v>
      </c>
      <c r="U8031">
        <v>23997</v>
      </c>
      <c r="V8031" t="s">
        <v>77</v>
      </c>
    </row>
    <row r="8032" spans="1:22">
      <c r="A8032" t="str">
        <f t="shared" si="1504"/>
        <v>30/10/2025</v>
      </c>
      <c r="B8032" t="str">
        <f t="shared" si="1505"/>
        <v>SAÍDA</v>
      </c>
      <c r="C8032" t="str">
        <f t="shared" si="1507"/>
        <v>PIX</v>
      </c>
      <c r="D8032" t="str">
        <f>"23997"</f>
        <v>23997</v>
      </c>
      <c r="E8032" t="str">
        <f t="shared" si="1501"/>
        <v>1</v>
      </c>
      <c r="F8032" t="str">
        <f t="shared" si="1503"/>
        <v>COM</v>
      </c>
      <c r="G8032" t="str">
        <f>"EUDES PIMENTA (368)"</f>
        <v>EUDES PIMENTA (368)</v>
      </c>
      <c r="H8032" t="s">
        <v>2235</v>
      </c>
      <c r="I8032" t="str">
        <f t="shared" si="1506"/>
        <v>30/10/2025</v>
      </c>
      <c r="J8032" t="str">
        <f t="shared" si="1502"/>
        <v>21/10/2025</v>
      </c>
      <c r="K8032">
        <v>45960</v>
      </c>
      <c r="N8032">
        <v>109</v>
      </c>
      <c r="O8032" t="s">
        <v>24</v>
      </c>
      <c r="Q8032">
        <v>966</v>
      </c>
      <c r="R8032" t="str">
        <f>"FARMÁCIA INDIANA LJ 06 (10006)"</f>
        <v>FARMÁCIA INDIANA LJ 06 (10006)</v>
      </c>
      <c r="S8032" t="s">
        <v>77</v>
      </c>
      <c r="T8032">
        <v>21980</v>
      </c>
      <c r="U8032">
        <v>23997</v>
      </c>
      <c r="V8032" t="s">
        <v>77</v>
      </c>
    </row>
    <row r="8033" spans="1:22">
      <c r="A8033" t="str">
        <f t="shared" si="1504"/>
        <v>30/10/2025</v>
      </c>
      <c r="B8033" t="str">
        <f t="shared" si="1505"/>
        <v>SAÍDA</v>
      </c>
      <c r="C8033" t="str">
        <f t="shared" si="1507"/>
        <v>PIX</v>
      </c>
      <c r="D8033" t="str">
        <f>"23999"</f>
        <v>23999</v>
      </c>
      <c r="E8033" t="str">
        <f t="shared" si="1501"/>
        <v>1</v>
      </c>
      <c r="F8033" t="str">
        <f t="shared" si="1503"/>
        <v>COM</v>
      </c>
      <c r="G8033" t="str">
        <f>"FABRICIO RAMON SOARES SANTOS (645)"</f>
        <v>FABRICIO RAMON SOARES SANTOS (645)</v>
      </c>
      <c r="H8033" t="str">
        <f>"Serv.Prest. 13/10/2025 a 19/10/2025 - PIX: CELULAR - CHAVE: (31) 98483-3242"</f>
        <v>Serv.Prest. 13/10/2025 a 19/10/2025 - PIX: CELULAR - CHAVE: (31) 98483-3242</v>
      </c>
      <c r="I8033" t="str">
        <f t="shared" si="1506"/>
        <v>30/10/2025</v>
      </c>
      <c r="J8033" t="str">
        <f t="shared" si="1502"/>
        <v>21/10/2025</v>
      </c>
      <c r="K8033" t="str">
        <f>("30/10/2025")</f>
        <v>30/10/2025</v>
      </c>
      <c r="L8033">
        <v>1764</v>
      </c>
      <c r="M8033">
        <v>1764</v>
      </c>
      <c r="N8033">
        <v>109</v>
      </c>
      <c r="O8033" t="str">
        <f>"PAGAMENTO DE ENTREGADORES"</f>
        <v>PAGAMENTO DE ENTREGADORES</v>
      </c>
      <c r="P8033">
        <v>1764</v>
      </c>
      <c r="S8033" t="str">
        <f>"BANCO C6 (149)"</f>
        <v>BANCO C6 (149)</v>
      </c>
      <c r="T8033">
        <v>21981</v>
      </c>
      <c r="U8033">
        <v>23999</v>
      </c>
      <c r="V8033" t="s">
        <v>77</v>
      </c>
    </row>
    <row r="8034" spans="1:22">
      <c r="A8034" t="str">
        <f t="shared" si="1504"/>
        <v>30/10/2025</v>
      </c>
      <c r="B8034" t="str">
        <f t="shared" si="1505"/>
        <v>SAÍDA</v>
      </c>
      <c r="C8034" t="str">
        <f t="shared" si="1507"/>
        <v>PIX</v>
      </c>
      <c r="D8034" t="str">
        <f>"23999"</f>
        <v>23999</v>
      </c>
      <c r="E8034" t="str">
        <f t="shared" si="1501"/>
        <v>1</v>
      </c>
      <c r="F8034" t="str">
        <f t="shared" si="1503"/>
        <v>COM</v>
      </c>
      <c r="G8034" t="str">
        <f>"FABRICIO RAMON SOARES SANTOS (645)"</f>
        <v>FABRICIO RAMON SOARES SANTOS (645)</v>
      </c>
      <c r="H8034" t="s">
        <v>2236</v>
      </c>
      <c r="I8034" t="str">
        <f t="shared" si="1506"/>
        <v>30/10/2025</v>
      </c>
      <c r="J8034" t="str">
        <f t="shared" si="1502"/>
        <v>21/10/2025</v>
      </c>
      <c r="K8034">
        <v>45960</v>
      </c>
      <c r="N8034">
        <v>109</v>
      </c>
      <c r="O8034" t="s">
        <v>24</v>
      </c>
      <c r="Q8034">
        <v>1764</v>
      </c>
      <c r="R8034" t="str">
        <f>"FARMÁCIA INDIANA LJ 101 (10043)"</f>
        <v>FARMÁCIA INDIANA LJ 101 (10043)</v>
      </c>
      <c r="S8034" t="s">
        <v>77</v>
      </c>
      <c r="T8034">
        <v>21981</v>
      </c>
      <c r="U8034">
        <v>23999</v>
      </c>
      <c r="V8034" t="s">
        <v>77</v>
      </c>
    </row>
    <row r="8035" spans="1:22">
      <c r="A8035" t="str">
        <f t="shared" si="1504"/>
        <v>30/10/2025</v>
      </c>
      <c r="B8035" t="str">
        <f t="shared" si="1505"/>
        <v>SAÍDA</v>
      </c>
      <c r="C8035" t="str">
        <f t="shared" si="1507"/>
        <v>PIX</v>
      </c>
      <c r="D8035" t="str">
        <f>"24000"</f>
        <v>24000</v>
      </c>
      <c r="E8035" t="str">
        <f t="shared" si="1501"/>
        <v>1</v>
      </c>
      <c r="F8035" t="str">
        <f t="shared" si="1503"/>
        <v>COM</v>
      </c>
      <c r="G8035" t="str">
        <f>"GABRIEL DA SILVA REIS (824)"</f>
        <v>GABRIEL DA SILVA REIS (824)</v>
      </c>
      <c r="H8035" t="str">
        <f>"Serv.Prest. 13/10/2025 a 19/10/2025 - PIX: CPF - CHAVE: 160.160.216-28"</f>
        <v>Serv.Prest. 13/10/2025 a 19/10/2025 - PIX: CPF - CHAVE: 160.160.216-28</v>
      </c>
      <c r="I8035" t="str">
        <f t="shared" si="1506"/>
        <v>30/10/2025</v>
      </c>
      <c r="J8035" t="str">
        <f t="shared" si="1502"/>
        <v>21/10/2025</v>
      </c>
      <c r="K8035" t="str">
        <f>("30/10/2025")</f>
        <v>30/10/2025</v>
      </c>
      <c r="L8035">
        <v>700.7</v>
      </c>
      <c r="M8035">
        <v>700.7</v>
      </c>
      <c r="N8035">
        <v>109</v>
      </c>
      <c r="O8035" t="str">
        <f>"PAGAMENTO DE ENTREGADORES"</f>
        <v>PAGAMENTO DE ENTREGADORES</v>
      </c>
      <c r="P8035">
        <v>700.7</v>
      </c>
      <c r="S8035" t="str">
        <f>"BANCO C6 (149)"</f>
        <v>BANCO C6 (149)</v>
      </c>
      <c r="T8035">
        <v>21982</v>
      </c>
      <c r="U8035">
        <v>24000</v>
      </c>
      <c r="V8035" t="s">
        <v>77</v>
      </c>
    </row>
    <row r="8036" spans="1:22">
      <c r="A8036" t="str">
        <f t="shared" si="1504"/>
        <v>30/10/2025</v>
      </c>
      <c r="B8036" t="str">
        <f t="shared" si="1505"/>
        <v>SAÍDA</v>
      </c>
      <c r="C8036" t="str">
        <f t="shared" si="1507"/>
        <v>PIX</v>
      </c>
      <c r="D8036" t="str">
        <f>"24000"</f>
        <v>24000</v>
      </c>
      <c r="E8036" t="str">
        <f t="shared" si="1501"/>
        <v>1</v>
      </c>
      <c r="F8036" t="str">
        <f t="shared" si="1503"/>
        <v>COM</v>
      </c>
      <c r="G8036" t="str">
        <f>"GABRIEL DA SILVA REIS (824)"</f>
        <v>GABRIEL DA SILVA REIS (824)</v>
      </c>
      <c r="H8036" t="s">
        <v>2237</v>
      </c>
      <c r="I8036" t="str">
        <f t="shared" si="1506"/>
        <v>30/10/2025</v>
      </c>
      <c r="J8036" t="str">
        <f t="shared" si="1502"/>
        <v>21/10/2025</v>
      </c>
      <c r="K8036">
        <v>45960</v>
      </c>
      <c r="N8036">
        <v>109</v>
      </c>
      <c r="O8036" t="s">
        <v>24</v>
      </c>
      <c r="Q8036">
        <v>700.7</v>
      </c>
      <c r="R8036" t="str">
        <f>"FARMÁCIA INDIANA LJ 100 (10042)"</f>
        <v>FARMÁCIA INDIANA LJ 100 (10042)</v>
      </c>
      <c r="S8036" t="s">
        <v>77</v>
      </c>
      <c r="T8036">
        <v>21982</v>
      </c>
      <c r="U8036">
        <v>24000</v>
      </c>
      <c r="V8036" t="s">
        <v>77</v>
      </c>
    </row>
    <row r="8037" spans="1:22">
      <c r="A8037" t="str">
        <f t="shared" si="1504"/>
        <v>30/10/2025</v>
      </c>
      <c r="B8037" t="str">
        <f t="shared" si="1505"/>
        <v>SAÍDA</v>
      </c>
      <c r="C8037" t="str">
        <f t="shared" si="1507"/>
        <v>PIX</v>
      </c>
      <c r="D8037" t="str">
        <f>"24002"</f>
        <v>24002</v>
      </c>
      <c r="E8037" t="str">
        <f t="shared" si="1501"/>
        <v>1</v>
      </c>
      <c r="F8037" t="str">
        <f t="shared" si="1503"/>
        <v>COM</v>
      </c>
      <c r="G8037" t="str">
        <f>"GILDASIO DOMINGOS DOS SANTOS (54)"</f>
        <v>GILDASIO DOMINGOS DOS SANTOS (54)</v>
      </c>
      <c r="H8037" t="str">
        <f>"Serv.Prest. 13/10/2025 a 19/10/2025 - PIX: CELULAR - CHAVE: (33) 98857-0494"</f>
        <v>Serv.Prest. 13/10/2025 a 19/10/2025 - PIX: CELULAR - CHAVE: (33) 98857-0494</v>
      </c>
      <c r="I8037" t="str">
        <f t="shared" si="1506"/>
        <v>30/10/2025</v>
      </c>
      <c r="J8037" t="str">
        <f t="shared" si="1502"/>
        <v>21/10/2025</v>
      </c>
      <c r="K8037" t="str">
        <f>("30/10/2025")</f>
        <v>30/10/2025</v>
      </c>
      <c r="L8037">
        <v>1254</v>
      </c>
      <c r="M8037">
        <v>1254</v>
      </c>
      <c r="N8037">
        <v>109</v>
      </c>
      <c r="O8037" t="str">
        <f>"PAGAMENTO DE ENTREGADORES"</f>
        <v>PAGAMENTO DE ENTREGADORES</v>
      </c>
      <c r="P8037">
        <v>1254</v>
      </c>
      <c r="S8037" t="str">
        <f>"BANCO C6 (149)"</f>
        <v>BANCO C6 (149)</v>
      </c>
      <c r="T8037">
        <v>21983</v>
      </c>
      <c r="U8037">
        <v>24002</v>
      </c>
      <c r="V8037" t="s">
        <v>77</v>
      </c>
    </row>
    <row r="8038" spans="1:22">
      <c r="A8038" t="str">
        <f t="shared" si="1504"/>
        <v>30/10/2025</v>
      </c>
      <c r="B8038" t="str">
        <f t="shared" si="1505"/>
        <v>SAÍDA</v>
      </c>
      <c r="C8038" t="str">
        <f t="shared" si="1507"/>
        <v>PIX</v>
      </c>
      <c r="D8038" t="str">
        <f>"24002"</f>
        <v>24002</v>
      </c>
      <c r="E8038" t="str">
        <f t="shared" si="1501"/>
        <v>1</v>
      </c>
      <c r="F8038" t="str">
        <f t="shared" si="1503"/>
        <v>COM</v>
      </c>
      <c r="G8038" t="str">
        <f>"GILDASIO DOMINGOS DOS SANTOS (54)"</f>
        <v>GILDASIO DOMINGOS DOS SANTOS (54)</v>
      </c>
      <c r="H8038" t="s">
        <v>2238</v>
      </c>
      <c r="I8038" t="str">
        <f t="shared" si="1506"/>
        <v>30/10/2025</v>
      </c>
      <c r="J8038" t="str">
        <f t="shared" si="1502"/>
        <v>21/10/2025</v>
      </c>
      <c r="K8038">
        <v>45960</v>
      </c>
      <c r="N8038">
        <v>109</v>
      </c>
      <c r="O8038" t="s">
        <v>24</v>
      </c>
      <c r="Q8038">
        <v>1254</v>
      </c>
      <c r="R8038" t="str">
        <f>"FARMÁCIA INDIANA LJ 07 (10007)"</f>
        <v>FARMÁCIA INDIANA LJ 07 (10007)</v>
      </c>
      <c r="S8038" t="s">
        <v>77</v>
      </c>
      <c r="T8038">
        <v>21983</v>
      </c>
      <c r="U8038">
        <v>24002</v>
      </c>
      <c r="V8038" t="s">
        <v>77</v>
      </c>
    </row>
    <row r="8039" spans="1:22">
      <c r="A8039" t="str">
        <f t="shared" si="1504"/>
        <v>30/10/2025</v>
      </c>
      <c r="B8039" t="str">
        <f t="shared" si="1505"/>
        <v>SAÍDA</v>
      </c>
      <c r="C8039" t="str">
        <f t="shared" si="1507"/>
        <v>PIX</v>
      </c>
      <c r="D8039" t="str">
        <f>"24003"</f>
        <v>24003</v>
      </c>
      <c r="E8039" t="str">
        <f t="shared" si="1501"/>
        <v>1</v>
      </c>
      <c r="F8039" t="str">
        <f t="shared" si="1503"/>
        <v>COM</v>
      </c>
      <c r="G8039" t="str">
        <f>"GILNEI MENDES COELHO (195)"</f>
        <v>GILNEI MENDES COELHO (195)</v>
      </c>
      <c r="H8039" t="str">
        <f>"Serv.Prest. 13/10/2025 a 19/10/2025 - PIX: CPF - CHAVE: 386.313.426-53"</f>
        <v>Serv.Prest. 13/10/2025 a 19/10/2025 - PIX: CPF - CHAVE: 386.313.426-53</v>
      </c>
      <c r="I8039" t="str">
        <f t="shared" si="1506"/>
        <v>30/10/2025</v>
      </c>
      <c r="J8039" t="str">
        <f t="shared" si="1502"/>
        <v>21/10/2025</v>
      </c>
      <c r="K8039" t="str">
        <f>("30/10/2025")</f>
        <v>30/10/2025</v>
      </c>
      <c r="L8039">
        <v>1098</v>
      </c>
      <c r="M8039">
        <v>1098</v>
      </c>
      <c r="N8039">
        <v>109</v>
      </c>
      <c r="O8039" t="str">
        <f>"PAGAMENTO DE ENTREGADORES"</f>
        <v>PAGAMENTO DE ENTREGADORES</v>
      </c>
      <c r="P8039">
        <v>1098</v>
      </c>
      <c r="S8039" t="str">
        <f>"BANCO C6 (149)"</f>
        <v>BANCO C6 (149)</v>
      </c>
      <c r="T8039">
        <v>21984</v>
      </c>
      <c r="U8039">
        <v>24003</v>
      </c>
      <c r="V8039" t="s">
        <v>77</v>
      </c>
    </row>
    <row r="8040" spans="1:22">
      <c r="A8040" t="str">
        <f t="shared" si="1504"/>
        <v>30/10/2025</v>
      </c>
      <c r="B8040" t="str">
        <f t="shared" si="1505"/>
        <v>SAÍDA</v>
      </c>
      <c r="C8040" t="str">
        <f t="shared" si="1507"/>
        <v>PIX</v>
      </c>
      <c r="D8040" t="str">
        <f>"24003"</f>
        <v>24003</v>
      </c>
      <c r="E8040" t="str">
        <f t="shared" si="1501"/>
        <v>1</v>
      </c>
      <c r="F8040" t="str">
        <f t="shared" si="1503"/>
        <v>COM</v>
      </c>
      <c r="G8040" t="str">
        <f>"GILNEI MENDES COELHO (195)"</f>
        <v>GILNEI MENDES COELHO (195)</v>
      </c>
      <c r="H8040" t="s">
        <v>2239</v>
      </c>
      <c r="I8040" t="str">
        <f t="shared" si="1506"/>
        <v>30/10/2025</v>
      </c>
      <c r="J8040" t="str">
        <f t="shared" si="1502"/>
        <v>21/10/2025</v>
      </c>
      <c r="K8040">
        <v>45960</v>
      </c>
      <c r="N8040">
        <v>109</v>
      </c>
      <c r="O8040" t="s">
        <v>24</v>
      </c>
      <c r="Q8040">
        <v>1098</v>
      </c>
      <c r="R8040" t="str">
        <f>"FARMÁCIA INDIANA LJ 06 (10006)"</f>
        <v>FARMÁCIA INDIANA LJ 06 (10006)</v>
      </c>
      <c r="S8040" t="s">
        <v>77</v>
      </c>
      <c r="T8040">
        <v>21984</v>
      </c>
      <c r="U8040">
        <v>24003</v>
      </c>
      <c r="V8040" t="s">
        <v>77</v>
      </c>
    </row>
    <row r="8041" spans="1:22">
      <c r="A8041" t="str">
        <f t="shared" si="1504"/>
        <v>30/10/2025</v>
      </c>
      <c r="B8041" t="str">
        <f t="shared" si="1505"/>
        <v>SAÍDA</v>
      </c>
      <c r="C8041" t="str">
        <f t="shared" si="1507"/>
        <v>PIX</v>
      </c>
      <c r="D8041" t="str">
        <f>"24004"</f>
        <v>24004</v>
      </c>
      <c r="E8041" t="str">
        <f t="shared" si="1501"/>
        <v>1</v>
      </c>
      <c r="F8041" t="str">
        <f t="shared" si="1503"/>
        <v>COM</v>
      </c>
      <c r="G8041" t="str">
        <f>"GUILHERME QUINTINO DA ROCHA (199)"</f>
        <v>GUILHERME QUINTINO DA ROCHA (199)</v>
      </c>
      <c r="H8041" t="str">
        <f>"Serv.Prest. 13/10/2025 a 19/10/2025 - PIX: CELULAR - CHAVE: (33) 99706-4860"</f>
        <v>Serv.Prest. 13/10/2025 a 19/10/2025 - PIX: CELULAR - CHAVE: (33) 99706-4860</v>
      </c>
      <c r="I8041" t="str">
        <f t="shared" si="1506"/>
        <v>30/10/2025</v>
      </c>
      <c r="J8041" t="str">
        <f t="shared" si="1502"/>
        <v>21/10/2025</v>
      </c>
      <c r="K8041" t="str">
        <f>("30/10/2025")</f>
        <v>30/10/2025</v>
      </c>
      <c r="L8041">
        <v>1800</v>
      </c>
      <c r="M8041">
        <v>1800</v>
      </c>
      <c r="N8041">
        <v>109</v>
      </c>
      <c r="O8041" t="str">
        <f>"PAGAMENTO DE ENTREGADORES"</f>
        <v>PAGAMENTO DE ENTREGADORES</v>
      </c>
      <c r="P8041">
        <v>1800</v>
      </c>
      <c r="S8041" t="str">
        <f>"BANCO C6 (149)"</f>
        <v>BANCO C6 (149)</v>
      </c>
      <c r="T8041">
        <v>21985</v>
      </c>
      <c r="U8041">
        <v>24004</v>
      </c>
      <c r="V8041" t="s">
        <v>77</v>
      </c>
    </row>
    <row r="8042" spans="1:22">
      <c r="A8042" t="str">
        <f t="shared" si="1504"/>
        <v>30/10/2025</v>
      </c>
      <c r="B8042" t="str">
        <f t="shared" si="1505"/>
        <v>SAÍDA</v>
      </c>
      <c r="C8042" t="str">
        <f t="shared" si="1507"/>
        <v>PIX</v>
      </c>
      <c r="D8042" t="str">
        <f>"24004"</f>
        <v>24004</v>
      </c>
      <c r="E8042" t="str">
        <f t="shared" si="1501"/>
        <v>1</v>
      </c>
      <c r="F8042" t="str">
        <f t="shared" si="1503"/>
        <v>COM</v>
      </c>
      <c r="G8042" t="str">
        <f>"GUILHERME QUINTINO DA ROCHA (199)"</f>
        <v>GUILHERME QUINTINO DA ROCHA (199)</v>
      </c>
      <c r="H8042" t="s">
        <v>2240</v>
      </c>
      <c r="I8042" t="str">
        <f t="shared" si="1506"/>
        <v>30/10/2025</v>
      </c>
      <c r="J8042" t="str">
        <f t="shared" si="1502"/>
        <v>21/10/2025</v>
      </c>
      <c r="K8042">
        <v>45960</v>
      </c>
      <c r="N8042">
        <v>109</v>
      </c>
      <c r="O8042" t="s">
        <v>24</v>
      </c>
      <c r="Q8042">
        <v>1800</v>
      </c>
      <c r="R8042" t="str">
        <f>"FARMÁCIA INDIANA LJ 06 (10006)"</f>
        <v>FARMÁCIA INDIANA LJ 06 (10006)</v>
      </c>
      <c r="S8042" t="s">
        <v>77</v>
      </c>
      <c r="T8042">
        <v>21985</v>
      </c>
      <c r="U8042">
        <v>24004</v>
      </c>
      <c r="V8042" t="s">
        <v>77</v>
      </c>
    </row>
    <row r="8043" spans="1:22">
      <c r="A8043" t="str">
        <f t="shared" si="1504"/>
        <v>30/10/2025</v>
      </c>
      <c r="B8043" t="str">
        <f t="shared" si="1505"/>
        <v>SAÍDA</v>
      </c>
      <c r="C8043" t="str">
        <f t="shared" si="1507"/>
        <v>PIX</v>
      </c>
      <c r="D8043" t="str">
        <f>"24005"</f>
        <v>24005</v>
      </c>
      <c r="E8043" t="str">
        <f t="shared" si="1501"/>
        <v>1</v>
      </c>
      <c r="F8043" t="str">
        <f t="shared" si="1503"/>
        <v>COM</v>
      </c>
      <c r="G8043" t="str">
        <f>"GUSTAVO ALVES DE ARAÚJO (298)"</f>
        <v>GUSTAVO ALVES DE ARAÚJO (298)</v>
      </c>
      <c r="H8043" t="str">
        <f>"Serv.Prest. 13/10/2025 a 19/10/2025 - PIX: CELULAR - CHAVE: (31) 99816-8965"</f>
        <v>Serv.Prest. 13/10/2025 a 19/10/2025 - PIX: CELULAR - CHAVE: (31) 99816-8965</v>
      </c>
      <c r="I8043" t="str">
        <f t="shared" si="1506"/>
        <v>30/10/2025</v>
      </c>
      <c r="J8043" t="str">
        <f t="shared" si="1502"/>
        <v>21/10/2025</v>
      </c>
      <c r="K8043" t="str">
        <f>("30/10/2025")</f>
        <v>30/10/2025</v>
      </c>
      <c r="L8043">
        <v>1092</v>
      </c>
      <c r="M8043">
        <v>1092</v>
      </c>
      <c r="N8043">
        <v>109</v>
      </c>
      <c r="O8043" t="str">
        <f>"PAGAMENTO DE ENTREGADORES"</f>
        <v>PAGAMENTO DE ENTREGADORES</v>
      </c>
      <c r="P8043">
        <v>1092</v>
      </c>
      <c r="S8043" t="str">
        <f>"BANCO C6 (149)"</f>
        <v>BANCO C6 (149)</v>
      </c>
      <c r="T8043">
        <v>21986</v>
      </c>
      <c r="U8043">
        <v>24005</v>
      </c>
      <c r="V8043" t="s">
        <v>77</v>
      </c>
    </row>
    <row r="8044" spans="1:22">
      <c r="A8044" t="str">
        <f t="shared" si="1504"/>
        <v>30/10/2025</v>
      </c>
      <c r="B8044" t="str">
        <f t="shared" si="1505"/>
        <v>SAÍDA</v>
      </c>
      <c r="C8044" t="str">
        <f t="shared" si="1507"/>
        <v>PIX</v>
      </c>
      <c r="D8044" t="str">
        <f>"24005"</f>
        <v>24005</v>
      </c>
      <c r="E8044" t="str">
        <f t="shared" ref="E8044:E8107" si="1508">"1"</f>
        <v>1</v>
      </c>
      <c r="F8044" t="str">
        <f t="shared" si="1503"/>
        <v>COM</v>
      </c>
      <c r="G8044" t="str">
        <f>"GUSTAVO ALVES DE ARAÚJO (298)"</f>
        <v>GUSTAVO ALVES DE ARAÚJO (298)</v>
      </c>
      <c r="H8044" t="s">
        <v>2241</v>
      </c>
      <c r="I8044" t="str">
        <f t="shared" si="1506"/>
        <v>30/10/2025</v>
      </c>
      <c r="J8044" t="str">
        <f t="shared" ref="J8044:J8107" si="1509">("21/10/2025")</f>
        <v>21/10/2025</v>
      </c>
      <c r="K8044">
        <v>45960</v>
      </c>
      <c r="N8044">
        <v>109</v>
      </c>
      <c r="O8044" t="s">
        <v>24</v>
      </c>
      <c r="Q8044">
        <v>1092</v>
      </c>
      <c r="R8044" t="str">
        <f>"FARMÁCIA INDIANA LJ 172 (10161)"</f>
        <v>FARMÁCIA INDIANA LJ 172 (10161)</v>
      </c>
      <c r="S8044" t="s">
        <v>77</v>
      </c>
      <c r="T8044">
        <v>21986</v>
      </c>
      <c r="U8044">
        <v>24005</v>
      </c>
      <c r="V8044" t="s">
        <v>77</v>
      </c>
    </row>
    <row r="8045" spans="1:22">
      <c r="A8045" t="str">
        <f t="shared" si="1504"/>
        <v>30/10/2025</v>
      </c>
      <c r="B8045" t="str">
        <f t="shared" si="1505"/>
        <v>SAÍDA</v>
      </c>
      <c r="C8045" t="str">
        <f t="shared" si="1507"/>
        <v>PIX</v>
      </c>
      <c r="D8045" t="str">
        <f>"24006"</f>
        <v>24006</v>
      </c>
      <c r="E8045" t="str">
        <f t="shared" si="1508"/>
        <v>1</v>
      </c>
      <c r="F8045" t="str">
        <f t="shared" si="1503"/>
        <v>COM</v>
      </c>
      <c r="G8045" t="str">
        <f>"GUSTAVO HENRIQUE OLIVEIRA (661)"</f>
        <v>GUSTAVO HENRIQUE OLIVEIRA (661)</v>
      </c>
      <c r="H8045" t="str">
        <f>"Serv.Prest. 13/10/2025 a 19/10/2025 - PIX: CPF - CHAVE: 113.084.266-58"</f>
        <v>Serv.Prest. 13/10/2025 a 19/10/2025 - PIX: CPF - CHAVE: 113.084.266-58</v>
      </c>
      <c r="I8045" t="str">
        <f t="shared" si="1506"/>
        <v>30/10/2025</v>
      </c>
      <c r="J8045" t="str">
        <f t="shared" si="1509"/>
        <v>21/10/2025</v>
      </c>
      <c r="K8045" t="str">
        <f>("30/10/2025")</f>
        <v>30/10/2025</v>
      </c>
      <c r="L8045">
        <v>702</v>
      </c>
      <c r="M8045">
        <v>702</v>
      </c>
      <c r="N8045">
        <v>109</v>
      </c>
      <c r="O8045" t="str">
        <f>"PAGAMENTO DE ENTREGADORES"</f>
        <v>PAGAMENTO DE ENTREGADORES</v>
      </c>
      <c r="P8045">
        <v>702</v>
      </c>
      <c r="S8045" t="str">
        <f>"BANCO C6 (149)"</f>
        <v>BANCO C6 (149)</v>
      </c>
      <c r="T8045">
        <v>21987</v>
      </c>
      <c r="U8045">
        <v>24006</v>
      </c>
      <c r="V8045" t="s">
        <v>77</v>
      </c>
    </row>
    <row r="8046" spans="1:22">
      <c r="A8046" t="str">
        <f t="shared" si="1504"/>
        <v>30/10/2025</v>
      </c>
      <c r="B8046" t="str">
        <f t="shared" si="1505"/>
        <v>SAÍDA</v>
      </c>
      <c r="C8046" t="str">
        <f t="shared" si="1507"/>
        <v>PIX</v>
      </c>
      <c r="D8046" t="str">
        <f>"24006"</f>
        <v>24006</v>
      </c>
      <c r="E8046" t="str">
        <f t="shared" si="1508"/>
        <v>1</v>
      </c>
      <c r="F8046" t="str">
        <f t="shared" si="1503"/>
        <v>COM</v>
      </c>
      <c r="G8046" t="str">
        <f>"GUSTAVO HENRIQUE OLIVEIRA (661)"</f>
        <v>GUSTAVO HENRIQUE OLIVEIRA (661)</v>
      </c>
      <c r="H8046" t="s">
        <v>2242</v>
      </c>
      <c r="I8046" t="str">
        <f t="shared" si="1506"/>
        <v>30/10/2025</v>
      </c>
      <c r="J8046" t="str">
        <f t="shared" si="1509"/>
        <v>21/10/2025</v>
      </c>
      <c r="K8046">
        <v>45960</v>
      </c>
      <c r="N8046">
        <v>109</v>
      </c>
      <c r="O8046" t="s">
        <v>24</v>
      </c>
      <c r="Q8046">
        <v>702</v>
      </c>
      <c r="R8046" t="str">
        <f>"FARMÁCIA INDIANA LJ 110 (10048)"</f>
        <v>FARMÁCIA INDIANA LJ 110 (10048)</v>
      </c>
      <c r="S8046" t="s">
        <v>77</v>
      </c>
      <c r="T8046">
        <v>21987</v>
      </c>
      <c r="U8046">
        <v>24006</v>
      </c>
      <c r="V8046" t="s">
        <v>77</v>
      </c>
    </row>
    <row r="8047" spans="1:22">
      <c r="A8047" t="str">
        <f t="shared" si="1504"/>
        <v>30/10/2025</v>
      </c>
      <c r="B8047" t="str">
        <f t="shared" si="1505"/>
        <v>SAÍDA</v>
      </c>
      <c r="C8047" t="str">
        <f t="shared" si="1507"/>
        <v>PIX</v>
      </c>
      <c r="D8047" t="str">
        <f>"24007"</f>
        <v>24007</v>
      </c>
      <c r="E8047" t="str">
        <f t="shared" si="1508"/>
        <v>1</v>
      </c>
      <c r="F8047" t="str">
        <f t="shared" si="1503"/>
        <v>COM</v>
      </c>
      <c r="G8047" t="str">
        <f>"IVAN SOUZA SANTOS (101)"</f>
        <v>IVAN SOUZA SANTOS (101)</v>
      </c>
      <c r="H8047" t="str">
        <f>"Serv.Prest. 13/10/2025 a 19/10/2025 - PIX: CPF - CHAVE: 067.393.286-92"</f>
        <v>Serv.Prest. 13/10/2025 a 19/10/2025 - PIX: CPF - CHAVE: 067.393.286-92</v>
      </c>
      <c r="I8047" t="str">
        <f t="shared" si="1506"/>
        <v>30/10/2025</v>
      </c>
      <c r="J8047" t="str">
        <f t="shared" si="1509"/>
        <v>21/10/2025</v>
      </c>
      <c r="K8047" t="str">
        <f>("30/10/2025")</f>
        <v>30/10/2025</v>
      </c>
      <c r="L8047">
        <v>911.4</v>
      </c>
      <c r="M8047">
        <v>911.4</v>
      </c>
      <c r="N8047">
        <v>109</v>
      </c>
      <c r="O8047" t="str">
        <f>"PAGAMENTO DE ENTREGADORES"</f>
        <v>PAGAMENTO DE ENTREGADORES</v>
      </c>
      <c r="P8047">
        <v>911.4</v>
      </c>
      <c r="S8047" t="str">
        <f>"BANCO C6 (149)"</f>
        <v>BANCO C6 (149)</v>
      </c>
      <c r="T8047">
        <v>21988</v>
      </c>
      <c r="U8047">
        <v>24007</v>
      </c>
      <c r="V8047" t="s">
        <v>77</v>
      </c>
    </row>
    <row r="8048" spans="1:22">
      <c r="A8048" t="str">
        <f t="shared" si="1504"/>
        <v>30/10/2025</v>
      </c>
      <c r="B8048" t="str">
        <f t="shared" si="1505"/>
        <v>SAÍDA</v>
      </c>
      <c r="C8048" t="str">
        <f t="shared" si="1507"/>
        <v>PIX</v>
      </c>
      <c r="D8048" t="str">
        <f>"24007"</f>
        <v>24007</v>
      </c>
      <c r="E8048" t="str">
        <f t="shared" si="1508"/>
        <v>1</v>
      </c>
      <c r="F8048" t="str">
        <f t="shared" si="1503"/>
        <v>COM</v>
      </c>
      <c r="G8048" t="str">
        <f>"IVAN SOUZA SANTOS (101)"</f>
        <v>IVAN SOUZA SANTOS (101)</v>
      </c>
      <c r="H8048" t="s">
        <v>2243</v>
      </c>
      <c r="I8048" t="str">
        <f t="shared" si="1506"/>
        <v>30/10/2025</v>
      </c>
      <c r="J8048" t="str">
        <f t="shared" si="1509"/>
        <v>21/10/2025</v>
      </c>
      <c r="K8048">
        <v>45960</v>
      </c>
      <c r="N8048">
        <v>109</v>
      </c>
      <c r="O8048" t="s">
        <v>24</v>
      </c>
      <c r="Q8048">
        <v>911.4</v>
      </c>
      <c r="R8048" t="str">
        <f>"FARMÁCIA INDIANA LJ 59 (10026)"</f>
        <v>FARMÁCIA INDIANA LJ 59 (10026)</v>
      </c>
      <c r="S8048" t="s">
        <v>77</v>
      </c>
      <c r="T8048">
        <v>21988</v>
      </c>
      <c r="U8048">
        <v>24007</v>
      </c>
      <c r="V8048" t="s">
        <v>77</v>
      </c>
    </row>
    <row r="8049" spans="1:22">
      <c r="A8049" t="str">
        <f t="shared" si="1504"/>
        <v>30/10/2025</v>
      </c>
      <c r="B8049" t="str">
        <f t="shared" si="1505"/>
        <v>SAÍDA</v>
      </c>
      <c r="C8049" t="str">
        <f t="shared" si="1507"/>
        <v>PIX</v>
      </c>
      <c r="D8049" t="str">
        <f>"24008"</f>
        <v>24008</v>
      </c>
      <c r="E8049" t="str">
        <f t="shared" si="1508"/>
        <v>1</v>
      </c>
      <c r="F8049" t="str">
        <f t="shared" si="1503"/>
        <v>COM</v>
      </c>
      <c r="G8049" t="str">
        <f>"JANDERSON SOUZA ARCANJO (28)"</f>
        <v>JANDERSON SOUZA ARCANJO (28)</v>
      </c>
      <c r="H8049" t="str">
        <f>"Serv.Prest. 13/10/2025 a 19/10/2025 - PIX: CPF - CHAVE: 121.297.376-33"</f>
        <v>Serv.Prest. 13/10/2025 a 19/10/2025 - PIX: CPF - CHAVE: 121.297.376-33</v>
      </c>
      <c r="I8049" t="str">
        <f t="shared" si="1506"/>
        <v>30/10/2025</v>
      </c>
      <c r="J8049" t="str">
        <f t="shared" si="1509"/>
        <v>21/10/2025</v>
      </c>
      <c r="K8049" t="str">
        <f>("30/10/2025")</f>
        <v>30/10/2025</v>
      </c>
      <c r="L8049">
        <v>759</v>
      </c>
      <c r="M8049">
        <v>759</v>
      </c>
      <c r="N8049">
        <v>109</v>
      </c>
      <c r="O8049" t="str">
        <f>"PAGAMENTO DE ENTREGADORES"</f>
        <v>PAGAMENTO DE ENTREGADORES</v>
      </c>
      <c r="P8049">
        <v>759</v>
      </c>
      <c r="S8049" t="str">
        <f>"BANCO C6 (149)"</f>
        <v>BANCO C6 (149)</v>
      </c>
      <c r="T8049">
        <v>21989</v>
      </c>
      <c r="U8049">
        <v>24008</v>
      </c>
      <c r="V8049" t="s">
        <v>77</v>
      </c>
    </row>
    <row r="8050" spans="1:22">
      <c r="A8050" t="str">
        <f t="shared" si="1504"/>
        <v>30/10/2025</v>
      </c>
      <c r="B8050" t="str">
        <f t="shared" si="1505"/>
        <v>SAÍDA</v>
      </c>
      <c r="C8050" t="str">
        <f t="shared" si="1507"/>
        <v>PIX</v>
      </c>
      <c r="D8050" t="str">
        <f>"24008"</f>
        <v>24008</v>
      </c>
      <c r="E8050" t="str">
        <f t="shared" si="1508"/>
        <v>1</v>
      </c>
      <c r="F8050" t="str">
        <f t="shared" si="1503"/>
        <v>COM</v>
      </c>
      <c r="G8050" t="str">
        <f>"JANDERSON SOUZA ARCANJO (28)"</f>
        <v>JANDERSON SOUZA ARCANJO (28)</v>
      </c>
      <c r="H8050" t="s">
        <v>2244</v>
      </c>
      <c r="I8050" t="str">
        <f t="shared" si="1506"/>
        <v>30/10/2025</v>
      </c>
      <c r="J8050" t="str">
        <f t="shared" si="1509"/>
        <v>21/10/2025</v>
      </c>
      <c r="K8050">
        <v>45960</v>
      </c>
      <c r="N8050">
        <v>109</v>
      </c>
      <c r="O8050" t="s">
        <v>24</v>
      </c>
      <c r="Q8050">
        <v>759</v>
      </c>
      <c r="R8050" t="str">
        <f>"FARMÁCIA INDIANA LJ 40 (10016)"</f>
        <v>FARMÁCIA INDIANA LJ 40 (10016)</v>
      </c>
      <c r="S8050" t="s">
        <v>77</v>
      </c>
      <c r="T8050">
        <v>21989</v>
      </c>
      <c r="U8050">
        <v>24008</v>
      </c>
      <c r="V8050" t="s">
        <v>77</v>
      </c>
    </row>
    <row r="8051" spans="1:22">
      <c r="A8051" t="str">
        <f t="shared" si="1504"/>
        <v>30/10/2025</v>
      </c>
      <c r="B8051" t="str">
        <f t="shared" si="1505"/>
        <v>SAÍDA</v>
      </c>
      <c r="C8051" t="str">
        <f t="shared" si="1507"/>
        <v>PIX</v>
      </c>
      <c r="D8051" t="str">
        <f>"24009"</f>
        <v>24009</v>
      </c>
      <c r="E8051" t="str">
        <f t="shared" si="1508"/>
        <v>1</v>
      </c>
      <c r="F8051" t="str">
        <f t="shared" si="1503"/>
        <v>COM</v>
      </c>
      <c r="G8051" t="str">
        <f>"JEAN ARAÚJO SANTOS GERMANO (551)"</f>
        <v>JEAN ARAÚJO SANTOS GERMANO (551)</v>
      </c>
      <c r="H8051" t="str">
        <f>"Serv.Prest. 13/10/2025 a 19/10/2025 - PIX: CELULAR - CHAVE: (31) 99812-7173"</f>
        <v>Serv.Prest. 13/10/2025 a 19/10/2025 - PIX: CELULAR - CHAVE: (31) 99812-7173</v>
      </c>
      <c r="I8051" t="str">
        <f t="shared" si="1506"/>
        <v>30/10/2025</v>
      </c>
      <c r="J8051" t="str">
        <f t="shared" si="1509"/>
        <v>21/10/2025</v>
      </c>
      <c r="K8051" t="str">
        <f>("30/10/2025")</f>
        <v>30/10/2025</v>
      </c>
      <c r="L8051">
        <v>894</v>
      </c>
      <c r="M8051">
        <v>894</v>
      </c>
      <c r="N8051">
        <v>109</v>
      </c>
      <c r="O8051" t="str">
        <f>"PAGAMENTO DE ENTREGADORES"</f>
        <v>PAGAMENTO DE ENTREGADORES</v>
      </c>
      <c r="P8051">
        <v>894</v>
      </c>
      <c r="S8051" t="str">
        <f>"BANCO C6 (149)"</f>
        <v>BANCO C6 (149)</v>
      </c>
      <c r="T8051">
        <v>21990</v>
      </c>
      <c r="U8051">
        <v>24009</v>
      </c>
      <c r="V8051" t="s">
        <v>77</v>
      </c>
    </row>
    <row r="8052" spans="1:22">
      <c r="A8052" t="str">
        <f t="shared" si="1504"/>
        <v>30/10/2025</v>
      </c>
      <c r="B8052" t="str">
        <f t="shared" si="1505"/>
        <v>SAÍDA</v>
      </c>
      <c r="C8052" t="str">
        <f t="shared" si="1507"/>
        <v>PIX</v>
      </c>
      <c r="D8052" t="str">
        <f>"24009"</f>
        <v>24009</v>
      </c>
      <c r="E8052" t="str">
        <f t="shared" si="1508"/>
        <v>1</v>
      </c>
      <c r="F8052" t="str">
        <f t="shared" si="1503"/>
        <v>COM</v>
      </c>
      <c r="G8052" t="str">
        <f>"JEAN ARAÚJO SANTOS GERMANO (551)"</f>
        <v>JEAN ARAÚJO SANTOS GERMANO (551)</v>
      </c>
      <c r="H8052" t="s">
        <v>2245</v>
      </c>
      <c r="I8052" t="str">
        <f t="shared" si="1506"/>
        <v>30/10/2025</v>
      </c>
      <c r="J8052" t="str">
        <f t="shared" si="1509"/>
        <v>21/10/2025</v>
      </c>
      <c r="K8052">
        <v>45960</v>
      </c>
      <c r="N8052">
        <v>109</v>
      </c>
      <c r="O8052" t="s">
        <v>24</v>
      </c>
      <c r="Q8052">
        <v>894</v>
      </c>
      <c r="R8052" t="str">
        <f>"FARMÁCIA INDIANA LJ 142 (10066)"</f>
        <v>FARMÁCIA INDIANA LJ 142 (10066)</v>
      </c>
      <c r="S8052" t="s">
        <v>77</v>
      </c>
      <c r="T8052">
        <v>21990</v>
      </c>
      <c r="U8052">
        <v>24009</v>
      </c>
      <c r="V8052" t="s">
        <v>77</v>
      </c>
    </row>
    <row r="8053" spans="1:22">
      <c r="A8053" t="str">
        <f t="shared" si="1504"/>
        <v>30/10/2025</v>
      </c>
      <c r="B8053" t="str">
        <f t="shared" si="1505"/>
        <v>SAÍDA</v>
      </c>
      <c r="C8053" t="str">
        <f t="shared" si="1507"/>
        <v>PIX</v>
      </c>
      <c r="D8053" t="str">
        <f>"24010"</f>
        <v>24010</v>
      </c>
      <c r="E8053" t="str">
        <f t="shared" si="1508"/>
        <v>1</v>
      </c>
      <c r="F8053" t="str">
        <f t="shared" si="1503"/>
        <v>COM</v>
      </c>
      <c r="G8053" t="str">
        <f>"JEFERSON ANDRADE FERREIRA (165)"</f>
        <v>JEFERSON ANDRADE FERREIRA (165)</v>
      </c>
      <c r="H8053" t="str">
        <f>"Serv.Prest. 13/10/2025 a 19/10/2025 - PIX: CPF - CHAVE: 126.873.296-65"</f>
        <v>Serv.Prest. 13/10/2025 a 19/10/2025 - PIX: CPF - CHAVE: 126.873.296-65</v>
      </c>
      <c r="I8053" t="str">
        <f t="shared" si="1506"/>
        <v>30/10/2025</v>
      </c>
      <c r="J8053" t="str">
        <f t="shared" si="1509"/>
        <v>21/10/2025</v>
      </c>
      <c r="K8053" t="str">
        <f>("30/10/2025")</f>
        <v>30/10/2025</v>
      </c>
      <c r="L8053">
        <v>1770</v>
      </c>
      <c r="M8053">
        <v>1770</v>
      </c>
      <c r="N8053">
        <v>109</v>
      </c>
      <c r="O8053" t="str">
        <f>"PAGAMENTO DE ENTREGADORES"</f>
        <v>PAGAMENTO DE ENTREGADORES</v>
      </c>
      <c r="P8053">
        <v>1770</v>
      </c>
      <c r="S8053" t="str">
        <f>"BANCO C6 (149)"</f>
        <v>BANCO C6 (149)</v>
      </c>
      <c r="T8053">
        <v>21991</v>
      </c>
      <c r="U8053">
        <v>24010</v>
      </c>
      <c r="V8053" t="s">
        <v>77</v>
      </c>
    </row>
    <row r="8054" spans="1:22">
      <c r="A8054" t="str">
        <f t="shared" si="1504"/>
        <v>30/10/2025</v>
      </c>
      <c r="B8054" t="str">
        <f t="shared" si="1505"/>
        <v>SAÍDA</v>
      </c>
      <c r="C8054" t="str">
        <f t="shared" si="1507"/>
        <v>PIX</v>
      </c>
      <c r="D8054" t="str">
        <f>"24010"</f>
        <v>24010</v>
      </c>
      <c r="E8054" t="str">
        <f t="shared" si="1508"/>
        <v>1</v>
      </c>
      <c r="F8054" t="str">
        <f t="shared" si="1503"/>
        <v>COM</v>
      </c>
      <c r="G8054" t="str">
        <f>"JEFERSON ANDRADE FERREIRA (165)"</f>
        <v>JEFERSON ANDRADE FERREIRA (165)</v>
      </c>
      <c r="H8054" t="s">
        <v>2246</v>
      </c>
      <c r="I8054" t="str">
        <f t="shared" si="1506"/>
        <v>30/10/2025</v>
      </c>
      <c r="J8054" t="str">
        <f t="shared" si="1509"/>
        <v>21/10/2025</v>
      </c>
      <c r="K8054">
        <v>45960</v>
      </c>
      <c r="N8054">
        <v>109</v>
      </c>
      <c r="O8054" t="s">
        <v>24</v>
      </c>
      <c r="Q8054">
        <v>1109.97</v>
      </c>
      <c r="R8054" t="str">
        <f>"FARMÁCIA INDIANA LJ 101 (10043)"</f>
        <v>FARMÁCIA INDIANA LJ 101 (10043)</v>
      </c>
      <c r="S8054" t="s">
        <v>77</v>
      </c>
      <c r="T8054">
        <v>21991</v>
      </c>
      <c r="U8054">
        <v>24010</v>
      </c>
      <c r="V8054" t="s">
        <v>77</v>
      </c>
    </row>
    <row r="8055" spans="1:22">
      <c r="A8055" t="str">
        <f t="shared" si="1504"/>
        <v>30/10/2025</v>
      </c>
      <c r="B8055" t="str">
        <f t="shared" si="1505"/>
        <v>SAÍDA</v>
      </c>
      <c r="C8055" t="str">
        <f t="shared" si="1507"/>
        <v>PIX</v>
      </c>
      <c r="D8055" t="str">
        <f>"24010"</f>
        <v>24010</v>
      </c>
      <c r="E8055" t="str">
        <f t="shared" si="1508"/>
        <v>1</v>
      </c>
      <c r="F8055" t="str">
        <f t="shared" si="1503"/>
        <v>COM</v>
      </c>
      <c r="G8055" t="str">
        <f>"JEFERSON ANDRADE FERREIRA (165)"</f>
        <v>JEFERSON ANDRADE FERREIRA (165)</v>
      </c>
      <c r="H8055" t="s">
        <v>2246</v>
      </c>
      <c r="I8055" t="str">
        <f t="shared" si="1506"/>
        <v>30/10/2025</v>
      </c>
      <c r="J8055" t="str">
        <f t="shared" si="1509"/>
        <v>21/10/2025</v>
      </c>
      <c r="K8055">
        <v>45960</v>
      </c>
      <c r="N8055">
        <v>109</v>
      </c>
      <c r="O8055" t="s">
        <v>24</v>
      </c>
      <c r="Q8055">
        <v>660.03</v>
      </c>
      <c r="R8055" t="str">
        <f>"FARMÁCIA INDIANA LJ 220 (10092)"</f>
        <v>FARMÁCIA INDIANA LJ 220 (10092)</v>
      </c>
      <c r="S8055" t="s">
        <v>77</v>
      </c>
      <c r="T8055">
        <v>21991</v>
      </c>
      <c r="U8055">
        <v>24010</v>
      </c>
      <c r="V8055" t="s">
        <v>77</v>
      </c>
    </row>
    <row r="8056" spans="1:22">
      <c r="A8056" t="str">
        <f t="shared" si="1504"/>
        <v>30/10/2025</v>
      </c>
      <c r="B8056" t="str">
        <f t="shared" si="1505"/>
        <v>SAÍDA</v>
      </c>
      <c r="C8056" t="str">
        <f t="shared" si="1507"/>
        <v>PIX</v>
      </c>
      <c r="D8056" t="str">
        <f>"24011"</f>
        <v>24011</v>
      </c>
      <c r="E8056" t="str">
        <f t="shared" si="1508"/>
        <v>1</v>
      </c>
      <c r="F8056" t="str">
        <f t="shared" si="1503"/>
        <v>COM</v>
      </c>
      <c r="G8056" t="str">
        <f>"JEFERSON ARAÚJO SANTOS GERMANO (180)"</f>
        <v>JEFERSON ARAÚJO SANTOS GERMANO (180)</v>
      </c>
      <c r="H8056" t="str">
        <f>"Serv.Prest. 13/10/2025 a 19/10/2025 - PIX: CPF - CHAVE: 023.645.626-19"</f>
        <v>Serv.Prest. 13/10/2025 a 19/10/2025 - PIX: CPF - CHAVE: 023.645.626-19</v>
      </c>
      <c r="I8056" t="str">
        <f t="shared" si="1506"/>
        <v>30/10/2025</v>
      </c>
      <c r="J8056" t="str">
        <f t="shared" si="1509"/>
        <v>21/10/2025</v>
      </c>
      <c r="K8056" t="str">
        <f>("30/10/2025")</f>
        <v>30/10/2025</v>
      </c>
      <c r="L8056">
        <v>840</v>
      </c>
      <c r="M8056">
        <v>840</v>
      </c>
      <c r="N8056">
        <v>109</v>
      </c>
      <c r="O8056" t="str">
        <f>"PAGAMENTO DE ENTREGADORES"</f>
        <v>PAGAMENTO DE ENTREGADORES</v>
      </c>
      <c r="P8056">
        <v>840</v>
      </c>
      <c r="S8056" t="str">
        <f>"BANCO C6 (149)"</f>
        <v>BANCO C6 (149)</v>
      </c>
      <c r="T8056">
        <v>21992</v>
      </c>
      <c r="U8056">
        <v>24011</v>
      </c>
      <c r="V8056" t="s">
        <v>77</v>
      </c>
    </row>
    <row r="8057" spans="1:22">
      <c r="A8057" t="str">
        <f t="shared" si="1504"/>
        <v>30/10/2025</v>
      </c>
      <c r="B8057" t="str">
        <f t="shared" si="1505"/>
        <v>SAÍDA</v>
      </c>
      <c r="C8057" t="str">
        <f t="shared" si="1507"/>
        <v>PIX</v>
      </c>
      <c r="D8057" t="str">
        <f>"24011"</f>
        <v>24011</v>
      </c>
      <c r="E8057" t="str">
        <f t="shared" si="1508"/>
        <v>1</v>
      </c>
      <c r="F8057" t="str">
        <f t="shared" ref="F8057:F8120" si="1510">"COM"</f>
        <v>COM</v>
      </c>
      <c r="G8057" t="str">
        <f>"JEFERSON ARAÚJO SANTOS GERMANO (180)"</f>
        <v>JEFERSON ARAÚJO SANTOS GERMANO (180)</v>
      </c>
      <c r="H8057" t="s">
        <v>2247</v>
      </c>
      <c r="I8057" t="str">
        <f t="shared" si="1506"/>
        <v>30/10/2025</v>
      </c>
      <c r="J8057" t="str">
        <f t="shared" si="1509"/>
        <v>21/10/2025</v>
      </c>
      <c r="K8057">
        <v>45960</v>
      </c>
      <c r="N8057">
        <v>109</v>
      </c>
      <c r="O8057" t="s">
        <v>24</v>
      </c>
      <c r="Q8057">
        <v>840</v>
      </c>
      <c r="R8057" t="str">
        <f>"FARMÁCIA INDIANA LJ 142 (10066)"</f>
        <v>FARMÁCIA INDIANA LJ 142 (10066)</v>
      </c>
      <c r="S8057" t="s">
        <v>77</v>
      </c>
      <c r="T8057">
        <v>21992</v>
      </c>
      <c r="U8057">
        <v>24011</v>
      </c>
      <c r="V8057" t="s">
        <v>77</v>
      </c>
    </row>
    <row r="8058" spans="1:22">
      <c r="A8058" t="str">
        <f t="shared" si="1504"/>
        <v>30/10/2025</v>
      </c>
      <c r="B8058" t="str">
        <f t="shared" si="1505"/>
        <v>SAÍDA</v>
      </c>
      <c r="C8058" t="str">
        <f t="shared" si="1507"/>
        <v>PIX</v>
      </c>
      <c r="D8058" t="str">
        <f>"24012"</f>
        <v>24012</v>
      </c>
      <c r="E8058" t="str">
        <f t="shared" si="1508"/>
        <v>1</v>
      </c>
      <c r="F8058" t="str">
        <f t="shared" si="1510"/>
        <v>COM</v>
      </c>
      <c r="G8058" t="str">
        <f>"JEFERSON DE JESUS SANTOS (910)"</f>
        <v>JEFERSON DE JESUS SANTOS (910)</v>
      </c>
      <c r="H8058" t="str">
        <f>"Serv.Prest. 13/10/2025 a 19/10/2025 - PIX: CELULAR - CHAVE: (33) 98836-6015"</f>
        <v>Serv.Prest. 13/10/2025 a 19/10/2025 - PIX: CELULAR - CHAVE: (33) 98836-6015</v>
      </c>
      <c r="I8058" t="str">
        <f t="shared" si="1506"/>
        <v>30/10/2025</v>
      </c>
      <c r="J8058" t="str">
        <f t="shared" si="1509"/>
        <v>21/10/2025</v>
      </c>
      <c r="K8058" t="str">
        <f>("30/10/2025")</f>
        <v>30/10/2025</v>
      </c>
      <c r="L8058">
        <v>684</v>
      </c>
      <c r="M8058">
        <v>684</v>
      </c>
      <c r="N8058">
        <v>109</v>
      </c>
      <c r="O8058" t="str">
        <f>"PAGAMENTO DE ENTREGADORES"</f>
        <v>PAGAMENTO DE ENTREGADORES</v>
      </c>
      <c r="P8058">
        <v>684</v>
      </c>
      <c r="S8058" t="str">
        <f>"BANCO C6 (149)"</f>
        <v>BANCO C6 (149)</v>
      </c>
      <c r="T8058">
        <v>21993</v>
      </c>
      <c r="U8058">
        <v>24012</v>
      </c>
      <c r="V8058" t="s">
        <v>77</v>
      </c>
    </row>
    <row r="8059" spans="1:22">
      <c r="A8059" t="str">
        <f t="shared" si="1504"/>
        <v>30/10/2025</v>
      </c>
      <c r="B8059" t="str">
        <f t="shared" si="1505"/>
        <v>SAÍDA</v>
      </c>
      <c r="C8059" t="str">
        <f t="shared" si="1507"/>
        <v>PIX</v>
      </c>
      <c r="D8059" t="str">
        <f>"24012"</f>
        <v>24012</v>
      </c>
      <c r="E8059" t="str">
        <f t="shared" si="1508"/>
        <v>1</v>
      </c>
      <c r="F8059" t="str">
        <f t="shared" si="1510"/>
        <v>COM</v>
      </c>
      <c r="G8059" t="str">
        <f>"JEFERSON DE JESUS SANTOS (910)"</f>
        <v>JEFERSON DE JESUS SANTOS (910)</v>
      </c>
      <c r="H8059" t="s">
        <v>2248</v>
      </c>
      <c r="I8059" t="str">
        <f t="shared" si="1506"/>
        <v>30/10/2025</v>
      </c>
      <c r="J8059" t="str">
        <f t="shared" si="1509"/>
        <v>21/10/2025</v>
      </c>
      <c r="K8059">
        <v>45960</v>
      </c>
      <c r="N8059">
        <v>109</v>
      </c>
      <c r="O8059" t="s">
        <v>24</v>
      </c>
      <c r="Q8059">
        <v>684</v>
      </c>
      <c r="R8059" t="str">
        <f>"FARMÁCIA INDIANA LJ 07 (10007)"</f>
        <v>FARMÁCIA INDIANA LJ 07 (10007)</v>
      </c>
      <c r="S8059" t="s">
        <v>77</v>
      </c>
      <c r="T8059">
        <v>21993</v>
      </c>
      <c r="U8059">
        <v>24012</v>
      </c>
      <c r="V8059" t="s">
        <v>77</v>
      </c>
    </row>
    <row r="8060" spans="1:22">
      <c r="A8060" t="str">
        <f t="shared" si="1504"/>
        <v>30/10/2025</v>
      </c>
      <c r="B8060" t="str">
        <f t="shared" si="1505"/>
        <v>SAÍDA</v>
      </c>
      <c r="C8060" t="str">
        <f t="shared" si="1507"/>
        <v>PIX</v>
      </c>
      <c r="D8060" t="str">
        <f>"24013"</f>
        <v>24013</v>
      </c>
      <c r="E8060" t="str">
        <f t="shared" si="1508"/>
        <v>1</v>
      </c>
      <c r="F8060" t="str">
        <f t="shared" si="1510"/>
        <v>COM</v>
      </c>
      <c r="G8060" t="str">
        <f>"JHONANTAN LACERDA DE JESUS (142)"</f>
        <v>JHONANTAN LACERDA DE JESUS (142)</v>
      </c>
      <c r="H8060" t="str">
        <f>"Serv.Prest. 13/10/2025 a 19/10/2025 - PIX: E-MAIL - CHAVE: jhonantanlacerda@gmail.com"</f>
        <v>Serv.Prest. 13/10/2025 a 19/10/2025 - PIX: E-MAIL - CHAVE: jhonantanlacerda@gmail.com</v>
      </c>
      <c r="I8060" t="str">
        <f t="shared" si="1506"/>
        <v>30/10/2025</v>
      </c>
      <c r="J8060" t="str">
        <f t="shared" si="1509"/>
        <v>21/10/2025</v>
      </c>
      <c r="K8060" t="str">
        <f>("30/10/2025")</f>
        <v>30/10/2025</v>
      </c>
      <c r="L8060">
        <v>858</v>
      </c>
      <c r="M8060">
        <v>858</v>
      </c>
      <c r="N8060">
        <v>109</v>
      </c>
      <c r="O8060" t="str">
        <f>"PAGAMENTO DE ENTREGADORES"</f>
        <v>PAGAMENTO DE ENTREGADORES</v>
      </c>
      <c r="P8060">
        <v>858</v>
      </c>
      <c r="S8060" t="str">
        <f>"BANCO C6 (149)"</f>
        <v>BANCO C6 (149)</v>
      </c>
      <c r="T8060">
        <v>21994</v>
      </c>
      <c r="U8060">
        <v>24013</v>
      </c>
      <c r="V8060" t="s">
        <v>77</v>
      </c>
    </row>
    <row r="8061" spans="1:22">
      <c r="A8061" t="str">
        <f t="shared" si="1504"/>
        <v>30/10/2025</v>
      </c>
      <c r="B8061" t="str">
        <f t="shared" si="1505"/>
        <v>SAÍDA</v>
      </c>
      <c r="C8061" t="str">
        <f t="shared" si="1507"/>
        <v>PIX</v>
      </c>
      <c r="D8061" t="str">
        <f>"24013"</f>
        <v>24013</v>
      </c>
      <c r="E8061" t="str">
        <f t="shared" si="1508"/>
        <v>1</v>
      </c>
      <c r="F8061" t="str">
        <f t="shared" si="1510"/>
        <v>COM</v>
      </c>
      <c r="G8061" t="str">
        <f>"JHONANTAN LACERDA DE JESUS (142)"</f>
        <v>JHONANTAN LACERDA DE JESUS (142)</v>
      </c>
      <c r="H8061" t="s">
        <v>2249</v>
      </c>
      <c r="I8061" t="str">
        <f t="shared" si="1506"/>
        <v>30/10/2025</v>
      </c>
      <c r="J8061" t="str">
        <f t="shared" si="1509"/>
        <v>21/10/2025</v>
      </c>
      <c r="K8061">
        <v>45960</v>
      </c>
      <c r="N8061">
        <v>109</v>
      </c>
      <c r="O8061" t="s">
        <v>24</v>
      </c>
      <c r="Q8061">
        <v>858</v>
      </c>
      <c r="R8061" t="str">
        <f>"FARMÁCIA INDIANA LJ 142 (10066)"</f>
        <v>FARMÁCIA INDIANA LJ 142 (10066)</v>
      </c>
      <c r="S8061" t="s">
        <v>77</v>
      </c>
      <c r="T8061">
        <v>21994</v>
      </c>
      <c r="U8061">
        <v>24013</v>
      </c>
      <c r="V8061" t="s">
        <v>77</v>
      </c>
    </row>
    <row r="8062" spans="1:22">
      <c r="A8062" t="str">
        <f t="shared" si="1504"/>
        <v>30/10/2025</v>
      </c>
      <c r="B8062" t="str">
        <f t="shared" si="1505"/>
        <v>SAÍDA</v>
      </c>
      <c r="C8062" t="str">
        <f t="shared" si="1507"/>
        <v>PIX</v>
      </c>
      <c r="D8062" t="str">
        <f>"24014"</f>
        <v>24014</v>
      </c>
      <c r="E8062" t="str">
        <f t="shared" si="1508"/>
        <v>1</v>
      </c>
      <c r="F8062" t="str">
        <f t="shared" si="1510"/>
        <v>COM</v>
      </c>
      <c r="G8062" t="str">
        <f>"JOMAR GONÇALVES DIAS (16)"</f>
        <v>JOMAR GONÇALVES DIAS (16)</v>
      </c>
      <c r="H8062" t="str">
        <f>"Serv.Prest. 13/10/2025 a 19/10/2025 - PIX: CPF - CHAVE: 602.838.315-53"</f>
        <v>Serv.Prest. 13/10/2025 a 19/10/2025 - PIX: CPF - CHAVE: 602.838.315-53</v>
      </c>
      <c r="I8062" t="str">
        <f t="shared" si="1506"/>
        <v>30/10/2025</v>
      </c>
      <c r="J8062" t="str">
        <f t="shared" si="1509"/>
        <v>21/10/2025</v>
      </c>
      <c r="K8062" t="str">
        <f>("30/10/2025")</f>
        <v>30/10/2025</v>
      </c>
      <c r="L8062">
        <v>973.5</v>
      </c>
      <c r="M8062">
        <v>973.5</v>
      </c>
      <c r="N8062">
        <v>109</v>
      </c>
      <c r="O8062" t="str">
        <f>"PAGAMENTO DE ENTREGADORES"</f>
        <v>PAGAMENTO DE ENTREGADORES</v>
      </c>
      <c r="P8062">
        <v>973.5</v>
      </c>
      <c r="S8062" t="str">
        <f>"BANCO C6 (149)"</f>
        <v>BANCO C6 (149)</v>
      </c>
      <c r="T8062">
        <v>21995</v>
      </c>
      <c r="U8062">
        <v>24014</v>
      </c>
      <c r="V8062" t="s">
        <v>77</v>
      </c>
    </row>
    <row r="8063" spans="1:22">
      <c r="A8063" t="str">
        <f t="shared" si="1504"/>
        <v>30/10/2025</v>
      </c>
      <c r="B8063" t="str">
        <f t="shared" si="1505"/>
        <v>SAÍDA</v>
      </c>
      <c r="C8063" t="str">
        <f t="shared" si="1507"/>
        <v>PIX</v>
      </c>
      <c r="D8063" t="str">
        <f>"24014"</f>
        <v>24014</v>
      </c>
      <c r="E8063" t="str">
        <f t="shared" si="1508"/>
        <v>1</v>
      </c>
      <c r="F8063" t="str">
        <f t="shared" si="1510"/>
        <v>COM</v>
      </c>
      <c r="G8063" t="str">
        <f>"JOMAR GONÇALVES DIAS (16)"</f>
        <v>JOMAR GONÇALVES DIAS (16)</v>
      </c>
      <c r="H8063" t="s">
        <v>2250</v>
      </c>
      <c r="I8063" t="str">
        <f t="shared" si="1506"/>
        <v>30/10/2025</v>
      </c>
      <c r="J8063" t="str">
        <f t="shared" si="1509"/>
        <v>21/10/2025</v>
      </c>
      <c r="K8063">
        <v>45960</v>
      </c>
      <c r="N8063">
        <v>109</v>
      </c>
      <c r="O8063" t="s">
        <v>24</v>
      </c>
      <c r="Q8063">
        <v>973.5</v>
      </c>
      <c r="R8063" t="str">
        <f>"FARMÁCIA INDIANA LJ 61 (10027)"</f>
        <v>FARMÁCIA INDIANA LJ 61 (10027)</v>
      </c>
      <c r="S8063" t="s">
        <v>77</v>
      </c>
      <c r="T8063">
        <v>21995</v>
      </c>
      <c r="U8063">
        <v>24014</v>
      </c>
      <c r="V8063" t="s">
        <v>77</v>
      </c>
    </row>
    <row r="8064" spans="1:22">
      <c r="A8064" t="str">
        <f t="shared" si="1504"/>
        <v>30/10/2025</v>
      </c>
      <c r="B8064" t="str">
        <f t="shared" si="1505"/>
        <v>SAÍDA</v>
      </c>
      <c r="C8064" t="str">
        <f t="shared" si="1507"/>
        <v>PIX</v>
      </c>
      <c r="D8064" t="str">
        <f>"24015"</f>
        <v>24015</v>
      </c>
      <c r="E8064" t="str">
        <f t="shared" si="1508"/>
        <v>1</v>
      </c>
      <c r="F8064" t="str">
        <f t="shared" si="1510"/>
        <v>COM</v>
      </c>
      <c r="G8064" t="str">
        <f>"JOSÉ CARLOS DA COSTA (83)"</f>
        <v>JOSÉ CARLOS DA COSTA (83)</v>
      </c>
      <c r="H8064" t="str">
        <f>"Serv.Prest. 13/10/2025 a 19/10/2025 - PIX: CPF - CHAVE: 043.301.196-33"</f>
        <v>Serv.Prest. 13/10/2025 a 19/10/2025 - PIX: CPF - CHAVE: 043.301.196-33</v>
      </c>
      <c r="I8064" t="str">
        <f t="shared" si="1506"/>
        <v>30/10/2025</v>
      </c>
      <c r="J8064" t="str">
        <f t="shared" si="1509"/>
        <v>21/10/2025</v>
      </c>
      <c r="K8064" t="str">
        <f>("30/10/2025")</f>
        <v>30/10/2025</v>
      </c>
      <c r="L8064">
        <v>570</v>
      </c>
      <c r="M8064">
        <v>570</v>
      </c>
      <c r="N8064">
        <v>109</v>
      </c>
      <c r="O8064" t="str">
        <f>"PAGAMENTO DE ENTREGADORES"</f>
        <v>PAGAMENTO DE ENTREGADORES</v>
      </c>
      <c r="P8064">
        <v>570</v>
      </c>
      <c r="S8064" t="str">
        <f>"BANCO C6 (149)"</f>
        <v>BANCO C6 (149)</v>
      </c>
      <c r="T8064">
        <v>21996</v>
      </c>
      <c r="U8064">
        <v>24015</v>
      </c>
      <c r="V8064" t="s">
        <v>77</v>
      </c>
    </row>
    <row r="8065" spans="1:22">
      <c r="A8065" t="str">
        <f t="shared" si="1504"/>
        <v>30/10/2025</v>
      </c>
      <c r="B8065" t="str">
        <f t="shared" si="1505"/>
        <v>SAÍDA</v>
      </c>
      <c r="C8065" t="str">
        <f t="shared" si="1507"/>
        <v>PIX</v>
      </c>
      <c r="D8065" t="str">
        <f>"24015"</f>
        <v>24015</v>
      </c>
      <c r="E8065" t="str">
        <f t="shared" si="1508"/>
        <v>1</v>
      </c>
      <c r="F8065" t="str">
        <f t="shared" si="1510"/>
        <v>COM</v>
      </c>
      <c r="G8065" t="str">
        <f>"JOSÉ CARLOS DA COSTA (83)"</f>
        <v>JOSÉ CARLOS DA COSTA (83)</v>
      </c>
      <c r="H8065" t="s">
        <v>2251</v>
      </c>
      <c r="I8065" t="str">
        <f t="shared" si="1506"/>
        <v>30/10/2025</v>
      </c>
      <c r="J8065" t="str">
        <f t="shared" si="1509"/>
        <v>21/10/2025</v>
      </c>
      <c r="K8065">
        <v>45960</v>
      </c>
      <c r="N8065">
        <v>109</v>
      </c>
      <c r="O8065" t="s">
        <v>24</v>
      </c>
      <c r="Q8065">
        <v>570</v>
      </c>
      <c r="R8065" t="str">
        <f>"FARMÁCIA INDIANA LJ 152 (10069)"</f>
        <v>FARMÁCIA INDIANA LJ 152 (10069)</v>
      </c>
      <c r="S8065" t="s">
        <v>77</v>
      </c>
      <c r="T8065">
        <v>21996</v>
      </c>
      <c r="U8065">
        <v>24015</v>
      </c>
      <c r="V8065" t="s">
        <v>77</v>
      </c>
    </row>
    <row r="8066" spans="1:22">
      <c r="A8066" t="str">
        <f t="shared" si="1504"/>
        <v>30/10/2025</v>
      </c>
      <c r="B8066" t="str">
        <f t="shared" si="1505"/>
        <v>SAÍDA</v>
      </c>
      <c r="C8066" t="str">
        <f t="shared" si="1507"/>
        <v>PIX</v>
      </c>
      <c r="D8066" t="str">
        <f>"24016"</f>
        <v>24016</v>
      </c>
      <c r="E8066" t="str">
        <f t="shared" si="1508"/>
        <v>1</v>
      </c>
      <c r="F8066" t="str">
        <f t="shared" si="1510"/>
        <v>COM</v>
      </c>
      <c r="G8066" t="str">
        <f>"JUBER FERREIRA SILVA BASTOS (192)"</f>
        <v>JUBER FERREIRA SILVA BASTOS (192)</v>
      </c>
      <c r="H8066" t="str">
        <f>"Serv.Prest. 13/10/2025 a 19/10/2025 - PIX: CPF - CHAVE: 012.459.366-62"</f>
        <v>Serv.Prest. 13/10/2025 a 19/10/2025 - PIX: CPF - CHAVE: 012.459.366-62</v>
      </c>
      <c r="I8066" t="str">
        <f t="shared" si="1506"/>
        <v>30/10/2025</v>
      </c>
      <c r="J8066" t="str">
        <f t="shared" si="1509"/>
        <v>21/10/2025</v>
      </c>
      <c r="K8066" t="str">
        <f>("30/10/2025")</f>
        <v>30/10/2025</v>
      </c>
      <c r="L8066">
        <v>1020</v>
      </c>
      <c r="M8066">
        <v>1020</v>
      </c>
      <c r="N8066">
        <v>109</v>
      </c>
      <c r="O8066" t="str">
        <f>"PAGAMENTO DE ENTREGADORES"</f>
        <v>PAGAMENTO DE ENTREGADORES</v>
      </c>
      <c r="P8066">
        <v>1020</v>
      </c>
      <c r="S8066" t="str">
        <f>"BANCO C6 (149)"</f>
        <v>BANCO C6 (149)</v>
      </c>
      <c r="T8066">
        <v>21997</v>
      </c>
      <c r="U8066">
        <v>24016</v>
      </c>
      <c r="V8066" t="s">
        <v>77</v>
      </c>
    </row>
    <row r="8067" spans="1:22">
      <c r="A8067" t="str">
        <f t="shared" si="1504"/>
        <v>30/10/2025</v>
      </c>
      <c r="B8067" t="str">
        <f t="shared" si="1505"/>
        <v>SAÍDA</v>
      </c>
      <c r="C8067" t="str">
        <f t="shared" si="1507"/>
        <v>PIX</v>
      </c>
      <c r="D8067" t="str">
        <f>"24016"</f>
        <v>24016</v>
      </c>
      <c r="E8067" t="str">
        <f t="shared" si="1508"/>
        <v>1</v>
      </c>
      <c r="F8067" t="str">
        <f t="shared" si="1510"/>
        <v>COM</v>
      </c>
      <c r="G8067" t="str">
        <f>"JUBER FERREIRA SILVA BASTOS (192)"</f>
        <v>JUBER FERREIRA SILVA BASTOS (192)</v>
      </c>
      <c r="H8067" t="s">
        <v>2252</v>
      </c>
      <c r="I8067" t="str">
        <f t="shared" si="1506"/>
        <v>30/10/2025</v>
      </c>
      <c r="J8067" t="str">
        <f t="shared" si="1509"/>
        <v>21/10/2025</v>
      </c>
      <c r="K8067">
        <v>45960</v>
      </c>
      <c r="N8067">
        <v>109</v>
      </c>
      <c r="O8067" t="s">
        <v>24</v>
      </c>
      <c r="Q8067">
        <v>1020</v>
      </c>
      <c r="R8067" t="str">
        <f>"FARMÁCIA INDIANA LJ 06 (10006)"</f>
        <v>FARMÁCIA INDIANA LJ 06 (10006)</v>
      </c>
      <c r="S8067" t="s">
        <v>77</v>
      </c>
      <c r="T8067">
        <v>21997</v>
      </c>
      <c r="U8067">
        <v>24016</v>
      </c>
      <c r="V8067" t="s">
        <v>77</v>
      </c>
    </row>
    <row r="8068" spans="1:22">
      <c r="A8068" t="str">
        <f t="shared" si="1504"/>
        <v>30/10/2025</v>
      </c>
      <c r="B8068" t="str">
        <f t="shared" si="1505"/>
        <v>SAÍDA</v>
      </c>
      <c r="C8068" t="str">
        <f t="shared" si="1507"/>
        <v>PIX</v>
      </c>
      <c r="D8068" t="str">
        <f>"24017"</f>
        <v>24017</v>
      </c>
      <c r="E8068" t="str">
        <f t="shared" si="1508"/>
        <v>1</v>
      </c>
      <c r="F8068" t="str">
        <f t="shared" si="1510"/>
        <v>COM</v>
      </c>
      <c r="G8068" t="str">
        <f>"JUNIO DE ANDRADE ARRUDA (145)"</f>
        <v>JUNIO DE ANDRADE ARRUDA (145)</v>
      </c>
      <c r="H8068" t="str">
        <f>"Serv.Prest. 13/10/2025 a 19/10/2025 - PIX: CPF - CHAVE: 077.488.126-75"</f>
        <v>Serv.Prest. 13/10/2025 a 19/10/2025 - PIX: CPF - CHAVE: 077.488.126-75</v>
      </c>
      <c r="I8068" t="str">
        <f t="shared" si="1506"/>
        <v>30/10/2025</v>
      </c>
      <c r="J8068" t="str">
        <f t="shared" si="1509"/>
        <v>21/10/2025</v>
      </c>
      <c r="K8068" t="str">
        <f>("30/10/2025")</f>
        <v>30/10/2025</v>
      </c>
      <c r="L8068">
        <v>792</v>
      </c>
      <c r="M8068">
        <v>792</v>
      </c>
      <c r="N8068">
        <v>109</v>
      </c>
      <c r="O8068" t="str">
        <f>"PAGAMENTO DE ENTREGADORES"</f>
        <v>PAGAMENTO DE ENTREGADORES</v>
      </c>
      <c r="P8068">
        <v>792</v>
      </c>
      <c r="S8068" t="str">
        <f>"BANCO C6 (149)"</f>
        <v>BANCO C6 (149)</v>
      </c>
      <c r="T8068">
        <v>21998</v>
      </c>
      <c r="U8068">
        <v>24017</v>
      </c>
      <c r="V8068" t="s">
        <v>77</v>
      </c>
    </row>
    <row r="8069" spans="1:22">
      <c r="A8069" t="str">
        <f t="shared" si="1504"/>
        <v>30/10/2025</v>
      </c>
      <c r="B8069" t="str">
        <f t="shared" si="1505"/>
        <v>SAÍDA</v>
      </c>
      <c r="C8069" t="str">
        <f t="shared" si="1507"/>
        <v>PIX</v>
      </c>
      <c r="D8069" t="str">
        <f>"24017"</f>
        <v>24017</v>
      </c>
      <c r="E8069" t="str">
        <f t="shared" si="1508"/>
        <v>1</v>
      </c>
      <c r="F8069" t="str">
        <f t="shared" si="1510"/>
        <v>COM</v>
      </c>
      <c r="G8069" t="str">
        <f>"JUNIO DE ANDRADE ARRUDA (145)"</f>
        <v>JUNIO DE ANDRADE ARRUDA (145)</v>
      </c>
      <c r="H8069" t="s">
        <v>2253</v>
      </c>
      <c r="I8069" t="str">
        <f t="shared" si="1506"/>
        <v>30/10/2025</v>
      </c>
      <c r="J8069" t="str">
        <f t="shared" si="1509"/>
        <v>21/10/2025</v>
      </c>
      <c r="K8069">
        <v>45960</v>
      </c>
      <c r="N8069">
        <v>109</v>
      </c>
      <c r="O8069" t="s">
        <v>24</v>
      </c>
      <c r="Q8069">
        <v>792</v>
      </c>
      <c r="R8069" t="str">
        <f>"FARMÁCIA INDIANA LJ 19 (10012)"</f>
        <v>FARMÁCIA INDIANA LJ 19 (10012)</v>
      </c>
      <c r="S8069" t="s">
        <v>77</v>
      </c>
      <c r="T8069">
        <v>21998</v>
      </c>
      <c r="U8069">
        <v>24017</v>
      </c>
      <c r="V8069" t="s">
        <v>77</v>
      </c>
    </row>
    <row r="8070" spans="1:22">
      <c r="A8070" t="str">
        <f t="shared" si="1504"/>
        <v>30/10/2025</v>
      </c>
      <c r="B8070" t="str">
        <f t="shared" si="1505"/>
        <v>SAÍDA</v>
      </c>
      <c r="C8070" t="str">
        <f t="shared" si="1507"/>
        <v>PIX</v>
      </c>
      <c r="D8070" t="str">
        <f>"24018"</f>
        <v>24018</v>
      </c>
      <c r="E8070" t="str">
        <f t="shared" si="1508"/>
        <v>1</v>
      </c>
      <c r="F8070" t="str">
        <f t="shared" si="1510"/>
        <v>COM</v>
      </c>
      <c r="G8070" t="str">
        <f>"JUNIOR DOS SANTOS MACHADO (240)"</f>
        <v>JUNIOR DOS SANTOS MACHADO (240)</v>
      </c>
      <c r="H8070" t="str">
        <f>"Serv.Prest. 13/10/2025 a 19/10/2025 - PIX: CPF - CHAVE: 074.520.456-29"</f>
        <v>Serv.Prest. 13/10/2025 a 19/10/2025 - PIX: CPF - CHAVE: 074.520.456-29</v>
      </c>
      <c r="I8070" t="str">
        <f t="shared" si="1506"/>
        <v>30/10/2025</v>
      </c>
      <c r="J8070" t="str">
        <f t="shared" si="1509"/>
        <v>21/10/2025</v>
      </c>
      <c r="K8070" t="str">
        <f>("30/10/2025")</f>
        <v>30/10/2025</v>
      </c>
      <c r="L8070">
        <v>602.5</v>
      </c>
      <c r="M8070">
        <v>602.5</v>
      </c>
      <c r="N8070">
        <v>109</v>
      </c>
      <c r="O8070" t="str">
        <f>"PAGAMENTO DE ENTREGADORES"</f>
        <v>PAGAMENTO DE ENTREGADORES</v>
      </c>
      <c r="P8070">
        <v>602.5</v>
      </c>
      <c r="S8070" t="str">
        <f>"BANCO C6 (149)"</f>
        <v>BANCO C6 (149)</v>
      </c>
      <c r="T8070">
        <v>21999</v>
      </c>
      <c r="U8070">
        <v>24018</v>
      </c>
      <c r="V8070" t="s">
        <v>77</v>
      </c>
    </row>
    <row r="8071" spans="1:22">
      <c r="A8071" t="str">
        <f t="shared" si="1504"/>
        <v>30/10/2025</v>
      </c>
      <c r="B8071" t="str">
        <f t="shared" si="1505"/>
        <v>SAÍDA</v>
      </c>
      <c r="C8071" t="str">
        <f t="shared" si="1507"/>
        <v>PIX</v>
      </c>
      <c r="D8071" t="str">
        <f>"24018"</f>
        <v>24018</v>
      </c>
      <c r="E8071" t="str">
        <f t="shared" si="1508"/>
        <v>1</v>
      </c>
      <c r="F8071" t="str">
        <f t="shared" si="1510"/>
        <v>COM</v>
      </c>
      <c r="G8071" t="str">
        <f>"JUNIOR DOS SANTOS MACHADO (240)"</f>
        <v>JUNIOR DOS SANTOS MACHADO (240)</v>
      </c>
      <c r="H8071" t="s">
        <v>2125</v>
      </c>
      <c r="I8071" t="str">
        <f t="shared" si="1506"/>
        <v>30/10/2025</v>
      </c>
      <c r="J8071" t="str">
        <f t="shared" si="1509"/>
        <v>21/10/2025</v>
      </c>
      <c r="K8071">
        <v>45960</v>
      </c>
      <c r="N8071">
        <v>109</v>
      </c>
      <c r="O8071" t="s">
        <v>24</v>
      </c>
      <c r="Q8071">
        <v>602.5</v>
      </c>
      <c r="R8071" t="str">
        <f>"FARMÁCIA INDIANA LJ 62 (10028)"</f>
        <v>FARMÁCIA INDIANA LJ 62 (10028)</v>
      </c>
      <c r="S8071" t="s">
        <v>77</v>
      </c>
      <c r="T8071">
        <v>21999</v>
      </c>
      <c r="U8071">
        <v>24018</v>
      </c>
      <c r="V8071" t="s">
        <v>77</v>
      </c>
    </row>
    <row r="8072" spans="1:22">
      <c r="A8072" t="str">
        <f t="shared" si="1504"/>
        <v>30/10/2025</v>
      </c>
      <c r="B8072" t="str">
        <f t="shared" si="1505"/>
        <v>SAÍDA</v>
      </c>
      <c r="C8072" t="str">
        <f t="shared" si="1507"/>
        <v>PIX</v>
      </c>
      <c r="D8072" t="str">
        <f>"24021"</f>
        <v>24021</v>
      </c>
      <c r="E8072" t="str">
        <f t="shared" si="1508"/>
        <v>1</v>
      </c>
      <c r="F8072" t="str">
        <f t="shared" si="1510"/>
        <v>COM</v>
      </c>
      <c r="G8072" t="str">
        <f>"KELVIN NUBIO DE SOUZA TOLEDO (735)"</f>
        <v>KELVIN NUBIO DE SOUZA TOLEDO (735)</v>
      </c>
      <c r="H8072" t="str">
        <f>"Serv.Prest. 13/10/2025 a 19/10/2025 - PIX: CHAVE ALEATÓRIA - CHAVE: c489bee1-360b-4fa9-86c4-fbb0e9844cb8"</f>
        <v>Serv.Prest. 13/10/2025 a 19/10/2025 - PIX: CHAVE ALEATÓRIA - CHAVE: c489bee1-360b-4fa9-86c4-fbb0e9844cb8</v>
      </c>
      <c r="I8072" t="str">
        <f t="shared" si="1506"/>
        <v>30/10/2025</v>
      </c>
      <c r="J8072" t="str">
        <f t="shared" si="1509"/>
        <v>21/10/2025</v>
      </c>
      <c r="K8072" t="str">
        <f>("30/10/2025")</f>
        <v>30/10/2025</v>
      </c>
      <c r="L8072">
        <v>450</v>
      </c>
      <c r="M8072">
        <v>450</v>
      </c>
      <c r="N8072">
        <v>109</v>
      </c>
      <c r="O8072" t="str">
        <f>"PAGAMENTO DE ENTREGADORES"</f>
        <v>PAGAMENTO DE ENTREGADORES</v>
      </c>
      <c r="P8072">
        <v>450</v>
      </c>
      <c r="S8072" t="str">
        <f>"BANCO C6 (149)"</f>
        <v>BANCO C6 (149)</v>
      </c>
      <c r="T8072">
        <v>22000</v>
      </c>
      <c r="U8072">
        <v>24021</v>
      </c>
      <c r="V8072" t="s">
        <v>77</v>
      </c>
    </row>
    <row r="8073" spans="1:22">
      <c r="A8073" t="str">
        <f t="shared" si="1504"/>
        <v>30/10/2025</v>
      </c>
      <c r="B8073" t="str">
        <f t="shared" si="1505"/>
        <v>SAÍDA</v>
      </c>
      <c r="C8073" t="str">
        <f t="shared" si="1507"/>
        <v>PIX</v>
      </c>
      <c r="D8073" t="str">
        <f>"24021"</f>
        <v>24021</v>
      </c>
      <c r="E8073" t="str">
        <f t="shared" si="1508"/>
        <v>1</v>
      </c>
      <c r="F8073" t="str">
        <f t="shared" si="1510"/>
        <v>COM</v>
      </c>
      <c r="G8073" t="str">
        <f>"KELVIN NUBIO DE SOUZA TOLEDO (735)"</f>
        <v>KELVIN NUBIO DE SOUZA TOLEDO (735)</v>
      </c>
      <c r="H8073" t="s">
        <v>2254</v>
      </c>
      <c r="I8073" t="str">
        <f t="shared" si="1506"/>
        <v>30/10/2025</v>
      </c>
      <c r="J8073" t="str">
        <f t="shared" si="1509"/>
        <v>21/10/2025</v>
      </c>
      <c r="K8073">
        <v>45960</v>
      </c>
      <c r="N8073">
        <v>109</v>
      </c>
      <c r="O8073" t="s">
        <v>24</v>
      </c>
      <c r="Q8073">
        <v>450</v>
      </c>
      <c r="R8073" t="str">
        <f>"FARMÁCIA INDIANA LJ 152 (10069)"</f>
        <v>FARMÁCIA INDIANA LJ 152 (10069)</v>
      </c>
      <c r="S8073" t="s">
        <v>77</v>
      </c>
      <c r="T8073">
        <v>22000</v>
      </c>
      <c r="U8073">
        <v>24021</v>
      </c>
      <c r="V8073" t="s">
        <v>77</v>
      </c>
    </row>
    <row r="8074" spans="1:22">
      <c r="A8074" t="str">
        <f t="shared" si="1504"/>
        <v>30/10/2025</v>
      </c>
      <c r="B8074" t="str">
        <f t="shared" si="1505"/>
        <v>SAÍDA</v>
      </c>
      <c r="C8074" t="str">
        <f t="shared" si="1507"/>
        <v>PIX</v>
      </c>
      <c r="D8074" t="str">
        <f>"24023"</f>
        <v>24023</v>
      </c>
      <c r="E8074" t="str">
        <f t="shared" si="1508"/>
        <v>1</v>
      </c>
      <c r="F8074" t="str">
        <f t="shared" si="1510"/>
        <v>COM</v>
      </c>
      <c r="G8074" t="str">
        <f>"LEONARDO VIANA FIGUEIREDO (913)"</f>
        <v>LEONARDO VIANA FIGUEIREDO (913)</v>
      </c>
      <c r="H8074" t="str">
        <f>"Serv.Prest. 13/10/2025 a 19/10/2025 - PIX: CELULAR - CHAVE: (33) 98463-0821"</f>
        <v>Serv.Prest. 13/10/2025 a 19/10/2025 - PIX: CELULAR - CHAVE: (33) 98463-0821</v>
      </c>
      <c r="I8074" t="str">
        <f t="shared" si="1506"/>
        <v>30/10/2025</v>
      </c>
      <c r="J8074" t="str">
        <f t="shared" si="1509"/>
        <v>21/10/2025</v>
      </c>
      <c r="K8074" t="str">
        <f>("30/10/2025")</f>
        <v>30/10/2025</v>
      </c>
      <c r="L8074">
        <v>330</v>
      </c>
      <c r="M8074">
        <v>330</v>
      </c>
      <c r="N8074">
        <v>109</v>
      </c>
      <c r="O8074" t="str">
        <f>"PAGAMENTO DE ENTREGADORES"</f>
        <v>PAGAMENTO DE ENTREGADORES</v>
      </c>
      <c r="P8074">
        <v>330</v>
      </c>
      <c r="S8074" t="str">
        <f>"BANCO C6 (149)"</f>
        <v>BANCO C6 (149)</v>
      </c>
      <c r="T8074">
        <v>22001</v>
      </c>
      <c r="U8074">
        <v>24023</v>
      </c>
      <c r="V8074" t="s">
        <v>77</v>
      </c>
    </row>
    <row r="8075" spans="1:22">
      <c r="A8075" t="str">
        <f t="shared" si="1504"/>
        <v>30/10/2025</v>
      </c>
      <c r="B8075" t="str">
        <f t="shared" si="1505"/>
        <v>SAÍDA</v>
      </c>
      <c r="C8075" t="str">
        <f t="shared" si="1507"/>
        <v>PIX</v>
      </c>
      <c r="D8075" t="str">
        <f>"24023"</f>
        <v>24023</v>
      </c>
      <c r="E8075" t="str">
        <f t="shared" si="1508"/>
        <v>1</v>
      </c>
      <c r="F8075" t="str">
        <f t="shared" si="1510"/>
        <v>COM</v>
      </c>
      <c r="G8075" t="str">
        <f>"LEONARDO VIANA FIGUEIREDO (913)"</f>
        <v>LEONARDO VIANA FIGUEIREDO (913)</v>
      </c>
      <c r="H8075" t="s">
        <v>2255</v>
      </c>
      <c r="I8075" t="str">
        <f t="shared" si="1506"/>
        <v>30/10/2025</v>
      </c>
      <c r="J8075" t="str">
        <f t="shared" si="1509"/>
        <v>21/10/2025</v>
      </c>
      <c r="K8075">
        <v>45960</v>
      </c>
      <c r="N8075">
        <v>109</v>
      </c>
      <c r="O8075" t="s">
        <v>24</v>
      </c>
      <c r="Q8075">
        <v>330</v>
      </c>
      <c r="R8075" t="str">
        <f>"FARMÁCIA INDIANA LJ 06 (10006)"</f>
        <v>FARMÁCIA INDIANA LJ 06 (10006)</v>
      </c>
      <c r="S8075" t="s">
        <v>77</v>
      </c>
      <c r="T8075">
        <v>22001</v>
      </c>
      <c r="U8075">
        <v>24023</v>
      </c>
      <c r="V8075" t="s">
        <v>77</v>
      </c>
    </row>
    <row r="8076" spans="1:22">
      <c r="A8076" t="str">
        <f t="shared" si="1504"/>
        <v>30/10/2025</v>
      </c>
      <c r="B8076" t="str">
        <f t="shared" si="1505"/>
        <v>SAÍDA</v>
      </c>
      <c r="C8076" t="str">
        <f t="shared" si="1507"/>
        <v>PIX</v>
      </c>
      <c r="D8076" t="str">
        <f>"24024"</f>
        <v>24024</v>
      </c>
      <c r="E8076" t="str">
        <f t="shared" si="1508"/>
        <v>1</v>
      </c>
      <c r="F8076" t="str">
        <f t="shared" si="1510"/>
        <v>COM</v>
      </c>
      <c r="G8076" t="str">
        <f>"LEVERCI DA SILVA COURA (138)"</f>
        <v>LEVERCI DA SILVA COURA (138)</v>
      </c>
      <c r="H8076" t="str">
        <f>"Serv.Prest. 13/10/2025 a 19/10/2025 - PIX: CELULAR - CHAVE: (31) 99850-4727"</f>
        <v>Serv.Prest. 13/10/2025 a 19/10/2025 - PIX: CELULAR - CHAVE: (31) 99850-4727</v>
      </c>
      <c r="I8076" t="str">
        <f t="shared" si="1506"/>
        <v>30/10/2025</v>
      </c>
      <c r="J8076" t="str">
        <f t="shared" si="1509"/>
        <v>21/10/2025</v>
      </c>
      <c r="K8076" t="str">
        <f>("30/10/2025")</f>
        <v>30/10/2025</v>
      </c>
      <c r="L8076">
        <v>828</v>
      </c>
      <c r="M8076">
        <v>828</v>
      </c>
      <c r="N8076">
        <v>109</v>
      </c>
      <c r="O8076" t="str">
        <f>"PAGAMENTO DE ENTREGADORES"</f>
        <v>PAGAMENTO DE ENTREGADORES</v>
      </c>
      <c r="P8076">
        <v>828</v>
      </c>
      <c r="S8076" t="str">
        <f>"BANCO C6 (149)"</f>
        <v>BANCO C6 (149)</v>
      </c>
      <c r="T8076">
        <v>22002</v>
      </c>
      <c r="U8076">
        <v>24024</v>
      </c>
      <c r="V8076" t="s">
        <v>77</v>
      </c>
    </row>
    <row r="8077" spans="1:22">
      <c r="A8077" t="str">
        <f t="shared" ref="A8077:A8140" si="1511">("30/10/2025")</f>
        <v>30/10/2025</v>
      </c>
      <c r="B8077" t="str">
        <f t="shared" si="1505"/>
        <v>SAÍDA</v>
      </c>
      <c r="C8077" t="str">
        <f t="shared" si="1507"/>
        <v>PIX</v>
      </c>
      <c r="D8077" t="str">
        <f>"24024"</f>
        <v>24024</v>
      </c>
      <c r="E8077" t="str">
        <f t="shared" si="1508"/>
        <v>1</v>
      </c>
      <c r="F8077" t="str">
        <f t="shared" si="1510"/>
        <v>COM</v>
      </c>
      <c r="G8077" t="str">
        <f>"LEVERCI DA SILVA COURA (138)"</f>
        <v>LEVERCI DA SILVA COURA (138)</v>
      </c>
      <c r="H8077" t="s">
        <v>2256</v>
      </c>
      <c r="I8077" t="str">
        <f t="shared" si="1506"/>
        <v>30/10/2025</v>
      </c>
      <c r="J8077" t="str">
        <f t="shared" si="1509"/>
        <v>21/10/2025</v>
      </c>
      <c r="K8077">
        <v>45960</v>
      </c>
      <c r="N8077">
        <v>109</v>
      </c>
      <c r="O8077" t="s">
        <v>24</v>
      </c>
      <c r="Q8077">
        <v>828</v>
      </c>
      <c r="R8077" t="str">
        <f>"FARMÁCIA INDIANA LJ 18 (10011)"</f>
        <v>FARMÁCIA INDIANA LJ 18 (10011)</v>
      </c>
      <c r="S8077" t="s">
        <v>77</v>
      </c>
      <c r="T8077">
        <v>22002</v>
      </c>
      <c r="U8077">
        <v>24024</v>
      </c>
      <c r="V8077" t="s">
        <v>77</v>
      </c>
    </row>
    <row r="8078" spans="1:22">
      <c r="A8078" t="str">
        <f t="shared" si="1511"/>
        <v>30/10/2025</v>
      </c>
      <c r="B8078" t="str">
        <f t="shared" ref="B8078:B8141" si="1512">"SAÍDA"</f>
        <v>SAÍDA</v>
      </c>
      <c r="C8078" t="str">
        <f t="shared" si="1507"/>
        <v>PIX</v>
      </c>
      <c r="D8078" t="str">
        <f>"24025"</f>
        <v>24025</v>
      </c>
      <c r="E8078" t="str">
        <f t="shared" si="1508"/>
        <v>1</v>
      </c>
      <c r="F8078" t="str">
        <f t="shared" si="1510"/>
        <v>COM</v>
      </c>
      <c r="G8078" t="str">
        <f>"LUAN DOS SANTOS NUNES (719)"</f>
        <v>LUAN DOS SANTOS NUNES (719)</v>
      </c>
      <c r="H8078" t="str">
        <f>"Serv.Prest. 13/10/2025 a 19/10/2025 - PIX: CELULAR - CHAVE: (33) 98749-4693"</f>
        <v>Serv.Prest. 13/10/2025 a 19/10/2025 - PIX: CELULAR - CHAVE: (33) 98749-4693</v>
      </c>
      <c r="I8078" t="str">
        <f t="shared" ref="I8078:I8141" si="1513">("30/10/2025")</f>
        <v>30/10/2025</v>
      </c>
      <c r="J8078" t="str">
        <f t="shared" si="1509"/>
        <v>21/10/2025</v>
      </c>
      <c r="K8078" t="str">
        <f>("30/10/2025")</f>
        <v>30/10/2025</v>
      </c>
      <c r="L8078">
        <v>1380.5</v>
      </c>
      <c r="M8078">
        <v>1380.5</v>
      </c>
      <c r="N8078">
        <v>109</v>
      </c>
      <c r="O8078" t="str">
        <f>"PAGAMENTO DE ENTREGADORES"</f>
        <v>PAGAMENTO DE ENTREGADORES</v>
      </c>
      <c r="P8078">
        <v>1380.5</v>
      </c>
      <c r="S8078" t="str">
        <f>"BANCO C6 (149)"</f>
        <v>BANCO C6 (149)</v>
      </c>
      <c r="T8078">
        <v>22003</v>
      </c>
      <c r="U8078">
        <v>24025</v>
      </c>
      <c r="V8078" t="s">
        <v>77</v>
      </c>
    </row>
    <row r="8079" spans="1:22">
      <c r="A8079" t="str">
        <f t="shared" si="1511"/>
        <v>30/10/2025</v>
      </c>
      <c r="B8079" t="str">
        <f t="shared" si="1512"/>
        <v>SAÍDA</v>
      </c>
      <c r="C8079" t="str">
        <f t="shared" si="1507"/>
        <v>PIX</v>
      </c>
      <c r="D8079" t="str">
        <f>"24025"</f>
        <v>24025</v>
      </c>
      <c r="E8079" t="str">
        <f t="shared" si="1508"/>
        <v>1</v>
      </c>
      <c r="F8079" t="str">
        <f t="shared" si="1510"/>
        <v>COM</v>
      </c>
      <c r="G8079" t="str">
        <f>"LUAN DOS SANTOS NUNES (719)"</f>
        <v>LUAN DOS SANTOS NUNES (719)</v>
      </c>
      <c r="H8079" t="s">
        <v>2257</v>
      </c>
      <c r="I8079" t="str">
        <f t="shared" si="1513"/>
        <v>30/10/2025</v>
      </c>
      <c r="J8079" t="str">
        <f t="shared" si="1509"/>
        <v>21/10/2025</v>
      </c>
      <c r="K8079">
        <v>45960</v>
      </c>
      <c r="N8079">
        <v>109</v>
      </c>
      <c r="O8079" t="s">
        <v>24</v>
      </c>
      <c r="Q8079">
        <v>11.04</v>
      </c>
      <c r="R8079" t="str">
        <f>"FARMÁCIA INDIANA LJ 40 (10016)"</f>
        <v>FARMÁCIA INDIANA LJ 40 (10016)</v>
      </c>
      <c r="S8079" t="s">
        <v>77</v>
      </c>
      <c r="T8079">
        <v>22003</v>
      </c>
      <c r="U8079">
        <v>24025</v>
      </c>
      <c r="V8079" t="s">
        <v>77</v>
      </c>
    </row>
    <row r="8080" spans="1:22">
      <c r="A8080" t="str">
        <f t="shared" si="1511"/>
        <v>30/10/2025</v>
      </c>
      <c r="B8080" t="str">
        <f t="shared" si="1512"/>
        <v>SAÍDA</v>
      </c>
      <c r="C8080" t="str">
        <f t="shared" ref="C8080:C8143" si="1514">"PIX"</f>
        <v>PIX</v>
      </c>
      <c r="D8080" t="str">
        <f>"24025"</f>
        <v>24025</v>
      </c>
      <c r="E8080" t="str">
        <f t="shared" si="1508"/>
        <v>1</v>
      </c>
      <c r="F8080" t="str">
        <f t="shared" si="1510"/>
        <v>COM</v>
      </c>
      <c r="G8080" t="str">
        <f>"LUAN DOS SANTOS NUNES (719)"</f>
        <v>LUAN DOS SANTOS NUNES (719)</v>
      </c>
      <c r="H8080" t="s">
        <v>2257</v>
      </c>
      <c r="I8080" t="str">
        <f t="shared" si="1513"/>
        <v>30/10/2025</v>
      </c>
      <c r="J8080" t="str">
        <f t="shared" si="1509"/>
        <v>21/10/2025</v>
      </c>
      <c r="K8080">
        <v>45960</v>
      </c>
      <c r="N8080">
        <v>109</v>
      </c>
      <c r="O8080" t="s">
        <v>24</v>
      </c>
      <c r="Q8080">
        <v>1369.46</v>
      </c>
      <c r="R8080" t="str">
        <f>"FARMÁCIA INDIANA LJ 61 (10027)"</f>
        <v>FARMÁCIA INDIANA LJ 61 (10027)</v>
      </c>
      <c r="S8080" t="s">
        <v>77</v>
      </c>
      <c r="T8080">
        <v>22003</v>
      </c>
      <c r="U8080">
        <v>24025</v>
      </c>
      <c r="V8080" t="s">
        <v>77</v>
      </c>
    </row>
    <row r="8081" spans="1:22">
      <c r="A8081" t="str">
        <f t="shared" si="1511"/>
        <v>30/10/2025</v>
      </c>
      <c r="B8081" t="str">
        <f t="shared" si="1512"/>
        <v>SAÍDA</v>
      </c>
      <c r="C8081" t="str">
        <f t="shared" si="1514"/>
        <v>PIX</v>
      </c>
      <c r="D8081" t="str">
        <f>"24026"</f>
        <v>24026</v>
      </c>
      <c r="E8081" t="str">
        <f t="shared" si="1508"/>
        <v>1</v>
      </c>
      <c r="F8081" t="str">
        <f t="shared" si="1510"/>
        <v>COM</v>
      </c>
      <c r="G8081" t="str">
        <f>"LUAN VICTOR SERQUEIRA DA SILVA (577)"</f>
        <v>LUAN VICTOR SERQUEIRA DA SILVA (577)</v>
      </c>
      <c r="H8081" t="str">
        <f>"Serv.Prest. 13/10/2025 a 19/10/2025 - PIX: CPF - CHAVE: 161.508.516-56"</f>
        <v>Serv.Prest. 13/10/2025 a 19/10/2025 - PIX: CPF - CHAVE: 161.508.516-56</v>
      </c>
      <c r="I8081" t="str">
        <f t="shared" si="1513"/>
        <v>30/10/2025</v>
      </c>
      <c r="J8081" t="str">
        <f t="shared" si="1509"/>
        <v>21/10/2025</v>
      </c>
      <c r="K8081" t="str">
        <f>("30/10/2025")</f>
        <v>30/10/2025</v>
      </c>
      <c r="L8081">
        <v>698.5</v>
      </c>
      <c r="M8081">
        <v>700</v>
      </c>
      <c r="N8081">
        <v>109</v>
      </c>
      <c r="O8081" t="str">
        <f>"PAGAMENTO DE ENTREGADORES"</f>
        <v>PAGAMENTO DE ENTREGADORES</v>
      </c>
      <c r="P8081">
        <v>700</v>
      </c>
      <c r="S8081" t="str">
        <f>"BANCO C6 (149)"</f>
        <v>BANCO C6 (149)</v>
      </c>
      <c r="T8081">
        <v>22004</v>
      </c>
      <c r="U8081">
        <v>24026</v>
      </c>
      <c r="V8081" t="s">
        <v>77</v>
      </c>
    </row>
    <row r="8082" spans="1:22">
      <c r="A8082" t="str">
        <f t="shared" si="1511"/>
        <v>30/10/2025</v>
      </c>
      <c r="B8082" t="str">
        <f t="shared" si="1512"/>
        <v>SAÍDA</v>
      </c>
      <c r="C8082" t="str">
        <f t="shared" si="1514"/>
        <v>PIX</v>
      </c>
      <c r="D8082" t="str">
        <f>"24026"</f>
        <v>24026</v>
      </c>
      <c r="E8082" t="str">
        <f t="shared" si="1508"/>
        <v>1</v>
      </c>
      <c r="F8082" t="str">
        <f t="shared" si="1510"/>
        <v>COM</v>
      </c>
      <c r="G8082" t="str">
        <f>"LUAN VICTOR SERQUEIRA DA SILVA (577)"</f>
        <v>LUAN VICTOR SERQUEIRA DA SILVA (577)</v>
      </c>
      <c r="H8082" t="s">
        <v>2258</v>
      </c>
      <c r="I8082" t="str">
        <f t="shared" si="1513"/>
        <v>30/10/2025</v>
      </c>
      <c r="J8082" t="str">
        <f t="shared" si="1509"/>
        <v>21/10/2025</v>
      </c>
      <c r="K8082">
        <v>45960</v>
      </c>
      <c r="N8082">
        <v>109</v>
      </c>
      <c r="O8082" t="s">
        <v>24</v>
      </c>
      <c r="Q8082">
        <v>700</v>
      </c>
      <c r="R8082" t="str">
        <f>"FARMÁCIA INDIANA LJ 202 (10085)"</f>
        <v>FARMÁCIA INDIANA LJ 202 (10085)</v>
      </c>
      <c r="S8082" t="s">
        <v>77</v>
      </c>
      <c r="T8082">
        <v>22004</v>
      </c>
      <c r="U8082">
        <v>24026</v>
      </c>
      <c r="V8082" t="s">
        <v>77</v>
      </c>
    </row>
    <row r="8083" spans="1:22">
      <c r="A8083" t="str">
        <f t="shared" si="1511"/>
        <v>30/10/2025</v>
      </c>
      <c r="B8083" t="str">
        <f t="shared" si="1512"/>
        <v>SAÍDA</v>
      </c>
      <c r="C8083" t="str">
        <f t="shared" si="1514"/>
        <v>PIX</v>
      </c>
      <c r="D8083" t="str">
        <f>"24027"</f>
        <v>24027</v>
      </c>
      <c r="E8083" t="str">
        <f t="shared" si="1508"/>
        <v>1</v>
      </c>
      <c r="F8083" t="str">
        <f t="shared" si="1510"/>
        <v>COM</v>
      </c>
      <c r="G8083" t="str">
        <f>"LUCAS FERREIRA DOS SANTOS (868)"</f>
        <v>LUCAS FERREIRA DOS SANTOS (868)</v>
      </c>
      <c r="H8083" t="str">
        <f>"Serv.Prest. 13/10/2025 a 19/10/2025 - PIX: CELULAR - CHAVE: (33) 99172-0627"</f>
        <v>Serv.Prest. 13/10/2025 a 19/10/2025 - PIX: CELULAR - CHAVE: (33) 99172-0627</v>
      </c>
      <c r="I8083" t="str">
        <f t="shared" si="1513"/>
        <v>30/10/2025</v>
      </c>
      <c r="J8083" t="str">
        <f t="shared" si="1509"/>
        <v>21/10/2025</v>
      </c>
      <c r="K8083" t="str">
        <f>("30/10/2025")</f>
        <v>30/10/2025</v>
      </c>
      <c r="L8083">
        <v>1326</v>
      </c>
      <c r="M8083">
        <v>1326</v>
      </c>
      <c r="N8083">
        <v>109</v>
      </c>
      <c r="O8083" t="str">
        <f>"PAGAMENTO DE ENTREGADORES"</f>
        <v>PAGAMENTO DE ENTREGADORES</v>
      </c>
      <c r="P8083">
        <v>1326</v>
      </c>
      <c r="S8083" t="str">
        <f>"BANCO C6 (149)"</f>
        <v>BANCO C6 (149)</v>
      </c>
      <c r="T8083">
        <v>22005</v>
      </c>
      <c r="U8083">
        <v>24027</v>
      </c>
      <c r="V8083" t="s">
        <v>77</v>
      </c>
    </row>
    <row r="8084" spans="1:22">
      <c r="A8084" t="str">
        <f t="shared" si="1511"/>
        <v>30/10/2025</v>
      </c>
      <c r="B8084" t="str">
        <f t="shared" si="1512"/>
        <v>SAÍDA</v>
      </c>
      <c r="C8084" t="str">
        <f t="shared" si="1514"/>
        <v>PIX</v>
      </c>
      <c r="D8084" t="str">
        <f>"24027"</f>
        <v>24027</v>
      </c>
      <c r="E8084" t="str">
        <f t="shared" si="1508"/>
        <v>1</v>
      </c>
      <c r="F8084" t="str">
        <f t="shared" si="1510"/>
        <v>COM</v>
      </c>
      <c r="G8084" t="str">
        <f>"LUCAS FERREIRA DOS SANTOS (868)"</f>
        <v>LUCAS FERREIRA DOS SANTOS (868)</v>
      </c>
      <c r="H8084" t="s">
        <v>2259</v>
      </c>
      <c r="I8084" t="str">
        <f t="shared" si="1513"/>
        <v>30/10/2025</v>
      </c>
      <c r="J8084" t="str">
        <f t="shared" si="1509"/>
        <v>21/10/2025</v>
      </c>
      <c r="K8084">
        <v>45960</v>
      </c>
      <c r="N8084">
        <v>109</v>
      </c>
      <c r="O8084" t="s">
        <v>24</v>
      </c>
      <c r="Q8084">
        <v>1326</v>
      </c>
      <c r="R8084" t="str">
        <f>"FARMÁCIA INDIANA LJ 06 (10006)"</f>
        <v>FARMÁCIA INDIANA LJ 06 (10006)</v>
      </c>
      <c r="S8084" t="s">
        <v>77</v>
      </c>
      <c r="T8084">
        <v>22005</v>
      </c>
      <c r="U8084">
        <v>24027</v>
      </c>
      <c r="V8084" t="s">
        <v>77</v>
      </c>
    </row>
    <row r="8085" spans="1:22">
      <c r="A8085" t="str">
        <f t="shared" si="1511"/>
        <v>30/10/2025</v>
      </c>
      <c r="B8085" t="str">
        <f t="shared" si="1512"/>
        <v>SAÍDA</v>
      </c>
      <c r="C8085" t="str">
        <f t="shared" si="1514"/>
        <v>PIX</v>
      </c>
      <c r="D8085" t="str">
        <f>"24028"</f>
        <v>24028</v>
      </c>
      <c r="E8085" t="str">
        <f t="shared" si="1508"/>
        <v>1</v>
      </c>
      <c r="F8085" t="str">
        <f t="shared" si="1510"/>
        <v>COM</v>
      </c>
      <c r="G8085" t="str">
        <f>"LUIZ ALVES MARTINS (40)"</f>
        <v>LUIZ ALVES MARTINS (40)</v>
      </c>
      <c r="H8085" t="str">
        <f>"Serv.Prest. 13/10/2025 a 19/10/2025 - PIX: CELULAR - CHAVE: (33) 99981-6650"</f>
        <v>Serv.Prest. 13/10/2025 a 19/10/2025 - PIX: CELULAR - CHAVE: (33) 99981-6650</v>
      </c>
      <c r="I8085" t="str">
        <f t="shared" si="1513"/>
        <v>30/10/2025</v>
      </c>
      <c r="J8085" t="str">
        <f t="shared" si="1509"/>
        <v>21/10/2025</v>
      </c>
      <c r="K8085" t="str">
        <f>("30/10/2025")</f>
        <v>30/10/2025</v>
      </c>
      <c r="L8085">
        <v>954</v>
      </c>
      <c r="M8085">
        <v>954</v>
      </c>
      <c r="N8085">
        <v>109</v>
      </c>
      <c r="O8085" t="str">
        <f>"PAGAMENTO DE ENTREGADORES"</f>
        <v>PAGAMENTO DE ENTREGADORES</v>
      </c>
      <c r="P8085">
        <v>954</v>
      </c>
      <c r="S8085" t="str">
        <f>"BANCO C6 (149)"</f>
        <v>BANCO C6 (149)</v>
      </c>
      <c r="T8085">
        <v>22006</v>
      </c>
      <c r="U8085">
        <v>24028</v>
      </c>
      <c r="V8085" t="s">
        <v>77</v>
      </c>
    </row>
    <row r="8086" spans="1:22">
      <c r="A8086" t="str">
        <f t="shared" si="1511"/>
        <v>30/10/2025</v>
      </c>
      <c r="B8086" t="str">
        <f t="shared" si="1512"/>
        <v>SAÍDA</v>
      </c>
      <c r="C8086" t="str">
        <f t="shared" si="1514"/>
        <v>PIX</v>
      </c>
      <c r="D8086" t="str">
        <f>"24028"</f>
        <v>24028</v>
      </c>
      <c r="E8086" t="str">
        <f t="shared" si="1508"/>
        <v>1</v>
      </c>
      <c r="F8086" t="str">
        <f t="shared" si="1510"/>
        <v>COM</v>
      </c>
      <c r="G8086" t="str">
        <f>"LUIZ ALVES MARTINS (40)"</f>
        <v>LUIZ ALVES MARTINS (40)</v>
      </c>
      <c r="H8086" t="s">
        <v>2260</v>
      </c>
      <c r="I8086" t="str">
        <f t="shared" si="1513"/>
        <v>30/10/2025</v>
      </c>
      <c r="J8086" t="str">
        <f t="shared" si="1509"/>
        <v>21/10/2025</v>
      </c>
      <c r="K8086">
        <v>45960</v>
      </c>
      <c r="N8086">
        <v>109</v>
      </c>
      <c r="O8086" t="s">
        <v>24</v>
      </c>
      <c r="Q8086">
        <v>954</v>
      </c>
      <c r="R8086" t="str">
        <f>"FARMÁCIA INDIANA LJ 11 (10008)"</f>
        <v>FARMÁCIA INDIANA LJ 11 (10008)</v>
      </c>
      <c r="S8086" t="s">
        <v>77</v>
      </c>
      <c r="T8086">
        <v>22006</v>
      </c>
      <c r="U8086">
        <v>24028</v>
      </c>
      <c r="V8086" t="s">
        <v>77</v>
      </c>
    </row>
    <row r="8087" spans="1:22">
      <c r="A8087" t="str">
        <f t="shared" si="1511"/>
        <v>30/10/2025</v>
      </c>
      <c r="B8087" t="str">
        <f t="shared" si="1512"/>
        <v>SAÍDA</v>
      </c>
      <c r="C8087" t="str">
        <f t="shared" si="1514"/>
        <v>PIX</v>
      </c>
      <c r="D8087" t="str">
        <f>"24029"</f>
        <v>24029</v>
      </c>
      <c r="E8087" t="str">
        <f t="shared" si="1508"/>
        <v>1</v>
      </c>
      <c r="F8087" t="str">
        <f t="shared" si="1510"/>
        <v>COM</v>
      </c>
      <c r="G8087" t="str">
        <f>"LUIZ EDUARDO VIANA BRITO (878)"</f>
        <v>LUIZ EDUARDO VIANA BRITO (878)</v>
      </c>
      <c r="H8087" t="str">
        <f>"Serv.Prest. 13/10/2025 a 19/10/2025 - PIX: CPF - CHAVE: 101.220.976-88"</f>
        <v>Serv.Prest. 13/10/2025 a 19/10/2025 - PIX: CPF - CHAVE: 101.220.976-88</v>
      </c>
      <c r="I8087" t="str">
        <f t="shared" si="1513"/>
        <v>30/10/2025</v>
      </c>
      <c r="J8087" t="str">
        <f t="shared" si="1509"/>
        <v>21/10/2025</v>
      </c>
      <c r="K8087" t="str">
        <f>("30/10/2025")</f>
        <v>30/10/2025</v>
      </c>
      <c r="L8087">
        <v>1012</v>
      </c>
      <c r="M8087">
        <v>1012</v>
      </c>
      <c r="N8087">
        <v>109</v>
      </c>
      <c r="O8087" t="str">
        <f>"PAGAMENTO DE ENTREGADORES"</f>
        <v>PAGAMENTO DE ENTREGADORES</v>
      </c>
      <c r="P8087">
        <v>1012</v>
      </c>
      <c r="S8087" t="str">
        <f>"BANCO C6 (149)"</f>
        <v>BANCO C6 (149)</v>
      </c>
      <c r="T8087">
        <v>22007</v>
      </c>
      <c r="U8087">
        <v>24029</v>
      </c>
      <c r="V8087" t="s">
        <v>77</v>
      </c>
    </row>
    <row r="8088" spans="1:22">
      <c r="A8088" t="str">
        <f t="shared" si="1511"/>
        <v>30/10/2025</v>
      </c>
      <c r="B8088" t="str">
        <f t="shared" si="1512"/>
        <v>SAÍDA</v>
      </c>
      <c r="C8088" t="str">
        <f t="shared" si="1514"/>
        <v>PIX</v>
      </c>
      <c r="D8088" t="str">
        <f>"24029"</f>
        <v>24029</v>
      </c>
      <c r="E8088" t="str">
        <f t="shared" si="1508"/>
        <v>1</v>
      </c>
      <c r="F8088" t="str">
        <f t="shared" si="1510"/>
        <v>COM</v>
      </c>
      <c r="G8088" t="str">
        <f>"LUIZ EDUARDO VIANA BRITO (878)"</f>
        <v>LUIZ EDUARDO VIANA BRITO (878)</v>
      </c>
      <c r="H8088" t="s">
        <v>2261</v>
      </c>
      <c r="I8088" t="str">
        <f t="shared" si="1513"/>
        <v>30/10/2025</v>
      </c>
      <c r="J8088" t="str">
        <f t="shared" si="1509"/>
        <v>21/10/2025</v>
      </c>
      <c r="K8088">
        <v>45960</v>
      </c>
      <c r="N8088">
        <v>109</v>
      </c>
      <c r="O8088" t="s">
        <v>24</v>
      </c>
      <c r="Q8088">
        <v>1012</v>
      </c>
      <c r="R8088" t="str">
        <f>"FARMÁCIA INDIANA LJ 40 (10016)"</f>
        <v>FARMÁCIA INDIANA LJ 40 (10016)</v>
      </c>
      <c r="S8088" t="s">
        <v>77</v>
      </c>
      <c r="T8088">
        <v>22007</v>
      </c>
      <c r="U8088">
        <v>24029</v>
      </c>
      <c r="V8088" t="s">
        <v>77</v>
      </c>
    </row>
    <row r="8089" spans="1:22">
      <c r="A8089" t="str">
        <f t="shared" si="1511"/>
        <v>30/10/2025</v>
      </c>
      <c r="B8089" t="str">
        <f t="shared" si="1512"/>
        <v>SAÍDA</v>
      </c>
      <c r="C8089" t="str">
        <f t="shared" si="1514"/>
        <v>PIX</v>
      </c>
      <c r="D8089" t="str">
        <f>"24030"</f>
        <v>24030</v>
      </c>
      <c r="E8089" t="str">
        <f t="shared" si="1508"/>
        <v>1</v>
      </c>
      <c r="F8089" t="str">
        <f t="shared" si="1510"/>
        <v>COM</v>
      </c>
      <c r="G8089" t="str">
        <f>"LUIZ EMANUEL PINHEIRO (870)"</f>
        <v>LUIZ EMANUEL PINHEIRO (870)</v>
      </c>
      <c r="H8089" t="str">
        <f>"Serv.Prest. 13/10/2025 a 19/10/2025 - PIX: CPF - CHAVE: 129.269.326-69"</f>
        <v>Serv.Prest. 13/10/2025 a 19/10/2025 - PIX: CPF - CHAVE: 129.269.326-69</v>
      </c>
      <c r="I8089" t="str">
        <f t="shared" si="1513"/>
        <v>30/10/2025</v>
      </c>
      <c r="J8089" t="str">
        <f t="shared" si="1509"/>
        <v>21/10/2025</v>
      </c>
      <c r="K8089" t="str">
        <f>("30/10/2025")</f>
        <v>30/10/2025</v>
      </c>
      <c r="L8089">
        <v>700.8</v>
      </c>
      <c r="M8089">
        <v>700.8</v>
      </c>
      <c r="N8089">
        <v>109</v>
      </c>
      <c r="O8089" t="str">
        <f>"PAGAMENTO DE ENTREGADORES"</f>
        <v>PAGAMENTO DE ENTREGADORES</v>
      </c>
      <c r="P8089">
        <v>700.8</v>
      </c>
      <c r="S8089" t="str">
        <f>"BANCO C6 (149)"</f>
        <v>BANCO C6 (149)</v>
      </c>
      <c r="T8089">
        <v>22008</v>
      </c>
      <c r="U8089">
        <v>24030</v>
      </c>
      <c r="V8089" t="s">
        <v>77</v>
      </c>
    </row>
    <row r="8090" spans="1:22">
      <c r="A8090" t="str">
        <f t="shared" si="1511"/>
        <v>30/10/2025</v>
      </c>
      <c r="B8090" t="str">
        <f t="shared" si="1512"/>
        <v>SAÍDA</v>
      </c>
      <c r="C8090" t="str">
        <f t="shared" si="1514"/>
        <v>PIX</v>
      </c>
      <c r="D8090" t="str">
        <f>"24030"</f>
        <v>24030</v>
      </c>
      <c r="E8090" t="str">
        <f t="shared" si="1508"/>
        <v>1</v>
      </c>
      <c r="F8090" t="str">
        <f t="shared" si="1510"/>
        <v>COM</v>
      </c>
      <c r="G8090" t="str">
        <f>"LUIZ EMANUEL PINHEIRO (870)"</f>
        <v>LUIZ EMANUEL PINHEIRO (870)</v>
      </c>
      <c r="H8090" t="s">
        <v>2262</v>
      </c>
      <c r="I8090" t="str">
        <f t="shared" si="1513"/>
        <v>30/10/2025</v>
      </c>
      <c r="J8090" t="str">
        <f t="shared" si="1509"/>
        <v>21/10/2025</v>
      </c>
      <c r="K8090">
        <v>45960</v>
      </c>
      <c r="N8090">
        <v>109</v>
      </c>
      <c r="O8090" t="s">
        <v>24</v>
      </c>
      <c r="Q8090">
        <v>277.02</v>
      </c>
      <c r="R8090" t="str">
        <f>"FARMÁCIA INDIANA LJ 112 (10050)"</f>
        <v>FARMÁCIA INDIANA LJ 112 (10050)</v>
      </c>
      <c r="S8090" t="s">
        <v>77</v>
      </c>
      <c r="T8090">
        <v>22008</v>
      </c>
      <c r="U8090">
        <v>24030</v>
      </c>
      <c r="V8090" t="s">
        <v>77</v>
      </c>
    </row>
    <row r="8091" spans="1:22">
      <c r="A8091" t="str">
        <f t="shared" si="1511"/>
        <v>30/10/2025</v>
      </c>
      <c r="B8091" t="str">
        <f t="shared" si="1512"/>
        <v>SAÍDA</v>
      </c>
      <c r="C8091" t="str">
        <f t="shared" si="1514"/>
        <v>PIX</v>
      </c>
      <c r="D8091" t="str">
        <f>"24030"</f>
        <v>24030</v>
      </c>
      <c r="E8091" t="str">
        <f t="shared" si="1508"/>
        <v>1</v>
      </c>
      <c r="F8091" t="str">
        <f t="shared" si="1510"/>
        <v>COM</v>
      </c>
      <c r="G8091" t="str">
        <f>"LUIZ EMANUEL PINHEIRO (870)"</f>
        <v>LUIZ EMANUEL PINHEIRO (870)</v>
      </c>
      <c r="H8091" t="s">
        <v>2262</v>
      </c>
      <c r="I8091" t="str">
        <f t="shared" si="1513"/>
        <v>30/10/2025</v>
      </c>
      <c r="J8091" t="str">
        <f t="shared" si="1509"/>
        <v>21/10/2025</v>
      </c>
      <c r="K8091">
        <v>45960</v>
      </c>
      <c r="N8091">
        <v>109</v>
      </c>
      <c r="O8091" t="s">
        <v>24</v>
      </c>
      <c r="Q8091">
        <v>48.92</v>
      </c>
      <c r="R8091" t="str">
        <f>"FARMÁCIA INDIANA LJ 121 (10054)"</f>
        <v>FARMÁCIA INDIANA LJ 121 (10054)</v>
      </c>
      <c r="S8091" t="s">
        <v>77</v>
      </c>
      <c r="T8091">
        <v>22008</v>
      </c>
      <c r="U8091">
        <v>24030</v>
      </c>
      <c r="V8091" t="s">
        <v>77</v>
      </c>
    </row>
    <row r="8092" spans="1:22">
      <c r="A8092" t="str">
        <f t="shared" si="1511"/>
        <v>30/10/2025</v>
      </c>
      <c r="B8092" t="str">
        <f t="shared" si="1512"/>
        <v>SAÍDA</v>
      </c>
      <c r="C8092" t="str">
        <f t="shared" si="1514"/>
        <v>PIX</v>
      </c>
      <c r="D8092" t="str">
        <f>"24030"</f>
        <v>24030</v>
      </c>
      <c r="E8092" t="str">
        <f t="shared" si="1508"/>
        <v>1</v>
      </c>
      <c r="F8092" t="str">
        <f t="shared" si="1510"/>
        <v>COM</v>
      </c>
      <c r="G8092" t="str">
        <f>"LUIZ EMANUEL PINHEIRO (870)"</f>
        <v>LUIZ EMANUEL PINHEIRO (870)</v>
      </c>
      <c r="H8092" t="s">
        <v>2262</v>
      </c>
      <c r="I8092" t="str">
        <f t="shared" si="1513"/>
        <v>30/10/2025</v>
      </c>
      <c r="J8092" t="str">
        <f t="shared" si="1509"/>
        <v>21/10/2025</v>
      </c>
      <c r="K8092">
        <v>45960</v>
      </c>
      <c r="N8092">
        <v>109</v>
      </c>
      <c r="O8092" t="s">
        <v>24</v>
      </c>
      <c r="Q8092">
        <v>374.86</v>
      </c>
      <c r="R8092" t="str">
        <f>"FARMÁCIA INDIANA LJ 128 (10057)"</f>
        <v>FARMÁCIA INDIANA LJ 128 (10057)</v>
      </c>
      <c r="S8092" t="s">
        <v>77</v>
      </c>
      <c r="T8092">
        <v>22008</v>
      </c>
      <c r="U8092">
        <v>24030</v>
      </c>
      <c r="V8092" t="s">
        <v>77</v>
      </c>
    </row>
    <row r="8093" spans="1:22">
      <c r="A8093" t="str">
        <f t="shared" si="1511"/>
        <v>30/10/2025</v>
      </c>
      <c r="B8093" t="str">
        <f t="shared" si="1512"/>
        <v>SAÍDA</v>
      </c>
      <c r="C8093" t="str">
        <f t="shared" si="1514"/>
        <v>PIX</v>
      </c>
      <c r="D8093" t="str">
        <f>"24031"</f>
        <v>24031</v>
      </c>
      <c r="E8093" t="str">
        <f t="shared" si="1508"/>
        <v>1</v>
      </c>
      <c r="F8093" t="str">
        <f t="shared" si="1510"/>
        <v>COM</v>
      </c>
      <c r="G8093" t="str">
        <f>"LUIZ FERNANDO CARVALHO ALVES (198)"</f>
        <v>LUIZ FERNANDO CARVALHO ALVES (198)</v>
      </c>
      <c r="H8093" t="str">
        <f>"Serv.Prest. 13/10/2025 a 19/10/2025 - PIX: CPF - CHAVE: 705.097.186-39"</f>
        <v>Serv.Prest. 13/10/2025 a 19/10/2025 - PIX: CPF - CHAVE: 705.097.186-39</v>
      </c>
      <c r="I8093" t="str">
        <f t="shared" si="1513"/>
        <v>30/10/2025</v>
      </c>
      <c r="J8093" t="str">
        <f t="shared" si="1509"/>
        <v>21/10/2025</v>
      </c>
      <c r="K8093" t="str">
        <f>("30/10/2025")</f>
        <v>30/10/2025</v>
      </c>
      <c r="L8093">
        <v>750</v>
      </c>
      <c r="M8093">
        <v>750</v>
      </c>
      <c r="N8093">
        <v>109</v>
      </c>
      <c r="O8093" t="str">
        <f>"PAGAMENTO DE ENTREGADORES"</f>
        <v>PAGAMENTO DE ENTREGADORES</v>
      </c>
      <c r="P8093">
        <v>750</v>
      </c>
      <c r="S8093" t="str">
        <f>"BANCO C6 (149)"</f>
        <v>BANCO C6 (149)</v>
      </c>
      <c r="T8093">
        <v>22009</v>
      </c>
      <c r="U8093">
        <v>24031</v>
      </c>
      <c r="V8093" t="s">
        <v>77</v>
      </c>
    </row>
    <row r="8094" spans="1:22">
      <c r="A8094" t="str">
        <f t="shared" si="1511"/>
        <v>30/10/2025</v>
      </c>
      <c r="B8094" t="str">
        <f t="shared" si="1512"/>
        <v>SAÍDA</v>
      </c>
      <c r="C8094" t="str">
        <f t="shared" si="1514"/>
        <v>PIX</v>
      </c>
      <c r="D8094" t="str">
        <f>"24031"</f>
        <v>24031</v>
      </c>
      <c r="E8094" t="str">
        <f t="shared" si="1508"/>
        <v>1</v>
      </c>
      <c r="F8094" t="str">
        <f t="shared" si="1510"/>
        <v>COM</v>
      </c>
      <c r="G8094" t="str">
        <f>"LUIZ FERNANDO CARVALHO ALVES (198)"</f>
        <v>LUIZ FERNANDO CARVALHO ALVES (198)</v>
      </c>
      <c r="H8094" t="s">
        <v>2263</v>
      </c>
      <c r="I8094" t="str">
        <f t="shared" si="1513"/>
        <v>30/10/2025</v>
      </c>
      <c r="J8094" t="str">
        <f t="shared" si="1509"/>
        <v>21/10/2025</v>
      </c>
      <c r="K8094">
        <v>45960</v>
      </c>
      <c r="N8094">
        <v>109</v>
      </c>
      <c r="O8094" t="s">
        <v>24</v>
      </c>
      <c r="Q8094">
        <v>750</v>
      </c>
      <c r="R8094" t="str">
        <f>"FARMÁCIA INDIANA LJ 171 (10074)"</f>
        <v>FARMÁCIA INDIANA LJ 171 (10074)</v>
      </c>
      <c r="S8094" t="s">
        <v>77</v>
      </c>
      <c r="T8094">
        <v>22009</v>
      </c>
      <c r="U8094">
        <v>24031</v>
      </c>
      <c r="V8094" t="s">
        <v>77</v>
      </c>
    </row>
    <row r="8095" spans="1:22">
      <c r="A8095" t="str">
        <f t="shared" si="1511"/>
        <v>30/10/2025</v>
      </c>
      <c r="B8095" t="str">
        <f t="shared" si="1512"/>
        <v>SAÍDA</v>
      </c>
      <c r="C8095" t="str">
        <f t="shared" si="1514"/>
        <v>PIX</v>
      </c>
      <c r="D8095" t="str">
        <f>"24032"</f>
        <v>24032</v>
      </c>
      <c r="E8095" t="str">
        <f t="shared" si="1508"/>
        <v>1</v>
      </c>
      <c r="F8095" t="str">
        <f t="shared" si="1510"/>
        <v>COM</v>
      </c>
      <c r="G8095" t="str">
        <f>"LUIZ PAULO LOUREIRO PRADO (475)"</f>
        <v>LUIZ PAULO LOUREIRO PRADO (475)</v>
      </c>
      <c r="H8095" t="str">
        <f>"Serv.Prest. 13/10/2025 a 19/10/2025 - PIX: CPF - CHAVE: 159.443.306-27"</f>
        <v>Serv.Prest. 13/10/2025 a 19/10/2025 - PIX: CPF - CHAVE: 159.443.306-27</v>
      </c>
      <c r="I8095" t="str">
        <f t="shared" si="1513"/>
        <v>30/10/2025</v>
      </c>
      <c r="J8095" t="str">
        <f t="shared" si="1509"/>
        <v>21/10/2025</v>
      </c>
      <c r="K8095" t="str">
        <f>("30/10/2025")</f>
        <v>30/10/2025</v>
      </c>
      <c r="L8095">
        <v>700.8</v>
      </c>
      <c r="M8095">
        <v>700.8</v>
      </c>
      <c r="N8095">
        <v>109</v>
      </c>
      <c r="O8095" t="str">
        <f>"PAGAMENTO DE ENTREGADORES"</f>
        <v>PAGAMENTO DE ENTREGADORES</v>
      </c>
      <c r="P8095">
        <v>700.8</v>
      </c>
      <c r="S8095" t="str">
        <f>"BANCO C6 (149)"</f>
        <v>BANCO C6 (149)</v>
      </c>
      <c r="T8095">
        <v>22010</v>
      </c>
      <c r="U8095">
        <v>24032</v>
      </c>
      <c r="V8095" t="s">
        <v>77</v>
      </c>
    </row>
    <row r="8096" spans="1:22">
      <c r="A8096" t="str">
        <f t="shared" si="1511"/>
        <v>30/10/2025</v>
      </c>
      <c r="B8096" t="str">
        <f t="shared" si="1512"/>
        <v>SAÍDA</v>
      </c>
      <c r="C8096" t="str">
        <f t="shared" si="1514"/>
        <v>PIX</v>
      </c>
      <c r="D8096" t="str">
        <f>"24032"</f>
        <v>24032</v>
      </c>
      <c r="E8096" t="str">
        <f t="shared" si="1508"/>
        <v>1</v>
      </c>
      <c r="F8096" t="str">
        <f t="shared" si="1510"/>
        <v>COM</v>
      </c>
      <c r="G8096" t="str">
        <f>"LUIZ PAULO LOUREIRO PRADO (475)"</f>
        <v>LUIZ PAULO LOUREIRO PRADO (475)</v>
      </c>
      <c r="H8096" t="s">
        <v>2264</v>
      </c>
      <c r="I8096" t="str">
        <f t="shared" si="1513"/>
        <v>30/10/2025</v>
      </c>
      <c r="J8096" t="str">
        <f t="shared" si="1509"/>
        <v>21/10/2025</v>
      </c>
      <c r="K8096">
        <v>45960</v>
      </c>
      <c r="N8096">
        <v>109</v>
      </c>
      <c r="O8096" t="s">
        <v>24</v>
      </c>
      <c r="Q8096">
        <v>700.8</v>
      </c>
      <c r="R8096" t="str">
        <f>"FARMÁCIA INDIANA LJ 128 (10057)"</f>
        <v>FARMÁCIA INDIANA LJ 128 (10057)</v>
      </c>
      <c r="S8096" t="s">
        <v>77</v>
      </c>
      <c r="T8096">
        <v>22010</v>
      </c>
      <c r="U8096">
        <v>24032</v>
      </c>
      <c r="V8096" t="s">
        <v>77</v>
      </c>
    </row>
    <row r="8097" spans="1:22">
      <c r="A8097" t="str">
        <f t="shared" si="1511"/>
        <v>30/10/2025</v>
      </c>
      <c r="B8097" t="str">
        <f t="shared" si="1512"/>
        <v>SAÍDA</v>
      </c>
      <c r="C8097" t="str">
        <f t="shared" si="1514"/>
        <v>PIX</v>
      </c>
      <c r="D8097" t="str">
        <f>"24034"</f>
        <v>24034</v>
      </c>
      <c r="E8097" t="str">
        <f t="shared" si="1508"/>
        <v>1</v>
      </c>
      <c r="F8097" t="str">
        <f t="shared" si="1510"/>
        <v>COM</v>
      </c>
      <c r="G8097" t="str">
        <f>"MARCIO CLAUDIO DE ARAUJO (204)"</f>
        <v>MARCIO CLAUDIO DE ARAUJO (204)</v>
      </c>
      <c r="H8097" t="str">
        <f>"Serv.Prest. 13/10/2025 a 19/10/2025 - PIX: CELULAR - CHAVE: (33) 98427-3872"</f>
        <v>Serv.Prest. 13/10/2025 a 19/10/2025 - PIX: CELULAR - CHAVE: (33) 98427-3872</v>
      </c>
      <c r="I8097" t="str">
        <f t="shared" si="1513"/>
        <v>30/10/2025</v>
      </c>
      <c r="J8097" t="str">
        <f t="shared" si="1509"/>
        <v>21/10/2025</v>
      </c>
      <c r="K8097" t="str">
        <f>("30/10/2025")</f>
        <v>30/10/2025</v>
      </c>
      <c r="L8097">
        <v>1116</v>
      </c>
      <c r="M8097">
        <v>1116</v>
      </c>
      <c r="N8097">
        <v>109</v>
      </c>
      <c r="O8097" t="str">
        <f>"PAGAMENTO DE ENTREGADORES"</f>
        <v>PAGAMENTO DE ENTREGADORES</v>
      </c>
      <c r="P8097">
        <v>1116</v>
      </c>
      <c r="S8097" t="str">
        <f>"BANCO C6 (149)"</f>
        <v>BANCO C6 (149)</v>
      </c>
      <c r="T8097">
        <v>22011</v>
      </c>
      <c r="U8097">
        <v>24034</v>
      </c>
      <c r="V8097" t="s">
        <v>77</v>
      </c>
    </row>
    <row r="8098" spans="1:22">
      <c r="A8098" t="str">
        <f t="shared" si="1511"/>
        <v>30/10/2025</v>
      </c>
      <c r="B8098" t="str">
        <f t="shared" si="1512"/>
        <v>SAÍDA</v>
      </c>
      <c r="C8098" t="str">
        <f t="shared" si="1514"/>
        <v>PIX</v>
      </c>
      <c r="D8098" t="str">
        <f>"24034"</f>
        <v>24034</v>
      </c>
      <c r="E8098" t="str">
        <f t="shared" si="1508"/>
        <v>1</v>
      </c>
      <c r="F8098" t="str">
        <f t="shared" si="1510"/>
        <v>COM</v>
      </c>
      <c r="G8098" t="str">
        <f>"MARCIO CLAUDIO DE ARAUJO (204)"</f>
        <v>MARCIO CLAUDIO DE ARAUJO (204)</v>
      </c>
      <c r="H8098" t="s">
        <v>2265</v>
      </c>
      <c r="I8098" t="str">
        <f t="shared" si="1513"/>
        <v>30/10/2025</v>
      </c>
      <c r="J8098" t="str">
        <f t="shared" si="1509"/>
        <v>21/10/2025</v>
      </c>
      <c r="K8098">
        <v>45960</v>
      </c>
      <c r="N8098">
        <v>109</v>
      </c>
      <c r="O8098" t="s">
        <v>24</v>
      </c>
      <c r="Q8098">
        <v>1116</v>
      </c>
      <c r="R8098" t="str">
        <f>"FARMÁCIA INDIANA LJ 06 (10006)"</f>
        <v>FARMÁCIA INDIANA LJ 06 (10006)</v>
      </c>
      <c r="S8098" t="s">
        <v>77</v>
      </c>
      <c r="T8098">
        <v>22011</v>
      </c>
      <c r="U8098">
        <v>24034</v>
      </c>
      <c r="V8098" t="s">
        <v>77</v>
      </c>
    </row>
    <row r="8099" spans="1:22">
      <c r="A8099" t="str">
        <f t="shared" si="1511"/>
        <v>30/10/2025</v>
      </c>
      <c r="B8099" t="str">
        <f t="shared" si="1512"/>
        <v>SAÍDA</v>
      </c>
      <c r="C8099" t="str">
        <f t="shared" si="1514"/>
        <v>PIX</v>
      </c>
      <c r="D8099" t="str">
        <f>"24035"</f>
        <v>24035</v>
      </c>
      <c r="E8099" t="str">
        <f t="shared" si="1508"/>
        <v>1</v>
      </c>
      <c r="F8099" t="str">
        <f t="shared" si="1510"/>
        <v>COM</v>
      </c>
      <c r="G8099" t="str">
        <f>"MARCOS DIONI RODRIGUES GASPAR (506)"</f>
        <v>MARCOS DIONI RODRIGUES GASPAR (506)</v>
      </c>
      <c r="H8099" t="str">
        <f>"Serv.Prest. 13/10/2025 a 19/10/2025 - PIX: CELULAR - CHAVE: (33) 99815-2379"</f>
        <v>Serv.Prest. 13/10/2025 a 19/10/2025 - PIX: CELULAR - CHAVE: (33) 99815-2379</v>
      </c>
      <c r="I8099" t="str">
        <f t="shared" si="1513"/>
        <v>30/10/2025</v>
      </c>
      <c r="J8099" t="str">
        <f t="shared" si="1509"/>
        <v>21/10/2025</v>
      </c>
      <c r="K8099" t="str">
        <f>("30/10/2025")</f>
        <v>30/10/2025</v>
      </c>
      <c r="L8099">
        <v>1080</v>
      </c>
      <c r="M8099">
        <v>1080</v>
      </c>
      <c r="N8099">
        <v>109</v>
      </c>
      <c r="O8099" t="str">
        <f>"PAGAMENTO DE ENTREGADORES"</f>
        <v>PAGAMENTO DE ENTREGADORES</v>
      </c>
      <c r="P8099">
        <v>1080</v>
      </c>
      <c r="S8099" t="str">
        <f>"BANCO C6 (149)"</f>
        <v>BANCO C6 (149)</v>
      </c>
      <c r="T8099">
        <v>22012</v>
      </c>
      <c r="U8099">
        <v>24035</v>
      </c>
      <c r="V8099" t="s">
        <v>77</v>
      </c>
    </row>
    <row r="8100" spans="1:22">
      <c r="A8100" t="str">
        <f t="shared" si="1511"/>
        <v>30/10/2025</v>
      </c>
      <c r="B8100" t="str">
        <f t="shared" si="1512"/>
        <v>SAÍDA</v>
      </c>
      <c r="C8100" t="str">
        <f t="shared" si="1514"/>
        <v>PIX</v>
      </c>
      <c r="D8100" t="str">
        <f>"24035"</f>
        <v>24035</v>
      </c>
      <c r="E8100" t="str">
        <f t="shared" si="1508"/>
        <v>1</v>
      </c>
      <c r="F8100" t="str">
        <f t="shared" si="1510"/>
        <v>COM</v>
      </c>
      <c r="G8100" t="str">
        <f>"MARCOS DIONI RODRIGUES GASPAR (506)"</f>
        <v>MARCOS DIONI RODRIGUES GASPAR (506)</v>
      </c>
      <c r="H8100" t="s">
        <v>2266</v>
      </c>
      <c r="I8100" t="str">
        <f t="shared" si="1513"/>
        <v>30/10/2025</v>
      </c>
      <c r="J8100" t="str">
        <f t="shared" si="1509"/>
        <v>21/10/2025</v>
      </c>
      <c r="K8100">
        <v>45960</v>
      </c>
      <c r="N8100">
        <v>109</v>
      </c>
      <c r="O8100" t="s">
        <v>24</v>
      </c>
      <c r="Q8100">
        <v>1080</v>
      </c>
      <c r="R8100" t="str">
        <f>"FARMÁCIA INDIANA LJ 06 (10006)"</f>
        <v>FARMÁCIA INDIANA LJ 06 (10006)</v>
      </c>
      <c r="S8100" t="s">
        <v>77</v>
      </c>
      <c r="T8100">
        <v>22012</v>
      </c>
      <c r="U8100">
        <v>24035</v>
      </c>
      <c r="V8100" t="s">
        <v>77</v>
      </c>
    </row>
    <row r="8101" spans="1:22">
      <c r="A8101" t="str">
        <f t="shared" si="1511"/>
        <v>30/10/2025</v>
      </c>
      <c r="B8101" t="str">
        <f t="shared" si="1512"/>
        <v>SAÍDA</v>
      </c>
      <c r="C8101" t="str">
        <f t="shared" si="1514"/>
        <v>PIX</v>
      </c>
      <c r="D8101" t="str">
        <f>"24036"</f>
        <v>24036</v>
      </c>
      <c r="E8101" t="str">
        <f t="shared" si="1508"/>
        <v>1</v>
      </c>
      <c r="F8101" t="str">
        <f t="shared" si="1510"/>
        <v>COM</v>
      </c>
      <c r="G8101" t="str">
        <f>"MARCOS RODRIGUES PENA (64)"</f>
        <v>MARCOS RODRIGUES PENA (64)</v>
      </c>
      <c r="H8101" t="str">
        <f>"Serv.Prest. 13/10/2025 a 19/10/2025 - PIX: CELULAR - CHAVE: (33) 99194-2339"</f>
        <v>Serv.Prest. 13/10/2025 a 19/10/2025 - PIX: CELULAR - CHAVE: (33) 99194-2339</v>
      </c>
      <c r="I8101" t="str">
        <f t="shared" si="1513"/>
        <v>30/10/2025</v>
      </c>
      <c r="J8101" t="str">
        <f t="shared" si="1509"/>
        <v>21/10/2025</v>
      </c>
      <c r="K8101" t="str">
        <f>("30/10/2025")</f>
        <v>30/10/2025</v>
      </c>
      <c r="L8101">
        <v>605</v>
      </c>
      <c r="M8101">
        <v>605</v>
      </c>
      <c r="N8101">
        <v>109</v>
      </c>
      <c r="O8101" t="str">
        <f>"PAGAMENTO DE ENTREGADORES"</f>
        <v>PAGAMENTO DE ENTREGADORES</v>
      </c>
      <c r="P8101">
        <v>605</v>
      </c>
      <c r="S8101" t="str">
        <f>"BANCO C6 (149)"</f>
        <v>BANCO C6 (149)</v>
      </c>
      <c r="T8101">
        <v>22013</v>
      </c>
      <c r="U8101">
        <v>24036</v>
      </c>
      <c r="V8101" t="s">
        <v>77</v>
      </c>
    </row>
    <row r="8102" spans="1:22">
      <c r="A8102" t="str">
        <f t="shared" si="1511"/>
        <v>30/10/2025</v>
      </c>
      <c r="B8102" t="str">
        <f t="shared" si="1512"/>
        <v>SAÍDA</v>
      </c>
      <c r="C8102" t="str">
        <f t="shared" si="1514"/>
        <v>PIX</v>
      </c>
      <c r="D8102" t="str">
        <f>"24036"</f>
        <v>24036</v>
      </c>
      <c r="E8102" t="str">
        <f t="shared" si="1508"/>
        <v>1</v>
      </c>
      <c r="F8102" t="str">
        <f t="shared" si="1510"/>
        <v>COM</v>
      </c>
      <c r="G8102" t="str">
        <f>"MARCOS RODRIGUES PENA (64)"</f>
        <v>MARCOS RODRIGUES PENA (64)</v>
      </c>
      <c r="H8102" t="s">
        <v>2267</v>
      </c>
      <c r="I8102" t="str">
        <f t="shared" si="1513"/>
        <v>30/10/2025</v>
      </c>
      <c r="J8102" t="str">
        <f t="shared" si="1509"/>
        <v>21/10/2025</v>
      </c>
      <c r="K8102">
        <v>45960</v>
      </c>
      <c r="N8102">
        <v>109</v>
      </c>
      <c r="O8102" t="s">
        <v>24</v>
      </c>
      <c r="Q8102">
        <v>605</v>
      </c>
      <c r="R8102" t="str">
        <f>"FARMÁCIA INDIANA LJ 62 (10028)"</f>
        <v>FARMÁCIA INDIANA LJ 62 (10028)</v>
      </c>
      <c r="S8102" t="s">
        <v>77</v>
      </c>
      <c r="T8102">
        <v>22013</v>
      </c>
      <c r="U8102">
        <v>24036</v>
      </c>
      <c r="V8102" t="s">
        <v>77</v>
      </c>
    </row>
    <row r="8103" spans="1:22">
      <c r="A8103" t="str">
        <f t="shared" si="1511"/>
        <v>30/10/2025</v>
      </c>
      <c r="B8103" t="str">
        <f t="shared" si="1512"/>
        <v>SAÍDA</v>
      </c>
      <c r="C8103" t="str">
        <f t="shared" si="1514"/>
        <v>PIX</v>
      </c>
      <c r="D8103" t="str">
        <f>"24038"</f>
        <v>24038</v>
      </c>
      <c r="E8103" t="str">
        <f t="shared" si="1508"/>
        <v>1</v>
      </c>
      <c r="F8103" t="str">
        <f t="shared" si="1510"/>
        <v>COM</v>
      </c>
      <c r="G8103" t="str">
        <f>"MATHEUS VIEIRA DA SILVA (886)"</f>
        <v>MATHEUS VIEIRA DA SILVA (886)</v>
      </c>
      <c r="H8103" t="str">
        <f>"Serv.Prest. 13/10/2025 a 19/10/2025 - PIX: E-MAIL - CHAVE: meamatheusvieira@gmail.com"</f>
        <v>Serv.Prest. 13/10/2025 a 19/10/2025 - PIX: E-MAIL - CHAVE: meamatheusvieira@gmail.com</v>
      </c>
      <c r="I8103" t="str">
        <f t="shared" si="1513"/>
        <v>30/10/2025</v>
      </c>
      <c r="J8103" t="str">
        <f t="shared" si="1509"/>
        <v>21/10/2025</v>
      </c>
      <c r="K8103" t="str">
        <f>("30/10/2025")</f>
        <v>30/10/2025</v>
      </c>
      <c r="L8103">
        <v>1044</v>
      </c>
      <c r="M8103">
        <v>1044</v>
      </c>
      <c r="N8103">
        <v>109</v>
      </c>
      <c r="O8103" t="str">
        <f>"PAGAMENTO DE ENTREGADORES"</f>
        <v>PAGAMENTO DE ENTREGADORES</v>
      </c>
      <c r="P8103">
        <v>1044</v>
      </c>
      <c r="S8103" t="str">
        <f>"BANCO C6 (149)"</f>
        <v>BANCO C6 (149)</v>
      </c>
      <c r="T8103">
        <v>22014</v>
      </c>
      <c r="U8103">
        <v>24038</v>
      </c>
      <c r="V8103" t="s">
        <v>77</v>
      </c>
    </row>
    <row r="8104" spans="1:22">
      <c r="A8104" t="str">
        <f t="shared" si="1511"/>
        <v>30/10/2025</v>
      </c>
      <c r="B8104" t="str">
        <f t="shared" si="1512"/>
        <v>SAÍDA</v>
      </c>
      <c r="C8104" t="str">
        <f t="shared" si="1514"/>
        <v>PIX</v>
      </c>
      <c r="D8104" t="str">
        <f>"24038"</f>
        <v>24038</v>
      </c>
      <c r="E8104" t="str">
        <f t="shared" si="1508"/>
        <v>1</v>
      </c>
      <c r="F8104" t="str">
        <f t="shared" si="1510"/>
        <v>COM</v>
      </c>
      <c r="G8104" t="str">
        <f>"MATHEUS VIEIRA DA SILVA (886)"</f>
        <v>MATHEUS VIEIRA DA SILVA (886)</v>
      </c>
      <c r="H8104" t="s">
        <v>2268</v>
      </c>
      <c r="I8104" t="str">
        <f t="shared" si="1513"/>
        <v>30/10/2025</v>
      </c>
      <c r="J8104" t="str">
        <f t="shared" si="1509"/>
        <v>21/10/2025</v>
      </c>
      <c r="K8104">
        <v>45960</v>
      </c>
      <c r="N8104">
        <v>109</v>
      </c>
      <c r="O8104" t="s">
        <v>24</v>
      </c>
      <c r="Q8104">
        <v>1044</v>
      </c>
      <c r="R8104" t="str">
        <f>"FARMÁCIA INDIANA LJ 07 (10007)"</f>
        <v>FARMÁCIA INDIANA LJ 07 (10007)</v>
      </c>
      <c r="S8104" t="s">
        <v>77</v>
      </c>
      <c r="T8104">
        <v>22014</v>
      </c>
      <c r="U8104">
        <v>24038</v>
      </c>
      <c r="V8104" t="s">
        <v>77</v>
      </c>
    </row>
    <row r="8105" spans="1:22">
      <c r="A8105" t="str">
        <f t="shared" si="1511"/>
        <v>30/10/2025</v>
      </c>
      <c r="B8105" t="str">
        <f t="shared" si="1512"/>
        <v>SAÍDA</v>
      </c>
      <c r="C8105" t="str">
        <f t="shared" si="1514"/>
        <v>PIX</v>
      </c>
      <c r="D8105" t="str">
        <f>"24039"</f>
        <v>24039</v>
      </c>
      <c r="E8105" t="str">
        <f t="shared" si="1508"/>
        <v>1</v>
      </c>
      <c r="F8105" t="str">
        <f t="shared" si="1510"/>
        <v>COM</v>
      </c>
      <c r="G8105" t="str">
        <f>"MAURO AUGUSTO MACHADO DE ASSIS (767)"</f>
        <v>MAURO AUGUSTO MACHADO DE ASSIS (767)</v>
      </c>
      <c r="H8105" t="str">
        <f>"Serv.Prest. 13/10/2025 a 19/10/2025 - PIX: CPF - CHAVE: 163.330.766-27"</f>
        <v>Serv.Prest. 13/10/2025 a 19/10/2025 - PIX: CPF - CHAVE: 163.330.766-27</v>
      </c>
      <c r="I8105" t="str">
        <f t="shared" si="1513"/>
        <v>30/10/2025</v>
      </c>
      <c r="J8105" t="str">
        <f t="shared" si="1509"/>
        <v>21/10/2025</v>
      </c>
      <c r="K8105" t="str">
        <f>("30/10/2025")</f>
        <v>30/10/2025</v>
      </c>
      <c r="L8105">
        <v>1356</v>
      </c>
      <c r="M8105">
        <v>1356</v>
      </c>
      <c r="N8105">
        <v>109</v>
      </c>
      <c r="O8105" t="str">
        <f>"PAGAMENTO DE ENTREGADORES"</f>
        <v>PAGAMENTO DE ENTREGADORES</v>
      </c>
      <c r="P8105">
        <v>1356</v>
      </c>
      <c r="S8105" t="str">
        <f>"BANCO C6 (149)"</f>
        <v>BANCO C6 (149)</v>
      </c>
      <c r="T8105">
        <v>22015</v>
      </c>
      <c r="U8105">
        <v>24039</v>
      </c>
      <c r="V8105" t="s">
        <v>77</v>
      </c>
    </row>
    <row r="8106" spans="1:22">
      <c r="A8106" t="str">
        <f t="shared" si="1511"/>
        <v>30/10/2025</v>
      </c>
      <c r="B8106" t="str">
        <f t="shared" si="1512"/>
        <v>SAÍDA</v>
      </c>
      <c r="C8106" t="str">
        <f t="shared" si="1514"/>
        <v>PIX</v>
      </c>
      <c r="D8106" t="str">
        <f>"24039"</f>
        <v>24039</v>
      </c>
      <c r="E8106" t="str">
        <f t="shared" si="1508"/>
        <v>1</v>
      </c>
      <c r="F8106" t="str">
        <f t="shared" si="1510"/>
        <v>COM</v>
      </c>
      <c r="G8106" t="str">
        <f>"MAURO AUGUSTO MACHADO DE ASSIS (767)"</f>
        <v>MAURO AUGUSTO MACHADO DE ASSIS (767)</v>
      </c>
      <c r="H8106" t="s">
        <v>2269</v>
      </c>
      <c r="I8106" t="str">
        <f t="shared" si="1513"/>
        <v>30/10/2025</v>
      </c>
      <c r="J8106" t="str">
        <f t="shared" si="1509"/>
        <v>21/10/2025</v>
      </c>
      <c r="K8106">
        <v>45960</v>
      </c>
      <c r="N8106">
        <v>109</v>
      </c>
      <c r="O8106" t="s">
        <v>24</v>
      </c>
      <c r="Q8106">
        <v>456.02</v>
      </c>
      <c r="R8106" t="str">
        <f>"FARMÁCIA INDIANA LJ 11 (10008)"</f>
        <v>FARMÁCIA INDIANA LJ 11 (10008)</v>
      </c>
      <c r="S8106" t="s">
        <v>77</v>
      </c>
      <c r="T8106">
        <v>22015</v>
      </c>
      <c r="U8106">
        <v>24039</v>
      </c>
      <c r="V8106" t="s">
        <v>77</v>
      </c>
    </row>
    <row r="8107" spans="1:22">
      <c r="A8107" t="str">
        <f t="shared" si="1511"/>
        <v>30/10/2025</v>
      </c>
      <c r="B8107" t="str">
        <f t="shared" si="1512"/>
        <v>SAÍDA</v>
      </c>
      <c r="C8107" t="str">
        <f t="shared" si="1514"/>
        <v>PIX</v>
      </c>
      <c r="D8107" t="str">
        <f>"24039"</f>
        <v>24039</v>
      </c>
      <c r="E8107" t="str">
        <f t="shared" si="1508"/>
        <v>1</v>
      </c>
      <c r="F8107" t="str">
        <f t="shared" si="1510"/>
        <v>COM</v>
      </c>
      <c r="G8107" t="str">
        <f>"MAURO AUGUSTO MACHADO DE ASSIS (767)"</f>
        <v>MAURO AUGUSTO MACHADO DE ASSIS (767)</v>
      </c>
      <c r="H8107" t="s">
        <v>2269</v>
      </c>
      <c r="I8107" t="str">
        <f t="shared" si="1513"/>
        <v>30/10/2025</v>
      </c>
      <c r="J8107" t="str">
        <f t="shared" si="1509"/>
        <v>21/10/2025</v>
      </c>
      <c r="K8107">
        <v>45960</v>
      </c>
      <c r="N8107">
        <v>109</v>
      </c>
      <c r="O8107" t="s">
        <v>24</v>
      </c>
      <c r="Q8107">
        <v>899.98</v>
      </c>
      <c r="R8107" t="str">
        <f>"FARMÁCIA INDIANA LJ 172 (10161)"</f>
        <v>FARMÁCIA INDIANA LJ 172 (10161)</v>
      </c>
      <c r="S8107" t="s">
        <v>77</v>
      </c>
      <c r="T8107">
        <v>22015</v>
      </c>
      <c r="U8107">
        <v>24039</v>
      </c>
      <c r="V8107" t="s">
        <v>77</v>
      </c>
    </row>
    <row r="8108" spans="1:22">
      <c r="A8108" t="str">
        <f t="shared" si="1511"/>
        <v>30/10/2025</v>
      </c>
      <c r="B8108" t="str">
        <f t="shared" si="1512"/>
        <v>SAÍDA</v>
      </c>
      <c r="C8108" t="str">
        <f t="shared" si="1514"/>
        <v>PIX</v>
      </c>
      <c r="D8108" t="str">
        <f>"24040"</f>
        <v>24040</v>
      </c>
      <c r="E8108" t="str">
        <f t="shared" ref="E8108:E8171" si="1515">"1"</f>
        <v>1</v>
      </c>
      <c r="F8108" t="str">
        <f t="shared" si="1510"/>
        <v>COM</v>
      </c>
      <c r="G8108" t="str">
        <f>"MAYCON GUILHERME DUARTE (541)"</f>
        <v>MAYCON GUILHERME DUARTE (541)</v>
      </c>
      <c r="H8108" t="str">
        <f>"Serv.Prest. 13/10/2025 a 19/10/2025 - PIX: CELULAR - CHAVE: (31) 99076-6539"</f>
        <v>Serv.Prest. 13/10/2025 a 19/10/2025 - PIX: CELULAR - CHAVE: (31) 99076-6539</v>
      </c>
      <c r="I8108" t="str">
        <f t="shared" si="1513"/>
        <v>30/10/2025</v>
      </c>
      <c r="J8108" t="str">
        <f t="shared" ref="J8108:J8171" si="1516">("21/10/2025")</f>
        <v>21/10/2025</v>
      </c>
      <c r="K8108" t="str">
        <f>("30/10/2025")</f>
        <v>30/10/2025</v>
      </c>
      <c r="L8108">
        <v>1212</v>
      </c>
      <c r="M8108">
        <v>1212</v>
      </c>
      <c r="N8108">
        <v>109</v>
      </c>
      <c r="O8108" t="str">
        <f>"PAGAMENTO DE ENTREGADORES"</f>
        <v>PAGAMENTO DE ENTREGADORES</v>
      </c>
      <c r="P8108">
        <v>1212</v>
      </c>
      <c r="S8108" t="str">
        <f>"BANCO C6 (149)"</f>
        <v>BANCO C6 (149)</v>
      </c>
      <c r="T8108">
        <v>22016</v>
      </c>
      <c r="U8108">
        <v>24040</v>
      </c>
      <c r="V8108" t="s">
        <v>77</v>
      </c>
    </row>
    <row r="8109" spans="1:22">
      <c r="A8109" t="str">
        <f t="shared" si="1511"/>
        <v>30/10/2025</v>
      </c>
      <c r="B8109" t="str">
        <f t="shared" si="1512"/>
        <v>SAÍDA</v>
      </c>
      <c r="C8109" t="str">
        <f t="shared" si="1514"/>
        <v>PIX</v>
      </c>
      <c r="D8109" t="str">
        <f>"24040"</f>
        <v>24040</v>
      </c>
      <c r="E8109" t="str">
        <f t="shared" si="1515"/>
        <v>1</v>
      </c>
      <c r="F8109" t="str">
        <f t="shared" si="1510"/>
        <v>COM</v>
      </c>
      <c r="G8109" t="str">
        <f>"MAYCON GUILHERME DUARTE (541)"</f>
        <v>MAYCON GUILHERME DUARTE (541)</v>
      </c>
      <c r="H8109" t="s">
        <v>2270</v>
      </c>
      <c r="I8109" t="str">
        <f t="shared" si="1513"/>
        <v>30/10/2025</v>
      </c>
      <c r="J8109" t="str">
        <f t="shared" si="1516"/>
        <v>21/10/2025</v>
      </c>
      <c r="K8109">
        <v>45960</v>
      </c>
      <c r="N8109">
        <v>109</v>
      </c>
      <c r="O8109" t="s">
        <v>24</v>
      </c>
      <c r="Q8109">
        <v>1212</v>
      </c>
      <c r="R8109" t="str">
        <f>"FARMÁCIA INDIANA LJ 220 (10092)"</f>
        <v>FARMÁCIA INDIANA LJ 220 (10092)</v>
      </c>
      <c r="S8109" t="s">
        <v>77</v>
      </c>
      <c r="T8109">
        <v>22016</v>
      </c>
      <c r="U8109">
        <v>24040</v>
      </c>
      <c r="V8109" t="s">
        <v>77</v>
      </c>
    </row>
    <row r="8110" spans="1:22">
      <c r="A8110" t="str">
        <f t="shared" si="1511"/>
        <v>30/10/2025</v>
      </c>
      <c r="B8110" t="str">
        <f t="shared" si="1512"/>
        <v>SAÍDA</v>
      </c>
      <c r="C8110" t="str">
        <f t="shared" si="1514"/>
        <v>PIX</v>
      </c>
      <c r="D8110" t="str">
        <f>"24042"</f>
        <v>24042</v>
      </c>
      <c r="E8110" t="str">
        <f t="shared" si="1515"/>
        <v>1</v>
      </c>
      <c r="F8110" t="str">
        <f t="shared" si="1510"/>
        <v>COM</v>
      </c>
      <c r="G8110" t="str">
        <f>"MIGUEL PESSOA RAMOS (68)"</f>
        <v>MIGUEL PESSOA RAMOS (68)</v>
      </c>
      <c r="H8110" t="str">
        <f>"Serv.Prest. 13/10/2025 a 19/10/2025 - PIX: CELULAR - CHAVE: (33) 99845-0493"</f>
        <v>Serv.Prest. 13/10/2025 a 19/10/2025 - PIX: CELULAR - CHAVE: (33) 99845-0493</v>
      </c>
      <c r="I8110" t="str">
        <f t="shared" si="1513"/>
        <v>30/10/2025</v>
      </c>
      <c r="J8110" t="str">
        <f t="shared" si="1516"/>
        <v>21/10/2025</v>
      </c>
      <c r="K8110" t="str">
        <f>("30/10/2025")</f>
        <v>30/10/2025</v>
      </c>
      <c r="L8110">
        <v>972</v>
      </c>
      <c r="M8110">
        <v>972</v>
      </c>
      <c r="N8110">
        <v>109</v>
      </c>
      <c r="O8110" t="str">
        <f>"PAGAMENTO DE ENTREGADORES"</f>
        <v>PAGAMENTO DE ENTREGADORES</v>
      </c>
      <c r="P8110">
        <v>972</v>
      </c>
      <c r="S8110" t="str">
        <f>"BANCO C6 (149)"</f>
        <v>BANCO C6 (149)</v>
      </c>
      <c r="T8110">
        <v>22017</v>
      </c>
      <c r="U8110">
        <v>24042</v>
      </c>
      <c r="V8110" t="s">
        <v>77</v>
      </c>
    </row>
    <row r="8111" spans="1:22">
      <c r="A8111" t="str">
        <f t="shared" si="1511"/>
        <v>30/10/2025</v>
      </c>
      <c r="B8111" t="str">
        <f t="shared" si="1512"/>
        <v>SAÍDA</v>
      </c>
      <c r="C8111" t="str">
        <f t="shared" si="1514"/>
        <v>PIX</v>
      </c>
      <c r="D8111" t="str">
        <f>"24042"</f>
        <v>24042</v>
      </c>
      <c r="E8111" t="str">
        <f t="shared" si="1515"/>
        <v>1</v>
      </c>
      <c r="F8111" t="str">
        <f t="shared" si="1510"/>
        <v>COM</v>
      </c>
      <c r="G8111" t="str">
        <f>"MIGUEL PESSOA RAMOS (68)"</f>
        <v>MIGUEL PESSOA RAMOS (68)</v>
      </c>
      <c r="H8111" t="s">
        <v>2271</v>
      </c>
      <c r="I8111" t="str">
        <f t="shared" si="1513"/>
        <v>30/10/2025</v>
      </c>
      <c r="J8111" t="str">
        <f t="shared" si="1516"/>
        <v>21/10/2025</v>
      </c>
      <c r="K8111">
        <v>45960</v>
      </c>
      <c r="N8111">
        <v>109</v>
      </c>
      <c r="O8111" t="s">
        <v>24</v>
      </c>
      <c r="Q8111">
        <v>972</v>
      </c>
      <c r="R8111" t="str">
        <f>"FARMÁCIA INDIANA LJ 07 (10007)"</f>
        <v>FARMÁCIA INDIANA LJ 07 (10007)</v>
      </c>
      <c r="S8111" t="s">
        <v>77</v>
      </c>
      <c r="T8111">
        <v>22017</v>
      </c>
      <c r="U8111">
        <v>24042</v>
      </c>
      <c r="V8111" t="s">
        <v>77</v>
      </c>
    </row>
    <row r="8112" spans="1:22">
      <c r="A8112" t="str">
        <f t="shared" si="1511"/>
        <v>30/10/2025</v>
      </c>
      <c r="B8112" t="str">
        <f t="shared" si="1512"/>
        <v>SAÍDA</v>
      </c>
      <c r="C8112" t="str">
        <f t="shared" si="1514"/>
        <v>PIX</v>
      </c>
      <c r="D8112" t="str">
        <f>"24043"</f>
        <v>24043</v>
      </c>
      <c r="E8112" t="str">
        <f t="shared" si="1515"/>
        <v>1</v>
      </c>
      <c r="F8112" t="str">
        <f t="shared" si="1510"/>
        <v>COM</v>
      </c>
      <c r="G8112" t="str">
        <f>"MURILO BARRETO AFONSO (30)"</f>
        <v>MURILO BARRETO AFONSO (30)</v>
      </c>
      <c r="H8112" t="str">
        <f>"Serv.Prest. 13/10/2025 a 19/10/2025 - PIX: CPF - CHAVE: 123.020.026-60"</f>
        <v>Serv.Prest. 13/10/2025 a 19/10/2025 - PIX: CPF - CHAVE: 123.020.026-60</v>
      </c>
      <c r="I8112" t="str">
        <f t="shared" si="1513"/>
        <v>30/10/2025</v>
      </c>
      <c r="J8112" t="str">
        <f t="shared" si="1516"/>
        <v>21/10/2025</v>
      </c>
      <c r="K8112" t="str">
        <f>("30/10/2025")</f>
        <v>30/10/2025</v>
      </c>
      <c r="L8112">
        <v>1200</v>
      </c>
      <c r="M8112">
        <v>1200</v>
      </c>
      <c r="N8112">
        <v>109</v>
      </c>
      <c r="O8112" t="str">
        <f>"PAGAMENTO DE ENTREGADORES"</f>
        <v>PAGAMENTO DE ENTREGADORES</v>
      </c>
      <c r="P8112">
        <v>1200</v>
      </c>
      <c r="S8112" t="str">
        <f>"BANCO C6 (149)"</f>
        <v>BANCO C6 (149)</v>
      </c>
      <c r="T8112">
        <v>22018</v>
      </c>
      <c r="U8112">
        <v>24043</v>
      </c>
      <c r="V8112" t="s">
        <v>77</v>
      </c>
    </row>
    <row r="8113" spans="1:22">
      <c r="A8113" t="str">
        <f t="shared" si="1511"/>
        <v>30/10/2025</v>
      </c>
      <c r="B8113" t="str">
        <f t="shared" si="1512"/>
        <v>SAÍDA</v>
      </c>
      <c r="C8113" t="str">
        <f t="shared" si="1514"/>
        <v>PIX</v>
      </c>
      <c r="D8113" t="str">
        <f>"24043"</f>
        <v>24043</v>
      </c>
      <c r="E8113" t="str">
        <f t="shared" si="1515"/>
        <v>1</v>
      </c>
      <c r="F8113" t="str">
        <f t="shared" si="1510"/>
        <v>COM</v>
      </c>
      <c r="G8113" t="str">
        <f>"MURILO BARRETO AFONSO (30)"</f>
        <v>MURILO BARRETO AFONSO (30)</v>
      </c>
      <c r="H8113" t="s">
        <v>2272</v>
      </c>
      <c r="I8113" t="str">
        <f t="shared" si="1513"/>
        <v>30/10/2025</v>
      </c>
      <c r="J8113" t="str">
        <f t="shared" si="1516"/>
        <v>21/10/2025</v>
      </c>
      <c r="K8113">
        <v>45960</v>
      </c>
      <c r="N8113">
        <v>109</v>
      </c>
      <c r="O8113" t="s">
        <v>24</v>
      </c>
      <c r="Q8113">
        <v>1069.08</v>
      </c>
      <c r="R8113" t="str">
        <f>"FARMÁCIA INDIANA LJ 118 (10052)"</f>
        <v>FARMÁCIA INDIANA LJ 118 (10052)</v>
      </c>
      <c r="S8113" t="s">
        <v>77</v>
      </c>
      <c r="T8113">
        <v>22018</v>
      </c>
      <c r="U8113">
        <v>24043</v>
      </c>
      <c r="V8113" t="s">
        <v>77</v>
      </c>
    </row>
    <row r="8114" spans="1:22">
      <c r="A8114" t="str">
        <f t="shared" si="1511"/>
        <v>30/10/2025</v>
      </c>
      <c r="B8114" t="str">
        <f t="shared" si="1512"/>
        <v>SAÍDA</v>
      </c>
      <c r="C8114" t="str">
        <f t="shared" si="1514"/>
        <v>PIX</v>
      </c>
      <c r="D8114" t="str">
        <f>"24043"</f>
        <v>24043</v>
      </c>
      <c r="E8114" t="str">
        <f t="shared" si="1515"/>
        <v>1</v>
      </c>
      <c r="F8114" t="str">
        <f t="shared" si="1510"/>
        <v>COM</v>
      </c>
      <c r="G8114" t="str">
        <f>"MURILO BARRETO AFONSO (30)"</f>
        <v>MURILO BARRETO AFONSO (30)</v>
      </c>
      <c r="H8114" t="s">
        <v>2272</v>
      </c>
      <c r="I8114" t="str">
        <f t="shared" si="1513"/>
        <v>30/10/2025</v>
      </c>
      <c r="J8114" t="str">
        <f t="shared" si="1516"/>
        <v>21/10/2025</v>
      </c>
      <c r="K8114">
        <v>45960</v>
      </c>
      <c r="N8114">
        <v>109</v>
      </c>
      <c r="O8114" t="s">
        <v>24</v>
      </c>
      <c r="Q8114">
        <v>130.91999999999999</v>
      </c>
      <c r="R8114" t="str">
        <f>"FARMÁCIA INDIANA LJ 192 (10082)"</f>
        <v>FARMÁCIA INDIANA LJ 192 (10082)</v>
      </c>
      <c r="S8114" t="s">
        <v>77</v>
      </c>
      <c r="T8114">
        <v>22018</v>
      </c>
      <c r="U8114">
        <v>24043</v>
      </c>
      <c r="V8114" t="s">
        <v>77</v>
      </c>
    </row>
    <row r="8115" spans="1:22">
      <c r="A8115" t="str">
        <f t="shared" si="1511"/>
        <v>30/10/2025</v>
      </c>
      <c r="B8115" t="str">
        <f t="shared" si="1512"/>
        <v>SAÍDA</v>
      </c>
      <c r="C8115" t="str">
        <f t="shared" si="1514"/>
        <v>PIX</v>
      </c>
      <c r="D8115" t="str">
        <f>"24044"</f>
        <v>24044</v>
      </c>
      <c r="E8115" t="str">
        <f t="shared" si="1515"/>
        <v>1</v>
      </c>
      <c r="F8115" t="str">
        <f t="shared" si="1510"/>
        <v>COM</v>
      </c>
      <c r="G8115" t="str">
        <f>"NATÁLIA KAROLAINE GOMES BATISTA (936)"</f>
        <v>NATÁLIA KAROLAINE GOMES BATISTA (936)</v>
      </c>
      <c r="H8115" t="str">
        <f>"Serv.Prest. 13/10/2025 a 19/10/2025 - PIX: CELULAR - CHAVE: (33) 98817-9868"</f>
        <v>Serv.Prest. 13/10/2025 a 19/10/2025 - PIX: CELULAR - CHAVE: (33) 98817-9868</v>
      </c>
      <c r="I8115" t="str">
        <f t="shared" si="1513"/>
        <v>30/10/2025</v>
      </c>
      <c r="J8115" t="str">
        <f t="shared" si="1516"/>
        <v>21/10/2025</v>
      </c>
      <c r="K8115" t="str">
        <f>("30/10/2025")</f>
        <v>30/10/2025</v>
      </c>
      <c r="L8115">
        <v>858</v>
      </c>
      <c r="M8115">
        <v>858</v>
      </c>
      <c r="N8115">
        <v>109</v>
      </c>
      <c r="O8115" t="str">
        <f>"PAGAMENTO DE ENTREGADORES"</f>
        <v>PAGAMENTO DE ENTREGADORES</v>
      </c>
      <c r="P8115">
        <v>858</v>
      </c>
      <c r="S8115" t="str">
        <f>"BANCO C6 (149)"</f>
        <v>BANCO C6 (149)</v>
      </c>
      <c r="T8115">
        <v>22019</v>
      </c>
      <c r="U8115">
        <v>24044</v>
      </c>
      <c r="V8115" t="s">
        <v>77</v>
      </c>
    </row>
    <row r="8116" spans="1:22">
      <c r="A8116" t="str">
        <f t="shared" si="1511"/>
        <v>30/10/2025</v>
      </c>
      <c r="B8116" t="str">
        <f t="shared" si="1512"/>
        <v>SAÍDA</v>
      </c>
      <c r="C8116" t="str">
        <f t="shared" si="1514"/>
        <v>PIX</v>
      </c>
      <c r="D8116" t="str">
        <f>"24044"</f>
        <v>24044</v>
      </c>
      <c r="E8116" t="str">
        <f t="shared" si="1515"/>
        <v>1</v>
      </c>
      <c r="F8116" t="str">
        <f t="shared" si="1510"/>
        <v>COM</v>
      </c>
      <c r="G8116" t="str">
        <f>"NATÁLIA KAROLAINE GOMES BATISTA (936)"</f>
        <v>NATÁLIA KAROLAINE GOMES BATISTA (936)</v>
      </c>
      <c r="H8116" t="s">
        <v>2273</v>
      </c>
      <c r="I8116" t="str">
        <f t="shared" si="1513"/>
        <v>30/10/2025</v>
      </c>
      <c r="J8116" t="str">
        <f t="shared" si="1516"/>
        <v>21/10/2025</v>
      </c>
      <c r="K8116">
        <v>45960</v>
      </c>
      <c r="N8116">
        <v>109</v>
      </c>
      <c r="O8116" t="s">
        <v>24</v>
      </c>
      <c r="Q8116">
        <v>858</v>
      </c>
      <c r="R8116" t="str">
        <f>"FARMÁCIA INDIANA LJ 07 (10007)"</f>
        <v>FARMÁCIA INDIANA LJ 07 (10007)</v>
      </c>
      <c r="S8116" t="s">
        <v>77</v>
      </c>
      <c r="T8116">
        <v>22019</v>
      </c>
      <c r="U8116">
        <v>24044</v>
      </c>
      <c r="V8116" t="s">
        <v>77</v>
      </c>
    </row>
    <row r="8117" spans="1:22">
      <c r="A8117" t="str">
        <f t="shared" si="1511"/>
        <v>30/10/2025</v>
      </c>
      <c r="B8117" t="str">
        <f t="shared" si="1512"/>
        <v>SAÍDA</v>
      </c>
      <c r="C8117" t="str">
        <f t="shared" si="1514"/>
        <v>PIX</v>
      </c>
      <c r="D8117" t="str">
        <f>"24045"</f>
        <v>24045</v>
      </c>
      <c r="E8117" t="str">
        <f t="shared" si="1515"/>
        <v>1</v>
      </c>
      <c r="F8117" t="str">
        <f t="shared" si="1510"/>
        <v>COM</v>
      </c>
      <c r="G8117" t="str">
        <f>"NELSON DOS SANTOS RODRIGUES (37)"</f>
        <v>NELSON DOS SANTOS RODRIGUES (37)</v>
      </c>
      <c r="H8117" t="str">
        <f>"Serv.Prest. 13/10/2025 a 19/10/2025 - PIX: CPF - CHAVE: 108.680.396-59"</f>
        <v>Serv.Prest. 13/10/2025 a 19/10/2025 - PIX: CPF - CHAVE: 108.680.396-59</v>
      </c>
      <c r="I8117" t="str">
        <f t="shared" si="1513"/>
        <v>30/10/2025</v>
      </c>
      <c r="J8117" t="str">
        <f t="shared" si="1516"/>
        <v>21/10/2025</v>
      </c>
      <c r="K8117" t="str">
        <f>("30/10/2025")</f>
        <v>30/10/2025</v>
      </c>
      <c r="L8117">
        <v>1356</v>
      </c>
      <c r="M8117">
        <v>1356</v>
      </c>
      <c r="N8117">
        <v>109</v>
      </c>
      <c r="O8117" t="str">
        <f>"PAGAMENTO DE ENTREGADORES"</f>
        <v>PAGAMENTO DE ENTREGADORES</v>
      </c>
      <c r="P8117">
        <v>1356</v>
      </c>
      <c r="S8117" t="str">
        <f>"BANCO C6 (149)"</f>
        <v>BANCO C6 (149)</v>
      </c>
      <c r="T8117">
        <v>22020</v>
      </c>
      <c r="U8117">
        <v>24045</v>
      </c>
      <c r="V8117" t="s">
        <v>77</v>
      </c>
    </row>
    <row r="8118" spans="1:22">
      <c r="A8118" t="str">
        <f t="shared" si="1511"/>
        <v>30/10/2025</v>
      </c>
      <c r="B8118" t="str">
        <f t="shared" si="1512"/>
        <v>SAÍDA</v>
      </c>
      <c r="C8118" t="str">
        <f t="shared" si="1514"/>
        <v>PIX</v>
      </c>
      <c r="D8118" t="str">
        <f>"24045"</f>
        <v>24045</v>
      </c>
      <c r="E8118" t="str">
        <f t="shared" si="1515"/>
        <v>1</v>
      </c>
      <c r="F8118" t="str">
        <f t="shared" si="1510"/>
        <v>COM</v>
      </c>
      <c r="G8118" t="str">
        <f>"NELSON DOS SANTOS RODRIGUES (37)"</f>
        <v>NELSON DOS SANTOS RODRIGUES (37)</v>
      </c>
      <c r="H8118" t="s">
        <v>2274</v>
      </c>
      <c r="I8118" t="str">
        <f t="shared" si="1513"/>
        <v>30/10/2025</v>
      </c>
      <c r="J8118" t="str">
        <f t="shared" si="1516"/>
        <v>21/10/2025</v>
      </c>
      <c r="K8118">
        <v>45960</v>
      </c>
      <c r="N8118">
        <v>109</v>
      </c>
      <c r="O8118" t="s">
        <v>24</v>
      </c>
      <c r="Q8118">
        <v>1356</v>
      </c>
      <c r="R8118" t="str">
        <f>"FARMÁCIA INDIANA LJ 11 (10008)"</f>
        <v>FARMÁCIA INDIANA LJ 11 (10008)</v>
      </c>
      <c r="S8118" t="s">
        <v>77</v>
      </c>
      <c r="T8118">
        <v>22020</v>
      </c>
      <c r="U8118">
        <v>24045</v>
      </c>
      <c r="V8118" t="s">
        <v>77</v>
      </c>
    </row>
    <row r="8119" spans="1:22">
      <c r="A8119" t="str">
        <f t="shared" si="1511"/>
        <v>30/10/2025</v>
      </c>
      <c r="B8119" t="str">
        <f t="shared" si="1512"/>
        <v>SAÍDA</v>
      </c>
      <c r="C8119" t="str">
        <f t="shared" si="1514"/>
        <v>PIX</v>
      </c>
      <c r="D8119" t="str">
        <f>"24046"</f>
        <v>24046</v>
      </c>
      <c r="E8119" t="str">
        <f t="shared" si="1515"/>
        <v>1</v>
      </c>
      <c r="F8119" t="str">
        <f t="shared" si="1510"/>
        <v>COM</v>
      </c>
      <c r="G8119" t="str">
        <f>"NILTON RODRIGUES DE SOUZA (136)"</f>
        <v>NILTON RODRIGUES DE SOUZA (136)</v>
      </c>
      <c r="H8119" t="str">
        <f>"Serv.Prest. 13/10/2025 a 19/10/2025 - PIX: CPF - CHAVE: 037.974.316-78"</f>
        <v>Serv.Prest. 13/10/2025 a 19/10/2025 - PIX: CPF - CHAVE: 037.974.316-78</v>
      </c>
      <c r="I8119" t="str">
        <f t="shared" si="1513"/>
        <v>30/10/2025</v>
      </c>
      <c r="J8119" t="str">
        <f t="shared" si="1516"/>
        <v>21/10/2025</v>
      </c>
      <c r="K8119" t="str">
        <f>("30/10/2025")</f>
        <v>30/10/2025</v>
      </c>
      <c r="L8119">
        <v>750</v>
      </c>
      <c r="M8119">
        <v>750</v>
      </c>
      <c r="N8119">
        <v>109</v>
      </c>
      <c r="O8119" t="str">
        <f>"PAGAMENTO DE ENTREGADORES"</f>
        <v>PAGAMENTO DE ENTREGADORES</v>
      </c>
      <c r="P8119">
        <v>750</v>
      </c>
      <c r="S8119" t="str">
        <f>"BANCO C6 (149)"</f>
        <v>BANCO C6 (149)</v>
      </c>
      <c r="T8119">
        <v>22021</v>
      </c>
      <c r="U8119">
        <v>24046</v>
      </c>
      <c r="V8119" t="s">
        <v>77</v>
      </c>
    </row>
    <row r="8120" spans="1:22">
      <c r="A8120" t="str">
        <f t="shared" si="1511"/>
        <v>30/10/2025</v>
      </c>
      <c r="B8120" t="str">
        <f t="shared" si="1512"/>
        <v>SAÍDA</v>
      </c>
      <c r="C8120" t="str">
        <f t="shared" si="1514"/>
        <v>PIX</v>
      </c>
      <c r="D8120" t="str">
        <f>"24046"</f>
        <v>24046</v>
      </c>
      <c r="E8120" t="str">
        <f t="shared" si="1515"/>
        <v>1</v>
      </c>
      <c r="F8120" t="str">
        <f t="shared" si="1510"/>
        <v>COM</v>
      </c>
      <c r="G8120" t="str">
        <f>"NILTON RODRIGUES DE SOUZA (136)"</f>
        <v>NILTON RODRIGUES DE SOUZA (136)</v>
      </c>
      <c r="H8120" t="s">
        <v>2275</v>
      </c>
      <c r="I8120" t="str">
        <f t="shared" si="1513"/>
        <v>30/10/2025</v>
      </c>
      <c r="J8120" t="str">
        <f t="shared" si="1516"/>
        <v>21/10/2025</v>
      </c>
      <c r="K8120">
        <v>45960</v>
      </c>
      <c r="N8120">
        <v>109</v>
      </c>
      <c r="O8120" t="s">
        <v>24</v>
      </c>
      <c r="Q8120">
        <v>510</v>
      </c>
      <c r="R8120" t="str">
        <f>"FARMÁCIA INDIANA LJ 18 (10011)"</f>
        <v>FARMÁCIA INDIANA LJ 18 (10011)</v>
      </c>
      <c r="S8120" t="s">
        <v>77</v>
      </c>
      <c r="T8120">
        <v>22021</v>
      </c>
      <c r="U8120">
        <v>24046</v>
      </c>
      <c r="V8120" t="s">
        <v>77</v>
      </c>
    </row>
    <row r="8121" spans="1:22">
      <c r="A8121" t="str">
        <f t="shared" si="1511"/>
        <v>30/10/2025</v>
      </c>
      <c r="B8121" t="str">
        <f t="shared" si="1512"/>
        <v>SAÍDA</v>
      </c>
      <c r="C8121" t="str">
        <f t="shared" si="1514"/>
        <v>PIX</v>
      </c>
      <c r="D8121" t="str">
        <f>"24046"</f>
        <v>24046</v>
      </c>
      <c r="E8121" t="str">
        <f t="shared" si="1515"/>
        <v>1</v>
      </c>
      <c r="F8121" t="str">
        <f t="shared" ref="F8121:F8184" si="1517">"COM"</f>
        <v>COM</v>
      </c>
      <c r="G8121" t="str">
        <f>"NILTON RODRIGUES DE SOUZA (136)"</f>
        <v>NILTON RODRIGUES DE SOUZA (136)</v>
      </c>
      <c r="H8121" t="s">
        <v>2275</v>
      </c>
      <c r="I8121" t="str">
        <f t="shared" si="1513"/>
        <v>30/10/2025</v>
      </c>
      <c r="J8121" t="str">
        <f t="shared" si="1516"/>
        <v>21/10/2025</v>
      </c>
      <c r="K8121">
        <v>45960</v>
      </c>
      <c r="N8121">
        <v>109</v>
      </c>
      <c r="O8121" t="s">
        <v>24</v>
      </c>
      <c r="Q8121">
        <v>240</v>
      </c>
      <c r="R8121" t="str">
        <f>"FARMÁCIA INDIANA LJ 19 (10012)"</f>
        <v>FARMÁCIA INDIANA LJ 19 (10012)</v>
      </c>
      <c r="S8121" t="s">
        <v>77</v>
      </c>
      <c r="T8121">
        <v>22021</v>
      </c>
      <c r="U8121">
        <v>24046</v>
      </c>
      <c r="V8121" t="s">
        <v>77</v>
      </c>
    </row>
    <row r="8122" spans="1:22">
      <c r="A8122" t="str">
        <f t="shared" si="1511"/>
        <v>30/10/2025</v>
      </c>
      <c r="B8122" t="str">
        <f t="shared" si="1512"/>
        <v>SAÍDA</v>
      </c>
      <c r="C8122" t="str">
        <f t="shared" si="1514"/>
        <v>PIX</v>
      </c>
      <c r="D8122" t="str">
        <f>"24047"</f>
        <v>24047</v>
      </c>
      <c r="E8122" t="str">
        <f t="shared" si="1515"/>
        <v>1</v>
      </c>
      <c r="F8122" t="str">
        <f t="shared" si="1517"/>
        <v>COM</v>
      </c>
      <c r="G8122" t="str">
        <f>"PATRICK DE SOUZA CORREA (92)"</f>
        <v>PATRICK DE SOUZA CORREA (92)</v>
      </c>
      <c r="H8122" t="str">
        <f>"Serv.Prest. 13/10/2025 a 19/10/2025 - PIX: CELULAR - CHAVE: (31) 99216-8711"</f>
        <v>Serv.Prest. 13/10/2025 a 19/10/2025 - PIX: CELULAR - CHAVE: (31) 99216-8711</v>
      </c>
      <c r="I8122" t="str">
        <f t="shared" si="1513"/>
        <v>30/10/2025</v>
      </c>
      <c r="J8122" t="str">
        <f t="shared" si="1516"/>
        <v>21/10/2025</v>
      </c>
      <c r="K8122" t="str">
        <f>("30/10/2025")</f>
        <v>30/10/2025</v>
      </c>
      <c r="L8122">
        <v>600</v>
      </c>
      <c r="M8122">
        <v>600</v>
      </c>
      <c r="N8122">
        <v>109</v>
      </c>
      <c r="O8122" t="str">
        <f>"PAGAMENTO DE ENTREGADORES"</f>
        <v>PAGAMENTO DE ENTREGADORES</v>
      </c>
      <c r="P8122">
        <v>600</v>
      </c>
      <c r="S8122" t="str">
        <f>"BANCO C6 (149)"</f>
        <v>BANCO C6 (149)</v>
      </c>
      <c r="T8122">
        <v>22022</v>
      </c>
      <c r="U8122">
        <v>24047</v>
      </c>
      <c r="V8122" t="s">
        <v>77</v>
      </c>
    </row>
    <row r="8123" spans="1:22">
      <c r="A8123" t="str">
        <f t="shared" si="1511"/>
        <v>30/10/2025</v>
      </c>
      <c r="B8123" t="str">
        <f t="shared" si="1512"/>
        <v>SAÍDA</v>
      </c>
      <c r="C8123" t="str">
        <f t="shared" si="1514"/>
        <v>PIX</v>
      </c>
      <c r="D8123" t="str">
        <f>"24047"</f>
        <v>24047</v>
      </c>
      <c r="E8123" t="str">
        <f t="shared" si="1515"/>
        <v>1</v>
      </c>
      <c r="F8123" t="str">
        <f t="shared" si="1517"/>
        <v>COM</v>
      </c>
      <c r="G8123" t="str">
        <f>"PATRICK DE SOUZA CORREA (92)"</f>
        <v>PATRICK DE SOUZA CORREA (92)</v>
      </c>
      <c r="H8123" t="s">
        <v>2276</v>
      </c>
      <c r="I8123" t="str">
        <f t="shared" si="1513"/>
        <v>30/10/2025</v>
      </c>
      <c r="J8123" t="str">
        <f t="shared" si="1516"/>
        <v>21/10/2025</v>
      </c>
      <c r="K8123">
        <v>45960</v>
      </c>
      <c r="N8123">
        <v>109</v>
      </c>
      <c r="O8123" t="s">
        <v>24</v>
      </c>
      <c r="Q8123">
        <v>300</v>
      </c>
      <c r="R8123" t="str">
        <f>"FARMÁCIA INDIANA LJ 184 (10080)"</f>
        <v>FARMÁCIA INDIANA LJ 184 (10080)</v>
      </c>
      <c r="S8123" t="s">
        <v>77</v>
      </c>
      <c r="T8123">
        <v>22022</v>
      </c>
      <c r="U8123">
        <v>24047</v>
      </c>
      <c r="V8123" t="s">
        <v>77</v>
      </c>
    </row>
    <row r="8124" spans="1:22">
      <c r="A8124" t="str">
        <f t="shared" si="1511"/>
        <v>30/10/2025</v>
      </c>
      <c r="B8124" t="str">
        <f t="shared" si="1512"/>
        <v>SAÍDA</v>
      </c>
      <c r="C8124" t="str">
        <f t="shared" si="1514"/>
        <v>PIX</v>
      </c>
      <c r="D8124" t="str">
        <f>"24047"</f>
        <v>24047</v>
      </c>
      <c r="E8124" t="str">
        <f t="shared" si="1515"/>
        <v>1</v>
      </c>
      <c r="F8124" t="str">
        <f t="shared" si="1517"/>
        <v>COM</v>
      </c>
      <c r="G8124" t="str">
        <f>"PATRICK DE SOUZA CORREA (92)"</f>
        <v>PATRICK DE SOUZA CORREA (92)</v>
      </c>
      <c r="H8124" t="s">
        <v>2276</v>
      </c>
      <c r="I8124" t="str">
        <f t="shared" si="1513"/>
        <v>30/10/2025</v>
      </c>
      <c r="J8124" t="str">
        <f t="shared" si="1516"/>
        <v>21/10/2025</v>
      </c>
      <c r="K8124">
        <v>45960</v>
      </c>
      <c r="N8124">
        <v>109</v>
      </c>
      <c r="O8124" t="s">
        <v>24</v>
      </c>
      <c r="Q8124">
        <v>300</v>
      </c>
      <c r="R8124" t="str">
        <f>"FARMÁCIA INDIANA LJ 195 (10083)"</f>
        <v>FARMÁCIA INDIANA LJ 195 (10083)</v>
      </c>
      <c r="S8124" t="s">
        <v>77</v>
      </c>
      <c r="T8124">
        <v>22022</v>
      </c>
      <c r="U8124">
        <v>24047</v>
      </c>
      <c r="V8124" t="s">
        <v>77</v>
      </c>
    </row>
    <row r="8125" spans="1:22">
      <c r="A8125" t="str">
        <f t="shared" si="1511"/>
        <v>30/10/2025</v>
      </c>
      <c r="B8125" t="str">
        <f t="shared" si="1512"/>
        <v>SAÍDA</v>
      </c>
      <c r="C8125" t="str">
        <f t="shared" si="1514"/>
        <v>PIX</v>
      </c>
      <c r="D8125" t="str">
        <f>"24048"</f>
        <v>24048</v>
      </c>
      <c r="E8125" t="str">
        <f t="shared" si="1515"/>
        <v>1</v>
      </c>
      <c r="F8125" t="str">
        <f t="shared" si="1517"/>
        <v>COM</v>
      </c>
      <c r="G8125" t="str">
        <f>"PAULO HENRIQUE OLIVEIRA SILVA (39)"</f>
        <v>PAULO HENRIQUE OLIVEIRA SILVA (39)</v>
      </c>
      <c r="H8125" t="str">
        <f>"Serv.Prest. 13/10/2025 a 19/10/2025 - PIX: CELULAR - CHAVE: (31) 97339-3761"</f>
        <v>Serv.Prest. 13/10/2025 a 19/10/2025 - PIX: CELULAR - CHAVE: (31) 97339-3761</v>
      </c>
      <c r="I8125" t="str">
        <f t="shared" si="1513"/>
        <v>30/10/2025</v>
      </c>
      <c r="J8125" t="str">
        <f t="shared" si="1516"/>
        <v>21/10/2025</v>
      </c>
      <c r="K8125" t="str">
        <f>("30/10/2025")</f>
        <v>30/10/2025</v>
      </c>
      <c r="L8125">
        <v>1566</v>
      </c>
      <c r="M8125">
        <v>1566</v>
      </c>
      <c r="N8125">
        <v>109</v>
      </c>
      <c r="O8125" t="str">
        <f>"PAGAMENTO DE ENTREGADORES"</f>
        <v>PAGAMENTO DE ENTREGADORES</v>
      </c>
      <c r="P8125">
        <v>1566</v>
      </c>
      <c r="S8125" t="str">
        <f>"BANCO C6 (149)"</f>
        <v>BANCO C6 (149)</v>
      </c>
      <c r="T8125">
        <v>22023</v>
      </c>
      <c r="U8125">
        <v>24048</v>
      </c>
      <c r="V8125" t="s">
        <v>77</v>
      </c>
    </row>
    <row r="8126" spans="1:22">
      <c r="A8126" t="str">
        <f t="shared" si="1511"/>
        <v>30/10/2025</v>
      </c>
      <c r="B8126" t="str">
        <f t="shared" si="1512"/>
        <v>SAÍDA</v>
      </c>
      <c r="C8126" t="str">
        <f t="shared" si="1514"/>
        <v>PIX</v>
      </c>
      <c r="D8126" t="str">
        <f>"24048"</f>
        <v>24048</v>
      </c>
      <c r="E8126" t="str">
        <f t="shared" si="1515"/>
        <v>1</v>
      </c>
      <c r="F8126" t="str">
        <f t="shared" si="1517"/>
        <v>COM</v>
      </c>
      <c r="G8126" t="str">
        <f>"PAULO HENRIQUE OLIVEIRA SILVA (39)"</f>
        <v>PAULO HENRIQUE OLIVEIRA SILVA (39)</v>
      </c>
      <c r="H8126" t="s">
        <v>2277</v>
      </c>
      <c r="I8126" t="str">
        <f t="shared" si="1513"/>
        <v>30/10/2025</v>
      </c>
      <c r="J8126" t="str">
        <f t="shared" si="1516"/>
        <v>21/10/2025</v>
      </c>
      <c r="K8126">
        <v>45960</v>
      </c>
      <c r="N8126">
        <v>109</v>
      </c>
      <c r="O8126" t="s">
        <v>24</v>
      </c>
      <c r="Q8126">
        <v>1566</v>
      </c>
      <c r="R8126" t="str">
        <f>"FARMÁCIA INDIANA LJ 11 (10008)"</f>
        <v>FARMÁCIA INDIANA LJ 11 (10008)</v>
      </c>
      <c r="S8126" t="s">
        <v>77</v>
      </c>
      <c r="T8126">
        <v>22023</v>
      </c>
      <c r="U8126">
        <v>24048</v>
      </c>
      <c r="V8126" t="s">
        <v>77</v>
      </c>
    </row>
    <row r="8127" spans="1:22">
      <c r="A8127" t="str">
        <f t="shared" si="1511"/>
        <v>30/10/2025</v>
      </c>
      <c r="B8127" t="str">
        <f t="shared" si="1512"/>
        <v>SAÍDA</v>
      </c>
      <c r="C8127" t="str">
        <f t="shared" si="1514"/>
        <v>PIX</v>
      </c>
      <c r="D8127" t="str">
        <f>"24049"</f>
        <v>24049</v>
      </c>
      <c r="E8127" t="str">
        <f t="shared" si="1515"/>
        <v>1</v>
      </c>
      <c r="F8127" t="str">
        <f t="shared" si="1517"/>
        <v>COM</v>
      </c>
      <c r="G8127" t="str">
        <f>"PAULO MARCOS FARIA DE SOUZA L (233)"</f>
        <v>PAULO MARCOS FARIA DE SOUZA L (233)</v>
      </c>
      <c r="H8127" t="str">
        <f>"Serv.Prest. 13/10/2025 a 19/10/2025 - PIX: CELULAR - CHAVE: (35) 99264-4504"</f>
        <v>Serv.Prest. 13/10/2025 a 19/10/2025 - PIX: CELULAR - CHAVE: (35) 99264-4504</v>
      </c>
      <c r="I8127" t="str">
        <f t="shared" si="1513"/>
        <v>30/10/2025</v>
      </c>
      <c r="J8127" t="str">
        <f t="shared" si="1516"/>
        <v>21/10/2025</v>
      </c>
      <c r="K8127" t="str">
        <f>("30/10/2025")</f>
        <v>30/10/2025</v>
      </c>
      <c r="L8127">
        <v>500</v>
      </c>
      <c r="M8127">
        <v>500</v>
      </c>
      <c r="N8127">
        <v>109</v>
      </c>
      <c r="O8127" t="str">
        <f>"PAGAMENTO DE ENTREGADORES"</f>
        <v>PAGAMENTO DE ENTREGADORES</v>
      </c>
      <c r="P8127">
        <v>500</v>
      </c>
      <c r="S8127" t="str">
        <f>"BANCO C6 (149)"</f>
        <v>BANCO C6 (149)</v>
      </c>
      <c r="T8127">
        <v>22024</v>
      </c>
      <c r="U8127">
        <v>24049</v>
      </c>
      <c r="V8127" t="s">
        <v>77</v>
      </c>
    </row>
    <row r="8128" spans="1:22">
      <c r="A8128" t="str">
        <f t="shared" si="1511"/>
        <v>30/10/2025</v>
      </c>
      <c r="B8128" t="str">
        <f t="shared" si="1512"/>
        <v>SAÍDA</v>
      </c>
      <c r="C8128" t="str">
        <f t="shared" si="1514"/>
        <v>PIX</v>
      </c>
      <c r="D8128" t="str">
        <f>"24049"</f>
        <v>24049</v>
      </c>
      <c r="E8128" t="str">
        <f t="shared" si="1515"/>
        <v>1</v>
      </c>
      <c r="F8128" t="str">
        <f t="shared" si="1517"/>
        <v>COM</v>
      </c>
      <c r="G8128" t="str">
        <f>"PAULO MARCOS FARIA DE SOUZA L (233)"</f>
        <v>PAULO MARCOS FARIA DE SOUZA L (233)</v>
      </c>
      <c r="H8128" t="s">
        <v>2278</v>
      </c>
      <c r="I8128" t="str">
        <f t="shared" si="1513"/>
        <v>30/10/2025</v>
      </c>
      <c r="J8128" t="str">
        <f t="shared" si="1516"/>
        <v>21/10/2025</v>
      </c>
      <c r="K8128">
        <v>45960</v>
      </c>
      <c r="N8128">
        <v>109</v>
      </c>
      <c r="O8128" t="s">
        <v>24</v>
      </c>
      <c r="Q8128">
        <v>500</v>
      </c>
      <c r="R8128" t="str">
        <f>"FARMÁCIA INDIANA LJ 64 (10029)"</f>
        <v>FARMÁCIA INDIANA LJ 64 (10029)</v>
      </c>
      <c r="S8128" t="s">
        <v>77</v>
      </c>
      <c r="T8128">
        <v>22024</v>
      </c>
      <c r="U8128">
        <v>24049</v>
      </c>
      <c r="V8128" t="s">
        <v>77</v>
      </c>
    </row>
    <row r="8129" spans="1:22">
      <c r="A8129" t="str">
        <f t="shared" si="1511"/>
        <v>30/10/2025</v>
      </c>
      <c r="B8129" t="str">
        <f t="shared" si="1512"/>
        <v>SAÍDA</v>
      </c>
      <c r="C8129" t="str">
        <f t="shared" si="1514"/>
        <v>PIX</v>
      </c>
      <c r="D8129" t="str">
        <f>"24050"</f>
        <v>24050</v>
      </c>
      <c r="E8129" t="str">
        <f t="shared" si="1515"/>
        <v>1</v>
      </c>
      <c r="F8129" t="str">
        <f t="shared" si="1517"/>
        <v>COM</v>
      </c>
      <c r="G8129" t="str">
        <f>"PEDRO HENRIQUE DA SILVA COSTA OLIVEIRA (852)"</f>
        <v>PEDRO HENRIQUE DA SILVA COSTA OLIVEIRA (852)</v>
      </c>
      <c r="H8129" t="str">
        <f>"Serv.Prest. 13/10/2025 a 19/10/2025 - PIX: E-MAIL - CHAVE: sypedrinho@gmail.com"</f>
        <v>Serv.Prest. 13/10/2025 a 19/10/2025 - PIX: E-MAIL - CHAVE: sypedrinho@gmail.com</v>
      </c>
      <c r="I8129" t="str">
        <f t="shared" si="1513"/>
        <v>30/10/2025</v>
      </c>
      <c r="J8129" t="str">
        <f t="shared" si="1516"/>
        <v>21/10/2025</v>
      </c>
      <c r="K8129" t="str">
        <f>("30/10/2025")</f>
        <v>30/10/2025</v>
      </c>
      <c r="L8129">
        <v>602</v>
      </c>
      <c r="M8129">
        <v>602</v>
      </c>
      <c r="N8129">
        <v>109</v>
      </c>
      <c r="O8129" t="str">
        <f>"PAGAMENTO DE ENTREGADORES"</f>
        <v>PAGAMENTO DE ENTREGADORES</v>
      </c>
      <c r="P8129">
        <v>602</v>
      </c>
      <c r="S8129" t="str">
        <f>"BANCO C6 (149)"</f>
        <v>BANCO C6 (149)</v>
      </c>
      <c r="T8129">
        <v>22025</v>
      </c>
      <c r="U8129">
        <v>24050</v>
      </c>
      <c r="V8129" t="s">
        <v>77</v>
      </c>
    </row>
    <row r="8130" spans="1:22">
      <c r="A8130" t="str">
        <f t="shared" si="1511"/>
        <v>30/10/2025</v>
      </c>
      <c r="B8130" t="str">
        <f t="shared" si="1512"/>
        <v>SAÍDA</v>
      </c>
      <c r="C8130" t="str">
        <f t="shared" si="1514"/>
        <v>PIX</v>
      </c>
      <c r="D8130" t="str">
        <f>"24050"</f>
        <v>24050</v>
      </c>
      <c r="E8130" t="str">
        <f t="shared" si="1515"/>
        <v>1</v>
      </c>
      <c r="F8130" t="str">
        <f t="shared" si="1517"/>
        <v>COM</v>
      </c>
      <c r="G8130" t="str">
        <f>"PEDRO HENRIQUE DA SILVA COSTA OLIVEIRA (852)"</f>
        <v>PEDRO HENRIQUE DA SILVA COSTA OLIVEIRA (852)</v>
      </c>
      <c r="H8130" t="s">
        <v>2188</v>
      </c>
      <c r="I8130" t="str">
        <f t="shared" si="1513"/>
        <v>30/10/2025</v>
      </c>
      <c r="J8130" t="str">
        <f t="shared" si="1516"/>
        <v>21/10/2025</v>
      </c>
      <c r="K8130">
        <v>45960</v>
      </c>
      <c r="N8130">
        <v>109</v>
      </c>
      <c r="O8130" t="s">
        <v>24</v>
      </c>
      <c r="Q8130">
        <v>602</v>
      </c>
      <c r="R8130" t="str">
        <f>"FARMÁCIA INDIANA LJ 110 (10048)"</f>
        <v>FARMÁCIA INDIANA LJ 110 (10048)</v>
      </c>
      <c r="S8130" t="s">
        <v>77</v>
      </c>
      <c r="T8130">
        <v>22025</v>
      </c>
      <c r="U8130">
        <v>24050</v>
      </c>
      <c r="V8130" t="s">
        <v>77</v>
      </c>
    </row>
    <row r="8131" spans="1:22">
      <c r="A8131" t="str">
        <f t="shared" si="1511"/>
        <v>30/10/2025</v>
      </c>
      <c r="B8131" t="str">
        <f t="shared" si="1512"/>
        <v>SAÍDA</v>
      </c>
      <c r="C8131" t="str">
        <f t="shared" si="1514"/>
        <v>PIX</v>
      </c>
      <c r="D8131" t="str">
        <f>"24051"</f>
        <v>24051</v>
      </c>
      <c r="E8131" t="str">
        <f t="shared" si="1515"/>
        <v>1</v>
      </c>
      <c r="F8131" t="str">
        <f t="shared" si="1517"/>
        <v>COM</v>
      </c>
      <c r="G8131" t="str">
        <f>"PHABLO HEINRICK VALADARES FERREIRA (989)"</f>
        <v>PHABLO HEINRICK VALADARES FERREIRA (989)</v>
      </c>
      <c r="H8131" t="str">
        <f>"Serv.Prest. 13/10/2025 a 19/10/2025 - PIX: CPF - CHAVE: 135.640.066-30"</f>
        <v>Serv.Prest. 13/10/2025 a 19/10/2025 - PIX: CPF - CHAVE: 135.640.066-30</v>
      </c>
      <c r="I8131" t="str">
        <f t="shared" si="1513"/>
        <v>30/10/2025</v>
      </c>
      <c r="J8131" t="str">
        <f t="shared" si="1516"/>
        <v>21/10/2025</v>
      </c>
      <c r="K8131" t="str">
        <f>("30/10/2025")</f>
        <v>30/10/2025</v>
      </c>
      <c r="L8131">
        <v>702</v>
      </c>
      <c r="M8131">
        <v>702</v>
      </c>
      <c r="N8131">
        <v>109</v>
      </c>
      <c r="O8131" t="str">
        <f>"PAGAMENTO DE ENTREGADORES"</f>
        <v>PAGAMENTO DE ENTREGADORES</v>
      </c>
      <c r="P8131">
        <v>702</v>
      </c>
      <c r="S8131" t="str">
        <f>"BANCO C6 (149)"</f>
        <v>BANCO C6 (149)</v>
      </c>
      <c r="T8131">
        <v>22026</v>
      </c>
      <c r="U8131">
        <v>24051</v>
      </c>
      <c r="V8131" t="s">
        <v>77</v>
      </c>
    </row>
    <row r="8132" spans="1:22">
      <c r="A8132" t="str">
        <f t="shared" si="1511"/>
        <v>30/10/2025</v>
      </c>
      <c r="B8132" t="str">
        <f t="shared" si="1512"/>
        <v>SAÍDA</v>
      </c>
      <c r="C8132" t="str">
        <f t="shared" si="1514"/>
        <v>PIX</v>
      </c>
      <c r="D8132" t="str">
        <f>"24051"</f>
        <v>24051</v>
      </c>
      <c r="E8132" t="str">
        <f t="shared" si="1515"/>
        <v>1</v>
      </c>
      <c r="F8132" t="str">
        <f t="shared" si="1517"/>
        <v>COM</v>
      </c>
      <c r="G8132" t="str">
        <f>"PHABLO HEINRICK VALADARES FERREIRA (989)"</f>
        <v>PHABLO HEINRICK VALADARES FERREIRA (989)</v>
      </c>
      <c r="H8132" t="s">
        <v>2279</v>
      </c>
      <c r="I8132" t="str">
        <f t="shared" si="1513"/>
        <v>30/10/2025</v>
      </c>
      <c r="J8132" t="str">
        <f t="shared" si="1516"/>
        <v>21/10/2025</v>
      </c>
      <c r="K8132">
        <v>45960</v>
      </c>
      <c r="N8132">
        <v>109</v>
      </c>
      <c r="O8132" t="s">
        <v>24</v>
      </c>
      <c r="Q8132">
        <v>702</v>
      </c>
      <c r="R8132" t="str">
        <f>"FARMÁCIA INDIANA LJ 101 (10043)"</f>
        <v>FARMÁCIA INDIANA LJ 101 (10043)</v>
      </c>
      <c r="S8132" t="s">
        <v>77</v>
      </c>
      <c r="T8132">
        <v>22026</v>
      </c>
      <c r="U8132">
        <v>24051</v>
      </c>
      <c r="V8132" t="s">
        <v>77</v>
      </c>
    </row>
    <row r="8133" spans="1:22">
      <c r="A8133" t="str">
        <f t="shared" si="1511"/>
        <v>30/10/2025</v>
      </c>
      <c r="B8133" t="str">
        <f t="shared" si="1512"/>
        <v>SAÍDA</v>
      </c>
      <c r="C8133" t="str">
        <f t="shared" si="1514"/>
        <v>PIX</v>
      </c>
      <c r="D8133" t="str">
        <f>"24053"</f>
        <v>24053</v>
      </c>
      <c r="E8133" t="str">
        <f t="shared" si="1515"/>
        <v>1</v>
      </c>
      <c r="F8133" t="str">
        <f t="shared" si="1517"/>
        <v>COM</v>
      </c>
      <c r="G8133" t="str">
        <f>"RAISSON VITOR MENDES DE ABREU (705)"</f>
        <v>RAISSON VITOR MENDES DE ABREU (705)</v>
      </c>
      <c r="H8133" t="str">
        <f>"Serv.Prest. 13/10/2025 a 19/10/2025 - PIX: CELULAR - CHAVE: (31) 99959-5414"</f>
        <v>Serv.Prest. 13/10/2025 a 19/10/2025 - PIX: CELULAR - CHAVE: (31) 99959-5414</v>
      </c>
      <c r="I8133" t="str">
        <f t="shared" si="1513"/>
        <v>30/10/2025</v>
      </c>
      <c r="J8133" t="str">
        <f t="shared" si="1516"/>
        <v>21/10/2025</v>
      </c>
      <c r="K8133" t="str">
        <f>("30/10/2025")</f>
        <v>30/10/2025</v>
      </c>
      <c r="L8133">
        <v>800</v>
      </c>
      <c r="M8133">
        <v>800</v>
      </c>
      <c r="N8133">
        <v>109</v>
      </c>
      <c r="O8133" t="str">
        <f>"PAGAMENTO DE ENTREGADORES"</f>
        <v>PAGAMENTO DE ENTREGADORES</v>
      </c>
      <c r="P8133">
        <v>800</v>
      </c>
      <c r="S8133" t="str">
        <f>"BANCO C6 (149)"</f>
        <v>BANCO C6 (149)</v>
      </c>
      <c r="T8133">
        <v>22027</v>
      </c>
      <c r="U8133">
        <v>24053</v>
      </c>
      <c r="V8133" t="s">
        <v>77</v>
      </c>
    </row>
    <row r="8134" spans="1:22">
      <c r="A8134" t="str">
        <f t="shared" si="1511"/>
        <v>30/10/2025</v>
      </c>
      <c r="B8134" t="str">
        <f t="shared" si="1512"/>
        <v>SAÍDA</v>
      </c>
      <c r="C8134" t="str">
        <f t="shared" si="1514"/>
        <v>PIX</v>
      </c>
      <c r="D8134" t="str">
        <f>"24053"</f>
        <v>24053</v>
      </c>
      <c r="E8134" t="str">
        <f t="shared" si="1515"/>
        <v>1</v>
      </c>
      <c r="F8134" t="str">
        <f t="shared" si="1517"/>
        <v>COM</v>
      </c>
      <c r="G8134" t="str">
        <f>"RAISSON VITOR MENDES DE ABREU (705)"</f>
        <v>RAISSON VITOR MENDES DE ABREU (705)</v>
      </c>
      <c r="H8134" t="s">
        <v>2280</v>
      </c>
      <c r="I8134" t="str">
        <f t="shared" si="1513"/>
        <v>30/10/2025</v>
      </c>
      <c r="J8134" t="str">
        <f t="shared" si="1516"/>
        <v>21/10/2025</v>
      </c>
      <c r="K8134">
        <v>45960</v>
      </c>
      <c r="N8134">
        <v>109</v>
      </c>
      <c r="O8134" t="s">
        <v>24</v>
      </c>
      <c r="Q8134">
        <v>800</v>
      </c>
      <c r="R8134" t="str">
        <f>"FARMÁCIA INDIANA LJ 178 (10077)"</f>
        <v>FARMÁCIA INDIANA LJ 178 (10077)</v>
      </c>
      <c r="S8134" t="s">
        <v>77</v>
      </c>
      <c r="T8134">
        <v>22027</v>
      </c>
      <c r="U8134">
        <v>24053</v>
      </c>
      <c r="V8134" t="s">
        <v>77</v>
      </c>
    </row>
    <row r="8135" spans="1:22">
      <c r="A8135" t="str">
        <f t="shared" si="1511"/>
        <v>30/10/2025</v>
      </c>
      <c r="B8135" t="str">
        <f t="shared" si="1512"/>
        <v>SAÍDA</v>
      </c>
      <c r="C8135" t="str">
        <f t="shared" si="1514"/>
        <v>PIX</v>
      </c>
      <c r="D8135" t="str">
        <f>"24054"</f>
        <v>24054</v>
      </c>
      <c r="E8135" t="str">
        <f t="shared" si="1515"/>
        <v>1</v>
      </c>
      <c r="F8135" t="str">
        <f t="shared" si="1517"/>
        <v>COM</v>
      </c>
      <c r="G8135" t="str">
        <f>"RENATO GEORGE GONÇALVES (191)"</f>
        <v>RENATO GEORGE GONÇALVES (191)</v>
      </c>
      <c r="H8135" t="str">
        <f>"Serv.Prest. 13/10/2025 a 19/10/2025 - PIX: CPF - CHAVE: 012.783.036-77"</f>
        <v>Serv.Prest. 13/10/2025 a 19/10/2025 - PIX: CPF - CHAVE: 012.783.036-77</v>
      </c>
      <c r="I8135" t="str">
        <f t="shared" si="1513"/>
        <v>30/10/2025</v>
      </c>
      <c r="J8135" t="str">
        <f t="shared" si="1516"/>
        <v>21/10/2025</v>
      </c>
      <c r="K8135" t="str">
        <f>("30/10/2025")</f>
        <v>30/10/2025</v>
      </c>
      <c r="L8135">
        <v>1260</v>
      </c>
      <c r="M8135">
        <v>1260</v>
      </c>
      <c r="N8135">
        <v>109</v>
      </c>
      <c r="O8135" t="str">
        <f>"PAGAMENTO DE ENTREGADORES"</f>
        <v>PAGAMENTO DE ENTREGADORES</v>
      </c>
      <c r="P8135">
        <v>1260</v>
      </c>
      <c r="S8135" t="str">
        <f>"BANCO C6 (149)"</f>
        <v>BANCO C6 (149)</v>
      </c>
      <c r="T8135">
        <v>22028</v>
      </c>
      <c r="U8135">
        <v>24054</v>
      </c>
      <c r="V8135" t="s">
        <v>77</v>
      </c>
    </row>
    <row r="8136" spans="1:22">
      <c r="A8136" t="str">
        <f t="shared" si="1511"/>
        <v>30/10/2025</v>
      </c>
      <c r="B8136" t="str">
        <f t="shared" si="1512"/>
        <v>SAÍDA</v>
      </c>
      <c r="C8136" t="str">
        <f t="shared" si="1514"/>
        <v>PIX</v>
      </c>
      <c r="D8136" t="str">
        <f>"24054"</f>
        <v>24054</v>
      </c>
      <c r="E8136" t="str">
        <f t="shared" si="1515"/>
        <v>1</v>
      </c>
      <c r="F8136" t="str">
        <f t="shared" si="1517"/>
        <v>COM</v>
      </c>
      <c r="G8136" t="str">
        <f>"RENATO GEORGE GONÇALVES (191)"</f>
        <v>RENATO GEORGE GONÇALVES (191)</v>
      </c>
      <c r="H8136" t="s">
        <v>2281</v>
      </c>
      <c r="I8136" t="str">
        <f t="shared" si="1513"/>
        <v>30/10/2025</v>
      </c>
      <c r="J8136" t="str">
        <f t="shared" si="1516"/>
        <v>21/10/2025</v>
      </c>
      <c r="K8136">
        <v>45960</v>
      </c>
      <c r="N8136">
        <v>109</v>
      </c>
      <c r="O8136" t="s">
        <v>24</v>
      </c>
      <c r="Q8136">
        <v>1260</v>
      </c>
      <c r="R8136" t="str">
        <f>"FARMÁCIA INDIANA LJ 06 (10006)"</f>
        <v>FARMÁCIA INDIANA LJ 06 (10006)</v>
      </c>
      <c r="S8136" t="s">
        <v>77</v>
      </c>
      <c r="T8136">
        <v>22028</v>
      </c>
      <c r="U8136">
        <v>24054</v>
      </c>
      <c r="V8136" t="s">
        <v>77</v>
      </c>
    </row>
    <row r="8137" spans="1:22">
      <c r="A8137" t="str">
        <f t="shared" si="1511"/>
        <v>30/10/2025</v>
      </c>
      <c r="B8137" t="str">
        <f t="shared" si="1512"/>
        <v>SAÍDA</v>
      </c>
      <c r="C8137" t="str">
        <f t="shared" si="1514"/>
        <v>PIX</v>
      </c>
      <c r="D8137" t="str">
        <f>"24055"</f>
        <v>24055</v>
      </c>
      <c r="E8137" t="str">
        <f t="shared" si="1515"/>
        <v>1</v>
      </c>
      <c r="F8137" t="str">
        <f t="shared" si="1517"/>
        <v>COM</v>
      </c>
      <c r="G8137" t="str">
        <f>"RHUAN PEGO RODRIGUES (984)"</f>
        <v>RHUAN PEGO RODRIGUES (984)</v>
      </c>
      <c r="H8137" t="str">
        <f>"Serv.Prest. 13/10/2025 a 19/10/2025 - PIX: E-MAIL - CHAVE: rhupego@gmail.com"</f>
        <v>Serv.Prest. 13/10/2025 a 19/10/2025 - PIX: E-MAIL - CHAVE: rhupego@gmail.com</v>
      </c>
      <c r="I8137" t="str">
        <f t="shared" si="1513"/>
        <v>30/10/2025</v>
      </c>
      <c r="J8137" t="str">
        <f t="shared" si="1516"/>
        <v>21/10/2025</v>
      </c>
      <c r="K8137" t="str">
        <f>("30/10/2025")</f>
        <v>30/10/2025</v>
      </c>
      <c r="L8137">
        <v>246</v>
      </c>
      <c r="M8137">
        <v>246</v>
      </c>
      <c r="N8137">
        <v>109</v>
      </c>
      <c r="O8137" t="str">
        <f>"PAGAMENTO DE ENTREGADORES"</f>
        <v>PAGAMENTO DE ENTREGADORES</v>
      </c>
      <c r="P8137">
        <v>246</v>
      </c>
      <c r="S8137" t="str">
        <f>"BANCO C6 (149)"</f>
        <v>BANCO C6 (149)</v>
      </c>
      <c r="T8137">
        <v>22029</v>
      </c>
      <c r="U8137">
        <v>24055</v>
      </c>
      <c r="V8137" t="s">
        <v>77</v>
      </c>
    </row>
    <row r="8138" spans="1:22">
      <c r="A8138" t="str">
        <f t="shared" si="1511"/>
        <v>30/10/2025</v>
      </c>
      <c r="B8138" t="str">
        <f t="shared" si="1512"/>
        <v>SAÍDA</v>
      </c>
      <c r="C8138" t="str">
        <f t="shared" si="1514"/>
        <v>PIX</v>
      </c>
      <c r="D8138" t="str">
        <f>"24055"</f>
        <v>24055</v>
      </c>
      <c r="E8138" t="str">
        <f t="shared" si="1515"/>
        <v>1</v>
      </c>
      <c r="F8138" t="str">
        <f t="shared" si="1517"/>
        <v>COM</v>
      </c>
      <c r="G8138" t="str">
        <f>"RHUAN PEGO RODRIGUES (984)"</f>
        <v>RHUAN PEGO RODRIGUES (984)</v>
      </c>
      <c r="H8138" t="s">
        <v>2282</v>
      </c>
      <c r="I8138" t="str">
        <f t="shared" si="1513"/>
        <v>30/10/2025</v>
      </c>
      <c r="J8138" t="str">
        <f t="shared" si="1516"/>
        <v>21/10/2025</v>
      </c>
      <c r="K8138">
        <v>45960</v>
      </c>
      <c r="N8138">
        <v>109</v>
      </c>
      <c r="O8138" t="s">
        <v>24</v>
      </c>
      <c r="Q8138">
        <v>246</v>
      </c>
      <c r="R8138" t="str">
        <f>"FARMÁCIA INDIANA LJ 07 (10007)"</f>
        <v>FARMÁCIA INDIANA LJ 07 (10007)</v>
      </c>
      <c r="S8138" t="s">
        <v>77</v>
      </c>
      <c r="T8138">
        <v>22029</v>
      </c>
      <c r="U8138">
        <v>24055</v>
      </c>
      <c r="V8138" t="s">
        <v>77</v>
      </c>
    </row>
    <row r="8139" spans="1:22">
      <c r="A8139" t="str">
        <f t="shared" si="1511"/>
        <v>30/10/2025</v>
      </c>
      <c r="B8139" t="str">
        <f t="shared" si="1512"/>
        <v>SAÍDA</v>
      </c>
      <c r="C8139" t="str">
        <f t="shared" si="1514"/>
        <v>PIX</v>
      </c>
      <c r="D8139" t="str">
        <f>"24056"</f>
        <v>24056</v>
      </c>
      <c r="E8139" t="str">
        <f t="shared" si="1515"/>
        <v>1</v>
      </c>
      <c r="F8139" t="str">
        <f t="shared" si="1517"/>
        <v>COM</v>
      </c>
      <c r="G8139" t="str">
        <f>"RICARDO NASCIMENTO DE SOUZA (146)"</f>
        <v>RICARDO NASCIMENTO DE SOUZA (146)</v>
      </c>
      <c r="H8139" t="str">
        <f>"Serv.Prest. 13/10/2025 a 19/10/2025 - PIX: CELULAR - CHAVE: (31) 98891-8440"</f>
        <v>Serv.Prest. 13/10/2025 a 19/10/2025 - PIX: CELULAR - CHAVE: (31) 98891-8440</v>
      </c>
      <c r="I8139" t="str">
        <f t="shared" si="1513"/>
        <v>30/10/2025</v>
      </c>
      <c r="J8139" t="str">
        <f t="shared" si="1516"/>
        <v>21/10/2025</v>
      </c>
      <c r="K8139" t="str">
        <f>("30/10/2025")</f>
        <v>30/10/2025</v>
      </c>
      <c r="L8139">
        <v>816</v>
      </c>
      <c r="M8139">
        <v>822</v>
      </c>
      <c r="N8139">
        <v>109</v>
      </c>
      <c r="O8139" t="str">
        <f>"PAGAMENTO DE ENTREGADORES"</f>
        <v>PAGAMENTO DE ENTREGADORES</v>
      </c>
      <c r="P8139">
        <v>822</v>
      </c>
      <c r="S8139" t="str">
        <f>"BANCO C6 (149)"</f>
        <v>BANCO C6 (149)</v>
      </c>
      <c r="T8139">
        <v>22030</v>
      </c>
      <c r="U8139">
        <v>24056</v>
      </c>
      <c r="V8139" t="s">
        <v>77</v>
      </c>
    </row>
    <row r="8140" spans="1:22">
      <c r="A8140" t="str">
        <f t="shared" si="1511"/>
        <v>30/10/2025</v>
      </c>
      <c r="B8140" t="str">
        <f t="shared" si="1512"/>
        <v>SAÍDA</v>
      </c>
      <c r="C8140" t="str">
        <f t="shared" si="1514"/>
        <v>PIX</v>
      </c>
      <c r="D8140" t="str">
        <f>"24056"</f>
        <v>24056</v>
      </c>
      <c r="E8140" t="str">
        <f t="shared" si="1515"/>
        <v>1</v>
      </c>
      <c r="F8140" t="str">
        <f t="shared" si="1517"/>
        <v>COM</v>
      </c>
      <c r="G8140" t="str">
        <f>"RICARDO NASCIMENTO DE SOUZA (146)"</f>
        <v>RICARDO NASCIMENTO DE SOUZA (146)</v>
      </c>
      <c r="H8140" t="s">
        <v>2283</v>
      </c>
      <c r="I8140" t="str">
        <f t="shared" si="1513"/>
        <v>30/10/2025</v>
      </c>
      <c r="J8140" t="str">
        <f t="shared" si="1516"/>
        <v>21/10/2025</v>
      </c>
      <c r="K8140">
        <v>45960</v>
      </c>
      <c r="N8140">
        <v>109</v>
      </c>
      <c r="O8140" t="s">
        <v>24</v>
      </c>
      <c r="Q8140">
        <v>822</v>
      </c>
      <c r="R8140" t="str">
        <f>"FARMÁCIA INDIANA LJ 19 (10012)"</f>
        <v>FARMÁCIA INDIANA LJ 19 (10012)</v>
      </c>
      <c r="S8140" t="s">
        <v>77</v>
      </c>
      <c r="T8140">
        <v>22030</v>
      </c>
      <c r="U8140">
        <v>24056</v>
      </c>
      <c r="V8140" t="s">
        <v>77</v>
      </c>
    </row>
    <row r="8141" spans="1:22">
      <c r="A8141" t="str">
        <f t="shared" ref="A8141:A8204" si="1518">("30/10/2025")</f>
        <v>30/10/2025</v>
      </c>
      <c r="B8141" t="str">
        <f t="shared" si="1512"/>
        <v>SAÍDA</v>
      </c>
      <c r="C8141" t="str">
        <f t="shared" si="1514"/>
        <v>PIX</v>
      </c>
      <c r="D8141" t="str">
        <f>"24057"</f>
        <v>24057</v>
      </c>
      <c r="E8141" t="str">
        <f t="shared" si="1515"/>
        <v>1</v>
      </c>
      <c r="F8141" t="str">
        <f t="shared" si="1517"/>
        <v>COM</v>
      </c>
      <c r="G8141" t="str">
        <f>"ROGÉRIO LAURINDO BORGES (176)"</f>
        <v>ROGÉRIO LAURINDO BORGES (176)</v>
      </c>
      <c r="H8141" t="str">
        <f>"Serv.Prest. 13/10/2025 a 19/10/2025 - PIX: E-MAIL - CHAVE: roger.l.borges04@gmail.com"</f>
        <v>Serv.Prest. 13/10/2025 a 19/10/2025 - PIX: E-MAIL - CHAVE: roger.l.borges04@gmail.com</v>
      </c>
      <c r="I8141" t="str">
        <f t="shared" si="1513"/>
        <v>30/10/2025</v>
      </c>
      <c r="J8141" t="str">
        <f t="shared" si="1516"/>
        <v>21/10/2025</v>
      </c>
      <c r="K8141" t="str">
        <f>("30/10/2025")</f>
        <v>30/10/2025</v>
      </c>
      <c r="L8141">
        <v>1002</v>
      </c>
      <c r="M8141">
        <v>1002</v>
      </c>
      <c r="N8141">
        <v>109</v>
      </c>
      <c r="O8141" t="str">
        <f>"PAGAMENTO DE ENTREGADORES"</f>
        <v>PAGAMENTO DE ENTREGADORES</v>
      </c>
      <c r="P8141">
        <v>1002</v>
      </c>
      <c r="S8141" t="str">
        <f>"BANCO C6 (149)"</f>
        <v>BANCO C6 (149)</v>
      </c>
      <c r="T8141">
        <v>22031</v>
      </c>
      <c r="U8141">
        <v>24057</v>
      </c>
      <c r="V8141" t="s">
        <v>77</v>
      </c>
    </row>
    <row r="8142" spans="1:22">
      <c r="A8142" t="str">
        <f t="shared" si="1518"/>
        <v>30/10/2025</v>
      </c>
      <c r="B8142" t="str">
        <f t="shared" ref="B8142:B8205" si="1519">"SAÍDA"</f>
        <v>SAÍDA</v>
      </c>
      <c r="C8142" t="str">
        <f t="shared" si="1514"/>
        <v>PIX</v>
      </c>
      <c r="D8142" t="str">
        <f>"24057"</f>
        <v>24057</v>
      </c>
      <c r="E8142" t="str">
        <f t="shared" si="1515"/>
        <v>1</v>
      </c>
      <c r="F8142" t="str">
        <f t="shared" si="1517"/>
        <v>COM</v>
      </c>
      <c r="G8142" t="str">
        <f>"ROGÉRIO LAURINDO BORGES (176)"</f>
        <v>ROGÉRIO LAURINDO BORGES (176)</v>
      </c>
      <c r="H8142" t="s">
        <v>2284</v>
      </c>
      <c r="I8142" t="str">
        <f t="shared" ref="I8142:I8205" si="1520">("30/10/2025")</f>
        <v>30/10/2025</v>
      </c>
      <c r="J8142" t="str">
        <f t="shared" si="1516"/>
        <v>21/10/2025</v>
      </c>
      <c r="K8142">
        <v>45960</v>
      </c>
      <c r="N8142">
        <v>109</v>
      </c>
      <c r="O8142" t="s">
        <v>24</v>
      </c>
      <c r="Q8142">
        <v>1002</v>
      </c>
      <c r="R8142" t="str">
        <f>"FARMÁCIA INDIANA LJ 142 (10066)"</f>
        <v>FARMÁCIA INDIANA LJ 142 (10066)</v>
      </c>
      <c r="S8142" t="s">
        <v>77</v>
      </c>
      <c r="T8142">
        <v>22031</v>
      </c>
      <c r="U8142">
        <v>24057</v>
      </c>
      <c r="V8142" t="s">
        <v>77</v>
      </c>
    </row>
    <row r="8143" spans="1:22">
      <c r="A8143" t="str">
        <f t="shared" si="1518"/>
        <v>30/10/2025</v>
      </c>
      <c r="B8143" t="str">
        <f t="shared" si="1519"/>
        <v>SAÍDA</v>
      </c>
      <c r="C8143" t="str">
        <f t="shared" si="1514"/>
        <v>PIX</v>
      </c>
      <c r="D8143" t="str">
        <f>"24058"</f>
        <v>24058</v>
      </c>
      <c r="E8143" t="str">
        <f t="shared" si="1515"/>
        <v>1</v>
      </c>
      <c r="F8143" t="str">
        <f t="shared" si="1517"/>
        <v>COM</v>
      </c>
      <c r="G8143" t="str">
        <f>"SAMUEL JADSON SANTANA RIBEIRO (55)"</f>
        <v>SAMUEL JADSON SANTANA RIBEIRO (55)</v>
      </c>
      <c r="H8143" t="str">
        <f>"Serv.Prest. 13/10/2025 a 19/10/2025 - PIX: CPF - CHAVE: 701.955.866-62"</f>
        <v>Serv.Prest. 13/10/2025 a 19/10/2025 - PIX: CPF - CHAVE: 701.955.866-62</v>
      </c>
      <c r="I8143" t="str">
        <f t="shared" si="1520"/>
        <v>30/10/2025</v>
      </c>
      <c r="J8143" t="str">
        <f t="shared" si="1516"/>
        <v>21/10/2025</v>
      </c>
      <c r="K8143" t="str">
        <f>("30/10/2025")</f>
        <v>30/10/2025</v>
      </c>
      <c r="L8143">
        <v>846</v>
      </c>
      <c r="M8143">
        <v>846</v>
      </c>
      <c r="N8143">
        <v>109</v>
      </c>
      <c r="O8143" t="str">
        <f>"PAGAMENTO DE ENTREGADORES"</f>
        <v>PAGAMENTO DE ENTREGADORES</v>
      </c>
      <c r="P8143">
        <v>846</v>
      </c>
      <c r="S8143" t="str">
        <f>"BANCO C6 (149)"</f>
        <v>BANCO C6 (149)</v>
      </c>
      <c r="T8143">
        <v>22032</v>
      </c>
      <c r="U8143">
        <v>24058</v>
      </c>
      <c r="V8143" t="s">
        <v>77</v>
      </c>
    </row>
    <row r="8144" spans="1:22">
      <c r="A8144" t="str">
        <f t="shared" si="1518"/>
        <v>30/10/2025</v>
      </c>
      <c r="B8144" t="str">
        <f t="shared" si="1519"/>
        <v>SAÍDA</v>
      </c>
      <c r="C8144" t="str">
        <f t="shared" ref="C8144:C8207" si="1521">"PIX"</f>
        <v>PIX</v>
      </c>
      <c r="D8144" t="str">
        <f>"24058"</f>
        <v>24058</v>
      </c>
      <c r="E8144" t="str">
        <f t="shared" si="1515"/>
        <v>1</v>
      </c>
      <c r="F8144" t="str">
        <f t="shared" si="1517"/>
        <v>COM</v>
      </c>
      <c r="G8144" t="str">
        <f>"SAMUEL JADSON SANTANA RIBEIRO (55)"</f>
        <v>SAMUEL JADSON SANTANA RIBEIRO (55)</v>
      </c>
      <c r="H8144" t="s">
        <v>2285</v>
      </c>
      <c r="I8144" t="str">
        <f t="shared" si="1520"/>
        <v>30/10/2025</v>
      </c>
      <c r="J8144" t="str">
        <f t="shared" si="1516"/>
        <v>21/10/2025</v>
      </c>
      <c r="K8144">
        <v>45960</v>
      </c>
      <c r="N8144">
        <v>109</v>
      </c>
      <c r="O8144" t="s">
        <v>24</v>
      </c>
      <c r="Q8144">
        <v>846</v>
      </c>
      <c r="R8144" t="str">
        <f>"FARMÁCIA INDIANA LJ 07 (10007)"</f>
        <v>FARMÁCIA INDIANA LJ 07 (10007)</v>
      </c>
      <c r="S8144" t="s">
        <v>77</v>
      </c>
      <c r="T8144">
        <v>22032</v>
      </c>
      <c r="U8144">
        <v>24058</v>
      </c>
      <c r="V8144" t="s">
        <v>77</v>
      </c>
    </row>
    <row r="8145" spans="1:22">
      <c r="A8145" t="str">
        <f t="shared" si="1518"/>
        <v>30/10/2025</v>
      </c>
      <c r="B8145" t="str">
        <f t="shared" si="1519"/>
        <v>SAÍDA</v>
      </c>
      <c r="C8145" t="str">
        <f t="shared" si="1521"/>
        <v>PIX</v>
      </c>
      <c r="D8145" t="str">
        <f>"24059"</f>
        <v>24059</v>
      </c>
      <c r="E8145" t="str">
        <f t="shared" si="1515"/>
        <v>1</v>
      </c>
      <c r="F8145" t="str">
        <f t="shared" si="1517"/>
        <v>COM</v>
      </c>
      <c r="G8145" t="str">
        <f>"SANRIO OLIVEIRA DO CARMO (579)"</f>
        <v>SANRIO OLIVEIRA DO CARMO (579)</v>
      </c>
      <c r="H8145" t="str">
        <f>"Serv.Prest. 13/10/2025 a 19/10/2025 - PIX: CPF - CHAVE: 118.731.976-75"</f>
        <v>Serv.Prest. 13/10/2025 a 19/10/2025 - PIX: CPF - CHAVE: 118.731.976-75</v>
      </c>
      <c r="I8145" t="str">
        <f t="shared" si="1520"/>
        <v>30/10/2025</v>
      </c>
      <c r="J8145" t="str">
        <f t="shared" si="1516"/>
        <v>21/10/2025</v>
      </c>
      <c r="K8145" t="str">
        <f>("30/10/2025")</f>
        <v>30/10/2025</v>
      </c>
      <c r="L8145">
        <v>894</v>
      </c>
      <c r="M8145">
        <v>894</v>
      </c>
      <c r="N8145">
        <v>109</v>
      </c>
      <c r="O8145" t="str">
        <f>"PAGAMENTO DE ENTREGADORES"</f>
        <v>PAGAMENTO DE ENTREGADORES</v>
      </c>
      <c r="P8145">
        <v>894</v>
      </c>
      <c r="S8145" t="str">
        <f>"BANCO C6 (149)"</f>
        <v>BANCO C6 (149)</v>
      </c>
      <c r="T8145">
        <v>22033</v>
      </c>
      <c r="U8145">
        <v>24059</v>
      </c>
      <c r="V8145" t="s">
        <v>77</v>
      </c>
    </row>
    <row r="8146" spans="1:22">
      <c r="A8146" t="str">
        <f t="shared" si="1518"/>
        <v>30/10/2025</v>
      </c>
      <c r="B8146" t="str">
        <f t="shared" si="1519"/>
        <v>SAÍDA</v>
      </c>
      <c r="C8146" t="str">
        <f t="shared" si="1521"/>
        <v>PIX</v>
      </c>
      <c r="D8146" t="str">
        <f>"24059"</f>
        <v>24059</v>
      </c>
      <c r="E8146" t="str">
        <f t="shared" si="1515"/>
        <v>1</v>
      </c>
      <c r="F8146" t="str">
        <f t="shared" si="1517"/>
        <v>COM</v>
      </c>
      <c r="G8146" t="str">
        <f>"SANRIO OLIVEIRA DO CARMO (579)"</f>
        <v>SANRIO OLIVEIRA DO CARMO (579)</v>
      </c>
      <c r="H8146" t="s">
        <v>2286</v>
      </c>
      <c r="I8146" t="str">
        <f t="shared" si="1520"/>
        <v>30/10/2025</v>
      </c>
      <c r="J8146" t="str">
        <f t="shared" si="1516"/>
        <v>21/10/2025</v>
      </c>
      <c r="K8146">
        <v>45960</v>
      </c>
      <c r="N8146">
        <v>109</v>
      </c>
      <c r="O8146" t="s">
        <v>24</v>
      </c>
      <c r="Q8146">
        <v>894</v>
      </c>
      <c r="R8146" t="str">
        <f>"FARMÁCIA INDIANA LJ 152 (10069)"</f>
        <v>FARMÁCIA INDIANA LJ 152 (10069)</v>
      </c>
      <c r="S8146" t="s">
        <v>77</v>
      </c>
      <c r="T8146">
        <v>22033</v>
      </c>
      <c r="U8146">
        <v>24059</v>
      </c>
      <c r="V8146" t="s">
        <v>77</v>
      </c>
    </row>
    <row r="8147" spans="1:22">
      <c r="A8147" t="str">
        <f t="shared" si="1518"/>
        <v>30/10/2025</v>
      </c>
      <c r="B8147" t="str">
        <f t="shared" si="1519"/>
        <v>SAÍDA</v>
      </c>
      <c r="C8147" t="str">
        <f t="shared" si="1521"/>
        <v>PIX</v>
      </c>
      <c r="D8147" t="str">
        <f>"24060"</f>
        <v>24060</v>
      </c>
      <c r="E8147" t="str">
        <f t="shared" si="1515"/>
        <v>1</v>
      </c>
      <c r="F8147" t="str">
        <f t="shared" si="1517"/>
        <v>COM</v>
      </c>
      <c r="G8147" t="str">
        <f>"SEDNEY GOMES SOARES (87)"</f>
        <v>SEDNEY GOMES SOARES (87)</v>
      </c>
      <c r="H8147" t="str">
        <f>"Serv.Prest. 13/10/2025 a 19/10/2025 - PIX: CPF - CHAVE: 048.151.276-46"</f>
        <v>Serv.Prest. 13/10/2025 a 19/10/2025 - PIX: CPF - CHAVE: 048.151.276-46</v>
      </c>
      <c r="I8147" t="str">
        <f t="shared" si="1520"/>
        <v>30/10/2025</v>
      </c>
      <c r="J8147" t="str">
        <f t="shared" si="1516"/>
        <v>21/10/2025</v>
      </c>
      <c r="K8147" t="str">
        <f>("30/10/2025")</f>
        <v>30/10/2025</v>
      </c>
      <c r="L8147">
        <v>750</v>
      </c>
      <c r="M8147">
        <v>750</v>
      </c>
      <c r="N8147">
        <v>109</v>
      </c>
      <c r="O8147" t="str">
        <f>"PAGAMENTO DE ENTREGADORES"</f>
        <v>PAGAMENTO DE ENTREGADORES</v>
      </c>
      <c r="P8147">
        <v>750</v>
      </c>
      <c r="S8147" t="str">
        <f>"BANCO C6 (149)"</f>
        <v>BANCO C6 (149)</v>
      </c>
      <c r="T8147">
        <v>22034</v>
      </c>
      <c r="U8147">
        <v>24060</v>
      </c>
      <c r="V8147" t="s">
        <v>77</v>
      </c>
    </row>
    <row r="8148" spans="1:22">
      <c r="A8148" t="str">
        <f t="shared" si="1518"/>
        <v>30/10/2025</v>
      </c>
      <c r="B8148" t="str">
        <f t="shared" si="1519"/>
        <v>SAÍDA</v>
      </c>
      <c r="C8148" t="str">
        <f t="shared" si="1521"/>
        <v>PIX</v>
      </c>
      <c r="D8148" t="str">
        <f>"24060"</f>
        <v>24060</v>
      </c>
      <c r="E8148" t="str">
        <f t="shared" si="1515"/>
        <v>1</v>
      </c>
      <c r="F8148" t="str">
        <f t="shared" si="1517"/>
        <v>COM</v>
      </c>
      <c r="G8148" t="str">
        <f>"SEDNEY GOMES SOARES (87)"</f>
        <v>SEDNEY GOMES SOARES (87)</v>
      </c>
      <c r="H8148" t="s">
        <v>2287</v>
      </c>
      <c r="I8148" t="str">
        <f t="shared" si="1520"/>
        <v>30/10/2025</v>
      </c>
      <c r="J8148" t="str">
        <f t="shared" si="1516"/>
        <v>21/10/2025</v>
      </c>
      <c r="K8148">
        <v>45960</v>
      </c>
      <c r="N8148">
        <v>109</v>
      </c>
      <c r="O8148" t="s">
        <v>24</v>
      </c>
      <c r="Q8148">
        <v>223.64</v>
      </c>
      <c r="R8148" t="str">
        <f>"FARMÁCIA INDIANA LJ 97 (10040)"</f>
        <v>FARMÁCIA INDIANA LJ 97 (10040)</v>
      </c>
      <c r="S8148" t="s">
        <v>77</v>
      </c>
      <c r="T8148">
        <v>22034</v>
      </c>
      <c r="U8148">
        <v>24060</v>
      </c>
      <c r="V8148" t="s">
        <v>77</v>
      </c>
    </row>
    <row r="8149" spans="1:22">
      <c r="A8149" t="str">
        <f t="shared" si="1518"/>
        <v>30/10/2025</v>
      </c>
      <c r="B8149" t="str">
        <f t="shared" si="1519"/>
        <v>SAÍDA</v>
      </c>
      <c r="C8149" t="str">
        <f t="shared" si="1521"/>
        <v>PIX</v>
      </c>
      <c r="D8149" t="str">
        <f>"24060"</f>
        <v>24060</v>
      </c>
      <c r="E8149" t="str">
        <f t="shared" si="1515"/>
        <v>1</v>
      </c>
      <c r="F8149" t="str">
        <f t="shared" si="1517"/>
        <v>COM</v>
      </c>
      <c r="G8149" t="str">
        <f>"SEDNEY GOMES SOARES (87)"</f>
        <v>SEDNEY GOMES SOARES (87)</v>
      </c>
      <c r="H8149" t="s">
        <v>2287</v>
      </c>
      <c r="I8149" t="str">
        <f t="shared" si="1520"/>
        <v>30/10/2025</v>
      </c>
      <c r="J8149" t="str">
        <f t="shared" si="1516"/>
        <v>21/10/2025</v>
      </c>
      <c r="K8149">
        <v>45960</v>
      </c>
      <c r="N8149">
        <v>109</v>
      </c>
      <c r="O8149" t="s">
        <v>24</v>
      </c>
      <c r="Q8149">
        <v>315.83</v>
      </c>
      <c r="R8149" t="str">
        <f>"FARMÁCIA INDIANA LJ 111 (10049)"</f>
        <v>FARMÁCIA INDIANA LJ 111 (10049)</v>
      </c>
      <c r="S8149" t="s">
        <v>77</v>
      </c>
      <c r="T8149">
        <v>22034</v>
      </c>
      <c r="U8149">
        <v>24060</v>
      </c>
      <c r="V8149" t="s">
        <v>77</v>
      </c>
    </row>
    <row r="8150" spans="1:22">
      <c r="A8150" t="str">
        <f t="shared" si="1518"/>
        <v>30/10/2025</v>
      </c>
      <c r="B8150" t="str">
        <f t="shared" si="1519"/>
        <v>SAÍDA</v>
      </c>
      <c r="C8150" t="str">
        <f t="shared" si="1521"/>
        <v>PIX</v>
      </c>
      <c r="D8150" t="str">
        <f>"24060"</f>
        <v>24060</v>
      </c>
      <c r="E8150" t="str">
        <f t="shared" si="1515"/>
        <v>1</v>
      </c>
      <c r="F8150" t="str">
        <f t="shared" si="1517"/>
        <v>COM</v>
      </c>
      <c r="G8150" t="str">
        <f>"SEDNEY GOMES SOARES (87)"</f>
        <v>SEDNEY GOMES SOARES (87)</v>
      </c>
      <c r="H8150" t="s">
        <v>2287</v>
      </c>
      <c r="I8150" t="str">
        <f t="shared" si="1520"/>
        <v>30/10/2025</v>
      </c>
      <c r="J8150" t="str">
        <f t="shared" si="1516"/>
        <v>21/10/2025</v>
      </c>
      <c r="K8150">
        <v>45960</v>
      </c>
      <c r="N8150">
        <v>109</v>
      </c>
      <c r="O8150" t="s">
        <v>24</v>
      </c>
      <c r="Q8150">
        <v>210.53</v>
      </c>
      <c r="R8150" t="str">
        <f>"FARMÁCIA INDIANA LJ 143 (10067)"</f>
        <v>FARMÁCIA INDIANA LJ 143 (10067)</v>
      </c>
      <c r="S8150" t="s">
        <v>77</v>
      </c>
      <c r="T8150">
        <v>22034</v>
      </c>
      <c r="U8150">
        <v>24060</v>
      </c>
      <c r="V8150" t="s">
        <v>77</v>
      </c>
    </row>
    <row r="8151" spans="1:22">
      <c r="A8151" t="str">
        <f t="shared" si="1518"/>
        <v>30/10/2025</v>
      </c>
      <c r="B8151" t="str">
        <f t="shared" si="1519"/>
        <v>SAÍDA</v>
      </c>
      <c r="C8151" t="str">
        <f t="shared" si="1521"/>
        <v>PIX</v>
      </c>
      <c r="D8151" t="str">
        <f>"24061"</f>
        <v>24061</v>
      </c>
      <c r="E8151" t="str">
        <f t="shared" si="1515"/>
        <v>1</v>
      </c>
      <c r="F8151" t="str">
        <f t="shared" si="1517"/>
        <v>COM</v>
      </c>
      <c r="G8151" t="str">
        <f>"SILAS ALVES DE FREITAS (35)"</f>
        <v>SILAS ALVES DE FREITAS (35)</v>
      </c>
      <c r="H8151" t="str">
        <f>"Serv.Prest. 13/10/2025 a 19/10/2025 - PIX: CPF - CHAVE: 097.855.786-74"</f>
        <v>Serv.Prest. 13/10/2025 a 19/10/2025 - PIX: CPF - CHAVE: 097.855.786-74</v>
      </c>
      <c r="I8151" t="str">
        <f t="shared" si="1520"/>
        <v>30/10/2025</v>
      </c>
      <c r="J8151" t="str">
        <f t="shared" si="1516"/>
        <v>21/10/2025</v>
      </c>
      <c r="K8151" t="str">
        <f>("30/10/2025")</f>
        <v>30/10/2025</v>
      </c>
      <c r="L8151">
        <v>1404</v>
      </c>
      <c r="M8151">
        <v>1404</v>
      </c>
      <c r="N8151">
        <v>109</v>
      </c>
      <c r="O8151" t="str">
        <f>"PAGAMENTO DE ENTREGADORES"</f>
        <v>PAGAMENTO DE ENTREGADORES</v>
      </c>
      <c r="P8151">
        <v>1404</v>
      </c>
      <c r="S8151" t="str">
        <f>"BANCO C6 (149)"</f>
        <v>BANCO C6 (149)</v>
      </c>
      <c r="T8151">
        <v>22035</v>
      </c>
      <c r="U8151">
        <v>24061</v>
      </c>
      <c r="V8151" t="s">
        <v>77</v>
      </c>
    </row>
    <row r="8152" spans="1:22">
      <c r="A8152" t="str">
        <f t="shared" si="1518"/>
        <v>30/10/2025</v>
      </c>
      <c r="B8152" t="str">
        <f t="shared" si="1519"/>
        <v>SAÍDA</v>
      </c>
      <c r="C8152" t="str">
        <f t="shared" si="1521"/>
        <v>PIX</v>
      </c>
      <c r="D8152" t="str">
        <f>"24061"</f>
        <v>24061</v>
      </c>
      <c r="E8152" t="str">
        <f t="shared" si="1515"/>
        <v>1</v>
      </c>
      <c r="F8152" t="str">
        <f t="shared" si="1517"/>
        <v>COM</v>
      </c>
      <c r="G8152" t="str">
        <f>"SILAS ALVES DE FREITAS (35)"</f>
        <v>SILAS ALVES DE FREITAS (35)</v>
      </c>
      <c r="H8152" t="s">
        <v>2288</v>
      </c>
      <c r="I8152" t="str">
        <f t="shared" si="1520"/>
        <v>30/10/2025</v>
      </c>
      <c r="J8152" t="str">
        <f t="shared" si="1516"/>
        <v>21/10/2025</v>
      </c>
      <c r="K8152">
        <v>45960</v>
      </c>
      <c r="N8152">
        <v>109</v>
      </c>
      <c r="O8152" t="s">
        <v>24</v>
      </c>
      <c r="Q8152">
        <v>1404</v>
      </c>
      <c r="R8152" t="str">
        <f>"FARMÁCIA INDIANA LJ 172 (10161)"</f>
        <v>FARMÁCIA INDIANA LJ 172 (10161)</v>
      </c>
      <c r="S8152" t="s">
        <v>77</v>
      </c>
      <c r="T8152">
        <v>22035</v>
      </c>
      <c r="U8152">
        <v>24061</v>
      </c>
      <c r="V8152" t="s">
        <v>77</v>
      </c>
    </row>
    <row r="8153" spans="1:22">
      <c r="A8153" t="str">
        <f t="shared" si="1518"/>
        <v>30/10/2025</v>
      </c>
      <c r="B8153" t="str">
        <f t="shared" si="1519"/>
        <v>SAÍDA</v>
      </c>
      <c r="C8153" t="str">
        <f t="shared" si="1521"/>
        <v>PIX</v>
      </c>
      <c r="D8153" t="str">
        <f>"24062"</f>
        <v>24062</v>
      </c>
      <c r="E8153" t="str">
        <f t="shared" si="1515"/>
        <v>1</v>
      </c>
      <c r="F8153" t="str">
        <f t="shared" si="1517"/>
        <v>COM</v>
      </c>
      <c r="G8153" t="str">
        <f>"TAYSON BARBOSA SILVINO (613)"</f>
        <v>TAYSON BARBOSA SILVINO (613)</v>
      </c>
      <c r="H8153" t="str">
        <f>"Serv.Prest. 13/10/2025 a 19/10/2025 - PIX: CHAVE ALEATÓRIA - CHAVE: 1550e869-c9d7-4436-be93-6858fd0cb900"</f>
        <v>Serv.Prest. 13/10/2025 a 19/10/2025 - PIX: CHAVE ALEATÓRIA - CHAVE: 1550e869-c9d7-4436-be93-6858fd0cb900</v>
      </c>
      <c r="I8153" t="str">
        <f t="shared" si="1520"/>
        <v>30/10/2025</v>
      </c>
      <c r="J8153" t="str">
        <f t="shared" si="1516"/>
        <v>21/10/2025</v>
      </c>
      <c r="K8153" t="str">
        <f>("30/10/2025")</f>
        <v>30/10/2025</v>
      </c>
      <c r="L8153">
        <v>972</v>
      </c>
      <c r="M8153">
        <v>972</v>
      </c>
      <c r="N8153">
        <v>109</v>
      </c>
      <c r="O8153" t="str">
        <f>"PAGAMENTO DE ENTREGADORES"</f>
        <v>PAGAMENTO DE ENTREGADORES</v>
      </c>
      <c r="P8153">
        <v>972</v>
      </c>
      <c r="S8153" t="str">
        <f>"BANCO C6 (149)"</f>
        <v>BANCO C6 (149)</v>
      </c>
      <c r="T8153">
        <v>22036</v>
      </c>
      <c r="U8153">
        <v>24062</v>
      </c>
      <c r="V8153" t="s">
        <v>77</v>
      </c>
    </row>
    <row r="8154" spans="1:22">
      <c r="A8154" t="str">
        <f t="shared" si="1518"/>
        <v>30/10/2025</v>
      </c>
      <c r="B8154" t="str">
        <f t="shared" si="1519"/>
        <v>SAÍDA</v>
      </c>
      <c r="C8154" t="str">
        <f t="shared" si="1521"/>
        <v>PIX</v>
      </c>
      <c r="D8154" t="str">
        <f>"24062"</f>
        <v>24062</v>
      </c>
      <c r="E8154" t="str">
        <f t="shared" si="1515"/>
        <v>1</v>
      </c>
      <c r="F8154" t="str">
        <f t="shared" si="1517"/>
        <v>COM</v>
      </c>
      <c r="G8154" t="str">
        <f>"TAYSON BARBOSA SILVINO (613)"</f>
        <v>TAYSON BARBOSA SILVINO (613)</v>
      </c>
      <c r="H8154" t="s">
        <v>2289</v>
      </c>
      <c r="I8154" t="str">
        <f t="shared" si="1520"/>
        <v>30/10/2025</v>
      </c>
      <c r="J8154" t="str">
        <f t="shared" si="1516"/>
        <v>21/10/2025</v>
      </c>
      <c r="K8154">
        <v>45960</v>
      </c>
      <c r="N8154">
        <v>109</v>
      </c>
      <c r="O8154" t="s">
        <v>24</v>
      </c>
      <c r="Q8154">
        <v>972</v>
      </c>
      <c r="R8154" t="str">
        <f>"FARMÁCIA INDIANA LJ 19 (10012)"</f>
        <v>FARMÁCIA INDIANA LJ 19 (10012)</v>
      </c>
      <c r="S8154" t="s">
        <v>77</v>
      </c>
      <c r="T8154">
        <v>22036</v>
      </c>
      <c r="U8154">
        <v>24062</v>
      </c>
      <c r="V8154" t="s">
        <v>77</v>
      </c>
    </row>
    <row r="8155" spans="1:22">
      <c r="A8155" t="str">
        <f t="shared" si="1518"/>
        <v>30/10/2025</v>
      </c>
      <c r="B8155" t="str">
        <f t="shared" si="1519"/>
        <v>SAÍDA</v>
      </c>
      <c r="C8155" t="str">
        <f t="shared" si="1521"/>
        <v>PIX</v>
      </c>
      <c r="D8155" t="str">
        <f>"24063"</f>
        <v>24063</v>
      </c>
      <c r="E8155" t="str">
        <f t="shared" si="1515"/>
        <v>1</v>
      </c>
      <c r="F8155" t="str">
        <f t="shared" si="1517"/>
        <v>COM</v>
      </c>
      <c r="G8155" t="str">
        <f>"THALES VIANA DOS SANTOS (63)"</f>
        <v>THALES VIANA DOS SANTOS (63)</v>
      </c>
      <c r="H8155" t="str">
        <f>"Serv.Prest. 13/10/2025 a 19/10/2025 - PIX: CELULAR - CHAVE: (33) 99880-7941"</f>
        <v>Serv.Prest. 13/10/2025 a 19/10/2025 - PIX: CELULAR - CHAVE: (33) 99880-7941</v>
      </c>
      <c r="I8155" t="str">
        <f t="shared" si="1520"/>
        <v>30/10/2025</v>
      </c>
      <c r="J8155" t="str">
        <f t="shared" si="1516"/>
        <v>21/10/2025</v>
      </c>
      <c r="K8155" t="str">
        <f>("30/10/2025")</f>
        <v>30/10/2025</v>
      </c>
      <c r="L8155">
        <v>954</v>
      </c>
      <c r="M8155">
        <v>954</v>
      </c>
      <c r="N8155">
        <v>109</v>
      </c>
      <c r="O8155" t="str">
        <f>"PAGAMENTO DE ENTREGADORES"</f>
        <v>PAGAMENTO DE ENTREGADORES</v>
      </c>
      <c r="P8155">
        <v>954</v>
      </c>
      <c r="S8155" t="str">
        <f>"BANCO C6 (149)"</f>
        <v>BANCO C6 (149)</v>
      </c>
      <c r="T8155">
        <v>22037</v>
      </c>
      <c r="U8155">
        <v>24063</v>
      </c>
      <c r="V8155" t="s">
        <v>77</v>
      </c>
    </row>
    <row r="8156" spans="1:22">
      <c r="A8156" t="str">
        <f t="shared" si="1518"/>
        <v>30/10/2025</v>
      </c>
      <c r="B8156" t="str">
        <f t="shared" si="1519"/>
        <v>SAÍDA</v>
      </c>
      <c r="C8156" t="str">
        <f t="shared" si="1521"/>
        <v>PIX</v>
      </c>
      <c r="D8156" t="str">
        <f>"24063"</f>
        <v>24063</v>
      </c>
      <c r="E8156" t="str">
        <f t="shared" si="1515"/>
        <v>1</v>
      </c>
      <c r="F8156" t="str">
        <f t="shared" si="1517"/>
        <v>COM</v>
      </c>
      <c r="G8156" t="str">
        <f>"THALES VIANA DOS SANTOS (63)"</f>
        <v>THALES VIANA DOS SANTOS (63)</v>
      </c>
      <c r="H8156" t="s">
        <v>2290</v>
      </c>
      <c r="I8156" t="str">
        <f t="shared" si="1520"/>
        <v>30/10/2025</v>
      </c>
      <c r="J8156" t="str">
        <f t="shared" si="1516"/>
        <v>21/10/2025</v>
      </c>
      <c r="K8156">
        <v>45960</v>
      </c>
      <c r="N8156">
        <v>109</v>
      </c>
      <c r="O8156" t="s">
        <v>24</v>
      </c>
      <c r="Q8156">
        <v>954</v>
      </c>
      <c r="R8156" t="str">
        <f>"FARMÁCIA INDIANA LJ 07 (10007)"</f>
        <v>FARMÁCIA INDIANA LJ 07 (10007)</v>
      </c>
      <c r="S8156" t="s">
        <v>77</v>
      </c>
      <c r="T8156">
        <v>22037</v>
      </c>
      <c r="U8156">
        <v>24063</v>
      </c>
      <c r="V8156" t="s">
        <v>77</v>
      </c>
    </row>
    <row r="8157" spans="1:22">
      <c r="A8157" t="str">
        <f t="shared" si="1518"/>
        <v>30/10/2025</v>
      </c>
      <c r="B8157" t="str">
        <f t="shared" si="1519"/>
        <v>SAÍDA</v>
      </c>
      <c r="C8157" t="str">
        <f t="shared" si="1521"/>
        <v>PIX</v>
      </c>
      <c r="D8157" t="str">
        <f>"24064"</f>
        <v>24064</v>
      </c>
      <c r="E8157" t="str">
        <f t="shared" si="1515"/>
        <v>1</v>
      </c>
      <c r="F8157" t="str">
        <f t="shared" si="1517"/>
        <v>COM</v>
      </c>
      <c r="G8157" t="str">
        <f>"VICTOR RILLEY CRUZ MESQUITA (1005)"</f>
        <v>VICTOR RILLEY CRUZ MESQUITA (1005)</v>
      </c>
      <c r="H8157" t="str">
        <f>"Serv.Prest. 13/10/2025 a 19/10/2025 - PIX: CELULAR - CHAVE: (33) 99874-5128"</f>
        <v>Serv.Prest. 13/10/2025 a 19/10/2025 - PIX: CELULAR - CHAVE: (33) 99874-5128</v>
      </c>
      <c r="I8157" t="str">
        <f t="shared" si="1520"/>
        <v>30/10/2025</v>
      </c>
      <c r="J8157" t="str">
        <f t="shared" si="1516"/>
        <v>21/10/2025</v>
      </c>
      <c r="K8157" t="str">
        <f>("30/10/2025")</f>
        <v>30/10/2025</v>
      </c>
      <c r="L8157">
        <v>798</v>
      </c>
      <c r="M8157">
        <v>798</v>
      </c>
      <c r="N8157">
        <v>109</v>
      </c>
      <c r="O8157" t="str">
        <f>"PAGAMENTO DE ENTREGADORES"</f>
        <v>PAGAMENTO DE ENTREGADORES</v>
      </c>
      <c r="P8157">
        <v>798</v>
      </c>
      <c r="S8157" t="str">
        <f>"BANCO C6 (149)"</f>
        <v>BANCO C6 (149)</v>
      </c>
      <c r="T8157">
        <v>22038</v>
      </c>
      <c r="U8157">
        <v>24064</v>
      </c>
      <c r="V8157" t="s">
        <v>77</v>
      </c>
    </row>
    <row r="8158" spans="1:22">
      <c r="A8158" t="str">
        <f t="shared" si="1518"/>
        <v>30/10/2025</v>
      </c>
      <c r="B8158" t="str">
        <f t="shared" si="1519"/>
        <v>SAÍDA</v>
      </c>
      <c r="C8158" t="str">
        <f t="shared" si="1521"/>
        <v>PIX</v>
      </c>
      <c r="D8158" t="str">
        <f>"24064"</f>
        <v>24064</v>
      </c>
      <c r="E8158" t="str">
        <f t="shared" si="1515"/>
        <v>1</v>
      </c>
      <c r="F8158" t="str">
        <f t="shared" si="1517"/>
        <v>COM</v>
      </c>
      <c r="G8158" t="str">
        <f>"VICTOR RILLEY CRUZ MESQUITA (1005)"</f>
        <v>VICTOR RILLEY CRUZ MESQUITA (1005)</v>
      </c>
      <c r="H8158" t="s">
        <v>2291</v>
      </c>
      <c r="I8158" t="str">
        <f t="shared" si="1520"/>
        <v>30/10/2025</v>
      </c>
      <c r="J8158" t="str">
        <f t="shared" si="1516"/>
        <v>21/10/2025</v>
      </c>
      <c r="K8158">
        <v>45960</v>
      </c>
      <c r="N8158">
        <v>109</v>
      </c>
      <c r="O8158" t="s">
        <v>24</v>
      </c>
      <c r="Q8158">
        <v>798</v>
      </c>
      <c r="R8158" t="str">
        <f>"FARMÁCIA INDIANA LJ 07 (10007)"</f>
        <v>FARMÁCIA INDIANA LJ 07 (10007)</v>
      </c>
      <c r="S8158" t="s">
        <v>77</v>
      </c>
      <c r="T8158">
        <v>22038</v>
      </c>
      <c r="U8158">
        <v>24064</v>
      </c>
      <c r="V8158" t="s">
        <v>77</v>
      </c>
    </row>
    <row r="8159" spans="1:22">
      <c r="A8159" t="str">
        <f t="shared" si="1518"/>
        <v>30/10/2025</v>
      </c>
      <c r="B8159" t="str">
        <f t="shared" si="1519"/>
        <v>SAÍDA</v>
      </c>
      <c r="C8159" t="str">
        <f t="shared" si="1521"/>
        <v>PIX</v>
      </c>
      <c r="D8159" t="str">
        <f>"24065"</f>
        <v>24065</v>
      </c>
      <c r="E8159" t="str">
        <f t="shared" si="1515"/>
        <v>1</v>
      </c>
      <c r="F8159" t="str">
        <f t="shared" si="1517"/>
        <v>COM</v>
      </c>
      <c r="G8159" t="str">
        <f>"VINICIUS DE SOUZA ISABEL (658)"</f>
        <v>VINICIUS DE SOUZA ISABEL (658)</v>
      </c>
      <c r="H8159" t="str">
        <f>"Serv.Prest. 13/10/2025 a 19/10/2025 - PIX: CPF - CHAVE: 092.566.416-23"</f>
        <v>Serv.Prest. 13/10/2025 a 19/10/2025 - PIX: CPF - CHAVE: 092.566.416-23</v>
      </c>
      <c r="I8159" t="str">
        <f t="shared" si="1520"/>
        <v>30/10/2025</v>
      </c>
      <c r="J8159" t="str">
        <f t="shared" si="1516"/>
        <v>21/10/2025</v>
      </c>
      <c r="K8159" t="str">
        <f>("30/10/2025")</f>
        <v>30/10/2025</v>
      </c>
      <c r="L8159">
        <v>1403.5</v>
      </c>
      <c r="M8159">
        <v>1403.5</v>
      </c>
      <c r="N8159">
        <v>109</v>
      </c>
      <c r="O8159" t="str">
        <f>"PAGAMENTO DE ENTREGADORES"</f>
        <v>PAGAMENTO DE ENTREGADORES</v>
      </c>
      <c r="P8159">
        <v>1403.5</v>
      </c>
      <c r="S8159" t="str">
        <f>"BANCO C6 (149)"</f>
        <v>BANCO C6 (149)</v>
      </c>
      <c r="T8159">
        <v>22039</v>
      </c>
      <c r="U8159">
        <v>24065</v>
      </c>
      <c r="V8159" t="s">
        <v>77</v>
      </c>
    </row>
    <row r="8160" spans="1:22">
      <c r="A8160" t="str">
        <f t="shared" si="1518"/>
        <v>30/10/2025</v>
      </c>
      <c r="B8160" t="str">
        <f t="shared" si="1519"/>
        <v>SAÍDA</v>
      </c>
      <c r="C8160" t="str">
        <f t="shared" si="1521"/>
        <v>PIX</v>
      </c>
      <c r="D8160" t="str">
        <f>"24065"</f>
        <v>24065</v>
      </c>
      <c r="E8160" t="str">
        <f t="shared" si="1515"/>
        <v>1</v>
      </c>
      <c r="F8160" t="str">
        <f t="shared" si="1517"/>
        <v>COM</v>
      </c>
      <c r="G8160" t="str">
        <f>"VINICIUS DE SOUZA ISABEL (658)"</f>
        <v>VINICIUS DE SOUZA ISABEL (658)</v>
      </c>
      <c r="H8160" t="s">
        <v>2292</v>
      </c>
      <c r="I8160" t="str">
        <f t="shared" si="1520"/>
        <v>30/10/2025</v>
      </c>
      <c r="J8160" t="str">
        <f t="shared" si="1516"/>
        <v>21/10/2025</v>
      </c>
      <c r="K8160">
        <v>45960</v>
      </c>
      <c r="N8160">
        <v>109</v>
      </c>
      <c r="O8160" t="s">
        <v>24</v>
      </c>
      <c r="Q8160">
        <v>1403.5</v>
      </c>
      <c r="R8160" t="str">
        <f>"FARMÁCIA INDIANA LJ 219 (10091)"</f>
        <v>FARMÁCIA INDIANA LJ 219 (10091)</v>
      </c>
      <c r="S8160" t="s">
        <v>77</v>
      </c>
      <c r="T8160">
        <v>22039</v>
      </c>
      <c r="U8160">
        <v>24065</v>
      </c>
      <c r="V8160" t="s">
        <v>77</v>
      </c>
    </row>
    <row r="8161" spans="1:22">
      <c r="A8161" t="str">
        <f t="shared" si="1518"/>
        <v>30/10/2025</v>
      </c>
      <c r="B8161" t="str">
        <f t="shared" si="1519"/>
        <v>SAÍDA</v>
      </c>
      <c r="C8161" t="str">
        <f t="shared" si="1521"/>
        <v>PIX</v>
      </c>
      <c r="D8161" t="str">
        <f>"24066"</f>
        <v>24066</v>
      </c>
      <c r="E8161" t="str">
        <f t="shared" si="1515"/>
        <v>1</v>
      </c>
      <c r="F8161" t="str">
        <f t="shared" si="1517"/>
        <v>COM</v>
      </c>
      <c r="G8161" t="str">
        <f>"VITOR CARDOSO FAUSTINO (257)"</f>
        <v>VITOR CARDOSO FAUSTINO (257)</v>
      </c>
      <c r="H8161" t="str">
        <f>"Serv.Prest. 13/10/2025 a 19/10/2025 - PIX: CPF - CHAVE: 157.874.046-02"</f>
        <v>Serv.Prest. 13/10/2025 a 19/10/2025 - PIX: CPF - CHAVE: 157.874.046-02</v>
      </c>
      <c r="I8161" t="str">
        <f t="shared" si="1520"/>
        <v>30/10/2025</v>
      </c>
      <c r="J8161" t="str">
        <f t="shared" si="1516"/>
        <v>21/10/2025</v>
      </c>
      <c r="K8161" t="str">
        <f>("30/10/2025")</f>
        <v>30/10/2025</v>
      </c>
      <c r="L8161">
        <v>654</v>
      </c>
      <c r="M8161">
        <v>654</v>
      </c>
      <c r="N8161">
        <v>109</v>
      </c>
      <c r="O8161" t="str">
        <f>"PAGAMENTO DE ENTREGADORES"</f>
        <v>PAGAMENTO DE ENTREGADORES</v>
      </c>
      <c r="P8161">
        <v>654</v>
      </c>
      <c r="S8161" t="str">
        <f>"BANCO C6 (149)"</f>
        <v>BANCO C6 (149)</v>
      </c>
      <c r="T8161">
        <v>22040</v>
      </c>
      <c r="U8161">
        <v>24066</v>
      </c>
      <c r="V8161" t="s">
        <v>77</v>
      </c>
    </row>
    <row r="8162" spans="1:22">
      <c r="A8162" t="str">
        <f t="shared" si="1518"/>
        <v>30/10/2025</v>
      </c>
      <c r="B8162" t="str">
        <f t="shared" si="1519"/>
        <v>SAÍDA</v>
      </c>
      <c r="C8162" t="str">
        <f t="shared" si="1521"/>
        <v>PIX</v>
      </c>
      <c r="D8162" t="str">
        <f>"24066"</f>
        <v>24066</v>
      </c>
      <c r="E8162" t="str">
        <f t="shared" si="1515"/>
        <v>1</v>
      </c>
      <c r="F8162" t="str">
        <f t="shared" si="1517"/>
        <v>COM</v>
      </c>
      <c r="G8162" t="str">
        <f>"VITOR CARDOSO FAUSTINO (257)"</f>
        <v>VITOR CARDOSO FAUSTINO (257)</v>
      </c>
      <c r="H8162" t="s">
        <v>2293</v>
      </c>
      <c r="I8162" t="str">
        <f t="shared" si="1520"/>
        <v>30/10/2025</v>
      </c>
      <c r="J8162" t="str">
        <f t="shared" si="1516"/>
        <v>21/10/2025</v>
      </c>
      <c r="K8162">
        <v>45960</v>
      </c>
      <c r="N8162">
        <v>109</v>
      </c>
      <c r="O8162" t="s">
        <v>24</v>
      </c>
      <c r="Q8162">
        <v>654</v>
      </c>
      <c r="R8162" t="str">
        <f>"FARMÁCIA INDIANA LJ 07 (10007)"</f>
        <v>FARMÁCIA INDIANA LJ 07 (10007)</v>
      </c>
      <c r="S8162" t="s">
        <v>77</v>
      </c>
      <c r="T8162">
        <v>22040</v>
      </c>
      <c r="U8162">
        <v>24066</v>
      </c>
      <c r="V8162" t="s">
        <v>77</v>
      </c>
    </row>
    <row r="8163" spans="1:22">
      <c r="A8163" t="str">
        <f t="shared" si="1518"/>
        <v>30/10/2025</v>
      </c>
      <c r="B8163" t="str">
        <f t="shared" si="1519"/>
        <v>SAÍDA</v>
      </c>
      <c r="C8163" t="str">
        <f t="shared" si="1521"/>
        <v>PIX</v>
      </c>
      <c r="D8163" t="str">
        <f>"24067"</f>
        <v>24067</v>
      </c>
      <c r="E8163" t="str">
        <f t="shared" si="1515"/>
        <v>1</v>
      </c>
      <c r="F8163" t="str">
        <f t="shared" si="1517"/>
        <v>COM</v>
      </c>
      <c r="G8163" t="str">
        <f>"VITOR DE SOUZA SILVA (360)"</f>
        <v>VITOR DE SOUZA SILVA (360)</v>
      </c>
      <c r="H8163" t="str">
        <f>"Serv.Prest. 13/10/2025 a 19/10/2025 - PIX: CPF - CHAVE: 130.194.566-81"</f>
        <v>Serv.Prest. 13/10/2025 a 19/10/2025 - PIX: CPF - CHAVE: 130.194.566-81</v>
      </c>
      <c r="I8163" t="str">
        <f t="shared" si="1520"/>
        <v>30/10/2025</v>
      </c>
      <c r="J8163" t="str">
        <f t="shared" si="1516"/>
        <v>21/10/2025</v>
      </c>
      <c r="K8163" t="str">
        <f>("30/10/2025")</f>
        <v>30/10/2025</v>
      </c>
      <c r="L8163">
        <v>700.8</v>
      </c>
      <c r="M8163">
        <v>700.8</v>
      </c>
      <c r="N8163">
        <v>109</v>
      </c>
      <c r="O8163" t="str">
        <f>"PAGAMENTO DE ENTREGADORES"</f>
        <v>PAGAMENTO DE ENTREGADORES</v>
      </c>
      <c r="P8163">
        <v>700.8</v>
      </c>
      <c r="S8163" t="str">
        <f>"BANCO C6 (149)"</f>
        <v>BANCO C6 (149)</v>
      </c>
      <c r="T8163">
        <v>22041</v>
      </c>
      <c r="U8163">
        <v>24067</v>
      </c>
      <c r="V8163" t="s">
        <v>77</v>
      </c>
    </row>
    <row r="8164" spans="1:22">
      <c r="A8164" t="str">
        <f t="shared" si="1518"/>
        <v>30/10/2025</v>
      </c>
      <c r="B8164" t="str">
        <f t="shared" si="1519"/>
        <v>SAÍDA</v>
      </c>
      <c r="C8164" t="str">
        <f t="shared" si="1521"/>
        <v>PIX</v>
      </c>
      <c r="D8164" t="str">
        <f>"24067"</f>
        <v>24067</v>
      </c>
      <c r="E8164" t="str">
        <f t="shared" si="1515"/>
        <v>1</v>
      </c>
      <c r="F8164" t="str">
        <f t="shared" si="1517"/>
        <v>COM</v>
      </c>
      <c r="G8164" t="str">
        <f>"VITOR DE SOUZA SILVA (360)"</f>
        <v>VITOR DE SOUZA SILVA (360)</v>
      </c>
      <c r="H8164" t="s">
        <v>2294</v>
      </c>
      <c r="I8164" t="str">
        <f t="shared" si="1520"/>
        <v>30/10/2025</v>
      </c>
      <c r="J8164" t="str">
        <f t="shared" si="1516"/>
        <v>21/10/2025</v>
      </c>
      <c r="K8164">
        <v>45960</v>
      </c>
      <c r="N8164">
        <v>109</v>
      </c>
      <c r="O8164" t="s">
        <v>24</v>
      </c>
      <c r="Q8164">
        <v>127.41</v>
      </c>
      <c r="R8164" t="str">
        <f>"FARMÁCIA INDIANA LJ 121 (10054)"</f>
        <v>FARMÁCIA INDIANA LJ 121 (10054)</v>
      </c>
      <c r="S8164" t="s">
        <v>77</v>
      </c>
      <c r="T8164">
        <v>22041</v>
      </c>
      <c r="U8164">
        <v>24067</v>
      </c>
      <c r="V8164" t="s">
        <v>77</v>
      </c>
    </row>
    <row r="8165" spans="1:22">
      <c r="A8165" t="str">
        <f t="shared" si="1518"/>
        <v>30/10/2025</v>
      </c>
      <c r="B8165" t="str">
        <f t="shared" si="1519"/>
        <v>SAÍDA</v>
      </c>
      <c r="C8165" t="str">
        <f t="shared" si="1521"/>
        <v>PIX</v>
      </c>
      <c r="D8165" t="str">
        <f>"24067"</f>
        <v>24067</v>
      </c>
      <c r="E8165" t="str">
        <f t="shared" si="1515"/>
        <v>1</v>
      </c>
      <c r="F8165" t="str">
        <f t="shared" si="1517"/>
        <v>COM</v>
      </c>
      <c r="G8165" t="str">
        <f>"VITOR DE SOUZA SILVA (360)"</f>
        <v>VITOR DE SOUZA SILVA (360)</v>
      </c>
      <c r="H8165" t="s">
        <v>2294</v>
      </c>
      <c r="I8165" t="str">
        <f t="shared" si="1520"/>
        <v>30/10/2025</v>
      </c>
      <c r="J8165" t="str">
        <f t="shared" si="1516"/>
        <v>21/10/2025</v>
      </c>
      <c r="K8165">
        <v>45960</v>
      </c>
      <c r="N8165">
        <v>109</v>
      </c>
      <c r="O8165" t="s">
        <v>24</v>
      </c>
      <c r="Q8165">
        <v>573.39</v>
      </c>
      <c r="R8165" t="str">
        <f>"FARMÁCIA INDIANA LJ 128 (10057)"</f>
        <v>FARMÁCIA INDIANA LJ 128 (10057)</v>
      </c>
      <c r="S8165" t="s">
        <v>77</v>
      </c>
      <c r="T8165">
        <v>22041</v>
      </c>
      <c r="U8165">
        <v>24067</v>
      </c>
      <c r="V8165" t="s">
        <v>77</v>
      </c>
    </row>
    <row r="8166" spans="1:22">
      <c r="A8166" t="str">
        <f t="shared" si="1518"/>
        <v>30/10/2025</v>
      </c>
      <c r="B8166" t="str">
        <f t="shared" si="1519"/>
        <v>SAÍDA</v>
      </c>
      <c r="C8166" t="str">
        <f t="shared" si="1521"/>
        <v>PIX</v>
      </c>
      <c r="D8166" t="str">
        <f>"24068"</f>
        <v>24068</v>
      </c>
      <c r="E8166" t="str">
        <f t="shared" si="1515"/>
        <v>1</v>
      </c>
      <c r="F8166" t="str">
        <f t="shared" si="1517"/>
        <v>COM</v>
      </c>
      <c r="G8166" t="str">
        <f>"WAGNER DOS SANTOS LIMA (31)"</f>
        <v>WAGNER DOS SANTOS LIMA (31)</v>
      </c>
      <c r="H8166" t="str">
        <f>"Serv.Prest. 13/10/2025 a 19/10/2025 - PIX: CELULAR - CHAVE: (33) 99118-9032"</f>
        <v>Serv.Prest. 13/10/2025 a 19/10/2025 - PIX: CELULAR - CHAVE: (33) 99118-9032</v>
      </c>
      <c r="I8166" t="str">
        <f t="shared" si="1520"/>
        <v>30/10/2025</v>
      </c>
      <c r="J8166" t="str">
        <f t="shared" si="1516"/>
        <v>21/10/2025</v>
      </c>
      <c r="K8166" t="str">
        <f>("30/10/2025")</f>
        <v>30/10/2025</v>
      </c>
      <c r="L8166">
        <v>869</v>
      </c>
      <c r="M8166">
        <v>869</v>
      </c>
      <c r="N8166">
        <v>109</v>
      </c>
      <c r="O8166" t="str">
        <f>"PAGAMENTO DE ENTREGADORES"</f>
        <v>PAGAMENTO DE ENTREGADORES</v>
      </c>
      <c r="P8166">
        <v>869</v>
      </c>
      <c r="S8166" t="str">
        <f>"BANCO C6 (149)"</f>
        <v>BANCO C6 (149)</v>
      </c>
      <c r="T8166">
        <v>22042</v>
      </c>
      <c r="U8166">
        <v>24068</v>
      </c>
      <c r="V8166" t="s">
        <v>77</v>
      </c>
    </row>
    <row r="8167" spans="1:22">
      <c r="A8167" t="str">
        <f t="shared" si="1518"/>
        <v>30/10/2025</v>
      </c>
      <c r="B8167" t="str">
        <f t="shared" si="1519"/>
        <v>SAÍDA</v>
      </c>
      <c r="C8167" t="str">
        <f t="shared" si="1521"/>
        <v>PIX</v>
      </c>
      <c r="D8167" t="str">
        <f>"24068"</f>
        <v>24068</v>
      </c>
      <c r="E8167" t="str">
        <f t="shared" si="1515"/>
        <v>1</v>
      </c>
      <c r="F8167" t="str">
        <f t="shared" si="1517"/>
        <v>COM</v>
      </c>
      <c r="G8167" t="str">
        <f>"WAGNER DOS SANTOS LIMA (31)"</f>
        <v>WAGNER DOS SANTOS LIMA (31)</v>
      </c>
      <c r="H8167" t="s">
        <v>2295</v>
      </c>
      <c r="I8167" t="str">
        <f t="shared" si="1520"/>
        <v>30/10/2025</v>
      </c>
      <c r="J8167" t="str">
        <f t="shared" si="1516"/>
        <v>21/10/2025</v>
      </c>
      <c r="K8167">
        <v>45960</v>
      </c>
      <c r="N8167">
        <v>109</v>
      </c>
      <c r="O8167" t="s">
        <v>24</v>
      </c>
      <c r="Q8167">
        <v>869</v>
      </c>
      <c r="R8167" t="str">
        <f>"FARMÁCIA INDIANA LJ 61 (10027)"</f>
        <v>FARMÁCIA INDIANA LJ 61 (10027)</v>
      </c>
      <c r="S8167" t="s">
        <v>77</v>
      </c>
      <c r="T8167">
        <v>22042</v>
      </c>
      <c r="U8167">
        <v>24068</v>
      </c>
      <c r="V8167" t="s">
        <v>77</v>
      </c>
    </row>
    <row r="8168" spans="1:22">
      <c r="A8168" t="str">
        <f t="shared" si="1518"/>
        <v>30/10/2025</v>
      </c>
      <c r="B8168" t="str">
        <f t="shared" si="1519"/>
        <v>SAÍDA</v>
      </c>
      <c r="C8168" t="str">
        <f t="shared" si="1521"/>
        <v>PIX</v>
      </c>
      <c r="D8168" t="str">
        <f>"24069"</f>
        <v>24069</v>
      </c>
      <c r="E8168" t="str">
        <f t="shared" si="1515"/>
        <v>1</v>
      </c>
      <c r="F8168" t="str">
        <f t="shared" si="1517"/>
        <v>COM</v>
      </c>
      <c r="G8168" t="str">
        <f>"WANDERSON JÚNIOR SOARES (628)"</f>
        <v>WANDERSON JÚNIOR SOARES (628)</v>
      </c>
      <c r="H8168" t="str">
        <f>"Serv.Prest. 13/10/2025 a 19/10/2025 - PIX: CPF - CHAVE: 170.180.266-01"</f>
        <v>Serv.Prest. 13/10/2025 a 19/10/2025 - PIX: CPF - CHAVE: 170.180.266-01</v>
      </c>
      <c r="I8168" t="str">
        <f t="shared" si="1520"/>
        <v>30/10/2025</v>
      </c>
      <c r="J8168" t="str">
        <f t="shared" si="1516"/>
        <v>21/10/2025</v>
      </c>
      <c r="K8168" t="str">
        <f>("30/10/2025")</f>
        <v>30/10/2025</v>
      </c>
      <c r="L8168">
        <v>702</v>
      </c>
      <c r="M8168">
        <v>702</v>
      </c>
      <c r="N8168">
        <v>109</v>
      </c>
      <c r="O8168" t="str">
        <f>"PAGAMENTO DE ENTREGADORES"</f>
        <v>PAGAMENTO DE ENTREGADORES</v>
      </c>
      <c r="P8168">
        <v>702</v>
      </c>
      <c r="S8168" t="str">
        <f>"BANCO C6 (149)"</f>
        <v>BANCO C6 (149)</v>
      </c>
      <c r="T8168">
        <v>22043</v>
      </c>
      <c r="U8168">
        <v>24069</v>
      </c>
      <c r="V8168" t="s">
        <v>77</v>
      </c>
    </row>
    <row r="8169" spans="1:22">
      <c r="A8169" t="str">
        <f t="shared" si="1518"/>
        <v>30/10/2025</v>
      </c>
      <c r="B8169" t="str">
        <f t="shared" si="1519"/>
        <v>SAÍDA</v>
      </c>
      <c r="C8169" t="str">
        <f t="shared" si="1521"/>
        <v>PIX</v>
      </c>
      <c r="D8169" t="str">
        <f>"24069"</f>
        <v>24069</v>
      </c>
      <c r="E8169" t="str">
        <f t="shared" si="1515"/>
        <v>1</v>
      </c>
      <c r="F8169" t="str">
        <f t="shared" si="1517"/>
        <v>COM</v>
      </c>
      <c r="G8169" t="str">
        <f>"WANDERSON JÚNIOR SOARES (628)"</f>
        <v>WANDERSON JÚNIOR SOARES (628)</v>
      </c>
      <c r="H8169" t="s">
        <v>2296</v>
      </c>
      <c r="I8169" t="str">
        <f t="shared" si="1520"/>
        <v>30/10/2025</v>
      </c>
      <c r="J8169" t="str">
        <f t="shared" si="1516"/>
        <v>21/10/2025</v>
      </c>
      <c r="K8169">
        <v>45960</v>
      </c>
      <c r="N8169">
        <v>109</v>
      </c>
      <c r="O8169" t="s">
        <v>24</v>
      </c>
      <c r="Q8169">
        <v>702</v>
      </c>
      <c r="R8169" t="str">
        <f>"FARMÁCIA INDIANA LJ 110 (10048)"</f>
        <v>FARMÁCIA INDIANA LJ 110 (10048)</v>
      </c>
      <c r="S8169" t="s">
        <v>77</v>
      </c>
      <c r="T8169">
        <v>22043</v>
      </c>
      <c r="U8169">
        <v>24069</v>
      </c>
      <c r="V8169" t="s">
        <v>77</v>
      </c>
    </row>
    <row r="8170" spans="1:22">
      <c r="A8170" t="str">
        <f t="shared" si="1518"/>
        <v>30/10/2025</v>
      </c>
      <c r="B8170" t="str">
        <f t="shared" si="1519"/>
        <v>SAÍDA</v>
      </c>
      <c r="C8170" t="str">
        <f t="shared" si="1521"/>
        <v>PIX</v>
      </c>
      <c r="D8170" t="str">
        <f>"24070"</f>
        <v>24070</v>
      </c>
      <c r="E8170" t="str">
        <f t="shared" si="1515"/>
        <v>1</v>
      </c>
      <c r="F8170" t="str">
        <f t="shared" si="1517"/>
        <v>COM</v>
      </c>
      <c r="G8170" t="str">
        <f>"WARLEN JUNIO ELIAS DE OLIVEIRA (171)"</f>
        <v>WARLEN JUNIO ELIAS DE OLIVEIRA (171)</v>
      </c>
      <c r="H8170" t="str">
        <f>"Serv.Prest. 13/10/2025 a 19/10/2025 - PIX: CELULAR - CHAVE: (31) 97251-6838"</f>
        <v>Serv.Prest. 13/10/2025 a 19/10/2025 - PIX: CELULAR - CHAVE: (31) 97251-6838</v>
      </c>
      <c r="I8170" t="str">
        <f t="shared" si="1520"/>
        <v>30/10/2025</v>
      </c>
      <c r="J8170" t="str">
        <f t="shared" si="1516"/>
        <v>21/10/2025</v>
      </c>
      <c r="K8170" t="str">
        <f>("30/10/2025")</f>
        <v>30/10/2025</v>
      </c>
      <c r="L8170">
        <v>575</v>
      </c>
      <c r="M8170">
        <v>575</v>
      </c>
      <c r="N8170">
        <v>109</v>
      </c>
      <c r="O8170" t="str">
        <f>"PAGAMENTO DE ENTREGADORES"</f>
        <v>PAGAMENTO DE ENTREGADORES</v>
      </c>
      <c r="P8170">
        <v>575</v>
      </c>
      <c r="S8170" t="str">
        <f>"BANCO C6 (149)"</f>
        <v>BANCO C6 (149)</v>
      </c>
      <c r="T8170">
        <v>22044</v>
      </c>
      <c r="U8170">
        <v>24070</v>
      </c>
      <c r="V8170" t="s">
        <v>77</v>
      </c>
    </row>
    <row r="8171" spans="1:22">
      <c r="A8171" t="str">
        <f t="shared" si="1518"/>
        <v>30/10/2025</v>
      </c>
      <c r="B8171" t="str">
        <f t="shared" si="1519"/>
        <v>SAÍDA</v>
      </c>
      <c r="C8171" t="str">
        <f t="shared" si="1521"/>
        <v>PIX</v>
      </c>
      <c r="D8171" t="str">
        <f>"24070"</f>
        <v>24070</v>
      </c>
      <c r="E8171" t="str">
        <f t="shared" si="1515"/>
        <v>1</v>
      </c>
      <c r="F8171" t="str">
        <f t="shared" si="1517"/>
        <v>COM</v>
      </c>
      <c r="G8171" t="str">
        <f>"WARLEN JUNIO ELIAS DE OLIVEIRA (171)"</f>
        <v>WARLEN JUNIO ELIAS DE OLIVEIRA (171)</v>
      </c>
      <c r="H8171" t="s">
        <v>2297</v>
      </c>
      <c r="I8171" t="str">
        <f t="shared" si="1520"/>
        <v>30/10/2025</v>
      </c>
      <c r="J8171" t="str">
        <f t="shared" si="1516"/>
        <v>21/10/2025</v>
      </c>
      <c r="K8171">
        <v>45960</v>
      </c>
      <c r="N8171">
        <v>109</v>
      </c>
      <c r="O8171" t="s">
        <v>24</v>
      </c>
      <c r="Q8171">
        <v>575</v>
      </c>
      <c r="R8171" t="str">
        <f>"FARMÁCIA INDIANA LJ 175 (10076)"</f>
        <v>FARMÁCIA INDIANA LJ 175 (10076)</v>
      </c>
      <c r="S8171" t="s">
        <v>77</v>
      </c>
      <c r="T8171">
        <v>22044</v>
      </c>
      <c r="U8171">
        <v>24070</v>
      </c>
      <c r="V8171" t="s">
        <v>77</v>
      </c>
    </row>
    <row r="8172" spans="1:22">
      <c r="A8172" t="str">
        <f t="shared" si="1518"/>
        <v>30/10/2025</v>
      </c>
      <c r="B8172" t="str">
        <f t="shared" si="1519"/>
        <v>SAÍDA</v>
      </c>
      <c r="C8172" t="str">
        <f t="shared" si="1521"/>
        <v>PIX</v>
      </c>
      <c r="D8172" t="str">
        <f>"24072"</f>
        <v>24072</v>
      </c>
      <c r="E8172" t="str">
        <f t="shared" ref="E8172:E8235" si="1522">"1"</f>
        <v>1</v>
      </c>
      <c r="F8172" t="str">
        <f t="shared" si="1517"/>
        <v>COM</v>
      </c>
      <c r="G8172" t="str">
        <f>"WELLINGTON DOS SANTOS ALVES (438)"</f>
        <v>WELLINGTON DOS SANTOS ALVES (438)</v>
      </c>
      <c r="H8172" t="str">
        <f>"Serv.Prest. 13/10/2025 a 19/10/2025 - PIX: CELULAR - CHAVE: (32) 99800-1691"</f>
        <v>Serv.Prest. 13/10/2025 a 19/10/2025 - PIX: CELULAR - CHAVE: (32) 99800-1691</v>
      </c>
      <c r="I8172" t="str">
        <f t="shared" si="1520"/>
        <v>30/10/2025</v>
      </c>
      <c r="J8172" t="str">
        <f t="shared" ref="J8172:J8235" si="1523">("21/10/2025")</f>
        <v>21/10/2025</v>
      </c>
      <c r="K8172" t="str">
        <f>("30/10/2025")</f>
        <v>30/10/2025</v>
      </c>
      <c r="L8172">
        <v>700.8</v>
      </c>
      <c r="M8172">
        <v>700.8</v>
      </c>
      <c r="N8172">
        <v>109</v>
      </c>
      <c r="O8172" t="str">
        <f>"PAGAMENTO DE ENTREGADORES"</f>
        <v>PAGAMENTO DE ENTREGADORES</v>
      </c>
      <c r="P8172">
        <v>700.8</v>
      </c>
      <c r="S8172" t="str">
        <f>"BANCO C6 (149)"</f>
        <v>BANCO C6 (149)</v>
      </c>
      <c r="T8172">
        <v>22045</v>
      </c>
      <c r="U8172">
        <v>24072</v>
      </c>
      <c r="V8172" t="s">
        <v>77</v>
      </c>
    </row>
    <row r="8173" spans="1:22">
      <c r="A8173" t="str">
        <f t="shared" si="1518"/>
        <v>30/10/2025</v>
      </c>
      <c r="B8173" t="str">
        <f t="shared" si="1519"/>
        <v>SAÍDA</v>
      </c>
      <c r="C8173" t="str">
        <f t="shared" si="1521"/>
        <v>PIX</v>
      </c>
      <c r="D8173" t="str">
        <f>"24072"</f>
        <v>24072</v>
      </c>
      <c r="E8173" t="str">
        <f t="shared" si="1522"/>
        <v>1</v>
      </c>
      <c r="F8173" t="str">
        <f t="shared" si="1517"/>
        <v>COM</v>
      </c>
      <c r="G8173" t="str">
        <f>"WELLINGTON DOS SANTOS ALVES (438)"</f>
        <v>WELLINGTON DOS SANTOS ALVES (438)</v>
      </c>
      <c r="H8173" t="s">
        <v>2298</v>
      </c>
      <c r="I8173" t="str">
        <f t="shared" si="1520"/>
        <v>30/10/2025</v>
      </c>
      <c r="J8173" t="str">
        <f t="shared" si="1523"/>
        <v>21/10/2025</v>
      </c>
      <c r="K8173">
        <v>45960</v>
      </c>
      <c r="N8173">
        <v>109</v>
      </c>
      <c r="O8173" t="s">
        <v>24</v>
      </c>
      <c r="Q8173">
        <v>428.26</v>
      </c>
      <c r="R8173" t="str">
        <f>"FARMÁCIA INDIANA LJ 112 (10050)"</f>
        <v>FARMÁCIA INDIANA LJ 112 (10050)</v>
      </c>
      <c r="S8173" t="s">
        <v>77</v>
      </c>
      <c r="T8173">
        <v>22045</v>
      </c>
      <c r="U8173">
        <v>24072</v>
      </c>
      <c r="V8173" t="s">
        <v>77</v>
      </c>
    </row>
    <row r="8174" spans="1:22">
      <c r="A8174" t="str">
        <f t="shared" si="1518"/>
        <v>30/10/2025</v>
      </c>
      <c r="B8174" t="str">
        <f t="shared" si="1519"/>
        <v>SAÍDA</v>
      </c>
      <c r="C8174" t="str">
        <f t="shared" si="1521"/>
        <v>PIX</v>
      </c>
      <c r="D8174" t="str">
        <f>"24072"</f>
        <v>24072</v>
      </c>
      <c r="E8174" t="str">
        <f t="shared" si="1522"/>
        <v>1</v>
      </c>
      <c r="F8174" t="str">
        <f t="shared" si="1517"/>
        <v>COM</v>
      </c>
      <c r="G8174" t="str">
        <f>"WELLINGTON DOS SANTOS ALVES (438)"</f>
        <v>WELLINGTON DOS SANTOS ALVES (438)</v>
      </c>
      <c r="H8174" t="s">
        <v>2298</v>
      </c>
      <c r="I8174" t="str">
        <f t="shared" si="1520"/>
        <v>30/10/2025</v>
      </c>
      <c r="J8174" t="str">
        <f t="shared" si="1523"/>
        <v>21/10/2025</v>
      </c>
      <c r="K8174">
        <v>45960</v>
      </c>
      <c r="N8174">
        <v>109</v>
      </c>
      <c r="O8174" t="s">
        <v>24</v>
      </c>
      <c r="Q8174">
        <v>233.58</v>
      </c>
      <c r="R8174" t="str">
        <f>"FARMÁCIA INDIANA LJ 116 (10051)"</f>
        <v>FARMÁCIA INDIANA LJ 116 (10051)</v>
      </c>
      <c r="S8174" t="s">
        <v>77</v>
      </c>
      <c r="T8174">
        <v>22045</v>
      </c>
      <c r="U8174">
        <v>24072</v>
      </c>
      <c r="V8174" t="s">
        <v>77</v>
      </c>
    </row>
    <row r="8175" spans="1:22">
      <c r="A8175" t="str">
        <f t="shared" si="1518"/>
        <v>30/10/2025</v>
      </c>
      <c r="B8175" t="str">
        <f t="shared" si="1519"/>
        <v>SAÍDA</v>
      </c>
      <c r="C8175" t="str">
        <f t="shared" si="1521"/>
        <v>PIX</v>
      </c>
      <c r="D8175" t="str">
        <f>"24072"</f>
        <v>24072</v>
      </c>
      <c r="E8175" t="str">
        <f t="shared" si="1522"/>
        <v>1</v>
      </c>
      <c r="F8175" t="str">
        <f t="shared" si="1517"/>
        <v>COM</v>
      </c>
      <c r="G8175" t="str">
        <f>"WELLINGTON DOS SANTOS ALVES (438)"</f>
        <v>WELLINGTON DOS SANTOS ALVES (438)</v>
      </c>
      <c r="H8175" t="s">
        <v>2298</v>
      </c>
      <c r="I8175" t="str">
        <f t="shared" si="1520"/>
        <v>30/10/2025</v>
      </c>
      <c r="J8175" t="str">
        <f t="shared" si="1523"/>
        <v>21/10/2025</v>
      </c>
      <c r="K8175">
        <v>45960</v>
      </c>
      <c r="N8175">
        <v>109</v>
      </c>
      <c r="O8175" t="s">
        <v>24</v>
      </c>
      <c r="Q8175">
        <v>38.96</v>
      </c>
      <c r="R8175" t="str">
        <f>"FARMÁCIA INDIANA LJ 128 (10057)"</f>
        <v>FARMÁCIA INDIANA LJ 128 (10057)</v>
      </c>
      <c r="S8175" t="s">
        <v>77</v>
      </c>
      <c r="T8175">
        <v>22045</v>
      </c>
      <c r="U8175">
        <v>24072</v>
      </c>
      <c r="V8175" t="s">
        <v>77</v>
      </c>
    </row>
    <row r="8176" spans="1:22">
      <c r="A8176" t="str">
        <f t="shared" si="1518"/>
        <v>30/10/2025</v>
      </c>
      <c r="B8176" t="str">
        <f t="shared" si="1519"/>
        <v>SAÍDA</v>
      </c>
      <c r="C8176" t="str">
        <f t="shared" si="1521"/>
        <v>PIX</v>
      </c>
      <c r="D8176" t="str">
        <f>"24073"</f>
        <v>24073</v>
      </c>
      <c r="E8176" t="str">
        <f t="shared" si="1522"/>
        <v>1</v>
      </c>
      <c r="F8176" t="str">
        <f t="shared" si="1517"/>
        <v>COM</v>
      </c>
      <c r="G8176" t="str">
        <f>"WELVES DA SILVA RAMOS (194)"</f>
        <v>WELVES DA SILVA RAMOS (194)</v>
      </c>
      <c r="H8176" t="str">
        <f>"Serv.Prest. 13/10/2025 a 19/10/2025 - PIX: CPF - CHAVE: 700.454.836-80"</f>
        <v>Serv.Prest. 13/10/2025 a 19/10/2025 - PIX: CPF - CHAVE: 700.454.836-80</v>
      </c>
      <c r="I8176" t="str">
        <f t="shared" si="1520"/>
        <v>30/10/2025</v>
      </c>
      <c r="J8176" t="str">
        <f t="shared" si="1523"/>
        <v>21/10/2025</v>
      </c>
      <c r="K8176" t="str">
        <f>("30/10/2025")</f>
        <v>30/10/2025</v>
      </c>
      <c r="L8176">
        <v>1080</v>
      </c>
      <c r="M8176">
        <v>1080</v>
      </c>
      <c r="N8176">
        <v>109</v>
      </c>
      <c r="O8176" t="str">
        <f>"PAGAMENTO DE ENTREGADORES"</f>
        <v>PAGAMENTO DE ENTREGADORES</v>
      </c>
      <c r="P8176">
        <v>1080</v>
      </c>
      <c r="S8176" t="str">
        <f>"BANCO C6 (149)"</f>
        <v>BANCO C6 (149)</v>
      </c>
      <c r="T8176">
        <v>22046</v>
      </c>
      <c r="U8176">
        <v>24073</v>
      </c>
      <c r="V8176" t="s">
        <v>77</v>
      </c>
    </row>
    <row r="8177" spans="1:22">
      <c r="A8177" t="str">
        <f t="shared" si="1518"/>
        <v>30/10/2025</v>
      </c>
      <c r="B8177" t="str">
        <f t="shared" si="1519"/>
        <v>SAÍDA</v>
      </c>
      <c r="C8177" t="str">
        <f t="shared" si="1521"/>
        <v>PIX</v>
      </c>
      <c r="D8177" t="str">
        <f>"24073"</f>
        <v>24073</v>
      </c>
      <c r="E8177" t="str">
        <f t="shared" si="1522"/>
        <v>1</v>
      </c>
      <c r="F8177" t="str">
        <f t="shared" si="1517"/>
        <v>COM</v>
      </c>
      <c r="G8177" t="str">
        <f>"WELVES DA SILVA RAMOS (194)"</f>
        <v>WELVES DA SILVA RAMOS (194)</v>
      </c>
      <c r="H8177" t="s">
        <v>2299</v>
      </c>
      <c r="I8177" t="str">
        <f t="shared" si="1520"/>
        <v>30/10/2025</v>
      </c>
      <c r="J8177" t="str">
        <f t="shared" si="1523"/>
        <v>21/10/2025</v>
      </c>
      <c r="K8177">
        <v>45960</v>
      </c>
      <c r="N8177">
        <v>109</v>
      </c>
      <c r="O8177" t="s">
        <v>24</v>
      </c>
      <c r="Q8177">
        <v>1080</v>
      </c>
      <c r="R8177" t="str">
        <f>"FARMÁCIA INDIANA LJ 06 (10006)"</f>
        <v>FARMÁCIA INDIANA LJ 06 (10006)</v>
      </c>
      <c r="S8177" t="s">
        <v>77</v>
      </c>
      <c r="T8177">
        <v>22046</v>
      </c>
      <c r="U8177">
        <v>24073</v>
      </c>
      <c r="V8177" t="s">
        <v>77</v>
      </c>
    </row>
    <row r="8178" spans="1:22">
      <c r="A8178" t="str">
        <f t="shared" si="1518"/>
        <v>30/10/2025</v>
      </c>
      <c r="B8178" t="str">
        <f t="shared" si="1519"/>
        <v>SAÍDA</v>
      </c>
      <c r="C8178" t="str">
        <f t="shared" si="1521"/>
        <v>PIX</v>
      </c>
      <c r="D8178" t="str">
        <f>"24074"</f>
        <v>24074</v>
      </c>
      <c r="E8178" t="str">
        <f t="shared" si="1522"/>
        <v>1</v>
      </c>
      <c r="F8178" t="str">
        <f t="shared" si="1517"/>
        <v>COM</v>
      </c>
      <c r="G8178" t="str">
        <f>"WEMERSON FELIPE LOPES (187)"</f>
        <v>WEMERSON FELIPE LOPES (187)</v>
      </c>
      <c r="H8178" t="str">
        <f>"Serv.Prest. 13/10/2025 a 19/10/2025 - PIX: CELULAR - CHAVE: (33) 98806-5772"</f>
        <v>Serv.Prest. 13/10/2025 a 19/10/2025 - PIX: CELULAR - CHAVE: (33) 98806-5772</v>
      </c>
      <c r="I8178" t="str">
        <f t="shared" si="1520"/>
        <v>30/10/2025</v>
      </c>
      <c r="J8178" t="str">
        <f t="shared" si="1523"/>
        <v>21/10/2025</v>
      </c>
      <c r="K8178" t="str">
        <f>("30/10/2025")</f>
        <v>30/10/2025</v>
      </c>
      <c r="L8178">
        <v>1080</v>
      </c>
      <c r="M8178">
        <v>1080</v>
      </c>
      <c r="N8178">
        <v>109</v>
      </c>
      <c r="O8178" t="str">
        <f>"PAGAMENTO DE ENTREGADORES"</f>
        <v>PAGAMENTO DE ENTREGADORES</v>
      </c>
      <c r="P8178">
        <v>1080</v>
      </c>
      <c r="S8178" t="str">
        <f>"BANCO C6 (149)"</f>
        <v>BANCO C6 (149)</v>
      </c>
      <c r="T8178">
        <v>22047</v>
      </c>
      <c r="U8178">
        <v>24074</v>
      </c>
      <c r="V8178" t="s">
        <v>77</v>
      </c>
    </row>
    <row r="8179" spans="1:22">
      <c r="A8179" t="str">
        <f t="shared" si="1518"/>
        <v>30/10/2025</v>
      </c>
      <c r="B8179" t="str">
        <f t="shared" si="1519"/>
        <v>SAÍDA</v>
      </c>
      <c r="C8179" t="str">
        <f t="shared" si="1521"/>
        <v>PIX</v>
      </c>
      <c r="D8179" t="str">
        <f>"24074"</f>
        <v>24074</v>
      </c>
      <c r="E8179" t="str">
        <f t="shared" si="1522"/>
        <v>1</v>
      </c>
      <c r="F8179" t="str">
        <f t="shared" si="1517"/>
        <v>COM</v>
      </c>
      <c r="G8179" t="str">
        <f>"WEMERSON FELIPE LOPES (187)"</f>
        <v>WEMERSON FELIPE LOPES (187)</v>
      </c>
      <c r="H8179" t="s">
        <v>2300</v>
      </c>
      <c r="I8179" t="str">
        <f t="shared" si="1520"/>
        <v>30/10/2025</v>
      </c>
      <c r="J8179" t="str">
        <f t="shared" si="1523"/>
        <v>21/10/2025</v>
      </c>
      <c r="K8179">
        <v>45960</v>
      </c>
      <c r="N8179">
        <v>109</v>
      </c>
      <c r="O8179" t="s">
        <v>24</v>
      </c>
      <c r="Q8179">
        <v>1080</v>
      </c>
      <c r="R8179" t="str">
        <f>"FARMÁCIA INDIANA LJ 06 (10006)"</f>
        <v>FARMÁCIA INDIANA LJ 06 (10006)</v>
      </c>
      <c r="S8179" t="s">
        <v>77</v>
      </c>
      <c r="T8179">
        <v>22047</v>
      </c>
      <c r="U8179">
        <v>24074</v>
      </c>
      <c r="V8179" t="s">
        <v>77</v>
      </c>
    </row>
    <row r="8180" spans="1:22">
      <c r="A8180" t="str">
        <f t="shared" si="1518"/>
        <v>30/10/2025</v>
      </c>
      <c r="B8180" t="str">
        <f t="shared" si="1519"/>
        <v>SAÍDA</v>
      </c>
      <c r="C8180" t="str">
        <f t="shared" si="1521"/>
        <v>PIX</v>
      </c>
      <c r="D8180" t="str">
        <f>"24075"</f>
        <v>24075</v>
      </c>
      <c r="E8180" t="str">
        <f t="shared" si="1522"/>
        <v>1</v>
      </c>
      <c r="F8180" t="str">
        <f t="shared" si="1517"/>
        <v>COM</v>
      </c>
      <c r="G8180" t="str">
        <f>"WEMERSON MODESTO ROMANO (536)"</f>
        <v>WEMERSON MODESTO ROMANO (536)</v>
      </c>
      <c r="H8180" t="str">
        <f>"Serv.Prest. 13/10/2025 a 19/10/2025 - PIX: CELULAR - CHAVE: (31) 99666-0952"</f>
        <v>Serv.Prest. 13/10/2025 a 19/10/2025 - PIX: CELULAR - CHAVE: (31) 99666-0952</v>
      </c>
      <c r="I8180" t="str">
        <f t="shared" si="1520"/>
        <v>30/10/2025</v>
      </c>
      <c r="J8180" t="str">
        <f t="shared" si="1523"/>
        <v>21/10/2025</v>
      </c>
      <c r="K8180" t="str">
        <f>("30/10/2025")</f>
        <v>30/10/2025</v>
      </c>
      <c r="L8180">
        <v>85</v>
      </c>
      <c r="M8180">
        <v>85</v>
      </c>
      <c r="N8180">
        <v>109</v>
      </c>
      <c r="O8180" t="str">
        <f>"PAGAMENTO DE ENTREGADORES"</f>
        <v>PAGAMENTO DE ENTREGADORES</v>
      </c>
      <c r="P8180">
        <v>85</v>
      </c>
      <c r="S8180" t="str">
        <f>"BANCO C6 (149)"</f>
        <v>BANCO C6 (149)</v>
      </c>
      <c r="T8180">
        <v>22048</v>
      </c>
      <c r="U8180">
        <v>24075</v>
      </c>
      <c r="V8180" t="s">
        <v>77</v>
      </c>
    </row>
    <row r="8181" spans="1:22">
      <c r="A8181" t="str">
        <f t="shared" si="1518"/>
        <v>30/10/2025</v>
      </c>
      <c r="B8181" t="str">
        <f t="shared" si="1519"/>
        <v>SAÍDA</v>
      </c>
      <c r="C8181" t="str">
        <f t="shared" si="1521"/>
        <v>PIX</v>
      </c>
      <c r="D8181" t="str">
        <f>"24075"</f>
        <v>24075</v>
      </c>
      <c r="E8181" t="str">
        <f t="shared" si="1522"/>
        <v>1</v>
      </c>
      <c r="F8181" t="str">
        <f t="shared" si="1517"/>
        <v>COM</v>
      </c>
      <c r="G8181" t="str">
        <f>"WEMERSON MODESTO ROMANO (536)"</f>
        <v>WEMERSON MODESTO ROMANO (536)</v>
      </c>
      <c r="H8181" t="s">
        <v>2301</v>
      </c>
      <c r="I8181" t="str">
        <f t="shared" si="1520"/>
        <v>30/10/2025</v>
      </c>
      <c r="J8181" t="str">
        <f t="shared" si="1523"/>
        <v>21/10/2025</v>
      </c>
      <c r="K8181">
        <v>45960</v>
      </c>
      <c r="N8181">
        <v>109</v>
      </c>
      <c r="O8181" t="s">
        <v>24</v>
      </c>
      <c r="Q8181">
        <v>85</v>
      </c>
      <c r="R8181" t="str">
        <f>"FARMÁCIA INDIANA LJ 175 (10076)"</f>
        <v>FARMÁCIA INDIANA LJ 175 (10076)</v>
      </c>
      <c r="S8181" t="s">
        <v>77</v>
      </c>
      <c r="T8181">
        <v>22048</v>
      </c>
      <c r="U8181">
        <v>24075</v>
      </c>
      <c r="V8181" t="s">
        <v>77</v>
      </c>
    </row>
    <row r="8182" spans="1:22">
      <c r="A8182" t="str">
        <f t="shared" si="1518"/>
        <v>30/10/2025</v>
      </c>
      <c r="B8182" t="str">
        <f t="shared" si="1519"/>
        <v>SAÍDA</v>
      </c>
      <c r="C8182" t="str">
        <f t="shared" si="1521"/>
        <v>PIX</v>
      </c>
      <c r="D8182" t="str">
        <f>"24076"</f>
        <v>24076</v>
      </c>
      <c r="E8182" t="str">
        <f t="shared" si="1522"/>
        <v>1</v>
      </c>
      <c r="F8182" t="str">
        <f t="shared" si="1517"/>
        <v>COM</v>
      </c>
      <c r="G8182" t="str">
        <f>"WEMERSON MOREIRA PESSOA (75)"</f>
        <v>WEMERSON MOREIRA PESSOA (75)</v>
      </c>
      <c r="H8182" t="str">
        <f>"Serv.Prest. 13/10/2025 a 19/10/2025 - PIX: CELULAR - CHAVE: (33) 99996-3668"</f>
        <v>Serv.Prest. 13/10/2025 a 19/10/2025 - PIX: CELULAR - CHAVE: (33) 99996-3668</v>
      </c>
      <c r="I8182" t="str">
        <f t="shared" si="1520"/>
        <v>30/10/2025</v>
      </c>
      <c r="J8182" t="str">
        <f t="shared" si="1523"/>
        <v>21/10/2025</v>
      </c>
      <c r="K8182" t="str">
        <f>("30/10/2025")</f>
        <v>30/10/2025</v>
      </c>
      <c r="L8182">
        <v>690</v>
      </c>
      <c r="M8182">
        <v>690</v>
      </c>
      <c r="N8182">
        <v>109</v>
      </c>
      <c r="O8182" t="str">
        <f>"PAGAMENTO DE ENTREGADORES"</f>
        <v>PAGAMENTO DE ENTREGADORES</v>
      </c>
      <c r="P8182">
        <v>690</v>
      </c>
      <c r="S8182" t="str">
        <f>"BANCO C6 (149)"</f>
        <v>BANCO C6 (149)</v>
      </c>
      <c r="T8182">
        <v>22049</v>
      </c>
      <c r="U8182">
        <v>24076</v>
      </c>
      <c r="V8182" t="s">
        <v>77</v>
      </c>
    </row>
    <row r="8183" spans="1:22">
      <c r="A8183" t="str">
        <f t="shared" si="1518"/>
        <v>30/10/2025</v>
      </c>
      <c r="B8183" t="str">
        <f t="shared" si="1519"/>
        <v>SAÍDA</v>
      </c>
      <c r="C8183" t="str">
        <f t="shared" si="1521"/>
        <v>PIX</v>
      </c>
      <c r="D8183" t="str">
        <f>"24076"</f>
        <v>24076</v>
      </c>
      <c r="E8183" t="str">
        <f t="shared" si="1522"/>
        <v>1</v>
      </c>
      <c r="F8183" t="str">
        <f t="shared" si="1517"/>
        <v>COM</v>
      </c>
      <c r="G8183" t="str">
        <f>"WEMERSON MOREIRA PESSOA (75)"</f>
        <v>WEMERSON MOREIRA PESSOA (75)</v>
      </c>
      <c r="H8183" t="s">
        <v>2302</v>
      </c>
      <c r="I8183" t="str">
        <f t="shared" si="1520"/>
        <v>30/10/2025</v>
      </c>
      <c r="J8183" t="str">
        <f t="shared" si="1523"/>
        <v>21/10/2025</v>
      </c>
      <c r="K8183">
        <v>45960</v>
      </c>
      <c r="N8183">
        <v>109</v>
      </c>
      <c r="O8183" t="s">
        <v>24</v>
      </c>
      <c r="Q8183">
        <v>690</v>
      </c>
      <c r="R8183" t="str">
        <f>"FARMÁCIA INDIANA LJ 07 (10007)"</f>
        <v>FARMÁCIA INDIANA LJ 07 (10007)</v>
      </c>
      <c r="S8183" t="s">
        <v>77</v>
      </c>
      <c r="T8183">
        <v>22049</v>
      </c>
      <c r="U8183">
        <v>24076</v>
      </c>
      <c r="V8183" t="s">
        <v>77</v>
      </c>
    </row>
    <row r="8184" spans="1:22">
      <c r="A8184" t="str">
        <f t="shared" si="1518"/>
        <v>30/10/2025</v>
      </c>
      <c r="B8184" t="str">
        <f t="shared" si="1519"/>
        <v>SAÍDA</v>
      </c>
      <c r="C8184" t="str">
        <f t="shared" si="1521"/>
        <v>PIX</v>
      </c>
      <c r="D8184" t="str">
        <f>"24077"</f>
        <v>24077</v>
      </c>
      <c r="E8184" t="str">
        <f t="shared" si="1522"/>
        <v>1</v>
      </c>
      <c r="F8184" t="str">
        <f t="shared" si="1517"/>
        <v>COM</v>
      </c>
      <c r="G8184" t="str">
        <f>"WENDEL LIMA DE SOUZA (112)"</f>
        <v>WENDEL LIMA DE SOUZA (112)</v>
      </c>
      <c r="H8184" t="str">
        <f>"Serv.Prest. 13/10/2025 a 19/10/2025 - PIX: CPF - CHAVE: 012.906.122-00"</f>
        <v>Serv.Prest. 13/10/2025 a 19/10/2025 - PIX: CPF - CHAVE: 012.906.122-00</v>
      </c>
      <c r="I8184" t="str">
        <f t="shared" si="1520"/>
        <v>30/10/2025</v>
      </c>
      <c r="J8184" t="str">
        <f t="shared" si="1523"/>
        <v>21/10/2025</v>
      </c>
      <c r="K8184" t="str">
        <f>("30/10/2025")</f>
        <v>30/10/2025</v>
      </c>
      <c r="L8184">
        <v>1332</v>
      </c>
      <c r="M8184">
        <v>1332</v>
      </c>
      <c r="N8184">
        <v>109</v>
      </c>
      <c r="O8184" t="str">
        <f>"PAGAMENTO DE ENTREGADORES"</f>
        <v>PAGAMENTO DE ENTREGADORES</v>
      </c>
      <c r="P8184">
        <v>1332</v>
      </c>
      <c r="S8184" t="str">
        <f>"BANCO C6 (149)"</f>
        <v>BANCO C6 (149)</v>
      </c>
      <c r="T8184">
        <v>22050</v>
      </c>
      <c r="U8184">
        <v>24077</v>
      </c>
      <c r="V8184" t="s">
        <v>77</v>
      </c>
    </row>
    <row r="8185" spans="1:22">
      <c r="A8185" t="str">
        <f t="shared" si="1518"/>
        <v>30/10/2025</v>
      </c>
      <c r="B8185" t="str">
        <f t="shared" si="1519"/>
        <v>SAÍDA</v>
      </c>
      <c r="C8185" t="str">
        <f t="shared" si="1521"/>
        <v>PIX</v>
      </c>
      <c r="D8185" t="str">
        <f>"24077"</f>
        <v>24077</v>
      </c>
      <c r="E8185" t="str">
        <f t="shared" si="1522"/>
        <v>1</v>
      </c>
      <c r="F8185" t="str">
        <f t="shared" ref="F8185:F8248" si="1524">"COM"</f>
        <v>COM</v>
      </c>
      <c r="G8185" t="str">
        <f>"WENDEL LIMA DE SOUZA (112)"</f>
        <v>WENDEL LIMA DE SOUZA (112)</v>
      </c>
      <c r="H8185" t="s">
        <v>2303</v>
      </c>
      <c r="I8185" t="str">
        <f t="shared" si="1520"/>
        <v>30/10/2025</v>
      </c>
      <c r="J8185" t="str">
        <f t="shared" si="1523"/>
        <v>21/10/2025</v>
      </c>
      <c r="K8185">
        <v>45960</v>
      </c>
      <c r="N8185">
        <v>109</v>
      </c>
      <c r="O8185" t="s">
        <v>24</v>
      </c>
      <c r="Q8185">
        <v>1332</v>
      </c>
      <c r="R8185" t="str">
        <f>"FARMÁCIA INDIANA LJ 11 (10008)"</f>
        <v>FARMÁCIA INDIANA LJ 11 (10008)</v>
      </c>
      <c r="S8185" t="s">
        <v>77</v>
      </c>
      <c r="T8185">
        <v>22050</v>
      </c>
      <c r="U8185">
        <v>24077</v>
      </c>
      <c r="V8185" t="s">
        <v>77</v>
      </c>
    </row>
    <row r="8186" spans="1:22">
      <c r="A8186" t="str">
        <f t="shared" si="1518"/>
        <v>30/10/2025</v>
      </c>
      <c r="B8186" t="str">
        <f t="shared" si="1519"/>
        <v>SAÍDA</v>
      </c>
      <c r="C8186" t="str">
        <f t="shared" si="1521"/>
        <v>PIX</v>
      </c>
      <c r="D8186" t="str">
        <f>"24078"</f>
        <v>24078</v>
      </c>
      <c r="E8186" t="str">
        <f t="shared" si="1522"/>
        <v>1</v>
      </c>
      <c r="F8186" t="str">
        <f t="shared" si="1524"/>
        <v>COM</v>
      </c>
      <c r="G8186" t="str">
        <f>"WILIAN ROSA VIEIRA (488)"</f>
        <v>WILIAN ROSA VIEIRA (488)</v>
      </c>
      <c r="H8186" t="str">
        <f>"Serv.Prest. 13/10/2025 a 19/10/2025 - PIX: E-MAIL - CHAVE: wilianvieirawrv3578@gmail.com"</f>
        <v>Serv.Prest. 13/10/2025 a 19/10/2025 - PIX: E-MAIL - CHAVE: wilianvieirawrv3578@gmail.com</v>
      </c>
      <c r="I8186" t="str">
        <f t="shared" si="1520"/>
        <v>30/10/2025</v>
      </c>
      <c r="J8186" t="str">
        <f t="shared" si="1523"/>
        <v>21/10/2025</v>
      </c>
      <c r="K8186" t="str">
        <f>("30/10/2025")</f>
        <v>30/10/2025</v>
      </c>
      <c r="L8186">
        <v>786</v>
      </c>
      <c r="M8186">
        <v>786</v>
      </c>
      <c r="N8186">
        <v>109</v>
      </c>
      <c r="O8186" t="str">
        <f>"PAGAMENTO DE ENTREGADORES"</f>
        <v>PAGAMENTO DE ENTREGADORES</v>
      </c>
      <c r="P8186">
        <v>786</v>
      </c>
      <c r="S8186" t="str">
        <f>"BANCO C6 (149)"</f>
        <v>BANCO C6 (149)</v>
      </c>
      <c r="T8186">
        <v>22051</v>
      </c>
      <c r="U8186">
        <v>24078</v>
      </c>
      <c r="V8186" t="s">
        <v>77</v>
      </c>
    </row>
    <row r="8187" spans="1:22">
      <c r="A8187" t="str">
        <f t="shared" si="1518"/>
        <v>30/10/2025</v>
      </c>
      <c r="B8187" t="str">
        <f t="shared" si="1519"/>
        <v>SAÍDA</v>
      </c>
      <c r="C8187" t="str">
        <f t="shared" si="1521"/>
        <v>PIX</v>
      </c>
      <c r="D8187" t="str">
        <f>"24078"</f>
        <v>24078</v>
      </c>
      <c r="E8187" t="str">
        <f t="shared" si="1522"/>
        <v>1</v>
      </c>
      <c r="F8187" t="str">
        <f t="shared" si="1524"/>
        <v>COM</v>
      </c>
      <c r="G8187" t="str">
        <f>"WILIAN ROSA VIEIRA (488)"</f>
        <v>WILIAN ROSA VIEIRA (488)</v>
      </c>
      <c r="H8187" t="s">
        <v>2304</v>
      </c>
      <c r="I8187" t="str">
        <f t="shared" si="1520"/>
        <v>30/10/2025</v>
      </c>
      <c r="J8187" t="str">
        <f t="shared" si="1523"/>
        <v>21/10/2025</v>
      </c>
      <c r="K8187">
        <v>45960</v>
      </c>
      <c r="N8187">
        <v>109</v>
      </c>
      <c r="O8187" t="s">
        <v>24</v>
      </c>
      <c r="Q8187">
        <v>329.96</v>
      </c>
      <c r="R8187" t="str">
        <f>"FARMÁCIA INDIANA LJ 103 (10044)"</f>
        <v>FARMÁCIA INDIANA LJ 103 (10044)</v>
      </c>
      <c r="S8187" t="s">
        <v>77</v>
      </c>
      <c r="T8187">
        <v>22051</v>
      </c>
      <c r="U8187">
        <v>24078</v>
      </c>
      <c r="V8187" t="s">
        <v>77</v>
      </c>
    </row>
    <row r="8188" spans="1:22">
      <c r="A8188" t="str">
        <f t="shared" si="1518"/>
        <v>30/10/2025</v>
      </c>
      <c r="B8188" t="str">
        <f t="shared" si="1519"/>
        <v>SAÍDA</v>
      </c>
      <c r="C8188" t="str">
        <f t="shared" si="1521"/>
        <v>PIX</v>
      </c>
      <c r="D8188" t="str">
        <f>"24078"</f>
        <v>24078</v>
      </c>
      <c r="E8188" t="str">
        <f t="shared" si="1522"/>
        <v>1</v>
      </c>
      <c r="F8188" t="str">
        <f t="shared" si="1524"/>
        <v>COM</v>
      </c>
      <c r="G8188" t="str">
        <f>"WILIAN ROSA VIEIRA (488)"</f>
        <v>WILIAN ROSA VIEIRA (488)</v>
      </c>
      <c r="H8188" t="s">
        <v>2304</v>
      </c>
      <c r="I8188" t="str">
        <f t="shared" si="1520"/>
        <v>30/10/2025</v>
      </c>
      <c r="J8188" t="str">
        <f t="shared" si="1523"/>
        <v>21/10/2025</v>
      </c>
      <c r="K8188">
        <v>45960</v>
      </c>
      <c r="N8188">
        <v>109</v>
      </c>
      <c r="O8188" t="s">
        <v>24</v>
      </c>
      <c r="Q8188">
        <v>161.99</v>
      </c>
      <c r="R8188" t="str">
        <f>"FARMÁCIA INDIANA LJ 140 (10064)"</f>
        <v>FARMÁCIA INDIANA LJ 140 (10064)</v>
      </c>
      <c r="S8188" t="s">
        <v>77</v>
      </c>
      <c r="T8188">
        <v>22051</v>
      </c>
      <c r="U8188">
        <v>24078</v>
      </c>
      <c r="V8188" t="s">
        <v>77</v>
      </c>
    </row>
    <row r="8189" spans="1:22">
      <c r="A8189" t="str">
        <f t="shared" si="1518"/>
        <v>30/10/2025</v>
      </c>
      <c r="B8189" t="str">
        <f t="shared" si="1519"/>
        <v>SAÍDA</v>
      </c>
      <c r="C8189" t="str">
        <f t="shared" si="1521"/>
        <v>PIX</v>
      </c>
      <c r="D8189" t="str">
        <f>"24078"</f>
        <v>24078</v>
      </c>
      <c r="E8189" t="str">
        <f t="shared" si="1522"/>
        <v>1</v>
      </c>
      <c r="F8189" t="str">
        <f t="shared" si="1524"/>
        <v>COM</v>
      </c>
      <c r="G8189" t="str">
        <f>"WILIAN ROSA VIEIRA (488)"</f>
        <v>WILIAN ROSA VIEIRA (488)</v>
      </c>
      <c r="H8189" t="s">
        <v>2304</v>
      </c>
      <c r="I8189" t="str">
        <f t="shared" si="1520"/>
        <v>30/10/2025</v>
      </c>
      <c r="J8189" t="str">
        <f t="shared" si="1523"/>
        <v>21/10/2025</v>
      </c>
      <c r="K8189">
        <v>45960</v>
      </c>
      <c r="N8189">
        <v>109</v>
      </c>
      <c r="O8189" t="s">
        <v>24</v>
      </c>
      <c r="Q8189">
        <v>90</v>
      </c>
      <c r="R8189" t="str">
        <f>"FARMÁCIA INDIANA LJ 141 (10065)"</f>
        <v>FARMÁCIA INDIANA LJ 141 (10065)</v>
      </c>
      <c r="S8189" t="s">
        <v>77</v>
      </c>
      <c r="T8189">
        <v>22051</v>
      </c>
      <c r="U8189">
        <v>24078</v>
      </c>
      <c r="V8189" t="s">
        <v>77</v>
      </c>
    </row>
    <row r="8190" spans="1:22">
      <c r="A8190" t="str">
        <f t="shared" si="1518"/>
        <v>30/10/2025</v>
      </c>
      <c r="B8190" t="str">
        <f t="shared" si="1519"/>
        <v>SAÍDA</v>
      </c>
      <c r="C8190" t="str">
        <f t="shared" si="1521"/>
        <v>PIX</v>
      </c>
      <c r="D8190" t="str">
        <f>"24078"</f>
        <v>24078</v>
      </c>
      <c r="E8190" t="str">
        <f t="shared" si="1522"/>
        <v>1</v>
      </c>
      <c r="F8190" t="str">
        <f t="shared" si="1524"/>
        <v>COM</v>
      </c>
      <c r="G8190" t="str">
        <f>"WILIAN ROSA VIEIRA (488)"</f>
        <v>WILIAN ROSA VIEIRA (488)</v>
      </c>
      <c r="H8190" t="s">
        <v>2304</v>
      </c>
      <c r="I8190" t="str">
        <f t="shared" si="1520"/>
        <v>30/10/2025</v>
      </c>
      <c r="J8190" t="str">
        <f t="shared" si="1523"/>
        <v>21/10/2025</v>
      </c>
      <c r="K8190">
        <v>45960</v>
      </c>
      <c r="N8190">
        <v>109</v>
      </c>
      <c r="O8190" t="s">
        <v>24</v>
      </c>
      <c r="Q8190">
        <v>204.05</v>
      </c>
      <c r="R8190" t="str">
        <f>"FARMÁCIA INDIANA LJ 154 (10070)"</f>
        <v>FARMÁCIA INDIANA LJ 154 (10070)</v>
      </c>
      <c r="S8190" t="s">
        <v>77</v>
      </c>
      <c r="T8190">
        <v>22051</v>
      </c>
      <c r="U8190">
        <v>24078</v>
      </c>
      <c r="V8190" t="s">
        <v>77</v>
      </c>
    </row>
    <row r="8191" spans="1:22">
      <c r="A8191" t="str">
        <f t="shared" si="1518"/>
        <v>30/10/2025</v>
      </c>
      <c r="B8191" t="str">
        <f t="shared" si="1519"/>
        <v>SAÍDA</v>
      </c>
      <c r="C8191" t="str">
        <f t="shared" si="1521"/>
        <v>PIX</v>
      </c>
      <c r="D8191" t="str">
        <f>"24079"</f>
        <v>24079</v>
      </c>
      <c r="E8191" t="str">
        <f t="shared" si="1522"/>
        <v>1</v>
      </c>
      <c r="F8191" t="str">
        <f t="shared" si="1524"/>
        <v>COM</v>
      </c>
      <c r="G8191" t="str">
        <f>"YAN EVERTON RODRIGUES DE LIMA (875)"</f>
        <v>YAN EVERTON RODRIGUES DE LIMA (875)</v>
      </c>
      <c r="H8191" t="str">
        <f>"Serv.Prest. 13/10/2025 a 19/10/2025 - PIX: CELULAR - CHAVE: (33) 99859-8751"</f>
        <v>Serv.Prest. 13/10/2025 a 19/10/2025 - PIX: CELULAR - CHAVE: (33) 99859-8751</v>
      </c>
      <c r="I8191" t="str">
        <f t="shared" si="1520"/>
        <v>30/10/2025</v>
      </c>
      <c r="J8191" t="str">
        <f t="shared" si="1523"/>
        <v>21/10/2025</v>
      </c>
      <c r="K8191" t="str">
        <f>("30/10/2025")</f>
        <v>30/10/2025</v>
      </c>
      <c r="L8191">
        <v>1008</v>
      </c>
      <c r="M8191">
        <v>1008</v>
      </c>
      <c r="N8191">
        <v>109</v>
      </c>
      <c r="O8191" t="str">
        <f>"PAGAMENTO DE ENTREGADORES"</f>
        <v>PAGAMENTO DE ENTREGADORES</v>
      </c>
      <c r="P8191">
        <v>1008</v>
      </c>
      <c r="S8191" t="str">
        <f>"BANCO C6 (149)"</f>
        <v>BANCO C6 (149)</v>
      </c>
      <c r="T8191">
        <v>22052</v>
      </c>
      <c r="U8191">
        <v>24079</v>
      </c>
      <c r="V8191" t="s">
        <v>77</v>
      </c>
    </row>
    <row r="8192" spans="1:22">
      <c r="A8192" t="str">
        <f t="shared" si="1518"/>
        <v>30/10/2025</v>
      </c>
      <c r="B8192" t="str">
        <f t="shared" si="1519"/>
        <v>SAÍDA</v>
      </c>
      <c r="C8192" t="str">
        <f t="shared" si="1521"/>
        <v>PIX</v>
      </c>
      <c r="D8192" t="str">
        <f>"24079"</f>
        <v>24079</v>
      </c>
      <c r="E8192" t="str">
        <f t="shared" si="1522"/>
        <v>1</v>
      </c>
      <c r="F8192" t="str">
        <f t="shared" si="1524"/>
        <v>COM</v>
      </c>
      <c r="G8192" t="str">
        <f>"YAN EVERTON RODRIGUES DE LIMA (875)"</f>
        <v>YAN EVERTON RODRIGUES DE LIMA (875)</v>
      </c>
      <c r="H8192" t="s">
        <v>2305</v>
      </c>
      <c r="I8192" t="str">
        <f t="shared" si="1520"/>
        <v>30/10/2025</v>
      </c>
      <c r="J8192" t="str">
        <f t="shared" si="1523"/>
        <v>21/10/2025</v>
      </c>
      <c r="K8192">
        <v>45960</v>
      </c>
      <c r="N8192">
        <v>109</v>
      </c>
      <c r="O8192" t="s">
        <v>24</v>
      </c>
      <c r="Q8192">
        <v>1008</v>
      </c>
      <c r="R8192" t="str">
        <f>"FARMÁCIA INDIANA LJ 06 (10006)"</f>
        <v>FARMÁCIA INDIANA LJ 06 (10006)</v>
      </c>
      <c r="S8192" t="s">
        <v>77</v>
      </c>
      <c r="T8192">
        <v>22052</v>
      </c>
      <c r="U8192">
        <v>24079</v>
      </c>
      <c r="V8192" t="s">
        <v>77</v>
      </c>
    </row>
    <row r="8193" spans="1:22">
      <c r="A8193" t="str">
        <f t="shared" si="1518"/>
        <v>30/10/2025</v>
      </c>
      <c r="B8193" t="str">
        <f t="shared" si="1519"/>
        <v>SAÍDA</v>
      </c>
      <c r="C8193" t="str">
        <f t="shared" si="1521"/>
        <v>PIX</v>
      </c>
      <c r="D8193" t="str">
        <f>"24081"</f>
        <v>24081</v>
      </c>
      <c r="E8193" t="str">
        <f t="shared" si="1522"/>
        <v>1</v>
      </c>
      <c r="F8193" t="str">
        <f t="shared" si="1524"/>
        <v>COM</v>
      </c>
      <c r="G8193" t="str">
        <f>"CARLOS ALBERTO DE JESUS SANTOS (110)"</f>
        <v>CARLOS ALBERTO DE JESUS SANTOS (110)</v>
      </c>
      <c r="H8193" t="str">
        <f>"Serv.Prest. 13/10/2025 a 19/10/2025 - PIX: CPF - CHAVE: 036.875.515-04"</f>
        <v>Serv.Prest. 13/10/2025 a 19/10/2025 - PIX: CPF - CHAVE: 036.875.515-04</v>
      </c>
      <c r="I8193" t="str">
        <f t="shared" si="1520"/>
        <v>30/10/2025</v>
      </c>
      <c r="J8193" t="str">
        <f t="shared" si="1523"/>
        <v>21/10/2025</v>
      </c>
      <c r="K8193" t="str">
        <f>("30/10/2025")</f>
        <v>30/10/2025</v>
      </c>
      <c r="L8193">
        <v>654</v>
      </c>
      <c r="M8193">
        <v>654</v>
      </c>
      <c r="N8193">
        <v>109</v>
      </c>
      <c r="O8193" t="str">
        <f>"PAGAMENTO DE ENTREGADORES"</f>
        <v>PAGAMENTO DE ENTREGADORES</v>
      </c>
      <c r="P8193">
        <v>654</v>
      </c>
      <c r="S8193" t="str">
        <f>"BANCO C6 (149)"</f>
        <v>BANCO C6 (149)</v>
      </c>
      <c r="T8193">
        <v>22053</v>
      </c>
      <c r="U8193">
        <v>24081</v>
      </c>
      <c r="V8193" t="s">
        <v>77</v>
      </c>
    </row>
    <row r="8194" spans="1:22">
      <c r="A8194" t="str">
        <f t="shared" si="1518"/>
        <v>30/10/2025</v>
      </c>
      <c r="B8194" t="str">
        <f t="shared" si="1519"/>
        <v>SAÍDA</v>
      </c>
      <c r="C8194" t="str">
        <f t="shared" si="1521"/>
        <v>PIX</v>
      </c>
      <c r="D8194" t="str">
        <f>"24081"</f>
        <v>24081</v>
      </c>
      <c r="E8194" t="str">
        <f t="shared" si="1522"/>
        <v>1</v>
      </c>
      <c r="F8194" t="str">
        <f t="shared" si="1524"/>
        <v>COM</v>
      </c>
      <c r="G8194" t="str">
        <f>"CARLOS ALBERTO DE JESUS SANTOS (110)"</f>
        <v>CARLOS ALBERTO DE JESUS SANTOS (110)</v>
      </c>
      <c r="H8194" t="s">
        <v>2306</v>
      </c>
      <c r="I8194" t="str">
        <f t="shared" si="1520"/>
        <v>30/10/2025</v>
      </c>
      <c r="J8194" t="str">
        <f t="shared" si="1523"/>
        <v>21/10/2025</v>
      </c>
      <c r="K8194">
        <v>45960</v>
      </c>
      <c r="N8194">
        <v>109</v>
      </c>
      <c r="O8194" t="s">
        <v>24</v>
      </c>
      <c r="Q8194">
        <v>654</v>
      </c>
      <c r="R8194" t="str">
        <f>"FARMÁCIA INDIANA LJ 173 (10075)"</f>
        <v>FARMÁCIA INDIANA LJ 173 (10075)</v>
      </c>
      <c r="S8194" t="s">
        <v>77</v>
      </c>
      <c r="T8194">
        <v>22053</v>
      </c>
      <c r="U8194">
        <v>24081</v>
      </c>
      <c r="V8194" t="s">
        <v>77</v>
      </c>
    </row>
    <row r="8195" spans="1:22">
      <c r="A8195" t="str">
        <f t="shared" si="1518"/>
        <v>30/10/2025</v>
      </c>
      <c r="B8195" t="str">
        <f t="shared" si="1519"/>
        <v>SAÍDA</v>
      </c>
      <c r="C8195" t="str">
        <f t="shared" si="1521"/>
        <v>PIX</v>
      </c>
      <c r="D8195" t="str">
        <f>"24083"</f>
        <v>24083</v>
      </c>
      <c r="E8195" t="str">
        <f t="shared" si="1522"/>
        <v>1</v>
      </c>
      <c r="F8195" t="str">
        <f t="shared" si="1524"/>
        <v>COM</v>
      </c>
      <c r="G8195" t="str">
        <f>"DIOCLECIO SANDES JOTA (135)"</f>
        <v>DIOCLECIO SANDES JOTA (135)</v>
      </c>
      <c r="H8195" t="str">
        <f>"Serv.Prest. 13/10/2025 a 19/10/2025 - PIX: CELULAR - CHAVE: (73) 99966-7211"</f>
        <v>Serv.Prest. 13/10/2025 a 19/10/2025 - PIX: CELULAR - CHAVE: (73) 99966-7211</v>
      </c>
      <c r="I8195" t="str">
        <f t="shared" si="1520"/>
        <v>30/10/2025</v>
      </c>
      <c r="J8195" t="str">
        <f t="shared" si="1523"/>
        <v>21/10/2025</v>
      </c>
      <c r="K8195" t="str">
        <f>("30/10/2025")</f>
        <v>30/10/2025</v>
      </c>
      <c r="L8195">
        <v>1410</v>
      </c>
      <c r="M8195">
        <v>1410</v>
      </c>
      <c r="N8195">
        <v>109</v>
      </c>
      <c r="O8195" t="str">
        <f>"PAGAMENTO DE ENTREGADORES"</f>
        <v>PAGAMENTO DE ENTREGADORES</v>
      </c>
      <c r="P8195">
        <v>1410</v>
      </c>
      <c r="S8195" t="str">
        <f>"BANCO C6 (149)"</f>
        <v>BANCO C6 (149)</v>
      </c>
      <c r="T8195">
        <v>22054</v>
      </c>
      <c r="U8195">
        <v>24083</v>
      </c>
      <c r="V8195" t="s">
        <v>77</v>
      </c>
    </row>
    <row r="8196" spans="1:22">
      <c r="A8196" t="str">
        <f t="shared" si="1518"/>
        <v>30/10/2025</v>
      </c>
      <c r="B8196" t="str">
        <f t="shared" si="1519"/>
        <v>SAÍDA</v>
      </c>
      <c r="C8196" t="str">
        <f t="shared" si="1521"/>
        <v>PIX</v>
      </c>
      <c r="D8196" t="str">
        <f>"24083"</f>
        <v>24083</v>
      </c>
      <c r="E8196" t="str">
        <f t="shared" si="1522"/>
        <v>1</v>
      </c>
      <c r="F8196" t="str">
        <f t="shared" si="1524"/>
        <v>COM</v>
      </c>
      <c r="G8196" t="str">
        <f>"DIOCLECIO SANDES JOTA (135)"</f>
        <v>DIOCLECIO SANDES JOTA (135)</v>
      </c>
      <c r="H8196" t="s">
        <v>2307</v>
      </c>
      <c r="I8196" t="str">
        <f t="shared" si="1520"/>
        <v>30/10/2025</v>
      </c>
      <c r="J8196" t="str">
        <f t="shared" si="1523"/>
        <v>21/10/2025</v>
      </c>
      <c r="K8196">
        <v>45960</v>
      </c>
      <c r="N8196">
        <v>109</v>
      </c>
      <c r="O8196" t="s">
        <v>24</v>
      </c>
      <c r="Q8196">
        <v>1410</v>
      </c>
      <c r="R8196" t="str">
        <f>"FARMÁCIA INDIANA LJ 91 (10037)"</f>
        <v>FARMÁCIA INDIANA LJ 91 (10037)</v>
      </c>
      <c r="S8196" t="s">
        <v>77</v>
      </c>
      <c r="T8196">
        <v>22054</v>
      </c>
      <c r="U8196">
        <v>24083</v>
      </c>
      <c r="V8196" t="s">
        <v>77</v>
      </c>
    </row>
    <row r="8197" spans="1:22">
      <c r="A8197" t="str">
        <f t="shared" si="1518"/>
        <v>30/10/2025</v>
      </c>
      <c r="B8197" t="str">
        <f t="shared" si="1519"/>
        <v>SAÍDA</v>
      </c>
      <c r="C8197" t="str">
        <f t="shared" si="1521"/>
        <v>PIX</v>
      </c>
      <c r="D8197" t="str">
        <f>"24084"</f>
        <v>24084</v>
      </c>
      <c r="E8197" t="str">
        <f t="shared" si="1522"/>
        <v>1</v>
      </c>
      <c r="F8197" t="str">
        <f t="shared" si="1524"/>
        <v>COM</v>
      </c>
      <c r="G8197" t="str">
        <f>"EDUARDO SILVA DE JESUS (143)"</f>
        <v>EDUARDO SILVA DE JESUS (143)</v>
      </c>
      <c r="H8197" t="str">
        <f>"Serv.Prest. 13/10/2025 a 19/10/2025 - PIX: CPF - CHAVE: 094.947.395-23"</f>
        <v>Serv.Prest. 13/10/2025 a 19/10/2025 - PIX: CPF - CHAVE: 094.947.395-23</v>
      </c>
      <c r="I8197" t="str">
        <f t="shared" si="1520"/>
        <v>30/10/2025</v>
      </c>
      <c r="J8197" t="str">
        <f t="shared" si="1523"/>
        <v>21/10/2025</v>
      </c>
      <c r="K8197" t="str">
        <f>("30/10/2025")</f>
        <v>30/10/2025</v>
      </c>
      <c r="L8197">
        <v>672</v>
      </c>
      <c r="M8197">
        <v>672</v>
      </c>
      <c r="N8197">
        <v>109</v>
      </c>
      <c r="O8197" t="str">
        <f>"PAGAMENTO DE ENTREGADORES"</f>
        <v>PAGAMENTO DE ENTREGADORES</v>
      </c>
      <c r="P8197">
        <v>672</v>
      </c>
      <c r="S8197" t="str">
        <f>"BANCO C6 (149)"</f>
        <v>BANCO C6 (149)</v>
      </c>
      <c r="T8197">
        <v>22055</v>
      </c>
      <c r="U8197">
        <v>24084</v>
      </c>
      <c r="V8197" t="s">
        <v>77</v>
      </c>
    </row>
    <row r="8198" spans="1:22">
      <c r="A8198" t="str">
        <f t="shared" si="1518"/>
        <v>30/10/2025</v>
      </c>
      <c r="B8198" t="str">
        <f t="shared" si="1519"/>
        <v>SAÍDA</v>
      </c>
      <c r="C8198" t="str">
        <f t="shared" si="1521"/>
        <v>PIX</v>
      </c>
      <c r="D8198" t="str">
        <f>"24084"</f>
        <v>24084</v>
      </c>
      <c r="E8198" t="str">
        <f t="shared" si="1522"/>
        <v>1</v>
      </c>
      <c r="F8198" t="str">
        <f t="shared" si="1524"/>
        <v>COM</v>
      </c>
      <c r="G8198" t="str">
        <f>"EDUARDO SILVA DE JESUS (143)"</f>
        <v>EDUARDO SILVA DE JESUS (143)</v>
      </c>
      <c r="H8198" t="s">
        <v>2308</v>
      </c>
      <c r="I8198" t="str">
        <f t="shared" si="1520"/>
        <v>30/10/2025</v>
      </c>
      <c r="J8198" t="str">
        <f t="shared" si="1523"/>
        <v>21/10/2025</v>
      </c>
      <c r="K8198">
        <v>45960</v>
      </c>
      <c r="N8198">
        <v>109</v>
      </c>
      <c r="O8198" t="s">
        <v>24</v>
      </c>
      <c r="Q8198">
        <v>672</v>
      </c>
      <c r="R8198" t="str">
        <f>"FARMÁCIA INDIANA LJ 91 (10037)"</f>
        <v>FARMÁCIA INDIANA LJ 91 (10037)</v>
      </c>
      <c r="S8198" t="s">
        <v>77</v>
      </c>
      <c r="T8198">
        <v>22055</v>
      </c>
      <c r="U8198">
        <v>24084</v>
      </c>
      <c r="V8198" t="s">
        <v>77</v>
      </c>
    </row>
    <row r="8199" spans="1:22">
      <c r="A8199" t="str">
        <f t="shared" si="1518"/>
        <v>30/10/2025</v>
      </c>
      <c r="B8199" t="str">
        <f t="shared" si="1519"/>
        <v>SAÍDA</v>
      </c>
      <c r="C8199" t="str">
        <f t="shared" si="1521"/>
        <v>PIX</v>
      </c>
      <c r="D8199" t="str">
        <f>"24085"</f>
        <v>24085</v>
      </c>
      <c r="E8199" t="str">
        <f t="shared" si="1522"/>
        <v>1</v>
      </c>
      <c r="F8199" t="str">
        <f t="shared" si="1524"/>
        <v>COM</v>
      </c>
      <c r="G8199" t="str">
        <f>"ERIC DE RAMOS GOMES (606)"</f>
        <v>ERIC DE RAMOS GOMES (606)</v>
      </c>
      <c r="H8199" t="str">
        <f>"Serv.Prest. 13/10/2025 a 19/10/2025 - PIX: E-MAIL - CHAVE: ericgomes508@gmail.com"</f>
        <v>Serv.Prest. 13/10/2025 a 19/10/2025 - PIX: E-MAIL - CHAVE: ericgomes508@gmail.com</v>
      </c>
      <c r="I8199" t="str">
        <f t="shared" si="1520"/>
        <v>30/10/2025</v>
      </c>
      <c r="J8199" t="str">
        <f t="shared" si="1523"/>
        <v>21/10/2025</v>
      </c>
      <c r="K8199" t="str">
        <f>("30/10/2025")</f>
        <v>30/10/2025</v>
      </c>
      <c r="L8199">
        <v>750</v>
      </c>
      <c r="M8199">
        <v>750</v>
      </c>
      <c r="N8199">
        <v>109</v>
      </c>
      <c r="O8199" t="str">
        <f>"PAGAMENTO DE ENTREGADORES"</f>
        <v>PAGAMENTO DE ENTREGADORES</v>
      </c>
      <c r="P8199">
        <v>750</v>
      </c>
      <c r="S8199" t="str">
        <f>"BANCO C6 (149)"</f>
        <v>BANCO C6 (149)</v>
      </c>
      <c r="T8199">
        <v>22056</v>
      </c>
      <c r="U8199">
        <v>24085</v>
      </c>
      <c r="V8199" t="s">
        <v>77</v>
      </c>
    </row>
    <row r="8200" spans="1:22">
      <c r="A8200" t="str">
        <f t="shared" si="1518"/>
        <v>30/10/2025</v>
      </c>
      <c r="B8200" t="str">
        <f t="shared" si="1519"/>
        <v>SAÍDA</v>
      </c>
      <c r="C8200" t="str">
        <f t="shared" si="1521"/>
        <v>PIX</v>
      </c>
      <c r="D8200" t="str">
        <f>"24085"</f>
        <v>24085</v>
      </c>
      <c r="E8200" t="str">
        <f t="shared" si="1522"/>
        <v>1</v>
      </c>
      <c r="F8200" t="str">
        <f t="shared" si="1524"/>
        <v>COM</v>
      </c>
      <c r="G8200" t="str">
        <f>"ERIC DE RAMOS GOMES (606)"</f>
        <v>ERIC DE RAMOS GOMES (606)</v>
      </c>
      <c r="H8200" t="s">
        <v>2309</v>
      </c>
      <c r="I8200" t="str">
        <f t="shared" si="1520"/>
        <v>30/10/2025</v>
      </c>
      <c r="J8200" t="str">
        <f t="shared" si="1523"/>
        <v>21/10/2025</v>
      </c>
      <c r="K8200">
        <v>45960</v>
      </c>
      <c r="N8200">
        <v>109</v>
      </c>
      <c r="O8200" t="s">
        <v>24</v>
      </c>
      <c r="Q8200">
        <v>750</v>
      </c>
      <c r="R8200" t="str">
        <f>"FARMÁCIA INDIANA LJ 91 (10037)"</f>
        <v>FARMÁCIA INDIANA LJ 91 (10037)</v>
      </c>
      <c r="S8200" t="s">
        <v>77</v>
      </c>
      <c r="T8200">
        <v>22056</v>
      </c>
      <c r="U8200">
        <v>24085</v>
      </c>
      <c r="V8200" t="s">
        <v>77</v>
      </c>
    </row>
    <row r="8201" spans="1:22">
      <c r="A8201" t="str">
        <f t="shared" si="1518"/>
        <v>30/10/2025</v>
      </c>
      <c r="B8201" t="str">
        <f t="shared" si="1519"/>
        <v>SAÍDA</v>
      </c>
      <c r="C8201" t="str">
        <f t="shared" si="1521"/>
        <v>PIX</v>
      </c>
      <c r="D8201" t="str">
        <f>"24086"</f>
        <v>24086</v>
      </c>
      <c r="E8201" t="str">
        <f t="shared" si="1522"/>
        <v>1</v>
      </c>
      <c r="F8201" t="str">
        <f t="shared" si="1524"/>
        <v>COM</v>
      </c>
      <c r="G8201" t="str">
        <f>"GABRIEL SOUZA RIBEIRO (425)"</f>
        <v>GABRIEL SOUZA RIBEIRO (425)</v>
      </c>
      <c r="H8201" t="str">
        <f>"Serv.Prest. 13/10/2025 a 19/10/2025 - PIX: CPF - CHAVE: 087.398.185-51"</f>
        <v>Serv.Prest. 13/10/2025 a 19/10/2025 - PIX: CPF - CHAVE: 087.398.185-51</v>
      </c>
      <c r="I8201" t="str">
        <f t="shared" si="1520"/>
        <v>30/10/2025</v>
      </c>
      <c r="J8201" t="str">
        <f t="shared" si="1523"/>
        <v>21/10/2025</v>
      </c>
      <c r="K8201" t="str">
        <f>("30/10/2025")</f>
        <v>30/10/2025</v>
      </c>
      <c r="L8201">
        <v>654</v>
      </c>
      <c r="M8201">
        <v>654</v>
      </c>
      <c r="N8201">
        <v>109</v>
      </c>
      <c r="O8201" t="str">
        <f>"PAGAMENTO DE ENTREGADORES"</f>
        <v>PAGAMENTO DE ENTREGADORES</v>
      </c>
      <c r="P8201">
        <v>654</v>
      </c>
      <c r="S8201" t="str">
        <f>"BANCO C6 (149)"</f>
        <v>BANCO C6 (149)</v>
      </c>
      <c r="T8201">
        <v>22057</v>
      </c>
      <c r="U8201">
        <v>24086</v>
      </c>
      <c r="V8201" t="s">
        <v>77</v>
      </c>
    </row>
    <row r="8202" spans="1:22">
      <c r="A8202" t="str">
        <f t="shared" si="1518"/>
        <v>30/10/2025</v>
      </c>
      <c r="B8202" t="str">
        <f t="shared" si="1519"/>
        <v>SAÍDA</v>
      </c>
      <c r="C8202" t="str">
        <f t="shared" si="1521"/>
        <v>PIX</v>
      </c>
      <c r="D8202" t="str">
        <f>"24086"</f>
        <v>24086</v>
      </c>
      <c r="E8202" t="str">
        <f t="shared" si="1522"/>
        <v>1</v>
      </c>
      <c r="F8202" t="str">
        <f t="shared" si="1524"/>
        <v>COM</v>
      </c>
      <c r="G8202" t="str">
        <f>"GABRIEL SOUZA RIBEIRO (425)"</f>
        <v>GABRIEL SOUZA RIBEIRO (425)</v>
      </c>
      <c r="H8202" t="s">
        <v>2310</v>
      </c>
      <c r="I8202" t="str">
        <f t="shared" si="1520"/>
        <v>30/10/2025</v>
      </c>
      <c r="J8202" t="str">
        <f t="shared" si="1523"/>
        <v>21/10/2025</v>
      </c>
      <c r="K8202">
        <v>45960</v>
      </c>
      <c r="N8202">
        <v>109</v>
      </c>
      <c r="O8202" t="s">
        <v>24</v>
      </c>
      <c r="Q8202">
        <v>654</v>
      </c>
      <c r="R8202" t="str">
        <f>"FARMÁCIA INDIANA LJ 65 (10030)"</f>
        <v>FARMÁCIA INDIANA LJ 65 (10030)</v>
      </c>
      <c r="S8202" t="s">
        <v>77</v>
      </c>
      <c r="T8202">
        <v>22057</v>
      </c>
      <c r="U8202">
        <v>24086</v>
      </c>
      <c r="V8202" t="s">
        <v>77</v>
      </c>
    </row>
    <row r="8203" spans="1:22">
      <c r="A8203" t="str">
        <f t="shared" si="1518"/>
        <v>30/10/2025</v>
      </c>
      <c r="B8203" t="str">
        <f t="shared" si="1519"/>
        <v>SAÍDA</v>
      </c>
      <c r="C8203" t="str">
        <f t="shared" si="1521"/>
        <v>PIX</v>
      </c>
      <c r="D8203" t="str">
        <f>"24087"</f>
        <v>24087</v>
      </c>
      <c r="E8203" t="str">
        <f t="shared" si="1522"/>
        <v>1</v>
      </c>
      <c r="F8203" t="str">
        <f t="shared" si="1524"/>
        <v>COM</v>
      </c>
      <c r="G8203" t="str">
        <f>"GILBERTO PINHEIRO DA ROCHA (155)"</f>
        <v>GILBERTO PINHEIRO DA ROCHA (155)</v>
      </c>
      <c r="H8203" t="str">
        <f>"Serv.Prest. 13/10/2025 a 19/10/2025 - PIX: CELULAR - CHAVE: (73) 99941-8352"</f>
        <v>Serv.Prest. 13/10/2025 a 19/10/2025 - PIX: CELULAR - CHAVE: (73) 99941-8352</v>
      </c>
      <c r="I8203" t="str">
        <f t="shared" si="1520"/>
        <v>30/10/2025</v>
      </c>
      <c r="J8203" t="str">
        <f t="shared" si="1523"/>
        <v>21/10/2025</v>
      </c>
      <c r="K8203" t="str">
        <f>("30/10/2025")</f>
        <v>30/10/2025</v>
      </c>
      <c r="L8203">
        <v>667.25</v>
      </c>
      <c r="M8203">
        <v>667.25</v>
      </c>
      <c r="N8203">
        <v>109</v>
      </c>
      <c r="O8203" t="str">
        <f>"PAGAMENTO DE ENTREGADORES"</f>
        <v>PAGAMENTO DE ENTREGADORES</v>
      </c>
      <c r="P8203">
        <v>667.25</v>
      </c>
      <c r="S8203" t="str">
        <f>"BANCO C6 (149)"</f>
        <v>BANCO C6 (149)</v>
      </c>
      <c r="T8203">
        <v>22058</v>
      </c>
      <c r="U8203">
        <v>24087</v>
      </c>
      <c r="V8203" t="s">
        <v>77</v>
      </c>
    </row>
    <row r="8204" spans="1:22">
      <c r="A8204" t="str">
        <f t="shared" si="1518"/>
        <v>30/10/2025</v>
      </c>
      <c r="B8204" t="str">
        <f t="shared" si="1519"/>
        <v>SAÍDA</v>
      </c>
      <c r="C8204" t="str">
        <f t="shared" si="1521"/>
        <v>PIX</v>
      </c>
      <c r="D8204" t="str">
        <f>"24087"</f>
        <v>24087</v>
      </c>
      <c r="E8204" t="str">
        <f t="shared" si="1522"/>
        <v>1</v>
      </c>
      <c r="F8204" t="str">
        <f t="shared" si="1524"/>
        <v>COM</v>
      </c>
      <c r="G8204" t="str">
        <f>"GILBERTO PINHEIRO DA ROCHA (155)"</f>
        <v>GILBERTO PINHEIRO DA ROCHA (155)</v>
      </c>
      <c r="H8204" t="s">
        <v>2311</v>
      </c>
      <c r="I8204" t="str">
        <f t="shared" si="1520"/>
        <v>30/10/2025</v>
      </c>
      <c r="J8204" t="str">
        <f t="shared" si="1523"/>
        <v>21/10/2025</v>
      </c>
      <c r="K8204">
        <v>45960</v>
      </c>
      <c r="N8204">
        <v>109</v>
      </c>
      <c r="O8204" t="s">
        <v>24</v>
      </c>
      <c r="Q8204">
        <v>667.25</v>
      </c>
      <c r="R8204" t="str">
        <f>"FARMÁCIA INDIANA LJ 34 (10014)"</f>
        <v>FARMÁCIA INDIANA LJ 34 (10014)</v>
      </c>
      <c r="S8204" t="s">
        <v>77</v>
      </c>
      <c r="T8204">
        <v>22058</v>
      </c>
      <c r="U8204">
        <v>24087</v>
      </c>
      <c r="V8204" t="s">
        <v>77</v>
      </c>
    </row>
    <row r="8205" spans="1:22">
      <c r="A8205" t="str">
        <f t="shared" ref="A8205:A8268" si="1525">("30/10/2025")</f>
        <v>30/10/2025</v>
      </c>
      <c r="B8205" t="str">
        <f t="shared" si="1519"/>
        <v>SAÍDA</v>
      </c>
      <c r="C8205" t="str">
        <f t="shared" si="1521"/>
        <v>PIX</v>
      </c>
      <c r="D8205" t="str">
        <f>"24089"</f>
        <v>24089</v>
      </c>
      <c r="E8205" t="str">
        <f t="shared" si="1522"/>
        <v>1</v>
      </c>
      <c r="F8205" t="str">
        <f t="shared" si="1524"/>
        <v>COM</v>
      </c>
      <c r="G8205" t="str">
        <f>"GUSTAVO SILVA LIMA (771)"</f>
        <v>GUSTAVO SILVA LIMA (771)</v>
      </c>
      <c r="H8205" t="str">
        <f>"Serv.Prest. 13/10/2025 a 19/10/2025 - PIX: CELULAR - CHAVE: (73) 98888-3793"</f>
        <v>Serv.Prest. 13/10/2025 a 19/10/2025 - PIX: CELULAR - CHAVE: (73) 98888-3793</v>
      </c>
      <c r="I8205" t="str">
        <f t="shared" si="1520"/>
        <v>30/10/2025</v>
      </c>
      <c r="J8205" t="str">
        <f t="shared" si="1523"/>
        <v>21/10/2025</v>
      </c>
      <c r="K8205" t="str">
        <f>("30/10/2025")</f>
        <v>30/10/2025</v>
      </c>
      <c r="L8205">
        <v>654</v>
      </c>
      <c r="M8205">
        <v>654</v>
      </c>
      <c r="N8205">
        <v>109</v>
      </c>
      <c r="O8205" t="str">
        <f>"PAGAMENTO DE ENTREGADORES"</f>
        <v>PAGAMENTO DE ENTREGADORES</v>
      </c>
      <c r="P8205">
        <v>654</v>
      </c>
      <c r="S8205" t="str">
        <f>"BANCO C6 (149)"</f>
        <v>BANCO C6 (149)</v>
      </c>
      <c r="T8205">
        <v>22059</v>
      </c>
      <c r="U8205">
        <v>24089</v>
      </c>
      <c r="V8205" t="s">
        <v>77</v>
      </c>
    </row>
    <row r="8206" spans="1:22">
      <c r="A8206" t="str">
        <f t="shared" si="1525"/>
        <v>30/10/2025</v>
      </c>
      <c r="B8206" t="str">
        <f t="shared" ref="B8206:B8269" si="1526">"SAÍDA"</f>
        <v>SAÍDA</v>
      </c>
      <c r="C8206" t="str">
        <f t="shared" si="1521"/>
        <v>PIX</v>
      </c>
      <c r="D8206" t="str">
        <f>"24089"</f>
        <v>24089</v>
      </c>
      <c r="E8206" t="str">
        <f t="shared" si="1522"/>
        <v>1</v>
      </c>
      <c r="F8206" t="str">
        <f t="shared" si="1524"/>
        <v>COM</v>
      </c>
      <c r="G8206" t="str">
        <f>"GUSTAVO SILVA LIMA (771)"</f>
        <v>GUSTAVO SILVA LIMA (771)</v>
      </c>
      <c r="H8206" t="s">
        <v>2312</v>
      </c>
      <c r="I8206" t="str">
        <f t="shared" ref="I8206:I8269" si="1527">("30/10/2025")</f>
        <v>30/10/2025</v>
      </c>
      <c r="J8206" t="str">
        <f t="shared" si="1523"/>
        <v>21/10/2025</v>
      </c>
      <c r="K8206">
        <v>45960</v>
      </c>
      <c r="N8206">
        <v>109</v>
      </c>
      <c r="O8206" t="s">
        <v>24</v>
      </c>
      <c r="Q8206">
        <v>654</v>
      </c>
      <c r="R8206" t="str">
        <f>"FARMÁCIA INDIANA LJ 65 (10030)"</f>
        <v>FARMÁCIA INDIANA LJ 65 (10030)</v>
      </c>
      <c r="S8206" t="s">
        <v>77</v>
      </c>
      <c r="T8206">
        <v>22059</v>
      </c>
      <c r="U8206">
        <v>24089</v>
      </c>
      <c r="V8206" t="s">
        <v>77</v>
      </c>
    </row>
    <row r="8207" spans="1:22">
      <c r="A8207" t="str">
        <f t="shared" si="1525"/>
        <v>30/10/2025</v>
      </c>
      <c r="B8207" t="str">
        <f t="shared" si="1526"/>
        <v>SAÍDA</v>
      </c>
      <c r="C8207" t="str">
        <f t="shared" si="1521"/>
        <v>PIX</v>
      </c>
      <c r="D8207" t="str">
        <f>"24090"</f>
        <v>24090</v>
      </c>
      <c r="E8207" t="str">
        <f t="shared" si="1522"/>
        <v>1</v>
      </c>
      <c r="F8207" t="str">
        <f t="shared" si="1524"/>
        <v>COM</v>
      </c>
      <c r="G8207" t="str">
        <f>"JALDENIR MENDES DOS SANTOS (167)"</f>
        <v>JALDENIR MENDES DOS SANTOS (167)</v>
      </c>
      <c r="H8207" t="str">
        <f>"Serv.Prest. 13/10/2025 a 19/10/2025 - PIX: CPF - CHAVE: 439.169.103-53"</f>
        <v>Serv.Prest. 13/10/2025 a 19/10/2025 - PIX: CPF - CHAVE: 439.169.103-53</v>
      </c>
      <c r="I8207" t="str">
        <f t="shared" si="1527"/>
        <v>30/10/2025</v>
      </c>
      <c r="J8207" t="str">
        <f t="shared" si="1523"/>
        <v>21/10/2025</v>
      </c>
      <c r="K8207" t="str">
        <f>("30/10/2025")</f>
        <v>30/10/2025</v>
      </c>
      <c r="L8207">
        <v>901</v>
      </c>
      <c r="M8207">
        <v>901</v>
      </c>
      <c r="N8207">
        <v>109</v>
      </c>
      <c r="O8207" t="str">
        <f>"PAGAMENTO DE ENTREGADORES"</f>
        <v>PAGAMENTO DE ENTREGADORES</v>
      </c>
      <c r="P8207">
        <v>901</v>
      </c>
      <c r="S8207" t="str">
        <f>"BANCO C6 (149)"</f>
        <v>BANCO C6 (149)</v>
      </c>
      <c r="T8207">
        <v>22060</v>
      </c>
      <c r="U8207">
        <v>24090</v>
      </c>
      <c r="V8207" t="s">
        <v>77</v>
      </c>
    </row>
    <row r="8208" spans="1:22">
      <c r="A8208" t="str">
        <f t="shared" si="1525"/>
        <v>30/10/2025</v>
      </c>
      <c r="B8208" t="str">
        <f t="shared" si="1526"/>
        <v>SAÍDA</v>
      </c>
      <c r="C8208" t="str">
        <f t="shared" ref="C8208:C8271" si="1528">"PIX"</f>
        <v>PIX</v>
      </c>
      <c r="D8208" t="str">
        <f>"24090"</f>
        <v>24090</v>
      </c>
      <c r="E8208" t="str">
        <f t="shared" si="1522"/>
        <v>1</v>
      </c>
      <c r="F8208" t="str">
        <f t="shared" si="1524"/>
        <v>COM</v>
      </c>
      <c r="G8208" t="str">
        <f>"JALDENIR MENDES DOS SANTOS (167)"</f>
        <v>JALDENIR MENDES DOS SANTOS (167)</v>
      </c>
      <c r="H8208" t="s">
        <v>2313</v>
      </c>
      <c r="I8208" t="str">
        <f t="shared" si="1527"/>
        <v>30/10/2025</v>
      </c>
      <c r="J8208" t="str">
        <f t="shared" si="1523"/>
        <v>21/10/2025</v>
      </c>
      <c r="K8208">
        <v>45960</v>
      </c>
      <c r="N8208">
        <v>109</v>
      </c>
      <c r="O8208" t="s">
        <v>24</v>
      </c>
      <c r="Q8208">
        <v>901</v>
      </c>
      <c r="R8208" t="str">
        <f>"FARMÁCIA INDIANA LJ 34 (10014)"</f>
        <v>FARMÁCIA INDIANA LJ 34 (10014)</v>
      </c>
      <c r="S8208" t="s">
        <v>77</v>
      </c>
      <c r="T8208">
        <v>22060</v>
      </c>
      <c r="U8208">
        <v>24090</v>
      </c>
      <c r="V8208" t="s">
        <v>77</v>
      </c>
    </row>
    <row r="8209" spans="1:22">
      <c r="A8209" t="str">
        <f t="shared" si="1525"/>
        <v>30/10/2025</v>
      </c>
      <c r="B8209" t="str">
        <f t="shared" si="1526"/>
        <v>SAÍDA</v>
      </c>
      <c r="C8209" t="str">
        <f t="shared" si="1528"/>
        <v>PIX</v>
      </c>
      <c r="D8209" t="str">
        <f>"24091"</f>
        <v>24091</v>
      </c>
      <c r="E8209" t="str">
        <f t="shared" si="1522"/>
        <v>1</v>
      </c>
      <c r="F8209" t="str">
        <f t="shared" si="1524"/>
        <v>COM</v>
      </c>
      <c r="G8209" t="str">
        <f>"JARLES DE SOUZA PEREIRA (109)"</f>
        <v>JARLES DE SOUZA PEREIRA (109)</v>
      </c>
      <c r="H8209" t="str">
        <f>"Serv.Prest. 13/10/2025 a 19/10/2025 - PIX: CELULAR - CHAVE: (73) 99115-9602"</f>
        <v>Serv.Prest. 13/10/2025 a 19/10/2025 - PIX: CELULAR - CHAVE: (73) 99115-9602</v>
      </c>
      <c r="I8209" t="str">
        <f t="shared" si="1527"/>
        <v>30/10/2025</v>
      </c>
      <c r="J8209" t="str">
        <f t="shared" si="1523"/>
        <v>21/10/2025</v>
      </c>
      <c r="K8209" t="str">
        <f>("30/10/2025")</f>
        <v>30/10/2025</v>
      </c>
      <c r="L8209">
        <v>654</v>
      </c>
      <c r="M8209">
        <v>654</v>
      </c>
      <c r="N8209">
        <v>109</v>
      </c>
      <c r="O8209" t="str">
        <f>"PAGAMENTO DE ENTREGADORES"</f>
        <v>PAGAMENTO DE ENTREGADORES</v>
      </c>
      <c r="P8209">
        <v>654</v>
      </c>
      <c r="S8209" t="str">
        <f>"BANCO C6 (149)"</f>
        <v>BANCO C6 (149)</v>
      </c>
      <c r="T8209">
        <v>22061</v>
      </c>
      <c r="U8209">
        <v>24091</v>
      </c>
      <c r="V8209" t="s">
        <v>77</v>
      </c>
    </row>
    <row r="8210" spans="1:22">
      <c r="A8210" t="str">
        <f t="shared" si="1525"/>
        <v>30/10/2025</v>
      </c>
      <c r="B8210" t="str">
        <f t="shared" si="1526"/>
        <v>SAÍDA</v>
      </c>
      <c r="C8210" t="str">
        <f t="shared" si="1528"/>
        <v>PIX</v>
      </c>
      <c r="D8210" t="str">
        <f>"24091"</f>
        <v>24091</v>
      </c>
      <c r="E8210" t="str">
        <f t="shared" si="1522"/>
        <v>1</v>
      </c>
      <c r="F8210" t="str">
        <f t="shared" si="1524"/>
        <v>COM</v>
      </c>
      <c r="G8210" t="str">
        <f>"JARLES DE SOUZA PEREIRA (109)"</f>
        <v>JARLES DE SOUZA PEREIRA (109)</v>
      </c>
      <c r="H8210" t="s">
        <v>2314</v>
      </c>
      <c r="I8210" t="str">
        <f t="shared" si="1527"/>
        <v>30/10/2025</v>
      </c>
      <c r="J8210" t="str">
        <f t="shared" si="1523"/>
        <v>21/10/2025</v>
      </c>
      <c r="K8210">
        <v>45960</v>
      </c>
      <c r="N8210">
        <v>109</v>
      </c>
      <c r="O8210" t="s">
        <v>24</v>
      </c>
      <c r="Q8210">
        <v>654</v>
      </c>
      <c r="R8210" t="str">
        <f>"FARMÁCIA INDIANA LJ 173 (10075)"</f>
        <v>FARMÁCIA INDIANA LJ 173 (10075)</v>
      </c>
      <c r="S8210" t="s">
        <v>77</v>
      </c>
      <c r="T8210">
        <v>22061</v>
      </c>
      <c r="U8210">
        <v>24091</v>
      </c>
      <c r="V8210" t="s">
        <v>77</v>
      </c>
    </row>
    <row r="8211" spans="1:22">
      <c r="A8211" t="str">
        <f t="shared" si="1525"/>
        <v>30/10/2025</v>
      </c>
      <c r="B8211" t="str">
        <f t="shared" si="1526"/>
        <v>SAÍDA</v>
      </c>
      <c r="C8211" t="str">
        <f t="shared" si="1528"/>
        <v>PIX</v>
      </c>
      <c r="D8211" t="str">
        <f>"24092"</f>
        <v>24092</v>
      </c>
      <c r="E8211" t="str">
        <f t="shared" si="1522"/>
        <v>1</v>
      </c>
      <c r="F8211" t="str">
        <f t="shared" si="1524"/>
        <v>COM</v>
      </c>
      <c r="G8211" t="str">
        <f>"JIRLANIA RODRIGUES DOS SANTOS (152)"</f>
        <v>JIRLANIA RODRIGUES DOS SANTOS (152)</v>
      </c>
      <c r="H8211" t="str">
        <f>"Serv.Prest. 13/10/2025 a 19/10/2025 - PIX: CPF - CHAVE: 035.018.455-02"</f>
        <v>Serv.Prest. 13/10/2025 a 19/10/2025 - PIX: CPF - CHAVE: 035.018.455-02</v>
      </c>
      <c r="I8211" t="str">
        <f t="shared" si="1527"/>
        <v>30/10/2025</v>
      </c>
      <c r="J8211" t="str">
        <f t="shared" si="1523"/>
        <v>21/10/2025</v>
      </c>
      <c r="K8211" t="str">
        <f>("30/10/2025")</f>
        <v>30/10/2025</v>
      </c>
      <c r="L8211">
        <v>850</v>
      </c>
      <c r="M8211">
        <v>850</v>
      </c>
      <c r="N8211">
        <v>109</v>
      </c>
      <c r="O8211" t="str">
        <f>"PAGAMENTO DE ENTREGADORES"</f>
        <v>PAGAMENTO DE ENTREGADORES</v>
      </c>
      <c r="P8211">
        <v>850</v>
      </c>
      <c r="S8211" t="str">
        <f>"BANCO C6 (149)"</f>
        <v>BANCO C6 (149)</v>
      </c>
      <c r="T8211">
        <v>22062</v>
      </c>
      <c r="U8211">
        <v>24092</v>
      </c>
      <c r="V8211" t="s">
        <v>77</v>
      </c>
    </row>
    <row r="8212" spans="1:22">
      <c r="A8212" t="str">
        <f t="shared" si="1525"/>
        <v>30/10/2025</v>
      </c>
      <c r="B8212" t="str">
        <f t="shared" si="1526"/>
        <v>SAÍDA</v>
      </c>
      <c r="C8212" t="str">
        <f t="shared" si="1528"/>
        <v>PIX</v>
      </c>
      <c r="D8212" t="str">
        <f>"24092"</f>
        <v>24092</v>
      </c>
      <c r="E8212" t="str">
        <f t="shared" si="1522"/>
        <v>1</v>
      </c>
      <c r="F8212" t="str">
        <f t="shared" si="1524"/>
        <v>COM</v>
      </c>
      <c r="G8212" t="str">
        <f>"JIRLANIA RODRIGUES DOS SANTOS (152)"</f>
        <v>JIRLANIA RODRIGUES DOS SANTOS (152)</v>
      </c>
      <c r="H8212" t="s">
        <v>2315</v>
      </c>
      <c r="I8212" t="str">
        <f t="shared" si="1527"/>
        <v>30/10/2025</v>
      </c>
      <c r="J8212" t="str">
        <f t="shared" si="1523"/>
        <v>21/10/2025</v>
      </c>
      <c r="K8212">
        <v>45960</v>
      </c>
      <c r="N8212">
        <v>109</v>
      </c>
      <c r="O8212" t="s">
        <v>24</v>
      </c>
      <c r="Q8212">
        <v>850</v>
      </c>
      <c r="R8212" t="str">
        <f>"FARMÁCIA INDIANA LJ 95 (10039)"</f>
        <v>FARMÁCIA INDIANA LJ 95 (10039)</v>
      </c>
      <c r="S8212" t="s">
        <v>77</v>
      </c>
      <c r="T8212">
        <v>22062</v>
      </c>
      <c r="U8212">
        <v>24092</v>
      </c>
      <c r="V8212" t="s">
        <v>77</v>
      </c>
    </row>
    <row r="8213" spans="1:22">
      <c r="A8213" t="str">
        <f t="shared" si="1525"/>
        <v>30/10/2025</v>
      </c>
      <c r="B8213" t="str">
        <f t="shared" si="1526"/>
        <v>SAÍDA</v>
      </c>
      <c r="C8213" t="str">
        <f t="shared" si="1528"/>
        <v>PIX</v>
      </c>
      <c r="D8213" t="str">
        <f>"24093"</f>
        <v>24093</v>
      </c>
      <c r="E8213" t="str">
        <f t="shared" si="1522"/>
        <v>1</v>
      </c>
      <c r="F8213" t="str">
        <f t="shared" si="1524"/>
        <v>COM</v>
      </c>
      <c r="G8213" t="str">
        <f>"JOAO PEDRO BRITO DE SOUZA (876)"</f>
        <v>JOAO PEDRO BRITO DE SOUZA (876)</v>
      </c>
      <c r="H8213" t="str">
        <f>"Serv.Prest. 13/10/2025 a 19/10/2025 - PIX: CPF - CHAVE: 860.305.455-07"</f>
        <v>Serv.Prest. 13/10/2025 a 19/10/2025 - PIX: CPF - CHAVE: 860.305.455-07</v>
      </c>
      <c r="I8213" t="str">
        <f t="shared" si="1527"/>
        <v>30/10/2025</v>
      </c>
      <c r="J8213" t="str">
        <f t="shared" si="1523"/>
        <v>21/10/2025</v>
      </c>
      <c r="K8213" t="str">
        <f>("30/10/2025")</f>
        <v>30/10/2025</v>
      </c>
      <c r="L8213">
        <v>1325</v>
      </c>
      <c r="M8213">
        <v>1325</v>
      </c>
      <c r="N8213">
        <v>109</v>
      </c>
      <c r="O8213" t="str">
        <f>"PAGAMENTO DE ENTREGADORES"</f>
        <v>PAGAMENTO DE ENTREGADORES</v>
      </c>
      <c r="P8213">
        <v>1325</v>
      </c>
      <c r="S8213" t="str">
        <f>"BANCO C6 (149)"</f>
        <v>BANCO C6 (149)</v>
      </c>
      <c r="T8213">
        <v>22063</v>
      </c>
      <c r="U8213">
        <v>24093</v>
      </c>
      <c r="V8213" t="s">
        <v>77</v>
      </c>
    </row>
    <row r="8214" spans="1:22">
      <c r="A8214" t="str">
        <f t="shared" si="1525"/>
        <v>30/10/2025</v>
      </c>
      <c r="B8214" t="str">
        <f t="shared" si="1526"/>
        <v>SAÍDA</v>
      </c>
      <c r="C8214" t="str">
        <f t="shared" si="1528"/>
        <v>PIX</v>
      </c>
      <c r="D8214" t="str">
        <f>"24093"</f>
        <v>24093</v>
      </c>
      <c r="E8214" t="str">
        <f t="shared" si="1522"/>
        <v>1</v>
      </c>
      <c r="F8214" t="str">
        <f t="shared" si="1524"/>
        <v>COM</v>
      </c>
      <c r="G8214" t="str">
        <f>"JOAO PEDRO BRITO DE SOUZA (876)"</f>
        <v>JOAO PEDRO BRITO DE SOUZA (876)</v>
      </c>
      <c r="H8214" t="s">
        <v>2316</v>
      </c>
      <c r="I8214" t="str">
        <f t="shared" si="1527"/>
        <v>30/10/2025</v>
      </c>
      <c r="J8214" t="str">
        <f t="shared" si="1523"/>
        <v>21/10/2025</v>
      </c>
      <c r="K8214">
        <v>45960</v>
      </c>
      <c r="N8214">
        <v>109</v>
      </c>
      <c r="O8214" t="s">
        <v>24</v>
      </c>
      <c r="Q8214">
        <v>979.97</v>
      </c>
      <c r="R8214" t="str">
        <f>"FARMÁCIA INDIANA LJ 48 (10018)"</f>
        <v>FARMÁCIA INDIANA LJ 48 (10018)</v>
      </c>
      <c r="S8214" t="s">
        <v>77</v>
      </c>
      <c r="T8214">
        <v>22063</v>
      </c>
      <c r="U8214">
        <v>24093</v>
      </c>
      <c r="V8214" t="s">
        <v>77</v>
      </c>
    </row>
    <row r="8215" spans="1:22">
      <c r="A8215" t="str">
        <f t="shared" si="1525"/>
        <v>30/10/2025</v>
      </c>
      <c r="B8215" t="str">
        <f t="shared" si="1526"/>
        <v>SAÍDA</v>
      </c>
      <c r="C8215" t="str">
        <f t="shared" si="1528"/>
        <v>PIX</v>
      </c>
      <c r="D8215" t="str">
        <f>"24093"</f>
        <v>24093</v>
      </c>
      <c r="E8215" t="str">
        <f t="shared" si="1522"/>
        <v>1</v>
      </c>
      <c r="F8215" t="str">
        <f t="shared" si="1524"/>
        <v>COM</v>
      </c>
      <c r="G8215" t="str">
        <f>"JOAO PEDRO BRITO DE SOUZA (876)"</f>
        <v>JOAO PEDRO BRITO DE SOUZA (876)</v>
      </c>
      <c r="H8215" t="s">
        <v>2316</v>
      </c>
      <c r="I8215" t="str">
        <f t="shared" si="1527"/>
        <v>30/10/2025</v>
      </c>
      <c r="J8215" t="str">
        <f t="shared" si="1523"/>
        <v>21/10/2025</v>
      </c>
      <c r="K8215">
        <v>45960</v>
      </c>
      <c r="N8215">
        <v>109</v>
      </c>
      <c r="O8215" t="s">
        <v>24</v>
      </c>
      <c r="Q8215">
        <v>345.03</v>
      </c>
      <c r="R8215" t="str">
        <f>"FARMÁCIA INDIANA LJ 169 (10073)"</f>
        <v>FARMÁCIA INDIANA LJ 169 (10073)</v>
      </c>
      <c r="S8215" t="s">
        <v>77</v>
      </c>
      <c r="T8215">
        <v>22063</v>
      </c>
      <c r="U8215">
        <v>24093</v>
      </c>
      <c r="V8215" t="s">
        <v>77</v>
      </c>
    </row>
    <row r="8216" spans="1:22">
      <c r="A8216" t="str">
        <f t="shared" si="1525"/>
        <v>30/10/2025</v>
      </c>
      <c r="B8216" t="str">
        <f t="shared" si="1526"/>
        <v>SAÍDA</v>
      </c>
      <c r="C8216" t="str">
        <f t="shared" si="1528"/>
        <v>PIX</v>
      </c>
      <c r="D8216" t="str">
        <f>"24095"</f>
        <v>24095</v>
      </c>
      <c r="E8216" t="str">
        <f t="shared" si="1522"/>
        <v>1</v>
      </c>
      <c r="F8216" t="str">
        <f t="shared" si="1524"/>
        <v>COM</v>
      </c>
      <c r="G8216" t="str">
        <f>"JUNIO SOUZA SILVA (610)"</f>
        <v>JUNIO SOUZA SILVA (610)</v>
      </c>
      <c r="H8216" t="str">
        <f>"Serv.Prest. 13/10/2025 a 19/10/2025 - PIX: CELULAR - CHAVE: (73) 98105-2187"</f>
        <v>Serv.Prest. 13/10/2025 a 19/10/2025 - PIX: CELULAR - CHAVE: (73) 98105-2187</v>
      </c>
      <c r="I8216" t="str">
        <f t="shared" si="1527"/>
        <v>30/10/2025</v>
      </c>
      <c r="J8216" t="str">
        <f t="shared" si="1523"/>
        <v>21/10/2025</v>
      </c>
      <c r="K8216" t="str">
        <f>("30/10/2025")</f>
        <v>30/10/2025</v>
      </c>
      <c r="L8216">
        <v>600</v>
      </c>
      <c r="M8216">
        <v>600</v>
      </c>
      <c r="N8216">
        <v>109</v>
      </c>
      <c r="O8216" t="str">
        <f>"PAGAMENTO DE ENTREGADORES"</f>
        <v>PAGAMENTO DE ENTREGADORES</v>
      </c>
      <c r="P8216">
        <v>600</v>
      </c>
      <c r="S8216" t="str">
        <f>"BANCO C6 (149)"</f>
        <v>BANCO C6 (149)</v>
      </c>
      <c r="T8216">
        <v>22064</v>
      </c>
      <c r="U8216">
        <v>24095</v>
      </c>
      <c r="V8216" t="s">
        <v>77</v>
      </c>
    </row>
    <row r="8217" spans="1:22">
      <c r="A8217" t="str">
        <f t="shared" si="1525"/>
        <v>30/10/2025</v>
      </c>
      <c r="B8217" t="str">
        <f t="shared" si="1526"/>
        <v>SAÍDA</v>
      </c>
      <c r="C8217" t="str">
        <f t="shared" si="1528"/>
        <v>PIX</v>
      </c>
      <c r="D8217" t="str">
        <f>"24095"</f>
        <v>24095</v>
      </c>
      <c r="E8217" t="str">
        <f t="shared" si="1522"/>
        <v>1</v>
      </c>
      <c r="F8217" t="str">
        <f t="shared" si="1524"/>
        <v>COM</v>
      </c>
      <c r="G8217" t="str">
        <f>"JUNIO SOUZA SILVA (610)"</f>
        <v>JUNIO SOUZA SILVA (610)</v>
      </c>
      <c r="H8217" t="s">
        <v>2317</v>
      </c>
      <c r="I8217" t="str">
        <f t="shared" si="1527"/>
        <v>30/10/2025</v>
      </c>
      <c r="J8217" t="str">
        <f t="shared" si="1523"/>
        <v>21/10/2025</v>
      </c>
      <c r="K8217">
        <v>45960</v>
      </c>
      <c r="N8217">
        <v>109</v>
      </c>
      <c r="O8217" t="s">
        <v>24</v>
      </c>
      <c r="Q8217">
        <v>600</v>
      </c>
      <c r="R8217" t="str">
        <f>"FARMÁCIA INDIANA LJ 77 (10034)"</f>
        <v>FARMÁCIA INDIANA LJ 77 (10034)</v>
      </c>
      <c r="S8217" t="s">
        <v>77</v>
      </c>
      <c r="T8217">
        <v>22064</v>
      </c>
      <c r="U8217">
        <v>24095</v>
      </c>
      <c r="V8217" t="s">
        <v>77</v>
      </c>
    </row>
    <row r="8218" spans="1:22">
      <c r="A8218" t="str">
        <f t="shared" si="1525"/>
        <v>30/10/2025</v>
      </c>
      <c r="B8218" t="str">
        <f t="shared" si="1526"/>
        <v>SAÍDA</v>
      </c>
      <c r="C8218" t="str">
        <f t="shared" si="1528"/>
        <v>PIX</v>
      </c>
      <c r="D8218" t="str">
        <f>"24096"</f>
        <v>24096</v>
      </c>
      <c r="E8218" t="str">
        <f t="shared" si="1522"/>
        <v>1</v>
      </c>
      <c r="F8218" t="str">
        <f t="shared" si="1524"/>
        <v>COM</v>
      </c>
      <c r="G8218" t="str">
        <f>"KHENNEDY DAVY DOS SANTOS SILVA (692)"</f>
        <v>KHENNEDY DAVY DOS SANTOS SILVA (692)</v>
      </c>
      <c r="H8218" t="str">
        <f>"Serv.Prest. 13/10/2025 a 19/10/2025 - PIX: CPF - CHAVE: 094.700.685-05"</f>
        <v>Serv.Prest. 13/10/2025 a 19/10/2025 - PIX: CPF - CHAVE: 094.700.685-05</v>
      </c>
      <c r="I8218" t="str">
        <f t="shared" si="1527"/>
        <v>30/10/2025</v>
      </c>
      <c r="J8218" t="str">
        <f t="shared" si="1523"/>
        <v>21/10/2025</v>
      </c>
      <c r="K8218" t="str">
        <f>("30/10/2025")</f>
        <v>30/10/2025</v>
      </c>
      <c r="L8218">
        <v>654</v>
      </c>
      <c r="M8218">
        <v>654</v>
      </c>
      <c r="N8218">
        <v>109</v>
      </c>
      <c r="O8218" t="str">
        <f>"PAGAMENTO DE ENTREGADORES"</f>
        <v>PAGAMENTO DE ENTREGADORES</v>
      </c>
      <c r="P8218">
        <v>654</v>
      </c>
      <c r="S8218" t="str">
        <f>"BANCO C6 (149)"</f>
        <v>BANCO C6 (149)</v>
      </c>
      <c r="T8218">
        <v>22065</v>
      </c>
      <c r="U8218">
        <v>24096</v>
      </c>
      <c r="V8218" t="s">
        <v>77</v>
      </c>
    </row>
    <row r="8219" spans="1:22">
      <c r="A8219" t="str">
        <f t="shared" si="1525"/>
        <v>30/10/2025</v>
      </c>
      <c r="B8219" t="str">
        <f t="shared" si="1526"/>
        <v>SAÍDA</v>
      </c>
      <c r="C8219" t="str">
        <f t="shared" si="1528"/>
        <v>PIX</v>
      </c>
      <c r="D8219" t="str">
        <f>"24096"</f>
        <v>24096</v>
      </c>
      <c r="E8219" t="str">
        <f t="shared" si="1522"/>
        <v>1</v>
      </c>
      <c r="F8219" t="str">
        <f t="shared" si="1524"/>
        <v>COM</v>
      </c>
      <c r="G8219" t="str">
        <f>"KHENNEDY DAVY DOS SANTOS SILVA (692)"</f>
        <v>KHENNEDY DAVY DOS SANTOS SILVA (692)</v>
      </c>
      <c r="H8219" t="s">
        <v>2318</v>
      </c>
      <c r="I8219" t="str">
        <f t="shared" si="1527"/>
        <v>30/10/2025</v>
      </c>
      <c r="J8219" t="str">
        <f t="shared" si="1523"/>
        <v>21/10/2025</v>
      </c>
      <c r="K8219">
        <v>45960</v>
      </c>
      <c r="N8219">
        <v>109</v>
      </c>
      <c r="O8219" t="s">
        <v>24</v>
      </c>
      <c r="Q8219">
        <v>629.79999999999995</v>
      </c>
      <c r="R8219" t="str">
        <f>"FARMÁCIA INDIANA LJ 65 (10030)"</f>
        <v>FARMÁCIA INDIANA LJ 65 (10030)</v>
      </c>
      <c r="S8219" t="s">
        <v>77</v>
      </c>
      <c r="T8219">
        <v>22065</v>
      </c>
      <c r="U8219">
        <v>24096</v>
      </c>
      <c r="V8219" t="s">
        <v>77</v>
      </c>
    </row>
    <row r="8220" spans="1:22">
      <c r="A8220" t="str">
        <f t="shared" si="1525"/>
        <v>30/10/2025</v>
      </c>
      <c r="B8220" t="str">
        <f t="shared" si="1526"/>
        <v>SAÍDA</v>
      </c>
      <c r="C8220" t="str">
        <f t="shared" si="1528"/>
        <v>PIX</v>
      </c>
      <c r="D8220" t="str">
        <f>"24096"</f>
        <v>24096</v>
      </c>
      <c r="E8220" t="str">
        <f t="shared" si="1522"/>
        <v>1</v>
      </c>
      <c r="F8220" t="str">
        <f t="shared" si="1524"/>
        <v>COM</v>
      </c>
      <c r="G8220" t="str">
        <f>"KHENNEDY DAVY DOS SANTOS SILVA (692)"</f>
        <v>KHENNEDY DAVY DOS SANTOS SILVA (692)</v>
      </c>
      <c r="H8220" t="s">
        <v>2318</v>
      </c>
      <c r="I8220" t="str">
        <f t="shared" si="1527"/>
        <v>30/10/2025</v>
      </c>
      <c r="J8220" t="str">
        <f t="shared" si="1523"/>
        <v>21/10/2025</v>
      </c>
      <c r="K8220">
        <v>45960</v>
      </c>
      <c r="N8220">
        <v>109</v>
      </c>
      <c r="O8220" t="s">
        <v>24</v>
      </c>
      <c r="Q8220">
        <v>24.2</v>
      </c>
      <c r="R8220" t="str">
        <f>"FARMÁCIA INDIANA LJ 173 (10075)"</f>
        <v>FARMÁCIA INDIANA LJ 173 (10075)</v>
      </c>
      <c r="S8220" t="s">
        <v>77</v>
      </c>
      <c r="T8220">
        <v>22065</v>
      </c>
      <c r="U8220">
        <v>24096</v>
      </c>
      <c r="V8220" t="s">
        <v>77</v>
      </c>
    </row>
    <row r="8221" spans="1:22">
      <c r="A8221" t="str">
        <f t="shared" si="1525"/>
        <v>30/10/2025</v>
      </c>
      <c r="B8221" t="str">
        <f t="shared" si="1526"/>
        <v>SAÍDA</v>
      </c>
      <c r="C8221" t="str">
        <f t="shared" si="1528"/>
        <v>PIX</v>
      </c>
      <c r="D8221" t="str">
        <f>"24097"</f>
        <v>24097</v>
      </c>
      <c r="E8221" t="str">
        <f t="shared" si="1522"/>
        <v>1</v>
      </c>
      <c r="F8221" t="str">
        <f t="shared" si="1524"/>
        <v>COM</v>
      </c>
      <c r="G8221" t="str">
        <f>"LEONARDO MERCÊS CAJAZEIRAS (235)"</f>
        <v>LEONARDO MERCÊS CAJAZEIRAS (235)</v>
      </c>
      <c r="H8221" t="str">
        <f>"Serv.Prest. 13/10/2025 a 19/10/2025 - PIX: CELULAR - CHAVE: (73) 99803-0715"</f>
        <v>Serv.Prest. 13/10/2025 a 19/10/2025 - PIX: CELULAR - CHAVE: (73) 99803-0715</v>
      </c>
      <c r="I8221" t="str">
        <f t="shared" si="1527"/>
        <v>30/10/2025</v>
      </c>
      <c r="J8221" t="str">
        <f t="shared" si="1523"/>
        <v>21/10/2025</v>
      </c>
      <c r="K8221" t="str">
        <f>("30/10/2025")</f>
        <v>30/10/2025</v>
      </c>
      <c r="L8221">
        <v>600</v>
      </c>
      <c r="M8221">
        <v>600</v>
      </c>
      <c r="N8221">
        <v>109</v>
      </c>
      <c r="O8221" t="str">
        <f>"PAGAMENTO DE ENTREGADORES"</f>
        <v>PAGAMENTO DE ENTREGADORES</v>
      </c>
      <c r="P8221">
        <v>600</v>
      </c>
      <c r="S8221" t="str">
        <f>"BANCO C6 (149)"</f>
        <v>BANCO C6 (149)</v>
      </c>
      <c r="T8221">
        <v>22066</v>
      </c>
      <c r="U8221">
        <v>24097</v>
      </c>
      <c r="V8221" t="s">
        <v>77</v>
      </c>
    </row>
    <row r="8222" spans="1:22">
      <c r="A8222" t="str">
        <f t="shared" si="1525"/>
        <v>30/10/2025</v>
      </c>
      <c r="B8222" t="str">
        <f t="shared" si="1526"/>
        <v>SAÍDA</v>
      </c>
      <c r="C8222" t="str">
        <f t="shared" si="1528"/>
        <v>PIX</v>
      </c>
      <c r="D8222" t="str">
        <f>"24097"</f>
        <v>24097</v>
      </c>
      <c r="E8222" t="str">
        <f t="shared" si="1522"/>
        <v>1</v>
      </c>
      <c r="F8222" t="str">
        <f t="shared" si="1524"/>
        <v>COM</v>
      </c>
      <c r="G8222" t="str">
        <f>"LEONARDO MERCÊS CAJAZEIRAS (235)"</f>
        <v>LEONARDO MERCÊS CAJAZEIRAS (235)</v>
      </c>
      <c r="H8222" t="s">
        <v>2319</v>
      </c>
      <c r="I8222" t="str">
        <f t="shared" si="1527"/>
        <v>30/10/2025</v>
      </c>
      <c r="J8222" t="str">
        <f t="shared" si="1523"/>
        <v>21/10/2025</v>
      </c>
      <c r="K8222">
        <v>45960</v>
      </c>
      <c r="N8222">
        <v>109</v>
      </c>
      <c r="O8222" t="s">
        <v>24</v>
      </c>
      <c r="Q8222">
        <v>600</v>
      </c>
      <c r="R8222" t="str">
        <f>"FARMÁCIA INDIANA LJ 35 (10015)"</f>
        <v>FARMÁCIA INDIANA LJ 35 (10015)</v>
      </c>
      <c r="S8222" t="s">
        <v>77</v>
      </c>
      <c r="T8222">
        <v>22066</v>
      </c>
      <c r="U8222">
        <v>24097</v>
      </c>
      <c r="V8222" t="s">
        <v>77</v>
      </c>
    </row>
    <row r="8223" spans="1:22">
      <c r="A8223" t="str">
        <f t="shared" si="1525"/>
        <v>30/10/2025</v>
      </c>
      <c r="B8223" t="str">
        <f t="shared" si="1526"/>
        <v>SAÍDA</v>
      </c>
      <c r="C8223" t="str">
        <f t="shared" si="1528"/>
        <v>PIX</v>
      </c>
      <c r="D8223" t="str">
        <f>"24098"</f>
        <v>24098</v>
      </c>
      <c r="E8223" t="str">
        <f t="shared" si="1522"/>
        <v>1</v>
      </c>
      <c r="F8223" t="str">
        <f t="shared" si="1524"/>
        <v>COM</v>
      </c>
      <c r="G8223" t="str">
        <f>"LUCAS MOREIRA PEREIRA (153)"</f>
        <v>LUCAS MOREIRA PEREIRA (153)</v>
      </c>
      <c r="H8223" t="str">
        <f>"Serv.Prest. 13/10/2025 a 19/10/2025 - PIX: CELULAR - CHAVE: (73) 99967-3239"</f>
        <v>Serv.Prest. 13/10/2025 a 19/10/2025 - PIX: CELULAR - CHAVE: (73) 99967-3239</v>
      </c>
      <c r="I8223" t="str">
        <f t="shared" si="1527"/>
        <v>30/10/2025</v>
      </c>
      <c r="J8223" t="str">
        <f t="shared" si="1523"/>
        <v>21/10/2025</v>
      </c>
      <c r="K8223" t="str">
        <f>("30/10/2025")</f>
        <v>30/10/2025</v>
      </c>
      <c r="L8223">
        <v>1495</v>
      </c>
      <c r="M8223">
        <v>1495</v>
      </c>
      <c r="N8223">
        <v>109</v>
      </c>
      <c r="O8223" t="str">
        <f>"PAGAMENTO DE ENTREGADORES"</f>
        <v>PAGAMENTO DE ENTREGADORES</v>
      </c>
      <c r="P8223">
        <v>1495</v>
      </c>
      <c r="S8223" t="str">
        <f>"BANCO C6 (149)"</f>
        <v>BANCO C6 (149)</v>
      </c>
      <c r="T8223">
        <v>22067</v>
      </c>
      <c r="U8223">
        <v>24098</v>
      </c>
      <c r="V8223" t="s">
        <v>77</v>
      </c>
    </row>
    <row r="8224" spans="1:22">
      <c r="A8224" t="str">
        <f t="shared" si="1525"/>
        <v>30/10/2025</v>
      </c>
      <c r="B8224" t="str">
        <f t="shared" si="1526"/>
        <v>SAÍDA</v>
      </c>
      <c r="C8224" t="str">
        <f t="shared" si="1528"/>
        <v>PIX</v>
      </c>
      <c r="D8224" t="str">
        <f>"24098"</f>
        <v>24098</v>
      </c>
      <c r="E8224" t="str">
        <f t="shared" si="1522"/>
        <v>1</v>
      </c>
      <c r="F8224" t="str">
        <f t="shared" si="1524"/>
        <v>COM</v>
      </c>
      <c r="G8224" t="str">
        <f>"LUCAS MOREIRA PEREIRA (153)"</f>
        <v>LUCAS MOREIRA PEREIRA (153)</v>
      </c>
      <c r="H8224" t="s">
        <v>2320</v>
      </c>
      <c r="I8224" t="str">
        <f t="shared" si="1527"/>
        <v>30/10/2025</v>
      </c>
      <c r="J8224" t="str">
        <f t="shared" si="1523"/>
        <v>21/10/2025</v>
      </c>
      <c r="K8224">
        <v>45960</v>
      </c>
      <c r="N8224">
        <v>109</v>
      </c>
      <c r="O8224" t="s">
        <v>24</v>
      </c>
      <c r="Q8224">
        <v>1049.94</v>
      </c>
      <c r="R8224" t="str">
        <f>"FARMÁCIA INDIANA LJ 48 (10018)"</f>
        <v>FARMÁCIA INDIANA LJ 48 (10018)</v>
      </c>
      <c r="S8224" t="s">
        <v>77</v>
      </c>
      <c r="T8224">
        <v>22067</v>
      </c>
      <c r="U8224">
        <v>24098</v>
      </c>
      <c r="V8224" t="s">
        <v>77</v>
      </c>
    </row>
    <row r="8225" spans="1:22">
      <c r="A8225" t="str">
        <f t="shared" si="1525"/>
        <v>30/10/2025</v>
      </c>
      <c r="B8225" t="str">
        <f t="shared" si="1526"/>
        <v>SAÍDA</v>
      </c>
      <c r="C8225" t="str">
        <f t="shared" si="1528"/>
        <v>PIX</v>
      </c>
      <c r="D8225" t="str">
        <f>"24098"</f>
        <v>24098</v>
      </c>
      <c r="E8225" t="str">
        <f t="shared" si="1522"/>
        <v>1</v>
      </c>
      <c r="F8225" t="str">
        <f t="shared" si="1524"/>
        <v>COM</v>
      </c>
      <c r="G8225" t="str">
        <f>"LUCAS MOREIRA PEREIRA (153)"</f>
        <v>LUCAS MOREIRA PEREIRA (153)</v>
      </c>
      <c r="H8225" t="s">
        <v>2320</v>
      </c>
      <c r="I8225" t="str">
        <f t="shared" si="1527"/>
        <v>30/10/2025</v>
      </c>
      <c r="J8225" t="str">
        <f t="shared" si="1523"/>
        <v>21/10/2025</v>
      </c>
      <c r="K8225">
        <v>45960</v>
      </c>
      <c r="N8225">
        <v>109</v>
      </c>
      <c r="O8225" t="s">
        <v>24</v>
      </c>
      <c r="Q8225">
        <v>445.06</v>
      </c>
      <c r="R8225" t="str">
        <f>"FARMÁCIA INDIANA LJ 169 (10073)"</f>
        <v>FARMÁCIA INDIANA LJ 169 (10073)</v>
      </c>
      <c r="S8225" t="s">
        <v>77</v>
      </c>
      <c r="T8225">
        <v>22067</v>
      </c>
      <c r="U8225">
        <v>24098</v>
      </c>
      <c r="V8225" t="s">
        <v>77</v>
      </c>
    </row>
    <row r="8226" spans="1:22">
      <c r="A8226" t="str">
        <f t="shared" si="1525"/>
        <v>30/10/2025</v>
      </c>
      <c r="B8226" t="str">
        <f t="shared" si="1526"/>
        <v>SAÍDA</v>
      </c>
      <c r="C8226" t="str">
        <f t="shared" si="1528"/>
        <v>PIX</v>
      </c>
      <c r="D8226" t="str">
        <f>"24099"</f>
        <v>24099</v>
      </c>
      <c r="E8226" t="str">
        <f t="shared" si="1522"/>
        <v>1</v>
      </c>
      <c r="F8226" t="str">
        <f t="shared" si="1524"/>
        <v>COM</v>
      </c>
      <c r="G8226" t="str">
        <f>"MARIA ILZA PEREIRA DOS SANTOS (618)"</f>
        <v>MARIA ILZA PEREIRA DOS SANTOS (618)</v>
      </c>
      <c r="H8226" t="str">
        <f>"Serv.Prest. 13/10/2025 a 19/10/2025 - PIX: CPF - CHAVE: 003.157.195-67"</f>
        <v>Serv.Prest. 13/10/2025 a 19/10/2025 - PIX: CPF - CHAVE: 003.157.195-67</v>
      </c>
      <c r="I8226" t="str">
        <f t="shared" si="1527"/>
        <v>30/10/2025</v>
      </c>
      <c r="J8226" t="str">
        <f t="shared" si="1523"/>
        <v>21/10/2025</v>
      </c>
      <c r="K8226" t="str">
        <f>("30/10/2025")</f>
        <v>30/10/2025</v>
      </c>
      <c r="L8226">
        <v>654</v>
      </c>
      <c r="M8226">
        <v>654</v>
      </c>
      <c r="N8226">
        <v>109</v>
      </c>
      <c r="O8226" t="str">
        <f>"PAGAMENTO DE ENTREGADORES"</f>
        <v>PAGAMENTO DE ENTREGADORES</v>
      </c>
      <c r="P8226">
        <v>654</v>
      </c>
      <c r="S8226" t="str">
        <f>"BANCO C6 (149)"</f>
        <v>BANCO C6 (149)</v>
      </c>
      <c r="T8226">
        <v>22068</v>
      </c>
      <c r="U8226">
        <v>24099</v>
      </c>
      <c r="V8226" t="s">
        <v>77</v>
      </c>
    </row>
    <row r="8227" spans="1:22">
      <c r="A8227" t="str">
        <f t="shared" si="1525"/>
        <v>30/10/2025</v>
      </c>
      <c r="B8227" t="str">
        <f t="shared" si="1526"/>
        <v>SAÍDA</v>
      </c>
      <c r="C8227" t="str">
        <f t="shared" si="1528"/>
        <v>PIX</v>
      </c>
      <c r="D8227" t="str">
        <f>"24099"</f>
        <v>24099</v>
      </c>
      <c r="E8227" t="str">
        <f t="shared" si="1522"/>
        <v>1</v>
      </c>
      <c r="F8227" t="str">
        <f t="shared" si="1524"/>
        <v>COM</v>
      </c>
      <c r="G8227" t="str">
        <f>"MARIA ILZA PEREIRA DOS SANTOS (618)"</f>
        <v>MARIA ILZA PEREIRA DOS SANTOS (618)</v>
      </c>
      <c r="H8227" t="s">
        <v>2321</v>
      </c>
      <c r="I8227" t="str">
        <f t="shared" si="1527"/>
        <v>30/10/2025</v>
      </c>
      <c r="J8227" t="str">
        <f t="shared" si="1523"/>
        <v>21/10/2025</v>
      </c>
      <c r="K8227">
        <v>45960</v>
      </c>
      <c r="N8227">
        <v>109</v>
      </c>
      <c r="O8227" t="s">
        <v>24</v>
      </c>
      <c r="Q8227">
        <v>555.9</v>
      </c>
      <c r="R8227" t="str">
        <f>"FARMÁCIA INDIANA LJ 65 (10030)"</f>
        <v>FARMÁCIA INDIANA LJ 65 (10030)</v>
      </c>
      <c r="S8227" t="s">
        <v>77</v>
      </c>
      <c r="T8227">
        <v>22068</v>
      </c>
      <c r="U8227">
        <v>24099</v>
      </c>
      <c r="V8227" t="s">
        <v>77</v>
      </c>
    </row>
    <row r="8228" spans="1:22">
      <c r="A8228" t="str">
        <f t="shared" si="1525"/>
        <v>30/10/2025</v>
      </c>
      <c r="B8228" t="str">
        <f t="shared" si="1526"/>
        <v>SAÍDA</v>
      </c>
      <c r="C8228" t="str">
        <f t="shared" si="1528"/>
        <v>PIX</v>
      </c>
      <c r="D8228" t="str">
        <f>"24099"</f>
        <v>24099</v>
      </c>
      <c r="E8228" t="str">
        <f t="shared" si="1522"/>
        <v>1</v>
      </c>
      <c r="F8228" t="str">
        <f t="shared" si="1524"/>
        <v>COM</v>
      </c>
      <c r="G8228" t="str">
        <f>"MARIA ILZA PEREIRA DOS SANTOS (618)"</f>
        <v>MARIA ILZA PEREIRA DOS SANTOS (618)</v>
      </c>
      <c r="H8228" t="s">
        <v>2321</v>
      </c>
      <c r="I8228" t="str">
        <f t="shared" si="1527"/>
        <v>30/10/2025</v>
      </c>
      <c r="J8228" t="str">
        <f t="shared" si="1523"/>
        <v>21/10/2025</v>
      </c>
      <c r="K8228">
        <v>45960</v>
      </c>
      <c r="N8228">
        <v>109</v>
      </c>
      <c r="O8228" t="s">
        <v>24</v>
      </c>
      <c r="Q8228">
        <v>98.1</v>
      </c>
      <c r="R8228" t="str">
        <f>"FARMÁCIA INDIANA LJ 173 (10075)"</f>
        <v>FARMÁCIA INDIANA LJ 173 (10075)</v>
      </c>
      <c r="S8228" t="s">
        <v>77</v>
      </c>
      <c r="T8228">
        <v>22068</v>
      </c>
      <c r="U8228">
        <v>24099</v>
      </c>
      <c r="V8228" t="s">
        <v>77</v>
      </c>
    </row>
    <row r="8229" spans="1:22">
      <c r="A8229" t="str">
        <f t="shared" si="1525"/>
        <v>30/10/2025</v>
      </c>
      <c r="B8229" t="str">
        <f t="shared" si="1526"/>
        <v>SAÍDA</v>
      </c>
      <c r="C8229" t="str">
        <f t="shared" si="1528"/>
        <v>PIX</v>
      </c>
      <c r="D8229" t="str">
        <f>"24100"</f>
        <v>24100</v>
      </c>
      <c r="E8229" t="str">
        <f t="shared" si="1522"/>
        <v>1</v>
      </c>
      <c r="F8229" t="str">
        <f t="shared" si="1524"/>
        <v>COM</v>
      </c>
      <c r="G8229" t="str">
        <f>"MOABIO AZEVEDO DOS SANTOS (131)"</f>
        <v>MOABIO AZEVEDO DOS SANTOS (131)</v>
      </c>
      <c r="H8229" t="str">
        <f>"Serv.Prest. 13/10/2025 a 19/10/2025 - PIX: CNPJ - CHAVE: 33.412.676/0001-41"</f>
        <v>Serv.Prest. 13/10/2025 a 19/10/2025 - PIX: CNPJ - CHAVE: 33.412.676/0001-41</v>
      </c>
      <c r="I8229" t="str">
        <f t="shared" si="1527"/>
        <v>30/10/2025</v>
      </c>
      <c r="J8229" t="str">
        <f t="shared" si="1523"/>
        <v>21/10/2025</v>
      </c>
      <c r="K8229" t="str">
        <f>("30/10/2025")</f>
        <v>30/10/2025</v>
      </c>
      <c r="L8229">
        <v>654</v>
      </c>
      <c r="M8229">
        <v>654</v>
      </c>
      <c r="N8229">
        <v>109</v>
      </c>
      <c r="O8229" t="str">
        <f>"PAGAMENTO DE ENTREGADORES"</f>
        <v>PAGAMENTO DE ENTREGADORES</v>
      </c>
      <c r="P8229">
        <v>654</v>
      </c>
      <c r="S8229" t="str">
        <f>"BANCO C6 (149)"</f>
        <v>BANCO C6 (149)</v>
      </c>
      <c r="T8229">
        <v>22069</v>
      </c>
      <c r="U8229">
        <v>24100</v>
      </c>
      <c r="V8229" t="s">
        <v>77</v>
      </c>
    </row>
    <row r="8230" spans="1:22">
      <c r="A8230" t="str">
        <f t="shared" si="1525"/>
        <v>30/10/2025</v>
      </c>
      <c r="B8230" t="str">
        <f t="shared" si="1526"/>
        <v>SAÍDA</v>
      </c>
      <c r="C8230" t="str">
        <f t="shared" si="1528"/>
        <v>PIX</v>
      </c>
      <c r="D8230" t="str">
        <f>"24100"</f>
        <v>24100</v>
      </c>
      <c r="E8230" t="str">
        <f t="shared" si="1522"/>
        <v>1</v>
      </c>
      <c r="F8230" t="str">
        <f t="shared" si="1524"/>
        <v>COM</v>
      </c>
      <c r="G8230" t="str">
        <f>"MOABIO AZEVEDO DOS SANTOS (131)"</f>
        <v>MOABIO AZEVEDO DOS SANTOS (131)</v>
      </c>
      <c r="H8230" t="s">
        <v>2322</v>
      </c>
      <c r="I8230" t="str">
        <f t="shared" si="1527"/>
        <v>30/10/2025</v>
      </c>
      <c r="J8230" t="str">
        <f t="shared" si="1523"/>
        <v>21/10/2025</v>
      </c>
      <c r="K8230">
        <v>45960</v>
      </c>
      <c r="N8230">
        <v>109</v>
      </c>
      <c r="O8230" t="s">
        <v>24</v>
      </c>
      <c r="Q8230">
        <v>654</v>
      </c>
      <c r="R8230" t="str">
        <f>"FARMÁCIA INDIANA LJ 91 (10037)"</f>
        <v>FARMÁCIA INDIANA LJ 91 (10037)</v>
      </c>
      <c r="S8230" t="s">
        <v>77</v>
      </c>
      <c r="T8230">
        <v>22069</v>
      </c>
      <c r="U8230">
        <v>24100</v>
      </c>
      <c r="V8230" t="s">
        <v>77</v>
      </c>
    </row>
    <row r="8231" spans="1:22">
      <c r="A8231" t="str">
        <f t="shared" si="1525"/>
        <v>30/10/2025</v>
      </c>
      <c r="B8231" t="str">
        <f t="shared" si="1526"/>
        <v>SAÍDA</v>
      </c>
      <c r="C8231" t="str">
        <f t="shared" si="1528"/>
        <v>PIX</v>
      </c>
      <c r="D8231" t="str">
        <f>"24101"</f>
        <v>24101</v>
      </c>
      <c r="E8231" t="str">
        <f t="shared" si="1522"/>
        <v>1</v>
      </c>
      <c r="F8231" t="str">
        <f t="shared" si="1524"/>
        <v>COM</v>
      </c>
      <c r="G8231" t="str">
        <f>"NATANAEL AZEVEDO DOS SANTOS (765)"</f>
        <v>NATANAEL AZEVEDO DOS SANTOS (765)</v>
      </c>
      <c r="H8231" t="str">
        <f>"Serv.Prest. 13/10/2025 a 19/10/2025 - PIX: CPF - CHAVE: 007.842.745-25"</f>
        <v>Serv.Prest. 13/10/2025 a 19/10/2025 - PIX: CPF - CHAVE: 007.842.745-25</v>
      </c>
      <c r="I8231" t="str">
        <f t="shared" si="1527"/>
        <v>30/10/2025</v>
      </c>
      <c r="J8231" t="str">
        <f t="shared" si="1523"/>
        <v>21/10/2025</v>
      </c>
      <c r="K8231" t="str">
        <f>("30/10/2025")</f>
        <v>30/10/2025</v>
      </c>
      <c r="L8231">
        <v>216</v>
      </c>
      <c r="M8231">
        <v>216</v>
      </c>
      <c r="N8231">
        <v>109</v>
      </c>
      <c r="O8231" t="str">
        <f>"PAGAMENTO DE ENTREGADORES"</f>
        <v>PAGAMENTO DE ENTREGADORES</v>
      </c>
      <c r="P8231">
        <v>216</v>
      </c>
      <c r="S8231" t="str">
        <f>"BANCO C6 (149)"</f>
        <v>BANCO C6 (149)</v>
      </c>
      <c r="T8231">
        <v>22070</v>
      </c>
      <c r="U8231">
        <v>24101</v>
      </c>
      <c r="V8231" t="s">
        <v>77</v>
      </c>
    </row>
    <row r="8232" spans="1:22">
      <c r="A8232" t="str">
        <f t="shared" si="1525"/>
        <v>30/10/2025</v>
      </c>
      <c r="B8232" t="str">
        <f t="shared" si="1526"/>
        <v>SAÍDA</v>
      </c>
      <c r="C8232" t="str">
        <f t="shared" si="1528"/>
        <v>PIX</v>
      </c>
      <c r="D8232" t="str">
        <f>"24101"</f>
        <v>24101</v>
      </c>
      <c r="E8232" t="str">
        <f t="shared" si="1522"/>
        <v>1</v>
      </c>
      <c r="F8232" t="str">
        <f t="shared" si="1524"/>
        <v>COM</v>
      </c>
      <c r="G8232" t="str">
        <f>"NATANAEL AZEVEDO DOS SANTOS (765)"</f>
        <v>NATANAEL AZEVEDO DOS SANTOS (765)</v>
      </c>
      <c r="H8232" t="s">
        <v>2323</v>
      </c>
      <c r="I8232" t="str">
        <f t="shared" si="1527"/>
        <v>30/10/2025</v>
      </c>
      <c r="J8232" t="str">
        <f t="shared" si="1523"/>
        <v>21/10/2025</v>
      </c>
      <c r="K8232">
        <v>45960</v>
      </c>
      <c r="N8232">
        <v>109</v>
      </c>
      <c r="O8232" t="s">
        <v>24</v>
      </c>
      <c r="Q8232">
        <v>216</v>
      </c>
      <c r="R8232" t="str">
        <f>"FARMÁCIA INDIANA LJ 91 (10037)"</f>
        <v>FARMÁCIA INDIANA LJ 91 (10037)</v>
      </c>
      <c r="S8232" t="s">
        <v>77</v>
      </c>
      <c r="T8232">
        <v>22070</v>
      </c>
      <c r="U8232">
        <v>24101</v>
      </c>
      <c r="V8232" t="s">
        <v>77</v>
      </c>
    </row>
    <row r="8233" spans="1:22">
      <c r="A8233" t="str">
        <f t="shared" si="1525"/>
        <v>30/10/2025</v>
      </c>
      <c r="B8233" t="str">
        <f t="shared" si="1526"/>
        <v>SAÍDA</v>
      </c>
      <c r="C8233" t="str">
        <f t="shared" si="1528"/>
        <v>PIX</v>
      </c>
      <c r="D8233" t="str">
        <f>"24102"</f>
        <v>24102</v>
      </c>
      <c r="E8233" t="str">
        <f t="shared" si="1522"/>
        <v>1</v>
      </c>
      <c r="F8233" t="str">
        <f t="shared" si="1524"/>
        <v>COM</v>
      </c>
      <c r="G8233" t="str">
        <f>"OSVALDO DOS SANTOS (163)"</f>
        <v>OSVALDO DOS SANTOS (163)</v>
      </c>
      <c r="H8233" t="str">
        <f>"Serv.Prest. 13/10/2025 a 19/10/2025 - PIX: CELULAR - CHAVE: (73) 99977-2721"</f>
        <v>Serv.Prest. 13/10/2025 a 19/10/2025 - PIX: CELULAR - CHAVE: (73) 99977-2721</v>
      </c>
      <c r="I8233" t="str">
        <f t="shared" si="1527"/>
        <v>30/10/2025</v>
      </c>
      <c r="J8233" t="str">
        <f t="shared" si="1523"/>
        <v>21/10/2025</v>
      </c>
      <c r="K8233" t="str">
        <f>("30/10/2025")</f>
        <v>30/10/2025</v>
      </c>
      <c r="L8233">
        <v>600</v>
      </c>
      <c r="M8233">
        <v>600</v>
      </c>
      <c r="N8233">
        <v>109</v>
      </c>
      <c r="O8233" t="str">
        <f>"PAGAMENTO DE ENTREGADORES"</f>
        <v>PAGAMENTO DE ENTREGADORES</v>
      </c>
      <c r="P8233">
        <v>600</v>
      </c>
      <c r="S8233" t="str">
        <f>"BANCO C6 (149)"</f>
        <v>BANCO C6 (149)</v>
      </c>
      <c r="T8233">
        <v>22071</v>
      </c>
      <c r="U8233">
        <v>24102</v>
      </c>
      <c r="V8233" t="s">
        <v>77</v>
      </c>
    </row>
    <row r="8234" spans="1:22">
      <c r="A8234" t="str">
        <f t="shared" si="1525"/>
        <v>30/10/2025</v>
      </c>
      <c r="B8234" t="str">
        <f t="shared" si="1526"/>
        <v>SAÍDA</v>
      </c>
      <c r="C8234" t="str">
        <f t="shared" si="1528"/>
        <v>PIX</v>
      </c>
      <c r="D8234" t="str">
        <f>"24102"</f>
        <v>24102</v>
      </c>
      <c r="E8234" t="str">
        <f t="shared" si="1522"/>
        <v>1</v>
      </c>
      <c r="F8234" t="str">
        <f t="shared" si="1524"/>
        <v>COM</v>
      </c>
      <c r="G8234" t="str">
        <f>"OSVALDO DOS SANTOS (163)"</f>
        <v>OSVALDO DOS SANTOS (163)</v>
      </c>
      <c r="H8234" t="s">
        <v>2324</v>
      </c>
      <c r="I8234" t="str">
        <f t="shared" si="1527"/>
        <v>30/10/2025</v>
      </c>
      <c r="J8234" t="str">
        <f t="shared" si="1523"/>
        <v>21/10/2025</v>
      </c>
      <c r="K8234">
        <v>45960</v>
      </c>
      <c r="N8234">
        <v>109</v>
      </c>
      <c r="O8234" t="s">
        <v>24</v>
      </c>
      <c r="Q8234">
        <v>600</v>
      </c>
      <c r="R8234" t="str">
        <f>"FARMÁCIA INDIANA LJ 35 (10015)"</f>
        <v>FARMÁCIA INDIANA LJ 35 (10015)</v>
      </c>
      <c r="S8234" t="s">
        <v>77</v>
      </c>
      <c r="T8234">
        <v>22071</v>
      </c>
      <c r="U8234">
        <v>24102</v>
      </c>
      <c r="V8234" t="s">
        <v>77</v>
      </c>
    </row>
    <row r="8235" spans="1:22">
      <c r="A8235" t="str">
        <f t="shared" si="1525"/>
        <v>30/10/2025</v>
      </c>
      <c r="B8235" t="str">
        <f t="shared" si="1526"/>
        <v>SAÍDA</v>
      </c>
      <c r="C8235" t="str">
        <f t="shared" si="1528"/>
        <v>PIX</v>
      </c>
      <c r="D8235" t="str">
        <f>"24105"</f>
        <v>24105</v>
      </c>
      <c r="E8235" t="str">
        <f t="shared" si="1522"/>
        <v>1</v>
      </c>
      <c r="F8235" t="str">
        <f t="shared" si="1524"/>
        <v>COM</v>
      </c>
      <c r="G8235" t="str">
        <f>"VINICIUS SANTOS PEREIRA (633)"</f>
        <v>VINICIUS SANTOS PEREIRA (633)</v>
      </c>
      <c r="H8235" t="str">
        <f>"Serv.Prest. 13/10/2025 a 19/10/2025 - PIX: CELULAR - CHAVE: (73) 99818-9718"</f>
        <v>Serv.Prest. 13/10/2025 a 19/10/2025 - PIX: CELULAR - CHAVE: (73) 99818-9718</v>
      </c>
      <c r="I8235" t="str">
        <f t="shared" si="1527"/>
        <v>30/10/2025</v>
      </c>
      <c r="J8235" t="str">
        <f t="shared" si="1523"/>
        <v>21/10/2025</v>
      </c>
      <c r="K8235" t="str">
        <f>("30/10/2025")</f>
        <v>30/10/2025</v>
      </c>
      <c r="L8235">
        <v>731</v>
      </c>
      <c r="M8235">
        <v>731</v>
      </c>
      <c r="N8235">
        <v>109</v>
      </c>
      <c r="O8235" t="str">
        <f>"PAGAMENTO DE ENTREGADORES"</f>
        <v>PAGAMENTO DE ENTREGADORES</v>
      </c>
      <c r="P8235">
        <v>731</v>
      </c>
      <c r="S8235" t="str">
        <f>"BANCO C6 (149)"</f>
        <v>BANCO C6 (149)</v>
      </c>
      <c r="T8235">
        <v>22072</v>
      </c>
      <c r="U8235">
        <v>24105</v>
      </c>
      <c r="V8235" t="s">
        <v>77</v>
      </c>
    </row>
    <row r="8236" spans="1:22">
      <c r="A8236" t="str">
        <f t="shared" si="1525"/>
        <v>30/10/2025</v>
      </c>
      <c r="B8236" t="str">
        <f t="shared" si="1526"/>
        <v>SAÍDA</v>
      </c>
      <c r="C8236" t="str">
        <f t="shared" si="1528"/>
        <v>PIX</v>
      </c>
      <c r="D8236" t="str">
        <f>"24105"</f>
        <v>24105</v>
      </c>
      <c r="E8236" t="str">
        <f t="shared" ref="E8236:E8290" si="1529">"1"</f>
        <v>1</v>
      </c>
      <c r="F8236" t="str">
        <f t="shared" si="1524"/>
        <v>COM</v>
      </c>
      <c r="G8236" t="str">
        <f>"VINICIUS SANTOS PEREIRA (633)"</f>
        <v>VINICIUS SANTOS PEREIRA (633)</v>
      </c>
      <c r="H8236" t="s">
        <v>2325</v>
      </c>
      <c r="I8236" t="str">
        <f t="shared" si="1527"/>
        <v>30/10/2025</v>
      </c>
      <c r="J8236" t="str">
        <f t="shared" ref="J8236:J8251" si="1530">("21/10/2025")</f>
        <v>21/10/2025</v>
      </c>
      <c r="K8236">
        <v>45960</v>
      </c>
      <c r="N8236">
        <v>109</v>
      </c>
      <c r="O8236" t="s">
        <v>24</v>
      </c>
      <c r="Q8236">
        <v>731</v>
      </c>
      <c r="R8236" t="str">
        <f>"FARMÁCIA INDIANA LJ 95 (10039)"</f>
        <v>FARMÁCIA INDIANA LJ 95 (10039)</v>
      </c>
      <c r="S8236" t="s">
        <v>77</v>
      </c>
      <c r="T8236">
        <v>22072</v>
      </c>
      <c r="U8236">
        <v>24105</v>
      </c>
      <c r="V8236" t="s">
        <v>77</v>
      </c>
    </row>
    <row r="8237" spans="1:22">
      <c r="A8237" t="str">
        <f t="shared" si="1525"/>
        <v>30/10/2025</v>
      </c>
      <c r="B8237" t="str">
        <f t="shared" si="1526"/>
        <v>SAÍDA</v>
      </c>
      <c r="C8237" t="str">
        <f t="shared" si="1528"/>
        <v>PIX</v>
      </c>
      <c r="D8237" t="str">
        <f>"24106"</f>
        <v>24106</v>
      </c>
      <c r="E8237" t="str">
        <f t="shared" si="1529"/>
        <v>1</v>
      </c>
      <c r="F8237" t="str">
        <f t="shared" si="1524"/>
        <v>COM</v>
      </c>
      <c r="G8237" t="str">
        <f>"WESLEI GONÇALVES SANTOS (154)"</f>
        <v>WESLEI GONÇALVES SANTOS (154)</v>
      </c>
      <c r="H8237" t="str">
        <f>"Serv.Prest. 13/10/2025 a 19/10/2025 - PIX: CPF - CHAVE: 079.068.045-97"</f>
        <v>Serv.Prest. 13/10/2025 a 19/10/2025 - PIX: CPF - CHAVE: 079.068.045-97</v>
      </c>
      <c r="I8237" t="str">
        <f t="shared" si="1527"/>
        <v>30/10/2025</v>
      </c>
      <c r="J8237" t="str">
        <f t="shared" si="1530"/>
        <v>21/10/2025</v>
      </c>
      <c r="K8237" t="str">
        <f>("30/10/2025")</f>
        <v>30/10/2025</v>
      </c>
      <c r="L8237">
        <v>600.66</v>
      </c>
      <c r="M8237">
        <v>600.66</v>
      </c>
      <c r="N8237">
        <v>109</v>
      </c>
      <c r="O8237" t="str">
        <f>"PAGAMENTO DE ENTREGADORES"</f>
        <v>PAGAMENTO DE ENTREGADORES</v>
      </c>
      <c r="P8237">
        <v>600.66</v>
      </c>
      <c r="S8237" t="str">
        <f>"BANCO C6 (149)"</f>
        <v>BANCO C6 (149)</v>
      </c>
      <c r="T8237">
        <v>22073</v>
      </c>
      <c r="U8237">
        <v>24106</v>
      </c>
      <c r="V8237" t="s">
        <v>77</v>
      </c>
    </row>
    <row r="8238" spans="1:22">
      <c r="A8238" t="str">
        <f t="shared" si="1525"/>
        <v>30/10/2025</v>
      </c>
      <c r="B8238" t="str">
        <f t="shared" si="1526"/>
        <v>SAÍDA</v>
      </c>
      <c r="C8238" t="str">
        <f t="shared" si="1528"/>
        <v>PIX</v>
      </c>
      <c r="D8238" t="str">
        <f>"24106"</f>
        <v>24106</v>
      </c>
      <c r="E8238" t="str">
        <f t="shared" si="1529"/>
        <v>1</v>
      </c>
      <c r="F8238" t="str">
        <f t="shared" si="1524"/>
        <v>COM</v>
      </c>
      <c r="G8238" t="str">
        <f>"WESLEI GONÇALVES SANTOS (154)"</f>
        <v>WESLEI GONÇALVES SANTOS (154)</v>
      </c>
      <c r="H8238" t="s">
        <v>2326</v>
      </c>
      <c r="I8238" t="str">
        <f t="shared" si="1527"/>
        <v>30/10/2025</v>
      </c>
      <c r="J8238" t="str">
        <f t="shared" si="1530"/>
        <v>21/10/2025</v>
      </c>
      <c r="K8238">
        <v>45960</v>
      </c>
      <c r="N8238">
        <v>109</v>
      </c>
      <c r="O8238" t="s">
        <v>24</v>
      </c>
      <c r="Q8238">
        <v>600.66</v>
      </c>
      <c r="R8238" t="str">
        <f>"FARMÁCIA INDIANA LJ 34 (10014)"</f>
        <v>FARMÁCIA INDIANA LJ 34 (10014)</v>
      </c>
      <c r="S8238" t="s">
        <v>77</v>
      </c>
      <c r="T8238">
        <v>22073</v>
      </c>
      <c r="U8238">
        <v>24106</v>
      </c>
      <c r="V8238" t="s">
        <v>77</v>
      </c>
    </row>
    <row r="8239" spans="1:22">
      <c r="A8239" t="str">
        <f t="shared" si="1525"/>
        <v>30/10/2025</v>
      </c>
      <c r="B8239" t="str">
        <f t="shared" si="1526"/>
        <v>SAÍDA</v>
      </c>
      <c r="C8239" t="str">
        <f t="shared" si="1528"/>
        <v>PIX</v>
      </c>
      <c r="D8239" t="str">
        <f>"24107"</f>
        <v>24107</v>
      </c>
      <c r="E8239" t="str">
        <f t="shared" si="1529"/>
        <v>1</v>
      </c>
      <c r="F8239" t="str">
        <f t="shared" si="1524"/>
        <v>COM</v>
      </c>
      <c r="G8239" t="str">
        <f>"YAN BRENDO CORREIA VIEIRA (861)"</f>
        <v>YAN BRENDO CORREIA VIEIRA (861)</v>
      </c>
      <c r="H8239" t="str">
        <f>"Serv.Prest. 13/10/2025 a 19/10/2025 - PIX: CPF - CHAVE: 096.891.935-97"</f>
        <v>Serv.Prest. 13/10/2025 a 19/10/2025 - PIX: CPF - CHAVE: 096.891.935-97</v>
      </c>
      <c r="I8239" t="str">
        <f t="shared" si="1527"/>
        <v>30/10/2025</v>
      </c>
      <c r="J8239" t="str">
        <f t="shared" si="1530"/>
        <v>21/10/2025</v>
      </c>
      <c r="K8239" t="str">
        <f>("30/10/2025")</f>
        <v>30/10/2025</v>
      </c>
      <c r="L8239">
        <v>800</v>
      </c>
      <c r="M8239">
        <v>800</v>
      </c>
      <c r="N8239">
        <v>109</v>
      </c>
      <c r="O8239" t="str">
        <f>"PAGAMENTO DE ENTREGADORES"</f>
        <v>PAGAMENTO DE ENTREGADORES</v>
      </c>
      <c r="P8239">
        <v>800</v>
      </c>
      <c r="S8239" t="str">
        <f>"BANCO C6 (149)"</f>
        <v>BANCO C6 (149)</v>
      </c>
      <c r="T8239">
        <v>22074</v>
      </c>
      <c r="U8239">
        <v>24107</v>
      </c>
      <c r="V8239" t="s">
        <v>77</v>
      </c>
    </row>
    <row r="8240" spans="1:22">
      <c r="A8240" t="str">
        <f t="shared" si="1525"/>
        <v>30/10/2025</v>
      </c>
      <c r="B8240" t="str">
        <f t="shared" si="1526"/>
        <v>SAÍDA</v>
      </c>
      <c r="C8240" t="str">
        <f t="shared" si="1528"/>
        <v>PIX</v>
      </c>
      <c r="D8240" t="str">
        <f>"24107"</f>
        <v>24107</v>
      </c>
      <c r="E8240" t="str">
        <f t="shared" si="1529"/>
        <v>1</v>
      </c>
      <c r="F8240" t="str">
        <f t="shared" si="1524"/>
        <v>COM</v>
      </c>
      <c r="G8240" t="str">
        <f>"YAN BRENDO CORREIA VIEIRA (861)"</f>
        <v>YAN BRENDO CORREIA VIEIRA (861)</v>
      </c>
      <c r="H8240" t="s">
        <v>1890</v>
      </c>
      <c r="I8240" t="str">
        <f t="shared" si="1527"/>
        <v>30/10/2025</v>
      </c>
      <c r="J8240" t="str">
        <f t="shared" si="1530"/>
        <v>21/10/2025</v>
      </c>
      <c r="K8240">
        <v>45960</v>
      </c>
      <c r="N8240">
        <v>109</v>
      </c>
      <c r="O8240" t="s">
        <v>24</v>
      </c>
      <c r="Q8240">
        <v>800</v>
      </c>
      <c r="R8240" t="str">
        <f>"FARMÁCIA INDIANA LJ 200 (10155)"</f>
        <v>FARMÁCIA INDIANA LJ 200 (10155)</v>
      </c>
      <c r="S8240" t="s">
        <v>77</v>
      </c>
      <c r="T8240">
        <v>22074</v>
      </c>
      <c r="U8240">
        <v>24107</v>
      </c>
      <c r="V8240" t="s">
        <v>77</v>
      </c>
    </row>
    <row r="8241" spans="1:22">
      <c r="A8241" t="str">
        <f t="shared" si="1525"/>
        <v>30/10/2025</v>
      </c>
      <c r="B8241" t="str">
        <f t="shared" si="1526"/>
        <v>SAÍDA</v>
      </c>
      <c r="C8241" t="str">
        <f t="shared" si="1528"/>
        <v>PIX</v>
      </c>
      <c r="D8241" t="str">
        <f>"24109"</f>
        <v>24109</v>
      </c>
      <c r="E8241" t="str">
        <f t="shared" si="1529"/>
        <v>1</v>
      </c>
      <c r="F8241" t="str">
        <f t="shared" si="1524"/>
        <v>COM</v>
      </c>
      <c r="G8241" t="str">
        <f>"ANDERSON PEREIRA DOS SANTOS (746)"</f>
        <v>ANDERSON PEREIRA DOS SANTOS (746)</v>
      </c>
      <c r="H8241" t="str">
        <f>"Serv.Prest. 13/10/2025 a 19/10/2025 - PIX: CPF - CHAVE: 079.930.865-07"</f>
        <v>Serv.Prest. 13/10/2025 a 19/10/2025 - PIX: CPF - CHAVE: 079.930.865-07</v>
      </c>
      <c r="I8241" t="str">
        <f t="shared" si="1527"/>
        <v>30/10/2025</v>
      </c>
      <c r="J8241" t="str">
        <f t="shared" si="1530"/>
        <v>21/10/2025</v>
      </c>
      <c r="K8241" t="str">
        <f>("30/10/2025")</f>
        <v>30/10/2025</v>
      </c>
      <c r="L8241">
        <v>804</v>
      </c>
      <c r="M8241">
        <v>804</v>
      </c>
      <c r="N8241">
        <v>109</v>
      </c>
      <c r="O8241" t="str">
        <f>"PAGAMENTO DE ENTREGADORES"</f>
        <v>PAGAMENTO DE ENTREGADORES</v>
      </c>
      <c r="P8241">
        <v>804</v>
      </c>
      <c r="S8241" t="str">
        <f>"BANCO C6 (149)"</f>
        <v>BANCO C6 (149)</v>
      </c>
      <c r="T8241">
        <v>22075</v>
      </c>
      <c r="U8241">
        <v>24109</v>
      </c>
      <c r="V8241" t="s">
        <v>77</v>
      </c>
    </row>
    <row r="8242" spans="1:22">
      <c r="A8242" t="str">
        <f t="shared" si="1525"/>
        <v>30/10/2025</v>
      </c>
      <c r="B8242" t="str">
        <f t="shared" si="1526"/>
        <v>SAÍDA</v>
      </c>
      <c r="C8242" t="str">
        <f t="shared" si="1528"/>
        <v>PIX</v>
      </c>
      <c r="D8242" t="str">
        <f>"24109"</f>
        <v>24109</v>
      </c>
      <c r="E8242" t="str">
        <f t="shared" si="1529"/>
        <v>1</v>
      </c>
      <c r="F8242" t="str">
        <f t="shared" si="1524"/>
        <v>COM</v>
      </c>
      <c r="G8242" t="str">
        <f>"ANDERSON PEREIRA DOS SANTOS (746)"</f>
        <v>ANDERSON PEREIRA DOS SANTOS (746)</v>
      </c>
      <c r="H8242" t="s">
        <v>2327</v>
      </c>
      <c r="I8242" t="str">
        <f t="shared" si="1527"/>
        <v>30/10/2025</v>
      </c>
      <c r="J8242" t="str">
        <f t="shared" si="1530"/>
        <v>21/10/2025</v>
      </c>
      <c r="K8242">
        <v>45960</v>
      </c>
      <c r="N8242">
        <v>109</v>
      </c>
      <c r="O8242" t="s">
        <v>24</v>
      </c>
      <c r="Q8242">
        <v>382.86</v>
      </c>
      <c r="R8242" t="str">
        <f>"FARMÁCIA INDIANA LJ 211 (10168)"</f>
        <v>FARMÁCIA INDIANA LJ 211 (10168)</v>
      </c>
      <c r="S8242" t="s">
        <v>77</v>
      </c>
      <c r="T8242">
        <v>22075</v>
      </c>
      <c r="U8242">
        <v>24109</v>
      </c>
      <c r="V8242" t="s">
        <v>77</v>
      </c>
    </row>
    <row r="8243" spans="1:22">
      <c r="A8243" t="str">
        <f t="shared" si="1525"/>
        <v>30/10/2025</v>
      </c>
      <c r="B8243" t="str">
        <f t="shared" si="1526"/>
        <v>SAÍDA</v>
      </c>
      <c r="C8243" t="str">
        <f t="shared" si="1528"/>
        <v>PIX</v>
      </c>
      <c r="D8243" t="str">
        <f>"24109"</f>
        <v>24109</v>
      </c>
      <c r="E8243" t="str">
        <f t="shared" si="1529"/>
        <v>1</v>
      </c>
      <c r="F8243" t="str">
        <f t="shared" si="1524"/>
        <v>COM</v>
      </c>
      <c r="G8243" t="str">
        <f>"ANDERSON PEREIRA DOS SANTOS (746)"</f>
        <v>ANDERSON PEREIRA DOS SANTOS (746)</v>
      </c>
      <c r="H8243" t="s">
        <v>2327</v>
      </c>
      <c r="I8243" t="str">
        <f t="shared" si="1527"/>
        <v>30/10/2025</v>
      </c>
      <c r="J8243" t="str">
        <f t="shared" si="1530"/>
        <v>21/10/2025</v>
      </c>
      <c r="K8243">
        <v>45960</v>
      </c>
      <c r="N8243">
        <v>109</v>
      </c>
      <c r="O8243" t="s">
        <v>24</v>
      </c>
      <c r="Q8243">
        <v>421.14</v>
      </c>
      <c r="R8243" t="str">
        <f>"FARMÁCIA INDIANA LJ 236 (10169)"</f>
        <v>FARMÁCIA INDIANA LJ 236 (10169)</v>
      </c>
      <c r="S8243" t="s">
        <v>77</v>
      </c>
      <c r="T8243">
        <v>22075</v>
      </c>
      <c r="U8243">
        <v>24109</v>
      </c>
      <c r="V8243" t="s">
        <v>77</v>
      </c>
    </row>
    <row r="8244" spans="1:22">
      <c r="A8244" t="str">
        <f t="shared" si="1525"/>
        <v>30/10/2025</v>
      </c>
      <c r="B8244" t="str">
        <f t="shared" si="1526"/>
        <v>SAÍDA</v>
      </c>
      <c r="C8244" t="str">
        <f t="shared" si="1528"/>
        <v>PIX</v>
      </c>
      <c r="D8244" t="str">
        <f>"24111"</f>
        <v>24111</v>
      </c>
      <c r="E8244" t="str">
        <f t="shared" si="1529"/>
        <v>1</v>
      </c>
      <c r="F8244" t="str">
        <f t="shared" si="1524"/>
        <v>COM</v>
      </c>
      <c r="G8244" t="str">
        <f>"DANILO ROCHA SILVA (162)"</f>
        <v>DANILO ROCHA SILVA (162)</v>
      </c>
      <c r="H8244" t="str">
        <f>"Serv.Prest. 13/10/2025 a 19/10/2025 - PIX: CELULAR - CHAVE: (27) 99811-6850"</f>
        <v>Serv.Prest. 13/10/2025 a 19/10/2025 - PIX: CELULAR - CHAVE: (27) 99811-6850</v>
      </c>
      <c r="I8244" t="str">
        <f t="shared" si="1527"/>
        <v>30/10/2025</v>
      </c>
      <c r="J8244" t="str">
        <f t="shared" si="1530"/>
        <v>21/10/2025</v>
      </c>
      <c r="K8244" t="str">
        <f>("30/10/2025")</f>
        <v>30/10/2025</v>
      </c>
      <c r="L8244">
        <v>1264.5</v>
      </c>
      <c r="M8244">
        <v>1264.5</v>
      </c>
      <c r="N8244">
        <v>109</v>
      </c>
      <c r="O8244" t="str">
        <f>"PAGAMENTO DE ENTREGADORES"</f>
        <v>PAGAMENTO DE ENTREGADORES</v>
      </c>
      <c r="P8244">
        <v>1264.5</v>
      </c>
      <c r="S8244" t="str">
        <f>"BANCO C6 (149)"</f>
        <v>BANCO C6 (149)</v>
      </c>
      <c r="T8244">
        <v>22076</v>
      </c>
      <c r="U8244">
        <v>24111</v>
      </c>
      <c r="V8244" t="s">
        <v>77</v>
      </c>
    </row>
    <row r="8245" spans="1:22">
      <c r="A8245" t="str">
        <f t="shared" si="1525"/>
        <v>30/10/2025</v>
      </c>
      <c r="B8245" t="str">
        <f t="shared" si="1526"/>
        <v>SAÍDA</v>
      </c>
      <c r="C8245" t="str">
        <f t="shared" si="1528"/>
        <v>PIX</v>
      </c>
      <c r="D8245" t="str">
        <f>"24111"</f>
        <v>24111</v>
      </c>
      <c r="E8245" t="str">
        <f t="shared" si="1529"/>
        <v>1</v>
      </c>
      <c r="F8245" t="str">
        <f t="shared" si="1524"/>
        <v>COM</v>
      </c>
      <c r="G8245" t="str">
        <f>"DANILO ROCHA SILVA (162)"</f>
        <v>DANILO ROCHA SILVA (162)</v>
      </c>
      <c r="H8245" t="s">
        <v>2328</v>
      </c>
      <c r="I8245" t="str">
        <f t="shared" si="1527"/>
        <v>30/10/2025</v>
      </c>
      <c r="J8245" t="str">
        <f t="shared" si="1530"/>
        <v>21/10/2025</v>
      </c>
      <c r="K8245">
        <v>45960</v>
      </c>
      <c r="N8245">
        <v>109</v>
      </c>
      <c r="O8245" t="s">
        <v>24</v>
      </c>
      <c r="Q8245">
        <v>1264.5</v>
      </c>
      <c r="R8245" t="str">
        <f>"FARMÁCIA INDIANA LJ 181 (10078)"</f>
        <v>FARMÁCIA INDIANA LJ 181 (10078)</v>
      </c>
      <c r="S8245" t="s">
        <v>77</v>
      </c>
      <c r="T8245">
        <v>22076</v>
      </c>
      <c r="U8245">
        <v>24111</v>
      </c>
      <c r="V8245" t="s">
        <v>77</v>
      </c>
    </row>
    <row r="8246" spans="1:22">
      <c r="A8246" t="str">
        <f t="shared" si="1525"/>
        <v>30/10/2025</v>
      </c>
      <c r="B8246" t="str">
        <f t="shared" si="1526"/>
        <v>SAÍDA</v>
      </c>
      <c r="C8246" t="str">
        <f t="shared" si="1528"/>
        <v>PIX</v>
      </c>
      <c r="D8246" t="str">
        <f>"24112"</f>
        <v>24112</v>
      </c>
      <c r="E8246" t="str">
        <f t="shared" si="1529"/>
        <v>1</v>
      </c>
      <c r="F8246" t="str">
        <f t="shared" si="1524"/>
        <v>COM</v>
      </c>
      <c r="G8246" t="str">
        <f>"GABRIEL PRATES DE OLIVEIRA (511)"</f>
        <v>GABRIEL PRATES DE OLIVEIRA (511)</v>
      </c>
      <c r="H8246" t="str">
        <f>"Serv.Prest. 13/10/2025 a 19/10/2025 - PIX: CELULAR - CHAVE: (27) 99869-8144"</f>
        <v>Serv.Prest. 13/10/2025 a 19/10/2025 - PIX: CELULAR - CHAVE: (27) 99869-8144</v>
      </c>
      <c r="I8246" t="str">
        <f t="shared" si="1527"/>
        <v>30/10/2025</v>
      </c>
      <c r="J8246" t="str">
        <f t="shared" si="1530"/>
        <v>21/10/2025</v>
      </c>
      <c r="K8246" t="str">
        <f>("30/10/2025")</f>
        <v>30/10/2025</v>
      </c>
      <c r="L8246">
        <v>792</v>
      </c>
      <c r="M8246">
        <v>792</v>
      </c>
      <c r="N8246">
        <v>109</v>
      </c>
      <c r="O8246" t="str">
        <f>"PAGAMENTO DE ENTREGADORES"</f>
        <v>PAGAMENTO DE ENTREGADORES</v>
      </c>
      <c r="P8246">
        <v>792</v>
      </c>
      <c r="S8246" t="str">
        <f>"BANCO C6 (149)"</f>
        <v>BANCO C6 (149)</v>
      </c>
      <c r="T8246">
        <v>22077</v>
      </c>
      <c r="U8246">
        <v>24112</v>
      </c>
      <c r="V8246" t="s">
        <v>77</v>
      </c>
    </row>
    <row r="8247" spans="1:22">
      <c r="A8247" t="str">
        <f t="shared" si="1525"/>
        <v>30/10/2025</v>
      </c>
      <c r="B8247" t="str">
        <f t="shared" si="1526"/>
        <v>SAÍDA</v>
      </c>
      <c r="C8247" t="str">
        <f t="shared" si="1528"/>
        <v>PIX</v>
      </c>
      <c r="D8247" t="str">
        <f>"24112"</f>
        <v>24112</v>
      </c>
      <c r="E8247" t="str">
        <f t="shared" si="1529"/>
        <v>1</v>
      </c>
      <c r="F8247" t="str">
        <f t="shared" si="1524"/>
        <v>COM</v>
      </c>
      <c r="G8247" t="str">
        <f>"GABRIEL PRATES DE OLIVEIRA (511)"</f>
        <v>GABRIEL PRATES DE OLIVEIRA (511)</v>
      </c>
      <c r="H8247" t="s">
        <v>2329</v>
      </c>
      <c r="I8247" t="str">
        <f t="shared" si="1527"/>
        <v>30/10/2025</v>
      </c>
      <c r="J8247" t="str">
        <f t="shared" si="1530"/>
        <v>21/10/2025</v>
      </c>
      <c r="K8247">
        <v>45960</v>
      </c>
      <c r="N8247">
        <v>109</v>
      </c>
      <c r="O8247" t="s">
        <v>24</v>
      </c>
      <c r="Q8247">
        <v>792</v>
      </c>
      <c r="R8247" t="str">
        <f>"FARMÁCIA INDIANA LJ 163 (10072)"</f>
        <v>FARMÁCIA INDIANA LJ 163 (10072)</v>
      </c>
      <c r="S8247" t="s">
        <v>77</v>
      </c>
      <c r="T8247">
        <v>22077</v>
      </c>
      <c r="U8247">
        <v>24112</v>
      </c>
      <c r="V8247" t="s">
        <v>77</v>
      </c>
    </row>
    <row r="8248" spans="1:22">
      <c r="A8248" t="str">
        <f t="shared" si="1525"/>
        <v>30/10/2025</v>
      </c>
      <c r="B8248" t="str">
        <f t="shared" si="1526"/>
        <v>SAÍDA</v>
      </c>
      <c r="C8248" t="str">
        <f t="shared" si="1528"/>
        <v>PIX</v>
      </c>
      <c r="D8248" t="str">
        <f>"24114"</f>
        <v>24114</v>
      </c>
      <c r="E8248" t="str">
        <f t="shared" si="1529"/>
        <v>1</v>
      </c>
      <c r="F8248" t="str">
        <f t="shared" si="1524"/>
        <v>COM</v>
      </c>
      <c r="G8248" t="str">
        <f>"MARCELO SOUZA DE MOURA (924)"</f>
        <v>MARCELO SOUZA DE MOURA (924)</v>
      </c>
      <c r="H8248" t="str">
        <f>"Serv.Prest. 13/10/2025 a 19/10/2025 - PIX: CELULAR - CHAVE: (73) 99167-5954"</f>
        <v>Serv.Prest. 13/10/2025 a 19/10/2025 - PIX: CELULAR - CHAVE: (73) 99167-5954</v>
      </c>
      <c r="I8248" t="str">
        <f t="shared" si="1527"/>
        <v>30/10/2025</v>
      </c>
      <c r="J8248" t="str">
        <f t="shared" si="1530"/>
        <v>21/10/2025</v>
      </c>
      <c r="K8248" t="str">
        <f>("30/10/2025")</f>
        <v>30/10/2025</v>
      </c>
      <c r="L8248">
        <v>1012.5</v>
      </c>
      <c r="M8248">
        <v>1012.5</v>
      </c>
      <c r="N8248">
        <v>109</v>
      </c>
      <c r="O8248" t="str">
        <f>"PAGAMENTO DE ENTREGADORES"</f>
        <v>PAGAMENTO DE ENTREGADORES</v>
      </c>
      <c r="P8248">
        <v>1012.5</v>
      </c>
      <c r="S8248" t="str">
        <f>"BANCO C6 (149)"</f>
        <v>BANCO C6 (149)</v>
      </c>
      <c r="T8248">
        <v>22078</v>
      </c>
      <c r="U8248">
        <v>24114</v>
      </c>
      <c r="V8248" t="s">
        <v>77</v>
      </c>
    </row>
    <row r="8249" spans="1:22">
      <c r="A8249" t="str">
        <f t="shared" si="1525"/>
        <v>30/10/2025</v>
      </c>
      <c r="B8249" t="str">
        <f t="shared" si="1526"/>
        <v>SAÍDA</v>
      </c>
      <c r="C8249" t="str">
        <f t="shared" si="1528"/>
        <v>PIX</v>
      </c>
      <c r="D8249" t="str">
        <f>"24114"</f>
        <v>24114</v>
      </c>
      <c r="E8249" t="str">
        <f t="shared" si="1529"/>
        <v>1</v>
      </c>
      <c r="F8249" t="str">
        <f t="shared" ref="F8249:F8312" si="1531">"COM"</f>
        <v>COM</v>
      </c>
      <c r="G8249" t="str">
        <f>"MARCELO SOUZA DE MOURA (924)"</f>
        <v>MARCELO SOUZA DE MOURA (924)</v>
      </c>
      <c r="H8249" t="s">
        <v>2330</v>
      </c>
      <c r="I8249" t="str">
        <f t="shared" si="1527"/>
        <v>30/10/2025</v>
      </c>
      <c r="J8249" t="str">
        <f t="shared" si="1530"/>
        <v>21/10/2025</v>
      </c>
      <c r="K8249">
        <v>45960</v>
      </c>
      <c r="N8249">
        <v>109</v>
      </c>
      <c r="O8249" t="s">
        <v>24</v>
      </c>
      <c r="Q8249">
        <v>1012.5</v>
      </c>
      <c r="R8249" t="str">
        <f>"FARMÁCIA INDIANA LJ 273 (10188)"</f>
        <v>FARMÁCIA INDIANA LJ 273 (10188)</v>
      </c>
      <c r="S8249" t="s">
        <v>77</v>
      </c>
      <c r="T8249">
        <v>22078</v>
      </c>
      <c r="U8249">
        <v>24114</v>
      </c>
      <c r="V8249" t="s">
        <v>77</v>
      </c>
    </row>
    <row r="8250" spans="1:22">
      <c r="A8250" t="str">
        <f t="shared" si="1525"/>
        <v>30/10/2025</v>
      </c>
      <c r="B8250" t="str">
        <f t="shared" si="1526"/>
        <v>SAÍDA</v>
      </c>
      <c r="C8250" t="str">
        <f t="shared" si="1528"/>
        <v>PIX</v>
      </c>
      <c r="D8250" t="str">
        <f>"24116"</f>
        <v>24116</v>
      </c>
      <c r="E8250" t="str">
        <f t="shared" si="1529"/>
        <v>1</v>
      </c>
      <c r="F8250" t="str">
        <f t="shared" si="1531"/>
        <v>COM</v>
      </c>
      <c r="G8250" t="str">
        <f>"VINÍCIUS NEVES PEREIRA (776)"</f>
        <v>VINÍCIUS NEVES PEREIRA (776)</v>
      </c>
      <c r="H8250" t="str">
        <f>"Serv.Prest. 13/10/2025 a 19/10/2025 - PIX: CPF - CHAVE: 121.963.507-37"</f>
        <v>Serv.Prest. 13/10/2025 a 19/10/2025 - PIX: CPF - CHAVE: 121.963.507-37</v>
      </c>
      <c r="I8250" t="str">
        <f t="shared" si="1527"/>
        <v>30/10/2025</v>
      </c>
      <c r="J8250" t="str">
        <f t="shared" si="1530"/>
        <v>21/10/2025</v>
      </c>
      <c r="K8250" t="str">
        <f>("30/10/2025")</f>
        <v>30/10/2025</v>
      </c>
      <c r="L8250">
        <v>750.75</v>
      </c>
      <c r="M8250">
        <v>750.75</v>
      </c>
      <c r="N8250">
        <v>109</v>
      </c>
      <c r="O8250" t="str">
        <f>"PAGAMENTO DE ENTREGADORES"</f>
        <v>PAGAMENTO DE ENTREGADORES</v>
      </c>
      <c r="P8250">
        <v>750.75</v>
      </c>
      <c r="S8250" t="str">
        <f>"BANCO C6 (149)"</f>
        <v>BANCO C6 (149)</v>
      </c>
      <c r="T8250">
        <v>22079</v>
      </c>
      <c r="U8250">
        <v>24116</v>
      </c>
      <c r="V8250" t="s">
        <v>77</v>
      </c>
    </row>
    <row r="8251" spans="1:22">
      <c r="A8251" t="str">
        <f t="shared" si="1525"/>
        <v>30/10/2025</v>
      </c>
      <c r="B8251" t="str">
        <f t="shared" si="1526"/>
        <v>SAÍDA</v>
      </c>
      <c r="C8251" t="str">
        <f t="shared" si="1528"/>
        <v>PIX</v>
      </c>
      <c r="D8251" t="str">
        <f>"24116"</f>
        <v>24116</v>
      </c>
      <c r="E8251" t="str">
        <f t="shared" si="1529"/>
        <v>1</v>
      </c>
      <c r="F8251" t="str">
        <f t="shared" si="1531"/>
        <v>COM</v>
      </c>
      <c r="G8251" t="str">
        <f>"VINÍCIUS NEVES PEREIRA (776)"</f>
        <v>VINÍCIUS NEVES PEREIRA (776)</v>
      </c>
      <c r="H8251" t="s">
        <v>2331</v>
      </c>
      <c r="I8251" t="str">
        <f t="shared" si="1527"/>
        <v>30/10/2025</v>
      </c>
      <c r="J8251" t="str">
        <f t="shared" si="1530"/>
        <v>21/10/2025</v>
      </c>
      <c r="K8251">
        <v>45960</v>
      </c>
      <c r="N8251">
        <v>109</v>
      </c>
      <c r="O8251" t="s">
        <v>24</v>
      </c>
      <c r="Q8251">
        <v>750.75</v>
      </c>
      <c r="R8251" t="str">
        <f>"FARMÁCIA INDIANA LJ 221 (10093)"</f>
        <v>FARMÁCIA INDIANA LJ 221 (10093)</v>
      </c>
      <c r="S8251" t="s">
        <v>77</v>
      </c>
      <c r="T8251">
        <v>22079</v>
      </c>
      <c r="U8251">
        <v>24116</v>
      </c>
      <c r="V8251" t="s">
        <v>77</v>
      </c>
    </row>
    <row r="8252" spans="1:22">
      <c r="A8252" t="str">
        <f t="shared" si="1525"/>
        <v>30/10/2025</v>
      </c>
      <c r="B8252" t="str">
        <f t="shared" si="1526"/>
        <v>SAÍDA</v>
      </c>
      <c r="C8252" t="str">
        <f t="shared" si="1528"/>
        <v>PIX</v>
      </c>
      <c r="D8252" t="str">
        <f>"24163"</f>
        <v>24163</v>
      </c>
      <c r="E8252" t="str">
        <f t="shared" si="1529"/>
        <v>1</v>
      </c>
      <c r="F8252" t="str">
        <f t="shared" si="1531"/>
        <v>COM</v>
      </c>
      <c r="G8252" t="str">
        <f>"ALAN ACOSTA (897)"</f>
        <v>ALAN ACOSTA (897)</v>
      </c>
      <c r="H8252" t="str">
        <f>"Serv.Prest. 13/10/2025 a 19/10/2025 - PIX: E-MAIL - CHAVE: alanacosta1999@gmail.com"</f>
        <v>Serv.Prest. 13/10/2025 a 19/10/2025 - PIX: E-MAIL - CHAVE: alanacosta1999@gmail.com</v>
      </c>
      <c r="I8252" t="str">
        <f t="shared" si="1527"/>
        <v>30/10/2025</v>
      </c>
      <c r="J8252" t="str">
        <f t="shared" ref="J8252:J8290" si="1532">("24/10/2025")</f>
        <v>24/10/2025</v>
      </c>
      <c r="K8252" t="str">
        <f>("30/10/2025")</f>
        <v>30/10/2025</v>
      </c>
      <c r="L8252">
        <v>428.4</v>
      </c>
      <c r="M8252">
        <v>428.4</v>
      </c>
      <c r="N8252">
        <v>109</v>
      </c>
      <c r="O8252" t="str">
        <f>"PAGAMENTO DE ENTREGADORES"</f>
        <v>PAGAMENTO DE ENTREGADORES</v>
      </c>
      <c r="P8252">
        <v>428.4</v>
      </c>
      <c r="S8252" t="str">
        <f>"BANCO C6 (149)"</f>
        <v>BANCO C6 (149)</v>
      </c>
      <c r="T8252">
        <v>22080</v>
      </c>
      <c r="U8252">
        <v>24163</v>
      </c>
      <c r="V8252" t="s">
        <v>77</v>
      </c>
    </row>
    <row r="8253" spans="1:22">
      <c r="A8253" t="str">
        <f t="shared" si="1525"/>
        <v>30/10/2025</v>
      </c>
      <c r="B8253" t="str">
        <f t="shared" si="1526"/>
        <v>SAÍDA</v>
      </c>
      <c r="C8253" t="str">
        <f t="shared" si="1528"/>
        <v>PIX</v>
      </c>
      <c r="D8253" t="str">
        <f>"24163"</f>
        <v>24163</v>
      </c>
      <c r="E8253" t="str">
        <f t="shared" si="1529"/>
        <v>1</v>
      </c>
      <c r="F8253" t="str">
        <f t="shared" si="1531"/>
        <v>COM</v>
      </c>
      <c r="G8253" t="str">
        <f>"ALAN ACOSTA (897)"</f>
        <v>ALAN ACOSTA (897)</v>
      </c>
      <c r="H8253" t="s">
        <v>2332</v>
      </c>
      <c r="I8253" t="str">
        <f t="shared" si="1527"/>
        <v>30/10/2025</v>
      </c>
      <c r="J8253" t="str">
        <f t="shared" si="1532"/>
        <v>24/10/2025</v>
      </c>
      <c r="K8253">
        <v>45960</v>
      </c>
      <c r="N8253">
        <v>109</v>
      </c>
      <c r="O8253" t="s">
        <v>24</v>
      </c>
      <c r="Q8253">
        <v>428.4</v>
      </c>
      <c r="R8253" t="str">
        <f>"AC FARMA - CID.ALTA (10166)"</f>
        <v>AC FARMA - CID.ALTA (10166)</v>
      </c>
      <c r="S8253" t="s">
        <v>77</v>
      </c>
      <c r="T8253">
        <v>22080</v>
      </c>
      <c r="U8253">
        <v>24163</v>
      </c>
      <c r="V8253" t="s">
        <v>77</v>
      </c>
    </row>
    <row r="8254" spans="1:22">
      <c r="A8254" t="str">
        <f t="shared" si="1525"/>
        <v>30/10/2025</v>
      </c>
      <c r="B8254" t="str">
        <f t="shared" si="1526"/>
        <v>SAÍDA</v>
      </c>
      <c r="C8254" t="str">
        <f t="shared" si="1528"/>
        <v>PIX</v>
      </c>
      <c r="D8254" t="str">
        <f>"24164"</f>
        <v>24164</v>
      </c>
      <c r="E8254" t="str">
        <f t="shared" si="1529"/>
        <v>1</v>
      </c>
      <c r="F8254" t="str">
        <f t="shared" si="1531"/>
        <v>COM</v>
      </c>
      <c r="G8254" t="str">
        <f>"ALEXANDRE DA CONCEICAO (714)"</f>
        <v>ALEXANDRE DA CONCEICAO (714)</v>
      </c>
      <c r="H8254" t="str">
        <f>"Serv.Prest. 13/10/2025 a 19/10/2025 - PIX: CPF - CHAVE: 975.425.989-53"</f>
        <v>Serv.Prest. 13/10/2025 a 19/10/2025 - PIX: CPF - CHAVE: 975.425.989-53</v>
      </c>
      <c r="I8254" t="str">
        <f t="shared" si="1527"/>
        <v>30/10/2025</v>
      </c>
      <c r="J8254" t="str">
        <f t="shared" si="1532"/>
        <v>24/10/2025</v>
      </c>
      <c r="K8254" t="str">
        <f>("30/10/2025")</f>
        <v>30/10/2025</v>
      </c>
      <c r="L8254">
        <v>170.1</v>
      </c>
      <c r="M8254">
        <v>170.1</v>
      </c>
      <c r="N8254">
        <v>109</v>
      </c>
      <c r="O8254" t="str">
        <f>"PAGAMENTO DE ENTREGADORES"</f>
        <v>PAGAMENTO DE ENTREGADORES</v>
      </c>
      <c r="P8254">
        <v>170.1</v>
      </c>
      <c r="S8254" t="str">
        <f>"BANCO C6 (149)"</f>
        <v>BANCO C6 (149)</v>
      </c>
      <c r="T8254">
        <v>22081</v>
      </c>
      <c r="U8254">
        <v>24164</v>
      </c>
      <c r="V8254" t="s">
        <v>77</v>
      </c>
    </row>
    <row r="8255" spans="1:22">
      <c r="A8255" t="str">
        <f t="shared" si="1525"/>
        <v>30/10/2025</v>
      </c>
      <c r="B8255" t="str">
        <f t="shared" si="1526"/>
        <v>SAÍDA</v>
      </c>
      <c r="C8255" t="str">
        <f t="shared" si="1528"/>
        <v>PIX</v>
      </c>
      <c r="D8255" t="str">
        <f>"24164"</f>
        <v>24164</v>
      </c>
      <c r="E8255" t="str">
        <f t="shared" si="1529"/>
        <v>1</v>
      </c>
      <c r="F8255" t="str">
        <f t="shared" si="1531"/>
        <v>COM</v>
      </c>
      <c r="G8255" t="str">
        <f>"ALEXANDRE DA CONCEICAO (714)"</f>
        <v>ALEXANDRE DA CONCEICAO (714)</v>
      </c>
      <c r="H8255" t="s">
        <v>2204</v>
      </c>
      <c r="I8255" t="str">
        <f t="shared" si="1527"/>
        <v>30/10/2025</v>
      </c>
      <c r="J8255" t="str">
        <f t="shared" si="1532"/>
        <v>24/10/2025</v>
      </c>
      <c r="K8255">
        <v>45960</v>
      </c>
      <c r="N8255">
        <v>109</v>
      </c>
      <c r="O8255" t="s">
        <v>24</v>
      </c>
      <c r="Q8255">
        <v>170.1</v>
      </c>
      <c r="R8255" t="str">
        <f>"AC FARMA - CID.ALTA (10166)"</f>
        <v>AC FARMA - CID.ALTA (10166)</v>
      </c>
      <c r="S8255" t="s">
        <v>77</v>
      </c>
      <c r="T8255">
        <v>22081</v>
      </c>
      <c r="U8255">
        <v>24164</v>
      </c>
      <c r="V8255" t="s">
        <v>77</v>
      </c>
    </row>
    <row r="8256" spans="1:22">
      <c r="A8256" t="str">
        <f t="shared" si="1525"/>
        <v>30/10/2025</v>
      </c>
      <c r="B8256" t="str">
        <f t="shared" si="1526"/>
        <v>SAÍDA</v>
      </c>
      <c r="C8256" t="str">
        <f t="shared" si="1528"/>
        <v>PIX</v>
      </c>
      <c r="D8256" t="str">
        <f>"24165"</f>
        <v>24165</v>
      </c>
      <c r="E8256" t="str">
        <f t="shared" si="1529"/>
        <v>1</v>
      </c>
      <c r="F8256" t="str">
        <f t="shared" si="1531"/>
        <v>COM</v>
      </c>
      <c r="G8256" t="str">
        <f>"CLAUDINEI RIBEIRO VALERIO (681)"</f>
        <v>CLAUDINEI RIBEIRO VALERIO (681)</v>
      </c>
      <c r="H8256" t="str">
        <f>"Serv.Prest. 13/10/2025 a 19/10/2025 - PIX: CELULAR - CHAVE: (43) 99630-7532"</f>
        <v>Serv.Prest. 13/10/2025 a 19/10/2025 - PIX: CELULAR - CHAVE: (43) 99630-7532</v>
      </c>
      <c r="I8256" t="str">
        <f t="shared" si="1527"/>
        <v>30/10/2025</v>
      </c>
      <c r="J8256" t="str">
        <f t="shared" si="1532"/>
        <v>24/10/2025</v>
      </c>
      <c r="K8256" t="str">
        <f>("30/10/2025")</f>
        <v>30/10/2025</v>
      </c>
      <c r="L8256">
        <v>730.8</v>
      </c>
      <c r="M8256">
        <v>730.8</v>
      </c>
      <c r="N8256">
        <v>109</v>
      </c>
      <c r="O8256" t="str">
        <f>"PAGAMENTO DE ENTREGADORES"</f>
        <v>PAGAMENTO DE ENTREGADORES</v>
      </c>
      <c r="P8256">
        <v>730.8</v>
      </c>
      <c r="S8256" t="str">
        <f>"BANCO C6 (149)"</f>
        <v>BANCO C6 (149)</v>
      </c>
      <c r="T8256">
        <v>22082</v>
      </c>
      <c r="U8256">
        <v>24165</v>
      </c>
      <c r="V8256" t="s">
        <v>77</v>
      </c>
    </row>
    <row r="8257" spans="1:22">
      <c r="A8257" t="str">
        <f t="shared" si="1525"/>
        <v>30/10/2025</v>
      </c>
      <c r="B8257" t="str">
        <f t="shared" si="1526"/>
        <v>SAÍDA</v>
      </c>
      <c r="C8257" t="str">
        <f t="shared" si="1528"/>
        <v>PIX</v>
      </c>
      <c r="D8257" t="str">
        <f>"24165"</f>
        <v>24165</v>
      </c>
      <c r="E8257" t="str">
        <f t="shared" si="1529"/>
        <v>1</v>
      </c>
      <c r="F8257" t="str">
        <f t="shared" si="1531"/>
        <v>COM</v>
      </c>
      <c r="G8257" t="str">
        <f>"CLAUDINEI RIBEIRO VALERIO (681)"</f>
        <v>CLAUDINEI RIBEIRO VALERIO (681)</v>
      </c>
      <c r="H8257" t="s">
        <v>2333</v>
      </c>
      <c r="I8257" t="str">
        <f t="shared" si="1527"/>
        <v>30/10/2025</v>
      </c>
      <c r="J8257" t="str">
        <f t="shared" si="1532"/>
        <v>24/10/2025</v>
      </c>
      <c r="K8257">
        <v>45960</v>
      </c>
      <c r="N8257">
        <v>109</v>
      </c>
      <c r="O8257" t="s">
        <v>24</v>
      </c>
      <c r="Q8257">
        <v>730.8</v>
      </c>
      <c r="R8257" t="str">
        <f>"AC FARMA - CID.ALTA (10166)"</f>
        <v>AC FARMA - CID.ALTA (10166)</v>
      </c>
      <c r="S8257" t="s">
        <v>77</v>
      </c>
      <c r="T8257">
        <v>22082</v>
      </c>
      <c r="U8257">
        <v>24165</v>
      </c>
      <c r="V8257" t="s">
        <v>77</v>
      </c>
    </row>
    <row r="8258" spans="1:22">
      <c r="A8258" t="str">
        <f t="shared" si="1525"/>
        <v>30/10/2025</v>
      </c>
      <c r="B8258" t="str">
        <f t="shared" si="1526"/>
        <v>SAÍDA</v>
      </c>
      <c r="C8258" t="str">
        <f t="shared" si="1528"/>
        <v>PIX</v>
      </c>
      <c r="D8258" t="str">
        <f>"24166"</f>
        <v>24166</v>
      </c>
      <c r="E8258" t="str">
        <f t="shared" si="1529"/>
        <v>1</v>
      </c>
      <c r="F8258" t="str">
        <f t="shared" si="1531"/>
        <v>COM</v>
      </c>
      <c r="G8258" t="str">
        <f>"FERNANDO MARTINS DA SILVA (701)"</f>
        <v>FERNANDO MARTINS DA SILVA (701)</v>
      </c>
      <c r="H8258" t="str">
        <f>"Serv.Prest. 13/10/2025 a 19/10/2025 - PIX: CPF - CHAVE: 004.682.359-06"</f>
        <v>Serv.Prest. 13/10/2025 a 19/10/2025 - PIX: CPF - CHAVE: 004.682.359-06</v>
      </c>
      <c r="I8258" t="str">
        <f t="shared" si="1527"/>
        <v>30/10/2025</v>
      </c>
      <c r="J8258" t="str">
        <f t="shared" si="1532"/>
        <v>24/10/2025</v>
      </c>
      <c r="K8258" t="str">
        <f>("30/10/2025")</f>
        <v>30/10/2025</v>
      </c>
      <c r="L8258">
        <v>919.8</v>
      </c>
      <c r="M8258">
        <v>919.8</v>
      </c>
      <c r="N8258">
        <v>109</v>
      </c>
      <c r="O8258" t="str">
        <f>"PAGAMENTO DE ENTREGADORES"</f>
        <v>PAGAMENTO DE ENTREGADORES</v>
      </c>
      <c r="P8258">
        <v>919.8</v>
      </c>
      <c r="S8258" t="str">
        <f>"BANCO C6 (149)"</f>
        <v>BANCO C6 (149)</v>
      </c>
      <c r="T8258">
        <v>22083</v>
      </c>
      <c r="U8258">
        <v>24166</v>
      </c>
      <c r="V8258" t="s">
        <v>77</v>
      </c>
    </row>
    <row r="8259" spans="1:22">
      <c r="A8259" t="str">
        <f t="shared" si="1525"/>
        <v>30/10/2025</v>
      </c>
      <c r="B8259" t="str">
        <f t="shared" si="1526"/>
        <v>SAÍDA</v>
      </c>
      <c r="C8259" t="str">
        <f t="shared" si="1528"/>
        <v>PIX</v>
      </c>
      <c r="D8259" t="str">
        <f>"24166"</f>
        <v>24166</v>
      </c>
      <c r="E8259" t="str">
        <f t="shared" si="1529"/>
        <v>1</v>
      </c>
      <c r="F8259" t="str">
        <f t="shared" si="1531"/>
        <v>COM</v>
      </c>
      <c r="G8259" t="str">
        <f>"FERNANDO MARTINS DA SILVA (701)"</f>
        <v>FERNANDO MARTINS DA SILVA (701)</v>
      </c>
      <c r="H8259" t="s">
        <v>2334</v>
      </c>
      <c r="I8259" t="str">
        <f t="shared" si="1527"/>
        <v>30/10/2025</v>
      </c>
      <c r="J8259" t="str">
        <f t="shared" si="1532"/>
        <v>24/10/2025</v>
      </c>
      <c r="K8259">
        <v>45960</v>
      </c>
      <c r="N8259">
        <v>109</v>
      </c>
      <c r="O8259" t="s">
        <v>24</v>
      </c>
      <c r="Q8259">
        <v>919.8</v>
      </c>
      <c r="R8259" t="str">
        <f>"AC FARMA - CID.ALTA (10166)"</f>
        <v>AC FARMA - CID.ALTA (10166)</v>
      </c>
      <c r="S8259" t="s">
        <v>77</v>
      </c>
      <c r="T8259">
        <v>22083</v>
      </c>
      <c r="U8259">
        <v>24166</v>
      </c>
      <c r="V8259" t="s">
        <v>77</v>
      </c>
    </row>
    <row r="8260" spans="1:22">
      <c r="A8260" t="str">
        <f t="shared" si="1525"/>
        <v>30/10/2025</v>
      </c>
      <c r="B8260" t="str">
        <f t="shared" si="1526"/>
        <v>SAÍDA</v>
      </c>
      <c r="C8260" t="str">
        <f t="shared" si="1528"/>
        <v>PIX</v>
      </c>
      <c r="D8260" t="str">
        <f>"24167"</f>
        <v>24167</v>
      </c>
      <c r="E8260" t="str">
        <f t="shared" si="1529"/>
        <v>1</v>
      </c>
      <c r="F8260" t="str">
        <f t="shared" si="1531"/>
        <v>COM</v>
      </c>
      <c r="G8260" t="str">
        <f>"GERALDO SEVERINO DE SANTANA (729)"</f>
        <v>GERALDO SEVERINO DE SANTANA (729)</v>
      </c>
      <c r="H8260" t="str">
        <f>"Serv.Prest. 13/10/2025 a 19/10/2025 - PIX: CELULAR - CHAVE: (43) 99934-1696"</f>
        <v>Serv.Prest. 13/10/2025 a 19/10/2025 - PIX: CELULAR - CHAVE: (43) 99934-1696</v>
      </c>
      <c r="I8260" t="str">
        <f t="shared" si="1527"/>
        <v>30/10/2025</v>
      </c>
      <c r="J8260" t="str">
        <f t="shared" si="1532"/>
        <v>24/10/2025</v>
      </c>
      <c r="K8260" t="str">
        <f>("30/10/2025")</f>
        <v>30/10/2025</v>
      </c>
      <c r="L8260">
        <v>510.3</v>
      </c>
      <c r="M8260">
        <v>510.3</v>
      </c>
      <c r="N8260">
        <v>109</v>
      </c>
      <c r="O8260" t="str">
        <f>"PAGAMENTO DE ENTREGADORES"</f>
        <v>PAGAMENTO DE ENTREGADORES</v>
      </c>
      <c r="P8260">
        <v>510.3</v>
      </c>
      <c r="S8260" t="str">
        <f>"BANCO C6 (149)"</f>
        <v>BANCO C6 (149)</v>
      </c>
      <c r="T8260">
        <v>22084</v>
      </c>
      <c r="U8260">
        <v>24167</v>
      </c>
      <c r="V8260" t="s">
        <v>77</v>
      </c>
    </row>
    <row r="8261" spans="1:22">
      <c r="A8261" t="str">
        <f t="shared" si="1525"/>
        <v>30/10/2025</v>
      </c>
      <c r="B8261" t="str">
        <f t="shared" si="1526"/>
        <v>SAÍDA</v>
      </c>
      <c r="C8261" t="str">
        <f t="shared" si="1528"/>
        <v>PIX</v>
      </c>
      <c r="D8261" t="str">
        <f>"24167"</f>
        <v>24167</v>
      </c>
      <c r="E8261" t="str">
        <f t="shared" si="1529"/>
        <v>1</v>
      </c>
      <c r="F8261" t="str">
        <f t="shared" si="1531"/>
        <v>COM</v>
      </c>
      <c r="G8261" t="str">
        <f>"GERALDO SEVERINO DE SANTANA (729)"</f>
        <v>GERALDO SEVERINO DE SANTANA (729)</v>
      </c>
      <c r="H8261" t="s">
        <v>2335</v>
      </c>
      <c r="I8261" t="str">
        <f t="shared" si="1527"/>
        <v>30/10/2025</v>
      </c>
      <c r="J8261" t="str">
        <f t="shared" si="1532"/>
        <v>24/10/2025</v>
      </c>
      <c r="K8261">
        <v>45960</v>
      </c>
      <c r="N8261">
        <v>109</v>
      </c>
      <c r="O8261" t="s">
        <v>24</v>
      </c>
      <c r="Q8261">
        <v>510.3</v>
      </c>
      <c r="R8261" t="str">
        <f>"AC FARMA - CID.ALTA (10166)"</f>
        <v>AC FARMA - CID.ALTA (10166)</v>
      </c>
      <c r="S8261" t="s">
        <v>77</v>
      </c>
      <c r="T8261">
        <v>22084</v>
      </c>
      <c r="U8261">
        <v>24167</v>
      </c>
      <c r="V8261" t="s">
        <v>77</v>
      </c>
    </row>
    <row r="8262" spans="1:22">
      <c r="A8262" t="str">
        <f t="shared" si="1525"/>
        <v>30/10/2025</v>
      </c>
      <c r="B8262" t="str">
        <f t="shared" si="1526"/>
        <v>SAÍDA</v>
      </c>
      <c r="C8262" t="str">
        <f t="shared" si="1528"/>
        <v>PIX</v>
      </c>
      <c r="D8262" t="str">
        <f>"24168"</f>
        <v>24168</v>
      </c>
      <c r="E8262" t="str">
        <f t="shared" si="1529"/>
        <v>1</v>
      </c>
      <c r="F8262" t="str">
        <f t="shared" si="1531"/>
        <v>COM</v>
      </c>
      <c r="G8262" t="str">
        <f>"HELITON DE OLIVEIRA RAMOS BARBOSA (724)"</f>
        <v>HELITON DE OLIVEIRA RAMOS BARBOSA (724)</v>
      </c>
      <c r="H8262" t="str">
        <f>"Serv.Prest. 13/10/2025 a 19/10/2025 - PIX: CPF - CHAVE: 074.604.219-10"</f>
        <v>Serv.Prest. 13/10/2025 a 19/10/2025 - PIX: CPF - CHAVE: 074.604.219-10</v>
      </c>
      <c r="I8262" t="str">
        <f t="shared" si="1527"/>
        <v>30/10/2025</v>
      </c>
      <c r="J8262" t="str">
        <f t="shared" si="1532"/>
        <v>24/10/2025</v>
      </c>
      <c r="K8262" t="str">
        <f>("30/10/2025")</f>
        <v>30/10/2025</v>
      </c>
      <c r="L8262">
        <v>907.2</v>
      </c>
      <c r="M8262">
        <v>907.2</v>
      </c>
      <c r="N8262">
        <v>109</v>
      </c>
      <c r="O8262" t="str">
        <f>"PAGAMENTO DE ENTREGADORES"</f>
        <v>PAGAMENTO DE ENTREGADORES</v>
      </c>
      <c r="P8262">
        <v>907.2</v>
      </c>
      <c r="S8262" t="str">
        <f>"BANCO C6 (149)"</f>
        <v>BANCO C6 (149)</v>
      </c>
      <c r="T8262">
        <v>22085</v>
      </c>
      <c r="U8262">
        <v>24168</v>
      </c>
      <c r="V8262" t="s">
        <v>77</v>
      </c>
    </row>
    <row r="8263" spans="1:22">
      <c r="A8263" t="str">
        <f t="shared" si="1525"/>
        <v>30/10/2025</v>
      </c>
      <c r="B8263" t="str">
        <f t="shared" si="1526"/>
        <v>SAÍDA</v>
      </c>
      <c r="C8263" t="str">
        <f t="shared" si="1528"/>
        <v>PIX</v>
      </c>
      <c r="D8263" t="str">
        <f>"24168"</f>
        <v>24168</v>
      </c>
      <c r="E8263" t="str">
        <f t="shared" si="1529"/>
        <v>1</v>
      </c>
      <c r="F8263" t="str">
        <f t="shared" si="1531"/>
        <v>COM</v>
      </c>
      <c r="G8263" t="str">
        <f>"HELITON DE OLIVEIRA RAMOS BARBOSA (724)"</f>
        <v>HELITON DE OLIVEIRA RAMOS BARBOSA (724)</v>
      </c>
      <c r="H8263" t="s">
        <v>2336</v>
      </c>
      <c r="I8263" t="str">
        <f t="shared" si="1527"/>
        <v>30/10/2025</v>
      </c>
      <c r="J8263" t="str">
        <f t="shared" si="1532"/>
        <v>24/10/2025</v>
      </c>
      <c r="K8263">
        <v>45960</v>
      </c>
      <c r="N8263">
        <v>109</v>
      </c>
      <c r="O8263" t="s">
        <v>24</v>
      </c>
      <c r="Q8263">
        <v>907.2</v>
      </c>
      <c r="R8263" t="str">
        <f>"AC FARMA - CID.ALTA (10166)"</f>
        <v>AC FARMA - CID.ALTA (10166)</v>
      </c>
      <c r="S8263" t="s">
        <v>77</v>
      </c>
      <c r="T8263">
        <v>22085</v>
      </c>
      <c r="U8263">
        <v>24168</v>
      </c>
      <c r="V8263" t="s">
        <v>77</v>
      </c>
    </row>
    <row r="8264" spans="1:22">
      <c r="A8264" t="str">
        <f t="shared" si="1525"/>
        <v>30/10/2025</v>
      </c>
      <c r="B8264" t="str">
        <f t="shared" si="1526"/>
        <v>SAÍDA</v>
      </c>
      <c r="C8264" t="str">
        <f t="shared" si="1528"/>
        <v>PIX</v>
      </c>
      <c r="D8264" t="str">
        <f>"24169"</f>
        <v>24169</v>
      </c>
      <c r="E8264" t="str">
        <f t="shared" si="1529"/>
        <v>1</v>
      </c>
      <c r="F8264" t="str">
        <f t="shared" si="1531"/>
        <v>COM</v>
      </c>
      <c r="G8264" t="str">
        <f>"RAUL SILVA ROMAO (727)"</f>
        <v>RAUL SILVA ROMAO (727)</v>
      </c>
      <c r="H8264" t="str">
        <f>"Serv.Prest. 13/10/2025 a 19/10/2025 - PIX: CPF - CHAVE: 878.196.869-87"</f>
        <v>Serv.Prest. 13/10/2025 a 19/10/2025 - PIX: CPF - CHAVE: 878.196.869-87</v>
      </c>
      <c r="I8264" t="str">
        <f t="shared" si="1527"/>
        <v>30/10/2025</v>
      </c>
      <c r="J8264" t="str">
        <f t="shared" si="1532"/>
        <v>24/10/2025</v>
      </c>
      <c r="K8264" t="str">
        <f>("30/10/2025")</f>
        <v>30/10/2025</v>
      </c>
      <c r="L8264">
        <v>623.70000000000005</v>
      </c>
      <c r="M8264">
        <v>623.70000000000005</v>
      </c>
      <c r="N8264">
        <v>109</v>
      </c>
      <c r="O8264" t="str">
        <f>"PAGAMENTO DE ENTREGADORES"</f>
        <v>PAGAMENTO DE ENTREGADORES</v>
      </c>
      <c r="P8264">
        <v>623.70000000000005</v>
      </c>
      <c r="S8264" t="str">
        <f>"BANCO C6 (149)"</f>
        <v>BANCO C6 (149)</v>
      </c>
      <c r="T8264">
        <v>22086</v>
      </c>
      <c r="U8264">
        <v>24169</v>
      </c>
      <c r="V8264" t="s">
        <v>77</v>
      </c>
    </row>
    <row r="8265" spans="1:22">
      <c r="A8265" t="str">
        <f t="shared" si="1525"/>
        <v>30/10/2025</v>
      </c>
      <c r="B8265" t="str">
        <f t="shared" si="1526"/>
        <v>SAÍDA</v>
      </c>
      <c r="C8265" t="str">
        <f t="shared" si="1528"/>
        <v>PIX</v>
      </c>
      <c r="D8265" t="str">
        <f>"24169"</f>
        <v>24169</v>
      </c>
      <c r="E8265" t="str">
        <f t="shared" si="1529"/>
        <v>1</v>
      </c>
      <c r="F8265" t="str">
        <f t="shared" si="1531"/>
        <v>COM</v>
      </c>
      <c r="G8265" t="str">
        <f>"RAUL SILVA ROMAO (727)"</f>
        <v>RAUL SILVA ROMAO (727)</v>
      </c>
      <c r="H8265" t="s">
        <v>2337</v>
      </c>
      <c r="I8265" t="str">
        <f t="shared" si="1527"/>
        <v>30/10/2025</v>
      </c>
      <c r="J8265" t="str">
        <f t="shared" si="1532"/>
        <v>24/10/2025</v>
      </c>
      <c r="K8265">
        <v>45960</v>
      </c>
      <c r="N8265">
        <v>109</v>
      </c>
      <c r="O8265" t="s">
        <v>24</v>
      </c>
      <c r="Q8265">
        <v>623.70000000000005</v>
      </c>
      <c r="R8265" t="str">
        <f>"AC FARMA - CID.ALTA (10166)"</f>
        <v>AC FARMA - CID.ALTA (10166)</v>
      </c>
      <c r="S8265" t="s">
        <v>77</v>
      </c>
      <c r="T8265">
        <v>22086</v>
      </c>
      <c r="U8265">
        <v>24169</v>
      </c>
      <c r="V8265" t="s">
        <v>77</v>
      </c>
    </row>
    <row r="8266" spans="1:22">
      <c r="A8266" t="str">
        <f t="shared" si="1525"/>
        <v>30/10/2025</v>
      </c>
      <c r="B8266" t="str">
        <f t="shared" si="1526"/>
        <v>SAÍDA</v>
      </c>
      <c r="C8266" t="str">
        <f t="shared" si="1528"/>
        <v>PIX</v>
      </c>
      <c r="D8266" t="str">
        <f>"24171"</f>
        <v>24171</v>
      </c>
      <c r="E8266" t="str">
        <f t="shared" si="1529"/>
        <v>1</v>
      </c>
      <c r="F8266" t="str">
        <f t="shared" si="1531"/>
        <v>COM</v>
      </c>
      <c r="G8266" t="str">
        <f>"ALAN ACOSTA (897)"</f>
        <v>ALAN ACOSTA (897)</v>
      </c>
      <c r="H8266" t="str">
        <f>"Serv.Prest. 13/10/2025 a 19/10/2025 - PIX: E-MAIL - CHAVE: alanacosta1999@gmail.com"</f>
        <v>Serv.Prest. 13/10/2025 a 19/10/2025 - PIX: E-MAIL - CHAVE: alanacosta1999@gmail.com</v>
      </c>
      <c r="I8266" t="str">
        <f t="shared" si="1527"/>
        <v>30/10/2025</v>
      </c>
      <c r="J8266" t="str">
        <f t="shared" si="1532"/>
        <v>24/10/2025</v>
      </c>
      <c r="K8266" t="str">
        <f>("30/10/2025")</f>
        <v>30/10/2025</v>
      </c>
      <c r="L8266">
        <v>189</v>
      </c>
      <c r="M8266">
        <v>189</v>
      </c>
      <c r="N8266">
        <v>109</v>
      </c>
      <c r="O8266" t="str">
        <f>"PAGAMENTO DE ENTREGADORES"</f>
        <v>PAGAMENTO DE ENTREGADORES</v>
      </c>
      <c r="P8266">
        <v>189</v>
      </c>
      <c r="S8266" t="str">
        <f>"BANCO C6 (149)"</f>
        <v>BANCO C6 (149)</v>
      </c>
      <c r="T8266">
        <v>22087</v>
      </c>
      <c r="U8266">
        <v>24171</v>
      </c>
      <c r="V8266" t="s">
        <v>77</v>
      </c>
    </row>
    <row r="8267" spans="1:22">
      <c r="A8267" t="str">
        <f t="shared" si="1525"/>
        <v>30/10/2025</v>
      </c>
      <c r="B8267" t="str">
        <f t="shared" si="1526"/>
        <v>SAÍDA</v>
      </c>
      <c r="C8267" t="str">
        <f t="shared" si="1528"/>
        <v>PIX</v>
      </c>
      <c r="D8267" t="str">
        <f>"24171"</f>
        <v>24171</v>
      </c>
      <c r="E8267" t="str">
        <f t="shared" si="1529"/>
        <v>1</v>
      </c>
      <c r="F8267" t="str">
        <f t="shared" si="1531"/>
        <v>COM</v>
      </c>
      <c r="G8267" t="str">
        <f>"ALAN ACOSTA (897)"</f>
        <v>ALAN ACOSTA (897)</v>
      </c>
      <c r="H8267" t="s">
        <v>2332</v>
      </c>
      <c r="I8267" t="str">
        <f t="shared" si="1527"/>
        <v>30/10/2025</v>
      </c>
      <c r="J8267" t="str">
        <f t="shared" si="1532"/>
        <v>24/10/2025</v>
      </c>
      <c r="K8267">
        <v>45960</v>
      </c>
      <c r="N8267">
        <v>109</v>
      </c>
      <c r="O8267" t="s">
        <v>24</v>
      </c>
      <c r="Q8267">
        <v>182.71</v>
      </c>
      <c r="R8267" t="str">
        <f>"AC FARMA -  FLEMINFARMA (10159)"</f>
        <v>AC FARMA -  FLEMINFARMA (10159)</v>
      </c>
      <c r="S8267" t="s">
        <v>77</v>
      </c>
      <c r="T8267">
        <v>22087</v>
      </c>
      <c r="U8267">
        <v>24171</v>
      </c>
      <c r="V8267" t="s">
        <v>77</v>
      </c>
    </row>
    <row r="8268" spans="1:22">
      <c r="A8268" t="str">
        <f t="shared" si="1525"/>
        <v>30/10/2025</v>
      </c>
      <c r="B8268" t="str">
        <f t="shared" si="1526"/>
        <v>SAÍDA</v>
      </c>
      <c r="C8268" t="str">
        <f t="shared" si="1528"/>
        <v>PIX</v>
      </c>
      <c r="D8268" t="str">
        <f>"24171"</f>
        <v>24171</v>
      </c>
      <c r="E8268" t="str">
        <f t="shared" si="1529"/>
        <v>1</v>
      </c>
      <c r="F8268" t="str">
        <f t="shared" si="1531"/>
        <v>COM</v>
      </c>
      <c r="G8268" t="str">
        <f>"ALAN ACOSTA (897)"</f>
        <v>ALAN ACOSTA (897)</v>
      </c>
      <c r="H8268" t="s">
        <v>2332</v>
      </c>
      <c r="I8268" t="str">
        <f t="shared" si="1527"/>
        <v>30/10/2025</v>
      </c>
      <c r="J8268" t="str">
        <f t="shared" si="1532"/>
        <v>24/10/2025</v>
      </c>
      <c r="K8268">
        <v>45960</v>
      </c>
      <c r="N8268">
        <v>109</v>
      </c>
      <c r="O8268" t="s">
        <v>24</v>
      </c>
      <c r="Q8268">
        <v>6.29</v>
      </c>
      <c r="R8268" t="str">
        <f>"AC FARMA - FLEMINFARMA (10160)"</f>
        <v>AC FARMA - FLEMINFARMA (10160)</v>
      </c>
      <c r="S8268" t="s">
        <v>77</v>
      </c>
      <c r="T8268">
        <v>22087</v>
      </c>
      <c r="U8268">
        <v>24171</v>
      </c>
      <c r="V8268" t="s">
        <v>77</v>
      </c>
    </row>
    <row r="8269" spans="1:22">
      <c r="A8269" t="str">
        <f t="shared" ref="A8269:A8332" si="1533">("30/10/2025")</f>
        <v>30/10/2025</v>
      </c>
      <c r="B8269" t="str">
        <f t="shared" si="1526"/>
        <v>SAÍDA</v>
      </c>
      <c r="C8269" t="str">
        <f t="shared" si="1528"/>
        <v>PIX</v>
      </c>
      <c r="D8269" t="str">
        <f>"24173"</f>
        <v>24173</v>
      </c>
      <c r="E8269" t="str">
        <f t="shared" si="1529"/>
        <v>1</v>
      </c>
      <c r="F8269" t="str">
        <f t="shared" si="1531"/>
        <v>COM</v>
      </c>
      <c r="G8269" t="str">
        <f>"CLAUDINEI RIBEIRO VALERIO (681)"</f>
        <v>CLAUDINEI RIBEIRO VALERIO (681)</v>
      </c>
      <c r="H8269" t="str">
        <f>"Serv.Prest. 13/10/2025 a 19/10/2025 - PIX: CELULAR - CHAVE: (43) 99630-7532"</f>
        <v>Serv.Prest. 13/10/2025 a 19/10/2025 - PIX: CELULAR - CHAVE: (43) 99630-7532</v>
      </c>
      <c r="I8269" t="str">
        <f t="shared" si="1527"/>
        <v>30/10/2025</v>
      </c>
      <c r="J8269" t="str">
        <f t="shared" si="1532"/>
        <v>24/10/2025</v>
      </c>
      <c r="K8269" t="str">
        <f>("30/10/2025")</f>
        <v>30/10/2025</v>
      </c>
      <c r="L8269">
        <v>81.900000000000006</v>
      </c>
      <c r="M8269">
        <v>81.900000000000006</v>
      </c>
      <c r="N8269">
        <v>109</v>
      </c>
      <c r="O8269" t="str">
        <f>"PAGAMENTO DE ENTREGADORES"</f>
        <v>PAGAMENTO DE ENTREGADORES</v>
      </c>
      <c r="P8269">
        <v>81.900000000000006</v>
      </c>
      <c r="S8269" t="str">
        <f>"BANCO C6 (149)"</f>
        <v>BANCO C6 (149)</v>
      </c>
      <c r="T8269">
        <v>22088</v>
      </c>
      <c r="U8269">
        <v>24173</v>
      </c>
      <c r="V8269" t="s">
        <v>77</v>
      </c>
    </row>
    <row r="8270" spans="1:22">
      <c r="A8270" t="str">
        <f t="shared" si="1533"/>
        <v>30/10/2025</v>
      </c>
      <c r="B8270" t="str">
        <f t="shared" ref="B8270:B8333" si="1534">"SAÍDA"</f>
        <v>SAÍDA</v>
      </c>
      <c r="C8270" t="str">
        <f t="shared" si="1528"/>
        <v>PIX</v>
      </c>
      <c r="D8270" t="str">
        <f>"24173"</f>
        <v>24173</v>
      </c>
      <c r="E8270" t="str">
        <f t="shared" si="1529"/>
        <v>1</v>
      </c>
      <c r="F8270" t="str">
        <f t="shared" si="1531"/>
        <v>COM</v>
      </c>
      <c r="G8270" t="str">
        <f>"CLAUDINEI RIBEIRO VALERIO (681)"</f>
        <v>CLAUDINEI RIBEIRO VALERIO (681)</v>
      </c>
      <c r="H8270" t="s">
        <v>2333</v>
      </c>
      <c r="I8270" t="str">
        <f t="shared" ref="I8270:I8333" si="1535">("30/10/2025")</f>
        <v>30/10/2025</v>
      </c>
      <c r="J8270" t="str">
        <f t="shared" si="1532"/>
        <v>24/10/2025</v>
      </c>
      <c r="K8270">
        <v>45960</v>
      </c>
      <c r="N8270">
        <v>109</v>
      </c>
      <c r="O8270" t="s">
        <v>24</v>
      </c>
      <c r="Q8270">
        <v>81.900000000000006</v>
      </c>
      <c r="R8270" t="str">
        <f>"AC FARMA -  FLEMINFARMA (10159)"</f>
        <v>AC FARMA -  FLEMINFARMA (10159)</v>
      </c>
      <c r="S8270" t="s">
        <v>77</v>
      </c>
      <c r="T8270">
        <v>22088</v>
      </c>
      <c r="U8270">
        <v>24173</v>
      </c>
      <c r="V8270" t="s">
        <v>77</v>
      </c>
    </row>
    <row r="8271" spans="1:22">
      <c r="A8271" t="str">
        <f t="shared" si="1533"/>
        <v>30/10/2025</v>
      </c>
      <c r="B8271" t="str">
        <f t="shared" si="1534"/>
        <v>SAÍDA</v>
      </c>
      <c r="C8271" t="str">
        <f t="shared" si="1528"/>
        <v>PIX</v>
      </c>
      <c r="D8271" t="str">
        <f>"24174"</f>
        <v>24174</v>
      </c>
      <c r="E8271" t="str">
        <f t="shared" si="1529"/>
        <v>1</v>
      </c>
      <c r="F8271" t="str">
        <f t="shared" si="1531"/>
        <v>COM</v>
      </c>
      <c r="G8271" t="str">
        <f>"FERNANDO MARTINS DA SILVA (701)"</f>
        <v>FERNANDO MARTINS DA SILVA (701)</v>
      </c>
      <c r="H8271" t="str">
        <f>"Serv.Prest. 13/10/2025 a 19/10/2025 - PIX: CPF - CHAVE: 004.682.359-06"</f>
        <v>Serv.Prest. 13/10/2025 a 19/10/2025 - PIX: CPF - CHAVE: 004.682.359-06</v>
      </c>
      <c r="I8271" t="str">
        <f t="shared" si="1535"/>
        <v>30/10/2025</v>
      </c>
      <c r="J8271" t="str">
        <f t="shared" si="1532"/>
        <v>24/10/2025</v>
      </c>
      <c r="K8271" t="str">
        <f>("30/10/2025")</f>
        <v>30/10/2025</v>
      </c>
      <c r="L8271">
        <v>340.2</v>
      </c>
      <c r="M8271">
        <v>340.2</v>
      </c>
      <c r="N8271">
        <v>109</v>
      </c>
      <c r="O8271" t="str">
        <f>"PAGAMENTO DE ENTREGADORES"</f>
        <v>PAGAMENTO DE ENTREGADORES</v>
      </c>
      <c r="P8271">
        <v>340.2</v>
      </c>
      <c r="S8271" t="str">
        <f>"BANCO C6 (149)"</f>
        <v>BANCO C6 (149)</v>
      </c>
      <c r="T8271">
        <v>22089</v>
      </c>
      <c r="U8271">
        <v>24174</v>
      </c>
      <c r="V8271" t="s">
        <v>77</v>
      </c>
    </row>
    <row r="8272" spans="1:22">
      <c r="A8272" t="str">
        <f t="shared" si="1533"/>
        <v>30/10/2025</v>
      </c>
      <c r="B8272" t="str">
        <f t="shared" si="1534"/>
        <v>SAÍDA</v>
      </c>
      <c r="C8272" t="str">
        <f t="shared" ref="C8272:C8335" si="1536">"PIX"</f>
        <v>PIX</v>
      </c>
      <c r="D8272" t="str">
        <f>"24174"</f>
        <v>24174</v>
      </c>
      <c r="E8272" t="str">
        <f t="shared" si="1529"/>
        <v>1</v>
      </c>
      <c r="F8272" t="str">
        <f t="shared" si="1531"/>
        <v>COM</v>
      </c>
      <c r="G8272" t="str">
        <f>"FERNANDO MARTINS DA SILVA (701)"</f>
        <v>FERNANDO MARTINS DA SILVA (701)</v>
      </c>
      <c r="H8272" t="s">
        <v>2334</v>
      </c>
      <c r="I8272" t="str">
        <f t="shared" si="1535"/>
        <v>30/10/2025</v>
      </c>
      <c r="J8272" t="str">
        <f t="shared" si="1532"/>
        <v>24/10/2025</v>
      </c>
      <c r="K8272">
        <v>45960</v>
      </c>
      <c r="N8272">
        <v>109</v>
      </c>
      <c r="O8272" t="s">
        <v>24</v>
      </c>
      <c r="Q8272">
        <v>327.61</v>
      </c>
      <c r="R8272" t="str">
        <f>"AC FARMA -  FLEMINFARMA (10159)"</f>
        <v>AC FARMA -  FLEMINFARMA (10159)</v>
      </c>
      <c r="S8272" t="s">
        <v>77</v>
      </c>
      <c r="T8272">
        <v>22089</v>
      </c>
      <c r="U8272">
        <v>24174</v>
      </c>
      <c r="V8272" t="s">
        <v>77</v>
      </c>
    </row>
    <row r="8273" spans="1:22">
      <c r="A8273" t="str">
        <f t="shared" si="1533"/>
        <v>30/10/2025</v>
      </c>
      <c r="B8273" t="str">
        <f t="shared" si="1534"/>
        <v>SAÍDA</v>
      </c>
      <c r="C8273" t="str">
        <f t="shared" si="1536"/>
        <v>PIX</v>
      </c>
      <c r="D8273" t="str">
        <f>"24174"</f>
        <v>24174</v>
      </c>
      <c r="E8273" t="str">
        <f t="shared" si="1529"/>
        <v>1</v>
      </c>
      <c r="F8273" t="str">
        <f t="shared" si="1531"/>
        <v>COM</v>
      </c>
      <c r="G8273" t="str">
        <f>"FERNANDO MARTINS DA SILVA (701)"</f>
        <v>FERNANDO MARTINS DA SILVA (701)</v>
      </c>
      <c r="H8273" t="s">
        <v>2334</v>
      </c>
      <c r="I8273" t="str">
        <f t="shared" si="1535"/>
        <v>30/10/2025</v>
      </c>
      <c r="J8273" t="str">
        <f t="shared" si="1532"/>
        <v>24/10/2025</v>
      </c>
      <c r="K8273">
        <v>45960</v>
      </c>
      <c r="N8273">
        <v>109</v>
      </c>
      <c r="O8273" t="s">
        <v>24</v>
      </c>
      <c r="Q8273">
        <v>12.59</v>
      </c>
      <c r="R8273" t="str">
        <f>"AC FARMA - FLEMINFARMA (10160)"</f>
        <v>AC FARMA - FLEMINFARMA (10160)</v>
      </c>
      <c r="S8273" t="s">
        <v>77</v>
      </c>
      <c r="T8273">
        <v>22089</v>
      </c>
      <c r="U8273">
        <v>24174</v>
      </c>
      <c r="V8273" t="s">
        <v>77</v>
      </c>
    </row>
    <row r="8274" spans="1:22">
      <c r="A8274" t="str">
        <f t="shared" si="1533"/>
        <v>30/10/2025</v>
      </c>
      <c r="B8274" t="str">
        <f t="shared" si="1534"/>
        <v>SAÍDA</v>
      </c>
      <c r="C8274" t="str">
        <f t="shared" si="1536"/>
        <v>PIX</v>
      </c>
      <c r="D8274" t="str">
        <f>"24175"</f>
        <v>24175</v>
      </c>
      <c r="E8274" t="str">
        <f t="shared" si="1529"/>
        <v>1</v>
      </c>
      <c r="F8274" t="str">
        <f t="shared" si="1531"/>
        <v>COM</v>
      </c>
      <c r="G8274" t="str">
        <f>"GERALDO SEVERINO DE SANTANA (729)"</f>
        <v>GERALDO SEVERINO DE SANTANA (729)</v>
      </c>
      <c r="H8274" t="str">
        <f>"Serv.Prest. 13/10/2025 a 19/10/2025 - PIX: CELULAR - CHAVE: (43) 99934-1696"</f>
        <v>Serv.Prest. 13/10/2025 a 19/10/2025 - PIX: CELULAR - CHAVE: (43) 99934-1696</v>
      </c>
      <c r="I8274" t="str">
        <f t="shared" si="1535"/>
        <v>30/10/2025</v>
      </c>
      <c r="J8274" t="str">
        <f t="shared" si="1532"/>
        <v>24/10/2025</v>
      </c>
      <c r="K8274" t="str">
        <f>("30/10/2025")</f>
        <v>30/10/2025</v>
      </c>
      <c r="L8274">
        <v>189</v>
      </c>
      <c r="M8274">
        <v>189</v>
      </c>
      <c r="N8274">
        <v>109</v>
      </c>
      <c r="O8274" t="str">
        <f>"PAGAMENTO DE ENTREGADORES"</f>
        <v>PAGAMENTO DE ENTREGADORES</v>
      </c>
      <c r="P8274">
        <v>189</v>
      </c>
      <c r="S8274" t="str">
        <f>"BANCO C6 (149)"</f>
        <v>BANCO C6 (149)</v>
      </c>
      <c r="T8274">
        <v>22090</v>
      </c>
      <c r="U8274">
        <v>24175</v>
      </c>
      <c r="V8274" t="s">
        <v>77</v>
      </c>
    </row>
    <row r="8275" spans="1:22">
      <c r="A8275" t="str">
        <f t="shared" si="1533"/>
        <v>30/10/2025</v>
      </c>
      <c r="B8275" t="str">
        <f t="shared" si="1534"/>
        <v>SAÍDA</v>
      </c>
      <c r="C8275" t="str">
        <f t="shared" si="1536"/>
        <v>PIX</v>
      </c>
      <c r="D8275" t="str">
        <f>"24175"</f>
        <v>24175</v>
      </c>
      <c r="E8275" t="str">
        <f t="shared" si="1529"/>
        <v>1</v>
      </c>
      <c r="F8275" t="str">
        <f t="shared" si="1531"/>
        <v>COM</v>
      </c>
      <c r="G8275" t="str">
        <f>"GERALDO SEVERINO DE SANTANA (729)"</f>
        <v>GERALDO SEVERINO DE SANTANA (729)</v>
      </c>
      <c r="H8275" t="s">
        <v>2335</v>
      </c>
      <c r="I8275" t="str">
        <f t="shared" si="1535"/>
        <v>30/10/2025</v>
      </c>
      <c r="J8275" t="str">
        <f t="shared" si="1532"/>
        <v>24/10/2025</v>
      </c>
      <c r="K8275">
        <v>45960</v>
      </c>
      <c r="N8275">
        <v>109</v>
      </c>
      <c r="O8275" t="s">
        <v>24</v>
      </c>
      <c r="Q8275">
        <v>189</v>
      </c>
      <c r="R8275" t="str">
        <f>"AC FARMA -  FLEMINFARMA (10159)"</f>
        <v>AC FARMA -  FLEMINFARMA (10159)</v>
      </c>
      <c r="S8275" t="s">
        <v>77</v>
      </c>
      <c r="T8275">
        <v>22090</v>
      </c>
      <c r="U8275">
        <v>24175</v>
      </c>
      <c r="V8275" t="s">
        <v>77</v>
      </c>
    </row>
    <row r="8276" spans="1:22">
      <c r="A8276" t="str">
        <f t="shared" si="1533"/>
        <v>30/10/2025</v>
      </c>
      <c r="B8276" t="str">
        <f t="shared" si="1534"/>
        <v>SAÍDA</v>
      </c>
      <c r="C8276" t="str">
        <f t="shared" si="1536"/>
        <v>PIX</v>
      </c>
      <c r="D8276" t="str">
        <f>"24176"</f>
        <v>24176</v>
      </c>
      <c r="E8276" t="str">
        <f t="shared" si="1529"/>
        <v>1</v>
      </c>
      <c r="F8276" t="str">
        <f t="shared" si="1531"/>
        <v>COM</v>
      </c>
      <c r="G8276" t="str">
        <f>"HELITON DE OLIVEIRA RAMOS BARBOSA (724)"</f>
        <v>HELITON DE OLIVEIRA RAMOS BARBOSA (724)</v>
      </c>
      <c r="H8276" t="str">
        <f>"Serv.Prest. 13/10/2025 a 19/10/2025 - PIX: CPF - CHAVE: 074.604.219-10"</f>
        <v>Serv.Prest. 13/10/2025 a 19/10/2025 - PIX: CPF - CHAVE: 074.604.219-10</v>
      </c>
      <c r="I8276" t="str">
        <f t="shared" si="1535"/>
        <v>30/10/2025</v>
      </c>
      <c r="J8276" t="str">
        <f t="shared" si="1532"/>
        <v>24/10/2025</v>
      </c>
      <c r="K8276" t="str">
        <f>("30/10/2025")</f>
        <v>30/10/2025</v>
      </c>
      <c r="L8276">
        <v>182.7</v>
      </c>
      <c r="M8276">
        <v>182.7</v>
      </c>
      <c r="N8276">
        <v>109</v>
      </c>
      <c r="O8276" t="str">
        <f>"PAGAMENTO DE ENTREGADORES"</f>
        <v>PAGAMENTO DE ENTREGADORES</v>
      </c>
      <c r="P8276">
        <v>182.7</v>
      </c>
      <c r="S8276" t="str">
        <f>"BANCO C6 (149)"</f>
        <v>BANCO C6 (149)</v>
      </c>
      <c r="T8276">
        <v>22091</v>
      </c>
      <c r="U8276">
        <v>24176</v>
      </c>
      <c r="V8276" t="s">
        <v>77</v>
      </c>
    </row>
    <row r="8277" spans="1:22">
      <c r="A8277" t="str">
        <f t="shared" si="1533"/>
        <v>30/10/2025</v>
      </c>
      <c r="B8277" t="str">
        <f t="shared" si="1534"/>
        <v>SAÍDA</v>
      </c>
      <c r="C8277" t="str">
        <f t="shared" si="1536"/>
        <v>PIX</v>
      </c>
      <c r="D8277" t="str">
        <f>"24176"</f>
        <v>24176</v>
      </c>
      <c r="E8277" t="str">
        <f t="shared" si="1529"/>
        <v>1</v>
      </c>
      <c r="F8277" t="str">
        <f t="shared" si="1531"/>
        <v>COM</v>
      </c>
      <c r="G8277" t="str">
        <f>"HELITON DE OLIVEIRA RAMOS BARBOSA (724)"</f>
        <v>HELITON DE OLIVEIRA RAMOS BARBOSA (724)</v>
      </c>
      <c r="H8277" t="s">
        <v>2336</v>
      </c>
      <c r="I8277" t="str">
        <f t="shared" si="1535"/>
        <v>30/10/2025</v>
      </c>
      <c r="J8277" t="str">
        <f t="shared" si="1532"/>
        <v>24/10/2025</v>
      </c>
      <c r="K8277">
        <v>45960</v>
      </c>
      <c r="N8277">
        <v>109</v>
      </c>
      <c r="O8277" t="s">
        <v>24</v>
      </c>
      <c r="Q8277">
        <v>163.81</v>
      </c>
      <c r="R8277" t="str">
        <f>"AC FARMA -  FLEMINFARMA (10159)"</f>
        <v>AC FARMA -  FLEMINFARMA (10159)</v>
      </c>
      <c r="S8277" t="s">
        <v>77</v>
      </c>
      <c r="T8277">
        <v>22091</v>
      </c>
      <c r="U8277">
        <v>24176</v>
      </c>
      <c r="V8277" t="s">
        <v>77</v>
      </c>
    </row>
    <row r="8278" spans="1:22">
      <c r="A8278" t="str">
        <f t="shared" si="1533"/>
        <v>30/10/2025</v>
      </c>
      <c r="B8278" t="str">
        <f t="shared" si="1534"/>
        <v>SAÍDA</v>
      </c>
      <c r="C8278" t="str">
        <f t="shared" si="1536"/>
        <v>PIX</v>
      </c>
      <c r="D8278" t="str">
        <f>"24176"</f>
        <v>24176</v>
      </c>
      <c r="E8278" t="str">
        <f t="shared" si="1529"/>
        <v>1</v>
      </c>
      <c r="F8278" t="str">
        <f t="shared" si="1531"/>
        <v>COM</v>
      </c>
      <c r="G8278" t="str">
        <f>"HELITON DE OLIVEIRA RAMOS BARBOSA (724)"</f>
        <v>HELITON DE OLIVEIRA RAMOS BARBOSA (724)</v>
      </c>
      <c r="H8278" t="s">
        <v>2336</v>
      </c>
      <c r="I8278" t="str">
        <f t="shared" si="1535"/>
        <v>30/10/2025</v>
      </c>
      <c r="J8278" t="str">
        <f t="shared" si="1532"/>
        <v>24/10/2025</v>
      </c>
      <c r="K8278">
        <v>45960</v>
      </c>
      <c r="N8278">
        <v>109</v>
      </c>
      <c r="O8278" t="s">
        <v>24</v>
      </c>
      <c r="Q8278">
        <v>18.89</v>
      </c>
      <c r="R8278" t="str">
        <f>"AC FARMA - FLEMINFARMA (10160)"</f>
        <v>AC FARMA - FLEMINFARMA (10160)</v>
      </c>
      <c r="S8278" t="s">
        <v>77</v>
      </c>
      <c r="T8278">
        <v>22091</v>
      </c>
      <c r="U8278">
        <v>24176</v>
      </c>
      <c r="V8278" t="s">
        <v>77</v>
      </c>
    </row>
    <row r="8279" spans="1:22">
      <c r="A8279" t="str">
        <f t="shared" si="1533"/>
        <v>30/10/2025</v>
      </c>
      <c r="B8279" t="str">
        <f t="shared" si="1534"/>
        <v>SAÍDA</v>
      </c>
      <c r="C8279" t="str">
        <f t="shared" si="1536"/>
        <v>PIX</v>
      </c>
      <c r="D8279" t="str">
        <f>"24178"</f>
        <v>24178</v>
      </c>
      <c r="E8279" t="str">
        <f t="shared" si="1529"/>
        <v>1</v>
      </c>
      <c r="F8279" t="str">
        <f t="shared" si="1531"/>
        <v>COM</v>
      </c>
      <c r="G8279" t="str">
        <f>"ALAN ACOSTA (897)"</f>
        <v>ALAN ACOSTA (897)</v>
      </c>
      <c r="H8279" t="str">
        <f>"Serv.Prest. 13/10/2025 a 19/10/2025 - PIX: E-MAIL - CHAVE: alanacosta1999@gmail.com"</f>
        <v>Serv.Prest. 13/10/2025 a 19/10/2025 - PIX: E-MAIL - CHAVE: alanacosta1999@gmail.com</v>
      </c>
      <c r="I8279" t="str">
        <f t="shared" si="1535"/>
        <v>30/10/2025</v>
      </c>
      <c r="J8279" t="str">
        <f t="shared" si="1532"/>
        <v>24/10/2025</v>
      </c>
      <c r="K8279" t="str">
        <f>("30/10/2025")</f>
        <v>30/10/2025</v>
      </c>
      <c r="L8279">
        <v>94.5</v>
      </c>
      <c r="M8279">
        <v>94.5</v>
      </c>
      <c r="N8279">
        <v>109</v>
      </c>
      <c r="O8279" t="str">
        <f>"PAGAMENTO DE ENTREGADORES"</f>
        <v>PAGAMENTO DE ENTREGADORES</v>
      </c>
      <c r="P8279">
        <v>94.5</v>
      </c>
      <c r="S8279" t="str">
        <f>"BANCO C6 (149)"</f>
        <v>BANCO C6 (149)</v>
      </c>
      <c r="T8279">
        <v>22092</v>
      </c>
      <c r="U8279">
        <v>24178</v>
      </c>
      <c r="V8279" t="s">
        <v>77</v>
      </c>
    </row>
    <row r="8280" spans="1:22">
      <c r="A8280" t="str">
        <f t="shared" si="1533"/>
        <v>30/10/2025</v>
      </c>
      <c r="B8280" t="str">
        <f t="shared" si="1534"/>
        <v>SAÍDA</v>
      </c>
      <c r="C8280" t="str">
        <f t="shared" si="1536"/>
        <v>PIX</v>
      </c>
      <c r="D8280" t="str">
        <f>"24178"</f>
        <v>24178</v>
      </c>
      <c r="E8280" t="str">
        <f t="shared" si="1529"/>
        <v>1</v>
      </c>
      <c r="F8280" t="str">
        <f t="shared" si="1531"/>
        <v>COM</v>
      </c>
      <c r="G8280" t="str">
        <f>"ALAN ACOSTA (897)"</f>
        <v>ALAN ACOSTA (897)</v>
      </c>
      <c r="H8280" t="s">
        <v>2332</v>
      </c>
      <c r="I8280" t="str">
        <f t="shared" si="1535"/>
        <v>30/10/2025</v>
      </c>
      <c r="J8280" t="str">
        <f t="shared" si="1532"/>
        <v>24/10/2025</v>
      </c>
      <c r="K8280">
        <v>45960</v>
      </c>
      <c r="N8280">
        <v>109</v>
      </c>
      <c r="O8280" t="s">
        <v>24</v>
      </c>
      <c r="Q8280">
        <v>81.900000000000006</v>
      </c>
      <c r="R8280" t="str">
        <f>"AC FARMA - FLEMINFARMA 5 (10183)"</f>
        <v>AC FARMA - FLEMINFARMA 5 (10183)</v>
      </c>
      <c r="S8280" t="s">
        <v>77</v>
      </c>
      <c r="T8280">
        <v>22092</v>
      </c>
      <c r="U8280">
        <v>24178</v>
      </c>
      <c r="V8280" t="s">
        <v>77</v>
      </c>
    </row>
    <row r="8281" spans="1:22">
      <c r="A8281" t="str">
        <f t="shared" si="1533"/>
        <v>30/10/2025</v>
      </c>
      <c r="B8281" t="str">
        <f t="shared" si="1534"/>
        <v>SAÍDA</v>
      </c>
      <c r="C8281" t="str">
        <f t="shared" si="1536"/>
        <v>PIX</v>
      </c>
      <c r="D8281" t="str">
        <f>"24178"</f>
        <v>24178</v>
      </c>
      <c r="E8281" t="str">
        <f t="shared" si="1529"/>
        <v>1</v>
      </c>
      <c r="F8281" t="str">
        <f t="shared" si="1531"/>
        <v>COM</v>
      </c>
      <c r="G8281" t="str">
        <f>"ALAN ACOSTA (897)"</f>
        <v>ALAN ACOSTA (897)</v>
      </c>
      <c r="H8281" t="s">
        <v>2332</v>
      </c>
      <c r="I8281" t="str">
        <f t="shared" si="1535"/>
        <v>30/10/2025</v>
      </c>
      <c r="J8281" t="str">
        <f t="shared" si="1532"/>
        <v>24/10/2025</v>
      </c>
      <c r="K8281">
        <v>45960</v>
      </c>
      <c r="N8281">
        <v>109</v>
      </c>
      <c r="O8281" t="s">
        <v>24</v>
      </c>
      <c r="Q8281">
        <v>12.6</v>
      </c>
      <c r="R8281" t="str">
        <f>"AC FARMA - FLEMINFARMA 6 (10184)"</f>
        <v>AC FARMA - FLEMINFARMA 6 (10184)</v>
      </c>
      <c r="S8281" t="s">
        <v>77</v>
      </c>
      <c r="T8281">
        <v>22092</v>
      </c>
      <c r="U8281">
        <v>24178</v>
      </c>
      <c r="V8281" t="s">
        <v>77</v>
      </c>
    </row>
    <row r="8282" spans="1:22">
      <c r="A8282" t="str">
        <f t="shared" si="1533"/>
        <v>30/10/2025</v>
      </c>
      <c r="B8282" t="str">
        <f t="shared" si="1534"/>
        <v>SAÍDA</v>
      </c>
      <c r="C8282" t="str">
        <f t="shared" si="1536"/>
        <v>PIX</v>
      </c>
      <c r="D8282" t="str">
        <f>"24179"</f>
        <v>24179</v>
      </c>
      <c r="E8282" t="str">
        <f t="shared" si="1529"/>
        <v>1</v>
      </c>
      <c r="F8282" t="str">
        <f t="shared" si="1531"/>
        <v>COM</v>
      </c>
      <c r="G8282" t="str">
        <f>"CLAUDINEI RIBEIRO VALERIO (681)"</f>
        <v>CLAUDINEI RIBEIRO VALERIO (681)</v>
      </c>
      <c r="H8282" t="str">
        <f>"Serv.Prest. 13/10/2025 a 19/10/2025 - PIX: CELULAR - CHAVE: (43) 99630-7532"</f>
        <v>Serv.Prest. 13/10/2025 a 19/10/2025 - PIX: CELULAR - CHAVE: (43) 99630-7532</v>
      </c>
      <c r="I8282" t="str">
        <f t="shared" si="1535"/>
        <v>30/10/2025</v>
      </c>
      <c r="J8282" t="str">
        <f t="shared" si="1532"/>
        <v>24/10/2025</v>
      </c>
      <c r="K8282" t="str">
        <f>("30/10/2025")</f>
        <v>30/10/2025</v>
      </c>
      <c r="L8282">
        <v>18.899999999999999</v>
      </c>
      <c r="M8282">
        <v>18.899999999999999</v>
      </c>
      <c r="N8282">
        <v>109</v>
      </c>
      <c r="O8282" t="str">
        <f>"PAGAMENTO DE ENTREGADORES"</f>
        <v>PAGAMENTO DE ENTREGADORES</v>
      </c>
      <c r="P8282">
        <v>18.899999999999999</v>
      </c>
      <c r="S8282" t="str">
        <f>"BANCO C6 (149)"</f>
        <v>BANCO C6 (149)</v>
      </c>
      <c r="T8282">
        <v>22093</v>
      </c>
      <c r="U8282">
        <v>24179</v>
      </c>
      <c r="V8282" t="s">
        <v>77</v>
      </c>
    </row>
    <row r="8283" spans="1:22">
      <c r="A8283" t="str">
        <f t="shared" si="1533"/>
        <v>30/10/2025</v>
      </c>
      <c r="B8283" t="str">
        <f t="shared" si="1534"/>
        <v>SAÍDA</v>
      </c>
      <c r="C8283" t="str">
        <f t="shared" si="1536"/>
        <v>PIX</v>
      </c>
      <c r="D8283" t="str">
        <f>"24179"</f>
        <v>24179</v>
      </c>
      <c r="E8283" t="str">
        <f t="shared" si="1529"/>
        <v>1</v>
      </c>
      <c r="F8283" t="str">
        <f t="shared" si="1531"/>
        <v>COM</v>
      </c>
      <c r="G8283" t="str">
        <f>"CLAUDINEI RIBEIRO VALERIO (681)"</f>
        <v>CLAUDINEI RIBEIRO VALERIO (681)</v>
      </c>
      <c r="H8283" t="s">
        <v>2333</v>
      </c>
      <c r="I8283" t="str">
        <f t="shared" si="1535"/>
        <v>30/10/2025</v>
      </c>
      <c r="J8283" t="str">
        <f t="shared" si="1532"/>
        <v>24/10/2025</v>
      </c>
      <c r="K8283">
        <v>45960</v>
      </c>
      <c r="N8283">
        <v>109</v>
      </c>
      <c r="O8283" t="s">
        <v>24</v>
      </c>
      <c r="Q8283">
        <v>12.6</v>
      </c>
      <c r="R8283" t="str">
        <f>"AC FARMA - FLEMINFARMA 5 (10183)"</f>
        <v>AC FARMA - FLEMINFARMA 5 (10183)</v>
      </c>
      <c r="S8283" t="s">
        <v>77</v>
      </c>
      <c r="T8283">
        <v>22093</v>
      </c>
      <c r="U8283">
        <v>24179</v>
      </c>
      <c r="V8283" t="s">
        <v>77</v>
      </c>
    </row>
    <row r="8284" spans="1:22">
      <c r="A8284" t="str">
        <f t="shared" si="1533"/>
        <v>30/10/2025</v>
      </c>
      <c r="B8284" t="str">
        <f t="shared" si="1534"/>
        <v>SAÍDA</v>
      </c>
      <c r="C8284" t="str">
        <f t="shared" si="1536"/>
        <v>PIX</v>
      </c>
      <c r="D8284" t="str">
        <f>"24179"</f>
        <v>24179</v>
      </c>
      <c r="E8284" t="str">
        <f t="shared" si="1529"/>
        <v>1</v>
      </c>
      <c r="F8284" t="str">
        <f t="shared" si="1531"/>
        <v>COM</v>
      </c>
      <c r="G8284" t="str">
        <f>"CLAUDINEI RIBEIRO VALERIO (681)"</f>
        <v>CLAUDINEI RIBEIRO VALERIO (681)</v>
      </c>
      <c r="H8284" t="s">
        <v>2333</v>
      </c>
      <c r="I8284" t="str">
        <f t="shared" si="1535"/>
        <v>30/10/2025</v>
      </c>
      <c r="J8284" t="str">
        <f t="shared" si="1532"/>
        <v>24/10/2025</v>
      </c>
      <c r="K8284">
        <v>45960</v>
      </c>
      <c r="N8284">
        <v>109</v>
      </c>
      <c r="O8284" t="s">
        <v>24</v>
      </c>
      <c r="Q8284">
        <v>6.3</v>
      </c>
      <c r="R8284" t="str">
        <f>"AC FARMA - FLEMINFARMA 6 (10184)"</f>
        <v>AC FARMA - FLEMINFARMA 6 (10184)</v>
      </c>
      <c r="S8284" t="s">
        <v>77</v>
      </c>
      <c r="T8284">
        <v>22093</v>
      </c>
      <c r="U8284">
        <v>24179</v>
      </c>
      <c r="V8284" t="s">
        <v>77</v>
      </c>
    </row>
    <row r="8285" spans="1:22">
      <c r="A8285" t="str">
        <f t="shared" si="1533"/>
        <v>30/10/2025</v>
      </c>
      <c r="B8285" t="str">
        <f t="shared" si="1534"/>
        <v>SAÍDA</v>
      </c>
      <c r="C8285" t="str">
        <f t="shared" si="1536"/>
        <v>PIX</v>
      </c>
      <c r="D8285" t="str">
        <f>"24180"</f>
        <v>24180</v>
      </c>
      <c r="E8285" t="str">
        <f t="shared" si="1529"/>
        <v>1</v>
      </c>
      <c r="F8285" t="str">
        <f t="shared" si="1531"/>
        <v>COM</v>
      </c>
      <c r="G8285" t="str">
        <f>"FERNANDO MARTINS DA SILVA (701)"</f>
        <v>FERNANDO MARTINS DA SILVA (701)</v>
      </c>
      <c r="H8285" t="str">
        <f>"Serv.Prest. 13/10/2025 a 19/10/2025 - PIX: CPF - CHAVE: 004.682.359-06"</f>
        <v>Serv.Prest. 13/10/2025 a 19/10/2025 - PIX: CPF - CHAVE: 004.682.359-06</v>
      </c>
      <c r="I8285" t="str">
        <f t="shared" si="1535"/>
        <v>30/10/2025</v>
      </c>
      <c r="J8285" t="str">
        <f t="shared" si="1532"/>
        <v>24/10/2025</v>
      </c>
      <c r="K8285" t="str">
        <f>("30/10/2025")</f>
        <v>30/10/2025</v>
      </c>
      <c r="L8285">
        <v>220.5</v>
      </c>
      <c r="M8285">
        <v>220.5</v>
      </c>
      <c r="N8285">
        <v>109</v>
      </c>
      <c r="O8285" t="str">
        <f>"PAGAMENTO DE ENTREGADORES"</f>
        <v>PAGAMENTO DE ENTREGADORES</v>
      </c>
      <c r="P8285">
        <v>220.5</v>
      </c>
      <c r="S8285" t="str">
        <f>"BANCO C6 (149)"</f>
        <v>BANCO C6 (149)</v>
      </c>
      <c r="T8285">
        <v>22094</v>
      </c>
      <c r="U8285">
        <v>24180</v>
      </c>
      <c r="V8285" t="s">
        <v>77</v>
      </c>
    </row>
    <row r="8286" spans="1:22">
      <c r="A8286" t="str">
        <f t="shared" si="1533"/>
        <v>30/10/2025</v>
      </c>
      <c r="B8286" t="str">
        <f t="shared" si="1534"/>
        <v>SAÍDA</v>
      </c>
      <c r="C8286" t="str">
        <f t="shared" si="1536"/>
        <v>PIX</v>
      </c>
      <c r="D8286" t="str">
        <f>"24180"</f>
        <v>24180</v>
      </c>
      <c r="E8286" t="str">
        <f t="shared" si="1529"/>
        <v>1</v>
      </c>
      <c r="F8286" t="str">
        <f t="shared" si="1531"/>
        <v>COM</v>
      </c>
      <c r="G8286" t="str">
        <f>"FERNANDO MARTINS DA SILVA (701)"</f>
        <v>FERNANDO MARTINS DA SILVA (701)</v>
      </c>
      <c r="H8286" t="s">
        <v>2334</v>
      </c>
      <c r="I8286" t="str">
        <f t="shared" si="1535"/>
        <v>30/10/2025</v>
      </c>
      <c r="J8286" t="str">
        <f t="shared" si="1532"/>
        <v>24/10/2025</v>
      </c>
      <c r="K8286">
        <v>45960</v>
      </c>
      <c r="N8286">
        <v>109</v>
      </c>
      <c r="O8286" t="s">
        <v>24</v>
      </c>
      <c r="Q8286">
        <v>220.5</v>
      </c>
      <c r="R8286" t="str">
        <f>"AC FARMA - FLEMINFARMA 5 (10183)"</f>
        <v>AC FARMA - FLEMINFARMA 5 (10183)</v>
      </c>
      <c r="S8286" t="s">
        <v>77</v>
      </c>
      <c r="T8286">
        <v>22094</v>
      </c>
      <c r="U8286">
        <v>24180</v>
      </c>
      <c r="V8286" t="s">
        <v>77</v>
      </c>
    </row>
    <row r="8287" spans="1:22">
      <c r="A8287" t="str">
        <f t="shared" si="1533"/>
        <v>30/10/2025</v>
      </c>
      <c r="B8287" t="str">
        <f t="shared" si="1534"/>
        <v>SAÍDA</v>
      </c>
      <c r="C8287" t="str">
        <f t="shared" si="1536"/>
        <v>PIX</v>
      </c>
      <c r="D8287" t="str">
        <f>"24181"</f>
        <v>24181</v>
      </c>
      <c r="E8287" t="str">
        <f t="shared" si="1529"/>
        <v>1</v>
      </c>
      <c r="F8287" t="str">
        <f t="shared" si="1531"/>
        <v>COM</v>
      </c>
      <c r="G8287" t="str">
        <f>"GERALDO SEVERINO DE SANTANA (729)"</f>
        <v>GERALDO SEVERINO DE SANTANA (729)</v>
      </c>
      <c r="H8287" t="str">
        <f>"Serv.Prest. 13/10/2025 a 19/10/2025 - PIX: CELULAR - CHAVE: (43) 99934-1696"</f>
        <v>Serv.Prest. 13/10/2025 a 19/10/2025 - PIX: CELULAR - CHAVE: (43) 99934-1696</v>
      </c>
      <c r="I8287" t="str">
        <f t="shared" si="1535"/>
        <v>30/10/2025</v>
      </c>
      <c r="J8287" t="str">
        <f t="shared" si="1532"/>
        <v>24/10/2025</v>
      </c>
      <c r="K8287" t="str">
        <f>("30/10/2025")</f>
        <v>30/10/2025</v>
      </c>
      <c r="L8287">
        <v>88.2</v>
      </c>
      <c r="M8287">
        <v>88.2</v>
      </c>
      <c r="N8287">
        <v>109</v>
      </c>
      <c r="O8287" t="str">
        <f>"PAGAMENTO DE ENTREGADORES"</f>
        <v>PAGAMENTO DE ENTREGADORES</v>
      </c>
      <c r="P8287">
        <v>88.2</v>
      </c>
      <c r="S8287" t="str">
        <f>"BANCO C6 (149)"</f>
        <v>BANCO C6 (149)</v>
      </c>
      <c r="T8287">
        <v>22095</v>
      </c>
      <c r="U8287">
        <v>24181</v>
      </c>
      <c r="V8287" t="s">
        <v>77</v>
      </c>
    </row>
    <row r="8288" spans="1:22">
      <c r="A8288" t="str">
        <f t="shared" si="1533"/>
        <v>30/10/2025</v>
      </c>
      <c r="B8288" t="str">
        <f t="shared" si="1534"/>
        <v>SAÍDA</v>
      </c>
      <c r="C8288" t="str">
        <f t="shared" si="1536"/>
        <v>PIX</v>
      </c>
      <c r="D8288" t="str">
        <f>"24181"</f>
        <v>24181</v>
      </c>
      <c r="E8288" t="str">
        <f t="shared" si="1529"/>
        <v>1</v>
      </c>
      <c r="F8288" t="str">
        <f t="shared" si="1531"/>
        <v>COM</v>
      </c>
      <c r="G8288" t="str">
        <f>"GERALDO SEVERINO DE SANTANA (729)"</f>
        <v>GERALDO SEVERINO DE SANTANA (729)</v>
      </c>
      <c r="H8288" t="s">
        <v>2335</v>
      </c>
      <c r="I8288" t="str">
        <f t="shared" si="1535"/>
        <v>30/10/2025</v>
      </c>
      <c r="J8288" t="str">
        <f t="shared" si="1532"/>
        <v>24/10/2025</v>
      </c>
      <c r="K8288">
        <v>45960</v>
      </c>
      <c r="N8288">
        <v>109</v>
      </c>
      <c r="O8288" t="s">
        <v>24</v>
      </c>
      <c r="Q8288">
        <v>88.2</v>
      </c>
      <c r="R8288" t="str">
        <f>"AC FARMA - FLEMINFARMA 5 (10183)"</f>
        <v>AC FARMA - FLEMINFARMA 5 (10183)</v>
      </c>
      <c r="S8288" t="s">
        <v>77</v>
      </c>
      <c r="T8288">
        <v>22095</v>
      </c>
      <c r="U8288">
        <v>24181</v>
      </c>
      <c r="V8288" t="s">
        <v>77</v>
      </c>
    </row>
    <row r="8289" spans="1:22">
      <c r="A8289" t="str">
        <f t="shared" si="1533"/>
        <v>30/10/2025</v>
      </c>
      <c r="B8289" t="str">
        <f t="shared" si="1534"/>
        <v>SAÍDA</v>
      </c>
      <c r="C8289" t="str">
        <f t="shared" si="1536"/>
        <v>PIX</v>
      </c>
      <c r="D8289" t="str">
        <f>"24182"</f>
        <v>24182</v>
      </c>
      <c r="E8289" t="str">
        <f t="shared" si="1529"/>
        <v>1</v>
      </c>
      <c r="F8289" t="str">
        <f t="shared" si="1531"/>
        <v>COM</v>
      </c>
      <c r="G8289" t="str">
        <f>"HELITON DE OLIVEIRA RAMOS BARBOSA (724)"</f>
        <v>HELITON DE OLIVEIRA RAMOS BARBOSA (724)</v>
      </c>
      <c r="H8289" t="str">
        <f>"Serv.Prest. 13/10/2025 a 19/10/2025 - PIX: CPF - CHAVE: 074.604.219-10"</f>
        <v>Serv.Prest. 13/10/2025 a 19/10/2025 - PIX: CPF - CHAVE: 074.604.219-10</v>
      </c>
      <c r="I8289" t="str">
        <f t="shared" si="1535"/>
        <v>30/10/2025</v>
      </c>
      <c r="J8289" t="str">
        <f t="shared" si="1532"/>
        <v>24/10/2025</v>
      </c>
      <c r="K8289" t="str">
        <f>("30/10/2025")</f>
        <v>30/10/2025</v>
      </c>
      <c r="L8289">
        <v>113.4</v>
      </c>
      <c r="M8289">
        <v>113.4</v>
      </c>
      <c r="N8289">
        <v>109</v>
      </c>
      <c r="O8289" t="str">
        <f>"PAGAMENTO DE ENTREGADORES"</f>
        <v>PAGAMENTO DE ENTREGADORES</v>
      </c>
      <c r="P8289">
        <v>113.4</v>
      </c>
      <c r="S8289" t="str">
        <f>"BANCO C6 (149)"</f>
        <v>BANCO C6 (149)</v>
      </c>
      <c r="T8289">
        <v>22096</v>
      </c>
      <c r="U8289">
        <v>24182</v>
      </c>
      <c r="V8289" t="s">
        <v>77</v>
      </c>
    </row>
    <row r="8290" spans="1:22">
      <c r="A8290" t="str">
        <f t="shared" si="1533"/>
        <v>30/10/2025</v>
      </c>
      <c r="B8290" t="str">
        <f t="shared" si="1534"/>
        <v>SAÍDA</v>
      </c>
      <c r="C8290" t="str">
        <f t="shared" si="1536"/>
        <v>PIX</v>
      </c>
      <c r="D8290" t="str">
        <f>"24182"</f>
        <v>24182</v>
      </c>
      <c r="E8290" t="str">
        <f t="shared" si="1529"/>
        <v>1</v>
      </c>
      <c r="F8290" t="str">
        <f t="shared" si="1531"/>
        <v>COM</v>
      </c>
      <c r="G8290" t="str">
        <f>"HELITON DE OLIVEIRA RAMOS BARBOSA (724)"</f>
        <v>HELITON DE OLIVEIRA RAMOS BARBOSA (724)</v>
      </c>
      <c r="H8290" t="s">
        <v>2336</v>
      </c>
      <c r="I8290" t="str">
        <f t="shared" si="1535"/>
        <v>30/10/2025</v>
      </c>
      <c r="J8290" t="str">
        <f t="shared" si="1532"/>
        <v>24/10/2025</v>
      </c>
      <c r="K8290">
        <v>45960</v>
      </c>
      <c r="N8290">
        <v>109</v>
      </c>
      <c r="O8290" t="s">
        <v>24</v>
      </c>
      <c r="Q8290">
        <v>113.4</v>
      </c>
      <c r="R8290" t="str">
        <f>"AC FARMA - FLEMINFARMA 5 (10183)"</f>
        <v>AC FARMA - FLEMINFARMA 5 (10183)</v>
      </c>
      <c r="S8290" t="s">
        <v>77</v>
      </c>
      <c r="T8290">
        <v>22096</v>
      </c>
      <c r="U8290">
        <v>24182</v>
      </c>
      <c r="V8290" t="s">
        <v>77</v>
      </c>
    </row>
    <row r="8291" spans="1:22">
      <c r="A8291" t="str">
        <f t="shared" si="1533"/>
        <v>30/10/2025</v>
      </c>
      <c r="B8291" t="str">
        <f t="shared" si="1534"/>
        <v>SAÍDA</v>
      </c>
      <c r="C8291" t="str">
        <f t="shared" si="1536"/>
        <v>PIX</v>
      </c>
      <c r="D8291" t="str">
        <f>"3010"</f>
        <v>3010</v>
      </c>
      <c r="E8291" t="str">
        <f>"25"</f>
        <v>25</v>
      </c>
      <c r="F8291" t="str">
        <f t="shared" si="1531"/>
        <v>COM</v>
      </c>
      <c r="G8291" t="str">
        <f>"RICARDO NASCIMENTO DE SOUZA (146)"</f>
        <v>RICARDO NASCIMENTO DE SOUZA (146)</v>
      </c>
      <c r="H8291" t="str">
        <f>"DEVOLUCAO 23 COTA COOPERATIVA - PIX: CELULAR - CHAVE: (31) 98891-8440"</f>
        <v>DEVOLUCAO 23 COTA COOPERATIVA - PIX: CELULAR - CHAVE: (31) 98891-8440</v>
      </c>
      <c r="I8291" t="str">
        <f t="shared" si="1535"/>
        <v>30/10/2025</v>
      </c>
      <c r="J8291" t="str">
        <f>("22/10/2025")</f>
        <v>22/10/2025</v>
      </c>
      <c r="K8291" t="str">
        <f>("30/10/2025")</f>
        <v>30/10/2025</v>
      </c>
      <c r="L8291">
        <v>460</v>
      </c>
      <c r="M8291">
        <v>460</v>
      </c>
      <c r="N8291">
        <v>130</v>
      </c>
      <c r="O8291" t="str">
        <f>"DEVOLUÇÃO COTA COOPERATIVA"</f>
        <v>DEVOLUÇÃO COTA COOPERATIVA</v>
      </c>
      <c r="P8291">
        <v>460</v>
      </c>
      <c r="S8291" t="str">
        <f>"BANCO C6 (149)"</f>
        <v>BANCO C6 (149)</v>
      </c>
      <c r="T8291">
        <v>22097</v>
      </c>
      <c r="U8291">
        <v>24512</v>
      </c>
      <c r="V8291" t="s">
        <v>77</v>
      </c>
    </row>
    <row r="8292" spans="1:22">
      <c r="A8292" t="str">
        <f t="shared" si="1533"/>
        <v>30/10/2025</v>
      </c>
      <c r="B8292" t="str">
        <f t="shared" si="1534"/>
        <v>SAÍDA</v>
      </c>
      <c r="C8292" t="str">
        <f t="shared" si="1536"/>
        <v>PIX</v>
      </c>
      <c r="D8292" t="str">
        <f>"24274"</f>
        <v>24274</v>
      </c>
      <c r="E8292" t="str">
        <f t="shared" ref="E8292:E8355" si="1537">"1"</f>
        <v>1</v>
      </c>
      <c r="F8292" t="str">
        <f t="shared" si="1531"/>
        <v>COM</v>
      </c>
      <c r="G8292" t="str">
        <f>"WANDERSON JÚNIOR SOARES (628)"</f>
        <v>WANDERSON JÚNIOR SOARES (628)</v>
      </c>
      <c r="H8292" t="str">
        <f>"Serv.Prest. 20/10/2025 a 24/10/2025 - PIX: CPF - CHAVE: 170.180.266-01"</f>
        <v>Serv.Prest. 20/10/2025 a 24/10/2025 - PIX: CPF - CHAVE: 170.180.266-01</v>
      </c>
      <c r="I8292" t="str">
        <f t="shared" si="1535"/>
        <v>30/10/2025</v>
      </c>
      <c r="J8292" t="str">
        <f t="shared" ref="J8292:J8297" si="1538">("24/10/2025")</f>
        <v>24/10/2025</v>
      </c>
      <c r="K8292" t="str">
        <f>("30/10/2025")</f>
        <v>30/10/2025</v>
      </c>
      <c r="L8292">
        <v>1100</v>
      </c>
      <c r="M8292">
        <v>1100</v>
      </c>
      <c r="N8292">
        <v>109</v>
      </c>
      <c r="O8292" t="str">
        <f>"PAGAMENTO DE ENTREGADORES"</f>
        <v>PAGAMENTO DE ENTREGADORES</v>
      </c>
      <c r="P8292">
        <v>1100</v>
      </c>
      <c r="S8292" t="str">
        <f>"BANCO C6 (149)"</f>
        <v>BANCO C6 (149)</v>
      </c>
      <c r="T8292">
        <v>22098</v>
      </c>
      <c r="U8292">
        <v>24274</v>
      </c>
      <c r="V8292" t="s">
        <v>77</v>
      </c>
    </row>
    <row r="8293" spans="1:22">
      <c r="A8293" t="str">
        <f t="shared" si="1533"/>
        <v>30/10/2025</v>
      </c>
      <c r="B8293" t="str">
        <f t="shared" si="1534"/>
        <v>SAÍDA</v>
      </c>
      <c r="C8293" t="str">
        <f t="shared" si="1536"/>
        <v>PIX</v>
      </c>
      <c r="D8293" t="str">
        <f>"24274"</f>
        <v>24274</v>
      </c>
      <c r="E8293" t="str">
        <f t="shared" si="1537"/>
        <v>1</v>
      </c>
      <c r="F8293" t="str">
        <f t="shared" si="1531"/>
        <v>COM</v>
      </c>
      <c r="G8293" t="str">
        <f>"WANDERSON JÚNIOR SOARES (628)"</f>
        <v>WANDERSON JÚNIOR SOARES (628)</v>
      </c>
      <c r="H8293" t="s">
        <v>2338</v>
      </c>
      <c r="I8293" t="str">
        <f t="shared" si="1535"/>
        <v>30/10/2025</v>
      </c>
      <c r="J8293" t="str">
        <f t="shared" si="1538"/>
        <v>24/10/2025</v>
      </c>
      <c r="K8293">
        <v>45960</v>
      </c>
      <c r="N8293">
        <v>109</v>
      </c>
      <c r="O8293" t="s">
        <v>24</v>
      </c>
      <c r="Q8293">
        <v>1100</v>
      </c>
      <c r="R8293" t="str">
        <f>"FARMÁCIA INDIANA LJ 110 (10048)"</f>
        <v>FARMÁCIA INDIANA LJ 110 (10048)</v>
      </c>
      <c r="S8293" t="s">
        <v>77</v>
      </c>
      <c r="T8293">
        <v>22098</v>
      </c>
      <c r="U8293">
        <v>24274</v>
      </c>
      <c r="V8293" t="s">
        <v>77</v>
      </c>
    </row>
    <row r="8294" spans="1:22">
      <c r="A8294" t="str">
        <f t="shared" si="1533"/>
        <v>30/10/2025</v>
      </c>
      <c r="B8294" t="str">
        <f t="shared" si="1534"/>
        <v>SAÍDA</v>
      </c>
      <c r="C8294" t="str">
        <f t="shared" si="1536"/>
        <v>PIX</v>
      </c>
      <c r="D8294" t="str">
        <f>"24276"</f>
        <v>24276</v>
      </c>
      <c r="E8294" t="str">
        <f t="shared" si="1537"/>
        <v>1</v>
      </c>
      <c r="F8294" t="str">
        <f t="shared" si="1531"/>
        <v>COM</v>
      </c>
      <c r="G8294" t="str">
        <f>"WEIGNE SENA CARDOSO (53)"</f>
        <v>WEIGNE SENA CARDOSO (53)</v>
      </c>
      <c r="H8294" t="str">
        <f>"Serv.Prest. 20/10/2025 a 24/10/2025 - PIX: CPF - CHAVE: 097.245.586-81"</f>
        <v>Serv.Prest. 20/10/2025 a 24/10/2025 - PIX: CPF - CHAVE: 097.245.586-81</v>
      </c>
      <c r="I8294" t="str">
        <f t="shared" si="1535"/>
        <v>30/10/2025</v>
      </c>
      <c r="J8294" t="str">
        <f t="shared" si="1538"/>
        <v>24/10/2025</v>
      </c>
      <c r="K8294" t="str">
        <f>("30/10/2025")</f>
        <v>30/10/2025</v>
      </c>
      <c r="L8294">
        <v>324</v>
      </c>
      <c r="M8294">
        <v>324</v>
      </c>
      <c r="N8294">
        <v>109</v>
      </c>
      <c r="O8294" t="str">
        <f>"PAGAMENTO DE ENTREGADORES"</f>
        <v>PAGAMENTO DE ENTREGADORES</v>
      </c>
      <c r="P8294">
        <v>324</v>
      </c>
      <c r="S8294" t="str">
        <f>"BANCO C6 (149)"</f>
        <v>BANCO C6 (149)</v>
      </c>
      <c r="T8294">
        <v>22099</v>
      </c>
      <c r="U8294">
        <v>24276</v>
      </c>
      <c r="V8294" t="s">
        <v>77</v>
      </c>
    </row>
    <row r="8295" spans="1:22">
      <c r="A8295" t="str">
        <f t="shared" si="1533"/>
        <v>30/10/2025</v>
      </c>
      <c r="B8295" t="str">
        <f t="shared" si="1534"/>
        <v>SAÍDA</v>
      </c>
      <c r="C8295" t="str">
        <f t="shared" si="1536"/>
        <v>PIX</v>
      </c>
      <c r="D8295" t="str">
        <f>"24276"</f>
        <v>24276</v>
      </c>
      <c r="E8295" t="str">
        <f t="shared" si="1537"/>
        <v>1</v>
      </c>
      <c r="F8295" t="str">
        <f t="shared" si="1531"/>
        <v>COM</v>
      </c>
      <c r="G8295" t="str">
        <f>"WEIGNE SENA CARDOSO (53)"</f>
        <v>WEIGNE SENA CARDOSO (53)</v>
      </c>
      <c r="H8295" t="s">
        <v>2339</v>
      </c>
      <c r="I8295" t="str">
        <f t="shared" si="1535"/>
        <v>30/10/2025</v>
      </c>
      <c r="J8295" t="str">
        <f t="shared" si="1538"/>
        <v>24/10/2025</v>
      </c>
      <c r="K8295">
        <v>45960</v>
      </c>
      <c r="N8295">
        <v>109</v>
      </c>
      <c r="O8295" t="s">
        <v>24</v>
      </c>
      <c r="Q8295">
        <v>324</v>
      </c>
      <c r="R8295" t="str">
        <f>"FARMÁCIA INDIANA LJ 07 (10007)"</f>
        <v>FARMÁCIA INDIANA LJ 07 (10007)</v>
      </c>
      <c r="S8295" t="s">
        <v>77</v>
      </c>
      <c r="T8295">
        <v>22099</v>
      </c>
      <c r="U8295">
        <v>24276</v>
      </c>
      <c r="V8295" t="s">
        <v>77</v>
      </c>
    </row>
    <row r="8296" spans="1:22">
      <c r="A8296" t="str">
        <f t="shared" si="1533"/>
        <v>30/10/2025</v>
      </c>
      <c r="B8296" t="str">
        <f t="shared" si="1534"/>
        <v>SAÍDA</v>
      </c>
      <c r="C8296" t="str">
        <f t="shared" si="1536"/>
        <v>PIX</v>
      </c>
      <c r="D8296" t="str">
        <f>"24318"</f>
        <v>24318</v>
      </c>
      <c r="E8296" t="str">
        <f t="shared" si="1537"/>
        <v>1</v>
      </c>
      <c r="F8296" t="str">
        <f t="shared" si="1531"/>
        <v>COM</v>
      </c>
      <c r="G8296" t="str">
        <f>"REGINALDO PEREIRA DE ASSIS (81)"</f>
        <v>REGINALDO PEREIRA DE ASSIS (81)</v>
      </c>
      <c r="H8296" t="str">
        <f>"Serv.Prest. 20/10/2025 a 24/10/2025 - PIX: CELULAR - CHAVE: (27) 99916-8443"</f>
        <v>Serv.Prest. 20/10/2025 a 24/10/2025 - PIX: CELULAR - CHAVE: (27) 99916-8443</v>
      </c>
      <c r="I8296" t="str">
        <f t="shared" si="1535"/>
        <v>30/10/2025</v>
      </c>
      <c r="J8296" t="str">
        <f t="shared" si="1538"/>
        <v>24/10/2025</v>
      </c>
      <c r="K8296" t="str">
        <f>("30/10/2025")</f>
        <v>30/10/2025</v>
      </c>
      <c r="L8296">
        <v>2420</v>
      </c>
      <c r="M8296">
        <v>2025</v>
      </c>
      <c r="N8296">
        <v>109</v>
      </c>
      <c r="O8296" t="str">
        <f>"PAGAMENTO DE ENTREGADORES"</f>
        <v>PAGAMENTO DE ENTREGADORES</v>
      </c>
      <c r="P8296">
        <v>2025</v>
      </c>
      <c r="S8296" t="str">
        <f>"BANCO C6 (149)"</f>
        <v>BANCO C6 (149)</v>
      </c>
      <c r="T8296">
        <v>22100</v>
      </c>
      <c r="U8296">
        <v>24318</v>
      </c>
      <c r="V8296" t="s">
        <v>77</v>
      </c>
    </row>
    <row r="8297" spans="1:22">
      <c r="A8297" t="str">
        <f t="shared" si="1533"/>
        <v>30/10/2025</v>
      </c>
      <c r="B8297" t="str">
        <f t="shared" si="1534"/>
        <v>SAÍDA</v>
      </c>
      <c r="C8297" t="str">
        <f t="shared" si="1536"/>
        <v>PIX</v>
      </c>
      <c r="D8297" t="str">
        <f>"24318"</f>
        <v>24318</v>
      </c>
      <c r="E8297" t="str">
        <f t="shared" si="1537"/>
        <v>1</v>
      </c>
      <c r="F8297" t="str">
        <f t="shared" si="1531"/>
        <v>COM</v>
      </c>
      <c r="G8297" t="str">
        <f>"REGINALDO PEREIRA DE ASSIS (81)"</f>
        <v>REGINALDO PEREIRA DE ASSIS (81)</v>
      </c>
      <c r="H8297" t="s">
        <v>2340</v>
      </c>
      <c r="I8297" t="str">
        <f t="shared" si="1535"/>
        <v>30/10/2025</v>
      </c>
      <c r="J8297" t="str">
        <f t="shared" si="1538"/>
        <v>24/10/2025</v>
      </c>
      <c r="K8297">
        <v>45960</v>
      </c>
      <c r="N8297">
        <v>109</v>
      </c>
      <c r="O8297" t="s">
        <v>24</v>
      </c>
      <c r="Q8297">
        <v>2025</v>
      </c>
      <c r="R8297" t="str">
        <f>"FARMÁCIA INDIANA LJ 119 (10053)"</f>
        <v>FARMÁCIA INDIANA LJ 119 (10053)</v>
      </c>
      <c r="S8297" t="s">
        <v>77</v>
      </c>
      <c r="T8297">
        <v>22100</v>
      </c>
      <c r="U8297">
        <v>24318</v>
      </c>
      <c r="V8297" t="s">
        <v>77</v>
      </c>
    </row>
    <row r="8298" spans="1:22">
      <c r="A8298" t="str">
        <f t="shared" si="1533"/>
        <v>30/10/2025</v>
      </c>
      <c r="B8298" t="str">
        <f t="shared" si="1534"/>
        <v>SAÍDA</v>
      </c>
      <c r="C8298" t="str">
        <f t="shared" si="1536"/>
        <v>PIX</v>
      </c>
      <c r="D8298" t="str">
        <f>"24110"</f>
        <v>24110</v>
      </c>
      <c r="E8298" t="str">
        <f t="shared" si="1537"/>
        <v>1</v>
      </c>
      <c r="F8298" t="str">
        <f t="shared" si="1531"/>
        <v>COM</v>
      </c>
      <c r="G8298" t="str">
        <f>"CLEIDIVAN SALOMÃO DOS SANTOS (982)"</f>
        <v>CLEIDIVAN SALOMÃO DOS SANTOS (982)</v>
      </c>
      <c r="H8298" t="str">
        <f>"Serv.Prest. 13/10/2025 a 19/10/2025 - PIX: CPF - CHAVE: 077.317.327-70"</f>
        <v>Serv.Prest. 13/10/2025 a 19/10/2025 - PIX: CPF - CHAVE: 077.317.327-70</v>
      </c>
      <c r="I8298" t="str">
        <f t="shared" si="1535"/>
        <v>30/10/2025</v>
      </c>
      <c r="J8298" t="str">
        <f>("21/10/2025")</f>
        <v>21/10/2025</v>
      </c>
      <c r="K8298" t="str">
        <f>("30/10/2025")</f>
        <v>30/10/2025</v>
      </c>
      <c r="L8298">
        <v>517</v>
      </c>
      <c r="M8298">
        <v>517</v>
      </c>
      <c r="N8298">
        <v>109</v>
      </c>
      <c r="O8298" t="str">
        <f>"PAGAMENTO DE ENTREGADORES"</f>
        <v>PAGAMENTO DE ENTREGADORES</v>
      </c>
      <c r="P8298">
        <v>517</v>
      </c>
      <c r="S8298" t="str">
        <f>"BANCO C6 (149)"</f>
        <v>BANCO C6 (149)</v>
      </c>
      <c r="T8298">
        <v>22101</v>
      </c>
      <c r="U8298">
        <v>24320</v>
      </c>
      <c r="V8298" t="s">
        <v>77</v>
      </c>
    </row>
    <row r="8299" spans="1:22">
      <c r="A8299" t="str">
        <f t="shared" si="1533"/>
        <v>30/10/2025</v>
      </c>
      <c r="B8299" t="str">
        <f t="shared" si="1534"/>
        <v>SAÍDA</v>
      </c>
      <c r="C8299" t="str">
        <f t="shared" si="1536"/>
        <v>PIX</v>
      </c>
      <c r="D8299" t="str">
        <f>"24110"</f>
        <v>24110</v>
      </c>
      <c r="E8299" t="str">
        <f t="shared" si="1537"/>
        <v>1</v>
      </c>
      <c r="F8299" t="str">
        <f t="shared" si="1531"/>
        <v>COM</v>
      </c>
      <c r="G8299" t="str">
        <f>"CLEIDIVAN SALOMÃO DOS SANTOS (982)"</f>
        <v>CLEIDIVAN SALOMÃO DOS SANTOS (982)</v>
      </c>
      <c r="H8299" t="s">
        <v>2003</v>
      </c>
      <c r="I8299" t="str">
        <f t="shared" si="1535"/>
        <v>30/10/2025</v>
      </c>
      <c r="J8299" t="str">
        <f>("21/10/2025")</f>
        <v>21/10/2025</v>
      </c>
      <c r="K8299">
        <v>45960</v>
      </c>
      <c r="N8299">
        <v>109</v>
      </c>
      <c r="O8299" t="s">
        <v>24</v>
      </c>
      <c r="Q8299">
        <v>98.49</v>
      </c>
      <c r="R8299" t="str">
        <f>"FARMÁCIA INDIANA LJ 243 (10142)"</f>
        <v>FARMÁCIA INDIANA LJ 243 (10142)</v>
      </c>
      <c r="S8299" t="s">
        <v>77</v>
      </c>
      <c r="T8299">
        <v>22101</v>
      </c>
      <c r="U8299">
        <v>24320</v>
      </c>
      <c r="V8299" t="s">
        <v>77</v>
      </c>
    </row>
    <row r="8300" spans="1:22">
      <c r="A8300" t="str">
        <f t="shared" si="1533"/>
        <v>30/10/2025</v>
      </c>
      <c r="B8300" t="str">
        <f t="shared" si="1534"/>
        <v>SAÍDA</v>
      </c>
      <c r="C8300" t="str">
        <f t="shared" si="1536"/>
        <v>PIX</v>
      </c>
      <c r="D8300" t="str">
        <f>"24110"</f>
        <v>24110</v>
      </c>
      <c r="E8300" t="str">
        <f t="shared" si="1537"/>
        <v>1</v>
      </c>
      <c r="F8300" t="str">
        <f t="shared" si="1531"/>
        <v>COM</v>
      </c>
      <c r="G8300" t="str">
        <f>"CLEIDIVAN SALOMÃO DOS SANTOS (982)"</f>
        <v>CLEIDIVAN SALOMÃO DOS SANTOS (982)</v>
      </c>
      <c r="H8300" t="s">
        <v>2003</v>
      </c>
      <c r="I8300" t="str">
        <f t="shared" si="1535"/>
        <v>30/10/2025</v>
      </c>
      <c r="J8300" t="str">
        <f>("21/10/2025")</f>
        <v>21/10/2025</v>
      </c>
      <c r="K8300">
        <v>45960</v>
      </c>
      <c r="N8300">
        <v>109</v>
      </c>
      <c r="O8300" t="s">
        <v>24</v>
      </c>
      <c r="Q8300">
        <v>418.51</v>
      </c>
      <c r="R8300" t="str">
        <f>"FARMÁCIA INDIANA LJ 235 (10190)"</f>
        <v>FARMÁCIA INDIANA LJ 235 (10190)</v>
      </c>
      <c r="S8300" t="s">
        <v>77</v>
      </c>
      <c r="T8300">
        <v>22101</v>
      </c>
      <c r="U8300">
        <v>24320</v>
      </c>
      <c r="V8300" t="s">
        <v>77</v>
      </c>
    </row>
    <row r="8301" spans="1:22">
      <c r="A8301" t="str">
        <f t="shared" si="1533"/>
        <v>30/10/2025</v>
      </c>
      <c r="B8301" t="str">
        <f t="shared" si="1534"/>
        <v>SAÍDA</v>
      </c>
      <c r="C8301" t="str">
        <f t="shared" si="1536"/>
        <v>PIX</v>
      </c>
      <c r="D8301" t="str">
        <f>"24338"</f>
        <v>24338</v>
      </c>
      <c r="E8301" t="str">
        <f t="shared" si="1537"/>
        <v>1</v>
      </c>
      <c r="F8301" t="str">
        <f t="shared" si="1531"/>
        <v>COM</v>
      </c>
      <c r="G8301" t="str">
        <f>"JOSÉ HENRIQUE RODRIGUES (430)"</f>
        <v>JOSÉ HENRIQUE RODRIGUES (430)</v>
      </c>
      <c r="H8301" t="str">
        <f>"Serv.Prest. 20/10/2025 a 26/10/2025 - PIX: CPF - CHAVE: 100.826.516-04"</f>
        <v>Serv.Prest. 20/10/2025 a 26/10/2025 - PIX: CPF - CHAVE: 100.826.516-04</v>
      </c>
      <c r="I8301" t="str">
        <f t="shared" si="1535"/>
        <v>30/10/2025</v>
      </c>
      <c r="J8301" t="str">
        <f t="shared" ref="J8301:J8332" si="1539">("27/10/2025")</f>
        <v>27/10/2025</v>
      </c>
      <c r="K8301" t="str">
        <f>("30/10/2025")</f>
        <v>30/10/2025</v>
      </c>
      <c r="L8301">
        <v>900</v>
      </c>
      <c r="M8301">
        <v>900</v>
      </c>
      <c r="N8301">
        <v>109</v>
      </c>
      <c r="O8301" t="str">
        <f>"PAGAMENTO DE ENTREGADORES"</f>
        <v>PAGAMENTO DE ENTREGADORES</v>
      </c>
      <c r="P8301">
        <v>900</v>
      </c>
      <c r="S8301" t="str">
        <f>"BANCO C6 (149)"</f>
        <v>BANCO C6 (149)</v>
      </c>
      <c r="T8301">
        <v>22102</v>
      </c>
      <c r="U8301">
        <v>24338</v>
      </c>
      <c r="V8301" t="s">
        <v>77</v>
      </c>
    </row>
    <row r="8302" spans="1:22">
      <c r="A8302" t="str">
        <f t="shared" si="1533"/>
        <v>30/10/2025</v>
      </c>
      <c r="B8302" t="str">
        <f t="shared" si="1534"/>
        <v>SAÍDA</v>
      </c>
      <c r="C8302" t="str">
        <f t="shared" si="1536"/>
        <v>PIX</v>
      </c>
      <c r="D8302" t="str">
        <f>"24338"</f>
        <v>24338</v>
      </c>
      <c r="E8302" t="str">
        <f t="shared" si="1537"/>
        <v>1</v>
      </c>
      <c r="F8302" t="str">
        <f t="shared" si="1531"/>
        <v>COM</v>
      </c>
      <c r="G8302" t="str">
        <f>"JOSÉ HENRIQUE RODRIGUES (430)"</f>
        <v>JOSÉ HENRIQUE RODRIGUES (430)</v>
      </c>
      <c r="H8302" t="s">
        <v>2341</v>
      </c>
      <c r="I8302" t="str">
        <f t="shared" si="1535"/>
        <v>30/10/2025</v>
      </c>
      <c r="J8302" t="str">
        <f t="shared" si="1539"/>
        <v>27/10/2025</v>
      </c>
      <c r="K8302">
        <v>45960</v>
      </c>
      <c r="N8302">
        <v>109</v>
      </c>
      <c r="O8302" t="s">
        <v>24</v>
      </c>
      <c r="Q8302">
        <v>900</v>
      </c>
      <c r="R8302" t="str">
        <f>"PAGMENOS - LJ 608 (10135)"</f>
        <v>PAGMENOS - LJ 608 (10135)</v>
      </c>
      <c r="S8302" t="s">
        <v>77</v>
      </c>
      <c r="T8302">
        <v>22102</v>
      </c>
      <c r="U8302">
        <v>24338</v>
      </c>
      <c r="V8302" t="s">
        <v>77</v>
      </c>
    </row>
    <row r="8303" spans="1:22">
      <c r="A8303" t="str">
        <f t="shared" si="1533"/>
        <v>30/10/2025</v>
      </c>
      <c r="B8303" t="str">
        <f t="shared" si="1534"/>
        <v>SAÍDA</v>
      </c>
      <c r="C8303" t="str">
        <f t="shared" si="1536"/>
        <v>PIX</v>
      </c>
      <c r="D8303" t="str">
        <f>"24339"</f>
        <v>24339</v>
      </c>
      <c r="E8303" t="str">
        <f t="shared" si="1537"/>
        <v>1</v>
      </c>
      <c r="F8303" t="str">
        <f t="shared" si="1531"/>
        <v>COM</v>
      </c>
      <c r="G8303" t="str">
        <f>"TALES SILVA MARIANO (431)"</f>
        <v>TALES SILVA MARIANO (431)</v>
      </c>
      <c r="H8303" t="str">
        <f>"Serv.Prest. 20/10/2025 a 26/10/2025 - PIX: CPF - CHAVE: 126.686.406-79"</f>
        <v>Serv.Prest. 20/10/2025 a 26/10/2025 - PIX: CPF - CHAVE: 126.686.406-79</v>
      </c>
      <c r="I8303" t="str">
        <f t="shared" si="1535"/>
        <v>30/10/2025</v>
      </c>
      <c r="J8303" t="str">
        <f t="shared" si="1539"/>
        <v>27/10/2025</v>
      </c>
      <c r="K8303" t="str">
        <f>("30/10/2025")</f>
        <v>30/10/2025</v>
      </c>
      <c r="L8303">
        <v>900</v>
      </c>
      <c r="M8303">
        <v>900</v>
      </c>
      <c r="N8303">
        <v>109</v>
      </c>
      <c r="O8303" t="str">
        <f>"PAGAMENTO DE ENTREGADORES"</f>
        <v>PAGAMENTO DE ENTREGADORES</v>
      </c>
      <c r="P8303">
        <v>900</v>
      </c>
      <c r="S8303" t="str">
        <f>"BANCO C6 (149)"</f>
        <v>BANCO C6 (149)</v>
      </c>
      <c r="T8303">
        <v>22103</v>
      </c>
      <c r="U8303">
        <v>24339</v>
      </c>
      <c r="V8303" t="s">
        <v>77</v>
      </c>
    </row>
    <row r="8304" spans="1:22">
      <c r="A8304" t="str">
        <f t="shared" si="1533"/>
        <v>30/10/2025</v>
      </c>
      <c r="B8304" t="str">
        <f t="shared" si="1534"/>
        <v>SAÍDA</v>
      </c>
      <c r="C8304" t="str">
        <f t="shared" si="1536"/>
        <v>PIX</v>
      </c>
      <c r="D8304" t="str">
        <f>"24339"</f>
        <v>24339</v>
      </c>
      <c r="E8304" t="str">
        <f t="shared" si="1537"/>
        <v>1</v>
      </c>
      <c r="F8304" t="str">
        <f t="shared" si="1531"/>
        <v>COM</v>
      </c>
      <c r="G8304" t="str">
        <f>"TALES SILVA MARIANO (431)"</f>
        <v>TALES SILVA MARIANO (431)</v>
      </c>
      <c r="H8304" t="s">
        <v>2342</v>
      </c>
      <c r="I8304" t="str">
        <f t="shared" si="1535"/>
        <v>30/10/2025</v>
      </c>
      <c r="J8304" t="str">
        <f t="shared" si="1539"/>
        <v>27/10/2025</v>
      </c>
      <c r="K8304">
        <v>45960</v>
      </c>
      <c r="N8304">
        <v>109</v>
      </c>
      <c r="O8304" t="s">
        <v>24</v>
      </c>
      <c r="Q8304">
        <v>900</v>
      </c>
      <c r="R8304" t="str">
        <f>"PAGMENOS - LJ 608 (10135)"</f>
        <v>PAGMENOS - LJ 608 (10135)</v>
      </c>
      <c r="S8304" t="s">
        <v>77</v>
      </c>
      <c r="T8304">
        <v>22103</v>
      </c>
      <c r="U8304">
        <v>24339</v>
      </c>
      <c r="V8304" t="s">
        <v>77</v>
      </c>
    </row>
    <row r="8305" spans="1:22">
      <c r="A8305" t="str">
        <f t="shared" si="1533"/>
        <v>30/10/2025</v>
      </c>
      <c r="B8305" t="str">
        <f t="shared" si="1534"/>
        <v>SAÍDA</v>
      </c>
      <c r="C8305" t="str">
        <f t="shared" si="1536"/>
        <v>PIX</v>
      </c>
      <c r="D8305" t="str">
        <f>"24341"</f>
        <v>24341</v>
      </c>
      <c r="E8305" t="str">
        <f t="shared" si="1537"/>
        <v>1</v>
      </c>
      <c r="F8305" t="str">
        <f t="shared" si="1531"/>
        <v>COM</v>
      </c>
      <c r="G8305" t="str">
        <f>"WILIANA RODRIGUES E RODRIGUES (398)"</f>
        <v>WILIANA RODRIGUES E RODRIGUES (398)</v>
      </c>
      <c r="H8305" t="str">
        <f>"Serv.Prest. 20/10/2025 a 26/10/2025 - PIX: CPF - CHAVE: 016.203.336-27"</f>
        <v>Serv.Prest. 20/10/2025 a 26/10/2025 - PIX: CPF - CHAVE: 016.203.336-27</v>
      </c>
      <c r="I8305" t="str">
        <f t="shared" si="1535"/>
        <v>30/10/2025</v>
      </c>
      <c r="J8305" t="str">
        <f t="shared" si="1539"/>
        <v>27/10/2025</v>
      </c>
      <c r="K8305" t="str">
        <f>("30/10/2025")</f>
        <v>30/10/2025</v>
      </c>
      <c r="L8305">
        <v>1200</v>
      </c>
      <c r="M8305">
        <v>1200</v>
      </c>
      <c r="N8305">
        <v>109</v>
      </c>
      <c r="O8305" t="str">
        <f>"PAGAMENTO DE ENTREGADORES"</f>
        <v>PAGAMENTO DE ENTREGADORES</v>
      </c>
      <c r="P8305">
        <v>1200</v>
      </c>
      <c r="S8305" t="str">
        <f>"BANCO C6 (149)"</f>
        <v>BANCO C6 (149)</v>
      </c>
      <c r="T8305">
        <v>22104</v>
      </c>
      <c r="U8305">
        <v>24341</v>
      </c>
      <c r="V8305" t="s">
        <v>77</v>
      </c>
    </row>
    <row r="8306" spans="1:22">
      <c r="A8306" t="str">
        <f t="shared" si="1533"/>
        <v>30/10/2025</v>
      </c>
      <c r="B8306" t="str">
        <f t="shared" si="1534"/>
        <v>SAÍDA</v>
      </c>
      <c r="C8306" t="str">
        <f t="shared" si="1536"/>
        <v>PIX</v>
      </c>
      <c r="D8306" t="str">
        <f>"24341"</f>
        <v>24341</v>
      </c>
      <c r="E8306" t="str">
        <f t="shared" si="1537"/>
        <v>1</v>
      </c>
      <c r="F8306" t="str">
        <f t="shared" si="1531"/>
        <v>COM</v>
      </c>
      <c r="G8306" t="str">
        <f>"WILIANA RODRIGUES E RODRIGUES (398)"</f>
        <v>WILIANA RODRIGUES E RODRIGUES (398)</v>
      </c>
      <c r="H8306" t="s">
        <v>2343</v>
      </c>
      <c r="I8306" t="str">
        <f t="shared" si="1535"/>
        <v>30/10/2025</v>
      </c>
      <c r="J8306" t="str">
        <f t="shared" si="1539"/>
        <v>27/10/2025</v>
      </c>
      <c r="K8306">
        <v>45960</v>
      </c>
      <c r="N8306">
        <v>109</v>
      </c>
      <c r="O8306" t="s">
        <v>24</v>
      </c>
      <c r="Q8306">
        <v>1200</v>
      </c>
      <c r="R8306" t="str">
        <f>"PAGMENOS - LJ 657 (10136)"</f>
        <v>PAGMENOS - LJ 657 (10136)</v>
      </c>
      <c r="S8306" t="s">
        <v>77</v>
      </c>
      <c r="T8306">
        <v>22104</v>
      </c>
      <c r="U8306">
        <v>24341</v>
      </c>
      <c r="V8306" t="s">
        <v>77</v>
      </c>
    </row>
    <row r="8307" spans="1:22">
      <c r="A8307" t="str">
        <f t="shared" si="1533"/>
        <v>30/10/2025</v>
      </c>
      <c r="B8307" t="str">
        <f t="shared" si="1534"/>
        <v>SAÍDA</v>
      </c>
      <c r="C8307" t="str">
        <f t="shared" si="1536"/>
        <v>PIX</v>
      </c>
      <c r="D8307" t="str">
        <f>"24344"</f>
        <v>24344</v>
      </c>
      <c r="E8307" t="str">
        <f t="shared" si="1537"/>
        <v>1</v>
      </c>
      <c r="F8307" t="str">
        <f t="shared" si="1531"/>
        <v>COM</v>
      </c>
      <c r="G8307" t="str">
        <f>"EDUARDO COSTA DA SILVA (721)"</f>
        <v>EDUARDO COSTA DA SILVA (721)</v>
      </c>
      <c r="H8307" t="str">
        <f>"Serv.Prest. 20/10/2025 a 26/10/2025 - PIX: CELULAR - CHAVE: (11) 95552-9905"</f>
        <v>Serv.Prest. 20/10/2025 a 26/10/2025 - PIX: CELULAR - CHAVE: (11) 95552-9905</v>
      </c>
      <c r="I8307" t="str">
        <f t="shared" si="1535"/>
        <v>30/10/2025</v>
      </c>
      <c r="J8307" t="str">
        <f t="shared" si="1539"/>
        <v>27/10/2025</v>
      </c>
      <c r="K8307" t="str">
        <f>("30/10/2025")</f>
        <v>30/10/2025</v>
      </c>
      <c r="L8307">
        <v>1241.0999999999999</v>
      </c>
      <c r="M8307">
        <v>1241.0999999999999</v>
      </c>
      <c r="N8307">
        <v>109</v>
      </c>
      <c r="O8307" t="str">
        <f>"PAGAMENTO DE ENTREGADORES"</f>
        <v>PAGAMENTO DE ENTREGADORES</v>
      </c>
      <c r="P8307">
        <v>1241.0999999999999</v>
      </c>
      <c r="S8307" t="str">
        <f>"BANCO C6 (149)"</f>
        <v>BANCO C6 (149)</v>
      </c>
      <c r="T8307">
        <v>22105</v>
      </c>
      <c r="U8307">
        <v>24344</v>
      </c>
      <c r="V8307" t="s">
        <v>77</v>
      </c>
    </row>
    <row r="8308" spans="1:22">
      <c r="A8308" t="str">
        <f t="shared" si="1533"/>
        <v>30/10/2025</v>
      </c>
      <c r="B8308" t="str">
        <f t="shared" si="1534"/>
        <v>SAÍDA</v>
      </c>
      <c r="C8308" t="str">
        <f t="shared" si="1536"/>
        <v>PIX</v>
      </c>
      <c r="D8308" t="str">
        <f>"24344"</f>
        <v>24344</v>
      </c>
      <c r="E8308" t="str">
        <f t="shared" si="1537"/>
        <v>1</v>
      </c>
      <c r="F8308" t="str">
        <f t="shared" si="1531"/>
        <v>COM</v>
      </c>
      <c r="G8308" t="str">
        <f>"EDUARDO COSTA DA SILVA (721)"</f>
        <v>EDUARDO COSTA DA SILVA (721)</v>
      </c>
      <c r="H8308" t="s">
        <v>2344</v>
      </c>
      <c r="I8308" t="str">
        <f t="shared" si="1535"/>
        <v>30/10/2025</v>
      </c>
      <c r="J8308" t="str">
        <f t="shared" si="1539"/>
        <v>27/10/2025</v>
      </c>
      <c r="K8308">
        <v>45960</v>
      </c>
      <c r="N8308">
        <v>109</v>
      </c>
      <c r="O8308" t="s">
        <v>24</v>
      </c>
      <c r="Q8308">
        <v>1241.0999999999999</v>
      </c>
      <c r="R8308" t="str">
        <f>"DROGARIA AGAPEAMA (10167)"</f>
        <v>DROGARIA AGAPEAMA (10167)</v>
      </c>
      <c r="S8308" t="s">
        <v>77</v>
      </c>
      <c r="T8308">
        <v>22105</v>
      </c>
      <c r="U8308">
        <v>24344</v>
      </c>
      <c r="V8308" t="s">
        <v>77</v>
      </c>
    </row>
    <row r="8309" spans="1:22">
      <c r="A8309" t="str">
        <f t="shared" si="1533"/>
        <v>30/10/2025</v>
      </c>
      <c r="B8309" t="str">
        <f t="shared" si="1534"/>
        <v>SAÍDA</v>
      </c>
      <c r="C8309" t="str">
        <f t="shared" si="1536"/>
        <v>PIX</v>
      </c>
      <c r="D8309" t="str">
        <f>"24345"</f>
        <v>24345</v>
      </c>
      <c r="E8309" t="str">
        <f t="shared" si="1537"/>
        <v>1</v>
      </c>
      <c r="F8309" t="str">
        <f t="shared" si="1531"/>
        <v>COM</v>
      </c>
      <c r="G8309" t="str">
        <f>"GUILHERME DA SILVA GOMES (901)"</f>
        <v>GUILHERME DA SILVA GOMES (901)</v>
      </c>
      <c r="H8309" t="str">
        <f>"Serv.Prest. 20/10/2025 a 26/10/2025 - PIX: CPF - CHAVE: 505.341.528-56"</f>
        <v>Serv.Prest. 20/10/2025 a 26/10/2025 - PIX: CPF - CHAVE: 505.341.528-56</v>
      </c>
      <c r="I8309" t="str">
        <f t="shared" si="1535"/>
        <v>30/10/2025</v>
      </c>
      <c r="J8309" t="str">
        <f t="shared" si="1539"/>
        <v>27/10/2025</v>
      </c>
      <c r="K8309" t="str">
        <f>("30/10/2025")</f>
        <v>30/10/2025</v>
      </c>
      <c r="L8309">
        <v>875.7</v>
      </c>
      <c r="M8309">
        <v>875.7</v>
      </c>
      <c r="N8309">
        <v>109</v>
      </c>
      <c r="O8309" t="str">
        <f>"PAGAMENTO DE ENTREGADORES"</f>
        <v>PAGAMENTO DE ENTREGADORES</v>
      </c>
      <c r="P8309">
        <v>875.7</v>
      </c>
      <c r="S8309" t="str">
        <f>"BANCO C6 (149)"</f>
        <v>BANCO C6 (149)</v>
      </c>
      <c r="T8309">
        <v>22106</v>
      </c>
      <c r="U8309">
        <v>24345</v>
      </c>
      <c r="V8309" t="s">
        <v>77</v>
      </c>
    </row>
    <row r="8310" spans="1:22">
      <c r="A8310" t="str">
        <f t="shared" si="1533"/>
        <v>30/10/2025</v>
      </c>
      <c r="B8310" t="str">
        <f t="shared" si="1534"/>
        <v>SAÍDA</v>
      </c>
      <c r="C8310" t="str">
        <f t="shared" si="1536"/>
        <v>PIX</v>
      </c>
      <c r="D8310" t="str">
        <f>"24345"</f>
        <v>24345</v>
      </c>
      <c r="E8310" t="str">
        <f t="shared" si="1537"/>
        <v>1</v>
      </c>
      <c r="F8310" t="str">
        <f t="shared" si="1531"/>
        <v>COM</v>
      </c>
      <c r="G8310" t="str">
        <f>"GUILHERME DA SILVA GOMES (901)"</f>
        <v>GUILHERME DA SILVA GOMES (901)</v>
      </c>
      <c r="H8310" t="s">
        <v>2345</v>
      </c>
      <c r="I8310" t="str">
        <f t="shared" si="1535"/>
        <v>30/10/2025</v>
      </c>
      <c r="J8310" t="str">
        <f t="shared" si="1539"/>
        <v>27/10/2025</v>
      </c>
      <c r="K8310">
        <v>45960</v>
      </c>
      <c r="N8310">
        <v>109</v>
      </c>
      <c r="O8310" t="s">
        <v>24</v>
      </c>
      <c r="Q8310">
        <v>875.7</v>
      </c>
      <c r="R8310" t="str">
        <f>"DROGARIA AGAPEAMA (10167)"</f>
        <v>DROGARIA AGAPEAMA (10167)</v>
      </c>
      <c r="S8310" t="s">
        <v>77</v>
      </c>
      <c r="T8310">
        <v>22106</v>
      </c>
      <c r="U8310">
        <v>24345</v>
      </c>
      <c r="V8310" t="s">
        <v>77</v>
      </c>
    </row>
    <row r="8311" spans="1:22">
      <c r="A8311" t="str">
        <f t="shared" si="1533"/>
        <v>30/10/2025</v>
      </c>
      <c r="B8311" t="str">
        <f t="shared" si="1534"/>
        <v>SAÍDA</v>
      </c>
      <c r="C8311" t="str">
        <f t="shared" si="1536"/>
        <v>PIX</v>
      </c>
      <c r="D8311" t="str">
        <f>"24346"</f>
        <v>24346</v>
      </c>
      <c r="E8311" t="str">
        <f t="shared" si="1537"/>
        <v>1</v>
      </c>
      <c r="F8311" t="str">
        <f t="shared" si="1531"/>
        <v>COM</v>
      </c>
      <c r="G8311" t="str">
        <f>"WESLEY RICARDO DE OLIVEIRA (722)"</f>
        <v>WESLEY RICARDO DE OLIVEIRA (722)</v>
      </c>
      <c r="H8311" t="str">
        <f>"Serv.Prest. 20/10/2025 a 26/10/2025 - PIX: CELULAR - CHAVE: (11) 91214-6176"</f>
        <v>Serv.Prest. 20/10/2025 a 26/10/2025 - PIX: CELULAR - CHAVE: (11) 91214-6176</v>
      </c>
      <c r="I8311" t="str">
        <f t="shared" si="1535"/>
        <v>30/10/2025</v>
      </c>
      <c r="J8311" t="str">
        <f t="shared" si="1539"/>
        <v>27/10/2025</v>
      </c>
      <c r="K8311" t="str">
        <f>("30/10/2025")</f>
        <v>30/10/2025</v>
      </c>
      <c r="L8311">
        <v>894.6</v>
      </c>
      <c r="M8311">
        <v>894.6</v>
      </c>
      <c r="N8311">
        <v>109</v>
      </c>
      <c r="O8311" t="str">
        <f>"PAGAMENTO DE ENTREGADORES"</f>
        <v>PAGAMENTO DE ENTREGADORES</v>
      </c>
      <c r="P8311">
        <v>894.6</v>
      </c>
      <c r="S8311" t="str">
        <f>"BANCO C6 (149)"</f>
        <v>BANCO C6 (149)</v>
      </c>
      <c r="T8311">
        <v>22107</v>
      </c>
      <c r="U8311">
        <v>24346</v>
      </c>
      <c r="V8311" t="s">
        <v>77</v>
      </c>
    </row>
    <row r="8312" spans="1:22">
      <c r="A8312" t="str">
        <f t="shared" si="1533"/>
        <v>30/10/2025</v>
      </c>
      <c r="B8312" t="str">
        <f t="shared" si="1534"/>
        <v>SAÍDA</v>
      </c>
      <c r="C8312" t="str">
        <f t="shared" si="1536"/>
        <v>PIX</v>
      </c>
      <c r="D8312" t="str">
        <f>"24346"</f>
        <v>24346</v>
      </c>
      <c r="E8312" t="str">
        <f t="shared" si="1537"/>
        <v>1</v>
      </c>
      <c r="F8312" t="str">
        <f t="shared" si="1531"/>
        <v>COM</v>
      </c>
      <c r="G8312" t="str">
        <f>"WESLEY RICARDO DE OLIVEIRA (722)"</f>
        <v>WESLEY RICARDO DE OLIVEIRA (722)</v>
      </c>
      <c r="H8312" t="s">
        <v>2346</v>
      </c>
      <c r="I8312" t="str">
        <f t="shared" si="1535"/>
        <v>30/10/2025</v>
      </c>
      <c r="J8312" t="str">
        <f t="shared" si="1539"/>
        <v>27/10/2025</v>
      </c>
      <c r="K8312">
        <v>45960</v>
      </c>
      <c r="N8312">
        <v>109</v>
      </c>
      <c r="O8312" t="s">
        <v>24</v>
      </c>
      <c r="Q8312">
        <v>894.6</v>
      </c>
      <c r="R8312" t="str">
        <f>"DROGARIA AGAPEAMA (10167)"</f>
        <v>DROGARIA AGAPEAMA (10167)</v>
      </c>
      <c r="S8312" t="s">
        <v>77</v>
      </c>
      <c r="T8312">
        <v>22107</v>
      </c>
      <c r="U8312">
        <v>24346</v>
      </c>
      <c r="V8312" t="s">
        <v>77</v>
      </c>
    </row>
    <row r="8313" spans="1:22">
      <c r="A8313" t="str">
        <f t="shared" si="1533"/>
        <v>30/10/2025</v>
      </c>
      <c r="B8313" t="str">
        <f t="shared" si="1534"/>
        <v>SAÍDA</v>
      </c>
      <c r="C8313" t="str">
        <f t="shared" si="1536"/>
        <v>PIX</v>
      </c>
      <c r="D8313" t="str">
        <f>"24348"</f>
        <v>24348</v>
      </c>
      <c r="E8313" t="str">
        <f t="shared" si="1537"/>
        <v>1</v>
      </c>
      <c r="F8313" t="str">
        <f t="shared" ref="F8313:F8376" si="1540">"COM"</f>
        <v>COM</v>
      </c>
      <c r="G8313" t="str">
        <f>"ARLINDO COSTA FELIX (754)"</f>
        <v>ARLINDO COSTA FELIX (754)</v>
      </c>
      <c r="H8313" t="str">
        <f>"Serv.Prest. 20/10/2025 a 26/10/2025 - PIX: CPF - CHAVE: 103.983.366-79"</f>
        <v>Serv.Prest. 20/10/2025 a 26/10/2025 - PIX: CPF - CHAVE: 103.983.366-79</v>
      </c>
      <c r="I8313" t="str">
        <f t="shared" si="1535"/>
        <v>30/10/2025</v>
      </c>
      <c r="J8313" t="str">
        <f t="shared" si="1539"/>
        <v>27/10/2025</v>
      </c>
      <c r="K8313" t="str">
        <f>("30/10/2025")</f>
        <v>30/10/2025</v>
      </c>
      <c r="L8313">
        <v>1530</v>
      </c>
      <c r="M8313">
        <v>1530</v>
      </c>
      <c r="N8313">
        <v>109</v>
      </c>
      <c r="O8313" t="str">
        <f>"PAGAMENTO DE ENTREGADORES"</f>
        <v>PAGAMENTO DE ENTREGADORES</v>
      </c>
      <c r="P8313">
        <v>1530</v>
      </c>
      <c r="S8313" t="str">
        <f>"BANCO C6 (149)"</f>
        <v>BANCO C6 (149)</v>
      </c>
      <c r="T8313">
        <v>22108</v>
      </c>
      <c r="U8313">
        <v>24348</v>
      </c>
      <c r="V8313" t="s">
        <v>77</v>
      </c>
    </row>
    <row r="8314" spans="1:22">
      <c r="A8314" t="str">
        <f t="shared" si="1533"/>
        <v>30/10/2025</v>
      </c>
      <c r="B8314" t="str">
        <f t="shared" si="1534"/>
        <v>SAÍDA</v>
      </c>
      <c r="C8314" t="str">
        <f t="shared" si="1536"/>
        <v>PIX</v>
      </c>
      <c r="D8314" t="str">
        <f>"24348"</f>
        <v>24348</v>
      </c>
      <c r="E8314" t="str">
        <f t="shared" si="1537"/>
        <v>1</v>
      </c>
      <c r="F8314" t="str">
        <f t="shared" si="1540"/>
        <v>COM</v>
      </c>
      <c r="G8314" t="str">
        <f>"ARLINDO COSTA FELIX (754)"</f>
        <v>ARLINDO COSTA FELIX (754)</v>
      </c>
      <c r="H8314" t="s">
        <v>2347</v>
      </c>
      <c r="I8314" t="str">
        <f t="shared" si="1535"/>
        <v>30/10/2025</v>
      </c>
      <c r="J8314" t="str">
        <f t="shared" si="1539"/>
        <v>27/10/2025</v>
      </c>
      <c r="K8314">
        <v>45960</v>
      </c>
      <c r="N8314">
        <v>109</v>
      </c>
      <c r="O8314" t="s">
        <v>24</v>
      </c>
      <c r="Q8314">
        <v>1530</v>
      </c>
      <c r="R8314" t="str">
        <f>"ENTREFARMA (10164)"</f>
        <v>ENTREFARMA (10164)</v>
      </c>
      <c r="S8314" t="s">
        <v>77</v>
      </c>
      <c r="T8314">
        <v>22108</v>
      </c>
      <c r="U8314">
        <v>24348</v>
      </c>
      <c r="V8314" t="s">
        <v>77</v>
      </c>
    </row>
    <row r="8315" spans="1:22">
      <c r="A8315" t="str">
        <f t="shared" si="1533"/>
        <v>30/10/2025</v>
      </c>
      <c r="B8315" t="str">
        <f t="shared" si="1534"/>
        <v>SAÍDA</v>
      </c>
      <c r="C8315" t="str">
        <f t="shared" si="1536"/>
        <v>PIX</v>
      </c>
      <c r="D8315" t="str">
        <f>"24349"</f>
        <v>24349</v>
      </c>
      <c r="E8315" t="str">
        <f t="shared" si="1537"/>
        <v>1</v>
      </c>
      <c r="F8315" t="str">
        <f t="shared" si="1540"/>
        <v>COM</v>
      </c>
      <c r="G8315" t="str">
        <f>"LEONICIO CORREA DA SILVA (716)"</f>
        <v>LEONICIO CORREA DA SILVA (716)</v>
      </c>
      <c r="H8315" t="str">
        <f>"Serv.Prest. 20/10/2025 a 26/10/2025 - PIX: CPF - CHAVE: 138.263.636-98"</f>
        <v>Serv.Prest. 20/10/2025 a 26/10/2025 - PIX: CPF - CHAVE: 138.263.636-98</v>
      </c>
      <c r="I8315" t="str">
        <f t="shared" si="1535"/>
        <v>30/10/2025</v>
      </c>
      <c r="J8315" t="str">
        <f t="shared" si="1539"/>
        <v>27/10/2025</v>
      </c>
      <c r="K8315" t="str">
        <f>("30/10/2025")</f>
        <v>30/10/2025</v>
      </c>
      <c r="L8315">
        <v>1002</v>
      </c>
      <c r="M8315">
        <v>1002</v>
      </c>
      <c r="N8315">
        <v>109</v>
      </c>
      <c r="O8315" t="str">
        <f>"PAGAMENTO DE ENTREGADORES"</f>
        <v>PAGAMENTO DE ENTREGADORES</v>
      </c>
      <c r="P8315">
        <v>1002</v>
      </c>
      <c r="S8315" t="str">
        <f>"BANCO C6 (149)"</f>
        <v>BANCO C6 (149)</v>
      </c>
      <c r="T8315">
        <v>22109</v>
      </c>
      <c r="U8315">
        <v>24349</v>
      </c>
      <c r="V8315" t="s">
        <v>77</v>
      </c>
    </row>
    <row r="8316" spans="1:22">
      <c r="A8316" t="str">
        <f t="shared" si="1533"/>
        <v>30/10/2025</v>
      </c>
      <c r="B8316" t="str">
        <f t="shared" si="1534"/>
        <v>SAÍDA</v>
      </c>
      <c r="C8316" t="str">
        <f t="shared" si="1536"/>
        <v>PIX</v>
      </c>
      <c r="D8316" t="str">
        <f>"24349"</f>
        <v>24349</v>
      </c>
      <c r="E8316" t="str">
        <f t="shared" si="1537"/>
        <v>1</v>
      </c>
      <c r="F8316" t="str">
        <f t="shared" si="1540"/>
        <v>COM</v>
      </c>
      <c r="G8316" t="str">
        <f>"LEONICIO CORREA DA SILVA (716)"</f>
        <v>LEONICIO CORREA DA SILVA (716)</v>
      </c>
      <c r="H8316" t="s">
        <v>2348</v>
      </c>
      <c r="I8316" t="str">
        <f t="shared" si="1535"/>
        <v>30/10/2025</v>
      </c>
      <c r="J8316" t="str">
        <f t="shared" si="1539"/>
        <v>27/10/2025</v>
      </c>
      <c r="K8316">
        <v>45960</v>
      </c>
      <c r="N8316">
        <v>109</v>
      </c>
      <c r="O8316" t="s">
        <v>24</v>
      </c>
      <c r="Q8316">
        <v>1002</v>
      </c>
      <c r="R8316" t="str">
        <f>"ENTREFARMA (10164)"</f>
        <v>ENTREFARMA (10164)</v>
      </c>
      <c r="S8316" t="s">
        <v>77</v>
      </c>
      <c r="T8316">
        <v>22109</v>
      </c>
      <c r="U8316">
        <v>24349</v>
      </c>
      <c r="V8316" t="s">
        <v>77</v>
      </c>
    </row>
    <row r="8317" spans="1:22">
      <c r="A8317" t="str">
        <f t="shared" si="1533"/>
        <v>30/10/2025</v>
      </c>
      <c r="B8317" t="str">
        <f t="shared" si="1534"/>
        <v>SAÍDA</v>
      </c>
      <c r="C8317" t="str">
        <f t="shared" si="1536"/>
        <v>PIX</v>
      </c>
      <c r="D8317" t="str">
        <f>"24350"</f>
        <v>24350</v>
      </c>
      <c r="E8317" t="str">
        <f t="shared" si="1537"/>
        <v>1</v>
      </c>
      <c r="F8317" t="str">
        <f t="shared" si="1540"/>
        <v>COM</v>
      </c>
      <c r="G8317" t="str">
        <f>"SADRAK ENOKES BORGES (725)"</f>
        <v>SADRAK ENOKES BORGES (725)</v>
      </c>
      <c r="H8317" t="str">
        <f>"Serv.Prest. 20/10/2025 a 26/10/2025 - PIX: CPF - CHAVE: 128.367.756-37"</f>
        <v>Serv.Prest. 20/10/2025 a 26/10/2025 - PIX: CPF - CHAVE: 128.367.756-37</v>
      </c>
      <c r="I8317" t="str">
        <f t="shared" si="1535"/>
        <v>30/10/2025</v>
      </c>
      <c r="J8317" t="str">
        <f t="shared" si="1539"/>
        <v>27/10/2025</v>
      </c>
      <c r="K8317" t="str">
        <f>("30/10/2025")</f>
        <v>30/10/2025</v>
      </c>
      <c r="L8317">
        <v>1008</v>
      </c>
      <c r="M8317">
        <v>1008</v>
      </c>
      <c r="N8317">
        <v>109</v>
      </c>
      <c r="O8317" t="str">
        <f>"PAGAMENTO DE ENTREGADORES"</f>
        <v>PAGAMENTO DE ENTREGADORES</v>
      </c>
      <c r="P8317">
        <v>1008</v>
      </c>
      <c r="S8317" t="str">
        <f>"BANCO C6 (149)"</f>
        <v>BANCO C6 (149)</v>
      </c>
      <c r="T8317">
        <v>22110</v>
      </c>
      <c r="U8317">
        <v>24350</v>
      </c>
      <c r="V8317" t="s">
        <v>77</v>
      </c>
    </row>
    <row r="8318" spans="1:22">
      <c r="A8318" t="str">
        <f t="shared" si="1533"/>
        <v>30/10/2025</v>
      </c>
      <c r="B8318" t="str">
        <f t="shared" si="1534"/>
        <v>SAÍDA</v>
      </c>
      <c r="C8318" t="str">
        <f t="shared" si="1536"/>
        <v>PIX</v>
      </c>
      <c r="D8318" t="str">
        <f>"24350"</f>
        <v>24350</v>
      </c>
      <c r="E8318" t="str">
        <f t="shared" si="1537"/>
        <v>1</v>
      </c>
      <c r="F8318" t="str">
        <f t="shared" si="1540"/>
        <v>COM</v>
      </c>
      <c r="G8318" t="str">
        <f>"SADRAK ENOKES BORGES (725)"</f>
        <v>SADRAK ENOKES BORGES (725)</v>
      </c>
      <c r="H8318" t="s">
        <v>2349</v>
      </c>
      <c r="I8318" t="str">
        <f t="shared" si="1535"/>
        <v>30/10/2025</v>
      </c>
      <c r="J8318" t="str">
        <f t="shared" si="1539"/>
        <v>27/10/2025</v>
      </c>
      <c r="K8318">
        <v>45960</v>
      </c>
      <c r="N8318">
        <v>109</v>
      </c>
      <c r="O8318" t="s">
        <v>24</v>
      </c>
      <c r="Q8318">
        <v>1008</v>
      </c>
      <c r="R8318" t="str">
        <f>"ENTREFARMA (10164)"</f>
        <v>ENTREFARMA (10164)</v>
      </c>
      <c r="S8318" t="s">
        <v>77</v>
      </c>
      <c r="T8318">
        <v>22110</v>
      </c>
      <c r="U8318">
        <v>24350</v>
      </c>
      <c r="V8318" t="s">
        <v>77</v>
      </c>
    </row>
    <row r="8319" spans="1:22">
      <c r="A8319" t="str">
        <f t="shared" si="1533"/>
        <v>30/10/2025</v>
      </c>
      <c r="B8319" t="str">
        <f t="shared" si="1534"/>
        <v>SAÍDA</v>
      </c>
      <c r="C8319" t="str">
        <f t="shared" si="1536"/>
        <v>PIX</v>
      </c>
      <c r="D8319" t="str">
        <f>"24351"</f>
        <v>24351</v>
      </c>
      <c r="E8319" t="str">
        <f t="shared" si="1537"/>
        <v>1</v>
      </c>
      <c r="F8319" t="str">
        <f t="shared" si="1540"/>
        <v>COM</v>
      </c>
      <c r="G8319" t="str">
        <f>"WENDERSON GOMES (708)"</f>
        <v>WENDERSON GOMES (708)</v>
      </c>
      <c r="H8319" t="str">
        <f>"Serv.Prest. 20/10/2025 a 26/10/2025 - PIX: CPF - CHAVE: 147.592.156-03"</f>
        <v>Serv.Prest. 20/10/2025 a 26/10/2025 - PIX: CPF - CHAVE: 147.592.156-03</v>
      </c>
      <c r="I8319" t="str">
        <f t="shared" si="1535"/>
        <v>30/10/2025</v>
      </c>
      <c r="J8319" t="str">
        <f t="shared" si="1539"/>
        <v>27/10/2025</v>
      </c>
      <c r="K8319" t="str">
        <f>("30/10/2025")</f>
        <v>30/10/2025</v>
      </c>
      <c r="L8319">
        <v>2004</v>
      </c>
      <c r="M8319">
        <v>2004</v>
      </c>
      <c r="N8319">
        <v>109</v>
      </c>
      <c r="O8319" t="str">
        <f>"PAGAMENTO DE ENTREGADORES"</f>
        <v>PAGAMENTO DE ENTREGADORES</v>
      </c>
      <c r="P8319">
        <v>2004</v>
      </c>
      <c r="S8319" t="str">
        <f>"BANCO C6 (149)"</f>
        <v>BANCO C6 (149)</v>
      </c>
      <c r="T8319">
        <v>22111</v>
      </c>
      <c r="U8319">
        <v>24351</v>
      </c>
      <c r="V8319" t="s">
        <v>77</v>
      </c>
    </row>
    <row r="8320" spans="1:22">
      <c r="A8320" t="str">
        <f t="shared" si="1533"/>
        <v>30/10/2025</v>
      </c>
      <c r="B8320" t="str">
        <f t="shared" si="1534"/>
        <v>SAÍDA</v>
      </c>
      <c r="C8320" t="str">
        <f t="shared" si="1536"/>
        <v>PIX</v>
      </c>
      <c r="D8320" t="str">
        <f>"24351"</f>
        <v>24351</v>
      </c>
      <c r="E8320" t="str">
        <f t="shared" si="1537"/>
        <v>1</v>
      </c>
      <c r="F8320" t="str">
        <f t="shared" si="1540"/>
        <v>COM</v>
      </c>
      <c r="G8320" t="str">
        <f>"WENDERSON GOMES (708)"</f>
        <v>WENDERSON GOMES (708)</v>
      </c>
      <c r="H8320" t="s">
        <v>2350</v>
      </c>
      <c r="I8320" t="str">
        <f t="shared" si="1535"/>
        <v>30/10/2025</v>
      </c>
      <c r="J8320" t="str">
        <f t="shared" si="1539"/>
        <v>27/10/2025</v>
      </c>
      <c r="K8320">
        <v>45960</v>
      </c>
      <c r="N8320">
        <v>109</v>
      </c>
      <c r="O8320" t="s">
        <v>24</v>
      </c>
      <c r="Q8320">
        <v>2004</v>
      </c>
      <c r="R8320" t="str">
        <f>"ENTREFARMA (10164)"</f>
        <v>ENTREFARMA (10164)</v>
      </c>
      <c r="S8320" t="s">
        <v>77</v>
      </c>
      <c r="T8320">
        <v>22111</v>
      </c>
      <c r="U8320">
        <v>24351</v>
      </c>
      <c r="V8320" t="s">
        <v>77</v>
      </c>
    </row>
    <row r="8321" spans="1:22">
      <c r="A8321" t="str">
        <f t="shared" si="1533"/>
        <v>30/10/2025</v>
      </c>
      <c r="B8321" t="str">
        <f t="shared" si="1534"/>
        <v>SAÍDA</v>
      </c>
      <c r="C8321" t="str">
        <f t="shared" si="1536"/>
        <v>PIX</v>
      </c>
      <c r="D8321" t="str">
        <f>"24353"</f>
        <v>24353</v>
      </c>
      <c r="E8321" t="str">
        <f t="shared" si="1537"/>
        <v>1</v>
      </c>
      <c r="F8321" t="str">
        <f t="shared" si="1540"/>
        <v>COM</v>
      </c>
      <c r="G8321" t="str">
        <f>"FABRICIO QUEIROZ DE OLIVEIRA (788)"</f>
        <v>FABRICIO QUEIROZ DE OLIVEIRA (788)</v>
      </c>
      <c r="H8321" t="str">
        <f>"Serv.Prest. 20/10/2025 a 26/10/2025 - PIX: CPF - CHAVE: 138.798.486-10"</f>
        <v>Serv.Prest. 20/10/2025 a 26/10/2025 - PIX: CPF - CHAVE: 138.798.486-10</v>
      </c>
      <c r="I8321" t="str">
        <f t="shared" si="1535"/>
        <v>30/10/2025</v>
      </c>
      <c r="J8321" t="str">
        <f t="shared" si="1539"/>
        <v>27/10/2025</v>
      </c>
      <c r="K8321" t="str">
        <f>("30/10/2025")</f>
        <v>30/10/2025</v>
      </c>
      <c r="L8321">
        <v>700</v>
      </c>
      <c r="M8321">
        <v>700</v>
      </c>
      <c r="N8321">
        <v>109</v>
      </c>
      <c r="O8321" t="str">
        <f>"PAGAMENTO DE ENTREGADORES"</f>
        <v>PAGAMENTO DE ENTREGADORES</v>
      </c>
      <c r="P8321">
        <v>700</v>
      </c>
      <c r="S8321" t="str">
        <f>"BANCO C6 (149)"</f>
        <v>BANCO C6 (149)</v>
      </c>
      <c r="T8321">
        <v>22112</v>
      </c>
      <c r="U8321">
        <v>24353</v>
      </c>
      <c r="V8321" t="s">
        <v>77</v>
      </c>
    </row>
    <row r="8322" spans="1:22">
      <c r="A8322" t="str">
        <f t="shared" si="1533"/>
        <v>30/10/2025</v>
      </c>
      <c r="B8322" t="str">
        <f t="shared" si="1534"/>
        <v>SAÍDA</v>
      </c>
      <c r="C8322" t="str">
        <f t="shared" si="1536"/>
        <v>PIX</v>
      </c>
      <c r="D8322" t="str">
        <f>"24353"</f>
        <v>24353</v>
      </c>
      <c r="E8322" t="str">
        <f t="shared" si="1537"/>
        <v>1</v>
      </c>
      <c r="F8322" t="str">
        <f t="shared" si="1540"/>
        <v>COM</v>
      </c>
      <c r="G8322" t="str">
        <f>"FABRICIO QUEIROZ DE OLIVEIRA (788)"</f>
        <v>FABRICIO QUEIROZ DE OLIVEIRA (788)</v>
      </c>
      <c r="H8322" t="s">
        <v>2351</v>
      </c>
      <c r="I8322" t="str">
        <f t="shared" si="1535"/>
        <v>30/10/2025</v>
      </c>
      <c r="J8322" t="str">
        <f t="shared" si="1539"/>
        <v>27/10/2025</v>
      </c>
      <c r="K8322">
        <v>45960</v>
      </c>
      <c r="N8322">
        <v>109</v>
      </c>
      <c r="O8322" t="s">
        <v>24</v>
      </c>
      <c r="Q8322">
        <v>537.66999999999996</v>
      </c>
      <c r="R8322" t="str">
        <f>"FRAN FARMA LJ 2 (10131)"</f>
        <v>FRAN FARMA LJ 2 (10131)</v>
      </c>
      <c r="S8322" t="s">
        <v>77</v>
      </c>
      <c r="T8322">
        <v>22112</v>
      </c>
      <c r="U8322">
        <v>24353</v>
      </c>
      <c r="V8322" t="s">
        <v>77</v>
      </c>
    </row>
    <row r="8323" spans="1:22">
      <c r="A8323" t="str">
        <f t="shared" si="1533"/>
        <v>30/10/2025</v>
      </c>
      <c r="B8323" t="str">
        <f t="shared" si="1534"/>
        <v>SAÍDA</v>
      </c>
      <c r="C8323" t="str">
        <f t="shared" si="1536"/>
        <v>PIX</v>
      </c>
      <c r="D8323" t="str">
        <f>"24353"</f>
        <v>24353</v>
      </c>
      <c r="E8323" t="str">
        <f t="shared" si="1537"/>
        <v>1</v>
      </c>
      <c r="F8323" t="str">
        <f t="shared" si="1540"/>
        <v>COM</v>
      </c>
      <c r="G8323" t="str">
        <f>"FABRICIO QUEIROZ DE OLIVEIRA (788)"</f>
        <v>FABRICIO QUEIROZ DE OLIVEIRA (788)</v>
      </c>
      <c r="H8323" t="s">
        <v>2351</v>
      </c>
      <c r="I8323" t="str">
        <f t="shared" si="1535"/>
        <v>30/10/2025</v>
      </c>
      <c r="J8323" t="str">
        <f t="shared" si="1539"/>
        <v>27/10/2025</v>
      </c>
      <c r="K8323">
        <v>45960</v>
      </c>
      <c r="N8323">
        <v>109</v>
      </c>
      <c r="O8323" t="s">
        <v>24</v>
      </c>
      <c r="Q8323">
        <v>162.33000000000001</v>
      </c>
      <c r="R8323" t="str">
        <f>"FRAN FARMA LJ 3 (10132)"</f>
        <v>FRAN FARMA LJ 3 (10132)</v>
      </c>
      <c r="S8323" t="s">
        <v>77</v>
      </c>
      <c r="T8323">
        <v>22112</v>
      </c>
      <c r="U8323">
        <v>24353</v>
      </c>
      <c r="V8323" t="s">
        <v>77</v>
      </c>
    </row>
    <row r="8324" spans="1:22">
      <c r="A8324" t="str">
        <f t="shared" si="1533"/>
        <v>30/10/2025</v>
      </c>
      <c r="B8324" t="str">
        <f t="shared" si="1534"/>
        <v>SAÍDA</v>
      </c>
      <c r="C8324" t="str">
        <f t="shared" si="1536"/>
        <v>PIX</v>
      </c>
      <c r="D8324" t="str">
        <f>"24355"</f>
        <v>24355</v>
      </c>
      <c r="E8324" t="str">
        <f t="shared" si="1537"/>
        <v>1</v>
      </c>
      <c r="F8324" t="str">
        <f t="shared" si="1540"/>
        <v>COM</v>
      </c>
      <c r="G8324" t="str">
        <f>"ADRIANO DE OMENA CARMO (992)"</f>
        <v>ADRIANO DE OMENA CARMO (992)</v>
      </c>
      <c r="H8324" t="str">
        <f>"Serv.Prest. 20/10/2025 a 26/10/2025 - PIX: CELULAR - CHAVE: (11) 98612-9589"</f>
        <v>Serv.Prest. 20/10/2025 a 26/10/2025 - PIX: CELULAR - CHAVE: (11) 98612-9589</v>
      </c>
      <c r="I8324" t="str">
        <f t="shared" si="1535"/>
        <v>30/10/2025</v>
      </c>
      <c r="J8324" t="str">
        <f t="shared" si="1539"/>
        <v>27/10/2025</v>
      </c>
      <c r="K8324" t="str">
        <f>("30/10/2025")</f>
        <v>30/10/2025</v>
      </c>
      <c r="L8324">
        <v>800</v>
      </c>
      <c r="M8324">
        <v>800</v>
      </c>
      <c r="N8324">
        <v>109</v>
      </c>
      <c r="O8324" t="str">
        <f>"PAGAMENTO DE ENTREGADORES"</f>
        <v>PAGAMENTO DE ENTREGADORES</v>
      </c>
      <c r="P8324">
        <v>800</v>
      </c>
      <c r="S8324" t="str">
        <f>"BANCO C6 (149)"</f>
        <v>BANCO C6 (149)</v>
      </c>
      <c r="T8324">
        <v>22113</v>
      </c>
      <c r="U8324">
        <v>24355</v>
      </c>
      <c r="V8324" t="s">
        <v>77</v>
      </c>
    </row>
    <row r="8325" spans="1:22">
      <c r="A8325" t="str">
        <f t="shared" si="1533"/>
        <v>30/10/2025</v>
      </c>
      <c r="B8325" t="str">
        <f t="shared" si="1534"/>
        <v>SAÍDA</v>
      </c>
      <c r="C8325" t="str">
        <f t="shared" si="1536"/>
        <v>PIX</v>
      </c>
      <c r="D8325" t="str">
        <f>"24355"</f>
        <v>24355</v>
      </c>
      <c r="E8325" t="str">
        <f t="shared" si="1537"/>
        <v>1</v>
      </c>
      <c r="F8325" t="str">
        <f t="shared" si="1540"/>
        <v>COM</v>
      </c>
      <c r="G8325" t="str">
        <f>"ADRIANO DE OMENA CARMO (992)"</f>
        <v>ADRIANO DE OMENA CARMO (992)</v>
      </c>
      <c r="H8325" t="s">
        <v>2352</v>
      </c>
      <c r="I8325" t="str">
        <f t="shared" si="1535"/>
        <v>30/10/2025</v>
      </c>
      <c r="J8325" t="str">
        <f t="shared" si="1539"/>
        <v>27/10/2025</v>
      </c>
      <c r="K8325">
        <v>45960</v>
      </c>
      <c r="N8325">
        <v>109</v>
      </c>
      <c r="O8325" t="s">
        <v>24</v>
      </c>
      <c r="Q8325">
        <v>800</v>
      </c>
      <c r="R8325" t="str">
        <f>"PENSE FARMA 51 (10235)"</f>
        <v>PENSE FARMA 51 (10235)</v>
      </c>
      <c r="S8325" t="s">
        <v>77</v>
      </c>
      <c r="T8325">
        <v>22113</v>
      </c>
      <c r="U8325">
        <v>24355</v>
      </c>
      <c r="V8325" t="s">
        <v>77</v>
      </c>
    </row>
    <row r="8326" spans="1:22">
      <c r="A8326" t="str">
        <f t="shared" si="1533"/>
        <v>30/10/2025</v>
      </c>
      <c r="B8326" t="str">
        <f t="shared" si="1534"/>
        <v>SAÍDA</v>
      </c>
      <c r="C8326" t="str">
        <f t="shared" si="1536"/>
        <v>PIX</v>
      </c>
      <c r="D8326" t="str">
        <f>"24358"</f>
        <v>24358</v>
      </c>
      <c r="E8326" t="str">
        <f t="shared" si="1537"/>
        <v>1</v>
      </c>
      <c r="F8326" t="str">
        <f t="shared" si="1540"/>
        <v>COM</v>
      </c>
      <c r="G8326" t="str">
        <f>"MATHEUS DA ROCHA GOMES (1002)"</f>
        <v>MATHEUS DA ROCHA GOMES (1002)</v>
      </c>
      <c r="H8326" t="str">
        <f>"Serv.Prest. 20/10/2025 a 26/10/2025 - PIX: CPF - CHAVE: 469.543.578-04"</f>
        <v>Serv.Prest. 20/10/2025 a 26/10/2025 - PIX: CPF - CHAVE: 469.543.578-04</v>
      </c>
      <c r="I8326" t="str">
        <f t="shared" si="1535"/>
        <v>30/10/2025</v>
      </c>
      <c r="J8326" t="str">
        <f t="shared" si="1539"/>
        <v>27/10/2025</v>
      </c>
      <c r="K8326" t="str">
        <f>("30/10/2025")</f>
        <v>30/10/2025</v>
      </c>
      <c r="L8326">
        <v>1325</v>
      </c>
      <c r="M8326">
        <v>1325</v>
      </c>
      <c r="N8326">
        <v>109</v>
      </c>
      <c r="O8326" t="str">
        <f>"PAGAMENTO DE ENTREGADORES"</f>
        <v>PAGAMENTO DE ENTREGADORES</v>
      </c>
      <c r="P8326">
        <v>1325</v>
      </c>
      <c r="S8326" t="str">
        <f>"BANCO C6 (149)"</f>
        <v>BANCO C6 (149)</v>
      </c>
      <c r="T8326">
        <v>22114</v>
      </c>
      <c r="U8326">
        <v>24358</v>
      </c>
      <c r="V8326" t="s">
        <v>77</v>
      </c>
    </row>
    <row r="8327" spans="1:22">
      <c r="A8327" t="str">
        <f t="shared" si="1533"/>
        <v>30/10/2025</v>
      </c>
      <c r="B8327" t="str">
        <f t="shared" si="1534"/>
        <v>SAÍDA</v>
      </c>
      <c r="C8327" t="str">
        <f t="shared" si="1536"/>
        <v>PIX</v>
      </c>
      <c r="D8327" t="str">
        <f>"24358"</f>
        <v>24358</v>
      </c>
      <c r="E8327" t="str">
        <f t="shared" si="1537"/>
        <v>1</v>
      </c>
      <c r="F8327" t="str">
        <f t="shared" si="1540"/>
        <v>COM</v>
      </c>
      <c r="G8327" t="str">
        <f>"MATHEUS DA ROCHA GOMES (1002)"</f>
        <v>MATHEUS DA ROCHA GOMES (1002)</v>
      </c>
      <c r="H8327" t="s">
        <v>2353</v>
      </c>
      <c r="I8327" t="str">
        <f t="shared" si="1535"/>
        <v>30/10/2025</v>
      </c>
      <c r="J8327" t="str">
        <f t="shared" si="1539"/>
        <v>27/10/2025</v>
      </c>
      <c r="K8327">
        <v>45960</v>
      </c>
      <c r="N8327">
        <v>109</v>
      </c>
      <c r="O8327" t="s">
        <v>24</v>
      </c>
      <c r="Q8327">
        <v>441.62</v>
      </c>
      <c r="R8327" t="str">
        <f>"PENSE FARMA 31 (10205)"</f>
        <v>PENSE FARMA 31 (10205)</v>
      </c>
      <c r="S8327" t="s">
        <v>77</v>
      </c>
      <c r="T8327">
        <v>22114</v>
      </c>
      <c r="U8327">
        <v>24358</v>
      </c>
      <c r="V8327" t="s">
        <v>77</v>
      </c>
    </row>
    <row r="8328" spans="1:22">
      <c r="A8328" t="str">
        <f t="shared" si="1533"/>
        <v>30/10/2025</v>
      </c>
      <c r="B8328" t="str">
        <f t="shared" si="1534"/>
        <v>SAÍDA</v>
      </c>
      <c r="C8328" t="str">
        <f t="shared" si="1536"/>
        <v>PIX</v>
      </c>
      <c r="D8328" t="str">
        <f>"24358"</f>
        <v>24358</v>
      </c>
      <c r="E8328" t="str">
        <f t="shared" si="1537"/>
        <v>1</v>
      </c>
      <c r="F8328" t="str">
        <f t="shared" si="1540"/>
        <v>COM</v>
      </c>
      <c r="G8328" t="str">
        <f>"MATHEUS DA ROCHA GOMES (1002)"</f>
        <v>MATHEUS DA ROCHA GOMES (1002)</v>
      </c>
      <c r="H8328" t="s">
        <v>2353</v>
      </c>
      <c r="I8328" t="str">
        <f t="shared" si="1535"/>
        <v>30/10/2025</v>
      </c>
      <c r="J8328" t="str">
        <f t="shared" si="1539"/>
        <v>27/10/2025</v>
      </c>
      <c r="K8328">
        <v>45960</v>
      </c>
      <c r="N8328">
        <v>109</v>
      </c>
      <c r="O8328" t="s">
        <v>24</v>
      </c>
      <c r="Q8328">
        <v>441.62</v>
      </c>
      <c r="R8328" t="str">
        <f>"PENSE FARMA 16 (10221)"</f>
        <v>PENSE FARMA 16 (10221)</v>
      </c>
      <c r="S8328" t="s">
        <v>77</v>
      </c>
      <c r="T8328">
        <v>22114</v>
      </c>
      <c r="U8328">
        <v>24358</v>
      </c>
      <c r="V8328" t="s">
        <v>77</v>
      </c>
    </row>
    <row r="8329" spans="1:22">
      <c r="A8329" t="str">
        <f t="shared" si="1533"/>
        <v>30/10/2025</v>
      </c>
      <c r="B8329" t="str">
        <f t="shared" si="1534"/>
        <v>SAÍDA</v>
      </c>
      <c r="C8329" t="str">
        <f t="shared" si="1536"/>
        <v>PIX</v>
      </c>
      <c r="D8329" t="str">
        <f>"24358"</f>
        <v>24358</v>
      </c>
      <c r="E8329" t="str">
        <f t="shared" si="1537"/>
        <v>1</v>
      </c>
      <c r="F8329" t="str">
        <f t="shared" si="1540"/>
        <v>COM</v>
      </c>
      <c r="G8329" t="str">
        <f>"MATHEUS DA ROCHA GOMES (1002)"</f>
        <v>MATHEUS DA ROCHA GOMES (1002)</v>
      </c>
      <c r="H8329" t="s">
        <v>2353</v>
      </c>
      <c r="I8329" t="str">
        <f t="shared" si="1535"/>
        <v>30/10/2025</v>
      </c>
      <c r="J8329" t="str">
        <f t="shared" si="1539"/>
        <v>27/10/2025</v>
      </c>
      <c r="K8329">
        <v>45960</v>
      </c>
      <c r="N8329">
        <v>109</v>
      </c>
      <c r="O8329" t="s">
        <v>24</v>
      </c>
      <c r="Q8329">
        <v>441.76</v>
      </c>
      <c r="R8329" t="str">
        <f>"PENSE FARMA 17 (10222)"</f>
        <v>PENSE FARMA 17 (10222)</v>
      </c>
      <c r="S8329" t="s">
        <v>77</v>
      </c>
      <c r="T8329">
        <v>22114</v>
      </c>
      <c r="U8329">
        <v>24358</v>
      </c>
      <c r="V8329" t="s">
        <v>77</v>
      </c>
    </row>
    <row r="8330" spans="1:22">
      <c r="A8330" t="str">
        <f t="shared" si="1533"/>
        <v>30/10/2025</v>
      </c>
      <c r="B8330" t="str">
        <f t="shared" si="1534"/>
        <v>SAÍDA</v>
      </c>
      <c r="C8330" t="str">
        <f t="shared" si="1536"/>
        <v>PIX</v>
      </c>
      <c r="D8330" t="str">
        <f>"24360"</f>
        <v>24360</v>
      </c>
      <c r="E8330" t="str">
        <f t="shared" si="1537"/>
        <v>1</v>
      </c>
      <c r="F8330" t="str">
        <f t="shared" si="1540"/>
        <v>COM</v>
      </c>
      <c r="G8330" t="str">
        <f>"MARCOS VINICIUS CORREIA JULI??O (1001)"</f>
        <v>MARCOS VINICIUS CORREIA JULI??O (1001)</v>
      </c>
      <c r="H8330" t="str">
        <f>"Serv.Prest. 20/10/2025 a 26/10/2025 - PIX: CELULAR - CHAVE: (11) 98144-5840"</f>
        <v>Serv.Prest. 20/10/2025 a 26/10/2025 - PIX: CELULAR - CHAVE: (11) 98144-5840</v>
      </c>
      <c r="I8330" t="str">
        <f t="shared" si="1535"/>
        <v>30/10/2025</v>
      </c>
      <c r="J8330" t="str">
        <f t="shared" si="1539"/>
        <v>27/10/2025</v>
      </c>
      <c r="K8330" t="str">
        <f>("30/10/2025")</f>
        <v>30/10/2025</v>
      </c>
      <c r="L8330">
        <v>1375</v>
      </c>
      <c r="M8330">
        <v>1375</v>
      </c>
      <c r="N8330">
        <v>109</v>
      </c>
      <c r="O8330" t="str">
        <f>"PAGAMENTO DE ENTREGADORES"</f>
        <v>PAGAMENTO DE ENTREGADORES</v>
      </c>
      <c r="P8330">
        <v>1375</v>
      </c>
      <c r="S8330" t="str">
        <f>"BANCO C6 (149)"</f>
        <v>BANCO C6 (149)</v>
      </c>
      <c r="T8330">
        <v>22115</v>
      </c>
      <c r="U8330">
        <v>24360</v>
      </c>
      <c r="V8330" t="s">
        <v>77</v>
      </c>
    </row>
    <row r="8331" spans="1:22">
      <c r="A8331" t="str">
        <f t="shared" si="1533"/>
        <v>30/10/2025</v>
      </c>
      <c r="B8331" t="str">
        <f t="shared" si="1534"/>
        <v>SAÍDA</v>
      </c>
      <c r="C8331" t="str">
        <f t="shared" si="1536"/>
        <v>PIX</v>
      </c>
      <c r="D8331" t="str">
        <f>"24360"</f>
        <v>24360</v>
      </c>
      <c r="E8331" t="str">
        <f t="shared" si="1537"/>
        <v>1</v>
      </c>
      <c r="F8331" t="str">
        <f t="shared" si="1540"/>
        <v>COM</v>
      </c>
      <c r="G8331" t="str">
        <f>"MARCOS VINICIUS CORREIA JULI??O (1001)"</f>
        <v>MARCOS VINICIUS CORREIA JULI??O (1001)</v>
      </c>
      <c r="H8331" t="s">
        <v>2354</v>
      </c>
      <c r="I8331" t="str">
        <f t="shared" si="1535"/>
        <v>30/10/2025</v>
      </c>
      <c r="J8331" t="str">
        <f t="shared" si="1539"/>
        <v>27/10/2025</v>
      </c>
      <c r="K8331">
        <v>45960</v>
      </c>
      <c r="N8331">
        <v>109</v>
      </c>
      <c r="O8331" t="s">
        <v>24</v>
      </c>
      <c r="Q8331">
        <v>687.5</v>
      </c>
      <c r="R8331" t="str">
        <f>"PENSE FARMA 44 (10231)"</f>
        <v>PENSE FARMA 44 (10231)</v>
      </c>
      <c r="S8331" t="s">
        <v>77</v>
      </c>
      <c r="T8331">
        <v>22115</v>
      </c>
      <c r="U8331">
        <v>24360</v>
      </c>
      <c r="V8331" t="s">
        <v>77</v>
      </c>
    </row>
    <row r="8332" spans="1:22">
      <c r="A8332" t="str">
        <f t="shared" si="1533"/>
        <v>30/10/2025</v>
      </c>
      <c r="B8332" t="str">
        <f t="shared" si="1534"/>
        <v>SAÍDA</v>
      </c>
      <c r="C8332" t="str">
        <f t="shared" si="1536"/>
        <v>PIX</v>
      </c>
      <c r="D8332" t="str">
        <f>"24360"</f>
        <v>24360</v>
      </c>
      <c r="E8332" t="str">
        <f t="shared" si="1537"/>
        <v>1</v>
      </c>
      <c r="F8332" t="str">
        <f t="shared" si="1540"/>
        <v>COM</v>
      </c>
      <c r="G8332" t="str">
        <f>"MARCOS VINICIUS CORREIA JULI??O (1001)"</f>
        <v>MARCOS VINICIUS CORREIA JULI??O (1001)</v>
      </c>
      <c r="H8332" t="s">
        <v>2354</v>
      </c>
      <c r="I8332" t="str">
        <f t="shared" si="1535"/>
        <v>30/10/2025</v>
      </c>
      <c r="J8332" t="str">
        <f t="shared" si="1539"/>
        <v>27/10/2025</v>
      </c>
      <c r="K8332">
        <v>45960</v>
      </c>
      <c r="N8332">
        <v>109</v>
      </c>
      <c r="O8332" t="s">
        <v>24</v>
      </c>
      <c r="Q8332">
        <v>687.5</v>
      </c>
      <c r="R8332" t="str">
        <f>"PENSE FARMA 48 (10233)"</f>
        <v>PENSE FARMA 48 (10233)</v>
      </c>
      <c r="S8332" t="s">
        <v>77</v>
      </c>
      <c r="T8332">
        <v>22115</v>
      </c>
      <c r="U8332">
        <v>24360</v>
      </c>
      <c r="V8332" t="s">
        <v>77</v>
      </c>
    </row>
    <row r="8333" spans="1:22">
      <c r="A8333" t="str">
        <f t="shared" ref="A8333:A8396" si="1541">("30/10/2025")</f>
        <v>30/10/2025</v>
      </c>
      <c r="B8333" t="str">
        <f t="shared" si="1534"/>
        <v>SAÍDA</v>
      </c>
      <c r="C8333" t="str">
        <f t="shared" si="1536"/>
        <v>PIX</v>
      </c>
      <c r="D8333" t="str">
        <f>"24361"</f>
        <v>24361</v>
      </c>
      <c r="E8333" t="str">
        <f t="shared" si="1537"/>
        <v>1</v>
      </c>
      <c r="F8333" t="str">
        <f t="shared" si="1540"/>
        <v>COM</v>
      </c>
      <c r="G8333" t="str">
        <f>"VICTOR HUGO SOARES DE PAULA (1021)"</f>
        <v>VICTOR HUGO SOARES DE PAULA (1021)</v>
      </c>
      <c r="H8333" t="str">
        <f>"Serv.Prest. 20/10/2025 a 26/10/2025 - PIX: CELULAR - CHAVE: (11) 98281-4526"</f>
        <v>Serv.Prest. 20/10/2025 a 26/10/2025 - PIX: CELULAR - CHAVE: (11) 98281-4526</v>
      </c>
      <c r="I8333" t="str">
        <f t="shared" si="1535"/>
        <v>30/10/2025</v>
      </c>
      <c r="J8333" t="str">
        <f t="shared" ref="J8333:J8364" si="1542">("27/10/2025")</f>
        <v>27/10/2025</v>
      </c>
      <c r="K8333" t="str">
        <f>("30/10/2025")</f>
        <v>30/10/2025</v>
      </c>
      <c r="L8333">
        <v>1375</v>
      </c>
      <c r="M8333">
        <v>1375</v>
      </c>
      <c r="N8333">
        <v>109</v>
      </c>
      <c r="O8333" t="str">
        <f>"PAGAMENTO DE ENTREGADORES"</f>
        <v>PAGAMENTO DE ENTREGADORES</v>
      </c>
      <c r="P8333">
        <v>1375</v>
      </c>
      <c r="S8333" t="str">
        <f>"BANCO C6 (149)"</f>
        <v>BANCO C6 (149)</v>
      </c>
      <c r="T8333">
        <v>22116</v>
      </c>
      <c r="U8333">
        <v>24361</v>
      </c>
      <c r="V8333" t="s">
        <v>77</v>
      </c>
    </row>
    <row r="8334" spans="1:22">
      <c r="A8334" t="str">
        <f t="shared" si="1541"/>
        <v>30/10/2025</v>
      </c>
      <c r="B8334" t="str">
        <f t="shared" ref="B8334:B8397" si="1543">"SAÍDA"</f>
        <v>SAÍDA</v>
      </c>
      <c r="C8334" t="str">
        <f t="shared" si="1536"/>
        <v>PIX</v>
      </c>
      <c r="D8334" t="str">
        <f>"24361"</f>
        <v>24361</v>
      </c>
      <c r="E8334" t="str">
        <f t="shared" si="1537"/>
        <v>1</v>
      </c>
      <c r="F8334" t="str">
        <f t="shared" si="1540"/>
        <v>COM</v>
      </c>
      <c r="G8334" t="str">
        <f>"VICTOR HUGO SOARES DE PAULA (1021)"</f>
        <v>VICTOR HUGO SOARES DE PAULA (1021)</v>
      </c>
      <c r="H8334" t="s">
        <v>2151</v>
      </c>
      <c r="I8334" t="str">
        <f t="shared" ref="I8334:I8397" si="1544">("30/10/2025")</f>
        <v>30/10/2025</v>
      </c>
      <c r="J8334" t="str">
        <f t="shared" si="1542"/>
        <v>27/10/2025</v>
      </c>
      <c r="K8334">
        <v>45960</v>
      </c>
      <c r="N8334">
        <v>109</v>
      </c>
      <c r="O8334" t="s">
        <v>24</v>
      </c>
      <c r="Q8334">
        <v>687.5</v>
      </c>
      <c r="R8334" t="str">
        <f>"PENSE FARMA 44 (10231)"</f>
        <v>PENSE FARMA 44 (10231)</v>
      </c>
      <c r="S8334" t="s">
        <v>77</v>
      </c>
      <c r="T8334">
        <v>22116</v>
      </c>
      <c r="U8334">
        <v>24361</v>
      </c>
      <c r="V8334" t="s">
        <v>77</v>
      </c>
    </row>
    <row r="8335" spans="1:22">
      <c r="A8335" t="str">
        <f t="shared" si="1541"/>
        <v>30/10/2025</v>
      </c>
      <c r="B8335" t="str">
        <f t="shared" si="1543"/>
        <v>SAÍDA</v>
      </c>
      <c r="C8335" t="str">
        <f t="shared" si="1536"/>
        <v>PIX</v>
      </c>
      <c r="D8335" t="str">
        <f>"24361"</f>
        <v>24361</v>
      </c>
      <c r="E8335" t="str">
        <f t="shared" si="1537"/>
        <v>1</v>
      </c>
      <c r="F8335" t="str">
        <f t="shared" si="1540"/>
        <v>COM</v>
      </c>
      <c r="G8335" t="str">
        <f>"VICTOR HUGO SOARES DE PAULA (1021)"</f>
        <v>VICTOR HUGO SOARES DE PAULA (1021)</v>
      </c>
      <c r="H8335" t="s">
        <v>2151</v>
      </c>
      <c r="I8335" t="str">
        <f t="shared" si="1544"/>
        <v>30/10/2025</v>
      </c>
      <c r="J8335" t="str">
        <f t="shared" si="1542"/>
        <v>27/10/2025</v>
      </c>
      <c r="K8335">
        <v>45960</v>
      </c>
      <c r="N8335">
        <v>109</v>
      </c>
      <c r="O8335" t="s">
        <v>24</v>
      </c>
      <c r="Q8335">
        <v>687.5</v>
      </c>
      <c r="R8335" t="str">
        <f>"PENSE FARMA 48 (10233)"</f>
        <v>PENSE FARMA 48 (10233)</v>
      </c>
      <c r="S8335" t="s">
        <v>77</v>
      </c>
      <c r="T8335">
        <v>22116</v>
      </c>
      <c r="U8335">
        <v>24361</v>
      </c>
      <c r="V8335" t="s">
        <v>77</v>
      </c>
    </row>
    <row r="8336" spans="1:22">
      <c r="A8336" t="str">
        <f t="shared" si="1541"/>
        <v>30/10/2025</v>
      </c>
      <c r="B8336" t="str">
        <f t="shared" si="1543"/>
        <v>SAÍDA</v>
      </c>
      <c r="C8336" t="str">
        <f t="shared" ref="C8336:C8399" si="1545">"PIX"</f>
        <v>PIX</v>
      </c>
      <c r="D8336" t="str">
        <f>"24363"</f>
        <v>24363</v>
      </c>
      <c r="E8336" t="str">
        <f t="shared" si="1537"/>
        <v>1</v>
      </c>
      <c r="F8336" t="str">
        <f t="shared" si="1540"/>
        <v>COM</v>
      </c>
      <c r="G8336" t="str">
        <f>"ANDREA VOLPONI (1004)"</f>
        <v>ANDREA VOLPONI (1004)</v>
      </c>
      <c r="H8336" t="str">
        <f>"Serv.Prest. 20/10/2025 a 26/10/2025 - PIX: CPF - CHAVE: 361.750.258-06"</f>
        <v>Serv.Prest. 20/10/2025 a 26/10/2025 - PIX: CPF - CHAVE: 361.750.258-06</v>
      </c>
      <c r="I8336" t="str">
        <f t="shared" si="1544"/>
        <v>30/10/2025</v>
      </c>
      <c r="J8336" t="str">
        <f t="shared" si="1542"/>
        <v>27/10/2025</v>
      </c>
      <c r="K8336" t="str">
        <f>("30/10/2025")</f>
        <v>30/10/2025</v>
      </c>
      <c r="L8336">
        <v>1375</v>
      </c>
      <c r="M8336">
        <v>1375</v>
      </c>
      <c r="N8336">
        <v>109</v>
      </c>
      <c r="O8336" t="str">
        <f>"PAGAMENTO DE ENTREGADORES"</f>
        <v>PAGAMENTO DE ENTREGADORES</v>
      </c>
      <c r="P8336">
        <v>1375</v>
      </c>
      <c r="S8336" t="str">
        <f>"BANCO C6 (149)"</f>
        <v>BANCO C6 (149)</v>
      </c>
      <c r="T8336">
        <v>22117</v>
      </c>
      <c r="U8336">
        <v>24363</v>
      </c>
      <c r="V8336" t="s">
        <v>77</v>
      </c>
    </row>
    <row r="8337" spans="1:22">
      <c r="A8337" t="str">
        <f t="shared" si="1541"/>
        <v>30/10/2025</v>
      </c>
      <c r="B8337" t="str">
        <f t="shared" si="1543"/>
        <v>SAÍDA</v>
      </c>
      <c r="C8337" t="str">
        <f t="shared" si="1545"/>
        <v>PIX</v>
      </c>
      <c r="D8337" t="str">
        <f>"24363"</f>
        <v>24363</v>
      </c>
      <c r="E8337" t="str">
        <f t="shared" si="1537"/>
        <v>1</v>
      </c>
      <c r="F8337" t="str">
        <f t="shared" si="1540"/>
        <v>COM</v>
      </c>
      <c r="G8337" t="str">
        <f>"ANDREA VOLPONI (1004)"</f>
        <v>ANDREA VOLPONI (1004)</v>
      </c>
      <c r="H8337" t="s">
        <v>2355</v>
      </c>
      <c r="I8337" t="str">
        <f t="shared" si="1544"/>
        <v>30/10/2025</v>
      </c>
      <c r="J8337" t="str">
        <f t="shared" si="1542"/>
        <v>27/10/2025</v>
      </c>
      <c r="K8337">
        <v>45960</v>
      </c>
      <c r="N8337">
        <v>109</v>
      </c>
      <c r="O8337" t="s">
        <v>24</v>
      </c>
      <c r="Q8337">
        <v>1375</v>
      </c>
      <c r="R8337" t="str">
        <f>"PENSE FARMA 19 (10223)"</f>
        <v>PENSE FARMA 19 (10223)</v>
      </c>
      <c r="S8337" t="s">
        <v>77</v>
      </c>
      <c r="T8337">
        <v>22117</v>
      </c>
      <c r="U8337">
        <v>24363</v>
      </c>
      <c r="V8337" t="s">
        <v>77</v>
      </c>
    </row>
    <row r="8338" spans="1:22">
      <c r="A8338" t="str">
        <f t="shared" si="1541"/>
        <v>30/10/2025</v>
      </c>
      <c r="B8338" t="str">
        <f t="shared" si="1543"/>
        <v>SAÍDA</v>
      </c>
      <c r="C8338" t="str">
        <f t="shared" si="1545"/>
        <v>PIX</v>
      </c>
      <c r="D8338" t="str">
        <f>"24364"</f>
        <v>24364</v>
      </c>
      <c r="E8338" t="str">
        <f t="shared" si="1537"/>
        <v>1</v>
      </c>
      <c r="F8338" t="str">
        <f t="shared" si="1540"/>
        <v>COM</v>
      </c>
      <c r="G8338" t="str">
        <f>"BRUCE HENRIQUE COSTA DOS SANTOS CONCEI?? (996)"</f>
        <v>BRUCE HENRIQUE COSTA DOS SANTOS CONCEI?? (996)</v>
      </c>
      <c r="H8338" t="str">
        <f>"Serv.Prest. 20/10/2025 a 26/10/2025 - PIX: CNPJ - CHAVE: 52.606.983/0001-08"</f>
        <v>Serv.Prest. 20/10/2025 a 26/10/2025 - PIX: CNPJ - CHAVE: 52.606.983/0001-08</v>
      </c>
      <c r="I8338" t="str">
        <f t="shared" si="1544"/>
        <v>30/10/2025</v>
      </c>
      <c r="J8338" t="str">
        <f t="shared" si="1542"/>
        <v>27/10/2025</v>
      </c>
      <c r="K8338" t="str">
        <f>("30/10/2025")</f>
        <v>30/10/2025</v>
      </c>
      <c r="L8338">
        <v>1375</v>
      </c>
      <c r="M8338">
        <v>1375</v>
      </c>
      <c r="N8338">
        <v>109</v>
      </c>
      <c r="O8338" t="str">
        <f>"PAGAMENTO DE ENTREGADORES"</f>
        <v>PAGAMENTO DE ENTREGADORES</v>
      </c>
      <c r="P8338">
        <v>1375</v>
      </c>
      <c r="S8338" t="str">
        <f>"BANCO C6 (149)"</f>
        <v>BANCO C6 (149)</v>
      </c>
      <c r="T8338">
        <v>22118</v>
      </c>
      <c r="U8338">
        <v>24364</v>
      </c>
      <c r="V8338" t="s">
        <v>77</v>
      </c>
    </row>
    <row r="8339" spans="1:22">
      <c r="A8339" t="str">
        <f t="shared" si="1541"/>
        <v>30/10/2025</v>
      </c>
      <c r="B8339" t="str">
        <f t="shared" si="1543"/>
        <v>SAÍDA</v>
      </c>
      <c r="C8339" t="str">
        <f t="shared" si="1545"/>
        <v>PIX</v>
      </c>
      <c r="D8339" t="str">
        <f>"24364"</f>
        <v>24364</v>
      </c>
      <c r="E8339" t="str">
        <f t="shared" si="1537"/>
        <v>1</v>
      </c>
      <c r="F8339" t="str">
        <f t="shared" si="1540"/>
        <v>COM</v>
      </c>
      <c r="G8339" t="str">
        <f>"BRUCE HENRIQUE COSTA DOS SANTOS CONCEI?? (996)"</f>
        <v>BRUCE HENRIQUE COSTA DOS SANTOS CONCEI?? (996)</v>
      </c>
      <c r="H8339" t="s">
        <v>2356</v>
      </c>
      <c r="I8339" t="str">
        <f t="shared" si="1544"/>
        <v>30/10/2025</v>
      </c>
      <c r="J8339" t="str">
        <f t="shared" si="1542"/>
        <v>27/10/2025</v>
      </c>
      <c r="K8339">
        <v>45960</v>
      </c>
      <c r="N8339">
        <v>109</v>
      </c>
      <c r="O8339" t="s">
        <v>24</v>
      </c>
      <c r="Q8339">
        <v>1375</v>
      </c>
      <c r="R8339" t="str">
        <f>"PENSE FARMA 19 (10223)"</f>
        <v>PENSE FARMA 19 (10223)</v>
      </c>
      <c r="S8339" t="s">
        <v>77</v>
      </c>
      <c r="T8339">
        <v>22118</v>
      </c>
      <c r="U8339">
        <v>24364</v>
      </c>
      <c r="V8339" t="s">
        <v>77</v>
      </c>
    </row>
    <row r="8340" spans="1:22">
      <c r="A8340" t="str">
        <f t="shared" si="1541"/>
        <v>30/10/2025</v>
      </c>
      <c r="B8340" t="str">
        <f t="shared" si="1543"/>
        <v>SAÍDA</v>
      </c>
      <c r="C8340" t="str">
        <f t="shared" si="1545"/>
        <v>PIX</v>
      </c>
      <c r="D8340" t="str">
        <f>"24366"</f>
        <v>24366</v>
      </c>
      <c r="E8340" t="str">
        <f t="shared" si="1537"/>
        <v>1</v>
      </c>
      <c r="F8340" t="str">
        <f t="shared" si="1540"/>
        <v>COM</v>
      </c>
      <c r="G8340" t="str">
        <f>"GABRIEL SIQUEIRA DA SILVA (997)"</f>
        <v>GABRIEL SIQUEIRA DA SILVA (997)</v>
      </c>
      <c r="H8340" t="str">
        <f>"Serv.Prest. 20/10/2025 a 26/10/2025 - PIX: CPF - CHAVE: 500.480.978-02"</f>
        <v>Serv.Prest. 20/10/2025 a 26/10/2025 - PIX: CPF - CHAVE: 500.480.978-02</v>
      </c>
      <c r="I8340" t="str">
        <f t="shared" si="1544"/>
        <v>30/10/2025</v>
      </c>
      <c r="J8340" t="str">
        <f t="shared" si="1542"/>
        <v>27/10/2025</v>
      </c>
      <c r="K8340" t="str">
        <f>("30/10/2025")</f>
        <v>30/10/2025</v>
      </c>
      <c r="L8340">
        <v>800</v>
      </c>
      <c r="M8340">
        <v>800</v>
      </c>
      <c r="N8340">
        <v>109</v>
      </c>
      <c r="O8340" t="str">
        <f>"PAGAMENTO DE ENTREGADORES"</f>
        <v>PAGAMENTO DE ENTREGADORES</v>
      </c>
      <c r="P8340">
        <v>800</v>
      </c>
      <c r="S8340" t="str">
        <f>"BANCO C6 (149)"</f>
        <v>BANCO C6 (149)</v>
      </c>
      <c r="T8340">
        <v>22119</v>
      </c>
      <c r="U8340">
        <v>24366</v>
      </c>
      <c r="V8340" t="s">
        <v>77</v>
      </c>
    </row>
    <row r="8341" spans="1:22">
      <c r="A8341" t="str">
        <f t="shared" si="1541"/>
        <v>30/10/2025</v>
      </c>
      <c r="B8341" t="str">
        <f t="shared" si="1543"/>
        <v>SAÍDA</v>
      </c>
      <c r="C8341" t="str">
        <f t="shared" si="1545"/>
        <v>PIX</v>
      </c>
      <c r="D8341" t="str">
        <f>"24366"</f>
        <v>24366</v>
      </c>
      <c r="E8341" t="str">
        <f t="shared" si="1537"/>
        <v>1</v>
      </c>
      <c r="F8341" t="str">
        <f t="shared" si="1540"/>
        <v>COM</v>
      </c>
      <c r="G8341" t="str">
        <f>"GABRIEL SIQUEIRA DA SILVA (997)"</f>
        <v>GABRIEL SIQUEIRA DA SILVA (997)</v>
      </c>
      <c r="H8341" t="s">
        <v>2357</v>
      </c>
      <c r="I8341" t="str">
        <f t="shared" si="1544"/>
        <v>30/10/2025</v>
      </c>
      <c r="J8341" t="str">
        <f t="shared" si="1542"/>
        <v>27/10/2025</v>
      </c>
      <c r="K8341">
        <v>45960</v>
      </c>
      <c r="N8341">
        <v>109</v>
      </c>
      <c r="O8341" t="s">
        <v>24</v>
      </c>
      <c r="Q8341">
        <v>800</v>
      </c>
      <c r="R8341" t="str">
        <f>"PENSE FARMA 49 (10234)"</f>
        <v>PENSE FARMA 49 (10234)</v>
      </c>
      <c r="S8341" t="s">
        <v>77</v>
      </c>
      <c r="T8341">
        <v>22119</v>
      </c>
      <c r="U8341">
        <v>24366</v>
      </c>
      <c r="V8341" t="s">
        <v>77</v>
      </c>
    </row>
    <row r="8342" spans="1:22">
      <c r="A8342" t="str">
        <f t="shared" si="1541"/>
        <v>30/10/2025</v>
      </c>
      <c r="B8342" t="str">
        <f t="shared" si="1543"/>
        <v>SAÍDA</v>
      </c>
      <c r="C8342" t="str">
        <f t="shared" si="1545"/>
        <v>PIX</v>
      </c>
      <c r="D8342" t="str">
        <f>"24368"</f>
        <v>24368</v>
      </c>
      <c r="E8342" t="str">
        <f t="shared" si="1537"/>
        <v>1</v>
      </c>
      <c r="F8342" t="str">
        <f t="shared" si="1540"/>
        <v>COM</v>
      </c>
      <c r="G8342" t="str">
        <f>"ALAN COSTA SILVA (994)"</f>
        <v>ALAN COSTA SILVA (994)</v>
      </c>
      <c r="H8342" t="str">
        <f>"Serv.Prest. 20/10/2025 a 26/10/2025 - PIX: CELULAR - CHAVE: (11) 98484-6837"</f>
        <v>Serv.Prest. 20/10/2025 a 26/10/2025 - PIX: CELULAR - CHAVE: (11) 98484-6837</v>
      </c>
      <c r="I8342" t="str">
        <f t="shared" si="1544"/>
        <v>30/10/2025</v>
      </c>
      <c r="J8342" t="str">
        <f t="shared" si="1542"/>
        <v>27/10/2025</v>
      </c>
      <c r="K8342" t="str">
        <f>("30/10/2025")</f>
        <v>30/10/2025</v>
      </c>
      <c r="L8342">
        <v>1300</v>
      </c>
      <c r="M8342">
        <v>1300</v>
      </c>
      <c r="N8342">
        <v>109</v>
      </c>
      <c r="O8342" t="str">
        <f>"PAGAMENTO DE ENTREGADORES"</f>
        <v>PAGAMENTO DE ENTREGADORES</v>
      </c>
      <c r="P8342">
        <v>1300</v>
      </c>
      <c r="S8342" t="str">
        <f>"BANCO C6 (149)"</f>
        <v>BANCO C6 (149)</v>
      </c>
      <c r="T8342">
        <v>22120</v>
      </c>
      <c r="U8342">
        <v>24368</v>
      </c>
      <c r="V8342" t="s">
        <v>77</v>
      </c>
    </row>
    <row r="8343" spans="1:22">
      <c r="A8343" t="str">
        <f t="shared" si="1541"/>
        <v>30/10/2025</v>
      </c>
      <c r="B8343" t="str">
        <f t="shared" si="1543"/>
        <v>SAÍDA</v>
      </c>
      <c r="C8343" t="str">
        <f t="shared" si="1545"/>
        <v>PIX</v>
      </c>
      <c r="D8343" t="str">
        <f>"24368"</f>
        <v>24368</v>
      </c>
      <c r="E8343" t="str">
        <f t="shared" si="1537"/>
        <v>1</v>
      </c>
      <c r="F8343" t="str">
        <f t="shared" si="1540"/>
        <v>COM</v>
      </c>
      <c r="G8343" t="str">
        <f>"ALAN COSTA SILVA (994)"</f>
        <v>ALAN COSTA SILVA (994)</v>
      </c>
      <c r="H8343" t="s">
        <v>2358</v>
      </c>
      <c r="I8343" t="str">
        <f t="shared" si="1544"/>
        <v>30/10/2025</v>
      </c>
      <c r="J8343" t="str">
        <f t="shared" si="1542"/>
        <v>27/10/2025</v>
      </c>
      <c r="K8343">
        <v>45960</v>
      </c>
      <c r="N8343">
        <v>109</v>
      </c>
      <c r="O8343" t="s">
        <v>24</v>
      </c>
      <c r="Q8343">
        <v>325</v>
      </c>
      <c r="R8343" t="str">
        <f>"PENSE FARMA 02 (10199)"</f>
        <v>PENSE FARMA 02 (10199)</v>
      </c>
      <c r="S8343" t="s">
        <v>77</v>
      </c>
      <c r="T8343">
        <v>22120</v>
      </c>
      <c r="U8343">
        <v>24368</v>
      </c>
      <c r="V8343" t="s">
        <v>77</v>
      </c>
    </row>
    <row r="8344" spans="1:22">
      <c r="A8344" t="str">
        <f t="shared" si="1541"/>
        <v>30/10/2025</v>
      </c>
      <c r="B8344" t="str">
        <f t="shared" si="1543"/>
        <v>SAÍDA</v>
      </c>
      <c r="C8344" t="str">
        <f t="shared" si="1545"/>
        <v>PIX</v>
      </c>
      <c r="D8344" t="str">
        <f>"24368"</f>
        <v>24368</v>
      </c>
      <c r="E8344" t="str">
        <f t="shared" si="1537"/>
        <v>1</v>
      </c>
      <c r="F8344" t="str">
        <f t="shared" si="1540"/>
        <v>COM</v>
      </c>
      <c r="G8344" t="str">
        <f>"ALAN COSTA SILVA (994)"</f>
        <v>ALAN COSTA SILVA (994)</v>
      </c>
      <c r="H8344" t="s">
        <v>2358</v>
      </c>
      <c r="I8344" t="str">
        <f t="shared" si="1544"/>
        <v>30/10/2025</v>
      </c>
      <c r="J8344" t="str">
        <f t="shared" si="1542"/>
        <v>27/10/2025</v>
      </c>
      <c r="K8344">
        <v>45960</v>
      </c>
      <c r="N8344">
        <v>109</v>
      </c>
      <c r="O8344" t="s">
        <v>24</v>
      </c>
      <c r="Q8344">
        <v>325</v>
      </c>
      <c r="R8344" t="str">
        <f>"PENSE FARMA 01 (10215)"</f>
        <v>PENSE FARMA 01 (10215)</v>
      </c>
      <c r="S8344" t="s">
        <v>77</v>
      </c>
      <c r="T8344">
        <v>22120</v>
      </c>
      <c r="U8344">
        <v>24368</v>
      </c>
      <c r="V8344" t="s">
        <v>77</v>
      </c>
    </row>
    <row r="8345" spans="1:22">
      <c r="A8345" t="str">
        <f t="shared" si="1541"/>
        <v>30/10/2025</v>
      </c>
      <c r="B8345" t="str">
        <f t="shared" si="1543"/>
        <v>SAÍDA</v>
      </c>
      <c r="C8345" t="str">
        <f t="shared" si="1545"/>
        <v>PIX</v>
      </c>
      <c r="D8345" t="str">
        <f>"24368"</f>
        <v>24368</v>
      </c>
      <c r="E8345" t="str">
        <f t="shared" si="1537"/>
        <v>1</v>
      </c>
      <c r="F8345" t="str">
        <f t="shared" si="1540"/>
        <v>COM</v>
      </c>
      <c r="G8345" t="str">
        <f>"ALAN COSTA SILVA (994)"</f>
        <v>ALAN COSTA SILVA (994)</v>
      </c>
      <c r="H8345" t="s">
        <v>2358</v>
      </c>
      <c r="I8345" t="str">
        <f t="shared" si="1544"/>
        <v>30/10/2025</v>
      </c>
      <c r="J8345" t="str">
        <f t="shared" si="1542"/>
        <v>27/10/2025</v>
      </c>
      <c r="K8345">
        <v>45960</v>
      </c>
      <c r="N8345">
        <v>109</v>
      </c>
      <c r="O8345" t="s">
        <v>24</v>
      </c>
      <c r="Q8345">
        <v>325</v>
      </c>
      <c r="R8345" t="str">
        <f>"PENSE FARMA 03 (10216)"</f>
        <v>PENSE FARMA 03 (10216)</v>
      </c>
      <c r="S8345" t="s">
        <v>77</v>
      </c>
      <c r="T8345">
        <v>22120</v>
      </c>
      <c r="U8345">
        <v>24368</v>
      </c>
      <c r="V8345" t="s">
        <v>77</v>
      </c>
    </row>
    <row r="8346" spans="1:22">
      <c r="A8346" t="str">
        <f t="shared" si="1541"/>
        <v>30/10/2025</v>
      </c>
      <c r="B8346" t="str">
        <f t="shared" si="1543"/>
        <v>SAÍDA</v>
      </c>
      <c r="C8346" t="str">
        <f t="shared" si="1545"/>
        <v>PIX</v>
      </c>
      <c r="D8346" t="str">
        <f>"24368"</f>
        <v>24368</v>
      </c>
      <c r="E8346" t="str">
        <f t="shared" si="1537"/>
        <v>1</v>
      </c>
      <c r="F8346" t="str">
        <f t="shared" si="1540"/>
        <v>COM</v>
      </c>
      <c r="G8346" t="str">
        <f>"ALAN COSTA SILVA (994)"</f>
        <v>ALAN COSTA SILVA (994)</v>
      </c>
      <c r="H8346" t="s">
        <v>2358</v>
      </c>
      <c r="I8346" t="str">
        <f t="shared" si="1544"/>
        <v>30/10/2025</v>
      </c>
      <c r="J8346" t="str">
        <f t="shared" si="1542"/>
        <v>27/10/2025</v>
      </c>
      <c r="K8346">
        <v>45960</v>
      </c>
      <c r="N8346">
        <v>109</v>
      </c>
      <c r="O8346" t="s">
        <v>24</v>
      </c>
      <c r="Q8346">
        <v>325</v>
      </c>
      <c r="R8346" t="str">
        <f>"PENSE FARMA 39 (10228)"</f>
        <v>PENSE FARMA 39 (10228)</v>
      </c>
      <c r="S8346" t="s">
        <v>77</v>
      </c>
      <c r="T8346">
        <v>22120</v>
      </c>
      <c r="U8346">
        <v>24368</v>
      </c>
      <c r="V8346" t="s">
        <v>77</v>
      </c>
    </row>
    <row r="8347" spans="1:22">
      <c r="A8347" t="str">
        <f t="shared" si="1541"/>
        <v>30/10/2025</v>
      </c>
      <c r="B8347" t="str">
        <f t="shared" si="1543"/>
        <v>SAÍDA</v>
      </c>
      <c r="C8347" t="str">
        <f t="shared" si="1545"/>
        <v>PIX</v>
      </c>
      <c r="D8347" t="str">
        <f>"24369"</f>
        <v>24369</v>
      </c>
      <c r="E8347" t="str">
        <f t="shared" si="1537"/>
        <v>1</v>
      </c>
      <c r="F8347" t="str">
        <f t="shared" si="1540"/>
        <v>COM</v>
      </c>
      <c r="G8347" t="str">
        <f>"IGOR LOPES DA SILVA (991)"</f>
        <v>IGOR LOPES DA SILVA (991)</v>
      </c>
      <c r="H8347" t="str">
        <f>"Serv.Prest. 20/10/2025 a 26/10/2025 - PIX: CELULAR - CHAVE: (11) 95054-2206"</f>
        <v>Serv.Prest. 20/10/2025 a 26/10/2025 - PIX: CELULAR - CHAVE: (11) 95054-2206</v>
      </c>
      <c r="I8347" t="str">
        <f t="shared" si="1544"/>
        <v>30/10/2025</v>
      </c>
      <c r="J8347" t="str">
        <f t="shared" si="1542"/>
        <v>27/10/2025</v>
      </c>
      <c r="K8347" t="str">
        <f>("30/10/2025")</f>
        <v>30/10/2025</v>
      </c>
      <c r="L8347">
        <v>1300</v>
      </c>
      <c r="M8347">
        <v>1300</v>
      </c>
      <c r="N8347">
        <v>109</v>
      </c>
      <c r="O8347" t="str">
        <f>"PAGAMENTO DE ENTREGADORES"</f>
        <v>PAGAMENTO DE ENTREGADORES</v>
      </c>
      <c r="P8347">
        <v>1300</v>
      </c>
      <c r="S8347" t="str">
        <f>"BANCO C6 (149)"</f>
        <v>BANCO C6 (149)</v>
      </c>
      <c r="T8347">
        <v>22121</v>
      </c>
      <c r="U8347">
        <v>24369</v>
      </c>
      <c r="V8347" t="s">
        <v>77</v>
      </c>
    </row>
    <row r="8348" spans="1:22">
      <c r="A8348" t="str">
        <f t="shared" si="1541"/>
        <v>30/10/2025</v>
      </c>
      <c r="B8348" t="str">
        <f t="shared" si="1543"/>
        <v>SAÍDA</v>
      </c>
      <c r="C8348" t="str">
        <f t="shared" si="1545"/>
        <v>PIX</v>
      </c>
      <c r="D8348" t="str">
        <f>"24369"</f>
        <v>24369</v>
      </c>
      <c r="E8348" t="str">
        <f t="shared" si="1537"/>
        <v>1</v>
      </c>
      <c r="F8348" t="str">
        <f t="shared" si="1540"/>
        <v>COM</v>
      </c>
      <c r="G8348" t="str">
        <f>"IGOR LOPES DA SILVA (991)"</f>
        <v>IGOR LOPES DA SILVA (991)</v>
      </c>
      <c r="H8348" t="s">
        <v>2359</v>
      </c>
      <c r="I8348" t="str">
        <f t="shared" si="1544"/>
        <v>30/10/2025</v>
      </c>
      <c r="J8348" t="str">
        <f t="shared" si="1542"/>
        <v>27/10/2025</v>
      </c>
      <c r="K8348">
        <v>45960</v>
      </c>
      <c r="N8348">
        <v>109</v>
      </c>
      <c r="O8348" t="s">
        <v>24</v>
      </c>
      <c r="Q8348">
        <v>325</v>
      </c>
      <c r="R8348" t="str">
        <f>"PENSE FARMA 02 (10199)"</f>
        <v>PENSE FARMA 02 (10199)</v>
      </c>
      <c r="S8348" t="s">
        <v>77</v>
      </c>
      <c r="T8348">
        <v>22121</v>
      </c>
      <c r="U8348">
        <v>24369</v>
      </c>
      <c r="V8348" t="s">
        <v>77</v>
      </c>
    </row>
    <row r="8349" spans="1:22">
      <c r="A8349" t="str">
        <f t="shared" si="1541"/>
        <v>30/10/2025</v>
      </c>
      <c r="B8349" t="str">
        <f t="shared" si="1543"/>
        <v>SAÍDA</v>
      </c>
      <c r="C8349" t="str">
        <f t="shared" si="1545"/>
        <v>PIX</v>
      </c>
      <c r="D8349" t="str">
        <f>"24369"</f>
        <v>24369</v>
      </c>
      <c r="E8349" t="str">
        <f t="shared" si="1537"/>
        <v>1</v>
      </c>
      <c r="F8349" t="str">
        <f t="shared" si="1540"/>
        <v>COM</v>
      </c>
      <c r="G8349" t="str">
        <f>"IGOR LOPES DA SILVA (991)"</f>
        <v>IGOR LOPES DA SILVA (991)</v>
      </c>
      <c r="H8349" t="s">
        <v>2359</v>
      </c>
      <c r="I8349" t="str">
        <f t="shared" si="1544"/>
        <v>30/10/2025</v>
      </c>
      <c r="J8349" t="str">
        <f t="shared" si="1542"/>
        <v>27/10/2025</v>
      </c>
      <c r="K8349">
        <v>45960</v>
      </c>
      <c r="N8349">
        <v>109</v>
      </c>
      <c r="O8349" t="s">
        <v>24</v>
      </c>
      <c r="Q8349">
        <v>325</v>
      </c>
      <c r="R8349" t="str">
        <f>"PENSE FARMA 01 (10215)"</f>
        <v>PENSE FARMA 01 (10215)</v>
      </c>
      <c r="S8349" t="s">
        <v>77</v>
      </c>
      <c r="T8349">
        <v>22121</v>
      </c>
      <c r="U8349">
        <v>24369</v>
      </c>
      <c r="V8349" t="s">
        <v>77</v>
      </c>
    </row>
    <row r="8350" spans="1:22">
      <c r="A8350" t="str">
        <f t="shared" si="1541"/>
        <v>30/10/2025</v>
      </c>
      <c r="B8350" t="str">
        <f t="shared" si="1543"/>
        <v>SAÍDA</v>
      </c>
      <c r="C8350" t="str">
        <f t="shared" si="1545"/>
        <v>PIX</v>
      </c>
      <c r="D8350" t="str">
        <f>"24369"</f>
        <v>24369</v>
      </c>
      <c r="E8350" t="str">
        <f t="shared" si="1537"/>
        <v>1</v>
      </c>
      <c r="F8350" t="str">
        <f t="shared" si="1540"/>
        <v>COM</v>
      </c>
      <c r="G8350" t="str">
        <f>"IGOR LOPES DA SILVA (991)"</f>
        <v>IGOR LOPES DA SILVA (991)</v>
      </c>
      <c r="H8350" t="s">
        <v>2359</v>
      </c>
      <c r="I8350" t="str">
        <f t="shared" si="1544"/>
        <v>30/10/2025</v>
      </c>
      <c r="J8350" t="str">
        <f t="shared" si="1542"/>
        <v>27/10/2025</v>
      </c>
      <c r="K8350">
        <v>45960</v>
      </c>
      <c r="N8350">
        <v>109</v>
      </c>
      <c r="O8350" t="s">
        <v>24</v>
      </c>
      <c r="Q8350">
        <v>325</v>
      </c>
      <c r="R8350" t="str">
        <f>"PENSE FARMA 03 (10216)"</f>
        <v>PENSE FARMA 03 (10216)</v>
      </c>
      <c r="S8350" t="s">
        <v>77</v>
      </c>
      <c r="T8350">
        <v>22121</v>
      </c>
      <c r="U8350">
        <v>24369</v>
      </c>
      <c r="V8350" t="s">
        <v>77</v>
      </c>
    </row>
    <row r="8351" spans="1:22">
      <c r="A8351" t="str">
        <f t="shared" si="1541"/>
        <v>30/10/2025</v>
      </c>
      <c r="B8351" t="str">
        <f t="shared" si="1543"/>
        <v>SAÍDA</v>
      </c>
      <c r="C8351" t="str">
        <f t="shared" si="1545"/>
        <v>PIX</v>
      </c>
      <c r="D8351" t="str">
        <f>"24369"</f>
        <v>24369</v>
      </c>
      <c r="E8351" t="str">
        <f t="shared" si="1537"/>
        <v>1</v>
      </c>
      <c r="F8351" t="str">
        <f t="shared" si="1540"/>
        <v>COM</v>
      </c>
      <c r="G8351" t="str">
        <f>"IGOR LOPES DA SILVA (991)"</f>
        <v>IGOR LOPES DA SILVA (991)</v>
      </c>
      <c r="H8351" t="s">
        <v>2359</v>
      </c>
      <c r="I8351" t="str">
        <f t="shared" si="1544"/>
        <v>30/10/2025</v>
      </c>
      <c r="J8351" t="str">
        <f t="shared" si="1542"/>
        <v>27/10/2025</v>
      </c>
      <c r="K8351">
        <v>45960</v>
      </c>
      <c r="N8351">
        <v>109</v>
      </c>
      <c r="O8351" t="s">
        <v>24</v>
      </c>
      <c r="Q8351">
        <v>325</v>
      </c>
      <c r="R8351" t="str">
        <f>"PENSE FARMA 39 (10228)"</f>
        <v>PENSE FARMA 39 (10228)</v>
      </c>
      <c r="S8351" t="s">
        <v>77</v>
      </c>
      <c r="T8351">
        <v>22121</v>
      </c>
      <c r="U8351">
        <v>24369</v>
      </c>
      <c r="V8351" t="s">
        <v>77</v>
      </c>
    </row>
    <row r="8352" spans="1:22">
      <c r="A8352" t="str">
        <f t="shared" si="1541"/>
        <v>30/10/2025</v>
      </c>
      <c r="B8352" t="str">
        <f t="shared" si="1543"/>
        <v>SAÍDA</v>
      </c>
      <c r="C8352" t="str">
        <f t="shared" si="1545"/>
        <v>PIX</v>
      </c>
      <c r="D8352" t="str">
        <f>"24373"</f>
        <v>24373</v>
      </c>
      <c r="E8352" t="str">
        <f t="shared" si="1537"/>
        <v>1</v>
      </c>
      <c r="F8352" t="str">
        <f t="shared" si="1540"/>
        <v>COM</v>
      </c>
      <c r="G8352" t="str">
        <f>"MATEUS VIEIRA DE SOUZA (1019)"</f>
        <v>MATEUS VIEIRA DE SOUZA (1019)</v>
      </c>
      <c r="H8352" t="str">
        <f>"Serv.Prest. 20/10/2025 a 26/10/2025 - PIX: CELULAR - CHAVE: (11) 97702-1316"</f>
        <v>Serv.Prest. 20/10/2025 a 26/10/2025 - PIX: CELULAR - CHAVE: (11) 97702-1316</v>
      </c>
      <c r="I8352" t="str">
        <f t="shared" si="1544"/>
        <v>30/10/2025</v>
      </c>
      <c r="J8352" t="str">
        <f t="shared" si="1542"/>
        <v>27/10/2025</v>
      </c>
      <c r="K8352" t="str">
        <f>("30/10/2025")</f>
        <v>30/10/2025</v>
      </c>
      <c r="L8352">
        <v>1300</v>
      </c>
      <c r="M8352">
        <v>1300</v>
      </c>
      <c r="N8352">
        <v>109</v>
      </c>
      <c r="O8352" t="str">
        <f>"PAGAMENTO DE ENTREGADORES"</f>
        <v>PAGAMENTO DE ENTREGADORES</v>
      </c>
      <c r="P8352">
        <v>1300</v>
      </c>
      <c r="S8352" t="str">
        <f>"BANCO C6 (149)"</f>
        <v>BANCO C6 (149)</v>
      </c>
      <c r="T8352">
        <v>22122</v>
      </c>
      <c r="U8352">
        <v>24373</v>
      </c>
      <c r="V8352" t="s">
        <v>77</v>
      </c>
    </row>
    <row r="8353" spans="1:22">
      <c r="A8353" t="str">
        <f t="shared" si="1541"/>
        <v>30/10/2025</v>
      </c>
      <c r="B8353" t="str">
        <f t="shared" si="1543"/>
        <v>SAÍDA</v>
      </c>
      <c r="C8353" t="str">
        <f t="shared" si="1545"/>
        <v>PIX</v>
      </c>
      <c r="D8353" t="str">
        <f>"24373"</f>
        <v>24373</v>
      </c>
      <c r="E8353" t="str">
        <f t="shared" si="1537"/>
        <v>1</v>
      </c>
      <c r="F8353" t="str">
        <f t="shared" si="1540"/>
        <v>COM</v>
      </c>
      <c r="G8353" t="str">
        <f>"MATEUS VIEIRA DE SOUZA (1019)"</f>
        <v>MATEUS VIEIRA DE SOUZA (1019)</v>
      </c>
      <c r="H8353" t="s">
        <v>2360</v>
      </c>
      <c r="I8353" t="str">
        <f t="shared" si="1544"/>
        <v>30/10/2025</v>
      </c>
      <c r="J8353" t="str">
        <f t="shared" si="1542"/>
        <v>27/10/2025</v>
      </c>
      <c r="K8353">
        <v>45960</v>
      </c>
      <c r="N8353">
        <v>109</v>
      </c>
      <c r="O8353" t="s">
        <v>24</v>
      </c>
      <c r="Q8353">
        <v>1300</v>
      </c>
      <c r="R8353" t="str">
        <f>"PENSE FARMA 47 (10232)"</f>
        <v>PENSE FARMA 47 (10232)</v>
      </c>
      <c r="S8353" t="s">
        <v>77</v>
      </c>
      <c r="T8353">
        <v>22122</v>
      </c>
      <c r="U8353">
        <v>24373</v>
      </c>
      <c r="V8353" t="s">
        <v>77</v>
      </c>
    </row>
    <row r="8354" spans="1:22">
      <c r="A8354" t="str">
        <f t="shared" si="1541"/>
        <v>30/10/2025</v>
      </c>
      <c r="B8354" t="str">
        <f t="shared" si="1543"/>
        <v>SAÍDA</v>
      </c>
      <c r="C8354" t="str">
        <f t="shared" si="1545"/>
        <v>PIX</v>
      </c>
      <c r="D8354" t="str">
        <f>"24375"</f>
        <v>24375</v>
      </c>
      <c r="E8354" t="str">
        <f t="shared" si="1537"/>
        <v>1</v>
      </c>
      <c r="F8354" t="str">
        <f t="shared" si="1540"/>
        <v>COM</v>
      </c>
      <c r="G8354" t="str">
        <f>"RODRIGO TEIXEIRA ROCHA (1007)"</f>
        <v>RODRIGO TEIXEIRA ROCHA (1007)</v>
      </c>
      <c r="H8354" t="str">
        <f>"Serv.Prest. 20/10/2025 a 26/10/2025 - PIX: CPF - CHAVE: 506.934.998-85"</f>
        <v>Serv.Prest. 20/10/2025 a 26/10/2025 - PIX: CPF - CHAVE: 506.934.998-85</v>
      </c>
      <c r="I8354" t="str">
        <f t="shared" si="1544"/>
        <v>30/10/2025</v>
      </c>
      <c r="J8354" t="str">
        <f t="shared" si="1542"/>
        <v>27/10/2025</v>
      </c>
      <c r="K8354" t="str">
        <f>("30/10/2025")</f>
        <v>30/10/2025</v>
      </c>
      <c r="L8354">
        <v>1300</v>
      </c>
      <c r="M8354">
        <v>1300</v>
      </c>
      <c r="N8354">
        <v>109</v>
      </c>
      <c r="O8354" t="str">
        <f>"PAGAMENTO DE ENTREGADORES"</f>
        <v>PAGAMENTO DE ENTREGADORES</v>
      </c>
      <c r="P8354">
        <v>1300</v>
      </c>
      <c r="S8354" t="str">
        <f>"BANCO C6 (149)"</f>
        <v>BANCO C6 (149)</v>
      </c>
      <c r="T8354">
        <v>22123</v>
      </c>
      <c r="U8354">
        <v>24375</v>
      </c>
      <c r="V8354" t="s">
        <v>77</v>
      </c>
    </row>
    <row r="8355" spans="1:22">
      <c r="A8355" t="str">
        <f t="shared" si="1541"/>
        <v>30/10/2025</v>
      </c>
      <c r="B8355" t="str">
        <f t="shared" si="1543"/>
        <v>SAÍDA</v>
      </c>
      <c r="C8355" t="str">
        <f t="shared" si="1545"/>
        <v>PIX</v>
      </c>
      <c r="D8355" t="str">
        <f>"24375"</f>
        <v>24375</v>
      </c>
      <c r="E8355" t="str">
        <f t="shared" si="1537"/>
        <v>1</v>
      </c>
      <c r="F8355" t="str">
        <f t="shared" si="1540"/>
        <v>COM</v>
      </c>
      <c r="G8355" t="str">
        <f>"RODRIGO TEIXEIRA ROCHA (1007)"</f>
        <v>RODRIGO TEIXEIRA ROCHA (1007)</v>
      </c>
      <c r="H8355" t="s">
        <v>2361</v>
      </c>
      <c r="I8355" t="str">
        <f t="shared" si="1544"/>
        <v>30/10/2025</v>
      </c>
      <c r="J8355" t="str">
        <f t="shared" si="1542"/>
        <v>27/10/2025</v>
      </c>
      <c r="K8355">
        <v>45960</v>
      </c>
      <c r="N8355">
        <v>109</v>
      </c>
      <c r="O8355" t="s">
        <v>24</v>
      </c>
      <c r="Q8355">
        <v>1300</v>
      </c>
      <c r="R8355" t="str">
        <f>"PENSE FARMA 25 (10224)"</f>
        <v>PENSE FARMA 25 (10224)</v>
      </c>
      <c r="S8355" t="s">
        <v>77</v>
      </c>
      <c r="T8355">
        <v>22123</v>
      </c>
      <c r="U8355">
        <v>24375</v>
      </c>
      <c r="V8355" t="s">
        <v>77</v>
      </c>
    </row>
    <row r="8356" spans="1:22">
      <c r="A8356" t="str">
        <f t="shared" si="1541"/>
        <v>30/10/2025</v>
      </c>
      <c r="B8356" t="str">
        <f t="shared" si="1543"/>
        <v>SAÍDA</v>
      </c>
      <c r="C8356" t="str">
        <f t="shared" si="1545"/>
        <v>PIX</v>
      </c>
      <c r="D8356" t="str">
        <f>"24376"</f>
        <v>24376</v>
      </c>
      <c r="E8356" t="str">
        <f t="shared" ref="E8356:E8419" si="1546">"1"</f>
        <v>1</v>
      </c>
      <c r="F8356" t="str">
        <f t="shared" si="1540"/>
        <v>COM</v>
      </c>
      <c r="G8356" t="str">
        <f>"VAGNER DIEGO DE OLIVEIRA MELO (990)"</f>
        <v>VAGNER DIEGO DE OLIVEIRA MELO (990)</v>
      </c>
      <c r="H8356" t="str">
        <f>"Serv.Prest. 20/10/2025 a 26/10/2025 - PIX: CPF - CHAVE: 419.678.508-52"</f>
        <v>Serv.Prest. 20/10/2025 a 26/10/2025 - PIX: CPF - CHAVE: 419.678.508-52</v>
      </c>
      <c r="I8356" t="str">
        <f t="shared" si="1544"/>
        <v>30/10/2025</v>
      </c>
      <c r="J8356" t="str">
        <f t="shared" si="1542"/>
        <v>27/10/2025</v>
      </c>
      <c r="K8356" t="str">
        <f>("30/10/2025")</f>
        <v>30/10/2025</v>
      </c>
      <c r="L8356">
        <v>1300</v>
      </c>
      <c r="M8356">
        <v>1300</v>
      </c>
      <c r="N8356">
        <v>109</v>
      </c>
      <c r="O8356" t="str">
        <f>"PAGAMENTO DE ENTREGADORES"</f>
        <v>PAGAMENTO DE ENTREGADORES</v>
      </c>
      <c r="P8356">
        <v>1300</v>
      </c>
      <c r="S8356" t="str">
        <f>"BANCO C6 (149)"</f>
        <v>BANCO C6 (149)</v>
      </c>
      <c r="T8356">
        <v>22124</v>
      </c>
      <c r="U8356">
        <v>24376</v>
      </c>
      <c r="V8356" t="s">
        <v>77</v>
      </c>
    </row>
    <row r="8357" spans="1:22">
      <c r="A8357" t="str">
        <f t="shared" si="1541"/>
        <v>30/10/2025</v>
      </c>
      <c r="B8357" t="str">
        <f t="shared" si="1543"/>
        <v>SAÍDA</v>
      </c>
      <c r="C8357" t="str">
        <f t="shared" si="1545"/>
        <v>PIX</v>
      </c>
      <c r="D8357" t="str">
        <f>"24376"</f>
        <v>24376</v>
      </c>
      <c r="E8357" t="str">
        <f t="shared" si="1546"/>
        <v>1</v>
      </c>
      <c r="F8357" t="str">
        <f t="shared" si="1540"/>
        <v>COM</v>
      </c>
      <c r="G8357" t="str">
        <f>"VAGNER DIEGO DE OLIVEIRA MELO (990)"</f>
        <v>VAGNER DIEGO DE OLIVEIRA MELO (990)</v>
      </c>
      <c r="H8357" t="s">
        <v>2362</v>
      </c>
      <c r="I8357" t="str">
        <f t="shared" si="1544"/>
        <v>30/10/2025</v>
      </c>
      <c r="J8357" t="str">
        <f t="shared" si="1542"/>
        <v>27/10/2025</v>
      </c>
      <c r="K8357">
        <v>45960</v>
      </c>
      <c r="N8357">
        <v>109</v>
      </c>
      <c r="O8357" t="s">
        <v>24</v>
      </c>
      <c r="Q8357">
        <v>1300</v>
      </c>
      <c r="R8357" t="str">
        <f>"PENSE FARMA 25 (10224)"</f>
        <v>PENSE FARMA 25 (10224)</v>
      </c>
      <c r="S8357" t="s">
        <v>77</v>
      </c>
      <c r="T8357">
        <v>22124</v>
      </c>
      <c r="U8357">
        <v>24376</v>
      </c>
      <c r="V8357" t="s">
        <v>77</v>
      </c>
    </row>
    <row r="8358" spans="1:22">
      <c r="A8358" t="str">
        <f t="shared" si="1541"/>
        <v>30/10/2025</v>
      </c>
      <c r="B8358" t="str">
        <f t="shared" si="1543"/>
        <v>SAÍDA</v>
      </c>
      <c r="C8358" t="str">
        <f t="shared" si="1545"/>
        <v>PIX</v>
      </c>
      <c r="D8358" t="str">
        <f>"24378"</f>
        <v>24378</v>
      </c>
      <c r="E8358" t="str">
        <f t="shared" si="1546"/>
        <v>1</v>
      </c>
      <c r="F8358" t="str">
        <f t="shared" si="1540"/>
        <v>COM</v>
      </c>
      <c r="G8358" t="str">
        <f>"PEDRO HENRIQUE XAVIER DOS SANTOS (993)"</f>
        <v>PEDRO HENRIQUE XAVIER DOS SANTOS (993)</v>
      </c>
      <c r="H8358" t="str">
        <f>"Serv.Prest. 20/10/2025 a 26/10/2025 - PIX: CPF - CHAVE: 489.237.478-40"</f>
        <v>Serv.Prest. 20/10/2025 a 26/10/2025 - PIX: CPF - CHAVE: 489.237.478-40</v>
      </c>
      <c r="I8358" t="str">
        <f t="shared" si="1544"/>
        <v>30/10/2025</v>
      </c>
      <c r="J8358" t="str">
        <f t="shared" si="1542"/>
        <v>27/10/2025</v>
      </c>
      <c r="K8358" t="str">
        <f>("30/10/2025")</f>
        <v>30/10/2025</v>
      </c>
      <c r="L8358">
        <v>800</v>
      </c>
      <c r="M8358">
        <v>800</v>
      </c>
      <c r="N8358">
        <v>109</v>
      </c>
      <c r="O8358" t="str">
        <f>"PAGAMENTO DE ENTREGADORES"</f>
        <v>PAGAMENTO DE ENTREGADORES</v>
      </c>
      <c r="P8358">
        <v>800</v>
      </c>
      <c r="S8358" t="str">
        <f>"BANCO C6 (149)"</f>
        <v>BANCO C6 (149)</v>
      </c>
      <c r="T8358">
        <v>22125</v>
      </c>
      <c r="U8358">
        <v>24378</v>
      </c>
      <c r="V8358" t="s">
        <v>77</v>
      </c>
    </row>
    <row r="8359" spans="1:22">
      <c r="A8359" t="str">
        <f t="shared" si="1541"/>
        <v>30/10/2025</v>
      </c>
      <c r="B8359" t="str">
        <f t="shared" si="1543"/>
        <v>SAÍDA</v>
      </c>
      <c r="C8359" t="str">
        <f t="shared" si="1545"/>
        <v>PIX</v>
      </c>
      <c r="D8359" t="str">
        <f>"24378"</f>
        <v>24378</v>
      </c>
      <c r="E8359" t="str">
        <f t="shared" si="1546"/>
        <v>1</v>
      </c>
      <c r="F8359" t="str">
        <f t="shared" si="1540"/>
        <v>COM</v>
      </c>
      <c r="G8359" t="str">
        <f>"PEDRO HENRIQUE XAVIER DOS SANTOS (993)"</f>
        <v>PEDRO HENRIQUE XAVIER DOS SANTOS (993)</v>
      </c>
      <c r="H8359" t="s">
        <v>2363</v>
      </c>
      <c r="I8359" t="str">
        <f t="shared" si="1544"/>
        <v>30/10/2025</v>
      </c>
      <c r="J8359" t="str">
        <f t="shared" si="1542"/>
        <v>27/10/2025</v>
      </c>
      <c r="K8359">
        <v>45960</v>
      </c>
      <c r="N8359">
        <v>109</v>
      </c>
      <c r="O8359" t="s">
        <v>24</v>
      </c>
      <c r="Q8359">
        <v>800</v>
      </c>
      <c r="R8359" t="str">
        <f>"PENSE FARMA 35 (10227)"</f>
        <v>PENSE FARMA 35 (10227)</v>
      </c>
      <c r="S8359" t="s">
        <v>77</v>
      </c>
      <c r="T8359">
        <v>22125</v>
      </c>
      <c r="U8359">
        <v>24378</v>
      </c>
      <c r="V8359" t="s">
        <v>77</v>
      </c>
    </row>
    <row r="8360" spans="1:22">
      <c r="A8360" t="str">
        <f t="shared" si="1541"/>
        <v>30/10/2025</v>
      </c>
      <c r="B8360" t="str">
        <f t="shared" si="1543"/>
        <v>SAÍDA</v>
      </c>
      <c r="C8360" t="str">
        <f t="shared" si="1545"/>
        <v>PIX</v>
      </c>
      <c r="D8360" t="str">
        <f t="shared" ref="D8360:D8365" si="1547">"24381"</f>
        <v>24381</v>
      </c>
      <c r="E8360" t="str">
        <f t="shared" si="1546"/>
        <v>1</v>
      </c>
      <c r="F8360" t="str">
        <f t="shared" si="1540"/>
        <v>COM</v>
      </c>
      <c r="G8360" t="str">
        <f t="shared" ref="G8360:G8365" si="1548">"EDUARDO RODRIGUES ALVES STEPHANO (999)"</f>
        <v>EDUARDO RODRIGUES ALVES STEPHANO (999)</v>
      </c>
      <c r="H8360" t="str">
        <f>"Serv.Prest. 20/10/2025 a 26/10/2025 - PIX: CPF - CHAVE: 370.849.948-40"</f>
        <v>Serv.Prest. 20/10/2025 a 26/10/2025 - PIX: CPF - CHAVE: 370.849.948-40</v>
      </c>
      <c r="I8360" t="str">
        <f t="shared" si="1544"/>
        <v>30/10/2025</v>
      </c>
      <c r="J8360" t="str">
        <f t="shared" si="1542"/>
        <v>27/10/2025</v>
      </c>
      <c r="K8360" t="str">
        <f>("30/10/2025")</f>
        <v>30/10/2025</v>
      </c>
      <c r="L8360">
        <v>1375</v>
      </c>
      <c r="M8360">
        <v>1375</v>
      </c>
      <c r="N8360">
        <v>109</v>
      </c>
      <c r="O8360" t="str">
        <f>"PAGAMENTO DE ENTREGADORES"</f>
        <v>PAGAMENTO DE ENTREGADORES</v>
      </c>
      <c r="P8360">
        <v>1375</v>
      </c>
      <c r="S8360" t="str">
        <f>"BANCO C6 (149)"</f>
        <v>BANCO C6 (149)</v>
      </c>
      <c r="T8360">
        <v>22126</v>
      </c>
      <c r="U8360">
        <v>24381</v>
      </c>
      <c r="V8360" t="s">
        <v>77</v>
      </c>
    </row>
    <row r="8361" spans="1:22">
      <c r="A8361" t="str">
        <f t="shared" si="1541"/>
        <v>30/10/2025</v>
      </c>
      <c r="B8361" t="str">
        <f t="shared" si="1543"/>
        <v>SAÍDA</v>
      </c>
      <c r="C8361" t="str">
        <f t="shared" si="1545"/>
        <v>PIX</v>
      </c>
      <c r="D8361" t="str">
        <f t="shared" si="1547"/>
        <v>24381</v>
      </c>
      <c r="E8361" t="str">
        <f t="shared" si="1546"/>
        <v>1</v>
      </c>
      <c r="F8361" t="str">
        <f t="shared" si="1540"/>
        <v>COM</v>
      </c>
      <c r="G8361" t="str">
        <f t="shared" si="1548"/>
        <v>EDUARDO RODRIGUES ALVES STEPHANO (999)</v>
      </c>
      <c r="H8361" t="s">
        <v>2364</v>
      </c>
      <c r="I8361" t="str">
        <f t="shared" si="1544"/>
        <v>30/10/2025</v>
      </c>
      <c r="J8361" t="str">
        <f t="shared" si="1542"/>
        <v>27/10/2025</v>
      </c>
      <c r="K8361">
        <v>45960</v>
      </c>
      <c r="N8361">
        <v>109</v>
      </c>
      <c r="O8361" t="s">
        <v>24</v>
      </c>
      <c r="Q8361">
        <v>275</v>
      </c>
      <c r="R8361" t="str">
        <f>"PENSE FARMA 08 (10217)"</f>
        <v>PENSE FARMA 08 (10217)</v>
      </c>
      <c r="S8361" t="s">
        <v>77</v>
      </c>
      <c r="T8361">
        <v>22126</v>
      </c>
      <c r="U8361">
        <v>24381</v>
      </c>
      <c r="V8361" t="s">
        <v>77</v>
      </c>
    </row>
    <row r="8362" spans="1:22">
      <c r="A8362" t="str">
        <f t="shared" si="1541"/>
        <v>30/10/2025</v>
      </c>
      <c r="B8362" t="str">
        <f t="shared" si="1543"/>
        <v>SAÍDA</v>
      </c>
      <c r="C8362" t="str">
        <f t="shared" si="1545"/>
        <v>PIX</v>
      </c>
      <c r="D8362" t="str">
        <f t="shared" si="1547"/>
        <v>24381</v>
      </c>
      <c r="E8362" t="str">
        <f t="shared" si="1546"/>
        <v>1</v>
      </c>
      <c r="F8362" t="str">
        <f t="shared" si="1540"/>
        <v>COM</v>
      </c>
      <c r="G8362" t="str">
        <f t="shared" si="1548"/>
        <v>EDUARDO RODRIGUES ALVES STEPHANO (999)</v>
      </c>
      <c r="H8362" t="s">
        <v>2364</v>
      </c>
      <c r="I8362" t="str">
        <f t="shared" si="1544"/>
        <v>30/10/2025</v>
      </c>
      <c r="J8362" t="str">
        <f t="shared" si="1542"/>
        <v>27/10/2025</v>
      </c>
      <c r="K8362">
        <v>45960</v>
      </c>
      <c r="N8362">
        <v>109</v>
      </c>
      <c r="O8362" t="s">
        <v>24</v>
      </c>
      <c r="Q8362">
        <v>275</v>
      </c>
      <c r="R8362" t="str">
        <f>"PENSE FARMA 11 (10220)"</f>
        <v>PENSE FARMA 11 (10220)</v>
      </c>
      <c r="S8362" t="s">
        <v>77</v>
      </c>
      <c r="T8362">
        <v>22126</v>
      </c>
      <c r="U8362">
        <v>24381</v>
      </c>
      <c r="V8362" t="s">
        <v>77</v>
      </c>
    </row>
    <row r="8363" spans="1:22">
      <c r="A8363" t="str">
        <f t="shared" si="1541"/>
        <v>30/10/2025</v>
      </c>
      <c r="B8363" t="str">
        <f t="shared" si="1543"/>
        <v>SAÍDA</v>
      </c>
      <c r="C8363" t="str">
        <f t="shared" si="1545"/>
        <v>PIX</v>
      </c>
      <c r="D8363" t="str">
        <f t="shared" si="1547"/>
        <v>24381</v>
      </c>
      <c r="E8363" t="str">
        <f t="shared" si="1546"/>
        <v>1</v>
      </c>
      <c r="F8363" t="str">
        <f t="shared" si="1540"/>
        <v>COM</v>
      </c>
      <c r="G8363" t="str">
        <f t="shared" si="1548"/>
        <v>EDUARDO RODRIGUES ALVES STEPHANO (999)</v>
      </c>
      <c r="H8363" t="s">
        <v>2364</v>
      </c>
      <c r="I8363" t="str">
        <f t="shared" si="1544"/>
        <v>30/10/2025</v>
      </c>
      <c r="J8363" t="str">
        <f t="shared" si="1542"/>
        <v>27/10/2025</v>
      </c>
      <c r="K8363">
        <v>45960</v>
      </c>
      <c r="N8363">
        <v>109</v>
      </c>
      <c r="O8363" t="s">
        <v>24</v>
      </c>
      <c r="Q8363">
        <v>275</v>
      </c>
      <c r="R8363" t="str">
        <f>"PENSE FARMA 41 (10229)"</f>
        <v>PENSE FARMA 41 (10229)</v>
      </c>
      <c r="S8363" t="s">
        <v>77</v>
      </c>
      <c r="T8363">
        <v>22126</v>
      </c>
      <c r="U8363">
        <v>24381</v>
      </c>
      <c r="V8363" t="s">
        <v>77</v>
      </c>
    </row>
    <row r="8364" spans="1:22">
      <c r="A8364" t="str">
        <f t="shared" si="1541"/>
        <v>30/10/2025</v>
      </c>
      <c r="B8364" t="str">
        <f t="shared" si="1543"/>
        <v>SAÍDA</v>
      </c>
      <c r="C8364" t="str">
        <f t="shared" si="1545"/>
        <v>PIX</v>
      </c>
      <c r="D8364" t="str">
        <f t="shared" si="1547"/>
        <v>24381</v>
      </c>
      <c r="E8364" t="str">
        <f t="shared" si="1546"/>
        <v>1</v>
      </c>
      <c r="F8364" t="str">
        <f t="shared" si="1540"/>
        <v>COM</v>
      </c>
      <c r="G8364" t="str">
        <f t="shared" si="1548"/>
        <v>EDUARDO RODRIGUES ALVES STEPHANO (999)</v>
      </c>
      <c r="H8364" t="s">
        <v>2364</v>
      </c>
      <c r="I8364" t="str">
        <f t="shared" si="1544"/>
        <v>30/10/2025</v>
      </c>
      <c r="J8364" t="str">
        <f t="shared" si="1542"/>
        <v>27/10/2025</v>
      </c>
      <c r="K8364">
        <v>45960</v>
      </c>
      <c r="N8364">
        <v>109</v>
      </c>
      <c r="O8364" t="s">
        <v>24</v>
      </c>
      <c r="Q8364">
        <v>275</v>
      </c>
      <c r="R8364" t="str">
        <f>"PENSE FARMA 42 (10230)"</f>
        <v>PENSE FARMA 42 (10230)</v>
      </c>
      <c r="S8364" t="s">
        <v>77</v>
      </c>
      <c r="T8364">
        <v>22126</v>
      </c>
      <c r="U8364">
        <v>24381</v>
      </c>
      <c r="V8364" t="s">
        <v>77</v>
      </c>
    </row>
    <row r="8365" spans="1:22">
      <c r="A8365" t="str">
        <f t="shared" si="1541"/>
        <v>30/10/2025</v>
      </c>
      <c r="B8365" t="str">
        <f t="shared" si="1543"/>
        <v>SAÍDA</v>
      </c>
      <c r="C8365" t="str">
        <f t="shared" si="1545"/>
        <v>PIX</v>
      </c>
      <c r="D8365" t="str">
        <f t="shared" si="1547"/>
        <v>24381</v>
      </c>
      <c r="E8365" t="str">
        <f t="shared" si="1546"/>
        <v>1</v>
      </c>
      <c r="F8365" t="str">
        <f t="shared" si="1540"/>
        <v>COM</v>
      </c>
      <c r="G8365" t="str">
        <f t="shared" si="1548"/>
        <v>EDUARDO RODRIGUES ALVES STEPHANO (999)</v>
      </c>
      <c r="H8365" t="s">
        <v>2364</v>
      </c>
      <c r="I8365" t="str">
        <f t="shared" si="1544"/>
        <v>30/10/2025</v>
      </c>
      <c r="J8365" t="str">
        <f t="shared" ref="J8365:J8396" si="1549">("27/10/2025")</f>
        <v>27/10/2025</v>
      </c>
      <c r="K8365">
        <v>45960</v>
      </c>
      <c r="N8365">
        <v>109</v>
      </c>
      <c r="O8365" t="s">
        <v>24</v>
      </c>
      <c r="Q8365">
        <v>275</v>
      </c>
      <c r="R8365" t="str">
        <f>"PENSE FARMA 52 (10236)"</f>
        <v>PENSE FARMA 52 (10236)</v>
      </c>
      <c r="S8365" t="s">
        <v>77</v>
      </c>
      <c r="T8365">
        <v>22126</v>
      </c>
      <c r="U8365">
        <v>24381</v>
      </c>
      <c r="V8365" t="s">
        <v>77</v>
      </c>
    </row>
    <row r="8366" spans="1:22">
      <c r="A8366" t="str">
        <f t="shared" si="1541"/>
        <v>30/10/2025</v>
      </c>
      <c r="B8366" t="str">
        <f t="shared" si="1543"/>
        <v>SAÍDA</v>
      </c>
      <c r="C8366" t="str">
        <f t="shared" si="1545"/>
        <v>PIX</v>
      </c>
      <c r="D8366" t="str">
        <f>"24383"</f>
        <v>24383</v>
      </c>
      <c r="E8366" t="str">
        <f t="shared" si="1546"/>
        <v>1</v>
      </c>
      <c r="F8366" t="str">
        <f t="shared" si="1540"/>
        <v>COM</v>
      </c>
      <c r="G8366" t="str">
        <f>"MARCOS DUARTE CARVALHO (998)"</f>
        <v>MARCOS DUARTE CARVALHO (998)</v>
      </c>
      <c r="H8366" t="str">
        <f>"Serv.Prest. 20/10/2025 a 26/10/2025 - PIX: CPF - CHAVE: 396.877.618-65"</f>
        <v>Serv.Prest. 20/10/2025 a 26/10/2025 - PIX: CPF - CHAVE: 396.877.618-65</v>
      </c>
      <c r="I8366" t="str">
        <f t="shared" si="1544"/>
        <v>30/10/2025</v>
      </c>
      <c r="J8366" t="str">
        <f t="shared" si="1549"/>
        <v>27/10/2025</v>
      </c>
      <c r="K8366" t="str">
        <f>("30/10/2025")</f>
        <v>30/10/2025</v>
      </c>
      <c r="L8366">
        <v>1375</v>
      </c>
      <c r="M8366">
        <v>1375</v>
      </c>
      <c r="N8366">
        <v>109</v>
      </c>
      <c r="O8366" t="str">
        <f>"PAGAMENTO DE ENTREGADORES"</f>
        <v>PAGAMENTO DE ENTREGADORES</v>
      </c>
      <c r="P8366">
        <v>1375</v>
      </c>
      <c r="S8366" t="str">
        <f>"BANCO C6 (149)"</f>
        <v>BANCO C6 (149)</v>
      </c>
      <c r="T8366">
        <v>22127</v>
      </c>
      <c r="U8366">
        <v>24383</v>
      </c>
      <c r="V8366" t="s">
        <v>77</v>
      </c>
    </row>
    <row r="8367" spans="1:22">
      <c r="A8367" t="str">
        <f t="shared" si="1541"/>
        <v>30/10/2025</v>
      </c>
      <c r="B8367" t="str">
        <f t="shared" si="1543"/>
        <v>SAÍDA</v>
      </c>
      <c r="C8367" t="str">
        <f t="shared" si="1545"/>
        <v>PIX</v>
      </c>
      <c r="D8367" t="str">
        <f>"24383"</f>
        <v>24383</v>
      </c>
      <c r="E8367" t="str">
        <f t="shared" si="1546"/>
        <v>1</v>
      </c>
      <c r="F8367" t="str">
        <f t="shared" si="1540"/>
        <v>COM</v>
      </c>
      <c r="G8367" t="str">
        <f>"MARCOS DUARTE CARVALHO (998)"</f>
        <v>MARCOS DUARTE CARVALHO (998)</v>
      </c>
      <c r="H8367" t="s">
        <v>2365</v>
      </c>
      <c r="I8367" t="str">
        <f t="shared" si="1544"/>
        <v>30/10/2025</v>
      </c>
      <c r="J8367" t="str">
        <f t="shared" si="1549"/>
        <v>27/10/2025</v>
      </c>
      <c r="K8367">
        <v>45960</v>
      </c>
      <c r="N8367">
        <v>109</v>
      </c>
      <c r="O8367" t="s">
        <v>24</v>
      </c>
      <c r="Q8367">
        <v>687.5</v>
      </c>
      <c r="R8367" t="str">
        <f>"PENSE FARMA 09 (10218)"</f>
        <v>PENSE FARMA 09 (10218)</v>
      </c>
      <c r="S8367" t="s">
        <v>77</v>
      </c>
      <c r="T8367">
        <v>22127</v>
      </c>
      <c r="U8367">
        <v>24383</v>
      </c>
      <c r="V8367" t="s">
        <v>77</v>
      </c>
    </row>
    <row r="8368" spans="1:22">
      <c r="A8368" t="str">
        <f t="shared" si="1541"/>
        <v>30/10/2025</v>
      </c>
      <c r="B8368" t="str">
        <f t="shared" si="1543"/>
        <v>SAÍDA</v>
      </c>
      <c r="C8368" t="str">
        <f t="shared" si="1545"/>
        <v>PIX</v>
      </c>
      <c r="D8368" t="str">
        <f>"24383"</f>
        <v>24383</v>
      </c>
      <c r="E8368" t="str">
        <f t="shared" si="1546"/>
        <v>1</v>
      </c>
      <c r="F8368" t="str">
        <f t="shared" si="1540"/>
        <v>COM</v>
      </c>
      <c r="G8368" t="str">
        <f>"MARCOS DUARTE CARVALHO (998)"</f>
        <v>MARCOS DUARTE CARVALHO (998)</v>
      </c>
      <c r="H8368" t="s">
        <v>2365</v>
      </c>
      <c r="I8368" t="str">
        <f t="shared" si="1544"/>
        <v>30/10/2025</v>
      </c>
      <c r="J8368" t="str">
        <f t="shared" si="1549"/>
        <v>27/10/2025</v>
      </c>
      <c r="K8368">
        <v>45960</v>
      </c>
      <c r="N8368">
        <v>109</v>
      </c>
      <c r="O8368" t="s">
        <v>24</v>
      </c>
      <c r="Q8368">
        <v>687.5</v>
      </c>
      <c r="R8368" t="str">
        <f>"PENSE FARMA 10 (10219)"</f>
        <v>PENSE FARMA 10 (10219)</v>
      </c>
      <c r="S8368" t="s">
        <v>77</v>
      </c>
      <c r="T8368">
        <v>22127</v>
      </c>
      <c r="U8368">
        <v>24383</v>
      </c>
      <c r="V8368" t="s">
        <v>77</v>
      </c>
    </row>
    <row r="8369" spans="1:22">
      <c r="A8369" t="str">
        <f t="shared" si="1541"/>
        <v>30/10/2025</v>
      </c>
      <c r="B8369" t="str">
        <f t="shared" si="1543"/>
        <v>SAÍDA</v>
      </c>
      <c r="C8369" t="str">
        <f t="shared" si="1545"/>
        <v>PIX</v>
      </c>
      <c r="D8369" t="str">
        <f>"24385"</f>
        <v>24385</v>
      </c>
      <c r="E8369" t="str">
        <f t="shared" si="1546"/>
        <v>1</v>
      </c>
      <c r="F8369" t="str">
        <f t="shared" si="1540"/>
        <v>COM</v>
      </c>
      <c r="G8369" t="str">
        <f>"HERICK KUSSYOYADA CAMARA (937)"</f>
        <v>HERICK KUSSYOYADA CAMARA (937)</v>
      </c>
      <c r="H8369" t="str">
        <f>"Serv.Prest. 20/10/2025 a 26/10/2025 - PIX: CPF - CHAVE: 427.090.718-51"</f>
        <v>Serv.Prest. 20/10/2025 a 26/10/2025 - PIX: CPF - CHAVE: 427.090.718-51</v>
      </c>
      <c r="I8369" t="str">
        <f t="shared" si="1544"/>
        <v>30/10/2025</v>
      </c>
      <c r="J8369" t="str">
        <f t="shared" si="1549"/>
        <v>27/10/2025</v>
      </c>
      <c r="K8369" t="str">
        <f>("30/10/2025")</f>
        <v>30/10/2025</v>
      </c>
      <c r="L8369">
        <v>1400</v>
      </c>
      <c r="M8369">
        <v>1400</v>
      </c>
      <c r="N8369">
        <v>109</v>
      </c>
      <c r="O8369" t="str">
        <f>"PAGAMENTO DE ENTREGADORES"</f>
        <v>PAGAMENTO DE ENTREGADORES</v>
      </c>
      <c r="P8369">
        <v>1400</v>
      </c>
      <c r="S8369" t="str">
        <f>"BANCO C6 (149)"</f>
        <v>BANCO C6 (149)</v>
      </c>
      <c r="T8369">
        <v>22128</v>
      </c>
      <c r="U8369">
        <v>24385</v>
      </c>
      <c r="V8369" t="s">
        <v>77</v>
      </c>
    </row>
    <row r="8370" spans="1:22">
      <c r="A8370" t="str">
        <f t="shared" si="1541"/>
        <v>30/10/2025</v>
      </c>
      <c r="B8370" t="str">
        <f t="shared" si="1543"/>
        <v>SAÍDA</v>
      </c>
      <c r="C8370" t="str">
        <f t="shared" si="1545"/>
        <v>PIX</v>
      </c>
      <c r="D8370" t="str">
        <f>"24385"</f>
        <v>24385</v>
      </c>
      <c r="E8370" t="str">
        <f t="shared" si="1546"/>
        <v>1</v>
      </c>
      <c r="F8370" t="str">
        <f t="shared" si="1540"/>
        <v>COM</v>
      </c>
      <c r="G8370" t="str">
        <f>"HERICK KUSSYOYADA CAMARA (937)"</f>
        <v>HERICK KUSSYOYADA CAMARA (937)</v>
      </c>
      <c r="H8370" t="s">
        <v>2366</v>
      </c>
      <c r="I8370" t="str">
        <f t="shared" si="1544"/>
        <v>30/10/2025</v>
      </c>
      <c r="J8370" t="str">
        <f t="shared" si="1549"/>
        <v>27/10/2025</v>
      </c>
      <c r="K8370">
        <v>45960</v>
      </c>
      <c r="N8370">
        <v>109</v>
      </c>
      <c r="O8370" t="s">
        <v>24</v>
      </c>
      <c r="Q8370">
        <v>1400</v>
      </c>
      <c r="R8370" t="str">
        <f>"PENSE FARMA 46 (10194)"</f>
        <v>PENSE FARMA 46 (10194)</v>
      </c>
      <c r="S8370" t="s">
        <v>77</v>
      </c>
      <c r="T8370">
        <v>22128</v>
      </c>
      <c r="U8370">
        <v>24385</v>
      </c>
      <c r="V8370" t="s">
        <v>77</v>
      </c>
    </row>
    <row r="8371" spans="1:22">
      <c r="A8371" t="str">
        <f t="shared" si="1541"/>
        <v>30/10/2025</v>
      </c>
      <c r="B8371" t="str">
        <f t="shared" si="1543"/>
        <v>SAÍDA</v>
      </c>
      <c r="C8371" t="str">
        <f t="shared" si="1545"/>
        <v>PIX</v>
      </c>
      <c r="D8371" t="str">
        <f t="shared" ref="D8371:D8377" si="1550">"24387"</f>
        <v>24387</v>
      </c>
      <c r="E8371" t="str">
        <f t="shared" si="1546"/>
        <v>1</v>
      </c>
      <c r="F8371" t="str">
        <f t="shared" si="1540"/>
        <v>COM</v>
      </c>
      <c r="G8371" t="str">
        <f t="shared" ref="G8371:G8377" si="1551">"FELIPE ALEXANDRE CAMA (976)"</f>
        <v>FELIPE ALEXANDRE CAMA (976)</v>
      </c>
      <c r="H8371" t="str">
        <f>"Serv.Prest. 20/10/2025 a 26/10/2025 - PIX: CPF - CHAVE: 471.142.438-55"</f>
        <v>Serv.Prest. 20/10/2025 a 26/10/2025 - PIX: CPF - CHAVE: 471.142.438-55</v>
      </c>
      <c r="I8371" t="str">
        <f t="shared" si="1544"/>
        <v>30/10/2025</v>
      </c>
      <c r="J8371" t="str">
        <f t="shared" si="1549"/>
        <v>27/10/2025</v>
      </c>
      <c r="K8371" t="str">
        <f>("30/10/2025")</f>
        <v>30/10/2025</v>
      </c>
      <c r="L8371">
        <v>1325</v>
      </c>
      <c r="M8371">
        <v>1325</v>
      </c>
      <c r="N8371">
        <v>109</v>
      </c>
      <c r="O8371" t="str">
        <f>"PAGAMENTO DE ENTREGADORES"</f>
        <v>PAGAMENTO DE ENTREGADORES</v>
      </c>
      <c r="P8371">
        <v>1325</v>
      </c>
      <c r="S8371" t="str">
        <f>"BANCO C6 (149)"</f>
        <v>BANCO C6 (149)</v>
      </c>
      <c r="T8371">
        <v>22129</v>
      </c>
      <c r="U8371">
        <v>24387</v>
      </c>
      <c r="V8371" t="s">
        <v>77</v>
      </c>
    </row>
    <row r="8372" spans="1:22">
      <c r="A8372" t="str">
        <f t="shared" si="1541"/>
        <v>30/10/2025</v>
      </c>
      <c r="B8372" t="str">
        <f t="shared" si="1543"/>
        <v>SAÍDA</v>
      </c>
      <c r="C8372" t="str">
        <f t="shared" si="1545"/>
        <v>PIX</v>
      </c>
      <c r="D8372" t="str">
        <f t="shared" si="1550"/>
        <v>24387</v>
      </c>
      <c r="E8372" t="str">
        <f t="shared" si="1546"/>
        <v>1</v>
      </c>
      <c r="F8372" t="str">
        <f t="shared" si="1540"/>
        <v>COM</v>
      </c>
      <c r="G8372" t="str">
        <f t="shared" si="1551"/>
        <v>FELIPE ALEXANDRE CAMA (976)</v>
      </c>
      <c r="H8372" t="s">
        <v>2367</v>
      </c>
      <c r="I8372" t="str">
        <f t="shared" si="1544"/>
        <v>30/10/2025</v>
      </c>
      <c r="J8372" t="str">
        <f t="shared" si="1549"/>
        <v>27/10/2025</v>
      </c>
      <c r="K8372">
        <v>45960</v>
      </c>
      <c r="N8372">
        <v>109</v>
      </c>
      <c r="O8372" t="s">
        <v>24</v>
      </c>
      <c r="Q8372">
        <v>220.87</v>
      </c>
      <c r="R8372" t="str">
        <f>"PENSE FARMA 20 (10203)"</f>
        <v>PENSE FARMA 20 (10203)</v>
      </c>
      <c r="S8372" t="s">
        <v>77</v>
      </c>
      <c r="T8372">
        <v>22129</v>
      </c>
      <c r="U8372">
        <v>24387</v>
      </c>
      <c r="V8372" t="s">
        <v>77</v>
      </c>
    </row>
    <row r="8373" spans="1:22">
      <c r="A8373" t="str">
        <f t="shared" si="1541"/>
        <v>30/10/2025</v>
      </c>
      <c r="B8373" t="str">
        <f t="shared" si="1543"/>
        <v>SAÍDA</v>
      </c>
      <c r="C8373" t="str">
        <f t="shared" si="1545"/>
        <v>PIX</v>
      </c>
      <c r="D8373" t="str">
        <f t="shared" si="1550"/>
        <v>24387</v>
      </c>
      <c r="E8373" t="str">
        <f t="shared" si="1546"/>
        <v>1</v>
      </c>
      <c r="F8373" t="str">
        <f t="shared" si="1540"/>
        <v>COM</v>
      </c>
      <c r="G8373" t="str">
        <f t="shared" si="1551"/>
        <v>FELIPE ALEXANDRE CAMA (976)</v>
      </c>
      <c r="H8373" t="s">
        <v>2367</v>
      </c>
      <c r="I8373" t="str">
        <f t="shared" si="1544"/>
        <v>30/10/2025</v>
      </c>
      <c r="J8373" t="str">
        <f t="shared" si="1549"/>
        <v>27/10/2025</v>
      </c>
      <c r="K8373">
        <v>45960</v>
      </c>
      <c r="N8373">
        <v>109</v>
      </c>
      <c r="O8373" t="s">
        <v>24</v>
      </c>
      <c r="Q8373">
        <v>220.88</v>
      </c>
      <c r="R8373" t="str">
        <f>"PENSE FARMA 36 (10206)"</f>
        <v>PENSE FARMA 36 (10206)</v>
      </c>
      <c r="S8373" t="s">
        <v>77</v>
      </c>
      <c r="T8373">
        <v>22129</v>
      </c>
      <c r="U8373">
        <v>24387</v>
      </c>
      <c r="V8373" t="s">
        <v>77</v>
      </c>
    </row>
    <row r="8374" spans="1:22">
      <c r="A8374" t="str">
        <f t="shared" si="1541"/>
        <v>30/10/2025</v>
      </c>
      <c r="B8374" t="str">
        <f t="shared" si="1543"/>
        <v>SAÍDA</v>
      </c>
      <c r="C8374" t="str">
        <f t="shared" si="1545"/>
        <v>PIX</v>
      </c>
      <c r="D8374" t="str">
        <f t="shared" si="1550"/>
        <v>24387</v>
      </c>
      <c r="E8374" t="str">
        <f t="shared" si="1546"/>
        <v>1</v>
      </c>
      <c r="F8374" t="str">
        <f t="shared" si="1540"/>
        <v>COM</v>
      </c>
      <c r="G8374" t="str">
        <f t="shared" si="1551"/>
        <v>FELIPE ALEXANDRE CAMA (976)</v>
      </c>
      <c r="H8374" t="s">
        <v>2367</v>
      </c>
      <c r="I8374" t="str">
        <f t="shared" si="1544"/>
        <v>30/10/2025</v>
      </c>
      <c r="J8374" t="str">
        <f t="shared" si="1549"/>
        <v>27/10/2025</v>
      </c>
      <c r="K8374">
        <v>45960</v>
      </c>
      <c r="N8374">
        <v>109</v>
      </c>
      <c r="O8374" t="s">
        <v>24</v>
      </c>
      <c r="Q8374">
        <v>220.88</v>
      </c>
      <c r="R8374" t="str">
        <f>"PENSE FARMA 40 (10207)"</f>
        <v>PENSE FARMA 40 (10207)</v>
      </c>
      <c r="S8374" t="s">
        <v>77</v>
      </c>
      <c r="T8374">
        <v>22129</v>
      </c>
      <c r="U8374">
        <v>24387</v>
      </c>
      <c r="V8374" t="s">
        <v>77</v>
      </c>
    </row>
    <row r="8375" spans="1:22">
      <c r="A8375" t="str">
        <f t="shared" si="1541"/>
        <v>30/10/2025</v>
      </c>
      <c r="B8375" t="str">
        <f t="shared" si="1543"/>
        <v>SAÍDA</v>
      </c>
      <c r="C8375" t="str">
        <f t="shared" si="1545"/>
        <v>PIX</v>
      </c>
      <c r="D8375" t="str">
        <f t="shared" si="1550"/>
        <v>24387</v>
      </c>
      <c r="E8375" t="str">
        <f t="shared" si="1546"/>
        <v>1</v>
      </c>
      <c r="F8375" t="str">
        <f t="shared" si="1540"/>
        <v>COM</v>
      </c>
      <c r="G8375" t="str">
        <f t="shared" si="1551"/>
        <v>FELIPE ALEXANDRE CAMA (976)</v>
      </c>
      <c r="H8375" t="s">
        <v>2367</v>
      </c>
      <c r="I8375" t="str">
        <f t="shared" si="1544"/>
        <v>30/10/2025</v>
      </c>
      <c r="J8375" t="str">
        <f t="shared" si="1549"/>
        <v>27/10/2025</v>
      </c>
      <c r="K8375">
        <v>45960</v>
      </c>
      <c r="N8375">
        <v>109</v>
      </c>
      <c r="O8375" t="s">
        <v>24</v>
      </c>
      <c r="Q8375">
        <v>220.88</v>
      </c>
      <c r="R8375" t="str">
        <f>"PENSE FARMA 43 (10208)"</f>
        <v>PENSE FARMA 43 (10208)</v>
      </c>
      <c r="S8375" t="s">
        <v>77</v>
      </c>
      <c r="T8375">
        <v>22129</v>
      </c>
      <c r="U8375">
        <v>24387</v>
      </c>
      <c r="V8375" t="s">
        <v>77</v>
      </c>
    </row>
    <row r="8376" spans="1:22">
      <c r="A8376" t="str">
        <f t="shared" si="1541"/>
        <v>30/10/2025</v>
      </c>
      <c r="B8376" t="str">
        <f t="shared" si="1543"/>
        <v>SAÍDA</v>
      </c>
      <c r="C8376" t="str">
        <f t="shared" si="1545"/>
        <v>PIX</v>
      </c>
      <c r="D8376" t="str">
        <f t="shared" si="1550"/>
        <v>24387</v>
      </c>
      <c r="E8376" t="str">
        <f t="shared" si="1546"/>
        <v>1</v>
      </c>
      <c r="F8376" t="str">
        <f t="shared" si="1540"/>
        <v>COM</v>
      </c>
      <c r="G8376" t="str">
        <f t="shared" si="1551"/>
        <v>FELIPE ALEXANDRE CAMA (976)</v>
      </c>
      <c r="H8376" t="s">
        <v>2367</v>
      </c>
      <c r="I8376" t="str">
        <f t="shared" si="1544"/>
        <v>30/10/2025</v>
      </c>
      <c r="J8376" t="str">
        <f t="shared" si="1549"/>
        <v>27/10/2025</v>
      </c>
      <c r="K8376">
        <v>45960</v>
      </c>
      <c r="N8376">
        <v>109</v>
      </c>
      <c r="O8376" t="s">
        <v>24</v>
      </c>
      <c r="Q8376">
        <v>220.88</v>
      </c>
      <c r="R8376" t="str">
        <f>"PENSE FARMA 59 (10211)"</f>
        <v>PENSE FARMA 59 (10211)</v>
      </c>
      <c r="S8376" t="s">
        <v>77</v>
      </c>
      <c r="T8376">
        <v>22129</v>
      </c>
      <c r="U8376">
        <v>24387</v>
      </c>
      <c r="V8376" t="s">
        <v>77</v>
      </c>
    </row>
    <row r="8377" spans="1:22">
      <c r="A8377" t="str">
        <f t="shared" si="1541"/>
        <v>30/10/2025</v>
      </c>
      <c r="B8377" t="str">
        <f t="shared" si="1543"/>
        <v>SAÍDA</v>
      </c>
      <c r="C8377" t="str">
        <f t="shared" si="1545"/>
        <v>PIX</v>
      </c>
      <c r="D8377" t="str">
        <f t="shared" si="1550"/>
        <v>24387</v>
      </c>
      <c r="E8377" t="str">
        <f t="shared" si="1546"/>
        <v>1</v>
      </c>
      <c r="F8377" t="str">
        <f t="shared" ref="F8377:F8440" si="1552">"COM"</f>
        <v>COM</v>
      </c>
      <c r="G8377" t="str">
        <f t="shared" si="1551"/>
        <v>FELIPE ALEXANDRE CAMA (976)</v>
      </c>
      <c r="H8377" t="s">
        <v>2367</v>
      </c>
      <c r="I8377" t="str">
        <f t="shared" si="1544"/>
        <v>30/10/2025</v>
      </c>
      <c r="J8377" t="str">
        <f t="shared" si="1549"/>
        <v>27/10/2025</v>
      </c>
      <c r="K8377">
        <v>45960</v>
      </c>
      <c r="N8377">
        <v>109</v>
      </c>
      <c r="O8377" t="s">
        <v>24</v>
      </c>
      <c r="Q8377">
        <v>220.61</v>
      </c>
      <c r="R8377" t="str">
        <f>"PENSE FARMA DARK STORE 361 (10212)"</f>
        <v>PENSE FARMA DARK STORE 361 (10212)</v>
      </c>
      <c r="S8377" t="s">
        <v>77</v>
      </c>
      <c r="T8377">
        <v>22129</v>
      </c>
      <c r="U8377">
        <v>24387</v>
      </c>
      <c r="V8377" t="s">
        <v>77</v>
      </c>
    </row>
    <row r="8378" spans="1:22">
      <c r="A8378" t="str">
        <f t="shared" si="1541"/>
        <v>30/10/2025</v>
      </c>
      <c r="B8378" t="str">
        <f t="shared" si="1543"/>
        <v>SAÍDA</v>
      </c>
      <c r="C8378" t="str">
        <f t="shared" si="1545"/>
        <v>PIX</v>
      </c>
      <c r="D8378" t="str">
        <f t="shared" ref="D8378:D8384" si="1553">"24388"</f>
        <v>24388</v>
      </c>
      <c r="E8378" t="str">
        <f t="shared" si="1546"/>
        <v>1</v>
      </c>
      <c r="F8378" t="str">
        <f t="shared" si="1552"/>
        <v>COM</v>
      </c>
      <c r="G8378" t="str">
        <f t="shared" ref="G8378:G8384" si="1554">"JULIO GUIMARAES DOS SANTOS (977)"</f>
        <v>JULIO GUIMARAES DOS SANTOS (977)</v>
      </c>
      <c r="H8378" t="str">
        <f>"Serv.Prest. 20/10/2025 a 26/10/2025 - PIX: CELULAR - CHAVE: (11) 94195-2534"</f>
        <v>Serv.Prest. 20/10/2025 a 26/10/2025 - PIX: CELULAR - CHAVE: (11) 94195-2534</v>
      </c>
      <c r="I8378" t="str">
        <f t="shared" si="1544"/>
        <v>30/10/2025</v>
      </c>
      <c r="J8378" t="str">
        <f t="shared" si="1549"/>
        <v>27/10/2025</v>
      </c>
      <c r="K8378" t="str">
        <f>("30/10/2025")</f>
        <v>30/10/2025</v>
      </c>
      <c r="L8378">
        <v>1325</v>
      </c>
      <c r="M8378">
        <v>1325</v>
      </c>
      <c r="N8378">
        <v>109</v>
      </c>
      <c r="O8378" t="str">
        <f>"PAGAMENTO DE ENTREGADORES"</f>
        <v>PAGAMENTO DE ENTREGADORES</v>
      </c>
      <c r="P8378">
        <v>1325</v>
      </c>
      <c r="S8378" t="str">
        <f>"BANCO C6 (149)"</f>
        <v>BANCO C6 (149)</v>
      </c>
      <c r="T8378">
        <v>22130</v>
      </c>
      <c r="U8378">
        <v>24388</v>
      </c>
      <c r="V8378" t="s">
        <v>77</v>
      </c>
    </row>
    <row r="8379" spans="1:22">
      <c r="A8379" t="str">
        <f t="shared" si="1541"/>
        <v>30/10/2025</v>
      </c>
      <c r="B8379" t="str">
        <f t="shared" si="1543"/>
        <v>SAÍDA</v>
      </c>
      <c r="C8379" t="str">
        <f t="shared" si="1545"/>
        <v>PIX</v>
      </c>
      <c r="D8379" t="str">
        <f t="shared" si="1553"/>
        <v>24388</v>
      </c>
      <c r="E8379" t="str">
        <f t="shared" si="1546"/>
        <v>1</v>
      </c>
      <c r="F8379" t="str">
        <f t="shared" si="1552"/>
        <v>COM</v>
      </c>
      <c r="G8379" t="str">
        <f t="shared" si="1554"/>
        <v>JULIO GUIMARAES DOS SANTOS (977)</v>
      </c>
      <c r="H8379" t="s">
        <v>2150</v>
      </c>
      <c r="I8379" t="str">
        <f t="shared" si="1544"/>
        <v>30/10/2025</v>
      </c>
      <c r="J8379" t="str">
        <f t="shared" si="1549"/>
        <v>27/10/2025</v>
      </c>
      <c r="K8379">
        <v>45960</v>
      </c>
      <c r="N8379">
        <v>109</v>
      </c>
      <c r="O8379" t="s">
        <v>24</v>
      </c>
      <c r="Q8379">
        <v>220.87</v>
      </c>
      <c r="R8379" t="str">
        <f>"PENSE FARMA 20 (10203)"</f>
        <v>PENSE FARMA 20 (10203)</v>
      </c>
      <c r="S8379" t="s">
        <v>77</v>
      </c>
      <c r="T8379">
        <v>22130</v>
      </c>
      <c r="U8379">
        <v>24388</v>
      </c>
      <c r="V8379" t="s">
        <v>77</v>
      </c>
    </row>
    <row r="8380" spans="1:22">
      <c r="A8380" t="str">
        <f t="shared" si="1541"/>
        <v>30/10/2025</v>
      </c>
      <c r="B8380" t="str">
        <f t="shared" si="1543"/>
        <v>SAÍDA</v>
      </c>
      <c r="C8380" t="str">
        <f t="shared" si="1545"/>
        <v>PIX</v>
      </c>
      <c r="D8380" t="str">
        <f t="shared" si="1553"/>
        <v>24388</v>
      </c>
      <c r="E8380" t="str">
        <f t="shared" si="1546"/>
        <v>1</v>
      </c>
      <c r="F8380" t="str">
        <f t="shared" si="1552"/>
        <v>COM</v>
      </c>
      <c r="G8380" t="str">
        <f t="shared" si="1554"/>
        <v>JULIO GUIMARAES DOS SANTOS (977)</v>
      </c>
      <c r="H8380" t="s">
        <v>2150</v>
      </c>
      <c r="I8380" t="str">
        <f t="shared" si="1544"/>
        <v>30/10/2025</v>
      </c>
      <c r="J8380" t="str">
        <f t="shared" si="1549"/>
        <v>27/10/2025</v>
      </c>
      <c r="K8380">
        <v>45960</v>
      </c>
      <c r="N8380">
        <v>109</v>
      </c>
      <c r="O8380" t="s">
        <v>24</v>
      </c>
      <c r="Q8380">
        <v>220.88</v>
      </c>
      <c r="R8380" t="str">
        <f>"PENSE FARMA 36 (10206)"</f>
        <v>PENSE FARMA 36 (10206)</v>
      </c>
      <c r="S8380" t="s">
        <v>77</v>
      </c>
      <c r="T8380">
        <v>22130</v>
      </c>
      <c r="U8380">
        <v>24388</v>
      </c>
      <c r="V8380" t="s">
        <v>77</v>
      </c>
    </row>
    <row r="8381" spans="1:22">
      <c r="A8381" t="str">
        <f t="shared" si="1541"/>
        <v>30/10/2025</v>
      </c>
      <c r="B8381" t="str">
        <f t="shared" si="1543"/>
        <v>SAÍDA</v>
      </c>
      <c r="C8381" t="str">
        <f t="shared" si="1545"/>
        <v>PIX</v>
      </c>
      <c r="D8381" t="str">
        <f t="shared" si="1553"/>
        <v>24388</v>
      </c>
      <c r="E8381" t="str">
        <f t="shared" si="1546"/>
        <v>1</v>
      </c>
      <c r="F8381" t="str">
        <f t="shared" si="1552"/>
        <v>COM</v>
      </c>
      <c r="G8381" t="str">
        <f t="shared" si="1554"/>
        <v>JULIO GUIMARAES DOS SANTOS (977)</v>
      </c>
      <c r="H8381" t="s">
        <v>2150</v>
      </c>
      <c r="I8381" t="str">
        <f t="shared" si="1544"/>
        <v>30/10/2025</v>
      </c>
      <c r="J8381" t="str">
        <f t="shared" si="1549"/>
        <v>27/10/2025</v>
      </c>
      <c r="K8381">
        <v>45960</v>
      </c>
      <c r="N8381">
        <v>109</v>
      </c>
      <c r="O8381" t="s">
        <v>24</v>
      </c>
      <c r="Q8381">
        <v>220.88</v>
      </c>
      <c r="R8381" t="str">
        <f>"PENSE FARMA 40 (10207)"</f>
        <v>PENSE FARMA 40 (10207)</v>
      </c>
      <c r="S8381" t="s">
        <v>77</v>
      </c>
      <c r="T8381">
        <v>22130</v>
      </c>
      <c r="U8381">
        <v>24388</v>
      </c>
      <c r="V8381" t="s">
        <v>77</v>
      </c>
    </row>
    <row r="8382" spans="1:22">
      <c r="A8382" t="str">
        <f t="shared" si="1541"/>
        <v>30/10/2025</v>
      </c>
      <c r="B8382" t="str">
        <f t="shared" si="1543"/>
        <v>SAÍDA</v>
      </c>
      <c r="C8382" t="str">
        <f t="shared" si="1545"/>
        <v>PIX</v>
      </c>
      <c r="D8382" t="str">
        <f t="shared" si="1553"/>
        <v>24388</v>
      </c>
      <c r="E8382" t="str">
        <f t="shared" si="1546"/>
        <v>1</v>
      </c>
      <c r="F8382" t="str">
        <f t="shared" si="1552"/>
        <v>COM</v>
      </c>
      <c r="G8382" t="str">
        <f t="shared" si="1554"/>
        <v>JULIO GUIMARAES DOS SANTOS (977)</v>
      </c>
      <c r="H8382" t="s">
        <v>2150</v>
      </c>
      <c r="I8382" t="str">
        <f t="shared" si="1544"/>
        <v>30/10/2025</v>
      </c>
      <c r="J8382" t="str">
        <f t="shared" si="1549"/>
        <v>27/10/2025</v>
      </c>
      <c r="K8382">
        <v>45960</v>
      </c>
      <c r="N8382">
        <v>109</v>
      </c>
      <c r="O8382" t="s">
        <v>24</v>
      </c>
      <c r="Q8382">
        <v>220.88</v>
      </c>
      <c r="R8382" t="str">
        <f>"PENSE FARMA 43 (10208)"</f>
        <v>PENSE FARMA 43 (10208)</v>
      </c>
      <c r="S8382" t="s">
        <v>77</v>
      </c>
      <c r="T8382">
        <v>22130</v>
      </c>
      <c r="U8382">
        <v>24388</v>
      </c>
      <c r="V8382" t="s">
        <v>77</v>
      </c>
    </row>
    <row r="8383" spans="1:22">
      <c r="A8383" t="str">
        <f t="shared" si="1541"/>
        <v>30/10/2025</v>
      </c>
      <c r="B8383" t="str">
        <f t="shared" si="1543"/>
        <v>SAÍDA</v>
      </c>
      <c r="C8383" t="str">
        <f t="shared" si="1545"/>
        <v>PIX</v>
      </c>
      <c r="D8383" t="str">
        <f t="shared" si="1553"/>
        <v>24388</v>
      </c>
      <c r="E8383" t="str">
        <f t="shared" si="1546"/>
        <v>1</v>
      </c>
      <c r="F8383" t="str">
        <f t="shared" si="1552"/>
        <v>COM</v>
      </c>
      <c r="G8383" t="str">
        <f t="shared" si="1554"/>
        <v>JULIO GUIMARAES DOS SANTOS (977)</v>
      </c>
      <c r="H8383" t="s">
        <v>2150</v>
      </c>
      <c r="I8383" t="str">
        <f t="shared" si="1544"/>
        <v>30/10/2025</v>
      </c>
      <c r="J8383" t="str">
        <f t="shared" si="1549"/>
        <v>27/10/2025</v>
      </c>
      <c r="K8383">
        <v>45960</v>
      </c>
      <c r="N8383">
        <v>109</v>
      </c>
      <c r="O8383" t="s">
        <v>24</v>
      </c>
      <c r="Q8383">
        <v>220.88</v>
      </c>
      <c r="R8383" t="str">
        <f>"PENSE FARMA 59 (10211)"</f>
        <v>PENSE FARMA 59 (10211)</v>
      </c>
      <c r="S8383" t="s">
        <v>77</v>
      </c>
      <c r="T8383">
        <v>22130</v>
      </c>
      <c r="U8383">
        <v>24388</v>
      </c>
      <c r="V8383" t="s">
        <v>77</v>
      </c>
    </row>
    <row r="8384" spans="1:22">
      <c r="A8384" t="str">
        <f t="shared" si="1541"/>
        <v>30/10/2025</v>
      </c>
      <c r="B8384" t="str">
        <f t="shared" si="1543"/>
        <v>SAÍDA</v>
      </c>
      <c r="C8384" t="str">
        <f t="shared" si="1545"/>
        <v>PIX</v>
      </c>
      <c r="D8384" t="str">
        <f t="shared" si="1553"/>
        <v>24388</v>
      </c>
      <c r="E8384" t="str">
        <f t="shared" si="1546"/>
        <v>1</v>
      </c>
      <c r="F8384" t="str">
        <f t="shared" si="1552"/>
        <v>COM</v>
      </c>
      <c r="G8384" t="str">
        <f t="shared" si="1554"/>
        <v>JULIO GUIMARAES DOS SANTOS (977)</v>
      </c>
      <c r="H8384" t="s">
        <v>2150</v>
      </c>
      <c r="I8384" t="str">
        <f t="shared" si="1544"/>
        <v>30/10/2025</v>
      </c>
      <c r="J8384" t="str">
        <f t="shared" si="1549"/>
        <v>27/10/2025</v>
      </c>
      <c r="K8384">
        <v>45960</v>
      </c>
      <c r="N8384">
        <v>109</v>
      </c>
      <c r="O8384" t="s">
        <v>24</v>
      </c>
      <c r="Q8384">
        <v>220.61</v>
      </c>
      <c r="R8384" t="str">
        <f>"PENSE FARMA DARK STORE 361 (10212)"</f>
        <v>PENSE FARMA DARK STORE 361 (10212)</v>
      </c>
      <c r="S8384" t="s">
        <v>77</v>
      </c>
      <c r="T8384">
        <v>22130</v>
      </c>
      <c r="U8384">
        <v>24388</v>
      </c>
      <c r="V8384" t="s">
        <v>77</v>
      </c>
    </row>
    <row r="8385" spans="1:22">
      <c r="A8385" t="str">
        <f t="shared" si="1541"/>
        <v>30/10/2025</v>
      </c>
      <c r="B8385" t="str">
        <f t="shared" si="1543"/>
        <v>SAÍDA</v>
      </c>
      <c r="C8385" t="str">
        <f t="shared" si="1545"/>
        <v>PIX</v>
      </c>
      <c r="D8385" t="str">
        <f t="shared" ref="D8385:D8391" si="1555">"24389"</f>
        <v>24389</v>
      </c>
      <c r="E8385" t="str">
        <f t="shared" si="1546"/>
        <v>1</v>
      </c>
      <c r="F8385" t="str">
        <f t="shared" si="1552"/>
        <v>COM</v>
      </c>
      <c r="G8385" t="str">
        <f t="shared" ref="G8385:G8391" si="1556">"RAFAEL PEDROSO DE CAMARA (975)"</f>
        <v>RAFAEL PEDROSO DE CAMARA (975)</v>
      </c>
      <c r="H8385" t="str">
        <f>"Serv.Prest. 20/10/2025 a 26/10/2025 - PIX: CELULAR - CHAVE: (11) 99270-3082"</f>
        <v>Serv.Prest. 20/10/2025 a 26/10/2025 - PIX: CELULAR - CHAVE: (11) 99270-3082</v>
      </c>
      <c r="I8385" t="str">
        <f t="shared" si="1544"/>
        <v>30/10/2025</v>
      </c>
      <c r="J8385" t="str">
        <f t="shared" si="1549"/>
        <v>27/10/2025</v>
      </c>
      <c r="K8385" t="str">
        <f>("30/10/2025")</f>
        <v>30/10/2025</v>
      </c>
      <c r="L8385">
        <v>1375</v>
      </c>
      <c r="M8385">
        <v>1375</v>
      </c>
      <c r="N8385">
        <v>109</v>
      </c>
      <c r="O8385" t="str">
        <f>"PAGAMENTO DE ENTREGADORES"</f>
        <v>PAGAMENTO DE ENTREGADORES</v>
      </c>
      <c r="P8385">
        <v>1375</v>
      </c>
      <c r="S8385" t="str">
        <f>"BANCO C6 (149)"</f>
        <v>BANCO C6 (149)</v>
      </c>
      <c r="T8385">
        <v>22131</v>
      </c>
      <c r="U8385">
        <v>24389</v>
      </c>
      <c r="V8385" t="s">
        <v>77</v>
      </c>
    </row>
    <row r="8386" spans="1:22">
      <c r="A8386" t="str">
        <f t="shared" si="1541"/>
        <v>30/10/2025</v>
      </c>
      <c r="B8386" t="str">
        <f t="shared" si="1543"/>
        <v>SAÍDA</v>
      </c>
      <c r="C8386" t="str">
        <f t="shared" si="1545"/>
        <v>PIX</v>
      </c>
      <c r="D8386" t="str">
        <f t="shared" si="1555"/>
        <v>24389</v>
      </c>
      <c r="E8386" t="str">
        <f t="shared" si="1546"/>
        <v>1</v>
      </c>
      <c r="F8386" t="str">
        <f t="shared" si="1552"/>
        <v>COM</v>
      </c>
      <c r="G8386" t="str">
        <f t="shared" si="1556"/>
        <v>RAFAEL PEDROSO DE CAMARA (975)</v>
      </c>
      <c r="H8386" t="s">
        <v>2368</v>
      </c>
      <c r="I8386" t="str">
        <f t="shared" si="1544"/>
        <v>30/10/2025</v>
      </c>
      <c r="J8386" t="str">
        <f t="shared" si="1549"/>
        <v>27/10/2025</v>
      </c>
      <c r="K8386">
        <v>45960</v>
      </c>
      <c r="N8386">
        <v>109</v>
      </c>
      <c r="O8386" t="s">
        <v>24</v>
      </c>
      <c r="Q8386">
        <v>196.48</v>
      </c>
      <c r="R8386" t="str">
        <f>"PENSE FARMA 20 (10203)"</f>
        <v>PENSE FARMA 20 (10203)</v>
      </c>
      <c r="S8386" t="s">
        <v>77</v>
      </c>
      <c r="T8386">
        <v>22131</v>
      </c>
      <c r="U8386">
        <v>24389</v>
      </c>
      <c r="V8386" t="s">
        <v>77</v>
      </c>
    </row>
    <row r="8387" spans="1:22">
      <c r="A8387" t="str">
        <f t="shared" si="1541"/>
        <v>30/10/2025</v>
      </c>
      <c r="B8387" t="str">
        <f t="shared" si="1543"/>
        <v>SAÍDA</v>
      </c>
      <c r="C8387" t="str">
        <f t="shared" si="1545"/>
        <v>PIX</v>
      </c>
      <c r="D8387" t="str">
        <f t="shared" si="1555"/>
        <v>24389</v>
      </c>
      <c r="E8387" t="str">
        <f t="shared" si="1546"/>
        <v>1</v>
      </c>
      <c r="F8387" t="str">
        <f t="shared" si="1552"/>
        <v>COM</v>
      </c>
      <c r="G8387" t="str">
        <f t="shared" si="1556"/>
        <v>RAFAEL PEDROSO DE CAMARA (975)</v>
      </c>
      <c r="H8387" t="s">
        <v>2368</v>
      </c>
      <c r="I8387" t="str">
        <f t="shared" si="1544"/>
        <v>30/10/2025</v>
      </c>
      <c r="J8387" t="str">
        <f t="shared" si="1549"/>
        <v>27/10/2025</v>
      </c>
      <c r="K8387">
        <v>45960</v>
      </c>
      <c r="N8387">
        <v>109</v>
      </c>
      <c r="O8387" t="s">
        <v>24</v>
      </c>
      <c r="Q8387">
        <v>196.49</v>
      </c>
      <c r="R8387" t="str">
        <f>"PENSE FARMA 36 (10206)"</f>
        <v>PENSE FARMA 36 (10206)</v>
      </c>
      <c r="S8387" t="s">
        <v>77</v>
      </c>
      <c r="T8387">
        <v>22131</v>
      </c>
      <c r="U8387">
        <v>24389</v>
      </c>
      <c r="V8387" t="s">
        <v>77</v>
      </c>
    </row>
    <row r="8388" spans="1:22">
      <c r="A8388" t="str">
        <f t="shared" si="1541"/>
        <v>30/10/2025</v>
      </c>
      <c r="B8388" t="str">
        <f t="shared" si="1543"/>
        <v>SAÍDA</v>
      </c>
      <c r="C8388" t="str">
        <f t="shared" si="1545"/>
        <v>PIX</v>
      </c>
      <c r="D8388" t="str">
        <f t="shared" si="1555"/>
        <v>24389</v>
      </c>
      <c r="E8388" t="str">
        <f t="shared" si="1546"/>
        <v>1</v>
      </c>
      <c r="F8388" t="str">
        <f t="shared" si="1552"/>
        <v>COM</v>
      </c>
      <c r="G8388" t="str">
        <f t="shared" si="1556"/>
        <v>RAFAEL PEDROSO DE CAMARA (975)</v>
      </c>
      <c r="H8388" t="s">
        <v>2368</v>
      </c>
      <c r="I8388" t="str">
        <f t="shared" si="1544"/>
        <v>30/10/2025</v>
      </c>
      <c r="J8388" t="str">
        <f t="shared" si="1549"/>
        <v>27/10/2025</v>
      </c>
      <c r="K8388">
        <v>45960</v>
      </c>
      <c r="N8388">
        <v>109</v>
      </c>
      <c r="O8388" t="s">
        <v>24</v>
      </c>
      <c r="Q8388">
        <v>196.49</v>
      </c>
      <c r="R8388" t="str">
        <f>"PENSE FARMA 40 (10207)"</f>
        <v>PENSE FARMA 40 (10207)</v>
      </c>
      <c r="S8388" t="s">
        <v>77</v>
      </c>
      <c r="T8388">
        <v>22131</v>
      </c>
      <c r="U8388">
        <v>24389</v>
      </c>
      <c r="V8388" t="s">
        <v>77</v>
      </c>
    </row>
    <row r="8389" spans="1:22">
      <c r="A8389" t="str">
        <f t="shared" si="1541"/>
        <v>30/10/2025</v>
      </c>
      <c r="B8389" t="str">
        <f t="shared" si="1543"/>
        <v>SAÍDA</v>
      </c>
      <c r="C8389" t="str">
        <f t="shared" si="1545"/>
        <v>PIX</v>
      </c>
      <c r="D8389" t="str">
        <f t="shared" si="1555"/>
        <v>24389</v>
      </c>
      <c r="E8389" t="str">
        <f t="shared" si="1546"/>
        <v>1</v>
      </c>
      <c r="F8389" t="str">
        <f t="shared" si="1552"/>
        <v>COM</v>
      </c>
      <c r="G8389" t="str">
        <f t="shared" si="1556"/>
        <v>RAFAEL PEDROSO DE CAMARA (975)</v>
      </c>
      <c r="H8389" t="s">
        <v>2368</v>
      </c>
      <c r="I8389" t="str">
        <f t="shared" si="1544"/>
        <v>30/10/2025</v>
      </c>
      <c r="J8389" t="str">
        <f t="shared" si="1549"/>
        <v>27/10/2025</v>
      </c>
      <c r="K8389">
        <v>45960</v>
      </c>
      <c r="N8389">
        <v>109</v>
      </c>
      <c r="O8389" t="s">
        <v>24</v>
      </c>
      <c r="Q8389">
        <v>196.49</v>
      </c>
      <c r="R8389" t="str">
        <f>"PENSE FARMA 43 (10208)"</f>
        <v>PENSE FARMA 43 (10208)</v>
      </c>
      <c r="S8389" t="s">
        <v>77</v>
      </c>
      <c r="T8389">
        <v>22131</v>
      </c>
      <c r="U8389">
        <v>24389</v>
      </c>
      <c r="V8389" t="s">
        <v>77</v>
      </c>
    </row>
    <row r="8390" spans="1:22">
      <c r="A8390" t="str">
        <f t="shared" si="1541"/>
        <v>30/10/2025</v>
      </c>
      <c r="B8390" t="str">
        <f t="shared" si="1543"/>
        <v>SAÍDA</v>
      </c>
      <c r="C8390" t="str">
        <f t="shared" si="1545"/>
        <v>PIX</v>
      </c>
      <c r="D8390" t="str">
        <f t="shared" si="1555"/>
        <v>24389</v>
      </c>
      <c r="E8390" t="str">
        <f t="shared" si="1546"/>
        <v>1</v>
      </c>
      <c r="F8390" t="str">
        <f t="shared" si="1552"/>
        <v>COM</v>
      </c>
      <c r="G8390" t="str">
        <f t="shared" si="1556"/>
        <v>RAFAEL PEDROSO DE CAMARA (975)</v>
      </c>
      <c r="H8390" t="s">
        <v>2368</v>
      </c>
      <c r="I8390" t="str">
        <f t="shared" si="1544"/>
        <v>30/10/2025</v>
      </c>
      <c r="J8390" t="str">
        <f t="shared" si="1549"/>
        <v>27/10/2025</v>
      </c>
      <c r="K8390">
        <v>45960</v>
      </c>
      <c r="N8390">
        <v>109</v>
      </c>
      <c r="O8390" t="s">
        <v>24</v>
      </c>
      <c r="Q8390">
        <v>392.84</v>
      </c>
      <c r="R8390" t="str">
        <f>"PENSE FARMA 59 (10211)"</f>
        <v>PENSE FARMA 59 (10211)</v>
      </c>
      <c r="S8390" t="s">
        <v>77</v>
      </c>
      <c r="T8390">
        <v>22131</v>
      </c>
      <c r="U8390">
        <v>24389</v>
      </c>
      <c r="V8390" t="s">
        <v>77</v>
      </c>
    </row>
    <row r="8391" spans="1:22">
      <c r="A8391" t="str">
        <f t="shared" si="1541"/>
        <v>30/10/2025</v>
      </c>
      <c r="B8391" t="str">
        <f t="shared" si="1543"/>
        <v>SAÍDA</v>
      </c>
      <c r="C8391" t="str">
        <f t="shared" si="1545"/>
        <v>PIX</v>
      </c>
      <c r="D8391" t="str">
        <f t="shared" si="1555"/>
        <v>24389</v>
      </c>
      <c r="E8391" t="str">
        <f t="shared" si="1546"/>
        <v>1</v>
      </c>
      <c r="F8391" t="str">
        <f t="shared" si="1552"/>
        <v>COM</v>
      </c>
      <c r="G8391" t="str">
        <f t="shared" si="1556"/>
        <v>RAFAEL PEDROSO DE CAMARA (975)</v>
      </c>
      <c r="H8391" t="s">
        <v>2368</v>
      </c>
      <c r="I8391" t="str">
        <f t="shared" si="1544"/>
        <v>30/10/2025</v>
      </c>
      <c r="J8391" t="str">
        <f t="shared" si="1549"/>
        <v>27/10/2025</v>
      </c>
      <c r="K8391">
        <v>45960</v>
      </c>
      <c r="N8391">
        <v>109</v>
      </c>
      <c r="O8391" t="s">
        <v>24</v>
      </c>
      <c r="Q8391">
        <v>196.21</v>
      </c>
      <c r="R8391" t="str">
        <f>"PENSE FARMA DARK STORE 361 (10212)"</f>
        <v>PENSE FARMA DARK STORE 361 (10212)</v>
      </c>
      <c r="S8391" t="s">
        <v>77</v>
      </c>
      <c r="T8391">
        <v>22131</v>
      </c>
      <c r="U8391">
        <v>24389</v>
      </c>
      <c r="V8391" t="s">
        <v>77</v>
      </c>
    </row>
    <row r="8392" spans="1:22">
      <c r="A8392" t="str">
        <f t="shared" si="1541"/>
        <v>30/10/2025</v>
      </c>
      <c r="B8392" t="str">
        <f t="shared" si="1543"/>
        <v>SAÍDA</v>
      </c>
      <c r="C8392" t="str">
        <f t="shared" si="1545"/>
        <v>PIX</v>
      </c>
      <c r="D8392" t="str">
        <f>"24391"</f>
        <v>24391</v>
      </c>
      <c r="E8392" t="str">
        <f t="shared" si="1546"/>
        <v>1</v>
      </c>
      <c r="F8392" t="str">
        <f t="shared" si="1552"/>
        <v>COM</v>
      </c>
      <c r="G8392" t="str">
        <f>"LUAN DOS REIS SILVA (954)"</f>
        <v>LUAN DOS REIS SILVA (954)</v>
      </c>
      <c r="H8392" t="str">
        <f>"Serv.Prest. 20/10/2025 a 26/10/2025 - PIX: CELULAR - CHAVE: (11) 95906-5439"</f>
        <v>Serv.Prest. 20/10/2025 a 26/10/2025 - PIX: CELULAR - CHAVE: (11) 95906-5439</v>
      </c>
      <c r="I8392" t="str">
        <f t="shared" si="1544"/>
        <v>30/10/2025</v>
      </c>
      <c r="J8392" t="str">
        <f t="shared" si="1549"/>
        <v>27/10/2025</v>
      </c>
      <c r="K8392" t="str">
        <f>("30/10/2025")</f>
        <v>30/10/2025</v>
      </c>
      <c r="L8392">
        <v>1250</v>
      </c>
      <c r="M8392">
        <v>1250</v>
      </c>
      <c r="N8392">
        <v>109</v>
      </c>
      <c r="O8392" t="str">
        <f>"PAGAMENTO DE ENTREGADORES"</f>
        <v>PAGAMENTO DE ENTREGADORES</v>
      </c>
      <c r="P8392">
        <v>1250</v>
      </c>
      <c r="S8392" t="str">
        <f>"BANCO C6 (149)"</f>
        <v>BANCO C6 (149)</v>
      </c>
      <c r="T8392">
        <v>22132</v>
      </c>
      <c r="U8392">
        <v>24391</v>
      </c>
      <c r="V8392" t="s">
        <v>77</v>
      </c>
    </row>
    <row r="8393" spans="1:22">
      <c r="A8393" t="str">
        <f t="shared" si="1541"/>
        <v>30/10/2025</v>
      </c>
      <c r="B8393" t="str">
        <f t="shared" si="1543"/>
        <v>SAÍDA</v>
      </c>
      <c r="C8393" t="str">
        <f t="shared" si="1545"/>
        <v>PIX</v>
      </c>
      <c r="D8393" t="str">
        <f>"24391"</f>
        <v>24391</v>
      </c>
      <c r="E8393" t="str">
        <f t="shared" si="1546"/>
        <v>1</v>
      </c>
      <c r="F8393" t="str">
        <f t="shared" si="1552"/>
        <v>COM</v>
      </c>
      <c r="G8393" t="str">
        <f>"LUAN DOS REIS SILVA (954)"</f>
        <v>LUAN DOS REIS SILVA (954)</v>
      </c>
      <c r="H8393" t="s">
        <v>2147</v>
      </c>
      <c r="I8393" t="str">
        <f t="shared" si="1544"/>
        <v>30/10/2025</v>
      </c>
      <c r="J8393" t="str">
        <f t="shared" si="1549"/>
        <v>27/10/2025</v>
      </c>
      <c r="K8393">
        <v>45960</v>
      </c>
      <c r="N8393">
        <v>109</v>
      </c>
      <c r="O8393" t="s">
        <v>24</v>
      </c>
      <c r="Q8393">
        <v>416.62</v>
      </c>
      <c r="R8393" t="str">
        <f>"PENSE FARMA 05 (10200)"</f>
        <v>PENSE FARMA 05 (10200)</v>
      </c>
      <c r="S8393" t="s">
        <v>77</v>
      </c>
      <c r="T8393">
        <v>22132</v>
      </c>
      <c r="U8393">
        <v>24391</v>
      </c>
      <c r="V8393" t="s">
        <v>77</v>
      </c>
    </row>
    <row r="8394" spans="1:22">
      <c r="A8394" t="str">
        <f t="shared" si="1541"/>
        <v>30/10/2025</v>
      </c>
      <c r="B8394" t="str">
        <f t="shared" si="1543"/>
        <v>SAÍDA</v>
      </c>
      <c r="C8394" t="str">
        <f t="shared" si="1545"/>
        <v>PIX</v>
      </c>
      <c r="D8394" t="str">
        <f>"24391"</f>
        <v>24391</v>
      </c>
      <c r="E8394" t="str">
        <f t="shared" si="1546"/>
        <v>1</v>
      </c>
      <c r="F8394" t="str">
        <f t="shared" si="1552"/>
        <v>COM</v>
      </c>
      <c r="G8394" t="str">
        <f>"LUAN DOS REIS SILVA (954)"</f>
        <v>LUAN DOS REIS SILVA (954)</v>
      </c>
      <c r="H8394" t="s">
        <v>2147</v>
      </c>
      <c r="I8394" t="str">
        <f t="shared" si="1544"/>
        <v>30/10/2025</v>
      </c>
      <c r="J8394" t="str">
        <f t="shared" si="1549"/>
        <v>27/10/2025</v>
      </c>
      <c r="K8394">
        <v>45960</v>
      </c>
      <c r="N8394">
        <v>109</v>
      </c>
      <c r="O8394" t="s">
        <v>24</v>
      </c>
      <c r="Q8394">
        <v>416.63</v>
      </c>
      <c r="R8394" t="str">
        <f>"PENSE FARMA 13 (10202)"</f>
        <v>PENSE FARMA 13 (10202)</v>
      </c>
      <c r="S8394" t="s">
        <v>77</v>
      </c>
      <c r="T8394">
        <v>22132</v>
      </c>
      <c r="U8394">
        <v>24391</v>
      </c>
      <c r="V8394" t="s">
        <v>77</v>
      </c>
    </row>
    <row r="8395" spans="1:22">
      <c r="A8395" t="str">
        <f t="shared" si="1541"/>
        <v>30/10/2025</v>
      </c>
      <c r="B8395" t="str">
        <f t="shared" si="1543"/>
        <v>SAÍDA</v>
      </c>
      <c r="C8395" t="str">
        <f t="shared" si="1545"/>
        <v>PIX</v>
      </c>
      <c r="D8395" t="str">
        <f>"24391"</f>
        <v>24391</v>
      </c>
      <c r="E8395" t="str">
        <f t="shared" si="1546"/>
        <v>1</v>
      </c>
      <c r="F8395" t="str">
        <f t="shared" si="1552"/>
        <v>COM</v>
      </c>
      <c r="G8395" t="str">
        <f>"LUAN DOS REIS SILVA (954)"</f>
        <v>LUAN DOS REIS SILVA (954)</v>
      </c>
      <c r="H8395" t="s">
        <v>2147</v>
      </c>
      <c r="I8395" t="str">
        <f t="shared" si="1544"/>
        <v>30/10/2025</v>
      </c>
      <c r="J8395" t="str">
        <f t="shared" si="1549"/>
        <v>27/10/2025</v>
      </c>
      <c r="K8395">
        <v>45960</v>
      </c>
      <c r="N8395">
        <v>109</v>
      </c>
      <c r="O8395" t="s">
        <v>24</v>
      </c>
      <c r="Q8395">
        <v>416.75</v>
      </c>
      <c r="R8395" t="str">
        <f>"PENSE FARMA 27 (10204)"</f>
        <v>PENSE FARMA 27 (10204)</v>
      </c>
      <c r="S8395" t="s">
        <v>77</v>
      </c>
      <c r="T8395">
        <v>22132</v>
      </c>
      <c r="U8395">
        <v>24391</v>
      </c>
      <c r="V8395" t="s">
        <v>77</v>
      </c>
    </row>
    <row r="8396" spans="1:22">
      <c r="A8396" t="str">
        <f t="shared" si="1541"/>
        <v>30/10/2025</v>
      </c>
      <c r="B8396" t="str">
        <f t="shared" si="1543"/>
        <v>SAÍDA</v>
      </c>
      <c r="C8396" t="str">
        <f t="shared" si="1545"/>
        <v>PIX</v>
      </c>
      <c r="D8396" t="str">
        <f>"24392"</f>
        <v>24392</v>
      </c>
      <c r="E8396" t="str">
        <f t="shared" si="1546"/>
        <v>1</v>
      </c>
      <c r="F8396" t="str">
        <f t="shared" si="1552"/>
        <v>COM</v>
      </c>
      <c r="G8396" t="str">
        <f>"MANOEL DE JESUS ALMEIDA (1017)"</f>
        <v>MANOEL DE JESUS ALMEIDA (1017)</v>
      </c>
      <c r="H8396" t="str">
        <f>"Serv.Prest. 20/10/2025 a 26/10/2025 - PIX: CPF - CHAVE: 026.422.254-70"</f>
        <v>Serv.Prest. 20/10/2025 a 26/10/2025 - PIX: CPF - CHAVE: 026.422.254-70</v>
      </c>
      <c r="I8396" t="str">
        <f t="shared" si="1544"/>
        <v>30/10/2025</v>
      </c>
      <c r="J8396" t="str">
        <f t="shared" si="1549"/>
        <v>27/10/2025</v>
      </c>
      <c r="K8396" t="str">
        <f>("30/10/2025")</f>
        <v>30/10/2025</v>
      </c>
      <c r="L8396">
        <v>1250</v>
      </c>
      <c r="M8396">
        <v>1250</v>
      </c>
      <c r="N8396">
        <v>109</v>
      </c>
      <c r="O8396" t="str">
        <f>"PAGAMENTO DE ENTREGADORES"</f>
        <v>PAGAMENTO DE ENTREGADORES</v>
      </c>
      <c r="P8396">
        <v>1250</v>
      </c>
      <c r="S8396" t="str">
        <f>"BANCO C6 (149)"</f>
        <v>BANCO C6 (149)</v>
      </c>
      <c r="T8396">
        <v>22133</v>
      </c>
      <c r="U8396">
        <v>24392</v>
      </c>
      <c r="V8396" t="s">
        <v>77</v>
      </c>
    </row>
    <row r="8397" spans="1:22">
      <c r="A8397" t="str">
        <f t="shared" ref="A8397:A8460" si="1557">("30/10/2025")</f>
        <v>30/10/2025</v>
      </c>
      <c r="B8397" t="str">
        <f t="shared" si="1543"/>
        <v>SAÍDA</v>
      </c>
      <c r="C8397" t="str">
        <f t="shared" si="1545"/>
        <v>PIX</v>
      </c>
      <c r="D8397" t="str">
        <f>"24392"</f>
        <v>24392</v>
      </c>
      <c r="E8397" t="str">
        <f t="shared" si="1546"/>
        <v>1</v>
      </c>
      <c r="F8397" t="str">
        <f t="shared" si="1552"/>
        <v>COM</v>
      </c>
      <c r="G8397" t="str">
        <f>"MANOEL DE JESUS ALMEIDA (1017)"</f>
        <v>MANOEL DE JESUS ALMEIDA (1017)</v>
      </c>
      <c r="H8397" t="s">
        <v>2369</v>
      </c>
      <c r="I8397" t="str">
        <f t="shared" si="1544"/>
        <v>30/10/2025</v>
      </c>
      <c r="J8397" t="str">
        <f t="shared" ref="J8397:J8428" si="1558">("27/10/2025")</f>
        <v>27/10/2025</v>
      </c>
      <c r="K8397">
        <v>45960</v>
      </c>
      <c r="N8397">
        <v>109</v>
      </c>
      <c r="O8397" t="s">
        <v>24</v>
      </c>
      <c r="Q8397">
        <v>416.62</v>
      </c>
      <c r="R8397" t="str">
        <f>"PENSE FARMA 05 (10200)"</f>
        <v>PENSE FARMA 05 (10200)</v>
      </c>
      <c r="S8397" t="s">
        <v>77</v>
      </c>
      <c r="T8397">
        <v>22133</v>
      </c>
      <c r="U8397">
        <v>24392</v>
      </c>
      <c r="V8397" t="s">
        <v>77</v>
      </c>
    </row>
    <row r="8398" spans="1:22">
      <c r="A8398" t="str">
        <f t="shared" si="1557"/>
        <v>30/10/2025</v>
      </c>
      <c r="B8398" t="str">
        <f t="shared" ref="B8398:B8461" si="1559">"SAÍDA"</f>
        <v>SAÍDA</v>
      </c>
      <c r="C8398" t="str">
        <f t="shared" si="1545"/>
        <v>PIX</v>
      </c>
      <c r="D8398" t="str">
        <f>"24392"</f>
        <v>24392</v>
      </c>
      <c r="E8398" t="str">
        <f t="shared" si="1546"/>
        <v>1</v>
      </c>
      <c r="F8398" t="str">
        <f t="shared" si="1552"/>
        <v>COM</v>
      </c>
      <c r="G8398" t="str">
        <f>"MANOEL DE JESUS ALMEIDA (1017)"</f>
        <v>MANOEL DE JESUS ALMEIDA (1017)</v>
      </c>
      <c r="H8398" t="s">
        <v>2369</v>
      </c>
      <c r="I8398" t="str">
        <f t="shared" ref="I8398:I8461" si="1560">("30/10/2025")</f>
        <v>30/10/2025</v>
      </c>
      <c r="J8398" t="str">
        <f t="shared" si="1558"/>
        <v>27/10/2025</v>
      </c>
      <c r="K8398">
        <v>45960</v>
      </c>
      <c r="N8398">
        <v>109</v>
      </c>
      <c r="O8398" t="s">
        <v>24</v>
      </c>
      <c r="Q8398">
        <v>416.63</v>
      </c>
      <c r="R8398" t="str">
        <f>"PENSE FARMA 13 (10202)"</f>
        <v>PENSE FARMA 13 (10202)</v>
      </c>
      <c r="S8398" t="s">
        <v>77</v>
      </c>
      <c r="T8398">
        <v>22133</v>
      </c>
      <c r="U8398">
        <v>24392</v>
      </c>
      <c r="V8398" t="s">
        <v>77</v>
      </c>
    </row>
    <row r="8399" spans="1:22">
      <c r="A8399" t="str">
        <f t="shared" si="1557"/>
        <v>30/10/2025</v>
      </c>
      <c r="B8399" t="str">
        <f t="shared" si="1559"/>
        <v>SAÍDA</v>
      </c>
      <c r="C8399" t="str">
        <f t="shared" si="1545"/>
        <v>PIX</v>
      </c>
      <c r="D8399" t="str">
        <f>"24392"</f>
        <v>24392</v>
      </c>
      <c r="E8399" t="str">
        <f t="shared" si="1546"/>
        <v>1</v>
      </c>
      <c r="F8399" t="str">
        <f t="shared" si="1552"/>
        <v>COM</v>
      </c>
      <c r="G8399" t="str">
        <f>"MANOEL DE JESUS ALMEIDA (1017)"</f>
        <v>MANOEL DE JESUS ALMEIDA (1017)</v>
      </c>
      <c r="H8399" t="s">
        <v>2369</v>
      </c>
      <c r="I8399" t="str">
        <f t="shared" si="1560"/>
        <v>30/10/2025</v>
      </c>
      <c r="J8399" t="str">
        <f t="shared" si="1558"/>
        <v>27/10/2025</v>
      </c>
      <c r="K8399">
        <v>45960</v>
      </c>
      <c r="N8399">
        <v>109</v>
      </c>
      <c r="O8399" t="s">
        <v>24</v>
      </c>
      <c r="Q8399">
        <v>416.75</v>
      </c>
      <c r="R8399" t="str">
        <f>"PENSE FARMA 27 (10204)"</f>
        <v>PENSE FARMA 27 (10204)</v>
      </c>
      <c r="S8399" t="s">
        <v>77</v>
      </c>
      <c r="T8399">
        <v>22133</v>
      </c>
      <c r="U8399">
        <v>24392</v>
      </c>
      <c r="V8399" t="s">
        <v>77</v>
      </c>
    </row>
    <row r="8400" spans="1:22">
      <c r="A8400" t="str">
        <f t="shared" si="1557"/>
        <v>30/10/2025</v>
      </c>
      <c r="B8400" t="str">
        <f t="shared" si="1559"/>
        <v>SAÍDA</v>
      </c>
      <c r="C8400" t="str">
        <f t="shared" ref="C8400:C8463" si="1561">"PIX"</f>
        <v>PIX</v>
      </c>
      <c r="D8400" t="str">
        <f>"24394"</f>
        <v>24394</v>
      </c>
      <c r="E8400" t="str">
        <f t="shared" si="1546"/>
        <v>1</v>
      </c>
      <c r="F8400" t="str">
        <f t="shared" si="1552"/>
        <v>COM</v>
      </c>
      <c r="G8400" t="str">
        <f>"ALESSANDRO SILVA DOS SANTOS (966)"</f>
        <v>ALESSANDRO SILVA DOS SANTOS (966)</v>
      </c>
      <c r="H8400" t="str">
        <f>"Serv.Prest. 20/10/2025 a 26/10/2025 - PIX: E-MAIL - CHAVE: silvaalessandro3909@gmail.com"</f>
        <v>Serv.Prest. 20/10/2025 a 26/10/2025 - PIX: E-MAIL - CHAVE: silvaalessandro3909@gmail.com</v>
      </c>
      <c r="I8400" t="str">
        <f t="shared" si="1560"/>
        <v>30/10/2025</v>
      </c>
      <c r="J8400" t="str">
        <f t="shared" si="1558"/>
        <v>27/10/2025</v>
      </c>
      <c r="K8400" t="str">
        <f>("30/10/2025")</f>
        <v>30/10/2025</v>
      </c>
      <c r="L8400">
        <v>920</v>
      </c>
      <c r="M8400">
        <v>920</v>
      </c>
      <c r="N8400">
        <v>109</v>
      </c>
      <c r="O8400" t="str">
        <f>"PAGAMENTO DE ENTREGADORES"</f>
        <v>PAGAMENTO DE ENTREGADORES</v>
      </c>
      <c r="P8400">
        <v>920</v>
      </c>
      <c r="S8400" t="str">
        <f>"BANCO C6 (149)"</f>
        <v>BANCO C6 (149)</v>
      </c>
      <c r="T8400">
        <v>22134</v>
      </c>
      <c r="U8400">
        <v>24394</v>
      </c>
      <c r="V8400" t="s">
        <v>77</v>
      </c>
    </row>
    <row r="8401" spans="1:22">
      <c r="A8401" t="str">
        <f t="shared" si="1557"/>
        <v>30/10/2025</v>
      </c>
      <c r="B8401" t="str">
        <f t="shared" si="1559"/>
        <v>SAÍDA</v>
      </c>
      <c r="C8401" t="str">
        <f t="shared" si="1561"/>
        <v>PIX</v>
      </c>
      <c r="D8401" t="str">
        <f>"24394"</f>
        <v>24394</v>
      </c>
      <c r="E8401" t="str">
        <f t="shared" si="1546"/>
        <v>1</v>
      </c>
      <c r="F8401" t="str">
        <f t="shared" si="1552"/>
        <v>COM</v>
      </c>
      <c r="G8401" t="str">
        <f>"ALESSANDRO SILVA DOS SANTOS (966)"</f>
        <v>ALESSANDRO SILVA DOS SANTOS (966)</v>
      </c>
      <c r="H8401" t="s">
        <v>2370</v>
      </c>
      <c r="I8401" t="str">
        <f t="shared" si="1560"/>
        <v>30/10/2025</v>
      </c>
      <c r="J8401" t="str">
        <f t="shared" si="1558"/>
        <v>27/10/2025</v>
      </c>
      <c r="K8401">
        <v>45960</v>
      </c>
      <c r="N8401">
        <v>109</v>
      </c>
      <c r="O8401" t="s">
        <v>24</v>
      </c>
      <c r="Q8401">
        <v>920</v>
      </c>
      <c r="R8401" t="str">
        <f>"PENSE FARMA 22 (10198)"</f>
        <v>PENSE FARMA 22 (10198)</v>
      </c>
      <c r="S8401" t="s">
        <v>77</v>
      </c>
      <c r="T8401">
        <v>22134</v>
      </c>
      <c r="U8401">
        <v>24394</v>
      </c>
      <c r="V8401" t="s">
        <v>77</v>
      </c>
    </row>
    <row r="8402" spans="1:22">
      <c r="A8402" t="str">
        <f t="shared" si="1557"/>
        <v>30/10/2025</v>
      </c>
      <c r="B8402" t="str">
        <f t="shared" si="1559"/>
        <v>SAÍDA</v>
      </c>
      <c r="C8402" t="str">
        <f t="shared" si="1561"/>
        <v>PIX</v>
      </c>
      <c r="D8402" t="str">
        <f>"24396"</f>
        <v>24396</v>
      </c>
      <c r="E8402" t="str">
        <f t="shared" si="1546"/>
        <v>1</v>
      </c>
      <c r="F8402" t="str">
        <f t="shared" si="1552"/>
        <v>COM</v>
      </c>
      <c r="G8402" t="str">
        <f>"JULIEDERSON AGUIAR SANTOS (946)"</f>
        <v>JULIEDERSON AGUIAR SANTOS (946)</v>
      </c>
      <c r="H8402" t="str">
        <f>"Serv.Prest. 20/10/2025 a 26/10/2025 - PIX: CPF - CHAVE: 383.328.968-60"</f>
        <v>Serv.Prest. 20/10/2025 a 26/10/2025 - PIX: CPF - CHAVE: 383.328.968-60</v>
      </c>
      <c r="I8402" t="str">
        <f t="shared" si="1560"/>
        <v>30/10/2025</v>
      </c>
      <c r="J8402" t="str">
        <f t="shared" si="1558"/>
        <v>27/10/2025</v>
      </c>
      <c r="K8402" t="str">
        <f>("30/10/2025")</f>
        <v>30/10/2025</v>
      </c>
      <c r="L8402">
        <v>1090</v>
      </c>
      <c r="M8402">
        <v>1090</v>
      </c>
      <c r="N8402">
        <v>109</v>
      </c>
      <c r="O8402" t="str">
        <f>"PAGAMENTO DE ENTREGADORES"</f>
        <v>PAGAMENTO DE ENTREGADORES</v>
      </c>
      <c r="P8402">
        <v>1090</v>
      </c>
      <c r="S8402" t="str">
        <f>"BANCO C6 (149)"</f>
        <v>BANCO C6 (149)</v>
      </c>
      <c r="T8402">
        <v>22135</v>
      </c>
      <c r="U8402">
        <v>24396</v>
      </c>
      <c r="V8402" t="s">
        <v>77</v>
      </c>
    </row>
    <row r="8403" spans="1:22">
      <c r="A8403" t="str">
        <f t="shared" si="1557"/>
        <v>30/10/2025</v>
      </c>
      <c r="B8403" t="str">
        <f t="shared" si="1559"/>
        <v>SAÍDA</v>
      </c>
      <c r="C8403" t="str">
        <f t="shared" si="1561"/>
        <v>PIX</v>
      </c>
      <c r="D8403" t="str">
        <f>"24396"</f>
        <v>24396</v>
      </c>
      <c r="E8403" t="str">
        <f t="shared" si="1546"/>
        <v>1</v>
      </c>
      <c r="F8403" t="str">
        <f t="shared" si="1552"/>
        <v>COM</v>
      </c>
      <c r="G8403" t="str">
        <f>"JULIEDERSON AGUIAR SANTOS (946)"</f>
        <v>JULIEDERSON AGUIAR SANTOS (946)</v>
      </c>
      <c r="H8403" t="s">
        <v>2371</v>
      </c>
      <c r="I8403" t="str">
        <f t="shared" si="1560"/>
        <v>30/10/2025</v>
      </c>
      <c r="J8403" t="str">
        <f t="shared" si="1558"/>
        <v>27/10/2025</v>
      </c>
      <c r="K8403">
        <v>45960</v>
      </c>
      <c r="N8403">
        <v>109</v>
      </c>
      <c r="O8403" t="s">
        <v>24</v>
      </c>
      <c r="Q8403">
        <v>1090</v>
      </c>
      <c r="R8403" t="str">
        <f>"PENSE FARMA 22 (10198)"</f>
        <v>PENSE FARMA 22 (10198)</v>
      </c>
      <c r="S8403" t="s">
        <v>77</v>
      </c>
      <c r="T8403">
        <v>22135</v>
      </c>
      <c r="U8403">
        <v>24396</v>
      </c>
      <c r="V8403" t="s">
        <v>77</v>
      </c>
    </row>
    <row r="8404" spans="1:22">
      <c r="A8404" t="str">
        <f t="shared" si="1557"/>
        <v>30/10/2025</v>
      </c>
      <c r="B8404" t="str">
        <f t="shared" si="1559"/>
        <v>SAÍDA</v>
      </c>
      <c r="C8404" t="str">
        <f t="shared" si="1561"/>
        <v>PIX</v>
      </c>
      <c r="D8404" t="str">
        <f>"24398"</f>
        <v>24398</v>
      </c>
      <c r="E8404" t="str">
        <f t="shared" si="1546"/>
        <v>1</v>
      </c>
      <c r="F8404" t="str">
        <f t="shared" si="1552"/>
        <v>COM</v>
      </c>
      <c r="G8404" t="str">
        <f>"DARIO GILIARD DE BARROS OLIVEIRA (1011)"</f>
        <v>DARIO GILIARD DE BARROS OLIVEIRA (1011)</v>
      </c>
      <c r="H8404" t="str">
        <f>"Serv.Prest. 20/10/2025 a 26/10/2025 - PIX: CELULAR - CHAVE: (11) 96409-0865"</f>
        <v>Serv.Prest. 20/10/2025 a 26/10/2025 - PIX: CELULAR - CHAVE: (11) 96409-0865</v>
      </c>
      <c r="I8404" t="str">
        <f t="shared" si="1560"/>
        <v>30/10/2025</v>
      </c>
      <c r="J8404" t="str">
        <f t="shared" si="1558"/>
        <v>27/10/2025</v>
      </c>
      <c r="K8404" t="str">
        <f>("30/10/2025")</f>
        <v>30/10/2025</v>
      </c>
      <c r="L8404">
        <v>400</v>
      </c>
      <c r="M8404">
        <v>400</v>
      </c>
      <c r="N8404">
        <v>109</v>
      </c>
      <c r="O8404" t="str">
        <f>"PAGAMENTO DE ENTREGADORES"</f>
        <v>PAGAMENTO DE ENTREGADORES</v>
      </c>
      <c r="P8404">
        <v>400</v>
      </c>
      <c r="S8404" t="str">
        <f>"BANCO C6 (149)"</f>
        <v>BANCO C6 (149)</v>
      </c>
      <c r="T8404">
        <v>22136</v>
      </c>
      <c r="U8404">
        <v>24398</v>
      </c>
      <c r="V8404" t="s">
        <v>77</v>
      </c>
    </row>
    <row r="8405" spans="1:22">
      <c r="A8405" t="str">
        <f t="shared" si="1557"/>
        <v>30/10/2025</v>
      </c>
      <c r="B8405" t="str">
        <f t="shared" si="1559"/>
        <v>SAÍDA</v>
      </c>
      <c r="C8405" t="str">
        <f t="shared" si="1561"/>
        <v>PIX</v>
      </c>
      <c r="D8405" t="str">
        <f>"24398"</f>
        <v>24398</v>
      </c>
      <c r="E8405" t="str">
        <f t="shared" si="1546"/>
        <v>1</v>
      </c>
      <c r="F8405" t="str">
        <f t="shared" si="1552"/>
        <v>COM</v>
      </c>
      <c r="G8405" t="str">
        <f>"DARIO GILIARD DE BARROS OLIVEIRA (1011)"</f>
        <v>DARIO GILIARD DE BARROS OLIVEIRA (1011)</v>
      </c>
      <c r="H8405" t="s">
        <v>2372</v>
      </c>
      <c r="I8405" t="str">
        <f t="shared" si="1560"/>
        <v>30/10/2025</v>
      </c>
      <c r="J8405" t="str">
        <f t="shared" si="1558"/>
        <v>27/10/2025</v>
      </c>
      <c r="K8405">
        <v>45960</v>
      </c>
      <c r="N8405">
        <v>109</v>
      </c>
      <c r="O8405" t="s">
        <v>24</v>
      </c>
      <c r="Q8405">
        <v>100</v>
      </c>
      <c r="R8405" t="str">
        <f>"PENSE FARMA 15 (10195)"</f>
        <v>PENSE FARMA 15 (10195)</v>
      </c>
      <c r="S8405" t="s">
        <v>77</v>
      </c>
      <c r="T8405">
        <v>22136</v>
      </c>
      <c r="U8405">
        <v>24398</v>
      </c>
      <c r="V8405" t="s">
        <v>77</v>
      </c>
    </row>
    <row r="8406" spans="1:22">
      <c r="A8406" t="str">
        <f t="shared" si="1557"/>
        <v>30/10/2025</v>
      </c>
      <c r="B8406" t="str">
        <f t="shared" si="1559"/>
        <v>SAÍDA</v>
      </c>
      <c r="C8406" t="str">
        <f t="shared" si="1561"/>
        <v>PIX</v>
      </c>
      <c r="D8406" t="str">
        <f>"24398"</f>
        <v>24398</v>
      </c>
      <c r="E8406" t="str">
        <f t="shared" si="1546"/>
        <v>1</v>
      </c>
      <c r="F8406" t="str">
        <f t="shared" si="1552"/>
        <v>COM</v>
      </c>
      <c r="G8406" t="str">
        <f>"DARIO GILIARD DE BARROS OLIVEIRA (1011)"</f>
        <v>DARIO GILIARD DE BARROS OLIVEIRA (1011)</v>
      </c>
      <c r="H8406" t="s">
        <v>2372</v>
      </c>
      <c r="I8406" t="str">
        <f t="shared" si="1560"/>
        <v>30/10/2025</v>
      </c>
      <c r="J8406" t="str">
        <f t="shared" si="1558"/>
        <v>27/10/2025</v>
      </c>
      <c r="K8406">
        <v>45960</v>
      </c>
      <c r="N8406">
        <v>109</v>
      </c>
      <c r="O8406" t="s">
        <v>24</v>
      </c>
      <c r="Q8406">
        <v>100</v>
      </c>
      <c r="R8406" t="str">
        <f>"PENSE FARMA 26 (10196)"</f>
        <v>PENSE FARMA 26 (10196)</v>
      </c>
      <c r="S8406" t="s">
        <v>77</v>
      </c>
      <c r="T8406">
        <v>22136</v>
      </c>
      <c r="U8406">
        <v>24398</v>
      </c>
      <c r="V8406" t="s">
        <v>77</v>
      </c>
    </row>
    <row r="8407" spans="1:22">
      <c r="A8407" t="str">
        <f t="shared" si="1557"/>
        <v>30/10/2025</v>
      </c>
      <c r="B8407" t="str">
        <f t="shared" si="1559"/>
        <v>SAÍDA</v>
      </c>
      <c r="C8407" t="str">
        <f t="shared" si="1561"/>
        <v>PIX</v>
      </c>
      <c r="D8407" t="str">
        <f>"24398"</f>
        <v>24398</v>
      </c>
      <c r="E8407" t="str">
        <f t="shared" si="1546"/>
        <v>1</v>
      </c>
      <c r="F8407" t="str">
        <f t="shared" si="1552"/>
        <v>COM</v>
      </c>
      <c r="G8407" t="str">
        <f>"DARIO GILIARD DE BARROS OLIVEIRA (1011)"</f>
        <v>DARIO GILIARD DE BARROS OLIVEIRA (1011)</v>
      </c>
      <c r="H8407" t="s">
        <v>2372</v>
      </c>
      <c r="I8407" t="str">
        <f t="shared" si="1560"/>
        <v>30/10/2025</v>
      </c>
      <c r="J8407" t="str">
        <f t="shared" si="1558"/>
        <v>27/10/2025</v>
      </c>
      <c r="K8407">
        <v>45960</v>
      </c>
      <c r="N8407">
        <v>109</v>
      </c>
      <c r="O8407" t="s">
        <v>24</v>
      </c>
      <c r="Q8407">
        <v>100</v>
      </c>
      <c r="R8407" t="str">
        <f>"PENSE FARMA 60 (10197)"</f>
        <v>PENSE FARMA 60 (10197)</v>
      </c>
      <c r="S8407" t="s">
        <v>77</v>
      </c>
      <c r="T8407">
        <v>22136</v>
      </c>
      <c r="U8407">
        <v>24398</v>
      </c>
      <c r="V8407" t="s">
        <v>77</v>
      </c>
    </row>
    <row r="8408" spans="1:22">
      <c r="A8408" t="str">
        <f t="shared" si="1557"/>
        <v>30/10/2025</v>
      </c>
      <c r="B8408" t="str">
        <f t="shared" si="1559"/>
        <v>SAÍDA</v>
      </c>
      <c r="C8408" t="str">
        <f t="shared" si="1561"/>
        <v>PIX</v>
      </c>
      <c r="D8408" t="str">
        <f>"24398"</f>
        <v>24398</v>
      </c>
      <c r="E8408" t="str">
        <f t="shared" si="1546"/>
        <v>1</v>
      </c>
      <c r="F8408" t="str">
        <f t="shared" si="1552"/>
        <v>COM</v>
      </c>
      <c r="G8408" t="str">
        <f>"DARIO GILIARD DE BARROS OLIVEIRA (1011)"</f>
        <v>DARIO GILIARD DE BARROS OLIVEIRA (1011)</v>
      </c>
      <c r="H8408" t="s">
        <v>2372</v>
      </c>
      <c r="I8408" t="str">
        <f t="shared" si="1560"/>
        <v>30/10/2025</v>
      </c>
      <c r="J8408" t="str">
        <f t="shared" si="1558"/>
        <v>27/10/2025</v>
      </c>
      <c r="K8408">
        <v>45960</v>
      </c>
      <c r="N8408">
        <v>109</v>
      </c>
      <c r="O8408" t="s">
        <v>24</v>
      </c>
      <c r="Q8408">
        <v>100</v>
      </c>
      <c r="R8408" t="str">
        <f>"PENSE FARMA 61 (10243)"</f>
        <v>PENSE FARMA 61 (10243)</v>
      </c>
      <c r="S8408" t="s">
        <v>77</v>
      </c>
      <c r="T8408">
        <v>22136</v>
      </c>
      <c r="U8408">
        <v>24398</v>
      </c>
      <c r="V8408" t="s">
        <v>77</v>
      </c>
    </row>
    <row r="8409" spans="1:22">
      <c r="A8409" t="str">
        <f t="shared" si="1557"/>
        <v>30/10/2025</v>
      </c>
      <c r="B8409" t="str">
        <f t="shared" si="1559"/>
        <v>SAÍDA</v>
      </c>
      <c r="C8409" t="str">
        <f t="shared" si="1561"/>
        <v>PIX</v>
      </c>
      <c r="D8409" t="str">
        <f>"24399"</f>
        <v>24399</v>
      </c>
      <c r="E8409" t="str">
        <f t="shared" si="1546"/>
        <v>1</v>
      </c>
      <c r="F8409" t="str">
        <f t="shared" si="1552"/>
        <v>COM</v>
      </c>
      <c r="G8409" t="str">
        <f>"ERIC RODRIGUES TEIXEIRA (939)"</f>
        <v>ERIC RODRIGUES TEIXEIRA (939)</v>
      </c>
      <c r="H8409" t="str">
        <f>"Serv.Prest. 20/10/2025 a 26/10/2025 - PIX: CELULAR - CHAVE: (11) 95038-0621"</f>
        <v>Serv.Prest. 20/10/2025 a 26/10/2025 - PIX: CELULAR - CHAVE: (11) 95038-0621</v>
      </c>
      <c r="I8409" t="str">
        <f t="shared" si="1560"/>
        <v>30/10/2025</v>
      </c>
      <c r="J8409" t="str">
        <f t="shared" si="1558"/>
        <v>27/10/2025</v>
      </c>
      <c r="K8409" t="str">
        <f>("30/10/2025")</f>
        <v>30/10/2025</v>
      </c>
      <c r="L8409">
        <v>300</v>
      </c>
      <c r="M8409">
        <v>300</v>
      </c>
      <c r="N8409">
        <v>109</v>
      </c>
      <c r="O8409" t="str">
        <f>"PAGAMENTO DE ENTREGADORES"</f>
        <v>PAGAMENTO DE ENTREGADORES</v>
      </c>
      <c r="P8409">
        <v>300</v>
      </c>
      <c r="S8409" t="str">
        <f>"BANCO C6 (149)"</f>
        <v>BANCO C6 (149)</v>
      </c>
      <c r="T8409">
        <v>22137</v>
      </c>
      <c r="U8409">
        <v>24399</v>
      </c>
      <c r="V8409" t="s">
        <v>77</v>
      </c>
    </row>
    <row r="8410" spans="1:22">
      <c r="A8410" t="str">
        <f t="shared" si="1557"/>
        <v>30/10/2025</v>
      </c>
      <c r="B8410" t="str">
        <f t="shared" si="1559"/>
        <v>SAÍDA</v>
      </c>
      <c r="C8410" t="str">
        <f t="shared" si="1561"/>
        <v>PIX</v>
      </c>
      <c r="D8410" t="str">
        <f>"24399"</f>
        <v>24399</v>
      </c>
      <c r="E8410" t="str">
        <f t="shared" si="1546"/>
        <v>1</v>
      </c>
      <c r="F8410" t="str">
        <f t="shared" si="1552"/>
        <v>COM</v>
      </c>
      <c r="G8410" t="str">
        <f>"ERIC RODRIGUES TEIXEIRA (939)"</f>
        <v>ERIC RODRIGUES TEIXEIRA (939)</v>
      </c>
      <c r="H8410" t="s">
        <v>2373</v>
      </c>
      <c r="I8410" t="str">
        <f t="shared" si="1560"/>
        <v>30/10/2025</v>
      </c>
      <c r="J8410" t="str">
        <f t="shared" si="1558"/>
        <v>27/10/2025</v>
      </c>
      <c r="K8410">
        <v>45960</v>
      </c>
      <c r="N8410">
        <v>109</v>
      </c>
      <c r="O8410" t="s">
        <v>24</v>
      </c>
      <c r="Q8410">
        <v>75</v>
      </c>
      <c r="R8410" t="str">
        <f>"PENSE FARMA 15 (10195)"</f>
        <v>PENSE FARMA 15 (10195)</v>
      </c>
      <c r="S8410" t="s">
        <v>77</v>
      </c>
      <c r="T8410">
        <v>22137</v>
      </c>
      <c r="U8410">
        <v>24399</v>
      </c>
      <c r="V8410" t="s">
        <v>77</v>
      </c>
    </row>
    <row r="8411" spans="1:22">
      <c r="A8411" t="str">
        <f t="shared" si="1557"/>
        <v>30/10/2025</v>
      </c>
      <c r="B8411" t="str">
        <f t="shared" si="1559"/>
        <v>SAÍDA</v>
      </c>
      <c r="C8411" t="str">
        <f t="shared" si="1561"/>
        <v>PIX</v>
      </c>
      <c r="D8411" t="str">
        <f>"24399"</f>
        <v>24399</v>
      </c>
      <c r="E8411" t="str">
        <f t="shared" si="1546"/>
        <v>1</v>
      </c>
      <c r="F8411" t="str">
        <f t="shared" si="1552"/>
        <v>COM</v>
      </c>
      <c r="G8411" t="str">
        <f>"ERIC RODRIGUES TEIXEIRA (939)"</f>
        <v>ERIC RODRIGUES TEIXEIRA (939)</v>
      </c>
      <c r="H8411" t="s">
        <v>2373</v>
      </c>
      <c r="I8411" t="str">
        <f t="shared" si="1560"/>
        <v>30/10/2025</v>
      </c>
      <c r="J8411" t="str">
        <f t="shared" si="1558"/>
        <v>27/10/2025</v>
      </c>
      <c r="K8411">
        <v>45960</v>
      </c>
      <c r="N8411">
        <v>109</v>
      </c>
      <c r="O8411" t="s">
        <v>24</v>
      </c>
      <c r="Q8411">
        <v>75</v>
      </c>
      <c r="R8411" t="str">
        <f>"PENSE FARMA 26 (10196)"</f>
        <v>PENSE FARMA 26 (10196)</v>
      </c>
      <c r="S8411" t="s">
        <v>77</v>
      </c>
      <c r="T8411">
        <v>22137</v>
      </c>
      <c r="U8411">
        <v>24399</v>
      </c>
      <c r="V8411" t="s">
        <v>77</v>
      </c>
    </row>
    <row r="8412" spans="1:22">
      <c r="A8412" t="str">
        <f t="shared" si="1557"/>
        <v>30/10/2025</v>
      </c>
      <c r="B8412" t="str">
        <f t="shared" si="1559"/>
        <v>SAÍDA</v>
      </c>
      <c r="C8412" t="str">
        <f t="shared" si="1561"/>
        <v>PIX</v>
      </c>
      <c r="D8412" t="str">
        <f>"24399"</f>
        <v>24399</v>
      </c>
      <c r="E8412" t="str">
        <f t="shared" si="1546"/>
        <v>1</v>
      </c>
      <c r="F8412" t="str">
        <f t="shared" si="1552"/>
        <v>COM</v>
      </c>
      <c r="G8412" t="str">
        <f>"ERIC RODRIGUES TEIXEIRA (939)"</f>
        <v>ERIC RODRIGUES TEIXEIRA (939)</v>
      </c>
      <c r="H8412" t="s">
        <v>2373</v>
      </c>
      <c r="I8412" t="str">
        <f t="shared" si="1560"/>
        <v>30/10/2025</v>
      </c>
      <c r="J8412" t="str">
        <f t="shared" si="1558"/>
        <v>27/10/2025</v>
      </c>
      <c r="K8412">
        <v>45960</v>
      </c>
      <c r="N8412">
        <v>109</v>
      </c>
      <c r="O8412" t="s">
        <v>24</v>
      </c>
      <c r="Q8412">
        <v>75</v>
      </c>
      <c r="R8412" t="str">
        <f>"PENSE FARMA 60 (10197)"</f>
        <v>PENSE FARMA 60 (10197)</v>
      </c>
      <c r="S8412" t="s">
        <v>77</v>
      </c>
      <c r="T8412">
        <v>22137</v>
      </c>
      <c r="U8412">
        <v>24399</v>
      </c>
      <c r="V8412" t="s">
        <v>77</v>
      </c>
    </row>
    <row r="8413" spans="1:22">
      <c r="A8413" t="str">
        <f t="shared" si="1557"/>
        <v>30/10/2025</v>
      </c>
      <c r="B8413" t="str">
        <f t="shared" si="1559"/>
        <v>SAÍDA</v>
      </c>
      <c r="C8413" t="str">
        <f t="shared" si="1561"/>
        <v>PIX</v>
      </c>
      <c r="D8413" t="str">
        <f>"24399"</f>
        <v>24399</v>
      </c>
      <c r="E8413" t="str">
        <f t="shared" si="1546"/>
        <v>1</v>
      </c>
      <c r="F8413" t="str">
        <f t="shared" si="1552"/>
        <v>COM</v>
      </c>
      <c r="G8413" t="str">
        <f>"ERIC RODRIGUES TEIXEIRA (939)"</f>
        <v>ERIC RODRIGUES TEIXEIRA (939)</v>
      </c>
      <c r="H8413" t="s">
        <v>2373</v>
      </c>
      <c r="I8413" t="str">
        <f t="shared" si="1560"/>
        <v>30/10/2025</v>
      </c>
      <c r="J8413" t="str">
        <f t="shared" si="1558"/>
        <v>27/10/2025</v>
      </c>
      <c r="K8413">
        <v>45960</v>
      </c>
      <c r="N8413">
        <v>109</v>
      </c>
      <c r="O8413" t="s">
        <v>24</v>
      </c>
      <c r="Q8413">
        <v>75</v>
      </c>
      <c r="R8413" t="str">
        <f>"PENSE FARMA 61 (10243)"</f>
        <v>PENSE FARMA 61 (10243)</v>
      </c>
      <c r="S8413" t="s">
        <v>77</v>
      </c>
      <c r="T8413">
        <v>22137</v>
      </c>
      <c r="U8413">
        <v>24399</v>
      </c>
      <c r="V8413" t="s">
        <v>77</v>
      </c>
    </row>
    <row r="8414" spans="1:22">
      <c r="A8414" t="str">
        <f t="shared" si="1557"/>
        <v>30/10/2025</v>
      </c>
      <c r="B8414" t="str">
        <f t="shared" si="1559"/>
        <v>SAÍDA</v>
      </c>
      <c r="C8414" t="str">
        <f t="shared" si="1561"/>
        <v>PIX</v>
      </c>
      <c r="D8414" t="str">
        <f>"24401"</f>
        <v>24401</v>
      </c>
      <c r="E8414" t="str">
        <f t="shared" si="1546"/>
        <v>1</v>
      </c>
      <c r="F8414" t="str">
        <f t="shared" si="1552"/>
        <v>COM</v>
      </c>
      <c r="G8414" t="str">
        <f>"ITALO GONÇALVES (974)"</f>
        <v>ITALO GONÇALVES (974)</v>
      </c>
      <c r="H8414" t="str">
        <f>"Serv.Prest. 20/10/2025 a 26/10/2025 - PIX: CELULAR - CHAVE: (11) 99220-4018"</f>
        <v>Serv.Prest. 20/10/2025 a 26/10/2025 - PIX: CELULAR - CHAVE: (11) 99220-4018</v>
      </c>
      <c r="I8414" t="str">
        <f t="shared" si="1560"/>
        <v>30/10/2025</v>
      </c>
      <c r="J8414" t="str">
        <f t="shared" si="1558"/>
        <v>27/10/2025</v>
      </c>
      <c r="K8414" t="str">
        <f>("30/10/2025")</f>
        <v>30/10/2025</v>
      </c>
      <c r="L8414">
        <v>500</v>
      </c>
      <c r="M8414">
        <v>500</v>
      </c>
      <c r="N8414">
        <v>109</v>
      </c>
      <c r="O8414" t="str">
        <f>"PAGAMENTO DE ENTREGADORES"</f>
        <v>PAGAMENTO DE ENTREGADORES</v>
      </c>
      <c r="P8414">
        <v>500</v>
      </c>
      <c r="S8414" t="str">
        <f>"BANCO C6 (149)"</f>
        <v>BANCO C6 (149)</v>
      </c>
      <c r="T8414">
        <v>22138</v>
      </c>
      <c r="U8414">
        <v>24401</v>
      </c>
      <c r="V8414" t="s">
        <v>77</v>
      </c>
    </row>
    <row r="8415" spans="1:22">
      <c r="A8415" t="str">
        <f t="shared" si="1557"/>
        <v>30/10/2025</v>
      </c>
      <c r="B8415" t="str">
        <f t="shared" si="1559"/>
        <v>SAÍDA</v>
      </c>
      <c r="C8415" t="str">
        <f t="shared" si="1561"/>
        <v>PIX</v>
      </c>
      <c r="D8415" t="str">
        <f>"24401"</f>
        <v>24401</v>
      </c>
      <c r="E8415" t="str">
        <f t="shared" si="1546"/>
        <v>1</v>
      </c>
      <c r="F8415" t="str">
        <f t="shared" si="1552"/>
        <v>COM</v>
      </c>
      <c r="G8415" t="str">
        <f>"ITALO GONÇALVES (974)"</f>
        <v>ITALO GONÇALVES (974)</v>
      </c>
      <c r="H8415" t="s">
        <v>1914</v>
      </c>
      <c r="I8415" t="str">
        <f t="shared" si="1560"/>
        <v>30/10/2025</v>
      </c>
      <c r="J8415" t="str">
        <f t="shared" si="1558"/>
        <v>27/10/2025</v>
      </c>
      <c r="K8415">
        <v>45960</v>
      </c>
      <c r="N8415">
        <v>109</v>
      </c>
      <c r="O8415" t="s">
        <v>24</v>
      </c>
      <c r="Q8415">
        <v>125</v>
      </c>
      <c r="R8415" t="str">
        <f>"PENSE FARMA 15 (10195)"</f>
        <v>PENSE FARMA 15 (10195)</v>
      </c>
      <c r="S8415" t="s">
        <v>77</v>
      </c>
      <c r="T8415">
        <v>22138</v>
      </c>
      <c r="U8415">
        <v>24401</v>
      </c>
      <c r="V8415" t="s">
        <v>77</v>
      </c>
    </row>
    <row r="8416" spans="1:22">
      <c r="A8416" t="str">
        <f t="shared" si="1557"/>
        <v>30/10/2025</v>
      </c>
      <c r="B8416" t="str">
        <f t="shared" si="1559"/>
        <v>SAÍDA</v>
      </c>
      <c r="C8416" t="str">
        <f t="shared" si="1561"/>
        <v>PIX</v>
      </c>
      <c r="D8416" t="str">
        <f>"24401"</f>
        <v>24401</v>
      </c>
      <c r="E8416" t="str">
        <f t="shared" si="1546"/>
        <v>1</v>
      </c>
      <c r="F8416" t="str">
        <f t="shared" si="1552"/>
        <v>COM</v>
      </c>
      <c r="G8416" t="str">
        <f>"ITALO GONÇALVES (974)"</f>
        <v>ITALO GONÇALVES (974)</v>
      </c>
      <c r="H8416" t="s">
        <v>1914</v>
      </c>
      <c r="I8416" t="str">
        <f t="shared" si="1560"/>
        <v>30/10/2025</v>
      </c>
      <c r="J8416" t="str">
        <f t="shared" si="1558"/>
        <v>27/10/2025</v>
      </c>
      <c r="K8416">
        <v>45960</v>
      </c>
      <c r="N8416">
        <v>109</v>
      </c>
      <c r="O8416" t="s">
        <v>24</v>
      </c>
      <c r="Q8416">
        <v>125</v>
      </c>
      <c r="R8416" t="str">
        <f>"PENSE FARMA 26 (10196)"</f>
        <v>PENSE FARMA 26 (10196)</v>
      </c>
      <c r="S8416" t="s">
        <v>77</v>
      </c>
      <c r="T8416">
        <v>22138</v>
      </c>
      <c r="U8416">
        <v>24401</v>
      </c>
      <c r="V8416" t="s">
        <v>77</v>
      </c>
    </row>
    <row r="8417" spans="1:22">
      <c r="A8417" t="str">
        <f t="shared" si="1557"/>
        <v>30/10/2025</v>
      </c>
      <c r="B8417" t="str">
        <f t="shared" si="1559"/>
        <v>SAÍDA</v>
      </c>
      <c r="C8417" t="str">
        <f t="shared" si="1561"/>
        <v>PIX</v>
      </c>
      <c r="D8417" t="str">
        <f>"24401"</f>
        <v>24401</v>
      </c>
      <c r="E8417" t="str">
        <f t="shared" si="1546"/>
        <v>1</v>
      </c>
      <c r="F8417" t="str">
        <f t="shared" si="1552"/>
        <v>COM</v>
      </c>
      <c r="G8417" t="str">
        <f>"ITALO GONÇALVES (974)"</f>
        <v>ITALO GONÇALVES (974)</v>
      </c>
      <c r="H8417" t="s">
        <v>1914</v>
      </c>
      <c r="I8417" t="str">
        <f t="shared" si="1560"/>
        <v>30/10/2025</v>
      </c>
      <c r="J8417" t="str">
        <f t="shared" si="1558"/>
        <v>27/10/2025</v>
      </c>
      <c r="K8417">
        <v>45960</v>
      </c>
      <c r="N8417">
        <v>109</v>
      </c>
      <c r="O8417" t="s">
        <v>24</v>
      </c>
      <c r="Q8417">
        <v>125</v>
      </c>
      <c r="R8417" t="str">
        <f>"PENSE FARMA 60 (10197)"</f>
        <v>PENSE FARMA 60 (10197)</v>
      </c>
      <c r="S8417" t="s">
        <v>77</v>
      </c>
      <c r="T8417">
        <v>22138</v>
      </c>
      <c r="U8417">
        <v>24401</v>
      </c>
      <c r="V8417" t="s">
        <v>77</v>
      </c>
    </row>
    <row r="8418" spans="1:22">
      <c r="A8418" t="str">
        <f t="shared" si="1557"/>
        <v>30/10/2025</v>
      </c>
      <c r="B8418" t="str">
        <f t="shared" si="1559"/>
        <v>SAÍDA</v>
      </c>
      <c r="C8418" t="str">
        <f t="shared" si="1561"/>
        <v>PIX</v>
      </c>
      <c r="D8418" t="str">
        <f>"24401"</f>
        <v>24401</v>
      </c>
      <c r="E8418" t="str">
        <f t="shared" si="1546"/>
        <v>1</v>
      </c>
      <c r="F8418" t="str">
        <f t="shared" si="1552"/>
        <v>COM</v>
      </c>
      <c r="G8418" t="str">
        <f>"ITALO GONÇALVES (974)"</f>
        <v>ITALO GONÇALVES (974)</v>
      </c>
      <c r="H8418" t="s">
        <v>1914</v>
      </c>
      <c r="I8418" t="str">
        <f t="shared" si="1560"/>
        <v>30/10/2025</v>
      </c>
      <c r="J8418" t="str">
        <f t="shared" si="1558"/>
        <v>27/10/2025</v>
      </c>
      <c r="K8418">
        <v>45960</v>
      </c>
      <c r="N8418">
        <v>109</v>
      </c>
      <c r="O8418" t="s">
        <v>24</v>
      </c>
      <c r="Q8418">
        <v>125</v>
      </c>
      <c r="R8418" t="str">
        <f>"PENSE FARMA 61 (10243)"</f>
        <v>PENSE FARMA 61 (10243)</v>
      </c>
      <c r="S8418" t="s">
        <v>77</v>
      </c>
      <c r="T8418">
        <v>22138</v>
      </c>
      <c r="U8418">
        <v>24401</v>
      </c>
      <c r="V8418" t="s">
        <v>77</v>
      </c>
    </row>
    <row r="8419" spans="1:22">
      <c r="A8419" t="str">
        <f t="shared" si="1557"/>
        <v>30/10/2025</v>
      </c>
      <c r="B8419" t="str">
        <f t="shared" si="1559"/>
        <v>SAÍDA</v>
      </c>
      <c r="C8419" t="str">
        <f t="shared" si="1561"/>
        <v>PIX</v>
      </c>
      <c r="D8419" t="str">
        <f>"24402"</f>
        <v>24402</v>
      </c>
      <c r="E8419" t="str">
        <f t="shared" si="1546"/>
        <v>1</v>
      </c>
      <c r="F8419" t="str">
        <f t="shared" si="1552"/>
        <v>COM</v>
      </c>
      <c r="G8419" t="str">
        <f>"JEFFERSON AMORIM DA SILVA (940)"</f>
        <v>JEFFERSON AMORIM DA SILVA (940)</v>
      </c>
      <c r="H8419" t="str">
        <f>"Serv.Prest. 20/10/2025 a 26/10/2025 - PIX: CELULAR - CHAVE: (11) 98447-6954"</f>
        <v>Serv.Prest. 20/10/2025 a 26/10/2025 - PIX: CELULAR - CHAVE: (11) 98447-6954</v>
      </c>
      <c r="I8419" t="str">
        <f t="shared" si="1560"/>
        <v>30/10/2025</v>
      </c>
      <c r="J8419" t="str">
        <f t="shared" si="1558"/>
        <v>27/10/2025</v>
      </c>
      <c r="K8419" t="str">
        <f>("30/10/2025")</f>
        <v>30/10/2025</v>
      </c>
      <c r="L8419">
        <v>600</v>
      </c>
      <c r="M8419">
        <v>600</v>
      </c>
      <c r="N8419">
        <v>109</v>
      </c>
      <c r="O8419" t="str">
        <f>"PAGAMENTO DE ENTREGADORES"</f>
        <v>PAGAMENTO DE ENTREGADORES</v>
      </c>
      <c r="P8419">
        <v>600</v>
      </c>
      <c r="S8419" t="str">
        <f>"BANCO C6 (149)"</f>
        <v>BANCO C6 (149)</v>
      </c>
      <c r="T8419">
        <v>22139</v>
      </c>
      <c r="U8419">
        <v>24402</v>
      </c>
      <c r="V8419" t="s">
        <v>77</v>
      </c>
    </row>
    <row r="8420" spans="1:22">
      <c r="A8420" t="str">
        <f t="shared" si="1557"/>
        <v>30/10/2025</v>
      </c>
      <c r="B8420" t="str">
        <f t="shared" si="1559"/>
        <v>SAÍDA</v>
      </c>
      <c r="C8420" t="str">
        <f t="shared" si="1561"/>
        <v>PIX</v>
      </c>
      <c r="D8420" t="str">
        <f>"24402"</f>
        <v>24402</v>
      </c>
      <c r="E8420" t="str">
        <f t="shared" ref="E8420:E8483" si="1562">"1"</f>
        <v>1</v>
      </c>
      <c r="F8420" t="str">
        <f t="shared" si="1552"/>
        <v>COM</v>
      </c>
      <c r="G8420" t="str">
        <f>"JEFFERSON AMORIM DA SILVA (940)"</f>
        <v>JEFFERSON AMORIM DA SILVA (940)</v>
      </c>
      <c r="H8420" t="s">
        <v>2374</v>
      </c>
      <c r="I8420" t="str">
        <f t="shared" si="1560"/>
        <v>30/10/2025</v>
      </c>
      <c r="J8420" t="str">
        <f t="shared" si="1558"/>
        <v>27/10/2025</v>
      </c>
      <c r="K8420">
        <v>45960</v>
      </c>
      <c r="N8420">
        <v>109</v>
      </c>
      <c r="O8420" t="s">
        <v>24</v>
      </c>
      <c r="Q8420">
        <v>150</v>
      </c>
      <c r="R8420" t="str">
        <f>"PENSE FARMA 15 (10195)"</f>
        <v>PENSE FARMA 15 (10195)</v>
      </c>
      <c r="S8420" t="s">
        <v>77</v>
      </c>
      <c r="T8420">
        <v>22139</v>
      </c>
      <c r="U8420">
        <v>24402</v>
      </c>
      <c r="V8420" t="s">
        <v>77</v>
      </c>
    </row>
    <row r="8421" spans="1:22">
      <c r="A8421" t="str">
        <f t="shared" si="1557"/>
        <v>30/10/2025</v>
      </c>
      <c r="B8421" t="str">
        <f t="shared" si="1559"/>
        <v>SAÍDA</v>
      </c>
      <c r="C8421" t="str">
        <f t="shared" si="1561"/>
        <v>PIX</v>
      </c>
      <c r="D8421" t="str">
        <f>"24402"</f>
        <v>24402</v>
      </c>
      <c r="E8421" t="str">
        <f t="shared" si="1562"/>
        <v>1</v>
      </c>
      <c r="F8421" t="str">
        <f t="shared" si="1552"/>
        <v>COM</v>
      </c>
      <c r="G8421" t="str">
        <f>"JEFFERSON AMORIM DA SILVA (940)"</f>
        <v>JEFFERSON AMORIM DA SILVA (940)</v>
      </c>
      <c r="H8421" t="s">
        <v>2374</v>
      </c>
      <c r="I8421" t="str">
        <f t="shared" si="1560"/>
        <v>30/10/2025</v>
      </c>
      <c r="J8421" t="str">
        <f t="shared" si="1558"/>
        <v>27/10/2025</v>
      </c>
      <c r="K8421">
        <v>45960</v>
      </c>
      <c r="N8421">
        <v>109</v>
      </c>
      <c r="O8421" t="s">
        <v>24</v>
      </c>
      <c r="Q8421">
        <v>150</v>
      </c>
      <c r="R8421" t="str">
        <f>"PENSE FARMA 26 (10196)"</f>
        <v>PENSE FARMA 26 (10196)</v>
      </c>
      <c r="S8421" t="s">
        <v>77</v>
      </c>
      <c r="T8421">
        <v>22139</v>
      </c>
      <c r="U8421">
        <v>24402</v>
      </c>
      <c r="V8421" t="s">
        <v>77</v>
      </c>
    </row>
    <row r="8422" spans="1:22">
      <c r="A8422" t="str">
        <f t="shared" si="1557"/>
        <v>30/10/2025</v>
      </c>
      <c r="B8422" t="str">
        <f t="shared" si="1559"/>
        <v>SAÍDA</v>
      </c>
      <c r="C8422" t="str">
        <f t="shared" si="1561"/>
        <v>PIX</v>
      </c>
      <c r="D8422" t="str">
        <f>"24402"</f>
        <v>24402</v>
      </c>
      <c r="E8422" t="str">
        <f t="shared" si="1562"/>
        <v>1</v>
      </c>
      <c r="F8422" t="str">
        <f t="shared" si="1552"/>
        <v>COM</v>
      </c>
      <c r="G8422" t="str">
        <f>"JEFFERSON AMORIM DA SILVA (940)"</f>
        <v>JEFFERSON AMORIM DA SILVA (940)</v>
      </c>
      <c r="H8422" t="s">
        <v>2374</v>
      </c>
      <c r="I8422" t="str">
        <f t="shared" si="1560"/>
        <v>30/10/2025</v>
      </c>
      <c r="J8422" t="str">
        <f t="shared" si="1558"/>
        <v>27/10/2025</v>
      </c>
      <c r="K8422">
        <v>45960</v>
      </c>
      <c r="N8422">
        <v>109</v>
      </c>
      <c r="O8422" t="s">
        <v>24</v>
      </c>
      <c r="Q8422">
        <v>150</v>
      </c>
      <c r="R8422" t="str">
        <f>"PENSE FARMA 60 (10197)"</f>
        <v>PENSE FARMA 60 (10197)</v>
      </c>
      <c r="S8422" t="s">
        <v>77</v>
      </c>
      <c r="T8422">
        <v>22139</v>
      </c>
      <c r="U8422">
        <v>24402</v>
      </c>
      <c r="V8422" t="s">
        <v>77</v>
      </c>
    </row>
    <row r="8423" spans="1:22">
      <c r="A8423" t="str">
        <f t="shared" si="1557"/>
        <v>30/10/2025</v>
      </c>
      <c r="B8423" t="str">
        <f t="shared" si="1559"/>
        <v>SAÍDA</v>
      </c>
      <c r="C8423" t="str">
        <f t="shared" si="1561"/>
        <v>PIX</v>
      </c>
      <c r="D8423" t="str">
        <f>"24402"</f>
        <v>24402</v>
      </c>
      <c r="E8423" t="str">
        <f t="shared" si="1562"/>
        <v>1</v>
      </c>
      <c r="F8423" t="str">
        <f t="shared" si="1552"/>
        <v>COM</v>
      </c>
      <c r="G8423" t="str">
        <f>"JEFFERSON AMORIM DA SILVA (940)"</f>
        <v>JEFFERSON AMORIM DA SILVA (940)</v>
      </c>
      <c r="H8423" t="s">
        <v>2374</v>
      </c>
      <c r="I8423" t="str">
        <f t="shared" si="1560"/>
        <v>30/10/2025</v>
      </c>
      <c r="J8423" t="str">
        <f t="shared" si="1558"/>
        <v>27/10/2025</v>
      </c>
      <c r="K8423">
        <v>45960</v>
      </c>
      <c r="N8423">
        <v>109</v>
      </c>
      <c r="O8423" t="s">
        <v>24</v>
      </c>
      <c r="Q8423">
        <v>150</v>
      </c>
      <c r="R8423" t="str">
        <f>"PENSE FARMA 61 (10243)"</f>
        <v>PENSE FARMA 61 (10243)</v>
      </c>
      <c r="S8423" t="s">
        <v>77</v>
      </c>
      <c r="T8423">
        <v>22139</v>
      </c>
      <c r="U8423">
        <v>24402</v>
      </c>
      <c r="V8423" t="s">
        <v>77</v>
      </c>
    </row>
    <row r="8424" spans="1:22">
      <c r="A8424" t="str">
        <f t="shared" si="1557"/>
        <v>30/10/2025</v>
      </c>
      <c r="B8424" t="str">
        <f t="shared" si="1559"/>
        <v>SAÍDA</v>
      </c>
      <c r="C8424" t="str">
        <f t="shared" si="1561"/>
        <v>PIX</v>
      </c>
      <c r="D8424" t="str">
        <f>"24405"</f>
        <v>24405</v>
      </c>
      <c r="E8424" t="str">
        <f t="shared" si="1562"/>
        <v>1</v>
      </c>
      <c r="F8424" t="str">
        <f t="shared" si="1552"/>
        <v>COM</v>
      </c>
      <c r="G8424" t="str">
        <f>"ERIC RODRIGUES TEIXEIRA (939)"</f>
        <v>ERIC RODRIGUES TEIXEIRA (939)</v>
      </c>
      <c r="H8424" t="str">
        <f>"Serv.Prest. 20/10/2025 a 26/10/2025 - PIX: CELULAR - CHAVE: (11) 95038-0621"</f>
        <v>Serv.Prest. 20/10/2025 a 26/10/2025 - PIX: CELULAR - CHAVE: (11) 95038-0621</v>
      </c>
      <c r="I8424" t="str">
        <f t="shared" si="1560"/>
        <v>30/10/2025</v>
      </c>
      <c r="J8424" t="str">
        <f t="shared" si="1558"/>
        <v>27/10/2025</v>
      </c>
      <c r="K8424" t="str">
        <f>("30/10/2025")</f>
        <v>30/10/2025</v>
      </c>
      <c r="L8424">
        <v>715</v>
      </c>
      <c r="M8424">
        <v>715</v>
      </c>
      <c r="N8424">
        <v>109</v>
      </c>
      <c r="O8424" t="str">
        <f>"PAGAMENTO DE ENTREGADORES"</f>
        <v>PAGAMENTO DE ENTREGADORES</v>
      </c>
      <c r="P8424">
        <v>715</v>
      </c>
      <c r="S8424" t="str">
        <f>"BANCO C6 (149)"</f>
        <v>BANCO C6 (149)</v>
      </c>
      <c r="T8424">
        <v>22140</v>
      </c>
      <c r="U8424">
        <v>24405</v>
      </c>
      <c r="V8424" t="s">
        <v>77</v>
      </c>
    </row>
    <row r="8425" spans="1:22">
      <c r="A8425" t="str">
        <f t="shared" si="1557"/>
        <v>30/10/2025</v>
      </c>
      <c r="B8425" t="str">
        <f t="shared" si="1559"/>
        <v>SAÍDA</v>
      </c>
      <c r="C8425" t="str">
        <f t="shared" si="1561"/>
        <v>PIX</v>
      </c>
      <c r="D8425" t="str">
        <f>"24405"</f>
        <v>24405</v>
      </c>
      <c r="E8425" t="str">
        <f t="shared" si="1562"/>
        <v>1</v>
      </c>
      <c r="F8425" t="str">
        <f t="shared" si="1552"/>
        <v>COM</v>
      </c>
      <c r="G8425" t="str">
        <f>"ERIC RODRIGUES TEIXEIRA (939)"</f>
        <v>ERIC RODRIGUES TEIXEIRA (939)</v>
      </c>
      <c r="H8425" t="s">
        <v>2373</v>
      </c>
      <c r="I8425" t="str">
        <f t="shared" si="1560"/>
        <v>30/10/2025</v>
      </c>
      <c r="J8425" t="str">
        <f t="shared" si="1558"/>
        <v>27/10/2025</v>
      </c>
      <c r="K8425">
        <v>45960</v>
      </c>
      <c r="N8425">
        <v>109</v>
      </c>
      <c r="O8425" t="s">
        <v>24</v>
      </c>
      <c r="Q8425">
        <v>238.31</v>
      </c>
      <c r="R8425" t="str">
        <f>"PENSE FARMA 07 (10201)"</f>
        <v>PENSE FARMA 07 (10201)</v>
      </c>
      <c r="S8425" t="s">
        <v>77</v>
      </c>
      <c r="T8425">
        <v>22140</v>
      </c>
      <c r="U8425">
        <v>24405</v>
      </c>
      <c r="V8425" t="s">
        <v>77</v>
      </c>
    </row>
    <row r="8426" spans="1:22">
      <c r="A8426" t="str">
        <f t="shared" si="1557"/>
        <v>30/10/2025</v>
      </c>
      <c r="B8426" t="str">
        <f t="shared" si="1559"/>
        <v>SAÍDA</v>
      </c>
      <c r="C8426" t="str">
        <f t="shared" si="1561"/>
        <v>PIX</v>
      </c>
      <c r="D8426" t="str">
        <f>"24405"</f>
        <v>24405</v>
      </c>
      <c r="E8426" t="str">
        <f t="shared" si="1562"/>
        <v>1</v>
      </c>
      <c r="F8426" t="str">
        <f t="shared" si="1552"/>
        <v>COM</v>
      </c>
      <c r="G8426" t="str">
        <f>"ERIC RODRIGUES TEIXEIRA (939)"</f>
        <v>ERIC RODRIGUES TEIXEIRA (939)</v>
      </c>
      <c r="H8426" t="s">
        <v>2373</v>
      </c>
      <c r="I8426" t="str">
        <f t="shared" si="1560"/>
        <v>30/10/2025</v>
      </c>
      <c r="J8426" t="str">
        <f t="shared" si="1558"/>
        <v>27/10/2025</v>
      </c>
      <c r="K8426">
        <v>45960</v>
      </c>
      <c r="N8426">
        <v>109</v>
      </c>
      <c r="O8426" t="s">
        <v>24</v>
      </c>
      <c r="Q8426">
        <v>238.31</v>
      </c>
      <c r="R8426" t="str">
        <f>"PENSE FARMA 45 (10209)"</f>
        <v>PENSE FARMA 45 (10209)</v>
      </c>
      <c r="S8426" t="s">
        <v>77</v>
      </c>
      <c r="T8426">
        <v>22140</v>
      </c>
      <c r="U8426">
        <v>24405</v>
      </c>
      <c r="V8426" t="s">
        <v>77</v>
      </c>
    </row>
    <row r="8427" spans="1:22">
      <c r="A8427" t="str">
        <f t="shared" si="1557"/>
        <v>30/10/2025</v>
      </c>
      <c r="B8427" t="str">
        <f t="shared" si="1559"/>
        <v>SAÍDA</v>
      </c>
      <c r="C8427" t="str">
        <f t="shared" si="1561"/>
        <v>PIX</v>
      </c>
      <c r="D8427" t="str">
        <f>"24405"</f>
        <v>24405</v>
      </c>
      <c r="E8427" t="str">
        <f t="shared" si="1562"/>
        <v>1</v>
      </c>
      <c r="F8427" t="str">
        <f t="shared" si="1552"/>
        <v>COM</v>
      </c>
      <c r="G8427" t="str">
        <f>"ERIC RODRIGUES TEIXEIRA (939)"</f>
        <v>ERIC RODRIGUES TEIXEIRA (939)</v>
      </c>
      <c r="H8427" t="s">
        <v>2373</v>
      </c>
      <c r="I8427" t="str">
        <f t="shared" si="1560"/>
        <v>30/10/2025</v>
      </c>
      <c r="J8427" t="str">
        <f t="shared" si="1558"/>
        <v>27/10/2025</v>
      </c>
      <c r="K8427">
        <v>45960</v>
      </c>
      <c r="N8427">
        <v>109</v>
      </c>
      <c r="O8427" t="s">
        <v>24</v>
      </c>
      <c r="Q8427">
        <v>238.38</v>
      </c>
      <c r="R8427" t="str">
        <f>"PENSE FARMA 50 (10210)"</f>
        <v>PENSE FARMA 50 (10210)</v>
      </c>
      <c r="S8427" t="s">
        <v>77</v>
      </c>
      <c r="T8427">
        <v>22140</v>
      </c>
      <c r="U8427">
        <v>24405</v>
      </c>
      <c r="V8427" t="s">
        <v>77</v>
      </c>
    </row>
    <row r="8428" spans="1:22">
      <c r="A8428" t="str">
        <f t="shared" si="1557"/>
        <v>30/10/2025</v>
      </c>
      <c r="B8428" t="str">
        <f t="shared" si="1559"/>
        <v>SAÍDA</v>
      </c>
      <c r="C8428" t="str">
        <f t="shared" si="1561"/>
        <v>PIX</v>
      </c>
      <c r="D8428" t="str">
        <f>"24407"</f>
        <v>24407</v>
      </c>
      <c r="E8428" t="str">
        <f t="shared" si="1562"/>
        <v>1</v>
      </c>
      <c r="F8428" t="str">
        <f t="shared" si="1552"/>
        <v>COM</v>
      </c>
      <c r="G8428" t="str">
        <f>"LUCAS MANOEL DA SILVA (978)"</f>
        <v>LUCAS MANOEL DA SILVA (978)</v>
      </c>
      <c r="H8428" t="str">
        <f>"Serv.Prest. 20/10/2025 a 26/10/2025 - PIX: CELULAR - CHAVE: (11) 94212-6784"</f>
        <v>Serv.Prest. 20/10/2025 a 26/10/2025 - PIX: CELULAR - CHAVE: (11) 94212-6784</v>
      </c>
      <c r="I8428" t="str">
        <f t="shared" si="1560"/>
        <v>30/10/2025</v>
      </c>
      <c r="J8428" t="str">
        <f t="shared" si="1558"/>
        <v>27/10/2025</v>
      </c>
      <c r="K8428" t="str">
        <f>("30/10/2025")</f>
        <v>30/10/2025</v>
      </c>
      <c r="L8428">
        <v>536.07000000000005</v>
      </c>
      <c r="M8428">
        <v>472.32</v>
      </c>
      <c r="N8428">
        <v>109</v>
      </c>
      <c r="O8428" t="str">
        <f>"PAGAMENTO DE ENTREGADORES"</f>
        <v>PAGAMENTO DE ENTREGADORES</v>
      </c>
      <c r="P8428">
        <v>472.32</v>
      </c>
      <c r="S8428" t="str">
        <f>"BANCO C6 (149)"</f>
        <v>BANCO C6 (149)</v>
      </c>
      <c r="T8428">
        <v>22141</v>
      </c>
      <c r="U8428">
        <v>24407</v>
      </c>
      <c r="V8428" t="s">
        <v>77</v>
      </c>
    </row>
    <row r="8429" spans="1:22">
      <c r="A8429" t="str">
        <f t="shared" si="1557"/>
        <v>30/10/2025</v>
      </c>
      <c r="B8429" t="str">
        <f t="shared" si="1559"/>
        <v>SAÍDA</v>
      </c>
      <c r="C8429" t="str">
        <f t="shared" si="1561"/>
        <v>PIX</v>
      </c>
      <c r="D8429" t="str">
        <f>"24407"</f>
        <v>24407</v>
      </c>
      <c r="E8429" t="str">
        <f t="shared" si="1562"/>
        <v>1</v>
      </c>
      <c r="F8429" t="str">
        <f t="shared" si="1552"/>
        <v>COM</v>
      </c>
      <c r="G8429" t="str">
        <f>"LUCAS MANOEL DA SILVA (978)"</f>
        <v>LUCAS MANOEL DA SILVA (978)</v>
      </c>
      <c r="H8429" t="s">
        <v>2375</v>
      </c>
      <c r="I8429" t="str">
        <f t="shared" si="1560"/>
        <v>30/10/2025</v>
      </c>
      <c r="J8429" t="str">
        <f t="shared" ref="J8429:J8461" si="1563">("27/10/2025")</f>
        <v>27/10/2025</v>
      </c>
      <c r="K8429">
        <v>45960</v>
      </c>
      <c r="N8429">
        <v>109</v>
      </c>
      <c r="O8429" t="s">
        <v>24</v>
      </c>
      <c r="Q8429">
        <v>157.43</v>
      </c>
      <c r="R8429" t="str">
        <f>"PENSE FARMA 07 (10201)"</f>
        <v>PENSE FARMA 07 (10201)</v>
      </c>
      <c r="S8429" t="s">
        <v>77</v>
      </c>
      <c r="T8429">
        <v>22141</v>
      </c>
      <c r="U8429">
        <v>24407</v>
      </c>
      <c r="V8429" t="s">
        <v>77</v>
      </c>
    </row>
    <row r="8430" spans="1:22">
      <c r="A8430" t="str">
        <f t="shared" si="1557"/>
        <v>30/10/2025</v>
      </c>
      <c r="B8430" t="str">
        <f t="shared" si="1559"/>
        <v>SAÍDA</v>
      </c>
      <c r="C8430" t="str">
        <f t="shared" si="1561"/>
        <v>PIX</v>
      </c>
      <c r="D8430" t="str">
        <f>"24407"</f>
        <v>24407</v>
      </c>
      <c r="E8430" t="str">
        <f t="shared" si="1562"/>
        <v>1</v>
      </c>
      <c r="F8430" t="str">
        <f t="shared" si="1552"/>
        <v>COM</v>
      </c>
      <c r="G8430" t="str">
        <f>"LUCAS MANOEL DA SILVA (978)"</f>
        <v>LUCAS MANOEL DA SILVA (978)</v>
      </c>
      <c r="H8430" t="s">
        <v>2375</v>
      </c>
      <c r="I8430" t="str">
        <f t="shared" si="1560"/>
        <v>30/10/2025</v>
      </c>
      <c r="J8430" t="str">
        <f t="shared" si="1563"/>
        <v>27/10/2025</v>
      </c>
      <c r="K8430">
        <v>45960</v>
      </c>
      <c r="N8430">
        <v>109</v>
      </c>
      <c r="O8430" t="s">
        <v>24</v>
      </c>
      <c r="Q8430">
        <v>157.41999999999999</v>
      </c>
      <c r="R8430" t="str">
        <f>"PENSE FARMA 45 (10209)"</f>
        <v>PENSE FARMA 45 (10209)</v>
      </c>
      <c r="S8430" t="s">
        <v>77</v>
      </c>
      <c r="T8430">
        <v>22141</v>
      </c>
      <c r="U8430">
        <v>24407</v>
      </c>
      <c r="V8430" t="s">
        <v>77</v>
      </c>
    </row>
    <row r="8431" spans="1:22">
      <c r="A8431" t="str">
        <f t="shared" si="1557"/>
        <v>30/10/2025</v>
      </c>
      <c r="B8431" t="str">
        <f t="shared" si="1559"/>
        <v>SAÍDA</v>
      </c>
      <c r="C8431" t="str">
        <f t="shared" si="1561"/>
        <v>PIX</v>
      </c>
      <c r="D8431" t="str">
        <f>"24407"</f>
        <v>24407</v>
      </c>
      <c r="E8431" t="str">
        <f t="shared" si="1562"/>
        <v>1</v>
      </c>
      <c r="F8431" t="str">
        <f t="shared" si="1552"/>
        <v>COM</v>
      </c>
      <c r="G8431" t="str">
        <f>"LUCAS MANOEL DA SILVA (978)"</f>
        <v>LUCAS MANOEL DA SILVA (978)</v>
      </c>
      <c r="H8431" t="s">
        <v>2375</v>
      </c>
      <c r="I8431" t="str">
        <f t="shared" si="1560"/>
        <v>30/10/2025</v>
      </c>
      <c r="J8431" t="str">
        <f t="shared" si="1563"/>
        <v>27/10/2025</v>
      </c>
      <c r="K8431">
        <v>45960</v>
      </c>
      <c r="N8431">
        <v>109</v>
      </c>
      <c r="O8431" t="s">
        <v>24</v>
      </c>
      <c r="Q8431">
        <v>157.47</v>
      </c>
      <c r="R8431" t="str">
        <f>"PENSE FARMA 50 (10210)"</f>
        <v>PENSE FARMA 50 (10210)</v>
      </c>
      <c r="S8431" t="s">
        <v>77</v>
      </c>
      <c r="T8431">
        <v>22141</v>
      </c>
      <c r="U8431">
        <v>24407</v>
      </c>
      <c r="V8431" t="s">
        <v>77</v>
      </c>
    </row>
    <row r="8432" spans="1:22">
      <c r="A8432" t="str">
        <f t="shared" si="1557"/>
        <v>30/10/2025</v>
      </c>
      <c r="B8432" t="str">
        <f t="shared" si="1559"/>
        <v>SAÍDA</v>
      </c>
      <c r="C8432" t="str">
        <f t="shared" si="1561"/>
        <v>PIX</v>
      </c>
      <c r="D8432" t="str">
        <f>"24409"</f>
        <v>24409</v>
      </c>
      <c r="E8432" t="str">
        <f t="shared" si="1562"/>
        <v>1</v>
      </c>
      <c r="F8432" t="str">
        <f t="shared" si="1552"/>
        <v>COM</v>
      </c>
      <c r="G8432" t="str">
        <f>"DEIVID FERNANDES COSTA (828)"</f>
        <v>DEIVID FERNANDES COSTA (828)</v>
      </c>
      <c r="H8432" t="str">
        <f>"Serv.Prest. 20/10/2025 a 26/10/2025 - PIX: CELULAR - CHAVE: (62) 99550-3226"</f>
        <v>Serv.Prest. 20/10/2025 a 26/10/2025 - PIX: CELULAR - CHAVE: (62) 99550-3226</v>
      </c>
      <c r="I8432" t="str">
        <f t="shared" si="1560"/>
        <v>30/10/2025</v>
      </c>
      <c r="J8432" t="str">
        <f t="shared" si="1563"/>
        <v>27/10/2025</v>
      </c>
      <c r="K8432" t="str">
        <f>("30/10/2025")</f>
        <v>30/10/2025</v>
      </c>
      <c r="L8432">
        <v>702.1</v>
      </c>
      <c r="M8432">
        <v>702.1</v>
      </c>
      <c r="N8432">
        <v>109</v>
      </c>
      <c r="O8432" t="str">
        <f>"PAGAMENTO DE ENTREGADORES"</f>
        <v>PAGAMENTO DE ENTREGADORES</v>
      </c>
      <c r="P8432">
        <v>702.1</v>
      </c>
      <c r="S8432" t="str">
        <f>"BANCO C6 (149)"</f>
        <v>BANCO C6 (149)</v>
      </c>
      <c r="T8432">
        <v>22142</v>
      </c>
      <c r="U8432">
        <v>24409</v>
      </c>
      <c r="V8432" t="s">
        <v>77</v>
      </c>
    </row>
    <row r="8433" spans="1:22">
      <c r="A8433" t="str">
        <f t="shared" si="1557"/>
        <v>30/10/2025</v>
      </c>
      <c r="B8433" t="str">
        <f t="shared" si="1559"/>
        <v>SAÍDA</v>
      </c>
      <c r="C8433" t="str">
        <f t="shared" si="1561"/>
        <v>PIX</v>
      </c>
      <c r="D8433" t="str">
        <f>"24409"</f>
        <v>24409</v>
      </c>
      <c r="E8433" t="str">
        <f t="shared" si="1562"/>
        <v>1</v>
      </c>
      <c r="F8433" t="str">
        <f t="shared" si="1552"/>
        <v>COM</v>
      </c>
      <c r="G8433" t="str">
        <f>"DEIVID FERNANDES COSTA (828)"</f>
        <v>DEIVID FERNANDES COSTA (828)</v>
      </c>
      <c r="H8433" t="s">
        <v>2376</v>
      </c>
      <c r="I8433" t="str">
        <f t="shared" si="1560"/>
        <v>30/10/2025</v>
      </c>
      <c r="J8433" t="str">
        <f t="shared" si="1563"/>
        <v>27/10/2025</v>
      </c>
      <c r="K8433">
        <v>45960</v>
      </c>
      <c r="N8433">
        <v>109</v>
      </c>
      <c r="O8433" t="s">
        <v>24</v>
      </c>
      <c r="Q8433">
        <v>702.1</v>
      </c>
      <c r="R8433" t="str">
        <f>"BRASIL FARMA (10173)"</f>
        <v>BRASIL FARMA (10173)</v>
      </c>
      <c r="S8433" t="s">
        <v>77</v>
      </c>
      <c r="T8433">
        <v>22142</v>
      </c>
      <c r="U8433">
        <v>24409</v>
      </c>
      <c r="V8433" t="s">
        <v>77</v>
      </c>
    </row>
    <row r="8434" spans="1:22">
      <c r="A8434" t="str">
        <f t="shared" si="1557"/>
        <v>30/10/2025</v>
      </c>
      <c r="B8434" t="str">
        <f t="shared" si="1559"/>
        <v>SAÍDA</v>
      </c>
      <c r="C8434" t="str">
        <f t="shared" si="1561"/>
        <v>PIX</v>
      </c>
      <c r="D8434" t="str">
        <f>"24410"</f>
        <v>24410</v>
      </c>
      <c r="E8434" t="str">
        <f t="shared" si="1562"/>
        <v>1</v>
      </c>
      <c r="F8434" t="str">
        <f t="shared" si="1552"/>
        <v>COM</v>
      </c>
      <c r="G8434" t="str">
        <f>"MAYKON LOPES DE MENEZES (781)"</f>
        <v>MAYKON LOPES DE MENEZES (781)</v>
      </c>
      <c r="H8434" t="str">
        <f>"Serv.Prest. 20/10/2025 a 26/10/2025 - PIX: CPF - CHAVE: 012.600.851-55"</f>
        <v>Serv.Prest. 20/10/2025 a 26/10/2025 - PIX: CPF - CHAVE: 012.600.851-55</v>
      </c>
      <c r="I8434" t="str">
        <f t="shared" si="1560"/>
        <v>30/10/2025</v>
      </c>
      <c r="J8434" t="str">
        <f t="shared" si="1563"/>
        <v>27/10/2025</v>
      </c>
      <c r="K8434" t="str">
        <f>("30/10/2025")</f>
        <v>30/10/2025</v>
      </c>
      <c r="L8434">
        <v>702.1</v>
      </c>
      <c r="M8434">
        <v>702.1</v>
      </c>
      <c r="N8434">
        <v>109</v>
      </c>
      <c r="O8434" t="str">
        <f>"PAGAMENTO DE ENTREGADORES"</f>
        <v>PAGAMENTO DE ENTREGADORES</v>
      </c>
      <c r="P8434">
        <v>702.1</v>
      </c>
      <c r="S8434" t="str">
        <f>"BANCO C6 (149)"</f>
        <v>BANCO C6 (149)</v>
      </c>
      <c r="T8434">
        <v>22143</v>
      </c>
      <c r="U8434">
        <v>24410</v>
      </c>
      <c r="V8434" t="s">
        <v>77</v>
      </c>
    </row>
    <row r="8435" spans="1:22">
      <c r="A8435" t="str">
        <f t="shared" si="1557"/>
        <v>30/10/2025</v>
      </c>
      <c r="B8435" t="str">
        <f t="shared" si="1559"/>
        <v>SAÍDA</v>
      </c>
      <c r="C8435" t="str">
        <f t="shared" si="1561"/>
        <v>PIX</v>
      </c>
      <c r="D8435" t="str">
        <f>"24410"</f>
        <v>24410</v>
      </c>
      <c r="E8435" t="str">
        <f t="shared" si="1562"/>
        <v>1</v>
      </c>
      <c r="F8435" t="str">
        <f t="shared" si="1552"/>
        <v>COM</v>
      </c>
      <c r="G8435" t="str">
        <f>"MAYKON LOPES DE MENEZES (781)"</f>
        <v>MAYKON LOPES DE MENEZES (781)</v>
      </c>
      <c r="H8435" t="s">
        <v>2377</v>
      </c>
      <c r="I8435" t="str">
        <f t="shared" si="1560"/>
        <v>30/10/2025</v>
      </c>
      <c r="J8435" t="str">
        <f t="shared" si="1563"/>
        <v>27/10/2025</v>
      </c>
      <c r="K8435">
        <v>45960</v>
      </c>
      <c r="N8435">
        <v>109</v>
      </c>
      <c r="O8435" t="s">
        <v>24</v>
      </c>
      <c r="Q8435">
        <v>702.1</v>
      </c>
      <c r="R8435" t="str">
        <f>"BRASIL FARMA (10173)"</f>
        <v>BRASIL FARMA (10173)</v>
      </c>
      <c r="S8435" t="s">
        <v>77</v>
      </c>
      <c r="T8435">
        <v>22143</v>
      </c>
      <c r="U8435">
        <v>24410</v>
      </c>
      <c r="V8435" t="s">
        <v>77</v>
      </c>
    </row>
    <row r="8436" spans="1:22">
      <c r="A8436" t="str">
        <f t="shared" si="1557"/>
        <v>30/10/2025</v>
      </c>
      <c r="B8436" t="str">
        <f t="shared" si="1559"/>
        <v>SAÍDA</v>
      </c>
      <c r="C8436" t="str">
        <f t="shared" si="1561"/>
        <v>PIX</v>
      </c>
      <c r="D8436" t="str">
        <f>"24412"</f>
        <v>24412</v>
      </c>
      <c r="E8436" t="str">
        <f t="shared" si="1562"/>
        <v>1</v>
      </c>
      <c r="F8436" t="str">
        <f t="shared" si="1552"/>
        <v>COM</v>
      </c>
      <c r="G8436" t="str">
        <f>"SAMUEL SOARES DA SILVA (867)"</f>
        <v>SAMUEL SOARES DA SILVA (867)</v>
      </c>
      <c r="H8436" t="str">
        <f>"Serv.Prest. 20/10/2025 a 26/10/2025 - PIX: CPF - CHAVE: 396.124.108-28"</f>
        <v>Serv.Prest. 20/10/2025 a 26/10/2025 - PIX: CPF - CHAVE: 396.124.108-28</v>
      </c>
      <c r="I8436" t="str">
        <f t="shared" si="1560"/>
        <v>30/10/2025</v>
      </c>
      <c r="J8436" t="str">
        <f t="shared" si="1563"/>
        <v>27/10/2025</v>
      </c>
      <c r="K8436" t="str">
        <f>("30/10/2025")</f>
        <v>30/10/2025</v>
      </c>
      <c r="L8436">
        <v>1300</v>
      </c>
      <c r="M8436">
        <v>1300</v>
      </c>
      <c r="N8436">
        <v>109</v>
      </c>
      <c r="O8436" t="str">
        <f>"PAGAMENTO DE ENTREGADORES"</f>
        <v>PAGAMENTO DE ENTREGADORES</v>
      </c>
      <c r="P8436">
        <v>1300</v>
      </c>
      <c r="S8436" t="str">
        <f>"BANCO C6 (149)"</f>
        <v>BANCO C6 (149)</v>
      </c>
      <c r="T8436">
        <v>22144</v>
      </c>
      <c r="U8436">
        <v>24412</v>
      </c>
      <c r="V8436" t="s">
        <v>77</v>
      </c>
    </row>
    <row r="8437" spans="1:22">
      <c r="A8437" t="str">
        <f t="shared" si="1557"/>
        <v>30/10/2025</v>
      </c>
      <c r="B8437" t="str">
        <f t="shared" si="1559"/>
        <v>SAÍDA</v>
      </c>
      <c r="C8437" t="str">
        <f t="shared" si="1561"/>
        <v>PIX</v>
      </c>
      <c r="D8437" t="str">
        <f>"24412"</f>
        <v>24412</v>
      </c>
      <c r="E8437" t="str">
        <f t="shared" si="1562"/>
        <v>1</v>
      </c>
      <c r="F8437" t="str">
        <f t="shared" si="1552"/>
        <v>COM</v>
      </c>
      <c r="G8437" t="str">
        <f>"SAMUEL SOARES DA SILVA (867)"</f>
        <v>SAMUEL SOARES DA SILVA (867)</v>
      </c>
      <c r="H8437" t="s">
        <v>2137</v>
      </c>
      <c r="I8437" t="str">
        <f t="shared" si="1560"/>
        <v>30/10/2025</v>
      </c>
      <c r="J8437" t="str">
        <f t="shared" si="1563"/>
        <v>27/10/2025</v>
      </c>
      <c r="K8437">
        <v>45960</v>
      </c>
      <c r="N8437">
        <v>109</v>
      </c>
      <c r="O8437" t="s">
        <v>24</v>
      </c>
      <c r="Q8437">
        <v>1300</v>
      </c>
      <c r="R8437" t="str">
        <f>"DROGA ELIDA (10121)"</f>
        <v>DROGA ELIDA (10121)</v>
      </c>
      <c r="S8437" t="s">
        <v>77</v>
      </c>
      <c r="T8437">
        <v>22144</v>
      </c>
      <c r="U8437">
        <v>24412</v>
      </c>
      <c r="V8437" t="s">
        <v>77</v>
      </c>
    </row>
    <row r="8438" spans="1:22">
      <c r="A8438" t="str">
        <f t="shared" si="1557"/>
        <v>30/10/2025</v>
      </c>
      <c r="B8438" t="str">
        <f t="shared" si="1559"/>
        <v>SAÍDA</v>
      </c>
      <c r="C8438" t="str">
        <f t="shared" si="1561"/>
        <v>PIX</v>
      </c>
      <c r="D8438" t="str">
        <f>"24414"</f>
        <v>24414</v>
      </c>
      <c r="E8438" t="str">
        <f t="shared" si="1562"/>
        <v>1</v>
      </c>
      <c r="F8438" t="str">
        <f t="shared" si="1552"/>
        <v>COM</v>
      </c>
      <c r="G8438" t="str">
        <f>"ALEXSANDRO HENRIQUE FERREIRA (808)"</f>
        <v>ALEXSANDRO HENRIQUE FERREIRA (808)</v>
      </c>
      <c r="H8438" t="str">
        <f>"Serv.Prest. 20/10/2025 a 26/10/2025 - PIX: CPF - CHAVE: 157.591.436-03"</f>
        <v>Serv.Prest. 20/10/2025 a 26/10/2025 - PIX: CPF - CHAVE: 157.591.436-03</v>
      </c>
      <c r="I8438" t="str">
        <f t="shared" si="1560"/>
        <v>30/10/2025</v>
      </c>
      <c r="J8438" t="str">
        <f t="shared" si="1563"/>
        <v>27/10/2025</v>
      </c>
      <c r="K8438" t="str">
        <f>("30/10/2025")</f>
        <v>30/10/2025</v>
      </c>
      <c r="L8438">
        <v>904.05</v>
      </c>
      <c r="M8438">
        <v>904.05</v>
      </c>
      <c r="N8438">
        <v>109</v>
      </c>
      <c r="O8438" t="str">
        <f>"PAGAMENTO DE ENTREGADORES"</f>
        <v>PAGAMENTO DE ENTREGADORES</v>
      </c>
      <c r="P8438">
        <v>904.05</v>
      </c>
      <c r="S8438" t="str">
        <f>"BANCO C6 (149)"</f>
        <v>BANCO C6 (149)</v>
      </c>
      <c r="T8438">
        <v>22145</v>
      </c>
      <c r="U8438">
        <v>24414</v>
      </c>
      <c r="V8438" t="s">
        <v>77</v>
      </c>
    </row>
    <row r="8439" spans="1:22">
      <c r="A8439" t="str">
        <f t="shared" si="1557"/>
        <v>30/10/2025</v>
      </c>
      <c r="B8439" t="str">
        <f t="shared" si="1559"/>
        <v>SAÍDA</v>
      </c>
      <c r="C8439" t="str">
        <f t="shared" si="1561"/>
        <v>PIX</v>
      </c>
      <c r="D8439" t="str">
        <f>"24414"</f>
        <v>24414</v>
      </c>
      <c r="E8439" t="str">
        <f t="shared" si="1562"/>
        <v>1</v>
      </c>
      <c r="F8439" t="str">
        <f t="shared" si="1552"/>
        <v>COM</v>
      </c>
      <c r="G8439" t="str">
        <f>"ALEXSANDRO HENRIQUE FERREIRA (808)"</f>
        <v>ALEXSANDRO HENRIQUE FERREIRA (808)</v>
      </c>
      <c r="H8439" t="s">
        <v>2378</v>
      </c>
      <c r="I8439" t="str">
        <f t="shared" si="1560"/>
        <v>30/10/2025</v>
      </c>
      <c r="J8439" t="str">
        <f t="shared" si="1563"/>
        <v>27/10/2025</v>
      </c>
      <c r="K8439">
        <v>45960</v>
      </c>
      <c r="N8439">
        <v>109</v>
      </c>
      <c r="O8439" t="s">
        <v>24</v>
      </c>
      <c r="Q8439">
        <v>904.05</v>
      </c>
      <c r="R8439" t="str">
        <f>"DROGARIA ANA VISCONDE DO RIO BRANCO (10182)"</f>
        <v>DROGARIA ANA VISCONDE DO RIO BRANCO (10182)</v>
      </c>
      <c r="S8439" t="s">
        <v>77</v>
      </c>
      <c r="T8439">
        <v>22145</v>
      </c>
      <c r="U8439">
        <v>24414</v>
      </c>
      <c r="V8439" t="s">
        <v>77</v>
      </c>
    </row>
    <row r="8440" spans="1:22">
      <c r="A8440" t="str">
        <f t="shared" si="1557"/>
        <v>30/10/2025</v>
      </c>
      <c r="B8440" t="str">
        <f t="shared" si="1559"/>
        <v>SAÍDA</v>
      </c>
      <c r="C8440" t="str">
        <f t="shared" si="1561"/>
        <v>PIX</v>
      </c>
      <c r="D8440" t="str">
        <f>"24415"</f>
        <v>24415</v>
      </c>
      <c r="E8440" t="str">
        <f t="shared" si="1562"/>
        <v>1</v>
      </c>
      <c r="F8440" t="str">
        <f t="shared" si="1552"/>
        <v>COM</v>
      </c>
      <c r="G8440" t="str">
        <f>"ANDERSON LUIZ SOARES (807)"</f>
        <v>ANDERSON LUIZ SOARES (807)</v>
      </c>
      <c r="H8440" t="str">
        <f>"Serv.Prest. 20/10/2025 a 26/10/2025 - PIX: CELULAR - CHAVE: (32) 99920-0416"</f>
        <v>Serv.Prest. 20/10/2025 a 26/10/2025 - PIX: CELULAR - CHAVE: (32) 99920-0416</v>
      </c>
      <c r="I8440" t="str">
        <f t="shared" si="1560"/>
        <v>30/10/2025</v>
      </c>
      <c r="J8440" t="str">
        <f t="shared" si="1563"/>
        <v>27/10/2025</v>
      </c>
      <c r="K8440" t="str">
        <f>("30/10/2025")</f>
        <v>30/10/2025</v>
      </c>
      <c r="L8440">
        <v>702.45</v>
      </c>
      <c r="M8440">
        <v>702.45</v>
      </c>
      <c r="N8440">
        <v>109</v>
      </c>
      <c r="O8440" t="str">
        <f>"PAGAMENTO DE ENTREGADORES"</f>
        <v>PAGAMENTO DE ENTREGADORES</v>
      </c>
      <c r="P8440">
        <v>702.45</v>
      </c>
      <c r="S8440" t="str">
        <f>"BANCO C6 (149)"</f>
        <v>BANCO C6 (149)</v>
      </c>
      <c r="T8440">
        <v>22146</v>
      </c>
      <c r="U8440">
        <v>24415</v>
      </c>
      <c r="V8440" t="s">
        <v>77</v>
      </c>
    </row>
    <row r="8441" spans="1:22">
      <c r="A8441" t="str">
        <f t="shared" si="1557"/>
        <v>30/10/2025</v>
      </c>
      <c r="B8441" t="str">
        <f t="shared" si="1559"/>
        <v>SAÍDA</v>
      </c>
      <c r="C8441" t="str">
        <f t="shared" si="1561"/>
        <v>PIX</v>
      </c>
      <c r="D8441" t="str">
        <f>"24415"</f>
        <v>24415</v>
      </c>
      <c r="E8441" t="str">
        <f t="shared" si="1562"/>
        <v>1</v>
      </c>
      <c r="F8441" t="str">
        <f t="shared" ref="F8441:F8504" si="1564">"COM"</f>
        <v>COM</v>
      </c>
      <c r="G8441" t="str">
        <f>"ANDERSON LUIZ SOARES (807)"</f>
        <v>ANDERSON LUIZ SOARES (807)</v>
      </c>
      <c r="H8441" t="s">
        <v>2379</v>
      </c>
      <c r="I8441" t="str">
        <f t="shared" si="1560"/>
        <v>30/10/2025</v>
      </c>
      <c r="J8441" t="str">
        <f t="shared" si="1563"/>
        <v>27/10/2025</v>
      </c>
      <c r="K8441">
        <v>45960</v>
      </c>
      <c r="N8441">
        <v>109</v>
      </c>
      <c r="O8441" t="s">
        <v>24</v>
      </c>
      <c r="Q8441">
        <v>702.45</v>
      </c>
      <c r="R8441" t="str">
        <f>"DROGARIA ANA VISCONDE DO RIO BRANCO (10182)"</f>
        <v>DROGARIA ANA VISCONDE DO RIO BRANCO (10182)</v>
      </c>
      <c r="S8441" t="s">
        <v>77</v>
      </c>
      <c r="T8441">
        <v>22146</v>
      </c>
      <c r="U8441">
        <v>24415</v>
      </c>
      <c r="V8441" t="s">
        <v>77</v>
      </c>
    </row>
    <row r="8442" spans="1:22">
      <c r="A8442" t="str">
        <f t="shared" si="1557"/>
        <v>30/10/2025</v>
      </c>
      <c r="B8442" t="str">
        <f t="shared" si="1559"/>
        <v>SAÍDA</v>
      </c>
      <c r="C8442" t="str">
        <f t="shared" si="1561"/>
        <v>PIX</v>
      </c>
      <c r="D8442" t="str">
        <f>"24416"</f>
        <v>24416</v>
      </c>
      <c r="E8442" t="str">
        <f t="shared" si="1562"/>
        <v>1</v>
      </c>
      <c r="F8442" t="str">
        <f t="shared" si="1564"/>
        <v>COM</v>
      </c>
      <c r="G8442" t="str">
        <f>"BRENO VIANA MONTEIRO RODRIGUES (811)"</f>
        <v>BRENO VIANA MONTEIRO RODRIGUES (811)</v>
      </c>
      <c r="H8442" t="str">
        <f>"Serv.Prest. 20/10/2025 a 26/10/2025 - PIX: CNPJ - CHAVE: 51.676.704/0001-10"</f>
        <v>Serv.Prest. 20/10/2025 a 26/10/2025 - PIX: CNPJ - CHAVE: 51.676.704/0001-10</v>
      </c>
      <c r="I8442" t="str">
        <f t="shared" si="1560"/>
        <v>30/10/2025</v>
      </c>
      <c r="J8442" t="str">
        <f t="shared" si="1563"/>
        <v>27/10/2025</v>
      </c>
      <c r="K8442" t="str">
        <f>("30/10/2025")</f>
        <v>30/10/2025</v>
      </c>
      <c r="L8442">
        <v>702.45</v>
      </c>
      <c r="M8442">
        <v>702.45</v>
      </c>
      <c r="N8442">
        <v>109</v>
      </c>
      <c r="O8442" t="str">
        <f>"PAGAMENTO DE ENTREGADORES"</f>
        <v>PAGAMENTO DE ENTREGADORES</v>
      </c>
      <c r="P8442">
        <v>702.45</v>
      </c>
      <c r="S8442" t="str">
        <f>"BANCO C6 (149)"</f>
        <v>BANCO C6 (149)</v>
      </c>
      <c r="T8442">
        <v>22147</v>
      </c>
      <c r="U8442">
        <v>24416</v>
      </c>
      <c r="V8442" t="s">
        <v>77</v>
      </c>
    </row>
    <row r="8443" spans="1:22">
      <c r="A8443" t="str">
        <f t="shared" si="1557"/>
        <v>30/10/2025</v>
      </c>
      <c r="B8443" t="str">
        <f t="shared" si="1559"/>
        <v>SAÍDA</v>
      </c>
      <c r="C8443" t="str">
        <f t="shared" si="1561"/>
        <v>PIX</v>
      </c>
      <c r="D8443" t="str">
        <f>"24416"</f>
        <v>24416</v>
      </c>
      <c r="E8443" t="str">
        <f t="shared" si="1562"/>
        <v>1</v>
      </c>
      <c r="F8443" t="str">
        <f t="shared" si="1564"/>
        <v>COM</v>
      </c>
      <c r="G8443" t="str">
        <f>"BRENO VIANA MONTEIRO RODRIGUES (811)"</f>
        <v>BRENO VIANA MONTEIRO RODRIGUES (811)</v>
      </c>
      <c r="H8443" t="s">
        <v>2380</v>
      </c>
      <c r="I8443" t="str">
        <f t="shared" si="1560"/>
        <v>30/10/2025</v>
      </c>
      <c r="J8443" t="str">
        <f t="shared" si="1563"/>
        <v>27/10/2025</v>
      </c>
      <c r="K8443">
        <v>45960</v>
      </c>
      <c r="N8443">
        <v>109</v>
      </c>
      <c r="O8443" t="s">
        <v>24</v>
      </c>
      <c r="Q8443">
        <v>702.45</v>
      </c>
      <c r="R8443" t="str">
        <f>"DROGARIA ANA VISCONDE DO RIO BRANCO (10182)"</f>
        <v>DROGARIA ANA VISCONDE DO RIO BRANCO (10182)</v>
      </c>
      <c r="S8443" t="s">
        <v>77</v>
      </c>
      <c r="T8443">
        <v>22147</v>
      </c>
      <c r="U8443">
        <v>24416</v>
      </c>
      <c r="V8443" t="s">
        <v>77</v>
      </c>
    </row>
    <row r="8444" spans="1:22">
      <c r="A8444" t="str">
        <f t="shared" si="1557"/>
        <v>30/10/2025</v>
      </c>
      <c r="B8444" t="str">
        <f t="shared" si="1559"/>
        <v>SAÍDA</v>
      </c>
      <c r="C8444" t="str">
        <f t="shared" si="1561"/>
        <v>PIX</v>
      </c>
      <c r="D8444" t="str">
        <f>"24417"</f>
        <v>24417</v>
      </c>
      <c r="E8444" t="str">
        <f t="shared" si="1562"/>
        <v>1</v>
      </c>
      <c r="F8444" t="str">
        <f t="shared" si="1564"/>
        <v>COM</v>
      </c>
      <c r="G8444" t="str">
        <f>"GABRIEL PACHECO DE QUEIROZ NARCISO (812)"</f>
        <v>GABRIEL PACHECO DE QUEIROZ NARCISO (812)</v>
      </c>
      <c r="H8444" t="str">
        <f>"Serv.Prest. 20/10/2025 a 26/10/2025 - PIX: CPF - CHAVE: 140.108.466-40"</f>
        <v>Serv.Prest. 20/10/2025 a 26/10/2025 - PIX: CPF - CHAVE: 140.108.466-40</v>
      </c>
      <c r="I8444" t="str">
        <f t="shared" si="1560"/>
        <v>30/10/2025</v>
      </c>
      <c r="J8444" t="str">
        <f t="shared" si="1563"/>
        <v>27/10/2025</v>
      </c>
      <c r="K8444" t="str">
        <f>("30/10/2025")</f>
        <v>30/10/2025</v>
      </c>
      <c r="L8444">
        <v>702.45</v>
      </c>
      <c r="M8444">
        <v>702.45</v>
      </c>
      <c r="N8444">
        <v>109</v>
      </c>
      <c r="O8444" t="str">
        <f>"PAGAMENTO DE ENTREGADORES"</f>
        <v>PAGAMENTO DE ENTREGADORES</v>
      </c>
      <c r="P8444">
        <v>702.45</v>
      </c>
      <c r="S8444" t="str">
        <f>"BANCO C6 (149)"</f>
        <v>BANCO C6 (149)</v>
      </c>
      <c r="T8444">
        <v>22148</v>
      </c>
      <c r="U8444">
        <v>24417</v>
      </c>
      <c r="V8444" t="s">
        <v>77</v>
      </c>
    </row>
    <row r="8445" spans="1:22">
      <c r="A8445" t="str">
        <f t="shared" si="1557"/>
        <v>30/10/2025</v>
      </c>
      <c r="B8445" t="str">
        <f t="shared" si="1559"/>
        <v>SAÍDA</v>
      </c>
      <c r="C8445" t="str">
        <f t="shared" si="1561"/>
        <v>PIX</v>
      </c>
      <c r="D8445" t="str">
        <f>"24417"</f>
        <v>24417</v>
      </c>
      <c r="E8445" t="str">
        <f t="shared" si="1562"/>
        <v>1</v>
      </c>
      <c r="F8445" t="str">
        <f t="shared" si="1564"/>
        <v>COM</v>
      </c>
      <c r="G8445" t="str">
        <f>"GABRIEL PACHECO DE QUEIROZ NARCISO (812)"</f>
        <v>GABRIEL PACHECO DE QUEIROZ NARCISO (812)</v>
      </c>
      <c r="H8445" t="s">
        <v>2381</v>
      </c>
      <c r="I8445" t="str">
        <f t="shared" si="1560"/>
        <v>30/10/2025</v>
      </c>
      <c r="J8445" t="str">
        <f t="shared" si="1563"/>
        <v>27/10/2025</v>
      </c>
      <c r="K8445">
        <v>45960</v>
      </c>
      <c r="N8445">
        <v>109</v>
      </c>
      <c r="O8445" t="s">
        <v>24</v>
      </c>
      <c r="Q8445">
        <v>702.45</v>
      </c>
      <c r="R8445" t="str">
        <f>"DROGARIA ANA VISCONDE DO RIO BRANCO (10182)"</f>
        <v>DROGARIA ANA VISCONDE DO RIO BRANCO (10182)</v>
      </c>
      <c r="S8445" t="s">
        <v>77</v>
      </c>
      <c r="T8445">
        <v>22148</v>
      </c>
      <c r="U8445">
        <v>24417</v>
      </c>
      <c r="V8445" t="s">
        <v>77</v>
      </c>
    </row>
    <row r="8446" spans="1:22">
      <c r="A8446" t="str">
        <f t="shared" si="1557"/>
        <v>30/10/2025</v>
      </c>
      <c r="B8446" t="str">
        <f t="shared" si="1559"/>
        <v>SAÍDA</v>
      </c>
      <c r="C8446" t="str">
        <f t="shared" si="1561"/>
        <v>PIX</v>
      </c>
      <c r="D8446" t="str">
        <f>"24418"</f>
        <v>24418</v>
      </c>
      <c r="E8446" t="str">
        <f t="shared" si="1562"/>
        <v>1</v>
      </c>
      <c r="F8446" t="str">
        <f t="shared" si="1564"/>
        <v>COM</v>
      </c>
      <c r="G8446" t="str">
        <f>"WILLIAM ANDRE SILVA COELLO (850)"</f>
        <v>WILLIAM ANDRE SILVA COELLO (850)</v>
      </c>
      <c r="H8446" t="str">
        <f>"Serv.Prest. 20/10/2025 a 26/10/2025 - PIX: CPF - CHAVE: 100.710.806-19"</f>
        <v>Serv.Prest. 20/10/2025 a 26/10/2025 - PIX: CPF - CHAVE: 100.710.806-19</v>
      </c>
      <c r="I8446" t="str">
        <f t="shared" si="1560"/>
        <v>30/10/2025</v>
      </c>
      <c r="J8446" t="str">
        <f t="shared" si="1563"/>
        <v>27/10/2025</v>
      </c>
      <c r="K8446" t="str">
        <f>("30/10/2025")</f>
        <v>30/10/2025</v>
      </c>
      <c r="L8446">
        <v>702.45</v>
      </c>
      <c r="M8446">
        <v>702.45</v>
      </c>
      <c r="N8446">
        <v>109</v>
      </c>
      <c r="O8446" t="str">
        <f>"PAGAMENTO DE ENTREGADORES"</f>
        <v>PAGAMENTO DE ENTREGADORES</v>
      </c>
      <c r="P8446">
        <v>702.45</v>
      </c>
      <c r="S8446" t="str">
        <f>"BANCO C6 (149)"</f>
        <v>BANCO C6 (149)</v>
      </c>
      <c r="T8446">
        <v>22149</v>
      </c>
      <c r="U8446">
        <v>24418</v>
      </c>
      <c r="V8446" t="s">
        <v>77</v>
      </c>
    </row>
    <row r="8447" spans="1:22">
      <c r="A8447" t="str">
        <f t="shared" si="1557"/>
        <v>30/10/2025</v>
      </c>
      <c r="B8447" t="str">
        <f t="shared" si="1559"/>
        <v>SAÍDA</v>
      </c>
      <c r="C8447" t="str">
        <f t="shared" si="1561"/>
        <v>PIX</v>
      </c>
      <c r="D8447" t="str">
        <f>"24418"</f>
        <v>24418</v>
      </c>
      <c r="E8447" t="str">
        <f t="shared" si="1562"/>
        <v>1</v>
      </c>
      <c r="F8447" t="str">
        <f t="shared" si="1564"/>
        <v>COM</v>
      </c>
      <c r="G8447" t="str">
        <f>"WILLIAM ANDRE SILVA COELLO (850)"</f>
        <v>WILLIAM ANDRE SILVA COELLO (850)</v>
      </c>
      <c r="H8447" t="s">
        <v>2382</v>
      </c>
      <c r="I8447" t="str">
        <f t="shared" si="1560"/>
        <v>30/10/2025</v>
      </c>
      <c r="J8447" t="str">
        <f t="shared" si="1563"/>
        <v>27/10/2025</v>
      </c>
      <c r="K8447">
        <v>45960</v>
      </c>
      <c r="N8447">
        <v>109</v>
      </c>
      <c r="O8447" t="s">
        <v>24</v>
      </c>
      <c r="Q8447">
        <v>702.45</v>
      </c>
      <c r="R8447" t="str">
        <f>"DROGARIA ANA VISCONDE DO RIO BRANCO (10182)"</f>
        <v>DROGARIA ANA VISCONDE DO RIO BRANCO (10182)</v>
      </c>
      <c r="S8447" t="s">
        <v>77</v>
      </c>
      <c r="T8447">
        <v>22149</v>
      </c>
      <c r="U8447">
        <v>24418</v>
      </c>
      <c r="V8447" t="s">
        <v>77</v>
      </c>
    </row>
    <row r="8448" spans="1:22">
      <c r="A8448" t="str">
        <f t="shared" si="1557"/>
        <v>30/10/2025</v>
      </c>
      <c r="B8448" t="str">
        <f t="shared" si="1559"/>
        <v>SAÍDA</v>
      </c>
      <c r="C8448" t="str">
        <f t="shared" si="1561"/>
        <v>PIX</v>
      </c>
      <c r="D8448" t="str">
        <f>"24425"</f>
        <v>24425</v>
      </c>
      <c r="E8448" t="str">
        <f t="shared" si="1562"/>
        <v>1</v>
      </c>
      <c r="F8448" t="str">
        <f t="shared" si="1564"/>
        <v>COM</v>
      </c>
      <c r="G8448" t="str">
        <f>"ELIO CALDEIRA RIBEIRO JUNIOR (840)"</f>
        <v>ELIO CALDEIRA RIBEIRO JUNIOR (840)</v>
      </c>
      <c r="H8448" t="str">
        <f>"Serv.Prest. 20/10/2025 a 26/10/2025 - PIX: CPF - CHAVE: 463.491.858-70"</f>
        <v>Serv.Prest. 20/10/2025 a 26/10/2025 - PIX: CPF - CHAVE: 463.491.858-70</v>
      </c>
      <c r="I8448" t="str">
        <f t="shared" si="1560"/>
        <v>30/10/2025</v>
      </c>
      <c r="J8448" t="str">
        <f t="shared" si="1563"/>
        <v>27/10/2025</v>
      </c>
      <c r="K8448" t="str">
        <f>("30/10/2025")</f>
        <v>30/10/2025</v>
      </c>
      <c r="L8448">
        <v>711</v>
      </c>
      <c r="M8448">
        <v>711</v>
      </c>
      <c r="N8448">
        <v>109</v>
      </c>
      <c r="O8448" t="str">
        <f>"PAGAMENTO DE ENTREGADORES"</f>
        <v>PAGAMENTO DE ENTREGADORES</v>
      </c>
      <c r="P8448">
        <v>711</v>
      </c>
      <c r="S8448" t="str">
        <f>"BANCO C6 (149)"</f>
        <v>BANCO C6 (149)</v>
      </c>
      <c r="T8448">
        <v>22150</v>
      </c>
      <c r="U8448">
        <v>24425</v>
      </c>
      <c r="V8448" t="s">
        <v>77</v>
      </c>
    </row>
    <row r="8449" spans="1:22">
      <c r="A8449" t="str">
        <f t="shared" si="1557"/>
        <v>30/10/2025</v>
      </c>
      <c r="B8449" t="str">
        <f t="shared" si="1559"/>
        <v>SAÍDA</v>
      </c>
      <c r="C8449" t="str">
        <f t="shared" si="1561"/>
        <v>PIX</v>
      </c>
      <c r="D8449" t="str">
        <f>"24425"</f>
        <v>24425</v>
      </c>
      <c r="E8449" t="str">
        <f t="shared" si="1562"/>
        <v>1</v>
      </c>
      <c r="F8449" t="str">
        <f t="shared" si="1564"/>
        <v>COM</v>
      </c>
      <c r="G8449" t="str">
        <f>"ELIO CALDEIRA RIBEIRO JUNIOR (840)"</f>
        <v>ELIO CALDEIRA RIBEIRO JUNIOR (840)</v>
      </c>
      <c r="H8449" t="s">
        <v>2148</v>
      </c>
      <c r="I8449" t="str">
        <f t="shared" si="1560"/>
        <v>30/10/2025</v>
      </c>
      <c r="J8449" t="str">
        <f t="shared" si="1563"/>
        <v>27/10/2025</v>
      </c>
      <c r="K8449">
        <v>45960</v>
      </c>
      <c r="N8449">
        <v>109</v>
      </c>
      <c r="O8449" t="s">
        <v>24</v>
      </c>
      <c r="Q8449">
        <v>711</v>
      </c>
      <c r="R8449" t="str">
        <f>"DROGARIA MEDIC CENTER LTDA (10172)"</f>
        <v>DROGARIA MEDIC CENTER LTDA (10172)</v>
      </c>
      <c r="S8449" t="s">
        <v>77</v>
      </c>
      <c r="T8449">
        <v>22150</v>
      </c>
      <c r="U8449">
        <v>24425</v>
      </c>
      <c r="V8449" t="s">
        <v>77</v>
      </c>
    </row>
    <row r="8450" spans="1:22">
      <c r="A8450" t="str">
        <f t="shared" si="1557"/>
        <v>30/10/2025</v>
      </c>
      <c r="B8450" t="str">
        <f t="shared" si="1559"/>
        <v>SAÍDA</v>
      </c>
      <c r="C8450" t="str">
        <f t="shared" si="1561"/>
        <v>PIX</v>
      </c>
      <c r="D8450" t="str">
        <f>"24429"</f>
        <v>24429</v>
      </c>
      <c r="E8450" t="str">
        <f t="shared" si="1562"/>
        <v>1</v>
      </c>
      <c r="F8450" t="str">
        <f t="shared" si="1564"/>
        <v>COM</v>
      </c>
      <c r="G8450" t="str">
        <f>"ALLAN SILVA DAMACENA (790)"</f>
        <v>ALLAN SILVA DAMACENA (790)</v>
      </c>
      <c r="H8450" t="str">
        <f>"Serv.Prest. 20/10/2025 a 26/10/2025 - PIX: CELULAR - CHAVE: (19) 98944-4977"</f>
        <v>Serv.Prest. 20/10/2025 a 26/10/2025 - PIX: CELULAR - CHAVE: (19) 98944-4977</v>
      </c>
      <c r="I8450" t="str">
        <f t="shared" si="1560"/>
        <v>30/10/2025</v>
      </c>
      <c r="J8450" t="str">
        <f t="shared" si="1563"/>
        <v>27/10/2025</v>
      </c>
      <c r="K8450" t="str">
        <f>("30/10/2025")</f>
        <v>30/10/2025</v>
      </c>
      <c r="L8450">
        <v>1041</v>
      </c>
      <c r="M8450">
        <v>1041</v>
      </c>
      <c r="N8450">
        <v>109</v>
      </c>
      <c r="O8450" t="str">
        <f>"PAGAMENTO DE ENTREGADORES"</f>
        <v>PAGAMENTO DE ENTREGADORES</v>
      </c>
      <c r="P8450">
        <v>1041</v>
      </c>
      <c r="S8450" t="str">
        <f>"BANCO C6 (149)"</f>
        <v>BANCO C6 (149)</v>
      </c>
      <c r="T8450">
        <v>22151</v>
      </c>
      <c r="U8450">
        <v>24429</v>
      </c>
      <c r="V8450" t="s">
        <v>77</v>
      </c>
    </row>
    <row r="8451" spans="1:22">
      <c r="A8451" t="str">
        <f t="shared" si="1557"/>
        <v>30/10/2025</v>
      </c>
      <c r="B8451" t="str">
        <f t="shared" si="1559"/>
        <v>SAÍDA</v>
      </c>
      <c r="C8451" t="str">
        <f t="shared" si="1561"/>
        <v>PIX</v>
      </c>
      <c r="D8451" t="str">
        <f>"24429"</f>
        <v>24429</v>
      </c>
      <c r="E8451" t="str">
        <f t="shared" si="1562"/>
        <v>1</v>
      </c>
      <c r="F8451" t="str">
        <f t="shared" si="1564"/>
        <v>COM</v>
      </c>
      <c r="G8451" t="str">
        <f>"ALLAN SILVA DAMACENA (790)"</f>
        <v>ALLAN SILVA DAMACENA (790)</v>
      </c>
      <c r="H8451" t="s">
        <v>2187</v>
      </c>
      <c r="I8451" t="str">
        <f t="shared" si="1560"/>
        <v>30/10/2025</v>
      </c>
      <c r="J8451" t="str">
        <f t="shared" si="1563"/>
        <v>27/10/2025</v>
      </c>
      <c r="K8451">
        <v>45960</v>
      </c>
      <c r="N8451">
        <v>109</v>
      </c>
      <c r="O8451" t="s">
        <v>24</v>
      </c>
      <c r="Q8451">
        <v>1041</v>
      </c>
      <c r="R8451" t="str">
        <f>"DROGARIA MORENO LTDA (10171)"</f>
        <v>DROGARIA MORENO LTDA (10171)</v>
      </c>
      <c r="S8451" t="s">
        <v>77</v>
      </c>
      <c r="T8451">
        <v>22151</v>
      </c>
      <c r="U8451">
        <v>24429</v>
      </c>
      <c r="V8451" t="s">
        <v>77</v>
      </c>
    </row>
    <row r="8452" spans="1:22">
      <c r="A8452" t="str">
        <f t="shared" si="1557"/>
        <v>30/10/2025</v>
      </c>
      <c r="B8452" t="str">
        <f t="shared" si="1559"/>
        <v>SAÍDA</v>
      </c>
      <c r="C8452" t="str">
        <f t="shared" si="1561"/>
        <v>PIX</v>
      </c>
      <c r="D8452" t="str">
        <f>"24430"</f>
        <v>24430</v>
      </c>
      <c r="E8452" t="str">
        <f t="shared" si="1562"/>
        <v>1</v>
      </c>
      <c r="F8452" t="str">
        <f t="shared" si="1564"/>
        <v>COM</v>
      </c>
      <c r="G8452" t="str">
        <f>"EDUARDO MARQUES DOS SANTOS (787)"</f>
        <v>EDUARDO MARQUES DOS SANTOS (787)</v>
      </c>
      <c r="H8452" t="str">
        <f>"Serv.Prest. 20/10/2025 a 26/10/2025 - PIX: CELULAR - CHAVE: (11) 97402-1586"</f>
        <v>Serv.Prest. 20/10/2025 a 26/10/2025 - PIX: CELULAR - CHAVE: (11) 97402-1586</v>
      </c>
      <c r="I8452" t="str">
        <f t="shared" si="1560"/>
        <v>30/10/2025</v>
      </c>
      <c r="J8452" t="str">
        <f t="shared" si="1563"/>
        <v>27/10/2025</v>
      </c>
      <c r="K8452" t="str">
        <f>("30/10/2025")</f>
        <v>30/10/2025</v>
      </c>
      <c r="L8452">
        <v>770</v>
      </c>
      <c r="M8452">
        <v>770</v>
      </c>
      <c r="N8452">
        <v>109</v>
      </c>
      <c r="O8452" t="str">
        <f>"PAGAMENTO DE ENTREGADORES"</f>
        <v>PAGAMENTO DE ENTREGADORES</v>
      </c>
      <c r="P8452">
        <v>770</v>
      </c>
      <c r="S8452" t="str">
        <f>"BANCO C6 (149)"</f>
        <v>BANCO C6 (149)</v>
      </c>
      <c r="T8452">
        <v>22152</v>
      </c>
      <c r="U8452">
        <v>24430</v>
      </c>
      <c r="V8452" t="s">
        <v>77</v>
      </c>
    </row>
    <row r="8453" spans="1:22">
      <c r="A8453" t="str">
        <f t="shared" si="1557"/>
        <v>30/10/2025</v>
      </c>
      <c r="B8453" t="str">
        <f t="shared" si="1559"/>
        <v>SAÍDA</v>
      </c>
      <c r="C8453" t="str">
        <f t="shared" si="1561"/>
        <v>PIX</v>
      </c>
      <c r="D8453" t="str">
        <f>"24430"</f>
        <v>24430</v>
      </c>
      <c r="E8453" t="str">
        <f t="shared" si="1562"/>
        <v>1</v>
      </c>
      <c r="F8453" t="str">
        <f t="shared" si="1564"/>
        <v>COM</v>
      </c>
      <c r="G8453" t="str">
        <f>"EDUARDO MARQUES DOS SANTOS (787)"</f>
        <v>EDUARDO MARQUES DOS SANTOS (787)</v>
      </c>
      <c r="H8453" t="s">
        <v>2383</v>
      </c>
      <c r="I8453" t="str">
        <f t="shared" si="1560"/>
        <v>30/10/2025</v>
      </c>
      <c r="J8453" t="str">
        <f t="shared" si="1563"/>
        <v>27/10/2025</v>
      </c>
      <c r="K8453">
        <v>45960</v>
      </c>
      <c r="N8453">
        <v>109</v>
      </c>
      <c r="O8453" t="s">
        <v>24</v>
      </c>
      <c r="Q8453">
        <v>770</v>
      </c>
      <c r="R8453" t="str">
        <f>"DROGARIA MORENO LTDA (10171)"</f>
        <v>DROGARIA MORENO LTDA (10171)</v>
      </c>
      <c r="S8453" t="s">
        <v>77</v>
      </c>
      <c r="T8453">
        <v>22152</v>
      </c>
      <c r="U8453">
        <v>24430</v>
      </c>
      <c r="V8453" t="s">
        <v>77</v>
      </c>
    </row>
    <row r="8454" spans="1:22">
      <c r="A8454" t="str">
        <f t="shared" si="1557"/>
        <v>30/10/2025</v>
      </c>
      <c r="B8454" t="str">
        <f t="shared" si="1559"/>
        <v>SAÍDA</v>
      </c>
      <c r="C8454" t="str">
        <f t="shared" si="1561"/>
        <v>PIX</v>
      </c>
      <c r="D8454" t="str">
        <f>"24432"</f>
        <v>24432</v>
      </c>
      <c r="E8454" t="str">
        <f t="shared" si="1562"/>
        <v>1</v>
      </c>
      <c r="F8454" t="str">
        <f t="shared" si="1564"/>
        <v>COM</v>
      </c>
      <c r="G8454" t="str">
        <f>"PAULO CESAR DE FARIA (865)"</f>
        <v>PAULO CESAR DE FARIA (865)</v>
      </c>
      <c r="H8454" t="str">
        <f>"Serv.Prest. 20/10/2025 a 26/10/2025 - PIX: CELULAR - CHAVE: (11) 99992-0816"</f>
        <v>Serv.Prest. 20/10/2025 a 26/10/2025 - PIX: CELULAR - CHAVE: (11) 99992-0816</v>
      </c>
      <c r="I8454" t="str">
        <f t="shared" si="1560"/>
        <v>30/10/2025</v>
      </c>
      <c r="J8454" t="str">
        <f t="shared" si="1563"/>
        <v>27/10/2025</v>
      </c>
      <c r="K8454" t="str">
        <f>("30/10/2025")</f>
        <v>30/10/2025</v>
      </c>
      <c r="L8454">
        <v>1057</v>
      </c>
      <c r="M8454">
        <v>1057</v>
      </c>
      <c r="N8454">
        <v>109</v>
      </c>
      <c r="O8454" t="str">
        <f>"PAGAMENTO DE ENTREGADORES"</f>
        <v>PAGAMENTO DE ENTREGADORES</v>
      </c>
      <c r="P8454">
        <v>1057</v>
      </c>
      <c r="S8454" t="str">
        <f>"BANCO C6 (149)"</f>
        <v>BANCO C6 (149)</v>
      </c>
      <c r="T8454">
        <v>22153</v>
      </c>
      <c r="U8454">
        <v>24432</v>
      </c>
      <c r="V8454" t="s">
        <v>77</v>
      </c>
    </row>
    <row r="8455" spans="1:22">
      <c r="A8455" t="str">
        <f t="shared" si="1557"/>
        <v>30/10/2025</v>
      </c>
      <c r="B8455" t="str">
        <f t="shared" si="1559"/>
        <v>SAÍDA</v>
      </c>
      <c r="C8455" t="str">
        <f t="shared" si="1561"/>
        <v>PIX</v>
      </c>
      <c r="D8455" t="str">
        <f>"24432"</f>
        <v>24432</v>
      </c>
      <c r="E8455" t="str">
        <f t="shared" si="1562"/>
        <v>1</v>
      </c>
      <c r="F8455" t="str">
        <f t="shared" si="1564"/>
        <v>COM</v>
      </c>
      <c r="G8455" t="str">
        <f>"PAULO CESAR DE FARIA (865)"</f>
        <v>PAULO CESAR DE FARIA (865)</v>
      </c>
      <c r="H8455" t="s">
        <v>2384</v>
      </c>
      <c r="I8455" t="str">
        <f t="shared" si="1560"/>
        <v>30/10/2025</v>
      </c>
      <c r="J8455" t="str">
        <f t="shared" si="1563"/>
        <v>27/10/2025</v>
      </c>
      <c r="K8455">
        <v>45960</v>
      </c>
      <c r="N8455">
        <v>109</v>
      </c>
      <c r="O8455" t="s">
        <v>24</v>
      </c>
      <c r="Q8455">
        <v>1057</v>
      </c>
      <c r="R8455" t="str">
        <f>"DROGARIA MORENO LTDA (10171)"</f>
        <v>DROGARIA MORENO LTDA (10171)</v>
      </c>
      <c r="S8455" t="s">
        <v>77</v>
      </c>
      <c r="T8455">
        <v>22153</v>
      </c>
      <c r="U8455">
        <v>24432</v>
      </c>
      <c r="V8455" t="s">
        <v>77</v>
      </c>
    </row>
    <row r="8456" spans="1:22">
      <c r="A8456" t="str">
        <f t="shared" si="1557"/>
        <v>30/10/2025</v>
      </c>
      <c r="B8456" t="str">
        <f t="shared" si="1559"/>
        <v>SAÍDA</v>
      </c>
      <c r="C8456" t="str">
        <f t="shared" si="1561"/>
        <v>PIX</v>
      </c>
      <c r="D8456" t="str">
        <f>"24435"</f>
        <v>24435</v>
      </c>
      <c r="E8456" t="str">
        <f t="shared" si="1562"/>
        <v>1</v>
      </c>
      <c r="F8456" t="str">
        <f t="shared" si="1564"/>
        <v>COM</v>
      </c>
      <c r="G8456" t="str">
        <f>"ALEX SILVA RODRIGUES (1027)"</f>
        <v>ALEX SILVA RODRIGUES (1027)</v>
      </c>
      <c r="H8456" t="str">
        <f>"Serv.Prest. 20/10/2025 a 26/10/2025 - PIX: CELULAR - CHAVE: (64) 99952-0910"</f>
        <v>Serv.Prest. 20/10/2025 a 26/10/2025 - PIX: CELULAR - CHAVE: (64) 99952-0910</v>
      </c>
      <c r="I8456" t="str">
        <f t="shared" si="1560"/>
        <v>30/10/2025</v>
      </c>
      <c r="J8456" t="str">
        <f t="shared" si="1563"/>
        <v>27/10/2025</v>
      </c>
      <c r="K8456" t="str">
        <f>("30/10/2025")</f>
        <v>30/10/2025</v>
      </c>
      <c r="L8456">
        <v>315</v>
      </c>
      <c r="M8456">
        <v>315</v>
      </c>
      <c r="N8456">
        <v>109</v>
      </c>
      <c r="O8456" t="str">
        <f>"PAGAMENTO DE ENTREGADORES"</f>
        <v>PAGAMENTO DE ENTREGADORES</v>
      </c>
      <c r="P8456">
        <v>315</v>
      </c>
      <c r="S8456" t="str">
        <f>"BANCO C6 (149)"</f>
        <v>BANCO C6 (149)</v>
      </c>
      <c r="T8456">
        <v>22154</v>
      </c>
      <c r="U8456">
        <v>24435</v>
      </c>
      <c r="V8456" t="s">
        <v>77</v>
      </c>
    </row>
    <row r="8457" spans="1:22">
      <c r="A8457" t="str">
        <f t="shared" si="1557"/>
        <v>30/10/2025</v>
      </c>
      <c r="B8457" t="str">
        <f t="shared" si="1559"/>
        <v>SAÍDA</v>
      </c>
      <c r="C8457" t="str">
        <f t="shared" si="1561"/>
        <v>PIX</v>
      </c>
      <c r="D8457" t="str">
        <f>"24435"</f>
        <v>24435</v>
      </c>
      <c r="E8457" t="str">
        <f t="shared" si="1562"/>
        <v>1</v>
      </c>
      <c r="F8457" t="str">
        <f t="shared" si="1564"/>
        <v>COM</v>
      </c>
      <c r="G8457" t="str">
        <f>"ALEX SILVA RODRIGUES (1027)"</f>
        <v>ALEX SILVA RODRIGUES (1027)</v>
      </c>
      <c r="H8457" t="s">
        <v>2385</v>
      </c>
      <c r="I8457" t="str">
        <f t="shared" si="1560"/>
        <v>30/10/2025</v>
      </c>
      <c r="J8457" t="str">
        <f t="shared" si="1563"/>
        <v>27/10/2025</v>
      </c>
      <c r="K8457">
        <v>45960</v>
      </c>
      <c r="N8457">
        <v>109</v>
      </c>
      <c r="O8457" t="s">
        <v>24</v>
      </c>
      <c r="Q8457">
        <v>315</v>
      </c>
      <c r="R8457" t="str">
        <f>"FARMACIA ECONOMIZE (10103)"</f>
        <v>FARMACIA ECONOMIZE (10103)</v>
      </c>
      <c r="S8457" t="s">
        <v>77</v>
      </c>
      <c r="T8457">
        <v>22154</v>
      </c>
      <c r="U8457">
        <v>24435</v>
      </c>
      <c r="V8457" t="s">
        <v>77</v>
      </c>
    </row>
    <row r="8458" spans="1:22">
      <c r="A8458" t="str">
        <f t="shared" si="1557"/>
        <v>30/10/2025</v>
      </c>
      <c r="B8458" t="str">
        <f t="shared" si="1559"/>
        <v>SAÍDA</v>
      </c>
      <c r="C8458" t="str">
        <f t="shared" si="1561"/>
        <v>PIX</v>
      </c>
      <c r="D8458" t="str">
        <f>"24436"</f>
        <v>24436</v>
      </c>
      <c r="E8458" t="str">
        <f t="shared" si="1562"/>
        <v>1</v>
      </c>
      <c r="F8458" t="str">
        <f t="shared" si="1564"/>
        <v>COM</v>
      </c>
      <c r="G8458" t="str">
        <f>"WILLIAM DA SILVA COSTA (655)"</f>
        <v>WILLIAM DA SILVA COSTA (655)</v>
      </c>
      <c r="H8458" t="str">
        <f>"Serv.Prest. 20/10/2025 a 26/10/2025 - PIX: CELULAR - CHAVE: (64) 97400-9101"</f>
        <v>Serv.Prest. 20/10/2025 a 26/10/2025 - PIX: CELULAR - CHAVE: (64) 97400-9101</v>
      </c>
      <c r="I8458" t="str">
        <f t="shared" si="1560"/>
        <v>30/10/2025</v>
      </c>
      <c r="J8458" t="str">
        <f t="shared" si="1563"/>
        <v>27/10/2025</v>
      </c>
      <c r="K8458" t="str">
        <f>("30/10/2025")</f>
        <v>30/10/2025</v>
      </c>
      <c r="L8458">
        <v>1295</v>
      </c>
      <c r="M8458">
        <v>1295</v>
      </c>
      <c r="N8458">
        <v>109</v>
      </c>
      <c r="O8458" t="str">
        <f>"PAGAMENTO DE ENTREGADORES"</f>
        <v>PAGAMENTO DE ENTREGADORES</v>
      </c>
      <c r="P8458">
        <v>1295</v>
      </c>
      <c r="S8458" t="str">
        <f>"BANCO C6 (149)"</f>
        <v>BANCO C6 (149)</v>
      </c>
      <c r="T8458">
        <v>22155</v>
      </c>
      <c r="U8458">
        <v>24436</v>
      </c>
      <c r="V8458" t="s">
        <v>77</v>
      </c>
    </row>
    <row r="8459" spans="1:22">
      <c r="A8459" t="str">
        <f t="shared" si="1557"/>
        <v>30/10/2025</v>
      </c>
      <c r="B8459" t="str">
        <f t="shared" si="1559"/>
        <v>SAÍDA</v>
      </c>
      <c r="C8459" t="str">
        <f t="shared" si="1561"/>
        <v>PIX</v>
      </c>
      <c r="D8459" t="str">
        <f>"24436"</f>
        <v>24436</v>
      </c>
      <c r="E8459" t="str">
        <f t="shared" si="1562"/>
        <v>1</v>
      </c>
      <c r="F8459" t="str">
        <f t="shared" si="1564"/>
        <v>COM</v>
      </c>
      <c r="G8459" t="str">
        <f>"WILLIAM DA SILVA COSTA (655)"</f>
        <v>WILLIAM DA SILVA COSTA (655)</v>
      </c>
      <c r="H8459" t="s">
        <v>2386</v>
      </c>
      <c r="I8459" t="str">
        <f t="shared" si="1560"/>
        <v>30/10/2025</v>
      </c>
      <c r="J8459" t="str">
        <f t="shared" si="1563"/>
        <v>27/10/2025</v>
      </c>
      <c r="K8459">
        <v>45960</v>
      </c>
      <c r="N8459">
        <v>109</v>
      </c>
      <c r="O8459" t="s">
        <v>24</v>
      </c>
      <c r="Q8459">
        <v>1295</v>
      </c>
      <c r="R8459" t="str">
        <f>"FARMACIA ECONOMIZE (10103)"</f>
        <v>FARMACIA ECONOMIZE (10103)</v>
      </c>
      <c r="S8459" t="s">
        <v>77</v>
      </c>
      <c r="T8459">
        <v>22155</v>
      </c>
      <c r="U8459">
        <v>24436</v>
      </c>
      <c r="V8459" t="s">
        <v>77</v>
      </c>
    </row>
    <row r="8460" spans="1:22">
      <c r="A8460" t="str">
        <f t="shared" si="1557"/>
        <v>30/10/2025</v>
      </c>
      <c r="B8460" t="str">
        <f t="shared" si="1559"/>
        <v>SAÍDA</v>
      </c>
      <c r="C8460" t="str">
        <f t="shared" si="1561"/>
        <v>PIX</v>
      </c>
      <c r="D8460" t="str">
        <f>"24438"</f>
        <v>24438</v>
      </c>
      <c r="E8460" t="str">
        <f t="shared" si="1562"/>
        <v>1</v>
      </c>
      <c r="F8460" t="str">
        <f t="shared" si="1564"/>
        <v>COM</v>
      </c>
      <c r="G8460" t="str">
        <f>"JOCIMAR VAZ FERREIRA (197)"</f>
        <v>JOCIMAR VAZ FERREIRA (197)</v>
      </c>
      <c r="H8460" t="str">
        <f>"Serv.Prest. 20/10/2025 a 26/10/2025 - PIX: CELULAR - CHAVE: (33) 99924-7557"</f>
        <v>Serv.Prest. 20/10/2025 a 26/10/2025 - PIX: CELULAR - CHAVE: (33) 99924-7557</v>
      </c>
      <c r="I8460" t="str">
        <f t="shared" si="1560"/>
        <v>30/10/2025</v>
      </c>
      <c r="J8460" t="str">
        <f t="shared" si="1563"/>
        <v>27/10/2025</v>
      </c>
      <c r="K8460" t="str">
        <f>("30/10/2025")</f>
        <v>30/10/2025</v>
      </c>
      <c r="L8460">
        <v>810</v>
      </c>
      <c r="M8460">
        <v>810</v>
      </c>
      <c r="N8460">
        <v>109</v>
      </c>
      <c r="O8460" t="str">
        <f>"PAGAMENTO DE ENTREGADORES"</f>
        <v>PAGAMENTO DE ENTREGADORES</v>
      </c>
      <c r="P8460">
        <v>810</v>
      </c>
      <c r="S8460" t="str">
        <f>"BANCO C6 (149)"</f>
        <v>BANCO C6 (149)</v>
      </c>
      <c r="T8460">
        <v>22156</v>
      </c>
      <c r="U8460">
        <v>24438</v>
      </c>
      <c r="V8460" t="s">
        <v>77</v>
      </c>
    </row>
    <row r="8461" spans="1:22">
      <c r="A8461" t="str">
        <f t="shared" ref="A8461:A8524" si="1565">("30/10/2025")</f>
        <v>30/10/2025</v>
      </c>
      <c r="B8461" t="str">
        <f t="shared" si="1559"/>
        <v>SAÍDA</v>
      </c>
      <c r="C8461" t="str">
        <f t="shared" si="1561"/>
        <v>PIX</v>
      </c>
      <c r="D8461" t="str">
        <f>"24438"</f>
        <v>24438</v>
      </c>
      <c r="E8461" t="str">
        <f t="shared" si="1562"/>
        <v>1</v>
      </c>
      <c r="F8461" t="str">
        <f t="shared" si="1564"/>
        <v>COM</v>
      </c>
      <c r="G8461" t="str">
        <f>"JOCIMAR VAZ FERREIRA (197)"</f>
        <v>JOCIMAR VAZ FERREIRA (197)</v>
      </c>
      <c r="H8461" t="s">
        <v>2387</v>
      </c>
      <c r="I8461" t="str">
        <f t="shared" si="1560"/>
        <v>30/10/2025</v>
      </c>
      <c r="J8461" t="str">
        <f t="shared" si="1563"/>
        <v>27/10/2025</v>
      </c>
      <c r="K8461">
        <v>45960</v>
      </c>
      <c r="N8461">
        <v>109</v>
      </c>
      <c r="O8461" t="s">
        <v>24</v>
      </c>
      <c r="Q8461">
        <v>810</v>
      </c>
      <c r="R8461" t="str">
        <f>"DROGARIA VAZ (10179)"</f>
        <v>DROGARIA VAZ (10179)</v>
      </c>
      <c r="S8461" t="s">
        <v>77</v>
      </c>
      <c r="T8461">
        <v>22156</v>
      </c>
      <c r="U8461">
        <v>24438</v>
      </c>
      <c r="V8461" t="s">
        <v>77</v>
      </c>
    </row>
    <row r="8462" spans="1:22">
      <c r="A8462" t="str">
        <f t="shared" si="1565"/>
        <v>30/10/2025</v>
      </c>
      <c r="B8462" t="str">
        <f t="shared" ref="B8462:B8517" si="1566">"SAÍDA"</f>
        <v>SAÍDA</v>
      </c>
      <c r="C8462" t="str">
        <f t="shared" si="1561"/>
        <v>PIX</v>
      </c>
      <c r="D8462" t="str">
        <f>"24243"</f>
        <v>24243</v>
      </c>
      <c r="E8462" t="str">
        <f t="shared" si="1562"/>
        <v>1</v>
      </c>
      <c r="F8462" t="str">
        <f t="shared" si="1564"/>
        <v>COM</v>
      </c>
      <c r="G8462" t="str">
        <f>"MARCOS RODRIGUES PENA (64)"</f>
        <v>MARCOS RODRIGUES PENA (64)</v>
      </c>
      <c r="H8462" t="str">
        <f>"Serv.Prest. 20/10/2025 a 24/10/2025 - PIX: CELULAR - CHAVE: (33) 99194-2339"</f>
        <v>Serv.Prest. 20/10/2025 a 24/10/2025 - PIX: CELULAR - CHAVE: (33) 99194-2339</v>
      </c>
      <c r="I8462" t="str">
        <f t="shared" ref="I8462:I8530" si="1567">("30/10/2025")</f>
        <v>30/10/2025</v>
      </c>
      <c r="J8462" t="str">
        <f>("24/10/2025")</f>
        <v>24/10/2025</v>
      </c>
      <c r="K8462" t="str">
        <f>("30/10/2025")</f>
        <v>30/10/2025</v>
      </c>
      <c r="L8462">
        <v>140</v>
      </c>
      <c r="M8462">
        <v>140</v>
      </c>
      <c r="N8462">
        <v>109</v>
      </c>
      <c r="O8462" t="str">
        <f>"PAGAMENTO DE ENTREGADORES"</f>
        <v>PAGAMENTO DE ENTREGADORES</v>
      </c>
      <c r="P8462">
        <v>140</v>
      </c>
      <c r="S8462" t="str">
        <f>"BANCO C6 (149)"</f>
        <v>BANCO C6 (149)</v>
      </c>
      <c r="T8462">
        <v>22157</v>
      </c>
      <c r="U8462">
        <v>24442</v>
      </c>
      <c r="V8462" t="s">
        <v>77</v>
      </c>
    </row>
    <row r="8463" spans="1:22">
      <c r="A8463" t="str">
        <f t="shared" si="1565"/>
        <v>30/10/2025</v>
      </c>
      <c r="B8463" t="str">
        <f t="shared" si="1566"/>
        <v>SAÍDA</v>
      </c>
      <c r="C8463" t="str">
        <f t="shared" si="1561"/>
        <v>PIX</v>
      </c>
      <c r="D8463" t="str">
        <f>"24243"</f>
        <v>24243</v>
      </c>
      <c r="E8463" t="str">
        <f t="shared" si="1562"/>
        <v>1</v>
      </c>
      <c r="F8463" t="str">
        <f t="shared" si="1564"/>
        <v>COM</v>
      </c>
      <c r="G8463" t="str">
        <f>"MARCOS RODRIGUES PENA (64)"</f>
        <v>MARCOS RODRIGUES PENA (64)</v>
      </c>
      <c r="H8463" t="s">
        <v>2388</v>
      </c>
      <c r="I8463" t="str">
        <f t="shared" si="1567"/>
        <v>30/10/2025</v>
      </c>
      <c r="J8463" t="str">
        <f>("24/10/2025")</f>
        <v>24/10/2025</v>
      </c>
      <c r="K8463">
        <v>45960</v>
      </c>
      <c r="N8463">
        <v>109</v>
      </c>
      <c r="O8463" t="s">
        <v>24</v>
      </c>
      <c r="Q8463">
        <v>140</v>
      </c>
      <c r="R8463" t="str">
        <f>"FARMÁCIA INDIANA LJ 62 (10028)"</f>
        <v>FARMÁCIA INDIANA LJ 62 (10028)</v>
      </c>
      <c r="S8463" t="s">
        <v>77</v>
      </c>
      <c r="T8463">
        <v>22157</v>
      </c>
      <c r="U8463">
        <v>24442</v>
      </c>
      <c r="V8463" t="s">
        <v>77</v>
      </c>
    </row>
    <row r="8464" spans="1:22">
      <c r="A8464" t="str">
        <f t="shared" si="1565"/>
        <v>30/10/2025</v>
      </c>
      <c r="B8464" t="str">
        <f t="shared" si="1566"/>
        <v>SAÍDA</v>
      </c>
      <c r="C8464" t="str">
        <f t="shared" ref="C8464:C8517" si="1568">"PIX"</f>
        <v>PIX</v>
      </c>
      <c r="D8464" t="str">
        <f>"24453"</f>
        <v>24453</v>
      </c>
      <c r="E8464" t="str">
        <f t="shared" si="1562"/>
        <v>1</v>
      </c>
      <c r="F8464" t="str">
        <f t="shared" si="1564"/>
        <v>COM</v>
      </c>
      <c r="G8464" t="str">
        <f>"CLAUDIO DOS SANTOS (507)"</f>
        <v>CLAUDIO DOS SANTOS (507)</v>
      </c>
      <c r="H8464" t="str">
        <f>"Serv.Prest. 20/10/2025 a 26/10/2025 - PIX: E-MAIL - CHAVE: claudioverdinho2009@hotmail.com"</f>
        <v>Serv.Prest. 20/10/2025 a 26/10/2025 - PIX: E-MAIL - CHAVE: claudioverdinho2009@hotmail.com</v>
      </c>
      <c r="I8464" t="str">
        <f t="shared" si="1567"/>
        <v>30/10/2025</v>
      </c>
      <c r="J8464" t="str">
        <f t="shared" ref="J8464:J8497" si="1569">("28/10/2025")</f>
        <v>28/10/2025</v>
      </c>
      <c r="K8464" t="str">
        <f>("30/10/2025")</f>
        <v>30/10/2025</v>
      </c>
      <c r="L8464">
        <v>177</v>
      </c>
      <c r="M8464">
        <v>177</v>
      </c>
      <c r="N8464">
        <v>109</v>
      </c>
      <c r="O8464" t="str">
        <f>"PAGAMENTO DE ENTREGADORES"</f>
        <v>PAGAMENTO DE ENTREGADORES</v>
      </c>
      <c r="P8464">
        <v>177</v>
      </c>
      <c r="S8464" t="str">
        <f>"BANCO C6 (149)"</f>
        <v>BANCO C6 (149)</v>
      </c>
      <c r="T8464">
        <v>22158</v>
      </c>
      <c r="U8464">
        <v>24453</v>
      </c>
      <c r="V8464" t="s">
        <v>77</v>
      </c>
    </row>
    <row r="8465" spans="1:22">
      <c r="A8465" t="str">
        <f t="shared" si="1565"/>
        <v>30/10/2025</v>
      </c>
      <c r="B8465" t="str">
        <f t="shared" si="1566"/>
        <v>SAÍDA</v>
      </c>
      <c r="C8465" t="str">
        <f t="shared" si="1568"/>
        <v>PIX</v>
      </c>
      <c r="D8465" t="str">
        <f>"24453"</f>
        <v>24453</v>
      </c>
      <c r="E8465" t="str">
        <f t="shared" si="1562"/>
        <v>1</v>
      </c>
      <c r="F8465" t="str">
        <f t="shared" si="1564"/>
        <v>COM</v>
      </c>
      <c r="G8465" t="str">
        <f>"CLAUDIO DOS SANTOS (507)"</f>
        <v>CLAUDIO DOS SANTOS (507)</v>
      </c>
      <c r="H8465" t="s">
        <v>2389</v>
      </c>
      <c r="I8465" t="str">
        <f t="shared" si="1567"/>
        <v>30/10/2025</v>
      </c>
      <c r="J8465" t="str">
        <f t="shared" si="1569"/>
        <v>28/10/2025</v>
      </c>
      <c r="K8465">
        <v>45960</v>
      </c>
      <c r="N8465">
        <v>109</v>
      </c>
      <c r="O8465" t="s">
        <v>24</v>
      </c>
      <c r="Q8465">
        <v>177</v>
      </c>
      <c r="R8465" t="str">
        <f>"JAL FARMACIA E DROGARIA LJ 2 (10138)"</f>
        <v>JAL FARMACIA E DROGARIA LJ 2 (10138)</v>
      </c>
      <c r="S8465" t="s">
        <v>77</v>
      </c>
      <c r="T8465">
        <v>22158</v>
      </c>
      <c r="U8465">
        <v>24453</v>
      </c>
      <c r="V8465" t="s">
        <v>77</v>
      </c>
    </row>
    <row r="8466" spans="1:22">
      <c r="A8466" t="str">
        <f t="shared" si="1565"/>
        <v>30/10/2025</v>
      </c>
      <c r="B8466" t="str">
        <f t="shared" si="1566"/>
        <v>SAÍDA</v>
      </c>
      <c r="C8466" t="str">
        <f t="shared" si="1568"/>
        <v>PIX</v>
      </c>
      <c r="D8466" t="str">
        <f>"24454"</f>
        <v>24454</v>
      </c>
      <c r="E8466" t="str">
        <f t="shared" si="1562"/>
        <v>1</v>
      </c>
      <c r="F8466" t="str">
        <f t="shared" si="1564"/>
        <v>COM</v>
      </c>
      <c r="G8466" t="str">
        <f>"HECTOR LUIS YANEZ QUEZADA (718)"</f>
        <v>HECTOR LUIS YANEZ QUEZADA (718)</v>
      </c>
      <c r="H8466" t="str">
        <f>"Serv.Prest. 20/10/2025 a 26/10/2025 - PIX: CELULAR - CHAVE: (41) 98421-2278"</f>
        <v>Serv.Prest. 20/10/2025 a 26/10/2025 - PIX: CELULAR - CHAVE: (41) 98421-2278</v>
      </c>
      <c r="I8466" t="str">
        <f t="shared" si="1567"/>
        <v>30/10/2025</v>
      </c>
      <c r="J8466" t="str">
        <f t="shared" si="1569"/>
        <v>28/10/2025</v>
      </c>
      <c r="K8466" t="str">
        <f>("30/10/2025")</f>
        <v>30/10/2025</v>
      </c>
      <c r="L8466">
        <v>506</v>
      </c>
      <c r="M8466">
        <v>506</v>
      </c>
      <c r="N8466">
        <v>109</v>
      </c>
      <c r="O8466" t="str">
        <f>"PAGAMENTO DE ENTREGADORES"</f>
        <v>PAGAMENTO DE ENTREGADORES</v>
      </c>
      <c r="P8466">
        <v>506</v>
      </c>
      <c r="S8466" t="str">
        <f>"BANCO C6 (149)"</f>
        <v>BANCO C6 (149)</v>
      </c>
      <c r="T8466">
        <v>22159</v>
      </c>
      <c r="U8466">
        <v>24454</v>
      </c>
      <c r="V8466" t="s">
        <v>77</v>
      </c>
    </row>
    <row r="8467" spans="1:22">
      <c r="A8467" t="str">
        <f t="shared" si="1565"/>
        <v>30/10/2025</v>
      </c>
      <c r="B8467" t="str">
        <f t="shared" si="1566"/>
        <v>SAÍDA</v>
      </c>
      <c r="C8467" t="str">
        <f t="shared" si="1568"/>
        <v>PIX</v>
      </c>
      <c r="D8467" t="str">
        <f>"24454"</f>
        <v>24454</v>
      </c>
      <c r="E8467" t="str">
        <f t="shared" si="1562"/>
        <v>1</v>
      </c>
      <c r="F8467" t="str">
        <f t="shared" si="1564"/>
        <v>COM</v>
      </c>
      <c r="G8467" t="str">
        <f>"HECTOR LUIS YANEZ QUEZADA (718)"</f>
        <v>HECTOR LUIS YANEZ QUEZADA (718)</v>
      </c>
      <c r="H8467" t="s">
        <v>2390</v>
      </c>
      <c r="I8467" t="str">
        <f t="shared" si="1567"/>
        <v>30/10/2025</v>
      </c>
      <c r="J8467" t="str">
        <f t="shared" si="1569"/>
        <v>28/10/2025</v>
      </c>
      <c r="K8467">
        <v>45960</v>
      </c>
      <c r="N8467">
        <v>109</v>
      </c>
      <c r="O8467" t="s">
        <v>24</v>
      </c>
      <c r="Q8467">
        <v>506</v>
      </c>
      <c r="R8467" t="str">
        <f>"JAL FARMACIA E DROGARIA LJ 2 (10138)"</f>
        <v>JAL FARMACIA E DROGARIA LJ 2 (10138)</v>
      </c>
      <c r="S8467" t="s">
        <v>77</v>
      </c>
      <c r="T8467">
        <v>22159</v>
      </c>
      <c r="U8467">
        <v>24454</v>
      </c>
      <c r="V8467" t="s">
        <v>77</v>
      </c>
    </row>
    <row r="8468" spans="1:22">
      <c r="A8468" t="str">
        <f t="shared" si="1565"/>
        <v>30/10/2025</v>
      </c>
      <c r="B8468" t="str">
        <f t="shared" si="1566"/>
        <v>SAÍDA</v>
      </c>
      <c r="C8468" t="str">
        <f t="shared" si="1568"/>
        <v>PIX</v>
      </c>
      <c r="D8468" t="str">
        <f>"24455"</f>
        <v>24455</v>
      </c>
      <c r="E8468" t="str">
        <f t="shared" si="1562"/>
        <v>1</v>
      </c>
      <c r="F8468" t="str">
        <f t="shared" si="1564"/>
        <v>COM</v>
      </c>
      <c r="G8468" t="str">
        <f>"JESSICA BRAHOLKA (837)"</f>
        <v>JESSICA BRAHOLKA (837)</v>
      </c>
      <c r="H8468" t="str">
        <f>"Serv.Prest. 20/10/2025 a 26/10/2025 - PIX: CPF - CHAVE: 124.575.099-20"</f>
        <v>Serv.Prest. 20/10/2025 a 26/10/2025 - PIX: CPF - CHAVE: 124.575.099-20</v>
      </c>
      <c r="I8468" t="str">
        <f t="shared" si="1567"/>
        <v>30/10/2025</v>
      </c>
      <c r="J8468" t="str">
        <f t="shared" si="1569"/>
        <v>28/10/2025</v>
      </c>
      <c r="K8468" t="str">
        <f>("30/10/2025")</f>
        <v>30/10/2025</v>
      </c>
      <c r="L8468">
        <v>714</v>
      </c>
      <c r="M8468">
        <v>714</v>
      </c>
      <c r="N8468">
        <v>109</v>
      </c>
      <c r="O8468" t="str">
        <f>"PAGAMENTO DE ENTREGADORES"</f>
        <v>PAGAMENTO DE ENTREGADORES</v>
      </c>
      <c r="P8468">
        <v>714</v>
      </c>
      <c r="S8468" t="str">
        <f>"BANCO C6 (149)"</f>
        <v>BANCO C6 (149)</v>
      </c>
      <c r="T8468">
        <v>22160</v>
      </c>
      <c r="U8468">
        <v>24455</v>
      </c>
      <c r="V8468" t="s">
        <v>77</v>
      </c>
    </row>
    <row r="8469" spans="1:22">
      <c r="A8469" t="str">
        <f t="shared" si="1565"/>
        <v>30/10/2025</v>
      </c>
      <c r="B8469" t="str">
        <f t="shared" si="1566"/>
        <v>SAÍDA</v>
      </c>
      <c r="C8469" t="str">
        <f t="shared" si="1568"/>
        <v>PIX</v>
      </c>
      <c r="D8469" t="str">
        <f>"24455"</f>
        <v>24455</v>
      </c>
      <c r="E8469" t="str">
        <f t="shared" si="1562"/>
        <v>1</v>
      </c>
      <c r="F8469" t="str">
        <f t="shared" si="1564"/>
        <v>COM</v>
      </c>
      <c r="G8469" t="str">
        <f>"JESSICA BRAHOLKA (837)"</f>
        <v>JESSICA BRAHOLKA (837)</v>
      </c>
      <c r="H8469" t="s">
        <v>2391</v>
      </c>
      <c r="I8469" t="str">
        <f t="shared" si="1567"/>
        <v>30/10/2025</v>
      </c>
      <c r="J8469" t="str">
        <f t="shared" si="1569"/>
        <v>28/10/2025</v>
      </c>
      <c r="K8469">
        <v>45960</v>
      </c>
      <c r="N8469">
        <v>109</v>
      </c>
      <c r="O8469" t="s">
        <v>24</v>
      </c>
      <c r="Q8469">
        <v>714</v>
      </c>
      <c r="R8469" t="str">
        <f>"JAL FARMACIA E DROGARIA LJ 2 (10138)"</f>
        <v>JAL FARMACIA E DROGARIA LJ 2 (10138)</v>
      </c>
      <c r="S8469" t="s">
        <v>77</v>
      </c>
      <c r="T8469">
        <v>22160</v>
      </c>
      <c r="U8469">
        <v>24455</v>
      </c>
      <c r="V8469" t="s">
        <v>77</v>
      </c>
    </row>
    <row r="8470" spans="1:22">
      <c r="A8470" t="str">
        <f t="shared" si="1565"/>
        <v>30/10/2025</v>
      </c>
      <c r="B8470" t="str">
        <f t="shared" si="1566"/>
        <v>SAÍDA</v>
      </c>
      <c r="C8470" t="str">
        <f t="shared" si="1568"/>
        <v>PIX</v>
      </c>
      <c r="D8470" t="str">
        <f>"24457"</f>
        <v>24457</v>
      </c>
      <c r="E8470" t="str">
        <f t="shared" si="1562"/>
        <v>1</v>
      </c>
      <c r="F8470" t="str">
        <f t="shared" si="1564"/>
        <v>COM</v>
      </c>
      <c r="G8470" t="str">
        <f>"CLAUDIO DOS SANTOS (507)"</f>
        <v>CLAUDIO DOS SANTOS (507)</v>
      </c>
      <c r="H8470" t="str">
        <f>"Serv.Prest. 20/10/2025 a 26/10/2025 - PIX: E-MAIL - CHAVE: claudioverdinho2009@hotmail.com"</f>
        <v>Serv.Prest. 20/10/2025 a 26/10/2025 - PIX: E-MAIL - CHAVE: claudioverdinho2009@hotmail.com</v>
      </c>
      <c r="I8470" t="str">
        <f t="shared" si="1567"/>
        <v>30/10/2025</v>
      </c>
      <c r="J8470" t="str">
        <f t="shared" si="1569"/>
        <v>28/10/2025</v>
      </c>
      <c r="K8470" t="str">
        <f>("30/10/2025")</f>
        <v>30/10/2025</v>
      </c>
      <c r="L8470">
        <v>1085</v>
      </c>
      <c r="M8470">
        <v>1085</v>
      </c>
      <c r="N8470">
        <v>109</v>
      </c>
      <c r="O8470" t="str">
        <f>"PAGAMENTO DE ENTREGADORES"</f>
        <v>PAGAMENTO DE ENTREGADORES</v>
      </c>
      <c r="P8470">
        <v>1085</v>
      </c>
      <c r="S8470" t="str">
        <f>"BANCO C6 (149)"</f>
        <v>BANCO C6 (149)</v>
      </c>
      <c r="T8470">
        <v>22161</v>
      </c>
      <c r="U8470">
        <v>24457</v>
      </c>
      <c r="V8470" t="s">
        <v>77</v>
      </c>
    </row>
    <row r="8471" spans="1:22">
      <c r="A8471" t="str">
        <f t="shared" si="1565"/>
        <v>30/10/2025</v>
      </c>
      <c r="B8471" t="str">
        <f t="shared" si="1566"/>
        <v>SAÍDA</v>
      </c>
      <c r="C8471" t="str">
        <f t="shared" si="1568"/>
        <v>PIX</v>
      </c>
      <c r="D8471" t="str">
        <f>"24457"</f>
        <v>24457</v>
      </c>
      <c r="E8471" t="str">
        <f t="shared" si="1562"/>
        <v>1</v>
      </c>
      <c r="F8471" t="str">
        <f t="shared" si="1564"/>
        <v>COM</v>
      </c>
      <c r="G8471" t="str">
        <f>"CLAUDIO DOS SANTOS (507)"</f>
        <v>CLAUDIO DOS SANTOS (507)</v>
      </c>
      <c r="H8471" t="s">
        <v>2389</v>
      </c>
      <c r="I8471" t="str">
        <f t="shared" si="1567"/>
        <v>30/10/2025</v>
      </c>
      <c r="J8471" t="str">
        <f t="shared" si="1569"/>
        <v>28/10/2025</v>
      </c>
      <c r="K8471">
        <v>45960</v>
      </c>
      <c r="N8471">
        <v>109</v>
      </c>
      <c r="O8471" t="s">
        <v>24</v>
      </c>
      <c r="Q8471">
        <v>1085</v>
      </c>
      <c r="R8471" t="str">
        <f>"JAL FARMACIA E DROGARIA LJ 1 (10137)"</f>
        <v>JAL FARMACIA E DROGARIA LJ 1 (10137)</v>
      </c>
      <c r="S8471" t="s">
        <v>77</v>
      </c>
      <c r="T8471">
        <v>22161</v>
      </c>
      <c r="U8471">
        <v>24457</v>
      </c>
      <c r="V8471" t="s">
        <v>77</v>
      </c>
    </row>
    <row r="8472" spans="1:22">
      <c r="A8472" t="str">
        <f t="shared" si="1565"/>
        <v>30/10/2025</v>
      </c>
      <c r="B8472" t="str">
        <f t="shared" si="1566"/>
        <v>SAÍDA</v>
      </c>
      <c r="C8472" t="str">
        <f t="shared" si="1568"/>
        <v>PIX</v>
      </c>
      <c r="D8472" t="str">
        <f>"24458"</f>
        <v>24458</v>
      </c>
      <c r="E8472" t="str">
        <f t="shared" si="1562"/>
        <v>1</v>
      </c>
      <c r="F8472" t="str">
        <f t="shared" si="1564"/>
        <v>COM</v>
      </c>
      <c r="G8472" t="str">
        <f>"HECTOR LUIS YANEZ QUEZADA (718)"</f>
        <v>HECTOR LUIS YANEZ QUEZADA (718)</v>
      </c>
      <c r="H8472" t="str">
        <f>"Serv.Prest. 20/10/2025 a 26/10/2025 - PIX: CELULAR - CHAVE: (41) 98421-2278"</f>
        <v>Serv.Prest. 20/10/2025 a 26/10/2025 - PIX: CELULAR - CHAVE: (41) 98421-2278</v>
      </c>
      <c r="I8472" t="str">
        <f t="shared" si="1567"/>
        <v>30/10/2025</v>
      </c>
      <c r="J8472" t="str">
        <f t="shared" si="1569"/>
        <v>28/10/2025</v>
      </c>
      <c r="K8472" t="str">
        <f>("30/10/2025")</f>
        <v>30/10/2025</v>
      </c>
      <c r="L8472">
        <v>294</v>
      </c>
      <c r="M8472">
        <v>294</v>
      </c>
      <c r="N8472">
        <v>109</v>
      </c>
      <c r="O8472" t="str">
        <f>"PAGAMENTO DE ENTREGADORES"</f>
        <v>PAGAMENTO DE ENTREGADORES</v>
      </c>
      <c r="P8472">
        <v>294</v>
      </c>
      <c r="S8472" t="str">
        <f>"BANCO C6 (149)"</f>
        <v>BANCO C6 (149)</v>
      </c>
      <c r="T8472">
        <v>22162</v>
      </c>
      <c r="U8472">
        <v>24458</v>
      </c>
      <c r="V8472" t="s">
        <v>77</v>
      </c>
    </row>
    <row r="8473" spans="1:22">
      <c r="A8473" t="str">
        <f t="shared" si="1565"/>
        <v>30/10/2025</v>
      </c>
      <c r="B8473" t="str">
        <f t="shared" si="1566"/>
        <v>SAÍDA</v>
      </c>
      <c r="C8473" t="str">
        <f t="shared" si="1568"/>
        <v>PIX</v>
      </c>
      <c r="D8473" t="str">
        <f>"24458"</f>
        <v>24458</v>
      </c>
      <c r="E8473" t="str">
        <f t="shared" si="1562"/>
        <v>1</v>
      </c>
      <c r="F8473" t="str">
        <f t="shared" si="1564"/>
        <v>COM</v>
      </c>
      <c r="G8473" t="str">
        <f>"HECTOR LUIS YANEZ QUEZADA (718)"</f>
        <v>HECTOR LUIS YANEZ QUEZADA (718)</v>
      </c>
      <c r="H8473" t="s">
        <v>2390</v>
      </c>
      <c r="I8473" t="str">
        <f t="shared" si="1567"/>
        <v>30/10/2025</v>
      </c>
      <c r="J8473" t="str">
        <f t="shared" si="1569"/>
        <v>28/10/2025</v>
      </c>
      <c r="K8473">
        <v>45960</v>
      </c>
      <c r="N8473">
        <v>109</v>
      </c>
      <c r="O8473" t="s">
        <v>24</v>
      </c>
      <c r="Q8473">
        <v>294</v>
      </c>
      <c r="R8473" t="str">
        <f>"JAL FARMACIA E DROGARIA LJ 1 (10137)"</f>
        <v>JAL FARMACIA E DROGARIA LJ 1 (10137)</v>
      </c>
      <c r="S8473" t="s">
        <v>77</v>
      </c>
      <c r="T8473">
        <v>22162</v>
      </c>
      <c r="U8473">
        <v>24458</v>
      </c>
      <c r="V8473" t="s">
        <v>77</v>
      </c>
    </row>
    <row r="8474" spans="1:22">
      <c r="A8474" t="str">
        <f t="shared" si="1565"/>
        <v>30/10/2025</v>
      </c>
      <c r="B8474" t="str">
        <f t="shared" si="1566"/>
        <v>SAÍDA</v>
      </c>
      <c r="C8474" t="str">
        <f t="shared" si="1568"/>
        <v>PIX</v>
      </c>
      <c r="D8474" t="str">
        <f>"24459"</f>
        <v>24459</v>
      </c>
      <c r="E8474" t="str">
        <f t="shared" si="1562"/>
        <v>1</v>
      </c>
      <c r="F8474" t="str">
        <f t="shared" si="1564"/>
        <v>COM</v>
      </c>
      <c r="G8474" t="str">
        <f>"JESSICA BRAHOLKA (837)"</f>
        <v>JESSICA BRAHOLKA (837)</v>
      </c>
      <c r="H8474" t="str">
        <f>"Serv.Prest. 20/10/2025 a 26/10/2025 - PIX: CPF - CHAVE: 124.575.099-20"</f>
        <v>Serv.Prest. 20/10/2025 a 26/10/2025 - PIX: CPF - CHAVE: 124.575.099-20</v>
      </c>
      <c r="I8474" t="str">
        <f t="shared" si="1567"/>
        <v>30/10/2025</v>
      </c>
      <c r="J8474" t="str">
        <f t="shared" si="1569"/>
        <v>28/10/2025</v>
      </c>
      <c r="K8474" t="str">
        <f>("30/10/2025")</f>
        <v>30/10/2025</v>
      </c>
      <c r="L8474">
        <v>625</v>
      </c>
      <c r="M8474">
        <v>625</v>
      </c>
      <c r="N8474">
        <v>109</v>
      </c>
      <c r="O8474" t="str">
        <f>"PAGAMENTO DE ENTREGADORES"</f>
        <v>PAGAMENTO DE ENTREGADORES</v>
      </c>
      <c r="P8474">
        <v>625</v>
      </c>
      <c r="S8474" t="str">
        <f>"BANCO C6 (149)"</f>
        <v>BANCO C6 (149)</v>
      </c>
      <c r="T8474">
        <v>22163</v>
      </c>
      <c r="U8474">
        <v>24459</v>
      </c>
      <c r="V8474" t="s">
        <v>77</v>
      </c>
    </row>
    <row r="8475" spans="1:22">
      <c r="A8475" t="str">
        <f t="shared" si="1565"/>
        <v>30/10/2025</v>
      </c>
      <c r="B8475" t="str">
        <f t="shared" si="1566"/>
        <v>SAÍDA</v>
      </c>
      <c r="C8475" t="str">
        <f t="shared" si="1568"/>
        <v>PIX</v>
      </c>
      <c r="D8475" t="str">
        <f>"24459"</f>
        <v>24459</v>
      </c>
      <c r="E8475" t="str">
        <f t="shared" si="1562"/>
        <v>1</v>
      </c>
      <c r="F8475" t="str">
        <f t="shared" si="1564"/>
        <v>COM</v>
      </c>
      <c r="G8475" t="str">
        <f>"JESSICA BRAHOLKA (837)"</f>
        <v>JESSICA BRAHOLKA (837)</v>
      </c>
      <c r="H8475" t="s">
        <v>2391</v>
      </c>
      <c r="I8475" t="str">
        <f t="shared" si="1567"/>
        <v>30/10/2025</v>
      </c>
      <c r="J8475" t="str">
        <f t="shared" si="1569"/>
        <v>28/10/2025</v>
      </c>
      <c r="K8475">
        <v>45960</v>
      </c>
      <c r="N8475">
        <v>109</v>
      </c>
      <c r="O8475" t="s">
        <v>24</v>
      </c>
      <c r="Q8475">
        <v>625</v>
      </c>
      <c r="R8475" t="str">
        <f>"JAL FARMACIA E DROGARIA LJ 1 (10137)"</f>
        <v>JAL FARMACIA E DROGARIA LJ 1 (10137)</v>
      </c>
      <c r="S8475" t="s">
        <v>77</v>
      </c>
      <c r="T8475">
        <v>22163</v>
      </c>
      <c r="U8475">
        <v>24459</v>
      </c>
      <c r="V8475" t="s">
        <v>77</v>
      </c>
    </row>
    <row r="8476" spans="1:22">
      <c r="A8476" t="str">
        <f t="shared" si="1565"/>
        <v>30/10/2025</v>
      </c>
      <c r="B8476" t="str">
        <f t="shared" si="1566"/>
        <v>SAÍDA</v>
      </c>
      <c r="C8476" t="str">
        <f t="shared" si="1568"/>
        <v>PIX</v>
      </c>
      <c r="D8476" t="str">
        <f>"24461"</f>
        <v>24461</v>
      </c>
      <c r="E8476" t="str">
        <f t="shared" si="1562"/>
        <v>1</v>
      </c>
      <c r="F8476" t="str">
        <f t="shared" si="1564"/>
        <v>COM</v>
      </c>
      <c r="G8476" t="str">
        <f>"BRUNO ANDRADE LESSA (952)"</f>
        <v>BRUNO ANDRADE LESSA (952)</v>
      </c>
      <c r="H8476" t="str">
        <f>"Serv.Prest. 20/10/2025 a 26/10/2025 - PIX: CELULAR - CHAVE: (28) 99988-2177"</f>
        <v>Serv.Prest. 20/10/2025 a 26/10/2025 - PIX: CELULAR - CHAVE: (28) 99988-2177</v>
      </c>
      <c r="I8476" t="str">
        <f t="shared" si="1567"/>
        <v>30/10/2025</v>
      </c>
      <c r="J8476" t="str">
        <f t="shared" si="1569"/>
        <v>28/10/2025</v>
      </c>
      <c r="K8476" t="str">
        <f>("30/10/2025")</f>
        <v>30/10/2025</v>
      </c>
      <c r="L8476">
        <v>835</v>
      </c>
      <c r="M8476">
        <v>835</v>
      </c>
      <c r="N8476">
        <v>109</v>
      </c>
      <c r="O8476" t="str">
        <f>"PAGAMENTO DE ENTREGADORES"</f>
        <v>PAGAMENTO DE ENTREGADORES</v>
      </c>
      <c r="P8476">
        <v>835</v>
      </c>
      <c r="S8476" t="str">
        <f>"BANCO C6 (149)"</f>
        <v>BANCO C6 (149)</v>
      </c>
      <c r="T8476">
        <v>22164</v>
      </c>
      <c r="U8476">
        <v>24461</v>
      </c>
      <c r="V8476" t="s">
        <v>77</v>
      </c>
    </row>
    <row r="8477" spans="1:22">
      <c r="A8477" t="str">
        <f t="shared" si="1565"/>
        <v>30/10/2025</v>
      </c>
      <c r="B8477" t="str">
        <f t="shared" si="1566"/>
        <v>SAÍDA</v>
      </c>
      <c r="C8477" t="str">
        <f t="shared" si="1568"/>
        <v>PIX</v>
      </c>
      <c r="D8477" t="str">
        <f>"24461"</f>
        <v>24461</v>
      </c>
      <c r="E8477" t="str">
        <f t="shared" si="1562"/>
        <v>1</v>
      </c>
      <c r="F8477" t="str">
        <f t="shared" si="1564"/>
        <v>COM</v>
      </c>
      <c r="G8477" t="str">
        <f>"BRUNO ANDRADE LESSA (952)"</f>
        <v>BRUNO ANDRADE LESSA (952)</v>
      </c>
      <c r="H8477" t="s">
        <v>2392</v>
      </c>
      <c r="I8477" t="str">
        <f t="shared" si="1567"/>
        <v>30/10/2025</v>
      </c>
      <c r="J8477" t="str">
        <f t="shared" si="1569"/>
        <v>28/10/2025</v>
      </c>
      <c r="K8477">
        <v>45960</v>
      </c>
      <c r="N8477">
        <v>109</v>
      </c>
      <c r="O8477" t="s">
        <v>24</v>
      </c>
      <c r="Q8477">
        <v>835</v>
      </c>
      <c r="R8477" t="str">
        <f>"LBL FARMACIA LTDA FILIAL (10192)"</f>
        <v>LBL FARMACIA LTDA FILIAL (10192)</v>
      </c>
      <c r="S8477" t="s">
        <v>77</v>
      </c>
      <c r="T8477">
        <v>22164</v>
      </c>
      <c r="U8477">
        <v>24461</v>
      </c>
      <c r="V8477" t="s">
        <v>77</v>
      </c>
    </row>
    <row r="8478" spans="1:22">
      <c r="A8478" t="str">
        <f t="shared" si="1565"/>
        <v>30/10/2025</v>
      </c>
      <c r="B8478" t="str">
        <f t="shared" si="1566"/>
        <v>SAÍDA</v>
      </c>
      <c r="C8478" t="str">
        <f t="shared" si="1568"/>
        <v>PIX</v>
      </c>
      <c r="D8478" t="str">
        <f>"24462"</f>
        <v>24462</v>
      </c>
      <c r="E8478" t="str">
        <f t="shared" si="1562"/>
        <v>1</v>
      </c>
      <c r="F8478" t="str">
        <f t="shared" si="1564"/>
        <v>COM</v>
      </c>
      <c r="G8478" t="str">
        <f>"YAN FILIPUTI CORA (926)"</f>
        <v>YAN FILIPUTI CORA (926)</v>
      </c>
      <c r="H8478" t="str">
        <f>"Serv.Prest. 20/10/2025 a 26/10/2025 - PIX: CELULAR - CHAVE: (28) 98816-4170"</f>
        <v>Serv.Prest. 20/10/2025 a 26/10/2025 - PIX: CELULAR - CHAVE: (28) 98816-4170</v>
      </c>
      <c r="I8478" t="str">
        <f t="shared" si="1567"/>
        <v>30/10/2025</v>
      </c>
      <c r="J8478" t="str">
        <f t="shared" si="1569"/>
        <v>28/10/2025</v>
      </c>
      <c r="K8478" t="str">
        <f>("30/10/2025")</f>
        <v>30/10/2025</v>
      </c>
      <c r="L8478">
        <v>410</v>
      </c>
      <c r="M8478">
        <v>410</v>
      </c>
      <c r="N8478">
        <v>109</v>
      </c>
      <c r="O8478" t="str">
        <f>"PAGAMENTO DE ENTREGADORES"</f>
        <v>PAGAMENTO DE ENTREGADORES</v>
      </c>
      <c r="P8478">
        <v>410</v>
      </c>
      <c r="S8478" t="str">
        <f>"BANCO C6 (149)"</f>
        <v>BANCO C6 (149)</v>
      </c>
      <c r="T8478">
        <v>22165</v>
      </c>
      <c r="U8478">
        <v>24462</v>
      </c>
      <c r="V8478" t="s">
        <v>77</v>
      </c>
    </row>
    <row r="8479" spans="1:22">
      <c r="A8479" t="str">
        <f t="shared" si="1565"/>
        <v>30/10/2025</v>
      </c>
      <c r="B8479" t="str">
        <f t="shared" si="1566"/>
        <v>SAÍDA</v>
      </c>
      <c r="C8479" t="str">
        <f t="shared" si="1568"/>
        <v>PIX</v>
      </c>
      <c r="D8479" t="str">
        <f>"24462"</f>
        <v>24462</v>
      </c>
      <c r="E8479" t="str">
        <f t="shared" si="1562"/>
        <v>1</v>
      </c>
      <c r="F8479" t="str">
        <f t="shared" si="1564"/>
        <v>COM</v>
      </c>
      <c r="G8479" t="str">
        <f>"YAN FILIPUTI CORA (926)"</f>
        <v>YAN FILIPUTI CORA (926)</v>
      </c>
      <c r="H8479" t="s">
        <v>2393</v>
      </c>
      <c r="I8479" t="str">
        <f t="shared" si="1567"/>
        <v>30/10/2025</v>
      </c>
      <c r="J8479" t="str">
        <f t="shared" si="1569"/>
        <v>28/10/2025</v>
      </c>
      <c r="K8479">
        <v>45960</v>
      </c>
      <c r="N8479">
        <v>109</v>
      </c>
      <c r="O8479" t="s">
        <v>24</v>
      </c>
      <c r="Q8479">
        <v>410</v>
      </c>
      <c r="R8479" t="str">
        <f>"LBL FARMACIA LTDA FILIAL (10192)"</f>
        <v>LBL FARMACIA LTDA FILIAL (10192)</v>
      </c>
      <c r="S8479" t="s">
        <v>77</v>
      </c>
      <c r="T8479">
        <v>22165</v>
      </c>
      <c r="U8479">
        <v>24462</v>
      </c>
      <c r="V8479" t="s">
        <v>77</v>
      </c>
    </row>
    <row r="8480" spans="1:22">
      <c r="A8480" t="str">
        <f t="shared" si="1565"/>
        <v>30/10/2025</v>
      </c>
      <c r="B8480" t="str">
        <f t="shared" si="1566"/>
        <v>SAÍDA</v>
      </c>
      <c r="C8480" t="str">
        <f t="shared" si="1568"/>
        <v>PIX</v>
      </c>
      <c r="D8480" t="str">
        <f>"24464"</f>
        <v>24464</v>
      </c>
      <c r="E8480" t="str">
        <f t="shared" si="1562"/>
        <v>1</v>
      </c>
      <c r="F8480" t="str">
        <f t="shared" si="1564"/>
        <v>COM</v>
      </c>
      <c r="G8480" t="str">
        <f>"BRUNO ANDRADE LESSA (952)"</f>
        <v>BRUNO ANDRADE LESSA (952)</v>
      </c>
      <c r="H8480" t="str">
        <f>"Serv.Prest. 20/10/2025 a 26/10/2025 - PIX: CELULAR - CHAVE: (28) 99988-2177"</f>
        <v>Serv.Prest. 20/10/2025 a 26/10/2025 - PIX: CELULAR - CHAVE: (28) 99988-2177</v>
      </c>
      <c r="I8480" t="str">
        <f t="shared" si="1567"/>
        <v>30/10/2025</v>
      </c>
      <c r="J8480" t="str">
        <f t="shared" si="1569"/>
        <v>28/10/2025</v>
      </c>
      <c r="K8480" t="str">
        <f>("30/10/2025")</f>
        <v>30/10/2025</v>
      </c>
      <c r="L8480">
        <v>260</v>
      </c>
      <c r="M8480">
        <v>260</v>
      </c>
      <c r="N8480">
        <v>109</v>
      </c>
      <c r="O8480" t="str">
        <f>"PAGAMENTO DE ENTREGADORES"</f>
        <v>PAGAMENTO DE ENTREGADORES</v>
      </c>
      <c r="P8480">
        <v>260</v>
      </c>
      <c r="S8480" t="str">
        <f>"BANCO C6 (149)"</f>
        <v>BANCO C6 (149)</v>
      </c>
      <c r="T8480">
        <v>22166</v>
      </c>
      <c r="U8480">
        <v>24464</v>
      </c>
      <c r="V8480" t="s">
        <v>77</v>
      </c>
    </row>
    <row r="8481" spans="1:22">
      <c r="A8481" t="str">
        <f t="shared" si="1565"/>
        <v>30/10/2025</v>
      </c>
      <c r="B8481" t="str">
        <f t="shared" si="1566"/>
        <v>SAÍDA</v>
      </c>
      <c r="C8481" t="str">
        <f t="shared" si="1568"/>
        <v>PIX</v>
      </c>
      <c r="D8481" t="str">
        <f>"24464"</f>
        <v>24464</v>
      </c>
      <c r="E8481" t="str">
        <f t="shared" si="1562"/>
        <v>1</v>
      </c>
      <c r="F8481" t="str">
        <f t="shared" si="1564"/>
        <v>COM</v>
      </c>
      <c r="G8481" t="str">
        <f>"BRUNO ANDRADE LESSA (952)"</f>
        <v>BRUNO ANDRADE LESSA (952)</v>
      </c>
      <c r="H8481" t="s">
        <v>2392</v>
      </c>
      <c r="I8481" t="str">
        <f t="shared" si="1567"/>
        <v>30/10/2025</v>
      </c>
      <c r="J8481" t="str">
        <f t="shared" si="1569"/>
        <v>28/10/2025</v>
      </c>
      <c r="K8481">
        <v>45960</v>
      </c>
      <c r="N8481">
        <v>109</v>
      </c>
      <c r="O8481" t="s">
        <v>24</v>
      </c>
      <c r="Q8481">
        <v>260</v>
      </c>
      <c r="R8481" t="str">
        <f>"LBL FARMACIA LTDA (10189)"</f>
        <v>LBL FARMACIA LTDA (10189)</v>
      </c>
      <c r="S8481" t="s">
        <v>77</v>
      </c>
      <c r="T8481">
        <v>22166</v>
      </c>
      <c r="U8481">
        <v>24464</v>
      </c>
      <c r="V8481" t="s">
        <v>77</v>
      </c>
    </row>
    <row r="8482" spans="1:22">
      <c r="A8482" t="str">
        <f t="shared" si="1565"/>
        <v>30/10/2025</v>
      </c>
      <c r="B8482" t="str">
        <f t="shared" si="1566"/>
        <v>SAÍDA</v>
      </c>
      <c r="C8482" t="str">
        <f t="shared" si="1568"/>
        <v>PIX</v>
      </c>
      <c r="D8482" t="str">
        <f>"24465"</f>
        <v>24465</v>
      </c>
      <c r="E8482" t="str">
        <f t="shared" si="1562"/>
        <v>1</v>
      </c>
      <c r="F8482" t="str">
        <f t="shared" si="1564"/>
        <v>COM</v>
      </c>
      <c r="G8482" t="str">
        <f>"YAN FILIPUTI CORA (926)"</f>
        <v>YAN FILIPUTI CORA (926)</v>
      </c>
      <c r="H8482" t="str">
        <f>"Serv.Prest. 20/10/2025 a 26/10/2025 - PIX: CELULAR - CHAVE: (28) 98816-4170"</f>
        <v>Serv.Prest. 20/10/2025 a 26/10/2025 - PIX: CELULAR - CHAVE: (28) 98816-4170</v>
      </c>
      <c r="I8482" t="str">
        <f t="shared" si="1567"/>
        <v>30/10/2025</v>
      </c>
      <c r="J8482" t="str">
        <f t="shared" si="1569"/>
        <v>28/10/2025</v>
      </c>
      <c r="K8482" t="str">
        <f>("30/10/2025")</f>
        <v>30/10/2025</v>
      </c>
      <c r="L8482">
        <v>390</v>
      </c>
      <c r="M8482">
        <v>390</v>
      </c>
      <c r="N8482">
        <v>109</v>
      </c>
      <c r="O8482" t="str">
        <f>"PAGAMENTO DE ENTREGADORES"</f>
        <v>PAGAMENTO DE ENTREGADORES</v>
      </c>
      <c r="P8482">
        <v>390</v>
      </c>
      <c r="S8482" t="str">
        <f>"BANCO C6 (149)"</f>
        <v>BANCO C6 (149)</v>
      </c>
      <c r="T8482">
        <v>22167</v>
      </c>
      <c r="U8482">
        <v>24465</v>
      </c>
      <c r="V8482" t="s">
        <v>77</v>
      </c>
    </row>
    <row r="8483" spans="1:22">
      <c r="A8483" t="str">
        <f t="shared" si="1565"/>
        <v>30/10/2025</v>
      </c>
      <c r="B8483" t="str">
        <f t="shared" si="1566"/>
        <v>SAÍDA</v>
      </c>
      <c r="C8483" t="str">
        <f t="shared" si="1568"/>
        <v>PIX</v>
      </c>
      <c r="D8483" t="str">
        <f>"24465"</f>
        <v>24465</v>
      </c>
      <c r="E8483" t="str">
        <f t="shared" si="1562"/>
        <v>1</v>
      </c>
      <c r="F8483" t="str">
        <f t="shared" si="1564"/>
        <v>COM</v>
      </c>
      <c r="G8483" t="str">
        <f>"YAN FILIPUTI CORA (926)"</f>
        <v>YAN FILIPUTI CORA (926)</v>
      </c>
      <c r="H8483" t="s">
        <v>2393</v>
      </c>
      <c r="I8483" t="str">
        <f t="shared" si="1567"/>
        <v>30/10/2025</v>
      </c>
      <c r="J8483" t="str">
        <f t="shared" si="1569"/>
        <v>28/10/2025</v>
      </c>
      <c r="K8483">
        <v>45960</v>
      </c>
      <c r="N8483">
        <v>109</v>
      </c>
      <c r="O8483" t="s">
        <v>24</v>
      </c>
      <c r="Q8483">
        <v>390</v>
      </c>
      <c r="R8483" t="str">
        <f>"LBL FARMACIA LTDA (10189)"</f>
        <v>LBL FARMACIA LTDA (10189)</v>
      </c>
      <c r="S8483" t="s">
        <v>77</v>
      </c>
      <c r="T8483">
        <v>22167</v>
      </c>
      <c r="U8483">
        <v>24465</v>
      </c>
      <c r="V8483" t="s">
        <v>77</v>
      </c>
    </row>
    <row r="8484" spans="1:22">
      <c r="A8484" t="str">
        <f t="shared" si="1565"/>
        <v>30/10/2025</v>
      </c>
      <c r="B8484" t="str">
        <f t="shared" si="1566"/>
        <v>SAÍDA</v>
      </c>
      <c r="C8484" t="str">
        <f t="shared" si="1568"/>
        <v>PIX</v>
      </c>
      <c r="D8484" t="str">
        <f>"24467"</f>
        <v>24467</v>
      </c>
      <c r="E8484" t="str">
        <f t="shared" ref="E8484:E8509" si="1570">"1"</f>
        <v>1</v>
      </c>
      <c r="F8484" t="str">
        <f t="shared" si="1564"/>
        <v>COM</v>
      </c>
      <c r="G8484" t="str">
        <f>"ALBERTO FARIAS DOS SANTOS JUNIOR (800)"</f>
        <v>ALBERTO FARIAS DOS SANTOS JUNIOR (800)</v>
      </c>
      <c r="H8484" t="str">
        <f>"Serv.Prest. 20/10/2025 a 26/10/2025 - PIX: CELULAR - CHAVE: (71) 99696-7530"</f>
        <v>Serv.Prest. 20/10/2025 a 26/10/2025 - PIX: CELULAR - CHAVE: (71) 99696-7530</v>
      </c>
      <c r="I8484" t="str">
        <f t="shared" si="1567"/>
        <v>30/10/2025</v>
      </c>
      <c r="J8484" t="str">
        <f t="shared" si="1569"/>
        <v>28/10/2025</v>
      </c>
      <c r="K8484" t="str">
        <f>("30/10/2025")</f>
        <v>30/10/2025</v>
      </c>
      <c r="L8484">
        <v>750</v>
      </c>
      <c r="M8484">
        <v>750</v>
      </c>
      <c r="N8484">
        <v>109</v>
      </c>
      <c r="O8484" t="str">
        <f>"PAGAMENTO DE ENTREGADORES"</f>
        <v>PAGAMENTO DE ENTREGADORES</v>
      </c>
      <c r="P8484">
        <v>750</v>
      </c>
      <c r="S8484" t="str">
        <f>"BANCO C6 (149)"</f>
        <v>BANCO C6 (149)</v>
      </c>
      <c r="T8484">
        <v>22168</v>
      </c>
      <c r="U8484">
        <v>24467</v>
      </c>
      <c r="V8484" t="s">
        <v>77</v>
      </c>
    </row>
    <row r="8485" spans="1:22">
      <c r="A8485" t="str">
        <f t="shared" si="1565"/>
        <v>30/10/2025</v>
      </c>
      <c r="B8485" t="str">
        <f t="shared" si="1566"/>
        <v>SAÍDA</v>
      </c>
      <c r="C8485" t="str">
        <f t="shared" si="1568"/>
        <v>PIX</v>
      </c>
      <c r="D8485" t="str">
        <f>"24467"</f>
        <v>24467</v>
      </c>
      <c r="E8485" t="str">
        <f t="shared" si="1570"/>
        <v>1</v>
      </c>
      <c r="F8485" t="str">
        <f t="shared" si="1564"/>
        <v>COM</v>
      </c>
      <c r="G8485" t="str">
        <f>"ALBERTO FARIAS DOS SANTOS JUNIOR (800)"</f>
        <v>ALBERTO FARIAS DOS SANTOS JUNIOR (800)</v>
      </c>
      <c r="H8485" t="s">
        <v>2394</v>
      </c>
      <c r="I8485" t="str">
        <f t="shared" si="1567"/>
        <v>30/10/2025</v>
      </c>
      <c r="J8485" t="str">
        <f t="shared" si="1569"/>
        <v>28/10/2025</v>
      </c>
      <c r="K8485">
        <v>45960</v>
      </c>
      <c r="N8485">
        <v>109</v>
      </c>
      <c r="O8485" t="s">
        <v>24</v>
      </c>
      <c r="Q8485">
        <v>750</v>
      </c>
      <c r="R8485" t="str">
        <f>"DELTA LOJA 2 (10123)"</f>
        <v>DELTA LOJA 2 (10123)</v>
      </c>
      <c r="S8485" t="s">
        <v>77</v>
      </c>
      <c r="T8485">
        <v>22168</v>
      </c>
      <c r="U8485">
        <v>24467</v>
      </c>
      <c r="V8485" t="s">
        <v>77</v>
      </c>
    </row>
    <row r="8486" spans="1:22">
      <c r="A8486" t="str">
        <f t="shared" si="1565"/>
        <v>30/10/2025</v>
      </c>
      <c r="B8486" t="str">
        <f t="shared" si="1566"/>
        <v>SAÍDA</v>
      </c>
      <c r="C8486" t="str">
        <f t="shared" si="1568"/>
        <v>PIX</v>
      </c>
      <c r="D8486" t="str">
        <f>"24468"</f>
        <v>24468</v>
      </c>
      <c r="E8486" t="str">
        <f t="shared" si="1570"/>
        <v>1</v>
      </c>
      <c r="F8486" t="str">
        <f t="shared" si="1564"/>
        <v>COM</v>
      </c>
      <c r="G8486" t="str">
        <f>"EDNUBIA RAMOS ALVES OLIVEIRA (899)"</f>
        <v>EDNUBIA RAMOS ALVES OLIVEIRA (899)</v>
      </c>
      <c r="H8486" t="str">
        <f>"Serv.Prest. 20/10/2025 a 26/10/2025 - PIX: CELULAR - CHAVE: (71) 99214-9256"</f>
        <v>Serv.Prest. 20/10/2025 a 26/10/2025 - PIX: CELULAR - CHAVE: (71) 99214-9256</v>
      </c>
      <c r="I8486" t="str">
        <f t="shared" si="1567"/>
        <v>30/10/2025</v>
      </c>
      <c r="J8486" t="str">
        <f t="shared" si="1569"/>
        <v>28/10/2025</v>
      </c>
      <c r="K8486" t="str">
        <f>("30/10/2025")</f>
        <v>30/10/2025</v>
      </c>
      <c r="L8486">
        <v>780</v>
      </c>
      <c r="M8486">
        <v>780</v>
      </c>
      <c r="N8486">
        <v>109</v>
      </c>
      <c r="O8486" t="str">
        <f>"PAGAMENTO DE ENTREGADORES"</f>
        <v>PAGAMENTO DE ENTREGADORES</v>
      </c>
      <c r="P8486">
        <v>780</v>
      </c>
      <c r="S8486" t="str">
        <f>"BANCO C6 (149)"</f>
        <v>BANCO C6 (149)</v>
      </c>
      <c r="T8486">
        <v>22169</v>
      </c>
      <c r="U8486">
        <v>24468</v>
      </c>
      <c r="V8486" t="s">
        <v>77</v>
      </c>
    </row>
    <row r="8487" spans="1:22">
      <c r="A8487" t="str">
        <f t="shared" si="1565"/>
        <v>30/10/2025</v>
      </c>
      <c r="B8487" t="str">
        <f t="shared" si="1566"/>
        <v>SAÍDA</v>
      </c>
      <c r="C8487" t="str">
        <f t="shared" si="1568"/>
        <v>PIX</v>
      </c>
      <c r="D8487" t="str">
        <f>"24468"</f>
        <v>24468</v>
      </c>
      <c r="E8487" t="str">
        <f t="shared" si="1570"/>
        <v>1</v>
      </c>
      <c r="F8487" t="str">
        <f t="shared" si="1564"/>
        <v>COM</v>
      </c>
      <c r="G8487" t="str">
        <f>"EDNUBIA RAMOS ALVES OLIVEIRA (899)"</f>
        <v>EDNUBIA RAMOS ALVES OLIVEIRA (899)</v>
      </c>
      <c r="H8487" t="s">
        <v>2395</v>
      </c>
      <c r="I8487" t="str">
        <f t="shared" si="1567"/>
        <v>30/10/2025</v>
      </c>
      <c r="J8487" t="str">
        <f t="shared" si="1569"/>
        <v>28/10/2025</v>
      </c>
      <c r="K8487">
        <v>45960</v>
      </c>
      <c r="N8487">
        <v>109</v>
      </c>
      <c r="O8487" t="s">
        <v>24</v>
      </c>
      <c r="Q8487">
        <v>780</v>
      </c>
      <c r="R8487" t="str">
        <f>"DELTA LOJA 2 (10123)"</f>
        <v>DELTA LOJA 2 (10123)</v>
      </c>
      <c r="S8487" t="s">
        <v>77</v>
      </c>
      <c r="T8487">
        <v>22169</v>
      </c>
      <c r="U8487">
        <v>24468</v>
      </c>
      <c r="V8487" t="s">
        <v>77</v>
      </c>
    </row>
    <row r="8488" spans="1:22">
      <c r="A8488" t="str">
        <f t="shared" si="1565"/>
        <v>30/10/2025</v>
      </c>
      <c r="B8488" t="str">
        <f t="shared" si="1566"/>
        <v>SAÍDA</v>
      </c>
      <c r="C8488" t="str">
        <f t="shared" si="1568"/>
        <v>PIX</v>
      </c>
      <c r="D8488" t="str">
        <f>"24469"</f>
        <v>24469</v>
      </c>
      <c r="E8488" t="str">
        <f t="shared" si="1570"/>
        <v>1</v>
      </c>
      <c r="F8488" t="str">
        <f t="shared" si="1564"/>
        <v>COM</v>
      </c>
      <c r="G8488" t="str">
        <f>"EDVAN DA SILVA ALVES (934)"</f>
        <v>EDVAN DA SILVA ALVES (934)</v>
      </c>
      <c r="H8488" t="str">
        <f>"Serv.Prest. 20/10/2025 a 26/10/2025 - PIX: E-MAIL - CHAVE: edvam18.alves@gmail.com"</f>
        <v>Serv.Prest. 20/10/2025 a 26/10/2025 - PIX: E-MAIL - CHAVE: edvam18.alves@gmail.com</v>
      </c>
      <c r="I8488" t="str">
        <f t="shared" si="1567"/>
        <v>30/10/2025</v>
      </c>
      <c r="J8488" t="str">
        <f t="shared" si="1569"/>
        <v>28/10/2025</v>
      </c>
      <c r="K8488" t="str">
        <f>("30/10/2025")</f>
        <v>30/10/2025</v>
      </c>
      <c r="L8488">
        <v>835</v>
      </c>
      <c r="M8488">
        <v>835</v>
      </c>
      <c r="N8488">
        <v>109</v>
      </c>
      <c r="O8488" t="str">
        <f>"PAGAMENTO DE ENTREGADORES"</f>
        <v>PAGAMENTO DE ENTREGADORES</v>
      </c>
      <c r="P8488">
        <v>835</v>
      </c>
      <c r="S8488" t="str">
        <f>"BANCO C6 (149)"</f>
        <v>BANCO C6 (149)</v>
      </c>
      <c r="T8488">
        <v>22170</v>
      </c>
      <c r="U8488">
        <v>24469</v>
      </c>
      <c r="V8488" t="s">
        <v>77</v>
      </c>
    </row>
    <row r="8489" spans="1:22">
      <c r="A8489" t="str">
        <f t="shared" si="1565"/>
        <v>30/10/2025</v>
      </c>
      <c r="B8489" t="str">
        <f t="shared" si="1566"/>
        <v>SAÍDA</v>
      </c>
      <c r="C8489" t="str">
        <f t="shared" si="1568"/>
        <v>PIX</v>
      </c>
      <c r="D8489" t="str">
        <f>"24469"</f>
        <v>24469</v>
      </c>
      <c r="E8489" t="str">
        <f t="shared" si="1570"/>
        <v>1</v>
      </c>
      <c r="F8489" t="str">
        <f t="shared" si="1564"/>
        <v>COM</v>
      </c>
      <c r="G8489" t="str">
        <f>"EDVAN DA SILVA ALVES (934)"</f>
        <v>EDVAN DA SILVA ALVES (934)</v>
      </c>
      <c r="H8489" t="s">
        <v>2396</v>
      </c>
      <c r="I8489" t="str">
        <f t="shared" si="1567"/>
        <v>30/10/2025</v>
      </c>
      <c r="J8489" t="str">
        <f t="shared" si="1569"/>
        <v>28/10/2025</v>
      </c>
      <c r="K8489">
        <v>45960</v>
      </c>
      <c r="N8489">
        <v>109</v>
      </c>
      <c r="O8489" t="s">
        <v>24</v>
      </c>
      <c r="Q8489">
        <v>835</v>
      </c>
      <c r="R8489" t="str">
        <f>"DELTA LOJA 2 (10123)"</f>
        <v>DELTA LOJA 2 (10123)</v>
      </c>
      <c r="S8489" t="s">
        <v>77</v>
      </c>
      <c r="T8489">
        <v>22170</v>
      </c>
      <c r="U8489">
        <v>24469</v>
      </c>
      <c r="V8489" t="s">
        <v>77</v>
      </c>
    </row>
    <row r="8490" spans="1:22">
      <c r="A8490" t="str">
        <f t="shared" si="1565"/>
        <v>30/10/2025</v>
      </c>
      <c r="B8490" t="str">
        <f t="shared" si="1566"/>
        <v>SAÍDA</v>
      </c>
      <c r="C8490" t="str">
        <f t="shared" si="1568"/>
        <v>PIX</v>
      </c>
      <c r="D8490" t="str">
        <f>"24470"</f>
        <v>24470</v>
      </c>
      <c r="E8490" t="str">
        <f t="shared" si="1570"/>
        <v>1</v>
      </c>
      <c r="F8490" t="str">
        <f t="shared" si="1564"/>
        <v>COM</v>
      </c>
      <c r="G8490" t="str">
        <f>"ELIENAI ROSA DO NASCIMENTO (343)"</f>
        <v>ELIENAI ROSA DO NASCIMENTO (343)</v>
      </c>
      <c r="H8490" t="str">
        <f>"Serv.Prest. 20/10/2025 a 26/10/2025 - PIX: CPF - CHAVE: 048.672.645-20"</f>
        <v>Serv.Prest. 20/10/2025 a 26/10/2025 - PIX: CPF - CHAVE: 048.672.645-20</v>
      </c>
      <c r="I8490" t="str">
        <f t="shared" si="1567"/>
        <v>30/10/2025</v>
      </c>
      <c r="J8490" t="str">
        <f t="shared" si="1569"/>
        <v>28/10/2025</v>
      </c>
      <c r="K8490" t="str">
        <f>("30/10/2025")</f>
        <v>30/10/2025</v>
      </c>
      <c r="L8490">
        <v>730</v>
      </c>
      <c r="M8490">
        <v>730</v>
      </c>
      <c r="N8490">
        <v>109</v>
      </c>
      <c r="O8490" t="str">
        <f>"PAGAMENTO DE ENTREGADORES"</f>
        <v>PAGAMENTO DE ENTREGADORES</v>
      </c>
      <c r="P8490">
        <v>730</v>
      </c>
      <c r="S8490" t="str">
        <f>"BANCO C6 (149)"</f>
        <v>BANCO C6 (149)</v>
      </c>
      <c r="T8490">
        <v>22171</v>
      </c>
      <c r="U8490">
        <v>24470</v>
      </c>
      <c r="V8490" t="s">
        <v>77</v>
      </c>
    </row>
    <row r="8491" spans="1:22">
      <c r="A8491" t="str">
        <f t="shared" si="1565"/>
        <v>30/10/2025</v>
      </c>
      <c r="B8491" t="str">
        <f t="shared" si="1566"/>
        <v>SAÍDA</v>
      </c>
      <c r="C8491" t="str">
        <f t="shared" si="1568"/>
        <v>PIX</v>
      </c>
      <c r="D8491" t="str">
        <f>"24470"</f>
        <v>24470</v>
      </c>
      <c r="E8491" t="str">
        <f t="shared" si="1570"/>
        <v>1</v>
      </c>
      <c r="F8491" t="str">
        <f t="shared" si="1564"/>
        <v>COM</v>
      </c>
      <c r="G8491" t="str">
        <f>"ELIENAI ROSA DO NASCIMENTO (343)"</f>
        <v>ELIENAI ROSA DO NASCIMENTO (343)</v>
      </c>
      <c r="H8491" t="s">
        <v>2397</v>
      </c>
      <c r="I8491" t="str">
        <f t="shared" si="1567"/>
        <v>30/10/2025</v>
      </c>
      <c r="J8491" t="str">
        <f t="shared" si="1569"/>
        <v>28/10/2025</v>
      </c>
      <c r="K8491">
        <v>45960</v>
      </c>
      <c r="N8491">
        <v>109</v>
      </c>
      <c r="O8491" t="s">
        <v>24</v>
      </c>
      <c r="Q8491">
        <v>730</v>
      </c>
      <c r="R8491" t="str">
        <f>"DELTA LOJA 2 (10123)"</f>
        <v>DELTA LOJA 2 (10123)</v>
      </c>
      <c r="S8491" t="s">
        <v>77</v>
      </c>
      <c r="T8491">
        <v>22171</v>
      </c>
      <c r="U8491">
        <v>24470</v>
      </c>
      <c r="V8491" t="s">
        <v>77</v>
      </c>
    </row>
    <row r="8492" spans="1:22">
      <c r="A8492" t="str">
        <f t="shared" si="1565"/>
        <v>30/10/2025</v>
      </c>
      <c r="B8492" t="str">
        <f t="shared" si="1566"/>
        <v>SAÍDA</v>
      </c>
      <c r="C8492" t="str">
        <f t="shared" si="1568"/>
        <v>PIX</v>
      </c>
      <c r="D8492" t="str">
        <f>"24471"</f>
        <v>24471</v>
      </c>
      <c r="E8492" t="str">
        <f t="shared" si="1570"/>
        <v>1</v>
      </c>
      <c r="F8492" t="str">
        <f t="shared" si="1564"/>
        <v>COM</v>
      </c>
      <c r="G8492" t="str">
        <f>"JHON CARLOS DOS SANTOS LIMA (995)"</f>
        <v>JHON CARLOS DOS SANTOS LIMA (995)</v>
      </c>
      <c r="H8492" t="str">
        <f>"Serv.Prest. 20/10/2025 a 26/10/2025 - PIX: CELULAR - CHAVE: (71) 98124-7946"</f>
        <v>Serv.Prest. 20/10/2025 a 26/10/2025 - PIX: CELULAR - CHAVE: (71) 98124-7946</v>
      </c>
      <c r="I8492" t="str">
        <f t="shared" si="1567"/>
        <v>30/10/2025</v>
      </c>
      <c r="J8492" t="str">
        <f t="shared" si="1569"/>
        <v>28/10/2025</v>
      </c>
      <c r="K8492" t="str">
        <f>("30/10/2025")</f>
        <v>30/10/2025</v>
      </c>
      <c r="L8492">
        <v>735</v>
      </c>
      <c r="M8492">
        <v>735</v>
      </c>
      <c r="N8492">
        <v>109</v>
      </c>
      <c r="O8492" t="str">
        <f>"PAGAMENTO DE ENTREGADORES"</f>
        <v>PAGAMENTO DE ENTREGADORES</v>
      </c>
      <c r="P8492">
        <v>735</v>
      </c>
      <c r="S8492" t="str">
        <f>"BANCO C6 (149)"</f>
        <v>BANCO C6 (149)</v>
      </c>
      <c r="T8492">
        <v>22172</v>
      </c>
      <c r="U8492">
        <v>24471</v>
      </c>
      <c r="V8492" t="s">
        <v>77</v>
      </c>
    </row>
    <row r="8493" spans="1:22">
      <c r="A8493" t="str">
        <f t="shared" si="1565"/>
        <v>30/10/2025</v>
      </c>
      <c r="B8493" t="str">
        <f t="shared" si="1566"/>
        <v>SAÍDA</v>
      </c>
      <c r="C8493" t="str">
        <f t="shared" si="1568"/>
        <v>PIX</v>
      </c>
      <c r="D8493" t="str">
        <f>"24471"</f>
        <v>24471</v>
      </c>
      <c r="E8493" t="str">
        <f t="shared" si="1570"/>
        <v>1</v>
      </c>
      <c r="F8493" t="str">
        <f t="shared" si="1564"/>
        <v>COM</v>
      </c>
      <c r="G8493" t="str">
        <f>"JHON CARLOS DOS SANTOS LIMA (995)"</f>
        <v>JHON CARLOS DOS SANTOS LIMA (995)</v>
      </c>
      <c r="H8493" t="s">
        <v>2398</v>
      </c>
      <c r="I8493" t="str">
        <f t="shared" si="1567"/>
        <v>30/10/2025</v>
      </c>
      <c r="J8493" t="str">
        <f t="shared" si="1569"/>
        <v>28/10/2025</v>
      </c>
      <c r="K8493">
        <v>45960</v>
      </c>
      <c r="N8493">
        <v>109</v>
      </c>
      <c r="O8493" t="s">
        <v>24</v>
      </c>
      <c r="Q8493">
        <v>735</v>
      </c>
      <c r="R8493" t="str">
        <f>"DELTA LOJA 2 (10123)"</f>
        <v>DELTA LOJA 2 (10123)</v>
      </c>
      <c r="S8493" t="s">
        <v>77</v>
      </c>
      <c r="T8493">
        <v>22172</v>
      </c>
      <c r="U8493">
        <v>24471</v>
      </c>
      <c r="V8493" t="s">
        <v>77</v>
      </c>
    </row>
    <row r="8494" spans="1:22">
      <c r="A8494" t="str">
        <f t="shared" si="1565"/>
        <v>30/10/2025</v>
      </c>
      <c r="B8494" t="str">
        <f t="shared" si="1566"/>
        <v>SAÍDA</v>
      </c>
      <c r="C8494" t="str">
        <f t="shared" si="1568"/>
        <v>PIX</v>
      </c>
      <c r="D8494" t="str">
        <f>"24474"</f>
        <v>24474</v>
      </c>
      <c r="E8494" t="str">
        <f t="shared" si="1570"/>
        <v>1</v>
      </c>
      <c r="F8494" t="str">
        <f t="shared" si="1564"/>
        <v>COM</v>
      </c>
      <c r="G8494" t="str">
        <f>"NILTON ADRIANO SILVA DE JESUS (943)"</f>
        <v>NILTON ADRIANO SILVA DE JESUS (943)</v>
      </c>
      <c r="H8494" t="str">
        <f>"Serv.Prest. 20/10/2025 a 26/10/2025 - PIX: CELULAR - CHAVE: (34) 99772-2954"</f>
        <v>Serv.Prest. 20/10/2025 a 26/10/2025 - PIX: CELULAR - CHAVE: (34) 99772-2954</v>
      </c>
      <c r="I8494" t="str">
        <f t="shared" si="1567"/>
        <v>30/10/2025</v>
      </c>
      <c r="J8494" t="str">
        <f t="shared" si="1569"/>
        <v>28/10/2025</v>
      </c>
      <c r="K8494" t="str">
        <f>("30/10/2025")</f>
        <v>30/10/2025</v>
      </c>
      <c r="L8494">
        <v>990</v>
      </c>
      <c r="M8494">
        <v>990</v>
      </c>
      <c r="N8494">
        <v>109</v>
      </c>
      <c r="O8494" t="str">
        <f>"PAGAMENTO DE ENTREGADORES"</f>
        <v>PAGAMENTO DE ENTREGADORES</v>
      </c>
      <c r="P8494">
        <v>990</v>
      </c>
      <c r="S8494" t="str">
        <f>"BANCO C6 (149)"</f>
        <v>BANCO C6 (149)</v>
      </c>
      <c r="T8494">
        <v>22173</v>
      </c>
      <c r="U8494">
        <v>24474</v>
      </c>
      <c r="V8494" t="s">
        <v>77</v>
      </c>
    </row>
    <row r="8495" spans="1:22">
      <c r="A8495" t="str">
        <f t="shared" si="1565"/>
        <v>30/10/2025</v>
      </c>
      <c r="B8495" t="str">
        <f t="shared" si="1566"/>
        <v>SAÍDA</v>
      </c>
      <c r="C8495" t="str">
        <f t="shared" si="1568"/>
        <v>PIX</v>
      </c>
      <c r="D8495" t="str">
        <f>"24474"</f>
        <v>24474</v>
      </c>
      <c r="E8495" t="str">
        <f t="shared" si="1570"/>
        <v>1</v>
      </c>
      <c r="F8495" t="str">
        <f t="shared" si="1564"/>
        <v>COM</v>
      </c>
      <c r="G8495" t="str">
        <f>"NILTON ADRIANO SILVA DE JESUS (943)"</f>
        <v>NILTON ADRIANO SILVA DE JESUS (943)</v>
      </c>
      <c r="H8495" t="s">
        <v>2399</v>
      </c>
      <c r="I8495" t="str">
        <f t="shared" si="1567"/>
        <v>30/10/2025</v>
      </c>
      <c r="J8495" t="str">
        <f t="shared" si="1569"/>
        <v>28/10/2025</v>
      </c>
      <c r="K8495">
        <v>45960</v>
      </c>
      <c r="N8495">
        <v>109</v>
      </c>
      <c r="O8495" t="s">
        <v>24</v>
      </c>
      <c r="Q8495">
        <v>990</v>
      </c>
      <c r="R8495" t="str">
        <f>"DROGA HONDA (10149)"</f>
        <v>DROGA HONDA (10149)</v>
      </c>
      <c r="S8495" t="s">
        <v>77</v>
      </c>
      <c r="T8495">
        <v>22173</v>
      </c>
      <c r="U8495">
        <v>24474</v>
      </c>
      <c r="V8495" t="s">
        <v>77</v>
      </c>
    </row>
    <row r="8496" spans="1:22">
      <c r="A8496" t="str">
        <f t="shared" si="1565"/>
        <v>30/10/2025</v>
      </c>
      <c r="B8496" t="str">
        <f t="shared" si="1566"/>
        <v>SAÍDA</v>
      </c>
      <c r="C8496" t="str">
        <f t="shared" si="1568"/>
        <v>PIX</v>
      </c>
      <c r="D8496" t="str">
        <f>"24475"</f>
        <v>24475</v>
      </c>
      <c r="E8496" t="str">
        <f t="shared" si="1570"/>
        <v>1</v>
      </c>
      <c r="F8496" t="str">
        <f t="shared" si="1564"/>
        <v>COM</v>
      </c>
      <c r="G8496" t="str">
        <f>"THALYTA DA SILVA SANTOS (1015)"</f>
        <v>THALYTA DA SILVA SANTOS (1015)</v>
      </c>
      <c r="H8496" t="str">
        <f>"Serv.Prest. 20/10/2025 a 26/10/2025 - PIX: CPF - CHAVE: 023.572.936-16"</f>
        <v>Serv.Prest. 20/10/2025 a 26/10/2025 - PIX: CPF - CHAVE: 023.572.936-16</v>
      </c>
      <c r="I8496" t="str">
        <f t="shared" si="1567"/>
        <v>30/10/2025</v>
      </c>
      <c r="J8496" t="str">
        <f t="shared" si="1569"/>
        <v>28/10/2025</v>
      </c>
      <c r="K8496" t="str">
        <f>("30/10/2025")</f>
        <v>30/10/2025</v>
      </c>
      <c r="L8496">
        <v>297</v>
      </c>
      <c r="M8496">
        <v>297</v>
      </c>
      <c r="N8496">
        <v>109</v>
      </c>
      <c r="O8496" t="str">
        <f>"PAGAMENTO DE ENTREGADORES"</f>
        <v>PAGAMENTO DE ENTREGADORES</v>
      </c>
      <c r="P8496">
        <v>297</v>
      </c>
      <c r="S8496" t="str">
        <f>"BANCO C6 (149)"</f>
        <v>BANCO C6 (149)</v>
      </c>
      <c r="T8496">
        <v>22174</v>
      </c>
      <c r="U8496">
        <v>24475</v>
      </c>
      <c r="V8496" t="s">
        <v>77</v>
      </c>
    </row>
    <row r="8497" spans="1:22">
      <c r="A8497" t="str">
        <f t="shared" si="1565"/>
        <v>30/10/2025</v>
      </c>
      <c r="B8497" t="str">
        <f t="shared" si="1566"/>
        <v>SAÍDA</v>
      </c>
      <c r="C8497" t="str">
        <f t="shared" si="1568"/>
        <v>PIX</v>
      </c>
      <c r="D8497" t="str">
        <f>"24475"</f>
        <v>24475</v>
      </c>
      <c r="E8497" t="str">
        <f t="shared" si="1570"/>
        <v>1</v>
      </c>
      <c r="F8497" t="str">
        <f t="shared" si="1564"/>
        <v>COM</v>
      </c>
      <c r="G8497" t="str">
        <f>"THALYTA DA SILVA SANTOS (1015)"</f>
        <v>THALYTA DA SILVA SANTOS (1015)</v>
      </c>
      <c r="H8497" t="s">
        <v>2400</v>
      </c>
      <c r="I8497" t="str">
        <f t="shared" si="1567"/>
        <v>30/10/2025</v>
      </c>
      <c r="J8497" t="str">
        <f t="shared" si="1569"/>
        <v>28/10/2025</v>
      </c>
      <c r="K8497">
        <v>45960</v>
      </c>
      <c r="N8497">
        <v>109</v>
      </c>
      <c r="O8497" t="s">
        <v>24</v>
      </c>
      <c r="Q8497">
        <v>297</v>
      </c>
      <c r="R8497" t="str">
        <f>"DROGA HONDA (10149)"</f>
        <v>DROGA HONDA (10149)</v>
      </c>
      <c r="S8497" t="s">
        <v>77</v>
      </c>
      <c r="T8497">
        <v>22174</v>
      </c>
      <c r="U8497">
        <v>24475</v>
      </c>
      <c r="V8497" t="s">
        <v>77</v>
      </c>
    </row>
    <row r="8498" spans="1:22">
      <c r="A8498" t="str">
        <f t="shared" si="1565"/>
        <v>30/10/2025</v>
      </c>
      <c r="B8498" t="str">
        <f t="shared" si="1566"/>
        <v>SAÍDA</v>
      </c>
      <c r="C8498" t="str">
        <f t="shared" si="1568"/>
        <v>PIX</v>
      </c>
      <c r="D8498" t="str">
        <f>"24478"</f>
        <v>24478</v>
      </c>
      <c r="E8498" t="str">
        <f t="shared" si="1570"/>
        <v>1</v>
      </c>
      <c r="F8498" t="str">
        <f t="shared" si="1564"/>
        <v>COM</v>
      </c>
      <c r="G8498" t="str">
        <f>"BRENO HENRIQUE DE SOUSA (596)"</f>
        <v>BRENO HENRIQUE DE SOUSA (596)</v>
      </c>
      <c r="H8498" t="str">
        <f>"Serv.Prest. 20/10/2025 a 26/10/2025 - PIX: CELULAR - CHAVE: (37) 99146-2630"</f>
        <v>Serv.Prest. 20/10/2025 a 26/10/2025 - PIX: CELULAR - CHAVE: (37) 99146-2630</v>
      </c>
      <c r="I8498" t="str">
        <f t="shared" si="1567"/>
        <v>30/10/2025</v>
      </c>
      <c r="J8498" t="str">
        <f t="shared" ref="J8498:J8509" si="1571">("29/10/2025")</f>
        <v>29/10/2025</v>
      </c>
      <c r="K8498" t="str">
        <f>("30/10/2025")</f>
        <v>30/10/2025</v>
      </c>
      <c r="L8498">
        <v>1080</v>
      </c>
      <c r="M8498">
        <v>1080</v>
      </c>
      <c r="N8498">
        <v>109</v>
      </c>
      <c r="O8498" t="str">
        <f>"PAGAMENTO DE ENTREGADORES"</f>
        <v>PAGAMENTO DE ENTREGADORES</v>
      </c>
      <c r="P8498">
        <v>1080</v>
      </c>
      <c r="S8498" t="str">
        <f>"BANCO C6 (149)"</f>
        <v>BANCO C6 (149)</v>
      </c>
      <c r="T8498">
        <v>22175</v>
      </c>
      <c r="U8498">
        <v>24478</v>
      </c>
      <c r="V8498" t="s">
        <v>77</v>
      </c>
    </row>
    <row r="8499" spans="1:22">
      <c r="A8499" t="str">
        <f t="shared" si="1565"/>
        <v>30/10/2025</v>
      </c>
      <c r="B8499" t="str">
        <f t="shared" si="1566"/>
        <v>SAÍDA</v>
      </c>
      <c r="C8499" t="str">
        <f t="shared" si="1568"/>
        <v>PIX</v>
      </c>
      <c r="D8499" t="str">
        <f>"24478"</f>
        <v>24478</v>
      </c>
      <c r="E8499" t="str">
        <f t="shared" si="1570"/>
        <v>1</v>
      </c>
      <c r="F8499" t="str">
        <f t="shared" si="1564"/>
        <v>COM</v>
      </c>
      <c r="G8499" t="str">
        <f>"BRENO HENRIQUE DE SOUSA (596)"</f>
        <v>BRENO HENRIQUE DE SOUSA (596)</v>
      </c>
      <c r="H8499" t="s">
        <v>2401</v>
      </c>
      <c r="I8499" t="str">
        <f t="shared" si="1567"/>
        <v>30/10/2025</v>
      </c>
      <c r="J8499" t="str">
        <f t="shared" si="1571"/>
        <v>29/10/2025</v>
      </c>
      <c r="K8499">
        <v>45960</v>
      </c>
      <c r="N8499">
        <v>109</v>
      </c>
      <c r="O8499" t="s">
        <v>24</v>
      </c>
      <c r="Q8499">
        <v>1080</v>
      </c>
      <c r="R8499" t="str">
        <f>"DROGARIA POUPA MINAS (ULTRAMINAS) 1 (10181)"</f>
        <v>DROGARIA POUPA MINAS (ULTRAMINAS) 1 (10181)</v>
      </c>
      <c r="S8499" t="s">
        <v>77</v>
      </c>
      <c r="T8499">
        <v>22175</v>
      </c>
      <c r="U8499">
        <v>24478</v>
      </c>
      <c r="V8499" t="s">
        <v>77</v>
      </c>
    </row>
    <row r="8500" spans="1:22">
      <c r="A8500" t="str">
        <f t="shared" si="1565"/>
        <v>30/10/2025</v>
      </c>
      <c r="B8500" t="str">
        <f t="shared" si="1566"/>
        <v>SAÍDA</v>
      </c>
      <c r="C8500" t="str">
        <f t="shared" si="1568"/>
        <v>PIX</v>
      </c>
      <c r="D8500" t="str">
        <f>"24479"</f>
        <v>24479</v>
      </c>
      <c r="E8500" t="str">
        <f t="shared" si="1570"/>
        <v>1</v>
      </c>
      <c r="F8500" t="str">
        <f t="shared" si="1564"/>
        <v>COM</v>
      </c>
      <c r="G8500" t="str">
        <f>"LUIZ PAULO DE OLIVEIRA (712)"</f>
        <v>LUIZ PAULO DE OLIVEIRA (712)</v>
      </c>
      <c r="H8500" t="str">
        <f>"Serv.Prest. 20/10/2025 a 26/10/2025 - PIX: CPF - CHAVE: 090.332.006-19"</f>
        <v>Serv.Prest. 20/10/2025 a 26/10/2025 - PIX: CPF - CHAVE: 090.332.006-19</v>
      </c>
      <c r="I8500" t="str">
        <f t="shared" si="1567"/>
        <v>30/10/2025</v>
      </c>
      <c r="J8500" t="str">
        <f t="shared" si="1571"/>
        <v>29/10/2025</v>
      </c>
      <c r="K8500" t="str">
        <f>("30/10/2025")</f>
        <v>30/10/2025</v>
      </c>
      <c r="L8500">
        <v>1080</v>
      </c>
      <c r="M8500">
        <v>1080</v>
      </c>
      <c r="N8500">
        <v>109</v>
      </c>
      <c r="O8500" t="str">
        <f>"PAGAMENTO DE ENTREGADORES"</f>
        <v>PAGAMENTO DE ENTREGADORES</v>
      </c>
      <c r="P8500">
        <v>1080</v>
      </c>
      <c r="S8500" t="str">
        <f>"BANCO C6 (149)"</f>
        <v>BANCO C6 (149)</v>
      </c>
      <c r="T8500">
        <v>22176</v>
      </c>
      <c r="U8500">
        <v>24479</v>
      </c>
      <c r="V8500" t="s">
        <v>77</v>
      </c>
    </row>
    <row r="8501" spans="1:22">
      <c r="A8501" t="str">
        <f t="shared" si="1565"/>
        <v>30/10/2025</v>
      </c>
      <c r="B8501" t="str">
        <f t="shared" si="1566"/>
        <v>SAÍDA</v>
      </c>
      <c r="C8501" t="str">
        <f t="shared" si="1568"/>
        <v>PIX</v>
      </c>
      <c r="D8501" t="str">
        <f>"24479"</f>
        <v>24479</v>
      </c>
      <c r="E8501" t="str">
        <f t="shared" si="1570"/>
        <v>1</v>
      </c>
      <c r="F8501" t="str">
        <f t="shared" si="1564"/>
        <v>COM</v>
      </c>
      <c r="G8501" t="str">
        <f>"LUIZ PAULO DE OLIVEIRA (712)"</f>
        <v>LUIZ PAULO DE OLIVEIRA (712)</v>
      </c>
      <c r="H8501" t="s">
        <v>2402</v>
      </c>
      <c r="I8501" t="str">
        <f t="shared" si="1567"/>
        <v>30/10/2025</v>
      </c>
      <c r="J8501" t="str">
        <f t="shared" si="1571"/>
        <v>29/10/2025</v>
      </c>
      <c r="K8501">
        <v>45960</v>
      </c>
      <c r="N8501">
        <v>109</v>
      </c>
      <c r="O8501" t="s">
        <v>24</v>
      </c>
      <c r="Q8501">
        <v>1080</v>
      </c>
      <c r="R8501" t="str">
        <f>"DROGARIA POUPA MINAS (ULTRAMINAS) 1 (10181)"</f>
        <v>DROGARIA POUPA MINAS (ULTRAMINAS) 1 (10181)</v>
      </c>
      <c r="S8501" t="s">
        <v>77</v>
      </c>
      <c r="T8501">
        <v>22176</v>
      </c>
      <c r="U8501">
        <v>24479</v>
      </c>
      <c r="V8501" t="s">
        <v>77</v>
      </c>
    </row>
    <row r="8502" spans="1:22">
      <c r="A8502" t="str">
        <f t="shared" si="1565"/>
        <v>30/10/2025</v>
      </c>
      <c r="B8502" t="str">
        <f t="shared" si="1566"/>
        <v>SAÍDA</v>
      </c>
      <c r="C8502" t="str">
        <f t="shared" si="1568"/>
        <v>PIX</v>
      </c>
      <c r="D8502" t="str">
        <f>"24480"</f>
        <v>24480</v>
      </c>
      <c r="E8502" t="str">
        <f t="shared" si="1570"/>
        <v>1</v>
      </c>
      <c r="F8502" t="str">
        <f t="shared" si="1564"/>
        <v>COM</v>
      </c>
      <c r="G8502" t="str">
        <f>"RICHARD HENRIQUE DA SILVA (244)"</f>
        <v>RICHARD HENRIQUE DA SILVA (244)</v>
      </c>
      <c r="H8502" t="str">
        <f>"Serv.Prest. 20/10/2025 a 26/10/2025 - PIX: CELULAR - CHAVE: (37) 99197-6834"</f>
        <v>Serv.Prest. 20/10/2025 a 26/10/2025 - PIX: CELULAR - CHAVE: (37) 99197-6834</v>
      </c>
      <c r="I8502" t="str">
        <f t="shared" si="1567"/>
        <v>30/10/2025</v>
      </c>
      <c r="J8502" t="str">
        <f t="shared" si="1571"/>
        <v>29/10/2025</v>
      </c>
      <c r="K8502" t="str">
        <f>("30/10/2025")</f>
        <v>30/10/2025</v>
      </c>
      <c r="L8502">
        <v>1740</v>
      </c>
      <c r="M8502">
        <v>1740</v>
      </c>
      <c r="N8502">
        <v>109</v>
      </c>
      <c r="O8502" t="str">
        <f>"PAGAMENTO DE ENTREGADORES"</f>
        <v>PAGAMENTO DE ENTREGADORES</v>
      </c>
      <c r="P8502">
        <v>1740</v>
      </c>
      <c r="S8502" t="str">
        <f>"BANCO C6 (149)"</f>
        <v>BANCO C6 (149)</v>
      </c>
      <c r="T8502">
        <v>22177</v>
      </c>
      <c r="U8502">
        <v>24480</v>
      </c>
      <c r="V8502" t="s">
        <v>77</v>
      </c>
    </row>
    <row r="8503" spans="1:22">
      <c r="A8503" t="str">
        <f t="shared" si="1565"/>
        <v>30/10/2025</v>
      </c>
      <c r="B8503" t="str">
        <f t="shared" si="1566"/>
        <v>SAÍDA</v>
      </c>
      <c r="C8503" t="str">
        <f t="shared" si="1568"/>
        <v>PIX</v>
      </c>
      <c r="D8503" t="str">
        <f>"24480"</f>
        <v>24480</v>
      </c>
      <c r="E8503" t="str">
        <f t="shared" si="1570"/>
        <v>1</v>
      </c>
      <c r="F8503" t="str">
        <f t="shared" si="1564"/>
        <v>COM</v>
      </c>
      <c r="G8503" t="str">
        <f>"RICHARD HENRIQUE DA SILVA (244)"</f>
        <v>RICHARD HENRIQUE DA SILVA (244)</v>
      </c>
      <c r="H8503" t="s">
        <v>2403</v>
      </c>
      <c r="I8503" t="str">
        <f t="shared" si="1567"/>
        <v>30/10/2025</v>
      </c>
      <c r="J8503" t="str">
        <f t="shared" si="1571"/>
        <v>29/10/2025</v>
      </c>
      <c r="K8503">
        <v>45960</v>
      </c>
      <c r="N8503">
        <v>109</v>
      </c>
      <c r="O8503" t="s">
        <v>24</v>
      </c>
      <c r="Q8503">
        <v>1740</v>
      </c>
      <c r="R8503" t="str">
        <f>"DROGARIA POUPA MINAS (ULTRAMINAS) 1 (10181)"</f>
        <v>DROGARIA POUPA MINAS (ULTRAMINAS) 1 (10181)</v>
      </c>
      <c r="S8503" t="s">
        <v>77</v>
      </c>
      <c r="T8503">
        <v>22177</v>
      </c>
      <c r="U8503">
        <v>24480</v>
      </c>
      <c r="V8503" t="s">
        <v>77</v>
      </c>
    </row>
    <row r="8504" spans="1:22">
      <c r="A8504" t="str">
        <f t="shared" si="1565"/>
        <v>30/10/2025</v>
      </c>
      <c r="B8504" t="str">
        <f t="shared" si="1566"/>
        <v>SAÍDA</v>
      </c>
      <c r="C8504" t="str">
        <f t="shared" si="1568"/>
        <v>PIX</v>
      </c>
      <c r="D8504" t="str">
        <f>"24481"</f>
        <v>24481</v>
      </c>
      <c r="E8504" t="str">
        <f t="shared" si="1570"/>
        <v>1</v>
      </c>
      <c r="F8504" t="str">
        <f t="shared" si="1564"/>
        <v>COM</v>
      </c>
      <c r="G8504" t="str">
        <f>"ROGERIO AUGUSTO FERREIRA (649)"</f>
        <v>ROGERIO AUGUSTO FERREIRA (649)</v>
      </c>
      <c r="H8504" t="str">
        <f>"Serv.Prest. 20/10/2025 a 26/10/2025 - PIX: CPF - CHAVE: 950.176.406-06"</f>
        <v>Serv.Prest. 20/10/2025 a 26/10/2025 - PIX: CPF - CHAVE: 950.176.406-06</v>
      </c>
      <c r="I8504" t="str">
        <f t="shared" si="1567"/>
        <v>30/10/2025</v>
      </c>
      <c r="J8504" t="str">
        <f t="shared" si="1571"/>
        <v>29/10/2025</v>
      </c>
      <c r="K8504" t="str">
        <f>("30/10/2025")</f>
        <v>30/10/2025</v>
      </c>
      <c r="L8504">
        <v>1080</v>
      </c>
      <c r="M8504">
        <v>1080</v>
      </c>
      <c r="N8504">
        <v>109</v>
      </c>
      <c r="O8504" t="str">
        <f>"PAGAMENTO DE ENTREGADORES"</f>
        <v>PAGAMENTO DE ENTREGADORES</v>
      </c>
      <c r="P8504">
        <v>1080</v>
      </c>
      <c r="S8504" t="str">
        <f>"BANCO C6 (149)"</f>
        <v>BANCO C6 (149)</v>
      </c>
      <c r="T8504">
        <v>22178</v>
      </c>
      <c r="U8504">
        <v>24481</v>
      </c>
      <c r="V8504" t="s">
        <v>77</v>
      </c>
    </row>
    <row r="8505" spans="1:22">
      <c r="A8505" t="str">
        <f t="shared" si="1565"/>
        <v>30/10/2025</v>
      </c>
      <c r="B8505" t="str">
        <f t="shared" si="1566"/>
        <v>SAÍDA</v>
      </c>
      <c r="C8505" t="str">
        <f t="shared" si="1568"/>
        <v>PIX</v>
      </c>
      <c r="D8505" t="str">
        <f>"24481"</f>
        <v>24481</v>
      </c>
      <c r="E8505" t="str">
        <f t="shared" si="1570"/>
        <v>1</v>
      </c>
      <c r="F8505" t="str">
        <f t="shared" ref="F8505:F8528" si="1572">"COM"</f>
        <v>COM</v>
      </c>
      <c r="G8505" t="str">
        <f>"ROGERIO AUGUSTO FERREIRA (649)"</f>
        <v>ROGERIO AUGUSTO FERREIRA (649)</v>
      </c>
      <c r="H8505" t="s">
        <v>2404</v>
      </c>
      <c r="I8505" t="str">
        <f t="shared" si="1567"/>
        <v>30/10/2025</v>
      </c>
      <c r="J8505" t="str">
        <f t="shared" si="1571"/>
        <v>29/10/2025</v>
      </c>
      <c r="K8505">
        <v>45960</v>
      </c>
      <c r="N8505">
        <v>109</v>
      </c>
      <c r="O8505" t="s">
        <v>24</v>
      </c>
      <c r="Q8505">
        <v>1080</v>
      </c>
      <c r="R8505" t="str">
        <f>"DROGARIA POUPA MINAS (ULTRAMINAS) 1 (10181)"</f>
        <v>DROGARIA POUPA MINAS (ULTRAMINAS) 1 (10181)</v>
      </c>
      <c r="S8505" t="s">
        <v>77</v>
      </c>
      <c r="T8505">
        <v>22178</v>
      </c>
      <c r="U8505">
        <v>24481</v>
      </c>
      <c r="V8505" t="s">
        <v>77</v>
      </c>
    </row>
    <row r="8506" spans="1:22">
      <c r="A8506" t="str">
        <f t="shared" si="1565"/>
        <v>30/10/2025</v>
      </c>
      <c r="B8506" t="str">
        <f t="shared" si="1566"/>
        <v>SAÍDA</v>
      </c>
      <c r="C8506" t="str">
        <f t="shared" si="1568"/>
        <v>PIX</v>
      </c>
      <c r="D8506" t="str">
        <f>"24482"</f>
        <v>24482</v>
      </c>
      <c r="E8506" t="str">
        <f t="shared" si="1570"/>
        <v>1</v>
      </c>
      <c r="F8506" t="str">
        <f t="shared" si="1572"/>
        <v>COM</v>
      </c>
      <c r="G8506" t="str">
        <f>"THALES VINÍCIUS RODRIGUES DE OLIVEIRA (704)"</f>
        <v>THALES VINÍCIUS RODRIGUES DE OLIVEIRA (704)</v>
      </c>
      <c r="H8506" t="str">
        <f>"Serv.Prest. 20/10/2025 a 26/10/2025 - PIX: CELULAR - CHAVE: (37) 99138-1777"</f>
        <v>Serv.Prest. 20/10/2025 a 26/10/2025 - PIX: CELULAR - CHAVE: (37) 99138-1777</v>
      </c>
      <c r="I8506" t="str">
        <f t="shared" si="1567"/>
        <v>30/10/2025</v>
      </c>
      <c r="J8506" t="str">
        <f t="shared" si="1571"/>
        <v>29/10/2025</v>
      </c>
      <c r="K8506" t="str">
        <f>("30/10/2025")</f>
        <v>30/10/2025</v>
      </c>
      <c r="L8506">
        <v>990</v>
      </c>
      <c r="M8506">
        <v>990</v>
      </c>
      <c r="N8506">
        <v>109</v>
      </c>
      <c r="O8506" t="str">
        <f>"PAGAMENTO DE ENTREGADORES"</f>
        <v>PAGAMENTO DE ENTREGADORES</v>
      </c>
      <c r="P8506">
        <v>990</v>
      </c>
      <c r="S8506" t="str">
        <f>"BANCO C6 (149)"</f>
        <v>BANCO C6 (149)</v>
      </c>
      <c r="T8506">
        <v>22179</v>
      </c>
      <c r="U8506">
        <v>24482</v>
      </c>
      <c r="V8506" t="s">
        <v>77</v>
      </c>
    </row>
    <row r="8507" spans="1:22">
      <c r="A8507" t="str">
        <f t="shared" si="1565"/>
        <v>30/10/2025</v>
      </c>
      <c r="B8507" t="str">
        <f t="shared" si="1566"/>
        <v>SAÍDA</v>
      </c>
      <c r="C8507" t="str">
        <f t="shared" si="1568"/>
        <v>PIX</v>
      </c>
      <c r="D8507" t="str">
        <f>"24482"</f>
        <v>24482</v>
      </c>
      <c r="E8507" t="str">
        <f t="shared" si="1570"/>
        <v>1</v>
      </c>
      <c r="F8507" t="str">
        <f t="shared" si="1572"/>
        <v>COM</v>
      </c>
      <c r="G8507" t="str">
        <f>"THALES VINÍCIUS RODRIGUES DE OLIVEIRA (704)"</f>
        <v>THALES VINÍCIUS RODRIGUES DE OLIVEIRA (704)</v>
      </c>
      <c r="H8507" t="s">
        <v>2405</v>
      </c>
      <c r="I8507" t="str">
        <f t="shared" si="1567"/>
        <v>30/10/2025</v>
      </c>
      <c r="J8507" t="str">
        <f t="shared" si="1571"/>
        <v>29/10/2025</v>
      </c>
      <c r="K8507">
        <v>45960</v>
      </c>
      <c r="N8507">
        <v>109</v>
      </c>
      <c r="O8507" t="s">
        <v>24</v>
      </c>
      <c r="Q8507">
        <v>990</v>
      </c>
      <c r="R8507" t="str">
        <f>"DROGARIA POUPA MINAS (ULTRAMINAS) 1 (10181)"</f>
        <v>DROGARIA POUPA MINAS (ULTRAMINAS) 1 (10181)</v>
      </c>
      <c r="S8507" t="s">
        <v>77</v>
      </c>
      <c r="T8507">
        <v>22179</v>
      </c>
      <c r="U8507">
        <v>24482</v>
      </c>
      <c r="V8507" t="s">
        <v>77</v>
      </c>
    </row>
    <row r="8508" spans="1:22">
      <c r="A8508" t="str">
        <f t="shared" si="1565"/>
        <v>30/10/2025</v>
      </c>
      <c r="B8508" t="str">
        <f t="shared" si="1566"/>
        <v>SAÍDA</v>
      </c>
      <c r="C8508" t="str">
        <f t="shared" si="1568"/>
        <v>PIX</v>
      </c>
      <c r="D8508" t="str">
        <f>"24483"</f>
        <v>24483</v>
      </c>
      <c r="E8508" t="str">
        <f t="shared" si="1570"/>
        <v>1</v>
      </c>
      <c r="F8508" t="str">
        <f t="shared" si="1572"/>
        <v>COM</v>
      </c>
      <c r="G8508" t="str">
        <f>"TIAGO VIEIRA (372)"</f>
        <v>TIAGO VIEIRA (372)</v>
      </c>
      <c r="H8508" t="str">
        <f>"Serv.Prest. 20/10/2025 a 26/10/2025 - PIX: CELULAR - CHAVE: (37) 98841-8571"</f>
        <v>Serv.Prest. 20/10/2025 a 26/10/2025 - PIX: CELULAR - CHAVE: (37) 98841-8571</v>
      </c>
      <c r="I8508" t="str">
        <f t="shared" si="1567"/>
        <v>30/10/2025</v>
      </c>
      <c r="J8508" t="str">
        <f t="shared" si="1571"/>
        <v>29/10/2025</v>
      </c>
      <c r="K8508" t="str">
        <f>("30/10/2025")</f>
        <v>30/10/2025</v>
      </c>
      <c r="L8508">
        <v>540</v>
      </c>
      <c r="M8508">
        <v>540</v>
      </c>
      <c r="N8508">
        <v>109</v>
      </c>
      <c r="O8508" t="str">
        <f>"PAGAMENTO DE ENTREGADORES"</f>
        <v>PAGAMENTO DE ENTREGADORES</v>
      </c>
      <c r="P8508">
        <v>540</v>
      </c>
      <c r="S8508" t="str">
        <f>"BANCO C6 (149)"</f>
        <v>BANCO C6 (149)</v>
      </c>
      <c r="T8508">
        <v>22180</v>
      </c>
      <c r="U8508">
        <v>24483</v>
      </c>
      <c r="V8508" t="s">
        <v>77</v>
      </c>
    </row>
    <row r="8509" spans="1:22">
      <c r="A8509" t="str">
        <f t="shared" si="1565"/>
        <v>30/10/2025</v>
      </c>
      <c r="B8509" t="str">
        <f t="shared" si="1566"/>
        <v>SAÍDA</v>
      </c>
      <c r="C8509" t="str">
        <f t="shared" si="1568"/>
        <v>PIX</v>
      </c>
      <c r="D8509" t="str">
        <f>"24483"</f>
        <v>24483</v>
      </c>
      <c r="E8509" t="str">
        <f t="shared" si="1570"/>
        <v>1</v>
      </c>
      <c r="F8509" t="str">
        <f t="shared" si="1572"/>
        <v>COM</v>
      </c>
      <c r="G8509" t="str">
        <f>"TIAGO VIEIRA (372)"</f>
        <v>TIAGO VIEIRA (372)</v>
      </c>
      <c r="H8509" t="s">
        <v>2406</v>
      </c>
      <c r="I8509" t="str">
        <f t="shared" si="1567"/>
        <v>30/10/2025</v>
      </c>
      <c r="J8509" t="str">
        <f t="shared" si="1571"/>
        <v>29/10/2025</v>
      </c>
      <c r="K8509">
        <v>45960</v>
      </c>
      <c r="N8509">
        <v>109</v>
      </c>
      <c r="O8509" t="s">
        <v>24</v>
      </c>
      <c r="Q8509">
        <v>540</v>
      </c>
      <c r="R8509" t="str">
        <f>"DROGARIA POUPA MINAS (ULTRAMINAS) 1 (10181)"</f>
        <v>DROGARIA POUPA MINAS (ULTRAMINAS) 1 (10181)</v>
      </c>
      <c r="S8509" t="s">
        <v>77</v>
      </c>
      <c r="T8509">
        <v>22180</v>
      </c>
      <c r="U8509">
        <v>24483</v>
      </c>
      <c r="V8509" t="s">
        <v>77</v>
      </c>
    </row>
    <row r="8510" spans="1:22">
      <c r="A8510" t="str">
        <f t="shared" si="1565"/>
        <v>30/10/2025</v>
      </c>
      <c r="B8510" t="str">
        <f t="shared" si="1566"/>
        <v>SAÍDA</v>
      </c>
      <c r="C8510" t="str">
        <f t="shared" si="1568"/>
        <v>PIX</v>
      </c>
      <c r="D8510" t="str">
        <f>"24429"</f>
        <v>24429</v>
      </c>
      <c r="E8510" t="str">
        <f t="shared" ref="E8510:E8517" si="1573">"2"</f>
        <v>2</v>
      </c>
      <c r="F8510" t="str">
        <f t="shared" si="1572"/>
        <v>COM</v>
      </c>
      <c r="G8510" t="str">
        <f>"ALLAN SILVA DAMACENA (790)"</f>
        <v>ALLAN SILVA DAMACENA (790)</v>
      </c>
      <c r="H8510" t="str">
        <f>"ADINATAMENTO ENTREGAS DIA 27/10/2025 - PIX: CELULAR - CHAVE: (19) 98944-4977"</f>
        <v>ADINATAMENTO ENTREGAS DIA 27/10/2025 - PIX: CELULAR - CHAVE: (19) 98944-4977</v>
      </c>
      <c r="I8510" t="str">
        <f t="shared" si="1567"/>
        <v>30/10/2025</v>
      </c>
      <c r="J8510" t="str">
        <f>("27/10/2025")</f>
        <v>27/10/2025</v>
      </c>
      <c r="K8510" t="str">
        <f>("30/10/2025")</f>
        <v>30/10/2025</v>
      </c>
      <c r="L8510">
        <v>182</v>
      </c>
      <c r="M8510">
        <v>182</v>
      </c>
      <c r="N8510">
        <v>5000</v>
      </c>
      <c r="O8510" t="str">
        <f>"SOLICITACAO DE ADIANTAMENTO"</f>
        <v>SOLICITACAO DE ADIANTAMENTO</v>
      </c>
      <c r="P8510">
        <v>182</v>
      </c>
      <c r="S8510" t="str">
        <f>"BANCO C6 (149)"</f>
        <v>BANCO C6 (149)</v>
      </c>
      <c r="T8510">
        <v>22181</v>
      </c>
      <c r="U8510">
        <v>24485</v>
      </c>
      <c r="V8510" t="s">
        <v>77</v>
      </c>
    </row>
    <row r="8511" spans="1:22">
      <c r="A8511" t="str">
        <f t="shared" si="1565"/>
        <v>30/10/2025</v>
      </c>
      <c r="B8511" t="str">
        <f t="shared" si="1566"/>
        <v>SAÍDA</v>
      </c>
      <c r="C8511" t="str">
        <f t="shared" si="1568"/>
        <v>PIX</v>
      </c>
      <c r="D8511" t="str">
        <f>"24429"</f>
        <v>24429</v>
      </c>
      <c r="E8511" t="str">
        <f t="shared" si="1573"/>
        <v>2</v>
      </c>
      <c r="F8511" t="str">
        <f t="shared" si="1572"/>
        <v>COM</v>
      </c>
      <c r="G8511" t="str">
        <f>"ALLAN SILVA DAMACENA (790)"</f>
        <v>ALLAN SILVA DAMACENA (790)</v>
      </c>
      <c r="H8511" t="s">
        <v>2407</v>
      </c>
      <c r="I8511" t="str">
        <f t="shared" si="1567"/>
        <v>30/10/2025</v>
      </c>
      <c r="J8511" t="str">
        <f>("27/10/2025")</f>
        <v>27/10/2025</v>
      </c>
      <c r="K8511">
        <v>45960</v>
      </c>
      <c r="N8511">
        <v>5000</v>
      </c>
      <c r="O8511" t="s">
        <v>86</v>
      </c>
      <c r="Q8511">
        <v>182</v>
      </c>
      <c r="R8511" t="str">
        <f>"ALLAN SILVA DAMACENA (790)"</f>
        <v>ALLAN SILVA DAMACENA (790)</v>
      </c>
      <c r="S8511" t="s">
        <v>77</v>
      </c>
      <c r="T8511">
        <v>22181</v>
      </c>
      <c r="U8511">
        <v>24485</v>
      </c>
      <c r="V8511" t="s">
        <v>77</v>
      </c>
    </row>
    <row r="8512" spans="1:22">
      <c r="A8512" t="str">
        <f t="shared" si="1565"/>
        <v>30/10/2025</v>
      </c>
      <c r="B8512" t="str">
        <f t="shared" si="1566"/>
        <v>SAÍDA</v>
      </c>
      <c r="C8512" t="str">
        <f t="shared" si="1568"/>
        <v>PIX</v>
      </c>
      <c r="D8512" t="str">
        <f>"24423"</f>
        <v>24423</v>
      </c>
      <c r="E8512" t="str">
        <f t="shared" si="1573"/>
        <v>2</v>
      </c>
      <c r="F8512" t="str">
        <f t="shared" si="1572"/>
        <v>COM</v>
      </c>
      <c r="G8512" t="str">
        <f>"JAMERSON SOUZA LOPES (749)"</f>
        <v>JAMERSON SOUZA LOPES (749)</v>
      </c>
      <c r="H8512" t="str">
        <f>"DIARIAS VIAGEM PARA UBERABA - PIX: CPF - CHAVE: 423.098.018-36"</f>
        <v>DIARIAS VIAGEM PARA UBERABA - PIX: CPF - CHAVE: 423.098.018-36</v>
      </c>
      <c r="I8512" t="str">
        <f t="shared" si="1567"/>
        <v>30/10/2025</v>
      </c>
      <c r="J8512" t="str">
        <f>("27/10/2025")</f>
        <v>27/10/2025</v>
      </c>
      <c r="K8512" t="str">
        <f>("30/10/2025")</f>
        <v>30/10/2025</v>
      </c>
      <c r="L8512">
        <v>450</v>
      </c>
      <c r="M8512">
        <v>450</v>
      </c>
      <c r="N8512">
        <v>109</v>
      </c>
      <c r="O8512" t="str">
        <f>"PAGAMENTO DE ENTREGADORES"</f>
        <v>PAGAMENTO DE ENTREGADORES</v>
      </c>
      <c r="P8512">
        <v>450</v>
      </c>
      <c r="S8512" t="str">
        <f>"BANCO C6 (149)"</f>
        <v>BANCO C6 (149)</v>
      </c>
      <c r="T8512">
        <v>22182</v>
      </c>
      <c r="U8512">
        <v>24492</v>
      </c>
      <c r="V8512" t="s">
        <v>77</v>
      </c>
    </row>
    <row r="8513" spans="1:22">
      <c r="A8513" t="str">
        <f t="shared" si="1565"/>
        <v>30/10/2025</v>
      </c>
      <c r="B8513" t="str">
        <f t="shared" si="1566"/>
        <v>SAÍDA</v>
      </c>
      <c r="C8513" t="str">
        <f t="shared" si="1568"/>
        <v>PIX</v>
      </c>
      <c r="D8513" t="str">
        <f>"24423"</f>
        <v>24423</v>
      </c>
      <c r="E8513" t="str">
        <f t="shared" si="1573"/>
        <v>2</v>
      </c>
      <c r="F8513" t="str">
        <f t="shared" si="1572"/>
        <v>COM</v>
      </c>
      <c r="G8513" t="str">
        <f>"JAMERSON SOUZA LOPES (749)"</f>
        <v>JAMERSON SOUZA LOPES (749)</v>
      </c>
      <c r="H8513" t="s">
        <v>2408</v>
      </c>
      <c r="I8513" t="str">
        <f t="shared" si="1567"/>
        <v>30/10/2025</v>
      </c>
      <c r="J8513" t="str">
        <f>("27/10/2025")</f>
        <v>27/10/2025</v>
      </c>
      <c r="K8513">
        <v>45960</v>
      </c>
      <c r="N8513">
        <v>109</v>
      </c>
      <c r="O8513" t="s">
        <v>24</v>
      </c>
      <c r="Q8513">
        <v>450</v>
      </c>
      <c r="R8513" t="str">
        <f>"DROGALIDER 25 (10246)"</f>
        <v>DROGALIDER 25 (10246)</v>
      </c>
      <c r="S8513" t="s">
        <v>77</v>
      </c>
      <c r="T8513">
        <v>22182</v>
      </c>
      <c r="U8513">
        <v>24492</v>
      </c>
      <c r="V8513" t="s">
        <v>77</v>
      </c>
    </row>
    <row r="8514" spans="1:22">
      <c r="A8514" t="str">
        <f t="shared" si="1565"/>
        <v>30/10/2025</v>
      </c>
      <c r="B8514" t="str">
        <f t="shared" si="1566"/>
        <v>SAÍDA</v>
      </c>
      <c r="C8514" t="str">
        <f t="shared" si="1568"/>
        <v>PIX</v>
      </c>
      <c r="D8514" t="str">
        <f>"24010"</f>
        <v>24010</v>
      </c>
      <c r="E8514" t="str">
        <f t="shared" si="1573"/>
        <v>2</v>
      </c>
      <c r="F8514" t="str">
        <f t="shared" si="1572"/>
        <v>COM</v>
      </c>
      <c r="G8514" t="str">
        <f>"JEFERSON ANDRADE FERREIRA (165)"</f>
        <v>JEFERSON ANDRADE FERREIRA (165)</v>
      </c>
      <c r="H8514" t="str">
        <f>"DIARIA 25/10/2025 - PIX: CPF - CHAVE: 126.873.296-65"</f>
        <v>DIARIA 25/10/2025 - PIX: CPF - CHAVE: 126.873.296-65</v>
      </c>
      <c r="I8514" t="str">
        <f t="shared" si="1567"/>
        <v>30/10/2025</v>
      </c>
      <c r="J8514" t="str">
        <f>("21/10/2025")</f>
        <v>21/10/2025</v>
      </c>
      <c r="K8514" t="str">
        <f>("30/10/2025")</f>
        <v>30/10/2025</v>
      </c>
      <c r="L8514">
        <v>180</v>
      </c>
      <c r="M8514">
        <v>180</v>
      </c>
      <c r="N8514">
        <v>5000</v>
      </c>
      <c r="O8514" t="str">
        <f>"SOLICITACAO DE ADIANTAMENTO"</f>
        <v>SOLICITACAO DE ADIANTAMENTO</v>
      </c>
      <c r="P8514">
        <v>180</v>
      </c>
      <c r="S8514" t="str">
        <f>"BANCO C6 (149)"</f>
        <v>BANCO C6 (149)</v>
      </c>
      <c r="T8514">
        <v>22183</v>
      </c>
      <c r="U8514">
        <v>24498</v>
      </c>
      <c r="V8514" t="s">
        <v>77</v>
      </c>
    </row>
    <row r="8515" spans="1:22">
      <c r="A8515" t="str">
        <f t="shared" si="1565"/>
        <v>30/10/2025</v>
      </c>
      <c r="B8515" t="str">
        <f t="shared" si="1566"/>
        <v>SAÍDA</v>
      </c>
      <c r="C8515" t="str">
        <f t="shared" si="1568"/>
        <v>PIX</v>
      </c>
      <c r="D8515" t="str">
        <f>"24010"</f>
        <v>24010</v>
      </c>
      <c r="E8515" t="str">
        <f t="shared" si="1573"/>
        <v>2</v>
      </c>
      <c r="F8515" t="str">
        <f t="shared" si="1572"/>
        <v>COM</v>
      </c>
      <c r="G8515" t="str">
        <f>"JEFERSON ANDRADE FERREIRA (165)"</f>
        <v>JEFERSON ANDRADE FERREIRA (165)</v>
      </c>
      <c r="H8515" t="s">
        <v>2409</v>
      </c>
      <c r="I8515" t="str">
        <f t="shared" si="1567"/>
        <v>30/10/2025</v>
      </c>
      <c r="J8515" t="str">
        <f>("21/10/2025")</f>
        <v>21/10/2025</v>
      </c>
      <c r="K8515">
        <v>45960</v>
      </c>
      <c r="N8515">
        <v>5000</v>
      </c>
      <c r="O8515" t="s">
        <v>86</v>
      </c>
      <c r="Q8515">
        <v>180</v>
      </c>
      <c r="R8515" t="str">
        <f>"JEFERSON ANDRADE FERREIRA (165)"</f>
        <v>JEFERSON ANDRADE FERREIRA (165)</v>
      </c>
      <c r="S8515" t="s">
        <v>77</v>
      </c>
      <c r="T8515">
        <v>22183</v>
      </c>
      <c r="U8515">
        <v>24498</v>
      </c>
      <c r="V8515" t="s">
        <v>77</v>
      </c>
    </row>
    <row r="8516" spans="1:22">
      <c r="A8516" t="str">
        <f t="shared" si="1565"/>
        <v>30/10/2025</v>
      </c>
      <c r="B8516" t="str">
        <f t="shared" si="1566"/>
        <v>SAÍDA</v>
      </c>
      <c r="C8516" t="str">
        <f t="shared" si="1568"/>
        <v>PIX</v>
      </c>
      <c r="D8516" t="str">
        <f>"23999"</f>
        <v>23999</v>
      </c>
      <c r="E8516" t="str">
        <f t="shared" si="1573"/>
        <v>2</v>
      </c>
      <c r="F8516" t="str">
        <f t="shared" si="1572"/>
        <v>COM</v>
      </c>
      <c r="G8516" t="str">
        <f>"FABRICIO RAMON SOARES SANTOS (645)"</f>
        <v>FABRICIO RAMON SOARES SANTOS (645)</v>
      </c>
      <c r="H8516" t="str">
        <f>"DIARIA DIA 26/10/2025 - PIX: CELULAR - CHAVE: (31) 98483-3242"</f>
        <v>DIARIA DIA 26/10/2025 - PIX: CELULAR - CHAVE: (31) 98483-3242</v>
      </c>
      <c r="I8516" t="str">
        <f t="shared" si="1567"/>
        <v>30/10/2025</v>
      </c>
      <c r="J8516" t="str">
        <f>("21/10/2025")</f>
        <v>21/10/2025</v>
      </c>
      <c r="K8516" t="str">
        <f>("30/10/2025")</f>
        <v>30/10/2025</v>
      </c>
      <c r="L8516">
        <v>180</v>
      </c>
      <c r="M8516">
        <v>180</v>
      </c>
      <c r="N8516">
        <v>5000</v>
      </c>
      <c r="O8516" t="str">
        <f>"SOLICITACAO DE ADIANTAMENTO"</f>
        <v>SOLICITACAO DE ADIANTAMENTO</v>
      </c>
      <c r="P8516">
        <v>180</v>
      </c>
      <c r="S8516" t="str">
        <f>"BANCO C6 (149)"</f>
        <v>BANCO C6 (149)</v>
      </c>
      <c r="T8516">
        <v>22184</v>
      </c>
      <c r="U8516">
        <v>24500</v>
      </c>
      <c r="V8516" t="s">
        <v>77</v>
      </c>
    </row>
    <row r="8517" spans="1:22">
      <c r="A8517" t="str">
        <f t="shared" si="1565"/>
        <v>30/10/2025</v>
      </c>
      <c r="B8517" t="str">
        <f t="shared" si="1566"/>
        <v>SAÍDA</v>
      </c>
      <c r="C8517" t="str">
        <f t="shared" si="1568"/>
        <v>PIX</v>
      </c>
      <c r="D8517" t="str">
        <f>"23999"</f>
        <v>23999</v>
      </c>
      <c r="E8517" t="str">
        <f t="shared" si="1573"/>
        <v>2</v>
      </c>
      <c r="F8517" t="str">
        <f t="shared" si="1572"/>
        <v>COM</v>
      </c>
      <c r="G8517" t="str">
        <f>"FABRICIO RAMON SOARES SANTOS (645)"</f>
        <v>FABRICIO RAMON SOARES SANTOS (645)</v>
      </c>
      <c r="H8517" t="s">
        <v>2410</v>
      </c>
      <c r="I8517" t="str">
        <f t="shared" si="1567"/>
        <v>30/10/2025</v>
      </c>
      <c r="J8517" t="str">
        <f>("21/10/2025")</f>
        <v>21/10/2025</v>
      </c>
      <c r="K8517">
        <v>45960</v>
      </c>
      <c r="N8517">
        <v>5000</v>
      </c>
      <c r="O8517" t="s">
        <v>86</v>
      </c>
      <c r="Q8517">
        <v>180</v>
      </c>
      <c r="R8517" t="str">
        <f>"FABRICIO RAMON SOARES SANTOS (645)"</f>
        <v>FABRICIO RAMON SOARES SANTOS (645)</v>
      </c>
      <c r="S8517" t="s">
        <v>77</v>
      </c>
      <c r="T8517">
        <v>22184</v>
      </c>
      <c r="U8517">
        <v>24500</v>
      </c>
      <c r="V8517" t="s">
        <v>77</v>
      </c>
    </row>
    <row r="8518" spans="1:22">
      <c r="A8518" t="str">
        <f t="shared" si="1565"/>
        <v>30/10/2025</v>
      </c>
      <c r="B8518" t="str">
        <f t="shared" ref="B8518:B8528" si="1574">"ENTRADA"</f>
        <v>ENTRADA</v>
      </c>
      <c r="C8518" t="str">
        <f t="shared" ref="C8518:C8528" si="1575">"NFSE"</f>
        <v>NFSE</v>
      </c>
      <c r="D8518" t="str">
        <f>"3576"</f>
        <v>3576</v>
      </c>
      <c r="E8518" t="str">
        <f t="shared" ref="E8518:E8528" si="1576">"1"</f>
        <v>1</v>
      </c>
      <c r="F8518" t="str">
        <f t="shared" si="1572"/>
        <v>COM</v>
      </c>
      <c r="G8518" t="str">
        <f>"PENSE FARMA 22 (10198)"</f>
        <v>PENSE FARMA 22 (10198)</v>
      </c>
      <c r="H8518" t="str">
        <f>"Serv.Prest. 20/10/2025 a 26/10/2025 - RPS: 1452 - NFSe: 3576"</f>
        <v>Serv.Prest. 20/10/2025 a 26/10/2025 - RPS: 1452 - NFSe: 3576</v>
      </c>
      <c r="I8518" t="str">
        <f t="shared" si="1567"/>
        <v>30/10/2025</v>
      </c>
      <c r="J8518" t="str">
        <f t="shared" ref="J8518:J8528" si="1577">("27/10/2025")</f>
        <v>27/10/2025</v>
      </c>
      <c r="K8518" t="str">
        <f>("30/10/2025")</f>
        <v>30/10/2025</v>
      </c>
      <c r="L8518">
        <v>2550</v>
      </c>
      <c r="M8518">
        <v>2550</v>
      </c>
      <c r="N8518">
        <v>303</v>
      </c>
      <c r="O8518" t="str">
        <f>"RECEITAS COM ENTREGAS"</f>
        <v>RECEITAS COM ENTREGAS</v>
      </c>
      <c r="P8518">
        <v>2550</v>
      </c>
      <c r="S8518" t="str">
        <f>"RECEITAS COM ENTREGAS (303)"</f>
        <v>RECEITAS COM ENTREGAS (303)</v>
      </c>
      <c r="T8518">
        <v>22525</v>
      </c>
      <c r="U8518">
        <v>24393</v>
      </c>
      <c r="V8518" t="s">
        <v>22</v>
      </c>
    </row>
    <row r="8519" spans="1:22">
      <c r="A8519" t="str">
        <f t="shared" si="1565"/>
        <v>30/10/2025</v>
      </c>
      <c r="B8519" t="str">
        <f t="shared" si="1574"/>
        <v>ENTRADA</v>
      </c>
      <c r="C8519" t="str">
        <f t="shared" si="1575"/>
        <v>NFSE</v>
      </c>
      <c r="D8519" t="str">
        <f>"3576"</f>
        <v>3576</v>
      </c>
      <c r="E8519" t="str">
        <f t="shared" si="1576"/>
        <v>1</v>
      </c>
      <c r="F8519" t="str">
        <f t="shared" si="1572"/>
        <v>COM</v>
      </c>
      <c r="G8519" t="str">
        <f>"PENSE FARMA 22 (10198)"</f>
        <v>PENSE FARMA 22 (10198)</v>
      </c>
      <c r="H8519" t="s">
        <v>2411</v>
      </c>
      <c r="I8519" t="str">
        <f t="shared" si="1567"/>
        <v>30/10/2025</v>
      </c>
      <c r="J8519" t="str">
        <f t="shared" si="1577"/>
        <v>27/10/2025</v>
      </c>
      <c r="K8519">
        <v>45960</v>
      </c>
      <c r="N8519">
        <v>303</v>
      </c>
      <c r="O8519" t="s">
        <v>69</v>
      </c>
      <c r="Q8519">
        <v>2550</v>
      </c>
      <c r="R8519" t="str">
        <f>"PENSE FARMA 22 (10198)"</f>
        <v>PENSE FARMA 22 (10198)</v>
      </c>
      <c r="S8519" t="s">
        <v>70</v>
      </c>
      <c r="T8519">
        <v>22525</v>
      </c>
      <c r="U8519">
        <v>24393</v>
      </c>
      <c r="V8519" t="s">
        <v>22</v>
      </c>
    </row>
    <row r="8520" spans="1:22">
      <c r="A8520" t="str">
        <f t="shared" si="1565"/>
        <v>30/10/2025</v>
      </c>
      <c r="B8520" t="str">
        <f t="shared" si="1574"/>
        <v>ENTRADA</v>
      </c>
      <c r="C8520" t="str">
        <f t="shared" si="1575"/>
        <v>NFSE</v>
      </c>
      <c r="D8520" t="str">
        <f>"3578"</f>
        <v>3578</v>
      </c>
      <c r="E8520" t="str">
        <f t="shared" si="1576"/>
        <v>1</v>
      </c>
      <c r="F8520" t="str">
        <f t="shared" si="1572"/>
        <v>COM</v>
      </c>
      <c r="G8520" t="str">
        <f>"PENSE FARMA 07 (10201)"</f>
        <v>PENSE FARMA 07 (10201)</v>
      </c>
      <c r="H8520" t="str">
        <f>"Serv.Prest. 20/10/2025 a 26/10/2025 - RPS: 1454 - NFSe: 3578"</f>
        <v>Serv.Prest. 20/10/2025 a 26/10/2025 - RPS: 1454 - NFSe: 3578</v>
      </c>
      <c r="I8520" t="str">
        <f t="shared" si="1567"/>
        <v>30/10/2025</v>
      </c>
      <c r="J8520" t="str">
        <f t="shared" si="1577"/>
        <v>27/10/2025</v>
      </c>
      <c r="K8520" t="str">
        <f>("30/10/2025")</f>
        <v>30/10/2025</v>
      </c>
      <c r="L8520">
        <v>1517.25</v>
      </c>
      <c r="M8520">
        <v>1517.25</v>
      </c>
      <c r="N8520">
        <v>303</v>
      </c>
      <c r="O8520" t="str">
        <f>"RECEITAS COM ENTREGAS"</f>
        <v>RECEITAS COM ENTREGAS</v>
      </c>
      <c r="P8520">
        <v>1517.25</v>
      </c>
      <c r="S8520" t="str">
        <f>"RECEITAS COM ENTREGAS (303)"</f>
        <v>RECEITAS COM ENTREGAS (303)</v>
      </c>
      <c r="T8520">
        <v>22526</v>
      </c>
      <c r="U8520">
        <v>24404</v>
      </c>
      <c r="V8520" t="s">
        <v>22</v>
      </c>
    </row>
    <row r="8521" spans="1:22">
      <c r="A8521" t="str">
        <f t="shared" si="1565"/>
        <v>30/10/2025</v>
      </c>
      <c r="B8521" t="str">
        <f t="shared" si="1574"/>
        <v>ENTRADA</v>
      </c>
      <c r="C8521" t="str">
        <f t="shared" si="1575"/>
        <v>NFSE</v>
      </c>
      <c r="D8521" t="str">
        <f>"3578"</f>
        <v>3578</v>
      </c>
      <c r="E8521" t="str">
        <f t="shared" si="1576"/>
        <v>1</v>
      </c>
      <c r="F8521" t="str">
        <f t="shared" si="1572"/>
        <v>COM</v>
      </c>
      <c r="G8521" t="str">
        <f>"PENSE FARMA 07 (10201)"</f>
        <v>PENSE FARMA 07 (10201)</v>
      </c>
      <c r="H8521" t="s">
        <v>2412</v>
      </c>
      <c r="I8521" t="str">
        <f t="shared" si="1567"/>
        <v>30/10/2025</v>
      </c>
      <c r="J8521" t="str">
        <f t="shared" si="1577"/>
        <v>27/10/2025</v>
      </c>
      <c r="K8521">
        <v>45960</v>
      </c>
      <c r="N8521">
        <v>303</v>
      </c>
      <c r="O8521" t="s">
        <v>69</v>
      </c>
      <c r="Q8521">
        <v>505.7</v>
      </c>
      <c r="R8521" t="str">
        <f>"PENSE FARMA 07 (10201)"</f>
        <v>PENSE FARMA 07 (10201)</v>
      </c>
      <c r="S8521" t="s">
        <v>70</v>
      </c>
      <c r="T8521">
        <v>22526</v>
      </c>
      <c r="U8521">
        <v>24404</v>
      </c>
      <c r="V8521" t="s">
        <v>22</v>
      </c>
    </row>
    <row r="8522" spans="1:22">
      <c r="A8522" t="str">
        <f t="shared" si="1565"/>
        <v>30/10/2025</v>
      </c>
      <c r="B8522" t="str">
        <f t="shared" si="1574"/>
        <v>ENTRADA</v>
      </c>
      <c r="C8522" t="str">
        <f t="shared" si="1575"/>
        <v>NFSE</v>
      </c>
      <c r="D8522" t="str">
        <f>"3578"</f>
        <v>3578</v>
      </c>
      <c r="E8522" t="str">
        <f t="shared" si="1576"/>
        <v>1</v>
      </c>
      <c r="F8522" t="str">
        <f t="shared" si="1572"/>
        <v>COM</v>
      </c>
      <c r="G8522" t="str">
        <f>"PENSE FARMA 07 (10201)"</f>
        <v>PENSE FARMA 07 (10201)</v>
      </c>
      <c r="H8522" t="s">
        <v>2412</v>
      </c>
      <c r="I8522" t="str">
        <f t="shared" si="1567"/>
        <v>30/10/2025</v>
      </c>
      <c r="J8522" t="str">
        <f t="shared" si="1577"/>
        <v>27/10/2025</v>
      </c>
      <c r="K8522">
        <v>45960</v>
      </c>
      <c r="N8522">
        <v>303</v>
      </c>
      <c r="O8522" t="s">
        <v>69</v>
      </c>
      <c r="Q8522">
        <v>505.7</v>
      </c>
      <c r="R8522" t="str">
        <f>"PENSE FARMA 45 (10209)"</f>
        <v>PENSE FARMA 45 (10209)</v>
      </c>
      <c r="S8522" t="s">
        <v>70</v>
      </c>
      <c r="T8522">
        <v>22526</v>
      </c>
      <c r="U8522">
        <v>24404</v>
      </c>
      <c r="V8522" t="s">
        <v>22</v>
      </c>
    </row>
    <row r="8523" spans="1:22">
      <c r="A8523" t="str">
        <f t="shared" si="1565"/>
        <v>30/10/2025</v>
      </c>
      <c r="B8523" t="str">
        <f t="shared" si="1574"/>
        <v>ENTRADA</v>
      </c>
      <c r="C8523" t="str">
        <f t="shared" si="1575"/>
        <v>NFSE</v>
      </c>
      <c r="D8523" t="str">
        <f>"3578"</f>
        <v>3578</v>
      </c>
      <c r="E8523" t="str">
        <f t="shared" si="1576"/>
        <v>1</v>
      </c>
      <c r="F8523" t="str">
        <f t="shared" si="1572"/>
        <v>COM</v>
      </c>
      <c r="G8523" t="str">
        <f>"PENSE FARMA 07 (10201)"</f>
        <v>PENSE FARMA 07 (10201)</v>
      </c>
      <c r="H8523" t="s">
        <v>2412</v>
      </c>
      <c r="I8523" t="str">
        <f t="shared" si="1567"/>
        <v>30/10/2025</v>
      </c>
      <c r="J8523" t="str">
        <f t="shared" si="1577"/>
        <v>27/10/2025</v>
      </c>
      <c r="K8523">
        <v>45960</v>
      </c>
      <c r="N8523">
        <v>303</v>
      </c>
      <c r="O8523" t="s">
        <v>69</v>
      </c>
      <c r="Q8523">
        <v>505.85</v>
      </c>
      <c r="R8523" t="str">
        <f>"PENSE FARMA 50 (10210)"</f>
        <v>PENSE FARMA 50 (10210)</v>
      </c>
      <c r="S8523" t="s">
        <v>70</v>
      </c>
      <c r="T8523">
        <v>22526</v>
      </c>
      <c r="U8523">
        <v>24404</v>
      </c>
      <c r="V8523" t="s">
        <v>22</v>
      </c>
    </row>
    <row r="8524" spans="1:22">
      <c r="A8524" t="str">
        <f t="shared" si="1565"/>
        <v>30/10/2025</v>
      </c>
      <c r="B8524" t="str">
        <f t="shared" si="1574"/>
        <v>ENTRADA</v>
      </c>
      <c r="C8524" t="str">
        <f t="shared" si="1575"/>
        <v>NFSE</v>
      </c>
      <c r="D8524" t="str">
        <f>"3577"</f>
        <v>3577</v>
      </c>
      <c r="E8524" t="str">
        <f t="shared" si="1576"/>
        <v>1</v>
      </c>
      <c r="F8524" t="str">
        <f t="shared" si="1572"/>
        <v>COM</v>
      </c>
      <c r="G8524" t="str">
        <f>"PENSE FARMA 15 (10195)"</f>
        <v>PENSE FARMA 15 (10195)</v>
      </c>
      <c r="H8524" t="str">
        <f>"Serv.Prest. 20/10/2025 a 26/10/2025 - RPS: 1453 - NFSe: 3577"</f>
        <v>Serv.Prest. 20/10/2025 a 26/10/2025 - RPS: 1453 - NFSe: 3577</v>
      </c>
      <c r="I8524" t="str">
        <f t="shared" si="1567"/>
        <v>30/10/2025</v>
      </c>
      <c r="J8524" t="str">
        <f t="shared" si="1577"/>
        <v>27/10/2025</v>
      </c>
      <c r="K8524" t="str">
        <f>("30/10/2025")</f>
        <v>30/10/2025</v>
      </c>
      <c r="L8524">
        <v>2337.5</v>
      </c>
      <c r="M8524">
        <v>2337.5</v>
      </c>
      <c r="N8524">
        <v>303</v>
      </c>
      <c r="O8524" t="str">
        <f>"RECEITAS COM ENTREGAS"</f>
        <v>RECEITAS COM ENTREGAS</v>
      </c>
      <c r="P8524">
        <v>2337.5</v>
      </c>
      <c r="S8524" t="str">
        <f>"RECEITAS COM ENTREGAS (303)"</f>
        <v>RECEITAS COM ENTREGAS (303)</v>
      </c>
      <c r="T8524">
        <v>22527</v>
      </c>
      <c r="U8524">
        <v>24397</v>
      </c>
      <c r="V8524" t="s">
        <v>22</v>
      </c>
    </row>
    <row r="8525" spans="1:22">
      <c r="A8525" t="str">
        <f t="shared" ref="A8525:A8530" si="1578">("30/10/2025")</f>
        <v>30/10/2025</v>
      </c>
      <c r="B8525" t="str">
        <f t="shared" si="1574"/>
        <v>ENTRADA</v>
      </c>
      <c r="C8525" t="str">
        <f t="shared" si="1575"/>
        <v>NFSE</v>
      </c>
      <c r="D8525" t="str">
        <f>"3577"</f>
        <v>3577</v>
      </c>
      <c r="E8525" t="str">
        <f t="shared" si="1576"/>
        <v>1</v>
      </c>
      <c r="F8525" t="str">
        <f t="shared" si="1572"/>
        <v>COM</v>
      </c>
      <c r="G8525" t="str">
        <f>"PENSE FARMA 15 (10195)"</f>
        <v>PENSE FARMA 15 (10195)</v>
      </c>
      <c r="H8525" t="s">
        <v>2413</v>
      </c>
      <c r="I8525" t="str">
        <f t="shared" si="1567"/>
        <v>30/10/2025</v>
      </c>
      <c r="J8525" t="str">
        <f t="shared" si="1577"/>
        <v>27/10/2025</v>
      </c>
      <c r="K8525">
        <v>45960</v>
      </c>
      <c r="N8525">
        <v>303</v>
      </c>
      <c r="O8525" t="s">
        <v>69</v>
      </c>
      <c r="Q8525">
        <v>637.42999999999995</v>
      </c>
      <c r="R8525" t="str">
        <f>"PENSE FARMA 15 (10195)"</f>
        <v>PENSE FARMA 15 (10195)</v>
      </c>
      <c r="S8525" t="s">
        <v>70</v>
      </c>
      <c r="T8525">
        <v>22527</v>
      </c>
      <c r="U8525">
        <v>24397</v>
      </c>
      <c r="V8525" t="s">
        <v>22</v>
      </c>
    </row>
    <row r="8526" spans="1:22">
      <c r="A8526" t="str">
        <f t="shared" si="1578"/>
        <v>30/10/2025</v>
      </c>
      <c r="B8526" t="str">
        <f t="shared" si="1574"/>
        <v>ENTRADA</v>
      </c>
      <c r="C8526" t="str">
        <f t="shared" si="1575"/>
        <v>NFSE</v>
      </c>
      <c r="D8526" t="str">
        <f>"3577"</f>
        <v>3577</v>
      </c>
      <c r="E8526" t="str">
        <f t="shared" si="1576"/>
        <v>1</v>
      </c>
      <c r="F8526" t="str">
        <f t="shared" si="1572"/>
        <v>COM</v>
      </c>
      <c r="G8526" t="str">
        <f>"PENSE FARMA 15 (10195)"</f>
        <v>PENSE FARMA 15 (10195)</v>
      </c>
      <c r="H8526" t="s">
        <v>2413</v>
      </c>
      <c r="I8526" t="str">
        <f t="shared" si="1567"/>
        <v>30/10/2025</v>
      </c>
      <c r="J8526" t="str">
        <f t="shared" si="1577"/>
        <v>27/10/2025</v>
      </c>
      <c r="K8526">
        <v>45960</v>
      </c>
      <c r="N8526">
        <v>303</v>
      </c>
      <c r="O8526" t="s">
        <v>69</v>
      </c>
      <c r="Q8526">
        <v>637.44000000000005</v>
      </c>
      <c r="R8526" t="str">
        <f>"PENSE FARMA 26 (10196)"</f>
        <v>PENSE FARMA 26 (10196)</v>
      </c>
      <c r="S8526" t="s">
        <v>70</v>
      </c>
      <c r="T8526">
        <v>22527</v>
      </c>
      <c r="U8526">
        <v>24397</v>
      </c>
      <c r="V8526" t="s">
        <v>22</v>
      </c>
    </row>
    <row r="8527" spans="1:22">
      <c r="A8527" t="str">
        <f t="shared" si="1578"/>
        <v>30/10/2025</v>
      </c>
      <c r="B8527" t="str">
        <f t="shared" si="1574"/>
        <v>ENTRADA</v>
      </c>
      <c r="C8527" t="str">
        <f t="shared" si="1575"/>
        <v>NFSE</v>
      </c>
      <c r="D8527" t="str">
        <f>"3577"</f>
        <v>3577</v>
      </c>
      <c r="E8527" t="str">
        <f t="shared" si="1576"/>
        <v>1</v>
      </c>
      <c r="F8527" t="str">
        <f t="shared" si="1572"/>
        <v>COM</v>
      </c>
      <c r="G8527" t="str">
        <f>"PENSE FARMA 15 (10195)"</f>
        <v>PENSE FARMA 15 (10195)</v>
      </c>
      <c r="H8527" t="s">
        <v>2413</v>
      </c>
      <c r="I8527" t="str">
        <f t="shared" si="1567"/>
        <v>30/10/2025</v>
      </c>
      <c r="J8527" t="str">
        <f t="shared" si="1577"/>
        <v>27/10/2025</v>
      </c>
      <c r="K8527">
        <v>45960</v>
      </c>
      <c r="N8527">
        <v>303</v>
      </c>
      <c r="O8527" t="s">
        <v>69</v>
      </c>
      <c r="Q8527">
        <v>637.44000000000005</v>
      </c>
      <c r="R8527" t="str">
        <f>"PENSE FARMA 60 (10197)"</f>
        <v>PENSE FARMA 60 (10197)</v>
      </c>
      <c r="S8527" t="s">
        <v>70</v>
      </c>
      <c r="T8527">
        <v>22527</v>
      </c>
      <c r="U8527">
        <v>24397</v>
      </c>
      <c r="V8527" t="s">
        <v>22</v>
      </c>
    </row>
    <row r="8528" spans="1:22">
      <c r="A8528" t="str">
        <f t="shared" si="1578"/>
        <v>30/10/2025</v>
      </c>
      <c r="B8528" t="str">
        <f t="shared" si="1574"/>
        <v>ENTRADA</v>
      </c>
      <c r="C8528" t="str">
        <f t="shared" si="1575"/>
        <v>NFSE</v>
      </c>
      <c r="D8528" t="str">
        <f>"3577"</f>
        <v>3577</v>
      </c>
      <c r="E8528" t="str">
        <f t="shared" si="1576"/>
        <v>1</v>
      </c>
      <c r="F8528" t="str">
        <f t="shared" si="1572"/>
        <v>COM</v>
      </c>
      <c r="G8528" t="str">
        <f>"PENSE FARMA 15 (10195)"</f>
        <v>PENSE FARMA 15 (10195)</v>
      </c>
      <c r="H8528" t="s">
        <v>2413</v>
      </c>
      <c r="I8528" t="str">
        <f t="shared" si="1567"/>
        <v>30/10/2025</v>
      </c>
      <c r="J8528" t="str">
        <f t="shared" si="1577"/>
        <v>27/10/2025</v>
      </c>
      <c r="K8528">
        <v>45960</v>
      </c>
      <c r="N8528">
        <v>303</v>
      </c>
      <c r="O8528" t="s">
        <v>69</v>
      </c>
      <c r="Q8528">
        <v>425.19</v>
      </c>
      <c r="R8528" t="str">
        <f>"PENSE FARMA 61 (10243)"</f>
        <v>PENSE FARMA 61 (10243)</v>
      </c>
      <c r="S8528" t="s">
        <v>70</v>
      </c>
      <c r="T8528">
        <v>22527</v>
      </c>
      <c r="U8528">
        <v>24397</v>
      </c>
      <c r="V8528" t="s">
        <v>22</v>
      </c>
    </row>
    <row r="8529" spans="1:22">
      <c r="A8529" t="str">
        <f t="shared" si="1578"/>
        <v>30/10/2025</v>
      </c>
      <c r="B8529" t="str">
        <f>"SAÍDA"</f>
        <v>SAÍDA</v>
      </c>
      <c r="C8529" t="str">
        <f>"TRANSFERENCIA"</f>
        <v>TRANSFERENCIA</v>
      </c>
      <c r="D8529" t="str">
        <f>""</f>
        <v/>
      </c>
      <c r="F8529" t="str">
        <f>"TRF"</f>
        <v>TRF</v>
      </c>
      <c r="G8529" t="str">
        <f>""</f>
        <v/>
      </c>
      <c r="H8529" t="str">
        <f>"TRANSFERENCIA ENTRE BANCOS  (102-&gt;149)"</f>
        <v>TRANSFERENCIA ENTRE BANCOS  (102-&gt;149)</v>
      </c>
      <c r="I8529" t="str">
        <f t="shared" si="1567"/>
        <v>30/10/2025</v>
      </c>
      <c r="J8529" t="str">
        <f>("30/10/2025")</f>
        <v>30/10/2025</v>
      </c>
      <c r="K8529" t="str">
        <f>("30/10/2025")</f>
        <v>30/10/2025</v>
      </c>
      <c r="N8529">
        <v>102</v>
      </c>
      <c r="O8529" t="str">
        <f>"BANCO CORA"</f>
        <v>BANCO CORA</v>
      </c>
      <c r="P8529">
        <v>23617.09</v>
      </c>
      <c r="S8529" t="str">
        <f>"BANCO CORA (102)"</f>
        <v>BANCO CORA (102)</v>
      </c>
      <c r="T8529">
        <v>22528</v>
      </c>
      <c r="U8529">
        <v>0</v>
      </c>
      <c r="V8529" t="s">
        <v>22</v>
      </c>
    </row>
    <row r="8530" spans="1:22">
      <c r="A8530" t="str">
        <f t="shared" si="1578"/>
        <v>30/10/2025</v>
      </c>
      <c r="B8530" t="str">
        <f>"ENTRADA"</f>
        <v>ENTRADA</v>
      </c>
      <c r="C8530" t="str">
        <f>"TRANSFERENCIA"</f>
        <v>TRANSFERENCIA</v>
      </c>
      <c r="D8530" t="str">
        <f>""</f>
        <v/>
      </c>
      <c r="F8530" t="str">
        <f>"TRF"</f>
        <v>TRF</v>
      </c>
      <c r="G8530" t="str">
        <f>""</f>
        <v/>
      </c>
      <c r="H8530" t="str">
        <f>"TRANSFERENCIA ENTRE BANCOS  (102-&gt;149)"</f>
        <v>TRANSFERENCIA ENTRE BANCOS  (102-&gt;149)</v>
      </c>
      <c r="I8530" t="str">
        <f t="shared" si="1567"/>
        <v>30/10/2025</v>
      </c>
      <c r="J8530" t="str">
        <f>("30/10/2025")</f>
        <v>30/10/2025</v>
      </c>
      <c r="K8530" t="str">
        <f>("30/10/2025")</f>
        <v>30/10/2025</v>
      </c>
      <c r="N8530">
        <v>149</v>
      </c>
      <c r="O8530" t="str">
        <f>"BANCO C6"</f>
        <v>BANCO C6</v>
      </c>
      <c r="S8530" t="str">
        <f>"BANCO C6 (149)"</f>
        <v>BANCO C6 (149)</v>
      </c>
      <c r="T8530">
        <v>22528</v>
      </c>
      <c r="U8530">
        <v>0</v>
      </c>
      <c r="V8530" t="s">
        <v>77</v>
      </c>
    </row>
    <row r="8531" spans="1:22">
      <c r="A8531" t="str">
        <f t="shared" ref="A8531:A8562" si="1579">("31/10/2025")</f>
        <v>31/10/2025</v>
      </c>
      <c r="B8531" t="str">
        <f t="shared" ref="B8531:B8542" si="1580">"SAÍDA"</f>
        <v>SAÍDA</v>
      </c>
      <c r="C8531" t="str">
        <f t="shared" ref="C8531:C8536" si="1581">"PIX"</f>
        <v>PIX</v>
      </c>
      <c r="D8531" t="str">
        <f>"24306"</f>
        <v>24306</v>
      </c>
      <c r="E8531" t="str">
        <f>"1"</f>
        <v>1</v>
      </c>
      <c r="F8531" t="str">
        <f t="shared" ref="F8531:F8577" si="1582">"COM"</f>
        <v>COM</v>
      </c>
      <c r="G8531" t="str">
        <f>"ROBSON OLIVEIRA DE JESUS (623)"</f>
        <v>ROBSON OLIVEIRA DE JESUS (623)</v>
      </c>
      <c r="H8531" t="str">
        <f>"Serv.Prest. 20/10/2025 a 24/10/2025 - PIX: CELULAR - CHAVE: (73) 98166-3325"</f>
        <v>Serv.Prest. 20/10/2025 a 24/10/2025 - PIX: CELULAR - CHAVE: (73) 98166-3325</v>
      </c>
      <c r="I8531" t="str">
        <f>("06/11/2025")</f>
        <v>06/11/2025</v>
      </c>
      <c r="J8531" t="str">
        <f>("24/10/2025")</f>
        <v>24/10/2025</v>
      </c>
      <c r="K8531" t="str">
        <f>("31/10/2025")</f>
        <v>31/10/2025</v>
      </c>
      <c r="L8531">
        <v>702</v>
      </c>
      <c r="M8531">
        <v>700</v>
      </c>
      <c r="N8531">
        <v>109</v>
      </c>
      <c r="O8531" t="str">
        <f>"PAGAMENTO DE ENTREGADORES"</f>
        <v>PAGAMENTO DE ENTREGADORES</v>
      </c>
      <c r="P8531">
        <v>700</v>
      </c>
      <c r="S8531" t="str">
        <f>"BANCO CORA (102)"</f>
        <v>BANCO CORA (102)</v>
      </c>
      <c r="T8531">
        <v>20353</v>
      </c>
      <c r="U8531">
        <v>24306</v>
      </c>
      <c r="V8531" t="s">
        <v>22</v>
      </c>
    </row>
    <row r="8532" spans="1:22">
      <c r="A8532" t="str">
        <f t="shared" si="1579"/>
        <v>31/10/2025</v>
      </c>
      <c r="B8532" t="str">
        <f t="shared" si="1580"/>
        <v>SAÍDA</v>
      </c>
      <c r="C8532" t="str">
        <f t="shared" si="1581"/>
        <v>PIX</v>
      </c>
      <c r="D8532" t="str">
        <f>"24306"</f>
        <v>24306</v>
      </c>
      <c r="E8532" t="str">
        <f>"1"</f>
        <v>1</v>
      </c>
      <c r="F8532" t="str">
        <f t="shared" si="1582"/>
        <v>COM</v>
      </c>
      <c r="G8532" t="str">
        <f>"ROBSON OLIVEIRA DE JESUS (623)"</f>
        <v>ROBSON OLIVEIRA DE JESUS (623)</v>
      </c>
      <c r="H8532" t="s">
        <v>2414</v>
      </c>
      <c r="I8532" t="str">
        <f>("06/11/2025")</f>
        <v>06/11/2025</v>
      </c>
      <c r="J8532" t="str">
        <f>("24/10/2025")</f>
        <v>24/10/2025</v>
      </c>
      <c r="K8532">
        <v>45961</v>
      </c>
      <c r="N8532">
        <v>109</v>
      </c>
      <c r="O8532" t="s">
        <v>24</v>
      </c>
      <c r="Q8532">
        <v>700</v>
      </c>
      <c r="R8532" t="str">
        <f>"FARMÁCIA INDIANA LJ 145 (10068)"</f>
        <v>FARMÁCIA INDIANA LJ 145 (10068)</v>
      </c>
      <c r="S8532" t="s">
        <v>22</v>
      </c>
      <c r="T8532">
        <v>20353</v>
      </c>
      <c r="U8532">
        <v>24306</v>
      </c>
      <c r="V8532" t="s">
        <v>22</v>
      </c>
    </row>
    <row r="8533" spans="1:22">
      <c r="A8533" t="str">
        <f t="shared" si="1579"/>
        <v>31/10/2025</v>
      </c>
      <c r="B8533" t="str">
        <f t="shared" si="1580"/>
        <v>SAÍDA</v>
      </c>
      <c r="C8533" t="str">
        <f t="shared" si="1581"/>
        <v>PIX</v>
      </c>
      <c r="D8533" t="str">
        <f>"3110"</f>
        <v>3110</v>
      </c>
      <c r="E8533" t="str">
        <f>"25"</f>
        <v>25</v>
      </c>
      <c r="F8533" t="str">
        <f t="shared" si="1582"/>
        <v>COM</v>
      </c>
      <c r="G8533" t="str">
        <f>"MICHELLE RIBEIRO DA SILVA (1012)"</f>
        <v>MICHELLE RIBEIRO DA SILVA (1012)</v>
      </c>
      <c r="H8533" t="str">
        <f>"Complemento Serv.Prest. 20/10/2025 a 26/10/2025 - PIX: CPF - CHAVE: 115.519.146-38"</f>
        <v>Complemento Serv.Prest. 20/10/2025 a 26/10/2025 - PIX: CPF - CHAVE: 115.519.146-38</v>
      </c>
      <c r="I8533" t="str">
        <f>("31/10/2025")</f>
        <v>31/10/2025</v>
      </c>
      <c r="J8533" t="str">
        <f>("27/10/2025")</f>
        <v>27/10/2025</v>
      </c>
      <c r="K8533" t="str">
        <f>("31/10/2025")</f>
        <v>31/10/2025</v>
      </c>
      <c r="L8533">
        <v>114.29</v>
      </c>
      <c r="M8533">
        <v>114.29</v>
      </c>
      <c r="N8533">
        <v>109</v>
      </c>
      <c r="O8533" t="str">
        <f>"PAGAMENTO DE ENTREGADORES"</f>
        <v>PAGAMENTO DE ENTREGADORES</v>
      </c>
      <c r="P8533">
        <v>114.29</v>
      </c>
      <c r="S8533" t="str">
        <f>"BANCO CORA (102)"</f>
        <v>BANCO CORA (102)</v>
      </c>
      <c r="T8533">
        <v>20354</v>
      </c>
      <c r="U8533">
        <v>24546</v>
      </c>
      <c r="V8533" t="s">
        <v>22</v>
      </c>
    </row>
    <row r="8534" spans="1:22">
      <c r="A8534" t="str">
        <f t="shared" si="1579"/>
        <v>31/10/2025</v>
      </c>
      <c r="B8534" t="str">
        <f t="shared" si="1580"/>
        <v>SAÍDA</v>
      </c>
      <c r="C8534" t="str">
        <f t="shared" si="1581"/>
        <v>PIX</v>
      </c>
      <c r="D8534" t="str">
        <f>"3110"</f>
        <v>3110</v>
      </c>
      <c r="E8534" t="str">
        <f>"25"</f>
        <v>25</v>
      </c>
      <c r="F8534" t="str">
        <f t="shared" si="1582"/>
        <v>COM</v>
      </c>
      <c r="G8534" t="str">
        <f>"MICHELLE RIBEIRO DA SILVA (1012)"</f>
        <v>MICHELLE RIBEIRO DA SILVA (1012)</v>
      </c>
      <c r="H8534" t="s">
        <v>2415</v>
      </c>
      <c r="I8534" t="str">
        <f>("31/10/2025")</f>
        <v>31/10/2025</v>
      </c>
      <c r="J8534" t="str">
        <f>("27/10/2025")</f>
        <v>27/10/2025</v>
      </c>
      <c r="K8534">
        <v>45961</v>
      </c>
      <c r="N8534">
        <v>109</v>
      </c>
      <c r="O8534" t="s">
        <v>24</v>
      </c>
      <c r="Q8534">
        <v>114.29</v>
      </c>
      <c r="R8534" t="str">
        <f>"MICHELLE RIBEIRO DA SILVA (1012)"</f>
        <v>MICHELLE RIBEIRO DA SILVA (1012)</v>
      </c>
      <c r="S8534" t="s">
        <v>22</v>
      </c>
      <c r="T8534">
        <v>20354</v>
      </c>
      <c r="U8534">
        <v>24546</v>
      </c>
      <c r="V8534" t="s">
        <v>22</v>
      </c>
    </row>
    <row r="8535" spans="1:22">
      <c r="A8535" t="str">
        <f t="shared" si="1579"/>
        <v>31/10/2025</v>
      </c>
      <c r="B8535" t="str">
        <f t="shared" si="1580"/>
        <v>SAÍDA</v>
      </c>
      <c r="C8535" t="str">
        <f t="shared" si="1581"/>
        <v>PIX</v>
      </c>
      <c r="D8535" t="str">
        <f>"24034"</f>
        <v>24034</v>
      </c>
      <c r="E8535" t="str">
        <f>"2"</f>
        <v>2</v>
      </c>
      <c r="F8535" t="str">
        <f t="shared" si="1582"/>
        <v>COM</v>
      </c>
      <c r="G8535" t="str">
        <f>"MARCIO CLAUDIO DE ARAUJO (204)"</f>
        <v>MARCIO CLAUDIO DE ARAUJO (204)</v>
      </c>
      <c r="H8535" t="str">
        <f>"COMPLEMENTO Serv.Prest. 13/10/2025 a 19/10/2025 - PIX: CELULAR - CHAVE: (33) 98427-3872"</f>
        <v>COMPLEMENTO Serv.Prest. 13/10/2025 a 19/10/2025 - PIX: CELULAR - CHAVE: (33) 98427-3872</v>
      </c>
      <c r="I8535" t="str">
        <f>("30/10/2025")</f>
        <v>30/10/2025</v>
      </c>
      <c r="J8535" t="str">
        <f>("21/10/2025")</f>
        <v>21/10/2025</v>
      </c>
      <c r="K8535" t="str">
        <f>("31/10/2025")</f>
        <v>31/10/2025</v>
      </c>
      <c r="L8535">
        <v>168</v>
      </c>
      <c r="M8535">
        <v>168</v>
      </c>
      <c r="N8535">
        <v>5000</v>
      </c>
      <c r="O8535" t="str">
        <f>"SOLICITACAO DE ADIANTAMENTO"</f>
        <v>SOLICITACAO DE ADIANTAMENTO</v>
      </c>
      <c r="P8535">
        <v>168</v>
      </c>
      <c r="S8535" t="str">
        <f>"BANCO CORA (102)"</f>
        <v>BANCO CORA (102)</v>
      </c>
      <c r="T8535">
        <v>20402</v>
      </c>
      <c r="U8535">
        <v>24570</v>
      </c>
      <c r="V8535" t="s">
        <v>22</v>
      </c>
    </row>
    <row r="8536" spans="1:22">
      <c r="A8536" t="str">
        <f t="shared" si="1579"/>
        <v>31/10/2025</v>
      </c>
      <c r="B8536" t="str">
        <f t="shared" si="1580"/>
        <v>SAÍDA</v>
      </c>
      <c r="C8536" t="str">
        <f t="shared" si="1581"/>
        <v>PIX</v>
      </c>
      <c r="D8536" t="str">
        <f>"24034"</f>
        <v>24034</v>
      </c>
      <c r="E8536" t="str">
        <f>"2"</f>
        <v>2</v>
      </c>
      <c r="F8536" t="str">
        <f t="shared" si="1582"/>
        <v>COM</v>
      </c>
      <c r="G8536" t="str">
        <f>"MARCIO CLAUDIO DE ARAUJO (204)"</f>
        <v>MARCIO CLAUDIO DE ARAUJO (204)</v>
      </c>
      <c r="H8536" t="s">
        <v>2416</v>
      </c>
      <c r="I8536" t="str">
        <f>("30/10/2025")</f>
        <v>30/10/2025</v>
      </c>
      <c r="J8536" t="str">
        <f>("21/10/2025")</f>
        <v>21/10/2025</v>
      </c>
      <c r="K8536">
        <v>45961</v>
      </c>
      <c r="N8536">
        <v>5000</v>
      </c>
      <c r="O8536" t="s">
        <v>86</v>
      </c>
      <c r="Q8536">
        <v>168</v>
      </c>
      <c r="R8536" t="str">
        <f>"MARCIO CLAUDIO DE ARAUJO (204)"</f>
        <v>MARCIO CLAUDIO DE ARAUJO (204)</v>
      </c>
      <c r="S8536" t="s">
        <v>22</v>
      </c>
      <c r="T8536">
        <v>20402</v>
      </c>
      <c r="U8536">
        <v>24570</v>
      </c>
      <c r="V8536" t="s">
        <v>22</v>
      </c>
    </row>
    <row r="8537" spans="1:22">
      <c r="A8537" t="str">
        <f t="shared" si="1579"/>
        <v>31/10/2025</v>
      </c>
      <c r="B8537" t="str">
        <f t="shared" si="1580"/>
        <v>SAÍDA</v>
      </c>
      <c r="C8537" t="str">
        <f>"BOLETO"</f>
        <v>BOLETO</v>
      </c>
      <c r="D8537" t="str">
        <f>"357813142440"</f>
        <v>357813142440</v>
      </c>
      <c r="E8537" t="str">
        <f>"54"</f>
        <v>54</v>
      </c>
      <c r="F8537" t="str">
        <f t="shared" si="1582"/>
        <v>COM</v>
      </c>
      <c r="G8537" t="str">
        <f>"MINISTERIO DA FAZENDA (20009)"</f>
        <v>MINISTERIO DA FAZENDA (20009)</v>
      </c>
      <c r="H8537" t="str">
        <f>"PARCELAMENTO INSS "</f>
        <v xml:space="preserve">PARCELAMENTO INSS </v>
      </c>
      <c r="I8537" t="str">
        <f t="shared" ref="I8537:I8544" si="1583">("31/10/2025")</f>
        <v>31/10/2025</v>
      </c>
      <c r="J8537" t="str">
        <f>("01/08/2024")</f>
        <v>01/08/2024</v>
      </c>
      <c r="K8537" t="str">
        <f>("31/10/2025")</f>
        <v>31/10/2025</v>
      </c>
      <c r="L8537">
        <v>982.36</v>
      </c>
      <c r="M8537">
        <v>1174.21</v>
      </c>
      <c r="N8537">
        <v>112</v>
      </c>
      <c r="O8537" t="str">
        <f>"INSS"</f>
        <v>INSS</v>
      </c>
      <c r="P8537">
        <v>1174.21</v>
      </c>
      <c r="S8537" t="str">
        <f>"BANCO CORA (102)"</f>
        <v>BANCO CORA (102)</v>
      </c>
      <c r="T8537">
        <v>20414</v>
      </c>
      <c r="U8537">
        <v>1403</v>
      </c>
      <c r="V8537" t="s">
        <v>22</v>
      </c>
    </row>
    <row r="8538" spans="1:22">
      <c r="A8538" t="str">
        <f t="shared" si="1579"/>
        <v>31/10/2025</v>
      </c>
      <c r="B8538" t="str">
        <f t="shared" si="1580"/>
        <v>SAÍDA</v>
      </c>
      <c r="C8538" t="str">
        <f>"BOLETO"</f>
        <v>BOLETO</v>
      </c>
      <c r="D8538" t="str">
        <f>"357813142440"</f>
        <v>357813142440</v>
      </c>
      <c r="E8538" t="str">
        <f>"54"</f>
        <v>54</v>
      </c>
      <c r="F8538" t="str">
        <f t="shared" si="1582"/>
        <v>COM</v>
      </c>
      <c r="G8538" t="str">
        <f>"MINISTERIO DA FAZENDA (20009)"</f>
        <v>MINISTERIO DA FAZENDA (20009)</v>
      </c>
      <c r="H8538" t="s">
        <v>2417</v>
      </c>
      <c r="I8538" t="str">
        <f t="shared" si="1583"/>
        <v>31/10/2025</v>
      </c>
      <c r="J8538" t="str">
        <f>("01/08/2024")</f>
        <v>01/08/2024</v>
      </c>
      <c r="K8538">
        <v>45961</v>
      </c>
      <c r="N8538">
        <v>112</v>
      </c>
      <c r="O8538" t="s">
        <v>479</v>
      </c>
      <c r="Q8538">
        <v>1174.21</v>
      </c>
      <c r="R8538" t="str">
        <f>"MINISTERIO DA FAZENDA (20009)"</f>
        <v>MINISTERIO DA FAZENDA (20009)</v>
      </c>
      <c r="S8538" t="s">
        <v>22</v>
      </c>
      <c r="T8538">
        <v>20414</v>
      </c>
      <c r="U8538">
        <v>1403</v>
      </c>
      <c r="V8538" t="s">
        <v>22</v>
      </c>
    </row>
    <row r="8539" spans="1:22">
      <c r="A8539" t="str">
        <f t="shared" si="1579"/>
        <v>31/10/2025</v>
      </c>
      <c r="B8539" t="str">
        <f t="shared" si="1580"/>
        <v>SAÍDA</v>
      </c>
      <c r="C8539" t="str">
        <f>"PIX"</f>
        <v>PIX</v>
      </c>
      <c r="D8539" t="str">
        <f>"24231"</f>
        <v>24231</v>
      </c>
      <c r="E8539" t="str">
        <f>"1"</f>
        <v>1</v>
      </c>
      <c r="F8539" t="str">
        <f t="shared" si="1582"/>
        <v>COM</v>
      </c>
      <c r="G8539" t="str">
        <f>"LEONARDO VIANA FIGUEIREDO (913)"</f>
        <v>LEONARDO VIANA FIGUEIREDO (913)</v>
      </c>
      <c r="H8539" t="str">
        <f>"Serv.Prest. 20/10/2025 a 24/10/2025 - PIX: CELULAR - CHAVE: (33) 98463-0821"</f>
        <v>Serv.Prest. 20/10/2025 a 24/10/2025 - PIX: CELULAR - CHAVE: (33) 98463-0821</v>
      </c>
      <c r="I8539" t="str">
        <f t="shared" si="1583"/>
        <v>31/10/2025</v>
      </c>
      <c r="J8539" t="str">
        <f>("24/10/2025")</f>
        <v>24/10/2025</v>
      </c>
      <c r="K8539" t="str">
        <f>("31/10/2025")</f>
        <v>31/10/2025</v>
      </c>
      <c r="L8539">
        <v>750</v>
      </c>
      <c r="M8539">
        <v>750</v>
      </c>
      <c r="N8539">
        <v>109</v>
      </c>
      <c r="O8539" t="str">
        <f>"PAGAMENTO DE ENTREGADORES"</f>
        <v>PAGAMENTO DE ENTREGADORES</v>
      </c>
      <c r="P8539">
        <v>750</v>
      </c>
      <c r="S8539" t="str">
        <f>"BANCO CORA (102)"</f>
        <v>BANCO CORA (102)</v>
      </c>
      <c r="T8539">
        <v>20415</v>
      </c>
      <c r="U8539">
        <v>24231</v>
      </c>
      <c r="V8539" t="s">
        <v>22</v>
      </c>
    </row>
    <row r="8540" spans="1:22">
      <c r="A8540" t="str">
        <f t="shared" si="1579"/>
        <v>31/10/2025</v>
      </c>
      <c r="B8540" t="str">
        <f t="shared" si="1580"/>
        <v>SAÍDA</v>
      </c>
      <c r="C8540" t="str">
        <f>"PIX"</f>
        <v>PIX</v>
      </c>
      <c r="D8540" t="str">
        <f>"24231"</f>
        <v>24231</v>
      </c>
      <c r="E8540" t="str">
        <f>"1"</f>
        <v>1</v>
      </c>
      <c r="F8540" t="str">
        <f t="shared" si="1582"/>
        <v>COM</v>
      </c>
      <c r="G8540" t="str">
        <f>"LEONARDO VIANA FIGUEIREDO (913)"</f>
        <v>LEONARDO VIANA FIGUEIREDO (913)</v>
      </c>
      <c r="H8540" t="s">
        <v>2418</v>
      </c>
      <c r="I8540" t="str">
        <f t="shared" si="1583"/>
        <v>31/10/2025</v>
      </c>
      <c r="J8540" t="str">
        <f>("24/10/2025")</f>
        <v>24/10/2025</v>
      </c>
      <c r="K8540">
        <v>45961</v>
      </c>
      <c r="N8540">
        <v>109</v>
      </c>
      <c r="O8540" t="s">
        <v>24</v>
      </c>
      <c r="Q8540">
        <v>750</v>
      </c>
      <c r="R8540" t="str">
        <f>"FARMÁCIA INDIANA LJ 06 (10006)"</f>
        <v>FARMÁCIA INDIANA LJ 06 (10006)</v>
      </c>
      <c r="S8540" t="s">
        <v>22</v>
      </c>
      <c r="T8540">
        <v>20415</v>
      </c>
      <c r="U8540">
        <v>24231</v>
      </c>
      <c r="V8540" t="s">
        <v>22</v>
      </c>
    </row>
    <row r="8541" spans="1:22">
      <c r="A8541" t="str">
        <f t="shared" si="1579"/>
        <v>31/10/2025</v>
      </c>
      <c r="B8541" t="str">
        <f t="shared" si="1580"/>
        <v>SAÍDA</v>
      </c>
      <c r="C8541" t="str">
        <f>"PIX"</f>
        <v>PIX</v>
      </c>
      <c r="D8541" t="str">
        <f>"24423"</f>
        <v>24423</v>
      </c>
      <c r="E8541" t="str">
        <f>"3"</f>
        <v>3</v>
      </c>
      <c r="F8541" t="str">
        <f t="shared" si="1582"/>
        <v>COM</v>
      </c>
      <c r="G8541" t="str">
        <f>"JAMERSON SOUZA LOPES (749)"</f>
        <v>JAMERSON SOUZA LOPES (749)</v>
      </c>
      <c r="H8541" t="str">
        <f>"DESPESAS VIAGEM PARA UBERABA - PIX: CPF - CHAVE: 423.098.018-36"</f>
        <v>DESPESAS VIAGEM PARA UBERABA - PIX: CPF - CHAVE: 423.098.018-36</v>
      </c>
      <c r="I8541" t="str">
        <f t="shared" si="1583"/>
        <v>31/10/2025</v>
      </c>
      <c r="J8541" t="str">
        <f>("31/10/2025")</f>
        <v>31/10/2025</v>
      </c>
      <c r="K8541" t="str">
        <f>("31/10/2025")</f>
        <v>31/10/2025</v>
      </c>
      <c r="L8541">
        <v>380</v>
      </c>
      <c r="M8541">
        <v>380</v>
      </c>
      <c r="N8541">
        <v>119</v>
      </c>
      <c r="O8541" t="str">
        <f>"DESPESAS COM VIAGENS OPERACIONAIS"</f>
        <v>DESPESAS COM VIAGENS OPERACIONAIS</v>
      </c>
      <c r="P8541">
        <v>380</v>
      </c>
      <c r="S8541" t="str">
        <f>"BANCO CORA (102)"</f>
        <v>BANCO CORA (102)</v>
      </c>
      <c r="T8541">
        <v>20416</v>
      </c>
      <c r="U8541">
        <v>24569</v>
      </c>
      <c r="V8541" t="s">
        <v>22</v>
      </c>
    </row>
    <row r="8542" spans="1:22">
      <c r="A8542" t="str">
        <f t="shared" si="1579"/>
        <v>31/10/2025</v>
      </c>
      <c r="B8542" t="str">
        <f t="shared" si="1580"/>
        <v>SAÍDA</v>
      </c>
      <c r="C8542" t="str">
        <f>"PIX"</f>
        <v>PIX</v>
      </c>
      <c r="D8542" t="str">
        <f>"24423"</f>
        <v>24423</v>
      </c>
      <c r="E8542" t="str">
        <f>"3"</f>
        <v>3</v>
      </c>
      <c r="F8542" t="str">
        <f t="shared" si="1582"/>
        <v>COM</v>
      </c>
      <c r="G8542" t="str">
        <f>"JAMERSON SOUZA LOPES (749)"</f>
        <v>JAMERSON SOUZA LOPES (749)</v>
      </c>
      <c r="H8542" t="s">
        <v>2419</v>
      </c>
      <c r="I8542" t="str">
        <f t="shared" si="1583"/>
        <v>31/10/2025</v>
      </c>
      <c r="J8542" t="str">
        <f>("31/10/2025")</f>
        <v>31/10/2025</v>
      </c>
      <c r="K8542">
        <v>45961</v>
      </c>
      <c r="N8542">
        <v>119</v>
      </c>
      <c r="O8542" t="s">
        <v>262</v>
      </c>
      <c r="Q8542">
        <v>380</v>
      </c>
      <c r="R8542" t="str">
        <f>"DROGALIDER 25 (10246)"</f>
        <v>DROGALIDER 25 (10246)</v>
      </c>
      <c r="S8542" t="s">
        <v>22</v>
      </c>
      <c r="T8542">
        <v>20416</v>
      </c>
      <c r="U8542">
        <v>24569</v>
      </c>
      <c r="V8542" t="s">
        <v>22</v>
      </c>
    </row>
    <row r="8543" spans="1:22">
      <c r="A8543" t="str">
        <f t="shared" si="1579"/>
        <v>31/10/2025</v>
      </c>
      <c r="B8543" t="str">
        <f>"ENTRADA"</f>
        <v>ENTRADA</v>
      </c>
      <c r="C8543" t="str">
        <f>"NFSE"</f>
        <v>NFSE</v>
      </c>
      <c r="D8543" t="str">
        <f>"3594"</f>
        <v>3594</v>
      </c>
      <c r="E8543" t="str">
        <f t="shared" ref="E8543:E8571" si="1584">"1"</f>
        <v>1</v>
      </c>
      <c r="F8543" t="str">
        <f t="shared" si="1582"/>
        <v>COM</v>
      </c>
      <c r="G8543" t="str">
        <f>"DROGARIA POUPA MINAS (DOIS AMIGOS) 5 (10140)"</f>
        <v>DROGARIA POUPA MINAS (DOIS AMIGOS) 5 (10140)</v>
      </c>
      <c r="H8543" t="str">
        <f>"Serv.Prest. 20/10/2025 a 26/10/2025 - RPS: 1470 - NFSe: 3594"</f>
        <v>Serv.Prest. 20/10/2025 a 26/10/2025 - RPS: 1470 - NFSe: 3594</v>
      </c>
      <c r="I8543" t="str">
        <f t="shared" si="1583"/>
        <v>31/10/2025</v>
      </c>
      <c r="J8543" t="str">
        <f>("29/10/2025")</f>
        <v>29/10/2025</v>
      </c>
      <c r="K8543" t="str">
        <f>("31/10/2025")</f>
        <v>31/10/2025</v>
      </c>
      <c r="L8543">
        <v>7394.49</v>
      </c>
      <c r="M8543">
        <v>7394.49</v>
      </c>
      <c r="N8543">
        <v>303</v>
      </c>
      <c r="O8543" t="str">
        <f>"RECEITAS COM ENTREGAS"</f>
        <v>RECEITAS COM ENTREGAS</v>
      </c>
      <c r="P8543">
        <v>7394.49</v>
      </c>
      <c r="S8543" t="str">
        <f>"RECEITAS COM ENTREGAS (303)"</f>
        <v>RECEITAS COM ENTREGAS (303)</v>
      </c>
      <c r="T8543">
        <v>20417</v>
      </c>
      <c r="U8543">
        <v>24477</v>
      </c>
      <c r="V8543" t="s">
        <v>22</v>
      </c>
    </row>
    <row r="8544" spans="1:22">
      <c r="A8544" t="str">
        <f t="shared" si="1579"/>
        <v>31/10/2025</v>
      </c>
      <c r="B8544" t="str">
        <f>"ENTRADA"</f>
        <v>ENTRADA</v>
      </c>
      <c r="C8544" t="str">
        <f>"NFSE"</f>
        <v>NFSE</v>
      </c>
      <c r="D8544" t="str">
        <f>"3594"</f>
        <v>3594</v>
      </c>
      <c r="E8544" t="str">
        <f t="shared" si="1584"/>
        <v>1</v>
      </c>
      <c r="F8544" t="str">
        <f t="shared" si="1582"/>
        <v>COM</v>
      </c>
      <c r="G8544" t="str">
        <f>"DROGARIA POUPA MINAS (DOIS AMIGOS) 5 (10140)"</f>
        <v>DROGARIA POUPA MINAS (DOIS AMIGOS) 5 (10140)</v>
      </c>
      <c r="H8544" t="s">
        <v>2420</v>
      </c>
      <c r="I8544" t="str">
        <f t="shared" si="1583"/>
        <v>31/10/2025</v>
      </c>
      <c r="J8544" t="str">
        <f>("29/10/2025")</f>
        <v>29/10/2025</v>
      </c>
      <c r="K8544">
        <v>45961</v>
      </c>
      <c r="N8544">
        <v>303</v>
      </c>
      <c r="O8544" t="s">
        <v>69</v>
      </c>
      <c r="Q8544">
        <v>7394.49</v>
      </c>
      <c r="R8544" t="str">
        <f>"DROGARIA POUPA MINAS (ULTRAMINAS) 1 (10181)"</f>
        <v>DROGARIA POUPA MINAS (ULTRAMINAS) 1 (10181)</v>
      </c>
      <c r="S8544" t="s">
        <v>70</v>
      </c>
      <c r="T8544">
        <v>20417</v>
      </c>
      <c r="U8544">
        <v>24477</v>
      </c>
      <c r="V8544" t="s">
        <v>22</v>
      </c>
    </row>
    <row r="8545" spans="1:22">
      <c r="A8545" t="str">
        <f t="shared" si="1579"/>
        <v>31/10/2025</v>
      </c>
      <c r="B8545" t="str">
        <f t="shared" ref="B8545:B8573" si="1585">"SAÍDA"</f>
        <v>SAÍDA</v>
      </c>
      <c r="C8545" t="str">
        <f t="shared" ref="C8545:C8573" si="1586">"PIX"</f>
        <v>PIX</v>
      </c>
      <c r="D8545" t="str">
        <f>"24915"</f>
        <v>24915</v>
      </c>
      <c r="E8545" t="str">
        <f t="shared" si="1584"/>
        <v>1</v>
      </c>
      <c r="F8545" t="str">
        <f t="shared" si="1582"/>
        <v>COM</v>
      </c>
      <c r="G8545" t="str">
        <f>"ALESSANDRO DA CONCEICAO BRASILEIRO (1047)"</f>
        <v>ALESSANDRO DA CONCEICAO BRASILEIRO (1047)</v>
      </c>
      <c r="H8545" t="str">
        <f>"Serv.Prest. 27/10/2025 a 02/11/2025 - PIX: CELULAR - CHAVE: (34) 99768-4372"</f>
        <v>Serv.Prest. 27/10/2025 a 02/11/2025 - PIX: CELULAR - CHAVE: (34) 99768-4372</v>
      </c>
      <c r="I8545" t="str">
        <f t="shared" ref="I8545:I8567" si="1587">("06/11/2025")</f>
        <v>06/11/2025</v>
      </c>
      <c r="J8545" t="str">
        <f>("05/11/2025")</f>
        <v>05/11/2025</v>
      </c>
      <c r="K8545" t="str">
        <f>("31/10/2025")</f>
        <v>31/10/2025</v>
      </c>
      <c r="L8545">
        <v>380</v>
      </c>
      <c r="M8545">
        <v>330</v>
      </c>
      <c r="N8545">
        <v>134</v>
      </c>
      <c r="O8545" t="str">
        <f>"DIARIA DE MOTOBOY"</f>
        <v>DIARIA DE MOTOBOY</v>
      </c>
      <c r="P8545">
        <v>330</v>
      </c>
      <c r="S8545" t="str">
        <f>"BANCO CORA (102)"</f>
        <v>BANCO CORA (102)</v>
      </c>
      <c r="T8545">
        <v>20441</v>
      </c>
      <c r="U8545">
        <v>24915</v>
      </c>
      <c r="V8545" t="s">
        <v>22</v>
      </c>
    </row>
    <row r="8546" spans="1:22">
      <c r="A8546" t="str">
        <f t="shared" si="1579"/>
        <v>31/10/2025</v>
      </c>
      <c r="B8546" t="str">
        <f t="shared" si="1585"/>
        <v>SAÍDA</v>
      </c>
      <c r="C8546" t="str">
        <f t="shared" si="1586"/>
        <v>PIX</v>
      </c>
      <c r="D8546" t="str">
        <f>"24915"</f>
        <v>24915</v>
      </c>
      <c r="E8546" t="str">
        <f t="shared" si="1584"/>
        <v>1</v>
      </c>
      <c r="F8546" t="str">
        <f t="shared" si="1582"/>
        <v>COM</v>
      </c>
      <c r="G8546" t="str">
        <f>"ALESSANDRO DA CONCEICAO BRASILEIRO (1047)"</f>
        <v>ALESSANDRO DA CONCEICAO BRASILEIRO (1047)</v>
      </c>
      <c r="H8546" t="s">
        <v>2421</v>
      </c>
      <c r="I8546" t="str">
        <f t="shared" si="1587"/>
        <v>06/11/2025</v>
      </c>
      <c r="J8546" t="str">
        <f>("05/11/2025")</f>
        <v>05/11/2025</v>
      </c>
      <c r="K8546">
        <v>45961</v>
      </c>
      <c r="N8546">
        <v>134</v>
      </c>
      <c r="O8546" t="s">
        <v>41</v>
      </c>
      <c r="Q8546">
        <v>6.23</v>
      </c>
      <c r="R8546" t="str">
        <f>"DROGALIDER 42 (10247)"</f>
        <v>DROGALIDER 42 (10247)</v>
      </c>
      <c r="S8546" t="s">
        <v>22</v>
      </c>
      <c r="T8546">
        <v>20441</v>
      </c>
      <c r="U8546">
        <v>24915</v>
      </c>
      <c r="V8546" t="s">
        <v>22</v>
      </c>
    </row>
    <row r="8547" spans="1:22">
      <c r="A8547" t="str">
        <f t="shared" si="1579"/>
        <v>31/10/2025</v>
      </c>
      <c r="B8547" t="str">
        <f t="shared" si="1585"/>
        <v>SAÍDA</v>
      </c>
      <c r="C8547" t="str">
        <f t="shared" si="1586"/>
        <v>PIX</v>
      </c>
      <c r="D8547" t="str">
        <f>"24915"</f>
        <v>24915</v>
      </c>
      <c r="E8547" t="str">
        <f t="shared" si="1584"/>
        <v>1</v>
      </c>
      <c r="F8547" t="str">
        <f t="shared" si="1582"/>
        <v>COM</v>
      </c>
      <c r="G8547" t="str">
        <f>"ALESSANDRO DA CONCEICAO BRASILEIRO (1047)"</f>
        <v>ALESSANDRO DA CONCEICAO BRASILEIRO (1047)</v>
      </c>
      <c r="H8547" t="s">
        <v>2421</v>
      </c>
      <c r="I8547" t="str">
        <f t="shared" si="1587"/>
        <v>06/11/2025</v>
      </c>
      <c r="J8547" t="str">
        <f>("05/11/2025")</f>
        <v>05/11/2025</v>
      </c>
      <c r="K8547">
        <v>45961</v>
      </c>
      <c r="N8547">
        <v>134</v>
      </c>
      <c r="O8547" t="s">
        <v>41</v>
      </c>
      <c r="Q8547">
        <v>118.31</v>
      </c>
      <c r="R8547" t="str">
        <f>"DROGALIDER 55 (10249)"</f>
        <v>DROGALIDER 55 (10249)</v>
      </c>
      <c r="S8547" t="s">
        <v>22</v>
      </c>
      <c r="T8547">
        <v>20441</v>
      </c>
      <c r="U8547">
        <v>24915</v>
      </c>
      <c r="V8547" t="s">
        <v>22</v>
      </c>
    </row>
    <row r="8548" spans="1:22">
      <c r="A8548" t="str">
        <f t="shared" si="1579"/>
        <v>31/10/2025</v>
      </c>
      <c r="B8548" t="str">
        <f t="shared" si="1585"/>
        <v>SAÍDA</v>
      </c>
      <c r="C8548" t="str">
        <f t="shared" si="1586"/>
        <v>PIX</v>
      </c>
      <c r="D8548" t="str">
        <f>"24915"</f>
        <v>24915</v>
      </c>
      <c r="E8548" t="str">
        <f t="shared" si="1584"/>
        <v>1</v>
      </c>
      <c r="F8548" t="str">
        <f t="shared" si="1582"/>
        <v>COM</v>
      </c>
      <c r="G8548" t="str">
        <f>"ALESSANDRO DA CONCEICAO BRASILEIRO (1047)"</f>
        <v>ALESSANDRO DA CONCEICAO BRASILEIRO (1047)</v>
      </c>
      <c r="H8548" t="s">
        <v>2421</v>
      </c>
      <c r="I8548" t="str">
        <f t="shared" si="1587"/>
        <v>06/11/2025</v>
      </c>
      <c r="J8548" t="str">
        <f>("05/11/2025")</f>
        <v>05/11/2025</v>
      </c>
      <c r="K8548">
        <v>45961</v>
      </c>
      <c r="N8548">
        <v>134</v>
      </c>
      <c r="O8548" t="s">
        <v>41</v>
      </c>
      <c r="Q8548">
        <v>18.68</v>
      </c>
      <c r="R8548" t="str">
        <f>"DROGALIDER 67 (10252)"</f>
        <v>DROGALIDER 67 (10252)</v>
      </c>
      <c r="S8548" t="s">
        <v>22</v>
      </c>
      <c r="T8548">
        <v>20441</v>
      </c>
      <c r="U8548">
        <v>24915</v>
      </c>
      <c r="V8548" t="s">
        <v>22</v>
      </c>
    </row>
    <row r="8549" spans="1:22">
      <c r="A8549" t="str">
        <f t="shared" si="1579"/>
        <v>31/10/2025</v>
      </c>
      <c r="B8549" t="str">
        <f t="shared" si="1585"/>
        <v>SAÍDA</v>
      </c>
      <c r="C8549" t="str">
        <f t="shared" si="1586"/>
        <v>PIX</v>
      </c>
      <c r="D8549" t="str">
        <f>"24915"</f>
        <v>24915</v>
      </c>
      <c r="E8549" t="str">
        <f t="shared" si="1584"/>
        <v>1</v>
      </c>
      <c r="F8549" t="str">
        <f t="shared" si="1582"/>
        <v>COM</v>
      </c>
      <c r="G8549" t="str">
        <f>"ALESSANDRO DA CONCEICAO BRASILEIRO (1047)"</f>
        <v>ALESSANDRO DA CONCEICAO BRASILEIRO (1047)</v>
      </c>
      <c r="H8549" t="s">
        <v>2421</v>
      </c>
      <c r="I8549" t="str">
        <f t="shared" si="1587"/>
        <v>06/11/2025</v>
      </c>
      <c r="J8549" t="str">
        <f>("05/11/2025")</f>
        <v>05/11/2025</v>
      </c>
      <c r="K8549">
        <v>45961</v>
      </c>
      <c r="N8549">
        <v>134</v>
      </c>
      <c r="O8549" t="s">
        <v>41</v>
      </c>
      <c r="Q8549">
        <v>186.78</v>
      </c>
      <c r="R8549" t="str">
        <f>"DROGALIDER 31 (10256)"</f>
        <v>DROGALIDER 31 (10256)</v>
      </c>
      <c r="S8549" t="s">
        <v>22</v>
      </c>
      <c r="T8549">
        <v>20441</v>
      </c>
      <c r="U8549">
        <v>24915</v>
      </c>
      <c r="V8549" t="s">
        <v>22</v>
      </c>
    </row>
    <row r="8550" spans="1:22">
      <c r="A8550" t="str">
        <f t="shared" si="1579"/>
        <v>31/10/2025</v>
      </c>
      <c r="B8550" t="str">
        <f t="shared" si="1585"/>
        <v>SAÍDA</v>
      </c>
      <c r="C8550" t="str">
        <f t="shared" si="1586"/>
        <v>PIX</v>
      </c>
      <c r="D8550" t="str">
        <f>"24607"</f>
        <v>24607</v>
      </c>
      <c r="E8550" t="str">
        <f t="shared" si="1584"/>
        <v>1</v>
      </c>
      <c r="F8550" t="str">
        <f t="shared" si="1582"/>
        <v>COM</v>
      </c>
      <c r="G8550" t="str">
        <f>"RAIMUNDO SARAIVA DE LIMA FILHO (1048)"</f>
        <v>RAIMUNDO SARAIVA DE LIMA FILHO (1048)</v>
      </c>
      <c r="H8550" t="str">
        <f>"Serv.Prest. 27/10/2025 a 02/11/2025 - PIX: CELULAR - CHAVE: (11) 94875-4305"</f>
        <v>Serv.Prest. 27/10/2025 a 02/11/2025 - PIX: CELULAR - CHAVE: (11) 94875-4305</v>
      </c>
      <c r="I8550" t="str">
        <f t="shared" si="1587"/>
        <v>06/11/2025</v>
      </c>
      <c r="J8550" t="str">
        <f>("03/11/2025")</f>
        <v>03/11/2025</v>
      </c>
      <c r="K8550" t="str">
        <f>("31/10/2025")</f>
        <v>31/10/2025</v>
      </c>
      <c r="L8550">
        <v>200</v>
      </c>
      <c r="M8550">
        <v>200</v>
      </c>
      <c r="N8550">
        <v>134</v>
      </c>
      <c r="O8550" t="str">
        <f>"DIARIA DE MOTOBOY"</f>
        <v>DIARIA DE MOTOBOY</v>
      </c>
      <c r="P8550">
        <v>200</v>
      </c>
      <c r="S8550" t="str">
        <f>"BANCO CORA (102)"</f>
        <v>BANCO CORA (102)</v>
      </c>
      <c r="T8550">
        <v>20444</v>
      </c>
      <c r="U8550">
        <v>24920</v>
      </c>
      <c r="V8550" t="s">
        <v>22</v>
      </c>
    </row>
    <row r="8551" spans="1:22">
      <c r="A8551" t="str">
        <f t="shared" si="1579"/>
        <v>31/10/2025</v>
      </c>
      <c r="B8551" t="str">
        <f t="shared" si="1585"/>
        <v>SAÍDA</v>
      </c>
      <c r="C8551" t="str">
        <f t="shared" si="1586"/>
        <v>PIX</v>
      </c>
      <c r="D8551" t="str">
        <f>"24607"</f>
        <v>24607</v>
      </c>
      <c r="E8551" t="str">
        <f t="shared" si="1584"/>
        <v>1</v>
      </c>
      <c r="F8551" t="str">
        <f t="shared" si="1582"/>
        <v>COM</v>
      </c>
      <c r="G8551" t="str">
        <f>"RAIMUNDO SARAIVA DE LIMA FILHO (1048)"</f>
        <v>RAIMUNDO SARAIVA DE LIMA FILHO (1048)</v>
      </c>
      <c r="H8551" t="s">
        <v>2181</v>
      </c>
      <c r="I8551" t="str">
        <f t="shared" si="1587"/>
        <v>06/11/2025</v>
      </c>
      <c r="J8551" t="str">
        <f>("03/11/2025")</f>
        <v>03/11/2025</v>
      </c>
      <c r="K8551">
        <v>45961</v>
      </c>
      <c r="N8551">
        <v>134</v>
      </c>
      <c r="O8551" t="s">
        <v>41</v>
      </c>
      <c r="Q8551">
        <v>200</v>
      </c>
      <c r="R8551" t="str">
        <f>"PENSE FARMA 46 (10194)"</f>
        <v>PENSE FARMA 46 (10194)</v>
      </c>
      <c r="S8551" t="s">
        <v>22</v>
      </c>
      <c r="T8551">
        <v>20444</v>
      </c>
      <c r="U8551">
        <v>24920</v>
      </c>
      <c r="V8551" t="s">
        <v>22</v>
      </c>
    </row>
    <row r="8552" spans="1:22">
      <c r="A8552" t="str">
        <f t="shared" si="1579"/>
        <v>31/10/2025</v>
      </c>
      <c r="B8552" t="str">
        <f t="shared" si="1585"/>
        <v>SAÍDA</v>
      </c>
      <c r="C8552" t="str">
        <f t="shared" si="1586"/>
        <v>PIX</v>
      </c>
      <c r="D8552" t="str">
        <f>"24629"</f>
        <v>24629</v>
      </c>
      <c r="E8552" t="str">
        <f t="shared" si="1584"/>
        <v>1</v>
      </c>
      <c r="F8552" t="str">
        <f t="shared" si="1582"/>
        <v>COM</v>
      </c>
      <c r="G8552" t="str">
        <f>"DEIVID FERNANDES COSTA (828)"</f>
        <v>DEIVID FERNANDES COSTA (828)</v>
      </c>
      <c r="H8552" t="str">
        <f>"Serv.Prest. 27/10/2025 a 02/11/2025 - PIX: CELULAR - CHAVE: (62) 99550-3226"</f>
        <v>Serv.Prest. 27/10/2025 a 02/11/2025 - PIX: CELULAR - CHAVE: (62) 99550-3226</v>
      </c>
      <c r="I8552" t="str">
        <f t="shared" si="1587"/>
        <v>06/11/2025</v>
      </c>
      <c r="J8552" t="str">
        <f>("03/11/2025")</f>
        <v>03/11/2025</v>
      </c>
      <c r="K8552" t="str">
        <f>("31/10/2025")</f>
        <v>31/10/2025</v>
      </c>
      <c r="L8552">
        <v>150</v>
      </c>
      <c r="M8552">
        <v>150</v>
      </c>
      <c r="N8552">
        <v>109</v>
      </c>
      <c r="O8552" t="str">
        <f>"PAGAMENTO DE ENTREGADORES"</f>
        <v>PAGAMENTO DE ENTREGADORES</v>
      </c>
      <c r="P8552">
        <v>150</v>
      </c>
      <c r="S8552" t="str">
        <f>"BANCO CORA (102)"</f>
        <v>BANCO CORA (102)</v>
      </c>
      <c r="T8552">
        <v>20445</v>
      </c>
      <c r="U8552">
        <v>24921</v>
      </c>
      <c r="V8552" t="s">
        <v>22</v>
      </c>
    </row>
    <row r="8553" spans="1:22">
      <c r="A8553" t="str">
        <f t="shared" si="1579"/>
        <v>31/10/2025</v>
      </c>
      <c r="B8553" t="str">
        <f t="shared" si="1585"/>
        <v>SAÍDA</v>
      </c>
      <c r="C8553" t="str">
        <f t="shared" si="1586"/>
        <v>PIX</v>
      </c>
      <c r="D8553" t="str">
        <f>"24629"</f>
        <v>24629</v>
      </c>
      <c r="E8553" t="str">
        <f t="shared" si="1584"/>
        <v>1</v>
      </c>
      <c r="F8553" t="str">
        <f t="shared" si="1582"/>
        <v>COM</v>
      </c>
      <c r="G8553" t="str">
        <f>"DEIVID FERNANDES COSTA (828)"</f>
        <v>DEIVID FERNANDES COSTA (828)</v>
      </c>
      <c r="H8553" t="s">
        <v>2422</v>
      </c>
      <c r="I8553" t="str">
        <f t="shared" si="1587"/>
        <v>06/11/2025</v>
      </c>
      <c r="J8553" t="str">
        <f>("03/11/2025")</f>
        <v>03/11/2025</v>
      </c>
      <c r="K8553">
        <v>45961</v>
      </c>
      <c r="N8553">
        <v>109</v>
      </c>
      <c r="O8553" t="s">
        <v>24</v>
      </c>
      <c r="Q8553">
        <v>150</v>
      </c>
      <c r="R8553" t="str">
        <f>"BRASIL FARMA (10173)"</f>
        <v>BRASIL FARMA (10173)</v>
      </c>
      <c r="S8553" t="s">
        <v>22</v>
      </c>
      <c r="T8553">
        <v>20445</v>
      </c>
      <c r="U8553">
        <v>24921</v>
      </c>
      <c r="V8553" t="s">
        <v>22</v>
      </c>
    </row>
    <row r="8554" spans="1:22">
      <c r="A8554" t="str">
        <f t="shared" si="1579"/>
        <v>31/10/2025</v>
      </c>
      <c r="B8554" t="str">
        <f t="shared" si="1585"/>
        <v>SAÍDA</v>
      </c>
      <c r="C8554" t="str">
        <f t="shared" si="1586"/>
        <v>PIX</v>
      </c>
      <c r="D8554" t="str">
        <f>"24871"</f>
        <v>24871</v>
      </c>
      <c r="E8554" t="str">
        <f t="shared" si="1584"/>
        <v>1</v>
      </c>
      <c r="F8554" t="str">
        <f t="shared" si="1582"/>
        <v>COM</v>
      </c>
      <c r="G8554" t="str">
        <f t="shared" ref="G8554:G8559" si="1588">"CHARLES SOUZA RIBEIRO (1040)"</f>
        <v>CHARLES SOUZA RIBEIRO (1040)</v>
      </c>
      <c r="H8554" t="str">
        <f>"Serv.Prest. 27/10/2025 a 02/11/2025 - PIX: CELULAR - CHAVE: (34) 99668-5593"</f>
        <v>Serv.Prest. 27/10/2025 a 02/11/2025 - PIX: CELULAR - CHAVE: (34) 99668-5593</v>
      </c>
      <c r="I8554" t="str">
        <f t="shared" si="1587"/>
        <v>06/11/2025</v>
      </c>
      <c r="J8554" t="str">
        <f t="shared" ref="J8554:J8559" si="1589">("04/11/2025")</f>
        <v>04/11/2025</v>
      </c>
      <c r="K8554" t="str">
        <f>("31/10/2025")</f>
        <v>31/10/2025</v>
      </c>
      <c r="L8554">
        <v>228</v>
      </c>
      <c r="M8554">
        <v>222</v>
      </c>
      <c r="N8554">
        <v>109</v>
      </c>
      <c r="O8554" t="str">
        <f>"PAGAMENTO DE ENTREGADORES"</f>
        <v>PAGAMENTO DE ENTREGADORES</v>
      </c>
      <c r="P8554">
        <v>222</v>
      </c>
      <c r="S8554" t="str">
        <f>"BANCO CORA (102)"</f>
        <v>BANCO CORA (102)</v>
      </c>
      <c r="T8554">
        <v>20447</v>
      </c>
      <c r="U8554">
        <v>24871</v>
      </c>
      <c r="V8554" t="s">
        <v>22</v>
      </c>
    </row>
    <row r="8555" spans="1:22">
      <c r="A8555" t="str">
        <f t="shared" si="1579"/>
        <v>31/10/2025</v>
      </c>
      <c r="B8555" t="str">
        <f t="shared" si="1585"/>
        <v>SAÍDA</v>
      </c>
      <c r="C8555" t="str">
        <f t="shared" si="1586"/>
        <v>PIX</v>
      </c>
      <c r="D8555" t="str">
        <f>"24871"</f>
        <v>24871</v>
      </c>
      <c r="E8555" t="str">
        <f t="shared" si="1584"/>
        <v>1</v>
      </c>
      <c r="F8555" t="str">
        <f t="shared" si="1582"/>
        <v>COM</v>
      </c>
      <c r="G8555" t="str">
        <f t="shared" si="1588"/>
        <v>CHARLES SOUZA RIBEIRO (1040)</v>
      </c>
      <c r="H8555" t="s">
        <v>2423</v>
      </c>
      <c r="I8555" t="str">
        <f t="shared" si="1587"/>
        <v>06/11/2025</v>
      </c>
      <c r="J8555" t="str">
        <f t="shared" si="1589"/>
        <v>04/11/2025</v>
      </c>
      <c r="K8555">
        <v>45961</v>
      </c>
      <c r="N8555">
        <v>109</v>
      </c>
      <c r="O8555" t="s">
        <v>24</v>
      </c>
      <c r="Q8555">
        <v>222</v>
      </c>
      <c r="R8555" t="str">
        <f>"PAGMENOS - LJ 768 (10266)"</f>
        <v>PAGMENOS - LJ 768 (10266)</v>
      </c>
      <c r="S8555" t="s">
        <v>22</v>
      </c>
      <c r="T8555">
        <v>20447</v>
      </c>
      <c r="U8555">
        <v>24871</v>
      </c>
      <c r="V8555" t="s">
        <v>22</v>
      </c>
    </row>
    <row r="8556" spans="1:22">
      <c r="A8556" t="str">
        <f t="shared" si="1579"/>
        <v>31/10/2025</v>
      </c>
      <c r="B8556" t="str">
        <f t="shared" si="1585"/>
        <v>SAÍDA</v>
      </c>
      <c r="C8556" t="str">
        <f t="shared" si="1586"/>
        <v>PIX</v>
      </c>
      <c r="D8556" t="str">
        <f>"24876"</f>
        <v>24876</v>
      </c>
      <c r="E8556" t="str">
        <f t="shared" si="1584"/>
        <v>1</v>
      </c>
      <c r="F8556" t="str">
        <f t="shared" si="1582"/>
        <v>COM</v>
      </c>
      <c r="G8556" t="str">
        <f t="shared" si="1588"/>
        <v>CHARLES SOUZA RIBEIRO (1040)</v>
      </c>
      <c r="H8556" t="str">
        <f>"Serv.Prest. 27/10/2025 a 02/11/2025 - PIX: CELULAR - CHAVE: (34) 99668-5593"</f>
        <v>Serv.Prest. 27/10/2025 a 02/11/2025 - PIX: CELULAR - CHAVE: (34) 99668-5593</v>
      </c>
      <c r="I8556" t="str">
        <f t="shared" si="1587"/>
        <v>06/11/2025</v>
      </c>
      <c r="J8556" t="str">
        <f t="shared" si="1589"/>
        <v>04/11/2025</v>
      </c>
      <c r="K8556" t="str">
        <f>("31/10/2025")</f>
        <v>31/10/2025</v>
      </c>
      <c r="L8556">
        <v>78</v>
      </c>
      <c r="M8556">
        <v>78</v>
      </c>
      <c r="N8556">
        <v>109</v>
      </c>
      <c r="O8556" t="str">
        <f>"PAGAMENTO DE ENTREGADORES"</f>
        <v>PAGAMENTO DE ENTREGADORES</v>
      </c>
      <c r="S8556" t="str">
        <f>"BANCO CORA (102)"</f>
        <v>BANCO CORA (102)</v>
      </c>
      <c r="T8556">
        <v>20447</v>
      </c>
      <c r="U8556">
        <v>24876</v>
      </c>
      <c r="V8556" t="s">
        <v>22</v>
      </c>
    </row>
    <row r="8557" spans="1:22">
      <c r="A8557" t="str">
        <f t="shared" si="1579"/>
        <v>31/10/2025</v>
      </c>
      <c r="B8557" t="str">
        <f t="shared" si="1585"/>
        <v>SAÍDA</v>
      </c>
      <c r="C8557" t="str">
        <f t="shared" si="1586"/>
        <v>PIX</v>
      </c>
      <c r="D8557" t="str">
        <f>"24876"</f>
        <v>24876</v>
      </c>
      <c r="E8557" t="str">
        <f t="shared" si="1584"/>
        <v>1</v>
      </c>
      <c r="F8557" t="str">
        <f t="shared" si="1582"/>
        <v>COM</v>
      </c>
      <c r="G8557" t="str">
        <f t="shared" si="1588"/>
        <v>CHARLES SOUZA RIBEIRO (1040)</v>
      </c>
      <c r="H8557" t="s">
        <v>2423</v>
      </c>
      <c r="I8557" t="str">
        <f t="shared" si="1587"/>
        <v>06/11/2025</v>
      </c>
      <c r="J8557" t="str">
        <f t="shared" si="1589"/>
        <v>04/11/2025</v>
      </c>
      <c r="K8557">
        <v>45961</v>
      </c>
      <c r="N8557">
        <v>109</v>
      </c>
      <c r="O8557" t="s">
        <v>24</v>
      </c>
      <c r="Q8557">
        <v>78</v>
      </c>
      <c r="R8557" t="str">
        <f>"PAGMENOS - LJ 431 (10265)"</f>
        <v>PAGMENOS - LJ 431 (10265)</v>
      </c>
      <c r="S8557" t="s">
        <v>22</v>
      </c>
      <c r="T8557">
        <v>20447</v>
      </c>
      <c r="U8557">
        <v>24876</v>
      </c>
      <c r="V8557" t="s">
        <v>22</v>
      </c>
    </row>
    <row r="8558" spans="1:22">
      <c r="A8558" t="str">
        <f t="shared" si="1579"/>
        <v>31/10/2025</v>
      </c>
      <c r="B8558" t="str">
        <f t="shared" si="1585"/>
        <v>SAÍDA</v>
      </c>
      <c r="C8558" t="str">
        <f t="shared" si="1586"/>
        <v>PIX</v>
      </c>
      <c r="D8558" t="str">
        <f>"24871"</f>
        <v>24871</v>
      </c>
      <c r="E8558" t="str">
        <f t="shared" si="1584"/>
        <v>1</v>
      </c>
      <c r="F8558" t="str">
        <f t="shared" si="1582"/>
        <v>COM</v>
      </c>
      <c r="G8558" t="str">
        <f t="shared" si="1588"/>
        <v>CHARLES SOUZA RIBEIRO (1040)</v>
      </c>
      <c r="H8558" t="str">
        <f>"Serv.Prest. 27/10/2025 a 02/11/2025 - PIX: CELULAR - CHAVE: (34) 99668-5593"</f>
        <v>Serv.Prest. 27/10/2025 a 02/11/2025 - PIX: CELULAR - CHAVE: (34) 99668-5593</v>
      </c>
      <c r="I8558" t="str">
        <f t="shared" si="1587"/>
        <v>06/11/2025</v>
      </c>
      <c r="J8558" t="str">
        <f t="shared" si="1589"/>
        <v>04/11/2025</v>
      </c>
      <c r="K8558" t="str">
        <f>("31/10/2025")</f>
        <v>31/10/2025</v>
      </c>
      <c r="L8558">
        <v>228</v>
      </c>
      <c r="M8558">
        <v>222</v>
      </c>
      <c r="N8558">
        <v>134</v>
      </c>
      <c r="O8558" t="str">
        <f>"DIARIA DE MOTOBOY"</f>
        <v>DIARIA DE MOTOBOY</v>
      </c>
      <c r="P8558">
        <v>78</v>
      </c>
      <c r="S8558" t="str">
        <f>"BANCO CORA (102)"</f>
        <v>BANCO CORA (102)</v>
      </c>
      <c r="T8558">
        <v>20447</v>
      </c>
      <c r="U8558">
        <v>24871</v>
      </c>
      <c r="V8558" t="s">
        <v>22</v>
      </c>
    </row>
    <row r="8559" spans="1:22">
      <c r="A8559" t="str">
        <f t="shared" si="1579"/>
        <v>31/10/2025</v>
      </c>
      <c r="B8559" t="str">
        <f t="shared" si="1585"/>
        <v>SAÍDA</v>
      </c>
      <c r="C8559" t="str">
        <f t="shared" si="1586"/>
        <v>PIX</v>
      </c>
      <c r="D8559" t="str">
        <f>"24871"</f>
        <v>24871</v>
      </c>
      <c r="E8559" t="str">
        <f t="shared" si="1584"/>
        <v>1</v>
      </c>
      <c r="F8559" t="str">
        <f t="shared" si="1582"/>
        <v>COM</v>
      </c>
      <c r="G8559" t="str">
        <f t="shared" si="1588"/>
        <v>CHARLES SOUZA RIBEIRO (1040)</v>
      </c>
      <c r="H8559" t="s">
        <v>2423</v>
      </c>
      <c r="I8559" t="str">
        <f t="shared" si="1587"/>
        <v>06/11/2025</v>
      </c>
      <c r="J8559" t="str">
        <f t="shared" si="1589"/>
        <v>04/11/2025</v>
      </c>
      <c r="K8559">
        <v>45961</v>
      </c>
      <c r="N8559">
        <v>134</v>
      </c>
      <c r="O8559" t="s">
        <v>41</v>
      </c>
      <c r="Q8559">
        <v>222</v>
      </c>
      <c r="R8559" t="str">
        <f>"PAGMENOS - LJ 768 (10266)"</f>
        <v>PAGMENOS - LJ 768 (10266)</v>
      </c>
      <c r="S8559" t="s">
        <v>22</v>
      </c>
      <c r="T8559">
        <v>20447</v>
      </c>
      <c r="U8559">
        <v>24871</v>
      </c>
      <c r="V8559" t="s">
        <v>22</v>
      </c>
    </row>
    <row r="8560" spans="1:22">
      <c r="A8560" t="str">
        <f t="shared" si="1579"/>
        <v>31/10/2025</v>
      </c>
      <c r="B8560" t="str">
        <f t="shared" si="1585"/>
        <v>SAÍDA</v>
      </c>
      <c r="C8560" t="str">
        <f t="shared" si="1586"/>
        <v>PIX</v>
      </c>
      <c r="D8560" t="str">
        <f>"24646"</f>
        <v>24646</v>
      </c>
      <c r="E8560" t="str">
        <f t="shared" si="1584"/>
        <v>1</v>
      </c>
      <c r="F8560" t="str">
        <f t="shared" si="1582"/>
        <v>COM</v>
      </c>
      <c r="G8560" t="str">
        <f>"EDUARDO MARQUES DOS SANTOS (787)"</f>
        <v>EDUARDO MARQUES DOS SANTOS (787)</v>
      </c>
      <c r="H8560" t="str">
        <f>"Serv.Prest. 27/10/2025 a 02/11/2025 - PIX: CELULAR - CHAVE: (11) 97402-1586"</f>
        <v>Serv.Prest. 27/10/2025 a 02/11/2025 - PIX: CELULAR - CHAVE: (11) 97402-1586</v>
      </c>
      <c r="I8560" t="str">
        <f t="shared" si="1587"/>
        <v>06/11/2025</v>
      </c>
      <c r="J8560" t="str">
        <f>("03/11/2025")</f>
        <v>03/11/2025</v>
      </c>
      <c r="K8560" t="str">
        <f>("31/10/2025")</f>
        <v>31/10/2025</v>
      </c>
      <c r="L8560">
        <v>105</v>
      </c>
      <c r="M8560">
        <v>130</v>
      </c>
      <c r="N8560">
        <v>109</v>
      </c>
      <c r="O8560" t="str">
        <f>"PAGAMENTO DE ENTREGADORES"</f>
        <v>PAGAMENTO DE ENTREGADORES</v>
      </c>
      <c r="P8560">
        <v>130</v>
      </c>
      <c r="S8560" t="str">
        <f>"BANCO CORA (102)"</f>
        <v>BANCO CORA (102)</v>
      </c>
      <c r="T8560">
        <v>20456</v>
      </c>
      <c r="U8560">
        <v>24927</v>
      </c>
      <c r="V8560" t="s">
        <v>22</v>
      </c>
    </row>
    <row r="8561" spans="1:22">
      <c r="A8561" t="str">
        <f t="shared" si="1579"/>
        <v>31/10/2025</v>
      </c>
      <c r="B8561" t="str">
        <f t="shared" si="1585"/>
        <v>SAÍDA</v>
      </c>
      <c r="C8561" t="str">
        <f t="shared" si="1586"/>
        <v>PIX</v>
      </c>
      <c r="D8561" t="str">
        <f>"24646"</f>
        <v>24646</v>
      </c>
      <c r="E8561" t="str">
        <f t="shared" si="1584"/>
        <v>1</v>
      </c>
      <c r="F8561" t="str">
        <f t="shared" si="1582"/>
        <v>COM</v>
      </c>
      <c r="G8561" t="str">
        <f>"EDUARDO MARQUES DOS SANTOS (787)"</f>
        <v>EDUARDO MARQUES DOS SANTOS (787)</v>
      </c>
      <c r="H8561" t="s">
        <v>2424</v>
      </c>
      <c r="I8561" t="str">
        <f t="shared" si="1587"/>
        <v>06/11/2025</v>
      </c>
      <c r="J8561" t="str">
        <f>("03/11/2025")</f>
        <v>03/11/2025</v>
      </c>
      <c r="K8561">
        <v>45961</v>
      </c>
      <c r="N8561">
        <v>109</v>
      </c>
      <c r="O8561" t="s">
        <v>24</v>
      </c>
      <c r="Q8561">
        <v>130</v>
      </c>
      <c r="R8561" t="str">
        <f>"DROGARIA MORENO LTDA (10171)"</f>
        <v>DROGARIA MORENO LTDA (10171)</v>
      </c>
      <c r="S8561" t="s">
        <v>22</v>
      </c>
      <c r="T8561">
        <v>20456</v>
      </c>
      <c r="U8561">
        <v>24927</v>
      </c>
      <c r="V8561" t="s">
        <v>22</v>
      </c>
    </row>
    <row r="8562" spans="1:22">
      <c r="A8562" t="str">
        <f t="shared" si="1579"/>
        <v>31/10/2025</v>
      </c>
      <c r="B8562" t="str">
        <f t="shared" si="1585"/>
        <v>SAÍDA</v>
      </c>
      <c r="C8562" t="str">
        <f t="shared" si="1586"/>
        <v>PIX</v>
      </c>
      <c r="D8562" t="str">
        <f t="shared" ref="D8562:D8567" si="1590">"24904"</f>
        <v>24904</v>
      </c>
      <c r="E8562" t="str">
        <f t="shared" si="1584"/>
        <v>1</v>
      </c>
      <c r="F8562" t="str">
        <f t="shared" si="1582"/>
        <v>COM</v>
      </c>
      <c r="G8562" t="str">
        <f t="shared" ref="G8562:G8567" si="1591">"HANDREY RAFAEL TEODORO GEROLIM (1029)"</f>
        <v>HANDREY RAFAEL TEODORO GEROLIM (1029)</v>
      </c>
      <c r="H8562" t="str">
        <f>"Serv.Prest. 27/10/2025 a 02/11/2025 - PIX: CPF - CHAVE: 126.720.606-30"</f>
        <v>Serv.Prest. 27/10/2025 a 02/11/2025 - PIX: CPF - CHAVE: 126.720.606-30</v>
      </c>
      <c r="I8562" t="str">
        <f t="shared" si="1587"/>
        <v>06/11/2025</v>
      </c>
      <c r="J8562" t="str">
        <f t="shared" ref="J8562:J8567" si="1592">("05/11/2025")</f>
        <v>05/11/2025</v>
      </c>
      <c r="K8562" t="str">
        <f>("31/10/2025")</f>
        <v>31/10/2025</v>
      </c>
      <c r="L8562">
        <v>390</v>
      </c>
      <c r="M8562">
        <v>390</v>
      </c>
      <c r="N8562">
        <v>109</v>
      </c>
      <c r="O8562" t="str">
        <f>"PAGAMENTO DE ENTREGADORES"</f>
        <v>PAGAMENTO DE ENTREGADORES</v>
      </c>
      <c r="P8562">
        <v>390</v>
      </c>
      <c r="S8562" t="str">
        <f>"BANCO CORA (102)"</f>
        <v>BANCO CORA (102)</v>
      </c>
      <c r="T8562">
        <v>20471</v>
      </c>
      <c r="U8562">
        <v>24904</v>
      </c>
      <c r="V8562" t="s">
        <v>22</v>
      </c>
    </row>
    <row r="8563" spans="1:22">
      <c r="A8563" t="str">
        <f t="shared" ref="A8563:A8583" si="1593">("31/10/2025")</f>
        <v>31/10/2025</v>
      </c>
      <c r="B8563" t="str">
        <f t="shared" si="1585"/>
        <v>SAÍDA</v>
      </c>
      <c r="C8563" t="str">
        <f t="shared" si="1586"/>
        <v>PIX</v>
      </c>
      <c r="D8563" t="str">
        <f t="shared" si="1590"/>
        <v>24904</v>
      </c>
      <c r="E8563" t="str">
        <f t="shared" si="1584"/>
        <v>1</v>
      </c>
      <c r="F8563" t="str">
        <f t="shared" si="1582"/>
        <v>COM</v>
      </c>
      <c r="G8563" t="str">
        <f t="shared" si="1591"/>
        <v>HANDREY RAFAEL TEODORO GEROLIM (1029)</v>
      </c>
      <c r="H8563" t="s">
        <v>2425</v>
      </c>
      <c r="I8563" t="str">
        <f t="shared" si="1587"/>
        <v>06/11/2025</v>
      </c>
      <c r="J8563" t="str">
        <f t="shared" si="1592"/>
        <v>05/11/2025</v>
      </c>
      <c r="K8563">
        <v>45961</v>
      </c>
      <c r="N8563">
        <v>109</v>
      </c>
      <c r="O8563" t="s">
        <v>24</v>
      </c>
      <c r="Q8563">
        <v>72.58</v>
      </c>
      <c r="R8563" t="str">
        <f>"DROGALIDER 58 (10213)"</f>
        <v>DROGALIDER 58 (10213)</v>
      </c>
      <c r="S8563" t="s">
        <v>22</v>
      </c>
      <c r="T8563">
        <v>20471</v>
      </c>
      <c r="U8563">
        <v>24904</v>
      </c>
      <c r="V8563" t="s">
        <v>22</v>
      </c>
    </row>
    <row r="8564" spans="1:22">
      <c r="A8564" t="str">
        <f t="shared" si="1593"/>
        <v>31/10/2025</v>
      </c>
      <c r="B8564" t="str">
        <f t="shared" si="1585"/>
        <v>SAÍDA</v>
      </c>
      <c r="C8564" t="str">
        <f t="shared" si="1586"/>
        <v>PIX</v>
      </c>
      <c r="D8564" t="str">
        <f t="shared" si="1590"/>
        <v>24904</v>
      </c>
      <c r="E8564" t="str">
        <f t="shared" si="1584"/>
        <v>1</v>
      </c>
      <c r="F8564" t="str">
        <f t="shared" si="1582"/>
        <v>COM</v>
      </c>
      <c r="G8564" t="str">
        <f t="shared" si="1591"/>
        <v>HANDREY RAFAEL TEODORO GEROLIM (1029)</v>
      </c>
      <c r="H8564" t="s">
        <v>2425</v>
      </c>
      <c r="I8564" t="str">
        <f t="shared" si="1587"/>
        <v>06/11/2025</v>
      </c>
      <c r="J8564" t="str">
        <f t="shared" si="1592"/>
        <v>05/11/2025</v>
      </c>
      <c r="K8564">
        <v>45961</v>
      </c>
      <c r="N8564">
        <v>109</v>
      </c>
      <c r="O8564" t="s">
        <v>24</v>
      </c>
      <c r="Q8564">
        <v>72.58</v>
      </c>
      <c r="R8564" t="str">
        <f>"DROGALIDER 25 (10246)"</f>
        <v>DROGALIDER 25 (10246)</v>
      </c>
      <c r="S8564" t="s">
        <v>22</v>
      </c>
      <c r="T8564">
        <v>20471</v>
      </c>
      <c r="U8564">
        <v>24904</v>
      </c>
      <c r="V8564" t="s">
        <v>22</v>
      </c>
    </row>
    <row r="8565" spans="1:22">
      <c r="A8565" t="str">
        <f t="shared" si="1593"/>
        <v>31/10/2025</v>
      </c>
      <c r="B8565" t="str">
        <f t="shared" si="1585"/>
        <v>SAÍDA</v>
      </c>
      <c r="C8565" t="str">
        <f t="shared" si="1586"/>
        <v>PIX</v>
      </c>
      <c r="D8565" t="str">
        <f t="shared" si="1590"/>
        <v>24904</v>
      </c>
      <c r="E8565" t="str">
        <f t="shared" si="1584"/>
        <v>1</v>
      </c>
      <c r="F8565" t="str">
        <f t="shared" si="1582"/>
        <v>COM</v>
      </c>
      <c r="G8565" t="str">
        <f t="shared" si="1591"/>
        <v>HANDREY RAFAEL TEODORO GEROLIM (1029)</v>
      </c>
      <c r="H8565" t="s">
        <v>2425</v>
      </c>
      <c r="I8565" t="str">
        <f t="shared" si="1587"/>
        <v>06/11/2025</v>
      </c>
      <c r="J8565" t="str">
        <f t="shared" si="1592"/>
        <v>05/11/2025</v>
      </c>
      <c r="K8565">
        <v>45961</v>
      </c>
      <c r="N8565">
        <v>109</v>
      </c>
      <c r="O8565" t="s">
        <v>24</v>
      </c>
      <c r="Q8565">
        <v>172.34</v>
      </c>
      <c r="R8565" t="str">
        <f>"DROGALIDER 46 (10248)"</f>
        <v>DROGALIDER 46 (10248)</v>
      </c>
      <c r="S8565" t="s">
        <v>22</v>
      </c>
      <c r="T8565">
        <v>20471</v>
      </c>
      <c r="U8565">
        <v>24904</v>
      </c>
      <c r="V8565" t="s">
        <v>22</v>
      </c>
    </row>
    <row r="8566" spans="1:22">
      <c r="A8566" t="str">
        <f t="shared" si="1593"/>
        <v>31/10/2025</v>
      </c>
      <c r="B8566" t="str">
        <f t="shared" si="1585"/>
        <v>SAÍDA</v>
      </c>
      <c r="C8566" t="str">
        <f t="shared" si="1586"/>
        <v>PIX</v>
      </c>
      <c r="D8566" t="str">
        <f t="shared" si="1590"/>
        <v>24904</v>
      </c>
      <c r="E8566" t="str">
        <f t="shared" si="1584"/>
        <v>1</v>
      </c>
      <c r="F8566" t="str">
        <f t="shared" si="1582"/>
        <v>COM</v>
      </c>
      <c r="G8566" t="str">
        <f t="shared" si="1591"/>
        <v>HANDREY RAFAEL TEODORO GEROLIM (1029)</v>
      </c>
      <c r="H8566" t="s">
        <v>2425</v>
      </c>
      <c r="I8566" t="str">
        <f t="shared" si="1587"/>
        <v>06/11/2025</v>
      </c>
      <c r="J8566" t="str">
        <f t="shared" si="1592"/>
        <v>05/11/2025</v>
      </c>
      <c r="K8566">
        <v>45961</v>
      </c>
      <c r="N8566">
        <v>109</v>
      </c>
      <c r="O8566" t="s">
        <v>24</v>
      </c>
      <c r="Q8566">
        <v>54.4</v>
      </c>
      <c r="R8566" t="str">
        <f>"DROGALIDER 64 (10250)"</f>
        <v>DROGALIDER 64 (10250)</v>
      </c>
      <c r="S8566" t="s">
        <v>22</v>
      </c>
      <c r="T8566">
        <v>20471</v>
      </c>
      <c r="U8566">
        <v>24904</v>
      </c>
      <c r="V8566" t="s">
        <v>22</v>
      </c>
    </row>
    <row r="8567" spans="1:22">
      <c r="A8567" t="str">
        <f t="shared" si="1593"/>
        <v>31/10/2025</v>
      </c>
      <c r="B8567" t="str">
        <f t="shared" si="1585"/>
        <v>SAÍDA</v>
      </c>
      <c r="C8567" t="str">
        <f t="shared" si="1586"/>
        <v>PIX</v>
      </c>
      <c r="D8567" t="str">
        <f t="shared" si="1590"/>
        <v>24904</v>
      </c>
      <c r="E8567" t="str">
        <f t="shared" si="1584"/>
        <v>1</v>
      </c>
      <c r="F8567" t="str">
        <f t="shared" si="1582"/>
        <v>COM</v>
      </c>
      <c r="G8567" t="str">
        <f t="shared" si="1591"/>
        <v>HANDREY RAFAEL TEODORO GEROLIM (1029)</v>
      </c>
      <c r="H8567" t="s">
        <v>2425</v>
      </c>
      <c r="I8567" t="str">
        <f t="shared" si="1587"/>
        <v>06/11/2025</v>
      </c>
      <c r="J8567" t="str">
        <f t="shared" si="1592"/>
        <v>05/11/2025</v>
      </c>
      <c r="K8567">
        <v>45961</v>
      </c>
      <c r="N8567">
        <v>109</v>
      </c>
      <c r="O8567" t="s">
        <v>24</v>
      </c>
      <c r="Q8567">
        <v>18.100000000000001</v>
      </c>
      <c r="R8567" t="str">
        <f>"DROGALIDER 66 (10251)"</f>
        <v>DROGALIDER 66 (10251)</v>
      </c>
      <c r="S8567" t="s">
        <v>22</v>
      </c>
      <c r="T8567">
        <v>20471</v>
      </c>
      <c r="U8567">
        <v>24904</v>
      </c>
      <c r="V8567" t="s">
        <v>22</v>
      </c>
    </row>
    <row r="8568" spans="1:22">
      <c r="A8568" t="str">
        <f t="shared" si="1593"/>
        <v>31/10/2025</v>
      </c>
      <c r="B8568" t="str">
        <f t="shared" si="1585"/>
        <v>SAÍDA</v>
      </c>
      <c r="C8568" t="str">
        <f t="shared" si="1586"/>
        <v>PIX</v>
      </c>
      <c r="D8568" t="str">
        <f>"24807"</f>
        <v>24807</v>
      </c>
      <c r="E8568" t="str">
        <f t="shared" si="1584"/>
        <v>1</v>
      </c>
      <c r="F8568" t="str">
        <f t="shared" si="1582"/>
        <v>COM</v>
      </c>
      <c r="G8568" t="str">
        <f>"RAFAEL MONTEIRO DE CASTRO VITRAL (1038)"</f>
        <v>RAFAEL MONTEIRO DE CASTRO VITRAL (1038)</v>
      </c>
      <c r="H8568" t="str">
        <f>"Serv.Prest. 24/10/2025 a 02/11/2025 - PIX: CELULAR - CHAVE: (24) 99846-2202"</f>
        <v>Serv.Prest. 24/10/2025 a 02/11/2025 - PIX: CELULAR - CHAVE: (24) 99846-2202</v>
      </c>
      <c r="I8568" t="str">
        <f t="shared" ref="I8568:I8573" si="1594">("13/11/2025")</f>
        <v>13/11/2025</v>
      </c>
      <c r="J8568" t="str">
        <f t="shared" ref="J8568:J8573" si="1595">("04/11/2025")</f>
        <v>04/11/2025</v>
      </c>
      <c r="K8568" t="str">
        <f>("31/10/2025")</f>
        <v>31/10/2025</v>
      </c>
      <c r="L8568">
        <v>120</v>
      </c>
      <c r="M8568">
        <v>120</v>
      </c>
      <c r="N8568">
        <v>109</v>
      </c>
      <c r="O8568" t="str">
        <f>"PAGAMENTO DE ENTREGADORES"</f>
        <v>PAGAMENTO DE ENTREGADORES</v>
      </c>
      <c r="P8568">
        <v>120</v>
      </c>
      <c r="S8568" t="str">
        <f>"BANCO CORA (102)"</f>
        <v>BANCO CORA (102)</v>
      </c>
      <c r="T8568">
        <v>20476</v>
      </c>
      <c r="U8568">
        <v>24939</v>
      </c>
      <c r="V8568" t="s">
        <v>22</v>
      </c>
    </row>
    <row r="8569" spans="1:22">
      <c r="A8569" t="str">
        <f t="shared" si="1593"/>
        <v>31/10/2025</v>
      </c>
      <c r="B8569" t="str">
        <f t="shared" si="1585"/>
        <v>SAÍDA</v>
      </c>
      <c r="C8569" t="str">
        <f t="shared" si="1586"/>
        <v>PIX</v>
      </c>
      <c r="D8569" t="str">
        <f>"24807"</f>
        <v>24807</v>
      </c>
      <c r="E8569" t="str">
        <f t="shared" si="1584"/>
        <v>1</v>
      </c>
      <c r="F8569" t="str">
        <f t="shared" si="1582"/>
        <v>COM</v>
      </c>
      <c r="G8569" t="str">
        <f>"RAFAEL MONTEIRO DE CASTRO VITRAL (1038)"</f>
        <v>RAFAEL MONTEIRO DE CASTRO VITRAL (1038)</v>
      </c>
      <c r="H8569" t="s">
        <v>2426</v>
      </c>
      <c r="I8569" t="str">
        <f t="shared" si="1594"/>
        <v>13/11/2025</v>
      </c>
      <c r="J8569" t="str">
        <f t="shared" si="1595"/>
        <v>04/11/2025</v>
      </c>
      <c r="K8569">
        <v>45961</v>
      </c>
      <c r="N8569">
        <v>109</v>
      </c>
      <c r="O8569" t="s">
        <v>24</v>
      </c>
      <c r="Q8569">
        <v>120</v>
      </c>
      <c r="R8569" t="str">
        <f>"FARMÁCIA INDIANA LJ 219 (10091)"</f>
        <v>FARMÁCIA INDIANA LJ 219 (10091)</v>
      </c>
      <c r="S8569" t="s">
        <v>22</v>
      </c>
      <c r="T8569">
        <v>20476</v>
      </c>
      <c r="U8569">
        <v>24939</v>
      </c>
      <c r="V8569" t="s">
        <v>22</v>
      </c>
    </row>
    <row r="8570" spans="1:22">
      <c r="A8570" t="str">
        <f t="shared" si="1593"/>
        <v>31/10/2025</v>
      </c>
      <c r="B8570" t="str">
        <f t="shared" si="1585"/>
        <v>SAÍDA</v>
      </c>
      <c r="C8570" t="str">
        <f t="shared" si="1586"/>
        <v>PIX</v>
      </c>
      <c r="D8570" t="str">
        <f>"24777"</f>
        <v>24777</v>
      </c>
      <c r="E8570" t="str">
        <f t="shared" si="1584"/>
        <v>1</v>
      </c>
      <c r="F8570" t="str">
        <f t="shared" si="1582"/>
        <v>COM</v>
      </c>
      <c r="G8570" t="str">
        <f>"JUSSARA CRISTINA FARIA (783)"</f>
        <v>JUSSARA CRISTINA FARIA (783)</v>
      </c>
      <c r="H8570" t="str">
        <f>"Serv.Prest. 24/10/2025 a 02/11/2025 - PIX: CELULAR - CHAVE: (31) 99373-5678"</f>
        <v>Serv.Prest. 24/10/2025 a 02/11/2025 - PIX: CELULAR - CHAVE: (31) 99373-5678</v>
      </c>
      <c r="I8570" t="str">
        <f t="shared" si="1594"/>
        <v>13/11/2025</v>
      </c>
      <c r="J8570" t="str">
        <f t="shared" si="1595"/>
        <v>04/11/2025</v>
      </c>
      <c r="K8570" t="str">
        <f>("31/10/2025")</f>
        <v>31/10/2025</v>
      </c>
      <c r="L8570">
        <v>300</v>
      </c>
      <c r="M8570">
        <v>300</v>
      </c>
      <c r="N8570">
        <v>134</v>
      </c>
      <c r="O8570" t="str">
        <f>"DIARIA DE MOTOBOY"</f>
        <v>DIARIA DE MOTOBOY</v>
      </c>
      <c r="P8570">
        <v>300</v>
      </c>
      <c r="S8570" t="str">
        <f>"BANCO CORA (102)"</f>
        <v>BANCO CORA (102)</v>
      </c>
      <c r="T8570">
        <v>20487</v>
      </c>
      <c r="U8570">
        <v>24777</v>
      </c>
      <c r="V8570" t="s">
        <v>22</v>
      </c>
    </row>
    <row r="8571" spans="1:22">
      <c r="A8571" t="str">
        <f t="shared" si="1593"/>
        <v>31/10/2025</v>
      </c>
      <c r="B8571" t="str">
        <f t="shared" si="1585"/>
        <v>SAÍDA</v>
      </c>
      <c r="C8571" t="str">
        <f t="shared" si="1586"/>
        <v>PIX</v>
      </c>
      <c r="D8571" t="str">
        <f>"24777"</f>
        <v>24777</v>
      </c>
      <c r="E8571" t="str">
        <f t="shared" si="1584"/>
        <v>1</v>
      </c>
      <c r="F8571" t="str">
        <f t="shared" si="1582"/>
        <v>COM</v>
      </c>
      <c r="G8571" t="str">
        <f>"JUSSARA CRISTINA FARIA (783)"</f>
        <v>JUSSARA CRISTINA FARIA (783)</v>
      </c>
      <c r="H8571" t="s">
        <v>2427</v>
      </c>
      <c r="I8571" t="str">
        <f t="shared" si="1594"/>
        <v>13/11/2025</v>
      </c>
      <c r="J8571" t="str">
        <f t="shared" si="1595"/>
        <v>04/11/2025</v>
      </c>
      <c r="K8571">
        <v>45961</v>
      </c>
      <c r="N8571">
        <v>134</v>
      </c>
      <c r="O8571" t="s">
        <v>41</v>
      </c>
      <c r="Q8571">
        <v>300</v>
      </c>
      <c r="R8571" t="str">
        <f>"FARMÁCIA INDIANA LJ 110 (10048)"</f>
        <v>FARMÁCIA INDIANA LJ 110 (10048)</v>
      </c>
      <c r="S8571" t="s">
        <v>22</v>
      </c>
      <c r="T8571">
        <v>20487</v>
      </c>
      <c r="U8571">
        <v>24777</v>
      </c>
      <c r="V8571" t="s">
        <v>22</v>
      </c>
    </row>
    <row r="8572" spans="1:22">
      <c r="A8572" t="str">
        <f t="shared" si="1593"/>
        <v>31/10/2025</v>
      </c>
      <c r="B8572" t="str">
        <f t="shared" si="1585"/>
        <v>SAÍDA</v>
      </c>
      <c r="C8572" t="str">
        <f t="shared" si="1586"/>
        <v>PIX</v>
      </c>
      <c r="D8572" t="str">
        <f>"24737"</f>
        <v>24737</v>
      </c>
      <c r="E8572" t="str">
        <f>"2"</f>
        <v>2</v>
      </c>
      <c r="F8572" t="str">
        <f t="shared" si="1582"/>
        <v>COM</v>
      </c>
      <c r="G8572" t="str">
        <f>"CARLOS DANIEL FERNANDES VIEIRA (1051)"</f>
        <v>CARLOS DANIEL FERNANDES VIEIRA (1051)</v>
      </c>
      <c r="H8572" t="str">
        <f>"Serv.Prest. 24/10/2025 a 02/11/2025 - PIX: CPF - CHAVE: 171.393.446-98"</f>
        <v>Serv.Prest. 24/10/2025 a 02/11/2025 - PIX: CPF - CHAVE: 171.393.446-98</v>
      </c>
      <c r="I8572" t="str">
        <f t="shared" si="1594"/>
        <v>13/11/2025</v>
      </c>
      <c r="J8572" t="str">
        <f t="shared" si="1595"/>
        <v>04/11/2025</v>
      </c>
      <c r="K8572" t="str">
        <f>("31/10/2025")</f>
        <v>31/10/2025</v>
      </c>
      <c r="L8572">
        <v>120</v>
      </c>
      <c r="M8572">
        <v>120</v>
      </c>
      <c r="N8572">
        <v>134</v>
      </c>
      <c r="O8572" t="str">
        <f>"DIARIA DE MOTOBOY"</f>
        <v>DIARIA DE MOTOBOY</v>
      </c>
      <c r="P8572">
        <v>120</v>
      </c>
      <c r="S8572" t="str">
        <f>"BANCO CORA (102)"</f>
        <v>BANCO CORA (102)</v>
      </c>
      <c r="T8572">
        <v>21953</v>
      </c>
      <c r="U8572">
        <v>24852</v>
      </c>
      <c r="V8572" t="s">
        <v>22</v>
      </c>
    </row>
    <row r="8573" spans="1:22">
      <c r="A8573" t="str">
        <f t="shared" si="1593"/>
        <v>31/10/2025</v>
      </c>
      <c r="B8573" t="str">
        <f t="shared" si="1585"/>
        <v>SAÍDA</v>
      </c>
      <c r="C8573" t="str">
        <f t="shared" si="1586"/>
        <v>PIX</v>
      </c>
      <c r="D8573" t="str">
        <f>"24737"</f>
        <v>24737</v>
      </c>
      <c r="E8573" t="str">
        <f>"2"</f>
        <v>2</v>
      </c>
      <c r="F8573" t="str">
        <f t="shared" si="1582"/>
        <v>COM</v>
      </c>
      <c r="G8573" t="str">
        <f>"CARLOS DANIEL FERNANDES VIEIRA (1051)"</f>
        <v>CARLOS DANIEL FERNANDES VIEIRA (1051)</v>
      </c>
      <c r="H8573" t="s">
        <v>2428</v>
      </c>
      <c r="I8573" t="str">
        <f t="shared" si="1594"/>
        <v>13/11/2025</v>
      </c>
      <c r="J8573" t="str">
        <f t="shared" si="1595"/>
        <v>04/11/2025</v>
      </c>
      <c r="K8573">
        <v>45961</v>
      </c>
      <c r="N8573">
        <v>134</v>
      </c>
      <c r="O8573" t="s">
        <v>41</v>
      </c>
      <c r="Q8573">
        <v>120</v>
      </c>
      <c r="R8573" t="str">
        <f>"FARMÁCIA INDIANA LJ 205 (10150)"</f>
        <v>FARMÁCIA INDIANA LJ 205 (10150)</v>
      </c>
      <c r="S8573" t="s">
        <v>22</v>
      </c>
      <c r="T8573">
        <v>21953</v>
      </c>
      <c r="U8573">
        <v>24852</v>
      </c>
      <c r="V8573" t="s">
        <v>22</v>
      </c>
    </row>
    <row r="8574" spans="1:22">
      <c r="A8574" t="str">
        <f t="shared" si="1593"/>
        <v>31/10/2025</v>
      </c>
      <c r="B8574" t="str">
        <f>"ENTRADA"</f>
        <v>ENTRADA</v>
      </c>
      <c r="C8574" t="str">
        <f>"NFSE"</f>
        <v>NFSE</v>
      </c>
      <c r="D8574" t="str">
        <f>"3585"</f>
        <v>3585</v>
      </c>
      <c r="E8574" t="str">
        <f>"1"</f>
        <v>1</v>
      </c>
      <c r="F8574" t="str">
        <f t="shared" si="1582"/>
        <v>COM</v>
      </c>
      <c r="G8574" t="str">
        <f>"DROGARIA MORENO LTDA (10171)"</f>
        <v>DROGARIA MORENO LTDA (10171)</v>
      </c>
      <c r="H8574" t="str">
        <f>"Serv.Prest. 20/10/2025 a 26/10/2025 - RPS: 1461 - NFSe: 3585"</f>
        <v>Serv.Prest. 20/10/2025 a 26/10/2025 - RPS: 1461 - NFSe: 3585</v>
      </c>
      <c r="I8574" t="str">
        <f>("29/10/2025")</f>
        <v>29/10/2025</v>
      </c>
      <c r="J8574" t="str">
        <f>("27/10/2025")</f>
        <v>27/10/2025</v>
      </c>
      <c r="K8574" t="str">
        <f>("31/10/2025")</f>
        <v>31/10/2025</v>
      </c>
      <c r="L8574">
        <v>3823.2</v>
      </c>
      <c r="M8574">
        <v>3900.93</v>
      </c>
      <c r="N8574">
        <v>303</v>
      </c>
      <c r="O8574" t="str">
        <f>"RECEITAS COM ENTREGAS"</f>
        <v>RECEITAS COM ENTREGAS</v>
      </c>
      <c r="P8574">
        <v>3900.93</v>
      </c>
      <c r="S8574" t="str">
        <f>"RECEITAS COM ENTREGAS (303)"</f>
        <v>RECEITAS COM ENTREGAS (303)</v>
      </c>
      <c r="T8574">
        <v>22529</v>
      </c>
      <c r="U8574">
        <v>24428</v>
      </c>
      <c r="V8574" t="s">
        <v>22</v>
      </c>
    </row>
    <row r="8575" spans="1:22">
      <c r="A8575" t="str">
        <f t="shared" si="1593"/>
        <v>31/10/2025</v>
      </c>
      <c r="B8575" t="str">
        <f>"ENTRADA"</f>
        <v>ENTRADA</v>
      </c>
      <c r="C8575" t="str">
        <f>"NFSE"</f>
        <v>NFSE</v>
      </c>
      <c r="D8575" t="str">
        <f>"3585"</f>
        <v>3585</v>
      </c>
      <c r="E8575" t="str">
        <f>"1"</f>
        <v>1</v>
      </c>
      <c r="F8575" t="str">
        <f t="shared" si="1582"/>
        <v>COM</v>
      </c>
      <c r="G8575" t="str">
        <f>"DROGARIA MORENO LTDA (10171)"</f>
        <v>DROGARIA MORENO LTDA (10171)</v>
      </c>
      <c r="H8575" t="s">
        <v>2429</v>
      </c>
      <c r="I8575" t="str">
        <f>("29/10/2025")</f>
        <v>29/10/2025</v>
      </c>
      <c r="J8575" t="str">
        <f>("27/10/2025")</f>
        <v>27/10/2025</v>
      </c>
      <c r="K8575">
        <v>45961</v>
      </c>
      <c r="N8575">
        <v>303</v>
      </c>
      <c r="O8575" t="s">
        <v>69</v>
      </c>
      <c r="Q8575">
        <v>3900.93</v>
      </c>
      <c r="R8575" t="str">
        <f>"DROGARIA MORENO LTDA (10171)"</f>
        <v>DROGARIA MORENO LTDA (10171)</v>
      </c>
      <c r="S8575" t="s">
        <v>70</v>
      </c>
      <c r="T8575">
        <v>22529</v>
      </c>
      <c r="U8575">
        <v>24428</v>
      </c>
      <c r="V8575" t="s">
        <v>22</v>
      </c>
    </row>
    <row r="8576" spans="1:22">
      <c r="A8576" t="str">
        <f t="shared" si="1593"/>
        <v>31/10/2025</v>
      </c>
      <c r="B8576" t="str">
        <f>"ENTRADA"</f>
        <v>ENTRADA</v>
      </c>
      <c r="C8576" t="str">
        <f>"NFSE"</f>
        <v>NFSE</v>
      </c>
      <c r="D8576" t="str">
        <f>"3589"</f>
        <v>3589</v>
      </c>
      <c r="E8576" t="str">
        <f>"1"</f>
        <v>1</v>
      </c>
      <c r="F8576" t="str">
        <f t="shared" si="1582"/>
        <v>COM</v>
      </c>
      <c r="G8576" t="str">
        <f>"JAL FARMACIA E DROGARIA LJ 1 (10137)"</f>
        <v>JAL FARMACIA E DROGARIA LJ 1 (10137)</v>
      </c>
      <c r="H8576" t="str">
        <f>"Serv.Prest. 20/10/2025 a 26/10/2025 - RPS: 1465 - NFSe: 3589"</f>
        <v>Serv.Prest. 20/10/2025 a 26/10/2025 - RPS: 1465 - NFSe: 3589</v>
      </c>
      <c r="I8576" t="str">
        <f>("29/10/2025")</f>
        <v>29/10/2025</v>
      </c>
      <c r="J8576" t="str">
        <f>("28/10/2025")</f>
        <v>28/10/2025</v>
      </c>
      <c r="K8576" t="str">
        <f>("31/10/2025")</f>
        <v>31/10/2025</v>
      </c>
      <c r="L8576">
        <v>2431</v>
      </c>
      <c r="M8576">
        <v>2480.4299999999998</v>
      </c>
      <c r="N8576">
        <v>303</v>
      </c>
      <c r="O8576" t="str">
        <f>"RECEITAS COM ENTREGAS"</f>
        <v>RECEITAS COM ENTREGAS</v>
      </c>
      <c r="P8576">
        <v>2480.4299999999998</v>
      </c>
      <c r="S8576" t="str">
        <f>"RECEITAS COM ENTREGAS (303)"</f>
        <v>RECEITAS COM ENTREGAS (303)</v>
      </c>
      <c r="T8576">
        <v>22530</v>
      </c>
      <c r="U8576">
        <v>24456</v>
      </c>
      <c r="V8576" t="s">
        <v>22</v>
      </c>
    </row>
    <row r="8577" spans="1:22">
      <c r="A8577" t="str">
        <f t="shared" si="1593"/>
        <v>31/10/2025</v>
      </c>
      <c r="B8577" t="str">
        <f>"ENTRADA"</f>
        <v>ENTRADA</v>
      </c>
      <c r="C8577" t="str">
        <f>"NFSE"</f>
        <v>NFSE</v>
      </c>
      <c r="D8577" t="str">
        <f>"3589"</f>
        <v>3589</v>
      </c>
      <c r="E8577" t="str">
        <f>"1"</f>
        <v>1</v>
      </c>
      <c r="F8577" t="str">
        <f t="shared" si="1582"/>
        <v>COM</v>
      </c>
      <c r="G8577" t="str">
        <f>"JAL FARMACIA E DROGARIA LJ 1 (10137)"</f>
        <v>JAL FARMACIA E DROGARIA LJ 1 (10137)</v>
      </c>
      <c r="H8577" t="s">
        <v>2430</v>
      </c>
      <c r="I8577" t="str">
        <f>("29/10/2025")</f>
        <v>29/10/2025</v>
      </c>
      <c r="J8577" t="str">
        <f>("28/10/2025")</f>
        <v>28/10/2025</v>
      </c>
      <c r="K8577">
        <v>45961</v>
      </c>
      <c r="N8577">
        <v>303</v>
      </c>
      <c r="O8577" t="s">
        <v>69</v>
      </c>
      <c r="Q8577">
        <v>2480.4299999999998</v>
      </c>
      <c r="R8577" t="str">
        <f>"JAL FARMACIA E DROGARIA LJ 1 (10137)"</f>
        <v>JAL FARMACIA E DROGARIA LJ 1 (10137)</v>
      </c>
      <c r="S8577" t="s">
        <v>70</v>
      </c>
      <c r="T8577">
        <v>22530</v>
      </c>
      <c r="U8577">
        <v>24456</v>
      </c>
      <c r="V8577" t="s">
        <v>22</v>
      </c>
    </row>
    <row r="8578" spans="1:22">
      <c r="A8578" t="str">
        <f t="shared" si="1593"/>
        <v>31/10/2025</v>
      </c>
      <c r="B8578" t="str">
        <f>"SAÍDA"</f>
        <v>SAÍDA</v>
      </c>
      <c r="C8578" t="str">
        <f>"TRANSFERENCIA"</f>
        <v>TRANSFERENCIA</v>
      </c>
      <c r="D8578" t="str">
        <f>""</f>
        <v/>
      </c>
      <c r="F8578" t="str">
        <f>"TRF"</f>
        <v>TRF</v>
      </c>
      <c r="G8578" t="str">
        <f>""</f>
        <v/>
      </c>
      <c r="H8578" t="str">
        <f>"DEVOLUÇÃO DA AJUDA DE MOVIMENTAÇÃO (102-&gt;131)"</f>
        <v>DEVOLUÇÃO DA AJUDA DE MOVIMENTAÇÃO (102-&gt;131)</v>
      </c>
      <c r="I8578" t="str">
        <f t="shared" ref="I8578:K8579" si="1596">("31/10/2025")</f>
        <v>31/10/2025</v>
      </c>
      <c r="J8578" t="str">
        <f t="shared" si="1596"/>
        <v>31/10/2025</v>
      </c>
      <c r="K8578" t="str">
        <f t="shared" si="1596"/>
        <v>31/10/2025</v>
      </c>
      <c r="N8578">
        <v>102</v>
      </c>
      <c r="O8578" t="str">
        <f>"BANCO CORA"</f>
        <v>BANCO CORA</v>
      </c>
      <c r="P8578">
        <v>20000</v>
      </c>
      <c r="S8578" t="str">
        <f>"BANCO CORA (102)"</f>
        <v>BANCO CORA (102)</v>
      </c>
      <c r="T8578">
        <v>22531</v>
      </c>
      <c r="U8578">
        <v>0</v>
      </c>
      <c r="V8578" t="s">
        <v>22</v>
      </c>
    </row>
    <row r="8579" spans="1:22">
      <c r="A8579" t="str">
        <f t="shared" si="1593"/>
        <v>31/10/2025</v>
      </c>
      <c r="B8579" t="str">
        <f>"ENTRADA"</f>
        <v>ENTRADA</v>
      </c>
      <c r="C8579" t="str">
        <f>"TRANSFERENCIA"</f>
        <v>TRANSFERENCIA</v>
      </c>
      <c r="D8579" t="str">
        <f>""</f>
        <v/>
      </c>
      <c r="F8579" t="str">
        <f>"TRF"</f>
        <v>TRF</v>
      </c>
      <c r="G8579" t="str">
        <f>""</f>
        <v/>
      </c>
      <c r="H8579" t="str">
        <f>"DEVOLUÇÃO DA AJUDA DE MOVIMENTAÇÃO (102-&gt;131)"</f>
        <v>DEVOLUÇÃO DA AJUDA DE MOVIMENTAÇÃO (102-&gt;131)</v>
      </c>
      <c r="I8579" t="str">
        <f t="shared" si="1596"/>
        <v>31/10/2025</v>
      </c>
      <c r="J8579" t="str">
        <f t="shared" si="1596"/>
        <v>31/10/2025</v>
      </c>
      <c r="K8579" t="str">
        <f t="shared" si="1596"/>
        <v>31/10/2025</v>
      </c>
      <c r="N8579">
        <v>131</v>
      </c>
      <c r="O8579" t="str">
        <f>"CAIXA - FLUX"</f>
        <v>CAIXA - FLUX</v>
      </c>
      <c r="S8579" t="str">
        <f>"CAIXA - FLUX (131)"</f>
        <v>CAIXA - FLUX (131)</v>
      </c>
      <c r="T8579">
        <v>22531</v>
      </c>
      <c r="U8579">
        <v>0</v>
      </c>
      <c r="V8579" t="s">
        <v>577</v>
      </c>
    </row>
    <row r="8580" spans="1:22">
      <c r="A8580" t="str">
        <f t="shared" si="1593"/>
        <v>31/10/2025</v>
      </c>
      <c r="B8580" t="str">
        <f t="shared" ref="B8580:B8604" si="1597">"SAÍDA"</f>
        <v>SAÍDA</v>
      </c>
      <c r="C8580" t="str">
        <f>"BOLETO"</f>
        <v>BOLETO</v>
      </c>
      <c r="D8580" t="str">
        <f>"2605"</f>
        <v>2605</v>
      </c>
      <c r="E8580" t="str">
        <f>"30"</f>
        <v>30</v>
      </c>
      <c r="F8580" t="str">
        <f t="shared" ref="F8580:F8643" si="1598">"COM"</f>
        <v>COM</v>
      </c>
      <c r="G8580" t="str">
        <f>"FLUX TELEMEDICINA (20076)"</f>
        <v>FLUX TELEMEDICINA (20076)</v>
      </c>
      <c r="H8580" t="str">
        <f>"PLANO TELEMEDICINA COOPERADOS"</f>
        <v>PLANO TELEMEDICINA COOPERADOS</v>
      </c>
      <c r="I8580" t="str">
        <f>("26/10/2025")</f>
        <v>26/10/2025</v>
      </c>
      <c r="J8580" t="str">
        <f>("01/05/2025")</f>
        <v>01/05/2025</v>
      </c>
      <c r="K8580" t="str">
        <f>("31/10/2025")</f>
        <v>31/10/2025</v>
      </c>
      <c r="L8580">
        <v>3487.62</v>
      </c>
      <c r="M8580">
        <v>3487.62</v>
      </c>
      <c r="N8580">
        <v>192</v>
      </c>
      <c r="O8580" t="str">
        <f>"PLANOS E SEGUROS"</f>
        <v>PLANOS E SEGUROS</v>
      </c>
      <c r="P8580">
        <v>3487.62</v>
      </c>
      <c r="S8580" t="str">
        <f>"BANCO CORA (102)"</f>
        <v>BANCO CORA (102)</v>
      </c>
      <c r="T8580">
        <v>22532</v>
      </c>
      <c r="U8580">
        <v>15465</v>
      </c>
      <c r="V8580" t="s">
        <v>22</v>
      </c>
    </row>
    <row r="8581" spans="1:22">
      <c r="A8581" t="str">
        <f t="shared" si="1593"/>
        <v>31/10/2025</v>
      </c>
      <c r="B8581" t="str">
        <f t="shared" si="1597"/>
        <v>SAÍDA</v>
      </c>
      <c r="C8581" t="str">
        <f>"BOLETO"</f>
        <v>BOLETO</v>
      </c>
      <c r="D8581" t="str">
        <f>"2605"</f>
        <v>2605</v>
      </c>
      <c r="E8581" t="str">
        <f>"30"</f>
        <v>30</v>
      </c>
      <c r="F8581" t="str">
        <f t="shared" si="1598"/>
        <v>COM</v>
      </c>
      <c r="G8581" t="str">
        <f>"FLUX TELEMEDICINA (20076)"</f>
        <v>FLUX TELEMEDICINA (20076)</v>
      </c>
      <c r="H8581" t="s">
        <v>1068</v>
      </c>
      <c r="I8581" t="str">
        <f>("26/10/2025")</f>
        <v>26/10/2025</v>
      </c>
      <c r="J8581" t="str">
        <f>("01/05/2025")</f>
        <v>01/05/2025</v>
      </c>
      <c r="K8581">
        <v>45961</v>
      </c>
      <c r="N8581">
        <v>192</v>
      </c>
      <c r="O8581" t="s">
        <v>38</v>
      </c>
      <c r="Q8581">
        <v>3487.62</v>
      </c>
      <c r="R8581" t="str">
        <f>"FLUX TELEMEDICINA (20076)"</f>
        <v>FLUX TELEMEDICINA (20076)</v>
      </c>
      <c r="S8581" t="s">
        <v>22</v>
      </c>
      <c r="T8581">
        <v>22532</v>
      </c>
      <c r="U8581">
        <v>15465</v>
      </c>
      <c r="V8581" t="s">
        <v>22</v>
      </c>
    </row>
    <row r="8582" spans="1:22">
      <c r="A8582" t="str">
        <f t="shared" si="1593"/>
        <v>31/10/2025</v>
      </c>
      <c r="B8582" t="str">
        <f t="shared" si="1597"/>
        <v>SAÍDA</v>
      </c>
      <c r="C8582" t="str">
        <f>"CONHECIMENTO"</f>
        <v>CONHECIMENTO</v>
      </c>
      <c r="D8582" t="str">
        <f>"01092025"</f>
        <v>01092025</v>
      </c>
      <c r="E8582" t="str">
        <f>"2"</f>
        <v>2</v>
      </c>
      <c r="F8582" t="str">
        <f t="shared" si="1598"/>
        <v>COM</v>
      </c>
      <c r="G8582" t="str">
        <f>"CORA SOCIEDADE DE CREDITO, FINANCIAMENTO E INVESTIMENTO (20035)"</f>
        <v>CORA SOCIEDADE DE CREDITO, FINANCIAMENTO E INVESTIMENTO (20035)</v>
      </c>
      <c r="H8582" t="str">
        <f>"TAXA BOLETO "</f>
        <v xml:space="preserve">TAXA BOLETO </v>
      </c>
      <c r="I8582" t="str">
        <f>("31/10/2025")</f>
        <v>31/10/2025</v>
      </c>
      <c r="J8582" t="str">
        <f>("01/09/2025")</f>
        <v>01/09/2025</v>
      </c>
      <c r="K8582" t="str">
        <f>("31/10/2025")</f>
        <v>31/10/2025</v>
      </c>
      <c r="L8582">
        <v>1.7</v>
      </c>
      <c r="M8582">
        <v>1.7</v>
      </c>
      <c r="N8582">
        <v>401</v>
      </c>
      <c r="O8582" t="str">
        <f>"IOF/JUROS/DESP.FINANCEIRA"</f>
        <v>IOF/JUROS/DESP.FINANCEIRA</v>
      </c>
      <c r="P8582">
        <v>1.7</v>
      </c>
      <c r="S8582" t="str">
        <f>"BANCO CORA (102)"</f>
        <v>BANCO CORA (102)</v>
      </c>
      <c r="T8582">
        <v>22533</v>
      </c>
      <c r="U8582">
        <v>26412</v>
      </c>
      <c r="V8582" t="s">
        <v>22</v>
      </c>
    </row>
    <row r="8583" spans="1:22">
      <c r="A8583" t="str">
        <f t="shared" si="1593"/>
        <v>31/10/2025</v>
      </c>
      <c r="B8583" t="str">
        <f t="shared" si="1597"/>
        <v>SAÍDA</v>
      </c>
      <c r="C8583" t="str">
        <f>"CONHECIMENTO"</f>
        <v>CONHECIMENTO</v>
      </c>
      <c r="D8583" t="str">
        <f>"01092025"</f>
        <v>01092025</v>
      </c>
      <c r="E8583" t="str">
        <f>"2"</f>
        <v>2</v>
      </c>
      <c r="F8583" t="str">
        <f t="shared" si="1598"/>
        <v>COM</v>
      </c>
      <c r="G8583" t="str">
        <f>"CORA SOCIEDADE DE CREDITO, FINANCIAMENTO E INVESTIMENTO (20035)"</f>
        <v>CORA SOCIEDADE DE CREDITO, FINANCIAMENTO E INVESTIMENTO (20035)</v>
      </c>
      <c r="H8583" t="s">
        <v>75</v>
      </c>
      <c r="I8583" t="str">
        <f>("31/10/2025")</f>
        <v>31/10/2025</v>
      </c>
      <c r="J8583" t="str">
        <f>("01/09/2025")</f>
        <v>01/09/2025</v>
      </c>
      <c r="K8583">
        <v>45961</v>
      </c>
      <c r="N8583">
        <v>401</v>
      </c>
      <c r="O8583" t="s">
        <v>76</v>
      </c>
      <c r="Q8583">
        <v>1.7</v>
      </c>
      <c r="R8583" t="str">
        <f>"CORA SOCIEDADE DE CREDITO, FINANCIAMENTO E INVESTIMENTO (20035)"</f>
        <v>CORA SOCIEDADE DE CREDITO, FINANCIAMENTO E INVESTIMENTO (20035)</v>
      </c>
      <c r="S8583" t="s">
        <v>22</v>
      </c>
      <c r="T8583">
        <v>22533</v>
      </c>
      <c r="U8583">
        <v>26412</v>
      </c>
      <c r="V8583" t="s">
        <v>22</v>
      </c>
    </row>
    <row r="8584" spans="1:22">
      <c r="A8584" t="str">
        <f t="shared" ref="A8584:A8596" si="1599">("01/11/2025")</f>
        <v>01/11/2025</v>
      </c>
      <c r="B8584" t="str">
        <f t="shared" si="1597"/>
        <v>SAÍDA</v>
      </c>
      <c r="C8584" t="str">
        <f t="shared" ref="C8584:C8604" si="1600">"PIX"</f>
        <v>PIX</v>
      </c>
      <c r="D8584" t="str">
        <f>"24001"</f>
        <v>24001</v>
      </c>
      <c r="E8584" t="str">
        <f t="shared" ref="E8584:E8600" si="1601">"1"</f>
        <v>1</v>
      </c>
      <c r="F8584" t="str">
        <f t="shared" si="1598"/>
        <v>COM</v>
      </c>
      <c r="G8584" t="str">
        <f>"GABRIEL SOARES VIEIRA (18)"</f>
        <v>GABRIEL SOARES VIEIRA (18)</v>
      </c>
      <c r="H8584" t="str">
        <f>"Serv.Prest. 13/10/2025 a 19/10/2025 - PIX: CPF - CHAVE: 179.800.027-09"</f>
        <v>Serv.Prest. 13/10/2025 a 19/10/2025 - PIX: CPF - CHAVE: 179.800.027-09</v>
      </c>
      <c r="I8584" t="str">
        <f t="shared" ref="I8584:I8600" si="1602">("06/11/2025")</f>
        <v>06/11/2025</v>
      </c>
      <c r="J8584" t="str">
        <f>("21/10/2025")</f>
        <v>21/10/2025</v>
      </c>
      <c r="K8584" t="str">
        <f>("01/11/2025")</f>
        <v>01/11/2025</v>
      </c>
      <c r="L8584">
        <v>594</v>
      </c>
      <c r="M8584">
        <v>594</v>
      </c>
      <c r="N8584">
        <v>109</v>
      </c>
      <c r="O8584" t="str">
        <f>"PAGAMENTO DE ENTREGADORES"</f>
        <v>PAGAMENTO DE ENTREGADORES</v>
      </c>
      <c r="P8584">
        <v>594</v>
      </c>
      <c r="S8584" t="str">
        <f>"BANCO CORA (102)"</f>
        <v>BANCO CORA (102)</v>
      </c>
      <c r="T8584">
        <v>20406</v>
      </c>
      <c r="U8584">
        <v>24001</v>
      </c>
      <c r="V8584" t="s">
        <v>22</v>
      </c>
    </row>
    <row r="8585" spans="1:22">
      <c r="A8585" t="str">
        <f t="shared" si="1599"/>
        <v>01/11/2025</v>
      </c>
      <c r="B8585" t="str">
        <f t="shared" si="1597"/>
        <v>SAÍDA</v>
      </c>
      <c r="C8585" t="str">
        <f t="shared" si="1600"/>
        <v>PIX</v>
      </c>
      <c r="D8585" t="str">
        <f>"24001"</f>
        <v>24001</v>
      </c>
      <c r="E8585" t="str">
        <f t="shared" si="1601"/>
        <v>1</v>
      </c>
      <c r="F8585" t="str">
        <f t="shared" si="1598"/>
        <v>COM</v>
      </c>
      <c r="G8585" t="str">
        <f>"GABRIEL SOARES VIEIRA (18)"</f>
        <v>GABRIEL SOARES VIEIRA (18)</v>
      </c>
      <c r="H8585" t="s">
        <v>2431</v>
      </c>
      <c r="I8585" t="str">
        <f t="shared" si="1602"/>
        <v>06/11/2025</v>
      </c>
      <c r="J8585" t="str">
        <f>("21/10/2025")</f>
        <v>21/10/2025</v>
      </c>
      <c r="K8585">
        <v>45962</v>
      </c>
      <c r="N8585">
        <v>109</v>
      </c>
      <c r="O8585" t="s">
        <v>24</v>
      </c>
      <c r="Q8585">
        <v>506.03</v>
      </c>
      <c r="R8585" t="str">
        <f>"FARMÁCIA INDIANA LJ 40 (10016)"</f>
        <v>FARMÁCIA INDIANA LJ 40 (10016)</v>
      </c>
      <c r="S8585" t="s">
        <v>22</v>
      </c>
      <c r="T8585">
        <v>20406</v>
      </c>
      <c r="U8585">
        <v>24001</v>
      </c>
      <c r="V8585" t="s">
        <v>22</v>
      </c>
    </row>
    <row r="8586" spans="1:22">
      <c r="A8586" t="str">
        <f t="shared" si="1599"/>
        <v>01/11/2025</v>
      </c>
      <c r="B8586" t="str">
        <f t="shared" si="1597"/>
        <v>SAÍDA</v>
      </c>
      <c r="C8586" t="str">
        <f t="shared" si="1600"/>
        <v>PIX</v>
      </c>
      <c r="D8586" t="str">
        <f>"24001"</f>
        <v>24001</v>
      </c>
      <c r="E8586" t="str">
        <f t="shared" si="1601"/>
        <v>1</v>
      </c>
      <c r="F8586" t="str">
        <f t="shared" si="1598"/>
        <v>COM</v>
      </c>
      <c r="G8586" t="str">
        <f>"GABRIEL SOARES VIEIRA (18)"</f>
        <v>GABRIEL SOARES VIEIRA (18)</v>
      </c>
      <c r="H8586" t="s">
        <v>2431</v>
      </c>
      <c r="I8586" t="str">
        <f t="shared" si="1602"/>
        <v>06/11/2025</v>
      </c>
      <c r="J8586" t="str">
        <f>("21/10/2025")</f>
        <v>21/10/2025</v>
      </c>
      <c r="K8586">
        <v>45962</v>
      </c>
      <c r="N8586">
        <v>109</v>
      </c>
      <c r="O8586" t="s">
        <v>24</v>
      </c>
      <c r="Q8586">
        <v>87.97</v>
      </c>
      <c r="R8586" t="str">
        <f>"FARMÁCIA INDIANA LJ 61 (10027)"</f>
        <v>FARMÁCIA INDIANA LJ 61 (10027)</v>
      </c>
      <c r="S8586" t="s">
        <v>22</v>
      </c>
      <c r="T8586">
        <v>20406</v>
      </c>
      <c r="U8586">
        <v>24001</v>
      </c>
      <c r="V8586" t="s">
        <v>22</v>
      </c>
    </row>
    <row r="8587" spans="1:22">
      <c r="A8587" t="str">
        <f t="shared" si="1599"/>
        <v>01/11/2025</v>
      </c>
      <c r="B8587" t="str">
        <f t="shared" si="1597"/>
        <v>SAÍDA</v>
      </c>
      <c r="C8587" t="str">
        <f t="shared" si="1600"/>
        <v>PIX</v>
      </c>
      <c r="D8587" t="str">
        <f>"24209"</f>
        <v>24209</v>
      </c>
      <c r="E8587" t="str">
        <f t="shared" si="1601"/>
        <v>1</v>
      </c>
      <c r="F8587" t="str">
        <f t="shared" si="1598"/>
        <v>COM</v>
      </c>
      <c r="G8587" t="str">
        <f>"GABRIEL SOARES VIEIRA (18)"</f>
        <v>GABRIEL SOARES VIEIRA (18)</v>
      </c>
      <c r="H8587" t="str">
        <f>"Serv.Prest. 20/10/2025 a 24/10/2025 - PIX: CPF - CHAVE: 179.800.027-09"</f>
        <v>Serv.Prest. 20/10/2025 a 24/10/2025 - PIX: CPF - CHAVE: 179.800.027-09</v>
      </c>
      <c r="I8587" t="str">
        <f t="shared" si="1602"/>
        <v>06/11/2025</v>
      </c>
      <c r="J8587" t="str">
        <f>("24/10/2025")</f>
        <v>24/10/2025</v>
      </c>
      <c r="K8587" t="str">
        <f>("01/11/2025")</f>
        <v>01/11/2025</v>
      </c>
      <c r="L8587">
        <v>6</v>
      </c>
      <c r="M8587">
        <v>6</v>
      </c>
      <c r="N8587">
        <v>109</v>
      </c>
      <c r="O8587" t="str">
        <f>"PAGAMENTO DE ENTREGADORES"</f>
        <v>PAGAMENTO DE ENTREGADORES</v>
      </c>
      <c r="S8587" t="str">
        <f>"BANCO CORA (102)"</f>
        <v>BANCO CORA (102)</v>
      </c>
      <c r="T8587">
        <v>20406</v>
      </c>
      <c r="U8587">
        <v>24574</v>
      </c>
      <c r="V8587" t="s">
        <v>22</v>
      </c>
    </row>
    <row r="8588" spans="1:22">
      <c r="A8588" t="str">
        <f t="shared" si="1599"/>
        <v>01/11/2025</v>
      </c>
      <c r="B8588" t="str">
        <f t="shared" si="1597"/>
        <v>SAÍDA</v>
      </c>
      <c r="C8588" t="str">
        <f t="shared" si="1600"/>
        <v>PIX</v>
      </c>
      <c r="D8588" t="str">
        <f>"24209"</f>
        <v>24209</v>
      </c>
      <c r="E8588" t="str">
        <f t="shared" si="1601"/>
        <v>1</v>
      </c>
      <c r="F8588" t="str">
        <f t="shared" si="1598"/>
        <v>COM</v>
      </c>
      <c r="G8588" t="str">
        <f>"GABRIEL SOARES VIEIRA (18)"</f>
        <v>GABRIEL SOARES VIEIRA (18)</v>
      </c>
      <c r="H8588" t="s">
        <v>2432</v>
      </c>
      <c r="I8588" t="str">
        <f t="shared" si="1602"/>
        <v>06/11/2025</v>
      </c>
      <c r="J8588" t="str">
        <f>("24/10/2025")</f>
        <v>24/10/2025</v>
      </c>
      <c r="K8588">
        <v>45962</v>
      </c>
      <c r="N8588">
        <v>109</v>
      </c>
      <c r="O8588" t="s">
        <v>24</v>
      </c>
      <c r="Q8588">
        <v>6</v>
      </c>
      <c r="R8588" t="str">
        <f>"FARMÁCIA INDIANA LJ 40 (10016)"</f>
        <v>FARMÁCIA INDIANA LJ 40 (10016)</v>
      </c>
      <c r="S8588" t="s">
        <v>22</v>
      </c>
      <c r="T8588">
        <v>20406</v>
      </c>
      <c r="U8588">
        <v>24574</v>
      </c>
      <c r="V8588" t="s">
        <v>22</v>
      </c>
    </row>
    <row r="8589" spans="1:22">
      <c r="A8589" t="str">
        <f t="shared" si="1599"/>
        <v>01/11/2025</v>
      </c>
      <c r="B8589" t="str">
        <f t="shared" si="1597"/>
        <v>SAÍDA</v>
      </c>
      <c r="C8589" t="str">
        <f t="shared" si="1600"/>
        <v>PIX</v>
      </c>
      <c r="D8589" t="str">
        <f>"24876"</f>
        <v>24876</v>
      </c>
      <c r="E8589" t="str">
        <f t="shared" si="1601"/>
        <v>1</v>
      </c>
      <c r="F8589" t="str">
        <f t="shared" si="1598"/>
        <v>COM</v>
      </c>
      <c r="G8589" t="str">
        <f>"CHARLES SOUZA RIBEIRO (1040)"</f>
        <v>CHARLES SOUZA RIBEIRO (1040)</v>
      </c>
      <c r="H8589" t="str">
        <f>"Serv.Prest. 27/10/2025 a 02/11/2025 - PIX: CELULAR - CHAVE: (34) 99668-5593"</f>
        <v>Serv.Prest. 27/10/2025 a 02/11/2025 - PIX: CELULAR - CHAVE: (34) 99668-5593</v>
      </c>
      <c r="I8589" t="str">
        <f t="shared" si="1602"/>
        <v>06/11/2025</v>
      </c>
      <c r="J8589" t="str">
        <f t="shared" ref="J8589:J8594" si="1603">("04/11/2025")</f>
        <v>04/11/2025</v>
      </c>
      <c r="K8589" t="str">
        <f>("01/11/2025")</f>
        <v>01/11/2025</v>
      </c>
      <c r="L8589">
        <v>150</v>
      </c>
      <c r="M8589">
        <v>150</v>
      </c>
      <c r="N8589">
        <v>109</v>
      </c>
      <c r="O8589" t="str">
        <f>"PAGAMENTO DE ENTREGADORES"</f>
        <v>PAGAMENTO DE ENTREGADORES</v>
      </c>
      <c r="P8589">
        <v>150</v>
      </c>
      <c r="S8589" t="str">
        <f>"BANCO CORA (102)"</f>
        <v>BANCO CORA (102)</v>
      </c>
      <c r="T8589">
        <v>20446</v>
      </c>
      <c r="U8589">
        <v>24922</v>
      </c>
      <c r="V8589" t="s">
        <v>22</v>
      </c>
    </row>
    <row r="8590" spans="1:22">
      <c r="A8590" t="str">
        <f t="shared" si="1599"/>
        <v>01/11/2025</v>
      </c>
      <c r="B8590" t="str">
        <f t="shared" si="1597"/>
        <v>SAÍDA</v>
      </c>
      <c r="C8590" t="str">
        <f t="shared" si="1600"/>
        <v>PIX</v>
      </c>
      <c r="D8590" t="str">
        <f>"24876"</f>
        <v>24876</v>
      </c>
      <c r="E8590" t="str">
        <f t="shared" si="1601"/>
        <v>1</v>
      </c>
      <c r="F8590" t="str">
        <f t="shared" si="1598"/>
        <v>COM</v>
      </c>
      <c r="G8590" t="str">
        <f>"CHARLES SOUZA RIBEIRO (1040)"</f>
        <v>CHARLES SOUZA RIBEIRO (1040)</v>
      </c>
      <c r="H8590" t="s">
        <v>2423</v>
      </c>
      <c r="I8590" t="str">
        <f t="shared" si="1602"/>
        <v>06/11/2025</v>
      </c>
      <c r="J8590" t="str">
        <f t="shared" si="1603"/>
        <v>04/11/2025</v>
      </c>
      <c r="K8590">
        <v>45962</v>
      </c>
      <c r="N8590">
        <v>109</v>
      </c>
      <c r="O8590" t="s">
        <v>24</v>
      </c>
      <c r="Q8590">
        <v>150</v>
      </c>
      <c r="R8590" t="str">
        <f>"PAGMENOS - LJ 431 (10265)"</f>
        <v>PAGMENOS - LJ 431 (10265)</v>
      </c>
      <c r="S8590" t="s">
        <v>22</v>
      </c>
      <c r="T8590">
        <v>20446</v>
      </c>
      <c r="U8590">
        <v>24922</v>
      </c>
      <c r="V8590" t="s">
        <v>22</v>
      </c>
    </row>
    <row r="8591" spans="1:22">
      <c r="A8591" t="str">
        <f t="shared" si="1599"/>
        <v>01/11/2025</v>
      </c>
      <c r="B8591" t="str">
        <f t="shared" si="1597"/>
        <v>SAÍDA</v>
      </c>
      <c r="C8591" t="str">
        <f t="shared" si="1600"/>
        <v>PIX</v>
      </c>
      <c r="D8591" t="str">
        <f>"24872"</f>
        <v>24872</v>
      </c>
      <c r="E8591" t="str">
        <f t="shared" si="1601"/>
        <v>1</v>
      </c>
      <c r="F8591" t="str">
        <f t="shared" si="1598"/>
        <v>COM</v>
      </c>
      <c r="G8591" t="str">
        <f>"ODAIR SEBASTI??O DE ARAUJO FILHO (1061)"</f>
        <v>ODAIR SEBASTI??O DE ARAUJO FILHO (1061)</v>
      </c>
      <c r="H8591" t="str">
        <f>"Serv.Prest. 27/10/2025 a 02/11/2025 - PIX: E-MAIL - CHAVE: odair.araujo@onmail.com"</f>
        <v>Serv.Prest. 27/10/2025 a 02/11/2025 - PIX: E-MAIL - CHAVE: odair.araujo@onmail.com</v>
      </c>
      <c r="I8591" t="str">
        <f t="shared" si="1602"/>
        <v>06/11/2025</v>
      </c>
      <c r="J8591" t="str">
        <f t="shared" si="1603"/>
        <v>04/11/2025</v>
      </c>
      <c r="K8591" t="str">
        <f>("01/11/2025")</f>
        <v>01/11/2025</v>
      </c>
      <c r="L8591">
        <v>174</v>
      </c>
      <c r="M8591">
        <v>170</v>
      </c>
      <c r="N8591">
        <v>109</v>
      </c>
      <c r="O8591" t="str">
        <f>"PAGAMENTO DE ENTREGADORES"</f>
        <v>PAGAMENTO DE ENTREGADORES</v>
      </c>
      <c r="P8591">
        <v>170</v>
      </c>
      <c r="S8591" t="str">
        <f>"BANCO CORA (102)"</f>
        <v>BANCO CORA (102)</v>
      </c>
      <c r="T8591">
        <v>20448</v>
      </c>
      <c r="U8591">
        <v>24872</v>
      </c>
      <c r="V8591" t="s">
        <v>22</v>
      </c>
    </row>
    <row r="8592" spans="1:22">
      <c r="A8592" t="str">
        <f t="shared" si="1599"/>
        <v>01/11/2025</v>
      </c>
      <c r="B8592" t="str">
        <f t="shared" si="1597"/>
        <v>SAÍDA</v>
      </c>
      <c r="C8592" t="str">
        <f t="shared" si="1600"/>
        <v>PIX</v>
      </c>
      <c r="D8592" t="str">
        <f>"24872"</f>
        <v>24872</v>
      </c>
      <c r="E8592" t="str">
        <f t="shared" si="1601"/>
        <v>1</v>
      </c>
      <c r="F8592" t="str">
        <f t="shared" si="1598"/>
        <v>COM</v>
      </c>
      <c r="G8592" t="str">
        <f>"ODAIR SEBASTI??O DE ARAUJO FILHO (1061)"</f>
        <v>ODAIR SEBASTI??O DE ARAUJO FILHO (1061)</v>
      </c>
      <c r="H8592" t="s">
        <v>2433</v>
      </c>
      <c r="I8592" t="str">
        <f t="shared" si="1602"/>
        <v>06/11/2025</v>
      </c>
      <c r="J8592" t="str">
        <f t="shared" si="1603"/>
        <v>04/11/2025</v>
      </c>
      <c r="K8592">
        <v>45962</v>
      </c>
      <c r="N8592">
        <v>109</v>
      </c>
      <c r="O8592" t="s">
        <v>24</v>
      </c>
      <c r="Q8592">
        <v>170</v>
      </c>
      <c r="R8592" t="str">
        <f>"PAGMENOS - LJ 768 (10266)"</f>
        <v>PAGMENOS - LJ 768 (10266)</v>
      </c>
      <c r="S8592" t="s">
        <v>22</v>
      </c>
      <c r="T8592">
        <v>20448</v>
      </c>
      <c r="U8592">
        <v>24872</v>
      </c>
      <c r="V8592" t="s">
        <v>22</v>
      </c>
    </row>
    <row r="8593" spans="1:22">
      <c r="A8593" t="str">
        <f t="shared" si="1599"/>
        <v>01/11/2025</v>
      </c>
      <c r="B8593" t="str">
        <f t="shared" si="1597"/>
        <v>SAÍDA</v>
      </c>
      <c r="C8593" t="str">
        <f t="shared" si="1600"/>
        <v>PIX</v>
      </c>
      <c r="D8593" t="str">
        <f>"24861"</f>
        <v>24861</v>
      </c>
      <c r="E8593" t="str">
        <f t="shared" si="1601"/>
        <v>1</v>
      </c>
      <c r="F8593" t="str">
        <f t="shared" si="1598"/>
        <v>COM</v>
      </c>
      <c r="G8593" t="str">
        <f>"WILLIAM DA SILVA COSTA (655)"</f>
        <v>WILLIAM DA SILVA COSTA (655)</v>
      </c>
      <c r="H8593" t="str">
        <f>"PAGO PARA ANA PAULA Serv.Prest. 27/10/2025 a 02/11/2025"</f>
        <v>PAGO PARA ANA PAULA Serv.Prest. 27/10/2025 a 02/11/2025</v>
      </c>
      <c r="I8593" t="str">
        <f t="shared" si="1602"/>
        <v>06/11/2025</v>
      </c>
      <c r="J8593" t="str">
        <f t="shared" si="1603"/>
        <v>04/11/2025</v>
      </c>
      <c r="K8593" t="str">
        <f>("01/11/2025")</f>
        <v>01/11/2025</v>
      </c>
      <c r="L8593">
        <v>46</v>
      </c>
      <c r="M8593">
        <v>150</v>
      </c>
      <c r="N8593">
        <v>109</v>
      </c>
      <c r="O8593" t="str">
        <f>"PAGAMENTO DE ENTREGADORES"</f>
        <v>PAGAMENTO DE ENTREGADORES</v>
      </c>
      <c r="P8593">
        <v>150</v>
      </c>
      <c r="S8593" t="str">
        <f>"BANCO CORA (102)"</f>
        <v>BANCO CORA (102)</v>
      </c>
      <c r="T8593">
        <v>20450</v>
      </c>
      <c r="U8593">
        <v>24923</v>
      </c>
      <c r="V8593" t="s">
        <v>22</v>
      </c>
    </row>
    <row r="8594" spans="1:22">
      <c r="A8594" t="str">
        <f t="shared" si="1599"/>
        <v>01/11/2025</v>
      </c>
      <c r="B8594" t="str">
        <f t="shared" si="1597"/>
        <v>SAÍDA</v>
      </c>
      <c r="C8594" t="str">
        <f t="shared" si="1600"/>
        <v>PIX</v>
      </c>
      <c r="D8594" t="str">
        <f>"24861"</f>
        <v>24861</v>
      </c>
      <c r="E8594" t="str">
        <f t="shared" si="1601"/>
        <v>1</v>
      </c>
      <c r="F8594" t="str">
        <f t="shared" si="1598"/>
        <v>COM</v>
      </c>
      <c r="G8594" t="str">
        <f>"WILLIAM DA SILVA COSTA (655)"</f>
        <v>WILLIAM DA SILVA COSTA (655)</v>
      </c>
      <c r="H8594" t="s">
        <v>2434</v>
      </c>
      <c r="I8594" t="str">
        <f t="shared" si="1602"/>
        <v>06/11/2025</v>
      </c>
      <c r="J8594" t="str">
        <f t="shared" si="1603"/>
        <v>04/11/2025</v>
      </c>
      <c r="K8594">
        <v>45962</v>
      </c>
      <c r="N8594">
        <v>109</v>
      </c>
      <c r="O8594" t="s">
        <v>24</v>
      </c>
      <c r="Q8594">
        <v>150</v>
      </c>
      <c r="R8594" t="str">
        <f>"FARMACIA ECONOMIZE (10103)"</f>
        <v>FARMACIA ECONOMIZE (10103)</v>
      </c>
      <c r="S8594" t="s">
        <v>22</v>
      </c>
      <c r="T8594">
        <v>20450</v>
      </c>
      <c r="U8594">
        <v>24923</v>
      </c>
      <c r="V8594" t="s">
        <v>22</v>
      </c>
    </row>
    <row r="8595" spans="1:22">
      <c r="A8595" t="str">
        <f t="shared" si="1599"/>
        <v>01/11/2025</v>
      </c>
      <c r="B8595" t="str">
        <f t="shared" si="1597"/>
        <v>SAÍDA</v>
      </c>
      <c r="C8595" t="str">
        <f t="shared" si="1600"/>
        <v>PIX</v>
      </c>
      <c r="D8595" t="str">
        <f>"24619"</f>
        <v>24619</v>
      </c>
      <c r="E8595" t="str">
        <f t="shared" si="1601"/>
        <v>1</v>
      </c>
      <c r="F8595" t="str">
        <f t="shared" si="1598"/>
        <v>COM</v>
      </c>
      <c r="G8595" t="str">
        <f>"DAVID MARTINS SANTOS (1058)"</f>
        <v>DAVID MARTINS SANTOS (1058)</v>
      </c>
      <c r="H8595" t="str">
        <f>"Serv.Prest. 27/10/2025 a 02/11/2025 - PIX: E-MAIL - CHAVE: davidmartinssantos73@gmail.com"</f>
        <v>Serv.Prest. 27/10/2025 a 02/11/2025 - PIX: E-MAIL - CHAVE: davidmartinssantos73@gmail.com</v>
      </c>
      <c r="I8595" t="str">
        <f t="shared" si="1602"/>
        <v>06/11/2025</v>
      </c>
      <c r="J8595" t="str">
        <f>("03/11/2025")</f>
        <v>03/11/2025</v>
      </c>
      <c r="K8595" t="str">
        <f>("01/11/2025")</f>
        <v>01/11/2025</v>
      </c>
      <c r="L8595">
        <v>170</v>
      </c>
      <c r="M8595">
        <v>170</v>
      </c>
      <c r="N8595">
        <v>134</v>
      </c>
      <c r="O8595" t="str">
        <f>"DIARIA DE MOTOBOY"</f>
        <v>DIARIA DE MOTOBOY</v>
      </c>
      <c r="P8595">
        <v>170</v>
      </c>
      <c r="S8595" t="str">
        <f>"BANCO CORA (102)"</f>
        <v>BANCO CORA (102)</v>
      </c>
      <c r="T8595">
        <v>20464</v>
      </c>
      <c r="U8595">
        <v>24619</v>
      </c>
      <c r="V8595" t="s">
        <v>22</v>
      </c>
    </row>
    <row r="8596" spans="1:22">
      <c r="A8596" t="str">
        <f t="shared" si="1599"/>
        <v>01/11/2025</v>
      </c>
      <c r="B8596" t="str">
        <f t="shared" si="1597"/>
        <v>SAÍDA</v>
      </c>
      <c r="C8596" t="str">
        <f t="shared" si="1600"/>
        <v>PIX</v>
      </c>
      <c r="D8596" t="str">
        <f>"24619"</f>
        <v>24619</v>
      </c>
      <c r="E8596" t="str">
        <f t="shared" si="1601"/>
        <v>1</v>
      </c>
      <c r="F8596" t="str">
        <f t="shared" si="1598"/>
        <v>COM</v>
      </c>
      <c r="G8596" t="str">
        <f>"DAVID MARTINS SANTOS (1058)"</f>
        <v>DAVID MARTINS SANTOS (1058)</v>
      </c>
      <c r="H8596" t="s">
        <v>2435</v>
      </c>
      <c r="I8596" t="str">
        <f t="shared" si="1602"/>
        <v>06/11/2025</v>
      </c>
      <c r="J8596" t="str">
        <f>("03/11/2025")</f>
        <v>03/11/2025</v>
      </c>
      <c r="K8596">
        <v>45962</v>
      </c>
      <c r="N8596">
        <v>134</v>
      </c>
      <c r="O8596" t="s">
        <v>41</v>
      </c>
      <c r="Q8596">
        <v>170</v>
      </c>
      <c r="R8596" t="str">
        <f>"PENSE FARMA 15 (10195)"</f>
        <v>PENSE FARMA 15 (10195)</v>
      </c>
      <c r="S8596" t="s">
        <v>22</v>
      </c>
      <c r="T8596">
        <v>20464</v>
      </c>
      <c r="U8596">
        <v>24619</v>
      </c>
      <c r="V8596" t="s">
        <v>22</v>
      </c>
    </row>
    <row r="8597" spans="1:22">
      <c r="A8597" t="str">
        <f t="shared" ref="A8597:A8602" si="1604">("02/11/2025")</f>
        <v>02/11/2025</v>
      </c>
      <c r="B8597" t="str">
        <f t="shared" si="1597"/>
        <v>SAÍDA</v>
      </c>
      <c r="C8597" t="str">
        <f t="shared" si="1600"/>
        <v>PIX</v>
      </c>
      <c r="D8597" t="str">
        <f>"24861"</f>
        <v>24861</v>
      </c>
      <c r="E8597" t="str">
        <f t="shared" si="1601"/>
        <v>1</v>
      </c>
      <c r="F8597" t="str">
        <f t="shared" si="1598"/>
        <v>COM</v>
      </c>
      <c r="G8597" t="str">
        <f>"WILLIAM DA SILVA COSTA (655)"</f>
        <v>WILLIAM DA SILVA COSTA (655)</v>
      </c>
      <c r="H8597" t="str">
        <f>"PAGO PARA ANA PAULA Serv.Prest. 27/10/2025 a 02/11/2025"</f>
        <v>PAGO PARA ANA PAULA Serv.Prest. 27/10/2025 a 02/11/2025</v>
      </c>
      <c r="I8597" t="str">
        <f t="shared" si="1602"/>
        <v>06/11/2025</v>
      </c>
      <c r="J8597" t="str">
        <f>("04/11/2025")</f>
        <v>04/11/2025</v>
      </c>
      <c r="K8597" t="str">
        <f>("02/11/2025")</f>
        <v>02/11/2025</v>
      </c>
      <c r="L8597">
        <v>45</v>
      </c>
      <c r="M8597">
        <v>150</v>
      </c>
      <c r="N8597">
        <v>109</v>
      </c>
      <c r="O8597" t="str">
        <f>"PAGAMENTO DE ENTREGADORES"</f>
        <v>PAGAMENTO DE ENTREGADORES</v>
      </c>
      <c r="P8597">
        <v>150</v>
      </c>
      <c r="S8597" t="str">
        <f>"BANCO CORA (102)"</f>
        <v>BANCO CORA (102)</v>
      </c>
      <c r="T8597">
        <v>20451</v>
      </c>
      <c r="U8597">
        <v>24924</v>
      </c>
      <c r="V8597" t="s">
        <v>22</v>
      </c>
    </row>
    <row r="8598" spans="1:22">
      <c r="A8598" t="str">
        <f t="shared" si="1604"/>
        <v>02/11/2025</v>
      </c>
      <c r="B8598" t="str">
        <f t="shared" si="1597"/>
        <v>SAÍDA</v>
      </c>
      <c r="C8598" t="str">
        <f t="shared" si="1600"/>
        <v>PIX</v>
      </c>
      <c r="D8598" t="str">
        <f>"24861"</f>
        <v>24861</v>
      </c>
      <c r="E8598" t="str">
        <f t="shared" si="1601"/>
        <v>1</v>
      </c>
      <c r="F8598" t="str">
        <f t="shared" si="1598"/>
        <v>COM</v>
      </c>
      <c r="G8598" t="str">
        <f>"WILLIAM DA SILVA COSTA (655)"</f>
        <v>WILLIAM DA SILVA COSTA (655)</v>
      </c>
      <c r="H8598" t="s">
        <v>2434</v>
      </c>
      <c r="I8598" t="str">
        <f t="shared" si="1602"/>
        <v>06/11/2025</v>
      </c>
      <c r="J8598" t="str">
        <f>("04/11/2025")</f>
        <v>04/11/2025</v>
      </c>
      <c r="K8598">
        <v>45963</v>
      </c>
      <c r="N8598">
        <v>109</v>
      </c>
      <c r="O8598" t="s">
        <v>24</v>
      </c>
      <c r="Q8598">
        <v>150</v>
      </c>
      <c r="R8598" t="str">
        <f>"FARMACIA ECONOMIZE (10103)"</f>
        <v>FARMACIA ECONOMIZE (10103)</v>
      </c>
      <c r="S8598" t="s">
        <v>22</v>
      </c>
      <c r="T8598">
        <v>20451</v>
      </c>
      <c r="U8598">
        <v>24924</v>
      </c>
      <c r="V8598" t="s">
        <v>22</v>
      </c>
    </row>
    <row r="8599" spans="1:22">
      <c r="A8599" t="str">
        <f t="shared" si="1604"/>
        <v>02/11/2025</v>
      </c>
      <c r="B8599" t="str">
        <f t="shared" si="1597"/>
        <v>SAÍDA</v>
      </c>
      <c r="C8599" t="str">
        <f t="shared" si="1600"/>
        <v>PIX</v>
      </c>
      <c r="D8599" t="str">
        <f>"24619"</f>
        <v>24619</v>
      </c>
      <c r="E8599" t="str">
        <f t="shared" si="1601"/>
        <v>1</v>
      </c>
      <c r="F8599" t="str">
        <f t="shared" si="1598"/>
        <v>COM</v>
      </c>
      <c r="G8599" t="str">
        <f>"DAVID MARTINS SANTOS (1058)"</f>
        <v>DAVID MARTINS SANTOS (1058)</v>
      </c>
      <c r="H8599" t="str">
        <f>"Serv.Prest. 27/10/2025 a 02/11/2025 - PIX: E-MAIL - CHAVE: davidmartinssantos73@gmail.com"</f>
        <v>Serv.Prest. 27/10/2025 a 02/11/2025 - PIX: E-MAIL - CHAVE: davidmartinssantos73@gmail.com</v>
      </c>
      <c r="I8599" t="str">
        <f t="shared" si="1602"/>
        <v>06/11/2025</v>
      </c>
      <c r="J8599" t="str">
        <f>("03/11/2025")</f>
        <v>03/11/2025</v>
      </c>
      <c r="K8599" t="str">
        <f>("02/11/2025")</f>
        <v>02/11/2025</v>
      </c>
      <c r="L8599">
        <v>170</v>
      </c>
      <c r="M8599">
        <v>170</v>
      </c>
      <c r="N8599">
        <v>134</v>
      </c>
      <c r="O8599" t="str">
        <f>"DIARIA DE MOTOBOY"</f>
        <v>DIARIA DE MOTOBOY</v>
      </c>
      <c r="P8599">
        <v>170</v>
      </c>
      <c r="S8599" t="str">
        <f>"BANCO CORA (102)"</f>
        <v>BANCO CORA (102)</v>
      </c>
      <c r="T8599">
        <v>20465</v>
      </c>
      <c r="U8599">
        <v>24930</v>
      </c>
      <c r="V8599" t="s">
        <v>22</v>
      </c>
    </row>
    <row r="8600" spans="1:22">
      <c r="A8600" t="str">
        <f t="shared" si="1604"/>
        <v>02/11/2025</v>
      </c>
      <c r="B8600" t="str">
        <f t="shared" si="1597"/>
        <v>SAÍDA</v>
      </c>
      <c r="C8600" t="str">
        <f t="shared" si="1600"/>
        <v>PIX</v>
      </c>
      <c r="D8600" t="str">
        <f>"24619"</f>
        <v>24619</v>
      </c>
      <c r="E8600" t="str">
        <f t="shared" si="1601"/>
        <v>1</v>
      </c>
      <c r="F8600" t="str">
        <f t="shared" si="1598"/>
        <v>COM</v>
      </c>
      <c r="G8600" t="str">
        <f>"DAVID MARTINS SANTOS (1058)"</f>
        <v>DAVID MARTINS SANTOS (1058)</v>
      </c>
      <c r="H8600" t="s">
        <v>2435</v>
      </c>
      <c r="I8600" t="str">
        <f t="shared" si="1602"/>
        <v>06/11/2025</v>
      </c>
      <c r="J8600" t="str">
        <f>("03/11/2025")</f>
        <v>03/11/2025</v>
      </c>
      <c r="K8600">
        <v>45963</v>
      </c>
      <c r="N8600">
        <v>134</v>
      </c>
      <c r="O8600" t="s">
        <v>41</v>
      </c>
      <c r="Q8600">
        <v>170</v>
      </c>
      <c r="R8600" t="str">
        <f>"PENSE FARMA 15 (10195)"</f>
        <v>PENSE FARMA 15 (10195)</v>
      </c>
      <c r="S8600" t="s">
        <v>22</v>
      </c>
      <c r="T8600">
        <v>20465</v>
      </c>
      <c r="U8600">
        <v>24930</v>
      </c>
      <c r="V8600" t="s">
        <v>22</v>
      </c>
    </row>
    <row r="8601" spans="1:22">
      <c r="A8601" t="str">
        <f t="shared" si="1604"/>
        <v>02/11/2025</v>
      </c>
      <c r="B8601" t="str">
        <f t="shared" si="1597"/>
        <v>SAÍDA</v>
      </c>
      <c r="C8601" t="str">
        <f t="shared" si="1600"/>
        <v>PIX</v>
      </c>
      <c r="D8601" t="str">
        <f>"24423"</f>
        <v>24423</v>
      </c>
      <c r="E8601" t="str">
        <f>"3"</f>
        <v>3</v>
      </c>
      <c r="F8601" t="str">
        <f t="shared" si="1598"/>
        <v>COM</v>
      </c>
      <c r="G8601" t="str">
        <f>"JAMERSON SOUZA LOPES (749)"</f>
        <v>JAMERSON SOUZA LOPES (749)</v>
      </c>
      <c r="H8601" t="str">
        <f>"DESPESAS VIAGEM PARA UBERABA - PIX: CPF - CHAVE: 423.098.018-36"</f>
        <v>DESPESAS VIAGEM PARA UBERABA - PIX: CPF - CHAVE: 423.098.018-36</v>
      </c>
      <c r="I8601" t="str">
        <f>("02/11/2025")</f>
        <v>02/11/2025</v>
      </c>
      <c r="J8601" t="str">
        <f>("02/11/2025")</f>
        <v>02/11/2025</v>
      </c>
      <c r="K8601" t="str">
        <f>("02/11/2025")</f>
        <v>02/11/2025</v>
      </c>
      <c r="L8601">
        <v>1350</v>
      </c>
      <c r="M8601">
        <v>1350</v>
      </c>
      <c r="N8601">
        <v>119</v>
      </c>
      <c r="O8601" t="str">
        <f>"DESPESAS COM VIAGENS OPERACIONAIS"</f>
        <v>DESPESAS COM VIAGENS OPERACIONAIS</v>
      </c>
      <c r="P8601">
        <v>1350</v>
      </c>
      <c r="S8601" t="str">
        <f>"BANCO CORA (102)"</f>
        <v>BANCO CORA (102)</v>
      </c>
      <c r="T8601">
        <v>20859</v>
      </c>
      <c r="U8601">
        <v>25300</v>
      </c>
      <c r="V8601" t="s">
        <v>22</v>
      </c>
    </row>
    <row r="8602" spans="1:22">
      <c r="A8602" t="str">
        <f t="shared" si="1604"/>
        <v>02/11/2025</v>
      </c>
      <c r="B8602" t="str">
        <f t="shared" si="1597"/>
        <v>SAÍDA</v>
      </c>
      <c r="C8602" t="str">
        <f t="shared" si="1600"/>
        <v>PIX</v>
      </c>
      <c r="D8602" t="str">
        <f>"24423"</f>
        <v>24423</v>
      </c>
      <c r="E8602" t="str">
        <f>"3"</f>
        <v>3</v>
      </c>
      <c r="F8602" t="str">
        <f t="shared" si="1598"/>
        <v>COM</v>
      </c>
      <c r="G8602" t="str">
        <f>"JAMERSON SOUZA LOPES (749)"</f>
        <v>JAMERSON SOUZA LOPES (749)</v>
      </c>
      <c r="H8602" t="s">
        <v>2419</v>
      </c>
      <c r="I8602" t="str">
        <f>("02/11/2025")</f>
        <v>02/11/2025</v>
      </c>
      <c r="J8602" t="str">
        <f>("02/11/2025")</f>
        <v>02/11/2025</v>
      </c>
      <c r="K8602">
        <v>45963</v>
      </c>
      <c r="N8602">
        <v>119</v>
      </c>
      <c r="O8602" t="s">
        <v>262</v>
      </c>
      <c r="Q8602">
        <v>1350</v>
      </c>
      <c r="R8602" t="str">
        <f>"DROGALIDER 25 (10246)"</f>
        <v>DROGALIDER 25 (10246)</v>
      </c>
      <c r="S8602" t="s">
        <v>22</v>
      </c>
      <c r="T8602">
        <v>20859</v>
      </c>
      <c r="U8602">
        <v>25300</v>
      </c>
      <c r="V8602" t="s">
        <v>22</v>
      </c>
    </row>
    <row r="8603" spans="1:22">
      <c r="A8603" t="str">
        <f t="shared" ref="A8603:A8626" si="1605">("03/11/2025")</f>
        <v>03/11/2025</v>
      </c>
      <c r="B8603" t="str">
        <f t="shared" si="1597"/>
        <v>SAÍDA</v>
      </c>
      <c r="C8603" t="str">
        <f t="shared" si="1600"/>
        <v>PIX</v>
      </c>
      <c r="D8603" t="str">
        <f>"24193"</f>
        <v>24193</v>
      </c>
      <c r="E8603" t="str">
        <f>"1"</f>
        <v>1</v>
      </c>
      <c r="F8603" t="str">
        <f t="shared" si="1598"/>
        <v>COM</v>
      </c>
      <c r="G8603" t="str">
        <f>"CASSIO DIAS RIBEIRO (32)"</f>
        <v>CASSIO DIAS RIBEIRO (32)</v>
      </c>
      <c r="H8603" t="str">
        <f>"Serv.Prest. 20/10/2025 a 24/10/2025 - PIX: CPF - CHAVE: 091.575.986-14"</f>
        <v>Serv.Prest. 20/10/2025 a 24/10/2025 - PIX: CPF - CHAVE: 091.575.986-14</v>
      </c>
      <c r="I8603" t="str">
        <f t="shared" ref="I8603:I8608" si="1606">("06/11/2025")</f>
        <v>06/11/2025</v>
      </c>
      <c r="J8603" t="str">
        <f>("24/10/2025")</f>
        <v>24/10/2025</v>
      </c>
      <c r="K8603" t="str">
        <f>("03/11/2025")</f>
        <v>03/11/2025</v>
      </c>
      <c r="L8603">
        <v>150</v>
      </c>
      <c r="M8603">
        <v>150</v>
      </c>
      <c r="N8603">
        <v>109</v>
      </c>
      <c r="O8603" t="str">
        <f>"PAGAMENTO DE ENTREGADORES"</f>
        <v>PAGAMENTO DE ENTREGADORES</v>
      </c>
      <c r="P8603">
        <v>150</v>
      </c>
      <c r="S8603" t="str">
        <f>"CAIXA MOVIMENTAÇÃO OPERACIONAL (132)"</f>
        <v>CAIXA MOVIMENTAÇÃO OPERACIONAL (132)</v>
      </c>
      <c r="T8603">
        <v>20403</v>
      </c>
      <c r="U8603">
        <v>24573</v>
      </c>
      <c r="V8603" t="s">
        <v>48</v>
      </c>
    </row>
    <row r="8604" spans="1:22">
      <c r="A8604" t="str">
        <f t="shared" si="1605"/>
        <v>03/11/2025</v>
      </c>
      <c r="B8604" t="str">
        <f t="shared" si="1597"/>
        <v>SAÍDA</v>
      </c>
      <c r="C8604" t="str">
        <f t="shared" si="1600"/>
        <v>PIX</v>
      </c>
      <c r="D8604" t="str">
        <f>"24193"</f>
        <v>24193</v>
      </c>
      <c r="E8604" t="str">
        <f>"1"</f>
        <v>1</v>
      </c>
      <c r="F8604" t="str">
        <f t="shared" si="1598"/>
        <v>COM</v>
      </c>
      <c r="G8604" t="str">
        <f>"CASSIO DIAS RIBEIRO (32)"</f>
        <v>CASSIO DIAS RIBEIRO (32)</v>
      </c>
      <c r="H8604" t="s">
        <v>2436</v>
      </c>
      <c r="I8604" t="str">
        <f t="shared" si="1606"/>
        <v>06/11/2025</v>
      </c>
      <c r="J8604" t="str">
        <f>("24/10/2025")</f>
        <v>24/10/2025</v>
      </c>
      <c r="K8604">
        <v>45964</v>
      </c>
      <c r="N8604">
        <v>109</v>
      </c>
      <c r="O8604" t="s">
        <v>24</v>
      </c>
      <c r="Q8604">
        <v>150</v>
      </c>
      <c r="R8604" t="str">
        <f>"FARMÁCIA INDIANA LJ 11 (10008)"</f>
        <v>FARMÁCIA INDIANA LJ 11 (10008)</v>
      </c>
      <c r="S8604" t="s">
        <v>48</v>
      </c>
      <c r="T8604">
        <v>20403</v>
      </c>
      <c r="U8604">
        <v>24573</v>
      </c>
      <c r="V8604" t="s">
        <v>48</v>
      </c>
    </row>
    <row r="8605" spans="1:22">
      <c r="A8605" t="str">
        <f t="shared" si="1605"/>
        <v>03/11/2025</v>
      </c>
      <c r="B8605" t="str">
        <f>"ENTRADA"</f>
        <v>ENTRADA</v>
      </c>
      <c r="C8605" t="str">
        <f>"DINHEIRO"</f>
        <v>DINHEIRO</v>
      </c>
      <c r="D8605" t="str">
        <f>"0611"</f>
        <v>0611</v>
      </c>
      <c r="E8605" t="str">
        <f>"25"</f>
        <v>25</v>
      </c>
      <c r="F8605" t="str">
        <f t="shared" si="1598"/>
        <v>COM</v>
      </c>
      <c r="G8605" t="str">
        <f>"CASSIO DIAS RIBEIRO (32)"</f>
        <v>CASSIO DIAS RIBEIRO (32)</v>
      </c>
      <c r="H8605" t="str">
        <f>"REEMBOLSO ADIANTAMENTO"</f>
        <v>REEMBOLSO ADIANTAMENTO</v>
      </c>
      <c r="I8605" t="str">
        <f t="shared" si="1606"/>
        <v>06/11/2025</v>
      </c>
      <c r="J8605" t="str">
        <f>("21/08/2025")</f>
        <v>21/08/2025</v>
      </c>
      <c r="K8605" t="str">
        <f>("03/11/2025")</f>
        <v>03/11/2025</v>
      </c>
      <c r="L8605">
        <v>150</v>
      </c>
      <c r="M8605">
        <v>150</v>
      </c>
      <c r="N8605">
        <v>129</v>
      </c>
      <c r="O8605" t="str">
        <f>"ENTRADA DE REEMBOLSO ADIANTAMENTO"</f>
        <v>ENTRADA DE REEMBOLSO ADIANTAMENTO</v>
      </c>
      <c r="P8605">
        <v>150</v>
      </c>
      <c r="S8605" t="str">
        <f>"ENTRADA DE REEMBOLSO ADIANTAMENTO (129)"</f>
        <v>ENTRADA DE REEMBOLSO ADIANTAMENTO (129)</v>
      </c>
      <c r="T8605">
        <v>20404</v>
      </c>
      <c r="U8605">
        <v>22796</v>
      </c>
      <c r="V8605" t="s">
        <v>48</v>
      </c>
    </row>
    <row r="8606" spans="1:22">
      <c r="A8606" t="str">
        <f t="shared" si="1605"/>
        <v>03/11/2025</v>
      </c>
      <c r="B8606" t="str">
        <f>"ENTRADA"</f>
        <v>ENTRADA</v>
      </c>
      <c r="C8606" t="str">
        <f>"DINHEIRO"</f>
        <v>DINHEIRO</v>
      </c>
      <c r="D8606" t="str">
        <f>"0611"</f>
        <v>0611</v>
      </c>
      <c r="E8606" t="str">
        <f>"25"</f>
        <v>25</v>
      </c>
      <c r="F8606" t="str">
        <f t="shared" si="1598"/>
        <v>COM</v>
      </c>
      <c r="G8606" t="str">
        <f>"CASSIO DIAS RIBEIRO (32)"</f>
        <v>CASSIO DIAS RIBEIRO (32)</v>
      </c>
      <c r="H8606" t="s">
        <v>57</v>
      </c>
      <c r="I8606" t="str">
        <f t="shared" si="1606"/>
        <v>06/11/2025</v>
      </c>
      <c r="J8606" t="str">
        <f>("21/08/2025")</f>
        <v>21/08/2025</v>
      </c>
      <c r="K8606">
        <v>45964</v>
      </c>
      <c r="N8606">
        <v>129</v>
      </c>
      <c r="O8606" t="s">
        <v>58</v>
      </c>
      <c r="Q8606">
        <v>150</v>
      </c>
      <c r="R8606" t="str">
        <f>"CASSIO DIAS RIBEIRO (32)"</f>
        <v>CASSIO DIAS RIBEIRO (32)</v>
      </c>
      <c r="S8606" t="s">
        <v>59</v>
      </c>
      <c r="T8606">
        <v>20404</v>
      </c>
      <c r="U8606">
        <v>22796</v>
      </c>
      <c r="V8606" t="s">
        <v>48</v>
      </c>
    </row>
    <row r="8607" spans="1:22">
      <c r="A8607" t="str">
        <f t="shared" si="1605"/>
        <v>03/11/2025</v>
      </c>
      <c r="B8607" t="str">
        <f t="shared" ref="B8607:B8614" si="1607">"SAÍDA"</f>
        <v>SAÍDA</v>
      </c>
      <c r="C8607" t="str">
        <f>"PIX"</f>
        <v>PIX</v>
      </c>
      <c r="D8607" t="str">
        <f>"24272"</f>
        <v>24272</v>
      </c>
      <c r="E8607" t="str">
        <f>"1"</f>
        <v>1</v>
      </c>
      <c r="F8607" t="str">
        <f t="shared" si="1598"/>
        <v>COM</v>
      </c>
      <c r="G8607" t="str">
        <f>"VITOR DE SOUZA SILVA (360)"</f>
        <v>VITOR DE SOUZA SILVA (360)</v>
      </c>
      <c r="H8607" t="str">
        <f>"Serv.Prest. 20/10/2025 a 24/10/2025 - PIX: CPF - CHAVE: 130.194.566-81"</f>
        <v>Serv.Prest. 20/10/2025 a 24/10/2025 - PIX: CPF - CHAVE: 130.194.566-81</v>
      </c>
      <c r="I8607" t="str">
        <f t="shared" si="1606"/>
        <v>06/11/2025</v>
      </c>
      <c r="J8607" t="str">
        <f>("24/10/2025")</f>
        <v>24/10/2025</v>
      </c>
      <c r="K8607" t="str">
        <f>("03/11/2025")</f>
        <v>03/11/2025</v>
      </c>
      <c r="L8607">
        <v>200</v>
      </c>
      <c r="M8607">
        <v>200</v>
      </c>
      <c r="N8607">
        <v>109</v>
      </c>
      <c r="O8607" t="str">
        <f>"PAGAMENTO DE ENTREGADORES"</f>
        <v>PAGAMENTO DE ENTREGADORES</v>
      </c>
      <c r="P8607">
        <v>200</v>
      </c>
      <c r="S8607" t="str">
        <f>"BANCO CORA (102)"</f>
        <v>BANCO CORA (102)</v>
      </c>
      <c r="T8607">
        <v>20405</v>
      </c>
      <c r="U8607">
        <v>24572</v>
      </c>
      <c r="V8607" t="s">
        <v>22</v>
      </c>
    </row>
    <row r="8608" spans="1:22">
      <c r="A8608" t="str">
        <f t="shared" si="1605"/>
        <v>03/11/2025</v>
      </c>
      <c r="B8608" t="str">
        <f t="shared" si="1607"/>
        <v>SAÍDA</v>
      </c>
      <c r="C8608" t="str">
        <f>"PIX"</f>
        <v>PIX</v>
      </c>
      <c r="D8608" t="str">
        <f>"24272"</f>
        <v>24272</v>
      </c>
      <c r="E8608" t="str">
        <f>"1"</f>
        <v>1</v>
      </c>
      <c r="F8608" t="str">
        <f t="shared" si="1598"/>
        <v>COM</v>
      </c>
      <c r="G8608" t="str">
        <f>"VITOR DE SOUZA SILVA (360)"</f>
        <v>VITOR DE SOUZA SILVA (360)</v>
      </c>
      <c r="H8608" t="s">
        <v>2437</v>
      </c>
      <c r="I8608" t="str">
        <f t="shared" si="1606"/>
        <v>06/11/2025</v>
      </c>
      <c r="J8608" t="str">
        <f>("24/10/2025")</f>
        <v>24/10/2025</v>
      </c>
      <c r="K8608">
        <v>45964</v>
      </c>
      <c r="N8608">
        <v>109</v>
      </c>
      <c r="O8608" t="s">
        <v>24</v>
      </c>
      <c r="Q8608">
        <v>200</v>
      </c>
      <c r="R8608" t="str">
        <f>"FARMÁCIA INDIANA LJ 121 (10054)"</f>
        <v>FARMÁCIA INDIANA LJ 121 (10054)</v>
      </c>
      <c r="S8608" t="s">
        <v>22</v>
      </c>
      <c r="T8608">
        <v>20405</v>
      </c>
      <c r="U8608">
        <v>24572</v>
      </c>
      <c r="V8608" t="s">
        <v>22</v>
      </c>
    </row>
    <row r="8609" spans="1:22">
      <c r="A8609" t="str">
        <f t="shared" si="1605"/>
        <v>03/11/2025</v>
      </c>
      <c r="B8609" t="str">
        <f t="shared" si="1607"/>
        <v>SAÍDA</v>
      </c>
      <c r="C8609" t="str">
        <f>"PIX"</f>
        <v>PIX</v>
      </c>
      <c r="D8609" t="str">
        <f>"26391"</f>
        <v>26391</v>
      </c>
      <c r="E8609" t="str">
        <f>"01"</f>
        <v>01</v>
      </c>
      <c r="F8609" t="str">
        <f t="shared" si="1598"/>
        <v>COM</v>
      </c>
      <c r="G8609" t="str">
        <f>"DROGALIDER 67 (10252)"</f>
        <v>DROGALIDER 67 (10252)</v>
      </c>
      <c r="H8609" t="str">
        <f>"REEMBOLSO VALORES PERDIDOS POR MOTOBOY - PIX drogalider.pix@drogalider.com.br"</f>
        <v>REEMBOLSO VALORES PERDIDOS POR MOTOBOY - PIX drogalider.pix@drogalider.com.br</v>
      </c>
      <c r="I8609" t="str">
        <f>("03/11/2025")</f>
        <v>03/11/2025</v>
      </c>
      <c r="J8609" t="str">
        <f>("30/10/2025")</f>
        <v>30/10/2025</v>
      </c>
      <c r="K8609" t="str">
        <f>("03/11/2025")</f>
        <v>03/11/2025</v>
      </c>
      <c r="L8609">
        <v>50</v>
      </c>
      <c r="M8609">
        <v>50</v>
      </c>
      <c r="N8609">
        <v>110</v>
      </c>
      <c r="O8609" t="str">
        <f>"DESPESAS COM REEMBOLSOS"</f>
        <v>DESPESAS COM REEMBOLSOS</v>
      </c>
      <c r="P8609">
        <v>50</v>
      </c>
      <c r="S8609" t="str">
        <f>"BANCO CORA (102)"</f>
        <v>BANCO CORA (102)</v>
      </c>
      <c r="T8609">
        <v>20407</v>
      </c>
      <c r="U8609">
        <v>24623</v>
      </c>
      <c r="V8609" t="s">
        <v>22</v>
      </c>
    </row>
    <row r="8610" spans="1:22">
      <c r="A8610" t="str">
        <f t="shared" si="1605"/>
        <v>03/11/2025</v>
      </c>
      <c r="B8610" t="str">
        <f t="shared" si="1607"/>
        <v>SAÍDA</v>
      </c>
      <c r="C8610" t="str">
        <f>"PIX"</f>
        <v>PIX</v>
      </c>
      <c r="D8610" t="str">
        <f>"26391"</f>
        <v>26391</v>
      </c>
      <c r="E8610" t="str">
        <f>"01"</f>
        <v>01</v>
      </c>
      <c r="F8610" t="str">
        <f t="shared" si="1598"/>
        <v>COM</v>
      </c>
      <c r="G8610" t="str">
        <f>"DROGALIDER 67 (10252)"</f>
        <v>DROGALIDER 67 (10252)</v>
      </c>
      <c r="H8610" t="s">
        <v>2438</v>
      </c>
      <c r="I8610" t="str">
        <f>("03/11/2025")</f>
        <v>03/11/2025</v>
      </c>
      <c r="J8610" t="str">
        <f>("30/10/2025")</f>
        <v>30/10/2025</v>
      </c>
      <c r="K8610">
        <v>45964</v>
      </c>
      <c r="N8610">
        <v>110</v>
      </c>
      <c r="O8610" t="s">
        <v>2439</v>
      </c>
      <c r="Q8610">
        <v>50</v>
      </c>
      <c r="R8610" t="str">
        <f>"DROGALIDER 67 (10252)"</f>
        <v>DROGALIDER 67 (10252)</v>
      </c>
      <c r="S8610" t="s">
        <v>22</v>
      </c>
      <c r="T8610">
        <v>20407</v>
      </c>
      <c r="U8610">
        <v>24623</v>
      </c>
      <c r="V8610" t="s">
        <v>22</v>
      </c>
    </row>
    <row r="8611" spans="1:22">
      <c r="A8611" t="str">
        <f t="shared" si="1605"/>
        <v>03/11/2025</v>
      </c>
      <c r="B8611" t="str">
        <f t="shared" si="1607"/>
        <v>SAÍDA</v>
      </c>
      <c r="C8611" t="str">
        <f>"BOLETO"</f>
        <v>BOLETO</v>
      </c>
      <c r="D8611" t="str">
        <f>"16093"</f>
        <v>16093</v>
      </c>
      <c r="E8611" t="str">
        <f>"7"</f>
        <v>7</v>
      </c>
      <c r="F8611" t="str">
        <f t="shared" si="1598"/>
        <v>COM</v>
      </c>
      <c r="G8611" t="str">
        <f>"OPEN DATACENTER BRASIL LTDA (20044)"</f>
        <v>OPEN DATACENTER BRASIL LTDA (20044)</v>
      </c>
      <c r="H8611" t="str">
        <f>"01/08 PROPOSTA 075527/2024 Máquina Dedicada Virtual – BR 2 vCPU Licenciadas com Windows Server 2019"</f>
        <v>01/08 PROPOSTA 075527/2024 Máquina Dedicada Virtual – BR 2 vCPU Licenciadas com Windows Server 2019</v>
      </c>
      <c r="I8611" t="str">
        <f>("01/11/2025")</f>
        <v>01/11/2025</v>
      </c>
      <c r="J8611" t="str">
        <f>("22/04/2025")</f>
        <v>22/04/2025</v>
      </c>
      <c r="K8611" t="str">
        <f>("03/11/2025")</f>
        <v>03/11/2025</v>
      </c>
      <c r="L8611">
        <v>400.62</v>
      </c>
      <c r="M8611">
        <v>400.13</v>
      </c>
      <c r="N8611">
        <v>104</v>
      </c>
      <c r="O8611" t="str">
        <f>"SOFTWARE / LICENÇAS"</f>
        <v>SOFTWARE / LICENÇAS</v>
      </c>
      <c r="P8611">
        <v>400.13</v>
      </c>
      <c r="S8611" t="str">
        <f>"BANCO CORA (102)"</f>
        <v>BANCO CORA (102)</v>
      </c>
      <c r="T8611">
        <v>20408</v>
      </c>
      <c r="U8611">
        <v>13393</v>
      </c>
      <c r="V8611" t="s">
        <v>22</v>
      </c>
    </row>
    <row r="8612" spans="1:22">
      <c r="A8612" t="str">
        <f t="shared" si="1605"/>
        <v>03/11/2025</v>
      </c>
      <c r="B8612" t="str">
        <f t="shared" si="1607"/>
        <v>SAÍDA</v>
      </c>
      <c r="C8612" t="str">
        <f>"BOLETO"</f>
        <v>BOLETO</v>
      </c>
      <c r="D8612" t="str">
        <f>"16093"</f>
        <v>16093</v>
      </c>
      <c r="E8612" t="str">
        <f>"7"</f>
        <v>7</v>
      </c>
      <c r="F8612" t="str">
        <f t="shared" si="1598"/>
        <v>COM</v>
      </c>
      <c r="G8612" t="str">
        <f>"OPEN DATACENTER BRASIL LTDA (20044)"</f>
        <v>OPEN DATACENTER BRASIL LTDA (20044)</v>
      </c>
      <c r="H8612" t="s">
        <v>36</v>
      </c>
      <c r="I8612" t="str">
        <f>("01/11/2025")</f>
        <v>01/11/2025</v>
      </c>
      <c r="J8612" t="str">
        <f>("22/04/2025")</f>
        <v>22/04/2025</v>
      </c>
      <c r="K8612">
        <v>45964</v>
      </c>
      <c r="N8612">
        <v>104</v>
      </c>
      <c r="O8612" t="s">
        <v>34</v>
      </c>
      <c r="Q8612">
        <v>400.13</v>
      </c>
      <c r="R8612" t="str">
        <f>"OPEN DATACENTER BRASIL LTDA (20044)"</f>
        <v>OPEN DATACENTER BRASIL LTDA (20044)</v>
      </c>
      <c r="S8612" t="s">
        <v>22</v>
      </c>
      <c r="T8612">
        <v>20408</v>
      </c>
      <c r="U8612">
        <v>13393</v>
      </c>
      <c r="V8612" t="s">
        <v>22</v>
      </c>
    </row>
    <row r="8613" spans="1:22">
      <c r="A8613" t="str">
        <f t="shared" si="1605"/>
        <v>03/11/2025</v>
      </c>
      <c r="B8613" t="str">
        <f t="shared" si="1607"/>
        <v>SAÍDA</v>
      </c>
      <c r="C8613" t="str">
        <f>"PIX"</f>
        <v>PIX</v>
      </c>
      <c r="D8613" t="str">
        <f>"01082513049"</f>
        <v>01082513049</v>
      </c>
      <c r="E8613" t="str">
        <f>"11"</f>
        <v>11</v>
      </c>
      <c r="F8613" t="str">
        <f t="shared" si="1598"/>
        <v>COM</v>
      </c>
      <c r="G8613" t="str">
        <f>"54.235.509 ROBERT MAGDIEL DE CARVALHO (20004)"</f>
        <v>54.235.509 ROBERT MAGDIEL DE CARVALHO (20004)</v>
      </c>
      <c r="H8613" t="str">
        <f>"CHAT GPT"</f>
        <v>CHAT GPT</v>
      </c>
      <c r="I8613" t="str">
        <f>("01/11/2025")</f>
        <v>01/11/2025</v>
      </c>
      <c r="J8613" t="str">
        <f>("01/08/2025")</f>
        <v>01/08/2025</v>
      </c>
      <c r="K8613" t="str">
        <f>("03/11/2025")</f>
        <v>03/11/2025</v>
      </c>
      <c r="L8613">
        <v>130.49</v>
      </c>
      <c r="M8613">
        <v>130.49</v>
      </c>
      <c r="N8613">
        <v>104</v>
      </c>
      <c r="O8613" t="str">
        <f>"SOFTWARE / LICENÇAS"</f>
        <v>SOFTWARE / LICENÇAS</v>
      </c>
      <c r="P8613">
        <v>130.49</v>
      </c>
      <c r="S8613" t="str">
        <f>"BANCO CORA (102)"</f>
        <v>BANCO CORA (102)</v>
      </c>
      <c r="T8613">
        <v>20409</v>
      </c>
      <c r="U8613">
        <v>19905</v>
      </c>
      <c r="V8613" t="s">
        <v>22</v>
      </c>
    </row>
    <row r="8614" spans="1:22">
      <c r="A8614" t="str">
        <f t="shared" si="1605"/>
        <v>03/11/2025</v>
      </c>
      <c r="B8614" t="str">
        <f t="shared" si="1607"/>
        <v>SAÍDA</v>
      </c>
      <c r="C8614" t="str">
        <f>"PIX"</f>
        <v>PIX</v>
      </c>
      <c r="D8614" t="str">
        <f>"01082513049"</f>
        <v>01082513049</v>
      </c>
      <c r="E8614" t="str">
        <f>"11"</f>
        <v>11</v>
      </c>
      <c r="F8614" t="str">
        <f t="shared" si="1598"/>
        <v>COM</v>
      </c>
      <c r="G8614" t="str">
        <f>"54.235.509 ROBERT MAGDIEL DE CARVALHO (20004)"</f>
        <v>54.235.509 ROBERT MAGDIEL DE CARVALHO (20004)</v>
      </c>
      <c r="H8614" t="s">
        <v>39</v>
      </c>
      <c r="I8614" t="str">
        <f>("01/11/2025")</f>
        <v>01/11/2025</v>
      </c>
      <c r="J8614" t="str">
        <f>("01/08/2025")</f>
        <v>01/08/2025</v>
      </c>
      <c r="K8614">
        <v>45964</v>
      </c>
      <c r="N8614">
        <v>104</v>
      </c>
      <c r="O8614" t="s">
        <v>34</v>
      </c>
      <c r="Q8614">
        <v>130.49</v>
      </c>
      <c r="R8614" t="str">
        <f>"54.235.509 ROBERT MAGDIEL DE CARVALHO (20004)"</f>
        <v>54.235.509 ROBERT MAGDIEL DE CARVALHO (20004)</v>
      </c>
      <c r="S8614" t="s">
        <v>22</v>
      </c>
      <c r="T8614">
        <v>20409</v>
      </c>
      <c r="U8614">
        <v>19905</v>
      </c>
      <c r="V8614" t="s">
        <v>22</v>
      </c>
    </row>
    <row r="8615" spans="1:22">
      <c r="A8615" t="str">
        <f t="shared" si="1605"/>
        <v>03/11/2025</v>
      </c>
      <c r="B8615" t="str">
        <f>"ENTRADA"</f>
        <v>ENTRADA</v>
      </c>
      <c r="C8615" t="str">
        <f>"NFSE"</f>
        <v>NFSE</v>
      </c>
      <c r="D8615" t="str">
        <f>"3540"</f>
        <v>3540</v>
      </c>
      <c r="E8615" t="str">
        <f t="shared" ref="E8615:E8658" si="1608">"1"</f>
        <v>1</v>
      </c>
      <c r="F8615" t="str">
        <f t="shared" si="1598"/>
        <v>COM</v>
      </c>
      <c r="G8615" t="str">
        <f>"PAGMENOS - LJ 657 (10136)"</f>
        <v>PAGMENOS - LJ 657 (10136)</v>
      </c>
      <c r="H8615" t="str">
        <f>"Serv.Prest. 13/10/2025 a 19/10/2025 - RPS: 1416 - NFSe: 3540"</f>
        <v>Serv.Prest. 13/10/2025 a 19/10/2025 - RPS: 1416 - NFSe: 3540</v>
      </c>
      <c r="I8615" t="str">
        <f>("31/10/2025")</f>
        <v>31/10/2025</v>
      </c>
      <c r="J8615" t="str">
        <f>("21/10/2025")</f>
        <v>21/10/2025</v>
      </c>
      <c r="K8615" t="str">
        <f>("03/11/2025")</f>
        <v>03/11/2025</v>
      </c>
      <c r="L8615">
        <v>1605.89</v>
      </c>
      <c r="M8615">
        <v>1605.89</v>
      </c>
      <c r="N8615">
        <v>303</v>
      </c>
      <c r="O8615" t="str">
        <f>"RECEITAS COM ENTREGAS"</f>
        <v>RECEITAS COM ENTREGAS</v>
      </c>
      <c r="P8615">
        <v>1605.89</v>
      </c>
      <c r="S8615" t="str">
        <f>"RECEITAS COM ENTREGAS (303)"</f>
        <v>RECEITAS COM ENTREGAS (303)</v>
      </c>
      <c r="T8615">
        <v>20410</v>
      </c>
      <c r="U8615">
        <v>23951</v>
      </c>
      <c r="V8615" t="s">
        <v>22</v>
      </c>
    </row>
    <row r="8616" spans="1:22">
      <c r="A8616" t="str">
        <f t="shared" si="1605"/>
        <v>03/11/2025</v>
      </c>
      <c r="B8616" t="str">
        <f>"ENTRADA"</f>
        <v>ENTRADA</v>
      </c>
      <c r="C8616" t="str">
        <f>"NFSE"</f>
        <v>NFSE</v>
      </c>
      <c r="D8616" t="str">
        <f>"3540"</f>
        <v>3540</v>
      </c>
      <c r="E8616" t="str">
        <f t="shared" si="1608"/>
        <v>1</v>
      </c>
      <c r="F8616" t="str">
        <f t="shared" si="1598"/>
        <v>COM</v>
      </c>
      <c r="G8616" t="str">
        <f>"PAGMENOS - LJ 657 (10136)"</f>
        <v>PAGMENOS - LJ 657 (10136)</v>
      </c>
      <c r="H8616" t="s">
        <v>2440</v>
      </c>
      <c r="I8616" t="str">
        <f>("31/10/2025")</f>
        <v>31/10/2025</v>
      </c>
      <c r="J8616" t="str">
        <f>("21/10/2025")</f>
        <v>21/10/2025</v>
      </c>
      <c r="K8616">
        <v>45964</v>
      </c>
      <c r="N8616">
        <v>303</v>
      </c>
      <c r="O8616" t="s">
        <v>69</v>
      </c>
      <c r="Q8616">
        <v>1605.89</v>
      </c>
      <c r="R8616" t="str">
        <f>"PAGMENOS - LJ 657 (10136)"</f>
        <v>PAGMENOS - LJ 657 (10136)</v>
      </c>
      <c r="S8616" t="s">
        <v>70</v>
      </c>
      <c r="T8616">
        <v>20410</v>
      </c>
      <c r="U8616">
        <v>23951</v>
      </c>
      <c r="V8616" t="s">
        <v>22</v>
      </c>
    </row>
    <row r="8617" spans="1:22">
      <c r="A8617" t="str">
        <f t="shared" si="1605"/>
        <v>03/11/2025</v>
      </c>
      <c r="B8617" t="str">
        <f t="shared" ref="B8617:B8622" si="1609">"SAÍDA"</f>
        <v>SAÍDA</v>
      </c>
      <c r="C8617" t="str">
        <f t="shared" ref="C8617:C8622" si="1610">"PIX"</f>
        <v>PIX</v>
      </c>
      <c r="D8617" t="str">
        <f>"24654"</f>
        <v>24654</v>
      </c>
      <c r="E8617" t="str">
        <f t="shared" si="1608"/>
        <v>1</v>
      </c>
      <c r="F8617" t="str">
        <f t="shared" si="1598"/>
        <v>COM</v>
      </c>
      <c r="G8617" t="str">
        <f>"BRENO HENRIQUE DE SOUSA (596)"</f>
        <v>BRENO HENRIQUE DE SOUSA (596)</v>
      </c>
      <c r="H8617" t="str">
        <f>"Serv.Prest. 27/10/2025 a 02/11/2025 - PIX: CELULAR - CHAVE: (37) 99146-2630"</f>
        <v>Serv.Prest. 27/10/2025 a 02/11/2025 - PIX: CELULAR - CHAVE: (37) 99146-2630</v>
      </c>
      <c r="I8617" t="str">
        <f>("03/11/2025")</f>
        <v>03/11/2025</v>
      </c>
      <c r="J8617" t="str">
        <f>("03/11/2025")</f>
        <v>03/11/2025</v>
      </c>
      <c r="K8617" t="str">
        <f>("03/11/2025")</f>
        <v>03/11/2025</v>
      </c>
      <c r="L8617">
        <v>200</v>
      </c>
      <c r="M8617">
        <v>200</v>
      </c>
      <c r="N8617">
        <v>109</v>
      </c>
      <c r="O8617" t="str">
        <f>"PAGAMENTO DE ENTREGADORES"</f>
        <v>PAGAMENTO DE ENTREGADORES</v>
      </c>
      <c r="P8617">
        <v>200</v>
      </c>
      <c r="S8617" t="str">
        <f>"BANCO CORA (102)"</f>
        <v>BANCO CORA (102)</v>
      </c>
      <c r="T8617">
        <v>20420</v>
      </c>
      <c r="U8617">
        <v>24857</v>
      </c>
      <c r="V8617" t="s">
        <v>22</v>
      </c>
    </row>
    <row r="8618" spans="1:22">
      <c r="A8618" t="str">
        <f t="shared" si="1605"/>
        <v>03/11/2025</v>
      </c>
      <c r="B8618" t="str">
        <f t="shared" si="1609"/>
        <v>SAÍDA</v>
      </c>
      <c r="C8618" t="str">
        <f t="shared" si="1610"/>
        <v>PIX</v>
      </c>
      <c r="D8618" t="str">
        <f>"24654"</f>
        <v>24654</v>
      </c>
      <c r="E8618" t="str">
        <f t="shared" si="1608"/>
        <v>1</v>
      </c>
      <c r="F8618" t="str">
        <f t="shared" si="1598"/>
        <v>COM</v>
      </c>
      <c r="G8618" t="str">
        <f>"BRENO HENRIQUE DE SOUSA (596)"</f>
        <v>BRENO HENRIQUE DE SOUSA (596)</v>
      </c>
      <c r="H8618" t="s">
        <v>2441</v>
      </c>
      <c r="I8618" t="str">
        <f>("03/11/2025")</f>
        <v>03/11/2025</v>
      </c>
      <c r="J8618" t="str">
        <f>("03/11/2025")</f>
        <v>03/11/2025</v>
      </c>
      <c r="K8618">
        <v>45964</v>
      </c>
      <c r="N8618">
        <v>109</v>
      </c>
      <c r="O8618" t="s">
        <v>24</v>
      </c>
      <c r="Q8618">
        <v>200</v>
      </c>
      <c r="R8618" t="str">
        <f>"DROGARIA POUPA MINAS (ULTRAMINAS) 1 (10181)"</f>
        <v>DROGARIA POUPA MINAS (ULTRAMINAS) 1 (10181)</v>
      </c>
      <c r="S8618" t="s">
        <v>22</v>
      </c>
      <c r="T8618">
        <v>20420</v>
      </c>
      <c r="U8618">
        <v>24857</v>
      </c>
      <c r="V8618" t="s">
        <v>22</v>
      </c>
    </row>
    <row r="8619" spans="1:22">
      <c r="A8619" t="str">
        <f t="shared" si="1605"/>
        <v>03/11/2025</v>
      </c>
      <c r="B8619" t="str">
        <f t="shared" si="1609"/>
        <v>SAÍDA</v>
      </c>
      <c r="C8619" t="str">
        <f t="shared" si="1610"/>
        <v>PIX</v>
      </c>
      <c r="D8619" t="str">
        <f>"24877"</f>
        <v>24877</v>
      </c>
      <c r="E8619" t="str">
        <f t="shared" si="1608"/>
        <v>1</v>
      </c>
      <c r="F8619" t="str">
        <f t="shared" si="1598"/>
        <v>COM</v>
      </c>
      <c r="G8619" t="str">
        <f>"ODAIR SEBASTI??O DE ARAUJO FILHO (1061)"</f>
        <v>ODAIR SEBASTI??O DE ARAUJO FILHO (1061)</v>
      </c>
      <c r="H8619" t="str">
        <f>"Serv.Prest. 27/10/2025 a 02/11/2025 - PIX: E-MAIL - CHAVE: odair.araujo@onmail.com"</f>
        <v>Serv.Prest. 27/10/2025 a 02/11/2025 - PIX: E-MAIL - CHAVE: odair.araujo@onmail.com</v>
      </c>
      <c r="I8619" t="str">
        <f>("06/11/2025")</f>
        <v>06/11/2025</v>
      </c>
      <c r="J8619" t="str">
        <f>("04/11/2025")</f>
        <v>04/11/2025</v>
      </c>
      <c r="K8619" t="str">
        <f>("03/11/2025")</f>
        <v>03/11/2025</v>
      </c>
      <c r="L8619">
        <v>174</v>
      </c>
      <c r="M8619">
        <v>170</v>
      </c>
      <c r="N8619">
        <v>109</v>
      </c>
      <c r="O8619" t="str">
        <f>"PAGAMENTO DE ENTREGADORES"</f>
        <v>PAGAMENTO DE ENTREGADORES</v>
      </c>
      <c r="P8619">
        <v>170</v>
      </c>
      <c r="S8619" t="str">
        <f>"BANCO CORA (102)"</f>
        <v>BANCO CORA (102)</v>
      </c>
      <c r="T8619">
        <v>20449</v>
      </c>
      <c r="U8619">
        <v>24877</v>
      </c>
      <c r="V8619" t="s">
        <v>22</v>
      </c>
    </row>
    <row r="8620" spans="1:22">
      <c r="A8620" t="str">
        <f t="shared" si="1605"/>
        <v>03/11/2025</v>
      </c>
      <c r="B8620" t="str">
        <f t="shared" si="1609"/>
        <v>SAÍDA</v>
      </c>
      <c r="C8620" t="str">
        <f t="shared" si="1610"/>
        <v>PIX</v>
      </c>
      <c r="D8620" t="str">
        <f>"24877"</f>
        <v>24877</v>
      </c>
      <c r="E8620" t="str">
        <f t="shared" si="1608"/>
        <v>1</v>
      </c>
      <c r="F8620" t="str">
        <f t="shared" si="1598"/>
        <v>COM</v>
      </c>
      <c r="G8620" t="str">
        <f>"ODAIR SEBASTI??O DE ARAUJO FILHO (1061)"</f>
        <v>ODAIR SEBASTI??O DE ARAUJO FILHO (1061)</v>
      </c>
      <c r="H8620" t="s">
        <v>2433</v>
      </c>
      <c r="I8620" t="str">
        <f>("06/11/2025")</f>
        <v>06/11/2025</v>
      </c>
      <c r="J8620" t="str">
        <f>("04/11/2025")</f>
        <v>04/11/2025</v>
      </c>
      <c r="K8620">
        <v>45964</v>
      </c>
      <c r="N8620">
        <v>109</v>
      </c>
      <c r="O8620" t="s">
        <v>24</v>
      </c>
      <c r="Q8620">
        <v>170</v>
      </c>
      <c r="R8620" t="str">
        <f>"PAGMENOS - LJ 431 (10265)"</f>
        <v>PAGMENOS - LJ 431 (10265)</v>
      </c>
      <c r="S8620" t="s">
        <v>22</v>
      </c>
      <c r="T8620">
        <v>20449</v>
      </c>
      <c r="U8620">
        <v>24877</v>
      </c>
      <c r="V8620" t="s">
        <v>22</v>
      </c>
    </row>
    <row r="8621" spans="1:22">
      <c r="A8621" t="str">
        <f t="shared" si="1605"/>
        <v>03/11/2025</v>
      </c>
      <c r="B8621" t="str">
        <f t="shared" si="1609"/>
        <v>SAÍDA</v>
      </c>
      <c r="C8621" t="str">
        <f t="shared" si="1610"/>
        <v>PIX</v>
      </c>
      <c r="D8621" t="str">
        <f>"24727"</f>
        <v>24727</v>
      </c>
      <c r="E8621" t="str">
        <f t="shared" si="1608"/>
        <v>1</v>
      </c>
      <c r="F8621" t="str">
        <f t="shared" si="1598"/>
        <v>COM</v>
      </c>
      <c r="G8621" t="str">
        <f>"YAN BRENDO CORREIA VIEIRA (861)"</f>
        <v>YAN BRENDO CORREIA VIEIRA (861)</v>
      </c>
      <c r="H8621" t="str">
        <f>"PAGO PARA PEDRO HENRIQUE LPES - Serv.Prest. 24/10/2025 a 02/11/2025"</f>
        <v>PAGO PARA PEDRO HENRIQUE LPES - Serv.Prest. 24/10/2025 a 02/11/2025</v>
      </c>
      <c r="I8621" t="str">
        <f>("13/11/2025")</f>
        <v>13/11/2025</v>
      </c>
      <c r="J8621" t="str">
        <f>("04/11/2025")</f>
        <v>04/11/2025</v>
      </c>
      <c r="K8621" t="str">
        <f>("03/11/2025")</f>
        <v>03/11/2025</v>
      </c>
      <c r="L8621">
        <v>150</v>
      </c>
      <c r="M8621">
        <v>150</v>
      </c>
      <c r="N8621">
        <v>109</v>
      </c>
      <c r="O8621" t="str">
        <f>"PAGAMENTO DE ENTREGADORES"</f>
        <v>PAGAMENTO DE ENTREGADORES</v>
      </c>
      <c r="P8621">
        <v>150</v>
      </c>
      <c r="S8621" t="str">
        <f>"BANCO CORA (102)"</f>
        <v>BANCO CORA (102)</v>
      </c>
      <c r="T8621">
        <v>20493</v>
      </c>
      <c r="U8621">
        <v>24947</v>
      </c>
      <c r="V8621" t="s">
        <v>22</v>
      </c>
    </row>
    <row r="8622" spans="1:22">
      <c r="A8622" t="str">
        <f t="shared" si="1605"/>
        <v>03/11/2025</v>
      </c>
      <c r="B8622" t="str">
        <f t="shared" si="1609"/>
        <v>SAÍDA</v>
      </c>
      <c r="C8622" t="str">
        <f t="shared" si="1610"/>
        <v>PIX</v>
      </c>
      <c r="D8622" t="str">
        <f>"24727"</f>
        <v>24727</v>
      </c>
      <c r="E8622" t="str">
        <f t="shared" si="1608"/>
        <v>1</v>
      </c>
      <c r="F8622" t="str">
        <f t="shared" si="1598"/>
        <v>COM</v>
      </c>
      <c r="G8622" t="str">
        <f>"YAN BRENDO CORREIA VIEIRA (861)"</f>
        <v>YAN BRENDO CORREIA VIEIRA (861)</v>
      </c>
      <c r="H8622" t="s">
        <v>2442</v>
      </c>
      <c r="I8622" t="str">
        <f>("13/11/2025")</f>
        <v>13/11/2025</v>
      </c>
      <c r="J8622" t="str">
        <f>("04/11/2025")</f>
        <v>04/11/2025</v>
      </c>
      <c r="K8622">
        <v>45964</v>
      </c>
      <c r="N8622">
        <v>109</v>
      </c>
      <c r="O8622" t="s">
        <v>24</v>
      </c>
      <c r="Q8622">
        <v>150</v>
      </c>
      <c r="R8622" t="str">
        <f>"FARMÁCIA INDIANA LJ 200 (10155)"</f>
        <v>FARMÁCIA INDIANA LJ 200 (10155)</v>
      </c>
      <c r="S8622" t="s">
        <v>22</v>
      </c>
      <c r="T8622">
        <v>20493</v>
      </c>
      <c r="U8622">
        <v>24947</v>
      </c>
      <c r="V8622" t="s">
        <v>22</v>
      </c>
    </row>
    <row r="8623" spans="1:22">
      <c r="A8623" t="str">
        <f t="shared" si="1605"/>
        <v>03/11/2025</v>
      </c>
      <c r="B8623" t="str">
        <f>"ENTRADA"</f>
        <v>ENTRADA</v>
      </c>
      <c r="C8623" t="str">
        <f>"NFSE"</f>
        <v>NFSE</v>
      </c>
      <c r="D8623" t="str">
        <f>"3587"</f>
        <v>3587</v>
      </c>
      <c r="E8623" t="str">
        <f t="shared" si="1608"/>
        <v>1</v>
      </c>
      <c r="F8623" t="str">
        <f t="shared" si="1598"/>
        <v>COM</v>
      </c>
      <c r="G8623" t="str">
        <f>"DROGARIA VAZ (10179)"</f>
        <v>DROGARIA VAZ (10179)</v>
      </c>
      <c r="H8623" t="str">
        <f>"Serv.Prest. 20/10/2025 a 26/10/2025 - RPS: 1463 - NFSe: 3587"</f>
        <v>Serv.Prest. 20/10/2025 a 26/10/2025 - RPS: 1463 - NFSe: 3587</v>
      </c>
      <c r="I8623" t="str">
        <f>("29/10/2025")</f>
        <v>29/10/2025</v>
      </c>
      <c r="J8623" t="str">
        <f>("27/10/2025")</f>
        <v>27/10/2025</v>
      </c>
      <c r="K8623" t="str">
        <f>("03/11/2025")</f>
        <v>03/11/2025</v>
      </c>
      <c r="L8623">
        <v>978.82</v>
      </c>
      <c r="M8623">
        <v>1000.02</v>
      </c>
      <c r="N8623">
        <v>303</v>
      </c>
      <c r="O8623" t="str">
        <f>"RECEITAS COM ENTREGAS"</f>
        <v>RECEITAS COM ENTREGAS</v>
      </c>
      <c r="P8623">
        <v>1000.02</v>
      </c>
      <c r="S8623" t="str">
        <f>"RECEITAS COM ENTREGAS (303)"</f>
        <v>RECEITAS COM ENTREGAS (303)</v>
      </c>
      <c r="T8623">
        <v>22789</v>
      </c>
      <c r="U8623">
        <v>24437</v>
      </c>
      <c r="V8623" t="s">
        <v>22</v>
      </c>
    </row>
    <row r="8624" spans="1:22">
      <c r="A8624" t="str">
        <f t="shared" si="1605"/>
        <v>03/11/2025</v>
      </c>
      <c r="B8624" t="str">
        <f>"ENTRADA"</f>
        <v>ENTRADA</v>
      </c>
      <c r="C8624" t="str">
        <f>"NFSE"</f>
        <v>NFSE</v>
      </c>
      <c r="D8624" t="str">
        <f>"3587"</f>
        <v>3587</v>
      </c>
      <c r="E8624" t="str">
        <f t="shared" si="1608"/>
        <v>1</v>
      </c>
      <c r="F8624" t="str">
        <f t="shared" si="1598"/>
        <v>COM</v>
      </c>
      <c r="G8624" t="str">
        <f>"DROGARIA VAZ (10179)"</f>
        <v>DROGARIA VAZ (10179)</v>
      </c>
      <c r="H8624" t="s">
        <v>2443</v>
      </c>
      <c r="I8624" t="str">
        <f>("29/10/2025")</f>
        <v>29/10/2025</v>
      </c>
      <c r="J8624" t="str">
        <f>("27/10/2025")</f>
        <v>27/10/2025</v>
      </c>
      <c r="K8624">
        <v>45964</v>
      </c>
      <c r="N8624">
        <v>303</v>
      </c>
      <c r="O8624" t="s">
        <v>69</v>
      </c>
      <c r="Q8624">
        <v>1000.02</v>
      </c>
      <c r="R8624" t="str">
        <f>"DROGARIA VAZ (10179)"</f>
        <v>DROGARIA VAZ (10179)</v>
      </c>
      <c r="S8624" t="s">
        <v>70</v>
      </c>
      <c r="T8624">
        <v>22789</v>
      </c>
      <c r="U8624">
        <v>24437</v>
      </c>
      <c r="V8624" t="s">
        <v>22</v>
      </c>
    </row>
    <row r="8625" spans="1:22">
      <c r="A8625" t="str">
        <f t="shared" si="1605"/>
        <v>03/11/2025</v>
      </c>
      <c r="B8625" t="str">
        <f t="shared" ref="B8625:B8672" si="1611">"SAÍDA"</f>
        <v>SAÍDA</v>
      </c>
      <c r="C8625" t="str">
        <f>"BOLETO"</f>
        <v>BOLETO</v>
      </c>
      <c r="D8625" t="str">
        <f>"03112025"</f>
        <v>03112025</v>
      </c>
      <c r="E8625" t="str">
        <f t="shared" si="1608"/>
        <v>1</v>
      </c>
      <c r="F8625" t="str">
        <f t="shared" si="1598"/>
        <v>COM</v>
      </c>
      <c r="G8625" t="str">
        <f>"CORA SOCIEDADE DE CREDITO, FINANCIAMENTO E INVESTIMENTO (20035)"</f>
        <v>CORA SOCIEDADE DE CREDITO, FINANCIAMENTO E INVESTIMENTO (20035)</v>
      </c>
      <c r="H8625" t="str">
        <f>"FATURA DO CARTÃO DE CRÉDITO "</f>
        <v xml:space="preserve">FATURA DO CARTÃO DE CRÉDITO </v>
      </c>
      <c r="I8625" t="str">
        <f>("03/11/2025")</f>
        <v>03/11/2025</v>
      </c>
      <c r="J8625" t="str">
        <f>("03/11/2025")</f>
        <v>03/11/2025</v>
      </c>
      <c r="K8625" t="str">
        <f>("03/11/2025")</f>
        <v>03/11/2025</v>
      </c>
      <c r="L8625">
        <v>4807.91</v>
      </c>
      <c r="M8625">
        <v>4807.91</v>
      </c>
      <c r="N8625">
        <v>111</v>
      </c>
      <c r="O8625" t="str">
        <f>"OUTRAS DESPESAS / TAXAS"</f>
        <v>OUTRAS DESPESAS / TAXAS</v>
      </c>
      <c r="P8625">
        <v>4807.91</v>
      </c>
      <c r="S8625" t="str">
        <f>"BANCO CORA (102)"</f>
        <v>BANCO CORA (102)</v>
      </c>
      <c r="T8625">
        <v>22790</v>
      </c>
      <c r="U8625">
        <v>26415</v>
      </c>
      <c r="V8625" t="s">
        <v>22</v>
      </c>
    </row>
    <row r="8626" spans="1:22">
      <c r="A8626" t="str">
        <f t="shared" si="1605"/>
        <v>03/11/2025</v>
      </c>
      <c r="B8626" t="str">
        <f t="shared" si="1611"/>
        <v>SAÍDA</v>
      </c>
      <c r="C8626" t="str">
        <f>"BOLETO"</f>
        <v>BOLETO</v>
      </c>
      <c r="D8626" t="str">
        <f>"03112025"</f>
        <v>03112025</v>
      </c>
      <c r="E8626" t="str">
        <f t="shared" si="1608"/>
        <v>1</v>
      </c>
      <c r="F8626" t="str">
        <f t="shared" si="1598"/>
        <v>COM</v>
      </c>
      <c r="G8626" t="str">
        <f>"CORA SOCIEDADE DE CREDITO, FINANCIAMENTO E INVESTIMENTO (20035)"</f>
        <v>CORA SOCIEDADE DE CREDITO, FINANCIAMENTO E INVESTIMENTO (20035)</v>
      </c>
      <c r="H8626" t="s">
        <v>2444</v>
      </c>
      <c r="I8626" t="str">
        <f>("03/11/2025")</f>
        <v>03/11/2025</v>
      </c>
      <c r="J8626" t="str">
        <f>("03/11/2025")</f>
        <v>03/11/2025</v>
      </c>
      <c r="K8626">
        <v>45964</v>
      </c>
      <c r="N8626">
        <v>111</v>
      </c>
      <c r="O8626" t="s">
        <v>1327</v>
      </c>
      <c r="Q8626">
        <v>4807.91</v>
      </c>
      <c r="R8626" t="str">
        <f>"CORA SOCIEDADE DE CREDITO, FINANCIAMENTO E INVESTIMENTO (20035)"</f>
        <v>CORA SOCIEDADE DE CREDITO, FINANCIAMENTO E INVESTIMENTO (20035)</v>
      </c>
      <c r="S8626" t="s">
        <v>22</v>
      </c>
      <c r="T8626">
        <v>22790</v>
      </c>
      <c r="U8626">
        <v>26415</v>
      </c>
      <c r="V8626" t="s">
        <v>22</v>
      </c>
    </row>
    <row r="8627" spans="1:22">
      <c r="A8627" t="str">
        <f t="shared" ref="A8627:A8658" si="1612">("04/11/2025")</f>
        <v>04/11/2025</v>
      </c>
      <c r="B8627" t="str">
        <f t="shared" si="1611"/>
        <v>SAÍDA</v>
      </c>
      <c r="C8627" t="str">
        <f t="shared" ref="C8627:C8672" si="1613">"PIX"</f>
        <v>PIX</v>
      </c>
      <c r="D8627" t="str">
        <f>"24616"</f>
        <v>24616</v>
      </c>
      <c r="E8627" t="str">
        <f t="shared" si="1608"/>
        <v>1</v>
      </c>
      <c r="F8627" t="str">
        <f t="shared" si="1598"/>
        <v>COM</v>
      </c>
      <c r="G8627" t="str">
        <f>"ERIC RODRIGUES TEIXEIRA (939)"</f>
        <v>ERIC RODRIGUES TEIXEIRA (939)</v>
      </c>
      <c r="H8627" t="str">
        <f>"Serv.Prest. 27/10/2025 a 02/11/2025 - PIX: CELULAR - CHAVE: (11) 95038-0621"</f>
        <v>Serv.Prest. 27/10/2025 a 02/11/2025 - PIX: CELULAR - CHAVE: (11) 95038-0621</v>
      </c>
      <c r="I8627" t="str">
        <f>("06/11/2025")</f>
        <v>06/11/2025</v>
      </c>
      <c r="J8627" t="str">
        <f t="shared" ref="J8627:J8638" si="1614">("03/11/2025")</f>
        <v>03/11/2025</v>
      </c>
      <c r="K8627" t="str">
        <f>("04/11/2025")</f>
        <v>04/11/2025</v>
      </c>
      <c r="L8627">
        <v>170</v>
      </c>
      <c r="M8627">
        <v>170</v>
      </c>
      <c r="N8627">
        <v>109</v>
      </c>
      <c r="O8627" t="str">
        <f>"PAGAMENTO DE ENTREGADORES"</f>
        <v>PAGAMENTO DE ENTREGADORES</v>
      </c>
      <c r="P8627">
        <v>170</v>
      </c>
      <c r="S8627" t="str">
        <f>"BANCO CORA (102)"</f>
        <v>BANCO CORA (102)</v>
      </c>
      <c r="T8627">
        <v>20418</v>
      </c>
      <c r="U8627">
        <v>24698</v>
      </c>
      <c r="V8627" t="s">
        <v>22</v>
      </c>
    </row>
    <row r="8628" spans="1:22">
      <c r="A8628" t="str">
        <f t="shared" si="1612"/>
        <v>04/11/2025</v>
      </c>
      <c r="B8628" t="str">
        <f t="shared" si="1611"/>
        <v>SAÍDA</v>
      </c>
      <c r="C8628" t="str">
        <f t="shared" si="1613"/>
        <v>PIX</v>
      </c>
      <c r="D8628" t="str">
        <f>"24616"</f>
        <v>24616</v>
      </c>
      <c r="E8628" t="str">
        <f t="shared" si="1608"/>
        <v>1</v>
      </c>
      <c r="F8628" t="str">
        <f t="shared" si="1598"/>
        <v>COM</v>
      </c>
      <c r="G8628" t="str">
        <f>"ERIC RODRIGUES TEIXEIRA (939)"</f>
        <v>ERIC RODRIGUES TEIXEIRA (939)</v>
      </c>
      <c r="H8628" t="s">
        <v>2445</v>
      </c>
      <c r="I8628" t="str">
        <f>("06/11/2025")</f>
        <v>06/11/2025</v>
      </c>
      <c r="J8628" t="str">
        <f t="shared" si="1614"/>
        <v>03/11/2025</v>
      </c>
      <c r="K8628">
        <v>45965</v>
      </c>
      <c r="N8628">
        <v>109</v>
      </c>
      <c r="O8628" t="s">
        <v>24</v>
      </c>
      <c r="Q8628">
        <v>56.66</v>
      </c>
      <c r="R8628" t="str">
        <f>"PENSE FARMA 07 (10201)"</f>
        <v>PENSE FARMA 07 (10201)</v>
      </c>
      <c r="S8628" t="s">
        <v>22</v>
      </c>
      <c r="T8628">
        <v>20418</v>
      </c>
      <c r="U8628">
        <v>24698</v>
      </c>
      <c r="V8628" t="s">
        <v>22</v>
      </c>
    </row>
    <row r="8629" spans="1:22">
      <c r="A8629" t="str">
        <f t="shared" si="1612"/>
        <v>04/11/2025</v>
      </c>
      <c r="B8629" t="str">
        <f t="shared" si="1611"/>
        <v>SAÍDA</v>
      </c>
      <c r="C8629" t="str">
        <f t="shared" si="1613"/>
        <v>PIX</v>
      </c>
      <c r="D8629" t="str">
        <f>"24616"</f>
        <v>24616</v>
      </c>
      <c r="E8629" t="str">
        <f t="shared" si="1608"/>
        <v>1</v>
      </c>
      <c r="F8629" t="str">
        <f t="shared" si="1598"/>
        <v>COM</v>
      </c>
      <c r="G8629" t="str">
        <f>"ERIC RODRIGUES TEIXEIRA (939)"</f>
        <v>ERIC RODRIGUES TEIXEIRA (939)</v>
      </c>
      <c r="H8629" t="s">
        <v>2445</v>
      </c>
      <c r="I8629" t="str">
        <f>("06/11/2025")</f>
        <v>06/11/2025</v>
      </c>
      <c r="J8629" t="str">
        <f t="shared" si="1614"/>
        <v>03/11/2025</v>
      </c>
      <c r="K8629">
        <v>45965</v>
      </c>
      <c r="N8629">
        <v>109</v>
      </c>
      <c r="O8629" t="s">
        <v>24</v>
      </c>
      <c r="Q8629">
        <v>56.66</v>
      </c>
      <c r="R8629" t="str">
        <f>"PENSE FARMA 45 (10209)"</f>
        <v>PENSE FARMA 45 (10209)</v>
      </c>
      <c r="S8629" t="s">
        <v>22</v>
      </c>
      <c r="T8629">
        <v>20418</v>
      </c>
      <c r="U8629">
        <v>24698</v>
      </c>
      <c r="V8629" t="s">
        <v>22</v>
      </c>
    </row>
    <row r="8630" spans="1:22">
      <c r="A8630" t="str">
        <f t="shared" si="1612"/>
        <v>04/11/2025</v>
      </c>
      <c r="B8630" t="str">
        <f t="shared" si="1611"/>
        <v>SAÍDA</v>
      </c>
      <c r="C8630" t="str">
        <f t="shared" si="1613"/>
        <v>PIX</v>
      </c>
      <c r="D8630" t="str">
        <f>"24616"</f>
        <v>24616</v>
      </c>
      <c r="E8630" t="str">
        <f t="shared" si="1608"/>
        <v>1</v>
      </c>
      <c r="F8630" t="str">
        <f t="shared" si="1598"/>
        <v>COM</v>
      </c>
      <c r="G8630" t="str">
        <f>"ERIC RODRIGUES TEIXEIRA (939)"</f>
        <v>ERIC RODRIGUES TEIXEIRA (939)</v>
      </c>
      <c r="H8630" t="s">
        <v>2445</v>
      </c>
      <c r="I8630" t="str">
        <f>("06/11/2025")</f>
        <v>06/11/2025</v>
      </c>
      <c r="J8630" t="str">
        <f t="shared" si="1614"/>
        <v>03/11/2025</v>
      </c>
      <c r="K8630">
        <v>45965</v>
      </c>
      <c r="N8630">
        <v>109</v>
      </c>
      <c r="O8630" t="s">
        <v>24</v>
      </c>
      <c r="Q8630">
        <v>56.68</v>
      </c>
      <c r="R8630" t="str">
        <f>"PENSE FARMA 50 (10210)"</f>
        <v>PENSE FARMA 50 (10210)</v>
      </c>
      <c r="S8630" t="s">
        <v>22</v>
      </c>
      <c r="T8630">
        <v>20418</v>
      </c>
      <c r="U8630">
        <v>24698</v>
      </c>
      <c r="V8630" t="s">
        <v>22</v>
      </c>
    </row>
    <row r="8631" spans="1:22">
      <c r="A8631" t="str">
        <f t="shared" si="1612"/>
        <v>04/11/2025</v>
      </c>
      <c r="B8631" t="str">
        <f t="shared" si="1611"/>
        <v>SAÍDA</v>
      </c>
      <c r="C8631" t="str">
        <f t="shared" si="1613"/>
        <v>PIX</v>
      </c>
      <c r="D8631" t="str">
        <f>"24671"</f>
        <v>24671</v>
      </c>
      <c r="E8631" t="str">
        <f t="shared" si="1608"/>
        <v>1</v>
      </c>
      <c r="F8631" t="str">
        <f t="shared" si="1598"/>
        <v>COM</v>
      </c>
      <c r="G8631" t="str">
        <f>"SAMUEL SOARES DA SILVA (867)"</f>
        <v>SAMUEL SOARES DA SILVA (867)</v>
      </c>
      <c r="H8631" t="str">
        <f>"Serv.Prest. 27/10/2025 a 02/11/2025 - PIX: CPF - CHAVE: 396.124.108-28"</f>
        <v>Serv.Prest. 27/10/2025 a 02/11/2025 - PIX: CPF - CHAVE: 396.124.108-28</v>
      </c>
      <c r="I8631" t="str">
        <f t="shared" ref="I8631:I8672" si="1615">("04/11/2025")</f>
        <v>04/11/2025</v>
      </c>
      <c r="J8631" t="str">
        <f t="shared" si="1614"/>
        <v>03/11/2025</v>
      </c>
      <c r="K8631" t="str">
        <f>("04/11/2025")</f>
        <v>04/11/2025</v>
      </c>
      <c r="L8631">
        <v>200</v>
      </c>
      <c r="M8631">
        <v>200</v>
      </c>
      <c r="N8631">
        <v>109</v>
      </c>
      <c r="O8631" t="str">
        <f>"PAGAMENTO DE ENTREGADORES"</f>
        <v>PAGAMENTO DE ENTREGADORES</v>
      </c>
      <c r="P8631">
        <v>200</v>
      </c>
      <c r="S8631" t="str">
        <f>"BANCO CORA (102)"</f>
        <v>BANCO CORA (102)</v>
      </c>
      <c r="T8631">
        <v>20419</v>
      </c>
      <c r="U8631">
        <v>24846</v>
      </c>
      <c r="V8631" t="s">
        <v>22</v>
      </c>
    </row>
    <row r="8632" spans="1:22">
      <c r="A8632" t="str">
        <f t="shared" si="1612"/>
        <v>04/11/2025</v>
      </c>
      <c r="B8632" t="str">
        <f t="shared" si="1611"/>
        <v>SAÍDA</v>
      </c>
      <c r="C8632" t="str">
        <f t="shared" si="1613"/>
        <v>PIX</v>
      </c>
      <c r="D8632" t="str">
        <f>"24671"</f>
        <v>24671</v>
      </c>
      <c r="E8632" t="str">
        <f t="shared" si="1608"/>
        <v>1</v>
      </c>
      <c r="F8632" t="str">
        <f t="shared" si="1598"/>
        <v>COM</v>
      </c>
      <c r="G8632" t="str">
        <f>"SAMUEL SOARES DA SILVA (867)"</f>
        <v>SAMUEL SOARES DA SILVA (867)</v>
      </c>
      <c r="H8632" t="s">
        <v>2446</v>
      </c>
      <c r="I8632" t="str">
        <f t="shared" si="1615"/>
        <v>04/11/2025</v>
      </c>
      <c r="J8632" t="str">
        <f t="shared" si="1614"/>
        <v>03/11/2025</v>
      </c>
      <c r="K8632">
        <v>45965</v>
      </c>
      <c r="N8632">
        <v>109</v>
      </c>
      <c r="O8632" t="s">
        <v>24</v>
      </c>
      <c r="Q8632">
        <v>200</v>
      </c>
      <c r="R8632" t="str">
        <f>"DROGA ELIDA (10121)"</f>
        <v>DROGA ELIDA (10121)</v>
      </c>
      <c r="S8632" t="s">
        <v>22</v>
      </c>
      <c r="T8632">
        <v>20419</v>
      </c>
      <c r="U8632">
        <v>24846</v>
      </c>
      <c r="V8632" t="s">
        <v>22</v>
      </c>
    </row>
    <row r="8633" spans="1:22">
      <c r="A8633" t="str">
        <f t="shared" si="1612"/>
        <v>04/11/2025</v>
      </c>
      <c r="B8633" t="str">
        <f t="shared" si="1611"/>
        <v>SAÍDA</v>
      </c>
      <c r="C8633" t="str">
        <f t="shared" si="1613"/>
        <v>PIX</v>
      </c>
      <c r="D8633" t="str">
        <f>"24578"</f>
        <v>24578</v>
      </c>
      <c r="E8633" t="str">
        <f t="shared" si="1608"/>
        <v>1</v>
      </c>
      <c r="F8633" t="str">
        <f t="shared" si="1598"/>
        <v>COM</v>
      </c>
      <c r="G8633" t="str">
        <f>"IRENE FRAGOSO DE OLIVEIRA (1003)"</f>
        <v>IRENE FRAGOSO DE OLIVEIRA (1003)</v>
      </c>
      <c r="H8633" t="str">
        <f>"Serv.Prest. 27/10/2025 a 02/11/2025 - PIX: E-MAIL - CHAVE: irenefragoso45@gmail.com"</f>
        <v>Serv.Prest. 27/10/2025 a 02/11/2025 - PIX: E-MAIL - CHAVE: irenefragoso45@gmail.com</v>
      </c>
      <c r="I8633" t="str">
        <f t="shared" si="1615"/>
        <v>04/11/2025</v>
      </c>
      <c r="J8633" t="str">
        <f t="shared" si="1614"/>
        <v>03/11/2025</v>
      </c>
      <c r="K8633" t="str">
        <f>("04/11/2025")</f>
        <v>04/11/2025</v>
      </c>
      <c r="L8633">
        <v>170</v>
      </c>
      <c r="M8633">
        <v>170</v>
      </c>
      <c r="N8633">
        <v>134</v>
      </c>
      <c r="O8633" t="str">
        <f>"DIARIA DE MOTOBOY"</f>
        <v>DIARIA DE MOTOBOY</v>
      </c>
      <c r="P8633">
        <v>170</v>
      </c>
      <c r="S8633" t="str">
        <f>"BANCO CORA (102)"</f>
        <v>BANCO CORA (102)</v>
      </c>
      <c r="T8633">
        <v>20421</v>
      </c>
      <c r="U8633">
        <v>24578</v>
      </c>
      <c r="V8633" t="s">
        <v>22</v>
      </c>
    </row>
    <row r="8634" spans="1:22">
      <c r="A8634" t="str">
        <f t="shared" si="1612"/>
        <v>04/11/2025</v>
      </c>
      <c r="B8634" t="str">
        <f t="shared" si="1611"/>
        <v>SAÍDA</v>
      </c>
      <c r="C8634" t="str">
        <f t="shared" si="1613"/>
        <v>PIX</v>
      </c>
      <c r="D8634" t="str">
        <f>"24578"</f>
        <v>24578</v>
      </c>
      <c r="E8634" t="str">
        <f t="shared" si="1608"/>
        <v>1</v>
      </c>
      <c r="F8634" t="str">
        <f t="shared" si="1598"/>
        <v>COM</v>
      </c>
      <c r="G8634" t="str">
        <f>"IRENE FRAGOSO DE OLIVEIRA (1003)"</f>
        <v>IRENE FRAGOSO DE OLIVEIRA (1003)</v>
      </c>
      <c r="H8634" t="s">
        <v>2447</v>
      </c>
      <c r="I8634" t="str">
        <f t="shared" si="1615"/>
        <v>04/11/2025</v>
      </c>
      <c r="J8634" t="str">
        <f t="shared" si="1614"/>
        <v>03/11/2025</v>
      </c>
      <c r="K8634">
        <v>45965</v>
      </c>
      <c r="N8634">
        <v>134</v>
      </c>
      <c r="O8634" t="s">
        <v>41</v>
      </c>
      <c r="Q8634">
        <v>170</v>
      </c>
      <c r="R8634" t="str">
        <f>"PENSE FARMA 16 (10221)"</f>
        <v>PENSE FARMA 16 (10221)</v>
      </c>
      <c r="S8634" t="s">
        <v>22</v>
      </c>
      <c r="T8634">
        <v>20421</v>
      </c>
      <c r="U8634">
        <v>24578</v>
      </c>
      <c r="V8634" t="s">
        <v>22</v>
      </c>
    </row>
    <row r="8635" spans="1:22">
      <c r="A8635" t="str">
        <f t="shared" si="1612"/>
        <v>04/11/2025</v>
      </c>
      <c r="B8635" t="str">
        <f t="shared" si="1611"/>
        <v>SAÍDA</v>
      </c>
      <c r="C8635" t="str">
        <f t="shared" si="1613"/>
        <v>PIX</v>
      </c>
      <c r="D8635" t="str">
        <f>"24592"</f>
        <v>24592</v>
      </c>
      <c r="E8635" t="str">
        <f t="shared" si="1608"/>
        <v>1</v>
      </c>
      <c r="F8635" t="str">
        <f t="shared" si="1598"/>
        <v>COM</v>
      </c>
      <c r="G8635" t="str">
        <f>"JEFFERSON DA SILVA LOPES (1037)"</f>
        <v>JEFFERSON DA SILVA LOPES (1037)</v>
      </c>
      <c r="H8635" t="str">
        <f>"Serv.Prest. 27/10/2025 a 02/11/2025 - PIX: CPF - CHAVE: 507.243.348-07"</f>
        <v>Serv.Prest. 27/10/2025 a 02/11/2025 - PIX: CPF - CHAVE: 507.243.348-07</v>
      </c>
      <c r="I8635" t="str">
        <f t="shared" si="1615"/>
        <v>04/11/2025</v>
      </c>
      <c r="J8635" t="str">
        <f t="shared" si="1614"/>
        <v>03/11/2025</v>
      </c>
      <c r="K8635" t="str">
        <f>("04/11/2025")</f>
        <v>04/11/2025</v>
      </c>
      <c r="L8635">
        <v>170</v>
      </c>
      <c r="M8635">
        <v>170</v>
      </c>
      <c r="N8635">
        <v>134</v>
      </c>
      <c r="O8635" t="str">
        <f>"DIARIA DE MOTOBOY"</f>
        <v>DIARIA DE MOTOBOY</v>
      </c>
      <c r="P8635">
        <v>170</v>
      </c>
      <c r="S8635" t="str">
        <f>"BANCO CORA (102)"</f>
        <v>BANCO CORA (102)</v>
      </c>
      <c r="T8635">
        <v>20422</v>
      </c>
      <c r="U8635">
        <v>24592</v>
      </c>
      <c r="V8635" t="s">
        <v>22</v>
      </c>
    </row>
    <row r="8636" spans="1:22">
      <c r="A8636" t="str">
        <f t="shared" si="1612"/>
        <v>04/11/2025</v>
      </c>
      <c r="B8636" t="str">
        <f t="shared" si="1611"/>
        <v>SAÍDA</v>
      </c>
      <c r="C8636" t="str">
        <f t="shared" si="1613"/>
        <v>PIX</v>
      </c>
      <c r="D8636" t="str">
        <f>"24592"</f>
        <v>24592</v>
      </c>
      <c r="E8636" t="str">
        <f t="shared" si="1608"/>
        <v>1</v>
      </c>
      <c r="F8636" t="str">
        <f t="shared" si="1598"/>
        <v>COM</v>
      </c>
      <c r="G8636" t="str">
        <f>"JEFFERSON DA SILVA LOPES (1037)"</f>
        <v>JEFFERSON DA SILVA LOPES (1037)</v>
      </c>
      <c r="H8636" t="s">
        <v>2448</v>
      </c>
      <c r="I8636" t="str">
        <f t="shared" si="1615"/>
        <v>04/11/2025</v>
      </c>
      <c r="J8636" t="str">
        <f t="shared" si="1614"/>
        <v>03/11/2025</v>
      </c>
      <c r="K8636">
        <v>45965</v>
      </c>
      <c r="N8636">
        <v>134</v>
      </c>
      <c r="O8636" t="s">
        <v>41</v>
      </c>
      <c r="Q8636">
        <v>170</v>
      </c>
      <c r="R8636" t="str">
        <f>"PENSE FARMA 47 (10232)"</f>
        <v>PENSE FARMA 47 (10232)</v>
      </c>
      <c r="S8636" t="s">
        <v>22</v>
      </c>
      <c r="T8636">
        <v>20422</v>
      </c>
      <c r="U8636">
        <v>24592</v>
      </c>
      <c r="V8636" t="s">
        <v>22</v>
      </c>
    </row>
    <row r="8637" spans="1:22">
      <c r="A8637" t="str">
        <f t="shared" si="1612"/>
        <v>04/11/2025</v>
      </c>
      <c r="B8637" t="str">
        <f t="shared" si="1611"/>
        <v>SAÍDA</v>
      </c>
      <c r="C8637" t="str">
        <f t="shared" si="1613"/>
        <v>PIX</v>
      </c>
      <c r="D8637" t="str">
        <f>"24604"</f>
        <v>24604</v>
      </c>
      <c r="E8637" t="str">
        <f t="shared" si="1608"/>
        <v>1</v>
      </c>
      <c r="F8637" t="str">
        <f t="shared" si="1598"/>
        <v>COM</v>
      </c>
      <c r="G8637" t="str">
        <f>"WESLEY JESUS SANTOS (1020)"</f>
        <v>WESLEY JESUS SANTOS (1020)</v>
      </c>
      <c r="H8637" t="str">
        <f>"Serv.Prest. 27/10/2025 a 02/11/2025 - PIX: CELULAR - CHAVE: (11) 91767-9056"</f>
        <v>Serv.Prest. 27/10/2025 a 02/11/2025 - PIX: CELULAR - CHAVE: (11) 91767-9056</v>
      </c>
      <c r="I8637" t="str">
        <f t="shared" si="1615"/>
        <v>04/11/2025</v>
      </c>
      <c r="J8637" t="str">
        <f t="shared" si="1614"/>
        <v>03/11/2025</v>
      </c>
      <c r="K8637" t="str">
        <f>("04/11/2025")</f>
        <v>04/11/2025</v>
      </c>
      <c r="L8637">
        <v>170</v>
      </c>
      <c r="M8637">
        <v>170</v>
      </c>
      <c r="N8637">
        <v>134</v>
      </c>
      <c r="O8637" t="str">
        <f>"DIARIA DE MOTOBOY"</f>
        <v>DIARIA DE MOTOBOY</v>
      </c>
      <c r="P8637">
        <v>170</v>
      </c>
      <c r="S8637" t="str">
        <f>"BANCO CORA (102)"</f>
        <v>BANCO CORA (102)</v>
      </c>
      <c r="T8637">
        <v>20423</v>
      </c>
      <c r="U8637">
        <v>24604</v>
      </c>
      <c r="V8637" t="s">
        <v>22</v>
      </c>
    </row>
    <row r="8638" spans="1:22">
      <c r="A8638" t="str">
        <f t="shared" si="1612"/>
        <v>04/11/2025</v>
      </c>
      <c r="B8638" t="str">
        <f t="shared" si="1611"/>
        <v>SAÍDA</v>
      </c>
      <c r="C8638" t="str">
        <f t="shared" si="1613"/>
        <v>PIX</v>
      </c>
      <c r="D8638" t="str">
        <f>"24604"</f>
        <v>24604</v>
      </c>
      <c r="E8638" t="str">
        <f t="shared" si="1608"/>
        <v>1</v>
      </c>
      <c r="F8638" t="str">
        <f t="shared" si="1598"/>
        <v>COM</v>
      </c>
      <c r="G8638" t="str">
        <f>"WESLEY JESUS SANTOS (1020)"</f>
        <v>WESLEY JESUS SANTOS (1020)</v>
      </c>
      <c r="H8638" t="s">
        <v>2449</v>
      </c>
      <c r="I8638" t="str">
        <f t="shared" si="1615"/>
        <v>04/11/2025</v>
      </c>
      <c r="J8638" t="str">
        <f t="shared" si="1614"/>
        <v>03/11/2025</v>
      </c>
      <c r="K8638">
        <v>45965</v>
      </c>
      <c r="N8638">
        <v>134</v>
      </c>
      <c r="O8638" t="s">
        <v>41</v>
      </c>
      <c r="Q8638">
        <v>170</v>
      </c>
      <c r="R8638" t="str">
        <f>"PENSE FARMA 09 (10218)"</f>
        <v>PENSE FARMA 09 (10218)</v>
      </c>
      <c r="S8638" t="s">
        <v>22</v>
      </c>
      <c r="T8638">
        <v>20423</v>
      </c>
      <c r="U8638">
        <v>24604</v>
      </c>
      <c r="V8638" t="s">
        <v>22</v>
      </c>
    </row>
    <row r="8639" spans="1:22">
      <c r="A8639" t="str">
        <f t="shared" si="1612"/>
        <v>04/11/2025</v>
      </c>
      <c r="B8639" t="str">
        <f t="shared" si="1611"/>
        <v>SAÍDA</v>
      </c>
      <c r="C8639" t="str">
        <f t="shared" si="1613"/>
        <v>PIX</v>
      </c>
      <c r="D8639" t="str">
        <f>"24780"</f>
        <v>24780</v>
      </c>
      <c r="E8639" t="str">
        <f t="shared" si="1608"/>
        <v>1</v>
      </c>
      <c r="F8639" t="str">
        <f t="shared" si="1598"/>
        <v>COM</v>
      </c>
      <c r="G8639" t="str">
        <f>"LAUAN ROCHA DE MELO (914)"</f>
        <v>LAUAN ROCHA DE MELO (914)</v>
      </c>
      <c r="H8639" t="str">
        <f>"Serv.Prest. 24/10/2025 a 02/11/2025 - PIX: CELULAR - CHAVE: (32) 99913-0476"</f>
        <v>Serv.Prest. 24/10/2025 a 02/11/2025 - PIX: CELULAR - CHAVE: (32) 99913-0476</v>
      </c>
      <c r="I8639" t="str">
        <f t="shared" si="1615"/>
        <v>04/11/2025</v>
      </c>
      <c r="J8639" t="str">
        <f>("04/11/2025")</f>
        <v>04/11/2025</v>
      </c>
      <c r="K8639" t="str">
        <f>("04/11/2025")</f>
        <v>04/11/2025</v>
      </c>
      <c r="L8639">
        <v>120</v>
      </c>
      <c r="M8639">
        <v>120</v>
      </c>
      <c r="N8639">
        <v>134</v>
      </c>
      <c r="O8639" t="str">
        <f>"DIARIA DE MOTOBOY"</f>
        <v>DIARIA DE MOTOBOY</v>
      </c>
      <c r="P8639">
        <v>120</v>
      </c>
      <c r="S8639" t="str">
        <f>"BANCO CORA (102)"</f>
        <v>BANCO CORA (102)</v>
      </c>
      <c r="T8639">
        <v>20424</v>
      </c>
      <c r="U8639">
        <v>24851</v>
      </c>
      <c r="V8639" t="s">
        <v>22</v>
      </c>
    </row>
    <row r="8640" spans="1:22">
      <c r="A8640" t="str">
        <f t="shared" si="1612"/>
        <v>04/11/2025</v>
      </c>
      <c r="B8640" t="str">
        <f t="shared" si="1611"/>
        <v>SAÍDA</v>
      </c>
      <c r="C8640" t="str">
        <f t="shared" si="1613"/>
        <v>PIX</v>
      </c>
      <c r="D8640" t="str">
        <f>"24780"</f>
        <v>24780</v>
      </c>
      <c r="E8640" t="str">
        <f t="shared" si="1608"/>
        <v>1</v>
      </c>
      <c r="F8640" t="str">
        <f t="shared" si="1598"/>
        <v>COM</v>
      </c>
      <c r="G8640" t="str">
        <f>"LAUAN ROCHA DE MELO (914)"</f>
        <v>LAUAN ROCHA DE MELO (914)</v>
      </c>
      <c r="H8640" t="s">
        <v>2450</v>
      </c>
      <c r="I8640" t="str">
        <f t="shared" si="1615"/>
        <v>04/11/2025</v>
      </c>
      <c r="J8640" t="str">
        <f>("04/11/2025")</f>
        <v>04/11/2025</v>
      </c>
      <c r="K8640">
        <v>45965</v>
      </c>
      <c r="N8640">
        <v>134</v>
      </c>
      <c r="O8640" t="s">
        <v>41</v>
      </c>
      <c r="Q8640">
        <v>120</v>
      </c>
      <c r="R8640" t="str">
        <f>"FARMÁCIA INDIANA LJ 109 (10047)"</f>
        <v>FARMÁCIA INDIANA LJ 109 (10047)</v>
      </c>
      <c r="S8640" t="s">
        <v>22</v>
      </c>
      <c r="T8640">
        <v>20424</v>
      </c>
      <c r="U8640">
        <v>24851</v>
      </c>
      <c r="V8640" t="s">
        <v>22</v>
      </c>
    </row>
    <row r="8641" spans="1:22">
      <c r="A8641" t="str">
        <f t="shared" si="1612"/>
        <v>04/11/2025</v>
      </c>
      <c r="B8641" t="str">
        <f t="shared" si="1611"/>
        <v>SAÍDA</v>
      </c>
      <c r="C8641" t="str">
        <f t="shared" si="1613"/>
        <v>PIX</v>
      </c>
      <c r="D8641" t="str">
        <f>"24670"</f>
        <v>24670</v>
      </c>
      <c r="E8641" t="str">
        <f t="shared" si="1608"/>
        <v>1</v>
      </c>
      <c r="F8641" t="str">
        <f t="shared" si="1598"/>
        <v>COM</v>
      </c>
      <c r="G8641" t="str">
        <f>"FRANCISCO LUCIANO DE LIMA (1062)"</f>
        <v>FRANCISCO LUCIANO DE LIMA (1062)</v>
      </c>
      <c r="H8641" t="str">
        <f>"Serv.Prest. 27/10/2025 a 02/11/2025 - PIX: CELULAR - CHAVE: (11) 94910-8689"</f>
        <v>Serv.Prest. 27/10/2025 a 02/11/2025 - PIX: CELULAR - CHAVE: (11) 94910-8689</v>
      </c>
      <c r="I8641" t="str">
        <f t="shared" si="1615"/>
        <v>04/11/2025</v>
      </c>
      <c r="J8641" t="str">
        <f>("03/11/2025")</f>
        <v>03/11/2025</v>
      </c>
      <c r="K8641" t="str">
        <f>("04/11/2025")</f>
        <v>04/11/2025</v>
      </c>
      <c r="L8641">
        <v>140</v>
      </c>
      <c r="M8641">
        <v>140</v>
      </c>
      <c r="N8641">
        <v>134</v>
      </c>
      <c r="O8641" t="str">
        <f>"DIARIA DE MOTOBOY"</f>
        <v>DIARIA DE MOTOBOY</v>
      </c>
      <c r="P8641">
        <v>140</v>
      </c>
      <c r="S8641" t="str">
        <f>"BANCO CORA (102)"</f>
        <v>BANCO CORA (102)</v>
      </c>
      <c r="T8641">
        <v>20425</v>
      </c>
      <c r="U8641">
        <v>24670</v>
      </c>
      <c r="V8641" t="s">
        <v>22</v>
      </c>
    </row>
    <row r="8642" spans="1:22">
      <c r="A8642" t="str">
        <f t="shared" si="1612"/>
        <v>04/11/2025</v>
      </c>
      <c r="B8642" t="str">
        <f t="shared" si="1611"/>
        <v>SAÍDA</v>
      </c>
      <c r="C8642" t="str">
        <f t="shared" si="1613"/>
        <v>PIX</v>
      </c>
      <c r="D8642" t="str">
        <f>"24670"</f>
        <v>24670</v>
      </c>
      <c r="E8642" t="str">
        <f t="shared" si="1608"/>
        <v>1</v>
      </c>
      <c r="F8642" t="str">
        <f t="shared" si="1598"/>
        <v>COM</v>
      </c>
      <c r="G8642" t="str">
        <f>"FRANCISCO LUCIANO DE LIMA (1062)"</f>
        <v>FRANCISCO LUCIANO DE LIMA (1062)</v>
      </c>
      <c r="H8642" t="s">
        <v>2451</v>
      </c>
      <c r="I8642" t="str">
        <f t="shared" si="1615"/>
        <v>04/11/2025</v>
      </c>
      <c r="J8642" t="str">
        <f>("03/11/2025")</f>
        <v>03/11/2025</v>
      </c>
      <c r="K8642">
        <v>45965</v>
      </c>
      <c r="N8642">
        <v>134</v>
      </c>
      <c r="O8642" t="s">
        <v>41</v>
      </c>
      <c r="Q8642">
        <v>140</v>
      </c>
      <c r="R8642" t="str">
        <f>"DROGA ELIDA (10121)"</f>
        <v>DROGA ELIDA (10121)</v>
      </c>
      <c r="S8642" t="s">
        <v>22</v>
      </c>
      <c r="T8642">
        <v>20425</v>
      </c>
      <c r="U8642">
        <v>24670</v>
      </c>
      <c r="V8642" t="s">
        <v>22</v>
      </c>
    </row>
    <row r="8643" spans="1:22">
      <c r="A8643" t="str">
        <f t="shared" si="1612"/>
        <v>04/11/2025</v>
      </c>
      <c r="B8643" t="str">
        <f t="shared" si="1611"/>
        <v>SAÍDA</v>
      </c>
      <c r="C8643" t="str">
        <f t="shared" si="1613"/>
        <v>PIX</v>
      </c>
      <c r="D8643" t="str">
        <f>"24693"</f>
        <v>24693</v>
      </c>
      <c r="E8643" t="str">
        <f t="shared" si="1608"/>
        <v>1</v>
      </c>
      <c r="F8643" t="str">
        <f t="shared" si="1598"/>
        <v>COM</v>
      </c>
      <c r="G8643" t="str">
        <f>"WILLIAM FERREIRA DE OLIVEIRA (900)"</f>
        <v>WILLIAM FERREIRA DE OLIVEIRA (900)</v>
      </c>
      <c r="H8643" t="str">
        <f>"Serv.Prest. 27/10/2025 a 02/11/2025 - PIX: CPF - CHAVE: 106.393.056-10"</f>
        <v>Serv.Prest. 27/10/2025 a 02/11/2025 - PIX: CPF - CHAVE: 106.393.056-10</v>
      </c>
      <c r="I8643" t="str">
        <f t="shared" si="1615"/>
        <v>04/11/2025</v>
      </c>
      <c r="J8643" t="str">
        <f>("03/11/2025")</f>
        <v>03/11/2025</v>
      </c>
      <c r="K8643" t="str">
        <f>("04/11/2025")</f>
        <v>04/11/2025</v>
      </c>
      <c r="L8643">
        <v>144</v>
      </c>
      <c r="M8643">
        <v>140</v>
      </c>
      <c r="N8643">
        <v>134</v>
      </c>
      <c r="O8643" t="str">
        <f>"DIARIA DE MOTOBOY"</f>
        <v>DIARIA DE MOTOBOY</v>
      </c>
      <c r="P8643">
        <v>140</v>
      </c>
      <c r="S8643" t="str">
        <f>"BANCO CORA (102)"</f>
        <v>BANCO CORA (102)</v>
      </c>
      <c r="T8643">
        <v>20426</v>
      </c>
      <c r="U8643">
        <v>24693</v>
      </c>
      <c r="V8643" t="s">
        <v>22</v>
      </c>
    </row>
    <row r="8644" spans="1:22">
      <c r="A8644" t="str">
        <f t="shared" si="1612"/>
        <v>04/11/2025</v>
      </c>
      <c r="B8644" t="str">
        <f t="shared" si="1611"/>
        <v>SAÍDA</v>
      </c>
      <c r="C8644" t="str">
        <f t="shared" si="1613"/>
        <v>PIX</v>
      </c>
      <c r="D8644" t="str">
        <f>"24693"</f>
        <v>24693</v>
      </c>
      <c r="E8644" t="str">
        <f t="shared" si="1608"/>
        <v>1</v>
      </c>
      <c r="F8644" t="str">
        <f t="shared" ref="F8644:F8707" si="1616">"COM"</f>
        <v>COM</v>
      </c>
      <c r="G8644" t="str">
        <f>"WILLIAM FERREIRA DE OLIVEIRA (900)"</f>
        <v>WILLIAM FERREIRA DE OLIVEIRA (900)</v>
      </c>
      <c r="H8644" t="s">
        <v>2452</v>
      </c>
      <c r="I8644" t="str">
        <f t="shared" si="1615"/>
        <v>04/11/2025</v>
      </c>
      <c r="J8644" t="str">
        <f>("03/11/2025")</f>
        <v>03/11/2025</v>
      </c>
      <c r="K8644">
        <v>45965</v>
      </c>
      <c r="N8644">
        <v>134</v>
      </c>
      <c r="O8644" t="s">
        <v>41</v>
      </c>
      <c r="Q8644">
        <v>140</v>
      </c>
      <c r="R8644" t="str">
        <f>"PAGMENOS - LJ 657 (10136)"</f>
        <v>PAGMENOS - LJ 657 (10136)</v>
      </c>
      <c r="S8644" t="s">
        <v>22</v>
      </c>
      <c r="T8644">
        <v>20426</v>
      </c>
      <c r="U8644">
        <v>24693</v>
      </c>
      <c r="V8644" t="s">
        <v>22</v>
      </c>
    </row>
    <row r="8645" spans="1:22">
      <c r="A8645" t="str">
        <f t="shared" si="1612"/>
        <v>04/11/2025</v>
      </c>
      <c r="B8645" t="str">
        <f t="shared" si="1611"/>
        <v>SAÍDA</v>
      </c>
      <c r="C8645" t="str">
        <f t="shared" si="1613"/>
        <v>PIX</v>
      </c>
      <c r="D8645" t="str">
        <f>"24786"</f>
        <v>24786</v>
      </c>
      <c r="E8645" t="str">
        <f t="shared" si="1608"/>
        <v>1</v>
      </c>
      <c r="F8645" t="str">
        <f t="shared" si="1616"/>
        <v>COM</v>
      </c>
      <c r="G8645" t="str">
        <f>"LUCAS RODRIGO LAGE ARRUDA (1052)"</f>
        <v>LUCAS RODRIGO LAGE ARRUDA (1052)</v>
      </c>
      <c r="H8645" t="str">
        <f>"Serv.Prest. 24/10/2025 a 02/11/2025 - PIX: CELULAR - CHAVE: (31) 99607-6585"</f>
        <v>Serv.Prest. 24/10/2025 a 02/11/2025 - PIX: CELULAR - CHAVE: (31) 99607-6585</v>
      </c>
      <c r="I8645" t="str">
        <f t="shared" si="1615"/>
        <v>04/11/2025</v>
      </c>
      <c r="J8645" t="str">
        <f>("04/11/2025")</f>
        <v>04/11/2025</v>
      </c>
      <c r="K8645" t="str">
        <f>("04/11/2025")</f>
        <v>04/11/2025</v>
      </c>
      <c r="L8645">
        <v>360</v>
      </c>
      <c r="M8645">
        <v>360</v>
      </c>
      <c r="N8645">
        <v>134</v>
      </c>
      <c r="O8645" t="str">
        <f>"DIARIA DE MOTOBOY"</f>
        <v>DIARIA DE MOTOBOY</v>
      </c>
      <c r="P8645">
        <v>360</v>
      </c>
      <c r="S8645" t="str">
        <f>"BANCO CORA (102)"</f>
        <v>BANCO CORA (102)</v>
      </c>
      <c r="T8645">
        <v>20427</v>
      </c>
      <c r="U8645">
        <v>24786</v>
      </c>
      <c r="V8645" t="s">
        <v>22</v>
      </c>
    </row>
    <row r="8646" spans="1:22">
      <c r="A8646" t="str">
        <f t="shared" si="1612"/>
        <v>04/11/2025</v>
      </c>
      <c r="B8646" t="str">
        <f t="shared" si="1611"/>
        <v>SAÍDA</v>
      </c>
      <c r="C8646" t="str">
        <f t="shared" si="1613"/>
        <v>PIX</v>
      </c>
      <c r="D8646" t="str">
        <f>"24786"</f>
        <v>24786</v>
      </c>
      <c r="E8646" t="str">
        <f t="shared" si="1608"/>
        <v>1</v>
      </c>
      <c r="F8646" t="str">
        <f t="shared" si="1616"/>
        <v>COM</v>
      </c>
      <c r="G8646" t="str">
        <f>"LUCAS RODRIGO LAGE ARRUDA (1052)"</f>
        <v>LUCAS RODRIGO LAGE ARRUDA (1052)</v>
      </c>
      <c r="H8646" t="s">
        <v>2453</v>
      </c>
      <c r="I8646" t="str">
        <f t="shared" si="1615"/>
        <v>04/11/2025</v>
      </c>
      <c r="J8646" t="str">
        <f>("04/11/2025")</f>
        <v>04/11/2025</v>
      </c>
      <c r="K8646">
        <v>45965</v>
      </c>
      <c r="N8646">
        <v>134</v>
      </c>
      <c r="O8646" t="s">
        <v>41</v>
      </c>
      <c r="Q8646">
        <v>360</v>
      </c>
      <c r="R8646" t="str">
        <f>"FARMÁCIA INDIANA LJ 101 (10043)"</f>
        <v>FARMÁCIA INDIANA LJ 101 (10043)</v>
      </c>
      <c r="S8646" t="s">
        <v>22</v>
      </c>
      <c r="T8646">
        <v>20427</v>
      </c>
      <c r="U8646">
        <v>24786</v>
      </c>
      <c r="V8646" t="s">
        <v>22</v>
      </c>
    </row>
    <row r="8647" spans="1:22">
      <c r="A8647" t="str">
        <f t="shared" si="1612"/>
        <v>04/11/2025</v>
      </c>
      <c r="B8647" t="str">
        <f t="shared" si="1611"/>
        <v>SAÍDA</v>
      </c>
      <c r="C8647" t="str">
        <f t="shared" si="1613"/>
        <v>PIX</v>
      </c>
      <c r="D8647" t="str">
        <f>"24613"</f>
        <v>24613</v>
      </c>
      <c r="E8647" t="str">
        <f t="shared" si="1608"/>
        <v>1</v>
      </c>
      <c r="F8647" t="str">
        <f t="shared" si="1616"/>
        <v>COM</v>
      </c>
      <c r="G8647" t="str">
        <f>"LUAN DOS REIS SILVA (954)"</f>
        <v>LUAN DOS REIS SILVA (954)</v>
      </c>
      <c r="H8647" t="str">
        <f>"Serv.Prest. 27/10/2025 a 02/11/2025 - PIX: CELULAR - CHAVE: (11) 95906-5439"</f>
        <v>Serv.Prest. 27/10/2025 a 02/11/2025 - PIX: CELULAR - CHAVE: (11) 95906-5439</v>
      </c>
      <c r="I8647" t="str">
        <f t="shared" si="1615"/>
        <v>04/11/2025</v>
      </c>
      <c r="J8647" t="str">
        <f>("03/11/2025")</f>
        <v>03/11/2025</v>
      </c>
      <c r="K8647" t="str">
        <f>("04/11/2025")</f>
        <v>04/11/2025</v>
      </c>
      <c r="L8647">
        <v>170</v>
      </c>
      <c r="M8647">
        <v>170</v>
      </c>
      <c r="N8647">
        <v>109</v>
      </c>
      <c r="O8647" t="str">
        <f>"PAGAMENTO DE ENTREGADORES"</f>
        <v>PAGAMENTO DE ENTREGADORES</v>
      </c>
      <c r="P8647">
        <v>170</v>
      </c>
      <c r="S8647" t="str">
        <f>"BANCO CORA (102)"</f>
        <v>BANCO CORA (102)</v>
      </c>
      <c r="T8647">
        <v>20428</v>
      </c>
      <c r="U8647">
        <v>24844</v>
      </c>
      <c r="V8647" t="s">
        <v>22</v>
      </c>
    </row>
    <row r="8648" spans="1:22">
      <c r="A8648" t="str">
        <f t="shared" si="1612"/>
        <v>04/11/2025</v>
      </c>
      <c r="B8648" t="str">
        <f t="shared" si="1611"/>
        <v>SAÍDA</v>
      </c>
      <c r="C8648" t="str">
        <f t="shared" si="1613"/>
        <v>PIX</v>
      </c>
      <c r="D8648" t="str">
        <f>"24613"</f>
        <v>24613</v>
      </c>
      <c r="E8648" t="str">
        <f t="shared" si="1608"/>
        <v>1</v>
      </c>
      <c r="F8648" t="str">
        <f t="shared" si="1616"/>
        <v>COM</v>
      </c>
      <c r="G8648" t="str">
        <f>"LUAN DOS REIS SILVA (954)"</f>
        <v>LUAN DOS REIS SILVA (954)</v>
      </c>
      <c r="H8648" t="s">
        <v>2454</v>
      </c>
      <c r="I8648" t="str">
        <f t="shared" si="1615"/>
        <v>04/11/2025</v>
      </c>
      <c r="J8648" t="str">
        <f>("03/11/2025")</f>
        <v>03/11/2025</v>
      </c>
      <c r="K8648">
        <v>45965</v>
      </c>
      <c r="N8648">
        <v>109</v>
      </c>
      <c r="O8648" t="s">
        <v>24</v>
      </c>
      <c r="Q8648">
        <v>56.66</v>
      </c>
      <c r="R8648" t="str">
        <f>"PENSE FARMA 05 (10200)"</f>
        <v>PENSE FARMA 05 (10200)</v>
      </c>
      <c r="S8648" t="s">
        <v>22</v>
      </c>
      <c r="T8648">
        <v>20428</v>
      </c>
      <c r="U8648">
        <v>24844</v>
      </c>
      <c r="V8648" t="s">
        <v>22</v>
      </c>
    </row>
    <row r="8649" spans="1:22">
      <c r="A8649" t="str">
        <f t="shared" si="1612"/>
        <v>04/11/2025</v>
      </c>
      <c r="B8649" t="str">
        <f t="shared" si="1611"/>
        <v>SAÍDA</v>
      </c>
      <c r="C8649" t="str">
        <f t="shared" si="1613"/>
        <v>PIX</v>
      </c>
      <c r="D8649" t="str">
        <f>"24613"</f>
        <v>24613</v>
      </c>
      <c r="E8649" t="str">
        <f t="shared" si="1608"/>
        <v>1</v>
      </c>
      <c r="F8649" t="str">
        <f t="shared" si="1616"/>
        <v>COM</v>
      </c>
      <c r="G8649" t="str">
        <f>"LUAN DOS REIS SILVA (954)"</f>
        <v>LUAN DOS REIS SILVA (954)</v>
      </c>
      <c r="H8649" t="s">
        <v>2454</v>
      </c>
      <c r="I8649" t="str">
        <f t="shared" si="1615"/>
        <v>04/11/2025</v>
      </c>
      <c r="J8649" t="str">
        <f>("03/11/2025")</f>
        <v>03/11/2025</v>
      </c>
      <c r="K8649">
        <v>45965</v>
      </c>
      <c r="N8649">
        <v>109</v>
      </c>
      <c r="O8649" t="s">
        <v>24</v>
      </c>
      <c r="Q8649">
        <v>56.66</v>
      </c>
      <c r="R8649" t="str">
        <f>"PENSE FARMA 13 (10202)"</f>
        <v>PENSE FARMA 13 (10202)</v>
      </c>
      <c r="S8649" t="s">
        <v>22</v>
      </c>
      <c r="T8649">
        <v>20428</v>
      </c>
      <c r="U8649">
        <v>24844</v>
      </c>
      <c r="V8649" t="s">
        <v>22</v>
      </c>
    </row>
    <row r="8650" spans="1:22">
      <c r="A8650" t="str">
        <f t="shared" si="1612"/>
        <v>04/11/2025</v>
      </c>
      <c r="B8650" t="str">
        <f t="shared" si="1611"/>
        <v>SAÍDA</v>
      </c>
      <c r="C8650" t="str">
        <f t="shared" si="1613"/>
        <v>PIX</v>
      </c>
      <c r="D8650" t="str">
        <f>"24613"</f>
        <v>24613</v>
      </c>
      <c r="E8650" t="str">
        <f t="shared" si="1608"/>
        <v>1</v>
      </c>
      <c r="F8650" t="str">
        <f t="shared" si="1616"/>
        <v>COM</v>
      </c>
      <c r="G8650" t="str">
        <f>"LUAN DOS REIS SILVA (954)"</f>
        <v>LUAN DOS REIS SILVA (954)</v>
      </c>
      <c r="H8650" t="s">
        <v>2454</v>
      </c>
      <c r="I8650" t="str">
        <f t="shared" si="1615"/>
        <v>04/11/2025</v>
      </c>
      <c r="J8650" t="str">
        <f>("03/11/2025")</f>
        <v>03/11/2025</v>
      </c>
      <c r="K8650">
        <v>45965</v>
      </c>
      <c r="N8650">
        <v>109</v>
      </c>
      <c r="O8650" t="s">
        <v>24</v>
      </c>
      <c r="Q8650">
        <v>56.68</v>
      </c>
      <c r="R8650" t="str">
        <f>"PENSE FARMA 27 (10204)"</f>
        <v>PENSE FARMA 27 (10204)</v>
      </c>
      <c r="S8650" t="s">
        <v>22</v>
      </c>
      <c r="T8650">
        <v>20428</v>
      </c>
      <c r="U8650">
        <v>24844</v>
      </c>
      <c r="V8650" t="s">
        <v>22</v>
      </c>
    </row>
    <row r="8651" spans="1:22">
      <c r="A8651" t="str">
        <f t="shared" si="1612"/>
        <v>04/11/2025</v>
      </c>
      <c r="B8651" t="str">
        <f t="shared" si="1611"/>
        <v>SAÍDA</v>
      </c>
      <c r="C8651" t="str">
        <f t="shared" si="1613"/>
        <v>PIX</v>
      </c>
      <c r="D8651" t="str">
        <f>"24753"</f>
        <v>24753</v>
      </c>
      <c r="E8651" t="str">
        <f t="shared" si="1608"/>
        <v>1</v>
      </c>
      <c r="F8651" t="str">
        <f t="shared" si="1616"/>
        <v>COM</v>
      </c>
      <c r="G8651" t="str">
        <f>"EZEQUIEL MATHEUS SOUSA MAXIMIANO ROSA (931)"</f>
        <v>EZEQUIEL MATHEUS SOUSA MAXIMIANO ROSA (931)</v>
      </c>
      <c r="H8651" t="str">
        <f>"Serv.Prest. 24/10/2025 a 02/11/2025 - PIX: CPF - CHAVE: 141.994.266-20"</f>
        <v>Serv.Prest. 24/10/2025 a 02/11/2025 - PIX: CPF - CHAVE: 141.994.266-20</v>
      </c>
      <c r="I8651" t="str">
        <f t="shared" si="1615"/>
        <v>04/11/2025</v>
      </c>
      <c r="J8651" t="str">
        <f>("04/11/2025")</f>
        <v>04/11/2025</v>
      </c>
      <c r="K8651" t="str">
        <f>("04/11/2025")</f>
        <v>04/11/2025</v>
      </c>
      <c r="L8651">
        <v>170</v>
      </c>
      <c r="M8651">
        <v>170</v>
      </c>
      <c r="N8651">
        <v>134</v>
      </c>
      <c r="O8651" t="str">
        <f>"DIARIA DE MOTOBOY"</f>
        <v>DIARIA DE MOTOBOY</v>
      </c>
      <c r="P8651">
        <v>170</v>
      </c>
      <c r="S8651" t="str">
        <f>"BANCO CORA (102)"</f>
        <v>BANCO CORA (102)</v>
      </c>
      <c r="T8651">
        <v>20429</v>
      </c>
      <c r="U8651">
        <v>24845</v>
      </c>
      <c r="V8651" t="s">
        <v>22</v>
      </c>
    </row>
    <row r="8652" spans="1:22">
      <c r="A8652" t="str">
        <f t="shared" si="1612"/>
        <v>04/11/2025</v>
      </c>
      <c r="B8652" t="str">
        <f t="shared" si="1611"/>
        <v>SAÍDA</v>
      </c>
      <c r="C8652" t="str">
        <f t="shared" si="1613"/>
        <v>PIX</v>
      </c>
      <c r="D8652" t="str">
        <f>"24753"</f>
        <v>24753</v>
      </c>
      <c r="E8652" t="str">
        <f t="shared" si="1608"/>
        <v>1</v>
      </c>
      <c r="F8652" t="str">
        <f t="shared" si="1616"/>
        <v>COM</v>
      </c>
      <c r="G8652" t="str">
        <f>"EZEQUIEL MATHEUS SOUSA MAXIMIANO ROSA (931)"</f>
        <v>EZEQUIEL MATHEUS SOUSA MAXIMIANO ROSA (931)</v>
      </c>
      <c r="H8652" t="s">
        <v>2455</v>
      </c>
      <c r="I8652" t="str">
        <f t="shared" si="1615"/>
        <v>04/11/2025</v>
      </c>
      <c r="J8652" t="str">
        <f>("04/11/2025")</f>
        <v>04/11/2025</v>
      </c>
      <c r="K8652">
        <v>45965</v>
      </c>
      <c r="N8652">
        <v>134</v>
      </c>
      <c r="O8652" t="s">
        <v>41</v>
      </c>
      <c r="Q8652">
        <v>86.5</v>
      </c>
      <c r="R8652" t="str">
        <f>"FARMÁCIA INDIANA LJ 118 (10052)"</f>
        <v>FARMÁCIA INDIANA LJ 118 (10052)</v>
      </c>
      <c r="S8652" t="s">
        <v>22</v>
      </c>
      <c r="T8652">
        <v>20429</v>
      </c>
      <c r="U8652">
        <v>24845</v>
      </c>
      <c r="V8652" t="s">
        <v>22</v>
      </c>
    </row>
    <row r="8653" spans="1:22">
      <c r="A8653" t="str">
        <f t="shared" si="1612"/>
        <v>04/11/2025</v>
      </c>
      <c r="B8653" t="str">
        <f t="shared" si="1611"/>
        <v>SAÍDA</v>
      </c>
      <c r="C8653" t="str">
        <f t="shared" si="1613"/>
        <v>PIX</v>
      </c>
      <c r="D8653" t="str">
        <f>"24753"</f>
        <v>24753</v>
      </c>
      <c r="E8653" t="str">
        <f t="shared" si="1608"/>
        <v>1</v>
      </c>
      <c r="F8653" t="str">
        <f t="shared" si="1616"/>
        <v>COM</v>
      </c>
      <c r="G8653" t="str">
        <f>"EZEQUIEL MATHEUS SOUSA MAXIMIANO ROSA (931)"</f>
        <v>EZEQUIEL MATHEUS SOUSA MAXIMIANO ROSA (931)</v>
      </c>
      <c r="H8653" t="s">
        <v>2455</v>
      </c>
      <c r="I8653" t="str">
        <f t="shared" si="1615"/>
        <v>04/11/2025</v>
      </c>
      <c r="J8653" t="str">
        <f>("04/11/2025")</f>
        <v>04/11/2025</v>
      </c>
      <c r="K8653">
        <v>45965</v>
      </c>
      <c r="N8653">
        <v>134</v>
      </c>
      <c r="O8653" t="s">
        <v>41</v>
      </c>
      <c r="Q8653">
        <v>83.5</v>
      </c>
      <c r="R8653" t="str">
        <f>"FARMÁCIA INDIANA LJ 192 (10082)"</f>
        <v>FARMÁCIA INDIANA LJ 192 (10082)</v>
      </c>
      <c r="S8653" t="s">
        <v>22</v>
      </c>
      <c r="T8653">
        <v>20429</v>
      </c>
      <c r="U8653">
        <v>24845</v>
      </c>
      <c r="V8653" t="s">
        <v>22</v>
      </c>
    </row>
    <row r="8654" spans="1:22">
      <c r="A8654" t="str">
        <f t="shared" si="1612"/>
        <v>04/11/2025</v>
      </c>
      <c r="B8654" t="str">
        <f t="shared" si="1611"/>
        <v>SAÍDA</v>
      </c>
      <c r="C8654" t="str">
        <f t="shared" si="1613"/>
        <v>PIX</v>
      </c>
      <c r="D8654" t="str">
        <f>"24582"</f>
        <v>24582</v>
      </c>
      <c r="E8654" t="str">
        <f t="shared" si="1608"/>
        <v>1</v>
      </c>
      <c r="F8654" t="str">
        <f t="shared" si="1616"/>
        <v>COM</v>
      </c>
      <c r="G8654" t="str">
        <f>"VICTOR HUGO SOARES DE PAULA (1021)"</f>
        <v>VICTOR HUGO SOARES DE PAULA (1021)</v>
      </c>
      <c r="H8654" t="str">
        <f>"Serv.Prest. 27/10/2025 a 02/11/2025 - PIX: CELULAR - CHAVE: (11) 98281-4526"</f>
        <v>Serv.Prest. 27/10/2025 a 02/11/2025 - PIX: CELULAR - CHAVE: (11) 98281-4526</v>
      </c>
      <c r="I8654" t="str">
        <f t="shared" si="1615"/>
        <v>04/11/2025</v>
      </c>
      <c r="J8654" t="str">
        <f>("03/11/2025")</f>
        <v>03/11/2025</v>
      </c>
      <c r="K8654" t="str">
        <f>("04/11/2025")</f>
        <v>04/11/2025</v>
      </c>
      <c r="L8654">
        <v>170</v>
      </c>
      <c r="M8654">
        <v>170</v>
      </c>
      <c r="N8654">
        <v>109</v>
      </c>
      <c r="O8654" t="str">
        <f>"PAGAMENTO DE ENTREGADORES"</f>
        <v>PAGAMENTO DE ENTREGADORES</v>
      </c>
      <c r="P8654">
        <v>170</v>
      </c>
      <c r="S8654" t="str">
        <f>"BANCO CORA (102)"</f>
        <v>BANCO CORA (102)</v>
      </c>
      <c r="T8654">
        <v>20430</v>
      </c>
      <c r="U8654">
        <v>24847</v>
      </c>
      <c r="V8654" t="s">
        <v>22</v>
      </c>
    </row>
    <row r="8655" spans="1:22">
      <c r="A8655" t="str">
        <f t="shared" si="1612"/>
        <v>04/11/2025</v>
      </c>
      <c r="B8655" t="str">
        <f t="shared" si="1611"/>
        <v>SAÍDA</v>
      </c>
      <c r="C8655" t="str">
        <f t="shared" si="1613"/>
        <v>PIX</v>
      </c>
      <c r="D8655" t="str">
        <f>"24582"</f>
        <v>24582</v>
      </c>
      <c r="E8655" t="str">
        <f t="shared" si="1608"/>
        <v>1</v>
      </c>
      <c r="F8655" t="str">
        <f t="shared" si="1616"/>
        <v>COM</v>
      </c>
      <c r="G8655" t="str">
        <f>"VICTOR HUGO SOARES DE PAULA (1021)"</f>
        <v>VICTOR HUGO SOARES DE PAULA (1021)</v>
      </c>
      <c r="H8655" t="s">
        <v>2456</v>
      </c>
      <c r="I8655" t="str">
        <f t="shared" si="1615"/>
        <v>04/11/2025</v>
      </c>
      <c r="J8655" t="str">
        <f>("03/11/2025")</f>
        <v>03/11/2025</v>
      </c>
      <c r="K8655">
        <v>45965</v>
      </c>
      <c r="N8655">
        <v>109</v>
      </c>
      <c r="O8655" t="s">
        <v>24</v>
      </c>
      <c r="Q8655">
        <v>85</v>
      </c>
      <c r="R8655" t="str">
        <f>"PENSE FARMA 44 (10231)"</f>
        <v>PENSE FARMA 44 (10231)</v>
      </c>
      <c r="S8655" t="s">
        <v>22</v>
      </c>
      <c r="T8655">
        <v>20430</v>
      </c>
      <c r="U8655">
        <v>24847</v>
      </c>
      <c r="V8655" t="s">
        <v>22</v>
      </c>
    </row>
    <row r="8656" spans="1:22">
      <c r="A8656" t="str">
        <f t="shared" si="1612"/>
        <v>04/11/2025</v>
      </c>
      <c r="B8656" t="str">
        <f t="shared" si="1611"/>
        <v>SAÍDA</v>
      </c>
      <c r="C8656" t="str">
        <f t="shared" si="1613"/>
        <v>PIX</v>
      </c>
      <c r="D8656" t="str">
        <f>"24582"</f>
        <v>24582</v>
      </c>
      <c r="E8656" t="str">
        <f t="shared" si="1608"/>
        <v>1</v>
      </c>
      <c r="F8656" t="str">
        <f t="shared" si="1616"/>
        <v>COM</v>
      </c>
      <c r="G8656" t="str">
        <f>"VICTOR HUGO SOARES DE PAULA (1021)"</f>
        <v>VICTOR HUGO SOARES DE PAULA (1021)</v>
      </c>
      <c r="H8656" t="s">
        <v>2456</v>
      </c>
      <c r="I8656" t="str">
        <f t="shared" si="1615"/>
        <v>04/11/2025</v>
      </c>
      <c r="J8656" t="str">
        <f>("03/11/2025")</f>
        <v>03/11/2025</v>
      </c>
      <c r="K8656">
        <v>45965</v>
      </c>
      <c r="N8656">
        <v>109</v>
      </c>
      <c r="O8656" t="s">
        <v>24</v>
      </c>
      <c r="Q8656">
        <v>85</v>
      </c>
      <c r="R8656" t="str">
        <f>"PENSE FARMA 48 (10233)"</f>
        <v>PENSE FARMA 48 (10233)</v>
      </c>
      <c r="S8656" t="s">
        <v>22</v>
      </c>
      <c r="T8656">
        <v>20430</v>
      </c>
      <c r="U8656">
        <v>24847</v>
      </c>
      <c r="V8656" t="s">
        <v>22</v>
      </c>
    </row>
    <row r="8657" spans="1:22">
      <c r="A8657" t="str">
        <f t="shared" si="1612"/>
        <v>04/11/2025</v>
      </c>
      <c r="B8657" t="str">
        <f t="shared" si="1611"/>
        <v>SAÍDA</v>
      </c>
      <c r="C8657" t="str">
        <f t="shared" si="1613"/>
        <v>PIX</v>
      </c>
      <c r="D8657" t="str">
        <f>"24777"</f>
        <v>24777</v>
      </c>
      <c r="E8657" t="str">
        <f t="shared" si="1608"/>
        <v>1</v>
      </c>
      <c r="F8657" t="str">
        <f t="shared" si="1616"/>
        <v>COM</v>
      </c>
      <c r="G8657" t="str">
        <f>"JUSSARA CRISTINA FARIA (783)"</f>
        <v>JUSSARA CRISTINA FARIA (783)</v>
      </c>
      <c r="H8657" t="str">
        <f>"Serv.Prest. 24/10/2025 a 02/11/2025 - PIX: CELULAR - CHAVE: (31) 99373-5678"</f>
        <v>Serv.Prest. 24/10/2025 a 02/11/2025 - PIX: CELULAR - CHAVE: (31) 99373-5678</v>
      </c>
      <c r="I8657" t="str">
        <f t="shared" si="1615"/>
        <v>04/11/2025</v>
      </c>
      <c r="J8657" t="str">
        <f>("04/11/2025")</f>
        <v>04/11/2025</v>
      </c>
      <c r="K8657" t="str">
        <f>("04/11/2025")</f>
        <v>04/11/2025</v>
      </c>
      <c r="L8657">
        <v>450</v>
      </c>
      <c r="M8657">
        <v>450</v>
      </c>
      <c r="N8657">
        <v>134</v>
      </c>
      <c r="O8657" t="str">
        <f>"DIARIA DE MOTOBOY"</f>
        <v>DIARIA DE MOTOBOY</v>
      </c>
      <c r="P8657">
        <v>450</v>
      </c>
      <c r="S8657" t="str">
        <f>"BANCO CORA (102)"</f>
        <v>BANCO CORA (102)</v>
      </c>
      <c r="T8657">
        <v>20431</v>
      </c>
      <c r="U8657">
        <v>24849</v>
      </c>
      <c r="V8657" t="s">
        <v>22</v>
      </c>
    </row>
    <row r="8658" spans="1:22">
      <c r="A8658" t="str">
        <f t="shared" si="1612"/>
        <v>04/11/2025</v>
      </c>
      <c r="B8658" t="str">
        <f t="shared" si="1611"/>
        <v>SAÍDA</v>
      </c>
      <c r="C8658" t="str">
        <f t="shared" si="1613"/>
        <v>PIX</v>
      </c>
      <c r="D8658" t="str">
        <f>"24777"</f>
        <v>24777</v>
      </c>
      <c r="E8658" t="str">
        <f t="shared" si="1608"/>
        <v>1</v>
      </c>
      <c r="F8658" t="str">
        <f t="shared" si="1616"/>
        <v>COM</v>
      </c>
      <c r="G8658" t="str">
        <f>"JUSSARA CRISTINA FARIA (783)"</f>
        <v>JUSSARA CRISTINA FARIA (783)</v>
      </c>
      <c r="H8658" t="s">
        <v>2427</v>
      </c>
      <c r="I8658" t="str">
        <f t="shared" si="1615"/>
        <v>04/11/2025</v>
      </c>
      <c r="J8658" t="str">
        <f>("04/11/2025")</f>
        <v>04/11/2025</v>
      </c>
      <c r="K8658">
        <v>45965</v>
      </c>
      <c r="N8658">
        <v>134</v>
      </c>
      <c r="O8658" t="s">
        <v>41</v>
      </c>
      <c r="Q8658">
        <v>450</v>
      </c>
      <c r="R8658" t="str">
        <f>"FARMÁCIA INDIANA LJ 110 (10048)"</f>
        <v>FARMÁCIA INDIANA LJ 110 (10048)</v>
      </c>
      <c r="S8658" t="s">
        <v>22</v>
      </c>
      <c r="T8658">
        <v>20431</v>
      </c>
      <c r="U8658">
        <v>24849</v>
      </c>
      <c r="V8658" t="s">
        <v>22</v>
      </c>
    </row>
    <row r="8659" spans="1:22">
      <c r="A8659" t="str">
        <f t="shared" ref="A8659:A8690" si="1617">("04/11/2025")</f>
        <v>04/11/2025</v>
      </c>
      <c r="B8659" t="str">
        <f t="shared" si="1611"/>
        <v>SAÍDA</v>
      </c>
      <c r="C8659" t="str">
        <f t="shared" si="1613"/>
        <v>PIX</v>
      </c>
      <c r="D8659" t="str">
        <f t="shared" ref="D8659:D8664" si="1618">"0411"</f>
        <v>0411</v>
      </c>
      <c r="E8659" t="str">
        <f t="shared" ref="E8659:E8664" si="1619">"25"</f>
        <v>25</v>
      </c>
      <c r="F8659" t="str">
        <f t="shared" si="1616"/>
        <v>COM</v>
      </c>
      <c r="G8659" t="str">
        <f>"SARA GABRIELLE SANTOS SILVA (710)"</f>
        <v>SARA GABRIELLE SANTOS SILVA (710)</v>
      </c>
      <c r="H8659" t="str">
        <f>"DIARIA 31/10 - UBERABA - PIX: CPF - CHAVE: 023.116.166-25"</f>
        <v>DIARIA 31/10 - UBERABA - PIX: CPF - CHAVE: 023.116.166-25</v>
      </c>
      <c r="I8659" t="str">
        <f t="shared" si="1615"/>
        <v>04/11/2025</v>
      </c>
      <c r="J8659" t="str">
        <f>("31/10/2025")</f>
        <v>31/10/2025</v>
      </c>
      <c r="K8659" t="str">
        <f>("04/11/2025")</f>
        <v>04/11/2025</v>
      </c>
      <c r="L8659">
        <v>170</v>
      </c>
      <c r="M8659">
        <v>170</v>
      </c>
      <c r="N8659">
        <v>134</v>
      </c>
      <c r="O8659" t="str">
        <f>"DIARIA DE MOTOBOY"</f>
        <v>DIARIA DE MOTOBOY</v>
      </c>
      <c r="P8659">
        <v>170</v>
      </c>
      <c r="S8659" t="str">
        <f>"BANCO CORA (102)"</f>
        <v>BANCO CORA (102)</v>
      </c>
      <c r="T8659">
        <v>20432</v>
      </c>
      <c r="U8659">
        <v>24853</v>
      </c>
      <c r="V8659" t="s">
        <v>22</v>
      </c>
    </row>
    <row r="8660" spans="1:22">
      <c r="A8660" t="str">
        <f t="shared" si="1617"/>
        <v>04/11/2025</v>
      </c>
      <c r="B8660" t="str">
        <f t="shared" si="1611"/>
        <v>SAÍDA</v>
      </c>
      <c r="C8660" t="str">
        <f t="shared" si="1613"/>
        <v>PIX</v>
      </c>
      <c r="D8660" t="str">
        <f t="shared" si="1618"/>
        <v>0411</v>
      </c>
      <c r="E8660" t="str">
        <f t="shared" si="1619"/>
        <v>25</v>
      </c>
      <c r="F8660" t="str">
        <f t="shared" si="1616"/>
        <v>COM</v>
      </c>
      <c r="G8660" t="str">
        <f>"SARA GABRIELLE SANTOS SILVA (710)"</f>
        <v>SARA GABRIELLE SANTOS SILVA (710)</v>
      </c>
      <c r="H8660" t="s">
        <v>2457</v>
      </c>
      <c r="I8660" t="str">
        <f t="shared" si="1615"/>
        <v>04/11/2025</v>
      </c>
      <c r="J8660" t="str">
        <f>("31/10/2025")</f>
        <v>31/10/2025</v>
      </c>
      <c r="K8660">
        <v>45965</v>
      </c>
      <c r="N8660">
        <v>134</v>
      </c>
      <c r="O8660" t="s">
        <v>41</v>
      </c>
      <c r="Q8660">
        <v>170</v>
      </c>
      <c r="R8660" t="str">
        <f>"SARA GABRIELLE SANTOS SILVA (710)"</f>
        <v>SARA GABRIELLE SANTOS SILVA (710)</v>
      </c>
      <c r="S8660" t="s">
        <v>22</v>
      </c>
      <c r="T8660">
        <v>20432</v>
      </c>
      <c r="U8660">
        <v>24853</v>
      </c>
      <c r="V8660" t="s">
        <v>22</v>
      </c>
    </row>
    <row r="8661" spans="1:22">
      <c r="A8661" t="str">
        <f t="shared" si="1617"/>
        <v>04/11/2025</v>
      </c>
      <c r="B8661" t="str">
        <f t="shared" si="1611"/>
        <v>SAÍDA</v>
      </c>
      <c r="C8661" t="str">
        <f t="shared" si="1613"/>
        <v>PIX</v>
      </c>
      <c r="D8661" t="str">
        <f t="shared" si="1618"/>
        <v>0411</v>
      </c>
      <c r="E8661" t="str">
        <f t="shared" si="1619"/>
        <v>25</v>
      </c>
      <c r="F8661" t="str">
        <f t="shared" si="1616"/>
        <v>COM</v>
      </c>
      <c r="G8661" t="str">
        <f>"MICHELLE RIBEIRO DA SILVA (1012)"</f>
        <v>MICHELLE RIBEIRO DA SILVA (1012)</v>
      </c>
      <c r="H8661" t="str">
        <f>"DIARIA 01/11 - UBERABA - PIX: CPF - CHAVE: 115.519.146-38"</f>
        <v>DIARIA 01/11 - UBERABA - PIX: CPF - CHAVE: 115.519.146-38</v>
      </c>
      <c r="I8661" t="str">
        <f t="shared" si="1615"/>
        <v>04/11/2025</v>
      </c>
      <c r="J8661" t="str">
        <f>("01/11/2025")</f>
        <v>01/11/2025</v>
      </c>
      <c r="K8661" t="str">
        <f>("04/11/2025")</f>
        <v>04/11/2025</v>
      </c>
      <c r="L8661">
        <v>170</v>
      </c>
      <c r="M8661">
        <v>170</v>
      </c>
      <c r="N8661">
        <v>134</v>
      </c>
      <c r="O8661" t="str">
        <f>"DIARIA DE MOTOBOY"</f>
        <v>DIARIA DE MOTOBOY</v>
      </c>
      <c r="P8661">
        <v>170</v>
      </c>
      <c r="S8661" t="str">
        <f>"BANCO CORA (102)"</f>
        <v>BANCO CORA (102)</v>
      </c>
      <c r="T8661">
        <v>20433</v>
      </c>
      <c r="U8661">
        <v>24854</v>
      </c>
      <c r="V8661" t="s">
        <v>22</v>
      </c>
    </row>
    <row r="8662" spans="1:22">
      <c r="A8662" t="str">
        <f t="shared" si="1617"/>
        <v>04/11/2025</v>
      </c>
      <c r="B8662" t="str">
        <f t="shared" si="1611"/>
        <v>SAÍDA</v>
      </c>
      <c r="C8662" t="str">
        <f t="shared" si="1613"/>
        <v>PIX</v>
      </c>
      <c r="D8662" t="str">
        <f t="shared" si="1618"/>
        <v>0411</v>
      </c>
      <c r="E8662" t="str">
        <f t="shared" si="1619"/>
        <v>25</v>
      </c>
      <c r="F8662" t="str">
        <f t="shared" si="1616"/>
        <v>COM</v>
      </c>
      <c r="G8662" t="str">
        <f>"MICHELLE RIBEIRO DA SILVA (1012)"</f>
        <v>MICHELLE RIBEIRO DA SILVA (1012)</v>
      </c>
      <c r="H8662" t="s">
        <v>2458</v>
      </c>
      <c r="I8662" t="str">
        <f t="shared" si="1615"/>
        <v>04/11/2025</v>
      </c>
      <c r="J8662" t="str">
        <f>("01/11/2025")</f>
        <v>01/11/2025</v>
      </c>
      <c r="K8662">
        <v>45965</v>
      </c>
      <c r="N8662">
        <v>134</v>
      </c>
      <c r="O8662" t="s">
        <v>41</v>
      </c>
      <c r="Q8662">
        <v>170</v>
      </c>
      <c r="R8662" t="str">
        <f>"MICHELLE RIBEIRO DA SILVA (1012)"</f>
        <v>MICHELLE RIBEIRO DA SILVA (1012)</v>
      </c>
      <c r="S8662" t="s">
        <v>22</v>
      </c>
      <c r="T8662">
        <v>20433</v>
      </c>
      <c r="U8662">
        <v>24854</v>
      </c>
      <c r="V8662" t="s">
        <v>22</v>
      </c>
    </row>
    <row r="8663" spans="1:22">
      <c r="A8663" t="str">
        <f t="shared" si="1617"/>
        <v>04/11/2025</v>
      </c>
      <c r="B8663" t="str">
        <f t="shared" si="1611"/>
        <v>SAÍDA</v>
      </c>
      <c r="C8663" t="str">
        <f t="shared" si="1613"/>
        <v>PIX</v>
      </c>
      <c r="D8663" t="str">
        <f t="shared" si="1618"/>
        <v>0411</v>
      </c>
      <c r="E8663" t="str">
        <f t="shared" si="1619"/>
        <v>25</v>
      </c>
      <c r="F8663" t="str">
        <f t="shared" si="1616"/>
        <v>COM</v>
      </c>
      <c r="G8663" t="str">
        <f>"GUSTAVO BENÍCIO DOS SANTOS (1032)"</f>
        <v>GUSTAVO BENÍCIO DOS SANTOS (1032)</v>
      </c>
      <c r="H8663" t="str">
        <f>"DIARIA 02/11 - UBERABA - PIX: CPF - CHAVE: 034.055.155-05"</f>
        <v>DIARIA 02/11 - UBERABA - PIX: CPF - CHAVE: 034.055.155-05</v>
      </c>
      <c r="I8663" t="str">
        <f t="shared" si="1615"/>
        <v>04/11/2025</v>
      </c>
      <c r="J8663" t="str">
        <f>("02/11/2025")</f>
        <v>02/11/2025</v>
      </c>
      <c r="K8663" t="str">
        <f>("04/11/2025")</f>
        <v>04/11/2025</v>
      </c>
      <c r="L8663">
        <v>170</v>
      </c>
      <c r="M8663">
        <v>170</v>
      </c>
      <c r="N8663">
        <v>134</v>
      </c>
      <c r="O8663" t="str">
        <f>"DIARIA DE MOTOBOY"</f>
        <v>DIARIA DE MOTOBOY</v>
      </c>
      <c r="P8663">
        <v>170</v>
      </c>
      <c r="S8663" t="str">
        <f>"BANCO CORA (102)"</f>
        <v>BANCO CORA (102)</v>
      </c>
      <c r="T8663">
        <v>20434</v>
      </c>
      <c r="U8663">
        <v>24855</v>
      </c>
      <c r="V8663" t="s">
        <v>22</v>
      </c>
    </row>
    <row r="8664" spans="1:22">
      <c r="A8664" t="str">
        <f t="shared" si="1617"/>
        <v>04/11/2025</v>
      </c>
      <c r="B8664" t="str">
        <f t="shared" si="1611"/>
        <v>SAÍDA</v>
      </c>
      <c r="C8664" t="str">
        <f t="shared" si="1613"/>
        <v>PIX</v>
      </c>
      <c r="D8664" t="str">
        <f t="shared" si="1618"/>
        <v>0411</v>
      </c>
      <c r="E8664" t="str">
        <f t="shared" si="1619"/>
        <v>25</v>
      </c>
      <c r="F8664" t="str">
        <f t="shared" si="1616"/>
        <v>COM</v>
      </c>
      <c r="G8664" t="str">
        <f>"HANDREY RAFAEL TEODORO GEROLIM (1029)"</f>
        <v>HANDREY RAFAEL TEODORO GEROLIM (1029)</v>
      </c>
      <c r="H8664" t="str">
        <f>"DIARIA 02/11 - UBERABA - PIX: CPF - CHAVE: 126.720.606-30"</f>
        <v>DIARIA 02/11 - UBERABA - PIX: CPF - CHAVE: 126.720.606-30</v>
      </c>
      <c r="I8664" t="str">
        <f t="shared" si="1615"/>
        <v>04/11/2025</v>
      </c>
      <c r="J8664" t="str">
        <f>("02/11/2025")</f>
        <v>02/11/2025</v>
      </c>
      <c r="K8664" t="str">
        <f>("04/11/2025")</f>
        <v>04/11/2025</v>
      </c>
      <c r="L8664">
        <v>170</v>
      </c>
      <c r="M8664">
        <v>170</v>
      </c>
      <c r="N8664">
        <v>134</v>
      </c>
      <c r="O8664" t="str">
        <f>"DIARIA DE MOTOBOY"</f>
        <v>DIARIA DE MOTOBOY</v>
      </c>
      <c r="P8664">
        <v>170</v>
      </c>
      <c r="S8664" t="str">
        <f>"BANCO CORA (102)"</f>
        <v>BANCO CORA (102)</v>
      </c>
      <c r="T8664">
        <v>20435</v>
      </c>
      <c r="U8664">
        <v>24856</v>
      </c>
      <c r="V8664" t="s">
        <v>22</v>
      </c>
    </row>
    <row r="8665" spans="1:22">
      <c r="A8665" t="str">
        <f t="shared" si="1617"/>
        <v>04/11/2025</v>
      </c>
      <c r="B8665" t="str">
        <f t="shared" si="1611"/>
        <v>SAÍDA</v>
      </c>
      <c r="C8665" t="str">
        <f t="shared" si="1613"/>
        <v>PIX</v>
      </c>
      <c r="D8665" t="str">
        <f>"24737"</f>
        <v>24737</v>
      </c>
      <c r="E8665" t="str">
        <f t="shared" ref="E8665:E8702" si="1620">"1"</f>
        <v>1</v>
      </c>
      <c r="F8665" t="str">
        <f t="shared" si="1616"/>
        <v>COM</v>
      </c>
      <c r="G8665" t="str">
        <f>"CARLOS DANIEL FERNANDES VIEIRA (1051)"</f>
        <v>CARLOS DANIEL FERNANDES VIEIRA (1051)</v>
      </c>
      <c r="H8665" t="str">
        <f>"Serv.Prest. 24/10/2025 a 02/11/2025 - PIX: CPF - CHAVE: 171.393.446-98"</f>
        <v>Serv.Prest. 24/10/2025 a 02/11/2025 - PIX: CPF - CHAVE: 171.393.446-98</v>
      </c>
      <c r="I8665" t="str">
        <f t="shared" si="1615"/>
        <v>04/11/2025</v>
      </c>
      <c r="J8665" t="str">
        <f>("04/11/2025")</f>
        <v>04/11/2025</v>
      </c>
      <c r="K8665" t="str">
        <f>("04/11/2025")</f>
        <v>04/11/2025</v>
      </c>
      <c r="L8665">
        <v>240</v>
      </c>
      <c r="M8665">
        <v>240</v>
      </c>
      <c r="N8665">
        <v>134</v>
      </c>
      <c r="O8665" t="str">
        <f>"DIARIA DE MOTOBOY"</f>
        <v>DIARIA DE MOTOBOY</v>
      </c>
      <c r="P8665">
        <v>240</v>
      </c>
      <c r="S8665" t="str">
        <f>"BANCO CORA (102)"</f>
        <v>BANCO CORA (102)</v>
      </c>
      <c r="T8665">
        <v>20436</v>
      </c>
      <c r="U8665">
        <v>24737</v>
      </c>
      <c r="V8665" t="s">
        <v>22</v>
      </c>
    </row>
    <row r="8666" spans="1:22">
      <c r="A8666" t="str">
        <f t="shared" si="1617"/>
        <v>04/11/2025</v>
      </c>
      <c r="B8666" t="str">
        <f t="shared" si="1611"/>
        <v>SAÍDA</v>
      </c>
      <c r="C8666" t="str">
        <f t="shared" si="1613"/>
        <v>PIX</v>
      </c>
      <c r="D8666" t="str">
        <f>"24737"</f>
        <v>24737</v>
      </c>
      <c r="E8666" t="str">
        <f t="shared" si="1620"/>
        <v>1</v>
      </c>
      <c r="F8666" t="str">
        <f t="shared" si="1616"/>
        <v>COM</v>
      </c>
      <c r="G8666" t="str">
        <f>"CARLOS DANIEL FERNANDES VIEIRA (1051)"</f>
        <v>CARLOS DANIEL FERNANDES VIEIRA (1051)</v>
      </c>
      <c r="H8666" t="s">
        <v>2428</v>
      </c>
      <c r="I8666" t="str">
        <f t="shared" si="1615"/>
        <v>04/11/2025</v>
      </c>
      <c r="J8666" t="str">
        <f>("04/11/2025")</f>
        <v>04/11/2025</v>
      </c>
      <c r="K8666">
        <v>45965</v>
      </c>
      <c r="N8666">
        <v>134</v>
      </c>
      <c r="O8666" t="s">
        <v>41</v>
      </c>
      <c r="Q8666">
        <v>240</v>
      </c>
      <c r="R8666" t="str">
        <f>"FARMÁCIA INDIANA LJ 205 (10150)"</f>
        <v>FARMÁCIA INDIANA LJ 205 (10150)</v>
      </c>
      <c r="S8666" t="s">
        <v>22</v>
      </c>
      <c r="T8666">
        <v>20436</v>
      </c>
      <c r="U8666">
        <v>24737</v>
      </c>
      <c r="V8666" t="s">
        <v>22</v>
      </c>
    </row>
    <row r="8667" spans="1:22">
      <c r="A8667" t="str">
        <f t="shared" si="1617"/>
        <v>04/11/2025</v>
      </c>
      <c r="B8667" t="str">
        <f t="shared" si="1611"/>
        <v>SAÍDA</v>
      </c>
      <c r="C8667" t="str">
        <f t="shared" si="1613"/>
        <v>PIX</v>
      </c>
      <c r="D8667" t="str">
        <f>"24773"</f>
        <v>24773</v>
      </c>
      <c r="E8667" t="str">
        <f t="shared" si="1620"/>
        <v>1</v>
      </c>
      <c r="F8667" t="str">
        <f t="shared" si="1616"/>
        <v>COM</v>
      </c>
      <c r="G8667" t="str">
        <f>"JOSE ERIC SILVA MACENA (854)"</f>
        <v>JOSE ERIC SILVA MACENA (854)</v>
      </c>
      <c r="H8667" t="str">
        <f>"Serv.Prest. 24/10/2025 a 02/11/2025 - PIX: E-MAIL - CHAVE: ericsilva8marcena@gmail.com"</f>
        <v>Serv.Prest. 24/10/2025 a 02/11/2025 - PIX: E-MAIL - CHAVE: ericsilva8marcena@gmail.com</v>
      </c>
      <c r="I8667" t="str">
        <f t="shared" si="1615"/>
        <v>04/11/2025</v>
      </c>
      <c r="J8667" t="str">
        <f>("04/11/2025")</f>
        <v>04/11/2025</v>
      </c>
      <c r="K8667" t="str">
        <f>("04/11/2025")</f>
        <v>04/11/2025</v>
      </c>
      <c r="L8667">
        <v>180</v>
      </c>
      <c r="M8667">
        <v>180</v>
      </c>
      <c r="N8667">
        <v>134</v>
      </c>
      <c r="O8667" t="str">
        <f>"DIARIA DE MOTOBOY"</f>
        <v>DIARIA DE MOTOBOY</v>
      </c>
      <c r="P8667">
        <v>180</v>
      </c>
      <c r="S8667" t="str">
        <f>"BANCO CORA (102)"</f>
        <v>BANCO CORA (102)</v>
      </c>
      <c r="T8667">
        <v>20437</v>
      </c>
      <c r="U8667">
        <v>24773</v>
      </c>
      <c r="V8667" t="s">
        <v>22</v>
      </c>
    </row>
    <row r="8668" spans="1:22">
      <c r="A8668" t="str">
        <f t="shared" si="1617"/>
        <v>04/11/2025</v>
      </c>
      <c r="B8668" t="str">
        <f t="shared" si="1611"/>
        <v>SAÍDA</v>
      </c>
      <c r="C8668" t="str">
        <f t="shared" si="1613"/>
        <v>PIX</v>
      </c>
      <c r="D8668" t="str">
        <f>"24773"</f>
        <v>24773</v>
      </c>
      <c r="E8668" t="str">
        <f t="shared" si="1620"/>
        <v>1</v>
      </c>
      <c r="F8668" t="str">
        <f t="shared" si="1616"/>
        <v>COM</v>
      </c>
      <c r="G8668" t="str">
        <f>"JOSE ERIC SILVA MACENA (854)"</f>
        <v>JOSE ERIC SILVA MACENA (854)</v>
      </c>
      <c r="H8668" t="s">
        <v>2459</v>
      </c>
      <c r="I8668" t="str">
        <f t="shared" si="1615"/>
        <v>04/11/2025</v>
      </c>
      <c r="J8668" t="str">
        <f>("04/11/2025")</f>
        <v>04/11/2025</v>
      </c>
      <c r="K8668">
        <v>45965</v>
      </c>
      <c r="N8668">
        <v>134</v>
      </c>
      <c r="O8668" t="s">
        <v>41</v>
      </c>
      <c r="Q8668">
        <v>180</v>
      </c>
      <c r="R8668" t="str">
        <f>"FARMÁCIA INDIANA LJ 101 (10043)"</f>
        <v>FARMÁCIA INDIANA LJ 101 (10043)</v>
      </c>
      <c r="S8668" t="s">
        <v>22</v>
      </c>
      <c r="T8668">
        <v>20437</v>
      </c>
      <c r="U8668">
        <v>24773</v>
      </c>
      <c r="V8668" t="s">
        <v>22</v>
      </c>
    </row>
    <row r="8669" spans="1:22">
      <c r="A8669" t="str">
        <f t="shared" si="1617"/>
        <v>04/11/2025</v>
      </c>
      <c r="B8669" t="str">
        <f t="shared" si="1611"/>
        <v>SAÍDA</v>
      </c>
      <c r="C8669" t="str">
        <f t="shared" si="1613"/>
        <v>PIX</v>
      </c>
      <c r="D8669" t="str">
        <f>"24643"</f>
        <v>24643</v>
      </c>
      <c r="E8669" t="str">
        <f t="shared" si="1620"/>
        <v>1</v>
      </c>
      <c r="F8669" t="str">
        <f t="shared" si="1616"/>
        <v>COM</v>
      </c>
      <c r="G8669" t="str">
        <f>"JAMERSON SOUZA LOPES (749)"</f>
        <v>JAMERSON SOUZA LOPES (749)</v>
      </c>
      <c r="H8669" t="str">
        <f>"Serv.Prest. 27/10/2025 a 02/11/2025 - PIX: CPF - CHAVE: 423.098.018-36"</f>
        <v>Serv.Prest. 27/10/2025 a 02/11/2025 - PIX: CPF - CHAVE: 423.098.018-36</v>
      </c>
      <c r="I8669" t="str">
        <f t="shared" si="1615"/>
        <v>04/11/2025</v>
      </c>
      <c r="J8669" t="str">
        <f>("03/11/2025")</f>
        <v>03/11/2025</v>
      </c>
      <c r="K8669" t="str">
        <f>("04/11/2025")</f>
        <v>04/11/2025</v>
      </c>
      <c r="L8669">
        <v>130</v>
      </c>
      <c r="M8669">
        <v>130</v>
      </c>
      <c r="N8669">
        <v>109</v>
      </c>
      <c r="O8669" t="str">
        <f>"PAGAMENTO DE ENTREGADORES"</f>
        <v>PAGAMENTO DE ENTREGADORES</v>
      </c>
      <c r="P8669">
        <v>130</v>
      </c>
      <c r="S8669" t="str">
        <f>"BANCO CORA (102)"</f>
        <v>BANCO CORA (102)</v>
      </c>
      <c r="T8669">
        <v>20438</v>
      </c>
      <c r="U8669">
        <v>24850</v>
      </c>
      <c r="V8669" t="s">
        <v>22</v>
      </c>
    </row>
    <row r="8670" spans="1:22">
      <c r="A8670" t="str">
        <f t="shared" si="1617"/>
        <v>04/11/2025</v>
      </c>
      <c r="B8670" t="str">
        <f t="shared" si="1611"/>
        <v>SAÍDA</v>
      </c>
      <c r="C8670" t="str">
        <f t="shared" si="1613"/>
        <v>PIX</v>
      </c>
      <c r="D8670" t="str">
        <f>"24643"</f>
        <v>24643</v>
      </c>
      <c r="E8670" t="str">
        <f t="shared" si="1620"/>
        <v>1</v>
      </c>
      <c r="F8670" t="str">
        <f t="shared" si="1616"/>
        <v>COM</v>
      </c>
      <c r="G8670" t="str">
        <f>"JAMERSON SOUZA LOPES (749)"</f>
        <v>JAMERSON SOUZA LOPES (749)</v>
      </c>
      <c r="H8670" t="s">
        <v>2460</v>
      </c>
      <c r="I8670" t="str">
        <f t="shared" si="1615"/>
        <v>04/11/2025</v>
      </c>
      <c r="J8670" t="str">
        <f>("03/11/2025")</f>
        <v>03/11/2025</v>
      </c>
      <c r="K8670">
        <v>45965</v>
      </c>
      <c r="N8670">
        <v>109</v>
      </c>
      <c r="O8670" t="s">
        <v>24</v>
      </c>
      <c r="Q8670">
        <v>130</v>
      </c>
      <c r="R8670" t="str">
        <f>"DROGARIA MEDIC CENTER LTDA (10172)"</f>
        <v>DROGARIA MEDIC CENTER LTDA (10172)</v>
      </c>
      <c r="S8670" t="s">
        <v>22</v>
      </c>
      <c r="T8670">
        <v>20438</v>
      </c>
      <c r="U8670">
        <v>24850</v>
      </c>
      <c r="V8670" t="s">
        <v>22</v>
      </c>
    </row>
    <row r="8671" spans="1:22">
      <c r="A8671" t="str">
        <f t="shared" si="1617"/>
        <v>04/11/2025</v>
      </c>
      <c r="B8671" t="str">
        <f t="shared" si="1611"/>
        <v>SAÍDA</v>
      </c>
      <c r="C8671" t="str">
        <f t="shared" si="1613"/>
        <v>PIX</v>
      </c>
      <c r="D8671" t="str">
        <f>"04112545454"</f>
        <v>04112545454</v>
      </c>
      <c r="E8671" t="str">
        <f t="shared" si="1620"/>
        <v>1</v>
      </c>
      <c r="F8671" t="str">
        <f t="shared" si="1616"/>
        <v>COM</v>
      </c>
      <c r="G8671" t="str">
        <f>"JAMERSON SOUZA LOPES (749)"</f>
        <v>JAMERSON SOUZA LOPES (749)</v>
      </c>
      <c r="H8671" t="str">
        <f>"DIARIAS VIAGEM PARA UBERABA - PIX: CPF - CHAVE: 423.098.018-36"</f>
        <v>DIARIAS VIAGEM PARA UBERABA - PIX: CPF - CHAVE: 423.098.018-36</v>
      </c>
      <c r="I8671" t="str">
        <f t="shared" si="1615"/>
        <v>04/11/2025</v>
      </c>
      <c r="J8671" t="str">
        <f>("04/11/2025")</f>
        <v>04/11/2025</v>
      </c>
      <c r="K8671" t="str">
        <f>("04/11/2025")</f>
        <v>04/11/2025</v>
      </c>
      <c r="L8671">
        <v>454.54</v>
      </c>
      <c r="M8671">
        <v>454.54</v>
      </c>
      <c r="N8671">
        <v>109</v>
      </c>
      <c r="O8671" t="str">
        <f>"PAGAMENTO DE ENTREGADORES"</f>
        <v>PAGAMENTO DE ENTREGADORES</v>
      </c>
      <c r="P8671">
        <v>454.54</v>
      </c>
      <c r="S8671" t="str">
        <f>"BANCO CORA (102)"</f>
        <v>BANCO CORA (102)</v>
      </c>
      <c r="T8671">
        <v>20439</v>
      </c>
      <c r="U8671">
        <v>24880</v>
      </c>
      <c r="V8671" t="s">
        <v>22</v>
      </c>
    </row>
    <row r="8672" spans="1:22">
      <c r="A8672" t="str">
        <f t="shared" si="1617"/>
        <v>04/11/2025</v>
      </c>
      <c r="B8672" t="str">
        <f t="shared" si="1611"/>
        <v>SAÍDA</v>
      </c>
      <c r="C8672" t="str">
        <f t="shared" si="1613"/>
        <v>PIX</v>
      </c>
      <c r="D8672" t="str">
        <f>"04112545454"</f>
        <v>04112545454</v>
      </c>
      <c r="E8672" t="str">
        <f t="shared" si="1620"/>
        <v>1</v>
      </c>
      <c r="F8672" t="str">
        <f t="shared" si="1616"/>
        <v>COM</v>
      </c>
      <c r="G8672" t="str">
        <f>"JAMERSON SOUZA LOPES (749)"</f>
        <v>JAMERSON SOUZA LOPES (749)</v>
      </c>
      <c r="H8672" t="s">
        <v>2408</v>
      </c>
      <c r="I8672" t="str">
        <f t="shared" si="1615"/>
        <v>04/11/2025</v>
      </c>
      <c r="J8672" t="str">
        <f>("04/11/2025")</f>
        <v>04/11/2025</v>
      </c>
      <c r="K8672">
        <v>45965</v>
      </c>
      <c r="N8672">
        <v>109</v>
      </c>
      <c r="O8672" t="s">
        <v>24</v>
      </c>
      <c r="Q8672">
        <v>454.54</v>
      </c>
      <c r="R8672" t="str">
        <f>"DROGARIA TOTAL JUNDIAI (10177)"</f>
        <v>DROGARIA TOTAL JUNDIAI (10177)</v>
      </c>
      <c r="S8672" t="s">
        <v>22</v>
      </c>
      <c r="T8672">
        <v>20439</v>
      </c>
      <c r="U8672">
        <v>24880</v>
      </c>
      <c r="V8672" t="s">
        <v>22</v>
      </c>
    </row>
    <row r="8673" spans="1:22">
      <c r="A8673" t="str">
        <f t="shared" si="1617"/>
        <v>04/11/2025</v>
      </c>
      <c r="B8673" t="str">
        <f t="shared" ref="B8673:B8698" si="1621">"ENTRADA"</f>
        <v>ENTRADA</v>
      </c>
      <c r="C8673" t="str">
        <f t="shared" ref="C8673:C8698" si="1622">"NFSE"</f>
        <v>NFSE</v>
      </c>
      <c r="D8673" t="str">
        <f t="shared" ref="D8673:D8685" si="1623">"3555"</f>
        <v>3555</v>
      </c>
      <c r="E8673" t="str">
        <f t="shared" si="1620"/>
        <v>1</v>
      </c>
      <c r="F8673" t="str">
        <f t="shared" si="1616"/>
        <v>COM</v>
      </c>
      <c r="G8673" t="str">
        <f t="shared" ref="G8673:G8685" si="1624">"FARMÁCIA INDIANA LJ 30 (10127)"</f>
        <v>FARMÁCIA INDIANA LJ 30 (10127)</v>
      </c>
      <c r="H8673" t="str">
        <f>"Serv.Prest. 20/10/2025 a 24/10/2025 - RPS: 1431 - NFSe: 3555"</f>
        <v>Serv.Prest. 20/10/2025 a 24/10/2025 - RPS: 1431 - NFSe: 3555</v>
      </c>
      <c r="I8673" t="str">
        <f t="shared" ref="I8673:I8696" si="1625">("05/11/2025")</f>
        <v>05/11/2025</v>
      </c>
      <c r="J8673" t="str">
        <f t="shared" ref="J8673:J8696" si="1626">("24/10/2025")</f>
        <v>24/10/2025</v>
      </c>
      <c r="K8673" t="str">
        <f>("04/11/2025")</f>
        <v>04/11/2025</v>
      </c>
      <c r="L8673">
        <v>20136.060000000001</v>
      </c>
      <c r="M8673">
        <v>20136.060000000001</v>
      </c>
      <c r="N8673">
        <v>303</v>
      </c>
      <c r="O8673" t="str">
        <f>"RECEITAS COM ENTREGAS"</f>
        <v>RECEITAS COM ENTREGAS</v>
      </c>
      <c r="P8673">
        <v>20136.060000000001</v>
      </c>
      <c r="S8673" t="str">
        <f>"RECEITAS COM ENTREGAS (303)"</f>
        <v>RECEITAS COM ENTREGAS (303)</v>
      </c>
      <c r="T8673">
        <v>21851</v>
      </c>
      <c r="U8673">
        <v>24284</v>
      </c>
      <c r="V8673" t="s">
        <v>77</v>
      </c>
    </row>
    <row r="8674" spans="1:22">
      <c r="A8674" t="str">
        <f t="shared" si="1617"/>
        <v>04/11/2025</v>
      </c>
      <c r="B8674" t="str">
        <f t="shared" si="1621"/>
        <v>ENTRADA</v>
      </c>
      <c r="C8674" t="str">
        <f t="shared" si="1622"/>
        <v>NFSE</v>
      </c>
      <c r="D8674" t="str">
        <f t="shared" si="1623"/>
        <v>3555</v>
      </c>
      <c r="E8674" t="str">
        <f t="shared" si="1620"/>
        <v>1</v>
      </c>
      <c r="F8674" t="str">
        <f t="shared" si="1616"/>
        <v>COM</v>
      </c>
      <c r="G8674" t="str">
        <f t="shared" si="1624"/>
        <v>FARMÁCIA INDIANA LJ 30 (10127)</v>
      </c>
      <c r="H8674" t="s">
        <v>2461</v>
      </c>
      <c r="I8674" t="str">
        <f t="shared" si="1625"/>
        <v>05/11/2025</v>
      </c>
      <c r="J8674" t="str">
        <f t="shared" si="1626"/>
        <v>24/10/2025</v>
      </c>
      <c r="K8674">
        <v>45965</v>
      </c>
      <c r="N8674">
        <v>303</v>
      </c>
      <c r="O8674" t="s">
        <v>69</v>
      </c>
      <c r="Q8674">
        <v>1836.39</v>
      </c>
      <c r="R8674" t="str">
        <f>"FARMÁCIA INDIANA LJ 34 (10014)"</f>
        <v>FARMÁCIA INDIANA LJ 34 (10014)</v>
      </c>
      <c r="S8674" t="s">
        <v>70</v>
      </c>
      <c r="T8674">
        <v>21851</v>
      </c>
      <c r="U8674">
        <v>24284</v>
      </c>
      <c r="V8674" t="s">
        <v>77</v>
      </c>
    </row>
    <row r="8675" spans="1:22">
      <c r="A8675" t="str">
        <f t="shared" si="1617"/>
        <v>04/11/2025</v>
      </c>
      <c r="B8675" t="str">
        <f t="shared" si="1621"/>
        <v>ENTRADA</v>
      </c>
      <c r="C8675" t="str">
        <f t="shared" si="1622"/>
        <v>NFSE</v>
      </c>
      <c r="D8675" t="str">
        <f t="shared" si="1623"/>
        <v>3555</v>
      </c>
      <c r="E8675" t="str">
        <f t="shared" si="1620"/>
        <v>1</v>
      </c>
      <c r="F8675" t="str">
        <f t="shared" si="1616"/>
        <v>COM</v>
      </c>
      <c r="G8675" t="str">
        <f t="shared" si="1624"/>
        <v>FARMÁCIA INDIANA LJ 30 (10127)</v>
      </c>
      <c r="H8675" t="s">
        <v>2461</v>
      </c>
      <c r="I8675" t="str">
        <f t="shared" si="1625"/>
        <v>05/11/2025</v>
      </c>
      <c r="J8675" t="str">
        <f t="shared" si="1626"/>
        <v>24/10/2025</v>
      </c>
      <c r="K8675">
        <v>45965</v>
      </c>
      <c r="N8675">
        <v>303</v>
      </c>
      <c r="O8675" t="s">
        <v>69</v>
      </c>
      <c r="Q8675">
        <v>1427.65</v>
      </c>
      <c r="R8675" t="str">
        <f>"FARMÁCIA INDIANA LJ 35 (10015)"</f>
        <v>FARMÁCIA INDIANA LJ 35 (10015)</v>
      </c>
      <c r="S8675" t="s">
        <v>70</v>
      </c>
      <c r="T8675">
        <v>21851</v>
      </c>
      <c r="U8675">
        <v>24284</v>
      </c>
      <c r="V8675" t="s">
        <v>77</v>
      </c>
    </row>
    <row r="8676" spans="1:22">
      <c r="A8676" t="str">
        <f t="shared" si="1617"/>
        <v>04/11/2025</v>
      </c>
      <c r="B8676" t="str">
        <f t="shared" si="1621"/>
        <v>ENTRADA</v>
      </c>
      <c r="C8676" t="str">
        <f t="shared" si="1622"/>
        <v>NFSE</v>
      </c>
      <c r="D8676" t="str">
        <f t="shared" si="1623"/>
        <v>3555</v>
      </c>
      <c r="E8676" t="str">
        <f t="shared" si="1620"/>
        <v>1</v>
      </c>
      <c r="F8676" t="str">
        <f t="shared" si="1616"/>
        <v>COM</v>
      </c>
      <c r="G8676" t="str">
        <f t="shared" si="1624"/>
        <v>FARMÁCIA INDIANA LJ 30 (10127)</v>
      </c>
      <c r="H8676" t="s">
        <v>2461</v>
      </c>
      <c r="I8676" t="str">
        <f t="shared" si="1625"/>
        <v>05/11/2025</v>
      </c>
      <c r="J8676" t="str">
        <f t="shared" si="1626"/>
        <v>24/10/2025</v>
      </c>
      <c r="K8676">
        <v>45965</v>
      </c>
      <c r="N8676">
        <v>303</v>
      </c>
      <c r="O8676" t="s">
        <v>69</v>
      </c>
      <c r="Q8676">
        <v>1548.46</v>
      </c>
      <c r="R8676" t="str">
        <f>"FARMÁCIA INDIANA LJ 48 (10018)"</f>
        <v>FARMÁCIA INDIANA LJ 48 (10018)</v>
      </c>
      <c r="S8676" t="s">
        <v>70</v>
      </c>
      <c r="T8676">
        <v>21851</v>
      </c>
      <c r="U8676">
        <v>24284</v>
      </c>
      <c r="V8676" t="s">
        <v>77</v>
      </c>
    </row>
    <row r="8677" spans="1:22">
      <c r="A8677" t="str">
        <f t="shared" si="1617"/>
        <v>04/11/2025</v>
      </c>
      <c r="B8677" t="str">
        <f t="shared" si="1621"/>
        <v>ENTRADA</v>
      </c>
      <c r="C8677" t="str">
        <f t="shared" si="1622"/>
        <v>NFSE</v>
      </c>
      <c r="D8677" t="str">
        <f t="shared" si="1623"/>
        <v>3555</v>
      </c>
      <c r="E8677" t="str">
        <f t="shared" si="1620"/>
        <v>1</v>
      </c>
      <c r="F8677" t="str">
        <f t="shared" si="1616"/>
        <v>COM</v>
      </c>
      <c r="G8677" t="str">
        <f t="shared" si="1624"/>
        <v>FARMÁCIA INDIANA LJ 30 (10127)</v>
      </c>
      <c r="H8677" t="s">
        <v>2461</v>
      </c>
      <c r="I8677" t="str">
        <f t="shared" si="1625"/>
        <v>05/11/2025</v>
      </c>
      <c r="J8677" t="str">
        <f t="shared" si="1626"/>
        <v>24/10/2025</v>
      </c>
      <c r="K8677">
        <v>45965</v>
      </c>
      <c r="N8677">
        <v>303</v>
      </c>
      <c r="O8677" t="s">
        <v>69</v>
      </c>
      <c r="Q8677">
        <v>3139.21</v>
      </c>
      <c r="R8677" t="str">
        <f>"FARMÁCIA INDIANA LJ 65 (10030)"</f>
        <v>FARMÁCIA INDIANA LJ 65 (10030)</v>
      </c>
      <c r="S8677" t="s">
        <v>70</v>
      </c>
      <c r="T8677">
        <v>21851</v>
      </c>
      <c r="U8677">
        <v>24284</v>
      </c>
      <c r="V8677" t="s">
        <v>77</v>
      </c>
    </row>
    <row r="8678" spans="1:22">
      <c r="A8678" t="str">
        <f t="shared" si="1617"/>
        <v>04/11/2025</v>
      </c>
      <c r="B8678" t="str">
        <f t="shared" si="1621"/>
        <v>ENTRADA</v>
      </c>
      <c r="C8678" t="str">
        <f t="shared" si="1622"/>
        <v>NFSE</v>
      </c>
      <c r="D8678" t="str">
        <f t="shared" si="1623"/>
        <v>3555</v>
      </c>
      <c r="E8678" t="str">
        <f t="shared" si="1620"/>
        <v>1</v>
      </c>
      <c r="F8678" t="str">
        <f t="shared" si="1616"/>
        <v>COM</v>
      </c>
      <c r="G8678" t="str">
        <f t="shared" si="1624"/>
        <v>FARMÁCIA INDIANA LJ 30 (10127)</v>
      </c>
      <c r="H8678" t="s">
        <v>2461</v>
      </c>
      <c r="I8678" t="str">
        <f t="shared" si="1625"/>
        <v>05/11/2025</v>
      </c>
      <c r="J8678" t="str">
        <f t="shared" si="1626"/>
        <v>24/10/2025</v>
      </c>
      <c r="K8678">
        <v>45965</v>
      </c>
      <c r="N8678">
        <v>303</v>
      </c>
      <c r="O8678" t="s">
        <v>69</v>
      </c>
      <c r="Q8678">
        <v>728.93</v>
      </c>
      <c r="R8678" t="str">
        <f>"FARMÁCIA INDIANA LJ 77 (10034)"</f>
        <v>FARMÁCIA INDIANA LJ 77 (10034)</v>
      </c>
      <c r="S8678" t="s">
        <v>70</v>
      </c>
      <c r="T8678">
        <v>21851</v>
      </c>
      <c r="U8678">
        <v>24284</v>
      </c>
      <c r="V8678" t="s">
        <v>77</v>
      </c>
    </row>
    <row r="8679" spans="1:22">
      <c r="A8679" t="str">
        <f t="shared" si="1617"/>
        <v>04/11/2025</v>
      </c>
      <c r="B8679" t="str">
        <f t="shared" si="1621"/>
        <v>ENTRADA</v>
      </c>
      <c r="C8679" t="str">
        <f t="shared" si="1622"/>
        <v>NFSE</v>
      </c>
      <c r="D8679" t="str">
        <f t="shared" si="1623"/>
        <v>3555</v>
      </c>
      <c r="E8679" t="str">
        <f t="shared" si="1620"/>
        <v>1</v>
      </c>
      <c r="F8679" t="str">
        <f t="shared" si="1616"/>
        <v>COM</v>
      </c>
      <c r="G8679" t="str">
        <f t="shared" si="1624"/>
        <v>FARMÁCIA INDIANA LJ 30 (10127)</v>
      </c>
      <c r="H8679" t="s">
        <v>2461</v>
      </c>
      <c r="I8679" t="str">
        <f t="shared" si="1625"/>
        <v>05/11/2025</v>
      </c>
      <c r="J8679" t="str">
        <f t="shared" si="1626"/>
        <v>24/10/2025</v>
      </c>
      <c r="K8679">
        <v>45965</v>
      </c>
      <c r="N8679">
        <v>303</v>
      </c>
      <c r="O8679" t="s">
        <v>69</v>
      </c>
      <c r="Q8679">
        <v>3111.02</v>
      </c>
      <c r="R8679" t="str">
        <f>"FARMÁCIA INDIANA LJ 91 (10037)"</f>
        <v>FARMÁCIA INDIANA LJ 91 (10037)</v>
      </c>
      <c r="S8679" t="s">
        <v>70</v>
      </c>
      <c r="T8679">
        <v>21851</v>
      </c>
      <c r="U8679">
        <v>24284</v>
      </c>
      <c r="V8679" t="s">
        <v>77</v>
      </c>
    </row>
    <row r="8680" spans="1:22">
      <c r="A8680" t="str">
        <f t="shared" si="1617"/>
        <v>04/11/2025</v>
      </c>
      <c r="B8680" t="str">
        <f t="shared" si="1621"/>
        <v>ENTRADA</v>
      </c>
      <c r="C8680" t="str">
        <f t="shared" si="1622"/>
        <v>NFSE</v>
      </c>
      <c r="D8680" t="str">
        <f t="shared" si="1623"/>
        <v>3555</v>
      </c>
      <c r="E8680" t="str">
        <f t="shared" si="1620"/>
        <v>1</v>
      </c>
      <c r="F8680" t="str">
        <f t="shared" si="1616"/>
        <v>COM</v>
      </c>
      <c r="G8680" t="str">
        <f t="shared" si="1624"/>
        <v>FARMÁCIA INDIANA LJ 30 (10127)</v>
      </c>
      <c r="H8680" t="s">
        <v>2461</v>
      </c>
      <c r="I8680" t="str">
        <f t="shared" si="1625"/>
        <v>05/11/2025</v>
      </c>
      <c r="J8680" t="str">
        <f t="shared" si="1626"/>
        <v>24/10/2025</v>
      </c>
      <c r="K8680">
        <v>45965</v>
      </c>
      <c r="N8680">
        <v>303</v>
      </c>
      <c r="O8680" t="s">
        <v>69</v>
      </c>
      <c r="Q8680">
        <v>1367.24</v>
      </c>
      <c r="R8680" t="str">
        <f>"FARMÁCIA INDIANA LJ 95 (10039)"</f>
        <v>FARMÁCIA INDIANA LJ 95 (10039)</v>
      </c>
      <c r="S8680" t="s">
        <v>70</v>
      </c>
      <c r="T8680">
        <v>21851</v>
      </c>
      <c r="U8680">
        <v>24284</v>
      </c>
      <c r="V8680" t="s">
        <v>77</v>
      </c>
    </row>
    <row r="8681" spans="1:22">
      <c r="A8681" t="str">
        <f t="shared" si="1617"/>
        <v>04/11/2025</v>
      </c>
      <c r="B8681" t="str">
        <f t="shared" si="1621"/>
        <v>ENTRADA</v>
      </c>
      <c r="C8681" t="str">
        <f t="shared" si="1622"/>
        <v>NFSE</v>
      </c>
      <c r="D8681" t="str">
        <f t="shared" si="1623"/>
        <v>3555</v>
      </c>
      <c r="E8681" t="str">
        <f t="shared" si="1620"/>
        <v>1</v>
      </c>
      <c r="F8681" t="str">
        <f t="shared" si="1616"/>
        <v>COM</v>
      </c>
      <c r="G8681" t="str">
        <f t="shared" si="1624"/>
        <v>FARMÁCIA INDIANA LJ 30 (10127)</v>
      </c>
      <c r="H8681" t="s">
        <v>2461</v>
      </c>
      <c r="I8681" t="str">
        <f t="shared" si="1625"/>
        <v>05/11/2025</v>
      </c>
      <c r="J8681" t="str">
        <f t="shared" si="1626"/>
        <v>24/10/2025</v>
      </c>
      <c r="K8681">
        <v>45965</v>
      </c>
      <c r="N8681">
        <v>303</v>
      </c>
      <c r="O8681" t="s">
        <v>69</v>
      </c>
      <c r="Q8681">
        <v>2527.08</v>
      </c>
      <c r="R8681" t="str">
        <f>"FARMÁCIA INDIANA LJ 145 (10068)"</f>
        <v>FARMÁCIA INDIANA LJ 145 (10068)</v>
      </c>
      <c r="S8681" t="s">
        <v>70</v>
      </c>
      <c r="T8681">
        <v>21851</v>
      </c>
      <c r="U8681">
        <v>24284</v>
      </c>
      <c r="V8681" t="s">
        <v>77</v>
      </c>
    </row>
    <row r="8682" spans="1:22">
      <c r="A8682" t="str">
        <f t="shared" si="1617"/>
        <v>04/11/2025</v>
      </c>
      <c r="B8682" t="str">
        <f t="shared" si="1621"/>
        <v>ENTRADA</v>
      </c>
      <c r="C8682" t="str">
        <f t="shared" si="1622"/>
        <v>NFSE</v>
      </c>
      <c r="D8682" t="str">
        <f t="shared" si="1623"/>
        <v>3555</v>
      </c>
      <c r="E8682" t="str">
        <f t="shared" si="1620"/>
        <v>1</v>
      </c>
      <c r="F8682" t="str">
        <f t="shared" si="1616"/>
        <v>COM</v>
      </c>
      <c r="G8682" t="str">
        <f t="shared" si="1624"/>
        <v>FARMÁCIA INDIANA LJ 30 (10127)</v>
      </c>
      <c r="H8682" t="s">
        <v>2461</v>
      </c>
      <c r="I8682" t="str">
        <f t="shared" si="1625"/>
        <v>05/11/2025</v>
      </c>
      <c r="J8682" t="str">
        <f t="shared" si="1626"/>
        <v>24/10/2025</v>
      </c>
      <c r="K8682">
        <v>45965</v>
      </c>
      <c r="N8682">
        <v>303</v>
      </c>
      <c r="O8682" t="s">
        <v>69</v>
      </c>
      <c r="Q8682">
        <v>674.56</v>
      </c>
      <c r="R8682" t="str">
        <f>"FARMÁCIA INDIANA LJ 169 (10073)"</f>
        <v>FARMÁCIA INDIANA LJ 169 (10073)</v>
      </c>
      <c r="S8682" t="s">
        <v>70</v>
      </c>
      <c r="T8682">
        <v>21851</v>
      </c>
      <c r="U8682">
        <v>24284</v>
      </c>
      <c r="V8682" t="s">
        <v>77</v>
      </c>
    </row>
    <row r="8683" spans="1:22">
      <c r="A8683" t="str">
        <f t="shared" si="1617"/>
        <v>04/11/2025</v>
      </c>
      <c r="B8683" t="str">
        <f t="shared" si="1621"/>
        <v>ENTRADA</v>
      </c>
      <c r="C8683" t="str">
        <f t="shared" si="1622"/>
        <v>NFSE</v>
      </c>
      <c r="D8683" t="str">
        <f t="shared" si="1623"/>
        <v>3555</v>
      </c>
      <c r="E8683" t="str">
        <f t="shared" si="1620"/>
        <v>1</v>
      </c>
      <c r="F8683" t="str">
        <f t="shared" si="1616"/>
        <v>COM</v>
      </c>
      <c r="G8683" t="str">
        <f t="shared" si="1624"/>
        <v>FARMÁCIA INDIANA LJ 30 (10127)</v>
      </c>
      <c r="H8683" t="s">
        <v>2461</v>
      </c>
      <c r="I8683" t="str">
        <f t="shared" si="1625"/>
        <v>05/11/2025</v>
      </c>
      <c r="J8683" t="str">
        <f t="shared" si="1626"/>
        <v>24/10/2025</v>
      </c>
      <c r="K8683">
        <v>45965</v>
      </c>
      <c r="N8683">
        <v>303</v>
      </c>
      <c r="O8683" t="s">
        <v>69</v>
      </c>
      <c r="Q8683">
        <v>1568.6</v>
      </c>
      <c r="R8683" t="str">
        <f>"FARMÁCIA INDIANA LJ 173 (10075)"</f>
        <v>FARMÁCIA INDIANA LJ 173 (10075)</v>
      </c>
      <c r="S8683" t="s">
        <v>70</v>
      </c>
      <c r="T8683">
        <v>21851</v>
      </c>
      <c r="U8683">
        <v>24284</v>
      </c>
      <c r="V8683" t="s">
        <v>77</v>
      </c>
    </row>
    <row r="8684" spans="1:22">
      <c r="A8684" t="str">
        <f t="shared" si="1617"/>
        <v>04/11/2025</v>
      </c>
      <c r="B8684" t="str">
        <f t="shared" si="1621"/>
        <v>ENTRADA</v>
      </c>
      <c r="C8684" t="str">
        <f t="shared" si="1622"/>
        <v>NFSE</v>
      </c>
      <c r="D8684" t="str">
        <f t="shared" si="1623"/>
        <v>3555</v>
      </c>
      <c r="E8684" t="str">
        <f t="shared" si="1620"/>
        <v>1</v>
      </c>
      <c r="F8684" t="str">
        <f t="shared" si="1616"/>
        <v>COM</v>
      </c>
      <c r="G8684" t="str">
        <f t="shared" si="1624"/>
        <v>FARMÁCIA INDIANA LJ 30 (10127)</v>
      </c>
      <c r="H8684" t="s">
        <v>2461</v>
      </c>
      <c r="I8684" t="str">
        <f t="shared" si="1625"/>
        <v>05/11/2025</v>
      </c>
      <c r="J8684" t="str">
        <f t="shared" si="1626"/>
        <v>24/10/2025</v>
      </c>
      <c r="K8684">
        <v>45965</v>
      </c>
      <c r="N8684">
        <v>303</v>
      </c>
      <c r="O8684" t="s">
        <v>69</v>
      </c>
      <c r="Q8684">
        <v>1153.8</v>
      </c>
      <c r="R8684" t="str">
        <f>"FARMÁCIA INDIANA LJ 200 (10155)"</f>
        <v>FARMÁCIA INDIANA LJ 200 (10155)</v>
      </c>
      <c r="S8684" t="s">
        <v>70</v>
      </c>
      <c r="T8684">
        <v>21851</v>
      </c>
      <c r="U8684">
        <v>24284</v>
      </c>
      <c r="V8684" t="s">
        <v>77</v>
      </c>
    </row>
    <row r="8685" spans="1:22">
      <c r="A8685" t="str">
        <f t="shared" si="1617"/>
        <v>04/11/2025</v>
      </c>
      <c r="B8685" t="str">
        <f t="shared" si="1621"/>
        <v>ENTRADA</v>
      </c>
      <c r="C8685" t="str">
        <f t="shared" si="1622"/>
        <v>NFSE</v>
      </c>
      <c r="D8685" t="str">
        <f t="shared" si="1623"/>
        <v>3555</v>
      </c>
      <c r="E8685" t="str">
        <f t="shared" si="1620"/>
        <v>1</v>
      </c>
      <c r="F8685" t="str">
        <f t="shared" si="1616"/>
        <v>COM</v>
      </c>
      <c r="G8685" t="str">
        <f t="shared" si="1624"/>
        <v>FARMÁCIA INDIANA LJ 30 (10127)</v>
      </c>
      <c r="H8685" t="s">
        <v>2461</v>
      </c>
      <c r="I8685" t="str">
        <f t="shared" si="1625"/>
        <v>05/11/2025</v>
      </c>
      <c r="J8685" t="str">
        <f t="shared" si="1626"/>
        <v>24/10/2025</v>
      </c>
      <c r="K8685">
        <v>45965</v>
      </c>
      <c r="N8685">
        <v>303</v>
      </c>
      <c r="O8685" t="s">
        <v>69</v>
      </c>
      <c r="Q8685">
        <v>1053.1199999999999</v>
      </c>
      <c r="R8685" t="str">
        <f>"FARMÁCIA INDIANA LJ 33 (10187)"</f>
        <v>FARMÁCIA INDIANA LJ 33 (10187)</v>
      </c>
      <c r="S8685" t="s">
        <v>70</v>
      </c>
      <c r="T8685">
        <v>21851</v>
      </c>
      <c r="U8685">
        <v>24284</v>
      </c>
      <c r="V8685" t="s">
        <v>77</v>
      </c>
    </row>
    <row r="8686" spans="1:22">
      <c r="A8686" t="str">
        <f t="shared" si="1617"/>
        <v>04/11/2025</v>
      </c>
      <c r="B8686" t="str">
        <f t="shared" si="1621"/>
        <v>ENTRADA</v>
      </c>
      <c r="C8686" t="str">
        <f t="shared" si="1622"/>
        <v>NFSE</v>
      </c>
      <c r="D8686" t="str">
        <f t="shared" ref="D8686:D8696" si="1627">"3556"</f>
        <v>3556</v>
      </c>
      <c r="E8686" t="str">
        <f t="shared" si="1620"/>
        <v>1</v>
      </c>
      <c r="F8686" t="str">
        <f t="shared" si="1616"/>
        <v>COM</v>
      </c>
      <c r="G8686" t="str">
        <f t="shared" ref="G8686:G8696" si="1628">"FARMÁCIA INDIANA LJ 85 (10128)"</f>
        <v>FARMÁCIA INDIANA LJ 85 (10128)</v>
      </c>
      <c r="H8686" t="str">
        <f>"Serv.Prest. 20/10/2025 a 24/10/2025 - RPS: 1432 - NFSe: 3556"</f>
        <v>Serv.Prest. 20/10/2025 a 24/10/2025 - RPS: 1432 - NFSe: 3556</v>
      </c>
      <c r="I8686" t="str">
        <f t="shared" si="1625"/>
        <v>05/11/2025</v>
      </c>
      <c r="J8686" t="str">
        <f t="shared" si="1626"/>
        <v>24/10/2025</v>
      </c>
      <c r="K8686" t="str">
        <f>("04/11/2025")</f>
        <v>04/11/2025</v>
      </c>
      <c r="L8686">
        <v>10073.77</v>
      </c>
      <c r="M8686">
        <v>10073.77</v>
      </c>
      <c r="N8686">
        <v>303</v>
      </c>
      <c r="O8686" t="str">
        <f>"RECEITAS COM ENTREGAS"</f>
        <v>RECEITAS COM ENTREGAS</v>
      </c>
      <c r="P8686">
        <v>10073.77</v>
      </c>
      <c r="S8686" t="str">
        <f>"RECEITAS COM ENTREGAS (303)"</f>
        <v>RECEITAS COM ENTREGAS (303)</v>
      </c>
      <c r="T8686">
        <v>21852</v>
      </c>
      <c r="U8686">
        <v>24311</v>
      </c>
      <c r="V8686" t="s">
        <v>77</v>
      </c>
    </row>
    <row r="8687" spans="1:22">
      <c r="A8687" t="str">
        <f t="shared" si="1617"/>
        <v>04/11/2025</v>
      </c>
      <c r="B8687" t="str">
        <f t="shared" si="1621"/>
        <v>ENTRADA</v>
      </c>
      <c r="C8687" t="str">
        <f t="shared" si="1622"/>
        <v>NFSE</v>
      </c>
      <c r="D8687" t="str">
        <f t="shared" si="1627"/>
        <v>3556</v>
      </c>
      <c r="E8687" t="str">
        <f t="shared" si="1620"/>
        <v>1</v>
      </c>
      <c r="F8687" t="str">
        <f t="shared" si="1616"/>
        <v>COM</v>
      </c>
      <c r="G8687" t="str">
        <f t="shared" si="1628"/>
        <v>FARMÁCIA INDIANA LJ 85 (10128)</v>
      </c>
      <c r="H8687" t="s">
        <v>2462</v>
      </c>
      <c r="I8687" t="str">
        <f t="shared" si="1625"/>
        <v>05/11/2025</v>
      </c>
      <c r="J8687" t="str">
        <f t="shared" si="1626"/>
        <v>24/10/2025</v>
      </c>
      <c r="K8687">
        <v>45965</v>
      </c>
      <c r="N8687">
        <v>303</v>
      </c>
      <c r="O8687" t="s">
        <v>69</v>
      </c>
      <c r="Q8687">
        <v>2692.72</v>
      </c>
      <c r="R8687" t="str">
        <f>"FARMÁCIA INDIANA LJ 119 (10053)"</f>
        <v>FARMÁCIA INDIANA LJ 119 (10053)</v>
      </c>
      <c r="S8687" t="s">
        <v>70</v>
      </c>
      <c r="T8687">
        <v>21852</v>
      </c>
      <c r="U8687">
        <v>24311</v>
      </c>
      <c r="V8687" t="s">
        <v>77</v>
      </c>
    </row>
    <row r="8688" spans="1:22">
      <c r="A8688" t="str">
        <f t="shared" si="1617"/>
        <v>04/11/2025</v>
      </c>
      <c r="B8688" t="str">
        <f t="shared" si="1621"/>
        <v>ENTRADA</v>
      </c>
      <c r="C8688" t="str">
        <f t="shared" si="1622"/>
        <v>NFSE</v>
      </c>
      <c r="D8688" t="str">
        <f t="shared" si="1627"/>
        <v>3556</v>
      </c>
      <c r="E8688" t="str">
        <f t="shared" si="1620"/>
        <v>1</v>
      </c>
      <c r="F8688" t="str">
        <f t="shared" si="1616"/>
        <v>COM</v>
      </c>
      <c r="G8688" t="str">
        <f t="shared" si="1628"/>
        <v>FARMÁCIA INDIANA LJ 85 (10128)</v>
      </c>
      <c r="H8688" t="s">
        <v>2462</v>
      </c>
      <c r="I8688" t="str">
        <f t="shared" si="1625"/>
        <v>05/11/2025</v>
      </c>
      <c r="J8688" t="str">
        <f t="shared" si="1626"/>
        <v>24/10/2025</v>
      </c>
      <c r="K8688">
        <v>45965</v>
      </c>
      <c r="N8688">
        <v>303</v>
      </c>
      <c r="O8688" t="s">
        <v>69</v>
      </c>
      <c r="Q8688">
        <v>720.27</v>
      </c>
      <c r="R8688" t="str">
        <f>"FARMÁCIA INDIANA LJ 163 (10072)"</f>
        <v>FARMÁCIA INDIANA LJ 163 (10072)</v>
      </c>
      <c r="S8688" t="s">
        <v>70</v>
      </c>
      <c r="T8688">
        <v>21852</v>
      </c>
      <c r="U8688">
        <v>24311</v>
      </c>
      <c r="V8688" t="s">
        <v>77</v>
      </c>
    </row>
    <row r="8689" spans="1:22">
      <c r="A8689" t="str">
        <f t="shared" si="1617"/>
        <v>04/11/2025</v>
      </c>
      <c r="B8689" t="str">
        <f t="shared" si="1621"/>
        <v>ENTRADA</v>
      </c>
      <c r="C8689" t="str">
        <f t="shared" si="1622"/>
        <v>NFSE</v>
      </c>
      <c r="D8689" t="str">
        <f t="shared" si="1627"/>
        <v>3556</v>
      </c>
      <c r="E8689" t="str">
        <f t="shared" si="1620"/>
        <v>1</v>
      </c>
      <c r="F8689" t="str">
        <f t="shared" si="1616"/>
        <v>COM</v>
      </c>
      <c r="G8689" t="str">
        <f t="shared" si="1628"/>
        <v>FARMÁCIA INDIANA LJ 85 (10128)</v>
      </c>
      <c r="H8689" t="s">
        <v>2462</v>
      </c>
      <c r="I8689" t="str">
        <f t="shared" si="1625"/>
        <v>05/11/2025</v>
      </c>
      <c r="J8689" t="str">
        <f t="shared" si="1626"/>
        <v>24/10/2025</v>
      </c>
      <c r="K8689">
        <v>45965</v>
      </c>
      <c r="N8689">
        <v>303</v>
      </c>
      <c r="O8689" t="s">
        <v>69</v>
      </c>
      <c r="Q8689">
        <v>1322.69</v>
      </c>
      <c r="R8689" t="str">
        <f>"FARMÁCIA INDIANA LJ 181 (10078)"</f>
        <v>FARMÁCIA INDIANA LJ 181 (10078)</v>
      </c>
      <c r="S8689" t="s">
        <v>70</v>
      </c>
      <c r="T8689">
        <v>21852</v>
      </c>
      <c r="U8689">
        <v>24311</v>
      </c>
      <c r="V8689" t="s">
        <v>77</v>
      </c>
    </row>
    <row r="8690" spans="1:22">
      <c r="A8690" t="str">
        <f t="shared" si="1617"/>
        <v>04/11/2025</v>
      </c>
      <c r="B8690" t="str">
        <f t="shared" si="1621"/>
        <v>ENTRADA</v>
      </c>
      <c r="C8690" t="str">
        <f t="shared" si="1622"/>
        <v>NFSE</v>
      </c>
      <c r="D8690" t="str">
        <f t="shared" si="1627"/>
        <v>3556</v>
      </c>
      <c r="E8690" t="str">
        <f t="shared" si="1620"/>
        <v>1</v>
      </c>
      <c r="F8690" t="str">
        <f t="shared" si="1616"/>
        <v>COM</v>
      </c>
      <c r="G8690" t="str">
        <f t="shared" si="1628"/>
        <v>FARMÁCIA INDIANA LJ 85 (10128)</v>
      </c>
      <c r="H8690" t="s">
        <v>2462</v>
      </c>
      <c r="I8690" t="str">
        <f t="shared" si="1625"/>
        <v>05/11/2025</v>
      </c>
      <c r="J8690" t="str">
        <f t="shared" si="1626"/>
        <v>24/10/2025</v>
      </c>
      <c r="K8690">
        <v>45965</v>
      </c>
      <c r="N8690">
        <v>303</v>
      </c>
      <c r="O8690" t="s">
        <v>69</v>
      </c>
      <c r="Q8690">
        <v>916.71</v>
      </c>
      <c r="R8690" t="str">
        <f>"FARMÁCIA INDIANA LJ 221 (10093)"</f>
        <v>FARMÁCIA INDIANA LJ 221 (10093)</v>
      </c>
      <c r="S8690" t="s">
        <v>70</v>
      </c>
      <c r="T8690">
        <v>21852</v>
      </c>
      <c r="U8690">
        <v>24311</v>
      </c>
      <c r="V8690" t="s">
        <v>77</v>
      </c>
    </row>
    <row r="8691" spans="1:22">
      <c r="A8691" t="str">
        <f t="shared" ref="A8691:A8698" si="1629">("04/11/2025")</f>
        <v>04/11/2025</v>
      </c>
      <c r="B8691" t="str">
        <f t="shared" si="1621"/>
        <v>ENTRADA</v>
      </c>
      <c r="C8691" t="str">
        <f t="shared" si="1622"/>
        <v>NFSE</v>
      </c>
      <c r="D8691" t="str">
        <f t="shared" si="1627"/>
        <v>3556</v>
      </c>
      <c r="E8691" t="str">
        <f t="shared" si="1620"/>
        <v>1</v>
      </c>
      <c r="F8691" t="str">
        <f t="shared" si="1616"/>
        <v>COM</v>
      </c>
      <c r="G8691" t="str">
        <f t="shared" si="1628"/>
        <v>FARMÁCIA INDIANA LJ 85 (10128)</v>
      </c>
      <c r="H8691" t="s">
        <v>2462</v>
      </c>
      <c r="I8691" t="str">
        <f t="shared" si="1625"/>
        <v>05/11/2025</v>
      </c>
      <c r="J8691" t="str">
        <f t="shared" si="1626"/>
        <v>24/10/2025</v>
      </c>
      <c r="K8691">
        <v>45965</v>
      </c>
      <c r="N8691">
        <v>303</v>
      </c>
      <c r="O8691" t="s">
        <v>69</v>
      </c>
      <c r="Q8691">
        <v>1101.06</v>
      </c>
      <c r="R8691" t="str">
        <f>"FARMÁCIA INDIANA LJ 243 (10142)"</f>
        <v>FARMÁCIA INDIANA LJ 243 (10142)</v>
      </c>
      <c r="S8691" t="s">
        <v>70</v>
      </c>
      <c r="T8691">
        <v>21852</v>
      </c>
      <c r="U8691">
        <v>24311</v>
      </c>
      <c r="V8691" t="s">
        <v>77</v>
      </c>
    </row>
    <row r="8692" spans="1:22">
      <c r="A8692" t="str">
        <f t="shared" si="1629"/>
        <v>04/11/2025</v>
      </c>
      <c r="B8692" t="str">
        <f t="shared" si="1621"/>
        <v>ENTRADA</v>
      </c>
      <c r="C8692" t="str">
        <f t="shared" si="1622"/>
        <v>NFSE</v>
      </c>
      <c r="D8692" t="str">
        <f t="shared" si="1627"/>
        <v>3556</v>
      </c>
      <c r="E8692" t="str">
        <f t="shared" si="1620"/>
        <v>1</v>
      </c>
      <c r="F8692" t="str">
        <f t="shared" si="1616"/>
        <v>COM</v>
      </c>
      <c r="G8692" t="str">
        <f t="shared" si="1628"/>
        <v>FARMÁCIA INDIANA LJ 85 (10128)</v>
      </c>
      <c r="H8692" t="s">
        <v>2462</v>
      </c>
      <c r="I8692" t="str">
        <f t="shared" si="1625"/>
        <v>05/11/2025</v>
      </c>
      <c r="J8692" t="str">
        <f t="shared" si="1626"/>
        <v>24/10/2025</v>
      </c>
      <c r="K8692">
        <v>45965</v>
      </c>
      <c r="N8692">
        <v>303</v>
      </c>
      <c r="O8692" t="s">
        <v>69</v>
      </c>
      <c r="Q8692">
        <v>487.57</v>
      </c>
      <c r="R8692" t="str">
        <f>"FARMÁCIA INDIANA LJ 211 (10168)"</f>
        <v>FARMÁCIA INDIANA LJ 211 (10168)</v>
      </c>
      <c r="S8692" t="s">
        <v>70</v>
      </c>
      <c r="T8692">
        <v>21852</v>
      </c>
      <c r="U8692">
        <v>24311</v>
      </c>
      <c r="V8692" t="s">
        <v>77</v>
      </c>
    </row>
    <row r="8693" spans="1:22">
      <c r="A8693" t="str">
        <f t="shared" si="1629"/>
        <v>04/11/2025</v>
      </c>
      <c r="B8693" t="str">
        <f t="shared" si="1621"/>
        <v>ENTRADA</v>
      </c>
      <c r="C8693" t="str">
        <f t="shared" si="1622"/>
        <v>NFSE</v>
      </c>
      <c r="D8693" t="str">
        <f t="shared" si="1627"/>
        <v>3556</v>
      </c>
      <c r="E8693" t="str">
        <f t="shared" si="1620"/>
        <v>1</v>
      </c>
      <c r="F8693" t="str">
        <f t="shared" si="1616"/>
        <v>COM</v>
      </c>
      <c r="G8693" t="str">
        <f t="shared" si="1628"/>
        <v>FARMÁCIA INDIANA LJ 85 (10128)</v>
      </c>
      <c r="H8693" t="s">
        <v>2462</v>
      </c>
      <c r="I8693" t="str">
        <f t="shared" si="1625"/>
        <v>05/11/2025</v>
      </c>
      <c r="J8693" t="str">
        <f t="shared" si="1626"/>
        <v>24/10/2025</v>
      </c>
      <c r="K8693">
        <v>45965</v>
      </c>
      <c r="N8693">
        <v>303</v>
      </c>
      <c r="O8693" t="s">
        <v>69</v>
      </c>
      <c r="Q8693">
        <v>487.57</v>
      </c>
      <c r="R8693" t="str">
        <f>"FARMÁCIA INDIANA LJ 236 (10169)"</f>
        <v>FARMÁCIA INDIANA LJ 236 (10169)</v>
      </c>
      <c r="S8693" t="s">
        <v>70</v>
      </c>
      <c r="T8693">
        <v>21852</v>
      </c>
      <c r="U8693">
        <v>24311</v>
      </c>
      <c r="V8693" t="s">
        <v>77</v>
      </c>
    </row>
    <row r="8694" spans="1:22">
      <c r="A8694" t="str">
        <f t="shared" si="1629"/>
        <v>04/11/2025</v>
      </c>
      <c r="B8694" t="str">
        <f t="shared" si="1621"/>
        <v>ENTRADA</v>
      </c>
      <c r="C8694" t="str">
        <f t="shared" si="1622"/>
        <v>NFSE</v>
      </c>
      <c r="D8694" t="str">
        <f t="shared" si="1627"/>
        <v>3556</v>
      </c>
      <c r="E8694" t="str">
        <f t="shared" si="1620"/>
        <v>1</v>
      </c>
      <c r="F8694" t="str">
        <f t="shared" si="1616"/>
        <v>COM</v>
      </c>
      <c r="G8694" t="str">
        <f t="shared" si="1628"/>
        <v>FARMÁCIA INDIANA LJ 85 (10128)</v>
      </c>
      <c r="H8694" t="s">
        <v>2462</v>
      </c>
      <c r="I8694" t="str">
        <f t="shared" si="1625"/>
        <v>05/11/2025</v>
      </c>
      <c r="J8694" t="str">
        <f t="shared" si="1626"/>
        <v>24/10/2025</v>
      </c>
      <c r="K8694">
        <v>45965</v>
      </c>
      <c r="N8694">
        <v>303</v>
      </c>
      <c r="O8694" t="s">
        <v>69</v>
      </c>
      <c r="Q8694">
        <v>976.15</v>
      </c>
      <c r="R8694" t="str">
        <f>"FARMÁCIA INDIANA LJ 188 (10176)"</f>
        <v>FARMÁCIA INDIANA LJ 188 (10176)</v>
      </c>
      <c r="S8694" t="s">
        <v>70</v>
      </c>
      <c r="T8694">
        <v>21852</v>
      </c>
      <c r="U8694">
        <v>24311</v>
      </c>
      <c r="V8694" t="s">
        <v>77</v>
      </c>
    </row>
    <row r="8695" spans="1:22">
      <c r="A8695" t="str">
        <f t="shared" si="1629"/>
        <v>04/11/2025</v>
      </c>
      <c r="B8695" t="str">
        <f t="shared" si="1621"/>
        <v>ENTRADA</v>
      </c>
      <c r="C8695" t="str">
        <f t="shared" si="1622"/>
        <v>NFSE</v>
      </c>
      <c r="D8695" t="str">
        <f t="shared" si="1627"/>
        <v>3556</v>
      </c>
      <c r="E8695" t="str">
        <f t="shared" si="1620"/>
        <v>1</v>
      </c>
      <c r="F8695" t="str">
        <f t="shared" si="1616"/>
        <v>COM</v>
      </c>
      <c r="G8695" t="str">
        <f t="shared" si="1628"/>
        <v>FARMÁCIA INDIANA LJ 85 (10128)</v>
      </c>
      <c r="H8695" t="s">
        <v>2462</v>
      </c>
      <c r="I8695" t="str">
        <f t="shared" si="1625"/>
        <v>05/11/2025</v>
      </c>
      <c r="J8695" t="str">
        <f t="shared" si="1626"/>
        <v>24/10/2025</v>
      </c>
      <c r="K8695">
        <v>45965</v>
      </c>
      <c r="N8695">
        <v>303</v>
      </c>
      <c r="O8695" t="s">
        <v>69</v>
      </c>
      <c r="Q8695">
        <v>1214.9000000000001</v>
      </c>
      <c r="R8695" t="str">
        <f>"FARMÁCIA INDIANA LJ 273 (10188)"</f>
        <v>FARMÁCIA INDIANA LJ 273 (10188)</v>
      </c>
      <c r="S8695" t="s">
        <v>70</v>
      </c>
      <c r="T8695">
        <v>21852</v>
      </c>
      <c r="U8695">
        <v>24311</v>
      </c>
      <c r="V8695" t="s">
        <v>77</v>
      </c>
    </row>
    <row r="8696" spans="1:22">
      <c r="A8696" t="str">
        <f t="shared" si="1629"/>
        <v>04/11/2025</v>
      </c>
      <c r="B8696" t="str">
        <f t="shared" si="1621"/>
        <v>ENTRADA</v>
      </c>
      <c r="C8696" t="str">
        <f t="shared" si="1622"/>
        <v>NFSE</v>
      </c>
      <c r="D8696" t="str">
        <f t="shared" si="1627"/>
        <v>3556</v>
      </c>
      <c r="E8696" t="str">
        <f t="shared" si="1620"/>
        <v>1</v>
      </c>
      <c r="F8696" t="str">
        <f t="shared" si="1616"/>
        <v>COM</v>
      </c>
      <c r="G8696" t="str">
        <f t="shared" si="1628"/>
        <v>FARMÁCIA INDIANA LJ 85 (10128)</v>
      </c>
      <c r="H8696" t="s">
        <v>2462</v>
      </c>
      <c r="I8696" t="str">
        <f t="shared" si="1625"/>
        <v>05/11/2025</v>
      </c>
      <c r="J8696" t="str">
        <f t="shared" si="1626"/>
        <v>24/10/2025</v>
      </c>
      <c r="K8696">
        <v>45965</v>
      </c>
      <c r="N8696">
        <v>303</v>
      </c>
      <c r="O8696" t="s">
        <v>69</v>
      </c>
      <c r="Q8696">
        <v>154.13</v>
      </c>
      <c r="R8696" t="str">
        <f>"FARMÁCIA INDIANA LJ 235 (10190)"</f>
        <v>FARMÁCIA INDIANA LJ 235 (10190)</v>
      </c>
      <c r="S8696" t="s">
        <v>70</v>
      </c>
      <c r="T8696">
        <v>21852</v>
      </c>
      <c r="U8696">
        <v>24311</v>
      </c>
      <c r="V8696" t="s">
        <v>77</v>
      </c>
    </row>
    <row r="8697" spans="1:22">
      <c r="A8697" t="str">
        <f t="shared" si="1629"/>
        <v>04/11/2025</v>
      </c>
      <c r="B8697" t="str">
        <f t="shared" si="1621"/>
        <v>ENTRADA</v>
      </c>
      <c r="C8697" t="str">
        <f t="shared" si="1622"/>
        <v>NFSE</v>
      </c>
      <c r="D8697" t="str">
        <f>"3539"</f>
        <v>3539</v>
      </c>
      <c r="E8697" t="str">
        <f t="shared" si="1620"/>
        <v>1</v>
      </c>
      <c r="F8697" t="str">
        <f t="shared" si="1616"/>
        <v>COM</v>
      </c>
      <c r="G8697" t="str">
        <f>"PAGMENOS - LJ 608 (10135)"</f>
        <v>PAGMENOS - LJ 608 (10135)</v>
      </c>
      <c r="H8697" t="str">
        <f>"Serv.Prest. 13/10/2025 a 19/10/2025 - RPS: 1415 - NFSe: 3539"</f>
        <v>Serv.Prest. 13/10/2025 a 19/10/2025 - RPS: 1415 - NFSe: 3539</v>
      </c>
      <c r="I8697" t="str">
        <f>("31/10/2025")</f>
        <v>31/10/2025</v>
      </c>
      <c r="J8697" t="str">
        <f>("21/10/2025")</f>
        <v>21/10/2025</v>
      </c>
      <c r="K8697" t="str">
        <f>("04/11/2025")</f>
        <v>04/11/2025</v>
      </c>
      <c r="L8697">
        <v>1922.28</v>
      </c>
      <c r="M8697">
        <v>1922.28</v>
      </c>
      <c r="N8697">
        <v>303</v>
      </c>
      <c r="O8697" t="str">
        <f>"RECEITAS COM ENTREGAS"</f>
        <v>RECEITAS COM ENTREGAS</v>
      </c>
      <c r="P8697">
        <v>1922.28</v>
      </c>
      <c r="S8697" t="str">
        <f>"RECEITAS COM ENTREGAS (303)"</f>
        <v>RECEITAS COM ENTREGAS (303)</v>
      </c>
      <c r="T8697">
        <v>22791</v>
      </c>
      <c r="U8697">
        <v>23948</v>
      </c>
      <c r="V8697" t="s">
        <v>22</v>
      </c>
    </row>
    <row r="8698" spans="1:22">
      <c r="A8698" t="str">
        <f t="shared" si="1629"/>
        <v>04/11/2025</v>
      </c>
      <c r="B8698" t="str">
        <f t="shared" si="1621"/>
        <v>ENTRADA</v>
      </c>
      <c r="C8698" t="str">
        <f t="shared" si="1622"/>
        <v>NFSE</v>
      </c>
      <c r="D8698" t="str">
        <f>"3539"</f>
        <v>3539</v>
      </c>
      <c r="E8698" t="str">
        <f t="shared" si="1620"/>
        <v>1</v>
      </c>
      <c r="F8698" t="str">
        <f t="shared" si="1616"/>
        <v>COM</v>
      </c>
      <c r="G8698" t="str">
        <f>"PAGMENOS - LJ 608 (10135)"</f>
        <v>PAGMENOS - LJ 608 (10135)</v>
      </c>
      <c r="H8698" t="s">
        <v>2463</v>
      </c>
      <c r="I8698" t="str">
        <f>("31/10/2025")</f>
        <v>31/10/2025</v>
      </c>
      <c r="J8698" t="str">
        <f>("21/10/2025")</f>
        <v>21/10/2025</v>
      </c>
      <c r="K8698">
        <v>45965</v>
      </c>
      <c r="N8698">
        <v>303</v>
      </c>
      <c r="O8698" t="s">
        <v>69</v>
      </c>
      <c r="Q8698">
        <v>1922.28</v>
      </c>
      <c r="R8698" t="str">
        <f>"PAGMENOS - LJ 608 (10135)"</f>
        <v>PAGMENOS - LJ 608 (10135)</v>
      </c>
      <c r="S8698" t="s">
        <v>70</v>
      </c>
      <c r="T8698">
        <v>22791</v>
      </c>
      <c r="U8698">
        <v>23948</v>
      </c>
      <c r="V8698" t="s">
        <v>22</v>
      </c>
    </row>
    <row r="8699" spans="1:22">
      <c r="A8699" t="str">
        <f t="shared" ref="A8699:A8730" si="1630">("05/11/2025")</f>
        <v>05/11/2025</v>
      </c>
      <c r="B8699" t="str">
        <f>"SAÍDA"</f>
        <v>SAÍDA</v>
      </c>
      <c r="C8699" t="str">
        <f>"PIX"</f>
        <v>PIX</v>
      </c>
      <c r="D8699" t="str">
        <f>"24707"</f>
        <v>24707</v>
      </c>
      <c r="E8699" t="str">
        <f t="shared" si="1620"/>
        <v>1</v>
      </c>
      <c r="F8699" t="str">
        <f t="shared" si="1616"/>
        <v>COM</v>
      </c>
      <c r="G8699" t="str">
        <f>"GILSON OLIVEIRA CAMPINHO JUNIOR (132)"</f>
        <v>GILSON OLIVEIRA CAMPINHO JUNIOR (132)</v>
      </c>
      <c r="H8699" t="str">
        <f>"Serv.Prest. 24/10/2025 a 02/11/2025 - PIX: CELULAR - CHAVE: (73) 988381077"</f>
        <v>Serv.Prest. 24/10/2025 a 02/11/2025 - PIX: CELULAR - CHAVE: (73) 988381077</v>
      </c>
      <c r="I8699" t="str">
        <f>("13/11/2025")</f>
        <v>13/11/2025</v>
      </c>
      <c r="J8699" t="str">
        <f>("04/11/2025")</f>
        <v>04/11/2025</v>
      </c>
      <c r="K8699" t="str">
        <f>("05/11/2025")</f>
        <v>05/11/2025</v>
      </c>
      <c r="L8699">
        <v>1152</v>
      </c>
      <c r="M8699">
        <v>1152</v>
      </c>
      <c r="N8699">
        <v>109</v>
      </c>
      <c r="O8699" t="str">
        <f>"PAGAMENTO DE ENTREGADORES"</f>
        <v>PAGAMENTO DE ENTREGADORES</v>
      </c>
      <c r="P8699">
        <v>1152</v>
      </c>
      <c r="S8699" t="str">
        <f>"BANCO CORA (102)"</f>
        <v>BANCO CORA (102)</v>
      </c>
      <c r="T8699">
        <v>20440</v>
      </c>
      <c r="U8699">
        <v>24707</v>
      </c>
      <c r="V8699" t="s">
        <v>22</v>
      </c>
    </row>
    <row r="8700" spans="1:22">
      <c r="A8700" t="str">
        <f t="shared" si="1630"/>
        <v>05/11/2025</v>
      </c>
      <c r="B8700" t="str">
        <f>"SAÍDA"</f>
        <v>SAÍDA</v>
      </c>
      <c r="C8700" t="str">
        <f>"PIX"</f>
        <v>PIX</v>
      </c>
      <c r="D8700" t="str">
        <f>"24707"</f>
        <v>24707</v>
      </c>
      <c r="E8700" t="str">
        <f t="shared" si="1620"/>
        <v>1</v>
      </c>
      <c r="F8700" t="str">
        <f t="shared" si="1616"/>
        <v>COM</v>
      </c>
      <c r="G8700" t="str">
        <f>"GILSON OLIVEIRA CAMPINHO JUNIOR (132)"</f>
        <v>GILSON OLIVEIRA CAMPINHO JUNIOR (132)</v>
      </c>
      <c r="H8700" t="s">
        <v>2464</v>
      </c>
      <c r="I8700" t="str">
        <f>("13/11/2025")</f>
        <v>13/11/2025</v>
      </c>
      <c r="J8700" t="str">
        <f>("04/11/2025")</f>
        <v>04/11/2025</v>
      </c>
      <c r="K8700">
        <v>45966</v>
      </c>
      <c r="N8700">
        <v>109</v>
      </c>
      <c r="O8700" t="s">
        <v>24</v>
      </c>
      <c r="Q8700">
        <v>1152</v>
      </c>
      <c r="R8700" t="str">
        <f>"FARMÁCIA INDIANA LJ 91 (10037)"</f>
        <v>FARMÁCIA INDIANA LJ 91 (10037)</v>
      </c>
      <c r="S8700" t="s">
        <v>22</v>
      </c>
      <c r="T8700">
        <v>20440</v>
      </c>
      <c r="U8700">
        <v>24707</v>
      </c>
      <c r="V8700" t="s">
        <v>22</v>
      </c>
    </row>
    <row r="8701" spans="1:22">
      <c r="A8701" t="str">
        <f t="shared" si="1630"/>
        <v>05/11/2025</v>
      </c>
      <c r="B8701" t="str">
        <f>"SAÍDA"</f>
        <v>SAÍDA</v>
      </c>
      <c r="C8701" t="str">
        <f>"PIX"</f>
        <v>PIX</v>
      </c>
      <c r="D8701" t="str">
        <f>"24645"</f>
        <v>24645</v>
      </c>
      <c r="E8701" t="str">
        <f t="shared" si="1620"/>
        <v>1</v>
      </c>
      <c r="F8701" t="str">
        <f t="shared" si="1616"/>
        <v>COM</v>
      </c>
      <c r="G8701" t="str">
        <f t="shared" ref="G8701:G8708" si="1631">"ALLAN SILVA DAMACENA (790)"</f>
        <v>ALLAN SILVA DAMACENA (790)</v>
      </c>
      <c r="H8701" t="str">
        <f>"Serv.Prest. 27/10/2025 a 02/11/2025 - PIX: CELULAR - CHAVE: (19) 98944-4977"</f>
        <v>Serv.Prest. 27/10/2025 a 02/11/2025 - PIX: CELULAR - CHAVE: (19) 98944-4977</v>
      </c>
      <c r="I8701" t="str">
        <f t="shared" ref="I8701:I8720" si="1632">("06/11/2025")</f>
        <v>06/11/2025</v>
      </c>
      <c r="J8701" t="str">
        <f>("03/11/2025")</f>
        <v>03/11/2025</v>
      </c>
      <c r="K8701" t="str">
        <f>("05/11/2025")</f>
        <v>05/11/2025</v>
      </c>
      <c r="L8701">
        <v>182</v>
      </c>
      <c r="M8701">
        <v>182</v>
      </c>
      <c r="N8701">
        <v>109</v>
      </c>
      <c r="O8701" t="str">
        <f>"PAGAMENTO DE ENTREGADORES"</f>
        <v>PAGAMENTO DE ENTREGADORES</v>
      </c>
      <c r="P8701">
        <v>182</v>
      </c>
      <c r="S8701" t="str">
        <f>"CAIXA MOVIMENTAÇÃO OPERACIONAL (132)"</f>
        <v>CAIXA MOVIMENTAÇÃO OPERACIONAL (132)</v>
      </c>
      <c r="T8701">
        <v>20452</v>
      </c>
      <c r="U8701">
        <v>24925</v>
      </c>
      <c r="V8701" t="s">
        <v>48</v>
      </c>
    </row>
    <row r="8702" spans="1:22">
      <c r="A8702" t="str">
        <f t="shared" si="1630"/>
        <v>05/11/2025</v>
      </c>
      <c r="B8702" t="str">
        <f>"SAÍDA"</f>
        <v>SAÍDA</v>
      </c>
      <c r="C8702" t="str">
        <f>"PIX"</f>
        <v>PIX</v>
      </c>
      <c r="D8702" t="str">
        <f>"24645"</f>
        <v>24645</v>
      </c>
      <c r="E8702" t="str">
        <f t="shared" si="1620"/>
        <v>1</v>
      </c>
      <c r="F8702" t="str">
        <f t="shared" si="1616"/>
        <v>COM</v>
      </c>
      <c r="G8702" t="str">
        <f t="shared" si="1631"/>
        <v>ALLAN SILVA DAMACENA (790)</v>
      </c>
      <c r="H8702" t="s">
        <v>2465</v>
      </c>
      <c r="I8702" t="str">
        <f t="shared" si="1632"/>
        <v>06/11/2025</v>
      </c>
      <c r="J8702" t="str">
        <f>("03/11/2025")</f>
        <v>03/11/2025</v>
      </c>
      <c r="K8702">
        <v>45966</v>
      </c>
      <c r="N8702">
        <v>109</v>
      </c>
      <c r="O8702" t="s">
        <v>24</v>
      </c>
      <c r="Q8702">
        <v>182</v>
      </c>
      <c r="R8702" t="str">
        <f>"DROGARIA MORENO LTDA (10171)"</f>
        <v>DROGARIA MORENO LTDA (10171)</v>
      </c>
      <c r="S8702" t="s">
        <v>48</v>
      </c>
      <c r="T8702">
        <v>20452</v>
      </c>
      <c r="U8702">
        <v>24925</v>
      </c>
      <c r="V8702" t="s">
        <v>48</v>
      </c>
    </row>
    <row r="8703" spans="1:22">
      <c r="A8703" t="str">
        <f t="shared" si="1630"/>
        <v>05/11/2025</v>
      </c>
      <c r="B8703" t="str">
        <f>"ENTRADA"</f>
        <v>ENTRADA</v>
      </c>
      <c r="C8703" t="str">
        <f>"DINHEIRO"</f>
        <v>DINHEIRO</v>
      </c>
      <c r="D8703" t="str">
        <f>"061120"</f>
        <v>061120</v>
      </c>
      <c r="E8703" t="str">
        <f>"25"</f>
        <v>25</v>
      </c>
      <c r="F8703" t="str">
        <f t="shared" si="1616"/>
        <v>COM</v>
      </c>
      <c r="G8703" t="str">
        <f t="shared" si="1631"/>
        <v>ALLAN SILVA DAMACENA (790)</v>
      </c>
      <c r="H8703" t="str">
        <f>"REEMBOLSO ADIANTAMENTO"</f>
        <v>REEMBOLSO ADIANTAMENTO</v>
      </c>
      <c r="I8703" t="str">
        <f t="shared" si="1632"/>
        <v>06/11/2025</v>
      </c>
      <c r="J8703" t="str">
        <f>("30/10/2025")</f>
        <v>30/10/2025</v>
      </c>
      <c r="K8703" t="str">
        <f>("05/11/2025")</f>
        <v>05/11/2025</v>
      </c>
      <c r="L8703">
        <v>182</v>
      </c>
      <c r="M8703">
        <v>182</v>
      </c>
      <c r="N8703">
        <v>129</v>
      </c>
      <c r="O8703" t="str">
        <f>"ENTRADA DE REEMBOLSO ADIANTAMENTO"</f>
        <v>ENTRADA DE REEMBOLSO ADIANTAMENTO</v>
      </c>
      <c r="P8703">
        <v>182</v>
      </c>
      <c r="S8703" t="str">
        <f>"ENTRADA DE REEMBOLSO ADIANTAMENTO (129)"</f>
        <v>ENTRADA DE REEMBOLSO ADIANTAMENTO (129)</v>
      </c>
      <c r="T8703">
        <v>20453</v>
      </c>
      <c r="U8703">
        <v>24486</v>
      </c>
      <c r="V8703" t="s">
        <v>48</v>
      </c>
    </row>
    <row r="8704" spans="1:22">
      <c r="A8704" t="str">
        <f t="shared" si="1630"/>
        <v>05/11/2025</v>
      </c>
      <c r="B8704" t="str">
        <f>"ENTRADA"</f>
        <v>ENTRADA</v>
      </c>
      <c r="C8704" t="str">
        <f>"DINHEIRO"</f>
        <v>DINHEIRO</v>
      </c>
      <c r="D8704" t="str">
        <f>"061120"</f>
        <v>061120</v>
      </c>
      <c r="E8704" t="str">
        <f>"25"</f>
        <v>25</v>
      </c>
      <c r="F8704" t="str">
        <f t="shared" si="1616"/>
        <v>COM</v>
      </c>
      <c r="G8704" t="str">
        <f t="shared" si="1631"/>
        <v>ALLAN SILVA DAMACENA (790)</v>
      </c>
      <c r="H8704" t="s">
        <v>57</v>
      </c>
      <c r="I8704" t="str">
        <f t="shared" si="1632"/>
        <v>06/11/2025</v>
      </c>
      <c r="J8704" t="str">
        <f>("30/10/2025")</f>
        <v>30/10/2025</v>
      </c>
      <c r="K8704">
        <v>45966</v>
      </c>
      <c r="N8704">
        <v>129</v>
      </c>
      <c r="O8704" t="s">
        <v>58</v>
      </c>
      <c r="Q8704">
        <v>182</v>
      </c>
      <c r="R8704" t="str">
        <f>"ALLAN SILVA DAMACENA (790)"</f>
        <v>ALLAN SILVA DAMACENA (790)</v>
      </c>
      <c r="S8704" t="s">
        <v>59</v>
      </c>
      <c r="T8704">
        <v>20453</v>
      </c>
      <c r="U8704">
        <v>24486</v>
      </c>
      <c r="V8704" t="s">
        <v>48</v>
      </c>
    </row>
    <row r="8705" spans="1:22">
      <c r="A8705" t="str">
        <f t="shared" si="1630"/>
        <v>05/11/2025</v>
      </c>
      <c r="B8705" t="str">
        <f>"SAÍDA"</f>
        <v>SAÍDA</v>
      </c>
      <c r="C8705" t="str">
        <f>"PIX"</f>
        <v>PIX</v>
      </c>
      <c r="D8705" t="str">
        <f>"24645"</f>
        <v>24645</v>
      </c>
      <c r="E8705" t="str">
        <f>"1"</f>
        <v>1</v>
      </c>
      <c r="F8705" t="str">
        <f t="shared" si="1616"/>
        <v>COM</v>
      </c>
      <c r="G8705" t="str">
        <f t="shared" si="1631"/>
        <v>ALLAN SILVA DAMACENA (790)</v>
      </c>
      <c r="H8705" t="str">
        <f>"Serv.Prest. 27/10/2025 a 02/11/2025 - PIX: CELULAR - CHAVE: (19) 98944-4977"</f>
        <v>Serv.Prest. 27/10/2025 a 02/11/2025 - PIX: CELULAR - CHAVE: (19) 98944-4977</v>
      </c>
      <c r="I8705" t="str">
        <f t="shared" si="1632"/>
        <v>06/11/2025</v>
      </c>
      <c r="J8705" t="str">
        <f>("03/11/2025")</f>
        <v>03/11/2025</v>
      </c>
      <c r="K8705" t="str">
        <f>("05/11/2025")</f>
        <v>05/11/2025</v>
      </c>
      <c r="L8705">
        <v>100</v>
      </c>
      <c r="M8705">
        <v>100</v>
      </c>
      <c r="N8705">
        <v>109</v>
      </c>
      <c r="O8705" t="str">
        <f>"PAGAMENTO DE ENTREGADORES"</f>
        <v>PAGAMENTO DE ENTREGADORES</v>
      </c>
      <c r="P8705">
        <v>100</v>
      </c>
      <c r="S8705" t="str">
        <f>"CAIXA MOVIMENTAÇÃO OPERACIONAL (132)"</f>
        <v>CAIXA MOVIMENTAÇÃO OPERACIONAL (132)</v>
      </c>
      <c r="T8705">
        <v>20454</v>
      </c>
      <c r="U8705">
        <v>24926</v>
      </c>
      <c r="V8705" t="s">
        <v>48</v>
      </c>
    </row>
    <row r="8706" spans="1:22">
      <c r="A8706" t="str">
        <f t="shared" si="1630"/>
        <v>05/11/2025</v>
      </c>
      <c r="B8706" t="str">
        <f>"SAÍDA"</f>
        <v>SAÍDA</v>
      </c>
      <c r="C8706" t="str">
        <f>"PIX"</f>
        <v>PIX</v>
      </c>
      <c r="D8706" t="str">
        <f>"24645"</f>
        <v>24645</v>
      </c>
      <c r="E8706" t="str">
        <f>"1"</f>
        <v>1</v>
      </c>
      <c r="F8706" t="str">
        <f t="shared" si="1616"/>
        <v>COM</v>
      </c>
      <c r="G8706" t="str">
        <f t="shared" si="1631"/>
        <v>ALLAN SILVA DAMACENA (790)</v>
      </c>
      <c r="H8706" t="s">
        <v>2465</v>
      </c>
      <c r="I8706" t="str">
        <f t="shared" si="1632"/>
        <v>06/11/2025</v>
      </c>
      <c r="J8706" t="str">
        <f>("03/11/2025")</f>
        <v>03/11/2025</v>
      </c>
      <c r="K8706">
        <v>45966</v>
      </c>
      <c r="N8706">
        <v>109</v>
      </c>
      <c r="O8706" t="s">
        <v>24</v>
      </c>
      <c r="Q8706">
        <v>100</v>
      </c>
      <c r="R8706" t="str">
        <f>"DROGARIA MORENO LTDA (10171)"</f>
        <v>DROGARIA MORENO LTDA (10171)</v>
      </c>
      <c r="S8706" t="s">
        <v>48</v>
      </c>
      <c r="T8706">
        <v>20454</v>
      </c>
      <c r="U8706">
        <v>24926</v>
      </c>
      <c r="V8706" t="s">
        <v>48</v>
      </c>
    </row>
    <row r="8707" spans="1:22">
      <c r="A8707" t="str">
        <f t="shared" si="1630"/>
        <v>05/11/2025</v>
      </c>
      <c r="B8707" t="str">
        <f>"ENTRADA"</f>
        <v>ENTRADA</v>
      </c>
      <c r="C8707" t="str">
        <f>"DINHEIRO"</f>
        <v>DINHEIRO</v>
      </c>
      <c r="D8707" t="str">
        <f>"0611"</f>
        <v>0611</v>
      </c>
      <c r="E8707" t="str">
        <f>"25"</f>
        <v>25</v>
      </c>
      <c r="F8707" t="str">
        <f t="shared" si="1616"/>
        <v>COM</v>
      </c>
      <c r="G8707" t="str">
        <f t="shared" si="1631"/>
        <v>ALLAN SILVA DAMACENA (790)</v>
      </c>
      <c r="H8707" t="str">
        <f>"REEMBOLSO ADIANTAMENTO"</f>
        <v>REEMBOLSO ADIANTAMENTO</v>
      </c>
      <c r="I8707" t="str">
        <f t="shared" si="1632"/>
        <v>06/11/2025</v>
      </c>
      <c r="J8707" t="str">
        <f>("11/09/2025")</f>
        <v>11/09/2025</v>
      </c>
      <c r="K8707" t="str">
        <f>("05/11/2025")</f>
        <v>05/11/2025</v>
      </c>
      <c r="L8707">
        <v>100</v>
      </c>
      <c r="M8707">
        <v>100</v>
      </c>
      <c r="N8707">
        <v>129</v>
      </c>
      <c r="O8707" t="str">
        <f>"ENTRADA DE REEMBOLSO ADIANTAMENTO"</f>
        <v>ENTRADA DE REEMBOLSO ADIANTAMENTO</v>
      </c>
      <c r="P8707">
        <v>100</v>
      </c>
      <c r="S8707" t="str">
        <f>"ENTRADA DE REEMBOLSO ADIANTAMENTO (129)"</f>
        <v>ENTRADA DE REEMBOLSO ADIANTAMENTO (129)</v>
      </c>
      <c r="T8707">
        <v>20455</v>
      </c>
      <c r="U8707">
        <v>21713</v>
      </c>
      <c r="V8707" t="s">
        <v>48</v>
      </c>
    </row>
    <row r="8708" spans="1:22">
      <c r="A8708" t="str">
        <f t="shared" si="1630"/>
        <v>05/11/2025</v>
      </c>
      <c r="B8708" t="str">
        <f>"ENTRADA"</f>
        <v>ENTRADA</v>
      </c>
      <c r="C8708" t="str">
        <f>"DINHEIRO"</f>
        <v>DINHEIRO</v>
      </c>
      <c r="D8708" t="str">
        <f>"0611"</f>
        <v>0611</v>
      </c>
      <c r="E8708" t="str">
        <f>"25"</f>
        <v>25</v>
      </c>
      <c r="F8708" t="str">
        <f t="shared" ref="F8708:F8771" si="1633">"COM"</f>
        <v>COM</v>
      </c>
      <c r="G8708" t="str">
        <f t="shared" si="1631"/>
        <v>ALLAN SILVA DAMACENA (790)</v>
      </c>
      <c r="H8708" t="s">
        <v>57</v>
      </c>
      <c r="I8708" t="str">
        <f t="shared" si="1632"/>
        <v>06/11/2025</v>
      </c>
      <c r="J8708" t="str">
        <f>("11/09/2025")</f>
        <v>11/09/2025</v>
      </c>
      <c r="K8708">
        <v>45966</v>
      </c>
      <c r="N8708">
        <v>129</v>
      </c>
      <c r="O8708" t="s">
        <v>58</v>
      </c>
      <c r="Q8708">
        <v>100</v>
      </c>
      <c r="R8708" t="str">
        <f>"ALLAN SILVA DAMACENA (790)"</f>
        <v>ALLAN SILVA DAMACENA (790)</v>
      </c>
      <c r="S8708" t="s">
        <v>59</v>
      </c>
      <c r="T8708">
        <v>20455</v>
      </c>
      <c r="U8708">
        <v>21713</v>
      </c>
      <c r="V8708" t="s">
        <v>48</v>
      </c>
    </row>
    <row r="8709" spans="1:22">
      <c r="A8709" t="str">
        <f t="shared" si="1630"/>
        <v>05/11/2025</v>
      </c>
      <c r="B8709" t="str">
        <f>"SAÍDA"</f>
        <v>SAÍDA</v>
      </c>
      <c r="C8709" t="str">
        <f>"PIX"</f>
        <v>PIX</v>
      </c>
      <c r="D8709" t="str">
        <f>"24643"</f>
        <v>24643</v>
      </c>
      <c r="E8709" t="str">
        <f>"1"</f>
        <v>1</v>
      </c>
      <c r="F8709" t="str">
        <f t="shared" si="1633"/>
        <v>COM</v>
      </c>
      <c r="G8709" t="str">
        <f t="shared" ref="G8709:G8720" si="1634">"JAMERSON SOUZA LOPES (749)"</f>
        <v>JAMERSON SOUZA LOPES (749)</v>
      </c>
      <c r="H8709" t="str">
        <f>"Serv.Prest. 27/10/2025 a 02/11/2025 - PIX: CPF - CHAVE: 423.098.018-36"</f>
        <v>Serv.Prest. 27/10/2025 a 02/11/2025 - PIX: CPF - CHAVE: 423.098.018-36</v>
      </c>
      <c r="I8709" t="str">
        <f t="shared" si="1632"/>
        <v>06/11/2025</v>
      </c>
      <c r="J8709" t="str">
        <f>("03/11/2025")</f>
        <v>03/11/2025</v>
      </c>
      <c r="K8709" t="str">
        <f>("05/11/2025")</f>
        <v>05/11/2025</v>
      </c>
      <c r="L8709">
        <v>136</v>
      </c>
      <c r="M8709">
        <v>130</v>
      </c>
      <c r="N8709">
        <v>109</v>
      </c>
      <c r="O8709" t="str">
        <f>"PAGAMENTO DE ENTREGADORES"</f>
        <v>PAGAMENTO DE ENTREGADORES</v>
      </c>
      <c r="P8709">
        <v>130</v>
      </c>
      <c r="S8709" t="str">
        <f>"CAIXA MOVIMENTAÇÃO OPERACIONAL (132)"</f>
        <v>CAIXA MOVIMENTAÇÃO OPERACIONAL (132)</v>
      </c>
      <c r="T8709">
        <v>20457</v>
      </c>
      <c r="U8709">
        <v>24643</v>
      </c>
      <c r="V8709" t="s">
        <v>48</v>
      </c>
    </row>
    <row r="8710" spans="1:22">
      <c r="A8710" t="str">
        <f t="shared" si="1630"/>
        <v>05/11/2025</v>
      </c>
      <c r="B8710" t="str">
        <f>"SAÍDA"</f>
        <v>SAÍDA</v>
      </c>
      <c r="C8710" t="str">
        <f>"PIX"</f>
        <v>PIX</v>
      </c>
      <c r="D8710" t="str">
        <f>"24643"</f>
        <v>24643</v>
      </c>
      <c r="E8710" t="str">
        <f>"1"</f>
        <v>1</v>
      </c>
      <c r="F8710" t="str">
        <f t="shared" si="1633"/>
        <v>COM</v>
      </c>
      <c r="G8710" t="str">
        <f t="shared" si="1634"/>
        <v>JAMERSON SOUZA LOPES (749)</v>
      </c>
      <c r="H8710" t="s">
        <v>2460</v>
      </c>
      <c r="I8710" t="str">
        <f t="shared" si="1632"/>
        <v>06/11/2025</v>
      </c>
      <c r="J8710" t="str">
        <f>("03/11/2025")</f>
        <v>03/11/2025</v>
      </c>
      <c r="K8710">
        <v>45966</v>
      </c>
      <c r="N8710">
        <v>109</v>
      </c>
      <c r="O8710" t="s">
        <v>24</v>
      </c>
      <c r="Q8710">
        <v>130</v>
      </c>
      <c r="R8710" t="str">
        <f>"DROGARIA MEDIC CENTER LTDA (10172)"</f>
        <v>DROGARIA MEDIC CENTER LTDA (10172)</v>
      </c>
      <c r="S8710" t="s">
        <v>48</v>
      </c>
      <c r="T8710">
        <v>20457</v>
      </c>
      <c r="U8710">
        <v>24643</v>
      </c>
      <c r="V8710" t="s">
        <v>48</v>
      </c>
    </row>
    <row r="8711" spans="1:22">
      <c r="A8711" t="str">
        <f t="shared" si="1630"/>
        <v>05/11/2025</v>
      </c>
      <c r="B8711" t="str">
        <f>"ENTRADA"</f>
        <v>ENTRADA</v>
      </c>
      <c r="C8711" t="str">
        <f>"DINHEIRO"</f>
        <v>DINHEIRO</v>
      </c>
      <c r="D8711" t="str">
        <f>"061120"</f>
        <v>061120</v>
      </c>
      <c r="E8711" t="str">
        <f>"25"</f>
        <v>25</v>
      </c>
      <c r="F8711" t="str">
        <f t="shared" si="1633"/>
        <v>COM</v>
      </c>
      <c r="G8711" t="str">
        <f t="shared" si="1634"/>
        <v>JAMERSON SOUZA LOPES (749)</v>
      </c>
      <c r="H8711" t="str">
        <f>"REEMBOLSO ADIANTAMENTO DIARIA FELIPE GEBRAN 26/10/2025"</f>
        <v>REEMBOLSO ADIANTAMENTO DIARIA FELIPE GEBRAN 26/10/2025</v>
      </c>
      <c r="I8711" t="str">
        <f t="shared" si="1632"/>
        <v>06/11/2025</v>
      </c>
      <c r="J8711" t="str">
        <f>("28/10/2025")</f>
        <v>28/10/2025</v>
      </c>
      <c r="K8711" t="str">
        <f>("05/11/2025")</f>
        <v>05/11/2025</v>
      </c>
      <c r="L8711">
        <v>130</v>
      </c>
      <c r="M8711">
        <v>130</v>
      </c>
      <c r="N8711">
        <v>129</v>
      </c>
      <c r="O8711" t="str">
        <f>"ENTRADA DE REEMBOLSO ADIANTAMENTO"</f>
        <v>ENTRADA DE REEMBOLSO ADIANTAMENTO</v>
      </c>
      <c r="P8711">
        <v>130</v>
      </c>
      <c r="S8711" t="str">
        <f>"ENTRADA DE REEMBOLSO ADIANTAMENTO (129)"</f>
        <v>ENTRADA DE REEMBOLSO ADIANTAMENTO (129)</v>
      </c>
      <c r="T8711">
        <v>20458</v>
      </c>
      <c r="U8711">
        <v>24489</v>
      </c>
      <c r="V8711" t="s">
        <v>48</v>
      </c>
    </row>
    <row r="8712" spans="1:22">
      <c r="A8712" t="str">
        <f t="shared" si="1630"/>
        <v>05/11/2025</v>
      </c>
      <c r="B8712" t="str">
        <f>"ENTRADA"</f>
        <v>ENTRADA</v>
      </c>
      <c r="C8712" t="str">
        <f>"DINHEIRO"</f>
        <v>DINHEIRO</v>
      </c>
      <c r="D8712" t="str">
        <f>"061120"</f>
        <v>061120</v>
      </c>
      <c r="E8712" t="str">
        <f>"25"</f>
        <v>25</v>
      </c>
      <c r="F8712" t="str">
        <f t="shared" si="1633"/>
        <v>COM</v>
      </c>
      <c r="G8712" t="str">
        <f t="shared" si="1634"/>
        <v>JAMERSON SOUZA LOPES (749)</v>
      </c>
      <c r="H8712" t="s">
        <v>2466</v>
      </c>
      <c r="I8712" t="str">
        <f t="shared" si="1632"/>
        <v>06/11/2025</v>
      </c>
      <c r="J8712" t="str">
        <f>("28/10/2025")</f>
        <v>28/10/2025</v>
      </c>
      <c r="K8712">
        <v>45966</v>
      </c>
      <c r="N8712">
        <v>129</v>
      </c>
      <c r="O8712" t="s">
        <v>58</v>
      </c>
      <c r="Q8712">
        <v>130</v>
      </c>
      <c r="R8712" t="str">
        <f>"JAMERSON SOUZA LOPES (749)"</f>
        <v>JAMERSON SOUZA LOPES (749)</v>
      </c>
      <c r="S8712" t="s">
        <v>59</v>
      </c>
      <c r="T8712">
        <v>20458</v>
      </c>
      <c r="U8712">
        <v>24489</v>
      </c>
      <c r="V8712" t="s">
        <v>48</v>
      </c>
    </row>
    <row r="8713" spans="1:22">
      <c r="A8713" t="str">
        <f t="shared" si="1630"/>
        <v>05/11/2025</v>
      </c>
      <c r="B8713" t="str">
        <f>"ENTRADA"</f>
        <v>ENTRADA</v>
      </c>
      <c r="C8713" t="str">
        <f>"DINHEIRO"</f>
        <v>DINHEIRO</v>
      </c>
      <c r="D8713" t="str">
        <f>"061120"</f>
        <v>061120</v>
      </c>
      <c r="E8713" t="str">
        <f>"26"</f>
        <v>26</v>
      </c>
      <c r="F8713" t="str">
        <f t="shared" si="1633"/>
        <v>COM</v>
      </c>
      <c r="G8713" t="str">
        <f t="shared" si="1634"/>
        <v>JAMERSON SOUZA LOPES (749)</v>
      </c>
      <c r="H8713" t="str">
        <f>"REEMBOLSO ADIANTAMENTO DIARIA DARIO TAVARES 28/10/2025"</f>
        <v>REEMBOLSO ADIANTAMENTO DIARIA DARIO TAVARES 28/10/2025</v>
      </c>
      <c r="I8713" t="str">
        <f t="shared" si="1632"/>
        <v>06/11/2025</v>
      </c>
      <c r="J8713" t="str">
        <f>("28/10/2025")</f>
        <v>28/10/2025</v>
      </c>
      <c r="K8713" t="str">
        <f>("05/11/2025")</f>
        <v>05/11/2025</v>
      </c>
      <c r="L8713">
        <v>130</v>
      </c>
      <c r="M8713">
        <v>130</v>
      </c>
      <c r="N8713">
        <v>129</v>
      </c>
      <c r="O8713" t="str">
        <f>"ENTRADA DE REEMBOLSO ADIANTAMENTO"</f>
        <v>ENTRADA DE REEMBOLSO ADIANTAMENTO</v>
      </c>
      <c r="P8713">
        <v>130</v>
      </c>
      <c r="S8713" t="str">
        <f>"ENTRADA DE REEMBOLSO ADIANTAMENTO (129)"</f>
        <v>ENTRADA DE REEMBOLSO ADIANTAMENTO (129)</v>
      </c>
      <c r="T8713">
        <v>20459</v>
      </c>
      <c r="U8713">
        <v>24490</v>
      </c>
      <c r="V8713" t="s">
        <v>48</v>
      </c>
    </row>
    <row r="8714" spans="1:22">
      <c r="A8714" t="str">
        <f t="shared" si="1630"/>
        <v>05/11/2025</v>
      </c>
      <c r="B8714" t="str">
        <f>"ENTRADA"</f>
        <v>ENTRADA</v>
      </c>
      <c r="C8714" t="str">
        <f>"DINHEIRO"</f>
        <v>DINHEIRO</v>
      </c>
      <c r="D8714" t="str">
        <f>"061120"</f>
        <v>061120</v>
      </c>
      <c r="E8714" t="str">
        <f>"26"</f>
        <v>26</v>
      </c>
      <c r="F8714" t="str">
        <f t="shared" si="1633"/>
        <v>COM</v>
      </c>
      <c r="G8714" t="str">
        <f t="shared" si="1634"/>
        <v>JAMERSON SOUZA LOPES (749)</v>
      </c>
      <c r="H8714" t="s">
        <v>2467</v>
      </c>
      <c r="I8714" t="str">
        <f t="shared" si="1632"/>
        <v>06/11/2025</v>
      </c>
      <c r="J8714" t="str">
        <f>("28/10/2025")</f>
        <v>28/10/2025</v>
      </c>
      <c r="K8714">
        <v>45966</v>
      </c>
      <c r="N8714">
        <v>129</v>
      </c>
      <c r="O8714" t="s">
        <v>58</v>
      </c>
      <c r="Q8714">
        <v>130</v>
      </c>
      <c r="R8714" t="str">
        <f>"JAMERSON SOUZA LOPES (749)"</f>
        <v>JAMERSON SOUZA LOPES (749)</v>
      </c>
      <c r="S8714" t="s">
        <v>59</v>
      </c>
      <c r="T8714">
        <v>20459</v>
      </c>
      <c r="U8714">
        <v>24490</v>
      </c>
      <c r="V8714" t="s">
        <v>48</v>
      </c>
    </row>
    <row r="8715" spans="1:22">
      <c r="A8715" t="str">
        <f t="shared" si="1630"/>
        <v>05/11/2025</v>
      </c>
      <c r="B8715" t="str">
        <f>"SAÍDA"</f>
        <v>SAÍDA</v>
      </c>
      <c r="C8715" t="str">
        <f>"PIX"</f>
        <v>PIX</v>
      </c>
      <c r="D8715" t="str">
        <f>"24647"</f>
        <v>24647</v>
      </c>
      <c r="E8715" t="str">
        <f>"1"</f>
        <v>1</v>
      </c>
      <c r="F8715" t="str">
        <f t="shared" si="1633"/>
        <v>COM</v>
      </c>
      <c r="G8715" t="str">
        <f t="shared" si="1634"/>
        <v>JAMERSON SOUZA LOPES (749)</v>
      </c>
      <c r="H8715" t="str">
        <f>"Serv.Prest. 27/10/2025 a 02/11/2025 - PIX: CPF - CHAVE: 423.098.018-36"</f>
        <v>Serv.Prest. 27/10/2025 a 02/11/2025 - PIX: CPF - CHAVE: 423.098.018-36</v>
      </c>
      <c r="I8715" t="str">
        <f t="shared" si="1632"/>
        <v>06/11/2025</v>
      </c>
      <c r="J8715" t="str">
        <f>("03/11/2025")</f>
        <v>03/11/2025</v>
      </c>
      <c r="K8715" t="str">
        <f>("05/11/2025")</f>
        <v>05/11/2025</v>
      </c>
      <c r="L8715">
        <v>49</v>
      </c>
      <c r="M8715">
        <v>130</v>
      </c>
      <c r="N8715">
        <v>109</v>
      </c>
      <c r="O8715" t="str">
        <f>"PAGAMENTO DE ENTREGADORES"</f>
        <v>PAGAMENTO DE ENTREGADORES</v>
      </c>
      <c r="P8715">
        <v>130</v>
      </c>
      <c r="S8715" t="str">
        <f>"CAIXA MOVIMENTAÇÃO OPERACIONAL (132)"</f>
        <v>CAIXA MOVIMENTAÇÃO OPERACIONAL (132)</v>
      </c>
      <c r="T8715">
        <v>20460</v>
      </c>
      <c r="U8715">
        <v>24647</v>
      </c>
      <c r="V8715" t="s">
        <v>48</v>
      </c>
    </row>
    <row r="8716" spans="1:22">
      <c r="A8716" t="str">
        <f t="shared" si="1630"/>
        <v>05/11/2025</v>
      </c>
      <c r="B8716" t="str">
        <f>"SAÍDA"</f>
        <v>SAÍDA</v>
      </c>
      <c r="C8716" t="str">
        <f>"PIX"</f>
        <v>PIX</v>
      </c>
      <c r="D8716" t="str">
        <f>"24647"</f>
        <v>24647</v>
      </c>
      <c r="E8716" t="str">
        <f>"1"</f>
        <v>1</v>
      </c>
      <c r="F8716" t="str">
        <f t="shared" si="1633"/>
        <v>COM</v>
      </c>
      <c r="G8716" t="str">
        <f t="shared" si="1634"/>
        <v>JAMERSON SOUZA LOPES (749)</v>
      </c>
      <c r="H8716" t="s">
        <v>2460</v>
      </c>
      <c r="I8716" t="str">
        <f t="shared" si="1632"/>
        <v>06/11/2025</v>
      </c>
      <c r="J8716" t="str">
        <f>("03/11/2025")</f>
        <v>03/11/2025</v>
      </c>
      <c r="K8716">
        <v>45966</v>
      </c>
      <c r="N8716">
        <v>109</v>
      </c>
      <c r="O8716" t="s">
        <v>24</v>
      </c>
      <c r="Q8716">
        <v>130</v>
      </c>
      <c r="R8716" t="str">
        <f>"DROGARIA MORENO LTDA (10171)"</f>
        <v>DROGARIA MORENO LTDA (10171)</v>
      </c>
      <c r="S8716" t="s">
        <v>48</v>
      </c>
      <c r="T8716">
        <v>20460</v>
      </c>
      <c r="U8716">
        <v>24647</v>
      </c>
      <c r="V8716" t="s">
        <v>48</v>
      </c>
    </row>
    <row r="8717" spans="1:22">
      <c r="A8717" t="str">
        <f t="shared" si="1630"/>
        <v>05/11/2025</v>
      </c>
      <c r="B8717" t="str">
        <f>"SAÍDA"</f>
        <v>SAÍDA</v>
      </c>
      <c r="C8717" t="str">
        <f>"PIX"</f>
        <v>PIX</v>
      </c>
      <c r="D8717" t="str">
        <f>"24650"</f>
        <v>24650</v>
      </c>
      <c r="E8717" t="str">
        <f>"1"</f>
        <v>1</v>
      </c>
      <c r="F8717" t="str">
        <f t="shared" si="1633"/>
        <v>COM</v>
      </c>
      <c r="G8717" t="str">
        <f t="shared" si="1634"/>
        <v>JAMERSON SOUZA LOPES (749)</v>
      </c>
      <c r="H8717" t="str">
        <f>"Serv.Prest. 27/10/2025 a 02/11/2025 - PIX: CPF - CHAVE: 423.098.018-36"</f>
        <v>Serv.Prest. 27/10/2025 a 02/11/2025 - PIX: CPF - CHAVE: 423.098.018-36</v>
      </c>
      <c r="I8717" t="str">
        <f t="shared" si="1632"/>
        <v>06/11/2025</v>
      </c>
      <c r="J8717" t="str">
        <f>("03/11/2025")</f>
        <v>03/11/2025</v>
      </c>
      <c r="K8717" t="str">
        <f>("05/11/2025")</f>
        <v>05/11/2025</v>
      </c>
      <c r="L8717">
        <v>100</v>
      </c>
      <c r="M8717">
        <v>100</v>
      </c>
      <c r="N8717">
        <v>109</v>
      </c>
      <c r="O8717" t="str">
        <f>"PAGAMENTO DE ENTREGADORES"</f>
        <v>PAGAMENTO DE ENTREGADORES</v>
      </c>
      <c r="P8717">
        <v>100</v>
      </c>
      <c r="S8717" t="str">
        <f>"CAIXA MOVIMENTAÇÃO OPERACIONAL (132)"</f>
        <v>CAIXA MOVIMENTAÇÃO OPERACIONAL (132)</v>
      </c>
      <c r="T8717">
        <v>20461</v>
      </c>
      <c r="U8717">
        <v>24928</v>
      </c>
      <c r="V8717" t="s">
        <v>48</v>
      </c>
    </row>
    <row r="8718" spans="1:22">
      <c r="A8718" t="str">
        <f t="shared" si="1630"/>
        <v>05/11/2025</v>
      </c>
      <c r="B8718" t="str">
        <f>"SAÍDA"</f>
        <v>SAÍDA</v>
      </c>
      <c r="C8718" t="str">
        <f>"PIX"</f>
        <v>PIX</v>
      </c>
      <c r="D8718" t="str">
        <f>"24650"</f>
        <v>24650</v>
      </c>
      <c r="E8718" t="str">
        <f>"1"</f>
        <v>1</v>
      </c>
      <c r="F8718" t="str">
        <f t="shared" si="1633"/>
        <v>COM</v>
      </c>
      <c r="G8718" t="str">
        <f t="shared" si="1634"/>
        <v>JAMERSON SOUZA LOPES (749)</v>
      </c>
      <c r="H8718" t="s">
        <v>2460</v>
      </c>
      <c r="I8718" t="str">
        <f t="shared" si="1632"/>
        <v>06/11/2025</v>
      </c>
      <c r="J8718" t="str">
        <f>("03/11/2025")</f>
        <v>03/11/2025</v>
      </c>
      <c r="K8718">
        <v>45966</v>
      </c>
      <c r="N8718">
        <v>109</v>
      </c>
      <c r="O8718" t="s">
        <v>24</v>
      </c>
      <c r="Q8718">
        <v>100</v>
      </c>
      <c r="R8718" t="str">
        <f>"DROGARIA TOTAL JUNDIAI (10177)"</f>
        <v>DROGARIA TOTAL JUNDIAI (10177)</v>
      </c>
      <c r="S8718" t="s">
        <v>48</v>
      </c>
      <c r="T8718">
        <v>20461</v>
      </c>
      <c r="U8718">
        <v>24928</v>
      </c>
      <c r="V8718" t="s">
        <v>48</v>
      </c>
    </row>
    <row r="8719" spans="1:22">
      <c r="A8719" t="str">
        <f t="shared" si="1630"/>
        <v>05/11/2025</v>
      </c>
      <c r="B8719" t="str">
        <f t="shared" ref="B8719:B8750" si="1635">"ENTRADA"</f>
        <v>ENTRADA</v>
      </c>
      <c r="C8719" t="str">
        <f>"DINHEIRO"</f>
        <v>DINHEIRO</v>
      </c>
      <c r="D8719" t="str">
        <f>"0611"</f>
        <v>0611</v>
      </c>
      <c r="E8719" t="str">
        <f>"25"</f>
        <v>25</v>
      </c>
      <c r="F8719" t="str">
        <f t="shared" si="1633"/>
        <v>COM</v>
      </c>
      <c r="G8719" t="str">
        <f t="shared" si="1634"/>
        <v>JAMERSON SOUZA LOPES (749)</v>
      </c>
      <c r="H8719" t="str">
        <f>"REEMBOLSO ADIANTAMENTO"</f>
        <v>REEMBOLSO ADIANTAMENTO</v>
      </c>
      <c r="I8719" t="str">
        <f t="shared" si="1632"/>
        <v>06/11/2025</v>
      </c>
      <c r="J8719" t="str">
        <f>("10/10/2025")</f>
        <v>10/10/2025</v>
      </c>
      <c r="K8719" t="str">
        <f>("05/11/2025")</f>
        <v>05/11/2025</v>
      </c>
      <c r="L8719">
        <v>100</v>
      </c>
      <c r="M8719">
        <v>100</v>
      </c>
      <c r="N8719">
        <v>129</v>
      </c>
      <c r="O8719" t="str">
        <f>"ENTRADA DE REEMBOLSO ADIANTAMENTO"</f>
        <v>ENTRADA DE REEMBOLSO ADIANTAMENTO</v>
      </c>
      <c r="P8719">
        <v>100</v>
      </c>
      <c r="S8719" t="str">
        <f>"ENTRADA DE REEMBOLSO ADIANTAMENTO (129)"</f>
        <v>ENTRADA DE REEMBOLSO ADIANTAMENTO (129)</v>
      </c>
      <c r="T8719">
        <v>20462</v>
      </c>
      <c r="U8719">
        <v>23535</v>
      </c>
      <c r="V8719" t="s">
        <v>48</v>
      </c>
    </row>
    <row r="8720" spans="1:22">
      <c r="A8720" t="str">
        <f t="shared" si="1630"/>
        <v>05/11/2025</v>
      </c>
      <c r="B8720" t="str">
        <f t="shared" si="1635"/>
        <v>ENTRADA</v>
      </c>
      <c r="C8720" t="str">
        <f>"DINHEIRO"</f>
        <v>DINHEIRO</v>
      </c>
      <c r="D8720" t="str">
        <f>"0611"</f>
        <v>0611</v>
      </c>
      <c r="E8720" t="str">
        <f>"25"</f>
        <v>25</v>
      </c>
      <c r="F8720" t="str">
        <f t="shared" si="1633"/>
        <v>COM</v>
      </c>
      <c r="G8720" t="str">
        <f t="shared" si="1634"/>
        <v>JAMERSON SOUZA LOPES (749)</v>
      </c>
      <c r="H8720" t="s">
        <v>57</v>
      </c>
      <c r="I8720" t="str">
        <f t="shared" si="1632"/>
        <v>06/11/2025</v>
      </c>
      <c r="J8720" t="str">
        <f>("10/10/2025")</f>
        <v>10/10/2025</v>
      </c>
      <c r="K8720">
        <v>45966</v>
      </c>
      <c r="N8720">
        <v>129</v>
      </c>
      <c r="O8720" t="s">
        <v>58</v>
      </c>
      <c r="Q8720">
        <v>100</v>
      </c>
      <c r="R8720" t="str">
        <f>"JAMERSON SOUZA LOPES (749)"</f>
        <v>JAMERSON SOUZA LOPES (749)</v>
      </c>
      <c r="S8720" t="s">
        <v>59</v>
      </c>
      <c r="T8720">
        <v>20462</v>
      </c>
      <c r="U8720">
        <v>23535</v>
      </c>
      <c r="V8720" t="s">
        <v>48</v>
      </c>
    </row>
    <row r="8721" spans="1:22">
      <c r="A8721" t="str">
        <f t="shared" si="1630"/>
        <v>05/11/2025</v>
      </c>
      <c r="B8721" t="str">
        <f t="shared" si="1635"/>
        <v>ENTRADA</v>
      </c>
      <c r="C8721" t="str">
        <f t="shared" ref="C8721:C8752" si="1636">"NFSE"</f>
        <v>NFSE</v>
      </c>
      <c r="D8721" t="str">
        <f>"3619"</f>
        <v>3619</v>
      </c>
      <c r="E8721" t="str">
        <f t="shared" ref="E8721:E8752" si="1637">"1"</f>
        <v>1</v>
      </c>
      <c r="F8721" t="str">
        <f t="shared" si="1633"/>
        <v>COM</v>
      </c>
      <c r="G8721" t="str">
        <f>"PENSE FARMA 22 (10198)"</f>
        <v>PENSE FARMA 22 (10198)</v>
      </c>
      <c r="H8721" t="str">
        <f>"Serv.Prest. 27/10/2025 a 02/11/2025 - RPS: 1495 - NFSe: 3619"</f>
        <v>Serv.Prest. 27/10/2025 a 02/11/2025 - RPS: 1495 - NFSe: 3619</v>
      </c>
      <c r="I8721" t="str">
        <f t="shared" ref="I8721:I8752" si="1638">("05/11/2025")</f>
        <v>05/11/2025</v>
      </c>
      <c r="J8721" t="str">
        <f t="shared" ref="J8721:J8752" si="1639">("03/11/2025")</f>
        <v>03/11/2025</v>
      </c>
      <c r="K8721" t="str">
        <f>("05/11/2025")</f>
        <v>05/11/2025</v>
      </c>
      <c r="L8721">
        <v>2550</v>
      </c>
      <c r="M8721">
        <v>2550</v>
      </c>
      <c r="N8721">
        <v>303</v>
      </c>
      <c r="O8721" t="str">
        <f>"RECEITAS COM ENTREGAS"</f>
        <v>RECEITAS COM ENTREGAS</v>
      </c>
      <c r="P8721">
        <v>2550</v>
      </c>
      <c r="S8721" t="str">
        <f>"RECEITAS COM ENTREGAS (303)"</f>
        <v>RECEITAS COM ENTREGAS (303)</v>
      </c>
      <c r="T8721">
        <v>20498</v>
      </c>
      <c r="U8721">
        <v>24624</v>
      </c>
      <c r="V8721" t="s">
        <v>22</v>
      </c>
    </row>
    <row r="8722" spans="1:22">
      <c r="A8722" t="str">
        <f t="shared" si="1630"/>
        <v>05/11/2025</v>
      </c>
      <c r="B8722" t="str">
        <f t="shared" si="1635"/>
        <v>ENTRADA</v>
      </c>
      <c r="C8722" t="str">
        <f t="shared" si="1636"/>
        <v>NFSE</v>
      </c>
      <c r="D8722" t="str">
        <f>"3619"</f>
        <v>3619</v>
      </c>
      <c r="E8722" t="str">
        <f t="shared" si="1637"/>
        <v>1</v>
      </c>
      <c r="F8722" t="str">
        <f t="shared" si="1633"/>
        <v>COM</v>
      </c>
      <c r="G8722" t="str">
        <f>"PENSE FARMA 22 (10198)"</f>
        <v>PENSE FARMA 22 (10198)</v>
      </c>
      <c r="H8722" t="s">
        <v>2468</v>
      </c>
      <c r="I8722" t="str">
        <f t="shared" si="1638"/>
        <v>05/11/2025</v>
      </c>
      <c r="J8722" t="str">
        <f t="shared" si="1639"/>
        <v>03/11/2025</v>
      </c>
      <c r="K8722">
        <v>45966</v>
      </c>
      <c r="N8722">
        <v>303</v>
      </c>
      <c r="O8722" t="s">
        <v>69</v>
      </c>
      <c r="Q8722">
        <v>2550</v>
      </c>
      <c r="R8722" t="str">
        <f>"PENSE FARMA 22 (10198)"</f>
        <v>PENSE FARMA 22 (10198)</v>
      </c>
      <c r="S8722" t="s">
        <v>70</v>
      </c>
      <c r="T8722">
        <v>20498</v>
      </c>
      <c r="U8722">
        <v>24624</v>
      </c>
      <c r="V8722" t="s">
        <v>22</v>
      </c>
    </row>
    <row r="8723" spans="1:22">
      <c r="A8723" t="str">
        <f t="shared" si="1630"/>
        <v>05/11/2025</v>
      </c>
      <c r="B8723" t="str">
        <f t="shared" si="1635"/>
        <v>ENTRADA</v>
      </c>
      <c r="C8723" t="str">
        <f t="shared" si="1636"/>
        <v>NFSE</v>
      </c>
      <c r="D8723" t="str">
        <f>"3604"</f>
        <v>3604</v>
      </c>
      <c r="E8723" t="str">
        <f t="shared" si="1637"/>
        <v>1</v>
      </c>
      <c r="F8723" t="str">
        <f t="shared" si="1633"/>
        <v>COM</v>
      </c>
      <c r="G8723" t="str">
        <f>"PENSE FARMA 31 (10205)"</f>
        <v>PENSE FARMA 31 (10205)</v>
      </c>
      <c r="H8723" t="str">
        <f>"Serv.Prest. 27/10/2025 a 02/11/2025 - RPS: 1480 - NFSe: 3604"</f>
        <v>Serv.Prest. 27/10/2025 a 02/11/2025 - RPS: 1480 - NFSe: 3604</v>
      </c>
      <c r="I8723" t="str">
        <f t="shared" si="1638"/>
        <v>05/11/2025</v>
      </c>
      <c r="J8723" t="str">
        <f t="shared" si="1639"/>
        <v>03/11/2025</v>
      </c>
      <c r="K8723" t="str">
        <f>("05/11/2025")</f>
        <v>05/11/2025</v>
      </c>
      <c r="L8723">
        <v>1608.94</v>
      </c>
      <c r="M8723">
        <v>1608.94</v>
      </c>
      <c r="N8723">
        <v>303</v>
      </c>
      <c r="O8723" t="str">
        <f>"RECEITAS COM ENTREGAS"</f>
        <v>RECEITAS COM ENTREGAS</v>
      </c>
      <c r="P8723">
        <v>1608.94</v>
      </c>
      <c r="S8723" t="str">
        <f>"RECEITAS COM ENTREGAS (303)"</f>
        <v>RECEITAS COM ENTREGAS (303)</v>
      </c>
      <c r="T8723">
        <v>20499</v>
      </c>
      <c r="U8723">
        <v>24577</v>
      </c>
      <c r="V8723" t="s">
        <v>22</v>
      </c>
    </row>
    <row r="8724" spans="1:22">
      <c r="A8724" t="str">
        <f t="shared" si="1630"/>
        <v>05/11/2025</v>
      </c>
      <c r="B8724" t="str">
        <f t="shared" si="1635"/>
        <v>ENTRADA</v>
      </c>
      <c r="C8724" t="str">
        <f t="shared" si="1636"/>
        <v>NFSE</v>
      </c>
      <c r="D8724" t="str">
        <f>"3604"</f>
        <v>3604</v>
      </c>
      <c r="E8724" t="str">
        <f t="shared" si="1637"/>
        <v>1</v>
      </c>
      <c r="F8724" t="str">
        <f t="shared" si="1633"/>
        <v>COM</v>
      </c>
      <c r="G8724" t="str">
        <f>"PENSE FARMA 31 (10205)"</f>
        <v>PENSE FARMA 31 (10205)</v>
      </c>
      <c r="H8724" t="s">
        <v>2469</v>
      </c>
      <c r="I8724" t="str">
        <f t="shared" si="1638"/>
        <v>05/11/2025</v>
      </c>
      <c r="J8724" t="str">
        <f t="shared" si="1639"/>
        <v>03/11/2025</v>
      </c>
      <c r="K8724">
        <v>45966</v>
      </c>
      <c r="N8724">
        <v>303</v>
      </c>
      <c r="O8724" t="s">
        <v>69</v>
      </c>
      <c r="Q8724">
        <v>534.01</v>
      </c>
      <c r="R8724" t="str">
        <f>"PENSE FARMA 31 (10205)"</f>
        <v>PENSE FARMA 31 (10205)</v>
      </c>
      <c r="S8724" t="s">
        <v>70</v>
      </c>
      <c r="T8724">
        <v>20499</v>
      </c>
      <c r="U8724">
        <v>24577</v>
      </c>
      <c r="V8724" t="s">
        <v>22</v>
      </c>
    </row>
    <row r="8725" spans="1:22">
      <c r="A8725" t="str">
        <f t="shared" si="1630"/>
        <v>05/11/2025</v>
      </c>
      <c r="B8725" t="str">
        <f t="shared" si="1635"/>
        <v>ENTRADA</v>
      </c>
      <c r="C8725" t="str">
        <f t="shared" si="1636"/>
        <v>NFSE</v>
      </c>
      <c r="D8725" t="str">
        <f>"3604"</f>
        <v>3604</v>
      </c>
      <c r="E8725" t="str">
        <f t="shared" si="1637"/>
        <v>1</v>
      </c>
      <c r="F8725" t="str">
        <f t="shared" si="1633"/>
        <v>COM</v>
      </c>
      <c r="G8725" t="str">
        <f>"PENSE FARMA 31 (10205)"</f>
        <v>PENSE FARMA 31 (10205)</v>
      </c>
      <c r="H8725" t="s">
        <v>2469</v>
      </c>
      <c r="I8725" t="str">
        <f t="shared" si="1638"/>
        <v>05/11/2025</v>
      </c>
      <c r="J8725" t="str">
        <f t="shared" si="1639"/>
        <v>03/11/2025</v>
      </c>
      <c r="K8725">
        <v>45966</v>
      </c>
      <c r="N8725">
        <v>303</v>
      </c>
      <c r="O8725" t="s">
        <v>69</v>
      </c>
      <c r="Q8725">
        <v>540.76</v>
      </c>
      <c r="R8725" t="str">
        <f>"PENSE FARMA 16 (10221)"</f>
        <v>PENSE FARMA 16 (10221)</v>
      </c>
      <c r="S8725" t="s">
        <v>70</v>
      </c>
      <c r="T8725">
        <v>20499</v>
      </c>
      <c r="U8725">
        <v>24577</v>
      </c>
      <c r="V8725" t="s">
        <v>22</v>
      </c>
    </row>
    <row r="8726" spans="1:22">
      <c r="A8726" t="str">
        <f t="shared" si="1630"/>
        <v>05/11/2025</v>
      </c>
      <c r="B8726" t="str">
        <f t="shared" si="1635"/>
        <v>ENTRADA</v>
      </c>
      <c r="C8726" t="str">
        <f t="shared" si="1636"/>
        <v>NFSE</v>
      </c>
      <c r="D8726" t="str">
        <f>"3604"</f>
        <v>3604</v>
      </c>
      <c r="E8726" t="str">
        <f t="shared" si="1637"/>
        <v>1</v>
      </c>
      <c r="F8726" t="str">
        <f t="shared" si="1633"/>
        <v>COM</v>
      </c>
      <c r="G8726" t="str">
        <f>"PENSE FARMA 31 (10205)"</f>
        <v>PENSE FARMA 31 (10205)</v>
      </c>
      <c r="H8726" t="s">
        <v>2469</v>
      </c>
      <c r="I8726" t="str">
        <f t="shared" si="1638"/>
        <v>05/11/2025</v>
      </c>
      <c r="J8726" t="str">
        <f t="shared" si="1639"/>
        <v>03/11/2025</v>
      </c>
      <c r="K8726">
        <v>45966</v>
      </c>
      <c r="N8726">
        <v>303</v>
      </c>
      <c r="O8726" t="s">
        <v>69</v>
      </c>
      <c r="Q8726">
        <v>534.16999999999996</v>
      </c>
      <c r="R8726" t="str">
        <f>"PENSE FARMA 17 (10222)"</f>
        <v>PENSE FARMA 17 (10222)</v>
      </c>
      <c r="S8726" t="s">
        <v>70</v>
      </c>
      <c r="T8726">
        <v>20499</v>
      </c>
      <c r="U8726">
        <v>24577</v>
      </c>
      <c r="V8726" t="s">
        <v>22</v>
      </c>
    </row>
    <row r="8727" spans="1:22">
      <c r="A8727" t="str">
        <f t="shared" si="1630"/>
        <v>05/11/2025</v>
      </c>
      <c r="B8727" t="str">
        <f t="shared" si="1635"/>
        <v>ENTRADA</v>
      </c>
      <c r="C8727" t="str">
        <f t="shared" si="1636"/>
        <v>NFSE</v>
      </c>
      <c r="D8727" t="str">
        <f>"3605"</f>
        <v>3605</v>
      </c>
      <c r="E8727" t="str">
        <f t="shared" si="1637"/>
        <v>1</v>
      </c>
      <c r="F8727" t="str">
        <f t="shared" si="1633"/>
        <v>COM</v>
      </c>
      <c r="G8727" t="str">
        <f>"PENSE FARMA 44 (10231)"</f>
        <v>PENSE FARMA 44 (10231)</v>
      </c>
      <c r="H8727" t="str">
        <f>"Serv.Prest. 27/10/2025 a 02/11/2025 - RPS: 1481 - NFSe: 3605"</f>
        <v>Serv.Prest. 27/10/2025 a 02/11/2025 - RPS: 1481 - NFSe: 3605</v>
      </c>
      <c r="I8727" t="str">
        <f t="shared" si="1638"/>
        <v>05/11/2025</v>
      </c>
      <c r="J8727" t="str">
        <f t="shared" si="1639"/>
        <v>03/11/2025</v>
      </c>
      <c r="K8727" t="str">
        <f>("05/11/2025")</f>
        <v>05/11/2025</v>
      </c>
      <c r="L8727">
        <v>3337.94</v>
      </c>
      <c r="M8727">
        <v>3337.94</v>
      </c>
      <c r="N8727">
        <v>303</v>
      </c>
      <c r="O8727" t="str">
        <f>"RECEITAS COM ENTREGAS"</f>
        <v>RECEITAS COM ENTREGAS</v>
      </c>
      <c r="P8727">
        <v>3337.94</v>
      </c>
      <c r="S8727" t="str">
        <f>"RECEITAS COM ENTREGAS (303)"</f>
        <v>RECEITAS COM ENTREGAS (303)</v>
      </c>
      <c r="T8727">
        <v>20500</v>
      </c>
      <c r="U8727">
        <v>24580</v>
      </c>
      <c r="V8727" t="s">
        <v>22</v>
      </c>
    </row>
    <row r="8728" spans="1:22">
      <c r="A8728" t="str">
        <f t="shared" si="1630"/>
        <v>05/11/2025</v>
      </c>
      <c r="B8728" t="str">
        <f t="shared" si="1635"/>
        <v>ENTRADA</v>
      </c>
      <c r="C8728" t="str">
        <f t="shared" si="1636"/>
        <v>NFSE</v>
      </c>
      <c r="D8728" t="str">
        <f>"3605"</f>
        <v>3605</v>
      </c>
      <c r="E8728" t="str">
        <f t="shared" si="1637"/>
        <v>1</v>
      </c>
      <c r="F8728" t="str">
        <f t="shared" si="1633"/>
        <v>COM</v>
      </c>
      <c r="G8728" t="str">
        <f>"PENSE FARMA 44 (10231)"</f>
        <v>PENSE FARMA 44 (10231)</v>
      </c>
      <c r="H8728" t="s">
        <v>2470</v>
      </c>
      <c r="I8728" t="str">
        <f t="shared" si="1638"/>
        <v>05/11/2025</v>
      </c>
      <c r="J8728" t="str">
        <f t="shared" si="1639"/>
        <v>03/11/2025</v>
      </c>
      <c r="K8728">
        <v>45966</v>
      </c>
      <c r="N8728">
        <v>303</v>
      </c>
      <c r="O8728" t="s">
        <v>69</v>
      </c>
      <c r="Q8728">
        <v>1668.97</v>
      </c>
      <c r="R8728" t="str">
        <f>"PENSE FARMA 44 (10231)"</f>
        <v>PENSE FARMA 44 (10231)</v>
      </c>
      <c r="S8728" t="s">
        <v>70</v>
      </c>
      <c r="T8728">
        <v>20500</v>
      </c>
      <c r="U8728">
        <v>24580</v>
      </c>
      <c r="V8728" t="s">
        <v>22</v>
      </c>
    </row>
    <row r="8729" spans="1:22">
      <c r="A8729" t="str">
        <f t="shared" si="1630"/>
        <v>05/11/2025</v>
      </c>
      <c r="B8729" t="str">
        <f t="shared" si="1635"/>
        <v>ENTRADA</v>
      </c>
      <c r="C8729" t="str">
        <f t="shared" si="1636"/>
        <v>NFSE</v>
      </c>
      <c r="D8729" t="str">
        <f>"3605"</f>
        <v>3605</v>
      </c>
      <c r="E8729" t="str">
        <f t="shared" si="1637"/>
        <v>1</v>
      </c>
      <c r="F8729" t="str">
        <f t="shared" si="1633"/>
        <v>COM</v>
      </c>
      <c r="G8729" t="str">
        <f>"PENSE FARMA 44 (10231)"</f>
        <v>PENSE FARMA 44 (10231)</v>
      </c>
      <c r="H8729" t="s">
        <v>2470</v>
      </c>
      <c r="I8729" t="str">
        <f t="shared" si="1638"/>
        <v>05/11/2025</v>
      </c>
      <c r="J8729" t="str">
        <f t="shared" si="1639"/>
        <v>03/11/2025</v>
      </c>
      <c r="K8729">
        <v>45966</v>
      </c>
      <c r="N8729">
        <v>303</v>
      </c>
      <c r="O8729" t="s">
        <v>69</v>
      </c>
      <c r="Q8729">
        <v>1668.97</v>
      </c>
      <c r="R8729" t="str">
        <f>"PENSE FARMA 48 (10233)"</f>
        <v>PENSE FARMA 48 (10233)</v>
      </c>
      <c r="S8729" t="s">
        <v>70</v>
      </c>
      <c r="T8729">
        <v>20500</v>
      </c>
      <c r="U8729">
        <v>24580</v>
      </c>
      <c r="V8729" t="s">
        <v>22</v>
      </c>
    </row>
    <row r="8730" spans="1:22">
      <c r="A8730" t="str">
        <f t="shared" si="1630"/>
        <v>05/11/2025</v>
      </c>
      <c r="B8730" t="str">
        <f t="shared" si="1635"/>
        <v>ENTRADA</v>
      </c>
      <c r="C8730" t="str">
        <f t="shared" si="1636"/>
        <v>NFSE</v>
      </c>
      <c r="D8730" t="str">
        <f>"3606"</f>
        <v>3606</v>
      </c>
      <c r="E8730" t="str">
        <f t="shared" si="1637"/>
        <v>1</v>
      </c>
      <c r="F8730" t="str">
        <f t="shared" si="1633"/>
        <v>COM</v>
      </c>
      <c r="G8730" t="str">
        <f>"PENSE FARMA 19 (10223)"</f>
        <v>PENSE FARMA 19 (10223)</v>
      </c>
      <c r="H8730" t="str">
        <f>"Serv.Prest. 27/10/2025 a 02/11/2025 - RPS: 1482 - NFSe: 3606"</f>
        <v>Serv.Prest. 27/10/2025 a 02/11/2025 - RPS: 1482 - NFSe: 3606</v>
      </c>
      <c r="I8730" t="str">
        <f t="shared" si="1638"/>
        <v>05/11/2025</v>
      </c>
      <c r="J8730" t="str">
        <f t="shared" si="1639"/>
        <v>03/11/2025</v>
      </c>
      <c r="K8730" t="str">
        <f>("05/11/2025")</f>
        <v>05/11/2025</v>
      </c>
      <c r="L8730">
        <v>3337.95</v>
      </c>
      <c r="M8730">
        <v>3337.95</v>
      </c>
      <c r="N8730">
        <v>303</v>
      </c>
      <c r="O8730" t="str">
        <f>"RECEITAS COM ENTREGAS"</f>
        <v>RECEITAS COM ENTREGAS</v>
      </c>
      <c r="P8730">
        <v>3337.95</v>
      </c>
      <c r="S8730" t="str">
        <f>"RECEITAS COM ENTREGAS (303)"</f>
        <v>RECEITAS COM ENTREGAS (303)</v>
      </c>
      <c r="T8730">
        <v>20501</v>
      </c>
      <c r="U8730">
        <v>24583</v>
      </c>
      <c r="V8730" t="s">
        <v>22</v>
      </c>
    </row>
    <row r="8731" spans="1:22">
      <c r="A8731" t="str">
        <f t="shared" ref="A8731:A8762" si="1640">("05/11/2025")</f>
        <v>05/11/2025</v>
      </c>
      <c r="B8731" t="str">
        <f t="shared" si="1635"/>
        <v>ENTRADA</v>
      </c>
      <c r="C8731" t="str">
        <f t="shared" si="1636"/>
        <v>NFSE</v>
      </c>
      <c r="D8731" t="str">
        <f>"3606"</f>
        <v>3606</v>
      </c>
      <c r="E8731" t="str">
        <f t="shared" si="1637"/>
        <v>1</v>
      </c>
      <c r="F8731" t="str">
        <f t="shared" si="1633"/>
        <v>COM</v>
      </c>
      <c r="G8731" t="str">
        <f>"PENSE FARMA 19 (10223)"</f>
        <v>PENSE FARMA 19 (10223)</v>
      </c>
      <c r="H8731" t="s">
        <v>2471</v>
      </c>
      <c r="I8731" t="str">
        <f t="shared" si="1638"/>
        <v>05/11/2025</v>
      </c>
      <c r="J8731" t="str">
        <f t="shared" si="1639"/>
        <v>03/11/2025</v>
      </c>
      <c r="K8731">
        <v>45966</v>
      </c>
      <c r="N8731">
        <v>303</v>
      </c>
      <c r="O8731" t="s">
        <v>69</v>
      </c>
      <c r="Q8731">
        <v>3337.95</v>
      </c>
      <c r="R8731" t="str">
        <f>"PENSE FARMA 19 (10223)"</f>
        <v>PENSE FARMA 19 (10223)</v>
      </c>
      <c r="S8731" t="s">
        <v>70</v>
      </c>
      <c r="T8731">
        <v>20501</v>
      </c>
      <c r="U8731">
        <v>24583</v>
      </c>
      <c r="V8731" t="s">
        <v>22</v>
      </c>
    </row>
    <row r="8732" spans="1:22">
      <c r="A8732" t="str">
        <f t="shared" si="1640"/>
        <v>05/11/2025</v>
      </c>
      <c r="B8732" t="str">
        <f t="shared" si="1635"/>
        <v>ENTRADA</v>
      </c>
      <c r="C8732" t="str">
        <f t="shared" si="1636"/>
        <v>NFSE</v>
      </c>
      <c r="D8732" t="str">
        <f>"3607"</f>
        <v>3607</v>
      </c>
      <c r="E8732" t="str">
        <f t="shared" si="1637"/>
        <v>1</v>
      </c>
      <c r="F8732" t="str">
        <f t="shared" si="1633"/>
        <v>COM</v>
      </c>
      <c r="G8732" t="str">
        <f>"PENSE FARMA 49 (10234)"</f>
        <v>PENSE FARMA 49 (10234)</v>
      </c>
      <c r="H8732" t="str">
        <f>"Serv.Prest. 27/10/2025 a 02/11/2025 - RPS: 1483 - NFSe: 3607"</f>
        <v>Serv.Prest. 27/10/2025 a 02/11/2025 - RPS: 1483 - NFSe: 3607</v>
      </c>
      <c r="I8732" t="str">
        <f t="shared" si="1638"/>
        <v>05/11/2025</v>
      </c>
      <c r="J8732" t="str">
        <f t="shared" si="1639"/>
        <v>03/11/2025</v>
      </c>
      <c r="K8732" t="str">
        <f>("05/11/2025")</f>
        <v>05/11/2025</v>
      </c>
      <c r="L8732">
        <v>971.04</v>
      </c>
      <c r="M8732">
        <v>971.04</v>
      </c>
      <c r="N8732">
        <v>303</v>
      </c>
      <c r="O8732" t="str">
        <f>"RECEITAS COM ENTREGAS"</f>
        <v>RECEITAS COM ENTREGAS</v>
      </c>
      <c r="P8732">
        <v>971.04</v>
      </c>
      <c r="S8732" t="str">
        <f>"RECEITAS COM ENTREGAS (303)"</f>
        <v>RECEITAS COM ENTREGAS (303)</v>
      </c>
      <c r="T8732">
        <v>20502</v>
      </c>
      <c r="U8732">
        <v>24586</v>
      </c>
      <c r="V8732" t="s">
        <v>22</v>
      </c>
    </row>
    <row r="8733" spans="1:22">
      <c r="A8733" t="str">
        <f t="shared" si="1640"/>
        <v>05/11/2025</v>
      </c>
      <c r="B8733" t="str">
        <f t="shared" si="1635"/>
        <v>ENTRADA</v>
      </c>
      <c r="C8733" t="str">
        <f t="shared" si="1636"/>
        <v>NFSE</v>
      </c>
      <c r="D8733" t="str">
        <f>"3607"</f>
        <v>3607</v>
      </c>
      <c r="E8733" t="str">
        <f t="shared" si="1637"/>
        <v>1</v>
      </c>
      <c r="F8733" t="str">
        <f t="shared" si="1633"/>
        <v>COM</v>
      </c>
      <c r="G8733" t="str">
        <f>"PENSE FARMA 49 (10234)"</f>
        <v>PENSE FARMA 49 (10234)</v>
      </c>
      <c r="H8733" t="s">
        <v>2472</v>
      </c>
      <c r="I8733" t="str">
        <f t="shared" si="1638"/>
        <v>05/11/2025</v>
      </c>
      <c r="J8733" t="str">
        <f t="shared" si="1639"/>
        <v>03/11/2025</v>
      </c>
      <c r="K8733">
        <v>45966</v>
      </c>
      <c r="N8733">
        <v>303</v>
      </c>
      <c r="O8733" t="s">
        <v>69</v>
      </c>
      <c r="Q8733">
        <v>971.04</v>
      </c>
      <c r="R8733" t="str">
        <f>"PENSE FARMA 49 (10234)"</f>
        <v>PENSE FARMA 49 (10234)</v>
      </c>
      <c r="S8733" t="s">
        <v>70</v>
      </c>
      <c r="T8733">
        <v>20502</v>
      </c>
      <c r="U8733">
        <v>24586</v>
      </c>
      <c r="V8733" t="s">
        <v>22</v>
      </c>
    </row>
    <row r="8734" spans="1:22">
      <c r="A8734" t="str">
        <f t="shared" si="1640"/>
        <v>05/11/2025</v>
      </c>
      <c r="B8734" t="str">
        <f t="shared" si="1635"/>
        <v>ENTRADA</v>
      </c>
      <c r="C8734" t="str">
        <f t="shared" si="1636"/>
        <v>NFSE</v>
      </c>
      <c r="D8734" t="str">
        <f>"3608"</f>
        <v>3608</v>
      </c>
      <c r="E8734" t="str">
        <f t="shared" si="1637"/>
        <v>1</v>
      </c>
      <c r="F8734" t="str">
        <f t="shared" si="1633"/>
        <v>COM</v>
      </c>
      <c r="G8734" t="str">
        <f>"PENSE FARMA 39 (10228)"</f>
        <v>PENSE FARMA 39 (10228)</v>
      </c>
      <c r="H8734" t="str">
        <f>"Serv.Prest. 27/10/2025 a 02/11/2025 - RPS: 1484 - NFSe: 3608"</f>
        <v>Serv.Prest. 27/10/2025 a 02/11/2025 - RPS: 1484 - NFSe: 3608</v>
      </c>
      <c r="I8734" t="str">
        <f t="shared" si="1638"/>
        <v>05/11/2025</v>
      </c>
      <c r="J8734" t="str">
        <f t="shared" si="1639"/>
        <v>03/11/2025</v>
      </c>
      <c r="K8734" t="str">
        <f>("05/11/2025")</f>
        <v>05/11/2025</v>
      </c>
      <c r="L8734">
        <v>3156.99</v>
      </c>
      <c r="M8734">
        <v>3156.99</v>
      </c>
      <c r="N8734">
        <v>303</v>
      </c>
      <c r="O8734" t="str">
        <f>"RECEITAS COM ENTREGAS"</f>
        <v>RECEITAS COM ENTREGAS</v>
      </c>
      <c r="P8734">
        <v>3156.99</v>
      </c>
      <c r="S8734" t="str">
        <f>"RECEITAS COM ENTREGAS (303)"</f>
        <v>RECEITAS COM ENTREGAS (303)</v>
      </c>
      <c r="T8734">
        <v>20503</v>
      </c>
      <c r="U8734">
        <v>24588</v>
      </c>
      <c r="V8734" t="s">
        <v>22</v>
      </c>
    </row>
    <row r="8735" spans="1:22">
      <c r="A8735" t="str">
        <f t="shared" si="1640"/>
        <v>05/11/2025</v>
      </c>
      <c r="B8735" t="str">
        <f t="shared" si="1635"/>
        <v>ENTRADA</v>
      </c>
      <c r="C8735" t="str">
        <f t="shared" si="1636"/>
        <v>NFSE</v>
      </c>
      <c r="D8735" t="str">
        <f>"3608"</f>
        <v>3608</v>
      </c>
      <c r="E8735" t="str">
        <f t="shared" si="1637"/>
        <v>1</v>
      </c>
      <c r="F8735" t="str">
        <f t="shared" si="1633"/>
        <v>COM</v>
      </c>
      <c r="G8735" t="str">
        <f>"PENSE FARMA 39 (10228)"</f>
        <v>PENSE FARMA 39 (10228)</v>
      </c>
      <c r="H8735" t="s">
        <v>2473</v>
      </c>
      <c r="I8735" t="str">
        <f t="shared" si="1638"/>
        <v>05/11/2025</v>
      </c>
      <c r="J8735" t="str">
        <f t="shared" si="1639"/>
        <v>03/11/2025</v>
      </c>
      <c r="K8735">
        <v>45966</v>
      </c>
      <c r="N8735">
        <v>303</v>
      </c>
      <c r="O8735" t="s">
        <v>69</v>
      </c>
      <c r="Q8735">
        <v>788.94</v>
      </c>
      <c r="R8735" t="str">
        <f>"PENSE FARMA 02 (10199)"</f>
        <v>PENSE FARMA 02 (10199)</v>
      </c>
      <c r="S8735" t="s">
        <v>70</v>
      </c>
      <c r="T8735">
        <v>20503</v>
      </c>
      <c r="U8735">
        <v>24588</v>
      </c>
      <c r="V8735" t="s">
        <v>22</v>
      </c>
    </row>
    <row r="8736" spans="1:22">
      <c r="A8736" t="str">
        <f t="shared" si="1640"/>
        <v>05/11/2025</v>
      </c>
      <c r="B8736" t="str">
        <f t="shared" si="1635"/>
        <v>ENTRADA</v>
      </c>
      <c r="C8736" t="str">
        <f t="shared" si="1636"/>
        <v>NFSE</v>
      </c>
      <c r="D8736" t="str">
        <f>"3608"</f>
        <v>3608</v>
      </c>
      <c r="E8736" t="str">
        <f t="shared" si="1637"/>
        <v>1</v>
      </c>
      <c r="F8736" t="str">
        <f t="shared" si="1633"/>
        <v>COM</v>
      </c>
      <c r="G8736" t="str">
        <f>"PENSE FARMA 39 (10228)"</f>
        <v>PENSE FARMA 39 (10228)</v>
      </c>
      <c r="H8736" t="s">
        <v>2473</v>
      </c>
      <c r="I8736" t="str">
        <f t="shared" si="1638"/>
        <v>05/11/2025</v>
      </c>
      <c r="J8736" t="str">
        <f t="shared" si="1639"/>
        <v>03/11/2025</v>
      </c>
      <c r="K8736">
        <v>45966</v>
      </c>
      <c r="N8736">
        <v>303</v>
      </c>
      <c r="O8736" t="s">
        <v>69</v>
      </c>
      <c r="Q8736">
        <v>788.93</v>
      </c>
      <c r="R8736" t="str">
        <f>"PENSE FARMA 01 (10215)"</f>
        <v>PENSE FARMA 01 (10215)</v>
      </c>
      <c r="S8736" t="s">
        <v>70</v>
      </c>
      <c r="T8736">
        <v>20503</v>
      </c>
      <c r="U8736">
        <v>24588</v>
      </c>
      <c r="V8736" t="s">
        <v>22</v>
      </c>
    </row>
    <row r="8737" spans="1:22">
      <c r="A8737" t="str">
        <f t="shared" si="1640"/>
        <v>05/11/2025</v>
      </c>
      <c r="B8737" t="str">
        <f t="shared" si="1635"/>
        <v>ENTRADA</v>
      </c>
      <c r="C8737" t="str">
        <f t="shared" si="1636"/>
        <v>NFSE</v>
      </c>
      <c r="D8737" t="str">
        <f>"3608"</f>
        <v>3608</v>
      </c>
      <c r="E8737" t="str">
        <f t="shared" si="1637"/>
        <v>1</v>
      </c>
      <c r="F8737" t="str">
        <f t="shared" si="1633"/>
        <v>COM</v>
      </c>
      <c r="G8737" t="str">
        <f>"PENSE FARMA 39 (10228)"</f>
        <v>PENSE FARMA 39 (10228)</v>
      </c>
      <c r="H8737" t="s">
        <v>2473</v>
      </c>
      <c r="I8737" t="str">
        <f t="shared" si="1638"/>
        <v>05/11/2025</v>
      </c>
      <c r="J8737" t="str">
        <f t="shared" si="1639"/>
        <v>03/11/2025</v>
      </c>
      <c r="K8737">
        <v>45966</v>
      </c>
      <c r="N8737">
        <v>303</v>
      </c>
      <c r="O8737" t="s">
        <v>69</v>
      </c>
      <c r="Q8737">
        <v>788.93</v>
      </c>
      <c r="R8737" t="str">
        <f>"PENSE FARMA 03 (10216)"</f>
        <v>PENSE FARMA 03 (10216)</v>
      </c>
      <c r="S8737" t="s">
        <v>70</v>
      </c>
      <c r="T8737">
        <v>20503</v>
      </c>
      <c r="U8737">
        <v>24588</v>
      </c>
      <c r="V8737" t="s">
        <v>22</v>
      </c>
    </row>
    <row r="8738" spans="1:22">
      <c r="A8738" t="str">
        <f t="shared" si="1640"/>
        <v>05/11/2025</v>
      </c>
      <c r="B8738" t="str">
        <f t="shared" si="1635"/>
        <v>ENTRADA</v>
      </c>
      <c r="C8738" t="str">
        <f t="shared" si="1636"/>
        <v>NFSE</v>
      </c>
      <c r="D8738" t="str">
        <f>"3608"</f>
        <v>3608</v>
      </c>
      <c r="E8738" t="str">
        <f t="shared" si="1637"/>
        <v>1</v>
      </c>
      <c r="F8738" t="str">
        <f t="shared" si="1633"/>
        <v>COM</v>
      </c>
      <c r="G8738" t="str">
        <f>"PENSE FARMA 39 (10228)"</f>
        <v>PENSE FARMA 39 (10228)</v>
      </c>
      <c r="H8738" t="s">
        <v>2473</v>
      </c>
      <c r="I8738" t="str">
        <f t="shared" si="1638"/>
        <v>05/11/2025</v>
      </c>
      <c r="J8738" t="str">
        <f t="shared" si="1639"/>
        <v>03/11/2025</v>
      </c>
      <c r="K8738">
        <v>45966</v>
      </c>
      <c r="N8738">
        <v>303</v>
      </c>
      <c r="O8738" t="s">
        <v>69</v>
      </c>
      <c r="Q8738">
        <v>790.19</v>
      </c>
      <c r="R8738" t="str">
        <f>"PENSE FARMA 39 (10228)"</f>
        <v>PENSE FARMA 39 (10228)</v>
      </c>
      <c r="S8738" t="s">
        <v>70</v>
      </c>
      <c r="T8738">
        <v>20503</v>
      </c>
      <c r="U8738">
        <v>24588</v>
      </c>
      <c r="V8738" t="s">
        <v>22</v>
      </c>
    </row>
    <row r="8739" spans="1:22">
      <c r="A8739" t="str">
        <f t="shared" si="1640"/>
        <v>05/11/2025</v>
      </c>
      <c r="B8739" t="str">
        <f t="shared" si="1635"/>
        <v>ENTRADA</v>
      </c>
      <c r="C8739" t="str">
        <f t="shared" si="1636"/>
        <v>NFSE</v>
      </c>
      <c r="D8739" t="str">
        <f>"3609"</f>
        <v>3609</v>
      </c>
      <c r="E8739" t="str">
        <f t="shared" si="1637"/>
        <v>1</v>
      </c>
      <c r="F8739" t="str">
        <f t="shared" si="1633"/>
        <v>COM</v>
      </c>
      <c r="G8739" t="str">
        <f>"PENSE FARMA 47 (10232)"</f>
        <v>PENSE FARMA 47 (10232)</v>
      </c>
      <c r="H8739" t="str">
        <f>"Serv.Prest. 27/10/2025 a 02/11/2025 - RPS: 1485 - NFSe: 3609"</f>
        <v>Serv.Prest. 27/10/2025 a 02/11/2025 - RPS: 1485 - NFSe: 3609</v>
      </c>
      <c r="I8739" t="str">
        <f t="shared" si="1638"/>
        <v>05/11/2025</v>
      </c>
      <c r="J8739" t="str">
        <f t="shared" si="1639"/>
        <v>03/11/2025</v>
      </c>
      <c r="K8739" t="str">
        <f>("05/11/2025")</f>
        <v>05/11/2025</v>
      </c>
      <c r="L8739">
        <v>1577.94</v>
      </c>
      <c r="M8739">
        <v>1577.94</v>
      </c>
      <c r="N8739">
        <v>303</v>
      </c>
      <c r="O8739" t="str">
        <f>"RECEITAS COM ENTREGAS"</f>
        <v>RECEITAS COM ENTREGAS</v>
      </c>
      <c r="P8739">
        <v>1577.94</v>
      </c>
      <c r="S8739" t="str">
        <f>"RECEITAS COM ENTREGAS (303)"</f>
        <v>RECEITAS COM ENTREGAS (303)</v>
      </c>
      <c r="T8739">
        <v>20504</v>
      </c>
      <c r="U8739">
        <v>24591</v>
      </c>
      <c r="V8739" t="s">
        <v>22</v>
      </c>
    </row>
    <row r="8740" spans="1:22">
      <c r="A8740" t="str">
        <f t="shared" si="1640"/>
        <v>05/11/2025</v>
      </c>
      <c r="B8740" t="str">
        <f t="shared" si="1635"/>
        <v>ENTRADA</v>
      </c>
      <c r="C8740" t="str">
        <f t="shared" si="1636"/>
        <v>NFSE</v>
      </c>
      <c r="D8740" t="str">
        <f>"3609"</f>
        <v>3609</v>
      </c>
      <c r="E8740" t="str">
        <f t="shared" si="1637"/>
        <v>1</v>
      </c>
      <c r="F8740" t="str">
        <f t="shared" si="1633"/>
        <v>COM</v>
      </c>
      <c r="G8740" t="str">
        <f>"PENSE FARMA 47 (10232)"</f>
        <v>PENSE FARMA 47 (10232)</v>
      </c>
      <c r="H8740" t="s">
        <v>2474</v>
      </c>
      <c r="I8740" t="str">
        <f t="shared" si="1638"/>
        <v>05/11/2025</v>
      </c>
      <c r="J8740" t="str">
        <f t="shared" si="1639"/>
        <v>03/11/2025</v>
      </c>
      <c r="K8740">
        <v>45966</v>
      </c>
      <c r="N8740">
        <v>303</v>
      </c>
      <c r="O8740" t="s">
        <v>69</v>
      </c>
      <c r="Q8740">
        <v>1577.94</v>
      </c>
      <c r="R8740" t="str">
        <f>"PENSE FARMA 47 (10232)"</f>
        <v>PENSE FARMA 47 (10232)</v>
      </c>
      <c r="S8740" t="s">
        <v>70</v>
      </c>
      <c r="T8740">
        <v>20504</v>
      </c>
      <c r="U8740">
        <v>24591</v>
      </c>
      <c r="V8740" t="s">
        <v>22</v>
      </c>
    </row>
    <row r="8741" spans="1:22">
      <c r="A8741" t="str">
        <f t="shared" si="1640"/>
        <v>05/11/2025</v>
      </c>
      <c r="B8741" t="str">
        <f t="shared" si="1635"/>
        <v>ENTRADA</v>
      </c>
      <c r="C8741" t="str">
        <f t="shared" si="1636"/>
        <v>NFSE</v>
      </c>
      <c r="D8741" t="str">
        <f>"3610"</f>
        <v>3610</v>
      </c>
      <c r="E8741" t="str">
        <f t="shared" si="1637"/>
        <v>1</v>
      </c>
      <c r="F8741" t="str">
        <f t="shared" si="1633"/>
        <v>COM</v>
      </c>
      <c r="G8741" t="str">
        <f>"PENSE FARMA 25 (10224)"</f>
        <v>PENSE FARMA 25 (10224)</v>
      </c>
      <c r="H8741" t="str">
        <f>"Serv.Prest. 27/10/2025 a 02/11/2025 - RPS: 1486 - NFSe: 3610"</f>
        <v>Serv.Prest. 27/10/2025 a 02/11/2025 - RPS: 1486 - NFSe: 3610</v>
      </c>
      <c r="I8741" t="str">
        <f t="shared" si="1638"/>
        <v>05/11/2025</v>
      </c>
      <c r="J8741" t="str">
        <f t="shared" si="1639"/>
        <v>03/11/2025</v>
      </c>
      <c r="K8741" t="str">
        <f>("05/11/2025")</f>
        <v>05/11/2025</v>
      </c>
      <c r="L8741">
        <v>3156.95</v>
      </c>
      <c r="M8741">
        <v>3156.95</v>
      </c>
      <c r="N8741">
        <v>303</v>
      </c>
      <c r="O8741" t="str">
        <f>"RECEITAS COM ENTREGAS"</f>
        <v>RECEITAS COM ENTREGAS</v>
      </c>
      <c r="P8741">
        <v>3156.95</v>
      </c>
      <c r="S8741" t="str">
        <f>"RECEITAS COM ENTREGAS (303)"</f>
        <v>RECEITAS COM ENTREGAS (303)</v>
      </c>
      <c r="T8741">
        <v>20505</v>
      </c>
      <c r="U8741">
        <v>24594</v>
      </c>
      <c r="V8741" t="s">
        <v>22</v>
      </c>
    </row>
    <row r="8742" spans="1:22">
      <c r="A8742" t="str">
        <f t="shared" si="1640"/>
        <v>05/11/2025</v>
      </c>
      <c r="B8742" t="str">
        <f t="shared" si="1635"/>
        <v>ENTRADA</v>
      </c>
      <c r="C8742" t="str">
        <f t="shared" si="1636"/>
        <v>NFSE</v>
      </c>
      <c r="D8742" t="str">
        <f>"3610"</f>
        <v>3610</v>
      </c>
      <c r="E8742" t="str">
        <f t="shared" si="1637"/>
        <v>1</v>
      </c>
      <c r="F8742" t="str">
        <f t="shared" si="1633"/>
        <v>COM</v>
      </c>
      <c r="G8742" t="str">
        <f>"PENSE FARMA 25 (10224)"</f>
        <v>PENSE FARMA 25 (10224)</v>
      </c>
      <c r="H8742" t="s">
        <v>2475</v>
      </c>
      <c r="I8742" t="str">
        <f t="shared" si="1638"/>
        <v>05/11/2025</v>
      </c>
      <c r="J8742" t="str">
        <f t="shared" si="1639"/>
        <v>03/11/2025</v>
      </c>
      <c r="K8742">
        <v>45966</v>
      </c>
      <c r="N8742">
        <v>303</v>
      </c>
      <c r="O8742" t="s">
        <v>69</v>
      </c>
      <c r="Q8742">
        <v>3156.95</v>
      </c>
      <c r="R8742" t="str">
        <f>"PENSE FARMA 25 (10224)"</f>
        <v>PENSE FARMA 25 (10224)</v>
      </c>
      <c r="S8742" t="s">
        <v>70</v>
      </c>
      <c r="T8742">
        <v>20505</v>
      </c>
      <c r="U8742">
        <v>24594</v>
      </c>
      <c r="V8742" t="s">
        <v>22</v>
      </c>
    </row>
    <row r="8743" spans="1:22">
      <c r="A8743" t="str">
        <f t="shared" si="1640"/>
        <v>05/11/2025</v>
      </c>
      <c r="B8743" t="str">
        <f t="shared" si="1635"/>
        <v>ENTRADA</v>
      </c>
      <c r="C8743" t="str">
        <f t="shared" si="1636"/>
        <v>NFSE</v>
      </c>
      <c r="D8743" t="str">
        <f>"3611"</f>
        <v>3611</v>
      </c>
      <c r="E8743" t="str">
        <f t="shared" si="1637"/>
        <v>1</v>
      </c>
      <c r="F8743" t="str">
        <f t="shared" si="1633"/>
        <v>COM</v>
      </c>
      <c r="G8743" t="str">
        <f>"PENSE FARMA 35 (10227)"</f>
        <v>PENSE FARMA 35 (10227)</v>
      </c>
      <c r="H8743" t="str">
        <f>"Serv.Prest. 27/10/2025 a 02/11/2025 - RPS: 1487 - NFSe: 3611"</f>
        <v>Serv.Prest. 27/10/2025 a 02/11/2025 - RPS: 1487 - NFSe: 3611</v>
      </c>
      <c r="I8743" t="str">
        <f t="shared" si="1638"/>
        <v>05/11/2025</v>
      </c>
      <c r="J8743" t="str">
        <f t="shared" si="1639"/>
        <v>03/11/2025</v>
      </c>
      <c r="K8743" t="str">
        <f>("05/11/2025")</f>
        <v>05/11/2025</v>
      </c>
      <c r="L8743">
        <v>971.55</v>
      </c>
      <c r="M8743">
        <v>971.55</v>
      </c>
      <c r="N8743">
        <v>303</v>
      </c>
      <c r="O8743" t="str">
        <f>"RECEITAS COM ENTREGAS"</f>
        <v>RECEITAS COM ENTREGAS</v>
      </c>
      <c r="P8743">
        <v>971.55</v>
      </c>
      <c r="S8743" t="str">
        <f>"RECEITAS COM ENTREGAS (303)"</f>
        <v>RECEITAS COM ENTREGAS (303)</v>
      </c>
      <c r="T8743">
        <v>20506</v>
      </c>
      <c r="U8743">
        <v>24597</v>
      </c>
      <c r="V8743" t="s">
        <v>22</v>
      </c>
    </row>
    <row r="8744" spans="1:22">
      <c r="A8744" t="str">
        <f t="shared" si="1640"/>
        <v>05/11/2025</v>
      </c>
      <c r="B8744" t="str">
        <f t="shared" si="1635"/>
        <v>ENTRADA</v>
      </c>
      <c r="C8744" t="str">
        <f t="shared" si="1636"/>
        <v>NFSE</v>
      </c>
      <c r="D8744" t="str">
        <f>"3611"</f>
        <v>3611</v>
      </c>
      <c r="E8744" t="str">
        <f t="shared" si="1637"/>
        <v>1</v>
      </c>
      <c r="F8744" t="str">
        <f t="shared" si="1633"/>
        <v>COM</v>
      </c>
      <c r="G8744" t="str">
        <f>"PENSE FARMA 35 (10227)"</f>
        <v>PENSE FARMA 35 (10227)</v>
      </c>
      <c r="H8744" t="s">
        <v>2476</v>
      </c>
      <c r="I8744" t="str">
        <f t="shared" si="1638"/>
        <v>05/11/2025</v>
      </c>
      <c r="J8744" t="str">
        <f t="shared" si="1639"/>
        <v>03/11/2025</v>
      </c>
      <c r="K8744">
        <v>45966</v>
      </c>
      <c r="N8744">
        <v>303</v>
      </c>
      <c r="O8744" t="s">
        <v>69</v>
      </c>
      <c r="Q8744">
        <v>971.55</v>
      </c>
      <c r="R8744" t="str">
        <f>"PENSE FARMA 35 (10227)"</f>
        <v>PENSE FARMA 35 (10227)</v>
      </c>
      <c r="S8744" t="s">
        <v>70</v>
      </c>
      <c r="T8744">
        <v>20506</v>
      </c>
      <c r="U8744">
        <v>24597</v>
      </c>
      <c r="V8744" t="s">
        <v>22</v>
      </c>
    </row>
    <row r="8745" spans="1:22">
      <c r="A8745" t="str">
        <f t="shared" si="1640"/>
        <v>05/11/2025</v>
      </c>
      <c r="B8745" t="str">
        <f t="shared" si="1635"/>
        <v>ENTRADA</v>
      </c>
      <c r="C8745" t="str">
        <f t="shared" si="1636"/>
        <v>NFSE</v>
      </c>
      <c r="D8745" t="str">
        <f t="shared" ref="D8745:D8750" si="1641">"3612"</f>
        <v>3612</v>
      </c>
      <c r="E8745" t="str">
        <f t="shared" si="1637"/>
        <v>1</v>
      </c>
      <c r="F8745" t="str">
        <f t="shared" si="1633"/>
        <v>COM</v>
      </c>
      <c r="G8745" t="str">
        <f t="shared" ref="G8745:G8750" si="1642">"PENSE FARMA 08 (10217)"</f>
        <v>PENSE FARMA 08 (10217)</v>
      </c>
      <c r="H8745" t="str">
        <f>"Serv.Prest. 27/10/2025 a 02/11/2025 - RPS: 1488 - NFSe: 3612"</f>
        <v>Serv.Prest. 27/10/2025 a 02/11/2025 - RPS: 1488 - NFSe: 3612</v>
      </c>
      <c r="I8745" t="str">
        <f t="shared" si="1638"/>
        <v>05/11/2025</v>
      </c>
      <c r="J8745" t="str">
        <f t="shared" si="1639"/>
        <v>03/11/2025</v>
      </c>
      <c r="K8745" t="str">
        <f>("05/11/2025")</f>
        <v>05/11/2025</v>
      </c>
      <c r="L8745">
        <v>3340.5</v>
      </c>
      <c r="M8745">
        <v>3340.5</v>
      </c>
      <c r="N8745">
        <v>303</v>
      </c>
      <c r="O8745" t="str">
        <f>"RECEITAS COM ENTREGAS"</f>
        <v>RECEITAS COM ENTREGAS</v>
      </c>
      <c r="P8745">
        <v>3340.5</v>
      </c>
      <c r="S8745" t="str">
        <f>"RECEITAS COM ENTREGAS (303)"</f>
        <v>RECEITAS COM ENTREGAS (303)</v>
      </c>
      <c r="T8745">
        <v>20507</v>
      </c>
      <c r="U8745">
        <v>24599</v>
      </c>
      <c r="V8745" t="s">
        <v>22</v>
      </c>
    </row>
    <row r="8746" spans="1:22">
      <c r="A8746" t="str">
        <f t="shared" si="1640"/>
        <v>05/11/2025</v>
      </c>
      <c r="B8746" t="str">
        <f t="shared" si="1635"/>
        <v>ENTRADA</v>
      </c>
      <c r="C8746" t="str">
        <f t="shared" si="1636"/>
        <v>NFSE</v>
      </c>
      <c r="D8746" t="str">
        <f t="shared" si="1641"/>
        <v>3612</v>
      </c>
      <c r="E8746" t="str">
        <f t="shared" si="1637"/>
        <v>1</v>
      </c>
      <c r="F8746" t="str">
        <f t="shared" si="1633"/>
        <v>COM</v>
      </c>
      <c r="G8746" t="str">
        <f t="shared" si="1642"/>
        <v>PENSE FARMA 08 (10217)</v>
      </c>
      <c r="H8746" t="s">
        <v>2477</v>
      </c>
      <c r="I8746" t="str">
        <f t="shared" si="1638"/>
        <v>05/11/2025</v>
      </c>
      <c r="J8746" t="str">
        <f t="shared" si="1639"/>
        <v>03/11/2025</v>
      </c>
      <c r="K8746">
        <v>45966</v>
      </c>
      <c r="N8746">
        <v>303</v>
      </c>
      <c r="O8746" t="s">
        <v>69</v>
      </c>
      <c r="Q8746">
        <v>668.1</v>
      </c>
      <c r="R8746" t="str">
        <f>"PENSE FARMA 08 (10217)"</f>
        <v>PENSE FARMA 08 (10217)</v>
      </c>
      <c r="S8746" t="s">
        <v>70</v>
      </c>
      <c r="T8746">
        <v>20507</v>
      </c>
      <c r="U8746">
        <v>24599</v>
      </c>
      <c r="V8746" t="s">
        <v>22</v>
      </c>
    </row>
    <row r="8747" spans="1:22">
      <c r="A8747" t="str">
        <f t="shared" si="1640"/>
        <v>05/11/2025</v>
      </c>
      <c r="B8747" t="str">
        <f t="shared" si="1635"/>
        <v>ENTRADA</v>
      </c>
      <c r="C8747" t="str">
        <f t="shared" si="1636"/>
        <v>NFSE</v>
      </c>
      <c r="D8747" t="str">
        <f t="shared" si="1641"/>
        <v>3612</v>
      </c>
      <c r="E8747" t="str">
        <f t="shared" si="1637"/>
        <v>1</v>
      </c>
      <c r="F8747" t="str">
        <f t="shared" si="1633"/>
        <v>COM</v>
      </c>
      <c r="G8747" t="str">
        <f t="shared" si="1642"/>
        <v>PENSE FARMA 08 (10217)</v>
      </c>
      <c r="H8747" t="s">
        <v>2477</v>
      </c>
      <c r="I8747" t="str">
        <f t="shared" si="1638"/>
        <v>05/11/2025</v>
      </c>
      <c r="J8747" t="str">
        <f t="shared" si="1639"/>
        <v>03/11/2025</v>
      </c>
      <c r="K8747">
        <v>45966</v>
      </c>
      <c r="N8747">
        <v>303</v>
      </c>
      <c r="O8747" t="s">
        <v>69</v>
      </c>
      <c r="Q8747">
        <v>668.1</v>
      </c>
      <c r="R8747" t="str">
        <f>"PENSE FARMA 11 (10220)"</f>
        <v>PENSE FARMA 11 (10220)</v>
      </c>
      <c r="S8747" t="s">
        <v>70</v>
      </c>
      <c r="T8747">
        <v>20507</v>
      </c>
      <c r="U8747">
        <v>24599</v>
      </c>
      <c r="V8747" t="s">
        <v>22</v>
      </c>
    </row>
    <row r="8748" spans="1:22">
      <c r="A8748" t="str">
        <f t="shared" si="1640"/>
        <v>05/11/2025</v>
      </c>
      <c r="B8748" t="str">
        <f t="shared" si="1635"/>
        <v>ENTRADA</v>
      </c>
      <c r="C8748" t="str">
        <f t="shared" si="1636"/>
        <v>NFSE</v>
      </c>
      <c r="D8748" t="str">
        <f t="shared" si="1641"/>
        <v>3612</v>
      </c>
      <c r="E8748" t="str">
        <f t="shared" si="1637"/>
        <v>1</v>
      </c>
      <c r="F8748" t="str">
        <f t="shared" si="1633"/>
        <v>COM</v>
      </c>
      <c r="G8748" t="str">
        <f t="shared" si="1642"/>
        <v>PENSE FARMA 08 (10217)</v>
      </c>
      <c r="H8748" t="s">
        <v>2477</v>
      </c>
      <c r="I8748" t="str">
        <f t="shared" si="1638"/>
        <v>05/11/2025</v>
      </c>
      <c r="J8748" t="str">
        <f t="shared" si="1639"/>
        <v>03/11/2025</v>
      </c>
      <c r="K8748">
        <v>45966</v>
      </c>
      <c r="N8748">
        <v>303</v>
      </c>
      <c r="O8748" t="s">
        <v>69</v>
      </c>
      <c r="Q8748">
        <v>668.1</v>
      </c>
      <c r="R8748" t="str">
        <f>"PENSE FARMA 41 (10229)"</f>
        <v>PENSE FARMA 41 (10229)</v>
      </c>
      <c r="S8748" t="s">
        <v>70</v>
      </c>
      <c r="T8748">
        <v>20507</v>
      </c>
      <c r="U8748">
        <v>24599</v>
      </c>
      <c r="V8748" t="s">
        <v>22</v>
      </c>
    </row>
    <row r="8749" spans="1:22">
      <c r="A8749" t="str">
        <f t="shared" si="1640"/>
        <v>05/11/2025</v>
      </c>
      <c r="B8749" t="str">
        <f t="shared" si="1635"/>
        <v>ENTRADA</v>
      </c>
      <c r="C8749" t="str">
        <f t="shared" si="1636"/>
        <v>NFSE</v>
      </c>
      <c r="D8749" t="str">
        <f t="shared" si="1641"/>
        <v>3612</v>
      </c>
      <c r="E8749" t="str">
        <f t="shared" si="1637"/>
        <v>1</v>
      </c>
      <c r="F8749" t="str">
        <f t="shared" si="1633"/>
        <v>COM</v>
      </c>
      <c r="G8749" t="str">
        <f t="shared" si="1642"/>
        <v>PENSE FARMA 08 (10217)</v>
      </c>
      <c r="H8749" t="s">
        <v>2477</v>
      </c>
      <c r="I8749" t="str">
        <f t="shared" si="1638"/>
        <v>05/11/2025</v>
      </c>
      <c r="J8749" t="str">
        <f t="shared" si="1639"/>
        <v>03/11/2025</v>
      </c>
      <c r="K8749">
        <v>45966</v>
      </c>
      <c r="N8749">
        <v>303</v>
      </c>
      <c r="O8749" t="s">
        <v>69</v>
      </c>
      <c r="Q8749">
        <v>668.1</v>
      </c>
      <c r="R8749" t="str">
        <f>"PENSE FARMA 42 (10230)"</f>
        <v>PENSE FARMA 42 (10230)</v>
      </c>
      <c r="S8749" t="s">
        <v>70</v>
      </c>
      <c r="T8749">
        <v>20507</v>
      </c>
      <c r="U8749">
        <v>24599</v>
      </c>
      <c r="V8749" t="s">
        <v>22</v>
      </c>
    </row>
    <row r="8750" spans="1:22">
      <c r="A8750" t="str">
        <f t="shared" si="1640"/>
        <v>05/11/2025</v>
      </c>
      <c r="B8750" t="str">
        <f t="shared" si="1635"/>
        <v>ENTRADA</v>
      </c>
      <c r="C8750" t="str">
        <f t="shared" si="1636"/>
        <v>NFSE</v>
      </c>
      <c r="D8750" t="str">
        <f t="shared" si="1641"/>
        <v>3612</v>
      </c>
      <c r="E8750" t="str">
        <f t="shared" si="1637"/>
        <v>1</v>
      </c>
      <c r="F8750" t="str">
        <f t="shared" si="1633"/>
        <v>COM</v>
      </c>
      <c r="G8750" t="str">
        <f t="shared" si="1642"/>
        <v>PENSE FARMA 08 (10217)</v>
      </c>
      <c r="H8750" t="s">
        <v>2477</v>
      </c>
      <c r="I8750" t="str">
        <f t="shared" si="1638"/>
        <v>05/11/2025</v>
      </c>
      <c r="J8750" t="str">
        <f t="shared" si="1639"/>
        <v>03/11/2025</v>
      </c>
      <c r="K8750">
        <v>45966</v>
      </c>
      <c r="N8750">
        <v>303</v>
      </c>
      <c r="O8750" t="s">
        <v>69</v>
      </c>
      <c r="Q8750">
        <v>668.1</v>
      </c>
      <c r="R8750" t="str">
        <f>"PENSE FARMA 52 (10236)"</f>
        <v>PENSE FARMA 52 (10236)</v>
      </c>
      <c r="S8750" t="s">
        <v>70</v>
      </c>
      <c r="T8750">
        <v>20507</v>
      </c>
      <c r="U8750">
        <v>24599</v>
      </c>
      <c r="V8750" t="s">
        <v>22</v>
      </c>
    </row>
    <row r="8751" spans="1:22">
      <c r="A8751" t="str">
        <f t="shared" si="1640"/>
        <v>05/11/2025</v>
      </c>
      <c r="B8751" t="str">
        <f t="shared" ref="B8751:B8782" si="1643">"ENTRADA"</f>
        <v>ENTRADA</v>
      </c>
      <c r="C8751" t="str">
        <f t="shared" si="1636"/>
        <v>NFSE</v>
      </c>
      <c r="D8751" t="str">
        <f>"3613"</f>
        <v>3613</v>
      </c>
      <c r="E8751" t="str">
        <f t="shared" si="1637"/>
        <v>1</v>
      </c>
      <c r="F8751" t="str">
        <f t="shared" si="1633"/>
        <v>COM</v>
      </c>
      <c r="G8751" t="str">
        <f>"PENSE FARMA 09 (10218)"</f>
        <v>PENSE FARMA 09 (10218)</v>
      </c>
      <c r="H8751" t="str">
        <f>"Serv.Prest. 27/10/2025 a 02/11/2025 - RPS: 1489 - NFSe: 3613"</f>
        <v>Serv.Prest. 27/10/2025 a 02/11/2025 - RPS: 1489 - NFSe: 3613</v>
      </c>
      <c r="I8751" t="str">
        <f t="shared" si="1638"/>
        <v>05/11/2025</v>
      </c>
      <c r="J8751" t="str">
        <f t="shared" si="1639"/>
        <v>03/11/2025</v>
      </c>
      <c r="K8751" t="str">
        <f>("05/11/2025")</f>
        <v>05/11/2025</v>
      </c>
      <c r="L8751">
        <v>1669.34</v>
      </c>
      <c r="M8751">
        <v>1669.34</v>
      </c>
      <c r="N8751">
        <v>303</v>
      </c>
      <c r="O8751" t="str">
        <f>"RECEITAS COM ENTREGAS"</f>
        <v>RECEITAS COM ENTREGAS</v>
      </c>
      <c r="P8751">
        <v>1669.34</v>
      </c>
      <c r="S8751" t="str">
        <f>"RECEITAS COM ENTREGAS (303)"</f>
        <v>RECEITAS COM ENTREGAS (303)</v>
      </c>
      <c r="T8751">
        <v>20508</v>
      </c>
      <c r="U8751">
        <v>24602</v>
      </c>
      <c r="V8751" t="s">
        <v>22</v>
      </c>
    </row>
    <row r="8752" spans="1:22">
      <c r="A8752" t="str">
        <f t="shared" si="1640"/>
        <v>05/11/2025</v>
      </c>
      <c r="B8752" t="str">
        <f t="shared" si="1643"/>
        <v>ENTRADA</v>
      </c>
      <c r="C8752" t="str">
        <f t="shared" si="1636"/>
        <v>NFSE</v>
      </c>
      <c r="D8752" t="str">
        <f>"3613"</f>
        <v>3613</v>
      </c>
      <c r="E8752" t="str">
        <f t="shared" si="1637"/>
        <v>1</v>
      </c>
      <c r="F8752" t="str">
        <f t="shared" si="1633"/>
        <v>COM</v>
      </c>
      <c r="G8752" t="str">
        <f>"PENSE FARMA 09 (10218)"</f>
        <v>PENSE FARMA 09 (10218)</v>
      </c>
      <c r="H8752" t="s">
        <v>2478</v>
      </c>
      <c r="I8752" t="str">
        <f t="shared" si="1638"/>
        <v>05/11/2025</v>
      </c>
      <c r="J8752" t="str">
        <f t="shared" si="1639"/>
        <v>03/11/2025</v>
      </c>
      <c r="K8752">
        <v>45966</v>
      </c>
      <c r="N8752">
        <v>303</v>
      </c>
      <c r="O8752" t="s">
        <v>69</v>
      </c>
      <c r="Q8752">
        <v>837.67</v>
      </c>
      <c r="R8752" t="str">
        <f>"PENSE FARMA 09 (10218)"</f>
        <v>PENSE FARMA 09 (10218)</v>
      </c>
      <c r="S8752" t="s">
        <v>70</v>
      </c>
      <c r="T8752">
        <v>20508</v>
      </c>
      <c r="U8752">
        <v>24602</v>
      </c>
      <c r="V8752" t="s">
        <v>22</v>
      </c>
    </row>
    <row r="8753" spans="1:22">
      <c r="A8753" t="str">
        <f t="shared" si="1640"/>
        <v>05/11/2025</v>
      </c>
      <c r="B8753" t="str">
        <f t="shared" si="1643"/>
        <v>ENTRADA</v>
      </c>
      <c r="C8753" t="str">
        <f t="shared" ref="C8753:C8784" si="1644">"NFSE"</f>
        <v>NFSE</v>
      </c>
      <c r="D8753" t="str">
        <f>"3613"</f>
        <v>3613</v>
      </c>
      <c r="E8753" t="str">
        <f t="shared" ref="E8753:E8784" si="1645">"1"</f>
        <v>1</v>
      </c>
      <c r="F8753" t="str">
        <f t="shared" si="1633"/>
        <v>COM</v>
      </c>
      <c r="G8753" t="str">
        <f>"PENSE FARMA 09 (10218)"</f>
        <v>PENSE FARMA 09 (10218)</v>
      </c>
      <c r="H8753" t="s">
        <v>2478</v>
      </c>
      <c r="I8753" t="str">
        <f t="shared" ref="I8753:I8784" si="1646">("05/11/2025")</f>
        <v>05/11/2025</v>
      </c>
      <c r="J8753" t="str">
        <f t="shared" ref="J8753:J8784" si="1647">("03/11/2025")</f>
        <v>03/11/2025</v>
      </c>
      <c r="K8753">
        <v>45966</v>
      </c>
      <c r="N8753">
        <v>303</v>
      </c>
      <c r="O8753" t="s">
        <v>69</v>
      </c>
      <c r="Q8753">
        <v>831.67</v>
      </c>
      <c r="R8753" t="str">
        <f>"PENSE FARMA 10 (10219)"</f>
        <v>PENSE FARMA 10 (10219)</v>
      </c>
      <c r="S8753" t="s">
        <v>70</v>
      </c>
      <c r="T8753">
        <v>20508</v>
      </c>
      <c r="U8753">
        <v>24602</v>
      </c>
      <c r="V8753" t="s">
        <v>22</v>
      </c>
    </row>
    <row r="8754" spans="1:22">
      <c r="A8754" t="str">
        <f t="shared" si="1640"/>
        <v>05/11/2025</v>
      </c>
      <c r="B8754" t="str">
        <f t="shared" si="1643"/>
        <v>ENTRADA</v>
      </c>
      <c r="C8754" t="str">
        <f t="shared" si="1644"/>
        <v>NFSE</v>
      </c>
      <c r="D8754" t="str">
        <f>"3614"</f>
        <v>3614</v>
      </c>
      <c r="E8754" t="str">
        <f t="shared" si="1645"/>
        <v>1</v>
      </c>
      <c r="F8754" t="str">
        <f t="shared" si="1633"/>
        <v>COM</v>
      </c>
      <c r="G8754" t="str">
        <f>"PENSE FARMA 46 (10194)"</f>
        <v>PENSE FARMA 46 (10194)</v>
      </c>
      <c r="H8754" t="str">
        <f>"Serv.Prest. 27/10/2025 a 02/11/2025 - RPS: 1490 - NFSe: 3614"</f>
        <v>Serv.Prest. 27/10/2025 a 02/11/2025 - RPS: 1490 - NFSe: 3614</v>
      </c>
      <c r="I8754" t="str">
        <f t="shared" si="1646"/>
        <v>05/11/2025</v>
      </c>
      <c r="J8754" t="str">
        <f t="shared" si="1647"/>
        <v>03/11/2025</v>
      </c>
      <c r="K8754" t="str">
        <f>("05/11/2025")</f>
        <v>05/11/2025</v>
      </c>
      <c r="L8754">
        <v>1700</v>
      </c>
      <c r="M8754">
        <v>1700</v>
      </c>
      <c r="N8754">
        <v>303</v>
      </c>
      <c r="O8754" t="str">
        <f>"RECEITAS COM ENTREGAS"</f>
        <v>RECEITAS COM ENTREGAS</v>
      </c>
      <c r="P8754">
        <v>1700</v>
      </c>
      <c r="S8754" t="str">
        <f>"RECEITAS COM ENTREGAS (303)"</f>
        <v>RECEITAS COM ENTREGAS (303)</v>
      </c>
      <c r="T8754">
        <v>20509</v>
      </c>
      <c r="U8754">
        <v>24605</v>
      </c>
      <c r="V8754" t="s">
        <v>22</v>
      </c>
    </row>
    <row r="8755" spans="1:22">
      <c r="A8755" t="str">
        <f t="shared" si="1640"/>
        <v>05/11/2025</v>
      </c>
      <c r="B8755" t="str">
        <f t="shared" si="1643"/>
        <v>ENTRADA</v>
      </c>
      <c r="C8755" t="str">
        <f t="shared" si="1644"/>
        <v>NFSE</v>
      </c>
      <c r="D8755" t="str">
        <f>"3614"</f>
        <v>3614</v>
      </c>
      <c r="E8755" t="str">
        <f t="shared" si="1645"/>
        <v>1</v>
      </c>
      <c r="F8755" t="str">
        <f t="shared" si="1633"/>
        <v>COM</v>
      </c>
      <c r="G8755" t="str">
        <f>"PENSE FARMA 46 (10194)"</f>
        <v>PENSE FARMA 46 (10194)</v>
      </c>
      <c r="H8755" t="s">
        <v>2479</v>
      </c>
      <c r="I8755" t="str">
        <f t="shared" si="1646"/>
        <v>05/11/2025</v>
      </c>
      <c r="J8755" t="str">
        <f t="shared" si="1647"/>
        <v>03/11/2025</v>
      </c>
      <c r="K8755">
        <v>45966</v>
      </c>
      <c r="N8755">
        <v>303</v>
      </c>
      <c r="O8755" t="s">
        <v>69</v>
      </c>
      <c r="Q8755">
        <v>1700</v>
      </c>
      <c r="R8755" t="str">
        <f>"PENSE FARMA 46 (10194)"</f>
        <v>PENSE FARMA 46 (10194)</v>
      </c>
      <c r="S8755" t="s">
        <v>70</v>
      </c>
      <c r="T8755">
        <v>20509</v>
      </c>
      <c r="U8755">
        <v>24605</v>
      </c>
      <c r="V8755" t="s">
        <v>22</v>
      </c>
    </row>
    <row r="8756" spans="1:22">
      <c r="A8756" t="str">
        <f t="shared" si="1640"/>
        <v>05/11/2025</v>
      </c>
      <c r="B8756" t="str">
        <f t="shared" si="1643"/>
        <v>ENTRADA</v>
      </c>
      <c r="C8756" t="str">
        <f t="shared" si="1644"/>
        <v>NFSE</v>
      </c>
      <c r="D8756" t="str">
        <f t="shared" ref="D8756:D8762" si="1648">"3615"</f>
        <v>3615</v>
      </c>
      <c r="E8756" t="str">
        <f t="shared" si="1645"/>
        <v>1</v>
      </c>
      <c r="F8756" t="str">
        <f t="shared" si="1633"/>
        <v>COM</v>
      </c>
      <c r="G8756" t="str">
        <f t="shared" ref="G8756:G8762" si="1649">"PENSE FARMA 36 (10206)"</f>
        <v>PENSE FARMA 36 (10206)</v>
      </c>
      <c r="H8756" t="str">
        <f>"Serv.Prest. 27/10/2025 a 02/11/2025 - RPS: 1491 - NFSe: 3615"</f>
        <v>Serv.Prest. 27/10/2025 a 02/11/2025 - RPS: 1491 - NFSe: 3615</v>
      </c>
      <c r="I8756" t="str">
        <f t="shared" si="1646"/>
        <v>05/11/2025</v>
      </c>
      <c r="J8756" t="str">
        <f t="shared" si="1647"/>
        <v>03/11/2025</v>
      </c>
      <c r="K8756" t="str">
        <f>("05/11/2025")</f>
        <v>05/11/2025</v>
      </c>
      <c r="L8756">
        <v>4826.13</v>
      </c>
      <c r="M8756">
        <v>4826.13</v>
      </c>
      <c r="N8756">
        <v>303</v>
      </c>
      <c r="O8756" t="str">
        <f>"RECEITAS COM ENTREGAS"</f>
        <v>RECEITAS COM ENTREGAS</v>
      </c>
      <c r="P8756">
        <v>4826.13</v>
      </c>
      <c r="S8756" t="str">
        <f>"RECEITAS COM ENTREGAS (303)"</f>
        <v>RECEITAS COM ENTREGAS (303)</v>
      </c>
      <c r="T8756">
        <v>20510</v>
      </c>
      <c r="U8756">
        <v>24608</v>
      </c>
      <c r="V8756" t="s">
        <v>22</v>
      </c>
    </row>
    <row r="8757" spans="1:22">
      <c r="A8757" t="str">
        <f t="shared" si="1640"/>
        <v>05/11/2025</v>
      </c>
      <c r="B8757" t="str">
        <f t="shared" si="1643"/>
        <v>ENTRADA</v>
      </c>
      <c r="C8757" t="str">
        <f t="shared" si="1644"/>
        <v>NFSE</v>
      </c>
      <c r="D8757" t="str">
        <f t="shared" si="1648"/>
        <v>3615</v>
      </c>
      <c r="E8757" t="str">
        <f t="shared" si="1645"/>
        <v>1</v>
      </c>
      <c r="F8757" t="str">
        <f t="shared" si="1633"/>
        <v>COM</v>
      </c>
      <c r="G8757" t="str">
        <f t="shared" si="1649"/>
        <v>PENSE FARMA 36 (10206)</v>
      </c>
      <c r="H8757" t="s">
        <v>2480</v>
      </c>
      <c r="I8757" t="str">
        <f t="shared" si="1646"/>
        <v>05/11/2025</v>
      </c>
      <c r="J8757" t="str">
        <f t="shared" si="1647"/>
        <v>03/11/2025</v>
      </c>
      <c r="K8757">
        <v>45966</v>
      </c>
      <c r="N8757">
        <v>303</v>
      </c>
      <c r="O8757" t="s">
        <v>69</v>
      </c>
      <c r="Q8757">
        <v>803.55</v>
      </c>
      <c r="R8757" t="str">
        <f>"PENSE FARMA 20 (10203)"</f>
        <v>PENSE FARMA 20 (10203)</v>
      </c>
      <c r="S8757" t="s">
        <v>70</v>
      </c>
      <c r="T8757">
        <v>20510</v>
      </c>
      <c r="U8757">
        <v>24608</v>
      </c>
      <c r="V8757" t="s">
        <v>22</v>
      </c>
    </row>
    <row r="8758" spans="1:22">
      <c r="A8758" t="str">
        <f t="shared" si="1640"/>
        <v>05/11/2025</v>
      </c>
      <c r="B8758" t="str">
        <f t="shared" si="1643"/>
        <v>ENTRADA</v>
      </c>
      <c r="C8758" t="str">
        <f t="shared" si="1644"/>
        <v>NFSE</v>
      </c>
      <c r="D8758" t="str">
        <f t="shared" si="1648"/>
        <v>3615</v>
      </c>
      <c r="E8758" t="str">
        <f t="shared" si="1645"/>
        <v>1</v>
      </c>
      <c r="F8758" t="str">
        <f t="shared" si="1633"/>
        <v>COM</v>
      </c>
      <c r="G8758" t="str">
        <f t="shared" si="1649"/>
        <v>PENSE FARMA 36 (10206)</v>
      </c>
      <c r="H8758" t="s">
        <v>2480</v>
      </c>
      <c r="I8758" t="str">
        <f t="shared" si="1646"/>
        <v>05/11/2025</v>
      </c>
      <c r="J8758" t="str">
        <f t="shared" si="1647"/>
        <v>03/11/2025</v>
      </c>
      <c r="K8758">
        <v>45966</v>
      </c>
      <c r="N8758">
        <v>303</v>
      </c>
      <c r="O8758" t="s">
        <v>69</v>
      </c>
      <c r="Q8758">
        <v>803.55</v>
      </c>
      <c r="R8758" t="str">
        <f>"PENSE FARMA 36 (10206)"</f>
        <v>PENSE FARMA 36 (10206)</v>
      </c>
      <c r="S8758" t="s">
        <v>70</v>
      </c>
      <c r="T8758">
        <v>20510</v>
      </c>
      <c r="U8758">
        <v>24608</v>
      </c>
      <c r="V8758" t="s">
        <v>22</v>
      </c>
    </row>
    <row r="8759" spans="1:22">
      <c r="A8759" t="str">
        <f t="shared" si="1640"/>
        <v>05/11/2025</v>
      </c>
      <c r="B8759" t="str">
        <f t="shared" si="1643"/>
        <v>ENTRADA</v>
      </c>
      <c r="C8759" t="str">
        <f t="shared" si="1644"/>
        <v>NFSE</v>
      </c>
      <c r="D8759" t="str">
        <f t="shared" si="1648"/>
        <v>3615</v>
      </c>
      <c r="E8759" t="str">
        <f t="shared" si="1645"/>
        <v>1</v>
      </c>
      <c r="F8759" t="str">
        <f t="shared" si="1633"/>
        <v>COM</v>
      </c>
      <c r="G8759" t="str">
        <f t="shared" si="1649"/>
        <v>PENSE FARMA 36 (10206)</v>
      </c>
      <c r="H8759" t="s">
        <v>2480</v>
      </c>
      <c r="I8759" t="str">
        <f t="shared" si="1646"/>
        <v>05/11/2025</v>
      </c>
      <c r="J8759" t="str">
        <f t="shared" si="1647"/>
        <v>03/11/2025</v>
      </c>
      <c r="K8759">
        <v>45966</v>
      </c>
      <c r="N8759">
        <v>303</v>
      </c>
      <c r="O8759" t="s">
        <v>69</v>
      </c>
      <c r="Q8759">
        <v>803.55</v>
      </c>
      <c r="R8759" t="str">
        <f>"PENSE FARMA 40 (10207)"</f>
        <v>PENSE FARMA 40 (10207)</v>
      </c>
      <c r="S8759" t="s">
        <v>70</v>
      </c>
      <c r="T8759">
        <v>20510</v>
      </c>
      <c r="U8759">
        <v>24608</v>
      </c>
      <c r="V8759" t="s">
        <v>22</v>
      </c>
    </row>
    <row r="8760" spans="1:22">
      <c r="A8760" t="str">
        <f t="shared" si="1640"/>
        <v>05/11/2025</v>
      </c>
      <c r="B8760" t="str">
        <f t="shared" si="1643"/>
        <v>ENTRADA</v>
      </c>
      <c r="C8760" t="str">
        <f t="shared" si="1644"/>
        <v>NFSE</v>
      </c>
      <c r="D8760" t="str">
        <f t="shared" si="1648"/>
        <v>3615</v>
      </c>
      <c r="E8760" t="str">
        <f t="shared" si="1645"/>
        <v>1</v>
      </c>
      <c r="F8760" t="str">
        <f t="shared" si="1633"/>
        <v>COM</v>
      </c>
      <c r="G8760" t="str">
        <f t="shared" si="1649"/>
        <v>PENSE FARMA 36 (10206)</v>
      </c>
      <c r="H8760" t="s">
        <v>2480</v>
      </c>
      <c r="I8760" t="str">
        <f t="shared" si="1646"/>
        <v>05/11/2025</v>
      </c>
      <c r="J8760" t="str">
        <f t="shared" si="1647"/>
        <v>03/11/2025</v>
      </c>
      <c r="K8760">
        <v>45966</v>
      </c>
      <c r="N8760">
        <v>303</v>
      </c>
      <c r="O8760" t="s">
        <v>69</v>
      </c>
      <c r="Q8760">
        <v>803.55</v>
      </c>
      <c r="R8760" t="str">
        <f>"PENSE FARMA 43 (10208)"</f>
        <v>PENSE FARMA 43 (10208)</v>
      </c>
      <c r="S8760" t="s">
        <v>70</v>
      </c>
      <c r="T8760">
        <v>20510</v>
      </c>
      <c r="U8760">
        <v>24608</v>
      </c>
      <c r="V8760" t="s">
        <v>22</v>
      </c>
    </row>
    <row r="8761" spans="1:22">
      <c r="A8761" t="str">
        <f t="shared" si="1640"/>
        <v>05/11/2025</v>
      </c>
      <c r="B8761" t="str">
        <f t="shared" si="1643"/>
        <v>ENTRADA</v>
      </c>
      <c r="C8761" t="str">
        <f t="shared" si="1644"/>
        <v>NFSE</v>
      </c>
      <c r="D8761" t="str">
        <f t="shared" si="1648"/>
        <v>3615</v>
      </c>
      <c r="E8761" t="str">
        <f t="shared" si="1645"/>
        <v>1</v>
      </c>
      <c r="F8761" t="str">
        <f t="shared" si="1633"/>
        <v>COM</v>
      </c>
      <c r="G8761" t="str">
        <f t="shared" si="1649"/>
        <v>PENSE FARMA 36 (10206)</v>
      </c>
      <c r="H8761" t="s">
        <v>2480</v>
      </c>
      <c r="I8761" t="str">
        <f t="shared" si="1646"/>
        <v>05/11/2025</v>
      </c>
      <c r="J8761" t="str">
        <f t="shared" si="1647"/>
        <v>03/11/2025</v>
      </c>
      <c r="K8761">
        <v>45966</v>
      </c>
      <c r="N8761">
        <v>303</v>
      </c>
      <c r="O8761" t="s">
        <v>69</v>
      </c>
      <c r="Q8761">
        <v>803.55</v>
      </c>
      <c r="R8761" t="str">
        <f>"PENSE FARMA 59 (10211)"</f>
        <v>PENSE FARMA 59 (10211)</v>
      </c>
      <c r="S8761" t="s">
        <v>70</v>
      </c>
      <c r="T8761">
        <v>20510</v>
      </c>
      <c r="U8761">
        <v>24608</v>
      </c>
      <c r="V8761" t="s">
        <v>22</v>
      </c>
    </row>
    <row r="8762" spans="1:22">
      <c r="A8762" t="str">
        <f t="shared" si="1640"/>
        <v>05/11/2025</v>
      </c>
      <c r="B8762" t="str">
        <f t="shared" si="1643"/>
        <v>ENTRADA</v>
      </c>
      <c r="C8762" t="str">
        <f t="shared" si="1644"/>
        <v>NFSE</v>
      </c>
      <c r="D8762" t="str">
        <f t="shared" si="1648"/>
        <v>3615</v>
      </c>
      <c r="E8762" t="str">
        <f t="shared" si="1645"/>
        <v>1</v>
      </c>
      <c r="F8762" t="str">
        <f t="shared" si="1633"/>
        <v>COM</v>
      </c>
      <c r="G8762" t="str">
        <f t="shared" si="1649"/>
        <v>PENSE FARMA 36 (10206)</v>
      </c>
      <c r="H8762" t="s">
        <v>2480</v>
      </c>
      <c r="I8762" t="str">
        <f t="shared" si="1646"/>
        <v>05/11/2025</v>
      </c>
      <c r="J8762" t="str">
        <f t="shared" si="1647"/>
        <v>03/11/2025</v>
      </c>
      <c r="K8762">
        <v>45966</v>
      </c>
      <c r="N8762">
        <v>303</v>
      </c>
      <c r="O8762" t="s">
        <v>69</v>
      </c>
      <c r="Q8762">
        <v>808.38</v>
      </c>
      <c r="R8762" t="str">
        <f>"PENSE FARMA DARK STORE 361 (10212)"</f>
        <v>PENSE FARMA DARK STORE 361 (10212)</v>
      </c>
      <c r="S8762" t="s">
        <v>70</v>
      </c>
      <c r="T8762">
        <v>20510</v>
      </c>
      <c r="U8762">
        <v>24608</v>
      </c>
      <c r="V8762" t="s">
        <v>22</v>
      </c>
    </row>
    <row r="8763" spans="1:22">
      <c r="A8763" t="str">
        <f t="shared" ref="A8763:A8794" si="1650">("05/11/2025")</f>
        <v>05/11/2025</v>
      </c>
      <c r="B8763" t="str">
        <f t="shared" si="1643"/>
        <v>ENTRADA</v>
      </c>
      <c r="C8763" t="str">
        <f t="shared" si="1644"/>
        <v>NFSE</v>
      </c>
      <c r="D8763" t="str">
        <f>"3616"</f>
        <v>3616</v>
      </c>
      <c r="E8763" t="str">
        <f t="shared" si="1645"/>
        <v>1</v>
      </c>
      <c r="F8763" t="str">
        <f t="shared" si="1633"/>
        <v>COM</v>
      </c>
      <c r="G8763" t="str">
        <f>"PENSE FARMA 27 (10204)"</f>
        <v>PENSE FARMA 27 (10204)</v>
      </c>
      <c r="H8763" t="str">
        <f>"Serv.Prest. 27/10/2025 a 02/11/2025 - RPS: 1492 - NFSe: 3616"</f>
        <v>Serv.Prest. 27/10/2025 a 02/11/2025 - RPS: 1492 - NFSe: 3616</v>
      </c>
      <c r="I8763" t="str">
        <f t="shared" si="1646"/>
        <v>05/11/2025</v>
      </c>
      <c r="J8763" t="str">
        <f t="shared" si="1647"/>
        <v>03/11/2025</v>
      </c>
      <c r="K8763" t="str">
        <f>("05/11/2025")</f>
        <v>05/11/2025</v>
      </c>
      <c r="L8763">
        <v>3034.5</v>
      </c>
      <c r="M8763">
        <v>3034.5</v>
      </c>
      <c r="N8763">
        <v>303</v>
      </c>
      <c r="O8763" t="str">
        <f>"RECEITAS COM ENTREGAS"</f>
        <v>RECEITAS COM ENTREGAS</v>
      </c>
      <c r="P8763">
        <v>3034.5</v>
      </c>
      <c r="S8763" t="str">
        <f>"RECEITAS COM ENTREGAS (303)"</f>
        <v>RECEITAS COM ENTREGAS (303)</v>
      </c>
      <c r="T8763">
        <v>20511</v>
      </c>
      <c r="U8763">
        <v>24612</v>
      </c>
      <c r="V8763" t="s">
        <v>22</v>
      </c>
    </row>
    <row r="8764" spans="1:22">
      <c r="A8764" t="str">
        <f t="shared" si="1650"/>
        <v>05/11/2025</v>
      </c>
      <c r="B8764" t="str">
        <f t="shared" si="1643"/>
        <v>ENTRADA</v>
      </c>
      <c r="C8764" t="str">
        <f t="shared" si="1644"/>
        <v>NFSE</v>
      </c>
      <c r="D8764" t="str">
        <f>"3616"</f>
        <v>3616</v>
      </c>
      <c r="E8764" t="str">
        <f t="shared" si="1645"/>
        <v>1</v>
      </c>
      <c r="F8764" t="str">
        <f t="shared" si="1633"/>
        <v>COM</v>
      </c>
      <c r="G8764" t="str">
        <f>"PENSE FARMA 27 (10204)"</f>
        <v>PENSE FARMA 27 (10204)</v>
      </c>
      <c r="H8764" t="s">
        <v>2481</v>
      </c>
      <c r="I8764" t="str">
        <f t="shared" si="1646"/>
        <v>05/11/2025</v>
      </c>
      <c r="J8764" t="str">
        <f t="shared" si="1647"/>
        <v>03/11/2025</v>
      </c>
      <c r="K8764">
        <v>45966</v>
      </c>
      <c r="N8764">
        <v>303</v>
      </c>
      <c r="O8764" t="s">
        <v>69</v>
      </c>
      <c r="Q8764">
        <v>1011.4</v>
      </c>
      <c r="R8764" t="str">
        <f>"PENSE FARMA 05 (10200)"</f>
        <v>PENSE FARMA 05 (10200)</v>
      </c>
      <c r="S8764" t="s">
        <v>70</v>
      </c>
      <c r="T8764">
        <v>20511</v>
      </c>
      <c r="U8764">
        <v>24612</v>
      </c>
      <c r="V8764" t="s">
        <v>22</v>
      </c>
    </row>
    <row r="8765" spans="1:22">
      <c r="A8765" t="str">
        <f t="shared" si="1650"/>
        <v>05/11/2025</v>
      </c>
      <c r="B8765" t="str">
        <f t="shared" si="1643"/>
        <v>ENTRADA</v>
      </c>
      <c r="C8765" t="str">
        <f t="shared" si="1644"/>
        <v>NFSE</v>
      </c>
      <c r="D8765" t="str">
        <f>"3616"</f>
        <v>3616</v>
      </c>
      <c r="E8765" t="str">
        <f t="shared" si="1645"/>
        <v>1</v>
      </c>
      <c r="F8765" t="str">
        <f t="shared" si="1633"/>
        <v>COM</v>
      </c>
      <c r="G8765" t="str">
        <f>"PENSE FARMA 27 (10204)"</f>
        <v>PENSE FARMA 27 (10204)</v>
      </c>
      <c r="H8765" t="s">
        <v>2481</v>
      </c>
      <c r="I8765" t="str">
        <f t="shared" si="1646"/>
        <v>05/11/2025</v>
      </c>
      <c r="J8765" t="str">
        <f t="shared" si="1647"/>
        <v>03/11/2025</v>
      </c>
      <c r="K8765">
        <v>45966</v>
      </c>
      <c r="N8765">
        <v>303</v>
      </c>
      <c r="O8765" t="s">
        <v>69</v>
      </c>
      <c r="Q8765">
        <v>1011.4</v>
      </c>
      <c r="R8765" t="str">
        <f>"PENSE FARMA 13 (10202)"</f>
        <v>PENSE FARMA 13 (10202)</v>
      </c>
      <c r="S8765" t="s">
        <v>70</v>
      </c>
      <c r="T8765">
        <v>20511</v>
      </c>
      <c r="U8765">
        <v>24612</v>
      </c>
      <c r="V8765" t="s">
        <v>22</v>
      </c>
    </row>
    <row r="8766" spans="1:22">
      <c r="A8766" t="str">
        <f t="shared" si="1650"/>
        <v>05/11/2025</v>
      </c>
      <c r="B8766" t="str">
        <f t="shared" si="1643"/>
        <v>ENTRADA</v>
      </c>
      <c r="C8766" t="str">
        <f t="shared" si="1644"/>
        <v>NFSE</v>
      </c>
      <c r="D8766" t="str">
        <f>"3616"</f>
        <v>3616</v>
      </c>
      <c r="E8766" t="str">
        <f t="shared" si="1645"/>
        <v>1</v>
      </c>
      <c r="F8766" t="str">
        <f t="shared" si="1633"/>
        <v>COM</v>
      </c>
      <c r="G8766" t="str">
        <f>"PENSE FARMA 27 (10204)"</f>
        <v>PENSE FARMA 27 (10204)</v>
      </c>
      <c r="H8766" t="s">
        <v>2481</v>
      </c>
      <c r="I8766" t="str">
        <f t="shared" si="1646"/>
        <v>05/11/2025</v>
      </c>
      <c r="J8766" t="str">
        <f t="shared" si="1647"/>
        <v>03/11/2025</v>
      </c>
      <c r="K8766">
        <v>45966</v>
      </c>
      <c r="N8766">
        <v>303</v>
      </c>
      <c r="O8766" t="s">
        <v>69</v>
      </c>
      <c r="Q8766">
        <v>1011.7</v>
      </c>
      <c r="R8766" t="str">
        <f>"PENSE FARMA 27 (10204)"</f>
        <v>PENSE FARMA 27 (10204)</v>
      </c>
      <c r="S8766" t="s">
        <v>70</v>
      </c>
      <c r="T8766">
        <v>20511</v>
      </c>
      <c r="U8766">
        <v>24612</v>
      </c>
      <c r="V8766" t="s">
        <v>22</v>
      </c>
    </row>
    <row r="8767" spans="1:22">
      <c r="A8767" t="str">
        <f t="shared" si="1650"/>
        <v>05/11/2025</v>
      </c>
      <c r="B8767" t="str">
        <f t="shared" si="1643"/>
        <v>ENTRADA</v>
      </c>
      <c r="C8767" t="str">
        <f t="shared" si="1644"/>
        <v>NFSE</v>
      </c>
      <c r="D8767" t="str">
        <f>"3617"</f>
        <v>3617</v>
      </c>
      <c r="E8767" t="str">
        <f t="shared" si="1645"/>
        <v>1</v>
      </c>
      <c r="F8767" t="str">
        <f t="shared" si="1633"/>
        <v>COM</v>
      </c>
      <c r="G8767" t="str">
        <f>"PENSE FARMA 07 (10201)"</f>
        <v>PENSE FARMA 07 (10201)</v>
      </c>
      <c r="H8767" t="str">
        <f>"Serv.Prest. 27/10/2025 a 02/11/2025 - RPS: 1493 - NFSe: 3617"</f>
        <v>Serv.Prest. 27/10/2025 a 02/11/2025 - RPS: 1493 - NFSe: 3617</v>
      </c>
      <c r="I8767" t="str">
        <f t="shared" si="1646"/>
        <v>05/11/2025</v>
      </c>
      <c r="J8767" t="str">
        <f t="shared" si="1647"/>
        <v>03/11/2025</v>
      </c>
      <c r="K8767" t="str">
        <f>("05/11/2025")</f>
        <v>05/11/2025</v>
      </c>
      <c r="L8767">
        <v>1517.25</v>
      </c>
      <c r="M8767">
        <v>1517.25</v>
      </c>
      <c r="N8767">
        <v>303</v>
      </c>
      <c r="O8767" t="str">
        <f>"RECEITAS COM ENTREGAS"</f>
        <v>RECEITAS COM ENTREGAS</v>
      </c>
      <c r="P8767">
        <v>1517.25</v>
      </c>
      <c r="S8767" t="str">
        <f>"RECEITAS COM ENTREGAS (303)"</f>
        <v>RECEITAS COM ENTREGAS (303)</v>
      </c>
      <c r="T8767">
        <v>20512</v>
      </c>
      <c r="U8767">
        <v>24615</v>
      </c>
      <c r="V8767" t="s">
        <v>22</v>
      </c>
    </row>
    <row r="8768" spans="1:22">
      <c r="A8768" t="str">
        <f t="shared" si="1650"/>
        <v>05/11/2025</v>
      </c>
      <c r="B8768" t="str">
        <f t="shared" si="1643"/>
        <v>ENTRADA</v>
      </c>
      <c r="C8768" t="str">
        <f t="shared" si="1644"/>
        <v>NFSE</v>
      </c>
      <c r="D8768" t="str">
        <f>"3617"</f>
        <v>3617</v>
      </c>
      <c r="E8768" t="str">
        <f t="shared" si="1645"/>
        <v>1</v>
      </c>
      <c r="F8768" t="str">
        <f t="shared" si="1633"/>
        <v>COM</v>
      </c>
      <c r="G8768" t="str">
        <f>"PENSE FARMA 07 (10201)"</f>
        <v>PENSE FARMA 07 (10201)</v>
      </c>
      <c r="H8768" t="s">
        <v>2482</v>
      </c>
      <c r="I8768" t="str">
        <f t="shared" si="1646"/>
        <v>05/11/2025</v>
      </c>
      <c r="J8768" t="str">
        <f t="shared" si="1647"/>
        <v>03/11/2025</v>
      </c>
      <c r="K8768">
        <v>45966</v>
      </c>
      <c r="N8768">
        <v>303</v>
      </c>
      <c r="O8768" t="s">
        <v>69</v>
      </c>
      <c r="Q8768">
        <v>505.7</v>
      </c>
      <c r="R8768" t="str">
        <f>"PENSE FARMA 07 (10201)"</f>
        <v>PENSE FARMA 07 (10201)</v>
      </c>
      <c r="S8768" t="s">
        <v>70</v>
      </c>
      <c r="T8768">
        <v>20512</v>
      </c>
      <c r="U8768">
        <v>24615</v>
      </c>
      <c r="V8768" t="s">
        <v>22</v>
      </c>
    </row>
    <row r="8769" spans="1:22">
      <c r="A8769" t="str">
        <f t="shared" si="1650"/>
        <v>05/11/2025</v>
      </c>
      <c r="B8769" t="str">
        <f t="shared" si="1643"/>
        <v>ENTRADA</v>
      </c>
      <c r="C8769" t="str">
        <f t="shared" si="1644"/>
        <v>NFSE</v>
      </c>
      <c r="D8769" t="str">
        <f>"3617"</f>
        <v>3617</v>
      </c>
      <c r="E8769" t="str">
        <f t="shared" si="1645"/>
        <v>1</v>
      </c>
      <c r="F8769" t="str">
        <f t="shared" si="1633"/>
        <v>COM</v>
      </c>
      <c r="G8769" t="str">
        <f>"PENSE FARMA 07 (10201)"</f>
        <v>PENSE FARMA 07 (10201)</v>
      </c>
      <c r="H8769" t="s">
        <v>2482</v>
      </c>
      <c r="I8769" t="str">
        <f t="shared" si="1646"/>
        <v>05/11/2025</v>
      </c>
      <c r="J8769" t="str">
        <f t="shared" si="1647"/>
        <v>03/11/2025</v>
      </c>
      <c r="K8769">
        <v>45966</v>
      </c>
      <c r="N8769">
        <v>303</v>
      </c>
      <c r="O8769" t="s">
        <v>69</v>
      </c>
      <c r="Q8769">
        <v>505.7</v>
      </c>
      <c r="R8769" t="str">
        <f>"PENSE FARMA 45 (10209)"</f>
        <v>PENSE FARMA 45 (10209)</v>
      </c>
      <c r="S8769" t="s">
        <v>70</v>
      </c>
      <c r="T8769">
        <v>20512</v>
      </c>
      <c r="U8769">
        <v>24615</v>
      </c>
      <c r="V8769" t="s">
        <v>22</v>
      </c>
    </row>
    <row r="8770" spans="1:22">
      <c r="A8770" t="str">
        <f t="shared" si="1650"/>
        <v>05/11/2025</v>
      </c>
      <c r="B8770" t="str">
        <f t="shared" si="1643"/>
        <v>ENTRADA</v>
      </c>
      <c r="C8770" t="str">
        <f t="shared" si="1644"/>
        <v>NFSE</v>
      </c>
      <c r="D8770" t="str">
        <f>"3617"</f>
        <v>3617</v>
      </c>
      <c r="E8770" t="str">
        <f t="shared" si="1645"/>
        <v>1</v>
      </c>
      <c r="F8770" t="str">
        <f t="shared" si="1633"/>
        <v>COM</v>
      </c>
      <c r="G8770" t="str">
        <f>"PENSE FARMA 07 (10201)"</f>
        <v>PENSE FARMA 07 (10201)</v>
      </c>
      <c r="H8770" t="s">
        <v>2482</v>
      </c>
      <c r="I8770" t="str">
        <f t="shared" si="1646"/>
        <v>05/11/2025</v>
      </c>
      <c r="J8770" t="str">
        <f t="shared" si="1647"/>
        <v>03/11/2025</v>
      </c>
      <c r="K8770">
        <v>45966</v>
      </c>
      <c r="N8770">
        <v>303</v>
      </c>
      <c r="O8770" t="s">
        <v>69</v>
      </c>
      <c r="Q8770">
        <v>505.85</v>
      </c>
      <c r="R8770" t="str">
        <f>"PENSE FARMA 50 (10210)"</f>
        <v>PENSE FARMA 50 (10210)</v>
      </c>
      <c r="S8770" t="s">
        <v>70</v>
      </c>
      <c r="T8770">
        <v>20512</v>
      </c>
      <c r="U8770">
        <v>24615</v>
      </c>
      <c r="V8770" t="s">
        <v>22</v>
      </c>
    </row>
    <row r="8771" spans="1:22">
      <c r="A8771" t="str">
        <f t="shared" si="1650"/>
        <v>05/11/2025</v>
      </c>
      <c r="B8771" t="str">
        <f t="shared" si="1643"/>
        <v>ENTRADA</v>
      </c>
      <c r="C8771" t="str">
        <f t="shared" si="1644"/>
        <v>NFSE</v>
      </c>
      <c r="D8771" t="str">
        <f>"3618"</f>
        <v>3618</v>
      </c>
      <c r="E8771" t="str">
        <f t="shared" si="1645"/>
        <v>1</v>
      </c>
      <c r="F8771" t="str">
        <f t="shared" si="1633"/>
        <v>COM</v>
      </c>
      <c r="G8771" t="str">
        <f>"PENSE FARMA 15 (10195)"</f>
        <v>PENSE FARMA 15 (10195)</v>
      </c>
      <c r="H8771" t="str">
        <f>"Serv.Prest. 27/10/2025 a 02/11/2025 - RPS: 1494 - NFSe: 3618"</f>
        <v>Serv.Prest. 27/10/2025 a 02/11/2025 - RPS: 1494 - NFSe: 3618</v>
      </c>
      <c r="I8771" t="str">
        <f t="shared" si="1646"/>
        <v>05/11/2025</v>
      </c>
      <c r="J8771" t="str">
        <f t="shared" si="1647"/>
        <v>03/11/2025</v>
      </c>
      <c r="K8771" t="str">
        <f>("05/11/2025")</f>
        <v>05/11/2025</v>
      </c>
      <c r="L8771">
        <v>2337.5</v>
      </c>
      <c r="M8771">
        <v>2337.5</v>
      </c>
      <c r="N8771">
        <v>303</v>
      </c>
      <c r="O8771" t="str">
        <f>"RECEITAS COM ENTREGAS"</f>
        <v>RECEITAS COM ENTREGAS</v>
      </c>
      <c r="P8771">
        <v>2337.5</v>
      </c>
      <c r="S8771" t="str">
        <f>"RECEITAS COM ENTREGAS (303)"</f>
        <v>RECEITAS COM ENTREGAS (303)</v>
      </c>
      <c r="T8771">
        <v>20513</v>
      </c>
      <c r="U8771">
        <v>24617</v>
      </c>
      <c r="V8771" t="s">
        <v>22</v>
      </c>
    </row>
    <row r="8772" spans="1:22">
      <c r="A8772" t="str">
        <f t="shared" si="1650"/>
        <v>05/11/2025</v>
      </c>
      <c r="B8772" t="str">
        <f t="shared" si="1643"/>
        <v>ENTRADA</v>
      </c>
      <c r="C8772" t="str">
        <f t="shared" si="1644"/>
        <v>NFSE</v>
      </c>
      <c r="D8772" t="str">
        <f>"3618"</f>
        <v>3618</v>
      </c>
      <c r="E8772" t="str">
        <f t="shared" si="1645"/>
        <v>1</v>
      </c>
      <c r="F8772" t="str">
        <f t="shared" ref="F8772:F8804" si="1651">"COM"</f>
        <v>COM</v>
      </c>
      <c r="G8772" t="str">
        <f>"PENSE FARMA 15 (10195)"</f>
        <v>PENSE FARMA 15 (10195)</v>
      </c>
      <c r="H8772" t="s">
        <v>2483</v>
      </c>
      <c r="I8772" t="str">
        <f t="shared" si="1646"/>
        <v>05/11/2025</v>
      </c>
      <c r="J8772" t="str">
        <f t="shared" si="1647"/>
        <v>03/11/2025</v>
      </c>
      <c r="K8772">
        <v>45966</v>
      </c>
      <c r="N8772">
        <v>303</v>
      </c>
      <c r="O8772" t="s">
        <v>69</v>
      </c>
      <c r="Q8772">
        <v>637.42999999999995</v>
      </c>
      <c r="R8772" t="str">
        <f>"PENSE FARMA 15 (10195)"</f>
        <v>PENSE FARMA 15 (10195)</v>
      </c>
      <c r="S8772" t="s">
        <v>70</v>
      </c>
      <c r="T8772">
        <v>20513</v>
      </c>
      <c r="U8772">
        <v>24617</v>
      </c>
      <c r="V8772" t="s">
        <v>22</v>
      </c>
    </row>
    <row r="8773" spans="1:22">
      <c r="A8773" t="str">
        <f t="shared" si="1650"/>
        <v>05/11/2025</v>
      </c>
      <c r="B8773" t="str">
        <f t="shared" si="1643"/>
        <v>ENTRADA</v>
      </c>
      <c r="C8773" t="str">
        <f t="shared" si="1644"/>
        <v>NFSE</v>
      </c>
      <c r="D8773" t="str">
        <f>"3618"</f>
        <v>3618</v>
      </c>
      <c r="E8773" t="str">
        <f t="shared" si="1645"/>
        <v>1</v>
      </c>
      <c r="F8773" t="str">
        <f t="shared" si="1651"/>
        <v>COM</v>
      </c>
      <c r="G8773" t="str">
        <f>"PENSE FARMA 15 (10195)"</f>
        <v>PENSE FARMA 15 (10195)</v>
      </c>
      <c r="H8773" t="s">
        <v>2483</v>
      </c>
      <c r="I8773" t="str">
        <f t="shared" si="1646"/>
        <v>05/11/2025</v>
      </c>
      <c r="J8773" t="str">
        <f t="shared" si="1647"/>
        <v>03/11/2025</v>
      </c>
      <c r="K8773">
        <v>45966</v>
      </c>
      <c r="N8773">
        <v>303</v>
      </c>
      <c r="O8773" t="s">
        <v>69</v>
      </c>
      <c r="Q8773">
        <v>637.44000000000005</v>
      </c>
      <c r="R8773" t="str">
        <f>"PENSE FARMA 26 (10196)"</f>
        <v>PENSE FARMA 26 (10196)</v>
      </c>
      <c r="S8773" t="s">
        <v>70</v>
      </c>
      <c r="T8773">
        <v>20513</v>
      </c>
      <c r="U8773">
        <v>24617</v>
      </c>
      <c r="V8773" t="s">
        <v>22</v>
      </c>
    </row>
    <row r="8774" spans="1:22">
      <c r="A8774" t="str">
        <f t="shared" si="1650"/>
        <v>05/11/2025</v>
      </c>
      <c r="B8774" t="str">
        <f t="shared" si="1643"/>
        <v>ENTRADA</v>
      </c>
      <c r="C8774" t="str">
        <f t="shared" si="1644"/>
        <v>NFSE</v>
      </c>
      <c r="D8774" t="str">
        <f>"3618"</f>
        <v>3618</v>
      </c>
      <c r="E8774" t="str">
        <f t="shared" si="1645"/>
        <v>1</v>
      </c>
      <c r="F8774" t="str">
        <f t="shared" si="1651"/>
        <v>COM</v>
      </c>
      <c r="G8774" t="str">
        <f>"PENSE FARMA 15 (10195)"</f>
        <v>PENSE FARMA 15 (10195)</v>
      </c>
      <c r="H8774" t="s">
        <v>2483</v>
      </c>
      <c r="I8774" t="str">
        <f t="shared" si="1646"/>
        <v>05/11/2025</v>
      </c>
      <c r="J8774" t="str">
        <f t="shared" si="1647"/>
        <v>03/11/2025</v>
      </c>
      <c r="K8774">
        <v>45966</v>
      </c>
      <c r="N8774">
        <v>303</v>
      </c>
      <c r="O8774" t="s">
        <v>69</v>
      </c>
      <c r="Q8774">
        <v>637.44000000000005</v>
      </c>
      <c r="R8774" t="str">
        <f>"PENSE FARMA 60 (10197)"</f>
        <v>PENSE FARMA 60 (10197)</v>
      </c>
      <c r="S8774" t="s">
        <v>70</v>
      </c>
      <c r="T8774">
        <v>20513</v>
      </c>
      <c r="U8774">
        <v>24617</v>
      </c>
      <c r="V8774" t="s">
        <v>22</v>
      </c>
    </row>
    <row r="8775" spans="1:22">
      <c r="A8775" t="str">
        <f t="shared" si="1650"/>
        <v>05/11/2025</v>
      </c>
      <c r="B8775" t="str">
        <f t="shared" si="1643"/>
        <v>ENTRADA</v>
      </c>
      <c r="C8775" t="str">
        <f t="shared" si="1644"/>
        <v>NFSE</v>
      </c>
      <c r="D8775" t="str">
        <f>"3618"</f>
        <v>3618</v>
      </c>
      <c r="E8775" t="str">
        <f t="shared" si="1645"/>
        <v>1</v>
      </c>
      <c r="F8775" t="str">
        <f t="shared" si="1651"/>
        <v>COM</v>
      </c>
      <c r="G8775" t="str">
        <f>"PENSE FARMA 15 (10195)"</f>
        <v>PENSE FARMA 15 (10195)</v>
      </c>
      <c r="H8775" t="s">
        <v>2483</v>
      </c>
      <c r="I8775" t="str">
        <f t="shared" si="1646"/>
        <v>05/11/2025</v>
      </c>
      <c r="J8775" t="str">
        <f t="shared" si="1647"/>
        <v>03/11/2025</v>
      </c>
      <c r="K8775">
        <v>45966</v>
      </c>
      <c r="N8775">
        <v>303</v>
      </c>
      <c r="O8775" t="s">
        <v>69</v>
      </c>
      <c r="Q8775">
        <v>425.19</v>
      </c>
      <c r="R8775" t="str">
        <f>"PENSE FARMA 61 (10243)"</f>
        <v>PENSE FARMA 61 (10243)</v>
      </c>
      <c r="S8775" t="s">
        <v>70</v>
      </c>
      <c r="T8775">
        <v>20513</v>
      </c>
      <c r="U8775">
        <v>24617</v>
      </c>
      <c r="V8775" t="s">
        <v>22</v>
      </c>
    </row>
    <row r="8776" spans="1:22">
      <c r="A8776" t="str">
        <f t="shared" si="1650"/>
        <v>05/11/2025</v>
      </c>
      <c r="B8776" t="str">
        <f t="shared" si="1643"/>
        <v>ENTRADA</v>
      </c>
      <c r="C8776" t="str">
        <f t="shared" si="1644"/>
        <v>NFSE</v>
      </c>
      <c r="D8776" t="str">
        <f>"3621"</f>
        <v>3621</v>
      </c>
      <c r="E8776" t="str">
        <f t="shared" si="1645"/>
        <v>1</v>
      </c>
      <c r="F8776" t="str">
        <f t="shared" si="1651"/>
        <v>COM</v>
      </c>
      <c r="G8776" t="str">
        <f>"DROGARIA AGAPEAMA (10167)"</f>
        <v>DROGARIA AGAPEAMA (10167)</v>
      </c>
      <c r="H8776" t="str">
        <f>"Serv.Prest. 27/10/2025 a 02/11/2025 - RPS: 1497 - NFSe: 3621"</f>
        <v>Serv.Prest. 27/10/2025 a 02/11/2025 - RPS: 1497 - NFSe: 3621</v>
      </c>
      <c r="I8776" t="str">
        <f t="shared" si="1646"/>
        <v>05/11/2025</v>
      </c>
      <c r="J8776" t="str">
        <f t="shared" si="1647"/>
        <v>03/11/2025</v>
      </c>
      <c r="K8776" t="str">
        <f>("05/11/2025")</f>
        <v>05/11/2025</v>
      </c>
      <c r="L8776">
        <v>3312</v>
      </c>
      <c r="M8776">
        <v>3312</v>
      </c>
      <c r="N8776">
        <v>303</v>
      </c>
      <c r="O8776" t="str">
        <f>"RECEITAS COM ENTREGAS"</f>
        <v>RECEITAS COM ENTREGAS</v>
      </c>
      <c r="P8776">
        <v>3312</v>
      </c>
      <c r="S8776" t="str">
        <f>"RECEITAS COM ENTREGAS (303)"</f>
        <v>RECEITAS COM ENTREGAS (303)</v>
      </c>
      <c r="T8776">
        <v>20514</v>
      </c>
      <c r="U8776">
        <v>24631</v>
      </c>
      <c r="V8776" t="s">
        <v>22</v>
      </c>
    </row>
    <row r="8777" spans="1:22">
      <c r="A8777" t="str">
        <f t="shared" si="1650"/>
        <v>05/11/2025</v>
      </c>
      <c r="B8777" t="str">
        <f t="shared" si="1643"/>
        <v>ENTRADA</v>
      </c>
      <c r="C8777" t="str">
        <f t="shared" si="1644"/>
        <v>NFSE</v>
      </c>
      <c r="D8777" t="str">
        <f>"3621"</f>
        <v>3621</v>
      </c>
      <c r="E8777" t="str">
        <f t="shared" si="1645"/>
        <v>1</v>
      </c>
      <c r="F8777" t="str">
        <f t="shared" si="1651"/>
        <v>COM</v>
      </c>
      <c r="G8777" t="str">
        <f>"DROGARIA AGAPEAMA (10167)"</f>
        <v>DROGARIA AGAPEAMA (10167)</v>
      </c>
      <c r="H8777" t="s">
        <v>2484</v>
      </c>
      <c r="I8777" t="str">
        <f t="shared" si="1646"/>
        <v>05/11/2025</v>
      </c>
      <c r="J8777" t="str">
        <f t="shared" si="1647"/>
        <v>03/11/2025</v>
      </c>
      <c r="K8777">
        <v>45966</v>
      </c>
      <c r="N8777">
        <v>303</v>
      </c>
      <c r="O8777" t="s">
        <v>69</v>
      </c>
      <c r="Q8777">
        <v>3312</v>
      </c>
      <c r="R8777" t="str">
        <f>"DROGARIA AGAPEAMA (10167)"</f>
        <v>DROGARIA AGAPEAMA (10167)</v>
      </c>
      <c r="S8777" t="s">
        <v>70</v>
      </c>
      <c r="T8777">
        <v>20514</v>
      </c>
      <c r="U8777">
        <v>24631</v>
      </c>
      <c r="V8777" t="s">
        <v>22</v>
      </c>
    </row>
    <row r="8778" spans="1:22">
      <c r="A8778" t="str">
        <f t="shared" si="1650"/>
        <v>05/11/2025</v>
      </c>
      <c r="B8778" t="str">
        <f t="shared" si="1643"/>
        <v>ENTRADA</v>
      </c>
      <c r="C8778" t="str">
        <f t="shared" si="1644"/>
        <v>NFSE</v>
      </c>
      <c r="D8778" t="str">
        <f>"3622"</f>
        <v>3622</v>
      </c>
      <c r="E8778" t="str">
        <f t="shared" si="1645"/>
        <v>1</v>
      </c>
      <c r="F8778" t="str">
        <f t="shared" si="1651"/>
        <v>COM</v>
      </c>
      <c r="G8778" t="str">
        <f>"DROGARIA ANA VISCONDE DO RIO BRANCO (10182)"</f>
        <v>DROGARIA ANA VISCONDE DO RIO BRANCO (10182)</v>
      </c>
      <c r="H8778" t="str">
        <f>"Serv.Prest. 27/10/2025 a 02/11/2025 - RPS: 1498 - NFSe: 3622"</f>
        <v>Serv.Prest. 27/10/2025 a 02/11/2025 - RPS: 1498 - NFSe: 3622</v>
      </c>
      <c r="I8778" t="str">
        <f t="shared" si="1646"/>
        <v>05/11/2025</v>
      </c>
      <c r="J8778" t="str">
        <f t="shared" si="1647"/>
        <v>03/11/2025</v>
      </c>
      <c r="K8778" t="str">
        <f>("05/11/2025")</f>
        <v>05/11/2025</v>
      </c>
      <c r="L8778">
        <v>4490.55</v>
      </c>
      <c r="M8778">
        <v>4490.55</v>
      </c>
      <c r="N8778">
        <v>303</v>
      </c>
      <c r="O8778" t="str">
        <f>"RECEITAS COM ENTREGAS"</f>
        <v>RECEITAS COM ENTREGAS</v>
      </c>
      <c r="P8778">
        <v>4490.55</v>
      </c>
      <c r="S8778" t="str">
        <f>"RECEITAS COM ENTREGAS (303)"</f>
        <v>RECEITAS COM ENTREGAS (303)</v>
      </c>
      <c r="T8778">
        <v>20515</v>
      </c>
      <c r="U8778">
        <v>24635</v>
      </c>
      <c r="V8778" t="s">
        <v>22</v>
      </c>
    </row>
    <row r="8779" spans="1:22">
      <c r="A8779" t="str">
        <f t="shared" si="1650"/>
        <v>05/11/2025</v>
      </c>
      <c r="B8779" t="str">
        <f t="shared" si="1643"/>
        <v>ENTRADA</v>
      </c>
      <c r="C8779" t="str">
        <f t="shared" si="1644"/>
        <v>NFSE</v>
      </c>
      <c r="D8779" t="str">
        <f>"3622"</f>
        <v>3622</v>
      </c>
      <c r="E8779" t="str">
        <f t="shared" si="1645"/>
        <v>1</v>
      </c>
      <c r="F8779" t="str">
        <f t="shared" si="1651"/>
        <v>COM</v>
      </c>
      <c r="G8779" t="str">
        <f>"DROGARIA ANA VISCONDE DO RIO BRANCO (10182)"</f>
        <v>DROGARIA ANA VISCONDE DO RIO BRANCO (10182)</v>
      </c>
      <c r="H8779" t="s">
        <v>2485</v>
      </c>
      <c r="I8779" t="str">
        <f t="shared" si="1646"/>
        <v>05/11/2025</v>
      </c>
      <c r="J8779" t="str">
        <f t="shared" si="1647"/>
        <v>03/11/2025</v>
      </c>
      <c r="K8779">
        <v>45966</v>
      </c>
      <c r="N8779">
        <v>303</v>
      </c>
      <c r="O8779" t="s">
        <v>69</v>
      </c>
      <c r="Q8779">
        <v>4490.55</v>
      </c>
      <c r="R8779" t="str">
        <f>"DROGARIA ANA VISCONDE DO RIO BRANCO (10182)"</f>
        <v>DROGARIA ANA VISCONDE DO RIO BRANCO (10182)</v>
      </c>
      <c r="S8779" t="s">
        <v>70</v>
      </c>
      <c r="T8779">
        <v>20515</v>
      </c>
      <c r="U8779">
        <v>24635</v>
      </c>
      <c r="V8779" t="s">
        <v>22</v>
      </c>
    </row>
    <row r="8780" spans="1:22">
      <c r="A8780" t="str">
        <f t="shared" si="1650"/>
        <v>05/11/2025</v>
      </c>
      <c r="B8780" t="str">
        <f t="shared" si="1643"/>
        <v>ENTRADA</v>
      </c>
      <c r="C8780" t="str">
        <f t="shared" si="1644"/>
        <v>NFSE</v>
      </c>
      <c r="D8780" t="str">
        <f>"3624"</f>
        <v>3624</v>
      </c>
      <c r="E8780" t="str">
        <f t="shared" si="1645"/>
        <v>1</v>
      </c>
      <c r="F8780" t="str">
        <f t="shared" si="1651"/>
        <v>COM</v>
      </c>
      <c r="G8780" t="str">
        <f>"DROGARIA MORENO LTDA (10171)"</f>
        <v>DROGARIA MORENO LTDA (10171)</v>
      </c>
      <c r="H8780" t="str">
        <f>"Serv.Prest. 27/10/2025 a 02/11/2025 - RPS: 1500 - NFSe: 3624"</f>
        <v>Serv.Prest. 27/10/2025 a 02/11/2025 - RPS: 1500 - NFSe: 3624</v>
      </c>
      <c r="I8780" t="str">
        <f t="shared" si="1646"/>
        <v>05/11/2025</v>
      </c>
      <c r="J8780" t="str">
        <f t="shared" si="1647"/>
        <v>03/11/2025</v>
      </c>
      <c r="K8780" t="str">
        <f>("05/11/2025")</f>
        <v>05/11/2025</v>
      </c>
      <c r="L8780">
        <v>3677.4</v>
      </c>
      <c r="M8780">
        <v>3677.4</v>
      </c>
      <c r="N8780">
        <v>303</v>
      </c>
      <c r="O8780" t="str">
        <f>"RECEITAS COM ENTREGAS"</f>
        <v>RECEITAS COM ENTREGAS</v>
      </c>
      <c r="P8780">
        <v>3677.4</v>
      </c>
      <c r="S8780" t="str">
        <f>"RECEITAS COM ENTREGAS (303)"</f>
        <v>RECEITAS COM ENTREGAS (303)</v>
      </c>
      <c r="T8780">
        <v>20516</v>
      </c>
      <c r="U8780">
        <v>24644</v>
      </c>
      <c r="V8780" t="s">
        <v>22</v>
      </c>
    </row>
    <row r="8781" spans="1:22">
      <c r="A8781" t="str">
        <f t="shared" si="1650"/>
        <v>05/11/2025</v>
      </c>
      <c r="B8781" t="str">
        <f t="shared" si="1643"/>
        <v>ENTRADA</v>
      </c>
      <c r="C8781" t="str">
        <f t="shared" si="1644"/>
        <v>NFSE</v>
      </c>
      <c r="D8781" t="str">
        <f>"3624"</f>
        <v>3624</v>
      </c>
      <c r="E8781" t="str">
        <f t="shared" si="1645"/>
        <v>1</v>
      </c>
      <c r="F8781" t="str">
        <f t="shared" si="1651"/>
        <v>COM</v>
      </c>
      <c r="G8781" t="str">
        <f>"DROGARIA MORENO LTDA (10171)"</f>
        <v>DROGARIA MORENO LTDA (10171)</v>
      </c>
      <c r="H8781" t="s">
        <v>2486</v>
      </c>
      <c r="I8781" t="str">
        <f t="shared" si="1646"/>
        <v>05/11/2025</v>
      </c>
      <c r="J8781" t="str">
        <f t="shared" si="1647"/>
        <v>03/11/2025</v>
      </c>
      <c r="K8781">
        <v>45966</v>
      </c>
      <c r="N8781">
        <v>303</v>
      </c>
      <c r="O8781" t="s">
        <v>69</v>
      </c>
      <c r="Q8781">
        <v>3677.4</v>
      </c>
      <c r="R8781" t="str">
        <f>"DROGARIA MORENO LTDA (10171)"</f>
        <v>DROGARIA MORENO LTDA (10171)</v>
      </c>
      <c r="S8781" t="s">
        <v>70</v>
      </c>
      <c r="T8781">
        <v>20516</v>
      </c>
      <c r="U8781">
        <v>24644</v>
      </c>
      <c r="V8781" t="s">
        <v>22</v>
      </c>
    </row>
    <row r="8782" spans="1:22">
      <c r="A8782" t="str">
        <f t="shared" si="1650"/>
        <v>05/11/2025</v>
      </c>
      <c r="B8782" t="str">
        <f t="shared" si="1643"/>
        <v>ENTRADA</v>
      </c>
      <c r="C8782" t="str">
        <f t="shared" si="1644"/>
        <v>NFSE</v>
      </c>
      <c r="D8782" t="str">
        <f>"3628"</f>
        <v>3628</v>
      </c>
      <c r="E8782" t="str">
        <f t="shared" si="1645"/>
        <v>1</v>
      </c>
      <c r="F8782" t="str">
        <f t="shared" si="1651"/>
        <v>COM</v>
      </c>
      <c r="G8782" t="str">
        <f>"ENTREFARMA (10164)"</f>
        <v>ENTREFARMA (10164)</v>
      </c>
      <c r="H8782" t="str">
        <f>"Serv.Prest. 27/10/2025 a 02/11/2025 - RPS: 1504 - NFSe: 3628"</f>
        <v>Serv.Prest. 27/10/2025 a 02/11/2025 - RPS: 1504 - NFSe: 3628</v>
      </c>
      <c r="I8782" t="str">
        <f t="shared" si="1646"/>
        <v>05/11/2025</v>
      </c>
      <c r="J8782" t="str">
        <f t="shared" si="1647"/>
        <v>03/11/2025</v>
      </c>
      <c r="K8782" t="str">
        <f>("05/11/2025")</f>
        <v>05/11/2025</v>
      </c>
      <c r="L8782">
        <v>6372.45</v>
      </c>
      <c r="M8782">
        <v>6372.45</v>
      </c>
      <c r="N8782">
        <v>303</v>
      </c>
      <c r="O8782" t="str">
        <f>"RECEITAS COM ENTREGAS"</f>
        <v>RECEITAS COM ENTREGAS</v>
      </c>
      <c r="P8782">
        <v>6372.45</v>
      </c>
      <c r="S8782" t="str">
        <f>"RECEITAS COM ENTREGAS (303)"</f>
        <v>RECEITAS COM ENTREGAS (303)</v>
      </c>
      <c r="T8782">
        <v>20517</v>
      </c>
      <c r="U8782">
        <v>24660</v>
      </c>
      <c r="V8782" t="s">
        <v>22</v>
      </c>
    </row>
    <row r="8783" spans="1:22">
      <c r="A8783" t="str">
        <f t="shared" si="1650"/>
        <v>05/11/2025</v>
      </c>
      <c r="B8783" t="str">
        <f t="shared" ref="B8783:B8804" si="1652">"ENTRADA"</f>
        <v>ENTRADA</v>
      </c>
      <c r="C8783" t="str">
        <f t="shared" si="1644"/>
        <v>NFSE</v>
      </c>
      <c r="D8783" t="str">
        <f>"3628"</f>
        <v>3628</v>
      </c>
      <c r="E8783" t="str">
        <f t="shared" si="1645"/>
        <v>1</v>
      </c>
      <c r="F8783" t="str">
        <f t="shared" si="1651"/>
        <v>COM</v>
      </c>
      <c r="G8783" t="str">
        <f>"ENTREFARMA (10164)"</f>
        <v>ENTREFARMA (10164)</v>
      </c>
      <c r="H8783" t="s">
        <v>2487</v>
      </c>
      <c r="I8783" t="str">
        <f t="shared" si="1646"/>
        <v>05/11/2025</v>
      </c>
      <c r="J8783" t="str">
        <f t="shared" si="1647"/>
        <v>03/11/2025</v>
      </c>
      <c r="K8783">
        <v>45966</v>
      </c>
      <c r="N8783">
        <v>303</v>
      </c>
      <c r="O8783" t="s">
        <v>69</v>
      </c>
      <c r="Q8783">
        <v>6372.45</v>
      </c>
      <c r="R8783" t="str">
        <f>"ENTREFARMA (10164)"</f>
        <v>ENTREFARMA (10164)</v>
      </c>
      <c r="S8783" t="s">
        <v>70</v>
      </c>
      <c r="T8783">
        <v>20517</v>
      </c>
      <c r="U8783">
        <v>24660</v>
      </c>
      <c r="V8783" t="s">
        <v>22</v>
      </c>
    </row>
    <row r="8784" spans="1:22">
      <c r="A8784" t="str">
        <f t="shared" si="1650"/>
        <v>05/11/2025</v>
      </c>
      <c r="B8784" t="str">
        <f t="shared" si="1652"/>
        <v>ENTRADA</v>
      </c>
      <c r="C8784" t="str">
        <f t="shared" si="1644"/>
        <v>NFSE</v>
      </c>
      <c r="D8784" t="str">
        <f>"3629"</f>
        <v>3629</v>
      </c>
      <c r="E8784" t="str">
        <f t="shared" si="1645"/>
        <v>1</v>
      </c>
      <c r="F8784" t="str">
        <f t="shared" si="1651"/>
        <v>COM</v>
      </c>
      <c r="G8784" t="str">
        <f>"FRAN FARMA (10124)"</f>
        <v>FRAN FARMA (10124)</v>
      </c>
      <c r="H8784" t="str">
        <f>"Serv.Prest. 27/10/2025 a 02/11/2025 - RPS: 1505 - NFSe: 3629"</f>
        <v>Serv.Prest. 27/10/2025 a 02/11/2025 - RPS: 1505 - NFSe: 3629</v>
      </c>
      <c r="I8784" t="str">
        <f t="shared" si="1646"/>
        <v>05/11/2025</v>
      </c>
      <c r="J8784" t="str">
        <f t="shared" si="1647"/>
        <v>03/11/2025</v>
      </c>
      <c r="K8784" t="str">
        <f>("05/11/2025")</f>
        <v>05/11/2025</v>
      </c>
      <c r="L8784">
        <v>840</v>
      </c>
      <c r="M8784">
        <v>840</v>
      </c>
      <c r="N8784">
        <v>303</v>
      </c>
      <c r="O8784" t="str">
        <f>"RECEITAS COM ENTREGAS"</f>
        <v>RECEITAS COM ENTREGAS</v>
      </c>
      <c r="P8784">
        <v>840</v>
      </c>
      <c r="S8784" t="str">
        <f>"RECEITAS COM ENTREGAS (303)"</f>
        <v>RECEITAS COM ENTREGAS (303)</v>
      </c>
      <c r="T8784">
        <v>20518</v>
      </c>
      <c r="U8784">
        <v>24665</v>
      </c>
      <c r="V8784" t="s">
        <v>22</v>
      </c>
    </row>
    <row r="8785" spans="1:22">
      <c r="A8785" t="str">
        <f t="shared" si="1650"/>
        <v>05/11/2025</v>
      </c>
      <c r="B8785" t="str">
        <f t="shared" si="1652"/>
        <v>ENTRADA</v>
      </c>
      <c r="C8785" t="str">
        <f t="shared" ref="C8785:C8804" si="1653">"NFSE"</f>
        <v>NFSE</v>
      </c>
      <c r="D8785" t="str">
        <f>"3629"</f>
        <v>3629</v>
      </c>
      <c r="E8785" t="str">
        <f t="shared" ref="E8785:E8804" si="1654">"1"</f>
        <v>1</v>
      </c>
      <c r="F8785" t="str">
        <f t="shared" si="1651"/>
        <v>COM</v>
      </c>
      <c r="G8785" t="str">
        <f>"FRAN FARMA (10124)"</f>
        <v>FRAN FARMA (10124)</v>
      </c>
      <c r="H8785" t="s">
        <v>2488</v>
      </c>
      <c r="I8785" t="str">
        <f t="shared" ref="I8785:I8794" si="1655">("05/11/2025")</f>
        <v>05/11/2025</v>
      </c>
      <c r="J8785" t="str">
        <f t="shared" ref="J8785:J8790" si="1656">("03/11/2025")</f>
        <v>03/11/2025</v>
      </c>
      <c r="K8785">
        <v>45966</v>
      </c>
      <c r="N8785">
        <v>303</v>
      </c>
      <c r="O8785" t="s">
        <v>69</v>
      </c>
      <c r="Q8785">
        <v>504</v>
      </c>
      <c r="R8785" t="str">
        <f>"FRAN FARMA LJ 2 (10131)"</f>
        <v>FRAN FARMA LJ 2 (10131)</v>
      </c>
      <c r="S8785" t="s">
        <v>70</v>
      </c>
      <c r="T8785">
        <v>20518</v>
      </c>
      <c r="U8785">
        <v>24665</v>
      </c>
      <c r="V8785" t="s">
        <v>22</v>
      </c>
    </row>
    <row r="8786" spans="1:22">
      <c r="A8786" t="str">
        <f t="shared" si="1650"/>
        <v>05/11/2025</v>
      </c>
      <c r="B8786" t="str">
        <f t="shared" si="1652"/>
        <v>ENTRADA</v>
      </c>
      <c r="C8786" t="str">
        <f t="shared" si="1653"/>
        <v>NFSE</v>
      </c>
      <c r="D8786" t="str">
        <f>"3629"</f>
        <v>3629</v>
      </c>
      <c r="E8786" t="str">
        <f t="shared" si="1654"/>
        <v>1</v>
      </c>
      <c r="F8786" t="str">
        <f t="shared" si="1651"/>
        <v>COM</v>
      </c>
      <c r="G8786" t="str">
        <f>"FRAN FARMA (10124)"</f>
        <v>FRAN FARMA (10124)</v>
      </c>
      <c r="H8786" t="s">
        <v>2488</v>
      </c>
      <c r="I8786" t="str">
        <f t="shared" si="1655"/>
        <v>05/11/2025</v>
      </c>
      <c r="J8786" t="str">
        <f t="shared" si="1656"/>
        <v>03/11/2025</v>
      </c>
      <c r="K8786">
        <v>45966</v>
      </c>
      <c r="N8786">
        <v>303</v>
      </c>
      <c r="O8786" t="s">
        <v>69</v>
      </c>
      <c r="Q8786">
        <v>336</v>
      </c>
      <c r="R8786" t="str">
        <f>"FRAN FARMA LJ 3 (10132)"</f>
        <v>FRAN FARMA LJ 3 (10132)</v>
      </c>
      <c r="S8786" t="s">
        <v>70</v>
      </c>
      <c r="T8786">
        <v>20518</v>
      </c>
      <c r="U8786">
        <v>24665</v>
      </c>
      <c r="V8786" t="s">
        <v>22</v>
      </c>
    </row>
    <row r="8787" spans="1:22">
      <c r="A8787" t="str">
        <f t="shared" si="1650"/>
        <v>05/11/2025</v>
      </c>
      <c r="B8787" t="str">
        <f t="shared" si="1652"/>
        <v>ENTRADA</v>
      </c>
      <c r="C8787" t="str">
        <f t="shared" si="1653"/>
        <v>NFSE</v>
      </c>
      <c r="D8787" t="str">
        <f>"3633"</f>
        <v>3633</v>
      </c>
      <c r="E8787" t="str">
        <f t="shared" si="1654"/>
        <v>1</v>
      </c>
      <c r="F8787" t="str">
        <f t="shared" si="1651"/>
        <v>COM</v>
      </c>
      <c r="G8787" t="str">
        <f>"JAL FARMACIA E DROGARIA LJ 2 (10138)"</f>
        <v>JAL FARMACIA E DROGARIA LJ 2 (10138)</v>
      </c>
      <c r="H8787" t="str">
        <f>"Serv.Prest. 27/10/2025 a 02/11/2025 - RPS: 1509 - NFSe: 3633"</f>
        <v>Serv.Prest. 27/10/2025 a 02/11/2025 - RPS: 1509 - NFSe: 3633</v>
      </c>
      <c r="I8787" t="str">
        <f t="shared" si="1655"/>
        <v>05/11/2025</v>
      </c>
      <c r="J8787" t="str">
        <f t="shared" si="1656"/>
        <v>03/11/2025</v>
      </c>
      <c r="K8787" t="str">
        <f>("05/11/2025")</f>
        <v>05/11/2025</v>
      </c>
      <c r="L8787">
        <v>1691.5</v>
      </c>
      <c r="M8787">
        <v>1691.5</v>
      </c>
      <c r="N8787">
        <v>303</v>
      </c>
      <c r="O8787" t="str">
        <f>"RECEITAS COM ENTREGAS"</f>
        <v>RECEITAS COM ENTREGAS</v>
      </c>
      <c r="P8787">
        <v>1691.5</v>
      </c>
      <c r="S8787" t="str">
        <f>"RECEITAS COM ENTREGAS (303)"</f>
        <v>RECEITAS COM ENTREGAS (303)</v>
      </c>
      <c r="T8787">
        <v>20519</v>
      </c>
      <c r="U8787">
        <v>24674</v>
      </c>
      <c r="V8787" t="s">
        <v>22</v>
      </c>
    </row>
    <row r="8788" spans="1:22">
      <c r="A8788" t="str">
        <f t="shared" si="1650"/>
        <v>05/11/2025</v>
      </c>
      <c r="B8788" t="str">
        <f t="shared" si="1652"/>
        <v>ENTRADA</v>
      </c>
      <c r="C8788" t="str">
        <f t="shared" si="1653"/>
        <v>NFSE</v>
      </c>
      <c r="D8788" t="str">
        <f>"3633"</f>
        <v>3633</v>
      </c>
      <c r="E8788" t="str">
        <f t="shared" si="1654"/>
        <v>1</v>
      </c>
      <c r="F8788" t="str">
        <f t="shared" si="1651"/>
        <v>COM</v>
      </c>
      <c r="G8788" t="str">
        <f>"JAL FARMACIA E DROGARIA LJ 2 (10138)"</f>
        <v>JAL FARMACIA E DROGARIA LJ 2 (10138)</v>
      </c>
      <c r="H8788" t="s">
        <v>2489</v>
      </c>
      <c r="I8788" t="str">
        <f t="shared" si="1655"/>
        <v>05/11/2025</v>
      </c>
      <c r="J8788" t="str">
        <f t="shared" si="1656"/>
        <v>03/11/2025</v>
      </c>
      <c r="K8788">
        <v>45966</v>
      </c>
      <c r="N8788">
        <v>303</v>
      </c>
      <c r="O8788" t="s">
        <v>69</v>
      </c>
      <c r="Q8788">
        <v>1691.5</v>
      </c>
      <c r="R8788" t="str">
        <f>"JAL FARMACIA E DROGARIA LJ 2 (10138)"</f>
        <v>JAL FARMACIA E DROGARIA LJ 2 (10138)</v>
      </c>
      <c r="S8788" t="s">
        <v>70</v>
      </c>
      <c r="T8788">
        <v>20519</v>
      </c>
      <c r="U8788">
        <v>24674</v>
      </c>
      <c r="V8788" t="s">
        <v>22</v>
      </c>
    </row>
    <row r="8789" spans="1:22">
      <c r="A8789" t="str">
        <f t="shared" si="1650"/>
        <v>05/11/2025</v>
      </c>
      <c r="B8789" t="str">
        <f t="shared" si="1652"/>
        <v>ENTRADA</v>
      </c>
      <c r="C8789" t="str">
        <f t="shared" si="1653"/>
        <v>NFSE</v>
      </c>
      <c r="D8789" t="str">
        <f>"3636"</f>
        <v>3636</v>
      </c>
      <c r="E8789" t="str">
        <f t="shared" si="1654"/>
        <v>1</v>
      </c>
      <c r="F8789" t="str">
        <f t="shared" si="1651"/>
        <v>COM</v>
      </c>
      <c r="G8789" t="str">
        <f>"LBL FARMACIA LTDA (10189)"</f>
        <v>LBL FARMACIA LTDA (10189)</v>
      </c>
      <c r="H8789" t="str">
        <f>"Serv.Prest. 27/10/2025 a 02/11/2025 - RPS: 1512 - NFSe: 3636"</f>
        <v>Serv.Prest. 27/10/2025 a 02/11/2025 - RPS: 1512 - NFSe: 3636</v>
      </c>
      <c r="I8789" t="str">
        <f t="shared" si="1655"/>
        <v>05/11/2025</v>
      </c>
      <c r="J8789" t="str">
        <f t="shared" si="1656"/>
        <v>03/11/2025</v>
      </c>
      <c r="K8789" t="str">
        <f>("05/11/2025")</f>
        <v>05/11/2025</v>
      </c>
      <c r="L8789">
        <v>517.65</v>
      </c>
      <c r="M8789">
        <v>517.65</v>
      </c>
      <c r="N8789">
        <v>303</v>
      </c>
      <c r="O8789" t="str">
        <f>"RECEITAS COM ENTREGAS"</f>
        <v>RECEITAS COM ENTREGAS</v>
      </c>
      <c r="P8789">
        <v>517.65</v>
      </c>
      <c r="S8789" t="str">
        <f>"RECEITAS COM ENTREGAS (303)"</f>
        <v>RECEITAS COM ENTREGAS (303)</v>
      </c>
      <c r="T8789">
        <v>20520</v>
      </c>
      <c r="U8789">
        <v>24685</v>
      </c>
      <c r="V8789" t="s">
        <v>22</v>
      </c>
    </row>
    <row r="8790" spans="1:22">
      <c r="A8790" t="str">
        <f t="shared" si="1650"/>
        <v>05/11/2025</v>
      </c>
      <c r="B8790" t="str">
        <f t="shared" si="1652"/>
        <v>ENTRADA</v>
      </c>
      <c r="C8790" t="str">
        <f t="shared" si="1653"/>
        <v>NFSE</v>
      </c>
      <c r="D8790" t="str">
        <f>"3636"</f>
        <v>3636</v>
      </c>
      <c r="E8790" t="str">
        <f t="shared" si="1654"/>
        <v>1</v>
      </c>
      <c r="F8790" t="str">
        <f t="shared" si="1651"/>
        <v>COM</v>
      </c>
      <c r="G8790" t="str">
        <f>"LBL FARMACIA LTDA (10189)"</f>
        <v>LBL FARMACIA LTDA (10189)</v>
      </c>
      <c r="H8790" t="s">
        <v>2490</v>
      </c>
      <c r="I8790" t="str">
        <f t="shared" si="1655"/>
        <v>05/11/2025</v>
      </c>
      <c r="J8790" t="str">
        <f t="shared" si="1656"/>
        <v>03/11/2025</v>
      </c>
      <c r="K8790">
        <v>45966</v>
      </c>
      <c r="N8790">
        <v>303</v>
      </c>
      <c r="O8790" t="s">
        <v>69</v>
      </c>
      <c r="Q8790">
        <v>517.65</v>
      </c>
      <c r="R8790" t="str">
        <f>"LBL FARMACIA LTDA (10189)"</f>
        <v>LBL FARMACIA LTDA (10189)</v>
      </c>
      <c r="S8790" t="s">
        <v>70</v>
      </c>
      <c r="T8790">
        <v>20520</v>
      </c>
      <c r="U8790">
        <v>24685</v>
      </c>
      <c r="V8790" t="s">
        <v>22</v>
      </c>
    </row>
    <row r="8791" spans="1:22">
      <c r="A8791" t="str">
        <f t="shared" si="1650"/>
        <v>05/11/2025</v>
      </c>
      <c r="B8791" t="str">
        <f t="shared" si="1652"/>
        <v>ENTRADA</v>
      </c>
      <c r="C8791" t="str">
        <f t="shared" si="1653"/>
        <v>NFSE</v>
      </c>
      <c r="D8791" t="str">
        <f>"3645"</f>
        <v>3645</v>
      </c>
      <c r="E8791" t="str">
        <f t="shared" si="1654"/>
        <v>1</v>
      </c>
      <c r="F8791" t="str">
        <f t="shared" si="1651"/>
        <v>COM</v>
      </c>
      <c r="G8791" t="str">
        <f>"DELTA LOJA 2 (10123)"</f>
        <v>DELTA LOJA 2 (10123)</v>
      </c>
      <c r="H8791" t="str">
        <f>"Serv.Prest. 27/10/2025 a 02/11/2025 - RPS: 1521 - NFSe: 3645"</f>
        <v>Serv.Prest. 27/10/2025 a 02/11/2025 - RPS: 1521 - NFSe: 3645</v>
      </c>
      <c r="I8791" t="str">
        <f t="shared" si="1655"/>
        <v>05/11/2025</v>
      </c>
      <c r="J8791" t="str">
        <f>("04/11/2025")</f>
        <v>04/11/2025</v>
      </c>
      <c r="K8791" t="str">
        <f>("05/11/2025")</f>
        <v>05/11/2025</v>
      </c>
      <c r="L8791">
        <v>4884.95</v>
      </c>
      <c r="M8791">
        <v>4884.95</v>
      </c>
      <c r="N8791">
        <v>303</v>
      </c>
      <c r="O8791" t="str">
        <f>"RECEITAS COM ENTREGAS"</f>
        <v>RECEITAS COM ENTREGAS</v>
      </c>
      <c r="P8791">
        <v>4884.95</v>
      </c>
      <c r="S8791" t="str">
        <f>"RECEITAS COM ENTREGAS (303)"</f>
        <v>RECEITAS COM ENTREGAS (303)</v>
      </c>
      <c r="T8791">
        <v>20521</v>
      </c>
      <c r="U8791">
        <v>24862</v>
      </c>
      <c r="V8791" t="s">
        <v>22</v>
      </c>
    </row>
    <row r="8792" spans="1:22">
      <c r="A8792" t="str">
        <f t="shared" si="1650"/>
        <v>05/11/2025</v>
      </c>
      <c r="B8792" t="str">
        <f t="shared" si="1652"/>
        <v>ENTRADA</v>
      </c>
      <c r="C8792" t="str">
        <f t="shared" si="1653"/>
        <v>NFSE</v>
      </c>
      <c r="D8792" t="str">
        <f>"3645"</f>
        <v>3645</v>
      </c>
      <c r="E8792" t="str">
        <f t="shared" si="1654"/>
        <v>1</v>
      </c>
      <c r="F8792" t="str">
        <f t="shared" si="1651"/>
        <v>COM</v>
      </c>
      <c r="G8792" t="str">
        <f>"DELTA LOJA 2 (10123)"</f>
        <v>DELTA LOJA 2 (10123)</v>
      </c>
      <c r="H8792" t="s">
        <v>2491</v>
      </c>
      <c r="I8792" t="str">
        <f t="shared" si="1655"/>
        <v>05/11/2025</v>
      </c>
      <c r="J8792" t="str">
        <f>("04/11/2025")</f>
        <v>04/11/2025</v>
      </c>
      <c r="K8792">
        <v>45966</v>
      </c>
      <c r="N8792">
        <v>303</v>
      </c>
      <c r="O8792" t="s">
        <v>69</v>
      </c>
      <c r="Q8792">
        <v>4884.95</v>
      </c>
      <c r="R8792" t="str">
        <f>"DELTA LOJA 2 (10123)"</f>
        <v>DELTA LOJA 2 (10123)</v>
      </c>
      <c r="S8792" t="s">
        <v>70</v>
      </c>
      <c r="T8792">
        <v>20521</v>
      </c>
      <c r="U8792">
        <v>24862</v>
      </c>
      <c r="V8792" t="s">
        <v>22</v>
      </c>
    </row>
    <row r="8793" spans="1:22">
      <c r="A8793" t="str">
        <f t="shared" si="1650"/>
        <v>05/11/2025</v>
      </c>
      <c r="B8793" t="str">
        <f t="shared" si="1652"/>
        <v>ENTRADA</v>
      </c>
      <c r="C8793" t="str">
        <f t="shared" si="1653"/>
        <v>NFSE</v>
      </c>
      <c r="D8793" t="str">
        <f>"3603"</f>
        <v>3603</v>
      </c>
      <c r="E8793" t="str">
        <f t="shared" si="1654"/>
        <v>1</v>
      </c>
      <c r="F8793" t="str">
        <f t="shared" si="1651"/>
        <v>COM</v>
      </c>
      <c r="G8793" t="str">
        <f>"PENSE FARMA 51 (10235)"</f>
        <v>PENSE FARMA 51 (10235)</v>
      </c>
      <c r="H8793" t="str">
        <f>"Serv.Prest. 27/10/2025 a 02/11/2025 - RPS: 1479 - NFSe: 3603"</f>
        <v>Serv.Prest. 27/10/2025 a 02/11/2025 - RPS: 1479 - NFSe: 3603</v>
      </c>
      <c r="I8793" t="str">
        <f t="shared" si="1655"/>
        <v>05/11/2025</v>
      </c>
      <c r="J8793" t="str">
        <f>("03/11/2025")</f>
        <v>03/11/2025</v>
      </c>
      <c r="K8793" t="str">
        <f>("05/11/2025")</f>
        <v>05/11/2025</v>
      </c>
      <c r="L8793">
        <v>971.04</v>
      </c>
      <c r="M8793">
        <v>971.04</v>
      </c>
      <c r="N8793">
        <v>303</v>
      </c>
      <c r="O8793" t="str">
        <f>"RECEITAS COM ENTREGAS"</f>
        <v>RECEITAS COM ENTREGAS</v>
      </c>
      <c r="P8793">
        <v>971.04</v>
      </c>
      <c r="S8793" t="str">
        <f>"RECEITAS COM ENTREGAS (303)"</f>
        <v>RECEITAS COM ENTREGAS (303)</v>
      </c>
      <c r="T8793">
        <v>20522</v>
      </c>
      <c r="U8793">
        <v>24575</v>
      </c>
      <c r="V8793" t="s">
        <v>22</v>
      </c>
    </row>
    <row r="8794" spans="1:22">
      <c r="A8794" t="str">
        <f t="shared" si="1650"/>
        <v>05/11/2025</v>
      </c>
      <c r="B8794" t="str">
        <f t="shared" si="1652"/>
        <v>ENTRADA</v>
      </c>
      <c r="C8794" t="str">
        <f t="shared" si="1653"/>
        <v>NFSE</v>
      </c>
      <c r="D8794" t="str">
        <f>"3603"</f>
        <v>3603</v>
      </c>
      <c r="E8794" t="str">
        <f t="shared" si="1654"/>
        <v>1</v>
      </c>
      <c r="F8794" t="str">
        <f t="shared" si="1651"/>
        <v>COM</v>
      </c>
      <c r="G8794" t="str">
        <f>"PENSE FARMA 51 (10235)"</f>
        <v>PENSE FARMA 51 (10235)</v>
      </c>
      <c r="H8794" t="s">
        <v>2492</v>
      </c>
      <c r="I8794" t="str">
        <f t="shared" si="1655"/>
        <v>05/11/2025</v>
      </c>
      <c r="J8794" t="str">
        <f>("03/11/2025")</f>
        <v>03/11/2025</v>
      </c>
      <c r="K8794">
        <v>45966</v>
      </c>
      <c r="N8794">
        <v>303</v>
      </c>
      <c r="O8794" t="s">
        <v>69</v>
      </c>
      <c r="Q8794">
        <v>971.04</v>
      </c>
      <c r="R8794" t="str">
        <f>"PENSE FARMA 51 (10235)"</f>
        <v>PENSE FARMA 51 (10235)</v>
      </c>
      <c r="S8794" t="s">
        <v>70</v>
      </c>
      <c r="T8794">
        <v>20522</v>
      </c>
      <c r="U8794">
        <v>24575</v>
      </c>
      <c r="V8794" t="s">
        <v>22</v>
      </c>
    </row>
    <row r="8795" spans="1:22">
      <c r="A8795" t="str">
        <f t="shared" ref="A8795:A8826" si="1657">("05/11/2025")</f>
        <v>05/11/2025</v>
      </c>
      <c r="B8795" t="str">
        <f t="shared" si="1652"/>
        <v>ENTRADA</v>
      </c>
      <c r="C8795" t="str">
        <f t="shared" si="1653"/>
        <v>NFSE</v>
      </c>
      <c r="D8795" t="str">
        <f>"3599"</f>
        <v>3599</v>
      </c>
      <c r="E8795" t="str">
        <f t="shared" si="1654"/>
        <v>1</v>
      </c>
      <c r="F8795" t="str">
        <f t="shared" si="1651"/>
        <v>COM</v>
      </c>
      <c r="G8795" t="str">
        <f>"DROGALIDER 66 (10251)"</f>
        <v>DROGALIDER 66 (10251)</v>
      </c>
      <c r="H8795" t="str">
        <f>"Serv.Prest. 20/10/2025 a 26/10/2025 - RPS: 1475 - NFSe: 3599"</f>
        <v>Serv.Prest. 20/10/2025 a 26/10/2025 - RPS: 1475 - NFSe: 3599</v>
      </c>
      <c r="I8795" t="str">
        <f t="shared" ref="I8795:I8804" si="1658">("04/11/2025")</f>
        <v>04/11/2025</v>
      </c>
      <c r="J8795" t="str">
        <f t="shared" ref="J8795:J8804" si="1659">("30/10/2025")</f>
        <v>30/10/2025</v>
      </c>
      <c r="K8795" t="str">
        <f>("05/11/2025")</f>
        <v>05/11/2025</v>
      </c>
      <c r="L8795">
        <v>311.39999999999998</v>
      </c>
      <c r="M8795">
        <v>311.39999999999998</v>
      </c>
      <c r="N8795">
        <v>303</v>
      </c>
      <c r="O8795" t="str">
        <f>"RECEITAS COM ENTREGAS"</f>
        <v>RECEITAS COM ENTREGAS</v>
      </c>
      <c r="P8795">
        <v>311.39999999999998</v>
      </c>
      <c r="S8795" t="str">
        <f>"RECEITAS COM ENTREGAS (303)"</f>
        <v>RECEITAS COM ENTREGAS (303)</v>
      </c>
      <c r="T8795">
        <v>20525</v>
      </c>
      <c r="U8795">
        <v>24536</v>
      </c>
      <c r="V8795" t="s">
        <v>22</v>
      </c>
    </row>
    <row r="8796" spans="1:22">
      <c r="A8796" t="str">
        <f t="shared" si="1657"/>
        <v>05/11/2025</v>
      </c>
      <c r="B8796" t="str">
        <f t="shared" si="1652"/>
        <v>ENTRADA</v>
      </c>
      <c r="C8796" t="str">
        <f t="shared" si="1653"/>
        <v>NFSE</v>
      </c>
      <c r="D8796" t="str">
        <f>"3599"</f>
        <v>3599</v>
      </c>
      <c r="E8796" t="str">
        <f t="shared" si="1654"/>
        <v>1</v>
      </c>
      <c r="F8796" t="str">
        <f t="shared" si="1651"/>
        <v>COM</v>
      </c>
      <c r="G8796" t="str">
        <f>"DROGALIDER 66 (10251)"</f>
        <v>DROGALIDER 66 (10251)</v>
      </c>
      <c r="H8796" t="s">
        <v>2493</v>
      </c>
      <c r="I8796" t="str">
        <f t="shared" si="1658"/>
        <v>04/11/2025</v>
      </c>
      <c r="J8796" t="str">
        <f t="shared" si="1659"/>
        <v>30/10/2025</v>
      </c>
      <c r="K8796">
        <v>45966</v>
      </c>
      <c r="N8796">
        <v>303</v>
      </c>
      <c r="O8796" t="s">
        <v>69</v>
      </c>
      <c r="Q8796">
        <v>311.39999999999998</v>
      </c>
      <c r="R8796" t="str">
        <f>"DROGALIDER 66 (10251)"</f>
        <v>DROGALIDER 66 (10251)</v>
      </c>
      <c r="S8796" t="s">
        <v>70</v>
      </c>
      <c r="T8796">
        <v>20525</v>
      </c>
      <c r="U8796">
        <v>24536</v>
      </c>
      <c r="V8796" t="s">
        <v>22</v>
      </c>
    </row>
    <row r="8797" spans="1:22">
      <c r="A8797" t="str">
        <f t="shared" si="1657"/>
        <v>05/11/2025</v>
      </c>
      <c r="B8797" t="str">
        <f t="shared" si="1652"/>
        <v>ENTRADA</v>
      </c>
      <c r="C8797" t="str">
        <f t="shared" si="1653"/>
        <v>NFSE</v>
      </c>
      <c r="D8797" t="str">
        <f>"3598"</f>
        <v>3598</v>
      </c>
      <c r="E8797" t="str">
        <f t="shared" si="1654"/>
        <v>1</v>
      </c>
      <c r="F8797" t="str">
        <f t="shared" si="1651"/>
        <v>COM</v>
      </c>
      <c r="G8797" t="str">
        <f>"DROGALIDER 64 (10250)"</f>
        <v>DROGALIDER 64 (10250)</v>
      </c>
      <c r="H8797" t="str">
        <f>"Serv.Prest. 20/10/2025 a 26/10/2025 - RPS: 1474 - NFSe: 3598"</f>
        <v>Serv.Prest. 20/10/2025 a 26/10/2025 - RPS: 1474 - NFSe: 3598</v>
      </c>
      <c r="I8797" t="str">
        <f t="shared" si="1658"/>
        <v>04/11/2025</v>
      </c>
      <c r="J8797" t="str">
        <f t="shared" si="1659"/>
        <v>30/10/2025</v>
      </c>
      <c r="K8797" t="str">
        <f>("05/11/2025")</f>
        <v>05/11/2025</v>
      </c>
      <c r="L8797">
        <v>307.8</v>
      </c>
      <c r="M8797">
        <v>307.8</v>
      </c>
      <c r="N8797">
        <v>303</v>
      </c>
      <c r="O8797" t="str">
        <f>"RECEITAS COM ENTREGAS"</f>
        <v>RECEITAS COM ENTREGAS</v>
      </c>
      <c r="P8797">
        <v>307.8</v>
      </c>
      <c r="S8797" t="str">
        <f>"RECEITAS COM ENTREGAS (303)"</f>
        <v>RECEITAS COM ENTREGAS (303)</v>
      </c>
      <c r="T8797">
        <v>20526</v>
      </c>
      <c r="U8797">
        <v>24532</v>
      </c>
      <c r="V8797" t="s">
        <v>22</v>
      </c>
    </row>
    <row r="8798" spans="1:22">
      <c r="A8798" t="str">
        <f t="shared" si="1657"/>
        <v>05/11/2025</v>
      </c>
      <c r="B8798" t="str">
        <f t="shared" si="1652"/>
        <v>ENTRADA</v>
      </c>
      <c r="C8798" t="str">
        <f t="shared" si="1653"/>
        <v>NFSE</v>
      </c>
      <c r="D8798" t="str">
        <f>"3598"</f>
        <v>3598</v>
      </c>
      <c r="E8798" t="str">
        <f t="shared" si="1654"/>
        <v>1</v>
      </c>
      <c r="F8798" t="str">
        <f t="shared" si="1651"/>
        <v>COM</v>
      </c>
      <c r="G8798" t="str">
        <f>"DROGALIDER 64 (10250)"</f>
        <v>DROGALIDER 64 (10250)</v>
      </c>
      <c r="H8798" t="s">
        <v>2494</v>
      </c>
      <c r="I8798" t="str">
        <f t="shared" si="1658"/>
        <v>04/11/2025</v>
      </c>
      <c r="J8798" t="str">
        <f t="shared" si="1659"/>
        <v>30/10/2025</v>
      </c>
      <c r="K8798">
        <v>45966</v>
      </c>
      <c r="N8798">
        <v>303</v>
      </c>
      <c r="O8798" t="s">
        <v>69</v>
      </c>
      <c r="Q8798">
        <v>307.8</v>
      </c>
      <c r="R8798" t="str">
        <f>"DROGALIDER 64 (10250)"</f>
        <v>DROGALIDER 64 (10250)</v>
      </c>
      <c r="S8798" t="s">
        <v>70</v>
      </c>
      <c r="T8798">
        <v>20526</v>
      </c>
      <c r="U8798">
        <v>24532</v>
      </c>
      <c r="V8798" t="s">
        <v>22</v>
      </c>
    </row>
    <row r="8799" spans="1:22">
      <c r="A8799" t="str">
        <f t="shared" si="1657"/>
        <v>05/11/2025</v>
      </c>
      <c r="B8799" t="str">
        <f t="shared" si="1652"/>
        <v>ENTRADA</v>
      </c>
      <c r="C8799" t="str">
        <f t="shared" si="1653"/>
        <v>NFSE</v>
      </c>
      <c r="D8799" t="str">
        <f>"3597"</f>
        <v>3597</v>
      </c>
      <c r="E8799" t="str">
        <f t="shared" si="1654"/>
        <v>1</v>
      </c>
      <c r="F8799" t="str">
        <f t="shared" si="1651"/>
        <v>COM</v>
      </c>
      <c r="G8799" t="str">
        <f>"DROGALIDER 58 (10213)"</f>
        <v>DROGALIDER 58 (10213)</v>
      </c>
      <c r="H8799" t="str">
        <f>"Serv.Prest. 20/10/2025 a 26/10/2025 - RPS: 1473 - NFSe: 3597"</f>
        <v>Serv.Prest. 20/10/2025 a 26/10/2025 - RPS: 1473 - NFSe: 3597</v>
      </c>
      <c r="I8799" t="str">
        <f t="shared" si="1658"/>
        <v>04/11/2025</v>
      </c>
      <c r="J8799" t="str">
        <f t="shared" si="1659"/>
        <v>30/10/2025</v>
      </c>
      <c r="K8799" t="str">
        <f>("05/11/2025")</f>
        <v>05/11/2025</v>
      </c>
      <c r="L8799">
        <v>307.8</v>
      </c>
      <c r="M8799">
        <v>307.8</v>
      </c>
      <c r="N8799">
        <v>303</v>
      </c>
      <c r="O8799" t="str">
        <f>"RECEITAS COM ENTREGAS"</f>
        <v>RECEITAS COM ENTREGAS</v>
      </c>
      <c r="P8799">
        <v>307.8</v>
      </c>
      <c r="S8799" t="str">
        <f>"RECEITAS COM ENTREGAS (303)"</f>
        <v>RECEITAS COM ENTREGAS (303)</v>
      </c>
      <c r="T8799">
        <v>20527</v>
      </c>
      <c r="U8799">
        <v>24527</v>
      </c>
      <c r="V8799" t="s">
        <v>22</v>
      </c>
    </row>
    <row r="8800" spans="1:22">
      <c r="A8800" t="str">
        <f t="shared" si="1657"/>
        <v>05/11/2025</v>
      </c>
      <c r="B8800" t="str">
        <f t="shared" si="1652"/>
        <v>ENTRADA</v>
      </c>
      <c r="C8800" t="str">
        <f t="shared" si="1653"/>
        <v>NFSE</v>
      </c>
      <c r="D8800" t="str">
        <f>"3597"</f>
        <v>3597</v>
      </c>
      <c r="E8800" t="str">
        <f t="shared" si="1654"/>
        <v>1</v>
      </c>
      <c r="F8800" t="str">
        <f t="shared" si="1651"/>
        <v>COM</v>
      </c>
      <c r="G8800" t="str">
        <f>"DROGALIDER 58 (10213)"</f>
        <v>DROGALIDER 58 (10213)</v>
      </c>
      <c r="H8800" t="s">
        <v>2495</v>
      </c>
      <c r="I8800" t="str">
        <f t="shared" si="1658"/>
        <v>04/11/2025</v>
      </c>
      <c r="J8800" t="str">
        <f t="shared" si="1659"/>
        <v>30/10/2025</v>
      </c>
      <c r="K8800">
        <v>45966</v>
      </c>
      <c r="N8800">
        <v>303</v>
      </c>
      <c r="O8800" t="s">
        <v>69</v>
      </c>
      <c r="Q8800">
        <v>307.8</v>
      </c>
      <c r="R8800" t="str">
        <f>"DROGALIDER 58 (10213)"</f>
        <v>DROGALIDER 58 (10213)</v>
      </c>
      <c r="S8800" t="s">
        <v>70</v>
      </c>
      <c r="T8800">
        <v>20527</v>
      </c>
      <c r="U8800">
        <v>24527</v>
      </c>
      <c r="V8800" t="s">
        <v>22</v>
      </c>
    </row>
    <row r="8801" spans="1:22">
      <c r="A8801" t="str">
        <f t="shared" si="1657"/>
        <v>05/11/2025</v>
      </c>
      <c r="B8801" t="str">
        <f t="shared" si="1652"/>
        <v>ENTRADA</v>
      </c>
      <c r="C8801" t="str">
        <f t="shared" si="1653"/>
        <v>NFSE</v>
      </c>
      <c r="D8801" t="str">
        <f>"3596"</f>
        <v>3596</v>
      </c>
      <c r="E8801" t="str">
        <f t="shared" si="1654"/>
        <v>1</v>
      </c>
      <c r="F8801" t="str">
        <f t="shared" si="1651"/>
        <v>COM</v>
      </c>
      <c r="G8801" t="str">
        <f>"DROGALIDER 46 (10248)"</f>
        <v>DROGALIDER 46 (10248)</v>
      </c>
      <c r="H8801" t="str">
        <f>"Serv.Prest. 20/10/2025 a 26/10/2025 - RPS: 1472 - NFSe: 3596"</f>
        <v>Serv.Prest. 20/10/2025 a 26/10/2025 - RPS: 1472 - NFSe: 3596</v>
      </c>
      <c r="I8801" t="str">
        <f t="shared" si="1658"/>
        <v>04/11/2025</v>
      </c>
      <c r="J8801" t="str">
        <f t="shared" si="1659"/>
        <v>30/10/2025</v>
      </c>
      <c r="K8801" t="str">
        <f>("05/11/2025")</f>
        <v>05/11/2025</v>
      </c>
      <c r="L8801">
        <v>307.8</v>
      </c>
      <c r="M8801">
        <v>307.8</v>
      </c>
      <c r="N8801">
        <v>303</v>
      </c>
      <c r="O8801" t="str">
        <f>"RECEITAS COM ENTREGAS"</f>
        <v>RECEITAS COM ENTREGAS</v>
      </c>
      <c r="P8801">
        <v>307.8</v>
      </c>
      <c r="S8801" t="str">
        <f>"RECEITAS COM ENTREGAS (303)"</f>
        <v>RECEITAS COM ENTREGAS (303)</v>
      </c>
      <c r="T8801">
        <v>20528</v>
      </c>
      <c r="U8801">
        <v>24523</v>
      </c>
      <c r="V8801" t="s">
        <v>22</v>
      </c>
    </row>
    <row r="8802" spans="1:22">
      <c r="A8802" t="str">
        <f t="shared" si="1657"/>
        <v>05/11/2025</v>
      </c>
      <c r="B8802" t="str">
        <f t="shared" si="1652"/>
        <v>ENTRADA</v>
      </c>
      <c r="C8802" t="str">
        <f t="shared" si="1653"/>
        <v>NFSE</v>
      </c>
      <c r="D8802" t="str">
        <f>"3596"</f>
        <v>3596</v>
      </c>
      <c r="E8802" t="str">
        <f t="shared" si="1654"/>
        <v>1</v>
      </c>
      <c r="F8802" t="str">
        <f t="shared" si="1651"/>
        <v>COM</v>
      </c>
      <c r="G8802" t="str">
        <f>"DROGALIDER 46 (10248)"</f>
        <v>DROGALIDER 46 (10248)</v>
      </c>
      <c r="H8802" t="s">
        <v>2496</v>
      </c>
      <c r="I8802" t="str">
        <f t="shared" si="1658"/>
        <v>04/11/2025</v>
      </c>
      <c r="J8802" t="str">
        <f t="shared" si="1659"/>
        <v>30/10/2025</v>
      </c>
      <c r="K8802">
        <v>45966</v>
      </c>
      <c r="N8802">
        <v>303</v>
      </c>
      <c r="O8802" t="s">
        <v>69</v>
      </c>
      <c r="Q8802">
        <v>307.8</v>
      </c>
      <c r="R8802" t="str">
        <f>"DROGALIDER 46 (10248)"</f>
        <v>DROGALIDER 46 (10248)</v>
      </c>
      <c r="S8802" t="s">
        <v>70</v>
      </c>
      <c r="T8802">
        <v>20528</v>
      </c>
      <c r="U8802">
        <v>24523</v>
      </c>
      <c r="V8802" t="s">
        <v>22</v>
      </c>
    </row>
    <row r="8803" spans="1:22">
      <c r="A8803" t="str">
        <f t="shared" si="1657"/>
        <v>05/11/2025</v>
      </c>
      <c r="B8803" t="str">
        <f t="shared" si="1652"/>
        <v>ENTRADA</v>
      </c>
      <c r="C8803" t="str">
        <f t="shared" si="1653"/>
        <v>NFSE</v>
      </c>
      <c r="D8803" t="str">
        <f>"3595"</f>
        <v>3595</v>
      </c>
      <c r="E8803" t="str">
        <f t="shared" si="1654"/>
        <v>1</v>
      </c>
      <c r="F8803" t="str">
        <f t="shared" si="1651"/>
        <v>COM</v>
      </c>
      <c r="G8803" t="str">
        <f>"DROGALIDER 25 (10246)"</f>
        <v>DROGALIDER 25 (10246)</v>
      </c>
      <c r="H8803" t="str">
        <f>"Serv.Prest. 20/10/2025 a 26/10/2025 - RPS: 1471 - NFSe: 3595"</f>
        <v>Serv.Prest. 20/10/2025 a 26/10/2025 - RPS: 1471 - NFSe: 3595</v>
      </c>
      <c r="I8803" t="str">
        <f t="shared" si="1658"/>
        <v>04/11/2025</v>
      </c>
      <c r="J8803" t="str">
        <f t="shared" si="1659"/>
        <v>30/10/2025</v>
      </c>
      <c r="K8803" t="str">
        <f>("05/11/2025")</f>
        <v>05/11/2025</v>
      </c>
      <c r="L8803">
        <v>307.8</v>
      </c>
      <c r="M8803">
        <v>307.8</v>
      </c>
      <c r="N8803">
        <v>303</v>
      </c>
      <c r="O8803" t="str">
        <f>"RECEITAS COM ENTREGAS"</f>
        <v>RECEITAS COM ENTREGAS</v>
      </c>
      <c r="P8803">
        <v>307.8</v>
      </c>
      <c r="S8803" t="str">
        <f>"RECEITAS COM ENTREGAS (303)"</f>
        <v>RECEITAS COM ENTREGAS (303)</v>
      </c>
      <c r="T8803">
        <v>20529</v>
      </c>
      <c r="U8803">
        <v>24518</v>
      </c>
      <c r="V8803" t="s">
        <v>22</v>
      </c>
    </row>
    <row r="8804" spans="1:22">
      <c r="A8804" t="str">
        <f t="shared" si="1657"/>
        <v>05/11/2025</v>
      </c>
      <c r="B8804" t="str">
        <f t="shared" si="1652"/>
        <v>ENTRADA</v>
      </c>
      <c r="C8804" t="str">
        <f t="shared" si="1653"/>
        <v>NFSE</v>
      </c>
      <c r="D8804" t="str">
        <f>"3595"</f>
        <v>3595</v>
      </c>
      <c r="E8804" t="str">
        <f t="shared" si="1654"/>
        <v>1</v>
      </c>
      <c r="F8804" t="str">
        <f t="shared" si="1651"/>
        <v>COM</v>
      </c>
      <c r="G8804" t="str">
        <f>"DROGALIDER 25 (10246)"</f>
        <v>DROGALIDER 25 (10246)</v>
      </c>
      <c r="H8804" t="s">
        <v>2497</v>
      </c>
      <c r="I8804" t="str">
        <f t="shared" si="1658"/>
        <v>04/11/2025</v>
      </c>
      <c r="J8804" t="str">
        <f t="shared" si="1659"/>
        <v>30/10/2025</v>
      </c>
      <c r="K8804">
        <v>45966</v>
      </c>
      <c r="N8804">
        <v>303</v>
      </c>
      <c r="O8804" t="s">
        <v>69</v>
      </c>
      <c r="Q8804">
        <v>307.8</v>
      </c>
      <c r="R8804" t="str">
        <f>"DROGALIDER 25 (10246)"</f>
        <v>DROGALIDER 25 (10246)</v>
      </c>
      <c r="S8804" t="s">
        <v>70</v>
      </c>
      <c r="T8804">
        <v>20529</v>
      </c>
      <c r="U8804">
        <v>24518</v>
      </c>
      <c r="V8804" t="s">
        <v>22</v>
      </c>
    </row>
    <row r="8805" spans="1:22">
      <c r="A8805" t="str">
        <f t="shared" si="1657"/>
        <v>05/11/2025</v>
      </c>
      <c r="B8805" t="str">
        <f t="shared" ref="B8805:B8836" si="1660">"SAÍDA"</f>
        <v>SAÍDA</v>
      </c>
      <c r="C8805" t="str">
        <f>"JUROS"</f>
        <v>JUROS</v>
      </c>
      <c r="D8805" t="str">
        <f>""</f>
        <v/>
      </c>
      <c r="F8805" t="str">
        <f>"CXA"</f>
        <v>CXA</v>
      </c>
      <c r="G8805" t="str">
        <f>""</f>
        <v/>
      </c>
      <c r="H8805" t="str">
        <f>"TARIFA"</f>
        <v>TARIFA</v>
      </c>
      <c r="I8805" t="str">
        <f>("05/11/2025")</f>
        <v>05/11/2025</v>
      </c>
      <c r="J8805" t="str">
        <f>("05/11/2025")</f>
        <v>05/11/2025</v>
      </c>
      <c r="K8805" t="str">
        <f>("05/11/2025")</f>
        <v>05/11/2025</v>
      </c>
      <c r="L8805">
        <v>51</v>
      </c>
      <c r="M8805">
        <v>51</v>
      </c>
      <c r="N8805">
        <v>401</v>
      </c>
      <c r="O8805" t="str">
        <f>"IOF/JUROS/DESP.FINANCEIRA"</f>
        <v>IOF/JUROS/DESP.FINANCEIRA</v>
      </c>
      <c r="P8805">
        <v>51</v>
      </c>
      <c r="S8805" t="str">
        <f>"BANCO CORA (102)"</f>
        <v>BANCO CORA (102)</v>
      </c>
      <c r="T8805">
        <v>20530</v>
      </c>
      <c r="U8805">
        <v>0</v>
      </c>
      <c r="V8805" t="s">
        <v>1112</v>
      </c>
    </row>
    <row r="8806" spans="1:22">
      <c r="A8806" t="str">
        <f t="shared" si="1657"/>
        <v>05/11/2025</v>
      </c>
      <c r="B8806" t="str">
        <f t="shared" si="1660"/>
        <v>SAÍDA</v>
      </c>
      <c r="C8806" t="str">
        <f t="shared" ref="C8806:C8836" si="1661">"PIX"</f>
        <v>PIX</v>
      </c>
      <c r="D8806" t="str">
        <f>"0511255370"</f>
        <v>0511255370</v>
      </c>
      <c r="E8806" t="str">
        <f>"22"</f>
        <v>22</v>
      </c>
      <c r="F8806" t="str">
        <f t="shared" ref="F8806:F8837" si="1662">"COM"</f>
        <v>COM</v>
      </c>
      <c r="G8806" t="str">
        <f>"54.235.509 ROBERT MAGDIEL DE CARVALHO (20004)"</f>
        <v>54.235.509 ROBERT MAGDIEL DE CARVALHO (20004)</v>
      </c>
      <c r="H8806" t="str">
        <f>"PRESTACAO DE SERVICO MENSAL 10/2025"</f>
        <v>PRESTACAO DE SERVICO MENSAL 10/2025</v>
      </c>
      <c r="I8806" t="str">
        <f t="shared" ref="I8806:I8836" si="1663">("05/11/2025")</f>
        <v>05/11/2025</v>
      </c>
      <c r="J8806" t="str">
        <f t="shared" ref="J8806:J8813" si="1664">("01/11/2025")</f>
        <v>01/11/2025</v>
      </c>
      <c r="K8806" t="str">
        <f>("05/11/2025")</f>
        <v>05/11/2025</v>
      </c>
      <c r="L8806">
        <v>5370</v>
      </c>
      <c r="M8806">
        <v>5370</v>
      </c>
      <c r="N8806">
        <v>114</v>
      </c>
      <c r="O8806" t="str">
        <f>"PRESTADORES DE SERVIÇOS"</f>
        <v>PRESTADORES DE SERVIÇOS</v>
      </c>
      <c r="P8806">
        <v>5370</v>
      </c>
      <c r="S8806" t="str">
        <f>"BANCO CORA (102)"</f>
        <v>BANCO CORA (102)</v>
      </c>
      <c r="T8806">
        <v>20532</v>
      </c>
      <c r="U8806">
        <v>4093</v>
      </c>
      <c r="V8806" t="s">
        <v>22</v>
      </c>
    </row>
    <row r="8807" spans="1:22">
      <c r="A8807" t="str">
        <f t="shared" si="1657"/>
        <v>05/11/2025</v>
      </c>
      <c r="B8807" t="str">
        <f t="shared" si="1660"/>
        <v>SAÍDA</v>
      </c>
      <c r="C8807" t="str">
        <f t="shared" si="1661"/>
        <v>PIX</v>
      </c>
      <c r="D8807" t="str">
        <f>"0511255370"</f>
        <v>0511255370</v>
      </c>
      <c r="E8807" t="str">
        <f>"22"</f>
        <v>22</v>
      </c>
      <c r="F8807" t="str">
        <f t="shared" si="1662"/>
        <v>COM</v>
      </c>
      <c r="G8807" t="str">
        <f>"54.235.509 ROBERT MAGDIEL DE CARVALHO (20004)"</f>
        <v>54.235.509 ROBERT MAGDIEL DE CARVALHO (20004)</v>
      </c>
      <c r="H8807" t="s">
        <v>2498</v>
      </c>
      <c r="I8807" t="str">
        <f t="shared" si="1663"/>
        <v>05/11/2025</v>
      </c>
      <c r="J8807" t="str">
        <f t="shared" si="1664"/>
        <v>01/11/2025</v>
      </c>
      <c r="K8807">
        <v>45966</v>
      </c>
      <c r="N8807">
        <v>114</v>
      </c>
      <c r="O8807" t="s">
        <v>260</v>
      </c>
      <c r="Q8807">
        <v>5370</v>
      </c>
      <c r="R8807" t="str">
        <f>"54.235.509 ROBERT MAGDIEL DE CARVALHO (20004)"</f>
        <v>54.235.509 ROBERT MAGDIEL DE CARVALHO (20004)</v>
      </c>
      <c r="S8807" t="s">
        <v>22</v>
      </c>
      <c r="T8807">
        <v>20532</v>
      </c>
      <c r="U8807">
        <v>4093</v>
      </c>
      <c r="V8807" t="s">
        <v>22</v>
      </c>
    </row>
    <row r="8808" spans="1:22">
      <c r="A8808" t="str">
        <f t="shared" si="1657"/>
        <v>05/11/2025</v>
      </c>
      <c r="B8808" t="str">
        <f t="shared" si="1660"/>
        <v>SAÍDA</v>
      </c>
      <c r="C8808" t="str">
        <f t="shared" si="1661"/>
        <v>PIX</v>
      </c>
      <c r="D8808" t="str">
        <f>"0111255230"</f>
        <v>0111255230</v>
      </c>
      <c r="E8808" t="str">
        <f>"22"</f>
        <v>22</v>
      </c>
      <c r="F8808" t="str">
        <f t="shared" si="1662"/>
        <v>COM</v>
      </c>
      <c r="G8808" t="str">
        <f>"NATAN ALVES DA SILVA SA (20005)"</f>
        <v>NATAN ALVES DA SILVA SA (20005)</v>
      </c>
      <c r="H8808" t="str">
        <f>"PRESTAÇÃO DE SERVIÇO MENSAL 10/2025"</f>
        <v>PRESTAÇÃO DE SERVIÇO MENSAL 10/2025</v>
      </c>
      <c r="I8808" t="str">
        <f t="shared" si="1663"/>
        <v>05/11/2025</v>
      </c>
      <c r="J8808" t="str">
        <f t="shared" si="1664"/>
        <v>01/11/2025</v>
      </c>
      <c r="K8808" t="str">
        <f>("05/11/2025")</f>
        <v>05/11/2025</v>
      </c>
      <c r="L8808">
        <v>5230</v>
      </c>
      <c r="M8808">
        <v>5230</v>
      </c>
      <c r="N8808">
        <v>114</v>
      </c>
      <c r="O8808" t="str">
        <f>"PRESTADORES DE SERVIÇOS"</f>
        <v>PRESTADORES DE SERVIÇOS</v>
      </c>
      <c r="P8808">
        <v>5230</v>
      </c>
      <c r="S8808" t="str">
        <f>"BANCO CORA (102)"</f>
        <v>BANCO CORA (102)</v>
      </c>
      <c r="T8808">
        <v>20533</v>
      </c>
      <c r="U8808">
        <v>4106</v>
      </c>
      <c r="V8808" t="s">
        <v>22</v>
      </c>
    </row>
    <row r="8809" spans="1:22">
      <c r="A8809" t="str">
        <f t="shared" si="1657"/>
        <v>05/11/2025</v>
      </c>
      <c r="B8809" t="str">
        <f t="shared" si="1660"/>
        <v>SAÍDA</v>
      </c>
      <c r="C8809" t="str">
        <f t="shared" si="1661"/>
        <v>PIX</v>
      </c>
      <c r="D8809" t="str">
        <f>"0111255230"</f>
        <v>0111255230</v>
      </c>
      <c r="E8809" t="str">
        <f>"22"</f>
        <v>22</v>
      </c>
      <c r="F8809" t="str">
        <f t="shared" si="1662"/>
        <v>COM</v>
      </c>
      <c r="G8809" t="str">
        <f>"NATAN ALVES DA SILVA SA (20005)"</f>
        <v>NATAN ALVES DA SILVA SA (20005)</v>
      </c>
      <c r="H8809" t="s">
        <v>2499</v>
      </c>
      <c r="I8809" t="str">
        <f t="shared" si="1663"/>
        <v>05/11/2025</v>
      </c>
      <c r="J8809" t="str">
        <f t="shared" si="1664"/>
        <v>01/11/2025</v>
      </c>
      <c r="K8809">
        <v>45966</v>
      </c>
      <c r="N8809">
        <v>114</v>
      </c>
      <c r="O8809" t="s">
        <v>260</v>
      </c>
      <c r="Q8809">
        <v>5230</v>
      </c>
      <c r="R8809" t="str">
        <f>"55.656.401 NATAN ALVES DA SILVA SA (20005)"</f>
        <v>55.656.401 NATAN ALVES DA SILVA SA (20005)</v>
      </c>
      <c r="S8809" t="s">
        <v>22</v>
      </c>
      <c r="T8809">
        <v>20533</v>
      </c>
      <c r="U8809">
        <v>4106</v>
      </c>
      <c r="V8809" t="s">
        <v>22</v>
      </c>
    </row>
    <row r="8810" spans="1:22">
      <c r="A8810" t="str">
        <f t="shared" si="1657"/>
        <v>05/11/2025</v>
      </c>
      <c r="B8810" t="str">
        <f t="shared" si="1660"/>
        <v>SAÍDA</v>
      </c>
      <c r="C8810" t="str">
        <f t="shared" si="1661"/>
        <v>PIX</v>
      </c>
      <c r="D8810" t="str">
        <f>"0111251200"</f>
        <v>0111251200</v>
      </c>
      <c r="E8810" t="str">
        <f>"35"</f>
        <v>35</v>
      </c>
      <c r="F8810" t="str">
        <f t="shared" si="1662"/>
        <v>COM</v>
      </c>
      <c r="G8810" t="str">
        <f>"ADRIELLE APARECIDA PALOMINO (20029)"</f>
        <v>ADRIELLE APARECIDA PALOMINO (20029)</v>
      </c>
      <c r="H8810" t="str">
        <f>"PAGAMENTO SERVIÇO MENSAL 10/2025"</f>
        <v>PAGAMENTO SERVIÇO MENSAL 10/2025</v>
      </c>
      <c r="I8810" t="str">
        <f t="shared" si="1663"/>
        <v>05/11/2025</v>
      </c>
      <c r="J8810" t="str">
        <f t="shared" si="1664"/>
        <v>01/11/2025</v>
      </c>
      <c r="K8810" t="str">
        <f>("05/11/2025")</f>
        <v>05/11/2025</v>
      </c>
      <c r="L8810">
        <v>1200</v>
      </c>
      <c r="M8810">
        <v>1200</v>
      </c>
      <c r="N8810">
        <v>103</v>
      </c>
      <c r="O8810" t="str">
        <f>"PAGAMENTO DE FUNCIONÁRIOS"</f>
        <v>PAGAMENTO DE FUNCIONÁRIOS</v>
      </c>
      <c r="P8810">
        <v>1200</v>
      </c>
      <c r="S8810" t="str">
        <f>"BANCO CORA (102)"</f>
        <v>BANCO CORA (102)</v>
      </c>
      <c r="T8810">
        <v>20534</v>
      </c>
      <c r="U8810">
        <v>4118</v>
      </c>
      <c r="V8810" t="s">
        <v>22</v>
      </c>
    </row>
    <row r="8811" spans="1:22">
      <c r="A8811" t="str">
        <f t="shared" si="1657"/>
        <v>05/11/2025</v>
      </c>
      <c r="B8811" t="str">
        <f t="shared" si="1660"/>
        <v>SAÍDA</v>
      </c>
      <c r="C8811" t="str">
        <f t="shared" si="1661"/>
        <v>PIX</v>
      </c>
      <c r="D8811" t="str">
        <f>"0111251200"</f>
        <v>0111251200</v>
      </c>
      <c r="E8811" t="str">
        <f>"35"</f>
        <v>35</v>
      </c>
      <c r="F8811" t="str">
        <f t="shared" si="1662"/>
        <v>COM</v>
      </c>
      <c r="G8811" t="str">
        <f>"ADRIELLE APARECIDA PALOMINO (20029)"</f>
        <v>ADRIELLE APARECIDA PALOMINO (20029)</v>
      </c>
      <c r="H8811" t="s">
        <v>2500</v>
      </c>
      <c r="I8811" t="str">
        <f t="shared" si="1663"/>
        <v>05/11/2025</v>
      </c>
      <c r="J8811" t="str">
        <f t="shared" si="1664"/>
        <v>01/11/2025</v>
      </c>
      <c r="K8811">
        <v>45966</v>
      </c>
      <c r="N8811">
        <v>103</v>
      </c>
      <c r="O8811" t="s">
        <v>267</v>
      </c>
      <c r="Q8811">
        <v>1200</v>
      </c>
      <c r="R8811" t="str">
        <f>"ADRIELLE APARECIDA PALOMINO (20029)"</f>
        <v>ADRIELLE APARECIDA PALOMINO (20029)</v>
      </c>
      <c r="S8811" t="s">
        <v>22</v>
      </c>
      <c r="T8811">
        <v>20534</v>
      </c>
      <c r="U8811">
        <v>4118</v>
      </c>
      <c r="V8811" t="s">
        <v>22</v>
      </c>
    </row>
    <row r="8812" spans="1:22">
      <c r="A8812" t="str">
        <f t="shared" si="1657"/>
        <v>05/11/2025</v>
      </c>
      <c r="B8812" t="str">
        <f t="shared" si="1660"/>
        <v>SAÍDA</v>
      </c>
      <c r="C8812" t="str">
        <f t="shared" si="1661"/>
        <v>PIX</v>
      </c>
      <c r="D8812" t="str">
        <f>"0111253500"</f>
        <v>0111253500</v>
      </c>
      <c r="E8812" t="str">
        <f>"11"</f>
        <v>11</v>
      </c>
      <c r="F8812" t="str">
        <f t="shared" si="1662"/>
        <v>COM</v>
      </c>
      <c r="G8812" t="str">
        <f>"GUSTAVO CESAR DE REZENDE (20060)"</f>
        <v>GUSTAVO CESAR DE REZENDE (20060)</v>
      </c>
      <c r="H8812" t="str">
        <f>"PRESTACAO DE SERVICOS 10/2025"</f>
        <v>PRESTACAO DE SERVICOS 10/2025</v>
      </c>
      <c r="I8812" t="str">
        <f t="shared" si="1663"/>
        <v>05/11/2025</v>
      </c>
      <c r="J8812" t="str">
        <f t="shared" si="1664"/>
        <v>01/11/2025</v>
      </c>
      <c r="K8812" t="str">
        <f>("05/11/2025")</f>
        <v>05/11/2025</v>
      </c>
      <c r="L8812">
        <v>3500</v>
      </c>
      <c r="M8812">
        <v>3500</v>
      </c>
      <c r="N8812">
        <v>103</v>
      </c>
      <c r="O8812" t="str">
        <f>"PAGAMENTO DE FUNCIONÁRIOS"</f>
        <v>PAGAMENTO DE FUNCIONÁRIOS</v>
      </c>
      <c r="P8812">
        <v>3500</v>
      </c>
      <c r="S8812" t="str">
        <f>"BANCO CORA (102)"</f>
        <v>BANCO CORA (102)</v>
      </c>
      <c r="T8812">
        <v>20535</v>
      </c>
      <c r="U8812">
        <v>5322</v>
      </c>
      <c r="V8812" t="s">
        <v>22</v>
      </c>
    </row>
    <row r="8813" spans="1:22">
      <c r="A8813" t="str">
        <f t="shared" si="1657"/>
        <v>05/11/2025</v>
      </c>
      <c r="B8813" t="str">
        <f t="shared" si="1660"/>
        <v>SAÍDA</v>
      </c>
      <c r="C8813" t="str">
        <f t="shared" si="1661"/>
        <v>PIX</v>
      </c>
      <c r="D8813" t="str">
        <f>"0111253500"</f>
        <v>0111253500</v>
      </c>
      <c r="E8813" t="str">
        <f>"11"</f>
        <v>11</v>
      </c>
      <c r="F8813" t="str">
        <f t="shared" si="1662"/>
        <v>COM</v>
      </c>
      <c r="G8813" t="str">
        <f>"GUSTAVO CESAR DE REZENDE (20060)"</f>
        <v>GUSTAVO CESAR DE REZENDE (20060)</v>
      </c>
      <c r="H8813" t="s">
        <v>2501</v>
      </c>
      <c r="I8813" t="str">
        <f t="shared" si="1663"/>
        <v>05/11/2025</v>
      </c>
      <c r="J8813" t="str">
        <f t="shared" si="1664"/>
        <v>01/11/2025</v>
      </c>
      <c r="K8813">
        <v>45966</v>
      </c>
      <c r="N8813">
        <v>103</v>
      </c>
      <c r="O8813" t="s">
        <v>267</v>
      </c>
      <c r="Q8813">
        <v>3500</v>
      </c>
      <c r="R8813" t="str">
        <f>"GUSTAVO CESAR DE REZENDE (20060)"</f>
        <v>GUSTAVO CESAR DE REZENDE (20060)</v>
      </c>
      <c r="S8813" t="s">
        <v>22</v>
      </c>
      <c r="T8813">
        <v>20535</v>
      </c>
      <c r="U8813">
        <v>5322</v>
      </c>
      <c r="V8813" t="s">
        <v>22</v>
      </c>
    </row>
    <row r="8814" spans="1:22">
      <c r="A8814" t="str">
        <f t="shared" si="1657"/>
        <v>05/11/2025</v>
      </c>
      <c r="B8814" t="str">
        <f t="shared" si="1660"/>
        <v>SAÍDA</v>
      </c>
      <c r="C8814" t="str">
        <f t="shared" si="1661"/>
        <v>PIX</v>
      </c>
      <c r="D8814" t="str">
        <f>"060625"</f>
        <v>060625</v>
      </c>
      <c r="E8814" t="str">
        <f t="shared" ref="E8814:E8821" si="1665">"6"</f>
        <v>6</v>
      </c>
      <c r="F8814" t="str">
        <f t="shared" si="1662"/>
        <v>COM</v>
      </c>
      <c r="G8814" t="str">
        <f>"GIOVANA CECCON MARTINS DE SA (20091)"</f>
        <v>GIOVANA CECCON MARTINS DE SA (20091)</v>
      </c>
      <c r="H8814" t="str">
        <f>"BOLSA ESTAGIO 10/2025"</f>
        <v>BOLSA ESTAGIO 10/2025</v>
      </c>
      <c r="I8814" t="str">
        <f t="shared" si="1663"/>
        <v>05/11/2025</v>
      </c>
      <c r="J8814" t="str">
        <f>("05/11/2025")</f>
        <v>05/11/2025</v>
      </c>
      <c r="K8814" t="str">
        <f>("05/11/2025")</f>
        <v>05/11/2025</v>
      </c>
      <c r="L8814">
        <v>1200</v>
      </c>
      <c r="M8814">
        <v>1200</v>
      </c>
      <c r="N8814">
        <v>103</v>
      </c>
      <c r="O8814" t="str">
        <f>"PAGAMENTO DE FUNCIONÁRIOS"</f>
        <v>PAGAMENTO DE FUNCIONÁRIOS</v>
      </c>
      <c r="P8814">
        <v>1200</v>
      </c>
      <c r="S8814" t="str">
        <f>"BANCO CORA (102)"</f>
        <v>BANCO CORA (102)</v>
      </c>
      <c r="T8814">
        <v>20536</v>
      </c>
      <c r="U8814">
        <v>16171</v>
      </c>
      <c r="V8814" t="s">
        <v>22</v>
      </c>
    </row>
    <row r="8815" spans="1:22">
      <c r="A8815" t="str">
        <f t="shared" si="1657"/>
        <v>05/11/2025</v>
      </c>
      <c r="B8815" t="str">
        <f t="shared" si="1660"/>
        <v>SAÍDA</v>
      </c>
      <c r="C8815" t="str">
        <f t="shared" si="1661"/>
        <v>PIX</v>
      </c>
      <c r="D8815" t="str">
        <f>"060625"</f>
        <v>060625</v>
      </c>
      <c r="E8815" t="str">
        <f t="shared" si="1665"/>
        <v>6</v>
      </c>
      <c r="F8815" t="str">
        <f t="shared" si="1662"/>
        <v>COM</v>
      </c>
      <c r="G8815" t="str">
        <f>"GIOVANA CECCON MARTINS DE SA (20091)"</f>
        <v>GIOVANA CECCON MARTINS DE SA (20091)</v>
      </c>
      <c r="H8815" t="s">
        <v>2502</v>
      </c>
      <c r="I8815" t="str">
        <f t="shared" si="1663"/>
        <v>05/11/2025</v>
      </c>
      <c r="J8815" t="str">
        <f>("05/11/2025")</f>
        <v>05/11/2025</v>
      </c>
      <c r="K8815">
        <v>45966</v>
      </c>
      <c r="N8815">
        <v>103</v>
      </c>
      <c r="O8815" t="s">
        <v>267</v>
      </c>
      <c r="Q8815">
        <v>1200</v>
      </c>
      <c r="R8815" t="str">
        <f>"GIOVANA CECCON MARTINS DE SA (20091)"</f>
        <v>GIOVANA CECCON MARTINS DE SA (20091)</v>
      </c>
      <c r="S8815" t="s">
        <v>22</v>
      </c>
      <c r="T8815">
        <v>20536</v>
      </c>
      <c r="U8815">
        <v>16171</v>
      </c>
      <c r="V8815" t="s">
        <v>22</v>
      </c>
    </row>
    <row r="8816" spans="1:22">
      <c r="A8816" t="str">
        <f t="shared" si="1657"/>
        <v>05/11/2025</v>
      </c>
      <c r="B8816" t="str">
        <f t="shared" si="1660"/>
        <v>SAÍDA</v>
      </c>
      <c r="C8816" t="str">
        <f t="shared" si="1661"/>
        <v>PIX</v>
      </c>
      <c r="D8816" t="str">
        <f>"0511254560"</f>
        <v>0511254560</v>
      </c>
      <c r="E8816" t="str">
        <f t="shared" si="1665"/>
        <v>6</v>
      </c>
      <c r="F8816" t="str">
        <f t="shared" si="1662"/>
        <v>COM</v>
      </c>
      <c r="G8816" t="str">
        <f>"GIOVANA CECCON MARTINS DE SA (20091)"</f>
        <v>GIOVANA CECCON MARTINS DE SA (20091)</v>
      </c>
      <c r="H8816" t="str">
        <f>"VALE TRANSPORTE - NOVEMBRO/25 - 04 DIAS"</f>
        <v>VALE TRANSPORTE - NOVEMBRO/25 - 04 DIAS</v>
      </c>
      <c r="I8816" t="str">
        <f t="shared" si="1663"/>
        <v>05/11/2025</v>
      </c>
      <c r="J8816" t="str">
        <f>("01/11/2025")</f>
        <v>01/11/2025</v>
      </c>
      <c r="K8816" t="str">
        <f>("05/11/2025")</f>
        <v>05/11/2025</v>
      </c>
      <c r="L8816">
        <v>45.6</v>
      </c>
      <c r="M8816">
        <v>45.6</v>
      </c>
      <c r="N8816">
        <v>107</v>
      </c>
      <c r="O8816" t="str">
        <f>"VALE TRANSPORTE"</f>
        <v>VALE TRANSPORTE</v>
      </c>
      <c r="P8816">
        <v>45.6</v>
      </c>
      <c r="S8816" t="str">
        <f>"BANCO CORA (102)"</f>
        <v>BANCO CORA (102)</v>
      </c>
      <c r="T8816">
        <v>20537</v>
      </c>
      <c r="U8816">
        <v>16179</v>
      </c>
      <c r="V8816" t="s">
        <v>22</v>
      </c>
    </row>
    <row r="8817" spans="1:22">
      <c r="A8817" t="str">
        <f t="shared" si="1657"/>
        <v>05/11/2025</v>
      </c>
      <c r="B8817" t="str">
        <f t="shared" si="1660"/>
        <v>SAÍDA</v>
      </c>
      <c r="C8817" t="str">
        <f t="shared" si="1661"/>
        <v>PIX</v>
      </c>
      <c r="D8817" t="str">
        <f>"0511254560"</f>
        <v>0511254560</v>
      </c>
      <c r="E8817" t="str">
        <f t="shared" si="1665"/>
        <v>6</v>
      </c>
      <c r="F8817" t="str">
        <f t="shared" si="1662"/>
        <v>COM</v>
      </c>
      <c r="G8817" t="str">
        <f>"GIOVANA CECCON MARTINS DE SA (20091)"</f>
        <v>GIOVANA CECCON MARTINS DE SA (20091)</v>
      </c>
      <c r="H8817" t="s">
        <v>2503</v>
      </c>
      <c r="I8817" t="str">
        <f t="shared" si="1663"/>
        <v>05/11/2025</v>
      </c>
      <c r="J8817" t="str">
        <f>("01/11/2025")</f>
        <v>01/11/2025</v>
      </c>
      <c r="K8817">
        <v>45966</v>
      </c>
      <c r="N8817">
        <v>107</v>
      </c>
      <c r="O8817" t="s">
        <v>289</v>
      </c>
      <c r="Q8817">
        <v>45.6</v>
      </c>
      <c r="R8817" t="str">
        <f>"GIOVANA CECCON MARTINS DE SA (20091)"</f>
        <v>GIOVANA CECCON MARTINS DE SA (20091)</v>
      </c>
      <c r="S8817" t="s">
        <v>22</v>
      </c>
      <c r="T8817">
        <v>20537</v>
      </c>
      <c r="U8817">
        <v>16179</v>
      </c>
      <c r="V8817" t="s">
        <v>22</v>
      </c>
    </row>
    <row r="8818" spans="1:22">
      <c r="A8818" t="str">
        <f t="shared" si="1657"/>
        <v>05/11/2025</v>
      </c>
      <c r="B8818" t="str">
        <f t="shared" si="1660"/>
        <v>SAÍDA</v>
      </c>
      <c r="C8818" t="str">
        <f t="shared" si="1661"/>
        <v>PIX</v>
      </c>
      <c r="D8818" t="str">
        <f>"0611254560"</f>
        <v>0611254560</v>
      </c>
      <c r="E8818" t="str">
        <f t="shared" si="1665"/>
        <v>6</v>
      </c>
      <c r="F8818" t="str">
        <f t="shared" si="1662"/>
        <v>COM</v>
      </c>
      <c r="G8818" t="str">
        <f>"BRUNO NATO DOS SANTOS (20045)"</f>
        <v>BRUNO NATO DOS SANTOS (20045)</v>
      </c>
      <c r="H8818" t="str">
        <f>"VALE TRANSPORTE - NOVEMBRO/25 - 04 DIAS"</f>
        <v>VALE TRANSPORTE - NOVEMBRO/25 - 04 DIAS</v>
      </c>
      <c r="I8818" t="str">
        <f t="shared" si="1663"/>
        <v>05/11/2025</v>
      </c>
      <c r="J8818" t="str">
        <f>("05/11/2025")</f>
        <v>05/11/2025</v>
      </c>
      <c r="K8818" t="str">
        <f>("05/11/2025")</f>
        <v>05/11/2025</v>
      </c>
      <c r="L8818">
        <v>45.6</v>
      </c>
      <c r="M8818">
        <v>45.6</v>
      </c>
      <c r="N8818">
        <v>107</v>
      </c>
      <c r="O8818" t="str">
        <f>"VALE TRANSPORTE"</f>
        <v>VALE TRANSPORTE</v>
      </c>
      <c r="P8818">
        <v>45.6</v>
      </c>
      <c r="S8818" t="str">
        <f>"BANCO CORA (102)"</f>
        <v>BANCO CORA (102)</v>
      </c>
      <c r="T8818">
        <v>20538</v>
      </c>
      <c r="U8818">
        <v>16196</v>
      </c>
      <c r="V8818" t="s">
        <v>22</v>
      </c>
    </row>
    <row r="8819" spans="1:22">
      <c r="A8819" t="str">
        <f t="shared" si="1657"/>
        <v>05/11/2025</v>
      </c>
      <c r="B8819" t="str">
        <f t="shared" si="1660"/>
        <v>SAÍDA</v>
      </c>
      <c r="C8819" t="str">
        <f t="shared" si="1661"/>
        <v>PIX</v>
      </c>
      <c r="D8819" t="str">
        <f>"0611254560"</f>
        <v>0611254560</v>
      </c>
      <c r="E8819" t="str">
        <f t="shared" si="1665"/>
        <v>6</v>
      </c>
      <c r="F8819" t="str">
        <f t="shared" si="1662"/>
        <v>COM</v>
      </c>
      <c r="G8819" t="str">
        <f>"BRUNO NATO DOS SANTOS (20045)"</f>
        <v>BRUNO NATO DOS SANTOS (20045)</v>
      </c>
      <c r="H8819" t="s">
        <v>2503</v>
      </c>
      <c r="I8819" t="str">
        <f t="shared" si="1663"/>
        <v>05/11/2025</v>
      </c>
      <c r="J8819" t="str">
        <f>("05/11/2025")</f>
        <v>05/11/2025</v>
      </c>
      <c r="K8819">
        <v>45966</v>
      </c>
      <c r="N8819">
        <v>107</v>
      </c>
      <c r="O8819" t="s">
        <v>289</v>
      </c>
      <c r="Q8819">
        <v>45.6</v>
      </c>
      <c r="R8819" t="str">
        <f>"BRUNO NATO DOS SANTOS (20045)"</f>
        <v>BRUNO NATO DOS SANTOS (20045)</v>
      </c>
      <c r="S8819" t="s">
        <v>22</v>
      </c>
      <c r="T8819">
        <v>20538</v>
      </c>
      <c r="U8819">
        <v>16196</v>
      </c>
      <c r="V8819" t="s">
        <v>22</v>
      </c>
    </row>
    <row r="8820" spans="1:22">
      <c r="A8820" t="str">
        <f t="shared" si="1657"/>
        <v>05/11/2025</v>
      </c>
      <c r="B8820" t="str">
        <f t="shared" si="1660"/>
        <v>SAÍDA</v>
      </c>
      <c r="C8820" t="str">
        <f t="shared" si="1661"/>
        <v>PIX</v>
      </c>
      <c r="D8820" t="str">
        <f>"0511254560"</f>
        <v>0511254560</v>
      </c>
      <c r="E8820" t="str">
        <f t="shared" si="1665"/>
        <v>6</v>
      </c>
      <c r="F8820" t="str">
        <f t="shared" si="1662"/>
        <v>COM</v>
      </c>
      <c r="G8820" t="str">
        <f>"ADRIELLE APARECIDA PALOMINO (20029)"</f>
        <v>ADRIELLE APARECIDA PALOMINO (20029)</v>
      </c>
      <c r="H8820" t="str">
        <f>"VALE TRANSPORTE - NOVEMBRO/25 - 04 DIAS"</f>
        <v>VALE TRANSPORTE - NOVEMBRO/25 - 04 DIAS</v>
      </c>
      <c r="I8820" t="str">
        <f t="shared" si="1663"/>
        <v>05/11/2025</v>
      </c>
      <c r="J8820" t="str">
        <f>("01/11/2025")</f>
        <v>01/11/2025</v>
      </c>
      <c r="K8820" t="str">
        <f>("05/11/2025")</f>
        <v>05/11/2025</v>
      </c>
      <c r="L8820">
        <v>45.6</v>
      </c>
      <c r="M8820">
        <v>45.6</v>
      </c>
      <c r="N8820">
        <v>107</v>
      </c>
      <c r="O8820" t="str">
        <f>"VALE TRANSPORTE"</f>
        <v>VALE TRANSPORTE</v>
      </c>
      <c r="P8820">
        <v>45.6</v>
      </c>
      <c r="S8820" t="str">
        <f>"BANCO CORA (102)"</f>
        <v>BANCO CORA (102)</v>
      </c>
      <c r="T8820">
        <v>20539</v>
      </c>
      <c r="U8820">
        <v>16204</v>
      </c>
      <c r="V8820" t="s">
        <v>22</v>
      </c>
    </row>
    <row r="8821" spans="1:22">
      <c r="A8821" t="str">
        <f t="shared" si="1657"/>
        <v>05/11/2025</v>
      </c>
      <c r="B8821" t="str">
        <f t="shared" si="1660"/>
        <v>SAÍDA</v>
      </c>
      <c r="C8821" t="str">
        <f t="shared" si="1661"/>
        <v>PIX</v>
      </c>
      <c r="D8821" t="str">
        <f>"0511254560"</f>
        <v>0511254560</v>
      </c>
      <c r="E8821" t="str">
        <f t="shared" si="1665"/>
        <v>6</v>
      </c>
      <c r="F8821" t="str">
        <f t="shared" si="1662"/>
        <v>COM</v>
      </c>
      <c r="G8821" t="str">
        <f>"ADRIELLE APARECIDA PALOMINO (20029)"</f>
        <v>ADRIELLE APARECIDA PALOMINO (20029)</v>
      </c>
      <c r="H8821" t="s">
        <v>2503</v>
      </c>
      <c r="I8821" t="str">
        <f t="shared" si="1663"/>
        <v>05/11/2025</v>
      </c>
      <c r="J8821" t="str">
        <f>("01/11/2025")</f>
        <v>01/11/2025</v>
      </c>
      <c r="K8821">
        <v>45966</v>
      </c>
      <c r="N8821">
        <v>107</v>
      </c>
      <c r="O8821" t="s">
        <v>289</v>
      </c>
      <c r="Q8821">
        <v>45.6</v>
      </c>
      <c r="R8821" t="str">
        <f>"ADRIELLE APARECIDA PALOMINO (20029)"</f>
        <v>ADRIELLE APARECIDA PALOMINO (20029)</v>
      </c>
      <c r="S8821" t="s">
        <v>22</v>
      </c>
      <c r="T8821">
        <v>20539</v>
      </c>
      <c r="U8821">
        <v>16204</v>
      </c>
      <c r="V8821" t="s">
        <v>22</v>
      </c>
    </row>
    <row r="8822" spans="1:22">
      <c r="A8822" t="str">
        <f t="shared" si="1657"/>
        <v>05/11/2025</v>
      </c>
      <c r="B8822" t="str">
        <f t="shared" si="1660"/>
        <v>SAÍDA</v>
      </c>
      <c r="C8822" t="str">
        <f t="shared" si="1661"/>
        <v>PIX</v>
      </c>
      <c r="D8822" t="str">
        <f t="shared" ref="D8822:D8829" si="1666">"051125600"</f>
        <v>051125600</v>
      </c>
      <c r="E8822" t="str">
        <f>"1"</f>
        <v>1</v>
      </c>
      <c r="F8822" t="str">
        <f t="shared" si="1662"/>
        <v>COM</v>
      </c>
      <c r="G8822" t="str">
        <f>"EDSON BARROS DOS SANTOS 10882852604 (20025)"</f>
        <v>EDSON BARROS DOS SANTOS 10882852604 (20025)</v>
      </c>
      <c r="H8822" t="str">
        <f>"BONUS PRODUTIVIDADE 10/2025"</f>
        <v>BONUS PRODUTIVIDADE 10/2025</v>
      </c>
      <c r="I8822" t="str">
        <f t="shared" si="1663"/>
        <v>05/11/2025</v>
      </c>
      <c r="J8822" t="str">
        <f>("05/11/2025")</f>
        <v>05/11/2025</v>
      </c>
      <c r="K8822" t="str">
        <f>("05/11/2025")</f>
        <v>05/11/2025</v>
      </c>
      <c r="L8822">
        <v>600</v>
      </c>
      <c r="M8822">
        <v>600</v>
      </c>
      <c r="N8822">
        <v>103</v>
      </c>
      <c r="O8822" t="str">
        <f>"PAGAMENTO DE FUNCIONÁRIOS"</f>
        <v>PAGAMENTO DE FUNCIONÁRIOS</v>
      </c>
      <c r="P8822">
        <v>600</v>
      </c>
      <c r="S8822" t="str">
        <f>"BANCO CORA (102)"</f>
        <v>BANCO CORA (102)</v>
      </c>
      <c r="T8822">
        <v>20540</v>
      </c>
      <c r="U8822">
        <v>24908</v>
      </c>
      <c r="V8822" t="s">
        <v>22</v>
      </c>
    </row>
    <row r="8823" spans="1:22">
      <c r="A8823" t="str">
        <f t="shared" si="1657"/>
        <v>05/11/2025</v>
      </c>
      <c r="B8823" t="str">
        <f t="shared" si="1660"/>
        <v>SAÍDA</v>
      </c>
      <c r="C8823" t="str">
        <f t="shared" si="1661"/>
        <v>PIX</v>
      </c>
      <c r="D8823" t="str">
        <f t="shared" si="1666"/>
        <v>051125600</v>
      </c>
      <c r="E8823" t="str">
        <f>"1"</f>
        <v>1</v>
      </c>
      <c r="F8823" t="str">
        <f t="shared" si="1662"/>
        <v>COM</v>
      </c>
      <c r="G8823" t="str">
        <f>"EDSON BARROS DOS SANTOS 10882852604 (20025)"</f>
        <v>EDSON BARROS DOS SANTOS 10882852604 (20025)</v>
      </c>
      <c r="H8823" t="s">
        <v>2504</v>
      </c>
      <c r="I8823" t="str">
        <f t="shared" si="1663"/>
        <v>05/11/2025</v>
      </c>
      <c r="J8823" t="str">
        <f>("05/11/2025")</f>
        <v>05/11/2025</v>
      </c>
      <c r="K8823">
        <v>45966</v>
      </c>
      <c r="N8823">
        <v>103</v>
      </c>
      <c r="O8823" t="s">
        <v>267</v>
      </c>
      <c r="Q8823">
        <v>600</v>
      </c>
      <c r="R8823" t="str">
        <f>"EDSON BARROS DOS SANTOS 10882852604 (20025)"</f>
        <v>EDSON BARROS DOS SANTOS 10882852604 (20025)</v>
      </c>
      <c r="S8823" t="s">
        <v>22</v>
      </c>
      <c r="T8823">
        <v>20540</v>
      </c>
      <c r="U8823">
        <v>24908</v>
      </c>
      <c r="V8823" t="s">
        <v>22</v>
      </c>
    </row>
    <row r="8824" spans="1:22">
      <c r="A8824" t="str">
        <f t="shared" si="1657"/>
        <v>05/11/2025</v>
      </c>
      <c r="B8824" t="str">
        <f t="shared" si="1660"/>
        <v>SAÍDA</v>
      </c>
      <c r="C8824" t="str">
        <f t="shared" si="1661"/>
        <v>PIX</v>
      </c>
      <c r="D8824" t="str">
        <f t="shared" si="1666"/>
        <v>051125600</v>
      </c>
      <c r="E8824" t="str">
        <f>""</f>
        <v/>
      </c>
      <c r="F8824" t="str">
        <f t="shared" si="1662"/>
        <v>COM</v>
      </c>
      <c r="G8824" t="str">
        <f>"GUSTAVO CESAR DE REZENDE (20060)"</f>
        <v>GUSTAVO CESAR DE REZENDE (20060)</v>
      </c>
      <c r="H8824" t="str">
        <f>"BONUS PRODUTIVIDADE 10/2025"</f>
        <v>BONUS PRODUTIVIDADE 10/2025</v>
      </c>
      <c r="I8824" t="str">
        <f t="shared" si="1663"/>
        <v>05/11/2025</v>
      </c>
      <c r="J8824" t="str">
        <f>("05/11/2025")</f>
        <v>05/11/2025</v>
      </c>
      <c r="K8824" t="str">
        <f>("05/11/2025")</f>
        <v>05/11/2025</v>
      </c>
      <c r="L8824">
        <v>600</v>
      </c>
      <c r="M8824">
        <v>600</v>
      </c>
      <c r="N8824">
        <v>114</v>
      </c>
      <c r="O8824" t="str">
        <f>"PRESTADORES DE SERVIÇOS"</f>
        <v>PRESTADORES DE SERVIÇOS</v>
      </c>
      <c r="P8824">
        <v>600</v>
      </c>
      <c r="S8824" t="str">
        <f>"BANCO CORA (102)"</f>
        <v>BANCO CORA (102)</v>
      </c>
      <c r="T8824">
        <v>20541</v>
      </c>
      <c r="U8824">
        <v>24909</v>
      </c>
      <c r="V8824" t="s">
        <v>22</v>
      </c>
    </row>
    <row r="8825" spans="1:22">
      <c r="A8825" t="str">
        <f t="shared" si="1657"/>
        <v>05/11/2025</v>
      </c>
      <c r="B8825" t="str">
        <f t="shared" si="1660"/>
        <v>SAÍDA</v>
      </c>
      <c r="C8825" t="str">
        <f t="shared" si="1661"/>
        <v>PIX</v>
      </c>
      <c r="D8825" t="str">
        <f t="shared" si="1666"/>
        <v>051125600</v>
      </c>
      <c r="E8825" t="str">
        <f>""</f>
        <v/>
      </c>
      <c r="F8825" t="str">
        <f t="shared" si="1662"/>
        <v>COM</v>
      </c>
      <c r="G8825" t="str">
        <f>"GUSTAVO CESAR DE REZENDE (20060)"</f>
        <v>GUSTAVO CESAR DE REZENDE (20060)</v>
      </c>
      <c r="H8825" t="s">
        <v>2504</v>
      </c>
      <c r="I8825" t="str">
        <f t="shared" si="1663"/>
        <v>05/11/2025</v>
      </c>
      <c r="J8825" t="str">
        <f>("05/11/2025")</f>
        <v>05/11/2025</v>
      </c>
      <c r="K8825">
        <v>45966</v>
      </c>
      <c r="N8825">
        <v>114</v>
      </c>
      <c r="O8825" t="s">
        <v>260</v>
      </c>
      <c r="Q8825">
        <v>600</v>
      </c>
      <c r="R8825" t="str">
        <f>"GUSTAVO CESAR DE REZENDE (20060)"</f>
        <v>GUSTAVO CESAR DE REZENDE (20060)</v>
      </c>
      <c r="S8825" t="s">
        <v>22</v>
      </c>
      <c r="T8825">
        <v>20541</v>
      </c>
      <c r="U8825">
        <v>24909</v>
      </c>
      <c r="V8825" t="s">
        <v>22</v>
      </c>
    </row>
    <row r="8826" spans="1:22">
      <c r="A8826" t="str">
        <f t="shared" si="1657"/>
        <v>05/11/2025</v>
      </c>
      <c r="B8826" t="str">
        <f t="shared" si="1660"/>
        <v>SAÍDA</v>
      </c>
      <c r="C8826" t="str">
        <f t="shared" si="1661"/>
        <v>PIX</v>
      </c>
      <c r="D8826" t="str">
        <f t="shared" si="1666"/>
        <v>051125600</v>
      </c>
      <c r="E8826" t="str">
        <f>""</f>
        <v/>
      </c>
      <c r="F8826" t="str">
        <f t="shared" si="1662"/>
        <v>COM</v>
      </c>
      <c r="G8826" t="str">
        <f>"54.235.509 ROBERT MAGDIEL DE CARVALHO (20004)"</f>
        <v>54.235.509 ROBERT MAGDIEL DE CARVALHO (20004)</v>
      </c>
      <c r="H8826" t="str">
        <f>"BONUS PRODUTIVIDADE 10/2025"</f>
        <v>BONUS PRODUTIVIDADE 10/2025</v>
      </c>
      <c r="I8826" t="str">
        <f t="shared" si="1663"/>
        <v>05/11/2025</v>
      </c>
      <c r="J8826" t="str">
        <f>("05/11/2025")</f>
        <v>05/11/2025</v>
      </c>
      <c r="K8826" t="str">
        <f>("05/11/2025")</f>
        <v>05/11/2025</v>
      </c>
      <c r="L8826">
        <v>600</v>
      </c>
      <c r="M8826">
        <v>600</v>
      </c>
      <c r="N8826">
        <v>114</v>
      </c>
      <c r="O8826" t="str">
        <f>"PRESTADORES DE SERVIÇOS"</f>
        <v>PRESTADORES DE SERVIÇOS</v>
      </c>
      <c r="P8826">
        <v>600</v>
      </c>
      <c r="S8826" t="str">
        <f>"BANCO CORA (102)"</f>
        <v>BANCO CORA (102)</v>
      </c>
      <c r="T8826">
        <v>20542</v>
      </c>
      <c r="U8826">
        <v>24910</v>
      </c>
      <c r="V8826" t="s">
        <v>22</v>
      </c>
    </row>
    <row r="8827" spans="1:22">
      <c r="A8827" t="str">
        <f t="shared" ref="A8827:A8861" si="1667">("05/11/2025")</f>
        <v>05/11/2025</v>
      </c>
      <c r="B8827" t="str">
        <f t="shared" si="1660"/>
        <v>SAÍDA</v>
      </c>
      <c r="C8827" t="str">
        <f t="shared" si="1661"/>
        <v>PIX</v>
      </c>
      <c r="D8827" t="str">
        <f t="shared" si="1666"/>
        <v>051125600</v>
      </c>
      <c r="E8827" t="str">
        <f>""</f>
        <v/>
      </c>
      <c r="F8827" t="str">
        <f t="shared" si="1662"/>
        <v>COM</v>
      </c>
      <c r="G8827" t="str">
        <f>"54.235.509 ROBERT MAGDIEL DE CARVALHO (20004)"</f>
        <v>54.235.509 ROBERT MAGDIEL DE CARVALHO (20004)</v>
      </c>
      <c r="H8827" t="s">
        <v>2504</v>
      </c>
      <c r="I8827" t="str">
        <f t="shared" si="1663"/>
        <v>05/11/2025</v>
      </c>
      <c r="J8827" t="str">
        <f>("05/11/2025")</f>
        <v>05/11/2025</v>
      </c>
      <c r="K8827">
        <v>45966</v>
      </c>
      <c r="N8827">
        <v>114</v>
      </c>
      <c r="O8827" t="s">
        <v>260</v>
      </c>
      <c r="Q8827">
        <v>600</v>
      </c>
      <c r="R8827" t="str">
        <f>"54.235.509 ROBERT MAGDIEL DE CARVALHO (20004)"</f>
        <v>54.235.509 ROBERT MAGDIEL DE CARVALHO (20004)</v>
      </c>
      <c r="S8827" t="s">
        <v>22</v>
      </c>
      <c r="T8827">
        <v>20542</v>
      </c>
      <c r="U8827">
        <v>24910</v>
      </c>
      <c r="V8827" t="s">
        <v>22</v>
      </c>
    </row>
    <row r="8828" spans="1:22">
      <c r="A8828" t="str">
        <f t="shared" si="1667"/>
        <v>05/11/2025</v>
      </c>
      <c r="B8828" t="str">
        <f t="shared" si="1660"/>
        <v>SAÍDA</v>
      </c>
      <c r="C8828" t="str">
        <f t="shared" si="1661"/>
        <v>PIX</v>
      </c>
      <c r="D8828" t="str">
        <f t="shared" si="1666"/>
        <v>051125600</v>
      </c>
      <c r="E8828" t="str">
        <f>""</f>
        <v/>
      </c>
      <c r="F8828" t="str">
        <f t="shared" si="1662"/>
        <v>COM</v>
      </c>
      <c r="G8828" t="str">
        <f>"NATAN ALVES DA SILVA SA (20005)"</f>
        <v>NATAN ALVES DA SILVA SA (20005)</v>
      </c>
      <c r="H8828" t="str">
        <f>"BONUS PRODUTIVIDADE 10/2025"</f>
        <v>BONUS PRODUTIVIDADE 10/2025</v>
      </c>
      <c r="I8828" t="str">
        <f t="shared" si="1663"/>
        <v>05/11/2025</v>
      </c>
      <c r="J8828" t="str">
        <f>("01/11/2025")</f>
        <v>01/11/2025</v>
      </c>
      <c r="K8828" t="str">
        <f>("05/11/2025")</f>
        <v>05/11/2025</v>
      </c>
      <c r="L8828">
        <v>600</v>
      </c>
      <c r="M8828">
        <v>600</v>
      </c>
      <c r="N8828">
        <v>114</v>
      </c>
      <c r="O8828" t="str">
        <f>"PRESTADORES DE SERVIÇOS"</f>
        <v>PRESTADORES DE SERVIÇOS</v>
      </c>
      <c r="P8828">
        <v>600</v>
      </c>
      <c r="S8828" t="str">
        <f>"BANCO CORA (102)"</f>
        <v>BANCO CORA (102)</v>
      </c>
      <c r="T8828">
        <v>20543</v>
      </c>
      <c r="U8828">
        <v>24911</v>
      </c>
      <c r="V8828" t="s">
        <v>22</v>
      </c>
    </row>
    <row r="8829" spans="1:22">
      <c r="A8829" t="str">
        <f t="shared" si="1667"/>
        <v>05/11/2025</v>
      </c>
      <c r="B8829" t="str">
        <f t="shared" si="1660"/>
        <v>SAÍDA</v>
      </c>
      <c r="C8829" t="str">
        <f t="shared" si="1661"/>
        <v>PIX</v>
      </c>
      <c r="D8829" t="str">
        <f t="shared" si="1666"/>
        <v>051125600</v>
      </c>
      <c r="E8829" t="str">
        <f>""</f>
        <v/>
      </c>
      <c r="F8829" t="str">
        <f t="shared" si="1662"/>
        <v>COM</v>
      </c>
      <c r="G8829" t="str">
        <f>"NATAN ALVES DA SILVA SA (20005)"</f>
        <v>NATAN ALVES DA SILVA SA (20005)</v>
      </c>
      <c r="H8829" t="s">
        <v>2504</v>
      </c>
      <c r="I8829" t="str">
        <f t="shared" si="1663"/>
        <v>05/11/2025</v>
      </c>
      <c r="J8829" t="str">
        <f>("01/11/2025")</f>
        <v>01/11/2025</v>
      </c>
      <c r="K8829">
        <v>45966</v>
      </c>
      <c r="N8829">
        <v>114</v>
      </c>
      <c r="O8829" t="s">
        <v>260</v>
      </c>
      <c r="Q8829">
        <v>600</v>
      </c>
      <c r="R8829" t="str">
        <f>"NATAN ALVES DA SILVA SA (20005)"</f>
        <v>NATAN ALVES DA SILVA SA (20005)</v>
      </c>
      <c r="S8829" t="s">
        <v>22</v>
      </c>
      <c r="T8829">
        <v>20543</v>
      </c>
      <c r="U8829">
        <v>24911</v>
      </c>
      <c r="V8829" t="s">
        <v>22</v>
      </c>
    </row>
    <row r="8830" spans="1:22">
      <c r="A8830" t="str">
        <f t="shared" si="1667"/>
        <v>05/11/2025</v>
      </c>
      <c r="B8830" t="str">
        <f t="shared" si="1660"/>
        <v>SAÍDA</v>
      </c>
      <c r="C8830" t="str">
        <f t="shared" si="1661"/>
        <v>PIX</v>
      </c>
      <c r="D8830" t="str">
        <f>"0511252000"</f>
        <v>0511252000</v>
      </c>
      <c r="E8830" t="str">
        <f>""</f>
        <v/>
      </c>
      <c r="F8830" t="str">
        <f t="shared" si="1662"/>
        <v>COM</v>
      </c>
      <c r="G8830" t="str">
        <f>"ADRIELLE APARECIDA PALOMINO (20029)"</f>
        <v>ADRIELLE APARECIDA PALOMINO (20029)</v>
      </c>
      <c r="H8830" t="str">
        <f>"PREMIO SOBRE VENDAS 10/2025"</f>
        <v>PREMIO SOBRE VENDAS 10/2025</v>
      </c>
      <c r="I8830" t="str">
        <f t="shared" si="1663"/>
        <v>05/11/2025</v>
      </c>
      <c r="J8830" t="str">
        <f>("05/11/2025")</f>
        <v>05/11/2025</v>
      </c>
      <c r="K8830" t="str">
        <f>("05/11/2025")</f>
        <v>05/11/2025</v>
      </c>
      <c r="L8830">
        <v>2000</v>
      </c>
      <c r="M8830">
        <v>2000</v>
      </c>
      <c r="N8830">
        <v>125</v>
      </c>
      <c r="O8830" t="str">
        <f>"COMISSÃO DE REPRESENTANTES"</f>
        <v>COMISSÃO DE REPRESENTANTES</v>
      </c>
      <c r="P8830">
        <v>2000</v>
      </c>
      <c r="S8830" t="str">
        <f>"BANCO CORA (102)"</f>
        <v>BANCO CORA (102)</v>
      </c>
      <c r="T8830">
        <v>20544</v>
      </c>
      <c r="U8830">
        <v>24912</v>
      </c>
      <c r="V8830" t="s">
        <v>22</v>
      </c>
    </row>
    <row r="8831" spans="1:22">
      <c r="A8831" t="str">
        <f t="shared" si="1667"/>
        <v>05/11/2025</v>
      </c>
      <c r="B8831" t="str">
        <f t="shared" si="1660"/>
        <v>SAÍDA</v>
      </c>
      <c r="C8831" t="str">
        <f t="shared" si="1661"/>
        <v>PIX</v>
      </c>
      <c r="D8831" t="str">
        <f>"0511252000"</f>
        <v>0511252000</v>
      </c>
      <c r="E8831" t="str">
        <f>""</f>
        <v/>
      </c>
      <c r="F8831" t="str">
        <f t="shared" si="1662"/>
        <v>COM</v>
      </c>
      <c r="G8831" t="str">
        <f>"ADRIELLE APARECIDA PALOMINO (20029)"</f>
        <v>ADRIELLE APARECIDA PALOMINO (20029)</v>
      </c>
      <c r="H8831" t="s">
        <v>2505</v>
      </c>
      <c r="I8831" t="str">
        <f t="shared" si="1663"/>
        <v>05/11/2025</v>
      </c>
      <c r="J8831" t="str">
        <f>("05/11/2025")</f>
        <v>05/11/2025</v>
      </c>
      <c r="K8831">
        <v>45966</v>
      </c>
      <c r="N8831">
        <v>125</v>
      </c>
      <c r="O8831" t="s">
        <v>1348</v>
      </c>
      <c r="Q8831">
        <v>2000</v>
      </c>
      <c r="R8831" t="str">
        <f>"ADRIELLE APARECIDA PALOMINO (20029)"</f>
        <v>ADRIELLE APARECIDA PALOMINO (20029)</v>
      </c>
      <c r="S8831" t="s">
        <v>22</v>
      </c>
      <c r="T8831">
        <v>20544</v>
      </c>
      <c r="U8831">
        <v>24912</v>
      </c>
      <c r="V8831" t="s">
        <v>22</v>
      </c>
    </row>
    <row r="8832" spans="1:22">
      <c r="A8832" t="str">
        <f t="shared" si="1667"/>
        <v>05/11/2025</v>
      </c>
      <c r="B8832" t="str">
        <f t="shared" si="1660"/>
        <v>SAÍDA</v>
      </c>
      <c r="C8832" t="str">
        <f t="shared" si="1661"/>
        <v>PIX</v>
      </c>
      <c r="D8832" t="str">
        <f>"0511252000"</f>
        <v>0511252000</v>
      </c>
      <c r="E8832" t="str">
        <f>""</f>
        <v/>
      </c>
      <c r="F8832" t="str">
        <f t="shared" si="1662"/>
        <v>COM</v>
      </c>
      <c r="G8832" t="str">
        <f>"ANA JULIA REZENDE JUSTINO (20027)"</f>
        <v>ANA JULIA REZENDE JUSTINO (20027)</v>
      </c>
      <c r="H8832" t="str">
        <f>"PREMIO SOBRE VENDAS 10/2025"</f>
        <v>PREMIO SOBRE VENDAS 10/2025</v>
      </c>
      <c r="I8832" t="str">
        <f t="shared" si="1663"/>
        <v>05/11/2025</v>
      </c>
      <c r="J8832" t="str">
        <f>("05/11/2025")</f>
        <v>05/11/2025</v>
      </c>
      <c r="K8832" t="str">
        <f>("05/11/2025")</f>
        <v>05/11/2025</v>
      </c>
      <c r="L8832">
        <v>2000</v>
      </c>
      <c r="M8832">
        <v>2000</v>
      </c>
      <c r="N8832">
        <v>114</v>
      </c>
      <c r="O8832" t="str">
        <f>"PRESTADORES DE SERVIÇOS"</f>
        <v>PRESTADORES DE SERVIÇOS</v>
      </c>
      <c r="P8832">
        <v>2000</v>
      </c>
      <c r="S8832" t="str">
        <f>"BANCO CORA (102)"</f>
        <v>BANCO CORA (102)</v>
      </c>
      <c r="T8832">
        <v>20545</v>
      </c>
      <c r="U8832">
        <v>24913</v>
      </c>
      <c r="V8832" t="s">
        <v>22</v>
      </c>
    </row>
    <row r="8833" spans="1:22">
      <c r="A8833" t="str">
        <f t="shared" si="1667"/>
        <v>05/11/2025</v>
      </c>
      <c r="B8833" t="str">
        <f t="shared" si="1660"/>
        <v>SAÍDA</v>
      </c>
      <c r="C8833" t="str">
        <f t="shared" si="1661"/>
        <v>PIX</v>
      </c>
      <c r="D8833" t="str">
        <f>"0511252000"</f>
        <v>0511252000</v>
      </c>
      <c r="E8833" t="str">
        <f>""</f>
        <v/>
      </c>
      <c r="F8833" t="str">
        <f t="shared" si="1662"/>
        <v>COM</v>
      </c>
      <c r="G8833" t="str">
        <f>"ANA JULIA REZENDE JUSTINO (20027)"</f>
        <v>ANA JULIA REZENDE JUSTINO (20027)</v>
      </c>
      <c r="H8833" t="s">
        <v>2505</v>
      </c>
      <c r="I8833" t="str">
        <f t="shared" si="1663"/>
        <v>05/11/2025</v>
      </c>
      <c r="J8833" t="str">
        <f>("05/11/2025")</f>
        <v>05/11/2025</v>
      </c>
      <c r="K8833">
        <v>45966</v>
      </c>
      <c r="N8833">
        <v>114</v>
      </c>
      <c r="O8833" t="s">
        <v>260</v>
      </c>
      <c r="Q8833">
        <v>2000</v>
      </c>
      <c r="R8833" t="str">
        <f>"ANA JULIA REZENDE JUSTINO (20027)"</f>
        <v>ANA JULIA REZENDE JUSTINO (20027)</v>
      </c>
      <c r="S8833" t="s">
        <v>22</v>
      </c>
      <c r="T8833">
        <v>20545</v>
      </c>
      <c r="U8833">
        <v>24913</v>
      </c>
      <c r="V8833" t="s">
        <v>22</v>
      </c>
    </row>
    <row r="8834" spans="1:22">
      <c r="A8834" t="str">
        <f t="shared" si="1667"/>
        <v>05/11/2025</v>
      </c>
      <c r="B8834" t="str">
        <f t="shared" si="1660"/>
        <v>SAÍDA</v>
      </c>
      <c r="C8834" t="str">
        <f t="shared" si="1661"/>
        <v>PIX</v>
      </c>
      <c r="D8834" t="str">
        <f>"0408253000"</f>
        <v>0408253000</v>
      </c>
      <c r="E8834" t="str">
        <f>"11"</f>
        <v>11</v>
      </c>
      <c r="F8834" t="str">
        <f t="shared" si="1662"/>
        <v>COM</v>
      </c>
      <c r="G8834" t="str">
        <f>"BRUNO NATO DOS SANTOS (20045)"</f>
        <v>BRUNO NATO DOS SANTOS (20045)</v>
      </c>
      <c r="H8834" t="str">
        <f>"PAGAMENTO PRESTACAO SERVICOS MENSAL 10/2025"</f>
        <v>PAGAMENTO PRESTACAO SERVICOS MENSAL 10/2025</v>
      </c>
      <c r="I8834" t="str">
        <f t="shared" si="1663"/>
        <v>05/11/2025</v>
      </c>
      <c r="J8834" t="str">
        <f>("28/07/2025")</f>
        <v>28/07/2025</v>
      </c>
      <c r="K8834" t="str">
        <f>("05/11/2025")</f>
        <v>05/11/2025</v>
      </c>
      <c r="N8834">
        <v>103</v>
      </c>
      <c r="O8834" t="str">
        <f>"PAGAMENTO DE FUNCIONÁRIOS"</f>
        <v>PAGAMENTO DE FUNCIONÁRIOS</v>
      </c>
      <c r="P8834">
        <v>2448.9</v>
      </c>
      <c r="S8834" t="str">
        <f>"BANCO CORA (102)"</f>
        <v>BANCO CORA (102)</v>
      </c>
      <c r="T8834">
        <v>20546</v>
      </c>
      <c r="U8834">
        <v>19248</v>
      </c>
      <c r="V8834" t="s">
        <v>22</v>
      </c>
    </row>
    <row r="8835" spans="1:22">
      <c r="A8835" t="str">
        <f t="shared" si="1667"/>
        <v>05/11/2025</v>
      </c>
      <c r="B8835" t="str">
        <f t="shared" si="1660"/>
        <v>SAÍDA</v>
      </c>
      <c r="C8835" t="str">
        <f t="shared" si="1661"/>
        <v>PIX</v>
      </c>
      <c r="D8835" t="str">
        <f>"0408253000"</f>
        <v>0408253000</v>
      </c>
      <c r="E8835" t="str">
        <f>"11"</f>
        <v>11</v>
      </c>
      <c r="F8835" t="str">
        <f t="shared" si="1662"/>
        <v>COM</v>
      </c>
      <c r="G8835" t="str">
        <f>"BRUNO NATO DOS SANTOS (20045)"</f>
        <v>BRUNO NATO DOS SANTOS (20045)</v>
      </c>
      <c r="H8835" t="str">
        <f>"PAGAMENTO PRESTACAO SERVICOS MENSAL 10/2025 - BRUNO NATO DOS SANTOS"</f>
        <v>PAGAMENTO PRESTACAO SERVICOS MENSAL 10/2025 - BRUNO NATO DOS SANTOS</v>
      </c>
      <c r="I8835" t="str">
        <f t="shared" si="1663"/>
        <v>05/11/2025</v>
      </c>
      <c r="J8835" t="str">
        <f>("28/07/2025")</f>
        <v>28/07/2025</v>
      </c>
      <c r="K8835" t="str">
        <f>("05/11/2025")</f>
        <v>05/11/2025</v>
      </c>
      <c r="L8835">
        <v>3000</v>
      </c>
      <c r="M8835">
        <v>3000</v>
      </c>
      <c r="N8835">
        <v>107</v>
      </c>
      <c r="O8835" t="str">
        <f>"VALE TRANSPORTE"</f>
        <v>VALE TRANSPORTE</v>
      </c>
      <c r="P8835">
        <v>551.1</v>
      </c>
      <c r="S8835" t="str">
        <f>"BANCO CORA (102)"</f>
        <v>BANCO CORA (102)</v>
      </c>
      <c r="T8835">
        <v>20546</v>
      </c>
      <c r="U8835">
        <v>19248</v>
      </c>
      <c r="V8835" t="s">
        <v>22</v>
      </c>
    </row>
    <row r="8836" spans="1:22">
      <c r="A8836" t="str">
        <f t="shared" si="1667"/>
        <v>05/11/2025</v>
      </c>
      <c r="B8836" t="str">
        <f t="shared" si="1660"/>
        <v>SAÍDA</v>
      </c>
      <c r="C8836" t="str">
        <f t="shared" si="1661"/>
        <v>PIX</v>
      </c>
      <c r="D8836" t="str">
        <f>"0408253000"</f>
        <v>0408253000</v>
      </c>
      <c r="E8836" t="str">
        <f>"11"</f>
        <v>11</v>
      </c>
      <c r="F8836" t="str">
        <f t="shared" si="1662"/>
        <v>COM</v>
      </c>
      <c r="G8836" t="str">
        <f>"BRUNO NATO DOS SANTOS (20045)"</f>
        <v>BRUNO NATO DOS SANTOS (20045)</v>
      </c>
      <c r="H8836" t="s">
        <v>2506</v>
      </c>
      <c r="I8836" t="str">
        <f t="shared" si="1663"/>
        <v>05/11/2025</v>
      </c>
      <c r="J8836" t="str">
        <f>("28/07/2025")</f>
        <v>28/07/2025</v>
      </c>
      <c r="K8836">
        <v>45966</v>
      </c>
      <c r="N8836">
        <v>103</v>
      </c>
      <c r="O8836" t="s">
        <v>267</v>
      </c>
      <c r="Q8836">
        <v>3000</v>
      </c>
      <c r="R8836" t="str">
        <f>"BRUNO NATO DOS SANTOS (20045)"</f>
        <v>BRUNO NATO DOS SANTOS (20045)</v>
      </c>
      <c r="S8836" t="s">
        <v>22</v>
      </c>
      <c r="T8836">
        <v>20546</v>
      </c>
      <c r="U8836">
        <v>19248</v>
      </c>
      <c r="V8836" t="s">
        <v>22</v>
      </c>
    </row>
    <row r="8837" spans="1:22">
      <c r="A8837" t="str">
        <f t="shared" si="1667"/>
        <v>05/11/2025</v>
      </c>
      <c r="B8837" t="str">
        <f t="shared" ref="B8837:B8859" si="1668">"SAÍDA"</f>
        <v>SAÍDA</v>
      </c>
      <c r="C8837" t="str">
        <f>"BOLETO"</f>
        <v>BOLETO</v>
      </c>
      <c r="D8837" t="str">
        <f>"518877"</f>
        <v>518877</v>
      </c>
      <c r="E8837" t="str">
        <f>"7"</f>
        <v>7</v>
      </c>
      <c r="F8837" t="str">
        <f t="shared" si="1662"/>
        <v>COM</v>
      </c>
      <c r="G8837" t="str">
        <f>"FUNCIONAL HEALTH TECH SOLUCOES EM SAUDE S.A. (20075)"</f>
        <v>FUNCIONAL HEALTH TECH SOLUCOES EM SAUDE S.A. (20075)</v>
      </c>
      <c r="H8837" t="str">
        <f>"PLANO FARMACIA PARA COOPERADOS"</f>
        <v>PLANO FARMACIA PARA COOPERADOS</v>
      </c>
      <c r="I8837" t="str">
        <f>("04/11/2025")</f>
        <v>04/11/2025</v>
      </c>
      <c r="J8837" t="str">
        <f>("16/10/2025")</f>
        <v>16/10/2025</v>
      </c>
      <c r="K8837" t="str">
        <f>("05/11/2025")</f>
        <v>05/11/2025</v>
      </c>
      <c r="L8837">
        <v>528</v>
      </c>
      <c r="M8837">
        <v>528</v>
      </c>
      <c r="N8837">
        <v>192</v>
      </c>
      <c r="O8837" t="str">
        <f>"PLANOS E SEGUROS"</f>
        <v>PLANOS E SEGUROS</v>
      </c>
      <c r="P8837">
        <v>528</v>
      </c>
      <c r="S8837" t="str">
        <f>"BANCO CORA (102)"</f>
        <v>BANCO CORA (102)</v>
      </c>
      <c r="T8837">
        <v>20547</v>
      </c>
      <c r="U8837">
        <v>13402</v>
      </c>
      <c r="V8837" t="s">
        <v>22</v>
      </c>
    </row>
    <row r="8838" spans="1:22">
      <c r="A8838" t="str">
        <f t="shared" si="1667"/>
        <v>05/11/2025</v>
      </c>
      <c r="B8838" t="str">
        <f t="shared" si="1668"/>
        <v>SAÍDA</v>
      </c>
      <c r="C8838" t="str">
        <f>"BOLETO"</f>
        <v>BOLETO</v>
      </c>
      <c r="D8838" t="str">
        <f>"518877"</f>
        <v>518877</v>
      </c>
      <c r="E8838" t="str">
        <f>"7"</f>
        <v>7</v>
      </c>
      <c r="F8838" t="str">
        <f t="shared" ref="F8838:F8859" si="1669">"COM"</f>
        <v>COM</v>
      </c>
      <c r="G8838" t="str">
        <f>"FUNCIONAL HEALTH TECH SOLUCOES EM SAUDE S.A. (20075)"</f>
        <v>FUNCIONAL HEALTH TECH SOLUCOES EM SAUDE S.A. (20075)</v>
      </c>
      <c r="H8838" t="s">
        <v>37</v>
      </c>
      <c r="I8838" t="str">
        <f>("04/11/2025")</f>
        <v>04/11/2025</v>
      </c>
      <c r="J8838" t="str">
        <f>("16/10/2025")</f>
        <v>16/10/2025</v>
      </c>
      <c r="K8838">
        <v>45966</v>
      </c>
      <c r="N8838">
        <v>192</v>
      </c>
      <c r="O8838" t="s">
        <v>38</v>
      </c>
      <c r="Q8838">
        <v>528</v>
      </c>
      <c r="R8838" t="str">
        <f>"FUNCIONAL HEALTH TECH SOLUCOES EM SAUDE S.A. (20075)"</f>
        <v>FUNCIONAL HEALTH TECH SOLUCOES EM SAUDE S.A. (20075)</v>
      </c>
      <c r="S8838" t="s">
        <v>22</v>
      </c>
      <c r="T8838">
        <v>20547</v>
      </c>
      <c r="U8838">
        <v>13402</v>
      </c>
      <c r="V8838" t="s">
        <v>22</v>
      </c>
    </row>
    <row r="8839" spans="1:22">
      <c r="A8839" t="str">
        <f t="shared" si="1667"/>
        <v>05/11/2025</v>
      </c>
      <c r="B8839" t="str">
        <f t="shared" si="1668"/>
        <v>SAÍDA</v>
      </c>
      <c r="C8839" t="str">
        <f t="shared" ref="C8839:C8849" si="1670">"PIX"</f>
        <v>PIX</v>
      </c>
      <c r="D8839" t="str">
        <f>"693510"</f>
        <v>693510</v>
      </c>
      <c r="E8839" t="str">
        <f>"6"</f>
        <v>6</v>
      </c>
      <c r="F8839" t="str">
        <f t="shared" si="1669"/>
        <v>COM</v>
      </c>
      <c r="G8839" t="str">
        <f>"NUCLEO BRASIL SERVIDORES LTDA (20090)"</f>
        <v>NUCLEO BRASIL SERVIDORES LTDA (20090)</v>
      </c>
      <c r="H8839" t="str">
        <f>"SERVIDOR SITE COOPERATIVA - coopmob.com.br (03/06/2025 - 02/07/2025)"</f>
        <v>SERVIDOR SITE COOPERATIVA - coopmob.com.br (03/06/2025 - 02/07/2025)</v>
      </c>
      <c r="I8839" t="str">
        <f>("04/11/2025")</f>
        <v>04/11/2025</v>
      </c>
      <c r="J8839" t="str">
        <f>("04/06/2025")</f>
        <v>04/06/2025</v>
      </c>
      <c r="K8839" t="str">
        <f>("05/11/2025")</f>
        <v>05/11/2025</v>
      </c>
      <c r="L8839">
        <v>35.9</v>
      </c>
      <c r="M8839">
        <v>35.9</v>
      </c>
      <c r="N8839">
        <v>104</v>
      </c>
      <c r="O8839" t="str">
        <f>"SOFTWARE / LICENÇAS"</f>
        <v>SOFTWARE / LICENÇAS</v>
      </c>
      <c r="P8839">
        <v>35.9</v>
      </c>
      <c r="S8839" t="str">
        <f>"BANCO CORA (102)"</f>
        <v>BANCO CORA (102)</v>
      </c>
      <c r="T8839">
        <v>20548</v>
      </c>
      <c r="U8839">
        <v>15964</v>
      </c>
      <c r="V8839" t="s">
        <v>22</v>
      </c>
    </row>
    <row r="8840" spans="1:22">
      <c r="A8840" t="str">
        <f t="shared" si="1667"/>
        <v>05/11/2025</v>
      </c>
      <c r="B8840" t="str">
        <f t="shared" si="1668"/>
        <v>SAÍDA</v>
      </c>
      <c r="C8840" t="str">
        <f t="shared" si="1670"/>
        <v>PIX</v>
      </c>
      <c r="D8840" t="str">
        <f t="shared" ref="D8840:D8845" si="1671">"25261"</f>
        <v>25261</v>
      </c>
      <c r="E8840" t="str">
        <f t="shared" ref="E8840:E8849" si="1672">"1"</f>
        <v>1</v>
      </c>
      <c r="F8840" t="str">
        <f t="shared" si="1669"/>
        <v>COM</v>
      </c>
      <c r="G8840" t="str">
        <f t="shared" ref="G8840:G8845" si="1673">"ALESSANDRO DA CONCEICAO BRASILEIRO (1047)"</f>
        <v>ALESSANDRO DA CONCEICAO BRASILEIRO (1047)</v>
      </c>
      <c r="H8840" t="str">
        <f>"Serv.Prest. 03/11/2025 a 09/11/2025 - PIX: CELULAR - CHAVE: (34) 99768-4372"</f>
        <v>Serv.Prest. 03/11/2025 a 09/11/2025 - PIX: CELULAR - CHAVE: (34) 99768-4372</v>
      </c>
      <c r="I8840" t="str">
        <f t="shared" ref="I8840:I8845" si="1674">("13/11/2025")</f>
        <v>13/11/2025</v>
      </c>
      <c r="J8840" t="str">
        <f t="shared" ref="J8840:J8845" si="1675">("12/11/2025")</f>
        <v>12/11/2025</v>
      </c>
      <c r="K8840" t="str">
        <f>("05/11/2025")</f>
        <v>05/11/2025</v>
      </c>
      <c r="L8840">
        <v>150</v>
      </c>
      <c r="M8840">
        <v>150</v>
      </c>
      <c r="N8840">
        <v>134</v>
      </c>
      <c r="O8840" t="str">
        <f>"DIARIA DE MOTOBOY"</f>
        <v>DIARIA DE MOTOBOY</v>
      </c>
      <c r="P8840">
        <v>150</v>
      </c>
      <c r="S8840" t="str">
        <f>"BANCO CORA (102)"</f>
        <v>BANCO CORA (102)</v>
      </c>
      <c r="T8840">
        <v>20817</v>
      </c>
      <c r="U8840">
        <v>25289</v>
      </c>
      <c r="V8840" t="s">
        <v>22</v>
      </c>
    </row>
    <row r="8841" spans="1:22">
      <c r="A8841" t="str">
        <f t="shared" si="1667"/>
        <v>05/11/2025</v>
      </c>
      <c r="B8841" t="str">
        <f t="shared" si="1668"/>
        <v>SAÍDA</v>
      </c>
      <c r="C8841" t="str">
        <f t="shared" si="1670"/>
        <v>PIX</v>
      </c>
      <c r="D8841" t="str">
        <f t="shared" si="1671"/>
        <v>25261</v>
      </c>
      <c r="E8841" t="str">
        <f t="shared" si="1672"/>
        <v>1</v>
      </c>
      <c r="F8841" t="str">
        <f t="shared" si="1669"/>
        <v>COM</v>
      </c>
      <c r="G8841" t="str">
        <f t="shared" si="1673"/>
        <v>ALESSANDRO DA CONCEICAO BRASILEIRO (1047)</v>
      </c>
      <c r="H8841" t="s">
        <v>2507</v>
      </c>
      <c r="I8841" t="str">
        <f t="shared" si="1674"/>
        <v>13/11/2025</v>
      </c>
      <c r="J8841" t="str">
        <f t="shared" si="1675"/>
        <v>12/11/2025</v>
      </c>
      <c r="K8841">
        <v>45966</v>
      </c>
      <c r="N8841">
        <v>134</v>
      </c>
      <c r="O8841" t="s">
        <v>41</v>
      </c>
      <c r="Q8841">
        <v>12.16</v>
      </c>
      <c r="R8841" t="str">
        <f>"DROGALIDER 42 (10247)"</f>
        <v>DROGALIDER 42 (10247)</v>
      </c>
      <c r="S8841" t="s">
        <v>22</v>
      </c>
      <c r="T8841">
        <v>20817</v>
      </c>
      <c r="U8841">
        <v>25289</v>
      </c>
      <c r="V8841" t="s">
        <v>22</v>
      </c>
    </row>
    <row r="8842" spans="1:22">
      <c r="A8842" t="str">
        <f t="shared" si="1667"/>
        <v>05/11/2025</v>
      </c>
      <c r="B8842" t="str">
        <f t="shared" si="1668"/>
        <v>SAÍDA</v>
      </c>
      <c r="C8842" t="str">
        <f t="shared" si="1670"/>
        <v>PIX</v>
      </c>
      <c r="D8842" t="str">
        <f t="shared" si="1671"/>
        <v>25261</v>
      </c>
      <c r="E8842" t="str">
        <f t="shared" si="1672"/>
        <v>1</v>
      </c>
      <c r="F8842" t="str">
        <f t="shared" si="1669"/>
        <v>COM</v>
      </c>
      <c r="G8842" t="str">
        <f t="shared" si="1673"/>
        <v>ALESSANDRO DA CONCEICAO BRASILEIRO (1047)</v>
      </c>
      <c r="H8842" t="s">
        <v>2507</v>
      </c>
      <c r="I8842" t="str">
        <f t="shared" si="1674"/>
        <v>13/11/2025</v>
      </c>
      <c r="J8842" t="str">
        <f t="shared" si="1675"/>
        <v>12/11/2025</v>
      </c>
      <c r="K8842">
        <v>45966</v>
      </c>
      <c r="N8842">
        <v>134</v>
      </c>
      <c r="O8842" t="s">
        <v>41</v>
      </c>
      <c r="Q8842">
        <v>34.46</v>
      </c>
      <c r="R8842" t="str">
        <f>"DROGALIDER 55 (10249)"</f>
        <v>DROGALIDER 55 (10249)</v>
      </c>
      <c r="S8842" t="s">
        <v>22</v>
      </c>
      <c r="T8842">
        <v>20817</v>
      </c>
      <c r="U8842">
        <v>25289</v>
      </c>
      <c r="V8842" t="s">
        <v>22</v>
      </c>
    </row>
    <row r="8843" spans="1:22">
      <c r="A8843" t="str">
        <f t="shared" si="1667"/>
        <v>05/11/2025</v>
      </c>
      <c r="B8843" t="str">
        <f t="shared" si="1668"/>
        <v>SAÍDA</v>
      </c>
      <c r="C8843" t="str">
        <f t="shared" si="1670"/>
        <v>PIX</v>
      </c>
      <c r="D8843" t="str">
        <f t="shared" si="1671"/>
        <v>25261</v>
      </c>
      <c r="E8843" t="str">
        <f t="shared" si="1672"/>
        <v>1</v>
      </c>
      <c r="F8843" t="str">
        <f t="shared" si="1669"/>
        <v>COM</v>
      </c>
      <c r="G8843" t="str">
        <f t="shared" si="1673"/>
        <v>ALESSANDRO DA CONCEICAO BRASILEIRO (1047)</v>
      </c>
      <c r="H8843" t="s">
        <v>2507</v>
      </c>
      <c r="I8843" t="str">
        <f t="shared" si="1674"/>
        <v>13/11/2025</v>
      </c>
      <c r="J8843" t="str">
        <f t="shared" si="1675"/>
        <v>12/11/2025</v>
      </c>
      <c r="K8843">
        <v>45966</v>
      </c>
      <c r="N8843">
        <v>134</v>
      </c>
      <c r="O8843" t="s">
        <v>41</v>
      </c>
      <c r="Q8843">
        <v>28.38</v>
      </c>
      <c r="R8843" t="str">
        <f>"DROGALIDER 67 (10252)"</f>
        <v>DROGALIDER 67 (10252)</v>
      </c>
      <c r="S8843" t="s">
        <v>22</v>
      </c>
      <c r="T8843">
        <v>20817</v>
      </c>
      <c r="U8843">
        <v>25289</v>
      </c>
      <c r="V8843" t="s">
        <v>22</v>
      </c>
    </row>
    <row r="8844" spans="1:22">
      <c r="A8844" t="str">
        <f t="shared" si="1667"/>
        <v>05/11/2025</v>
      </c>
      <c r="B8844" t="str">
        <f t="shared" si="1668"/>
        <v>SAÍDA</v>
      </c>
      <c r="C8844" t="str">
        <f t="shared" si="1670"/>
        <v>PIX</v>
      </c>
      <c r="D8844" t="str">
        <f t="shared" si="1671"/>
        <v>25261</v>
      </c>
      <c r="E8844" t="str">
        <f t="shared" si="1672"/>
        <v>1</v>
      </c>
      <c r="F8844" t="str">
        <f t="shared" si="1669"/>
        <v>COM</v>
      </c>
      <c r="G8844" t="str">
        <f t="shared" si="1673"/>
        <v>ALESSANDRO DA CONCEICAO BRASILEIRO (1047)</v>
      </c>
      <c r="H8844" t="s">
        <v>2507</v>
      </c>
      <c r="I8844" t="str">
        <f t="shared" si="1674"/>
        <v>13/11/2025</v>
      </c>
      <c r="J8844" t="str">
        <f t="shared" si="1675"/>
        <v>12/11/2025</v>
      </c>
      <c r="K8844">
        <v>45966</v>
      </c>
      <c r="N8844">
        <v>134</v>
      </c>
      <c r="O8844" t="s">
        <v>41</v>
      </c>
      <c r="Q8844">
        <v>14.19</v>
      </c>
      <c r="R8844" t="str">
        <f>"DROGALIDER 68 (10253)"</f>
        <v>DROGALIDER 68 (10253)</v>
      </c>
      <c r="S8844" t="s">
        <v>22</v>
      </c>
      <c r="T8844">
        <v>20817</v>
      </c>
      <c r="U8844">
        <v>25289</v>
      </c>
      <c r="V8844" t="s">
        <v>22</v>
      </c>
    </row>
    <row r="8845" spans="1:22">
      <c r="A8845" t="str">
        <f t="shared" si="1667"/>
        <v>05/11/2025</v>
      </c>
      <c r="B8845" t="str">
        <f t="shared" si="1668"/>
        <v>SAÍDA</v>
      </c>
      <c r="C8845" t="str">
        <f t="shared" si="1670"/>
        <v>PIX</v>
      </c>
      <c r="D8845" t="str">
        <f t="shared" si="1671"/>
        <v>25261</v>
      </c>
      <c r="E8845" t="str">
        <f t="shared" si="1672"/>
        <v>1</v>
      </c>
      <c r="F8845" t="str">
        <f t="shared" si="1669"/>
        <v>COM</v>
      </c>
      <c r="G8845" t="str">
        <f t="shared" si="1673"/>
        <v>ALESSANDRO DA CONCEICAO BRASILEIRO (1047)</v>
      </c>
      <c r="H8845" t="s">
        <v>2507</v>
      </c>
      <c r="I8845" t="str">
        <f t="shared" si="1674"/>
        <v>13/11/2025</v>
      </c>
      <c r="J8845" t="str">
        <f t="shared" si="1675"/>
        <v>12/11/2025</v>
      </c>
      <c r="K8845">
        <v>45966</v>
      </c>
      <c r="N8845">
        <v>134</v>
      </c>
      <c r="O8845" t="s">
        <v>41</v>
      </c>
      <c r="Q8845">
        <v>60.81</v>
      </c>
      <c r="R8845" t="str">
        <f>"DROGALIDER 31 (10256)"</f>
        <v>DROGALIDER 31 (10256)</v>
      </c>
      <c r="S8845" t="s">
        <v>22</v>
      </c>
      <c r="T8845">
        <v>20817</v>
      </c>
      <c r="U8845">
        <v>25289</v>
      </c>
      <c r="V8845" t="s">
        <v>22</v>
      </c>
    </row>
    <row r="8846" spans="1:22">
      <c r="A8846" t="str">
        <f t="shared" si="1667"/>
        <v>05/11/2025</v>
      </c>
      <c r="B8846" t="str">
        <f t="shared" si="1668"/>
        <v>SAÍDA</v>
      </c>
      <c r="C8846" t="str">
        <f t="shared" si="1670"/>
        <v>PIX</v>
      </c>
      <c r="D8846" t="str">
        <f>"25146"</f>
        <v>25146</v>
      </c>
      <c r="E8846" t="str">
        <f t="shared" si="1672"/>
        <v>1</v>
      </c>
      <c r="F8846" t="str">
        <f t="shared" si="1669"/>
        <v>COM</v>
      </c>
      <c r="G8846" t="str">
        <f>"JUSSARA CRISTINA FARIA (783)"</f>
        <v>JUSSARA CRISTINA FARIA (783)</v>
      </c>
      <c r="H8846" t="str">
        <f>"Serv.Prest. 03/11/2025 a 09/11/2025 - PIX: CELULAR - CHAVE: (31) 99373-5678"</f>
        <v>Serv.Prest. 03/11/2025 a 09/11/2025 - PIX: CELULAR - CHAVE: (31) 99373-5678</v>
      </c>
      <c r="I8846" t="str">
        <f>("20/11/2025")</f>
        <v>20/11/2025</v>
      </c>
      <c r="J8846" t="str">
        <f>("11/11/2025")</f>
        <v>11/11/2025</v>
      </c>
      <c r="K8846" t="str">
        <f>("05/11/2025")</f>
        <v>05/11/2025</v>
      </c>
      <c r="L8846">
        <v>600</v>
      </c>
      <c r="M8846">
        <v>300</v>
      </c>
      <c r="N8846">
        <v>134</v>
      </c>
      <c r="O8846" t="str">
        <f>"DIARIA DE MOTOBOY"</f>
        <v>DIARIA DE MOTOBOY</v>
      </c>
      <c r="P8846">
        <v>300</v>
      </c>
      <c r="S8846" t="str">
        <f>"BANCO CORA (102)"</f>
        <v>BANCO CORA (102)</v>
      </c>
      <c r="T8846">
        <v>20852</v>
      </c>
      <c r="U8846">
        <v>25146</v>
      </c>
      <c r="V8846" t="s">
        <v>22</v>
      </c>
    </row>
    <row r="8847" spans="1:22">
      <c r="A8847" t="str">
        <f t="shared" si="1667"/>
        <v>05/11/2025</v>
      </c>
      <c r="B8847" t="str">
        <f t="shared" si="1668"/>
        <v>SAÍDA</v>
      </c>
      <c r="C8847" t="str">
        <f t="shared" si="1670"/>
        <v>PIX</v>
      </c>
      <c r="D8847" t="str">
        <f>"25146"</f>
        <v>25146</v>
      </c>
      <c r="E8847" t="str">
        <f t="shared" si="1672"/>
        <v>1</v>
      </c>
      <c r="F8847" t="str">
        <f t="shared" si="1669"/>
        <v>COM</v>
      </c>
      <c r="G8847" t="str">
        <f>"JUSSARA CRISTINA FARIA (783)"</f>
        <v>JUSSARA CRISTINA FARIA (783)</v>
      </c>
      <c r="H8847" t="s">
        <v>2508</v>
      </c>
      <c r="I8847" t="str">
        <f>("20/11/2025")</f>
        <v>20/11/2025</v>
      </c>
      <c r="J8847" t="str">
        <f>("11/11/2025")</f>
        <v>11/11/2025</v>
      </c>
      <c r="K8847">
        <v>45966</v>
      </c>
      <c r="N8847">
        <v>134</v>
      </c>
      <c r="O8847" t="s">
        <v>41</v>
      </c>
      <c r="Q8847">
        <v>300</v>
      </c>
      <c r="R8847" t="str">
        <f>"FARMÁCIA INDIANA LJ 110 (10048)"</f>
        <v>FARMÁCIA INDIANA LJ 110 (10048)</v>
      </c>
      <c r="S8847" t="s">
        <v>22</v>
      </c>
      <c r="T8847">
        <v>20852</v>
      </c>
      <c r="U8847">
        <v>25146</v>
      </c>
      <c r="V8847" t="s">
        <v>22</v>
      </c>
    </row>
    <row r="8848" spans="1:22">
      <c r="A8848" t="str">
        <f t="shared" si="1667"/>
        <v>05/11/2025</v>
      </c>
      <c r="B8848" t="str">
        <f t="shared" si="1668"/>
        <v>SAÍDA</v>
      </c>
      <c r="C8848" t="str">
        <f t="shared" si="1670"/>
        <v>PIX</v>
      </c>
      <c r="D8848" t="str">
        <f>"25106"</f>
        <v>25106</v>
      </c>
      <c r="E8848" t="str">
        <f t="shared" si="1672"/>
        <v>1</v>
      </c>
      <c r="F8848" t="str">
        <f t="shared" si="1669"/>
        <v>COM</v>
      </c>
      <c r="G8848" t="str">
        <f>"CARLOS DANIEL FERNANDES VIEIRA (1051)"</f>
        <v>CARLOS DANIEL FERNANDES VIEIRA (1051)</v>
      </c>
      <c r="H8848" t="str">
        <f>"Serv.Prest. 03/11/2025 a 09/11/2025 - PIX: CPF - CHAVE: 171.393.446-98"</f>
        <v>Serv.Prest. 03/11/2025 a 09/11/2025 - PIX: CPF - CHAVE: 171.393.446-98</v>
      </c>
      <c r="I8848" t="str">
        <f>("20/11/2025")</f>
        <v>20/11/2025</v>
      </c>
      <c r="J8848" t="str">
        <f>("11/11/2025")</f>
        <v>11/11/2025</v>
      </c>
      <c r="K8848" t="str">
        <f>("05/11/2025")</f>
        <v>05/11/2025</v>
      </c>
      <c r="L8848">
        <v>240</v>
      </c>
      <c r="M8848">
        <v>240</v>
      </c>
      <c r="N8848">
        <v>134</v>
      </c>
      <c r="O8848" t="str">
        <f>"DIARIA DE MOTOBOY"</f>
        <v>DIARIA DE MOTOBOY</v>
      </c>
      <c r="P8848">
        <v>240</v>
      </c>
      <c r="S8848" t="str">
        <f>"BANCO CORA (102)"</f>
        <v>BANCO CORA (102)</v>
      </c>
      <c r="T8848">
        <v>20871</v>
      </c>
      <c r="U8848">
        <v>25106</v>
      </c>
      <c r="V8848" t="s">
        <v>22</v>
      </c>
    </row>
    <row r="8849" spans="1:22">
      <c r="A8849" t="str">
        <f t="shared" si="1667"/>
        <v>05/11/2025</v>
      </c>
      <c r="B8849" t="str">
        <f t="shared" si="1668"/>
        <v>SAÍDA</v>
      </c>
      <c r="C8849" t="str">
        <f t="shared" si="1670"/>
        <v>PIX</v>
      </c>
      <c r="D8849" t="str">
        <f>"25106"</f>
        <v>25106</v>
      </c>
      <c r="E8849" t="str">
        <f t="shared" si="1672"/>
        <v>1</v>
      </c>
      <c r="F8849" t="str">
        <f t="shared" si="1669"/>
        <v>COM</v>
      </c>
      <c r="G8849" t="str">
        <f>"CARLOS DANIEL FERNANDES VIEIRA (1051)"</f>
        <v>CARLOS DANIEL FERNANDES VIEIRA (1051)</v>
      </c>
      <c r="H8849" t="s">
        <v>2509</v>
      </c>
      <c r="I8849" t="str">
        <f>("20/11/2025")</f>
        <v>20/11/2025</v>
      </c>
      <c r="J8849" t="str">
        <f>("11/11/2025")</f>
        <v>11/11/2025</v>
      </c>
      <c r="K8849">
        <v>45966</v>
      </c>
      <c r="N8849">
        <v>134</v>
      </c>
      <c r="O8849" t="s">
        <v>41</v>
      </c>
      <c r="Q8849">
        <v>240</v>
      </c>
      <c r="R8849" t="str">
        <f>"FARMÁCIA INDIANA LJ 205 (10150)"</f>
        <v>FARMÁCIA INDIANA LJ 205 (10150)</v>
      </c>
      <c r="S8849" t="s">
        <v>22</v>
      </c>
      <c r="T8849">
        <v>20871</v>
      </c>
      <c r="U8849">
        <v>25106</v>
      </c>
      <c r="V8849" t="s">
        <v>22</v>
      </c>
    </row>
    <row r="8850" spans="1:22">
      <c r="A8850" t="str">
        <f t="shared" si="1667"/>
        <v>05/11/2025</v>
      </c>
      <c r="B8850" t="str">
        <f t="shared" si="1668"/>
        <v>SAÍDA</v>
      </c>
      <c r="C8850" t="str">
        <f>"BOLETO"</f>
        <v>BOLETO</v>
      </c>
      <c r="D8850" t="str">
        <f>"130401124"</f>
        <v>130401124</v>
      </c>
      <c r="E8850" t="str">
        <f>"16"</f>
        <v>16</v>
      </c>
      <c r="F8850" t="str">
        <f t="shared" si="1669"/>
        <v>COM</v>
      </c>
      <c r="G8850" t="str">
        <f>"MUNICIPIO DE UBERLANDIA (20032)"</f>
        <v>MUNICIPIO DE UBERLANDIA (20032)</v>
      </c>
      <c r="H8850" t="str">
        <f>"PARCELAMENTO ISS"</f>
        <v>PARCELAMENTO ISS</v>
      </c>
      <c r="I8850" t="str">
        <f t="shared" ref="I8850:I8857" si="1676">("05/11/2025")</f>
        <v>05/11/2025</v>
      </c>
      <c r="J8850" t="str">
        <f>("24/07/2024")</f>
        <v>24/07/2024</v>
      </c>
      <c r="K8850" t="str">
        <f>("05/11/2025")</f>
        <v>05/11/2025</v>
      </c>
      <c r="L8850">
        <v>174.83</v>
      </c>
      <c r="M8850">
        <v>203.62</v>
      </c>
      <c r="N8850">
        <v>137</v>
      </c>
      <c r="O8850" t="str">
        <f>"ISS"</f>
        <v>ISS</v>
      </c>
      <c r="P8850">
        <v>203.62</v>
      </c>
      <c r="S8850" t="str">
        <f>"BANCO CORA (102)"</f>
        <v>BANCO CORA (102)</v>
      </c>
      <c r="T8850">
        <v>20890</v>
      </c>
      <c r="U8850">
        <v>1277</v>
      </c>
      <c r="V8850" t="s">
        <v>22</v>
      </c>
    </row>
    <row r="8851" spans="1:22">
      <c r="A8851" t="str">
        <f t="shared" si="1667"/>
        <v>05/11/2025</v>
      </c>
      <c r="B8851" t="str">
        <f t="shared" si="1668"/>
        <v>SAÍDA</v>
      </c>
      <c r="C8851" t="str">
        <f>"BOLETO"</f>
        <v>BOLETO</v>
      </c>
      <c r="D8851" t="str">
        <f>"130401124"</f>
        <v>130401124</v>
      </c>
      <c r="E8851" t="str">
        <f>"16"</f>
        <v>16</v>
      </c>
      <c r="F8851" t="str">
        <f t="shared" si="1669"/>
        <v>COM</v>
      </c>
      <c r="G8851" t="str">
        <f>"MUNICIPIO DE UBERLANDIA (20032)"</f>
        <v>MUNICIPIO DE UBERLANDIA (20032)</v>
      </c>
      <c r="H8851" t="s">
        <v>294</v>
      </c>
      <c r="I8851" t="str">
        <f t="shared" si="1676"/>
        <v>05/11/2025</v>
      </c>
      <c r="J8851" t="str">
        <f>("24/07/2024")</f>
        <v>24/07/2024</v>
      </c>
      <c r="K8851">
        <v>45966</v>
      </c>
      <c r="N8851">
        <v>137</v>
      </c>
      <c r="O8851" t="s">
        <v>295</v>
      </c>
      <c r="Q8851">
        <v>203.62</v>
      </c>
      <c r="R8851" t="str">
        <f>"MUNICIPIO DE UBERLANDIA (20032)"</f>
        <v>MUNICIPIO DE UBERLANDIA (20032)</v>
      </c>
      <c r="S8851" t="s">
        <v>22</v>
      </c>
      <c r="T8851">
        <v>20890</v>
      </c>
      <c r="U8851">
        <v>1277</v>
      </c>
      <c r="V8851" t="s">
        <v>22</v>
      </c>
    </row>
    <row r="8852" spans="1:22">
      <c r="A8852" t="str">
        <f t="shared" si="1667"/>
        <v>05/11/2025</v>
      </c>
      <c r="B8852" t="str">
        <f t="shared" si="1668"/>
        <v>SAÍDA</v>
      </c>
      <c r="C8852" t="str">
        <f t="shared" ref="C8852:C8859" si="1677">"PIX"</f>
        <v>PIX</v>
      </c>
      <c r="D8852" t="str">
        <f>"0111255850"</f>
        <v>0111255850</v>
      </c>
      <c r="E8852" t="str">
        <f>"11"</f>
        <v>11</v>
      </c>
      <c r="F8852" t="str">
        <f t="shared" si="1669"/>
        <v>COM</v>
      </c>
      <c r="G8852" t="str">
        <f>"EDSON BARROS DOS SANTOS 10882852604 (20025)"</f>
        <v>EDSON BARROS DOS SANTOS 10882852604 (20025)</v>
      </c>
      <c r="H8852" t="str">
        <f>"PRESTACAO DE SERVICOS MENSAL 10/2025"</f>
        <v>PRESTACAO DE SERVICOS MENSAL 10/2025</v>
      </c>
      <c r="I8852" t="str">
        <f t="shared" si="1676"/>
        <v>05/11/2025</v>
      </c>
      <c r="J8852" t="str">
        <f t="shared" ref="J8852:J8857" si="1678">("01/11/2025")</f>
        <v>01/11/2025</v>
      </c>
      <c r="K8852" t="str">
        <f>("05/11/2025")</f>
        <v>05/11/2025</v>
      </c>
      <c r="L8852">
        <v>5500</v>
      </c>
      <c r="M8852">
        <v>5500</v>
      </c>
      <c r="N8852">
        <v>103</v>
      </c>
      <c r="O8852" t="str">
        <f>"PAGAMENTO DE FUNCIONÁRIOS"</f>
        <v>PAGAMENTO DE FUNCIONÁRIOS</v>
      </c>
      <c r="P8852">
        <v>5500</v>
      </c>
      <c r="S8852" t="str">
        <f>"BANCO CORA (102)"</f>
        <v>BANCO CORA (102)</v>
      </c>
      <c r="T8852">
        <v>21218</v>
      </c>
      <c r="U8852">
        <v>5309</v>
      </c>
      <c r="V8852" t="s">
        <v>22</v>
      </c>
    </row>
    <row r="8853" spans="1:22">
      <c r="A8853" t="str">
        <f t="shared" si="1667"/>
        <v>05/11/2025</v>
      </c>
      <c r="B8853" t="str">
        <f t="shared" si="1668"/>
        <v>SAÍDA</v>
      </c>
      <c r="C8853" t="str">
        <f t="shared" si="1677"/>
        <v>PIX</v>
      </c>
      <c r="D8853" t="str">
        <f>"0111255850"</f>
        <v>0111255850</v>
      </c>
      <c r="E8853" t="str">
        <f>"11"</f>
        <v>11</v>
      </c>
      <c r="F8853" t="str">
        <f t="shared" si="1669"/>
        <v>COM</v>
      </c>
      <c r="G8853" t="str">
        <f>"EDSON BARROS DOS SANTOS 10882852604 (20025)"</f>
        <v>EDSON BARROS DOS SANTOS 10882852604 (20025)</v>
      </c>
      <c r="H8853" t="s">
        <v>2510</v>
      </c>
      <c r="I8853" t="str">
        <f t="shared" si="1676"/>
        <v>05/11/2025</v>
      </c>
      <c r="J8853" t="str">
        <f t="shared" si="1678"/>
        <v>01/11/2025</v>
      </c>
      <c r="K8853">
        <v>45966</v>
      </c>
      <c r="N8853">
        <v>103</v>
      </c>
      <c r="O8853" t="s">
        <v>267</v>
      </c>
      <c r="Q8853">
        <v>5500</v>
      </c>
      <c r="R8853" t="str">
        <f>"EDSON BARROS DOS SANTOS 10882852604 (20025)"</f>
        <v>EDSON BARROS DOS SANTOS 10882852604 (20025)</v>
      </c>
      <c r="S8853" t="s">
        <v>22</v>
      </c>
      <c r="T8853">
        <v>21218</v>
      </c>
      <c r="U8853">
        <v>5309</v>
      </c>
      <c r="V8853" t="s">
        <v>22</v>
      </c>
    </row>
    <row r="8854" spans="1:22">
      <c r="A8854" t="str">
        <f t="shared" si="1667"/>
        <v>05/11/2025</v>
      </c>
      <c r="B8854" t="str">
        <f t="shared" si="1668"/>
        <v>SAÍDA</v>
      </c>
      <c r="C8854" t="str">
        <f t="shared" si="1677"/>
        <v>PIX</v>
      </c>
      <c r="D8854" t="str">
        <f>"0111255850"</f>
        <v>0111255850</v>
      </c>
      <c r="E8854" t="str">
        <f>"11"</f>
        <v>11</v>
      </c>
      <c r="F8854" t="str">
        <f t="shared" si="1669"/>
        <v>COM</v>
      </c>
      <c r="G8854" t="str">
        <f>"EDSON BARROS DOS SANTOS 10882852604 (20025)"</f>
        <v>EDSON BARROS DOS SANTOS 10882852604 (20025)</v>
      </c>
      <c r="H8854" t="str">
        <f>"PRESTACAO DE SERVICOS MENSAL 10/2025"</f>
        <v>PRESTACAO DE SERVICOS MENSAL 10/2025</v>
      </c>
      <c r="I8854" t="str">
        <f t="shared" si="1676"/>
        <v>05/11/2025</v>
      </c>
      <c r="J8854" t="str">
        <f t="shared" si="1678"/>
        <v>01/11/2025</v>
      </c>
      <c r="K8854" t="str">
        <f>("05/11/2025")</f>
        <v>05/11/2025</v>
      </c>
      <c r="L8854">
        <v>350</v>
      </c>
      <c r="M8854">
        <v>350</v>
      </c>
      <c r="N8854">
        <v>103</v>
      </c>
      <c r="O8854" t="str">
        <f>"PAGAMENTO DE FUNCIONÁRIOS"</f>
        <v>PAGAMENTO DE FUNCIONÁRIOS</v>
      </c>
      <c r="P8854">
        <v>350</v>
      </c>
      <c r="S8854" t="str">
        <f>"BANCO CORA (102)"</f>
        <v>BANCO CORA (102)</v>
      </c>
      <c r="T8854">
        <v>21219</v>
      </c>
      <c r="U8854">
        <v>25673</v>
      </c>
      <c r="V8854" t="s">
        <v>22</v>
      </c>
    </row>
    <row r="8855" spans="1:22">
      <c r="A8855" t="str">
        <f t="shared" si="1667"/>
        <v>05/11/2025</v>
      </c>
      <c r="B8855" t="str">
        <f t="shared" si="1668"/>
        <v>SAÍDA</v>
      </c>
      <c r="C8855" t="str">
        <f t="shared" si="1677"/>
        <v>PIX</v>
      </c>
      <c r="D8855" t="str">
        <f>"0111255850"</f>
        <v>0111255850</v>
      </c>
      <c r="E8855" t="str">
        <f>"11"</f>
        <v>11</v>
      </c>
      <c r="F8855" t="str">
        <f t="shared" si="1669"/>
        <v>COM</v>
      </c>
      <c r="G8855" t="str">
        <f>"EDSON BARROS DOS SANTOS 10882852604 (20025)"</f>
        <v>EDSON BARROS DOS SANTOS 10882852604 (20025)</v>
      </c>
      <c r="H8855" t="s">
        <v>2510</v>
      </c>
      <c r="I8855" t="str">
        <f t="shared" si="1676"/>
        <v>05/11/2025</v>
      </c>
      <c r="J8855" t="str">
        <f t="shared" si="1678"/>
        <v>01/11/2025</v>
      </c>
      <c r="K8855">
        <v>45966</v>
      </c>
      <c r="N8855">
        <v>103</v>
      </c>
      <c r="O8855" t="s">
        <v>267</v>
      </c>
      <c r="Q8855">
        <v>350</v>
      </c>
      <c r="R8855" t="str">
        <f>"EDSON BARROS DOS SANTOS 10882852604 (20025)"</f>
        <v>EDSON BARROS DOS SANTOS 10882852604 (20025)</v>
      </c>
      <c r="S8855" t="s">
        <v>22</v>
      </c>
      <c r="T8855">
        <v>21219</v>
      </c>
      <c r="U8855">
        <v>25673</v>
      </c>
      <c r="V8855" t="s">
        <v>22</v>
      </c>
    </row>
    <row r="8856" spans="1:22">
      <c r="A8856" t="str">
        <f t="shared" si="1667"/>
        <v>05/11/2025</v>
      </c>
      <c r="B8856" t="str">
        <f t="shared" si="1668"/>
        <v>SAÍDA</v>
      </c>
      <c r="C8856" t="str">
        <f t="shared" si="1677"/>
        <v>PIX</v>
      </c>
      <c r="D8856" t="str">
        <f>"0111252700"</f>
        <v>0111252700</v>
      </c>
      <c r="E8856" t="str">
        <f>"24"</f>
        <v>24</v>
      </c>
      <c r="F8856" t="str">
        <f t="shared" si="1669"/>
        <v>COM</v>
      </c>
      <c r="G8856" t="str">
        <f>"ANA JULIA REZENDE JUSTINO (20027)"</f>
        <v>ANA JULIA REZENDE JUSTINO (20027)</v>
      </c>
      <c r="H8856" t="str">
        <f>"PAGAMENTO PRESTACAO DE SERVIÇOS MARKETING 10/2025"</f>
        <v>PAGAMENTO PRESTACAO DE SERVIÇOS MARKETING 10/2025</v>
      </c>
      <c r="I8856" t="str">
        <f t="shared" si="1676"/>
        <v>05/11/2025</v>
      </c>
      <c r="J8856" t="str">
        <f t="shared" si="1678"/>
        <v>01/11/2025</v>
      </c>
      <c r="K8856" t="str">
        <f>("05/11/2025")</f>
        <v>05/11/2025</v>
      </c>
      <c r="L8856">
        <v>2700</v>
      </c>
      <c r="M8856">
        <v>2700</v>
      </c>
      <c r="N8856">
        <v>103</v>
      </c>
      <c r="O8856" t="str">
        <f>"PAGAMENTO DE FUNCIONÁRIOS"</f>
        <v>PAGAMENTO DE FUNCIONÁRIOS</v>
      </c>
      <c r="P8856">
        <v>2700</v>
      </c>
      <c r="S8856" t="str">
        <f>"BANCO CORA (102)"</f>
        <v>BANCO CORA (102)</v>
      </c>
      <c r="T8856">
        <v>21220</v>
      </c>
      <c r="U8856">
        <v>4142</v>
      </c>
      <c r="V8856" t="s">
        <v>22</v>
      </c>
    </row>
    <row r="8857" spans="1:22">
      <c r="A8857" t="str">
        <f t="shared" si="1667"/>
        <v>05/11/2025</v>
      </c>
      <c r="B8857" t="str">
        <f t="shared" si="1668"/>
        <v>SAÍDA</v>
      </c>
      <c r="C8857" t="str">
        <f t="shared" si="1677"/>
        <v>PIX</v>
      </c>
      <c r="D8857" t="str">
        <f>"0111252700"</f>
        <v>0111252700</v>
      </c>
      <c r="E8857" t="str">
        <f>"24"</f>
        <v>24</v>
      </c>
      <c r="F8857" t="str">
        <f t="shared" si="1669"/>
        <v>COM</v>
      </c>
      <c r="G8857" t="str">
        <f>"ANA JULIA REZENDE JUSTINO (20027)"</f>
        <v>ANA JULIA REZENDE JUSTINO (20027)</v>
      </c>
      <c r="H8857" t="s">
        <v>2511</v>
      </c>
      <c r="I8857" t="str">
        <f t="shared" si="1676"/>
        <v>05/11/2025</v>
      </c>
      <c r="J8857" t="str">
        <f t="shared" si="1678"/>
        <v>01/11/2025</v>
      </c>
      <c r="K8857">
        <v>45966</v>
      </c>
      <c r="N8857">
        <v>103</v>
      </c>
      <c r="O8857" t="s">
        <v>267</v>
      </c>
      <c r="Q8857">
        <v>2700</v>
      </c>
      <c r="R8857" t="str">
        <f>"ANA JULIA REZENDE JUSTINO (20027)"</f>
        <v>ANA JULIA REZENDE JUSTINO (20027)</v>
      </c>
      <c r="S8857" t="s">
        <v>22</v>
      </c>
      <c r="T8857">
        <v>21220</v>
      </c>
      <c r="U8857">
        <v>4142</v>
      </c>
      <c r="V8857" t="s">
        <v>22</v>
      </c>
    </row>
    <row r="8858" spans="1:22">
      <c r="A8858" t="str">
        <f t="shared" si="1667"/>
        <v>05/11/2025</v>
      </c>
      <c r="B8858" t="str">
        <f t="shared" si="1668"/>
        <v>SAÍDA</v>
      </c>
      <c r="C8858" t="str">
        <f t="shared" si="1677"/>
        <v>PIX</v>
      </c>
      <c r="D8858" t="str">
        <f>"68"</f>
        <v>68</v>
      </c>
      <c r="E8858" t="str">
        <f>"01"</f>
        <v>01</v>
      </c>
      <c r="F8858" t="str">
        <f t="shared" si="1669"/>
        <v>COM</v>
      </c>
      <c r="G8858" t="str">
        <f>"28.804.647 KAUE EDUARDO FIGUEIREDO GAUDINO (20003)"</f>
        <v>28.804.647 KAUE EDUARDO FIGUEIREDO GAUDINO (20003)</v>
      </c>
      <c r="H8858" t="str">
        <f>"PRESTACAO DE SERVICO MENSAL 10/2025 E DIAS AVULSOS "</f>
        <v xml:space="preserve">PRESTACAO DE SERVICO MENSAL 10/2025 E DIAS AVULSOS </v>
      </c>
      <c r="I8858" t="str">
        <f>("19/11/2025")</f>
        <v>19/11/2025</v>
      </c>
      <c r="J8858" t="str">
        <f>("13/11/2025")</f>
        <v>13/11/2025</v>
      </c>
      <c r="K8858" t="str">
        <f>("05/11/2025")</f>
        <v>05/11/2025</v>
      </c>
      <c r="L8858">
        <v>1100</v>
      </c>
      <c r="M8858">
        <v>1100</v>
      </c>
      <c r="N8858">
        <v>114</v>
      </c>
      <c r="O8858" t="str">
        <f>"PRESTADORES DE SERVIÇOS"</f>
        <v>PRESTADORES DE SERVIÇOS</v>
      </c>
      <c r="P8858">
        <v>1100</v>
      </c>
      <c r="S8858" t="str">
        <f>"BANCO CORA (102)"</f>
        <v>BANCO CORA (102)</v>
      </c>
      <c r="T8858">
        <v>21239</v>
      </c>
      <c r="U8858">
        <v>25875</v>
      </c>
      <c r="V8858" t="s">
        <v>22</v>
      </c>
    </row>
    <row r="8859" spans="1:22">
      <c r="A8859" t="str">
        <f t="shared" si="1667"/>
        <v>05/11/2025</v>
      </c>
      <c r="B8859" t="str">
        <f t="shared" si="1668"/>
        <v>SAÍDA</v>
      </c>
      <c r="C8859" t="str">
        <f t="shared" si="1677"/>
        <v>PIX</v>
      </c>
      <c r="D8859" t="str">
        <f>"68"</f>
        <v>68</v>
      </c>
      <c r="E8859" t="str">
        <f>"01"</f>
        <v>01</v>
      </c>
      <c r="F8859" t="str">
        <f t="shared" si="1669"/>
        <v>COM</v>
      </c>
      <c r="G8859" t="str">
        <f>"28.804.647 KAUE EDUARDO FIGUEIREDO GAUDINO (20003)"</f>
        <v>28.804.647 KAUE EDUARDO FIGUEIREDO GAUDINO (20003)</v>
      </c>
      <c r="H8859" t="s">
        <v>2512</v>
      </c>
      <c r="I8859" t="str">
        <f>("19/11/2025")</f>
        <v>19/11/2025</v>
      </c>
      <c r="J8859" t="str">
        <f>("13/11/2025")</f>
        <v>13/11/2025</v>
      </c>
      <c r="K8859">
        <v>45966</v>
      </c>
      <c r="N8859">
        <v>114</v>
      </c>
      <c r="O8859" t="s">
        <v>260</v>
      </c>
      <c r="Q8859">
        <v>1100</v>
      </c>
      <c r="R8859" t="str">
        <f>"28.804.647 KAUE EDUARDO FIGUEIREDO GAUDINO (20003)"</f>
        <v>28.804.647 KAUE EDUARDO FIGUEIREDO GAUDINO (20003)</v>
      </c>
      <c r="S8859" t="s">
        <v>22</v>
      </c>
      <c r="T8859">
        <v>21239</v>
      </c>
      <c r="U8859">
        <v>25875</v>
      </c>
      <c r="V8859" t="s">
        <v>22</v>
      </c>
    </row>
    <row r="8860" spans="1:22">
      <c r="A8860" t="str">
        <f t="shared" si="1667"/>
        <v>05/11/2025</v>
      </c>
      <c r="B8860" t="str">
        <f>"ENTRADA"</f>
        <v>ENTRADA</v>
      </c>
      <c r="C8860" t="str">
        <f>"TRANSFERENCIA"</f>
        <v>TRANSFERENCIA</v>
      </c>
      <c r="D8860" t="str">
        <f>""</f>
        <v/>
      </c>
      <c r="F8860" t="str">
        <f>"TRF"</f>
        <v>TRF</v>
      </c>
      <c r="G8860" t="str">
        <f>""</f>
        <v/>
      </c>
      <c r="H8860" t="str">
        <f>"TRANSFERENCIA ENTRE BANCOS (149-&gt;102)"</f>
        <v>TRANSFERENCIA ENTRE BANCOS (149-&gt;102)</v>
      </c>
      <c r="I8860" t="str">
        <f t="shared" ref="I8860:K8861" si="1679">("05/11/2025")</f>
        <v>05/11/2025</v>
      </c>
      <c r="J8860" t="str">
        <f t="shared" si="1679"/>
        <v>05/11/2025</v>
      </c>
      <c r="K8860" t="str">
        <f t="shared" si="1679"/>
        <v>05/11/2025</v>
      </c>
      <c r="N8860">
        <v>102</v>
      </c>
      <c r="O8860" t="str">
        <f>"BANCO CORA"</f>
        <v>BANCO CORA</v>
      </c>
      <c r="P8860">
        <v>13000</v>
      </c>
      <c r="S8860" t="str">
        <f>"BANCO CORA (102)"</f>
        <v>BANCO CORA (102)</v>
      </c>
      <c r="T8860">
        <v>22792</v>
      </c>
      <c r="U8860">
        <v>0</v>
      </c>
      <c r="V8860" t="s">
        <v>22</v>
      </c>
    </row>
    <row r="8861" spans="1:22">
      <c r="A8861" t="str">
        <f t="shared" si="1667"/>
        <v>05/11/2025</v>
      </c>
      <c r="B8861" t="str">
        <f>"SAÍDA"</f>
        <v>SAÍDA</v>
      </c>
      <c r="C8861" t="str">
        <f>"TRANSFERENCIA"</f>
        <v>TRANSFERENCIA</v>
      </c>
      <c r="D8861" t="str">
        <f>""</f>
        <v/>
      </c>
      <c r="F8861" t="str">
        <f>"TRF"</f>
        <v>TRF</v>
      </c>
      <c r="G8861" t="str">
        <f>""</f>
        <v/>
      </c>
      <c r="H8861" t="str">
        <f>"TRANSFERENCIA ENTRE BANCOS (149-&gt;102)"</f>
        <v>TRANSFERENCIA ENTRE BANCOS (149-&gt;102)</v>
      </c>
      <c r="I8861" t="str">
        <f t="shared" si="1679"/>
        <v>05/11/2025</v>
      </c>
      <c r="J8861" t="str">
        <f t="shared" si="1679"/>
        <v>05/11/2025</v>
      </c>
      <c r="K8861" t="str">
        <f t="shared" si="1679"/>
        <v>05/11/2025</v>
      </c>
      <c r="N8861">
        <v>149</v>
      </c>
      <c r="O8861" t="str">
        <f>"BANCO C6"</f>
        <v>BANCO C6</v>
      </c>
      <c r="S8861" t="str">
        <f>"BANCO C6 (149)"</f>
        <v>BANCO C6 (149)</v>
      </c>
      <c r="T8861">
        <v>22792</v>
      </c>
      <c r="U8861">
        <v>0</v>
      </c>
      <c r="V8861" t="s">
        <v>77</v>
      </c>
    </row>
    <row r="8862" spans="1:22">
      <c r="A8862" t="str">
        <f t="shared" ref="A8862:A8925" si="1680">("06/11/2025")</f>
        <v>06/11/2025</v>
      </c>
      <c r="B8862" t="str">
        <f>"ENTRADA"</f>
        <v>ENTRADA</v>
      </c>
      <c r="C8862" t="str">
        <f>"DINHEIRO"</f>
        <v>DINHEIRO</v>
      </c>
      <c r="D8862" t="str">
        <f>"0611"</f>
        <v>0611</v>
      </c>
      <c r="E8862" t="str">
        <f>"25"</f>
        <v>25</v>
      </c>
      <c r="F8862" t="str">
        <f t="shared" ref="F8862:F8925" si="1681">"COM"</f>
        <v>COM</v>
      </c>
      <c r="G8862" t="str">
        <f>"GUSTAVO BENÍCIO DOS SANTOS (1032)"</f>
        <v>GUSTAVO BENÍCIO DOS SANTOS (1032)</v>
      </c>
      <c r="H8862" t="str">
        <f>"REEMBOLSO ADIANTAMENTO"</f>
        <v>REEMBOLSO ADIANTAMENTO</v>
      </c>
      <c r="I8862" t="str">
        <f t="shared" ref="I8862:I8890" si="1682">("06/11/2025")</f>
        <v>06/11/2025</v>
      </c>
      <c r="J8862" t="str">
        <f>("04/11/2025")</f>
        <v>04/11/2025</v>
      </c>
      <c r="K8862" t="str">
        <f>("06/11/2025")</f>
        <v>06/11/2025</v>
      </c>
      <c r="L8862">
        <v>170</v>
      </c>
      <c r="M8862">
        <v>170</v>
      </c>
      <c r="N8862">
        <v>129</v>
      </c>
      <c r="O8862" t="str">
        <f>"ENTRADA DE REEMBOLSO ADIANTAMENTO"</f>
        <v>ENTRADA DE REEMBOLSO ADIANTAMENTO</v>
      </c>
      <c r="P8862">
        <v>170</v>
      </c>
      <c r="S8862" t="str">
        <f>"ENTRADA DE REEMBOLSO ADIANTAMENTO (129)"</f>
        <v>ENTRADA DE REEMBOLSO ADIANTAMENTO (129)</v>
      </c>
      <c r="T8862">
        <v>20467</v>
      </c>
      <c r="U8862">
        <v>24931</v>
      </c>
      <c r="V8862" t="s">
        <v>48</v>
      </c>
    </row>
    <row r="8863" spans="1:22">
      <c r="A8863" t="str">
        <f t="shared" si="1680"/>
        <v>06/11/2025</v>
      </c>
      <c r="B8863" t="str">
        <f>"ENTRADA"</f>
        <v>ENTRADA</v>
      </c>
      <c r="C8863" t="str">
        <f>"DINHEIRO"</f>
        <v>DINHEIRO</v>
      </c>
      <c r="D8863" t="str">
        <f>"0611"</f>
        <v>0611</v>
      </c>
      <c r="E8863" t="str">
        <f>"25"</f>
        <v>25</v>
      </c>
      <c r="F8863" t="str">
        <f t="shared" si="1681"/>
        <v>COM</v>
      </c>
      <c r="G8863" t="str">
        <f>"GUSTAVO BENÍCIO DOS SANTOS (1032)"</f>
        <v>GUSTAVO BENÍCIO DOS SANTOS (1032)</v>
      </c>
      <c r="H8863" t="s">
        <v>57</v>
      </c>
      <c r="I8863" t="str">
        <f t="shared" si="1682"/>
        <v>06/11/2025</v>
      </c>
      <c r="J8863" t="str">
        <f>("04/11/2025")</f>
        <v>04/11/2025</v>
      </c>
      <c r="K8863">
        <v>45967</v>
      </c>
      <c r="N8863">
        <v>129</v>
      </c>
      <c r="O8863" t="s">
        <v>58</v>
      </c>
      <c r="Q8863">
        <v>170</v>
      </c>
      <c r="R8863" t="str">
        <f>"GUSTAVO BENÍCIO DOS SANTOS (1032)"</f>
        <v>GUSTAVO BENÍCIO DOS SANTOS (1032)</v>
      </c>
      <c r="S8863" t="s">
        <v>59</v>
      </c>
      <c r="T8863">
        <v>20467</v>
      </c>
      <c r="U8863">
        <v>24931</v>
      </c>
      <c r="V8863" t="s">
        <v>48</v>
      </c>
    </row>
    <row r="8864" spans="1:22">
      <c r="A8864" t="str">
        <f t="shared" si="1680"/>
        <v>06/11/2025</v>
      </c>
      <c r="B8864" t="str">
        <f>"SAÍDA"</f>
        <v>SAÍDA</v>
      </c>
      <c r="C8864" t="str">
        <f>"PIX"</f>
        <v>PIX</v>
      </c>
      <c r="D8864" t="str">
        <f>"24903"</f>
        <v>24903</v>
      </c>
      <c r="E8864" t="str">
        <f>"1"</f>
        <v>1</v>
      </c>
      <c r="F8864" t="str">
        <f t="shared" si="1681"/>
        <v>COM</v>
      </c>
      <c r="G8864" t="str">
        <f>"GUSTAVO BENÍCIO DOS SANTOS (1032)"</f>
        <v>GUSTAVO BENÍCIO DOS SANTOS (1032)</v>
      </c>
      <c r="H8864" t="str">
        <f>"Serv.Prest. 27/10/2025 a 02/11/2025 - PIX: CPF - CHAVE: 034.055.155-05"</f>
        <v>Serv.Prest. 27/10/2025 a 02/11/2025 - PIX: CPF - CHAVE: 034.055.155-05</v>
      </c>
      <c r="I8864" t="str">
        <f t="shared" si="1682"/>
        <v>06/11/2025</v>
      </c>
      <c r="J8864" t="str">
        <f>("05/11/2025")</f>
        <v>05/11/2025</v>
      </c>
      <c r="K8864" t="str">
        <f>("06/11/2025")</f>
        <v>06/11/2025</v>
      </c>
      <c r="L8864">
        <v>170</v>
      </c>
      <c r="M8864">
        <v>170</v>
      </c>
      <c r="N8864">
        <v>109</v>
      </c>
      <c r="O8864" t="str">
        <f>"PAGAMENTO DE ENTREGADORES"</f>
        <v>PAGAMENTO DE ENTREGADORES</v>
      </c>
      <c r="P8864">
        <v>170</v>
      </c>
      <c r="S8864" t="str">
        <f>"CAIXA MOVIMENTAÇÃO OPERACIONAL (132)"</f>
        <v>CAIXA MOVIMENTAÇÃO OPERACIONAL (132)</v>
      </c>
      <c r="T8864">
        <v>20468</v>
      </c>
      <c r="U8864">
        <v>24903</v>
      </c>
      <c r="V8864" t="s">
        <v>48</v>
      </c>
    </row>
    <row r="8865" spans="1:22">
      <c r="A8865" t="str">
        <f t="shared" si="1680"/>
        <v>06/11/2025</v>
      </c>
      <c r="B8865" t="str">
        <f>"SAÍDA"</f>
        <v>SAÍDA</v>
      </c>
      <c r="C8865" t="str">
        <f>"PIX"</f>
        <v>PIX</v>
      </c>
      <c r="D8865" t="str">
        <f>"24903"</f>
        <v>24903</v>
      </c>
      <c r="E8865" t="str">
        <f>"1"</f>
        <v>1</v>
      </c>
      <c r="F8865" t="str">
        <f t="shared" si="1681"/>
        <v>COM</v>
      </c>
      <c r="G8865" t="str">
        <f>"GUSTAVO BENÍCIO DOS SANTOS (1032)"</f>
        <v>GUSTAVO BENÍCIO DOS SANTOS (1032)</v>
      </c>
      <c r="H8865" t="s">
        <v>2513</v>
      </c>
      <c r="I8865" t="str">
        <f t="shared" si="1682"/>
        <v>06/11/2025</v>
      </c>
      <c r="J8865" t="str">
        <f>("05/11/2025")</f>
        <v>05/11/2025</v>
      </c>
      <c r="K8865">
        <v>45967</v>
      </c>
      <c r="N8865">
        <v>109</v>
      </c>
      <c r="O8865" t="s">
        <v>24</v>
      </c>
      <c r="Q8865">
        <v>121.43</v>
      </c>
      <c r="R8865" t="str">
        <f>"DROGALIDER 25 (10246)"</f>
        <v>DROGALIDER 25 (10246)</v>
      </c>
      <c r="S8865" t="s">
        <v>48</v>
      </c>
      <c r="T8865">
        <v>20468</v>
      </c>
      <c r="U8865">
        <v>24903</v>
      </c>
      <c r="V8865" t="s">
        <v>48</v>
      </c>
    </row>
    <row r="8866" spans="1:22">
      <c r="A8866" t="str">
        <f t="shared" si="1680"/>
        <v>06/11/2025</v>
      </c>
      <c r="B8866" t="str">
        <f>"SAÍDA"</f>
        <v>SAÍDA</v>
      </c>
      <c r="C8866" t="str">
        <f>"PIX"</f>
        <v>PIX</v>
      </c>
      <c r="D8866" t="str">
        <f>"24903"</f>
        <v>24903</v>
      </c>
      <c r="E8866" t="str">
        <f>"1"</f>
        <v>1</v>
      </c>
      <c r="F8866" t="str">
        <f t="shared" si="1681"/>
        <v>COM</v>
      </c>
      <c r="G8866" t="str">
        <f>"GUSTAVO BENÍCIO DOS SANTOS (1032)"</f>
        <v>GUSTAVO BENÍCIO DOS SANTOS (1032)</v>
      </c>
      <c r="H8866" t="s">
        <v>2513</v>
      </c>
      <c r="I8866" t="str">
        <f t="shared" si="1682"/>
        <v>06/11/2025</v>
      </c>
      <c r="J8866" t="str">
        <f>("05/11/2025")</f>
        <v>05/11/2025</v>
      </c>
      <c r="K8866">
        <v>45967</v>
      </c>
      <c r="N8866">
        <v>109</v>
      </c>
      <c r="O8866" t="s">
        <v>24</v>
      </c>
      <c r="Q8866">
        <v>48.57</v>
      </c>
      <c r="R8866" t="str">
        <f>"DROGALIDER 46 (10248)"</f>
        <v>DROGALIDER 46 (10248)</v>
      </c>
      <c r="S8866" t="s">
        <v>48</v>
      </c>
      <c r="T8866">
        <v>20468</v>
      </c>
      <c r="U8866">
        <v>24903</v>
      </c>
      <c r="V8866" t="s">
        <v>48</v>
      </c>
    </row>
    <row r="8867" spans="1:22">
      <c r="A8867" t="str">
        <f t="shared" si="1680"/>
        <v>06/11/2025</v>
      </c>
      <c r="B8867" t="str">
        <f>"ENTRADA"</f>
        <v>ENTRADA</v>
      </c>
      <c r="C8867" t="str">
        <f>"DINHEIRO"</f>
        <v>DINHEIRO</v>
      </c>
      <c r="D8867" t="str">
        <f>"0611"</f>
        <v>0611</v>
      </c>
      <c r="E8867" t="str">
        <f>"25"</f>
        <v>25</v>
      </c>
      <c r="F8867" t="str">
        <f t="shared" si="1681"/>
        <v>COM</v>
      </c>
      <c r="G8867" t="str">
        <f t="shared" ref="G8867:G8874" si="1683">"HANDREY RAFAEL TEODORO GEROLIM (1029)"</f>
        <v>HANDREY RAFAEL TEODORO GEROLIM (1029)</v>
      </c>
      <c r="H8867" t="str">
        <f>"REEMBOLSO "</f>
        <v xml:space="preserve">REEMBOLSO </v>
      </c>
      <c r="I8867" t="str">
        <f t="shared" si="1682"/>
        <v>06/11/2025</v>
      </c>
      <c r="J8867" t="str">
        <f>("04/11/2025")</f>
        <v>04/11/2025</v>
      </c>
      <c r="K8867" t="str">
        <f>("06/11/2025")</f>
        <v>06/11/2025</v>
      </c>
      <c r="L8867">
        <v>170</v>
      </c>
      <c r="M8867">
        <v>170</v>
      </c>
      <c r="N8867">
        <v>129</v>
      </c>
      <c r="O8867" t="str">
        <f>"ENTRADA DE REEMBOLSO ADIANTAMENTO"</f>
        <v>ENTRADA DE REEMBOLSO ADIANTAMENTO</v>
      </c>
      <c r="P8867">
        <v>170</v>
      </c>
      <c r="S8867" t="str">
        <f>"ENTRADA DE REEMBOLSO ADIANTAMENTO (129)"</f>
        <v>ENTRADA DE REEMBOLSO ADIANTAMENTO (129)</v>
      </c>
      <c r="T8867">
        <v>20469</v>
      </c>
      <c r="U8867">
        <v>24933</v>
      </c>
      <c r="V8867" t="s">
        <v>48</v>
      </c>
    </row>
    <row r="8868" spans="1:22">
      <c r="A8868" t="str">
        <f t="shared" si="1680"/>
        <v>06/11/2025</v>
      </c>
      <c r="B8868" t="str">
        <f>"ENTRADA"</f>
        <v>ENTRADA</v>
      </c>
      <c r="C8868" t="str">
        <f>"DINHEIRO"</f>
        <v>DINHEIRO</v>
      </c>
      <c r="D8868" t="str">
        <f>"0611"</f>
        <v>0611</v>
      </c>
      <c r="E8868" t="str">
        <f>"25"</f>
        <v>25</v>
      </c>
      <c r="F8868" t="str">
        <f t="shared" si="1681"/>
        <v>COM</v>
      </c>
      <c r="G8868" t="str">
        <f t="shared" si="1683"/>
        <v>HANDREY RAFAEL TEODORO GEROLIM (1029)</v>
      </c>
      <c r="H8868" t="s">
        <v>1417</v>
      </c>
      <c r="I8868" t="str">
        <f t="shared" si="1682"/>
        <v>06/11/2025</v>
      </c>
      <c r="J8868" t="str">
        <f>("04/11/2025")</f>
        <v>04/11/2025</v>
      </c>
      <c r="K8868">
        <v>45967</v>
      </c>
      <c r="N8868">
        <v>129</v>
      </c>
      <c r="O8868" t="s">
        <v>58</v>
      </c>
      <c r="Q8868">
        <v>170</v>
      </c>
      <c r="R8868" t="str">
        <f>"HANDREY RAFAEL TEODORO GEROLIM (1029)"</f>
        <v>HANDREY RAFAEL TEODORO GEROLIM (1029)</v>
      </c>
      <c r="S8868" t="s">
        <v>59</v>
      </c>
      <c r="T8868">
        <v>20469</v>
      </c>
      <c r="U8868">
        <v>24933</v>
      </c>
      <c r="V8868" t="s">
        <v>48</v>
      </c>
    </row>
    <row r="8869" spans="1:22">
      <c r="A8869" t="str">
        <f t="shared" si="1680"/>
        <v>06/11/2025</v>
      </c>
      <c r="B8869" t="str">
        <f t="shared" ref="B8869:B8880" si="1684">"SAÍDA"</f>
        <v>SAÍDA</v>
      </c>
      <c r="C8869" t="str">
        <f t="shared" ref="C8869:C8880" si="1685">"PIX"</f>
        <v>PIX</v>
      </c>
      <c r="D8869" t="str">
        <f t="shared" ref="D8869:D8874" si="1686">"24904"</f>
        <v>24904</v>
      </c>
      <c r="E8869" t="str">
        <f t="shared" ref="E8869:E8880" si="1687">"1"</f>
        <v>1</v>
      </c>
      <c r="F8869" t="str">
        <f t="shared" si="1681"/>
        <v>COM</v>
      </c>
      <c r="G8869" t="str">
        <f t="shared" si="1683"/>
        <v>HANDREY RAFAEL TEODORO GEROLIM (1029)</v>
      </c>
      <c r="H8869" t="str">
        <f>"Serv.Prest. 27/10/2025 a 02/11/2025 - PIX: CPF - CHAVE: 126.720.606-30"</f>
        <v>Serv.Prest. 27/10/2025 a 02/11/2025 - PIX: CPF - CHAVE: 126.720.606-30</v>
      </c>
      <c r="I8869" t="str">
        <f t="shared" si="1682"/>
        <v>06/11/2025</v>
      </c>
      <c r="J8869" t="str">
        <f t="shared" ref="J8869:J8880" si="1688">("05/11/2025")</f>
        <v>05/11/2025</v>
      </c>
      <c r="K8869" t="str">
        <f>("06/11/2025")</f>
        <v>06/11/2025</v>
      </c>
      <c r="L8869">
        <v>170</v>
      </c>
      <c r="M8869">
        <v>170</v>
      </c>
      <c r="N8869">
        <v>109</v>
      </c>
      <c r="O8869" t="str">
        <f>"PAGAMENTO DE ENTREGADORES"</f>
        <v>PAGAMENTO DE ENTREGADORES</v>
      </c>
      <c r="P8869">
        <v>170</v>
      </c>
      <c r="S8869" t="str">
        <f>"CAIXA MOVIMENTAÇÃO OPERACIONAL (132)"</f>
        <v>CAIXA MOVIMENTAÇÃO OPERACIONAL (132)</v>
      </c>
      <c r="T8869">
        <v>20470</v>
      </c>
      <c r="U8869">
        <v>24932</v>
      </c>
      <c r="V8869" t="s">
        <v>48</v>
      </c>
    </row>
    <row r="8870" spans="1:22">
      <c r="A8870" t="str">
        <f t="shared" si="1680"/>
        <v>06/11/2025</v>
      </c>
      <c r="B8870" t="str">
        <f t="shared" si="1684"/>
        <v>SAÍDA</v>
      </c>
      <c r="C8870" t="str">
        <f t="shared" si="1685"/>
        <v>PIX</v>
      </c>
      <c r="D8870" t="str">
        <f t="shared" si="1686"/>
        <v>24904</v>
      </c>
      <c r="E8870" t="str">
        <f t="shared" si="1687"/>
        <v>1</v>
      </c>
      <c r="F8870" t="str">
        <f t="shared" si="1681"/>
        <v>COM</v>
      </c>
      <c r="G8870" t="str">
        <f t="shared" si="1683"/>
        <v>HANDREY RAFAEL TEODORO GEROLIM (1029)</v>
      </c>
      <c r="H8870" t="s">
        <v>2425</v>
      </c>
      <c r="I8870" t="str">
        <f t="shared" si="1682"/>
        <v>06/11/2025</v>
      </c>
      <c r="J8870" t="str">
        <f t="shared" si="1688"/>
        <v>05/11/2025</v>
      </c>
      <c r="K8870">
        <v>45967</v>
      </c>
      <c r="N8870">
        <v>109</v>
      </c>
      <c r="O8870" t="s">
        <v>24</v>
      </c>
      <c r="Q8870">
        <v>31.63</v>
      </c>
      <c r="R8870" t="str">
        <f>"DROGALIDER 58 (10213)"</f>
        <v>DROGALIDER 58 (10213)</v>
      </c>
      <c r="S8870" t="s">
        <v>48</v>
      </c>
      <c r="T8870">
        <v>20470</v>
      </c>
      <c r="U8870">
        <v>24932</v>
      </c>
      <c r="V8870" t="s">
        <v>48</v>
      </c>
    </row>
    <row r="8871" spans="1:22">
      <c r="A8871" t="str">
        <f t="shared" si="1680"/>
        <v>06/11/2025</v>
      </c>
      <c r="B8871" t="str">
        <f t="shared" si="1684"/>
        <v>SAÍDA</v>
      </c>
      <c r="C8871" t="str">
        <f t="shared" si="1685"/>
        <v>PIX</v>
      </c>
      <c r="D8871" t="str">
        <f t="shared" si="1686"/>
        <v>24904</v>
      </c>
      <c r="E8871" t="str">
        <f t="shared" si="1687"/>
        <v>1</v>
      </c>
      <c r="F8871" t="str">
        <f t="shared" si="1681"/>
        <v>COM</v>
      </c>
      <c r="G8871" t="str">
        <f t="shared" si="1683"/>
        <v>HANDREY RAFAEL TEODORO GEROLIM (1029)</v>
      </c>
      <c r="H8871" t="s">
        <v>2425</v>
      </c>
      <c r="I8871" t="str">
        <f t="shared" si="1682"/>
        <v>06/11/2025</v>
      </c>
      <c r="J8871" t="str">
        <f t="shared" si="1688"/>
        <v>05/11/2025</v>
      </c>
      <c r="K8871">
        <v>45967</v>
      </c>
      <c r="N8871">
        <v>109</v>
      </c>
      <c r="O8871" t="s">
        <v>24</v>
      </c>
      <c r="Q8871">
        <v>31.64</v>
      </c>
      <c r="R8871" t="str">
        <f>"DROGALIDER 25 (10246)"</f>
        <v>DROGALIDER 25 (10246)</v>
      </c>
      <c r="S8871" t="s">
        <v>48</v>
      </c>
      <c r="T8871">
        <v>20470</v>
      </c>
      <c r="U8871">
        <v>24932</v>
      </c>
      <c r="V8871" t="s">
        <v>48</v>
      </c>
    </row>
    <row r="8872" spans="1:22">
      <c r="A8872" t="str">
        <f t="shared" si="1680"/>
        <v>06/11/2025</v>
      </c>
      <c r="B8872" t="str">
        <f t="shared" si="1684"/>
        <v>SAÍDA</v>
      </c>
      <c r="C8872" t="str">
        <f t="shared" si="1685"/>
        <v>PIX</v>
      </c>
      <c r="D8872" t="str">
        <f t="shared" si="1686"/>
        <v>24904</v>
      </c>
      <c r="E8872" t="str">
        <f t="shared" si="1687"/>
        <v>1</v>
      </c>
      <c r="F8872" t="str">
        <f t="shared" si="1681"/>
        <v>COM</v>
      </c>
      <c r="G8872" t="str">
        <f t="shared" si="1683"/>
        <v>HANDREY RAFAEL TEODORO GEROLIM (1029)</v>
      </c>
      <c r="H8872" t="s">
        <v>2425</v>
      </c>
      <c r="I8872" t="str">
        <f t="shared" si="1682"/>
        <v>06/11/2025</v>
      </c>
      <c r="J8872" t="str">
        <f t="shared" si="1688"/>
        <v>05/11/2025</v>
      </c>
      <c r="K8872">
        <v>45967</v>
      </c>
      <c r="N8872">
        <v>109</v>
      </c>
      <c r="O8872" t="s">
        <v>24</v>
      </c>
      <c r="Q8872">
        <v>75.12</v>
      </c>
      <c r="R8872" t="str">
        <f>"DROGALIDER 46 (10248)"</f>
        <v>DROGALIDER 46 (10248)</v>
      </c>
      <c r="S8872" t="s">
        <v>48</v>
      </c>
      <c r="T8872">
        <v>20470</v>
      </c>
      <c r="U8872">
        <v>24932</v>
      </c>
      <c r="V8872" t="s">
        <v>48</v>
      </c>
    </row>
    <row r="8873" spans="1:22">
      <c r="A8873" t="str">
        <f t="shared" si="1680"/>
        <v>06/11/2025</v>
      </c>
      <c r="B8873" t="str">
        <f t="shared" si="1684"/>
        <v>SAÍDA</v>
      </c>
      <c r="C8873" t="str">
        <f t="shared" si="1685"/>
        <v>PIX</v>
      </c>
      <c r="D8873" t="str">
        <f t="shared" si="1686"/>
        <v>24904</v>
      </c>
      <c r="E8873" t="str">
        <f t="shared" si="1687"/>
        <v>1</v>
      </c>
      <c r="F8873" t="str">
        <f t="shared" si="1681"/>
        <v>COM</v>
      </c>
      <c r="G8873" t="str">
        <f t="shared" si="1683"/>
        <v>HANDREY RAFAEL TEODORO GEROLIM (1029)</v>
      </c>
      <c r="H8873" t="s">
        <v>2425</v>
      </c>
      <c r="I8873" t="str">
        <f t="shared" si="1682"/>
        <v>06/11/2025</v>
      </c>
      <c r="J8873" t="str">
        <f t="shared" si="1688"/>
        <v>05/11/2025</v>
      </c>
      <c r="K8873">
        <v>45967</v>
      </c>
      <c r="N8873">
        <v>109</v>
      </c>
      <c r="O8873" t="s">
        <v>24</v>
      </c>
      <c r="Q8873">
        <v>23.72</v>
      </c>
      <c r="R8873" t="str">
        <f>"DROGALIDER 64 (10250)"</f>
        <v>DROGALIDER 64 (10250)</v>
      </c>
      <c r="S8873" t="s">
        <v>48</v>
      </c>
      <c r="T8873">
        <v>20470</v>
      </c>
      <c r="U8873">
        <v>24932</v>
      </c>
      <c r="V8873" t="s">
        <v>48</v>
      </c>
    </row>
    <row r="8874" spans="1:22">
      <c r="A8874" t="str">
        <f t="shared" si="1680"/>
        <v>06/11/2025</v>
      </c>
      <c r="B8874" t="str">
        <f t="shared" si="1684"/>
        <v>SAÍDA</v>
      </c>
      <c r="C8874" t="str">
        <f t="shared" si="1685"/>
        <v>PIX</v>
      </c>
      <c r="D8874" t="str">
        <f t="shared" si="1686"/>
        <v>24904</v>
      </c>
      <c r="E8874" t="str">
        <f t="shared" si="1687"/>
        <v>1</v>
      </c>
      <c r="F8874" t="str">
        <f t="shared" si="1681"/>
        <v>COM</v>
      </c>
      <c r="G8874" t="str">
        <f t="shared" si="1683"/>
        <v>HANDREY RAFAEL TEODORO GEROLIM (1029)</v>
      </c>
      <c r="H8874" t="s">
        <v>2425</v>
      </c>
      <c r="I8874" t="str">
        <f t="shared" si="1682"/>
        <v>06/11/2025</v>
      </c>
      <c r="J8874" t="str">
        <f t="shared" si="1688"/>
        <v>05/11/2025</v>
      </c>
      <c r="K8874">
        <v>45967</v>
      </c>
      <c r="N8874">
        <v>109</v>
      </c>
      <c r="O8874" t="s">
        <v>24</v>
      </c>
      <c r="Q8874">
        <v>7.89</v>
      </c>
      <c r="R8874" t="str">
        <f>"DROGALIDER 66 (10251)"</f>
        <v>DROGALIDER 66 (10251)</v>
      </c>
      <c r="S8874" t="s">
        <v>48</v>
      </c>
      <c r="T8874">
        <v>20470</v>
      </c>
      <c r="U8874">
        <v>24932</v>
      </c>
      <c r="V8874" t="s">
        <v>48</v>
      </c>
    </row>
    <row r="8875" spans="1:22">
      <c r="A8875" t="str">
        <f t="shared" si="1680"/>
        <v>06/11/2025</v>
      </c>
      <c r="B8875" t="str">
        <f t="shared" si="1684"/>
        <v>SAÍDA</v>
      </c>
      <c r="C8875" t="str">
        <f t="shared" si="1685"/>
        <v>PIX</v>
      </c>
      <c r="D8875" t="str">
        <f t="shared" ref="D8875:D8880" si="1689">"24906"</f>
        <v>24906</v>
      </c>
      <c r="E8875" t="str">
        <f t="shared" si="1687"/>
        <v>1</v>
      </c>
      <c r="F8875" t="str">
        <f t="shared" si="1681"/>
        <v>COM</v>
      </c>
      <c r="G8875" t="str">
        <f t="shared" ref="G8875:G8882" si="1690">"MICHELLE RIBEIRO DA SILVA (1012)"</f>
        <v>MICHELLE RIBEIRO DA SILVA (1012)</v>
      </c>
      <c r="H8875" t="str">
        <f>"Serv.Prest. 27/10/2025 a 02/11/2025 - PIX: CPF - CHAVE: 115.519.146-38"</f>
        <v>Serv.Prest. 27/10/2025 a 02/11/2025 - PIX: CPF - CHAVE: 115.519.146-38</v>
      </c>
      <c r="I8875" t="str">
        <f t="shared" si="1682"/>
        <v>06/11/2025</v>
      </c>
      <c r="J8875" t="str">
        <f t="shared" si="1688"/>
        <v>05/11/2025</v>
      </c>
      <c r="K8875" t="str">
        <f>("06/11/2025")</f>
        <v>06/11/2025</v>
      </c>
      <c r="L8875">
        <v>170</v>
      </c>
      <c r="M8875">
        <v>170</v>
      </c>
      <c r="N8875">
        <v>109</v>
      </c>
      <c r="O8875" t="str">
        <f>"PAGAMENTO DE ENTREGADORES"</f>
        <v>PAGAMENTO DE ENTREGADORES</v>
      </c>
      <c r="P8875">
        <v>170</v>
      </c>
      <c r="S8875" t="str">
        <f>"CAIXA MOVIMENTAÇÃO OPERACIONAL (132)"</f>
        <v>CAIXA MOVIMENTAÇÃO OPERACIONAL (132)</v>
      </c>
      <c r="T8875">
        <v>20472</v>
      </c>
      <c r="U8875">
        <v>24934</v>
      </c>
      <c r="V8875" t="s">
        <v>48</v>
      </c>
    </row>
    <row r="8876" spans="1:22">
      <c r="A8876" t="str">
        <f t="shared" si="1680"/>
        <v>06/11/2025</v>
      </c>
      <c r="B8876" t="str">
        <f t="shared" si="1684"/>
        <v>SAÍDA</v>
      </c>
      <c r="C8876" t="str">
        <f t="shared" si="1685"/>
        <v>PIX</v>
      </c>
      <c r="D8876" t="str">
        <f t="shared" si="1689"/>
        <v>24906</v>
      </c>
      <c r="E8876" t="str">
        <f t="shared" si="1687"/>
        <v>1</v>
      </c>
      <c r="F8876" t="str">
        <f t="shared" si="1681"/>
        <v>COM</v>
      </c>
      <c r="G8876" t="str">
        <f t="shared" si="1690"/>
        <v>MICHELLE RIBEIRO DA SILVA (1012)</v>
      </c>
      <c r="H8876" t="s">
        <v>2514</v>
      </c>
      <c r="I8876" t="str">
        <f t="shared" si="1682"/>
        <v>06/11/2025</v>
      </c>
      <c r="J8876" t="str">
        <f t="shared" si="1688"/>
        <v>05/11/2025</v>
      </c>
      <c r="K8876">
        <v>45967</v>
      </c>
      <c r="N8876">
        <v>109</v>
      </c>
      <c r="O8876" t="s">
        <v>24</v>
      </c>
      <c r="Q8876">
        <v>32.979999999999997</v>
      </c>
      <c r="R8876" t="str">
        <f>"DROGALIDER 58 (10213)"</f>
        <v>DROGALIDER 58 (10213)</v>
      </c>
      <c r="S8876" t="s">
        <v>48</v>
      </c>
      <c r="T8876">
        <v>20472</v>
      </c>
      <c r="U8876">
        <v>24934</v>
      </c>
      <c r="V8876" t="s">
        <v>48</v>
      </c>
    </row>
    <row r="8877" spans="1:22">
      <c r="A8877" t="str">
        <f t="shared" si="1680"/>
        <v>06/11/2025</v>
      </c>
      <c r="B8877" t="str">
        <f t="shared" si="1684"/>
        <v>SAÍDA</v>
      </c>
      <c r="C8877" t="str">
        <f t="shared" si="1685"/>
        <v>PIX</v>
      </c>
      <c r="D8877" t="str">
        <f t="shared" si="1689"/>
        <v>24906</v>
      </c>
      <c r="E8877" t="str">
        <f t="shared" si="1687"/>
        <v>1</v>
      </c>
      <c r="F8877" t="str">
        <f t="shared" si="1681"/>
        <v>COM</v>
      </c>
      <c r="G8877" t="str">
        <f t="shared" si="1690"/>
        <v>MICHELLE RIBEIRO DA SILVA (1012)</v>
      </c>
      <c r="H8877" t="s">
        <v>2514</v>
      </c>
      <c r="I8877" t="str">
        <f t="shared" si="1682"/>
        <v>06/11/2025</v>
      </c>
      <c r="J8877" t="str">
        <f t="shared" si="1688"/>
        <v>05/11/2025</v>
      </c>
      <c r="K8877">
        <v>45967</v>
      </c>
      <c r="N8877">
        <v>109</v>
      </c>
      <c r="O8877" t="s">
        <v>24</v>
      </c>
      <c r="Q8877">
        <v>60.89</v>
      </c>
      <c r="R8877" t="str">
        <f>"DROGALIDER 25 (10246)"</f>
        <v>DROGALIDER 25 (10246)</v>
      </c>
      <c r="S8877" t="s">
        <v>48</v>
      </c>
      <c r="T8877">
        <v>20472</v>
      </c>
      <c r="U8877">
        <v>24934</v>
      </c>
      <c r="V8877" t="s">
        <v>48</v>
      </c>
    </row>
    <row r="8878" spans="1:22">
      <c r="A8878" t="str">
        <f t="shared" si="1680"/>
        <v>06/11/2025</v>
      </c>
      <c r="B8878" t="str">
        <f t="shared" si="1684"/>
        <v>SAÍDA</v>
      </c>
      <c r="C8878" t="str">
        <f t="shared" si="1685"/>
        <v>PIX</v>
      </c>
      <c r="D8878" t="str">
        <f t="shared" si="1689"/>
        <v>24906</v>
      </c>
      <c r="E8878" t="str">
        <f t="shared" si="1687"/>
        <v>1</v>
      </c>
      <c r="F8878" t="str">
        <f t="shared" si="1681"/>
        <v>COM</v>
      </c>
      <c r="G8878" t="str">
        <f t="shared" si="1690"/>
        <v>MICHELLE RIBEIRO DA SILVA (1012)</v>
      </c>
      <c r="H8878" t="s">
        <v>2514</v>
      </c>
      <c r="I8878" t="str">
        <f t="shared" si="1682"/>
        <v>06/11/2025</v>
      </c>
      <c r="J8878" t="str">
        <f t="shared" si="1688"/>
        <v>05/11/2025</v>
      </c>
      <c r="K8878">
        <v>45967</v>
      </c>
      <c r="N8878">
        <v>109</v>
      </c>
      <c r="O8878" t="s">
        <v>24</v>
      </c>
      <c r="Q8878">
        <v>40.6</v>
      </c>
      <c r="R8878" t="str">
        <f>"DROGALIDER 46 (10248)"</f>
        <v>DROGALIDER 46 (10248)</v>
      </c>
      <c r="S8878" t="s">
        <v>48</v>
      </c>
      <c r="T8878">
        <v>20472</v>
      </c>
      <c r="U8878">
        <v>24934</v>
      </c>
      <c r="V8878" t="s">
        <v>48</v>
      </c>
    </row>
    <row r="8879" spans="1:22">
      <c r="A8879" t="str">
        <f t="shared" si="1680"/>
        <v>06/11/2025</v>
      </c>
      <c r="B8879" t="str">
        <f t="shared" si="1684"/>
        <v>SAÍDA</v>
      </c>
      <c r="C8879" t="str">
        <f t="shared" si="1685"/>
        <v>PIX</v>
      </c>
      <c r="D8879" t="str">
        <f t="shared" si="1689"/>
        <v>24906</v>
      </c>
      <c r="E8879" t="str">
        <f t="shared" si="1687"/>
        <v>1</v>
      </c>
      <c r="F8879" t="str">
        <f t="shared" si="1681"/>
        <v>COM</v>
      </c>
      <c r="G8879" t="str">
        <f t="shared" si="1690"/>
        <v>MICHELLE RIBEIRO DA SILVA (1012)</v>
      </c>
      <c r="H8879" t="s">
        <v>2514</v>
      </c>
      <c r="I8879" t="str">
        <f t="shared" si="1682"/>
        <v>06/11/2025</v>
      </c>
      <c r="J8879" t="str">
        <f t="shared" si="1688"/>
        <v>05/11/2025</v>
      </c>
      <c r="K8879">
        <v>45967</v>
      </c>
      <c r="N8879">
        <v>109</v>
      </c>
      <c r="O8879" t="s">
        <v>24</v>
      </c>
      <c r="Q8879">
        <v>7.62</v>
      </c>
      <c r="R8879" t="str">
        <f>"DROGALIDER 64 (10250)"</f>
        <v>DROGALIDER 64 (10250)</v>
      </c>
      <c r="S8879" t="s">
        <v>48</v>
      </c>
      <c r="T8879">
        <v>20472</v>
      </c>
      <c r="U8879">
        <v>24934</v>
      </c>
      <c r="V8879" t="s">
        <v>48</v>
      </c>
    </row>
    <row r="8880" spans="1:22">
      <c r="A8880" t="str">
        <f t="shared" si="1680"/>
        <v>06/11/2025</v>
      </c>
      <c r="B8880" t="str">
        <f t="shared" si="1684"/>
        <v>SAÍDA</v>
      </c>
      <c r="C8880" t="str">
        <f t="shared" si="1685"/>
        <v>PIX</v>
      </c>
      <c r="D8880" t="str">
        <f t="shared" si="1689"/>
        <v>24906</v>
      </c>
      <c r="E8880" t="str">
        <f t="shared" si="1687"/>
        <v>1</v>
      </c>
      <c r="F8880" t="str">
        <f t="shared" si="1681"/>
        <v>COM</v>
      </c>
      <c r="G8880" t="str">
        <f t="shared" si="1690"/>
        <v>MICHELLE RIBEIRO DA SILVA (1012)</v>
      </c>
      <c r="H8880" t="s">
        <v>2514</v>
      </c>
      <c r="I8880" t="str">
        <f t="shared" si="1682"/>
        <v>06/11/2025</v>
      </c>
      <c r="J8880" t="str">
        <f t="shared" si="1688"/>
        <v>05/11/2025</v>
      </c>
      <c r="K8880">
        <v>45967</v>
      </c>
      <c r="N8880">
        <v>109</v>
      </c>
      <c r="O8880" t="s">
        <v>24</v>
      </c>
      <c r="Q8880">
        <v>27.91</v>
      </c>
      <c r="R8880" t="str">
        <f>"DROGALIDER 66 (10251)"</f>
        <v>DROGALIDER 66 (10251)</v>
      </c>
      <c r="S8880" t="s">
        <v>48</v>
      </c>
      <c r="T8880">
        <v>20472</v>
      </c>
      <c r="U8880">
        <v>24934</v>
      </c>
      <c r="V8880" t="s">
        <v>48</v>
      </c>
    </row>
    <row r="8881" spans="1:22">
      <c r="A8881" t="str">
        <f t="shared" si="1680"/>
        <v>06/11/2025</v>
      </c>
      <c r="B8881" t="str">
        <f>"ENTRADA"</f>
        <v>ENTRADA</v>
      </c>
      <c r="C8881" t="str">
        <f>"DINHEIRO"</f>
        <v>DINHEIRO</v>
      </c>
      <c r="D8881" t="str">
        <f>"0611"</f>
        <v>0611</v>
      </c>
      <c r="E8881" t="str">
        <f>"25"</f>
        <v>25</v>
      </c>
      <c r="F8881" t="str">
        <f t="shared" si="1681"/>
        <v>COM</v>
      </c>
      <c r="G8881" t="str">
        <f t="shared" si="1690"/>
        <v>MICHELLE RIBEIRO DA SILVA (1012)</v>
      </c>
      <c r="H8881" t="str">
        <f>"REEMBOLSO"</f>
        <v>REEMBOLSO</v>
      </c>
      <c r="I8881" t="str">
        <f t="shared" si="1682"/>
        <v>06/11/2025</v>
      </c>
      <c r="J8881" t="str">
        <f>("04/11/2025")</f>
        <v>04/11/2025</v>
      </c>
      <c r="K8881" t="str">
        <f>("06/11/2025")</f>
        <v>06/11/2025</v>
      </c>
      <c r="L8881">
        <v>170</v>
      </c>
      <c r="M8881">
        <v>170</v>
      </c>
      <c r="N8881">
        <v>129</v>
      </c>
      <c r="O8881" t="str">
        <f>"ENTRADA DE REEMBOLSO ADIANTAMENTO"</f>
        <v>ENTRADA DE REEMBOLSO ADIANTAMENTO</v>
      </c>
      <c r="P8881">
        <v>170</v>
      </c>
      <c r="S8881" t="str">
        <f>"ENTRADA DE REEMBOLSO ADIANTAMENTO (129)"</f>
        <v>ENTRADA DE REEMBOLSO ADIANTAMENTO (129)</v>
      </c>
      <c r="T8881">
        <v>20473</v>
      </c>
      <c r="U8881">
        <v>24935</v>
      </c>
      <c r="V8881" t="s">
        <v>48</v>
      </c>
    </row>
    <row r="8882" spans="1:22">
      <c r="A8882" t="str">
        <f t="shared" si="1680"/>
        <v>06/11/2025</v>
      </c>
      <c r="B8882" t="str">
        <f>"ENTRADA"</f>
        <v>ENTRADA</v>
      </c>
      <c r="C8882" t="str">
        <f>"DINHEIRO"</f>
        <v>DINHEIRO</v>
      </c>
      <c r="D8882" t="str">
        <f>"0611"</f>
        <v>0611</v>
      </c>
      <c r="E8882" t="str">
        <f>"25"</f>
        <v>25</v>
      </c>
      <c r="F8882" t="str">
        <f t="shared" si="1681"/>
        <v>COM</v>
      </c>
      <c r="G8882" t="str">
        <f t="shared" si="1690"/>
        <v>MICHELLE RIBEIRO DA SILVA (1012)</v>
      </c>
      <c r="H8882" t="s">
        <v>2515</v>
      </c>
      <c r="I8882" t="str">
        <f t="shared" si="1682"/>
        <v>06/11/2025</v>
      </c>
      <c r="J8882" t="str">
        <f>("04/11/2025")</f>
        <v>04/11/2025</v>
      </c>
      <c r="K8882">
        <v>45967</v>
      </c>
      <c r="N8882">
        <v>129</v>
      </c>
      <c r="O8882" t="s">
        <v>58</v>
      </c>
      <c r="Q8882">
        <v>170</v>
      </c>
      <c r="R8882" t="str">
        <f>"MICHELLE RIBEIRO DA SILVA (1012)"</f>
        <v>MICHELLE RIBEIRO DA SILVA (1012)</v>
      </c>
      <c r="S8882" t="s">
        <v>59</v>
      </c>
      <c r="T8882">
        <v>20473</v>
      </c>
      <c r="U8882">
        <v>24935</v>
      </c>
      <c r="V8882" t="s">
        <v>48</v>
      </c>
    </row>
    <row r="8883" spans="1:22">
      <c r="A8883" t="str">
        <f t="shared" si="1680"/>
        <v>06/11/2025</v>
      </c>
      <c r="B8883" t="str">
        <f t="shared" ref="B8883:B8888" si="1691">"SAÍDA"</f>
        <v>SAÍDA</v>
      </c>
      <c r="C8883" t="str">
        <f t="shared" ref="C8883:C8888" si="1692">"PIX"</f>
        <v>PIX</v>
      </c>
      <c r="D8883" t="str">
        <f t="shared" ref="D8883:D8888" si="1693">"24907"</f>
        <v>24907</v>
      </c>
      <c r="E8883" t="str">
        <f t="shared" ref="E8883:E8888" si="1694">"1"</f>
        <v>1</v>
      </c>
      <c r="F8883" t="str">
        <f t="shared" si="1681"/>
        <v>COM</v>
      </c>
      <c r="G8883" t="str">
        <f t="shared" ref="G8883:G8890" si="1695">"SARA GABRIELLE SANTOS SILVA (710)"</f>
        <v>SARA GABRIELLE SANTOS SILVA (710)</v>
      </c>
      <c r="H8883" t="str">
        <f>"Serv.Prest. 27/10/2025 a 02/11/2025 - PIX: CPF - CHAVE: 023.116.166-25"</f>
        <v>Serv.Prest. 27/10/2025 a 02/11/2025 - PIX: CPF - CHAVE: 023.116.166-25</v>
      </c>
      <c r="I8883" t="str">
        <f t="shared" si="1682"/>
        <v>06/11/2025</v>
      </c>
      <c r="J8883" t="str">
        <f t="shared" ref="J8883:J8888" si="1696">("05/11/2025")</f>
        <v>05/11/2025</v>
      </c>
      <c r="K8883" t="str">
        <f>("06/11/2025")</f>
        <v>06/11/2025</v>
      </c>
      <c r="L8883">
        <v>170</v>
      </c>
      <c r="M8883">
        <v>170</v>
      </c>
      <c r="N8883">
        <v>109</v>
      </c>
      <c r="O8883" t="str">
        <f>"PAGAMENTO DE ENTREGADORES"</f>
        <v>PAGAMENTO DE ENTREGADORES</v>
      </c>
      <c r="P8883">
        <v>170</v>
      </c>
      <c r="S8883" t="str">
        <f>"CAIXA MOVIMENTAÇÃO OPERACIONAL (132)"</f>
        <v>CAIXA MOVIMENTAÇÃO OPERACIONAL (132)</v>
      </c>
      <c r="T8883">
        <v>20474</v>
      </c>
      <c r="U8883">
        <v>24936</v>
      </c>
      <c r="V8883" t="s">
        <v>48</v>
      </c>
    </row>
    <row r="8884" spans="1:22">
      <c r="A8884" t="str">
        <f t="shared" si="1680"/>
        <v>06/11/2025</v>
      </c>
      <c r="B8884" t="str">
        <f t="shared" si="1691"/>
        <v>SAÍDA</v>
      </c>
      <c r="C8884" t="str">
        <f t="shared" si="1692"/>
        <v>PIX</v>
      </c>
      <c r="D8884" t="str">
        <f t="shared" si="1693"/>
        <v>24907</v>
      </c>
      <c r="E8884" t="str">
        <f t="shared" si="1694"/>
        <v>1</v>
      </c>
      <c r="F8884" t="str">
        <f t="shared" si="1681"/>
        <v>COM</v>
      </c>
      <c r="G8884" t="str">
        <f t="shared" si="1695"/>
        <v>SARA GABRIELLE SANTOS SILVA (710)</v>
      </c>
      <c r="H8884" t="s">
        <v>2516</v>
      </c>
      <c r="I8884" t="str">
        <f t="shared" si="1682"/>
        <v>06/11/2025</v>
      </c>
      <c r="J8884" t="str">
        <f t="shared" si="1696"/>
        <v>05/11/2025</v>
      </c>
      <c r="K8884">
        <v>45967</v>
      </c>
      <c r="N8884">
        <v>109</v>
      </c>
      <c r="O8884" t="s">
        <v>24</v>
      </c>
      <c r="Q8884">
        <v>39.049999999999997</v>
      </c>
      <c r="R8884" t="str">
        <f>"DROGALIDER 58 (10213)"</f>
        <v>DROGALIDER 58 (10213)</v>
      </c>
      <c r="S8884" t="s">
        <v>48</v>
      </c>
      <c r="T8884">
        <v>20474</v>
      </c>
      <c r="U8884">
        <v>24936</v>
      </c>
      <c r="V8884" t="s">
        <v>48</v>
      </c>
    </row>
    <row r="8885" spans="1:22">
      <c r="A8885" t="str">
        <f t="shared" si="1680"/>
        <v>06/11/2025</v>
      </c>
      <c r="B8885" t="str">
        <f t="shared" si="1691"/>
        <v>SAÍDA</v>
      </c>
      <c r="C8885" t="str">
        <f t="shared" si="1692"/>
        <v>PIX</v>
      </c>
      <c r="D8885" t="str">
        <f t="shared" si="1693"/>
        <v>24907</v>
      </c>
      <c r="E8885" t="str">
        <f t="shared" si="1694"/>
        <v>1</v>
      </c>
      <c r="F8885" t="str">
        <f t="shared" si="1681"/>
        <v>COM</v>
      </c>
      <c r="G8885" t="str">
        <f t="shared" si="1695"/>
        <v>SARA GABRIELLE SANTOS SILVA (710)</v>
      </c>
      <c r="H8885" t="s">
        <v>2516</v>
      </c>
      <c r="I8885" t="str">
        <f t="shared" si="1682"/>
        <v>06/11/2025</v>
      </c>
      <c r="J8885" t="str">
        <f t="shared" si="1696"/>
        <v>05/11/2025</v>
      </c>
      <c r="K8885">
        <v>45967</v>
      </c>
      <c r="N8885">
        <v>109</v>
      </c>
      <c r="O8885" t="s">
        <v>24</v>
      </c>
      <c r="Q8885">
        <v>59.74</v>
      </c>
      <c r="R8885" t="str">
        <f>"DROGALIDER 25 (10246)"</f>
        <v>DROGALIDER 25 (10246)</v>
      </c>
      <c r="S8885" t="s">
        <v>48</v>
      </c>
      <c r="T8885">
        <v>20474</v>
      </c>
      <c r="U8885">
        <v>24936</v>
      </c>
      <c r="V8885" t="s">
        <v>48</v>
      </c>
    </row>
    <row r="8886" spans="1:22">
      <c r="A8886" t="str">
        <f t="shared" si="1680"/>
        <v>06/11/2025</v>
      </c>
      <c r="B8886" t="str">
        <f t="shared" si="1691"/>
        <v>SAÍDA</v>
      </c>
      <c r="C8886" t="str">
        <f t="shared" si="1692"/>
        <v>PIX</v>
      </c>
      <c r="D8886" t="str">
        <f t="shared" si="1693"/>
        <v>24907</v>
      </c>
      <c r="E8886" t="str">
        <f t="shared" si="1694"/>
        <v>1</v>
      </c>
      <c r="F8886" t="str">
        <f t="shared" si="1681"/>
        <v>COM</v>
      </c>
      <c r="G8886" t="str">
        <f t="shared" si="1695"/>
        <v>SARA GABRIELLE SANTOS SILVA (710)</v>
      </c>
      <c r="H8886" t="s">
        <v>2516</v>
      </c>
      <c r="I8886" t="str">
        <f t="shared" si="1682"/>
        <v>06/11/2025</v>
      </c>
      <c r="J8886" t="str">
        <f t="shared" si="1696"/>
        <v>05/11/2025</v>
      </c>
      <c r="K8886">
        <v>45967</v>
      </c>
      <c r="N8886">
        <v>109</v>
      </c>
      <c r="O8886" t="s">
        <v>24</v>
      </c>
      <c r="Q8886">
        <v>32.159999999999997</v>
      </c>
      <c r="R8886" t="str">
        <f>"DROGALIDER 46 (10248)"</f>
        <v>DROGALIDER 46 (10248)</v>
      </c>
      <c r="S8886" t="s">
        <v>48</v>
      </c>
      <c r="T8886">
        <v>20474</v>
      </c>
      <c r="U8886">
        <v>24936</v>
      </c>
      <c r="V8886" t="s">
        <v>48</v>
      </c>
    </row>
    <row r="8887" spans="1:22">
      <c r="A8887" t="str">
        <f t="shared" si="1680"/>
        <v>06/11/2025</v>
      </c>
      <c r="B8887" t="str">
        <f t="shared" si="1691"/>
        <v>SAÍDA</v>
      </c>
      <c r="C8887" t="str">
        <f t="shared" si="1692"/>
        <v>PIX</v>
      </c>
      <c r="D8887" t="str">
        <f t="shared" si="1693"/>
        <v>24907</v>
      </c>
      <c r="E8887" t="str">
        <f t="shared" si="1694"/>
        <v>1</v>
      </c>
      <c r="F8887" t="str">
        <f t="shared" si="1681"/>
        <v>COM</v>
      </c>
      <c r="G8887" t="str">
        <f t="shared" si="1695"/>
        <v>SARA GABRIELLE SANTOS SILVA (710)</v>
      </c>
      <c r="H8887" t="s">
        <v>2516</v>
      </c>
      <c r="I8887" t="str">
        <f t="shared" si="1682"/>
        <v>06/11/2025</v>
      </c>
      <c r="J8887" t="str">
        <f t="shared" si="1696"/>
        <v>05/11/2025</v>
      </c>
      <c r="K8887">
        <v>45967</v>
      </c>
      <c r="N8887">
        <v>109</v>
      </c>
      <c r="O8887" t="s">
        <v>24</v>
      </c>
      <c r="Q8887">
        <v>13.79</v>
      </c>
      <c r="R8887" t="str">
        <f>"DROGALIDER 64 (10250)"</f>
        <v>DROGALIDER 64 (10250)</v>
      </c>
      <c r="S8887" t="s">
        <v>48</v>
      </c>
      <c r="T8887">
        <v>20474</v>
      </c>
      <c r="U8887">
        <v>24936</v>
      </c>
      <c r="V8887" t="s">
        <v>48</v>
      </c>
    </row>
    <row r="8888" spans="1:22">
      <c r="A8888" t="str">
        <f t="shared" si="1680"/>
        <v>06/11/2025</v>
      </c>
      <c r="B8888" t="str">
        <f t="shared" si="1691"/>
        <v>SAÍDA</v>
      </c>
      <c r="C8888" t="str">
        <f t="shared" si="1692"/>
        <v>PIX</v>
      </c>
      <c r="D8888" t="str">
        <f t="shared" si="1693"/>
        <v>24907</v>
      </c>
      <c r="E8888" t="str">
        <f t="shared" si="1694"/>
        <v>1</v>
      </c>
      <c r="F8888" t="str">
        <f t="shared" si="1681"/>
        <v>COM</v>
      </c>
      <c r="G8888" t="str">
        <f t="shared" si="1695"/>
        <v>SARA GABRIELLE SANTOS SILVA (710)</v>
      </c>
      <c r="H8888" t="s">
        <v>2516</v>
      </c>
      <c r="I8888" t="str">
        <f t="shared" si="1682"/>
        <v>06/11/2025</v>
      </c>
      <c r="J8888" t="str">
        <f t="shared" si="1696"/>
        <v>05/11/2025</v>
      </c>
      <c r="K8888">
        <v>45967</v>
      </c>
      <c r="N8888">
        <v>109</v>
      </c>
      <c r="O8888" t="s">
        <v>24</v>
      </c>
      <c r="Q8888">
        <v>25.26</v>
      </c>
      <c r="R8888" t="str">
        <f>"DROGALIDER 66 (10251)"</f>
        <v>DROGALIDER 66 (10251)</v>
      </c>
      <c r="S8888" t="s">
        <v>48</v>
      </c>
      <c r="T8888">
        <v>20474</v>
      </c>
      <c r="U8888">
        <v>24936</v>
      </c>
      <c r="V8888" t="s">
        <v>48</v>
      </c>
    </row>
    <row r="8889" spans="1:22">
      <c r="A8889" t="str">
        <f t="shared" si="1680"/>
        <v>06/11/2025</v>
      </c>
      <c r="B8889" t="str">
        <f>"ENTRADA"</f>
        <v>ENTRADA</v>
      </c>
      <c r="C8889" t="str">
        <f>"DINHEIRO"</f>
        <v>DINHEIRO</v>
      </c>
      <c r="D8889" t="str">
        <f>"0611"</f>
        <v>0611</v>
      </c>
      <c r="E8889" t="str">
        <f>"25"</f>
        <v>25</v>
      </c>
      <c r="F8889" t="str">
        <f t="shared" si="1681"/>
        <v>COM</v>
      </c>
      <c r="G8889" t="str">
        <f t="shared" si="1695"/>
        <v>SARA GABRIELLE SANTOS SILVA (710)</v>
      </c>
      <c r="H8889" t="str">
        <f>"REEMBOLSO"</f>
        <v>REEMBOLSO</v>
      </c>
      <c r="I8889" t="str">
        <f t="shared" si="1682"/>
        <v>06/11/2025</v>
      </c>
      <c r="J8889" t="str">
        <f>("04/11/2025")</f>
        <v>04/11/2025</v>
      </c>
      <c r="K8889" t="str">
        <f>("06/11/2025")</f>
        <v>06/11/2025</v>
      </c>
      <c r="L8889">
        <v>170</v>
      </c>
      <c r="M8889">
        <v>170</v>
      </c>
      <c r="N8889">
        <v>129</v>
      </c>
      <c r="O8889" t="str">
        <f>"ENTRADA DE REEMBOLSO ADIANTAMENTO"</f>
        <v>ENTRADA DE REEMBOLSO ADIANTAMENTO</v>
      </c>
      <c r="P8889">
        <v>170</v>
      </c>
      <c r="S8889" t="str">
        <f>"ENTRADA DE REEMBOLSO ADIANTAMENTO (129)"</f>
        <v>ENTRADA DE REEMBOLSO ADIANTAMENTO (129)</v>
      </c>
      <c r="T8889">
        <v>20475</v>
      </c>
      <c r="U8889">
        <v>24937</v>
      </c>
      <c r="V8889" t="s">
        <v>48</v>
      </c>
    </row>
    <row r="8890" spans="1:22">
      <c r="A8890" t="str">
        <f t="shared" si="1680"/>
        <v>06/11/2025</v>
      </c>
      <c r="B8890" t="str">
        <f>"ENTRADA"</f>
        <v>ENTRADA</v>
      </c>
      <c r="C8890" t="str">
        <f>"DINHEIRO"</f>
        <v>DINHEIRO</v>
      </c>
      <c r="D8890" t="str">
        <f>"0611"</f>
        <v>0611</v>
      </c>
      <c r="E8890" t="str">
        <f>"25"</f>
        <v>25</v>
      </c>
      <c r="F8890" t="str">
        <f t="shared" si="1681"/>
        <v>COM</v>
      </c>
      <c r="G8890" t="str">
        <f t="shared" si="1695"/>
        <v>SARA GABRIELLE SANTOS SILVA (710)</v>
      </c>
      <c r="H8890" t="s">
        <v>2515</v>
      </c>
      <c r="I8890" t="str">
        <f t="shared" si="1682"/>
        <v>06/11/2025</v>
      </c>
      <c r="J8890" t="str">
        <f>("04/11/2025")</f>
        <v>04/11/2025</v>
      </c>
      <c r="K8890">
        <v>45967</v>
      </c>
      <c r="N8890">
        <v>129</v>
      </c>
      <c r="O8890" t="s">
        <v>58</v>
      </c>
      <c r="Q8890">
        <v>170</v>
      </c>
      <c r="R8890" t="str">
        <f>"SARA GABRIELLE SANTOS SILVA (710)"</f>
        <v>SARA GABRIELLE SANTOS SILVA (710)</v>
      </c>
      <c r="S8890" t="s">
        <v>59</v>
      </c>
      <c r="T8890">
        <v>20475</v>
      </c>
      <c r="U8890">
        <v>24937</v>
      </c>
      <c r="V8890" t="s">
        <v>48</v>
      </c>
    </row>
    <row r="8891" spans="1:22">
      <c r="A8891" t="str">
        <f t="shared" si="1680"/>
        <v>06/11/2025</v>
      </c>
      <c r="B8891" t="str">
        <f>"ENTRADA"</f>
        <v>ENTRADA</v>
      </c>
      <c r="C8891" t="str">
        <f>"DINHEIRO"</f>
        <v>DINHEIRO</v>
      </c>
      <c r="D8891" t="str">
        <f>"0411"</f>
        <v>0411</v>
      </c>
      <c r="E8891" t="str">
        <f>"25"</f>
        <v>25</v>
      </c>
      <c r="F8891" t="str">
        <f t="shared" si="1681"/>
        <v>COM</v>
      </c>
      <c r="G8891" t="str">
        <f>"EZEQUIEL MATHEUS SOUSA MAXIMIANO ROSA (931)"</f>
        <v>EZEQUIEL MATHEUS SOUSA MAXIMIANO ROSA (931)</v>
      </c>
      <c r="H8891" t="str">
        <f>"REEMBOLSO ADIANTAMENTO"</f>
        <v>REEMBOLSO ADIANTAMENTO</v>
      </c>
      <c r="I8891" t="str">
        <f t="shared" ref="I8891:I8918" si="1697">("13/11/2025")</f>
        <v>13/11/2025</v>
      </c>
      <c r="J8891" t="str">
        <f>("28/10/2025")</f>
        <v>28/10/2025</v>
      </c>
      <c r="K8891" t="str">
        <f>("06/11/2025")</f>
        <v>06/11/2025</v>
      </c>
      <c r="L8891">
        <v>170</v>
      </c>
      <c r="M8891">
        <v>170</v>
      </c>
      <c r="N8891">
        <v>129</v>
      </c>
      <c r="O8891" t="str">
        <f>"ENTRADA DE REEMBOLSO ADIANTAMENTO"</f>
        <v>ENTRADA DE REEMBOLSO ADIANTAMENTO</v>
      </c>
      <c r="P8891">
        <v>170</v>
      </c>
      <c r="S8891" t="str">
        <f>"ENTRADA DE REEMBOLSO ADIANTAMENTO (129)"</f>
        <v>ENTRADA DE REEMBOLSO ADIANTAMENTO (129)</v>
      </c>
      <c r="T8891">
        <v>20477</v>
      </c>
      <c r="U8891">
        <v>24497</v>
      </c>
      <c r="V8891" t="s">
        <v>48</v>
      </c>
    </row>
    <row r="8892" spans="1:22">
      <c r="A8892" t="str">
        <f t="shared" si="1680"/>
        <v>06/11/2025</v>
      </c>
      <c r="B8892" t="str">
        <f>"ENTRADA"</f>
        <v>ENTRADA</v>
      </c>
      <c r="C8892" t="str">
        <f>"DINHEIRO"</f>
        <v>DINHEIRO</v>
      </c>
      <c r="D8892" t="str">
        <f>"0411"</f>
        <v>0411</v>
      </c>
      <c r="E8892" t="str">
        <f>"25"</f>
        <v>25</v>
      </c>
      <c r="F8892" t="str">
        <f t="shared" si="1681"/>
        <v>COM</v>
      </c>
      <c r="G8892" t="str">
        <f>"EZEQUIEL MATHEUS SOUSA MAXIMIANO ROSA (931)"</f>
        <v>EZEQUIEL MATHEUS SOUSA MAXIMIANO ROSA (931)</v>
      </c>
      <c r="H8892" t="s">
        <v>57</v>
      </c>
      <c r="I8892" t="str">
        <f t="shared" si="1697"/>
        <v>13/11/2025</v>
      </c>
      <c r="J8892" t="str">
        <f>("28/10/2025")</f>
        <v>28/10/2025</v>
      </c>
      <c r="K8892">
        <v>45967</v>
      </c>
      <c r="N8892">
        <v>129</v>
      </c>
      <c r="O8892" t="s">
        <v>58</v>
      </c>
      <c r="Q8892">
        <v>170</v>
      </c>
      <c r="R8892" t="str">
        <f>"EZEQUIEL MATHEUS SOUSA MAXIMIANO ROSA (931)"</f>
        <v>EZEQUIEL MATHEUS SOUSA MAXIMIANO ROSA (931)</v>
      </c>
      <c r="S8892" t="s">
        <v>59</v>
      </c>
      <c r="T8892">
        <v>20477</v>
      </c>
      <c r="U8892">
        <v>24497</v>
      </c>
      <c r="V8892" t="s">
        <v>48</v>
      </c>
    </row>
    <row r="8893" spans="1:22">
      <c r="A8893" t="str">
        <f t="shared" si="1680"/>
        <v>06/11/2025</v>
      </c>
      <c r="B8893" t="str">
        <f t="shared" ref="B8893:B8898" si="1698">"SAÍDA"</f>
        <v>SAÍDA</v>
      </c>
      <c r="C8893" t="str">
        <f t="shared" ref="C8893:C8898" si="1699">"PIX"</f>
        <v>PIX</v>
      </c>
      <c r="D8893" t="str">
        <f>"24753"</f>
        <v>24753</v>
      </c>
      <c r="E8893" t="str">
        <f t="shared" ref="E8893:E8898" si="1700">"1"</f>
        <v>1</v>
      </c>
      <c r="F8893" t="str">
        <f t="shared" si="1681"/>
        <v>COM</v>
      </c>
      <c r="G8893" t="str">
        <f>"EZEQUIEL MATHEUS SOUSA MAXIMIANO ROSA (931)"</f>
        <v>EZEQUIEL MATHEUS SOUSA MAXIMIANO ROSA (931)</v>
      </c>
      <c r="H8893" t="str">
        <f>"Serv.Prest. 24/10/2025 a 02/11/2025 - PIX: CPF - CHAVE: 141.994.266-20"</f>
        <v>Serv.Prest. 24/10/2025 a 02/11/2025 - PIX: CPF - CHAVE: 141.994.266-20</v>
      </c>
      <c r="I8893" t="str">
        <f t="shared" si="1697"/>
        <v>13/11/2025</v>
      </c>
      <c r="J8893" t="str">
        <f t="shared" ref="J8893:J8898" si="1701">("04/11/2025")</f>
        <v>04/11/2025</v>
      </c>
      <c r="K8893" t="str">
        <f>("06/11/2025")</f>
        <v>06/11/2025</v>
      </c>
      <c r="L8893">
        <v>172</v>
      </c>
      <c r="M8893">
        <v>170</v>
      </c>
      <c r="N8893">
        <v>134</v>
      </c>
      <c r="O8893" t="str">
        <f>"DIARIA DE MOTOBOY"</f>
        <v>DIARIA DE MOTOBOY</v>
      </c>
      <c r="P8893">
        <v>170</v>
      </c>
      <c r="S8893" t="str">
        <f>"CAIXA MOVIMENTAÇÃO OPERACIONAL (132)"</f>
        <v>CAIXA MOVIMENTAÇÃO OPERACIONAL (132)</v>
      </c>
      <c r="T8893">
        <v>20478</v>
      </c>
      <c r="U8893">
        <v>24753</v>
      </c>
      <c r="V8893" t="s">
        <v>48</v>
      </c>
    </row>
    <row r="8894" spans="1:22">
      <c r="A8894" t="str">
        <f t="shared" si="1680"/>
        <v>06/11/2025</v>
      </c>
      <c r="B8894" t="str">
        <f t="shared" si="1698"/>
        <v>SAÍDA</v>
      </c>
      <c r="C8894" t="str">
        <f t="shared" si="1699"/>
        <v>PIX</v>
      </c>
      <c r="D8894" t="str">
        <f>"24753"</f>
        <v>24753</v>
      </c>
      <c r="E8894" t="str">
        <f t="shared" si="1700"/>
        <v>1</v>
      </c>
      <c r="F8894" t="str">
        <f t="shared" si="1681"/>
        <v>COM</v>
      </c>
      <c r="G8894" t="str">
        <f>"EZEQUIEL MATHEUS SOUSA MAXIMIANO ROSA (931)"</f>
        <v>EZEQUIEL MATHEUS SOUSA MAXIMIANO ROSA (931)</v>
      </c>
      <c r="H8894" t="s">
        <v>2455</v>
      </c>
      <c r="I8894" t="str">
        <f t="shared" si="1697"/>
        <v>13/11/2025</v>
      </c>
      <c r="J8894" t="str">
        <f t="shared" si="1701"/>
        <v>04/11/2025</v>
      </c>
      <c r="K8894">
        <v>45967</v>
      </c>
      <c r="N8894">
        <v>134</v>
      </c>
      <c r="O8894" t="s">
        <v>41</v>
      </c>
      <c r="Q8894">
        <v>86.5</v>
      </c>
      <c r="R8894" t="str">
        <f>"FARMÁCIA INDIANA LJ 118 (10052)"</f>
        <v>FARMÁCIA INDIANA LJ 118 (10052)</v>
      </c>
      <c r="S8894" t="s">
        <v>48</v>
      </c>
      <c r="T8894">
        <v>20478</v>
      </c>
      <c r="U8894">
        <v>24753</v>
      </c>
      <c r="V8894" t="s">
        <v>48</v>
      </c>
    </row>
    <row r="8895" spans="1:22">
      <c r="A8895" t="str">
        <f t="shared" si="1680"/>
        <v>06/11/2025</v>
      </c>
      <c r="B8895" t="str">
        <f t="shared" si="1698"/>
        <v>SAÍDA</v>
      </c>
      <c r="C8895" t="str">
        <f t="shared" si="1699"/>
        <v>PIX</v>
      </c>
      <c r="D8895" t="str">
        <f>"24753"</f>
        <v>24753</v>
      </c>
      <c r="E8895" t="str">
        <f t="shared" si="1700"/>
        <v>1</v>
      </c>
      <c r="F8895" t="str">
        <f t="shared" si="1681"/>
        <v>COM</v>
      </c>
      <c r="G8895" t="str">
        <f>"EZEQUIEL MATHEUS SOUSA MAXIMIANO ROSA (931)"</f>
        <v>EZEQUIEL MATHEUS SOUSA MAXIMIANO ROSA (931)</v>
      </c>
      <c r="H8895" t="s">
        <v>2455</v>
      </c>
      <c r="I8895" t="str">
        <f t="shared" si="1697"/>
        <v>13/11/2025</v>
      </c>
      <c r="J8895" t="str">
        <f t="shared" si="1701"/>
        <v>04/11/2025</v>
      </c>
      <c r="K8895">
        <v>45967</v>
      </c>
      <c r="N8895">
        <v>134</v>
      </c>
      <c r="O8895" t="s">
        <v>41</v>
      </c>
      <c r="Q8895">
        <v>83.5</v>
      </c>
      <c r="R8895" t="str">
        <f>"FARMÁCIA INDIANA LJ 192 (10082)"</f>
        <v>FARMÁCIA INDIANA LJ 192 (10082)</v>
      </c>
      <c r="S8895" t="s">
        <v>48</v>
      </c>
      <c r="T8895">
        <v>20478</v>
      </c>
      <c r="U8895">
        <v>24753</v>
      </c>
      <c r="V8895" t="s">
        <v>48</v>
      </c>
    </row>
    <row r="8896" spans="1:22">
      <c r="A8896" t="str">
        <f t="shared" si="1680"/>
        <v>06/11/2025</v>
      </c>
      <c r="B8896" t="str">
        <f t="shared" si="1698"/>
        <v>SAÍDA</v>
      </c>
      <c r="C8896" t="str">
        <f t="shared" si="1699"/>
        <v>PIX</v>
      </c>
      <c r="D8896" t="str">
        <f>"24766"</f>
        <v>24766</v>
      </c>
      <c r="E8896" t="str">
        <f t="shared" si="1700"/>
        <v>1</v>
      </c>
      <c r="F8896" t="str">
        <f t="shared" si="1681"/>
        <v>COM</v>
      </c>
      <c r="G8896" t="str">
        <f>"JEFERSON ANDRADE FERREIRA (165)"</f>
        <v>JEFERSON ANDRADE FERREIRA (165)</v>
      </c>
      <c r="H8896" t="str">
        <f>"Serv.Prest. 24/10/2025 a 02/11/2025 - PIX: CPF - CHAVE: 126.873.296-65"</f>
        <v>Serv.Prest. 24/10/2025 a 02/11/2025 - PIX: CPF - CHAVE: 126.873.296-65</v>
      </c>
      <c r="I8896" t="str">
        <f t="shared" si="1697"/>
        <v>13/11/2025</v>
      </c>
      <c r="J8896" t="str">
        <f t="shared" si="1701"/>
        <v>04/11/2025</v>
      </c>
      <c r="K8896" t="str">
        <f>("06/11/2025")</f>
        <v>06/11/2025</v>
      </c>
      <c r="L8896">
        <v>180</v>
      </c>
      <c r="M8896">
        <v>180</v>
      </c>
      <c r="N8896">
        <v>109</v>
      </c>
      <c r="O8896" t="str">
        <f>"PAGAMENTO DE ENTREGADORES"</f>
        <v>PAGAMENTO DE ENTREGADORES</v>
      </c>
      <c r="P8896">
        <v>180</v>
      </c>
      <c r="S8896" t="str">
        <f>"CAIXA MOVIMENTAÇÃO OPERACIONAL (132)"</f>
        <v>CAIXA MOVIMENTAÇÃO OPERACIONAL (132)</v>
      </c>
      <c r="T8896">
        <v>20479</v>
      </c>
      <c r="U8896">
        <v>24943</v>
      </c>
      <c r="V8896" t="s">
        <v>48</v>
      </c>
    </row>
    <row r="8897" spans="1:22">
      <c r="A8897" t="str">
        <f t="shared" si="1680"/>
        <v>06/11/2025</v>
      </c>
      <c r="B8897" t="str">
        <f t="shared" si="1698"/>
        <v>SAÍDA</v>
      </c>
      <c r="C8897" t="str">
        <f t="shared" si="1699"/>
        <v>PIX</v>
      </c>
      <c r="D8897" t="str">
        <f>"24766"</f>
        <v>24766</v>
      </c>
      <c r="E8897" t="str">
        <f t="shared" si="1700"/>
        <v>1</v>
      </c>
      <c r="F8897" t="str">
        <f t="shared" si="1681"/>
        <v>COM</v>
      </c>
      <c r="G8897" t="str">
        <f>"JEFERSON ANDRADE FERREIRA (165)"</f>
        <v>JEFERSON ANDRADE FERREIRA (165)</v>
      </c>
      <c r="H8897" t="s">
        <v>2517</v>
      </c>
      <c r="I8897" t="str">
        <f t="shared" si="1697"/>
        <v>13/11/2025</v>
      </c>
      <c r="J8897" t="str">
        <f t="shared" si="1701"/>
        <v>04/11/2025</v>
      </c>
      <c r="K8897">
        <v>45967</v>
      </c>
      <c r="N8897">
        <v>109</v>
      </c>
      <c r="O8897" t="s">
        <v>24</v>
      </c>
      <c r="Q8897">
        <v>109.26</v>
      </c>
      <c r="R8897" t="str">
        <f>"FARMÁCIA INDIANA LJ 101 (10043)"</f>
        <v>FARMÁCIA INDIANA LJ 101 (10043)</v>
      </c>
      <c r="S8897" t="s">
        <v>48</v>
      </c>
      <c r="T8897">
        <v>20479</v>
      </c>
      <c r="U8897">
        <v>24943</v>
      </c>
      <c r="V8897" t="s">
        <v>48</v>
      </c>
    </row>
    <row r="8898" spans="1:22">
      <c r="A8898" t="str">
        <f t="shared" si="1680"/>
        <v>06/11/2025</v>
      </c>
      <c r="B8898" t="str">
        <f t="shared" si="1698"/>
        <v>SAÍDA</v>
      </c>
      <c r="C8898" t="str">
        <f t="shared" si="1699"/>
        <v>PIX</v>
      </c>
      <c r="D8898" t="str">
        <f>"24766"</f>
        <v>24766</v>
      </c>
      <c r="E8898" t="str">
        <f t="shared" si="1700"/>
        <v>1</v>
      </c>
      <c r="F8898" t="str">
        <f t="shared" si="1681"/>
        <v>COM</v>
      </c>
      <c r="G8898" t="str">
        <f>"JEFERSON ANDRADE FERREIRA (165)"</f>
        <v>JEFERSON ANDRADE FERREIRA (165)</v>
      </c>
      <c r="H8898" t="s">
        <v>2517</v>
      </c>
      <c r="I8898" t="str">
        <f t="shared" si="1697"/>
        <v>13/11/2025</v>
      </c>
      <c r="J8898" t="str">
        <f t="shared" si="1701"/>
        <v>04/11/2025</v>
      </c>
      <c r="K8898">
        <v>45967</v>
      </c>
      <c r="N8898">
        <v>109</v>
      </c>
      <c r="O8898" t="s">
        <v>24</v>
      </c>
      <c r="Q8898">
        <v>70.739999999999995</v>
      </c>
      <c r="R8898" t="str">
        <f>"FARMÁCIA INDIANA LJ 220 (10092)"</f>
        <v>FARMÁCIA INDIANA LJ 220 (10092)</v>
      </c>
      <c r="S8898" t="s">
        <v>48</v>
      </c>
      <c r="T8898">
        <v>20479</v>
      </c>
      <c r="U8898">
        <v>24943</v>
      </c>
      <c r="V8898" t="s">
        <v>48</v>
      </c>
    </row>
    <row r="8899" spans="1:22">
      <c r="A8899" t="str">
        <f t="shared" si="1680"/>
        <v>06/11/2025</v>
      </c>
      <c r="B8899" t="str">
        <f>"ENTRADA"</f>
        <v>ENTRADA</v>
      </c>
      <c r="C8899" t="str">
        <f>"DINHEIRO"</f>
        <v>DINHEIRO</v>
      </c>
      <c r="D8899" t="str">
        <f>"1311"</f>
        <v>1311</v>
      </c>
      <c r="E8899" t="str">
        <f>"25"</f>
        <v>25</v>
      </c>
      <c r="F8899" t="str">
        <f t="shared" si="1681"/>
        <v>COM</v>
      </c>
      <c r="G8899" t="str">
        <f>"JEFERSON ANDRADE FERREIRA (165)"</f>
        <v>JEFERSON ANDRADE FERREIRA (165)</v>
      </c>
      <c r="H8899" t="str">
        <f>"REEMBOLSO ADIANTAMENTO"</f>
        <v>REEMBOLSO ADIANTAMENTO</v>
      </c>
      <c r="I8899" t="str">
        <f t="shared" si="1697"/>
        <v>13/11/2025</v>
      </c>
      <c r="J8899" t="str">
        <f>("30/10/2025")</f>
        <v>30/10/2025</v>
      </c>
      <c r="K8899" t="str">
        <f>("06/11/2025")</f>
        <v>06/11/2025</v>
      </c>
      <c r="L8899">
        <v>180</v>
      </c>
      <c r="M8899">
        <v>180</v>
      </c>
      <c r="N8899">
        <v>129</v>
      </c>
      <c r="O8899" t="str">
        <f>"ENTRADA DE REEMBOLSO ADIANTAMENTO"</f>
        <v>ENTRADA DE REEMBOLSO ADIANTAMENTO</v>
      </c>
      <c r="P8899">
        <v>180</v>
      </c>
      <c r="S8899" t="str">
        <f>"ENTRADA DE REEMBOLSO ADIANTAMENTO (129)"</f>
        <v>ENTRADA DE REEMBOLSO ADIANTAMENTO (129)</v>
      </c>
      <c r="T8899">
        <v>20480</v>
      </c>
      <c r="U8899">
        <v>24499</v>
      </c>
      <c r="V8899" t="s">
        <v>48</v>
      </c>
    </row>
    <row r="8900" spans="1:22">
      <c r="A8900" t="str">
        <f t="shared" si="1680"/>
        <v>06/11/2025</v>
      </c>
      <c r="B8900" t="str">
        <f>"ENTRADA"</f>
        <v>ENTRADA</v>
      </c>
      <c r="C8900" t="str">
        <f>"DINHEIRO"</f>
        <v>DINHEIRO</v>
      </c>
      <c r="D8900" t="str">
        <f>"1311"</f>
        <v>1311</v>
      </c>
      <c r="E8900" t="str">
        <f>"25"</f>
        <v>25</v>
      </c>
      <c r="F8900" t="str">
        <f t="shared" si="1681"/>
        <v>COM</v>
      </c>
      <c r="G8900" t="str">
        <f>"JEFERSON ANDRADE FERREIRA (165)"</f>
        <v>JEFERSON ANDRADE FERREIRA (165)</v>
      </c>
      <c r="H8900" t="s">
        <v>57</v>
      </c>
      <c r="I8900" t="str">
        <f t="shared" si="1697"/>
        <v>13/11/2025</v>
      </c>
      <c r="J8900" t="str">
        <f>("30/10/2025")</f>
        <v>30/10/2025</v>
      </c>
      <c r="K8900">
        <v>45967</v>
      </c>
      <c r="N8900">
        <v>129</v>
      </c>
      <c r="O8900" t="s">
        <v>58</v>
      </c>
      <c r="Q8900">
        <v>180</v>
      </c>
      <c r="R8900" t="str">
        <f>"JEFERSON ANDRADE FERREIRA (165)"</f>
        <v>JEFERSON ANDRADE FERREIRA (165)</v>
      </c>
      <c r="S8900" t="s">
        <v>59</v>
      </c>
      <c r="T8900">
        <v>20480</v>
      </c>
      <c r="U8900">
        <v>24499</v>
      </c>
      <c r="V8900" t="s">
        <v>48</v>
      </c>
    </row>
    <row r="8901" spans="1:22">
      <c r="A8901" t="str">
        <f t="shared" si="1680"/>
        <v>06/11/2025</v>
      </c>
      <c r="B8901" t="str">
        <f>"ENTRADA"</f>
        <v>ENTRADA</v>
      </c>
      <c r="C8901" t="str">
        <f>"DINHEIRO"</f>
        <v>DINHEIRO</v>
      </c>
      <c r="D8901" t="str">
        <f>"1311"</f>
        <v>1311</v>
      </c>
      <c r="E8901" t="str">
        <f>"25"</f>
        <v>25</v>
      </c>
      <c r="F8901" t="str">
        <f t="shared" si="1681"/>
        <v>COM</v>
      </c>
      <c r="G8901" t="str">
        <f>"FABRICIO RAMON SOARES SANTOS (645)"</f>
        <v>FABRICIO RAMON SOARES SANTOS (645)</v>
      </c>
      <c r="H8901" t="str">
        <f>"REEMBOLSO ADIANTAMENTO"</f>
        <v>REEMBOLSO ADIANTAMENTO</v>
      </c>
      <c r="I8901" t="str">
        <f t="shared" si="1697"/>
        <v>13/11/2025</v>
      </c>
      <c r="J8901" t="str">
        <f>("30/10/2025")</f>
        <v>30/10/2025</v>
      </c>
      <c r="K8901" t="str">
        <f>("06/11/2025")</f>
        <v>06/11/2025</v>
      </c>
      <c r="L8901">
        <v>180</v>
      </c>
      <c r="M8901">
        <v>180</v>
      </c>
      <c r="N8901">
        <v>129</v>
      </c>
      <c r="O8901" t="str">
        <f>"ENTRADA DE REEMBOLSO ADIANTAMENTO"</f>
        <v>ENTRADA DE REEMBOLSO ADIANTAMENTO</v>
      </c>
      <c r="P8901">
        <v>180</v>
      </c>
      <c r="S8901" t="str">
        <f>"ENTRADA DE REEMBOLSO ADIANTAMENTO (129)"</f>
        <v>ENTRADA DE REEMBOLSO ADIANTAMENTO (129)</v>
      </c>
      <c r="T8901">
        <v>20481</v>
      </c>
      <c r="U8901">
        <v>24501</v>
      </c>
      <c r="V8901" t="s">
        <v>48</v>
      </c>
    </row>
    <row r="8902" spans="1:22">
      <c r="A8902" t="str">
        <f t="shared" si="1680"/>
        <v>06/11/2025</v>
      </c>
      <c r="B8902" t="str">
        <f>"ENTRADA"</f>
        <v>ENTRADA</v>
      </c>
      <c r="C8902" t="str">
        <f>"DINHEIRO"</f>
        <v>DINHEIRO</v>
      </c>
      <c r="D8902" t="str">
        <f>"1311"</f>
        <v>1311</v>
      </c>
      <c r="E8902" t="str">
        <f>"25"</f>
        <v>25</v>
      </c>
      <c r="F8902" t="str">
        <f t="shared" si="1681"/>
        <v>COM</v>
      </c>
      <c r="G8902" t="str">
        <f>"FABRICIO RAMON SOARES SANTOS (645)"</f>
        <v>FABRICIO RAMON SOARES SANTOS (645)</v>
      </c>
      <c r="H8902" t="s">
        <v>57</v>
      </c>
      <c r="I8902" t="str">
        <f t="shared" si="1697"/>
        <v>13/11/2025</v>
      </c>
      <c r="J8902" t="str">
        <f>("30/10/2025")</f>
        <v>30/10/2025</v>
      </c>
      <c r="K8902">
        <v>45967</v>
      </c>
      <c r="N8902">
        <v>129</v>
      </c>
      <c r="O8902" t="s">
        <v>58</v>
      </c>
      <c r="Q8902">
        <v>180</v>
      </c>
      <c r="R8902" t="str">
        <f>"FABRICIO RAMON SOARES SANTOS (645)"</f>
        <v>FABRICIO RAMON SOARES SANTOS (645)</v>
      </c>
      <c r="S8902" t="s">
        <v>59</v>
      </c>
      <c r="T8902">
        <v>20481</v>
      </c>
      <c r="U8902">
        <v>24501</v>
      </c>
      <c r="V8902" t="s">
        <v>48</v>
      </c>
    </row>
    <row r="8903" spans="1:22">
      <c r="A8903" t="str">
        <f t="shared" si="1680"/>
        <v>06/11/2025</v>
      </c>
      <c r="B8903" t="str">
        <f>"SAÍDA"</f>
        <v>SAÍDA</v>
      </c>
      <c r="C8903" t="str">
        <f>"PIX"</f>
        <v>PIX</v>
      </c>
      <c r="D8903" t="str">
        <f>"24754"</f>
        <v>24754</v>
      </c>
      <c r="E8903" t="str">
        <f>"1"</f>
        <v>1</v>
      </c>
      <c r="F8903" t="str">
        <f t="shared" si="1681"/>
        <v>COM</v>
      </c>
      <c r="G8903" t="str">
        <f>"FABRICIO RAMON SOARES SANTOS (645)"</f>
        <v>FABRICIO RAMON SOARES SANTOS (645)</v>
      </c>
      <c r="H8903" t="str">
        <f>"Serv.Prest. 24/10/2025 a 02/11/2025 - PIX: CELULAR - CHAVE: (31) 98483-3242"</f>
        <v>Serv.Prest. 24/10/2025 a 02/11/2025 - PIX: CELULAR - CHAVE: (31) 98483-3242</v>
      </c>
      <c r="I8903" t="str">
        <f t="shared" si="1697"/>
        <v>13/11/2025</v>
      </c>
      <c r="J8903" t="str">
        <f>("04/11/2025")</f>
        <v>04/11/2025</v>
      </c>
      <c r="K8903" t="str">
        <f>("06/11/2025")</f>
        <v>06/11/2025</v>
      </c>
      <c r="L8903">
        <v>180</v>
      </c>
      <c r="M8903">
        <v>180</v>
      </c>
      <c r="N8903">
        <v>109</v>
      </c>
      <c r="O8903" t="str">
        <f>"PAGAMENTO DE ENTREGADORES"</f>
        <v>PAGAMENTO DE ENTREGADORES</v>
      </c>
      <c r="P8903">
        <v>180</v>
      </c>
      <c r="S8903" t="str">
        <f>"CAIXA MOVIMENTAÇÃO OPERACIONAL (132)"</f>
        <v>CAIXA MOVIMENTAÇÃO OPERACIONAL (132)</v>
      </c>
      <c r="T8903">
        <v>20482</v>
      </c>
      <c r="U8903">
        <v>24944</v>
      </c>
      <c r="V8903" t="s">
        <v>48</v>
      </c>
    </row>
    <row r="8904" spans="1:22">
      <c r="A8904" t="str">
        <f t="shared" si="1680"/>
        <v>06/11/2025</v>
      </c>
      <c r="B8904" t="str">
        <f>"SAÍDA"</f>
        <v>SAÍDA</v>
      </c>
      <c r="C8904" t="str">
        <f>"PIX"</f>
        <v>PIX</v>
      </c>
      <c r="D8904" t="str">
        <f>"24754"</f>
        <v>24754</v>
      </c>
      <c r="E8904" t="str">
        <f>"1"</f>
        <v>1</v>
      </c>
      <c r="F8904" t="str">
        <f t="shared" si="1681"/>
        <v>COM</v>
      </c>
      <c r="G8904" t="str">
        <f>"FABRICIO RAMON SOARES SANTOS (645)"</f>
        <v>FABRICIO RAMON SOARES SANTOS (645)</v>
      </c>
      <c r="H8904" t="s">
        <v>2518</v>
      </c>
      <c r="I8904" t="str">
        <f t="shared" si="1697"/>
        <v>13/11/2025</v>
      </c>
      <c r="J8904" t="str">
        <f>("04/11/2025")</f>
        <v>04/11/2025</v>
      </c>
      <c r="K8904">
        <v>45967</v>
      </c>
      <c r="N8904">
        <v>109</v>
      </c>
      <c r="O8904" t="s">
        <v>24</v>
      </c>
      <c r="Q8904">
        <v>180</v>
      </c>
      <c r="R8904" t="str">
        <f>"FARMÁCIA INDIANA LJ 101 (10043)"</f>
        <v>FARMÁCIA INDIANA LJ 101 (10043)</v>
      </c>
      <c r="S8904" t="s">
        <v>48</v>
      </c>
      <c r="T8904">
        <v>20482</v>
      </c>
      <c r="U8904">
        <v>24944</v>
      </c>
      <c r="V8904" t="s">
        <v>48</v>
      </c>
    </row>
    <row r="8905" spans="1:22">
      <c r="A8905" t="str">
        <f t="shared" si="1680"/>
        <v>06/11/2025</v>
      </c>
      <c r="B8905" t="str">
        <f>"SAÍDA"</f>
        <v>SAÍDA</v>
      </c>
      <c r="C8905" t="str">
        <f>"PIX"</f>
        <v>PIX</v>
      </c>
      <c r="D8905" t="str">
        <f>"24761"</f>
        <v>24761</v>
      </c>
      <c r="E8905" t="str">
        <f>"1"</f>
        <v>1</v>
      </c>
      <c r="F8905" t="str">
        <f t="shared" si="1681"/>
        <v>COM</v>
      </c>
      <c r="G8905" t="str">
        <f>"GUSTAVO HENRIQUE OLIVEIRA (661)"</f>
        <v>GUSTAVO HENRIQUE OLIVEIRA (661)</v>
      </c>
      <c r="H8905" t="str">
        <f>"Serv.Prest. 24/10/2025 a 02/11/2025 - PIX: CPF - CHAVE: 113.084.266-58"</f>
        <v>Serv.Prest. 24/10/2025 a 02/11/2025 - PIX: CPF - CHAVE: 113.084.266-58</v>
      </c>
      <c r="I8905" t="str">
        <f t="shared" si="1697"/>
        <v>13/11/2025</v>
      </c>
      <c r="J8905" t="str">
        <f>("04/11/2025")</f>
        <v>04/11/2025</v>
      </c>
      <c r="K8905" t="str">
        <f>("06/11/2025")</f>
        <v>06/11/2025</v>
      </c>
      <c r="L8905">
        <v>120</v>
      </c>
      <c r="M8905">
        <v>120</v>
      </c>
      <c r="N8905">
        <v>109</v>
      </c>
      <c r="O8905" t="str">
        <f>"PAGAMENTO DE ENTREGADORES"</f>
        <v>PAGAMENTO DE ENTREGADORES</v>
      </c>
      <c r="P8905">
        <v>120</v>
      </c>
      <c r="S8905" t="str">
        <f>"CAIXA MOVIMENTAÇÃO OPERACIONAL (132)"</f>
        <v>CAIXA MOVIMENTAÇÃO OPERACIONAL (132)</v>
      </c>
      <c r="T8905">
        <v>20484</v>
      </c>
      <c r="U8905">
        <v>24945</v>
      </c>
      <c r="V8905" t="s">
        <v>48</v>
      </c>
    </row>
    <row r="8906" spans="1:22">
      <c r="A8906" t="str">
        <f t="shared" si="1680"/>
        <v>06/11/2025</v>
      </c>
      <c r="B8906" t="str">
        <f>"SAÍDA"</f>
        <v>SAÍDA</v>
      </c>
      <c r="C8906" t="str">
        <f>"PIX"</f>
        <v>PIX</v>
      </c>
      <c r="D8906" t="str">
        <f>"24761"</f>
        <v>24761</v>
      </c>
      <c r="E8906" t="str">
        <f>"1"</f>
        <v>1</v>
      </c>
      <c r="F8906" t="str">
        <f t="shared" si="1681"/>
        <v>COM</v>
      </c>
      <c r="G8906" t="str">
        <f>"GUSTAVO HENRIQUE OLIVEIRA (661)"</f>
        <v>GUSTAVO HENRIQUE OLIVEIRA (661)</v>
      </c>
      <c r="H8906" t="s">
        <v>2519</v>
      </c>
      <c r="I8906" t="str">
        <f t="shared" si="1697"/>
        <v>13/11/2025</v>
      </c>
      <c r="J8906" t="str">
        <f>("04/11/2025")</f>
        <v>04/11/2025</v>
      </c>
      <c r="K8906">
        <v>45967</v>
      </c>
      <c r="N8906">
        <v>109</v>
      </c>
      <c r="O8906" t="s">
        <v>24</v>
      </c>
      <c r="Q8906">
        <v>120</v>
      </c>
      <c r="R8906" t="str">
        <f>"FARMÁCIA INDIANA LJ 110 (10048)"</f>
        <v>FARMÁCIA INDIANA LJ 110 (10048)</v>
      </c>
      <c r="S8906" t="s">
        <v>48</v>
      </c>
      <c r="T8906">
        <v>20484</v>
      </c>
      <c r="U8906">
        <v>24945</v>
      </c>
      <c r="V8906" t="s">
        <v>48</v>
      </c>
    </row>
    <row r="8907" spans="1:22">
      <c r="A8907" t="str">
        <f t="shared" si="1680"/>
        <v>06/11/2025</v>
      </c>
      <c r="B8907" t="str">
        <f>"ENTRADA"</f>
        <v>ENTRADA</v>
      </c>
      <c r="C8907" t="str">
        <f>"DINHEIRO"</f>
        <v>DINHEIRO</v>
      </c>
      <c r="D8907" t="str">
        <f>"1311"</f>
        <v>1311</v>
      </c>
      <c r="E8907" t="str">
        <f>"25"</f>
        <v>25</v>
      </c>
      <c r="F8907" t="str">
        <f t="shared" si="1681"/>
        <v>COM</v>
      </c>
      <c r="G8907" t="str">
        <f>"JUSSARA CRISTINA FARIA (783)"</f>
        <v>JUSSARA CRISTINA FARIA (783)</v>
      </c>
      <c r="H8907" t="str">
        <f>"REEMBOLSO ADIANTAMENTO"</f>
        <v>REEMBOLSO ADIANTAMENTO</v>
      </c>
      <c r="I8907" t="str">
        <f t="shared" si="1697"/>
        <v>13/11/2025</v>
      </c>
      <c r="J8907" t="str">
        <f>("28/10/2025")</f>
        <v>28/10/2025</v>
      </c>
      <c r="K8907" t="str">
        <f>("06/11/2025")</f>
        <v>06/11/2025</v>
      </c>
      <c r="L8907">
        <v>450</v>
      </c>
      <c r="M8907">
        <v>450</v>
      </c>
      <c r="N8907">
        <v>129</v>
      </c>
      <c r="O8907" t="str">
        <f>"ENTRADA DE REEMBOLSO ADIANTAMENTO"</f>
        <v>ENTRADA DE REEMBOLSO ADIANTAMENTO</v>
      </c>
      <c r="P8907">
        <v>450</v>
      </c>
      <c r="S8907" t="str">
        <f>"ENTRADA DE REEMBOLSO ADIANTAMENTO (129)"</f>
        <v>ENTRADA DE REEMBOLSO ADIANTAMENTO (129)</v>
      </c>
      <c r="T8907">
        <v>20485</v>
      </c>
      <c r="U8907">
        <v>24505</v>
      </c>
      <c r="V8907" t="s">
        <v>48</v>
      </c>
    </row>
    <row r="8908" spans="1:22">
      <c r="A8908" t="str">
        <f t="shared" si="1680"/>
        <v>06/11/2025</v>
      </c>
      <c r="B8908" t="str">
        <f>"ENTRADA"</f>
        <v>ENTRADA</v>
      </c>
      <c r="C8908" t="str">
        <f>"DINHEIRO"</f>
        <v>DINHEIRO</v>
      </c>
      <c r="D8908" t="str">
        <f>"1311"</f>
        <v>1311</v>
      </c>
      <c r="E8908" t="str">
        <f>"25"</f>
        <v>25</v>
      </c>
      <c r="F8908" t="str">
        <f t="shared" si="1681"/>
        <v>COM</v>
      </c>
      <c r="G8908" t="str">
        <f>"JUSSARA CRISTINA FARIA (783)"</f>
        <v>JUSSARA CRISTINA FARIA (783)</v>
      </c>
      <c r="H8908" t="s">
        <v>57</v>
      </c>
      <c r="I8908" t="str">
        <f t="shared" si="1697"/>
        <v>13/11/2025</v>
      </c>
      <c r="J8908" t="str">
        <f>("28/10/2025")</f>
        <v>28/10/2025</v>
      </c>
      <c r="K8908">
        <v>45967</v>
      </c>
      <c r="N8908">
        <v>129</v>
      </c>
      <c r="O8908" t="s">
        <v>58</v>
      </c>
      <c r="Q8908">
        <v>450</v>
      </c>
      <c r="R8908" t="str">
        <f>"JUSSARA CRISTINA FARIA (783)"</f>
        <v>JUSSARA CRISTINA FARIA (783)</v>
      </c>
      <c r="S8908" t="s">
        <v>59</v>
      </c>
      <c r="T8908">
        <v>20485</v>
      </c>
      <c r="U8908">
        <v>24505</v>
      </c>
      <c r="V8908" t="s">
        <v>48</v>
      </c>
    </row>
    <row r="8909" spans="1:22">
      <c r="A8909" t="str">
        <f t="shared" si="1680"/>
        <v>06/11/2025</v>
      </c>
      <c r="B8909" t="str">
        <f>"SAÍDA"</f>
        <v>SAÍDA</v>
      </c>
      <c r="C8909" t="str">
        <f>"PIX"</f>
        <v>PIX</v>
      </c>
      <c r="D8909" t="str">
        <f>"24777"</f>
        <v>24777</v>
      </c>
      <c r="E8909" t="str">
        <f>"1"</f>
        <v>1</v>
      </c>
      <c r="F8909" t="str">
        <f t="shared" si="1681"/>
        <v>COM</v>
      </c>
      <c r="G8909" t="str">
        <f>"JUSSARA CRISTINA FARIA (783)"</f>
        <v>JUSSARA CRISTINA FARIA (783)</v>
      </c>
      <c r="H8909" t="str">
        <f>"Serv.Prest. 24/10/2025 a 02/11/2025 - PIX: CELULAR - CHAVE: (31) 99373-5678"</f>
        <v>Serv.Prest. 24/10/2025 a 02/11/2025 - PIX: CELULAR - CHAVE: (31) 99373-5678</v>
      </c>
      <c r="I8909" t="str">
        <f t="shared" si="1697"/>
        <v>13/11/2025</v>
      </c>
      <c r="J8909" t="str">
        <f>("04/11/2025")</f>
        <v>04/11/2025</v>
      </c>
      <c r="K8909" t="str">
        <f>("06/11/2025")</f>
        <v>06/11/2025</v>
      </c>
      <c r="L8909">
        <v>450</v>
      </c>
      <c r="M8909">
        <v>450</v>
      </c>
      <c r="N8909">
        <v>134</v>
      </c>
      <c r="O8909" t="str">
        <f>"DIARIA DE MOTOBOY"</f>
        <v>DIARIA DE MOTOBOY</v>
      </c>
      <c r="P8909">
        <v>450</v>
      </c>
      <c r="S8909" t="str">
        <f>"CAIXA MOVIMENTAÇÃO OPERACIONAL (132)"</f>
        <v>CAIXA MOVIMENTAÇÃO OPERACIONAL (132)</v>
      </c>
      <c r="T8909">
        <v>20486</v>
      </c>
      <c r="U8909">
        <v>24946</v>
      </c>
      <c r="V8909" t="s">
        <v>48</v>
      </c>
    </row>
    <row r="8910" spans="1:22">
      <c r="A8910" t="str">
        <f t="shared" si="1680"/>
        <v>06/11/2025</v>
      </c>
      <c r="B8910" t="str">
        <f>"SAÍDA"</f>
        <v>SAÍDA</v>
      </c>
      <c r="C8910" t="str">
        <f>"PIX"</f>
        <v>PIX</v>
      </c>
      <c r="D8910" t="str">
        <f>"24777"</f>
        <v>24777</v>
      </c>
      <c r="E8910" t="str">
        <f>"1"</f>
        <v>1</v>
      </c>
      <c r="F8910" t="str">
        <f t="shared" si="1681"/>
        <v>COM</v>
      </c>
      <c r="G8910" t="str">
        <f>"JUSSARA CRISTINA FARIA (783)"</f>
        <v>JUSSARA CRISTINA FARIA (783)</v>
      </c>
      <c r="H8910" t="s">
        <v>2427</v>
      </c>
      <c r="I8910" t="str">
        <f t="shared" si="1697"/>
        <v>13/11/2025</v>
      </c>
      <c r="J8910" t="str">
        <f>("04/11/2025")</f>
        <v>04/11/2025</v>
      </c>
      <c r="K8910">
        <v>45967</v>
      </c>
      <c r="N8910">
        <v>134</v>
      </c>
      <c r="O8910" t="s">
        <v>41</v>
      </c>
      <c r="Q8910">
        <v>450</v>
      </c>
      <c r="R8910" t="str">
        <f>"FARMÁCIA INDIANA LJ 110 (10048)"</f>
        <v>FARMÁCIA INDIANA LJ 110 (10048)</v>
      </c>
      <c r="S8910" t="s">
        <v>48</v>
      </c>
      <c r="T8910">
        <v>20486</v>
      </c>
      <c r="U8910">
        <v>24946</v>
      </c>
      <c r="V8910" t="s">
        <v>48</v>
      </c>
    </row>
    <row r="8911" spans="1:22">
      <c r="A8911" t="str">
        <f t="shared" si="1680"/>
        <v>06/11/2025</v>
      </c>
      <c r="B8911" t="str">
        <f>"ENTRADA"</f>
        <v>ENTRADA</v>
      </c>
      <c r="C8911" t="str">
        <f>"DINHEIRO"</f>
        <v>DINHEIRO</v>
      </c>
      <c r="D8911" t="str">
        <f>"1311"</f>
        <v>1311</v>
      </c>
      <c r="E8911" t="str">
        <f>"25"</f>
        <v>25</v>
      </c>
      <c r="F8911" t="str">
        <f t="shared" si="1681"/>
        <v>COM</v>
      </c>
      <c r="G8911" t="str">
        <f>"LAUAN ROCHA DE MELO (914)"</f>
        <v>LAUAN ROCHA DE MELO (914)</v>
      </c>
      <c r="H8911" t="str">
        <f>"REEMBOLSO ADIANTAMENTO"</f>
        <v>REEMBOLSO ADIANTAMENTO</v>
      </c>
      <c r="I8911" t="str">
        <f t="shared" si="1697"/>
        <v>13/11/2025</v>
      </c>
      <c r="J8911" t="str">
        <f>("28/10/2025")</f>
        <v>28/10/2025</v>
      </c>
      <c r="K8911" t="str">
        <f>("06/11/2025")</f>
        <v>06/11/2025</v>
      </c>
      <c r="L8911">
        <v>120</v>
      </c>
      <c r="M8911">
        <v>120</v>
      </c>
      <c r="N8911">
        <v>129</v>
      </c>
      <c r="O8911" t="str">
        <f>"ENTRADA DE REEMBOLSO ADIANTAMENTO"</f>
        <v>ENTRADA DE REEMBOLSO ADIANTAMENTO</v>
      </c>
      <c r="P8911">
        <v>120</v>
      </c>
      <c r="S8911" t="str">
        <f>"ENTRADA DE REEMBOLSO ADIANTAMENTO (129)"</f>
        <v>ENTRADA DE REEMBOLSO ADIANTAMENTO (129)</v>
      </c>
      <c r="T8911">
        <v>20488</v>
      </c>
      <c r="U8911">
        <v>24508</v>
      </c>
      <c r="V8911" t="s">
        <v>48</v>
      </c>
    </row>
    <row r="8912" spans="1:22">
      <c r="A8912" t="str">
        <f t="shared" si="1680"/>
        <v>06/11/2025</v>
      </c>
      <c r="B8912" t="str">
        <f>"ENTRADA"</f>
        <v>ENTRADA</v>
      </c>
      <c r="C8912" t="str">
        <f>"DINHEIRO"</f>
        <v>DINHEIRO</v>
      </c>
      <c r="D8912" t="str">
        <f>"1311"</f>
        <v>1311</v>
      </c>
      <c r="E8912" t="str">
        <f>"25"</f>
        <v>25</v>
      </c>
      <c r="F8912" t="str">
        <f t="shared" si="1681"/>
        <v>COM</v>
      </c>
      <c r="G8912" t="str">
        <f>"LAUAN ROCHA DE MELO (914)"</f>
        <v>LAUAN ROCHA DE MELO (914)</v>
      </c>
      <c r="H8912" t="s">
        <v>57</v>
      </c>
      <c r="I8912" t="str">
        <f t="shared" si="1697"/>
        <v>13/11/2025</v>
      </c>
      <c r="J8912" t="str">
        <f>("28/10/2025")</f>
        <v>28/10/2025</v>
      </c>
      <c r="K8912">
        <v>45967</v>
      </c>
      <c r="N8912">
        <v>129</v>
      </c>
      <c r="O8912" t="s">
        <v>58</v>
      </c>
      <c r="Q8912">
        <v>120</v>
      </c>
      <c r="R8912" t="str">
        <f>"LAUAN ROCHA DE MELO (914)"</f>
        <v>LAUAN ROCHA DE MELO (914)</v>
      </c>
      <c r="S8912" t="s">
        <v>59</v>
      </c>
      <c r="T8912">
        <v>20488</v>
      </c>
      <c r="U8912">
        <v>24508</v>
      </c>
      <c r="V8912" t="s">
        <v>48</v>
      </c>
    </row>
    <row r="8913" spans="1:22">
      <c r="A8913" t="str">
        <f t="shared" si="1680"/>
        <v>06/11/2025</v>
      </c>
      <c r="B8913" t="str">
        <f>"SAÍDA"</f>
        <v>SAÍDA</v>
      </c>
      <c r="C8913" t="str">
        <f>"PIX"</f>
        <v>PIX</v>
      </c>
      <c r="D8913" t="str">
        <f>"24780"</f>
        <v>24780</v>
      </c>
      <c r="E8913" t="str">
        <f>"1"</f>
        <v>1</v>
      </c>
      <c r="F8913" t="str">
        <f t="shared" si="1681"/>
        <v>COM</v>
      </c>
      <c r="G8913" t="str">
        <f>"LAUAN ROCHA DE MELO (914)"</f>
        <v>LAUAN ROCHA DE MELO (914)</v>
      </c>
      <c r="H8913" t="str">
        <f>"Serv.Prest. 24/10/2025 a 02/11/2025 - PIX: CELULAR - CHAVE: (32) 99913-0476"</f>
        <v>Serv.Prest. 24/10/2025 a 02/11/2025 - PIX: CELULAR - CHAVE: (32) 99913-0476</v>
      </c>
      <c r="I8913" t="str">
        <f t="shared" si="1697"/>
        <v>13/11/2025</v>
      </c>
      <c r="J8913" t="str">
        <f>("04/11/2025")</f>
        <v>04/11/2025</v>
      </c>
      <c r="K8913" t="str">
        <f>("06/11/2025")</f>
        <v>06/11/2025</v>
      </c>
      <c r="L8913">
        <v>120</v>
      </c>
      <c r="M8913">
        <v>120</v>
      </c>
      <c r="N8913">
        <v>134</v>
      </c>
      <c r="O8913" t="str">
        <f>"DIARIA DE MOTOBOY"</f>
        <v>DIARIA DE MOTOBOY</v>
      </c>
      <c r="P8913">
        <v>120</v>
      </c>
      <c r="S8913" t="str">
        <f>"CAIXA MOVIMENTAÇÃO OPERACIONAL (132)"</f>
        <v>CAIXA MOVIMENTAÇÃO OPERACIONAL (132)</v>
      </c>
      <c r="T8913">
        <v>20489</v>
      </c>
      <c r="U8913">
        <v>24780</v>
      </c>
      <c r="V8913" t="s">
        <v>48</v>
      </c>
    </row>
    <row r="8914" spans="1:22">
      <c r="A8914" t="str">
        <f t="shared" si="1680"/>
        <v>06/11/2025</v>
      </c>
      <c r="B8914" t="str">
        <f>"SAÍDA"</f>
        <v>SAÍDA</v>
      </c>
      <c r="C8914" t="str">
        <f>"PIX"</f>
        <v>PIX</v>
      </c>
      <c r="D8914" t="str">
        <f>"24780"</f>
        <v>24780</v>
      </c>
      <c r="E8914" t="str">
        <f>"1"</f>
        <v>1</v>
      </c>
      <c r="F8914" t="str">
        <f t="shared" si="1681"/>
        <v>COM</v>
      </c>
      <c r="G8914" t="str">
        <f>"LAUAN ROCHA DE MELO (914)"</f>
        <v>LAUAN ROCHA DE MELO (914)</v>
      </c>
      <c r="H8914" t="s">
        <v>2450</v>
      </c>
      <c r="I8914" t="str">
        <f t="shared" si="1697"/>
        <v>13/11/2025</v>
      </c>
      <c r="J8914" t="str">
        <f>("04/11/2025")</f>
        <v>04/11/2025</v>
      </c>
      <c r="K8914">
        <v>45967</v>
      </c>
      <c r="N8914">
        <v>134</v>
      </c>
      <c r="O8914" t="s">
        <v>41</v>
      </c>
      <c r="Q8914">
        <v>120</v>
      </c>
      <c r="R8914" t="str">
        <f>"FARMÁCIA INDIANA LJ 109 (10047)"</f>
        <v>FARMÁCIA INDIANA LJ 109 (10047)</v>
      </c>
      <c r="S8914" t="s">
        <v>48</v>
      </c>
      <c r="T8914">
        <v>20489</v>
      </c>
      <c r="U8914">
        <v>24780</v>
      </c>
      <c r="V8914" t="s">
        <v>48</v>
      </c>
    </row>
    <row r="8915" spans="1:22">
      <c r="A8915" t="str">
        <f t="shared" si="1680"/>
        <v>06/11/2025</v>
      </c>
      <c r="B8915" t="str">
        <f>"ENTRADA"</f>
        <v>ENTRADA</v>
      </c>
      <c r="C8915" t="str">
        <f>"DINHEIRO"</f>
        <v>DINHEIRO</v>
      </c>
      <c r="D8915" t="str">
        <f>"1311"</f>
        <v>1311</v>
      </c>
      <c r="E8915" t="str">
        <f>"25"</f>
        <v>25</v>
      </c>
      <c r="F8915" t="str">
        <f t="shared" si="1681"/>
        <v>COM</v>
      </c>
      <c r="G8915" t="str">
        <f>"YAN BRENDO CORREIA VIEIRA (861)"</f>
        <v>YAN BRENDO CORREIA VIEIRA (861)</v>
      </c>
      <c r="H8915" t="str">
        <f>"REEMBOLSO ADIANTAMENTO"</f>
        <v>REEMBOLSO ADIANTAMENTO</v>
      </c>
      <c r="I8915" t="str">
        <f t="shared" si="1697"/>
        <v>13/11/2025</v>
      </c>
      <c r="J8915" t="str">
        <f>("28/10/2025")</f>
        <v>28/10/2025</v>
      </c>
      <c r="K8915" t="str">
        <f>("06/11/2025")</f>
        <v>06/11/2025</v>
      </c>
      <c r="L8915">
        <v>150</v>
      </c>
      <c r="M8915">
        <v>150</v>
      </c>
      <c r="N8915">
        <v>129</v>
      </c>
      <c r="O8915" t="str">
        <f>"ENTRADA DE REEMBOLSO ADIANTAMENTO"</f>
        <v>ENTRADA DE REEMBOLSO ADIANTAMENTO</v>
      </c>
      <c r="P8915">
        <v>150</v>
      </c>
      <c r="S8915" t="str">
        <f>"ENTRADA DE REEMBOLSO ADIANTAMENTO (129)"</f>
        <v>ENTRADA DE REEMBOLSO ADIANTAMENTO (129)</v>
      </c>
      <c r="T8915">
        <v>20491</v>
      </c>
      <c r="U8915">
        <v>24511</v>
      </c>
      <c r="V8915" t="s">
        <v>48</v>
      </c>
    </row>
    <row r="8916" spans="1:22">
      <c r="A8916" t="str">
        <f t="shared" si="1680"/>
        <v>06/11/2025</v>
      </c>
      <c r="B8916" t="str">
        <f>"ENTRADA"</f>
        <v>ENTRADA</v>
      </c>
      <c r="C8916" t="str">
        <f>"DINHEIRO"</f>
        <v>DINHEIRO</v>
      </c>
      <c r="D8916" t="str">
        <f>"1311"</f>
        <v>1311</v>
      </c>
      <c r="E8916" t="str">
        <f>"25"</f>
        <v>25</v>
      </c>
      <c r="F8916" t="str">
        <f t="shared" si="1681"/>
        <v>COM</v>
      </c>
      <c r="G8916" t="str">
        <f>"YAN BRENDO CORREIA VIEIRA (861)"</f>
        <v>YAN BRENDO CORREIA VIEIRA (861)</v>
      </c>
      <c r="H8916" t="s">
        <v>57</v>
      </c>
      <c r="I8916" t="str">
        <f t="shared" si="1697"/>
        <v>13/11/2025</v>
      </c>
      <c r="J8916" t="str">
        <f>("28/10/2025")</f>
        <v>28/10/2025</v>
      </c>
      <c r="K8916">
        <v>45967</v>
      </c>
      <c r="N8916">
        <v>129</v>
      </c>
      <c r="O8916" t="s">
        <v>58</v>
      </c>
      <c r="Q8916">
        <v>150</v>
      </c>
      <c r="R8916" t="str">
        <f>"YAN BRENDO CORREIA VIEIRA (861)"</f>
        <v>YAN BRENDO CORREIA VIEIRA (861)</v>
      </c>
      <c r="S8916" t="s">
        <v>59</v>
      </c>
      <c r="T8916">
        <v>20491</v>
      </c>
      <c r="U8916">
        <v>24511</v>
      </c>
      <c r="V8916" t="s">
        <v>48</v>
      </c>
    </row>
    <row r="8917" spans="1:22">
      <c r="A8917" t="str">
        <f t="shared" si="1680"/>
        <v>06/11/2025</v>
      </c>
      <c r="B8917" t="str">
        <f>"SAÍDA"</f>
        <v>SAÍDA</v>
      </c>
      <c r="C8917" t="str">
        <f>"PIX"</f>
        <v>PIX</v>
      </c>
      <c r="D8917" t="str">
        <f>"24727"</f>
        <v>24727</v>
      </c>
      <c r="E8917" t="str">
        <f>"1"</f>
        <v>1</v>
      </c>
      <c r="F8917" t="str">
        <f t="shared" si="1681"/>
        <v>COM</v>
      </c>
      <c r="G8917" t="str">
        <f>"YAN BRENDO CORREIA VIEIRA (861)"</f>
        <v>YAN BRENDO CORREIA VIEIRA (861)</v>
      </c>
      <c r="H8917" t="str">
        <f>"Serv.Prest. 24/10/2025 a 02/11/2025 - PIX: CPF - CHAVE: 096.891.935-97"</f>
        <v>Serv.Prest. 24/10/2025 a 02/11/2025 - PIX: CPF - CHAVE: 096.891.935-97</v>
      </c>
      <c r="I8917" t="str">
        <f t="shared" si="1697"/>
        <v>13/11/2025</v>
      </c>
      <c r="J8917" t="str">
        <f>("04/11/2025")</f>
        <v>04/11/2025</v>
      </c>
      <c r="K8917" t="str">
        <f>("06/11/2025")</f>
        <v>06/11/2025</v>
      </c>
      <c r="L8917">
        <v>150</v>
      </c>
      <c r="M8917">
        <v>150</v>
      </c>
      <c r="N8917">
        <v>109</v>
      </c>
      <c r="O8917" t="str">
        <f>"PAGAMENTO DE ENTREGADORES"</f>
        <v>PAGAMENTO DE ENTREGADORES</v>
      </c>
      <c r="P8917">
        <v>150</v>
      </c>
      <c r="S8917" t="str">
        <f>"CAIXA MOVIMENTAÇÃO OPERACIONAL (132)"</f>
        <v>CAIXA MOVIMENTAÇÃO OPERACIONAL (132)</v>
      </c>
      <c r="T8917">
        <v>20492</v>
      </c>
      <c r="U8917">
        <v>24858</v>
      </c>
      <c r="V8917" t="s">
        <v>48</v>
      </c>
    </row>
    <row r="8918" spans="1:22">
      <c r="A8918" t="str">
        <f t="shared" si="1680"/>
        <v>06/11/2025</v>
      </c>
      <c r="B8918" t="str">
        <f>"SAÍDA"</f>
        <v>SAÍDA</v>
      </c>
      <c r="C8918" t="str">
        <f>"PIX"</f>
        <v>PIX</v>
      </c>
      <c r="D8918" t="str">
        <f>"24727"</f>
        <v>24727</v>
      </c>
      <c r="E8918" t="str">
        <f>"1"</f>
        <v>1</v>
      </c>
      <c r="F8918" t="str">
        <f t="shared" si="1681"/>
        <v>COM</v>
      </c>
      <c r="G8918" t="str">
        <f>"YAN BRENDO CORREIA VIEIRA (861)"</f>
        <v>YAN BRENDO CORREIA VIEIRA (861)</v>
      </c>
      <c r="H8918" t="s">
        <v>2520</v>
      </c>
      <c r="I8918" t="str">
        <f t="shared" si="1697"/>
        <v>13/11/2025</v>
      </c>
      <c r="J8918" t="str">
        <f>("04/11/2025")</f>
        <v>04/11/2025</v>
      </c>
      <c r="K8918">
        <v>45967</v>
      </c>
      <c r="N8918">
        <v>109</v>
      </c>
      <c r="O8918" t="s">
        <v>24</v>
      </c>
      <c r="Q8918">
        <v>150</v>
      </c>
      <c r="R8918" t="str">
        <f>"FARMÁCIA INDIANA LJ 200 (10155)"</f>
        <v>FARMÁCIA INDIANA LJ 200 (10155)</v>
      </c>
      <c r="S8918" t="s">
        <v>48</v>
      </c>
      <c r="T8918">
        <v>20492</v>
      </c>
      <c r="U8918">
        <v>24858</v>
      </c>
      <c r="V8918" t="s">
        <v>48</v>
      </c>
    </row>
    <row r="8919" spans="1:22">
      <c r="A8919" t="str">
        <f t="shared" si="1680"/>
        <v>06/11/2025</v>
      </c>
      <c r="B8919" t="str">
        <f>"SAÍDA"</f>
        <v>SAÍDA</v>
      </c>
      <c r="C8919" t="str">
        <f>"PIX"</f>
        <v>PIX</v>
      </c>
      <c r="D8919" t="str">
        <f>"24668"</f>
        <v>24668</v>
      </c>
      <c r="E8919" t="str">
        <f>"1"</f>
        <v>1</v>
      </c>
      <c r="F8919" t="str">
        <f t="shared" si="1681"/>
        <v>COM</v>
      </c>
      <c r="G8919" t="str">
        <f>"ELENICIO ALVES DOS SANTOS (243)"</f>
        <v>ELENICIO ALVES DOS SANTOS (243)</v>
      </c>
      <c r="H8919" t="str">
        <f>"Serv.Prest. 01/10/2025 a 31/10/2025 - PIX: NÃO CADASTRADO - CHAVE: CEF AG 2986 CONTA 2292-5 POUPANÇA"</f>
        <v>Serv.Prest. 01/10/2025 a 31/10/2025 - PIX: NÃO CADASTRADO - CHAVE: CEF AG 2986 CONTA 2292-5 POUPANÇA</v>
      </c>
      <c r="I8919" t="str">
        <f>("06/11/2025")</f>
        <v>06/11/2025</v>
      </c>
      <c r="J8919" t="str">
        <f>("03/11/2025")</f>
        <v>03/11/2025</v>
      </c>
      <c r="K8919" t="str">
        <f>("06/11/2025")</f>
        <v>06/11/2025</v>
      </c>
      <c r="L8919">
        <v>20</v>
      </c>
      <c r="M8919">
        <v>20</v>
      </c>
      <c r="N8919">
        <v>109</v>
      </c>
      <c r="O8919" t="str">
        <f>"PAGAMENTO DE ENTREGADORES"</f>
        <v>PAGAMENTO DE ENTREGADORES</v>
      </c>
      <c r="P8919">
        <v>20</v>
      </c>
      <c r="S8919" t="str">
        <f>"CAIXA MOVIMENTAÇÃO OPERACIONAL (132)"</f>
        <v>CAIXA MOVIMENTAÇÃO OPERACIONAL (132)</v>
      </c>
      <c r="T8919">
        <v>20494</v>
      </c>
      <c r="U8919">
        <v>24948</v>
      </c>
      <c r="V8919" t="s">
        <v>48</v>
      </c>
    </row>
    <row r="8920" spans="1:22">
      <c r="A8920" t="str">
        <f t="shared" si="1680"/>
        <v>06/11/2025</v>
      </c>
      <c r="B8920" t="str">
        <f>"SAÍDA"</f>
        <v>SAÍDA</v>
      </c>
      <c r="C8920" t="str">
        <f>"PIX"</f>
        <v>PIX</v>
      </c>
      <c r="D8920" t="str">
        <f>"24668"</f>
        <v>24668</v>
      </c>
      <c r="E8920" t="str">
        <f>"1"</f>
        <v>1</v>
      </c>
      <c r="F8920" t="str">
        <f t="shared" si="1681"/>
        <v>COM</v>
      </c>
      <c r="G8920" t="str">
        <f>"ELENICIO ALVES DOS SANTOS (243)"</f>
        <v>ELENICIO ALVES DOS SANTOS (243)</v>
      </c>
      <c r="H8920" t="s">
        <v>2521</v>
      </c>
      <c r="I8920" t="str">
        <f>("06/11/2025")</f>
        <v>06/11/2025</v>
      </c>
      <c r="J8920" t="str">
        <f>("03/11/2025")</f>
        <v>03/11/2025</v>
      </c>
      <c r="K8920">
        <v>45967</v>
      </c>
      <c r="N8920">
        <v>109</v>
      </c>
      <c r="O8920" t="s">
        <v>24</v>
      </c>
      <c r="Q8920">
        <v>20</v>
      </c>
      <c r="R8920" t="str">
        <f>"DROGARIA POUPA MINAS (ULTRAMINAS) 1 (10181)"</f>
        <v>DROGARIA POUPA MINAS (ULTRAMINAS) 1 (10181)</v>
      </c>
      <c r="S8920" t="s">
        <v>48</v>
      </c>
      <c r="T8920">
        <v>20494</v>
      </c>
      <c r="U8920">
        <v>24948</v>
      </c>
      <c r="V8920" t="s">
        <v>48</v>
      </c>
    </row>
    <row r="8921" spans="1:22">
      <c r="A8921" t="str">
        <f t="shared" si="1680"/>
        <v>06/11/2025</v>
      </c>
      <c r="B8921" t="str">
        <f>"ENTRADA"</f>
        <v>ENTRADA</v>
      </c>
      <c r="C8921" t="str">
        <f>"DINHEIRO"</f>
        <v>DINHEIRO</v>
      </c>
      <c r="D8921" t="str">
        <f>"243"</f>
        <v>243</v>
      </c>
      <c r="E8921" t="str">
        <f>"13"</f>
        <v>13</v>
      </c>
      <c r="F8921" t="str">
        <f t="shared" si="1681"/>
        <v>COM</v>
      </c>
      <c r="G8921" t="str">
        <f>"ELENICIO ALVES DOS SANTOS (243)"</f>
        <v>ELENICIO ALVES DOS SANTOS (243)</v>
      </c>
      <c r="H8921" t="str">
        <f>"COTA COOPERATIVA"</f>
        <v>COTA COOPERATIVA</v>
      </c>
      <c r="I8921" t="str">
        <f>("05/11/2025")</f>
        <v>05/11/2025</v>
      </c>
      <c r="J8921" t="str">
        <f>("01/04/2025")</f>
        <v>01/04/2025</v>
      </c>
      <c r="K8921" t="str">
        <f>("06/11/2025")</f>
        <v>06/11/2025</v>
      </c>
      <c r="L8921">
        <v>20</v>
      </c>
      <c r="M8921">
        <v>20</v>
      </c>
      <c r="N8921">
        <v>106</v>
      </c>
      <c r="O8921" t="str">
        <f>"ENTRADA DE CAPITAL"</f>
        <v>ENTRADA DE CAPITAL</v>
      </c>
      <c r="P8921">
        <v>20</v>
      </c>
      <c r="S8921" t="str">
        <f>"ENTRADA DE CAPITAL (106)"</f>
        <v>ENTRADA DE CAPITAL (106)</v>
      </c>
      <c r="T8921">
        <v>20495</v>
      </c>
      <c r="U8921">
        <v>11766</v>
      </c>
      <c r="V8921" t="s">
        <v>48</v>
      </c>
    </row>
    <row r="8922" spans="1:22">
      <c r="A8922" t="str">
        <f t="shared" si="1680"/>
        <v>06/11/2025</v>
      </c>
      <c r="B8922" t="str">
        <f>"ENTRADA"</f>
        <v>ENTRADA</v>
      </c>
      <c r="C8922" t="str">
        <f>"DINHEIRO"</f>
        <v>DINHEIRO</v>
      </c>
      <c r="D8922" t="str">
        <f>"243"</f>
        <v>243</v>
      </c>
      <c r="E8922" t="str">
        <f>"13"</f>
        <v>13</v>
      </c>
      <c r="F8922" t="str">
        <f t="shared" si="1681"/>
        <v>COM</v>
      </c>
      <c r="G8922" t="str">
        <f>"ELENICIO ALVES DOS SANTOS (243)"</f>
        <v>ELENICIO ALVES DOS SANTOS (243)</v>
      </c>
      <c r="H8922" t="s">
        <v>50</v>
      </c>
      <c r="I8922" t="str">
        <f>("05/11/2025")</f>
        <v>05/11/2025</v>
      </c>
      <c r="J8922" t="str">
        <f>("01/04/2025")</f>
        <v>01/04/2025</v>
      </c>
      <c r="K8922">
        <v>45967</v>
      </c>
      <c r="N8922">
        <v>106</v>
      </c>
      <c r="O8922" t="s">
        <v>51</v>
      </c>
      <c r="Q8922">
        <v>20</v>
      </c>
      <c r="R8922" t="str">
        <f>"ELENICIO ALVES DOS SANTOS (243)"</f>
        <v>ELENICIO ALVES DOS SANTOS (243)</v>
      </c>
      <c r="S8922" t="s">
        <v>52</v>
      </c>
      <c r="T8922">
        <v>20495</v>
      </c>
      <c r="U8922">
        <v>11766</v>
      </c>
      <c r="V8922" t="s">
        <v>48</v>
      </c>
    </row>
    <row r="8923" spans="1:22">
      <c r="A8923" t="str">
        <f t="shared" si="1680"/>
        <v>06/11/2025</v>
      </c>
      <c r="B8923" t="str">
        <f>"ENTRADA"</f>
        <v>ENTRADA</v>
      </c>
      <c r="C8923" t="str">
        <f>"DINHEIRO"</f>
        <v>DINHEIRO</v>
      </c>
      <c r="D8923" t="str">
        <f>"2509"</f>
        <v>2509</v>
      </c>
      <c r="E8923" t="str">
        <f>"25"</f>
        <v>25</v>
      </c>
      <c r="F8923" t="str">
        <f t="shared" si="1681"/>
        <v>COM</v>
      </c>
      <c r="G8923" t="str">
        <f>"WEIGNE SENA CARDOSO (53)"</f>
        <v>WEIGNE SENA CARDOSO (53)</v>
      </c>
      <c r="H8923" t="str">
        <f>"REEMBOLSO ADIANTAMENTO"</f>
        <v>REEMBOLSO ADIANTAMENTO</v>
      </c>
      <c r="I8923" t="str">
        <f>("06/11/2025")</f>
        <v>06/11/2025</v>
      </c>
      <c r="J8923" t="str">
        <f>("06/10/2025")</f>
        <v>06/10/2025</v>
      </c>
      <c r="K8923" t="str">
        <f>("06/11/2025")</f>
        <v>06/11/2025</v>
      </c>
      <c r="L8923">
        <v>100</v>
      </c>
      <c r="M8923">
        <v>100</v>
      </c>
      <c r="N8923">
        <v>129</v>
      </c>
      <c r="O8923" t="str">
        <f>"ENTRADA DE REEMBOLSO ADIANTAMENTO"</f>
        <v>ENTRADA DE REEMBOLSO ADIANTAMENTO</v>
      </c>
      <c r="P8923">
        <v>100</v>
      </c>
      <c r="S8923" t="str">
        <f>"ENTRADA DE REEMBOLSO ADIANTAMENTO (129)"</f>
        <v>ENTRADA DE REEMBOLSO ADIANTAMENTO (129)</v>
      </c>
      <c r="T8923">
        <v>20496</v>
      </c>
      <c r="U8923">
        <v>8707</v>
      </c>
      <c r="V8923" t="s">
        <v>48</v>
      </c>
    </row>
    <row r="8924" spans="1:22">
      <c r="A8924" t="str">
        <f t="shared" si="1680"/>
        <v>06/11/2025</v>
      </c>
      <c r="B8924" t="str">
        <f>"ENTRADA"</f>
        <v>ENTRADA</v>
      </c>
      <c r="C8924" t="str">
        <f>"DINHEIRO"</f>
        <v>DINHEIRO</v>
      </c>
      <c r="D8924" t="str">
        <f>"2509"</f>
        <v>2509</v>
      </c>
      <c r="E8924" t="str">
        <f>"25"</f>
        <v>25</v>
      </c>
      <c r="F8924" t="str">
        <f t="shared" si="1681"/>
        <v>COM</v>
      </c>
      <c r="G8924" t="str">
        <f>"WEIGNE SENA CARDOSO (53)"</f>
        <v>WEIGNE SENA CARDOSO (53)</v>
      </c>
      <c r="H8924" t="s">
        <v>57</v>
      </c>
      <c r="I8924" t="str">
        <f>("06/11/2025")</f>
        <v>06/11/2025</v>
      </c>
      <c r="J8924" t="str">
        <f>("06/10/2025")</f>
        <v>06/10/2025</v>
      </c>
      <c r="K8924">
        <v>45967</v>
      </c>
      <c r="N8924">
        <v>129</v>
      </c>
      <c r="O8924" t="s">
        <v>58</v>
      </c>
      <c r="Q8924">
        <v>100</v>
      </c>
      <c r="R8924" t="str">
        <f>"WEIGNE SENA CARDOSO (53)"</f>
        <v>WEIGNE SENA CARDOSO (53)</v>
      </c>
      <c r="S8924" t="s">
        <v>59</v>
      </c>
      <c r="T8924">
        <v>20496</v>
      </c>
      <c r="U8924">
        <v>8707</v>
      </c>
      <c r="V8924" t="s">
        <v>48</v>
      </c>
    </row>
    <row r="8925" spans="1:22">
      <c r="A8925" t="str">
        <f t="shared" si="1680"/>
        <v>06/11/2025</v>
      </c>
      <c r="B8925" t="str">
        <f>"SAÍDA"</f>
        <v>SAÍDA</v>
      </c>
      <c r="C8925" t="str">
        <f>"PIX"</f>
        <v>PIX</v>
      </c>
      <c r="D8925" t="str">
        <f>"24825"</f>
        <v>24825</v>
      </c>
      <c r="E8925" t="str">
        <f>"1"</f>
        <v>1</v>
      </c>
      <c r="F8925" t="str">
        <f t="shared" si="1681"/>
        <v>COM</v>
      </c>
      <c r="G8925" t="str">
        <f>"WEIGNE SENA CARDOSO (53)"</f>
        <v>WEIGNE SENA CARDOSO (53)</v>
      </c>
      <c r="H8925" t="str">
        <f>"Serv.Prest. 24/10/2025 a 02/11/2025 - PIX: CPF - CHAVE: 097.245.586-81"</f>
        <v>Serv.Prest. 24/10/2025 a 02/11/2025 - PIX: CPF - CHAVE: 097.245.586-81</v>
      </c>
      <c r="I8925" t="str">
        <f>("06/11/2025")</f>
        <v>06/11/2025</v>
      </c>
      <c r="J8925" t="str">
        <f>("04/11/2025")</f>
        <v>04/11/2025</v>
      </c>
      <c r="K8925" t="str">
        <f>("06/11/2025")</f>
        <v>06/11/2025</v>
      </c>
      <c r="L8925">
        <v>100</v>
      </c>
      <c r="M8925">
        <v>100</v>
      </c>
      <c r="N8925">
        <v>109</v>
      </c>
      <c r="O8925" t="str">
        <f>"PAGAMENTO DE ENTREGADORES"</f>
        <v>PAGAMENTO DE ENTREGADORES</v>
      </c>
      <c r="P8925">
        <v>100</v>
      </c>
      <c r="S8925" t="str">
        <f>"CAIXA MOVIMENTAÇÃO OPERACIONAL (132)"</f>
        <v>CAIXA MOVIMENTAÇÃO OPERACIONAL (132)</v>
      </c>
      <c r="T8925">
        <v>20497</v>
      </c>
      <c r="U8925">
        <v>24949</v>
      </c>
      <c r="V8925" t="s">
        <v>48</v>
      </c>
    </row>
    <row r="8926" spans="1:22">
      <c r="A8926" t="str">
        <f t="shared" ref="A8926:A8989" si="1702">("06/11/2025")</f>
        <v>06/11/2025</v>
      </c>
      <c r="B8926" t="str">
        <f>"SAÍDA"</f>
        <v>SAÍDA</v>
      </c>
      <c r="C8926" t="str">
        <f>"PIX"</f>
        <v>PIX</v>
      </c>
      <c r="D8926" t="str">
        <f>"24825"</f>
        <v>24825</v>
      </c>
      <c r="E8926" t="str">
        <f>"1"</f>
        <v>1</v>
      </c>
      <c r="F8926" t="str">
        <f t="shared" ref="F8926:F8989" si="1703">"COM"</f>
        <v>COM</v>
      </c>
      <c r="G8926" t="str">
        <f>"WEIGNE SENA CARDOSO (53)"</f>
        <v>WEIGNE SENA CARDOSO (53)</v>
      </c>
      <c r="H8926" t="s">
        <v>2522</v>
      </c>
      <c r="I8926" t="str">
        <f>("06/11/2025")</f>
        <v>06/11/2025</v>
      </c>
      <c r="J8926" t="str">
        <f>("04/11/2025")</f>
        <v>04/11/2025</v>
      </c>
      <c r="K8926">
        <v>45967</v>
      </c>
      <c r="N8926">
        <v>109</v>
      </c>
      <c r="O8926" t="s">
        <v>24</v>
      </c>
      <c r="Q8926">
        <v>100</v>
      </c>
      <c r="R8926" t="str">
        <f>"FARMÁCIA INDIANA LJ 07 (10007)"</f>
        <v>FARMÁCIA INDIANA LJ 07 (10007)</v>
      </c>
      <c r="S8926" t="s">
        <v>48</v>
      </c>
      <c r="T8926">
        <v>20497</v>
      </c>
      <c r="U8926">
        <v>24949</v>
      </c>
      <c r="V8926" t="s">
        <v>48</v>
      </c>
    </row>
    <row r="8927" spans="1:22">
      <c r="A8927" t="str">
        <f t="shared" si="1702"/>
        <v>06/11/2025</v>
      </c>
      <c r="B8927" t="str">
        <f>"ENTRADA"</f>
        <v>ENTRADA</v>
      </c>
      <c r="C8927" t="str">
        <f>"DINHEIRO"</f>
        <v>DINHEIRO</v>
      </c>
      <c r="D8927" t="str">
        <f>"577"</f>
        <v>577</v>
      </c>
      <c r="E8927" t="str">
        <f>"10"</f>
        <v>10</v>
      </c>
      <c r="F8927" t="str">
        <f t="shared" si="1703"/>
        <v>COM</v>
      </c>
      <c r="G8927" t="str">
        <f>"LUAN VICTOR SERQUEIRA DA SILVA (577)"</f>
        <v>LUAN VICTOR SERQUEIRA DA SILVA (577)</v>
      </c>
      <c r="H8927" t="str">
        <f>"COTAS COOPERATIVA"</f>
        <v>COTAS COOPERATIVA</v>
      </c>
      <c r="I8927" t="str">
        <f>("13/11/2025")</f>
        <v>13/11/2025</v>
      </c>
      <c r="J8927" t="str">
        <f>("13/02/2025")</f>
        <v>13/02/2025</v>
      </c>
      <c r="K8927" t="str">
        <f>("06/11/2025")</f>
        <v>06/11/2025</v>
      </c>
      <c r="L8927">
        <v>20</v>
      </c>
      <c r="M8927">
        <v>20</v>
      </c>
      <c r="N8927">
        <v>106</v>
      </c>
      <c r="O8927" t="str">
        <f>"ENTRADA DE CAPITAL"</f>
        <v>ENTRADA DE CAPITAL</v>
      </c>
      <c r="P8927">
        <v>20</v>
      </c>
      <c r="S8927" t="str">
        <f>"ENTRADA DE CAPITAL (106)"</f>
        <v>ENTRADA DE CAPITAL (106)</v>
      </c>
      <c r="T8927">
        <v>20523</v>
      </c>
      <c r="U8927">
        <v>9465</v>
      </c>
      <c r="V8927" t="s">
        <v>48</v>
      </c>
    </row>
    <row r="8928" spans="1:22">
      <c r="A8928" t="str">
        <f t="shared" si="1702"/>
        <v>06/11/2025</v>
      </c>
      <c r="B8928" t="str">
        <f>"ENTRADA"</f>
        <v>ENTRADA</v>
      </c>
      <c r="C8928" t="str">
        <f>"DINHEIRO"</f>
        <v>DINHEIRO</v>
      </c>
      <c r="D8928" t="str">
        <f>"577"</f>
        <v>577</v>
      </c>
      <c r="E8928" t="str">
        <f>"10"</f>
        <v>10</v>
      </c>
      <c r="F8928" t="str">
        <f t="shared" si="1703"/>
        <v>COM</v>
      </c>
      <c r="G8928" t="str">
        <f>"LUAN VICTOR SERQUEIRA DA SILVA (577)"</f>
        <v>LUAN VICTOR SERQUEIRA DA SILVA (577)</v>
      </c>
      <c r="H8928" t="s">
        <v>318</v>
      </c>
      <c r="I8928" t="str">
        <f>("13/11/2025")</f>
        <v>13/11/2025</v>
      </c>
      <c r="J8928" t="str">
        <f>("13/02/2025")</f>
        <v>13/02/2025</v>
      </c>
      <c r="K8928">
        <v>45967</v>
      </c>
      <c r="N8928">
        <v>106</v>
      </c>
      <c r="O8928" t="s">
        <v>51</v>
      </c>
      <c r="Q8928">
        <v>20</v>
      </c>
      <c r="R8928" t="str">
        <f>"LUAN VICTOR SERQUEIRA DA SILVA (577)"</f>
        <v>LUAN VICTOR SERQUEIRA DA SILVA (577)</v>
      </c>
      <c r="S8928" t="s">
        <v>52</v>
      </c>
      <c r="T8928">
        <v>20523</v>
      </c>
      <c r="U8928">
        <v>9465</v>
      </c>
      <c r="V8928" t="s">
        <v>48</v>
      </c>
    </row>
    <row r="8929" spans="1:22">
      <c r="A8929" t="str">
        <f t="shared" si="1702"/>
        <v>06/11/2025</v>
      </c>
      <c r="B8929" t="str">
        <f t="shared" ref="B8929:B8992" si="1704">"SAÍDA"</f>
        <v>SAÍDA</v>
      </c>
      <c r="C8929" t="str">
        <f t="shared" ref="C8929:C8992" si="1705">"PIX"</f>
        <v>PIX</v>
      </c>
      <c r="D8929" t="str">
        <f>"24784"</f>
        <v>24784</v>
      </c>
      <c r="E8929" t="str">
        <f t="shared" ref="E8929:E8992" si="1706">"1"</f>
        <v>1</v>
      </c>
      <c r="F8929" t="str">
        <f t="shared" si="1703"/>
        <v>COM</v>
      </c>
      <c r="G8929" t="str">
        <f>"LUAN VICTOR SERQUEIRA DA SILVA (577)"</f>
        <v>LUAN VICTOR SERQUEIRA DA SILVA (577)</v>
      </c>
      <c r="H8929" t="str">
        <f>"Serv.Prest. 24/10/2025 a 02/11/2025 - PIX: CPF - CHAVE: 161.508.516-56"</f>
        <v>Serv.Prest. 24/10/2025 a 02/11/2025 - PIX: CPF - CHAVE: 161.508.516-56</v>
      </c>
      <c r="I8929" t="str">
        <f>("13/11/2025")</f>
        <v>13/11/2025</v>
      </c>
      <c r="J8929" t="str">
        <f>("04/11/2025")</f>
        <v>04/11/2025</v>
      </c>
      <c r="K8929" t="str">
        <f>("06/11/2025")</f>
        <v>06/11/2025</v>
      </c>
      <c r="L8929">
        <v>18.5</v>
      </c>
      <c r="M8929">
        <v>20</v>
      </c>
      <c r="N8929">
        <v>109</v>
      </c>
      <c r="O8929" t="str">
        <f>"PAGAMENTO DE ENTREGADORES"</f>
        <v>PAGAMENTO DE ENTREGADORES</v>
      </c>
      <c r="P8929">
        <v>20</v>
      </c>
      <c r="S8929" t="str">
        <f>"CAIXA MOVIMENTAÇÃO OPERACIONAL (132)"</f>
        <v>CAIXA MOVIMENTAÇÃO OPERACIONAL (132)</v>
      </c>
      <c r="T8929">
        <v>20524</v>
      </c>
      <c r="U8929">
        <v>24953</v>
      </c>
      <c r="V8929" t="s">
        <v>48</v>
      </c>
    </row>
    <row r="8930" spans="1:22">
      <c r="A8930" t="str">
        <f t="shared" si="1702"/>
        <v>06/11/2025</v>
      </c>
      <c r="B8930" t="str">
        <f t="shared" si="1704"/>
        <v>SAÍDA</v>
      </c>
      <c r="C8930" t="str">
        <f t="shared" si="1705"/>
        <v>PIX</v>
      </c>
      <c r="D8930" t="str">
        <f>"24784"</f>
        <v>24784</v>
      </c>
      <c r="E8930" t="str">
        <f t="shared" si="1706"/>
        <v>1</v>
      </c>
      <c r="F8930" t="str">
        <f t="shared" si="1703"/>
        <v>COM</v>
      </c>
      <c r="G8930" t="str">
        <f>"LUAN VICTOR SERQUEIRA DA SILVA (577)"</f>
        <v>LUAN VICTOR SERQUEIRA DA SILVA (577)</v>
      </c>
      <c r="H8930" t="s">
        <v>2523</v>
      </c>
      <c r="I8930" t="str">
        <f>("13/11/2025")</f>
        <v>13/11/2025</v>
      </c>
      <c r="J8930" t="str">
        <f>("04/11/2025")</f>
        <v>04/11/2025</v>
      </c>
      <c r="K8930">
        <v>45967</v>
      </c>
      <c r="N8930">
        <v>109</v>
      </c>
      <c r="O8930" t="s">
        <v>24</v>
      </c>
      <c r="Q8930">
        <v>20</v>
      </c>
      <c r="R8930" t="str">
        <f>"FARMÁCIA INDIANA LJ 202 (10085)"</f>
        <v>FARMÁCIA INDIANA LJ 202 (10085)</v>
      </c>
      <c r="S8930" t="s">
        <v>48</v>
      </c>
      <c r="T8930">
        <v>20524</v>
      </c>
      <c r="U8930">
        <v>24953</v>
      </c>
      <c r="V8930" t="s">
        <v>48</v>
      </c>
    </row>
    <row r="8931" spans="1:22">
      <c r="A8931" t="str">
        <f t="shared" si="1702"/>
        <v>06/11/2025</v>
      </c>
      <c r="B8931" t="str">
        <f t="shared" si="1704"/>
        <v>SAÍDA</v>
      </c>
      <c r="C8931" t="str">
        <f t="shared" si="1705"/>
        <v>PIX</v>
      </c>
      <c r="D8931" t="str">
        <f t="shared" ref="D8931:D8936" si="1707">"24905"</f>
        <v>24905</v>
      </c>
      <c r="E8931" t="str">
        <f t="shared" si="1706"/>
        <v>1</v>
      </c>
      <c r="F8931" t="str">
        <f t="shared" si="1703"/>
        <v>COM</v>
      </c>
      <c r="G8931" t="str">
        <f t="shared" ref="G8931:G8936" si="1708">"MATHEUS BLANCATO RESENDE (1030)"</f>
        <v>MATHEUS BLANCATO RESENDE (1030)</v>
      </c>
      <c r="H8931" t="str">
        <f>"Serv.Prest. 27/10/2025 a 02/11/2025 - PIX: CELULAR - CHAVE: (34) 97400-1695"</f>
        <v>Serv.Prest. 27/10/2025 a 02/11/2025 - PIX: CELULAR - CHAVE: (34) 97400-1695</v>
      </c>
      <c r="I8931" t="str">
        <f t="shared" ref="I8931:I8994" si="1709">("06/11/2025")</f>
        <v>06/11/2025</v>
      </c>
      <c r="J8931" t="str">
        <f t="shared" ref="J8931:J8936" si="1710">("05/11/2025")</f>
        <v>05/11/2025</v>
      </c>
      <c r="K8931" t="str">
        <f>("06/11/2025")</f>
        <v>06/11/2025</v>
      </c>
      <c r="L8931">
        <v>627</v>
      </c>
      <c r="M8931">
        <v>627</v>
      </c>
      <c r="N8931">
        <v>109</v>
      </c>
      <c r="O8931" t="str">
        <f>"PAGAMENTO DE ENTREGADORES"</f>
        <v>PAGAMENTO DE ENTREGADORES</v>
      </c>
      <c r="P8931">
        <v>627</v>
      </c>
      <c r="S8931" t="str">
        <f>"BANCO CORA (102)"</f>
        <v>BANCO CORA (102)</v>
      </c>
      <c r="T8931">
        <v>20550</v>
      </c>
      <c r="U8931">
        <v>24905</v>
      </c>
      <c r="V8931" t="s">
        <v>22</v>
      </c>
    </row>
    <row r="8932" spans="1:22">
      <c r="A8932" t="str">
        <f t="shared" si="1702"/>
        <v>06/11/2025</v>
      </c>
      <c r="B8932" t="str">
        <f t="shared" si="1704"/>
        <v>SAÍDA</v>
      </c>
      <c r="C8932" t="str">
        <f t="shared" si="1705"/>
        <v>PIX</v>
      </c>
      <c r="D8932" t="str">
        <f t="shared" si="1707"/>
        <v>24905</v>
      </c>
      <c r="E8932" t="str">
        <f t="shared" si="1706"/>
        <v>1</v>
      </c>
      <c r="F8932" t="str">
        <f t="shared" si="1703"/>
        <v>COM</v>
      </c>
      <c r="G8932" t="str">
        <f t="shared" si="1708"/>
        <v>MATHEUS BLANCATO RESENDE (1030)</v>
      </c>
      <c r="H8932" t="s">
        <v>2524</v>
      </c>
      <c r="I8932" t="str">
        <f t="shared" si="1709"/>
        <v>06/11/2025</v>
      </c>
      <c r="J8932" t="str">
        <f t="shared" si="1710"/>
        <v>05/11/2025</v>
      </c>
      <c r="K8932">
        <v>45967</v>
      </c>
      <c r="N8932">
        <v>109</v>
      </c>
      <c r="O8932" t="s">
        <v>24</v>
      </c>
      <c r="Q8932">
        <v>14.24</v>
      </c>
      <c r="R8932" t="str">
        <f>"DROGALIDER 58 (10213)"</f>
        <v>DROGALIDER 58 (10213)</v>
      </c>
      <c r="S8932" t="s">
        <v>22</v>
      </c>
      <c r="T8932">
        <v>20550</v>
      </c>
      <c r="U8932">
        <v>24905</v>
      </c>
      <c r="V8932" t="s">
        <v>22</v>
      </c>
    </row>
    <row r="8933" spans="1:22">
      <c r="A8933" t="str">
        <f t="shared" si="1702"/>
        <v>06/11/2025</v>
      </c>
      <c r="B8933" t="str">
        <f t="shared" si="1704"/>
        <v>SAÍDA</v>
      </c>
      <c r="C8933" t="str">
        <f t="shared" si="1705"/>
        <v>PIX</v>
      </c>
      <c r="D8933" t="str">
        <f t="shared" si="1707"/>
        <v>24905</v>
      </c>
      <c r="E8933" t="str">
        <f t="shared" si="1706"/>
        <v>1</v>
      </c>
      <c r="F8933" t="str">
        <f t="shared" si="1703"/>
        <v>COM</v>
      </c>
      <c r="G8933" t="str">
        <f t="shared" si="1708"/>
        <v>MATHEUS BLANCATO RESENDE (1030)</v>
      </c>
      <c r="H8933" t="s">
        <v>2524</v>
      </c>
      <c r="I8933" t="str">
        <f t="shared" si="1709"/>
        <v>06/11/2025</v>
      </c>
      <c r="J8933" t="str">
        <f t="shared" si="1710"/>
        <v>05/11/2025</v>
      </c>
      <c r="K8933">
        <v>45967</v>
      </c>
      <c r="N8933">
        <v>109</v>
      </c>
      <c r="O8933" t="s">
        <v>24</v>
      </c>
      <c r="Q8933">
        <v>470.25</v>
      </c>
      <c r="R8933" t="str">
        <f>"DROGALIDER 25 (10246)"</f>
        <v>DROGALIDER 25 (10246)</v>
      </c>
      <c r="S8933" t="s">
        <v>22</v>
      </c>
      <c r="T8933">
        <v>20550</v>
      </c>
      <c r="U8933">
        <v>24905</v>
      </c>
      <c r="V8933" t="s">
        <v>22</v>
      </c>
    </row>
    <row r="8934" spans="1:22">
      <c r="A8934" t="str">
        <f t="shared" si="1702"/>
        <v>06/11/2025</v>
      </c>
      <c r="B8934" t="str">
        <f t="shared" si="1704"/>
        <v>SAÍDA</v>
      </c>
      <c r="C8934" t="str">
        <f t="shared" si="1705"/>
        <v>PIX</v>
      </c>
      <c r="D8934" t="str">
        <f t="shared" si="1707"/>
        <v>24905</v>
      </c>
      <c r="E8934" t="str">
        <f t="shared" si="1706"/>
        <v>1</v>
      </c>
      <c r="F8934" t="str">
        <f t="shared" si="1703"/>
        <v>COM</v>
      </c>
      <c r="G8934" t="str">
        <f t="shared" si="1708"/>
        <v>MATHEUS BLANCATO RESENDE (1030)</v>
      </c>
      <c r="H8934" t="s">
        <v>2524</v>
      </c>
      <c r="I8934" t="str">
        <f t="shared" si="1709"/>
        <v>06/11/2025</v>
      </c>
      <c r="J8934" t="str">
        <f t="shared" si="1710"/>
        <v>05/11/2025</v>
      </c>
      <c r="K8934">
        <v>45967</v>
      </c>
      <c r="N8934">
        <v>109</v>
      </c>
      <c r="O8934" t="s">
        <v>24</v>
      </c>
      <c r="Q8934">
        <v>14.23</v>
      </c>
      <c r="R8934" t="str">
        <f>"DROGALIDER 46 (10248)"</f>
        <v>DROGALIDER 46 (10248)</v>
      </c>
      <c r="S8934" t="s">
        <v>22</v>
      </c>
      <c r="T8934">
        <v>20550</v>
      </c>
      <c r="U8934">
        <v>24905</v>
      </c>
      <c r="V8934" t="s">
        <v>22</v>
      </c>
    </row>
    <row r="8935" spans="1:22">
      <c r="A8935" t="str">
        <f t="shared" si="1702"/>
        <v>06/11/2025</v>
      </c>
      <c r="B8935" t="str">
        <f t="shared" si="1704"/>
        <v>SAÍDA</v>
      </c>
      <c r="C8935" t="str">
        <f t="shared" si="1705"/>
        <v>PIX</v>
      </c>
      <c r="D8935" t="str">
        <f t="shared" si="1707"/>
        <v>24905</v>
      </c>
      <c r="E8935" t="str">
        <f t="shared" si="1706"/>
        <v>1</v>
      </c>
      <c r="F8935" t="str">
        <f t="shared" si="1703"/>
        <v>COM</v>
      </c>
      <c r="G8935" t="str">
        <f t="shared" si="1708"/>
        <v>MATHEUS BLANCATO RESENDE (1030)</v>
      </c>
      <c r="H8935" t="s">
        <v>2524</v>
      </c>
      <c r="I8935" t="str">
        <f t="shared" si="1709"/>
        <v>06/11/2025</v>
      </c>
      <c r="J8935" t="str">
        <f t="shared" si="1710"/>
        <v>05/11/2025</v>
      </c>
      <c r="K8935">
        <v>45967</v>
      </c>
      <c r="N8935">
        <v>109</v>
      </c>
      <c r="O8935" t="s">
        <v>24</v>
      </c>
      <c r="Q8935">
        <v>42.76</v>
      </c>
      <c r="R8935" t="str">
        <f>"DROGALIDER 64 (10250)"</f>
        <v>DROGALIDER 64 (10250)</v>
      </c>
      <c r="S8935" t="s">
        <v>22</v>
      </c>
      <c r="T8935">
        <v>20550</v>
      </c>
      <c r="U8935">
        <v>24905</v>
      </c>
      <c r="V8935" t="s">
        <v>22</v>
      </c>
    </row>
    <row r="8936" spans="1:22">
      <c r="A8936" t="str">
        <f t="shared" si="1702"/>
        <v>06/11/2025</v>
      </c>
      <c r="B8936" t="str">
        <f t="shared" si="1704"/>
        <v>SAÍDA</v>
      </c>
      <c r="C8936" t="str">
        <f t="shared" si="1705"/>
        <v>PIX</v>
      </c>
      <c r="D8936" t="str">
        <f t="shared" si="1707"/>
        <v>24905</v>
      </c>
      <c r="E8936" t="str">
        <f t="shared" si="1706"/>
        <v>1</v>
      </c>
      <c r="F8936" t="str">
        <f t="shared" si="1703"/>
        <v>COM</v>
      </c>
      <c r="G8936" t="str">
        <f t="shared" si="1708"/>
        <v>MATHEUS BLANCATO RESENDE (1030)</v>
      </c>
      <c r="H8936" t="s">
        <v>2524</v>
      </c>
      <c r="I8936" t="str">
        <f t="shared" si="1709"/>
        <v>06/11/2025</v>
      </c>
      <c r="J8936" t="str">
        <f t="shared" si="1710"/>
        <v>05/11/2025</v>
      </c>
      <c r="K8936">
        <v>45967</v>
      </c>
      <c r="N8936">
        <v>109</v>
      </c>
      <c r="O8936" t="s">
        <v>24</v>
      </c>
      <c r="Q8936">
        <v>85.52</v>
      </c>
      <c r="R8936" t="str">
        <f>"DROGALIDER 66 (10251)"</f>
        <v>DROGALIDER 66 (10251)</v>
      </c>
      <c r="S8936" t="s">
        <v>22</v>
      </c>
      <c r="T8936">
        <v>20550</v>
      </c>
      <c r="U8936">
        <v>24905</v>
      </c>
      <c r="V8936" t="s">
        <v>22</v>
      </c>
    </row>
    <row r="8937" spans="1:22">
      <c r="A8937" t="str">
        <f t="shared" si="1702"/>
        <v>06/11/2025</v>
      </c>
      <c r="B8937" t="str">
        <f t="shared" si="1704"/>
        <v>SAÍDA</v>
      </c>
      <c r="C8937" t="str">
        <f t="shared" si="1705"/>
        <v>PIX</v>
      </c>
      <c r="D8937" t="str">
        <f>"24668"</f>
        <v>24668</v>
      </c>
      <c r="E8937" t="str">
        <f t="shared" si="1706"/>
        <v>1</v>
      </c>
      <c r="F8937" t="str">
        <f t="shared" si="1703"/>
        <v>COM</v>
      </c>
      <c r="G8937" t="str">
        <f>"ELENICIO ALVES DOS SANTOS (243)"</f>
        <v>ELENICIO ALVES DOS SANTOS (243)</v>
      </c>
      <c r="H8937" t="str">
        <f>"Serv.Prest. 01/10/2025 a 31/10/2025 - PIX: NÃO CADASTRADO - CHAVE: CEF AG 2986 CONTA 2292-5 POUPANÇA"</f>
        <v>Serv.Prest. 01/10/2025 a 31/10/2025 - PIX: NÃO CADASTRADO - CHAVE: CEF AG 2986 CONTA 2292-5 POUPANÇA</v>
      </c>
      <c r="I8937" t="str">
        <f t="shared" si="1709"/>
        <v>06/11/2025</v>
      </c>
      <c r="J8937" t="str">
        <f>("03/11/2025")</f>
        <v>03/11/2025</v>
      </c>
      <c r="K8937" t="str">
        <f>("06/11/2025")</f>
        <v>06/11/2025</v>
      </c>
      <c r="L8937">
        <v>5825</v>
      </c>
      <c r="M8937">
        <v>5825</v>
      </c>
      <c r="N8937">
        <v>109</v>
      </c>
      <c r="O8937" t="str">
        <f>"PAGAMENTO DE ENTREGADORES"</f>
        <v>PAGAMENTO DE ENTREGADORES</v>
      </c>
      <c r="P8937">
        <v>5825</v>
      </c>
      <c r="S8937" t="str">
        <f>"BANCO CORA (102)"</f>
        <v>BANCO CORA (102)</v>
      </c>
      <c r="T8937">
        <v>20551</v>
      </c>
      <c r="U8937">
        <v>24668</v>
      </c>
      <c r="V8937" t="s">
        <v>22</v>
      </c>
    </row>
    <row r="8938" spans="1:22">
      <c r="A8938" t="str">
        <f t="shared" si="1702"/>
        <v>06/11/2025</v>
      </c>
      <c r="B8938" t="str">
        <f t="shared" si="1704"/>
        <v>SAÍDA</v>
      </c>
      <c r="C8938" t="str">
        <f t="shared" si="1705"/>
        <v>PIX</v>
      </c>
      <c r="D8938" t="str">
        <f>"24668"</f>
        <v>24668</v>
      </c>
      <c r="E8938" t="str">
        <f t="shared" si="1706"/>
        <v>1</v>
      </c>
      <c r="F8938" t="str">
        <f t="shared" si="1703"/>
        <v>COM</v>
      </c>
      <c r="G8938" t="str">
        <f>"ELENICIO ALVES DOS SANTOS (243)"</f>
        <v>ELENICIO ALVES DOS SANTOS (243)</v>
      </c>
      <c r="H8938" t="s">
        <v>2521</v>
      </c>
      <c r="I8938" t="str">
        <f t="shared" si="1709"/>
        <v>06/11/2025</v>
      </c>
      <c r="J8938" t="str">
        <f>("03/11/2025")</f>
        <v>03/11/2025</v>
      </c>
      <c r="K8938">
        <v>45967</v>
      </c>
      <c r="N8938">
        <v>109</v>
      </c>
      <c r="O8938" t="s">
        <v>24</v>
      </c>
      <c r="Q8938">
        <v>5825</v>
      </c>
      <c r="R8938" t="str">
        <f>"DROGARIA POUPA MINAS (ULTRAMINAS) 1 (10181)"</f>
        <v>DROGARIA POUPA MINAS (ULTRAMINAS) 1 (10181)</v>
      </c>
      <c r="S8938" t="s">
        <v>22</v>
      </c>
      <c r="T8938">
        <v>20551</v>
      </c>
      <c r="U8938">
        <v>24668</v>
      </c>
      <c r="V8938" t="s">
        <v>22</v>
      </c>
    </row>
    <row r="8939" spans="1:22">
      <c r="A8939" t="str">
        <f t="shared" si="1702"/>
        <v>06/11/2025</v>
      </c>
      <c r="B8939" t="str">
        <f t="shared" si="1704"/>
        <v>SAÍDA</v>
      </c>
      <c r="C8939" t="str">
        <f t="shared" si="1705"/>
        <v>PIX</v>
      </c>
      <c r="D8939" t="str">
        <f>"24763"</f>
        <v>24763</v>
      </c>
      <c r="E8939" t="str">
        <f t="shared" si="1706"/>
        <v>1</v>
      </c>
      <c r="F8939" t="str">
        <f t="shared" si="1703"/>
        <v>COM</v>
      </c>
      <c r="G8939" t="str">
        <f>"IVAN SOUZA SANTOS (101)"</f>
        <v>IVAN SOUZA SANTOS (101)</v>
      </c>
      <c r="H8939" t="str">
        <f>"Serv.Prest. 24/10/2025 a 02/11/2025 - PIX: CPF - CHAVE: 067.393.286-92"</f>
        <v>Serv.Prest. 24/10/2025 a 02/11/2025 - PIX: CPF - CHAVE: 067.393.286-92</v>
      </c>
      <c r="I8939" t="str">
        <f t="shared" si="1709"/>
        <v>06/11/2025</v>
      </c>
      <c r="J8939" t="str">
        <f>("04/11/2025")</f>
        <v>04/11/2025</v>
      </c>
      <c r="K8939" t="str">
        <f>("06/11/2025")</f>
        <v>06/11/2025</v>
      </c>
      <c r="L8939">
        <v>333.2</v>
      </c>
      <c r="M8939">
        <v>333.2</v>
      </c>
      <c r="N8939">
        <v>109</v>
      </c>
      <c r="O8939" t="str">
        <f>"PAGAMENTO DE ENTREGADORES"</f>
        <v>PAGAMENTO DE ENTREGADORES</v>
      </c>
      <c r="P8939">
        <v>333.2</v>
      </c>
      <c r="S8939" t="str">
        <f>"BANCO C6 (149)"</f>
        <v>BANCO C6 (149)</v>
      </c>
      <c r="T8939">
        <v>20552</v>
      </c>
      <c r="U8939">
        <v>24952</v>
      </c>
      <c r="V8939" t="s">
        <v>77</v>
      </c>
    </row>
    <row r="8940" spans="1:22">
      <c r="A8940" t="str">
        <f t="shared" si="1702"/>
        <v>06/11/2025</v>
      </c>
      <c r="B8940" t="str">
        <f t="shared" si="1704"/>
        <v>SAÍDA</v>
      </c>
      <c r="C8940" t="str">
        <f t="shared" si="1705"/>
        <v>PIX</v>
      </c>
      <c r="D8940" t="str">
        <f>"24763"</f>
        <v>24763</v>
      </c>
      <c r="E8940" t="str">
        <f t="shared" si="1706"/>
        <v>1</v>
      </c>
      <c r="F8940" t="str">
        <f t="shared" si="1703"/>
        <v>COM</v>
      </c>
      <c r="G8940" t="str">
        <f>"IVAN SOUZA SANTOS (101)"</f>
        <v>IVAN SOUZA SANTOS (101)</v>
      </c>
      <c r="H8940" t="s">
        <v>2525</v>
      </c>
      <c r="I8940" t="str">
        <f t="shared" si="1709"/>
        <v>06/11/2025</v>
      </c>
      <c r="J8940" t="str">
        <f>("04/11/2025")</f>
        <v>04/11/2025</v>
      </c>
      <c r="K8940">
        <v>45967</v>
      </c>
      <c r="N8940">
        <v>109</v>
      </c>
      <c r="O8940" t="s">
        <v>24</v>
      </c>
      <c r="Q8940">
        <v>333.2</v>
      </c>
      <c r="R8940" t="str">
        <f>"FARMÁCIA INDIANA LJ 59 (10026)"</f>
        <v>FARMÁCIA INDIANA LJ 59 (10026)</v>
      </c>
      <c r="S8940" t="s">
        <v>77</v>
      </c>
      <c r="T8940">
        <v>20552</v>
      </c>
      <c r="U8940">
        <v>24952</v>
      </c>
      <c r="V8940" t="s">
        <v>77</v>
      </c>
    </row>
    <row r="8941" spans="1:22">
      <c r="A8941" t="str">
        <f t="shared" si="1702"/>
        <v>06/11/2025</v>
      </c>
      <c r="B8941" t="str">
        <f t="shared" si="1704"/>
        <v>SAÍDA</v>
      </c>
      <c r="C8941" t="str">
        <f t="shared" si="1705"/>
        <v>PIX</v>
      </c>
      <c r="D8941" t="str">
        <f>"24840"</f>
        <v>24840</v>
      </c>
      <c r="E8941" t="str">
        <f t="shared" si="1706"/>
        <v>1</v>
      </c>
      <c r="F8941" t="str">
        <f t="shared" si="1703"/>
        <v>COM</v>
      </c>
      <c r="G8941" t="str">
        <f>"JOAO ALEXANDRE DE SOUZA ARAUJO (698)"</f>
        <v>JOAO ALEXANDRE DE SOUZA ARAUJO (698)</v>
      </c>
      <c r="H8941" t="str">
        <f>"Serv.Prest. 24/10/2025 a 02/11/2025 - PIX: CPF - CHAVE: 174.029.607-90"</f>
        <v>Serv.Prest. 24/10/2025 a 02/11/2025 - PIX: CPF - CHAVE: 174.029.607-90</v>
      </c>
      <c r="I8941" t="str">
        <f t="shared" si="1709"/>
        <v>06/11/2025</v>
      </c>
      <c r="J8941" t="str">
        <f>("04/11/2025")</f>
        <v>04/11/2025</v>
      </c>
      <c r="K8941" t="str">
        <f>("06/11/2025")</f>
        <v>06/11/2025</v>
      </c>
      <c r="L8941">
        <v>50</v>
      </c>
      <c r="M8941">
        <v>50</v>
      </c>
      <c r="N8941">
        <v>109</v>
      </c>
      <c r="O8941" t="str">
        <f>"PAGAMENTO DE ENTREGADORES"</f>
        <v>PAGAMENTO DE ENTREGADORES</v>
      </c>
      <c r="P8941">
        <v>50</v>
      </c>
      <c r="S8941" t="str">
        <f>"BANCO C6 (149)"</f>
        <v>BANCO C6 (149)</v>
      </c>
      <c r="T8941">
        <v>20553</v>
      </c>
      <c r="U8941">
        <v>24950</v>
      </c>
      <c r="V8941" t="s">
        <v>77</v>
      </c>
    </row>
    <row r="8942" spans="1:22">
      <c r="A8942" t="str">
        <f t="shared" si="1702"/>
        <v>06/11/2025</v>
      </c>
      <c r="B8942" t="str">
        <f t="shared" si="1704"/>
        <v>SAÍDA</v>
      </c>
      <c r="C8942" t="str">
        <f t="shared" si="1705"/>
        <v>PIX</v>
      </c>
      <c r="D8942" t="str">
        <f>"24840"</f>
        <v>24840</v>
      </c>
      <c r="E8942" t="str">
        <f t="shared" si="1706"/>
        <v>1</v>
      </c>
      <c r="F8942" t="str">
        <f t="shared" si="1703"/>
        <v>COM</v>
      </c>
      <c r="G8942" t="str">
        <f>"JOAO ALEXANDRE DE SOUZA ARAUJO (698)"</f>
        <v>JOAO ALEXANDRE DE SOUZA ARAUJO (698)</v>
      </c>
      <c r="H8942" t="s">
        <v>2526</v>
      </c>
      <c r="I8942" t="str">
        <f t="shared" si="1709"/>
        <v>06/11/2025</v>
      </c>
      <c r="J8942" t="str">
        <f>("04/11/2025")</f>
        <v>04/11/2025</v>
      </c>
      <c r="K8942">
        <v>45967</v>
      </c>
      <c r="N8942">
        <v>109</v>
      </c>
      <c r="O8942" t="s">
        <v>24</v>
      </c>
      <c r="Q8942">
        <v>50</v>
      </c>
      <c r="R8942" t="str">
        <f>"FARMÁCIA INDIANA LJ 188 (10176)"</f>
        <v>FARMÁCIA INDIANA LJ 188 (10176)</v>
      </c>
      <c r="S8942" t="s">
        <v>77</v>
      </c>
      <c r="T8942">
        <v>20553</v>
      </c>
      <c r="U8942">
        <v>24950</v>
      </c>
      <c r="V8942" t="s">
        <v>77</v>
      </c>
    </row>
    <row r="8943" spans="1:22">
      <c r="A8943" t="str">
        <f t="shared" si="1702"/>
        <v>06/11/2025</v>
      </c>
      <c r="B8943" t="str">
        <f t="shared" si="1704"/>
        <v>SAÍDA</v>
      </c>
      <c r="C8943" t="str">
        <f t="shared" si="1705"/>
        <v>PIX</v>
      </c>
      <c r="D8943" t="str">
        <f>"24625"</f>
        <v>24625</v>
      </c>
      <c r="E8943" t="str">
        <f t="shared" si="1706"/>
        <v>1</v>
      </c>
      <c r="F8943" t="str">
        <f t="shared" si="1703"/>
        <v>COM</v>
      </c>
      <c r="G8943" t="str">
        <f>"ALESSANDRO SILVA DOS SANTOS (966)"</f>
        <v>ALESSANDRO SILVA DOS SANTOS (966)</v>
      </c>
      <c r="H8943" t="str">
        <f>"Serv.Prest. 27/10/2025 a 02/11/2025 - PIX: E-MAIL - CHAVE: silvaalessandro3909@gmail.com"</f>
        <v>Serv.Prest. 27/10/2025 a 02/11/2025 - PIX: E-MAIL - CHAVE: silvaalessandro3909@gmail.com</v>
      </c>
      <c r="I8943" t="str">
        <f t="shared" si="1709"/>
        <v>06/11/2025</v>
      </c>
      <c r="J8943" t="str">
        <f>("03/11/2025")</f>
        <v>03/11/2025</v>
      </c>
      <c r="K8943" t="str">
        <f>("06/11/2025")</f>
        <v>06/11/2025</v>
      </c>
      <c r="L8943">
        <v>1610</v>
      </c>
      <c r="M8943">
        <v>1610</v>
      </c>
      <c r="N8943">
        <v>109</v>
      </c>
      <c r="O8943" t="str">
        <f>"PAGAMENTO DE ENTREGADORES"</f>
        <v>PAGAMENTO DE ENTREGADORES</v>
      </c>
      <c r="P8943">
        <v>1610</v>
      </c>
      <c r="S8943" t="str">
        <f>"BANCO C6 (149)"</f>
        <v>BANCO C6 (149)</v>
      </c>
      <c r="T8943">
        <v>20554</v>
      </c>
      <c r="U8943">
        <v>24625</v>
      </c>
      <c r="V8943" t="s">
        <v>77</v>
      </c>
    </row>
    <row r="8944" spans="1:22">
      <c r="A8944" t="str">
        <f t="shared" si="1702"/>
        <v>06/11/2025</v>
      </c>
      <c r="B8944" t="str">
        <f t="shared" si="1704"/>
        <v>SAÍDA</v>
      </c>
      <c r="C8944" t="str">
        <f t="shared" si="1705"/>
        <v>PIX</v>
      </c>
      <c r="D8944" t="str">
        <f>"24625"</f>
        <v>24625</v>
      </c>
      <c r="E8944" t="str">
        <f t="shared" si="1706"/>
        <v>1</v>
      </c>
      <c r="F8944" t="str">
        <f t="shared" si="1703"/>
        <v>COM</v>
      </c>
      <c r="G8944" t="str">
        <f>"ALESSANDRO SILVA DOS SANTOS (966)"</f>
        <v>ALESSANDRO SILVA DOS SANTOS (966)</v>
      </c>
      <c r="H8944" t="s">
        <v>2527</v>
      </c>
      <c r="I8944" t="str">
        <f t="shared" si="1709"/>
        <v>06/11/2025</v>
      </c>
      <c r="J8944" t="str">
        <f>("03/11/2025")</f>
        <v>03/11/2025</v>
      </c>
      <c r="K8944">
        <v>45967</v>
      </c>
      <c r="N8944">
        <v>109</v>
      </c>
      <c r="O8944" t="s">
        <v>24</v>
      </c>
      <c r="Q8944">
        <v>1610</v>
      </c>
      <c r="R8944" t="str">
        <f>"PENSE FARMA 22 (10198)"</f>
        <v>PENSE FARMA 22 (10198)</v>
      </c>
      <c r="S8944" t="s">
        <v>77</v>
      </c>
      <c r="T8944">
        <v>20554</v>
      </c>
      <c r="U8944">
        <v>24625</v>
      </c>
      <c r="V8944" t="s">
        <v>77</v>
      </c>
    </row>
    <row r="8945" spans="1:22">
      <c r="A8945" t="str">
        <f t="shared" si="1702"/>
        <v>06/11/2025</v>
      </c>
      <c r="B8945" t="str">
        <f t="shared" si="1704"/>
        <v>SAÍDA</v>
      </c>
      <c r="C8945" t="str">
        <f t="shared" si="1705"/>
        <v>PIX</v>
      </c>
      <c r="D8945" t="str">
        <f>"24184"</f>
        <v>24184</v>
      </c>
      <c r="E8945" t="str">
        <f t="shared" si="1706"/>
        <v>1</v>
      </c>
      <c r="F8945" t="str">
        <f t="shared" si="1703"/>
        <v>COM</v>
      </c>
      <c r="G8945" t="str">
        <f>"ALISSON FELIPE GODINHO (219)"</f>
        <v>ALISSON FELIPE GODINHO (219)</v>
      </c>
      <c r="H8945" t="str">
        <f>"Serv.Prest. 20/10/2025 a 24/10/2025 - PIX: CELULAR - CHAVE: (33) 99877-0415"</f>
        <v>Serv.Prest. 20/10/2025 a 24/10/2025 - PIX: CELULAR - CHAVE: (33) 99877-0415</v>
      </c>
      <c r="I8945" t="str">
        <f t="shared" si="1709"/>
        <v>06/11/2025</v>
      </c>
      <c r="J8945" t="str">
        <f t="shared" ref="J8945:J8976" si="1711">("24/10/2025")</f>
        <v>24/10/2025</v>
      </c>
      <c r="K8945" t="str">
        <f>("06/11/2025")</f>
        <v>06/11/2025</v>
      </c>
      <c r="L8945">
        <v>1206</v>
      </c>
      <c r="M8945">
        <v>1206</v>
      </c>
      <c r="N8945">
        <v>109</v>
      </c>
      <c r="O8945" t="str">
        <f>"PAGAMENTO DE ENTREGADORES"</f>
        <v>PAGAMENTO DE ENTREGADORES</v>
      </c>
      <c r="P8945">
        <v>1206</v>
      </c>
      <c r="S8945" t="str">
        <f>"BANCO C6 (149)"</f>
        <v>BANCO C6 (149)</v>
      </c>
      <c r="T8945">
        <v>20555</v>
      </c>
      <c r="U8945">
        <v>24184</v>
      </c>
      <c r="V8945" t="s">
        <v>77</v>
      </c>
    </row>
    <row r="8946" spans="1:22">
      <c r="A8946" t="str">
        <f t="shared" si="1702"/>
        <v>06/11/2025</v>
      </c>
      <c r="B8946" t="str">
        <f t="shared" si="1704"/>
        <v>SAÍDA</v>
      </c>
      <c r="C8946" t="str">
        <f t="shared" si="1705"/>
        <v>PIX</v>
      </c>
      <c r="D8946" t="str">
        <f>"24184"</f>
        <v>24184</v>
      </c>
      <c r="E8946" t="str">
        <f t="shared" si="1706"/>
        <v>1</v>
      </c>
      <c r="F8946" t="str">
        <f t="shared" si="1703"/>
        <v>COM</v>
      </c>
      <c r="G8946" t="str">
        <f>"ALISSON FELIPE GODINHO (219)"</f>
        <v>ALISSON FELIPE GODINHO (219)</v>
      </c>
      <c r="H8946" t="s">
        <v>2528</v>
      </c>
      <c r="I8946" t="str">
        <f t="shared" si="1709"/>
        <v>06/11/2025</v>
      </c>
      <c r="J8946" t="str">
        <f t="shared" si="1711"/>
        <v>24/10/2025</v>
      </c>
      <c r="K8946">
        <v>45967</v>
      </c>
      <c r="N8946">
        <v>109</v>
      </c>
      <c r="O8946" t="s">
        <v>24</v>
      </c>
      <c r="Q8946">
        <v>1206</v>
      </c>
      <c r="R8946" t="str">
        <f>"FARMÁCIA INDIANA LJ 14 (10009)"</f>
        <v>FARMÁCIA INDIANA LJ 14 (10009)</v>
      </c>
      <c r="S8946" t="s">
        <v>77</v>
      </c>
      <c r="T8946">
        <v>20555</v>
      </c>
      <c r="U8946">
        <v>24184</v>
      </c>
      <c r="V8946" t="s">
        <v>77</v>
      </c>
    </row>
    <row r="8947" spans="1:22">
      <c r="A8947" t="str">
        <f t="shared" si="1702"/>
        <v>06/11/2025</v>
      </c>
      <c r="B8947" t="str">
        <f t="shared" si="1704"/>
        <v>SAÍDA</v>
      </c>
      <c r="C8947" t="str">
        <f t="shared" si="1705"/>
        <v>PIX</v>
      </c>
      <c r="D8947" t="str">
        <f>"24185"</f>
        <v>24185</v>
      </c>
      <c r="E8947" t="str">
        <f t="shared" si="1706"/>
        <v>1</v>
      </c>
      <c r="F8947" t="str">
        <f t="shared" si="1703"/>
        <v>COM</v>
      </c>
      <c r="G8947" t="str">
        <f>"AMANDA VERÍSSIMO FERREIRA (794)"</f>
        <v>AMANDA VERÍSSIMO FERREIRA (794)</v>
      </c>
      <c r="H8947" t="str">
        <f>"Serv.Prest. 20/10/2025 a 24/10/2025 - PIX: CPF - CHAVE: 099.626.666-60"</f>
        <v>Serv.Prest. 20/10/2025 a 24/10/2025 - PIX: CPF - CHAVE: 099.626.666-60</v>
      </c>
      <c r="I8947" t="str">
        <f t="shared" si="1709"/>
        <v>06/11/2025</v>
      </c>
      <c r="J8947" t="str">
        <f t="shared" si="1711"/>
        <v>24/10/2025</v>
      </c>
      <c r="K8947" t="str">
        <f>("06/11/2025")</f>
        <v>06/11/2025</v>
      </c>
      <c r="L8947">
        <v>750</v>
      </c>
      <c r="M8947">
        <v>750</v>
      </c>
      <c r="N8947">
        <v>109</v>
      </c>
      <c r="O8947" t="str">
        <f>"PAGAMENTO DE ENTREGADORES"</f>
        <v>PAGAMENTO DE ENTREGADORES</v>
      </c>
      <c r="P8947">
        <v>750</v>
      </c>
      <c r="S8947" t="str">
        <f>"BANCO C6 (149)"</f>
        <v>BANCO C6 (149)</v>
      </c>
      <c r="T8947">
        <v>20556</v>
      </c>
      <c r="U8947">
        <v>24185</v>
      </c>
      <c r="V8947" t="s">
        <v>77</v>
      </c>
    </row>
    <row r="8948" spans="1:22">
      <c r="A8948" t="str">
        <f t="shared" si="1702"/>
        <v>06/11/2025</v>
      </c>
      <c r="B8948" t="str">
        <f t="shared" si="1704"/>
        <v>SAÍDA</v>
      </c>
      <c r="C8948" t="str">
        <f t="shared" si="1705"/>
        <v>PIX</v>
      </c>
      <c r="D8948" t="str">
        <f>"24185"</f>
        <v>24185</v>
      </c>
      <c r="E8948" t="str">
        <f t="shared" si="1706"/>
        <v>1</v>
      </c>
      <c r="F8948" t="str">
        <f t="shared" si="1703"/>
        <v>COM</v>
      </c>
      <c r="G8948" t="str">
        <f>"AMANDA VERÍSSIMO FERREIRA (794)"</f>
        <v>AMANDA VERÍSSIMO FERREIRA (794)</v>
      </c>
      <c r="H8948" t="s">
        <v>2529</v>
      </c>
      <c r="I8948" t="str">
        <f t="shared" si="1709"/>
        <v>06/11/2025</v>
      </c>
      <c r="J8948" t="str">
        <f t="shared" si="1711"/>
        <v>24/10/2025</v>
      </c>
      <c r="K8948">
        <v>45967</v>
      </c>
      <c r="N8948">
        <v>109</v>
      </c>
      <c r="O8948" t="s">
        <v>24</v>
      </c>
      <c r="Q8948">
        <v>343.72</v>
      </c>
      <c r="R8948" t="str">
        <f>"FARMÁCIA INDIANA LJ 97 (10040)"</f>
        <v>FARMÁCIA INDIANA LJ 97 (10040)</v>
      </c>
      <c r="S8948" t="s">
        <v>77</v>
      </c>
      <c r="T8948">
        <v>20556</v>
      </c>
      <c r="U8948">
        <v>24185</v>
      </c>
      <c r="V8948" t="s">
        <v>77</v>
      </c>
    </row>
    <row r="8949" spans="1:22">
      <c r="A8949" t="str">
        <f t="shared" si="1702"/>
        <v>06/11/2025</v>
      </c>
      <c r="B8949" t="str">
        <f t="shared" si="1704"/>
        <v>SAÍDA</v>
      </c>
      <c r="C8949" t="str">
        <f t="shared" si="1705"/>
        <v>PIX</v>
      </c>
      <c r="D8949" t="str">
        <f>"24185"</f>
        <v>24185</v>
      </c>
      <c r="E8949" t="str">
        <f t="shared" si="1706"/>
        <v>1</v>
      </c>
      <c r="F8949" t="str">
        <f t="shared" si="1703"/>
        <v>COM</v>
      </c>
      <c r="G8949" t="str">
        <f>"AMANDA VERÍSSIMO FERREIRA (794)"</f>
        <v>AMANDA VERÍSSIMO FERREIRA (794)</v>
      </c>
      <c r="H8949" t="s">
        <v>2529</v>
      </c>
      <c r="I8949" t="str">
        <f t="shared" si="1709"/>
        <v>06/11/2025</v>
      </c>
      <c r="J8949" t="str">
        <f t="shared" si="1711"/>
        <v>24/10/2025</v>
      </c>
      <c r="K8949">
        <v>45967</v>
      </c>
      <c r="N8949">
        <v>109</v>
      </c>
      <c r="O8949" t="s">
        <v>24</v>
      </c>
      <c r="Q8949">
        <v>312.52999999999997</v>
      </c>
      <c r="R8949" t="str">
        <f>"FARMÁCIA INDIANA LJ 111 (10049)"</f>
        <v>FARMÁCIA INDIANA LJ 111 (10049)</v>
      </c>
      <c r="S8949" t="s">
        <v>77</v>
      </c>
      <c r="T8949">
        <v>20556</v>
      </c>
      <c r="U8949">
        <v>24185</v>
      </c>
      <c r="V8949" t="s">
        <v>77</v>
      </c>
    </row>
    <row r="8950" spans="1:22">
      <c r="A8950" t="str">
        <f t="shared" si="1702"/>
        <v>06/11/2025</v>
      </c>
      <c r="B8950" t="str">
        <f t="shared" si="1704"/>
        <v>SAÍDA</v>
      </c>
      <c r="C8950" t="str">
        <f t="shared" si="1705"/>
        <v>PIX</v>
      </c>
      <c r="D8950" t="str">
        <f>"24185"</f>
        <v>24185</v>
      </c>
      <c r="E8950" t="str">
        <f t="shared" si="1706"/>
        <v>1</v>
      </c>
      <c r="F8950" t="str">
        <f t="shared" si="1703"/>
        <v>COM</v>
      </c>
      <c r="G8950" t="str">
        <f>"AMANDA VERÍSSIMO FERREIRA (794)"</f>
        <v>AMANDA VERÍSSIMO FERREIRA (794)</v>
      </c>
      <c r="H8950" t="s">
        <v>2529</v>
      </c>
      <c r="I8950" t="str">
        <f t="shared" si="1709"/>
        <v>06/11/2025</v>
      </c>
      <c r="J8950" t="str">
        <f t="shared" si="1711"/>
        <v>24/10/2025</v>
      </c>
      <c r="K8950">
        <v>45967</v>
      </c>
      <c r="N8950">
        <v>109</v>
      </c>
      <c r="O8950" t="s">
        <v>24</v>
      </c>
      <c r="Q8950">
        <v>93.75</v>
      </c>
      <c r="R8950" t="str">
        <f>"FARMÁCIA INDIANA LJ 143 (10067)"</f>
        <v>FARMÁCIA INDIANA LJ 143 (10067)</v>
      </c>
      <c r="S8950" t="s">
        <v>77</v>
      </c>
      <c r="T8950">
        <v>20556</v>
      </c>
      <c r="U8950">
        <v>24185</v>
      </c>
      <c r="V8950" t="s">
        <v>77</v>
      </c>
    </row>
    <row r="8951" spans="1:22">
      <c r="A8951" t="str">
        <f t="shared" si="1702"/>
        <v>06/11/2025</v>
      </c>
      <c r="B8951" t="str">
        <f t="shared" si="1704"/>
        <v>SAÍDA</v>
      </c>
      <c r="C8951" t="str">
        <f t="shared" si="1705"/>
        <v>PIX</v>
      </c>
      <c r="D8951" t="str">
        <f>"24186"</f>
        <v>24186</v>
      </c>
      <c r="E8951" t="str">
        <f t="shared" si="1706"/>
        <v>1</v>
      </c>
      <c r="F8951" t="str">
        <f t="shared" si="1703"/>
        <v>COM</v>
      </c>
      <c r="G8951" t="str">
        <f>"ANISSO ANIDAL DE PAULA (161)"</f>
        <v>ANISSO ANIDAL DE PAULA (161)</v>
      </c>
      <c r="H8951" t="str">
        <f>"Serv.Prest. 20/10/2025 a 24/10/2025 - PIX: E-MAIL - CHAVE: anissoanidaldepaula@gmail.com"</f>
        <v>Serv.Prest. 20/10/2025 a 24/10/2025 - PIX: E-MAIL - CHAVE: anissoanidaldepaula@gmail.com</v>
      </c>
      <c r="I8951" t="str">
        <f t="shared" si="1709"/>
        <v>06/11/2025</v>
      </c>
      <c r="J8951" t="str">
        <f t="shared" si="1711"/>
        <v>24/10/2025</v>
      </c>
      <c r="K8951" t="str">
        <f>("06/11/2025")</f>
        <v>06/11/2025</v>
      </c>
      <c r="L8951">
        <v>456</v>
      </c>
      <c r="M8951">
        <v>456</v>
      </c>
      <c r="N8951">
        <v>109</v>
      </c>
      <c r="O8951" t="str">
        <f>"PAGAMENTO DE ENTREGADORES"</f>
        <v>PAGAMENTO DE ENTREGADORES</v>
      </c>
      <c r="P8951">
        <v>456</v>
      </c>
      <c r="S8951" t="str">
        <f>"BANCO C6 (149)"</f>
        <v>BANCO C6 (149)</v>
      </c>
      <c r="T8951">
        <v>20557</v>
      </c>
      <c r="U8951">
        <v>24186</v>
      </c>
      <c r="V8951" t="s">
        <v>77</v>
      </c>
    </row>
    <row r="8952" spans="1:22">
      <c r="A8952" t="str">
        <f t="shared" si="1702"/>
        <v>06/11/2025</v>
      </c>
      <c r="B8952" t="str">
        <f t="shared" si="1704"/>
        <v>SAÍDA</v>
      </c>
      <c r="C8952" t="str">
        <f t="shared" si="1705"/>
        <v>PIX</v>
      </c>
      <c r="D8952" t="str">
        <f>"24186"</f>
        <v>24186</v>
      </c>
      <c r="E8952" t="str">
        <f t="shared" si="1706"/>
        <v>1</v>
      </c>
      <c r="F8952" t="str">
        <f t="shared" si="1703"/>
        <v>COM</v>
      </c>
      <c r="G8952" t="str">
        <f>"ANISSO ANIDAL DE PAULA (161)"</f>
        <v>ANISSO ANIDAL DE PAULA (161)</v>
      </c>
      <c r="H8952" t="s">
        <v>2530</v>
      </c>
      <c r="I8952" t="str">
        <f t="shared" si="1709"/>
        <v>06/11/2025</v>
      </c>
      <c r="J8952" t="str">
        <f t="shared" si="1711"/>
        <v>24/10/2025</v>
      </c>
      <c r="K8952">
        <v>45967</v>
      </c>
      <c r="N8952">
        <v>109</v>
      </c>
      <c r="O8952" t="s">
        <v>24</v>
      </c>
      <c r="Q8952">
        <v>456</v>
      </c>
      <c r="R8952" t="str">
        <f>"FARMÁCIA INDIANA LJ 18 (10011)"</f>
        <v>FARMÁCIA INDIANA LJ 18 (10011)</v>
      </c>
      <c r="S8952" t="s">
        <v>77</v>
      </c>
      <c r="T8952">
        <v>20557</v>
      </c>
      <c r="U8952">
        <v>24186</v>
      </c>
      <c r="V8952" t="s">
        <v>77</v>
      </c>
    </row>
    <row r="8953" spans="1:22">
      <c r="A8953" t="str">
        <f t="shared" si="1702"/>
        <v>06/11/2025</v>
      </c>
      <c r="B8953" t="str">
        <f t="shared" si="1704"/>
        <v>SAÍDA</v>
      </c>
      <c r="C8953" t="str">
        <f t="shared" si="1705"/>
        <v>PIX</v>
      </c>
      <c r="D8953" t="str">
        <f>"24187"</f>
        <v>24187</v>
      </c>
      <c r="E8953" t="str">
        <f t="shared" si="1706"/>
        <v>1</v>
      </c>
      <c r="F8953" t="str">
        <f t="shared" si="1703"/>
        <v>COM</v>
      </c>
      <c r="G8953" t="str">
        <f>"ARLINDO JOSE MARTINS (909)"</f>
        <v>ARLINDO JOSE MARTINS (909)</v>
      </c>
      <c r="H8953" t="str">
        <f>"Serv.Prest. 20/10/2025 a 24/10/2025 - PIX: CPF - CHAVE: 037.192.076-09"</f>
        <v>Serv.Prest. 20/10/2025 a 24/10/2025 - PIX: CPF - CHAVE: 037.192.076-09</v>
      </c>
      <c r="I8953" t="str">
        <f t="shared" si="1709"/>
        <v>06/11/2025</v>
      </c>
      <c r="J8953" t="str">
        <f t="shared" si="1711"/>
        <v>24/10/2025</v>
      </c>
      <c r="K8953" t="str">
        <f>("06/11/2025")</f>
        <v>06/11/2025</v>
      </c>
      <c r="L8953">
        <v>803</v>
      </c>
      <c r="M8953">
        <v>803</v>
      </c>
      <c r="N8953">
        <v>109</v>
      </c>
      <c r="O8953" t="str">
        <f>"PAGAMENTO DE ENTREGADORES"</f>
        <v>PAGAMENTO DE ENTREGADORES</v>
      </c>
      <c r="P8953">
        <v>803</v>
      </c>
      <c r="S8953" t="str">
        <f>"BANCO C6 (149)"</f>
        <v>BANCO C6 (149)</v>
      </c>
      <c r="T8953">
        <v>20558</v>
      </c>
      <c r="U8953">
        <v>24187</v>
      </c>
      <c r="V8953" t="s">
        <v>77</v>
      </c>
    </row>
    <row r="8954" spans="1:22">
      <c r="A8954" t="str">
        <f t="shared" si="1702"/>
        <v>06/11/2025</v>
      </c>
      <c r="B8954" t="str">
        <f t="shared" si="1704"/>
        <v>SAÍDA</v>
      </c>
      <c r="C8954" t="str">
        <f t="shared" si="1705"/>
        <v>PIX</v>
      </c>
      <c r="D8954" t="str">
        <f>"24187"</f>
        <v>24187</v>
      </c>
      <c r="E8954" t="str">
        <f t="shared" si="1706"/>
        <v>1</v>
      </c>
      <c r="F8954" t="str">
        <f t="shared" si="1703"/>
        <v>COM</v>
      </c>
      <c r="G8954" t="str">
        <f>"ARLINDO JOSE MARTINS (909)"</f>
        <v>ARLINDO JOSE MARTINS (909)</v>
      </c>
      <c r="H8954" t="s">
        <v>2531</v>
      </c>
      <c r="I8954" t="str">
        <f t="shared" si="1709"/>
        <v>06/11/2025</v>
      </c>
      <c r="J8954" t="str">
        <f t="shared" si="1711"/>
        <v>24/10/2025</v>
      </c>
      <c r="K8954">
        <v>45967</v>
      </c>
      <c r="N8954">
        <v>109</v>
      </c>
      <c r="O8954" t="s">
        <v>24</v>
      </c>
      <c r="Q8954">
        <v>803</v>
      </c>
      <c r="R8954" t="str">
        <f>"FARMÁCIA INDIANA LJ 185 (10141)"</f>
        <v>FARMÁCIA INDIANA LJ 185 (10141)</v>
      </c>
      <c r="S8954" t="s">
        <v>77</v>
      </c>
      <c r="T8954">
        <v>20558</v>
      </c>
      <c r="U8954">
        <v>24187</v>
      </c>
      <c r="V8954" t="s">
        <v>77</v>
      </c>
    </row>
    <row r="8955" spans="1:22">
      <c r="A8955" t="str">
        <f t="shared" si="1702"/>
        <v>06/11/2025</v>
      </c>
      <c r="B8955" t="str">
        <f t="shared" si="1704"/>
        <v>SAÍDA</v>
      </c>
      <c r="C8955" t="str">
        <f t="shared" si="1705"/>
        <v>PIX</v>
      </c>
      <c r="D8955" t="str">
        <f>"24188"</f>
        <v>24188</v>
      </c>
      <c r="E8955" t="str">
        <f t="shared" si="1706"/>
        <v>1</v>
      </c>
      <c r="F8955" t="str">
        <f t="shared" si="1703"/>
        <v>COM</v>
      </c>
      <c r="G8955" t="str">
        <f>"ARTHUR DANTAS PACHECO (928)"</f>
        <v>ARTHUR DANTAS PACHECO (928)</v>
      </c>
      <c r="H8955" t="str">
        <f>"Serv.Prest. 20/10/2025 a 24/10/2025 - PIX: CELULAR - CHAVE: (33) 99110-6940"</f>
        <v>Serv.Prest. 20/10/2025 a 24/10/2025 - PIX: CELULAR - CHAVE: (33) 99110-6940</v>
      </c>
      <c r="I8955" t="str">
        <f t="shared" si="1709"/>
        <v>06/11/2025</v>
      </c>
      <c r="J8955" t="str">
        <f t="shared" si="1711"/>
        <v>24/10/2025</v>
      </c>
      <c r="K8955" t="str">
        <f>("06/11/2025")</f>
        <v>06/11/2025</v>
      </c>
      <c r="L8955">
        <v>247.5</v>
      </c>
      <c r="M8955">
        <v>247.5</v>
      </c>
      <c r="N8955">
        <v>109</v>
      </c>
      <c r="O8955" t="str">
        <f>"PAGAMENTO DE ENTREGADORES"</f>
        <v>PAGAMENTO DE ENTREGADORES</v>
      </c>
      <c r="P8955">
        <v>247.5</v>
      </c>
      <c r="S8955" t="str">
        <f>"BANCO C6 (149)"</f>
        <v>BANCO C6 (149)</v>
      </c>
      <c r="T8955">
        <v>20559</v>
      </c>
      <c r="U8955">
        <v>24188</v>
      </c>
      <c r="V8955" t="s">
        <v>77</v>
      </c>
    </row>
    <row r="8956" spans="1:22">
      <c r="A8956" t="str">
        <f t="shared" si="1702"/>
        <v>06/11/2025</v>
      </c>
      <c r="B8956" t="str">
        <f t="shared" si="1704"/>
        <v>SAÍDA</v>
      </c>
      <c r="C8956" t="str">
        <f t="shared" si="1705"/>
        <v>PIX</v>
      </c>
      <c r="D8956" t="str">
        <f>"24188"</f>
        <v>24188</v>
      </c>
      <c r="E8956" t="str">
        <f t="shared" si="1706"/>
        <v>1</v>
      </c>
      <c r="F8956" t="str">
        <f t="shared" si="1703"/>
        <v>COM</v>
      </c>
      <c r="G8956" t="str">
        <f>"ARTHUR DANTAS PACHECO (928)"</f>
        <v>ARTHUR DANTAS PACHECO (928)</v>
      </c>
      <c r="H8956" t="s">
        <v>2532</v>
      </c>
      <c r="I8956" t="str">
        <f t="shared" si="1709"/>
        <v>06/11/2025</v>
      </c>
      <c r="J8956" t="str">
        <f t="shared" si="1711"/>
        <v>24/10/2025</v>
      </c>
      <c r="K8956">
        <v>45967</v>
      </c>
      <c r="N8956">
        <v>109</v>
      </c>
      <c r="O8956" t="s">
        <v>24</v>
      </c>
      <c r="Q8956">
        <v>247.5</v>
      </c>
      <c r="R8956" t="str">
        <f>"FARMÁCIA INDIANA LJ 40 (10016)"</f>
        <v>FARMÁCIA INDIANA LJ 40 (10016)</v>
      </c>
      <c r="S8956" t="s">
        <v>77</v>
      </c>
      <c r="T8956">
        <v>20559</v>
      </c>
      <c r="U8956">
        <v>24188</v>
      </c>
      <c r="V8956" t="s">
        <v>77</v>
      </c>
    </row>
    <row r="8957" spans="1:22">
      <c r="A8957" t="str">
        <f t="shared" si="1702"/>
        <v>06/11/2025</v>
      </c>
      <c r="B8957" t="str">
        <f t="shared" si="1704"/>
        <v>SAÍDA</v>
      </c>
      <c r="C8957" t="str">
        <f t="shared" si="1705"/>
        <v>PIX</v>
      </c>
      <c r="D8957" t="str">
        <f>"24189"</f>
        <v>24189</v>
      </c>
      <c r="E8957" t="str">
        <f t="shared" si="1706"/>
        <v>1</v>
      </c>
      <c r="F8957" t="str">
        <f t="shared" si="1703"/>
        <v>COM</v>
      </c>
      <c r="G8957" t="str">
        <f>"BRUNO BARBOSA DE MATOS (82)"</f>
        <v>BRUNO BARBOSA DE MATOS (82)</v>
      </c>
      <c r="H8957" t="str">
        <f>"Serv.Prest. 20/10/2025 a 24/10/2025 - PIX: CPF - CHAVE: 137.446.146-62"</f>
        <v>Serv.Prest. 20/10/2025 a 24/10/2025 - PIX: CPF - CHAVE: 137.446.146-62</v>
      </c>
      <c r="I8957" t="str">
        <f t="shared" si="1709"/>
        <v>06/11/2025</v>
      </c>
      <c r="J8957" t="str">
        <f t="shared" si="1711"/>
        <v>24/10/2025</v>
      </c>
      <c r="K8957" t="str">
        <f>("06/11/2025")</f>
        <v>06/11/2025</v>
      </c>
      <c r="L8957">
        <v>966</v>
      </c>
      <c r="M8957">
        <v>966</v>
      </c>
      <c r="N8957">
        <v>109</v>
      </c>
      <c r="O8957" t="str">
        <f>"PAGAMENTO DE ENTREGADORES"</f>
        <v>PAGAMENTO DE ENTREGADORES</v>
      </c>
      <c r="P8957">
        <v>966</v>
      </c>
      <c r="S8957" t="str">
        <f>"BANCO C6 (149)"</f>
        <v>BANCO C6 (149)</v>
      </c>
      <c r="T8957">
        <v>20560</v>
      </c>
      <c r="U8957">
        <v>24189</v>
      </c>
      <c r="V8957" t="s">
        <v>77</v>
      </c>
    </row>
    <row r="8958" spans="1:22">
      <c r="A8958" t="str">
        <f t="shared" si="1702"/>
        <v>06/11/2025</v>
      </c>
      <c r="B8958" t="str">
        <f t="shared" si="1704"/>
        <v>SAÍDA</v>
      </c>
      <c r="C8958" t="str">
        <f t="shared" si="1705"/>
        <v>PIX</v>
      </c>
      <c r="D8958" t="str">
        <f>"24189"</f>
        <v>24189</v>
      </c>
      <c r="E8958" t="str">
        <f t="shared" si="1706"/>
        <v>1</v>
      </c>
      <c r="F8958" t="str">
        <f t="shared" si="1703"/>
        <v>COM</v>
      </c>
      <c r="G8958" t="str">
        <f>"BRUNO BARBOSA DE MATOS (82)"</f>
        <v>BRUNO BARBOSA DE MATOS (82)</v>
      </c>
      <c r="H8958" t="s">
        <v>2533</v>
      </c>
      <c r="I8958" t="str">
        <f t="shared" si="1709"/>
        <v>06/11/2025</v>
      </c>
      <c r="J8958" t="str">
        <f t="shared" si="1711"/>
        <v>24/10/2025</v>
      </c>
      <c r="K8958">
        <v>45967</v>
      </c>
      <c r="N8958">
        <v>109</v>
      </c>
      <c r="O8958" t="s">
        <v>24</v>
      </c>
      <c r="Q8958">
        <v>966</v>
      </c>
      <c r="R8958" t="str">
        <f>"FARMÁCIA INDIANA LJ 152 (10069)"</f>
        <v>FARMÁCIA INDIANA LJ 152 (10069)</v>
      </c>
      <c r="S8958" t="s">
        <v>77</v>
      </c>
      <c r="T8958">
        <v>20560</v>
      </c>
      <c r="U8958">
        <v>24189</v>
      </c>
      <c r="V8958" t="s">
        <v>77</v>
      </c>
    </row>
    <row r="8959" spans="1:22">
      <c r="A8959" t="str">
        <f t="shared" si="1702"/>
        <v>06/11/2025</v>
      </c>
      <c r="B8959" t="str">
        <f t="shared" si="1704"/>
        <v>SAÍDA</v>
      </c>
      <c r="C8959" t="str">
        <f t="shared" si="1705"/>
        <v>PIX</v>
      </c>
      <c r="D8959" t="str">
        <f>"24190"</f>
        <v>24190</v>
      </c>
      <c r="E8959" t="str">
        <f t="shared" si="1706"/>
        <v>1</v>
      </c>
      <c r="F8959" t="str">
        <f t="shared" si="1703"/>
        <v>COM</v>
      </c>
      <c r="G8959" t="str">
        <f>"BRUNO DOS SANTOS MACHADO (702)"</f>
        <v>BRUNO DOS SANTOS MACHADO (702)</v>
      </c>
      <c r="H8959" t="str">
        <f>"Serv.Prest. 20/10/2025 a 24/10/2025 - PIX: CPF - CHAVE: 155.328.666-94"</f>
        <v>Serv.Prest. 20/10/2025 a 24/10/2025 - PIX: CPF - CHAVE: 155.328.666-94</v>
      </c>
      <c r="I8959" t="str">
        <f t="shared" si="1709"/>
        <v>06/11/2025</v>
      </c>
      <c r="J8959" t="str">
        <f t="shared" si="1711"/>
        <v>24/10/2025</v>
      </c>
      <c r="K8959" t="str">
        <f>("06/11/2025")</f>
        <v>06/11/2025</v>
      </c>
      <c r="L8959">
        <v>1200</v>
      </c>
      <c r="M8959">
        <v>1200</v>
      </c>
      <c r="N8959">
        <v>109</v>
      </c>
      <c r="O8959" t="str">
        <f>"PAGAMENTO DE ENTREGADORES"</f>
        <v>PAGAMENTO DE ENTREGADORES</v>
      </c>
      <c r="P8959">
        <v>1200</v>
      </c>
      <c r="S8959" t="str">
        <f>"BANCO C6 (149)"</f>
        <v>BANCO C6 (149)</v>
      </c>
      <c r="T8959">
        <v>20561</v>
      </c>
      <c r="U8959">
        <v>24190</v>
      </c>
      <c r="V8959" t="s">
        <v>77</v>
      </c>
    </row>
    <row r="8960" spans="1:22">
      <c r="A8960" t="str">
        <f t="shared" si="1702"/>
        <v>06/11/2025</v>
      </c>
      <c r="B8960" t="str">
        <f t="shared" si="1704"/>
        <v>SAÍDA</v>
      </c>
      <c r="C8960" t="str">
        <f t="shared" si="1705"/>
        <v>PIX</v>
      </c>
      <c r="D8960" t="str">
        <f>"24190"</f>
        <v>24190</v>
      </c>
      <c r="E8960" t="str">
        <f t="shared" si="1706"/>
        <v>1</v>
      </c>
      <c r="F8960" t="str">
        <f t="shared" si="1703"/>
        <v>COM</v>
      </c>
      <c r="G8960" t="str">
        <f>"BRUNO DOS SANTOS MACHADO (702)"</f>
        <v>BRUNO DOS SANTOS MACHADO (702)</v>
      </c>
      <c r="H8960" t="s">
        <v>2534</v>
      </c>
      <c r="I8960" t="str">
        <f t="shared" si="1709"/>
        <v>06/11/2025</v>
      </c>
      <c r="J8960" t="str">
        <f t="shared" si="1711"/>
        <v>24/10/2025</v>
      </c>
      <c r="K8960">
        <v>45967</v>
      </c>
      <c r="N8960">
        <v>109</v>
      </c>
      <c r="O8960" t="s">
        <v>24</v>
      </c>
      <c r="Q8960">
        <v>600</v>
      </c>
      <c r="R8960" t="str">
        <f>"FARMÁCIA INDIANA LJ 204 (10087)"</f>
        <v>FARMÁCIA INDIANA LJ 204 (10087)</v>
      </c>
      <c r="S8960" t="s">
        <v>77</v>
      </c>
      <c r="T8960">
        <v>20561</v>
      </c>
      <c r="U8960">
        <v>24190</v>
      </c>
      <c r="V8960" t="s">
        <v>77</v>
      </c>
    </row>
    <row r="8961" spans="1:22">
      <c r="A8961" t="str">
        <f t="shared" si="1702"/>
        <v>06/11/2025</v>
      </c>
      <c r="B8961" t="str">
        <f t="shared" si="1704"/>
        <v>SAÍDA</v>
      </c>
      <c r="C8961" t="str">
        <f t="shared" si="1705"/>
        <v>PIX</v>
      </c>
      <c r="D8961" t="str">
        <f>"24190"</f>
        <v>24190</v>
      </c>
      <c r="E8961" t="str">
        <f t="shared" si="1706"/>
        <v>1</v>
      </c>
      <c r="F8961" t="str">
        <f t="shared" si="1703"/>
        <v>COM</v>
      </c>
      <c r="G8961" t="str">
        <f>"BRUNO DOS SANTOS MACHADO (702)"</f>
        <v>BRUNO DOS SANTOS MACHADO (702)</v>
      </c>
      <c r="H8961" t="s">
        <v>2534</v>
      </c>
      <c r="I8961" t="str">
        <f t="shared" si="1709"/>
        <v>06/11/2025</v>
      </c>
      <c r="J8961" t="str">
        <f t="shared" si="1711"/>
        <v>24/10/2025</v>
      </c>
      <c r="K8961">
        <v>45967</v>
      </c>
      <c r="N8961">
        <v>109</v>
      </c>
      <c r="O8961" t="s">
        <v>24</v>
      </c>
      <c r="Q8961">
        <v>600</v>
      </c>
      <c r="R8961" t="str">
        <f>"FARMÁCIA INDIANA LJ 266 (10186)"</f>
        <v>FARMÁCIA INDIANA LJ 266 (10186)</v>
      </c>
      <c r="S8961" t="s">
        <v>77</v>
      </c>
      <c r="T8961">
        <v>20561</v>
      </c>
      <c r="U8961">
        <v>24190</v>
      </c>
      <c r="V8961" t="s">
        <v>77</v>
      </c>
    </row>
    <row r="8962" spans="1:22">
      <c r="A8962" t="str">
        <f t="shared" si="1702"/>
        <v>06/11/2025</v>
      </c>
      <c r="B8962" t="str">
        <f t="shared" si="1704"/>
        <v>SAÍDA</v>
      </c>
      <c r="C8962" t="str">
        <f t="shared" si="1705"/>
        <v>PIX</v>
      </c>
      <c r="D8962" t="str">
        <f>"24191"</f>
        <v>24191</v>
      </c>
      <c r="E8962" t="str">
        <f t="shared" si="1706"/>
        <v>1</v>
      </c>
      <c r="F8962" t="str">
        <f t="shared" si="1703"/>
        <v>COM</v>
      </c>
      <c r="G8962" t="str">
        <f>"BRUNO WAGNER DE CARVALHO OLIVEIRA (84)"</f>
        <v>BRUNO WAGNER DE CARVALHO OLIVEIRA (84)</v>
      </c>
      <c r="H8962" t="str">
        <f>"Serv.Prest. 20/10/2025 a 24/10/2025 - PIX: CELULAR - CHAVE: (32) 98896-0708"</f>
        <v>Serv.Prest. 20/10/2025 a 24/10/2025 - PIX: CELULAR - CHAVE: (32) 98896-0708</v>
      </c>
      <c r="I8962" t="str">
        <f t="shared" si="1709"/>
        <v>06/11/2025</v>
      </c>
      <c r="J8962" t="str">
        <f t="shared" si="1711"/>
        <v>24/10/2025</v>
      </c>
      <c r="K8962" t="str">
        <f>("06/11/2025")</f>
        <v>06/11/2025</v>
      </c>
      <c r="L8962">
        <v>700</v>
      </c>
      <c r="M8962">
        <v>700</v>
      </c>
      <c r="N8962">
        <v>109</v>
      </c>
      <c r="O8962" t="str">
        <f>"PAGAMENTO DE ENTREGADORES"</f>
        <v>PAGAMENTO DE ENTREGADORES</v>
      </c>
      <c r="P8962">
        <v>700</v>
      </c>
      <c r="S8962" t="str">
        <f>"BANCO C6 (149)"</f>
        <v>BANCO C6 (149)</v>
      </c>
      <c r="T8962">
        <v>20562</v>
      </c>
      <c r="U8962">
        <v>24191</v>
      </c>
      <c r="V8962" t="s">
        <v>77</v>
      </c>
    </row>
    <row r="8963" spans="1:22">
      <c r="A8963" t="str">
        <f t="shared" si="1702"/>
        <v>06/11/2025</v>
      </c>
      <c r="B8963" t="str">
        <f t="shared" si="1704"/>
        <v>SAÍDA</v>
      </c>
      <c r="C8963" t="str">
        <f t="shared" si="1705"/>
        <v>PIX</v>
      </c>
      <c r="D8963" t="str">
        <f>"24191"</f>
        <v>24191</v>
      </c>
      <c r="E8963" t="str">
        <f t="shared" si="1706"/>
        <v>1</v>
      </c>
      <c r="F8963" t="str">
        <f t="shared" si="1703"/>
        <v>COM</v>
      </c>
      <c r="G8963" t="str">
        <f>"BRUNO WAGNER DE CARVALHO OLIVEIRA (84)"</f>
        <v>BRUNO WAGNER DE CARVALHO OLIVEIRA (84)</v>
      </c>
      <c r="H8963" t="s">
        <v>2535</v>
      </c>
      <c r="I8963" t="str">
        <f t="shared" si="1709"/>
        <v>06/11/2025</v>
      </c>
      <c r="J8963" t="str">
        <f t="shared" si="1711"/>
        <v>24/10/2025</v>
      </c>
      <c r="K8963">
        <v>45967</v>
      </c>
      <c r="N8963">
        <v>109</v>
      </c>
      <c r="O8963" t="s">
        <v>24</v>
      </c>
      <c r="Q8963">
        <v>210</v>
      </c>
      <c r="R8963" t="str">
        <f>"FARMÁCIA INDIANA LJ 182 (10079)"</f>
        <v>FARMÁCIA INDIANA LJ 182 (10079)</v>
      </c>
      <c r="S8963" t="s">
        <v>77</v>
      </c>
      <c r="T8963">
        <v>20562</v>
      </c>
      <c r="U8963">
        <v>24191</v>
      </c>
      <c r="V8963" t="s">
        <v>77</v>
      </c>
    </row>
    <row r="8964" spans="1:22">
      <c r="A8964" t="str">
        <f t="shared" si="1702"/>
        <v>06/11/2025</v>
      </c>
      <c r="B8964" t="str">
        <f t="shared" si="1704"/>
        <v>SAÍDA</v>
      </c>
      <c r="C8964" t="str">
        <f t="shared" si="1705"/>
        <v>PIX</v>
      </c>
      <c r="D8964" t="str">
        <f>"24191"</f>
        <v>24191</v>
      </c>
      <c r="E8964" t="str">
        <f t="shared" si="1706"/>
        <v>1</v>
      </c>
      <c r="F8964" t="str">
        <f t="shared" si="1703"/>
        <v>COM</v>
      </c>
      <c r="G8964" t="str">
        <f>"BRUNO WAGNER DE CARVALHO OLIVEIRA (84)"</f>
        <v>BRUNO WAGNER DE CARVALHO OLIVEIRA (84)</v>
      </c>
      <c r="H8964" t="s">
        <v>2535</v>
      </c>
      <c r="I8964" t="str">
        <f t="shared" si="1709"/>
        <v>06/11/2025</v>
      </c>
      <c r="J8964" t="str">
        <f t="shared" si="1711"/>
        <v>24/10/2025</v>
      </c>
      <c r="K8964">
        <v>45967</v>
      </c>
      <c r="N8964">
        <v>109</v>
      </c>
      <c r="O8964" t="s">
        <v>24</v>
      </c>
      <c r="Q8964">
        <v>490</v>
      </c>
      <c r="R8964" t="str">
        <f>"FARMÁCIA INDIANA LJ 186 (10081)"</f>
        <v>FARMÁCIA INDIANA LJ 186 (10081)</v>
      </c>
      <c r="S8964" t="s">
        <v>77</v>
      </c>
      <c r="T8964">
        <v>20562</v>
      </c>
      <c r="U8964">
        <v>24191</v>
      </c>
      <c r="V8964" t="s">
        <v>77</v>
      </c>
    </row>
    <row r="8965" spans="1:22">
      <c r="A8965" t="str">
        <f t="shared" si="1702"/>
        <v>06/11/2025</v>
      </c>
      <c r="B8965" t="str">
        <f t="shared" si="1704"/>
        <v>SAÍDA</v>
      </c>
      <c r="C8965" t="str">
        <f t="shared" si="1705"/>
        <v>PIX</v>
      </c>
      <c r="D8965" t="str">
        <f>"24192"</f>
        <v>24192</v>
      </c>
      <c r="E8965" t="str">
        <f t="shared" si="1706"/>
        <v>1</v>
      </c>
      <c r="F8965" t="str">
        <f t="shared" si="1703"/>
        <v>COM</v>
      </c>
      <c r="G8965" t="str">
        <f>"CARLOS ROBERTO BADARÓ MACHADO (78)"</f>
        <v>CARLOS ROBERTO BADARÓ MACHADO (78)</v>
      </c>
      <c r="H8965" t="str">
        <f>"Serv.Prest. 20/10/2025 a 24/10/2025 - PIX: CELULAR - CHAVE: (32) 99166-8238"</f>
        <v>Serv.Prest. 20/10/2025 a 24/10/2025 - PIX: CELULAR - CHAVE: (32) 99166-8238</v>
      </c>
      <c r="I8965" t="str">
        <f t="shared" si="1709"/>
        <v>06/11/2025</v>
      </c>
      <c r="J8965" t="str">
        <f t="shared" si="1711"/>
        <v>24/10/2025</v>
      </c>
      <c r="K8965" t="str">
        <f>("06/11/2025")</f>
        <v>06/11/2025</v>
      </c>
      <c r="L8965">
        <v>1146</v>
      </c>
      <c r="M8965">
        <v>1146</v>
      </c>
      <c r="N8965">
        <v>109</v>
      </c>
      <c r="O8965" t="str">
        <f>"PAGAMENTO DE ENTREGADORES"</f>
        <v>PAGAMENTO DE ENTREGADORES</v>
      </c>
      <c r="P8965">
        <v>1146</v>
      </c>
      <c r="S8965" t="str">
        <f>"BANCO C6 (149)"</f>
        <v>BANCO C6 (149)</v>
      </c>
      <c r="T8965">
        <v>20563</v>
      </c>
      <c r="U8965">
        <v>24192</v>
      </c>
      <c r="V8965" t="s">
        <v>77</v>
      </c>
    </row>
    <row r="8966" spans="1:22">
      <c r="A8966" t="str">
        <f t="shared" si="1702"/>
        <v>06/11/2025</v>
      </c>
      <c r="B8966" t="str">
        <f t="shared" si="1704"/>
        <v>SAÍDA</v>
      </c>
      <c r="C8966" t="str">
        <f t="shared" si="1705"/>
        <v>PIX</v>
      </c>
      <c r="D8966" t="str">
        <f>"24192"</f>
        <v>24192</v>
      </c>
      <c r="E8966" t="str">
        <f t="shared" si="1706"/>
        <v>1</v>
      </c>
      <c r="F8966" t="str">
        <f t="shared" si="1703"/>
        <v>COM</v>
      </c>
      <c r="G8966" t="str">
        <f>"CARLOS ROBERTO BADARÓ MACHADO (78)"</f>
        <v>CARLOS ROBERTO BADARÓ MACHADO (78)</v>
      </c>
      <c r="H8966" t="s">
        <v>2536</v>
      </c>
      <c r="I8966" t="str">
        <f t="shared" si="1709"/>
        <v>06/11/2025</v>
      </c>
      <c r="J8966" t="str">
        <f t="shared" si="1711"/>
        <v>24/10/2025</v>
      </c>
      <c r="K8966">
        <v>45967</v>
      </c>
      <c r="N8966">
        <v>109</v>
      </c>
      <c r="O8966" t="s">
        <v>24</v>
      </c>
      <c r="Q8966">
        <v>1146</v>
      </c>
      <c r="R8966" t="str">
        <f>"FARMÁCIA INDIANA LJ 109 (10047)"</f>
        <v>FARMÁCIA INDIANA LJ 109 (10047)</v>
      </c>
      <c r="S8966" t="s">
        <v>77</v>
      </c>
      <c r="T8966">
        <v>20563</v>
      </c>
      <c r="U8966">
        <v>24192</v>
      </c>
      <c r="V8966" t="s">
        <v>77</v>
      </c>
    </row>
    <row r="8967" spans="1:22">
      <c r="A8967" t="str">
        <f t="shared" si="1702"/>
        <v>06/11/2025</v>
      </c>
      <c r="B8967" t="str">
        <f t="shared" si="1704"/>
        <v>SAÍDA</v>
      </c>
      <c r="C8967" t="str">
        <f t="shared" si="1705"/>
        <v>PIX</v>
      </c>
      <c r="D8967" t="str">
        <f>"24193"</f>
        <v>24193</v>
      </c>
      <c r="E8967" t="str">
        <f t="shared" si="1706"/>
        <v>1</v>
      </c>
      <c r="F8967" t="str">
        <f t="shared" si="1703"/>
        <v>COM</v>
      </c>
      <c r="G8967" t="str">
        <f>"CASSIO DIAS RIBEIRO (32)"</f>
        <v>CASSIO DIAS RIBEIRO (32)</v>
      </c>
      <c r="H8967" t="str">
        <f>"Serv.Prest. 20/10/2025 a 24/10/2025 - PIX: CPF - CHAVE: 091.575.986-14"</f>
        <v>Serv.Prest. 20/10/2025 a 24/10/2025 - PIX: CPF - CHAVE: 091.575.986-14</v>
      </c>
      <c r="I8967" t="str">
        <f t="shared" si="1709"/>
        <v>06/11/2025</v>
      </c>
      <c r="J8967" t="str">
        <f t="shared" si="1711"/>
        <v>24/10/2025</v>
      </c>
      <c r="K8967" t="str">
        <f>("06/11/2025")</f>
        <v>06/11/2025</v>
      </c>
      <c r="L8967">
        <v>984</v>
      </c>
      <c r="M8967">
        <v>984</v>
      </c>
      <c r="N8967">
        <v>109</v>
      </c>
      <c r="O8967" t="str">
        <f>"PAGAMENTO DE ENTREGADORES"</f>
        <v>PAGAMENTO DE ENTREGADORES</v>
      </c>
      <c r="P8967">
        <v>984</v>
      </c>
      <c r="S8967" t="str">
        <f>"BANCO C6 (149)"</f>
        <v>BANCO C6 (149)</v>
      </c>
      <c r="T8967">
        <v>20564</v>
      </c>
      <c r="U8967">
        <v>24193</v>
      </c>
      <c r="V8967" t="s">
        <v>77</v>
      </c>
    </row>
    <row r="8968" spans="1:22">
      <c r="A8968" t="str">
        <f t="shared" si="1702"/>
        <v>06/11/2025</v>
      </c>
      <c r="B8968" t="str">
        <f t="shared" si="1704"/>
        <v>SAÍDA</v>
      </c>
      <c r="C8968" t="str">
        <f t="shared" si="1705"/>
        <v>PIX</v>
      </c>
      <c r="D8968" t="str">
        <f>"24193"</f>
        <v>24193</v>
      </c>
      <c r="E8968" t="str">
        <f t="shared" si="1706"/>
        <v>1</v>
      </c>
      <c r="F8968" t="str">
        <f t="shared" si="1703"/>
        <v>COM</v>
      </c>
      <c r="G8968" t="str">
        <f>"CASSIO DIAS RIBEIRO (32)"</f>
        <v>CASSIO DIAS RIBEIRO (32)</v>
      </c>
      <c r="H8968" t="s">
        <v>2436</v>
      </c>
      <c r="I8968" t="str">
        <f t="shared" si="1709"/>
        <v>06/11/2025</v>
      </c>
      <c r="J8968" t="str">
        <f t="shared" si="1711"/>
        <v>24/10/2025</v>
      </c>
      <c r="K8968">
        <v>45967</v>
      </c>
      <c r="N8968">
        <v>109</v>
      </c>
      <c r="O8968" t="s">
        <v>24</v>
      </c>
      <c r="Q8968">
        <v>984</v>
      </c>
      <c r="R8968" t="str">
        <f>"FARMÁCIA INDIANA LJ 11 (10008)"</f>
        <v>FARMÁCIA INDIANA LJ 11 (10008)</v>
      </c>
      <c r="S8968" t="s">
        <v>77</v>
      </c>
      <c r="T8968">
        <v>20564</v>
      </c>
      <c r="U8968">
        <v>24193</v>
      </c>
      <c r="V8968" t="s">
        <v>77</v>
      </c>
    </row>
    <row r="8969" spans="1:22">
      <c r="A8969" t="str">
        <f t="shared" si="1702"/>
        <v>06/11/2025</v>
      </c>
      <c r="B8969" t="str">
        <f t="shared" si="1704"/>
        <v>SAÍDA</v>
      </c>
      <c r="C8969" t="str">
        <f t="shared" si="1705"/>
        <v>PIX</v>
      </c>
      <c r="D8969" t="str">
        <f>"24194"</f>
        <v>24194</v>
      </c>
      <c r="E8969" t="str">
        <f t="shared" si="1706"/>
        <v>1</v>
      </c>
      <c r="F8969" t="str">
        <f t="shared" si="1703"/>
        <v>COM</v>
      </c>
      <c r="G8969" t="str">
        <f>"CELIO JOSÉ RIBEIRO (189)"</f>
        <v>CELIO JOSÉ RIBEIRO (189)</v>
      </c>
      <c r="H8969" t="str">
        <f>"Serv.Prest. 20/10/2025 a 24/10/2025 - PIX: CELULAR - CHAVE: (33) 98845-4528"</f>
        <v>Serv.Prest. 20/10/2025 a 24/10/2025 - PIX: CELULAR - CHAVE: (33) 98845-4528</v>
      </c>
      <c r="I8969" t="str">
        <f t="shared" si="1709"/>
        <v>06/11/2025</v>
      </c>
      <c r="J8969" t="str">
        <f t="shared" si="1711"/>
        <v>24/10/2025</v>
      </c>
      <c r="K8969" t="str">
        <f>("06/11/2025")</f>
        <v>06/11/2025</v>
      </c>
      <c r="L8969">
        <v>810</v>
      </c>
      <c r="M8969">
        <v>810</v>
      </c>
      <c r="N8969">
        <v>109</v>
      </c>
      <c r="O8969" t="str">
        <f>"PAGAMENTO DE ENTREGADORES"</f>
        <v>PAGAMENTO DE ENTREGADORES</v>
      </c>
      <c r="P8969">
        <v>810</v>
      </c>
      <c r="S8969" t="str">
        <f>"BANCO C6 (149)"</f>
        <v>BANCO C6 (149)</v>
      </c>
      <c r="T8969">
        <v>20565</v>
      </c>
      <c r="U8969">
        <v>24194</v>
      </c>
      <c r="V8969" t="s">
        <v>77</v>
      </c>
    </row>
    <row r="8970" spans="1:22">
      <c r="A8970" t="str">
        <f t="shared" si="1702"/>
        <v>06/11/2025</v>
      </c>
      <c r="B8970" t="str">
        <f t="shared" si="1704"/>
        <v>SAÍDA</v>
      </c>
      <c r="C8970" t="str">
        <f t="shared" si="1705"/>
        <v>PIX</v>
      </c>
      <c r="D8970" t="str">
        <f>"24194"</f>
        <v>24194</v>
      </c>
      <c r="E8970" t="str">
        <f t="shared" si="1706"/>
        <v>1</v>
      </c>
      <c r="F8970" t="str">
        <f t="shared" si="1703"/>
        <v>COM</v>
      </c>
      <c r="G8970" t="str">
        <f>"CELIO JOSÉ RIBEIRO (189)"</f>
        <v>CELIO JOSÉ RIBEIRO (189)</v>
      </c>
      <c r="H8970" t="s">
        <v>2537</v>
      </c>
      <c r="I8970" t="str">
        <f t="shared" si="1709"/>
        <v>06/11/2025</v>
      </c>
      <c r="J8970" t="str">
        <f t="shared" si="1711"/>
        <v>24/10/2025</v>
      </c>
      <c r="K8970">
        <v>45967</v>
      </c>
      <c r="N8970">
        <v>109</v>
      </c>
      <c r="O8970" t="s">
        <v>24</v>
      </c>
      <c r="Q8970">
        <v>810</v>
      </c>
      <c r="R8970" t="str">
        <f>"FARMÁCIA INDIANA LJ 06 (10006)"</f>
        <v>FARMÁCIA INDIANA LJ 06 (10006)</v>
      </c>
      <c r="S8970" t="s">
        <v>77</v>
      </c>
      <c r="T8970">
        <v>20565</v>
      </c>
      <c r="U8970">
        <v>24194</v>
      </c>
      <c r="V8970" t="s">
        <v>77</v>
      </c>
    </row>
    <row r="8971" spans="1:22">
      <c r="A8971" t="str">
        <f t="shared" si="1702"/>
        <v>06/11/2025</v>
      </c>
      <c r="B8971" t="str">
        <f t="shared" si="1704"/>
        <v>SAÍDA</v>
      </c>
      <c r="C8971" t="str">
        <f t="shared" si="1705"/>
        <v>PIX</v>
      </c>
      <c r="D8971" t="str">
        <f>"24195"</f>
        <v>24195</v>
      </c>
      <c r="E8971" t="str">
        <f t="shared" si="1706"/>
        <v>1</v>
      </c>
      <c r="F8971" t="str">
        <f t="shared" si="1703"/>
        <v>COM</v>
      </c>
      <c r="G8971" t="str">
        <f>"CLEIDIOMAR RIBEIRO FERREIRA (34)"</f>
        <v>CLEIDIOMAR RIBEIRO FERREIRA (34)</v>
      </c>
      <c r="H8971" t="str">
        <f>"Serv.Prest. 20/10/2025 a 24/10/2025 - PIX: CELULAR - CHAVE: (31) 98511-2851"</f>
        <v>Serv.Prest. 20/10/2025 a 24/10/2025 - PIX: CELULAR - CHAVE: (31) 98511-2851</v>
      </c>
      <c r="I8971" t="str">
        <f t="shared" si="1709"/>
        <v>06/11/2025</v>
      </c>
      <c r="J8971" t="str">
        <f t="shared" si="1711"/>
        <v>24/10/2025</v>
      </c>
      <c r="K8971" t="str">
        <f>("06/11/2025")</f>
        <v>06/11/2025</v>
      </c>
      <c r="L8971">
        <v>888</v>
      </c>
      <c r="M8971">
        <v>888</v>
      </c>
      <c r="N8971">
        <v>109</v>
      </c>
      <c r="O8971" t="str">
        <f>"PAGAMENTO DE ENTREGADORES"</f>
        <v>PAGAMENTO DE ENTREGADORES</v>
      </c>
      <c r="P8971">
        <v>888</v>
      </c>
      <c r="S8971" t="str">
        <f>"BANCO C6 (149)"</f>
        <v>BANCO C6 (149)</v>
      </c>
      <c r="T8971">
        <v>20566</v>
      </c>
      <c r="U8971">
        <v>24195</v>
      </c>
      <c r="V8971" t="s">
        <v>77</v>
      </c>
    </row>
    <row r="8972" spans="1:22">
      <c r="A8972" t="str">
        <f t="shared" si="1702"/>
        <v>06/11/2025</v>
      </c>
      <c r="B8972" t="str">
        <f t="shared" si="1704"/>
        <v>SAÍDA</v>
      </c>
      <c r="C8972" t="str">
        <f t="shared" si="1705"/>
        <v>PIX</v>
      </c>
      <c r="D8972" t="str">
        <f>"24195"</f>
        <v>24195</v>
      </c>
      <c r="E8972" t="str">
        <f t="shared" si="1706"/>
        <v>1</v>
      </c>
      <c r="F8972" t="str">
        <f t="shared" si="1703"/>
        <v>COM</v>
      </c>
      <c r="G8972" t="str">
        <f>"CLEIDIOMAR RIBEIRO FERREIRA (34)"</f>
        <v>CLEIDIOMAR RIBEIRO FERREIRA (34)</v>
      </c>
      <c r="H8972" t="s">
        <v>2538</v>
      </c>
      <c r="I8972" t="str">
        <f t="shared" si="1709"/>
        <v>06/11/2025</v>
      </c>
      <c r="J8972" t="str">
        <f t="shared" si="1711"/>
        <v>24/10/2025</v>
      </c>
      <c r="K8972">
        <v>45967</v>
      </c>
      <c r="N8972">
        <v>109</v>
      </c>
      <c r="O8972" t="s">
        <v>24</v>
      </c>
      <c r="Q8972">
        <v>888</v>
      </c>
      <c r="R8972" t="str">
        <f>"FARMÁCIA INDIANA LJ 11 (10008)"</f>
        <v>FARMÁCIA INDIANA LJ 11 (10008)</v>
      </c>
      <c r="S8972" t="s">
        <v>77</v>
      </c>
      <c r="T8972">
        <v>20566</v>
      </c>
      <c r="U8972">
        <v>24195</v>
      </c>
      <c r="V8972" t="s">
        <v>77</v>
      </c>
    </row>
    <row r="8973" spans="1:22">
      <c r="A8973" t="str">
        <f t="shared" si="1702"/>
        <v>06/11/2025</v>
      </c>
      <c r="B8973" t="str">
        <f t="shared" si="1704"/>
        <v>SAÍDA</v>
      </c>
      <c r="C8973" t="str">
        <f t="shared" si="1705"/>
        <v>PIX</v>
      </c>
      <c r="D8973" t="str">
        <f>"24196"</f>
        <v>24196</v>
      </c>
      <c r="E8973" t="str">
        <f t="shared" si="1706"/>
        <v>1</v>
      </c>
      <c r="F8973" t="str">
        <f t="shared" si="1703"/>
        <v>COM</v>
      </c>
      <c r="G8973" t="str">
        <f>"CRISTIANO XAVIER DA COSTA (269)"</f>
        <v>CRISTIANO XAVIER DA COSTA (269)</v>
      </c>
      <c r="H8973" t="str">
        <f>"Serv.Prest. 20/10/2025 a 24/10/2025 - PIX: CELULAR - CHAVE: (32) 99177-6167"</f>
        <v>Serv.Prest. 20/10/2025 a 24/10/2025 - PIX: CELULAR - CHAVE: (32) 99177-6167</v>
      </c>
      <c r="I8973" t="str">
        <f t="shared" si="1709"/>
        <v>06/11/2025</v>
      </c>
      <c r="J8973" t="str">
        <f t="shared" si="1711"/>
        <v>24/10/2025</v>
      </c>
      <c r="K8973" t="str">
        <f>("06/11/2025")</f>
        <v>06/11/2025</v>
      </c>
      <c r="L8973">
        <v>2040</v>
      </c>
      <c r="M8973">
        <v>2040</v>
      </c>
      <c r="N8973">
        <v>109</v>
      </c>
      <c r="O8973" t="str">
        <f>"PAGAMENTO DE ENTREGADORES"</f>
        <v>PAGAMENTO DE ENTREGADORES</v>
      </c>
      <c r="P8973">
        <v>2040</v>
      </c>
      <c r="S8973" t="str">
        <f>"BANCO C6 (149)"</f>
        <v>BANCO C6 (149)</v>
      </c>
      <c r="T8973">
        <v>20567</v>
      </c>
      <c r="U8973">
        <v>24196</v>
      </c>
      <c r="V8973" t="s">
        <v>77</v>
      </c>
    </row>
    <row r="8974" spans="1:22">
      <c r="A8974" t="str">
        <f t="shared" si="1702"/>
        <v>06/11/2025</v>
      </c>
      <c r="B8974" t="str">
        <f t="shared" si="1704"/>
        <v>SAÍDA</v>
      </c>
      <c r="C8974" t="str">
        <f t="shared" si="1705"/>
        <v>PIX</v>
      </c>
      <c r="D8974" t="str">
        <f>"24196"</f>
        <v>24196</v>
      </c>
      <c r="E8974" t="str">
        <f t="shared" si="1706"/>
        <v>1</v>
      </c>
      <c r="F8974" t="str">
        <f t="shared" si="1703"/>
        <v>COM</v>
      </c>
      <c r="G8974" t="str">
        <f>"CRISTIANO XAVIER DA COSTA (269)"</f>
        <v>CRISTIANO XAVIER DA COSTA (269)</v>
      </c>
      <c r="H8974" t="s">
        <v>2539</v>
      </c>
      <c r="I8974" t="str">
        <f t="shared" si="1709"/>
        <v>06/11/2025</v>
      </c>
      <c r="J8974" t="str">
        <f t="shared" si="1711"/>
        <v>24/10/2025</v>
      </c>
      <c r="K8974">
        <v>45967</v>
      </c>
      <c r="N8974">
        <v>109</v>
      </c>
      <c r="O8974" t="s">
        <v>24</v>
      </c>
      <c r="Q8974">
        <v>954.11</v>
      </c>
      <c r="R8974" t="str">
        <f>"FARMÁCIA INDIANA LJ 207 (10088)"</f>
        <v>FARMÁCIA INDIANA LJ 207 (10088)</v>
      </c>
      <c r="S8974" t="s">
        <v>77</v>
      </c>
      <c r="T8974">
        <v>20567</v>
      </c>
      <c r="U8974">
        <v>24196</v>
      </c>
      <c r="V8974" t="s">
        <v>77</v>
      </c>
    </row>
    <row r="8975" spans="1:22">
      <c r="A8975" t="str">
        <f t="shared" si="1702"/>
        <v>06/11/2025</v>
      </c>
      <c r="B8975" t="str">
        <f t="shared" si="1704"/>
        <v>SAÍDA</v>
      </c>
      <c r="C8975" t="str">
        <f t="shared" si="1705"/>
        <v>PIX</v>
      </c>
      <c r="D8975" t="str">
        <f>"24196"</f>
        <v>24196</v>
      </c>
      <c r="E8975" t="str">
        <f t="shared" si="1706"/>
        <v>1</v>
      </c>
      <c r="F8975" t="str">
        <f t="shared" si="1703"/>
        <v>COM</v>
      </c>
      <c r="G8975" t="str">
        <f>"CRISTIANO XAVIER DA COSTA (269)"</f>
        <v>CRISTIANO XAVIER DA COSTA (269)</v>
      </c>
      <c r="H8975" t="s">
        <v>2539</v>
      </c>
      <c r="I8975" t="str">
        <f t="shared" si="1709"/>
        <v>06/11/2025</v>
      </c>
      <c r="J8975" t="str">
        <f t="shared" si="1711"/>
        <v>24/10/2025</v>
      </c>
      <c r="K8975">
        <v>45967</v>
      </c>
      <c r="N8975">
        <v>109</v>
      </c>
      <c r="O8975" t="s">
        <v>24</v>
      </c>
      <c r="Q8975">
        <v>1085.8900000000001</v>
      </c>
      <c r="R8975" t="str">
        <f>"FARMÁCIA INDIANA LJ 209 (10089)"</f>
        <v>FARMÁCIA INDIANA LJ 209 (10089)</v>
      </c>
      <c r="S8975" t="s">
        <v>77</v>
      </c>
      <c r="T8975">
        <v>20567</v>
      </c>
      <c r="U8975">
        <v>24196</v>
      </c>
      <c r="V8975" t="s">
        <v>77</v>
      </c>
    </row>
    <row r="8976" spans="1:22">
      <c r="A8976" t="str">
        <f t="shared" si="1702"/>
        <v>06/11/2025</v>
      </c>
      <c r="B8976" t="str">
        <f t="shared" si="1704"/>
        <v>SAÍDA</v>
      </c>
      <c r="C8976" t="str">
        <f t="shared" si="1705"/>
        <v>PIX</v>
      </c>
      <c r="D8976" t="str">
        <f>"24197"</f>
        <v>24197</v>
      </c>
      <c r="E8976" t="str">
        <f t="shared" si="1706"/>
        <v>1</v>
      </c>
      <c r="F8976" t="str">
        <f t="shared" si="1703"/>
        <v>COM</v>
      </c>
      <c r="G8976" t="str">
        <f>"DAMÁSIO JOSÉ DO NASCIMENTO NETO (147)"</f>
        <v>DAMÁSIO JOSÉ DO NASCIMENTO NETO (147)</v>
      </c>
      <c r="H8976" t="str">
        <f>"Serv.Prest. 20/10/2025 a 24/10/2025 - PIX: CPF - CHAVE: 110.483.296-82"</f>
        <v>Serv.Prest. 20/10/2025 a 24/10/2025 - PIX: CPF - CHAVE: 110.483.296-82</v>
      </c>
      <c r="I8976" t="str">
        <f t="shared" si="1709"/>
        <v>06/11/2025</v>
      </c>
      <c r="J8976" t="str">
        <f t="shared" si="1711"/>
        <v>24/10/2025</v>
      </c>
      <c r="K8976" t="str">
        <f>("06/11/2025")</f>
        <v>06/11/2025</v>
      </c>
      <c r="L8976">
        <v>780</v>
      </c>
      <c r="M8976">
        <v>780</v>
      </c>
      <c r="N8976">
        <v>109</v>
      </c>
      <c r="O8976" t="str">
        <f>"PAGAMENTO DE ENTREGADORES"</f>
        <v>PAGAMENTO DE ENTREGADORES</v>
      </c>
      <c r="P8976">
        <v>780</v>
      </c>
      <c r="S8976" t="str">
        <f>"BANCO C6 (149)"</f>
        <v>BANCO C6 (149)</v>
      </c>
      <c r="T8976">
        <v>20568</v>
      </c>
      <c r="U8976">
        <v>24197</v>
      </c>
      <c r="V8976" t="s">
        <v>77</v>
      </c>
    </row>
    <row r="8977" spans="1:22">
      <c r="A8977" t="str">
        <f t="shared" si="1702"/>
        <v>06/11/2025</v>
      </c>
      <c r="B8977" t="str">
        <f t="shared" si="1704"/>
        <v>SAÍDA</v>
      </c>
      <c r="C8977" t="str">
        <f t="shared" si="1705"/>
        <v>PIX</v>
      </c>
      <c r="D8977" t="str">
        <f>"24197"</f>
        <v>24197</v>
      </c>
      <c r="E8977" t="str">
        <f t="shared" si="1706"/>
        <v>1</v>
      </c>
      <c r="F8977" t="str">
        <f t="shared" si="1703"/>
        <v>COM</v>
      </c>
      <c r="G8977" t="str">
        <f>"DAMÁSIO JOSÉ DO NASCIMENTO NETO (147)"</f>
        <v>DAMÁSIO JOSÉ DO NASCIMENTO NETO (147)</v>
      </c>
      <c r="H8977" t="s">
        <v>2540</v>
      </c>
      <c r="I8977" t="str">
        <f t="shared" si="1709"/>
        <v>06/11/2025</v>
      </c>
      <c r="J8977" t="str">
        <f t="shared" ref="J8977:J9008" si="1712">("24/10/2025")</f>
        <v>24/10/2025</v>
      </c>
      <c r="K8977">
        <v>45967</v>
      </c>
      <c r="N8977">
        <v>109</v>
      </c>
      <c r="O8977" t="s">
        <v>24</v>
      </c>
      <c r="Q8977">
        <v>18.02</v>
      </c>
      <c r="R8977" t="str">
        <f>"FARMÁCIA INDIANA LJ 18 (10011)"</f>
        <v>FARMÁCIA INDIANA LJ 18 (10011)</v>
      </c>
      <c r="S8977" t="s">
        <v>77</v>
      </c>
      <c r="T8977">
        <v>20568</v>
      </c>
      <c r="U8977">
        <v>24197</v>
      </c>
      <c r="V8977" t="s">
        <v>77</v>
      </c>
    </row>
    <row r="8978" spans="1:22">
      <c r="A8978" t="str">
        <f t="shared" si="1702"/>
        <v>06/11/2025</v>
      </c>
      <c r="B8978" t="str">
        <f t="shared" si="1704"/>
        <v>SAÍDA</v>
      </c>
      <c r="C8978" t="str">
        <f t="shared" si="1705"/>
        <v>PIX</v>
      </c>
      <c r="D8978" t="str">
        <f>"24197"</f>
        <v>24197</v>
      </c>
      <c r="E8978" t="str">
        <f t="shared" si="1706"/>
        <v>1</v>
      </c>
      <c r="F8978" t="str">
        <f t="shared" si="1703"/>
        <v>COM</v>
      </c>
      <c r="G8978" t="str">
        <f>"DAMÁSIO JOSÉ DO NASCIMENTO NETO (147)"</f>
        <v>DAMÁSIO JOSÉ DO NASCIMENTO NETO (147)</v>
      </c>
      <c r="H8978" t="s">
        <v>2540</v>
      </c>
      <c r="I8978" t="str">
        <f t="shared" si="1709"/>
        <v>06/11/2025</v>
      </c>
      <c r="J8978" t="str">
        <f t="shared" si="1712"/>
        <v>24/10/2025</v>
      </c>
      <c r="K8978">
        <v>45967</v>
      </c>
      <c r="N8978">
        <v>109</v>
      </c>
      <c r="O8978" t="s">
        <v>24</v>
      </c>
      <c r="Q8978">
        <v>761.98</v>
      </c>
      <c r="R8978" t="str">
        <f>"FARMÁCIA INDIANA LJ 142 (10066)"</f>
        <v>FARMÁCIA INDIANA LJ 142 (10066)</v>
      </c>
      <c r="S8978" t="s">
        <v>77</v>
      </c>
      <c r="T8978">
        <v>20568</v>
      </c>
      <c r="U8978">
        <v>24197</v>
      </c>
      <c r="V8978" t="s">
        <v>77</v>
      </c>
    </row>
    <row r="8979" spans="1:22">
      <c r="A8979" t="str">
        <f t="shared" si="1702"/>
        <v>06/11/2025</v>
      </c>
      <c r="B8979" t="str">
        <f t="shared" si="1704"/>
        <v>SAÍDA</v>
      </c>
      <c r="C8979" t="str">
        <f t="shared" si="1705"/>
        <v>PIX</v>
      </c>
      <c r="D8979" t="str">
        <f>"24198"</f>
        <v>24198</v>
      </c>
      <c r="E8979" t="str">
        <f t="shared" si="1706"/>
        <v>1</v>
      </c>
      <c r="F8979" t="str">
        <f t="shared" si="1703"/>
        <v>COM</v>
      </c>
      <c r="G8979" t="str">
        <f>"DANILO WASHINGTON DOS SANTOS (770)"</f>
        <v>DANILO WASHINGTON DOS SANTOS (770)</v>
      </c>
      <c r="H8979" t="str">
        <f>"Serv.Prest. 20/10/2025 a 24/10/2025 - PIX: CELULAR - CHAVE: (33) 98749-5105"</f>
        <v>Serv.Prest. 20/10/2025 a 24/10/2025 - PIX: CELULAR - CHAVE: (33) 98749-5105</v>
      </c>
      <c r="I8979" t="str">
        <f t="shared" si="1709"/>
        <v>06/11/2025</v>
      </c>
      <c r="J8979" t="str">
        <f t="shared" si="1712"/>
        <v>24/10/2025</v>
      </c>
      <c r="K8979" t="str">
        <f>("06/11/2025")</f>
        <v>06/11/2025</v>
      </c>
      <c r="L8979">
        <v>678</v>
      </c>
      <c r="M8979">
        <v>678</v>
      </c>
      <c r="N8979">
        <v>109</v>
      </c>
      <c r="O8979" t="str">
        <f>"PAGAMENTO DE ENTREGADORES"</f>
        <v>PAGAMENTO DE ENTREGADORES</v>
      </c>
      <c r="P8979">
        <v>678</v>
      </c>
      <c r="S8979" t="str">
        <f>"BANCO C6 (149)"</f>
        <v>BANCO C6 (149)</v>
      </c>
      <c r="T8979">
        <v>20569</v>
      </c>
      <c r="U8979">
        <v>24198</v>
      </c>
      <c r="V8979" t="s">
        <v>77</v>
      </c>
    </row>
    <row r="8980" spans="1:22">
      <c r="A8980" t="str">
        <f t="shared" si="1702"/>
        <v>06/11/2025</v>
      </c>
      <c r="B8980" t="str">
        <f t="shared" si="1704"/>
        <v>SAÍDA</v>
      </c>
      <c r="C8980" t="str">
        <f t="shared" si="1705"/>
        <v>PIX</v>
      </c>
      <c r="D8980" t="str">
        <f>"24198"</f>
        <v>24198</v>
      </c>
      <c r="E8980" t="str">
        <f t="shared" si="1706"/>
        <v>1</v>
      </c>
      <c r="F8980" t="str">
        <f t="shared" si="1703"/>
        <v>COM</v>
      </c>
      <c r="G8980" t="str">
        <f>"DANILO WASHINGTON DOS SANTOS (770)"</f>
        <v>DANILO WASHINGTON DOS SANTOS (770)</v>
      </c>
      <c r="H8980" t="s">
        <v>2541</v>
      </c>
      <c r="I8980" t="str">
        <f t="shared" si="1709"/>
        <v>06/11/2025</v>
      </c>
      <c r="J8980" t="str">
        <f t="shared" si="1712"/>
        <v>24/10/2025</v>
      </c>
      <c r="K8980">
        <v>45967</v>
      </c>
      <c r="N8980">
        <v>109</v>
      </c>
      <c r="O8980" t="s">
        <v>24</v>
      </c>
      <c r="Q8980">
        <v>678</v>
      </c>
      <c r="R8980" t="str">
        <f>"FARMÁCIA INDIANA LJ 07 (10007)"</f>
        <v>FARMÁCIA INDIANA LJ 07 (10007)</v>
      </c>
      <c r="S8980" t="s">
        <v>77</v>
      </c>
      <c r="T8980">
        <v>20569</v>
      </c>
      <c r="U8980">
        <v>24198</v>
      </c>
      <c r="V8980" t="s">
        <v>77</v>
      </c>
    </row>
    <row r="8981" spans="1:22">
      <c r="A8981" t="str">
        <f t="shared" si="1702"/>
        <v>06/11/2025</v>
      </c>
      <c r="B8981" t="str">
        <f t="shared" si="1704"/>
        <v>SAÍDA</v>
      </c>
      <c r="C8981" t="str">
        <f t="shared" si="1705"/>
        <v>PIX</v>
      </c>
      <c r="D8981" t="str">
        <f>"24199"</f>
        <v>24199</v>
      </c>
      <c r="E8981" t="str">
        <f t="shared" si="1706"/>
        <v>1</v>
      </c>
      <c r="F8981" t="str">
        <f t="shared" si="1703"/>
        <v>COM</v>
      </c>
      <c r="G8981" t="str">
        <f>"DANTE SOARES DA SILVA (416)"</f>
        <v>DANTE SOARES DA SILVA (416)</v>
      </c>
      <c r="H8981" t="str">
        <f>"Serv.Prest. 20/10/2025 a 24/10/2025 - PIX: CELULAR - CHAVE: (33) 99802-1883"</f>
        <v>Serv.Prest. 20/10/2025 a 24/10/2025 - PIX: CELULAR - CHAVE: (33) 99802-1883</v>
      </c>
      <c r="I8981" t="str">
        <f t="shared" si="1709"/>
        <v>06/11/2025</v>
      </c>
      <c r="J8981" t="str">
        <f t="shared" si="1712"/>
        <v>24/10/2025</v>
      </c>
      <c r="K8981" t="str">
        <f>("06/11/2025")</f>
        <v>06/11/2025</v>
      </c>
      <c r="L8981">
        <v>68.599999999999994</v>
      </c>
      <c r="M8981">
        <v>68.599999999999994</v>
      </c>
      <c r="N8981">
        <v>109</v>
      </c>
      <c r="O8981" t="str">
        <f>"PAGAMENTO DE ENTREGADORES"</f>
        <v>PAGAMENTO DE ENTREGADORES</v>
      </c>
      <c r="P8981">
        <v>68.599999999999994</v>
      </c>
      <c r="S8981" t="str">
        <f>"BANCO C6 (149)"</f>
        <v>BANCO C6 (149)</v>
      </c>
      <c r="T8981">
        <v>20570</v>
      </c>
      <c r="U8981">
        <v>24199</v>
      </c>
      <c r="V8981" t="s">
        <v>77</v>
      </c>
    </row>
    <row r="8982" spans="1:22">
      <c r="A8982" t="str">
        <f t="shared" si="1702"/>
        <v>06/11/2025</v>
      </c>
      <c r="B8982" t="str">
        <f t="shared" si="1704"/>
        <v>SAÍDA</v>
      </c>
      <c r="C8982" t="str">
        <f t="shared" si="1705"/>
        <v>PIX</v>
      </c>
      <c r="D8982" t="str">
        <f>"24199"</f>
        <v>24199</v>
      </c>
      <c r="E8982" t="str">
        <f t="shared" si="1706"/>
        <v>1</v>
      </c>
      <c r="F8982" t="str">
        <f t="shared" si="1703"/>
        <v>COM</v>
      </c>
      <c r="G8982" t="str">
        <f>"DANTE SOARES DA SILVA (416)"</f>
        <v>DANTE SOARES DA SILVA (416)</v>
      </c>
      <c r="H8982" t="s">
        <v>2542</v>
      </c>
      <c r="I8982" t="str">
        <f t="shared" si="1709"/>
        <v>06/11/2025</v>
      </c>
      <c r="J8982" t="str">
        <f t="shared" si="1712"/>
        <v>24/10/2025</v>
      </c>
      <c r="K8982">
        <v>45967</v>
      </c>
      <c r="N8982">
        <v>109</v>
      </c>
      <c r="O8982" t="s">
        <v>24</v>
      </c>
      <c r="Q8982">
        <v>68.599999999999994</v>
      </c>
      <c r="R8982" t="str">
        <f>"FARMÁCIA INDIANA LJ 59 (10026)"</f>
        <v>FARMÁCIA INDIANA LJ 59 (10026)</v>
      </c>
      <c r="S8982" t="s">
        <v>77</v>
      </c>
      <c r="T8982">
        <v>20570</v>
      </c>
      <c r="U8982">
        <v>24199</v>
      </c>
      <c r="V8982" t="s">
        <v>77</v>
      </c>
    </row>
    <row r="8983" spans="1:22">
      <c r="A8983" t="str">
        <f t="shared" si="1702"/>
        <v>06/11/2025</v>
      </c>
      <c r="B8983" t="str">
        <f t="shared" si="1704"/>
        <v>SAÍDA</v>
      </c>
      <c r="C8983" t="str">
        <f t="shared" si="1705"/>
        <v>PIX</v>
      </c>
      <c r="D8983" t="str">
        <f>"24200"</f>
        <v>24200</v>
      </c>
      <c r="E8983" t="str">
        <f t="shared" si="1706"/>
        <v>1</v>
      </c>
      <c r="F8983" t="str">
        <f t="shared" si="1703"/>
        <v>COM</v>
      </c>
      <c r="G8983" t="str">
        <f>"DEVANILDO PONTES CASAGRANDE (179)"</f>
        <v>DEVANILDO PONTES CASAGRANDE (179)</v>
      </c>
      <c r="H8983" t="str">
        <f>"Serv.Prest. 20/10/2025 a 24/10/2025 - PIX: CELULAR - CHAVE: (31) 99610-7049"</f>
        <v>Serv.Prest. 20/10/2025 a 24/10/2025 - PIX: CELULAR - CHAVE: (31) 99610-7049</v>
      </c>
      <c r="I8983" t="str">
        <f t="shared" si="1709"/>
        <v>06/11/2025</v>
      </c>
      <c r="J8983" t="str">
        <f t="shared" si="1712"/>
        <v>24/10/2025</v>
      </c>
      <c r="K8983" t="str">
        <f>("06/11/2025")</f>
        <v>06/11/2025</v>
      </c>
      <c r="L8983">
        <v>552</v>
      </c>
      <c r="M8983">
        <v>552</v>
      </c>
      <c r="N8983">
        <v>109</v>
      </c>
      <c r="O8983" t="str">
        <f>"PAGAMENTO DE ENTREGADORES"</f>
        <v>PAGAMENTO DE ENTREGADORES</v>
      </c>
      <c r="P8983">
        <v>552</v>
      </c>
      <c r="S8983" t="str">
        <f>"BANCO C6 (149)"</f>
        <v>BANCO C6 (149)</v>
      </c>
      <c r="T8983">
        <v>20571</v>
      </c>
      <c r="U8983">
        <v>24200</v>
      </c>
      <c r="V8983" t="s">
        <v>77</v>
      </c>
    </row>
    <row r="8984" spans="1:22">
      <c r="A8984" t="str">
        <f t="shared" si="1702"/>
        <v>06/11/2025</v>
      </c>
      <c r="B8984" t="str">
        <f t="shared" si="1704"/>
        <v>SAÍDA</v>
      </c>
      <c r="C8984" t="str">
        <f t="shared" si="1705"/>
        <v>PIX</v>
      </c>
      <c r="D8984" t="str">
        <f>"24200"</f>
        <v>24200</v>
      </c>
      <c r="E8984" t="str">
        <f t="shared" si="1706"/>
        <v>1</v>
      </c>
      <c r="F8984" t="str">
        <f t="shared" si="1703"/>
        <v>COM</v>
      </c>
      <c r="G8984" t="str">
        <f>"DEVANILDO PONTES CASAGRANDE (179)"</f>
        <v>DEVANILDO PONTES CASAGRANDE (179)</v>
      </c>
      <c r="H8984" t="s">
        <v>2543</v>
      </c>
      <c r="I8984" t="str">
        <f t="shared" si="1709"/>
        <v>06/11/2025</v>
      </c>
      <c r="J8984" t="str">
        <f t="shared" si="1712"/>
        <v>24/10/2025</v>
      </c>
      <c r="K8984">
        <v>45967</v>
      </c>
      <c r="N8984">
        <v>109</v>
      </c>
      <c r="O8984" t="s">
        <v>24</v>
      </c>
      <c r="Q8984">
        <v>552</v>
      </c>
      <c r="R8984" t="str">
        <f>"FARMÁCIA INDIANA LJ 142 (10066)"</f>
        <v>FARMÁCIA INDIANA LJ 142 (10066)</v>
      </c>
      <c r="S8984" t="s">
        <v>77</v>
      </c>
      <c r="T8984">
        <v>20571</v>
      </c>
      <c r="U8984">
        <v>24200</v>
      </c>
      <c r="V8984" t="s">
        <v>77</v>
      </c>
    </row>
    <row r="8985" spans="1:22">
      <c r="A8985" t="str">
        <f t="shared" si="1702"/>
        <v>06/11/2025</v>
      </c>
      <c r="B8985" t="str">
        <f t="shared" si="1704"/>
        <v>SAÍDA</v>
      </c>
      <c r="C8985" t="str">
        <f t="shared" si="1705"/>
        <v>PIX</v>
      </c>
      <c r="D8985" t="str">
        <f>"24201"</f>
        <v>24201</v>
      </c>
      <c r="E8985" t="str">
        <f t="shared" si="1706"/>
        <v>1</v>
      </c>
      <c r="F8985" t="str">
        <f t="shared" si="1703"/>
        <v>COM</v>
      </c>
      <c r="G8985" t="str">
        <f>"DIEGO DAYSON FERNANDES VIEIRA (893)"</f>
        <v>DIEGO DAYSON FERNANDES VIEIRA (893)</v>
      </c>
      <c r="H8985" t="str">
        <f>"Serv.Prest. 20/10/2025 a 24/10/2025 - PIX: E-MAIL - CHAVE: turano296801@gmail.com"</f>
        <v>Serv.Prest. 20/10/2025 a 24/10/2025 - PIX: E-MAIL - CHAVE: turano296801@gmail.com</v>
      </c>
      <c r="I8985" t="str">
        <f t="shared" si="1709"/>
        <v>06/11/2025</v>
      </c>
      <c r="J8985" t="str">
        <f t="shared" si="1712"/>
        <v>24/10/2025</v>
      </c>
      <c r="K8985" t="str">
        <f>("06/11/2025")</f>
        <v>06/11/2025</v>
      </c>
      <c r="L8985">
        <v>800</v>
      </c>
      <c r="M8985">
        <v>800</v>
      </c>
      <c r="N8985">
        <v>109</v>
      </c>
      <c r="O8985" t="str">
        <f>"PAGAMENTO DE ENTREGADORES"</f>
        <v>PAGAMENTO DE ENTREGADORES</v>
      </c>
      <c r="P8985">
        <v>800</v>
      </c>
      <c r="S8985" t="str">
        <f>"BANCO C6 (149)"</f>
        <v>BANCO C6 (149)</v>
      </c>
      <c r="T8985">
        <v>20572</v>
      </c>
      <c r="U8985">
        <v>24201</v>
      </c>
      <c r="V8985" t="s">
        <v>77</v>
      </c>
    </row>
    <row r="8986" spans="1:22">
      <c r="A8986" t="str">
        <f t="shared" si="1702"/>
        <v>06/11/2025</v>
      </c>
      <c r="B8986" t="str">
        <f t="shared" si="1704"/>
        <v>SAÍDA</v>
      </c>
      <c r="C8986" t="str">
        <f t="shared" si="1705"/>
        <v>PIX</v>
      </c>
      <c r="D8986" t="str">
        <f>"24201"</f>
        <v>24201</v>
      </c>
      <c r="E8986" t="str">
        <f t="shared" si="1706"/>
        <v>1</v>
      </c>
      <c r="F8986" t="str">
        <f t="shared" si="1703"/>
        <v>COM</v>
      </c>
      <c r="G8986" t="str">
        <f>"DIEGO DAYSON FERNANDES VIEIRA (893)"</f>
        <v>DIEGO DAYSON FERNANDES VIEIRA (893)</v>
      </c>
      <c r="H8986" t="s">
        <v>2544</v>
      </c>
      <c r="I8986" t="str">
        <f t="shared" si="1709"/>
        <v>06/11/2025</v>
      </c>
      <c r="J8986" t="str">
        <f t="shared" si="1712"/>
        <v>24/10/2025</v>
      </c>
      <c r="K8986">
        <v>45967</v>
      </c>
      <c r="N8986">
        <v>109</v>
      </c>
      <c r="O8986" t="s">
        <v>24</v>
      </c>
      <c r="Q8986">
        <v>800</v>
      </c>
      <c r="R8986" t="str">
        <f>"FARMÁCIA INDIANA LJ 205 (10150)"</f>
        <v>FARMÁCIA INDIANA LJ 205 (10150)</v>
      </c>
      <c r="S8986" t="s">
        <v>77</v>
      </c>
      <c r="T8986">
        <v>20572</v>
      </c>
      <c r="U8986">
        <v>24201</v>
      </c>
      <c r="V8986" t="s">
        <v>77</v>
      </c>
    </row>
    <row r="8987" spans="1:22">
      <c r="A8987" t="str">
        <f t="shared" si="1702"/>
        <v>06/11/2025</v>
      </c>
      <c r="B8987" t="str">
        <f t="shared" si="1704"/>
        <v>SAÍDA</v>
      </c>
      <c r="C8987" t="str">
        <f t="shared" si="1705"/>
        <v>PIX</v>
      </c>
      <c r="D8987" t="str">
        <f>"24202"</f>
        <v>24202</v>
      </c>
      <c r="E8987" t="str">
        <f t="shared" si="1706"/>
        <v>1</v>
      </c>
      <c r="F8987" t="str">
        <f t="shared" si="1703"/>
        <v>COM</v>
      </c>
      <c r="G8987" t="str">
        <f>"DIEGO DIRLEY RIBEIRO (38)"</f>
        <v>DIEGO DIRLEY RIBEIRO (38)</v>
      </c>
      <c r="H8987" t="str">
        <f>"Serv.Prest. 20/10/2025 a 24/10/2025 - PIX: CPF - CHAVE: 102.023.716-38"</f>
        <v>Serv.Prest. 20/10/2025 a 24/10/2025 - PIX: CPF - CHAVE: 102.023.716-38</v>
      </c>
      <c r="I8987" t="str">
        <f t="shared" si="1709"/>
        <v>06/11/2025</v>
      </c>
      <c r="J8987" t="str">
        <f t="shared" si="1712"/>
        <v>24/10/2025</v>
      </c>
      <c r="K8987" t="str">
        <f>("06/11/2025")</f>
        <v>06/11/2025</v>
      </c>
      <c r="L8987">
        <v>1188</v>
      </c>
      <c r="M8987">
        <v>1188</v>
      </c>
      <c r="N8987">
        <v>109</v>
      </c>
      <c r="O8987" t="str">
        <f>"PAGAMENTO DE ENTREGADORES"</f>
        <v>PAGAMENTO DE ENTREGADORES</v>
      </c>
      <c r="P8987">
        <v>1188</v>
      </c>
      <c r="S8987" t="str">
        <f>"BANCO C6 (149)"</f>
        <v>BANCO C6 (149)</v>
      </c>
      <c r="T8987">
        <v>20573</v>
      </c>
      <c r="U8987">
        <v>24202</v>
      </c>
      <c r="V8987" t="s">
        <v>77</v>
      </c>
    </row>
    <row r="8988" spans="1:22">
      <c r="A8988" t="str">
        <f t="shared" si="1702"/>
        <v>06/11/2025</v>
      </c>
      <c r="B8988" t="str">
        <f t="shared" si="1704"/>
        <v>SAÍDA</v>
      </c>
      <c r="C8988" t="str">
        <f t="shared" si="1705"/>
        <v>PIX</v>
      </c>
      <c r="D8988" t="str">
        <f>"24202"</f>
        <v>24202</v>
      </c>
      <c r="E8988" t="str">
        <f t="shared" si="1706"/>
        <v>1</v>
      </c>
      <c r="F8988" t="str">
        <f t="shared" si="1703"/>
        <v>COM</v>
      </c>
      <c r="G8988" t="str">
        <f>"DIEGO DIRLEY RIBEIRO (38)"</f>
        <v>DIEGO DIRLEY RIBEIRO (38)</v>
      </c>
      <c r="H8988" t="s">
        <v>2545</v>
      </c>
      <c r="I8988" t="str">
        <f t="shared" si="1709"/>
        <v>06/11/2025</v>
      </c>
      <c r="J8988" t="str">
        <f t="shared" si="1712"/>
        <v>24/10/2025</v>
      </c>
      <c r="K8988">
        <v>45967</v>
      </c>
      <c r="N8988">
        <v>109</v>
      </c>
      <c r="O8988" t="s">
        <v>24</v>
      </c>
      <c r="Q8988">
        <v>1188</v>
      </c>
      <c r="R8988" t="str">
        <f>"FARMÁCIA INDIANA LJ 172 (10161)"</f>
        <v>FARMÁCIA INDIANA LJ 172 (10161)</v>
      </c>
      <c r="S8988" t="s">
        <v>77</v>
      </c>
      <c r="T8988">
        <v>20573</v>
      </c>
      <c r="U8988">
        <v>24202</v>
      </c>
      <c r="V8988" t="s">
        <v>77</v>
      </c>
    </row>
    <row r="8989" spans="1:22">
      <c r="A8989" t="str">
        <f t="shared" si="1702"/>
        <v>06/11/2025</v>
      </c>
      <c r="B8989" t="str">
        <f t="shared" si="1704"/>
        <v>SAÍDA</v>
      </c>
      <c r="C8989" t="str">
        <f t="shared" si="1705"/>
        <v>PIX</v>
      </c>
      <c r="D8989" t="str">
        <f>"24203"</f>
        <v>24203</v>
      </c>
      <c r="E8989" t="str">
        <f t="shared" si="1706"/>
        <v>1</v>
      </c>
      <c r="F8989" t="str">
        <f t="shared" si="1703"/>
        <v>COM</v>
      </c>
      <c r="G8989" t="str">
        <f>"DIONE OLIVEIRA SILVA (214)"</f>
        <v>DIONE OLIVEIRA SILVA (214)</v>
      </c>
      <c r="H8989" t="str">
        <f>"Serv.Prest. 20/10/2025 a 24/10/2025 - PIX: CELULAR - CHAVE: (33) 98890-5095"</f>
        <v>Serv.Prest. 20/10/2025 a 24/10/2025 - PIX: CELULAR - CHAVE: (33) 98890-5095</v>
      </c>
      <c r="I8989" t="str">
        <f t="shared" si="1709"/>
        <v>06/11/2025</v>
      </c>
      <c r="J8989" t="str">
        <f t="shared" si="1712"/>
        <v>24/10/2025</v>
      </c>
      <c r="K8989" t="str">
        <f>("06/11/2025")</f>
        <v>06/11/2025</v>
      </c>
      <c r="L8989">
        <v>1056</v>
      </c>
      <c r="M8989">
        <v>1056</v>
      </c>
      <c r="N8989">
        <v>109</v>
      </c>
      <c r="O8989" t="str">
        <f>"PAGAMENTO DE ENTREGADORES"</f>
        <v>PAGAMENTO DE ENTREGADORES</v>
      </c>
      <c r="P8989">
        <v>1056</v>
      </c>
      <c r="S8989" t="str">
        <f>"BANCO C6 (149)"</f>
        <v>BANCO C6 (149)</v>
      </c>
      <c r="T8989">
        <v>20574</v>
      </c>
      <c r="U8989">
        <v>24203</v>
      </c>
      <c r="V8989" t="s">
        <v>77</v>
      </c>
    </row>
    <row r="8990" spans="1:22">
      <c r="A8990" t="str">
        <f t="shared" ref="A8990:A9053" si="1713">("06/11/2025")</f>
        <v>06/11/2025</v>
      </c>
      <c r="B8990" t="str">
        <f t="shared" si="1704"/>
        <v>SAÍDA</v>
      </c>
      <c r="C8990" t="str">
        <f t="shared" si="1705"/>
        <v>PIX</v>
      </c>
      <c r="D8990" t="str">
        <f>"24203"</f>
        <v>24203</v>
      </c>
      <c r="E8990" t="str">
        <f t="shared" si="1706"/>
        <v>1</v>
      </c>
      <c r="F8990" t="str">
        <f t="shared" ref="F8990:F9053" si="1714">"COM"</f>
        <v>COM</v>
      </c>
      <c r="G8990" t="str">
        <f>"DIONE OLIVEIRA SILVA (214)"</f>
        <v>DIONE OLIVEIRA SILVA (214)</v>
      </c>
      <c r="H8990" t="s">
        <v>2546</v>
      </c>
      <c r="I8990" t="str">
        <f t="shared" si="1709"/>
        <v>06/11/2025</v>
      </c>
      <c r="J8990" t="str">
        <f t="shared" si="1712"/>
        <v>24/10/2025</v>
      </c>
      <c r="K8990">
        <v>45967</v>
      </c>
      <c r="N8990">
        <v>109</v>
      </c>
      <c r="O8990" t="s">
        <v>24</v>
      </c>
      <c r="Q8990">
        <v>1056</v>
      </c>
      <c r="R8990" t="str">
        <f>"FARMÁCIA INDIANA LJ 14 (10009)"</f>
        <v>FARMÁCIA INDIANA LJ 14 (10009)</v>
      </c>
      <c r="S8990" t="s">
        <v>77</v>
      </c>
      <c r="T8990">
        <v>20574</v>
      </c>
      <c r="U8990">
        <v>24203</v>
      </c>
      <c r="V8990" t="s">
        <v>77</v>
      </c>
    </row>
    <row r="8991" spans="1:22">
      <c r="A8991" t="str">
        <f t="shared" si="1713"/>
        <v>06/11/2025</v>
      </c>
      <c r="B8991" t="str">
        <f t="shared" si="1704"/>
        <v>SAÍDA</v>
      </c>
      <c r="C8991" t="str">
        <f t="shared" si="1705"/>
        <v>PIX</v>
      </c>
      <c r="D8991" t="str">
        <f>"24204"</f>
        <v>24204</v>
      </c>
      <c r="E8991" t="str">
        <f t="shared" si="1706"/>
        <v>1</v>
      </c>
      <c r="F8991" t="str">
        <f t="shared" si="1714"/>
        <v>COM</v>
      </c>
      <c r="G8991" t="str">
        <f>"EDIONIO CARVALHO DA SILVA (920)"</f>
        <v>EDIONIO CARVALHO DA SILVA (920)</v>
      </c>
      <c r="H8991" t="str">
        <f>"Serv.Prest. 20/10/2025 a 24/10/2025 - PIX: CELULAR - CHAVE: (33) 99199-7983"</f>
        <v>Serv.Prest. 20/10/2025 a 24/10/2025 - PIX: CELULAR - CHAVE: (33) 99199-7983</v>
      </c>
      <c r="I8991" t="str">
        <f t="shared" si="1709"/>
        <v>06/11/2025</v>
      </c>
      <c r="J8991" t="str">
        <f t="shared" si="1712"/>
        <v>24/10/2025</v>
      </c>
      <c r="K8991" t="str">
        <f>("06/11/2025")</f>
        <v>06/11/2025</v>
      </c>
      <c r="L8991">
        <v>750</v>
      </c>
      <c r="M8991">
        <v>750</v>
      </c>
      <c r="N8991">
        <v>109</v>
      </c>
      <c r="O8991" t="str">
        <f>"PAGAMENTO DE ENTREGADORES"</f>
        <v>PAGAMENTO DE ENTREGADORES</v>
      </c>
      <c r="P8991">
        <v>750</v>
      </c>
      <c r="S8991" t="str">
        <f>"BANCO C6 (149)"</f>
        <v>BANCO C6 (149)</v>
      </c>
      <c r="T8991">
        <v>20575</v>
      </c>
      <c r="U8991">
        <v>24204</v>
      </c>
      <c r="V8991" t="s">
        <v>77</v>
      </c>
    </row>
    <row r="8992" spans="1:22">
      <c r="A8992" t="str">
        <f t="shared" si="1713"/>
        <v>06/11/2025</v>
      </c>
      <c r="B8992" t="str">
        <f t="shared" si="1704"/>
        <v>SAÍDA</v>
      </c>
      <c r="C8992" t="str">
        <f t="shared" si="1705"/>
        <v>PIX</v>
      </c>
      <c r="D8992" t="str">
        <f>"24204"</f>
        <v>24204</v>
      </c>
      <c r="E8992" t="str">
        <f t="shared" si="1706"/>
        <v>1</v>
      </c>
      <c r="F8992" t="str">
        <f t="shared" si="1714"/>
        <v>COM</v>
      </c>
      <c r="G8992" t="str">
        <f>"EDIONIO CARVALHO DA SILVA (920)"</f>
        <v>EDIONIO CARVALHO DA SILVA (920)</v>
      </c>
      <c r="H8992" t="s">
        <v>2547</v>
      </c>
      <c r="I8992" t="str">
        <f t="shared" si="1709"/>
        <v>06/11/2025</v>
      </c>
      <c r="J8992" t="str">
        <f t="shared" si="1712"/>
        <v>24/10/2025</v>
      </c>
      <c r="K8992">
        <v>45967</v>
      </c>
      <c r="N8992">
        <v>109</v>
      </c>
      <c r="O8992" t="s">
        <v>24</v>
      </c>
      <c r="Q8992">
        <v>750</v>
      </c>
      <c r="R8992" t="str">
        <f>"FARMÁCIA INDIANA LJ 171 (10074)"</f>
        <v>FARMÁCIA INDIANA LJ 171 (10074)</v>
      </c>
      <c r="S8992" t="s">
        <v>77</v>
      </c>
      <c r="T8992">
        <v>20575</v>
      </c>
      <c r="U8992">
        <v>24204</v>
      </c>
      <c r="V8992" t="s">
        <v>77</v>
      </c>
    </row>
    <row r="8993" spans="1:22">
      <c r="A8993" t="str">
        <f t="shared" si="1713"/>
        <v>06/11/2025</v>
      </c>
      <c r="B8993" t="str">
        <f t="shared" ref="B8993:B9056" si="1715">"SAÍDA"</f>
        <v>SAÍDA</v>
      </c>
      <c r="C8993" t="str">
        <f t="shared" ref="C8993:C9056" si="1716">"PIX"</f>
        <v>PIX</v>
      </c>
      <c r="D8993" t="str">
        <f>"24205"</f>
        <v>24205</v>
      </c>
      <c r="E8993" t="str">
        <f t="shared" ref="E8993:E9056" si="1717">"1"</f>
        <v>1</v>
      </c>
      <c r="F8993" t="str">
        <f t="shared" si="1714"/>
        <v>COM</v>
      </c>
      <c r="G8993" t="str">
        <f>"EDSON JUNIOR FERREIRA DA SILVA (99)"</f>
        <v>EDSON JUNIOR FERREIRA DA SILVA (99)</v>
      </c>
      <c r="H8993" t="str">
        <f>"Serv.Prest. 20/10/2025 a 24/10/2025 - PIX: CPF - CHAVE: 141.134.256-98"</f>
        <v>Serv.Prest. 20/10/2025 a 24/10/2025 - PIX: CPF - CHAVE: 141.134.256-98</v>
      </c>
      <c r="I8993" t="str">
        <f t="shared" si="1709"/>
        <v>06/11/2025</v>
      </c>
      <c r="J8993" t="str">
        <f t="shared" si="1712"/>
        <v>24/10/2025</v>
      </c>
      <c r="K8993" t="str">
        <f>("06/11/2025")</f>
        <v>06/11/2025</v>
      </c>
      <c r="L8993">
        <v>700.7</v>
      </c>
      <c r="M8993">
        <v>700.7</v>
      </c>
      <c r="N8993">
        <v>109</v>
      </c>
      <c r="O8993" t="str">
        <f>"PAGAMENTO DE ENTREGADORES"</f>
        <v>PAGAMENTO DE ENTREGADORES</v>
      </c>
      <c r="P8993">
        <v>700.7</v>
      </c>
      <c r="S8993" t="str">
        <f>"BANCO C6 (149)"</f>
        <v>BANCO C6 (149)</v>
      </c>
      <c r="T8993">
        <v>20576</v>
      </c>
      <c r="U8993">
        <v>24205</v>
      </c>
      <c r="V8993" t="s">
        <v>77</v>
      </c>
    </row>
    <row r="8994" spans="1:22">
      <c r="A8994" t="str">
        <f t="shared" si="1713"/>
        <v>06/11/2025</v>
      </c>
      <c r="B8994" t="str">
        <f t="shared" si="1715"/>
        <v>SAÍDA</v>
      </c>
      <c r="C8994" t="str">
        <f t="shared" si="1716"/>
        <v>PIX</v>
      </c>
      <c r="D8994" t="str">
        <f>"24205"</f>
        <v>24205</v>
      </c>
      <c r="E8994" t="str">
        <f t="shared" si="1717"/>
        <v>1</v>
      </c>
      <c r="F8994" t="str">
        <f t="shared" si="1714"/>
        <v>COM</v>
      </c>
      <c r="G8994" t="str">
        <f>"EDSON JUNIOR FERREIRA DA SILVA (99)"</f>
        <v>EDSON JUNIOR FERREIRA DA SILVA (99)</v>
      </c>
      <c r="H8994" t="s">
        <v>2548</v>
      </c>
      <c r="I8994" t="str">
        <f t="shared" si="1709"/>
        <v>06/11/2025</v>
      </c>
      <c r="J8994" t="str">
        <f t="shared" si="1712"/>
        <v>24/10/2025</v>
      </c>
      <c r="K8994">
        <v>45967</v>
      </c>
      <c r="N8994">
        <v>109</v>
      </c>
      <c r="O8994" t="s">
        <v>24</v>
      </c>
      <c r="Q8994">
        <v>700.7</v>
      </c>
      <c r="R8994" t="str">
        <f>"FARMÁCIA INDIANA LJ 100 (10042)"</f>
        <v>FARMÁCIA INDIANA LJ 100 (10042)</v>
      </c>
      <c r="S8994" t="s">
        <v>77</v>
      </c>
      <c r="T8994">
        <v>20576</v>
      </c>
      <c r="U8994">
        <v>24205</v>
      </c>
      <c r="V8994" t="s">
        <v>77</v>
      </c>
    </row>
    <row r="8995" spans="1:22">
      <c r="A8995" t="str">
        <f t="shared" si="1713"/>
        <v>06/11/2025</v>
      </c>
      <c r="B8995" t="str">
        <f t="shared" si="1715"/>
        <v>SAÍDA</v>
      </c>
      <c r="C8995" t="str">
        <f t="shared" si="1716"/>
        <v>PIX</v>
      </c>
      <c r="D8995" t="str">
        <f>"24206"</f>
        <v>24206</v>
      </c>
      <c r="E8995" t="str">
        <f t="shared" si="1717"/>
        <v>1</v>
      </c>
      <c r="F8995" t="str">
        <f t="shared" si="1714"/>
        <v>COM</v>
      </c>
      <c r="G8995" t="str">
        <f>"EUDES PIMENTA (368)"</f>
        <v>EUDES PIMENTA (368)</v>
      </c>
      <c r="H8995" t="str">
        <f>"Serv.Prest. 20/10/2025 a 24/10/2025 - PIX: CPF - CHAVE: 070.073.316-70"</f>
        <v>Serv.Prest. 20/10/2025 a 24/10/2025 - PIX: CPF - CHAVE: 070.073.316-70</v>
      </c>
      <c r="I8995" t="str">
        <f t="shared" ref="I8995:I9058" si="1718">("06/11/2025")</f>
        <v>06/11/2025</v>
      </c>
      <c r="J8995" t="str">
        <f t="shared" si="1712"/>
        <v>24/10/2025</v>
      </c>
      <c r="K8995" t="str">
        <f>("06/11/2025")</f>
        <v>06/11/2025</v>
      </c>
      <c r="L8995">
        <v>720</v>
      </c>
      <c r="M8995">
        <v>720</v>
      </c>
      <c r="N8995">
        <v>109</v>
      </c>
      <c r="O8995" t="str">
        <f>"PAGAMENTO DE ENTREGADORES"</f>
        <v>PAGAMENTO DE ENTREGADORES</v>
      </c>
      <c r="P8995">
        <v>720</v>
      </c>
      <c r="S8995" t="str">
        <f>"BANCO C6 (149)"</f>
        <v>BANCO C6 (149)</v>
      </c>
      <c r="T8995">
        <v>20577</v>
      </c>
      <c r="U8995">
        <v>24206</v>
      </c>
      <c r="V8995" t="s">
        <v>77</v>
      </c>
    </row>
    <row r="8996" spans="1:22">
      <c r="A8996" t="str">
        <f t="shared" si="1713"/>
        <v>06/11/2025</v>
      </c>
      <c r="B8996" t="str">
        <f t="shared" si="1715"/>
        <v>SAÍDA</v>
      </c>
      <c r="C8996" t="str">
        <f t="shared" si="1716"/>
        <v>PIX</v>
      </c>
      <c r="D8996" t="str">
        <f>"24206"</f>
        <v>24206</v>
      </c>
      <c r="E8996" t="str">
        <f t="shared" si="1717"/>
        <v>1</v>
      </c>
      <c r="F8996" t="str">
        <f t="shared" si="1714"/>
        <v>COM</v>
      </c>
      <c r="G8996" t="str">
        <f>"EUDES PIMENTA (368)"</f>
        <v>EUDES PIMENTA (368)</v>
      </c>
      <c r="H8996" t="s">
        <v>2549</v>
      </c>
      <c r="I8996" t="str">
        <f t="shared" si="1718"/>
        <v>06/11/2025</v>
      </c>
      <c r="J8996" t="str">
        <f t="shared" si="1712"/>
        <v>24/10/2025</v>
      </c>
      <c r="K8996">
        <v>45967</v>
      </c>
      <c r="N8996">
        <v>109</v>
      </c>
      <c r="O8996" t="s">
        <v>24</v>
      </c>
      <c r="Q8996">
        <v>720</v>
      </c>
      <c r="R8996" t="str">
        <f>"FARMÁCIA INDIANA LJ 06 (10006)"</f>
        <v>FARMÁCIA INDIANA LJ 06 (10006)</v>
      </c>
      <c r="S8996" t="s">
        <v>77</v>
      </c>
      <c r="T8996">
        <v>20577</v>
      </c>
      <c r="U8996">
        <v>24206</v>
      </c>
      <c r="V8996" t="s">
        <v>77</v>
      </c>
    </row>
    <row r="8997" spans="1:22">
      <c r="A8997" t="str">
        <f t="shared" si="1713"/>
        <v>06/11/2025</v>
      </c>
      <c r="B8997" t="str">
        <f t="shared" si="1715"/>
        <v>SAÍDA</v>
      </c>
      <c r="C8997" t="str">
        <f t="shared" si="1716"/>
        <v>PIX</v>
      </c>
      <c r="D8997" t="str">
        <f>"24207"</f>
        <v>24207</v>
      </c>
      <c r="E8997" t="str">
        <f t="shared" si="1717"/>
        <v>1</v>
      </c>
      <c r="F8997" t="str">
        <f t="shared" si="1714"/>
        <v>COM</v>
      </c>
      <c r="G8997" t="str">
        <f>"FABRICIO RAMON SOARES SANTOS (645)"</f>
        <v>FABRICIO RAMON SOARES SANTOS (645)</v>
      </c>
      <c r="H8997" t="str">
        <f>"Serv.Prest. 20/10/2025 a 24/10/2025 - PIX: CELULAR - CHAVE: (31) 98483-3242"</f>
        <v>Serv.Prest. 20/10/2025 a 24/10/2025 - PIX: CELULAR - CHAVE: (31) 98483-3242</v>
      </c>
      <c r="I8997" t="str">
        <f t="shared" si="1718"/>
        <v>06/11/2025</v>
      </c>
      <c r="J8997" t="str">
        <f t="shared" si="1712"/>
        <v>24/10/2025</v>
      </c>
      <c r="K8997" t="str">
        <f>("06/11/2025")</f>
        <v>06/11/2025</v>
      </c>
      <c r="L8997">
        <v>702</v>
      </c>
      <c r="M8997">
        <v>702</v>
      </c>
      <c r="N8997">
        <v>109</v>
      </c>
      <c r="O8997" t="str">
        <f>"PAGAMENTO DE ENTREGADORES"</f>
        <v>PAGAMENTO DE ENTREGADORES</v>
      </c>
      <c r="P8997">
        <v>702</v>
      </c>
      <c r="S8997" t="str">
        <f>"BANCO C6 (149)"</f>
        <v>BANCO C6 (149)</v>
      </c>
      <c r="T8997">
        <v>20578</v>
      </c>
      <c r="U8997">
        <v>24207</v>
      </c>
      <c r="V8997" t="s">
        <v>77</v>
      </c>
    </row>
    <row r="8998" spans="1:22">
      <c r="A8998" t="str">
        <f t="shared" si="1713"/>
        <v>06/11/2025</v>
      </c>
      <c r="B8998" t="str">
        <f t="shared" si="1715"/>
        <v>SAÍDA</v>
      </c>
      <c r="C8998" t="str">
        <f t="shared" si="1716"/>
        <v>PIX</v>
      </c>
      <c r="D8998" t="str">
        <f>"24207"</f>
        <v>24207</v>
      </c>
      <c r="E8998" t="str">
        <f t="shared" si="1717"/>
        <v>1</v>
      </c>
      <c r="F8998" t="str">
        <f t="shared" si="1714"/>
        <v>COM</v>
      </c>
      <c r="G8998" t="str">
        <f>"FABRICIO RAMON SOARES SANTOS (645)"</f>
        <v>FABRICIO RAMON SOARES SANTOS (645)</v>
      </c>
      <c r="H8998" t="s">
        <v>2550</v>
      </c>
      <c r="I8998" t="str">
        <f t="shared" si="1718"/>
        <v>06/11/2025</v>
      </c>
      <c r="J8998" t="str">
        <f t="shared" si="1712"/>
        <v>24/10/2025</v>
      </c>
      <c r="K8998">
        <v>45967</v>
      </c>
      <c r="N8998">
        <v>109</v>
      </c>
      <c r="O8998" t="s">
        <v>24</v>
      </c>
      <c r="Q8998">
        <v>702</v>
      </c>
      <c r="R8998" t="str">
        <f>"FARMÁCIA INDIANA LJ 101 (10043)"</f>
        <v>FARMÁCIA INDIANA LJ 101 (10043)</v>
      </c>
      <c r="S8998" t="s">
        <v>77</v>
      </c>
      <c r="T8998">
        <v>20578</v>
      </c>
      <c r="U8998">
        <v>24207</v>
      </c>
      <c r="V8998" t="s">
        <v>77</v>
      </c>
    </row>
    <row r="8999" spans="1:22">
      <c r="A8999" t="str">
        <f t="shared" si="1713"/>
        <v>06/11/2025</v>
      </c>
      <c r="B8999" t="str">
        <f t="shared" si="1715"/>
        <v>SAÍDA</v>
      </c>
      <c r="C8999" t="str">
        <f t="shared" si="1716"/>
        <v>PIX</v>
      </c>
      <c r="D8999" t="str">
        <f>"24208"</f>
        <v>24208</v>
      </c>
      <c r="E8999" t="str">
        <f t="shared" si="1717"/>
        <v>1</v>
      </c>
      <c r="F8999" t="str">
        <f t="shared" si="1714"/>
        <v>COM</v>
      </c>
      <c r="G8999" t="str">
        <f>"GABRIEL DA SILVA REIS (824)"</f>
        <v>GABRIEL DA SILVA REIS (824)</v>
      </c>
      <c r="H8999" t="str">
        <f>"Serv.Prest. 20/10/2025 a 24/10/2025 - PIX: CPF - CHAVE: 160.160.216-28"</f>
        <v>Serv.Prest. 20/10/2025 a 24/10/2025 - PIX: CPF - CHAVE: 160.160.216-28</v>
      </c>
      <c r="I8999" t="str">
        <f t="shared" si="1718"/>
        <v>06/11/2025</v>
      </c>
      <c r="J8999" t="str">
        <f t="shared" si="1712"/>
        <v>24/10/2025</v>
      </c>
      <c r="K8999" t="str">
        <f>("06/11/2025")</f>
        <v>06/11/2025</v>
      </c>
      <c r="L8999">
        <v>700.7</v>
      </c>
      <c r="M8999">
        <v>700.7</v>
      </c>
      <c r="N8999">
        <v>109</v>
      </c>
      <c r="O8999" t="str">
        <f>"PAGAMENTO DE ENTREGADORES"</f>
        <v>PAGAMENTO DE ENTREGADORES</v>
      </c>
      <c r="P8999">
        <v>700.7</v>
      </c>
      <c r="S8999" t="str">
        <f>"BANCO C6 (149)"</f>
        <v>BANCO C6 (149)</v>
      </c>
      <c r="T8999">
        <v>20579</v>
      </c>
      <c r="U8999">
        <v>24208</v>
      </c>
      <c r="V8999" t="s">
        <v>77</v>
      </c>
    </row>
    <row r="9000" spans="1:22">
      <c r="A9000" t="str">
        <f t="shared" si="1713"/>
        <v>06/11/2025</v>
      </c>
      <c r="B9000" t="str">
        <f t="shared" si="1715"/>
        <v>SAÍDA</v>
      </c>
      <c r="C9000" t="str">
        <f t="shared" si="1716"/>
        <v>PIX</v>
      </c>
      <c r="D9000" t="str">
        <f>"24208"</f>
        <v>24208</v>
      </c>
      <c r="E9000" t="str">
        <f t="shared" si="1717"/>
        <v>1</v>
      </c>
      <c r="F9000" t="str">
        <f t="shared" si="1714"/>
        <v>COM</v>
      </c>
      <c r="G9000" t="str">
        <f>"GABRIEL DA SILVA REIS (824)"</f>
        <v>GABRIEL DA SILVA REIS (824)</v>
      </c>
      <c r="H9000" t="s">
        <v>2551</v>
      </c>
      <c r="I9000" t="str">
        <f t="shared" si="1718"/>
        <v>06/11/2025</v>
      </c>
      <c r="J9000" t="str">
        <f t="shared" si="1712"/>
        <v>24/10/2025</v>
      </c>
      <c r="K9000">
        <v>45967</v>
      </c>
      <c r="N9000">
        <v>109</v>
      </c>
      <c r="O9000" t="s">
        <v>24</v>
      </c>
      <c r="Q9000">
        <v>700.7</v>
      </c>
      <c r="R9000" t="str">
        <f>"FARMÁCIA INDIANA LJ 100 (10042)"</f>
        <v>FARMÁCIA INDIANA LJ 100 (10042)</v>
      </c>
      <c r="S9000" t="s">
        <v>77</v>
      </c>
      <c r="T9000">
        <v>20579</v>
      </c>
      <c r="U9000">
        <v>24208</v>
      </c>
      <c r="V9000" t="s">
        <v>77</v>
      </c>
    </row>
    <row r="9001" spans="1:22">
      <c r="A9001" t="str">
        <f t="shared" si="1713"/>
        <v>06/11/2025</v>
      </c>
      <c r="B9001" t="str">
        <f t="shared" si="1715"/>
        <v>SAÍDA</v>
      </c>
      <c r="C9001" t="str">
        <f t="shared" si="1716"/>
        <v>PIX</v>
      </c>
      <c r="D9001" t="str">
        <f>"24209"</f>
        <v>24209</v>
      </c>
      <c r="E9001" t="str">
        <f t="shared" si="1717"/>
        <v>1</v>
      </c>
      <c r="F9001" t="str">
        <f t="shared" si="1714"/>
        <v>COM</v>
      </c>
      <c r="G9001" t="str">
        <f>"GABRIEL SOARES VIEIRA (18)"</f>
        <v>GABRIEL SOARES VIEIRA (18)</v>
      </c>
      <c r="H9001" t="str">
        <f>"Serv.Prest. 20/10/2025 a 24/10/2025 - PIX: CELULAR - CHAVE: (33) 9 9114-8112"</f>
        <v>Serv.Prest. 20/10/2025 a 24/10/2025 - PIX: CELULAR - CHAVE: (33) 9 9114-8112</v>
      </c>
      <c r="I9001" t="str">
        <f t="shared" si="1718"/>
        <v>06/11/2025</v>
      </c>
      <c r="J9001" t="str">
        <f t="shared" si="1712"/>
        <v>24/10/2025</v>
      </c>
      <c r="K9001" t="str">
        <f>("06/11/2025")</f>
        <v>06/11/2025</v>
      </c>
      <c r="L9001">
        <v>395.5</v>
      </c>
      <c r="M9001">
        <v>395.5</v>
      </c>
      <c r="N9001">
        <v>109</v>
      </c>
      <c r="O9001" t="str">
        <f>"PAGAMENTO DE ENTREGADORES"</f>
        <v>PAGAMENTO DE ENTREGADORES</v>
      </c>
      <c r="P9001">
        <v>395.5</v>
      </c>
      <c r="S9001" t="str">
        <f>"BANCO C6 (149)"</f>
        <v>BANCO C6 (149)</v>
      </c>
      <c r="T9001">
        <v>20580</v>
      </c>
      <c r="U9001">
        <v>24209</v>
      </c>
      <c r="V9001" t="s">
        <v>77</v>
      </c>
    </row>
    <row r="9002" spans="1:22">
      <c r="A9002" t="str">
        <f t="shared" si="1713"/>
        <v>06/11/2025</v>
      </c>
      <c r="B9002" t="str">
        <f t="shared" si="1715"/>
        <v>SAÍDA</v>
      </c>
      <c r="C9002" t="str">
        <f t="shared" si="1716"/>
        <v>PIX</v>
      </c>
      <c r="D9002" t="str">
        <f>"24209"</f>
        <v>24209</v>
      </c>
      <c r="E9002" t="str">
        <f t="shared" si="1717"/>
        <v>1</v>
      </c>
      <c r="F9002" t="str">
        <f t="shared" si="1714"/>
        <v>COM</v>
      </c>
      <c r="G9002" t="str">
        <f>"GABRIEL SOARES VIEIRA (18)"</f>
        <v>GABRIEL SOARES VIEIRA (18)</v>
      </c>
      <c r="H9002" t="s">
        <v>2552</v>
      </c>
      <c r="I9002" t="str">
        <f t="shared" si="1718"/>
        <v>06/11/2025</v>
      </c>
      <c r="J9002" t="str">
        <f t="shared" si="1712"/>
        <v>24/10/2025</v>
      </c>
      <c r="K9002">
        <v>45967</v>
      </c>
      <c r="N9002">
        <v>109</v>
      </c>
      <c r="O9002" t="s">
        <v>24</v>
      </c>
      <c r="Q9002">
        <v>395.5</v>
      </c>
      <c r="R9002" t="str">
        <f>"FARMÁCIA INDIANA LJ 40 (10016)"</f>
        <v>FARMÁCIA INDIANA LJ 40 (10016)</v>
      </c>
      <c r="S9002" t="s">
        <v>77</v>
      </c>
      <c r="T9002">
        <v>20580</v>
      </c>
      <c r="U9002">
        <v>24209</v>
      </c>
      <c r="V9002" t="s">
        <v>77</v>
      </c>
    </row>
    <row r="9003" spans="1:22">
      <c r="A9003" t="str">
        <f t="shared" si="1713"/>
        <v>06/11/2025</v>
      </c>
      <c r="B9003" t="str">
        <f t="shared" si="1715"/>
        <v>SAÍDA</v>
      </c>
      <c r="C9003" t="str">
        <f t="shared" si="1716"/>
        <v>PIX</v>
      </c>
      <c r="D9003" t="str">
        <f>"24210"</f>
        <v>24210</v>
      </c>
      <c r="E9003" t="str">
        <f t="shared" si="1717"/>
        <v>1</v>
      </c>
      <c r="F9003" t="str">
        <f t="shared" si="1714"/>
        <v>COM</v>
      </c>
      <c r="G9003" t="str">
        <f>"GILDASIO DOMINGOS DOS SANTOS (54)"</f>
        <v>GILDASIO DOMINGOS DOS SANTOS (54)</v>
      </c>
      <c r="H9003" t="str">
        <f>"Serv.Prest. 20/10/2025 a 24/10/2025 - PIX: CELULAR - CHAVE: (33) 98857-0494"</f>
        <v>Serv.Prest. 20/10/2025 a 24/10/2025 - PIX: CELULAR - CHAVE: (33) 98857-0494</v>
      </c>
      <c r="I9003" t="str">
        <f t="shared" si="1718"/>
        <v>06/11/2025</v>
      </c>
      <c r="J9003" t="str">
        <f t="shared" si="1712"/>
        <v>24/10/2025</v>
      </c>
      <c r="K9003" t="str">
        <f>("06/11/2025")</f>
        <v>06/11/2025</v>
      </c>
      <c r="L9003">
        <v>624</v>
      </c>
      <c r="M9003">
        <v>624</v>
      </c>
      <c r="N9003">
        <v>109</v>
      </c>
      <c r="O9003" t="str">
        <f>"PAGAMENTO DE ENTREGADORES"</f>
        <v>PAGAMENTO DE ENTREGADORES</v>
      </c>
      <c r="P9003">
        <v>624</v>
      </c>
      <c r="S9003" t="str">
        <f>"BANCO C6 (149)"</f>
        <v>BANCO C6 (149)</v>
      </c>
      <c r="T9003">
        <v>20581</v>
      </c>
      <c r="U9003">
        <v>24210</v>
      </c>
      <c r="V9003" t="s">
        <v>77</v>
      </c>
    </row>
    <row r="9004" spans="1:22">
      <c r="A9004" t="str">
        <f t="shared" si="1713"/>
        <v>06/11/2025</v>
      </c>
      <c r="B9004" t="str">
        <f t="shared" si="1715"/>
        <v>SAÍDA</v>
      </c>
      <c r="C9004" t="str">
        <f t="shared" si="1716"/>
        <v>PIX</v>
      </c>
      <c r="D9004" t="str">
        <f>"24210"</f>
        <v>24210</v>
      </c>
      <c r="E9004" t="str">
        <f t="shared" si="1717"/>
        <v>1</v>
      </c>
      <c r="F9004" t="str">
        <f t="shared" si="1714"/>
        <v>COM</v>
      </c>
      <c r="G9004" t="str">
        <f>"GILDASIO DOMINGOS DOS SANTOS (54)"</f>
        <v>GILDASIO DOMINGOS DOS SANTOS (54)</v>
      </c>
      <c r="H9004" t="s">
        <v>2553</v>
      </c>
      <c r="I9004" t="str">
        <f t="shared" si="1718"/>
        <v>06/11/2025</v>
      </c>
      <c r="J9004" t="str">
        <f t="shared" si="1712"/>
        <v>24/10/2025</v>
      </c>
      <c r="K9004">
        <v>45967</v>
      </c>
      <c r="N9004">
        <v>109</v>
      </c>
      <c r="O9004" t="s">
        <v>24</v>
      </c>
      <c r="Q9004">
        <v>624</v>
      </c>
      <c r="R9004" t="str">
        <f>"FARMÁCIA INDIANA LJ 07 (10007)"</f>
        <v>FARMÁCIA INDIANA LJ 07 (10007)</v>
      </c>
      <c r="S9004" t="s">
        <v>77</v>
      </c>
      <c r="T9004">
        <v>20581</v>
      </c>
      <c r="U9004">
        <v>24210</v>
      </c>
      <c r="V9004" t="s">
        <v>77</v>
      </c>
    </row>
    <row r="9005" spans="1:22">
      <c r="A9005" t="str">
        <f t="shared" si="1713"/>
        <v>06/11/2025</v>
      </c>
      <c r="B9005" t="str">
        <f t="shared" si="1715"/>
        <v>SAÍDA</v>
      </c>
      <c r="C9005" t="str">
        <f t="shared" si="1716"/>
        <v>PIX</v>
      </c>
      <c r="D9005" t="str">
        <f>"24211"</f>
        <v>24211</v>
      </c>
      <c r="E9005" t="str">
        <f t="shared" si="1717"/>
        <v>1</v>
      </c>
      <c r="F9005" t="str">
        <f t="shared" si="1714"/>
        <v>COM</v>
      </c>
      <c r="G9005" t="str">
        <f>"GILNEI MENDES COELHO (195)"</f>
        <v>GILNEI MENDES COELHO (195)</v>
      </c>
      <c r="H9005" t="str">
        <f>"Serv.Prest. 20/10/2025 a 24/10/2025 - PIX: CPF - CHAVE: 386.313.426-53"</f>
        <v>Serv.Prest. 20/10/2025 a 24/10/2025 - PIX: CPF - CHAVE: 386.313.426-53</v>
      </c>
      <c r="I9005" t="str">
        <f t="shared" si="1718"/>
        <v>06/11/2025</v>
      </c>
      <c r="J9005" t="str">
        <f t="shared" si="1712"/>
        <v>24/10/2025</v>
      </c>
      <c r="K9005" t="str">
        <f>("06/11/2025")</f>
        <v>06/11/2025</v>
      </c>
      <c r="L9005">
        <v>576</v>
      </c>
      <c r="M9005">
        <v>576</v>
      </c>
      <c r="N9005">
        <v>109</v>
      </c>
      <c r="O9005" t="str">
        <f>"PAGAMENTO DE ENTREGADORES"</f>
        <v>PAGAMENTO DE ENTREGADORES</v>
      </c>
      <c r="P9005">
        <v>576</v>
      </c>
      <c r="S9005" t="str">
        <f>"BANCO C6 (149)"</f>
        <v>BANCO C6 (149)</v>
      </c>
      <c r="T9005">
        <v>20582</v>
      </c>
      <c r="U9005">
        <v>24211</v>
      </c>
      <c r="V9005" t="s">
        <v>77</v>
      </c>
    </row>
    <row r="9006" spans="1:22">
      <c r="A9006" t="str">
        <f t="shared" si="1713"/>
        <v>06/11/2025</v>
      </c>
      <c r="B9006" t="str">
        <f t="shared" si="1715"/>
        <v>SAÍDA</v>
      </c>
      <c r="C9006" t="str">
        <f t="shared" si="1716"/>
        <v>PIX</v>
      </c>
      <c r="D9006" t="str">
        <f>"24211"</f>
        <v>24211</v>
      </c>
      <c r="E9006" t="str">
        <f t="shared" si="1717"/>
        <v>1</v>
      </c>
      <c r="F9006" t="str">
        <f t="shared" si="1714"/>
        <v>COM</v>
      </c>
      <c r="G9006" t="str">
        <f>"GILNEI MENDES COELHO (195)"</f>
        <v>GILNEI MENDES COELHO (195)</v>
      </c>
      <c r="H9006" t="s">
        <v>2554</v>
      </c>
      <c r="I9006" t="str">
        <f t="shared" si="1718"/>
        <v>06/11/2025</v>
      </c>
      <c r="J9006" t="str">
        <f t="shared" si="1712"/>
        <v>24/10/2025</v>
      </c>
      <c r="K9006">
        <v>45967</v>
      </c>
      <c r="N9006">
        <v>109</v>
      </c>
      <c r="O9006" t="s">
        <v>24</v>
      </c>
      <c r="Q9006">
        <v>576</v>
      </c>
      <c r="R9006" t="str">
        <f>"FARMÁCIA INDIANA LJ 06 (10006)"</f>
        <v>FARMÁCIA INDIANA LJ 06 (10006)</v>
      </c>
      <c r="S9006" t="s">
        <v>77</v>
      </c>
      <c r="T9006">
        <v>20582</v>
      </c>
      <c r="U9006">
        <v>24211</v>
      </c>
      <c r="V9006" t="s">
        <v>77</v>
      </c>
    </row>
    <row r="9007" spans="1:22">
      <c r="A9007" t="str">
        <f t="shared" si="1713"/>
        <v>06/11/2025</v>
      </c>
      <c r="B9007" t="str">
        <f t="shared" si="1715"/>
        <v>SAÍDA</v>
      </c>
      <c r="C9007" t="str">
        <f t="shared" si="1716"/>
        <v>PIX</v>
      </c>
      <c r="D9007" t="str">
        <f>"24212"</f>
        <v>24212</v>
      </c>
      <c r="E9007" t="str">
        <f t="shared" si="1717"/>
        <v>1</v>
      </c>
      <c r="F9007" t="str">
        <f t="shared" si="1714"/>
        <v>COM</v>
      </c>
      <c r="G9007" t="str">
        <f>"GUILHERME QUINTINO DA ROCHA (199)"</f>
        <v>GUILHERME QUINTINO DA ROCHA (199)</v>
      </c>
      <c r="H9007" t="str">
        <f>"Serv.Prest. 20/10/2025 a 24/10/2025 - PIX: CELULAR - CHAVE: (33) 99706-4860"</f>
        <v>Serv.Prest. 20/10/2025 a 24/10/2025 - PIX: CELULAR - CHAVE: (33) 99706-4860</v>
      </c>
      <c r="I9007" t="str">
        <f t="shared" si="1718"/>
        <v>06/11/2025</v>
      </c>
      <c r="J9007" t="str">
        <f t="shared" si="1712"/>
        <v>24/10/2025</v>
      </c>
      <c r="K9007" t="str">
        <f>("06/11/2025")</f>
        <v>06/11/2025</v>
      </c>
      <c r="L9007">
        <v>720</v>
      </c>
      <c r="M9007">
        <v>720</v>
      </c>
      <c r="N9007">
        <v>109</v>
      </c>
      <c r="O9007" t="str">
        <f>"PAGAMENTO DE ENTREGADORES"</f>
        <v>PAGAMENTO DE ENTREGADORES</v>
      </c>
      <c r="P9007">
        <v>720</v>
      </c>
      <c r="S9007" t="str">
        <f>"BANCO C6 (149)"</f>
        <v>BANCO C6 (149)</v>
      </c>
      <c r="T9007">
        <v>20583</v>
      </c>
      <c r="U9007">
        <v>24212</v>
      </c>
      <c r="V9007" t="s">
        <v>77</v>
      </c>
    </row>
    <row r="9008" spans="1:22">
      <c r="A9008" t="str">
        <f t="shared" si="1713"/>
        <v>06/11/2025</v>
      </c>
      <c r="B9008" t="str">
        <f t="shared" si="1715"/>
        <v>SAÍDA</v>
      </c>
      <c r="C9008" t="str">
        <f t="shared" si="1716"/>
        <v>PIX</v>
      </c>
      <c r="D9008" t="str">
        <f>"24212"</f>
        <v>24212</v>
      </c>
      <c r="E9008" t="str">
        <f t="shared" si="1717"/>
        <v>1</v>
      </c>
      <c r="F9008" t="str">
        <f t="shared" si="1714"/>
        <v>COM</v>
      </c>
      <c r="G9008" t="str">
        <f>"GUILHERME QUINTINO DA ROCHA (199)"</f>
        <v>GUILHERME QUINTINO DA ROCHA (199)</v>
      </c>
      <c r="H9008" t="s">
        <v>2555</v>
      </c>
      <c r="I9008" t="str">
        <f t="shared" si="1718"/>
        <v>06/11/2025</v>
      </c>
      <c r="J9008" t="str">
        <f t="shared" si="1712"/>
        <v>24/10/2025</v>
      </c>
      <c r="K9008">
        <v>45967</v>
      </c>
      <c r="N9008">
        <v>109</v>
      </c>
      <c r="O9008" t="s">
        <v>24</v>
      </c>
      <c r="Q9008">
        <v>720</v>
      </c>
      <c r="R9008" t="str">
        <f>"FARMÁCIA INDIANA LJ 06 (10006)"</f>
        <v>FARMÁCIA INDIANA LJ 06 (10006)</v>
      </c>
      <c r="S9008" t="s">
        <v>77</v>
      </c>
      <c r="T9008">
        <v>20583</v>
      </c>
      <c r="U9008">
        <v>24212</v>
      </c>
      <c r="V9008" t="s">
        <v>77</v>
      </c>
    </row>
    <row r="9009" spans="1:22">
      <c r="A9009" t="str">
        <f t="shared" si="1713"/>
        <v>06/11/2025</v>
      </c>
      <c r="B9009" t="str">
        <f t="shared" si="1715"/>
        <v>SAÍDA</v>
      </c>
      <c r="C9009" t="str">
        <f t="shared" si="1716"/>
        <v>PIX</v>
      </c>
      <c r="D9009" t="str">
        <f>"24213"</f>
        <v>24213</v>
      </c>
      <c r="E9009" t="str">
        <f t="shared" si="1717"/>
        <v>1</v>
      </c>
      <c r="F9009" t="str">
        <f t="shared" si="1714"/>
        <v>COM</v>
      </c>
      <c r="G9009" t="str">
        <f>"GUSTAVO ALVES DE ARAÚJO (298)"</f>
        <v>GUSTAVO ALVES DE ARAÚJO (298)</v>
      </c>
      <c r="H9009" t="str">
        <f>"Serv.Prest. 20/10/2025 a 24/10/2025 - PIX: CELULAR - CHAVE: (31) 99816-8965"</f>
        <v>Serv.Prest. 20/10/2025 a 24/10/2025 - PIX: CELULAR - CHAVE: (31) 99816-8965</v>
      </c>
      <c r="I9009" t="str">
        <f t="shared" si="1718"/>
        <v>06/11/2025</v>
      </c>
      <c r="J9009" t="str">
        <f t="shared" ref="J9009:J9027" si="1719">("24/10/2025")</f>
        <v>24/10/2025</v>
      </c>
      <c r="K9009" t="str">
        <f>("06/11/2025")</f>
        <v>06/11/2025</v>
      </c>
      <c r="L9009">
        <v>642</v>
      </c>
      <c r="M9009">
        <v>642</v>
      </c>
      <c r="N9009">
        <v>109</v>
      </c>
      <c r="O9009" t="str">
        <f>"PAGAMENTO DE ENTREGADORES"</f>
        <v>PAGAMENTO DE ENTREGADORES</v>
      </c>
      <c r="P9009">
        <v>642</v>
      </c>
      <c r="S9009" t="str">
        <f>"BANCO C6 (149)"</f>
        <v>BANCO C6 (149)</v>
      </c>
      <c r="T9009">
        <v>20584</v>
      </c>
      <c r="U9009">
        <v>24213</v>
      </c>
      <c r="V9009" t="s">
        <v>77</v>
      </c>
    </row>
    <row r="9010" spans="1:22">
      <c r="A9010" t="str">
        <f t="shared" si="1713"/>
        <v>06/11/2025</v>
      </c>
      <c r="B9010" t="str">
        <f t="shared" si="1715"/>
        <v>SAÍDA</v>
      </c>
      <c r="C9010" t="str">
        <f t="shared" si="1716"/>
        <v>PIX</v>
      </c>
      <c r="D9010" t="str">
        <f>"24213"</f>
        <v>24213</v>
      </c>
      <c r="E9010" t="str">
        <f t="shared" si="1717"/>
        <v>1</v>
      </c>
      <c r="F9010" t="str">
        <f t="shared" si="1714"/>
        <v>COM</v>
      </c>
      <c r="G9010" t="str">
        <f>"GUSTAVO ALVES DE ARAÚJO (298)"</f>
        <v>GUSTAVO ALVES DE ARAÚJO (298)</v>
      </c>
      <c r="H9010" t="s">
        <v>2556</v>
      </c>
      <c r="I9010" t="str">
        <f t="shared" si="1718"/>
        <v>06/11/2025</v>
      </c>
      <c r="J9010" t="str">
        <f t="shared" si="1719"/>
        <v>24/10/2025</v>
      </c>
      <c r="K9010">
        <v>45967</v>
      </c>
      <c r="N9010">
        <v>109</v>
      </c>
      <c r="O9010" t="s">
        <v>24</v>
      </c>
      <c r="Q9010">
        <v>642</v>
      </c>
      <c r="R9010" t="str">
        <f>"FARMÁCIA INDIANA LJ 172 (10161)"</f>
        <v>FARMÁCIA INDIANA LJ 172 (10161)</v>
      </c>
      <c r="S9010" t="s">
        <v>77</v>
      </c>
      <c r="T9010">
        <v>20584</v>
      </c>
      <c r="U9010">
        <v>24213</v>
      </c>
      <c r="V9010" t="s">
        <v>77</v>
      </c>
    </row>
    <row r="9011" spans="1:22">
      <c r="A9011" t="str">
        <f t="shared" si="1713"/>
        <v>06/11/2025</v>
      </c>
      <c r="B9011" t="str">
        <f t="shared" si="1715"/>
        <v>SAÍDA</v>
      </c>
      <c r="C9011" t="str">
        <f t="shared" si="1716"/>
        <v>PIX</v>
      </c>
      <c r="D9011" t="str">
        <f>"24215"</f>
        <v>24215</v>
      </c>
      <c r="E9011" t="str">
        <f t="shared" si="1717"/>
        <v>1</v>
      </c>
      <c r="F9011" t="str">
        <f t="shared" si="1714"/>
        <v>COM</v>
      </c>
      <c r="G9011" t="str">
        <f>"GUSTAVO HENRIQUE OLIVEIRA (661)"</f>
        <v>GUSTAVO HENRIQUE OLIVEIRA (661)</v>
      </c>
      <c r="H9011" t="str">
        <f>"Serv.Prest. 20/10/2025 a 24/10/2025 - PIX: CPF - CHAVE: 113.084.266-58"</f>
        <v>Serv.Prest. 20/10/2025 a 24/10/2025 - PIX: CPF - CHAVE: 113.084.266-58</v>
      </c>
      <c r="I9011" t="str">
        <f t="shared" si="1718"/>
        <v>06/11/2025</v>
      </c>
      <c r="J9011" t="str">
        <f t="shared" si="1719"/>
        <v>24/10/2025</v>
      </c>
      <c r="K9011" t="str">
        <f>("06/11/2025")</f>
        <v>06/11/2025</v>
      </c>
      <c r="L9011">
        <v>702</v>
      </c>
      <c r="M9011">
        <v>702</v>
      </c>
      <c r="N9011">
        <v>109</v>
      </c>
      <c r="O9011" t="str">
        <f>"PAGAMENTO DE ENTREGADORES"</f>
        <v>PAGAMENTO DE ENTREGADORES</v>
      </c>
      <c r="P9011">
        <v>702</v>
      </c>
      <c r="S9011" t="str">
        <f>"BANCO C6 (149)"</f>
        <v>BANCO C6 (149)</v>
      </c>
      <c r="T9011">
        <v>20585</v>
      </c>
      <c r="U9011">
        <v>24215</v>
      </c>
      <c r="V9011" t="s">
        <v>77</v>
      </c>
    </row>
    <row r="9012" spans="1:22">
      <c r="A9012" t="str">
        <f t="shared" si="1713"/>
        <v>06/11/2025</v>
      </c>
      <c r="B9012" t="str">
        <f t="shared" si="1715"/>
        <v>SAÍDA</v>
      </c>
      <c r="C9012" t="str">
        <f t="shared" si="1716"/>
        <v>PIX</v>
      </c>
      <c r="D9012" t="str">
        <f>"24215"</f>
        <v>24215</v>
      </c>
      <c r="E9012" t="str">
        <f t="shared" si="1717"/>
        <v>1</v>
      </c>
      <c r="F9012" t="str">
        <f t="shared" si="1714"/>
        <v>COM</v>
      </c>
      <c r="G9012" t="str">
        <f>"GUSTAVO HENRIQUE OLIVEIRA (661)"</f>
        <v>GUSTAVO HENRIQUE OLIVEIRA (661)</v>
      </c>
      <c r="H9012" t="s">
        <v>2557</v>
      </c>
      <c r="I9012" t="str">
        <f t="shared" si="1718"/>
        <v>06/11/2025</v>
      </c>
      <c r="J9012" t="str">
        <f t="shared" si="1719"/>
        <v>24/10/2025</v>
      </c>
      <c r="K9012">
        <v>45967</v>
      </c>
      <c r="N9012">
        <v>109</v>
      </c>
      <c r="O9012" t="s">
        <v>24</v>
      </c>
      <c r="Q9012">
        <v>702</v>
      </c>
      <c r="R9012" t="str">
        <f>"FARMÁCIA INDIANA LJ 110 (10048)"</f>
        <v>FARMÁCIA INDIANA LJ 110 (10048)</v>
      </c>
      <c r="S9012" t="s">
        <v>77</v>
      </c>
      <c r="T9012">
        <v>20585</v>
      </c>
      <c r="U9012">
        <v>24215</v>
      </c>
      <c r="V9012" t="s">
        <v>77</v>
      </c>
    </row>
    <row r="9013" spans="1:22">
      <c r="A9013" t="str">
        <f t="shared" si="1713"/>
        <v>06/11/2025</v>
      </c>
      <c r="B9013" t="str">
        <f t="shared" si="1715"/>
        <v>SAÍDA</v>
      </c>
      <c r="C9013" t="str">
        <f t="shared" si="1716"/>
        <v>PIX</v>
      </c>
      <c r="D9013" t="str">
        <f>"24216"</f>
        <v>24216</v>
      </c>
      <c r="E9013" t="str">
        <f t="shared" si="1717"/>
        <v>1</v>
      </c>
      <c r="F9013" t="str">
        <f t="shared" si="1714"/>
        <v>COM</v>
      </c>
      <c r="G9013" t="str">
        <f>"IVAN SOUZA SANTOS (101)"</f>
        <v>IVAN SOUZA SANTOS (101)</v>
      </c>
      <c r="H9013" t="str">
        <f>"Serv.Prest. 20/10/2025 a 24/10/2025 - PIX: CPF - CHAVE: 067.393.286-92"</f>
        <v>Serv.Prest. 20/10/2025 a 24/10/2025 - PIX: CPF - CHAVE: 067.393.286-92</v>
      </c>
      <c r="I9013" t="str">
        <f t="shared" si="1718"/>
        <v>06/11/2025</v>
      </c>
      <c r="J9013" t="str">
        <f t="shared" si="1719"/>
        <v>24/10/2025</v>
      </c>
      <c r="K9013" t="str">
        <f>("06/11/2025")</f>
        <v>06/11/2025</v>
      </c>
      <c r="L9013">
        <v>421.4</v>
      </c>
      <c r="M9013">
        <v>421.4</v>
      </c>
      <c r="N9013">
        <v>109</v>
      </c>
      <c r="O9013" t="str">
        <f>"PAGAMENTO DE ENTREGADORES"</f>
        <v>PAGAMENTO DE ENTREGADORES</v>
      </c>
      <c r="P9013">
        <v>421.4</v>
      </c>
      <c r="S9013" t="str">
        <f>"BANCO C6 (149)"</f>
        <v>BANCO C6 (149)</v>
      </c>
      <c r="T9013">
        <v>20586</v>
      </c>
      <c r="U9013">
        <v>24216</v>
      </c>
      <c r="V9013" t="s">
        <v>77</v>
      </c>
    </row>
    <row r="9014" spans="1:22">
      <c r="A9014" t="str">
        <f t="shared" si="1713"/>
        <v>06/11/2025</v>
      </c>
      <c r="B9014" t="str">
        <f t="shared" si="1715"/>
        <v>SAÍDA</v>
      </c>
      <c r="C9014" t="str">
        <f t="shared" si="1716"/>
        <v>PIX</v>
      </c>
      <c r="D9014" t="str">
        <f>"24216"</f>
        <v>24216</v>
      </c>
      <c r="E9014" t="str">
        <f t="shared" si="1717"/>
        <v>1</v>
      </c>
      <c r="F9014" t="str">
        <f t="shared" si="1714"/>
        <v>COM</v>
      </c>
      <c r="G9014" t="str">
        <f>"IVAN SOUZA SANTOS (101)"</f>
        <v>IVAN SOUZA SANTOS (101)</v>
      </c>
      <c r="H9014" t="s">
        <v>2558</v>
      </c>
      <c r="I9014" t="str">
        <f t="shared" si="1718"/>
        <v>06/11/2025</v>
      </c>
      <c r="J9014" t="str">
        <f t="shared" si="1719"/>
        <v>24/10/2025</v>
      </c>
      <c r="K9014">
        <v>45967</v>
      </c>
      <c r="N9014">
        <v>109</v>
      </c>
      <c r="O9014" t="s">
        <v>24</v>
      </c>
      <c r="Q9014">
        <v>421.4</v>
      </c>
      <c r="R9014" t="str">
        <f>"FARMÁCIA INDIANA LJ 59 (10026)"</f>
        <v>FARMÁCIA INDIANA LJ 59 (10026)</v>
      </c>
      <c r="S9014" t="s">
        <v>77</v>
      </c>
      <c r="T9014">
        <v>20586</v>
      </c>
      <c r="U9014">
        <v>24216</v>
      </c>
      <c r="V9014" t="s">
        <v>77</v>
      </c>
    </row>
    <row r="9015" spans="1:22">
      <c r="A9015" t="str">
        <f t="shared" si="1713"/>
        <v>06/11/2025</v>
      </c>
      <c r="B9015" t="str">
        <f t="shared" si="1715"/>
        <v>SAÍDA</v>
      </c>
      <c r="C9015" t="str">
        <f t="shared" si="1716"/>
        <v>PIX</v>
      </c>
      <c r="D9015" t="str">
        <f>"24217"</f>
        <v>24217</v>
      </c>
      <c r="E9015" t="str">
        <f t="shared" si="1717"/>
        <v>1</v>
      </c>
      <c r="F9015" t="str">
        <f t="shared" si="1714"/>
        <v>COM</v>
      </c>
      <c r="G9015" t="str">
        <f>"JANDERSON SOUZA ARCANJO (28)"</f>
        <v>JANDERSON SOUZA ARCANJO (28)</v>
      </c>
      <c r="H9015" t="str">
        <f>"Serv.Prest. 20/10/2025 a 24/10/2025 - PIX: CPF - CHAVE: 121.297.376-33"</f>
        <v>Serv.Prest. 20/10/2025 a 24/10/2025 - PIX: CPF - CHAVE: 121.297.376-33</v>
      </c>
      <c r="I9015" t="str">
        <f t="shared" si="1718"/>
        <v>06/11/2025</v>
      </c>
      <c r="J9015" t="str">
        <f t="shared" si="1719"/>
        <v>24/10/2025</v>
      </c>
      <c r="K9015" t="str">
        <f>("06/11/2025")</f>
        <v>06/11/2025</v>
      </c>
      <c r="L9015">
        <v>473</v>
      </c>
      <c r="M9015">
        <v>473</v>
      </c>
      <c r="N9015">
        <v>109</v>
      </c>
      <c r="O9015" t="str">
        <f>"PAGAMENTO DE ENTREGADORES"</f>
        <v>PAGAMENTO DE ENTREGADORES</v>
      </c>
      <c r="P9015">
        <v>473</v>
      </c>
      <c r="S9015" t="str">
        <f>"BANCO C6 (149)"</f>
        <v>BANCO C6 (149)</v>
      </c>
      <c r="T9015">
        <v>20587</v>
      </c>
      <c r="U9015">
        <v>24217</v>
      </c>
      <c r="V9015" t="s">
        <v>77</v>
      </c>
    </row>
    <row r="9016" spans="1:22">
      <c r="A9016" t="str">
        <f t="shared" si="1713"/>
        <v>06/11/2025</v>
      </c>
      <c r="B9016" t="str">
        <f t="shared" si="1715"/>
        <v>SAÍDA</v>
      </c>
      <c r="C9016" t="str">
        <f t="shared" si="1716"/>
        <v>PIX</v>
      </c>
      <c r="D9016" t="str">
        <f>"24217"</f>
        <v>24217</v>
      </c>
      <c r="E9016" t="str">
        <f t="shared" si="1717"/>
        <v>1</v>
      </c>
      <c r="F9016" t="str">
        <f t="shared" si="1714"/>
        <v>COM</v>
      </c>
      <c r="G9016" t="str">
        <f>"JANDERSON SOUZA ARCANJO (28)"</f>
        <v>JANDERSON SOUZA ARCANJO (28)</v>
      </c>
      <c r="H9016" t="s">
        <v>2559</v>
      </c>
      <c r="I9016" t="str">
        <f t="shared" si="1718"/>
        <v>06/11/2025</v>
      </c>
      <c r="J9016" t="str">
        <f t="shared" si="1719"/>
        <v>24/10/2025</v>
      </c>
      <c r="K9016">
        <v>45967</v>
      </c>
      <c r="N9016">
        <v>109</v>
      </c>
      <c r="O9016" t="s">
        <v>24</v>
      </c>
      <c r="Q9016">
        <v>473</v>
      </c>
      <c r="R9016" t="str">
        <f>"FARMÁCIA INDIANA LJ 40 (10016)"</f>
        <v>FARMÁCIA INDIANA LJ 40 (10016)</v>
      </c>
      <c r="S9016" t="s">
        <v>77</v>
      </c>
      <c r="T9016">
        <v>20587</v>
      </c>
      <c r="U9016">
        <v>24217</v>
      </c>
      <c r="V9016" t="s">
        <v>77</v>
      </c>
    </row>
    <row r="9017" spans="1:22">
      <c r="A9017" t="str">
        <f t="shared" si="1713"/>
        <v>06/11/2025</v>
      </c>
      <c r="B9017" t="str">
        <f t="shared" si="1715"/>
        <v>SAÍDA</v>
      </c>
      <c r="C9017" t="str">
        <f t="shared" si="1716"/>
        <v>PIX</v>
      </c>
      <c r="D9017" t="str">
        <f>"24218"</f>
        <v>24218</v>
      </c>
      <c r="E9017" t="str">
        <f t="shared" si="1717"/>
        <v>1</v>
      </c>
      <c r="F9017" t="str">
        <f t="shared" si="1714"/>
        <v>COM</v>
      </c>
      <c r="G9017" t="str">
        <f>"JEAN ARAÚJO SANTOS GERMANO (551)"</f>
        <v>JEAN ARAÚJO SANTOS GERMANO (551)</v>
      </c>
      <c r="H9017" t="str">
        <f>"Serv.Prest. 20/10/2025 a 24/10/2025 - PIX: CELULAR - CHAVE: (31) 99812-7173"</f>
        <v>Serv.Prest. 20/10/2025 a 24/10/2025 - PIX: CELULAR - CHAVE: (31) 99812-7173</v>
      </c>
      <c r="I9017" t="str">
        <f t="shared" si="1718"/>
        <v>06/11/2025</v>
      </c>
      <c r="J9017" t="str">
        <f t="shared" si="1719"/>
        <v>24/10/2025</v>
      </c>
      <c r="K9017" t="str">
        <f>("06/11/2025")</f>
        <v>06/11/2025</v>
      </c>
      <c r="L9017">
        <v>576</v>
      </c>
      <c r="M9017">
        <v>576</v>
      </c>
      <c r="N9017">
        <v>109</v>
      </c>
      <c r="O9017" t="str">
        <f>"PAGAMENTO DE ENTREGADORES"</f>
        <v>PAGAMENTO DE ENTREGADORES</v>
      </c>
      <c r="P9017">
        <v>576</v>
      </c>
      <c r="S9017" t="str">
        <f>"BANCO C6 (149)"</f>
        <v>BANCO C6 (149)</v>
      </c>
      <c r="T9017">
        <v>20588</v>
      </c>
      <c r="U9017">
        <v>24218</v>
      </c>
      <c r="V9017" t="s">
        <v>77</v>
      </c>
    </row>
    <row r="9018" spans="1:22">
      <c r="A9018" t="str">
        <f t="shared" si="1713"/>
        <v>06/11/2025</v>
      </c>
      <c r="B9018" t="str">
        <f t="shared" si="1715"/>
        <v>SAÍDA</v>
      </c>
      <c r="C9018" t="str">
        <f t="shared" si="1716"/>
        <v>PIX</v>
      </c>
      <c r="D9018" t="str">
        <f>"24218"</f>
        <v>24218</v>
      </c>
      <c r="E9018" t="str">
        <f t="shared" si="1717"/>
        <v>1</v>
      </c>
      <c r="F9018" t="str">
        <f t="shared" si="1714"/>
        <v>COM</v>
      </c>
      <c r="G9018" t="str">
        <f>"JEAN ARAÚJO SANTOS GERMANO (551)"</f>
        <v>JEAN ARAÚJO SANTOS GERMANO (551)</v>
      </c>
      <c r="H9018" t="s">
        <v>2560</v>
      </c>
      <c r="I9018" t="str">
        <f t="shared" si="1718"/>
        <v>06/11/2025</v>
      </c>
      <c r="J9018" t="str">
        <f t="shared" si="1719"/>
        <v>24/10/2025</v>
      </c>
      <c r="K9018">
        <v>45967</v>
      </c>
      <c r="N9018">
        <v>109</v>
      </c>
      <c r="O9018" t="s">
        <v>24</v>
      </c>
      <c r="Q9018">
        <v>576</v>
      </c>
      <c r="R9018" t="str">
        <f>"FARMÁCIA INDIANA LJ 142 (10066)"</f>
        <v>FARMÁCIA INDIANA LJ 142 (10066)</v>
      </c>
      <c r="S9018" t="s">
        <v>77</v>
      </c>
      <c r="T9018">
        <v>20588</v>
      </c>
      <c r="U9018">
        <v>24218</v>
      </c>
      <c r="V9018" t="s">
        <v>77</v>
      </c>
    </row>
    <row r="9019" spans="1:22">
      <c r="A9019" t="str">
        <f t="shared" si="1713"/>
        <v>06/11/2025</v>
      </c>
      <c r="B9019" t="str">
        <f t="shared" si="1715"/>
        <v>SAÍDA</v>
      </c>
      <c r="C9019" t="str">
        <f t="shared" si="1716"/>
        <v>PIX</v>
      </c>
      <c r="D9019" t="str">
        <f>"24219"</f>
        <v>24219</v>
      </c>
      <c r="E9019" t="str">
        <f t="shared" si="1717"/>
        <v>1</v>
      </c>
      <c r="F9019" t="str">
        <f t="shared" si="1714"/>
        <v>COM</v>
      </c>
      <c r="G9019" t="str">
        <f>"JEFERSON ANDRADE FERREIRA (165)"</f>
        <v>JEFERSON ANDRADE FERREIRA (165)</v>
      </c>
      <c r="H9019" t="str">
        <f>"Serv.Prest. 20/10/2025 a 24/10/2025 - PIX: CPF - CHAVE: 126.873.296-65"</f>
        <v>Serv.Prest. 20/10/2025 a 24/10/2025 - PIX: CPF - CHAVE: 126.873.296-65</v>
      </c>
      <c r="I9019" t="str">
        <f t="shared" si="1718"/>
        <v>06/11/2025</v>
      </c>
      <c r="J9019" t="str">
        <f t="shared" si="1719"/>
        <v>24/10/2025</v>
      </c>
      <c r="K9019" t="str">
        <f>("06/11/2025")</f>
        <v>06/11/2025</v>
      </c>
      <c r="L9019">
        <v>1422</v>
      </c>
      <c r="M9019">
        <v>1422</v>
      </c>
      <c r="N9019">
        <v>109</v>
      </c>
      <c r="O9019" t="str">
        <f>"PAGAMENTO DE ENTREGADORES"</f>
        <v>PAGAMENTO DE ENTREGADORES</v>
      </c>
      <c r="P9019">
        <v>1422</v>
      </c>
      <c r="S9019" t="str">
        <f>"BANCO C6 (149)"</f>
        <v>BANCO C6 (149)</v>
      </c>
      <c r="T9019">
        <v>20589</v>
      </c>
      <c r="U9019">
        <v>24219</v>
      </c>
      <c r="V9019" t="s">
        <v>77</v>
      </c>
    </row>
    <row r="9020" spans="1:22">
      <c r="A9020" t="str">
        <f t="shared" si="1713"/>
        <v>06/11/2025</v>
      </c>
      <c r="B9020" t="str">
        <f t="shared" si="1715"/>
        <v>SAÍDA</v>
      </c>
      <c r="C9020" t="str">
        <f t="shared" si="1716"/>
        <v>PIX</v>
      </c>
      <c r="D9020" t="str">
        <f>"24219"</f>
        <v>24219</v>
      </c>
      <c r="E9020" t="str">
        <f t="shared" si="1717"/>
        <v>1</v>
      </c>
      <c r="F9020" t="str">
        <f t="shared" si="1714"/>
        <v>COM</v>
      </c>
      <c r="G9020" t="str">
        <f>"JEFERSON ANDRADE FERREIRA (165)"</f>
        <v>JEFERSON ANDRADE FERREIRA (165)</v>
      </c>
      <c r="H9020" t="s">
        <v>2561</v>
      </c>
      <c r="I9020" t="str">
        <f t="shared" si="1718"/>
        <v>06/11/2025</v>
      </c>
      <c r="J9020" t="str">
        <f t="shared" si="1719"/>
        <v>24/10/2025</v>
      </c>
      <c r="K9020">
        <v>45967</v>
      </c>
      <c r="N9020">
        <v>109</v>
      </c>
      <c r="O9020" t="s">
        <v>24</v>
      </c>
      <c r="Q9020">
        <v>1031.95</v>
      </c>
      <c r="R9020" t="str">
        <f>"FARMÁCIA INDIANA LJ 101 (10043)"</f>
        <v>FARMÁCIA INDIANA LJ 101 (10043)</v>
      </c>
      <c r="S9020" t="s">
        <v>77</v>
      </c>
      <c r="T9020">
        <v>20589</v>
      </c>
      <c r="U9020">
        <v>24219</v>
      </c>
      <c r="V9020" t="s">
        <v>77</v>
      </c>
    </row>
    <row r="9021" spans="1:22">
      <c r="A9021" t="str">
        <f t="shared" si="1713"/>
        <v>06/11/2025</v>
      </c>
      <c r="B9021" t="str">
        <f t="shared" si="1715"/>
        <v>SAÍDA</v>
      </c>
      <c r="C9021" t="str">
        <f t="shared" si="1716"/>
        <v>PIX</v>
      </c>
      <c r="D9021" t="str">
        <f>"24219"</f>
        <v>24219</v>
      </c>
      <c r="E9021" t="str">
        <f t="shared" si="1717"/>
        <v>1</v>
      </c>
      <c r="F9021" t="str">
        <f t="shared" si="1714"/>
        <v>COM</v>
      </c>
      <c r="G9021" t="str">
        <f>"JEFERSON ANDRADE FERREIRA (165)"</f>
        <v>JEFERSON ANDRADE FERREIRA (165)</v>
      </c>
      <c r="H9021" t="s">
        <v>2561</v>
      </c>
      <c r="I9021" t="str">
        <f t="shared" si="1718"/>
        <v>06/11/2025</v>
      </c>
      <c r="J9021" t="str">
        <f t="shared" si="1719"/>
        <v>24/10/2025</v>
      </c>
      <c r="K9021">
        <v>45967</v>
      </c>
      <c r="N9021">
        <v>109</v>
      </c>
      <c r="O9021" t="s">
        <v>24</v>
      </c>
      <c r="Q9021">
        <v>390.05</v>
      </c>
      <c r="R9021" t="str">
        <f>"FARMÁCIA INDIANA LJ 220 (10092)"</f>
        <v>FARMÁCIA INDIANA LJ 220 (10092)</v>
      </c>
      <c r="S9021" t="s">
        <v>77</v>
      </c>
      <c r="T9021">
        <v>20589</v>
      </c>
      <c r="U9021">
        <v>24219</v>
      </c>
      <c r="V9021" t="s">
        <v>77</v>
      </c>
    </row>
    <row r="9022" spans="1:22">
      <c r="A9022" t="str">
        <f t="shared" si="1713"/>
        <v>06/11/2025</v>
      </c>
      <c r="B9022" t="str">
        <f t="shared" si="1715"/>
        <v>SAÍDA</v>
      </c>
      <c r="C9022" t="str">
        <f t="shared" si="1716"/>
        <v>PIX</v>
      </c>
      <c r="D9022" t="str">
        <f>"24220"</f>
        <v>24220</v>
      </c>
      <c r="E9022" t="str">
        <f t="shared" si="1717"/>
        <v>1</v>
      </c>
      <c r="F9022" t="str">
        <f t="shared" si="1714"/>
        <v>COM</v>
      </c>
      <c r="G9022" t="str">
        <f>"JEFERSON ARAÚJO SANTOS GERMANO (180)"</f>
        <v>JEFERSON ARAÚJO SANTOS GERMANO (180)</v>
      </c>
      <c r="H9022" t="str">
        <f>"Serv.Prest. 20/10/2025 a 24/10/2025 - PIX: CPF - CHAVE: 023.645.626-19"</f>
        <v>Serv.Prest. 20/10/2025 a 24/10/2025 - PIX: CPF - CHAVE: 023.645.626-19</v>
      </c>
      <c r="I9022" t="str">
        <f t="shared" si="1718"/>
        <v>06/11/2025</v>
      </c>
      <c r="J9022" t="str">
        <f t="shared" si="1719"/>
        <v>24/10/2025</v>
      </c>
      <c r="K9022" t="str">
        <f>("06/11/2025")</f>
        <v>06/11/2025</v>
      </c>
      <c r="L9022">
        <v>588</v>
      </c>
      <c r="M9022">
        <v>588</v>
      </c>
      <c r="N9022">
        <v>109</v>
      </c>
      <c r="O9022" t="str">
        <f>"PAGAMENTO DE ENTREGADORES"</f>
        <v>PAGAMENTO DE ENTREGADORES</v>
      </c>
      <c r="P9022">
        <v>588</v>
      </c>
      <c r="S9022" t="str">
        <f>"BANCO C6 (149)"</f>
        <v>BANCO C6 (149)</v>
      </c>
      <c r="T9022">
        <v>20590</v>
      </c>
      <c r="U9022">
        <v>24220</v>
      </c>
      <c r="V9022" t="s">
        <v>77</v>
      </c>
    </row>
    <row r="9023" spans="1:22">
      <c r="A9023" t="str">
        <f t="shared" si="1713"/>
        <v>06/11/2025</v>
      </c>
      <c r="B9023" t="str">
        <f t="shared" si="1715"/>
        <v>SAÍDA</v>
      </c>
      <c r="C9023" t="str">
        <f t="shared" si="1716"/>
        <v>PIX</v>
      </c>
      <c r="D9023" t="str">
        <f>"24220"</f>
        <v>24220</v>
      </c>
      <c r="E9023" t="str">
        <f t="shared" si="1717"/>
        <v>1</v>
      </c>
      <c r="F9023" t="str">
        <f t="shared" si="1714"/>
        <v>COM</v>
      </c>
      <c r="G9023" t="str">
        <f>"JEFERSON ARAÚJO SANTOS GERMANO (180)"</f>
        <v>JEFERSON ARAÚJO SANTOS GERMANO (180)</v>
      </c>
      <c r="H9023" t="s">
        <v>2562</v>
      </c>
      <c r="I9023" t="str">
        <f t="shared" si="1718"/>
        <v>06/11/2025</v>
      </c>
      <c r="J9023" t="str">
        <f t="shared" si="1719"/>
        <v>24/10/2025</v>
      </c>
      <c r="K9023">
        <v>45967</v>
      </c>
      <c r="N9023">
        <v>109</v>
      </c>
      <c r="O9023" t="s">
        <v>24</v>
      </c>
      <c r="Q9023">
        <v>588</v>
      </c>
      <c r="R9023" t="str">
        <f>"FARMÁCIA INDIANA LJ 142 (10066)"</f>
        <v>FARMÁCIA INDIANA LJ 142 (10066)</v>
      </c>
      <c r="S9023" t="s">
        <v>77</v>
      </c>
      <c r="T9023">
        <v>20590</v>
      </c>
      <c r="U9023">
        <v>24220</v>
      </c>
      <c r="V9023" t="s">
        <v>77</v>
      </c>
    </row>
    <row r="9024" spans="1:22">
      <c r="A9024" t="str">
        <f t="shared" si="1713"/>
        <v>06/11/2025</v>
      </c>
      <c r="B9024" t="str">
        <f t="shared" si="1715"/>
        <v>SAÍDA</v>
      </c>
      <c r="C9024" t="str">
        <f t="shared" si="1716"/>
        <v>PIX</v>
      </c>
      <c r="D9024" t="str">
        <f>"24221"</f>
        <v>24221</v>
      </c>
      <c r="E9024" t="str">
        <f t="shared" si="1717"/>
        <v>1</v>
      </c>
      <c r="F9024" t="str">
        <f t="shared" si="1714"/>
        <v>COM</v>
      </c>
      <c r="G9024" t="str">
        <f>"JEFERSON DE JESUS SANTOS (910)"</f>
        <v>JEFERSON DE JESUS SANTOS (910)</v>
      </c>
      <c r="H9024" t="str">
        <f>"Serv.Prest. 20/10/2025 a 24/10/2025 - PIX: CELULAR - CHAVE: (33) 98836-6015"</f>
        <v>Serv.Prest. 20/10/2025 a 24/10/2025 - PIX: CELULAR - CHAVE: (33) 98836-6015</v>
      </c>
      <c r="I9024" t="str">
        <f t="shared" si="1718"/>
        <v>06/11/2025</v>
      </c>
      <c r="J9024" t="str">
        <f t="shared" si="1719"/>
        <v>24/10/2025</v>
      </c>
      <c r="K9024" t="str">
        <f>("06/11/2025")</f>
        <v>06/11/2025</v>
      </c>
      <c r="L9024">
        <v>282</v>
      </c>
      <c r="M9024">
        <v>282</v>
      </c>
      <c r="N9024">
        <v>109</v>
      </c>
      <c r="O9024" t="str">
        <f>"PAGAMENTO DE ENTREGADORES"</f>
        <v>PAGAMENTO DE ENTREGADORES</v>
      </c>
      <c r="P9024">
        <v>282</v>
      </c>
      <c r="S9024" t="str">
        <f>"BANCO C6 (149)"</f>
        <v>BANCO C6 (149)</v>
      </c>
      <c r="T9024">
        <v>20591</v>
      </c>
      <c r="U9024">
        <v>24221</v>
      </c>
      <c r="V9024" t="s">
        <v>77</v>
      </c>
    </row>
    <row r="9025" spans="1:22">
      <c r="A9025" t="str">
        <f t="shared" si="1713"/>
        <v>06/11/2025</v>
      </c>
      <c r="B9025" t="str">
        <f t="shared" si="1715"/>
        <v>SAÍDA</v>
      </c>
      <c r="C9025" t="str">
        <f t="shared" si="1716"/>
        <v>PIX</v>
      </c>
      <c r="D9025" t="str">
        <f>"24221"</f>
        <v>24221</v>
      </c>
      <c r="E9025" t="str">
        <f t="shared" si="1717"/>
        <v>1</v>
      </c>
      <c r="F9025" t="str">
        <f t="shared" si="1714"/>
        <v>COM</v>
      </c>
      <c r="G9025" t="str">
        <f>"JEFERSON DE JESUS SANTOS (910)"</f>
        <v>JEFERSON DE JESUS SANTOS (910)</v>
      </c>
      <c r="H9025" t="s">
        <v>2563</v>
      </c>
      <c r="I9025" t="str">
        <f t="shared" si="1718"/>
        <v>06/11/2025</v>
      </c>
      <c r="J9025" t="str">
        <f t="shared" si="1719"/>
        <v>24/10/2025</v>
      </c>
      <c r="K9025">
        <v>45967</v>
      </c>
      <c r="N9025">
        <v>109</v>
      </c>
      <c r="O9025" t="s">
        <v>24</v>
      </c>
      <c r="Q9025">
        <v>282</v>
      </c>
      <c r="R9025" t="str">
        <f>"FARMÁCIA INDIANA LJ 07 (10007)"</f>
        <v>FARMÁCIA INDIANA LJ 07 (10007)</v>
      </c>
      <c r="S9025" t="s">
        <v>77</v>
      </c>
      <c r="T9025">
        <v>20591</v>
      </c>
      <c r="U9025">
        <v>24221</v>
      </c>
      <c r="V9025" t="s">
        <v>77</v>
      </c>
    </row>
    <row r="9026" spans="1:22">
      <c r="A9026" t="str">
        <f t="shared" si="1713"/>
        <v>06/11/2025</v>
      </c>
      <c r="B9026" t="str">
        <f t="shared" si="1715"/>
        <v>SAÍDA</v>
      </c>
      <c r="C9026" t="str">
        <f t="shared" si="1716"/>
        <v>PIX</v>
      </c>
      <c r="D9026" t="str">
        <f>"24222"</f>
        <v>24222</v>
      </c>
      <c r="E9026" t="str">
        <f t="shared" si="1717"/>
        <v>1</v>
      </c>
      <c r="F9026" t="str">
        <f t="shared" si="1714"/>
        <v>COM</v>
      </c>
      <c r="G9026" t="str">
        <f>"JHONANTAN LACERDA DE JESUS (142)"</f>
        <v>JHONANTAN LACERDA DE JESUS (142)</v>
      </c>
      <c r="H9026" t="str">
        <f>"Serv.Prest. 20/10/2025 a 24/10/2025 - PIX: E-MAIL - CHAVE: jhonantanlacerda@gmail.com"</f>
        <v>Serv.Prest. 20/10/2025 a 24/10/2025 - PIX: E-MAIL - CHAVE: jhonantanlacerda@gmail.com</v>
      </c>
      <c r="I9026" t="str">
        <f t="shared" si="1718"/>
        <v>06/11/2025</v>
      </c>
      <c r="J9026" t="str">
        <f t="shared" si="1719"/>
        <v>24/10/2025</v>
      </c>
      <c r="K9026" t="str">
        <f>("06/11/2025")</f>
        <v>06/11/2025</v>
      </c>
      <c r="L9026">
        <v>612</v>
      </c>
      <c r="M9026">
        <v>612</v>
      </c>
      <c r="N9026">
        <v>109</v>
      </c>
      <c r="O9026" t="str">
        <f>"PAGAMENTO DE ENTREGADORES"</f>
        <v>PAGAMENTO DE ENTREGADORES</v>
      </c>
      <c r="P9026">
        <v>612</v>
      </c>
      <c r="S9026" t="str">
        <f>"BANCO C6 (149)"</f>
        <v>BANCO C6 (149)</v>
      </c>
      <c r="T9026">
        <v>20592</v>
      </c>
      <c r="U9026">
        <v>24222</v>
      </c>
      <c r="V9026" t="s">
        <v>77</v>
      </c>
    </row>
    <row r="9027" spans="1:22">
      <c r="A9027" t="str">
        <f t="shared" si="1713"/>
        <v>06/11/2025</v>
      </c>
      <c r="B9027" t="str">
        <f t="shared" si="1715"/>
        <v>SAÍDA</v>
      </c>
      <c r="C9027" t="str">
        <f t="shared" si="1716"/>
        <v>PIX</v>
      </c>
      <c r="D9027" t="str">
        <f>"24222"</f>
        <v>24222</v>
      </c>
      <c r="E9027" t="str">
        <f t="shared" si="1717"/>
        <v>1</v>
      </c>
      <c r="F9027" t="str">
        <f t="shared" si="1714"/>
        <v>COM</v>
      </c>
      <c r="G9027" t="str">
        <f>"JHONANTAN LACERDA DE JESUS (142)"</f>
        <v>JHONANTAN LACERDA DE JESUS (142)</v>
      </c>
      <c r="H9027" t="s">
        <v>2564</v>
      </c>
      <c r="I9027" t="str">
        <f t="shared" si="1718"/>
        <v>06/11/2025</v>
      </c>
      <c r="J9027" t="str">
        <f t="shared" si="1719"/>
        <v>24/10/2025</v>
      </c>
      <c r="K9027">
        <v>45967</v>
      </c>
      <c r="N9027">
        <v>109</v>
      </c>
      <c r="O9027" t="s">
        <v>24</v>
      </c>
      <c r="Q9027">
        <v>612</v>
      </c>
      <c r="R9027" t="str">
        <f>"FARMÁCIA INDIANA LJ 142 (10066)"</f>
        <v>FARMÁCIA INDIANA LJ 142 (10066)</v>
      </c>
      <c r="S9027" t="s">
        <v>77</v>
      </c>
      <c r="T9027">
        <v>20592</v>
      </c>
      <c r="U9027">
        <v>24222</v>
      </c>
      <c r="V9027" t="s">
        <v>77</v>
      </c>
    </row>
    <row r="9028" spans="1:22">
      <c r="A9028" t="str">
        <f t="shared" si="1713"/>
        <v>06/11/2025</v>
      </c>
      <c r="B9028" t="str">
        <f t="shared" si="1715"/>
        <v>SAÍDA</v>
      </c>
      <c r="C9028" t="str">
        <f t="shared" si="1716"/>
        <v>PIX</v>
      </c>
      <c r="D9028" t="str">
        <f>"24745"</f>
        <v>24745</v>
      </c>
      <c r="E9028" t="str">
        <f t="shared" si="1717"/>
        <v>1</v>
      </c>
      <c r="F9028" t="str">
        <f t="shared" si="1714"/>
        <v>COM</v>
      </c>
      <c r="G9028" t="str">
        <f>"DANTE SOARES DA SILVA (416)"</f>
        <v>DANTE SOARES DA SILVA (416)</v>
      </c>
      <c r="H9028" t="str">
        <f>"Serv.Prest. 24/10/2025 a 02/11/2025 - PIX: CELULAR - CHAVE: (33) 99802-1883"</f>
        <v>Serv.Prest. 24/10/2025 a 02/11/2025 - PIX: CELULAR - CHAVE: (33) 99802-1883</v>
      </c>
      <c r="I9028" t="str">
        <f t="shared" si="1718"/>
        <v>06/11/2025</v>
      </c>
      <c r="J9028" t="str">
        <f>("04/11/2025")</f>
        <v>04/11/2025</v>
      </c>
      <c r="K9028" t="str">
        <f>("06/11/2025")</f>
        <v>06/11/2025</v>
      </c>
      <c r="L9028">
        <v>411.6</v>
      </c>
      <c r="M9028">
        <v>411.6</v>
      </c>
      <c r="N9028">
        <v>109</v>
      </c>
      <c r="O9028" t="str">
        <f>"PAGAMENTO DE ENTREGADORES"</f>
        <v>PAGAMENTO DE ENTREGADORES</v>
      </c>
      <c r="P9028">
        <v>411.6</v>
      </c>
      <c r="S9028" t="str">
        <f>"BANCO C6 (149)"</f>
        <v>BANCO C6 (149)</v>
      </c>
      <c r="T9028">
        <v>20593</v>
      </c>
      <c r="U9028">
        <v>24951</v>
      </c>
      <c r="V9028" t="s">
        <v>77</v>
      </c>
    </row>
    <row r="9029" spans="1:22">
      <c r="A9029" t="str">
        <f t="shared" si="1713"/>
        <v>06/11/2025</v>
      </c>
      <c r="B9029" t="str">
        <f t="shared" si="1715"/>
        <v>SAÍDA</v>
      </c>
      <c r="C9029" t="str">
        <f t="shared" si="1716"/>
        <v>PIX</v>
      </c>
      <c r="D9029" t="str">
        <f>"24745"</f>
        <v>24745</v>
      </c>
      <c r="E9029" t="str">
        <f t="shared" si="1717"/>
        <v>1</v>
      </c>
      <c r="F9029" t="str">
        <f t="shared" si="1714"/>
        <v>COM</v>
      </c>
      <c r="G9029" t="str">
        <f>"DANTE SOARES DA SILVA (416)"</f>
        <v>DANTE SOARES DA SILVA (416)</v>
      </c>
      <c r="H9029" t="s">
        <v>2565</v>
      </c>
      <c r="I9029" t="str">
        <f t="shared" si="1718"/>
        <v>06/11/2025</v>
      </c>
      <c r="J9029" t="str">
        <f>("04/11/2025")</f>
        <v>04/11/2025</v>
      </c>
      <c r="K9029">
        <v>45967</v>
      </c>
      <c r="N9029">
        <v>109</v>
      </c>
      <c r="O9029" t="s">
        <v>24</v>
      </c>
      <c r="Q9029">
        <v>411.6</v>
      </c>
      <c r="R9029" t="str">
        <f>"FARMÁCIA INDIANA LJ 59 (10026)"</f>
        <v>FARMÁCIA INDIANA LJ 59 (10026)</v>
      </c>
      <c r="S9029" t="s">
        <v>77</v>
      </c>
      <c r="T9029">
        <v>20593</v>
      </c>
      <c r="U9029">
        <v>24951</v>
      </c>
      <c r="V9029" t="s">
        <v>77</v>
      </c>
    </row>
    <row r="9030" spans="1:22">
      <c r="A9030" t="str">
        <f t="shared" si="1713"/>
        <v>06/11/2025</v>
      </c>
      <c r="B9030" t="str">
        <f t="shared" si="1715"/>
        <v>SAÍDA</v>
      </c>
      <c r="C9030" t="str">
        <f t="shared" si="1716"/>
        <v>PIX</v>
      </c>
      <c r="D9030" t="str">
        <f>"24224"</f>
        <v>24224</v>
      </c>
      <c r="E9030" t="str">
        <f t="shared" si="1717"/>
        <v>1</v>
      </c>
      <c r="F9030" t="str">
        <f t="shared" si="1714"/>
        <v>COM</v>
      </c>
      <c r="G9030" t="str">
        <f>"JOMAR GONÇALVES DIAS (16)"</f>
        <v>JOMAR GONÇALVES DIAS (16)</v>
      </c>
      <c r="H9030" t="str">
        <f>"Serv.Prest. 20/10/2025 a 24/10/2025 - PIX: CPF - CHAVE: 602.838.315-53"</f>
        <v>Serv.Prest. 20/10/2025 a 24/10/2025 - PIX: CPF - CHAVE: 602.838.315-53</v>
      </c>
      <c r="I9030" t="str">
        <f t="shared" si="1718"/>
        <v>06/11/2025</v>
      </c>
      <c r="J9030" t="str">
        <f t="shared" ref="J9030:J9061" si="1720">("24/10/2025")</f>
        <v>24/10/2025</v>
      </c>
      <c r="K9030" t="str">
        <f>("06/11/2025")</f>
        <v>06/11/2025</v>
      </c>
      <c r="L9030">
        <v>577.5</v>
      </c>
      <c r="M9030">
        <v>577.5</v>
      </c>
      <c r="N9030">
        <v>109</v>
      </c>
      <c r="O9030" t="str">
        <f>"PAGAMENTO DE ENTREGADORES"</f>
        <v>PAGAMENTO DE ENTREGADORES</v>
      </c>
      <c r="P9030">
        <v>577.5</v>
      </c>
      <c r="S9030" t="str">
        <f>"BANCO C6 (149)"</f>
        <v>BANCO C6 (149)</v>
      </c>
      <c r="T9030">
        <v>20594</v>
      </c>
      <c r="U9030">
        <v>24224</v>
      </c>
      <c r="V9030" t="s">
        <v>77</v>
      </c>
    </row>
    <row r="9031" spans="1:22">
      <c r="A9031" t="str">
        <f t="shared" si="1713"/>
        <v>06/11/2025</v>
      </c>
      <c r="B9031" t="str">
        <f t="shared" si="1715"/>
        <v>SAÍDA</v>
      </c>
      <c r="C9031" t="str">
        <f t="shared" si="1716"/>
        <v>PIX</v>
      </c>
      <c r="D9031" t="str">
        <f>"24224"</f>
        <v>24224</v>
      </c>
      <c r="E9031" t="str">
        <f t="shared" si="1717"/>
        <v>1</v>
      </c>
      <c r="F9031" t="str">
        <f t="shared" si="1714"/>
        <v>COM</v>
      </c>
      <c r="G9031" t="str">
        <f>"JOMAR GONÇALVES DIAS (16)"</f>
        <v>JOMAR GONÇALVES DIAS (16)</v>
      </c>
      <c r="H9031" t="s">
        <v>2566</v>
      </c>
      <c r="I9031" t="str">
        <f t="shared" si="1718"/>
        <v>06/11/2025</v>
      </c>
      <c r="J9031" t="str">
        <f t="shared" si="1720"/>
        <v>24/10/2025</v>
      </c>
      <c r="K9031">
        <v>45967</v>
      </c>
      <c r="N9031">
        <v>109</v>
      </c>
      <c r="O9031" t="s">
        <v>24</v>
      </c>
      <c r="Q9031">
        <v>577.5</v>
      </c>
      <c r="R9031" t="str">
        <f>"FARMÁCIA INDIANA LJ 61 (10027)"</f>
        <v>FARMÁCIA INDIANA LJ 61 (10027)</v>
      </c>
      <c r="S9031" t="s">
        <v>77</v>
      </c>
      <c r="T9031">
        <v>20594</v>
      </c>
      <c r="U9031">
        <v>24224</v>
      </c>
      <c r="V9031" t="s">
        <v>77</v>
      </c>
    </row>
    <row r="9032" spans="1:22">
      <c r="A9032" t="str">
        <f t="shared" si="1713"/>
        <v>06/11/2025</v>
      </c>
      <c r="B9032" t="str">
        <f t="shared" si="1715"/>
        <v>SAÍDA</v>
      </c>
      <c r="C9032" t="str">
        <f t="shared" si="1716"/>
        <v>PIX</v>
      </c>
      <c r="D9032" t="str">
        <f>"24225"</f>
        <v>24225</v>
      </c>
      <c r="E9032" t="str">
        <f t="shared" si="1717"/>
        <v>1</v>
      </c>
      <c r="F9032" t="str">
        <f t="shared" si="1714"/>
        <v>COM</v>
      </c>
      <c r="G9032" t="str">
        <f>"JOSÉ CARLOS DA COSTA (83)"</f>
        <v>JOSÉ CARLOS DA COSTA (83)</v>
      </c>
      <c r="H9032" t="str">
        <f>"Serv.Prest. 20/10/2025 a 24/10/2025 - PIX: CPF - CHAVE: 043.301.196-33"</f>
        <v>Serv.Prest. 20/10/2025 a 24/10/2025 - PIX: CPF - CHAVE: 043.301.196-33</v>
      </c>
      <c r="I9032" t="str">
        <f t="shared" si="1718"/>
        <v>06/11/2025</v>
      </c>
      <c r="J9032" t="str">
        <f t="shared" si="1720"/>
        <v>24/10/2025</v>
      </c>
      <c r="K9032" t="str">
        <f>("06/11/2025")</f>
        <v>06/11/2025</v>
      </c>
      <c r="L9032">
        <v>348</v>
      </c>
      <c r="M9032">
        <v>348</v>
      </c>
      <c r="N9032">
        <v>109</v>
      </c>
      <c r="O9032" t="str">
        <f>"PAGAMENTO DE ENTREGADORES"</f>
        <v>PAGAMENTO DE ENTREGADORES</v>
      </c>
      <c r="P9032">
        <v>348</v>
      </c>
      <c r="S9032" t="str">
        <f>"BANCO C6 (149)"</f>
        <v>BANCO C6 (149)</v>
      </c>
      <c r="T9032">
        <v>20595</v>
      </c>
      <c r="U9032">
        <v>24225</v>
      </c>
      <c r="V9032" t="s">
        <v>77</v>
      </c>
    </row>
    <row r="9033" spans="1:22">
      <c r="A9033" t="str">
        <f t="shared" si="1713"/>
        <v>06/11/2025</v>
      </c>
      <c r="B9033" t="str">
        <f t="shared" si="1715"/>
        <v>SAÍDA</v>
      </c>
      <c r="C9033" t="str">
        <f t="shared" si="1716"/>
        <v>PIX</v>
      </c>
      <c r="D9033" t="str">
        <f>"24225"</f>
        <v>24225</v>
      </c>
      <c r="E9033" t="str">
        <f t="shared" si="1717"/>
        <v>1</v>
      </c>
      <c r="F9033" t="str">
        <f t="shared" si="1714"/>
        <v>COM</v>
      </c>
      <c r="G9033" t="str">
        <f>"JOSÉ CARLOS DA COSTA (83)"</f>
        <v>JOSÉ CARLOS DA COSTA (83)</v>
      </c>
      <c r="H9033" t="s">
        <v>2567</v>
      </c>
      <c r="I9033" t="str">
        <f t="shared" si="1718"/>
        <v>06/11/2025</v>
      </c>
      <c r="J9033" t="str">
        <f t="shared" si="1720"/>
        <v>24/10/2025</v>
      </c>
      <c r="K9033">
        <v>45967</v>
      </c>
      <c r="N9033">
        <v>109</v>
      </c>
      <c r="O9033" t="s">
        <v>24</v>
      </c>
      <c r="Q9033">
        <v>348</v>
      </c>
      <c r="R9033" t="str">
        <f>"FARMÁCIA INDIANA LJ 152 (10069)"</f>
        <v>FARMÁCIA INDIANA LJ 152 (10069)</v>
      </c>
      <c r="S9033" t="s">
        <v>77</v>
      </c>
      <c r="T9033">
        <v>20595</v>
      </c>
      <c r="U9033">
        <v>24225</v>
      </c>
      <c r="V9033" t="s">
        <v>77</v>
      </c>
    </row>
    <row r="9034" spans="1:22">
      <c r="A9034" t="str">
        <f t="shared" si="1713"/>
        <v>06/11/2025</v>
      </c>
      <c r="B9034" t="str">
        <f t="shared" si="1715"/>
        <v>SAÍDA</v>
      </c>
      <c r="C9034" t="str">
        <f t="shared" si="1716"/>
        <v>PIX</v>
      </c>
      <c r="D9034" t="str">
        <f>"24226"</f>
        <v>24226</v>
      </c>
      <c r="E9034" t="str">
        <f t="shared" si="1717"/>
        <v>1</v>
      </c>
      <c r="F9034" t="str">
        <f t="shared" si="1714"/>
        <v>COM</v>
      </c>
      <c r="G9034" t="str">
        <f>"JUBER FERREIRA SILVA BASTOS (192)"</f>
        <v>JUBER FERREIRA SILVA BASTOS (192)</v>
      </c>
      <c r="H9034" t="str">
        <f>"Serv.Prest. 20/10/2025 a 24/10/2025 - PIX: CPF - CHAVE: 012.459.366-62"</f>
        <v>Serv.Prest. 20/10/2025 a 24/10/2025 - PIX: CPF - CHAVE: 012.459.366-62</v>
      </c>
      <c r="I9034" t="str">
        <f t="shared" si="1718"/>
        <v>06/11/2025</v>
      </c>
      <c r="J9034" t="str">
        <f t="shared" si="1720"/>
        <v>24/10/2025</v>
      </c>
      <c r="K9034" t="str">
        <f>("06/11/2025")</f>
        <v>06/11/2025</v>
      </c>
      <c r="L9034">
        <v>810</v>
      </c>
      <c r="M9034">
        <v>810</v>
      </c>
      <c r="N9034">
        <v>109</v>
      </c>
      <c r="O9034" t="str">
        <f>"PAGAMENTO DE ENTREGADORES"</f>
        <v>PAGAMENTO DE ENTREGADORES</v>
      </c>
      <c r="P9034">
        <v>810</v>
      </c>
      <c r="S9034" t="str">
        <f>"BANCO C6 (149)"</f>
        <v>BANCO C6 (149)</v>
      </c>
      <c r="T9034">
        <v>20596</v>
      </c>
      <c r="U9034">
        <v>24226</v>
      </c>
      <c r="V9034" t="s">
        <v>77</v>
      </c>
    </row>
    <row r="9035" spans="1:22">
      <c r="A9035" t="str">
        <f t="shared" si="1713"/>
        <v>06/11/2025</v>
      </c>
      <c r="B9035" t="str">
        <f t="shared" si="1715"/>
        <v>SAÍDA</v>
      </c>
      <c r="C9035" t="str">
        <f t="shared" si="1716"/>
        <v>PIX</v>
      </c>
      <c r="D9035" t="str">
        <f>"24226"</f>
        <v>24226</v>
      </c>
      <c r="E9035" t="str">
        <f t="shared" si="1717"/>
        <v>1</v>
      </c>
      <c r="F9035" t="str">
        <f t="shared" si="1714"/>
        <v>COM</v>
      </c>
      <c r="G9035" t="str">
        <f>"JUBER FERREIRA SILVA BASTOS (192)"</f>
        <v>JUBER FERREIRA SILVA BASTOS (192)</v>
      </c>
      <c r="H9035" t="s">
        <v>2568</v>
      </c>
      <c r="I9035" t="str">
        <f t="shared" si="1718"/>
        <v>06/11/2025</v>
      </c>
      <c r="J9035" t="str">
        <f t="shared" si="1720"/>
        <v>24/10/2025</v>
      </c>
      <c r="K9035">
        <v>45967</v>
      </c>
      <c r="N9035">
        <v>109</v>
      </c>
      <c r="O9035" t="s">
        <v>24</v>
      </c>
      <c r="Q9035">
        <v>810</v>
      </c>
      <c r="R9035" t="str">
        <f>"FARMÁCIA INDIANA LJ 06 (10006)"</f>
        <v>FARMÁCIA INDIANA LJ 06 (10006)</v>
      </c>
      <c r="S9035" t="s">
        <v>77</v>
      </c>
      <c r="T9035">
        <v>20596</v>
      </c>
      <c r="U9035">
        <v>24226</v>
      </c>
      <c r="V9035" t="s">
        <v>77</v>
      </c>
    </row>
    <row r="9036" spans="1:22">
      <c r="A9036" t="str">
        <f t="shared" si="1713"/>
        <v>06/11/2025</v>
      </c>
      <c r="B9036" t="str">
        <f t="shared" si="1715"/>
        <v>SAÍDA</v>
      </c>
      <c r="C9036" t="str">
        <f t="shared" si="1716"/>
        <v>PIX</v>
      </c>
      <c r="D9036" t="str">
        <f>"24227"</f>
        <v>24227</v>
      </c>
      <c r="E9036" t="str">
        <f t="shared" si="1717"/>
        <v>1</v>
      </c>
      <c r="F9036" t="str">
        <f t="shared" si="1714"/>
        <v>COM</v>
      </c>
      <c r="G9036" t="str">
        <f>"JUNIO DE ANDRADE ARRUDA (145)"</f>
        <v>JUNIO DE ANDRADE ARRUDA (145)</v>
      </c>
      <c r="H9036" t="str">
        <f>"Serv.Prest. 20/10/2025 a 24/10/2025 - PIX: CPF - CHAVE: 077.488.126-75"</f>
        <v>Serv.Prest. 20/10/2025 a 24/10/2025 - PIX: CPF - CHAVE: 077.488.126-75</v>
      </c>
      <c r="I9036" t="str">
        <f t="shared" si="1718"/>
        <v>06/11/2025</v>
      </c>
      <c r="J9036" t="str">
        <f t="shared" si="1720"/>
        <v>24/10/2025</v>
      </c>
      <c r="K9036" t="str">
        <f>("06/11/2025")</f>
        <v>06/11/2025</v>
      </c>
      <c r="L9036">
        <v>408</v>
      </c>
      <c r="M9036">
        <v>408</v>
      </c>
      <c r="N9036">
        <v>109</v>
      </c>
      <c r="O9036" t="str">
        <f>"PAGAMENTO DE ENTREGADORES"</f>
        <v>PAGAMENTO DE ENTREGADORES</v>
      </c>
      <c r="P9036">
        <v>408</v>
      </c>
      <c r="S9036" t="str">
        <f>"BANCO C6 (149)"</f>
        <v>BANCO C6 (149)</v>
      </c>
      <c r="T9036">
        <v>20597</v>
      </c>
      <c r="U9036">
        <v>24227</v>
      </c>
      <c r="V9036" t="s">
        <v>77</v>
      </c>
    </row>
    <row r="9037" spans="1:22">
      <c r="A9037" t="str">
        <f t="shared" si="1713"/>
        <v>06/11/2025</v>
      </c>
      <c r="B9037" t="str">
        <f t="shared" si="1715"/>
        <v>SAÍDA</v>
      </c>
      <c r="C9037" t="str">
        <f t="shared" si="1716"/>
        <v>PIX</v>
      </c>
      <c r="D9037" t="str">
        <f>"24227"</f>
        <v>24227</v>
      </c>
      <c r="E9037" t="str">
        <f t="shared" si="1717"/>
        <v>1</v>
      </c>
      <c r="F9037" t="str">
        <f t="shared" si="1714"/>
        <v>COM</v>
      </c>
      <c r="G9037" t="str">
        <f>"JUNIO DE ANDRADE ARRUDA (145)"</f>
        <v>JUNIO DE ANDRADE ARRUDA (145)</v>
      </c>
      <c r="H9037" t="s">
        <v>2569</v>
      </c>
      <c r="I9037" t="str">
        <f t="shared" si="1718"/>
        <v>06/11/2025</v>
      </c>
      <c r="J9037" t="str">
        <f t="shared" si="1720"/>
        <v>24/10/2025</v>
      </c>
      <c r="K9037">
        <v>45967</v>
      </c>
      <c r="N9037">
        <v>109</v>
      </c>
      <c r="O9037" t="s">
        <v>24</v>
      </c>
      <c r="Q9037">
        <v>408</v>
      </c>
      <c r="R9037" t="str">
        <f>"FARMÁCIA INDIANA LJ 19 (10012)"</f>
        <v>FARMÁCIA INDIANA LJ 19 (10012)</v>
      </c>
      <c r="S9037" t="s">
        <v>77</v>
      </c>
      <c r="T9037">
        <v>20597</v>
      </c>
      <c r="U9037">
        <v>24227</v>
      </c>
      <c r="V9037" t="s">
        <v>77</v>
      </c>
    </row>
    <row r="9038" spans="1:22">
      <c r="A9038" t="str">
        <f t="shared" si="1713"/>
        <v>06/11/2025</v>
      </c>
      <c r="B9038" t="str">
        <f t="shared" si="1715"/>
        <v>SAÍDA</v>
      </c>
      <c r="C9038" t="str">
        <f t="shared" si="1716"/>
        <v>PIX</v>
      </c>
      <c r="D9038" t="str">
        <f>"24228"</f>
        <v>24228</v>
      </c>
      <c r="E9038" t="str">
        <f t="shared" si="1717"/>
        <v>1</v>
      </c>
      <c r="F9038" t="str">
        <f t="shared" si="1714"/>
        <v>COM</v>
      </c>
      <c r="G9038" t="str">
        <f>"JUNIOR DOS SANTOS MACHADO (240)"</f>
        <v>JUNIOR DOS SANTOS MACHADO (240)</v>
      </c>
      <c r="H9038" t="str">
        <f>"Serv.Prest. 20/10/2025 a 24/10/2025 - PIX: CPF - CHAVE: 074.520.456-29"</f>
        <v>Serv.Prest. 20/10/2025 a 24/10/2025 - PIX: CPF - CHAVE: 074.520.456-29</v>
      </c>
      <c r="I9038" t="str">
        <f t="shared" si="1718"/>
        <v>06/11/2025</v>
      </c>
      <c r="J9038" t="str">
        <f t="shared" si="1720"/>
        <v>24/10/2025</v>
      </c>
      <c r="K9038" t="str">
        <f>("06/11/2025")</f>
        <v>06/11/2025</v>
      </c>
      <c r="L9038">
        <v>742.5</v>
      </c>
      <c r="M9038">
        <v>600</v>
      </c>
      <c r="N9038">
        <v>109</v>
      </c>
      <c r="O9038" t="str">
        <f>"PAGAMENTO DE ENTREGADORES"</f>
        <v>PAGAMENTO DE ENTREGADORES</v>
      </c>
      <c r="P9038">
        <v>600</v>
      </c>
      <c r="S9038" t="str">
        <f>"BANCO C6 (149)"</f>
        <v>BANCO C6 (149)</v>
      </c>
      <c r="T9038">
        <v>20598</v>
      </c>
      <c r="U9038">
        <v>24228</v>
      </c>
      <c r="V9038" t="s">
        <v>77</v>
      </c>
    </row>
    <row r="9039" spans="1:22">
      <c r="A9039" t="str">
        <f t="shared" si="1713"/>
        <v>06/11/2025</v>
      </c>
      <c r="B9039" t="str">
        <f t="shared" si="1715"/>
        <v>SAÍDA</v>
      </c>
      <c r="C9039" t="str">
        <f t="shared" si="1716"/>
        <v>PIX</v>
      </c>
      <c r="D9039" t="str">
        <f>"24228"</f>
        <v>24228</v>
      </c>
      <c r="E9039" t="str">
        <f t="shared" si="1717"/>
        <v>1</v>
      </c>
      <c r="F9039" t="str">
        <f t="shared" si="1714"/>
        <v>COM</v>
      </c>
      <c r="G9039" t="str">
        <f>"JUNIOR DOS SANTOS MACHADO (240)"</f>
        <v>JUNIOR DOS SANTOS MACHADO (240)</v>
      </c>
      <c r="H9039" t="s">
        <v>2570</v>
      </c>
      <c r="I9039" t="str">
        <f t="shared" si="1718"/>
        <v>06/11/2025</v>
      </c>
      <c r="J9039" t="str">
        <f t="shared" si="1720"/>
        <v>24/10/2025</v>
      </c>
      <c r="K9039">
        <v>45967</v>
      </c>
      <c r="N9039">
        <v>109</v>
      </c>
      <c r="O9039" t="s">
        <v>24</v>
      </c>
      <c r="Q9039">
        <v>600</v>
      </c>
      <c r="R9039" t="str">
        <f>"FARMÁCIA INDIANA LJ 62 (10028)"</f>
        <v>FARMÁCIA INDIANA LJ 62 (10028)</v>
      </c>
      <c r="S9039" t="s">
        <v>77</v>
      </c>
      <c r="T9039">
        <v>20598</v>
      </c>
      <c r="U9039">
        <v>24228</v>
      </c>
      <c r="V9039" t="s">
        <v>77</v>
      </c>
    </row>
    <row r="9040" spans="1:22">
      <c r="A9040" t="str">
        <f t="shared" si="1713"/>
        <v>06/11/2025</v>
      </c>
      <c r="B9040" t="str">
        <f t="shared" si="1715"/>
        <v>SAÍDA</v>
      </c>
      <c r="C9040" t="str">
        <f t="shared" si="1716"/>
        <v>PIX</v>
      </c>
      <c r="D9040" t="str">
        <f>"24229"</f>
        <v>24229</v>
      </c>
      <c r="E9040" t="str">
        <f t="shared" si="1717"/>
        <v>1</v>
      </c>
      <c r="F9040" t="str">
        <f t="shared" si="1714"/>
        <v>COM</v>
      </c>
      <c r="G9040" t="str">
        <f>"KALESSON BARROSO DIAS (216)"</f>
        <v>KALESSON BARROSO DIAS (216)</v>
      </c>
      <c r="H9040" t="str">
        <f>"Serv.Prest. 20/10/2025 a 24/10/2025 - PIX: CELULAR - CHAVE: (33) 99106-9330"</f>
        <v>Serv.Prest. 20/10/2025 a 24/10/2025 - PIX: CELULAR - CHAVE: (33) 99106-9330</v>
      </c>
      <c r="I9040" t="str">
        <f t="shared" si="1718"/>
        <v>06/11/2025</v>
      </c>
      <c r="J9040" t="str">
        <f t="shared" si="1720"/>
        <v>24/10/2025</v>
      </c>
      <c r="K9040" t="str">
        <f>("06/11/2025")</f>
        <v>06/11/2025</v>
      </c>
      <c r="L9040">
        <v>810</v>
      </c>
      <c r="M9040">
        <v>810</v>
      </c>
      <c r="N9040">
        <v>109</v>
      </c>
      <c r="O9040" t="str">
        <f>"PAGAMENTO DE ENTREGADORES"</f>
        <v>PAGAMENTO DE ENTREGADORES</v>
      </c>
      <c r="P9040">
        <v>810</v>
      </c>
      <c r="S9040" t="str">
        <f>"BANCO C6 (149)"</f>
        <v>BANCO C6 (149)</v>
      </c>
      <c r="T9040">
        <v>20599</v>
      </c>
      <c r="U9040">
        <v>24229</v>
      </c>
      <c r="V9040" t="s">
        <v>77</v>
      </c>
    </row>
    <row r="9041" spans="1:22">
      <c r="A9041" t="str">
        <f t="shared" si="1713"/>
        <v>06/11/2025</v>
      </c>
      <c r="B9041" t="str">
        <f t="shared" si="1715"/>
        <v>SAÍDA</v>
      </c>
      <c r="C9041" t="str">
        <f t="shared" si="1716"/>
        <v>PIX</v>
      </c>
      <c r="D9041" t="str">
        <f>"24229"</f>
        <v>24229</v>
      </c>
      <c r="E9041" t="str">
        <f t="shared" si="1717"/>
        <v>1</v>
      </c>
      <c r="F9041" t="str">
        <f t="shared" si="1714"/>
        <v>COM</v>
      </c>
      <c r="G9041" t="str">
        <f>"KALESSON BARROSO DIAS (216)"</f>
        <v>KALESSON BARROSO DIAS (216)</v>
      </c>
      <c r="H9041" t="s">
        <v>2571</v>
      </c>
      <c r="I9041" t="str">
        <f t="shared" si="1718"/>
        <v>06/11/2025</v>
      </c>
      <c r="J9041" t="str">
        <f t="shared" si="1720"/>
        <v>24/10/2025</v>
      </c>
      <c r="K9041">
        <v>45967</v>
      </c>
      <c r="N9041">
        <v>109</v>
      </c>
      <c r="O9041" t="s">
        <v>24</v>
      </c>
      <c r="Q9041">
        <v>810</v>
      </c>
      <c r="R9041" t="str">
        <f>"FARMÁCIA INDIANA LJ 06 (10006)"</f>
        <v>FARMÁCIA INDIANA LJ 06 (10006)</v>
      </c>
      <c r="S9041" t="s">
        <v>77</v>
      </c>
      <c r="T9041">
        <v>20599</v>
      </c>
      <c r="U9041">
        <v>24229</v>
      </c>
      <c r="V9041" t="s">
        <v>77</v>
      </c>
    </row>
    <row r="9042" spans="1:22">
      <c r="A9042" t="str">
        <f t="shared" si="1713"/>
        <v>06/11/2025</v>
      </c>
      <c r="B9042" t="str">
        <f t="shared" si="1715"/>
        <v>SAÍDA</v>
      </c>
      <c r="C9042" t="str">
        <f t="shared" si="1716"/>
        <v>PIX</v>
      </c>
      <c r="D9042" t="str">
        <f>"24230"</f>
        <v>24230</v>
      </c>
      <c r="E9042" t="str">
        <f t="shared" si="1717"/>
        <v>1</v>
      </c>
      <c r="F9042" t="str">
        <f t="shared" si="1714"/>
        <v>COM</v>
      </c>
      <c r="G9042" t="str">
        <f>"KELVIN NUBIO DE SOUZA TOLEDO (735)"</f>
        <v>KELVIN NUBIO DE SOUZA TOLEDO (735)</v>
      </c>
      <c r="H9042" t="str">
        <f>"Serv.Prest. 20/10/2025 a 24/10/2025 - PIX: CHAVE ALEATÓRIA - CHAVE: c489bee1-360b-4fa9-86c4-fbb0e9844cb8"</f>
        <v>Serv.Prest. 20/10/2025 a 24/10/2025 - PIX: CHAVE ALEATÓRIA - CHAVE: c489bee1-360b-4fa9-86c4-fbb0e9844cb8</v>
      </c>
      <c r="I9042" t="str">
        <f t="shared" si="1718"/>
        <v>06/11/2025</v>
      </c>
      <c r="J9042" t="str">
        <f t="shared" si="1720"/>
        <v>24/10/2025</v>
      </c>
      <c r="K9042" t="str">
        <f>("06/11/2025")</f>
        <v>06/11/2025</v>
      </c>
      <c r="L9042">
        <v>222</v>
      </c>
      <c r="M9042">
        <v>222</v>
      </c>
      <c r="N9042">
        <v>109</v>
      </c>
      <c r="O9042" t="str">
        <f>"PAGAMENTO DE ENTREGADORES"</f>
        <v>PAGAMENTO DE ENTREGADORES</v>
      </c>
      <c r="P9042">
        <v>222</v>
      </c>
      <c r="S9042" t="str">
        <f>"BANCO C6 (149)"</f>
        <v>BANCO C6 (149)</v>
      </c>
      <c r="T9042">
        <v>20600</v>
      </c>
      <c r="U9042">
        <v>24230</v>
      </c>
      <c r="V9042" t="s">
        <v>77</v>
      </c>
    </row>
    <row r="9043" spans="1:22">
      <c r="A9043" t="str">
        <f t="shared" si="1713"/>
        <v>06/11/2025</v>
      </c>
      <c r="B9043" t="str">
        <f t="shared" si="1715"/>
        <v>SAÍDA</v>
      </c>
      <c r="C9043" t="str">
        <f t="shared" si="1716"/>
        <v>PIX</v>
      </c>
      <c r="D9043" t="str">
        <f>"24230"</f>
        <v>24230</v>
      </c>
      <c r="E9043" t="str">
        <f t="shared" si="1717"/>
        <v>1</v>
      </c>
      <c r="F9043" t="str">
        <f t="shared" si="1714"/>
        <v>COM</v>
      </c>
      <c r="G9043" t="str">
        <f>"KELVIN NUBIO DE SOUZA TOLEDO (735)"</f>
        <v>KELVIN NUBIO DE SOUZA TOLEDO (735)</v>
      </c>
      <c r="H9043" t="s">
        <v>2572</v>
      </c>
      <c r="I9043" t="str">
        <f t="shared" si="1718"/>
        <v>06/11/2025</v>
      </c>
      <c r="J9043" t="str">
        <f t="shared" si="1720"/>
        <v>24/10/2025</v>
      </c>
      <c r="K9043">
        <v>45967</v>
      </c>
      <c r="N9043">
        <v>109</v>
      </c>
      <c r="O9043" t="s">
        <v>24</v>
      </c>
      <c r="Q9043">
        <v>222</v>
      </c>
      <c r="R9043" t="str">
        <f>"FARMÁCIA INDIANA LJ 152 (10069)"</f>
        <v>FARMÁCIA INDIANA LJ 152 (10069)</v>
      </c>
      <c r="S9043" t="s">
        <v>77</v>
      </c>
      <c r="T9043">
        <v>20600</v>
      </c>
      <c r="U9043">
        <v>24230</v>
      </c>
      <c r="V9043" t="s">
        <v>77</v>
      </c>
    </row>
    <row r="9044" spans="1:22">
      <c r="A9044" t="str">
        <f t="shared" si="1713"/>
        <v>06/11/2025</v>
      </c>
      <c r="B9044" t="str">
        <f t="shared" si="1715"/>
        <v>SAÍDA</v>
      </c>
      <c r="C9044" t="str">
        <f t="shared" si="1716"/>
        <v>PIX</v>
      </c>
      <c r="D9044" t="str">
        <f>"24232"</f>
        <v>24232</v>
      </c>
      <c r="E9044" t="str">
        <f t="shared" si="1717"/>
        <v>1</v>
      </c>
      <c r="F9044" t="str">
        <f t="shared" si="1714"/>
        <v>COM</v>
      </c>
      <c r="G9044" t="str">
        <f>"LEVERCI DA SILVA COURA (138)"</f>
        <v>LEVERCI DA SILVA COURA (138)</v>
      </c>
      <c r="H9044" t="str">
        <f>"Serv.Prest. 20/10/2025 a 24/10/2025 - PIX: CELULAR - CHAVE: (31) 99850-4727"</f>
        <v>Serv.Prest. 20/10/2025 a 24/10/2025 - PIX: CELULAR - CHAVE: (31) 99850-4727</v>
      </c>
      <c r="I9044" t="str">
        <f t="shared" si="1718"/>
        <v>06/11/2025</v>
      </c>
      <c r="J9044" t="str">
        <f t="shared" si="1720"/>
        <v>24/10/2025</v>
      </c>
      <c r="K9044" t="str">
        <f>("06/11/2025")</f>
        <v>06/11/2025</v>
      </c>
      <c r="L9044">
        <v>654</v>
      </c>
      <c r="M9044">
        <v>654</v>
      </c>
      <c r="N9044">
        <v>109</v>
      </c>
      <c r="O9044" t="str">
        <f>"PAGAMENTO DE ENTREGADORES"</f>
        <v>PAGAMENTO DE ENTREGADORES</v>
      </c>
      <c r="P9044">
        <v>654</v>
      </c>
      <c r="S9044" t="str">
        <f>"BANCO C6 (149)"</f>
        <v>BANCO C6 (149)</v>
      </c>
      <c r="T9044">
        <v>20601</v>
      </c>
      <c r="U9044">
        <v>24232</v>
      </c>
      <c r="V9044" t="s">
        <v>77</v>
      </c>
    </row>
    <row r="9045" spans="1:22">
      <c r="A9045" t="str">
        <f t="shared" si="1713"/>
        <v>06/11/2025</v>
      </c>
      <c r="B9045" t="str">
        <f t="shared" si="1715"/>
        <v>SAÍDA</v>
      </c>
      <c r="C9045" t="str">
        <f t="shared" si="1716"/>
        <v>PIX</v>
      </c>
      <c r="D9045" t="str">
        <f>"24232"</f>
        <v>24232</v>
      </c>
      <c r="E9045" t="str">
        <f t="shared" si="1717"/>
        <v>1</v>
      </c>
      <c r="F9045" t="str">
        <f t="shared" si="1714"/>
        <v>COM</v>
      </c>
      <c r="G9045" t="str">
        <f>"LEVERCI DA SILVA COURA (138)"</f>
        <v>LEVERCI DA SILVA COURA (138)</v>
      </c>
      <c r="H9045" t="s">
        <v>2573</v>
      </c>
      <c r="I9045" t="str">
        <f t="shared" si="1718"/>
        <v>06/11/2025</v>
      </c>
      <c r="J9045" t="str">
        <f t="shared" si="1720"/>
        <v>24/10/2025</v>
      </c>
      <c r="K9045">
        <v>45967</v>
      </c>
      <c r="N9045">
        <v>109</v>
      </c>
      <c r="O9045" t="s">
        <v>24</v>
      </c>
      <c r="Q9045">
        <v>654</v>
      </c>
      <c r="R9045" t="str">
        <f>"FARMÁCIA INDIANA LJ 18 (10011)"</f>
        <v>FARMÁCIA INDIANA LJ 18 (10011)</v>
      </c>
      <c r="S9045" t="s">
        <v>77</v>
      </c>
      <c r="T9045">
        <v>20601</v>
      </c>
      <c r="U9045">
        <v>24232</v>
      </c>
      <c r="V9045" t="s">
        <v>77</v>
      </c>
    </row>
    <row r="9046" spans="1:22">
      <c r="A9046" t="str">
        <f t="shared" si="1713"/>
        <v>06/11/2025</v>
      </c>
      <c r="B9046" t="str">
        <f t="shared" si="1715"/>
        <v>SAÍDA</v>
      </c>
      <c r="C9046" t="str">
        <f t="shared" si="1716"/>
        <v>PIX</v>
      </c>
      <c r="D9046" t="str">
        <f>"24233"</f>
        <v>24233</v>
      </c>
      <c r="E9046" t="str">
        <f t="shared" si="1717"/>
        <v>1</v>
      </c>
      <c r="F9046" t="str">
        <f t="shared" si="1714"/>
        <v>COM</v>
      </c>
      <c r="G9046" t="str">
        <f>"LUAN DOS SANTOS NUNES (719)"</f>
        <v>LUAN DOS SANTOS NUNES (719)</v>
      </c>
      <c r="H9046" t="str">
        <f>"Serv.Prest. 20/10/2025 a 24/10/2025 - PIX: CELULAR - CHAVE: (33) 98749-4693"</f>
        <v>Serv.Prest. 20/10/2025 a 24/10/2025 - PIX: CELULAR - CHAVE: (33) 98749-4693</v>
      </c>
      <c r="I9046" t="str">
        <f t="shared" si="1718"/>
        <v>06/11/2025</v>
      </c>
      <c r="J9046" t="str">
        <f t="shared" si="1720"/>
        <v>24/10/2025</v>
      </c>
      <c r="K9046" t="str">
        <f>("06/11/2025")</f>
        <v>06/11/2025</v>
      </c>
      <c r="L9046">
        <v>1083.5</v>
      </c>
      <c r="M9046">
        <v>1083.5</v>
      </c>
      <c r="N9046">
        <v>109</v>
      </c>
      <c r="O9046" t="str">
        <f>"PAGAMENTO DE ENTREGADORES"</f>
        <v>PAGAMENTO DE ENTREGADORES</v>
      </c>
      <c r="P9046">
        <v>1083.5</v>
      </c>
      <c r="S9046" t="str">
        <f>"BANCO C6 (149)"</f>
        <v>BANCO C6 (149)</v>
      </c>
      <c r="T9046">
        <v>20602</v>
      </c>
      <c r="U9046">
        <v>24233</v>
      </c>
      <c r="V9046" t="s">
        <v>77</v>
      </c>
    </row>
    <row r="9047" spans="1:22">
      <c r="A9047" t="str">
        <f t="shared" si="1713"/>
        <v>06/11/2025</v>
      </c>
      <c r="B9047" t="str">
        <f t="shared" si="1715"/>
        <v>SAÍDA</v>
      </c>
      <c r="C9047" t="str">
        <f t="shared" si="1716"/>
        <v>PIX</v>
      </c>
      <c r="D9047" t="str">
        <f>"24233"</f>
        <v>24233</v>
      </c>
      <c r="E9047" t="str">
        <f t="shared" si="1717"/>
        <v>1</v>
      </c>
      <c r="F9047" t="str">
        <f t="shared" si="1714"/>
        <v>COM</v>
      </c>
      <c r="G9047" t="str">
        <f>"LUAN DOS SANTOS NUNES (719)"</f>
        <v>LUAN DOS SANTOS NUNES (719)</v>
      </c>
      <c r="H9047" t="s">
        <v>2574</v>
      </c>
      <c r="I9047" t="str">
        <f t="shared" si="1718"/>
        <v>06/11/2025</v>
      </c>
      <c r="J9047" t="str">
        <f t="shared" si="1720"/>
        <v>24/10/2025</v>
      </c>
      <c r="K9047">
        <v>45967</v>
      </c>
      <c r="N9047">
        <v>109</v>
      </c>
      <c r="O9047" t="s">
        <v>24</v>
      </c>
      <c r="Q9047">
        <v>1083.5</v>
      </c>
      <c r="R9047" t="str">
        <f>"FARMÁCIA INDIANA LJ 61 (10027)"</f>
        <v>FARMÁCIA INDIANA LJ 61 (10027)</v>
      </c>
      <c r="S9047" t="s">
        <v>77</v>
      </c>
      <c r="T9047">
        <v>20602</v>
      </c>
      <c r="U9047">
        <v>24233</v>
      </c>
      <c r="V9047" t="s">
        <v>77</v>
      </c>
    </row>
    <row r="9048" spans="1:22">
      <c r="A9048" t="str">
        <f t="shared" si="1713"/>
        <v>06/11/2025</v>
      </c>
      <c r="B9048" t="str">
        <f t="shared" si="1715"/>
        <v>SAÍDA</v>
      </c>
      <c r="C9048" t="str">
        <f t="shared" si="1716"/>
        <v>PIX</v>
      </c>
      <c r="D9048" t="str">
        <f>"24234"</f>
        <v>24234</v>
      </c>
      <c r="E9048" t="str">
        <f t="shared" si="1717"/>
        <v>1</v>
      </c>
      <c r="F9048" t="str">
        <f t="shared" si="1714"/>
        <v>COM</v>
      </c>
      <c r="G9048" t="str">
        <f>"LUAN VICTOR SERQUEIRA DA SILVA (577)"</f>
        <v>LUAN VICTOR SERQUEIRA DA SILVA (577)</v>
      </c>
      <c r="H9048" t="str">
        <f>"Serv.Prest. 20/10/2025 a 24/10/2025 - PIX: CPF - CHAVE: 161.508.516-56"</f>
        <v>Serv.Prest. 20/10/2025 a 24/10/2025 - PIX: CPF - CHAVE: 161.508.516-56</v>
      </c>
      <c r="I9048" t="str">
        <f t="shared" si="1718"/>
        <v>06/11/2025</v>
      </c>
      <c r="J9048" t="str">
        <f t="shared" si="1720"/>
        <v>24/10/2025</v>
      </c>
      <c r="K9048" t="str">
        <f>("06/11/2025")</f>
        <v>06/11/2025</v>
      </c>
      <c r="L9048">
        <v>698.5</v>
      </c>
      <c r="M9048">
        <v>700</v>
      </c>
      <c r="N9048">
        <v>109</v>
      </c>
      <c r="O9048" t="str">
        <f>"PAGAMENTO DE ENTREGADORES"</f>
        <v>PAGAMENTO DE ENTREGADORES</v>
      </c>
      <c r="P9048">
        <v>700</v>
      </c>
      <c r="S9048" t="str">
        <f>"BANCO C6 (149)"</f>
        <v>BANCO C6 (149)</v>
      </c>
      <c r="T9048">
        <v>20603</v>
      </c>
      <c r="U9048">
        <v>24234</v>
      </c>
      <c r="V9048" t="s">
        <v>77</v>
      </c>
    </row>
    <row r="9049" spans="1:22">
      <c r="A9049" t="str">
        <f t="shared" si="1713"/>
        <v>06/11/2025</v>
      </c>
      <c r="B9049" t="str">
        <f t="shared" si="1715"/>
        <v>SAÍDA</v>
      </c>
      <c r="C9049" t="str">
        <f t="shared" si="1716"/>
        <v>PIX</v>
      </c>
      <c r="D9049" t="str">
        <f>"24234"</f>
        <v>24234</v>
      </c>
      <c r="E9049" t="str">
        <f t="shared" si="1717"/>
        <v>1</v>
      </c>
      <c r="F9049" t="str">
        <f t="shared" si="1714"/>
        <v>COM</v>
      </c>
      <c r="G9049" t="str">
        <f>"LUAN VICTOR SERQUEIRA DA SILVA (577)"</f>
        <v>LUAN VICTOR SERQUEIRA DA SILVA (577)</v>
      </c>
      <c r="H9049" t="s">
        <v>2575</v>
      </c>
      <c r="I9049" t="str">
        <f t="shared" si="1718"/>
        <v>06/11/2025</v>
      </c>
      <c r="J9049" t="str">
        <f t="shared" si="1720"/>
        <v>24/10/2025</v>
      </c>
      <c r="K9049">
        <v>45967</v>
      </c>
      <c r="N9049">
        <v>109</v>
      </c>
      <c r="O9049" t="s">
        <v>24</v>
      </c>
      <c r="Q9049">
        <v>700</v>
      </c>
      <c r="R9049" t="str">
        <f>"FARMÁCIA INDIANA LJ 202 (10085)"</f>
        <v>FARMÁCIA INDIANA LJ 202 (10085)</v>
      </c>
      <c r="S9049" t="s">
        <v>77</v>
      </c>
      <c r="T9049">
        <v>20603</v>
      </c>
      <c r="U9049">
        <v>24234</v>
      </c>
      <c r="V9049" t="s">
        <v>77</v>
      </c>
    </row>
    <row r="9050" spans="1:22">
      <c r="A9050" t="str">
        <f t="shared" si="1713"/>
        <v>06/11/2025</v>
      </c>
      <c r="B9050" t="str">
        <f t="shared" si="1715"/>
        <v>SAÍDA</v>
      </c>
      <c r="C9050" t="str">
        <f t="shared" si="1716"/>
        <v>PIX</v>
      </c>
      <c r="D9050" t="str">
        <f>"24235"</f>
        <v>24235</v>
      </c>
      <c r="E9050" t="str">
        <f t="shared" si="1717"/>
        <v>1</v>
      </c>
      <c r="F9050" t="str">
        <f t="shared" si="1714"/>
        <v>COM</v>
      </c>
      <c r="G9050" t="str">
        <f>"LUCAS FERREIRA DOS SANTOS (868)"</f>
        <v>LUCAS FERREIRA DOS SANTOS (868)</v>
      </c>
      <c r="H9050" t="str">
        <f>"Serv.Prest. 20/10/2025 a 24/10/2025 - PIX: CELULAR - CHAVE: (33) 99172-0627"</f>
        <v>Serv.Prest. 20/10/2025 a 24/10/2025 - PIX: CELULAR - CHAVE: (33) 99172-0627</v>
      </c>
      <c r="I9050" t="str">
        <f t="shared" si="1718"/>
        <v>06/11/2025</v>
      </c>
      <c r="J9050" t="str">
        <f t="shared" si="1720"/>
        <v>24/10/2025</v>
      </c>
      <c r="K9050" t="str">
        <f>("06/11/2025")</f>
        <v>06/11/2025</v>
      </c>
      <c r="L9050">
        <v>540</v>
      </c>
      <c r="M9050">
        <v>540</v>
      </c>
      <c r="N9050">
        <v>109</v>
      </c>
      <c r="O9050" t="str">
        <f>"PAGAMENTO DE ENTREGADORES"</f>
        <v>PAGAMENTO DE ENTREGADORES</v>
      </c>
      <c r="P9050">
        <v>540</v>
      </c>
      <c r="S9050" t="str">
        <f>"BANCO C6 (149)"</f>
        <v>BANCO C6 (149)</v>
      </c>
      <c r="T9050">
        <v>20604</v>
      </c>
      <c r="U9050">
        <v>24235</v>
      </c>
      <c r="V9050" t="s">
        <v>77</v>
      </c>
    </row>
    <row r="9051" spans="1:22">
      <c r="A9051" t="str">
        <f t="shared" si="1713"/>
        <v>06/11/2025</v>
      </c>
      <c r="B9051" t="str">
        <f t="shared" si="1715"/>
        <v>SAÍDA</v>
      </c>
      <c r="C9051" t="str">
        <f t="shared" si="1716"/>
        <v>PIX</v>
      </c>
      <c r="D9051" t="str">
        <f>"24235"</f>
        <v>24235</v>
      </c>
      <c r="E9051" t="str">
        <f t="shared" si="1717"/>
        <v>1</v>
      </c>
      <c r="F9051" t="str">
        <f t="shared" si="1714"/>
        <v>COM</v>
      </c>
      <c r="G9051" t="str">
        <f>"LUCAS FERREIRA DOS SANTOS (868)"</f>
        <v>LUCAS FERREIRA DOS SANTOS (868)</v>
      </c>
      <c r="H9051" t="s">
        <v>2576</v>
      </c>
      <c r="I9051" t="str">
        <f t="shared" si="1718"/>
        <v>06/11/2025</v>
      </c>
      <c r="J9051" t="str">
        <f t="shared" si="1720"/>
        <v>24/10/2025</v>
      </c>
      <c r="K9051">
        <v>45967</v>
      </c>
      <c r="N9051">
        <v>109</v>
      </c>
      <c r="O9051" t="s">
        <v>24</v>
      </c>
      <c r="Q9051">
        <v>540</v>
      </c>
      <c r="R9051" t="str">
        <f>"FARMÁCIA INDIANA LJ 06 (10006)"</f>
        <v>FARMÁCIA INDIANA LJ 06 (10006)</v>
      </c>
      <c r="S9051" t="s">
        <v>77</v>
      </c>
      <c r="T9051">
        <v>20604</v>
      </c>
      <c r="U9051">
        <v>24235</v>
      </c>
      <c r="V9051" t="s">
        <v>77</v>
      </c>
    </row>
    <row r="9052" spans="1:22">
      <c r="A9052" t="str">
        <f t="shared" si="1713"/>
        <v>06/11/2025</v>
      </c>
      <c r="B9052" t="str">
        <f t="shared" si="1715"/>
        <v>SAÍDA</v>
      </c>
      <c r="C9052" t="str">
        <f t="shared" si="1716"/>
        <v>PIX</v>
      </c>
      <c r="D9052" t="str">
        <f>"24236"</f>
        <v>24236</v>
      </c>
      <c r="E9052" t="str">
        <f t="shared" si="1717"/>
        <v>1</v>
      </c>
      <c r="F9052" t="str">
        <f t="shared" si="1714"/>
        <v>COM</v>
      </c>
      <c r="G9052" t="str">
        <f>"LUIZ ALVES MARTINS (40)"</f>
        <v>LUIZ ALVES MARTINS (40)</v>
      </c>
      <c r="H9052" t="str">
        <f>"Serv.Prest. 20/10/2025 a 24/10/2025 - PIX: CELULAR - CHAVE: (33) 99981-6650"</f>
        <v>Serv.Prest. 20/10/2025 a 24/10/2025 - PIX: CELULAR - CHAVE: (33) 99981-6650</v>
      </c>
      <c r="I9052" t="str">
        <f t="shared" si="1718"/>
        <v>06/11/2025</v>
      </c>
      <c r="J9052" t="str">
        <f t="shared" si="1720"/>
        <v>24/10/2025</v>
      </c>
      <c r="K9052" t="str">
        <f>("06/11/2025")</f>
        <v>06/11/2025</v>
      </c>
      <c r="L9052">
        <v>876</v>
      </c>
      <c r="M9052">
        <v>876</v>
      </c>
      <c r="N9052">
        <v>109</v>
      </c>
      <c r="O9052" t="str">
        <f>"PAGAMENTO DE ENTREGADORES"</f>
        <v>PAGAMENTO DE ENTREGADORES</v>
      </c>
      <c r="P9052">
        <v>876</v>
      </c>
      <c r="S9052" t="str">
        <f>"BANCO C6 (149)"</f>
        <v>BANCO C6 (149)</v>
      </c>
      <c r="T9052">
        <v>20605</v>
      </c>
      <c r="U9052">
        <v>24236</v>
      </c>
      <c r="V9052" t="s">
        <v>77</v>
      </c>
    </row>
    <row r="9053" spans="1:22">
      <c r="A9053" t="str">
        <f t="shared" si="1713"/>
        <v>06/11/2025</v>
      </c>
      <c r="B9053" t="str">
        <f t="shared" si="1715"/>
        <v>SAÍDA</v>
      </c>
      <c r="C9053" t="str">
        <f t="shared" si="1716"/>
        <v>PIX</v>
      </c>
      <c r="D9053" t="str">
        <f>"24236"</f>
        <v>24236</v>
      </c>
      <c r="E9053" t="str">
        <f t="shared" si="1717"/>
        <v>1</v>
      </c>
      <c r="F9053" t="str">
        <f t="shared" si="1714"/>
        <v>COM</v>
      </c>
      <c r="G9053" t="str">
        <f>"LUIZ ALVES MARTINS (40)"</f>
        <v>LUIZ ALVES MARTINS (40)</v>
      </c>
      <c r="H9053" t="s">
        <v>2577</v>
      </c>
      <c r="I9053" t="str">
        <f t="shared" si="1718"/>
        <v>06/11/2025</v>
      </c>
      <c r="J9053" t="str">
        <f t="shared" si="1720"/>
        <v>24/10/2025</v>
      </c>
      <c r="K9053">
        <v>45967</v>
      </c>
      <c r="N9053">
        <v>109</v>
      </c>
      <c r="O9053" t="s">
        <v>24</v>
      </c>
      <c r="Q9053">
        <v>822.04</v>
      </c>
      <c r="R9053" t="str">
        <f>"FARMÁCIA INDIANA LJ 11 (10008)"</f>
        <v>FARMÁCIA INDIANA LJ 11 (10008)</v>
      </c>
      <c r="S9053" t="s">
        <v>77</v>
      </c>
      <c r="T9053">
        <v>20605</v>
      </c>
      <c r="U9053">
        <v>24236</v>
      </c>
      <c r="V9053" t="s">
        <v>77</v>
      </c>
    </row>
    <row r="9054" spans="1:22">
      <c r="A9054" t="str">
        <f t="shared" ref="A9054:A9117" si="1721">("06/11/2025")</f>
        <v>06/11/2025</v>
      </c>
      <c r="B9054" t="str">
        <f t="shared" si="1715"/>
        <v>SAÍDA</v>
      </c>
      <c r="C9054" t="str">
        <f t="shared" si="1716"/>
        <v>PIX</v>
      </c>
      <c r="D9054" t="str">
        <f>"24236"</f>
        <v>24236</v>
      </c>
      <c r="E9054" t="str">
        <f t="shared" si="1717"/>
        <v>1</v>
      </c>
      <c r="F9054" t="str">
        <f t="shared" ref="F9054:F9117" si="1722">"COM"</f>
        <v>COM</v>
      </c>
      <c r="G9054" t="str">
        <f>"LUIZ ALVES MARTINS (40)"</f>
        <v>LUIZ ALVES MARTINS (40)</v>
      </c>
      <c r="H9054" t="s">
        <v>2577</v>
      </c>
      <c r="I9054" t="str">
        <f t="shared" si="1718"/>
        <v>06/11/2025</v>
      </c>
      <c r="J9054" t="str">
        <f t="shared" si="1720"/>
        <v>24/10/2025</v>
      </c>
      <c r="K9054">
        <v>45967</v>
      </c>
      <c r="N9054">
        <v>109</v>
      </c>
      <c r="O9054" t="s">
        <v>24</v>
      </c>
      <c r="Q9054">
        <v>53.96</v>
      </c>
      <c r="R9054" t="str">
        <f>"FARMÁCIA INDIANA LJ 172 (10161)"</f>
        <v>FARMÁCIA INDIANA LJ 172 (10161)</v>
      </c>
      <c r="S9054" t="s">
        <v>77</v>
      </c>
      <c r="T9054">
        <v>20605</v>
      </c>
      <c r="U9054">
        <v>24236</v>
      </c>
      <c r="V9054" t="s">
        <v>77</v>
      </c>
    </row>
    <row r="9055" spans="1:22">
      <c r="A9055" t="str">
        <f t="shared" si="1721"/>
        <v>06/11/2025</v>
      </c>
      <c r="B9055" t="str">
        <f t="shared" si="1715"/>
        <v>SAÍDA</v>
      </c>
      <c r="C9055" t="str">
        <f t="shared" si="1716"/>
        <v>PIX</v>
      </c>
      <c r="D9055" t="str">
        <f>"24237"</f>
        <v>24237</v>
      </c>
      <c r="E9055" t="str">
        <f t="shared" si="1717"/>
        <v>1</v>
      </c>
      <c r="F9055" t="str">
        <f t="shared" si="1722"/>
        <v>COM</v>
      </c>
      <c r="G9055" t="str">
        <f>"LUIZ EDUARDO VIANA BRITO (878)"</f>
        <v>LUIZ EDUARDO VIANA BRITO (878)</v>
      </c>
      <c r="H9055" t="str">
        <f>"Serv.Prest. 20/10/2025 a 24/10/2025 - PIX: CPF - CHAVE: 101.220.976-88"</f>
        <v>Serv.Prest. 20/10/2025 a 24/10/2025 - PIX: CPF - CHAVE: 101.220.976-88</v>
      </c>
      <c r="I9055" t="str">
        <f t="shared" si="1718"/>
        <v>06/11/2025</v>
      </c>
      <c r="J9055" t="str">
        <f t="shared" si="1720"/>
        <v>24/10/2025</v>
      </c>
      <c r="K9055" t="str">
        <f>("06/11/2025")</f>
        <v>06/11/2025</v>
      </c>
      <c r="L9055">
        <v>726</v>
      </c>
      <c r="M9055">
        <v>726</v>
      </c>
      <c r="N9055">
        <v>109</v>
      </c>
      <c r="O9055" t="str">
        <f>"PAGAMENTO DE ENTREGADORES"</f>
        <v>PAGAMENTO DE ENTREGADORES</v>
      </c>
      <c r="P9055">
        <v>726</v>
      </c>
      <c r="S9055" t="str">
        <f>"BANCO C6 (149)"</f>
        <v>BANCO C6 (149)</v>
      </c>
      <c r="T9055">
        <v>20606</v>
      </c>
      <c r="U9055">
        <v>24237</v>
      </c>
      <c r="V9055" t="s">
        <v>77</v>
      </c>
    </row>
    <row r="9056" spans="1:22">
      <c r="A9056" t="str">
        <f t="shared" si="1721"/>
        <v>06/11/2025</v>
      </c>
      <c r="B9056" t="str">
        <f t="shared" si="1715"/>
        <v>SAÍDA</v>
      </c>
      <c r="C9056" t="str">
        <f t="shared" si="1716"/>
        <v>PIX</v>
      </c>
      <c r="D9056" t="str">
        <f>"24237"</f>
        <v>24237</v>
      </c>
      <c r="E9056" t="str">
        <f t="shared" si="1717"/>
        <v>1</v>
      </c>
      <c r="F9056" t="str">
        <f t="shared" si="1722"/>
        <v>COM</v>
      </c>
      <c r="G9056" t="str">
        <f>"LUIZ EDUARDO VIANA BRITO (878)"</f>
        <v>LUIZ EDUARDO VIANA BRITO (878)</v>
      </c>
      <c r="H9056" t="s">
        <v>2578</v>
      </c>
      <c r="I9056" t="str">
        <f t="shared" si="1718"/>
        <v>06/11/2025</v>
      </c>
      <c r="J9056" t="str">
        <f t="shared" si="1720"/>
        <v>24/10/2025</v>
      </c>
      <c r="K9056">
        <v>45967</v>
      </c>
      <c r="N9056">
        <v>109</v>
      </c>
      <c r="O9056" t="s">
        <v>24</v>
      </c>
      <c r="Q9056">
        <v>726</v>
      </c>
      <c r="R9056" t="str">
        <f>"FARMÁCIA INDIANA LJ 40 (10016)"</f>
        <v>FARMÁCIA INDIANA LJ 40 (10016)</v>
      </c>
      <c r="S9056" t="s">
        <v>77</v>
      </c>
      <c r="T9056">
        <v>20606</v>
      </c>
      <c r="U9056">
        <v>24237</v>
      </c>
      <c r="V9056" t="s">
        <v>77</v>
      </c>
    </row>
    <row r="9057" spans="1:22">
      <c r="A9057" t="str">
        <f t="shared" si="1721"/>
        <v>06/11/2025</v>
      </c>
      <c r="B9057" t="str">
        <f t="shared" ref="B9057:B9120" si="1723">"SAÍDA"</f>
        <v>SAÍDA</v>
      </c>
      <c r="C9057" t="str">
        <f t="shared" ref="C9057:C9120" si="1724">"PIX"</f>
        <v>PIX</v>
      </c>
      <c r="D9057" t="str">
        <f>"24238"</f>
        <v>24238</v>
      </c>
      <c r="E9057" t="str">
        <f t="shared" ref="E9057:E9120" si="1725">"1"</f>
        <v>1</v>
      </c>
      <c r="F9057" t="str">
        <f t="shared" si="1722"/>
        <v>COM</v>
      </c>
      <c r="G9057" t="str">
        <f>"LUIZ EMANUEL PINHEIRO (870)"</f>
        <v>LUIZ EMANUEL PINHEIRO (870)</v>
      </c>
      <c r="H9057" t="str">
        <f>"Serv.Prest. 20/10/2025 a 24/10/2025 - PIX: CPF - CHAVE: 129.269.326-69"</f>
        <v>Serv.Prest. 20/10/2025 a 24/10/2025 - PIX: CPF - CHAVE: 129.269.326-69</v>
      </c>
      <c r="I9057" t="str">
        <f t="shared" si="1718"/>
        <v>06/11/2025</v>
      </c>
      <c r="J9057" t="str">
        <f t="shared" si="1720"/>
        <v>24/10/2025</v>
      </c>
      <c r="K9057" t="str">
        <f>("06/11/2025")</f>
        <v>06/11/2025</v>
      </c>
      <c r="L9057">
        <v>700.8</v>
      </c>
      <c r="M9057">
        <v>700.8</v>
      </c>
      <c r="N9057">
        <v>109</v>
      </c>
      <c r="O9057" t="str">
        <f>"PAGAMENTO DE ENTREGADORES"</f>
        <v>PAGAMENTO DE ENTREGADORES</v>
      </c>
      <c r="P9057">
        <v>700.8</v>
      </c>
      <c r="S9057" t="str">
        <f>"BANCO C6 (149)"</f>
        <v>BANCO C6 (149)</v>
      </c>
      <c r="T9057">
        <v>20607</v>
      </c>
      <c r="U9057">
        <v>24238</v>
      </c>
      <c r="V9057" t="s">
        <v>77</v>
      </c>
    </row>
    <row r="9058" spans="1:22">
      <c r="A9058" t="str">
        <f t="shared" si="1721"/>
        <v>06/11/2025</v>
      </c>
      <c r="B9058" t="str">
        <f t="shared" si="1723"/>
        <v>SAÍDA</v>
      </c>
      <c r="C9058" t="str">
        <f t="shared" si="1724"/>
        <v>PIX</v>
      </c>
      <c r="D9058" t="str">
        <f>"24238"</f>
        <v>24238</v>
      </c>
      <c r="E9058" t="str">
        <f t="shared" si="1725"/>
        <v>1</v>
      </c>
      <c r="F9058" t="str">
        <f t="shared" si="1722"/>
        <v>COM</v>
      </c>
      <c r="G9058" t="str">
        <f>"LUIZ EMANUEL PINHEIRO (870)"</f>
        <v>LUIZ EMANUEL PINHEIRO (870)</v>
      </c>
      <c r="H9058" t="s">
        <v>2579</v>
      </c>
      <c r="I9058" t="str">
        <f t="shared" si="1718"/>
        <v>06/11/2025</v>
      </c>
      <c r="J9058" t="str">
        <f t="shared" si="1720"/>
        <v>24/10/2025</v>
      </c>
      <c r="K9058">
        <v>45967</v>
      </c>
      <c r="N9058">
        <v>109</v>
      </c>
      <c r="O9058" t="s">
        <v>24</v>
      </c>
      <c r="Q9058">
        <v>332.88</v>
      </c>
      <c r="R9058" t="str">
        <f>"FARMÁCIA INDIANA LJ 112 (10050)"</f>
        <v>FARMÁCIA INDIANA LJ 112 (10050)</v>
      </c>
      <c r="S9058" t="s">
        <v>77</v>
      </c>
      <c r="T9058">
        <v>20607</v>
      </c>
      <c r="U9058">
        <v>24238</v>
      </c>
      <c r="V9058" t="s">
        <v>77</v>
      </c>
    </row>
    <row r="9059" spans="1:22">
      <c r="A9059" t="str">
        <f t="shared" si="1721"/>
        <v>06/11/2025</v>
      </c>
      <c r="B9059" t="str">
        <f t="shared" si="1723"/>
        <v>SAÍDA</v>
      </c>
      <c r="C9059" t="str">
        <f t="shared" si="1724"/>
        <v>PIX</v>
      </c>
      <c r="D9059" t="str">
        <f>"24238"</f>
        <v>24238</v>
      </c>
      <c r="E9059" t="str">
        <f t="shared" si="1725"/>
        <v>1</v>
      </c>
      <c r="F9059" t="str">
        <f t="shared" si="1722"/>
        <v>COM</v>
      </c>
      <c r="G9059" t="str">
        <f>"LUIZ EMANUEL PINHEIRO (870)"</f>
        <v>LUIZ EMANUEL PINHEIRO (870)</v>
      </c>
      <c r="H9059" t="s">
        <v>2579</v>
      </c>
      <c r="I9059" t="str">
        <f t="shared" ref="I9059:I9122" si="1726">("06/11/2025")</f>
        <v>06/11/2025</v>
      </c>
      <c r="J9059" t="str">
        <f t="shared" si="1720"/>
        <v>24/10/2025</v>
      </c>
      <c r="K9059">
        <v>45967</v>
      </c>
      <c r="N9059">
        <v>109</v>
      </c>
      <c r="O9059" t="s">
        <v>24</v>
      </c>
      <c r="Q9059">
        <v>35.04</v>
      </c>
      <c r="R9059" t="str">
        <f>"FARMÁCIA INDIANA LJ 121 (10054)"</f>
        <v>FARMÁCIA INDIANA LJ 121 (10054)</v>
      </c>
      <c r="S9059" t="s">
        <v>77</v>
      </c>
      <c r="T9059">
        <v>20607</v>
      </c>
      <c r="U9059">
        <v>24238</v>
      </c>
      <c r="V9059" t="s">
        <v>77</v>
      </c>
    </row>
    <row r="9060" spans="1:22">
      <c r="A9060" t="str">
        <f t="shared" si="1721"/>
        <v>06/11/2025</v>
      </c>
      <c r="B9060" t="str">
        <f t="shared" si="1723"/>
        <v>SAÍDA</v>
      </c>
      <c r="C9060" t="str">
        <f t="shared" si="1724"/>
        <v>PIX</v>
      </c>
      <c r="D9060" t="str">
        <f>"24238"</f>
        <v>24238</v>
      </c>
      <c r="E9060" t="str">
        <f t="shared" si="1725"/>
        <v>1</v>
      </c>
      <c r="F9060" t="str">
        <f t="shared" si="1722"/>
        <v>COM</v>
      </c>
      <c r="G9060" t="str">
        <f>"LUIZ EMANUEL PINHEIRO (870)"</f>
        <v>LUIZ EMANUEL PINHEIRO (870)</v>
      </c>
      <c r="H9060" t="s">
        <v>2579</v>
      </c>
      <c r="I9060" t="str">
        <f t="shared" si="1726"/>
        <v>06/11/2025</v>
      </c>
      <c r="J9060" t="str">
        <f t="shared" si="1720"/>
        <v>24/10/2025</v>
      </c>
      <c r="K9060">
        <v>45967</v>
      </c>
      <c r="N9060">
        <v>109</v>
      </c>
      <c r="O9060" t="s">
        <v>24</v>
      </c>
      <c r="Q9060">
        <v>332.88</v>
      </c>
      <c r="R9060" t="str">
        <f>"FARMÁCIA INDIANA LJ 128 (10057)"</f>
        <v>FARMÁCIA INDIANA LJ 128 (10057)</v>
      </c>
      <c r="S9060" t="s">
        <v>77</v>
      </c>
      <c r="T9060">
        <v>20607</v>
      </c>
      <c r="U9060">
        <v>24238</v>
      </c>
      <c r="V9060" t="s">
        <v>77</v>
      </c>
    </row>
    <row r="9061" spans="1:22">
      <c r="A9061" t="str">
        <f t="shared" si="1721"/>
        <v>06/11/2025</v>
      </c>
      <c r="B9061" t="str">
        <f t="shared" si="1723"/>
        <v>SAÍDA</v>
      </c>
      <c r="C9061" t="str">
        <f t="shared" si="1724"/>
        <v>PIX</v>
      </c>
      <c r="D9061" t="str">
        <f>"24239"</f>
        <v>24239</v>
      </c>
      <c r="E9061" t="str">
        <f t="shared" si="1725"/>
        <v>1</v>
      </c>
      <c r="F9061" t="str">
        <f t="shared" si="1722"/>
        <v>COM</v>
      </c>
      <c r="G9061" t="str">
        <f>"LUIZ FERNANDO CARVALHO ALVES (198)"</f>
        <v>LUIZ FERNANDO CARVALHO ALVES (198)</v>
      </c>
      <c r="H9061" t="str">
        <f>"Serv.Prest. 20/10/2025 a 24/10/2025 - PIX: CPF - CHAVE: 705.097.186-39"</f>
        <v>Serv.Prest. 20/10/2025 a 24/10/2025 - PIX: CPF - CHAVE: 705.097.186-39</v>
      </c>
      <c r="I9061" t="str">
        <f t="shared" si="1726"/>
        <v>06/11/2025</v>
      </c>
      <c r="J9061" t="str">
        <f t="shared" si="1720"/>
        <v>24/10/2025</v>
      </c>
      <c r="K9061" t="str">
        <f>("06/11/2025")</f>
        <v>06/11/2025</v>
      </c>
      <c r="L9061">
        <v>750</v>
      </c>
      <c r="M9061">
        <v>750</v>
      </c>
      <c r="N9061">
        <v>109</v>
      </c>
      <c r="O9061" t="str">
        <f>"PAGAMENTO DE ENTREGADORES"</f>
        <v>PAGAMENTO DE ENTREGADORES</v>
      </c>
      <c r="P9061">
        <v>750</v>
      </c>
      <c r="S9061" t="str">
        <f>"BANCO C6 (149)"</f>
        <v>BANCO C6 (149)</v>
      </c>
      <c r="T9061">
        <v>20608</v>
      </c>
      <c r="U9061">
        <v>24239</v>
      </c>
      <c r="V9061" t="s">
        <v>77</v>
      </c>
    </row>
    <row r="9062" spans="1:22">
      <c r="A9062" t="str">
        <f t="shared" si="1721"/>
        <v>06/11/2025</v>
      </c>
      <c r="B9062" t="str">
        <f t="shared" si="1723"/>
        <v>SAÍDA</v>
      </c>
      <c r="C9062" t="str">
        <f t="shared" si="1724"/>
        <v>PIX</v>
      </c>
      <c r="D9062" t="str">
        <f>"24239"</f>
        <v>24239</v>
      </c>
      <c r="E9062" t="str">
        <f t="shared" si="1725"/>
        <v>1</v>
      </c>
      <c r="F9062" t="str">
        <f t="shared" si="1722"/>
        <v>COM</v>
      </c>
      <c r="G9062" t="str">
        <f>"LUIZ FERNANDO CARVALHO ALVES (198)"</f>
        <v>LUIZ FERNANDO CARVALHO ALVES (198)</v>
      </c>
      <c r="H9062" t="s">
        <v>2580</v>
      </c>
      <c r="I9062" t="str">
        <f t="shared" si="1726"/>
        <v>06/11/2025</v>
      </c>
      <c r="J9062" t="str">
        <f t="shared" ref="J9062:J9093" si="1727">("24/10/2025")</f>
        <v>24/10/2025</v>
      </c>
      <c r="K9062">
        <v>45967</v>
      </c>
      <c r="N9062">
        <v>109</v>
      </c>
      <c r="O9062" t="s">
        <v>24</v>
      </c>
      <c r="Q9062">
        <v>750</v>
      </c>
      <c r="R9062" t="str">
        <f>"FARMÁCIA INDIANA LJ 171 (10074)"</f>
        <v>FARMÁCIA INDIANA LJ 171 (10074)</v>
      </c>
      <c r="S9062" t="s">
        <v>77</v>
      </c>
      <c r="T9062">
        <v>20608</v>
      </c>
      <c r="U9062">
        <v>24239</v>
      </c>
      <c r="V9062" t="s">
        <v>77</v>
      </c>
    </row>
    <row r="9063" spans="1:22">
      <c r="A9063" t="str">
        <f t="shared" si="1721"/>
        <v>06/11/2025</v>
      </c>
      <c r="B9063" t="str">
        <f t="shared" si="1723"/>
        <v>SAÍDA</v>
      </c>
      <c r="C9063" t="str">
        <f t="shared" si="1724"/>
        <v>PIX</v>
      </c>
      <c r="D9063" t="str">
        <f>"24240"</f>
        <v>24240</v>
      </c>
      <c r="E9063" t="str">
        <f t="shared" si="1725"/>
        <v>1</v>
      </c>
      <c r="F9063" t="str">
        <f t="shared" si="1722"/>
        <v>COM</v>
      </c>
      <c r="G9063" t="str">
        <f>"LUIZ PAULO LOUREIRO PRADO (475)"</f>
        <v>LUIZ PAULO LOUREIRO PRADO (475)</v>
      </c>
      <c r="H9063" t="str">
        <f>"Serv.Prest. 20/10/2025 a 24/10/2025 - PIX: CPF - CHAVE: 159.443.306-27"</f>
        <v>Serv.Prest. 20/10/2025 a 24/10/2025 - PIX: CPF - CHAVE: 159.443.306-27</v>
      </c>
      <c r="I9063" t="str">
        <f t="shared" si="1726"/>
        <v>06/11/2025</v>
      </c>
      <c r="J9063" t="str">
        <f t="shared" si="1727"/>
        <v>24/10/2025</v>
      </c>
      <c r="K9063" t="str">
        <f>("06/11/2025")</f>
        <v>06/11/2025</v>
      </c>
      <c r="L9063">
        <v>700.8</v>
      </c>
      <c r="M9063">
        <v>700.8</v>
      </c>
      <c r="N9063">
        <v>109</v>
      </c>
      <c r="O9063" t="str">
        <f>"PAGAMENTO DE ENTREGADORES"</f>
        <v>PAGAMENTO DE ENTREGADORES</v>
      </c>
      <c r="P9063">
        <v>700.8</v>
      </c>
      <c r="S9063" t="str">
        <f>"BANCO C6 (149)"</f>
        <v>BANCO C6 (149)</v>
      </c>
      <c r="T9063">
        <v>20609</v>
      </c>
      <c r="U9063">
        <v>24240</v>
      </c>
      <c r="V9063" t="s">
        <v>77</v>
      </c>
    </row>
    <row r="9064" spans="1:22">
      <c r="A9064" t="str">
        <f t="shared" si="1721"/>
        <v>06/11/2025</v>
      </c>
      <c r="B9064" t="str">
        <f t="shared" si="1723"/>
        <v>SAÍDA</v>
      </c>
      <c r="C9064" t="str">
        <f t="shared" si="1724"/>
        <v>PIX</v>
      </c>
      <c r="D9064" t="str">
        <f>"24240"</f>
        <v>24240</v>
      </c>
      <c r="E9064" t="str">
        <f t="shared" si="1725"/>
        <v>1</v>
      </c>
      <c r="F9064" t="str">
        <f t="shared" si="1722"/>
        <v>COM</v>
      </c>
      <c r="G9064" t="str">
        <f>"LUIZ PAULO LOUREIRO PRADO (475)"</f>
        <v>LUIZ PAULO LOUREIRO PRADO (475)</v>
      </c>
      <c r="H9064" t="s">
        <v>2581</v>
      </c>
      <c r="I9064" t="str">
        <f t="shared" si="1726"/>
        <v>06/11/2025</v>
      </c>
      <c r="J9064" t="str">
        <f t="shared" si="1727"/>
        <v>24/10/2025</v>
      </c>
      <c r="K9064">
        <v>45967</v>
      </c>
      <c r="N9064">
        <v>109</v>
      </c>
      <c r="O9064" t="s">
        <v>24</v>
      </c>
      <c r="Q9064">
        <v>700.8</v>
      </c>
      <c r="R9064" t="str">
        <f>"FARMÁCIA INDIANA LJ 116 (10051)"</f>
        <v>FARMÁCIA INDIANA LJ 116 (10051)</v>
      </c>
      <c r="S9064" t="s">
        <v>77</v>
      </c>
      <c r="T9064">
        <v>20609</v>
      </c>
      <c r="U9064">
        <v>24240</v>
      </c>
      <c r="V9064" t="s">
        <v>77</v>
      </c>
    </row>
    <row r="9065" spans="1:22">
      <c r="A9065" t="str">
        <f t="shared" si="1721"/>
        <v>06/11/2025</v>
      </c>
      <c r="B9065" t="str">
        <f t="shared" si="1723"/>
        <v>SAÍDA</v>
      </c>
      <c r="C9065" t="str">
        <f t="shared" si="1724"/>
        <v>PIX</v>
      </c>
      <c r="D9065" t="str">
        <f>"24241"</f>
        <v>24241</v>
      </c>
      <c r="E9065" t="str">
        <f t="shared" si="1725"/>
        <v>1</v>
      </c>
      <c r="F9065" t="str">
        <f t="shared" si="1722"/>
        <v>COM</v>
      </c>
      <c r="G9065" t="str">
        <f>"MARCIO CLAUDIO DE ARAUJO (204)"</f>
        <v>MARCIO CLAUDIO DE ARAUJO (204)</v>
      </c>
      <c r="H9065" t="str">
        <f>"Serv.Prest. 20/10/2025 a 24/10/2025 - PIX: CELULAR - CHAVE: (33) 98427-3872"</f>
        <v>Serv.Prest. 20/10/2025 a 24/10/2025 - PIX: CELULAR - CHAVE: (33) 98427-3872</v>
      </c>
      <c r="I9065" t="str">
        <f t="shared" si="1726"/>
        <v>06/11/2025</v>
      </c>
      <c r="J9065" t="str">
        <f t="shared" si="1727"/>
        <v>24/10/2025</v>
      </c>
      <c r="K9065" t="str">
        <f>("06/11/2025")</f>
        <v>06/11/2025</v>
      </c>
      <c r="L9065">
        <v>630</v>
      </c>
      <c r="M9065">
        <v>630</v>
      </c>
      <c r="N9065">
        <v>109</v>
      </c>
      <c r="O9065" t="str">
        <f>"PAGAMENTO DE ENTREGADORES"</f>
        <v>PAGAMENTO DE ENTREGADORES</v>
      </c>
      <c r="P9065">
        <v>630</v>
      </c>
      <c r="S9065" t="str">
        <f>"BANCO C6 (149)"</f>
        <v>BANCO C6 (149)</v>
      </c>
      <c r="T9065">
        <v>20610</v>
      </c>
      <c r="U9065">
        <v>24241</v>
      </c>
      <c r="V9065" t="s">
        <v>77</v>
      </c>
    </row>
    <row r="9066" spans="1:22">
      <c r="A9066" t="str">
        <f t="shared" si="1721"/>
        <v>06/11/2025</v>
      </c>
      <c r="B9066" t="str">
        <f t="shared" si="1723"/>
        <v>SAÍDA</v>
      </c>
      <c r="C9066" t="str">
        <f t="shared" si="1724"/>
        <v>PIX</v>
      </c>
      <c r="D9066" t="str">
        <f>"24241"</f>
        <v>24241</v>
      </c>
      <c r="E9066" t="str">
        <f t="shared" si="1725"/>
        <v>1</v>
      </c>
      <c r="F9066" t="str">
        <f t="shared" si="1722"/>
        <v>COM</v>
      </c>
      <c r="G9066" t="str">
        <f>"MARCIO CLAUDIO DE ARAUJO (204)"</f>
        <v>MARCIO CLAUDIO DE ARAUJO (204)</v>
      </c>
      <c r="H9066" t="s">
        <v>2582</v>
      </c>
      <c r="I9066" t="str">
        <f t="shared" si="1726"/>
        <v>06/11/2025</v>
      </c>
      <c r="J9066" t="str">
        <f t="shared" si="1727"/>
        <v>24/10/2025</v>
      </c>
      <c r="K9066">
        <v>45967</v>
      </c>
      <c r="N9066">
        <v>109</v>
      </c>
      <c r="O9066" t="s">
        <v>24</v>
      </c>
      <c r="Q9066">
        <v>630</v>
      </c>
      <c r="R9066" t="str">
        <f>"FARMÁCIA INDIANA LJ 06 (10006)"</f>
        <v>FARMÁCIA INDIANA LJ 06 (10006)</v>
      </c>
      <c r="S9066" t="s">
        <v>77</v>
      </c>
      <c r="T9066">
        <v>20610</v>
      </c>
      <c r="U9066">
        <v>24241</v>
      </c>
      <c r="V9066" t="s">
        <v>77</v>
      </c>
    </row>
    <row r="9067" spans="1:22">
      <c r="A9067" t="str">
        <f t="shared" si="1721"/>
        <v>06/11/2025</v>
      </c>
      <c r="B9067" t="str">
        <f t="shared" si="1723"/>
        <v>SAÍDA</v>
      </c>
      <c r="C9067" t="str">
        <f t="shared" si="1724"/>
        <v>PIX</v>
      </c>
      <c r="D9067" t="str">
        <f>"24242"</f>
        <v>24242</v>
      </c>
      <c r="E9067" t="str">
        <f t="shared" si="1725"/>
        <v>1</v>
      </c>
      <c r="F9067" t="str">
        <f t="shared" si="1722"/>
        <v>COM</v>
      </c>
      <c r="G9067" t="str">
        <f>"MARCOS DIONI RODRIGUES GASPAR (506)"</f>
        <v>MARCOS DIONI RODRIGUES GASPAR (506)</v>
      </c>
      <c r="H9067" t="str">
        <f>"Serv.Prest. 20/10/2025 a 24/10/2025 - PIX: CELULAR - CHAVE: (33) 99815-2379"</f>
        <v>Serv.Prest. 20/10/2025 a 24/10/2025 - PIX: CELULAR - CHAVE: (33) 99815-2379</v>
      </c>
      <c r="I9067" t="str">
        <f t="shared" si="1726"/>
        <v>06/11/2025</v>
      </c>
      <c r="J9067" t="str">
        <f t="shared" si="1727"/>
        <v>24/10/2025</v>
      </c>
      <c r="K9067" t="str">
        <f>("06/11/2025")</f>
        <v>06/11/2025</v>
      </c>
      <c r="L9067">
        <v>720</v>
      </c>
      <c r="M9067">
        <v>720</v>
      </c>
      <c r="N9067">
        <v>109</v>
      </c>
      <c r="O9067" t="str">
        <f>"PAGAMENTO DE ENTREGADORES"</f>
        <v>PAGAMENTO DE ENTREGADORES</v>
      </c>
      <c r="P9067">
        <v>720</v>
      </c>
      <c r="S9067" t="str">
        <f>"BANCO C6 (149)"</f>
        <v>BANCO C6 (149)</v>
      </c>
      <c r="T9067">
        <v>20611</v>
      </c>
      <c r="U9067">
        <v>24242</v>
      </c>
      <c r="V9067" t="s">
        <v>77</v>
      </c>
    </row>
    <row r="9068" spans="1:22">
      <c r="A9068" t="str">
        <f t="shared" si="1721"/>
        <v>06/11/2025</v>
      </c>
      <c r="B9068" t="str">
        <f t="shared" si="1723"/>
        <v>SAÍDA</v>
      </c>
      <c r="C9068" t="str">
        <f t="shared" si="1724"/>
        <v>PIX</v>
      </c>
      <c r="D9068" t="str">
        <f>"24242"</f>
        <v>24242</v>
      </c>
      <c r="E9068" t="str">
        <f t="shared" si="1725"/>
        <v>1</v>
      </c>
      <c r="F9068" t="str">
        <f t="shared" si="1722"/>
        <v>COM</v>
      </c>
      <c r="G9068" t="str">
        <f>"MARCOS DIONI RODRIGUES GASPAR (506)"</f>
        <v>MARCOS DIONI RODRIGUES GASPAR (506)</v>
      </c>
      <c r="H9068" t="s">
        <v>2583</v>
      </c>
      <c r="I9068" t="str">
        <f t="shared" si="1726"/>
        <v>06/11/2025</v>
      </c>
      <c r="J9068" t="str">
        <f t="shared" si="1727"/>
        <v>24/10/2025</v>
      </c>
      <c r="K9068">
        <v>45967</v>
      </c>
      <c r="N9068">
        <v>109</v>
      </c>
      <c r="O9068" t="s">
        <v>24</v>
      </c>
      <c r="Q9068">
        <v>720</v>
      </c>
      <c r="R9068" t="str">
        <f>"FARMÁCIA INDIANA LJ 06 (10006)"</f>
        <v>FARMÁCIA INDIANA LJ 06 (10006)</v>
      </c>
      <c r="S9068" t="s">
        <v>77</v>
      </c>
      <c r="T9068">
        <v>20611</v>
      </c>
      <c r="U9068">
        <v>24242</v>
      </c>
      <c r="V9068" t="s">
        <v>77</v>
      </c>
    </row>
    <row r="9069" spans="1:22">
      <c r="A9069" t="str">
        <f t="shared" si="1721"/>
        <v>06/11/2025</v>
      </c>
      <c r="B9069" t="str">
        <f t="shared" si="1723"/>
        <v>SAÍDA</v>
      </c>
      <c r="C9069" t="str">
        <f t="shared" si="1724"/>
        <v>PIX</v>
      </c>
      <c r="D9069" t="str">
        <f>"24243"</f>
        <v>24243</v>
      </c>
      <c r="E9069" t="str">
        <f t="shared" si="1725"/>
        <v>1</v>
      </c>
      <c r="F9069" t="str">
        <f t="shared" si="1722"/>
        <v>COM</v>
      </c>
      <c r="G9069" t="str">
        <f>"MARCOS RODRIGUES PENA (64)"</f>
        <v>MARCOS RODRIGUES PENA (64)</v>
      </c>
      <c r="H9069" t="str">
        <f>"Serv.Prest. 20/10/2025 a 24/10/2025 - PIX: CELULAR - CHAVE: (33) 99194-2339"</f>
        <v>Serv.Prest. 20/10/2025 a 24/10/2025 - PIX: CELULAR - CHAVE: (33) 99194-2339</v>
      </c>
      <c r="I9069" t="str">
        <f t="shared" si="1726"/>
        <v>06/11/2025</v>
      </c>
      <c r="J9069" t="str">
        <f t="shared" si="1727"/>
        <v>24/10/2025</v>
      </c>
      <c r="K9069" t="str">
        <f>("06/11/2025")</f>
        <v>06/11/2025</v>
      </c>
      <c r="L9069">
        <v>600</v>
      </c>
      <c r="M9069">
        <v>600</v>
      </c>
      <c r="N9069">
        <v>109</v>
      </c>
      <c r="O9069" t="str">
        <f>"PAGAMENTO DE ENTREGADORES"</f>
        <v>PAGAMENTO DE ENTREGADORES</v>
      </c>
      <c r="P9069">
        <v>600</v>
      </c>
      <c r="S9069" t="str">
        <f>"BANCO C6 (149)"</f>
        <v>BANCO C6 (149)</v>
      </c>
      <c r="T9069">
        <v>20612</v>
      </c>
      <c r="U9069">
        <v>24243</v>
      </c>
      <c r="V9069" t="s">
        <v>77</v>
      </c>
    </row>
    <row r="9070" spans="1:22">
      <c r="A9070" t="str">
        <f t="shared" si="1721"/>
        <v>06/11/2025</v>
      </c>
      <c r="B9070" t="str">
        <f t="shared" si="1723"/>
        <v>SAÍDA</v>
      </c>
      <c r="C9070" t="str">
        <f t="shared" si="1724"/>
        <v>PIX</v>
      </c>
      <c r="D9070" t="str">
        <f>"24243"</f>
        <v>24243</v>
      </c>
      <c r="E9070" t="str">
        <f t="shared" si="1725"/>
        <v>1</v>
      </c>
      <c r="F9070" t="str">
        <f t="shared" si="1722"/>
        <v>COM</v>
      </c>
      <c r="G9070" t="str">
        <f>"MARCOS RODRIGUES PENA (64)"</f>
        <v>MARCOS RODRIGUES PENA (64)</v>
      </c>
      <c r="H9070" t="s">
        <v>2388</v>
      </c>
      <c r="I9070" t="str">
        <f t="shared" si="1726"/>
        <v>06/11/2025</v>
      </c>
      <c r="J9070" t="str">
        <f t="shared" si="1727"/>
        <v>24/10/2025</v>
      </c>
      <c r="K9070">
        <v>45967</v>
      </c>
      <c r="N9070">
        <v>109</v>
      </c>
      <c r="O9070" t="s">
        <v>24</v>
      </c>
      <c r="Q9070">
        <v>600</v>
      </c>
      <c r="R9070" t="str">
        <f>"FARMÁCIA INDIANA LJ 62 (10028)"</f>
        <v>FARMÁCIA INDIANA LJ 62 (10028)</v>
      </c>
      <c r="S9070" t="s">
        <v>77</v>
      </c>
      <c r="T9070">
        <v>20612</v>
      </c>
      <c r="U9070">
        <v>24243</v>
      </c>
      <c r="V9070" t="s">
        <v>77</v>
      </c>
    </row>
    <row r="9071" spans="1:22">
      <c r="A9071" t="str">
        <f t="shared" si="1721"/>
        <v>06/11/2025</v>
      </c>
      <c r="B9071" t="str">
        <f t="shared" si="1723"/>
        <v>SAÍDA</v>
      </c>
      <c r="C9071" t="str">
        <f t="shared" si="1724"/>
        <v>PIX</v>
      </c>
      <c r="D9071" t="str">
        <f>"24244"</f>
        <v>24244</v>
      </c>
      <c r="E9071" t="str">
        <f t="shared" si="1725"/>
        <v>1</v>
      </c>
      <c r="F9071" t="str">
        <f t="shared" si="1722"/>
        <v>COM</v>
      </c>
      <c r="G9071" t="str">
        <f>"MATHEUS VIEIRA DA SILVA (886)"</f>
        <v>MATHEUS VIEIRA DA SILVA (886)</v>
      </c>
      <c r="H9071" t="str">
        <f>"Serv.Prest. 20/10/2025 a 24/10/2025 - PIX: E-MAIL - CHAVE: meamatheusvieira@gmail.com"</f>
        <v>Serv.Prest. 20/10/2025 a 24/10/2025 - PIX: E-MAIL - CHAVE: meamatheusvieira@gmail.com</v>
      </c>
      <c r="I9071" t="str">
        <f t="shared" si="1726"/>
        <v>06/11/2025</v>
      </c>
      <c r="J9071" t="str">
        <f t="shared" si="1727"/>
        <v>24/10/2025</v>
      </c>
      <c r="K9071" t="str">
        <f>("06/11/2025")</f>
        <v>06/11/2025</v>
      </c>
      <c r="L9071">
        <v>780</v>
      </c>
      <c r="M9071">
        <v>780</v>
      </c>
      <c r="N9071">
        <v>109</v>
      </c>
      <c r="O9071" t="str">
        <f>"PAGAMENTO DE ENTREGADORES"</f>
        <v>PAGAMENTO DE ENTREGADORES</v>
      </c>
      <c r="P9071">
        <v>780</v>
      </c>
      <c r="S9071" t="str">
        <f>"BANCO C6 (149)"</f>
        <v>BANCO C6 (149)</v>
      </c>
      <c r="T9071">
        <v>20613</v>
      </c>
      <c r="U9071">
        <v>24244</v>
      </c>
      <c r="V9071" t="s">
        <v>77</v>
      </c>
    </row>
    <row r="9072" spans="1:22">
      <c r="A9072" t="str">
        <f t="shared" si="1721"/>
        <v>06/11/2025</v>
      </c>
      <c r="B9072" t="str">
        <f t="shared" si="1723"/>
        <v>SAÍDA</v>
      </c>
      <c r="C9072" t="str">
        <f t="shared" si="1724"/>
        <v>PIX</v>
      </c>
      <c r="D9072" t="str">
        <f>"24244"</f>
        <v>24244</v>
      </c>
      <c r="E9072" t="str">
        <f t="shared" si="1725"/>
        <v>1</v>
      </c>
      <c r="F9072" t="str">
        <f t="shared" si="1722"/>
        <v>COM</v>
      </c>
      <c r="G9072" t="str">
        <f>"MATHEUS VIEIRA DA SILVA (886)"</f>
        <v>MATHEUS VIEIRA DA SILVA (886)</v>
      </c>
      <c r="H9072" t="s">
        <v>2584</v>
      </c>
      <c r="I9072" t="str">
        <f t="shared" si="1726"/>
        <v>06/11/2025</v>
      </c>
      <c r="J9072" t="str">
        <f t="shared" si="1727"/>
        <v>24/10/2025</v>
      </c>
      <c r="K9072">
        <v>45967</v>
      </c>
      <c r="N9072">
        <v>109</v>
      </c>
      <c r="O9072" t="s">
        <v>24</v>
      </c>
      <c r="Q9072">
        <v>780</v>
      </c>
      <c r="R9072" t="str">
        <f>"FARMÁCIA INDIANA LJ 07 (10007)"</f>
        <v>FARMÁCIA INDIANA LJ 07 (10007)</v>
      </c>
      <c r="S9072" t="s">
        <v>77</v>
      </c>
      <c r="T9072">
        <v>20613</v>
      </c>
      <c r="U9072">
        <v>24244</v>
      </c>
      <c r="V9072" t="s">
        <v>77</v>
      </c>
    </row>
    <row r="9073" spans="1:22">
      <c r="A9073" t="str">
        <f t="shared" si="1721"/>
        <v>06/11/2025</v>
      </c>
      <c r="B9073" t="str">
        <f t="shared" si="1723"/>
        <v>SAÍDA</v>
      </c>
      <c r="C9073" t="str">
        <f t="shared" si="1724"/>
        <v>PIX</v>
      </c>
      <c r="D9073" t="str">
        <f>"24245"</f>
        <v>24245</v>
      </c>
      <c r="E9073" t="str">
        <f t="shared" si="1725"/>
        <v>1</v>
      </c>
      <c r="F9073" t="str">
        <f t="shared" si="1722"/>
        <v>COM</v>
      </c>
      <c r="G9073" t="str">
        <f>"MAURO AUGUSTO MACHADO DE ASSIS (767)"</f>
        <v>MAURO AUGUSTO MACHADO DE ASSIS (767)</v>
      </c>
      <c r="H9073" t="str">
        <f>"Serv.Prest. 20/10/2025 a 24/10/2025 - PIX: CPF - CHAVE: 163.330.766-27"</f>
        <v>Serv.Prest. 20/10/2025 a 24/10/2025 - PIX: CPF - CHAVE: 163.330.766-27</v>
      </c>
      <c r="I9073" t="str">
        <f t="shared" si="1726"/>
        <v>06/11/2025</v>
      </c>
      <c r="J9073" t="str">
        <f t="shared" si="1727"/>
        <v>24/10/2025</v>
      </c>
      <c r="K9073" t="str">
        <f>("06/11/2025")</f>
        <v>06/11/2025</v>
      </c>
      <c r="L9073">
        <v>324</v>
      </c>
      <c r="M9073">
        <v>324</v>
      </c>
      <c r="N9073">
        <v>109</v>
      </c>
      <c r="O9073" t="str">
        <f>"PAGAMENTO DE ENTREGADORES"</f>
        <v>PAGAMENTO DE ENTREGADORES</v>
      </c>
      <c r="P9073">
        <v>324</v>
      </c>
      <c r="S9073" t="str">
        <f>"BANCO C6 (149)"</f>
        <v>BANCO C6 (149)</v>
      </c>
      <c r="T9073">
        <v>20614</v>
      </c>
      <c r="U9073">
        <v>24245</v>
      </c>
      <c r="V9073" t="s">
        <v>77</v>
      </c>
    </row>
    <row r="9074" spans="1:22">
      <c r="A9074" t="str">
        <f t="shared" si="1721"/>
        <v>06/11/2025</v>
      </c>
      <c r="B9074" t="str">
        <f t="shared" si="1723"/>
        <v>SAÍDA</v>
      </c>
      <c r="C9074" t="str">
        <f t="shared" si="1724"/>
        <v>PIX</v>
      </c>
      <c r="D9074" t="str">
        <f>"24245"</f>
        <v>24245</v>
      </c>
      <c r="E9074" t="str">
        <f t="shared" si="1725"/>
        <v>1</v>
      </c>
      <c r="F9074" t="str">
        <f t="shared" si="1722"/>
        <v>COM</v>
      </c>
      <c r="G9074" t="str">
        <f>"MAURO AUGUSTO MACHADO DE ASSIS (767)"</f>
        <v>MAURO AUGUSTO MACHADO DE ASSIS (767)</v>
      </c>
      <c r="H9074" t="s">
        <v>2585</v>
      </c>
      <c r="I9074" t="str">
        <f t="shared" si="1726"/>
        <v>06/11/2025</v>
      </c>
      <c r="J9074" t="str">
        <f t="shared" si="1727"/>
        <v>24/10/2025</v>
      </c>
      <c r="K9074">
        <v>45967</v>
      </c>
      <c r="N9074">
        <v>109</v>
      </c>
      <c r="O9074" t="s">
        <v>24</v>
      </c>
      <c r="Q9074">
        <v>222</v>
      </c>
      <c r="R9074" t="str">
        <f>"FARMÁCIA INDIANA LJ 11 (10008)"</f>
        <v>FARMÁCIA INDIANA LJ 11 (10008)</v>
      </c>
      <c r="S9074" t="s">
        <v>77</v>
      </c>
      <c r="T9074">
        <v>20614</v>
      </c>
      <c r="U9074">
        <v>24245</v>
      </c>
      <c r="V9074" t="s">
        <v>77</v>
      </c>
    </row>
    <row r="9075" spans="1:22">
      <c r="A9075" t="str">
        <f t="shared" si="1721"/>
        <v>06/11/2025</v>
      </c>
      <c r="B9075" t="str">
        <f t="shared" si="1723"/>
        <v>SAÍDA</v>
      </c>
      <c r="C9075" t="str">
        <f t="shared" si="1724"/>
        <v>PIX</v>
      </c>
      <c r="D9075" t="str">
        <f>"24245"</f>
        <v>24245</v>
      </c>
      <c r="E9075" t="str">
        <f t="shared" si="1725"/>
        <v>1</v>
      </c>
      <c r="F9075" t="str">
        <f t="shared" si="1722"/>
        <v>COM</v>
      </c>
      <c r="G9075" t="str">
        <f>"MAURO AUGUSTO MACHADO DE ASSIS (767)"</f>
        <v>MAURO AUGUSTO MACHADO DE ASSIS (767)</v>
      </c>
      <c r="H9075" t="s">
        <v>2585</v>
      </c>
      <c r="I9075" t="str">
        <f t="shared" si="1726"/>
        <v>06/11/2025</v>
      </c>
      <c r="J9075" t="str">
        <f t="shared" si="1727"/>
        <v>24/10/2025</v>
      </c>
      <c r="K9075">
        <v>45967</v>
      </c>
      <c r="N9075">
        <v>109</v>
      </c>
      <c r="O9075" t="s">
        <v>24</v>
      </c>
      <c r="Q9075">
        <v>102</v>
      </c>
      <c r="R9075" t="str">
        <f>"FARMÁCIA INDIANA LJ 172 (10161)"</f>
        <v>FARMÁCIA INDIANA LJ 172 (10161)</v>
      </c>
      <c r="S9075" t="s">
        <v>77</v>
      </c>
      <c r="T9075">
        <v>20614</v>
      </c>
      <c r="U9075">
        <v>24245</v>
      </c>
      <c r="V9075" t="s">
        <v>77</v>
      </c>
    </row>
    <row r="9076" spans="1:22">
      <c r="A9076" t="str">
        <f t="shared" si="1721"/>
        <v>06/11/2025</v>
      </c>
      <c r="B9076" t="str">
        <f t="shared" si="1723"/>
        <v>SAÍDA</v>
      </c>
      <c r="C9076" t="str">
        <f t="shared" si="1724"/>
        <v>PIX</v>
      </c>
      <c r="D9076" t="str">
        <f>"24246"</f>
        <v>24246</v>
      </c>
      <c r="E9076" t="str">
        <f t="shared" si="1725"/>
        <v>1</v>
      </c>
      <c r="F9076" t="str">
        <f t="shared" si="1722"/>
        <v>COM</v>
      </c>
      <c r="G9076" t="str">
        <f>"MAYCON GUILHERME DUARTE (541)"</f>
        <v>MAYCON GUILHERME DUARTE (541)</v>
      </c>
      <c r="H9076" t="str">
        <f>"Serv.Prest. 20/10/2025 a 24/10/2025 - PIX: CELULAR - CHAVE: (31) 99076-6539"</f>
        <v>Serv.Prest. 20/10/2025 a 24/10/2025 - PIX: CELULAR - CHAVE: (31) 99076-6539</v>
      </c>
      <c r="I9076" t="str">
        <f t="shared" si="1726"/>
        <v>06/11/2025</v>
      </c>
      <c r="J9076" t="str">
        <f t="shared" si="1727"/>
        <v>24/10/2025</v>
      </c>
      <c r="K9076" t="str">
        <f>("06/11/2025")</f>
        <v>06/11/2025</v>
      </c>
      <c r="L9076">
        <v>702</v>
      </c>
      <c r="M9076">
        <v>702</v>
      </c>
      <c r="N9076">
        <v>109</v>
      </c>
      <c r="O9076" t="str">
        <f>"PAGAMENTO DE ENTREGADORES"</f>
        <v>PAGAMENTO DE ENTREGADORES</v>
      </c>
      <c r="P9076">
        <v>702</v>
      </c>
      <c r="S9076" t="str">
        <f>"BANCO C6 (149)"</f>
        <v>BANCO C6 (149)</v>
      </c>
      <c r="T9076">
        <v>20615</v>
      </c>
      <c r="U9076">
        <v>24246</v>
      </c>
      <c r="V9076" t="s">
        <v>77</v>
      </c>
    </row>
    <row r="9077" spans="1:22">
      <c r="A9077" t="str">
        <f t="shared" si="1721"/>
        <v>06/11/2025</v>
      </c>
      <c r="B9077" t="str">
        <f t="shared" si="1723"/>
        <v>SAÍDA</v>
      </c>
      <c r="C9077" t="str">
        <f t="shared" si="1724"/>
        <v>PIX</v>
      </c>
      <c r="D9077" t="str">
        <f>"24246"</f>
        <v>24246</v>
      </c>
      <c r="E9077" t="str">
        <f t="shared" si="1725"/>
        <v>1</v>
      </c>
      <c r="F9077" t="str">
        <f t="shared" si="1722"/>
        <v>COM</v>
      </c>
      <c r="G9077" t="str">
        <f>"MAYCON GUILHERME DUARTE (541)"</f>
        <v>MAYCON GUILHERME DUARTE (541)</v>
      </c>
      <c r="H9077" t="s">
        <v>2586</v>
      </c>
      <c r="I9077" t="str">
        <f t="shared" si="1726"/>
        <v>06/11/2025</v>
      </c>
      <c r="J9077" t="str">
        <f t="shared" si="1727"/>
        <v>24/10/2025</v>
      </c>
      <c r="K9077">
        <v>45967</v>
      </c>
      <c r="N9077">
        <v>109</v>
      </c>
      <c r="O9077" t="s">
        <v>24</v>
      </c>
      <c r="Q9077">
        <v>702</v>
      </c>
      <c r="R9077" t="str">
        <f>"FARMÁCIA INDIANA LJ 220 (10092)"</f>
        <v>FARMÁCIA INDIANA LJ 220 (10092)</v>
      </c>
      <c r="S9077" t="s">
        <v>77</v>
      </c>
      <c r="T9077">
        <v>20615</v>
      </c>
      <c r="U9077">
        <v>24246</v>
      </c>
      <c r="V9077" t="s">
        <v>77</v>
      </c>
    </row>
    <row r="9078" spans="1:22">
      <c r="A9078" t="str">
        <f t="shared" si="1721"/>
        <v>06/11/2025</v>
      </c>
      <c r="B9078" t="str">
        <f t="shared" si="1723"/>
        <v>SAÍDA</v>
      </c>
      <c r="C9078" t="str">
        <f t="shared" si="1724"/>
        <v>PIX</v>
      </c>
      <c r="D9078" t="str">
        <f>"24247"</f>
        <v>24247</v>
      </c>
      <c r="E9078" t="str">
        <f t="shared" si="1725"/>
        <v>1</v>
      </c>
      <c r="F9078" t="str">
        <f t="shared" si="1722"/>
        <v>COM</v>
      </c>
      <c r="G9078" t="str">
        <f>"MIGUEL PESSOA RAMOS (68)"</f>
        <v>MIGUEL PESSOA RAMOS (68)</v>
      </c>
      <c r="H9078" t="str">
        <f>"Serv.Prest. 20/10/2025 a 24/10/2025 - PIX: CELULAR - CHAVE: (33) 99845-0493"</f>
        <v>Serv.Prest. 20/10/2025 a 24/10/2025 - PIX: CELULAR - CHAVE: (33) 99845-0493</v>
      </c>
      <c r="I9078" t="str">
        <f t="shared" si="1726"/>
        <v>06/11/2025</v>
      </c>
      <c r="J9078" t="str">
        <f t="shared" si="1727"/>
        <v>24/10/2025</v>
      </c>
      <c r="K9078" t="str">
        <f>("06/11/2025")</f>
        <v>06/11/2025</v>
      </c>
      <c r="L9078">
        <v>330</v>
      </c>
      <c r="M9078">
        <v>330</v>
      </c>
      <c r="N9078">
        <v>109</v>
      </c>
      <c r="O9078" t="str">
        <f>"PAGAMENTO DE ENTREGADORES"</f>
        <v>PAGAMENTO DE ENTREGADORES</v>
      </c>
      <c r="P9078">
        <v>330</v>
      </c>
      <c r="S9078" t="str">
        <f>"BANCO C6 (149)"</f>
        <v>BANCO C6 (149)</v>
      </c>
      <c r="T9078">
        <v>20616</v>
      </c>
      <c r="U9078">
        <v>24247</v>
      </c>
      <c r="V9078" t="s">
        <v>77</v>
      </c>
    </row>
    <row r="9079" spans="1:22">
      <c r="A9079" t="str">
        <f t="shared" si="1721"/>
        <v>06/11/2025</v>
      </c>
      <c r="B9079" t="str">
        <f t="shared" si="1723"/>
        <v>SAÍDA</v>
      </c>
      <c r="C9079" t="str">
        <f t="shared" si="1724"/>
        <v>PIX</v>
      </c>
      <c r="D9079" t="str">
        <f>"24247"</f>
        <v>24247</v>
      </c>
      <c r="E9079" t="str">
        <f t="shared" si="1725"/>
        <v>1</v>
      </c>
      <c r="F9079" t="str">
        <f t="shared" si="1722"/>
        <v>COM</v>
      </c>
      <c r="G9079" t="str">
        <f>"MIGUEL PESSOA RAMOS (68)"</f>
        <v>MIGUEL PESSOA RAMOS (68)</v>
      </c>
      <c r="H9079" t="s">
        <v>2587</v>
      </c>
      <c r="I9079" t="str">
        <f t="shared" si="1726"/>
        <v>06/11/2025</v>
      </c>
      <c r="J9079" t="str">
        <f t="shared" si="1727"/>
        <v>24/10/2025</v>
      </c>
      <c r="K9079">
        <v>45967</v>
      </c>
      <c r="N9079">
        <v>109</v>
      </c>
      <c r="O9079" t="s">
        <v>24</v>
      </c>
      <c r="Q9079">
        <v>330</v>
      </c>
      <c r="R9079" t="str">
        <f>"FARMÁCIA INDIANA LJ 07 (10007)"</f>
        <v>FARMÁCIA INDIANA LJ 07 (10007)</v>
      </c>
      <c r="S9079" t="s">
        <v>77</v>
      </c>
      <c r="T9079">
        <v>20616</v>
      </c>
      <c r="U9079">
        <v>24247</v>
      </c>
      <c r="V9079" t="s">
        <v>77</v>
      </c>
    </row>
    <row r="9080" spans="1:22">
      <c r="A9080" t="str">
        <f t="shared" si="1721"/>
        <v>06/11/2025</v>
      </c>
      <c r="B9080" t="str">
        <f t="shared" si="1723"/>
        <v>SAÍDA</v>
      </c>
      <c r="C9080" t="str">
        <f t="shared" si="1724"/>
        <v>PIX</v>
      </c>
      <c r="D9080" t="str">
        <f>"24248"</f>
        <v>24248</v>
      </c>
      <c r="E9080" t="str">
        <f t="shared" si="1725"/>
        <v>1</v>
      </c>
      <c r="F9080" t="str">
        <f t="shared" si="1722"/>
        <v>COM</v>
      </c>
      <c r="G9080" t="str">
        <f>"MURILO BARRETO AFONSO (30)"</f>
        <v>MURILO BARRETO AFONSO (30)</v>
      </c>
      <c r="H9080" t="str">
        <f>"Serv.Prest. 20/10/2025 a 24/10/2025 - PIX: CPF - CHAVE: 123.020.026-60"</f>
        <v>Serv.Prest. 20/10/2025 a 24/10/2025 - PIX: CPF - CHAVE: 123.020.026-60</v>
      </c>
      <c r="I9080" t="str">
        <f t="shared" si="1726"/>
        <v>06/11/2025</v>
      </c>
      <c r="J9080" t="str">
        <f t="shared" si="1727"/>
        <v>24/10/2025</v>
      </c>
      <c r="K9080" t="str">
        <f>("06/11/2025")</f>
        <v>06/11/2025</v>
      </c>
      <c r="L9080">
        <v>1740</v>
      </c>
      <c r="M9080">
        <v>1740</v>
      </c>
      <c r="N9080">
        <v>109</v>
      </c>
      <c r="O9080" t="str">
        <f>"PAGAMENTO DE ENTREGADORES"</f>
        <v>PAGAMENTO DE ENTREGADORES</v>
      </c>
      <c r="P9080">
        <v>1740</v>
      </c>
      <c r="S9080" t="str">
        <f>"BANCO C6 (149)"</f>
        <v>BANCO C6 (149)</v>
      </c>
      <c r="T9080">
        <v>20617</v>
      </c>
      <c r="U9080">
        <v>24248</v>
      </c>
      <c r="V9080" t="s">
        <v>77</v>
      </c>
    </row>
    <row r="9081" spans="1:22">
      <c r="A9081" t="str">
        <f t="shared" si="1721"/>
        <v>06/11/2025</v>
      </c>
      <c r="B9081" t="str">
        <f t="shared" si="1723"/>
        <v>SAÍDA</v>
      </c>
      <c r="C9081" t="str">
        <f t="shared" si="1724"/>
        <v>PIX</v>
      </c>
      <c r="D9081" t="str">
        <f>"24248"</f>
        <v>24248</v>
      </c>
      <c r="E9081" t="str">
        <f t="shared" si="1725"/>
        <v>1</v>
      </c>
      <c r="F9081" t="str">
        <f t="shared" si="1722"/>
        <v>COM</v>
      </c>
      <c r="G9081" t="str">
        <f>"MURILO BARRETO AFONSO (30)"</f>
        <v>MURILO BARRETO AFONSO (30)</v>
      </c>
      <c r="H9081" t="s">
        <v>2588</v>
      </c>
      <c r="I9081" t="str">
        <f t="shared" si="1726"/>
        <v>06/11/2025</v>
      </c>
      <c r="J9081" t="str">
        <f t="shared" si="1727"/>
        <v>24/10/2025</v>
      </c>
      <c r="K9081">
        <v>45967</v>
      </c>
      <c r="N9081">
        <v>109</v>
      </c>
      <c r="O9081" t="s">
        <v>24</v>
      </c>
      <c r="Q9081">
        <v>834.5</v>
      </c>
      <c r="R9081" t="str">
        <f>"FARMÁCIA INDIANA LJ 118 (10052)"</f>
        <v>FARMÁCIA INDIANA LJ 118 (10052)</v>
      </c>
      <c r="S9081" t="s">
        <v>77</v>
      </c>
      <c r="T9081">
        <v>20617</v>
      </c>
      <c r="U9081">
        <v>24248</v>
      </c>
      <c r="V9081" t="s">
        <v>77</v>
      </c>
    </row>
    <row r="9082" spans="1:22">
      <c r="A9082" t="str">
        <f t="shared" si="1721"/>
        <v>06/11/2025</v>
      </c>
      <c r="B9082" t="str">
        <f t="shared" si="1723"/>
        <v>SAÍDA</v>
      </c>
      <c r="C9082" t="str">
        <f t="shared" si="1724"/>
        <v>PIX</v>
      </c>
      <c r="D9082" t="str">
        <f>"24248"</f>
        <v>24248</v>
      </c>
      <c r="E9082" t="str">
        <f t="shared" si="1725"/>
        <v>1</v>
      </c>
      <c r="F9082" t="str">
        <f t="shared" si="1722"/>
        <v>COM</v>
      </c>
      <c r="G9082" t="str">
        <f>"MURILO BARRETO AFONSO (30)"</f>
        <v>MURILO BARRETO AFONSO (30)</v>
      </c>
      <c r="H9082" t="s">
        <v>2588</v>
      </c>
      <c r="I9082" t="str">
        <f t="shared" si="1726"/>
        <v>06/11/2025</v>
      </c>
      <c r="J9082" t="str">
        <f t="shared" si="1727"/>
        <v>24/10/2025</v>
      </c>
      <c r="K9082">
        <v>45967</v>
      </c>
      <c r="N9082">
        <v>109</v>
      </c>
      <c r="O9082" t="s">
        <v>24</v>
      </c>
      <c r="Q9082">
        <v>905.5</v>
      </c>
      <c r="R9082" t="str">
        <f>"FARMÁCIA INDIANA LJ 192 (10082)"</f>
        <v>FARMÁCIA INDIANA LJ 192 (10082)</v>
      </c>
      <c r="S9082" t="s">
        <v>77</v>
      </c>
      <c r="T9082">
        <v>20617</v>
      </c>
      <c r="U9082">
        <v>24248</v>
      </c>
      <c r="V9082" t="s">
        <v>77</v>
      </c>
    </row>
    <row r="9083" spans="1:22">
      <c r="A9083" t="str">
        <f t="shared" si="1721"/>
        <v>06/11/2025</v>
      </c>
      <c r="B9083" t="str">
        <f t="shared" si="1723"/>
        <v>SAÍDA</v>
      </c>
      <c r="C9083" t="str">
        <f t="shared" si="1724"/>
        <v>PIX</v>
      </c>
      <c r="D9083" t="str">
        <f>"24249"</f>
        <v>24249</v>
      </c>
      <c r="E9083" t="str">
        <f t="shared" si="1725"/>
        <v>1</v>
      </c>
      <c r="F9083" t="str">
        <f t="shared" si="1722"/>
        <v>COM</v>
      </c>
      <c r="G9083" t="str">
        <f>"NATÁLIA KAROLAINE GOMES BATISTA (936)"</f>
        <v>NATÁLIA KAROLAINE GOMES BATISTA (936)</v>
      </c>
      <c r="H9083" t="str">
        <f>"Serv.Prest. 20/10/2025 a 24/10/2025 - PIX: CELULAR - CHAVE: (33) 98817-9868"</f>
        <v>Serv.Prest. 20/10/2025 a 24/10/2025 - PIX: CELULAR - CHAVE: (33) 98817-9868</v>
      </c>
      <c r="I9083" t="str">
        <f t="shared" si="1726"/>
        <v>06/11/2025</v>
      </c>
      <c r="J9083" t="str">
        <f t="shared" si="1727"/>
        <v>24/10/2025</v>
      </c>
      <c r="K9083" t="str">
        <f>("06/11/2025")</f>
        <v>06/11/2025</v>
      </c>
      <c r="L9083">
        <v>480</v>
      </c>
      <c r="M9083">
        <v>480</v>
      </c>
      <c r="N9083">
        <v>109</v>
      </c>
      <c r="O9083" t="str">
        <f>"PAGAMENTO DE ENTREGADORES"</f>
        <v>PAGAMENTO DE ENTREGADORES</v>
      </c>
      <c r="P9083">
        <v>480</v>
      </c>
      <c r="S9083" t="str">
        <f>"BANCO C6 (149)"</f>
        <v>BANCO C6 (149)</v>
      </c>
      <c r="T9083">
        <v>20618</v>
      </c>
      <c r="U9083">
        <v>24249</v>
      </c>
      <c r="V9083" t="s">
        <v>77</v>
      </c>
    </row>
    <row r="9084" spans="1:22">
      <c r="A9084" t="str">
        <f t="shared" si="1721"/>
        <v>06/11/2025</v>
      </c>
      <c r="B9084" t="str">
        <f t="shared" si="1723"/>
        <v>SAÍDA</v>
      </c>
      <c r="C9084" t="str">
        <f t="shared" si="1724"/>
        <v>PIX</v>
      </c>
      <c r="D9084" t="str">
        <f>"24249"</f>
        <v>24249</v>
      </c>
      <c r="E9084" t="str">
        <f t="shared" si="1725"/>
        <v>1</v>
      </c>
      <c r="F9084" t="str">
        <f t="shared" si="1722"/>
        <v>COM</v>
      </c>
      <c r="G9084" t="str">
        <f>"NATÁLIA KAROLAINE GOMES BATISTA (936)"</f>
        <v>NATÁLIA KAROLAINE GOMES BATISTA (936)</v>
      </c>
      <c r="H9084" t="s">
        <v>2589</v>
      </c>
      <c r="I9084" t="str">
        <f t="shared" si="1726"/>
        <v>06/11/2025</v>
      </c>
      <c r="J9084" t="str">
        <f t="shared" si="1727"/>
        <v>24/10/2025</v>
      </c>
      <c r="K9084">
        <v>45967</v>
      </c>
      <c r="N9084">
        <v>109</v>
      </c>
      <c r="O9084" t="s">
        <v>24</v>
      </c>
      <c r="Q9084">
        <v>480</v>
      </c>
      <c r="R9084" t="str">
        <f>"FARMÁCIA INDIANA LJ 07 (10007)"</f>
        <v>FARMÁCIA INDIANA LJ 07 (10007)</v>
      </c>
      <c r="S9084" t="s">
        <v>77</v>
      </c>
      <c r="T9084">
        <v>20618</v>
      </c>
      <c r="U9084">
        <v>24249</v>
      </c>
      <c r="V9084" t="s">
        <v>77</v>
      </c>
    </row>
    <row r="9085" spans="1:22">
      <c r="A9085" t="str">
        <f t="shared" si="1721"/>
        <v>06/11/2025</v>
      </c>
      <c r="B9085" t="str">
        <f t="shared" si="1723"/>
        <v>SAÍDA</v>
      </c>
      <c r="C9085" t="str">
        <f t="shared" si="1724"/>
        <v>PIX</v>
      </c>
      <c r="D9085" t="str">
        <f>"24250"</f>
        <v>24250</v>
      </c>
      <c r="E9085" t="str">
        <f t="shared" si="1725"/>
        <v>1</v>
      </c>
      <c r="F9085" t="str">
        <f t="shared" si="1722"/>
        <v>COM</v>
      </c>
      <c r="G9085" t="str">
        <f>"NELSON DOS SANTOS RODRIGUES (37)"</f>
        <v>NELSON DOS SANTOS RODRIGUES (37)</v>
      </c>
      <c r="H9085" t="str">
        <f>"Serv.Prest. 20/10/2025 a 24/10/2025 - PIX: CPF - CHAVE: 108.680.396-59"</f>
        <v>Serv.Prest. 20/10/2025 a 24/10/2025 - PIX: CPF - CHAVE: 108.680.396-59</v>
      </c>
      <c r="I9085" t="str">
        <f t="shared" si="1726"/>
        <v>06/11/2025</v>
      </c>
      <c r="J9085" t="str">
        <f t="shared" si="1727"/>
        <v>24/10/2025</v>
      </c>
      <c r="K9085" t="str">
        <f>("06/11/2025")</f>
        <v>06/11/2025</v>
      </c>
      <c r="L9085">
        <v>1086</v>
      </c>
      <c r="M9085">
        <v>1086</v>
      </c>
      <c r="N9085">
        <v>109</v>
      </c>
      <c r="O9085" t="str">
        <f>"PAGAMENTO DE ENTREGADORES"</f>
        <v>PAGAMENTO DE ENTREGADORES</v>
      </c>
      <c r="P9085">
        <v>1086</v>
      </c>
      <c r="S9085" t="str">
        <f>"BANCO C6 (149)"</f>
        <v>BANCO C6 (149)</v>
      </c>
      <c r="T9085">
        <v>20619</v>
      </c>
      <c r="U9085">
        <v>24250</v>
      </c>
      <c r="V9085" t="s">
        <v>77</v>
      </c>
    </row>
    <row r="9086" spans="1:22">
      <c r="A9086" t="str">
        <f t="shared" si="1721"/>
        <v>06/11/2025</v>
      </c>
      <c r="B9086" t="str">
        <f t="shared" si="1723"/>
        <v>SAÍDA</v>
      </c>
      <c r="C9086" t="str">
        <f t="shared" si="1724"/>
        <v>PIX</v>
      </c>
      <c r="D9086" t="str">
        <f>"24250"</f>
        <v>24250</v>
      </c>
      <c r="E9086" t="str">
        <f t="shared" si="1725"/>
        <v>1</v>
      </c>
      <c r="F9086" t="str">
        <f t="shared" si="1722"/>
        <v>COM</v>
      </c>
      <c r="G9086" t="str">
        <f>"NELSON DOS SANTOS RODRIGUES (37)"</f>
        <v>NELSON DOS SANTOS RODRIGUES (37)</v>
      </c>
      <c r="H9086" t="s">
        <v>2590</v>
      </c>
      <c r="I9086" t="str">
        <f t="shared" si="1726"/>
        <v>06/11/2025</v>
      </c>
      <c r="J9086" t="str">
        <f t="shared" si="1727"/>
        <v>24/10/2025</v>
      </c>
      <c r="K9086">
        <v>45967</v>
      </c>
      <c r="N9086">
        <v>109</v>
      </c>
      <c r="O9086" t="s">
        <v>24</v>
      </c>
      <c r="Q9086">
        <v>1086</v>
      </c>
      <c r="R9086" t="str">
        <f>"FARMÁCIA INDIANA LJ 11 (10008)"</f>
        <v>FARMÁCIA INDIANA LJ 11 (10008)</v>
      </c>
      <c r="S9086" t="s">
        <v>77</v>
      </c>
      <c r="T9086">
        <v>20619</v>
      </c>
      <c r="U9086">
        <v>24250</v>
      </c>
      <c r="V9086" t="s">
        <v>77</v>
      </c>
    </row>
    <row r="9087" spans="1:22">
      <c r="A9087" t="str">
        <f t="shared" si="1721"/>
        <v>06/11/2025</v>
      </c>
      <c r="B9087" t="str">
        <f t="shared" si="1723"/>
        <v>SAÍDA</v>
      </c>
      <c r="C9087" t="str">
        <f t="shared" si="1724"/>
        <v>PIX</v>
      </c>
      <c r="D9087" t="str">
        <f>"24251"</f>
        <v>24251</v>
      </c>
      <c r="E9087" t="str">
        <f t="shared" si="1725"/>
        <v>1</v>
      </c>
      <c r="F9087" t="str">
        <f t="shared" si="1722"/>
        <v>COM</v>
      </c>
      <c r="G9087" t="str">
        <f>"NILTON RODRIGUES DE SOUZA (136)"</f>
        <v>NILTON RODRIGUES DE SOUZA (136)</v>
      </c>
      <c r="H9087" t="str">
        <f>"Serv.Prest. 20/10/2025 a 24/10/2025 - PIX: CPF - CHAVE: 037.974.316-78"</f>
        <v>Serv.Prest. 20/10/2025 a 24/10/2025 - PIX: CPF - CHAVE: 037.974.316-78</v>
      </c>
      <c r="I9087" t="str">
        <f t="shared" si="1726"/>
        <v>06/11/2025</v>
      </c>
      <c r="J9087" t="str">
        <f t="shared" si="1727"/>
        <v>24/10/2025</v>
      </c>
      <c r="K9087" t="str">
        <f>("06/11/2025")</f>
        <v>06/11/2025</v>
      </c>
      <c r="L9087">
        <v>552</v>
      </c>
      <c r="M9087">
        <v>552</v>
      </c>
      <c r="N9087">
        <v>109</v>
      </c>
      <c r="O9087" t="str">
        <f>"PAGAMENTO DE ENTREGADORES"</f>
        <v>PAGAMENTO DE ENTREGADORES</v>
      </c>
      <c r="P9087">
        <v>552</v>
      </c>
      <c r="S9087" t="str">
        <f>"BANCO C6 (149)"</f>
        <v>BANCO C6 (149)</v>
      </c>
      <c r="T9087">
        <v>20620</v>
      </c>
      <c r="U9087">
        <v>24251</v>
      </c>
      <c r="V9087" t="s">
        <v>77</v>
      </c>
    </row>
    <row r="9088" spans="1:22">
      <c r="A9088" t="str">
        <f t="shared" si="1721"/>
        <v>06/11/2025</v>
      </c>
      <c r="B9088" t="str">
        <f t="shared" si="1723"/>
        <v>SAÍDA</v>
      </c>
      <c r="C9088" t="str">
        <f t="shared" si="1724"/>
        <v>PIX</v>
      </c>
      <c r="D9088" t="str">
        <f>"24251"</f>
        <v>24251</v>
      </c>
      <c r="E9088" t="str">
        <f t="shared" si="1725"/>
        <v>1</v>
      </c>
      <c r="F9088" t="str">
        <f t="shared" si="1722"/>
        <v>COM</v>
      </c>
      <c r="G9088" t="str">
        <f>"NILTON RODRIGUES DE SOUZA (136)"</f>
        <v>NILTON RODRIGUES DE SOUZA (136)</v>
      </c>
      <c r="H9088" t="s">
        <v>2591</v>
      </c>
      <c r="I9088" t="str">
        <f t="shared" si="1726"/>
        <v>06/11/2025</v>
      </c>
      <c r="J9088" t="str">
        <f t="shared" si="1727"/>
        <v>24/10/2025</v>
      </c>
      <c r="K9088">
        <v>45967</v>
      </c>
      <c r="N9088">
        <v>109</v>
      </c>
      <c r="O9088" t="s">
        <v>24</v>
      </c>
      <c r="Q9088">
        <v>552</v>
      </c>
      <c r="R9088" t="str">
        <f>"FARMÁCIA INDIANA LJ 18 (10011)"</f>
        <v>FARMÁCIA INDIANA LJ 18 (10011)</v>
      </c>
      <c r="S9088" t="s">
        <v>77</v>
      </c>
      <c r="T9088">
        <v>20620</v>
      </c>
      <c r="U9088">
        <v>24251</v>
      </c>
      <c r="V9088" t="s">
        <v>77</v>
      </c>
    </row>
    <row r="9089" spans="1:22">
      <c r="A9089" t="str">
        <f t="shared" si="1721"/>
        <v>06/11/2025</v>
      </c>
      <c r="B9089" t="str">
        <f t="shared" si="1723"/>
        <v>SAÍDA</v>
      </c>
      <c r="C9089" t="str">
        <f t="shared" si="1724"/>
        <v>PIX</v>
      </c>
      <c r="D9089" t="str">
        <f>"24252"</f>
        <v>24252</v>
      </c>
      <c r="E9089" t="str">
        <f t="shared" si="1725"/>
        <v>1</v>
      </c>
      <c r="F9089" t="str">
        <f t="shared" si="1722"/>
        <v>COM</v>
      </c>
      <c r="G9089" t="str">
        <f>"PATRICK DE SOUZA CORREA (92)"</f>
        <v>PATRICK DE SOUZA CORREA (92)</v>
      </c>
      <c r="H9089" t="str">
        <f>"Serv.Prest. 20/10/2025 a 24/10/2025 - PIX: CELULAR - CHAVE: (31) 99216-8711"</f>
        <v>Serv.Prest. 20/10/2025 a 24/10/2025 - PIX: CELULAR - CHAVE: (31) 99216-8711</v>
      </c>
      <c r="I9089" t="str">
        <f t="shared" si="1726"/>
        <v>06/11/2025</v>
      </c>
      <c r="J9089" t="str">
        <f t="shared" si="1727"/>
        <v>24/10/2025</v>
      </c>
      <c r="K9089" t="str">
        <f>("06/11/2025")</f>
        <v>06/11/2025</v>
      </c>
      <c r="L9089">
        <v>600</v>
      </c>
      <c r="M9089">
        <v>600</v>
      </c>
      <c r="N9089">
        <v>109</v>
      </c>
      <c r="O9089" t="str">
        <f>"PAGAMENTO DE ENTREGADORES"</f>
        <v>PAGAMENTO DE ENTREGADORES</v>
      </c>
      <c r="P9089">
        <v>600</v>
      </c>
      <c r="S9089" t="str">
        <f>"BANCO C6 (149)"</f>
        <v>BANCO C6 (149)</v>
      </c>
      <c r="T9089">
        <v>20621</v>
      </c>
      <c r="U9089">
        <v>24252</v>
      </c>
      <c r="V9089" t="s">
        <v>77</v>
      </c>
    </row>
    <row r="9090" spans="1:22">
      <c r="A9090" t="str">
        <f t="shared" si="1721"/>
        <v>06/11/2025</v>
      </c>
      <c r="B9090" t="str">
        <f t="shared" si="1723"/>
        <v>SAÍDA</v>
      </c>
      <c r="C9090" t="str">
        <f t="shared" si="1724"/>
        <v>PIX</v>
      </c>
      <c r="D9090" t="str">
        <f>"24252"</f>
        <v>24252</v>
      </c>
      <c r="E9090" t="str">
        <f t="shared" si="1725"/>
        <v>1</v>
      </c>
      <c r="F9090" t="str">
        <f t="shared" si="1722"/>
        <v>COM</v>
      </c>
      <c r="G9090" t="str">
        <f>"PATRICK DE SOUZA CORREA (92)"</f>
        <v>PATRICK DE SOUZA CORREA (92)</v>
      </c>
      <c r="H9090" t="s">
        <v>2592</v>
      </c>
      <c r="I9090" t="str">
        <f t="shared" si="1726"/>
        <v>06/11/2025</v>
      </c>
      <c r="J9090" t="str">
        <f t="shared" si="1727"/>
        <v>24/10/2025</v>
      </c>
      <c r="K9090">
        <v>45967</v>
      </c>
      <c r="N9090">
        <v>109</v>
      </c>
      <c r="O9090" t="s">
        <v>24</v>
      </c>
      <c r="Q9090">
        <v>400.02</v>
      </c>
      <c r="R9090" t="str">
        <f>"FARMÁCIA INDIANA LJ 184 (10080)"</f>
        <v>FARMÁCIA INDIANA LJ 184 (10080)</v>
      </c>
      <c r="S9090" t="s">
        <v>77</v>
      </c>
      <c r="T9090">
        <v>20621</v>
      </c>
      <c r="U9090">
        <v>24252</v>
      </c>
      <c r="V9090" t="s">
        <v>77</v>
      </c>
    </row>
    <row r="9091" spans="1:22">
      <c r="A9091" t="str">
        <f t="shared" si="1721"/>
        <v>06/11/2025</v>
      </c>
      <c r="B9091" t="str">
        <f t="shared" si="1723"/>
        <v>SAÍDA</v>
      </c>
      <c r="C9091" t="str">
        <f t="shared" si="1724"/>
        <v>PIX</v>
      </c>
      <c r="D9091" t="str">
        <f>"24252"</f>
        <v>24252</v>
      </c>
      <c r="E9091" t="str">
        <f t="shared" si="1725"/>
        <v>1</v>
      </c>
      <c r="F9091" t="str">
        <f t="shared" si="1722"/>
        <v>COM</v>
      </c>
      <c r="G9091" t="str">
        <f>"PATRICK DE SOUZA CORREA (92)"</f>
        <v>PATRICK DE SOUZA CORREA (92)</v>
      </c>
      <c r="H9091" t="s">
        <v>2592</v>
      </c>
      <c r="I9091" t="str">
        <f t="shared" si="1726"/>
        <v>06/11/2025</v>
      </c>
      <c r="J9091" t="str">
        <f t="shared" si="1727"/>
        <v>24/10/2025</v>
      </c>
      <c r="K9091">
        <v>45967</v>
      </c>
      <c r="N9091">
        <v>109</v>
      </c>
      <c r="O9091" t="s">
        <v>24</v>
      </c>
      <c r="Q9091">
        <v>199.98</v>
      </c>
      <c r="R9091" t="str">
        <f>"FARMÁCIA INDIANA LJ 195 (10083)"</f>
        <v>FARMÁCIA INDIANA LJ 195 (10083)</v>
      </c>
      <c r="S9091" t="s">
        <v>77</v>
      </c>
      <c r="T9091">
        <v>20621</v>
      </c>
      <c r="U9091">
        <v>24252</v>
      </c>
      <c r="V9091" t="s">
        <v>77</v>
      </c>
    </row>
    <row r="9092" spans="1:22">
      <c r="A9092" t="str">
        <f t="shared" si="1721"/>
        <v>06/11/2025</v>
      </c>
      <c r="B9092" t="str">
        <f t="shared" si="1723"/>
        <v>SAÍDA</v>
      </c>
      <c r="C9092" t="str">
        <f t="shared" si="1724"/>
        <v>PIX</v>
      </c>
      <c r="D9092" t="str">
        <f>"24253"</f>
        <v>24253</v>
      </c>
      <c r="E9092" t="str">
        <f t="shared" si="1725"/>
        <v>1</v>
      </c>
      <c r="F9092" t="str">
        <f t="shared" si="1722"/>
        <v>COM</v>
      </c>
      <c r="G9092" t="str">
        <f>"PAULO HENRIQUE OLIVEIRA SILVA (39)"</f>
        <v>PAULO HENRIQUE OLIVEIRA SILVA (39)</v>
      </c>
      <c r="H9092" t="str">
        <f>"Serv.Prest. 20/10/2025 a 24/10/2025 - PIX: CELULAR - CHAVE: (31) 97339-3761"</f>
        <v>Serv.Prest. 20/10/2025 a 24/10/2025 - PIX: CELULAR - CHAVE: (31) 97339-3761</v>
      </c>
      <c r="I9092" t="str">
        <f t="shared" si="1726"/>
        <v>06/11/2025</v>
      </c>
      <c r="J9092" t="str">
        <f t="shared" si="1727"/>
        <v>24/10/2025</v>
      </c>
      <c r="K9092" t="str">
        <f>("06/11/2025")</f>
        <v>06/11/2025</v>
      </c>
      <c r="L9092">
        <v>966</v>
      </c>
      <c r="M9092">
        <v>966</v>
      </c>
      <c r="N9092">
        <v>109</v>
      </c>
      <c r="O9092" t="str">
        <f>"PAGAMENTO DE ENTREGADORES"</f>
        <v>PAGAMENTO DE ENTREGADORES</v>
      </c>
      <c r="P9092">
        <v>966</v>
      </c>
      <c r="S9092" t="str">
        <f>"BANCO C6 (149)"</f>
        <v>BANCO C6 (149)</v>
      </c>
      <c r="T9092">
        <v>20622</v>
      </c>
      <c r="U9092">
        <v>24253</v>
      </c>
      <c r="V9092" t="s">
        <v>77</v>
      </c>
    </row>
    <row r="9093" spans="1:22">
      <c r="A9093" t="str">
        <f t="shared" si="1721"/>
        <v>06/11/2025</v>
      </c>
      <c r="B9093" t="str">
        <f t="shared" si="1723"/>
        <v>SAÍDA</v>
      </c>
      <c r="C9093" t="str">
        <f t="shared" si="1724"/>
        <v>PIX</v>
      </c>
      <c r="D9093" t="str">
        <f>"24253"</f>
        <v>24253</v>
      </c>
      <c r="E9093" t="str">
        <f t="shared" si="1725"/>
        <v>1</v>
      </c>
      <c r="F9093" t="str">
        <f t="shared" si="1722"/>
        <v>COM</v>
      </c>
      <c r="G9093" t="str">
        <f>"PAULO HENRIQUE OLIVEIRA SILVA (39)"</f>
        <v>PAULO HENRIQUE OLIVEIRA SILVA (39)</v>
      </c>
      <c r="H9093" t="s">
        <v>2593</v>
      </c>
      <c r="I9093" t="str">
        <f t="shared" si="1726"/>
        <v>06/11/2025</v>
      </c>
      <c r="J9093" t="str">
        <f t="shared" si="1727"/>
        <v>24/10/2025</v>
      </c>
      <c r="K9093">
        <v>45967</v>
      </c>
      <c r="N9093">
        <v>109</v>
      </c>
      <c r="O9093" t="s">
        <v>24</v>
      </c>
      <c r="Q9093">
        <v>966</v>
      </c>
      <c r="R9093" t="str">
        <f>"FARMÁCIA INDIANA LJ 11 (10008)"</f>
        <v>FARMÁCIA INDIANA LJ 11 (10008)</v>
      </c>
      <c r="S9093" t="s">
        <v>77</v>
      </c>
      <c r="T9093">
        <v>20622</v>
      </c>
      <c r="U9093">
        <v>24253</v>
      </c>
      <c r="V9093" t="s">
        <v>77</v>
      </c>
    </row>
    <row r="9094" spans="1:22">
      <c r="A9094" t="str">
        <f t="shared" si="1721"/>
        <v>06/11/2025</v>
      </c>
      <c r="B9094" t="str">
        <f t="shared" si="1723"/>
        <v>SAÍDA</v>
      </c>
      <c r="C9094" t="str">
        <f t="shared" si="1724"/>
        <v>PIX</v>
      </c>
      <c r="D9094" t="str">
        <f>"24254"</f>
        <v>24254</v>
      </c>
      <c r="E9094" t="str">
        <f t="shared" si="1725"/>
        <v>1</v>
      </c>
      <c r="F9094" t="str">
        <f t="shared" si="1722"/>
        <v>COM</v>
      </c>
      <c r="G9094" t="str">
        <f>"PAULO MARCOS FARIA DE SOUZA L (233)"</f>
        <v>PAULO MARCOS FARIA DE SOUZA L (233)</v>
      </c>
      <c r="H9094" t="str">
        <f>"Serv.Prest. 20/10/2025 a 24/10/2025 - PIX: CELULAR - CHAVE: (35) 99264-4504"</f>
        <v>Serv.Prest. 20/10/2025 a 24/10/2025 - PIX: CELULAR - CHAVE: (35) 99264-4504</v>
      </c>
      <c r="I9094" t="str">
        <f t="shared" si="1726"/>
        <v>06/11/2025</v>
      </c>
      <c r="J9094" t="str">
        <f t="shared" ref="J9094:J9125" si="1728">("24/10/2025")</f>
        <v>24/10/2025</v>
      </c>
      <c r="K9094" t="str">
        <f>("06/11/2025")</f>
        <v>06/11/2025</v>
      </c>
      <c r="L9094">
        <v>500</v>
      </c>
      <c r="M9094">
        <v>500</v>
      </c>
      <c r="N9094">
        <v>109</v>
      </c>
      <c r="O9094" t="str">
        <f>"PAGAMENTO DE ENTREGADORES"</f>
        <v>PAGAMENTO DE ENTREGADORES</v>
      </c>
      <c r="P9094">
        <v>500</v>
      </c>
      <c r="S9094" t="str">
        <f>"BANCO C6 (149)"</f>
        <v>BANCO C6 (149)</v>
      </c>
      <c r="T9094">
        <v>20623</v>
      </c>
      <c r="U9094">
        <v>24254</v>
      </c>
      <c r="V9094" t="s">
        <v>77</v>
      </c>
    </row>
    <row r="9095" spans="1:22">
      <c r="A9095" t="str">
        <f t="shared" si="1721"/>
        <v>06/11/2025</v>
      </c>
      <c r="B9095" t="str">
        <f t="shared" si="1723"/>
        <v>SAÍDA</v>
      </c>
      <c r="C9095" t="str">
        <f t="shared" si="1724"/>
        <v>PIX</v>
      </c>
      <c r="D9095" t="str">
        <f>"24254"</f>
        <v>24254</v>
      </c>
      <c r="E9095" t="str">
        <f t="shared" si="1725"/>
        <v>1</v>
      </c>
      <c r="F9095" t="str">
        <f t="shared" si="1722"/>
        <v>COM</v>
      </c>
      <c r="G9095" t="str">
        <f>"PAULO MARCOS FARIA DE SOUZA L (233)"</f>
        <v>PAULO MARCOS FARIA DE SOUZA L (233)</v>
      </c>
      <c r="H9095" t="s">
        <v>2594</v>
      </c>
      <c r="I9095" t="str">
        <f t="shared" si="1726"/>
        <v>06/11/2025</v>
      </c>
      <c r="J9095" t="str">
        <f t="shared" si="1728"/>
        <v>24/10/2025</v>
      </c>
      <c r="K9095">
        <v>45967</v>
      </c>
      <c r="N9095">
        <v>109</v>
      </c>
      <c r="O9095" t="s">
        <v>24</v>
      </c>
      <c r="Q9095">
        <v>500</v>
      </c>
      <c r="R9095" t="str">
        <f>"FARMÁCIA INDIANA LJ 64 (10029)"</f>
        <v>FARMÁCIA INDIANA LJ 64 (10029)</v>
      </c>
      <c r="S9095" t="s">
        <v>77</v>
      </c>
      <c r="T9095">
        <v>20623</v>
      </c>
      <c r="U9095">
        <v>24254</v>
      </c>
      <c r="V9095" t="s">
        <v>77</v>
      </c>
    </row>
    <row r="9096" spans="1:22">
      <c r="A9096" t="str">
        <f t="shared" si="1721"/>
        <v>06/11/2025</v>
      </c>
      <c r="B9096" t="str">
        <f t="shared" si="1723"/>
        <v>SAÍDA</v>
      </c>
      <c r="C9096" t="str">
        <f t="shared" si="1724"/>
        <v>PIX</v>
      </c>
      <c r="D9096" t="str">
        <f>"24255"</f>
        <v>24255</v>
      </c>
      <c r="E9096" t="str">
        <f t="shared" si="1725"/>
        <v>1</v>
      </c>
      <c r="F9096" t="str">
        <f t="shared" si="1722"/>
        <v>COM</v>
      </c>
      <c r="G9096" t="str">
        <f>"PEDRO HENRIQUE DA SILVA COSTA OLIVEIRA (852)"</f>
        <v>PEDRO HENRIQUE DA SILVA COSTA OLIVEIRA (852)</v>
      </c>
      <c r="H9096" t="str">
        <f>"Serv.Prest. 20/10/2025 a 24/10/2025 - PIX: E-MAIL - CHAVE: sypedrinho@gmail.com"</f>
        <v>Serv.Prest. 20/10/2025 a 24/10/2025 - PIX: E-MAIL - CHAVE: sypedrinho@gmail.com</v>
      </c>
      <c r="I9096" t="str">
        <f t="shared" si="1726"/>
        <v>06/11/2025</v>
      </c>
      <c r="J9096" t="str">
        <f t="shared" si="1728"/>
        <v>24/10/2025</v>
      </c>
      <c r="K9096" t="str">
        <f>("06/11/2025")</f>
        <v>06/11/2025</v>
      </c>
      <c r="L9096">
        <v>702</v>
      </c>
      <c r="M9096">
        <v>720</v>
      </c>
      <c r="N9096">
        <v>109</v>
      </c>
      <c r="O9096" t="str">
        <f>"PAGAMENTO DE ENTREGADORES"</f>
        <v>PAGAMENTO DE ENTREGADORES</v>
      </c>
      <c r="P9096">
        <v>720</v>
      </c>
      <c r="S9096" t="str">
        <f>"BANCO C6 (149)"</f>
        <v>BANCO C6 (149)</v>
      </c>
      <c r="T9096">
        <v>20624</v>
      </c>
      <c r="U9096">
        <v>24255</v>
      </c>
      <c r="V9096" t="s">
        <v>77</v>
      </c>
    </row>
    <row r="9097" spans="1:22">
      <c r="A9097" t="str">
        <f t="shared" si="1721"/>
        <v>06/11/2025</v>
      </c>
      <c r="B9097" t="str">
        <f t="shared" si="1723"/>
        <v>SAÍDA</v>
      </c>
      <c r="C9097" t="str">
        <f t="shared" si="1724"/>
        <v>PIX</v>
      </c>
      <c r="D9097" t="str">
        <f>"24255"</f>
        <v>24255</v>
      </c>
      <c r="E9097" t="str">
        <f t="shared" si="1725"/>
        <v>1</v>
      </c>
      <c r="F9097" t="str">
        <f t="shared" si="1722"/>
        <v>COM</v>
      </c>
      <c r="G9097" t="str">
        <f>"PEDRO HENRIQUE DA SILVA COSTA OLIVEIRA (852)"</f>
        <v>PEDRO HENRIQUE DA SILVA COSTA OLIVEIRA (852)</v>
      </c>
      <c r="H9097" t="s">
        <v>2595</v>
      </c>
      <c r="I9097" t="str">
        <f t="shared" si="1726"/>
        <v>06/11/2025</v>
      </c>
      <c r="J9097" t="str">
        <f t="shared" si="1728"/>
        <v>24/10/2025</v>
      </c>
      <c r="K9097">
        <v>45967</v>
      </c>
      <c r="N9097">
        <v>109</v>
      </c>
      <c r="O9097" t="s">
        <v>24</v>
      </c>
      <c r="Q9097">
        <v>720</v>
      </c>
      <c r="R9097" t="str">
        <f>"FARMÁCIA INDIANA LJ 110 (10048)"</f>
        <v>FARMÁCIA INDIANA LJ 110 (10048)</v>
      </c>
      <c r="S9097" t="s">
        <v>77</v>
      </c>
      <c r="T9097">
        <v>20624</v>
      </c>
      <c r="U9097">
        <v>24255</v>
      </c>
      <c r="V9097" t="s">
        <v>77</v>
      </c>
    </row>
    <row r="9098" spans="1:22">
      <c r="A9098" t="str">
        <f t="shared" si="1721"/>
        <v>06/11/2025</v>
      </c>
      <c r="B9098" t="str">
        <f t="shared" si="1723"/>
        <v>SAÍDA</v>
      </c>
      <c r="C9098" t="str">
        <f t="shared" si="1724"/>
        <v>PIX</v>
      </c>
      <c r="D9098" t="str">
        <f>"24256"</f>
        <v>24256</v>
      </c>
      <c r="E9098" t="str">
        <f t="shared" si="1725"/>
        <v>1</v>
      </c>
      <c r="F9098" t="str">
        <f t="shared" si="1722"/>
        <v>COM</v>
      </c>
      <c r="G9098" t="str">
        <f>"PHABLO HEINRICK VALADARES FERREIRA (989)"</f>
        <v>PHABLO HEINRICK VALADARES FERREIRA (989)</v>
      </c>
      <c r="H9098" t="str">
        <f>"Serv.Prest. 20/10/2025 a 24/10/2025 - PIX: CPF - CHAVE: 135.640.066-30"</f>
        <v>Serv.Prest. 20/10/2025 a 24/10/2025 - PIX: CPF - CHAVE: 135.640.066-30</v>
      </c>
      <c r="I9098" t="str">
        <f t="shared" si="1726"/>
        <v>06/11/2025</v>
      </c>
      <c r="J9098" t="str">
        <f t="shared" si="1728"/>
        <v>24/10/2025</v>
      </c>
      <c r="K9098" t="str">
        <f>("06/11/2025")</f>
        <v>06/11/2025</v>
      </c>
      <c r="L9098">
        <v>948</v>
      </c>
      <c r="M9098">
        <v>948</v>
      </c>
      <c r="N9098">
        <v>109</v>
      </c>
      <c r="O9098" t="str">
        <f>"PAGAMENTO DE ENTREGADORES"</f>
        <v>PAGAMENTO DE ENTREGADORES</v>
      </c>
      <c r="P9098">
        <v>948</v>
      </c>
      <c r="S9098" t="str">
        <f>"BANCO C6 (149)"</f>
        <v>BANCO C6 (149)</v>
      </c>
      <c r="T9098">
        <v>20625</v>
      </c>
      <c r="U9098">
        <v>24256</v>
      </c>
      <c r="V9098" t="s">
        <v>77</v>
      </c>
    </row>
    <row r="9099" spans="1:22">
      <c r="A9099" t="str">
        <f t="shared" si="1721"/>
        <v>06/11/2025</v>
      </c>
      <c r="B9099" t="str">
        <f t="shared" si="1723"/>
        <v>SAÍDA</v>
      </c>
      <c r="C9099" t="str">
        <f t="shared" si="1724"/>
        <v>PIX</v>
      </c>
      <c r="D9099" t="str">
        <f>"24256"</f>
        <v>24256</v>
      </c>
      <c r="E9099" t="str">
        <f t="shared" si="1725"/>
        <v>1</v>
      </c>
      <c r="F9099" t="str">
        <f t="shared" si="1722"/>
        <v>COM</v>
      </c>
      <c r="G9099" t="str">
        <f>"PHABLO HEINRICK VALADARES FERREIRA (989)"</f>
        <v>PHABLO HEINRICK VALADARES FERREIRA (989)</v>
      </c>
      <c r="H9099" t="s">
        <v>2596</v>
      </c>
      <c r="I9099" t="str">
        <f t="shared" si="1726"/>
        <v>06/11/2025</v>
      </c>
      <c r="J9099" t="str">
        <f t="shared" si="1728"/>
        <v>24/10/2025</v>
      </c>
      <c r="K9099">
        <v>45967</v>
      </c>
      <c r="N9099">
        <v>109</v>
      </c>
      <c r="O9099" t="s">
        <v>24</v>
      </c>
      <c r="Q9099">
        <v>948</v>
      </c>
      <c r="R9099" t="str">
        <f>"FARMÁCIA INDIANA LJ 101 (10043)"</f>
        <v>FARMÁCIA INDIANA LJ 101 (10043)</v>
      </c>
      <c r="S9099" t="s">
        <v>77</v>
      </c>
      <c r="T9099">
        <v>20625</v>
      </c>
      <c r="U9099">
        <v>24256</v>
      </c>
      <c r="V9099" t="s">
        <v>77</v>
      </c>
    </row>
    <row r="9100" spans="1:22">
      <c r="A9100" t="str">
        <f t="shared" si="1721"/>
        <v>06/11/2025</v>
      </c>
      <c r="B9100" t="str">
        <f t="shared" si="1723"/>
        <v>SAÍDA</v>
      </c>
      <c r="C9100" t="str">
        <f t="shared" si="1724"/>
        <v>PIX</v>
      </c>
      <c r="D9100" t="str">
        <f>"24257"</f>
        <v>24257</v>
      </c>
      <c r="E9100" t="str">
        <f t="shared" si="1725"/>
        <v>1</v>
      </c>
      <c r="F9100" t="str">
        <f t="shared" si="1722"/>
        <v>COM</v>
      </c>
      <c r="G9100" t="str">
        <f>"RAISSON VITOR MENDES DE ABREU (705)"</f>
        <v>RAISSON VITOR MENDES DE ABREU (705)</v>
      </c>
      <c r="H9100" t="str">
        <f>"Serv.Prest. 20/10/2025 a 24/10/2025 - PIX: CELULAR - CHAVE: (31) 99959-5414"</f>
        <v>Serv.Prest. 20/10/2025 a 24/10/2025 - PIX: CELULAR - CHAVE: (31) 99959-5414</v>
      </c>
      <c r="I9100" t="str">
        <f t="shared" si="1726"/>
        <v>06/11/2025</v>
      </c>
      <c r="J9100" t="str">
        <f t="shared" si="1728"/>
        <v>24/10/2025</v>
      </c>
      <c r="K9100" t="str">
        <f>("06/11/2025")</f>
        <v>06/11/2025</v>
      </c>
      <c r="L9100">
        <v>800</v>
      </c>
      <c r="M9100">
        <v>800</v>
      </c>
      <c r="N9100">
        <v>109</v>
      </c>
      <c r="O9100" t="str">
        <f>"PAGAMENTO DE ENTREGADORES"</f>
        <v>PAGAMENTO DE ENTREGADORES</v>
      </c>
      <c r="P9100">
        <v>800</v>
      </c>
      <c r="S9100" t="str">
        <f>"BANCO C6 (149)"</f>
        <v>BANCO C6 (149)</v>
      </c>
      <c r="T9100">
        <v>20626</v>
      </c>
      <c r="U9100">
        <v>24257</v>
      </c>
      <c r="V9100" t="s">
        <v>77</v>
      </c>
    </row>
    <row r="9101" spans="1:22">
      <c r="A9101" t="str">
        <f t="shared" si="1721"/>
        <v>06/11/2025</v>
      </c>
      <c r="B9101" t="str">
        <f t="shared" si="1723"/>
        <v>SAÍDA</v>
      </c>
      <c r="C9101" t="str">
        <f t="shared" si="1724"/>
        <v>PIX</v>
      </c>
      <c r="D9101" t="str">
        <f>"24257"</f>
        <v>24257</v>
      </c>
      <c r="E9101" t="str">
        <f t="shared" si="1725"/>
        <v>1</v>
      </c>
      <c r="F9101" t="str">
        <f t="shared" si="1722"/>
        <v>COM</v>
      </c>
      <c r="G9101" t="str">
        <f>"RAISSON VITOR MENDES DE ABREU (705)"</f>
        <v>RAISSON VITOR MENDES DE ABREU (705)</v>
      </c>
      <c r="H9101" t="s">
        <v>2597</v>
      </c>
      <c r="I9101" t="str">
        <f t="shared" si="1726"/>
        <v>06/11/2025</v>
      </c>
      <c r="J9101" t="str">
        <f t="shared" si="1728"/>
        <v>24/10/2025</v>
      </c>
      <c r="K9101">
        <v>45967</v>
      </c>
      <c r="N9101">
        <v>109</v>
      </c>
      <c r="O9101" t="s">
        <v>24</v>
      </c>
      <c r="Q9101">
        <v>800</v>
      </c>
      <c r="R9101" t="str">
        <f>"FARMÁCIA INDIANA LJ 178 (10077)"</f>
        <v>FARMÁCIA INDIANA LJ 178 (10077)</v>
      </c>
      <c r="S9101" t="s">
        <v>77</v>
      </c>
      <c r="T9101">
        <v>20626</v>
      </c>
      <c r="U9101">
        <v>24257</v>
      </c>
      <c r="V9101" t="s">
        <v>77</v>
      </c>
    </row>
    <row r="9102" spans="1:22">
      <c r="A9102" t="str">
        <f t="shared" si="1721"/>
        <v>06/11/2025</v>
      </c>
      <c r="B9102" t="str">
        <f t="shared" si="1723"/>
        <v>SAÍDA</v>
      </c>
      <c r="C9102" t="str">
        <f t="shared" si="1724"/>
        <v>PIX</v>
      </c>
      <c r="D9102" t="str">
        <f>"24258"</f>
        <v>24258</v>
      </c>
      <c r="E9102" t="str">
        <f t="shared" si="1725"/>
        <v>1</v>
      </c>
      <c r="F9102" t="str">
        <f t="shared" si="1722"/>
        <v>COM</v>
      </c>
      <c r="G9102" t="str">
        <f>"REGINALDO PIRES PORTES (1009)"</f>
        <v>REGINALDO PIRES PORTES (1009)</v>
      </c>
      <c r="H9102" t="str">
        <f>"Serv.Prest. 20/10/2025 a 24/10/2025 - PIX: CPF - CHAVE: 072.968.086-08"</f>
        <v>Serv.Prest. 20/10/2025 a 24/10/2025 - PIX: CPF - CHAVE: 072.968.086-08</v>
      </c>
      <c r="I9102" t="str">
        <f t="shared" si="1726"/>
        <v>06/11/2025</v>
      </c>
      <c r="J9102" t="str">
        <f t="shared" si="1728"/>
        <v>24/10/2025</v>
      </c>
      <c r="K9102" t="str">
        <f>("06/11/2025")</f>
        <v>06/11/2025</v>
      </c>
      <c r="L9102">
        <v>606</v>
      </c>
      <c r="M9102">
        <v>606</v>
      </c>
      <c r="N9102">
        <v>109</v>
      </c>
      <c r="O9102" t="str">
        <f>"PAGAMENTO DE ENTREGADORES"</f>
        <v>PAGAMENTO DE ENTREGADORES</v>
      </c>
      <c r="P9102">
        <v>606</v>
      </c>
      <c r="S9102" t="str">
        <f>"BANCO C6 (149)"</f>
        <v>BANCO C6 (149)</v>
      </c>
      <c r="T9102">
        <v>20627</v>
      </c>
      <c r="U9102">
        <v>24258</v>
      </c>
      <c r="V9102" t="s">
        <v>77</v>
      </c>
    </row>
    <row r="9103" spans="1:22">
      <c r="A9103" t="str">
        <f t="shared" si="1721"/>
        <v>06/11/2025</v>
      </c>
      <c r="B9103" t="str">
        <f t="shared" si="1723"/>
        <v>SAÍDA</v>
      </c>
      <c r="C9103" t="str">
        <f t="shared" si="1724"/>
        <v>PIX</v>
      </c>
      <c r="D9103" t="str">
        <f>"24258"</f>
        <v>24258</v>
      </c>
      <c r="E9103" t="str">
        <f t="shared" si="1725"/>
        <v>1</v>
      </c>
      <c r="F9103" t="str">
        <f t="shared" si="1722"/>
        <v>COM</v>
      </c>
      <c r="G9103" t="str">
        <f>"REGINALDO PIRES PORTES (1009)"</f>
        <v>REGINALDO PIRES PORTES (1009)</v>
      </c>
      <c r="H9103" t="s">
        <v>2598</v>
      </c>
      <c r="I9103" t="str">
        <f t="shared" si="1726"/>
        <v>06/11/2025</v>
      </c>
      <c r="J9103" t="str">
        <f t="shared" si="1728"/>
        <v>24/10/2025</v>
      </c>
      <c r="K9103">
        <v>45967</v>
      </c>
      <c r="N9103">
        <v>109</v>
      </c>
      <c r="O9103" t="s">
        <v>24</v>
      </c>
      <c r="Q9103">
        <v>606</v>
      </c>
      <c r="R9103" t="str">
        <f>"FARMÁCIA INDIANA LJ 19 (10012)"</f>
        <v>FARMÁCIA INDIANA LJ 19 (10012)</v>
      </c>
      <c r="S9103" t="s">
        <v>77</v>
      </c>
      <c r="T9103">
        <v>20627</v>
      </c>
      <c r="U9103">
        <v>24258</v>
      </c>
      <c r="V9103" t="s">
        <v>77</v>
      </c>
    </row>
    <row r="9104" spans="1:22">
      <c r="A9104" t="str">
        <f t="shared" si="1721"/>
        <v>06/11/2025</v>
      </c>
      <c r="B9104" t="str">
        <f t="shared" si="1723"/>
        <v>SAÍDA</v>
      </c>
      <c r="C9104" t="str">
        <f t="shared" si="1724"/>
        <v>PIX</v>
      </c>
      <c r="D9104" t="str">
        <f>"24259"</f>
        <v>24259</v>
      </c>
      <c r="E9104" t="str">
        <f t="shared" si="1725"/>
        <v>1</v>
      </c>
      <c r="F9104" t="str">
        <f t="shared" si="1722"/>
        <v>COM</v>
      </c>
      <c r="G9104" t="str">
        <f>"RENATO GEORGE GONÇALVES (191)"</f>
        <v>RENATO GEORGE GONÇALVES (191)</v>
      </c>
      <c r="H9104" t="str">
        <f>"Serv.Prest. 20/10/2025 a 24/10/2025 - PIX: CPF - CHAVE: 012.783.036-77"</f>
        <v>Serv.Prest. 20/10/2025 a 24/10/2025 - PIX: CPF - CHAVE: 012.783.036-77</v>
      </c>
      <c r="I9104" t="str">
        <f t="shared" si="1726"/>
        <v>06/11/2025</v>
      </c>
      <c r="J9104" t="str">
        <f t="shared" si="1728"/>
        <v>24/10/2025</v>
      </c>
      <c r="K9104" t="str">
        <f>("06/11/2025")</f>
        <v>06/11/2025</v>
      </c>
      <c r="L9104">
        <v>810</v>
      </c>
      <c r="M9104">
        <v>810</v>
      </c>
      <c r="N9104">
        <v>109</v>
      </c>
      <c r="O9104" t="str">
        <f>"PAGAMENTO DE ENTREGADORES"</f>
        <v>PAGAMENTO DE ENTREGADORES</v>
      </c>
      <c r="P9104">
        <v>810</v>
      </c>
      <c r="S9104" t="str">
        <f>"BANCO C6 (149)"</f>
        <v>BANCO C6 (149)</v>
      </c>
      <c r="T9104">
        <v>20628</v>
      </c>
      <c r="U9104">
        <v>24259</v>
      </c>
      <c r="V9104" t="s">
        <v>77</v>
      </c>
    </row>
    <row r="9105" spans="1:22">
      <c r="A9105" t="str">
        <f t="shared" si="1721"/>
        <v>06/11/2025</v>
      </c>
      <c r="B9105" t="str">
        <f t="shared" si="1723"/>
        <v>SAÍDA</v>
      </c>
      <c r="C9105" t="str">
        <f t="shared" si="1724"/>
        <v>PIX</v>
      </c>
      <c r="D9105" t="str">
        <f>"24259"</f>
        <v>24259</v>
      </c>
      <c r="E9105" t="str">
        <f t="shared" si="1725"/>
        <v>1</v>
      </c>
      <c r="F9105" t="str">
        <f t="shared" si="1722"/>
        <v>COM</v>
      </c>
      <c r="G9105" t="str">
        <f>"RENATO GEORGE GONÇALVES (191)"</f>
        <v>RENATO GEORGE GONÇALVES (191)</v>
      </c>
      <c r="H9105" t="s">
        <v>2599</v>
      </c>
      <c r="I9105" t="str">
        <f t="shared" si="1726"/>
        <v>06/11/2025</v>
      </c>
      <c r="J9105" t="str">
        <f t="shared" si="1728"/>
        <v>24/10/2025</v>
      </c>
      <c r="K9105">
        <v>45967</v>
      </c>
      <c r="N9105">
        <v>109</v>
      </c>
      <c r="O9105" t="s">
        <v>24</v>
      </c>
      <c r="Q9105">
        <v>810</v>
      </c>
      <c r="R9105" t="str">
        <f>"FARMÁCIA INDIANA LJ 06 (10006)"</f>
        <v>FARMÁCIA INDIANA LJ 06 (10006)</v>
      </c>
      <c r="S9105" t="s">
        <v>77</v>
      </c>
      <c r="T9105">
        <v>20628</v>
      </c>
      <c r="U9105">
        <v>24259</v>
      </c>
      <c r="V9105" t="s">
        <v>77</v>
      </c>
    </row>
    <row r="9106" spans="1:22">
      <c r="A9106" t="str">
        <f t="shared" si="1721"/>
        <v>06/11/2025</v>
      </c>
      <c r="B9106" t="str">
        <f t="shared" si="1723"/>
        <v>SAÍDA</v>
      </c>
      <c r="C9106" t="str">
        <f t="shared" si="1724"/>
        <v>PIX</v>
      </c>
      <c r="D9106" t="str">
        <f>"24260"</f>
        <v>24260</v>
      </c>
      <c r="E9106" t="str">
        <f t="shared" si="1725"/>
        <v>1</v>
      </c>
      <c r="F9106" t="str">
        <f t="shared" si="1722"/>
        <v>COM</v>
      </c>
      <c r="G9106" t="str">
        <f>"RHUAN PEGO RODRIGUES (984)"</f>
        <v>RHUAN PEGO RODRIGUES (984)</v>
      </c>
      <c r="H9106" t="str">
        <f>"Serv.Prest. 20/10/2025 a 24/10/2025 - PIX: E-MAIL - CHAVE: rhupego@gmail.com"</f>
        <v>Serv.Prest. 20/10/2025 a 24/10/2025 - PIX: E-MAIL - CHAVE: rhupego@gmail.com</v>
      </c>
      <c r="I9106" t="str">
        <f t="shared" si="1726"/>
        <v>06/11/2025</v>
      </c>
      <c r="J9106" t="str">
        <f t="shared" si="1728"/>
        <v>24/10/2025</v>
      </c>
      <c r="K9106" t="str">
        <f>("06/11/2025")</f>
        <v>06/11/2025</v>
      </c>
      <c r="L9106">
        <v>288</v>
      </c>
      <c r="M9106">
        <v>288</v>
      </c>
      <c r="N9106">
        <v>109</v>
      </c>
      <c r="O9106" t="str">
        <f>"PAGAMENTO DE ENTREGADORES"</f>
        <v>PAGAMENTO DE ENTREGADORES</v>
      </c>
      <c r="P9106">
        <v>288</v>
      </c>
      <c r="S9106" t="str">
        <f>"BANCO C6 (149)"</f>
        <v>BANCO C6 (149)</v>
      </c>
      <c r="T9106">
        <v>20629</v>
      </c>
      <c r="U9106">
        <v>24260</v>
      </c>
      <c r="V9106" t="s">
        <v>77</v>
      </c>
    </row>
    <row r="9107" spans="1:22">
      <c r="A9107" t="str">
        <f t="shared" si="1721"/>
        <v>06/11/2025</v>
      </c>
      <c r="B9107" t="str">
        <f t="shared" si="1723"/>
        <v>SAÍDA</v>
      </c>
      <c r="C9107" t="str">
        <f t="shared" si="1724"/>
        <v>PIX</v>
      </c>
      <c r="D9107" t="str">
        <f>"24260"</f>
        <v>24260</v>
      </c>
      <c r="E9107" t="str">
        <f t="shared" si="1725"/>
        <v>1</v>
      </c>
      <c r="F9107" t="str">
        <f t="shared" si="1722"/>
        <v>COM</v>
      </c>
      <c r="G9107" t="str">
        <f>"RHUAN PEGO RODRIGUES (984)"</f>
        <v>RHUAN PEGO RODRIGUES (984)</v>
      </c>
      <c r="H9107" t="s">
        <v>2600</v>
      </c>
      <c r="I9107" t="str">
        <f t="shared" si="1726"/>
        <v>06/11/2025</v>
      </c>
      <c r="J9107" t="str">
        <f t="shared" si="1728"/>
        <v>24/10/2025</v>
      </c>
      <c r="K9107">
        <v>45967</v>
      </c>
      <c r="N9107">
        <v>109</v>
      </c>
      <c r="O9107" t="s">
        <v>24</v>
      </c>
      <c r="Q9107">
        <v>288</v>
      </c>
      <c r="R9107" t="str">
        <f>"FARMÁCIA INDIANA LJ 07 (10007)"</f>
        <v>FARMÁCIA INDIANA LJ 07 (10007)</v>
      </c>
      <c r="S9107" t="s">
        <v>77</v>
      </c>
      <c r="T9107">
        <v>20629</v>
      </c>
      <c r="U9107">
        <v>24260</v>
      </c>
      <c r="V9107" t="s">
        <v>77</v>
      </c>
    </row>
    <row r="9108" spans="1:22">
      <c r="A9108" t="str">
        <f t="shared" si="1721"/>
        <v>06/11/2025</v>
      </c>
      <c r="B9108" t="str">
        <f t="shared" si="1723"/>
        <v>SAÍDA</v>
      </c>
      <c r="C9108" t="str">
        <f t="shared" si="1724"/>
        <v>PIX</v>
      </c>
      <c r="D9108" t="str">
        <f>"24262"</f>
        <v>24262</v>
      </c>
      <c r="E9108" t="str">
        <f t="shared" si="1725"/>
        <v>1</v>
      </c>
      <c r="F9108" t="str">
        <f t="shared" si="1722"/>
        <v>COM</v>
      </c>
      <c r="G9108" t="str">
        <f>"ROGÉRIO LAURINDO BORGES (176)"</f>
        <v>ROGÉRIO LAURINDO BORGES (176)</v>
      </c>
      <c r="H9108" t="str">
        <f>"Serv.Prest. 20/10/2025 a 24/10/2025 - PIX: E-MAIL - CHAVE: roger.l.borges04@gmail.com"</f>
        <v>Serv.Prest. 20/10/2025 a 24/10/2025 - PIX: E-MAIL - CHAVE: roger.l.borges04@gmail.com</v>
      </c>
      <c r="I9108" t="str">
        <f t="shared" si="1726"/>
        <v>06/11/2025</v>
      </c>
      <c r="J9108" t="str">
        <f t="shared" si="1728"/>
        <v>24/10/2025</v>
      </c>
      <c r="K9108" t="str">
        <f>("06/11/2025")</f>
        <v>06/11/2025</v>
      </c>
      <c r="L9108">
        <v>690</v>
      </c>
      <c r="M9108">
        <v>690</v>
      </c>
      <c r="N9108">
        <v>109</v>
      </c>
      <c r="O9108" t="str">
        <f>"PAGAMENTO DE ENTREGADORES"</f>
        <v>PAGAMENTO DE ENTREGADORES</v>
      </c>
      <c r="P9108">
        <v>690</v>
      </c>
      <c r="S9108" t="str">
        <f>"BANCO C6 (149)"</f>
        <v>BANCO C6 (149)</v>
      </c>
      <c r="T9108">
        <v>20630</v>
      </c>
      <c r="U9108">
        <v>24262</v>
      </c>
      <c r="V9108" t="s">
        <v>77</v>
      </c>
    </row>
    <row r="9109" spans="1:22">
      <c r="A9109" t="str">
        <f t="shared" si="1721"/>
        <v>06/11/2025</v>
      </c>
      <c r="B9109" t="str">
        <f t="shared" si="1723"/>
        <v>SAÍDA</v>
      </c>
      <c r="C9109" t="str">
        <f t="shared" si="1724"/>
        <v>PIX</v>
      </c>
      <c r="D9109" t="str">
        <f>"24262"</f>
        <v>24262</v>
      </c>
      <c r="E9109" t="str">
        <f t="shared" si="1725"/>
        <v>1</v>
      </c>
      <c r="F9109" t="str">
        <f t="shared" si="1722"/>
        <v>COM</v>
      </c>
      <c r="G9109" t="str">
        <f>"ROGÉRIO LAURINDO BORGES (176)"</f>
        <v>ROGÉRIO LAURINDO BORGES (176)</v>
      </c>
      <c r="H9109" t="s">
        <v>2601</v>
      </c>
      <c r="I9109" t="str">
        <f t="shared" si="1726"/>
        <v>06/11/2025</v>
      </c>
      <c r="J9109" t="str">
        <f t="shared" si="1728"/>
        <v>24/10/2025</v>
      </c>
      <c r="K9109">
        <v>45967</v>
      </c>
      <c r="N9109">
        <v>109</v>
      </c>
      <c r="O9109" t="s">
        <v>24</v>
      </c>
      <c r="Q9109">
        <v>690</v>
      </c>
      <c r="R9109" t="str">
        <f>"FARMÁCIA INDIANA LJ 142 (10066)"</f>
        <v>FARMÁCIA INDIANA LJ 142 (10066)</v>
      </c>
      <c r="S9109" t="s">
        <v>77</v>
      </c>
      <c r="T9109">
        <v>20630</v>
      </c>
      <c r="U9109">
        <v>24262</v>
      </c>
      <c r="V9109" t="s">
        <v>77</v>
      </c>
    </row>
    <row r="9110" spans="1:22">
      <c r="A9110" t="str">
        <f t="shared" si="1721"/>
        <v>06/11/2025</v>
      </c>
      <c r="B9110" t="str">
        <f t="shared" si="1723"/>
        <v>SAÍDA</v>
      </c>
      <c r="C9110" t="str">
        <f t="shared" si="1724"/>
        <v>PIX</v>
      </c>
      <c r="D9110" t="str">
        <f>"24263"</f>
        <v>24263</v>
      </c>
      <c r="E9110" t="str">
        <f t="shared" si="1725"/>
        <v>1</v>
      </c>
      <c r="F9110" t="str">
        <f t="shared" si="1722"/>
        <v>COM</v>
      </c>
      <c r="G9110" t="str">
        <f>"SAMUEL JADSON SANTANA RIBEIRO (55)"</f>
        <v>SAMUEL JADSON SANTANA RIBEIRO (55)</v>
      </c>
      <c r="H9110" t="str">
        <f>"Serv.Prest. 20/10/2025 a 24/10/2025 - PIX: CPF - CHAVE: 701.955.866-62"</f>
        <v>Serv.Prest. 20/10/2025 a 24/10/2025 - PIX: CPF - CHAVE: 701.955.866-62</v>
      </c>
      <c r="I9110" t="str">
        <f t="shared" si="1726"/>
        <v>06/11/2025</v>
      </c>
      <c r="J9110" t="str">
        <f t="shared" si="1728"/>
        <v>24/10/2025</v>
      </c>
      <c r="K9110" t="str">
        <f>("06/11/2025")</f>
        <v>06/11/2025</v>
      </c>
      <c r="L9110">
        <v>384</v>
      </c>
      <c r="M9110">
        <v>384</v>
      </c>
      <c r="N9110">
        <v>109</v>
      </c>
      <c r="O9110" t="str">
        <f>"PAGAMENTO DE ENTREGADORES"</f>
        <v>PAGAMENTO DE ENTREGADORES</v>
      </c>
      <c r="P9110">
        <v>384</v>
      </c>
      <c r="S9110" t="str">
        <f>"BANCO C6 (149)"</f>
        <v>BANCO C6 (149)</v>
      </c>
      <c r="T9110">
        <v>20631</v>
      </c>
      <c r="U9110">
        <v>24263</v>
      </c>
      <c r="V9110" t="s">
        <v>77</v>
      </c>
    </row>
    <row r="9111" spans="1:22">
      <c r="A9111" t="str">
        <f t="shared" si="1721"/>
        <v>06/11/2025</v>
      </c>
      <c r="B9111" t="str">
        <f t="shared" si="1723"/>
        <v>SAÍDA</v>
      </c>
      <c r="C9111" t="str">
        <f t="shared" si="1724"/>
        <v>PIX</v>
      </c>
      <c r="D9111" t="str">
        <f>"24263"</f>
        <v>24263</v>
      </c>
      <c r="E9111" t="str">
        <f t="shared" si="1725"/>
        <v>1</v>
      </c>
      <c r="F9111" t="str">
        <f t="shared" si="1722"/>
        <v>COM</v>
      </c>
      <c r="G9111" t="str">
        <f>"SAMUEL JADSON SANTANA RIBEIRO (55)"</f>
        <v>SAMUEL JADSON SANTANA RIBEIRO (55)</v>
      </c>
      <c r="H9111" t="s">
        <v>2602</v>
      </c>
      <c r="I9111" t="str">
        <f t="shared" si="1726"/>
        <v>06/11/2025</v>
      </c>
      <c r="J9111" t="str">
        <f t="shared" si="1728"/>
        <v>24/10/2025</v>
      </c>
      <c r="K9111">
        <v>45967</v>
      </c>
      <c r="N9111">
        <v>109</v>
      </c>
      <c r="O9111" t="s">
        <v>24</v>
      </c>
      <c r="Q9111">
        <v>384</v>
      </c>
      <c r="R9111" t="str">
        <f>"FARMÁCIA INDIANA LJ 07 (10007)"</f>
        <v>FARMÁCIA INDIANA LJ 07 (10007)</v>
      </c>
      <c r="S9111" t="s">
        <v>77</v>
      </c>
      <c r="T9111">
        <v>20631</v>
      </c>
      <c r="U9111">
        <v>24263</v>
      </c>
      <c r="V9111" t="s">
        <v>77</v>
      </c>
    </row>
    <row r="9112" spans="1:22">
      <c r="A9112" t="str">
        <f t="shared" si="1721"/>
        <v>06/11/2025</v>
      </c>
      <c r="B9112" t="str">
        <f t="shared" si="1723"/>
        <v>SAÍDA</v>
      </c>
      <c r="C9112" t="str">
        <f t="shared" si="1724"/>
        <v>PIX</v>
      </c>
      <c r="D9112" t="str">
        <f>"24264"</f>
        <v>24264</v>
      </c>
      <c r="E9112" t="str">
        <f t="shared" si="1725"/>
        <v>1</v>
      </c>
      <c r="F9112" t="str">
        <f t="shared" si="1722"/>
        <v>COM</v>
      </c>
      <c r="G9112" t="str">
        <f>"SANRIO OLIVEIRA DO CARMO (579)"</f>
        <v>SANRIO OLIVEIRA DO CARMO (579)</v>
      </c>
      <c r="H9112" t="str">
        <f>"Serv.Prest. 20/10/2025 a 24/10/2025 - PIX: CPF - CHAVE: 118.731.976-75"</f>
        <v>Serv.Prest. 20/10/2025 a 24/10/2025 - PIX: CPF - CHAVE: 118.731.976-75</v>
      </c>
      <c r="I9112" t="str">
        <f t="shared" si="1726"/>
        <v>06/11/2025</v>
      </c>
      <c r="J9112" t="str">
        <f t="shared" si="1728"/>
        <v>24/10/2025</v>
      </c>
      <c r="K9112" t="str">
        <f>("06/11/2025")</f>
        <v>06/11/2025</v>
      </c>
      <c r="L9112">
        <v>444</v>
      </c>
      <c r="M9112">
        <v>444</v>
      </c>
      <c r="N9112">
        <v>109</v>
      </c>
      <c r="O9112" t="str">
        <f>"PAGAMENTO DE ENTREGADORES"</f>
        <v>PAGAMENTO DE ENTREGADORES</v>
      </c>
      <c r="P9112">
        <v>444</v>
      </c>
      <c r="S9112" t="str">
        <f>"BANCO C6 (149)"</f>
        <v>BANCO C6 (149)</v>
      </c>
      <c r="T9112">
        <v>20632</v>
      </c>
      <c r="U9112">
        <v>24264</v>
      </c>
      <c r="V9112" t="s">
        <v>77</v>
      </c>
    </row>
    <row r="9113" spans="1:22">
      <c r="A9113" t="str">
        <f t="shared" si="1721"/>
        <v>06/11/2025</v>
      </c>
      <c r="B9113" t="str">
        <f t="shared" si="1723"/>
        <v>SAÍDA</v>
      </c>
      <c r="C9113" t="str">
        <f t="shared" si="1724"/>
        <v>PIX</v>
      </c>
      <c r="D9113" t="str">
        <f>"24264"</f>
        <v>24264</v>
      </c>
      <c r="E9113" t="str">
        <f t="shared" si="1725"/>
        <v>1</v>
      </c>
      <c r="F9113" t="str">
        <f t="shared" si="1722"/>
        <v>COM</v>
      </c>
      <c r="G9113" t="str">
        <f>"SANRIO OLIVEIRA DO CARMO (579)"</f>
        <v>SANRIO OLIVEIRA DO CARMO (579)</v>
      </c>
      <c r="H9113" t="s">
        <v>2603</v>
      </c>
      <c r="I9113" t="str">
        <f t="shared" si="1726"/>
        <v>06/11/2025</v>
      </c>
      <c r="J9113" t="str">
        <f t="shared" si="1728"/>
        <v>24/10/2025</v>
      </c>
      <c r="K9113">
        <v>45967</v>
      </c>
      <c r="N9113">
        <v>109</v>
      </c>
      <c r="O9113" t="s">
        <v>24</v>
      </c>
      <c r="Q9113">
        <v>444</v>
      </c>
      <c r="R9113" t="str">
        <f>"FARMÁCIA INDIANA LJ 152 (10069)"</f>
        <v>FARMÁCIA INDIANA LJ 152 (10069)</v>
      </c>
      <c r="S9113" t="s">
        <v>77</v>
      </c>
      <c r="T9113">
        <v>20632</v>
      </c>
      <c r="U9113">
        <v>24264</v>
      </c>
      <c r="V9113" t="s">
        <v>77</v>
      </c>
    </row>
    <row r="9114" spans="1:22">
      <c r="A9114" t="str">
        <f t="shared" si="1721"/>
        <v>06/11/2025</v>
      </c>
      <c r="B9114" t="str">
        <f t="shared" si="1723"/>
        <v>SAÍDA</v>
      </c>
      <c r="C9114" t="str">
        <f t="shared" si="1724"/>
        <v>PIX</v>
      </c>
      <c r="D9114" t="str">
        <f>"24265"</f>
        <v>24265</v>
      </c>
      <c r="E9114" t="str">
        <f t="shared" si="1725"/>
        <v>1</v>
      </c>
      <c r="F9114" t="str">
        <f t="shared" si="1722"/>
        <v>COM</v>
      </c>
      <c r="G9114" t="str">
        <f>"SEDNEY GOMES SOARES (87)"</f>
        <v>SEDNEY GOMES SOARES (87)</v>
      </c>
      <c r="H9114" t="str">
        <f>"Serv.Prest. 20/10/2025 a 24/10/2025 - PIX: CPF - CHAVE: 048.151.276-46"</f>
        <v>Serv.Prest. 20/10/2025 a 24/10/2025 - PIX: CPF - CHAVE: 048.151.276-46</v>
      </c>
      <c r="I9114" t="str">
        <f t="shared" si="1726"/>
        <v>06/11/2025</v>
      </c>
      <c r="J9114" t="str">
        <f t="shared" si="1728"/>
        <v>24/10/2025</v>
      </c>
      <c r="K9114" t="str">
        <f>("06/11/2025")</f>
        <v>06/11/2025</v>
      </c>
      <c r="L9114">
        <v>750</v>
      </c>
      <c r="M9114">
        <v>750</v>
      </c>
      <c r="N9114">
        <v>109</v>
      </c>
      <c r="O9114" t="str">
        <f>"PAGAMENTO DE ENTREGADORES"</f>
        <v>PAGAMENTO DE ENTREGADORES</v>
      </c>
      <c r="P9114">
        <v>750</v>
      </c>
      <c r="S9114" t="str">
        <f>"BANCO C6 (149)"</f>
        <v>BANCO C6 (149)</v>
      </c>
      <c r="T9114">
        <v>20633</v>
      </c>
      <c r="U9114">
        <v>24265</v>
      </c>
      <c r="V9114" t="s">
        <v>77</v>
      </c>
    </row>
    <row r="9115" spans="1:22">
      <c r="A9115" t="str">
        <f t="shared" si="1721"/>
        <v>06/11/2025</v>
      </c>
      <c r="B9115" t="str">
        <f t="shared" si="1723"/>
        <v>SAÍDA</v>
      </c>
      <c r="C9115" t="str">
        <f t="shared" si="1724"/>
        <v>PIX</v>
      </c>
      <c r="D9115" t="str">
        <f>"24265"</f>
        <v>24265</v>
      </c>
      <c r="E9115" t="str">
        <f t="shared" si="1725"/>
        <v>1</v>
      </c>
      <c r="F9115" t="str">
        <f t="shared" si="1722"/>
        <v>COM</v>
      </c>
      <c r="G9115" t="str">
        <f>"SEDNEY GOMES SOARES (87)"</f>
        <v>SEDNEY GOMES SOARES (87)</v>
      </c>
      <c r="H9115" t="s">
        <v>2604</v>
      </c>
      <c r="I9115" t="str">
        <f t="shared" si="1726"/>
        <v>06/11/2025</v>
      </c>
      <c r="J9115" t="str">
        <f t="shared" si="1728"/>
        <v>24/10/2025</v>
      </c>
      <c r="K9115">
        <v>45967</v>
      </c>
      <c r="N9115">
        <v>109</v>
      </c>
      <c r="O9115" t="s">
        <v>24</v>
      </c>
      <c r="Q9115">
        <v>193.57</v>
      </c>
      <c r="R9115" t="str">
        <f>"FARMÁCIA INDIANA LJ 97 (10040)"</f>
        <v>FARMÁCIA INDIANA LJ 97 (10040)</v>
      </c>
      <c r="S9115" t="s">
        <v>77</v>
      </c>
      <c r="T9115">
        <v>20633</v>
      </c>
      <c r="U9115">
        <v>24265</v>
      </c>
      <c r="V9115" t="s">
        <v>77</v>
      </c>
    </row>
    <row r="9116" spans="1:22">
      <c r="A9116" t="str">
        <f t="shared" si="1721"/>
        <v>06/11/2025</v>
      </c>
      <c r="B9116" t="str">
        <f t="shared" si="1723"/>
        <v>SAÍDA</v>
      </c>
      <c r="C9116" t="str">
        <f t="shared" si="1724"/>
        <v>PIX</v>
      </c>
      <c r="D9116" t="str">
        <f>"24265"</f>
        <v>24265</v>
      </c>
      <c r="E9116" t="str">
        <f t="shared" si="1725"/>
        <v>1</v>
      </c>
      <c r="F9116" t="str">
        <f t="shared" si="1722"/>
        <v>COM</v>
      </c>
      <c r="G9116" t="str">
        <f>"SEDNEY GOMES SOARES (87)"</f>
        <v>SEDNEY GOMES SOARES (87)</v>
      </c>
      <c r="H9116" t="s">
        <v>2604</v>
      </c>
      <c r="I9116" t="str">
        <f t="shared" si="1726"/>
        <v>06/11/2025</v>
      </c>
      <c r="J9116" t="str">
        <f t="shared" si="1728"/>
        <v>24/10/2025</v>
      </c>
      <c r="K9116">
        <v>45967</v>
      </c>
      <c r="N9116">
        <v>109</v>
      </c>
      <c r="O9116" t="s">
        <v>24</v>
      </c>
      <c r="Q9116">
        <v>217.73</v>
      </c>
      <c r="R9116" t="str">
        <f>"FARMÁCIA INDIANA LJ 111 (10049)"</f>
        <v>FARMÁCIA INDIANA LJ 111 (10049)</v>
      </c>
      <c r="S9116" t="s">
        <v>77</v>
      </c>
      <c r="T9116">
        <v>20633</v>
      </c>
      <c r="U9116">
        <v>24265</v>
      </c>
      <c r="V9116" t="s">
        <v>77</v>
      </c>
    </row>
    <row r="9117" spans="1:22">
      <c r="A9117" t="str">
        <f t="shared" si="1721"/>
        <v>06/11/2025</v>
      </c>
      <c r="B9117" t="str">
        <f t="shared" si="1723"/>
        <v>SAÍDA</v>
      </c>
      <c r="C9117" t="str">
        <f t="shared" si="1724"/>
        <v>PIX</v>
      </c>
      <c r="D9117" t="str">
        <f>"24265"</f>
        <v>24265</v>
      </c>
      <c r="E9117" t="str">
        <f t="shared" si="1725"/>
        <v>1</v>
      </c>
      <c r="F9117" t="str">
        <f t="shared" si="1722"/>
        <v>COM</v>
      </c>
      <c r="G9117" t="str">
        <f>"SEDNEY GOMES SOARES (87)"</f>
        <v>SEDNEY GOMES SOARES (87)</v>
      </c>
      <c r="H9117" t="s">
        <v>2604</v>
      </c>
      <c r="I9117" t="str">
        <f t="shared" si="1726"/>
        <v>06/11/2025</v>
      </c>
      <c r="J9117" t="str">
        <f t="shared" si="1728"/>
        <v>24/10/2025</v>
      </c>
      <c r="K9117">
        <v>45967</v>
      </c>
      <c r="N9117">
        <v>109</v>
      </c>
      <c r="O9117" t="s">
        <v>24</v>
      </c>
      <c r="Q9117">
        <v>338.7</v>
      </c>
      <c r="R9117" t="str">
        <f>"FARMÁCIA INDIANA LJ 143 (10067)"</f>
        <v>FARMÁCIA INDIANA LJ 143 (10067)</v>
      </c>
      <c r="S9117" t="s">
        <v>77</v>
      </c>
      <c r="T9117">
        <v>20633</v>
      </c>
      <c r="U9117">
        <v>24265</v>
      </c>
      <c r="V9117" t="s">
        <v>77</v>
      </c>
    </row>
    <row r="9118" spans="1:22">
      <c r="A9118" t="str">
        <f t="shared" ref="A9118:A9181" si="1729">("06/11/2025")</f>
        <v>06/11/2025</v>
      </c>
      <c r="B9118" t="str">
        <f t="shared" si="1723"/>
        <v>SAÍDA</v>
      </c>
      <c r="C9118" t="str">
        <f t="shared" si="1724"/>
        <v>PIX</v>
      </c>
      <c r="D9118" t="str">
        <f>"24266"</f>
        <v>24266</v>
      </c>
      <c r="E9118" t="str">
        <f t="shared" si="1725"/>
        <v>1</v>
      </c>
      <c r="F9118" t="str">
        <f t="shared" ref="F9118:F9181" si="1730">"COM"</f>
        <v>COM</v>
      </c>
      <c r="G9118" t="str">
        <f>"SILAS ALVES DE FREITAS (35)"</f>
        <v>SILAS ALVES DE FREITAS (35)</v>
      </c>
      <c r="H9118" t="str">
        <f>"Serv.Prest. 20/10/2025 a 24/10/2025 - PIX: CPF - CHAVE: 097.855.786-74"</f>
        <v>Serv.Prest. 20/10/2025 a 24/10/2025 - PIX: CPF - CHAVE: 097.855.786-74</v>
      </c>
      <c r="I9118" t="str">
        <f t="shared" si="1726"/>
        <v>06/11/2025</v>
      </c>
      <c r="J9118" t="str">
        <f t="shared" si="1728"/>
        <v>24/10/2025</v>
      </c>
      <c r="K9118" t="str">
        <f>("06/11/2025")</f>
        <v>06/11/2025</v>
      </c>
      <c r="L9118">
        <v>1170</v>
      </c>
      <c r="M9118">
        <v>1170</v>
      </c>
      <c r="N9118">
        <v>109</v>
      </c>
      <c r="O9118" t="str">
        <f>"PAGAMENTO DE ENTREGADORES"</f>
        <v>PAGAMENTO DE ENTREGADORES</v>
      </c>
      <c r="P9118">
        <v>1170</v>
      </c>
      <c r="S9118" t="str">
        <f>"BANCO C6 (149)"</f>
        <v>BANCO C6 (149)</v>
      </c>
      <c r="T9118">
        <v>20634</v>
      </c>
      <c r="U9118">
        <v>24266</v>
      </c>
      <c r="V9118" t="s">
        <v>77</v>
      </c>
    </row>
    <row r="9119" spans="1:22">
      <c r="A9119" t="str">
        <f t="shared" si="1729"/>
        <v>06/11/2025</v>
      </c>
      <c r="B9119" t="str">
        <f t="shared" si="1723"/>
        <v>SAÍDA</v>
      </c>
      <c r="C9119" t="str">
        <f t="shared" si="1724"/>
        <v>PIX</v>
      </c>
      <c r="D9119" t="str">
        <f>"24266"</f>
        <v>24266</v>
      </c>
      <c r="E9119" t="str">
        <f t="shared" si="1725"/>
        <v>1</v>
      </c>
      <c r="F9119" t="str">
        <f t="shared" si="1730"/>
        <v>COM</v>
      </c>
      <c r="G9119" t="str">
        <f>"SILAS ALVES DE FREITAS (35)"</f>
        <v>SILAS ALVES DE FREITAS (35)</v>
      </c>
      <c r="H9119" t="s">
        <v>2605</v>
      </c>
      <c r="I9119" t="str">
        <f t="shared" si="1726"/>
        <v>06/11/2025</v>
      </c>
      <c r="J9119" t="str">
        <f t="shared" si="1728"/>
        <v>24/10/2025</v>
      </c>
      <c r="K9119">
        <v>45967</v>
      </c>
      <c r="N9119">
        <v>109</v>
      </c>
      <c r="O9119" t="s">
        <v>24</v>
      </c>
      <c r="Q9119">
        <v>1170</v>
      </c>
      <c r="R9119" t="str">
        <f>"FARMÁCIA INDIANA LJ 172 (10161)"</f>
        <v>FARMÁCIA INDIANA LJ 172 (10161)</v>
      </c>
      <c r="S9119" t="s">
        <v>77</v>
      </c>
      <c r="T9119">
        <v>20634</v>
      </c>
      <c r="U9119">
        <v>24266</v>
      </c>
      <c r="V9119" t="s">
        <v>77</v>
      </c>
    </row>
    <row r="9120" spans="1:22">
      <c r="A9120" t="str">
        <f t="shared" si="1729"/>
        <v>06/11/2025</v>
      </c>
      <c r="B9120" t="str">
        <f t="shared" si="1723"/>
        <v>SAÍDA</v>
      </c>
      <c r="C9120" t="str">
        <f t="shared" si="1724"/>
        <v>PIX</v>
      </c>
      <c r="D9120" t="str">
        <f>"24267"</f>
        <v>24267</v>
      </c>
      <c r="E9120" t="str">
        <f t="shared" si="1725"/>
        <v>1</v>
      </c>
      <c r="F9120" t="str">
        <f t="shared" si="1730"/>
        <v>COM</v>
      </c>
      <c r="G9120" t="str">
        <f>"TAYSON BARBOSA SILVINO (613)"</f>
        <v>TAYSON BARBOSA SILVINO (613)</v>
      </c>
      <c r="H9120" t="str">
        <f>"Serv.Prest. 20/10/2025 a 24/10/2025 - PIX: CHAVE ALEATÓRIA - CHAVE: 1550e869-c9d7-4436-be93-6858fd0cb900"</f>
        <v>Serv.Prest. 20/10/2025 a 24/10/2025 - PIX: CHAVE ALEATÓRIA - CHAVE: 1550e869-c9d7-4436-be93-6858fd0cb900</v>
      </c>
      <c r="I9120" t="str">
        <f t="shared" si="1726"/>
        <v>06/11/2025</v>
      </c>
      <c r="J9120" t="str">
        <f t="shared" si="1728"/>
        <v>24/10/2025</v>
      </c>
      <c r="K9120" t="str">
        <f>("06/11/2025")</f>
        <v>06/11/2025</v>
      </c>
      <c r="L9120">
        <v>516</v>
      </c>
      <c r="M9120">
        <v>516</v>
      </c>
      <c r="N9120">
        <v>109</v>
      </c>
      <c r="O9120" t="str">
        <f>"PAGAMENTO DE ENTREGADORES"</f>
        <v>PAGAMENTO DE ENTREGADORES</v>
      </c>
      <c r="P9120">
        <v>516</v>
      </c>
      <c r="S9120" t="str">
        <f>"BANCO C6 (149)"</f>
        <v>BANCO C6 (149)</v>
      </c>
      <c r="T9120">
        <v>20635</v>
      </c>
      <c r="U9120">
        <v>24267</v>
      </c>
      <c r="V9120" t="s">
        <v>77</v>
      </c>
    </row>
    <row r="9121" spans="1:22">
      <c r="A9121" t="str">
        <f t="shared" si="1729"/>
        <v>06/11/2025</v>
      </c>
      <c r="B9121" t="str">
        <f t="shared" ref="B9121:B9184" si="1731">"SAÍDA"</f>
        <v>SAÍDA</v>
      </c>
      <c r="C9121" t="str">
        <f t="shared" ref="C9121:C9184" si="1732">"PIX"</f>
        <v>PIX</v>
      </c>
      <c r="D9121" t="str">
        <f>"24267"</f>
        <v>24267</v>
      </c>
      <c r="E9121" t="str">
        <f t="shared" ref="E9121:E9184" si="1733">"1"</f>
        <v>1</v>
      </c>
      <c r="F9121" t="str">
        <f t="shared" si="1730"/>
        <v>COM</v>
      </c>
      <c r="G9121" t="str">
        <f>"TAYSON BARBOSA SILVINO (613)"</f>
        <v>TAYSON BARBOSA SILVINO (613)</v>
      </c>
      <c r="H9121" t="s">
        <v>2606</v>
      </c>
      <c r="I9121" t="str">
        <f t="shared" si="1726"/>
        <v>06/11/2025</v>
      </c>
      <c r="J9121" t="str">
        <f t="shared" si="1728"/>
        <v>24/10/2025</v>
      </c>
      <c r="K9121">
        <v>45967</v>
      </c>
      <c r="N9121">
        <v>109</v>
      </c>
      <c r="O9121" t="s">
        <v>24</v>
      </c>
      <c r="Q9121">
        <v>516</v>
      </c>
      <c r="R9121" t="str">
        <f>"FARMÁCIA INDIANA LJ 19 (10012)"</f>
        <v>FARMÁCIA INDIANA LJ 19 (10012)</v>
      </c>
      <c r="S9121" t="s">
        <v>77</v>
      </c>
      <c r="T9121">
        <v>20635</v>
      </c>
      <c r="U9121">
        <v>24267</v>
      </c>
      <c r="V9121" t="s">
        <v>77</v>
      </c>
    </row>
    <row r="9122" spans="1:22">
      <c r="A9122" t="str">
        <f t="shared" si="1729"/>
        <v>06/11/2025</v>
      </c>
      <c r="B9122" t="str">
        <f t="shared" si="1731"/>
        <v>SAÍDA</v>
      </c>
      <c r="C9122" t="str">
        <f t="shared" si="1732"/>
        <v>PIX</v>
      </c>
      <c r="D9122" t="str">
        <f>"24268"</f>
        <v>24268</v>
      </c>
      <c r="E9122" t="str">
        <f t="shared" si="1733"/>
        <v>1</v>
      </c>
      <c r="F9122" t="str">
        <f t="shared" si="1730"/>
        <v>COM</v>
      </c>
      <c r="G9122" t="str">
        <f>"THALES VIANA DOS SANTOS (63)"</f>
        <v>THALES VIANA DOS SANTOS (63)</v>
      </c>
      <c r="H9122" t="str">
        <f>"Serv.Prest. 20/10/2025 a 24/10/2025 - PIX: CELULAR - CHAVE: (33) 99880-7941"</f>
        <v>Serv.Prest. 20/10/2025 a 24/10/2025 - PIX: CELULAR - CHAVE: (33) 99880-7941</v>
      </c>
      <c r="I9122" t="str">
        <f t="shared" si="1726"/>
        <v>06/11/2025</v>
      </c>
      <c r="J9122" t="str">
        <f t="shared" si="1728"/>
        <v>24/10/2025</v>
      </c>
      <c r="K9122" t="str">
        <f>("06/11/2025")</f>
        <v>06/11/2025</v>
      </c>
      <c r="L9122">
        <v>810</v>
      </c>
      <c r="M9122">
        <v>810</v>
      </c>
      <c r="N9122">
        <v>109</v>
      </c>
      <c r="O9122" t="str">
        <f>"PAGAMENTO DE ENTREGADORES"</f>
        <v>PAGAMENTO DE ENTREGADORES</v>
      </c>
      <c r="P9122">
        <v>810</v>
      </c>
      <c r="S9122" t="str">
        <f>"BANCO C6 (149)"</f>
        <v>BANCO C6 (149)</v>
      </c>
      <c r="T9122">
        <v>20636</v>
      </c>
      <c r="U9122">
        <v>24268</v>
      </c>
      <c r="V9122" t="s">
        <v>77</v>
      </c>
    </row>
    <row r="9123" spans="1:22">
      <c r="A9123" t="str">
        <f t="shared" si="1729"/>
        <v>06/11/2025</v>
      </c>
      <c r="B9123" t="str">
        <f t="shared" si="1731"/>
        <v>SAÍDA</v>
      </c>
      <c r="C9123" t="str">
        <f t="shared" si="1732"/>
        <v>PIX</v>
      </c>
      <c r="D9123" t="str">
        <f>"24268"</f>
        <v>24268</v>
      </c>
      <c r="E9123" t="str">
        <f t="shared" si="1733"/>
        <v>1</v>
      </c>
      <c r="F9123" t="str">
        <f t="shared" si="1730"/>
        <v>COM</v>
      </c>
      <c r="G9123" t="str">
        <f>"THALES VIANA DOS SANTOS (63)"</f>
        <v>THALES VIANA DOS SANTOS (63)</v>
      </c>
      <c r="H9123" t="s">
        <v>2607</v>
      </c>
      <c r="I9123" t="str">
        <f t="shared" ref="I9123:I9186" si="1734">("06/11/2025")</f>
        <v>06/11/2025</v>
      </c>
      <c r="J9123" t="str">
        <f t="shared" si="1728"/>
        <v>24/10/2025</v>
      </c>
      <c r="K9123">
        <v>45967</v>
      </c>
      <c r="N9123">
        <v>109</v>
      </c>
      <c r="O9123" t="s">
        <v>24</v>
      </c>
      <c r="Q9123">
        <v>810</v>
      </c>
      <c r="R9123" t="str">
        <f>"FARMÁCIA INDIANA LJ 07 (10007)"</f>
        <v>FARMÁCIA INDIANA LJ 07 (10007)</v>
      </c>
      <c r="S9123" t="s">
        <v>77</v>
      </c>
      <c r="T9123">
        <v>20636</v>
      </c>
      <c r="U9123">
        <v>24268</v>
      </c>
      <c r="V9123" t="s">
        <v>77</v>
      </c>
    </row>
    <row r="9124" spans="1:22">
      <c r="A9124" t="str">
        <f t="shared" si="1729"/>
        <v>06/11/2025</v>
      </c>
      <c r="B9124" t="str">
        <f t="shared" si="1731"/>
        <v>SAÍDA</v>
      </c>
      <c r="C9124" t="str">
        <f t="shared" si="1732"/>
        <v>PIX</v>
      </c>
      <c r="D9124" t="str">
        <f>"24269"</f>
        <v>24269</v>
      </c>
      <c r="E9124" t="str">
        <f t="shared" si="1733"/>
        <v>1</v>
      </c>
      <c r="F9124" t="str">
        <f t="shared" si="1730"/>
        <v>COM</v>
      </c>
      <c r="G9124" t="str">
        <f>"VICTOR RILLEY CRUZ MESQUITA (1005)"</f>
        <v>VICTOR RILLEY CRUZ MESQUITA (1005)</v>
      </c>
      <c r="H9124" t="str">
        <f>"Serv.Prest. 20/10/2025 a 24/10/2025 - PIX: CELULAR - CHAVE: (33) 99874-5128"</f>
        <v>Serv.Prest. 20/10/2025 a 24/10/2025 - PIX: CELULAR - CHAVE: (33) 99874-5128</v>
      </c>
      <c r="I9124" t="str">
        <f t="shared" si="1734"/>
        <v>06/11/2025</v>
      </c>
      <c r="J9124" t="str">
        <f t="shared" si="1728"/>
        <v>24/10/2025</v>
      </c>
      <c r="K9124" t="str">
        <f>("06/11/2025")</f>
        <v>06/11/2025</v>
      </c>
      <c r="L9124">
        <v>252</v>
      </c>
      <c r="M9124">
        <v>252</v>
      </c>
      <c r="N9124">
        <v>109</v>
      </c>
      <c r="O9124" t="str">
        <f>"PAGAMENTO DE ENTREGADORES"</f>
        <v>PAGAMENTO DE ENTREGADORES</v>
      </c>
      <c r="P9124">
        <v>252</v>
      </c>
      <c r="S9124" t="str">
        <f>"BANCO C6 (149)"</f>
        <v>BANCO C6 (149)</v>
      </c>
      <c r="T9124">
        <v>20637</v>
      </c>
      <c r="U9124">
        <v>24269</v>
      </c>
      <c r="V9124" t="s">
        <v>77</v>
      </c>
    </row>
    <row r="9125" spans="1:22">
      <c r="A9125" t="str">
        <f t="shared" si="1729"/>
        <v>06/11/2025</v>
      </c>
      <c r="B9125" t="str">
        <f t="shared" si="1731"/>
        <v>SAÍDA</v>
      </c>
      <c r="C9125" t="str">
        <f t="shared" si="1732"/>
        <v>PIX</v>
      </c>
      <c r="D9125" t="str">
        <f>"24269"</f>
        <v>24269</v>
      </c>
      <c r="E9125" t="str">
        <f t="shared" si="1733"/>
        <v>1</v>
      </c>
      <c r="F9125" t="str">
        <f t="shared" si="1730"/>
        <v>COM</v>
      </c>
      <c r="G9125" t="str">
        <f>"VICTOR RILLEY CRUZ MESQUITA (1005)"</f>
        <v>VICTOR RILLEY CRUZ MESQUITA (1005)</v>
      </c>
      <c r="H9125" t="s">
        <v>2608</v>
      </c>
      <c r="I9125" t="str">
        <f t="shared" si="1734"/>
        <v>06/11/2025</v>
      </c>
      <c r="J9125" t="str">
        <f t="shared" si="1728"/>
        <v>24/10/2025</v>
      </c>
      <c r="K9125">
        <v>45967</v>
      </c>
      <c r="N9125">
        <v>109</v>
      </c>
      <c r="O9125" t="s">
        <v>24</v>
      </c>
      <c r="Q9125">
        <v>252</v>
      </c>
      <c r="R9125" t="str">
        <f>"FARMÁCIA INDIANA LJ 07 (10007)"</f>
        <v>FARMÁCIA INDIANA LJ 07 (10007)</v>
      </c>
      <c r="S9125" t="s">
        <v>77</v>
      </c>
      <c r="T9125">
        <v>20637</v>
      </c>
      <c r="U9125">
        <v>24269</v>
      </c>
      <c r="V9125" t="s">
        <v>77</v>
      </c>
    </row>
    <row r="9126" spans="1:22">
      <c r="A9126" t="str">
        <f t="shared" si="1729"/>
        <v>06/11/2025</v>
      </c>
      <c r="B9126" t="str">
        <f t="shared" si="1731"/>
        <v>SAÍDA</v>
      </c>
      <c r="C9126" t="str">
        <f t="shared" si="1732"/>
        <v>PIX</v>
      </c>
      <c r="D9126" t="str">
        <f>"24270"</f>
        <v>24270</v>
      </c>
      <c r="E9126" t="str">
        <f t="shared" si="1733"/>
        <v>1</v>
      </c>
      <c r="F9126" t="str">
        <f t="shared" si="1730"/>
        <v>COM</v>
      </c>
      <c r="G9126" t="str">
        <f>"VINICIUS DE SOUZA ISABEL (658)"</f>
        <v>VINICIUS DE SOUZA ISABEL (658)</v>
      </c>
      <c r="H9126" t="str">
        <f>"Serv.Prest. 20/10/2025 a 24/10/2025 - PIX: CPF - CHAVE: 092.566.416-23"</f>
        <v>Serv.Prest. 20/10/2025 a 24/10/2025 - PIX: CPF - CHAVE: 092.566.416-23</v>
      </c>
      <c r="I9126" t="str">
        <f t="shared" si="1734"/>
        <v>06/11/2025</v>
      </c>
      <c r="J9126" t="str">
        <f t="shared" ref="J9126:J9157" si="1735">("24/10/2025")</f>
        <v>24/10/2025</v>
      </c>
      <c r="K9126" t="str">
        <f>("06/11/2025")</f>
        <v>06/11/2025</v>
      </c>
      <c r="L9126">
        <v>700</v>
      </c>
      <c r="M9126">
        <v>700</v>
      </c>
      <c r="N9126">
        <v>109</v>
      </c>
      <c r="O9126" t="str">
        <f>"PAGAMENTO DE ENTREGADORES"</f>
        <v>PAGAMENTO DE ENTREGADORES</v>
      </c>
      <c r="P9126">
        <v>700</v>
      </c>
      <c r="S9126" t="str">
        <f>"BANCO C6 (149)"</f>
        <v>BANCO C6 (149)</v>
      </c>
      <c r="T9126">
        <v>20638</v>
      </c>
      <c r="U9126">
        <v>24270</v>
      </c>
      <c r="V9126" t="s">
        <v>77</v>
      </c>
    </row>
    <row r="9127" spans="1:22">
      <c r="A9127" t="str">
        <f t="shared" si="1729"/>
        <v>06/11/2025</v>
      </c>
      <c r="B9127" t="str">
        <f t="shared" si="1731"/>
        <v>SAÍDA</v>
      </c>
      <c r="C9127" t="str">
        <f t="shared" si="1732"/>
        <v>PIX</v>
      </c>
      <c r="D9127" t="str">
        <f>"24270"</f>
        <v>24270</v>
      </c>
      <c r="E9127" t="str">
        <f t="shared" si="1733"/>
        <v>1</v>
      </c>
      <c r="F9127" t="str">
        <f t="shared" si="1730"/>
        <v>COM</v>
      </c>
      <c r="G9127" t="str">
        <f>"VINICIUS DE SOUZA ISABEL (658)"</f>
        <v>VINICIUS DE SOUZA ISABEL (658)</v>
      </c>
      <c r="H9127" t="s">
        <v>2609</v>
      </c>
      <c r="I9127" t="str">
        <f t="shared" si="1734"/>
        <v>06/11/2025</v>
      </c>
      <c r="J9127" t="str">
        <f t="shared" si="1735"/>
        <v>24/10/2025</v>
      </c>
      <c r="K9127">
        <v>45967</v>
      </c>
      <c r="N9127">
        <v>109</v>
      </c>
      <c r="O9127" t="s">
        <v>24</v>
      </c>
      <c r="Q9127">
        <v>700</v>
      </c>
      <c r="R9127" t="str">
        <f>"FARMÁCIA INDIANA LJ 219 (10091)"</f>
        <v>FARMÁCIA INDIANA LJ 219 (10091)</v>
      </c>
      <c r="S9127" t="s">
        <v>77</v>
      </c>
      <c r="T9127">
        <v>20638</v>
      </c>
      <c r="U9127">
        <v>24270</v>
      </c>
      <c r="V9127" t="s">
        <v>77</v>
      </c>
    </row>
    <row r="9128" spans="1:22">
      <c r="A9128" t="str">
        <f t="shared" si="1729"/>
        <v>06/11/2025</v>
      </c>
      <c r="B9128" t="str">
        <f t="shared" si="1731"/>
        <v>SAÍDA</v>
      </c>
      <c r="C9128" t="str">
        <f t="shared" si="1732"/>
        <v>PIX</v>
      </c>
      <c r="D9128" t="str">
        <f>"24271"</f>
        <v>24271</v>
      </c>
      <c r="E9128" t="str">
        <f t="shared" si="1733"/>
        <v>1</v>
      </c>
      <c r="F9128" t="str">
        <f t="shared" si="1730"/>
        <v>COM</v>
      </c>
      <c r="G9128" t="str">
        <f>"VITOR CARDOSO FAUSTINO (257)"</f>
        <v>VITOR CARDOSO FAUSTINO (257)</v>
      </c>
      <c r="H9128" t="str">
        <f>"Serv.Prest. 20/10/2025 a 24/10/2025 - PIX: CPF - CHAVE: 157.874.046-02"</f>
        <v>Serv.Prest. 20/10/2025 a 24/10/2025 - PIX: CPF - CHAVE: 157.874.046-02</v>
      </c>
      <c r="I9128" t="str">
        <f t="shared" si="1734"/>
        <v>06/11/2025</v>
      </c>
      <c r="J9128" t="str">
        <f t="shared" si="1735"/>
        <v>24/10/2025</v>
      </c>
      <c r="K9128" t="str">
        <f>("06/11/2025")</f>
        <v>06/11/2025</v>
      </c>
      <c r="L9128">
        <v>396</v>
      </c>
      <c r="M9128">
        <v>396</v>
      </c>
      <c r="N9128">
        <v>109</v>
      </c>
      <c r="O9128" t="str">
        <f>"PAGAMENTO DE ENTREGADORES"</f>
        <v>PAGAMENTO DE ENTREGADORES</v>
      </c>
      <c r="P9128">
        <v>396</v>
      </c>
      <c r="S9128" t="str">
        <f>"BANCO C6 (149)"</f>
        <v>BANCO C6 (149)</v>
      </c>
      <c r="T9128">
        <v>20639</v>
      </c>
      <c r="U9128">
        <v>24271</v>
      </c>
      <c r="V9128" t="s">
        <v>77</v>
      </c>
    </row>
    <row r="9129" spans="1:22">
      <c r="A9129" t="str">
        <f t="shared" si="1729"/>
        <v>06/11/2025</v>
      </c>
      <c r="B9129" t="str">
        <f t="shared" si="1731"/>
        <v>SAÍDA</v>
      </c>
      <c r="C9129" t="str">
        <f t="shared" si="1732"/>
        <v>PIX</v>
      </c>
      <c r="D9129" t="str">
        <f>"24271"</f>
        <v>24271</v>
      </c>
      <c r="E9129" t="str">
        <f t="shared" si="1733"/>
        <v>1</v>
      </c>
      <c r="F9129" t="str">
        <f t="shared" si="1730"/>
        <v>COM</v>
      </c>
      <c r="G9129" t="str">
        <f>"VITOR CARDOSO FAUSTINO (257)"</f>
        <v>VITOR CARDOSO FAUSTINO (257)</v>
      </c>
      <c r="H9129" t="s">
        <v>2610</v>
      </c>
      <c r="I9129" t="str">
        <f t="shared" si="1734"/>
        <v>06/11/2025</v>
      </c>
      <c r="J9129" t="str">
        <f t="shared" si="1735"/>
        <v>24/10/2025</v>
      </c>
      <c r="K9129">
        <v>45967</v>
      </c>
      <c r="N9129">
        <v>109</v>
      </c>
      <c r="O9129" t="s">
        <v>24</v>
      </c>
      <c r="Q9129">
        <v>396</v>
      </c>
      <c r="R9129" t="str">
        <f>"FARMÁCIA INDIANA LJ 07 (10007)"</f>
        <v>FARMÁCIA INDIANA LJ 07 (10007)</v>
      </c>
      <c r="S9129" t="s">
        <v>77</v>
      </c>
      <c r="T9129">
        <v>20639</v>
      </c>
      <c r="U9129">
        <v>24271</v>
      </c>
      <c r="V9129" t="s">
        <v>77</v>
      </c>
    </row>
    <row r="9130" spans="1:22">
      <c r="A9130" t="str">
        <f t="shared" si="1729"/>
        <v>06/11/2025</v>
      </c>
      <c r="B9130" t="str">
        <f t="shared" si="1731"/>
        <v>SAÍDA</v>
      </c>
      <c r="C9130" t="str">
        <f t="shared" si="1732"/>
        <v>PIX</v>
      </c>
      <c r="D9130" t="str">
        <f>"24272"</f>
        <v>24272</v>
      </c>
      <c r="E9130" t="str">
        <f t="shared" si="1733"/>
        <v>1</v>
      </c>
      <c r="F9130" t="str">
        <f t="shared" si="1730"/>
        <v>COM</v>
      </c>
      <c r="G9130" t="str">
        <f>"VITOR DE SOUZA SILVA (360)"</f>
        <v>VITOR DE SOUZA SILVA (360)</v>
      </c>
      <c r="H9130" t="str">
        <f>"Serv.Prest. 20/10/2025 a 24/10/2025 - PIX: CPF - CHAVE: 130.194.566-81"</f>
        <v>Serv.Prest. 20/10/2025 a 24/10/2025 - PIX: CPF - CHAVE: 130.194.566-81</v>
      </c>
      <c r="I9130" t="str">
        <f t="shared" si="1734"/>
        <v>06/11/2025</v>
      </c>
      <c r="J9130" t="str">
        <f t="shared" si="1735"/>
        <v>24/10/2025</v>
      </c>
      <c r="K9130" t="str">
        <f>("06/11/2025")</f>
        <v>06/11/2025</v>
      </c>
      <c r="L9130">
        <v>500.8</v>
      </c>
      <c r="M9130">
        <v>500.8</v>
      </c>
      <c r="N9130">
        <v>109</v>
      </c>
      <c r="O9130" t="str">
        <f>"PAGAMENTO DE ENTREGADORES"</f>
        <v>PAGAMENTO DE ENTREGADORES</v>
      </c>
      <c r="P9130">
        <v>500.8</v>
      </c>
      <c r="S9130" t="str">
        <f>"BANCO C6 (149)"</f>
        <v>BANCO C6 (149)</v>
      </c>
      <c r="T9130">
        <v>20640</v>
      </c>
      <c r="U9130">
        <v>24272</v>
      </c>
      <c r="V9130" t="s">
        <v>77</v>
      </c>
    </row>
    <row r="9131" spans="1:22">
      <c r="A9131" t="str">
        <f t="shared" si="1729"/>
        <v>06/11/2025</v>
      </c>
      <c r="B9131" t="str">
        <f t="shared" si="1731"/>
        <v>SAÍDA</v>
      </c>
      <c r="C9131" t="str">
        <f t="shared" si="1732"/>
        <v>PIX</v>
      </c>
      <c r="D9131" t="str">
        <f>"24272"</f>
        <v>24272</v>
      </c>
      <c r="E9131" t="str">
        <f t="shared" si="1733"/>
        <v>1</v>
      </c>
      <c r="F9131" t="str">
        <f t="shared" si="1730"/>
        <v>COM</v>
      </c>
      <c r="G9131" t="str">
        <f>"VITOR DE SOUZA SILVA (360)"</f>
        <v>VITOR DE SOUZA SILVA (360)</v>
      </c>
      <c r="H9131" t="s">
        <v>2437</v>
      </c>
      <c r="I9131" t="str">
        <f t="shared" si="1734"/>
        <v>06/11/2025</v>
      </c>
      <c r="J9131" t="str">
        <f t="shared" si="1735"/>
        <v>24/10/2025</v>
      </c>
      <c r="K9131">
        <v>45967</v>
      </c>
      <c r="N9131">
        <v>109</v>
      </c>
      <c r="O9131" t="s">
        <v>24</v>
      </c>
      <c r="Q9131">
        <v>500.8</v>
      </c>
      <c r="R9131" t="str">
        <f>"FARMÁCIA INDIANA LJ 121 (10054)"</f>
        <v>FARMÁCIA INDIANA LJ 121 (10054)</v>
      </c>
      <c r="S9131" t="s">
        <v>77</v>
      </c>
      <c r="T9131">
        <v>20640</v>
      </c>
      <c r="U9131">
        <v>24272</v>
      </c>
      <c r="V9131" t="s">
        <v>77</v>
      </c>
    </row>
    <row r="9132" spans="1:22">
      <c r="A9132" t="str">
        <f t="shared" si="1729"/>
        <v>06/11/2025</v>
      </c>
      <c r="B9132" t="str">
        <f t="shared" si="1731"/>
        <v>SAÍDA</v>
      </c>
      <c r="C9132" t="str">
        <f t="shared" si="1732"/>
        <v>PIX</v>
      </c>
      <c r="D9132" t="str">
        <f>"24273"</f>
        <v>24273</v>
      </c>
      <c r="E9132" t="str">
        <f t="shared" si="1733"/>
        <v>1</v>
      </c>
      <c r="F9132" t="str">
        <f t="shared" si="1730"/>
        <v>COM</v>
      </c>
      <c r="G9132" t="str">
        <f>"WAGNER DOS SANTOS LIMA (31)"</f>
        <v>WAGNER DOS SANTOS LIMA (31)</v>
      </c>
      <c r="H9132" t="str">
        <f>"Serv.Prest. 20/10/2025 a 24/10/2025 - PIX: CELULAR - CHAVE: (33) 99118-9032"</f>
        <v>Serv.Prest. 20/10/2025 a 24/10/2025 - PIX: CELULAR - CHAVE: (33) 99118-9032</v>
      </c>
      <c r="I9132" t="str">
        <f t="shared" si="1734"/>
        <v>06/11/2025</v>
      </c>
      <c r="J9132" t="str">
        <f t="shared" si="1735"/>
        <v>24/10/2025</v>
      </c>
      <c r="K9132" t="str">
        <f>("06/11/2025")</f>
        <v>06/11/2025</v>
      </c>
      <c r="L9132">
        <v>654.5</v>
      </c>
      <c r="M9132">
        <v>654.5</v>
      </c>
      <c r="N9132">
        <v>109</v>
      </c>
      <c r="O9132" t="str">
        <f>"PAGAMENTO DE ENTREGADORES"</f>
        <v>PAGAMENTO DE ENTREGADORES</v>
      </c>
      <c r="P9132">
        <v>654.5</v>
      </c>
      <c r="S9132" t="str">
        <f>"BANCO C6 (149)"</f>
        <v>BANCO C6 (149)</v>
      </c>
      <c r="T9132">
        <v>20641</v>
      </c>
      <c r="U9132">
        <v>24273</v>
      </c>
      <c r="V9132" t="s">
        <v>77</v>
      </c>
    </row>
    <row r="9133" spans="1:22">
      <c r="A9133" t="str">
        <f t="shared" si="1729"/>
        <v>06/11/2025</v>
      </c>
      <c r="B9133" t="str">
        <f t="shared" si="1731"/>
        <v>SAÍDA</v>
      </c>
      <c r="C9133" t="str">
        <f t="shared" si="1732"/>
        <v>PIX</v>
      </c>
      <c r="D9133" t="str">
        <f>"24273"</f>
        <v>24273</v>
      </c>
      <c r="E9133" t="str">
        <f t="shared" si="1733"/>
        <v>1</v>
      </c>
      <c r="F9133" t="str">
        <f t="shared" si="1730"/>
        <v>COM</v>
      </c>
      <c r="G9133" t="str">
        <f>"WAGNER DOS SANTOS LIMA (31)"</f>
        <v>WAGNER DOS SANTOS LIMA (31)</v>
      </c>
      <c r="H9133" t="s">
        <v>2611</v>
      </c>
      <c r="I9133" t="str">
        <f t="shared" si="1734"/>
        <v>06/11/2025</v>
      </c>
      <c r="J9133" t="str">
        <f t="shared" si="1735"/>
        <v>24/10/2025</v>
      </c>
      <c r="K9133">
        <v>45967</v>
      </c>
      <c r="N9133">
        <v>109</v>
      </c>
      <c r="O9133" t="s">
        <v>24</v>
      </c>
      <c r="Q9133">
        <v>654.5</v>
      </c>
      <c r="R9133" t="str">
        <f>"FARMÁCIA INDIANA LJ 61 (10027)"</f>
        <v>FARMÁCIA INDIANA LJ 61 (10027)</v>
      </c>
      <c r="S9133" t="s">
        <v>77</v>
      </c>
      <c r="T9133">
        <v>20641</v>
      </c>
      <c r="U9133">
        <v>24273</v>
      </c>
      <c r="V9133" t="s">
        <v>77</v>
      </c>
    </row>
    <row r="9134" spans="1:22">
      <c r="A9134" t="str">
        <f t="shared" si="1729"/>
        <v>06/11/2025</v>
      </c>
      <c r="B9134" t="str">
        <f t="shared" si="1731"/>
        <v>SAÍDA</v>
      </c>
      <c r="C9134" t="str">
        <f t="shared" si="1732"/>
        <v>PIX</v>
      </c>
      <c r="D9134" t="str">
        <f>"24275"</f>
        <v>24275</v>
      </c>
      <c r="E9134" t="str">
        <f t="shared" si="1733"/>
        <v>1</v>
      </c>
      <c r="F9134" t="str">
        <f t="shared" si="1730"/>
        <v>COM</v>
      </c>
      <c r="G9134" t="str">
        <f>"WARLEN JUNIO ELIAS DE OLIVEIRA (171)"</f>
        <v>WARLEN JUNIO ELIAS DE OLIVEIRA (171)</v>
      </c>
      <c r="H9134" t="str">
        <f>"Serv.Prest. 20/10/2025 a 24/10/2025 - PIX: CELULAR - CHAVE: (31) 97251-6838"</f>
        <v>Serv.Prest. 20/10/2025 a 24/10/2025 - PIX: CELULAR - CHAVE: (31) 97251-6838</v>
      </c>
      <c r="I9134" t="str">
        <f t="shared" si="1734"/>
        <v>06/11/2025</v>
      </c>
      <c r="J9134" t="str">
        <f t="shared" si="1735"/>
        <v>24/10/2025</v>
      </c>
      <c r="K9134" t="str">
        <f>("06/11/2025")</f>
        <v>06/11/2025</v>
      </c>
      <c r="L9134">
        <v>575</v>
      </c>
      <c r="M9134">
        <v>575</v>
      </c>
      <c r="N9134">
        <v>109</v>
      </c>
      <c r="O9134" t="str">
        <f>"PAGAMENTO DE ENTREGADORES"</f>
        <v>PAGAMENTO DE ENTREGADORES</v>
      </c>
      <c r="P9134">
        <v>575</v>
      </c>
      <c r="S9134" t="str">
        <f>"BANCO C6 (149)"</f>
        <v>BANCO C6 (149)</v>
      </c>
      <c r="T9134">
        <v>20642</v>
      </c>
      <c r="U9134">
        <v>24275</v>
      </c>
      <c r="V9134" t="s">
        <v>77</v>
      </c>
    </row>
    <row r="9135" spans="1:22">
      <c r="A9135" t="str">
        <f t="shared" si="1729"/>
        <v>06/11/2025</v>
      </c>
      <c r="B9135" t="str">
        <f t="shared" si="1731"/>
        <v>SAÍDA</v>
      </c>
      <c r="C9135" t="str">
        <f t="shared" si="1732"/>
        <v>PIX</v>
      </c>
      <c r="D9135" t="str">
        <f>"24275"</f>
        <v>24275</v>
      </c>
      <c r="E9135" t="str">
        <f t="shared" si="1733"/>
        <v>1</v>
      </c>
      <c r="F9135" t="str">
        <f t="shared" si="1730"/>
        <v>COM</v>
      </c>
      <c r="G9135" t="str">
        <f>"WARLEN JUNIO ELIAS DE OLIVEIRA (171)"</f>
        <v>WARLEN JUNIO ELIAS DE OLIVEIRA (171)</v>
      </c>
      <c r="H9135" t="s">
        <v>2612</v>
      </c>
      <c r="I9135" t="str">
        <f t="shared" si="1734"/>
        <v>06/11/2025</v>
      </c>
      <c r="J9135" t="str">
        <f t="shared" si="1735"/>
        <v>24/10/2025</v>
      </c>
      <c r="K9135">
        <v>45967</v>
      </c>
      <c r="N9135">
        <v>109</v>
      </c>
      <c r="O9135" t="s">
        <v>24</v>
      </c>
      <c r="Q9135">
        <v>575</v>
      </c>
      <c r="R9135" t="str">
        <f>"FARMÁCIA INDIANA LJ 175 (10076)"</f>
        <v>FARMÁCIA INDIANA LJ 175 (10076)</v>
      </c>
      <c r="S9135" t="s">
        <v>77</v>
      </c>
      <c r="T9135">
        <v>20642</v>
      </c>
      <c r="U9135">
        <v>24275</v>
      </c>
      <c r="V9135" t="s">
        <v>77</v>
      </c>
    </row>
    <row r="9136" spans="1:22">
      <c r="A9136" t="str">
        <f t="shared" si="1729"/>
        <v>06/11/2025</v>
      </c>
      <c r="B9136" t="str">
        <f t="shared" si="1731"/>
        <v>SAÍDA</v>
      </c>
      <c r="C9136" t="str">
        <f t="shared" si="1732"/>
        <v>PIX</v>
      </c>
      <c r="D9136" t="str">
        <f>"24277"</f>
        <v>24277</v>
      </c>
      <c r="E9136" t="str">
        <f t="shared" si="1733"/>
        <v>1</v>
      </c>
      <c r="F9136" t="str">
        <f t="shared" si="1730"/>
        <v>COM</v>
      </c>
      <c r="G9136" t="str">
        <f>"WELLINGTON DOS SANTOS ALVES (438)"</f>
        <v>WELLINGTON DOS SANTOS ALVES (438)</v>
      </c>
      <c r="H9136" t="str">
        <f>"Serv.Prest. 20/10/2025 a 24/10/2025 - PIX: CELULAR - CHAVE: (32) 99800-1691"</f>
        <v>Serv.Prest. 20/10/2025 a 24/10/2025 - PIX: CELULAR - CHAVE: (32) 99800-1691</v>
      </c>
      <c r="I9136" t="str">
        <f t="shared" si="1734"/>
        <v>06/11/2025</v>
      </c>
      <c r="J9136" t="str">
        <f t="shared" si="1735"/>
        <v>24/10/2025</v>
      </c>
      <c r="K9136" t="str">
        <f>("06/11/2025")</f>
        <v>06/11/2025</v>
      </c>
      <c r="L9136">
        <v>700.8</v>
      </c>
      <c r="M9136">
        <v>700.8</v>
      </c>
      <c r="N9136">
        <v>109</v>
      </c>
      <c r="O9136" t="str">
        <f>"PAGAMENTO DE ENTREGADORES"</f>
        <v>PAGAMENTO DE ENTREGADORES</v>
      </c>
      <c r="P9136">
        <v>700.8</v>
      </c>
      <c r="S9136" t="str">
        <f>"BANCO C6 (149)"</f>
        <v>BANCO C6 (149)</v>
      </c>
      <c r="T9136">
        <v>20643</v>
      </c>
      <c r="U9136">
        <v>24277</v>
      </c>
      <c r="V9136" t="s">
        <v>77</v>
      </c>
    </row>
    <row r="9137" spans="1:22">
      <c r="A9137" t="str">
        <f t="shared" si="1729"/>
        <v>06/11/2025</v>
      </c>
      <c r="B9137" t="str">
        <f t="shared" si="1731"/>
        <v>SAÍDA</v>
      </c>
      <c r="C9137" t="str">
        <f t="shared" si="1732"/>
        <v>PIX</v>
      </c>
      <c r="D9137" t="str">
        <f>"24277"</f>
        <v>24277</v>
      </c>
      <c r="E9137" t="str">
        <f t="shared" si="1733"/>
        <v>1</v>
      </c>
      <c r="F9137" t="str">
        <f t="shared" si="1730"/>
        <v>COM</v>
      </c>
      <c r="G9137" t="str">
        <f>"WELLINGTON DOS SANTOS ALVES (438)"</f>
        <v>WELLINGTON DOS SANTOS ALVES (438)</v>
      </c>
      <c r="H9137" t="s">
        <v>2613</v>
      </c>
      <c r="I9137" t="str">
        <f t="shared" si="1734"/>
        <v>06/11/2025</v>
      </c>
      <c r="J9137" t="str">
        <f t="shared" si="1735"/>
        <v>24/10/2025</v>
      </c>
      <c r="K9137">
        <v>45967</v>
      </c>
      <c r="N9137">
        <v>109</v>
      </c>
      <c r="O9137" t="s">
        <v>24</v>
      </c>
      <c r="Q9137">
        <v>467.22</v>
      </c>
      <c r="R9137" t="str">
        <f>"FARMÁCIA INDIANA LJ 112 (10050)"</f>
        <v>FARMÁCIA INDIANA LJ 112 (10050)</v>
      </c>
      <c r="S9137" t="s">
        <v>77</v>
      </c>
      <c r="T9137">
        <v>20643</v>
      </c>
      <c r="U9137">
        <v>24277</v>
      </c>
      <c r="V9137" t="s">
        <v>77</v>
      </c>
    </row>
    <row r="9138" spans="1:22">
      <c r="A9138" t="str">
        <f t="shared" si="1729"/>
        <v>06/11/2025</v>
      </c>
      <c r="B9138" t="str">
        <f t="shared" si="1731"/>
        <v>SAÍDA</v>
      </c>
      <c r="C9138" t="str">
        <f t="shared" si="1732"/>
        <v>PIX</v>
      </c>
      <c r="D9138" t="str">
        <f>"24277"</f>
        <v>24277</v>
      </c>
      <c r="E9138" t="str">
        <f t="shared" si="1733"/>
        <v>1</v>
      </c>
      <c r="F9138" t="str">
        <f t="shared" si="1730"/>
        <v>COM</v>
      </c>
      <c r="G9138" t="str">
        <f>"WELLINGTON DOS SANTOS ALVES (438)"</f>
        <v>WELLINGTON DOS SANTOS ALVES (438)</v>
      </c>
      <c r="H9138" t="s">
        <v>2613</v>
      </c>
      <c r="I9138" t="str">
        <f t="shared" si="1734"/>
        <v>06/11/2025</v>
      </c>
      <c r="J9138" t="str">
        <f t="shared" si="1735"/>
        <v>24/10/2025</v>
      </c>
      <c r="K9138">
        <v>45967</v>
      </c>
      <c r="N9138">
        <v>109</v>
      </c>
      <c r="O9138" t="s">
        <v>24</v>
      </c>
      <c r="Q9138">
        <v>233.58</v>
      </c>
      <c r="R9138" t="str">
        <f>"FARMÁCIA INDIANA LJ 121 (10054)"</f>
        <v>FARMÁCIA INDIANA LJ 121 (10054)</v>
      </c>
      <c r="S9138" t="s">
        <v>77</v>
      </c>
      <c r="T9138">
        <v>20643</v>
      </c>
      <c r="U9138">
        <v>24277</v>
      </c>
      <c r="V9138" t="s">
        <v>77</v>
      </c>
    </row>
    <row r="9139" spans="1:22">
      <c r="A9139" t="str">
        <f t="shared" si="1729"/>
        <v>06/11/2025</v>
      </c>
      <c r="B9139" t="str">
        <f t="shared" si="1731"/>
        <v>SAÍDA</v>
      </c>
      <c r="C9139" t="str">
        <f t="shared" si="1732"/>
        <v>PIX</v>
      </c>
      <c r="D9139" t="str">
        <f>"24278"</f>
        <v>24278</v>
      </c>
      <c r="E9139" t="str">
        <f t="shared" si="1733"/>
        <v>1</v>
      </c>
      <c r="F9139" t="str">
        <f t="shared" si="1730"/>
        <v>COM</v>
      </c>
      <c r="G9139" t="str">
        <f>"WELVES DA SILVA RAMOS (194)"</f>
        <v>WELVES DA SILVA RAMOS (194)</v>
      </c>
      <c r="H9139" t="str">
        <f>"Serv.Prest. 20/10/2025 a 24/10/2025 - PIX: CPF - CHAVE: 700.454.836-80"</f>
        <v>Serv.Prest. 20/10/2025 a 24/10/2025 - PIX: CPF - CHAVE: 700.454.836-80</v>
      </c>
      <c r="I9139" t="str">
        <f t="shared" si="1734"/>
        <v>06/11/2025</v>
      </c>
      <c r="J9139" t="str">
        <f t="shared" si="1735"/>
        <v>24/10/2025</v>
      </c>
      <c r="K9139" t="str">
        <f>("06/11/2025")</f>
        <v>06/11/2025</v>
      </c>
      <c r="L9139">
        <v>720</v>
      </c>
      <c r="M9139">
        <v>720</v>
      </c>
      <c r="N9139">
        <v>109</v>
      </c>
      <c r="O9139" t="str">
        <f>"PAGAMENTO DE ENTREGADORES"</f>
        <v>PAGAMENTO DE ENTREGADORES</v>
      </c>
      <c r="P9139">
        <v>720</v>
      </c>
      <c r="S9139" t="str">
        <f>"BANCO C6 (149)"</f>
        <v>BANCO C6 (149)</v>
      </c>
      <c r="T9139">
        <v>20644</v>
      </c>
      <c r="U9139">
        <v>24278</v>
      </c>
      <c r="V9139" t="s">
        <v>77</v>
      </c>
    </row>
    <row r="9140" spans="1:22">
      <c r="A9140" t="str">
        <f t="shared" si="1729"/>
        <v>06/11/2025</v>
      </c>
      <c r="B9140" t="str">
        <f t="shared" si="1731"/>
        <v>SAÍDA</v>
      </c>
      <c r="C9140" t="str">
        <f t="shared" si="1732"/>
        <v>PIX</v>
      </c>
      <c r="D9140" t="str">
        <f>"24278"</f>
        <v>24278</v>
      </c>
      <c r="E9140" t="str">
        <f t="shared" si="1733"/>
        <v>1</v>
      </c>
      <c r="F9140" t="str">
        <f t="shared" si="1730"/>
        <v>COM</v>
      </c>
      <c r="G9140" t="str">
        <f>"WELVES DA SILVA RAMOS (194)"</f>
        <v>WELVES DA SILVA RAMOS (194)</v>
      </c>
      <c r="H9140" t="s">
        <v>2614</v>
      </c>
      <c r="I9140" t="str">
        <f t="shared" si="1734"/>
        <v>06/11/2025</v>
      </c>
      <c r="J9140" t="str">
        <f t="shared" si="1735"/>
        <v>24/10/2025</v>
      </c>
      <c r="K9140">
        <v>45967</v>
      </c>
      <c r="N9140">
        <v>109</v>
      </c>
      <c r="O9140" t="s">
        <v>24</v>
      </c>
      <c r="Q9140">
        <v>720</v>
      </c>
      <c r="R9140" t="str">
        <f>"FARMÁCIA INDIANA LJ 06 (10006)"</f>
        <v>FARMÁCIA INDIANA LJ 06 (10006)</v>
      </c>
      <c r="S9140" t="s">
        <v>77</v>
      </c>
      <c r="T9140">
        <v>20644</v>
      </c>
      <c r="U9140">
        <v>24278</v>
      </c>
      <c r="V9140" t="s">
        <v>77</v>
      </c>
    </row>
    <row r="9141" spans="1:22">
      <c r="A9141" t="str">
        <f t="shared" si="1729"/>
        <v>06/11/2025</v>
      </c>
      <c r="B9141" t="str">
        <f t="shared" si="1731"/>
        <v>SAÍDA</v>
      </c>
      <c r="C9141" t="str">
        <f t="shared" si="1732"/>
        <v>PIX</v>
      </c>
      <c r="D9141" t="str">
        <f>"24279"</f>
        <v>24279</v>
      </c>
      <c r="E9141" t="str">
        <f t="shared" si="1733"/>
        <v>1</v>
      </c>
      <c r="F9141" t="str">
        <f t="shared" si="1730"/>
        <v>COM</v>
      </c>
      <c r="G9141" t="str">
        <f>"WEMERSON FELIPE LOPES (187)"</f>
        <v>WEMERSON FELIPE LOPES (187)</v>
      </c>
      <c r="H9141" t="str">
        <f>"Serv.Prest. 20/10/2025 a 24/10/2025 - PIX: CELULAR - CHAVE: (33) 98806-5772"</f>
        <v>Serv.Prest. 20/10/2025 a 24/10/2025 - PIX: CELULAR - CHAVE: (33) 98806-5772</v>
      </c>
      <c r="I9141" t="str">
        <f t="shared" si="1734"/>
        <v>06/11/2025</v>
      </c>
      <c r="J9141" t="str">
        <f t="shared" si="1735"/>
        <v>24/10/2025</v>
      </c>
      <c r="K9141" t="str">
        <f>("06/11/2025")</f>
        <v>06/11/2025</v>
      </c>
      <c r="L9141">
        <v>594</v>
      </c>
      <c r="M9141">
        <v>594</v>
      </c>
      <c r="N9141">
        <v>109</v>
      </c>
      <c r="O9141" t="str">
        <f>"PAGAMENTO DE ENTREGADORES"</f>
        <v>PAGAMENTO DE ENTREGADORES</v>
      </c>
      <c r="P9141">
        <v>594</v>
      </c>
      <c r="S9141" t="str">
        <f>"BANCO C6 (149)"</f>
        <v>BANCO C6 (149)</v>
      </c>
      <c r="T9141">
        <v>20645</v>
      </c>
      <c r="U9141">
        <v>24279</v>
      </c>
      <c r="V9141" t="s">
        <v>77</v>
      </c>
    </row>
    <row r="9142" spans="1:22">
      <c r="A9142" t="str">
        <f t="shared" si="1729"/>
        <v>06/11/2025</v>
      </c>
      <c r="B9142" t="str">
        <f t="shared" si="1731"/>
        <v>SAÍDA</v>
      </c>
      <c r="C9142" t="str">
        <f t="shared" si="1732"/>
        <v>PIX</v>
      </c>
      <c r="D9142" t="str">
        <f>"24279"</f>
        <v>24279</v>
      </c>
      <c r="E9142" t="str">
        <f t="shared" si="1733"/>
        <v>1</v>
      </c>
      <c r="F9142" t="str">
        <f t="shared" si="1730"/>
        <v>COM</v>
      </c>
      <c r="G9142" t="str">
        <f>"WEMERSON FELIPE LOPES (187)"</f>
        <v>WEMERSON FELIPE LOPES (187)</v>
      </c>
      <c r="H9142" t="s">
        <v>2615</v>
      </c>
      <c r="I9142" t="str">
        <f t="shared" si="1734"/>
        <v>06/11/2025</v>
      </c>
      <c r="J9142" t="str">
        <f t="shared" si="1735"/>
        <v>24/10/2025</v>
      </c>
      <c r="K9142">
        <v>45967</v>
      </c>
      <c r="N9142">
        <v>109</v>
      </c>
      <c r="O9142" t="s">
        <v>24</v>
      </c>
      <c r="Q9142">
        <v>594</v>
      </c>
      <c r="R9142" t="str">
        <f>"FARMÁCIA INDIANA LJ 06 (10006)"</f>
        <v>FARMÁCIA INDIANA LJ 06 (10006)</v>
      </c>
      <c r="S9142" t="s">
        <v>77</v>
      </c>
      <c r="T9142">
        <v>20645</v>
      </c>
      <c r="U9142">
        <v>24279</v>
      </c>
      <c r="V9142" t="s">
        <v>77</v>
      </c>
    </row>
    <row r="9143" spans="1:22">
      <c r="A9143" t="str">
        <f t="shared" si="1729"/>
        <v>06/11/2025</v>
      </c>
      <c r="B9143" t="str">
        <f t="shared" si="1731"/>
        <v>SAÍDA</v>
      </c>
      <c r="C9143" t="str">
        <f t="shared" si="1732"/>
        <v>PIX</v>
      </c>
      <c r="D9143" t="str">
        <f>"24280"</f>
        <v>24280</v>
      </c>
      <c r="E9143" t="str">
        <f t="shared" si="1733"/>
        <v>1</v>
      </c>
      <c r="F9143" t="str">
        <f t="shared" si="1730"/>
        <v>COM</v>
      </c>
      <c r="G9143" t="str">
        <f>"WEMERSON MOREIRA PESSOA (75)"</f>
        <v>WEMERSON MOREIRA PESSOA (75)</v>
      </c>
      <c r="H9143" t="str">
        <f>"Serv.Prest. 20/10/2025 a 24/10/2025 - PIX: CELULAR - CHAVE: (33) 99996-3668"</f>
        <v>Serv.Prest. 20/10/2025 a 24/10/2025 - PIX: CELULAR - CHAVE: (33) 99996-3668</v>
      </c>
      <c r="I9143" t="str">
        <f t="shared" si="1734"/>
        <v>06/11/2025</v>
      </c>
      <c r="J9143" t="str">
        <f t="shared" si="1735"/>
        <v>24/10/2025</v>
      </c>
      <c r="K9143" t="str">
        <f>("06/11/2025")</f>
        <v>06/11/2025</v>
      </c>
      <c r="L9143">
        <v>480</v>
      </c>
      <c r="M9143">
        <v>480</v>
      </c>
      <c r="N9143">
        <v>109</v>
      </c>
      <c r="O9143" t="str">
        <f>"PAGAMENTO DE ENTREGADORES"</f>
        <v>PAGAMENTO DE ENTREGADORES</v>
      </c>
      <c r="P9143">
        <v>480</v>
      </c>
      <c r="S9143" t="str">
        <f>"BANCO C6 (149)"</f>
        <v>BANCO C6 (149)</v>
      </c>
      <c r="T9143">
        <v>20646</v>
      </c>
      <c r="U9143">
        <v>24280</v>
      </c>
      <c r="V9143" t="s">
        <v>77</v>
      </c>
    </row>
    <row r="9144" spans="1:22">
      <c r="A9144" t="str">
        <f t="shared" si="1729"/>
        <v>06/11/2025</v>
      </c>
      <c r="B9144" t="str">
        <f t="shared" si="1731"/>
        <v>SAÍDA</v>
      </c>
      <c r="C9144" t="str">
        <f t="shared" si="1732"/>
        <v>PIX</v>
      </c>
      <c r="D9144" t="str">
        <f>"24280"</f>
        <v>24280</v>
      </c>
      <c r="E9144" t="str">
        <f t="shared" si="1733"/>
        <v>1</v>
      </c>
      <c r="F9144" t="str">
        <f t="shared" si="1730"/>
        <v>COM</v>
      </c>
      <c r="G9144" t="str">
        <f>"WEMERSON MOREIRA PESSOA (75)"</f>
        <v>WEMERSON MOREIRA PESSOA (75)</v>
      </c>
      <c r="H9144" t="s">
        <v>2616</v>
      </c>
      <c r="I9144" t="str">
        <f t="shared" si="1734"/>
        <v>06/11/2025</v>
      </c>
      <c r="J9144" t="str">
        <f t="shared" si="1735"/>
        <v>24/10/2025</v>
      </c>
      <c r="K9144">
        <v>45967</v>
      </c>
      <c r="N9144">
        <v>109</v>
      </c>
      <c r="O9144" t="s">
        <v>24</v>
      </c>
      <c r="Q9144">
        <v>480</v>
      </c>
      <c r="R9144" t="str">
        <f>"FARMÁCIA INDIANA LJ 07 (10007)"</f>
        <v>FARMÁCIA INDIANA LJ 07 (10007)</v>
      </c>
      <c r="S9144" t="s">
        <v>77</v>
      </c>
      <c r="T9144">
        <v>20646</v>
      </c>
      <c r="U9144">
        <v>24280</v>
      </c>
      <c r="V9144" t="s">
        <v>77</v>
      </c>
    </row>
    <row r="9145" spans="1:22">
      <c r="A9145" t="str">
        <f t="shared" si="1729"/>
        <v>06/11/2025</v>
      </c>
      <c r="B9145" t="str">
        <f t="shared" si="1731"/>
        <v>SAÍDA</v>
      </c>
      <c r="C9145" t="str">
        <f t="shared" si="1732"/>
        <v>PIX</v>
      </c>
      <c r="D9145" t="str">
        <f>"24281"</f>
        <v>24281</v>
      </c>
      <c r="E9145" t="str">
        <f t="shared" si="1733"/>
        <v>1</v>
      </c>
      <c r="F9145" t="str">
        <f t="shared" si="1730"/>
        <v>COM</v>
      </c>
      <c r="G9145" t="str">
        <f>"WENDEL LIMA DE SOUZA (112)"</f>
        <v>WENDEL LIMA DE SOUZA (112)</v>
      </c>
      <c r="H9145" t="str">
        <f>"Serv.Prest. 20/10/2025 a 24/10/2025 - PIX: CPF - CHAVE: 012.906.122-00"</f>
        <v>Serv.Prest. 20/10/2025 a 24/10/2025 - PIX: CPF - CHAVE: 012.906.122-00</v>
      </c>
      <c r="I9145" t="str">
        <f t="shared" si="1734"/>
        <v>06/11/2025</v>
      </c>
      <c r="J9145" t="str">
        <f t="shared" si="1735"/>
        <v>24/10/2025</v>
      </c>
      <c r="K9145" t="str">
        <f>("06/11/2025")</f>
        <v>06/11/2025</v>
      </c>
      <c r="L9145">
        <v>456</v>
      </c>
      <c r="M9145">
        <v>456</v>
      </c>
      <c r="N9145">
        <v>109</v>
      </c>
      <c r="O9145" t="str">
        <f>"PAGAMENTO DE ENTREGADORES"</f>
        <v>PAGAMENTO DE ENTREGADORES</v>
      </c>
      <c r="P9145">
        <v>456</v>
      </c>
      <c r="S9145" t="str">
        <f>"BANCO C6 (149)"</f>
        <v>BANCO C6 (149)</v>
      </c>
      <c r="T9145">
        <v>20647</v>
      </c>
      <c r="U9145">
        <v>24281</v>
      </c>
      <c r="V9145" t="s">
        <v>77</v>
      </c>
    </row>
    <row r="9146" spans="1:22">
      <c r="A9146" t="str">
        <f t="shared" si="1729"/>
        <v>06/11/2025</v>
      </c>
      <c r="B9146" t="str">
        <f t="shared" si="1731"/>
        <v>SAÍDA</v>
      </c>
      <c r="C9146" t="str">
        <f t="shared" si="1732"/>
        <v>PIX</v>
      </c>
      <c r="D9146" t="str">
        <f>"24281"</f>
        <v>24281</v>
      </c>
      <c r="E9146" t="str">
        <f t="shared" si="1733"/>
        <v>1</v>
      </c>
      <c r="F9146" t="str">
        <f t="shared" si="1730"/>
        <v>COM</v>
      </c>
      <c r="G9146" t="str">
        <f>"WENDEL LIMA DE SOUZA (112)"</f>
        <v>WENDEL LIMA DE SOUZA (112)</v>
      </c>
      <c r="H9146" t="s">
        <v>2617</v>
      </c>
      <c r="I9146" t="str">
        <f t="shared" si="1734"/>
        <v>06/11/2025</v>
      </c>
      <c r="J9146" t="str">
        <f t="shared" si="1735"/>
        <v>24/10/2025</v>
      </c>
      <c r="K9146">
        <v>45967</v>
      </c>
      <c r="N9146">
        <v>109</v>
      </c>
      <c r="O9146" t="s">
        <v>24</v>
      </c>
      <c r="Q9146">
        <v>456</v>
      </c>
      <c r="R9146" t="str">
        <f>"FARMÁCIA INDIANA LJ 11 (10008)"</f>
        <v>FARMÁCIA INDIANA LJ 11 (10008)</v>
      </c>
      <c r="S9146" t="s">
        <v>77</v>
      </c>
      <c r="T9146">
        <v>20647</v>
      </c>
      <c r="U9146">
        <v>24281</v>
      </c>
      <c r="V9146" t="s">
        <v>77</v>
      </c>
    </row>
    <row r="9147" spans="1:22">
      <c r="A9147" t="str">
        <f t="shared" si="1729"/>
        <v>06/11/2025</v>
      </c>
      <c r="B9147" t="str">
        <f t="shared" si="1731"/>
        <v>SAÍDA</v>
      </c>
      <c r="C9147" t="str">
        <f t="shared" si="1732"/>
        <v>PIX</v>
      </c>
      <c r="D9147" t="str">
        <f>"24282"</f>
        <v>24282</v>
      </c>
      <c r="E9147" t="str">
        <f t="shared" si="1733"/>
        <v>1</v>
      </c>
      <c r="F9147" t="str">
        <f t="shared" si="1730"/>
        <v>COM</v>
      </c>
      <c r="G9147" t="str">
        <f>"WILIAN ROSA VIEIRA (488)"</f>
        <v>WILIAN ROSA VIEIRA (488)</v>
      </c>
      <c r="H9147" t="str">
        <f>"Serv.Prest. 20/10/2025 a 24/10/2025 - PIX: E-MAIL - CHAVE: wilianvieirawrv3578@gmail.com"</f>
        <v>Serv.Prest. 20/10/2025 a 24/10/2025 - PIX: E-MAIL - CHAVE: wilianvieirawrv3578@gmail.com</v>
      </c>
      <c r="I9147" t="str">
        <f t="shared" si="1734"/>
        <v>06/11/2025</v>
      </c>
      <c r="J9147" t="str">
        <f t="shared" si="1735"/>
        <v>24/10/2025</v>
      </c>
      <c r="K9147" t="str">
        <f>("06/11/2025")</f>
        <v>06/11/2025</v>
      </c>
      <c r="L9147">
        <v>948</v>
      </c>
      <c r="M9147">
        <v>948</v>
      </c>
      <c r="N9147">
        <v>109</v>
      </c>
      <c r="O9147" t="str">
        <f>"PAGAMENTO DE ENTREGADORES"</f>
        <v>PAGAMENTO DE ENTREGADORES</v>
      </c>
      <c r="P9147">
        <v>948</v>
      </c>
      <c r="S9147" t="str">
        <f>"BANCO C6 (149)"</f>
        <v>BANCO C6 (149)</v>
      </c>
      <c r="T9147">
        <v>20648</v>
      </c>
      <c r="U9147">
        <v>24282</v>
      </c>
      <c r="V9147" t="s">
        <v>77</v>
      </c>
    </row>
    <row r="9148" spans="1:22">
      <c r="A9148" t="str">
        <f t="shared" si="1729"/>
        <v>06/11/2025</v>
      </c>
      <c r="B9148" t="str">
        <f t="shared" si="1731"/>
        <v>SAÍDA</v>
      </c>
      <c r="C9148" t="str">
        <f t="shared" si="1732"/>
        <v>PIX</v>
      </c>
      <c r="D9148" t="str">
        <f>"24282"</f>
        <v>24282</v>
      </c>
      <c r="E9148" t="str">
        <f t="shared" si="1733"/>
        <v>1</v>
      </c>
      <c r="F9148" t="str">
        <f t="shared" si="1730"/>
        <v>COM</v>
      </c>
      <c r="G9148" t="str">
        <f>"WILIAN ROSA VIEIRA (488)"</f>
        <v>WILIAN ROSA VIEIRA (488)</v>
      </c>
      <c r="H9148" t="s">
        <v>2618</v>
      </c>
      <c r="I9148" t="str">
        <f t="shared" si="1734"/>
        <v>06/11/2025</v>
      </c>
      <c r="J9148" t="str">
        <f t="shared" si="1735"/>
        <v>24/10/2025</v>
      </c>
      <c r="K9148">
        <v>45967</v>
      </c>
      <c r="N9148">
        <v>109</v>
      </c>
      <c r="O9148" t="s">
        <v>24</v>
      </c>
      <c r="Q9148">
        <v>468.02</v>
      </c>
      <c r="R9148" t="str">
        <f>"FARMÁCIA INDIANA LJ 103 (10044)"</f>
        <v>FARMÁCIA INDIANA LJ 103 (10044)</v>
      </c>
      <c r="S9148" t="s">
        <v>77</v>
      </c>
      <c r="T9148">
        <v>20648</v>
      </c>
      <c r="U9148">
        <v>24282</v>
      </c>
      <c r="V9148" t="s">
        <v>77</v>
      </c>
    </row>
    <row r="9149" spans="1:22">
      <c r="A9149" t="str">
        <f t="shared" si="1729"/>
        <v>06/11/2025</v>
      </c>
      <c r="B9149" t="str">
        <f t="shared" si="1731"/>
        <v>SAÍDA</v>
      </c>
      <c r="C9149" t="str">
        <f t="shared" si="1732"/>
        <v>PIX</v>
      </c>
      <c r="D9149" t="str">
        <f>"24282"</f>
        <v>24282</v>
      </c>
      <c r="E9149" t="str">
        <f t="shared" si="1733"/>
        <v>1</v>
      </c>
      <c r="F9149" t="str">
        <f t="shared" si="1730"/>
        <v>COM</v>
      </c>
      <c r="G9149" t="str">
        <f>"WILIAN ROSA VIEIRA (488)"</f>
        <v>WILIAN ROSA VIEIRA (488)</v>
      </c>
      <c r="H9149" t="s">
        <v>2618</v>
      </c>
      <c r="I9149" t="str">
        <f t="shared" si="1734"/>
        <v>06/11/2025</v>
      </c>
      <c r="J9149" t="str">
        <f t="shared" si="1735"/>
        <v>24/10/2025</v>
      </c>
      <c r="K9149">
        <v>45967</v>
      </c>
      <c r="N9149">
        <v>109</v>
      </c>
      <c r="O9149" t="s">
        <v>24</v>
      </c>
      <c r="Q9149">
        <v>258.05</v>
      </c>
      <c r="R9149" t="str">
        <f>"FARMÁCIA INDIANA LJ 140 (10064)"</f>
        <v>FARMÁCIA INDIANA LJ 140 (10064)</v>
      </c>
      <c r="S9149" t="s">
        <v>77</v>
      </c>
      <c r="T9149">
        <v>20648</v>
      </c>
      <c r="U9149">
        <v>24282</v>
      </c>
      <c r="V9149" t="s">
        <v>77</v>
      </c>
    </row>
    <row r="9150" spans="1:22">
      <c r="A9150" t="str">
        <f t="shared" si="1729"/>
        <v>06/11/2025</v>
      </c>
      <c r="B9150" t="str">
        <f t="shared" si="1731"/>
        <v>SAÍDA</v>
      </c>
      <c r="C9150" t="str">
        <f t="shared" si="1732"/>
        <v>PIX</v>
      </c>
      <c r="D9150" t="str">
        <f>"24282"</f>
        <v>24282</v>
      </c>
      <c r="E9150" t="str">
        <f t="shared" si="1733"/>
        <v>1</v>
      </c>
      <c r="F9150" t="str">
        <f t="shared" si="1730"/>
        <v>COM</v>
      </c>
      <c r="G9150" t="str">
        <f>"WILIAN ROSA VIEIRA (488)"</f>
        <v>WILIAN ROSA VIEIRA (488)</v>
      </c>
      <c r="H9150" t="s">
        <v>2618</v>
      </c>
      <c r="I9150" t="str">
        <f t="shared" si="1734"/>
        <v>06/11/2025</v>
      </c>
      <c r="J9150" t="str">
        <f t="shared" si="1735"/>
        <v>24/10/2025</v>
      </c>
      <c r="K9150">
        <v>45967</v>
      </c>
      <c r="N9150">
        <v>109</v>
      </c>
      <c r="O9150" t="s">
        <v>24</v>
      </c>
      <c r="Q9150">
        <v>78.02</v>
      </c>
      <c r="R9150" t="str">
        <f>"FARMÁCIA INDIANA LJ 141 (10065)"</f>
        <v>FARMÁCIA INDIANA LJ 141 (10065)</v>
      </c>
      <c r="S9150" t="s">
        <v>77</v>
      </c>
      <c r="T9150">
        <v>20648</v>
      </c>
      <c r="U9150">
        <v>24282</v>
      </c>
      <c r="V9150" t="s">
        <v>77</v>
      </c>
    </row>
    <row r="9151" spans="1:22">
      <c r="A9151" t="str">
        <f t="shared" si="1729"/>
        <v>06/11/2025</v>
      </c>
      <c r="B9151" t="str">
        <f t="shared" si="1731"/>
        <v>SAÍDA</v>
      </c>
      <c r="C9151" t="str">
        <f t="shared" si="1732"/>
        <v>PIX</v>
      </c>
      <c r="D9151" t="str">
        <f>"24282"</f>
        <v>24282</v>
      </c>
      <c r="E9151" t="str">
        <f t="shared" si="1733"/>
        <v>1</v>
      </c>
      <c r="F9151" t="str">
        <f t="shared" si="1730"/>
        <v>COM</v>
      </c>
      <c r="G9151" t="str">
        <f>"WILIAN ROSA VIEIRA (488)"</f>
        <v>WILIAN ROSA VIEIRA (488)</v>
      </c>
      <c r="H9151" t="s">
        <v>2618</v>
      </c>
      <c r="I9151" t="str">
        <f t="shared" si="1734"/>
        <v>06/11/2025</v>
      </c>
      <c r="J9151" t="str">
        <f t="shared" si="1735"/>
        <v>24/10/2025</v>
      </c>
      <c r="K9151">
        <v>45967</v>
      </c>
      <c r="N9151">
        <v>109</v>
      </c>
      <c r="O9151" t="s">
        <v>24</v>
      </c>
      <c r="Q9151">
        <v>143.91</v>
      </c>
      <c r="R9151" t="str">
        <f>"FARMÁCIA INDIANA LJ 154 (10070)"</f>
        <v>FARMÁCIA INDIANA LJ 154 (10070)</v>
      </c>
      <c r="S9151" t="s">
        <v>77</v>
      </c>
      <c r="T9151">
        <v>20648</v>
      </c>
      <c r="U9151">
        <v>24282</v>
      </c>
      <c r="V9151" t="s">
        <v>77</v>
      </c>
    </row>
    <row r="9152" spans="1:22">
      <c r="A9152" t="str">
        <f t="shared" si="1729"/>
        <v>06/11/2025</v>
      </c>
      <c r="B9152" t="str">
        <f t="shared" si="1731"/>
        <v>SAÍDA</v>
      </c>
      <c r="C9152" t="str">
        <f t="shared" si="1732"/>
        <v>PIX</v>
      </c>
      <c r="D9152" t="str">
        <f>"24283"</f>
        <v>24283</v>
      </c>
      <c r="E9152" t="str">
        <f t="shared" si="1733"/>
        <v>1</v>
      </c>
      <c r="F9152" t="str">
        <f t="shared" si="1730"/>
        <v>COM</v>
      </c>
      <c r="G9152" t="str">
        <f>"YAN EVERTON RODRIGUES DE LIMA (875)"</f>
        <v>YAN EVERTON RODRIGUES DE LIMA (875)</v>
      </c>
      <c r="H9152" t="str">
        <f>"Serv.Prest. 20/10/2025 a 24/10/2025 - PIX: CELULAR - CHAVE: (33) 99859-8751"</f>
        <v>Serv.Prest. 20/10/2025 a 24/10/2025 - PIX: CELULAR - CHAVE: (33) 99859-8751</v>
      </c>
      <c r="I9152" t="str">
        <f t="shared" si="1734"/>
        <v>06/11/2025</v>
      </c>
      <c r="J9152" t="str">
        <f t="shared" si="1735"/>
        <v>24/10/2025</v>
      </c>
      <c r="K9152" t="str">
        <f>("06/11/2025")</f>
        <v>06/11/2025</v>
      </c>
      <c r="L9152">
        <v>612</v>
      </c>
      <c r="M9152">
        <v>612</v>
      </c>
      <c r="N9152">
        <v>109</v>
      </c>
      <c r="O9152" t="str">
        <f>"PAGAMENTO DE ENTREGADORES"</f>
        <v>PAGAMENTO DE ENTREGADORES</v>
      </c>
      <c r="P9152">
        <v>612</v>
      </c>
      <c r="S9152" t="str">
        <f>"BANCO C6 (149)"</f>
        <v>BANCO C6 (149)</v>
      </c>
      <c r="T9152">
        <v>20649</v>
      </c>
      <c r="U9152">
        <v>24283</v>
      </c>
      <c r="V9152" t="s">
        <v>77</v>
      </c>
    </row>
    <row r="9153" spans="1:22">
      <c r="A9153" t="str">
        <f t="shared" si="1729"/>
        <v>06/11/2025</v>
      </c>
      <c r="B9153" t="str">
        <f t="shared" si="1731"/>
        <v>SAÍDA</v>
      </c>
      <c r="C9153" t="str">
        <f t="shared" si="1732"/>
        <v>PIX</v>
      </c>
      <c r="D9153" t="str">
        <f>"24283"</f>
        <v>24283</v>
      </c>
      <c r="E9153" t="str">
        <f t="shared" si="1733"/>
        <v>1</v>
      </c>
      <c r="F9153" t="str">
        <f t="shared" si="1730"/>
        <v>COM</v>
      </c>
      <c r="G9153" t="str">
        <f>"YAN EVERTON RODRIGUES DE LIMA (875)"</f>
        <v>YAN EVERTON RODRIGUES DE LIMA (875)</v>
      </c>
      <c r="H9153" t="s">
        <v>2619</v>
      </c>
      <c r="I9153" t="str">
        <f t="shared" si="1734"/>
        <v>06/11/2025</v>
      </c>
      <c r="J9153" t="str">
        <f t="shared" si="1735"/>
        <v>24/10/2025</v>
      </c>
      <c r="K9153">
        <v>45967</v>
      </c>
      <c r="N9153">
        <v>109</v>
      </c>
      <c r="O9153" t="s">
        <v>24</v>
      </c>
      <c r="Q9153">
        <v>612</v>
      </c>
      <c r="R9153" t="str">
        <f>"FARMÁCIA INDIANA LJ 06 (10006)"</f>
        <v>FARMÁCIA INDIANA LJ 06 (10006)</v>
      </c>
      <c r="S9153" t="s">
        <v>77</v>
      </c>
      <c r="T9153">
        <v>20649</v>
      </c>
      <c r="U9153">
        <v>24283</v>
      </c>
      <c r="V9153" t="s">
        <v>77</v>
      </c>
    </row>
    <row r="9154" spans="1:22">
      <c r="A9154" t="str">
        <f t="shared" si="1729"/>
        <v>06/11/2025</v>
      </c>
      <c r="B9154" t="str">
        <f t="shared" si="1731"/>
        <v>SAÍDA</v>
      </c>
      <c r="C9154" t="str">
        <f t="shared" si="1732"/>
        <v>PIX</v>
      </c>
      <c r="D9154" t="str">
        <f>"24285"</f>
        <v>24285</v>
      </c>
      <c r="E9154" t="str">
        <f t="shared" si="1733"/>
        <v>1</v>
      </c>
      <c r="F9154" t="str">
        <f t="shared" si="1730"/>
        <v>COM</v>
      </c>
      <c r="G9154" t="str">
        <f>"CARLOS ALBERTO DE JESUS SANTOS (110)"</f>
        <v>CARLOS ALBERTO DE JESUS SANTOS (110)</v>
      </c>
      <c r="H9154" t="str">
        <f>"Serv.Prest. 20/10/2025 a 24/10/2025 - PIX: CPF - CHAVE: 036.875.515-04"</f>
        <v>Serv.Prest. 20/10/2025 a 24/10/2025 - PIX: CPF - CHAVE: 036.875.515-04</v>
      </c>
      <c r="I9154" t="str">
        <f t="shared" si="1734"/>
        <v>06/11/2025</v>
      </c>
      <c r="J9154" t="str">
        <f t="shared" si="1735"/>
        <v>24/10/2025</v>
      </c>
      <c r="K9154" t="str">
        <f>("06/11/2025")</f>
        <v>06/11/2025</v>
      </c>
      <c r="L9154">
        <v>654</v>
      </c>
      <c r="M9154">
        <v>654</v>
      </c>
      <c r="N9154">
        <v>109</v>
      </c>
      <c r="O9154" t="str">
        <f>"PAGAMENTO DE ENTREGADORES"</f>
        <v>PAGAMENTO DE ENTREGADORES</v>
      </c>
      <c r="P9154">
        <v>654</v>
      </c>
      <c r="S9154" t="str">
        <f>"BANCO C6 (149)"</f>
        <v>BANCO C6 (149)</v>
      </c>
      <c r="T9154">
        <v>20650</v>
      </c>
      <c r="U9154">
        <v>24285</v>
      </c>
      <c r="V9154" t="s">
        <v>77</v>
      </c>
    </row>
    <row r="9155" spans="1:22">
      <c r="A9155" t="str">
        <f t="shared" si="1729"/>
        <v>06/11/2025</v>
      </c>
      <c r="B9155" t="str">
        <f t="shared" si="1731"/>
        <v>SAÍDA</v>
      </c>
      <c r="C9155" t="str">
        <f t="shared" si="1732"/>
        <v>PIX</v>
      </c>
      <c r="D9155" t="str">
        <f>"24285"</f>
        <v>24285</v>
      </c>
      <c r="E9155" t="str">
        <f t="shared" si="1733"/>
        <v>1</v>
      </c>
      <c r="F9155" t="str">
        <f t="shared" si="1730"/>
        <v>COM</v>
      </c>
      <c r="G9155" t="str">
        <f>"CARLOS ALBERTO DE JESUS SANTOS (110)"</f>
        <v>CARLOS ALBERTO DE JESUS SANTOS (110)</v>
      </c>
      <c r="H9155" t="s">
        <v>2620</v>
      </c>
      <c r="I9155" t="str">
        <f t="shared" si="1734"/>
        <v>06/11/2025</v>
      </c>
      <c r="J9155" t="str">
        <f t="shared" si="1735"/>
        <v>24/10/2025</v>
      </c>
      <c r="K9155">
        <v>45967</v>
      </c>
      <c r="N9155">
        <v>109</v>
      </c>
      <c r="O9155" t="s">
        <v>24</v>
      </c>
      <c r="Q9155">
        <v>140.15</v>
      </c>
      <c r="R9155" t="str">
        <f>"FARMÁCIA INDIANA LJ 65 (10030)"</f>
        <v>FARMÁCIA INDIANA LJ 65 (10030)</v>
      </c>
      <c r="S9155" t="s">
        <v>77</v>
      </c>
      <c r="T9155">
        <v>20650</v>
      </c>
      <c r="U9155">
        <v>24285</v>
      </c>
      <c r="V9155" t="s">
        <v>77</v>
      </c>
    </row>
    <row r="9156" spans="1:22">
      <c r="A9156" t="str">
        <f t="shared" si="1729"/>
        <v>06/11/2025</v>
      </c>
      <c r="B9156" t="str">
        <f t="shared" si="1731"/>
        <v>SAÍDA</v>
      </c>
      <c r="C9156" t="str">
        <f t="shared" si="1732"/>
        <v>PIX</v>
      </c>
      <c r="D9156" t="str">
        <f>"24285"</f>
        <v>24285</v>
      </c>
      <c r="E9156" t="str">
        <f t="shared" si="1733"/>
        <v>1</v>
      </c>
      <c r="F9156" t="str">
        <f t="shared" si="1730"/>
        <v>COM</v>
      </c>
      <c r="G9156" t="str">
        <f>"CARLOS ALBERTO DE JESUS SANTOS (110)"</f>
        <v>CARLOS ALBERTO DE JESUS SANTOS (110)</v>
      </c>
      <c r="H9156" t="s">
        <v>2620</v>
      </c>
      <c r="I9156" t="str">
        <f t="shared" si="1734"/>
        <v>06/11/2025</v>
      </c>
      <c r="J9156" t="str">
        <f t="shared" si="1735"/>
        <v>24/10/2025</v>
      </c>
      <c r="K9156">
        <v>45967</v>
      </c>
      <c r="N9156">
        <v>109</v>
      </c>
      <c r="O9156" t="s">
        <v>24</v>
      </c>
      <c r="Q9156">
        <v>513.85</v>
      </c>
      <c r="R9156" t="str">
        <f>"FARMÁCIA INDIANA LJ 173 (10075)"</f>
        <v>FARMÁCIA INDIANA LJ 173 (10075)</v>
      </c>
      <c r="S9156" t="s">
        <v>77</v>
      </c>
      <c r="T9156">
        <v>20650</v>
      </c>
      <c r="U9156">
        <v>24285</v>
      </c>
      <c r="V9156" t="s">
        <v>77</v>
      </c>
    </row>
    <row r="9157" spans="1:22">
      <c r="A9157" t="str">
        <f t="shared" si="1729"/>
        <v>06/11/2025</v>
      </c>
      <c r="B9157" t="str">
        <f t="shared" si="1731"/>
        <v>SAÍDA</v>
      </c>
      <c r="C9157" t="str">
        <f t="shared" si="1732"/>
        <v>PIX</v>
      </c>
      <c r="D9157" t="str">
        <f>"24287"</f>
        <v>24287</v>
      </c>
      <c r="E9157" t="str">
        <f t="shared" si="1733"/>
        <v>1</v>
      </c>
      <c r="F9157" t="str">
        <f t="shared" si="1730"/>
        <v>COM</v>
      </c>
      <c r="G9157" t="str">
        <f>"DIOCLECIO SANDES JOTA (135)"</f>
        <v>DIOCLECIO SANDES JOTA (135)</v>
      </c>
      <c r="H9157" t="str">
        <f>"Serv.Prest. 20/10/2025 a 24/10/2025 - PIX: CELULAR - CHAVE: (73) 99966-7211"</f>
        <v>Serv.Prest. 20/10/2025 a 24/10/2025 - PIX: CELULAR - CHAVE: (73) 99966-7211</v>
      </c>
      <c r="I9157" t="str">
        <f t="shared" si="1734"/>
        <v>06/11/2025</v>
      </c>
      <c r="J9157" t="str">
        <f t="shared" si="1735"/>
        <v>24/10/2025</v>
      </c>
      <c r="K9157" t="str">
        <f>("06/11/2025")</f>
        <v>06/11/2025</v>
      </c>
      <c r="L9157">
        <v>486</v>
      </c>
      <c r="M9157">
        <v>486</v>
      </c>
      <c r="N9157">
        <v>109</v>
      </c>
      <c r="O9157" t="str">
        <f>"PAGAMENTO DE ENTREGADORES"</f>
        <v>PAGAMENTO DE ENTREGADORES</v>
      </c>
      <c r="P9157">
        <v>486</v>
      </c>
      <c r="S9157" t="str">
        <f>"BANCO C6 (149)"</f>
        <v>BANCO C6 (149)</v>
      </c>
      <c r="T9157">
        <v>20651</v>
      </c>
      <c r="U9157">
        <v>24287</v>
      </c>
      <c r="V9157" t="s">
        <v>77</v>
      </c>
    </row>
    <row r="9158" spans="1:22">
      <c r="A9158" t="str">
        <f t="shared" si="1729"/>
        <v>06/11/2025</v>
      </c>
      <c r="B9158" t="str">
        <f t="shared" si="1731"/>
        <v>SAÍDA</v>
      </c>
      <c r="C9158" t="str">
        <f t="shared" si="1732"/>
        <v>PIX</v>
      </c>
      <c r="D9158" t="str">
        <f>"24287"</f>
        <v>24287</v>
      </c>
      <c r="E9158" t="str">
        <f t="shared" si="1733"/>
        <v>1</v>
      </c>
      <c r="F9158" t="str">
        <f t="shared" si="1730"/>
        <v>COM</v>
      </c>
      <c r="G9158" t="str">
        <f>"DIOCLECIO SANDES JOTA (135)"</f>
        <v>DIOCLECIO SANDES JOTA (135)</v>
      </c>
      <c r="H9158" t="s">
        <v>2621</v>
      </c>
      <c r="I9158" t="str">
        <f t="shared" si="1734"/>
        <v>06/11/2025</v>
      </c>
      <c r="J9158" t="str">
        <f t="shared" ref="J9158:J9189" si="1736">("24/10/2025")</f>
        <v>24/10/2025</v>
      </c>
      <c r="K9158">
        <v>45967</v>
      </c>
      <c r="N9158">
        <v>109</v>
      </c>
      <c r="O9158" t="s">
        <v>24</v>
      </c>
      <c r="Q9158">
        <v>486</v>
      </c>
      <c r="R9158" t="str">
        <f>"FARMÁCIA INDIANA LJ 91 (10037)"</f>
        <v>FARMÁCIA INDIANA LJ 91 (10037)</v>
      </c>
      <c r="S9158" t="s">
        <v>77</v>
      </c>
      <c r="T9158">
        <v>20651</v>
      </c>
      <c r="U9158">
        <v>24287</v>
      </c>
      <c r="V9158" t="s">
        <v>77</v>
      </c>
    </row>
    <row r="9159" spans="1:22">
      <c r="A9159" t="str">
        <f t="shared" si="1729"/>
        <v>06/11/2025</v>
      </c>
      <c r="B9159" t="str">
        <f t="shared" si="1731"/>
        <v>SAÍDA</v>
      </c>
      <c r="C9159" t="str">
        <f t="shared" si="1732"/>
        <v>PIX</v>
      </c>
      <c r="D9159" t="str">
        <f>"24288"</f>
        <v>24288</v>
      </c>
      <c r="E9159" t="str">
        <f t="shared" si="1733"/>
        <v>1</v>
      </c>
      <c r="F9159" t="str">
        <f t="shared" si="1730"/>
        <v>COM</v>
      </c>
      <c r="G9159" t="str">
        <f>"EDUARDO SILVA DE JESUS (143)"</f>
        <v>EDUARDO SILVA DE JESUS (143)</v>
      </c>
      <c r="H9159" t="str">
        <f>"Serv.Prest. 20/10/2025 a 24/10/2025 - PIX: CPF - CHAVE: 094.947.395-23"</f>
        <v>Serv.Prest. 20/10/2025 a 24/10/2025 - PIX: CPF - CHAVE: 094.947.395-23</v>
      </c>
      <c r="I9159" t="str">
        <f t="shared" si="1734"/>
        <v>06/11/2025</v>
      </c>
      <c r="J9159" t="str">
        <f t="shared" si="1736"/>
        <v>24/10/2025</v>
      </c>
      <c r="K9159" t="str">
        <f>("06/11/2025")</f>
        <v>06/11/2025</v>
      </c>
      <c r="L9159">
        <v>606</v>
      </c>
      <c r="M9159">
        <v>606</v>
      </c>
      <c r="N9159">
        <v>109</v>
      </c>
      <c r="O9159" t="str">
        <f>"PAGAMENTO DE ENTREGADORES"</f>
        <v>PAGAMENTO DE ENTREGADORES</v>
      </c>
      <c r="P9159">
        <v>606</v>
      </c>
      <c r="S9159" t="str">
        <f>"BANCO C6 (149)"</f>
        <v>BANCO C6 (149)</v>
      </c>
      <c r="T9159">
        <v>20652</v>
      </c>
      <c r="U9159">
        <v>24288</v>
      </c>
      <c r="V9159" t="s">
        <v>77</v>
      </c>
    </row>
    <row r="9160" spans="1:22">
      <c r="A9160" t="str">
        <f t="shared" si="1729"/>
        <v>06/11/2025</v>
      </c>
      <c r="B9160" t="str">
        <f t="shared" si="1731"/>
        <v>SAÍDA</v>
      </c>
      <c r="C9160" t="str">
        <f t="shared" si="1732"/>
        <v>PIX</v>
      </c>
      <c r="D9160" t="str">
        <f>"24288"</f>
        <v>24288</v>
      </c>
      <c r="E9160" t="str">
        <f t="shared" si="1733"/>
        <v>1</v>
      </c>
      <c r="F9160" t="str">
        <f t="shared" si="1730"/>
        <v>COM</v>
      </c>
      <c r="G9160" t="str">
        <f>"EDUARDO SILVA DE JESUS (143)"</f>
        <v>EDUARDO SILVA DE JESUS (143)</v>
      </c>
      <c r="H9160" t="s">
        <v>2622</v>
      </c>
      <c r="I9160" t="str">
        <f t="shared" si="1734"/>
        <v>06/11/2025</v>
      </c>
      <c r="J9160" t="str">
        <f t="shared" si="1736"/>
        <v>24/10/2025</v>
      </c>
      <c r="K9160">
        <v>45967</v>
      </c>
      <c r="N9160">
        <v>109</v>
      </c>
      <c r="O9160" t="s">
        <v>24</v>
      </c>
      <c r="Q9160">
        <v>606</v>
      </c>
      <c r="R9160" t="str">
        <f>"FARMÁCIA INDIANA LJ 91 (10037)"</f>
        <v>FARMÁCIA INDIANA LJ 91 (10037)</v>
      </c>
      <c r="S9160" t="s">
        <v>77</v>
      </c>
      <c r="T9160">
        <v>20652</v>
      </c>
      <c r="U9160">
        <v>24288</v>
      </c>
      <c r="V9160" t="s">
        <v>77</v>
      </c>
    </row>
    <row r="9161" spans="1:22">
      <c r="A9161" t="str">
        <f t="shared" si="1729"/>
        <v>06/11/2025</v>
      </c>
      <c r="B9161" t="str">
        <f t="shared" si="1731"/>
        <v>SAÍDA</v>
      </c>
      <c r="C9161" t="str">
        <f t="shared" si="1732"/>
        <v>PIX</v>
      </c>
      <c r="D9161" t="str">
        <f>"24289"</f>
        <v>24289</v>
      </c>
      <c r="E9161" t="str">
        <f t="shared" si="1733"/>
        <v>1</v>
      </c>
      <c r="F9161" t="str">
        <f t="shared" si="1730"/>
        <v>COM</v>
      </c>
      <c r="G9161" t="str">
        <f>"ERIC DE RAMOS GOMES (606)"</f>
        <v>ERIC DE RAMOS GOMES (606)</v>
      </c>
      <c r="H9161" t="str">
        <f>"Serv.Prest. 20/10/2025 a 24/10/2025 - PIX: E-MAIL - CHAVE: ericgomes508@gmail.com"</f>
        <v>Serv.Prest. 20/10/2025 a 24/10/2025 - PIX: E-MAIL - CHAVE: ericgomes508@gmail.com</v>
      </c>
      <c r="I9161" t="str">
        <f t="shared" si="1734"/>
        <v>06/11/2025</v>
      </c>
      <c r="J9161" t="str">
        <f t="shared" si="1736"/>
        <v>24/10/2025</v>
      </c>
      <c r="K9161" t="str">
        <f>("06/11/2025")</f>
        <v>06/11/2025</v>
      </c>
      <c r="L9161">
        <v>450</v>
      </c>
      <c r="M9161">
        <v>450</v>
      </c>
      <c r="N9161">
        <v>109</v>
      </c>
      <c r="O9161" t="str">
        <f>"PAGAMENTO DE ENTREGADORES"</f>
        <v>PAGAMENTO DE ENTREGADORES</v>
      </c>
      <c r="P9161">
        <v>450</v>
      </c>
      <c r="S9161" t="str">
        <f>"BANCO C6 (149)"</f>
        <v>BANCO C6 (149)</v>
      </c>
      <c r="T9161">
        <v>20653</v>
      </c>
      <c r="U9161">
        <v>24289</v>
      </c>
      <c r="V9161" t="s">
        <v>77</v>
      </c>
    </row>
    <row r="9162" spans="1:22">
      <c r="A9162" t="str">
        <f t="shared" si="1729"/>
        <v>06/11/2025</v>
      </c>
      <c r="B9162" t="str">
        <f t="shared" si="1731"/>
        <v>SAÍDA</v>
      </c>
      <c r="C9162" t="str">
        <f t="shared" si="1732"/>
        <v>PIX</v>
      </c>
      <c r="D9162" t="str">
        <f>"24289"</f>
        <v>24289</v>
      </c>
      <c r="E9162" t="str">
        <f t="shared" si="1733"/>
        <v>1</v>
      </c>
      <c r="F9162" t="str">
        <f t="shared" si="1730"/>
        <v>COM</v>
      </c>
      <c r="G9162" t="str">
        <f>"ERIC DE RAMOS GOMES (606)"</f>
        <v>ERIC DE RAMOS GOMES (606)</v>
      </c>
      <c r="H9162" t="s">
        <v>2623</v>
      </c>
      <c r="I9162" t="str">
        <f t="shared" si="1734"/>
        <v>06/11/2025</v>
      </c>
      <c r="J9162" t="str">
        <f t="shared" si="1736"/>
        <v>24/10/2025</v>
      </c>
      <c r="K9162">
        <v>45967</v>
      </c>
      <c r="N9162">
        <v>109</v>
      </c>
      <c r="O9162" t="s">
        <v>24</v>
      </c>
      <c r="Q9162">
        <v>450</v>
      </c>
      <c r="R9162" t="str">
        <f>"FARMÁCIA INDIANA LJ 91 (10037)"</f>
        <v>FARMÁCIA INDIANA LJ 91 (10037)</v>
      </c>
      <c r="S9162" t="s">
        <v>77</v>
      </c>
      <c r="T9162">
        <v>20653</v>
      </c>
      <c r="U9162">
        <v>24289</v>
      </c>
      <c r="V9162" t="s">
        <v>77</v>
      </c>
    </row>
    <row r="9163" spans="1:22">
      <c r="A9163" t="str">
        <f t="shared" si="1729"/>
        <v>06/11/2025</v>
      </c>
      <c r="B9163" t="str">
        <f t="shared" si="1731"/>
        <v>SAÍDA</v>
      </c>
      <c r="C9163" t="str">
        <f t="shared" si="1732"/>
        <v>PIX</v>
      </c>
      <c r="D9163" t="str">
        <f>"24290"</f>
        <v>24290</v>
      </c>
      <c r="E9163" t="str">
        <f t="shared" si="1733"/>
        <v>1</v>
      </c>
      <c r="F9163" t="str">
        <f t="shared" si="1730"/>
        <v>COM</v>
      </c>
      <c r="G9163" t="str">
        <f>"GABRIEL SOUZA RIBEIRO (425)"</f>
        <v>GABRIEL SOUZA RIBEIRO (425)</v>
      </c>
      <c r="H9163" t="str">
        <f>"Serv.Prest. 20/10/2025 a 24/10/2025 - PIX: CPF - CHAVE: 087.398.185-51"</f>
        <v>Serv.Prest. 20/10/2025 a 24/10/2025 - PIX: CPF - CHAVE: 087.398.185-51</v>
      </c>
      <c r="I9163" t="str">
        <f t="shared" si="1734"/>
        <v>06/11/2025</v>
      </c>
      <c r="J9163" t="str">
        <f t="shared" si="1736"/>
        <v>24/10/2025</v>
      </c>
      <c r="K9163" t="str">
        <f>("06/11/2025")</f>
        <v>06/11/2025</v>
      </c>
      <c r="L9163">
        <v>654</v>
      </c>
      <c r="M9163">
        <v>654</v>
      </c>
      <c r="N9163">
        <v>109</v>
      </c>
      <c r="O9163" t="str">
        <f>"PAGAMENTO DE ENTREGADORES"</f>
        <v>PAGAMENTO DE ENTREGADORES</v>
      </c>
      <c r="P9163">
        <v>654</v>
      </c>
      <c r="S9163" t="str">
        <f>"BANCO C6 (149)"</f>
        <v>BANCO C6 (149)</v>
      </c>
      <c r="T9163">
        <v>20654</v>
      </c>
      <c r="U9163">
        <v>24290</v>
      </c>
      <c r="V9163" t="s">
        <v>77</v>
      </c>
    </row>
    <row r="9164" spans="1:22">
      <c r="A9164" t="str">
        <f t="shared" si="1729"/>
        <v>06/11/2025</v>
      </c>
      <c r="B9164" t="str">
        <f t="shared" si="1731"/>
        <v>SAÍDA</v>
      </c>
      <c r="C9164" t="str">
        <f t="shared" si="1732"/>
        <v>PIX</v>
      </c>
      <c r="D9164" t="str">
        <f>"24290"</f>
        <v>24290</v>
      </c>
      <c r="E9164" t="str">
        <f t="shared" si="1733"/>
        <v>1</v>
      </c>
      <c r="F9164" t="str">
        <f t="shared" si="1730"/>
        <v>COM</v>
      </c>
      <c r="G9164" t="str">
        <f>"GABRIEL SOUZA RIBEIRO (425)"</f>
        <v>GABRIEL SOUZA RIBEIRO (425)</v>
      </c>
      <c r="H9164" t="s">
        <v>2624</v>
      </c>
      <c r="I9164" t="str">
        <f t="shared" si="1734"/>
        <v>06/11/2025</v>
      </c>
      <c r="J9164" t="str">
        <f t="shared" si="1736"/>
        <v>24/10/2025</v>
      </c>
      <c r="K9164">
        <v>45967</v>
      </c>
      <c r="N9164">
        <v>109</v>
      </c>
      <c r="O9164" t="s">
        <v>24</v>
      </c>
      <c r="Q9164">
        <v>654</v>
      </c>
      <c r="R9164" t="str">
        <f>"FARMÁCIA INDIANA LJ 65 (10030)"</f>
        <v>FARMÁCIA INDIANA LJ 65 (10030)</v>
      </c>
      <c r="S9164" t="s">
        <v>77</v>
      </c>
      <c r="T9164">
        <v>20654</v>
      </c>
      <c r="U9164">
        <v>24290</v>
      </c>
      <c r="V9164" t="s">
        <v>77</v>
      </c>
    </row>
    <row r="9165" spans="1:22">
      <c r="A9165" t="str">
        <f t="shared" si="1729"/>
        <v>06/11/2025</v>
      </c>
      <c r="B9165" t="str">
        <f t="shared" si="1731"/>
        <v>SAÍDA</v>
      </c>
      <c r="C9165" t="str">
        <f t="shared" si="1732"/>
        <v>PIX</v>
      </c>
      <c r="D9165" t="str">
        <f>"24291"</f>
        <v>24291</v>
      </c>
      <c r="E9165" t="str">
        <f t="shared" si="1733"/>
        <v>1</v>
      </c>
      <c r="F9165" t="str">
        <f t="shared" si="1730"/>
        <v>COM</v>
      </c>
      <c r="G9165" t="str">
        <f>"GILBERTO PINHEIRO DA ROCHA (155)"</f>
        <v>GILBERTO PINHEIRO DA ROCHA (155)</v>
      </c>
      <c r="H9165" t="str">
        <f>"Serv.Prest. 20/10/2025 a 24/10/2025 - PIX: CELULAR - CHAVE: (73) 99941-8352"</f>
        <v>Serv.Prest. 20/10/2025 a 24/10/2025 - PIX: CELULAR - CHAVE: (73) 99941-8352</v>
      </c>
      <c r="I9165" t="str">
        <f t="shared" si="1734"/>
        <v>06/11/2025</v>
      </c>
      <c r="J9165" t="str">
        <f t="shared" si="1736"/>
        <v>24/10/2025</v>
      </c>
      <c r="K9165" t="str">
        <f>("06/11/2025")</f>
        <v>06/11/2025</v>
      </c>
      <c r="L9165">
        <v>497.25</v>
      </c>
      <c r="M9165">
        <v>497.25</v>
      </c>
      <c r="N9165">
        <v>109</v>
      </c>
      <c r="O9165" t="str">
        <f>"PAGAMENTO DE ENTREGADORES"</f>
        <v>PAGAMENTO DE ENTREGADORES</v>
      </c>
      <c r="P9165">
        <v>497.25</v>
      </c>
      <c r="S9165" t="str">
        <f>"BANCO C6 (149)"</f>
        <v>BANCO C6 (149)</v>
      </c>
      <c r="T9165">
        <v>20655</v>
      </c>
      <c r="U9165">
        <v>24291</v>
      </c>
      <c r="V9165" t="s">
        <v>77</v>
      </c>
    </row>
    <row r="9166" spans="1:22">
      <c r="A9166" t="str">
        <f t="shared" si="1729"/>
        <v>06/11/2025</v>
      </c>
      <c r="B9166" t="str">
        <f t="shared" si="1731"/>
        <v>SAÍDA</v>
      </c>
      <c r="C9166" t="str">
        <f t="shared" si="1732"/>
        <v>PIX</v>
      </c>
      <c r="D9166" t="str">
        <f>"24291"</f>
        <v>24291</v>
      </c>
      <c r="E9166" t="str">
        <f t="shared" si="1733"/>
        <v>1</v>
      </c>
      <c r="F9166" t="str">
        <f t="shared" si="1730"/>
        <v>COM</v>
      </c>
      <c r="G9166" t="str">
        <f>"GILBERTO PINHEIRO DA ROCHA (155)"</f>
        <v>GILBERTO PINHEIRO DA ROCHA (155)</v>
      </c>
      <c r="H9166" t="s">
        <v>2625</v>
      </c>
      <c r="I9166" t="str">
        <f t="shared" si="1734"/>
        <v>06/11/2025</v>
      </c>
      <c r="J9166" t="str">
        <f t="shared" si="1736"/>
        <v>24/10/2025</v>
      </c>
      <c r="K9166">
        <v>45967</v>
      </c>
      <c r="N9166">
        <v>109</v>
      </c>
      <c r="O9166" t="s">
        <v>24</v>
      </c>
      <c r="Q9166">
        <v>497.25</v>
      </c>
      <c r="R9166" t="str">
        <f>"FARMÁCIA INDIANA LJ 34 (10014)"</f>
        <v>FARMÁCIA INDIANA LJ 34 (10014)</v>
      </c>
      <c r="S9166" t="s">
        <v>77</v>
      </c>
      <c r="T9166">
        <v>20655</v>
      </c>
      <c r="U9166">
        <v>24291</v>
      </c>
      <c r="V9166" t="s">
        <v>77</v>
      </c>
    </row>
    <row r="9167" spans="1:22">
      <c r="A9167" t="str">
        <f t="shared" si="1729"/>
        <v>06/11/2025</v>
      </c>
      <c r="B9167" t="str">
        <f t="shared" si="1731"/>
        <v>SAÍDA</v>
      </c>
      <c r="C9167" t="str">
        <f t="shared" si="1732"/>
        <v>PIX</v>
      </c>
      <c r="D9167" t="str">
        <f>"24292"</f>
        <v>24292</v>
      </c>
      <c r="E9167" t="str">
        <f t="shared" si="1733"/>
        <v>1</v>
      </c>
      <c r="F9167" t="str">
        <f t="shared" si="1730"/>
        <v>COM</v>
      </c>
      <c r="G9167" t="str">
        <f>"GILSON OLIVEIRA CAMPINHO JUNIOR (132)"</f>
        <v>GILSON OLIVEIRA CAMPINHO JUNIOR (132)</v>
      </c>
      <c r="H9167" t="str">
        <f>"Serv.Prest. 20/10/2025 a 24/10/2025 - PIX: CELULAR - CHAVE: (73) 988381077"</f>
        <v>Serv.Prest. 20/10/2025 a 24/10/2025 - PIX: CELULAR - CHAVE: (73) 988381077</v>
      </c>
      <c r="I9167" t="str">
        <f t="shared" si="1734"/>
        <v>06/11/2025</v>
      </c>
      <c r="J9167" t="str">
        <f t="shared" si="1736"/>
        <v>24/10/2025</v>
      </c>
      <c r="K9167" t="str">
        <f>("06/11/2025")</f>
        <v>06/11/2025</v>
      </c>
      <c r="L9167">
        <v>408</v>
      </c>
      <c r="M9167">
        <v>408</v>
      </c>
      <c r="N9167">
        <v>109</v>
      </c>
      <c r="O9167" t="str">
        <f>"PAGAMENTO DE ENTREGADORES"</f>
        <v>PAGAMENTO DE ENTREGADORES</v>
      </c>
      <c r="P9167">
        <v>408</v>
      </c>
      <c r="S9167" t="str">
        <f>"BANCO C6 (149)"</f>
        <v>BANCO C6 (149)</v>
      </c>
      <c r="T9167">
        <v>20656</v>
      </c>
      <c r="U9167">
        <v>24292</v>
      </c>
      <c r="V9167" t="s">
        <v>77</v>
      </c>
    </row>
    <row r="9168" spans="1:22">
      <c r="A9168" t="str">
        <f t="shared" si="1729"/>
        <v>06/11/2025</v>
      </c>
      <c r="B9168" t="str">
        <f t="shared" si="1731"/>
        <v>SAÍDA</v>
      </c>
      <c r="C9168" t="str">
        <f t="shared" si="1732"/>
        <v>PIX</v>
      </c>
      <c r="D9168" t="str">
        <f>"24292"</f>
        <v>24292</v>
      </c>
      <c r="E9168" t="str">
        <f t="shared" si="1733"/>
        <v>1</v>
      </c>
      <c r="F9168" t="str">
        <f t="shared" si="1730"/>
        <v>COM</v>
      </c>
      <c r="G9168" t="str">
        <f>"GILSON OLIVEIRA CAMPINHO JUNIOR (132)"</f>
        <v>GILSON OLIVEIRA CAMPINHO JUNIOR (132)</v>
      </c>
      <c r="H9168" t="s">
        <v>2626</v>
      </c>
      <c r="I9168" t="str">
        <f t="shared" si="1734"/>
        <v>06/11/2025</v>
      </c>
      <c r="J9168" t="str">
        <f t="shared" si="1736"/>
        <v>24/10/2025</v>
      </c>
      <c r="K9168">
        <v>45967</v>
      </c>
      <c r="N9168">
        <v>109</v>
      </c>
      <c r="O9168" t="s">
        <v>24</v>
      </c>
      <c r="Q9168">
        <v>408</v>
      </c>
      <c r="R9168" t="str">
        <f>"FARMÁCIA INDIANA LJ 91 (10037)"</f>
        <v>FARMÁCIA INDIANA LJ 91 (10037)</v>
      </c>
      <c r="S9168" t="s">
        <v>77</v>
      </c>
      <c r="T9168">
        <v>20656</v>
      </c>
      <c r="U9168">
        <v>24292</v>
      </c>
      <c r="V9168" t="s">
        <v>77</v>
      </c>
    </row>
    <row r="9169" spans="1:22">
      <c r="A9169" t="str">
        <f t="shared" si="1729"/>
        <v>06/11/2025</v>
      </c>
      <c r="B9169" t="str">
        <f t="shared" si="1731"/>
        <v>SAÍDA</v>
      </c>
      <c r="C9169" t="str">
        <f t="shared" si="1732"/>
        <v>PIX</v>
      </c>
      <c r="D9169" t="str">
        <f>"24293"</f>
        <v>24293</v>
      </c>
      <c r="E9169" t="str">
        <f t="shared" si="1733"/>
        <v>1</v>
      </c>
      <c r="F9169" t="str">
        <f t="shared" si="1730"/>
        <v>COM</v>
      </c>
      <c r="G9169" t="str">
        <f>"GUSTAVO SILVA LIMA (771)"</f>
        <v>GUSTAVO SILVA LIMA (771)</v>
      </c>
      <c r="H9169" t="str">
        <f>"Serv.Prest. 20/10/2025 a 24/10/2025 - PIX: CELULAR - CHAVE: (73) 98888-3793"</f>
        <v>Serv.Prest. 20/10/2025 a 24/10/2025 - PIX: CELULAR - CHAVE: (73) 98888-3793</v>
      </c>
      <c r="I9169" t="str">
        <f t="shared" si="1734"/>
        <v>06/11/2025</v>
      </c>
      <c r="J9169" t="str">
        <f t="shared" si="1736"/>
        <v>24/10/2025</v>
      </c>
      <c r="K9169" t="str">
        <f>("06/11/2025")</f>
        <v>06/11/2025</v>
      </c>
      <c r="L9169">
        <v>654</v>
      </c>
      <c r="M9169">
        <v>654</v>
      </c>
      <c r="N9169">
        <v>109</v>
      </c>
      <c r="O9169" t="str">
        <f>"PAGAMENTO DE ENTREGADORES"</f>
        <v>PAGAMENTO DE ENTREGADORES</v>
      </c>
      <c r="P9169">
        <v>654</v>
      </c>
      <c r="S9169" t="str">
        <f>"BANCO C6 (149)"</f>
        <v>BANCO C6 (149)</v>
      </c>
      <c r="T9169">
        <v>20657</v>
      </c>
      <c r="U9169">
        <v>24293</v>
      </c>
      <c r="V9169" t="s">
        <v>77</v>
      </c>
    </row>
    <row r="9170" spans="1:22">
      <c r="A9170" t="str">
        <f t="shared" si="1729"/>
        <v>06/11/2025</v>
      </c>
      <c r="B9170" t="str">
        <f t="shared" si="1731"/>
        <v>SAÍDA</v>
      </c>
      <c r="C9170" t="str">
        <f t="shared" si="1732"/>
        <v>PIX</v>
      </c>
      <c r="D9170" t="str">
        <f>"24293"</f>
        <v>24293</v>
      </c>
      <c r="E9170" t="str">
        <f t="shared" si="1733"/>
        <v>1</v>
      </c>
      <c r="F9170" t="str">
        <f t="shared" si="1730"/>
        <v>COM</v>
      </c>
      <c r="G9170" t="str">
        <f>"GUSTAVO SILVA LIMA (771)"</f>
        <v>GUSTAVO SILVA LIMA (771)</v>
      </c>
      <c r="H9170" t="s">
        <v>2627</v>
      </c>
      <c r="I9170" t="str">
        <f t="shared" si="1734"/>
        <v>06/11/2025</v>
      </c>
      <c r="J9170" t="str">
        <f t="shared" si="1736"/>
        <v>24/10/2025</v>
      </c>
      <c r="K9170">
        <v>45967</v>
      </c>
      <c r="N9170">
        <v>109</v>
      </c>
      <c r="O9170" t="s">
        <v>24</v>
      </c>
      <c r="Q9170">
        <v>560.54</v>
      </c>
      <c r="R9170" t="str">
        <f>"FARMÁCIA INDIANA LJ 65 (10030)"</f>
        <v>FARMÁCIA INDIANA LJ 65 (10030)</v>
      </c>
      <c r="S9170" t="s">
        <v>77</v>
      </c>
      <c r="T9170">
        <v>20657</v>
      </c>
      <c r="U9170">
        <v>24293</v>
      </c>
      <c r="V9170" t="s">
        <v>77</v>
      </c>
    </row>
    <row r="9171" spans="1:22">
      <c r="A9171" t="str">
        <f t="shared" si="1729"/>
        <v>06/11/2025</v>
      </c>
      <c r="B9171" t="str">
        <f t="shared" si="1731"/>
        <v>SAÍDA</v>
      </c>
      <c r="C9171" t="str">
        <f t="shared" si="1732"/>
        <v>PIX</v>
      </c>
      <c r="D9171" t="str">
        <f>"24293"</f>
        <v>24293</v>
      </c>
      <c r="E9171" t="str">
        <f t="shared" si="1733"/>
        <v>1</v>
      </c>
      <c r="F9171" t="str">
        <f t="shared" si="1730"/>
        <v>COM</v>
      </c>
      <c r="G9171" t="str">
        <f>"GUSTAVO SILVA LIMA (771)"</f>
        <v>GUSTAVO SILVA LIMA (771)</v>
      </c>
      <c r="H9171" t="s">
        <v>2627</v>
      </c>
      <c r="I9171" t="str">
        <f t="shared" si="1734"/>
        <v>06/11/2025</v>
      </c>
      <c r="J9171" t="str">
        <f t="shared" si="1736"/>
        <v>24/10/2025</v>
      </c>
      <c r="K9171">
        <v>45967</v>
      </c>
      <c r="N9171">
        <v>109</v>
      </c>
      <c r="O9171" t="s">
        <v>24</v>
      </c>
      <c r="Q9171">
        <v>93.46</v>
      </c>
      <c r="R9171" t="str">
        <f>"FARMÁCIA INDIANA LJ 173 (10075)"</f>
        <v>FARMÁCIA INDIANA LJ 173 (10075)</v>
      </c>
      <c r="S9171" t="s">
        <v>77</v>
      </c>
      <c r="T9171">
        <v>20657</v>
      </c>
      <c r="U9171">
        <v>24293</v>
      </c>
      <c r="V9171" t="s">
        <v>77</v>
      </c>
    </row>
    <row r="9172" spans="1:22">
      <c r="A9172" t="str">
        <f t="shared" si="1729"/>
        <v>06/11/2025</v>
      </c>
      <c r="B9172" t="str">
        <f t="shared" si="1731"/>
        <v>SAÍDA</v>
      </c>
      <c r="C9172" t="str">
        <f t="shared" si="1732"/>
        <v>PIX</v>
      </c>
      <c r="D9172" t="str">
        <f>"24294"</f>
        <v>24294</v>
      </c>
      <c r="E9172" t="str">
        <f t="shared" si="1733"/>
        <v>1</v>
      </c>
      <c r="F9172" t="str">
        <f t="shared" si="1730"/>
        <v>COM</v>
      </c>
      <c r="G9172" t="str">
        <f>"JALDENIR MENDES DOS SANTOS (167)"</f>
        <v>JALDENIR MENDES DOS SANTOS (167)</v>
      </c>
      <c r="H9172" t="str">
        <f>"Serv.Prest. 20/10/2025 a 24/10/2025 - PIX: CPF - CHAVE: 439.169.103-53"</f>
        <v>Serv.Prest. 20/10/2025 a 24/10/2025 - PIX: CPF - CHAVE: 439.169.103-53</v>
      </c>
      <c r="I9172" t="str">
        <f t="shared" si="1734"/>
        <v>06/11/2025</v>
      </c>
      <c r="J9172" t="str">
        <f t="shared" si="1736"/>
        <v>24/10/2025</v>
      </c>
      <c r="K9172" t="str">
        <f>("06/11/2025")</f>
        <v>06/11/2025</v>
      </c>
      <c r="L9172">
        <v>437.75</v>
      </c>
      <c r="M9172">
        <v>437.75</v>
      </c>
      <c r="N9172">
        <v>109</v>
      </c>
      <c r="O9172" t="str">
        <f>"PAGAMENTO DE ENTREGADORES"</f>
        <v>PAGAMENTO DE ENTREGADORES</v>
      </c>
      <c r="P9172">
        <v>437.75</v>
      </c>
      <c r="S9172" t="str">
        <f>"BANCO C6 (149)"</f>
        <v>BANCO C6 (149)</v>
      </c>
      <c r="T9172">
        <v>20658</v>
      </c>
      <c r="U9172">
        <v>24294</v>
      </c>
      <c r="V9172" t="s">
        <v>77</v>
      </c>
    </row>
    <row r="9173" spans="1:22">
      <c r="A9173" t="str">
        <f t="shared" si="1729"/>
        <v>06/11/2025</v>
      </c>
      <c r="B9173" t="str">
        <f t="shared" si="1731"/>
        <v>SAÍDA</v>
      </c>
      <c r="C9173" t="str">
        <f t="shared" si="1732"/>
        <v>PIX</v>
      </c>
      <c r="D9173" t="str">
        <f>"24294"</f>
        <v>24294</v>
      </c>
      <c r="E9173" t="str">
        <f t="shared" si="1733"/>
        <v>1</v>
      </c>
      <c r="F9173" t="str">
        <f t="shared" si="1730"/>
        <v>COM</v>
      </c>
      <c r="G9173" t="str">
        <f>"JALDENIR MENDES DOS SANTOS (167)"</f>
        <v>JALDENIR MENDES DOS SANTOS (167)</v>
      </c>
      <c r="H9173" t="s">
        <v>2628</v>
      </c>
      <c r="I9173" t="str">
        <f t="shared" si="1734"/>
        <v>06/11/2025</v>
      </c>
      <c r="J9173" t="str">
        <f t="shared" si="1736"/>
        <v>24/10/2025</v>
      </c>
      <c r="K9173">
        <v>45967</v>
      </c>
      <c r="N9173">
        <v>109</v>
      </c>
      <c r="O9173" t="s">
        <v>24</v>
      </c>
      <c r="Q9173">
        <v>437.75</v>
      </c>
      <c r="R9173" t="str">
        <f>"FARMÁCIA INDIANA LJ 34 (10014)"</f>
        <v>FARMÁCIA INDIANA LJ 34 (10014)</v>
      </c>
      <c r="S9173" t="s">
        <v>77</v>
      </c>
      <c r="T9173">
        <v>20658</v>
      </c>
      <c r="U9173">
        <v>24294</v>
      </c>
      <c r="V9173" t="s">
        <v>77</v>
      </c>
    </row>
    <row r="9174" spans="1:22">
      <c r="A9174" t="str">
        <f t="shared" si="1729"/>
        <v>06/11/2025</v>
      </c>
      <c r="B9174" t="str">
        <f t="shared" si="1731"/>
        <v>SAÍDA</v>
      </c>
      <c r="C9174" t="str">
        <f t="shared" si="1732"/>
        <v>PIX</v>
      </c>
      <c r="D9174" t="str">
        <f>"24295"</f>
        <v>24295</v>
      </c>
      <c r="E9174" t="str">
        <f t="shared" si="1733"/>
        <v>1</v>
      </c>
      <c r="F9174" t="str">
        <f t="shared" si="1730"/>
        <v>COM</v>
      </c>
      <c r="G9174" t="str">
        <f>"JARLES DE SOUZA PEREIRA (109)"</f>
        <v>JARLES DE SOUZA PEREIRA (109)</v>
      </c>
      <c r="H9174" t="str">
        <f>"Serv.Prest. 20/10/2025 a 24/10/2025 - PIX: CELULAR - CHAVE: (73) 99115-9602"</f>
        <v>Serv.Prest. 20/10/2025 a 24/10/2025 - PIX: CELULAR - CHAVE: (73) 99115-9602</v>
      </c>
      <c r="I9174" t="str">
        <f t="shared" si="1734"/>
        <v>06/11/2025</v>
      </c>
      <c r="J9174" t="str">
        <f t="shared" si="1736"/>
        <v>24/10/2025</v>
      </c>
      <c r="K9174" t="str">
        <f>("06/11/2025")</f>
        <v>06/11/2025</v>
      </c>
      <c r="L9174">
        <v>654</v>
      </c>
      <c r="M9174">
        <v>654</v>
      </c>
      <c r="N9174">
        <v>109</v>
      </c>
      <c r="O9174" t="str">
        <f>"PAGAMENTO DE ENTREGADORES"</f>
        <v>PAGAMENTO DE ENTREGADORES</v>
      </c>
      <c r="P9174">
        <v>654</v>
      </c>
      <c r="S9174" t="str">
        <f>"BANCO C6 (149)"</f>
        <v>BANCO C6 (149)</v>
      </c>
      <c r="T9174">
        <v>20659</v>
      </c>
      <c r="U9174">
        <v>24295</v>
      </c>
      <c r="V9174" t="s">
        <v>77</v>
      </c>
    </row>
    <row r="9175" spans="1:22">
      <c r="A9175" t="str">
        <f t="shared" si="1729"/>
        <v>06/11/2025</v>
      </c>
      <c r="B9175" t="str">
        <f t="shared" si="1731"/>
        <v>SAÍDA</v>
      </c>
      <c r="C9175" t="str">
        <f t="shared" si="1732"/>
        <v>PIX</v>
      </c>
      <c r="D9175" t="str">
        <f>"24295"</f>
        <v>24295</v>
      </c>
      <c r="E9175" t="str">
        <f t="shared" si="1733"/>
        <v>1</v>
      </c>
      <c r="F9175" t="str">
        <f t="shared" si="1730"/>
        <v>COM</v>
      </c>
      <c r="G9175" t="str">
        <f>"JARLES DE SOUZA PEREIRA (109)"</f>
        <v>JARLES DE SOUZA PEREIRA (109)</v>
      </c>
      <c r="H9175" t="s">
        <v>2629</v>
      </c>
      <c r="I9175" t="str">
        <f t="shared" si="1734"/>
        <v>06/11/2025</v>
      </c>
      <c r="J9175" t="str">
        <f t="shared" si="1736"/>
        <v>24/10/2025</v>
      </c>
      <c r="K9175">
        <v>45967</v>
      </c>
      <c r="N9175">
        <v>109</v>
      </c>
      <c r="O9175" t="s">
        <v>24</v>
      </c>
      <c r="Q9175">
        <v>654</v>
      </c>
      <c r="R9175" t="str">
        <f>"FARMÁCIA INDIANA LJ 173 (10075)"</f>
        <v>FARMÁCIA INDIANA LJ 173 (10075)</v>
      </c>
      <c r="S9175" t="s">
        <v>77</v>
      </c>
      <c r="T9175">
        <v>20659</v>
      </c>
      <c r="U9175">
        <v>24295</v>
      </c>
      <c r="V9175" t="s">
        <v>77</v>
      </c>
    </row>
    <row r="9176" spans="1:22">
      <c r="A9176" t="str">
        <f t="shared" si="1729"/>
        <v>06/11/2025</v>
      </c>
      <c r="B9176" t="str">
        <f t="shared" si="1731"/>
        <v>SAÍDA</v>
      </c>
      <c r="C9176" t="str">
        <f t="shared" si="1732"/>
        <v>PIX</v>
      </c>
      <c r="D9176" t="str">
        <f>"24296"</f>
        <v>24296</v>
      </c>
      <c r="E9176" t="str">
        <f t="shared" si="1733"/>
        <v>1</v>
      </c>
      <c r="F9176" t="str">
        <f t="shared" si="1730"/>
        <v>COM</v>
      </c>
      <c r="G9176" t="str">
        <f>"JIRLANIA RODRIGUES DOS SANTOS (152)"</f>
        <v>JIRLANIA RODRIGUES DOS SANTOS (152)</v>
      </c>
      <c r="H9176" t="str">
        <f>"Serv.Prest. 20/10/2025 a 24/10/2025 - PIX: CPF - CHAVE: 035.018.455-02"</f>
        <v>Serv.Prest. 20/10/2025 a 24/10/2025 - PIX: CPF - CHAVE: 035.018.455-02</v>
      </c>
      <c r="I9176" t="str">
        <f t="shared" si="1734"/>
        <v>06/11/2025</v>
      </c>
      <c r="J9176" t="str">
        <f t="shared" si="1736"/>
        <v>24/10/2025</v>
      </c>
      <c r="K9176" t="str">
        <f>("06/11/2025")</f>
        <v>06/11/2025</v>
      </c>
      <c r="L9176">
        <v>773.5</v>
      </c>
      <c r="M9176">
        <v>773.5</v>
      </c>
      <c r="N9176">
        <v>109</v>
      </c>
      <c r="O9176" t="str">
        <f>"PAGAMENTO DE ENTREGADORES"</f>
        <v>PAGAMENTO DE ENTREGADORES</v>
      </c>
      <c r="P9176">
        <v>773.5</v>
      </c>
      <c r="S9176" t="str">
        <f>"BANCO C6 (149)"</f>
        <v>BANCO C6 (149)</v>
      </c>
      <c r="T9176">
        <v>20660</v>
      </c>
      <c r="U9176">
        <v>24296</v>
      </c>
      <c r="V9176" t="s">
        <v>77</v>
      </c>
    </row>
    <row r="9177" spans="1:22">
      <c r="A9177" t="str">
        <f t="shared" si="1729"/>
        <v>06/11/2025</v>
      </c>
      <c r="B9177" t="str">
        <f t="shared" si="1731"/>
        <v>SAÍDA</v>
      </c>
      <c r="C9177" t="str">
        <f t="shared" si="1732"/>
        <v>PIX</v>
      </c>
      <c r="D9177" t="str">
        <f>"24296"</f>
        <v>24296</v>
      </c>
      <c r="E9177" t="str">
        <f t="shared" si="1733"/>
        <v>1</v>
      </c>
      <c r="F9177" t="str">
        <f t="shared" si="1730"/>
        <v>COM</v>
      </c>
      <c r="G9177" t="str">
        <f>"JIRLANIA RODRIGUES DOS SANTOS (152)"</f>
        <v>JIRLANIA RODRIGUES DOS SANTOS (152)</v>
      </c>
      <c r="H9177" t="s">
        <v>2630</v>
      </c>
      <c r="I9177" t="str">
        <f t="shared" si="1734"/>
        <v>06/11/2025</v>
      </c>
      <c r="J9177" t="str">
        <f t="shared" si="1736"/>
        <v>24/10/2025</v>
      </c>
      <c r="K9177">
        <v>45967</v>
      </c>
      <c r="N9177">
        <v>109</v>
      </c>
      <c r="O9177" t="s">
        <v>24</v>
      </c>
      <c r="Q9177">
        <v>773.5</v>
      </c>
      <c r="R9177" t="str">
        <f>"FARMÁCIA INDIANA LJ 95 (10039)"</f>
        <v>FARMÁCIA INDIANA LJ 95 (10039)</v>
      </c>
      <c r="S9177" t="s">
        <v>77</v>
      </c>
      <c r="T9177">
        <v>20660</v>
      </c>
      <c r="U9177">
        <v>24296</v>
      </c>
      <c r="V9177" t="s">
        <v>77</v>
      </c>
    </row>
    <row r="9178" spans="1:22">
      <c r="A9178" t="str">
        <f t="shared" si="1729"/>
        <v>06/11/2025</v>
      </c>
      <c r="B9178" t="str">
        <f t="shared" si="1731"/>
        <v>SAÍDA</v>
      </c>
      <c r="C9178" t="str">
        <f t="shared" si="1732"/>
        <v>PIX</v>
      </c>
      <c r="D9178" t="str">
        <f>"24297"</f>
        <v>24297</v>
      </c>
      <c r="E9178" t="str">
        <f t="shared" si="1733"/>
        <v>1</v>
      </c>
      <c r="F9178" t="str">
        <f t="shared" si="1730"/>
        <v>COM</v>
      </c>
      <c r="G9178" t="str">
        <f>"JOAO PEDRO BRITO DE SOUZA (876)"</f>
        <v>JOAO PEDRO BRITO DE SOUZA (876)</v>
      </c>
      <c r="H9178" t="str">
        <f>"Serv.Prest. 20/10/2025 a 24/10/2025 - PIX: CPF - CHAVE: 860.305.455-07"</f>
        <v>Serv.Prest. 20/10/2025 a 24/10/2025 - PIX: CPF - CHAVE: 860.305.455-07</v>
      </c>
      <c r="I9178" t="str">
        <f t="shared" si="1734"/>
        <v>06/11/2025</v>
      </c>
      <c r="J9178" t="str">
        <f t="shared" si="1736"/>
        <v>24/10/2025</v>
      </c>
      <c r="K9178" t="str">
        <f>("06/11/2025")</f>
        <v>06/11/2025</v>
      </c>
      <c r="L9178">
        <v>765</v>
      </c>
      <c r="M9178">
        <v>765</v>
      </c>
      <c r="N9178">
        <v>109</v>
      </c>
      <c r="O9178" t="str">
        <f>"PAGAMENTO DE ENTREGADORES"</f>
        <v>PAGAMENTO DE ENTREGADORES</v>
      </c>
      <c r="P9178">
        <v>765</v>
      </c>
      <c r="S9178" t="str">
        <f>"BANCO C6 (149)"</f>
        <v>BANCO C6 (149)</v>
      </c>
      <c r="T9178">
        <v>20661</v>
      </c>
      <c r="U9178">
        <v>24297</v>
      </c>
      <c r="V9178" t="s">
        <v>77</v>
      </c>
    </row>
    <row r="9179" spans="1:22">
      <c r="A9179" t="str">
        <f t="shared" si="1729"/>
        <v>06/11/2025</v>
      </c>
      <c r="B9179" t="str">
        <f t="shared" si="1731"/>
        <v>SAÍDA</v>
      </c>
      <c r="C9179" t="str">
        <f t="shared" si="1732"/>
        <v>PIX</v>
      </c>
      <c r="D9179" t="str">
        <f>"24297"</f>
        <v>24297</v>
      </c>
      <c r="E9179" t="str">
        <f t="shared" si="1733"/>
        <v>1</v>
      </c>
      <c r="F9179" t="str">
        <f t="shared" si="1730"/>
        <v>COM</v>
      </c>
      <c r="G9179" t="str">
        <f>"JOAO PEDRO BRITO DE SOUZA (876)"</f>
        <v>JOAO PEDRO BRITO DE SOUZA (876)</v>
      </c>
      <c r="H9179" t="s">
        <v>2631</v>
      </c>
      <c r="I9179" t="str">
        <f t="shared" si="1734"/>
        <v>06/11/2025</v>
      </c>
      <c r="J9179" t="str">
        <f t="shared" si="1736"/>
        <v>24/10/2025</v>
      </c>
      <c r="K9179">
        <v>45967</v>
      </c>
      <c r="N9179">
        <v>109</v>
      </c>
      <c r="O9179" t="s">
        <v>24</v>
      </c>
      <c r="Q9179">
        <v>504.98</v>
      </c>
      <c r="R9179" t="str">
        <f>"FARMÁCIA INDIANA LJ 48 (10018)"</f>
        <v>FARMÁCIA INDIANA LJ 48 (10018)</v>
      </c>
      <c r="S9179" t="s">
        <v>77</v>
      </c>
      <c r="T9179">
        <v>20661</v>
      </c>
      <c r="U9179">
        <v>24297</v>
      </c>
      <c r="V9179" t="s">
        <v>77</v>
      </c>
    </row>
    <row r="9180" spans="1:22">
      <c r="A9180" t="str">
        <f t="shared" si="1729"/>
        <v>06/11/2025</v>
      </c>
      <c r="B9180" t="str">
        <f t="shared" si="1731"/>
        <v>SAÍDA</v>
      </c>
      <c r="C9180" t="str">
        <f t="shared" si="1732"/>
        <v>PIX</v>
      </c>
      <c r="D9180" t="str">
        <f>"24297"</f>
        <v>24297</v>
      </c>
      <c r="E9180" t="str">
        <f t="shared" si="1733"/>
        <v>1</v>
      </c>
      <c r="F9180" t="str">
        <f t="shared" si="1730"/>
        <v>COM</v>
      </c>
      <c r="G9180" t="str">
        <f>"JOAO PEDRO BRITO DE SOUZA (876)"</f>
        <v>JOAO PEDRO BRITO DE SOUZA (876)</v>
      </c>
      <c r="H9180" t="s">
        <v>2631</v>
      </c>
      <c r="I9180" t="str">
        <f t="shared" si="1734"/>
        <v>06/11/2025</v>
      </c>
      <c r="J9180" t="str">
        <f t="shared" si="1736"/>
        <v>24/10/2025</v>
      </c>
      <c r="K9180">
        <v>45967</v>
      </c>
      <c r="N9180">
        <v>109</v>
      </c>
      <c r="O9180" t="s">
        <v>24</v>
      </c>
      <c r="Q9180">
        <v>260.02</v>
      </c>
      <c r="R9180" t="str">
        <f>"FARMÁCIA INDIANA LJ 169 (10073)"</f>
        <v>FARMÁCIA INDIANA LJ 169 (10073)</v>
      </c>
      <c r="S9180" t="s">
        <v>77</v>
      </c>
      <c r="T9180">
        <v>20661</v>
      </c>
      <c r="U9180">
        <v>24297</v>
      </c>
      <c r="V9180" t="s">
        <v>77</v>
      </c>
    </row>
    <row r="9181" spans="1:22">
      <c r="A9181" t="str">
        <f t="shared" si="1729"/>
        <v>06/11/2025</v>
      </c>
      <c r="B9181" t="str">
        <f t="shared" si="1731"/>
        <v>SAÍDA</v>
      </c>
      <c r="C9181" t="str">
        <f t="shared" si="1732"/>
        <v>PIX</v>
      </c>
      <c r="D9181" t="str">
        <f>"24298"</f>
        <v>24298</v>
      </c>
      <c r="E9181" t="str">
        <f t="shared" si="1733"/>
        <v>1</v>
      </c>
      <c r="F9181" t="str">
        <f t="shared" si="1730"/>
        <v>COM</v>
      </c>
      <c r="G9181" t="str">
        <f>"JOSE MARIO MENEZES DA CRUZ (941)"</f>
        <v>JOSE MARIO MENEZES DA CRUZ (941)</v>
      </c>
      <c r="H9181" t="str">
        <f>"Serv.Prest. 20/10/2025 a 24/10/2025 - PIX: CPF - CHAVE: 009.476.175-23"</f>
        <v>Serv.Prest. 20/10/2025 a 24/10/2025 - PIX: CPF - CHAVE: 009.476.175-23</v>
      </c>
      <c r="I9181" t="str">
        <f t="shared" si="1734"/>
        <v>06/11/2025</v>
      </c>
      <c r="J9181" t="str">
        <f t="shared" si="1736"/>
        <v>24/10/2025</v>
      </c>
      <c r="K9181" t="str">
        <f>("06/11/2025")</f>
        <v>06/11/2025</v>
      </c>
      <c r="L9181">
        <v>870</v>
      </c>
      <c r="M9181">
        <v>870</v>
      </c>
      <c r="N9181">
        <v>109</v>
      </c>
      <c r="O9181" t="str">
        <f>"PAGAMENTO DE ENTREGADORES"</f>
        <v>PAGAMENTO DE ENTREGADORES</v>
      </c>
      <c r="P9181">
        <v>870</v>
      </c>
      <c r="S9181" t="str">
        <f>"BANCO C6 (149)"</f>
        <v>BANCO C6 (149)</v>
      </c>
      <c r="T9181">
        <v>20662</v>
      </c>
      <c r="U9181">
        <v>24298</v>
      </c>
      <c r="V9181" t="s">
        <v>77</v>
      </c>
    </row>
    <row r="9182" spans="1:22">
      <c r="A9182" t="str">
        <f t="shared" ref="A9182:A9245" si="1737">("06/11/2025")</f>
        <v>06/11/2025</v>
      </c>
      <c r="B9182" t="str">
        <f t="shared" si="1731"/>
        <v>SAÍDA</v>
      </c>
      <c r="C9182" t="str">
        <f t="shared" si="1732"/>
        <v>PIX</v>
      </c>
      <c r="D9182" t="str">
        <f>"24298"</f>
        <v>24298</v>
      </c>
      <c r="E9182" t="str">
        <f t="shared" si="1733"/>
        <v>1</v>
      </c>
      <c r="F9182" t="str">
        <f t="shared" ref="F9182:F9245" si="1738">"COM"</f>
        <v>COM</v>
      </c>
      <c r="G9182" t="str">
        <f>"JOSE MARIO MENEZES DA CRUZ (941)"</f>
        <v>JOSE MARIO MENEZES DA CRUZ (941)</v>
      </c>
      <c r="H9182" t="s">
        <v>2632</v>
      </c>
      <c r="I9182" t="str">
        <f t="shared" si="1734"/>
        <v>06/11/2025</v>
      </c>
      <c r="J9182" t="str">
        <f t="shared" si="1736"/>
        <v>24/10/2025</v>
      </c>
      <c r="K9182">
        <v>45967</v>
      </c>
      <c r="N9182">
        <v>109</v>
      </c>
      <c r="O9182" t="s">
        <v>24</v>
      </c>
      <c r="Q9182">
        <v>870</v>
      </c>
      <c r="R9182" t="str">
        <f>"FARMÁCIA INDIANA LJ 33 (10187)"</f>
        <v>FARMÁCIA INDIANA LJ 33 (10187)</v>
      </c>
      <c r="S9182" t="s">
        <v>77</v>
      </c>
      <c r="T9182">
        <v>20662</v>
      </c>
      <c r="U9182">
        <v>24298</v>
      </c>
      <c r="V9182" t="s">
        <v>77</v>
      </c>
    </row>
    <row r="9183" spans="1:22">
      <c r="A9183" t="str">
        <f t="shared" si="1737"/>
        <v>06/11/2025</v>
      </c>
      <c r="B9183" t="str">
        <f t="shared" si="1731"/>
        <v>SAÍDA</v>
      </c>
      <c r="C9183" t="str">
        <f t="shared" si="1732"/>
        <v>PIX</v>
      </c>
      <c r="D9183" t="str">
        <f>"24299"</f>
        <v>24299</v>
      </c>
      <c r="E9183" t="str">
        <f t="shared" si="1733"/>
        <v>1</v>
      </c>
      <c r="F9183" t="str">
        <f t="shared" si="1738"/>
        <v>COM</v>
      </c>
      <c r="G9183" t="str">
        <f>"JUNIO SOUZA SILVA (610)"</f>
        <v>JUNIO SOUZA SILVA (610)</v>
      </c>
      <c r="H9183" t="str">
        <f>"Serv.Prest. 20/10/2025 a 24/10/2025 - PIX: CELULAR - CHAVE: (73) 98105-2187"</f>
        <v>Serv.Prest. 20/10/2025 a 24/10/2025 - PIX: CELULAR - CHAVE: (73) 98105-2187</v>
      </c>
      <c r="I9183" t="str">
        <f t="shared" si="1734"/>
        <v>06/11/2025</v>
      </c>
      <c r="J9183" t="str">
        <f t="shared" si="1736"/>
        <v>24/10/2025</v>
      </c>
      <c r="K9183" t="str">
        <f>("06/11/2025")</f>
        <v>06/11/2025</v>
      </c>
      <c r="L9183">
        <v>600</v>
      </c>
      <c r="M9183">
        <v>600</v>
      </c>
      <c r="N9183">
        <v>109</v>
      </c>
      <c r="O9183" t="str">
        <f>"PAGAMENTO DE ENTREGADORES"</f>
        <v>PAGAMENTO DE ENTREGADORES</v>
      </c>
      <c r="P9183">
        <v>600</v>
      </c>
      <c r="S9183" t="str">
        <f>"BANCO C6 (149)"</f>
        <v>BANCO C6 (149)</v>
      </c>
      <c r="T9183">
        <v>20663</v>
      </c>
      <c r="U9183">
        <v>24299</v>
      </c>
      <c r="V9183" t="s">
        <v>77</v>
      </c>
    </row>
    <row r="9184" spans="1:22">
      <c r="A9184" t="str">
        <f t="shared" si="1737"/>
        <v>06/11/2025</v>
      </c>
      <c r="B9184" t="str">
        <f t="shared" si="1731"/>
        <v>SAÍDA</v>
      </c>
      <c r="C9184" t="str">
        <f t="shared" si="1732"/>
        <v>PIX</v>
      </c>
      <c r="D9184" t="str">
        <f>"24299"</f>
        <v>24299</v>
      </c>
      <c r="E9184" t="str">
        <f t="shared" si="1733"/>
        <v>1</v>
      </c>
      <c r="F9184" t="str">
        <f t="shared" si="1738"/>
        <v>COM</v>
      </c>
      <c r="G9184" t="str">
        <f>"JUNIO SOUZA SILVA (610)"</f>
        <v>JUNIO SOUZA SILVA (610)</v>
      </c>
      <c r="H9184" t="s">
        <v>2633</v>
      </c>
      <c r="I9184" t="str">
        <f t="shared" si="1734"/>
        <v>06/11/2025</v>
      </c>
      <c r="J9184" t="str">
        <f t="shared" si="1736"/>
        <v>24/10/2025</v>
      </c>
      <c r="K9184">
        <v>45967</v>
      </c>
      <c r="N9184">
        <v>109</v>
      </c>
      <c r="O9184" t="s">
        <v>24</v>
      </c>
      <c r="Q9184">
        <v>600</v>
      </c>
      <c r="R9184" t="str">
        <f>"FARMÁCIA INDIANA LJ 77 (10034)"</f>
        <v>FARMÁCIA INDIANA LJ 77 (10034)</v>
      </c>
      <c r="S9184" t="s">
        <v>77</v>
      </c>
      <c r="T9184">
        <v>20663</v>
      </c>
      <c r="U9184">
        <v>24299</v>
      </c>
      <c r="V9184" t="s">
        <v>77</v>
      </c>
    </row>
    <row r="9185" spans="1:22">
      <c r="A9185" t="str">
        <f t="shared" si="1737"/>
        <v>06/11/2025</v>
      </c>
      <c r="B9185" t="str">
        <f t="shared" ref="B9185:B9248" si="1739">"SAÍDA"</f>
        <v>SAÍDA</v>
      </c>
      <c r="C9185" t="str">
        <f t="shared" ref="C9185:C9248" si="1740">"PIX"</f>
        <v>PIX</v>
      </c>
      <c r="D9185" t="str">
        <f>"24300"</f>
        <v>24300</v>
      </c>
      <c r="E9185" t="str">
        <f t="shared" ref="E9185:E9219" si="1741">"1"</f>
        <v>1</v>
      </c>
      <c r="F9185" t="str">
        <f t="shared" si="1738"/>
        <v>COM</v>
      </c>
      <c r="G9185" t="str">
        <f>"KHENNEDY DAVY DOS SANTOS SILVA (692)"</f>
        <v>KHENNEDY DAVY DOS SANTOS SILVA (692)</v>
      </c>
      <c r="H9185" t="str">
        <f>"Serv.Prest. 20/10/2025 a 24/10/2025 - PIX: CPF - CHAVE: 094.700.685-05"</f>
        <v>Serv.Prest. 20/10/2025 a 24/10/2025 - PIX: CPF - CHAVE: 094.700.685-05</v>
      </c>
      <c r="I9185" t="str">
        <f t="shared" si="1734"/>
        <v>06/11/2025</v>
      </c>
      <c r="J9185" t="str">
        <f t="shared" si="1736"/>
        <v>24/10/2025</v>
      </c>
      <c r="K9185" t="str">
        <f>("06/11/2025")</f>
        <v>06/11/2025</v>
      </c>
      <c r="L9185">
        <v>654</v>
      </c>
      <c r="M9185">
        <v>654</v>
      </c>
      <c r="N9185">
        <v>109</v>
      </c>
      <c r="O9185" t="str">
        <f>"PAGAMENTO DE ENTREGADORES"</f>
        <v>PAGAMENTO DE ENTREGADORES</v>
      </c>
      <c r="P9185">
        <v>654</v>
      </c>
      <c r="S9185" t="str">
        <f>"BANCO C6 (149)"</f>
        <v>BANCO C6 (149)</v>
      </c>
      <c r="T9185">
        <v>20664</v>
      </c>
      <c r="U9185">
        <v>24300</v>
      </c>
      <c r="V9185" t="s">
        <v>77</v>
      </c>
    </row>
    <row r="9186" spans="1:22">
      <c r="A9186" t="str">
        <f t="shared" si="1737"/>
        <v>06/11/2025</v>
      </c>
      <c r="B9186" t="str">
        <f t="shared" si="1739"/>
        <v>SAÍDA</v>
      </c>
      <c r="C9186" t="str">
        <f t="shared" si="1740"/>
        <v>PIX</v>
      </c>
      <c r="D9186" t="str">
        <f>"24300"</f>
        <v>24300</v>
      </c>
      <c r="E9186" t="str">
        <f t="shared" si="1741"/>
        <v>1</v>
      </c>
      <c r="F9186" t="str">
        <f t="shared" si="1738"/>
        <v>COM</v>
      </c>
      <c r="G9186" t="str">
        <f>"KHENNEDY DAVY DOS SANTOS SILVA (692)"</f>
        <v>KHENNEDY DAVY DOS SANTOS SILVA (692)</v>
      </c>
      <c r="H9186" t="s">
        <v>2634</v>
      </c>
      <c r="I9186" t="str">
        <f t="shared" si="1734"/>
        <v>06/11/2025</v>
      </c>
      <c r="J9186" t="str">
        <f t="shared" si="1736"/>
        <v>24/10/2025</v>
      </c>
      <c r="K9186">
        <v>45967</v>
      </c>
      <c r="N9186">
        <v>109</v>
      </c>
      <c r="O9186" t="s">
        <v>24</v>
      </c>
      <c r="Q9186">
        <v>490.5</v>
      </c>
      <c r="R9186" t="str">
        <f>"FARMÁCIA INDIANA LJ 65 (10030)"</f>
        <v>FARMÁCIA INDIANA LJ 65 (10030)</v>
      </c>
      <c r="S9186" t="s">
        <v>77</v>
      </c>
      <c r="T9186">
        <v>20664</v>
      </c>
      <c r="U9186">
        <v>24300</v>
      </c>
      <c r="V9186" t="s">
        <v>77</v>
      </c>
    </row>
    <row r="9187" spans="1:22">
      <c r="A9187" t="str">
        <f t="shared" si="1737"/>
        <v>06/11/2025</v>
      </c>
      <c r="B9187" t="str">
        <f t="shared" si="1739"/>
        <v>SAÍDA</v>
      </c>
      <c r="C9187" t="str">
        <f t="shared" si="1740"/>
        <v>PIX</v>
      </c>
      <c r="D9187" t="str">
        <f>"24300"</f>
        <v>24300</v>
      </c>
      <c r="E9187" t="str">
        <f t="shared" si="1741"/>
        <v>1</v>
      </c>
      <c r="F9187" t="str">
        <f t="shared" si="1738"/>
        <v>COM</v>
      </c>
      <c r="G9187" t="str">
        <f>"KHENNEDY DAVY DOS SANTOS SILVA (692)"</f>
        <v>KHENNEDY DAVY DOS SANTOS SILVA (692)</v>
      </c>
      <c r="H9187" t="s">
        <v>2634</v>
      </c>
      <c r="I9187" t="str">
        <f t="shared" ref="I9187:I9250" si="1742">("06/11/2025")</f>
        <v>06/11/2025</v>
      </c>
      <c r="J9187" t="str">
        <f t="shared" si="1736"/>
        <v>24/10/2025</v>
      </c>
      <c r="K9187">
        <v>45967</v>
      </c>
      <c r="N9187">
        <v>109</v>
      </c>
      <c r="O9187" t="s">
        <v>24</v>
      </c>
      <c r="Q9187">
        <v>163.5</v>
      </c>
      <c r="R9187" t="str">
        <f>"FARMÁCIA INDIANA LJ 173 (10075)"</f>
        <v>FARMÁCIA INDIANA LJ 173 (10075)</v>
      </c>
      <c r="S9187" t="s">
        <v>77</v>
      </c>
      <c r="T9187">
        <v>20664</v>
      </c>
      <c r="U9187">
        <v>24300</v>
      </c>
      <c r="V9187" t="s">
        <v>77</v>
      </c>
    </row>
    <row r="9188" spans="1:22">
      <c r="A9188" t="str">
        <f t="shared" si="1737"/>
        <v>06/11/2025</v>
      </c>
      <c r="B9188" t="str">
        <f t="shared" si="1739"/>
        <v>SAÍDA</v>
      </c>
      <c r="C9188" t="str">
        <f t="shared" si="1740"/>
        <v>PIX</v>
      </c>
      <c r="D9188" t="str">
        <f>"24301"</f>
        <v>24301</v>
      </c>
      <c r="E9188" t="str">
        <f t="shared" si="1741"/>
        <v>1</v>
      </c>
      <c r="F9188" t="str">
        <f t="shared" si="1738"/>
        <v>COM</v>
      </c>
      <c r="G9188" t="str">
        <f>"LEONARDO MERCÊS CAJAZEIRAS (235)"</f>
        <v>LEONARDO MERCÊS CAJAZEIRAS (235)</v>
      </c>
      <c r="H9188" t="str">
        <f>"Serv.Prest. 20/10/2025 a 24/10/2025 - PIX: CELULAR - CHAVE: (73) 99803-0715"</f>
        <v>Serv.Prest. 20/10/2025 a 24/10/2025 - PIX: CELULAR - CHAVE: (73) 99803-0715</v>
      </c>
      <c r="I9188" t="str">
        <f t="shared" si="1742"/>
        <v>06/11/2025</v>
      </c>
      <c r="J9188" t="str">
        <f t="shared" si="1736"/>
        <v>24/10/2025</v>
      </c>
      <c r="K9188" t="str">
        <f>("06/11/2025")</f>
        <v>06/11/2025</v>
      </c>
      <c r="L9188">
        <v>600</v>
      </c>
      <c r="M9188">
        <v>600</v>
      </c>
      <c r="N9188">
        <v>109</v>
      </c>
      <c r="O9188" t="str">
        <f>"PAGAMENTO DE ENTREGADORES"</f>
        <v>PAGAMENTO DE ENTREGADORES</v>
      </c>
      <c r="P9188">
        <v>600</v>
      </c>
      <c r="S9188" t="str">
        <f>"BANCO C6 (149)"</f>
        <v>BANCO C6 (149)</v>
      </c>
      <c r="T9188">
        <v>20665</v>
      </c>
      <c r="U9188">
        <v>24301</v>
      </c>
      <c r="V9188" t="s">
        <v>77</v>
      </c>
    </row>
    <row r="9189" spans="1:22">
      <c r="A9189" t="str">
        <f t="shared" si="1737"/>
        <v>06/11/2025</v>
      </c>
      <c r="B9189" t="str">
        <f t="shared" si="1739"/>
        <v>SAÍDA</v>
      </c>
      <c r="C9189" t="str">
        <f t="shared" si="1740"/>
        <v>PIX</v>
      </c>
      <c r="D9189" t="str">
        <f>"24301"</f>
        <v>24301</v>
      </c>
      <c r="E9189" t="str">
        <f t="shared" si="1741"/>
        <v>1</v>
      </c>
      <c r="F9189" t="str">
        <f t="shared" si="1738"/>
        <v>COM</v>
      </c>
      <c r="G9189" t="str">
        <f>"LEONARDO MERCÊS CAJAZEIRAS (235)"</f>
        <v>LEONARDO MERCÊS CAJAZEIRAS (235)</v>
      </c>
      <c r="H9189" t="s">
        <v>2635</v>
      </c>
      <c r="I9189" t="str">
        <f t="shared" si="1742"/>
        <v>06/11/2025</v>
      </c>
      <c r="J9189" t="str">
        <f t="shared" si="1736"/>
        <v>24/10/2025</v>
      </c>
      <c r="K9189">
        <v>45967</v>
      </c>
      <c r="N9189">
        <v>109</v>
      </c>
      <c r="O9189" t="s">
        <v>24</v>
      </c>
      <c r="Q9189">
        <v>600</v>
      </c>
      <c r="R9189" t="str">
        <f>"FARMÁCIA INDIANA LJ 35 (10015)"</f>
        <v>FARMÁCIA INDIANA LJ 35 (10015)</v>
      </c>
      <c r="S9189" t="s">
        <v>77</v>
      </c>
      <c r="T9189">
        <v>20665</v>
      </c>
      <c r="U9189">
        <v>24301</v>
      </c>
      <c r="V9189" t="s">
        <v>77</v>
      </c>
    </row>
    <row r="9190" spans="1:22">
      <c r="A9190" t="str">
        <f t="shared" si="1737"/>
        <v>06/11/2025</v>
      </c>
      <c r="B9190" t="str">
        <f t="shared" si="1739"/>
        <v>SAÍDA</v>
      </c>
      <c r="C9190" t="str">
        <f t="shared" si="1740"/>
        <v>PIX</v>
      </c>
      <c r="D9190" t="str">
        <f>"24302"</f>
        <v>24302</v>
      </c>
      <c r="E9190" t="str">
        <f t="shared" si="1741"/>
        <v>1</v>
      </c>
      <c r="F9190" t="str">
        <f t="shared" si="1738"/>
        <v>COM</v>
      </c>
      <c r="G9190" t="str">
        <f>"LUCAS MOREIRA PEREIRA (153)"</f>
        <v>LUCAS MOREIRA PEREIRA (153)</v>
      </c>
      <c r="H9190" t="str">
        <f>"Serv.Prest. 20/10/2025 a 24/10/2025 - PIX: CELULAR - CHAVE: (73) 99967-3239"</f>
        <v>Serv.Prest. 20/10/2025 a 24/10/2025 - PIX: CELULAR - CHAVE: (73) 99967-3239</v>
      </c>
      <c r="I9190" t="str">
        <f t="shared" si="1742"/>
        <v>06/11/2025</v>
      </c>
      <c r="J9190" t="str">
        <f t="shared" ref="J9190:J9219" si="1743">("24/10/2025")</f>
        <v>24/10/2025</v>
      </c>
      <c r="K9190" t="str">
        <f>("06/11/2025")</f>
        <v>06/11/2025</v>
      </c>
      <c r="L9190">
        <v>1065</v>
      </c>
      <c r="M9190">
        <v>1065</v>
      </c>
      <c r="N9190">
        <v>109</v>
      </c>
      <c r="O9190" t="str">
        <f>"PAGAMENTO DE ENTREGADORES"</f>
        <v>PAGAMENTO DE ENTREGADORES</v>
      </c>
      <c r="P9190">
        <v>1065</v>
      </c>
      <c r="S9190" t="str">
        <f>"BANCO C6 (149)"</f>
        <v>BANCO C6 (149)</v>
      </c>
      <c r="T9190">
        <v>20666</v>
      </c>
      <c r="U9190">
        <v>24302</v>
      </c>
      <c r="V9190" t="s">
        <v>77</v>
      </c>
    </row>
    <row r="9191" spans="1:22">
      <c r="A9191" t="str">
        <f t="shared" si="1737"/>
        <v>06/11/2025</v>
      </c>
      <c r="B9191" t="str">
        <f t="shared" si="1739"/>
        <v>SAÍDA</v>
      </c>
      <c r="C9191" t="str">
        <f t="shared" si="1740"/>
        <v>PIX</v>
      </c>
      <c r="D9191" t="str">
        <f>"24302"</f>
        <v>24302</v>
      </c>
      <c r="E9191" t="str">
        <f t="shared" si="1741"/>
        <v>1</v>
      </c>
      <c r="F9191" t="str">
        <f t="shared" si="1738"/>
        <v>COM</v>
      </c>
      <c r="G9191" t="str">
        <f>"LUCAS MOREIRA PEREIRA (153)"</f>
        <v>LUCAS MOREIRA PEREIRA (153)</v>
      </c>
      <c r="H9191" t="s">
        <v>2636</v>
      </c>
      <c r="I9191" t="str">
        <f t="shared" si="1742"/>
        <v>06/11/2025</v>
      </c>
      <c r="J9191" t="str">
        <f t="shared" si="1743"/>
        <v>24/10/2025</v>
      </c>
      <c r="K9191">
        <v>45967</v>
      </c>
      <c r="N9191">
        <v>109</v>
      </c>
      <c r="O9191" t="s">
        <v>24</v>
      </c>
      <c r="Q9191">
        <v>769.99</v>
      </c>
      <c r="R9191" t="str">
        <f>"FARMÁCIA INDIANA LJ 48 (10018)"</f>
        <v>FARMÁCIA INDIANA LJ 48 (10018)</v>
      </c>
      <c r="S9191" t="s">
        <v>77</v>
      </c>
      <c r="T9191">
        <v>20666</v>
      </c>
      <c r="U9191">
        <v>24302</v>
      </c>
      <c r="V9191" t="s">
        <v>77</v>
      </c>
    </row>
    <row r="9192" spans="1:22">
      <c r="A9192" t="str">
        <f t="shared" si="1737"/>
        <v>06/11/2025</v>
      </c>
      <c r="B9192" t="str">
        <f t="shared" si="1739"/>
        <v>SAÍDA</v>
      </c>
      <c r="C9192" t="str">
        <f t="shared" si="1740"/>
        <v>PIX</v>
      </c>
      <c r="D9192" t="str">
        <f>"24302"</f>
        <v>24302</v>
      </c>
      <c r="E9192" t="str">
        <f t="shared" si="1741"/>
        <v>1</v>
      </c>
      <c r="F9192" t="str">
        <f t="shared" si="1738"/>
        <v>COM</v>
      </c>
      <c r="G9192" t="str">
        <f>"LUCAS MOREIRA PEREIRA (153)"</f>
        <v>LUCAS MOREIRA PEREIRA (153)</v>
      </c>
      <c r="H9192" t="s">
        <v>2636</v>
      </c>
      <c r="I9192" t="str">
        <f t="shared" si="1742"/>
        <v>06/11/2025</v>
      </c>
      <c r="J9192" t="str">
        <f t="shared" si="1743"/>
        <v>24/10/2025</v>
      </c>
      <c r="K9192">
        <v>45967</v>
      </c>
      <c r="N9192">
        <v>109</v>
      </c>
      <c r="O9192" t="s">
        <v>24</v>
      </c>
      <c r="Q9192">
        <v>295.01</v>
      </c>
      <c r="R9192" t="str">
        <f>"FARMÁCIA INDIANA LJ 169 (10073)"</f>
        <v>FARMÁCIA INDIANA LJ 169 (10073)</v>
      </c>
      <c r="S9192" t="s">
        <v>77</v>
      </c>
      <c r="T9192">
        <v>20666</v>
      </c>
      <c r="U9192">
        <v>24302</v>
      </c>
      <c r="V9192" t="s">
        <v>77</v>
      </c>
    </row>
    <row r="9193" spans="1:22">
      <c r="A9193" t="str">
        <f t="shared" si="1737"/>
        <v>06/11/2025</v>
      </c>
      <c r="B9193" t="str">
        <f t="shared" si="1739"/>
        <v>SAÍDA</v>
      </c>
      <c r="C9193" t="str">
        <f t="shared" si="1740"/>
        <v>PIX</v>
      </c>
      <c r="D9193" t="str">
        <f>"24303"</f>
        <v>24303</v>
      </c>
      <c r="E9193" t="str">
        <f t="shared" si="1741"/>
        <v>1</v>
      </c>
      <c r="F9193" t="str">
        <f t="shared" si="1738"/>
        <v>COM</v>
      </c>
      <c r="G9193" t="str">
        <f>"MARIA ILZA PEREIRA DOS SANTOS (618)"</f>
        <v>MARIA ILZA PEREIRA DOS SANTOS (618)</v>
      </c>
      <c r="H9193" t="str">
        <f>"Serv.Prest. 20/10/2025 a 24/10/2025 - PIX: CPF - CHAVE: 003.157.195-67"</f>
        <v>Serv.Prest. 20/10/2025 a 24/10/2025 - PIX: CPF - CHAVE: 003.157.195-67</v>
      </c>
      <c r="I9193" t="str">
        <f t="shared" si="1742"/>
        <v>06/11/2025</v>
      </c>
      <c r="J9193" t="str">
        <f t="shared" si="1743"/>
        <v>24/10/2025</v>
      </c>
      <c r="K9193" t="str">
        <f>("06/11/2025")</f>
        <v>06/11/2025</v>
      </c>
      <c r="L9193">
        <v>654</v>
      </c>
      <c r="M9193">
        <v>654</v>
      </c>
      <c r="N9193">
        <v>109</v>
      </c>
      <c r="O9193" t="str">
        <f>"PAGAMENTO DE ENTREGADORES"</f>
        <v>PAGAMENTO DE ENTREGADORES</v>
      </c>
      <c r="P9193">
        <v>654</v>
      </c>
      <c r="S9193" t="str">
        <f>"BANCO C6 (149)"</f>
        <v>BANCO C6 (149)</v>
      </c>
      <c r="T9193">
        <v>20667</v>
      </c>
      <c r="U9193">
        <v>24303</v>
      </c>
      <c r="V9193" t="s">
        <v>77</v>
      </c>
    </row>
    <row r="9194" spans="1:22">
      <c r="A9194" t="str">
        <f t="shared" si="1737"/>
        <v>06/11/2025</v>
      </c>
      <c r="B9194" t="str">
        <f t="shared" si="1739"/>
        <v>SAÍDA</v>
      </c>
      <c r="C9194" t="str">
        <f t="shared" si="1740"/>
        <v>PIX</v>
      </c>
      <c r="D9194" t="str">
        <f>"24303"</f>
        <v>24303</v>
      </c>
      <c r="E9194" t="str">
        <f t="shared" si="1741"/>
        <v>1</v>
      </c>
      <c r="F9194" t="str">
        <f t="shared" si="1738"/>
        <v>COM</v>
      </c>
      <c r="G9194" t="str">
        <f>"MARIA ILZA PEREIRA DOS SANTOS (618)"</f>
        <v>MARIA ILZA PEREIRA DOS SANTOS (618)</v>
      </c>
      <c r="H9194" t="s">
        <v>2637</v>
      </c>
      <c r="I9194" t="str">
        <f t="shared" si="1742"/>
        <v>06/11/2025</v>
      </c>
      <c r="J9194" t="str">
        <f t="shared" si="1743"/>
        <v>24/10/2025</v>
      </c>
      <c r="K9194">
        <v>45967</v>
      </c>
      <c r="N9194">
        <v>109</v>
      </c>
      <c r="O9194" t="s">
        <v>24</v>
      </c>
      <c r="Q9194">
        <v>436.02</v>
      </c>
      <c r="R9194" t="str">
        <f>"FARMÁCIA INDIANA LJ 65 (10030)"</f>
        <v>FARMÁCIA INDIANA LJ 65 (10030)</v>
      </c>
      <c r="S9194" t="s">
        <v>77</v>
      </c>
      <c r="T9194">
        <v>20667</v>
      </c>
      <c r="U9194">
        <v>24303</v>
      </c>
      <c r="V9194" t="s">
        <v>77</v>
      </c>
    </row>
    <row r="9195" spans="1:22">
      <c r="A9195" t="str">
        <f t="shared" si="1737"/>
        <v>06/11/2025</v>
      </c>
      <c r="B9195" t="str">
        <f t="shared" si="1739"/>
        <v>SAÍDA</v>
      </c>
      <c r="C9195" t="str">
        <f t="shared" si="1740"/>
        <v>PIX</v>
      </c>
      <c r="D9195" t="str">
        <f>"24303"</f>
        <v>24303</v>
      </c>
      <c r="E9195" t="str">
        <f t="shared" si="1741"/>
        <v>1</v>
      </c>
      <c r="F9195" t="str">
        <f t="shared" si="1738"/>
        <v>COM</v>
      </c>
      <c r="G9195" t="str">
        <f>"MARIA ILZA PEREIRA DOS SANTOS (618)"</f>
        <v>MARIA ILZA PEREIRA DOS SANTOS (618)</v>
      </c>
      <c r="H9195" t="s">
        <v>2637</v>
      </c>
      <c r="I9195" t="str">
        <f t="shared" si="1742"/>
        <v>06/11/2025</v>
      </c>
      <c r="J9195" t="str">
        <f t="shared" si="1743"/>
        <v>24/10/2025</v>
      </c>
      <c r="K9195">
        <v>45967</v>
      </c>
      <c r="N9195">
        <v>109</v>
      </c>
      <c r="O9195" t="s">
        <v>24</v>
      </c>
      <c r="Q9195">
        <v>217.98</v>
      </c>
      <c r="R9195" t="str">
        <f>"FARMÁCIA INDIANA LJ 173 (10075)"</f>
        <v>FARMÁCIA INDIANA LJ 173 (10075)</v>
      </c>
      <c r="S9195" t="s">
        <v>77</v>
      </c>
      <c r="T9195">
        <v>20667</v>
      </c>
      <c r="U9195">
        <v>24303</v>
      </c>
      <c r="V9195" t="s">
        <v>77</v>
      </c>
    </row>
    <row r="9196" spans="1:22">
      <c r="A9196" t="str">
        <f t="shared" si="1737"/>
        <v>06/11/2025</v>
      </c>
      <c r="B9196" t="str">
        <f t="shared" si="1739"/>
        <v>SAÍDA</v>
      </c>
      <c r="C9196" t="str">
        <f t="shared" si="1740"/>
        <v>PIX</v>
      </c>
      <c r="D9196" t="str">
        <f>"24304"</f>
        <v>24304</v>
      </c>
      <c r="E9196" t="str">
        <f t="shared" si="1741"/>
        <v>1</v>
      </c>
      <c r="F9196" t="str">
        <f t="shared" si="1738"/>
        <v>COM</v>
      </c>
      <c r="G9196" t="str">
        <f>"MOABIO AZEVEDO DOS SANTOS (131)"</f>
        <v>MOABIO AZEVEDO DOS SANTOS (131)</v>
      </c>
      <c r="H9196" t="str">
        <f>"Serv.Prest. 20/10/2025 a 24/10/2025 - PIX: CNPJ - CHAVE: 33.412.676/0001-41"</f>
        <v>Serv.Prest. 20/10/2025 a 24/10/2025 - PIX: CNPJ - CHAVE: 33.412.676/0001-41</v>
      </c>
      <c r="I9196" t="str">
        <f t="shared" si="1742"/>
        <v>06/11/2025</v>
      </c>
      <c r="J9196" t="str">
        <f t="shared" si="1743"/>
        <v>24/10/2025</v>
      </c>
      <c r="K9196" t="str">
        <f>("06/11/2025")</f>
        <v>06/11/2025</v>
      </c>
      <c r="L9196">
        <v>642</v>
      </c>
      <c r="M9196">
        <v>642</v>
      </c>
      <c r="N9196">
        <v>109</v>
      </c>
      <c r="O9196" t="str">
        <f>"PAGAMENTO DE ENTREGADORES"</f>
        <v>PAGAMENTO DE ENTREGADORES</v>
      </c>
      <c r="P9196">
        <v>642</v>
      </c>
      <c r="S9196" t="str">
        <f>"BANCO C6 (149)"</f>
        <v>BANCO C6 (149)</v>
      </c>
      <c r="T9196">
        <v>20668</v>
      </c>
      <c r="U9196">
        <v>24304</v>
      </c>
      <c r="V9196" t="s">
        <v>77</v>
      </c>
    </row>
    <row r="9197" spans="1:22">
      <c r="A9197" t="str">
        <f t="shared" si="1737"/>
        <v>06/11/2025</v>
      </c>
      <c r="B9197" t="str">
        <f t="shared" si="1739"/>
        <v>SAÍDA</v>
      </c>
      <c r="C9197" t="str">
        <f t="shared" si="1740"/>
        <v>PIX</v>
      </c>
      <c r="D9197" t="str">
        <f>"24304"</f>
        <v>24304</v>
      </c>
      <c r="E9197" t="str">
        <f t="shared" si="1741"/>
        <v>1</v>
      </c>
      <c r="F9197" t="str">
        <f t="shared" si="1738"/>
        <v>COM</v>
      </c>
      <c r="G9197" t="str">
        <f>"MOABIO AZEVEDO DOS SANTOS (131)"</f>
        <v>MOABIO AZEVEDO DOS SANTOS (131)</v>
      </c>
      <c r="H9197" t="s">
        <v>2638</v>
      </c>
      <c r="I9197" t="str">
        <f t="shared" si="1742"/>
        <v>06/11/2025</v>
      </c>
      <c r="J9197" t="str">
        <f t="shared" si="1743"/>
        <v>24/10/2025</v>
      </c>
      <c r="K9197">
        <v>45967</v>
      </c>
      <c r="N9197">
        <v>109</v>
      </c>
      <c r="O9197" t="s">
        <v>24</v>
      </c>
      <c r="Q9197">
        <v>642</v>
      </c>
      <c r="R9197" t="str">
        <f>"FARMÁCIA INDIANA LJ 91 (10037)"</f>
        <v>FARMÁCIA INDIANA LJ 91 (10037)</v>
      </c>
      <c r="S9197" t="s">
        <v>77</v>
      </c>
      <c r="T9197">
        <v>20668</v>
      </c>
      <c r="U9197">
        <v>24304</v>
      </c>
      <c r="V9197" t="s">
        <v>77</v>
      </c>
    </row>
    <row r="9198" spans="1:22">
      <c r="A9198" t="str">
        <f t="shared" si="1737"/>
        <v>06/11/2025</v>
      </c>
      <c r="B9198" t="str">
        <f t="shared" si="1739"/>
        <v>SAÍDA</v>
      </c>
      <c r="C9198" t="str">
        <f t="shared" si="1740"/>
        <v>PIX</v>
      </c>
      <c r="D9198" t="str">
        <f>"24305"</f>
        <v>24305</v>
      </c>
      <c r="E9198" t="str">
        <f t="shared" si="1741"/>
        <v>1</v>
      </c>
      <c r="F9198" t="str">
        <f t="shared" si="1738"/>
        <v>COM</v>
      </c>
      <c r="G9198" t="str">
        <f>"OSVALDO DOS SANTOS (163)"</f>
        <v>OSVALDO DOS SANTOS (163)</v>
      </c>
      <c r="H9198" t="str">
        <f>"Serv.Prest. 20/10/2025 a 24/10/2025 - PIX: CELULAR - CHAVE: (73) 99977-2721"</f>
        <v>Serv.Prest. 20/10/2025 a 24/10/2025 - PIX: CELULAR - CHAVE: (73) 99977-2721</v>
      </c>
      <c r="I9198" t="str">
        <f t="shared" si="1742"/>
        <v>06/11/2025</v>
      </c>
      <c r="J9198" t="str">
        <f t="shared" si="1743"/>
        <v>24/10/2025</v>
      </c>
      <c r="K9198" t="str">
        <f>("06/11/2025")</f>
        <v>06/11/2025</v>
      </c>
      <c r="L9198">
        <v>600</v>
      </c>
      <c r="M9198">
        <v>600</v>
      </c>
      <c r="N9198">
        <v>109</v>
      </c>
      <c r="O9198" t="str">
        <f>"PAGAMENTO DE ENTREGADORES"</f>
        <v>PAGAMENTO DE ENTREGADORES</v>
      </c>
      <c r="P9198">
        <v>600</v>
      </c>
      <c r="S9198" t="str">
        <f>"BANCO C6 (149)"</f>
        <v>BANCO C6 (149)</v>
      </c>
      <c r="T9198">
        <v>20669</v>
      </c>
      <c r="U9198">
        <v>24305</v>
      </c>
      <c r="V9198" t="s">
        <v>77</v>
      </c>
    </row>
    <row r="9199" spans="1:22">
      <c r="A9199" t="str">
        <f t="shared" si="1737"/>
        <v>06/11/2025</v>
      </c>
      <c r="B9199" t="str">
        <f t="shared" si="1739"/>
        <v>SAÍDA</v>
      </c>
      <c r="C9199" t="str">
        <f t="shared" si="1740"/>
        <v>PIX</v>
      </c>
      <c r="D9199" t="str">
        <f>"24305"</f>
        <v>24305</v>
      </c>
      <c r="E9199" t="str">
        <f t="shared" si="1741"/>
        <v>1</v>
      </c>
      <c r="F9199" t="str">
        <f t="shared" si="1738"/>
        <v>COM</v>
      </c>
      <c r="G9199" t="str">
        <f>"OSVALDO DOS SANTOS (163)"</f>
        <v>OSVALDO DOS SANTOS (163)</v>
      </c>
      <c r="H9199" t="s">
        <v>2639</v>
      </c>
      <c r="I9199" t="str">
        <f t="shared" si="1742"/>
        <v>06/11/2025</v>
      </c>
      <c r="J9199" t="str">
        <f t="shared" si="1743"/>
        <v>24/10/2025</v>
      </c>
      <c r="K9199">
        <v>45967</v>
      </c>
      <c r="N9199">
        <v>109</v>
      </c>
      <c r="O9199" t="s">
        <v>24</v>
      </c>
      <c r="Q9199">
        <v>600</v>
      </c>
      <c r="R9199" t="str">
        <f>"FARMÁCIA INDIANA LJ 35 (10015)"</f>
        <v>FARMÁCIA INDIANA LJ 35 (10015)</v>
      </c>
      <c r="S9199" t="s">
        <v>77</v>
      </c>
      <c r="T9199">
        <v>20669</v>
      </c>
      <c r="U9199">
        <v>24305</v>
      </c>
      <c r="V9199" t="s">
        <v>77</v>
      </c>
    </row>
    <row r="9200" spans="1:22">
      <c r="A9200" t="str">
        <f t="shared" si="1737"/>
        <v>06/11/2025</v>
      </c>
      <c r="B9200" t="str">
        <f t="shared" si="1739"/>
        <v>SAÍDA</v>
      </c>
      <c r="C9200" t="str">
        <f t="shared" si="1740"/>
        <v>PIX</v>
      </c>
      <c r="D9200" t="str">
        <f>"24308"</f>
        <v>24308</v>
      </c>
      <c r="E9200" t="str">
        <f t="shared" si="1741"/>
        <v>1</v>
      </c>
      <c r="F9200" t="str">
        <f t="shared" si="1738"/>
        <v>COM</v>
      </c>
      <c r="G9200" t="str">
        <f>"VINICIUS SANTOS PEREIRA (633)"</f>
        <v>VINICIUS SANTOS PEREIRA (633)</v>
      </c>
      <c r="H9200" t="str">
        <f>"Serv.Prest. 20/10/2025 a 24/10/2025 - PIX: CELULAR - CHAVE: (73) 99818-9718"</f>
        <v>Serv.Prest. 20/10/2025 a 24/10/2025 - PIX: CELULAR - CHAVE: (73) 99818-9718</v>
      </c>
      <c r="I9200" t="str">
        <f t="shared" si="1742"/>
        <v>06/11/2025</v>
      </c>
      <c r="J9200" t="str">
        <f t="shared" si="1743"/>
        <v>24/10/2025</v>
      </c>
      <c r="K9200" t="str">
        <f>("06/11/2025")</f>
        <v>06/11/2025</v>
      </c>
      <c r="L9200">
        <v>569.5</v>
      </c>
      <c r="M9200">
        <v>569.5</v>
      </c>
      <c r="N9200">
        <v>109</v>
      </c>
      <c r="O9200" t="str">
        <f>"PAGAMENTO DE ENTREGADORES"</f>
        <v>PAGAMENTO DE ENTREGADORES</v>
      </c>
      <c r="P9200">
        <v>569.5</v>
      </c>
      <c r="S9200" t="str">
        <f>"BANCO C6 (149)"</f>
        <v>BANCO C6 (149)</v>
      </c>
      <c r="T9200">
        <v>20670</v>
      </c>
      <c r="U9200">
        <v>24308</v>
      </c>
      <c r="V9200" t="s">
        <v>77</v>
      </c>
    </row>
    <row r="9201" spans="1:22">
      <c r="A9201" t="str">
        <f t="shared" si="1737"/>
        <v>06/11/2025</v>
      </c>
      <c r="B9201" t="str">
        <f t="shared" si="1739"/>
        <v>SAÍDA</v>
      </c>
      <c r="C9201" t="str">
        <f t="shared" si="1740"/>
        <v>PIX</v>
      </c>
      <c r="D9201" t="str">
        <f>"24308"</f>
        <v>24308</v>
      </c>
      <c r="E9201" t="str">
        <f t="shared" si="1741"/>
        <v>1</v>
      </c>
      <c r="F9201" t="str">
        <f t="shared" si="1738"/>
        <v>COM</v>
      </c>
      <c r="G9201" t="str">
        <f>"VINICIUS SANTOS PEREIRA (633)"</f>
        <v>VINICIUS SANTOS PEREIRA (633)</v>
      </c>
      <c r="H9201" t="s">
        <v>2640</v>
      </c>
      <c r="I9201" t="str">
        <f t="shared" si="1742"/>
        <v>06/11/2025</v>
      </c>
      <c r="J9201" t="str">
        <f t="shared" si="1743"/>
        <v>24/10/2025</v>
      </c>
      <c r="K9201">
        <v>45967</v>
      </c>
      <c r="N9201">
        <v>109</v>
      </c>
      <c r="O9201" t="s">
        <v>24</v>
      </c>
      <c r="Q9201">
        <v>569.5</v>
      </c>
      <c r="R9201" t="str">
        <f>"FARMÁCIA INDIANA LJ 95 (10039)"</f>
        <v>FARMÁCIA INDIANA LJ 95 (10039)</v>
      </c>
      <c r="S9201" t="s">
        <v>77</v>
      </c>
      <c r="T9201">
        <v>20670</v>
      </c>
      <c r="U9201">
        <v>24308</v>
      </c>
      <c r="V9201" t="s">
        <v>77</v>
      </c>
    </row>
    <row r="9202" spans="1:22">
      <c r="A9202" t="str">
        <f t="shared" si="1737"/>
        <v>06/11/2025</v>
      </c>
      <c r="B9202" t="str">
        <f t="shared" si="1739"/>
        <v>SAÍDA</v>
      </c>
      <c r="C9202" t="str">
        <f t="shared" si="1740"/>
        <v>PIX</v>
      </c>
      <c r="D9202" t="str">
        <f>"24309"</f>
        <v>24309</v>
      </c>
      <c r="E9202" t="str">
        <f t="shared" si="1741"/>
        <v>1</v>
      </c>
      <c r="F9202" t="str">
        <f t="shared" si="1738"/>
        <v>COM</v>
      </c>
      <c r="G9202" t="str">
        <f>"WESLEI GONÇALVES SANTOS (154)"</f>
        <v>WESLEI GONÇALVES SANTOS (154)</v>
      </c>
      <c r="H9202" t="str">
        <f>"Serv.Prest. 20/10/2025 a 24/10/2025 - PIX: CPF - CHAVE: 079.068.045-97"</f>
        <v>Serv.Prest. 20/10/2025 a 24/10/2025 - PIX: CPF - CHAVE: 079.068.045-97</v>
      </c>
      <c r="I9202" t="str">
        <f t="shared" si="1742"/>
        <v>06/11/2025</v>
      </c>
      <c r="J9202" t="str">
        <f t="shared" si="1743"/>
        <v>24/10/2025</v>
      </c>
      <c r="K9202" t="str">
        <f>("06/11/2025")</f>
        <v>06/11/2025</v>
      </c>
      <c r="L9202">
        <v>600.66</v>
      </c>
      <c r="M9202">
        <v>600.66</v>
      </c>
      <c r="N9202">
        <v>109</v>
      </c>
      <c r="O9202" t="str">
        <f>"PAGAMENTO DE ENTREGADORES"</f>
        <v>PAGAMENTO DE ENTREGADORES</v>
      </c>
      <c r="P9202">
        <v>600.66</v>
      </c>
      <c r="S9202" t="str">
        <f>"BANCO C6 (149)"</f>
        <v>BANCO C6 (149)</v>
      </c>
      <c r="T9202">
        <v>20671</v>
      </c>
      <c r="U9202">
        <v>24309</v>
      </c>
      <c r="V9202" t="s">
        <v>77</v>
      </c>
    </row>
    <row r="9203" spans="1:22">
      <c r="A9203" t="str">
        <f t="shared" si="1737"/>
        <v>06/11/2025</v>
      </c>
      <c r="B9203" t="str">
        <f t="shared" si="1739"/>
        <v>SAÍDA</v>
      </c>
      <c r="C9203" t="str">
        <f t="shared" si="1740"/>
        <v>PIX</v>
      </c>
      <c r="D9203" t="str">
        <f>"24309"</f>
        <v>24309</v>
      </c>
      <c r="E9203" t="str">
        <f t="shared" si="1741"/>
        <v>1</v>
      </c>
      <c r="F9203" t="str">
        <f t="shared" si="1738"/>
        <v>COM</v>
      </c>
      <c r="G9203" t="str">
        <f>"WESLEI GONÇALVES SANTOS (154)"</f>
        <v>WESLEI GONÇALVES SANTOS (154)</v>
      </c>
      <c r="H9203" t="s">
        <v>2641</v>
      </c>
      <c r="I9203" t="str">
        <f t="shared" si="1742"/>
        <v>06/11/2025</v>
      </c>
      <c r="J9203" t="str">
        <f t="shared" si="1743"/>
        <v>24/10/2025</v>
      </c>
      <c r="K9203">
        <v>45967</v>
      </c>
      <c r="N9203">
        <v>109</v>
      </c>
      <c r="O9203" t="s">
        <v>24</v>
      </c>
      <c r="Q9203">
        <v>600.66</v>
      </c>
      <c r="R9203" t="str">
        <f>"FARMÁCIA INDIANA LJ 34 (10014)"</f>
        <v>FARMÁCIA INDIANA LJ 34 (10014)</v>
      </c>
      <c r="S9203" t="s">
        <v>77</v>
      </c>
      <c r="T9203">
        <v>20671</v>
      </c>
      <c r="U9203">
        <v>24309</v>
      </c>
      <c r="V9203" t="s">
        <v>77</v>
      </c>
    </row>
    <row r="9204" spans="1:22">
      <c r="A9204" t="str">
        <f t="shared" si="1737"/>
        <v>06/11/2025</v>
      </c>
      <c r="B9204" t="str">
        <f t="shared" si="1739"/>
        <v>SAÍDA</v>
      </c>
      <c r="C9204" t="str">
        <f t="shared" si="1740"/>
        <v>PIX</v>
      </c>
      <c r="D9204" t="str">
        <f>"24310"</f>
        <v>24310</v>
      </c>
      <c r="E9204" t="str">
        <f t="shared" si="1741"/>
        <v>1</v>
      </c>
      <c r="F9204" t="str">
        <f t="shared" si="1738"/>
        <v>COM</v>
      </c>
      <c r="G9204" t="str">
        <f>"YAN BRENDO CORREIA VIEIRA (861)"</f>
        <v>YAN BRENDO CORREIA VIEIRA (861)</v>
      </c>
      <c r="H9204" t="str">
        <f>"Serv.Prest. 20/10/2025 a 24/10/2025 - PIX: CPF - CHAVE: 096.891.935-97"</f>
        <v>Serv.Prest. 20/10/2025 a 24/10/2025 - PIX: CPF - CHAVE: 096.891.935-97</v>
      </c>
      <c r="I9204" t="str">
        <f t="shared" si="1742"/>
        <v>06/11/2025</v>
      </c>
      <c r="J9204" t="str">
        <f t="shared" si="1743"/>
        <v>24/10/2025</v>
      </c>
      <c r="K9204" t="str">
        <f>("06/11/2025")</f>
        <v>06/11/2025</v>
      </c>
      <c r="L9204">
        <v>800</v>
      </c>
      <c r="M9204">
        <v>800</v>
      </c>
      <c r="N9204">
        <v>109</v>
      </c>
      <c r="O9204" t="str">
        <f>"PAGAMENTO DE ENTREGADORES"</f>
        <v>PAGAMENTO DE ENTREGADORES</v>
      </c>
      <c r="P9204">
        <v>800</v>
      </c>
      <c r="S9204" t="str">
        <f>"BANCO C6 (149)"</f>
        <v>BANCO C6 (149)</v>
      </c>
      <c r="T9204">
        <v>20672</v>
      </c>
      <c r="U9204">
        <v>24310</v>
      </c>
      <c r="V9204" t="s">
        <v>77</v>
      </c>
    </row>
    <row r="9205" spans="1:22">
      <c r="A9205" t="str">
        <f t="shared" si="1737"/>
        <v>06/11/2025</v>
      </c>
      <c r="B9205" t="str">
        <f t="shared" si="1739"/>
        <v>SAÍDA</v>
      </c>
      <c r="C9205" t="str">
        <f t="shared" si="1740"/>
        <v>PIX</v>
      </c>
      <c r="D9205" t="str">
        <f>"24310"</f>
        <v>24310</v>
      </c>
      <c r="E9205" t="str">
        <f t="shared" si="1741"/>
        <v>1</v>
      </c>
      <c r="F9205" t="str">
        <f t="shared" si="1738"/>
        <v>COM</v>
      </c>
      <c r="G9205" t="str">
        <f>"YAN BRENDO CORREIA VIEIRA (861)"</f>
        <v>YAN BRENDO CORREIA VIEIRA (861)</v>
      </c>
      <c r="H9205" t="s">
        <v>2153</v>
      </c>
      <c r="I9205" t="str">
        <f t="shared" si="1742"/>
        <v>06/11/2025</v>
      </c>
      <c r="J9205" t="str">
        <f t="shared" si="1743"/>
        <v>24/10/2025</v>
      </c>
      <c r="K9205">
        <v>45967</v>
      </c>
      <c r="N9205">
        <v>109</v>
      </c>
      <c r="O9205" t="s">
        <v>24</v>
      </c>
      <c r="Q9205">
        <v>800</v>
      </c>
      <c r="R9205" t="str">
        <f>"FARMÁCIA INDIANA LJ 200 (10155)"</f>
        <v>FARMÁCIA INDIANA LJ 200 (10155)</v>
      </c>
      <c r="S9205" t="s">
        <v>77</v>
      </c>
      <c r="T9205">
        <v>20672</v>
      </c>
      <c r="U9205">
        <v>24310</v>
      </c>
      <c r="V9205" t="s">
        <v>77</v>
      </c>
    </row>
    <row r="9206" spans="1:22">
      <c r="A9206" t="str">
        <f t="shared" si="1737"/>
        <v>06/11/2025</v>
      </c>
      <c r="B9206" t="str">
        <f t="shared" si="1739"/>
        <v>SAÍDA</v>
      </c>
      <c r="C9206" t="str">
        <f t="shared" si="1740"/>
        <v>PIX</v>
      </c>
      <c r="D9206" t="str">
        <f>"24312"</f>
        <v>24312</v>
      </c>
      <c r="E9206" t="str">
        <f t="shared" si="1741"/>
        <v>1</v>
      </c>
      <c r="F9206" t="str">
        <f t="shared" si="1738"/>
        <v>COM</v>
      </c>
      <c r="G9206" t="str">
        <f>"ANDERSON PEREIRA DOS SANTOS (746)"</f>
        <v>ANDERSON PEREIRA DOS SANTOS (746)</v>
      </c>
      <c r="H9206" t="str">
        <f>"Serv.Prest. 20/10/2025 a 24/10/2025 - PIX: CPF - CHAVE: 079.930.865-07"</f>
        <v>Serv.Prest. 20/10/2025 a 24/10/2025 - PIX: CPF - CHAVE: 079.930.865-07</v>
      </c>
      <c r="I9206" t="str">
        <f t="shared" si="1742"/>
        <v>06/11/2025</v>
      </c>
      <c r="J9206" t="str">
        <f t="shared" si="1743"/>
        <v>24/10/2025</v>
      </c>
      <c r="K9206" t="str">
        <f>("06/11/2025")</f>
        <v>06/11/2025</v>
      </c>
      <c r="L9206">
        <v>804</v>
      </c>
      <c r="M9206">
        <v>804</v>
      </c>
      <c r="N9206">
        <v>109</v>
      </c>
      <c r="O9206" t="str">
        <f>"PAGAMENTO DE ENTREGADORES"</f>
        <v>PAGAMENTO DE ENTREGADORES</v>
      </c>
      <c r="P9206">
        <v>804</v>
      </c>
      <c r="S9206" t="str">
        <f>"BANCO C6 (149)"</f>
        <v>BANCO C6 (149)</v>
      </c>
      <c r="T9206">
        <v>20673</v>
      </c>
      <c r="U9206">
        <v>24312</v>
      </c>
      <c r="V9206" t="s">
        <v>77</v>
      </c>
    </row>
    <row r="9207" spans="1:22">
      <c r="A9207" t="str">
        <f t="shared" si="1737"/>
        <v>06/11/2025</v>
      </c>
      <c r="B9207" t="str">
        <f t="shared" si="1739"/>
        <v>SAÍDA</v>
      </c>
      <c r="C9207" t="str">
        <f t="shared" si="1740"/>
        <v>PIX</v>
      </c>
      <c r="D9207" t="str">
        <f>"24312"</f>
        <v>24312</v>
      </c>
      <c r="E9207" t="str">
        <f t="shared" si="1741"/>
        <v>1</v>
      </c>
      <c r="F9207" t="str">
        <f t="shared" si="1738"/>
        <v>COM</v>
      </c>
      <c r="G9207" t="str">
        <f>"ANDERSON PEREIRA DOS SANTOS (746)"</f>
        <v>ANDERSON PEREIRA DOS SANTOS (746)</v>
      </c>
      <c r="H9207" t="s">
        <v>2642</v>
      </c>
      <c r="I9207" t="str">
        <f t="shared" si="1742"/>
        <v>06/11/2025</v>
      </c>
      <c r="J9207" t="str">
        <f t="shared" si="1743"/>
        <v>24/10/2025</v>
      </c>
      <c r="K9207">
        <v>45967</v>
      </c>
      <c r="N9207">
        <v>109</v>
      </c>
      <c r="O9207" t="s">
        <v>24</v>
      </c>
      <c r="Q9207">
        <v>141.91</v>
      </c>
      <c r="R9207" t="str">
        <f>"FARMÁCIA INDIANA LJ 211 (10168)"</f>
        <v>FARMÁCIA INDIANA LJ 211 (10168)</v>
      </c>
      <c r="S9207" t="s">
        <v>77</v>
      </c>
      <c r="T9207">
        <v>20673</v>
      </c>
      <c r="U9207">
        <v>24312</v>
      </c>
      <c r="V9207" t="s">
        <v>77</v>
      </c>
    </row>
    <row r="9208" spans="1:22">
      <c r="A9208" t="str">
        <f t="shared" si="1737"/>
        <v>06/11/2025</v>
      </c>
      <c r="B9208" t="str">
        <f t="shared" si="1739"/>
        <v>SAÍDA</v>
      </c>
      <c r="C9208" t="str">
        <f t="shared" si="1740"/>
        <v>PIX</v>
      </c>
      <c r="D9208" t="str">
        <f>"24312"</f>
        <v>24312</v>
      </c>
      <c r="E9208" t="str">
        <f t="shared" si="1741"/>
        <v>1</v>
      </c>
      <c r="F9208" t="str">
        <f t="shared" si="1738"/>
        <v>COM</v>
      </c>
      <c r="G9208" t="str">
        <f>"ANDERSON PEREIRA DOS SANTOS (746)"</f>
        <v>ANDERSON PEREIRA DOS SANTOS (746)</v>
      </c>
      <c r="H9208" t="s">
        <v>2642</v>
      </c>
      <c r="I9208" t="str">
        <f t="shared" si="1742"/>
        <v>06/11/2025</v>
      </c>
      <c r="J9208" t="str">
        <f t="shared" si="1743"/>
        <v>24/10/2025</v>
      </c>
      <c r="K9208">
        <v>45967</v>
      </c>
      <c r="N9208">
        <v>109</v>
      </c>
      <c r="O9208" t="s">
        <v>24</v>
      </c>
      <c r="Q9208">
        <v>662.09</v>
      </c>
      <c r="R9208" t="str">
        <f>"FARMÁCIA INDIANA LJ 236 (10169)"</f>
        <v>FARMÁCIA INDIANA LJ 236 (10169)</v>
      </c>
      <c r="S9208" t="s">
        <v>77</v>
      </c>
      <c r="T9208">
        <v>20673</v>
      </c>
      <c r="U9208">
        <v>24312</v>
      </c>
      <c r="V9208" t="s">
        <v>77</v>
      </c>
    </row>
    <row r="9209" spans="1:22">
      <c r="A9209" t="str">
        <f t="shared" si="1737"/>
        <v>06/11/2025</v>
      </c>
      <c r="B9209" t="str">
        <f t="shared" si="1739"/>
        <v>SAÍDA</v>
      </c>
      <c r="C9209" t="str">
        <f t="shared" si="1740"/>
        <v>PIX</v>
      </c>
      <c r="D9209" t="str">
        <f>"24313"</f>
        <v>24313</v>
      </c>
      <c r="E9209" t="str">
        <f t="shared" si="1741"/>
        <v>1</v>
      </c>
      <c r="F9209" t="str">
        <f t="shared" si="1738"/>
        <v>COM</v>
      </c>
      <c r="G9209" t="str">
        <f>"CLEIDIVAN SALOMÃO DOS SANTOS (982)"</f>
        <v>CLEIDIVAN SALOMÃO DOS SANTOS (982)</v>
      </c>
      <c r="H9209" t="str">
        <f>"Serv.Prest. 20/10/2025 a 24/10/2025 - PIX: CPF - CHAVE: 077.317.327-70"</f>
        <v>Serv.Prest. 20/10/2025 a 24/10/2025 - PIX: CPF - CHAVE: 077.317.327-70</v>
      </c>
      <c r="I9209" t="str">
        <f t="shared" si="1742"/>
        <v>06/11/2025</v>
      </c>
      <c r="J9209" t="str">
        <f t="shared" si="1743"/>
        <v>24/10/2025</v>
      </c>
      <c r="K9209" t="str">
        <f>("06/11/2025")</f>
        <v>06/11/2025</v>
      </c>
      <c r="L9209">
        <v>1034</v>
      </c>
      <c r="M9209">
        <v>1034</v>
      </c>
      <c r="N9209">
        <v>109</v>
      </c>
      <c r="O9209" t="str">
        <f>"PAGAMENTO DE ENTREGADORES"</f>
        <v>PAGAMENTO DE ENTREGADORES</v>
      </c>
      <c r="P9209">
        <v>1034</v>
      </c>
      <c r="S9209" t="str">
        <f>"BANCO C6 (149)"</f>
        <v>BANCO C6 (149)</v>
      </c>
      <c r="T9209">
        <v>20674</v>
      </c>
      <c r="U9209">
        <v>24313</v>
      </c>
      <c r="V9209" t="s">
        <v>77</v>
      </c>
    </row>
    <row r="9210" spans="1:22">
      <c r="A9210" t="str">
        <f t="shared" si="1737"/>
        <v>06/11/2025</v>
      </c>
      <c r="B9210" t="str">
        <f t="shared" si="1739"/>
        <v>SAÍDA</v>
      </c>
      <c r="C9210" t="str">
        <f t="shared" si="1740"/>
        <v>PIX</v>
      </c>
      <c r="D9210" t="str">
        <f>"24313"</f>
        <v>24313</v>
      </c>
      <c r="E9210" t="str">
        <f t="shared" si="1741"/>
        <v>1</v>
      </c>
      <c r="F9210" t="str">
        <f t="shared" si="1738"/>
        <v>COM</v>
      </c>
      <c r="G9210" t="str">
        <f>"CLEIDIVAN SALOMÃO DOS SANTOS (982)"</f>
        <v>CLEIDIVAN SALOMÃO DOS SANTOS (982)</v>
      </c>
      <c r="H9210" t="s">
        <v>2643</v>
      </c>
      <c r="I9210" t="str">
        <f t="shared" si="1742"/>
        <v>06/11/2025</v>
      </c>
      <c r="J9210" t="str">
        <f t="shared" si="1743"/>
        <v>24/10/2025</v>
      </c>
      <c r="K9210">
        <v>45967</v>
      </c>
      <c r="N9210">
        <v>109</v>
      </c>
      <c r="O9210" t="s">
        <v>24</v>
      </c>
      <c r="Q9210">
        <v>517</v>
      </c>
      <c r="R9210" t="str">
        <f>"FARMÁCIA INDIANA LJ 243 (10142)"</f>
        <v>FARMÁCIA INDIANA LJ 243 (10142)</v>
      </c>
      <c r="S9210" t="s">
        <v>77</v>
      </c>
      <c r="T9210">
        <v>20674</v>
      </c>
      <c r="U9210">
        <v>24313</v>
      </c>
      <c r="V9210" t="s">
        <v>77</v>
      </c>
    </row>
    <row r="9211" spans="1:22">
      <c r="A9211" t="str">
        <f t="shared" si="1737"/>
        <v>06/11/2025</v>
      </c>
      <c r="B9211" t="str">
        <f t="shared" si="1739"/>
        <v>SAÍDA</v>
      </c>
      <c r="C9211" t="str">
        <f t="shared" si="1740"/>
        <v>PIX</v>
      </c>
      <c r="D9211" t="str">
        <f>"24313"</f>
        <v>24313</v>
      </c>
      <c r="E9211" t="str">
        <f t="shared" si="1741"/>
        <v>1</v>
      </c>
      <c r="F9211" t="str">
        <f t="shared" si="1738"/>
        <v>COM</v>
      </c>
      <c r="G9211" t="str">
        <f>"CLEIDIVAN SALOMÃO DOS SANTOS (982)"</f>
        <v>CLEIDIVAN SALOMÃO DOS SANTOS (982)</v>
      </c>
      <c r="H9211" t="s">
        <v>2643</v>
      </c>
      <c r="I9211" t="str">
        <f t="shared" si="1742"/>
        <v>06/11/2025</v>
      </c>
      <c r="J9211" t="str">
        <f t="shared" si="1743"/>
        <v>24/10/2025</v>
      </c>
      <c r="K9211">
        <v>45967</v>
      </c>
      <c r="N9211">
        <v>109</v>
      </c>
      <c r="O9211" t="s">
        <v>24</v>
      </c>
      <c r="Q9211">
        <v>517</v>
      </c>
      <c r="R9211" t="str">
        <f>"FARMÁCIA INDIANA LJ 235 (10190)"</f>
        <v>FARMÁCIA INDIANA LJ 235 (10190)</v>
      </c>
      <c r="S9211" t="s">
        <v>77</v>
      </c>
      <c r="T9211">
        <v>20674</v>
      </c>
      <c r="U9211">
        <v>24313</v>
      </c>
      <c r="V9211" t="s">
        <v>77</v>
      </c>
    </row>
    <row r="9212" spans="1:22">
      <c r="A9212" t="str">
        <f t="shared" si="1737"/>
        <v>06/11/2025</v>
      </c>
      <c r="B9212" t="str">
        <f t="shared" si="1739"/>
        <v>SAÍDA</v>
      </c>
      <c r="C9212" t="str">
        <f t="shared" si="1740"/>
        <v>PIX</v>
      </c>
      <c r="D9212" t="str">
        <f>"24314"</f>
        <v>24314</v>
      </c>
      <c r="E9212" t="str">
        <f t="shared" si="1741"/>
        <v>1</v>
      </c>
      <c r="F9212" t="str">
        <f t="shared" si="1738"/>
        <v>COM</v>
      </c>
      <c r="G9212" t="str">
        <f>"DANILO ROCHA SILVA (162)"</f>
        <v>DANILO ROCHA SILVA (162)</v>
      </c>
      <c r="H9212" t="str">
        <f>"Serv.Prest. 20/10/2025 a 24/10/2025 - PIX: CELULAR - CHAVE: (27) 99811-6850"</f>
        <v>Serv.Prest. 20/10/2025 a 24/10/2025 - PIX: CELULAR - CHAVE: (27) 99811-6850</v>
      </c>
      <c r="I9212" t="str">
        <f t="shared" si="1742"/>
        <v>06/11/2025</v>
      </c>
      <c r="J9212" t="str">
        <f t="shared" si="1743"/>
        <v>24/10/2025</v>
      </c>
      <c r="K9212" t="str">
        <f>("06/11/2025")</f>
        <v>06/11/2025</v>
      </c>
      <c r="L9212">
        <v>1102.5</v>
      </c>
      <c r="M9212">
        <v>1102.5</v>
      </c>
      <c r="N9212">
        <v>109</v>
      </c>
      <c r="O9212" t="str">
        <f>"PAGAMENTO DE ENTREGADORES"</f>
        <v>PAGAMENTO DE ENTREGADORES</v>
      </c>
      <c r="P9212">
        <v>1102.5</v>
      </c>
      <c r="S9212" t="str">
        <f>"BANCO C6 (149)"</f>
        <v>BANCO C6 (149)</v>
      </c>
      <c r="T9212">
        <v>20675</v>
      </c>
      <c r="U9212">
        <v>24314</v>
      </c>
      <c r="V9212" t="s">
        <v>77</v>
      </c>
    </row>
    <row r="9213" spans="1:22">
      <c r="A9213" t="str">
        <f t="shared" si="1737"/>
        <v>06/11/2025</v>
      </c>
      <c r="B9213" t="str">
        <f t="shared" si="1739"/>
        <v>SAÍDA</v>
      </c>
      <c r="C9213" t="str">
        <f t="shared" si="1740"/>
        <v>PIX</v>
      </c>
      <c r="D9213" t="str">
        <f>"24314"</f>
        <v>24314</v>
      </c>
      <c r="E9213" t="str">
        <f t="shared" si="1741"/>
        <v>1</v>
      </c>
      <c r="F9213" t="str">
        <f t="shared" si="1738"/>
        <v>COM</v>
      </c>
      <c r="G9213" t="str">
        <f>"DANILO ROCHA SILVA (162)"</f>
        <v>DANILO ROCHA SILVA (162)</v>
      </c>
      <c r="H9213" t="s">
        <v>2644</v>
      </c>
      <c r="I9213" t="str">
        <f t="shared" si="1742"/>
        <v>06/11/2025</v>
      </c>
      <c r="J9213" t="str">
        <f t="shared" si="1743"/>
        <v>24/10/2025</v>
      </c>
      <c r="K9213">
        <v>45967</v>
      </c>
      <c r="N9213">
        <v>109</v>
      </c>
      <c r="O9213" t="s">
        <v>24</v>
      </c>
      <c r="Q9213">
        <v>1102.5</v>
      </c>
      <c r="R9213" t="str">
        <f>"FARMÁCIA INDIANA LJ 181 (10078)"</f>
        <v>FARMÁCIA INDIANA LJ 181 (10078)</v>
      </c>
      <c r="S9213" t="s">
        <v>77</v>
      </c>
      <c r="T9213">
        <v>20675</v>
      </c>
      <c r="U9213">
        <v>24314</v>
      </c>
      <c r="V9213" t="s">
        <v>77</v>
      </c>
    </row>
    <row r="9214" spans="1:22">
      <c r="A9214" t="str">
        <f t="shared" si="1737"/>
        <v>06/11/2025</v>
      </c>
      <c r="B9214" t="str">
        <f t="shared" si="1739"/>
        <v>SAÍDA</v>
      </c>
      <c r="C9214" t="str">
        <f t="shared" si="1740"/>
        <v>PIX</v>
      </c>
      <c r="D9214" t="str">
        <f>"24315"</f>
        <v>24315</v>
      </c>
      <c r="E9214" t="str">
        <f t="shared" si="1741"/>
        <v>1</v>
      </c>
      <c r="F9214" t="str">
        <f t="shared" si="1738"/>
        <v>COM</v>
      </c>
      <c r="G9214" t="str">
        <f>"GABRIEL PRATES DE OLIVEIRA (511)"</f>
        <v>GABRIEL PRATES DE OLIVEIRA (511)</v>
      </c>
      <c r="H9214" t="str">
        <f>"Serv.Prest. 20/10/2025 a 24/10/2025 - PIX: CELULAR - CHAVE: (27) 99869-8144"</f>
        <v>Serv.Prest. 20/10/2025 a 24/10/2025 - PIX: CELULAR - CHAVE: (27) 99869-8144</v>
      </c>
      <c r="I9214" t="str">
        <f t="shared" si="1742"/>
        <v>06/11/2025</v>
      </c>
      <c r="J9214" t="str">
        <f t="shared" si="1743"/>
        <v>24/10/2025</v>
      </c>
      <c r="K9214" t="str">
        <f>("06/11/2025")</f>
        <v>06/11/2025</v>
      </c>
      <c r="L9214">
        <v>600</v>
      </c>
      <c r="M9214">
        <v>600</v>
      </c>
      <c r="N9214">
        <v>109</v>
      </c>
      <c r="O9214" t="str">
        <f>"PAGAMENTO DE ENTREGADORES"</f>
        <v>PAGAMENTO DE ENTREGADORES</v>
      </c>
      <c r="P9214">
        <v>600</v>
      </c>
      <c r="S9214" t="str">
        <f>"BANCO C6 (149)"</f>
        <v>BANCO C6 (149)</v>
      </c>
      <c r="T9214">
        <v>20676</v>
      </c>
      <c r="U9214">
        <v>24315</v>
      </c>
      <c r="V9214" t="s">
        <v>77</v>
      </c>
    </row>
    <row r="9215" spans="1:22">
      <c r="A9215" t="str">
        <f t="shared" si="1737"/>
        <v>06/11/2025</v>
      </c>
      <c r="B9215" t="str">
        <f t="shared" si="1739"/>
        <v>SAÍDA</v>
      </c>
      <c r="C9215" t="str">
        <f t="shared" si="1740"/>
        <v>PIX</v>
      </c>
      <c r="D9215" t="str">
        <f>"24315"</f>
        <v>24315</v>
      </c>
      <c r="E9215" t="str">
        <f t="shared" si="1741"/>
        <v>1</v>
      </c>
      <c r="F9215" t="str">
        <f t="shared" si="1738"/>
        <v>COM</v>
      </c>
      <c r="G9215" t="str">
        <f>"GABRIEL PRATES DE OLIVEIRA (511)"</f>
        <v>GABRIEL PRATES DE OLIVEIRA (511)</v>
      </c>
      <c r="H9215" t="s">
        <v>2645</v>
      </c>
      <c r="I9215" t="str">
        <f t="shared" si="1742"/>
        <v>06/11/2025</v>
      </c>
      <c r="J9215" t="str">
        <f t="shared" si="1743"/>
        <v>24/10/2025</v>
      </c>
      <c r="K9215">
        <v>45967</v>
      </c>
      <c r="N9215">
        <v>109</v>
      </c>
      <c r="O9215" t="s">
        <v>24</v>
      </c>
      <c r="Q9215">
        <v>600</v>
      </c>
      <c r="R9215" t="str">
        <f>"FARMÁCIA INDIANA LJ 163 (10072)"</f>
        <v>FARMÁCIA INDIANA LJ 163 (10072)</v>
      </c>
      <c r="S9215" t="s">
        <v>77</v>
      </c>
      <c r="T9215">
        <v>20676</v>
      </c>
      <c r="U9215">
        <v>24315</v>
      </c>
      <c r="V9215" t="s">
        <v>77</v>
      </c>
    </row>
    <row r="9216" spans="1:22">
      <c r="A9216" t="str">
        <f t="shared" si="1737"/>
        <v>06/11/2025</v>
      </c>
      <c r="B9216" t="str">
        <f t="shared" si="1739"/>
        <v>SAÍDA</v>
      </c>
      <c r="C9216" t="str">
        <f t="shared" si="1740"/>
        <v>PIX</v>
      </c>
      <c r="D9216" t="str">
        <f>"24317"</f>
        <v>24317</v>
      </c>
      <c r="E9216" t="str">
        <f t="shared" si="1741"/>
        <v>1</v>
      </c>
      <c r="F9216" t="str">
        <f t="shared" si="1738"/>
        <v>COM</v>
      </c>
      <c r="G9216" t="str">
        <f>"MARCELO SOUZA DE MOURA (924)"</f>
        <v>MARCELO SOUZA DE MOURA (924)</v>
      </c>
      <c r="H9216" t="str">
        <f>"Serv.Prest. 20/10/2025 a 24/10/2025 - PIX: CELULAR - CHAVE: (73) 99167-5954"</f>
        <v>Serv.Prest. 20/10/2025 a 24/10/2025 - PIX: CELULAR - CHAVE: (73) 99167-5954</v>
      </c>
      <c r="I9216" t="str">
        <f t="shared" si="1742"/>
        <v>06/11/2025</v>
      </c>
      <c r="J9216" t="str">
        <f t="shared" si="1743"/>
        <v>24/10/2025</v>
      </c>
      <c r="K9216" t="str">
        <f>("06/11/2025")</f>
        <v>06/11/2025</v>
      </c>
      <c r="L9216">
        <v>1012.5</v>
      </c>
      <c r="M9216">
        <v>1012.5</v>
      </c>
      <c r="N9216">
        <v>109</v>
      </c>
      <c r="O9216" t="str">
        <f>"PAGAMENTO DE ENTREGADORES"</f>
        <v>PAGAMENTO DE ENTREGADORES</v>
      </c>
      <c r="P9216">
        <v>1012.5</v>
      </c>
      <c r="S9216" t="str">
        <f>"BANCO C6 (149)"</f>
        <v>BANCO C6 (149)</v>
      </c>
      <c r="T9216">
        <v>20677</v>
      </c>
      <c r="U9216">
        <v>24317</v>
      </c>
      <c r="V9216" t="s">
        <v>77</v>
      </c>
    </row>
    <row r="9217" spans="1:22">
      <c r="A9217" t="str">
        <f t="shared" si="1737"/>
        <v>06/11/2025</v>
      </c>
      <c r="B9217" t="str">
        <f t="shared" si="1739"/>
        <v>SAÍDA</v>
      </c>
      <c r="C9217" t="str">
        <f t="shared" si="1740"/>
        <v>PIX</v>
      </c>
      <c r="D9217" t="str">
        <f>"24317"</f>
        <v>24317</v>
      </c>
      <c r="E9217" t="str">
        <f t="shared" si="1741"/>
        <v>1</v>
      </c>
      <c r="F9217" t="str">
        <f t="shared" si="1738"/>
        <v>COM</v>
      </c>
      <c r="G9217" t="str">
        <f>"MARCELO SOUZA DE MOURA (924)"</f>
        <v>MARCELO SOUZA DE MOURA (924)</v>
      </c>
      <c r="H9217" t="s">
        <v>2646</v>
      </c>
      <c r="I9217" t="str">
        <f t="shared" si="1742"/>
        <v>06/11/2025</v>
      </c>
      <c r="J9217" t="str">
        <f t="shared" si="1743"/>
        <v>24/10/2025</v>
      </c>
      <c r="K9217">
        <v>45967</v>
      </c>
      <c r="N9217">
        <v>109</v>
      </c>
      <c r="O9217" t="s">
        <v>24</v>
      </c>
      <c r="Q9217">
        <v>1012.5</v>
      </c>
      <c r="R9217" t="str">
        <f>"FARMÁCIA INDIANA LJ 273 (10188)"</f>
        <v>FARMÁCIA INDIANA LJ 273 (10188)</v>
      </c>
      <c r="S9217" t="s">
        <v>77</v>
      </c>
      <c r="T9217">
        <v>20677</v>
      </c>
      <c r="U9217">
        <v>24317</v>
      </c>
      <c r="V9217" t="s">
        <v>77</v>
      </c>
    </row>
    <row r="9218" spans="1:22">
      <c r="A9218" t="str">
        <f t="shared" si="1737"/>
        <v>06/11/2025</v>
      </c>
      <c r="B9218" t="str">
        <f t="shared" si="1739"/>
        <v>SAÍDA</v>
      </c>
      <c r="C9218" t="str">
        <f t="shared" si="1740"/>
        <v>PIX</v>
      </c>
      <c r="D9218" t="str">
        <f>"24319"</f>
        <v>24319</v>
      </c>
      <c r="E9218" t="str">
        <f t="shared" si="1741"/>
        <v>1</v>
      </c>
      <c r="F9218" t="str">
        <f t="shared" si="1738"/>
        <v>COM</v>
      </c>
      <c r="G9218" t="str">
        <f>"VINÍCIUS NEVES PEREIRA (776)"</f>
        <v>VINÍCIUS NEVES PEREIRA (776)</v>
      </c>
      <c r="H9218" t="str">
        <f>"Serv.Prest. 20/10/2025 a 24/10/2025 - PIX: CPF - CHAVE: 121.963.507-37"</f>
        <v>Serv.Prest. 20/10/2025 a 24/10/2025 - PIX: CPF - CHAVE: 121.963.507-37</v>
      </c>
      <c r="I9218" t="str">
        <f t="shared" si="1742"/>
        <v>06/11/2025</v>
      </c>
      <c r="J9218" t="str">
        <f t="shared" si="1743"/>
        <v>24/10/2025</v>
      </c>
      <c r="K9218" t="str">
        <f>("06/11/2025")</f>
        <v>06/11/2025</v>
      </c>
      <c r="L9218">
        <v>750.75</v>
      </c>
      <c r="M9218">
        <v>750.75</v>
      </c>
      <c r="N9218">
        <v>109</v>
      </c>
      <c r="O9218" t="str">
        <f>"PAGAMENTO DE ENTREGADORES"</f>
        <v>PAGAMENTO DE ENTREGADORES</v>
      </c>
      <c r="P9218">
        <v>750.75</v>
      </c>
      <c r="S9218" t="str">
        <f>"BANCO C6 (149)"</f>
        <v>BANCO C6 (149)</v>
      </c>
      <c r="T9218">
        <v>20678</v>
      </c>
      <c r="U9218">
        <v>24319</v>
      </c>
      <c r="V9218" t="s">
        <v>77</v>
      </c>
    </row>
    <row r="9219" spans="1:22">
      <c r="A9219" t="str">
        <f t="shared" si="1737"/>
        <v>06/11/2025</v>
      </c>
      <c r="B9219" t="str">
        <f t="shared" si="1739"/>
        <v>SAÍDA</v>
      </c>
      <c r="C9219" t="str">
        <f t="shared" si="1740"/>
        <v>PIX</v>
      </c>
      <c r="D9219" t="str">
        <f>"24319"</f>
        <v>24319</v>
      </c>
      <c r="E9219" t="str">
        <f t="shared" si="1741"/>
        <v>1</v>
      </c>
      <c r="F9219" t="str">
        <f t="shared" si="1738"/>
        <v>COM</v>
      </c>
      <c r="G9219" t="str">
        <f>"VINÍCIUS NEVES PEREIRA (776)"</f>
        <v>VINÍCIUS NEVES PEREIRA (776)</v>
      </c>
      <c r="H9219" t="s">
        <v>2647</v>
      </c>
      <c r="I9219" t="str">
        <f t="shared" si="1742"/>
        <v>06/11/2025</v>
      </c>
      <c r="J9219" t="str">
        <f t="shared" si="1743"/>
        <v>24/10/2025</v>
      </c>
      <c r="K9219">
        <v>45967</v>
      </c>
      <c r="N9219">
        <v>109</v>
      </c>
      <c r="O9219" t="s">
        <v>24</v>
      </c>
      <c r="Q9219">
        <v>750.75</v>
      </c>
      <c r="R9219" t="str">
        <f>"FARMÁCIA INDIANA LJ 221 (10093)"</f>
        <v>FARMÁCIA INDIANA LJ 221 (10093)</v>
      </c>
      <c r="S9219" t="s">
        <v>77</v>
      </c>
      <c r="T9219">
        <v>20678</v>
      </c>
      <c r="U9219">
        <v>24319</v>
      </c>
      <c r="V9219" t="s">
        <v>77</v>
      </c>
    </row>
    <row r="9220" spans="1:22">
      <c r="A9220" t="str">
        <f t="shared" si="1737"/>
        <v>06/11/2025</v>
      </c>
      <c r="B9220" t="str">
        <f t="shared" si="1739"/>
        <v>SAÍDA</v>
      </c>
      <c r="C9220" t="str">
        <f t="shared" si="1740"/>
        <v>PIX</v>
      </c>
      <c r="D9220" t="str">
        <f>"2310"</f>
        <v>2310</v>
      </c>
      <c r="E9220" t="str">
        <f>"26"</f>
        <v>26</v>
      </c>
      <c r="F9220" t="str">
        <f t="shared" si="1738"/>
        <v>COM</v>
      </c>
      <c r="G9220" t="str">
        <f>"51.114.831 TANIA CRISTINA JOAQUIM (20120)"</f>
        <v>51.114.831 TANIA CRISTINA JOAQUIM (20120)</v>
      </c>
      <c r="H9220" t="str">
        <f>"PAGAMENTO PRESTACAO DE SERVICOS - PIX CELULAR (11) 99181-5502"</f>
        <v>PAGAMENTO PRESTACAO DE SERVICOS - PIX CELULAR (11) 99181-5502</v>
      </c>
      <c r="I9220" t="str">
        <f t="shared" si="1742"/>
        <v>06/11/2025</v>
      </c>
      <c r="J9220" t="str">
        <f>("13/10/2025")</f>
        <v>13/10/2025</v>
      </c>
      <c r="K9220" t="str">
        <f>("06/11/2025")</f>
        <v>06/11/2025</v>
      </c>
      <c r="L9220">
        <v>625</v>
      </c>
      <c r="M9220">
        <v>625</v>
      </c>
      <c r="N9220">
        <v>114</v>
      </c>
      <c r="O9220" t="str">
        <f>"PRESTADORES DE SERVIÇOS"</f>
        <v>PRESTADORES DE SERVIÇOS</v>
      </c>
      <c r="P9220">
        <v>625</v>
      </c>
      <c r="S9220" t="str">
        <f>"BANCO C6 (149)"</f>
        <v>BANCO C6 (149)</v>
      </c>
      <c r="T9220">
        <v>20679</v>
      </c>
      <c r="U9220">
        <v>24542</v>
      </c>
      <c r="V9220" t="s">
        <v>77</v>
      </c>
    </row>
    <row r="9221" spans="1:22">
      <c r="A9221" t="str">
        <f t="shared" si="1737"/>
        <v>06/11/2025</v>
      </c>
      <c r="B9221" t="str">
        <f t="shared" si="1739"/>
        <v>SAÍDA</v>
      </c>
      <c r="C9221" t="str">
        <f t="shared" si="1740"/>
        <v>PIX</v>
      </c>
      <c r="D9221" t="str">
        <f>"2310"</f>
        <v>2310</v>
      </c>
      <c r="E9221" t="str">
        <f>"26"</f>
        <v>26</v>
      </c>
      <c r="F9221" t="str">
        <f t="shared" si="1738"/>
        <v>COM</v>
      </c>
      <c r="G9221" t="str">
        <f>"51.114.831 TANIA CRISTINA JOAQUIM (20120)"</f>
        <v>51.114.831 TANIA CRISTINA JOAQUIM (20120)</v>
      </c>
      <c r="H9221" t="s">
        <v>2001</v>
      </c>
      <c r="I9221" t="str">
        <f t="shared" si="1742"/>
        <v>06/11/2025</v>
      </c>
      <c r="J9221" t="str">
        <f>("13/10/2025")</f>
        <v>13/10/2025</v>
      </c>
      <c r="K9221">
        <v>45967</v>
      </c>
      <c r="N9221">
        <v>114</v>
      </c>
      <c r="O9221" t="s">
        <v>260</v>
      </c>
      <c r="Q9221">
        <v>625</v>
      </c>
      <c r="R9221" t="str">
        <f>"51.114.831 TANIA CRISTINA JOAQUIM (20120)"</f>
        <v>51.114.831 TANIA CRISTINA JOAQUIM (20120)</v>
      </c>
      <c r="S9221" t="s">
        <v>77</v>
      </c>
      <c r="T9221">
        <v>20679</v>
      </c>
      <c r="U9221">
        <v>24542</v>
      </c>
      <c r="V9221" t="s">
        <v>77</v>
      </c>
    </row>
    <row r="9222" spans="1:22">
      <c r="A9222" t="str">
        <f t="shared" si="1737"/>
        <v>06/11/2025</v>
      </c>
      <c r="B9222" t="str">
        <f t="shared" si="1739"/>
        <v>SAÍDA</v>
      </c>
      <c r="C9222" t="str">
        <f t="shared" si="1740"/>
        <v>PIX</v>
      </c>
      <c r="D9222" t="str">
        <f>"24548"</f>
        <v>24548</v>
      </c>
      <c r="E9222" t="str">
        <f t="shared" ref="E9222:E9285" si="1744">"1"</f>
        <v>1</v>
      </c>
      <c r="F9222" t="str">
        <f t="shared" si="1738"/>
        <v>COM</v>
      </c>
      <c r="G9222" t="str">
        <f>"ALAN ACOSTA (897)"</f>
        <v>ALAN ACOSTA (897)</v>
      </c>
      <c r="H9222" t="str">
        <f>"Serv.Prest. 20/10/2025 a 26/10/2025 - PIX: E-MAIL - CHAVE: alanacosta1999@gmail.com"</f>
        <v>Serv.Prest. 20/10/2025 a 26/10/2025 - PIX: E-MAIL - CHAVE: alanacosta1999@gmail.com</v>
      </c>
      <c r="I9222" t="str">
        <f t="shared" si="1742"/>
        <v>06/11/2025</v>
      </c>
      <c r="J9222" t="str">
        <f t="shared" ref="J9222:J9263" si="1745">("31/10/2025")</f>
        <v>31/10/2025</v>
      </c>
      <c r="K9222" t="str">
        <f>("06/11/2025")</f>
        <v>06/11/2025</v>
      </c>
      <c r="L9222">
        <v>655.20000000000005</v>
      </c>
      <c r="M9222">
        <v>655.20000000000005</v>
      </c>
      <c r="N9222">
        <v>109</v>
      </c>
      <c r="O9222" t="str">
        <f>"PAGAMENTO DE ENTREGADORES"</f>
        <v>PAGAMENTO DE ENTREGADORES</v>
      </c>
      <c r="P9222">
        <v>655.20000000000005</v>
      </c>
      <c r="S9222" t="str">
        <f>"BANCO C6 (149)"</f>
        <v>BANCO C6 (149)</v>
      </c>
      <c r="T9222">
        <v>20680</v>
      </c>
      <c r="U9222">
        <v>24548</v>
      </c>
      <c r="V9222" t="s">
        <v>77</v>
      </c>
    </row>
    <row r="9223" spans="1:22">
      <c r="A9223" t="str">
        <f t="shared" si="1737"/>
        <v>06/11/2025</v>
      </c>
      <c r="B9223" t="str">
        <f t="shared" si="1739"/>
        <v>SAÍDA</v>
      </c>
      <c r="C9223" t="str">
        <f t="shared" si="1740"/>
        <v>PIX</v>
      </c>
      <c r="D9223" t="str">
        <f>"24548"</f>
        <v>24548</v>
      </c>
      <c r="E9223" t="str">
        <f t="shared" si="1744"/>
        <v>1</v>
      </c>
      <c r="F9223" t="str">
        <f t="shared" si="1738"/>
        <v>COM</v>
      </c>
      <c r="G9223" t="str">
        <f>"ALAN ACOSTA (897)"</f>
        <v>ALAN ACOSTA (897)</v>
      </c>
      <c r="H9223" t="s">
        <v>2648</v>
      </c>
      <c r="I9223" t="str">
        <f t="shared" si="1742"/>
        <v>06/11/2025</v>
      </c>
      <c r="J9223" t="str">
        <f t="shared" si="1745"/>
        <v>31/10/2025</v>
      </c>
      <c r="K9223">
        <v>45967</v>
      </c>
      <c r="N9223">
        <v>109</v>
      </c>
      <c r="O9223" t="s">
        <v>24</v>
      </c>
      <c r="Q9223">
        <v>655.20000000000005</v>
      </c>
      <c r="R9223" t="str">
        <f>"AC FARMA - CID.ALTA (10166)"</f>
        <v>AC FARMA - CID.ALTA (10166)</v>
      </c>
      <c r="S9223" t="s">
        <v>77</v>
      </c>
      <c r="T9223">
        <v>20680</v>
      </c>
      <c r="U9223">
        <v>24548</v>
      </c>
      <c r="V9223" t="s">
        <v>77</v>
      </c>
    </row>
    <row r="9224" spans="1:22">
      <c r="A9224" t="str">
        <f t="shared" si="1737"/>
        <v>06/11/2025</v>
      </c>
      <c r="B9224" t="str">
        <f t="shared" si="1739"/>
        <v>SAÍDA</v>
      </c>
      <c r="C9224" t="str">
        <f t="shared" si="1740"/>
        <v>PIX</v>
      </c>
      <c r="D9224" t="str">
        <f>"24549"</f>
        <v>24549</v>
      </c>
      <c r="E9224" t="str">
        <f t="shared" si="1744"/>
        <v>1</v>
      </c>
      <c r="F9224" t="str">
        <f t="shared" si="1738"/>
        <v>COM</v>
      </c>
      <c r="G9224" t="str">
        <f>"ALEXANDRE DA CONCEICAO (714)"</f>
        <v>ALEXANDRE DA CONCEICAO (714)</v>
      </c>
      <c r="H9224" t="str">
        <f>"Serv.Prest. 20/10/2025 a 26/10/2025 - PIX: CPF - CHAVE: 975.425.989-53"</f>
        <v>Serv.Prest. 20/10/2025 a 26/10/2025 - PIX: CPF - CHAVE: 975.425.989-53</v>
      </c>
      <c r="I9224" t="str">
        <f t="shared" si="1742"/>
        <v>06/11/2025</v>
      </c>
      <c r="J9224" t="str">
        <f t="shared" si="1745"/>
        <v>31/10/2025</v>
      </c>
      <c r="K9224" t="str">
        <f>("06/11/2025")</f>
        <v>06/11/2025</v>
      </c>
      <c r="L9224">
        <v>359.1</v>
      </c>
      <c r="M9224">
        <v>359.1</v>
      </c>
      <c r="N9224">
        <v>109</v>
      </c>
      <c r="O9224" t="str">
        <f>"PAGAMENTO DE ENTREGADORES"</f>
        <v>PAGAMENTO DE ENTREGADORES</v>
      </c>
      <c r="P9224">
        <v>359.1</v>
      </c>
      <c r="S9224" t="str">
        <f>"BANCO C6 (149)"</f>
        <v>BANCO C6 (149)</v>
      </c>
      <c r="T9224">
        <v>20681</v>
      </c>
      <c r="U9224">
        <v>24549</v>
      </c>
      <c r="V9224" t="s">
        <v>77</v>
      </c>
    </row>
    <row r="9225" spans="1:22">
      <c r="A9225" t="str">
        <f t="shared" si="1737"/>
        <v>06/11/2025</v>
      </c>
      <c r="B9225" t="str">
        <f t="shared" si="1739"/>
        <v>SAÍDA</v>
      </c>
      <c r="C9225" t="str">
        <f t="shared" si="1740"/>
        <v>PIX</v>
      </c>
      <c r="D9225" t="str">
        <f>"24549"</f>
        <v>24549</v>
      </c>
      <c r="E9225" t="str">
        <f t="shared" si="1744"/>
        <v>1</v>
      </c>
      <c r="F9225" t="str">
        <f t="shared" si="1738"/>
        <v>COM</v>
      </c>
      <c r="G9225" t="str">
        <f>"ALEXANDRE DA CONCEICAO (714)"</f>
        <v>ALEXANDRE DA CONCEICAO (714)</v>
      </c>
      <c r="H9225" t="s">
        <v>2649</v>
      </c>
      <c r="I9225" t="str">
        <f t="shared" si="1742"/>
        <v>06/11/2025</v>
      </c>
      <c r="J9225" t="str">
        <f t="shared" si="1745"/>
        <v>31/10/2025</v>
      </c>
      <c r="K9225">
        <v>45967</v>
      </c>
      <c r="N9225">
        <v>109</v>
      </c>
      <c r="O9225" t="s">
        <v>24</v>
      </c>
      <c r="Q9225">
        <v>359.1</v>
      </c>
      <c r="R9225" t="str">
        <f>"AC FARMA - CID.ALTA (10166)"</f>
        <v>AC FARMA - CID.ALTA (10166)</v>
      </c>
      <c r="S9225" t="s">
        <v>77</v>
      </c>
      <c r="T9225">
        <v>20681</v>
      </c>
      <c r="U9225">
        <v>24549</v>
      </c>
      <c r="V9225" t="s">
        <v>77</v>
      </c>
    </row>
    <row r="9226" spans="1:22">
      <c r="A9226" t="str">
        <f t="shared" si="1737"/>
        <v>06/11/2025</v>
      </c>
      <c r="B9226" t="str">
        <f t="shared" si="1739"/>
        <v>SAÍDA</v>
      </c>
      <c r="C9226" t="str">
        <f t="shared" si="1740"/>
        <v>PIX</v>
      </c>
      <c r="D9226" t="str">
        <f>"24550"</f>
        <v>24550</v>
      </c>
      <c r="E9226" t="str">
        <f t="shared" si="1744"/>
        <v>1</v>
      </c>
      <c r="F9226" t="str">
        <f t="shared" si="1738"/>
        <v>COM</v>
      </c>
      <c r="G9226" t="str">
        <f>"CLAUDINEI RIBEIRO VALERIO (681)"</f>
        <v>CLAUDINEI RIBEIRO VALERIO (681)</v>
      </c>
      <c r="H9226" t="str">
        <f>"Serv.Prest. 20/10/2025 a 26/10/2025 - PIX: CELULAR - CHAVE: (43) 99630-7532"</f>
        <v>Serv.Prest. 20/10/2025 a 26/10/2025 - PIX: CELULAR - CHAVE: (43) 99630-7532</v>
      </c>
      <c r="I9226" t="str">
        <f t="shared" si="1742"/>
        <v>06/11/2025</v>
      </c>
      <c r="J9226" t="str">
        <f t="shared" si="1745"/>
        <v>31/10/2025</v>
      </c>
      <c r="K9226" t="str">
        <f>("06/11/2025")</f>
        <v>06/11/2025</v>
      </c>
      <c r="L9226">
        <v>554.4</v>
      </c>
      <c r="M9226">
        <v>554.4</v>
      </c>
      <c r="N9226">
        <v>109</v>
      </c>
      <c r="O9226" t="str">
        <f>"PAGAMENTO DE ENTREGADORES"</f>
        <v>PAGAMENTO DE ENTREGADORES</v>
      </c>
      <c r="P9226">
        <v>554.4</v>
      </c>
      <c r="S9226" t="str">
        <f>"BANCO C6 (149)"</f>
        <v>BANCO C6 (149)</v>
      </c>
      <c r="T9226">
        <v>20682</v>
      </c>
      <c r="U9226">
        <v>24550</v>
      </c>
      <c r="V9226" t="s">
        <v>77</v>
      </c>
    </row>
    <row r="9227" spans="1:22">
      <c r="A9227" t="str">
        <f t="shared" si="1737"/>
        <v>06/11/2025</v>
      </c>
      <c r="B9227" t="str">
        <f t="shared" si="1739"/>
        <v>SAÍDA</v>
      </c>
      <c r="C9227" t="str">
        <f t="shared" si="1740"/>
        <v>PIX</v>
      </c>
      <c r="D9227" t="str">
        <f>"24550"</f>
        <v>24550</v>
      </c>
      <c r="E9227" t="str">
        <f t="shared" si="1744"/>
        <v>1</v>
      </c>
      <c r="F9227" t="str">
        <f t="shared" si="1738"/>
        <v>COM</v>
      </c>
      <c r="G9227" t="str">
        <f>"CLAUDINEI RIBEIRO VALERIO (681)"</f>
        <v>CLAUDINEI RIBEIRO VALERIO (681)</v>
      </c>
      <c r="H9227" t="s">
        <v>2650</v>
      </c>
      <c r="I9227" t="str">
        <f t="shared" si="1742"/>
        <v>06/11/2025</v>
      </c>
      <c r="J9227" t="str">
        <f t="shared" si="1745"/>
        <v>31/10/2025</v>
      </c>
      <c r="K9227">
        <v>45967</v>
      </c>
      <c r="N9227">
        <v>109</v>
      </c>
      <c r="O9227" t="s">
        <v>24</v>
      </c>
      <c r="Q9227">
        <v>554.4</v>
      </c>
      <c r="R9227" t="str">
        <f>"AC FARMA - CID.ALTA (10166)"</f>
        <v>AC FARMA - CID.ALTA (10166)</v>
      </c>
      <c r="S9227" t="s">
        <v>77</v>
      </c>
      <c r="T9227">
        <v>20682</v>
      </c>
      <c r="U9227">
        <v>24550</v>
      </c>
      <c r="V9227" t="s">
        <v>77</v>
      </c>
    </row>
    <row r="9228" spans="1:22">
      <c r="A9228" t="str">
        <f t="shared" si="1737"/>
        <v>06/11/2025</v>
      </c>
      <c r="B9228" t="str">
        <f t="shared" si="1739"/>
        <v>SAÍDA</v>
      </c>
      <c r="C9228" t="str">
        <f t="shared" si="1740"/>
        <v>PIX</v>
      </c>
      <c r="D9228" t="str">
        <f>"24551"</f>
        <v>24551</v>
      </c>
      <c r="E9228" t="str">
        <f t="shared" si="1744"/>
        <v>1</v>
      </c>
      <c r="F9228" t="str">
        <f t="shared" si="1738"/>
        <v>COM</v>
      </c>
      <c r="G9228" t="str">
        <f>"FERNANDO MARTINS DA SILVA (701)"</f>
        <v>FERNANDO MARTINS DA SILVA (701)</v>
      </c>
      <c r="H9228" t="str">
        <f>"Serv.Prest. 20/10/2025 a 26/10/2025 - PIX: CPF - CHAVE: 004.682.359-06"</f>
        <v>Serv.Prest. 20/10/2025 a 26/10/2025 - PIX: CPF - CHAVE: 004.682.359-06</v>
      </c>
      <c r="I9228" t="str">
        <f t="shared" si="1742"/>
        <v>06/11/2025</v>
      </c>
      <c r="J9228" t="str">
        <f t="shared" si="1745"/>
        <v>31/10/2025</v>
      </c>
      <c r="K9228" t="str">
        <f>("06/11/2025")</f>
        <v>06/11/2025</v>
      </c>
      <c r="L9228">
        <v>1083.5999999999999</v>
      </c>
      <c r="M9228">
        <v>1083.5999999999999</v>
      </c>
      <c r="N9228">
        <v>109</v>
      </c>
      <c r="O9228" t="str">
        <f>"PAGAMENTO DE ENTREGADORES"</f>
        <v>PAGAMENTO DE ENTREGADORES</v>
      </c>
      <c r="P9228">
        <v>1083.5999999999999</v>
      </c>
      <c r="S9228" t="str">
        <f>"BANCO C6 (149)"</f>
        <v>BANCO C6 (149)</v>
      </c>
      <c r="T9228">
        <v>20683</v>
      </c>
      <c r="U9228">
        <v>24551</v>
      </c>
      <c r="V9228" t="s">
        <v>77</v>
      </c>
    </row>
    <row r="9229" spans="1:22">
      <c r="A9229" t="str">
        <f t="shared" si="1737"/>
        <v>06/11/2025</v>
      </c>
      <c r="B9229" t="str">
        <f t="shared" si="1739"/>
        <v>SAÍDA</v>
      </c>
      <c r="C9229" t="str">
        <f t="shared" si="1740"/>
        <v>PIX</v>
      </c>
      <c r="D9229" t="str">
        <f>"24551"</f>
        <v>24551</v>
      </c>
      <c r="E9229" t="str">
        <f t="shared" si="1744"/>
        <v>1</v>
      </c>
      <c r="F9229" t="str">
        <f t="shared" si="1738"/>
        <v>COM</v>
      </c>
      <c r="G9229" t="str">
        <f>"FERNANDO MARTINS DA SILVA (701)"</f>
        <v>FERNANDO MARTINS DA SILVA (701)</v>
      </c>
      <c r="H9229" t="s">
        <v>2651</v>
      </c>
      <c r="I9229" t="str">
        <f t="shared" si="1742"/>
        <v>06/11/2025</v>
      </c>
      <c r="J9229" t="str">
        <f t="shared" si="1745"/>
        <v>31/10/2025</v>
      </c>
      <c r="K9229">
        <v>45967</v>
      </c>
      <c r="N9229">
        <v>109</v>
      </c>
      <c r="O9229" t="s">
        <v>24</v>
      </c>
      <c r="Q9229">
        <v>1083.5999999999999</v>
      </c>
      <c r="R9229" t="str">
        <f>"AC FARMA - CID.ALTA (10166)"</f>
        <v>AC FARMA - CID.ALTA (10166)</v>
      </c>
      <c r="S9229" t="s">
        <v>77</v>
      </c>
      <c r="T9229">
        <v>20683</v>
      </c>
      <c r="U9229">
        <v>24551</v>
      </c>
      <c r="V9229" t="s">
        <v>77</v>
      </c>
    </row>
    <row r="9230" spans="1:22">
      <c r="A9230" t="str">
        <f t="shared" si="1737"/>
        <v>06/11/2025</v>
      </c>
      <c r="B9230" t="str">
        <f t="shared" si="1739"/>
        <v>SAÍDA</v>
      </c>
      <c r="C9230" t="str">
        <f t="shared" si="1740"/>
        <v>PIX</v>
      </c>
      <c r="D9230" t="str">
        <f>"24552"</f>
        <v>24552</v>
      </c>
      <c r="E9230" t="str">
        <f t="shared" si="1744"/>
        <v>1</v>
      </c>
      <c r="F9230" t="str">
        <f t="shared" si="1738"/>
        <v>COM</v>
      </c>
      <c r="G9230" t="str">
        <f>"GERALDO SEVERINO DE SANTANA (729)"</f>
        <v>GERALDO SEVERINO DE SANTANA (729)</v>
      </c>
      <c r="H9230" t="str">
        <f>"Serv.Prest. 20/10/2025 a 26/10/2025 - PIX: CELULAR - CHAVE: (43) 99934-1696"</f>
        <v>Serv.Prest. 20/10/2025 a 26/10/2025 - PIX: CELULAR - CHAVE: (43) 99934-1696</v>
      </c>
      <c r="I9230" t="str">
        <f t="shared" si="1742"/>
        <v>06/11/2025</v>
      </c>
      <c r="J9230" t="str">
        <f t="shared" si="1745"/>
        <v>31/10/2025</v>
      </c>
      <c r="K9230" t="str">
        <f>("06/11/2025")</f>
        <v>06/11/2025</v>
      </c>
      <c r="L9230">
        <v>718.2</v>
      </c>
      <c r="M9230">
        <v>718.2</v>
      </c>
      <c r="N9230">
        <v>109</v>
      </c>
      <c r="O9230" t="str">
        <f>"PAGAMENTO DE ENTREGADORES"</f>
        <v>PAGAMENTO DE ENTREGADORES</v>
      </c>
      <c r="P9230">
        <v>718.2</v>
      </c>
      <c r="S9230" t="str">
        <f>"BANCO C6 (149)"</f>
        <v>BANCO C6 (149)</v>
      </c>
      <c r="T9230">
        <v>20684</v>
      </c>
      <c r="U9230">
        <v>24552</v>
      </c>
      <c r="V9230" t="s">
        <v>77</v>
      </c>
    </row>
    <row r="9231" spans="1:22">
      <c r="A9231" t="str">
        <f t="shared" si="1737"/>
        <v>06/11/2025</v>
      </c>
      <c r="B9231" t="str">
        <f t="shared" si="1739"/>
        <v>SAÍDA</v>
      </c>
      <c r="C9231" t="str">
        <f t="shared" si="1740"/>
        <v>PIX</v>
      </c>
      <c r="D9231" t="str">
        <f>"24552"</f>
        <v>24552</v>
      </c>
      <c r="E9231" t="str">
        <f t="shared" si="1744"/>
        <v>1</v>
      </c>
      <c r="F9231" t="str">
        <f t="shared" si="1738"/>
        <v>COM</v>
      </c>
      <c r="G9231" t="str">
        <f>"GERALDO SEVERINO DE SANTANA (729)"</f>
        <v>GERALDO SEVERINO DE SANTANA (729)</v>
      </c>
      <c r="H9231" t="s">
        <v>2652</v>
      </c>
      <c r="I9231" t="str">
        <f t="shared" si="1742"/>
        <v>06/11/2025</v>
      </c>
      <c r="J9231" t="str">
        <f t="shared" si="1745"/>
        <v>31/10/2025</v>
      </c>
      <c r="K9231">
        <v>45967</v>
      </c>
      <c r="N9231">
        <v>109</v>
      </c>
      <c r="O9231" t="s">
        <v>24</v>
      </c>
      <c r="Q9231">
        <v>718.2</v>
      </c>
      <c r="R9231" t="str">
        <f>"AC FARMA - CID.ALTA (10166)"</f>
        <v>AC FARMA - CID.ALTA (10166)</v>
      </c>
      <c r="S9231" t="s">
        <v>77</v>
      </c>
      <c r="T9231">
        <v>20684</v>
      </c>
      <c r="U9231">
        <v>24552</v>
      </c>
      <c r="V9231" t="s">
        <v>77</v>
      </c>
    </row>
    <row r="9232" spans="1:22">
      <c r="A9232" t="str">
        <f t="shared" si="1737"/>
        <v>06/11/2025</v>
      </c>
      <c r="B9232" t="str">
        <f t="shared" si="1739"/>
        <v>SAÍDA</v>
      </c>
      <c r="C9232" t="str">
        <f t="shared" si="1740"/>
        <v>PIX</v>
      </c>
      <c r="D9232" t="str">
        <f>"24553"</f>
        <v>24553</v>
      </c>
      <c r="E9232" t="str">
        <f t="shared" si="1744"/>
        <v>1</v>
      </c>
      <c r="F9232" t="str">
        <f t="shared" si="1738"/>
        <v>COM</v>
      </c>
      <c r="G9232" t="str">
        <f>"HELITON DE OLIVEIRA RAMOS BARBOSA (724)"</f>
        <v>HELITON DE OLIVEIRA RAMOS BARBOSA (724)</v>
      </c>
      <c r="H9232" t="str">
        <f>"Serv.Prest. 20/10/2025 a 26/10/2025 - PIX: CPF - CHAVE: 074.604.219-10"</f>
        <v>Serv.Prest. 20/10/2025 a 26/10/2025 - PIX: CPF - CHAVE: 074.604.219-10</v>
      </c>
      <c r="I9232" t="str">
        <f t="shared" si="1742"/>
        <v>06/11/2025</v>
      </c>
      <c r="J9232" t="str">
        <f t="shared" si="1745"/>
        <v>31/10/2025</v>
      </c>
      <c r="K9232" t="str">
        <f>("06/11/2025")</f>
        <v>06/11/2025</v>
      </c>
      <c r="L9232">
        <v>774.9</v>
      </c>
      <c r="M9232">
        <v>774.9</v>
      </c>
      <c r="N9232">
        <v>109</v>
      </c>
      <c r="O9232" t="str">
        <f>"PAGAMENTO DE ENTREGADORES"</f>
        <v>PAGAMENTO DE ENTREGADORES</v>
      </c>
      <c r="P9232">
        <v>774.9</v>
      </c>
      <c r="S9232" t="str">
        <f>"BANCO C6 (149)"</f>
        <v>BANCO C6 (149)</v>
      </c>
      <c r="T9232">
        <v>20685</v>
      </c>
      <c r="U9232">
        <v>24553</v>
      </c>
      <c r="V9232" t="s">
        <v>77</v>
      </c>
    </row>
    <row r="9233" spans="1:22">
      <c r="A9233" t="str">
        <f t="shared" si="1737"/>
        <v>06/11/2025</v>
      </c>
      <c r="B9233" t="str">
        <f t="shared" si="1739"/>
        <v>SAÍDA</v>
      </c>
      <c r="C9233" t="str">
        <f t="shared" si="1740"/>
        <v>PIX</v>
      </c>
      <c r="D9233" t="str">
        <f>"24553"</f>
        <v>24553</v>
      </c>
      <c r="E9233" t="str">
        <f t="shared" si="1744"/>
        <v>1</v>
      </c>
      <c r="F9233" t="str">
        <f t="shared" si="1738"/>
        <v>COM</v>
      </c>
      <c r="G9233" t="str">
        <f>"HELITON DE OLIVEIRA RAMOS BARBOSA (724)"</f>
        <v>HELITON DE OLIVEIRA RAMOS BARBOSA (724)</v>
      </c>
      <c r="H9233" t="s">
        <v>2653</v>
      </c>
      <c r="I9233" t="str">
        <f t="shared" si="1742"/>
        <v>06/11/2025</v>
      </c>
      <c r="J9233" t="str">
        <f t="shared" si="1745"/>
        <v>31/10/2025</v>
      </c>
      <c r="K9233">
        <v>45967</v>
      </c>
      <c r="N9233">
        <v>109</v>
      </c>
      <c r="O9233" t="s">
        <v>24</v>
      </c>
      <c r="Q9233">
        <v>774.9</v>
      </c>
      <c r="R9233" t="str">
        <f>"AC FARMA - CID.ALTA (10166)"</f>
        <v>AC FARMA - CID.ALTA (10166)</v>
      </c>
      <c r="S9233" t="s">
        <v>77</v>
      </c>
      <c r="T9233">
        <v>20685</v>
      </c>
      <c r="U9233">
        <v>24553</v>
      </c>
      <c r="V9233" t="s">
        <v>77</v>
      </c>
    </row>
    <row r="9234" spans="1:22">
      <c r="A9234" t="str">
        <f t="shared" si="1737"/>
        <v>06/11/2025</v>
      </c>
      <c r="B9234" t="str">
        <f t="shared" si="1739"/>
        <v>SAÍDA</v>
      </c>
      <c r="C9234" t="str">
        <f t="shared" si="1740"/>
        <v>PIX</v>
      </c>
      <c r="D9234" t="str">
        <f>"24554"</f>
        <v>24554</v>
      </c>
      <c r="E9234" t="str">
        <f t="shared" si="1744"/>
        <v>1</v>
      </c>
      <c r="F9234" t="str">
        <f t="shared" si="1738"/>
        <v>COM</v>
      </c>
      <c r="G9234" t="str">
        <f>"RAUL SILVA ROMAO (727)"</f>
        <v>RAUL SILVA ROMAO (727)</v>
      </c>
      <c r="H9234" t="str">
        <f>"Serv.Prest. 20/10/2025 a 26/10/2025 - PIX: CPF - CHAVE: 878.196.869-87"</f>
        <v>Serv.Prest. 20/10/2025 a 26/10/2025 - PIX: CPF - CHAVE: 878.196.869-87</v>
      </c>
      <c r="I9234" t="str">
        <f t="shared" si="1742"/>
        <v>06/11/2025</v>
      </c>
      <c r="J9234" t="str">
        <f t="shared" si="1745"/>
        <v>31/10/2025</v>
      </c>
      <c r="K9234" t="str">
        <f>("06/11/2025")</f>
        <v>06/11/2025</v>
      </c>
      <c r="L9234">
        <v>478.8</v>
      </c>
      <c r="M9234">
        <v>478.8</v>
      </c>
      <c r="N9234">
        <v>109</v>
      </c>
      <c r="O9234" t="str">
        <f>"PAGAMENTO DE ENTREGADORES"</f>
        <v>PAGAMENTO DE ENTREGADORES</v>
      </c>
      <c r="P9234">
        <v>478.8</v>
      </c>
      <c r="S9234" t="str">
        <f>"BANCO C6 (149)"</f>
        <v>BANCO C6 (149)</v>
      </c>
      <c r="T9234">
        <v>20686</v>
      </c>
      <c r="U9234">
        <v>24554</v>
      </c>
      <c r="V9234" t="s">
        <v>77</v>
      </c>
    </row>
    <row r="9235" spans="1:22">
      <c r="A9235" t="str">
        <f t="shared" si="1737"/>
        <v>06/11/2025</v>
      </c>
      <c r="B9235" t="str">
        <f t="shared" si="1739"/>
        <v>SAÍDA</v>
      </c>
      <c r="C9235" t="str">
        <f t="shared" si="1740"/>
        <v>PIX</v>
      </c>
      <c r="D9235" t="str">
        <f>"24554"</f>
        <v>24554</v>
      </c>
      <c r="E9235" t="str">
        <f t="shared" si="1744"/>
        <v>1</v>
      </c>
      <c r="F9235" t="str">
        <f t="shared" si="1738"/>
        <v>COM</v>
      </c>
      <c r="G9235" t="str">
        <f>"RAUL SILVA ROMAO (727)"</f>
        <v>RAUL SILVA ROMAO (727)</v>
      </c>
      <c r="H9235" t="s">
        <v>2654</v>
      </c>
      <c r="I9235" t="str">
        <f t="shared" si="1742"/>
        <v>06/11/2025</v>
      </c>
      <c r="J9235" t="str">
        <f t="shared" si="1745"/>
        <v>31/10/2025</v>
      </c>
      <c r="K9235">
        <v>45967</v>
      </c>
      <c r="N9235">
        <v>109</v>
      </c>
      <c r="O9235" t="s">
        <v>24</v>
      </c>
      <c r="Q9235">
        <v>478.8</v>
      </c>
      <c r="R9235" t="str">
        <f>"AC FARMA - CID.ALTA (10166)"</f>
        <v>AC FARMA - CID.ALTA (10166)</v>
      </c>
      <c r="S9235" t="s">
        <v>77</v>
      </c>
      <c r="T9235">
        <v>20686</v>
      </c>
      <c r="U9235">
        <v>24554</v>
      </c>
      <c r="V9235" t="s">
        <v>77</v>
      </c>
    </row>
    <row r="9236" spans="1:22">
      <c r="A9236" t="str">
        <f t="shared" si="1737"/>
        <v>06/11/2025</v>
      </c>
      <c r="B9236" t="str">
        <f t="shared" si="1739"/>
        <v>SAÍDA</v>
      </c>
      <c r="C9236" t="str">
        <f t="shared" si="1740"/>
        <v>PIX</v>
      </c>
      <c r="D9236" t="str">
        <f>"24556"</f>
        <v>24556</v>
      </c>
      <c r="E9236" t="str">
        <f t="shared" si="1744"/>
        <v>1</v>
      </c>
      <c r="F9236" t="str">
        <f t="shared" si="1738"/>
        <v>COM</v>
      </c>
      <c r="G9236" t="str">
        <f>"ALAN ACOSTA (897)"</f>
        <v>ALAN ACOSTA (897)</v>
      </c>
      <c r="H9236" t="str">
        <f>"Serv.Prest. 20/10/2025 a 26/10/2025 - PIX: E-MAIL - CHAVE: alanacosta1999@gmail.com"</f>
        <v>Serv.Prest. 20/10/2025 a 26/10/2025 - PIX: E-MAIL - CHAVE: alanacosta1999@gmail.com</v>
      </c>
      <c r="I9236" t="str">
        <f t="shared" si="1742"/>
        <v>06/11/2025</v>
      </c>
      <c r="J9236" t="str">
        <f t="shared" si="1745"/>
        <v>31/10/2025</v>
      </c>
      <c r="K9236" t="str">
        <f>("06/11/2025")</f>
        <v>06/11/2025</v>
      </c>
      <c r="L9236">
        <v>189</v>
      </c>
      <c r="M9236">
        <v>189</v>
      </c>
      <c r="N9236">
        <v>109</v>
      </c>
      <c r="O9236" t="str">
        <f>"PAGAMENTO DE ENTREGADORES"</f>
        <v>PAGAMENTO DE ENTREGADORES</v>
      </c>
      <c r="P9236">
        <v>189</v>
      </c>
      <c r="S9236" t="str">
        <f>"BANCO C6 (149)"</f>
        <v>BANCO C6 (149)</v>
      </c>
      <c r="T9236">
        <v>20687</v>
      </c>
      <c r="U9236">
        <v>24556</v>
      </c>
      <c r="V9236" t="s">
        <v>77</v>
      </c>
    </row>
    <row r="9237" spans="1:22">
      <c r="A9237" t="str">
        <f t="shared" si="1737"/>
        <v>06/11/2025</v>
      </c>
      <c r="B9237" t="str">
        <f t="shared" si="1739"/>
        <v>SAÍDA</v>
      </c>
      <c r="C9237" t="str">
        <f t="shared" si="1740"/>
        <v>PIX</v>
      </c>
      <c r="D9237" t="str">
        <f>"24556"</f>
        <v>24556</v>
      </c>
      <c r="E9237" t="str">
        <f t="shared" si="1744"/>
        <v>1</v>
      </c>
      <c r="F9237" t="str">
        <f t="shared" si="1738"/>
        <v>COM</v>
      </c>
      <c r="G9237" t="str">
        <f>"ALAN ACOSTA (897)"</f>
        <v>ALAN ACOSTA (897)</v>
      </c>
      <c r="H9237" t="s">
        <v>2648</v>
      </c>
      <c r="I9237" t="str">
        <f t="shared" si="1742"/>
        <v>06/11/2025</v>
      </c>
      <c r="J9237" t="str">
        <f t="shared" si="1745"/>
        <v>31/10/2025</v>
      </c>
      <c r="K9237">
        <v>45967</v>
      </c>
      <c r="N9237">
        <v>109</v>
      </c>
      <c r="O9237" t="s">
        <v>24</v>
      </c>
      <c r="Q9237">
        <v>182.71</v>
      </c>
      <c r="R9237" t="str">
        <f>"AC FARMA -  FLEMINFARMA (10159)"</f>
        <v>AC FARMA -  FLEMINFARMA (10159)</v>
      </c>
      <c r="S9237" t="s">
        <v>77</v>
      </c>
      <c r="T9237">
        <v>20687</v>
      </c>
      <c r="U9237">
        <v>24556</v>
      </c>
      <c r="V9237" t="s">
        <v>77</v>
      </c>
    </row>
    <row r="9238" spans="1:22">
      <c r="A9238" t="str">
        <f t="shared" si="1737"/>
        <v>06/11/2025</v>
      </c>
      <c r="B9238" t="str">
        <f t="shared" si="1739"/>
        <v>SAÍDA</v>
      </c>
      <c r="C9238" t="str">
        <f t="shared" si="1740"/>
        <v>PIX</v>
      </c>
      <c r="D9238" t="str">
        <f>"24556"</f>
        <v>24556</v>
      </c>
      <c r="E9238" t="str">
        <f t="shared" si="1744"/>
        <v>1</v>
      </c>
      <c r="F9238" t="str">
        <f t="shared" si="1738"/>
        <v>COM</v>
      </c>
      <c r="G9238" t="str">
        <f>"ALAN ACOSTA (897)"</f>
        <v>ALAN ACOSTA (897)</v>
      </c>
      <c r="H9238" t="s">
        <v>2648</v>
      </c>
      <c r="I9238" t="str">
        <f t="shared" si="1742"/>
        <v>06/11/2025</v>
      </c>
      <c r="J9238" t="str">
        <f t="shared" si="1745"/>
        <v>31/10/2025</v>
      </c>
      <c r="K9238">
        <v>45967</v>
      </c>
      <c r="N9238">
        <v>109</v>
      </c>
      <c r="O9238" t="s">
        <v>24</v>
      </c>
      <c r="Q9238">
        <v>6.29</v>
      </c>
      <c r="R9238" t="str">
        <f>"AC FARMA - FLEMINFARMA (10160)"</f>
        <v>AC FARMA - FLEMINFARMA (10160)</v>
      </c>
      <c r="S9238" t="s">
        <v>77</v>
      </c>
      <c r="T9238">
        <v>20687</v>
      </c>
      <c r="U9238">
        <v>24556</v>
      </c>
      <c r="V9238" t="s">
        <v>77</v>
      </c>
    </row>
    <row r="9239" spans="1:22">
      <c r="A9239" t="str">
        <f t="shared" si="1737"/>
        <v>06/11/2025</v>
      </c>
      <c r="B9239" t="str">
        <f t="shared" si="1739"/>
        <v>SAÍDA</v>
      </c>
      <c r="C9239" t="str">
        <f t="shared" si="1740"/>
        <v>PIX</v>
      </c>
      <c r="D9239" t="str">
        <f>"24557"</f>
        <v>24557</v>
      </c>
      <c r="E9239" t="str">
        <f t="shared" si="1744"/>
        <v>1</v>
      </c>
      <c r="F9239" t="str">
        <f t="shared" si="1738"/>
        <v>COM</v>
      </c>
      <c r="G9239" t="str">
        <f>"ALEXANDRE DA CONCEICAO (714)"</f>
        <v>ALEXANDRE DA CONCEICAO (714)</v>
      </c>
      <c r="H9239" t="str">
        <f>"Serv.Prest. 20/10/2025 a 26/10/2025 - PIX: CPF - CHAVE: 975.425.989-53"</f>
        <v>Serv.Prest. 20/10/2025 a 26/10/2025 - PIX: CPF - CHAVE: 975.425.989-53</v>
      </c>
      <c r="I9239" t="str">
        <f t="shared" si="1742"/>
        <v>06/11/2025</v>
      </c>
      <c r="J9239" t="str">
        <f t="shared" si="1745"/>
        <v>31/10/2025</v>
      </c>
      <c r="K9239" t="str">
        <f>("06/11/2025")</f>
        <v>06/11/2025</v>
      </c>
      <c r="L9239">
        <v>50.4</v>
      </c>
      <c r="M9239">
        <v>50.4</v>
      </c>
      <c r="N9239">
        <v>109</v>
      </c>
      <c r="O9239" t="str">
        <f>"PAGAMENTO DE ENTREGADORES"</f>
        <v>PAGAMENTO DE ENTREGADORES</v>
      </c>
      <c r="P9239">
        <v>50.4</v>
      </c>
      <c r="S9239" t="str">
        <f>"BANCO C6 (149)"</f>
        <v>BANCO C6 (149)</v>
      </c>
      <c r="T9239">
        <v>20688</v>
      </c>
      <c r="U9239">
        <v>24557</v>
      </c>
      <c r="V9239" t="s">
        <v>77</v>
      </c>
    </row>
    <row r="9240" spans="1:22">
      <c r="A9240" t="str">
        <f t="shared" si="1737"/>
        <v>06/11/2025</v>
      </c>
      <c r="B9240" t="str">
        <f t="shared" si="1739"/>
        <v>SAÍDA</v>
      </c>
      <c r="C9240" t="str">
        <f t="shared" si="1740"/>
        <v>PIX</v>
      </c>
      <c r="D9240" t="str">
        <f>"24557"</f>
        <v>24557</v>
      </c>
      <c r="E9240" t="str">
        <f t="shared" si="1744"/>
        <v>1</v>
      </c>
      <c r="F9240" t="str">
        <f t="shared" si="1738"/>
        <v>COM</v>
      </c>
      <c r="G9240" t="str">
        <f>"ALEXANDRE DA CONCEICAO (714)"</f>
        <v>ALEXANDRE DA CONCEICAO (714)</v>
      </c>
      <c r="H9240" t="s">
        <v>2649</v>
      </c>
      <c r="I9240" t="str">
        <f t="shared" si="1742"/>
        <v>06/11/2025</v>
      </c>
      <c r="J9240" t="str">
        <f t="shared" si="1745"/>
        <v>31/10/2025</v>
      </c>
      <c r="K9240">
        <v>45967</v>
      </c>
      <c r="N9240">
        <v>109</v>
      </c>
      <c r="O9240" t="s">
        <v>24</v>
      </c>
      <c r="Q9240">
        <v>44.1</v>
      </c>
      <c r="R9240" t="str">
        <f>"AC FARMA -  FLEMINFARMA (10159)"</f>
        <v>AC FARMA -  FLEMINFARMA (10159)</v>
      </c>
      <c r="S9240" t="s">
        <v>77</v>
      </c>
      <c r="T9240">
        <v>20688</v>
      </c>
      <c r="U9240">
        <v>24557</v>
      </c>
      <c r="V9240" t="s">
        <v>77</v>
      </c>
    </row>
    <row r="9241" spans="1:22">
      <c r="A9241" t="str">
        <f t="shared" si="1737"/>
        <v>06/11/2025</v>
      </c>
      <c r="B9241" t="str">
        <f t="shared" si="1739"/>
        <v>SAÍDA</v>
      </c>
      <c r="C9241" t="str">
        <f t="shared" si="1740"/>
        <v>PIX</v>
      </c>
      <c r="D9241" t="str">
        <f>"24557"</f>
        <v>24557</v>
      </c>
      <c r="E9241" t="str">
        <f t="shared" si="1744"/>
        <v>1</v>
      </c>
      <c r="F9241" t="str">
        <f t="shared" si="1738"/>
        <v>COM</v>
      </c>
      <c r="G9241" t="str">
        <f>"ALEXANDRE DA CONCEICAO (714)"</f>
        <v>ALEXANDRE DA CONCEICAO (714)</v>
      </c>
      <c r="H9241" t="s">
        <v>2649</v>
      </c>
      <c r="I9241" t="str">
        <f t="shared" si="1742"/>
        <v>06/11/2025</v>
      </c>
      <c r="J9241" t="str">
        <f t="shared" si="1745"/>
        <v>31/10/2025</v>
      </c>
      <c r="K9241">
        <v>45967</v>
      </c>
      <c r="N9241">
        <v>109</v>
      </c>
      <c r="O9241" t="s">
        <v>24</v>
      </c>
      <c r="Q9241">
        <v>6.3</v>
      </c>
      <c r="R9241" t="str">
        <f>"AC FARMA - FLEMINFARMA (10160)"</f>
        <v>AC FARMA - FLEMINFARMA (10160)</v>
      </c>
      <c r="S9241" t="s">
        <v>77</v>
      </c>
      <c r="T9241">
        <v>20688</v>
      </c>
      <c r="U9241">
        <v>24557</v>
      </c>
      <c r="V9241" t="s">
        <v>77</v>
      </c>
    </row>
    <row r="9242" spans="1:22">
      <c r="A9242" t="str">
        <f t="shared" si="1737"/>
        <v>06/11/2025</v>
      </c>
      <c r="B9242" t="str">
        <f t="shared" si="1739"/>
        <v>SAÍDA</v>
      </c>
      <c r="C9242" t="str">
        <f t="shared" si="1740"/>
        <v>PIX</v>
      </c>
      <c r="D9242" t="str">
        <f>"24558"</f>
        <v>24558</v>
      </c>
      <c r="E9242" t="str">
        <f t="shared" si="1744"/>
        <v>1</v>
      </c>
      <c r="F9242" t="str">
        <f t="shared" si="1738"/>
        <v>COM</v>
      </c>
      <c r="G9242" t="str">
        <f>"CLAUDINEI RIBEIRO VALERIO (681)"</f>
        <v>CLAUDINEI RIBEIRO VALERIO (681)</v>
      </c>
      <c r="H9242" t="str">
        <f>"Serv.Prest. 20/10/2025 a 26/10/2025 - PIX: CELULAR - CHAVE: (43) 99630-7532"</f>
        <v>Serv.Prest. 20/10/2025 a 26/10/2025 - PIX: CELULAR - CHAVE: (43) 99630-7532</v>
      </c>
      <c r="I9242" t="str">
        <f t="shared" si="1742"/>
        <v>06/11/2025</v>
      </c>
      <c r="J9242" t="str">
        <f t="shared" si="1745"/>
        <v>31/10/2025</v>
      </c>
      <c r="K9242" t="str">
        <f>("06/11/2025")</f>
        <v>06/11/2025</v>
      </c>
      <c r="L9242">
        <v>50.4</v>
      </c>
      <c r="M9242">
        <v>50.4</v>
      </c>
      <c r="N9242">
        <v>109</v>
      </c>
      <c r="O9242" t="str">
        <f>"PAGAMENTO DE ENTREGADORES"</f>
        <v>PAGAMENTO DE ENTREGADORES</v>
      </c>
      <c r="P9242">
        <v>50.4</v>
      </c>
      <c r="S9242" t="str">
        <f>"BANCO C6 (149)"</f>
        <v>BANCO C6 (149)</v>
      </c>
      <c r="T9242">
        <v>20689</v>
      </c>
      <c r="U9242">
        <v>24558</v>
      </c>
      <c r="V9242" t="s">
        <v>77</v>
      </c>
    </row>
    <row r="9243" spans="1:22">
      <c r="A9243" t="str">
        <f t="shared" si="1737"/>
        <v>06/11/2025</v>
      </c>
      <c r="B9243" t="str">
        <f t="shared" si="1739"/>
        <v>SAÍDA</v>
      </c>
      <c r="C9243" t="str">
        <f t="shared" si="1740"/>
        <v>PIX</v>
      </c>
      <c r="D9243" t="str">
        <f>"24558"</f>
        <v>24558</v>
      </c>
      <c r="E9243" t="str">
        <f t="shared" si="1744"/>
        <v>1</v>
      </c>
      <c r="F9243" t="str">
        <f t="shared" si="1738"/>
        <v>COM</v>
      </c>
      <c r="G9243" t="str">
        <f>"CLAUDINEI RIBEIRO VALERIO (681)"</f>
        <v>CLAUDINEI RIBEIRO VALERIO (681)</v>
      </c>
      <c r="H9243" t="s">
        <v>2650</v>
      </c>
      <c r="I9243" t="str">
        <f t="shared" si="1742"/>
        <v>06/11/2025</v>
      </c>
      <c r="J9243" t="str">
        <f t="shared" si="1745"/>
        <v>31/10/2025</v>
      </c>
      <c r="K9243">
        <v>45967</v>
      </c>
      <c r="N9243">
        <v>109</v>
      </c>
      <c r="O9243" t="s">
        <v>24</v>
      </c>
      <c r="Q9243">
        <v>50.4</v>
      </c>
      <c r="R9243" t="str">
        <f>"AC FARMA -  FLEMINFARMA (10159)"</f>
        <v>AC FARMA -  FLEMINFARMA (10159)</v>
      </c>
      <c r="S9243" t="s">
        <v>77</v>
      </c>
      <c r="T9243">
        <v>20689</v>
      </c>
      <c r="U9243">
        <v>24558</v>
      </c>
      <c r="V9243" t="s">
        <v>77</v>
      </c>
    </row>
    <row r="9244" spans="1:22">
      <c r="A9244" t="str">
        <f t="shared" si="1737"/>
        <v>06/11/2025</v>
      </c>
      <c r="B9244" t="str">
        <f t="shared" si="1739"/>
        <v>SAÍDA</v>
      </c>
      <c r="C9244" t="str">
        <f t="shared" si="1740"/>
        <v>PIX</v>
      </c>
      <c r="D9244" t="str">
        <f>"24559"</f>
        <v>24559</v>
      </c>
      <c r="E9244" t="str">
        <f t="shared" si="1744"/>
        <v>1</v>
      </c>
      <c r="F9244" t="str">
        <f t="shared" si="1738"/>
        <v>COM</v>
      </c>
      <c r="G9244" t="str">
        <f>"FERNANDO MARTINS DA SILVA (701)"</f>
        <v>FERNANDO MARTINS DA SILVA (701)</v>
      </c>
      <c r="H9244" t="str">
        <f>"Serv.Prest. 20/10/2025 a 26/10/2025 - PIX: CPF - CHAVE: 004.682.359-06"</f>
        <v>Serv.Prest. 20/10/2025 a 26/10/2025 - PIX: CPF - CHAVE: 004.682.359-06</v>
      </c>
      <c r="I9244" t="str">
        <f t="shared" si="1742"/>
        <v>06/11/2025</v>
      </c>
      <c r="J9244" t="str">
        <f t="shared" si="1745"/>
        <v>31/10/2025</v>
      </c>
      <c r="K9244" t="str">
        <f>("06/11/2025")</f>
        <v>06/11/2025</v>
      </c>
      <c r="L9244">
        <v>302.39999999999998</v>
      </c>
      <c r="M9244">
        <v>302.39999999999998</v>
      </c>
      <c r="N9244">
        <v>109</v>
      </c>
      <c r="O9244" t="str">
        <f>"PAGAMENTO DE ENTREGADORES"</f>
        <v>PAGAMENTO DE ENTREGADORES</v>
      </c>
      <c r="P9244">
        <v>302.39999999999998</v>
      </c>
      <c r="S9244" t="str">
        <f>"BANCO C6 (149)"</f>
        <v>BANCO C6 (149)</v>
      </c>
      <c r="T9244">
        <v>20690</v>
      </c>
      <c r="U9244">
        <v>24559</v>
      </c>
      <c r="V9244" t="s">
        <v>77</v>
      </c>
    </row>
    <row r="9245" spans="1:22">
      <c r="A9245" t="str">
        <f t="shared" si="1737"/>
        <v>06/11/2025</v>
      </c>
      <c r="B9245" t="str">
        <f t="shared" si="1739"/>
        <v>SAÍDA</v>
      </c>
      <c r="C9245" t="str">
        <f t="shared" si="1740"/>
        <v>PIX</v>
      </c>
      <c r="D9245" t="str">
        <f>"24559"</f>
        <v>24559</v>
      </c>
      <c r="E9245" t="str">
        <f t="shared" si="1744"/>
        <v>1</v>
      </c>
      <c r="F9245" t="str">
        <f t="shared" si="1738"/>
        <v>COM</v>
      </c>
      <c r="G9245" t="str">
        <f>"FERNANDO MARTINS DA SILVA (701)"</f>
        <v>FERNANDO MARTINS DA SILVA (701)</v>
      </c>
      <c r="H9245" t="s">
        <v>2651</v>
      </c>
      <c r="I9245" t="str">
        <f t="shared" si="1742"/>
        <v>06/11/2025</v>
      </c>
      <c r="J9245" t="str">
        <f t="shared" si="1745"/>
        <v>31/10/2025</v>
      </c>
      <c r="K9245">
        <v>45967</v>
      </c>
      <c r="N9245">
        <v>109</v>
      </c>
      <c r="O9245" t="s">
        <v>24</v>
      </c>
      <c r="Q9245">
        <v>283.5</v>
      </c>
      <c r="R9245" t="str">
        <f>"AC FARMA -  FLEMINFARMA (10159)"</f>
        <v>AC FARMA -  FLEMINFARMA (10159)</v>
      </c>
      <c r="S9245" t="s">
        <v>77</v>
      </c>
      <c r="T9245">
        <v>20690</v>
      </c>
      <c r="U9245">
        <v>24559</v>
      </c>
      <c r="V9245" t="s">
        <v>77</v>
      </c>
    </row>
    <row r="9246" spans="1:22">
      <c r="A9246" t="str">
        <f t="shared" ref="A9246:A9309" si="1746">("06/11/2025")</f>
        <v>06/11/2025</v>
      </c>
      <c r="B9246" t="str">
        <f t="shared" si="1739"/>
        <v>SAÍDA</v>
      </c>
      <c r="C9246" t="str">
        <f t="shared" si="1740"/>
        <v>PIX</v>
      </c>
      <c r="D9246" t="str">
        <f>"24559"</f>
        <v>24559</v>
      </c>
      <c r="E9246" t="str">
        <f t="shared" si="1744"/>
        <v>1</v>
      </c>
      <c r="F9246" t="str">
        <f t="shared" ref="F9246:F9309" si="1747">"COM"</f>
        <v>COM</v>
      </c>
      <c r="G9246" t="str">
        <f>"FERNANDO MARTINS DA SILVA (701)"</f>
        <v>FERNANDO MARTINS DA SILVA (701)</v>
      </c>
      <c r="H9246" t="s">
        <v>2651</v>
      </c>
      <c r="I9246" t="str">
        <f t="shared" si="1742"/>
        <v>06/11/2025</v>
      </c>
      <c r="J9246" t="str">
        <f t="shared" si="1745"/>
        <v>31/10/2025</v>
      </c>
      <c r="K9246">
        <v>45967</v>
      </c>
      <c r="N9246">
        <v>109</v>
      </c>
      <c r="O9246" t="s">
        <v>24</v>
      </c>
      <c r="Q9246">
        <v>18.899999999999999</v>
      </c>
      <c r="R9246" t="str">
        <f>"AC FARMA - FLEMINFARMA (10160)"</f>
        <v>AC FARMA - FLEMINFARMA (10160)</v>
      </c>
      <c r="S9246" t="s">
        <v>77</v>
      </c>
      <c r="T9246">
        <v>20690</v>
      </c>
      <c r="U9246">
        <v>24559</v>
      </c>
      <c r="V9246" t="s">
        <v>77</v>
      </c>
    </row>
    <row r="9247" spans="1:22">
      <c r="A9247" t="str">
        <f t="shared" si="1746"/>
        <v>06/11/2025</v>
      </c>
      <c r="B9247" t="str">
        <f t="shared" si="1739"/>
        <v>SAÍDA</v>
      </c>
      <c r="C9247" t="str">
        <f t="shared" si="1740"/>
        <v>PIX</v>
      </c>
      <c r="D9247" t="str">
        <f>"24560"</f>
        <v>24560</v>
      </c>
      <c r="E9247" t="str">
        <f t="shared" si="1744"/>
        <v>1</v>
      </c>
      <c r="F9247" t="str">
        <f t="shared" si="1747"/>
        <v>COM</v>
      </c>
      <c r="G9247" t="str">
        <f>"GERALDO SEVERINO DE SANTANA (729)"</f>
        <v>GERALDO SEVERINO DE SANTANA (729)</v>
      </c>
      <c r="H9247" t="str">
        <f>"Serv.Prest. 20/10/2025 a 26/10/2025 - PIX: CELULAR - CHAVE: (43) 99934-1696"</f>
        <v>Serv.Prest. 20/10/2025 a 26/10/2025 - PIX: CELULAR - CHAVE: (43) 99934-1696</v>
      </c>
      <c r="I9247" t="str">
        <f t="shared" si="1742"/>
        <v>06/11/2025</v>
      </c>
      <c r="J9247" t="str">
        <f t="shared" si="1745"/>
        <v>31/10/2025</v>
      </c>
      <c r="K9247" t="str">
        <f>("06/11/2025")</f>
        <v>06/11/2025</v>
      </c>
      <c r="L9247">
        <v>277.2</v>
      </c>
      <c r="M9247">
        <v>277.2</v>
      </c>
      <c r="N9247">
        <v>109</v>
      </c>
      <c r="O9247" t="str">
        <f>"PAGAMENTO DE ENTREGADORES"</f>
        <v>PAGAMENTO DE ENTREGADORES</v>
      </c>
      <c r="P9247">
        <v>277.2</v>
      </c>
      <c r="S9247" t="str">
        <f>"BANCO C6 (149)"</f>
        <v>BANCO C6 (149)</v>
      </c>
      <c r="T9247">
        <v>20691</v>
      </c>
      <c r="U9247">
        <v>24560</v>
      </c>
      <c r="V9247" t="s">
        <v>77</v>
      </c>
    </row>
    <row r="9248" spans="1:22">
      <c r="A9248" t="str">
        <f t="shared" si="1746"/>
        <v>06/11/2025</v>
      </c>
      <c r="B9248" t="str">
        <f t="shared" si="1739"/>
        <v>SAÍDA</v>
      </c>
      <c r="C9248" t="str">
        <f t="shared" si="1740"/>
        <v>PIX</v>
      </c>
      <c r="D9248" t="str">
        <f>"24560"</f>
        <v>24560</v>
      </c>
      <c r="E9248" t="str">
        <f t="shared" si="1744"/>
        <v>1</v>
      </c>
      <c r="F9248" t="str">
        <f t="shared" si="1747"/>
        <v>COM</v>
      </c>
      <c r="G9248" t="str">
        <f>"GERALDO SEVERINO DE SANTANA (729)"</f>
        <v>GERALDO SEVERINO DE SANTANA (729)</v>
      </c>
      <c r="H9248" t="s">
        <v>2652</v>
      </c>
      <c r="I9248" t="str">
        <f t="shared" si="1742"/>
        <v>06/11/2025</v>
      </c>
      <c r="J9248" t="str">
        <f t="shared" si="1745"/>
        <v>31/10/2025</v>
      </c>
      <c r="K9248">
        <v>45967</v>
      </c>
      <c r="N9248">
        <v>109</v>
      </c>
      <c r="O9248" t="s">
        <v>24</v>
      </c>
      <c r="Q9248">
        <v>270.91000000000003</v>
      </c>
      <c r="R9248" t="str">
        <f>"AC FARMA -  FLEMINFARMA (10159)"</f>
        <v>AC FARMA -  FLEMINFARMA (10159)</v>
      </c>
      <c r="S9248" t="s">
        <v>77</v>
      </c>
      <c r="T9248">
        <v>20691</v>
      </c>
      <c r="U9248">
        <v>24560</v>
      </c>
      <c r="V9248" t="s">
        <v>77</v>
      </c>
    </row>
    <row r="9249" spans="1:22">
      <c r="A9249" t="str">
        <f t="shared" si="1746"/>
        <v>06/11/2025</v>
      </c>
      <c r="B9249" t="str">
        <f t="shared" ref="B9249:B9312" si="1748">"SAÍDA"</f>
        <v>SAÍDA</v>
      </c>
      <c r="C9249" t="str">
        <f t="shared" ref="C9249:C9312" si="1749">"PIX"</f>
        <v>PIX</v>
      </c>
      <c r="D9249" t="str">
        <f>"24560"</f>
        <v>24560</v>
      </c>
      <c r="E9249" t="str">
        <f t="shared" si="1744"/>
        <v>1</v>
      </c>
      <c r="F9249" t="str">
        <f t="shared" si="1747"/>
        <v>COM</v>
      </c>
      <c r="G9249" t="str">
        <f>"GERALDO SEVERINO DE SANTANA (729)"</f>
        <v>GERALDO SEVERINO DE SANTANA (729)</v>
      </c>
      <c r="H9249" t="s">
        <v>2652</v>
      </c>
      <c r="I9249" t="str">
        <f t="shared" si="1742"/>
        <v>06/11/2025</v>
      </c>
      <c r="J9249" t="str">
        <f t="shared" si="1745"/>
        <v>31/10/2025</v>
      </c>
      <c r="K9249">
        <v>45967</v>
      </c>
      <c r="N9249">
        <v>109</v>
      </c>
      <c r="O9249" t="s">
        <v>24</v>
      </c>
      <c r="Q9249">
        <v>6.29</v>
      </c>
      <c r="R9249" t="str">
        <f>"AC FARMA - FLEMINFARMA (10160)"</f>
        <v>AC FARMA - FLEMINFARMA (10160)</v>
      </c>
      <c r="S9249" t="s">
        <v>77</v>
      </c>
      <c r="T9249">
        <v>20691</v>
      </c>
      <c r="U9249">
        <v>24560</v>
      </c>
      <c r="V9249" t="s">
        <v>77</v>
      </c>
    </row>
    <row r="9250" spans="1:22">
      <c r="A9250" t="str">
        <f t="shared" si="1746"/>
        <v>06/11/2025</v>
      </c>
      <c r="B9250" t="str">
        <f t="shared" si="1748"/>
        <v>SAÍDA</v>
      </c>
      <c r="C9250" t="str">
        <f t="shared" si="1749"/>
        <v>PIX</v>
      </c>
      <c r="D9250" t="str">
        <f>"24561"</f>
        <v>24561</v>
      </c>
      <c r="E9250" t="str">
        <f t="shared" si="1744"/>
        <v>1</v>
      </c>
      <c r="F9250" t="str">
        <f t="shared" si="1747"/>
        <v>COM</v>
      </c>
      <c r="G9250" t="str">
        <f>"HELITON DE OLIVEIRA RAMOS BARBOSA (724)"</f>
        <v>HELITON DE OLIVEIRA RAMOS BARBOSA (724)</v>
      </c>
      <c r="H9250" t="str">
        <f>"Serv.Prest. 20/10/2025 a 26/10/2025 - PIX: CPF - CHAVE: 074.604.219-10"</f>
        <v>Serv.Prest. 20/10/2025 a 26/10/2025 - PIX: CPF - CHAVE: 074.604.219-10</v>
      </c>
      <c r="I9250" t="str">
        <f t="shared" si="1742"/>
        <v>06/11/2025</v>
      </c>
      <c r="J9250" t="str">
        <f t="shared" si="1745"/>
        <v>31/10/2025</v>
      </c>
      <c r="K9250" t="str">
        <f>("06/11/2025")</f>
        <v>06/11/2025</v>
      </c>
      <c r="L9250">
        <v>239.4</v>
      </c>
      <c r="M9250">
        <v>239.4</v>
      </c>
      <c r="N9250">
        <v>109</v>
      </c>
      <c r="O9250" t="str">
        <f>"PAGAMENTO DE ENTREGADORES"</f>
        <v>PAGAMENTO DE ENTREGADORES</v>
      </c>
      <c r="P9250">
        <v>239.4</v>
      </c>
      <c r="S9250" t="str">
        <f>"BANCO C6 (149)"</f>
        <v>BANCO C6 (149)</v>
      </c>
      <c r="T9250">
        <v>20692</v>
      </c>
      <c r="U9250">
        <v>24561</v>
      </c>
      <c r="V9250" t="s">
        <v>77</v>
      </c>
    </row>
    <row r="9251" spans="1:22">
      <c r="A9251" t="str">
        <f t="shared" si="1746"/>
        <v>06/11/2025</v>
      </c>
      <c r="B9251" t="str">
        <f t="shared" si="1748"/>
        <v>SAÍDA</v>
      </c>
      <c r="C9251" t="str">
        <f t="shared" si="1749"/>
        <v>PIX</v>
      </c>
      <c r="D9251" t="str">
        <f>"24561"</f>
        <v>24561</v>
      </c>
      <c r="E9251" t="str">
        <f t="shared" si="1744"/>
        <v>1</v>
      </c>
      <c r="F9251" t="str">
        <f t="shared" si="1747"/>
        <v>COM</v>
      </c>
      <c r="G9251" t="str">
        <f>"HELITON DE OLIVEIRA RAMOS BARBOSA (724)"</f>
        <v>HELITON DE OLIVEIRA RAMOS BARBOSA (724)</v>
      </c>
      <c r="H9251" t="s">
        <v>2653</v>
      </c>
      <c r="I9251" t="str">
        <f t="shared" ref="I9251:I9314" si="1750">("06/11/2025")</f>
        <v>06/11/2025</v>
      </c>
      <c r="J9251" t="str">
        <f t="shared" si="1745"/>
        <v>31/10/2025</v>
      </c>
      <c r="K9251">
        <v>45967</v>
      </c>
      <c r="N9251">
        <v>109</v>
      </c>
      <c r="O9251" t="s">
        <v>24</v>
      </c>
      <c r="Q9251">
        <v>239.4</v>
      </c>
      <c r="R9251" t="str">
        <f>"AC FARMA -  FLEMINFARMA (10159)"</f>
        <v>AC FARMA -  FLEMINFARMA (10159)</v>
      </c>
      <c r="S9251" t="s">
        <v>77</v>
      </c>
      <c r="T9251">
        <v>20692</v>
      </c>
      <c r="U9251">
        <v>24561</v>
      </c>
      <c r="V9251" t="s">
        <v>77</v>
      </c>
    </row>
    <row r="9252" spans="1:22">
      <c r="A9252" t="str">
        <f t="shared" si="1746"/>
        <v>06/11/2025</v>
      </c>
      <c r="B9252" t="str">
        <f t="shared" si="1748"/>
        <v>SAÍDA</v>
      </c>
      <c r="C9252" t="str">
        <f t="shared" si="1749"/>
        <v>PIX</v>
      </c>
      <c r="D9252" t="str">
        <f>"24563"</f>
        <v>24563</v>
      </c>
      <c r="E9252" t="str">
        <f t="shared" si="1744"/>
        <v>1</v>
      </c>
      <c r="F9252" t="str">
        <f t="shared" si="1747"/>
        <v>COM</v>
      </c>
      <c r="G9252" t="str">
        <f>"ALAN ACOSTA (897)"</f>
        <v>ALAN ACOSTA (897)</v>
      </c>
      <c r="H9252" t="str">
        <f>"Serv.Prest. 20/10/2025 a 26/10/2025 - PIX: E-MAIL - CHAVE: alanacosta1999@gmail.com"</f>
        <v>Serv.Prest. 20/10/2025 a 26/10/2025 - PIX: E-MAIL - CHAVE: alanacosta1999@gmail.com</v>
      </c>
      <c r="I9252" t="str">
        <f t="shared" si="1750"/>
        <v>06/11/2025</v>
      </c>
      <c r="J9252" t="str">
        <f t="shared" si="1745"/>
        <v>31/10/2025</v>
      </c>
      <c r="K9252" t="str">
        <f>("06/11/2025")</f>
        <v>06/11/2025</v>
      </c>
      <c r="L9252">
        <v>37.799999999999997</v>
      </c>
      <c r="M9252">
        <v>37.799999999999997</v>
      </c>
      <c r="N9252">
        <v>109</v>
      </c>
      <c r="O9252" t="str">
        <f>"PAGAMENTO DE ENTREGADORES"</f>
        <v>PAGAMENTO DE ENTREGADORES</v>
      </c>
      <c r="P9252">
        <v>37.799999999999997</v>
      </c>
      <c r="S9252" t="str">
        <f>"BANCO C6 (149)"</f>
        <v>BANCO C6 (149)</v>
      </c>
      <c r="T9252">
        <v>20693</v>
      </c>
      <c r="U9252">
        <v>24563</v>
      </c>
      <c r="V9252" t="s">
        <v>77</v>
      </c>
    </row>
    <row r="9253" spans="1:22">
      <c r="A9253" t="str">
        <f t="shared" si="1746"/>
        <v>06/11/2025</v>
      </c>
      <c r="B9253" t="str">
        <f t="shared" si="1748"/>
        <v>SAÍDA</v>
      </c>
      <c r="C9253" t="str">
        <f t="shared" si="1749"/>
        <v>PIX</v>
      </c>
      <c r="D9253" t="str">
        <f>"24563"</f>
        <v>24563</v>
      </c>
      <c r="E9253" t="str">
        <f t="shared" si="1744"/>
        <v>1</v>
      </c>
      <c r="F9253" t="str">
        <f t="shared" si="1747"/>
        <v>COM</v>
      </c>
      <c r="G9253" t="str">
        <f>"ALAN ACOSTA (897)"</f>
        <v>ALAN ACOSTA (897)</v>
      </c>
      <c r="H9253" t="s">
        <v>2648</v>
      </c>
      <c r="I9253" t="str">
        <f t="shared" si="1750"/>
        <v>06/11/2025</v>
      </c>
      <c r="J9253" t="str">
        <f t="shared" si="1745"/>
        <v>31/10/2025</v>
      </c>
      <c r="K9253">
        <v>45967</v>
      </c>
      <c r="N9253">
        <v>109</v>
      </c>
      <c r="O9253" t="s">
        <v>24</v>
      </c>
      <c r="Q9253">
        <v>37.799999999999997</v>
      </c>
      <c r="R9253" t="str">
        <f>"AC FARMA - FLEMINFARMA 5 (10183)"</f>
        <v>AC FARMA - FLEMINFARMA 5 (10183)</v>
      </c>
      <c r="S9253" t="s">
        <v>77</v>
      </c>
      <c r="T9253">
        <v>20693</v>
      </c>
      <c r="U9253">
        <v>24563</v>
      </c>
      <c r="V9253" t="s">
        <v>77</v>
      </c>
    </row>
    <row r="9254" spans="1:22">
      <c r="A9254" t="str">
        <f t="shared" si="1746"/>
        <v>06/11/2025</v>
      </c>
      <c r="B9254" t="str">
        <f t="shared" si="1748"/>
        <v>SAÍDA</v>
      </c>
      <c r="C9254" t="str">
        <f t="shared" si="1749"/>
        <v>PIX</v>
      </c>
      <c r="D9254" t="str">
        <f>"24564"</f>
        <v>24564</v>
      </c>
      <c r="E9254" t="str">
        <f t="shared" si="1744"/>
        <v>1</v>
      </c>
      <c r="F9254" t="str">
        <f t="shared" si="1747"/>
        <v>COM</v>
      </c>
      <c r="G9254" t="str">
        <f>"ALEXANDRE DA CONCEICAO (714)"</f>
        <v>ALEXANDRE DA CONCEICAO (714)</v>
      </c>
      <c r="H9254" t="str">
        <f>"Serv.Prest. 20/10/2025 a 26/10/2025 - PIX: CPF - CHAVE: 975.425.989-53"</f>
        <v>Serv.Prest. 20/10/2025 a 26/10/2025 - PIX: CPF - CHAVE: 975.425.989-53</v>
      </c>
      <c r="I9254" t="str">
        <f t="shared" si="1750"/>
        <v>06/11/2025</v>
      </c>
      <c r="J9254" t="str">
        <f t="shared" si="1745"/>
        <v>31/10/2025</v>
      </c>
      <c r="K9254" t="str">
        <f>("06/11/2025")</f>
        <v>06/11/2025</v>
      </c>
      <c r="L9254">
        <v>6.3</v>
      </c>
      <c r="M9254">
        <v>6.3</v>
      </c>
      <c r="N9254">
        <v>109</v>
      </c>
      <c r="O9254" t="str">
        <f>"PAGAMENTO DE ENTREGADORES"</f>
        <v>PAGAMENTO DE ENTREGADORES</v>
      </c>
      <c r="P9254">
        <v>6.3</v>
      </c>
      <c r="S9254" t="str">
        <f>"BANCO C6 (149)"</f>
        <v>BANCO C6 (149)</v>
      </c>
      <c r="T9254">
        <v>20694</v>
      </c>
      <c r="U9254">
        <v>24564</v>
      </c>
      <c r="V9254" t="s">
        <v>77</v>
      </c>
    </row>
    <row r="9255" spans="1:22">
      <c r="A9255" t="str">
        <f t="shared" si="1746"/>
        <v>06/11/2025</v>
      </c>
      <c r="B9255" t="str">
        <f t="shared" si="1748"/>
        <v>SAÍDA</v>
      </c>
      <c r="C9255" t="str">
        <f t="shared" si="1749"/>
        <v>PIX</v>
      </c>
      <c r="D9255" t="str">
        <f>"24564"</f>
        <v>24564</v>
      </c>
      <c r="E9255" t="str">
        <f t="shared" si="1744"/>
        <v>1</v>
      </c>
      <c r="F9255" t="str">
        <f t="shared" si="1747"/>
        <v>COM</v>
      </c>
      <c r="G9255" t="str">
        <f>"ALEXANDRE DA CONCEICAO (714)"</f>
        <v>ALEXANDRE DA CONCEICAO (714)</v>
      </c>
      <c r="H9255" t="s">
        <v>2649</v>
      </c>
      <c r="I9255" t="str">
        <f t="shared" si="1750"/>
        <v>06/11/2025</v>
      </c>
      <c r="J9255" t="str">
        <f t="shared" si="1745"/>
        <v>31/10/2025</v>
      </c>
      <c r="K9255">
        <v>45967</v>
      </c>
      <c r="N9255">
        <v>109</v>
      </c>
      <c r="O9255" t="s">
        <v>24</v>
      </c>
      <c r="Q9255">
        <v>6.3</v>
      </c>
      <c r="R9255" t="str">
        <f>"AC FARMA - FLEMINFARMA 5 (10183)"</f>
        <v>AC FARMA - FLEMINFARMA 5 (10183)</v>
      </c>
      <c r="S9255" t="s">
        <v>77</v>
      </c>
      <c r="T9255">
        <v>20694</v>
      </c>
      <c r="U9255">
        <v>24564</v>
      </c>
      <c r="V9255" t="s">
        <v>77</v>
      </c>
    </row>
    <row r="9256" spans="1:22">
      <c r="A9256" t="str">
        <f t="shared" si="1746"/>
        <v>06/11/2025</v>
      </c>
      <c r="B9256" t="str">
        <f t="shared" si="1748"/>
        <v>SAÍDA</v>
      </c>
      <c r="C9256" t="str">
        <f t="shared" si="1749"/>
        <v>PIX</v>
      </c>
      <c r="D9256" t="str">
        <f>"24565"</f>
        <v>24565</v>
      </c>
      <c r="E9256" t="str">
        <f t="shared" si="1744"/>
        <v>1</v>
      </c>
      <c r="F9256" t="str">
        <f t="shared" si="1747"/>
        <v>COM</v>
      </c>
      <c r="G9256" t="str">
        <f>"CLAUDINEI RIBEIRO VALERIO (681)"</f>
        <v>CLAUDINEI RIBEIRO VALERIO (681)</v>
      </c>
      <c r="H9256" t="str">
        <f>"Serv.Prest. 20/10/2025 a 26/10/2025 - PIX: CELULAR - CHAVE: (43) 99630-7532"</f>
        <v>Serv.Prest. 20/10/2025 a 26/10/2025 - PIX: CELULAR - CHAVE: (43) 99630-7532</v>
      </c>
      <c r="I9256" t="str">
        <f t="shared" si="1750"/>
        <v>06/11/2025</v>
      </c>
      <c r="J9256" t="str">
        <f t="shared" si="1745"/>
        <v>31/10/2025</v>
      </c>
      <c r="K9256" t="str">
        <f>("06/11/2025")</f>
        <v>06/11/2025</v>
      </c>
      <c r="L9256">
        <v>12.6</v>
      </c>
      <c r="M9256">
        <v>12.6</v>
      </c>
      <c r="N9256">
        <v>109</v>
      </c>
      <c r="O9256" t="str">
        <f>"PAGAMENTO DE ENTREGADORES"</f>
        <v>PAGAMENTO DE ENTREGADORES</v>
      </c>
      <c r="P9256">
        <v>12.6</v>
      </c>
      <c r="S9256" t="str">
        <f>"BANCO C6 (149)"</f>
        <v>BANCO C6 (149)</v>
      </c>
      <c r="T9256">
        <v>20695</v>
      </c>
      <c r="U9256">
        <v>24565</v>
      </c>
      <c r="V9256" t="s">
        <v>77</v>
      </c>
    </row>
    <row r="9257" spans="1:22">
      <c r="A9257" t="str">
        <f t="shared" si="1746"/>
        <v>06/11/2025</v>
      </c>
      <c r="B9257" t="str">
        <f t="shared" si="1748"/>
        <v>SAÍDA</v>
      </c>
      <c r="C9257" t="str">
        <f t="shared" si="1749"/>
        <v>PIX</v>
      </c>
      <c r="D9257" t="str">
        <f>"24565"</f>
        <v>24565</v>
      </c>
      <c r="E9257" t="str">
        <f t="shared" si="1744"/>
        <v>1</v>
      </c>
      <c r="F9257" t="str">
        <f t="shared" si="1747"/>
        <v>COM</v>
      </c>
      <c r="G9257" t="str">
        <f>"CLAUDINEI RIBEIRO VALERIO (681)"</f>
        <v>CLAUDINEI RIBEIRO VALERIO (681)</v>
      </c>
      <c r="H9257" t="s">
        <v>2650</v>
      </c>
      <c r="I9257" t="str">
        <f t="shared" si="1750"/>
        <v>06/11/2025</v>
      </c>
      <c r="J9257" t="str">
        <f t="shared" si="1745"/>
        <v>31/10/2025</v>
      </c>
      <c r="K9257">
        <v>45967</v>
      </c>
      <c r="N9257">
        <v>109</v>
      </c>
      <c r="O9257" t="s">
        <v>24</v>
      </c>
      <c r="Q9257">
        <v>12.6</v>
      </c>
      <c r="R9257" t="str">
        <f>"AC FARMA - FLEMINFARMA 5 (10183)"</f>
        <v>AC FARMA - FLEMINFARMA 5 (10183)</v>
      </c>
      <c r="S9257" t="s">
        <v>77</v>
      </c>
      <c r="T9257">
        <v>20695</v>
      </c>
      <c r="U9257">
        <v>24565</v>
      </c>
      <c r="V9257" t="s">
        <v>77</v>
      </c>
    </row>
    <row r="9258" spans="1:22">
      <c r="A9258" t="str">
        <f t="shared" si="1746"/>
        <v>06/11/2025</v>
      </c>
      <c r="B9258" t="str">
        <f t="shared" si="1748"/>
        <v>SAÍDA</v>
      </c>
      <c r="C9258" t="str">
        <f t="shared" si="1749"/>
        <v>PIX</v>
      </c>
      <c r="D9258" t="str">
        <f>"24566"</f>
        <v>24566</v>
      </c>
      <c r="E9258" t="str">
        <f t="shared" si="1744"/>
        <v>1</v>
      </c>
      <c r="F9258" t="str">
        <f t="shared" si="1747"/>
        <v>COM</v>
      </c>
      <c r="G9258" t="str">
        <f>"FERNANDO MARTINS DA SILVA (701)"</f>
        <v>FERNANDO MARTINS DA SILVA (701)</v>
      </c>
      <c r="H9258" t="str">
        <f>"Serv.Prest. 20/10/2025 a 26/10/2025 - PIX: CPF - CHAVE: 004.682.359-06"</f>
        <v>Serv.Prest. 20/10/2025 a 26/10/2025 - PIX: CPF - CHAVE: 004.682.359-06</v>
      </c>
      <c r="I9258" t="str">
        <f t="shared" si="1750"/>
        <v>06/11/2025</v>
      </c>
      <c r="J9258" t="str">
        <f t="shared" si="1745"/>
        <v>31/10/2025</v>
      </c>
      <c r="K9258" t="str">
        <f>("06/11/2025")</f>
        <v>06/11/2025</v>
      </c>
      <c r="L9258">
        <v>119.7</v>
      </c>
      <c r="M9258">
        <v>119.7</v>
      </c>
      <c r="N9258">
        <v>109</v>
      </c>
      <c r="O9258" t="str">
        <f>"PAGAMENTO DE ENTREGADORES"</f>
        <v>PAGAMENTO DE ENTREGADORES</v>
      </c>
      <c r="P9258">
        <v>119.7</v>
      </c>
      <c r="S9258" t="str">
        <f>"BANCO C6 (149)"</f>
        <v>BANCO C6 (149)</v>
      </c>
      <c r="T9258">
        <v>20696</v>
      </c>
      <c r="U9258">
        <v>24566</v>
      </c>
      <c r="V9258" t="s">
        <v>77</v>
      </c>
    </row>
    <row r="9259" spans="1:22">
      <c r="A9259" t="str">
        <f t="shared" si="1746"/>
        <v>06/11/2025</v>
      </c>
      <c r="B9259" t="str">
        <f t="shared" si="1748"/>
        <v>SAÍDA</v>
      </c>
      <c r="C9259" t="str">
        <f t="shared" si="1749"/>
        <v>PIX</v>
      </c>
      <c r="D9259" t="str">
        <f>"24566"</f>
        <v>24566</v>
      </c>
      <c r="E9259" t="str">
        <f t="shared" si="1744"/>
        <v>1</v>
      </c>
      <c r="F9259" t="str">
        <f t="shared" si="1747"/>
        <v>COM</v>
      </c>
      <c r="G9259" t="str">
        <f>"FERNANDO MARTINS DA SILVA (701)"</f>
        <v>FERNANDO MARTINS DA SILVA (701)</v>
      </c>
      <c r="H9259" t="s">
        <v>2651</v>
      </c>
      <c r="I9259" t="str">
        <f t="shared" si="1750"/>
        <v>06/11/2025</v>
      </c>
      <c r="J9259" t="str">
        <f t="shared" si="1745"/>
        <v>31/10/2025</v>
      </c>
      <c r="K9259">
        <v>45967</v>
      </c>
      <c r="N9259">
        <v>109</v>
      </c>
      <c r="O9259" t="s">
        <v>24</v>
      </c>
      <c r="Q9259">
        <v>119.7</v>
      </c>
      <c r="R9259" t="str">
        <f>"AC FARMA - FLEMINFARMA 5 (10183)"</f>
        <v>AC FARMA - FLEMINFARMA 5 (10183)</v>
      </c>
      <c r="S9259" t="s">
        <v>77</v>
      </c>
      <c r="T9259">
        <v>20696</v>
      </c>
      <c r="U9259">
        <v>24566</v>
      </c>
      <c r="V9259" t="s">
        <v>77</v>
      </c>
    </row>
    <row r="9260" spans="1:22">
      <c r="A9260" t="str">
        <f t="shared" si="1746"/>
        <v>06/11/2025</v>
      </c>
      <c r="B9260" t="str">
        <f t="shared" si="1748"/>
        <v>SAÍDA</v>
      </c>
      <c r="C9260" t="str">
        <f t="shared" si="1749"/>
        <v>PIX</v>
      </c>
      <c r="D9260" t="str">
        <f>"24567"</f>
        <v>24567</v>
      </c>
      <c r="E9260" t="str">
        <f t="shared" si="1744"/>
        <v>1</v>
      </c>
      <c r="F9260" t="str">
        <f t="shared" si="1747"/>
        <v>COM</v>
      </c>
      <c r="G9260" t="str">
        <f>"GERALDO SEVERINO DE SANTANA (729)"</f>
        <v>GERALDO SEVERINO DE SANTANA (729)</v>
      </c>
      <c r="H9260" t="str">
        <f>"Serv.Prest. 20/10/2025 a 26/10/2025 - PIX: CELULAR - CHAVE: (43) 99934-1696"</f>
        <v>Serv.Prest. 20/10/2025 a 26/10/2025 - PIX: CELULAR - CHAVE: (43) 99934-1696</v>
      </c>
      <c r="I9260" t="str">
        <f t="shared" si="1750"/>
        <v>06/11/2025</v>
      </c>
      <c r="J9260" t="str">
        <f t="shared" si="1745"/>
        <v>31/10/2025</v>
      </c>
      <c r="K9260" t="str">
        <f>("06/11/2025")</f>
        <v>06/11/2025</v>
      </c>
      <c r="L9260">
        <v>63</v>
      </c>
      <c r="M9260">
        <v>63</v>
      </c>
      <c r="N9260">
        <v>109</v>
      </c>
      <c r="O9260" t="str">
        <f>"PAGAMENTO DE ENTREGADORES"</f>
        <v>PAGAMENTO DE ENTREGADORES</v>
      </c>
      <c r="P9260">
        <v>63</v>
      </c>
      <c r="S9260" t="str">
        <f>"BANCO C6 (149)"</f>
        <v>BANCO C6 (149)</v>
      </c>
      <c r="T9260">
        <v>20697</v>
      </c>
      <c r="U9260">
        <v>24567</v>
      </c>
      <c r="V9260" t="s">
        <v>77</v>
      </c>
    </row>
    <row r="9261" spans="1:22">
      <c r="A9261" t="str">
        <f t="shared" si="1746"/>
        <v>06/11/2025</v>
      </c>
      <c r="B9261" t="str">
        <f t="shared" si="1748"/>
        <v>SAÍDA</v>
      </c>
      <c r="C9261" t="str">
        <f t="shared" si="1749"/>
        <v>PIX</v>
      </c>
      <c r="D9261" t="str">
        <f>"24567"</f>
        <v>24567</v>
      </c>
      <c r="E9261" t="str">
        <f t="shared" si="1744"/>
        <v>1</v>
      </c>
      <c r="F9261" t="str">
        <f t="shared" si="1747"/>
        <v>COM</v>
      </c>
      <c r="G9261" t="str">
        <f>"GERALDO SEVERINO DE SANTANA (729)"</f>
        <v>GERALDO SEVERINO DE SANTANA (729)</v>
      </c>
      <c r="H9261" t="s">
        <v>2652</v>
      </c>
      <c r="I9261" t="str">
        <f t="shared" si="1750"/>
        <v>06/11/2025</v>
      </c>
      <c r="J9261" t="str">
        <f t="shared" si="1745"/>
        <v>31/10/2025</v>
      </c>
      <c r="K9261">
        <v>45967</v>
      </c>
      <c r="N9261">
        <v>109</v>
      </c>
      <c r="O9261" t="s">
        <v>24</v>
      </c>
      <c r="Q9261">
        <v>63</v>
      </c>
      <c r="R9261" t="str">
        <f>"AC FARMA - FLEMINFARMA 5 (10183)"</f>
        <v>AC FARMA - FLEMINFARMA 5 (10183)</v>
      </c>
      <c r="S9261" t="s">
        <v>77</v>
      </c>
      <c r="T9261">
        <v>20697</v>
      </c>
      <c r="U9261">
        <v>24567</v>
      </c>
      <c r="V9261" t="s">
        <v>77</v>
      </c>
    </row>
    <row r="9262" spans="1:22">
      <c r="A9262" t="str">
        <f t="shared" si="1746"/>
        <v>06/11/2025</v>
      </c>
      <c r="B9262" t="str">
        <f t="shared" si="1748"/>
        <v>SAÍDA</v>
      </c>
      <c r="C9262" t="str">
        <f t="shared" si="1749"/>
        <v>PIX</v>
      </c>
      <c r="D9262" t="str">
        <f>"24568"</f>
        <v>24568</v>
      </c>
      <c r="E9262" t="str">
        <f t="shared" si="1744"/>
        <v>1</v>
      </c>
      <c r="F9262" t="str">
        <f t="shared" si="1747"/>
        <v>COM</v>
      </c>
      <c r="G9262" t="str">
        <f>"HELITON DE OLIVEIRA RAMOS BARBOSA (724)"</f>
        <v>HELITON DE OLIVEIRA RAMOS BARBOSA (724)</v>
      </c>
      <c r="H9262" t="str">
        <f>"Serv.Prest. 20/10/2025 a 26/10/2025 - PIX: CPF - CHAVE: 074.604.219-10"</f>
        <v>Serv.Prest. 20/10/2025 a 26/10/2025 - PIX: CPF - CHAVE: 074.604.219-10</v>
      </c>
      <c r="I9262" t="str">
        <f t="shared" si="1750"/>
        <v>06/11/2025</v>
      </c>
      <c r="J9262" t="str">
        <f t="shared" si="1745"/>
        <v>31/10/2025</v>
      </c>
      <c r="K9262" t="str">
        <f>("06/11/2025")</f>
        <v>06/11/2025</v>
      </c>
      <c r="L9262">
        <v>94.5</v>
      </c>
      <c r="M9262">
        <v>94.5</v>
      </c>
      <c r="N9262">
        <v>109</v>
      </c>
      <c r="O9262" t="str">
        <f>"PAGAMENTO DE ENTREGADORES"</f>
        <v>PAGAMENTO DE ENTREGADORES</v>
      </c>
      <c r="P9262">
        <v>94.5</v>
      </c>
      <c r="S9262" t="str">
        <f>"BANCO C6 (149)"</f>
        <v>BANCO C6 (149)</v>
      </c>
      <c r="T9262">
        <v>20698</v>
      </c>
      <c r="U9262">
        <v>24568</v>
      </c>
      <c r="V9262" t="s">
        <v>77</v>
      </c>
    </row>
    <row r="9263" spans="1:22">
      <c r="A9263" t="str">
        <f t="shared" si="1746"/>
        <v>06/11/2025</v>
      </c>
      <c r="B9263" t="str">
        <f t="shared" si="1748"/>
        <v>SAÍDA</v>
      </c>
      <c r="C9263" t="str">
        <f t="shared" si="1749"/>
        <v>PIX</v>
      </c>
      <c r="D9263" t="str">
        <f>"24568"</f>
        <v>24568</v>
      </c>
      <c r="E9263" t="str">
        <f t="shared" si="1744"/>
        <v>1</v>
      </c>
      <c r="F9263" t="str">
        <f t="shared" si="1747"/>
        <v>COM</v>
      </c>
      <c r="G9263" t="str">
        <f>"HELITON DE OLIVEIRA RAMOS BARBOSA (724)"</f>
        <v>HELITON DE OLIVEIRA RAMOS BARBOSA (724)</v>
      </c>
      <c r="H9263" t="s">
        <v>2653</v>
      </c>
      <c r="I9263" t="str">
        <f t="shared" si="1750"/>
        <v>06/11/2025</v>
      </c>
      <c r="J9263" t="str">
        <f t="shared" si="1745"/>
        <v>31/10/2025</v>
      </c>
      <c r="K9263">
        <v>45967</v>
      </c>
      <c r="N9263">
        <v>109</v>
      </c>
      <c r="O9263" t="s">
        <v>24</v>
      </c>
      <c r="Q9263">
        <v>94.5</v>
      </c>
      <c r="R9263" t="str">
        <f>"AC FARMA - FLEMINFARMA 5 (10183)"</f>
        <v>AC FARMA - FLEMINFARMA 5 (10183)</v>
      </c>
      <c r="S9263" t="s">
        <v>77</v>
      </c>
      <c r="T9263">
        <v>20698</v>
      </c>
      <c r="U9263">
        <v>24568</v>
      </c>
      <c r="V9263" t="s">
        <v>77</v>
      </c>
    </row>
    <row r="9264" spans="1:22">
      <c r="A9264" t="str">
        <f t="shared" si="1746"/>
        <v>06/11/2025</v>
      </c>
      <c r="B9264" t="str">
        <f t="shared" si="1748"/>
        <v>SAÍDA</v>
      </c>
      <c r="C9264" t="str">
        <f t="shared" si="1749"/>
        <v>PIX</v>
      </c>
      <c r="D9264" t="str">
        <f>"24576"</f>
        <v>24576</v>
      </c>
      <c r="E9264" t="str">
        <f t="shared" si="1744"/>
        <v>1</v>
      </c>
      <c r="F9264" t="str">
        <f t="shared" si="1747"/>
        <v>COM</v>
      </c>
      <c r="G9264" t="str">
        <f>"ADRIANO DE OMENA CARMO (992)"</f>
        <v>ADRIANO DE OMENA CARMO (992)</v>
      </c>
      <c r="H9264" t="str">
        <f>"Serv.Prest. 27/10/2025 a 02/11/2025 - PIX: CELULAR - CHAVE: (11) 98612-9589"</f>
        <v>Serv.Prest. 27/10/2025 a 02/11/2025 - PIX: CELULAR - CHAVE: (11) 98612-9589</v>
      </c>
      <c r="I9264" t="str">
        <f t="shared" si="1750"/>
        <v>06/11/2025</v>
      </c>
      <c r="J9264" t="str">
        <f t="shared" ref="J9264:J9295" si="1751">("03/11/2025")</f>
        <v>03/11/2025</v>
      </c>
      <c r="K9264" t="str">
        <f>("06/11/2025")</f>
        <v>06/11/2025</v>
      </c>
      <c r="L9264">
        <v>800</v>
      </c>
      <c r="M9264">
        <v>800</v>
      </c>
      <c r="N9264">
        <v>109</v>
      </c>
      <c r="O9264" t="str">
        <f>"PAGAMENTO DE ENTREGADORES"</f>
        <v>PAGAMENTO DE ENTREGADORES</v>
      </c>
      <c r="P9264">
        <v>800</v>
      </c>
      <c r="S9264" t="str">
        <f>"BANCO C6 (149)"</f>
        <v>BANCO C6 (149)</v>
      </c>
      <c r="T9264">
        <v>20699</v>
      </c>
      <c r="U9264">
        <v>24576</v>
      </c>
      <c r="V9264" t="s">
        <v>77</v>
      </c>
    </row>
    <row r="9265" spans="1:22">
      <c r="A9265" t="str">
        <f t="shared" si="1746"/>
        <v>06/11/2025</v>
      </c>
      <c r="B9265" t="str">
        <f t="shared" si="1748"/>
        <v>SAÍDA</v>
      </c>
      <c r="C9265" t="str">
        <f t="shared" si="1749"/>
        <v>PIX</v>
      </c>
      <c r="D9265" t="str">
        <f>"24576"</f>
        <v>24576</v>
      </c>
      <c r="E9265" t="str">
        <f t="shared" si="1744"/>
        <v>1</v>
      </c>
      <c r="F9265" t="str">
        <f t="shared" si="1747"/>
        <v>COM</v>
      </c>
      <c r="G9265" t="str">
        <f>"ADRIANO DE OMENA CARMO (992)"</f>
        <v>ADRIANO DE OMENA CARMO (992)</v>
      </c>
      <c r="H9265" t="s">
        <v>2655</v>
      </c>
      <c r="I9265" t="str">
        <f t="shared" si="1750"/>
        <v>06/11/2025</v>
      </c>
      <c r="J9265" t="str">
        <f t="shared" si="1751"/>
        <v>03/11/2025</v>
      </c>
      <c r="K9265">
        <v>45967</v>
      </c>
      <c r="N9265">
        <v>109</v>
      </c>
      <c r="O9265" t="s">
        <v>24</v>
      </c>
      <c r="Q9265">
        <v>800</v>
      </c>
      <c r="R9265" t="str">
        <f>"PENSE FARMA 51 (10235)"</f>
        <v>PENSE FARMA 51 (10235)</v>
      </c>
      <c r="S9265" t="s">
        <v>77</v>
      </c>
      <c r="T9265">
        <v>20699</v>
      </c>
      <c r="U9265">
        <v>24576</v>
      </c>
      <c r="V9265" t="s">
        <v>77</v>
      </c>
    </row>
    <row r="9266" spans="1:22">
      <c r="A9266" t="str">
        <f t="shared" si="1746"/>
        <v>06/11/2025</v>
      </c>
      <c r="B9266" t="str">
        <f t="shared" si="1748"/>
        <v>SAÍDA</v>
      </c>
      <c r="C9266" t="str">
        <f t="shared" si="1749"/>
        <v>PIX</v>
      </c>
      <c r="D9266" t="str">
        <f>"24579"</f>
        <v>24579</v>
      </c>
      <c r="E9266" t="str">
        <f t="shared" si="1744"/>
        <v>1</v>
      </c>
      <c r="F9266" t="str">
        <f t="shared" si="1747"/>
        <v>COM</v>
      </c>
      <c r="G9266" t="str">
        <f>"MATHEUS DA ROCHA GOMES (1002)"</f>
        <v>MATHEUS DA ROCHA GOMES (1002)</v>
      </c>
      <c r="H9266" t="str">
        <f>"Serv.Prest. 27/10/2025 a 02/11/2025 - PIX: CPF - CHAVE: 469.543.578-04"</f>
        <v>Serv.Prest. 27/10/2025 a 02/11/2025 - PIX: CPF - CHAVE: 469.543.578-04</v>
      </c>
      <c r="I9266" t="str">
        <f t="shared" si="1750"/>
        <v>06/11/2025</v>
      </c>
      <c r="J9266" t="str">
        <f t="shared" si="1751"/>
        <v>03/11/2025</v>
      </c>
      <c r="K9266" t="str">
        <f>("06/11/2025")</f>
        <v>06/11/2025</v>
      </c>
      <c r="L9266">
        <v>1325</v>
      </c>
      <c r="M9266">
        <v>1325</v>
      </c>
      <c r="N9266">
        <v>109</v>
      </c>
      <c r="O9266" t="str">
        <f>"PAGAMENTO DE ENTREGADORES"</f>
        <v>PAGAMENTO DE ENTREGADORES</v>
      </c>
      <c r="P9266">
        <v>1325</v>
      </c>
      <c r="S9266" t="str">
        <f>"BANCO C6 (149)"</f>
        <v>BANCO C6 (149)</v>
      </c>
      <c r="T9266">
        <v>20700</v>
      </c>
      <c r="U9266">
        <v>24579</v>
      </c>
      <c r="V9266" t="s">
        <v>77</v>
      </c>
    </row>
    <row r="9267" spans="1:22">
      <c r="A9267" t="str">
        <f t="shared" si="1746"/>
        <v>06/11/2025</v>
      </c>
      <c r="B9267" t="str">
        <f t="shared" si="1748"/>
        <v>SAÍDA</v>
      </c>
      <c r="C9267" t="str">
        <f t="shared" si="1749"/>
        <v>PIX</v>
      </c>
      <c r="D9267" t="str">
        <f>"24579"</f>
        <v>24579</v>
      </c>
      <c r="E9267" t="str">
        <f t="shared" si="1744"/>
        <v>1</v>
      </c>
      <c r="F9267" t="str">
        <f t="shared" si="1747"/>
        <v>COM</v>
      </c>
      <c r="G9267" t="str">
        <f>"MATHEUS DA ROCHA GOMES (1002)"</f>
        <v>MATHEUS DA ROCHA GOMES (1002)</v>
      </c>
      <c r="H9267" t="s">
        <v>2656</v>
      </c>
      <c r="I9267" t="str">
        <f t="shared" si="1750"/>
        <v>06/11/2025</v>
      </c>
      <c r="J9267" t="str">
        <f t="shared" si="1751"/>
        <v>03/11/2025</v>
      </c>
      <c r="K9267">
        <v>45967</v>
      </c>
      <c r="N9267">
        <v>109</v>
      </c>
      <c r="O9267" t="s">
        <v>24</v>
      </c>
      <c r="Q9267">
        <v>441.62</v>
      </c>
      <c r="R9267" t="str">
        <f>"PENSE FARMA 31 (10205)"</f>
        <v>PENSE FARMA 31 (10205)</v>
      </c>
      <c r="S9267" t="s">
        <v>77</v>
      </c>
      <c r="T9267">
        <v>20700</v>
      </c>
      <c r="U9267">
        <v>24579</v>
      </c>
      <c r="V9267" t="s">
        <v>77</v>
      </c>
    </row>
    <row r="9268" spans="1:22">
      <c r="A9268" t="str">
        <f t="shared" si="1746"/>
        <v>06/11/2025</v>
      </c>
      <c r="B9268" t="str">
        <f t="shared" si="1748"/>
        <v>SAÍDA</v>
      </c>
      <c r="C9268" t="str">
        <f t="shared" si="1749"/>
        <v>PIX</v>
      </c>
      <c r="D9268" t="str">
        <f>"24579"</f>
        <v>24579</v>
      </c>
      <c r="E9268" t="str">
        <f t="shared" si="1744"/>
        <v>1</v>
      </c>
      <c r="F9268" t="str">
        <f t="shared" si="1747"/>
        <v>COM</v>
      </c>
      <c r="G9268" t="str">
        <f>"MATHEUS DA ROCHA GOMES (1002)"</f>
        <v>MATHEUS DA ROCHA GOMES (1002)</v>
      </c>
      <c r="H9268" t="s">
        <v>2656</v>
      </c>
      <c r="I9268" t="str">
        <f t="shared" si="1750"/>
        <v>06/11/2025</v>
      </c>
      <c r="J9268" t="str">
        <f t="shared" si="1751"/>
        <v>03/11/2025</v>
      </c>
      <c r="K9268">
        <v>45967</v>
      </c>
      <c r="N9268">
        <v>109</v>
      </c>
      <c r="O9268" t="s">
        <v>24</v>
      </c>
      <c r="Q9268">
        <v>441.62</v>
      </c>
      <c r="R9268" t="str">
        <f>"PENSE FARMA 16 (10221)"</f>
        <v>PENSE FARMA 16 (10221)</v>
      </c>
      <c r="S9268" t="s">
        <v>77</v>
      </c>
      <c r="T9268">
        <v>20700</v>
      </c>
      <c r="U9268">
        <v>24579</v>
      </c>
      <c r="V9268" t="s">
        <v>77</v>
      </c>
    </row>
    <row r="9269" spans="1:22">
      <c r="A9269" t="str">
        <f t="shared" si="1746"/>
        <v>06/11/2025</v>
      </c>
      <c r="B9269" t="str">
        <f t="shared" si="1748"/>
        <v>SAÍDA</v>
      </c>
      <c r="C9269" t="str">
        <f t="shared" si="1749"/>
        <v>PIX</v>
      </c>
      <c r="D9269" t="str">
        <f>"24579"</f>
        <v>24579</v>
      </c>
      <c r="E9269" t="str">
        <f t="shared" si="1744"/>
        <v>1</v>
      </c>
      <c r="F9269" t="str">
        <f t="shared" si="1747"/>
        <v>COM</v>
      </c>
      <c r="G9269" t="str">
        <f>"MATHEUS DA ROCHA GOMES (1002)"</f>
        <v>MATHEUS DA ROCHA GOMES (1002)</v>
      </c>
      <c r="H9269" t="s">
        <v>2656</v>
      </c>
      <c r="I9269" t="str">
        <f t="shared" si="1750"/>
        <v>06/11/2025</v>
      </c>
      <c r="J9269" t="str">
        <f t="shared" si="1751"/>
        <v>03/11/2025</v>
      </c>
      <c r="K9269">
        <v>45967</v>
      </c>
      <c r="N9269">
        <v>109</v>
      </c>
      <c r="O9269" t="s">
        <v>24</v>
      </c>
      <c r="Q9269">
        <v>441.76</v>
      </c>
      <c r="R9269" t="str">
        <f>"PENSE FARMA 17 (10222)"</f>
        <v>PENSE FARMA 17 (10222)</v>
      </c>
      <c r="S9269" t="s">
        <v>77</v>
      </c>
      <c r="T9269">
        <v>20700</v>
      </c>
      <c r="U9269">
        <v>24579</v>
      </c>
      <c r="V9269" t="s">
        <v>77</v>
      </c>
    </row>
    <row r="9270" spans="1:22">
      <c r="A9270" t="str">
        <f t="shared" si="1746"/>
        <v>06/11/2025</v>
      </c>
      <c r="B9270" t="str">
        <f t="shared" si="1748"/>
        <v>SAÍDA</v>
      </c>
      <c r="C9270" t="str">
        <f t="shared" si="1749"/>
        <v>PIX</v>
      </c>
      <c r="D9270" t="str">
        <f>"24581"</f>
        <v>24581</v>
      </c>
      <c r="E9270" t="str">
        <f t="shared" si="1744"/>
        <v>1</v>
      </c>
      <c r="F9270" t="str">
        <f t="shared" si="1747"/>
        <v>COM</v>
      </c>
      <c r="G9270" t="str">
        <f>"MARCOS VINICIUS CORREIA JULI??O (1001)"</f>
        <v>MARCOS VINICIUS CORREIA JULI??O (1001)</v>
      </c>
      <c r="H9270" t="str">
        <f>"Serv.Prest. 27/10/2025 a 02/11/2025 - PIX: CELULAR - CHAVE: (11) 98144-5840"</f>
        <v>Serv.Prest. 27/10/2025 a 02/11/2025 - PIX: CELULAR - CHAVE: (11) 98144-5840</v>
      </c>
      <c r="I9270" t="str">
        <f t="shared" si="1750"/>
        <v>06/11/2025</v>
      </c>
      <c r="J9270" t="str">
        <f t="shared" si="1751"/>
        <v>03/11/2025</v>
      </c>
      <c r="K9270" t="str">
        <f>("06/11/2025")</f>
        <v>06/11/2025</v>
      </c>
      <c r="L9270">
        <v>1375</v>
      </c>
      <c r="M9270">
        <v>1375</v>
      </c>
      <c r="N9270">
        <v>109</v>
      </c>
      <c r="O9270" t="str">
        <f>"PAGAMENTO DE ENTREGADORES"</f>
        <v>PAGAMENTO DE ENTREGADORES</v>
      </c>
      <c r="P9270">
        <v>1375</v>
      </c>
      <c r="S9270" t="str">
        <f>"BANCO C6 (149)"</f>
        <v>BANCO C6 (149)</v>
      </c>
      <c r="T9270">
        <v>20701</v>
      </c>
      <c r="U9270">
        <v>24581</v>
      </c>
      <c r="V9270" t="s">
        <v>77</v>
      </c>
    </row>
    <row r="9271" spans="1:22">
      <c r="A9271" t="str">
        <f t="shared" si="1746"/>
        <v>06/11/2025</v>
      </c>
      <c r="B9271" t="str">
        <f t="shared" si="1748"/>
        <v>SAÍDA</v>
      </c>
      <c r="C9271" t="str">
        <f t="shared" si="1749"/>
        <v>PIX</v>
      </c>
      <c r="D9271" t="str">
        <f>"24581"</f>
        <v>24581</v>
      </c>
      <c r="E9271" t="str">
        <f t="shared" si="1744"/>
        <v>1</v>
      </c>
      <c r="F9271" t="str">
        <f t="shared" si="1747"/>
        <v>COM</v>
      </c>
      <c r="G9271" t="str">
        <f>"MARCOS VINICIUS CORREIA JULI??O (1001)"</f>
        <v>MARCOS VINICIUS CORREIA JULI??O (1001)</v>
      </c>
      <c r="H9271" t="s">
        <v>2657</v>
      </c>
      <c r="I9271" t="str">
        <f t="shared" si="1750"/>
        <v>06/11/2025</v>
      </c>
      <c r="J9271" t="str">
        <f t="shared" si="1751"/>
        <v>03/11/2025</v>
      </c>
      <c r="K9271">
        <v>45967</v>
      </c>
      <c r="N9271">
        <v>109</v>
      </c>
      <c r="O9271" t="s">
        <v>24</v>
      </c>
      <c r="Q9271">
        <v>687.5</v>
      </c>
      <c r="R9271" t="str">
        <f>"PENSE FARMA 44 (10231)"</f>
        <v>PENSE FARMA 44 (10231)</v>
      </c>
      <c r="S9271" t="s">
        <v>77</v>
      </c>
      <c r="T9271">
        <v>20701</v>
      </c>
      <c r="U9271">
        <v>24581</v>
      </c>
      <c r="V9271" t="s">
        <v>77</v>
      </c>
    </row>
    <row r="9272" spans="1:22">
      <c r="A9272" t="str">
        <f t="shared" si="1746"/>
        <v>06/11/2025</v>
      </c>
      <c r="B9272" t="str">
        <f t="shared" si="1748"/>
        <v>SAÍDA</v>
      </c>
      <c r="C9272" t="str">
        <f t="shared" si="1749"/>
        <v>PIX</v>
      </c>
      <c r="D9272" t="str">
        <f>"24581"</f>
        <v>24581</v>
      </c>
      <c r="E9272" t="str">
        <f t="shared" si="1744"/>
        <v>1</v>
      </c>
      <c r="F9272" t="str">
        <f t="shared" si="1747"/>
        <v>COM</v>
      </c>
      <c r="G9272" t="str">
        <f>"MARCOS VINICIUS CORREIA JULI??O (1001)"</f>
        <v>MARCOS VINICIUS CORREIA JULI??O (1001)</v>
      </c>
      <c r="H9272" t="s">
        <v>2657</v>
      </c>
      <c r="I9272" t="str">
        <f t="shared" si="1750"/>
        <v>06/11/2025</v>
      </c>
      <c r="J9272" t="str">
        <f t="shared" si="1751"/>
        <v>03/11/2025</v>
      </c>
      <c r="K9272">
        <v>45967</v>
      </c>
      <c r="N9272">
        <v>109</v>
      </c>
      <c r="O9272" t="s">
        <v>24</v>
      </c>
      <c r="Q9272">
        <v>687.5</v>
      </c>
      <c r="R9272" t="str">
        <f>"PENSE FARMA 48 (10233)"</f>
        <v>PENSE FARMA 48 (10233)</v>
      </c>
      <c r="S9272" t="s">
        <v>77</v>
      </c>
      <c r="T9272">
        <v>20701</v>
      </c>
      <c r="U9272">
        <v>24581</v>
      </c>
      <c r="V9272" t="s">
        <v>77</v>
      </c>
    </row>
    <row r="9273" spans="1:22">
      <c r="A9273" t="str">
        <f t="shared" si="1746"/>
        <v>06/11/2025</v>
      </c>
      <c r="B9273" t="str">
        <f t="shared" si="1748"/>
        <v>SAÍDA</v>
      </c>
      <c r="C9273" t="str">
        <f t="shared" si="1749"/>
        <v>PIX</v>
      </c>
      <c r="D9273" t="str">
        <f>"24582"</f>
        <v>24582</v>
      </c>
      <c r="E9273" t="str">
        <f t="shared" si="1744"/>
        <v>1</v>
      </c>
      <c r="F9273" t="str">
        <f t="shared" si="1747"/>
        <v>COM</v>
      </c>
      <c r="G9273" t="str">
        <f>"VICTOR HUGO SOARES DE PAULA (1021)"</f>
        <v>VICTOR HUGO SOARES DE PAULA (1021)</v>
      </c>
      <c r="H9273" t="str">
        <f>"Serv.Prest. 27/10/2025 a 02/11/2025 - PIX: CELULAR - CHAVE: (11) 98281-4526"</f>
        <v>Serv.Prest. 27/10/2025 a 02/11/2025 - PIX: CELULAR - CHAVE: (11) 98281-4526</v>
      </c>
      <c r="I9273" t="str">
        <f t="shared" si="1750"/>
        <v>06/11/2025</v>
      </c>
      <c r="J9273" t="str">
        <f t="shared" si="1751"/>
        <v>03/11/2025</v>
      </c>
      <c r="K9273" t="str">
        <f>("06/11/2025")</f>
        <v>06/11/2025</v>
      </c>
      <c r="L9273">
        <v>1375</v>
      </c>
      <c r="M9273">
        <v>1375</v>
      </c>
      <c r="N9273">
        <v>109</v>
      </c>
      <c r="O9273" t="str">
        <f>"PAGAMENTO DE ENTREGADORES"</f>
        <v>PAGAMENTO DE ENTREGADORES</v>
      </c>
      <c r="P9273">
        <v>1375</v>
      </c>
      <c r="S9273" t="str">
        <f>"BANCO C6 (149)"</f>
        <v>BANCO C6 (149)</v>
      </c>
      <c r="T9273">
        <v>20702</v>
      </c>
      <c r="U9273">
        <v>24582</v>
      </c>
      <c r="V9273" t="s">
        <v>77</v>
      </c>
    </row>
    <row r="9274" spans="1:22">
      <c r="A9274" t="str">
        <f t="shared" si="1746"/>
        <v>06/11/2025</v>
      </c>
      <c r="B9274" t="str">
        <f t="shared" si="1748"/>
        <v>SAÍDA</v>
      </c>
      <c r="C9274" t="str">
        <f t="shared" si="1749"/>
        <v>PIX</v>
      </c>
      <c r="D9274" t="str">
        <f>"24582"</f>
        <v>24582</v>
      </c>
      <c r="E9274" t="str">
        <f t="shared" si="1744"/>
        <v>1</v>
      </c>
      <c r="F9274" t="str">
        <f t="shared" si="1747"/>
        <v>COM</v>
      </c>
      <c r="G9274" t="str">
        <f>"VICTOR HUGO SOARES DE PAULA (1021)"</f>
        <v>VICTOR HUGO SOARES DE PAULA (1021)</v>
      </c>
      <c r="H9274" t="s">
        <v>2456</v>
      </c>
      <c r="I9274" t="str">
        <f t="shared" si="1750"/>
        <v>06/11/2025</v>
      </c>
      <c r="J9274" t="str">
        <f t="shared" si="1751"/>
        <v>03/11/2025</v>
      </c>
      <c r="K9274">
        <v>45967</v>
      </c>
      <c r="N9274">
        <v>109</v>
      </c>
      <c r="O9274" t="s">
        <v>24</v>
      </c>
      <c r="Q9274">
        <v>687.5</v>
      </c>
      <c r="R9274" t="str">
        <f>"PENSE FARMA 44 (10231)"</f>
        <v>PENSE FARMA 44 (10231)</v>
      </c>
      <c r="S9274" t="s">
        <v>77</v>
      </c>
      <c r="T9274">
        <v>20702</v>
      </c>
      <c r="U9274">
        <v>24582</v>
      </c>
      <c r="V9274" t="s">
        <v>77</v>
      </c>
    </row>
    <row r="9275" spans="1:22">
      <c r="A9275" t="str">
        <f t="shared" si="1746"/>
        <v>06/11/2025</v>
      </c>
      <c r="B9275" t="str">
        <f t="shared" si="1748"/>
        <v>SAÍDA</v>
      </c>
      <c r="C9275" t="str">
        <f t="shared" si="1749"/>
        <v>PIX</v>
      </c>
      <c r="D9275" t="str">
        <f>"24582"</f>
        <v>24582</v>
      </c>
      <c r="E9275" t="str">
        <f t="shared" si="1744"/>
        <v>1</v>
      </c>
      <c r="F9275" t="str">
        <f t="shared" si="1747"/>
        <v>COM</v>
      </c>
      <c r="G9275" t="str">
        <f>"VICTOR HUGO SOARES DE PAULA (1021)"</f>
        <v>VICTOR HUGO SOARES DE PAULA (1021)</v>
      </c>
      <c r="H9275" t="s">
        <v>2456</v>
      </c>
      <c r="I9275" t="str">
        <f t="shared" si="1750"/>
        <v>06/11/2025</v>
      </c>
      <c r="J9275" t="str">
        <f t="shared" si="1751"/>
        <v>03/11/2025</v>
      </c>
      <c r="K9275">
        <v>45967</v>
      </c>
      <c r="N9275">
        <v>109</v>
      </c>
      <c r="O9275" t="s">
        <v>24</v>
      </c>
      <c r="Q9275">
        <v>687.5</v>
      </c>
      <c r="R9275" t="str">
        <f>"PENSE FARMA 48 (10233)"</f>
        <v>PENSE FARMA 48 (10233)</v>
      </c>
      <c r="S9275" t="s">
        <v>77</v>
      </c>
      <c r="T9275">
        <v>20702</v>
      </c>
      <c r="U9275">
        <v>24582</v>
      </c>
      <c r="V9275" t="s">
        <v>77</v>
      </c>
    </row>
    <row r="9276" spans="1:22">
      <c r="A9276" t="str">
        <f t="shared" si="1746"/>
        <v>06/11/2025</v>
      </c>
      <c r="B9276" t="str">
        <f t="shared" si="1748"/>
        <v>SAÍDA</v>
      </c>
      <c r="C9276" t="str">
        <f t="shared" si="1749"/>
        <v>PIX</v>
      </c>
      <c r="D9276" t="str">
        <f>"24585"</f>
        <v>24585</v>
      </c>
      <c r="E9276" t="str">
        <f t="shared" si="1744"/>
        <v>1</v>
      </c>
      <c r="F9276" t="str">
        <f t="shared" si="1747"/>
        <v>COM</v>
      </c>
      <c r="G9276" t="str">
        <f>"BRUCE HENRIQUE COSTA DOS SANTOS CONCEI?? (996)"</f>
        <v>BRUCE HENRIQUE COSTA DOS SANTOS CONCEI?? (996)</v>
      </c>
      <c r="H9276" t="str">
        <f>"Serv.Prest. 27/10/2025 a 02/11/2025 - PIX: CNPJ - CHAVE: 52.606.983/0001-08"</f>
        <v>Serv.Prest. 27/10/2025 a 02/11/2025 - PIX: CNPJ - CHAVE: 52.606.983/0001-08</v>
      </c>
      <c r="I9276" t="str">
        <f t="shared" si="1750"/>
        <v>06/11/2025</v>
      </c>
      <c r="J9276" t="str">
        <f t="shared" si="1751"/>
        <v>03/11/2025</v>
      </c>
      <c r="K9276" t="str">
        <f>("06/11/2025")</f>
        <v>06/11/2025</v>
      </c>
      <c r="L9276">
        <v>1375</v>
      </c>
      <c r="M9276">
        <v>1375</v>
      </c>
      <c r="N9276">
        <v>109</v>
      </c>
      <c r="O9276" t="str">
        <f>"PAGAMENTO DE ENTREGADORES"</f>
        <v>PAGAMENTO DE ENTREGADORES</v>
      </c>
      <c r="P9276">
        <v>1375</v>
      </c>
      <c r="S9276" t="str">
        <f>"BANCO C6 (149)"</f>
        <v>BANCO C6 (149)</v>
      </c>
      <c r="T9276">
        <v>20703</v>
      </c>
      <c r="U9276">
        <v>24585</v>
      </c>
      <c r="V9276" t="s">
        <v>77</v>
      </c>
    </row>
    <row r="9277" spans="1:22">
      <c r="A9277" t="str">
        <f t="shared" si="1746"/>
        <v>06/11/2025</v>
      </c>
      <c r="B9277" t="str">
        <f t="shared" si="1748"/>
        <v>SAÍDA</v>
      </c>
      <c r="C9277" t="str">
        <f t="shared" si="1749"/>
        <v>PIX</v>
      </c>
      <c r="D9277" t="str">
        <f>"24585"</f>
        <v>24585</v>
      </c>
      <c r="E9277" t="str">
        <f t="shared" si="1744"/>
        <v>1</v>
      </c>
      <c r="F9277" t="str">
        <f t="shared" si="1747"/>
        <v>COM</v>
      </c>
      <c r="G9277" t="str">
        <f>"BRUCE HENRIQUE COSTA DOS SANTOS CONCEI?? (996)"</f>
        <v>BRUCE HENRIQUE COSTA DOS SANTOS CONCEI?? (996)</v>
      </c>
      <c r="H9277" t="s">
        <v>2658</v>
      </c>
      <c r="I9277" t="str">
        <f t="shared" si="1750"/>
        <v>06/11/2025</v>
      </c>
      <c r="J9277" t="str">
        <f t="shared" si="1751"/>
        <v>03/11/2025</v>
      </c>
      <c r="K9277">
        <v>45967</v>
      </c>
      <c r="N9277">
        <v>109</v>
      </c>
      <c r="O9277" t="s">
        <v>24</v>
      </c>
      <c r="Q9277">
        <v>1375</v>
      </c>
      <c r="R9277" t="str">
        <f>"PENSE FARMA 19 (10223)"</f>
        <v>PENSE FARMA 19 (10223)</v>
      </c>
      <c r="S9277" t="s">
        <v>77</v>
      </c>
      <c r="T9277">
        <v>20703</v>
      </c>
      <c r="U9277">
        <v>24585</v>
      </c>
      <c r="V9277" t="s">
        <v>77</v>
      </c>
    </row>
    <row r="9278" spans="1:22">
      <c r="A9278" t="str">
        <f t="shared" si="1746"/>
        <v>06/11/2025</v>
      </c>
      <c r="B9278" t="str">
        <f t="shared" si="1748"/>
        <v>SAÍDA</v>
      </c>
      <c r="C9278" t="str">
        <f t="shared" si="1749"/>
        <v>PIX</v>
      </c>
      <c r="D9278" t="str">
        <f>"24587"</f>
        <v>24587</v>
      </c>
      <c r="E9278" t="str">
        <f t="shared" si="1744"/>
        <v>1</v>
      </c>
      <c r="F9278" t="str">
        <f t="shared" si="1747"/>
        <v>COM</v>
      </c>
      <c r="G9278" t="str">
        <f>"GABRIEL SIQUEIRA DA SILVA (997)"</f>
        <v>GABRIEL SIQUEIRA DA SILVA (997)</v>
      </c>
      <c r="H9278" t="str">
        <f>"Serv.Prest. 27/10/2025 a 02/11/2025 - PIX: CPF - CHAVE: 500.480.978-02"</f>
        <v>Serv.Prest. 27/10/2025 a 02/11/2025 - PIX: CPF - CHAVE: 500.480.978-02</v>
      </c>
      <c r="I9278" t="str">
        <f t="shared" si="1750"/>
        <v>06/11/2025</v>
      </c>
      <c r="J9278" t="str">
        <f t="shared" si="1751"/>
        <v>03/11/2025</v>
      </c>
      <c r="K9278" t="str">
        <f>("06/11/2025")</f>
        <v>06/11/2025</v>
      </c>
      <c r="L9278">
        <v>800</v>
      </c>
      <c r="M9278">
        <v>800</v>
      </c>
      <c r="N9278">
        <v>109</v>
      </c>
      <c r="O9278" t="str">
        <f>"PAGAMENTO DE ENTREGADORES"</f>
        <v>PAGAMENTO DE ENTREGADORES</v>
      </c>
      <c r="P9278">
        <v>800</v>
      </c>
      <c r="S9278" t="str">
        <f>"BANCO C6 (149)"</f>
        <v>BANCO C6 (149)</v>
      </c>
      <c r="T9278">
        <v>20704</v>
      </c>
      <c r="U9278">
        <v>24587</v>
      </c>
      <c r="V9278" t="s">
        <v>77</v>
      </c>
    </row>
    <row r="9279" spans="1:22">
      <c r="A9279" t="str">
        <f t="shared" si="1746"/>
        <v>06/11/2025</v>
      </c>
      <c r="B9279" t="str">
        <f t="shared" si="1748"/>
        <v>SAÍDA</v>
      </c>
      <c r="C9279" t="str">
        <f t="shared" si="1749"/>
        <v>PIX</v>
      </c>
      <c r="D9279" t="str">
        <f>"24587"</f>
        <v>24587</v>
      </c>
      <c r="E9279" t="str">
        <f t="shared" si="1744"/>
        <v>1</v>
      </c>
      <c r="F9279" t="str">
        <f t="shared" si="1747"/>
        <v>COM</v>
      </c>
      <c r="G9279" t="str">
        <f>"GABRIEL SIQUEIRA DA SILVA (997)"</f>
        <v>GABRIEL SIQUEIRA DA SILVA (997)</v>
      </c>
      <c r="H9279" t="s">
        <v>2659</v>
      </c>
      <c r="I9279" t="str">
        <f t="shared" si="1750"/>
        <v>06/11/2025</v>
      </c>
      <c r="J9279" t="str">
        <f t="shared" si="1751"/>
        <v>03/11/2025</v>
      </c>
      <c r="K9279">
        <v>45967</v>
      </c>
      <c r="N9279">
        <v>109</v>
      </c>
      <c r="O9279" t="s">
        <v>24</v>
      </c>
      <c r="Q9279">
        <v>800</v>
      </c>
      <c r="R9279" t="str">
        <f>"PENSE FARMA 49 (10234)"</f>
        <v>PENSE FARMA 49 (10234)</v>
      </c>
      <c r="S9279" t="s">
        <v>77</v>
      </c>
      <c r="T9279">
        <v>20704</v>
      </c>
      <c r="U9279">
        <v>24587</v>
      </c>
      <c r="V9279" t="s">
        <v>77</v>
      </c>
    </row>
    <row r="9280" spans="1:22">
      <c r="A9280" t="str">
        <f t="shared" si="1746"/>
        <v>06/11/2025</v>
      </c>
      <c r="B9280" t="str">
        <f t="shared" si="1748"/>
        <v>SAÍDA</v>
      </c>
      <c r="C9280" t="str">
        <f t="shared" si="1749"/>
        <v>PIX</v>
      </c>
      <c r="D9280" t="str">
        <f>"24589"</f>
        <v>24589</v>
      </c>
      <c r="E9280" t="str">
        <f t="shared" si="1744"/>
        <v>1</v>
      </c>
      <c r="F9280" t="str">
        <f t="shared" si="1747"/>
        <v>COM</v>
      </c>
      <c r="G9280" t="str">
        <f>"ALAN COSTA SILVA (994)"</f>
        <v>ALAN COSTA SILVA (994)</v>
      </c>
      <c r="H9280" t="str">
        <f>"Serv.Prest. 27/10/2025 a 02/11/2025 - PIX: CELULAR - CHAVE: (11) 98484-6837"</f>
        <v>Serv.Prest. 27/10/2025 a 02/11/2025 - PIX: CELULAR - CHAVE: (11) 98484-6837</v>
      </c>
      <c r="I9280" t="str">
        <f t="shared" si="1750"/>
        <v>06/11/2025</v>
      </c>
      <c r="J9280" t="str">
        <f t="shared" si="1751"/>
        <v>03/11/2025</v>
      </c>
      <c r="K9280" t="str">
        <f>("06/11/2025")</f>
        <v>06/11/2025</v>
      </c>
      <c r="L9280">
        <v>1300</v>
      </c>
      <c r="M9280">
        <v>1300</v>
      </c>
      <c r="N9280">
        <v>109</v>
      </c>
      <c r="O9280" t="str">
        <f>"PAGAMENTO DE ENTREGADORES"</f>
        <v>PAGAMENTO DE ENTREGADORES</v>
      </c>
      <c r="P9280">
        <v>1300</v>
      </c>
      <c r="S9280" t="str">
        <f>"BANCO C6 (149)"</f>
        <v>BANCO C6 (149)</v>
      </c>
      <c r="T9280">
        <v>20705</v>
      </c>
      <c r="U9280">
        <v>24589</v>
      </c>
      <c r="V9280" t="s">
        <v>77</v>
      </c>
    </row>
    <row r="9281" spans="1:22">
      <c r="A9281" t="str">
        <f t="shared" si="1746"/>
        <v>06/11/2025</v>
      </c>
      <c r="B9281" t="str">
        <f t="shared" si="1748"/>
        <v>SAÍDA</v>
      </c>
      <c r="C9281" t="str">
        <f t="shared" si="1749"/>
        <v>PIX</v>
      </c>
      <c r="D9281" t="str">
        <f>"24589"</f>
        <v>24589</v>
      </c>
      <c r="E9281" t="str">
        <f t="shared" si="1744"/>
        <v>1</v>
      </c>
      <c r="F9281" t="str">
        <f t="shared" si="1747"/>
        <v>COM</v>
      </c>
      <c r="G9281" t="str">
        <f>"ALAN COSTA SILVA (994)"</f>
        <v>ALAN COSTA SILVA (994)</v>
      </c>
      <c r="H9281" t="s">
        <v>2660</v>
      </c>
      <c r="I9281" t="str">
        <f t="shared" si="1750"/>
        <v>06/11/2025</v>
      </c>
      <c r="J9281" t="str">
        <f t="shared" si="1751"/>
        <v>03/11/2025</v>
      </c>
      <c r="K9281">
        <v>45967</v>
      </c>
      <c r="N9281">
        <v>109</v>
      </c>
      <c r="O9281" t="s">
        <v>24</v>
      </c>
      <c r="Q9281">
        <v>325</v>
      </c>
      <c r="R9281" t="str">
        <f>"PENSE FARMA 02 (10199)"</f>
        <v>PENSE FARMA 02 (10199)</v>
      </c>
      <c r="S9281" t="s">
        <v>77</v>
      </c>
      <c r="T9281">
        <v>20705</v>
      </c>
      <c r="U9281">
        <v>24589</v>
      </c>
      <c r="V9281" t="s">
        <v>77</v>
      </c>
    </row>
    <row r="9282" spans="1:22">
      <c r="A9282" t="str">
        <f t="shared" si="1746"/>
        <v>06/11/2025</v>
      </c>
      <c r="B9282" t="str">
        <f t="shared" si="1748"/>
        <v>SAÍDA</v>
      </c>
      <c r="C9282" t="str">
        <f t="shared" si="1749"/>
        <v>PIX</v>
      </c>
      <c r="D9282" t="str">
        <f>"24589"</f>
        <v>24589</v>
      </c>
      <c r="E9282" t="str">
        <f t="shared" si="1744"/>
        <v>1</v>
      </c>
      <c r="F9282" t="str">
        <f t="shared" si="1747"/>
        <v>COM</v>
      </c>
      <c r="G9282" t="str">
        <f>"ALAN COSTA SILVA (994)"</f>
        <v>ALAN COSTA SILVA (994)</v>
      </c>
      <c r="H9282" t="s">
        <v>2660</v>
      </c>
      <c r="I9282" t="str">
        <f t="shared" si="1750"/>
        <v>06/11/2025</v>
      </c>
      <c r="J9282" t="str">
        <f t="shared" si="1751"/>
        <v>03/11/2025</v>
      </c>
      <c r="K9282">
        <v>45967</v>
      </c>
      <c r="N9282">
        <v>109</v>
      </c>
      <c r="O9282" t="s">
        <v>24</v>
      </c>
      <c r="Q9282">
        <v>325</v>
      </c>
      <c r="R9282" t="str">
        <f>"PENSE FARMA 01 (10215)"</f>
        <v>PENSE FARMA 01 (10215)</v>
      </c>
      <c r="S9282" t="s">
        <v>77</v>
      </c>
      <c r="T9282">
        <v>20705</v>
      </c>
      <c r="U9282">
        <v>24589</v>
      </c>
      <c r="V9282" t="s">
        <v>77</v>
      </c>
    </row>
    <row r="9283" spans="1:22">
      <c r="A9283" t="str">
        <f t="shared" si="1746"/>
        <v>06/11/2025</v>
      </c>
      <c r="B9283" t="str">
        <f t="shared" si="1748"/>
        <v>SAÍDA</v>
      </c>
      <c r="C9283" t="str">
        <f t="shared" si="1749"/>
        <v>PIX</v>
      </c>
      <c r="D9283" t="str">
        <f>"24589"</f>
        <v>24589</v>
      </c>
      <c r="E9283" t="str">
        <f t="shared" si="1744"/>
        <v>1</v>
      </c>
      <c r="F9283" t="str">
        <f t="shared" si="1747"/>
        <v>COM</v>
      </c>
      <c r="G9283" t="str">
        <f>"ALAN COSTA SILVA (994)"</f>
        <v>ALAN COSTA SILVA (994)</v>
      </c>
      <c r="H9283" t="s">
        <v>2660</v>
      </c>
      <c r="I9283" t="str">
        <f t="shared" si="1750"/>
        <v>06/11/2025</v>
      </c>
      <c r="J9283" t="str">
        <f t="shared" si="1751"/>
        <v>03/11/2025</v>
      </c>
      <c r="K9283">
        <v>45967</v>
      </c>
      <c r="N9283">
        <v>109</v>
      </c>
      <c r="O9283" t="s">
        <v>24</v>
      </c>
      <c r="Q9283">
        <v>325</v>
      </c>
      <c r="R9283" t="str">
        <f>"PENSE FARMA 03 (10216)"</f>
        <v>PENSE FARMA 03 (10216)</v>
      </c>
      <c r="S9283" t="s">
        <v>77</v>
      </c>
      <c r="T9283">
        <v>20705</v>
      </c>
      <c r="U9283">
        <v>24589</v>
      </c>
      <c r="V9283" t="s">
        <v>77</v>
      </c>
    </row>
    <row r="9284" spans="1:22">
      <c r="A9284" t="str">
        <f t="shared" si="1746"/>
        <v>06/11/2025</v>
      </c>
      <c r="B9284" t="str">
        <f t="shared" si="1748"/>
        <v>SAÍDA</v>
      </c>
      <c r="C9284" t="str">
        <f t="shared" si="1749"/>
        <v>PIX</v>
      </c>
      <c r="D9284" t="str">
        <f>"24589"</f>
        <v>24589</v>
      </c>
      <c r="E9284" t="str">
        <f t="shared" si="1744"/>
        <v>1</v>
      </c>
      <c r="F9284" t="str">
        <f t="shared" si="1747"/>
        <v>COM</v>
      </c>
      <c r="G9284" t="str">
        <f>"ALAN COSTA SILVA (994)"</f>
        <v>ALAN COSTA SILVA (994)</v>
      </c>
      <c r="H9284" t="s">
        <v>2660</v>
      </c>
      <c r="I9284" t="str">
        <f t="shared" si="1750"/>
        <v>06/11/2025</v>
      </c>
      <c r="J9284" t="str">
        <f t="shared" si="1751"/>
        <v>03/11/2025</v>
      </c>
      <c r="K9284">
        <v>45967</v>
      </c>
      <c r="N9284">
        <v>109</v>
      </c>
      <c r="O9284" t="s">
        <v>24</v>
      </c>
      <c r="Q9284">
        <v>325</v>
      </c>
      <c r="R9284" t="str">
        <f>"PENSE FARMA 39 (10228)"</f>
        <v>PENSE FARMA 39 (10228)</v>
      </c>
      <c r="S9284" t="s">
        <v>77</v>
      </c>
      <c r="T9284">
        <v>20705</v>
      </c>
      <c r="U9284">
        <v>24589</v>
      </c>
      <c r="V9284" t="s">
        <v>77</v>
      </c>
    </row>
    <row r="9285" spans="1:22">
      <c r="A9285" t="str">
        <f t="shared" si="1746"/>
        <v>06/11/2025</v>
      </c>
      <c r="B9285" t="str">
        <f t="shared" si="1748"/>
        <v>SAÍDA</v>
      </c>
      <c r="C9285" t="str">
        <f t="shared" si="1749"/>
        <v>PIX</v>
      </c>
      <c r="D9285" t="str">
        <f>"24590"</f>
        <v>24590</v>
      </c>
      <c r="E9285" t="str">
        <f t="shared" si="1744"/>
        <v>1</v>
      </c>
      <c r="F9285" t="str">
        <f t="shared" si="1747"/>
        <v>COM</v>
      </c>
      <c r="G9285" t="str">
        <f>"IGOR LOPES DA SILVA (991)"</f>
        <v>IGOR LOPES DA SILVA (991)</v>
      </c>
      <c r="H9285" t="str">
        <f>"Serv.Prest. 27/10/2025 a 02/11/2025 - PIX: CELULAR - CHAVE: (11) 95054-2206"</f>
        <v>Serv.Prest. 27/10/2025 a 02/11/2025 - PIX: CELULAR - CHAVE: (11) 95054-2206</v>
      </c>
      <c r="I9285" t="str">
        <f t="shared" si="1750"/>
        <v>06/11/2025</v>
      </c>
      <c r="J9285" t="str">
        <f t="shared" si="1751"/>
        <v>03/11/2025</v>
      </c>
      <c r="K9285" t="str">
        <f>("06/11/2025")</f>
        <v>06/11/2025</v>
      </c>
      <c r="L9285">
        <v>1300</v>
      </c>
      <c r="M9285">
        <v>1300</v>
      </c>
      <c r="N9285">
        <v>109</v>
      </c>
      <c r="O9285" t="str">
        <f>"PAGAMENTO DE ENTREGADORES"</f>
        <v>PAGAMENTO DE ENTREGADORES</v>
      </c>
      <c r="P9285">
        <v>1300</v>
      </c>
      <c r="S9285" t="str">
        <f>"BANCO C6 (149)"</f>
        <v>BANCO C6 (149)</v>
      </c>
      <c r="T9285">
        <v>20706</v>
      </c>
      <c r="U9285">
        <v>24590</v>
      </c>
      <c r="V9285" t="s">
        <v>77</v>
      </c>
    </row>
    <row r="9286" spans="1:22">
      <c r="A9286" t="str">
        <f t="shared" si="1746"/>
        <v>06/11/2025</v>
      </c>
      <c r="B9286" t="str">
        <f t="shared" si="1748"/>
        <v>SAÍDA</v>
      </c>
      <c r="C9286" t="str">
        <f t="shared" si="1749"/>
        <v>PIX</v>
      </c>
      <c r="D9286" t="str">
        <f>"24590"</f>
        <v>24590</v>
      </c>
      <c r="E9286" t="str">
        <f t="shared" ref="E9286:E9349" si="1752">"1"</f>
        <v>1</v>
      </c>
      <c r="F9286" t="str">
        <f t="shared" si="1747"/>
        <v>COM</v>
      </c>
      <c r="G9286" t="str">
        <f>"IGOR LOPES DA SILVA (991)"</f>
        <v>IGOR LOPES DA SILVA (991)</v>
      </c>
      <c r="H9286" t="s">
        <v>2661</v>
      </c>
      <c r="I9286" t="str">
        <f t="shared" si="1750"/>
        <v>06/11/2025</v>
      </c>
      <c r="J9286" t="str">
        <f t="shared" si="1751"/>
        <v>03/11/2025</v>
      </c>
      <c r="K9286">
        <v>45967</v>
      </c>
      <c r="N9286">
        <v>109</v>
      </c>
      <c r="O9286" t="s">
        <v>24</v>
      </c>
      <c r="Q9286">
        <v>325</v>
      </c>
      <c r="R9286" t="str">
        <f>"PENSE FARMA 02 (10199)"</f>
        <v>PENSE FARMA 02 (10199)</v>
      </c>
      <c r="S9286" t="s">
        <v>77</v>
      </c>
      <c r="T9286">
        <v>20706</v>
      </c>
      <c r="U9286">
        <v>24590</v>
      </c>
      <c r="V9286" t="s">
        <v>77</v>
      </c>
    </row>
    <row r="9287" spans="1:22">
      <c r="A9287" t="str">
        <f t="shared" si="1746"/>
        <v>06/11/2025</v>
      </c>
      <c r="B9287" t="str">
        <f t="shared" si="1748"/>
        <v>SAÍDA</v>
      </c>
      <c r="C9287" t="str">
        <f t="shared" si="1749"/>
        <v>PIX</v>
      </c>
      <c r="D9287" t="str">
        <f>"24590"</f>
        <v>24590</v>
      </c>
      <c r="E9287" t="str">
        <f t="shared" si="1752"/>
        <v>1</v>
      </c>
      <c r="F9287" t="str">
        <f t="shared" si="1747"/>
        <v>COM</v>
      </c>
      <c r="G9287" t="str">
        <f>"IGOR LOPES DA SILVA (991)"</f>
        <v>IGOR LOPES DA SILVA (991)</v>
      </c>
      <c r="H9287" t="s">
        <v>2661</v>
      </c>
      <c r="I9287" t="str">
        <f t="shared" si="1750"/>
        <v>06/11/2025</v>
      </c>
      <c r="J9287" t="str">
        <f t="shared" si="1751"/>
        <v>03/11/2025</v>
      </c>
      <c r="K9287">
        <v>45967</v>
      </c>
      <c r="N9287">
        <v>109</v>
      </c>
      <c r="O9287" t="s">
        <v>24</v>
      </c>
      <c r="Q9287">
        <v>325</v>
      </c>
      <c r="R9287" t="str">
        <f>"PENSE FARMA 01 (10215)"</f>
        <v>PENSE FARMA 01 (10215)</v>
      </c>
      <c r="S9287" t="s">
        <v>77</v>
      </c>
      <c r="T9287">
        <v>20706</v>
      </c>
      <c r="U9287">
        <v>24590</v>
      </c>
      <c r="V9287" t="s">
        <v>77</v>
      </c>
    </row>
    <row r="9288" spans="1:22">
      <c r="A9288" t="str">
        <f t="shared" si="1746"/>
        <v>06/11/2025</v>
      </c>
      <c r="B9288" t="str">
        <f t="shared" si="1748"/>
        <v>SAÍDA</v>
      </c>
      <c r="C9288" t="str">
        <f t="shared" si="1749"/>
        <v>PIX</v>
      </c>
      <c r="D9288" t="str">
        <f>"24590"</f>
        <v>24590</v>
      </c>
      <c r="E9288" t="str">
        <f t="shared" si="1752"/>
        <v>1</v>
      </c>
      <c r="F9288" t="str">
        <f t="shared" si="1747"/>
        <v>COM</v>
      </c>
      <c r="G9288" t="str">
        <f>"IGOR LOPES DA SILVA (991)"</f>
        <v>IGOR LOPES DA SILVA (991)</v>
      </c>
      <c r="H9288" t="s">
        <v>2661</v>
      </c>
      <c r="I9288" t="str">
        <f t="shared" si="1750"/>
        <v>06/11/2025</v>
      </c>
      <c r="J9288" t="str">
        <f t="shared" si="1751"/>
        <v>03/11/2025</v>
      </c>
      <c r="K9288">
        <v>45967</v>
      </c>
      <c r="N9288">
        <v>109</v>
      </c>
      <c r="O9288" t="s">
        <v>24</v>
      </c>
      <c r="Q9288">
        <v>325</v>
      </c>
      <c r="R9288" t="str">
        <f>"PENSE FARMA 03 (10216)"</f>
        <v>PENSE FARMA 03 (10216)</v>
      </c>
      <c r="S9288" t="s">
        <v>77</v>
      </c>
      <c r="T9288">
        <v>20706</v>
      </c>
      <c r="U9288">
        <v>24590</v>
      </c>
      <c r="V9288" t="s">
        <v>77</v>
      </c>
    </row>
    <row r="9289" spans="1:22">
      <c r="A9289" t="str">
        <f t="shared" si="1746"/>
        <v>06/11/2025</v>
      </c>
      <c r="B9289" t="str">
        <f t="shared" si="1748"/>
        <v>SAÍDA</v>
      </c>
      <c r="C9289" t="str">
        <f t="shared" si="1749"/>
        <v>PIX</v>
      </c>
      <c r="D9289" t="str">
        <f>"24590"</f>
        <v>24590</v>
      </c>
      <c r="E9289" t="str">
        <f t="shared" si="1752"/>
        <v>1</v>
      </c>
      <c r="F9289" t="str">
        <f t="shared" si="1747"/>
        <v>COM</v>
      </c>
      <c r="G9289" t="str">
        <f>"IGOR LOPES DA SILVA (991)"</f>
        <v>IGOR LOPES DA SILVA (991)</v>
      </c>
      <c r="H9289" t="s">
        <v>2661</v>
      </c>
      <c r="I9289" t="str">
        <f t="shared" si="1750"/>
        <v>06/11/2025</v>
      </c>
      <c r="J9289" t="str">
        <f t="shared" si="1751"/>
        <v>03/11/2025</v>
      </c>
      <c r="K9289">
        <v>45967</v>
      </c>
      <c r="N9289">
        <v>109</v>
      </c>
      <c r="O9289" t="s">
        <v>24</v>
      </c>
      <c r="Q9289">
        <v>325</v>
      </c>
      <c r="R9289" t="str">
        <f>"PENSE FARMA 39 (10228)"</f>
        <v>PENSE FARMA 39 (10228)</v>
      </c>
      <c r="S9289" t="s">
        <v>77</v>
      </c>
      <c r="T9289">
        <v>20706</v>
      </c>
      <c r="U9289">
        <v>24590</v>
      </c>
      <c r="V9289" t="s">
        <v>77</v>
      </c>
    </row>
    <row r="9290" spans="1:22">
      <c r="A9290" t="str">
        <f t="shared" si="1746"/>
        <v>06/11/2025</v>
      </c>
      <c r="B9290" t="str">
        <f t="shared" si="1748"/>
        <v>SAÍDA</v>
      </c>
      <c r="C9290" t="str">
        <f t="shared" si="1749"/>
        <v>PIX</v>
      </c>
      <c r="D9290" t="str">
        <f>"24593"</f>
        <v>24593</v>
      </c>
      <c r="E9290" t="str">
        <f t="shared" si="1752"/>
        <v>1</v>
      </c>
      <c r="F9290" t="str">
        <f t="shared" si="1747"/>
        <v>COM</v>
      </c>
      <c r="G9290" t="str">
        <f>"MATEUS VIEIRA DE SOUZA (1019)"</f>
        <v>MATEUS VIEIRA DE SOUZA (1019)</v>
      </c>
      <c r="H9290" t="str">
        <f>"Serv.Prest. 27/10/2025 a 02/11/2025 - PIX: CELULAR - CHAVE: (11) 97702-1316"</f>
        <v>Serv.Prest. 27/10/2025 a 02/11/2025 - PIX: CELULAR - CHAVE: (11) 97702-1316</v>
      </c>
      <c r="I9290" t="str">
        <f t="shared" si="1750"/>
        <v>06/11/2025</v>
      </c>
      <c r="J9290" t="str">
        <f t="shared" si="1751"/>
        <v>03/11/2025</v>
      </c>
      <c r="K9290" t="str">
        <f>("06/11/2025")</f>
        <v>06/11/2025</v>
      </c>
      <c r="L9290">
        <v>1300</v>
      </c>
      <c r="M9290">
        <v>1300</v>
      </c>
      <c r="N9290">
        <v>109</v>
      </c>
      <c r="O9290" t="str">
        <f>"PAGAMENTO DE ENTREGADORES"</f>
        <v>PAGAMENTO DE ENTREGADORES</v>
      </c>
      <c r="P9290">
        <v>1300</v>
      </c>
      <c r="S9290" t="str">
        <f>"BANCO C6 (149)"</f>
        <v>BANCO C6 (149)</v>
      </c>
      <c r="T9290">
        <v>20707</v>
      </c>
      <c r="U9290">
        <v>24593</v>
      </c>
      <c r="V9290" t="s">
        <v>77</v>
      </c>
    </row>
    <row r="9291" spans="1:22">
      <c r="A9291" t="str">
        <f t="shared" si="1746"/>
        <v>06/11/2025</v>
      </c>
      <c r="B9291" t="str">
        <f t="shared" si="1748"/>
        <v>SAÍDA</v>
      </c>
      <c r="C9291" t="str">
        <f t="shared" si="1749"/>
        <v>PIX</v>
      </c>
      <c r="D9291" t="str">
        <f>"24593"</f>
        <v>24593</v>
      </c>
      <c r="E9291" t="str">
        <f t="shared" si="1752"/>
        <v>1</v>
      </c>
      <c r="F9291" t="str">
        <f t="shared" si="1747"/>
        <v>COM</v>
      </c>
      <c r="G9291" t="str">
        <f>"MATEUS VIEIRA DE SOUZA (1019)"</f>
        <v>MATEUS VIEIRA DE SOUZA (1019)</v>
      </c>
      <c r="H9291" t="s">
        <v>2662</v>
      </c>
      <c r="I9291" t="str">
        <f t="shared" si="1750"/>
        <v>06/11/2025</v>
      </c>
      <c r="J9291" t="str">
        <f t="shared" si="1751"/>
        <v>03/11/2025</v>
      </c>
      <c r="K9291">
        <v>45967</v>
      </c>
      <c r="N9291">
        <v>109</v>
      </c>
      <c r="O9291" t="s">
        <v>24</v>
      </c>
      <c r="Q9291">
        <v>1300</v>
      </c>
      <c r="R9291" t="str">
        <f>"PENSE FARMA 47 (10232)"</f>
        <v>PENSE FARMA 47 (10232)</v>
      </c>
      <c r="S9291" t="s">
        <v>77</v>
      </c>
      <c r="T9291">
        <v>20707</v>
      </c>
      <c r="U9291">
        <v>24593</v>
      </c>
      <c r="V9291" t="s">
        <v>77</v>
      </c>
    </row>
    <row r="9292" spans="1:22">
      <c r="A9292" t="str">
        <f t="shared" si="1746"/>
        <v>06/11/2025</v>
      </c>
      <c r="B9292" t="str">
        <f t="shared" si="1748"/>
        <v>SAÍDA</v>
      </c>
      <c r="C9292" t="str">
        <f t="shared" si="1749"/>
        <v>PIX</v>
      </c>
      <c r="D9292" t="str">
        <f>"24595"</f>
        <v>24595</v>
      </c>
      <c r="E9292" t="str">
        <f t="shared" si="1752"/>
        <v>1</v>
      </c>
      <c r="F9292" t="str">
        <f t="shared" si="1747"/>
        <v>COM</v>
      </c>
      <c r="G9292" t="str">
        <f>"RODRIGO TEIXEIRA ROCHA (1007)"</f>
        <v>RODRIGO TEIXEIRA ROCHA (1007)</v>
      </c>
      <c r="H9292" t="str">
        <f>"Serv.Prest. 27/10/2025 a 02/11/2025 - PIX: CPF - CHAVE: 506.934.998-85"</f>
        <v>Serv.Prest. 27/10/2025 a 02/11/2025 - PIX: CPF - CHAVE: 506.934.998-85</v>
      </c>
      <c r="I9292" t="str">
        <f t="shared" si="1750"/>
        <v>06/11/2025</v>
      </c>
      <c r="J9292" t="str">
        <f t="shared" si="1751"/>
        <v>03/11/2025</v>
      </c>
      <c r="K9292" t="str">
        <f>("06/11/2025")</f>
        <v>06/11/2025</v>
      </c>
      <c r="L9292">
        <v>1300</v>
      </c>
      <c r="M9292">
        <v>1300</v>
      </c>
      <c r="N9292">
        <v>109</v>
      </c>
      <c r="O9292" t="str">
        <f>"PAGAMENTO DE ENTREGADORES"</f>
        <v>PAGAMENTO DE ENTREGADORES</v>
      </c>
      <c r="P9292">
        <v>1300</v>
      </c>
      <c r="S9292" t="str">
        <f>"BANCO C6 (149)"</f>
        <v>BANCO C6 (149)</v>
      </c>
      <c r="T9292">
        <v>20708</v>
      </c>
      <c r="U9292">
        <v>24595</v>
      </c>
      <c r="V9292" t="s">
        <v>77</v>
      </c>
    </row>
    <row r="9293" spans="1:22">
      <c r="A9293" t="str">
        <f t="shared" si="1746"/>
        <v>06/11/2025</v>
      </c>
      <c r="B9293" t="str">
        <f t="shared" si="1748"/>
        <v>SAÍDA</v>
      </c>
      <c r="C9293" t="str">
        <f t="shared" si="1749"/>
        <v>PIX</v>
      </c>
      <c r="D9293" t="str">
        <f>"24595"</f>
        <v>24595</v>
      </c>
      <c r="E9293" t="str">
        <f t="shared" si="1752"/>
        <v>1</v>
      </c>
      <c r="F9293" t="str">
        <f t="shared" si="1747"/>
        <v>COM</v>
      </c>
      <c r="G9293" t="str">
        <f>"RODRIGO TEIXEIRA ROCHA (1007)"</f>
        <v>RODRIGO TEIXEIRA ROCHA (1007)</v>
      </c>
      <c r="H9293" t="s">
        <v>2663</v>
      </c>
      <c r="I9293" t="str">
        <f t="shared" si="1750"/>
        <v>06/11/2025</v>
      </c>
      <c r="J9293" t="str">
        <f t="shared" si="1751"/>
        <v>03/11/2025</v>
      </c>
      <c r="K9293">
        <v>45967</v>
      </c>
      <c r="N9293">
        <v>109</v>
      </c>
      <c r="O9293" t="s">
        <v>24</v>
      </c>
      <c r="Q9293">
        <v>1300</v>
      </c>
      <c r="R9293" t="str">
        <f>"PENSE FARMA 25 (10224)"</f>
        <v>PENSE FARMA 25 (10224)</v>
      </c>
      <c r="S9293" t="s">
        <v>77</v>
      </c>
      <c r="T9293">
        <v>20708</v>
      </c>
      <c r="U9293">
        <v>24595</v>
      </c>
      <c r="V9293" t="s">
        <v>77</v>
      </c>
    </row>
    <row r="9294" spans="1:22">
      <c r="A9294" t="str">
        <f t="shared" si="1746"/>
        <v>06/11/2025</v>
      </c>
      <c r="B9294" t="str">
        <f t="shared" si="1748"/>
        <v>SAÍDA</v>
      </c>
      <c r="C9294" t="str">
        <f t="shared" si="1749"/>
        <v>PIX</v>
      </c>
      <c r="D9294" t="str">
        <f>"24596"</f>
        <v>24596</v>
      </c>
      <c r="E9294" t="str">
        <f t="shared" si="1752"/>
        <v>1</v>
      </c>
      <c r="F9294" t="str">
        <f t="shared" si="1747"/>
        <v>COM</v>
      </c>
      <c r="G9294" t="str">
        <f>"VAGNER DIEGO DE OLIVEIRA MELO (990)"</f>
        <v>VAGNER DIEGO DE OLIVEIRA MELO (990)</v>
      </c>
      <c r="H9294" t="str">
        <f>"Serv.Prest. 27/10/2025 a 02/11/2025 - PIX: CPF - CHAVE: 419.678.508-52"</f>
        <v>Serv.Prest. 27/10/2025 a 02/11/2025 - PIX: CPF - CHAVE: 419.678.508-52</v>
      </c>
      <c r="I9294" t="str">
        <f t="shared" si="1750"/>
        <v>06/11/2025</v>
      </c>
      <c r="J9294" t="str">
        <f t="shared" si="1751"/>
        <v>03/11/2025</v>
      </c>
      <c r="K9294" t="str">
        <f>("06/11/2025")</f>
        <v>06/11/2025</v>
      </c>
      <c r="L9294">
        <v>1300</v>
      </c>
      <c r="M9294">
        <v>1300</v>
      </c>
      <c r="N9294">
        <v>109</v>
      </c>
      <c r="O9294" t="str">
        <f>"PAGAMENTO DE ENTREGADORES"</f>
        <v>PAGAMENTO DE ENTREGADORES</v>
      </c>
      <c r="P9294">
        <v>1300</v>
      </c>
      <c r="S9294" t="str">
        <f>"BANCO C6 (149)"</f>
        <v>BANCO C6 (149)</v>
      </c>
      <c r="T9294">
        <v>20709</v>
      </c>
      <c r="U9294">
        <v>24596</v>
      </c>
      <c r="V9294" t="s">
        <v>77</v>
      </c>
    </row>
    <row r="9295" spans="1:22">
      <c r="A9295" t="str">
        <f t="shared" si="1746"/>
        <v>06/11/2025</v>
      </c>
      <c r="B9295" t="str">
        <f t="shared" si="1748"/>
        <v>SAÍDA</v>
      </c>
      <c r="C9295" t="str">
        <f t="shared" si="1749"/>
        <v>PIX</v>
      </c>
      <c r="D9295" t="str">
        <f>"24596"</f>
        <v>24596</v>
      </c>
      <c r="E9295" t="str">
        <f t="shared" si="1752"/>
        <v>1</v>
      </c>
      <c r="F9295" t="str">
        <f t="shared" si="1747"/>
        <v>COM</v>
      </c>
      <c r="G9295" t="str">
        <f>"VAGNER DIEGO DE OLIVEIRA MELO (990)"</f>
        <v>VAGNER DIEGO DE OLIVEIRA MELO (990)</v>
      </c>
      <c r="H9295" t="s">
        <v>2664</v>
      </c>
      <c r="I9295" t="str">
        <f t="shared" si="1750"/>
        <v>06/11/2025</v>
      </c>
      <c r="J9295" t="str">
        <f t="shared" si="1751"/>
        <v>03/11/2025</v>
      </c>
      <c r="K9295">
        <v>45967</v>
      </c>
      <c r="N9295">
        <v>109</v>
      </c>
      <c r="O9295" t="s">
        <v>24</v>
      </c>
      <c r="Q9295">
        <v>1300</v>
      </c>
      <c r="R9295" t="str">
        <f>"PENSE FARMA 25 (10224)"</f>
        <v>PENSE FARMA 25 (10224)</v>
      </c>
      <c r="S9295" t="s">
        <v>77</v>
      </c>
      <c r="T9295">
        <v>20709</v>
      </c>
      <c r="U9295">
        <v>24596</v>
      </c>
      <c r="V9295" t="s">
        <v>77</v>
      </c>
    </row>
    <row r="9296" spans="1:22">
      <c r="A9296" t="str">
        <f t="shared" si="1746"/>
        <v>06/11/2025</v>
      </c>
      <c r="B9296" t="str">
        <f t="shared" si="1748"/>
        <v>SAÍDA</v>
      </c>
      <c r="C9296" t="str">
        <f t="shared" si="1749"/>
        <v>PIX</v>
      </c>
      <c r="D9296" t="str">
        <f>"24598"</f>
        <v>24598</v>
      </c>
      <c r="E9296" t="str">
        <f t="shared" si="1752"/>
        <v>1</v>
      </c>
      <c r="F9296" t="str">
        <f t="shared" si="1747"/>
        <v>COM</v>
      </c>
      <c r="G9296" t="str">
        <f>"PEDRO HENRIQUE XAVIER DOS SANTOS (993)"</f>
        <v>PEDRO HENRIQUE XAVIER DOS SANTOS (993)</v>
      </c>
      <c r="H9296" t="str">
        <f>"Serv.Prest. 27/10/2025 a 02/11/2025 - PIX: CPF - CHAVE: 489.237.478-40"</f>
        <v>Serv.Prest. 27/10/2025 a 02/11/2025 - PIX: CPF - CHAVE: 489.237.478-40</v>
      </c>
      <c r="I9296" t="str">
        <f t="shared" si="1750"/>
        <v>06/11/2025</v>
      </c>
      <c r="J9296" t="str">
        <f t="shared" ref="J9296:J9327" si="1753">("03/11/2025")</f>
        <v>03/11/2025</v>
      </c>
      <c r="K9296" t="str">
        <f>("06/11/2025")</f>
        <v>06/11/2025</v>
      </c>
      <c r="L9296">
        <v>800</v>
      </c>
      <c r="M9296">
        <v>800</v>
      </c>
      <c r="N9296">
        <v>109</v>
      </c>
      <c r="O9296" t="str">
        <f>"PAGAMENTO DE ENTREGADORES"</f>
        <v>PAGAMENTO DE ENTREGADORES</v>
      </c>
      <c r="P9296">
        <v>800</v>
      </c>
      <c r="S9296" t="str">
        <f>"BANCO C6 (149)"</f>
        <v>BANCO C6 (149)</v>
      </c>
      <c r="T9296">
        <v>20710</v>
      </c>
      <c r="U9296">
        <v>24598</v>
      </c>
      <c r="V9296" t="s">
        <v>77</v>
      </c>
    </row>
    <row r="9297" spans="1:22">
      <c r="A9297" t="str">
        <f t="shared" si="1746"/>
        <v>06/11/2025</v>
      </c>
      <c r="B9297" t="str">
        <f t="shared" si="1748"/>
        <v>SAÍDA</v>
      </c>
      <c r="C9297" t="str">
        <f t="shared" si="1749"/>
        <v>PIX</v>
      </c>
      <c r="D9297" t="str">
        <f>"24598"</f>
        <v>24598</v>
      </c>
      <c r="E9297" t="str">
        <f t="shared" si="1752"/>
        <v>1</v>
      </c>
      <c r="F9297" t="str">
        <f t="shared" si="1747"/>
        <v>COM</v>
      </c>
      <c r="G9297" t="str">
        <f>"PEDRO HENRIQUE XAVIER DOS SANTOS (993)"</f>
        <v>PEDRO HENRIQUE XAVIER DOS SANTOS (993)</v>
      </c>
      <c r="H9297" t="s">
        <v>2665</v>
      </c>
      <c r="I9297" t="str">
        <f t="shared" si="1750"/>
        <v>06/11/2025</v>
      </c>
      <c r="J9297" t="str">
        <f t="shared" si="1753"/>
        <v>03/11/2025</v>
      </c>
      <c r="K9297">
        <v>45967</v>
      </c>
      <c r="N9297">
        <v>109</v>
      </c>
      <c r="O9297" t="s">
        <v>24</v>
      </c>
      <c r="Q9297">
        <v>800</v>
      </c>
      <c r="R9297" t="str">
        <f>"PENSE FARMA 35 (10227)"</f>
        <v>PENSE FARMA 35 (10227)</v>
      </c>
      <c r="S9297" t="s">
        <v>77</v>
      </c>
      <c r="T9297">
        <v>20710</v>
      </c>
      <c r="U9297">
        <v>24598</v>
      </c>
      <c r="V9297" t="s">
        <v>77</v>
      </c>
    </row>
    <row r="9298" spans="1:22">
      <c r="A9298" t="str">
        <f t="shared" si="1746"/>
        <v>06/11/2025</v>
      </c>
      <c r="B9298" t="str">
        <f t="shared" si="1748"/>
        <v>SAÍDA</v>
      </c>
      <c r="C9298" t="str">
        <f t="shared" si="1749"/>
        <v>PIX</v>
      </c>
      <c r="D9298" t="str">
        <f t="shared" ref="D9298:D9303" si="1754">"24600"</f>
        <v>24600</v>
      </c>
      <c r="E9298" t="str">
        <f t="shared" si="1752"/>
        <v>1</v>
      </c>
      <c r="F9298" t="str">
        <f t="shared" si="1747"/>
        <v>COM</v>
      </c>
      <c r="G9298" t="str">
        <f t="shared" ref="G9298:G9303" si="1755">"DANILO VICENTE MARINHO SANTOS (1018)"</f>
        <v>DANILO VICENTE MARINHO SANTOS (1018)</v>
      </c>
      <c r="H9298" t="str">
        <f>"Serv.Prest. 27/10/2025 a 02/11/2025 - PIX: CELULAR - CHAVE: (11) 98768-7863"</f>
        <v>Serv.Prest. 27/10/2025 a 02/11/2025 - PIX: CELULAR - CHAVE: (11) 98768-7863</v>
      </c>
      <c r="I9298" t="str">
        <f t="shared" si="1750"/>
        <v>06/11/2025</v>
      </c>
      <c r="J9298" t="str">
        <f t="shared" si="1753"/>
        <v>03/11/2025</v>
      </c>
      <c r="K9298" t="str">
        <f>("06/11/2025")</f>
        <v>06/11/2025</v>
      </c>
      <c r="L9298">
        <v>1375</v>
      </c>
      <c r="M9298">
        <v>1375</v>
      </c>
      <c r="N9298">
        <v>109</v>
      </c>
      <c r="O9298" t="str">
        <f>"PAGAMENTO DE ENTREGADORES"</f>
        <v>PAGAMENTO DE ENTREGADORES</v>
      </c>
      <c r="P9298">
        <v>1375</v>
      </c>
      <c r="S9298" t="str">
        <f>"BANCO C6 (149)"</f>
        <v>BANCO C6 (149)</v>
      </c>
      <c r="T9298">
        <v>20711</v>
      </c>
      <c r="U9298">
        <v>24600</v>
      </c>
      <c r="V9298" t="s">
        <v>77</v>
      </c>
    </row>
    <row r="9299" spans="1:22">
      <c r="A9299" t="str">
        <f t="shared" si="1746"/>
        <v>06/11/2025</v>
      </c>
      <c r="B9299" t="str">
        <f t="shared" si="1748"/>
        <v>SAÍDA</v>
      </c>
      <c r="C9299" t="str">
        <f t="shared" si="1749"/>
        <v>PIX</v>
      </c>
      <c r="D9299" t="str">
        <f t="shared" si="1754"/>
        <v>24600</v>
      </c>
      <c r="E9299" t="str">
        <f t="shared" si="1752"/>
        <v>1</v>
      </c>
      <c r="F9299" t="str">
        <f t="shared" si="1747"/>
        <v>COM</v>
      </c>
      <c r="G9299" t="str">
        <f t="shared" si="1755"/>
        <v>DANILO VICENTE MARINHO SANTOS (1018)</v>
      </c>
      <c r="H9299" t="s">
        <v>2666</v>
      </c>
      <c r="I9299" t="str">
        <f t="shared" si="1750"/>
        <v>06/11/2025</v>
      </c>
      <c r="J9299" t="str">
        <f t="shared" si="1753"/>
        <v>03/11/2025</v>
      </c>
      <c r="K9299">
        <v>45967</v>
      </c>
      <c r="N9299">
        <v>109</v>
      </c>
      <c r="O9299" t="s">
        <v>24</v>
      </c>
      <c r="Q9299">
        <v>275</v>
      </c>
      <c r="R9299" t="str">
        <f>"PENSE FARMA 08 (10217)"</f>
        <v>PENSE FARMA 08 (10217)</v>
      </c>
      <c r="S9299" t="s">
        <v>77</v>
      </c>
      <c r="T9299">
        <v>20711</v>
      </c>
      <c r="U9299">
        <v>24600</v>
      </c>
      <c r="V9299" t="s">
        <v>77</v>
      </c>
    </row>
    <row r="9300" spans="1:22">
      <c r="A9300" t="str">
        <f t="shared" si="1746"/>
        <v>06/11/2025</v>
      </c>
      <c r="B9300" t="str">
        <f t="shared" si="1748"/>
        <v>SAÍDA</v>
      </c>
      <c r="C9300" t="str">
        <f t="shared" si="1749"/>
        <v>PIX</v>
      </c>
      <c r="D9300" t="str">
        <f t="shared" si="1754"/>
        <v>24600</v>
      </c>
      <c r="E9300" t="str">
        <f t="shared" si="1752"/>
        <v>1</v>
      </c>
      <c r="F9300" t="str">
        <f t="shared" si="1747"/>
        <v>COM</v>
      </c>
      <c r="G9300" t="str">
        <f t="shared" si="1755"/>
        <v>DANILO VICENTE MARINHO SANTOS (1018)</v>
      </c>
      <c r="H9300" t="s">
        <v>2666</v>
      </c>
      <c r="I9300" t="str">
        <f t="shared" si="1750"/>
        <v>06/11/2025</v>
      </c>
      <c r="J9300" t="str">
        <f t="shared" si="1753"/>
        <v>03/11/2025</v>
      </c>
      <c r="K9300">
        <v>45967</v>
      </c>
      <c r="N9300">
        <v>109</v>
      </c>
      <c r="O9300" t="s">
        <v>24</v>
      </c>
      <c r="Q9300">
        <v>275</v>
      </c>
      <c r="R9300" t="str">
        <f>"PENSE FARMA 11 (10220)"</f>
        <v>PENSE FARMA 11 (10220)</v>
      </c>
      <c r="S9300" t="s">
        <v>77</v>
      </c>
      <c r="T9300">
        <v>20711</v>
      </c>
      <c r="U9300">
        <v>24600</v>
      </c>
      <c r="V9300" t="s">
        <v>77</v>
      </c>
    </row>
    <row r="9301" spans="1:22">
      <c r="A9301" t="str">
        <f t="shared" si="1746"/>
        <v>06/11/2025</v>
      </c>
      <c r="B9301" t="str">
        <f t="shared" si="1748"/>
        <v>SAÍDA</v>
      </c>
      <c r="C9301" t="str">
        <f t="shared" si="1749"/>
        <v>PIX</v>
      </c>
      <c r="D9301" t="str">
        <f t="shared" si="1754"/>
        <v>24600</v>
      </c>
      <c r="E9301" t="str">
        <f t="shared" si="1752"/>
        <v>1</v>
      </c>
      <c r="F9301" t="str">
        <f t="shared" si="1747"/>
        <v>COM</v>
      </c>
      <c r="G9301" t="str">
        <f t="shared" si="1755"/>
        <v>DANILO VICENTE MARINHO SANTOS (1018)</v>
      </c>
      <c r="H9301" t="s">
        <v>2666</v>
      </c>
      <c r="I9301" t="str">
        <f t="shared" si="1750"/>
        <v>06/11/2025</v>
      </c>
      <c r="J9301" t="str">
        <f t="shared" si="1753"/>
        <v>03/11/2025</v>
      </c>
      <c r="K9301">
        <v>45967</v>
      </c>
      <c r="N9301">
        <v>109</v>
      </c>
      <c r="O9301" t="s">
        <v>24</v>
      </c>
      <c r="Q9301">
        <v>275</v>
      </c>
      <c r="R9301" t="str">
        <f>"PENSE FARMA 41 (10229)"</f>
        <v>PENSE FARMA 41 (10229)</v>
      </c>
      <c r="S9301" t="s">
        <v>77</v>
      </c>
      <c r="T9301">
        <v>20711</v>
      </c>
      <c r="U9301">
        <v>24600</v>
      </c>
      <c r="V9301" t="s">
        <v>77</v>
      </c>
    </row>
    <row r="9302" spans="1:22">
      <c r="A9302" t="str">
        <f t="shared" si="1746"/>
        <v>06/11/2025</v>
      </c>
      <c r="B9302" t="str">
        <f t="shared" si="1748"/>
        <v>SAÍDA</v>
      </c>
      <c r="C9302" t="str">
        <f t="shared" si="1749"/>
        <v>PIX</v>
      </c>
      <c r="D9302" t="str">
        <f t="shared" si="1754"/>
        <v>24600</v>
      </c>
      <c r="E9302" t="str">
        <f t="shared" si="1752"/>
        <v>1</v>
      </c>
      <c r="F9302" t="str">
        <f t="shared" si="1747"/>
        <v>COM</v>
      </c>
      <c r="G9302" t="str">
        <f t="shared" si="1755"/>
        <v>DANILO VICENTE MARINHO SANTOS (1018)</v>
      </c>
      <c r="H9302" t="s">
        <v>2666</v>
      </c>
      <c r="I9302" t="str">
        <f t="shared" si="1750"/>
        <v>06/11/2025</v>
      </c>
      <c r="J9302" t="str">
        <f t="shared" si="1753"/>
        <v>03/11/2025</v>
      </c>
      <c r="K9302">
        <v>45967</v>
      </c>
      <c r="N9302">
        <v>109</v>
      </c>
      <c r="O9302" t="s">
        <v>24</v>
      </c>
      <c r="Q9302">
        <v>275</v>
      </c>
      <c r="R9302" t="str">
        <f>"PENSE FARMA 42 (10230)"</f>
        <v>PENSE FARMA 42 (10230)</v>
      </c>
      <c r="S9302" t="s">
        <v>77</v>
      </c>
      <c r="T9302">
        <v>20711</v>
      </c>
      <c r="U9302">
        <v>24600</v>
      </c>
      <c r="V9302" t="s">
        <v>77</v>
      </c>
    </row>
    <row r="9303" spans="1:22">
      <c r="A9303" t="str">
        <f t="shared" si="1746"/>
        <v>06/11/2025</v>
      </c>
      <c r="B9303" t="str">
        <f t="shared" si="1748"/>
        <v>SAÍDA</v>
      </c>
      <c r="C9303" t="str">
        <f t="shared" si="1749"/>
        <v>PIX</v>
      </c>
      <c r="D9303" t="str">
        <f t="shared" si="1754"/>
        <v>24600</v>
      </c>
      <c r="E9303" t="str">
        <f t="shared" si="1752"/>
        <v>1</v>
      </c>
      <c r="F9303" t="str">
        <f t="shared" si="1747"/>
        <v>COM</v>
      </c>
      <c r="G9303" t="str">
        <f t="shared" si="1755"/>
        <v>DANILO VICENTE MARINHO SANTOS (1018)</v>
      </c>
      <c r="H9303" t="s">
        <v>2666</v>
      </c>
      <c r="I9303" t="str">
        <f t="shared" si="1750"/>
        <v>06/11/2025</v>
      </c>
      <c r="J9303" t="str">
        <f t="shared" si="1753"/>
        <v>03/11/2025</v>
      </c>
      <c r="K9303">
        <v>45967</v>
      </c>
      <c r="N9303">
        <v>109</v>
      </c>
      <c r="O9303" t="s">
        <v>24</v>
      </c>
      <c r="Q9303">
        <v>275</v>
      </c>
      <c r="R9303" t="str">
        <f>"PENSE FARMA 52 (10236)"</f>
        <v>PENSE FARMA 52 (10236)</v>
      </c>
      <c r="S9303" t="s">
        <v>77</v>
      </c>
      <c r="T9303">
        <v>20711</v>
      </c>
      <c r="U9303">
        <v>24600</v>
      </c>
      <c r="V9303" t="s">
        <v>77</v>
      </c>
    </row>
    <row r="9304" spans="1:22">
      <c r="A9304" t="str">
        <f t="shared" si="1746"/>
        <v>06/11/2025</v>
      </c>
      <c r="B9304" t="str">
        <f t="shared" si="1748"/>
        <v>SAÍDA</v>
      </c>
      <c r="C9304" t="str">
        <f t="shared" si="1749"/>
        <v>PIX</v>
      </c>
      <c r="D9304" t="str">
        <f t="shared" ref="D9304:D9309" si="1756">"24601"</f>
        <v>24601</v>
      </c>
      <c r="E9304" t="str">
        <f t="shared" si="1752"/>
        <v>1</v>
      </c>
      <c r="F9304" t="str">
        <f t="shared" si="1747"/>
        <v>COM</v>
      </c>
      <c r="G9304" t="str">
        <f t="shared" ref="G9304:G9309" si="1757">"EDUARDO RODRIGUES ALVES STEPHANO (999)"</f>
        <v>EDUARDO RODRIGUES ALVES STEPHANO (999)</v>
      </c>
      <c r="H9304" t="str">
        <f>"Serv.Prest. 27/10/2025 a 02/11/2025 - PIX: CPF - CHAVE: 370.849.948-40"</f>
        <v>Serv.Prest. 27/10/2025 a 02/11/2025 - PIX: CPF - CHAVE: 370.849.948-40</v>
      </c>
      <c r="I9304" t="str">
        <f t="shared" si="1750"/>
        <v>06/11/2025</v>
      </c>
      <c r="J9304" t="str">
        <f t="shared" si="1753"/>
        <v>03/11/2025</v>
      </c>
      <c r="K9304" t="str">
        <f>("06/11/2025")</f>
        <v>06/11/2025</v>
      </c>
      <c r="L9304">
        <v>1375</v>
      </c>
      <c r="M9304">
        <v>1375</v>
      </c>
      <c r="N9304">
        <v>109</v>
      </c>
      <c r="O9304" t="str">
        <f>"PAGAMENTO DE ENTREGADORES"</f>
        <v>PAGAMENTO DE ENTREGADORES</v>
      </c>
      <c r="P9304">
        <v>1375</v>
      </c>
      <c r="S9304" t="str">
        <f>"BANCO C6 (149)"</f>
        <v>BANCO C6 (149)</v>
      </c>
      <c r="T9304">
        <v>20712</v>
      </c>
      <c r="U9304">
        <v>24601</v>
      </c>
      <c r="V9304" t="s">
        <v>77</v>
      </c>
    </row>
    <row r="9305" spans="1:22">
      <c r="A9305" t="str">
        <f t="shared" si="1746"/>
        <v>06/11/2025</v>
      </c>
      <c r="B9305" t="str">
        <f t="shared" si="1748"/>
        <v>SAÍDA</v>
      </c>
      <c r="C9305" t="str">
        <f t="shared" si="1749"/>
        <v>PIX</v>
      </c>
      <c r="D9305" t="str">
        <f t="shared" si="1756"/>
        <v>24601</v>
      </c>
      <c r="E9305" t="str">
        <f t="shared" si="1752"/>
        <v>1</v>
      </c>
      <c r="F9305" t="str">
        <f t="shared" si="1747"/>
        <v>COM</v>
      </c>
      <c r="G9305" t="str">
        <f t="shared" si="1757"/>
        <v>EDUARDO RODRIGUES ALVES STEPHANO (999)</v>
      </c>
      <c r="H9305" t="s">
        <v>2667</v>
      </c>
      <c r="I9305" t="str">
        <f t="shared" si="1750"/>
        <v>06/11/2025</v>
      </c>
      <c r="J9305" t="str">
        <f t="shared" si="1753"/>
        <v>03/11/2025</v>
      </c>
      <c r="K9305">
        <v>45967</v>
      </c>
      <c r="N9305">
        <v>109</v>
      </c>
      <c r="O9305" t="s">
        <v>24</v>
      </c>
      <c r="Q9305">
        <v>275</v>
      </c>
      <c r="R9305" t="str">
        <f>"PENSE FARMA 08 (10217)"</f>
        <v>PENSE FARMA 08 (10217)</v>
      </c>
      <c r="S9305" t="s">
        <v>77</v>
      </c>
      <c r="T9305">
        <v>20712</v>
      </c>
      <c r="U9305">
        <v>24601</v>
      </c>
      <c r="V9305" t="s">
        <v>77</v>
      </c>
    </row>
    <row r="9306" spans="1:22">
      <c r="A9306" t="str">
        <f t="shared" si="1746"/>
        <v>06/11/2025</v>
      </c>
      <c r="B9306" t="str">
        <f t="shared" si="1748"/>
        <v>SAÍDA</v>
      </c>
      <c r="C9306" t="str">
        <f t="shared" si="1749"/>
        <v>PIX</v>
      </c>
      <c r="D9306" t="str">
        <f t="shared" si="1756"/>
        <v>24601</v>
      </c>
      <c r="E9306" t="str">
        <f t="shared" si="1752"/>
        <v>1</v>
      </c>
      <c r="F9306" t="str">
        <f t="shared" si="1747"/>
        <v>COM</v>
      </c>
      <c r="G9306" t="str">
        <f t="shared" si="1757"/>
        <v>EDUARDO RODRIGUES ALVES STEPHANO (999)</v>
      </c>
      <c r="H9306" t="s">
        <v>2667</v>
      </c>
      <c r="I9306" t="str">
        <f t="shared" si="1750"/>
        <v>06/11/2025</v>
      </c>
      <c r="J9306" t="str">
        <f t="shared" si="1753"/>
        <v>03/11/2025</v>
      </c>
      <c r="K9306">
        <v>45967</v>
      </c>
      <c r="N9306">
        <v>109</v>
      </c>
      <c r="O9306" t="s">
        <v>24</v>
      </c>
      <c r="Q9306">
        <v>275</v>
      </c>
      <c r="R9306" t="str">
        <f>"PENSE FARMA 11 (10220)"</f>
        <v>PENSE FARMA 11 (10220)</v>
      </c>
      <c r="S9306" t="s">
        <v>77</v>
      </c>
      <c r="T9306">
        <v>20712</v>
      </c>
      <c r="U9306">
        <v>24601</v>
      </c>
      <c r="V9306" t="s">
        <v>77</v>
      </c>
    </row>
    <row r="9307" spans="1:22">
      <c r="A9307" t="str">
        <f t="shared" si="1746"/>
        <v>06/11/2025</v>
      </c>
      <c r="B9307" t="str">
        <f t="shared" si="1748"/>
        <v>SAÍDA</v>
      </c>
      <c r="C9307" t="str">
        <f t="shared" si="1749"/>
        <v>PIX</v>
      </c>
      <c r="D9307" t="str">
        <f t="shared" si="1756"/>
        <v>24601</v>
      </c>
      <c r="E9307" t="str">
        <f t="shared" si="1752"/>
        <v>1</v>
      </c>
      <c r="F9307" t="str">
        <f t="shared" si="1747"/>
        <v>COM</v>
      </c>
      <c r="G9307" t="str">
        <f t="shared" si="1757"/>
        <v>EDUARDO RODRIGUES ALVES STEPHANO (999)</v>
      </c>
      <c r="H9307" t="s">
        <v>2667</v>
      </c>
      <c r="I9307" t="str">
        <f t="shared" si="1750"/>
        <v>06/11/2025</v>
      </c>
      <c r="J9307" t="str">
        <f t="shared" si="1753"/>
        <v>03/11/2025</v>
      </c>
      <c r="K9307">
        <v>45967</v>
      </c>
      <c r="N9307">
        <v>109</v>
      </c>
      <c r="O9307" t="s">
        <v>24</v>
      </c>
      <c r="Q9307">
        <v>275</v>
      </c>
      <c r="R9307" t="str">
        <f>"PENSE FARMA 41 (10229)"</f>
        <v>PENSE FARMA 41 (10229)</v>
      </c>
      <c r="S9307" t="s">
        <v>77</v>
      </c>
      <c r="T9307">
        <v>20712</v>
      </c>
      <c r="U9307">
        <v>24601</v>
      </c>
      <c r="V9307" t="s">
        <v>77</v>
      </c>
    </row>
    <row r="9308" spans="1:22">
      <c r="A9308" t="str">
        <f t="shared" si="1746"/>
        <v>06/11/2025</v>
      </c>
      <c r="B9308" t="str">
        <f t="shared" si="1748"/>
        <v>SAÍDA</v>
      </c>
      <c r="C9308" t="str">
        <f t="shared" si="1749"/>
        <v>PIX</v>
      </c>
      <c r="D9308" t="str">
        <f t="shared" si="1756"/>
        <v>24601</v>
      </c>
      <c r="E9308" t="str">
        <f t="shared" si="1752"/>
        <v>1</v>
      </c>
      <c r="F9308" t="str">
        <f t="shared" si="1747"/>
        <v>COM</v>
      </c>
      <c r="G9308" t="str">
        <f t="shared" si="1757"/>
        <v>EDUARDO RODRIGUES ALVES STEPHANO (999)</v>
      </c>
      <c r="H9308" t="s">
        <v>2667</v>
      </c>
      <c r="I9308" t="str">
        <f t="shared" si="1750"/>
        <v>06/11/2025</v>
      </c>
      <c r="J9308" t="str">
        <f t="shared" si="1753"/>
        <v>03/11/2025</v>
      </c>
      <c r="K9308">
        <v>45967</v>
      </c>
      <c r="N9308">
        <v>109</v>
      </c>
      <c r="O9308" t="s">
        <v>24</v>
      </c>
      <c r="Q9308">
        <v>275</v>
      </c>
      <c r="R9308" t="str">
        <f>"PENSE FARMA 42 (10230)"</f>
        <v>PENSE FARMA 42 (10230)</v>
      </c>
      <c r="S9308" t="s">
        <v>77</v>
      </c>
      <c r="T9308">
        <v>20712</v>
      </c>
      <c r="U9308">
        <v>24601</v>
      </c>
      <c r="V9308" t="s">
        <v>77</v>
      </c>
    </row>
    <row r="9309" spans="1:22">
      <c r="A9309" t="str">
        <f t="shared" si="1746"/>
        <v>06/11/2025</v>
      </c>
      <c r="B9309" t="str">
        <f t="shared" si="1748"/>
        <v>SAÍDA</v>
      </c>
      <c r="C9309" t="str">
        <f t="shared" si="1749"/>
        <v>PIX</v>
      </c>
      <c r="D9309" t="str">
        <f t="shared" si="1756"/>
        <v>24601</v>
      </c>
      <c r="E9309" t="str">
        <f t="shared" si="1752"/>
        <v>1</v>
      </c>
      <c r="F9309" t="str">
        <f t="shared" si="1747"/>
        <v>COM</v>
      </c>
      <c r="G9309" t="str">
        <f t="shared" si="1757"/>
        <v>EDUARDO RODRIGUES ALVES STEPHANO (999)</v>
      </c>
      <c r="H9309" t="s">
        <v>2667</v>
      </c>
      <c r="I9309" t="str">
        <f t="shared" si="1750"/>
        <v>06/11/2025</v>
      </c>
      <c r="J9309" t="str">
        <f t="shared" si="1753"/>
        <v>03/11/2025</v>
      </c>
      <c r="K9309">
        <v>45967</v>
      </c>
      <c r="N9309">
        <v>109</v>
      </c>
      <c r="O9309" t="s">
        <v>24</v>
      </c>
      <c r="Q9309">
        <v>275</v>
      </c>
      <c r="R9309" t="str">
        <f>"PENSE FARMA 52 (10236)"</f>
        <v>PENSE FARMA 52 (10236)</v>
      </c>
      <c r="S9309" t="s">
        <v>77</v>
      </c>
      <c r="T9309">
        <v>20712</v>
      </c>
      <c r="U9309">
        <v>24601</v>
      </c>
      <c r="V9309" t="s">
        <v>77</v>
      </c>
    </row>
    <row r="9310" spans="1:22">
      <c r="A9310" t="str">
        <f t="shared" ref="A9310:A9373" si="1758">("06/11/2025")</f>
        <v>06/11/2025</v>
      </c>
      <c r="B9310" t="str">
        <f t="shared" si="1748"/>
        <v>SAÍDA</v>
      </c>
      <c r="C9310" t="str">
        <f t="shared" si="1749"/>
        <v>PIX</v>
      </c>
      <c r="D9310" t="str">
        <f>"24603"</f>
        <v>24603</v>
      </c>
      <c r="E9310" t="str">
        <f t="shared" si="1752"/>
        <v>1</v>
      </c>
      <c r="F9310" t="str">
        <f t="shared" ref="F9310:F9373" si="1759">"COM"</f>
        <v>COM</v>
      </c>
      <c r="G9310" t="str">
        <f>"MARCOS DUARTE CARVALHO (998)"</f>
        <v>MARCOS DUARTE CARVALHO (998)</v>
      </c>
      <c r="H9310" t="str">
        <f>"Serv.Prest. 27/10/2025 a 02/11/2025 - PIX: CPF - CHAVE: 396.877.618-65"</f>
        <v>Serv.Prest. 27/10/2025 a 02/11/2025 - PIX: CPF - CHAVE: 396.877.618-65</v>
      </c>
      <c r="I9310" t="str">
        <f t="shared" si="1750"/>
        <v>06/11/2025</v>
      </c>
      <c r="J9310" t="str">
        <f t="shared" si="1753"/>
        <v>03/11/2025</v>
      </c>
      <c r="K9310" t="str">
        <f>("06/11/2025")</f>
        <v>06/11/2025</v>
      </c>
      <c r="L9310">
        <v>1375</v>
      </c>
      <c r="M9310">
        <v>1375</v>
      </c>
      <c r="N9310">
        <v>109</v>
      </c>
      <c r="O9310" t="str">
        <f>"PAGAMENTO DE ENTREGADORES"</f>
        <v>PAGAMENTO DE ENTREGADORES</v>
      </c>
      <c r="P9310">
        <v>1375</v>
      </c>
      <c r="S9310" t="str">
        <f>"BANCO C6 (149)"</f>
        <v>BANCO C6 (149)</v>
      </c>
      <c r="T9310">
        <v>20713</v>
      </c>
      <c r="U9310">
        <v>24603</v>
      </c>
      <c r="V9310" t="s">
        <v>77</v>
      </c>
    </row>
    <row r="9311" spans="1:22">
      <c r="A9311" t="str">
        <f t="shared" si="1758"/>
        <v>06/11/2025</v>
      </c>
      <c r="B9311" t="str">
        <f t="shared" si="1748"/>
        <v>SAÍDA</v>
      </c>
      <c r="C9311" t="str">
        <f t="shared" si="1749"/>
        <v>PIX</v>
      </c>
      <c r="D9311" t="str">
        <f>"24603"</f>
        <v>24603</v>
      </c>
      <c r="E9311" t="str">
        <f t="shared" si="1752"/>
        <v>1</v>
      </c>
      <c r="F9311" t="str">
        <f t="shared" si="1759"/>
        <v>COM</v>
      </c>
      <c r="G9311" t="str">
        <f>"MARCOS DUARTE CARVALHO (998)"</f>
        <v>MARCOS DUARTE CARVALHO (998)</v>
      </c>
      <c r="H9311" t="s">
        <v>2668</v>
      </c>
      <c r="I9311" t="str">
        <f t="shared" si="1750"/>
        <v>06/11/2025</v>
      </c>
      <c r="J9311" t="str">
        <f t="shared" si="1753"/>
        <v>03/11/2025</v>
      </c>
      <c r="K9311">
        <v>45967</v>
      </c>
      <c r="N9311">
        <v>109</v>
      </c>
      <c r="O9311" t="s">
        <v>24</v>
      </c>
      <c r="Q9311">
        <v>687.5</v>
      </c>
      <c r="R9311" t="str">
        <f>"PENSE FARMA 09 (10218)"</f>
        <v>PENSE FARMA 09 (10218)</v>
      </c>
      <c r="S9311" t="s">
        <v>77</v>
      </c>
      <c r="T9311">
        <v>20713</v>
      </c>
      <c r="U9311">
        <v>24603</v>
      </c>
      <c r="V9311" t="s">
        <v>77</v>
      </c>
    </row>
    <row r="9312" spans="1:22">
      <c r="A9312" t="str">
        <f t="shared" si="1758"/>
        <v>06/11/2025</v>
      </c>
      <c r="B9312" t="str">
        <f t="shared" si="1748"/>
        <v>SAÍDA</v>
      </c>
      <c r="C9312" t="str">
        <f t="shared" si="1749"/>
        <v>PIX</v>
      </c>
      <c r="D9312" t="str">
        <f>"24603"</f>
        <v>24603</v>
      </c>
      <c r="E9312" t="str">
        <f t="shared" si="1752"/>
        <v>1</v>
      </c>
      <c r="F9312" t="str">
        <f t="shared" si="1759"/>
        <v>COM</v>
      </c>
      <c r="G9312" t="str">
        <f>"MARCOS DUARTE CARVALHO (998)"</f>
        <v>MARCOS DUARTE CARVALHO (998)</v>
      </c>
      <c r="H9312" t="s">
        <v>2668</v>
      </c>
      <c r="I9312" t="str">
        <f t="shared" si="1750"/>
        <v>06/11/2025</v>
      </c>
      <c r="J9312" t="str">
        <f t="shared" si="1753"/>
        <v>03/11/2025</v>
      </c>
      <c r="K9312">
        <v>45967</v>
      </c>
      <c r="N9312">
        <v>109</v>
      </c>
      <c r="O9312" t="s">
        <v>24</v>
      </c>
      <c r="Q9312">
        <v>687.5</v>
      </c>
      <c r="R9312" t="str">
        <f>"PENSE FARMA 10 (10219)"</f>
        <v>PENSE FARMA 10 (10219)</v>
      </c>
      <c r="S9312" t="s">
        <v>77</v>
      </c>
      <c r="T9312">
        <v>20713</v>
      </c>
      <c r="U9312">
        <v>24603</v>
      </c>
      <c r="V9312" t="s">
        <v>77</v>
      </c>
    </row>
    <row r="9313" spans="1:22">
      <c r="A9313" t="str">
        <f t="shared" si="1758"/>
        <v>06/11/2025</v>
      </c>
      <c r="B9313" t="str">
        <f t="shared" ref="B9313:B9376" si="1760">"SAÍDA"</f>
        <v>SAÍDA</v>
      </c>
      <c r="C9313" t="str">
        <f t="shared" ref="C9313:C9376" si="1761">"PIX"</f>
        <v>PIX</v>
      </c>
      <c r="D9313" t="str">
        <f>"24606"</f>
        <v>24606</v>
      </c>
      <c r="E9313" t="str">
        <f t="shared" si="1752"/>
        <v>1</v>
      </c>
      <c r="F9313" t="str">
        <f t="shared" si="1759"/>
        <v>COM</v>
      </c>
      <c r="G9313" t="str">
        <f>"HERICK KUSSYOYADA CAMARA (937)"</f>
        <v>HERICK KUSSYOYADA CAMARA (937)</v>
      </c>
      <c r="H9313" t="str">
        <f>"Serv.Prest. 27/10/2025 a 02/11/2025 - PIX: CPF - CHAVE: 427.090.718-51"</f>
        <v>Serv.Prest. 27/10/2025 a 02/11/2025 - PIX: CPF - CHAVE: 427.090.718-51</v>
      </c>
      <c r="I9313" t="str">
        <f t="shared" si="1750"/>
        <v>06/11/2025</v>
      </c>
      <c r="J9313" t="str">
        <f t="shared" si="1753"/>
        <v>03/11/2025</v>
      </c>
      <c r="K9313" t="str">
        <f>("06/11/2025")</f>
        <v>06/11/2025</v>
      </c>
      <c r="L9313">
        <v>1000</v>
      </c>
      <c r="M9313">
        <v>1000</v>
      </c>
      <c r="N9313">
        <v>109</v>
      </c>
      <c r="O9313" t="str">
        <f>"PAGAMENTO DE ENTREGADORES"</f>
        <v>PAGAMENTO DE ENTREGADORES</v>
      </c>
      <c r="P9313">
        <v>1000</v>
      </c>
      <c r="S9313" t="str">
        <f>"BANCO C6 (149)"</f>
        <v>BANCO C6 (149)</v>
      </c>
      <c r="T9313">
        <v>20714</v>
      </c>
      <c r="U9313">
        <v>24606</v>
      </c>
      <c r="V9313" t="s">
        <v>77</v>
      </c>
    </row>
    <row r="9314" spans="1:22">
      <c r="A9314" t="str">
        <f t="shared" si="1758"/>
        <v>06/11/2025</v>
      </c>
      <c r="B9314" t="str">
        <f t="shared" si="1760"/>
        <v>SAÍDA</v>
      </c>
      <c r="C9314" t="str">
        <f t="shared" si="1761"/>
        <v>PIX</v>
      </c>
      <c r="D9314" t="str">
        <f>"24606"</f>
        <v>24606</v>
      </c>
      <c r="E9314" t="str">
        <f t="shared" si="1752"/>
        <v>1</v>
      </c>
      <c r="F9314" t="str">
        <f t="shared" si="1759"/>
        <v>COM</v>
      </c>
      <c r="G9314" t="str">
        <f>"HERICK KUSSYOYADA CAMARA (937)"</f>
        <v>HERICK KUSSYOYADA CAMARA (937)</v>
      </c>
      <c r="H9314" t="s">
        <v>2669</v>
      </c>
      <c r="I9314" t="str">
        <f t="shared" si="1750"/>
        <v>06/11/2025</v>
      </c>
      <c r="J9314" t="str">
        <f t="shared" si="1753"/>
        <v>03/11/2025</v>
      </c>
      <c r="K9314">
        <v>45967</v>
      </c>
      <c r="N9314">
        <v>109</v>
      </c>
      <c r="O9314" t="s">
        <v>24</v>
      </c>
      <c r="Q9314">
        <v>1000</v>
      </c>
      <c r="R9314" t="str">
        <f>"PENSE FARMA 46 (10194)"</f>
        <v>PENSE FARMA 46 (10194)</v>
      </c>
      <c r="S9314" t="s">
        <v>77</v>
      </c>
      <c r="T9314">
        <v>20714</v>
      </c>
      <c r="U9314">
        <v>24606</v>
      </c>
      <c r="V9314" t="s">
        <v>77</v>
      </c>
    </row>
    <row r="9315" spans="1:22">
      <c r="A9315" t="str">
        <f t="shared" si="1758"/>
        <v>06/11/2025</v>
      </c>
      <c r="B9315" t="str">
        <f t="shared" si="1760"/>
        <v>SAÍDA</v>
      </c>
      <c r="C9315" t="str">
        <f t="shared" si="1761"/>
        <v>PIX</v>
      </c>
      <c r="D9315" t="str">
        <f t="shared" ref="D9315:D9321" si="1762">"24609"</f>
        <v>24609</v>
      </c>
      <c r="E9315" t="str">
        <f t="shared" si="1752"/>
        <v>1</v>
      </c>
      <c r="F9315" t="str">
        <f t="shared" si="1759"/>
        <v>COM</v>
      </c>
      <c r="G9315" t="str">
        <f t="shared" ref="G9315:G9321" si="1763">"FELIPE ALEXANDRE CAMA (976)"</f>
        <v>FELIPE ALEXANDRE CAMA (976)</v>
      </c>
      <c r="H9315" t="str">
        <f>"Serv.Prest. 27/10/2025 a 02/11/2025 - PIX: CPF - CHAVE: 471.142.438-55"</f>
        <v>Serv.Prest. 27/10/2025 a 02/11/2025 - PIX: CPF - CHAVE: 471.142.438-55</v>
      </c>
      <c r="I9315" t="str">
        <f t="shared" ref="I9315:I9378" si="1764">("06/11/2025")</f>
        <v>06/11/2025</v>
      </c>
      <c r="J9315" t="str">
        <f t="shared" si="1753"/>
        <v>03/11/2025</v>
      </c>
      <c r="K9315" t="str">
        <f>("06/11/2025")</f>
        <v>06/11/2025</v>
      </c>
      <c r="L9315">
        <v>1325</v>
      </c>
      <c r="M9315">
        <v>1325</v>
      </c>
      <c r="N9315">
        <v>109</v>
      </c>
      <c r="O9315" t="str">
        <f>"PAGAMENTO DE ENTREGADORES"</f>
        <v>PAGAMENTO DE ENTREGADORES</v>
      </c>
      <c r="P9315">
        <v>1325</v>
      </c>
      <c r="S9315" t="str">
        <f>"BANCO C6 (149)"</f>
        <v>BANCO C6 (149)</v>
      </c>
      <c r="T9315">
        <v>20715</v>
      </c>
      <c r="U9315">
        <v>24609</v>
      </c>
      <c r="V9315" t="s">
        <v>77</v>
      </c>
    </row>
    <row r="9316" spans="1:22">
      <c r="A9316" t="str">
        <f t="shared" si="1758"/>
        <v>06/11/2025</v>
      </c>
      <c r="B9316" t="str">
        <f t="shared" si="1760"/>
        <v>SAÍDA</v>
      </c>
      <c r="C9316" t="str">
        <f t="shared" si="1761"/>
        <v>PIX</v>
      </c>
      <c r="D9316" t="str">
        <f t="shared" si="1762"/>
        <v>24609</v>
      </c>
      <c r="E9316" t="str">
        <f t="shared" si="1752"/>
        <v>1</v>
      </c>
      <c r="F9316" t="str">
        <f t="shared" si="1759"/>
        <v>COM</v>
      </c>
      <c r="G9316" t="str">
        <f t="shared" si="1763"/>
        <v>FELIPE ALEXANDRE CAMA (976)</v>
      </c>
      <c r="H9316" t="s">
        <v>2670</v>
      </c>
      <c r="I9316" t="str">
        <f t="shared" si="1764"/>
        <v>06/11/2025</v>
      </c>
      <c r="J9316" t="str">
        <f t="shared" si="1753"/>
        <v>03/11/2025</v>
      </c>
      <c r="K9316">
        <v>45967</v>
      </c>
      <c r="N9316">
        <v>109</v>
      </c>
      <c r="O9316" t="s">
        <v>24</v>
      </c>
      <c r="Q9316">
        <v>220.87</v>
      </c>
      <c r="R9316" t="str">
        <f>"PENSE FARMA 20 (10203)"</f>
        <v>PENSE FARMA 20 (10203)</v>
      </c>
      <c r="S9316" t="s">
        <v>77</v>
      </c>
      <c r="T9316">
        <v>20715</v>
      </c>
      <c r="U9316">
        <v>24609</v>
      </c>
      <c r="V9316" t="s">
        <v>77</v>
      </c>
    </row>
    <row r="9317" spans="1:22">
      <c r="A9317" t="str">
        <f t="shared" si="1758"/>
        <v>06/11/2025</v>
      </c>
      <c r="B9317" t="str">
        <f t="shared" si="1760"/>
        <v>SAÍDA</v>
      </c>
      <c r="C9317" t="str">
        <f t="shared" si="1761"/>
        <v>PIX</v>
      </c>
      <c r="D9317" t="str">
        <f t="shared" si="1762"/>
        <v>24609</v>
      </c>
      <c r="E9317" t="str">
        <f t="shared" si="1752"/>
        <v>1</v>
      </c>
      <c r="F9317" t="str">
        <f t="shared" si="1759"/>
        <v>COM</v>
      </c>
      <c r="G9317" t="str">
        <f t="shared" si="1763"/>
        <v>FELIPE ALEXANDRE CAMA (976)</v>
      </c>
      <c r="H9317" t="s">
        <v>2670</v>
      </c>
      <c r="I9317" t="str">
        <f t="shared" si="1764"/>
        <v>06/11/2025</v>
      </c>
      <c r="J9317" t="str">
        <f t="shared" si="1753"/>
        <v>03/11/2025</v>
      </c>
      <c r="K9317">
        <v>45967</v>
      </c>
      <c r="N9317">
        <v>109</v>
      </c>
      <c r="O9317" t="s">
        <v>24</v>
      </c>
      <c r="Q9317">
        <v>220.88</v>
      </c>
      <c r="R9317" t="str">
        <f>"PENSE FARMA 36 (10206)"</f>
        <v>PENSE FARMA 36 (10206)</v>
      </c>
      <c r="S9317" t="s">
        <v>77</v>
      </c>
      <c r="T9317">
        <v>20715</v>
      </c>
      <c r="U9317">
        <v>24609</v>
      </c>
      <c r="V9317" t="s">
        <v>77</v>
      </c>
    </row>
    <row r="9318" spans="1:22">
      <c r="A9318" t="str">
        <f t="shared" si="1758"/>
        <v>06/11/2025</v>
      </c>
      <c r="B9318" t="str">
        <f t="shared" si="1760"/>
        <v>SAÍDA</v>
      </c>
      <c r="C9318" t="str">
        <f t="shared" si="1761"/>
        <v>PIX</v>
      </c>
      <c r="D9318" t="str">
        <f t="shared" si="1762"/>
        <v>24609</v>
      </c>
      <c r="E9318" t="str">
        <f t="shared" si="1752"/>
        <v>1</v>
      </c>
      <c r="F9318" t="str">
        <f t="shared" si="1759"/>
        <v>COM</v>
      </c>
      <c r="G9318" t="str">
        <f t="shared" si="1763"/>
        <v>FELIPE ALEXANDRE CAMA (976)</v>
      </c>
      <c r="H9318" t="s">
        <v>2670</v>
      </c>
      <c r="I9318" t="str">
        <f t="shared" si="1764"/>
        <v>06/11/2025</v>
      </c>
      <c r="J9318" t="str">
        <f t="shared" si="1753"/>
        <v>03/11/2025</v>
      </c>
      <c r="K9318">
        <v>45967</v>
      </c>
      <c r="N9318">
        <v>109</v>
      </c>
      <c r="O9318" t="s">
        <v>24</v>
      </c>
      <c r="Q9318">
        <v>220.88</v>
      </c>
      <c r="R9318" t="str">
        <f>"PENSE FARMA 40 (10207)"</f>
        <v>PENSE FARMA 40 (10207)</v>
      </c>
      <c r="S9318" t="s">
        <v>77</v>
      </c>
      <c r="T9318">
        <v>20715</v>
      </c>
      <c r="U9318">
        <v>24609</v>
      </c>
      <c r="V9318" t="s">
        <v>77</v>
      </c>
    </row>
    <row r="9319" spans="1:22">
      <c r="A9319" t="str">
        <f t="shared" si="1758"/>
        <v>06/11/2025</v>
      </c>
      <c r="B9319" t="str">
        <f t="shared" si="1760"/>
        <v>SAÍDA</v>
      </c>
      <c r="C9319" t="str">
        <f t="shared" si="1761"/>
        <v>PIX</v>
      </c>
      <c r="D9319" t="str">
        <f t="shared" si="1762"/>
        <v>24609</v>
      </c>
      <c r="E9319" t="str">
        <f t="shared" si="1752"/>
        <v>1</v>
      </c>
      <c r="F9319" t="str">
        <f t="shared" si="1759"/>
        <v>COM</v>
      </c>
      <c r="G9319" t="str">
        <f t="shared" si="1763"/>
        <v>FELIPE ALEXANDRE CAMA (976)</v>
      </c>
      <c r="H9319" t="s">
        <v>2670</v>
      </c>
      <c r="I9319" t="str">
        <f t="shared" si="1764"/>
        <v>06/11/2025</v>
      </c>
      <c r="J9319" t="str">
        <f t="shared" si="1753"/>
        <v>03/11/2025</v>
      </c>
      <c r="K9319">
        <v>45967</v>
      </c>
      <c r="N9319">
        <v>109</v>
      </c>
      <c r="O9319" t="s">
        <v>24</v>
      </c>
      <c r="Q9319">
        <v>220.88</v>
      </c>
      <c r="R9319" t="str">
        <f>"PENSE FARMA 43 (10208)"</f>
        <v>PENSE FARMA 43 (10208)</v>
      </c>
      <c r="S9319" t="s">
        <v>77</v>
      </c>
      <c r="T9319">
        <v>20715</v>
      </c>
      <c r="U9319">
        <v>24609</v>
      </c>
      <c r="V9319" t="s">
        <v>77</v>
      </c>
    </row>
    <row r="9320" spans="1:22">
      <c r="A9320" t="str">
        <f t="shared" si="1758"/>
        <v>06/11/2025</v>
      </c>
      <c r="B9320" t="str">
        <f t="shared" si="1760"/>
        <v>SAÍDA</v>
      </c>
      <c r="C9320" t="str">
        <f t="shared" si="1761"/>
        <v>PIX</v>
      </c>
      <c r="D9320" t="str">
        <f t="shared" si="1762"/>
        <v>24609</v>
      </c>
      <c r="E9320" t="str">
        <f t="shared" si="1752"/>
        <v>1</v>
      </c>
      <c r="F9320" t="str">
        <f t="shared" si="1759"/>
        <v>COM</v>
      </c>
      <c r="G9320" t="str">
        <f t="shared" si="1763"/>
        <v>FELIPE ALEXANDRE CAMA (976)</v>
      </c>
      <c r="H9320" t="s">
        <v>2670</v>
      </c>
      <c r="I9320" t="str">
        <f t="shared" si="1764"/>
        <v>06/11/2025</v>
      </c>
      <c r="J9320" t="str">
        <f t="shared" si="1753"/>
        <v>03/11/2025</v>
      </c>
      <c r="K9320">
        <v>45967</v>
      </c>
      <c r="N9320">
        <v>109</v>
      </c>
      <c r="O9320" t="s">
        <v>24</v>
      </c>
      <c r="Q9320">
        <v>220.88</v>
      </c>
      <c r="R9320" t="str">
        <f>"PENSE FARMA 59 (10211)"</f>
        <v>PENSE FARMA 59 (10211)</v>
      </c>
      <c r="S9320" t="s">
        <v>77</v>
      </c>
      <c r="T9320">
        <v>20715</v>
      </c>
      <c r="U9320">
        <v>24609</v>
      </c>
      <c r="V9320" t="s">
        <v>77</v>
      </c>
    </row>
    <row r="9321" spans="1:22">
      <c r="A9321" t="str">
        <f t="shared" si="1758"/>
        <v>06/11/2025</v>
      </c>
      <c r="B9321" t="str">
        <f t="shared" si="1760"/>
        <v>SAÍDA</v>
      </c>
      <c r="C9321" t="str">
        <f t="shared" si="1761"/>
        <v>PIX</v>
      </c>
      <c r="D9321" t="str">
        <f t="shared" si="1762"/>
        <v>24609</v>
      </c>
      <c r="E9321" t="str">
        <f t="shared" si="1752"/>
        <v>1</v>
      </c>
      <c r="F9321" t="str">
        <f t="shared" si="1759"/>
        <v>COM</v>
      </c>
      <c r="G9321" t="str">
        <f t="shared" si="1763"/>
        <v>FELIPE ALEXANDRE CAMA (976)</v>
      </c>
      <c r="H9321" t="s">
        <v>2670</v>
      </c>
      <c r="I9321" t="str">
        <f t="shared" si="1764"/>
        <v>06/11/2025</v>
      </c>
      <c r="J9321" t="str">
        <f t="shared" si="1753"/>
        <v>03/11/2025</v>
      </c>
      <c r="K9321">
        <v>45967</v>
      </c>
      <c r="N9321">
        <v>109</v>
      </c>
      <c r="O9321" t="s">
        <v>24</v>
      </c>
      <c r="Q9321">
        <v>220.61</v>
      </c>
      <c r="R9321" t="str">
        <f>"PENSE FARMA DARK STORE 361 (10212)"</f>
        <v>PENSE FARMA DARK STORE 361 (10212)</v>
      </c>
      <c r="S9321" t="s">
        <v>77</v>
      </c>
      <c r="T9321">
        <v>20715</v>
      </c>
      <c r="U9321">
        <v>24609</v>
      </c>
      <c r="V9321" t="s">
        <v>77</v>
      </c>
    </row>
    <row r="9322" spans="1:22">
      <c r="A9322" t="str">
        <f t="shared" si="1758"/>
        <v>06/11/2025</v>
      </c>
      <c r="B9322" t="str">
        <f t="shared" si="1760"/>
        <v>SAÍDA</v>
      </c>
      <c r="C9322" t="str">
        <f t="shared" si="1761"/>
        <v>PIX</v>
      </c>
      <c r="D9322" t="str">
        <f t="shared" ref="D9322:D9328" si="1765">"24610"</f>
        <v>24610</v>
      </c>
      <c r="E9322" t="str">
        <f t="shared" si="1752"/>
        <v>1</v>
      </c>
      <c r="F9322" t="str">
        <f t="shared" si="1759"/>
        <v>COM</v>
      </c>
      <c r="G9322" t="str">
        <f t="shared" ref="G9322:G9328" si="1766">"JULIO GUIMARAES DOS SANTOS (977)"</f>
        <v>JULIO GUIMARAES DOS SANTOS (977)</v>
      </c>
      <c r="H9322" t="str">
        <f>"Serv.Prest. 27/10/2025 a 02/11/2025 - PIX: CELULAR - CHAVE: (11) 94195-2534"</f>
        <v>Serv.Prest. 27/10/2025 a 02/11/2025 - PIX: CELULAR - CHAVE: (11) 94195-2534</v>
      </c>
      <c r="I9322" t="str">
        <f t="shared" si="1764"/>
        <v>06/11/2025</v>
      </c>
      <c r="J9322" t="str">
        <f t="shared" si="1753"/>
        <v>03/11/2025</v>
      </c>
      <c r="K9322" t="str">
        <f>("06/11/2025")</f>
        <v>06/11/2025</v>
      </c>
      <c r="L9322">
        <v>1325</v>
      </c>
      <c r="M9322">
        <v>1325</v>
      </c>
      <c r="N9322">
        <v>109</v>
      </c>
      <c r="O9322" t="str">
        <f>"PAGAMENTO DE ENTREGADORES"</f>
        <v>PAGAMENTO DE ENTREGADORES</v>
      </c>
      <c r="P9322">
        <v>1325</v>
      </c>
      <c r="S9322" t="str">
        <f>"BANCO C6 (149)"</f>
        <v>BANCO C6 (149)</v>
      </c>
      <c r="T9322">
        <v>20716</v>
      </c>
      <c r="U9322">
        <v>24610</v>
      </c>
      <c r="V9322" t="s">
        <v>77</v>
      </c>
    </row>
    <row r="9323" spans="1:22">
      <c r="A9323" t="str">
        <f t="shared" si="1758"/>
        <v>06/11/2025</v>
      </c>
      <c r="B9323" t="str">
        <f t="shared" si="1760"/>
        <v>SAÍDA</v>
      </c>
      <c r="C9323" t="str">
        <f t="shared" si="1761"/>
        <v>PIX</v>
      </c>
      <c r="D9323" t="str">
        <f t="shared" si="1765"/>
        <v>24610</v>
      </c>
      <c r="E9323" t="str">
        <f t="shared" si="1752"/>
        <v>1</v>
      </c>
      <c r="F9323" t="str">
        <f t="shared" si="1759"/>
        <v>COM</v>
      </c>
      <c r="G9323" t="str">
        <f t="shared" si="1766"/>
        <v>JULIO GUIMARAES DOS SANTOS (977)</v>
      </c>
      <c r="H9323" t="s">
        <v>2671</v>
      </c>
      <c r="I9323" t="str">
        <f t="shared" si="1764"/>
        <v>06/11/2025</v>
      </c>
      <c r="J9323" t="str">
        <f t="shared" si="1753"/>
        <v>03/11/2025</v>
      </c>
      <c r="K9323">
        <v>45967</v>
      </c>
      <c r="N9323">
        <v>109</v>
      </c>
      <c r="O9323" t="s">
        <v>24</v>
      </c>
      <c r="Q9323">
        <v>220.87</v>
      </c>
      <c r="R9323" t="str">
        <f>"PENSE FARMA 20 (10203)"</f>
        <v>PENSE FARMA 20 (10203)</v>
      </c>
      <c r="S9323" t="s">
        <v>77</v>
      </c>
      <c r="T9323">
        <v>20716</v>
      </c>
      <c r="U9323">
        <v>24610</v>
      </c>
      <c r="V9323" t="s">
        <v>77</v>
      </c>
    </row>
    <row r="9324" spans="1:22">
      <c r="A9324" t="str">
        <f t="shared" si="1758"/>
        <v>06/11/2025</v>
      </c>
      <c r="B9324" t="str">
        <f t="shared" si="1760"/>
        <v>SAÍDA</v>
      </c>
      <c r="C9324" t="str">
        <f t="shared" si="1761"/>
        <v>PIX</v>
      </c>
      <c r="D9324" t="str">
        <f t="shared" si="1765"/>
        <v>24610</v>
      </c>
      <c r="E9324" t="str">
        <f t="shared" si="1752"/>
        <v>1</v>
      </c>
      <c r="F9324" t="str">
        <f t="shared" si="1759"/>
        <v>COM</v>
      </c>
      <c r="G9324" t="str">
        <f t="shared" si="1766"/>
        <v>JULIO GUIMARAES DOS SANTOS (977)</v>
      </c>
      <c r="H9324" t="s">
        <v>2671</v>
      </c>
      <c r="I9324" t="str">
        <f t="shared" si="1764"/>
        <v>06/11/2025</v>
      </c>
      <c r="J9324" t="str">
        <f t="shared" si="1753"/>
        <v>03/11/2025</v>
      </c>
      <c r="K9324">
        <v>45967</v>
      </c>
      <c r="N9324">
        <v>109</v>
      </c>
      <c r="O9324" t="s">
        <v>24</v>
      </c>
      <c r="Q9324">
        <v>220.88</v>
      </c>
      <c r="R9324" t="str">
        <f>"PENSE FARMA 36 (10206)"</f>
        <v>PENSE FARMA 36 (10206)</v>
      </c>
      <c r="S9324" t="s">
        <v>77</v>
      </c>
      <c r="T9324">
        <v>20716</v>
      </c>
      <c r="U9324">
        <v>24610</v>
      </c>
      <c r="V9324" t="s">
        <v>77</v>
      </c>
    </row>
    <row r="9325" spans="1:22">
      <c r="A9325" t="str">
        <f t="shared" si="1758"/>
        <v>06/11/2025</v>
      </c>
      <c r="B9325" t="str">
        <f t="shared" si="1760"/>
        <v>SAÍDA</v>
      </c>
      <c r="C9325" t="str">
        <f t="shared" si="1761"/>
        <v>PIX</v>
      </c>
      <c r="D9325" t="str">
        <f t="shared" si="1765"/>
        <v>24610</v>
      </c>
      <c r="E9325" t="str">
        <f t="shared" si="1752"/>
        <v>1</v>
      </c>
      <c r="F9325" t="str">
        <f t="shared" si="1759"/>
        <v>COM</v>
      </c>
      <c r="G9325" t="str">
        <f t="shared" si="1766"/>
        <v>JULIO GUIMARAES DOS SANTOS (977)</v>
      </c>
      <c r="H9325" t="s">
        <v>2671</v>
      </c>
      <c r="I9325" t="str">
        <f t="shared" si="1764"/>
        <v>06/11/2025</v>
      </c>
      <c r="J9325" t="str">
        <f t="shared" si="1753"/>
        <v>03/11/2025</v>
      </c>
      <c r="K9325">
        <v>45967</v>
      </c>
      <c r="N9325">
        <v>109</v>
      </c>
      <c r="O9325" t="s">
        <v>24</v>
      </c>
      <c r="Q9325">
        <v>220.88</v>
      </c>
      <c r="R9325" t="str">
        <f>"PENSE FARMA 40 (10207)"</f>
        <v>PENSE FARMA 40 (10207)</v>
      </c>
      <c r="S9325" t="s">
        <v>77</v>
      </c>
      <c r="T9325">
        <v>20716</v>
      </c>
      <c r="U9325">
        <v>24610</v>
      </c>
      <c r="V9325" t="s">
        <v>77</v>
      </c>
    </row>
    <row r="9326" spans="1:22">
      <c r="A9326" t="str">
        <f t="shared" si="1758"/>
        <v>06/11/2025</v>
      </c>
      <c r="B9326" t="str">
        <f t="shared" si="1760"/>
        <v>SAÍDA</v>
      </c>
      <c r="C9326" t="str">
        <f t="shared" si="1761"/>
        <v>PIX</v>
      </c>
      <c r="D9326" t="str">
        <f t="shared" si="1765"/>
        <v>24610</v>
      </c>
      <c r="E9326" t="str">
        <f t="shared" si="1752"/>
        <v>1</v>
      </c>
      <c r="F9326" t="str">
        <f t="shared" si="1759"/>
        <v>COM</v>
      </c>
      <c r="G9326" t="str">
        <f t="shared" si="1766"/>
        <v>JULIO GUIMARAES DOS SANTOS (977)</v>
      </c>
      <c r="H9326" t="s">
        <v>2671</v>
      </c>
      <c r="I9326" t="str">
        <f t="shared" si="1764"/>
        <v>06/11/2025</v>
      </c>
      <c r="J9326" t="str">
        <f t="shared" si="1753"/>
        <v>03/11/2025</v>
      </c>
      <c r="K9326">
        <v>45967</v>
      </c>
      <c r="N9326">
        <v>109</v>
      </c>
      <c r="O9326" t="s">
        <v>24</v>
      </c>
      <c r="Q9326">
        <v>220.88</v>
      </c>
      <c r="R9326" t="str">
        <f>"PENSE FARMA 43 (10208)"</f>
        <v>PENSE FARMA 43 (10208)</v>
      </c>
      <c r="S9326" t="s">
        <v>77</v>
      </c>
      <c r="T9326">
        <v>20716</v>
      </c>
      <c r="U9326">
        <v>24610</v>
      </c>
      <c r="V9326" t="s">
        <v>77</v>
      </c>
    </row>
    <row r="9327" spans="1:22">
      <c r="A9327" t="str">
        <f t="shared" si="1758"/>
        <v>06/11/2025</v>
      </c>
      <c r="B9327" t="str">
        <f t="shared" si="1760"/>
        <v>SAÍDA</v>
      </c>
      <c r="C9327" t="str">
        <f t="shared" si="1761"/>
        <v>PIX</v>
      </c>
      <c r="D9327" t="str">
        <f t="shared" si="1765"/>
        <v>24610</v>
      </c>
      <c r="E9327" t="str">
        <f t="shared" si="1752"/>
        <v>1</v>
      </c>
      <c r="F9327" t="str">
        <f t="shared" si="1759"/>
        <v>COM</v>
      </c>
      <c r="G9327" t="str">
        <f t="shared" si="1766"/>
        <v>JULIO GUIMARAES DOS SANTOS (977)</v>
      </c>
      <c r="H9327" t="s">
        <v>2671</v>
      </c>
      <c r="I9327" t="str">
        <f t="shared" si="1764"/>
        <v>06/11/2025</v>
      </c>
      <c r="J9327" t="str">
        <f t="shared" si="1753"/>
        <v>03/11/2025</v>
      </c>
      <c r="K9327">
        <v>45967</v>
      </c>
      <c r="N9327">
        <v>109</v>
      </c>
      <c r="O9327" t="s">
        <v>24</v>
      </c>
      <c r="Q9327">
        <v>220.88</v>
      </c>
      <c r="R9327" t="str">
        <f>"PENSE FARMA 59 (10211)"</f>
        <v>PENSE FARMA 59 (10211)</v>
      </c>
      <c r="S9327" t="s">
        <v>77</v>
      </c>
      <c r="T9327">
        <v>20716</v>
      </c>
      <c r="U9327">
        <v>24610</v>
      </c>
      <c r="V9327" t="s">
        <v>77</v>
      </c>
    </row>
    <row r="9328" spans="1:22">
      <c r="A9328" t="str">
        <f t="shared" si="1758"/>
        <v>06/11/2025</v>
      </c>
      <c r="B9328" t="str">
        <f t="shared" si="1760"/>
        <v>SAÍDA</v>
      </c>
      <c r="C9328" t="str">
        <f t="shared" si="1761"/>
        <v>PIX</v>
      </c>
      <c r="D9328" t="str">
        <f t="shared" si="1765"/>
        <v>24610</v>
      </c>
      <c r="E9328" t="str">
        <f t="shared" si="1752"/>
        <v>1</v>
      </c>
      <c r="F9328" t="str">
        <f t="shared" si="1759"/>
        <v>COM</v>
      </c>
      <c r="G9328" t="str">
        <f t="shared" si="1766"/>
        <v>JULIO GUIMARAES DOS SANTOS (977)</v>
      </c>
      <c r="H9328" t="s">
        <v>2671</v>
      </c>
      <c r="I9328" t="str">
        <f t="shared" si="1764"/>
        <v>06/11/2025</v>
      </c>
      <c r="J9328" t="str">
        <f t="shared" ref="J9328:J9359" si="1767">("03/11/2025")</f>
        <v>03/11/2025</v>
      </c>
      <c r="K9328">
        <v>45967</v>
      </c>
      <c r="N9328">
        <v>109</v>
      </c>
      <c r="O9328" t="s">
        <v>24</v>
      </c>
      <c r="Q9328">
        <v>220.61</v>
      </c>
      <c r="R9328" t="str">
        <f>"PENSE FARMA DARK STORE 361 (10212)"</f>
        <v>PENSE FARMA DARK STORE 361 (10212)</v>
      </c>
      <c r="S9328" t="s">
        <v>77</v>
      </c>
      <c r="T9328">
        <v>20716</v>
      </c>
      <c r="U9328">
        <v>24610</v>
      </c>
      <c r="V9328" t="s">
        <v>77</v>
      </c>
    </row>
    <row r="9329" spans="1:22">
      <c r="A9329" t="str">
        <f t="shared" si="1758"/>
        <v>06/11/2025</v>
      </c>
      <c r="B9329" t="str">
        <f t="shared" si="1760"/>
        <v>SAÍDA</v>
      </c>
      <c r="C9329" t="str">
        <f t="shared" si="1761"/>
        <v>PIX</v>
      </c>
      <c r="D9329" t="str">
        <f t="shared" ref="D9329:D9335" si="1768">"24611"</f>
        <v>24611</v>
      </c>
      <c r="E9329" t="str">
        <f t="shared" si="1752"/>
        <v>1</v>
      </c>
      <c r="F9329" t="str">
        <f t="shared" si="1759"/>
        <v>COM</v>
      </c>
      <c r="G9329" t="str">
        <f t="shared" ref="G9329:G9335" si="1769">"RAFAEL PEDROSO DE CAMARA (975)"</f>
        <v>RAFAEL PEDROSO DE CAMARA (975)</v>
      </c>
      <c r="H9329" t="str">
        <f>"Serv.Prest. 27/10/2025 a 02/11/2025 - PIX: CELULAR - CHAVE: (11) 99270-3082"</f>
        <v>Serv.Prest. 27/10/2025 a 02/11/2025 - PIX: CELULAR - CHAVE: (11) 99270-3082</v>
      </c>
      <c r="I9329" t="str">
        <f t="shared" si="1764"/>
        <v>06/11/2025</v>
      </c>
      <c r="J9329" t="str">
        <f t="shared" si="1767"/>
        <v>03/11/2025</v>
      </c>
      <c r="K9329" t="str">
        <f>("06/11/2025")</f>
        <v>06/11/2025</v>
      </c>
      <c r="L9329">
        <v>1375</v>
      </c>
      <c r="M9329">
        <v>1375</v>
      </c>
      <c r="N9329">
        <v>109</v>
      </c>
      <c r="O9329" t="str">
        <f>"PAGAMENTO DE ENTREGADORES"</f>
        <v>PAGAMENTO DE ENTREGADORES</v>
      </c>
      <c r="P9329">
        <v>1375</v>
      </c>
      <c r="S9329" t="str">
        <f>"BANCO C6 (149)"</f>
        <v>BANCO C6 (149)</v>
      </c>
      <c r="T9329">
        <v>20717</v>
      </c>
      <c r="U9329">
        <v>24611</v>
      </c>
      <c r="V9329" t="s">
        <v>77</v>
      </c>
    </row>
    <row r="9330" spans="1:22">
      <c r="A9330" t="str">
        <f t="shared" si="1758"/>
        <v>06/11/2025</v>
      </c>
      <c r="B9330" t="str">
        <f t="shared" si="1760"/>
        <v>SAÍDA</v>
      </c>
      <c r="C9330" t="str">
        <f t="shared" si="1761"/>
        <v>PIX</v>
      </c>
      <c r="D9330" t="str">
        <f t="shared" si="1768"/>
        <v>24611</v>
      </c>
      <c r="E9330" t="str">
        <f t="shared" si="1752"/>
        <v>1</v>
      </c>
      <c r="F9330" t="str">
        <f t="shared" si="1759"/>
        <v>COM</v>
      </c>
      <c r="G9330" t="str">
        <f t="shared" si="1769"/>
        <v>RAFAEL PEDROSO DE CAMARA (975)</v>
      </c>
      <c r="H9330" t="s">
        <v>2672</v>
      </c>
      <c r="I9330" t="str">
        <f t="shared" si="1764"/>
        <v>06/11/2025</v>
      </c>
      <c r="J9330" t="str">
        <f t="shared" si="1767"/>
        <v>03/11/2025</v>
      </c>
      <c r="K9330">
        <v>45967</v>
      </c>
      <c r="N9330">
        <v>109</v>
      </c>
      <c r="O9330" t="s">
        <v>24</v>
      </c>
      <c r="Q9330">
        <v>196.48</v>
      </c>
      <c r="R9330" t="str">
        <f>"PENSE FARMA 20 (10203)"</f>
        <v>PENSE FARMA 20 (10203)</v>
      </c>
      <c r="S9330" t="s">
        <v>77</v>
      </c>
      <c r="T9330">
        <v>20717</v>
      </c>
      <c r="U9330">
        <v>24611</v>
      </c>
      <c r="V9330" t="s">
        <v>77</v>
      </c>
    </row>
    <row r="9331" spans="1:22">
      <c r="A9331" t="str">
        <f t="shared" si="1758"/>
        <v>06/11/2025</v>
      </c>
      <c r="B9331" t="str">
        <f t="shared" si="1760"/>
        <v>SAÍDA</v>
      </c>
      <c r="C9331" t="str">
        <f t="shared" si="1761"/>
        <v>PIX</v>
      </c>
      <c r="D9331" t="str">
        <f t="shared" si="1768"/>
        <v>24611</v>
      </c>
      <c r="E9331" t="str">
        <f t="shared" si="1752"/>
        <v>1</v>
      </c>
      <c r="F9331" t="str">
        <f t="shared" si="1759"/>
        <v>COM</v>
      </c>
      <c r="G9331" t="str">
        <f t="shared" si="1769"/>
        <v>RAFAEL PEDROSO DE CAMARA (975)</v>
      </c>
      <c r="H9331" t="s">
        <v>2672</v>
      </c>
      <c r="I9331" t="str">
        <f t="shared" si="1764"/>
        <v>06/11/2025</v>
      </c>
      <c r="J9331" t="str">
        <f t="shared" si="1767"/>
        <v>03/11/2025</v>
      </c>
      <c r="K9331">
        <v>45967</v>
      </c>
      <c r="N9331">
        <v>109</v>
      </c>
      <c r="O9331" t="s">
        <v>24</v>
      </c>
      <c r="Q9331">
        <v>196.49</v>
      </c>
      <c r="R9331" t="str">
        <f>"PENSE FARMA 36 (10206)"</f>
        <v>PENSE FARMA 36 (10206)</v>
      </c>
      <c r="S9331" t="s">
        <v>77</v>
      </c>
      <c r="T9331">
        <v>20717</v>
      </c>
      <c r="U9331">
        <v>24611</v>
      </c>
      <c r="V9331" t="s">
        <v>77</v>
      </c>
    </row>
    <row r="9332" spans="1:22">
      <c r="A9332" t="str">
        <f t="shared" si="1758"/>
        <v>06/11/2025</v>
      </c>
      <c r="B9332" t="str">
        <f t="shared" si="1760"/>
        <v>SAÍDA</v>
      </c>
      <c r="C9332" t="str">
        <f t="shared" si="1761"/>
        <v>PIX</v>
      </c>
      <c r="D9332" t="str">
        <f t="shared" si="1768"/>
        <v>24611</v>
      </c>
      <c r="E9332" t="str">
        <f t="shared" si="1752"/>
        <v>1</v>
      </c>
      <c r="F9332" t="str">
        <f t="shared" si="1759"/>
        <v>COM</v>
      </c>
      <c r="G9332" t="str">
        <f t="shared" si="1769"/>
        <v>RAFAEL PEDROSO DE CAMARA (975)</v>
      </c>
      <c r="H9332" t="s">
        <v>2672</v>
      </c>
      <c r="I9332" t="str">
        <f t="shared" si="1764"/>
        <v>06/11/2025</v>
      </c>
      <c r="J9332" t="str">
        <f t="shared" si="1767"/>
        <v>03/11/2025</v>
      </c>
      <c r="K9332">
        <v>45967</v>
      </c>
      <c r="N9332">
        <v>109</v>
      </c>
      <c r="O9332" t="s">
        <v>24</v>
      </c>
      <c r="Q9332">
        <v>196.49</v>
      </c>
      <c r="R9332" t="str">
        <f>"PENSE FARMA 40 (10207)"</f>
        <v>PENSE FARMA 40 (10207)</v>
      </c>
      <c r="S9332" t="s">
        <v>77</v>
      </c>
      <c r="T9332">
        <v>20717</v>
      </c>
      <c r="U9332">
        <v>24611</v>
      </c>
      <c r="V9332" t="s">
        <v>77</v>
      </c>
    </row>
    <row r="9333" spans="1:22">
      <c r="A9333" t="str">
        <f t="shared" si="1758"/>
        <v>06/11/2025</v>
      </c>
      <c r="B9333" t="str">
        <f t="shared" si="1760"/>
        <v>SAÍDA</v>
      </c>
      <c r="C9333" t="str">
        <f t="shared" si="1761"/>
        <v>PIX</v>
      </c>
      <c r="D9333" t="str">
        <f t="shared" si="1768"/>
        <v>24611</v>
      </c>
      <c r="E9333" t="str">
        <f t="shared" si="1752"/>
        <v>1</v>
      </c>
      <c r="F9333" t="str">
        <f t="shared" si="1759"/>
        <v>COM</v>
      </c>
      <c r="G9333" t="str">
        <f t="shared" si="1769"/>
        <v>RAFAEL PEDROSO DE CAMARA (975)</v>
      </c>
      <c r="H9333" t="s">
        <v>2672</v>
      </c>
      <c r="I9333" t="str">
        <f t="shared" si="1764"/>
        <v>06/11/2025</v>
      </c>
      <c r="J9333" t="str">
        <f t="shared" si="1767"/>
        <v>03/11/2025</v>
      </c>
      <c r="K9333">
        <v>45967</v>
      </c>
      <c r="N9333">
        <v>109</v>
      </c>
      <c r="O9333" t="s">
        <v>24</v>
      </c>
      <c r="Q9333">
        <v>196.49</v>
      </c>
      <c r="R9333" t="str">
        <f>"PENSE FARMA 43 (10208)"</f>
        <v>PENSE FARMA 43 (10208)</v>
      </c>
      <c r="S9333" t="s">
        <v>77</v>
      </c>
      <c r="T9333">
        <v>20717</v>
      </c>
      <c r="U9333">
        <v>24611</v>
      </c>
      <c r="V9333" t="s">
        <v>77</v>
      </c>
    </row>
    <row r="9334" spans="1:22">
      <c r="A9334" t="str">
        <f t="shared" si="1758"/>
        <v>06/11/2025</v>
      </c>
      <c r="B9334" t="str">
        <f t="shared" si="1760"/>
        <v>SAÍDA</v>
      </c>
      <c r="C9334" t="str">
        <f t="shared" si="1761"/>
        <v>PIX</v>
      </c>
      <c r="D9334" t="str">
        <f t="shared" si="1768"/>
        <v>24611</v>
      </c>
      <c r="E9334" t="str">
        <f t="shared" si="1752"/>
        <v>1</v>
      </c>
      <c r="F9334" t="str">
        <f t="shared" si="1759"/>
        <v>COM</v>
      </c>
      <c r="G9334" t="str">
        <f t="shared" si="1769"/>
        <v>RAFAEL PEDROSO DE CAMARA (975)</v>
      </c>
      <c r="H9334" t="s">
        <v>2672</v>
      </c>
      <c r="I9334" t="str">
        <f t="shared" si="1764"/>
        <v>06/11/2025</v>
      </c>
      <c r="J9334" t="str">
        <f t="shared" si="1767"/>
        <v>03/11/2025</v>
      </c>
      <c r="K9334">
        <v>45967</v>
      </c>
      <c r="N9334">
        <v>109</v>
      </c>
      <c r="O9334" t="s">
        <v>24</v>
      </c>
      <c r="Q9334">
        <v>392.84</v>
      </c>
      <c r="R9334" t="str">
        <f>"PENSE FARMA 59 (10211)"</f>
        <v>PENSE FARMA 59 (10211)</v>
      </c>
      <c r="S9334" t="s">
        <v>77</v>
      </c>
      <c r="T9334">
        <v>20717</v>
      </c>
      <c r="U9334">
        <v>24611</v>
      </c>
      <c r="V9334" t="s">
        <v>77</v>
      </c>
    </row>
    <row r="9335" spans="1:22">
      <c r="A9335" t="str">
        <f t="shared" si="1758"/>
        <v>06/11/2025</v>
      </c>
      <c r="B9335" t="str">
        <f t="shared" si="1760"/>
        <v>SAÍDA</v>
      </c>
      <c r="C9335" t="str">
        <f t="shared" si="1761"/>
        <v>PIX</v>
      </c>
      <c r="D9335" t="str">
        <f t="shared" si="1768"/>
        <v>24611</v>
      </c>
      <c r="E9335" t="str">
        <f t="shared" si="1752"/>
        <v>1</v>
      </c>
      <c r="F9335" t="str">
        <f t="shared" si="1759"/>
        <v>COM</v>
      </c>
      <c r="G9335" t="str">
        <f t="shared" si="1769"/>
        <v>RAFAEL PEDROSO DE CAMARA (975)</v>
      </c>
      <c r="H9335" t="s">
        <v>2672</v>
      </c>
      <c r="I9335" t="str">
        <f t="shared" si="1764"/>
        <v>06/11/2025</v>
      </c>
      <c r="J9335" t="str">
        <f t="shared" si="1767"/>
        <v>03/11/2025</v>
      </c>
      <c r="K9335">
        <v>45967</v>
      </c>
      <c r="N9335">
        <v>109</v>
      </c>
      <c r="O9335" t="s">
        <v>24</v>
      </c>
      <c r="Q9335">
        <v>196.21</v>
      </c>
      <c r="R9335" t="str">
        <f>"PENSE FARMA DARK STORE 361 (10212)"</f>
        <v>PENSE FARMA DARK STORE 361 (10212)</v>
      </c>
      <c r="S9335" t="s">
        <v>77</v>
      </c>
      <c r="T9335">
        <v>20717</v>
      </c>
      <c r="U9335">
        <v>24611</v>
      </c>
      <c r="V9335" t="s">
        <v>77</v>
      </c>
    </row>
    <row r="9336" spans="1:22">
      <c r="A9336" t="str">
        <f t="shared" si="1758"/>
        <v>06/11/2025</v>
      </c>
      <c r="B9336" t="str">
        <f t="shared" si="1760"/>
        <v>SAÍDA</v>
      </c>
      <c r="C9336" t="str">
        <f t="shared" si="1761"/>
        <v>PIX</v>
      </c>
      <c r="D9336" t="str">
        <f>"24613"</f>
        <v>24613</v>
      </c>
      <c r="E9336" t="str">
        <f t="shared" si="1752"/>
        <v>1</v>
      </c>
      <c r="F9336" t="str">
        <f t="shared" si="1759"/>
        <v>COM</v>
      </c>
      <c r="G9336" t="str">
        <f>"LUAN DOS REIS SILVA (954)"</f>
        <v>LUAN DOS REIS SILVA (954)</v>
      </c>
      <c r="H9336" t="str">
        <f>"Serv.Prest. 27/10/2025 a 02/11/2025 - PIX: CELULAR - CHAVE: (11) 95906-5439"</f>
        <v>Serv.Prest. 27/10/2025 a 02/11/2025 - PIX: CELULAR - CHAVE: (11) 95906-5439</v>
      </c>
      <c r="I9336" t="str">
        <f t="shared" si="1764"/>
        <v>06/11/2025</v>
      </c>
      <c r="J9336" t="str">
        <f t="shared" si="1767"/>
        <v>03/11/2025</v>
      </c>
      <c r="K9336" t="str">
        <f>("06/11/2025")</f>
        <v>06/11/2025</v>
      </c>
      <c r="L9336">
        <v>1250</v>
      </c>
      <c r="M9336">
        <v>1250</v>
      </c>
      <c r="N9336">
        <v>109</v>
      </c>
      <c r="O9336" t="str">
        <f>"PAGAMENTO DE ENTREGADORES"</f>
        <v>PAGAMENTO DE ENTREGADORES</v>
      </c>
      <c r="P9336">
        <v>1250</v>
      </c>
      <c r="S9336" t="str">
        <f>"BANCO C6 (149)"</f>
        <v>BANCO C6 (149)</v>
      </c>
      <c r="T9336">
        <v>20718</v>
      </c>
      <c r="U9336">
        <v>24613</v>
      </c>
      <c r="V9336" t="s">
        <v>77</v>
      </c>
    </row>
    <row r="9337" spans="1:22">
      <c r="A9337" t="str">
        <f t="shared" si="1758"/>
        <v>06/11/2025</v>
      </c>
      <c r="B9337" t="str">
        <f t="shared" si="1760"/>
        <v>SAÍDA</v>
      </c>
      <c r="C9337" t="str">
        <f t="shared" si="1761"/>
        <v>PIX</v>
      </c>
      <c r="D9337" t="str">
        <f>"24613"</f>
        <v>24613</v>
      </c>
      <c r="E9337" t="str">
        <f t="shared" si="1752"/>
        <v>1</v>
      </c>
      <c r="F9337" t="str">
        <f t="shared" si="1759"/>
        <v>COM</v>
      </c>
      <c r="G9337" t="str">
        <f>"LUAN DOS REIS SILVA (954)"</f>
        <v>LUAN DOS REIS SILVA (954)</v>
      </c>
      <c r="H9337" t="s">
        <v>2454</v>
      </c>
      <c r="I9337" t="str">
        <f t="shared" si="1764"/>
        <v>06/11/2025</v>
      </c>
      <c r="J9337" t="str">
        <f t="shared" si="1767"/>
        <v>03/11/2025</v>
      </c>
      <c r="K9337">
        <v>45967</v>
      </c>
      <c r="N9337">
        <v>109</v>
      </c>
      <c r="O9337" t="s">
        <v>24</v>
      </c>
      <c r="Q9337">
        <v>416.62</v>
      </c>
      <c r="R9337" t="str">
        <f>"PENSE FARMA 05 (10200)"</f>
        <v>PENSE FARMA 05 (10200)</v>
      </c>
      <c r="S9337" t="s">
        <v>77</v>
      </c>
      <c r="T9337">
        <v>20718</v>
      </c>
      <c r="U9337">
        <v>24613</v>
      </c>
      <c r="V9337" t="s">
        <v>77</v>
      </c>
    </row>
    <row r="9338" spans="1:22">
      <c r="A9338" t="str">
        <f t="shared" si="1758"/>
        <v>06/11/2025</v>
      </c>
      <c r="B9338" t="str">
        <f t="shared" si="1760"/>
        <v>SAÍDA</v>
      </c>
      <c r="C9338" t="str">
        <f t="shared" si="1761"/>
        <v>PIX</v>
      </c>
      <c r="D9338" t="str">
        <f>"24613"</f>
        <v>24613</v>
      </c>
      <c r="E9338" t="str">
        <f t="shared" si="1752"/>
        <v>1</v>
      </c>
      <c r="F9338" t="str">
        <f t="shared" si="1759"/>
        <v>COM</v>
      </c>
      <c r="G9338" t="str">
        <f>"LUAN DOS REIS SILVA (954)"</f>
        <v>LUAN DOS REIS SILVA (954)</v>
      </c>
      <c r="H9338" t="s">
        <v>2454</v>
      </c>
      <c r="I9338" t="str">
        <f t="shared" si="1764"/>
        <v>06/11/2025</v>
      </c>
      <c r="J9338" t="str">
        <f t="shared" si="1767"/>
        <v>03/11/2025</v>
      </c>
      <c r="K9338">
        <v>45967</v>
      </c>
      <c r="N9338">
        <v>109</v>
      </c>
      <c r="O9338" t="s">
        <v>24</v>
      </c>
      <c r="Q9338">
        <v>416.63</v>
      </c>
      <c r="R9338" t="str">
        <f>"PENSE FARMA 13 (10202)"</f>
        <v>PENSE FARMA 13 (10202)</v>
      </c>
      <c r="S9338" t="s">
        <v>77</v>
      </c>
      <c r="T9338">
        <v>20718</v>
      </c>
      <c r="U9338">
        <v>24613</v>
      </c>
      <c r="V9338" t="s">
        <v>77</v>
      </c>
    </row>
    <row r="9339" spans="1:22">
      <c r="A9339" t="str">
        <f t="shared" si="1758"/>
        <v>06/11/2025</v>
      </c>
      <c r="B9339" t="str">
        <f t="shared" si="1760"/>
        <v>SAÍDA</v>
      </c>
      <c r="C9339" t="str">
        <f t="shared" si="1761"/>
        <v>PIX</v>
      </c>
      <c r="D9339" t="str">
        <f>"24613"</f>
        <v>24613</v>
      </c>
      <c r="E9339" t="str">
        <f t="shared" si="1752"/>
        <v>1</v>
      </c>
      <c r="F9339" t="str">
        <f t="shared" si="1759"/>
        <v>COM</v>
      </c>
      <c r="G9339" t="str">
        <f>"LUAN DOS REIS SILVA (954)"</f>
        <v>LUAN DOS REIS SILVA (954)</v>
      </c>
      <c r="H9339" t="s">
        <v>2454</v>
      </c>
      <c r="I9339" t="str">
        <f t="shared" si="1764"/>
        <v>06/11/2025</v>
      </c>
      <c r="J9339" t="str">
        <f t="shared" si="1767"/>
        <v>03/11/2025</v>
      </c>
      <c r="K9339">
        <v>45967</v>
      </c>
      <c r="N9339">
        <v>109</v>
      </c>
      <c r="O9339" t="s">
        <v>24</v>
      </c>
      <c r="Q9339">
        <v>416.75</v>
      </c>
      <c r="R9339" t="str">
        <f>"PENSE FARMA 27 (10204)"</f>
        <v>PENSE FARMA 27 (10204)</v>
      </c>
      <c r="S9339" t="s">
        <v>77</v>
      </c>
      <c r="T9339">
        <v>20718</v>
      </c>
      <c r="U9339">
        <v>24613</v>
      </c>
      <c r="V9339" t="s">
        <v>77</v>
      </c>
    </row>
    <row r="9340" spans="1:22">
      <c r="A9340" t="str">
        <f t="shared" si="1758"/>
        <v>06/11/2025</v>
      </c>
      <c r="B9340" t="str">
        <f t="shared" si="1760"/>
        <v>SAÍDA</v>
      </c>
      <c r="C9340" t="str">
        <f t="shared" si="1761"/>
        <v>PIX</v>
      </c>
      <c r="D9340" t="str">
        <f>"24614"</f>
        <v>24614</v>
      </c>
      <c r="E9340" t="str">
        <f t="shared" si="1752"/>
        <v>1</v>
      </c>
      <c r="F9340" t="str">
        <f t="shared" si="1759"/>
        <v>COM</v>
      </c>
      <c r="G9340" t="str">
        <f>"MANOEL DE JESUS ALMEIDA (1017)"</f>
        <v>MANOEL DE JESUS ALMEIDA (1017)</v>
      </c>
      <c r="H9340" t="str">
        <f>"Serv.Prest. 27/10/2025 a 02/11/2025 - PIX: CPF - CHAVE: 026.422.254-70"</f>
        <v>Serv.Prest. 27/10/2025 a 02/11/2025 - PIX: CPF - CHAVE: 026.422.254-70</v>
      </c>
      <c r="I9340" t="str">
        <f t="shared" si="1764"/>
        <v>06/11/2025</v>
      </c>
      <c r="J9340" t="str">
        <f t="shared" si="1767"/>
        <v>03/11/2025</v>
      </c>
      <c r="K9340" t="str">
        <f>("06/11/2025")</f>
        <v>06/11/2025</v>
      </c>
      <c r="L9340">
        <v>1250</v>
      </c>
      <c r="M9340">
        <v>1250</v>
      </c>
      <c r="N9340">
        <v>109</v>
      </c>
      <c r="O9340" t="str">
        <f>"PAGAMENTO DE ENTREGADORES"</f>
        <v>PAGAMENTO DE ENTREGADORES</v>
      </c>
      <c r="P9340">
        <v>1250</v>
      </c>
      <c r="S9340" t="str">
        <f>"BANCO C6 (149)"</f>
        <v>BANCO C6 (149)</v>
      </c>
      <c r="T9340">
        <v>20719</v>
      </c>
      <c r="U9340">
        <v>24614</v>
      </c>
      <c r="V9340" t="s">
        <v>77</v>
      </c>
    </row>
    <row r="9341" spans="1:22">
      <c r="A9341" t="str">
        <f t="shared" si="1758"/>
        <v>06/11/2025</v>
      </c>
      <c r="B9341" t="str">
        <f t="shared" si="1760"/>
        <v>SAÍDA</v>
      </c>
      <c r="C9341" t="str">
        <f t="shared" si="1761"/>
        <v>PIX</v>
      </c>
      <c r="D9341" t="str">
        <f>"24614"</f>
        <v>24614</v>
      </c>
      <c r="E9341" t="str">
        <f t="shared" si="1752"/>
        <v>1</v>
      </c>
      <c r="F9341" t="str">
        <f t="shared" si="1759"/>
        <v>COM</v>
      </c>
      <c r="G9341" t="str">
        <f>"MANOEL DE JESUS ALMEIDA (1017)"</f>
        <v>MANOEL DE JESUS ALMEIDA (1017)</v>
      </c>
      <c r="H9341" t="s">
        <v>2673</v>
      </c>
      <c r="I9341" t="str">
        <f t="shared" si="1764"/>
        <v>06/11/2025</v>
      </c>
      <c r="J9341" t="str">
        <f t="shared" si="1767"/>
        <v>03/11/2025</v>
      </c>
      <c r="K9341">
        <v>45967</v>
      </c>
      <c r="N9341">
        <v>109</v>
      </c>
      <c r="O9341" t="s">
        <v>24</v>
      </c>
      <c r="Q9341">
        <v>416.62</v>
      </c>
      <c r="R9341" t="str">
        <f>"PENSE FARMA 05 (10200)"</f>
        <v>PENSE FARMA 05 (10200)</v>
      </c>
      <c r="S9341" t="s">
        <v>77</v>
      </c>
      <c r="T9341">
        <v>20719</v>
      </c>
      <c r="U9341">
        <v>24614</v>
      </c>
      <c r="V9341" t="s">
        <v>77</v>
      </c>
    </row>
    <row r="9342" spans="1:22">
      <c r="A9342" t="str">
        <f t="shared" si="1758"/>
        <v>06/11/2025</v>
      </c>
      <c r="B9342" t="str">
        <f t="shared" si="1760"/>
        <v>SAÍDA</v>
      </c>
      <c r="C9342" t="str">
        <f t="shared" si="1761"/>
        <v>PIX</v>
      </c>
      <c r="D9342" t="str">
        <f>"24614"</f>
        <v>24614</v>
      </c>
      <c r="E9342" t="str">
        <f t="shared" si="1752"/>
        <v>1</v>
      </c>
      <c r="F9342" t="str">
        <f t="shared" si="1759"/>
        <v>COM</v>
      </c>
      <c r="G9342" t="str">
        <f>"MANOEL DE JESUS ALMEIDA (1017)"</f>
        <v>MANOEL DE JESUS ALMEIDA (1017)</v>
      </c>
      <c r="H9342" t="s">
        <v>2673</v>
      </c>
      <c r="I9342" t="str">
        <f t="shared" si="1764"/>
        <v>06/11/2025</v>
      </c>
      <c r="J9342" t="str">
        <f t="shared" si="1767"/>
        <v>03/11/2025</v>
      </c>
      <c r="K9342">
        <v>45967</v>
      </c>
      <c r="N9342">
        <v>109</v>
      </c>
      <c r="O9342" t="s">
        <v>24</v>
      </c>
      <c r="Q9342">
        <v>416.63</v>
      </c>
      <c r="R9342" t="str">
        <f>"PENSE FARMA 13 (10202)"</f>
        <v>PENSE FARMA 13 (10202)</v>
      </c>
      <c r="S9342" t="s">
        <v>77</v>
      </c>
      <c r="T9342">
        <v>20719</v>
      </c>
      <c r="U9342">
        <v>24614</v>
      </c>
      <c r="V9342" t="s">
        <v>77</v>
      </c>
    </row>
    <row r="9343" spans="1:22">
      <c r="A9343" t="str">
        <f t="shared" si="1758"/>
        <v>06/11/2025</v>
      </c>
      <c r="B9343" t="str">
        <f t="shared" si="1760"/>
        <v>SAÍDA</v>
      </c>
      <c r="C9343" t="str">
        <f t="shared" si="1761"/>
        <v>PIX</v>
      </c>
      <c r="D9343" t="str">
        <f>"24614"</f>
        <v>24614</v>
      </c>
      <c r="E9343" t="str">
        <f t="shared" si="1752"/>
        <v>1</v>
      </c>
      <c r="F9343" t="str">
        <f t="shared" si="1759"/>
        <v>COM</v>
      </c>
      <c r="G9343" t="str">
        <f>"MANOEL DE JESUS ALMEIDA (1017)"</f>
        <v>MANOEL DE JESUS ALMEIDA (1017)</v>
      </c>
      <c r="H9343" t="s">
        <v>2673</v>
      </c>
      <c r="I9343" t="str">
        <f t="shared" si="1764"/>
        <v>06/11/2025</v>
      </c>
      <c r="J9343" t="str">
        <f t="shared" si="1767"/>
        <v>03/11/2025</v>
      </c>
      <c r="K9343">
        <v>45967</v>
      </c>
      <c r="N9343">
        <v>109</v>
      </c>
      <c r="O9343" t="s">
        <v>24</v>
      </c>
      <c r="Q9343">
        <v>416.75</v>
      </c>
      <c r="R9343" t="str">
        <f>"PENSE FARMA 27 (10204)"</f>
        <v>PENSE FARMA 27 (10204)</v>
      </c>
      <c r="S9343" t="s">
        <v>77</v>
      </c>
      <c r="T9343">
        <v>20719</v>
      </c>
      <c r="U9343">
        <v>24614</v>
      </c>
      <c r="V9343" t="s">
        <v>77</v>
      </c>
    </row>
    <row r="9344" spans="1:22">
      <c r="A9344" t="str">
        <f t="shared" si="1758"/>
        <v>06/11/2025</v>
      </c>
      <c r="B9344" t="str">
        <f t="shared" si="1760"/>
        <v>SAÍDA</v>
      </c>
      <c r="C9344" t="str">
        <f t="shared" si="1761"/>
        <v>PIX</v>
      </c>
      <c r="D9344" t="str">
        <f>"24616"</f>
        <v>24616</v>
      </c>
      <c r="E9344" t="str">
        <f t="shared" si="1752"/>
        <v>1</v>
      </c>
      <c r="F9344" t="str">
        <f t="shared" si="1759"/>
        <v>COM</v>
      </c>
      <c r="G9344" t="str">
        <f>"ERIC RODRIGUES TEIXEIRA (939)"</f>
        <v>ERIC RODRIGUES TEIXEIRA (939)</v>
      </c>
      <c r="H9344" t="str">
        <f>"Serv.Prest. 27/10/2025 a 02/11/2025 - PIX: CELULAR - CHAVE: (11) 95038-0621"</f>
        <v>Serv.Prest. 27/10/2025 a 02/11/2025 - PIX: CELULAR - CHAVE: (11) 95038-0621</v>
      </c>
      <c r="I9344" t="str">
        <f t="shared" si="1764"/>
        <v>06/11/2025</v>
      </c>
      <c r="J9344" t="str">
        <f t="shared" si="1767"/>
        <v>03/11/2025</v>
      </c>
      <c r="K9344" t="str">
        <f>("06/11/2025")</f>
        <v>06/11/2025</v>
      </c>
      <c r="L9344">
        <v>1250</v>
      </c>
      <c r="M9344">
        <v>1250</v>
      </c>
      <c r="N9344">
        <v>109</v>
      </c>
      <c r="O9344" t="str">
        <f>"PAGAMENTO DE ENTREGADORES"</f>
        <v>PAGAMENTO DE ENTREGADORES</v>
      </c>
      <c r="P9344">
        <v>1250</v>
      </c>
      <c r="S9344" t="str">
        <f>"BANCO C6 (149)"</f>
        <v>BANCO C6 (149)</v>
      </c>
      <c r="T9344">
        <v>20720</v>
      </c>
      <c r="U9344">
        <v>24616</v>
      </c>
      <c r="V9344" t="s">
        <v>77</v>
      </c>
    </row>
    <row r="9345" spans="1:22">
      <c r="A9345" t="str">
        <f t="shared" si="1758"/>
        <v>06/11/2025</v>
      </c>
      <c r="B9345" t="str">
        <f t="shared" si="1760"/>
        <v>SAÍDA</v>
      </c>
      <c r="C9345" t="str">
        <f t="shared" si="1761"/>
        <v>PIX</v>
      </c>
      <c r="D9345" t="str">
        <f>"24616"</f>
        <v>24616</v>
      </c>
      <c r="E9345" t="str">
        <f t="shared" si="1752"/>
        <v>1</v>
      </c>
      <c r="F9345" t="str">
        <f t="shared" si="1759"/>
        <v>COM</v>
      </c>
      <c r="G9345" t="str">
        <f>"ERIC RODRIGUES TEIXEIRA (939)"</f>
        <v>ERIC RODRIGUES TEIXEIRA (939)</v>
      </c>
      <c r="H9345" t="s">
        <v>2445</v>
      </c>
      <c r="I9345" t="str">
        <f t="shared" si="1764"/>
        <v>06/11/2025</v>
      </c>
      <c r="J9345" t="str">
        <f t="shared" si="1767"/>
        <v>03/11/2025</v>
      </c>
      <c r="K9345">
        <v>45967</v>
      </c>
      <c r="N9345">
        <v>109</v>
      </c>
      <c r="O9345" t="s">
        <v>24</v>
      </c>
      <c r="Q9345">
        <v>416.62</v>
      </c>
      <c r="R9345" t="str">
        <f>"PENSE FARMA 07 (10201)"</f>
        <v>PENSE FARMA 07 (10201)</v>
      </c>
      <c r="S9345" t="s">
        <v>77</v>
      </c>
      <c r="T9345">
        <v>20720</v>
      </c>
      <c r="U9345">
        <v>24616</v>
      </c>
      <c r="V9345" t="s">
        <v>77</v>
      </c>
    </row>
    <row r="9346" spans="1:22">
      <c r="A9346" t="str">
        <f t="shared" si="1758"/>
        <v>06/11/2025</v>
      </c>
      <c r="B9346" t="str">
        <f t="shared" si="1760"/>
        <v>SAÍDA</v>
      </c>
      <c r="C9346" t="str">
        <f t="shared" si="1761"/>
        <v>PIX</v>
      </c>
      <c r="D9346" t="str">
        <f>"24616"</f>
        <v>24616</v>
      </c>
      <c r="E9346" t="str">
        <f t="shared" si="1752"/>
        <v>1</v>
      </c>
      <c r="F9346" t="str">
        <f t="shared" si="1759"/>
        <v>COM</v>
      </c>
      <c r="G9346" t="str">
        <f>"ERIC RODRIGUES TEIXEIRA (939)"</f>
        <v>ERIC RODRIGUES TEIXEIRA (939)</v>
      </c>
      <c r="H9346" t="s">
        <v>2445</v>
      </c>
      <c r="I9346" t="str">
        <f t="shared" si="1764"/>
        <v>06/11/2025</v>
      </c>
      <c r="J9346" t="str">
        <f t="shared" si="1767"/>
        <v>03/11/2025</v>
      </c>
      <c r="K9346">
        <v>45967</v>
      </c>
      <c r="N9346">
        <v>109</v>
      </c>
      <c r="O9346" t="s">
        <v>24</v>
      </c>
      <c r="Q9346">
        <v>416.63</v>
      </c>
      <c r="R9346" t="str">
        <f>"PENSE FARMA 45 (10209)"</f>
        <v>PENSE FARMA 45 (10209)</v>
      </c>
      <c r="S9346" t="s">
        <v>77</v>
      </c>
      <c r="T9346">
        <v>20720</v>
      </c>
      <c r="U9346">
        <v>24616</v>
      </c>
      <c r="V9346" t="s">
        <v>77</v>
      </c>
    </row>
    <row r="9347" spans="1:22">
      <c r="A9347" t="str">
        <f t="shared" si="1758"/>
        <v>06/11/2025</v>
      </c>
      <c r="B9347" t="str">
        <f t="shared" si="1760"/>
        <v>SAÍDA</v>
      </c>
      <c r="C9347" t="str">
        <f t="shared" si="1761"/>
        <v>PIX</v>
      </c>
      <c r="D9347" t="str">
        <f>"24616"</f>
        <v>24616</v>
      </c>
      <c r="E9347" t="str">
        <f t="shared" si="1752"/>
        <v>1</v>
      </c>
      <c r="F9347" t="str">
        <f t="shared" si="1759"/>
        <v>COM</v>
      </c>
      <c r="G9347" t="str">
        <f>"ERIC RODRIGUES TEIXEIRA (939)"</f>
        <v>ERIC RODRIGUES TEIXEIRA (939)</v>
      </c>
      <c r="H9347" t="s">
        <v>2445</v>
      </c>
      <c r="I9347" t="str">
        <f t="shared" si="1764"/>
        <v>06/11/2025</v>
      </c>
      <c r="J9347" t="str">
        <f t="shared" si="1767"/>
        <v>03/11/2025</v>
      </c>
      <c r="K9347">
        <v>45967</v>
      </c>
      <c r="N9347">
        <v>109</v>
      </c>
      <c r="O9347" t="s">
        <v>24</v>
      </c>
      <c r="Q9347">
        <v>416.75</v>
      </c>
      <c r="R9347" t="str">
        <f>"PENSE FARMA 50 (10210)"</f>
        <v>PENSE FARMA 50 (10210)</v>
      </c>
      <c r="S9347" t="s">
        <v>77</v>
      </c>
      <c r="T9347">
        <v>20720</v>
      </c>
      <c r="U9347">
        <v>24616</v>
      </c>
      <c r="V9347" t="s">
        <v>77</v>
      </c>
    </row>
    <row r="9348" spans="1:22">
      <c r="A9348" t="str">
        <f t="shared" si="1758"/>
        <v>06/11/2025</v>
      </c>
      <c r="B9348" t="str">
        <f t="shared" si="1760"/>
        <v>SAÍDA</v>
      </c>
      <c r="C9348" t="str">
        <f t="shared" si="1761"/>
        <v>PIX</v>
      </c>
      <c r="D9348" t="str">
        <f>"24618"</f>
        <v>24618</v>
      </c>
      <c r="E9348" t="str">
        <f t="shared" si="1752"/>
        <v>1</v>
      </c>
      <c r="F9348" t="str">
        <f t="shared" si="1759"/>
        <v>COM</v>
      </c>
      <c r="G9348" t="str">
        <f>"DARIO GILIARD DE BARROS OLIVEIRA (1011)"</f>
        <v>DARIO GILIARD DE BARROS OLIVEIRA (1011)</v>
      </c>
      <c r="H9348" t="str">
        <f>"Serv.Prest. 27/10/2025 a 02/11/2025 - PIX: CELULAR - CHAVE: (11) 96409-0865"</f>
        <v>Serv.Prest. 27/10/2025 a 02/11/2025 - PIX: CELULAR - CHAVE: (11) 96409-0865</v>
      </c>
      <c r="I9348" t="str">
        <f t="shared" si="1764"/>
        <v>06/11/2025</v>
      </c>
      <c r="J9348" t="str">
        <f t="shared" si="1767"/>
        <v>03/11/2025</v>
      </c>
      <c r="K9348" t="str">
        <f>("06/11/2025")</f>
        <v>06/11/2025</v>
      </c>
      <c r="L9348">
        <v>700</v>
      </c>
      <c r="M9348">
        <v>700</v>
      </c>
      <c r="N9348">
        <v>109</v>
      </c>
      <c r="O9348" t="str">
        <f>"PAGAMENTO DE ENTREGADORES"</f>
        <v>PAGAMENTO DE ENTREGADORES</v>
      </c>
      <c r="P9348">
        <v>700</v>
      </c>
      <c r="S9348" t="str">
        <f>"BANCO C6 (149)"</f>
        <v>BANCO C6 (149)</v>
      </c>
      <c r="T9348">
        <v>20721</v>
      </c>
      <c r="U9348">
        <v>24618</v>
      </c>
      <c r="V9348" t="s">
        <v>77</v>
      </c>
    </row>
    <row r="9349" spans="1:22">
      <c r="A9349" t="str">
        <f t="shared" si="1758"/>
        <v>06/11/2025</v>
      </c>
      <c r="B9349" t="str">
        <f t="shared" si="1760"/>
        <v>SAÍDA</v>
      </c>
      <c r="C9349" t="str">
        <f t="shared" si="1761"/>
        <v>PIX</v>
      </c>
      <c r="D9349" t="str">
        <f>"24618"</f>
        <v>24618</v>
      </c>
      <c r="E9349" t="str">
        <f t="shared" si="1752"/>
        <v>1</v>
      </c>
      <c r="F9349" t="str">
        <f t="shared" si="1759"/>
        <v>COM</v>
      </c>
      <c r="G9349" t="str">
        <f>"DARIO GILIARD DE BARROS OLIVEIRA (1011)"</f>
        <v>DARIO GILIARD DE BARROS OLIVEIRA (1011)</v>
      </c>
      <c r="H9349" t="s">
        <v>2674</v>
      </c>
      <c r="I9349" t="str">
        <f t="shared" si="1764"/>
        <v>06/11/2025</v>
      </c>
      <c r="J9349" t="str">
        <f t="shared" si="1767"/>
        <v>03/11/2025</v>
      </c>
      <c r="K9349">
        <v>45967</v>
      </c>
      <c r="N9349">
        <v>109</v>
      </c>
      <c r="O9349" t="s">
        <v>24</v>
      </c>
      <c r="Q9349">
        <v>175</v>
      </c>
      <c r="R9349" t="str">
        <f>"PENSE FARMA 15 (10195)"</f>
        <v>PENSE FARMA 15 (10195)</v>
      </c>
      <c r="S9349" t="s">
        <v>77</v>
      </c>
      <c r="T9349">
        <v>20721</v>
      </c>
      <c r="U9349">
        <v>24618</v>
      </c>
      <c r="V9349" t="s">
        <v>77</v>
      </c>
    </row>
    <row r="9350" spans="1:22">
      <c r="A9350" t="str">
        <f t="shared" si="1758"/>
        <v>06/11/2025</v>
      </c>
      <c r="B9350" t="str">
        <f t="shared" si="1760"/>
        <v>SAÍDA</v>
      </c>
      <c r="C9350" t="str">
        <f t="shared" si="1761"/>
        <v>PIX</v>
      </c>
      <c r="D9350" t="str">
        <f>"24618"</f>
        <v>24618</v>
      </c>
      <c r="E9350" t="str">
        <f t="shared" ref="E9350:E9413" si="1770">"1"</f>
        <v>1</v>
      </c>
      <c r="F9350" t="str">
        <f t="shared" si="1759"/>
        <v>COM</v>
      </c>
      <c r="G9350" t="str">
        <f>"DARIO GILIARD DE BARROS OLIVEIRA (1011)"</f>
        <v>DARIO GILIARD DE BARROS OLIVEIRA (1011)</v>
      </c>
      <c r="H9350" t="s">
        <v>2674</v>
      </c>
      <c r="I9350" t="str">
        <f t="shared" si="1764"/>
        <v>06/11/2025</v>
      </c>
      <c r="J9350" t="str">
        <f t="shared" si="1767"/>
        <v>03/11/2025</v>
      </c>
      <c r="K9350">
        <v>45967</v>
      </c>
      <c r="N9350">
        <v>109</v>
      </c>
      <c r="O9350" t="s">
        <v>24</v>
      </c>
      <c r="Q9350">
        <v>175</v>
      </c>
      <c r="R9350" t="str">
        <f>"PENSE FARMA 26 (10196)"</f>
        <v>PENSE FARMA 26 (10196)</v>
      </c>
      <c r="S9350" t="s">
        <v>77</v>
      </c>
      <c r="T9350">
        <v>20721</v>
      </c>
      <c r="U9350">
        <v>24618</v>
      </c>
      <c r="V9350" t="s">
        <v>77</v>
      </c>
    </row>
    <row r="9351" spans="1:22">
      <c r="A9351" t="str">
        <f t="shared" si="1758"/>
        <v>06/11/2025</v>
      </c>
      <c r="B9351" t="str">
        <f t="shared" si="1760"/>
        <v>SAÍDA</v>
      </c>
      <c r="C9351" t="str">
        <f t="shared" si="1761"/>
        <v>PIX</v>
      </c>
      <c r="D9351" t="str">
        <f>"24618"</f>
        <v>24618</v>
      </c>
      <c r="E9351" t="str">
        <f t="shared" si="1770"/>
        <v>1</v>
      </c>
      <c r="F9351" t="str">
        <f t="shared" si="1759"/>
        <v>COM</v>
      </c>
      <c r="G9351" t="str">
        <f>"DARIO GILIARD DE BARROS OLIVEIRA (1011)"</f>
        <v>DARIO GILIARD DE BARROS OLIVEIRA (1011)</v>
      </c>
      <c r="H9351" t="s">
        <v>2674</v>
      </c>
      <c r="I9351" t="str">
        <f t="shared" si="1764"/>
        <v>06/11/2025</v>
      </c>
      <c r="J9351" t="str">
        <f t="shared" si="1767"/>
        <v>03/11/2025</v>
      </c>
      <c r="K9351">
        <v>45967</v>
      </c>
      <c r="N9351">
        <v>109</v>
      </c>
      <c r="O9351" t="s">
        <v>24</v>
      </c>
      <c r="Q9351">
        <v>175</v>
      </c>
      <c r="R9351" t="str">
        <f>"PENSE FARMA 60 (10197)"</f>
        <v>PENSE FARMA 60 (10197)</v>
      </c>
      <c r="S9351" t="s">
        <v>77</v>
      </c>
      <c r="T9351">
        <v>20721</v>
      </c>
      <c r="U9351">
        <v>24618</v>
      </c>
      <c r="V9351" t="s">
        <v>77</v>
      </c>
    </row>
    <row r="9352" spans="1:22">
      <c r="A9352" t="str">
        <f t="shared" si="1758"/>
        <v>06/11/2025</v>
      </c>
      <c r="B9352" t="str">
        <f t="shared" si="1760"/>
        <v>SAÍDA</v>
      </c>
      <c r="C9352" t="str">
        <f t="shared" si="1761"/>
        <v>PIX</v>
      </c>
      <c r="D9352" t="str">
        <f>"24618"</f>
        <v>24618</v>
      </c>
      <c r="E9352" t="str">
        <f t="shared" si="1770"/>
        <v>1</v>
      </c>
      <c r="F9352" t="str">
        <f t="shared" si="1759"/>
        <v>COM</v>
      </c>
      <c r="G9352" t="str">
        <f>"DARIO GILIARD DE BARROS OLIVEIRA (1011)"</f>
        <v>DARIO GILIARD DE BARROS OLIVEIRA (1011)</v>
      </c>
      <c r="H9352" t="s">
        <v>2674</v>
      </c>
      <c r="I9352" t="str">
        <f t="shared" si="1764"/>
        <v>06/11/2025</v>
      </c>
      <c r="J9352" t="str">
        <f t="shared" si="1767"/>
        <v>03/11/2025</v>
      </c>
      <c r="K9352">
        <v>45967</v>
      </c>
      <c r="N9352">
        <v>109</v>
      </c>
      <c r="O9352" t="s">
        <v>24</v>
      </c>
      <c r="Q9352">
        <v>175</v>
      </c>
      <c r="R9352" t="str">
        <f>"PENSE FARMA 61 (10243)"</f>
        <v>PENSE FARMA 61 (10243)</v>
      </c>
      <c r="S9352" t="s">
        <v>77</v>
      </c>
      <c r="T9352">
        <v>20721</v>
      </c>
      <c r="U9352">
        <v>24618</v>
      </c>
      <c r="V9352" t="s">
        <v>77</v>
      </c>
    </row>
    <row r="9353" spans="1:22">
      <c r="A9353" t="str">
        <f t="shared" si="1758"/>
        <v>06/11/2025</v>
      </c>
      <c r="B9353" t="str">
        <f t="shared" si="1760"/>
        <v>SAÍDA</v>
      </c>
      <c r="C9353" t="str">
        <f t="shared" si="1761"/>
        <v>PIX</v>
      </c>
      <c r="D9353" t="str">
        <f>"24620"</f>
        <v>24620</v>
      </c>
      <c r="E9353" t="str">
        <f t="shared" si="1770"/>
        <v>1</v>
      </c>
      <c r="F9353" t="str">
        <f t="shared" si="1759"/>
        <v>COM</v>
      </c>
      <c r="G9353" t="str">
        <f>"ITALO GONÇALVES (974)"</f>
        <v>ITALO GONÇALVES (974)</v>
      </c>
      <c r="H9353" t="str">
        <f>"Serv.Prest. 27/10/2025 a 02/11/2025 - PIX: CELULAR - CHAVE: (11) 99220-4018"</f>
        <v>Serv.Prest. 27/10/2025 a 02/11/2025 - PIX: CELULAR - CHAVE: (11) 99220-4018</v>
      </c>
      <c r="I9353" t="str">
        <f t="shared" si="1764"/>
        <v>06/11/2025</v>
      </c>
      <c r="J9353" t="str">
        <f t="shared" si="1767"/>
        <v>03/11/2025</v>
      </c>
      <c r="K9353" t="str">
        <f>("06/11/2025")</f>
        <v>06/11/2025</v>
      </c>
      <c r="L9353">
        <v>300</v>
      </c>
      <c r="M9353">
        <v>300</v>
      </c>
      <c r="N9353">
        <v>109</v>
      </c>
      <c r="O9353" t="str">
        <f>"PAGAMENTO DE ENTREGADORES"</f>
        <v>PAGAMENTO DE ENTREGADORES</v>
      </c>
      <c r="P9353">
        <v>300</v>
      </c>
      <c r="S9353" t="str">
        <f>"BANCO C6 (149)"</f>
        <v>BANCO C6 (149)</v>
      </c>
      <c r="T9353">
        <v>20722</v>
      </c>
      <c r="U9353">
        <v>24620</v>
      </c>
      <c r="V9353" t="s">
        <v>77</v>
      </c>
    </row>
    <row r="9354" spans="1:22">
      <c r="A9354" t="str">
        <f t="shared" si="1758"/>
        <v>06/11/2025</v>
      </c>
      <c r="B9354" t="str">
        <f t="shared" si="1760"/>
        <v>SAÍDA</v>
      </c>
      <c r="C9354" t="str">
        <f t="shared" si="1761"/>
        <v>PIX</v>
      </c>
      <c r="D9354" t="str">
        <f>"24620"</f>
        <v>24620</v>
      </c>
      <c r="E9354" t="str">
        <f t="shared" si="1770"/>
        <v>1</v>
      </c>
      <c r="F9354" t="str">
        <f t="shared" si="1759"/>
        <v>COM</v>
      </c>
      <c r="G9354" t="str">
        <f>"ITALO GONÇALVES (974)"</f>
        <v>ITALO GONÇALVES (974)</v>
      </c>
      <c r="H9354" t="s">
        <v>2675</v>
      </c>
      <c r="I9354" t="str">
        <f t="shared" si="1764"/>
        <v>06/11/2025</v>
      </c>
      <c r="J9354" t="str">
        <f t="shared" si="1767"/>
        <v>03/11/2025</v>
      </c>
      <c r="K9354">
        <v>45967</v>
      </c>
      <c r="N9354">
        <v>109</v>
      </c>
      <c r="O9354" t="s">
        <v>24</v>
      </c>
      <c r="Q9354">
        <v>75</v>
      </c>
      <c r="R9354" t="str">
        <f>"PENSE FARMA 15 (10195)"</f>
        <v>PENSE FARMA 15 (10195)</v>
      </c>
      <c r="S9354" t="s">
        <v>77</v>
      </c>
      <c r="T9354">
        <v>20722</v>
      </c>
      <c r="U9354">
        <v>24620</v>
      </c>
      <c r="V9354" t="s">
        <v>77</v>
      </c>
    </row>
    <row r="9355" spans="1:22">
      <c r="A9355" t="str">
        <f t="shared" si="1758"/>
        <v>06/11/2025</v>
      </c>
      <c r="B9355" t="str">
        <f t="shared" si="1760"/>
        <v>SAÍDA</v>
      </c>
      <c r="C9355" t="str">
        <f t="shared" si="1761"/>
        <v>PIX</v>
      </c>
      <c r="D9355" t="str">
        <f>"24620"</f>
        <v>24620</v>
      </c>
      <c r="E9355" t="str">
        <f t="shared" si="1770"/>
        <v>1</v>
      </c>
      <c r="F9355" t="str">
        <f t="shared" si="1759"/>
        <v>COM</v>
      </c>
      <c r="G9355" t="str">
        <f>"ITALO GONÇALVES (974)"</f>
        <v>ITALO GONÇALVES (974)</v>
      </c>
      <c r="H9355" t="s">
        <v>2675</v>
      </c>
      <c r="I9355" t="str">
        <f t="shared" si="1764"/>
        <v>06/11/2025</v>
      </c>
      <c r="J9355" t="str">
        <f t="shared" si="1767"/>
        <v>03/11/2025</v>
      </c>
      <c r="K9355">
        <v>45967</v>
      </c>
      <c r="N9355">
        <v>109</v>
      </c>
      <c r="O9355" t="s">
        <v>24</v>
      </c>
      <c r="Q9355">
        <v>75</v>
      </c>
      <c r="R9355" t="str">
        <f>"PENSE FARMA 26 (10196)"</f>
        <v>PENSE FARMA 26 (10196)</v>
      </c>
      <c r="S9355" t="s">
        <v>77</v>
      </c>
      <c r="T9355">
        <v>20722</v>
      </c>
      <c r="U9355">
        <v>24620</v>
      </c>
      <c r="V9355" t="s">
        <v>77</v>
      </c>
    </row>
    <row r="9356" spans="1:22">
      <c r="A9356" t="str">
        <f t="shared" si="1758"/>
        <v>06/11/2025</v>
      </c>
      <c r="B9356" t="str">
        <f t="shared" si="1760"/>
        <v>SAÍDA</v>
      </c>
      <c r="C9356" t="str">
        <f t="shared" si="1761"/>
        <v>PIX</v>
      </c>
      <c r="D9356" t="str">
        <f>"24620"</f>
        <v>24620</v>
      </c>
      <c r="E9356" t="str">
        <f t="shared" si="1770"/>
        <v>1</v>
      </c>
      <c r="F9356" t="str">
        <f t="shared" si="1759"/>
        <v>COM</v>
      </c>
      <c r="G9356" t="str">
        <f>"ITALO GONÇALVES (974)"</f>
        <v>ITALO GONÇALVES (974)</v>
      </c>
      <c r="H9356" t="s">
        <v>2675</v>
      </c>
      <c r="I9356" t="str">
        <f t="shared" si="1764"/>
        <v>06/11/2025</v>
      </c>
      <c r="J9356" t="str">
        <f t="shared" si="1767"/>
        <v>03/11/2025</v>
      </c>
      <c r="K9356">
        <v>45967</v>
      </c>
      <c r="N9356">
        <v>109</v>
      </c>
      <c r="O9356" t="s">
        <v>24</v>
      </c>
      <c r="Q9356">
        <v>75</v>
      </c>
      <c r="R9356" t="str">
        <f>"PENSE FARMA 60 (10197)"</f>
        <v>PENSE FARMA 60 (10197)</v>
      </c>
      <c r="S9356" t="s">
        <v>77</v>
      </c>
      <c r="T9356">
        <v>20722</v>
      </c>
      <c r="U9356">
        <v>24620</v>
      </c>
      <c r="V9356" t="s">
        <v>77</v>
      </c>
    </row>
    <row r="9357" spans="1:22">
      <c r="A9357" t="str">
        <f t="shared" si="1758"/>
        <v>06/11/2025</v>
      </c>
      <c r="B9357" t="str">
        <f t="shared" si="1760"/>
        <v>SAÍDA</v>
      </c>
      <c r="C9357" t="str">
        <f t="shared" si="1761"/>
        <v>PIX</v>
      </c>
      <c r="D9357" t="str">
        <f>"24620"</f>
        <v>24620</v>
      </c>
      <c r="E9357" t="str">
        <f t="shared" si="1770"/>
        <v>1</v>
      </c>
      <c r="F9357" t="str">
        <f t="shared" si="1759"/>
        <v>COM</v>
      </c>
      <c r="G9357" t="str">
        <f>"ITALO GONÇALVES (974)"</f>
        <v>ITALO GONÇALVES (974)</v>
      </c>
      <c r="H9357" t="s">
        <v>2675</v>
      </c>
      <c r="I9357" t="str">
        <f t="shared" si="1764"/>
        <v>06/11/2025</v>
      </c>
      <c r="J9357" t="str">
        <f t="shared" si="1767"/>
        <v>03/11/2025</v>
      </c>
      <c r="K9357">
        <v>45967</v>
      </c>
      <c r="N9357">
        <v>109</v>
      </c>
      <c r="O9357" t="s">
        <v>24</v>
      </c>
      <c r="Q9357">
        <v>75</v>
      </c>
      <c r="R9357" t="str">
        <f>"PENSE FARMA 61 (10243)"</f>
        <v>PENSE FARMA 61 (10243)</v>
      </c>
      <c r="S9357" t="s">
        <v>77</v>
      </c>
      <c r="T9357">
        <v>20722</v>
      </c>
      <c r="U9357">
        <v>24620</v>
      </c>
      <c r="V9357" t="s">
        <v>77</v>
      </c>
    </row>
    <row r="9358" spans="1:22">
      <c r="A9358" t="str">
        <f t="shared" si="1758"/>
        <v>06/11/2025</v>
      </c>
      <c r="B9358" t="str">
        <f t="shared" si="1760"/>
        <v>SAÍDA</v>
      </c>
      <c r="C9358" t="str">
        <f t="shared" si="1761"/>
        <v>PIX</v>
      </c>
      <c r="D9358" t="str">
        <f>"24621"</f>
        <v>24621</v>
      </c>
      <c r="E9358" t="str">
        <f t="shared" si="1770"/>
        <v>1</v>
      </c>
      <c r="F9358" t="str">
        <f t="shared" si="1759"/>
        <v>COM</v>
      </c>
      <c r="G9358" t="str">
        <f>"JEFFERSON AMORIM DA SILVA (940)"</f>
        <v>JEFFERSON AMORIM DA SILVA (940)</v>
      </c>
      <c r="H9358" t="str">
        <f>"Serv.Prest. 27/10/2025 a 02/11/2025 - PIX: CELULAR - CHAVE: (11) 98447-6954"</f>
        <v>Serv.Prest. 27/10/2025 a 02/11/2025 - PIX: CELULAR - CHAVE: (11) 98447-6954</v>
      </c>
      <c r="I9358" t="str">
        <f t="shared" si="1764"/>
        <v>06/11/2025</v>
      </c>
      <c r="J9358" t="str">
        <f t="shared" si="1767"/>
        <v>03/11/2025</v>
      </c>
      <c r="K9358" t="str">
        <f>("06/11/2025")</f>
        <v>06/11/2025</v>
      </c>
      <c r="L9358">
        <v>700</v>
      </c>
      <c r="M9358">
        <v>700</v>
      </c>
      <c r="N9358">
        <v>109</v>
      </c>
      <c r="O9358" t="str">
        <f>"PAGAMENTO DE ENTREGADORES"</f>
        <v>PAGAMENTO DE ENTREGADORES</v>
      </c>
      <c r="P9358">
        <v>700</v>
      </c>
      <c r="S9358" t="str">
        <f>"BANCO C6 (149)"</f>
        <v>BANCO C6 (149)</v>
      </c>
      <c r="T9358">
        <v>20723</v>
      </c>
      <c r="U9358">
        <v>24621</v>
      </c>
      <c r="V9358" t="s">
        <v>77</v>
      </c>
    </row>
    <row r="9359" spans="1:22">
      <c r="A9359" t="str">
        <f t="shared" si="1758"/>
        <v>06/11/2025</v>
      </c>
      <c r="B9359" t="str">
        <f t="shared" si="1760"/>
        <v>SAÍDA</v>
      </c>
      <c r="C9359" t="str">
        <f t="shared" si="1761"/>
        <v>PIX</v>
      </c>
      <c r="D9359" t="str">
        <f>"24621"</f>
        <v>24621</v>
      </c>
      <c r="E9359" t="str">
        <f t="shared" si="1770"/>
        <v>1</v>
      </c>
      <c r="F9359" t="str">
        <f t="shared" si="1759"/>
        <v>COM</v>
      </c>
      <c r="G9359" t="str">
        <f>"JEFFERSON AMORIM DA SILVA (940)"</f>
        <v>JEFFERSON AMORIM DA SILVA (940)</v>
      </c>
      <c r="H9359" t="s">
        <v>2676</v>
      </c>
      <c r="I9359" t="str">
        <f t="shared" si="1764"/>
        <v>06/11/2025</v>
      </c>
      <c r="J9359" t="str">
        <f t="shared" si="1767"/>
        <v>03/11/2025</v>
      </c>
      <c r="K9359">
        <v>45967</v>
      </c>
      <c r="N9359">
        <v>109</v>
      </c>
      <c r="O9359" t="s">
        <v>24</v>
      </c>
      <c r="Q9359">
        <v>175</v>
      </c>
      <c r="R9359" t="str">
        <f>"PENSE FARMA 15 (10195)"</f>
        <v>PENSE FARMA 15 (10195)</v>
      </c>
      <c r="S9359" t="s">
        <v>77</v>
      </c>
      <c r="T9359">
        <v>20723</v>
      </c>
      <c r="U9359">
        <v>24621</v>
      </c>
      <c r="V9359" t="s">
        <v>77</v>
      </c>
    </row>
    <row r="9360" spans="1:22">
      <c r="A9360" t="str">
        <f t="shared" si="1758"/>
        <v>06/11/2025</v>
      </c>
      <c r="B9360" t="str">
        <f t="shared" si="1760"/>
        <v>SAÍDA</v>
      </c>
      <c r="C9360" t="str">
        <f t="shared" si="1761"/>
        <v>PIX</v>
      </c>
      <c r="D9360" t="str">
        <f>"24621"</f>
        <v>24621</v>
      </c>
      <c r="E9360" t="str">
        <f t="shared" si="1770"/>
        <v>1</v>
      </c>
      <c r="F9360" t="str">
        <f t="shared" si="1759"/>
        <v>COM</v>
      </c>
      <c r="G9360" t="str">
        <f>"JEFFERSON AMORIM DA SILVA (940)"</f>
        <v>JEFFERSON AMORIM DA SILVA (940)</v>
      </c>
      <c r="H9360" t="s">
        <v>2676</v>
      </c>
      <c r="I9360" t="str">
        <f t="shared" si="1764"/>
        <v>06/11/2025</v>
      </c>
      <c r="J9360" t="str">
        <f t="shared" ref="J9360:J9391" si="1771">("03/11/2025")</f>
        <v>03/11/2025</v>
      </c>
      <c r="K9360">
        <v>45967</v>
      </c>
      <c r="N9360">
        <v>109</v>
      </c>
      <c r="O9360" t="s">
        <v>24</v>
      </c>
      <c r="Q9360">
        <v>175</v>
      </c>
      <c r="R9360" t="str">
        <f>"PENSE FARMA 26 (10196)"</f>
        <v>PENSE FARMA 26 (10196)</v>
      </c>
      <c r="S9360" t="s">
        <v>77</v>
      </c>
      <c r="T9360">
        <v>20723</v>
      </c>
      <c r="U9360">
        <v>24621</v>
      </c>
      <c r="V9360" t="s">
        <v>77</v>
      </c>
    </row>
    <row r="9361" spans="1:22">
      <c r="A9361" t="str">
        <f t="shared" si="1758"/>
        <v>06/11/2025</v>
      </c>
      <c r="B9361" t="str">
        <f t="shared" si="1760"/>
        <v>SAÍDA</v>
      </c>
      <c r="C9361" t="str">
        <f t="shared" si="1761"/>
        <v>PIX</v>
      </c>
      <c r="D9361" t="str">
        <f>"24621"</f>
        <v>24621</v>
      </c>
      <c r="E9361" t="str">
        <f t="shared" si="1770"/>
        <v>1</v>
      </c>
      <c r="F9361" t="str">
        <f t="shared" si="1759"/>
        <v>COM</v>
      </c>
      <c r="G9361" t="str">
        <f>"JEFFERSON AMORIM DA SILVA (940)"</f>
        <v>JEFFERSON AMORIM DA SILVA (940)</v>
      </c>
      <c r="H9361" t="s">
        <v>2676</v>
      </c>
      <c r="I9361" t="str">
        <f t="shared" si="1764"/>
        <v>06/11/2025</v>
      </c>
      <c r="J9361" t="str">
        <f t="shared" si="1771"/>
        <v>03/11/2025</v>
      </c>
      <c r="K9361">
        <v>45967</v>
      </c>
      <c r="N9361">
        <v>109</v>
      </c>
      <c r="O9361" t="s">
        <v>24</v>
      </c>
      <c r="Q9361">
        <v>175</v>
      </c>
      <c r="R9361" t="str">
        <f>"PENSE FARMA 60 (10197)"</f>
        <v>PENSE FARMA 60 (10197)</v>
      </c>
      <c r="S9361" t="s">
        <v>77</v>
      </c>
      <c r="T9361">
        <v>20723</v>
      </c>
      <c r="U9361">
        <v>24621</v>
      </c>
      <c r="V9361" t="s">
        <v>77</v>
      </c>
    </row>
    <row r="9362" spans="1:22">
      <c r="A9362" t="str">
        <f t="shared" si="1758"/>
        <v>06/11/2025</v>
      </c>
      <c r="B9362" t="str">
        <f t="shared" si="1760"/>
        <v>SAÍDA</v>
      </c>
      <c r="C9362" t="str">
        <f t="shared" si="1761"/>
        <v>PIX</v>
      </c>
      <c r="D9362" t="str">
        <f>"24621"</f>
        <v>24621</v>
      </c>
      <c r="E9362" t="str">
        <f t="shared" si="1770"/>
        <v>1</v>
      </c>
      <c r="F9362" t="str">
        <f t="shared" si="1759"/>
        <v>COM</v>
      </c>
      <c r="G9362" t="str">
        <f>"JEFFERSON AMORIM DA SILVA (940)"</f>
        <v>JEFFERSON AMORIM DA SILVA (940)</v>
      </c>
      <c r="H9362" t="s">
        <v>2676</v>
      </c>
      <c r="I9362" t="str">
        <f t="shared" si="1764"/>
        <v>06/11/2025</v>
      </c>
      <c r="J9362" t="str">
        <f t="shared" si="1771"/>
        <v>03/11/2025</v>
      </c>
      <c r="K9362">
        <v>45967</v>
      </c>
      <c r="N9362">
        <v>109</v>
      </c>
      <c r="O9362" t="s">
        <v>24</v>
      </c>
      <c r="Q9362">
        <v>175</v>
      </c>
      <c r="R9362" t="str">
        <f>"PENSE FARMA 61 (10243)"</f>
        <v>PENSE FARMA 61 (10243)</v>
      </c>
      <c r="S9362" t="s">
        <v>77</v>
      </c>
      <c r="T9362">
        <v>20723</v>
      </c>
      <c r="U9362">
        <v>24621</v>
      </c>
      <c r="V9362" t="s">
        <v>77</v>
      </c>
    </row>
    <row r="9363" spans="1:22">
      <c r="A9363" t="str">
        <f t="shared" si="1758"/>
        <v>06/11/2025</v>
      </c>
      <c r="B9363" t="str">
        <f t="shared" si="1760"/>
        <v>SAÍDA</v>
      </c>
      <c r="C9363" t="str">
        <f t="shared" si="1761"/>
        <v>PIX</v>
      </c>
      <c r="D9363" t="str">
        <f>"24622"</f>
        <v>24622</v>
      </c>
      <c r="E9363" t="str">
        <f t="shared" si="1770"/>
        <v>1</v>
      </c>
      <c r="F9363" t="str">
        <f t="shared" si="1759"/>
        <v>COM</v>
      </c>
      <c r="G9363" t="str">
        <f>"NATHAN PETRIN SOUSA DA SILVA (1049)"</f>
        <v>NATHAN PETRIN SOUSA DA SILVA (1049)</v>
      </c>
      <c r="H9363" t="str">
        <f>"Serv.Prest. 27/10/2025 a 02/11/2025 - PIX: CELULAR - CHAVE: (11) 98731-4534"</f>
        <v>Serv.Prest. 27/10/2025 a 02/11/2025 - PIX: CELULAR - CHAVE: (11) 98731-4534</v>
      </c>
      <c r="I9363" t="str">
        <f t="shared" si="1764"/>
        <v>06/11/2025</v>
      </c>
      <c r="J9363" t="str">
        <f t="shared" si="1771"/>
        <v>03/11/2025</v>
      </c>
      <c r="K9363" t="str">
        <f>("06/11/2025")</f>
        <v>06/11/2025</v>
      </c>
      <c r="L9363">
        <v>400</v>
      </c>
      <c r="M9363">
        <v>400</v>
      </c>
      <c r="N9363">
        <v>109</v>
      </c>
      <c r="O9363" t="str">
        <f>"PAGAMENTO DE ENTREGADORES"</f>
        <v>PAGAMENTO DE ENTREGADORES</v>
      </c>
      <c r="P9363">
        <v>400</v>
      </c>
      <c r="S9363" t="str">
        <f>"BANCO C6 (149)"</f>
        <v>BANCO C6 (149)</v>
      </c>
      <c r="T9363">
        <v>20724</v>
      </c>
      <c r="U9363">
        <v>24622</v>
      </c>
      <c r="V9363" t="s">
        <v>77</v>
      </c>
    </row>
    <row r="9364" spans="1:22">
      <c r="A9364" t="str">
        <f t="shared" si="1758"/>
        <v>06/11/2025</v>
      </c>
      <c r="B9364" t="str">
        <f t="shared" si="1760"/>
        <v>SAÍDA</v>
      </c>
      <c r="C9364" t="str">
        <f t="shared" si="1761"/>
        <v>PIX</v>
      </c>
      <c r="D9364" t="str">
        <f>"24622"</f>
        <v>24622</v>
      </c>
      <c r="E9364" t="str">
        <f t="shared" si="1770"/>
        <v>1</v>
      </c>
      <c r="F9364" t="str">
        <f t="shared" si="1759"/>
        <v>COM</v>
      </c>
      <c r="G9364" t="str">
        <f>"NATHAN PETRIN SOUSA DA SILVA (1049)"</f>
        <v>NATHAN PETRIN SOUSA DA SILVA (1049)</v>
      </c>
      <c r="H9364" t="s">
        <v>2182</v>
      </c>
      <c r="I9364" t="str">
        <f t="shared" si="1764"/>
        <v>06/11/2025</v>
      </c>
      <c r="J9364" t="str">
        <f t="shared" si="1771"/>
        <v>03/11/2025</v>
      </c>
      <c r="K9364">
        <v>45967</v>
      </c>
      <c r="N9364">
        <v>109</v>
      </c>
      <c r="O9364" t="s">
        <v>24</v>
      </c>
      <c r="Q9364">
        <v>100</v>
      </c>
      <c r="R9364" t="str">
        <f>"PENSE FARMA 15 (10195)"</f>
        <v>PENSE FARMA 15 (10195)</v>
      </c>
      <c r="S9364" t="s">
        <v>77</v>
      </c>
      <c r="T9364">
        <v>20724</v>
      </c>
      <c r="U9364">
        <v>24622</v>
      </c>
      <c r="V9364" t="s">
        <v>77</v>
      </c>
    </row>
    <row r="9365" spans="1:22">
      <c r="A9365" t="str">
        <f t="shared" si="1758"/>
        <v>06/11/2025</v>
      </c>
      <c r="B9365" t="str">
        <f t="shared" si="1760"/>
        <v>SAÍDA</v>
      </c>
      <c r="C9365" t="str">
        <f t="shared" si="1761"/>
        <v>PIX</v>
      </c>
      <c r="D9365" t="str">
        <f>"24622"</f>
        <v>24622</v>
      </c>
      <c r="E9365" t="str">
        <f t="shared" si="1770"/>
        <v>1</v>
      </c>
      <c r="F9365" t="str">
        <f t="shared" si="1759"/>
        <v>COM</v>
      </c>
      <c r="G9365" t="str">
        <f>"NATHAN PETRIN SOUSA DA SILVA (1049)"</f>
        <v>NATHAN PETRIN SOUSA DA SILVA (1049)</v>
      </c>
      <c r="H9365" t="s">
        <v>2182</v>
      </c>
      <c r="I9365" t="str">
        <f t="shared" si="1764"/>
        <v>06/11/2025</v>
      </c>
      <c r="J9365" t="str">
        <f t="shared" si="1771"/>
        <v>03/11/2025</v>
      </c>
      <c r="K9365">
        <v>45967</v>
      </c>
      <c r="N9365">
        <v>109</v>
      </c>
      <c r="O9365" t="s">
        <v>24</v>
      </c>
      <c r="Q9365">
        <v>100</v>
      </c>
      <c r="R9365" t="str">
        <f>"PENSE FARMA 26 (10196)"</f>
        <v>PENSE FARMA 26 (10196)</v>
      </c>
      <c r="S9365" t="s">
        <v>77</v>
      </c>
      <c r="T9365">
        <v>20724</v>
      </c>
      <c r="U9365">
        <v>24622</v>
      </c>
      <c r="V9365" t="s">
        <v>77</v>
      </c>
    </row>
    <row r="9366" spans="1:22">
      <c r="A9366" t="str">
        <f t="shared" si="1758"/>
        <v>06/11/2025</v>
      </c>
      <c r="B9366" t="str">
        <f t="shared" si="1760"/>
        <v>SAÍDA</v>
      </c>
      <c r="C9366" t="str">
        <f t="shared" si="1761"/>
        <v>PIX</v>
      </c>
      <c r="D9366" t="str">
        <f>"24622"</f>
        <v>24622</v>
      </c>
      <c r="E9366" t="str">
        <f t="shared" si="1770"/>
        <v>1</v>
      </c>
      <c r="F9366" t="str">
        <f t="shared" si="1759"/>
        <v>COM</v>
      </c>
      <c r="G9366" t="str">
        <f>"NATHAN PETRIN SOUSA DA SILVA (1049)"</f>
        <v>NATHAN PETRIN SOUSA DA SILVA (1049)</v>
      </c>
      <c r="H9366" t="s">
        <v>2182</v>
      </c>
      <c r="I9366" t="str">
        <f t="shared" si="1764"/>
        <v>06/11/2025</v>
      </c>
      <c r="J9366" t="str">
        <f t="shared" si="1771"/>
        <v>03/11/2025</v>
      </c>
      <c r="K9366">
        <v>45967</v>
      </c>
      <c r="N9366">
        <v>109</v>
      </c>
      <c r="O9366" t="s">
        <v>24</v>
      </c>
      <c r="Q9366">
        <v>100</v>
      </c>
      <c r="R9366" t="str">
        <f>"PENSE FARMA 60 (10197)"</f>
        <v>PENSE FARMA 60 (10197)</v>
      </c>
      <c r="S9366" t="s">
        <v>77</v>
      </c>
      <c r="T9366">
        <v>20724</v>
      </c>
      <c r="U9366">
        <v>24622</v>
      </c>
      <c r="V9366" t="s">
        <v>77</v>
      </c>
    </row>
    <row r="9367" spans="1:22">
      <c r="A9367" t="str">
        <f t="shared" si="1758"/>
        <v>06/11/2025</v>
      </c>
      <c r="B9367" t="str">
        <f t="shared" si="1760"/>
        <v>SAÍDA</v>
      </c>
      <c r="C9367" t="str">
        <f t="shared" si="1761"/>
        <v>PIX</v>
      </c>
      <c r="D9367" t="str">
        <f>"24622"</f>
        <v>24622</v>
      </c>
      <c r="E9367" t="str">
        <f t="shared" si="1770"/>
        <v>1</v>
      </c>
      <c r="F9367" t="str">
        <f t="shared" si="1759"/>
        <v>COM</v>
      </c>
      <c r="G9367" t="str">
        <f>"NATHAN PETRIN SOUSA DA SILVA (1049)"</f>
        <v>NATHAN PETRIN SOUSA DA SILVA (1049)</v>
      </c>
      <c r="H9367" t="s">
        <v>2182</v>
      </c>
      <c r="I9367" t="str">
        <f t="shared" si="1764"/>
        <v>06/11/2025</v>
      </c>
      <c r="J9367" t="str">
        <f t="shared" si="1771"/>
        <v>03/11/2025</v>
      </c>
      <c r="K9367">
        <v>45967</v>
      </c>
      <c r="N9367">
        <v>109</v>
      </c>
      <c r="O9367" t="s">
        <v>24</v>
      </c>
      <c r="Q9367">
        <v>100</v>
      </c>
      <c r="R9367" t="str">
        <f>"PENSE FARMA 61 (10243)"</f>
        <v>PENSE FARMA 61 (10243)</v>
      </c>
      <c r="S9367" t="s">
        <v>77</v>
      </c>
      <c r="T9367">
        <v>20724</v>
      </c>
      <c r="U9367">
        <v>24622</v>
      </c>
      <c r="V9367" t="s">
        <v>77</v>
      </c>
    </row>
    <row r="9368" spans="1:22">
      <c r="A9368" t="str">
        <f t="shared" si="1758"/>
        <v>06/11/2025</v>
      </c>
      <c r="B9368" t="str">
        <f t="shared" si="1760"/>
        <v>SAÍDA</v>
      </c>
      <c r="C9368" t="str">
        <f t="shared" si="1761"/>
        <v>PIX</v>
      </c>
      <c r="D9368" t="str">
        <f>"24627"</f>
        <v>24627</v>
      </c>
      <c r="E9368" t="str">
        <f t="shared" si="1770"/>
        <v>1</v>
      </c>
      <c r="F9368" t="str">
        <f t="shared" si="1759"/>
        <v>COM</v>
      </c>
      <c r="G9368" t="str">
        <f>"JULIEDERSON AGUIAR SANTOS (946)"</f>
        <v>JULIEDERSON AGUIAR SANTOS (946)</v>
      </c>
      <c r="H9368" t="str">
        <f>"Serv.Prest. 27/10/2025 a 02/11/2025 - PIX: CPF - CHAVE: 383.328.968-60"</f>
        <v>Serv.Prest. 27/10/2025 a 02/11/2025 - PIX: CPF - CHAVE: 383.328.968-60</v>
      </c>
      <c r="I9368" t="str">
        <f t="shared" si="1764"/>
        <v>06/11/2025</v>
      </c>
      <c r="J9368" t="str">
        <f t="shared" si="1771"/>
        <v>03/11/2025</v>
      </c>
      <c r="K9368" t="str">
        <f>("06/11/2025")</f>
        <v>06/11/2025</v>
      </c>
      <c r="L9368">
        <v>980</v>
      </c>
      <c r="M9368">
        <v>980</v>
      </c>
      <c r="N9368">
        <v>109</v>
      </c>
      <c r="O9368" t="str">
        <f>"PAGAMENTO DE ENTREGADORES"</f>
        <v>PAGAMENTO DE ENTREGADORES</v>
      </c>
      <c r="P9368">
        <v>980</v>
      </c>
      <c r="S9368" t="str">
        <f>"BANCO C6 (149)"</f>
        <v>BANCO C6 (149)</v>
      </c>
      <c r="T9368">
        <v>20725</v>
      </c>
      <c r="U9368">
        <v>24627</v>
      </c>
      <c r="V9368" t="s">
        <v>77</v>
      </c>
    </row>
    <row r="9369" spans="1:22">
      <c r="A9369" t="str">
        <f t="shared" si="1758"/>
        <v>06/11/2025</v>
      </c>
      <c r="B9369" t="str">
        <f t="shared" si="1760"/>
        <v>SAÍDA</v>
      </c>
      <c r="C9369" t="str">
        <f t="shared" si="1761"/>
        <v>PIX</v>
      </c>
      <c r="D9369" t="str">
        <f>"24627"</f>
        <v>24627</v>
      </c>
      <c r="E9369" t="str">
        <f t="shared" si="1770"/>
        <v>1</v>
      </c>
      <c r="F9369" t="str">
        <f t="shared" si="1759"/>
        <v>COM</v>
      </c>
      <c r="G9369" t="str">
        <f>"JULIEDERSON AGUIAR SANTOS (946)"</f>
        <v>JULIEDERSON AGUIAR SANTOS (946)</v>
      </c>
      <c r="H9369" t="s">
        <v>2677</v>
      </c>
      <c r="I9369" t="str">
        <f t="shared" si="1764"/>
        <v>06/11/2025</v>
      </c>
      <c r="J9369" t="str">
        <f t="shared" si="1771"/>
        <v>03/11/2025</v>
      </c>
      <c r="K9369">
        <v>45967</v>
      </c>
      <c r="N9369">
        <v>109</v>
      </c>
      <c r="O9369" t="s">
        <v>24</v>
      </c>
      <c r="Q9369">
        <v>980</v>
      </c>
      <c r="R9369" t="str">
        <f>"PENSE FARMA 22 (10198)"</f>
        <v>PENSE FARMA 22 (10198)</v>
      </c>
      <c r="S9369" t="s">
        <v>77</v>
      </c>
      <c r="T9369">
        <v>20725</v>
      </c>
      <c r="U9369">
        <v>24627</v>
      </c>
      <c r="V9369" t="s">
        <v>77</v>
      </c>
    </row>
    <row r="9370" spans="1:22">
      <c r="A9370" t="str">
        <f t="shared" si="1758"/>
        <v>06/11/2025</v>
      </c>
      <c r="B9370" t="str">
        <f t="shared" si="1760"/>
        <v>SAÍDA</v>
      </c>
      <c r="C9370" t="str">
        <f t="shared" si="1761"/>
        <v>PIX</v>
      </c>
      <c r="D9370" t="str">
        <f>"24629"</f>
        <v>24629</v>
      </c>
      <c r="E9370" t="str">
        <f t="shared" si="1770"/>
        <v>1</v>
      </c>
      <c r="F9370" t="str">
        <f t="shared" si="1759"/>
        <v>COM</v>
      </c>
      <c r="G9370" t="str">
        <f>"DEIVID FERNANDES COSTA (828)"</f>
        <v>DEIVID FERNANDES COSTA (828)</v>
      </c>
      <c r="H9370" t="str">
        <f>"Serv.Prest. 27/10/2025 a 02/11/2025 - PIX: CELULAR - CHAVE: (62) 99550-3226"</f>
        <v>Serv.Prest. 27/10/2025 a 02/11/2025 - PIX: CELULAR - CHAVE: (62) 99550-3226</v>
      </c>
      <c r="I9370" t="str">
        <f t="shared" si="1764"/>
        <v>06/11/2025</v>
      </c>
      <c r="J9370" t="str">
        <f t="shared" si="1771"/>
        <v>03/11/2025</v>
      </c>
      <c r="K9370" t="str">
        <f>("06/11/2025")</f>
        <v>06/11/2025</v>
      </c>
      <c r="L9370">
        <v>706.8</v>
      </c>
      <c r="M9370">
        <v>706.8</v>
      </c>
      <c r="N9370">
        <v>109</v>
      </c>
      <c r="O9370" t="str">
        <f>"PAGAMENTO DE ENTREGADORES"</f>
        <v>PAGAMENTO DE ENTREGADORES</v>
      </c>
      <c r="P9370">
        <v>706.8</v>
      </c>
      <c r="S9370" t="str">
        <f>"BANCO C6 (149)"</f>
        <v>BANCO C6 (149)</v>
      </c>
      <c r="T9370">
        <v>20726</v>
      </c>
      <c r="U9370">
        <v>24629</v>
      </c>
      <c r="V9370" t="s">
        <v>77</v>
      </c>
    </row>
    <row r="9371" spans="1:22">
      <c r="A9371" t="str">
        <f t="shared" si="1758"/>
        <v>06/11/2025</v>
      </c>
      <c r="B9371" t="str">
        <f t="shared" si="1760"/>
        <v>SAÍDA</v>
      </c>
      <c r="C9371" t="str">
        <f t="shared" si="1761"/>
        <v>PIX</v>
      </c>
      <c r="D9371" t="str">
        <f>"24629"</f>
        <v>24629</v>
      </c>
      <c r="E9371" t="str">
        <f t="shared" si="1770"/>
        <v>1</v>
      </c>
      <c r="F9371" t="str">
        <f t="shared" si="1759"/>
        <v>COM</v>
      </c>
      <c r="G9371" t="str">
        <f>"DEIVID FERNANDES COSTA (828)"</f>
        <v>DEIVID FERNANDES COSTA (828)</v>
      </c>
      <c r="H9371" t="s">
        <v>2422</v>
      </c>
      <c r="I9371" t="str">
        <f t="shared" si="1764"/>
        <v>06/11/2025</v>
      </c>
      <c r="J9371" t="str">
        <f t="shared" si="1771"/>
        <v>03/11/2025</v>
      </c>
      <c r="K9371">
        <v>45967</v>
      </c>
      <c r="N9371">
        <v>109</v>
      </c>
      <c r="O9371" t="s">
        <v>24</v>
      </c>
      <c r="Q9371">
        <v>706.8</v>
      </c>
      <c r="R9371" t="str">
        <f>"BRASIL FARMA (10173)"</f>
        <v>BRASIL FARMA (10173)</v>
      </c>
      <c r="S9371" t="s">
        <v>77</v>
      </c>
      <c r="T9371">
        <v>20726</v>
      </c>
      <c r="U9371">
        <v>24629</v>
      </c>
      <c r="V9371" t="s">
        <v>77</v>
      </c>
    </row>
    <row r="9372" spans="1:22">
      <c r="A9372" t="str">
        <f t="shared" si="1758"/>
        <v>06/11/2025</v>
      </c>
      <c r="B9372" t="str">
        <f t="shared" si="1760"/>
        <v>SAÍDA</v>
      </c>
      <c r="C9372" t="str">
        <f t="shared" si="1761"/>
        <v>PIX</v>
      </c>
      <c r="D9372" t="str">
        <f>"24630"</f>
        <v>24630</v>
      </c>
      <c r="E9372" t="str">
        <f t="shared" si="1770"/>
        <v>1</v>
      </c>
      <c r="F9372" t="str">
        <f t="shared" si="1759"/>
        <v>COM</v>
      </c>
      <c r="G9372" t="str">
        <f>"MAYKON LOPES DE MENEZES (781)"</f>
        <v>MAYKON LOPES DE MENEZES (781)</v>
      </c>
      <c r="H9372" t="str">
        <f>"Serv.Prest. 27/10/2025 a 02/11/2025 - PIX: CPF - CHAVE: 012.600.851-55"</f>
        <v>Serv.Prest. 27/10/2025 a 02/11/2025 - PIX: CPF - CHAVE: 012.600.851-55</v>
      </c>
      <c r="I9372" t="str">
        <f t="shared" si="1764"/>
        <v>06/11/2025</v>
      </c>
      <c r="J9372" t="str">
        <f t="shared" si="1771"/>
        <v>03/11/2025</v>
      </c>
      <c r="K9372" t="str">
        <f>("06/11/2025")</f>
        <v>06/11/2025</v>
      </c>
      <c r="L9372">
        <v>606.9</v>
      </c>
      <c r="M9372">
        <v>606.9</v>
      </c>
      <c r="N9372">
        <v>109</v>
      </c>
      <c r="O9372" t="str">
        <f>"PAGAMENTO DE ENTREGADORES"</f>
        <v>PAGAMENTO DE ENTREGADORES</v>
      </c>
      <c r="P9372">
        <v>606.9</v>
      </c>
      <c r="S9372" t="str">
        <f>"BANCO C6 (149)"</f>
        <v>BANCO C6 (149)</v>
      </c>
      <c r="T9372">
        <v>20727</v>
      </c>
      <c r="U9372">
        <v>24630</v>
      </c>
      <c r="V9372" t="s">
        <v>77</v>
      </c>
    </row>
    <row r="9373" spans="1:22">
      <c r="A9373" t="str">
        <f t="shared" si="1758"/>
        <v>06/11/2025</v>
      </c>
      <c r="B9373" t="str">
        <f t="shared" si="1760"/>
        <v>SAÍDA</v>
      </c>
      <c r="C9373" t="str">
        <f t="shared" si="1761"/>
        <v>PIX</v>
      </c>
      <c r="D9373" t="str">
        <f>"24630"</f>
        <v>24630</v>
      </c>
      <c r="E9373" t="str">
        <f t="shared" si="1770"/>
        <v>1</v>
      </c>
      <c r="F9373" t="str">
        <f t="shared" si="1759"/>
        <v>COM</v>
      </c>
      <c r="G9373" t="str">
        <f>"MAYKON LOPES DE MENEZES (781)"</f>
        <v>MAYKON LOPES DE MENEZES (781)</v>
      </c>
      <c r="H9373" t="s">
        <v>2678</v>
      </c>
      <c r="I9373" t="str">
        <f t="shared" si="1764"/>
        <v>06/11/2025</v>
      </c>
      <c r="J9373" t="str">
        <f t="shared" si="1771"/>
        <v>03/11/2025</v>
      </c>
      <c r="K9373">
        <v>45967</v>
      </c>
      <c r="N9373">
        <v>109</v>
      </c>
      <c r="O9373" t="s">
        <v>24</v>
      </c>
      <c r="Q9373">
        <v>606.9</v>
      </c>
      <c r="R9373" t="str">
        <f>"BRASIL FARMA (10173)"</f>
        <v>BRASIL FARMA (10173)</v>
      </c>
      <c r="S9373" t="s">
        <v>77</v>
      </c>
      <c r="T9373">
        <v>20727</v>
      </c>
      <c r="U9373">
        <v>24630</v>
      </c>
      <c r="V9373" t="s">
        <v>77</v>
      </c>
    </row>
    <row r="9374" spans="1:22">
      <c r="A9374" t="str">
        <f t="shared" ref="A9374:A9437" si="1772">("06/11/2025")</f>
        <v>06/11/2025</v>
      </c>
      <c r="B9374" t="str">
        <f t="shared" si="1760"/>
        <v>SAÍDA</v>
      </c>
      <c r="C9374" t="str">
        <f t="shared" si="1761"/>
        <v>PIX</v>
      </c>
      <c r="D9374" t="str">
        <f>"24632"</f>
        <v>24632</v>
      </c>
      <c r="E9374" t="str">
        <f t="shared" si="1770"/>
        <v>1</v>
      </c>
      <c r="F9374" t="str">
        <f t="shared" ref="F9374:F9437" si="1773">"COM"</f>
        <v>COM</v>
      </c>
      <c r="G9374" t="str">
        <f>"EDUARDO COSTA DA SILVA (721)"</f>
        <v>EDUARDO COSTA DA SILVA (721)</v>
      </c>
      <c r="H9374" t="str">
        <f>"Serv.Prest. 27/10/2025 a 02/11/2025 - PIX: CELULAR - CHAVE: (11) 95552-9905"</f>
        <v>Serv.Prest. 27/10/2025 a 02/11/2025 - PIX: CELULAR - CHAVE: (11) 95552-9905</v>
      </c>
      <c r="I9374" t="str">
        <f t="shared" si="1764"/>
        <v>06/11/2025</v>
      </c>
      <c r="J9374" t="str">
        <f t="shared" si="1771"/>
        <v>03/11/2025</v>
      </c>
      <c r="K9374" t="str">
        <f>("06/11/2025")</f>
        <v>06/11/2025</v>
      </c>
      <c r="L9374">
        <v>1241.0999999999999</v>
      </c>
      <c r="M9374">
        <v>1241.0999999999999</v>
      </c>
      <c r="N9374">
        <v>109</v>
      </c>
      <c r="O9374" t="str">
        <f>"PAGAMENTO DE ENTREGADORES"</f>
        <v>PAGAMENTO DE ENTREGADORES</v>
      </c>
      <c r="P9374">
        <v>1241.0999999999999</v>
      </c>
      <c r="S9374" t="str">
        <f>"BANCO C6 (149)"</f>
        <v>BANCO C6 (149)</v>
      </c>
      <c r="T9374">
        <v>20728</v>
      </c>
      <c r="U9374">
        <v>24632</v>
      </c>
      <c r="V9374" t="s">
        <v>77</v>
      </c>
    </row>
    <row r="9375" spans="1:22">
      <c r="A9375" t="str">
        <f t="shared" si="1772"/>
        <v>06/11/2025</v>
      </c>
      <c r="B9375" t="str">
        <f t="shared" si="1760"/>
        <v>SAÍDA</v>
      </c>
      <c r="C9375" t="str">
        <f t="shared" si="1761"/>
        <v>PIX</v>
      </c>
      <c r="D9375" t="str">
        <f>"24632"</f>
        <v>24632</v>
      </c>
      <c r="E9375" t="str">
        <f t="shared" si="1770"/>
        <v>1</v>
      </c>
      <c r="F9375" t="str">
        <f t="shared" si="1773"/>
        <v>COM</v>
      </c>
      <c r="G9375" t="str">
        <f>"EDUARDO COSTA DA SILVA (721)"</f>
        <v>EDUARDO COSTA DA SILVA (721)</v>
      </c>
      <c r="H9375" t="s">
        <v>2679</v>
      </c>
      <c r="I9375" t="str">
        <f t="shared" si="1764"/>
        <v>06/11/2025</v>
      </c>
      <c r="J9375" t="str">
        <f t="shared" si="1771"/>
        <v>03/11/2025</v>
      </c>
      <c r="K9375">
        <v>45967</v>
      </c>
      <c r="N9375">
        <v>109</v>
      </c>
      <c r="O9375" t="s">
        <v>24</v>
      </c>
      <c r="Q9375">
        <v>1241.0999999999999</v>
      </c>
      <c r="R9375" t="str">
        <f>"DROGARIA AGAPEAMA (10167)"</f>
        <v>DROGARIA AGAPEAMA (10167)</v>
      </c>
      <c r="S9375" t="s">
        <v>77</v>
      </c>
      <c r="T9375">
        <v>20728</v>
      </c>
      <c r="U9375">
        <v>24632</v>
      </c>
      <c r="V9375" t="s">
        <v>77</v>
      </c>
    </row>
    <row r="9376" spans="1:22">
      <c r="A9376" t="str">
        <f t="shared" si="1772"/>
        <v>06/11/2025</v>
      </c>
      <c r="B9376" t="str">
        <f t="shared" si="1760"/>
        <v>SAÍDA</v>
      </c>
      <c r="C9376" t="str">
        <f t="shared" si="1761"/>
        <v>PIX</v>
      </c>
      <c r="D9376" t="str">
        <f>"24633"</f>
        <v>24633</v>
      </c>
      <c r="E9376" t="str">
        <f t="shared" si="1770"/>
        <v>1</v>
      </c>
      <c r="F9376" t="str">
        <f t="shared" si="1773"/>
        <v>COM</v>
      </c>
      <c r="G9376" t="str">
        <f>"GUILHERME DA SILVA GOMES (901)"</f>
        <v>GUILHERME DA SILVA GOMES (901)</v>
      </c>
      <c r="H9376" t="str">
        <f>"Serv.Prest. 27/10/2025 a 02/11/2025 - PIX: CPF - CHAVE: 505.341.528-56"</f>
        <v>Serv.Prest. 27/10/2025 a 02/11/2025 - PIX: CPF - CHAVE: 505.341.528-56</v>
      </c>
      <c r="I9376" t="str">
        <f t="shared" si="1764"/>
        <v>06/11/2025</v>
      </c>
      <c r="J9376" t="str">
        <f t="shared" si="1771"/>
        <v>03/11/2025</v>
      </c>
      <c r="K9376" t="str">
        <f>("06/11/2025")</f>
        <v>06/11/2025</v>
      </c>
      <c r="L9376">
        <v>611.1</v>
      </c>
      <c r="M9376">
        <v>611.1</v>
      </c>
      <c r="N9376">
        <v>109</v>
      </c>
      <c r="O9376" t="str">
        <f>"PAGAMENTO DE ENTREGADORES"</f>
        <v>PAGAMENTO DE ENTREGADORES</v>
      </c>
      <c r="P9376">
        <v>611.1</v>
      </c>
      <c r="S9376" t="str">
        <f>"BANCO C6 (149)"</f>
        <v>BANCO C6 (149)</v>
      </c>
      <c r="T9376">
        <v>20729</v>
      </c>
      <c r="U9376">
        <v>24633</v>
      </c>
      <c r="V9376" t="s">
        <v>77</v>
      </c>
    </row>
    <row r="9377" spans="1:22">
      <c r="A9377" t="str">
        <f t="shared" si="1772"/>
        <v>06/11/2025</v>
      </c>
      <c r="B9377" t="str">
        <f t="shared" ref="B9377:B9440" si="1774">"SAÍDA"</f>
        <v>SAÍDA</v>
      </c>
      <c r="C9377" t="str">
        <f t="shared" ref="C9377:C9440" si="1775">"PIX"</f>
        <v>PIX</v>
      </c>
      <c r="D9377" t="str">
        <f>"24633"</f>
        <v>24633</v>
      </c>
      <c r="E9377" t="str">
        <f t="shared" si="1770"/>
        <v>1</v>
      </c>
      <c r="F9377" t="str">
        <f t="shared" si="1773"/>
        <v>COM</v>
      </c>
      <c r="G9377" t="str">
        <f>"GUILHERME DA SILVA GOMES (901)"</f>
        <v>GUILHERME DA SILVA GOMES (901)</v>
      </c>
      <c r="H9377" t="s">
        <v>2680</v>
      </c>
      <c r="I9377" t="str">
        <f t="shared" si="1764"/>
        <v>06/11/2025</v>
      </c>
      <c r="J9377" t="str">
        <f t="shared" si="1771"/>
        <v>03/11/2025</v>
      </c>
      <c r="K9377">
        <v>45967</v>
      </c>
      <c r="N9377">
        <v>109</v>
      </c>
      <c r="O9377" t="s">
        <v>24</v>
      </c>
      <c r="Q9377">
        <v>611.1</v>
      </c>
      <c r="R9377" t="str">
        <f>"DROGARIA AGAPEAMA (10167)"</f>
        <v>DROGARIA AGAPEAMA (10167)</v>
      </c>
      <c r="S9377" t="s">
        <v>77</v>
      </c>
      <c r="T9377">
        <v>20729</v>
      </c>
      <c r="U9377">
        <v>24633</v>
      </c>
      <c r="V9377" t="s">
        <v>77</v>
      </c>
    </row>
    <row r="9378" spans="1:22">
      <c r="A9378" t="str">
        <f t="shared" si="1772"/>
        <v>06/11/2025</v>
      </c>
      <c r="B9378" t="str">
        <f t="shared" si="1774"/>
        <v>SAÍDA</v>
      </c>
      <c r="C9378" t="str">
        <f t="shared" si="1775"/>
        <v>PIX</v>
      </c>
      <c r="D9378" t="str">
        <f>"24634"</f>
        <v>24634</v>
      </c>
      <c r="E9378" t="str">
        <f t="shared" si="1770"/>
        <v>1</v>
      </c>
      <c r="F9378" t="str">
        <f t="shared" si="1773"/>
        <v>COM</v>
      </c>
      <c r="G9378" t="str">
        <f>"WESLEY RICARDO DE OLIVEIRA (722)"</f>
        <v>WESLEY RICARDO DE OLIVEIRA (722)</v>
      </c>
      <c r="H9378" t="str">
        <f>"Serv.Prest. 27/10/2025 a 02/11/2025 - PIX: CELULAR - CHAVE: (11) 91214-6176"</f>
        <v>Serv.Prest. 27/10/2025 a 02/11/2025 - PIX: CELULAR - CHAVE: (11) 91214-6176</v>
      </c>
      <c r="I9378" t="str">
        <f t="shared" si="1764"/>
        <v>06/11/2025</v>
      </c>
      <c r="J9378" t="str">
        <f t="shared" si="1771"/>
        <v>03/11/2025</v>
      </c>
      <c r="K9378" t="str">
        <f>("06/11/2025")</f>
        <v>06/11/2025</v>
      </c>
      <c r="L9378">
        <v>1051.3</v>
      </c>
      <c r="M9378">
        <v>1051.3</v>
      </c>
      <c r="N9378">
        <v>109</v>
      </c>
      <c r="O9378" t="str">
        <f>"PAGAMENTO DE ENTREGADORES"</f>
        <v>PAGAMENTO DE ENTREGADORES</v>
      </c>
      <c r="P9378">
        <v>1051.3</v>
      </c>
      <c r="S9378" t="str">
        <f>"BANCO C6 (149)"</f>
        <v>BANCO C6 (149)</v>
      </c>
      <c r="T9378">
        <v>20730</v>
      </c>
      <c r="U9378">
        <v>24634</v>
      </c>
      <c r="V9378" t="s">
        <v>77</v>
      </c>
    </row>
    <row r="9379" spans="1:22">
      <c r="A9379" t="str">
        <f t="shared" si="1772"/>
        <v>06/11/2025</v>
      </c>
      <c r="B9379" t="str">
        <f t="shared" si="1774"/>
        <v>SAÍDA</v>
      </c>
      <c r="C9379" t="str">
        <f t="shared" si="1775"/>
        <v>PIX</v>
      </c>
      <c r="D9379" t="str">
        <f>"24634"</f>
        <v>24634</v>
      </c>
      <c r="E9379" t="str">
        <f t="shared" si="1770"/>
        <v>1</v>
      </c>
      <c r="F9379" t="str">
        <f t="shared" si="1773"/>
        <v>COM</v>
      </c>
      <c r="G9379" t="str">
        <f>"WESLEY RICARDO DE OLIVEIRA (722)"</f>
        <v>WESLEY RICARDO DE OLIVEIRA (722)</v>
      </c>
      <c r="H9379" t="s">
        <v>2681</v>
      </c>
      <c r="I9379" t="str">
        <f t="shared" ref="I9379:I9442" si="1776">("06/11/2025")</f>
        <v>06/11/2025</v>
      </c>
      <c r="J9379" t="str">
        <f t="shared" si="1771"/>
        <v>03/11/2025</v>
      </c>
      <c r="K9379">
        <v>45967</v>
      </c>
      <c r="N9379">
        <v>109</v>
      </c>
      <c r="O9379" t="s">
        <v>24</v>
      </c>
      <c r="Q9379">
        <v>1051.3</v>
      </c>
      <c r="R9379" t="str">
        <f>"DROGARIA AGAPEAMA (10167)"</f>
        <v>DROGARIA AGAPEAMA (10167)</v>
      </c>
      <c r="S9379" t="s">
        <v>77</v>
      </c>
      <c r="T9379">
        <v>20730</v>
      </c>
      <c r="U9379">
        <v>24634</v>
      </c>
      <c r="V9379" t="s">
        <v>77</v>
      </c>
    </row>
    <row r="9380" spans="1:22">
      <c r="A9380" t="str">
        <f t="shared" si="1772"/>
        <v>06/11/2025</v>
      </c>
      <c r="B9380" t="str">
        <f t="shared" si="1774"/>
        <v>SAÍDA</v>
      </c>
      <c r="C9380" t="str">
        <f t="shared" si="1775"/>
        <v>PIX</v>
      </c>
      <c r="D9380" t="str">
        <f>"24636"</f>
        <v>24636</v>
      </c>
      <c r="E9380" t="str">
        <f t="shared" si="1770"/>
        <v>1</v>
      </c>
      <c r="F9380" t="str">
        <f t="shared" si="1773"/>
        <v>COM</v>
      </c>
      <c r="G9380" t="str">
        <f>"ALEXSANDRO HENRIQUE FERREIRA (808)"</f>
        <v>ALEXSANDRO HENRIQUE FERREIRA (808)</v>
      </c>
      <c r="H9380" t="str">
        <f>"Serv.Prest. 27/10/2025 a 02/11/2025 - PIX: CPF - CHAVE: 157.591.436-03"</f>
        <v>Serv.Prest. 27/10/2025 a 02/11/2025 - PIX: CPF - CHAVE: 157.591.436-03</v>
      </c>
      <c r="I9380" t="str">
        <f t="shared" si="1776"/>
        <v>06/11/2025</v>
      </c>
      <c r="J9380" t="str">
        <f t="shared" si="1771"/>
        <v>03/11/2025</v>
      </c>
      <c r="K9380" t="str">
        <f>("06/11/2025")</f>
        <v>06/11/2025</v>
      </c>
      <c r="L9380">
        <v>904.05</v>
      </c>
      <c r="M9380">
        <v>904.05</v>
      </c>
      <c r="N9380">
        <v>109</v>
      </c>
      <c r="O9380" t="str">
        <f>"PAGAMENTO DE ENTREGADORES"</f>
        <v>PAGAMENTO DE ENTREGADORES</v>
      </c>
      <c r="P9380">
        <v>904.05</v>
      </c>
      <c r="S9380" t="str">
        <f>"BANCO C6 (149)"</f>
        <v>BANCO C6 (149)</v>
      </c>
      <c r="T9380">
        <v>20731</v>
      </c>
      <c r="U9380">
        <v>24636</v>
      </c>
      <c r="V9380" t="s">
        <v>77</v>
      </c>
    </row>
    <row r="9381" spans="1:22">
      <c r="A9381" t="str">
        <f t="shared" si="1772"/>
        <v>06/11/2025</v>
      </c>
      <c r="B9381" t="str">
        <f t="shared" si="1774"/>
        <v>SAÍDA</v>
      </c>
      <c r="C9381" t="str">
        <f t="shared" si="1775"/>
        <v>PIX</v>
      </c>
      <c r="D9381" t="str">
        <f>"24636"</f>
        <v>24636</v>
      </c>
      <c r="E9381" t="str">
        <f t="shared" si="1770"/>
        <v>1</v>
      </c>
      <c r="F9381" t="str">
        <f t="shared" si="1773"/>
        <v>COM</v>
      </c>
      <c r="G9381" t="str">
        <f>"ALEXSANDRO HENRIQUE FERREIRA (808)"</f>
        <v>ALEXSANDRO HENRIQUE FERREIRA (808)</v>
      </c>
      <c r="H9381" t="s">
        <v>2682</v>
      </c>
      <c r="I9381" t="str">
        <f t="shared" si="1776"/>
        <v>06/11/2025</v>
      </c>
      <c r="J9381" t="str">
        <f t="shared" si="1771"/>
        <v>03/11/2025</v>
      </c>
      <c r="K9381">
        <v>45967</v>
      </c>
      <c r="N9381">
        <v>109</v>
      </c>
      <c r="O9381" t="s">
        <v>24</v>
      </c>
      <c r="Q9381">
        <v>904.05</v>
      </c>
      <c r="R9381" t="str">
        <f>"DROGARIA ANA VISCONDE DO RIO BRANCO (10182)"</f>
        <v>DROGARIA ANA VISCONDE DO RIO BRANCO (10182)</v>
      </c>
      <c r="S9381" t="s">
        <v>77</v>
      </c>
      <c r="T9381">
        <v>20731</v>
      </c>
      <c r="U9381">
        <v>24636</v>
      </c>
      <c r="V9381" t="s">
        <v>77</v>
      </c>
    </row>
    <row r="9382" spans="1:22">
      <c r="A9382" t="str">
        <f t="shared" si="1772"/>
        <v>06/11/2025</v>
      </c>
      <c r="B9382" t="str">
        <f t="shared" si="1774"/>
        <v>SAÍDA</v>
      </c>
      <c r="C9382" t="str">
        <f t="shared" si="1775"/>
        <v>PIX</v>
      </c>
      <c r="D9382" t="str">
        <f>"24637"</f>
        <v>24637</v>
      </c>
      <c r="E9382" t="str">
        <f t="shared" si="1770"/>
        <v>1</v>
      </c>
      <c r="F9382" t="str">
        <f t="shared" si="1773"/>
        <v>COM</v>
      </c>
      <c r="G9382" t="str">
        <f>"ANDERSON LUIZ SOARES (807)"</f>
        <v>ANDERSON LUIZ SOARES (807)</v>
      </c>
      <c r="H9382" t="str">
        <f>"Serv.Prest. 27/10/2025 a 02/11/2025 - PIX: CELULAR - CHAVE: (32) 99920-0416"</f>
        <v>Serv.Prest. 27/10/2025 a 02/11/2025 - PIX: CELULAR - CHAVE: (32) 99920-0416</v>
      </c>
      <c r="I9382" t="str">
        <f t="shared" si="1776"/>
        <v>06/11/2025</v>
      </c>
      <c r="J9382" t="str">
        <f t="shared" si="1771"/>
        <v>03/11/2025</v>
      </c>
      <c r="K9382" t="str">
        <f>("06/11/2025")</f>
        <v>06/11/2025</v>
      </c>
      <c r="L9382">
        <v>702.45</v>
      </c>
      <c r="M9382">
        <v>702.45</v>
      </c>
      <c r="N9382">
        <v>109</v>
      </c>
      <c r="O9382" t="str">
        <f>"PAGAMENTO DE ENTREGADORES"</f>
        <v>PAGAMENTO DE ENTREGADORES</v>
      </c>
      <c r="P9382">
        <v>702.45</v>
      </c>
      <c r="S9382" t="str">
        <f>"BANCO C6 (149)"</f>
        <v>BANCO C6 (149)</v>
      </c>
      <c r="T9382">
        <v>20732</v>
      </c>
      <c r="U9382">
        <v>24637</v>
      </c>
      <c r="V9382" t="s">
        <v>77</v>
      </c>
    </row>
    <row r="9383" spans="1:22">
      <c r="A9383" t="str">
        <f t="shared" si="1772"/>
        <v>06/11/2025</v>
      </c>
      <c r="B9383" t="str">
        <f t="shared" si="1774"/>
        <v>SAÍDA</v>
      </c>
      <c r="C9383" t="str">
        <f t="shared" si="1775"/>
        <v>PIX</v>
      </c>
      <c r="D9383" t="str">
        <f>"24637"</f>
        <v>24637</v>
      </c>
      <c r="E9383" t="str">
        <f t="shared" si="1770"/>
        <v>1</v>
      </c>
      <c r="F9383" t="str">
        <f t="shared" si="1773"/>
        <v>COM</v>
      </c>
      <c r="G9383" t="str">
        <f>"ANDERSON LUIZ SOARES (807)"</f>
        <v>ANDERSON LUIZ SOARES (807)</v>
      </c>
      <c r="H9383" t="s">
        <v>2683</v>
      </c>
      <c r="I9383" t="str">
        <f t="shared" si="1776"/>
        <v>06/11/2025</v>
      </c>
      <c r="J9383" t="str">
        <f t="shared" si="1771"/>
        <v>03/11/2025</v>
      </c>
      <c r="K9383">
        <v>45967</v>
      </c>
      <c r="N9383">
        <v>109</v>
      </c>
      <c r="O9383" t="s">
        <v>24</v>
      </c>
      <c r="Q9383">
        <v>702.45</v>
      </c>
      <c r="R9383" t="str">
        <f>"DROGARIA ANA VISCONDE DO RIO BRANCO (10182)"</f>
        <v>DROGARIA ANA VISCONDE DO RIO BRANCO (10182)</v>
      </c>
      <c r="S9383" t="s">
        <v>77</v>
      </c>
      <c r="T9383">
        <v>20732</v>
      </c>
      <c r="U9383">
        <v>24637</v>
      </c>
      <c r="V9383" t="s">
        <v>77</v>
      </c>
    </row>
    <row r="9384" spans="1:22">
      <c r="A9384" t="str">
        <f t="shared" si="1772"/>
        <v>06/11/2025</v>
      </c>
      <c r="B9384" t="str">
        <f t="shared" si="1774"/>
        <v>SAÍDA</v>
      </c>
      <c r="C9384" t="str">
        <f t="shared" si="1775"/>
        <v>PIX</v>
      </c>
      <c r="D9384" t="str">
        <f>"24638"</f>
        <v>24638</v>
      </c>
      <c r="E9384" t="str">
        <f t="shared" si="1770"/>
        <v>1</v>
      </c>
      <c r="F9384" t="str">
        <f t="shared" si="1773"/>
        <v>COM</v>
      </c>
      <c r="G9384" t="str">
        <f>"BRENO VIANA MONTEIRO RODRIGUES (811)"</f>
        <v>BRENO VIANA MONTEIRO RODRIGUES (811)</v>
      </c>
      <c r="H9384" t="str">
        <f>"Serv.Prest. 27/10/2025 a 02/11/2025 - PIX: CNPJ - CHAVE: 51.676.704/0001-10"</f>
        <v>Serv.Prest. 27/10/2025 a 02/11/2025 - PIX: CNPJ - CHAVE: 51.676.704/0001-10</v>
      </c>
      <c r="I9384" t="str">
        <f t="shared" si="1776"/>
        <v>06/11/2025</v>
      </c>
      <c r="J9384" t="str">
        <f t="shared" si="1771"/>
        <v>03/11/2025</v>
      </c>
      <c r="K9384" t="str">
        <f>("06/11/2025")</f>
        <v>06/11/2025</v>
      </c>
      <c r="L9384">
        <v>702.45</v>
      </c>
      <c r="M9384">
        <v>702.45</v>
      </c>
      <c r="N9384">
        <v>109</v>
      </c>
      <c r="O9384" t="str">
        <f>"PAGAMENTO DE ENTREGADORES"</f>
        <v>PAGAMENTO DE ENTREGADORES</v>
      </c>
      <c r="P9384">
        <v>702.45</v>
      </c>
      <c r="S9384" t="str">
        <f>"BANCO C6 (149)"</f>
        <v>BANCO C6 (149)</v>
      </c>
      <c r="T9384">
        <v>20733</v>
      </c>
      <c r="U9384">
        <v>24638</v>
      </c>
      <c r="V9384" t="s">
        <v>77</v>
      </c>
    </row>
    <row r="9385" spans="1:22">
      <c r="A9385" t="str">
        <f t="shared" si="1772"/>
        <v>06/11/2025</v>
      </c>
      <c r="B9385" t="str">
        <f t="shared" si="1774"/>
        <v>SAÍDA</v>
      </c>
      <c r="C9385" t="str">
        <f t="shared" si="1775"/>
        <v>PIX</v>
      </c>
      <c r="D9385" t="str">
        <f>"24638"</f>
        <v>24638</v>
      </c>
      <c r="E9385" t="str">
        <f t="shared" si="1770"/>
        <v>1</v>
      </c>
      <c r="F9385" t="str">
        <f t="shared" si="1773"/>
        <v>COM</v>
      </c>
      <c r="G9385" t="str">
        <f>"BRENO VIANA MONTEIRO RODRIGUES (811)"</f>
        <v>BRENO VIANA MONTEIRO RODRIGUES (811)</v>
      </c>
      <c r="H9385" t="s">
        <v>2684</v>
      </c>
      <c r="I9385" t="str">
        <f t="shared" si="1776"/>
        <v>06/11/2025</v>
      </c>
      <c r="J9385" t="str">
        <f t="shared" si="1771"/>
        <v>03/11/2025</v>
      </c>
      <c r="K9385">
        <v>45967</v>
      </c>
      <c r="N9385">
        <v>109</v>
      </c>
      <c r="O9385" t="s">
        <v>24</v>
      </c>
      <c r="Q9385">
        <v>702.45</v>
      </c>
      <c r="R9385" t="str">
        <f>"DROGARIA ANA VISCONDE DO RIO BRANCO (10182)"</f>
        <v>DROGARIA ANA VISCONDE DO RIO BRANCO (10182)</v>
      </c>
      <c r="S9385" t="s">
        <v>77</v>
      </c>
      <c r="T9385">
        <v>20733</v>
      </c>
      <c r="U9385">
        <v>24638</v>
      </c>
      <c r="V9385" t="s">
        <v>77</v>
      </c>
    </row>
    <row r="9386" spans="1:22">
      <c r="A9386" t="str">
        <f t="shared" si="1772"/>
        <v>06/11/2025</v>
      </c>
      <c r="B9386" t="str">
        <f t="shared" si="1774"/>
        <v>SAÍDA</v>
      </c>
      <c r="C9386" t="str">
        <f t="shared" si="1775"/>
        <v>PIX</v>
      </c>
      <c r="D9386" t="str">
        <f>"24639"</f>
        <v>24639</v>
      </c>
      <c r="E9386" t="str">
        <f t="shared" si="1770"/>
        <v>1</v>
      </c>
      <c r="F9386" t="str">
        <f t="shared" si="1773"/>
        <v>COM</v>
      </c>
      <c r="G9386" t="str">
        <f>"GABRIEL PACHECO DE QUEIROZ NARCISO (812)"</f>
        <v>GABRIEL PACHECO DE QUEIROZ NARCISO (812)</v>
      </c>
      <c r="H9386" t="str">
        <f>"Serv.Prest. 27/10/2025 a 02/11/2025 - PIX: CPF - CHAVE: 140.108.466-40"</f>
        <v>Serv.Prest. 27/10/2025 a 02/11/2025 - PIX: CPF - CHAVE: 140.108.466-40</v>
      </c>
      <c r="I9386" t="str">
        <f t="shared" si="1776"/>
        <v>06/11/2025</v>
      </c>
      <c r="J9386" t="str">
        <f t="shared" si="1771"/>
        <v>03/11/2025</v>
      </c>
      <c r="K9386" t="str">
        <f>("06/11/2025")</f>
        <v>06/11/2025</v>
      </c>
      <c r="L9386">
        <v>702.45</v>
      </c>
      <c r="M9386">
        <v>702.45</v>
      </c>
      <c r="N9386">
        <v>109</v>
      </c>
      <c r="O9386" t="str">
        <f>"PAGAMENTO DE ENTREGADORES"</f>
        <v>PAGAMENTO DE ENTREGADORES</v>
      </c>
      <c r="P9386">
        <v>702.45</v>
      </c>
      <c r="S9386" t="str">
        <f>"BANCO C6 (149)"</f>
        <v>BANCO C6 (149)</v>
      </c>
      <c r="T9386">
        <v>20734</v>
      </c>
      <c r="U9386">
        <v>24639</v>
      </c>
      <c r="V9386" t="s">
        <v>77</v>
      </c>
    </row>
    <row r="9387" spans="1:22">
      <c r="A9387" t="str">
        <f t="shared" si="1772"/>
        <v>06/11/2025</v>
      </c>
      <c r="B9387" t="str">
        <f t="shared" si="1774"/>
        <v>SAÍDA</v>
      </c>
      <c r="C9387" t="str">
        <f t="shared" si="1775"/>
        <v>PIX</v>
      </c>
      <c r="D9387" t="str">
        <f>"24639"</f>
        <v>24639</v>
      </c>
      <c r="E9387" t="str">
        <f t="shared" si="1770"/>
        <v>1</v>
      </c>
      <c r="F9387" t="str">
        <f t="shared" si="1773"/>
        <v>COM</v>
      </c>
      <c r="G9387" t="str">
        <f>"GABRIEL PACHECO DE QUEIROZ NARCISO (812)"</f>
        <v>GABRIEL PACHECO DE QUEIROZ NARCISO (812)</v>
      </c>
      <c r="H9387" t="s">
        <v>2685</v>
      </c>
      <c r="I9387" t="str">
        <f t="shared" si="1776"/>
        <v>06/11/2025</v>
      </c>
      <c r="J9387" t="str">
        <f t="shared" si="1771"/>
        <v>03/11/2025</v>
      </c>
      <c r="K9387">
        <v>45967</v>
      </c>
      <c r="N9387">
        <v>109</v>
      </c>
      <c r="O9387" t="s">
        <v>24</v>
      </c>
      <c r="Q9387">
        <v>702.45</v>
      </c>
      <c r="R9387" t="str">
        <f>"DROGARIA ANA VISCONDE DO RIO BRANCO (10182)"</f>
        <v>DROGARIA ANA VISCONDE DO RIO BRANCO (10182)</v>
      </c>
      <c r="S9387" t="s">
        <v>77</v>
      </c>
      <c r="T9387">
        <v>20734</v>
      </c>
      <c r="U9387">
        <v>24639</v>
      </c>
      <c r="V9387" t="s">
        <v>77</v>
      </c>
    </row>
    <row r="9388" spans="1:22">
      <c r="A9388" t="str">
        <f t="shared" si="1772"/>
        <v>06/11/2025</v>
      </c>
      <c r="B9388" t="str">
        <f t="shared" si="1774"/>
        <v>SAÍDA</v>
      </c>
      <c r="C9388" t="str">
        <f t="shared" si="1775"/>
        <v>PIX</v>
      </c>
      <c r="D9388" t="str">
        <f>"24640"</f>
        <v>24640</v>
      </c>
      <c r="E9388" t="str">
        <f t="shared" si="1770"/>
        <v>1</v>
      </c>
      <c r="F9388" t="str">
        <f t="shared" si="1773"/>
        <v>COM</v>
      </c>
      <c r="G9388" t="str">
        <f>"WILLIAM ANDRE SILVA COELLO (850)"</f>
        <v>WILLIAM ANDRE SILVA COELLO (850)</v>
      </c>
      <c r="H9388" t="str">
        <f>"Serv.Prest. 27/10/2025 a 02/11/2025 - PIX: CPF - CHAVE: 100.710.806-19"</f>
        <v>Serv.Prest. 27/10/2025 a 02/11/2025 - PIX: CPF - CHAVE: 100.710.806-19</v>
      </c>
      <c r="I9388" t="str">
        <f t="shared" si="1776"/>
        <v>06/11/2025</v>
      </c>
      <c r="J9388" t="str">
        <f t="shared" si="1771"/>
        <v>03/11/2025</v>
      </c>
      <c r="K9388" t="str">
        <f>("06/11/2025")</f>
        <v>06/11/2025</v>
      </c>
      <c r="L9388">
        <v>702.45</v>
      </c>
      <c r="M9388">
        <v>702.45</v>
      </c>
      <c r="N9388">
        <v>109</v>
      </c>
      <c r="O9388" t="str">
        <f>"PAGAMENTO DE ENTREGADORES"</f>
        <v>PAGAMENTO DE ENTREGADORES</v>
      </c>
      <c r="P9388">
        <v>702.45</v>
      </c>
      <c r="S9388" t="str">
        <f>"BANCO C6 (149)"</f>
        <v>BANCO C6 (149)</v>
      </c>
      <c r="T9388">
        <v>20735</v>
      </c>
      <c r="U9388">
        <v>24640</v>
      </c>
      <c r="V9388" t="s">
        <v>77</v>
      </c>
    </row>
    <row r="9389" spans="1:22">
      <c r="A9389" t="str">
        <f t="shared" si="1772"/>
        <v>06/11/2025</v>
      </c>
      <c r="B9389" t="str">
        <f t="shared" si="1774"/>
        <v>SAÍDA</v>
      </c>
      <c r="C9389" t="str">
        <f t="shared" si="1775"/>
        <v>PIX</v>
      </c>
      <c r="D9389" t="str">
        <f>"24640"</f>
        <v>24640</v>
      </c>
      <c r="E9389" t="str">
        <f t="shared" si="1770"/>
        <v>1</v>
      </c>
      <c r="F9389" t="str">
        <f t="shared" si="1773"/>
        <v>COM</v>
      </c>
      <c r="G9389" t="str">
        <f>"WILLIAM ANDRE SILVA COELLO (850)"</f>
        <v>WILLIAM ANDRE SILVA COELLO (850)</v>
      </c>
      <c r="H9389" t="s">
        <v>2686</v>
      </c>
      <c r="I9389" t="str">
        <f t="shared" si="1776"/>
        <v>06/11/2025</v>
      </c>
      <c r="J9389" t="str">
        <f t="shared" si="1771"/>
        <v>03/11/2025</v>
      </c>
      <c r="K9389">
        <v>45967</v>
      </c>
      <c r="N9389">
        <v>109</v>
      </c>
      <c r="O9389" t="s">
        <v>24</v>
      </c>
      <c r="Q9389">
        <v>702.45</v>
      </c>
      <c r="R9389" t="str">
        <f>"DROGARIA ANA VISCONDE DO RIO BRANCO (10182)"</f>
        <v>DROGARIA ANA VISCONDE DO RIO BRANCO (10182)</v>
      </c>
      <c r="S9389" t="s">
        <v>77</v>
      </c>
      <c r="T9389">
        <v>20735</v>
      </c>
      <c r="U9389">
        <v>24640</v>
      </c>
      <c r="V9389" t="s">
        <v>77</v>
      </c>
    </row>
    <row r="9390" spans="1:22">
      <c r="A9390" t="str">
        <f t="shared" si="1772"/>
        <v>06/11/2025</v>
      </c>
      <c r="B9390" t="str">
        <f t="shared" si="1774"/>
        <v>SAÍDA</v>
      </c>
      <c r="C9390" t="str">
        <f t="shared" si="1775"/>
        <v>PIX</v>
      </c>
      <c r="D9390" t="str">
        <f>"24642"</f>
        <v>24642</v>
      </c>
      <c r="E9390" t="str">
        <f t="shared" si="1770"/>
        <v>1</v>
      </c>
      <c r="F9390" t="str">
        <f t="shared" si="1773"/>
        <v>COM</v>
      </c>
      <c r="G9390" t="str">
        <f>"ELIO CALDEIRA RIBEIRO JUNIOR (840)"</f>
        <v>ELIO CALDEIRA RIBEIRO JUNIOR (840)</v>
      </c>
      <c r="H9390" t="str">
        <f>"Serv.Prest. 27/10/2025 a 02/11/2025 - PIX: CPF - CHAVE: 463.491.858-70"</f>
        <v>Serv.Prest. 27/10/2025 a 02/11/2025 - PIX: CPF - CHAVE: 463.491.858-70</v>
      </c>
      <c r="I9390" t="str">
        <f t="shared" si="1776"/>
        <v>06/11/2025</v>
      </c>
      <c r="J9390" t="str">
        <f t="shared" si="1771"/>
        <v>03/11/2025</v>
      </c>
      <c r="K9390" t="str">
        <f>("06/11/2025")</f>
        <v>06/11/2025</v>
      </c>
      <c r="L9390">
        <v>784</v>
      </c>
      <c r="M9390">
        <v>784</v>
      </c>
      <c r="N9390">
        <v>109</v>
      </c>
      <c r="O9390" t="str">
        <f>"PAGAMENTO DE ENTREGADORES"</f>
        <v>PAGAMENTO DE ENTREGADORES</v>
      </c>
      <c r="P9390">
        <v>784</v>
      </c>
      <c r="S9390" t="str">
        <f>"BANCO C6 (149)"</f>
        <v>BANCO C6 (149)</v>
      </c>
      <c r="T9390">
        <v>20736</v>
      </c>
      <c r="U9390">
        <v>24642</v>
      </c>
      <c r="V9390" t="s">
        <v>77</v>
      </c>
    </row>
    <row r="9391" spans="1:22">
      <c r="A9391" t="str">
        <f t="shared" si="1772"/>
        <v>06/11/2025</v>
      </c>
      <c r="B9391" t="str">
        <f t="shared" si="1774"/>
        <v>SAÍDA</v>
      </c>
      <c r="C9391" t="str">
        <f t="shared" si="1775"/>
        <v>PIX</v>
      </c>
      <c r="D9391" t="str">
        <f>"24642"</f>
        <v>24642</v>
      </c>
      <c r="E9391" t="str">
        <f t="shared" si="1770"/>
        <v>1</v>
      </c>
      <c r="F9391" t="str">
        <f t="shared" si="1773"/>
        <v>COM</v>
      </c>
      <c r="G9391" t="str">
        <f>"ELIO CALDEIRA RIBEIRO JUNIOR (840)"</f>
        <v>ELIO CALDEIRA RIBEIRO JUNIOR (840)</v>
      </c>
      <c r="H9391" t="s">
        <v>2687</v>
      </c>
      <c r="I9391" t="str">
        <f t="shared" si="1776"/>
        <v>06/11/2025</v>
      </c>
      <c r="J9391" t="str">
        <f t="shared" si="1771"/>
        <v>03/11/2025</v>
      </c>
      <c r="K9391">
        <v>45967</v>
      </c>
      <c r="N9391">
        <v>109</v>
      </c>
      <c r="O9391" t="s">
        <v>24</v>
      </c>
      <c r="Q9391">
        <v>784</v>
      </c>
      <c r="R9391" t="str">
        <f>"DROGARIA MEDIC CENTER LTDA (10172)"</f>
        <v>DROGARIA MEDIC CENTER LTDA (10172)</v>
      </c>
      <c r="S9391" t="s">
        <v>77</v>
      </c>
      <c r="T9391">
        <v>20736</v>
      </c>
      <c r="U9391">
        <v>24642</v>
      </c>
      <c r="V9391" t="s">
        <v>77</v>
      </c>
    </row>
    <row r="9392" spans="1:22">
      <c r="A9392" t="str">
        <f t="shared" si="1772"/>
        <v>06/11/2025</v>
      </c>
      <c r="B9392" t="str">
        <f t="shared" si="1774"/>
        <v>SAÍDA</v>
      </c>
      <c r="C9392" t="str">
        <f t="shared" si="1775"/>
        <v>PIX</v>
      </c>
      <c r="D9392" t="str">
        <f>"24645"</f>
        <v>24645</v>
      </c>
      <c r="E9392" t="str">
        <f t="shared" si="1770"/>
        <v>1</v>
      </c>
      <c r="F9392" t="str">
        <f t="shared" si="1773"/>
        <v>COM</v>
      </c>
      <c r="G9392" t="str">
        <f>"ALLAN SILVA DAMACENA (790)"</f>
        <v>ALLAN SILVA DAMACENA (790)</v>
      </c>
      <c r="H9392" t="str">
        <f>"Serv.Prest. 27/10/2025 a 02/11/2025 - PIX: CELULAR - CHAVE: (19) 98944-4977"</f>
        <v>Serv.Prest. 27/10/2025 a 02/11/2025 - PIX: CELULAR - CHAVE: (19) 98944-4977</v>
      </c>
      <c r="I9392" t="str">
        <f t="shared" si="1776"/>
        <v>06/11/2025</v>
      </c>
      <c r="J9392" t="str">
        <f t="shared" ref="J9392:J9423" si="1777">("03/11/2025")</f>
        <v>03/11/2025</v>
      </c>
      <c r="K9392" t="str">
        <f>("06/11/2025")</f>
        <v>06/11/2025</v>
      </c>
      <c r="L9392">
        <v>754</v>
      </c>
      <c r="M9392">
        <v>754</v>
      </c>
      <c r="N9392">
        <v>109</v>
      </c>
      <c r="O9392" t="str">
        <f>"PAGAMENTO DE ENTREGADORES"</f>
        <v>PAGAMENTO DE ENTREGADORES</v>
      </c>
      <c r="P9392">
        <v>754</v>
      </c>
      <c r="S9392" t="str">
        <f>"BANCO C6 (149)"</f>
        <v>BANCO C6 (149)</v>
      </c>
      <c r="T9392">
        <v>20737</v>
      </c>
      <c r="U9392">
        <v>24645</v>
      </c>
      <c r="V9392" t="s">
        <v>77</v>
      </c>
    </row>
    <row r="9393" spans="1:22">
      <c r="A9393" t="str">
        <f t="shared" si="1772"/>
        <v>06/11/2025</v>
      </c>
      <c r="B9393" t="str">
        <f t="shared" si="1774"/>
        <v>SAÍDA</v>
      </c>
      <c r="C9393" t="str">
        <f t="shared" si="1775"/>
        <v>PIX</v>
      </c>
      <c r="D9393" t="str">
        <f>"24645"</f>
        <v>24645</v>
      </c>
      <c r="E9393" t="str">
        <f t="shared" si="1770"/>
        <v>1</v>
      </c>
      <c r="F9393" t="str">
        <f t="shared" si="1773"/>
        <v>COM</v>
      </c>
      <c r="G9393" t="str">
        <f>"ALLAN SILVA DAMACENA (790)"</f>
        <v>ALLAN SILVA DAMACENA (790)</v>
      </c>
      <c r="H9393" t="s">
        <v>2465</v>
      </c>
      <c r="I9393" t="str">
        <f t="shared" si="1776"/>
        <v>06/11/2025</v>
      </c>
      <c r="J9393" t="str">
        <f t="shared" si="1777"/>
        <v>03/11/2025</v>
      </c>
      <c r="K9393">
        <v>45967</v>
      </c>
      <c r="N9393">
        <v>109</v>
      </c>
      <c r="O9393" t="s">
        <v>24</v>
      </c>
      <c r="Q9393">
        <v>754</v>
      </c>
      <c r="R9393" t="str">
        <f>"DROGARIA MORENO LTDA (10171)"</f>
        <v>DROGARIA MORENO LTDA (10171)</v>
      </c>
      <c r="S9393" t="s">
        <v>77</v>
      </c>
      <c r="T9393">
        <v>20737</v>
      </c>
      <c r="U9393">
        <v>24645</v>
      </c>
      <c r="V9393" t="s">
        <v>77</v>
      </c>
    </row>
    <row r="9394" spans="1:22">
      <c r="A9394" t="str">
        <f t="shared" si="1772"/>
        <v>06/11/2025</v>
      </c>
      <c r="B9394" t="str">
        <f t="shared" si="1774"/>
        <v>SAÍDA</v>
      </c>
      <c r="C9394" t="str">
        <f t="shared" si="1775"/>
        <v>PIX</v>
      </c>
      <c r="D9394" t="str">
        <f>"24646"</f>
        <v>24646</v>
      </c>
      <c r="E9394" t="str">
        <f t="shared" si="1770"/>
        <v>1</v>
      </c>
      <c r="F9394" t="str">
        <f t="shared" si="1773"/>
        <v>COM</v>
      </c>
      <c r="G9394" t="str">
        <f>"EDUARDO MARQUES DOS SANTOS (787)"</f>
        <v>EDUARDO MARQUES DOS SANTOS (787)</v>
      </c>
      <c r="H9394" t="str">
        <f>"Serv.Prest. 27/10/2025 a 02/11/2025 - PIX: CELULAR - CHAVE: (11) 97402-1586"</f>
        <v>Serv.Prest. 27/10/2025 a 02/11/2025 - PIX: CELULAR - CHAVE: (11) 97402-1586</v>
      </c>
      <c r="I9394" t="str">
        <f t="shared" si="1776"/>
        <v>06/11/2025</v>
      </c>
      <c r="J9394" t="str">
        <f t="shared" si="1777"/>
        <v>03/11/2025</v>
      </c>
      <c r="K9394" t="str">
        <f>("06/11/2025")</f>
        <v>06/11/2025</v>
      </c>
      <c r="L9394">
        <v>938</v>
      </c>
      <c r="M9394">
        <v>938</v>
      </c>
      <c r="N9394">
        <v>109</v>
      </c>
      <c r="O9394" t="str">
        <f>"PAGAMENTO DE ENTREGADORES"</f>
        <v>PAGAMENTO DE ENTREGADORES</v>
      </c>
      <c r="P9394">
        <v>938</v>
      </c>
      <c r="S9394" t="str">
        <f>"BANCO C6 (149)"</f>
        <v>BANCO C6 (149)</v>
      </c>
      <c r="T9394">
        <v>20738</v>
      </c>
      <c r="U9394">
        <v>24646</v>
      </c>
      <c r="V9394" t="s">
        <v>77</v>
      </c>
    </row>
    <row r="9395" spans="1:22">
      <c r="A9395" t="str">
        <f t="shared" si="1772"/>
        <v>06/11/2025</v>
      </c>
      <c r="B9395" t="str">
        <f t="shared" si="1774"/>
        <v>SAÍDA</v>
      </c>
      <c r="C9395" t="str">
        <f t="shared" si="1775"/>
        <v>PIX</v>
      </c>
      <c r="D9395" t="str">
        <f>"24646"</f>
        <v>24646</v>
      </c>
      <c r="E9395" t="str">
        <f t="shared" si="1770"/>
        <v>1</v>
      </c>
      <c r="F9395" t="str">
        <f t="shared" si="1773"/>
        <v>COM</v>
      </c>
      <c r="G9395" t="str">
        <f>"EDUARDO MARQUES DOS SANTOS (787)"</f>
        <v>EDUARDO MARQUES DOS SANTOS (787)</v>
      </c>
      <c r="H9395" t="s">
        <v>2424</v>
      </c>
      <c r="I9395" t="str">
        <f t="shared" si="1776"/>
        <v>06/11/2025</v>
      </c>
      <c r="J9395" t="str">
        <f t="shared" si="1777"/>
        <v>03/11/2025</v>
      </c>
      <c r="K9395">
        <v>45967</v>
      </c>
      <c r="N9395">
        <v>109</v>
      </c>
      <c r="O9395" t="s">
        <v>24</v>
      </c>
      <c r="Q9395">
        <v>938</v>
      </c>
      <c r="R9395" t="str">
        <f>"DROGARIA MORENO LTDA (10171)"</f>
        <v>DROGARIA MORENO LTDA (10171)</v>
      </c>
      <c r="S9395" t="s">
        <v>77</v>
      </c>
      <c r="T9395">
        <v>20738</v>
      </c>
      <c r="U9395">
        <v>24646</v>
      </c>
      <c r="V9395" t="s">
        <v>77</v>
      </c>
    </row>
    <row r="9396" spans="1:22">
      <c r="A9396" t="str">
        <f t="shared" si="1772"/>
        <v>06/11/2025</v>
      </c>
      <c r="B9396" t="str">
        <f t="shared" si="1774"/>
        <v>SAÍDA</v>
      </c>
      <c r="C9396" t="str">
        <f t="shared" si="1775"/>
        <v>PIX</v>
      </c>
      <c r="D9396" t="str">
        <f>"24648"</f>
        <v>24648</v>
      </c>
      <c r="E9396" t="str">
        <f t="shared" si="1770"/>
        <v>1</v>
      </c>
      <c r="F9396" t="str">
        <f t="shared" si="1773"/>
        <v>COM</v>
      </c>
      <c r="G9396" t="str">
        <f>"PAULO CESAR DE FARIA (865)"</f>
        <v>PAULO CESAR DE FARIA (865)</v>
      </c>
      <c r="H9396" t="str">
        <f>"Serv.Prest. 27/10/2025 a 02/11/2025 - PIX: CELULAR - CHAVE: (11) 99992-0816"</f>
        <v>Serv.Prest. 27/10/2025 a 02/11/2025 - PIX: CELULAR - CHAVE: (11) 99992-0816</v>
      </c>
      <c r="I9396" t="str">
        <f t="shared" si="1776"/>
        <v>06/11/2025</v>
      </c>
      <c r="J9396" t="str">
        <f t="shared" si="1777"/>
        <v>03/11/2025</v>
      </c>
      <c r="K9396" t="str">
        <f>("06/11/2025")</f>
        <v>06/11/2025</v>
      </c>
      <c r="L9396">
        <v>1050</v>
      </c>
      <c r="M9396">
        <v>1050</v>
      </c>
      <c r="N9396">
        <v>109</v>
      </c>
      <c r="O9396" t="str">
        <f>"PAGAMENTO DE ENTREGADORES"</f>
        <v>PAGAMENTO DE ENTREGADORES</v>
      </c>
      <c r="P9396">
        <v>1050</v>
      </c>
      <c r="S9396" t="str">
        <f>"BANCO C6 (149)"</f>
        <v>BANCO C6 (149)</v>
      </c>
      <c r="T9396">
        <v>20739</v>
      </c>
      <c r="U9396">
        <v>24648</v>
      </c>
      <c r="V9396" t="s">
        <v>77</v>
      </c>
    </row>
    <row r="9397" spans="1:22">
      <c r="A9397" t="str">
        <f t="shared" si="1772"/>
        <v>06/11/2025</v>
      </c>
      <c r="B9397" t="str">
        <f t="shared" si="1774"/>
        <v>SAÍDA</v>
      </c>
      <c r="C9397" t="str">
        <f t="shared" si="1775"/>
        <v>PIX</v>
      </c>
      <c r="D9397" t="str">
        <f>"24648"</f>
        <v>24648</v>
      </c>
      <c r="E9397" t="str">
        <f t="shared" si="1770"/>
        <v>1</v>
      </c>
      <c r="F9397" t="str">
        <f t="shared" si="1773"/>
        <v>COM</v>
      </c>
      <c r="G9397" t="str">
        <f>"PAULO CESAR DE FARIA (865)"</f>
        <v>PAULO CESAR DE FARIA (865)</v>
      </c>
      <c r="H9397" t="s">
        <v>2688</v>
      </c>
      <c r="I9397" t="str">
        <f t="shared" si="1776"/>
        <v>06/11/2025</v>
      </c>
      <c r="J9397" t="str">
        <f t="shared" si="1777"/>
        <v>03/11/2025</v>
      </c>
      <c r="K9397">
        <v>45967</v>
      </c>
      <c r="N9397">
        <v>109</v>
      </c>
      <c r="O9397" t="s">
        <v>24</v>
      </c>
      <c r="Q9397">
        <v>1050</v>
      </c>
      <c r="R9397" t="str">
        <f>"DROGARIA MORENO LTDA (10171)"</f>
        <v>DROGARIA MORENO LTDA (10171)</v>
      </c>
      <c r="S9397" t="s">
        <v>77</v>
      </c>
      <c r="T9397">
        <v>20739</v>
      </c>
      <c r="U9397">
        <v>24648</v>
      </c>
      <c r="V9397" t="s">
        <v>77</v>
      </c>
    </row>
    <row r="9398" spans="1:22">
      <c r="A9398" t="str">
        <f t="shared" si="1772"/>
        <v>06/11/2025</v>
      </c>
      <c r="B9398" t="str">
        <f t="shared" si="1774"/>
        <v>SAÍDA</v>
      </c>
      <c r="C9398" t="str">
        <f t="shared" si="1775"/>
        <v>PIX</v>
      </c>
      <c r="D9398" t="str">
        <f>"24650"</f>
        <v>24650</v>
      </c>
      <c r="E9398" t="str">
        <f t="shared" si="1770"/>
        <v>1</v>
      </c>
      <c r="F9398" t="str">
        <f t="shared" si="1773"/>
        <v>COM</v>
      </c>
      <c r="G9398" t="str">
        <f>"JAMERSON SOUZA LOPES (749)"</f>
        <v>JAMERSON SOUZA LOPES (749)</v>
      </c>
      <c r="H9398" t="str">
        <f>"Serv.Prest. 27/10/2025 a 02/11/2025 - PIX: CPF - CHAVE: 423.098.018-36"</f>
        <v>Serv.Prest. 27/10/2025 a 02/11/2025 - PIX: CPF - CHAVE: 423.098.018-36</v>
      </c>
      <c r="I9398" t="str">
        <f t="shared" si="1776"/>
        <v>06/11/2025</v>
      </c>
      <c r="J9398" t="str">
        <f t="shared" si="1777"/>
        <v>03/11/2025</v>
      </c>
      <c r="K9398" t="str">
        <f>("06/11/2025")</f>
        <v>06/11/2025</v>
      </c>
      <c r="L9398">
        <v>705</v>
      </c>
      <c r="M9398">
        <v>705</v>
      </c>
      <c r="N9398">
        <v>109</v>
      </c>
      <c r="O9398" t="str">
        <f>"PAGAMENTO DE ENTREGADORES"</f>
        <v>PAGAMENTO DE ENTREGADORES</v>
      </c>
      <c r="P9398">
        <v>705</v>
      </c>
      <c r="S9398" t="str">
        <f>"BANCO C6 (149)"</f>
        <v>BANCO C6 (149)</v>
      </c>
      <c r="T9398">
        <v>20740</v>
      </c>
      <c r="U9398">
        <v>24650</v>
      </c>
      <c r="V9398" t="s">
        <v>77</v>
      </c>
    </row>
    <row r="9399" spans="1:22">
      <c r="A9399" t="str">
        <f t="shared" si="1772"/>
        <v>06/11/2025</v>
      </c>
      <c r="B9399" t="str">
        <f t="shared" si="1774"/>
        <v>SAÍDA</v>
      </c>
      <c r="C9399" t="str">
        <f t="shared" si="1775"/>
        <v>PIX</v>
      </c>
      <c r="D9399" t="str">
        <f>"24650"</f>
        <v>24650</v>
      </c>
      <c r="E9399" t="str">
        <f t="shared" si="1770"/>
        <v>1</v>
      </c>
      <c r="F9399" t="str">
        <f t="shared" si="1773"/>
        <v>COM</v>
      </c>
      <c r="G9399" t="str">
        <f>"JAMERSON SOUZA LOPES (749)"</f>
        <v>JAMERSON SOUZA LOPES (749)</v>
      </c>
      <c r="H9399" t="s">
        <v>2460</v>
      </c>
      <c r="I9399" t="str">
        <f t="shared" si="1776"/>
        <v>06/11/2025</v>
      </c>
      <c r="J9399" t="str">
        <f t="shared" si="1777"/>
        <v>03/11/2025</v>
      </c>
      <c r="K9399">
        <v>45967</v>
      </c>
      <c r="N9399">
        <v>109</v>
      </c>
      <c r="O9399" t="s">
        <v>24</v>
      </c>
      <c r="Q9399">
        <v>705</v>
      </c>
      <c r="R9399" t="str">
        <f>"DROGARIA TOTAL JUNDIAI (10177)"</f>
        <v>DROGARIA TOTAL JUNDIAI (10177)</v>
      </c>
      <c r="S9399" t="s">
        <v>77</v>
      </c>
      <c r="T9399">
        <v>20740</v>
      </c>
      <c r="U9399">
        <v>24650</v>
      </c>
      <c r="V9399" t="s">
        <v>77</v>
      </c>
    </row>
    <row r="9400" spans="1:22">
      <c r="A9400" t="str">
        <f t="shared" si="1772"/>
        <v>06/11/2025</v>
      </c>
      <c r="B9400" t="str">
        <f t="shared" si="1774"/>
        <v>SAÍDA</v>
      </c>
      <c r="C9400" t="str">
        <f t="shared" si="1775"/>
        <v>PIX</v>
      </c>
      <c r="D9400" t="str">
        <f>"24652"</f>
        <v>24652</v>
      </c>
      <c r="E9400" t="str">
        <f t="shared" si="1770"/>
        <v>1</v>
      </c>
      <c r="F9400" t="str">
        <f t="shared" si="1773"/>
        <v>COM</v>
      </c>
      <c r="G9400" t="str">
        <f>"ISAEL SANTOS ROSA (642)"</f>
        <v>ISAEL SANTOS ROSA (642)</v>
      </c>
      <c r="H9400" t="str">
        <f>"Serv.Prest. 27/10/2025 a 02/11/2025 - PIX: CELULAR - CHAVE: (31) 99376-7989"</f>
        <v>Serv.Prest. 27/10/2025 a 02/11/2025 - PIX: CELULAR - CHAVE: (31) 99376-7989</v>
      </c>
      <c r="I9400" t="str">
        <f t="shared" si="1776"/>
        <v>06/11/2025</v>
      </c>
      <c r="J9400" t="str">
        <f t="shared" si="1777"/>
        <v>03/11/2025</v>
      </c>
      <c r="K9400" t="str">
        <f>("06/11/2025")</f>
        <v>06/11/2025</v>
      </c>
      <c r="L9400">
        <v>1400</v>
      </c>
      <c r="M9400">
        <v>1400</v>
      </c>
      <c r="N9400">
        <v>109</v>
      </c>
      <c r="O9400" t="str">
        <f>"PAGAMENTO DE ENTREGADORES"</f>
        <v>PAGAMENTO DE ENTREGADORES</v>
      </c>
      <c r="P9400">
        <v>1400</v>
      </c>
      <c r="S9400" t="str">
        <f>"BANCO C6 (149)"</f>
        <v>BANCO C6 (149)</v>
      </c>
      <c r="T9400">
        <v>20741</v>
      </c>
      <c r="U9400">
        <v>24652</v>
      </c>
      <c r="V9400" t="s">
        <v>77</v>
      </c>
    </row>
    <row r="9401" spans="1:22">
      <c r="A9401" t="str">
        <f t="shared" si="1772"/>
        <v>06/11/2025</v>
      </c>
      <c r="B9401" t="str">
        <f t="shared" si="1774"/>
        <v>SAÍDA</v>
      </c>
      <c r="C9401" t="str">
        <f t="shared" si="1775"/>
        <v>PIX</v>
      </c>
      <c r="D9401" t="str">
        <f>"24652"</f>
        <v>24652</v>
      </c>
      <c r="E9401" t="str">
        <f t="shared" si="1770"/>
        <v>1</v>
      </c>
      <c r="F9401" t="str">
        <f t="shared" si="1773"/>
        <v>COM</v>
      </c>
      <c r="G9401" t="str">
        <f>"ISAEL SANTOS ROSA (642)"</f>
        <v>ISAEL SANTOS ROSA (642)</v>
      </c>
      <c r="H9401" t="s">
        <v>2689</v>
      </c>
      <c r="I9401" t="str">
        <f t="shared" si="1776"/>
        <v>06/11/2025</v>
      </c>
      <c r="J9401" t="str">
        <f t="shared" si="1777"/>
        <v>03/11/2025</v>
      </c>
      <c r="K9401">
        <v>45967</v>
      </c>
      <c r="N9401">
        <v>109</v>
      </c>
      <c r="O9401" t="s">
        <v>24</v>
      </c>
      <c r="Q9401">
        <v>1400</v>
      </c>
      <c r="R9401" t="str">
        <f>"DROGARIA POUPA MINAS (ULTRAMINAS) 3 (10129)"</f>
        <v>DROGARIA POUPA MINAS (ULTRAMINAS) 3 (10129)</v>
      </c>
      <c r="S9401" t="s">
        <v>77</v>
      </c>
      <c r="T9401">
        <v>20741</v>
      </c>
      <c r="U9401">
        <v>24652</v>
      </c>
      <c r="V9401" t="s">
        <v>77</v>
      </c>
    </row>
    <row r="9402" spans="1:22">
      <c r="A9402" t="str">
        <f t="shared" si="1772"/>
        <v>06/11/2025</v>
      </c>
      <c r="B9402" t="str">
        <f t="shared" si="1774"/>
        <v>SAÍDA</v>
      </c>
      <c r="C9402" t="str">
        <f t="shared" si="1775"/>
        <v>PIX</v>
      </c>
      <c r="D9402" t="str">
        <f>"24654"</f>
        <v>24654</v>
      </c>
      <c r="E9402" t="str">
        <f t="shared" si="1770"/>
        <v>1</v>
      </c>
      <c r="F9402" t="str">
        <f t="shared" si="1773"/>
        <v>COM</v>
      </c>
      <c r="G9402" t="str">
        <f>"BRENO HENRIQUE DE SOUSA (596)"</f>
        <v>BRENO HENRIQUE DE SOUSA (596)</v>
      </c>
      <c r="H9402" t="str">
        <f>"Serv.Prest. 27/10/2025 a 02/11/2025 - PIX: CELULAR - CHAVE: (37) 99146-2630"</f>
        <v>Serv.Prest. 27/10/2025 a 02/11/2025 - PIX: CELULAR - CHAVE: (37) 99146-2630</v>
      </c>
      <c r="I9402" t="str">
        <f t="shared" si="1776"/>
        <v>06/11/2025</v>
      </c>
      <c r="J9402" t="str">
        <f t="shared" si="1777"/>
        <v>03/11/2025</v>
      </c>
      <c r="K9402" t="str">
        <f>("06/11/2025")</f>
        <v>06/11/2025</v>
      </c>
      <c r="L9402">
        <v>1000</v>
      </c>
      <c r="M9402">
        <v>1000</v>
      </c>
      <c r="N9402">
        <v>109</v>
      </c>
      <c r="O9402" t="str">
        <f>"PAGAMENTO DE ENTREGADORES"</f>
        <v>PAGAMENTO DE ENTREGADORES</v>
      </c>
      <c r="P9402">
        <v>1000</v>
      </c>
      <c r="S9402" t="str">
        <f>"BANCO C6 (149)"</f>
        <v>BANCO C6 (149)</v>
      </c>
      <c r="T9402">
        <v>20742</v>
      </c>
      <c r="U9402">
        <v>24654</v>
      </c>
      <c r="V9402" t="s">
        <v>77</v>
      </c>
    </row>
    <row r="9403" spans="1:22">
      <c r="A9403" t="str">
        <f t="shared" si="1772"/>
        <v>06/11/2025</v>
      </c>
      <c r="B9403" t="str">
        <f t="shared" si="1774"/>
        <v>SAÍDA</v>
      </c>
      <c r="C9403" t="str">
        <f t="shared" si="1775"/>
        <v>PIX</v>
      </c>
      <c r="D9403" t="str">
        <f>"24654"</f>
        <v>24654</v>
      </c>
      <c r="E9403" t="str">
        <f t="shared" si="1770"/>
        <v>1</v>
      </c>
      <c r="F9403" t="str">
        <f t="shared" si="1773"/>
        <v>COM</v>
      </c>
      <c r="G9403" t="str">
        <f>"BRENO HENRIQUE DE SOUSA (596)"</f>
        <v>BRENO HENRIQUE DE SOUSA (596)</v>
      </c>
      <c r="H9403" t="s">
        <v>2441</v>
      </c>
      <c r="I9403" t="str">
        <f t="shared" si="1776"/>
        <v>06/11/2025</v>
      </c>
      <c r="J9403" t="str">
        <f t="shared" si="1777"/>
        <v>03/11/2025</v>
      </c>
      <c r="K9403">
        <v>45967</v>
      </c>
      <c r="N9403">
        <v>109</v>
      </c>
      <c r="O9403" t="s">
        <v>24</v>
      </c>
      <c r="Q9403">
        <v>1000</v>
      </c>
      <c r="R9403" t="str">
        <f>"DROGARIA POUPA MINAS (ULTRAMINAS) 1 (10181)"</f>
        <v>DROGARIA POUPA MINAS (ULTRAMINAS) 1 (10181)</v>
      </c>
      <c r="S9403" t="s">
        <v>77</v>
      </c>
      <c r="T9403">
        <v>20742</v>
      </c>
      <c r="U9403">
        <v>24654</v>
      </c>
      <c r="V9403" t="s">
        <v>77</v>
      </c>
    </row>
    <row r="9404" spans="1:22">
      <c r="A9404" t="str">
        <f t="shared" si="1772"/>
        <v>06/11/2025</v>
      </c>
      <c r="B9404" t="str">
        <f t="shared" si="1774"/>
        <v>SAÍDA</v>
      </c>
      <c r="C9404" t="str">
        <f t="shared" si="1775"/>
        <v>PIX</v>
      </c>
      <c r="D9404" t="str">
        <f>"24655"</f>
        <v>24655</v>
      </c>
      <c r="E9404" t="str">
        <f t="shared" si="1770"/>
        <v>1</v>
      </c>
      <c r="F9404" t="str">
        <f t="shared" si="1773"/>
        <v>COM</v>
      </c>
      <c r="G9404" t="str">
        <f>"LUIZ PAULO DE OLIVEIRA (712)"</f>
        <v>LUIZ PAULO DE OLIVEIRA (712)</v>
      </c>
      <c r="H9404" t="str">
        <f>"Serv.Prest. 27/10/2025 a 02/11/2025 - PIX: CPF - CHAVE: 090.332.006-19"</f>
        <v>Serv.Prest. 27/10/2025 a 02/11/2025 - PIX: CPF - CHAVE: 090.332.006-19</v>
      </c>
      <c r="I9404" t="str">
        <f t="shared" si="1776"/>
        <v>06/11/2025</v>
      </c>
      <c r="J9404" t="str">
        <f t="shared" si="1777"/>
        <v>03/11/2025</v>
      </c>
      <c r="K9404" t="str">
        <f>("06/11/2025")</f>
        <v>06/11/2025</v>
      </c>
      <c r="L9404">
        <v>1080</v>
      </c>
      <c r="M9404">
        <v>1080</v>
      </c>
      <c r="N9404">
        <v>109</v>
      </c>
      <c r="O9404" t="str">
        <f>"PAGAMENTO DE ENTREGADORES"</f>
        <v>PAGAMENTO DE ENTREGADORES</v>
      </c>
      <c r="P9404">
        <v>1080</v>
      </c>
      <c r="S9404" t="str">
        <f>"BANCO C6 (149)"</f>
        <v>BANCO C6 (149)</v>
      </c>
      <c r="T9404">
        <v>20743</v>
      </c>
      <c r="U9404">
        <v>24655</v>
      </c>
      <c r="V9404" t="s">
        <v>77</v>
      </c>
    </row>
    <row r="9405" spans="1:22">
      <c r="A9405" t="str">
        <f t="shared" si="1772"/>
        <v>06/11/2025</v>
      </c>
      <c r="B9405" t="str">
        <f t="shared" si="1774"/>
        <v>SAÍDA</v>
      </c>
      <c r="C9405" t="str">
        <f t="shared" si="1775"/>
        <v>PIX</v>
      </c>
      <c r="D9405" t="str">
        <f>"24655"</f>
        <v>24655</v>
      </c>
      <c r="E9405" t="str">
        <f t="shared" si="1770"/>
        <v>1</v>
      </c>
      <c r="F9405" t="str">
        <f t="shared" si="1773"/>
        <v>COM</v>
      </c>
      <c r="G9405" t="str">
        <f>"LUIZ PAULO DE OLIVEIRA (712)"</f>
        <v>LUIZ PAULO DE OLIVEIRA (712)</v>
      </c>
      <c r="H9405" t="s">
        <v>2690</v>
      </c>
      <c r="I9405" t="str">
        <f t="shared" si="1776"/>
        <v>06/11/2025</v>
      </c>
      <c r="J9405" t="str">
        <f t="shared" si="1777"/>
        <v>03/11/2025</v>
      </c>
      <c r="K9405">
        <v>45967</v>
      </c>
      <c r="N9405">
        <v>109</v>
      </c>
      <c r="O9405" t="s">
        <v>24</v>
      </c>
      <c r="Q9405">
        <v>1080</v>
      </c>
      <c r="R9405" t="str">
        <f>"DROGARIA POUPA MINAS (ULTRAMINAS) 1 (10181)"</f>
        <v>DROGARIA POUPA MINAS (ULTRAMINAS) 1 (10181)</v>
      </c>
      <c r="S9405" t="s">
        <v>77</v>
      </c>
      <c r="T9405">
        <v>20743</v>
      </c>
      <c r="U9405">
        <v>24655</v>
      </c>
      <c r="V9405" t="s">
        <v>77</v>
      </c>
    </row>
    <row r="9406" spans="1:22">
      <c r="A9406" t="str">
        <f t="shared" si="1772"/>
        <v>06/11/2025</v>
      </c>
      <c r="B9406" t="str">
        <f t="shared" si="1774"/>
        <v>SAÍDA</v>
      </c>
      <c r="C9406" t="str">
        <f t="shared" si="1775"/>
        <v>PIX</v>
      </c>
      <c r="D9406" t="str">
        <f>"24656"</f>
        <v>24656</v>
      </c>
      <c r="E9406" t="str">
        <f t="shared" si="1770"/>
        <v>1</v>
      </c>
      <c r="F9406" t="str">
        <f t="shared" si="1773"/>
        <v>COM</v>
      </c>
      <c r="G9406" t="str">
        <f>"RICHARD HENRIQUE DA SILVA (244)"</f>
        <v>RICHARD HENRIQUE DA SILVA (244)</v>
      </c>
      <c r="H9406" t="str">
        <f>"Serv.Prest. 27/10/2025 a 02/11/2025 - PIX: CELULAR - CHAVE: (37) 99197-6834"</f>
        <v>Serv.Prest. 27/10/2025 a 02/11/2025 - PIX: CELULAR - CHAVE: (37) 99197-6834</v>
      </c>
      <c r="I9406" t="str">
        <f t="shared" si="1776"/>
        <v>06/11/2025</v>
      </c>
      <c r="J9406" t="str">
        <f t="shared" si="1777"/>
        <v>03/11/2025</v>
      </c>
      <c r="K9406" t="str">
        <f>("06/11/2025")</f>
        <v>06/11/2025</v>
      </c>
      <c r="L9406">
        <v>1440</v>
      </c>
      <c r="M9406">
        <v>1440</v>
      </c>
      <c r="N9406">
        <v>109</v>
      </c>
      <c r="O9406" t="str">
        <f>"PAGAMENTO DE ENTREGADORES"</f>
        <v>PAGAMENTO DE ENTREGADORES</v>
      </c>
      <c r="P9406">
        <v>1440</v>
      </c>
      <c r="S9406" t="str">
        <f>"BANCO C6 (149)"</f>
        <v>BANCO C6 (149)</v>
      </c>
      <c r="T9406">
        <v>20744</v>
      </c>
      <c r="U9406">
        <v>24656</v>
      </c>
      <c r="V9406" t="s">
        <v>77</v>
      </c>
    </row>
    <row r="9407" spans="1:22">
      <c r="A9407" t="str">
        <f t="shared" si="1772"/>
        <v>06/11/2025</v>
      </c>
      <c r="B9407" t="str">
        <f t="shared" si="1774"/>
        <v>SAÍDA</v>
      </c>
      <c r="C9407" t="str">
        <f t="shared" si="1775"/>
        <v>PIX</v>
      </c>
      <c r="D9407" t="str">
        <f>"24656"</f>
        <v>24656</v>
      </c>
      <c r="E9407" t="str">
        <f t="shared" si="1770"/>
        <v>1</v>
      </c>
      <c r="F9407" t="str">
        <f t="shared" si="1773"/>
        <v>COM</v>
      </c>
      <c r="G9407" t="str">
        <f>"RICHARD HENRIQUE DA SILVA (244)"</f>
        <v>RICHARD HENRIQUE DA SILVA (244)</v>
      </c>
      <c r="H9407" t="s">
        <v>2691</v>
      </c>
      <c r="I9407" t="str">
        <f t="shared" si="1776"/>
        <v>06/11/2025</v>
      </c>
      <c r="J9407" t="str">
        <f t="shared" si="1777"/>
        <v>03/11/2025</v>
      </c>
      <c r="K9407">
        <v>45967</v>
      </c>
      <c r="N9407">
        <v>109</v>
      </c>
      <c r="O9407" t="s">
        <v>24</v>
      </c>
      <c r="Q9407">
        <v>1440</v>
      </c>
      <c r="R9407" t="str">
        <f>"DROGARIA POUPA MINAS (ULTRAMINAS) 1 (10181)"</f>
        <v>DROGARIA POUPA MINAS (ULTRAMINAS) 1 (10181)</v>
      </c>
      <c r="S9407" t="s">
        <v>77</v>
      </c>
      <c r="T9407">
        <v>20744</v>
      </c>
      <c r="U9407">
        <v>24656</v>
      </c>
      <c r="V9407" t="s">
        <v>77</v>
      </c>
    </row>
    <row r="9408" spans="1:22">
      <c r="A9408" t="str">
        <f t="shared" si="1772"/>
        <v>06/11/2025</v>
      </c>
      <c r="B9408" t="str">
        <f t="shared" si="1774"/>
        <v>SAÍDA</v>
      </c>
      <c r="C9408" t="str">
        <f t="shared" si="1775"/>
        <v>PIX</v>
      </c>
      <c r="D9408" t="str">
        <f>"24657"</f>
        <v>24657</v>
      </c>
      <c r="E9408" t="str">
        <f t="shared" si="1770"/>
        <v>1</v>
      </c>
      <c r="F9408" t="str">
        <f t="shared" si="1773"/>
        <v>COM</v>
      </c>
      <c r="G9408" t="str">
        <f>"ROGERIO AUGUSTO FERREIRA (649)"</f>
        <v>ROGERIO AUGUSTO FERREIRA (649)</v>
      </c>
      <c r="H9408" t="str">
        <f>"Serv.Prest. 27/10/2025 a 02/11/2025 - PIX: CPF - CHAVE: 950.176.406-06"</f>
        <v>Serv.Prest. 27/10/2025 a 02/11/2025 - PIX: CPF - CHAVE: 950.176.406-06</v>
      </c>
      <c r="I9408" t="str">
        <f t="shared" si="1776"/>
        <v>06/11/2025</v>
      </c>
      <c r="J9408" t="str">
        <f t="shared" si="1777"/>
        <v>03/11/2025</v>
      </c>
      <c r="K9408" t="str">
        <f>("06/11/2025")</f>
        <v>06/11/2025</v>
      </c>
      <c r="L9408">
        <v>1140</v>
      </c>
      <c r="M9408">
        <v>1140</v>
      </c>
      <c r="N9408">
        <v>109</v>
      </c>
      <c r="O9408" t="str">
        <f>"PAGAMENTO DE ENTREGADORES"</f>
        <v>PAGAMENTO DE ENTREGADORES</v>
      </c>
      <c r="P9408">
        <v>1140</v>
      </c>
      <c r="S9408" t="str">
        <f>"BANCO C6 (149)"</f>
        <v>BANCO C6 (149)</v>
      </c>
      <c r="T9408">
        <v>20745</v>
      </c>
      <c r="U9408">
        <v>24657</v>
      </c>
      <c r="V9408" t="s">
        <v>77</v>
      </c>
    </row>
    <row r="9409" spans="1:22">
      <c r="A9409" t="str">
        <f t="shared" si="1772"/>
        <v>06/11/2025</v>
      </c>
      <c r="B9409" t="str">
        <f t="shared" si="1774"/>
        <v>SAÍDA</v>
      </c>
      <c r="C9409" t="str">
        <f t="shared" si="1775"/>
        <v>PIX</v>
      </c>
      <c r="D9409" t="str">
        <f>"24657"</f>
        <v>24657</v>
      </c>
      <c r="E9409" t="str">
        <f t="shared" si="1770"/>
        <v>1</v>
      </c>
      <c r="F9409" t="str">
        <f t="shared" si="1773"/>
        <v>COM</v>
      </c>
      <c r="G9409" t="str">
        <f>"ROGERIO AUGUSTO FERREIRA (649)"</f>
        <v>ROGERIO AUGUSTO FERREIRA (649)</v>
      </c>
      <c r="H9409" t="s">
        <v>2692</v>
      </c>
      <c r="I9409" t="str">
        <f t="shared" si="1776"/>
        <v>06/11/2025</v>
      </c>
      <c r="J9409" t="str">
        <f t="shared" si="1777"/>
        <v>03/11/2025</v>
      </c>
      <c r="K9409">
        <v>45967</v>
      </c>
      <c r="N9409">
        <v>109</v>
      </c>
      <c r="O9409" t="s">
        <v>24</v>
      </c>
      <c r="Q9409">
        <v>1140</v>
      </c>
      <c r="R9409" t="str">
        <f>"DROGARIA POUPA MINAS (ULTRAMINAS) 1 (10181)"</f>
        <v>DROGARIA POUPA MINAS (ULTRAMINAS) 1 (10181)</v>
      </c>
      <c r="S9409" t="s">
        <v>77</v>
      </c>
      <c r="T9409">
        <v>20745</v>
      </c>
      <c r="U9409">
        <v>24657</v>
      </c>
      <c r="V9409" t="s">
        <v>77</v>
      </c>
    </row>
    <row r="9410" spans="1:22">
      <c r="A9410" t="str">
        <f t="shared" si="1772"/>
        <v>06/11/2025</v>
      </c>
      <c r="B9410" t="str">
        <f t="shared" si="1774"/>
        <v>SAÍDA</v>
      </c>
      <c r="C9410" t="str">
        <f t="shared" si="1775"/>
        <v>PIX</v>
      </c>
      <c r="D9410" t="str">
        <f>"24658"</f>
        <v>24658</v>
      </c>
      <c r="E9410" t="str">
        <f t="shared" si="1770"/>
        <v>1</v>
      </c>
      <c r="F9410" t="str">
        <f t="shared" si="1773"/>
        <v>COM</v>
      </c>
      <c r="G9410" t="str">
        <f>"THALES VINÍCIUS RODRIGUES DE OLIVEIRA (704)"</f>
        <v>THALES VINÍCIUS RODRIGUES DE OLIVEIRA (704)</v>
      </c>
      <c r="H9410" t="str">
        <f>"Serv.Prest. 27/10/2025 a 02/11/2025 - PIX: CELULAR - CHAVE: (37) 99138-1777"</f>
        <v>Serv.Prest. 27/10/2025 a 02/11/2025 - PIX: CELULAR - CHAVE: (37) 99138-1777</v>
      </c>
      <c r="I9410" t="str">
        <f t="shared" si="1776"/>
        <v>06/11/2025</v>
      </c>
      <c r="J9410" t="str">
        <f t="shared" si="1777"/>
        <v>03/11/2025</v>
      </c>
      <c r="K9410" t="str">
        <f>("06/11/2025")</f>
        <v>06/11/2025</v>
      </c>
      <c r="L9410">
        <v>1080</v>
      </c>
      <c r="M9410">
        <v>1080</v>
      </c>
      <c r="N9410">
        <v>109</v>
      </c>
      <c r="O9410" t="str">
        <f>"PAGAMENTO DE ENTREGADORES"</f>
        <v>PAGAMENTO DE ENTREGADORES</v>
      </c>
      <c r="P9410">
        <v>1080</v>
      </c>
      <c r="S9410" t="str">
        <f>"BANCO C6 (149)"</f>
        <v>BANCO C6 (149)</v>
      </c>
      <c r="T9410">
        <v>20746</v>
      </c>
      <c r="U9410">
        <v>24658</v>
      </c>
      <c r="V9410" t="s">
        <v>77</v>
      </c>
    </row>
    <row r="9411" spans="1:22">
      <c r="A9411" t="str">
        <f t="shared" si="1772"/>
        <v>06/11/2025</v>
      </c>
      <c r="B9411" t="str">
        <f t="shared" si="1774"/>
        <v>SAÍDA</v>
      </c>
      <c r="C9411" t="str">
        <f t="shared" si="1775"/>
        <v>PIX</v>
      </c>
      <c r="D9411" t="str">
        <f>"24658"</f>
        <v>24658</v>
      </c>
      <c r="E9411" t="str">
        <f t="shared" si="1770"/>
        <v>1</v>
      </c>
      <c r="F9411" t="str">
        <f t="shared" si="1773"/>
        <v>COM</v>
      </c>
      <c r="G9411" t="str">
        <f>"THALES VINÍCIUS RODRIGUES DE OLIVEIRA (704)"</f>
        <v>THALES VINÍCIUS RODRIGUES DE OLIVEIRA (704)</v>
      </c>
      <c r="H9411" t="s">
        <v>2693</v>
      </c>
      <c r="I9411" t="str">
        <f t="shared" si="1776"/>
        <v>06/11/2025</v>
      </c>
      <c r="J9411" t="str">
        <f t="shared" si="1777"/>
        <v>03/11/2025</v>
      </c>
      <c r="K9411">
        <v>45967</v>
      </c>
      <c r="N9411">
        <v>109</v>
      </c>
      <c r="O9411" t="s">
        <v>24</v>
      </c>
      <c r="Q9411">
        <v>1080</v>
      </c>
      <c r="R9411" t="str">
        <f>"DROGARIA POUPA MINAS (ULTRAMINAS) 1 (10181)"</f>
        <v>DROGARIA POUPA MINAS (ULTRAMINAS) 1 (10181)</v>
      </c>
      <c r="S9411" t="s">
        <v>77</v>
      </c>
      <c r="T9411">
        <v>20746</v>
      </c>
      <c r="U9411">
        <v>24658</v>
      </c>
      <c r="V9411" t="s">
        <v>77</v>
      </c>
    </row>
    <row r="9412" spans="1:22">
      <c r="A9412" t="str">
        <f t="shared" si="1772"/>
        <v>06/11/2025</v>
      </c>
      <c r="B9412" t="str">
        <f t="shared" si="1774"/>
        <v>SAÍDA</v>
      </c>
      <c r="C9412" t="str">
        <f t="shared" si="1775"/>
        <v>PIX</v>
      </c>
      <c r="D9412" t="str">
        <f>"24659"</f>
        <v>24659</v>
      </c>
      <c r="E9412" t="str">
        <f t="shared" si="1770"/>
        <v>1</v>
      </c>
      <c r="F9412" t="str">
        <f t="shared" si="1773"/>
        <v>COM</v>
      </c>
      <c r="G9412" t="str">
        <f>"TIAGO VIEIRA (372)"</f>
        <v>TIAGO VIEIRA (372)</v>
      </c>
      <c r="H9412" t="str">
        <f>"Serv.Prest. 27/10/2025 a 02/11/2025 - PIX: CELULAR - CHAVE: (37) 98841-8571"</f>
        <v>Serv.Prest. 27/10/2025 a 02/11/2025 - PIX: CELULAR - CHAVE: (37) 98841-8571</v>
      </c>
      <c r="I9412" t="str">
        <f t="shared" si="1776"/>
        <v>06/11/2025</v>
      </c>
      <c r="J9412" t="str">
        <f t="shared" si="1777"/>
        <v>03/11/2025</v>
      </c>
      <c r="K9412" t="str">
        <f>("06/11/2025")</f>
        <v>06/11/2025</v>
      </c>
      <c r="L9412">
        <v>540</v>
      </c>
      <c r="M9412">
        <v>540</v>
      </c>
      <c r="N9412">
        <v>109</v>
      </c>
      <c r="O9412" t="str">
        <f>"PAGAMENTO DE ENTREGADORES"</f>
        <v>PAGAMENTO DE ENTREGADORES</v>
      </c>
      <c r="P9412">
        <v>540</v>
      </c>
      <c r="S9412" t="str">
        <f>"BANCO C6 (149)"</f>
        <v>BANCO C6 (149)</v>
      </c>
      <c r="T9412">
        <v>20747</v>
      </c>
      <c r="U9412">
        <v>24659</v>
      </c>
      <c r="V9412" t="s">
        <v>77</v>
      </c>
    </row>
    <row r="9413" spans="1:22">
      <c r="A9413" t="str">
        <f t="shared" si="1772"/>
        <v>06/11/2025</v>
      </c>
      <c r="B9413" t="str">
        <f t="shared" si="1774"/>
        <v>SAÍDA</v>
      </c>
      <c r="C9413" t="str">
        <f t="shared" si="1775"/>
        <v>PIX</v>
      </c>
      <c r="D9413" t="str">
        <f>"24659"</f>
        <v>24659</v>
      </c>
      <c r="E9413" t="str">
        <f t="shared" si="1770"/>
        <v>1</v>
      </c>
      <c r="F9413" t="str">
        <f t="shared" si="1773"/>
        <v>COM</v>
      </c>
      <c r="G9413" t="str">
        <f>"TIAGO VIEIRA (372)"</f>
        <v>TIAGO VIEIRA (372)</v>
      </c>
      <c r="H9413" t="s">
        <v>2694</v>
      </c>
      <c r="I9413" t="str">
        <f t="shared" si="1776"/>
        <v>06/11/2025</v>
      </c>
      <c r="J9413" t="str">
        <f t="shared" si="1777"/>
        <v>03/11/2025</v>
      </c>
      <c r="K9413">
        <v>45967</v>
      </c>
      <c r="N9413">
        <v>109</v>
      </c>
      <c r="O9413" t="s">
        <v>24</v>
      </c>
      <c r="Q9413">
        <v>540</v>
      </c>
      <c r="R9413" t="str">
        <f>"DROGARIA POUPA MINAS (ULTRAMINAS) 1 (10181)"</f>
        <v>DROGARIA POUPA MINAS (ULTRAMINAS) 1 (10181)</v>
      </c>
      <c r="S9413" t="s">
        <v>77</v>
      </c>
      <c r="T9413">
        <v>20747</v>
      </c>
      <c r="U9413">
        <v>24659</v>
      </c>
      <c r="V9413" t="s">
        <v>77</v>
      </c>
    </row>
    <row r="9414" spans="1:22">
      <c r="A9414" t="str">
        <f t="shared" si="1772"/>
        <v>06/11/2025</v>
      </c>
      <c r="B9414" t="str">
        <f t="shared" si="1774"/>
        <v>SAÍDA</v>
      </c>
      <c r="C9414" t="str">
        <f t="shared" si="1775"/>
        <v>PIX</v>
      </c>
      <c r="D9414" t="str">
        <f>"24661"</f>
        <v>24661</v>
      </c>
      <c r="E9414" t="str">
        <f t="shared" ref="E9414:E9477" si="1778">"1"</f>
        <v>1</v>
      </c>
      <c r="F9414" t="str">
        <f t="shared" si="1773"/>
        <v>COM</v>
      </c>
      <c r="G9414" t="str">
        <f>"ARLINDO COSTA FELIX (754)"</f>
        <v>ARLINDO COSTA FELIX (754)</v>
      </c>
      <c r="H9414" t="str">
        <f>"Serv.Prest. 27/10/2025 a 02/11/2025 - PIX: CPF - CHAVE: 103.983.366-79"</f>
        <v>Serv.Prest. 27/10/2025 a 02/11/2025 - PIX: CPF - CHAVE: 103.983.366-79</v>
      </c>
      <c r="I9414" t="str">
        <f t="shared" si="1776"/>
        <v>06/11/2025</v>
      </c>
      <c r="J9414" t="str">
        <f t="shared" si="1777"/>
        <v>03/11/2025</v>
      </c>
      <c r="K9414" t="str">
        <f>("06/11/2025")</f>
        <v>06/11/2025</v>
      </c>
      <c r="L9414">
        <v>1344</v>
      </c>
      <c r="M9414">
        <v>1344</v>
      </c>
      <c r="N9414">
        <v>109</v>
      </c>
      <c r="O9414" t="str">
        <f>"PAGAMENTO DE ENTREGADORES"</f>
        <v>PAGAMENTO DE ENTREGADORES</v>
      </c>
      <c r="P9414">
        <v>1344</v>
      </c>
      <c r="S9414" t="str">
        <f>"BANCO C6 (149)"</f>
        <v>BANCO C6 (149)</v>
      </c>
      <c r="T9414">
        <v>20748</v>
      </c>
      <c r="U9414">
        <v>24661</v>
      </c>
      <c r="V9414" t="s">
        <v>77</v>
      </c>
    </row>
    <row r="9415" spans="1:22">
      <c r="A9415" t="str">
        <f t="shared" si="1772"/>
        <v>06/11/2025</v>
      </c>
      <c r="B9415" t="str">
        <f t="shared" si="1774"/>
        <v>SAÍDA</v>
      </c>
      <c r="C9415" t="str">
        <f t="shared" si="1775"/>
        <v>PIX</v>
      </c>
      <c r="D9415" t="str">
        <f>"24661"</f>
        <v>24661</v>
      </c>
      <c r="E9415" t="str">
        <f t="shared" si="1778"/>
        <v>1</v>
      </c>
      <c r="F9415" t="str">
        <f t="shared" si="1773"/>
        <v>COM</v>
      </c>
      <c r="G9415" t="str">
        <f>"ARLINDO COSTA FELIX (754)"</f>
        <v>ARLINDO COSTA FELIX (754)</v>
      </c>
      <c r="H9415" t="s">
        <v>2695</v>
      </c>
      <c r="I9415" t="str">
        <f t="shared" si="1776"/>
        <v>06/11/2025</v>
      </c>
      <c r="J9415" t="str">
        <f t="shared" si="1777"/>
        <v>03/11/2025</v>
      </c>
      <c r="K9415">
        <v>45967</v>
      </c>
      <c r="N9415">
        <v>109</v>
      </c>
      <c r="O9415" t="s">
        <v>24</v>
      </c>
      <c r="Q9415">
        <v>1344</v>
      </c>
      <c r="R9415" t="str">
        <f>"ENTREFARMA (10164)"</f>
        <v>ENTREFARMA (10164)</v>
      </c>
      <c r="S9415" t="s">
        <v>77</v>
      </c>
      <c r="T9415">
        <v>20748</v>
      </c>
      <c r="U9415">
        <v>24661</v>
      </c>
      <c r="V9415" t="s">
        <v>77</v>
      </c>
    </row>
    <row r="9416" spans="1:22">
      <c r="A9416" t="str">
        <f t="shared" si="1772"/>
        <v>06/11/2025</v>
      </c>
      <c r="B9416" t="str">
        <f t="shared" si="1774"/>
        <v>SAÍDA</v>
      </c>
      <c r="C9416" t="str">
        <f t="shared" si="1775"/>
        <v>PIX</v>
      </c>
      <c r="D9416" t="str">
        <f>"24662"</f>
        <v>24662</v>
      </c>
      <c r="E9416" t="str">
        <f t="shared" si="1778"/>
        <v>1</v>
      </c>
      <c r="F9416" t="str">
        <f t="shared" si="1773"/>
        <v>COM</v>
      </c>
      <c r="G9416" t="str">
        <f>"LEONICIO CORREA DA SILVA (716)"</f>
        <v>LEONICIO CORREA DA SILVA (716)</v>
      </c>
      <c r="H9416" t="str">
        <f>"Serv.Prest. 27/10/2025 a 02/11/2025 - PIX: CPF - CHAVE: 138.263.636-98"</f>
        <v>Serv.Prest. 27/10/2025 a 02/11/2025 - PIX: CPF - CHAVE: 138.263.636-98</v>
      </c>
      <c r="I9416" t="str">
        <f t="shared" si="1776"/>
        <v>06/11/2025</v>
      </c>
      <c r="J9416" t="str">
        <f t="shared" si="1777"/>
        <v>03/11/2025</v>
      </c>
      <c r="K9416" t="str">
        <f>("06/11/2025")</f>
        <v>06/11/2025</v>
      </c>
      <c r="L9416">
        <v>1134</v>
      </c>
      <c r="M9416">
        <v>1134</v>
      </c>
      <c r="N9416">
        <v>109</v>
      </c>
      <c r="O9416" t="str">
        <f>"PAGAMENTO DE ENTREGADORES"</f>
        <v>PAGAMENTO DE ENTREGADORES</v>
      </c>
      <c r="P9416">
        <v>1134</v>
      </c>
      <c r="S9416" t="str">
        <f>"BANCO C6 (149)"</f>
        <v>BANCO C6 (149)</v>
      </c>
      <c r="T9416">
        <v>20749</v>
      </c>
      <c r="U9416">
        <v>24662</v>
      </c>
      <c r="V9416" t="s">
        <v>77</v>
      </c>
    </row>
    <row r="9417" spans="1:22">
      <c r="A9417" t="str">
        <f t="shared" si="1772"/>
        <v>06/11/2025</v>
      </c>
      <c r="B9417" t="str">
        <f t="shared" si="1774"/>
        <v>SAÍDA</v>
      </c>
      <c r="C9417" t="str">
        <f t="shared" si="1775"/>
        <v>PIX</v>
      </c>
      <c r="D9417" t="str">
        <f>"24662"</f>
        <v>24662</v>
      </c>
      <c r="E9417" t="str">
        <f t="shared" si="1778"/>
        <v>1</v>
      </c>
      <c r="F9417" t="str">
        <f t="shared" si="1773"/>
        <v>COM</v>
      </c>
      <c r="G9417" t="str">
        <f>"LEONICIO CORREA DA SILVA (716)"</f>
        <v>LEONICIO CORREA DA SILVA (716)</v>
      </c>
      <c r="H9417" t="s">
        <v>2696</v>
      </c>
      <c r="I9417" t="str">
        <f t="shared" si="1776"/>
        <v>06/11/2025</v>
      </c>
      <c r="J9417" t="str">
        <f t="shared" si="1777"/>
        <v>03/11/2025</v>
      </c>
      <c r="K9417">
        <v>45967</v>
      </c>
      <c r="N9417">
        <v>109</v>
      </c>
      <c r="O9417" t="s">
        <v>24</v>
      </c>
      <c r="Q9417">
        <v>1134</v>
      </c>
      <c r="R9417" t="str">
        <f>"ENTREFARMA (10164)"</f>
        <v>ENTREFARMA (10164)</v>
      </c>
      <c r="S9417" t="s">
        <v>77</v>
      </c>
      <c r="T9417">
        <v>20749</v>
      </c>
      <c r="U9417">
        <v>24662</v>
      </c>
      <c r="V9417" t="s">
        <v>77</v>
      </c>
    </row>
    <row r="9418" spans="1:22">
      <c r="A9418" t="str">
        <f t="shared" si="1772"/>
        <v>06/11/2025</v>
      </c>
      <c r="B9418" t="str">
        <f t="shared" si="1774"/>
        <v>SAÍDA</v>
      </c>
      <c r="C9418" t="str">
        <f t="shared" si="1775"/>
        <v>PIX</v>
      </c>
      <c r="D9418" t="str">
        <f>"24663"</f>
        <v>24663</v>
      </c>
      <c r="E9418" t="str">
        <f t="shared" si="1778"/>
        <v>1</v>
      </c>
      <c r="F9418" t="str">
        <f t="shared" si="1773"/>
        <v>COM</v>
      </c>
      <c r="G9418" t="str">
        <f>"SADRAK ENOKES BORGES (725)"</f>
        <v>SADRAK ENOKES BORGES (725)</v>
      </c>
      <c r="H9418" t="str">
        <f>"Serv.Prest. 27/10/2025 a 02/11/2025 - PIX: CPF - CHAVE: 128.367.756-37"</f>
        <v>Serv.Prest. 27/10/2025 a 02/11/2025 - PIX: CPF - CHAVE: 128.367.756-37</v>
      </c>
      <c r="I9418" t="str">
        <f t="shared" si="1776"/>
        <v>06/11/2025</v>
      </c>
      <c r="J9418" t="str">
        <f t="shared" si="1777"/>
        <v>03/11/2025</v>
      </c>
      <c r="K9418" t="str">
        <f>("06/11/2025")</f>
        <v>06/11/2025</v>
      </c>
      <c r="L9418">
        <v>1236</v>
      </c>
      <c r="M9418">
        <v>1236</v>
      </c>
      <c r="N9418">
        <v>109</v>
      </c>
      <c r="O9418" t="str">
        <f>"PAGAMENTO DE ENTREGADORES"</f>
        <v>PAGAMENTO DE ENTREGADORES</v>
      </c>
      <c r="P9418">
        <v>1236</v>
      </c>
      <c r="S9418" t="str">
        <f>"BANCO C6 (149)"</f>
        <v>BANCO C6 (149)</v>
      </c>
      <c r="T9418">
        <v>20750</v>
      </c>
      <c r="U9418">
        <v>24663</v>
      </c>
      <c r="V9418" t="s">
        <v>77</v>
      </c>
    </row>
    <row r="9419" spans="1:22">
      <c r="A9419" t="str">
        <f t="shared" si="1772"/>
        <v>06/11/2025</v>
      </c>
      <c r="B9419" t="str">
        <f t="shared" si="1774"/>
        <v>SAÍDA</v>
      </c>
      <c r="C9419" t="str">
        <f t="shared" si="1775"/>
        <v>PIX</v>
      </c>
      <c r="D9419" t="str">
        <f>"24663"</f>
        <v>24663</v>
      </c>
      <c r="E9419" t="str">
        <f t="shared" si="1778"/>
        <v>1</v>
      </c>
      <c r="F9419" t="str">
        <f t="shared" si="1773"/>
        <v>COM</v>
      </c>
      <c r="G9419" t="str">
        <f>"SADRAK ENOKES BORGES (725)"</f>
        <v>SADRAK ENOKES BORGES (725)</v>
      </c>
      <c r="H9419" t="s">
        <v>2697</v>
      </c>
      <c r="I9419" t="str">
        <f t="shared" si="1776"/>
        <v>06/11/2025</v>
      </c>
      <c r="J9419" t="str">
        <f t="shared" si="1777"/>
        <v>03/11/2025</v>
      </c>
      <c r="K9419">
        <v>45967</v>
      </c>
      <c r="N9419">
        <v>109</v>
      </c>
      <c r="O9419" t="s">
        <v>24</v>
      </c>
      <c r="Q9419">
        <v>1236</v>
      </c>
      <c r="R9419" t="str">
        <f>"ENTREFARMA (10164)"</f>
        <v>ENTREFARMA (10164)</v>
      </c>
      <c r="S9419" t="s">
        <v>77</v>
      </c>
      <c r="T9419">
        <v>20750</v>
      </c>
      <c r="U9419">
        <v>24663</v>
      </c>
      <c r="V9419" t="s">
        <v>77</v>
      </c>
    </row>
    <row r="9420" spans="1:22">
      <c r="A9420" t="str">
        <f t="shared" si="1772"/>
        <v>06/11/2025</v>
      </c>
      <c r="B9420" t="str">
        <f t="shared" si="1774"/>
        <v>SAÍDA</v>
      </c>
      <c r="C9420" t="str">
        <f t="shared" si="1775"/>
        <v>PIX</v>
      </c>
      <c r="D9420" t="str">
        <f>"24664"</f>
        <v>24664</v>
      </c>
      <c r="E9420" t="str">
        <f t="shared" si="1778"/>
        <v>1</v>
      </c>
      <c r="F9420" t="str">
        <f t="shared" si="1773"/>
        <v>COM</v>
      </c>
      <c r="G9420" t="str">
        <f>"WENDERSON GOMES (708)"</f>
        <v>WENDERSON GOMES (708)</v>
      </c>
      <c r="H9420" t="str">
        <f>"Serv.Prest. 27/10/2025 a 02/11/2025 - PIX: CPF - CHAVE: 147.592.156-03"</f>
        <v>Serv.Prest. 27/10/2025 a 02/11/2025 - PIX: CPF - CHAVE: 147.592.156-03</v>
      </c>
      <c r="I9420" t="str">
        <f t="shared" si="1776"/>
        <v>06/11/2025</v>
      </c>
      <c r="J9420" t="str">
        <f t="shared" si="1777"/>
        <v>03/11/2025</v>
      </c>
      <c r="K9420" t="str">
        <f>("06/11/2025")</f>
        <v>06/11/2025</v>
      </c>
      <c r="L9420">
        <v>1578</v>
      </c>
      <c r="M9420">
        <v>1578</v>
      </c>
      <c r="N9420">
        <v>109</v>
      </c>
      <c r="O9420" t="str">
        <f>"PAGAMENTO DE ENTREGADORES"</f>
        <v>PAGAMENTO DE ENTREGADORES</v>
      </c>
      <c r="P9420">
        <v>1578</v>
      </c>
      <c r="S9420" t="str">
        <f>"BANCO C6 (149)"</f>
        <v>BANCO C6 (149)</v>
      </c>
      <c r="T9420">
        <v>20751</v>
      </c>
      <c r="U9420">
        <v>24664</v>
      </c>
      <c r="V9420" t="s">
        <v>77</v>
      </c>
    </row>
    <row r="9421" spans="1:22">
      <c r="A9421" t="str">
        <f t="shared" si="1772"/>
        <v>06/11/2025</v>
      </c>
      <c r="B9421" t="str">
        <f t="shared" si="1774"/>
        <v>SAÍDA</v>
      </c>
      <c r="C9421" t="str">
        <f t="shared" si="1775"/>
        <v>PIX</v>
      </c>
      <c r="D9421" t="str">
        <f>"24664"</f>
        <v>24664</v>
      </c>
      <c r="E9421" t="str">
        <f t="shared" si="1778"/>
        <v>1</v>
      </c>
      <c r="F9421" t="str">
        <f t="shared" si="1773"/>
        <v>COM</v>
      </c>
      <c r="G9421" t="str">
        <f>"WENDERSON GOMES (708)"</f>
        <v>WENDERSON GOMES (708)</v>
      </c>
      <c r="H9421" t="s">
        <v>2698</v>
      </c>
      <c r="I9421" t="str">
        <f t="shared" si="1776"/>
        <v>06/11/2025</v>
      </c>
      <c r="J9421" t="str">
        <f t="shared" si="1777"/>
        <v>03/11/2025</v>
      </c>
      <c r="K9421">
        <v>45967</v>
      </c>
      <c r="N9421">
        <v>109</v>
      </c>
      <c r="O9421" t="s">
        <v>24</v>
      </c>
      <c r="Q9421">
        <v>1578</v>
      </c>
      <c r="R9421" t="str">
        <f>"ENTREFARMA (10164)"</f>
        <v>ENTREFARMA (10164)</v>
      </c>
      <c r="S9421" t="s">
        <v>77</v>
      </c>
      <c r="T9421">
        <v>20751</v>
      </c>
      <c r="U9421">
        <v>24664</v>
      </c>
      <c r="V9421" t="s">
        <v>77</v>
      </c>
    </row>
    <row r="9422" spans="1:22">
      <c r="A9422" t="str">
        <f t="shared" si="1772"/>
        <v>06/11/2025</v>
      </c>
      <c r="B9422" t="str">
        <f t="shared" si="1774"/>
        <v>SAÍDA</v>
      </c>
      <c r="C9422" t="str">
        <f t="shared" si="1775"/>
        <v>PIX</v>
      </c>
      <c r="D9422" t="str">
        <f>"24666"</f>
        <v>24666</v>
      </c>
      <c r="E9422" t="str">
        <f t="shared" si="1778"/>
        <v>1</v>
      </c>
      <c r="F9422" t="str">
        <f t="shared" si="1773"/>
        <v>COM</v>
      </c>
      <c r="G9422" t="str">
        <f>"FABRICIO QUEIROZ DE OLIVEIRA (788)"</f>
        <v>FABRICIO QUEIROZ DE OLIVEIRA (788)</v>
      </c>
      <c r="H9422" t="str">
        <f>"Serv.Prest. 27/10/2025 a 02/11/2025 - PIX: CPF - CHAVE: 138.798.486-10"</f>
        <v>Serv.Prest. 27/10/2025 a 02/11/2025 - PIX: CPF - CHAVE: 138.798.486-10</v>
      </c>
      <c r="I9422" t="str">
        <f t="shared" si="1776"/>
        <v>06/11/2025</v>
      </c>
      <c r="J9422" t="str">
        <f t="shared" si="1777"/>
        <v>03/11/2025</v>
      </c>
      <c r="K9422" t="str">
        <f>("06/11/2025")</f>
        <v>06/11/2025</v>
      </c>
      <c r="L9422">
        <v>700</v>
      </c>
      <c r="M9422">
        <v>700</v>
      </c>
      <c r="N9422">
        <v>109</v>
      </c>
      <c r="O9422" t="str">
        <f>"PAGAMENTO DE ENTREGADORES"</f>
        <v>PAGAMENTO DE ENTREGADORES</v>
      </c>
      <c r="P9422">
        <v>700</v>
      </c>
      <c r="S9422" t="str">
        <f>"BANCO C6 (149)"</f>
        <v>BANCO C6 (149)</v>
      </c>
      <c r="T9422">
        <v>20752</v>
      </c>
      <c r="U9422">
        <v>24666</v>
      </c>
      <c r="V9422" t="s">
        <v>77</v>
      </c>
    </row>
    <row r="9423" spans="1:22">
      <c r="A9423" t="str">
        <f t="shared" si="1772"/>
        <v>06/11/2025</v>
      </c>
      <c r="B9423" t="str">
        <f t="shared" si="1774"/>
        <v>SAÍDA</v>
      </c>
      <c r="C9423" t="str">
        <f t="shared" si="1775"/>
        <v>PIX</v>
      </c>
      <c r="D9423" t="str">
        <f>"24666"</f>
        <v>24666</v>
      </c>
      <c r="E9423" t="str">
        <f t="shared" si="1778"/>
        <v>1</v>
      </c>
      <c r="F9423" t="str">
        <f t="shared" si="1773"/>
        <v>COM</v>
      </c>
      <c r="G9423" t="str">
        <f>"FABRICIO QUEIROZ DE OLIVEIRA (788)"</f>
        <v>FABRICIO QUEIROZ DE OLIVEIRA (788)</v>
      </c>
      <c r="H9423" t="s">
        <v>2699</v>
      </c>
      <c r="I9423" t="str">
        <f t="shared" si="1776"/>
        <v>06/11/2025</v>
      </c>
      <c r="J9423" t="str">
        <f t="shared" si="1777"/>
        <v>03/11/2025</v>
      </c>
      <c r="K9423">
        <v>45967</v>
      </c>
      <c r="N9423">
        <v>109</v>
      </c>
      <c r="O9423" t="s">
        <v>24</v>
      </c>
      <c r="Q9423">
        <v>674.24</v>
      </c>
      <c r="R9423" t="str">
        <f>"FRAN FARMA LJ 2 (10131)"</f>
        <v>FRAN FARMA LJ 2 (10131)</v>
      </c>
      <c r="S9423" t="s">
        <v>77</v>
      </c>
      <c r="T9423">
        <v>20752</v>
      </c>
      <c r="U9423">
        <v>24666</v>
      </c>
      <c r="V9423" t="s">
        <v>77</v>
      </c>
    </row>
    <row r="9424" spans="1:22">
      <c r="A9424" t="str">
        <f t="shared" si="1772"/>
        <v>06/11/2025</v>
      </c>
      <c r="B9424" t="str">
        <f t="shared" si="1774"/>
        <v>SAÍDA</v>
      </c>
      <c r="C9424" t="str">
        <f t="shared" si="1775"/>
        <v>PIX</v>
      </c>
      <c r="D9424" t="str">
        <f>"24666"</f>
        <v>24666</v>
      </c>
      <c r="E9424" t="str">
        <f t="shared" si="1778"/>
        <v>1</v>
      </c>
      <c r="F9424" t="str">
        <f t="shared" si="1773"/>
        <v>COM</v>
      </c>
      <c r="G9424" t="str">
        <f>"FABRICIO QUEIROZ DE OLIVEIRA (788)"</f>
        <v>FABRICIO QUEIROZ DE OLIVEIRA (788)</v>
      </c>
      <c r="H9424" t="s">
        <v>2699</v>
      </c>
      <c r="I9424" t="str">
        <f t="shared" si="1776"/>
        <v>06/11/2025</v>
      </c>
      <c r="J9424" t="str">
        <f t="shared" ref="J9424:J9456" si="1779">("03/11/2025")</f>
        <v>03/11/2025</v>
      </c>
      <c r="K9424">
        <v>45967</v>
      </c>
      <c r="N9424">
        <v>109</v>
      </c>
      <c r="O9424" t="s">
        <v>24</v>
      </c>
      <c r="Q9424">
        <v>25.76</v>
      </c>
      <c r="R9424" t="str">
        <f>"FRAN FARMA LJ 3 (10132)"</f>
        <v>FRAN FARMA LJ 3 (10132)</v>
      </c>
      <c r="S9424" t="s">
        <v>77</v>
      </c>
      <c r="T9424">
        <v>20752</v>
      </c>
      <c r="U9424">
        <v>24666</v>
      </c>
      <c r="V9424" t="s">
        <v>77</v>
      </c>
    </row>
    <row r="9425" spans="1:22">
      <c r="A9425" t="str">
        <f t="shared" si="1772"/>
        <v>06/11/2025</v>
      </c>
      <c r="B9425" t="str">
        <f t="shared" si="1774"/>
        <v>SAÍDA</v>
      </c>
      <c r="C9425" t="str">
        <f t="shared" si="1775"/>
        <v>PIX</v>
      </c>
      <c r="D9425" t="str">
        <f>"24671"</f>
        <v>24671</v>
      </c>
      <c r="E9425" t="str">
        <f t="shared" si="1778"/>
        <v>1</v>
      </c>
      <c r="F9425" t="str">
        <f t="shared" si="1773"/>
        <v>COM</v>
      </c>
      <c r="G9425" t="str">
        <f>"SAMUEL SOARES DA SILVA (867)"</f>
        <v>SAMUEL SOARES DA SILVA (867)</v>
      </c>
      <c r="H9425" t="str">
        <f>"Serv.Prest. 27/10/2025 a 02/11/2025 - PIX: CPF - CHAVE: 396.124.108-28"</f>
        <v>Serv.Prest. 27/10/2025 a 02/11/2025 - PIX: CPF - CHAVE: 396.124.108-28</v>
      </c>
      <c r="I9425" t="str">
        <f t="shared" si="1776"/>
        <v>06/11/2025</v>
      </c>
      <c r="J9425" t="str">
        <f t="shared" si="1779"/>
        <v>03/11/2025</v>
      </c>
      <c r="K9425" t="str">
        <f>("06/11/2025")</f>
        <v>06/11/2025</v>
      </c>
      <c r="L9425">
        <v>1200</v>
      </c>
      <c r="M9425">
        <v>1200</v>
      </c>
      <c r="N9425">
        <v>109</v>
      </c>
      <c r="O9425" t="str">
        <f>"PAGAMENTO DE ENTREGADORES"</f>
        <v>PAGAMENTO DE ENTREGADORES</v>
      </c>
      <c r="P9425">
        <v>1200</v>
      </c>
      <c r="S9425" t="str">
        <f>"BANCO C6 (149)"</f>
        <v>BANCO C6 (149)</v>
      </c>
      <c r="T9425">
        <v>20753</v>
      </c>
      <c r="U9425">
        <v>24671</v>
      </c>
      <c r="V9425" t="s">
        <v>77</v>
      </c>
    </row>
    <row r="9426" spans="1:22">
      <c r="A9426" t="str">
        <f t="shared" si="1772"/>
        <v>06/11/2025</v>
      </c>
      <c r="B9426" t="str">
        <f t="shared" si="1774"/>
        <v>SAÍDA</v>
      </c>
      <c r="C9426" t="str">
        <f t="shared" si="1775"/>
        <v>PIX</v>
      </c>
      <c r="D9426" t="str">
        <f>"24671"</f>
        <v>24671</v>
      </c>
      <c r="E9426" t="str">
        <f t="shared" si="1778"/>
        <v>1</v>
      </c>
      <c r="F9426" t="str">
        <f t="shared" si="1773"/>
        <v>COM</v>
      </c>
      <c r="G9426" t="str">
        <f>"SAMUEL SOARES DA SILVA (867)"</f>
        <v>SAMUEL SOARES DA SILVA (867)</v>
      </c>
      <c r="H9426" t="s">
        <v>2446</v>
      </c>
      <c r="I9426" t="str">
        <f t="shared" si="1776"/>
        <v>06/11/2025</v>
      </c>
      <c r="J9426" t="str">
        <f t="shared" si="1779"/>
        <v>03/11/2025</v>
      </c>
      <c r="K9426">
        <v>45967</v>
      </c>
      <c r="N9426">
        <v>109</v>
      </c>
      <c r="O9426" t="s">
        <v>24</v>
      </c>
      <c r="Q9426">
        <v>1200</v>
      </c>
      <c r="R9426" t="str">
        <f>"DROGA ELIDA (10121)"</f>
        <v>DROGA ELIDA (10121)</v>
      </c>
      <c r="S9426" t="s">
        <v>77</v>
      </c>
      <c r="T9426">
        <v>20753</v>
      </c>
      <c r="U9426">
        <v>24671</v>
      </c>
      <c r="V9426" t="s">
        <v>77</v>
      </c>
    </row>
    <row r="9427" spans="1:22">
      <c r="A9427" t="str">
        <f t="shared" si="1772"/>
        <v>06/11/2025</v>
      </c>
      <c r="B9427" t="str">
        <f t="shared" si="1774"/>
        <v>SAÍDA</v>
      </c>
      <c r="C9427" t="str">
        <f t="shared" si="1775"/>
        <v>PIX</v>
      </c>
      <c r="D9427" t="str">
        <f>"24673"</f>
        <v>24673</v>
      </c>
      <c r="E9427" t="str">
        <f t="shared" si="1778"/>
        <v>1</v>
      </c>
      <c r="F9427" t="str">
        <f t="shared" si="1773"/>
        <v>COM</v>
      </c>
      <c r="G9427" t="str">
        <f>"JOCIMAR VAZ FERREIRA (197)"</f>
        <v>JOCIMAR VAZ FERREIRA (197)</v>
      </c>
      <c r="H9427" t="str">
        <f>"Serv.Prest. 27/10/2025 a 02/11/2025 - PIX: CELULAR - CHAVE: (33) 99924-7557"</f>
        <v>Serv.Prest. 27/10/2025 a 02/11/2025 - PIX: CELULAR - CHAVE: (33) 99924-7557</v>
      </c>
      <c r="I9427" t="str">
        <f t="shared" si="1776"/>
        <v>06/11/2025</v>
      </c>
      <c r="J9427" t="str">
        <f t="shared" si="1779"/>
        <v>03/11/2025</v>
      </c>
      <c r="K9427" t="str">
        <f>("06/11/2025")</f>
        <v>06/11/2025</v>
      </c>
      <c r="L9427">
        <v>1056</v>
      </c>
      <c r="M9427">
        <v>1056</v>
      </c>
      <c r="N9427">
        <v>109</v>
      </c>
      <c r="O9427" t="str">
        <f>"PAGAMENTO DE ENTREGADORES"</f>
        <v>PAGAMENTO DE ENTREGADORES</v>
      </c>
      <c r="P9427">
        <v>1056</v>
      </c>
      <c r="S9427" t="str">
        <f>"BANCO C6 (149)"</f>
        <v>BANCO C6 (149)</v>
      </c>
      <c r="T9427">
        <v>20754</v>
      </c>
      <c r="U9427">
        <v>24673</v>
      </c>
      <c r="V9427" t="s">
        <v>77</v>
      </c>
    </row>
    <row r="9428" spans="1:22">
      <c r="A9428" t="str">
        <f t="shared" si="1772"/>
        <v>06/11/2025</v>
      </c>
      <c r="B9428" t="str">
        <f t="shared" si="1774"/>
        <v>SAÍDA</v>
      </c>
      <c r="C9428" t="str">
        <f t="shared" si="1775"/>
        <v>PIX</v>
      </c>
      <c r="D9428" t="str">
        <f>"24673"</f>
        <v>24673</v>
      </c>
      <c r="E9428" t="str">
        <f t="shared" si="1778"/>
        <v>1</v>
      </c>
      <c r="F9428" t="str">
        <f t="shared" si="1773"/>
        <v>COM</v>
      </c>
      <c r="G9428" t="str">
        <f>"JOCIMAR VAZ FERREIRA (197)"</f>
        <v>JOCIMAR VAZ FERREIRA (197)</v>
      </c>
      <c r="H9428" t="s">
        <v>2700</v>
      </c>
      <c r="I9428" t="str">
        <f t="shared" si="1776"/>
        <v>06/11/2025</v>
      </c>
      <c r="J9428" t="str">
        <f t="shared" si="1779"/>
        <v>03/11/2025</v>
      </c>
      <c r="K9428">
        <v>45967</v>
      </c>
      <c r="N9428">
        <v>109</v>
      </c>
      <c r="O9428" t="s">
        <v>24</v>
      </c>
      <c r="Q9428">
        <v>1056</v>
      </c>
      <c r="R9428" t="str">
        <f>"DROGARIA VAZ (10179)"</f>
        <v>DROGARIA VAZ (10179)</v>
      </c>
      <c r="S9428" t="s">
        <v>77</v>
      </c>
      <c r="T9428">
        <v>20754</v>
      </c>
      <c r="U9428">
        <v>24673</v>
      </c>
      <c r="V9428" t="s">
        <v>77</v>
      </c>
    </row>
    <row r="9429" spans="1:22">
      <c r="A9429" t="str">
        <f t="shared" si="1772"/>
        <v>06/11/2025</v>
      </c>
      <c r="B9429" t="str">
        <f t="shared" si="1774"/>
        <v>SAÍDA</v>
      </c>
      <c r="C9429" t="str">
        <f t="shared" si="1775"/>
        <v>PIX</v>
      </c>
      <c r="D9429" t="str">
        <f>"24675"</f>
        <v>24675</v>
      </c>
      <c r="E9429" t="str">
        <f t="shared" si="1778"/>
        <v>1</v>
      </c>
      <c r="F9429" t="str">
        <f t="shared" si="1773"/>
        <v>COM</v>
      </c>
      <c r="G9429" t="str">
        <f>"CLAUDIO DOS SANTOS (507)"</f>
        <v>CLAUDIO DOS SANTOS (507)</v>
      </c>
      <c r="H9429" t="str">
        <f>"Serv.Prest. 27/10/2025 a 02/11/2025 - PIX: E-MAIL - CHAVE: claudioverdinho2009@hotmail.com"</f>
        <v>Serv.Prest. 27/10/2025 a 02/11/2025 - PIX: E-MAIL - CHAVE: claudioverdinho2009@hotmail.com</v>
      </c>
      <c r="I9429" t="str">
        <f t="shared" si="1776"/>
        <v>06/11/2025</v>
      </c>
      <c r="J9429" t="str">
        <f t="shared" si="1779"/>
        <v>03/11/2025</v>
      </c>
      <c r="K9429" t="str">
        <f>("06/11/2025")</f>
        <v>06/11/2025</v>
      </c>
      <c r="L9429">
        <v>294</v>
      </c>
      <c r="M9429">
        <v>294</v>
      </c>
      <c r="N9429">
        <v>109</v>
      </c>
      <c r="O9429" t="str">
        <f>"PAGAMENTO DE ENTREGADORES"</f>
        <v>PAGAMENTO DE ENTREGADORES</v>
      </c>
      <c r="P9429">
        <v>294</v>
      </c>
      <c r="S9429" t="str">
        <f>"BANCO C6 (149)"</f>
        <v>BANCO C6 (149)</v>
      </c>
      <c r="T9429">
        <v>20755</v>
      </c>
      <c r="U9429">
        <v>24675</v>
      </c>
      <c r="V9429" t="s">
        <v>77</v>
      </c>
    </row>
    <row r="9430" spans="1:22">
      <c r="A9430" t="str">
        <f t="shared" si="1772"/>
        <v>06/11/2025</v>
      </c>
      <c r="B9430" t="str">
        <f t="shared" si="1774"/>
        <v>SAÍDA</v>
      </c>
      <c r="C9430" t="str">
        <f t="shared" si="1775"/>
        <v>PIX</v>
      </c>
      <c r="D9430" t="str">
        <f>"24675"</f>
        <v>24675</v>
      </c>
      <c r="E9430" t="str">
        <f t="shared" si="1778"/>
        <v>1</v>
      </c>
      <c r="F9430" t="str">
        <f t="shared" si="1773"/>
        <v>COM</v>
      </c>
      <c r="G9430" t="str">
        <f>"CLAUDIO DOS SANTOS (507)"</f>
        <v>CLAUDIO DOS SANTOS (507)</v>
      </c>
      <c r="H9430" t="s">
        <v>2701</v>
      </c>
      <c r="I9430" t="str">
        <f t="shared" si="1776"/>
        <v>06/11/2025</v>
      </c>
      <c r="J9430" t="str">
        <f t="shared" si="1779"/>
        <v>03/11/2025</v>
      </c>
      <c r="K9430">
        <v>45967</v>
      </c>
      <c r="N9430">
        <v>109</v>
      </c>
      <c r="O9430" t="s">
        <v>24</v>
      </c>
      <c r="Q9430">
        <v>294</v>
      </c>
      <c r="R9430" t="str">
        <f>"JAL FARMACIA E DROGARIA LJ 2 (10138)"</f>
        <v>JAL FARMACIA E DROGARIA LJ 2 (10138)</v>
      </c>
      <c r="S9430" t="s">
        <v>77</v>
      </c>
      <c r="T9430">
        <v>20755</v>
      </c>
      <c r="U9430">
        <v>24675</v>
      </c>
      <c r="V9430" t="s">
        <v>77</v>
      </c>
    </row>
    <row r="9431" spans="1:22">
      <c r="A9431" t="str">
        <f t="shared" si="1772"/>
        <v>06/11/2025</v>
      </c>
      <c r="B9431" t="str">
        <f t="shared" si="1774"/>
        <v>SAÍDA</v>
      </c>
      <c r="C9431" t="str">
        <f t="shared" si="1775"/>
        <v>PIX</v>
      </c>
      <c r="D9431" t="str">
        <f>"24676"</f>
        <v>24676</v>
      </c>
      <c r="E9431" t="str">
        <f t="shared" si="1778"/>
        <v>1</v>
      </c>
      <c r="F9431" t="str">
        <f t="shared" si="1773"/>
        <v>COM</v>
      </c>
      <c r="G9431" t="str">
        <f>"HECTOR LUIS YANEZ QUEZADA (718)"</f>
        <v>HECTOR LUIS YANEZ QUEZADA (718)</v>
      </c>
      <c r="H9431" t="str">
        <f>"Serv.Prest. 27/10/2025 a 02/11/2025 - PIX: CELULAR - CHAVE: (41) 98421-2278"</f>
        <v>Serv.Prest. 27/10/2025 a 02/11/2025 - PIX: CELULAR - CHAVE: (41) 98421-2278</v>
      </c>
      <c r="I9431" t="str">
        <f t="shared" si="1776"/>
        <v>06/11/2025</v>
      </c>
      <c r="J9431" t="str">
        <f t="shared" si="1779"/>
        <v>03/11/2025</v>
      </c>
      <c r="K9431" t="str">
        <f>("06/11/2025")</f>
        <v>06/11/2025</v>
      </c>
      <c r="L9431">
        <v>525</v>
      </c>
      <c r="M9431">
        <v>525</v>
      </c>
      <c r="N9431">
        <v>109</v>
      </c>
      <c r="O9431" t="str">
        <f>"PAGAMENTO DE ENTREGADORES"</f>
        <v>PAGAMENTO DE ENTREGADORES</v>
      </c>
      <c r="P9431">
        <v>525</v>
      </c>
      <c r="S9431" t="str">
        <f>"BANCO C6 (149)"</f>
        <v>BANCO C6 (149)</v>
      </c>
      <c r="T9431">
        <v>20756</v>
      </c>
      <c r="U9431">
        <v>24676</v>
      </c>
      <c r="V9431" t="s">
        <v>77</v>
      </c>
    </row>
    <row r="9432" spans="1:22">
      <c r="A9432" t="str">
        <f t="shared" si="1772"/>
        <v>06/11/2025</v>
      </c>
      <c r="B9432" t="str">
        <f t="shared" si="1774"/>
        <v>SAÍDA</v>
      </c>
      <c r="C9432" t="str">
        <f t="shared" si="1775"/>
        <v>PIX</v>
      </c>
      <c r="D9432" t="str">
        <f>"24676"</f>
        <v>24676</v>
      </c>
      <c r="E9432" t="str">
        <f t="shared" si="1778"/>
        <v>1</v>
      </c>
      <c r="F9432" t="str">
        <f t="shared" si="1773"/>
        <v>COM</v>
      </c>
      <c r="G9432" t="str">
        <f>"HECTOR LUIS YANEZ QUEZADA (718)"</f>
        <v>HECTOR LUIS YANEZ QUEZADA (718)</v>
      </c>
      <c r="H9432" t="s">
        <v>2702</v>
      </c>
      <c r="I9432" t="str">
        <f t="shared" si="1776"/>
        <v>06/11/2025</v>
      </c>
      <c r="J9432" t="str">
        <f t="shared" si="1779"/>
        <v>03/11/2025</v>
      </c>
      <c r="K9432">
        <v>45967</v>
      </c>
      <c r="N9432">
        <v>109</v>
      </c>
      <c r="O9432" t="s">
        <v>24</v>
      </c>
      <c r="Q9432">
        <v>525</v>
      </c>
      <c r="R9432" t="str">
        <f>"JAL FARMACIA E DROGARIA LJ 2 (10138)"</f>
        <v>JAL FARMACIA E DROGARIA LJ 2 (10138)</v>
      </c>
      <c r="S9432" t="s">
        <v>77</v>
      </c>
      <c r="T9432">
        <v>20756</v>
      </c>
      <c r="U9432">
        <v>24676</v>
      </c>
      <c r="V9432" t="s">
        <v>77</v>
      </c>
    </row>
    <row r="9433" spans="1:22">
      <c r="A9433" t="str">
        <f t="shared" si="1772"/>
        <v>06/11/2025</v>
      </c>
      <c r="B9433" t="str">
        <f t="shared" si="1774"/>
        <v>SAÍDA</v>
      </c>
      <c r="C9433" t="str">
        <f t="shared" si="1775"/>
        <v>PIX</v>
      </c>
      <c r="D9433" t="str">
        <f>"24677"</f>
        <v>24677</v>
      </c>
      <c r="E9433" t="str">
        <f t="shared" si="1778"/>
        <v>1</v>
      </c>
      <c r="F9433" t="str">
        <f t="shared" si="1773"/>
        <v>COM</v>
      </c>
      <c r="G9433" t="str">
        <f>"JESSICA BRAHOLKA (837)"</f>
        <v>JESSICA BRAHOLKA (837)</v>
      </c>
      <c r="H9433" t="str">
        <f>"Serv.Prest. 27/10/2025 a 02/11/2025 - PIX: CPF - CHAVE: 124.575.099-20"</f>
        <v>Serv.Prest. 27/10/2025 a 02/11/2025 - PIX: CPF - CHAVE: 124.575.099-20</v>
      </c>
      <c r="I9433" t="str">
        <f t="shared" si="1776"/>
        <v>06/11/2025</v>
      </c>
      <c r="J9433" t="str">
        <f t="shared" si="1779"/>
        <v>03/11/2025</v>
      </c>
      <c r="K9433" t="str">
        <f>("06/11/2025")</f>
        <v>06/11/2025</v>
      </c>
      <c r="L9433">
        <v>574</v>
      </c>
      <c r="M9433">
        <v>574</v>
      </c>
      <c r="N9433">
        <v>109</v>
      </c>
      <c r="O9433" t="str">
        <f>"PAGAMENTO DE ENTREGADORES"</f>
        <v>PAGAMENTO DE ENTREGADORES</v>
      </c>
      <c r="P9433">
        <v>574</v>
      </c>
      <c r="S9433" t="str">
        <f>"BANCO C6 (149)"</f>
        <v>BANCO C6 (149)</v>
      </c>
      <c r="T9433">
        <v>20757</v>
      </c>
      <c r="U9433">
        <v>24677</v>
      </c>
      <c r="V9433" t="s">
        <v>77</v>
      </c>
    </row>
    <row r="9434" spans="1:22">
      <c r="A9434" t="str">
        <f t="shared" si="1772"/>
        <v>06/11/2025</v>
      </c>
      <c r="B9434" t="str">
        <f t="shared" si="1774"/>
        <v>SAÍDA</v>
      </c>
      <c r="C9434" t="str">
        <f t="shared" si="1775"/>
        <v>PIX</v>
      </c>
      <c r="D9434" t="str">
        <f>"24677"</f>
        <v>24677</v>
      </c>
      <c r="E9434" t="str">
        <f t="shared" si="1778"/>
        <v>1</v>
      </c>
      <c r="F9434" t="str">
        <f t="shared" si="1773"/>
        <v>COM</v>
      </c>
      <c r="G9434" t="str">
        <f>"JESSICA BRAHOLKA (837)"</f>
        <v>JESSICA BRAHOLKA (837)</v>
      </c>
      <c r="H9434" t="s">
        <v>2703</v>
      </c>
      <c r="I9434" t="str">
        <f t="shared" si="1776"/>
        <v>06/11/2025</v>
      </c>
      <c r="J9434" t="str">
        <f t="shared" si="1779"/>
        <v>03/11/2025</v>
      </c>
      <c r="K9434">
        <v>45967</v>
      </c>
      <c r="N9434">
        <v>109</v>
      </c>
      <c r="O9434" t="s">
        <v>24</v>
      </c>
      <c r="Q9434">
        <v>574</v>
      </c>
      <c r="R9434" t="str">
        <f>"JAL FARMACIA E DROGARIA LJ 2 (10138)"</f>
        <v>JAL FARMACIA E DROGARIA LJ 2 (10138)</v>
      </c>
      <c r="S9434" t="s">
        <v>77</v>
      </c>
      <c r="T9434">
        <v>20757</v>
      </c>
      <c r="U9434">
        <v>24677</v>
      </c>
      <c r="V9434" t="s">
        <v>77</v>
      </c>
    </row>
    <row r="9435" spans="1:22">
      <c r="A9435" t="str">
        <f t="shared" si="1772"/>
        <v>06/11/2025</v>
      </c>
      <c r="B9435" t="str">
        <f t="shared" si="1774"/>
        <v>SAÍDA</v>
      </c>
      <c r="C9435" t="str">
        <f t="shared" si="1775"/>
        <v>PIX</v>
      </c>
      <c r="D9435" t="str">
        <f>"24679"</f>
        <v>24679</v>
      </c>
      <c r="E9435" t="str">
        <f t="shared" si="1778"/>
        <v>1</v>
      </c>
      <c r="F9435" t="str">
        <f t="shared" si="1773"/>
        <v>COM</v>
      </c>
      <c r="G9435" t="str">
        <f>"CLAUDIO DOS SANTOS (507)"</f>
        <v>CLAUDIO DOS SANTOS (507)</v>
      </c>
      <c r="H9435" t="str">
        <f>"Serv.Prest. 27/10/2025 a 02/11/2025 - PIX: E-MAIL - CHAVE: claudioverdinho2009@hotmail.com"</f>
        <v>Serv.Prest. 27/10/2025 a 02/11/2025 - PIX: E-MAIL - CHAVE: claudioverdinho2009@hotmail.com</v>
      </c>
      <c r="I9435" t="str">
        <f t="shared" si="1776"/>
        <v>06/11/2025</v>
      </c>
      <c r="J9435" t="str">
        <f t="shared" si="1779"/>
        <v>03/11/2025</v>
      </c>
      <c r="K9435" t="str">
        <f>("06/11/2025")</f>
        <v>06/11/2025</v>
      </c>
      <c r="L9435">
        <v>968</v>
      </c>
      <c r="M9435">
        <v>968</v>
      </c>
      <c r="N9435">
        <v>109</v>
      </c>
      <c r="O9435" t="str">
        <f>"PAGAMENTO DE ENTREGADORES"</f>
        <v>PAGAMENTO DE ENTREGADORES</v>
      </c>
      <c r="P9435">
        <v>968</v>
      </c>
      <c r="S9435" t="str">
        <f>"BANCO C6 (149)"</f>
        <v>BANCO C6 (149)</v>
      </c>
      <c r="T9435">
        <v>20758</v>
      </c>
      <c r="U9435">
        <v>24679</v>
      </c>
      <c r="V9435" t="s">
        <v>77</v>
      </c>
    </row>
    <row r="9436" spans="1:22">
      <c r="A9436" t="str">
        <f t="shared" si="1772"/>
        <v>06/11/2025</v>
      </c>
      <c r="B9436" t="str">
        <f t="shared" si="1774"/>
        <v>SAÍDA</v>
      </c>
      <c r="C9436" t="str">
        <f t="shared" si="1775"/>
        <v>PIX</v>
      </c>
      <c r="D9436" t="str">
        <f>"24679"</f>
        <v>24679</v>
      </c>
      <c r="E9436" t="str">
        <f t="shared" si="1778"/>
        <v>1</v>
      </c>
      <c r="F9436" t="str">
        <f t="shared" si="1773"/>
        <v>COM</v>
      </c>
      <c r="G9436" t="str">
        <f>"CLAUDIO DOS SANTOS (507)"</f>
        <v>CLAUDIO DOS SANTOS (507)</v>
      </c>
      <c r="H9436" t="s">
        <v>2701</v>
      </c>
      <c r="I9436" t="str">
        <f t="shared" si="1776"/>
        <v>06/11/2025</v>
      </c>
      <c r="J9436" t="str">
        <f t="shared" si="1779"/>
        <v>03/11/2025</v>
      </c>
      <c r="K9436">
        <v>45967</v>
      </c>
      <c r="N9436">
        <v>109</v>
      </c>
      <c r="O9436" t="s">
        <v>24</v>
      </c>
      <c r="Q9436">
        <v>968</v>
      </c>
      <c r="R9436" t="str">
        <f>"JAL FARMACIA E DROGARIA LJ 1 (10137)"</f>
        <v>JAL FARMACIA E DROGARIA LJ 1 (10137)</v>
      </c>
      <c r="S9436" t="s">
        <v>77</v>
      </c>
      <c r="T9436">
        <v>20758</v>
      </c>
      <c r="U9436">
        <v>24679</v>
      </c>
      <c r="V9436" t="s">
        <v>77</v>
      </c>
    </row>
    <row r="9437" spans="1:22">
      <c r="A9437" t="str">
        <f t="shared" si="1772"/>
        <v>06/11/2025</v>
      </c>
      <c r="B9437" t="str">
        <f t="shared" si="1774"/>
        <v>SAÍDA</v>
      </c>
      <c r="C9437" t="str">
        <f t="shared" si="1775"/>
        <v>PIX</v>
      </c>
      <c r="D9437" t="str">
        <f>"24680"</f>
        <v>24680</v>
      </c>
      <c r="E9437" t="str">
        <f t="shared" si="1778"/>
        <v>1</v>
      </c>
      <c r="F9437" t="str">
        <f t="shared" si="1773"/>
        <v>COM</v>
      </c>
      <c r="G9437" t="str">
        <f>"HECTOR LUIS YANEZ QUEZADA (718)"</f>
        <v>HECTOR LUIS YANEZ QUEZADA (718)</v>
      </c>
      <c r="H9437" t="str">
        <f>"Serv.Prest. 27/10/2025 a 02/11/2025 - PIX: CELULAR - CHAVE: (41) 98421-2278"</f>
        <v>Serv.Prest. 27/10/2025 a 02/11/2025 - PIX: CELULAR - CHAVE: (41) 98421-2278</v>
      </c>
      <c r="I9437" t="str">
        <f t="shared" si="1776"/>
        <v>06/11/2025</v>
      </c>
      <c r="J9437" t="str">
        <f t="shared" si="1779"/>
        <v>03/11/2025</v>
      </c>
      <c r="K9437" t="str">
        <f>("06/11/2025")</f>
        <v>06/11/2025</v>
      </c>
      <c r="L9437">
        <v>303</v>
      </c>
      <c r="M9437">
        <v>303</v>
      </c>
      <c r="N9437">
        <v>109</v>
      </c>
      <c r="O9437" t="str">
        <f>"PAGAMENTO DE ENTREGADORES"</f>
        <v>PAGAMENTO DE ENTREGADORES</v>
      </c>
      <c r="P9437">
        <v>303</v>
      </c>
      <c r="S9437" t="str">
        <f>"BANCO C6 (149)"</f>
        <v>BANCO C6 (149)</v>
      </c>
      <c r="T9437">
        <v>20759</v>
      </c>
      <c r="U9437">
        <v>24680</v>
      </c>
      <c r="V9437" t="s">
        <v>77</v>
      </c>
    </row>
    <row r="9438" spans="1:22">
      <c r="A9438" t="str">
        <f t="shared" ref="A9438:A9501" si="1780">("06/11/2025")</f>
        <v>06/11/2025</v>
      </c>
      <c r="B9438" t="str">
        <f t="shared" si="1774"/>
        <v>SAÍDA</v>
      </c>
      <c r="C9438" t="str">
        <f t="shared" si="1775"/>
        <v>PIX</v>
      </c>
      <c r="D9438" t="str">
        <f>"24680"</f>
        <v>24680</v>
      </c>
      <c r="E9438" t="str">
        <f t="shared" si="1778"/>
        <v>1</v>
      </c>
      <c r="F9438" t="str">
        <f t="shared" ref="F9438:F9501" si="1781">"COM"</f>
        <v>COM</v>
      </c>
      <c r="G9438" t="str">
        <f>"HECTOR LUIS YANEZ QUEZADA (718)"</f>
        <v>HECTOR LUIS YANEZ QUEZADA (718)</v>
      </c>
      <c r="H9438" t="s">
        <v>2702</v>
      </c>
      <c r="I9438" t="str">
        <f t="shared" si="1776"/>
        <v>06/11/2025</v>
      </c>
      <c r="J9438" t="str">
        <f t="shared" si="1779"/>
        <v>03/11/2025</v>
      </c>
      <c r="K9438">
        <v>45967</v>
      </c>
      <c r="N9438">
        <v>109</v>
      </c>
      <c r="O9438" t="s">
        <v>24</v>
      </c>
      <c r="Q9438">
        <v>303</v>
      </c>
      <c r="R9438" t="str">
        <f>"JAL FARMACIA E DROGARIA LJ 1 (10137)"</f>
        <v>JAL FARMACIA E DROGARIA LJ 1 (10137)</v>
      </c>
      <c r="S9438" t="s">
        <v>77</v>
      </c>
      <c r="T9438">
        <v>20759</v>
      </c>
      <c r="U9438">
        <v>24680</v>
      </c>
      <c r="V9438" t="s">
        <v>77</v>
      </c>
    </row>
    <row r="9439" spans="1:22">
      <c r="A9439" t="str">
        <f t="shared" si="1780"/>
        <v>06/11/2025</v>
      </c>
      <c r="B9439" t="str">
        <f t="shared" si="1774"/>
        <v>SAÍDA</v>
      </c>
      <c r="C9439" t="str">
        <f t="shared" si="1775"/>
        <v>PIX</v>
      </c>
      <c r="D9439" t="str">
        <f>"24681"</f>
        <v>24681</v>
      </c>
      <c r="E9439" t="str">
        <f t="shared" si="1778"/>
        <v>1</v>
      </c>
      <c r="F9439" t="str">
        <f t="shared" si="1781"/>
        <v>COM</v>
      </c>
      <c r="G9439" t="str">
        <f>"JESSICA BRAHOLKA (837)"</f>
        <v>JESSICA BRAHOLKA (837)</v>
      </c>
      <c r="H9439" t="str">
        <f>"Serv.Prest. 27/10/2025 a 02/11/2025 - PIX: CPF - CHAVE: 124.575.099-20"</f>
        <v>Serv.Prest. 27/10/2025 a 02/11/2025 - PIX: CPF - CHAVE: 124.575.099-20</v>
      </c>
      <c r="I9439" t="str">
        <f t="shared" si="1776"/>
        <v>06/11/2025</v>
      </c>
      <c r="J9439" t="str">
        <f t="shared" si="1779"/>
        <v>03/11/2025</v>
      </c>
      <c r="K9439" t="str">
        <f>("06/11/2025")</f>
        <v>06/11/2025</v>
      </c>
      <c r="L9439">
        <v>611</v>
      </c>
      <c r="M9439">
        <v>611</v>
      </c>
      <c r="N9439">
        <v>109</v>
      </c>
      <c r="O9439" t="str">
        <f>"PAGAMENTO DE ENTREGADORES"</f>
        <v>PAGAMENTO DE ENTREGADORES</v>
      </c>
      <c r="P9439">
        <v>611</v>
      </c>
      <c r="S9439" t="str">
        <f>"BANCO C6 (149)"</f>
        <v>BANCO C6 (149)</v>
      </c>
      <c r="T9439">
        <v>20760</v>
      </c>
      <c r="U9439">
        <v>24681</v>
      </c>
      <c r="V9439" t="s">
        <v>77</v>
      </c>
    </row>
    <row r="9440" spans="1:22">
      <c r="A9440" t="str">
        <f t="shared" si="1780"/>
        <v>06/11/2025</v>
      </c>
      <c r="B9440" t="str">
        <f t="shared" si="1774"/>
        <v>SAÍDA</v>
      </c>
      <c r="C9440" t="str">
        <f t="shared" si="1775"/>
        <v>PIX</v>
      </c>
      <c r="D9440" t="str">
        <f>"24681"</f>
        <v>24681</v>
      </c>
      <c r="E9440" t="str">
        <f t="shared" si="1778"/>
        <v>1</v>
      </c>
      <c r="F9440" t="str">
        <f t="shared" si="1781"/>
        <v>COM</v>
      </c>
      <c r="G9440" t="str">
        <f>"JESSICA BRAHOLKA (837)"</f>
        <v>JESSICA BRAHOLKA (837)</v>
      </c>
      <c r="H9440" t="s">
        <v>2703</v>
      </c>
      <c r="I9440" t="str">
        <f t="shared" si="1776"/>
        <v>06/11/2025</v>
      </c>
      <c r="J9440" t="str">
        <f t="shared" si="1779"/>
        <v>03/11/2025</v>
      </c>
      <c r="K9440">
        <v>45967</v>
      </c>
      <c r="N9440">
        <v>109</v>
      </c>
      <c r="O9440" t="s">
        <v>24</v>
      </c>
      <c r="Q9440">
        <v>611</v>
      </c>
      <c r="R9440" t="str">
        <f>"JAL FARMACIA E DROGARIA LJ 1 (10137)"</f>
        <v>JAL FARMACIA E DROGARIA LJ 1 (10137)</v>
      </c>
      <c r="S9440" t="s">
        <v>77</v>
      </c>
      <c r="T9440">
        <v>20760</v>
      </c>
      <c r="U9440">
        <v>24681</v>
      </c>
      <c r="V9440" t="s">
        <v>77</v>
      </c>
    </row>
    <row r="9441" spans="1:22">
      <c r="A9441" t="str">
        <f t="shared" si="1780"/>
        <v>06/11/2025</v>
      </c>
      <c r="B9441" t="str">
        <f t="shared" ref="B9441:B9504" si="1782">"SAÍDA"</f>
        <v>SAÍDA</v>
      </c>
      <c r="C9441" t="str">
        <f t="shared" ref="C9441:C9504" si="1783">"PIX"</f>
        <v>PIX</v>
      </c>
      <c r="D9441" t="str">
        <f>"24683"</f>
        <v>24683</v>
      </c>
      <c r="E9441" t="str">
        <f t="shared" si="1778"/>
        <v>1</v>
      </c>
      <c r="F9441" t="str">
        <f t="shared" si="1781"/>
        <v>COM</v>
      </c>
      <c r="G9441" t="str">
        <f>"BRUNO ANDRADE LESSA (952)"</f>
        <v>BRUNO ANDRADE LESSA (952)</v>
      </c>
      <c r="H9441" t="str">
        <f>"Serv.Prest. 27/10/2025 a 02/11/2025 - PIX: CELULAR - CHAVE: (28) 99988-2177"</f>
        <v>Serv.Prest. 27/10/2025 a 02/11/2025 - PIX: CELULAR - CHAVE: (28) 99988-2177</v>
      </c>
      <c r="I9441" t="str">
        <f t="shared" si="1776"/>
        <v>06/11/2025</v>
      </c>
      <c r="J9441" t="str">
        <f t="shared" si="1779"/>
        <v>03/11/2025</v>
      </c>
      <c r="K9441" t="str">
        <f>("06/11/2025")</f>
        <v>06/11/2025</v>
      </c>
      <c r="L9441">
        <v>835</v>
      </c>
      <c r="M9441">
        <v>835</v>
      </c>
      <c r="N9441">
        <v>109</v>
      </c>
      <c r="O9441" t="str">
        <f>"PAGAMENTO DE ENTREGADORES"</f>
        <v>PAGAMENTO DE ENTREGADORES</v>
      </c>
      <c r="P9441">
        <v>835</v>
      </c>
      <c r="S9441" t="str">
        <f>"BANCO C6 (149)"</f>
        <v>BANCO C6 (149)</v>
      </c>
      <c r="T9441">
        <v>20761</v>
      </c>
      <c r="U9441">
        <v>24683</v>
      </c>
      <c r="V9441" t="s">
        <v>77</v>
      </c>
    </row>
    <row r="9442" spans="1:22">
      <c r="A9442" t="str">
        <f t="shared" si="1780"/>
        <v>06/11/2025</v>
      </c>
      <c r="B9442" t="str">
        <f t="shared" si="1782"/>
        <v>SAÍDA</v>
      </c>
      <c r="C9442" t="str">
        <f t="shared" si="1783"/>
        <v>PIX</v>
      </c>
      <c r="D9442" t="str">
        <f>"24683"</f>
        <v>24683</v>
      </c>
      <c r="E9442" t="str">
        <f t="shared" si="1778"/>
        <v>1</v>
      </c>
      <c r="F9442" t="str">
        <f t="shared" si="1781"/>
        <v>COM</v>
      </c>
      <c r="G9442" t="str">
        <f>"BRUNO ANDRADE LESSA (952)"</f>
        <v>BRUNO ANDRADE LESSA (952)</v>
      </c>
      <c r="H9442" t="s">
        <v>2704</v>
      </c>
      <c r="I9442" t="str">
        <f t="shared" si="1776"/>
        <v>06/11/2025</v>
      </c>
      <c r="J9442" t="str">
        <f t="shared" si="1779"/>
        <v>03/11/2025</v>
      </c>
      <c r="K9442">
        <v>45967</v>
      </c>
      <c r="N9442">
        <v>109</v>
      </c>
      <c r="O9442" t="s">
        <v>24</v>
      </c>
      <c r="Q9442">
        <v>835</v>
      </c>
      <c r="R9442" t="str">
        <f>"LBL FARMACIA LTDA FILIAL (10192)"</f>
        <v>LBL FARMACIA LTDA FILIAL (10192)</v>
      </c>
      <c r="S9442" t="s">
        <v>77</v>
      </c>
      <c r="T9442">
        <v>20761</v>
      </c>
      <c r="U9442">
        <v>24683</v>
      </c>
      <c r="V9442" t="s">
        <v>77</v>
      </c>
    </row>
    <row r="9443" spans="1:22">
      <c r="A9443" t="str">
        <f t="shared" si="1780"/>
        <v>06/11/2025</v>
      </c>
      <c r="B9443" t="str">
        <f t="shared" si="1782"/>
        <v>SAÍDA</v>
      </c>
      <c r="C9443" t="str">
        <f t="shared" si="1783"/>
        <v>PIX</v>
      </c>
      <c r="D9443" t="str">
        <f>"24684"</f>
        <v>24684</v>
      </c>
      <c r="E9443" t="str">
        <f t="shared" si="1778"/>
        <v>1</v>
      </c>
      <c r="F9443" t="str">
        <f t="shared" si="1781"/>
        <v>COM</v>
      </c>
      <c r="G9443" t="str">
        <f>"YAN FILIPUTI CORA (926)"</f>
        <v>YAN FILIPUTI CORA (926)</v>
      </c>
      <c r="H9443" t="str">
        <f>"Serv.Prest. 27/10/2025 a 02/11/2025 - PIX: CELULAR - CHAVE: (28) 98816-4170"</f>
        <v>Serv.Prest. 27/10/2025 a 02/11/2025 - PIX: CELULAR - CHAVE: (28) 98816-4170</v>
      </c>
      <c r="I9443" t="str">
        <f t="shared" ref="I9443:I9506" si="1784">("06/11/2025")</f>
        <v>06/11/2025</v>
      </c>
      <c r="J9443" t="str">
        <f t="shared" si="1779"/>
        <v>03/11/2025</v>
      </c>
      <c r="K9443" t="str">
        <f>("06/11/2025")</f>
        <v>06/11/2025</v>
      </c>
      <c r="L9443">
        <v>460</v>
      </c>
      <c r="M9443">
        <v>460</v>
      </c>
      <c r="N9443">
        <v>109</v>
      </c>
      <c r="O9443" t="str">
        <f>"PAGAMENTO DE ENTREGADORES"</f>
        <v>PAGAMENTO DE ENTREGADORES</v>
      </c>
      <c r="P9443">
        <v>460</v>
      </c>
      <c r="S9443" t="str">
        <f>"BANCO C6 (149)"</f>
        <v>BANCO C6 (149)</v>
      </c>
      <c r="T9443">
        <v>20762</v>
      </c>
      <c r="U9443">
        <v>24684</v>
      </c>
      <c r="V9443" t="s">
        <v>77</v>
      </c>
    </row>
    <row r="9444" spans="1:22">
      <c r="A9444" t="str">
        <f t="shared" si="1780"/>
        <v>06/11/2025</v>
      </c>
      <c r="B9444" t="str">
        <f t="shared" si="1782"/>
        <v>SAÍDA</v>
      </c>
      <c r="C9444" t="str">
        <f t="shared" si="1783"/>
        <v>PIX</v>
      </c>
      <c r="D9444" t="str">
        <f>"24684"</f>
        <v>24684</v>
      </c>
      <c r="E9444" t="str">
        <f t="shared" si="1778"/>
        <v>1</v>
      </c>
      <c r="F9444" t="str">
        <f t="shared" si="1781"/>
        <v>COM</v>
      </c>
      <c r="G9444" t="str">
        <f>"YAN FILIPUTI CORA (926)"</f>
        <v>YAN FILIPUTI CORA (926)</v>
      </c>
      <c r="H9444" t="s">
        <v>2705</v>
      </c>
      <c r="I9444" t="str">
        <f t="shared" si="1784"/>
        <v>06/11/2025</v>
      </c>
      <c r="J9444" t="str">
        <f t="shared" si="1779"/>
        <v>03/11/2025</v>
      </c>
      <c r="K9444">
        <v>45967</v>
      </c>
      <c r="N9444">
        <v>109</v>
      </c>
      <c r="O9444" t="s">
        <v>24</v>
      </c>
      <c r="Q9444">
        <v>460</v>
      </c>
      <c r="R9444" t="str">
        <f>"LBL FARMACIA LTDA FILIAL (10192)"</f>
        <v>LBL FARMACIA LTDA FILIAL (10192)</v>
      </c>
      <c r="S9444" t="s">
        <v>77</v>
      </c>
      <c r="T9444">
        <v>20762</v>
      </c>
      <c r="U9444">
        <v>24684</v>
      </c>
      <c r="V9444" t="s">
        <v>77</v>
      </c>
    </row>
    <row r="9445" spans="1:22">
      <c r="A9445" t="str">
        <f t="shared" si="1780"/>
        <v>06/11/2025</v>
      </c>
      <c r="B9445" t="str">
        <f t="shared" si="1782"/>
        <v>SAÍDA</v>
      </c>
      <c r="C9445" t="str">
        <f t="shared" si="1783"/>
        <v>PIX</v>
      </c>
      <c r="D9445" t="str">
        <f>"24686"</f>
        <v>24686</v>
      </c>
      <c r="E9445" t="str">
        <f t="shared" si="1778"/>
        <v>1</v>
      </c>
      <c r="F9445" t="str">
        <f t="shared" si="1781"/>
        <v>COM</v>
      </c>
      <c r="G9445" t="str">
        <f>"BRUNO ANDRADE LESSA (952)"</f>
        <v>BRUNO ANDRADE LESSA (952)</v>
      </c>
      <c r="H9445" t="str">
        <f>"Serv.Prest. 27/10/2025 a 02/11/2025 - PIX: CELULAR - CHAVE: (28) 99988-2177"</f>
        <v>Serv.Prest. 27/10/2025 a 02/11/2025 - PIX: CELULAR - CHAVE: (28) 99988-2177</v>
      </c>
      <c r="I9445" t="str">
        <f t="shared" si="1784"/>
        <v>06/11/2025</v>
      </c>
      <c r="J9445" t="str">
        <f t="shared" si="1779"/>
        <v>03/11/2025</v>
      </c>
      <c r="K9445" t="str">
        <f>("06/11/2025")</f>
        <v>06/11/2025</v>
      </c>
      <c r="L9445">
        <v>280</v>
      </c>
      <c r="M9445">
        <v>280</v>
      </c>
      <c r="N9445">
        <v>109</v>
      </c>
      <c r="O9445" t="str">
        <f>"PAGAMENTO DE ENTREGADORES"</f>
        <v>PAGAMENTO DE ENTREGADORES</v>
      </c>
      <c r="P9445">
        <v>280</v>
      </c>
      <c r="S9445" t="str">
        <f>"BANCO C6 (149)"</f>
        <v>BANCO C6 (149)</v>
      </c>
      <c r="T9445">
        <v>20763</v>
      </c>
      <c r="U9445">
        <v>24686</v>
      </c>
      <c r="V9445" t="s">
        <v>77</v>
      </c>
    </row>
    <row r="9446" spans="1:22">
      <c r="A9446" t="str">
        <f t="shared" si="1780"/>
        <v>06/11/2025</v>
      </c>
      <c r="B9446" t="str">
        <f t="shared" si="1782"/>
        <v>SAÍDA</v>
      </c>
      <c r="C9446" t="str">
        <f t="shared" si="1783"/>
        <v>PIX</v>
      </c>
      <c r="D9446" t="str">
        <f>"24686"</f>
        <v>24686</v>
      </c>
      <c r="E9446" t="str">
        <f t="shared" si="1778"/>
        <v>1</v>
      </c>
      <c r="F9446" t="str">
        <f t="shared" si="1781"/>
        <v>COM</v>
      </c>
      <c r="G9446" t="str">
        <f>"BRUNO ANDRADE LESSA (952)"</f>
        <v>BRUNO ANDRADE LESSA (952)</v>
      </c>
      <c r="H9446" t="s">
        <v>2704</v>
      </c>
      <c r="I9446" t="str">
        <f t="shared" si="1784"/>
        <v>06/11/2025</v>
      </c>
      <c r="J9446" t="str">
        <f t="shared" si="1779"/>
        <v>03/11/2025</v>
      </c>
      <c r="K9446">
        <v>45967</v>
      </c>
      <c r="N9446">
        <v>109</v>
      </c>
      <c r="O9446" t="s">
        <v>24</v>
      </c>
      <c r="Q9446">
        <v>280</v>
      </c>
      <c r="R9446" t="str">
        <f>"LBL FARMACIA LTDA (10189)"</f>
        <v>LBL FARMACIA LTDA (10189)</v>
      </c>
      <c r="S9446" t="s">
        <v>77</v>
      </c>
      <c r="T9446">
        <v>20763</v>
      </c>
      <c r="U9446">
        <v>24686</v>
      </c>
      <c r="V9446" t="s">
        <v>77</v>
      </c>
    </row>
    <row r="9447" spans="1:22">
      <c r="A9447" t="str">
        <f t="shared" si="1780"/>
        <v>06/11/2025</v>
      </c>
      <c r="B9447" t="str">
        <f t="shared" si="1782"/>
        <v>SAÍDA</v>
      </c>
      <c r="C9447" t="str">
        <f t="shared" si="1783"/>
        <v>PIX</v>
      </c>
      <c r="D9447" t="str">
        <f>"24687"</f>
        <v>24687</v>
      </c>
      <c r="E9447" t="str">
        <f t="shared" si="1778"/>
        <v>1</v>
      </c>
      <c r="F9447" t="str">
        <f t="shared" si="1781"/>
        <v>COM</v>
      </c>
      <c r="G9447" t="str">
        <f>"YAN FILIPUTI CORA (926)"</f>
        <v>YAN FILIPUTI CORA (926)</v>
      </c>
      <c r="H9447" t="str">
        <f>"Serv.Prest. 27/10/2025 a 02/11/2025 - PIX: CELULAR - CHAVE: (28) 98816-4170"</f>
        <v>Serv.Prest. 27/10/2025 a 02/11/2025 - PIX: CELULAR - CHAVE: (28) 98816-4170</v>
      </c>
      <c r="I9447" t="str">
        <f t="shared" si="1784"/>
        <v>06/11/2025</v>
      </c>
      <c r="J9447" t="str">
        <f t="shared" si="1779"/>
        <v>03/11/2025</v>
      </c>
      <c r="K9447" t="str">
        <f>("06/11/2025")</f>
        <v>06/11/2025</v>
      </c>
      <c r="L9447">
        <v>340</v>
      </c>
      <c r="M9447">
        <v>340</v>
      </c>
      <c r="N9447">
        <v>109</v>
      </c>
      <c r="O9447" t="str">
        <f>"PAGAMENTO DE ENTREGADORES"</f>
        <v>PAGAMENTO DE ENTREGADORES</v>
      </c>
      <c r="P9447">
        <v>340</v>
      </c>
      <c r="S9447" t="str">
        <f>"BANCO C6 (149)"</f>
        <v>BANCO C6 (149)</v>
      </c>
      <c r="T9447">
        <v>20764</v>
      </c>
      <c r="U9447">
        <v>24687</v>
      </c>
      <c r="V9447" t="s">
        <v>77</v>
      </c>
    </row>
    <row r="9448" spans="1:22">
      <c r="A9448" t="str">
        <f t="shared" si="1780"/>
        <v>06/11/2025</v>
      </c>
      <c r="B9448" t="str">
        <f t="shared" si="1782"/>
        <v>SAÍDA</v>
      </c>
      <c r="C9448" t="str">
        <f t="shared" si="1783"/>
        <v>PIX</v>
      </c>
      <c r="D9448" t="str">
        <f>"24687"</f>
        <v>24687</v>
      </c>
      <c r="E9448" t="str">
        <f t="shared" si="1778"/>
        <v>1</v>
      </c>
      <c r="F9448" t="str">
        <f t="shared" si="1781"/>
        <v>COM</v>
      </c>
      <c r="G9448" t="str">
        <f>"YAN FILIPUTI CORA (926)"</f>
        <v>YAN FILIPUTI CORA (926)</v>
      </c>
      <c r="H9448" t="s">
        <v>2705</v>
      </c>
      <c r="I9448" t="str">
        <f t="shared" si="1784"/>
        <v>06/11/2025</v>
      </c>
      <c r="J9448" t="str">
        <f t="shared" si="1779"/>
        <v>03/11/2025</v>
      </c>
      <c r="K9448">
        <v>45967</v>
      </c>
      <c r="N9448">
        <v>109</v>
      </c>
      <c r="O9448" t="s">
        <v>24</v>
      </c>
      <c r="Q9448">
        <v>340</v>
      </c>
      <c r="R9448" t="str">
        <f>"LBL FARMACIA LTDA (10189)"</f>
        <v>LBL FARMACIA LTDA (10189)</v>
      </c>
      <c r="S9448" t="s">
        <v>77</v>
      </c>
      <c r="T9448">
        <v>20764</v>
      </c>
      <c r="U9448">
        <v>24687</v>
      </c>
      <c r="V9448" t="s">
        <v>77</v>
      </c>
    </row>
    <row r="9449" spans="1:22">
      <c r="A9449" t="str">
        <f t="shared" si="1780"/>
        <v>06/11/2025</v>
      </c>
      <c r="B9449" t="str">
        <f t="shared" si="1782"/>
        <v>SAÍDA</v>
      </c>
      <c r="C9449" t="str">
        <f t="shared" si="1783"/>
        <v>PIX</v>
      </c>
      <c r="D9449" t="str">
        <f>"24689"</f>
        <v>24689</v>
      </c>
      <c r="E9449" t="str">
        <f t="shared" si="1778"/>
        <v>1</v>
      </c>
      <c r="F9449" t="str">
        <f t="shared" si="1781"/>
        <v>COM</v>
      </c>
      <c r="G9449" t="str">
        <f>"JOSÉ HENRIQUE RODRIGUES (430)"</f>
        <v>JOSÉ HENRIQUE RODRIGUES (430)</v>
      </c>
      <c r="H9449" t="str">
        <f>"Serv.Prest. 27/10/2025 a 02/11/2025 - PIX: CPF - CHAVE: 100.826.516-04"</f>
        <v>Serv.Prest. 27/10/2025 a 02/11/2025 - PIX: CPF - CHAVE: 100.826.516-04</v>
      </c>
      <c r="I9449" t="str">
        <f t="shared" si="1784"/>
        <v>06/11/2025</v>
      </c>
      <c r="J9449" t="str">
        <f t="shared" si="1779"/>
        <v>03/11/2025</v>
      </c>
      <c r="K9449" t="str">
        <f>("06/11/2025")</f>
        <v>06/11/2025</v>
      </c>
      <c r="L9449">
        <v>900</v>
      </c>
      <c r="M9449">
        <v>900</v>
      </c>
      <c r="N9449">
        <v>109</v>
      </c>
      <c r="O9449" t="str">
        <f>"PAGAMENTO DE ENTREGADORES"</f>
        <v>PAGAMENTO DE ENTREGADORES</v>
      </c>
      <c r="P9449">
        <v>900</v>
      </c>
      <c r="S9449" t="str">
        <f>"BANCO C6 (149)"</f>
        <v>BANCO C6 (149)</v>
      </c>
      <c r="T9449">
        <v>20765</v>
      </c>
      <c r="U9449">
        <v>24689</v>
      </c>
      <c r="V9449" t="s">
        <v>77</v>
      </c>
    </row>
    <row r="9450" spans="1:22">
      <c r="A9450" t="str">
        <f t="shared" si="1780"/>
        <v>06/11/2025</v>
      </c>
      <c r="B9450" t="str">
        <f t="shared" si="1782"/>
        <v>SAÍDA</v>
      </c>
      <c r="C9450" t="str">
        <f t="shared" si="1783"/>
        <v>PIX</v>
      </c>
      <c r="D9450" t="str">
        <f>"24689"</f>
        <v>24689</v>
      </c>
      <c r="E9450" t="str">
        <f t="shared" si="1778"/>
        <v>1</v>
      </c>
      <c r="F9450" t="str">
        <f t="shared" si="1781"/>
        <v>COM</v>
      </c>
      <c r="G9450" t="str">
        <f>"JOSÉ HENRIQUE RODRIGUES (430)"</f>
        <v>JOSÉ HENRIQUE RODRIGUES (430)</v>
      </c>
      <c r="H9450" t="s">
        <v>2706</v>
      </c>
      <c r="I9450" t="str">
        <f t="shared" si="1784"/>
        <v>06/11/2025</v>
      </c>
      <c r="J9450" t="str">
        <f t="shared" si="1779"/>
        <v>03/11/2025</v>
      </c>
      <c r="K9450">
        <v>45967</v>
      </c>
      <c r="N9450">
        <v>109</v>
      </c>
      <c r="O9450" t="s">
        <v>24</v>
      </c>
      <c r="Q9450">
        <v>900</v>
      </c>
      <c r="R9450" t="str">
        <f>"PAGMENOS - LJ 608 (10135)"</f>
        <v>PAGMENOS - LJ 608 (10135)</v>
      </c>
      <c r="S9450" t="s">
        <v>77</v>
      </c>
      <c r="T9450">
        <v>20765</v>
      </c>
      <c r="U9450">
        <v>24689</v>
      </c>
      <c r="V9450" t="s">
        <v>77</v>
      </c>
    </row>
    <row r="9451" spans="1:22">
      <c r="A9451" t="str">
        <f t="shared" si="1780"/>
        <v>06/11/2025</v>
      </c>
      <c r="B9451" t="str">
        <f t="shared" si="1782"/>
        <v>SAÍDA</v>
      </c>
      <c r="C9451" t="str">
        <f t="shared" si="1783"/>
        <v>PIX</v>
      </c>
      <c r="D9451" t="str">
        <f>"24690"</f>
        <v>24690</v>
      </c>
      <c r="E9451" t="str">
        <f t="shared" si="1778"/>
        <v>1</v>
      </c>
      <c r="F9451" t="str">
        <f t="shared" si="1781"/>
        <v>COM</v>
      </c>
      <c r="G9451" t="str">
        <f>"TALES SILVA MARIANO (431)"</f>
        <v>TALES SILVA MARIANO (431)</v>
      </c>
      <c r="H9451" t="str">
        <f>"Serv.Prest. 27/10/2025 a 02/11/2025 - PIX: CPF - CHAVE: 126.686.406-79"</f>
        <v>Serv.Prest. 27/10/2025 a 02/11/2025 - PIX: CPF - CHAVE: 126.686.406-79</v>
      </c>
      <c r="I9451" t="str">
        <f t="shared" si="1784"/>
        <v>06/11/2025</v>
      </c>
      <c r="J9451" t="str">
        <f t="shared" si="1779"/>
        <v>03/11/2025</v>
      </c>
      <c r="K9451" t="str">
        <f>("06/11/2025")</f>
        <v>06/11/2025</v>
      </c>
      <c r="L9451">
        <v>900</v>
      </c>
      <c r="M9451">
        <v>900</v>
      </c>
      <c r="N9451">
        <v>109</v>
      </c>
      <c r="O9451" t="str">
        <f>"PAGAMENTO DE ENTREGADORES"</f>
        <v>PAGAMENTO DE ENTREGADORES</v>
      </c>
      <c r="P9451">
        <v>900</v>
      </c>
      <c r="S9451" t="str">
        <f>"BANCO C6 (149)"</f>
        <v>BANCO C6 (149)</v>
      </c>
      <c r="T9451">
        <v>20766</v>
      </c>
      <c r="U9451">
        <v>24690</v>
      </c>
      <c r="V9451" t="s">
        <v>77</v>
      </c>
    </row>
    <row r="9452" spans="1:22">
      <c r="A9452" t="str">
        <f t="shared" si="1780"/>
        <v>06/11/2025</v>
      </c>
      <c r="B9452" t="str">
        <f t="shared" si="1782"/>
        <v>SAÍDA</v>
      </c>
      <c r="C9452" t="str">
        <f t="shared" si="1783"/>
        <v>PIX</v>
      </c>
      <c r="D9452" t="str">
        <f>"24690"</f>
        <v>24690</v>
      </c>
      <c r="E9452" t="str">
        <f t="shared" si="1778"/>
        <v>1</v>
      </c>
      <c r="F9452" t="str">
        <f t="shared" si="1781"/>
        <v>COM</v>
      </c>
      <c r="G9452" t="str">
        <f>"TALES SILVA MARIANO (431)"</f>
        <v>TALES SILVA MARIANO (431)</v>
      </c>
      <c r="H9452" t="s">
        <v>2707</v>
      </c>
      <c r="I9452" t="str">
        <f t="shared" si="1784"/>
        <v>06/11/2025</v>
      </c>
      <c r="J9452" t="str">
        <f t="shared" si="1779"/>
        <v>03/11/2025</v>
      </c>
      <c r="K9452">
        <v>45967</v>
      </c>
      <c r="N9452">
        <v>109</v>
      </c>
      <c r="O9452" t="s">
        <v>24</v>
      </c>
      <c r="Q9452">
        <v>900</v>
      </c>
      <c r="R9452" t="str">
        <f>"PAGMENOS - LJ 608 (10135)"</f>
        <v>PAGMENOS - LJ 608 (10135)</v>
      </c>
      <c r="S9452" t="s">
        <v>77</v>
      </c>
      <c r="T9452">
        <v>20766</v>
      </c>
      <c r="U9452">
        <v>24690</v>
      </c>
      <c r="V9452" t="s">
        <v>77</v>
      </c>
    </row>
    <row r="9453" spans="1:22">
      <c r="A9453" t="str">
        <f t="shared" si="1780"/>
        <v>06/11/2025</v>
      </c>
      <c r="B9453" t="str">
        <f t="shared" si="1782"/>
        <v>SAÍDA</v>
      </c>
      <c r="C9453" t="str">
        <f t="shared" si="1783"/>
        <v>PIX</v>
      </c>
      <c r="D9453" t="str">
        <f>"24692"</f>
        <v>24692</v>
      </c>
      <c r="E9453" t="str">
        <f t="shared" si="1778"/>
        <v>1</v>
      </c>
      <c r="F9453" t="str">
        <f t="shared" si="1781"/>
        <v>COM</v>
      </c>
      <c r="G9453" t="str">
        <f>"WILIANA RODRIGUES E RODRIGUES (398)"</f>
        <v>WILIANA RODRIGUES E RODRIGUES (398)</v>
      </c>
      <c r="H9453" t="str">
        <f>"Serv.Prest. 27/10/2025 a 02/11/2025 - PIX: CPF - CHAVE: 016.203.336-27"</f>
        <v>Serv.Prest. 27/10/2025 a 02/11/2025 - PIX: CPF - CHAVE: 016.203.336-27</v>
      </c>
      <c r="I9453" t="str">
        <f t="shared" si="1784"/>
        <v>06/11/2025</v>
      </c>
      <c r="J9453" t="str">
        <f t="shared" si="1779"/>
        <v>03/11/2025</v>
      </c>
      <c r="K9453" t="str">
        <f>("06/11/2025")</f>
        <v>06/11/2025</v>
      </c>
      <c r="L9453">
        <v>1200</v>
      </c>
      <c r="M9453">
        <v>1200</v>
      </c>
      <c r="N9453">
        <v>109</v>
      </c>
      <c r="O9453" t="str">
        <f>"PAGAMENTO DE ENTREGADORES"</f>
        <v>PAGAMENTO DE ENTREGADORES</v>
      </c>
      <c r="P9453">
        <v>1200</v>
      </c>
      <c r="S9453" t="str">
        <f>"BANCO C6 (149)"</f>
        <v>BANCO C6 (149)</v>
      </c>
      <c r="T9453">
        <v>20767</v>
      </c>
      <c r="U9453">
        <v>24692</v>
      </c>
      <c r="V9453" t="s">
        <v>77</v>
      </c>
    </row>
    <row r="9454" spans="1:22">
      <c r="A9454" t="str">
        <f t="shared" si="1780"/>
        <v>06/11/2025</v>
      </c>
      <c r="B9454" t="str">
        <f t="shared" si="1782"/>
        <v>SAÍDA</v>
      </c>
      <c r="C9454" t="str">
        <f t="shared" si="1783"/>
        <v>PIX</v>
      </c>
      <c r="D9454" t="str">
        <f>"24692"</f>
        <v>24692</v>
      </c>
      <c r="E9454" t="str">
        <f t="shared" si="1778"/>
        <v>1</v>
      </c>
      <c r="F9454" t="str">
        <f t="shared" si="1781"/>
        <v>COM</v>
      </c>
      <c r="G9454" t="str">
        <f>"WILIANA RODRIGUES E RODRIGUES (398)"</f>
        <v>WILIANA RODRIGUES E RODRIGUES (398)</v>
      </c>
      <c r="H9454" t="s">
        <v>2708</v>
      </c>
      <c r="I9454" t="str">
        <f t="shared" si="1784"/>
        <v>06/11/2025</v>
      </c>
      <c r="J9454" t="str">
        <f t="shared" si="1779"/>
        <v>03/11/2025</v>
      </c>
      <c r="K9454">
        <v>45967</v>
      </c>
      <c r="N9454">
        <v>109</v>
      </c>
      <c r="O9454" t="s">
        <v>24</v>
      </c>
      <c r="Q9454">
        <v>1200</v>
      </c>
      <c r="R9454" t="str">
        <f>"PAGMENOS - LJ 657 (10136)"</f>
        <v>PAGMENOS - LJ 657 (10136)</v>
      </c>
      <c r="S9454" t="s">
        <v>77</v>
      </c>
      <c r="T9454">
        <v>20767</v>
      </c>
      <c r="U9454">
        <v>24692</v>
      </c>
      <c r="V9454" t="s">
        <v>77</v>
      </c>
    </row>
    <row r="9455" spans="1:22">
      <c r="A9455" t="str">
        <f t="shared" si="1780"/>
        <v>06/11/2025</v>
      </c>
      <c r="B9455" t="str">
        <f t="shared" si="1782"/>
        <v>SAÍDA</v>
      </c>
      <c r="C9455" t="str">
        <f t="shared" si="1783"/>
        <v>PIX</v>
      </c>
      <c r="D9455" t="str">
        <f>"24695"</f>
        <v>24695</v>
      </c>
      <c r="E9455" t="str">
        <f t="shared" si="1778"/>
        <v>1</v>
      </c>
      <c r="F9455" t="str">
        <f t="shared" si="1781"/>
        <v>COM</v>
      </c>
      <c r="G9455" t="str">
        <f>"THALISSON NUNES (1046)"</f>
        <v>THALISSON NUNES (1046)</v>
      </c>
      <c r="H9455" t="str">
        <f>"Serv.Prest. 27/10/2025 a 02/11/2025 - PIX: CELULAR - CHAVE: (34) 99694-0926"</f>
        <v>Serv.Prest. 27/10/2025 a 02/11/2025 - PIX: CELULAR - CHAVE: (34) 99694-0926</v>
      </c>
      <c r="I9455" t="str">
        <f t="shared" si="1784"/>
        <v>06/11/2025</v>
      </c>
      <c r="J9455" t="str">
        <f t="shared" si="1779"/>
        <v>03/11/2025</v>
      </c>
      <c r="K9455" t="str">
        <f>("06/11/2025")</f>
        <v>06/11/2025</v>
      </c>
      <c r="L9455">
        <v>576</v>
      </c>
      <c r="M9455">
        <v>576</v>
      </c>
      <c r="N9455">
        <v>109</v>
      </c>
      <c r="O9455" t="str">
        <f>"PAGAMENTO DE ENTREGADORES"</f>
        <v>PAGAMENTO DE ENTREGADORES</v>
      </c>
      <c r="P9455">
        <v>576</v>
      </c>
      <c r="S9455" t="str">
        <f>"BANCO C6 (149)"</f>
        <v>BANCO C6 (149)</v>
      </c>
      <c r="T9455">
        <v>20768</v>
      </c>
      <c r="U9455">
        <v>24695</v>
      </c>
      <c r="V9455" t="s">
        <v>77</v>
      </c>
    </row>
    <row r="9456" spans="1:22">
      <c r="A9456" t="str">
        <f t="shared" si="1780"/>
        <v>06/11/2025</v>
      </c>
      <c r="B9456" t="str">
        <f t="shared" si="1782"/>
        <v>SAÍDA</v>
      </c>
      <c r="C9456" t="str">
        <f t="shared" si="1783"/>
        <v>PIX</v>
      </c>
      <c r="D9456" t="str">
        <f>"24695"</f>
        <v>24695</v>
      </c>
      <c r="E9456" t="str">
        <f t="shared" si="1778"/>
        <v>1</v>
      </c>
      <c r="F9456" t="str">
        <f t="shared" si="1781"/>
        <v>COM</v>
      </c>
      <c r="G9456" t="str">
        <f>"THALISSON NUNES (1046)"</f>
        <v>THALISSON NUNES (1046)</v>
      </c>
      <c r="H9456" t="s">
        <v>2709</v>
      </c>
      <c r="I9456" t="str">
        <f t="shared" si="1784"/>
        <v>06/11/2025</v>
      </c>
      <c r="J9456" t="str">
        <f t="shared" si="1779"/>
        <v>03/11/2025</v>
      </c>
      <c r="K9456">
        <v>45967</v>
      </c>
      <c r="N9456">
        <v>109</v>
      </c>
      <c r="O9456" t="s">
        <v>24</v>
      </c>
      <c r="Q9456">
        <v>576</v>
      </c>
      <c r="R9456" t="str">
        <f>"PAGMENOS - LJ 326 (10264)"</f>
        <v>PAGMENOS - LJ 326 (10264)</v>
      </c>
      <c r="S9456" t="s">
        <v>77</v>
      </c>
      <c r="T9456">
        <v>20768</v>
      </c>
      <c r="U9456">
        <v>24695</v>
      </c>
      <c r="V9456" t="s">
        <v>77</v>
      </c>
    </row>
    <row r="9457" spans="1:22">
      <c r="A9457" t="str">
        <f t="shared" si="1780"/>
        <v>06/11/2025</v>
      </c>
      <c r="B9457" t="str">
        <f t="shared" si="1782"/>
        <v>SAÍDA</v>
      </c>
      <c r="C9457" t="str">
        <f t="shared" si="1783"/>
        <v>PIX</v>
      </c>
      <c r="D9457" t="str">
        <f>"24697"</f>
        <v>24697</v>
      </c>
      <c r="E9457" t="str">
        <f t="shared" si="1778"/>
        <v>1</v>
      </c>
      <c r="F9457" t="str">
        <f t="shared" si="1781"/>
        <v>COM</v>
      </c>
      <c r="G9457" t="str">
        <f>"JOSÉ HENRIQUE RODRIGUES (430)"</f>
        <v>JOSÉ HENRIQUE RODRIGUES (430)</v>
      </c>
      <c r="H9457" t="str">
        <f>"Serv.Prest. 27/10/2025 a 02/11/2025 - PIX: CPF - CHAVE: 100.826.516-04"</f>
        <v>Serv.Prest. 27/10/2025 a 02/11/2025 - PIX: CPF - CHAVE: 100.826.516-04</v>
      </c>
      <c r="I9457" t="str">
        <f t="shared" si="1784"/>
        <v>06/11/2025</v>
      </c>
      <c r="J9457" t="str">
        <f t="shared" ref="J9457:J9467" si="1785">("04/11/2025")</f>
        <v>04/11/2025</v>
      </c>
      <c r="K9457" t="str">
        <f>("06/11/2025")</f>
        <v>06/11/2025</v>
      </c>
      <c r="L9457">
        <v>54</v>
      </c>
      <c r="M9457">
        <v>54</v>
      </c>
      <c r="N9457">
        <v>109</v>
      </c>
      <c r="O9457" t="str">
        <f>"PAGAMENTO DE ENTREGADORES"</f>
        <v>PAGAMENTO DE ENTREGADORES</v>
      </c>
      <c r="P9457">
        <v>54</v>
      </c>
      <c r="S9457" t="str">
        <f>"BANCO C6 (149)"</f>
        <v>BANCO C6 (149)</v>
      </c>
      <c r="T9457">
        <v>20769</v>
      </c>
      <c r="U9457">
        <v>24697</v>
      </c>
      <c r="V9457" t="s">
        <v>77</v>
      </c>
    </row>
    <row r="9458" spans="1:22">
      <c r="A9458" t="str">
        <f t="shared" si="1780"/>
        <v>06/11/2025</v>
      </c>
      <c r="B9458" t="str">
        <f t="shared" si="1782"/>
        <v>SAÍDA</v>
      </c>
      <c r="C9458" t="str">
        <f t="shared" si="1783"/>
        <v>PIX</v>
      </c>
      <c r="D9458" t="str">
        <f>"24697"</f>
        <v>24697</v>
      </c>
      <c r="E9458" t="str">
        <f t="shared" si="1778"/>
        <v>1</v>
      </c>
      <c r="F9458" t="str">
        <f t="shared" si="1781"/>
        <v>COM</v>
      </c>
      <c r="G9458" t="str">
        <f>"JOSÉ HENRIQUE RODRIGUES (430)"</f>
        <v>JOSÉ HENRIQUE RODRIGUES (430)</v>
      </c>
      <c r="H9458" t="s">
        <v>2706</v>
      </c>
      <c r="I9458" t="str">
        <f t="shared" si="1784"/>
        <v>06/11/2025</v>
      </c>
      <c r="J9458" t="str">
        <f t="shared" si="1785"/>
        <v>04/11/2025</v>
      </c>
      <c r="K9458">
        <v>45967</v>
      </c>
      <c r="N9458">
        <v>109</v>
      </c>
      <c r="O9458" t="s">
        <v>24</v>
      </c>
      <c r="Q9458">
        <v>30</v>
      </c>
      <c r="R9458" t="str">
        <f>"ULTRA POPULAR  UBA 2 (10214)"</f>
        <v>ULTRA POPULAR  UBA 2 (10214)</v>
      </c>
      <c r="S9458" t="s">
        <v>77</v>
      </c>
      <c r="T9458">
        <v>20769</v>
      </c>
      <c r="U9458">
        <v>24697</v>
      </c>
      <c r="V9458" t="s">
        <v>77</v>
      </c>
    </row>
    <row r="9459" spans="1:22">
      <c r="A9459" t="str">
        <f t="shared" si="1780"/>
        <v>06/11/2025</v>
      </c>
      <c r="B9459" t="str">
        <f t="shared" si="1782"/>
        <v>SAÍDA</v>
      </c>
      <c r="C9459" t="str">
        <f t="shared" si="1783"/>
        <v>PIX</v>
      </c>
      <c r="D9459" t="str">
        <f>"24697"</f>
        <v>24697</v>
      </c>
      <c r="E9459" t="str">
        <f t="shared" si="1778"/>
        <v>1</v>
      </c>
      <c r="F9459" t="str">
        <f t="shared" si="1781"/>
        <v>COM</v>
      </c>
      <c r="G9459" t="str">
        <f>"JOSÉ HENRIQUE RODRIGUES (430)"</f>
        <v>JOSÉ HENRIQUE RODRIGUES (430)</v>
      </c>
      <c r="H9459" t="s">
        <v>2706</v>
      </c>
      <c r="I9459" t="str">
        <f t="shared" si="1784"/>
        <v>06/11/2025</v>
      </c>
      <c r="J9459" t="str">
        <f t="shared" si="1785"/>
        <v>04/11/2025</v>
      </c>
      <c r="K9459">
        <v>45967</v>
      </c>
      <c r="N9459">
        <v>109</v>
      </c>
      <c r="O9459" t="s">
        <v>24</v>
      </c>
      <c r="Q9459">
        <v>24</v>
      </c>
      <c r="R9459" t="str">
        <f>"UBA 1 (10263)"</f>
        <v>UBA 1 (10263)</v>
      </c>
      <c r="S9459" t="s">
        <v>77</v>
      </c>
      <c r="T9459">
        <v>20769</v>
      </c>
      <c r="U9459">
        <v>24697</v>
      </c>
      <c r="V9459" t="s">
        <v>77</v>
      </c>
    </row>
    <row r="9460" spans="1:22">
      <c r="A9460" t="str">
        <f t="shared" si="1780"/>
        <v>06/11/2025</v>
      </c>
      <c r="B9460" t="str">
        <f t="shared" si="1782"/>
        <v>SAÍDA</v>
      </c>
      <c r="C9460" t="str">
        <f t="shared" si="1783"/>
        <v>PIX</v>
      </c>
      <c r="D9460" t="str">
        <f>"24701"</f>
        <v>24701</v>
      </c>
      <c r="E9460" t="str">
        <f t="shared" si="1778"/>
        <v>1</v>
      </c>
      <c r="F9460" t="str">
        <f t="shared" si="1781"/>
        <v>COM</v>
      </c>
      <c r="G9460" t="str">
        <f>"DANILO DE JESUS SANTOS (490)"</f>
        <v>DANILO DE JESUS SANTOS (490)</v>
      </c>
      <c r="H9460" t="str">
        <f>"Serv.Prest. 24/10/2025 a 02/11/2025 - PIX: CELULAR - CHAVE: (73) 98191-0061"</f>
        <v>Serv.Prest. 24/10/2025 a 02/11/2025 - PIX: CELULAR - CHAVE: (73) 98191-0061</v>
      </c>
      <c r="I9460" t="str">
        <f t="shared" si="1784"/>
        <v>06/11/2025</v>
      </c>
      <c r="J9460" t="str">
        <f t="shared" si="1785"/>
        <v>04/11/2025</v>
      </c>
      <c r="K9460" t="str">
        <f>("06/11/2025")</f>
        <v>06/11/2025</v>
      </c>
      <c r="L9460">
        <v>702</v>
      </c>
      <c r="M9460">
        <v>702</v>
      </c>
      <c r="N9460">
        <v>109</v>
      </c>
      <c r="O9460" t="str">
        <f>"PAGAMENTO DE ENTREGADORES"</f>
        <v>PAGAMENTO DE ENTREGADORES</v>
      </c>
      <c r="P9460">
        <v>702</v>
      </c>
      <c r="S9460" t="str">
        <f>"BANCO C6 (149)"</f>
        <v>BANCO C6 (149)</v>
      </c>
      <c r="T9460">
        <v>20770</v>
      </c>
      <c r="U9460">
        <v>24701</v>
      </c>
      <c r="V9460" t="s">
        <v>77</v>
      </c>
    </row>
    <row r="9461" spans="1:22">
      <c r="A9461" t="str">
        <f t="shared" si="1780"/>
        <v>06/11/2025</v>
      </c>
      <c r="B9461" t="str">
        <f t="shared" si="1782"/>
        <v>SAÍDA</v>
      </c>
      <c r="C9461" t="str">
        <f t="shared" si="1783"/>
        <v>PIX</v>
      </c>
      <c r="D9461" t="str">
        <f>"24701"</f>
        <v>24701</v>
      </c>
      <c r="E9461" t="str">
        <f t="shared" si="1778"/>
        <v>1</v>
      </c>
      <c r="F9461" t="str">
        <f t="shared" si="1781"/>
        <v>COM</v>
      </c>
      <c r="G9461" t="str">
        <f>"DANILO DE JESUS SANTOS (490)"</f>
        <v>DANILO DE JESUS SANTOS (490)</v>
      </c>
      <c r="H9461" t="s">
        <v>2710</v>
      </c>
      <c r="I9461" t="str">
        <f t="shared" si="1784"/>
        <v>06/11/2025</v>
      </c>
      <c r="J9461" t="str">
        <f t="shared" si="1785"/>
        <v>04/11/2025</v>
      </c>
      <c r="K9461">
        <v>45967</v>
      </c>
      <c r="N9461">
        <v>109</v>
      </c>
      <c r="O9461" t="s">
        <v>24</v>
      </c>
      <c r="Q9461">
        <v>702</v>
      </c>
      <c r="R9461" t="str">
        <f>"FARMÁCIA INDIANA LJ 145 (10068)"</f>
        <v>FARMÁCIA INDIANA LJ 145 (10068)</v>
      </c>
      <c r="S9461" t="s">
        <v>77</v>
      </c>
      <c r="T9461">
        <v>20770</v>
      </c>
      <c r="U9461">
        <v>24701</v>
      </c>
      <c r="V9461" t="s">
        <v>77</v>
      </c>
    </row>
    <row r="9462" spans="1:22">
      <c r="A9462" t="str">
        <f t="shared" si="1780"/>
        <v>06/11/2025</v>
      </c>
      <c r="B9462" t="str">
        <f t="shared" si="1782"/>
        <v>SAÍDA</v>
      </c>
      <c r="C9462" t="str">
        <f t="shared" si="1783"/>
        <v>PIX</v>
      </c>
      <c r="D9462" t="str">
        <f>"24723"</f>
        <v>24723</v>
      </c>
      <c r="E9462" t="str">
        <f t="shared" si="1778"/>
        <v>1</v>
      </c>
      <c r="F9462" t="str">
        <f t="shared" si="1781"/>
        <v>COM</v>
      </c>
      <c r="G9462" t="str">
        <f>"ROBSON OLIVEIRA DE JESUS (623)"</f>
        <v>ROBSON OLIVEIRA DE JESUS (623)</v>
      </c>
      <c r="H9462" t="str">
        <f>"Serv.Prest. 24/10/2025 a 02/11/2025 - PIX: CELULAR - CHAVE: (73) 98166-3325"</f>
        <v>Serv.Prest. 24/10/2025 a 02/11/2025 - PIX: CELULAR - CHAVE: (73) 98166-3325</v>
      </c>
      <c r="I9462" t="str">
        <f t="shared" si="1784"/>
        <v>06/11/2025</v>
      </c>
      <c r="J9462" t="str">
        <f t="shared" si="1785"/>
        <v>04/11/2025</v>
      </c>
      <c r="K9462" t="str">
        <f>("06/11/2025")</f>
        <v>06/11/2025</v>
      </c>
      <c r="L9462">
        <v>702</v>
      </c>
      <c r="M9462">
        <v>702</v>
      </c>
      <c r="N9462">
        <v>109</v>
      </c>
      <c r="O9462" t="str">
        <f>"PAGAMENTO DE ENTREGADORES"</f>
        <v>PAGAMENTO DE ENTREGADORES</v>
      </c>
      <c r="P9462">
        <v>702</v>
      </c>
      <c r="S9462" t="str">
        <f>"BANCO C6 (149)"</f>
        <v>BANCO C6 (149)</v>
      </c>
      <c r="T9462">
        <v>20771</v>
      </c>
      <c r="U9462">
        <v>24723</v>
      </c>
      <c r="V9462" t="s">
        <v>77</v>
      </c>
    </row>
    <row r="9463" spans="1:22">
      <c r="A9463" t="str">
        <f t="shared" si="1780"/>
        <v>06/11/2025</v>
      </c>
      <c r="B9463" t="str">
        <f t="shared" si="1782"/>
        <v>SAÍDA</v>
      </c>
      <c r="C9463" t="str">
        <f t="shared" si="1783"/>
        <v>PIX</v>
      </c>
      <c r="D9463" t="str">
        <f>"24723"</f>
        <v>24723</v>
      </c>
      <c r="E9463" t="str">
        <f t="shared" si="1778"/>
        <v>1</v>
      </c>
      <c r="F9463" t="str">
        <f t="shared" si="1781"/>
        <v>COM</v>
      </c>
      <c r="G9463" t="str">
        <f>"ROBSON OLIVEIRA DE JESUS (623)"</f>
        <v>ROBSON OLIVEIRA DE JESUS (623)</v>
      </c>
      <c r="H9463" t="s">
        <v>2711</v>
      </c>
      <c r="I9463" t="str">
        <f t="shared" si="1784"/>
        <v>06/11/2025</v>
      </c>
      <c r="J9463" t="str">
        <f t="shared" si="1785"/>
        <v>04/11/2025</v>
      </c>
      <c r="K9463">
        <v>45967</v>
      </c>
      <c r="N9463">
        <v>109</v>
      </c>
      <c r="O9463" t="s">
        <v>24</v>
      </c>
      <c r="Q9463">
        <v>702</v>
      </c>
      <c r="R9463" t="str">
        <f>"FARMÁCIA INDIANA LJ 145 (10068)"</f>
        <v>FARMÁCIA INDIANA LJ 145 (10068)</v>
      </c>
      <c r="S9463" t="s">
        <v>77</v>
      </c>
      <c r="T9463">
        <v>20771</v>
      </c>
      <c r="U9463">
        <v>24723</v>
      </c>
      <c r="V9463" t="s">
        <v>77</v>
      </c>
    </row>
    <row r="9464" spans="1:22">
      <c r="A9464" t="str">
        <f t="shared" si="1780"/>
        <v>06/11/2025</v>
      </c>
      <c r="B9464" t="str">
        <f t="shared" si="1782"/>
        <v>SAÍDA</v>
      </c>
      <c r="C9464" t="str">
        <f t="shared" si="1783"/>
        <v>PIX</v>
      </c>
      <c r="D9464" t="str">
        <f>"24724"</f>
        <v>24724</v>
      </c>
      <c r="E9464" t="str">
        <f t="shared" si="1778"/>
        <v>1</v>
      </c>
      <c r="F9464" t="str">
        <f t="shared" si="1781"/>
        <v>COM</v>
      </c>
      <c r="G9464" t="str">
        <f>"TALES DE JESUS OLIVEIRA (318)"</f>
        <v>TALES DE JESUS OLIVEIRA (318)</v>
      </c>
      <c r="H9464" t="str">
        <f>"Serv.Prest. 24/10/2025 a 02/11/2025 - PIX: CPF - CHAVE: 378.223.888-51"</f>
        <v>Serv.Prest. 24/10/2025 a 02/11/2025 - PIX: CPF - CHAVE: 378.223.888-51</v>
      </c>
      <c r="I9464" t="str">
        <f t="shared" si="1784"/>
        <v>06/11/2025</v>
      </c>
      <c r="J9464" t="str">
        <f t="shared" si="1785"/>
        <v>04/11/2025</v>
      </c>
      <c r="K9464" t="str">
        <f>("06/11/2025")</f>
        <v>06/11/2025</v>
      </c>
      <c r="L9464">
        <v>702</v>
      </c>
      <c r="M9464">
        <v>702</v>
      </c>
      <c r="N9464">
        <v>109</v>
      </c>
      <c r="O9464" t="str">
        <f>"PAGAMENTO DE ENTREGADORES"</f>
        <v>PAGAMENTO DE ENTREGADORES</v>
      </c>
      <c r="P9464">
        <v>702</v>
      </c>
      <c r="S9464" t="str">
        <f>"BANCO C6 (149)"</f>
        <v>BANCO C6 (149)</v>
      </c>
      <c r="T9464">
        <v>20772</v>
      </c>
      <c r="U9464">
        <v>24724</v>
      </c>
      <c r="V9464" t="s">
        <v>77</v>
      </c>
    </row>
    <row r="9465" spans="1:22">
      <c r="A9465" t="str">
        <f t="shared" si="1780"/>
        <v>06/11/2025</v>
      </c>
      <c r="B9465" t="str">
        <f t="shared" si="1782"/>
        <v>SAÍDA</v>
      </c>
      <c r="C9465" t="str">
        <f t="shared" si="1783"/>
        <v>PIX</v>
      </c>
      <c r="D9465" t="str">
        <f>"24724"</f>
        <v>24724</v>
      </c>
      <c r="E9465" t="str">
        <f t="shared" si="1778"/>
        <v>1</v>
      </c>
      <c r="F9465" t="str">
        <f t="shared" si="1781"/>
        <v>COM</v>
      </c>
      <c r="G9465" t="str">
        <f>"TALES DE JESUS OLIVEIRA (318)"</f>
        <v>TALES DE JESUS OLIVEIRA (318)</v>
      </c>
      <c r="H9465" t="s">
        <v>2712</v>
      </c>
      <c r="I9465" t="str">
        <f t="shared" si="1784"/>
        <v>06/11/2025</v>
      </c>
      <c r="J9465" t="str">
        <f t="shared" si="1785"/>
        <v>04/11/2025</v>
      </c>
      <c r="K9465">
        <v>45967</v>
      </c>
      <c r="N9465">
        <v>109</v>
      </c>
      <c r="O9465" t="s">
        <v>24</v>
      </c>
      <c r="Q9465">
        <v>702</v>
      </c>
      <c r="R9465" t="str">
        <f>"FARMÁCIA INDIANA LJ 145 (10068)"</f>
        <v>FARMÁCIA INDIANA LJ 145 (10068)</v>
      </c>
      <c r="S9465" t="s">
        <v>77</v>
      </c>
      <c r="T9465">
        <v>20772</v>
      </c>
      <c r="U9465">
        <v>24724</v>
      </c>
      <c r="V9465" t="s">
        <v>77</v>
      </c>
    </row>
    <row r="9466" spans="1:22">
      <c r="A9466" t="str">
        <f t="shared" si="1780"/>
        <v>06/11/2025</v>
      </c>
      <c r="B9466" t="str">
        <f t="shared" si="1782"/>
        <v>SAÍDA</v>
      </c>
      <c r="C9466" t="str">
        <f t="shared" si="1783"/>
        <v>PIX</v>
      </c>
      <c r="D9466" t="str">
        <f>"24825"</f>
        <v>24825</v>
      </c>
      <c r="E9466" t="str">
        <f t="shared" si="1778"/>
        <v>1</v>
      </c>
      <c r="F9466" t="str">
        <f t="shared" si="1781"/>
        <v>COM</v>
      </c>
      <c r="G9466" t="str">
        <f>"WEIGNE SENA CARDOSO (53)"</f>
        <v>WEIGNE SENA CARDOSO (53)</v>
      </c>
      <c r="H9466" t="str">
        <f>"Serv.Prest. 24/10/2025 a 02/11/2025 - PIX: CPF - CHAVE: 097.245.586-81"</f>
        <v>Serv.Prest. 24/10/2025 a 02/11/2025 - PIX: CPF - CHAVE: 097.245.586-81</v>
      </c>
      <c r="I9466" t="str">
        <f t="shared" si="1784"/>
        <v>06/11/2025</v>
      </c>
      <c r="J9466" t="str">
        <f t="shared" si="1785"/>
        <v>04/11/2025</v>
      </c>
      <c r="K9466" t="str">
        <f>("06/11/2025")</f>
        <v>06/11/2025</v>
      </c>
      <c r="L9466">
        <v>1154</v>
      </c>
      <c r="M9466">
        <v>1154</v>
      </c>
      <c r="N9466">
        <v>109</v>
      </c>
      <c r="O9466" t="str">
        <f>"PAGAMENTO DE ENTREGADORES"</f>
        <v>PAGAMENTO DE ENTREGADORES</v>
      </c>
      <c r="P9466">
        <v>1154</v>
      </c>
      <c r="S9466" t="str">
        <f>"BANCO C6 (149)"</f>
        <v>BANCO C6 (149)</v>
      </c>
      <c r="T9466">
        <v>20773</v>
      </c>
      <c r="U9466">
        <v>24825</v>
      </c>
      <c r="V9466" t="s">
        <v>77</v>
      </c>
    </row>
    <row r="9467" spans="1:22">
      <c r="A9467" t="str">
        <f t="shared" si="1780"/>
        <v>06/11/2025</v>
      </c>
      <c r="B9467" t="str">
        <f t="shared" si="1782"/>
        <v>SAÍDA</v>
      </c>
      <c r="C9467" t="str">
        <f t="shared" si="1783"/>
        <v>PIX</v>
      </c>
      <c r="D9467" t="str">
        <f>"24825"</f>
        <v>24825</v>
      </c>
      <c r="E9467" t="str">
        <f t="shared" si="1778"/>
        <v>1</v>
      </c>
      <c r="F9467" t="str">
        <f t="shared" si="1781"/>
        <v>COM</v>
      </c>
      <c r="G9467" t="str">
        <f>"WEIGNE SENA CARDOSO (53)"</f>
        <v>WEIGNE SENA CARDOSO (53)</v>
      </c>
      <c r="H9467" t="s">
        <v>2522</v>
      </c>
      <c r="I9467" t="str">
        <f t="shared" si="1784"/>
        <v>06/11/2025</v>
      </c>
      <c r="J9467" t="str">
        <f t="shared" si="1785"/>
        <v>04/11/2025</v>
      </c>
      <c r="K9467">
        <v>45967</v>
      </c>
      <c r="N9467">
        <v>109</v>
      </c>
      <c r="O9467" t="s">
        <v>24</v>
      </c>
      <c r="Q9467">
        <v>1154</v>
      </c>
      <c r="R9467" t="str">
        <f>"FARMÁCIA INDIANA LJ 07 (10007)"</f>
        <v>FARMÁCIA INDIANA LJ 07 (10007)</v>
      </c>
      <c r="S9467" t="s">
        <v>77</v>
      </c>
      <c r="T9467">
        <v>20773</v>
      </c>
      <c r="U9467">
        <v>24825</v>
      </c>
      <c r="V9467" t="s">
        <v>77</v>
      </c>
    </row>
    <row r="9468" spans="1:22">
      <c r="A9468" t="str">
        <f t="shared" si="1780"/>
        <v>06/11/2025</v>
      </c>
      <c r="B9468" t="str">
        <f t="shared" si="1782"/>
        <v>SAÍDA</v>
      </c>
      <c r="C9468" t="str">
        <f t="shared" si="1783"/>
        <v>PIX</v>
      </c>
      <c r="D9468" t="str">
        <f>"24584"</f>
        <v>24584</v>
      </c>
      <c r="E9468" t="str">
        <f t="shared" si="1778"/>
        <v>1</v>
      </c>
      <c r="F9468" t="str">
        <f t="shared" si="1781"/>
        <v>COM</v>
      </c>
      <c r="G9468" t="str">
        <f>"ANDREA VOLPONI (1004)"</f>
        <v>ANDREA VOLPONI (1004)</v>
      </c>
      <c r="H9468" t="str">
        <f>"Serv.Prest. 27/10/2025 a 02/11/2025 - PIX: CPF - CHAVE: 361.750.258-06"</f>
        <v>Serv.Prest. 27/10/2025 a 02/11/2025 - PIX: CPF - CHAVE: 361.750.258-06</v>
      </c>
      <c r="I9468" t="str">
        <f t="shared" si="1784"/>
        <v>06/11/2025</v>
      </c>
      <c r="J9468" t="str">
        <f>("03/11/2025")</f>
        <v>03/11/2025</v>
      </c>
      <c r="K9468" t="str">
        <f>("06/11/2025")</f>
        <v>06/11/2025</v>
      </c>
      <c r="L9468">
        <v>800</v>
      </c>
      <c r="M9468">
        <v>800</v>
      </c>
      <c r="N9468">
        <v>109</v>
      </c>
      <c r="O9468" t="str">
        <f>"PAGAMENTO DE ENTREGADORES"</f>
        <v>PAGAMENTO DE ENTREGADORES</v>
      </c>
      <c r="P9468">
        <v>800</v>
      </c>
      <c r="S9468" t="str">
        <f>"BANCO C6 (149)"</f>
        <v>BANCO C6 (149)</v>
      </c>
      <c r="T9468">
        <v>20774</v>
      </c>
      <c r="U9468">
        <v>24833</v>
      </c>
      <c r="V9468" t="s">
        <v>77</v>
      </c>
    </row>
    <row r="9469" spans="1:22">
      <c r="A9469" t="str">
        <f t="shared" si="1780"/>
        <v>06/11/2025</v>
      </c>
      <c r="B9469" t="str">
        <f t="shared" si="1782"/>
        <v>SAÍDA</v>
      </c>
      <c r="C9469" t="str">
        <f t="shared" si="1783"/>
        <v>PIX</v>
      </c>
      <c r="D9469" t="str">
        <f>"24584"</f>
        <v>24584</v>
      </c>
      <c r="E9469" t="str">
        <f t="shared" si="1778"/>
        <v>1</v>
      </c>
      <c r="F9469" t="str">
        <f t="shared" si="1781"/>
        <v>COM</v>
      </c>
      <c r="G9469" t="str">
        <f>"ANDREA VOLPONI (1004)"</f>
        <v>ANDREA VOLPONI (1004)</v>
      </c>
      <c r="H9469" t="s">
        <v>2713</v>
      </c>
      <c r="I9469" t="str">
        <f t="shared" si="1784"/>
        <v>06/11/2025</v>
      </c>
      <c r="J9469" t="str">
        <f>("03/11/2025")</f>
        <v>03/11/2025</v>
      </c>
      <c r="K9469">
        <v>45967</v>
      </c>
      <c r="N9469">
        <v>109</v>
      </c>
      <c r="O9469" t="s">
        <v>24</v>
      </c>
      <c r="Q9469">
        <v>800</v>
      </c>
      <c r="R9469" t="str">
        <f>"PENSE FARMA 19 (10223)"</f>
        <v>PENSE FARMA 19 (10223)</v>
      </c>
      <c r="S9469" t="s">
        <v>77</v>
      </c>
      <c r="T9469">
        <v>20774</v>
      </c>
      <c r="U9469">
        <v>24833</v>
      </c>
      <c r="V9469" t="s">
        <v>77</v>
      </c>
    </row>
    <row r="9470" spans="1:22">
      <c r="A9470" t="str">
        <f t="shared" si="1780"/>
        <v>06/11/2025</v>
      </c>
      <c r="B9470" t="str">
        <f t="shared" si="1782"/>
        <v>SAÍDA</v>
      </c>
      <c r="C9470" t="str">
        <f t="shared" si="1783"/>
        <v>PIX</v>
      </c>
      <c r="D9470" t="str">
        <f>"24860"</f>
        <v>24860</v>
      </c>
      <c r="E9470" t="str">
        <f t="shared" si="1778"/>
        <v>1</v>
      </c>
      <c r="F9470" t="str">
        <f t="shared" si="1781"/>
        <v>COM</v>
      </c>
      <c r="G9470" t="str">
        <f>"ALEX SILVA RODRIGUES (1027)"</f>
        <v>ALEX SILVA RODRIGUES (1027)</v>
      </c>
      <c r="H9470" t="str">
        <f>"Serv.Prest. 27/10/2025 a 02/11/2025 - PIX: CELULAR - CHAVE: (64) 99952-0910"</f>
        <v>Serv.Prest. 27/10/2025 a 02/11/2025 - PIX: CELULAR - CHAVE: (64) 99952-0910</v>
      </c>
      <c r="I9470" t="str">
        <f t="shared" si="1784"/>
        <v>06/11/2025</v>
      </c>
      <c r="J9470" t="str">
        <f t="shared" ref="J9470:J9493" si="1786">("04/11/2025")</f>
        <v>04/11/2025</v>
      </c>
      <c r="K9470" t="str">
        <f>("06/11/2025")</f>
        <v>06/11/2025</v>
      </c>
      <c r="L9470">
        <v>588</v>
      </c>
      <c r="M9470">
        <v>588</v>
      </c>
      <c r="N9470">
        <v>109</v>
      </c>
      <c r="O9470" t="str">
        <f>"PAGAMENTO DE ENTREGADORES"</f>
        <v>PAGAMENTO DE ENTREGADORES</v>
      </c>
      <c r="P9470">
        <v>588</v>
      </c>
      <c r="S9470" t="str">
        <f>"BANCO C6 (149)"</f>
        <v>BANCO C6 (149)</v>
      </c>
      <c r="T9470">
        <v>20775</v>
      </c>
      <c r="U9470">
        <v>24860</v>
      </c>
      <c r="V9470" t="s">
        <v>77</v>
      </c>
    </row>
    <row r="9471" spans="1:22">
      <c r="A9471" t="str">
        <f t="shared" si="1780"/>
        <v>06/11/2025</v>
      </c>
      <c r="B9471" t="str">
        <f t="shared" si="1782"/>
        <v>SAÍDA</v>
      </c>
      <c r="C9471" t="str">
        <f t="shared" si="1783"/>
        <v>PIX</v>
      </c>
      <c r="D9471" t="str">
        <f>"24860"</f>
        <v>24860</v>
      </c>
      <c r="E9471" t="str">
        <f t="shared" si="1778"/>
        <v>1</v>
      </c>
      <c r="F9471" t="str">
        <f t="shared" si="1781"/>
        <v>COM</v>
      </c>
      <c r="G9471" t="str">
        <f>"ALEX SILVA RODRIGUES (1027)"</f>
        <v>ALEX SILVA RODRIGUES (1027)</v>
      </c>
      <c r="H9471" t="s">
        <v>2714</v>
      </c>
      <c r="I9471" t="str">
        <f t="shared" si="1784"/>
        <v>06/11/2025</v>
      </c>
      <c r="J9471" t="str">
        <f t="shared" si="1786"/>
        <v>04/11/2025</v>
      </c>
      <c r="K9471">
        <v>45967</v>
      </c>
      <c r="N9471">
        <v>109</v>
      </c>
      <c r="O9471" t="s">
        <v>24</v>
      </c>
      <c r="Q9471">
        <v>588</v>
      </c>
      <c r="R9471" t="str">
        <f>"FARMACIA ECONOMIZE (10103)"</f>
        <v>FARMACIA ECONOMIZE (10103)</v>
      </c>
      <c r="S9471" t="s">
        <v>77</v>
      </c>
      <c r="T9471">
        <v>20775</v>
      </c>
      <c r="U9471">
        <v>24860</v>
      </c>
      <c r="V9471" t="s">
        <v>77</v>
      </c>
    </row>
    <row r="9472" spans="1:22">
      <c r="A9472" t="str">
        <f t="shared" si="1780"/>
        <v>06/11/2025</v>
      </c>
      <c r="B9472" t="str">
        <f t="shared" si="1782"/>
        <v>SAÍDA</v>
      </c>
      <c r="C9472" t="str">
        <f t="shared" si="1783"/>
        <v>PIX</v>
      </c>
      <c r="D9472" t="str">
        <f>"24861"</f>
        <v>24861</v>
      </c>
      <c r="E9472" t="str">
        <f t="shared" si="1778"/>
        <v>1</v>
      </c>
      <c r="F9472" t="str">
        <f t="shared" si="1781"/>
        <v>COM</v>
      </c>
      <c r="G9472" t="str">
        <f>"WILLIAM DA SILVA COSTA (655)"</f>
        <v>WILLIAM DA SILVA COSTA (655)</v>
      </c>
      <c r="H9472" t="str">
        <f>"Serv.Prest. 27/10/2025 a 02/11/2025 - PIX: CELULAR - CHAVE: (64) 97400-9101"</f>
        <v>Serv.Prest. 27/10/2025 a 02/11/2025 - PIX: CELULAR - CHAVE: (64) 97400-9101</v>
      </c>
      <c r="I9472" t="str">
        <f t="shared" si="1784"/>
        <v>06/11/2025</v>
      </c>
      <c r="J9472" t="str">
        <f t="shared" si="1786"/>
        <v>04/11/2025</v>
      </c>
      <c r="K9472" t="str">
        <f>("06/11/2025")</f>
        <v>06/11/2025</v>
      </c>
      <c r="L9472">
        <v>1400</v>
      </c>
      <c r="M9472">
        <v>1400</v>
      </c>
      <c r="N9472">
        <v>109</v>
      </c>
      <c r="O9472" t="str">
        <f>"PAGAMENTO DE ENTREGADORES"</f>
        <v>PAGAMENTO DE ENTREGADORES</v>
      </c>
      <c r="P9472">
        <v>1400</v>
      </c>
      <c r="S9472" t="str">
        <f>"BANCO C6 (149)"</f>
        <v>BANCO C6 (149)</v>
      </c>
      <c r="T9472">
        <v>20776</v>
      </c>
      <c r="U9472">
        <v>24861</v>
      </c>
      <c r="V9472" t="s">
        <v>77</v>
      </c>
    </row>
    <row r="9473" spans="1:22">
      <c r="A9473" t="str">
        <f t="shared" si="1780"/>
        <v>06/11/2025</v>
      </c>
      <c r="B9473" t="str">
        <f t="shared" si="1782"/>
        <v>SAÍDA</v>
      </c>
      <c r="C9473" t="str">
        <f t="shared" si="1783"/>
        <v>PIX</v>
      </c>
      <c r="D9473" t="str">
        <f>"24861"</f>
        <v>24861</v>
      </c>
      <c r="E9473" t="str">
        <f t="shared" si="1778"/>
        <v>1</v>
      </c>
      <c r="F9473" t="str">
        <f t="shared" si="1781"/>
        <v>COM</v>
      </c>
      <c r="G9473" t="str">
        <f>"WILLIAM DA SILVA COSTA (655)"</f>
        <v>WILLIAM DA SILVA COSTA (655)</v>
      </c>
      <c r="H9473" t="s">
        <v>2715</v>
      </c>
      <c r="I9473" t="str">
        <f t="shared" si="1784"/>
        <v>06/11/2025</v>
      </c>
      <c r="J9473" t="str">
        <f t="shared" si="1786"/>
        <v>04/11/2025</v>
      </c>
      <c r="K9473">
        <v>45967</v>
      </c>
      <c r="N9473">
        <v>109</v>
      </c>
      <c r="O9473" t="s">
        <v>24</v>
      </c>
      <c r="Q9473">
        <v>1400</v>
      </c>
      <c r="R9473" t="str">
        <f>"FARMACIA ECONOMIZE (10103)"</f>
        <v>FARMACIA ECONOMIZE (10103)</v>
      </c>
      <c r="S9473" t="s">
        <v>77</v>
      </c>
      <c r="T9473">
        <v>20776</v>
      </c>
      <c r="U9473">
        <v>24861</v>
      </c>
      <c r="V9473" t="s">
        <v>77</v>
      </c>
    </row>
    <row r="9474" spans="1:22">
      <c r="A9474" t="str">
        <f t="shared" si="1780"/>
        <v>06/11/2025</v>
      </c>
      <c r="B9474" t="str">
        <f t="shared" si="1782"/>
        <v>SAÍDA</v>
      </c>
      <c r="C9474" t="str">
        <f t="shared" si="1783"/>
        <v>PIX</v>
      </c>
      <c r="D9474" t="str">
        <f>"24863"</f>
        <v>24863</v>
      </c>
      <c r="E9474" t="str">
        <f t="shared" si="1778"/>
        <v>1</v>
      </c>
      <c r="F9474" t="str">
        <f t="shared" si="1781"/>
        <v>COM</v>
      </c>
      <c r="G9474" t="str">
        <f>"ALBERTO FARIAS DOS SANTOS JUNIOR (800)"</f>
        <v>ALBERTO FARIAS DOS SANTOS JUNIOR (800)</v>
      </c>
      <c r="H9474" t="str">
        <f>"Serv.Prest. 27/10/2025 a 02/11/2025 - PIX: CELULAR - CHAVE: (71) 99696-7530"</f>
        <v>Serv.Prest. 27/10/2025 a 02/11/2025 - PIX: CELULAR - CHAVE: (71) 99696-7530</v>
      </c>
      <c r="I9474" t="str">
        <f t="shared" si="1784"/>
        <v>06/11/2025</v>
      </c>
      <c r="J9474" t="str">
        <f t="shared" si="1786"/>
        <v>04/11/2025</v>
      </c>
      <c r="K9474" t="str">
        <f>("06/11/2025")</f>
        <v>06/11/2025</v>
      </c>
      <c r="L9474">
        <v>800</v>
      </c>
      <c r="M9474">
        <v>800</v>
      </c>
      <c r="N9474">
        <v>109</v>
      </c>
      <c r="O9474" t="str">
        <f>"PAGAMENTO DE ENTREGADORES"</f>
        <v>PAGAMENTO DE ENTREGADORES</v>
      </c>
      <c r="P9474">
        <v>800</v>
      </c>
      <c r="S9474" t="str">
        <f>"BANCO C6 (149)"</f>
        <v>BANCO C6 (149)</v>
      </c>
      <c r="T9474">
        <v>20777</v>
      </c>
      <c r="U9474">
        <v>24863</v>
      </c>
      <c r="V9474" t="s">
        <v>77</v>
      </c>
    </row>
    <row r="9475" spans="1:22">
      <c r="A9475" t="str">
        <f t="shared" si="1780"/>
        <v>06/11/2025</v>
      </c>
      <c r="B9475" t="str">
        <f t="shared" si="1782"/>
        <v>SAÍDA</v>
      </c>
      <c r="C9475" t="str">
        <f t="shared" si="1783"/>
        <v>PIX</v>
      </c>
      <c r="D9475" t="str">
        <f>"24863"</f>
        <v>24863</v>
      </c>
      <c r="E9475" t="str">
        <f t="shared" si="1778"/>
        <v>1</v>
      </c>
      <c r="F9475" t="str">
        <f t="shared" si="1781"/>
        <v>COM</v>
      </c>
      <c r="G9475" t="str">
        <f>"ALBERTO FARIAS DOS SANTOS JUNIOR (800)"</f>
        <v>ALBERTO FARIAS DOS SANTOS JUNIOR (800)</v>
      </c>
      <c r="H9475" t="s">
        <v>2716</v>
      </c>
      <c r="I9475" t="str">
        <f t="shared" si="1784"/>
        <v>06/11/2025</v>
      </c>
      <c r="J9475" t="str">
        <f t="shared" si="1786"/>
        <v>04/11/2025</v>
      </c>
      <c r="K9475">
        <v>45967</v>
      </c>
      <c r="N9475">
        <v>109</v>
      </c>
      <c r="O9475" t="s">
        <v>24</v>
      </c>
      <c r="Q9475">
        <v>800</v>
      </c>
      <c r="R9475" t="str">
        <f>"DELTA LOJA 2 (10123)"</f>
        <v>DELTA LOJA 2 (10123)</v>
      </c>
      <c r="S9475" t="s">
        <v>77</v>
      </c>
      <c r="T9475">
        <v>20777</v>
      </c>
      <c r="U9475">
        <v>24863</v>
      </c>
      <c r="V9475" t="s">
        <v>77</v>
      </c>
    </row>
    <row r="9476" spans="1:22">
      <c r="A9476" t="str">
        <f t="shared" si="1780"/>
        <v>06/11/2025</v>
      </c>
      <c r="B9476" t="str">
        <f t="shared" si="1782"/>
        <v>SAÍDA</v>
      </c>
      <c r="C9476" t="str">
        <f t="shared" si="1783"/>
        <v>PIX</v>
      </c>
      <c r="D9476" t="str">
        <f>"24864"</f>
        <v>24864</v>
      </c>
      <c r="E9476" t="str">
        <f t="shared" si="1778"/>
        <v>1</v>
      </c>
      <c r="F9476" t="str">
        <f t="shared" si="1781"/>
        <v>COM</v>
      </c>
      <c r="G9476" t="str">
        <f>"EDNUBIA RAMOS ALVES OLIVEIRA (899)"</f>
        <v>EDNUBIA RAMOS ALVES OLIVEIRA (899)</v>
      </c>
      <c r="H9476" t="str">
        <f>"Serv.Prest. 27/10/2025 a 02/11/2025 - PIX: CELULAR - CHAVE: (71) 99214-9256"</f>
        <v>Serv.Prest. 27/10/2025 a 02/11/2025 - PIX: CELULAR - CHAVE: (71) 99214-9256</v>
      </c>
      <c r="I9476" t="str">
        <f t="shared" si="1784"/>
        <v>06/11/2025</v>
      </c>
      <c r="J9476" t="str">
        <f t="shared" si="1786"/>
        <v>04/11/2025</v>
      </c>
      <c r="K9476" t="str">
        <f>("06/11/2025")</f>
        <v>06/11/2025</v>
      </c>
      <c r="L9476">
        <v>790</v>
      </c>
      <c r="M9476">
        <v>790</v>
      </c>
      <c r="N9476">
        <v>109</v>
      </c>
      <c r="O9476" t="str">
        <f>"PAGAMENTO DE ENTREGADORES"</f>
        <v>PAGAMENTO DE ENTREGADORES</v>
      </c>
      <c r="P9476">
        <v>790</v>
      </c>
      <c r="S9476" t="str">
        <f>"BANCO C6 (149)"</f>
        <v>BANCO C6 (149)</v>
      </c>
      <c r="T9476">
        <v>20778</v>
      </c>
      <c r="U9476">
        <v>24864</v>
      </c>
      <c r="V9476" t="s">
        <v>77</v>
      </c>
    </row>
    <row r="9477" spans="1:22">
      <c r="A9477" t="str">
        <f t="shared" si="1780"/>
        <v>06/11/2025</v>
      </c>
      <c r="B9477" t="str">
        <f t="shared" si="1782"/>
        <v>SAÍDA</v>
      </c>
      <c r="C9477" t="str">
        <f t="shared" si="1783"/>
        <v>PIX</v>
      </c>
      <c r="D9477" t="str">
        <f>"24864"</f>
        <v>24864</v>
      </c>
      <c r="E9477" t="str">
        <f t="shared" si="1778"/>
        <v>1</v>
      </c>
      <c r="F9477" t="str">
        <f t="shared" si="1781"/>
        <v>COM</v>
      </c>
      <c r="G9477" t="str">
        <f>"EDNUBIA RAMOS ALVES OLIVEIRA (899)"</f>
        <v>EDNUBIA RAMOS ALVES OLIVEIRA (899)</v>
      </c>
      <c r="H9477" t="s">
        <v>2717</v>
      </c>
      <c r="I9477" t="str">
        <f t="shared" si="1784"/>
        <v>06/11/2025</v>
      </c>
      <c r="J9477" t="str">
        <f t="shared" si="1786"/>
        <v>04/11/2025</v>
      </c>
      <c r="K9477">
        <v>45967</v>
      </c>
      <c r="N9477">
        <v>109</v>
      </c>
      <c r="O9477" t="s">
        <v>24</v>
      </c>
      <c r="Q9477">
        <v>790</v>
      </c>
      <c r="R9477" t="str">
        <f>"DELTA LOJA 2 (10123)"</f>
        <v>DELTA LOJA 2 (10123)</v>
      </c>
      <c r="S9477" t="s">
        <v>77</v>
      </c>
      <c r="T9477">
        <v>20778</v>
      </c>
      <c r="U9477">
        <v>24864</v>
      </c>
      <c r="V9477" t="s">
        <v>77</v>
      </c>
    </row>
    <row r="9478" spans="1:22">
      <c r="A9478" t="str">
        <f t="shared" si="1780"/>
        <v>06/11/2025</v>
      </c>
      <c r="B9478" t="str">
        <f t="shared" si="1782"/>
        <v>SAÍDA</v>
      </c>
      <c r="C9478" t="str">
        <f t="shared" si="1783"/>
        <v>PIX</v>
      </c>
      <c r="D9478" t="str">
        <f>"24865"</f>
        <v>24865</v>
      </c>
      <c r="E9478" t="str">
        <f t="shared" ref="E9478:E9525" si="1787">"1"</f>
        <v>1</v>
      </c>
      <c r="F9478" t="str">
        <f t="shared" si="1781"/>
        <v>COM</v>
      </c>
      <c r="G9478" t="str">
        <f>"EDVAN DA SILVA ALVES (934)"</f>
        <v>EDVAN DA SILVA ALVES (934)</v>
      </c>
      <c r="H9478" t="str">
        <f>"Serv.Prest. 27/10/2025 a 02/11/2025 - PIX: E-MAIL - CHAVE: edvam18.alves@gmail.com"</f>
        <v>Serv.Prest. 27/10/2025 a 02/11/2025 - PIX: E-MAIL - CHAVE: edvam18.alves@gmail.com</v>
      </c>
      <c r="I9478" t="str">
        <f t="shared" si="1784"/>
        <v>06/11/2025</v>
      </c>
      <c r="J9478" t="str">
        <f t="shared" si="1786"/>
        <v>04/11/2025</v>
      </c>
      <c r="K9478" t="str">
        <f>("06/11/2025")</f>
        <v>06/11/2025</v>
      </c>
      <c r="L9478">
        <v>830</v>
      </c>
      <c r="M9478">
        <v>830</v>
      </c>
      <c r="N9478">
        <v>109</v>
      </c>
      <c r="O9478" t="str">
        <f>"PAGAMENTO DE ENTREGADORES"</f>
        <v>PAGAMENTO DE ENTREGADORES</v>
      </c>
      <c r="P9478">
        <v>830</v>
      </c>
      <c r="S9478" t="str">
        <f>"BANCO C6 (149)"</f>
        <v>BANCO C6 (149)</v>
      </c>
      <c r="T9478">
        <v>20779</v>
      </c>
      <c r="U9478">
        <v>24865</v>
      </c>
      <c r="V9478" t="s">
        <v>77</v>
      </c>
    </row>
    <row r="9479" spans="1:22">
      <c r="A9479" t="str">
        <f t="shared" si="1780"/>
        <v>06/11/2025</v>
      </c>
      <c r="B9479" t="str">
        <f t="shared" si="1782"/>
        <v>SAÍDA</v>
      </c>
      <c r="C9479" t="str">
        <f t="shared" si="1783"/>
        <v>PIX</v>
      </c>
      <c r="D9479" t="str">
        <f>"24865"</f>
        <v>24865</v>
      </c>
      <c r="E9479" t="str">
        <f t="shared" si="1787"/>
        <v>1</v>
      </c>
      <c r="F9479" t="str">
        <f t="shared" si="1781"/>
        <v>COM</v>
      </c>
      <c r="G9479" t="str">
        <f>"EDVAN DA SILVA ALVES (934)"</f>
        <v>EDVAN DA SILVA ALVES (934)</v>
      </c>
      <c r="H9479" t="s">
        <v>2718</v>
      </c>
      <c r="I9479" t="str">
        <f t="shared" si="1784"/>
        <v>06/11/2025</v>
      </c>
      <c r="J9479" t="str">
        <f t="shared" si="1786"/>
        <v>04/11/2025</v>
      </c>
      <c r="K9479">
        <v>45967</v>
      </c>
      <c r="N9479">
        <v>109</v>
      </c>
      <c r="O9479" t="s">
        <v>24</v>
      </c>
      <c r="Q9479">
        <v>830</v>
      </c>
      <c r="R9479" t="str">
        <f>"DELTA LOJA 2 (10123)"</f>
        <v>DELTA LOJA 2 (10123)</v>
      </c>
      <c r="S9479" t="s">
        <v>77</v>
      </c>
      <c r="T9479">
        <v>20779</v>
      </c>
      <c r="U9479">
        <v>24865</v>
      </c>
      <c r="V9479" t="s">
        <v>77</v>
      </c>
    </row>
    <row r="9480" spans="1:22">
      <c r="A9480" t="str">
        <f t="shared" si="1780"/>
        <v>06/11/2025</v>
      </c>
      <c r="B9480" t="str">
        <f t="shared" si="1782"/>
        <v>SAÍDA</v>
      </c>
      <c r="C9480" t="str">
        <f t="shared" si="1783"/>
        <v>PIX</v>
      </c>
      <c r="D9480" t="str">
        <f>"24866"</f>
        <v>24866</v>
      </c>
      <c r="E9480" t="str">
        <f t="shared" si="1787"/>
        <v>1</v>
      </c>
      <c r="F9480" t="str">
        <f t="shared" si="1781"/>
        <v>COM</v>
      </c>
      <c r="G9480" t="str">
        <f>"ELIENAI ROSA DO NASCIMENTO (343)"</f>
        <v>ELIENAI ROSA DO NASCIMENTO (343)</v>
      </c>
      <c r="H9480" t="str">
        <f>"Serv.Prest. 27/10/2025 a 02/11/2025 - PIX: CPF - CHAVE: 048.672.645-20"</f>
        <v>Serv.Prest. 27/10/2025 a 02/11/2025 - PIX: CPF - CHAVE: 048.672.645-20</v>
      </c>
      <c r="I9480" t="str">
        <f t="shared" si="1784"/>
        <v>06/11/2025</v>
      </c>
      <c r="J9480" t="str">
        <f t="shared" si="1786"/>
        <v>04/11/2025</v>
      </c>
      <c r="K9480" t="str">
        <f>("06/11/2025")</f>
        <v>06/11/2025</v>
      </c>
      <c r="L9480">
        <v>850</v>
      </c>
      <c r="M9480">
        <v>850</v>
      </c>
      <c r="N9480">
        <v>109</v>
      </c>
      <c r="O9480" t="str">
        <f>"PAGAMENTO DE ENTREGADORES"</f>
        <v>PAGAMENTO DE ENTREGADORES</v>
      </c>
      <c r="P9480">
        <v>850</v>
      </c>
      <c r="S9480" t="str">
        <f>"BANCO C6 (149)"</f>
        <v>BANCO C6 (149)</v>
      </c>
      <c r="T9480">
        <v>20780</v>
      </c>
      <c r="U9480">
        <v>24866</v>
      </c>
      <c r="V9480" t="s">
        <v>77</v>
      </c>
    </row>
    <row r="9481" spans="1:22">
      <c r="A9481" t="str">
        <f t="shared" si="1780"/>
        <v>06/11/2025</v>
      </c>
      <c r="B9481" t="str">
        <f t="shared" si="1782"/>
        <v>SAÍDA</v>
      </c>
      <c r="C9481" t="str">
        <f t="shared" si="1783"/>
        <v>PIX</v>
      </c>
      <c r="D9481" t="str">
        <f>"24866"</f>
        <v>24866</v>
      </c>
      <c r="E9481" t="str">
        <f t="shared" si="1787"/>
        <v>1</v>
      </c>
      <c r="F9481" t="str">
        <f t="shared" si="1781"/>
        <v>COM</v>
      </c>
      <c r="G9481" t="str">
        <f>"ELIENAI ROSA DO NASCIMENTO (343)"</f>
        <v>ELIENAI ROSA DO NASCIMENTO (343)</v>
      </c>
      <c r="H9481" t="s">
        <v>2719</v>
      </c>
      <c r="I9481" t="str">
        <f t="shared" si="1784"/>
        <v>06/11/2025</v>
      </c>
      <c r="J9481" t="str">
        <f t="shared" si="1786"/>
        <v>04/11/2025</v>
      </c>
      <c r="K9481">
        <v>45967</v>
      </c>
      <c r="N9481">
        <v>109</v>
      </c>
      <c r="O9481" t="s">
        <v>24</v>
      </c>
      <c r="Q9481">
        <v>850</v>
      </c>
      <c r="R9481" t="str">
        <f>"DELTA LOJA 2 (10123)"</f>
        <v>DELTA LOJA 2 (10123)</v>
      </c>
      <c r="S9481" t="s">
        <v>77</v>
      </c>
      <c r="T9481">
        <v>20780</v>
      </c>
      <c r="U9481">
        <v>24866</v>
      </c>
      <c r="V9481" t="s">
        <v>77</v>
      </c>
    </row>
    <row r="9482" spans="1:22">
      <c r="A9482" t="str">
        <f t="shared" si="1780"/>
        <v>06/11/2025</v>
      </c>
      <c r="B9482" t="str">
        <f t="shared" si="1782"/>
        <v>SAÍDA</v>
      </c>
      <c r="C9482" t="str">
        <f t="shared" si="1783"/>
        <v>PIX</v>
      </c>
      <c r="D9482" t="str">
        <f>"24867"</f>
        <v>24867</v>
      </c>
      <c r="E9482" t="str">
        <f t="shared" si="1787"/>
        <v>1</v>
      </c>
      <c r="F9482" t="str">
        <f t="shared" si="1781"/>
        <v>COM</v>
      </c>
      <c r="G9482" t="str">
        <f>"JHON CARLOS DOS SANTOS LIMA (995)"</f>
        <v>JHON CARLOS DOS SANTOS LIMA (995)</v>
      </c>
      <c r="H9482" t="str">
        <f>"Serv.Prest. 27/10/2025 a 02/11/2025 - PIX: CELULAR - CHAVE: (71) 98124-7946"</f>
        <v>Serv.Prest. 27/10/2025 a 02/11/2025 - PIX: CELULAR - CHAVE: (71) 98124-7946</v>
      </c>
      <c r="I9482" t="str">
        <f t="shared" si="1784"/>
        <v>06/11/2025</v>
      </c>
      <c r="J9482" t="str">
        <f t="shared" si="1786"/>
        <v>04/11/2025</v>
      </c>
      <c r="K9482" t="str">
        <f>("06/11/2025")</f>
        <v>06/11/2025</v>
      </c>
      <c r="L9482">
        <v>760</v>
      </c>
      <c r="M9482">
        <v>760</v>
      </c>
      <c r="N9482">
        <v>109</v>
      </c>
      <c r="O9482" t="str">
        <f>"PAGAMENTO DE ENTREGADORES"</f>
        <v>PAGAMENTO DE ENTREGADORES</v>
      </c>
      <c r="P9482">
        <v>760</v>
      </c>
      <c r="S9482" t="str">
        <f>"BANCO C6 (149)"</f>
        <v>BANCO C6 (149)</v>
      </c>
      <c r="T9482">
        <v>20781</v>
      </c>
      <c r="U9482">
        <v>24867</v>
      </c>
      <c r="V9482" t="s">
        <v>77</v>
      </c>
    </row>
    <row r="9483" spans="1:22">
      <c r="A9483" t="str">
        <f t="shared" si="1780"/>
        <v>06/11/2025</v>
      </c>
      <c r="B9483" t="str">
        <f t="shared" si="1782"/>
        <v>SAÍDA</v>
      </c>
      <c r="C9483" t="str">
        <f t="shared" si="1783"/>
        <v>PIX</v>
      </c>
      <c r="D9483" t="str">
        <f>"24867"</f>
        <v>24867</v>
      </c>
      <c r="E9483" t="str">
        <f t="shared" si="1787"/>
        <v>1</v>
      </c>
      <c r="F9483" t="str">
        <f t="shared" si="1781"/>
        <v>COM</v>
      </c>
      <c r="G9483" t="str">
        <f>"JHON CARLOS DOS SANTOS LIMA (995)"</f>
        <v>JHON CARLOS DOS SANTOS LIMA (995)</v>
      </c>
      <c r="H9483" t="s">
        <v>2720</v>
      </c>
      <c r="I9483" t="str">
        <f t="shared" si="1784"/>
        <v>06/11/2025</v>
      </c>
      <c r="J9483" t="str">
        <f t="shared" si="1786"/>
        <v>04/11/2025</v>
      </c>
      <c r="K9483">
        <v>45967</v>
      </c>
      <c r="N9483">
        <v>109</v>
      </c>
      <c r="O9483" t="s">
        <v>24</v>
      </c>
      <c r="Q9483">
        <v>760</v>
      </c>
      <c r="R9483" t="str">
        <f>"DELTA LOJA 2 (10123)"</f>
        <v>DELTA LOJA 2 (10123)</v>
      </c>
      <c r="S9483" t="s">
        <v>77</v>
      </c>
      <c r="T9483">
        <v>20781</v>
      </c>
      <c r="U9483">
        <v>24867</v>
      </c>
      <c r="V9483" t="s">
        <v>77</v>
      </c>
    </row>
    <row r="9484" spans="1:22">
      <c r="A9484" t="str">
        <f t="shared" si="1780"/>
        <v>06/11/2025</v>
      </c>
      <c r="B9484" t="str">
        <f t="shared" si="1782"/>
        <v>SAÍDA</v>
      </c>
      <c r="C9484" t="str">
        <f t="shared" si="1783"/>
        <v>PIX</v>
      </c>
      <c r="D9484" t="str">
        <f>"24869"</f>
        <v>24869</v>
      </c>
      <c r="E9484" t="str">
        <f t="shared" si="1787"/>
        <v>1</v>
      </c>
      <c r="F9484" t="str">
        <f t="shared" si="1781"/>
        <v>COM</v>
      </c>
      <c r="G9484" t="str">
        <f>"NILTON ADRIANO SILVA DE JESUS (943)"</f>
        <v>NILTON ADRIANO SILVA DE JESUS (943)</v>
      </c>
      <c r="H9484" t="str">
        <f>"Serv.Prest. 27/10/2025 a 02/11/2025 - PIX: CELULAR - CHAVE: (34) 99772-2954"</f>
        <v>Serv.Prest. 27/10/2025 a 02/11/2025 - PIX: CELULAR - CHAVE: (34) 99772-2954</v>
      </c>
      <c r="I9484" t="str">
        <f t="shared" si="1784"/>
        <v>06/11/2025</v>
      </c>
      <c r="J9484" t="str">
        <f t="shared" si="1786"/>
        <v>04/11/2025</v>
      </c>
      <c r="K9484" t="str">
        <f>("06/11/2025")</f>
        <v>06/11/2025</v>
      </c>
      <c r="L9484">
        <v>1098</v>
      </c>
      <c r="M9484">
        <v>1098</v>
      </c>
      <c r="N9484">
        <v>109</v>
      </c>
      <c r="O9484" t="str">
        <f>"PAGAMENTO DE ENTREGADORES"</f>
        <v>PAGAMENTO DE ENTREGADORES</v>
      </c>
      <c r="P9484">
        <v>1098</v>
      </c>
      <c r="S9484" t="str">
        <f>"BANCO C6 (149)"</f>
        <v>BANCO C6 (149)</v>
      </c>
      <c r="T9484">
        <v>20782</v>
      </c>
      <c r="U9484">
        <v>24869</v>
      </c>
      <c r="V9484" t="s">
        <v>77</v>
      </c>
    </row>
    <row r="9485" spans="1:22">
      <c r="A9485" t="str">
        <f t="shared" si="1780"/>
        <v>06/11/2025</v>
      </c>
      <c r="B9485" t="str">
        <f t="shared" si="1782"/>
        <v>SAÍDA</v>
      </c>
      <c r="C9485" t="str">
        <f t="shared" si="1783"/>
        <v>PIX</v>
      </c>
      <c r="D9485" t="str">
        <f>"24869"</f>
        <v>24869</v>
      </c>
      <c r="E9485" t="str">
        <f t="shared" si="1787"/>
        <v>1</v>
      </c>
      <c r="F9485" t="str">
        <f t="shared" si="1781"/>
        <v>COM</v>
      </c>
      <c r="G9485" t="str">
        <f>"NILTON ADRIANO SILVA DE JESUS (943)"</f>
        <v>NILTON ADRIANO SILVA DE JESUS (943)</v>
      </c>
      <c r="H9485" t="s">
        <v>2721</v>
      </c>
      <c r="I9485" t="str">
        <f t="shared" si="1784"/>
        <v>06/11/2025</v>
      </c>
      <c r="J9485" t="str">
        <f t="shared" si="1786"/>
        <v>04/11/2025</v>
      </c>
      <c r="K9485">
        <v>45967</v>
      </c>
      <c r="N9485">
        <v>109</v>
      </c>
      <c r="O9485" t="s">
        <v>24</v>
      </c>
      <c r="Q9485">
        <v>1098</v>
      </c>
      <c r="R9485" t="str">
        <f>"DROGA HONDA (10149)"</f>
        <v>DROGA HONDA (10149)</v>
      </c>
      <c r="S9485" t="s">
        <v>77</v>
      </c>
      <c r="T9485">
        <v>20782</v>
      </c>
      <c r="U9485">
        <v>24869</v>
      </c>
      <c r="V9485" t="s">
        <v>77</v>
      </c>
    </row>
    <row r="9486" spans="1:22">
      <c r="A9486" t="str">
        <f t="shared" si="1780"/>
        <v>06/11/2025</v>
      </c>
      <c r="B9486" t="str">
        <f t="shared" si="1782"/>
        <v>SAÍDA</v>
      </c>
      <c r="C9486" t="str">
        <f t="shared" si="1783"/>
        <v>PIX</v>
      </c>
      <c r="D9486" t="str">
        <f>"24873"</f>
        <v>24873</v>
      </c>
      <c r="E9486" t="str">
        <f t="shared" si="1787"/>
        <v>1</v>
      </c>
      <c r="F9486" t="str">
        <f t="shared" si="1781"/>
        <v>COM</v>
      </c>
      <c r="G9486" t="str">
        <f>"THAIS SILVA MAIA (1057)"</f>
        <v>THAIS SILVA MAIA (1057)</v>
      </c>
      <c r="H9486" t="str">
        <f>"Serv.Prest. 27/10/2025 a 02/11/2025 - PIX: CELULAR - CHAVE: (34) 99688-5705"</f>
        <v>Serv.Prest. 27/10/2025 a 02/11/2025 - PIX: CELULAR - CHAVE: (34) 99688-5705</v>
      </c>
      <c r="I9486" t="str">
        <f t="shared" si="1784"/>
        <v>06/11/2025</v>
      </c>
      <c r="J9486" t="str">
        <f t="shared" si="1786"/>
        <v>04/11/2025</v>
      </c>
      <c r="K9486" t="str">
        <f>("06/11/2025")</f>
        <v>06/11/2025</v>
      </c>
      <c r="L9486">
        <v>102</v>
      </c>
      <c r="M9486">
        <v>102</v>
      </c>
      <c r="N9486">
        <v>109</v>
      </c>
      <c r="O9486" t="str">
        <f>"PAGAMENTO DE ENTREGADORES"</f>
        <v>PAGAMENTO DE ENTREGADORES</v>
      </c>
      <c r="P9486">
        <v>102</v>
      </c>
      <c r="S9486" t="str">
        <f>"BANCO C6 (149)"</f>
        <v>BANCO C6 (149)</v>
      </c>
      <c r="T9486">
        <v>20783</v>
      </c>
      <c r="U9486">
        <v>24873</v>
      </c>
      <c r="V9486" t="s">
        <v>77</v>
      </c>
    </row>
    <row r="9487" spans="1:22">
      <c r="A9487" t="str">
        <f t="shared" si="1780"/>
        <v>06/11/2025</v>
      </c>
      <c r="B9487" t="str">
        <f t="shared" si="1782"/>
        <v>SAÍDA</v>
      </c>
      <c r="C9487" t="str">
        <f t="shared" si="1783"/>
        <v>PIX</v>
      </c>
      <c r="D9487" t="str">
        <f>"24873"</f>
        <v>24873</v>
      </c>
      <c r="E9487" t="str">
        <f t="shared" si="1787"/>
        <v>1</v>
      </c>
      <c r="F9487" t="str">
        <f t="shared" si="1781"/>
        <v>COM</v>
      </c>
      <c r="G9487" t="str">
        <f>"THAIS SILVA MAIA (1057)"</f>
        <v>THAIS SILVA MAIA (1057)</v>
      </c>
      <c r="H9487" t="s">
        <v>2722</v>
      </c>
      <c r="I9487" t="str">
        <f t="shared" si="1784"/>
        <v>06/11/2025</v>
      </c>
      <c r="J9487" t="str">
        <f t="shared" si="1786"/>
        <v>04/11/2025</v>
      </c>
      <c r="K9487">
        <v>45967</v>
      </c>
      <c r="N9487">
        <v>109</v>
      </c>
      <c r="O9487" t="s">
        <v>24</v>
      </c>
      <c r="Q9487">
        <v>102</v>
      </c>
      <c r="R9487" t="str">
        <f>"PAGMENOS - LJ 768 (10266)"</f>
        <v>PAGMENOS - LJ 768 (10266)</v>
      </c>
      <c r="S9487" t="s">
        <v>77</v>
      </c>
      <c r="T9487">
        <v>20783</v>
      </c>
      <c r="U9487">
        <v>24873</v>
      </c>
      <c r="V9487" t="s">
        <v>77</v>
      </c>
    </row>
    <row r="9488" spans="1:22">
      <c r="A9488" t="str">
        <f t="shared" si="1780"/>
        <v>06/11/2025</v>
      </c>
      <c r="B9488" t="str">
        <f t="shared" si="1782"/>
        <v>SAÍDA</v>
      </c>
      <c r="C9488" t="str">
        <f t="shared" si="1783"/>
        <v>PIX</v>
      </c>
      <c r="D9488" t="str">
        <f>"24874"</f>
        <v>24874</v>
      </c>
      <c r="E9488" t="str">
        <f t="shared" si="1787"/>
        <v>1</v>
      </c>
      <c r="F9488" t="str">
        <f t="shared" si="1781"/>
        <v>COM</v>
      </c>
      <c r="G9488" t="str">
        <f>"ULIAN MATHEUS ASSIS DOS SANTOS (1044)"</f>
        <v>ULIAN MATHEUS ASSIS DOS SANTOS (1044)</v>
      </c>
      <c r="H9488" t="str">
        <f>"Serv.Prest. 27/10/2025 a 02/11/2025 - PIX: CPF - CHAVE: 130.109.156-16"</f>
        <v>Serv.Prest. 27/10/2025 a 02/11/2025 - PIX: CPF - CHAVE: 130.109.156-16</v>
      </c>
      <c r="I9488" t="str">
        <f t="shared" si="1784"/>
        <v>06/11/2025</v>
      </c>
      <c r="J9488" t="str">
        <f t="shared" si="1786"/>
        <v>04/11/2025</v>
      </c>
      <c r="K9488" t="str">
        <f>("06/11/2025")</f>
        <v>06/11/2025</v>
      </c>
      <c r="L9488">
        <v>204</v>
      </c>
      <c r="M9488">
        <v>204</v>
      </c>
      <c r="N9488">
        <v>109</v>
      </c>
      <c r="O9488" t="str">
        <f>"PAGAMENTO DE ENTREGADORES"</f>
        <v>PAGAMENTO DE ENTREGADORES</v>
      </c>
      <c r="P9488">
        <v>204</v>
      </c>
      <c r="S9488" t="str">
        <f>"BANCO C6 (149)"</f>
        <v>BANCO C6 (149)</v>
      </c>
      <c r="T9488">
        <v>20784</v>
      </c>
      <c r="U9488">
        <v>24874</v>
      </c>
      <c r="V9488" t="s">
        <v>77</v>
      </c>
    </row>
    <row r="9489" spans="1:22">
      <c r="A9489" t="str">
        <f t="shared" si="1780"/>
        <v>06/11/2025</v>
      </c>
      <c r="B9489" t="str">
        <f t="shared" si="1782"/>
        <v>SAÍDA</v>
      </c>
      <c r="C9489" t="str">
        <f t="shared" si="1783"/>
        <v>PIX</v>
      </c>
      <c r="D9489" t="str">
        <f>"24874"</f>
        <v>24874</v>
      </c>
      <c r="E9489" t="str">
        <f t="shared" si="1787"/>
        <v>1</v>
      </c>
      <c r="F9489" t="str">
        <f t="shared" si="1781"/>
        <v>COM</v>
      </c>
      <c r="G9489" t="str">
        <f>"ULIAN MATHEUS ASSIS DOS SANTOS (1044)"</f>
        <v>ULIAN MATHEUS ASSIS DOS SANTOS (1044)</v>
      </c>
      <c r="H9489" t="s">
        <v>2723</v>
      </c>
      <c r="I9489" t="str">
        <f t="shared" si="1784"/>
        <v>06/11/2025</v>
      </c>
      <c r="J9489" t="str">
        <f t="shared" si="1786"/>
        <v>04/11/2025</v>
      </c>
      <c r="K9489">
        <v>45967</v>
      </c>
      <c r="N9489">
        <v>109</v>
      </c>
      <c r="O9489" t="s">
        <v>24</v>
      </c>
      <c r="Q9489">
        <v>204</v>
      </c>
      <c r="R9489" t="str">
        <f>"PAGMENOS - LJ 768 (10266)"</f>
        <v>PAGMENOS - LJ 768 (10266)</v>
      </c>
      <c r="S9489" t="s">
        <v>77</v>
      </c>
      <c r="T9489">
        <v>20784</v>
      </c>
      <c r="U9489">
        <v>24874</v>
      </c>
      <c r="V9489" t="s">
        <v>77</v>
      </c>
    </row>
    <row r="9490" spans="1:22">
      <c r="A9490" t="str">
        <f t="shared" si="1780"/>
        <v>06/11/2025</v>
      </c>
      <c r="B9490" t="str">
        <f t="shared" si="1782"/>
        <v>SAÍDA</v>
      </c>
      <c r="C9490" t="str">
        <f t="shared" si="1783"/>
        <v>PIX</v>
      </c>
      <c r="D9490" t="str">
        <f>"24878"</f>
        <v>24878</v>
      </c>
      <c r="E9490" t="str">
        <f t="shared" si="1787"/>
        <v>1</v>
      </c>
      <c r="F9490" t="str">
        <f t="shared" si="1781"/>
        <v>COM</v>
      </c>
      <c r="G9490" t="str">
        <f>"THAIS SILVA MAIA (1057)"</f>
        <v>THAIS SILVA MAIA (1057)</v>
      </c>
      <c r="H9490" t="str">
        <f>"Serv.Prest. 27/10/2025 a 02/11/2025 - PIX: CELULAR - CHAVE: (34) 99688-5705"</f>
        <v>Serv.Prest. 27/10/2025 a 02/11/2025 - PIX: CELULAR - CHAVE: (34) 99688-5705</v>
      </c>
      <c r="I9490" t="str">
        <f t="shared" si="1784"/>
        <v>06/11/2025</v>
      </c>
      <c r="J9490" t="str">
        <f t="shared" si="1786"/>
        <v>04/11/2025</v>
      </c>
      <c r="K9490" t="str">
        <f>("06/11/2025")</f>
        <v>06/11/2025</v>
      </c>
      <c r="L9490">
        <v>102</v>
      </c>
      <c r="M9490">
        <v>102</v>
      </c>
      <c r="N9490">
        <v>109</v>
      </c>
      <c r="O9490" t="str">
        <f>"PAGAMENTO DE ENTREGADORES"</f>
        <v>PAGAMENTO DE ENTREGADORES</v>
      </c>
      <c r="P9490">
        <v>102</v>
      </c>
      <c r="S9490" t="str">
        <f>"BANCO C6 (149)"</f>
        <v>BANCO C6 (149)</v>
      </c>
      <c r="T9490">
        <v>20785</v>
      </c>
      <c r="U9490">
        <v>24878</v>
      </c>
      <c r="V9490" t="s">
        <v>77</v>
      </c>
    </row>
    <row r="9491" spans="1:22">
      <c r="A9491" t="str">
        <f t="shared" si="1780"/>
        <v>06/11/2025</v>
      </c>
      <c r="B9491" t="str">
        <f t="shared" si="1782"/>
        <v>SAÍDA</v>
      </c>
      <c r="C9491" t="str">
        <f t="shared" si="1783"/>
        <v>PIX</v>
      </c>
      <c r="D9491" t="str">
        <f>"24878"</f>
        <v>24878</v>
      </c>
      <c r="E9491" t="str">
        <f t="shared" si="1787"/>
        <v>1</v>
      </c>
      <c r="F9491" t="str">
        <f t="shared" si="1781"/>
        <v>COM</v>
      </c>
      <c r="G9491" t="str">
        <f>"THAIS SILVA MAIA (1057)"</f>
        <v>THAIS SILVA MAIA (1057)</v>
      </c>
      <c r="H9491" t="s">
        <v>2722</v>
      </c>
      <c r="I9491" t="str">
        <f t="shared" si="1784"/>
        <v>06/11/2025</v>
      </c>
      <c r="J9491" t="str">
        <f t="shared" si="1786"/>
        <v>04/11/2025</v>
      </c>
      <c r="K9491">
        <v>45967</v>
      </c>
      <c r="N9491">
        <v>109</v>
      </c>
      <c r="O9491" t="s">
        <v>24</v>
      </c>
      <c r="Q9491">
        <v>102</v>
      </c>
      <c r="R9491" t="str">
        <f>"PAGMENOS - LJ 431 (10265)"</f>
        <v>PAGMENOS - LJ 431 (10265)</v>
      </c>
      <c r="S9491" t="s">
        <v>77</v>
      </c>
      <c r="T9491">
        <v>20785</v>
      </c>
      <c r="U9491">
        <v>24878</v>
      </c>
      <c r="V9491" t="s">
        <v>77</v>
      </c>
    </row>
    <row r="9492" spans="1:22">
      <c r="A9492" t="str">
        <f t="shared" si="1780"/>
        <v>06/11/2025</v>
      </c>
      <c r="B9492" t="str">
        <f t="shared" si="1782"/>
        <v>SAÍDA</v>
      </c>
      <c r="C9492" t="str">
        <f t="shared" si="1783"/>
        <v>PIX</v>
      </c>
      <c r="D9492" t="str">
        <f>"24879"</f>
        <v>24879</v>
      </c>
      <c r="E9492" t="str">
        <f t="shared" si="1787"/>
        <v>1</v>
      </c>
      <c r="F9492" t="str">
        <f t="shared" si="1781"/>
        <v>COM</v>
      </c>
      <c r="G9492" t="str">
        <f>"ULIAN MATHEUS ASSIS DOS SANTOS (1044)"</f>
        <v>ULIAN MATHEUS ASSIS DOS SANTOS (1044)</v>
      </c>
      <c r="H9492" t="str">
        <f>"Serv.Prest. 27/10/2025 a 02/11/2025 - PIX: CPF - CHAVE: 130.109.156-16"</f>
        <v>Serv.Prest. 27/10/2025 a 02/11/2025 - PIX: CPF - CHAVE: 130.109.156-16</v>
      </c>
      <c r="I9492" t="str">
        <f t="shared" si="1784"/>
        <v>06/11/2025</v>
      </c>
      <c r="J9492" t="str">
        <f t="shared" si="1786"/>
        <v>04/11/2025</v>
      </c>
      <c r="K9492" t="str">
        <f>("06/11/2025")</f>
        <v>06/11/2025</v>
      </c>
      <c r="L9492">
        <v>204</v>
      </c>
      <c r="M9492">
        <v>204</v>
      </c>
      <c r="N9492">
        <v>109</v>
      </c>
      <c r="O9492" t="str">
        <f>"PAGAMENTO DE ENTREGADORES"</f>
        <v>PAGAMENTO DE ENTREGADORES</v>
      </c>
      <c r="P9492">
        <v>204</v>
      </c>
      <c r="S9492" t="str">
        <f>"BANCO C6 (149)"</f>
        <v>BANCO C6 (149)</v>
      </c>
      <c r="T9492">
        <v>20786</v>
      </c>
      <c r="U9492">
        <v>24879</v>
      </c>
      <c r="V9492" t="s">
        <v>77</v>
      </c>
    </row>
    <row r="9493" spans="1:22">
      <c r="A9493" t="str">
        <f t="shared" si="1780"/>
        <v>06/11/2025</v>
      </c>
      <c r="B9493" t="str">
        <f t="shared" si="1782"/>
        <v>SAÍDA</v>
      </c>
      <c r="C9493" t="str">
        <f t="shared" si="1783"/>
        <v>PIX</v>
      </c>
      <c r="D9493" t="str">
        <f>"24879"</f>
        <v>24879</v>
      </c>
      <c r="E9493" t="str">
        <f t="shared" si="1787"/>
        <v>1</v>
      </c>
      <c r="F9493" t="str">
        <f t="shared" si="1781"/>
        <v>COM</v>
      </c>
      <c r="G9493" t="str">
        <f>"ULIAN MATHEUS ASSIS DOS SANTOS (1044)"</f>
        <v>ULIAN MATHEUS ASSIS DOS SANTOS (1044)</v>
      </c>
      <c r="H9493" t="s">
        <v>2723</v>
      </c>
      <c r="I9493" t="str">
        <f t="shared" si="1784"/>
        <v>06/11/2025</v>
      </c>
      <c r="J9493" t="str">
        <f t="shared" si="1786"/>
        <v>04/11/2025</v>
      </c>
      <c r="K9493">
        <v>45967</v>
      </c>
      <c r="N9493">
        <v>109</v>
      </c>
      <c r="O9493" t="s">
        <v>24</v>
      </c>
      <c r="Q9493">
        <v>204</v>
      </c>
      <c r="R9493" t="str">
        <f>"PAGMENOS - LJ 431 (10265)"</f>
        <v>PAGMENOS - LJ 431 (10265)</v>
      </c>
      <c r="S9493" t="s">
        <v>77</v>
      </c>
      <c r="T9493">
        <v>20786</v>
      </c>
      <c r="U9493">
        <v>24879</v>
      </c>
      <c r="V9493" t="s">
        <v>77</v>
      </c>
    </row>
    <row r="9494" spans="1:22">
      <c r="A9494" t="str">
        <f t="shared" si="1780"/>
        <v>06/11/2025</v>
      </c>
      <c r="B9494" t="str">
        <f t="shared" si="1782"/>
        <v>SAÍDA</v>
      </c>
      <c r="C9494" t="str">
        <f t="shared" si="1783"/>
        <v>PIX</v>
      </c>
      <c r="D9494" t="str">
        <f t="shared" ref="D9494:D9499" si="1788">"24906"</f>
        <v>24906</v>
      </c>
      <c r="E9494" t="str">
        <f t="shared" si="1787"/>
        <v>1</v>
      </c>
      <c r="F9494" t="str">
        <f t="shared" si="1781"/>
        <v>COM</v>
      </c>
      <c r="G9494" t="str">
        <f t="shared" ref="G9494:G9499" si="1789">"MICHELLE RIBEIRO DA SILVA (1012)"</f>
        <v>MICHELLE RIBEIRO DA SILVA (1012)</v>
      </c>
      <c r="H9494" t="str">
        <f>"Serv.Prest. 27/10/2025 a 02/11/2025 - PIX: CPF - CHAVE: 115.519.146-38"</f>
        <v>Serv.Prest. 27/10/2025 a 02/11/2025 - PIX: CPF - CHAVE: 115.519.146-38</v>
      </c>
      <c r="I9494" t="str">
        <f t="shared" si="1784"/>
        <v>06/11/2025</v>
      </c>
      <c r="J9494" t="str">
        <f t="shared" ref="J9494:J9523" si="1790">("05/11/2025")</f>
        <v>05/11/2025</v>
      </c>
      <c r="K9494" t="str">
        <f>("06/11/2025")</f>
        <v>06/11/2025</v>
      </c>
      <c r="L9494">
        <v>458</v>
      </c>
      <c r="M9494">
        <v>458</v>
      </c>
      <c r="N9494">
        <v>109</v>
      </c>
      <c r="O9494" t="str">
        <f>"PAGAMENTO DE ENTREGADORES"</f>
        <v>PAGAMENTO DE ENTREGADORES</v>
      </c>
      <c r="P9494">
        <v>458</v>
      </c>
      <c r="S9494" t="str">
        <f>"BANCO C6 (149)"</f>
        <v>BANCO C6 (149)</v>
      </c>
      <c r="T9494">
        <v>20787</v>
      </c>
      <c r="U9494">
        <v>24906</v>
      </c>
      <c r="V9494" t="s">
        <v>77</v>
      </c>
    </row>
    <row r="9495" spans="1:22">
      <c r="A9495" t="str">
        <f t="shared" si="1780"/>
        <v>06/11/2025</v>
      </c>
      <c r="B9495" t="str">
        <f t="shared" si="1782"/>
        <v>SAÍDA</v>
      </c>
      <c r="C9495" t="str">
        <f t="shared" si="1783"/>
        <v>PIX</v>
      </c>
      <c r="D9495" t="str">
        <f t="shared" si="1788"/>
        <v>24906</v>
      </c>
      <c r="E9495" t="str">
        <f t="shared" si="1787"/>
        <v>1</v>
      </c>
      <c r="F9495" t="str">
        <f t="shared" si="1781"/>
        <v>COM</v>
      </c>
      <c r="G9495" t="str">
        <f t="shared" si="1789"/>
        <v>MICHELLE RIBEIRO DA SILVA (1012)</v>
      </c>
      <c r="H9495" t="s">
        <v>2514</v>
      </c>
      <c r="I9495" t="str">
        <f t="shared" si="1784"/>
        <v>06/11/2025</v>
      </c>
      <c r="J9495" t="str">
        <f t="shared" si="1790"/>
        <v>05/11/2025</v>
      </c>
      <c r="K9495">
        <v>45967</v>
      </c>
      <c r="N9495">
        <v>109</v>
      </c>
      <c r="O9495" t="s">
        <v>24</v>
      </c>
      <c r="Q9495">
        <v>88.85</v>
      </c>
      <c r="R9495" t="str">
        <f>"DROGALIDER 58 (10213)"</f>
        <v>DROGALIDER 58 (10213)</v>
      </c>
      <c r="S9495" t="s">
        <v>77</v>
      </c>
      <c r="T9495">
        <v>20787</v>
      </c>
      <c r="U9495">
        <v>24906</v>
      </c>
      <c r="V9495" t="s">
        <v>77</v>
      </c>
    </row>
    <row r="9496" spans="1:22">
      <c r="A9496" t="str">
        <f t="shared" si="1780"/>
        <v>06/11/2025</v>
      </c>
      <c r="B9496" t="str">
        <f t="shared" si="1782"/>
        <v>SAÍDA</v>
      </c>
      <c r="C9496" t="str">
        <f t="shared" si="1783"/>
        <v>PIX</v>
      </c>
      <c r="D9496" t="str">
        <f t="shared" si="1788"/>
        <v>24906</v>
      </c>
      <c r="E9496" t="str">
        <f t="shared" si="1787"/>
        <v>1</v>
      </c>
      <c r="F9496" t="str">
        <f t="shared" si="1781"/>
        <v>COM</v>
      </c>
      <c r="G9496" t="str">
        <f t="shared" si="1789"/>
        <v>MICHELLE RIBEIRO DA SILVA (1012)</v>
      </c>
      <c r="H9496" t="s">
        <v>2514</v>
      </c>
      <c r="I9496" t="str">
        <f t="shared" si="1784"/>
        <v>06/11/2025</v>
      </c>
      <c r="J9496" t="str">
        <f t="shared" si="1790"/>
        <v>05/11/2025</v>
      </c>
      <c r="K9496">
        <v>45967</v>
      </c>
      <c r="N9496">
        <v>109</v>
      </c>
      <c r="O9496" t="s">
        <v>24</v>
      </c>
      <c r="Q9496">
        <v>164.06</v>
      </c>
      <c r="R9496" t="str">
        <f>"DROGALIDER 25 (10246)"</f>
        <v>DROGALIDER 25 (10246)</v>
      </c>
      <c r="S9496" t="s">
        <v>77</v>
      </c>
      <c r="T9496">
        <v>20787</v>
      </c>
      <c r="U9496">
        <v>24906</v>
      </c>
      <c r="V9496" t="s">
        <v>77</v>
      </c>
    </row>
    <row r="9497" spans="1:22">
      <c r="A9497" t="str">
        <f t="shared" si="1780"/>
        <v>06/11/2025</v>
      </c>
      <c r="B9497" t="str">
        <f t="shared" si="1782"/>
        <v>SAÍDA</v>
      </c>
      <c r="C9497" t="str">
        <f t="shared" si="1783"/>
        <v>PIX</v>
      </c>
      <c r="D9497" t="str">
        <f t="shared" si="1788"/>
        <v>24906</v>
      </c>
      <c r="E9497" t="str">
        <f t="shared" si="1787"/>
        <v>1</v>
      </c>
      <c r="F9497" t="str">
        <f t="shared" si="1781"/>
        <v>COM</v>
      </c>
      <c r="G9497" t="str">
        <f t="shared" si="1789"/>
        <v>MICHELLE RIBEIRO DA SILVA (1012)</v>
      </c>
      <c r="H9497" t="s">
        <v>2514</v>
      </c>
      <c r="I9497" t="str">
        <f t="shared" si="1784"/>
        <v>06/11/2025</v>
      </c>
      <c r="J9497" t="str">
        <f t="shared" si="1790"/>
        <v>05/11/2025</v>
      </c>
      <c r="K9497">
        <v>45967</v>
      </c>
      <c r="N9497">
        <v>109</v>
      </c>
      <c r="O9497" t="s">
        <v>24</v>
      </c>
      <c r="Q9497">
        <v>109.37</v>
      </c>
      <c r="R9497" t="str">
        <f>"DROGALIDER 46 (10248)"</f>
        <v>DROGALIDER 46 (10248)</v>
      </c>
      <c r="S9497" t="s">
        <v>77</v>
      </c>
      <c r="T9497">
        <v>20787</v>
      </c>
      <c r="U9497">
        <v>24906</v>
      </c>
      <c r="V9497" t="s">
        <v>77</v>
      </c>
    </row>
    <row r="9498" spans="1:22">
      <c r="A9498" t="str">
        <f t="shared" si="1780"/>
        <v>06/11/2025</v>
      </c>
      <c r="B9498" t="str">
        <f t="shared" si="1782"/>
        <v>SAÍDA</v>
      </c>
      <c r="C9498" t="str">
        <f t="shared" si="1783"/>
        <v>PIX</v>
      </c>
      <c r="D9498" t="str">
        <f t="shared" si="1788"/>
        <v>24906</v>
      </c>
      <c r="E9498" t="str">
        <f t="shared" si="1787"/>
        <v>1</v>
      </c>
      <c r="F9498" t="str">
        <f t="shared" si="1781"/>
        <v>COM</v>
      </c>
      <c r="G9498" t="str">
        <f t="shared" si="1789"/>
        <v>MICHELLE RIBEIRO DA SILVA (1012)</v>
      </c>
      <c r="H9498" t="s">
        <v>2514</v>
      </c>
      <c r="I9498" t="str">
        <f t="shared" si="1784"/>
        <v>06/11/2025</v>
      </c>
      <c r="J9498" t="str">
        <f t="shared" si="1790"/>
        <v>05/11/2025</v>
      </c>
      <c r="K9498">
        <v>45967</v>
      </c>
      <c r="N9498">
        <v>109</v>
      </c>
      <c r="O9498" t="s">
        <v>24</v>
      </c>
      <c r="Q9498">
        <v>20.52</v>
      </c>
      <c r="R9498" t="str">
        <f>"DROGALIDER 64 (10250)"</f>
        <v>DROGALIDER 64 (10250)</v>
      </c>
      <c r="S9498" t="s">
        <v>77</v>
      </c>
      <c r="T9498">
        <v>20787</v>
      </c>
      <c r="U9498">
        <v>24906</v>
      </c>
      <c r="V9498" t="s">
        <v>77</v>
      </c>
    </row>
    <row r="9499" spans="1:22">
      <c r="A9499" t="str">
        <f t="shared" si="1780"/>
        <v>06/11/2025</v>
      </c>
      <c r="B9499" t="str">
        <f t="shared" si="1782"/>
        <v>SAÍDA</v>
      </c>
      <c r="C9499" t="str">
        <f t="shared" si="1783"/>
        <v>PIX</v>
      </c>
      <c r="D9499" t="str">
        <f t="shared" si="1788"/>
        <v>24906</v>
      </c>
      <c r="E9499" t="str">
        <f t="shared" si="1787"/>
        <v>1</v>
      </c>
      <c r="F9499" t="str">
        <f t="shared" si="1781"/>
        <v>COM</v>
      </c>
      <c r="G9499" t="str">
        <f t="shared" si="1789"/>
        <v>MICHELLE RIBEIRO DA SILVA (1012)</v>
      </c>
      <c r="H9499" t="s">
        <v>2514</v>
      </c>
      <c r="I9499" t="str">
        <f t="shared" si="1784"/>
        <v>06/11/2025</v>
      </c>
      <c r="J9499" t="str">
        <f t="shared" si="1790"/>
        <v>05/11/2025</v>
      </c>
      <c r="K9499">
        <v>45967</v>
      </c>
      <c r="N9499">
        <v>109</v>
      </c>
      <c r="O9499" t="s">
        <v>24</v>
      </c>
      <c r="Q9499">
        <v>75.2</v>
      </c>
      <c r="R9499" t="str">
        <f>"DROGALIDER 66 (10251)"</f>
        <v>DROGALIDER 66 (10251)</v>
      </c>
      <c r="S9499" t="s">
        <v>77</v>
      </c>
      <c r="T9499">
        <v>20787</v>
      </c>
      <c r="U9499">
        <v>24906</v>
      </c>
      <c r="V9499" t="s">
        <v>77</v>
      </c>
    </row>
    <row r="9500" spans="1:22">
      <c r="A9500" t="str">
        <f t="shared" si="1780"/>
        <v>06/11/2025</v>
      </c>
      <c r="B9500" t="str">
        <f t="shared" si="1782"/>
        <v>SAÍDA</v>
      </c>
      <c r="C9500" t="str">
        <f t="shared" si="1783"/>
        <v>PIX</v>
      </c>
      <c r="D9500" t="str">
        <f t="shared" ref="D9500:D9505" si="1791">"24907"</f>
        <v>24907</v>
      </c>
      <c r="E9500" t="str">
        <f t="shared" si="1787"/>
        <v>1</v>
      </c>
      <c r="F9500" t="str">
        <f t="shared" si="1781"/>
        <v>COM</v>
      </c>
      <c r="G9500" t="str">
        <f t="shared" ref="G9500:G9505" si="1792">"SARA GABRIELLE SANTOS SILVA (710)"</f>
        <v>SARA GABRIELLE SANTOS SILVA (710)</v>
      </c>
      <c r="H9500" t="str">
        <f>"Serv.Prest. 27/10/2025 a 02/11/2025 - PIX: CPF - CHAVE: 023.116.166-25"</f>
        <v>Serv.Prest. 27/10/2025 a 02/11/2025 - PIX: CPF - CHAVE: 023.116.166-25</v>
      </c>
      <c r="I9500" t="str">
        <f t="shared" si="1784"/>
        <v>06/11/2025</v>
      </c>
      <c r="J9500" t="str">
        <f t="shared" si="1790"/>
        <v>05/11/2025</v>
      </c>
      <c r="K9500" t="str">
        <f>("06/11/2025")</f>
        <v>06/11/2025</v>
      </c>
      <c r="L9500">
        <v>627</v>
      </c>
      <c r="M9500">
        <v>627</v>
      </c>
      <c r="N9500">
        <v>109</v>
      </c>
      <c r="O9500" t="str">
        <f>"PAGAMENTO DE ENTREGADORES"</f>
        <v>PAGAMENTO DE ENTREGADORES</v>
      </c>
      <c r="P9500">
        <v>627</v>
      </c>
      <c r="S9500" t="str">
        <f>"BANCO C6 (149)"</f>
        <v>BANCO C6 (149)</v>
      </c>
      <c r="T9500">
        <v>20788</v>
      </c>
      <c r="U9500">
        <v>24907</v>
      </c>
      <c r="V9500" t="s">
        <v>77</v>
      </c>
    </row>
    <row r="9501" spans="1:22">
      <c r="A9501" t="str">
        <f t="shared" si="1780"/>
        <v>06/11/2025</v>
      </c>
      <c r="B9501" t="str">
        <f t="shared" si="1782"/>
        <v>SAÍDA</v>
      </c>
      <c r="C9501" t="str">
        <f t="shared" si="1783"/>
        <v>PIX</v>
      </c>
      <c r="D9501" t="str">
        <f t="shared" si="1791"/>
        <v>24907</v>
      </c>
      <c r="E9501" t="str">
        <f t="shared" si="1787"/>
        <v>1</v>
      </c>
      <c r="F9501" t="str">
        <f t="shared" si="1781"/>
        <v>COM</v>
      </c>
      <c r="G9501" t="str">
        <f t="shared" si="1792"/>
        <v>SARA GABRIELLE SANTOS SILVA (710)</v>
      </c>
      <c r="H9501" t="s">
        <v>2516</v>
      </c>
      <c r="I9501" t="str">
        <f t="shared" si="1784"/>
        <v>06/11/2025</v>
      </c>
      <c r="J9501" t="str">
        <f t="shared" si="1790"/>
        <v>05/11/2025</v>
      </c>
      <c r="K9501">
        <v>45967</v>
      </c>
      <c r="N9501">
        <v>109</v>
      </c>
      <c r="O9501" t="s">
        <v>24</v>
      </c>
      <c r="Q9501">
        <v>144.02000000000001</v>
      </c>
      <c r="R9501" t="str">
        <f>"DROGALIDER 58 (10213)"</f>
        <v>DROGALIDER 58 (10213)</v>
      </c>
      <c r="S9501" t="s">
        <v>77</v>
      </c>
      <c r="T9501">
        <v>20788</v>
      </c>
      <c r="U9501">
        <v>24907</v>
      </c>
      <c r="V9501" t="s">
        <v>77</v>
      </c>
    </row>
    <row r="9502" spans="1:22">
      <c r="A9502" t="str">
        <f t="shared" ref="A9502:A9565" si="1793">("06/11/2025")</f>
        <v>06/11/2025</v>
      </c>
      <c r="B9502" t="str">
        <f t="shared" si="1782"/>
        <v>SAÍDA</v>
      </c>
      <c r="C9502" t="str">
        <f t="shared" si="1783"/>
        <v>PIX</v>
      </c>
      <c r="D9502" t="str">
        <f t="shared" si="1791"/>
        <v>24907</v>
      </c>
      <c r="E9502" t="str">
        <f t="shared" si="1787"/>
        <v>1</v>
      </c>
      <c r="F9502" t="str">
        <f t="shared" ref="F9502:F9555" si="1794">"COM"</f>
        <v>COM</v>
      </c>
      <c r="G9502" t="str">
        <f t="shared" si="1792"/>
        <v>SARA GABRIELLE SANTOS SILVA (710)</v>
      </c>
      <c r="H9502" t="s">
        <v>2516</v>
      </c>
      <c r="I9502" t="str">
        <f t="shared" si="1784"/>
        <v>06/11/2025</v>
      </c>
      <c r="J9502" t="str">
        <f t="shared" si="1790"/>
        <v>05/11/2025</v>
      </c>
      <c r="K9502">
        <v>45967</v>
      </c>
      <c r="N9502">
        <v>109</v>
      </c>
      <c r="O9502" t="s">
        <v>24</v>
      </c>
      <c r="Q9502">
        <v>220.33</v>
      </c>
      <c r="R9502" t="str">
        <f>"DROGALIDER 25 (10246)"</f>
        <v>DROGALIDER 25 (10246)</v>
      </c>
      <c r="S9502" t="s">
        <v>77</v>
      </c>
      <c r="T9502">
        <v>20788</v>
      </c>
      <c r="U9502">
        <v>24907</v>
      </c>
      <c r="V9502" t="s">
        <v>77</v>
      </c>
    </row>
    <row r="9503" spans="1:22">
      <c r="A9503" t="str">
        <f t="shared" si="1793"/>
        <v>06/11/2025</v>
      </c>
      <c r="B9503" t="str">
        <f t="shared" si="1782"/>
        <v>SAÍDA</v>
      </c>
      <c r="C9503" t="str">
        <f t="shared" si="1783"/>
        <v>PIX</v>
      </c>
      <c r="D9503" t="str">
        <f t="shared" si="1791"/>
        <v>24907</v>
      </c>
      <c r="E9503" t="str">
        <f t="shared" si="1787"/>
        <v>1</v>
      </c>
      <c r="F9503" t="str">
        <f t="shared" si="1794"/>
        <v>COM</v>
      </c>
      <c r="G9503" t="str">
        <f t="shared" si="1792"/>
        <v>SARA GABRIELLE SANTOS SILVA (710)</v>
      </c>
      <c r="H9503" t="s">
        <v>2516</v>
      </c>
      <c r="I9503" t="str">
        <f t="shared" si="1784"/>
        <v>06/11/2025</v>
      </c>
      <c r="J9503" t="str">
        <f t="shared" si="1790"/>
        <v>05/11/2025</v>
      </c>
      <c r="K9503">
        <v>45967</v>
      </c>
      <c r="N9503">
        <v>109</v>
      </c>
      <c r="O9503" t="s">
        <v>24</v>
      </c>
      <c r="Q9503">
        <v>118.63</v>
      </c>
      <c r="R9503" t="str">
        <f>"DROGALIDER 46 (10248)"</f>
        <v>DROGALIDER 46 (10248)</v>
      </c>
      <c r="S9503" t="s">
        <v>77</v>
      </c>
      <c r="T9503">
        <v>20788</v>
      </c>
      <c r="U9503">
        <v>24907</v>
      </c>
      <c r="V9503" t="s">
        <v>77</v>
      </c>
    </row>
    <row r="9504" spans="1:22">
      <c r="A9504" t="str">
        <f t="shared" si="1793"/>
        <v>06/11/2025</v>
      </c>
      <c r="B9504" t="str">
        <f t="shared" si="1782"/>
        <v>SAÍDA</v>
      </c>
      <c r="C9504" t="str">
        <f t="shared" si="1783"/>
        <v>PIX</v>
      </c>
      <c r="D9504" t="str">
        <f t="shared" si="1791"/>
        <v>24907</v>
      </c>
      <c r="E9504" t="str">
        <f t="shared" si="1787"/>
        <v>1</v>
      </c>
      <c r="F9504" t="str">
        <f t="shared" si="1794"/>
        <v>COM</v>
      </c>
      <c r="G9504" t="str">
        <f t="shared" si="1792"/>
        <v>SARA GABRIELLE SANTOS SILVA (710)</v>
      </c>
      <c r="H9504" t="s">
        <v>2516</v>
      </c>
      <c r="I9504" t="str">
        <f t="shared" si="1784"/>
        <v>06/11/2025</v>
      </c>
      <c r="J9504" t="str">
        <f t="shared" si="1790"/>
        <v>05/11/2025</v>
      </c>
      <c r="K9504">
        <v>45967</v>
      </c>
      <c r="N9504">
        <v>109</v>
      </c>
      <c r="O9504" t="s">
        <v>24</v>
      </c>
      <c r="Q9504">
        <v>50.85</v>
      </c>
      <c r="R9504" t="str">
        <f>"DROGALIDER 64 (10250)"</f>
        <v>DROGALIDER 64 (10250)</v>
      </c>
      <c r="S9504" t="s">
        <v>77</v>
      </c>
      <c r="T9504">
        <v>20788</v>
      </c>
      <c r="U9504">
        <v>24907</v>
      </c>
      <c r="V9504" t="s">
        <v>77</v>
      </c>
    </row>
    <row r="9505" spans="1:22">
      <c r="A9505" t="str">
        <f t="shared" si="1793"/>
        <v>06/11/2025</v>
      </c>
      <c r="B9505" t="str">
        <f t="shared" ref="B9505:B9529" si="1795">"SAÍDA"</f>
        <v>SAÍDA</v>
      </c>
      <c r="C9505" t="str">
        <f t="shared" ref="C9505:C9529" si="1796">"PIX"</f>
        <v>PIX</v>
      </c>
      <c r="D9505" t="str">
        <f t="shared" si="1791"/>
        <v>24907</v>
      </c>
      <c r="E9505" t="str">
        <f t="shared" si="1787"/>
        <v>1</v>
      </c>
      <c r="F9505" t="str">
        <f t="shared" si="1794"/>
        <v>COM</v>
      </c>
      <c r="G9505" t="str">
        <f t="shared" si="1792"/>
        <v>SARA GABRIELLE SANTOS SILVA (710)</v>
      </c>
      <c r="H9505" t="s">
        <v>2516</v>
      </c>
      <c r="I9505" t="str">
        <f t="shared" si="1784"/>
        <v>06/11/2025</v>
      </c>
      <c r="J9505" t="str">
        <f t="shared" si="1790"/>
        <v>05/11/2025</v>
      </c>
      <c r="K9505">
        <v>45967</v>
      </c>
      <c r="N9505">
        <v>109</v>
      </c>
      <c r="O9505" t="s">
        <v>24</v>
      </c>
      <c r="Q9505">
        <v>93.17</v>
      </c>
      <c r="R9505" t="str">
        <f>"DROGALIDER 66 (10251)"</f>
        <v>DROGALIDER 66 (10251)</v>
      </c>
      <c r="S9505" t="s">
        <v>77</v>
      </c>
      <c r="T9505">
        <v>20788</v>
      </c>
      <c r="U9505">
        <v>24907</v>
      </c>
      <c r="V9505" t="s">
        <v>77</v>
      </c>
    </row>
    <row r="9506" spans="1:22">
      <c r="A9506" t="str">
        <f t="shared" si="1793"/>
        <v>06/11/2025</v>
      </c>
      <c r="B9506" t="str">
        <f t="shared" si="1795"/>
        <v>SAÍDA</v>
      </c>
      <c r="C9506" t="str">
        <f t="shared" si="1796"/>
        <v>PIX</v>
      </c>
      <c r="D9506" t="str">
        <f t="shared" ref="D9506:D9511" si="1797">"24916"</f>
        <v>24916</v>
      </c>
      <c r="E9506" t="str">
        <f t="shared" si="1787"/>
        <v>1</v>
      </c>
      <c r="F9506" t="str">
        <f t="shared" si="1794"/>
        <v>COM</v>
      </c>
      <c r="G9506" t="str">
        <f t="shared" ref="G9506:G9511" si="1798">"FABIANO QUIRINO FERREIRA (1050)"</f>
        <v>FABIANO QUIRINO FERREIRA (1050)</v>
      </c>
      <c r="H9506" t="str">
        <f>"Serv.Prest. 27/10/2025 a 02/11/2025 - PIX: CPF - CHAVE: 054.162.686-89"</f>
        <v>Serv.Prest. 27/10/2025 a 02/11/2025 - PIX: CPF - CHAVE: 054.162.686-89</v>
      </c>
      <c r="I9506" t="str">
        <f t="shared" si="1784"/>
        <v>06/11/2025</v>
      </c>
      <c r="J9506" t="str">
        <f t="shared" si="1790"/>
        <v>05/11/2025</v>
      </c>
      <c r="K9506" t="str">
        <f>("06/11/2025")</f>
        <v>06/11/2025</v>
      </c>
      <c r="L9506">
        <v>500</v>
      </c>
      <c r="M9506">
        <v>500</v>
      </c>
      <c r="N9506">
        <v>109</v>
      </c>
      <c r="O9506" t="str">
        <f>"PAGAMENTO DE ENTREGADORES"</f>
        <v>PAGAMENTO DE ENTREGADORES</v>
      </c>
      <c r="P9506">
        <v>500</v>
      </c>
      <c r="S9506" t="str">
        <f>"BANCO C6 (149)"</f>
        <v>BANCO C6 (149)</v>
      </c>
      <c r="T9506">
        <v>20789</v>
      </c>
      <c r="U9506">
        <v>24916</v>
      </c>
      <c r="V9506" t="s">
        <v>77</v>
      </c>
    </row>
    <row r="9507" spans="1:22">
      <c r="A9507" t="str">
        <f t="shared" si="1793"/>
        <v>06/11/2025</v>
      </c>
      <c r="B9507" t="str">
        <f t="shared" si="1795"/>
        <v>SAÍDA</v>
      </c>
      <c r="C9507" t="str">
        <f t="shared" si="1796"/>
        <v>PIX</v>
      </c>
      <c r="D9507" t="str">
        <f t="shared" si="1797"/>
        <v>24916</v>
      </c>
      <c r="E9507" t="str">
        <f t="shared" si="1787"/>
        <v>1</v>
      </c>
      <c r="F9507" t="str">
        <f t="shared" si="1794"/>
        <v>COM</v>
      </c>
      <c r="G9507" t="str">
        <f t="shared" si="1798"/>
        <v>FABIANO QUIRINO FERREIRA (1050)</v>
      </c>
      <c r="H9507" t="s">
        <v>2724</v>
      </c>
      <c r="I9507" t="str">
        <f t="shared" ref="I9507:I9529" si="1799">("06/11/2025")</f>
        <v>06/11/2025</v>
      </c>
      <c r="J9507" t="str">
        <f t="shared" si="1790"/>
        <v>05/11/2025</v>
      </c>
      <c r="K9507">
        <v>45967</v>
      </c>
      <c r="N9507">
        <v>109</v>
      </c>
      <c r="O9507" t="s">
        <v>24</v>
      </c>
      <c r="Q9507">
        <v>27.8</v>
      </c>
      <c r="R9507" t="str">
        <f>"DROGALIDER 42 (10247)"</f>
        <v>DROGALIDER 42 (10247)</v>
      </c>
      <c r="S9507" t="s">
        <v>77</v>
      </c>
      <c r="T9507">
        <v>20789</v>
      </c>
      <c r="U9507">
        <v>24916</v>
      </c>
      <c r="V9507" t="s">
        <v>77</v>
      </c>
    </row>
    <row r="9508" spans="1:22">
      <c r="A9508" t="str">
        <f t="shared" si="1793"/>
        <v>06/11/2025</v>
      </c>
      <c r="B9508" t="str">
        <f t="shared" si="1795"/>
        <v>SAÍDA</v>
      </c>
      <c r="C9508" t="str">
        <f t="shared" si="1796"/>
        <v>PIX</v>
      </c>
      <c r="D9508" t="str">
        <f t="shared" si="1797"/>
        <v>24916</v>
      </c>
      <c r="E9508" t="str">
        <f t="shared" si="1787"/>
        <v>1</v>
      </c>
      <c r="F9508" t="str">
        <f t="shared" si="1794"/>
        <v>COM</v>
      </c>
      <c r="G9508" t="str">
        <f t="shared" si="1798"/>
        <v>FABIANO QUIRINO FERREIRA (1050)</v>
      </c>
      <c r="H9508" t="s">
        <v>2724</v>
      </c>
      <c r="I9508" t="str">
        <f t="shared" si="1799"/>
        <v>06/11/2025</v>
      </c>
      <c r="J9508" t="str">
        <f t="shared" si="1790"/>
        <v>05/11/2025</v>
      </c>
      <c r="K9508">
        <v>45967</v>
      </c>
      <c r="N9508">
        <v>109</v>
      </c>
      <c r="O9508" t="s">
        <v>24</v>
      </c>
      <c r="Q9508">
        <v>157.4</v>
      </c>
      <c r="R9508" t="str">
        <f>"DROGALIDER 55 (10249)"</f>
        <v>DROGALIDER 55 (10249)</v>
      </c>
      <c r="S9508" t="s">
        <v>77</v>
      </c>
      <c r="T9508">
        <v>20789</v>
      </c>
      <c r="U9508">
        <v>24916</v>
      </c>
      <c r="V9508" t="s">
        <v>77</v>
      </c>
    </row>
    <row r="9509" spans="1:22">
      <c r="A9509" t="str">
        <f t="shared" si="1793"/>
        <v>06/11/2025</v>
      </c>
      <c r="B9509" t="str">
        <f t="shared" si="1795"/>
        <v>SAÍDA</v>
      </c>
      <c r="C9509" t="str">
        <f t="shared" si="1796"/>
        <v>PIX</v>
      </c>
      <c r="D9509" t="str">
        <f t="shared" si="1797"/>
        <v>24916</v>
      </c>
      <c r="E9509" t="str">
        <f t="shared" si="1787"/>
        <v>1</v>
      </c>
      <c r="F9509" t="str">
        <f t="shared" si="1794"/>
        <v>COM</v>
      </c>
      <c r="G9509" t="str">
        <f t="shared" si="1798"/>
        <v>FABIANO QUIRINO FERREIRA (1050)</v>
      </c>
      <c r="H9509" t="s">
        <v>2724</v>
      </c>
      <c r="I9509" t="str">
        <f t="shared" si="1799"/>
        <v>06/11/2025</v>
      </c>
      <c r="J9509" t="str">
        <f t="shared" si="1790"/>
        <v>05/11/2025</v>
      </c>
      <c r="K9509">
        <v>45967</v>
      </c>
      <c r="N9509">
        <v>109</v>
      </c>
      <c r="O9509" t="s">
        <v>24</v>
      </c>
      <c r="Q9509">
        <v>83.35</v>
      </c>
      <c r="R9509" t="str">
        <f>"DROGALIDER 67 (10252)"</f>
        <v>DROGALIDER 67 (10252)</v>
      </c>
      <c r="S9509" t="s">
        <v>77</v>
      </c>
      <c r="T9509">
        <v>20789</v>
      </c>
      <c r="U9509">
        <v>24916</v>
      </c>
      <c r="V9509" t="s">
        <v>77</v>
      </c>
    </row>
    <row r="9510" spans="1:22">
      <c r="A9510" t="str">
        <f t="shared" si="1793"/>
        <v>06/11/2025</v>
      </c>
      <c r="B9510" t="str">
        <f t="shared" si="1795"/>
        <v>SAÍDA</v>
      </c>
      <c r="C9510" t="str">
        <f t="shared" si="1796"/>
        <v>PIX</v>
      </c>
      <c r="D9510" t="str">
        <f t="shared" si="1797"/>
        <v>24916</v>
      </c>
      <c r="E9510" t="str">
        <f t="shared" si="1787"/>
        <v>1</v>
      </c>
      <c r="F9510" t="str">
        <f t="shared" si="1794"/>
        <v>COM</v>
      </c>
      <c r="G9510" t="str">
        <f t="shared" si="1798"/>
        <v>FABIANO QUIRINO FERREIRA (1050)</v>
      </c>
      <c r="H9510" t="s">
        <v>2724</v>
      </c>
      <c r="I9510" t="str">
        <f t="shared" si="1799"/>
        <v>06/11/2025</v>
      </c>
      <c r="J9510" t="str">
        <f t="shared" si="1790"/>
        <v>05/11/2025</v>
      </c>
      <c r="K9510">
        <v>45967</v>
      </c>
      <c r="N9510">
        <v>109</v>
      </c>
      <c r="O9510" t="s">
        <v>24</v>
      </c>
      <c r="Q9510">
        <v>9.25</v>
      </c>
      <c r="R9510" t="str">
        <f>"DROGALIDER 68 (10253)"</f>
        <v>DROGALIDER 68 (10253)</v>
      </c>
      <c r="S9510" t="s">
        <v>77</v>
      </c>
      <c r="T9510">
        <v>20789</v>
      </c>
      <c r="U9510">
        <v>24916</v>
      </c>
      <c r="V9510" t="s">
        <v>77</v>
      </c>
    </row>
    <row r="9511" spans="1:22">
      <c r="A9511" t="str">
        <f t="shared" si="1793"/>
        <v>06/11/2025</v>
      </c>
      <c r="B9511" t="str">
        <f t="shared" si="1795"/>
        <v>SAÍDA</v>
      </c>
      <c r="C9511" t="str">
        <f t="shared" si="1796"/>
        <v>PIX</v>
      </c>
      <c r="D9511" t="str">
        <f t="shared" si="1797"/>
        <v>24916</v>
      </c>
      <c r="E9511" t="str">
        <f t="shared" si="1787"/>
        <v>1</v>
      </c>
      <c r="F9511" t="str">
        <f t="shared" si="1794"/>
        <v>COM</v>
      </c>
      <c r="G9511" t="str">
        <f t="shared" si="1798"/>
        <v>FABIANO QUIRINO FERREIRA (1050)</v>
      </c>
      <c r="H9511" t="s">
        <v>2724</v>
      </c>
      <c r="I9511" t="str">
        <f t="shared" si="1799"/>
        <v>06/11/2025</v>
      </c>
      <c r="J9511" t="str">
        <f t="shared" si="1790"/>
        <v>05/11/2025</v>
      </c>
      <c r="K9511">
        <v>45967</v>
      </c>
      <c r="N9511">
        <v>109</v>
      </c>
      <c r="O9511" t="s">
        <v>24</v>
      </c>
      <c r="Q9511">
        <v>222.2</v>
      </c>
      <c r="R9511" t="str">
        <f>"DROGALIDER 31 (10256)"</f>
        <v>DROGALIDER 31 (10256)</v>
      </c>
      <c r="S9511" t="s">
        <v>77</v>
      </c>
      <c r="T9511">
        <v>20789</v>
      </c>
      <c r="U9511">
        <v>24916</v>
      </c>
      <c r="V9511" t="s">
        <v>77</v>
      </c>
    </row>
    <row r="9512" spans="1:22">
      <c r="A9512" t="str">
        <f t="shared" si="1793"/>
        <v>06/11/2025</v>
      </c>
      <c r="B9512" t="str">
        <f t="shared" si="1795"/>
        <v>SAÍDA</v>
      </c>
      <c r="C9512" t="str">
        <f t="shared" si="1796"/>
        <v>PIX</v>
      </c>
      <c r="D9512" t="str">
        <f t="shared" ref="D9512:D9517" si="1800">"24917"</f>
        <v>24917</v>
      </c>
      <c r="E9512" t="str">
        <f t="shared" si="1787"/>
        <v>1</v>
      </c>
      <c r="F9512" t="str">
        <f t="shared" si="1794"/>
        <v>COM</v>
      </c>
      <c r="G9512" t="str">
        <f t="shared" ref="G9512:G9517" si="1801">"LUCIANA BEATRIZ MARQUES DAVI (1043)"</f>
        <v>LUCIANA BEATRIZ MARQUES DAVI (1043)</v>
      </c>
      <c r="H9512" t="str">
        <f>"Serv.Prest. 27/10/2025 a 02/11/2025 - PIX: CELULAR - CHAVE: (34) 99889-9792"</f>
        <v>Serv.Prest. 27/10/2025 a 02/11/2025 - PIX: CELULAR - CHAVE: (34) 99889-9792</v>
      </c>
      <c r="I9512" t="str">
        <f t="shared" si="1799"/>
        <v>06/11/2025</v>
      </c>
      <c r="J9512" t="str">
        <f t="shared" si="1790"/>
        <v>05/11/2025</v>
      </c>
      <c r="K9512" t="str">
        <f>("06/11/2025")</f>
        <v>06/11/2025</v>
      </c>
      <c r="L9512">
        <v>500</v>
      </c>
      <c r="M9512">
        <v>500</v>
      </c>
      <c r="N9512">
        <v>109</v>
      </c>
      <c r="O9512" t="str">
        <f>"PAGAMENTO DE ENTREGADORES"</f>
        <v>PAGAMENTO DE ENTREGADORES</v>
      </c>
      <c r="P9512">
        <v>500</v>
      </c>
      <c r="S9512" t="str">
        <f>"BANCO C6 (149)"</f>
        <v>BANCO C6 (149)</v>
      </c>
      <c r="T9512">
        <v>20790</v>
      </c>
      <c r="U9512">
        <v>24917</v>
      </c>
      <c r="V9512" t="s">
        <v>77</v>
      </c>
    </row>
    <row r="9513" spans="1:22">
      <c r="A9513" t="str">
        <f t="shared" si="1793"/>
        <v>06/11/2025</v>
      </c>
      <c r="B9513" t="str">
        <f t="shared" si="1795"/>
        <v>SAÍDA</v>
      </c>
      <c r="C9513" t="str">
        <f t="shared" si="1796"/>
        <v>PIX</v>
      </c>
      <c r="D9513" t="str">
        <f t="shared" si="1800"/>
        <v>24917</v>
      </c>
      <c r="E9513" t="str">
        <f t="shared" si="1787"/>
        <v>1</v>
      </c>
      <c r="F9513" t="str">
        <f t="shared" si="1794"/>
        <v>COM</v>
      </c>
      <c r="G9513" t="str">
        <f t="shared" si="1801"/>
        <v>LUCIANA BEATRIZ MARQUES DAVI (1043)</v>
      </c>
      <c r="H9513" t="s">
        <v>2725</v>
      </c>
      <c r="I9513" t="str">
        <f t="shared" si="1799"/>
        <v>06/11/2025</v>
      </c>
      <c r="J9513" t="str">
        <f t="shared" si="1790"/>
        <v>05/11/2025</v>
      </c>
      <c r="K9513">
        <v>45967</v>
      </c>
      <c r="N9513">
        <v>109</v>
      </c>
      <c r="O9513" t="s">
        <v>24</v>
      </c>
      <c r="Q9513">
        <v>11.9</v>
      </c>
      <c r="R9513" t="str">
        <f>"DROGALIDER 42 (10247)"</f>
        <v>DROGALIDER 42 (10247)</v>
      </c>
      <c r="S9513" t="s">
        <v>77</v>
      </c>
      <c r="T9513">
        <v>20790</v>
      </c>
      <c r="U9513">
        <v>24917</v>
      </c>
      <c r="V9513" t="s">
        <v>77</v>
      </c>
    </row>
    <row r="9514" spans="1:22">
      <c r="A9514" t="str">
        <f t="shared" si="1793"/>
        <v>06/11/2025</v>
      </c>
      <c r="B9514" t="str">
        <f t="shared" si="1795"/>
        <v>SAÍDA</v>
      </c>
      <c r="C9514" t="str">
        <f t="shared" si="1796"/>
        <v>PIX</v>
      </c>
      <c r="D9514" t="str">
        <f t="shared" si="1800"/>
        <v>24917</v>
      </c>
      <c r="E9514" t="str">
        <f t="shared" si="1787"/>
        <v>1</v>
      </c>
      <c r="F9514" t="str">
        <f t="shared" si="1794"/>
        <v>COM</v>
      </c>
      <c r="G9514" t="str">
        <f t="shared" si="1801"/>
        <v>LUCIANA BEATRIZ MARQUES DAVI (1043)</v>
      </c>
      <c r="H9514" t="s">
        <v>2725</v>
      </c>
      <c r="I9514" t="str">
        <f t="shared" si="1799"/>
        <v>06/11/2025</v>
      </c>
      <c r="J9514" t="str">
        <f t="shared" si="1790"/>
        <v>05/11/2025</v>
      </c>
      <c r="K9514">
        <v>45967</v>
      </c>
      <c r="N9514">
        <v>109</v>
      </c>
      <c r="O9514" t="s">
        <v>24</v>
      </c>
      <c r="Q9514">
        <v>130.94999999999999</v>
      </c>
      <c r="R9514" t="str">
        <f>"DROGALIDER 55 (10249)"</f>
        <v>DROGALIDER 55 (10249)</v>
      </c>
      <c r="S9514" t="s">
        <v>77</v>
      </c>
      <c r="T9514">
        <v>20790</v>
      </c>
      <c r="U9514">
        <v>24917</v>
      </c>
      <c r="V9514" t="s">
        <v>77</v>
      </c>
    </row>
    <row r="9515" spans="1:22">
      <c r="A9515" t="str">
        <f t="shared" si="1793"/>
        <v>06/11/2025</v>
      </c>
      <c r="B9515" t="str">
        <f t="shared" si="1795"/>
        <v>SAÍDA</v>
      </c>
      <c r="C9515" t="str">
        <f t="shared" si="1796"/>
        <v>PIX</v>
      </c>
      <c r="D9515" t="str">
        <f t="shared" si="1800"/>
        <v>24917</v>
      </c>
      <c r="E9515" t="str">
        <f t="shared" si="1787"/>
        <v>1</v>
      </c>
      <c r="F9515" t="str">
        <f t="shared" si="1794"/>
        <v>COM</v>
      </c>
      <c r="G9515" t="str">
        <f t="shared" si="1801"/>
        <v>LUCIANA BEATRIZ MARQUES DAVI (1043)</v>
      </c>
      <c r="H9515" t="s">
        <v>2725</v>
      </c>
      <c r="I9515" t="str">
        <f t="shared" si="1799"/>
        <v>06/11/2025</v>
      </c>
      <c r="J9515" t="str">
        <f t="shared" si="1790"/>
        <v>05/11/2025</v>
      </c>
      <c r="K9515">
        <v>45967</v>
      </c>
      <c r="N9515">
        <v>109</v>
      </c>
      <c r="O9515" t="s">
        <v>24</v>
      </c>
      <c r="Q9515">
        <v>107.15</v>
      </c>
      <c r="R9515" t="str">
        <f>"DROGALIDER 67 (10252)"</f>
        <v>DROGALIDER 67 (10252)</v>
      </c>
      <c r="S9515" t="s">
        <v>77</v>
      </c>
      <c r="T9515">
        <v>20790</v>
      </c>
      <c r="U9515">
        <v>24917</v>
      </c>
      <c r="V9515" t="s">
        <v>77</v>
      </c>
    </row>
    <row r="9516" spans="1:22">
      <c r="A9516" t="str">
        <f t="shared" si="1793"/>
        <v>06/11/2025</v>
      </c>
      <c r="B9516" t="str">
        <f t="shared" si="1795"/>
        <v>SAÍDA</v>
      </c>
      <c r="C9516" t="str">
        <f t="shared" si="1796"/>
        <v>PIX</v>
      </c>
      <c r="D9516" t="str">
        <f t="shared" si="1800"/>
        <v>24917</v>
      </c>
      <c r="E9516" t="str">
        <f t="shared" si="1787"/>
        <v>1</v>
      </c>
      <c r="F9516" t="str">
        <f t="shared" si="1794"/>
        <v>COM</v>
      </c>
      <c r="G9516" t="str">
        <f t="shared" si="1801"/>
        <v>LUCIANA BEATRIZ MARQUES DAVI (1043)</v>
      </c>
      <c r="H9516" t="s">
        <v>2725</v>
      </c>
      <c r="I9516" t="str">
        <f t="shared" si="1799"/>
        <v>06/11/2025</v>
      </c>
      <c r="J9516" t="str">
        <f t="shared" si="1790"/>
        <v>05/11/2025</v>
      </c>
      <c r="K9516">
        <v>45967</v>
      </c>
      <c r="N9516">
        <v>109</v>
      </c>
      <c r="O9516" t="s">
        <v>24</v>
      </c>
      <c r="Q9516">
        <v>35.700000000000003</v>
      </c>
      <c r="R9516" t="str">
        <f>"DROGALIDER 68 (10253)"</f>
        <v>DROGALIDER 68 (10253)</v>
      </c>
      <c r="S9516" t="s">
        <v>77</v>
      </c>
      <c r="T9516">
        <v>20790</v>
      </c>
      <c r="U9516">
        <v>24917</v>
      </c>
      <c r="V9516" t="s">
        <v>77</v>
      </c>
    </row>
    <row r="9517" spans="1:22">
      <c r="A9517" t="str">
        <f t="shared" si="1793"/>
        <v>06/11/2025</v>
      </c>
      <c r="B9517" t="str">
        <f t="shared" si="1795"/>
        <v>SAÍDA</v>
      </c>
      <c r="C9517" t="str">
        <f t="shared" si="1796"/>
        <v>PIX</v>
      </c>
      <c r="D9517" t="str">
        <f t="shared" si="1800"/>
        <v>24917</v>
      </c>
      <c r="E9517" t="str">
        <f t="shared" si="1787"/>
        <v>1</v>
      </c>
      <c r="F9517" t="str">
        <f t="shared" si="1794"/>
        <v>COM</v>
      </c>
      <c r="G9517" t="str">
        <f t="shared" si="1801"/>
        <v>LUCIANA BEATRIZ MARQUES DAVI (1043)</v>
      </c>
      <c r="H9517" t="s">
        <v>2725</v>
      </c>
      <c r="I9517" t="str">
        <f t="shared" si="1799"/>
        <v>06/11/2025</v>
      </c>
      <c r="J9517" t="str">
        <f t="shared" si="1790"/>
        <v>05/11/2025</v>
      </c>
      <c r="K9517">
        <v>45967</v>
      </c>
      <c r="N9517">
        <v>109</v>
      </c>
      <c r="O9517" t="s">
        <v>24</v>
      </c>
      <c r="Q9517">
        <v>214.3</v>
      </c>
      <c r="R9517" t="str">
        <f>"DROGALIDER 31 (10256)"</f>
        <v>DROGALIDER 31 (10256)</v>
      </c>
      <c r="S9517" t="s">
        <v>77</v>
      </c>
      <c r="T9517">
        <v>20790</v>
      </c>
      <c r="U9517">
        <v>24917</v>
      </c>
      <c r="V9517" t="s">
        <v>77</v>
      </c>
    </row>
    <row r="9518" spans="1:22">
      <c r="A9518" t="str">
        <f t="shared" si="1793"/>
        <v>06/11/2025</v>
      </c>
      <c r="B9518" t="str">
        <f t="shared" si="1795"/>
        <v>SAÍDA</v>
      </c>
      <c r="C9518" t="str">
        <f t="shared" si="1796"/>
        <v>PIX</v>
      </c>
      <c r="D9518" t="str">
        <f t="shared" ref="D9518:D9523" si="1802">"24918"</f>
        <v>24918</v>
      </c>
      <c r="E9518" t="str">
        <f t="shared" si="1787"/>
        <v>1</v>
      </c>
      <c r="F9518" t="str">
        <f t="shared" si="1794"/>
        <v>COM</v>
      </c>
      <c r="G9518" t="str">
        <f t="shared" ref="G9518:G9523" si="1803">"MATHEUS AMORIM PEREIRA (1013)"</f>
        <v>MATHEUS AMORIM PEREIRA (1013)</v>
      </c>
      <c r="H9518" t="str">
        <f>"Serv.Prest. 27/10/2025 a 02/11/2025 - PIX: CELULAR - CHAVE: (34) 99178-2263"</f>
        <v>Serv.Prest. 27/10/2025 a 02/11/2025 - PIX: CELULAR - CHAVE: (34) 99178-2263</v>
      </c>
      <c r="I9518" t="str">
        <f t="shared" si="1799"/>
        <v>06/11/2025</v>
      </c>
      <c r="J9518" t="str">
        <f t="shared" si="1790"/>
        <v>05/11/2025</v>
      </c>
      <c r="K9518" t="str">
        <f>("06/11/2025")</f>
        <v>06/11/2025</v>
      </c>
      <c r="L9518">
        <v>500</v>
      </c>
      <c r="M9518">
        <v>500</v>
      </c>
      <c r="N9518">
        <v>109</v>
      </c>
      <c r="O9518" t="str">
        <f>"PAGAMENTO DE ENTREGADORES"</f>
        <v>PAGAMENTO DE ENTREGADORES</v>
      </c>
      <c r="P9518">
        <v>500</v>
      </c>
      <c r="S9518" t="str">
        <f>"BANCO C6 (149)"</f>
        <v>BANCO C6 (149)</v>
      </c>
      <c r="T9518">
        <v>20791</v>
      </c>
      <c r="U9518">
        <v>24918</v>
      </c>
      <c r="V9518" t="s">
        <v>77</v>
      </c>
    </row>
    <row r="9519" spans="1:22">
      <c r="A9519" t="str">
        <f t="shared" si="1793"/>
        <v>06/11/2025</v>
      </c>
      <c r="B9519" t="str">
        <f t="shared" si="1795"/>
        <v>SAÍDA</v>
      </c>
      <c r="C9519" t="str">
        <f t="shared" si="1796"/>
        <v>PIX</v>
      </c>
      <c r="D9519" t="str">
        <f t="shared" si="1802"/>
        <v>24918</v>
      </c>
      <c r="E9519" t="str">
        <f t="shared" si="1787"/>
        <v>1</v>
      </c>
      <c r="F9519" t="str">
        <f t="shared" si="1794"/>
        <v>COM</v>
      </c>
      <c r="G9519" t="str">
        <f t="shared" si="1803"/>
        <v>MATHEUS AMORIM PEREIRA (1013)</v>
      </c>
      <c r="H9519" t="s">
        <v>2726</v>
      </c>
      <c r="I9519" t="str">
        <f t="shared" si="1799"/>
        <v>06/11/2025</v>
      </c>
      <c r="J9519" t="str">
        <f t="shared" si="1790"/>
        <v>05/11/2025</v>
      </c>
      <c r="K9519">
        <v>45967</v>
      </c>
      <c r="N9519">
        <v>109</v>
      </c>
      <c r="O9519" t="s">
        <v>24</v>
      </c>
      <c r="Q9519">
        <v>58.5</v>
      </c>
      <c r="R9519" t="str">
        <f>"DROGALIDER 42 (10247)"</f>
        <v>DROGALIDER 42 (10247)</v>
      </c>
      <c r="S9519" t="s">
        <v>77</v>
      </c>
      <c r="T9519">
        <v>20791</v>
      </c>
      <c r="U9519">
        <v>24918</v>
      </c>
      <c r="V9519" t="s">
        <v>77</v>
      </c>
    </row>
    <row r="9520" spans="1:22">
      <c r="A9520" t="str">
        <f t="shared" si="1793"/>
        <v>06/11/2025</v>
      </c>
      <c r="B9520" t="str">
        <f t="shared" si="1795"/>
        <v>SAÍDA</v>
      </c>
      <c r="C9520" t="str">
        <f t="shared" si="1796"/>
        <v>PIX</v>
      </c>
      <c r="D9520" t="str">
        <f t="shared" si="1802"/>
        <v>24918</v>
      </c>
      <c r="E9520" t="str">
        <f t="shared" si="1787"/>
        <v>1</v>
      </c>
      <c r="F9520" t="str">
        <f t="shared" si="1794"/>
        <v>COM</v>
      </c>
      <c r="G9520" t="str">
        <f t="shared" si="1803"/>
        <v>MATHEUS AMORIM PEREIRA (1013)</v>
      </c>
      <c r="H9520" t="s">
        <v>2726</v>
      </c>
      <c r="I9520" t="str">
        <f t="shared" si="1799"/>
        <v>06/11/2025</v>
      </c>
      <c r="J9520" t="str">
        <f t="shared" si="1790"/>
        <v>05/11/2025</v>
      </c>
      <c r="K9520">
        <v>45967</v>
      </c>
      <c r="N9520">
        <v>109</v>
      </c>
      <c r="O9520" t="s">
        <v>24</v>
      </c>
      <c r="Q9520">
        <v>26.6</v>
      </c>
      <c r="R9520" t="str">
        <f>"DROGALIDER 55 (10249)"</f>
        <v>DROGALIDER 55 (10249)</v>
      </c>
      <c r="S9520" t="s">
        <v>77</v>
      </c>
      <c r="T9520">
        <v>20791</v>
      </c>
      <c r="U9520">
        <v>24918</v>
      </c>
      <c r="V9520" t="s">
        <v>77</v>
      </c>
    </row>
    <row r="9521" spans="1:22">
      <c r="A9521" t="str">
        <f t="shared" si="1793"/>
        <v>06/11/2025</v>
      </c>
      <c r="B9521" t="str">
        <f t="shared" si="1795"/>
        <v>SAÍDA</v>
      </c>
      <c r="C9521" t="str">
        <f t="shared" si="1796"/>
        <v>PIX</v>
      </c>
      <c r="D9521" t="str">
        <f t="shared" si="1802"/>
        <v>24918</v>
      </c>
      <c r="E9521" t="str">
        <f t="shared" si="1787"/>
        <v>1</v>
      </c>
      <c r="F9521" t="str">
        <f t="shared" si="1794"/>
        <v>COM</v>
      </c>
      <c r="G9521" t="str">
        <f t="shared" si="1803"/>
        <v>MATHEUS AMORIM PEREIRA (1013)</v>
      </c>
      <c r="H9521" t="s">
        <v>2726</v>
      </c>
      <c r="I9521" t="str">
        <f t="shared" si="1799"/>
        <v>06/11/2025</v>
      </c>
      <c r="J9521" t="str">
        <f t="shared" si="1790"/>
        <v>05/11/2025</v>
      </c>
      <c r="K9521">
        <v>45967</v>
      </c>
      <c r="N9521">
        <v>109</v>
      </c>
      <c r="O9521" t="s">
        <v>24</v>
      </c>
      <c r="Q9521">
        <v>90.45</v>
      </c>
      <c r="R9521" t="str">
        <f>"DROGALIDER 67 (10252)"</f>
        <v>DROGALIDER 67 (10252)</v>
      </c>
      <c r="S9521" t="s">
        <v>77</v>
      </c>
      <c r="T9521">
        <v>20791</v>
      </c>
      <c r="U9521">
        <v>24918</v>
      </c>
      <c r="V9521" t="s">
        <v>77</v>
      </c>
    </row>
    <row r="9522" spans="1:22">
      <c r="A9522" t="str">
        <f t="shared" si="1793"/>
        <v>06/11/2025</v>
      </c>
      <c r="B9522" t="str">
        <f t="shared" si="1795"/>
        <v>SAÍDA</v>
      </c>
      <c r="C9522" t="str">
        <f t="shared" si="1796"/>
        <v>PIX</v>
      </c>
      <c r="D9522" t="str">
        <f t="shared" si="1802"/>
        <v>24918</v>
      </c>
      <c r="E9522" t="str">
        <f t="shared" si="1787"/>
        <v>1</v>
      </c>
      <c r="F9522" t="str">
        <f t="shared" si="1794"/>
        <v>COM</v>
      </c>
      <c r="G9522" t="str">
        <f t="shared" si="1803"/>
        <v>MATHEUS AMORIM PEREIRA (1013)</v>
      </c>
      <c r="H9522" t="s">
        <v>2726</v>
      </c>
      <c r="I9522" t="str">
        <f t="shared" si="1799"/>
        <v>06/11/2025</v>
      </c>
      <c r="J9522" t="str">
        <f t="shared" si="1790"/>
        <v>05/11/2025</v>
      </c>
      <c r="K9522">
        <v>45967</v>
      </c>
      <c r="N9522">
        <v>109</v>
      </c>
      <c r="O9522" t="s">
        <v>24</v>
      </c>
      <c r="Q9522">
        <v>53.2</v>
      </c>
      <c r="R9522" t="str">
        <f>"DROGALIDER 68 (10253)"</f>
        <v>DROGALIDER 68 (10253)</v>
      </c>
      <c r="S9522" t="s">
        <v>77</v>
      </c>
      <c r="T9522">
        <v>20791</v>
      </c>
      <c r="U9522">
        <v>24918</v>
      </c>
      <c r="V9522" t="s">
        <v>77</v>
      </c>
    </row>
    <row r="9523" spans="1:22">
      <c r="A9523" t="str">
        <f t="shared" si="1793"/>
        <v>06/11/2025</v>
      </c>
      <c r="B9523" t="str">
        <f t="shared" si="1795"/>
        <v>SAÍDA</v>
      </c>
      <c r="C9523" t="str">
        <f t="shared" si="1796"/>
        <v>PIX</v>
      </c>
      <c r="D9523" t="str">
        <f t="shared" si="1802"/>
        <v>24918</v>
      </c>
      <c r="E9523" t="str">
        <f t="shared" si="1787"/>
        <v>1</v>
      </c>
      <c r="F9523" t="str">
        <f t="shared" si="1794"/>
        <v>COM</v>
      </c>
      <c r="G9523" t="str">
        <f t="shared" si="1803"/>
        <v>MATHEUS AMORIM PEREIRA (1013)</v>
      </c>
      <c r="H9523" t="s">
        <v>2726</v>
      </c>
      <c r="I9523" t="str">
        <f t="shared" si="1799"/>
        <v>06/11/2025</v>
      </c>
      <c r="J9523" t="str">
        <f t="shared" si="1790"/>
        <v>05/11/2025</v>
      </c>
      <c r="K9523">
        <v>45967</v>
      </c>
      <c r="N9523">
        <v>109</v>
      </c>
      <c r="O9523" t="s">
        <v>24</v>
      </c>
      <c r="Q9523">
        <v>271.25</v>
      </c>
      <c r="R9523" t="str">
        <f>"DROGALIDER 31 (10256)"</f>
        <v>DROGALIDER 31 (10256)</v>
      </c>
      <c r="S9523" t="s">
        <v>77</v>
      </c>
      <c r="T9523">
        <v>20791</v>
      </c>
      <c r="U9523">
        <v>24918</v>
      </c>
      <c r="V9523" t="s">
        <v>77</v>
      </c>
    </row>
    <row r="9524" spans="1:22">
      <c r="A9524" t="str">
        <f t="shared" si="1793"/>
        <v>06/11/2025</v>
      </c>
      <c r="B9524" t="str">
        <f t="shared" si="1795"/>
        <v>SAÍDA</v>
      </c>
      <c r="C9524" t="str">
        <f t="shared" si="1796"/>
        <v>PIX</v>
      </c>
      <c r="D9524" t="str">
        <f>"24819"</f>
        <v>24819</v>
      </c>
      <c r="E9524" t="str">
        <f t="shared" si="1787"/>
        <v>1</v>
      </c>
      <c r="F9524" t="str">
        <f t="shared" si="1794"/>
        <v>COM</v>
      </c>
      <c r="G9524" t="str">
        <f>"VINICIUS DE SOUZA ISABEL (658)"</f>
        <v>VINICIUS DE SOUZA ISABEL (658)</v>
      </c>
      <c r="H9524" t="str">
        <f>"Serv.Prest. 24/10/2025 a 02/11/2025 - PIX: CPF - CHAVE: 092.566.416-23"</f>
        <v>Serv.Prest. 24/10/2025 a 02/11/2025 - PIX: CPF - CHAVE: 092.566.416-23</v>
      </c>
      <c r="I9524" t="str">
        <f t="shared" si="1799"/>
        <v>06/11/2025</v>
      </c>
      <c r="J9524" t="str">
        <f>("04/11/2025")</f>
        <v>04/11/2025</v>
      </c>
      <c r="K9524" t="str">
        <f>("06/11/2025")</f>
        <v>06/11/2025</v>
      </c>
      <c r="L9524">
        <v>150.5</v>
      </c>
      <c r="M9524">
        <v>150.5</v>
      </c>
      <c r="N9524">
        <v>109</v>
      </c>
      <c r="O9524" t="str">
        <f>"PAGAMENTO DE ENTREGADORES"</f>
        <v>PAGAMENTO DE ENTREGADORES</v>
      </c>
      <c r="P9524">
        <v>150.5</v>
      </c>
      <c r="S9524" t="str">
        <f>"BANCO C6 (149)"</f>
        <v>BANCO C6 (149)</v>
      </c>
      <c r="T9524">
        <v>20792</v>
      </c>
      <c r="U9524">
        <v>24938</v>
      </c>
      <c r="V9524" t="s">
        <v>77</v>
      </c>
    </row>
    <row r="9525" spans="1:22">
      <c r="A9525" t="str">
        <f t="shared" si="1793"/>
        <v>06/11/2025</v>
      </c>
      <c r="B9525" t="str">
        <f t="shared" si="1795"/>
        <v>SAÍDA</v>
      </c>
      <c r="C9525" t="str">
        <f t="shared" si="1796"/>
        <v>PIX</v>
      </c>
      <c r="D9525" t="str">
        <f>"24819"</f>
        <v>24819</v>
      </c>
      <c r="E9525" t="str">
        <f t="shared" si="1787"/>
        <v>1</v>
      </c>
      <c r="F9525" t="str">
        <f t="shared" si="1794"/>
        <v>COM</v>
      </c>
      <c r="G9525" t="str">
        <f>"VINICIUS DE SOUZA ISABEL (658)"</f>
        <v>VINICIUS DE SOUZA ISABEL (658)</v>
      </c>
      <c r="H9525" t="s">
        <v>2727</v>
      </c>
      <c r="I9525" t="str">
        <f t="shared" si="1799"/>
        <v>06/11/2025</v>
      </c>
      <c r="J9525" t="str">
        <f>("04/11/2025")</f>
        <v>04/11/2025</v>
      </c>
      <c r="K9525">
        <v>45967</v>
      </c>
      <c r="N9525">
        <v>109</v>
      </c>
      <c r="O9525" t="s">
        <v>24</v>
      </c>
      <c r="Q9525">
        <v>150.5</v>
      </c>
      <c r="R9525" t="str">
        <f>"FARMÁCIA INDIANA LJ 219 (10091)"</f>
        <v>FARMÁCIA INDIANA LJ 219 (10091)</v>
      </c>
      <c r="S9525" t="s">
        <v>77</v>
      </c>
      <c r="T9525">
        <v>20792</v>
      </c>
      <c r="U9525">
        <v>24938</v>
      </c>
      <c r="V9525" t="s">
        <v>77</v>
      </c>
    </row>
    <row r="9526" spans="1:22">
      <c r="A9526" t="str">
        <f t="shared" si="1793"/>
        <v>06/11/2025</v>
      </c>
      <c r="B9526" t="str">
        <f t="shared" si="1795"/>
        <v>SAÍDA</v>
      </c>
      <c r="C9526" t="str">
        <f t="shared" si="1796"/>
        <v>PIX</v>
      </c>
      <c r="D9526" t="str">
        <f>"0611"</f>
        <v>0611</v>
      </c>
      <c r="E9526" t="str">
        <f>"25"</f>
        <v>25</v>
      </c>
      <c r="F9526" t="str">
        <f t="shared" si="1794"/>
        <v>COM</v>
      </c>
      <c r="G9526" t="str">
        <f>"RENATO DE SOUZA HADDAD (1059)"</f>
        <v>RENATO DE SOUZA HADDAD (1059)</v>
      </c>
      <c r="H9526" t="str">
        <f>"DIARIA 02/11 - ALEM PARAIBA - CHAVE PIX CELULAR - (32) 9 8703-8039"</f>
        <v>DIARIA 02/11 - ALEM PARAIBA - CHAVE PIX CELULAR - (32) 9 8703-8039</v>
      </c>
      <c r="I9526" t="str">
        <f t="shared" si="1799"/>
        <v>06/11/2025</v>
      </c>
      <c r="J9526" t="str">
        <f>("02/11/2025")</f>
        <v>02/11/2025</v>
      </c>
      <c r="K9526" t="str">
        <f>("06/11/2025")</f>
        <v>06/11/2025</v>
      </c>
      <c r="L9526">
        <v>120</v>
      </c>
      <c r="M9526">
        <v>120</v>
      </c>
      <c r="N9526">
        <v>5000</v>
      </c>
      <c r="O9526" t="str">
        <f>"SOLICITACAO DE ADIANTAMENTO"</f>
        <v>SOLICITACAO DE ADIANTAMENTO</v>
      </c>
      <c r="P9526">
        <v>120</v>
      </c>
      <c r="S9526" t="str">
        <f>"BANCO C6 (149)"</f>
        <v>BANCO C6 (149)</v>
      </c>
      <c r="T9526">
        <v>20793</v>
      </c>
      <c r="U9526">
        <v>24940</v>
      </c>
      <c r="V9526" t="s">
        <v>77</v>
      </c>
    </row>
    <row r="9527" spans="1:22">
      <c r="A9527" t="str">
        <f t="shared" si="1793"/>
        <v>06/11/2025</v>
      </c>
      <c r="B9527" t="str">
        <f t="shared" si="1795"/>
        <v>SAÍDA</v>
      </c>
      <c r="C9527" t="str">
        <f t="shared" si="1796"/>
        <v>PIX</v>
      </c>
      <c r="D9527" t="str">
        <f>"0611"</f>
        <v>0611</v>
      </c>
      <c r="E9527" t="str">
        <f>"25"</f>
        <v>25</v>
      </c>
      <c r="F9527" t="str">
        <f t="shared" si="1794"/>
        <v>COM</v>
      </c>
      <c r="G9527" t="str">
        <f>"RENATO DE SOUZA HADDAD (1059)"</f>
        <v>RENATO DE SOUZA HADDAD (1059)</v>
      </c>
      <c r="H9527" t="s">
        <v>2728</v>
      </c>
      <c r="I9527" t="str">
        <f t="shared" si="1799"/>
        <v>06/11/2025</v>
      </c>
      <c r="J9527" t="str">
        <f>("02/11/2025")</f>
        <v>02/11/2025</v>
      </c>
      <c r="K9527">
        <v>45967</v>
      </c>
      <c r="N9527">
        <v>5000</v>
      </c>
      <c r="O9527" t="s">
        <v>86</v>
      </c>
      <c r="Q9527">
        <v>120</v>
      </c>
      <c r="R9527" t="str">
        <f>"FARMÁCIA INDIANA LJ 219 (10091)"</f>
        <v>FARMÁCIA INDIANA LJ 219 (10091)</v>
      </c>
      <c r="S9527" t="s">
        <v>77</v>
      </c>
      <c r="T9527">
        <v>20793</v>
      </c>
      <c r="U9527">
        <v>24940</v>
      </c>
      <c r="V9527" t="s">
        <v>77</v>
      </c>
    </row>
    <row r="9528" spans="1:22">
      <c r="A9528" t="str">
        <f t="shared" si="1793"/>
        <v>06/11/2025</v>
      </c>
      <c r="B9528" t="str">
        <f t="shared" si="1795"/>
        <v>SAÍDA</v>
      </c>
      <c r="C9528" t="str">
        <f t="shared" si="1796"/>
        <v>PIX</v>
      </c>
      <c r="D9528" t="str">
        <f>"24776"</f>
        <v>24776</v>
      </c>
      <c r="E9528" t="str">
        <f t="shared" ref="E9528:E9555" si="1804">"1"</f>
        <v>1</v>
      </c>
      <c r="F9528" t="str">
        <f t="shared" si="1794"/>
        <v>COM</v>
      </c>
      <c r="G9528" t="str">
        <f>"JUNIOR DOS SANTOS MACHADO (240)"</f>
        <v>JUNIOR DOS SANTOS MACHADO (240)</v>
      </c>
      <c r="H9528" t="str">
        <f>"Serv.Prest. 24/10/2025 a 02/11/2025 - PIX: CPF - CHAVE: 074.520.456-29"</f>
        <v>Serv.Prest. 24/10/2025 a 02/11/2025 - PIX: CPF - CHAVE: 074.520.456-29</v>
      </c>
      <c r="I9528" t="str">
        <f t="shared" si="1799"/>
        <v>06/11/2025</v>
      </c>
      <c r="J9528" t="str">
        <f>("04/11/2025")</f>
        <v>04/11/2025</v>
      </c>
      <c r="K9528" t="str">
        <f>("06/11/2025")</f>
        <v>06/11/2025</v>
      </c>
      <c r="L9528">
        <v>140</v>
      </c>
      <c r="M9528">
        <v>140</v>
      </c>
      <c r="N9528">
        <v>109</v>
      </c>
      <c r="O9528" t="str">
        <f>"PAGAMENTO DE ENTREGADORES"</f>
        <v>PAGAMENTO DE ENTREGADORES</v>
      </c>
      <c r="P9528">
        <v>140</v>
      </c>
      <c r="S9528" t="str">
        <f>"BANCO C6 (149)"</f>
        <v>BANCO C6 (149)</v>
      </c>
      <c r="T9528">
        <v>20794</v>
      </c>
      <c r="U9528">
        <v>24942</v>
      </c>
      <c r="V9528" t="s">
        <v>77</v>
      </c>
    </row>
    <row r="9529" spans="1:22">
      <c r="A9529" t="str">
        <f t="shared" si="1793"/>
        <v>06/11/2025</v>
      </c>
      <c r="B9529" t="str">
        <f t="shared" si="1795"/>
        <v>SAÍDA</v>
      </c>
      <c r="C9529" t="str">
        <f t="shared" si="1796"/>
        <v>PIX</v>
      </c>
      <c r="D9529" t="str">
        <f>"24776"</f>
        <v>24776</v>
      </c>
      <c r="E9529" t="str">
        <f t="shared" si="1804"/>
        <v>1</v>
      </c>
      <c r="F9529" t="str">
        <f t="shared" si="1794"/>
        <v>COM</v>
      </c>
      <c r="G9529" t="str">
        <f>"JUNIOR DOS SANTOS MACHADO (240)"</f>
        <v>JUNIOR DOS SANTOS MACHADO (240)</v>
      </c>
      <c r="H9529" t="s">
        <v>2729</v>
      </c>
      <c r="I9529" t="str">
        <f t="shared" si="1799"/>
        <v>06/11/2025</v>
      </c>
      <c r="J9529" t="str">
        <f>("04/11/2025")</f>
        <v>04/11/2025</v>
      </c>
      <c r="K9529">
        <v>45967</v>
      </c>
      <c r="N9529">
        <v>109</v>
      </c>
      <c r="O9529" t="s">
        <v>24</v>
      </c>
      <c r="Q9529">
        <v>140</v>
      </c>
      <c r="R9529" t="str">
        <f>"FARMÁCIA INDIANA LJ 62 (10028)"</f>
        <v>FARMÁCIA INDIANA LJ 62 (10028)</v>
      </c>
      <c r="S9529" t="s">
        <v>77</v>
      </c>
      <c r="T9529">
        <v>20794</v>
      </c>
      <c r="U9529">
        <v>24942</v>
      </c>
      <c r="V9529" t="s">
        <v>77</v>
      </c>
    </row>
    <row r="9530" spans="1:22">
      <c r="A9530" t="str">
        <f t="shared" si="1793"/>
        <v>06/11/2025</v>
      </c>
      <c r="B9530" t="str">
        <f t="shared" ref="B9530:B9555" si="1805">"ENTRADA"</f>
        <v>ENTRADA</v>
      </c>
      <c r="C9530" t="str">
        <f t="shared" ref="C9530:C9555" si="1806">"NFSE"</f>
        <v>NFSE</v>
      </c>
      <c r="D9530" t="str">
        <f>"3600"</f>
        <v>3600</v>
      </c>
      <c r="E9530" t="str">
        <f t="shared" si="1804"/>
        <v>1</v>
      </c>
      <c r="F9530" t="str">
        <f t="shared" si="1794"/>
        <v>COM</v>
      </c>
      <c r="G9530" t="str">
        <f>"AC FARMA - CID.ALTA (10166)"</f>
        <v>AC FARMA - CID.ALTA (10166)</v>
      </c>
      <c r="H9530" t="str">
        <f>"Serv.Prest. 20/10/2025 a 26/10/2025 - RPS: 1476 - NFSe: 3600"</f>
        <v>Serv.Prest. 20/10/2025 a 26/10/2025 - RPS: 1476 - NFSe: 3600</v>
      </c>
      <c r="I9530" t="str">
        <f t="shared" ref="I9530:I9555" si="1807">("05/11/2025")</f>
        <v>05/11/2025</v>
      </c>
      <c r="J9530" t="str">
        <f t="shared" ref="J9530:J9536" si="1808">("31/10/2025")</f>
        <v>31/10/2025</v>
      </c>
      <c r="K9530" t="str">
        <f>("06/11/2025")</f>
        <v>06/11/2025</v>
      </c>
      <c r="L9530">
        <v>5615.1</v>
      </c>
      <c r="M9530">
        <v>5615.1</v>
      </c>
      <c r="N9530">
        <v>303</v>
      </c>
      <c r="O9530" t="str">
        <f>"RECEITAS COM ENTREGAS"</f>
        <v>RECEITAS COM ENTREGAS</v>
      </c>
      <c r="P9530">
        <v>5615.1</v>
      </c>
      <c r="S9530" t="str">
        <f>"RECEITAS COM ENTREGAS (303)"</f>
        <v>RECEITAS COM ENTREGAS (303)</v>
      </c>
      <c r="T9530">
        <v>20803</v>
      </c>
      <c r="U9530">
        <v>24547</v>
      </c>
      <c r="V9530" t="s">
        <v>22</v>
      </c>
    </row>
    <row r="9531" spans="1:22">
      <c r="A9531" t="str">
        <f t="shared" si="1793"/>
        <v>06/11/2025</v>
      </c>
      <c r="B9531" t="str">
        <f t="shared" si="1805"/>
        <v>ENTRADA</v>
      </c>
      <c r="C9531" t="str">
        <f t="shared" si="1806"/>
        <v>NFSE</v>
      </c>
      <c r="D9531" t="str">
        <f>"3600"</f>
        <v>3600</v>
      </c>
      <c r="E9531" t="str">
        <f t="shared" si="1804"/>
        <v>1</v>
      </c>
      <c r="F9531" t="str">
        <f t="shared" si="1794"/>
        <v>COM</v>
      </c>
      <c r="G9531" t="str">
        <f>"AC FARMA - CID.ALTA (10166)"</f>
        <v>AC FARMA - CID.ALTA (10166)</v>
      </c>
      <c r="H9531" t="s">
        <v>2730</v>
      </c>
      <c r="I9531" t="str">
        <f t="shared" si="1807"/>
        <v>05/11/2025</v>
      </c>
      <c r="J9531" t="str">
        <f t="shared" si="1808"/>
        <v>31/10/2025</v>
      </c>
      <c r="K9531">
        <v>45967</v>
      </c>
      <c r="N9531">
        <v>303</v>
      </c>
      <c r="O9531" t="s">
        <v>69</v>
      </c>
      <c r="Q9531">
        <v>5615.1</v>
      </c>
      <c r="R9531" t="str">
        <f>"AC FARMA - CID.ALTA (10166)"</f>
        <v>AC FARMA - CID.ALTA (10166)</v>
      </c>
      <c r="S9531" t="s">
        <v>70</v>
      </c>
      <c r="T9531">
        <v>20803</v>
      </c>
      <c r="U9531">
        <v>24547</v>
      </c>
      <c r="V9531" t="s">
        <v>22</v>
      </c>
    </row>
    <row r="9532" spans="1:22">
      <c r="A9532" t="str">
        <f t="shared" si="1793"/>
        <v>06/11/2025</v>
      </c>
      <c r="B9532" t="str">
        <f t="shared" si="1805"/>
        <v>ENTRADA</v>
      </c>
      <c r="C9532" t="str">
        <f t="shared" si="1806"/>
        <v>NFSE</v>
      </c>
      <c r="D9532" t="str">
        <f>"3601"</f>
        <v>3601</v>
      </c>
      <c r="E9532" t="str">
        <f t="shared" si="1804"/>
        <v>1</v>
      </c>
      <c r="F9532" t="str">
        <f t="shared" si="1794"/>
        <v>COM</v>
      </c>
      <c r="G9532" t="str">
        <f>"AC FARMA - FLEMINFARMA (10160)"</f>
        <v>AC FARMA - FLEMINFARMA (10160)</v>
      </c>
      <c r="H9532" t="str">
        <f>"Serv.Prest. 20/10/2025 a 26/10/2025 - RPS: 1477 - NFSe: 3601"</f>
        <v>Serv.Prest. 20/10/2025 a 26/10/2025 - RPS: 1477 - NFSe: 3601</v>
      </c>
      <c r="I9532" t="str">
        <f t="shared" si="1807"/>
        <v>05/11/2025</v>
      </c>
      <c r="J9532" t="str">
        <f t="shared" si="1808"/>
        <v>31/10/2025</v>
      </c>
      <c r="K9532" t="str">
        <f>("06/11/2025")</f>
        <v>06/11/2025</v>
      </c>
      <c r="L9532">
        <v>1346.4</v>
      </c>
      <c r="M9532">
        <v>1346.4</v>
      </c>
      <c r="N9532">
        <v>303</v>
      </c>
      <c r="O9532" t="str">
        <f>"RECEITAS COM ENTREGAS"</f>
        <v>RECEITAS COM ENTREGAS</v>
      </c>
      <c r="P9532">
        <v>1346.4</v>
      </c>
      <c r="S9532" t="str">
        <f>"RECEITAS COM ENTREGAS (303)"</f>
        <v>RECEITAS COM ENTREGAS (303)</v>
      </c>
      <c r="T9532">
        <v>20804</v>
      </c>
      <c r="U9532">
        <v>24555</v>
      </c>
      <c r="V9532" t="s">
        <v>22</v>
      </c>
    </row>
    <row r="9533" spans="1:22">
      <c r="A9533" t="str">
        <f t="shared" si="1793"/>
        <v>06/11/2025</v>
      </c>
      <c r="B9533" t="str">
        <f t="shared" si="1805"/>
        <v>ENTRADA</v>
      </c>
      <c r="C9533" t="str">
        <f t="shared" si="1806"/>
        <v>NFSE</v>
      </c>
      <c r="D9533" t="str">
        <f>"3601"</f>
        <v>3601</v>
      </c>
      <c r="E9533" t="str">
        <f t="shared" si="1804"/>
        <v>1</v>
      </c>
      <c r="F9533" t="str">
        <f t="shared" si="1794"/>
        <v>COM</v>
      </c>
      <c r="G9533" t="str">
        <f>"AC FARMA - FLEMINFARMA (10160)"</f>
        <v>AC FARMA - FLEMINFARMA (10160)</v>
      </c>
      <c r="H9533" t="s">
        <v>2731</v>
      </c>
      <c r="I9533" t="str">
        <f t="shared" si="1807"/>
        <v>05/11/2025</v>
      </c>
      <c r="J9533" t="str">
        <f t="shared" si="1808"/>
        <v>31/10/2025</v>
      </c>
      <c r="K9533">
        <v>45967</v>
      </c>
      <c r="N9533">
        <v>303</v>
      </c>
      <c r="O9533" t="s">
        <v>69</v>
      </c>
      <c r="Q9533">
        <v>1300.49</v>
      </c>
      <c r="R9533" t="str">
        <f>"AC FARMA -  FLEMINFARMA (10159)"</f>
        <v>AC FARMA -  FLEMINFARMA (10159)</v>
      </c>
      <c r="S9533" t="s">
        <v>70</v>
      </c>
      <c r="T9533">
        <v>20804</v>
      </c>
      <c r="U9533">
        <v>24555</v>
      </c>
      <c r="V9533" t="s">
        <v>22</v>
      </c>
    </row>
    <row r="9534" spans="1:22">
      <c r="A9534" t="str">
        <f t="shared" si="1793"/>
        <v>06/11/2025</v>
      </c>
      <c r="B9534" t="str">
        <f t="shared" si="1805"/>
        <v>ENTRADA</v>
      </c>
      <c r="C9534" t="str">
        <f t="shared" si="1806"/>
        <v>NFSE</v>
      </c>
      <c r="D9534" t="str">
        <f>"3601"</f>
        <v>3601</v>
      </c>
      <c r="E9534" t="str">
        <f t="shared" si="1804"/>
        <v>1</v>
      </c>
      <c r="F9534" t="str">
        <f t="shared" si="1794"/>
        <v>COM</v>
      </c>
      <c r="G9534" t="str">
        <f>"AC FARMA - FLEMINFARMA (10160)"</f>
        <v>AC FARMA - FLEMINFARMA (10160)</v>
      </c>
      <c r="H9534" t="s">
        <v>2731</v>
      </c>
      <c r="I9534" t="str">
        <f t="shared" si="1807"/>
        <v>05/11/2025</v>
      </c>
      <c r="J9534" t="str">
        <f t="shared" si="1808"/>
        <v>31/10/2025</v>
      </c>
      <c r="K9534">
        <v>45967</v>
      </c>
      <c r="N9534">
        <v>303</v>
      </c>
      <c r="O9534" t="s">
        <v>69</v>
      </c>
      <c r="Q9534">
        <v>45.91</v>
      </c>
      <c r="R9534" t="str">
        <f>"AC FARMA - FLEMINFARMA (10160)"</f>
        <v>AC FARMA - FLEMINFARMA (10160)</v>
      </c>
      <c r="S9534" t="s">
        <v>70</v>
      </c>
      <c r="T9534">
        <v>20804</v>
      </c>
      <c r="U9534">
        <v>24555</v>
      </c>
      <c r="V9534" t="s">
        <v>22</v>
      </c>
    </row>
    <row r="9535" spans="1:22">
      <c r="A9535" t="str">
        <f t="shared" si="1793"/>
        <v>06/11/2025</v>
      </c>
      <c r="B9535" t="str">
        <f t="shared" si="1805"/>
        <v>ENTRADA</v>
      </c>
      <c r="C9535" t="str">
        <f t="shared" si="1806"/>
        <v>NFSE</v>
      </c>
      <c r="D9535" t="str">
        <f>"3602"</f>
        <v>3602</v>
      </c>
      <c r="E9535" t="str">
        <f t="shared" si="1804"/>
        <v>1</v>
      </c>
      <c r="F9535" t="str">
        <f t="shared" si="1794"/>
        <v>COM</v>
      </c>
      <c r="G9535" t="str">
        <f>"AC FARMA - FLEMINFARMA 5 (10183)"</f>
        <v>AC FARMA - FLEMINFARMA 5 (10183)</v>
      </c>
      <c r="H9535" t="str">
        <f>"Serv.Prest. 20/10/2025 a 26/10/2025 - RPS: 1478 - NFSe: 3602"</f>
        <v>Serv.Prest. 20/10/2025 a 26/10/2025 - RPS: 1478 - NFSe: 3602</v>
      </c>
      <c r="I9535" t="str">
        <f t="shared" si="1807"/>
        <v>05/11/2025</v>
      </c>
      <c r="J9535" t="str">
        <f t="shared" si="1808"/>
        <v>31/10/2025</v>
      </c>
      <c r="K9535" t="str">
        <f>("06/11/2025")</f>
        <v>06/11/2025</v>
      </c>
      <c r="L9535">
        <v>405.45</v>
      </c>
      <c r="M9535">
        <v>405.45</v>
      </c>
      <c r="N9535">
        <v>303</v>
      </c>
      <c r="O9535" t="str">
        <f>"RECEITAS COM ENTREGAS"</f>
        <v>RECEITAS COM ENTREGAS</v>
      </c>
      <c r="P9535">
        <v>405.45</v>
      </c>
      <c r="S9535" t="str">
        <f>"RECEITAS COM ENTREGAS (303)"</f>
        <v>RECEITAS COM ENTREGAS (303)</v>
      </c>
      <c r="T9535">
        <v>20805</v>
      </c>
      <c r="U9535">
        <v>24562</v>
      </c>
      <c r="V9535" t="s">
        <v>22</v>
      </c>
    </row>
    <row r="9536" spans="1:22">
      <c r="A9536" t="str">
        <f t="shared" si="1793"/>
        <v>06/11/2025</v>
      </c>
      <c r="B9536" t="str">
        <f t="shared" si="1805"/>
        <v>ENTRADA</v>
      </c>
      <c r="C9536" t="str">
        <f t="shared" si="1806"/>
        <v>NFSE</v>
      </c>
      <c r="D9536" t="str">
        <f>"3602"</f>
        <v>3602</v>
      </c>
      <c r="E9536" t="str">
        <f t="shared" si="1804"/>
        <v>1</v>
      </c>
      <c r="F9536" t="str">
        <f t="shared" si="1794"/>
        <v>COM</v>
      </c>
      <c r="G9536" t="str">
        <f>"AC FARMA - FLEMINFARMA 5 (10183)"</f>
        <v>AC FARMA - FLEMINFARMA 5 (10183)</v>
      </c>
      <c r="H9536" t="s">
        <v>2732</v>
      </c>
      <c r="I9536" t="str">
        <f t="shared" si="1807"/>
        <v>05/11/2025</v>
      </c>
      <c r="J9536" t="str">
        <f t="shared" si="1808"/>
        <v>31/10/2025</v>
      </c>
      <c r="K9536">
        <v>45967</v>
      </c>
      <c r="N9536">
        <v>303</v>
      </c>
      <c r="O9536" t="s">
        <v>69</v>
      </c>
      <c r="Q9536">
        <v>405.45</v>
      </c>
      <c r="R9536" t="str">
        <f>"AC FARMA - FLEMINFARMA 5 (10183)"</f>
        <v>AC FARMA - FLEMINFARMA 5 (10183)</v>
      </c>
      <c r="S9536" t="s">
        <v>70</v>
      </c>
      <c r="T9536">
        <v>20805</v>
      </c>
      <c r="U9536">
        <v>24562</v>
      </c>
      <c r="V9536" t="s">
        <v>22</v>
      </c>
    </row>
    <row r="9537" spans="1:22">
      <c r="A9537" t="str">
        <f t="shared" si="1793"/>
        <v>06/11/2025</v>
      </c>
      <c r="B9537" t="str">
        <f t="shared" si="1805"/>
        <v>ENTRADA</v>
      </c>
      <c r="C9537" t="str">
        <f t="shared" si="1806"/>
        <v>NFSE</v>
      </c>
      <c r="D9537" t="str">
        <f>"3620"</f>
        <v>3620</v>
      </c>
      <c r="E9537" t="str">
        <f t="shared" si="1804"/>
        <v>1</v>
      </c>
      <c r="F9537" t="str">
        <f t="shared" si="1794"/>
        <v>COM</v>
      </c>
      <c r="G9537" t="str">
        <f>"BRASIL FARMA (10173)"</f>
        <v>BRASIL FARMA (10173)</v>
      </c>
      <c r="H9537" t="str">
        <f>"Serv.Prest. 27/10/2025 a 02/11/2025 - RPS: 1496 - NFSe: 3620"</f>
        <v>Serv.Prest. 27/10/2025 a 02/11/2025 - RPS: 1496 - NFSe: 3620</v>
      </c>
      <c r="I9537" t="str">
        <f t="shared" si="1807"/>
        <v>05/11/2025</v>
      </c>
      <c r="J9537" t="str">
        <f t="shared" ref="J9537:J9548" si="1809">("03/11/2025")</f>
        <v>03/11/2025</v>
      </c>
      <c r="K9537" t="str">
        <f>("06/11/2025")</f>
        <v>06/11/2025</v>
      </c>
      <c r="L9537">
        <v>1705.1</v>
      </c>
      <c r="M9537">
        <v>1705.1</v>
      </c>
      <c r="N9537">
        <v>303</v>
      </c>
      <c r="O9537" t="str">
        <f>"RECEITAS COM ENTREGAS"</f>
        <v>RECEITAS COM ENTREGAS</v>
      </c>
      <c r="P9537">
        <v>1705.1</v>
      </c>
      <c r="S9537" t="str">
        <f>"RECEITAS COM ENTREGAS (303)"</f>
        <v>RECEITAS COM ENTREGAS (303)</v>
      </c>
      <c r="T9537">
        <v>20806</v>
      </c>
      <c r="U9537">
        <v>24628</v>
      </c>
      <c r="V9537" t="s">
        <v>22</v>
      </c>
    </row>
    <row r="9538" spans="1:22">
      <c r="A9538" t="str">
        <f t="shared" si="1793"/>
        <v>06/11/2025</v>
      </c>
      <c r="B9538" t="str">
        <f t="shared" si="1805"/>
        <v>ENTRADA</v>
      </c>
      <c r="C9538" t="str">
        <f t="shared" si="1806"/>
        <v>NFSE</v>
      </c>
      <c r="D9538" t="str">
        <f>"3620"</f>
        <v>3620</v>
      </c>
      <c r="E9538" t="str">
        <f t="shared" si="1804"/>
        <v>1</v>
      </c>
      <c r="F9538" t="str">
        <f t="shared" si="1794"/>
        <v>COM</v>
      </c>
      <c r="G9538" t="str">
        <f>"BRASIL FARMA (10173)"</f>
        <v>BRASIL FARMA (10173)</v>
      </c>
      <c r="H9538" t="s">
        <v>2733</v>
      </c>
      <c r="I9538" t="str">
        <f t="shared" si="1807"/>
        <v>05/11/2025</v>
      </c>
      <c r="J9538" t="str">
        <f t="shared" si="1809"/>
        <v>03/11/2025</v>
      </c>
      <c r="K9538">
        <v>45967</v>
      </c>
      <c r="N9538">
        <v>303</v>
      </c>
      <c r="O9538" t="s">
        <v>69</v>
      </c>
      <c r="Q9538">
        <v>1705.1</v>
      </c>
      <c r="R9538" t="str">
        <f>"BRASIL FARMA (10173)"</f>
        <v>BRASIL FARMA (10173)</v>
      </c>
      <c r="S9538" t="s">
        <v>70</v>
      </c>
      <c r="T9538">
        <v>20806</v>
      </c>
      <c r="U9538">
        <v>24628</v>
      </c>
      <c r="V9538" t="s">
        <v>22</v>
      </c>
    </row>
    <row r="9539" spans="1:22">
      <c r="A9539" t="str">
        <f t="shared" si="1793"/>
        <v>06/11/2025</v>
      </c>
      <c r="B9539" t="str">
        <f t="shared" si="1805"/>
        <v>ENTRADA</v>
      </c>
      <c r="C9539" t="str">
        <f t="shared" si="1806"/>
        <v>NFSE</v>
      </c>
      <c r="D9539" t="str">
        <f>"3623"</f>
        <v>3623</v>
      </c>
      <c r="E9539" t="str">
        <f t="shared" si="1804"/>
        <v>1</v>
      </c>
      <c r="F9539" t="str">
        <f t="shared" si="1794"/>
        <v>COM</v>
      </c>
      <c r="G9539" t="str">
        <f>"DROGARIA MEDIC CENTER LTDA (10172)"</f>
        <v>DROGARIA MEDIC CENTER LTDA (10172)</v>
      </c>
      <c r="H9539" t="str">
        <f>"Serv.Prest. 27/10/2025 a 02/11/2025 - RPS: 1499 - NFSe: 3623"</f>
        <v>Serv.Prest. 27/10/2025 a 02/11/2025 - RPS: 1499 - NFSe: 3623</v>
      </c>
      <c r="I9539" t="str">
        <f t="shared" si="1807"/>
        <v>05/11/2025</v>
      </c>
      <c r="J9539" t="str">
        <f t="shared" si="1809"/>
        <v>03/11/2025</v>
      </c>
      <c r="K9539" t="str">
        <f>("06/11/2025")</f>
        <v>06/11/2025</v>
      </c>
      <c r="L9539">
        <v>1012.5</v>
      </c>
      <c r="M9539">
        <v>1012.5</v>
      </c>
      <c r="N9539">
        <v>303</v>
      </c>
      <c r="O9539" t="str">
        <f>"RECEITAS COM ENTREGAS"</f>
        <v>RECEITAS COM ENTREGAS</v>
      </c>
      <c r="P9539">
        <v>1012.5</v>
      </c>
      <c r="S9539" t="str">
        <f>"RECEITAS COM ENTREGAS (303)"</f>
        <v>RECEITAS COM ENTREGAS (303)</v>
      </c>
      <c r="T9539">
        <v>20807</v>
      </c>
      <c r="U9539">
        <v>24641</v>
      </c>
      <c r="V9539" t="s">
        <v>22</v>
      </c>
    </row>
    <row r="9540" spans="1:22">
      <c r="A9540" t="str">
        <f t="shared" si="1793"/>
        <v>06/11/2025</v>
      </c>
      <c r="B9540" t="str">
        <f t="shared" si="1805"/>
        <v>ENTRADA</v>
      </c>
      <c r="C9540" t="str">
        <f t="shared" si="1806"/>
        <v>NFSE</v>
      </c>
      <c r="D9540" t="str">
        <f>"3623"</f>
        <v>3623</v>
      </c>
      <c r="E9540" t="str">
        <f t="shared" si="1804"/>
        <v>1</v>
      </c>
      <c r="F9540" t="str">
        <f t="shared" si="1794"/>
        <v>COM</v>
      </c>
      <c r="G9540" t="str">
        <f>"DROGARIA MEDIC CENTER LTDA (10172)"</f>
        <v>DROGARIA MEDIC CENTER LTDA (10172)</v>
      </c>
      <c r="H9540" t="s">
        <v>2734</v>
      </c>
      <c r="I9540" t="str">
        <f t="shared" si="1807"/>
        <v>05/11/2025</v>
      </c>
      <c r="J9540" t="str">
        <f t="shared" si="1809"/>
        <v>03/11/2025</v>
      </c>
      <c r="K9540">
        <v>45967</v>
      </c>
      <c r="N9540">
        <v>303</v>
      </c>
      <c r="O9540" t="s">
        <v>69</v>
      </c>
      <c r="Q9540">
        <v>1012.5</v>
      </c>
      <c r="R9540" t="str">
        <f>"DROGARIA MEDIC CENTER LTDA (10172)"</f>
        <v>DROGARIA MEDIC CENTER LTDA (10172)</v>
      </c>
      <c r="S9540" t="s">
        <v>70</v>
      </c>
      <c r="T9540">
        <v>20807</v>
      </c>
      <c r="U9540">
        <v>24641</v>
      </c>
      <c r="V9540" t="s">
        <v>22</v>
      </c>
    </row>
    <row r="9541" spans="1:22">
      <c r="A9541" t="str">
        <f t="shared" si="1793"/>
        <v>06/11/2025</v>
      </c>
      <c r="B9541" t="str">
        <f t="shared" si="1805"/>
        <v>ENTRADA</v>
      </c>
      <c r="C9541" t="str">
        <f t="shared" si="1806"/>
        <v>NFSE</v>
      </c>
      <c r="D9541" t="str">
        <f>"3625"</f>
        <v>3625</v>
      </c>
      <c r="E9541" t="str">
        <f t="shared" si="1804"/>
        <v>1</v>
      </c>
      <c r="F9541" t="str">
        <f t="shared" si="1794"/>
        <v>COM</v>
      </c>
      <c r="G9541" t="str">
        <f>"DROGARIA TOTAL JUNDIAI (10177)"</f>
        <v>DROGARIA TOTAL JUNDIAI (10177)</v>
      </c>
      <c r="H9541" t="str">
        <f>"Serv.Prest. 27/10/2025 a 02/11/2025 - RPS: 1501 - NFSe: 3625"</f>
        <v>Serv.Prest. 27/10/2025 a 02/11/2025 - RPS: 1501 - NFSe: 3625</v>
      </c>
      <c r="I9541" t="str">
        <f t="shared" si="1807"/>
        <v>05/11/2025</v>
      </c>
      <c r="J9541" t="str">
        <f t="shared" si="1809"/>
        <v>03/11/2025</v>
      </c>
      <c r="K9541" t="str">
        <f>("06/11/2025")</f>
        <v>06/11/2025</v>
      </c>
      <c r="L9541">
        <v>902.42</v>
      </c>
      <c r="M9541">
        <v>902.42</v>
      </c>
      <c r="N9541">
        <v>303</v>
      </c>
      <c r="O9541" t="str">
        <f>"RECEITAS COM ENTREGAS"</f>
        <v>RECEITAS COM ENTREGAS</v>
      </c>
      <c r="P9541">
        <v>902.42</v>
      </c>
      <c r="S9541" t="str">
        <f>"RECEITAS COM ENTREGAS (303)"</f>
        <v>RECEITAS COM ENTREGAS (303)</v>
      </c>
      <c r="T9541">
        <v>20808</v>
      </c>
      <c r="U9541">
        <v>24649</v>
      </c>
      <c r="V9541" t="s">
        <v>22</v>
      </c>
    </row>
    <row r="9542" spans="1:22">
      <c r="A9542" t="str">
        <f t="shared" si="1793"/>
        <v>06/11/2025</v>
      </c>
      <c r="B9542" t="str">
        <f t="shared" si="1805"/>
        <v>ENTRADA</v>
      </c>
      <c r="C9542" t="str">
        <f t="shared" si="1806"/>
        <v>NFSE</v>
      </c>
      <c r="D9542" t="str">
        <f>"3625"</f>
        <v>3625</v>
      </c>
      <c r="E9542" t="str">
        <f t="shared" si="1804"/>
        <v>1</v>
      </c>
      <c r="F9542" t="str">
        <f t="shared" si="1794"/>
        <v>COM</v>
      </c>
      <c r="G9542" t="str">
        <f>"DROGARIA TOTAL JUNDIAI (10177)"</f>
        <v>DROGARIA TOTAL JUNDIAI (10177)</v>
      </c>
      <c r="H9542" t="s">
        <v>2735</v>
      </c>
      <c r="I9542" t="str">
        <f t="shared" si="1807"/>
        <v>05/11/2025</v>
      </c>
      <c r="J9542" t="str">
        <f t="shared" si="1809"/>
        <v>03/11/2025</v>
      </c>
      <c r="K9542">
        <v>45967</v>
      </c>
      <c r="N9542">
        <v>303</v>
      </c>
      <c r="O9542" t="s">
        <v>69</v>
      </c>
      <c r="Q9542">
        <v>902.42</v>
      </c>
      <c r="R9542" t="str">
        <f>"DROGARIA TOTAL JUNDIAI (10177)"</f>
        <v>DROGARIA TOTAL JUNDIAI (10177)</v>
      </c>
      <c r="S9542" t="s">
        <v>70</v>
      </c>
      <c r="T9542">
        <v>20808</v>
      </c>
      <c r="U9542">
        <v>24649</v>
      </c>
      <c r="V9542" t="s">
        <v>22</v>
      </c>
    </row>
    <row r="9543" spans="1:22">
      <c r="A9543" t="str">
        <f t="shared" si="1793"/>
        <v>06/11/2025</v>
      </c>
      <c r="B9543" t="str">
        <f t="shared" si="1805"/>
        <v>ENTRADA</v>
      </c>
      <c r="C9543" t="str">
        <f t="shared" si="1806"/>
        <v>NFSE</v>
      </c>
      <c r="D9543" t="str">
        <f>"3631"</f>
        <v>3631</v>
      </c>
      <c r="E9543" t="str">
        <f t="shared" si="1804"/>
        <v>1</v>
      </c>
      <c r="F9543" t="str">
        <f t="shared" si="1794"/>
        <v>COM</v>
      </c>
      <c r="G9543" t="str">
        <f>"DROGA ELIDA (10121)"</f>
        <v>DROGA ELIDA (10121)</v>
      </c>
      <c r="H9543" t="str">
        <f>"Serv.Prest. 27/10/2025 a 02/11/2025 - RPS: 1507 - NFSe: 3631"</f>
        <v>Serv.Prest. 27/10/2025 a 02/11/2025 - RPS: 1507 - NFSe: 3631</v>
      </c>
      <c r="I9543" t="str">
        <f t="shared" si="1807"/>
        <v>05/11/2025</v>
      </c>
      <c r="J9543" t="str">
        <f t="shared" si="1809"/>
        <v>03/11/2025</v>
      </c>
      <c r="K9543" t="str">
        <f>("06/11/2025")</f>
        <v>06/11/2025</v>
      </c>
      <c r="L9543">
        <v>1861.5</v>
      </c>
      <c r="M9543">
        <v>1861.5</v>
      </c>
      <c r="N9543">
        <v>303</v>
      </c>
      <c r="O9543" t="str">
        <f>"RECEITAS COM ENTREGAS"</f>
        <v>RECEITAS COM ENTREGAS</v>
      </c>
      <c r="P9543">
        <v>1861.5</v>
      </c>
      <c r="S9543" t="str">
        <f>"RECEITAS COM ENTREGAS (303)"</f>
        <v>RECEITAS COM ENTREGAS (303)</v>
      </c>
      <c r="T9543">
        <v>20809</v>
      </c>
      <c r="U9543">
        <v>24669</v>
      </c>
      <c r="V9543" t="s">
        <v>22</v>
      </c>
    </row>
    <row r="9544" spans="1:22">
      <c r="A9544" t="str">
        <f t="shared" si="1793"/>
        <v>06/11/2025</v>
      </c>
      <c r="B9544" t="str">
        <f t="shared" si="1805"/>
        <v>ENTRADA</v>
      </c>
      <c r="C9544" t="str">
        <f t="shared" si="1806"/>
        <v>NFSE</v>
      </c>
      <c r="D9544" t="str">
        <f>"3631"</f>
        <v>3631</v>
      </c>
      <c r="E9544" t="str">
        <f t="shared" si="1804"/>
        <v>1</v>
      </c>
      <c r="F9544" t="str">
        <f t="shared" si="1794"/>
        <v>COM</v>
      </c>
      <c r="G9544" t="str">
        <f>"DROGA ELIDA (10121)"</f>
        <v>DROGA ELIDA (10121)</v>
      </c>
      <c r="H9544" t="s">
        <v>2736</v>
      </c>
      <c r="I9544" t="str">
        <f t="shared" si="1807"/>
        <v>05/11/2025</v>
      </c>
      <c r="J9544" t="str">
        <f t="shared" si="1809"/>
        <v>03/11/2025</v>
      </c>
      <c r="K9544">
        <v>45967</v>
      </c>
      <c r="N9544">
        <v>303</v>
      </c>
      <c r="O9544" t="s">
        <v>69</v>
      </c>
      <c r="Q9544">
        <v>1861.5</v>
      </c>
      <c r="R9544" t="str">
        <f>"DROGA ELIDA (10121)"</f>
        <v>DROGA ELIDA (10121)</v>
      </c>
      <c r="S9544" t="s">
        <v>70</v>
      </c>
      <c r="T9544">
        <v>20809</v>
      </c>
      <c r="U9544">
        <v>24669</v>
      </c>
      <c r="V9544" t="s">
        <v>22</v>
      </c>
    </row>
    <row r="9545" spans="1:22">
      <c r="A9545" t="str">
        <f t="shared" si="1793"/>
        <v>06/11/2025</v>
      </c>
      <c r="B9545" t="str">
        <f t="shared" si="1805"/>
        <v>ENTRADA</v>
      </c>
      <c r="C9545" t="str">
        <f t="shared" si="1806"/>
        <v>NFSE</v>
      </c>
      <c r="D9545" t="str">
        <f>"3634"</f>
        <v>3634</v>
      </c>
      <c r="E9545" t="str">
        <f t="shared" si="1804"/>
        <v>1</v>
      </c>
      <c r="F9545" t="str">
        <f t="shared" si="1794"/>
        <v>COM</v>
      </c>
      <c r="G9545" t="str">
        <f>"JAL FARMACIA E DROGARIA LJ 1 (10137)"</f>
        <v>JAL FARMACIA E DROGARIA LJ 1 (10137)</v>
      </c>
      <c r="H9545" t="str">
        <f>"Serv.Prest. 27/10/2025 a 02/11/2025 - RPS: 1510 - NFSe: 3634"</f>
        <v>Serv.Prest. 27/10/2025 a 02/11/2025 - RPS: 1510 - NFSe: 3634</v>
      </c>
      <c r="I9545" t="str">
        <f t="shared" si="1807"/>
        <v>05/11/2025</v>
      </c>
      <c r="J9545" t="str">
        <f t="shared" si="1809"/>
        <v>03/11/2025</v>
      </c>
      <c r="K9545" t="str">
        <f>("06/11/2025")</f>
        <v>06/11/2025</v>
      </c>
      <c r="L9545">
        <v>2278</v>
      </c>
      <c r="M9545">
        <v>2278</v>
      </c>
      <c r="N9545">
        <v>303</v>
      </c>
      <c r="O9545" t="str">
        <f>"RECEITAS COM ENTREGAS"</f>
        <v>RECEITAS COM ENTREGAS</v>
      </c>
      <c r="P9545">
        <v>2278</v>
      </c>
      <c r="S9545" t="str">
        <f>"RECEITAS COM ENTREGAS (303)"</f>
        <v>RECEITAS COM ENTREGAS (303)</v>
      </c>
      <c r="T9545">
        <v>20810</v>
      </c>
      <c r="U9545">
        <v>24678</v>
      </c>
      <c r="V9545" t="s">
        <v>22</v>
      </c>
    </row>
    <row r="9546" spans="1:22">
      <c r="A9546" t="str">
        <f t="shared" si="1793"/>
        <v>06/11/2025</v>
      </c>
      <c r="B9546" t="str">
        <f t="shared" si="1805"/>
        <v>ENTRADA</v>
      </c>
      <c r="C9546" t="str">
        <f t="shared" si="1806"/>
        <v>NFSE</v>
      </c>
      <c r="D9546" t="str">
        <f>"3634"</f>
        <v>3634</v>
      </c>
      <c r="E9546" t="str">
        <f t="shared" si="1804"/>
        <v>1</v>
      </c>
      <c r="F9546" t="str">
        <f t="shared" si="1794"/>
        <v>COM</v>
      </c>
      <c r="G9546" t="str">
        <f>"JAL FARMACIA E DROGARIA LJ 1 (10137)"</f>
        <v>JAL FARMACIA E DROGARIA LJ 1 (10137)</v>
      </c>
      <c r="H9546" t="s">
        <v>2737</v>
      </c>
      <c r="I9546" t="str">
        <f t="shared" si="1807"/>
        <v>05/11/2025</v>
      </c>
      <c r="J9546" t="str">
        <f t="shared" si="1809"/>
        <v>03/11/2025</v>
      </c>
      <c r="K9546">
        <v>45967</v>
      </c>
      <c r="N9546">
        <v>303</v>
      </c>
      <c r="O9546" t="s">
        <v>69</v>
      </c>
      <c r="Q9546">
        <v>2278</v>
      </c>
      <c r="R9546" t="str">
        <f>"JAL FARMACIA E DROGARIA LJ 1 (10137)"</f>
        <v>JAL FARMACIA E DROGARIA LJ 1 (10137)</v>
      </c>
      <c r="S9546" t="s">
        <v>70</v>
      </c>
      <c r="T9546">
        <v>20810</v>
      </c>
      <c r="U9546">
        <v>24678</v>
      </c>
      <c r="V9546" t="s">
        <v>22</v>
      </c>
    </row>
    <row r="9547" spans="1:22">
      <c r="A9547" t="str">
        <f t="shared" si="1793"/>
        <v>06/11/2025</v>
      </c>
      <c r="B9547" t="str">
        <f t="shared" si="1805"/>
        <v>ENTRADA</v>
      </c>
      <c r="C9547" t="str">
        <f t="shared" si="1806"/>
        <v>NFSE</v>
      </c>
      <c r="D9547" t="str">
        <f>"3635"</f>
        <v>3635</v>
      </c>
      <c r="E9547" t="str">
        <f t="shared" si="1804"/>
        <v>1</v>
      </c>
      <c r="F9547" t="str">
        <f t="shared" si="1794"/>
        <v>COM</v>
      </c>
      <c r="G9547" t="str">
        <f>"LBL FARMACIA LTDA FILIAL (10192)"</f>
        <v>LBL FARMACIA LTDA FILIAL (10192)</v>
      </c>
      <c r="H9547" t="str">
        <f>"Serv.Prest. 27/10/2025 a 02/11/2025 - RPS: 1511 - NFSe: 3635"</f>
        <v>Serv.Prest. 27/10/2025 a 02/11/2025 - RPS: 1511 - NFSe: 3635</v>
      </c>
      <c r="I9547" t="str">
        <f t="shared" si="1807"/>
        <v>05/11/2025</v>
      </c>
      <c r="J9547" t="str">
        <f t="shared" si="1809"/>
        <v>03/11/2025</v>
      </c>
      <c r="K9547" t="str">
        <f>("06/11/2025")</f>
        <v>06/11/2025</v>
      </c>
      <c r="L9547">
        <v>1541.05</v>
      </c>
      <c r="M9547">
        <v>1541.05</v>
      </c>
      <c r="N9547">
        <v>303</v>
      </c>
      <c r="O9547" t="str">
        <f>"RECEITAS COM ENTREGAS"</f>
        <v>RECEITAS COM ENTREGAS</v>
      </c>
      <c r="P9547">
        <v>1541.05</v>
      </c>
      <c r="S9547" t="str">
        <f>"RECEITAS COM ENTREGAS (303)"</f>
        <v>RECEITAS COM ENTREGAS (303)</v>
      </c>
      <c r="T9547">
        <v>20811</v>
      </c>
      <c r="U9547">
        <v>24682</v>
      </c>
      <c r="V9547" t="s">
        <v>22</v>
      </c>
    </row>
    <row r="9548" spans="1:22">
      <c r="A9548" t="str">
        <f t="shared" si="1793"/>
        <v>06/11/2025</v>
      </c>
      <c r="B9548" t="str">
        <f t="shared" si="1805"/>
        <v>ENTRADA</v>
      </c>
      <c r="C9548" t="str">
        <f t="shared" si="1806"/>
        <v>NFSE</v>
      </c>
      <c r="D9548" t="str">
        <f>"3635"</f>
        <v>3635</v>
      </c>
      <c r="E9548" t="str">
        <f t="shared" si="1804"/>
        <v>1</v>
      </c>
      <c r="F9548" t="str">
        <f t="shared" si="1794"/>
        <v>COM</v>
      </c>
      <c r="G9548" t="str">
        <f>"LBL FARMACIA LTDA FILIAL (10192)"</f>
        <v>LBL FARMACIA LTDA FILIAL (10192)</v>
      </c>
      <c r="H9548" t="s">
        <v>2738</v>
      </c>
      <c r="I9548" t="str">
        <f t="shared" si="1807"/>
        <v>05/11/2025</v>
      </c>
      <c r="J9548" t="str">
        <f t="shared" si="1809"/>
        <v>03/11/2025</v>
      </c>
      <c r="K9548">
        <v>45967</v>
      </c>
      <c r="N9548">
        <v>303</v>
      </c>
      <c r="O9548" t="s">
        <v>69</v>
      </c>
      <c r="Q9548">
        <v>1541.05</v>
      </c>
      <c r="R9548" t="str">
        <f>"LBL FARMACIA LTDA FILIAL (10192)"</f>
        <v>LBL FARMACIA LTDA FILIAL (10192)</v>
      </c>
      <c r="S9548" t="s">
        <v>70</v>
      </c>
      <c r="T9548">
        <v>20811</v>
      </c>
      <c r="U9548">
        <v>24682</v>
      </c>
      <c r="V9548" t="s">
        <v>22</v>
      </c>
    </row>
    <row r="9549" spans="1:22">
      <c r="A9549" t="str">
        <f t="shared" si="1793"/>
        <v>06/11/2025</v>
      </c>
      <c r="B9549" t="str">
        <f t="shared" si="1805"/>
        <v>ENTRADA</v>
      </c>
      <c r="C9549" t="str">
        <f t="shared" si="1806"/>
        <v>NFSE</v>
      </c>
      <c r="D9549" t="str">
        <f>"3640"</f>
        <v>3640</v>
      </c>
      <c r="E9549" t="str">
        <f t="shared" si="1804"/>
        <v>1</v>
      </c>
      <c r="F9549" t="str">
        <f t="shared" si="1794"/>
        <v>COM</v>
      </c>
      <c r="G9549" t="str">
        <f>"ULTRA POPULAR  UBA 2 (10214)"</f>
        <v>ULTRA POPULAR  UBA 2 (10214)</v>
      </c>
      <c r="H9549" t="str">
        <f>"Serv.Prest. 27/10/2025 a 02/11/2025 - RPS: 1516 - NFSe: 3640"</f>
        <v>Serv.Prest. 27/10/2025 a 02/11/2025 - RPS: 1516 - NFSe: 3640</v>
      </c>
      <c r="I9549" t="str">
        <f t="shared" si="1807"/>
        <v>05/11/2025</v>
      </c>
      <c r="J9549" t="str">
        <f t="shared" ref="J9549:J9555" si="1810">("04/11/2025")</f>
        <v>04/11/2025</v>
      </c>
      <c r="K9549" t="str">
        <f>("06/11/2025")</f>
        <v>06/11/2025</v>
      </c>
      <c r="L9549">
        <v>99.42</v>
      </c>
      <c r="M9549">
        <v>99.42</v>
      </c>
      <c r="N9549">
        <v>303</v>
      </c>
      <c r="O9549" t="str">
        <f>"RECEITAS COM ENTREGAS"</f>
        <v>RECEITAS COM ENTREGAS</v>
      </c>
      <c r="P9549">
        <v>99.42</v>
      </c>
      <c r="S9549" t="str">
        <f>"RECEITAS COM ENTREGAS (303)"</f>
        <v>RECEITAS COM ENTREGAS (303)</v>
      </c>
      <c r="T9549">
        <v>20812</v>
      </c>
      <c r="U9549">
        <v>24696</v>
      </c>
      <c r="V9549" t="s">
        <v>22</v>
      </c>
    </row>
    <row r="9550" spans="1:22">
      <c r="A9550" t="str">
        <f t="shared" si="1793"/>
        <v>06/11/2025</v>
      </c>
      <c r="B9550" t="str">
        <f t="shared" si="1805"/>
        <v>ENTRADA</v>
      </c>
      <c r="C9550" t="str">
        <f t="shared" si="1806"/>
        <v>NFSE</v>
      </c>
      <c r="D9550" t="str">
        <f>"3640"</f>
        <v>3640</v>
      </c>
      <c r="E9550" t="str">
        <f t="shared" si="1804"/>
        <v>1</v>
      </c>
      <c r="F9550" t="str">
        <f t="shared" si="1794"/>
        <v>COM</v>
      </c>
      <c r="G9550" t="str">
        <f>"ULTRA POPULAR  UBA 2 (10214)"</f>
        <v>ULTRA POPULAR  UBA 2 (10214)</v>
      </c>
      <c r="H9550" t="s">
        <v>2739</v>
      </c>
      <c r="I9550" t="str">
        <f t="shared" si="1807"/>
        <v>05/11/2025</v>
      </c>
      <c r="J9550" t="str">
        <f t="shared" si="1810"/>
        <v>04/11/2025</v>
      </c>
      <c r="K9550">
        <v>45967</v>
      </c>
      <c r="N9550">
        <v>303</v>
      </c>
      <c r="O9550" t="s">
        <v>69</v>
      </c>
      <c r="Q9550">
        <v>49.71</v>
      </c>
      <c r="R9550" t="str">
        <f>"ULTRA POPULAR  UBA 2 (10214)"</f>
        <v>ULTRA POPULAR  UBA 2 (10214)</v>
      </c>
      <c r="S9550" t="s">
        <v>70</v>
      </c>
      <c r="T9550">
        <v>20812</v>
      </c>
      <c r="U9550">
        <v>24696</v>
      </c>
      <c r="V9550" t="s">
        <v>22</v>
      </c>
    </row>
    <row r="9551" spans="1:22">
      <c r="A9551" t="str">
        <f t="shared" si="1793"/>
        <v>06/11/2025</v>
      </c>
      <c r="B9551" t="str">
        <f t="shared" si="1805"/>
        <v>ENTRADA</v>
      </c>
      <c r="C9551" t="str">
        <f t="shared" si="1806"/>
        <v>NFSE</v>
      </c>
      <c r="D9551" t="str">
        <f>"3640"</f>
        <v>3640</v>
      </c>
      <c r="E9551" t="str">
        <f t="shared" si="1804"/>
        <v>1</v>
      </c>
      <c r="F9551" t="str">
        <f t="shared" si="1794"/>
        <v>COM</v>
      </c>
      <c r="G9551" t="str">
        <f>"ULTRA POPULAR  UBA 2 (10214)"</f>
        <v>ULTRA POPULAR  UBA 2 (10214)</v>
      </c>
      <c r="H9551" t="s">
        <v>2739</v>
      </c>
      <c r="I9551" t="str">
        <f t="shared" si="1807"/>
        <v>05/11/2025</v>
      </c>
      <c r="J9551" t="str">
        <f t="shared" si="1810"/>
        <v>04/11/2025</v>
      </c>
      <c r="K9551">
        <v>45967</v>
      </c>
      <c r="N9551">
        <v>303</v>
      </c>
      <c r="O9551" t="s">
        <v>69</v>
      </c>
      <c r="Q9551">
        <v>49.71</v>
      </c>
      <c r="R9551" t="str">
        <f>"UBA 1 (10263)"</f>
        <v>UBA 1 (10263)</v>
      </c>
      <c r="S9551" t="s">
        <v>70</v>
      </c>
      <c r="T9551">
        <v>20812</v>
      </c>
      <c r="U9551">
        <v>24696</v>
      </c>
      <c r="V9551" t="s">
        <v>22</v>
      </c>
    </row>
    <row r="9552" spans="1:22">
      <c r="A9552" t="str">
        <f t="shared" si="1793"/>
        <v>06/11/2025</v>
      </c>
      <c r="B9552" t="str">
        <f t="shared" si="1805"/>
        <v>ENTRADA</v>
      </c>
      <c r="C9552" t="str">
        <f t="shared" si="1806"/>
        <v>NFSE</v>
      </c>
      <c r="D9552" t="str">
        <f>"3644"</f>
        <v>3644</v>
      </c>
      <c r="E9552" t="str">
        <f t="shared" si="1804"/>
        <v>1</v>
      </c>
      <c r="F9552" t="str">
        <f t="shared" si="1794"/>
        <v>COM</v>
      </c>
      <c r="G9552" t="str">
        <f>"FARMACIA ECONOMIZE (10103)"</f>
        <v>FARMACIA ECONOMIZE (10103)</v>
      </c>
      <c r="H9552" t="str">
        <f>"Serv.Prest. 27/10/2025 a 02/11/2025 - RPS: 1520 - NFSe: 3644"</f>
        <v>Serv.Prest. 27/10/2025 a 02/11/2025 - RPS: 1520 - NFSe: 3644</v>
      </c>
      <c r="I9552" t="str">
        <f t="shared" si="1807"/>
        <v>05/11/2025</v>
      </c>
      <c r="J9552" t="str">
        <f t="shared" si="1810"/>
        <v>04/11/2025</v>
      </c>
      <c r="K9552" t="str">
        <f>("06/11/2025")</f>
        <v>06/11/2025</v>
      </c>
      <c r="L9552">
        <v>2352.2399999999998</v>
      </c>
      <c r="M9552">
        <v>2352.2399999999998</v>
      </c>
      <c r="N9552">
        <v>303</v>
      </c>
      <c r="O9552" t="str">
        <f>"RECEITAS COM ENTREGAS"</f>
        <v>RECEITAS COM ENTREGAS</v>
      </c>
      <c r="P9552">
        <v>2352.2399999999998</v>
      </c>
      <c r="S9552" t="str">
        <f>"RECEITAS COM ENTREGAS (303)"</f>
        <v>RECEITAS COM ENTREGAS (303)</v>
      </c>
      <c r="T9552">
        <v>20813</v>
      </c>
      <c r="U9552">
        <v>24859</v>
      </c>
      <c r="V9552" t="s">
        <v>22</v>
      </c>
    </row>
    <row r="9553" spans="1:22">
      <c r="A9553" t="str">
        <f t="shared" si="1793"/>
        <v>06/11/2025</v>
      </c>
      <c r="B9553" t="str">
        <f t="shared" si="1805"/>
        <v>ENTRADA</v>
      </c>
      <c r="C9553" t="str">
        <f t="shared" si="1806"/>
        <v>NFSE</v>
      </c>
      <c r="D9553" t="str">
        <f>"3644"</f>
        <v>3644</v>
      </c>
      <c r="E9553" t="str">
        <f t="shared" si="1804"/>
        <v>1</v>
      </c>
      <c r="F9553" t="str">
        <f t="shared" si="1794"/>
        <v>COM</v>
      </c>
      <c r="G9553" t="str">
        <f>"FARMACIA ECONOMIZE (10103)"</f>
        <v>FARMACIA ECONOMIZE (10103)</v>
      </c>
      <c r="H9553" t="s">
        <v>2740</v>
      </c>
      <c r="I9553" t="str">
        <f t="shared" si="1807"/>
        <v>05/11/2025</v>
      </c>
      <c r="J9553" t="str">
        <f t="shared" si="1810"/>
        <v>04/11/2025</v>
      </c>
      <c r="K9553">
        <v>45967</v>
      </c>
      <c r="N9553">
        <v>303</v>
      </c>
      <c r="O9553" t="s">
        <v>69</v>
      </c>
      <c r="Q9553">
        <v>2352.2399999999998</v>
      </c>
      <c r="R9553" t="str">
        <f>"FARMACIA ECONOMIZE (10103)"</f>
        <v>FARMACIA ECONOMIZE (10103)</v>
      </c>
      <c r="S9553" t="s">
        <v>70</v>
      </c>
      <c r="T9553">
        <v>20813</v>
      </c>
      <c r="U9553">
        <v>24859</v>
      </c>
      <c r="V9553" t="s">
        <v>22</v>
      </c>
    </row>
    <row r="9554" spans="1:22">
      <c r="A9554" t="str">
        <f t="shared" si="1793"/>
        <v>06/11/2025</v>
      </c>
      <c r="B9554" t="str">
        <f t="shared" si="1805"/>
        <v>ENTRADA</v>
      </c>
      <c r="C9554" t="str">
        <f t="shared" si="1806"/>
        <v>NFSE</v>
      </c>
      <c r="D9554" t="str">
        <f>"3646"</f>
        <v>3646</v>
      </c>
      <c r="E9554" t="str">
        <f t="shared" si="1804"/>
        <v>1</v>
      </c>
      <c r="F9554" t="str">
        <f t="shared" si="1794"/>
        <v>COM</v>
      </c>
      <c r="G9554" t="str">
        <f>"DROGA HONDA (10149)"</f>
        <v>DROGA HONDA (10149)</v>
      </c>
      <c r="H9554" t="str">
        <f>"Serv.Prest. 27/10/2025 a 02/11/2025 - RPS: 1522 - NFSe: 3646"</f>
        <v>Serv.Prest. 27/10/2025 a 02/11/2025 - RPS: 1522 - NFSe: 3646</v>
      </c>
      <c r="I9554" t="str">
        <f t="shared" si="1807"/>
        <v>05/11/2025</v>
      </c>
      <c r="J9554" t="str">
        <f t="shared" si="1810"/>
        <v>04/11/2025</v>
      </c>
      <c r="K9554" t="str">
        <f>("06/11/2025")</f>
        <v>06/11/2025</v>
      </c>
      <c r="L9554">
        <v>1357.83</v>
      </c>
      <c r="M9554">
        <v>1357.83</v>
      </c>
      <c r="N9554">
        <v>303</v>
      </c>
      <c r="O9554" t="str">
        <f>"RECEITAS COM ENTREGAS"</f>
        <v>RECEITAS COM ENTREGAS</v>
      </c>
      <c r="P9554">
        <v>1357.83</v>
      </c>
      <c r="S9554" t="str">
        <f>"RECEITAS COM ENTREGAS (303)"</f>
        <v>RECEITAS COM ENTREGAS (303)</v>
      </c>
      <c r="T9554">
        <v>20814</v>
      </c>
      <c r="U9554">
        <v>24868</v>
      </c>
      <c r="V9554" t="s">
        <v>22</v>
      </c>
    </row>
    <row r="9555" spans="1:22">
      <c r="A9555" t="str">
        <f t="shared" si="1793"/>
        <v>06/11/2025</v>
      </c>
      <c r="B9555" t="str">
        <f t="shared" si="1805"/>
        <v>ENTRADA</v>
      </c>
      <c r="C9555" t="str">
        <f t="shared" si="1806"/>
        <v>NFSE</v>
      </c>
      <c r="D9555" t="str">
        <f>"3646"</f>
        <v>3646</v>
      </c>
      <c r="E9555" t="str">
        <f t="shared" si="1804"/>
        <v>1</v>
      </c>
      <c r="F9555" t="str">
        <f t="shared" si="1794"/>
        <v>COM</v>
      </c>
      <c r="G9555" t="str">
        <f>"DROGA HONDA (10149)"</f>
        <v>DROGA HONDA (10149)</v>
      </c>
      <c r="H9555" t="s">
        <v>2741</v>
      </c>
      <c r="I9555" t="str">
        <f t="shared" si="1807"/>
        <v>05/11/2025</v>
      </c>
      <c r="J9555" t="str">
        <f t="shared" si="1810"/>
        <v>04/11/2025</v>
      </c>
      <c r="K9555">
        <v>45967</v>
      </c>
      <c r="N9555">
        <v>303</v>
      </c>
      <c r="O9555" t="s">
        <v>69</v>
      </c>
      <c r="Q9555">
        <v>1357.83</v>
      </c>
      <c r="R9555" t="str">
        <f>"DROGA HONDA (10149)"</f>
        <v>DROGA HONDA (10149)</v>
      </c>
      <c r="S9555" t="s">
        <v>70</v>
      </c>
      <c r="T9555">
        <v>20814</v>
      </c>
      <c r="U9555">
        <v>24868</v>
      </c>
      <c r="V9555" t="s">
        <v>22</v>
      </c>
    </row>
    <row r="9556" spans="1:22">
      <c r="A9556" t="str">
        <f t="shared" si="1793"/>
        <v>06/11/2025</v>
      </c>
      <c r="B9556" t="str">
        <f>"SAÍDA"</f>
        <v>SAÍDA</v>
      </c>
      <c r="C9556" t="str">
        <f>"JUROS"</f>
        <v>JUROS</v>
      </c>
      <c r="D9556" t="str">
        <f>""</f>
        <v/>
      </c>
      <c r="F9556" t="str">
        <f>"CXA"</f>
        <v>CXA</v>
      </c>
      <c r="G9556" t="str">
        <f>""</f>
        <v/>
      </c>
      <c r="H9556" t="str">
        <f>"TARIFA"</f>
        <v>TARIFA</v>
      </c>
      <c r="I9556" t="str">
        <f>("06/11/2025")</f>
        <v>06/11/2025</v>
      </c>
      <c r="J9556" t="str">
        <f>("06/11/2025")</f>
        <v>06/11/2025</v>
      </c>
      <c r="K9556" t="str">
        <f>("06/11/2025")</f>
        <v>06/11/2025</v>
      </c>
      <c r="L9556">
        <v>20.399999999999999</v>
      </c>
      <c r="M9556">
        <v>20.399999999999999</v>
      </c>
      <c r="N9556">
        <v>401</v>
      </c>
      <c r="O9556" t="str">
        <f>"IOF/JUROS/DESP.FINANCEIRA"</f>
        <v>IOF/JUROS/DESP.FINANCEIRA</v>
      </c>
      <c r="P9556">
        <v>20.399999999999999</v>
      </c>
      <c r="S9556" t="str">
        <f>"BANCO CORA (102)"</f>
        <v>BANCO CORA (102)</v>
      </c>
      <c r="T9556">
        <v>20815</v>
      </c>
      <c r="U9556">
        <v>0</v>
      </c>
      <c r="V9556" t="s">
        <v>1112</v>
      </c>
    </row>
    <row r="9557" spans="1:22">
      <c r="A9557" t="str">
        <f t="shared" si="1793"/>
        <v>06/11/2025</v>
      </c>
      <c r="B9557" t="str">
        <f>"SAÍDA"</f>
        <v>SAÍDA</v>
      </c>
      <c r="C9557" t="str">
        <f>"PIX"</f>
        <v>PIX</v>
      </c>
      <c r="D9557" t="str">
        <f>"25081"</f>
        <v>25081</v>
      </c>
      <c r="E9557" t="str">
        <f t="shared" ref="E9557:E9588" si="1811">"1"</f>
        <v>1</v>
      </c>
      <c r="F9557" t="str">
        <f t="shared" ref="F9557:F9588" si="1812">"COM"</f>
        <v>COM</v>
      </c>
      <c r="G9557" t="str">
        <f>"CHARLES SOUZA RIBEIRO (1040)"</f>
        <v>CHARLES SOUZA RIBEIRO (1040)</v>
      </c>
      <c r="H9557" t="str">
        <f>"Serv.Prest. 03/11/2025 a 09/11/2025 - PIX: CELULAR - CHAVE: (34) 99668-5593"</f>
        <v>Serv.Prest. 03/11/2025 a 09/11/2025 - PIX: CELULAR - CHAVE: (34) 99668-5593</v>
      </c>
      <c r="I9557" t="str">
        <f>("13/11/2025")</f>
        <v>13/11/2025</v>
      </c>
      <c r="J9557" t="str">
        <f>("10/11/2025")</f>
        <v>10/11/2025</v>
      </c>
      <c r="K9557" t="str">
        <f>("06/11/2025")</f>
        <v>06/11/2025</v>
      </c>
      <c r="L9557">
        <v>186</v>
      </c>
      <c r="M9557">
        <v>300</v>
      </c>
      <c r="N9557">
        <v>134</v>
      </c>
      <c r="O9557" t="str">
        <f>"DIARIA DE MOTOBOY"</f>
        <v>DIARIA DE MOTOBOY</v>
      </c>
      <c r="P9557">
        <v>300</v>
      </c>
      <c r="S9557" t="str">
        <f>"BANCO CORA (102)"</f>
        <v>BANCO CORA (102)</v>
      </c>
      <c r="T9557">
        <v>20849</v>
      </c>
      <c r="U9557">
        <v>25081</v>
      </c>
      <c r="V9557" t="s">
        <v>22</v>
      </c>
    </row>
    <row r="9558" spans="1:22">
      <c r="A9558" t="str">
        <f t="shared" si="1793"/>
        <v>06/11/2025</v>
      </c>
      <c r="B9558" t="str">
        <f>"SAÍDA"</f>
        <v>SAÍDA</v>
      </c>
      <c r="C9558" t="str">
        <f>"PIX"</f>
        <v>PIX</v>
      </c>
      <c r="D9558" t="str">
        <f>"25081"</f>
        <v>25081</v>
      </c>
      <c r="E9558" t="str">
        <f t="shared" si="1811"/>
        <v>1</v>
      </c>
      <c r="F9558" t="str">
        <f t="shared" si="1812"/>
        <v>COM</v>
      </c>
      <c r="G9558" t="str">
        <f>"CHARLES SOUZA RIBEIRO (1040)"</f>
        <v>CHARLES SOUZA RIBEIRO (1040)</v>
      </c>
      <c r="H9558" t="s">
        <v>2742</v>
      </c>
      <c r="I9558" t="str">
        <f>("13/11/2025")</f>
        <v>13/11/2025</v>
      </c>
      <c r="J9558" t="str">
        <f>("10/11/2025")</f>
        <v>10/11/2025</v>
      </c>
      <c r="K9558">
        <v>45967</v>
      </c>
      <c r="N9558">
        <v>134</v>
      </c>
      <c r="O9558" t="s">
        <v>41</v>
      </c>
      <c r="Q9558">
        <v>300</v>
      </c>
      <c r="R9558" t="str">
        <f>"PAGMENOS - LJ 768 (10266)"</f>
        <v>PAGMENOS - LJ 768 (10266)</v>
      </c>
      <c r="S9558" t="s">
        <v>22</v>
      </c>
      <c r="T9558">
        <v>20849</v>
      </c>
      <c r="U9558">
        <v>25081</v>
      </c>
      <c r="V9558" t="s">
        <v>22</v>
      </c>
    </row>
    <row r="9559" spans="1:22">
      <c r="A9559" t="str">
        <f t="shared" si="1793"/>
        <v>06/11/2025</v>
      </c>
      <c r="B9559" t="str">
        <f t="shared" ref="B9559:B9606" si="1813">"ENTRADA"</f>
        <v>ENTRADA</v>
      </c>
      <c r="C9559" t="str">
        <f t="shared" ref="C9559:C9606" si="1814">"NFSE"</f>
        <v>NFSE</v>
      </c>
      <c r="D9559" t="str">
        <f t="shared" ref="D9559:D9606" si="1815">"3554"</f>
        <v>3554</v>
      </c>
      <c r="E9559" t="str">
        <f t="shared" si="1811"/>
        <v>1</v>
      </c>
      <c r="F9559" t="str">
        <f t="shared" si="1812"/>
        <v>COM</v>
      </c>
      <c r="G9559" t="str">
        <f t="shared" ref="G9559:G9606" si="1816">"FARMÁCIA INDIANA LJ 1 (10126)"</f>
        <v>FARMÁCIA INDIANA LJ 1 (10126)</v>
      </c>
      <c r="H9559" t="str">
        <f>"Serv.Prest. 20/10/2025 a 24/10/2025 - RPS: 1430 - NFSe: 3554"</f>
        <v>Serv.Prest. 20/10/2025 a 24/10/2025 - RPS: 1430 - NFSe: 3554</v>
      </c>
      <c r="I9559" t="str">
        <f t="shared" ref="I9559:I9606" si="1817">("05/11/2025")</f>
        <v>05/11/2025</v>
      </c>
      <c r="J9559" t="str">
        <f t="shared" ref="J9559:J9606" si="1818">("24/10/2025")</f>
        <v>24/10/2025</v>
      </c>
      <c r="K9559" t="str">
        <f>("06/11/2025")</f>
        <v>06/11/2025</v>
      </c>
      <c r="L9559">
        <v>82507.14</v>
      </c>
      <c r="M9559">
        <v>82507.14</v>
      </c>
      <c r="N9559">
        <v>303</v>
      </c>
      <c r="O9559" t="str">
        <f>"RECEITAS COM ENTREGAS"</f>
        <v>RECEITAS COM ENTREGAS</v>
      </c>
      <c r="P9559">
        <v>82507.14</v>
      </c>
      <c r="S9559" t="str">
        <f>"RECEITAS COM ENTREGAS (303)"</f>
        <v>RECEITAS COM ENTREGAS (303)</v>
      </c>
      <c r="T9559">
        <v>21839</v>
      </c>
      <c r="U9559">
        <v>24183</v>
      </c>
      <c r="V9559" t="s">
        <v>77</v>
      </c>
    </row>
    <row r="9560" spans="1:22">
      <c r="A9560" t="str">
        <f t="shared" si="1793"/>
        <v>06/11/2025</v>
      </c>
      <c r="B9560" t="str">
        <f t="shared" si="1813"/>
        <v>ENTRADA</v>
      </c>
      <c r="C9560" t="str">
        <f t="shared" si="1814"/>
        <v>NFSE</v>
      </c>
      <c r="D9560" t="str">
        <f t="shared" si="1815"/>
        <v>3554</v>
      </c>
      <c r="E9560" t="str">
        <f t="shared" si="1811"/>
        <v>1</v>
      </c>
      <c r="F9560" t="str">
        <f t="shared" si="1812"/>
        <v>COM</v>
      </c>
      <c r="G9560" t="str">
        <f t="shared" si="1816"/>
        <v>FARMÁCIA INDIANA LJ 1 (10126)</v>
      </c>
      <c r="H9560" t="s">
        <v>2743</v>
      </c>
      <c r="I9560" t="str">
        <f t="shared" si="1817"/>
        <v>05/11/2025</v>
      </c>
      <c r="J9560" t="str">
        <f t="shared" si="1818"/>
        <v>24/10/2025</v>
      </c>
      <c r="K9560">
        <v>45967</v>
      </c>
      <c r="N9560">
        <v>303</v>
      </c>
      <c r="O9560" t="s">
        <v>69</v>
      </c>
      <c r="Q9560">
        <v>11592.29</v>
      </c>
      <c r="R9560" t="str">
        <f>"FARMÁCIA INDIANA LJ 06 (10006)"</f>
        <v>FARMÁCIA INDIANA LJ 06 (10006)</v>
      </c>
      <c r="S9560" t="s">
        <v>70</v>
      </c>
      <c r="T9560">
        <v>21839</v>
      </c>
      <c r="U9560">
        <v>24183</v>
      </c>
      <c r="V9560" t="s">
        <v>77</v>
      </c>
    </row>
    <row r="9561" spans="1:22">
      <c r="A9561" t="str">
        <f t="shared" si="1793"/>
        <v>06/11/2025</v>
      </c>
      <c r="B9561" t="str">
        <f t="shared" si="1813"/>
        <v>ENTRADA</v>
      </c>
      <c r="C9561" t="str">
        <f t="shared" si="1814"/>
        <v>NFSE</v>
      </c>
      <c r="D9561" t="str">
        <f t="shared" si="1815"/>
        <v>3554</v>
      </c>
      <c r="E9561" t="str">
        <f t="shared" si="1811"/>
        <v>1</v>
      </c>
      <c r="F9561" t="str">
        <f t="shared" si="1812"/>
        <v>COM</v>
      </c>
      <c r="G9561" t="str">
        <f t="shared" si="1816"/>
        <v>FARMÁCIA INDIANA LJ 1 (10126)</v>
      </c>
      <c r="H9561" t="s">
        <v>2743</v>
      </c>
      <c r="I9561" t="str">
        <f t="shared" si="1817"/>
        <v>05/11/2025</v>
      </c>
      <c r="J9561" t="str">
        <f t="shared" si="1818"/>
        <v>24/10/2025</v>
      </c>
      <c r="K9561">
        <v>45967</v>
      </c>
      <c r="N9561">
        <v>303</v>
      </c>
      <c r="O9561" t="s">
        <v>69</v>
      </c>
      <c r="Q9561">
        <v>7326.63</v>
      </c>
      <c r="R9561" t="str">
        <f>"FARMÁCIA INDIANA LJ 07 (10007)"</f>
        <v>FARMÁCIA INDIANA LJ 07 (10007)</v>
      </c>
      <c r="S9561" t="s">
        <v>70</v>
      </c>
      <c r="T9561">
        <v>21839</v>
      </c>
      <c r="U9561">
        <v>24183</v>
      </c>
      <c r="V9561" t="s">
        <v>77</v>
      </c>
    </row>
    <row r="9562" spans="1:22">
      <c r="A9562" t="str">
        <f t="shared" si="1793"/>
        <v>06/11/2025</v>
      </c>
      <c r="B9562" t="str">
        <f t="shared" si="1813"/>
        <v>ENTRADA</v>
      </c>
      <c r="C9562" t="str">
        <f t="shared" si="1814"/>
        <v>NFSE</v>
      </c>
      <c r="D9562" t="str">
        <f t="shared" si="1815"/>
        <v>3554</v>
      </c>
      <c r="E9562" t="str">
        <f t="shared" si="1811"/>
        <v>1</v>
      </c>
      <c r="F9562" t="str">
        <f t="shared" si="1812"/>
        <v>COM</v>
      </c>
      <c r="G9562" t="str">
        <f t="shared" si="1816"/>
        <v>FARMÁCIA INDIANA LJ 1 (10126)</v>
      </c>
      <c r="H9562" t="s">
        <v>2743</v>
      </c>
      <c r="I9562" t="str">
        <f t="shared" si="1817"/>
        <v>05/11/2025</v>
      </c>
      <c r="J9562" t="str">
        <f t="shared" si="1818"/>
        <v>24/10/2025</v>
      </c>
      <c r="K9562">
        <v>45967</v>
      </c>
      <c r="N9562">
        <v>303</v>
      </c>
      <c r="O9562" t="s">
        <v>69</v>
      </c>
      <c r="Q9562">
        <v>6691.33</v>
      </c>
      <c r="R9562" t="str">
        <f>"FARMÁCIA INDIANA LJ 11 (10008)"</f>
        <v>FARMÁCIA INDIANA LJ 11 (10008)</v>
      </c>
      <c r="S9562" t="s">
        <v>70</v>
      </c>
      <c r="T9562">
        <v>21839</v>
      </c>
      <c r="U9562">
        <v>24183</v>
      </c>
      <c r="V9562" t="s">
        <v>77</v>
      </c>
    </row>
    <row r="9563" spans="1:22">
      <c r="A9563" t="str">
        <f t="shared" si="1793"/>
        <v>06/11/2025</v>
      </c>
      <c r="B9563" t="str">
        <f t="shared" si="1813"/>
        <v>ENTRADA</v>
      </c>
      <c r="C9563" t="str">
        <f t="shared" si="1814"/>
        <v>NFSE</v>
      </c>
      <c r="D9563" t="str">
        <f t="shared" si="1815"/>
        <v>3554</v>
      </c>
      <c r="E9563" t="str">
        <f t="shared" si="1811"/>
        <v>1</v>
      </c>
      <c r="F9563" t="str">
        <f t="shared" si="1812"/>
        <v>COM</v>
      </c>
      <c r="G9563" t="str">
        <f t="shared" si="1816"/>
        <v>FARMÁCIA INDIANA LJ 1 (10126)</v>
      </c>
      <c r="H9563" t="s">
        <v>2743</v>
      </c>
      <c r="I9563" t="str">
        <f t="shared" si="1817"/>
        <v>05/11/2025</v>
      </c>
      <c r="J9563" t="str">
        <f t="shared" si="1818"/>
        <v>24/10/2025</v>
      </c>
      <c r="K9563">
        <v>45967</v>
      </c>
      <c r="N9563">
        <v>303</v>
      </c>
      <c r="O9563" t="s">
        <v>69</v>
      </c>
      <c r="Q9563">
        <v>2664.98</v>
      </c>
      <c r="R9563" t="str">
        <f>"FARMÁCIA INDIANA LJ 14 (10009)"</f>
        <v>FARMÁCIA INDIANA LJ 14 (10009)</v>
      </c>
      <c r="S9563" t="s">
        <v>70</v>
      </c>
      <c r="T9563">
        <v>21839</v>
      </c>
      <c r="U9563">
        <v>24183</v>
      </c>
      <c r="V9563" t="s">
        <v>77</v>
      </c>
    </row>
    <row r="9564" spans="1:22">
      <c r="A9564" t="str">
        <f t="shared" si="1793"/>
        <v>06/11/2025</v>
      </c>
      <c r="B9564" t="str">
        <f t="shared" si="1813"/>
        <v>ENTRADA</v>
      </c>
      <c r="C9564" t="str">
        <f t="shared" si="1814"/>
        <v>NFSE</v>
      </c>
      <c r="D9564" t="str">
        <f t="shared" si="1815"/>
        <v>3554</v>
      </c>
      <c r="E9564" t="str">
        <f t="shared" si="1811"/>
        <v>1</v>
      </c>
      <c r="F9564" t="str">
        <f t="shared" si="1812"/>
        <v>COM</v>
      </c>
      <c r="G9564" t="str">
        <f t="shared" si="1816"/>
        <v>FARMÁCIA INDIANA LJ 1 (10126)</v>
      </c>
      <c r="H9564" t="s">
        <v>2743</v>
      </c>
      <c r="I9564" t="str">
        <f t="shared" si="1817"/>
        <v>05/11/2025</v>
      </c>
      <c r="J9564" t="str">
        <f t="shared" si="1818"/>
        <v>24/10/2025</v>
      </c>
      <c r="K9564">
        <v>45967</v>
      </c>
      <c r="N9564">
        <v>303</v>
      </c>
      <c r="O9564" t="s">
        <v>69</v>
      </c>
      <c r="Q9564">
        <v>2013.17</v>
      </c>
      <c r="R9564" t="str">
        <f>"FARMÁCIA INDIANA LJ 18 (10011)"</f>
        <v>FARMÁCIA INDIANA LJ 18 (10011)</v>
      </c>
      <c r="S9564" t="s">
        <v>70</v>
      </c>
      <c r="T9564">
        <v>21839</v>
      </c>
      <c r="U9564">
        <v>24183</v>
      </c>
      <c r="V9564" t="s">
        <v>77</v>
      </c>
    </row>
    <row r="9565" spans="1:22">
      <c r="A9565" t="str">
        <f t="shared" si="1793"/>
        <v>06/11/2025</v>
      </c>
      <c r="B9565" t="str">
        <f t="shared" si="1813"/>
        <v>ENTRADA</v>
      </c>
      <c r="C9565" t="str">
        <f t="shared" si="1814"/>
        <v>NFSE</v>
      </c>
      <c r="D9565" t="str">
        <f t="shared" si="1815"/>
        <v>3554</v>
      </c>
      <c r="E9565" t="str">
        <f t="shared" si="1811"/>
        <v>1</v>
      </c>
      <c r="F9565" t="str">
        <f t="shared" si="1812"/>
        <v>COM</v>
      </c>
      <c r="G9565" t="str">
        <f t="shared" si="1816"/>
        <v>FARMÁCIA INDIANA LJ 1 (10126)</v>
      </c>
      <c r="H9565" t="s">
        <v>2743</v>
      </c>
      <c r="I9565" t="str">
        <f t="shared" si="1817"/>
        <v>05/11/2025</v>
      </c>
      <c r="J9565" t="str">
        <f t="shared" si="1818"/>
        <v>24/10/2025</v>
      </c>
      <c r="K9565">
        <v>45967</v>
      </c>
      <c r="N9565">
        <v>303</v>
      </c>
      <c r="O9565" t="s">
        <v>69</v>
      </c>
      <c r="Q9565">
        <v>1839.91</v>
      </c>
      <c r="R9565" t="str">
        <f>"FARMÁCIA INDIANA LJ 19 (10012)"</f>
        <v>FARMÁCIA INDIANA LJ 19 (10012)</v>
      </c>
      <c r="S9565" t="s">
        <v>70</v>
      </c>
      <c r="T9565">
        <v>21839</v>
      </c>
      <c r="U9565">
        <v>24183</v>
      </c>
      <c r="V9565" t="s">
        <v>77</v>
      </c>
    </row>
    <row r="9566" spans="1:22">
      <c r="A9566" t="str">
        <f t="shared" ref="A9566:A9612" si="1819">("06/11/2025")</f>
        <v>06/11/2025</v>
      </c>
      <c r="B9566" t="str">
        <f t="shared" si="1813"/>
        <v>ENTRADA</v>
      </c>
      <c r="C9566" t="str">
        <f t="shared" si="1814"/>
        <v>NFSE</v>
      </c>
      <c r="D9566" t="str">
        <f t="shared" si="1815"/>
        <v>3554</v>
      </c>
      <c r="E9566" t="str">
        <f t="shared" si="1811"/>
        <v>1</v>
      </c>
      <c r="F9566" t="str">
        <f t="shared" si="1812"/>
        <v>COM</v>
      </c>
      <c r="G9566" t="str">
        <f t="shared" si="1816"/>
        <v>FARMÁCIA INDIANA LJ 1 (10126)</v>
      </c>
      <c r="H9566" t="s">
        <v>2743</v>
      </c>
      <c r="I9566" t="str">
        <f t="shared" si="1817"/>
        <v>05/11/2025</v>
      </c>
      <c r="J9566" t="str">
        <f t="shared" si="1818"/>
        <v>24/10/2025</v>
      </c>
      <c r="K9566">
        <v>45967</v>
      </c>
      <c r="N9566">
        <v>303</v>
      </c>
      <c r="O9566" t="s">
        <v>69</v>
      </c>
      <c r="Q9566">
        <v>2219.44</v>
      </c>
      <c r="R9566" t="str">
        <f>"FARMÁCIA INDIANA LJ 40 (10016)"</f>
        <v>FARMÁCIA INDIANA LJ 40 (10016)</v>
      </c>
      <c r="S9566" t="s">
        <v>70</v>
      </c>
      <c r="T9566">
        <v>21839</v>
      </c>
      <c r="U9566">
        <v>24183</v>
      </c>
      <c r="V9566" t="s">
        <v>77</v>
      </c>
    </row>
    <row r="9567" spans="1:22">
      <c r="A9567" t="str">
        <f t="shared" si="1819"/>
        <v>06/11/2025</v>
      </c>
      <c r="B9567" t="str">
        <f t="shared" si="1813"/>
        <v>ENTRADA</v>
      </c>
      <c r="C9567" t="str">
        <f t="shared" si="1814"/>
        <v>NFSE</v>
      </c>
      <c r="D9567" t="str">
        <f t="shared" si="1815"/>
        <v>3554</v>
      </c>
      <c r="E9567" t="str">
        <f t="shared" si="1811"/>
        <v>1</v>
      </c>
      <c r="F9567" t="str">
        <f t="shared" si="1812"/>
        <v>COM</v>
      </c>
      <c r="G9567" t="str">
        <f t="shared" si="1816"/>
        <v>FARMÁCIA INDIANA LJ 1 (10126)</v>
      </c>
      <c r="H9567" t="s">
        <v>2743</v>
      </c>
      <c r="I9567" t="str">
        <f t="shared" si="1817"/>
        <v>05/11/2025</v>
      </c>
      <c r="J9567" t="str">
        <f t="shared" si="1818"/>
        <v>24/10/2025</v>
      </c>
      <c r="K9567">
        <v>45967</v>
      </c>
      <c r="N9567">
        <v>303</v>
      </c>
      <c r="O9567" t="s">
        <v>69</v>
      </c>
      <c r="Q9567">
        <v>594.04999999999995</v>
      </c>
      <c r="R9567" t="str">
        <f>"FARMÁCIA INDIANA LJ 59 (10026)"</f>
        <v>FARMÁCIA INDIANA LJ 59 (10026)</v>
      </c>
      <c r="S9567" t="s">
        <v>70</v>
      </c>
      <c r="T9567">
        <v>21839</v>
      </c>
      <c r="U9567">
        <v>24183</v>
      </c>
      <c r="V9567" t="s">
        <v>77</v>
      </c>
    </row>
    <row r="9568" spans="1:22">
      <c r="A9568" t="str">
        <f t="shared" si="1819"/>
        <v>06/11/2025</v>
      </c>
      <c r="B9568" t="str">
        <f t="shared" si="1813"/>
        <v>ENTRADA</v>
      </c>
      <c r="C9568" t="str">
        <f t="shared" si="1814"/>
        <v>NFSE</v>
      </c>
      <c r="D9568" t="str">
        <f t="shared" si="1815"/>
        <v>3554</v>
      </c>
      <c r="E9568" t="str">
        <f t="shared" si="1811"/>
        <v>1</v>
      </c>
      <c r="F9568" t="str">
        <f t="shared" si="1812"/>
        <v>COM</v>
      </c>
      <c r="G9568" t="str">
        <f t="shared" si="1816"/>
        <v>FARMÁCIA INDIANA LJ 1 (10126)</v>
      </c>
      <c r="H9568" t="s">
        <v>2743</v>
      </c>
      <c r="I9568" t="str">
        <f t="shared" si="1817"/>
        <v>05/11/2025</v>
      </c>
      <c r="J9568" t="str">
        <f t="shared" si="1818"/>
        <v>24/10/2025</v>
      </c>
      <c r="K9568">
        <v>45967</v>
      </c>
      <c r="N9568">
        <v>303</v>
      </c>
      <c r="O9568" t="s">
        <v>69</v>
      </c>
      <c r="Q9568">
        <v>2788.74</v>
      </c>
      <c r="R9568" t="str">
        <f>"FARMÁCIA INDIANA LJ 61 (10027)"</f>
        <v>FARMÁCIA INDIANA LJ 61 (10027)</v>
      </c>
      <c r="S9568" t="s">
        <v>70</v>
      </c>
      <c r="T9568">
        <v>21839</v>
      </c>
      <c r="U9568">
        <v>24183</v>
      </c>
      <c r="V9568" t="s">
        <v>77</v>
      </c>
    </row>
    <row r="9569" spans="1:22">
      <c r="A9569" t="str">
        <f t="shared" si="1819"/>
        <v>06/11/2025</v>
      </c>
      <c r="B9569" t="str">
        <f t="shared" si="1813"/>
        <v>ENTRADA</v>
      </c>
      <c r="C9569" t="str">
        <f t="shared" si="1814"/>
        <v>NFSE</v>
      </c>
      <c r="D9569" t="str">
        <f t="shared" si="1815"/>
        <v>3554</v>
      </c>
      <c r="E9569" t="str">
        <f t="shared" si="1811"/>
        <v>1</v>
      </c>
      <c r="F9569" t="str">
        <f t="shared" si="1812"/>
        <v>COM</v>
      </c>
      <c r="G9569" t="str">
        <f t="shared" si="1816"/>
        <v>FARMÁCIA INDIANA LJ 1 (10126)</v>
      </c>
      <c r="H9569" t="s">
        <v>2743</v>
      </c>
      <c r="I9569" t="str">
        <f t="shared" si="1817"/>
        <v>05/11/2025</v>
      </c>
      <c r="J9569" t="str">
        <f t="shared" si="1818"/>
        <v>24/10/2025</v>
      </c>
      <c r="K9569">
        <v>45967</v>
      </c>
      <c r="N9569">
        <v>303</v>
      </c>
      <c r="O9569" t="s">
        <v>69</v>
      </c>
      <c r="Q9569">
        <v>1617.14</v>
      </c>
      <c r="R9569" t="str">
        <f>"FARMÁCIA INDIANA LJ 62 (10028)"</f>
        <v>FARMÁCIA INDIANA LJ 62 (10028)</v>
      </c>
      <c r="S9569" t="s">
        <v>70</v>
      </c>
      <c r="T9569">
        <v>21839</v>
      </c>
      <c r="U9569">
        <v>24183</v>
      </c>
      <c r="V9569" t="s">
        <v>77</v>
      </c>
    </row>
    <row r="9570" spans="1:22">
      <c r="A9570" t="str">
        <f t="shared" si="1819"/>
        <v>06/11/2025</v>
      </c>
      <c r="B9570" t="str">
        <f t="shared" si="1813"/>
        <v>ENTRADA</v>
      </c>
      <c r="C9570" t="str">
        <f t="shared" si="1814"/>
        <v>NFSE</v>
      </c>
      <c r="D9570" t="str">
        <f t="shared" si="1815"/>
        <v>3554</v>
      </c>
      <c r="E9570" t="str">
        <f t="shared" si="1811"/>
        <v>1</v>
      </c>
      <c r="F9570" t="str">
        <f t="shared" si="1812"/>
        <v>COM</v>
      </c>
      <c r="G9570" t="str">
        <f t="shared" si="1816"/>
        <v>FARMÁCIA INDIANA LJ 1 (10126)</v>
      </c>
      <c r="H9570" t="s">
        <v>2743</v>
      </c>
      <c r="I9570" t="str">
        <f t="shared" si="1817"/>
        <v>05/11/2025</v>
      </c>
      <c r="J9570" t="str">
        <f t="shared" si="1818"/>
        <v>24/10/2025</v>
      </c>
      <c r="K9570">
        <v>45967</v>
      </c>
      <c r="N9570">
        <v>303</v>
      </c>
      <c r="O9570" t="s">
        <v>69</v>
      </c>
      <c r="Q9570">
        <v>610.54999999999995</v>
      </c>
      <c r="R9570" t="str">
        <f>"FARMÁCIA INDIANA LJ 64 (10029)"</f>
        <v>FARMÁCIA INDIANA LJ 64 (10029)</v>
      </c>
      <c r="S9570" t="s">
        <v>70</v>
      </c>
      <c r="T9570">
        <v>21839</v>
      </c>
      <c r="U9570">
        <v>24183</v>
      </c>
      <c r="V9570" t="s">
        <v>77</v>
      </c>
    </row>
    <row r="9571" spans="1:22">
      <c r="A9571" t="str">
        <f t="shared" si="1819"/>
        <v>06/11/2025</v>
      </c>
      <c r="B9571" t="str">
        <f t="shared" si="1813"/>
        <v>ENTRADA</v>
      </c>
      <c r="C9571" t="str">
        <f t="shared" si="1814"/>
        <v>NFSE</v>
      </c>
      <c r="D9571" t="str">
        <f t="shared" si="1815"/>
        <v>3554</v>
      </c>
      <c r="E9571" t="str">
        <f t="shared" si="1811"/>
        <v>1</v>
      </c>
      <c r="F9571" t="str">
        <f t="shared" si="1812"/>
        <v>COM</v>
      </c>
      <c r="G9571" t="str">
        <f t="shared" si="1816"/>
        <v>FARMÁCIA INDIANA LJ 1 (10126)</v>
      </c>
      <c r="H9571" t="s">
        <v>2743</v>
      </c>
      <c r="I9571" t="str">
        <f t="shared" si="1817"/>
        <v>05/11/2025</v>
      </c>
      <c r="J9571" t="str">
        <f t="shared" si="1818"/>
        <v>24/10/2025</v>
      </c>
      <c r="K9571">
        <v>45967</v>
      </c>
      <c r="N9571">
        <v>303</v>
      </c>
      <c r="O9571" t="s">
        <v>69</v>
      </c>
      <c r="Q9571">
        <v>602.29999999999995</v>
      </c>
      <c r="R9571" t="str">
        <f>"FARMÁCIA INDIANA LJ 97 (10040)"</f>
        <v>FARMÁCIA INDIANA LJ 97 (10040)</v>
      </c>
      <c r="S9571" t="s">
        <v>70</v>
      </c>
      <c r="T9571">
        <v>21839</v>
      </c>
      <c r="U9571">
        <v>24183</v>
      </c>
      <c r="V9571" t="s">
        <v>77</v>
      </c>
    </row>
    <row r="9572" spans="1:22">
      <c r="A9572" t="str">
        <f t="shared" si="1819"/>
        <v>06/11/2025</v>
      </c>
      <c r="B9572" t="str">
        <f t="shared" si="1813"/>
        <v>ENTRADA</v>
      </c>
      <c r="C9572" t="str">
        <f t="shared" si="1814"/>
        <v>NFSE</v>
      </c>
      <c r="D9572" t="str">
        <f t="shared" si="1815"/>
        <v>3554</v>
      </c>
      <c r="E9572" t="str">
        <f t="shared" si="1811"/>
        <v>1</v>
      </c>
      <c r="F9572" t="str">
        <f t="shared" si="1812"/>
        <v>COM</v>
      </c>
      <c r="G9572" t="str">
        <f t="shared" si="1816"/>
        <v>FARMÁCIA INDIANA LJ 1 (10126)</v>
      </c>
      <c r="H9572" t="s">
        <v>2743</v>
      </c>
      <c r="I9572" t="str">
        <f t="shared" si="1817"/>
        <v>05/11/2025</v>
      </c>
      <c r="J9572" t="str">
        <f t="shared" si="1818"/>
        <v>24/10/2025</v>
      </c>
      <c r="K9572">
        <v>45967</v>
      </c>
      <c r="N9572">
        <v>303</v>
      </c>
      <c r="O9572" t="s">
        <v>69</v>
      </c>
      <c r="Q9572">
        <v>1699.65</v>
      </c>
      <c r="R9572" t="str">
        <f>"FARMÁCIA INDIANA LJ 100 (10042)"</f>
        <v>FARMÁCIA INDIANA LJ 100 (10042)</v>
      </c>
      <c r="S9572" t="s">
        <v>70</v>
      </c>
      <c r="T9572">
        <v>21839</v>
      </c>
      <c r="U9572">
        <v>24183</v>
      </c>
      <c r="V9572" t="s">
        <v>77</v>
      </c>
    </row>
    <row r="9573" spans="1:22">
      <c r="A9573" t="str">
        <f t="shared" si="1819"/>
        <v>06/11/2025</v>
      </c>
      <c r="B9573" t="str">
        <f t="shared" si="1813"/>
        <v>ENTRADA</v>
      </c>
      <c r="C9573" t="str">
        <f t="shared" si="1814"/>
        <v>NFSE</v>
      </c>
      <c r="D9573" t="str">
        <f t="shared" si="1815"/>
        <v>3554</v>
      </c>
      <c r="E9573" t="str">
        <f t="shared" si="1811"/>
        <v>1</v>
      </c>
      <c r="F9573" t="str">
        <f t="shared" si="1812"/>
        <v>COM</v>
      </c>
      <c r="G9573" t="str">
        <f t="shared" si="1816"/>
        <v>FARMÁCIA INDIANA LJ 1 (10126)</v>
      </c>
      <c r="H9573" t="s">
        <v>2743</v>
      </c>
      <c r="I9573" t="str">
        <f t="shared" si="1817"/>
        <v>05/11/2025</v>
      </c>
      <c r="J9573" t="str">
        <f t="shared" si="1818"/>
        <v>24/10/2025</v>
      </c>
      <c r="K9573">
        <v>45967</v>
      </c>
      <c r="N9573">
        <v>303</v>
      </c>
      <c r="O9573" t="s">
        <v>69</v>
      </c>
      <c r="Q9573">
        <v>3448.8</v>
      </c>
      <c r="R9573" t="str">
        <f>"FARMÁCIA INDIANA LJ 101 (10043)"</f>
        <v>FARMÁCIA INDIANA LJ 101 (10043)</v>
      </c>
      <c r="S9573" t="s">
        <v>70</v>
      </c>
      <c r="T9573">
        <v>21839</v>
      </c>
      <c r="U9573">
        <v>24183</v>
      </c>
      <c r="V9573" t="s">
        <v>77</v>
      </c>
    </row>
    <row r="9574" spans="1:22">
      <c r="A9574" t="str">
        <f t="shared" si="1819"/>
        <v>06/11/2025</v>
      </c>
      <c r="B9574" t="str">
        <f t="shared" si="1813"/>
        <v>ENTRADA</v>
      </c>
      <c r="C9574" t="str">
        <f t="shared" si="1814"/>
        <v>NFSE</v>
      </c>
      <c r="D9574" t="str">
        <f t="shared" si="1815"/>
        <v>3554</v>
      </c>
      <c r="E9574" t="str">
        <f t="shared" si="1811"/>
        <v>1</v>
      </c>
      <c r="F9574" t="str">
        <f t="shared" si="1812"/>
        <v>COM</v>
      </c>
      <c r="G9574" t="str">
        <f t="shared" si="1816"/>
        <v>FARMÁCIA INDIANA LJ 1 (10126)</v>
      </c>
      <c r="H9574" t="s">
        <v>2743</v>
      </c>
      <c r="I9574" t="str">
        <f t="shared" si="1817"/>
        <v>05/11/2025</v>
      </c>
      <c r="J9574" t="str">
        <f t="shared" si="1818"/>
        <v>24/10/2025</v>
      </c>
      <c r="K9574">
        <v>45967</v>
      </c>
      <c r="N9574">
        <v>303</v>
      </c>
      <c r="O9574" t="s">
        <v>69</v>
      </c>
      <c r="Q9574">
        <v>569.29999999999995</v>
      </c>
      <c r="R9574" t="str">
        <f>"FARMÁCIA INDIANA LJ 103 (10044)"</f>
        <v>FARMÁCIA INDIANA LJ 103 (10044)</v>
      </c>
      <c r="S9574" t="s">
        <v>70</v>
      </c>
      <c r="T9574">
        <v>21839</v>
      </c>
      <c r="U9574">
        <v>24183</v>
      </c>
      <c r="V9574" t="s">
        <v>77</v>
      </c>
    </row>
    <row r="9575" spans="1:22">
      <c r="A9575" t="str">
        <f t="shared" si="1819"/>
        <v>06/11/2025</v>
      </c>
      <c r="B9575" t="str">
        <f t="shared" si="1813"/>
        <v>ENTRADA</v>
      </c>
      <c r="C9575" t="str">
        <f t="shared" si="1814"/>
        <v>NFSE</v>
      </c>
      <c r="D9575" t="str">
        <f t="shared" si="1815"/>
        <v>3554</v>
      </c>
      <c r="E9575" t="str">
        <f t="shared" si="1811"/>
        <v>1</v>
      </c>
      <c r="F9575" t="str">
        <f t="shared" si="1812"/>
        <v>COM</v>
      </c>
      <c r="G9575" t="str">
        <f t="shared" si="1816"/>
        <v>FARMÁCIA INDIANA LJ 1 (10126)</v>
      </c>
      <c r="H9575" t="s">
        <v>2743</v>
      </c>
      <c r="I9575" t="str">
        <f t="shared" si="1817"/>
        <v>05/11/2025</v>
      </c>
      <c r="J9575" t="str">
        <f t="shared" si="1818"/>
        <v>24/10/2025</v>
      </c>
      <c r="K9575">
        <v>45967</v>
      </c>
      <c r="N9575">
        <v>303</v>
      </c>
      <c r="O9575" t="s">
        <v>69</v>
      </c>
      <c r="Q9575">
        <v>1377.87</v>
      </c>
      <c r="R9575" t="str">
        <f>"FARMÁCIA INDIANA LJ 109 (10047)"</f>
        <v>FARMÁCIA INDIANA LJ 109 (10047)</v>
      </c>
      <c r="S9575" t="s">
        <v>70</v>
      </c>
      <c r="T9575">
        <v>21839</v>
      </c>
      <c r="U9575">
        <v>24183</v>
      </c>
      <c r="V9575" t="s">
        <v>77</v>
      </c>
    </row>
    <row r="9576" spans="1:22">
      <c r="A9576" t="str">
        <f t="shared" si="1819"/>
        <v>06/11/2025</v>
      </c>
      <c r="B9576" t="str">
        <f t="shared" si="1813"/>
        <v>ENTRADA</v>
      </c>
      <c r="C9576" t="str">
        <f t="shared" si="1814"/>
        <v>NFSE</v>
      </c>
      <c r="D9576" t="str">
        <f t="shared" si="1815"/>
        <v>3554</v>
      </c>
      <c r="E9576" t="str">
        <f t="shared" si="1811"/>
        <v>1</v>
      </c>
      <c r="F9576" t="str">
        <f t="shared" si="1812"/>
        <v>COM</v>
      </c>
      <c r="G9576" t="str">
        <f t="shared" si="1816"/>
        <v>FARMÁCIA INDIANA LJ 1 (10126)</v>
      </c>
      <c r="H9576" t="s">
        <v>2743</v>
      </c>
      <c r="I9576" t="str">
        <f t="shared" si="1817"/>
        <v>05/11/2025</v>
      </c>
      <c r="J9576" t="str">
        <f t="shared" si="1818"/>
        <v>24/10/2025</v>
      </c>
      <c r="K9576">
        <v>45967</v>
      </c>
      <c r="N9576">
        <v>303</v>
      </c>
      <c r="O9576" t="s">
        <v>69</v>
      </c>
      <c r="Q9576">
        <v>3069.27</v>
      </c>
      <c r="R9576" t="str">
        <f>"FARMÁCIA INDIANA LJ 110 (10048)"</f>
        <v>FARMÁCIA INDIANA LJ 110 (10048)</v>
      </c>
      <c r="S9576" t="s">
        <v>70</v>
      </c>
      <c r="T9576">
        <v>21839</v>
      </c>
      <c r="U9576">
        <v>24183</v>
      </c>
      <c r="V9576" t="s">
        <v>77</v>
      </c>
    </row>
    <row r="9577" spans="1:22">
      <c r="A9577" t="str">
        <f t="shared" si="1819"/>
        <v>06/11/2025</v>
      </c>
      <c r="B9577" t="str">
        <f t="shared" si="1813"/>
        <v>ENTRADA</v>
      </c>
      <c r="C9577" t="str">
        <f t="shared" si="1814"/>
        <v>NFSE</v>
      </c>
      <c r="D9577" t="str">
        <f t="shared" si="1815"/>
        <v>3554</v>
      </c>
      <c r="E9577" t="str">
        <f t="shared" si="1811"/>
        <v>1</v>
      </c>
      <c r="F9577" t="str">
        <f t="shared" si="1812"/>
        <v>COM</v>
      </c>
      <c r="G9577" t="str">
        <f t="shared" si="1816"/>
        <v>FARMÁCIA INDIANA LJ 1 (10126)</v>
      </c>
      <c r="H9577" t="s">
        <v>2743</v>
      </c>
      <c r="I9577" t="str">
        <f t="shared" si="1817"/>
        <v>05/11/2025</v>
      </c>
      <c r="J9577" t="str">
        <f t="shared" si="1818"/>
        <v>24/10/2025</v>
      </c>
      <c r="K9577">
        <v>45967</v>
      </c>
      <c r="N9577">
        <v>303</v>
      </c>
      <c r="O9577" t="s">
        <v>69</v>
      </c>
      <c r="Q9577">
        <v>594.04999999999995</v>
      </c>
      <c r="R9577" t="str">
        <f>"FARMÁCIA INDIANA LJ 111 (10049)"</f>
        <v>FARMÁCIA INDIANA LJ 111 (10049)</v>
      </c>
      <c r="S9577" t="s">
        <v>70</v>
      </c>
      <c r="T9577">
        <v>21839</v>
      </c>
      <c r="U9577">
        <v>24183</v>
      </c>
      <c r="V9577" t="s">
        <v>77</v>
      </c>
    </row>
    <row r="9578" spans="1:22">
      <c r="A9578" t="str">
        <f t="shared" si="1819"/>
        <v>06/11/2025</v>
      </c>
      <c r="B9578" t="str">
        <f t="shared" si="1813"/>
        <v>ENTRADA</v>
      </c>
      <c r="C9578" t="str">
        <f t="shared" si="1814"/>
        <v>NFSE</v>
      </c>
      <c r="D9578" t="str">
        <f t="shared" si="1815"/>
        <v>3554</v>
      </c>
      <c r="E9578" t="str">
        <f t="shared" si="1811"/>
        <v>1</v>
      </c>
      <c r="F9578" t="str">
        <f t="shared" si="1812"/>
        <v>COM</v>
      </c>
      <c r="G9578" t="str">
        <f t="shared" si="1816"/>
        <v>FARMÁCIA INDIANA LJ 1 (10126)</v>
      </c>
      <c r="H9578" t="s">
        <v>2743</v>
      </c>
      <c r="I9578" t="str">
        <f t="shared" si="1817"/>
        <v>05/11/2025</v>
      </c>
      <c r="J9578" t="str">
        <f t="shared" si="1818"/>
        <v>24/10/2025</v>
      </c>
      <c r="K9578">
        <v>45967</v>
      </c>
      <c r="N9578">
        <v>303</v>
      </c>
      <c r="O9578" t="s">
        <v>69</v>
      </c>
      <c r="Q9578">
        <v>849.82</v>
      </c>
      <c r="R9578" t="str">
        <f>"FARMÁCIA INDIANA LJ 112 (10050)"</f>
        <v>FARMÁCIA INDIANA LJ 112 (10050)</v>
      </c>
      <c r="S9578" t="s">
        <v>70</v>
      </c>
      <c r="T9578">
        <v>21839</v>
      </c>
      <c r="U9578">
        <v>24183</v>
      </c>
      <c r="V9578" t="s">
        <v>77</v>
      </c>
    </row>
    <row r="9579" spans="1:22">
      <c r="A9579" t="str">
        <f t="shared" si="1819"/>
        <v>06/11/2025</v>
      </c>
      <c r="B9579" t="str">
        <f t="shared" si="1813"/>
        <v>ENTRADA</v>
      </c>
      <c r="C9579" t="str">
        <f t="shared" si="1814"/>
        <v>NFSE</v>
      </c>
      <c r="D9579" t="str">
        <f t="shared" si="1815"/>
        <v>3554</v>
      </c>
      <c r="E9579" t="str">
        <f t="shared" si="1811"/>
        <v>1</v>
      </c>
      <c r="F9579" t="str">
        <f t="shared" si="1812"/>
        <v>COM</v>
      </c>
      <c r="G9579" t="str">
        <f t="shared" si="1816"/>
        <v>FARMÁCIA INDIANA LJ 1 (10126)</v>
      </c>
      <c r="H9579" t="s">
        <v>2743</v>
      </c>
      <c r="I9579" t="str">
        <f t="shared" si="1817"/>
        <v>05/11/2025</v>
      </c>
      <c r="J9579" t="str">
        <f t="shared" si="1818"/>
        <v>24/10/2025</v>
      </c>
      <c r="K9579">
        <v>45967</v>
      </c>
      <c r="N9579">
        <v>303</v>
      </c>
      <c r="O9579" t="s">
        <v>69</v>
      </c>
      <c r="Q9579">
        <v>849.82</v>
      </c>
      <c r="R9579" t="str">
        <f>"FARMÁCIA INDIANA LJ 116 (10051)"</f>
        <v>FARMÁCIA INDIANA LJ 116 (10051)</v>
      </c>
      <c r="S9579" t="s">
        <v>70</v>
      </c>
      <c r="T9579">
        <v>21839</v>
      </c>
      <c r="U9579">
        <v>24183</v>
      </c>
      <c r="V9579" t="s">
        <v>77</v>
      </c>
    </row>
    <row r="9580" spans="1:22">
      <c r="A9580" t="str">
        <f t="shared" si="1819"/>
        <v>06/11/2025</v>
      </c>
      <c r="B9580" t="str">
        <f t="shared" si="1813"/>
        <v>ENTRADA</v>
      </c>
      <c r="C9580" t="str">
        <f t="shared" si="1814"/>
        <v>NFSE</v>
      </c>
      <c r="D9580" t="str">
        <f t="shared" si="1815"/>
        <v>3554</v>
      </c>
      <c r="E9580" t="str">
        <f t="shared" si="1811"/>
        <v>1</v>
      </c>
      <c r="F9580" t="str">
        <f t="shared" si="1812"/>
        <v>COM</v>
      </c>
      <c r="G9580" t="str">
        <f t="shared" si="1816"/>
        <v>FARMÁCIA INDIANA LJ 1 (10126)</v>
      </c>
      <c r="H9580" t="s">
        <v>2743</v>
      </c>
      <c r="I9580" t="str">
        <f t="shared" si="1817"/>
        <v>05/11/2025</v>
      </c>
      <c r="J9580" t="str">
        <f t="shared" si="1818"/>
        <v>24/10/2025</v>
      </c>
      <c r="K9580">
        <v>45967</v>
      </c>
      <c r="N9580">
        <v>303</v>
      </c>
      <c r="O9580" t="s">
        <v>69</v>
      </c>
      <c r="Q9580">
        <v>825.07</v>
      </c>
      <c r="R9580" t="str">
        <f>"FARMÁCIA INDIANA LJ 118 (10052)"</f>
        <v>FARMÁCIA INDIANA LJ 118 (10052)</v>
      </c>
      <c r="S9580" t="s">
        <v>70</v>
      </c>
      <c r="T9580">
        <v>21839</v>
      </c>
      <c r="U9580">
        <v>24183</v>
      </c>
      <c r="V9580" t="s">
        <v>77</v>
      </c>
    </row>
    <row r="9581" spans="1:22">
      <c r="A9581" t="str">
        <f t="shared" si="1819"/>
        <v>06/11/2025</v>
      </c>
      <c r="B9581" t="str">
        <f t="shared" si="1813"/>
        <v>ENTRADA</v>
      </c>
      <c r="C9581" t="str">
        <f t="shared" si="1814"/>
        <v>NFSE</v>
      </c>
      <c r="D9581" t="str">
        <f t="shared" si="1815"/>
        <v>3554</v>
      </c>
      <c r="E9581" t="str">
        <f t="shared" si="1811"/>
        <v>1</v>
      </c>
      <c r="F9581" t="str">
        <f t="shared" si="1812"/>
        <v>COM</v>
      </c>
      <c r="G9581" t="str">
        <f t="shared" si="1816"/>
        <v>FARMÁCIA INDIANA LJ 1 (10126)</v>
      </c>
      <c r="H9581" t="s">
        <v>2743</v>
      </c>
      <c r="I9581" t="str">
        <f t="shared" si="1817"/>
        <v>05/11/2025</v>
      </c>
      <c r="J9581" t="str">
        <f t="shared" si="1818"/>
        <v>24/10/2025</v>
      </c>
      <c r="K9581">
        <v>45967</v>
      </c>
      <c r="N9581">
        <v>303</v>
      </c>
      <c r="O9581" t="s">
        <v>69</v>
      </c>
      <c r="Q9581">
        <v>849.82</v>
      </c>
      <c r="R9581" t="str">
        <f>"FARMÁCIA INDIANA LJ 121 (10054)"</f>
        <v>FARMÁCIA INDIANA LJ 121 (10054)</v>
      </c>
      <c r="S9581" t="s">
        <v>70</v>
      </c>
      <c r="T9581">
        <v>21839</v>
      </c>
      <c r="U9581">
        <v>24183</v>
      </c>
      <c r="V9581" t="s">
        <v>77</v>
      </c>
    </row>
    <row r="9582" spans="1:22">
      <c r="A9582" t="str">
        <f t="shared" si="1819"/>
        <v>06/11/2025</v>
      </c>
      <c r="B9582" t="str">
        <f t="shared" si="1813"/>
        <v>ENTRADA</v>
      </c>
      <c r="C9582" t="str">
        <f t="shared" si="1814"/>
        <v>NFSE</v>
      </c>
      <c r="D9582" t="str">
        <f t="shared" si="1815"/>
        <v>3554</v>
      </c>
      <c r="E9582" t="str">
        <f t="shared" si="1811"/>
        <v>1</v>
      </c>
      <c r="F9582" t="str">
        <f t="shared" si="1812"/>
        <v>COM</v>
      </c>
      <c r="G9582" t="str">
        <f t="shared" si="1816"/>
        <v>FARMÁCIA INDIANA LJ 1 (10126)</v>
      </c>
      <c r="H9582" t="s">
        <v>2743</v>
      </c>
      <c r="I9582" t="str">
        <f t="shared" si="1817"/>
        <v>05/11/2025</v>
      </c>
      <c r="J9582" t="str">
        <f t="shared" si="1818"/>
        <v>24/10/2025</v>
      </c>
      <c r="K9582">
        <v>45967</v>
      </c>
      <c r="N9582">
        <v>303</v>
      </c>
      <c r="O9582" t="s">
        <v>69</v>
      </c>
      <c r="Q9582">
        <v>849.82</v>
      </c>
      <c r="R9582" t="str">
        <f>"FARMÁCIA INDIANA LJ 128 (10057)"</f>
        <v>FARMÁCIA INDIANA LJ 128 (10057)</v>
      </c>
      <c r="S9582" t="s">
        <v>70</v>
      </c>
      <c r="T9582">
        <v>21839</v>
      </c>
      <c r="U9582">
        <v>24183</v>
      </c>
      <c r="V9582" t="s">
        <v>77</v>
      </c>
    </row>
    <row r="9583" spans="1:22">
      <c r="A9583" t="str">
        <f t="shared" si="1819"/>
        <v>06/11/2025</v>
      </c>
      <c r="B9583" t="str">
        <f t="shared" si="1813"/>
        <v>ENTRADA</v>
      </c>
      <c r="C9583" t="str">
        <f t="shared" si="1814"/>
        <v>NFSE</v>
      </c>
      <c r="D9583" t="str">
        <f t="shared" si="1815"/>
        <v>3554</v>
      </c>
      <c r="E9583" t="str">
        <f t="shared" si="1811"/>
        <v>1</v>
      </c>
      <c r="F9583" t="str">
        <f t="shared" si="1812"/>
        <v>COM</v>
      </c>
      <c r="G9583" t="str">
        <f t="shared" si="1816"/>
        <v>FARMÁCIA INDIANA LJ 1 (10126)</v>
      </c>
      <c r="H9583" t="s">
        <v>2743</v>
      </c>
      <c r="I9583" t="str">
        <f t="shared" si="1817"/>
        <v>05/11/2025</v>
      </c>
      <c r="J9583" t="str">
        <f t="shared" si="1818"/>
        <v>24/10/2025</v>
      </c>
      <c r="K9583">
        <v>45967</v>
      </c>
      <c r="N9583">
        <v>303</v>
      </c>
      <c r="O9583" t="s">
        <v>69</v>
      </c>
      <c r="Q9583">
        <v>313.52999999999997</v>
      </c>
      <c r="R9583" t="str">
        <f>"FARMÁCIA INDIANA LJ 140 (10064)"</f>
        <v>FARMÁCIA INDIANA LJ 140 (10064)</v>
      </c>
      <c r="S9583" t="s">
        <v>70</v>
      </c>
      <c r="T9583">
        <v>21839</v>
      </c>
      <c r="U9583">
        <v>24183</v>
      </c>
      <c r="V9583" t="s">
        <v>77</v>
      </c>
    </row>
    <row r="9584" spans="1:22">
      <c r="A9584" t="str">
        <f t="shared" si="1819"/>
        <v>06/11/2025</v>
      </c>
      <c r="B9584" t="str">
        <f t="shared" si="1813"/>
        <v>ENTRADA</v>
      </c>
      <c r="C9584" t="str">
        <f t="shared" si="1814"/>
        <v>NFSE</v>
      </c>
      <c r="D9584" t="str">
        <f t="shared" si="1815"/>
        <v>3554</v>
      </c>
      <c r="E9584" t="str">
        <f t="shared" si="1811"/>
        <v>1</v>
      </c>
      <c r="F9584" t="str">
        <f t="shared" si="1812"/>
        <v>COM</v>
      </c>
      <c r="G9584" t="str">
        <f t="shared" si="1816"/>
        <v>FARMÁCIA INDIANA LJ 1 (10126)</v>
      </c>
      <c r="H9584" t="s">
        <v>2743</v>
      </c>
      <c r="I9584" t="str">
        <f t="shared" si="1817"/>
        <v>05/11/2025</v>
      </c>
      <c r="J9584" t="str">
        <f t="shared" si="1818"/>
        <v>24/10/2025</v>
      </c>
      <c r="K9584">
        <v>45967</v>
      </c>
      <c r="N9584">
        <v>303</v>
      </c>
      <c r="O9584" t="s">
        <v>69</v>
      </c>
      <c r="Q9584">
        <v>107.26</v>
      </c>
      <c r="R9584" t="str">
        <f>"FARMÁCIA INDIANA LJ 141 (10065)"</f>
        <v>FARMÁCIA INDIANA LJ 141 (10065)</v>
      </c>
      <c r="S9584" t="s">
        <v>70</v>
      </c>
      <c r="T9584">
        <v>21839</v>
      </c>
      <c r="U9584">
        <v>24183</v>
      </c>
      <c r="V9584" t="s">
        <v>77</v>
      </c>
    </row>
    <row r="9585" spans="1:22">
      <c r="A9585" t="str">
        <f t="shared" si="1819"/>
        <v>06/11/2025</v>
      </c>
      <c r="B9585" t="str">
        <f t="shared" si="1813"/>
        <v>ENTRADA</v>
      </c>
      <c r="C9585" t="str">
        <f t="shared" si="1814"/>
        <v>NFSE</v>
      </c>
      <c r="D9585" t="str">
        <f t="shared" si="1815"/>
        <v>3554</v>
      </c>
      <c r="E9585" t="str">
        <f t="shared" si="1811"/>
        <v>1</v>
      </c>
      <c r="F9585" t="str">
        <f t="shared" si="1812"/>
        <v>COM</v>
      </c>
      <c r="G9585" t="str">
        <f t="shared" si="1816"/>
        <v>FARMÁCIA INDIANA LJ 1 (10126)</v>
      </c>
      <c r="H9585" t="s">
        <v>2743</v>
      </c>
      <c r="I9585" t="str">
        <f t="shared" si="1817"/>
        <v>05/11/2025</v>
      </c>
      <c r="J9585" t="str">
        <f t="shared" si="1818"/>
        <v>24/10/2025</v>
      </c>
      <c r="K9585">
        <v>45967</v>
      </c>
      <c r="N9585">
        <v>303</v>
      </c>
      <c r="O9585" t="s">
        <v>69</v>
      </c>
      <c r="Q9585">
        <v>4537.8900000000003</v>
      </c>
      <c r="R9585" t="str">
        <f>"FARMÁCIA INDIANA LJ 142 (10066)"</f>
        <v>FARMÁCIA INDIANA LJ 142 (10066)</v>
      </c>
      <c r="S9585" t="s">
        <v>70</v>
      </c>
      <c r="T9585">
        <v>21839</v>
      </c>
      <c r="U9585">
        <v>24183</v>
      </c>
      <c r="V9585" t="s">
        <v>77</v>
      </c>
    </row>
    <row r="9586" spans="1:22">
      <c r="A9586" t="str">
        <f t="shared" si="1819"/>
        <v>06/11/2025</v>
      </c>
      <c r="B9586" t="str">
        <f t="shared" si="1813"/>
        <v>ENTRADA</v>
      </c>
      <c r="C9586" t="str">
        <f t="shared" si="1814"/>
        <v>NFSE</v>
      </c>
      <c r="D9586" t="str">
        <f t="shared" si="1815"/>
        <v>3554</v>
      </c>
      <c r="E9586" t="str">
        <f t="shared" si="1811"/>
        <v>1</v>
      </c>
      <c r="F9586" t="str">
        <f t="shared" si="1812"/>
        <v>COM</v>
      </c>
      <c r="G9586" t="str">
        <f t="shared" si="1816"/>
        <v>FARMÁCIA INDIANA LJ 1 (10126)</v>
      </c>
      <c r="H9586" t="s">
        <v>2743</v>
      </c>
      <c r="I9586" t="str">
        <f t="shared" si="1817"/>
        <v>05/11/2025</v>
      </c>
      <c r="J9586" t="str">
        <f t="shared" si="1818"/>
        <v>24/10/2025</v>
      </c>
      <c r="K9586">
        <v>45967</v>
      </c>
      <c r="N9586">
        <v>303</v>
      </c>
      <c r="O9586" t="s">
        <v>69</v>
      </c>
      <c r="Q9586">
        <v>602.29999999999995</v>
      </c>
      <c r="R9586" t="str">
        <f>"FARMÁCIA INDIANA LJ 143 (10067)"</f>
        <v>FARMÁCIA INDIANA LJ 143 (10067)</v>
      </c>
      <c r="S9586" t="s">
        <v>70</v>
      </c>
      <c r="T9586">
        <v>21839</v>
      </c>
      <c r="U9586">
        <v>24183</v>
      </c>
      <c r="V9586" t="s">
        <v>77</v>
      </c>
    </row>
    <row r="9587" spans="1:22">
      <c r="A9587" t="str">
        <f t="shared" si="1819"/>
        <v>06/11/2025</v>
      </c>
      <c r="B9587" t="str">
        <f t="shared" si="1813"/>
        <v>ENTRADA</v>
      </c>
      <c r="C9587" t="str">
        <f t="shared" si="1814"/>
        <v>NFSE</v>
      </c>
      <c r="D9587" t="str">
        <f t="shared" si="1815"/>
        <v>3554</v>
      </c>
      <c r="E9587" t="str">
        <f t="shared" si="1811"/>
        <v>1</v>
      </c>
      <c r="F9587" t="str">
        <f t="shared" si="1812"/>
        <v>COM</v>
      </c>
      <c r="G9587" t="str">
        <f t="shared" si="1816"/>
        <v>FARMÁCIA INDIANA LJ 1 (10126)</v>
      </c>
      <c r="H9587" t="s">
        <v>2743</v>
      </c>
      <c r="I9587" t="str">
        <f t="shared" si="1817"/>
        <v>05/11/2025</v>
      </c>
      <c r="J9587" t="str">
        <f t="shared" si="1818"/>
        <v>24/10/2025</v>
      </c>
      <c r="K9587">
        <v>45967</v>
      </c>
      <c r="N9587">
        <v>303</v>
      </c>
      <c r="O9587" t="s">
        <v>69</v>
      </c>
      <c r="Q9587">
        <v>2376.21</v>
      </c>
      <c r="R9587" t="str">
        <f>"FARMÁCIA INDIANA LJ 152 (10069)"</f>
        <v>FARMÁCIA INDIANA LJ 152 (10069)</v>
      </c>
      <c r="S9587" t="s">
        <v>70</v>
      </c>
      <c r="T9587">
        <v>21839</v>
      </c>
      <c r="U9587">
        <v>24183</v>
      </c>
      <c r="V9587" t="s">
        <v>77</v>
      </c>
    </row>
    <row r="9588" spans="1:22">
      <c r="A9588" t="str">
        <f t="shared" si="1819"/>
        <v>06/11/2025</v>
      </c>
      <c r="B9588" t="str">
        <f t="shared" si="1813"/>
        <v>ENTRADA</v>
      </c>
      <c r="C9588" t="str">
        <f t="shared" si="1814"/>
        <v>NFSE</v>
      </c>
      <c r="D9588" t="str">
        <f t="shared" si="1815"/>
        <v>3554</v>
      </c>
      <c r="E9588" t="str">
        <f t="shared" si="1811"/>
        <v>1</v>
      </c>
      <c r="F9588" t="str">
        <f t="shared" si="1812"/>
        <v>COM</v>
      </c>
      <c r="G9588" t="str">
        <f t="shared" si="1816"/>
        <v>FARMÁCIA INDIANA LJ 1 (10126)</v>
      </c>
      <c r="H9588" t="s">
        <v>2743</v>
      </c>
      <c r="I9588" t="str">
        <f t="shared" si="1817"/>
        <v>05/11/2025</v>
      </c>
      <c r="J9588" t="str">
        <f t="shared" si="1818"/>
        <v>24/10/2025</v>
      </c>
      <c r="K9588">
        <v>45967</v>
      </c>
      <c r="N9588">
        <v>303</v>
      </c>
      <c r="O9588" t="s">
        <v>69</v>
      </c>
      <c r="Q9588">
        <v>214.52</v>
      </c>
      <c r="R9588" t="str">
        <f>"FARMÁCIA INDIANA LJ 154 (10070)"</f>
        <v>FARMÁCIA INDIANA LJ 154 (10070)</v>
      </c>
      <c r="S9588" t="s">
        <v>70</v>
      </c>
      <c r="T9588">
        <v>21839</v>
      </c>
      <c r="U9588">
        <v>24183</v>
      </c>
      <c r="V9588" t="s">
        <v>77</v>
      </c>
    </row>
    <row r="9589" spans="1:22">
      <c r="A9589" t="str">
        <f t="shared" si="1819"/>
        <v>06/11/2025</v>
      </c>
      <c r="B9589" t="str">
        <f t="shared" si="1813"/>
        <v>ENTRADA</v>
      </c>
      <c r="C9589" t="str">
        <f t="shared" si="1814"/>
        <v>NFSE</v>
      </c>
      <c r="D9589" t="str">
        <f t="shared" si="1815"/>
        <v>3554</v>
      </c>
      <c r="E9589" t="str">
        <f t="shared" ref="E9589:E9606" si="1820">"1"</f>
        <v>1</v>
      </c>
      <c r="F9589" t="str">
        <f t="shared" ref="F9589:F9606" si="1821">"COM"</f>
        <v>COM</v>
      </c>
      <c r="G9589" t="str">
        <f t="shared" si="1816"/>
        <v>FARMÁCIA INDIANA LJ 1 (10126)</v>
      </c>
      <c r="H9589" t="s">
        <v>2743</v>
      </c>
      <c r="I9589" t="str">
        <f t="shared" si="1817"/>
        <v>05/11/2025</v>
      </c>
      <c r="J9589" t="str">
        <f t="shared" si="1818"/>
        <v>24/10/2025</v>
      </c>
      <c r="K9589">
        <v>45967</v>
      </c>
      <c r="N9589">
        <v>303</v>
      </c>
      <c r="O9589" t="s">
        <v>69</v>
      </c>
      <c r="Q9589">
        <v>1823.41</v>
      </c>
      <c r="R9589" t="str">
        <f>"FARMÁCIA INDIANA LJ 171 (10074)"</f>
        <v>FARMÁCIA INDIANA LJ 171 (10074)</v>
      </c>
      <c r="S9589" t="s">
        <v>70</v>
      </c>
      <c r="T9589">
        <v>21839</v>
      </c>
      <c r="U9589">
        <v>24183</v>
      </c>
      <c r="V9589" t="s">
        <v>77</v>
      </c>
    </row>
    <row r="9590" spans="1:22">
      <c r="A9590" t="str">
        <f t="shared" si="1819"/>
        <v>06/11/2025</v>
      </c>
      <c r="B9590" t="str">
        <f t="shared" si="1813"/>
        <v>ENTRADA</v>
      </c>
      <c r="C9590" t="str">
        <f t="shared" si="1814"/>
        <v>NFSE</v>
      </c>
      <c r="D9590" t="str">
        <f t="shared" si="1815"/>
        <v>3554</v>
      </c>
      <c r="E9590" t="str">
        <f t="shared" si="1820"/>
        <v>1</v>
      </c>
      <c r="F9590" t="str">
        <f t="shared" si="1821"/>
        <v>COM</v>
      </c>
      <c r="G9590" t="str">
        <f t="shared" si="1816"/>
        <v>FARMÁCIA INDIANA LJ 1 (10126)</v>
      </c>
      <c r="H9590" t="s">
        <v>2743</v>
      </c>
      <c r="I9590" t="str">
        <f t="shared" si="1817"/>
        <v>05/11/2025</v>
      </c>
      <c r="J9590" t="str">
        <f t="shared" si="1818"/>
        <v>24/10/2025</v>
      </c>
      <c r="K9590">
        <v>45967</v>
      </c>
      <c r="N9590">
        <v>303</v>
      </c>
      <c r="O9590" t="s">
        <v>69</v>
      </c>
      <c r="Q9590">
        <v>701.31</v>
      </c>
      <c r="R9590" t="str">
        <f>"FARMÁCIA INDIANA LJ 175 (10076)"</f>
        <v>FARMÁCIA INDIANA LJ 175 (10076)</v>
      </c>
      <c r="S9590" t="s">
        <v>70</v>
      </c>
      <c r="T9590">
        <v>21839</v>
      </c>
      <c r="U9590">
        <v>24183</v>
      </c>
      <c r="V9590" t="s">
        <v>77</v>
      </c>
    </row>
    <row r="9591" spans="1:22">
      <c r="A9591" t="str">
        <f t="shared" si="1819"/>
        <v>06/11/2025</v>
      </c>
      <c r="B9591" t="str">
        <f t="shared" si="1813"/>
        <v>ENTRADA</v>
      </c>
      <c r="C9591" t="str">
        <f t="shared" si="1814"/>
        <v>NFSE</v>
      </c>
      <c r="D9591" t="str">
        <f t="shared" si="1815"/>
        <v>3554</v>
      </c>
      <c r="E9591" t="str">
        <f t="shared" si="1820"/>
        <v>1</v>
      </c>
      <c r="F9591" t="str">
        <f t="shared" si="1821"/>
        <v>COM</v>
      </c>
      <c r="G9591" t="str">
        <f t="shared" si="1816"/>
        <v>FARMÁCIA INDIANA LJ 1 (10126)</v>
      </c>
      <c r="H9591" t="s">
        <v>2743</v>
      </c>
      <c r="I9591" t="str">
        <f t="shared" si="1817"/>
        <v>05/11/2025</v>
      </c>
      <c r="J9591" t="str">
        <f t="shared" si="1818"/>
        <v>24/10/2025</v>
      </c>
      <c r="K9591">
        <v>45967</v>
      </c>
      <c r="N9591">
        <v>303</v>
      </c>
      <c r="O9591" t="s">
        <v>69</v>
      </c>
      <c r="Q9591">
        <v>1179.8499999999999</v>
      </c>
      <c r="R9591" t="str">
        <f>"FARMÁCIA INDIANA LJ 178 (10077)"</f>
        <v>FARMÁCIA INDIANA LJ 178 (10077)</v>
      </c>
      <c r="S9591" t="s">
        <v>70</v>
      </c>
      <c r="T9591">
        <v>21839</v>
      </c>
      <c r="U9591">
        <v>24183</v>
      </c>
      <c r="V9591" t="s">
        <v>77</v>
      </c>
    </row>
    <row r="9592" spans="1:22">
      <c r="A9592" t="str">
        <f t="shared" si="1819"/>
        <v>06/11/2025</v>
      </c>
      <c r="B9592" t="str">
        <f t="shared" si="1813"/>
        <v>ENTRADA</v>
      </c>
      <c r="C9592" t="str">
        <f t="shared" si="1814"/>
        <v>NFSE</v>
      </c>
      <c r="D9592" t="str">
        <f t="shared" si="1815"/>
        <v>3554</v>
      </c>
      <c r="E9592" t="str">
        <f t="shared" si="1820"/>
        <v>1</v>
      </c>
      <c r="F9592" t="str">
        <f t="shared" si="1821"/>
        <v>COM</v>
      </c>
      <c r="G9592" t="str">
        <f t="shared" si="1816"/>
        <v>FARMÁCIA INDIANA LJ 1 (10126)</v>
      </c>
      <c r="H9592" t="s">
        <v>2743</v>
      </c>
      <c r="I9592" t="str">
        <f t="shared" si="1817"/>
        <v>05/11/2025</v>
      </c>
      <c r="J9592" t="str">
        <f t="shared" si="1818"/>
        <v>24/10/2025</v>
      </c>
      <c r="K9592">
        <v>45967</v>
      </c>
      <c r="N9592">
        <v>303</v>
      </c>
      <c r="O9592" t="s">
        <v>69</v>
      </c>
      <c r="Q9592">
        <v>420.79</v>
      </c>
      <c r="R9592" t="str">
        <f>"FARMÁCIA INDIANA LJ 182 (10079)"</f>
        <v>FARMÁCIA INDIANA LJ 182 (10079)</v>
      </c>
      <c r="S9592" t="s">
        <v>70</v>
      </c>
      <c r="T9592">
        <v>21839</v>
      </c>
      <c r="U9592">
        <v>24183</v>
      </c>
      <c r="V9592" t="s">
        <v>77</v>
      </c>
    </row>
    <row r="9593" spans="1:22">
      <c r="A9593" t="str">
        <f t="shared" si="1819"/>
        <v>06/11/2025</v>
      </c>
      <c r="B9593" t="str">
        <f t="shared" si="1813"/>
        <v>ENTRADA</v>
      </c>
      <c r="C9593" t="str">
        <f t="shared" si="1814"/>
        <v>NFSE</v>
      </c>
      <c r="D9593" t="str">
        <f t="shared" si="1815"/>
        <v>3554</v>
      </c>
      <c r="E9593" t="str">
        <f t="shared" si="1820"/>
        <v>1</v>
      </c>
      <c r="F9593" t="str">
        <f t="shared" si="1821"/>
        <v>COM</v>
      </c>
      <c r="G9593" t="str">
        <f t="shared" si="1816"/>
        <v>FARMÁCIA INDIANA LJ 1 (10126)</v>
      </c>
      <c r="H9593" t="s">
        <v>2743</v>
      </c>
      <c r="I9593" t="str">
        <f t="shared" si="1817"/>
        <v>05/11/2025</v>
      </c>
      <c r="J9593" t="str">
        <f t="shared" si="1818"/>
        <v>24/10/2025</v>
      </c>
      <c r="K9593">
        <v>45967</v>
      </c>
      <c r="N9593">
        <v>303</v>
      </c>
      <c r="O9593" t="s">
        <v>69</v>
      </c>
      <c r="Q9593">
        <v>363.03</v>
      </c>
      <c r="R9593" t="str">
        <f>"FARMÁCIA INDIANA LJ 184 (10080)"</f>
        <v>FARMÁCIA INDIANA LJ 184 (10080)</v>
      </c>
      <c r="S9593" t="s">
        <v>70</v>
      </c>
      <c r="T9593">
        <v>21839</v>
      </c>
      <c r="U9593">
        <v>24183</v>
      </c>
      <c r="V9593" t="s">
        <v>77</v>
      </c>
    </row>
    <row r="9594" spans="1:22">
      <c r="A9594" t="str">
        <f t="shared" si="1819"/>
        <v>06/11/2025</v>
      </c>
      <c r="B9594" t="str">
        <f t="shared" si="1813"/>
        <v>ENTRADA</v>
      </c>
      <c r="C9594" t="str">
        <f t="shared" si="1814"/>
        <v>NFSE</v>
      </c>
      <c r="D9594" t="str">
        <f t="shared" si="1815"/>
        <v>3554</v>
      </c>
      <c r="E9594" t="str">
        <f t="shared" si="1820"/>
        <v>1</v>
      </c>
      <c r="F9594" t="str">
        <f t="shared" si="1821"/>
        <v>COM</v>
      </c>
      <c r="G9594" t="str">
        <f t="shared" si="1816"/>
        <v>FARMÁCIA INDIANA LJ 1 (10126)</v>
      </c>
      <c r="H9594" t="s">
        <v>2743</v>
      </c>
      <c r="I9594" t="str">
        <f t="shared" si="1817"/>
        <v>05/11/2025</v>
      </c>
      <c r="J9594" t="str">
        <f t="shared" si="1818"/>
        <v>24/10/2025</v>
      </c>
      <c r="K9594">
        <v>45967</v>
      </c>
      <c r="N9594">
        <v>303</v>
      </c>
      <c r="O9594" t="s">
        <v>69</v>
      </c>
      <c r="Q9594">
        <v>420.79</v>
      </c>
      <c r="R9594" t="str">
        <f>"FARMÁCIA INDIANA LJ 186 (10081)"</f>
        <v>FARMÁCIA INDIANA LJ 186 (10081)</v>
      </c>
      <c r="S9594" t="s">
        <v>70</v>
      </c>
      <c r="T9594">
        <v>21839</v>
      </c>
      <c r="U9594">
        <v>24183</v>
      </c>
      <c r="V9594" t="s">
        <v>77</v>
      </c>
    </row>
    <row r="9595" spans="1:22">
      <c r="A9595" t="str">
        <f t="shared" si="1819"/>
        <v>06/11/2025</v>
      </c>
      <c r="B9595" t="str">
        <f t="shared" si="1813"/>
        <v>ENTRADA</v>
      </c>
      <c r="C9595" t="str">
        <f t="shared" si="1814"/>
        <v>NFSE</v>
      </c>
      <c r="D9595" t="str">
        <f t="shared" si="1815"/>
        <v>3554</v>
      </c>
      <c r="E9595" t="str">
        <f t="shared" si="1820"/>
        <v>1</v>
      </c>
      <c r="F9595" t="str">
        <f t="shared" si="1821"/>
        <v>COM</v>
      </c>
      <c r="G9595" t="str">
        <f t="shared" si="1816"/>
        <v>FARMÁCIA INDIANA LJ 1 (10126)</v>
      </c>
      <c r="H9595" t="s">
        <v>2743</v>
      </c>
      <c r="I9595" t="str">
        <f t="shared" si="1817"/>
        <v>05/11/2025</v>
      </c>
      <c r="J9595" t="str">
        <f t="shared" si="1818"/>
        <v>24/10/2025</v>
      </c>
      <c r="K9595">
        <v>45967</v>
      </c>
      <c r="N9595">
        <v>303</v>
      </c>
      <c r="O9595" t="s">
        <v>69</v>
      </c>
      <c r="Q9595">
        <v>866.32</v>
      </c>
      <c r="R9595" t="str">
        <f>"FARMÁCIA INDIANA LJ 192 (10082)"</f>
        <v>FARMÁCIA INDIANA LJ 192 (10082)</v>
      </c>
      <c r="S9595" t="s">
        <v>70</v>
      </c>
      <c r="T9595">
        <v>21839</v>
      </c>
      <c r="U9595">
        <v>24183</v>
      </c>
      <c r="V9595" t="s">
        <v>77</v>
      </c>
    </row>
    <row r="9596" spans="1:22">
      <c r="A9596" t="str">
        <f t="shared" si="1819"/>
        <v>06/11/2025</v>
      </c>
      <c r="B9596" t="str">
        <f t="shared" si="1813"/>
        <v>ENTRADA</v>
      </c>
      <c r="C9596" t="str">
        <f t="shared" si="1814"/>
        <v>NFSE</v>
      </c>
      <c r="D9596" t="str">
        <f t="shared" si="1815"/>
        <v>3554</v>
      </c>
      <c r="E9596" t="str">
        <f t="shared" si="1820"/>
        <v>1</v>
      </c>
      <c r="F9596" t="str">
        <f t="shared" si="1821"/>
        <v>COM</v>
      </c>
      <c r="G9596" t="str">
        <f t="shared" si="1816"/>
        <v>FARMÁCIA INDIANA LJ 1 (10126)</v>
      </c>
      <c r="H9596" t="s">
        <v>2743</v>
      </c>
      <c r="I9596" t="str">
        <f t="shared" si="1817"/>
        <v>05/11/2025</v>
      </c>
      <c r="J9596" t="str">
        <f t="shared" si="1818"/>
        <v>24/10/2025</v>
      </c>
      <c r="K9596">
        <v>45967</v>
      </c>
      <c r="N9596">
        <v>303</v>
      </c>
      <c r="O9596" t="s">
        <v>69</v>
      </c>
      <c r="Q9596">
        <v>363.03</v>
      </c>
      <c r="R9596" t="str">
        <f>"FARMÁCIA INDIANA LJ 195 (10083)"</f>
        <v>FARMÁCIA INDIANA LJ 195 (10083)</v>
      </c>
      <c r="S9596" t="s">
        <v>70</v>
      </c>
      <c r="T9596">
        <v>21839</v>
      </c>
      <c r="U9596">
        <v>24183</v>
      </c>
      <c r="V9596" t="s">
        <v>77</v>
      </c>
    </row>
    <row r="9597" spans="1:22">
      <c r="A9597" t="str">
        <f t="shared" si="1819"/>
        <v>06/11/2025</v>
      </c>
      <c r="B9597" t="str">
        <f t="shared" si="1813"/>
        <v>ENTRADA</v>
      </c>
      <c r="C9597" t="str">
        <f t="shared" si="1814"/>
        <v>NFSE</v>
      </c>
      <c r="D9597" t="str">
        <f t="shared" si="1815"/>
        <v>3554</v>
      </c>
      <c r="E9597" t="str">
        <f t="shared" si="1820"/>
        <v>1</v>
      </c>
      <c r="F9597" t="str">
        <f t="shared" si="1821"/>
        <v>COM</v>
      </c>
      <c r="G9597" t="str">
        <f t="shared" si="1816"/>
        <v>FARMÁCIA INDIANA LJ 1 (10126)</v>
      </c>
      <c r="H9597" t="s">
        <v>2743</v>
      </c>
      <c r="I9597" t="str">
        <f t="shared" si="1817"/>
        <v>05/11/2025</v>
      </c>
      <c r="J9597" t="str">
        <f t="shared" si="1818"/>
        <v>24/10/2025</v>
      </c>
      <c r="K9597">
        <v>45967</v>
      </c>
      <c r="N9597">
        <v>303</v>
      </c>
      <c r="O9597" t="s">
        <v>69</v>
      </c>
      <c r="Q9597">
        <v>849.82</v>
      </c>
      <c r="R9597" t="str">
        <f>"FARMÁCIA INDIANA LJ 202 (10085)"</f>
        <v>FARMÁCIA INDIANA LJ 202 (10085)</v>
      </c>
      <c r="S9597" t="s">
        <v>70</v>
      </c>
      <c r="T9597">
        <v>21839</v>
      </c>
      <c r="U9597">
        <v>24183</v>
      </c>
      <c r="V9597" t="s">
        <v>77</v>
      </c>
    </row>
    <row r="9598" spans="1:22">
      <c r="A9598" t="str">
        <f t="shared" si="1819"/>
        <v>06/11/2025</v>
      </c>
      <c r="B9598" t="str">
        <f t="shared" si="1813"/>
        <v>ENTRADA</v>
      </c>
      <c r="C9598" t="str">
        <f t="shared" si="1814"/>
        <v>NFSE</v>
      </c>
      <c r="D9598" t="str">
        <f t="shared" si="1815"/>
        <v>3554</v>
      </c>
      <c r="E9598" t="str">
        <f t="shared" si="1820"/>
        <v>1</v>
      </c>
      <c r="F9598" t="str">
        <f t="shared" si="1821"/>
        <v>COM</v>
      </c>
      <c r="G9598" t="str">
        <f t="shared" si="1816"/>
        <v>FARMÁCIA INDIANA LJ 1 (10126)</v>
      </c>
      <c r="H9598" t="s">
        <v>2743</v>
      </c>
      <c r="I9598" t="str">
        <f t="shared" si="1817"/>
        <v>05/11/2025</v>
      </c>
      <c r="J9598" t="str">
        <f t="shared" si="1818"/>
        <v>24/10/2025</v>
      </c>
      <c r="K9598">
        <v>45967</v>
      </c>
      <c r="N9598">
        <v>303</v>
      </c>
      <c r="O9598" t="s">
        <v>69</v>
      </c>
      <c r="Q9598">
        <v>717.81</v>
      </c>
      <c r="R9598" t="str">
        <f>"FARMÁCIA INDIANA LJ 204 (10087)"</f>
        <v>FARMÁCIA INDIANA LJ 204 (10087)</v>
      </c>
      <c r="S9598" t="s">
        <v>70</v>
      </c>
      <c r="T9598">
        <v>21839</v>
      </c>
      <c r="U9598">
        <v>24183</v>
      </c>
      <c r="V9598" t="s">
        <v>77</v>
      </c>
    </row>
    <row r="9599" spans="1:22">
      <c r="A9599" t="str">
        <f t="shared" si="1819"/>
        <v>06/11/2025</v>
      </c>
      <c r="B9599" t="str">
        <f t="shared" si="1813"/>
        <v>ENTRADA</v>
      </c>
      <c r="C9599" t="str">
        <f t="shared" si="1814"/>
        <v>NFSE</v>
      </c>
      <c r="D9599" t="str">
        <f t="shared" si="1815"/>
        <v>3554</v>
      </c>
      <c r="E9599" t="str">
        <f t="shared" si="1820"/>
        <v>1</v>
      </c>
      <c r="F9599" t="str">
        <f t="shared" si="1821"/>
        <v>COM</v>
      </c>
      <c r="G9599" t="str">
        <f t="shared" si="1816"/>
        <v>FARMÁCIA INDIANA LJ 1 (10126)</v>
      </c>
      <c r="H9599" t="s">
        <v>2743</v>
      </c>
      <c r="I9599" t="str">
        <f t="shared" si="1817"/>
        <v>05/11/2025</v>
      </c>
      <c r="J9599" t="str">
        <f t="shared" si="1818"/>
        <v>24/10/2025</v>
      </c>
      <c r="K9599">
        <v>45967</v>
      </c>
      <c r="N9599">
        <v>303</v>
      </c>
      <c r="O9599" t="s">
        <v>69</v>
      </c>
      <c r="Q9599">
        <v>1320.11</v>
      </c>
      <c r="R9599" t="str">
        <f>"FARMÁCIA INDIANA LJ 207 (10088)"</f>
        <v>FARMÁCIA INDIANA LJ 207 (10088)</v>
      </c>
      <c r="S9599" t="s">
        <v>70</v>
      </c>
      <c r="T9599">
        <v>21839</v>
      </c>
      <c r="U9599">
        <v>24183</v>
      </c>
      <c r="V9599" t="s">
        <v>77</v>
      </c>
    </row>
    <row r="9600" spans="1:22">
      <c r="A9600" t="str">
        <f t="shared" si="1819"/>
        <v>06/11/2025</v>
      </c>
      <c r="B9600" t="str">
        <f t="shared" si="1813"/>
        <v>ENTRADA</v>
      </c>
      <c r="C9600" t="str">
        <f t="shared" si="1814"/>
        <v>NFSE</v>
      </c>
      <c r="D9600" t="str">
        <f t="shared" si="1815"/>
        <v>3554</v>
      </c>
      <c r="E9600" t="str">
        <f t="shared" si="1820"/>
        <v>1</v>
      </c>
      <c r="F9600" t="str">
        <f t="shared" si="1821"/>
        <v>COM</v>
      </c>
      <c r="G9600" t="str">
        <f t="shared" si="1816"/>
        <v>FARMÁCIA INDIANA LJ 1 (10126)</v>
      </c>
      <c r="H9600" t="s">
        <v>2743</v>
      </c>
      <c r="I9600" t="str">
        <f t="shared" si="1817"/>
        <v>05/11/2025</v>
      </c>
      <c r="J9600" t="str">
        <f t="shared" si="1818"/>
        <v>24/10/2025</v>
      </c>
      <c r="K9600">
        <v>45967</v>
      </c>
      <c r="N9600">
        <v>303</v>
      </c>
      <c r="O9600" t="s">
        <v>69</v>
      </c>
      <c r="Q9600">
        <v>1130.3499999999999</v>
      </c>
      <c r="R9600" t="str">
        <f>"FARMÁCIA INDIANA LJ 209 (10089)"</f>
        <v>FARMÁCIA INDIANA LJ 209 (10089)</v>
      </c>
      <c r="S9600" t="s">
        <v>70</v>
      </c>
      <c r="T9600">
        <v>21839</v>
      </c>
      <c r="U9600">
        <v>24183</v>
      </c>
      <c r="V9600" t="s">
        <v>77</v>
      </c>
    </row>
    <row r="9601" spans="1:22">
      <c r="A9601" t="str">
        <f t="shared" si="1819"/>
        <v>06/11/2025</v>
      </c>
      <c r="B9601" t="str">
        <f t="shared" si="1813"/>
        <v>ENTRADA</v>
      </c>
      <c r="C9601" t="str">
        <f t="shared" si="1814"/>
        <v>NFSE</v>
      </c>
      <c r="D9601" t="str">
        <f t="shared" si="1815"/>
        <v>3554</v>
      </c>
      <c r="E9601" t="str">
        <f t="shared" si="1820"/>
        <v>1</v>
      </c>
      <c r="F9601" t="str">
        <f t="shared" si="1821"/>
        <v>COM</v>
      </c>
      <c r="G9601" t="str">
        <f t="shared" si="1816"/>
        <v>FARMÁCIA INDIANA LJ 1 (10126)</v>
      </c>
      <c r="H9601" t="s">
        <v>2743</v>
      </c>
      <c r="I9601" t="str">
        <f t="shared" si="1817"/>
        <v>05/11/2025</v>
      </c>
      <c r="J9601" t="str">
        <f t="shared" si="1818"/>
        <v>24/10/2025</v>
      </c>
      <c r="K9601">
        <v>45967</v>
      </c>
      <c r="N9601">
        <v>303</v>
      </c>
      <c r="O9601" t="s">
        <v>69</v>
      </c>
      <c r="Q9601">
        <v>849.82</v>
      </c>
      <c r="R9601" t="str">
        <f>"FARMÁCIA INDIANA LJ 219 (10091)"</f>
        <v>FARMÁCIA INDIANA LJ 219 (10091)</v>
      </c>
      <c r="S9601" t="s">
        <v>70</v>
      </c>
      <c r="T9601">
        <v>21839</v>
      </c>
      <c r="U9601">
        <v>24183</v>
      </c>
      <c r="V9601" t="s">
        <v>77</v>
      </c>
    </row>
    <row r="9602" spans="1:22">
      <c r="A9602" t="str">
        <f t="shared" si="1819"/>
        <v>06/11/2025</v>
      </c>
      <c r="B9602" t="str">
        <f t="shared" si="1813"/>
        <v>ENTRADA</v>
      </c>
      <c r="C9602" t="str">
        <f t="shared" si="1814"/>
        <v>NFSE</v>
      </c>
      <c r="D9602" t="str">
        <f t="shared" si="1815"/>
        <v>3554</v>
      </c>
      <c r="E9602" t="str">
        <f t="shared" si="1820"/>
        <v>1</v>
      </c>
      <c r="F9602" t="str">
        <f t="shared" si="1821"/>
        <v>COM</v>
      </c>
      <c r="G9602" t="str">
        <f t="shared" si="1816"/>
        <v>FARMÁCIA INDIANA LJ 1 (10126)</v>
      </c>
      <c r="H9602" t="s">
        <v>2743</v>
      </c>
      <c r="I9602" t="str">
        <f t="shared" si="1817"/>
        <v>05/11/2025</v>
      </c>
      <c r="J9602" t="str">
        <f t="shared" si="1818"/>
        <v>24/10/2025</v>
      </c>
      <c r="K9602">
        <v>45967</v>
      </c>
      <c r="N9602">
        <v>303</v>
      </c>
      <c r="O9602" t="s">
        <v>69</v>
      </c>
      <c r="Q9602">
        <v>1377.87</v>
      </c>
      <c r="R9602" t="str">
        <f>"FARMÁCIA INDIANA LJ 220 (10092)"</f>
        <v>FARMÁCIA INDIANA LJ 220 (10092)</v>
      </c>
      <c r="S9602" t="s">
        <v>70</v>
      </c>
      <c r="T9602">
        <v>21839</v>
      </c>
      <c r="U9602">
        <v>24183</v>
      </c>
      <c r="V9602" t="s">
        <v>77</v>
      </c>
    </row>
    <row r="9603" spans="1:22">
      <c r="A9603" t="str">
        <f t="shared" si="1819"/>
        <v>06/11/2025</v>
      </c>
      <c r="B9603" t="str">
        <f t="shared" si="1813"/>
        <v>ENTRADA</v>
      </c>
      <c r="C9603" t="str">
        <f t="shared" si="1814"/>
        <v>NFSE</v>
      </c>
      <c r="D9603" t="str">
        <f t="shared" si="1815"/>
        <v>3554</v>
      </c>
      <c r="E9603" t="str">
        <f t="shared" si="1820"/>
        <v>1</v>
      </c>
      <c r="F9603" t="str">
        <f t="shared" si="1821"/>
        <v>COM</v>
      </c>
      <c r="G9603" t="str">
        <f t="shared" si="1816"/>
        <v>FARMÁCIA INDIANA LJ 1 (10126)</v>
      </c>
      <c r="H9603" t="s">
        <v>2743</v>
      </c>
      <c r="I9603" t="str">
        <f t="shared" si="1817"/>
        <v>05/11/2025</v>
      </c>
      <c r="J9603" t="str">
        <f t="shared" si="1818"/>
        <v>24/10/2025</v>
      </c>
      <c r="K9603">
        <v>45967</v>
      </c>
      <c r="N9603">
        <v>303</v>
      </c>
      <c r="O9603" t="s">
        <v>69</v>
      </c>
      <c r="Q9603">
        <v>973.58</v>
      </c>
      <c r="R9603" t="str">
        <f>"FARMÁCIA INDIANA LJ 185 (10141)"</f>
        <v>FARMÁCIA INDIANA LJ 185 (10141)</v>
      </c>
      <c r="S9603" t="s">
        <v>70</v>
      </c>
      <c r="T9603">
        <v>21839</v>
      </c>
      <c r="U9603">
        <v>24183</v>
      </c>
      <c r="V9603" t="s">
        <v>77</v>
      </c>
    </row>
    <row r="9604" spans="1:22">
      <c r="A9604" t="str">
        <f t="shared" si="1819"/>
        <v>06/11/2025</v>
      </c>
      <c r="B9604" t="str">
        <f t="shared" si="1813"/>
        <v>ENTRADA</v>
      </c>
      <c r="C9604" t="str">
        <f t="shared" si="1814"/>
        <v>NFSE</v>
      </c>
      <c r="D9604" t="str">
        <f t="shared" si="1815"/>
        <v>3554</v>
      </c>
      <c r="E9604" t="str">
        <f t="shared" si="1820"/>
        <v>1</v>
      </c>
      <c r="F9604" t="str">
        <f t="shared" si="1821"/>
        <v>COM</v>
      </c>
      <c r="G9604" t="str">
        <f t="shared" si="1816"/>
        <v>FARMÁCIA INDIANA LJ 1 (10126)</v>
      </c>
      <c r="H9604" t="s">
        <v>2743</v>
      </c>
      <c r="I9604" t="str">
        <f t="shared" si="1817"/>
        <v>05/11/2025</v>
      </c>
      <c r="J9604" t="str">
        <f t="shared" si="1818"/>
        <v>24/10/2025</v>
      </c>
      <c r="K9604">
        <v>45967</v>
      </c>
      <c r="N9604">
        <v>303</v>
      </c>
      <c r="O9604" t="s">
        <v>69</v>
      </c>
      <c r="Q9604">
        <v>957.08</v>
      </c>
      <c r="R9604" t="str">
        <f>"FARMÁCIA INDIANA LJ 205 (10150)"</f>
        <v>FARMÁCIA INDIANA LJ 205 (10150)</v>
      </c>
      <c r="S9604" t="s">
        <v>70</v>
      </c>
      <c r="T9604">
        <v>21839</v>
      </c>
      <c r="U9604">
        <v>24183</v>
      </c>
      <c r="V9604" t="s">
        <v>77</v>
      </c>
    </row>
    <row r="9605" spans="1:22">
      <c r="A9605" t="str">
        <f t="shared" si="1819"/>
        <v>06/11/2025</v>
      </c>
      <c r="B9605" t="str">
        <f t="shared" si="1813"/>
        <v>ENTRADA</v>
      </c>
      <c r="C9605" t="str">
        <f t="shared" si="1814"/>
        <v>NFSE</v>
      </c>
      <c r="D9605" t="str">
        <f t="shared" si="1815"/>
        <v>3554</v>
      </c>
      <c r="E9605" t="str">
        <f t="shared" si="1820"/>
        <v>1</v>
      </c>
      <c r="F9605" t="str">
        <f t="shared" si="1821"/>
        <v>COM</v>
      </c>
      <c r="G9605" t="str">
        <f t="shared" si="1816"/>
        <v>FARMÁCIA INDIANA LJ 1 (10126)</v>
      </c>
      <c r="H9605" t="s">
        <v>2743</v>
      </c>
      <c r="I9605" t="str">
        <f t="shared" si="1817"/>
        <v>05/11/2025</v>
      </c>
      <c r="J9605" t="str">
        <f t="shared" si="1818"/>
        <v>24/10/2025</v>
      </c>
      <c r="K9605">
        <v>45967</v>
      </c>
      <c r="N9605">
        <v>303</v>
      </c>
      <c r="O9605" t="s">
        <v>69</v>
      </c>
      <c r="Q9605">
        <v>3787.08</v>
      </c>
      <c r="R9605" t="str">
        <f>"FARMÁCIA INDIANA LJ 172 (10161)"</f>
        <v>FARMÁCIA INDIANA LJ 172 (10161)</v>
      </c>
      <c r="S9605" t="s">
        <v>70</v>
      </c>
      <c r="T9605">
        <v>21839</v>
      </c>
      <c r="U9605">
        <v>24183</v>
      </c>
      <c r="V9605" t="s">
        <v>77</v>
      </c>
    </row>
    <row r="9606" spans="1:22">
      <c r="A9606" t="str">
        <f t="shared" si="1819"/>
        <v>06/11/2025</v>
      </c>
      <c r="B9606" t="str">
        <f t="shared" si="1813"/>
        <v>ENTRADA</v>
      </c>
      <c r="C9606" t="str">
        <f t="shared" si="1814"/>
        <v>NFSE</v>
      </c>
      <c r="D9606" t="str">
        <f t="shared" si="1815"/>
        <v>3554</v>
      </c>
      <c r="E9606" t="str">
        <f t="shared" si="1820"/>
        <v>1</v>
      </c>
      <c r="F9606" t="str">
        <f t="shared" si="1821"/>
        <v>COM</v>
      </c>
      <c r="G9606" t="str">
        <f t="shared" si="1816"/>
        <v>FARMÁCIA INDIANA LJ 1 (10126)</v>
      </c>
      <c r="H9606" t="s">
        <v>2743</v>
      </c>
      <c r="I9606" t="str">
        <f t="shared" si="1817"/>
        <v>05/11/2025</v>
      </c>
      <c r="J9606" t="str">
        <f t="shared" si="1818"/>
        <v>24/10/2025</v>
      </c>
      <c r="K9606">
        <v>45967</v>
      </c>
      <c r="N9606">
        <v>303</v>
      </c>
      <c r="O9606" t="s">
        <v>69</v>
      </c>
      <c r="Q9606">
        <v>709.56</v>
      </c>
      <c r="R9606" t="str">
        <f>"FARMÁCIA INDIANA LJ 266 (10186)"</f>
        <v>FARMÁCIA INDIANA LJ 266 (10186)</v>
      </c>
      <c r="S9606" t="s">
        <v>70</v>
      </c>
      <c r="T9606">
        <v>21839</v>
      </c>
      <c r="U9606">
        <v>24183</v>
      </c>
      <c r="V9606" t="s">
        <v>77</v>
      </c>
    </row>
    <row r="9607" spans="1:22">
      <c r="A9607" t="str">
        <f t="shared" si="1819"/>
        <v>06/11/2025</v>
      </c>
      <c r="B9607" t="str">
        <f>"SAÍDA"</f>
        <v>SAÍDA</v>
      </c>
      <c r="C9607" t="str">
        <f>"TRANSFERENCIA"</f>
        <v>TRANSFERENCIA</v>
      </c>
      <c r="D9607" t="str">
        <f>""</f>
        <v/>
      </c>
      <c r="F9607" t="str">
        <f>"TRF"</f>
        <v>TRF</v>
      </c>
      <c r="G9607" t="str">
        <f>""</f>
        <v/>
      </c>
      <c r="H9607" t="str">
        <f>"TRANSFERENCIA ENTRE BANCOS (102-&gt;149)"</f>
        <v>TRANSFERENCIA ENTRE BANCOS (102-&gt;149)</v>
      </c>
      <c r="I9607" t="str">
        <f t="shared" ref="I9607:K9608" si="1822">("06/11/2025")</f>
        <v>06/11/2025</v>
      </c>
      <c r="J9607" t="str">
        <f t="shared" si="1822"/>
        <v>06/11/2025</v>
      </c>
      <c r="K9607" t="str">
        <f t="shared" si="1822"/>
        <v>06/11/2025</v>
      </c>
      <c r="N9607">
        <v>102</v>
      </c>
      <c r="O9607" t="str">
        <f>"BANCO CORA"</f>
        <v>BANCO CORA</v>
      </c>
      <c r="P9607">
        <v>77996.789999999994</v>
      </c>
      <c r="S9607" t="str">
        <f>"BANCO CORA (102)"</f>
        <v>BANCO CORA (102)</v>
      </c>
      <c r="T9607">
        <v>22793</v>
      </c>
      <c r="U9607">
        <v>0</v>
      </c>
      <c r="V9607" t="s">
        <v>22</v>
      </c>
    </row>
    <row r="9608" spans="1:22">
      <c r="A9608" t="str">
        <f t="shared" si="1819"/>
        <v>06/11/2025</v>
      </c>
      <c r="B9608" t="str">
        <f>"ENTRADA"</f>
        <v>ENTRADA</v>
      </c>
      <c r="C9608" t="str">
        <f>"TRANSFERENCIA"</f>
        <v>TRANSFERENCIA</v>
      </c>
      <c r="D9608" t="str">
        <f>""</f>
        <v/>
      </c>
      <c r="F9608" t="str">
        <f>"TRF"</f>
        <v>TRF</v>
      </c>
      <c r="G9608" t="str">
        <f>""</f>
        <v/>
      </c>
      <c r="H9608" t="str">
        <f>"TRANSFERENCIA ENTRE BANCOS (102-&gt;149)"</f>
        <v>TRANSFERENCIA ENTRE BANCOS (102-&gt;149)</v>
      </c>
      <c r="I9608" t="str">
        <f t="shared" si="1822"/>
        <v>06/11/2025</v>
      </c>
      <c r="J9608" t="str">
        <f t="shared" si="1822"/>
        <v>06/11/2025</v>
      </c>
      <c r="K9608" t="str">
        <f t="shared" si="1822"/>
        <v>06/11/2025</v>
      </c>
      <c r="N9608">
        <v>149</v>
      </c>
      <c r="O9608" t="str">
        <f>"BANCO C6"</f>
        <v>BANCO C6</v>
      </c>
      <c r="S9608" t="str">
        <f>"BANCO C6 (149)"</f>
        <v>BANCO C6 (149)</v>
      </c>
      <c r="T9608">
        <v>22793</v>
      </c>
      <c r="U9608">
        <v>0</v>
      </c>
      <c r="V9608" t="s">
        <v>77</v>
      </c>
    </row>
    <row r="9609" spans="1:22">
      <c r="A9609" t="str">
        <f t="shared" si="1819"/>
        <v>06/11/2025</v>
      </c>
      <c r="B9609" t="str">
        <f>"ENTRADA"</f>
        <v>ENTRADA</v>
      </c>
      <c r="C9609" t="str">
        <f>"DINHEIRO"</f>
        <v>DINHEIRO</v>
      </c>
      <c r="D9609" t="str">
        <f>"1311"</f>
        <v>1311</v>
      </c>
      <c r="E9609" t="str">
        <f>"25"</f>
        <v>25</v>
      </c>
      <c r="F9609" t="str">
        <f t="shared" ref="F9609:F9640" si="1823">"COM"</f>
        <v>COM</v>
      </c>
      <c r="G9609" t="str">
        <f>"GUSTAVO HENRIQUE OLIVEIRA (661)"</f>
        <v>GUSTAVO HENRIQUE OLIVEIRA (661)</v>
      </c>
      <c r="H9609" t="str">
        <f>"REEMBOLSO ADIANTAMENTO"</f>
        <v>REEMBOLSO ADIANTAMENTO</v>
      </c>
      <c r="I9609" t="str">
        <f>("13/11/2025")</f>
        <v>13/11/2025</v>
      </c>
      <c r="J9609" t="str">
        <f>("24/10/2025")</f>
        <v>24/10/2025</v>
      </c>
      <c r="K9609" t="str">
        <f>("06/11/2025")</f>
        <v>06/11/2025</v>
      </c>
      <c r="L9609">
        <v>120</v>
      </c>
      <c r="M9609">
        <v>120</v>
      </c>
      <c r="N9609">
        <v>129</v>
      </c>
      <c r="O9609" t="str">
        <f>"ENTRADA DE REEMBOLSO ADIANTAMENTO"</f>
        <v>ENTRADA DE REEMBOLSO ADIANTAMENTO</v>
      </c>
      <c r="P9609">
        <v>120</v>
      </c>
      <c r="S9609" t="str">
        <f>"ENTRADA DE REEMBOLSO ADIANTAMENTO (129)"</f>
        <v>ENTRADA DE REEMBOLSO ADIANTAMENTO (129)</v>
      </c>
      <c r="T9609">
        <v>22876</v>
      </c>
      <c r="U9609">
        <v>24336</v>
      </c>
      <c r="V9609" t="s">
        <v>48</v>
      </c>
    </row>
    <row r="9610" spans="1:22">
      <c r="A9610" t="str">
        <f t="shared" si="1819"/>
        <v>06/11/2025</v>
      </c>
      <c r="B9610" t="str">
        <f>"ENTRADA"</f>
        <v>ENTRADA</v>
      </c>
      <c r="C9610" t="str">
        <f>"DINHEIRO"</f>
        <v>DINHEIRO</v>
      </c>
      <c r="D9610" t="str">
        <f>"1311"</f>
        <v>1311</v>
      </c>
      <c r="E9610" t="str">
        <f>"25"</f>
        <v>25</v>
      </c>
      <c r="F9610" t="str">
        <f t="shared" si="1823"/>
        <v>COM</v>
      </c>
      <c r="G9610" t="str">
        <f>"GUSTAVO HENRIQUE OLIVEIRA (661)"</f>
        <v>GUSTAVO HENRIQUE OLIVEIRA (661)</v>
      </c>
      <c r="H9610" t="s">
        <v>57</v>
      </c>
      <c r="I9610" t="str">
        <f>("13/11/2025")</f>
        <v>13/11/2025</v>
      </c>
      <c r="J9610" t="str">
        <f>("24/10/2025")</f>
        <v>24/10/2025</v>
      </c>
      <c r="K9610">
        <v>45967</v>
      </c>
      <c r="N9610">
        <v>129</v>
      </c>
      <c r="O9610" t="s">
        <v>58</v>
      </c>
      <c r="Q9610">
        <v>120</v>
      </c>
      <c r="R9610" t="str">
        <f>"GUSTAVO HENRIQUE OLIVEIRA (661)"</f>
        <v>GUSTAVO HENRIQUE OLIVEIRA (661)</v>
      </c>
      <c r="S9610" t="s">
        <v>59</v>
      </c>
      <c r="T9610">
        <v>22876</v>
      </c>
      <c r="U9610">
        <v>24336</v>
      </c>
      <c r="V9610" t="s">
        <v>48</v>
      </c>
    </row>
    <row r="9611" spans="1:22">
      <c r="A9611" t="str">
        <f t="shared" si="1819"/>
        <v>06/11/2025</v>
      </c>
      <c r="B9611" t="str">
        <f t="shared" ref="B9611:B9616" si="1824">"SAÍDA"</f>
        <v>SAÍDA</v>
      </c>
      <c r="C9611" t="str">
        <f t="shared" ref="C9611:C9616" si="1825">"PIX"</f>
        <v>PIX</v>
      </c>
      <c r="D9611" t="str">
        <f>"26885"</f>
        <v>26885</v>
      </c>
      <c r="E9611" t="str">
        <f>"1"</f>
        <v>1</v>
      </c>
      <c r="F9611" t="str">
        <f t="shared" si="1823"/>
        <v>COM</v>
      </c>
      <c r="G9611" t="str">
        <f>"GUSTAVO HENRIQUE OLIVEIRA (661)"</f>
        <v>GUSTAVO HENRIQUE OLIVEIRA (661)</v>
      </c>
      <c r="H9611" t="str">
        <f>"Serv.Prest. 24/11/2025 a 30/11/2025 - PIX: CPF - CHAVE: 113.084.266-58"</f>
        <v>Serv.Prest. 24/11/2025 a 30/11/2025 - PIX: CPF - CHAVE: 113.084.266-58</v>
      </c>
      <c r="I9611" t="str">
        <f>("04/12/2025")</f>
        <v>04/12/2025</v>
      </c>
      <c r="J9611" t="str">
        <f>("02/12/2025")</f>
        <v>02/12/2025</v>
      </c>
      <c r="K9611" t="str">
        <f>("06/11/2025")</f>
        <v>06/11/2025</v>
      </c>
      <c r="L9611">
        <v>120</v>
      </c>
      <c r="M9611">
        <v>120</v>
      </c>
      <c r="N9611">
        <v>109</v>
      </c>
      <c r="O9611" t="str">
        <f>"PAGAMENTO DE ENTREGADORES"</f>
        <v>PAGAMENTO DE ENTREGADORES</v>
      </c>
      <c r="P9611">
        <v>120</v>
      </c>
      <c r="S9611" t="str">
        <f>"BANCO CORA (102)"</f>
        <v>BANCO CORA (102)</v>
      </c>
      <c r="T9611">
        <v>22877</v>
      </c>
      <c r="U9611">
        <v>26992</v>
      </c>
      <c r="V9611" t="s">
        <v>22</v>
      </c>
    </row>
    <row r="9612" spans="1:22">
      <c r="A9612" t="str">
        <f t="shared" si="1819"/>
        <v>06/11/2025</v>
      </c>
      <c r="B9612" t="str">
        <f t="shared" si="1824"/>
        <v>SAÍDA</v>
      </c>
      <c r="C9612" t="str">
        <f t="shared" si="1825"/>
        <v>PIX</v>
      </c>
      <c r="D9612" t="str">
        <f>"26885"</f>
        <v>26885</v>
      </c>
      <c r="E9612" t="str">
        <f>"1"</f>
        <v>1</v>
      </c>
      <c r="F9612" t="str">
        <f t="shared" si="1823"/>
        <v>COM</v>
      </c>
      <c r="G9612" t="str">
        <f>"GUSTAVO HENRIQUE OLIVEIRA (661)"</f>
        <v>GUSTAVO HENRIQUE OLIVEIRA (661)</v>
      </c>
      <c r="H9612" t="s">
        <v>2744</v>
      </c>
      <c r="I9612" t="str">
        <f>("04/12/2025")</f>
        <v>04/12/2025</v>
      </c>
      <c r="J9612" t="str">
        <f>("02/12/2025")</f>
        <v>02/12/2025</v>
      </c>
      <c r="K9612">
        <v>45967</v>
      </c>
      <c r="N9612">
        <v>109</v>
      </c>
      <c r="O9612" t="s">
        <v>24</v>
      </c>
      <c r="Q9612">
        <v>120</v>
      </c>
      <c r="R9612" t="str">
        <f>"FARMÁCIA INDIANA LJ 110 (10048)"</f>
        <v>FARMÁCIA INDIANA LJ 110 (10048)</v>
      </c>
      <c r="S9612" t="s">
        <v>22</v>
      </c>
      <c r="T9612">
        <v>22877</v>
      </c>
      <c r="U9612">
        <v>26992</v>
      </c>
      <c r="V9612" t="s">
        <v>22</v>
      </c>
    </row>
    <row r="9613" spans="1:22">
      <c r="A9613" t="str">
        <f t="shared" ref="A9613:A9632" si="1826">("07/11/2025")</f>
        <v>07/11/2025</v>
      </c>
      <c r="B9613" t="str">
        <f t="shared" si="1824"/>
        <v>SAÍDA</v>
      </c>
      <c r="C9613" t="str">
        <f t="shared" si="1825"/>
        <v>PIX</v>
      </c>
      <c r="D9613" t="str">
        <f>"24721"</f>
        <v>24721</v>
      </c>
      <c r="E9613" t="str">
        <f>"1"</f>
        <v>1</v>
      </c>
      <c r="F9613" t="str">
        <f t="shared" si="1823"/>
        <v>COM</v>
      </c>
      <c r="G9613" t="str">
        <f>"NATANAEL AZEVEDO DOS SANTOS (765)"</f>
        <v>NATANAEL AZEVEDO DOS SANTOS (765)</v>
      </c>
      <c r="H9613" t="str">
        <f>"Serv.Prest. 24/10/2025 a 02/11/2025 - PIX: CPF - CHAVE: 007.842.745-25"</f>
        <v>Serv.Prest. 24/10/2025 a 02/11/2025 - PIX: CPF - CHAVE: 007.842.745-25</v>
      </c>
      <c r="I9613" t="str">
        <f>("13/11/2025")</f>
        <v>13/11/2025</v>
      </c>
      <c r="J9613" t="str">
        <f>("04/11/2025")</f>
        <v>04/11/2025</v>
      </c>
      <c r="K9613" t="str">
        <f>("07/11/2025")</f>
        <v>07/11/2025</v>
      </c>
      <c r="L9613">
        <v>390</v>
      </c>
      <c r="M9613">
        <v>390</v>
      </c>
      <c r="N9613">
        <v>109</v>
      </c>
      <c r="O9613" t="str">
        <f>"PAGAMENTO DE ENTREGADORES"</f>
        <v>PAGAMENTO DE ENTREGADORES</v>
      </c>
      <c r="P9613">
        <v>390</v>
      </c>
      <c r="S9613" t="str">
        <f>"BANCO CORA (102)"</f>
        <v>BANCO CORA (102)</v>
      </c>
      <c r="T9613">
        <v>20549</v>
      </c>
      <c r="U9613">
        <v>24954</v>
      </c>
      <c r="V9613" t="s">
        <v>22</v>
      </c>
    </row>
    <row r="9614" spans="1:22">
      <c r="A9614" t="str">
        <f t="shared" si="1826"/>
        <v>07/11/2025</v>
      </c>
      <c r="B9614" t="str">
        <f t="shared" si="1824"/>
        <v>SAÍDA</v>
      </c>
      <c r="C9614" t="str">
        <f t="shared" si="1825"/>
        <v>PIX</v>
      </c>
      <c r="D9614" t="str">
        <f>"24721"</f>
        <v>24721</v>
      </c>
      <c r="E9614" t="str">
        <f>"1"</f>
        <v>1</v>
      </c>
      <c r="F9614" t="str">
        <f t="shared" si="1823"/>
        <v>COM</v>
      </c>
      <c r="G9614" t="str">
        <f>"NATANAEL AZEVEDO DOS SANTOS (765)"</f>
        <v>NATANAEL AZEVEDO DOS SANTOS (765)</v>
      </c>
      <c r="H9614" t="s">
        <v>2745</v>
      </c>
      <c r="I9614" t="str">
        <f>("13/11/2025")</f>
        <v>13/11/2025</v>
      </c>
      <c r="J9614" t="str">
        <f>("04/11/2025")</f>
        <v>04/11/2025</v>
      </c>
      <c r="K9614">
        <v>45968</v>
      </c>
      <c r="N9614">
        <v>109</v>
      </c>
      <c r="O9614" t="s">
        <v>24</v>
      </c>
      <c r="Q9614">
        <v>390</v>
      </c>
      <c r="R9614" t="str">
        <f>"FARMÁCIA INDIANA LJ 91 (10037)"</f>
        <v>FARMÁCIA INDIANA LJ 91 (10037)</v>
      </c>
      <c r="S9614" t="s">
        <v>22</v>
      </c>
      <c r="T9614">
        <v>20549</v>
      </c>
      <c r="U9614">
        <v>24954</v>
      </c>
      <c r="V9614" t="s">
        <v>22</v>
      </c>
    </row>
    <row r="9615" spans="1:22">
      <c r="A9615" t="str">
        <f t="shared" si="1826"/>
        <v>07/11/2025</v>
      </c>
      <c r="B9615" t="str">
        <f t="shared" si="1824"/>
        <v>SAÍDA</v>
      </c>
      <c r="C9615" t="str">
        <f t="shared" si="1825"/>
        <v>PIX</v>
      </c>
      <c r="D9615" t="str">
        <f>"24423"</f>
        <v>24423</v>
      </c>
      <c r="E9615" t="str">
        <f>"4"</f>
        <v>4</v>
      </c>
      <c r="F9615" t="str">
        <f t="shared" si="1823"/>
        <v>COM</v>
      </c>
      <c r="G9615" t="str">
        <f>"JAMERSON SOUZA LOPES (749)"</f>
        <v>JAMERSON SOUZA LOPES (749)</v>
      </c>
      <c r="H9615" t="str">
        <f>"DESPESAS VIAGEM PARA UBERABA - PIX: CPF - CHAVE: 423.098.018-36"</f>
        <v>DESPESAS VIAGEM PARA UBERABA - PIX: CPF - CHAVE: 423.098.018-36</v>
      </c>
      <c r="I9615" t="str">
        <f>("07/11/2025")</f>
        <v>07/11/2025</v>
      </c>
      <c r="J9615" t="str">
        <f>("02/11/2025")</f>
        <v>02/11/2025</v>
      </c>
      <c r="K9615" t="str">
        <f>("07/11/2025")</f>
        <v>07/11/2025</v>
      </c>
      <c r="L9615">
        <v>482.16</v>
      </c>
      <c r="M9615">
        <v>482.16</v>
      </c>
      <c r="N9615">
        <v>119</v>
      </c>
      <c r="O9615" t="str">
        <f>"DESPESAS COM VIAGENS OPERACIONAIS"</f>
        <v>DESPESAS COM VIAGENS OPERACIONAIS</v>
      </c>
      <c r="P9615">
        <v>482.16</v>
      </c>
      <c r="S9615" t="str">
        <f>"BANCO CORA (102)"</f>
        <v>BANCO CORA (102)</v>
      </c>
      <c r="T9615">
        <v>20860</v>
      </c>
      <c r="U9615">
        <v>25301</v>
      </c>
      <c r="V9615" t="s">
        <v>22</v>
      </c>
    </row>
    <row r="9616" spans="1:22">
      <c r="A9616" t="str">
        <f t="shared" si="1826"/>
        <v>07/11/2025</v>
      </c>
      <c r="B9616" t="str">
        <f t="shared" si="1824"/>
        <v>SAÍDA</v>
      </c>
      <c r="C9616" t="str">
        <f t="shared" si="1825"/>
        <v>PIX</v>
      </c>
      <c r="D9616" t="str">
        <f>"24423"</f>
        <v>24423</v>
      </c>
      <c r="E9616" t="str">
        <f>"4"</f>
        <v>4</v>
      </c>
      <c r="F9616" t="str">
        <f t="shared" si="1823"/>
        <v>COM</v>
      </c>
      <c r="G9616" t="str">
        <f>"JAMERSON SOUZA LOPES (749)"</f>
        <v>JAMERSON SOUZA LOPES (749)</v>
      </c>
      <c r="H9616" t="s">
        <v>2419</v>
      </c>
      <c r="I9616" t="str">
        <f>("07/11/2025")</f>
        <v>07/11/2025</v>
      </c>
      <c r="J9616" t="str">
        <f>("02/11/2025")</f>
        <v>02/11/2025</v>
      </c>
      <c r="K9616">
        <v>45968</v>
      </c>
      <c r="N9616">
        <v>119</v>
      </c>
      <c r="O9616" t="s">
        <v>262</v>
      </c>
      <c r="Q9616">
        <v>482.16</v>
      </c>
      <c r="R9616" t="str">
        <f>"DROGALIDER 25 (10246)"</f>
        <v>DROGALIDER 25 (10246)</v>
      </c>
      <c r="S9616" t="s">
        <v>22</v>
      </c>
      <c r="T9616">
        <v>20860</v>
      </c>
      <c r="U9616">
        <v>25301</v>
      </c>
      <c r="V9616" t="s">
        <v>22</v>
      </c>
    </row>
    <row r="9617" spans="1:22">
      <c r="A9617" t="str">
        <f t="shared" si="1826"/>
        <v>07/11/2025</v>
      </c>
      <c r="B9617" t="str">
        <f t="shared" ref="B9617:B9624" si="1827">"ENTRADA"</f>
        <v>ENTRADA</v>
      </c>
      <c r="C9617" t="str">
        <f t="shared" ref="C9617:C9624" si="1828">"NFSE"</f>
        <v>NFSE</v>
      </c>
      <c r="D9617" t="str">
        <f>"3632"</f>
        <v>3632</v>
      </c>
      <c r="E9617" t="str">
        <f t="shared" ref="E9617:E9624" si="1829">"1"</f>
        <v>1</v>
      </c>
      <c r="F9617" t="str">
        <f t="shared" si="1823"/>
        <v>COM</v>
      </c>
      <c r="G9617" t="str">
        <f>"DROGARIA VAZ (10179)"</f>
        <v>DROGARIA VAZ (10179)</v>
      </c>
      <c r="H9617" t="str">
        <f>"Serv.Prest. 27/10/2025 a 02/11/2025 - RPS: 1508 - NFSe: 3632"</f>
        <v>Serv.Prest. 27/10/2025 a 02/11/2025 - RPS: 1508 - NFSe: 3632</v>
      </c>
      <c r="I9617" t="str">
        <f>("05/11/2025")</f>
        <v>05/11/2025</v>
      </c>
      <c r="J9617" t="str">
        <f t="shared" ref="J9617:J9624" si="1830">("03/11/2025")</f>
        <v>03/11/2025</v>
      </c>
      <c r="K9617" t="str">
        <f>("07/11/2025")</f>
        <v>07/11/2025</v>
      </c>
      <c r="L9617">
        <v>1276.0899999999999</v>
      </c>
      <c r="M9617">
        <v>1302.46</v>
      </c>
      <c r="N9617">
        <v>303</v>
      </c>
      <c r="O9617" t="str">
        <f>"RECEITAS COM ENTREGAS"</f>
        <v>RECEITAS COM ENTREGAS</v>
      </c>
      <c r="P9617">
        <v>1302.46</v>
      </c>
      <c r="S9617" t="str">
        <f>"RECEITAS COM ENTREGAS (303)"</f>
        <v>RECEITAS COM ENTREGAS (303)</v>
      </c>
      <c r="T9617">
        <v>21208</v>
      </c>
      <c r="U9617">
        <v>24672</v>
      </c>
      <c r="V9617" t="s">
        <v>22</v>
      </c>
    </row>
    <row r="9618" spans="1:22">
      <c r="A9618" t="str">
        <f t="shared" si="1826"/>
        <v>07/11/2025</v>
      </c>
      <c r="B9618" t="str">
        <f t="shared" si="1827"/>
        <v>ENTRADA</v>
      </c>
      <c r="C9618" t="str">
        <f t="shared" si="1828"/>
        <v>NFSE</v>
      </c>
      <c r="D9618" t="str">
        <f>"3632"</f>
        <v>3632</v>
      </c>
      <c r="E9618" t="str">
        <f t="shared" si="1829"/>
        <v>1</v>
      </c>
      <c r="F9618" t="str">
        <f t="shared" si="1823"/>
        <v>COM</v>
      </c>
      <c r="G9618" t="str">
        <f>"DROGARIA VAZ (10179)"</f>
        <v>DROGARIA VAZ (10179)</v>
      </c>
      <c r="H9618" t="s">
        <v>2746</v>
      </c>
      <c r="I9618" t="str">
        <f>("05/11/2025")</f>
        <v>05/11/2025</v>
      </c>
      <c r="J9618" t="str">
        <f t="shared" si="1830"/>
        <v>03/11/2025</v>
      </c>
      <c r="K9618">
        <v>45968</v>
      </c>
      <c r="N9618">
        <v>303</v>
      </c>
      <c r="O9618" t="s">
        <v>69</v>
      </c>
      <c r="Q9618">
        <v>1302.46</v>
      </c>
      <c r="R9618" t="str">
        <f>"DROGARIA VAZ (10179)"</f>
        <v>DROGARIA VAZ (10179)</v>
      </c>
      <c r="S9618" t="s">
        <v>70</v>
      </c>
      <c r="T9618">
        <v>21208</v>
      </c>
      <c r="U9618">
        <v>24672</v>
      </c>
      <c r="V9618" t="s">
        <v>22</v>
      </c>
    </row>
    <row r="9619" spans="1:22">
      <c r="A9619" t="str">
        <f t="shared" si="1826"/>
        <v>07/11/2025</v>
      </c>
      <c r="B9619" t="str">
        <f t="shared" si="1827"/>
        <v>ENTRADA</v>
      </c>
      <c r="C9619" t="str">
        <f t="shared" si="1828"/>
        <v>NFSE</v>
      </c>
      <c r="D9619" t="str">
        <f>"3630"</f>
        <v>3630</v>
      </c>
      <c r="E9619" t="str">
        <f t="shared" si="1829"/>
        <v>1</v>
      </c>
      <c r="F9619" t="str">
        <f t="shared" si="1823"/>
        <v>COM</v>
      </c>
      <c r="G9619" t="str">
        <f>"DROGARIA POUPA MINAS (DOIS AMIGOS) 5 (10140)"</f>
        <v>DROGARIA POUPA MINAS (DOIS AMIGOS) 5 (10140)</v>
      </c>
      <c r="H9619" t="str">
        <f>"Serv.Prest. 01/10/2025 a 31/10/2025 - RPS: 1506 - NFSe: 3630"</f>
        <v>Serv.Prest. 01/10/2025 a 31/10/2025 - RPS: 1506 - NFSe: 3630</v>
      </c>
      <c r="I9619" t="str">
        <f t="shared" ref="I9619:I9624" si="1831">("06/11/2025")</f>
        <v>06/11/2025</v>
      </c>
      <c r="J9619" t="str">
        <f t="shared" si="1830"/>
        <v>03/11/2025</v>
      </c>
      <c r="K9619" t="str">
        <f>("07/11/2025")</f>
        <v>07/11/2025</v>
      </c>
      <c r="L9619">
        <v>7181.06</v>
      </c>
      <c r="M9619">
        <v>7181.06</v>
      </c>
      <c r="N9619">
        <v>303</v>
      </c>
      <c r="O9619" t="str">
        <f>"RECEITAS COM ENTREGAS"</f>
        <v>RECEITAS COM ENTREGAS</v>
      </c>
      <c r="P9619">
        <v>7181.06</v>
      </c>
      <c r="S9619" t="str">
        <f>"RECEITAS COM ENTREGAS (303)"</f>
        <v>RECEITAS COM ENTREGAS (303)</v>
      </c>
      <c r="T9619">
        <v>21209</v>
      </c>
      <c r="U9619">
        <v>24667</v>
      </c>
      <c r="V9619" t="s">
        <v>22</v>
      </c>
    </row>
    <row r="9620" spans="1:22">
      <c r="A9620" t="str">
        <f t="shared" si="1826"/>
        <v>07/11/2025</v>
      </c>
      <c r="B9620" t="str">
        <f t="shared" si="1827"/>
        <v>ENTRADA</v>
      </c>
      <c r="C9620" t="str">
        <f t="shared" si="1828"/>
        <v>NFSE</v>
      </c>
      <c r="D9620" t="str">
        <f>"3630"</f>
        <v>3630</v>
      </c>
      <c r="E9620" t="str">
        <f t="shared" si="1829"/>
        <v>1</v>
      </c>
      <c r="F9620" t="str">
        <f t="shared" si="1823"/>
        <v>COM</v>
      </c>
      <c r="G9620" t="str">
        <f>"DROGARIA POUPA MINAS (DOIS AMIGOS) 5 (10140)"</f>
        <v>DROGARIA POUPA MINAS (DOIS AMIGOS) 5 (10140)</v>
      </c>
      <c r="H9620" t="s">
        <v>2747</v>
      </c>
      <c r="I9620" t="str">
        <f t="shared" si="1831"/>
        <v>06/11/2025</v>
      </c>
      <c r="J9620" t="str">
        <f t="shared" si="1830"/>
        <v>03/11/2025</v>
      </c>
      <c r="K9620">
        <v>45968</v>
      </c>
      <c r="N9620">
        <v>303</v>
      </c>
      <c r="O9620" t="s">
        <v>69</v>
      </c>
      <c r="Q9620">
        <v>7181.06</v>
      </c>
      <c r="R9620" t="str">
        <f>"DROGARIA POUPA MINAS (ULTRAMINAS) 1 (10181)"</f>
        <v>DROGARIA POUPA MINAS (ULTRAMINAS) 1 (10181)</v>
      </c>
      <c r="S9620" t="s">
        <v>70</v>
      </c>
      <c r="T9620">
        <v>21209</v>
      </c>
      <c r="U9620">
        <v>24667</v>
      </c>
      <c r="V9620" t="s">
        <v>22</v>
      </c>
    </row>
    <row r="9621" spans="1:22">
      <c r="A9621" t="str">
        <f t="shared" si="1826"/>
        <v>07/11/2025</v>
      </c>
      <c r="B9621" t="str">
        <f t="shared" si="1827"/>
        <v>ENTRADA</v>
      </c>
      <c r="C9621" t="str">
        <f t="shared" si="1828"/>
        <v>NFSE</v>
      </c>
      <c r="D9621" t="str">
        <f>"3626"</f>
        <v>3626</v>
      </c>
      <c r="E9621" t="str">
        <f t="shared" si="1829"/>
        <v>1</v>
      </c>
      <c r="F9621" t="str">
        <f t="shared" si="1823"/>
        <v>COM</v>
      </c>
      <c r="G9621" t="str">
        <f>"DROGARIA POUPA MINAS (ULTRAMINAS) 3 (10129)"</f>
        <v>DROGARIA POUPA MINAS (ULTRAMINAS) 3 (10129)</v>
      </c>
      <c r="H9621" t="str">
        <f>"Serv.Prest. 27/10/2025 a 02/11/2025 - RPS: 1502 - NFSe: 3626"</f>
        <v>Serv.Prest. 27/10/2025 a 02/11/2025 - RPS: 1502 - NFSe: 3626</v>
      </c>
      <c r="I9621" t="str">
        <f t="shared" si="1831"/>
        <v>06/11/2025</v>
      </c>
      <c r="J9621" t="str">
        <f t="shared" si="1830"/>
        <v>03/11/2025</v>
      </c>
      <c r="K9621" t="str">
        <f>("07/11/2025")</f>
        <v>07/11/2025</v>
      </c>
      <c r="L9621">
        <v>1544.4</v>
      </c>
      <c r="M9621">
        <v>1544.4</v>
      </c>
      <c r="N9621">
        <v>303</v>
      </c>
      <c r="O9621" t="str">
        <f>"RECEITAS COM ENTREGAS"</f>
        <v>RECEITAS COM ENTREGAS</v>
      </c>
      <c r="P9621">
        <v>1544.4</v>
      </c>
      <c r="S9621" t="str">
        <f>"RECEITAS COM ENTREGAS (303)"</f>
        <v>RECEITAS COM ENTREGAS (303)</v>
      </c>
      <c r="T9621">
        <v>21210</v>
      </c>
      <c r="U9621">
        <v>24651</v>
      </c>
      <c r="V9621" t="s">
        <v>22</v>
      </c>
    </row>
    <row r="9622" spans="1:22">
      <c r="A9622" t="str">
        <f t="shared" si="1826"/>
        <v>07/11/2025</v>
      </c>
      <c r="B9622" t="str">
        <f t="shared" si="1827"/>
        <v>ENTRADA</v>
      </c>
      <c r="C9622" t="str">
        <f t="shared" si="1828"/>
        <v>NFSE</v>
      </c>
      <c r="D9622" t="str">
        <f>"3626"</f>
        <v>3626</v>
      </c>
      <c r="E9622" t="str">
        <f t="shared" si="1829"/>
        <v>1</v>
      </c>
      <c r="F9622" t="str">
        <f t="shared" si="1823"/>
        <v>COM</v>
      </c>
      <c r="G9622" t="str">
        <f>"DROGARIA POUPA MINAS (ULTRAMINAS) 3 (10129)"</f>
        <v>DROGARIA POUPA MINAS (ULTRAMINAS) 3 (10129)</v>
      </c>
      <c r="H9622" t="s">
        <v>2748</v>
      </c>
      <c r="I9622" t="str">
        <f t="shared" si="1831"/>
        <v>06/11/2025</v>
      </c>
      <c r="J9622" t="str">
        <f t="shared" si="1830"/>
        <v>03/11/2025</v>
      </c>
      <c r="K9622">
        <v>45968</v>
      </c>
      <c r="N9622">
        <v>303</v>
      </c>
      <c r="O9622" t="s">
        <v>69</v>
      </c>
      <c r="Q9622">
        <v>1544.4</v>
      </c>
      <c r="R9622" t="str">
        <f>"DROGARIA POUPA MINAS (ULTRAMINAS) 3 (10129)"</f>
        <v>DROGARIA POUPA MINAS (ULTRAMINAS) 3 (10129)</v>
      </c>
      <c r="S9622" t="s">
        <v>70</v>
      </c>
      <c r="T9622">
        <v>21210</v>
      </c>
      <c r="U9622">
        <v>24651</v>
      </c>
      <c r="V9622" t="s">
        <v>22</v>
      </c>
    </row>
    <row r="9623" spans="1:22">
      <c r="A9623" t="str">
        <f t="shared" si="1826"/>
        <v>07/11/2025</v>
      </c>
      <c r="B9623" t="str">
        <f t="shared" si="1827"/>
        <v>ENTRADA</v>
      </c>
      <c r="C9623" t="str">
        <f t="shared" si="1828"/>
        <v>NFSE</v>
      </c>
      <c r="D9623" t="str">
        <f>"3627"</f>
        <v>3627</v>
      </c>
      <c r="E9623" t="str">
        <f t="shared" si="1829"/>
        <v>1</v>
      </c>
      <c r="F9623" t="str">
        <f t="shared" si="1823"/>
        <v>COM</v>
      </c>
      <c r="G9623" t="str">
        <f>"DROGARIA POUPA MINAS (DOIS AMIGOS) 5 (10140)"</f>
        <v>DROGARIA POUPA MINAS (DOIS AMIGOS) 5 (10140)</v>
      </c>
      <c r="H9623" t="str">
        <f>"Serv.Prest. 27/10/2025 a 02/11/2025 - RPS: 1503 - NFSe: 3627"</f>
        <v>Serv.Prest. 27/10/2025 a 02/11/2025 - RPS: 1503 - NFSe: 3627</v>
      </c>
      <c r="I9623" t="str">
        <f t="shared" si="1831"/>
        <v>06/11/2025</v>
      </c>
      <c r="J9623" t="str">
        <f t="shared" si="1830"/>
        <v>03/11/2025</v>
      </c>
      <c r="K9623" t="str">
        <f>("07/11/2025")</f>
        <v>07/11/2025</v>
      </c>
      <c r="L9623">
        <v>7353.18</v>
      </c>
      <c r="M9623">
        <v>7353.18</v>
      </c>
      <c r="N9623">
        <v>303</v>
      </c>
      <c r="O9623" t="str">
        <f>"RECEITAS COM ENTREGAS"</f>
        <v>RECEITAS COM ENTREGAS</v>
      </c>
      <c r="P9623">
        <v>7353.18</v>
      </c>
      <c r="S9623" t="str">
        <f>"RECEITAS COM ENTREGAS (303)"</f>
        <v>RECEITAS COM ENTREGAS (303)</v>
      </c>
      <c r="T9623">
        <v>21211</v>
      </c>
      <c r="U9623">
        <v>24653</v>
      </c>
      <c r="V9623" t="s">
        <v>22</v>
      </c>
    </row>
    <row r="9624" spans="1:22">
      <c r="A9624" t="str">
        <f t="shared" si="1826"/>
        <v>07/11/2025</v>
      </c>
      <c r="B9624" t="str">
        <f t="shared" si="1827"/>
        <v>ENTRADA</v>
      </c>
      <c r="C9624" t="str">
        <f t="shared" si="1828"/>
        <v>NFSE</v>
      </c>
      <c r="D9624" t="str">
        <f>"3627"</f>
        <v>3627</v>
      </c>
      <c r="E9624" t="str">
        <f t="shared" si="1829"/>
        <v>1</v>
      </c>
      <c r="F9624" t="str">
        <f t="shared" si="1823"/>
        <v>COM</v>
      </c>
      <c r="G9624" t="str">
        <f>"DROGARIA POUPA MINAS (DOIS AMIGOS) 5 (10140)"</f>
        <v>DROGARIA POUPA MINAS (DOIS AMIGOS) 5 (10140)</v>
      </c>
      <c r="H9624" t="s">
        <v>2749</v>
      </c>
      <c r="I9624" t="str">
        <f t="shared" si="1831"/>
        <v>06/11/2025</v>
      </c>
      <c r="J9624" t="str">
        <f t="shared" si="1830"/>
        <v>03/11/2025</v>
      </c>
      <c r="K9624">
        <v>45968</v>
      </c>
      <c r="N9624">
        <v>303</v>
      </c>
      <c r="O9624" t="s">
        <v>69</v>
      </c>
      <c r="Q9624">
        <v>7353.18</v>
      </c>
      <c r="R9624" t="str">
        <f>"DROGARIA POUPA MINAS (ULTRAMINAS) 1 (10181)"</f>
        <v>DROGARIA POUPA MINAS (ULTRAMINAS) 1 (10181)</v>
      </c>
      <c r="S9624" t="s">
        <v>70</v>
      </c>
      <c r="T9624">
        <v>21211</v>
      </c>
      <c r="U9624">
        <v>24653</v>
      </c>
      <c r="V9624" t="s">
        <v>22</v>
      </c>
    </row>
    <row r="9625" spans="1:22">
      <c r="A9625" t="str">
        <f t="shared" si="1826"/>
        <v>07/11/2025</v>
      </c>
      <c r="B9625" t="str">
        <f t="shared" ref="B9625:B9656" si="1832">"SAÍDA"</f>
        <v>SAÍDA</v>
      </c>
      <c r="C9625" t="str">
        <f t="shared" ref="C9625:C9632" si="1833">"CONHECIMENTO"</f>
        <v>CONHECIMENTO</v>
      </c>
      <c r="D9625" t="str">
        <f t="shared" ref="D9625:D9632" si="1834">"01092025"</f>
        <v>01092025</v>
      </c>
      <c r="E9625" t="str">
        <f>"2"</f>
        <v>2</v>
      </c>
      <c r="F9625" t="str">
        <f t="shared" si="1823"/>
        <v>COM</v>
      </c>
      <c r="G9625" t="str">
        <f t="shared" ref="G9625:G9632" si="1835">"CORA SOCIEDADE DE CREDITO, FINANCIAMENTO E INVESTIMENTO (20035)"</f>
        <v>CORA SOCIEDADE DE CREDITO, FINANCIAMENTO E INVESTIMENTO (20035)</v>
      </c>
      <c r="H9625" t="str">
        <f>"TAXA BOLETO "</f>
        <v xml:space="preserve">TAXA BOLETO </v>
      </c>
      <c r="I9625" t="str">
        <f t="shared" ref="I9625:I9632" si="1836">("07/11/2025")</f>
        <v>07/11/2025</v>
      </c>
      <c r="J9625" t="str">
        <f t="shared" ref="J9625:J9632" si="1837">("01/09/2025")</f>
        <v>01/09/2025</v>
      </c>
      <c r="K9625" t="str">
        <f>("07/11/2025")</f>
        <v>07/11/2025</v>
      </c>
      <c r="L9625">
        <v>0.5</v>
      </c>
      <c r="M9625">
        <v>0.5</v>
      </c>
      <c r="N9625">
        <v>401</v>
      </c>
      <c r="O9625" t="str">
        <f>"IOF/JUROS/DESP.FINANCEIRA"</f>
        <v>IOF/JUROS/DESP.FINANCEIRA</v>
      </c>
      <c r="P9625">
        <v>0.5</v>
      </c>
      <c r="S9625" t="str">
        <f>"BANCO CORA (102)"</f>
        <v>BANCO CORA (102)</v>
      </c>
      <c r="T9625">
        <v>22794</v>
      </c>
      <c r="U9625">
        <v>26416</v>
      </c>
      <c r="V9625" t="s">
        <v>22</v>
      </c>
    </row>
    <row r="9626" spans="1:22">
      <c r="A9626" t="str">
        <f t="shared" si="1826"/>
        <v>07/11/2025</v>
      </c>
      <c r="B9626" t="str">
        <f t="shared" si="1832"/>
        <v>SAÍDA</v>
      </c>
      <c r="C9626" t="str">
        <f t="shared" si="1833"/>
        <v>CONHECIMENTO</v>
      </c>
      <c r="D9626" t="str">
        <f t="shared" si="1834"/>
        <v>01092025</v>
      </c>
      <c r="E9626" t="str">
        <f>"2"</f>
        <v>2</v>
      </c>
      <c r="F9626" t="str">
        <f t="shared" si="1823"/>
        <v>COM</v>
      </c>
      <c r="G9626" t="str">
        <f t="shared" si="1835"/>
        <v>CORA SOCIEDADE DE CREDITO, FINANCIAMENTO E INVESTIMENTO (20035)</v>
      </c>
      <c r="H9626" t="s">
        <v>75</v>
      </c>
      <c r="I9626" t="str">
        <f t="shared" si="1836"/>
        <v>07/11/2025</v>
      </c>
      <c r="J9626" t="str">
        <f t="shared" si="1837"/>
        <v>01/09/2025</v>
      </c>
      <c r="K9626">
        <v>45968</v>
      </c>
      <c r="N9626">
        <v>401</v>
      </c>
      <c r="O9626" t="s">
        <v>76</v>
      </c>
      <c r="Q9626">
        <v>0.5</v>
      </c>
      <c r="R9626" t="str">
        <f>"CORA SOCIEDADE DE CREDITO, FINANCIAMENTO E INVESTIMENTO (20035)"</f>
        <v>CORA SOCIEDADE DE CREDITO, FINANCIAMENTO E INVESTIMENTO (20035)</v>
      </c>
      <c r="S9626" t="s">
        <v>22</v>
      </c>
      <c r="T9626">
        <v>22794</v>
      </c>
      <c r="U9626">
        <v>26416</v>
      </c>
      <c r="V9626" t="s">
        <v>22</v>
      </c>
    </row>
    <row r="9627" spans="1:22">
      <c r="A9627" t="str">
        <f t="shared" si="1826"/>
        <v>07/11/2025</v>
      </c>
      <c r="B9627" t="str">
        <f t="shared" si="1832"/>
        <v>SAÍDA</v>
      </c>
      <c r="C9627" t="str">
        <f t="shared" si="1833"/>
        <v>CONHECIMENTO</v>
      </c>
      <c r="D9627" t="str">
        <f t="shared" si="1834"/>
        <v>01092025</v>
      </c>
      <c r="E9627" t="str">
        <f>"3"</f>
        <v>3</v>
      </c>
      <c r="F9627" t="str">
        <f t="shared" si="1823"/>
        <v>COM</v>
      </c>
      <c r="G9627" t="str">
        <f t="shared" si="1835"/>
        <v>CORA SOCIEDADE DE CREDITO, FINANCIAMENTO E INVESTIMENTO (20035)</v>
      </c>
      <c r="H9627" t="str">
        <f>"TAXA BOLETO "</f>
        <v xml:space="preserve">TAXA BOLETO </v>
      </c>
      <c r="I9627" t="str">
        <f t="shared" si="1836"/>
        <v>07/11/2025</v>
      </c>
      <c r="J9627" t="str">
        <f t="shared" si="1837"/>
        <v>01/09/2025</v>
      </c>
      <c r="K9627" t="str">
        <f>("07/11/2025")</f>
        <v>07/11/2025</v>
      </c>
      <c r="L9627">
        <v>1.7</v>
      </c>
      <c r="M9627">
        <v>1.7</v>
      </c>
      <c r="N9627">
        <v>401</v>
      </c>
      <c r="O9627" t="str">
        <f>"IOF/JUROS/DESP.FINANCEIRA"</f>
        <v>IOF/JUROS/DESP.FINANCEIRA</v>
      </c>
      <c r="P9627">
        <v>1.7</v>
      </c>
      <c r="S9627" t="str">
        <f>"BANCO CORA (102)"</f>
        <v>BANCO CORA (102)</v>
      </c>
      <c r="T9627">
        <v>22795</v>
      </c>
      <c r="U9627">
        <v>26417</v>
      </c>
      <c r="V9627" t="s">
        <v>22</v>
      </c>
    </row>
    <row r="9628" spans="1:22">
      <c r="A9628" t="str">
        <f t="shared" si="1826"/>
        <v>07/11/2025</v>
      </c>
      <c r="B9628" t="str">
        <f t="shared" si="1832"/>
        <v>SAÍDA</v>
      </c>
      <c r="C9628" t="str">
        <f t="shared" si="1833"/>
        <v>CONHECIMENTO</v>
      </c>
      <c r="D9628" t="str">
        <f t="shared" si="1834"/>
        <v>01092025</v>
      </c>
      <c r="E9628" t="str">
        <f>"3"</f>
        <v>3</v>
      </c>
      <c r="F9628" t="str">
        <f t="shared" si="1823"/>
        <v>COM</v>
      </c>
      <c r="G9628" t="str">
        <f t="shared" si="1835"/>
        <v>CORA SOCIEDADE DE CREDITO, FINANCIAMENTO E INVESTIMENTO (20035)</v>
      </c>
      <c r="H9628" t="s">
        <v>75</v>
      </c>
      <c r="I9628" t="str">
        <f t="shared" si="1836"/>
        <v>07/11/2025</v>
      </c>
      <c r="J9628" t="str">
        <f t="shared" si="1837"/>
        <v>01/09/2025</v>
      </c>
      <c r="K9628">
        <v>45968</v>
      </c>
      <c r="N9628">
        <v>401</v>
      </c>
      <c r="O9628" t="s">
        <v>76</v>
      </c>
      <c r="Q9628">
        <v>1.7</v>
      </c>
      <c r="R9628" t="str">
        <f>"CORA SOCIEDADE DE CREDITO, FINANCIAMENTO E INVESTIMENTO (20035)"</f>
        <v>CORA SOCIEDADE DE CREDITO, FINANCIAMENTO E INVESTIMENTO (20035)</v>
      </c>
      <c r="S9628" t="s">
        <v>22</v>
      </c>
      <c r="T9628">
        <v>22795</v>
      </c>
      <c r="U9628">
        <v>26417</v>
      </c>
      <c r="V9628" t="s">
        <v>22</v>
      </c>
    </row>
    <row r="9629" spans="1:22">
      <c r="A9629" t="str">
        <f t="shared" si="1826"/>
        <v>07/11/2025</v>
      </c>
      <c r="B9629" t="str">
        <f t="shared" si="1832"/>
        <v>SAÍDA</v>
      </c>
      <c r="C9629" t="str">
        <f t="shared" si="1833"/>
        <v>CONHECIMENTO</v>
      </c>
      <c r="D9629" t="str">
        <f t="shared" si="1834"/>
        <v>01092025</v>
      </c>
      <c r="E9629" t="str">
        <f>"5"</f>
        <v>5</v>
      </c>
      <c r="F9629" t="str">
        <f t="shared" si="1823"/>
        <v>COM</v>
      </c>
      <c r="G9629" t="str">
        <f t="shared" si="1835"/>
        <v>CORA SOCIEDADE DE CREDITO, FINANCIAMENTO E INVESTIMENTO (20035)</v>
      </c>
      <c r="H9629" t="str">
        <f>"TAXA BOLETO "</f>
        <v xml:space="preserve">TAXA BOLETO </v>
      </c>
      <c r="I9629" t="str">
        <f t="shared" si="1836"/>
        <v>07/11/2025</v>
      </c>
      <c r="J9629" t="str">
        <f t="shared" si="1837"/>
        <v>01/09/2025</v>
      </c>
      <c r="K9629" t="str">
        <f>("07/11/2025")</f>
        <v>07/11/2025</v>
      </c>
      <c r="L9629">
        <v>1.7</v>
      </c>
      <c r="M9629">
        <v>1.7</v>
      </c>
      <c r="N9629">
        <v>401</v>
      </c>
      <c r="O9629" t="str">
        <f>"IOF/JUROS/DESP.FINANCEIRA"</f>
        <v>IOF/JUROS/DESP.FINANCEIRA</v>
      </c>
      <c r="P9629">
        <v>1.7</v>
      </c>
      <c r="S9629" t="str">
        <f>"BANCO CORA (102)"</f>
        <v>BANCO CORA (102)</v>
      </c>
      <c r="T9629">
        <v>22796</v>
      </c>
      <c r="U9629">
        <v>26419</v>
      </c>
      <c r="V9629" t="s">
        <v>22</v>
      </c>
    </row>
    <row r="9630" spans="1:22">
      <c r="A9630" t="str">
        <f t="shared" si="1826"/>
        <v>07/11/2025</v>
      </c>
      <c r="B9630" t="str">
        <f t="shared" si="1832"/>
        <v>SAÍDA</v>
      </c>
      <c r="C9630" t="str">
        <f t="shared" si="1833"/>
        <v>CONHECIMENTO</v>
      </c>
      <c r="D9630" t="str">
        <f t="shared" si="1834"/>
        <v>01092025</v>
      </c>
      <c r="E9630" t="str">
        <f>"5"</f>
        <v>5</v>
      </c>
      <c r="F9630" t="str">
        <f t="shared" si="1823"/>
        <v>COM</v>
      </c>
      <c r="G9630" t="str">
        <f t="shared" si="1835"/>
        <v>CORA SOCIEDADE DE CREDITO, FINANCIAMENTO E INVESTIMENTO (20035)</v>
      </c>
      <c r="H9630" t="s">
        <v>75</v>
      </c>
      <c r="I9630" t="str">
        <f t="shared" si="1836"/>
        <v>07/11/2025</v>
      </c>
      <c r="J9630" t="str">
        <f t="shared" si="1837"/>
        <v>01/09/2025</v>
      </c>
      <c r="K9630">
        <v>45968</v>
      </c>
      <c r="N9630">
        <v>401</v>
      </c>
      <c r="O9630" t="s">
        <v>76</v>
      </c>
      <c r="Q9630">
        <v>1.7</v>
      </c>
      <c r="R9630" t="str">
        <f>"CORA SOCIEDADE DE CREDITO, FINANCIAMENTO E INVESTIMENTO (20035)"</f>
        <v>CORA SOCIEDADE DE CREDITO, FINANCIAMENTO E INVESTIMENTO (20035)</v>
      </c>
      <c r="S9630" t="s">
        <v>22</v>
      </c>
      <c r="T9630">
        <v>22796</v>
      </c>
      <c r="U9630">
        <v>26419</v>
      </c>
      <c r="V9630" t="s">
        <v>22</v>
      </c>
    </row>
    <row r="9631" spans="1:22">
      <c r="A9631" t="str">
        <f t="shared" si="1826"/>
        <v>07/11/2025</v>
      </c>
      <c r="B9631" t="str">
        <f t="shared" si="1832"/>
        <v>SAÍDA</v>
      </c>
      <c r="C9631" t="str">
        <f t="shared" si="1833"/>
        <v>CONHECIMENTO</v>
      </c>
      <c r="D9631" t="str">
        <f t="shared" si="1834"/>
        <v>01092025</v>
      </c>
      <c r="E9631" t="str">
        <f>"4"</f>
        <v>4</v>
      </c>
      <c r="F9631" t="str">
        <f t="shared" si="1823"/>
        <v>COM</v>
      </c>
      <c r="G9631" t="str">
        <f t="shared" si="1835"/>
        <v>CORA SOCIEDADE DE CREDITO, FINANCIAMENTO E INVESTIMENTO (20035)</v>
      </c>
      <c r="H9631" t="str">
        <f>"TAXA BOLETO "</f>
        <v xml:space="preserve">TAXA BOLETO </v>
      </c>
      <c r="I9631" t="str">
        <f t="shared" si="1836"/>
        <v>07/11/2025</v>
      </c>
      <c r="J9631" t="str">
        <f t="shared" si="1837"/>
        <v>01/09/2025</v>
      </c>
      <c r="K9631" t="str">
        <f>("07/11/2025")</f>
        <v>07/11/2025</v>
      </c>
      <c r="L9631">
        <v>1.7</v>
      </c>
      <c r="M9631">
        <v>1.7</v>
      </c>
      <c r="N9631">
        <v>401</v>
      </c>
      <c r="O9631" t="str">
        <f>"IOF/JUROS/DESP.FINANCEIRA"</f>
        <v>IOF/JUROS/DESP.FINANCEIRA</v>
      </c>
      <c r="P9631">
        <v>1.7</v>
      </c>
      <c r="S9631" t="str">
        <f>"BANCO CORA (102)"</f>
        <v>BANCO CORA (102)</v>
      </c>
      <c r="T9631">
        <v>22797</v>
      </c>
      <c r="U9631">
        <v>26418</v>
      </c>
      <c r="V9631" t="s">
        <v>22</v>
      </c>
    </row>
    <row r="9632" spans="1:22">
      <c r="A9632" t="str">
        <f t="shared" si="1826"/>
        <v>07/11/2025</v>
      </c>
      <c r="B9632" t="str">
        <f t="shared" si="1832"/>
        <v>SAÍDA</v>
      </c>
      <c r="C9632" t="str">
        <f t="shared" si="1833"/>
        <v>CONHECIMENTO</v>
      </c>
      <c r="D9632" t="str">
        <f t="shared" si="1834"/>
        <v>01092025</v>
      </c>
      <c r="E9632" t="str">
        <f>"4"</f>
        <v>4</v>
      </c>
      <c r="F9632" t="str">
        <f t="shared" si="1823"/>
        <v>COM</v>
      </c>
      <c r="G9632" t="str">
        <f t="shared" si="1835"/>
        <v>CORA SOCIEDADE DE CREDITO, FINANCIAMENTO E INVESTIMENTO (20035)</v>
      </c>
      <c r="H9632" t="s">
        <v>75</v>
      </c>
      <c r="I9632" t="str">
        <f t="shared" si="1836"/>
        <v>07/11/2025</v>
      </c>
      <c r="J9632" t="str">
        <f t="shared" si="1837"/>
        <v>01/09/2025</v>
      </c>
      <c r="K9632">
        <v>45968</v>
      </c>
      <c r="N9632">
        <v>401</v>
      </c>
      <c r="O9632" t="s">
        <v>76</v>
      </c>
      <c r="Q9632">
        <v>1.7</v>
      </c>
      <c r="R9632" t="str">
        <f>"CORA SOCIEDADE DE CREDITO, FINANCIAMENTO E INVESTIMENTO (20035)"</f>
        <v>CORA SOCIEDADE DE CREDITO, FINANCIAMENTO E INVESTIMENTO (20035)</v>
      </c>
      <c r="S9632" t="s">
        <v>22</v>
      </c>
      <c r="T9632">
        <v>22797</v>
      </c>
      <c r="U9632">
        <v>26418</v>
      </c>
      <c r="V9632" t="s">
        <v>22</v>
      </c>
    </row>
    <row r="9633" spans="1:22">
      <c r="A9633" t="str">
        <f t="shared" ref="A9633:A9658" si="1838">("08/11/2025")</f>
        <v>08/11/2025</v>
      </c>
      <c r="B9633" t="str">
        <f t="shared" si="1832"/>
        <v>SAÍDA</v>
      </c>
      <c r="C9633" t="str">
        <f t="shared" ref="C9633:C9664" si="1839">"PIX"</f>
        <v>PIX</v>
      </c>
      <c r="D9633" t="str">
        <f t="shared" ref="D9633:D9638" si="1840">"25261"</f>
        <v>25261</v>
      </c>
      <c r="E9633" t="str">
        <f t="shared" ref="E9633:E9674" si="1841">"1"</f>
        <v>1</v>
      </c>
      <c r="F9633" t="str">
        <f t="shared" si="1823"/>
        <v>COM</v>
      </c>
      <c r="G9633" t="str">
        <f t="shared" ref="G9633:G9638" si="1842">"ALESSANDRO DA CONCEICAO BRASILEIRO (1047)"</f>
        <v>ALESSANDRO DA CONCEICAO BRASILEIRO (1047)</v>
      </c>
      <c r="H9633" t="str">
        <f>"Serv.Prest. 03/11/2025 a 09/11/2025 - PIX: CELULAR - CHAVE: (34) 99768-4372"</f>
        <v>Serv.Prest. 03/11/2025 a 09/11/2025 - PIX: CELULAR - CHAVE: (34) 99768-4372</v>
      </c>
      <c r="I9633" t="str">
        <f t="shared" ref="I9633:I9654" si="1843">("13/11/2025")</f>
        <v>13/11/2025</v>
      </c>
      <c r="J9633" t="str">
        <f t="shared" ref="J9633:J9640" si="1844">("12/11/2025")</f>
        <v>12/11/2025</v>
      </c>
      <c r="K9633" t="str">
        <f>("08/11/2025")</f>
        <v>08/11/2025</v>
      </c>
      <c r="L9633">
        <v>320</v>
      </c>
      <c r="M9633">
        <v>320</v>
      </c>
      <c r="N9633">
        <v>134</v>
      </c>
      <c r="O9633" t="str">
        <f>"DIARIA DE MOTOBOY"</f>
        <v>DIARIA DE MOTOBOY</v>
      </c>
      <c r="P9633">
        <v>320</v>
      </c>
      <c r="S9633" t="str">
        <f>"BANCO CORA (102)"</f>
        <v>BANCO CORA (102)</v>
      </c>
      <c r="T9633">
        <v>20818</v>
      </c>
      <c r="U9633">
        <v>25288</v>
      </c>
      <c r="V9633" t="s">
        <v>22</v>
      </c>
    </row>
    <row r="9634" spans="1:22">
      <c r="A9634" t="str">
        <f t="shared" si="1838"/>
        <v>08/11/2025</v>
      </c>
      <c r="B9634" t="str">
        <f t="shared" si="1832"/>
        <v>SAÍDA</v>
      </c>
      <c r="C9634" t="str">
        <f t="shared" si="1839"/>
        <v>PIX</v>
      </c>
      <c r="D9634" t="str">
        <f t="shared" si="1840"/>
        <v>25261</v>
      </c>
      <c r="E9634" t="str">
        <f t="shared" si="1841"/>
        <v>1</v>
      </c>
      <c r="F9634" t="str">
        <f t="shared" si="1823"/>
        <v>COM</v>
      </c>
      <c r="G9634" t="str">
        <f t="shared" si="1842"/>
        <v>ALESSANDRO DA CONCEICAO BRASILEIRO (1047)</v>
      </c>
      <c r="H9634" t="s">
        <v>2507</v>
      </c>
      <c r="I9634" t="str">
        <f t="shared" si="1843"/>
        <v>13/11/2025</v>
      </c>
      <c r="J9634" t="str">
        <f t="shared" si="1844"/>
        <v>12/11/2025</v>
      </c>
      <c r="K9634">
        <v>45969</v>
      </c>
      <c r="N9634">
        <v>134</v>
      </c>
      <c r="O9634" t="s">
        <v>41</v>
      </c>
      <c r="Q9634">
        <v>25.96</v>
      </c>
      <c r="R9634" t="str">
        <f>"DROGALIDER 42 (10247)"</f>
        <v>DROGALIDER 42 (10247)</v>
      </c>
      <c r="S9634" t="s">
        <v>22</v>
      </c>
      <c r="T9634">
        <v>20818</v>
      </c>
      <c r="U9634">
        <v>25288</v>
      </c>
      <c r="V9634" t="s">
        <v>22</v>
      </c>
    </row>
    <row r="9635" spans="1:22">
      <c r="A9635" t="str">
        <f t="shared" si="1838"/>
        <v>08/11/2025</v>
      </c>
      <c r="B9635" t="str">
        <f t="shared" si="1832"/>
        <v>SAÍDA</v>
      </c>
      <c r="C9635" t="str">
        <f t="shared" si="1839"/>
        <v>PIX</v>
      </c>
      <c r="D9635" t="str">
        <f t="shared" si="1840"/>
        <v>25261</v>
      </c>
      <c r="E9635" t="str">
        <f t="shared" si="1841"/>
        <v>1</v>
      </c>
      <c r="F9635" t="str">
        <f t="shared" si="1823"/>
        <v>COM</v>
      </c>
      <c r="G9635" t="str">
        <f t="shared" si="1842"/>
        <v>ALESSANDRO DA CONCEICAO BRASILEIRO (1047)</v>
      </c>
      <c r="H9635" t="s">
        <v>2507</v>
      </c>
      <c r="I9635" t="str">
        <f t="shared" si="1843"/>
        <v>13/11/2025</v>
      </c>
      <c r="J9635" t="str">
        <f t="shared" si="1844"/>
        <v>12/11/2025</v>
      </c>
      <c r="K9635">
        <v>45969</v>
      </c>
      <c r="N9635">
        <v>134</v>
      </c>
      <c r="O9635" t="s">
        <v>41</v>
      </c>
      <c r="Q9635">
        <v>73.5</v>
      </c>
      <c r="R9635" t="str">
        <f>"DROGALIDER 55 (10249)"</f>
        <v>DROGALIDER 55 (10249)</v>
      </c>
      <c r="S9635" t="s">
        <v>22</v>
      </c>
      <c r="T9635">
        <v>20818</v>
      </c>
      <c r="U9635">
        <v>25288</v>
      </c>
      <c r="V9635" t="s">
        <v>22</v>
      </c>
    </row>
    <row r="9636" spans="1:22">
      <c r="A9636" t="str">
        <f t="shared" si="1838"/>
        <v>08/11/2025</v>
      </c>
      <c r="B9636" t="str">
        <f t="shared" si="1832"/>
        <v>SAÍDA</v>
      </c>
      <c r="C9636" t="str">
        <f t="shared" si="1839"/>
        <v>PIX</v>
      </c>
      <c r="D9636" t="str">
        <f t="shared" si="1840"/>
        <v>25261</v>
      </c>
      <c r="E9636" t="str">
        <f t="shared" si="1841"/>
        <v>1</v>
      </c>
      <c r="F9636" t="str">
        <f t="shared" si="1823"/>
        <v>COM</v>
      </c>
      <c r="G9636" t="str">
        <f t="shared" si="1842"/>
        <v>ALESSANDRO DA CONCEICAO BRASILEIRO (1047)</v>
      </c>
      <c r="H9636" t="s">
        <v>2507</v>
      </c>
      <c r="I9636" t="str">
        <f t="shared" si="1843"/>
        <v>13/11/2025</v>
      </c>
      <c r="J9636" t="str">
        <f t="shared" si="1844"/>
        <v>12/11/2025</v>
      </c>
      <c r="K9636">
        <v>45969</v>
      </c>
      <c r="N9636">
        <v>134</v>
      </c>
      <c r="O9636" t="s">
        <v>41</v>
      </c>
      <c r="Q9636">
        <v>60.54</v>
      </c>
      <c r="R9636" t="str">
        <f>"DROGALIDER 67 (10252)"</f>
        <v>DROGALIDER 67 (10252)</v>
      </c>
      <c r="S9636" t="s">
        <v>22</v>
      </c>
      <c r="T9636">
        <v>20818</v>
      </c>
      <c r="U9636">
        <v>25288</v>
      </c>
      <c r="V9636" t="s">
        <v>22</v>
      </c>
    </row>
    <row r="9637" spans="1:22">
      <c r="A9637" t="str">
        <f t="shared" si="1838"/>
        <v>08/11/2025</v>
      </c>
      <c r="B9637" t="str">
        <f t="shared" si="1832"/>
        <v>SAÍDA</v>
      </c>
      <c r="C9637" t="str">
        <f t="shared" si="1839"/>
        <v>PIX</v>
      </c>
      <c r="D9637" t="str">
        <f t="shared" si="1840"/>
        <v>25261</v>
      </c>
      <c r="E9637" t="str">
        <f t="shared" si="1841"/>
        <v>1</v>
      </c>
      <c r="F9637" t="str">
        <f t="shared" si="1823"/>
        <v>COM</v>
      </c>
      <c r="G9637" t="str">
        <f t="shared" si="1842"/>
        <v>ALESSANDRO DA CONCEICAO BRASILEIRO (1047)</v>
      </c>
      <c r="H9637" t="s">
        <v>2507</v>
      </c>
      <c r="I9637" t="str">
        <f t="shared" si="1843"/>
        <v>13/11/2025</v>
      </c>
      <c r="J9637" t="str">
        <f t="shared" si="1844"/>
        <v>12/11/2025</v>
      </c>
      <c r="K9637">
        <v>45969</v>
      </c>
      <c r="N9637">
        <v>134</v>
      </c>
      <c r="O9637" t="s">
        <v>41</v>
      </c>
      <c r="Q9637">
        <v>30.27</v>
      </c>
      <c r="R9637" t="str">
        <f>"DROGALIDER 68 (10253)"</f>
        <v>DROGALIDER 68 (10253)</v>
      </c>
      <c r="S9637" t="s">
        <v>22</v>
      </c>
      <c r="T9637">
        <v>20818</v>
      </c>
      <c r="U9637">
        <v>25288</v>
      </c>
      <c r="V9637" t="s">
        <v>22</v>
      </c>
    </row>
    <row r="9638" spans="1:22">
      <c r="A9638" t="str">
        <f t="shared" si="1838"/>
        <v>08/11/2025</v>
      </c>
      <c r="B9638" t="str">
        <f t="shared" si="1832"/>
        <v>SAÍDA</v>
      </c>
      <c r="C9638" t="str">
        <f t="shared" si="1839"/>
        <v>PIX</v>
      </c>
      <c r="D9638" t="str">
        <f t="shared" si="1840"/>
        <v>25261</v>
      </c>
      <c r="E9638" t="str">
        <f t="shared" si="1841"/>
        <v>1</v>
      </c>
      <c r="F9638" t="str">
        <f t="shared" si="1823"/>
        <v>COM</v>
      </c>
      <c r="G9638" t="str">
        <f t="shared" si="1842"/>
        <v>ALESSANDRO DA CONCEICAO BRASILEIRO (1047)</v>
      </c>
      <c r="H9638" t="s">
        <v>2507</v>
      </c>
      <c r="I9638" t="str">
        <f t="shared" si="1843"/>
        <v>13/11/2025</v>
      </c>
      <c r="J9638" t="str">
        <f t="shared" si="1844"/>
        <v>12/11/2025</v>
      </c>
      <c r="K9638">
        <v>45969</v>
      </c>
      <c r="N9638">
        <v>134</v>
      </c>
      <c r="O9638" t="s">
        <v>41</v>
      </c>
      <c r="Q9638">
        <v>129.72999999999999</v>
      </c>
      <c r="R9638" t="str">
        <f>"DROGALIDER 31 (10256)"</f>
        <v>DROGALIDER 31 (10256)</v>
      </c>
      <c r="S9638" t="s">
        <v>22</v>
      </c>
      <c r="T9638">
        <v>20818</v>
      </c>
      <c r="U9638">
        <v>25288</v>
      </c>
      <c r="V9638" t="s">
        <v>22</v>
      </c>
    </row>
    <row r="9639" spans="1:22">
      <c r="A9639" t="str">
        <f t="shared" si="1838"/>
        <v>08/11/2025</v>
      </c>
      <c r="B9639" t="str">
        <f t="shared" si="1832"/>
        <v>SAÍDA</v>
      </c>
      <c r="C9639" t="str">
        <f t="shared" si="1839"/>
        <v>PIX</v>
      </c>
      <c r="D9639" t="str">
        <f>"25263"</f>
        <v>25263</v>
      </c>
      <c r="E9639" t="str">
        <f t="shared" si="1841"/>
        <v>1</v>
      </c>
      <c r="F9639" t="str">
        <f t="shared" si="1823"/>
        <v>COM</v>
      </c>
      <c r="G9639" t="str">
        <f>"JONAS EDUARDO SANTOS (1069)"</f>
        <v>JONAS EDUARDO SANTOS (1069)</v>
      </c>
      <c r="H9639" t="str">
        <f>"Serv.Prest. 03/11/2025 a 09/11/2025 - PIX: CPF - CHAVE: 126.935.356-03"</f>
        <v>Serv.Prest. 03/11/2025 a 09/11/2025 - PIX: CPF - CHAVE: 126.935.356-03</v>
      </c>
      <c r="I9639" t="str">
        <f t="shared" si="1843"/>
        <v>13/11/2025</v>
      </c>
      <c r="J9639" t="str">
        <f t="shared" si="1844"/>
        <v>12/11/2025</v>
      </c>
      <c r="K9639" t="str">
        <f>("08/11/2025")</f>
        <v>08/11/2025</v>
      </c>
      <c r="L9639">
        <v>170</v>
      </c>
      <c r="M9639">
        <v>170</v>
      </c>
      <c r="N9639">
        <v>134</v>
      </c>
      <c r="O9639" t="str">
        <f>"DIARIA DE MOTOBOY"</f>
        <v>DIARIA DE MOTOBOY</v>
      </c>
      <c r="P9639">
        <v>170</v>
      </c>
      <c r="S9639" t="str">
        <f>"BANCO CORA (102)"</f>
        <v>BANCO CORA (102)</v>
      </c>
      <c r="T9639">
        <v>20821</v>
      </c>
      <c r="U9639">
        <v>25263</v>
      </c>
      <c r="V9639" t="s">
        <v>22</v>
      </c>
    </row>
    <row r="9640" spans="1:22">
      <c r="A9640" t="str">
        <f t="shared" si="1838"/>
        <v>08/11/2025</v>
      </c>
      <c r="B9640" t="str">
        <f t="shared" si="1832"/>
        <v>SAÍDA</v>
      </c>
      <c r="C9640" t="str">
        <f t="shared" si="1839"/>
        <v>PIX</v>
      </c>
      <c r="D9640" t="str">
        <f>"25263"</f>
        <v>25263</v>
      </c>
      <c r="E9640" t="str">
        <f t="shared" si="1841"/>
        <v>1</v>
      </c>
      <c r="F9640" t="str">
        <f t="shared" si="1823"/>
        <v>COM</v>
      </c>
      <c r="G9640" t="str">
        <f>"JONAS EDUARDO SANTOS (1069)"</f>
        <v>JONAS EDUARDO SANTOS (1069)</v>
      </c>
      <c r="H9640" t="s">
        <v>2750</v>
      </c>
      <c r="I9640" t="str">
        <f t="shared" si="1843"/>
        <v>13/11/2025</v>
      </c>
      <c r="J9640" t="str">
        <f t="shared" si="1844"/>
        <v>12/11/2025</v>
      </c>
      <c r="K9640">
        <v>45969</v>
      </c>
      <c r="N9640">
        <v>134</v>
      </c>
      <c r="O9640" t="s">
        <v>41</v>
      </c>
      <c r="Q9640">
        <v>170</v>
      </c>
      <c r="R9640" t="str">
        <f>"DROGALIDER 31 (10256)"</f>
        <v>DROGALIDER 31 (10256)</v>
      </c>
      <c r="S9640" t="s">
        <v>22</v>
      </c>
      <c r="T9640">
        <v>20821</v>
      </c>
      <c r="U9640">
        <v>25263</v>
      </c>
      <c r="V9640" t="s">
        <v>22</v>
      </c>
    </row>
    <row r="9641" spans="1:22">
      <c r="A9641" t="str">
        <f t="shared" si="1838"/>
        <v>08/11/2025</v>
      </c>
      <c r="B9641" t="str">
        <f t="shared" si="1832"/>
        <v>SAÍDA</v>
      </c>
      <c r="C9641" t="str">
        <f t="shared" si="1839"/>
        <v>PIX</v>
      </c>
      <c r="D9641" t="str">
        <f>"25076"</f>
        <v>25076</v>
      </c>
      <c r="E9641" t="str">
        <f t="shared" si="1841"/>
        <v>1</v>
      </c>
      <c r="F9641" t="str">
        <f t="shared" ref="F9641:F9672" si="1845">"COM"</f>
        <v>COM</v>
      </c>
      <c r="G9641" t="str">
        <f>"CHARLES SOUZA RIBEIRO (1040)"</f>
        <v>CHARLES SOUZA RIBEIRO (1040)</v>
      </c>
      <c r="H9641" t="str">
        <f>"Serv.Prest. 03/11/2025 a 09/11/2025 - PIX: CELULAR - CHAVE: (34) 99668-5593"</f>
        <v>Serv.Prest. 03/11/2025 a 09/11/2025 - PIX: CELULAR - CHAVE: (34) 99668-5593</v>
      </c>
      <c r="I9641" t="str">
        <f t="shared" si="1843"/>
        <v>13/11/2025</v>
      </c>
      <c r="J9641" t="str">
        <f t="shared" ref="J9641:J9654" si="1846">("10/11/2025")</f>
        <v>10/11/2025</v>
      </c>
      <c r="K9641" t="str">
        <f>("08/11/2025")</f>
        <v>08/11/2025</v>
      </c>
      <c r="L9641">
        <v>87</v>
      </c>
      <c r="M9641">
        <v>150</v>
      </c>
      <c r="N9641">
        <v>134</v>
      </c>
      <c r="O9641" t="str">
        <f>"DIARIA DE MOTOBOY"</f>
        <v>DIARIA DE MOTOBOY</v>
      </c>
      <c r="P9641">
        <v>150</v>
      </c>
      <c r="S9641" t="str">
        <f>"BANCO CORA (102)"</f>
        <v>BANCO CORA (102)</v>
      </c>
      <c r="T9641">
        <v>20850</v>
      </c>
      <c r="U9641">
        <v>25076</v>
      </c>
      <c r="V9641" t="s">
        <v>22</v>
      </c>
    </row>
    <row r="9642" spans="1:22">
      <c r="A9642" t="str">
        <f t="shared" si="1838"/>
        <v>08/11/2025</v>
      </c>
      <c r="B9642" t="str">
        <f t="shared" si="1832"/>
        <v>SAÍDA</v>
      </c>
      <c r="C9642" t="str">
        <f t="shared" si="1839"/>
        <v>PIX</v>
      </c>
      <c r="D9642" t="str">
        <f>"25076"</f>
        <v>25076</v>
      </c>
      <c r="E9642" t="str">
        <f t="shared" si="1841"/>
        <v>1</v>
      </c>
      <c r="F9642" t="str">
        <f t="shared" si="1845"/>
        <v>COM</v>
      </c>
      <c r="G9642" t="str">
        <f>"CHARLES SOUZA RIBEIRO (1040)"</f>
        <v>CHARLES SOUZA RIBEIRO (1040)</v>
      </c>
      <c r="H9642" t="s">
        <v>2742</v>
      </c>
      <c r="I9642" t="str">
        <f t="shared" si="1843"/>
        <v>13/11/2025</v>
      </c>
      <c r="J9642" t="str">
        <f t="shared" si="1846"/>
        <v>10/11/2025</v>
      </c>
      <c r="K9642">
        <v>45969</v>
      </c>
      <c r="N9642">
        <v>134</v>
      </c>
      <c r="O9642" t="s">
        <v>41</v>
      </c>
      <c r="Q9642">
        <v>150</v>
      </c>
      <c r="R9642" t="str">
        <f>"PAGMENOS - LJ 431 (10265)"</f>
        <v>PAGMENOS - LJ 431 (10265)</v>
      </c>
      <c r="S9642" t="s">
        <v>22</v>
      </c>
      <c r="T9642">
        <v>20850</v>
      </c>
      <c r="U9642">
        <v>25076</v>
      </c>
      <c r="V9642" t="s">
        <v>22</v>
      </c>
    </row>
    <row r="9643" spans="1:22">
      <c r="A9643" t="str">
        <f t="shared" si="1838"/>
        <v>08/11/2025</v>
      </c>
      <c r="B9643" t="str">
        <f t="shared" si="1832"/>
        <v>SAÍDA</v>
      </c>
      <c r="C9643" t="str">
        <f t="shared" si="1839"/>
        <v>PIX</v>
      </c>
      <c r="D9643" t="str">
        <f>"25076"</f>
        <v>25076</v>
      </c>
      <c r="E9643" t="str">
        <f t="shared" si="1841"/>
        <v>1</v>
      </c>
      <c r="F9643" t="str">
        <f t="shared" si="1845"/>
        <v>COM</v>
      </c>
      <c r="G9643" t="str">
        <f>"CHARLES SOUZA RIBEIRO (1040)"</f>
        <v>CHARLES SOUZA RIBEIRO (1040)</v>
      </c>
      <c r="H9643" t="str">
        <f>"Serv.Prest. 03/11/2025 a 09/11/2025 - PIX: CELULAR - CHAVE: (34) 99668-5593"</f>
        <v>Serv.Prest. 03/11/2025 a 09/11/2025 - PIX: CELULAR - CHAVE: (34) 99668-5593</v>
      </c>
      <c r="I9643" t="str">
        <f t="shared" si="1843"/>
        <v>13/11/2025</v>
      </c>
      <c r="J9643" t="str">
        <f t="shared" si="1846"/>
        <v>10/11/2025</v>
      </c>
      <c r="K9643" t="str">
        <f>("08/11/2025")</f>
        <v>08/11/2025</v>
      </c>
      <c r="L9643">
        <v>87</v>
      </c>
      <c r="M9643">
        <v>150</v>
      </c>
      <c r="N9643">
        <v>109</v>
      </c>
      <c r="O9643" t="str">
        <f>"PAGAMENTO DE ENTREGADORES"</f>
        <v>PAGAMENTO DE ENTREGADORES</v>
      </c>
      <c r="P9643">
        <v>150</v>
      </c>
      <c r="S9643" t="str">
        <f>"BANCO CORA (102)"</f>
        <v>BANCO CORA (102)</v>
      </c>
      <c r="T9643">
        <v>20851</v>
      </c>
      <c r="U9643">
        <v>25297</v>
      </c>
      <c r="V9643" t="s">
        <v>22</v>
      </c>
    </row>
    <row r="9644" spans="1:22">
      <c r="A9644" t="str">
        <f t="shared" si="1838"/>
        <v>08/11/2025</v>
      </c>
      <c r="B9644" t="str">
        <f t="shared" si="1832"/>
        <v>SAÍDA</v>
      </c>
      <c r="C9644" t="str">
        <f t="shared" si="1839"/>
        <v>PIX</v>
      </c>
      <c r="D9644" t="str">
        <f>"25076"</f>
        <v>25076</v>
      </c>
      <c r="E9644" t="str">
        <f t="shared" si="1841"/>
        <v>1</v>
      </c>
      <c r="F9644" t="str">
        <f t="shared" si="1845"/>
        <v>COM</v>
      </c>
      <c r="G9644" t="str">
        <f>"CHARLES SOUZA RIBEIRO (1040)"</f>
        <v>CHARLES SOUZA RIBEIRO (1040)</v>
      </c>
      <c r="H9644" t="s">
        <v>2742</v>
      </c>
      <c r="I9644" t="str">
        <f t="shared" si="1843"/>
        <v>13/11/2025</v>
      </c>
      <c r="J9644" t="str">
        <f t="shared" si="1846"/>
        <v>10/11/2025</v>
      </c>
      <c r="K9644">
        <v>45969</v>
      </c>
      <c r="N9644">
        <v>109</v>
      </c>
      <c r="O9644" t="s">
        <v>24</v>
      </c>
      <c r="Q9644">
        <v>150</v>
      </c>
      <c r="R9644" t="str">
        <f>"PAGMENOS - LJ 431 (10265)"</f>
        <v>PAGMENOS - LJ 431 (10265)</v>
      </c>
      <c r="S9644" t="s">
        <v>22</v>
      </c>
      <c r="T9644">
        <v>20851</v>
      </c>
      <c r="U9644">
        <v>25297</v>
      </c>
      <c r="V9644" t="s">
        <v>22</v>
      </c>
    </row>
    <row r="9645" spans="1:22">
      <c r="A9645" t="str">
        <f t="shared" si="1838"/>
        <v>08/11/2025</v>
      </c>
      <c r="B9645" t="str">
        <f t="shared" si="1832"/>
        <v>SAÍDA</v>
      </c>
      <c r="C9645" t="str">
        <f t="shared" si="1839"/>
        <v>PIX</v>
      </c>
      <c r="D9645" t="str">
        <f>"25044"</f>
        <v>25044</v>
      </c>
      <c r="E9645" t="str">
        <f t="shared" si="1841"/>
        <v>1</v>
      </c>
      <c r="F9645" t="str">
        <f t="shared" si="1845"/>
        <v>COM</v>
      </c>
      <c r="G9645" t="str">
        <f>"ALLAN SILVA DAMACENA (790)"</f>
        <v>ALLAN SILVA DAMACENA (790)</v>
      </c>
      <c r="H9645" t="str">
        <f>"Serv.Prest. 03/11/2025 a 09/11/2025 - PIX: CELULAR - CHAVE: (19) 98944-4977"</f>
        <v>Serv.Prest. 03/11/2025 a 09/11/2025 - PIX: CELULAR - CHAVE: (19) 98944-4977</v>
      </c>
      <c r="I9645" t="str">
        <f t="shared" si="1843"/>
        <v>13/11/2025</v>
      </c>
      <c r="J9645" t="str">
        <f t="shared" si="1846"/>
        <v>10/11/2025</v>
      </c>
      <c r="K9645" t="str">
        <f>("08/11/2025")</f>
        <v>08/11/2025</v>
      </c>
      <c r="L9645">
        <v>518</v>
      </c>
      <c r="M9645">
        <v>520</v>
      </c>
      <c r="N9645">
        <v>109</v>
      </c>
      <c r="O9645" t="str">
        <f>"PAGAMENTO DE ENTREGADORES"</f>
        <v>PAGAMENTO DE ENTREGADORES</v>
      </c>
      <c r="P9645">
        <v>520</v>
      </c>
      <c r="S9645" t="str">
        <f>"BANCO CORA (102)"</f>
        <v>BANCO CORA (102)</v>
      </c>
      <c r="T9645">
        <v>20854</v>
      </c>
      <c r="U9645">
        <v>25044</v>
      </c>
      <c r="V9645" t="s">
        <v>22</v>
      </c>
    </row>
    <row r="9646" spans="1:22">
      <c r="A9646" t="str">
        <f t="shared" si="1838"/>
        <v>08/11/2025</v>
      </c>
      <c r="B9646" t="str">
        <f t="shared" si="1832"/>
        <v>SAÍDA</v>
      </c>
      <c r="C9646" t="str">
        <f t="shared" si="1839"/>
        <v>PIX</v>
      </c>
      <c r="D9646" t="str">
        <f>"25044"</f>
        <v>25044</v>
      </c>
      <c r="E9646" t="str">
        <f t="shared" si="1841"/>
        <v>1</v>
      </c>
      <c r="F9646" t="str">
        <f t="shared" si="1845"/>
        <v>COM</v>
      </c>
      <c r="G9646" t="str">
        <f>"ALLAN SILVA DAMACENA (790)"</f>
        <v>ALLAN SILVA DAMACENA (790)</v>
      </c>
      <c r="H9646" t="s">
        <v>2751</v>
      </c>
      <c r="I9646" t="str">
        <f t="shared" si="1843"/>
        <v>13/11/2025</v>
      </c>
      <c r="J9646" t="str">
        <f t="shared" si="1846"/>
        <v>10/11/2025</v>
      </c>
      <c r="K9646">
        <v>45969</v>
      </c>
      <c r="N9646">
        <v>109</v>
      </c>
      <c r="O9646" t="s">
        <v>24</v>
      </c>
      <c r="Q9646">
        <v>520</v>
      </c>
      <c r="R9646" t="str">
        <f>"DROGARIA TOTAL JUNDIAI (10177)"</f>
        <v>DROGARIA TOTAL JUNDIAI (10177)</v>
      </c>
      <c r="S9646" t="s">
        <v>22</v>
      </c>
      <c r="T9646">
        <v>20854</v>
      </c>
      <c r="U9646">
        <v>25044</v>
      </c>
      <c r="V9646" t="s">
        <v>22</v>
      </c>
    </row>
    <row r="9647" spans="1:22">
      <c r="A9647" t="str">
        <f t="shared" si="1838"/>
        <v>08/11/2025</v>
      </c>
      <c r="B9647" t="str">
        <f t="shared" si="1832"/>
        <v>SAÍDA</v>
      </c>
      <c r="C9647" t="str">
        <f t="shared" si="1839"/>
        <v>PIX</v>
      </c>
      <c r="D9647" t="str">
        <f>"25034"</f>
        <v>25034</v>
      </c>
      <c r="E9647" t="str">
        <f t="shared" si="1841"/>
        <v>1</v>
      </c>
      <c r="F9647" t="str">
        <f t="shared" si="1845"/>
        <v>COM</v>
      </c>
      <c r="G9647" t="str">
        <f>"JAMERSON SOUZA LOPES (749)"</f>
        <v>JAMERSON SOUZA LOPES (749)</v>
      </c>
      <c r="H9647" t="str">
        <f>"Serv.Prest. 03/11/2025 a 09/11/2025 - PIX: CPF - CHAVE: 423.098.018-36"</f>
        <v>Serv.Prest. 03/11/2025 a 09/11/2025 - PIX: CPF - CHAVE: 423.098.018-36</v>
      </c>
      <c r="I9647" t="str">
        <f t="shared" si="1843"/>
        <v>13/11/2025</v>
      </c>
      <c r="J9647" t="str">
        <f t="shared" si="1846"/>
        <v>10/11/2025</v>
      </c>
      <c r="K9647" t="str">
        <f>("08/11/2025")</f>
        <v>08/11/2025</v>
      </c>
      <c r="L9647">
        <v>129</v>
      </c>
      <c r="M9647">
        <v>130</v>
      </c>
      <c r="N9647">
        <v>109</v>
      </c>
      <c r="O9647" t="str">
        <f>"PAGAMENTO DE ENTREGADORES"</f>
        <v>PAGAMENTO DE ENTREGADORES</v>
      </c>
      <c r="P9647">
        <v>130</v>
      </c>
      <c r="S9647" t="str">
        <f>"BANCO CORA (102)"</f>
        <v>BANCO CORA (102)</v>
      </c>
      <c r="T9647">
        <v>20857</v>
      </c>
      <c r="U9647">
        <v>25034</v>
      </c>
      <c r="V9647" t="s">
        <v>22</v>
      </c>
    </row>
    <row r="9648" spans="1:22">
      <c r="A9648" t="str">
        <f t="shared" si="1838"/>
        <v>08/11/2025</v>
      </c>
      <c r="B9648" t="str">
        <f t="shared" si="1832"/>
        <v>SAÍDA</v>
      </c>
      <c r="C9648" t="str">
        <f t="shared" si="1839"/>
        <v>PIX</v>
      </c>
      <c r="D9648" t="str">
        <f>"25034"</f>
        <v>25034</v>
      </c>
      <c r="E9648" t="str">
        <f t="shared" si="1841"/>
        <v>1</v>
      </c>
      <c r="F9648" t="str">
        <f t="shared" si="1845"/>
        <v>COM</v>
      </c>
      <c r="G9648" t="str">
        <f>"JAMERSON SOUZA LOPES (749)"</f>
        <v>JAMERSON SOUZA LOPES (749)</v>
      </c>
      <c r="H9648" t="s">
        <v>2752</v>
      </c>
      <c r="I9648" t="str">
        <f t="shared" si="1843"/>
        <v>13/11/2025</v>
      </c>
      <c r="J9648" t="str">
        <f t="shared" si="1846"/>
        <v>10/11/2025</v>
      </c>
      <c r="K9648">
        <v>45969</v>
      </c>
      <c r="N9648">
        <v>109</v>
      </c>
      <c r="O9648" t="s">
        <v>24</v>
      </c>
      <c r="Q9648">
        <v>130</v>
      </c>
      <c r="R9648" t="str">
        <f>"DROGARIA MEDIC CENTER LTDA (10172)"</f>
        <v>DROGARIA MEDIC CENTER LTDA (10172)</v>
      </c>
      <c r="S9648" t="s">
        <v>22</v>
      </c>
      <c r="T9648">
        <v>20857</v>
      </c>
      <c r="U9648">
        <v>25034</v>
      </c>
      <c r="V9648" t="s">
        <v>22</v>
      </c>
    </row>
    <row r="9649" spans="1:22">
      <c r="A9649" t="str">
        <f t="shared" si="1838"/>
        <v>08/11/2025</v>
      </c>
      <c r="B9649" t="str">
        <f t="shared" si="1832"/>
        <v>SAÍDA</v>
      </c>
      <c r="C9649" t="str">
        <f t="shared" si="1839"/>
        <v>PIX</v>
      </c>
      <c r="D9649" t="str">
        <f>"25035"</f>
        <v>25035</v>
      </c>
      <c r="E9649" t="str">
        <f t="shared" si="1841"/>
        <v>1</v>
      </c>
      <c r="F9649" t="str">
        <f t="shared" si="1845"/>
        <v>COM</v>
      </c>
      <c r="G9649" t="str">
        <f>"JHONATAS FABIANO GOMES (1066)"</f>
        <v>JHONATAS FABIANO GOMES (1066)</v>
      </c>
      <c r="H9649" t="str">
        <f>"Serv.Prest. 03/11/2025 a 09/11/2025 - PIX: CPF - CHAVE: 400.402.668-77"</f>
        <v>Serv.Prest. 03/11/2025 a 09/11/2025 - PIX: CPF - CHAVE: 400.402.668-77</v>
      </c>
      <c r="I9649" t="str">
        <f t="shared" si="1843"/>
        <v>13/11/2025</v>
      </c>
      <c r="J9649" t="str">
        <f t="shared" si="1846"/>
        <v>10/11/2025</v>
      </c>
      <c r="K9649" t="str">
        <f>("08/11/2025")</f>
        <v>08/11/2025</v>
      </c>
      <c r="L9649">
        <v>154</v>
      </c>
      <c r="M9649">
        <v>154</v>
      </c>
      <c r="N9649">
        <v>134</v>
      </c>
      <c r="O9649" t="str">
        <f>"DIARIA DE MOTOBOY"</f>
        <v>DIARIA DE MOTOBOY</v>
      </c>
      <c r="P9649">
        <v>154</v>
      </c>
      <c r="S9649" t="str">
        <f>"BANCO CORA (102)"</f>
        <v>BANCO CORA (102)</v>
      </c>
      <c r="T9649">
        <v>20861</v>
      </c>
      <c r="U9649">
        <v>25035</v>
      </c>
      <c r="V9649" t="s">
        <v>22</v>
      </c>
    </row>
    <row r="9650" spans="1:22">
      <c r="A9650" t="str">
        <f t="shared" si="1838"/>
        <v>08/11/2025</v>
      </c>
      <c r="B9650" t="str">
        <f t="shared" si="1832"/>
        <v>SAÍDA</v>
      </c>
      <c r="C9650" t="str">
        <f t="shared" si="1839"/>
        <v>PIX</v>
      </c>
      <c r="D9650" t="str">
        <f>"25035"</f>
        <v>25035</v>
      </c>
      <c r="E9650" t="str">
        <f t="shared" si="1841"/>
        <v>1</v>
      </c>
      <c r="F9650" t="str">
        <f t="shared" si="1845"/>
        <v>COM</v>
      </c>
      <c r="G9650" t="str">
        <f>"JHONATAS FABIANO GOMES (1066)"</f>
        <v>JHONATAS FABIANO GOMES (1066)</v>
      </c>
      <c r="H9650" t="s">
        <v>2753</v>
      </c>
      <c r="I9650" t="str">
        <f t="shared" si="1843"/>
        <v>13/11/2025</v>
      </c>
      <c r="J9650" t="str">
        <f t="shared" si="1846"/>
        <v>10/11/2025</v>
      </c>
      <c r="K9650">
        <v>45969</v>
      </c>
      <c r="N9650">
        <v>134</v>
      </c>
      <c r="O9650" t="s">
        <v>41</v>
      </c>
      <c r="Q9650">
        <v>154</v>
      </c>
      <c r="R9650" t="str">
        <f>"DROGARIA MEDIC CENTER LTDA (10172)"</f>
        <v>DROGARIA MEDIC CENTER LTDA (10172)</v>
      </c>
      <c r="S9650" t="s">
        <v>22</v>
      </c>
      <c r="T9650">
        <v>20861</v>
      </c>
      <c r="U9650">
        <v>25035</v>
      </c>
      <c r="V9650" t="s">
        <v>22</v>
      </c>
    </row>
    <row r="9651" spans="1:22">
      <c r="A9651" t="str">
        <f t="shared" si="1838"/>
        <v>08/11/2025</v>
      </c>
      <c r="B9651" t="str">
        <f t="shared" si="1832"/>
        <v>SAÍDA</v>
      </c>
      <c r="C9651" t="str">
        <f t="shared" si="1839"/>
        <v>PIX</v>
      </c>
      <c r="D9651" t="str">
        <f>"24993"</f>
        <v>24993</v>
      </c>
      <c r="E9651" t="str">
        <f t="shared" si="1841"/>
        <v>1</v>
      </c>
      <c r="F9651" t="str">
        <f t="shared" si="1845"/>
        <v>COM</v>
      </c>
      <c r="G9651" t="str">
        <f>"DIRCEU APARECIDO FERREIRA (1073)"</f>
        <v>DIRCEU APARECIDO FERREIRA (1073)</v>
      </c>
      <c r="H9651" t="str">
        <f>"Serv.Prest. 03/11/2025 a 09/11/2025 - PIX: CPF - CHAVE: 298.747.458-00"</f>
        <v>Serv.Prest. 03/11/2025 a 09/11/2025 - PIX: CPF - CHAVE: 298.747.458-00</v>
      </c>
      <c r="I9651" t="str">
        <f t="shared" si="1843"/>
        <v>13/11/2025</v>
      </c>
      <c r="J9651" t="str">
        <f t="shared" si="1846"/>
        <v>10/11/2025</v>
      </c>
      <c r="K9651" t="str">
        <f>("08/11/2025")</f>
        <v>08/11/2025</v>
      </c>
      <c r="L9651">
        <v>150</v>
      </c>
      <c r="M9651">
        <v>150</v>
      </c>
      <c r="N9651">
        <v>134</v>
      </c>
      <c r="O9651" t="str">
        <f>"DIARIA DE MOTOBOY"</f>
        <v>DIARIA DE MOTOBOY</v>
      </c>
      <c r="P9651">
        <v>150</v>
      </c>
      <c r="S9651" t="str">
        <f>"BANCO CORA (102)"</f>
        <v>BANCO CORA (102)</v>
      </c>
      <c r="T9651">
        <v>20867</v>
      </c>
      <c r="U9651">
        <v>24993</v>
      </c>
      <c r="V9651" t="s">
        <v>22</v>
      </c>
    </row>
    <row r="9652" spans="1:22">
      <c r="A9652" t="str">
        <f t="shared" si="1838"/>
        <v>08/11/2025</v>
      </c>
      <c r="B9652" t="str">
        <f t="shared" si="1832"/>
        <v>SAÍDA</v>
      </c>
      <c r="C9652" t="str">
        <f t="shared" si="1839"/>
        <v>PIX</v>
      </c>
      <c r="D9652" t="str">
        <f>"24993"</f>
        <v>24993</v>
      </c>
      <c r="E9652" t="str">
        <f t="shared" si="1841"/>
        <v>1</v>
      </c>
      <c r="F9652" t="str">
        <f t="shared" si="1845"/>
        <v>COM</v>
      </c>
      <c r="G9652" t="str">
        <f>"DIRCEU APARECIDO FERREIRA (1073)"</f>
        <v>DIRCEU APARECIDO FERREIRA (1073)</v>
      </c>
      <c r="H9652" t="s">
        <v>2754</v>
      </c>
      <c r="I9652" t="str">
        <f t="shared" si="1843"/>
        <v>13/11/2025</v>
      </c>
      <c r="J9652" t="str">
        <f t="shared" si="1846"/>
        <v>10/11/2025</v>
      </c>
      <c r="K9652">
        <v>45969</v>
      </c>
      <c r="N9652">
        <v>134</v>
      </c>
      <c r="O9652" t="s">
        <v>41</v>
      </c>
      <c r="Q9652">
        <v>150</v>
      </c>
      <c r="R9652" t="str">
        <f>"PENSE FARMA 15 (10195)"</f>
        <v>PENSE FARMA 15 (10195)</v>
      </c>
      <c r="S9652" t="s">
        <v>22</v>
      </c>
      <c r="T9652">
        <v>20867</v>
      </c>
      <c r="U9652">
        <v>24993</v>
      </c>
      <c r="V9652" t="s">
        <v>22</v>
      </c>
    </row>
    <row r="9653" spans="1:22">
      <c r="A9653" t="str">
        <f t="shared" si="1838"/>
        <v>08/11/2025</v>
      </c>
      <c r="B9653" t="str">
        <f t="shared" si="1832"/>
        <v>SAÍDA</v>
      </c>
      <c r="C9653" t="str">
        <f t="shared" si="1839"/>
        <v>PIX</v>
      </c>
      <c r="D9653" t="str">
        <f>"24996"</f>
        <v>24996</v>
      </c>
      <c r="E9653" t="str">
        <f t="shared" si="1841"/>
        <v>1</v>
      </c>
      <c r="F9653" t="str">
        <f t="shared" si="1845"/>
        <v>COM</v>
      </c>
      <c r="G9653" t="str">
        <f>"NATHAN PETRIN SOUSA DA SILVA (1049)"</f>
        <v>NATHAN PETRIN SOUSA DA SILVA (1049)</v>
      </c>
      <c r="H9653" t="str">
        <f>"Serv.Prest. 03/11/2025 a 09/11/2025 - PIX: CELULAR - CHAVE: (11) 98731-4534"</f>
        <v>Serv.Prest. 03/11/2025 a 09/11/2025 - PIX: CELULAR - CHAVE: (11) 98731-4534</v>
      </c>
      <c r="I9653" t="str">
        <f t="shared" si="1843"/>
        <v>13/11/2025</v>
      </c>
      <c r="J9653" t="str">
        <f t="shared" si="1846"/>
        <v>10/11/2025</v>
      </c>
      <c r="K9653" t="str">
        <f>("08/11/2025")</f>
        <v>08/11/2025</v>
      </c>
      <c r="L9653">
        <v>150</v>
      </c>
      <c r="M9653">
        <v>150</v>
      </c>
      <c r="N9653">
        <v>109</v>
      </c>
      <c r="O9653" t="str">
        <f>"PAGAMENTO DE ENTREGADORES"</f>
        <v>PAGAMENTO DE ENTREGADORES</v>
      </c>
      <c r="P9653">
        <v>150</v>
      </c>
      <c r="S9653" t="str">
        <f>"BANCO CORA (102)"</f>
        <v>BANCO CORA (102)</v>
      </c>
      <c r="T9653">
        <v>20869</v>
      </c>
      <c r="U9653">
        <v>25303</v>
      </c>
      <c r="V9653" t="s">
        <v>22</v>
      </c>
    </row>
    <row r="9654" spans="1:22">
      <c r="A9654" t="str">
        <f t="shared" si="1838"/>
        <v>08/11/2025</v>
      </c>
      <c r="B9654" t="str">
        <f t="shared" si="1832"/>
        <v>SAÍDA</v>
      </c>
      <c r="C9654" t="str">
        <f t="shared" si="1839"/>
        <v>PIX</v>
      </c>
      <c r="D9654" t="str">
        <f>"24996"</f>
        <v>24996</v>
      </c>
      <c r="E9654" t="str">
        <f t="shared" si="1841"/>
        <v>1</v>
      </c>
      <c r="F9654" t="str">
        <f t="shared" si="1845"/>
        <v>COM</v>
      </c>
      <c r="G9654" t="str">
        <f>"NATHAN PETRIN SOUSA DA SILVA (1049)"</f>
        <v>NATHAN PETRIN SOUSA DA SILVA (1049)</v>
      </c>
      <c r="H9654" t="s">
        <v>2755</v>
      </c>
      <c r="I9654" t="str">
        <f t="shared" si="1843"/>
        <v>13/11/2025</v>
      </c>
      <c r="J9654" t="str">
        <f t="shared" si="1846"/>
        <v>10/11/2025</v>
      </c>
      <c r="K9654">
        <v>45969</v>
      </c>
      <c r="N9654">
        <v>109</v>
      </c>
      <c r="O9654" t="s">
        <v>24</v>
      </c>
      <c r="Q9654">
        <v>150</v>
      </c>
      <c r="R9654" t="str">
        <f>"PENSE FARMA 26 (10196)"</f>
        <v>PENSE FARMA 26 (10196)</v>
      </c>
      <c r="S9654" t="s">
        <v>22</v>
      </c>
      <c r="T9654">
        <v>20869</v>
      </c>
      <c r="U9654">
        <v>25303</v>
      </c>
      <c r="V9654" t="s">
        <v>22</v>
      </c>
    </row>
    <row r="9655" spans="1:22">
      <c r="A9655" t="str">
        <f t="shared" si="1838"/>
        <v>08/11/2025</v>
      </c>
      <c r="B9655" t="str">
        <f t="shared" si="1832"/>
        <v>SAÍDA</v>
      </c>
      <c r="C9655" t="str">
        <f t="shared" si="1839"/>
        <v>PIX</v>
      </c>
      <c r="D9655" t="str">
        <f>"25106"</f>
        <v>25106</v>
      </c>
      <c r="E9655" t="str">
        <f t="shared" si="1841"/>
        <v>1</v>
      </c>
      <c r="F9655" t="str">
        <f t="shared" si="1845"/>
        <v>COM</v>
      </c>
      <c r="G9655" t="str">
        <f>"CARLOS DANIEL FERNANDES VIEIRA (1051)"</f>
        <v>CARLOS DANIEL FERNANDES VIEIRA (1051)</v>
      </c>
      <c r="H9655" t="str">
        <f>"Serv.Prest. 03/11/2025 a 09/11/2025 - PIX: CPF - CHAVE: 171.393.446-98"</f>
        <v>Serv.Prest. 03/11/2025 a 09/11/2025 - PIX: CPF - CHAVE: 171.393.446-98</v>
      </c>
      <c r="I9655" t="str">
        <f>("20/11/2025")</f>
        <v>20/11/2025</v>
      </c>
      <c r="J9655" t="str">
        <f>("11/11/2025")</f>
        <v>11/11/2025</v>
      </c>
      <c r="K9655" t="str">
        <f>("08/11/2025")</f>
        <v>08/11/2025</v>
      </c>
      <c r="L9655">
        <v>240</v>
      </c>
      <c r="M9655">
        <v>240</v>
      </c>
      <c r="N9655">
        <v>134</v>
      </c>
      <c r="O9655" t="str">
        <f>"DIARIA DE MOTOBOY"</f>
        <v>DIARIA DE MOTOBOY</v>
      </c>
      <c r="P9655">
        <v>240</v>
      </c>
      <c r="S9655" t="str">
        <f>"BANCO CORA (102)"</f>
        <v>BANCO CORA (102)</v>
      </c>
      <c r="T9655">
        <v>20872</v>
      </c>
      <c r="U9655">
        <v>25306</v>
      </c>
      <c r="V9655" t="s">
        <v>22</v>
      </c>
    </row>
    <row r="9656" spans="1:22">
      <c r="A9656" t="str">
        <f t="shared" si="1838"/>
        <v>08/11/2025</v>
      </c>
      <c r="B9656" t="str">
        <f t="shared" si="1832"/>
        <v>SAÍDA</v>
      </c>
      <c r="C9656" t="str">
        <f t="shared" si="1839"/>
        <v>PIX</v>
      </c>
      <c r="D9656" t="str">
        <f>"25106"</f>
        <v>25106</v>
      </c>
      <c r="E9656" t="str">
        <f t="shared" si="1841"/>
        <v>1</v>
      </c>
      <c r="F9656" t="str">
        <f t="shared" si="1845"/>
        <v>COM</v>
      </c>
      <c r="G9656" t="str">
        <f>"CARLOS DANIEL FERNANDES VIEIRA (1051)"</f>
        <v>CARLOS DANIEL FERNANDES VIEIRA (1051)</v>
      </c>
      <c r="H9656" t="s">
        <v>2509</v>
      </c>
      <c r="I9656" t="str">
        <f>("20/11/2025")</f>
        <v>20/11/2025</v>
      </c>
      <c r="J9656" t="str">
        <f>("11/11/2025")</f>
        <v>11/11/2025</v>
      </c>
      <c r="K9656">
        <v>45969</v>
      </c>
      <c r="N9656">
        <v>134</v>
      </c>
      <c r="O9656" t="s">
        <v>41</v>
      </c>
      <c r="Q9656">
        <v>240</v>
      </c>
      <c r="R9656" t="str">
        <f>"FARMÁCIA INDIANA LJ 205 (10150)"</f>
        <v>FARMÁCIA INDIANA LJ 205 (10150)</v>
      </c>
      <c r="S9656" t="s">
        <v>22</v>
      </c>
      <c r="T9656">
        <v>20872</v>
      </c>
      <c r="U9656">
        <v>25306</v>
      </c>
      <c r="V9656" t="s">
        <v>22</v>
      </c>
    </row>
    <row r="9657" spans="1:22">
      <c r="A9657" t="str">
        <f t="shared" si="1838"/>
        <v>08/11/2025</v>
      </c>
      <c r="B9657" t="str">
        <f t="shared" ref="B9657:B9688" si="1847">"SAÍDA"</f>
        <v>SAÍDA</v>
      </c>
      <c r="C9657" t="str">
        <f t="shared" si="1839"/>
        <v>PIX</v>
      </c>
      <c r="D9657" t="str">
        <f>"25107"</f>
        <v>25107</v>
      </c>
      <c r="E9657" t="str">
        <f t="shared" si="1841"/>
        <v>1</v>
      </c>
      <c r="F9657" t="str">
        <f t="shared" si="1845"/>
        <v>COM</v>
      </c>
      <c r="G9657" t="str">
        <f>"CARLOS ROBERTO BADARÓ MACHADO (78)"</f>
        <v>CARLOS ROBERTO BADARÓ MACHADO (78)</v>
      </c>
      <c r="H9657" t="str">
        <f>"Serv.Prest. 03/11/2025 a 09/11/2025 - PIX: CELULAR - CHAVE: (32) 99166-8238"</f>
        <v>Serv.Prest. 03/11/2025 a 09/11/2025 - PIX: CELULAR - CHAVE: (32) 99166-8238</v>
      </c>
      <c r="I9657" t="str">
        <f>("20/11/2025")</f>
        <v>20/11/2025</v>
      </c>
      <c r="J9657" t="str">
        <f>("11/11/2025")</f>
        <v>11/11/2025</v>
      </c>
      <c r="K9657" t="str">
        <f>("08/11/2025")</f>
        <v>08/11/2025</v>
      </c>
      <c r="L9657">
        <v>528</v>
      </c>
      <c r="M9657">
        <v>528</v>
      </c>
      <c r="N9657">
        <v>109</v>
      </c>
      <c r="O9657" t="str">
        <f>"PAGAMENTO DE ENTREGADORES"</f>
        <v>PAGAMENTO DE ENTREGADORES</v>
      </c>
      <c r="P9657">
        <v>528</v>
      </c>
      <c r="S9657" t="str">
        <f>"BANCO CORA (102)"</f>
        <v>BANCO CORA (102)</v>
      </c>
      <c r="T9657">
        <v>20895</v>
      </c>
      <c r="U9657">
        <v>25311</v>
      </c>
      <c r="V9657" t="s">
        <v>22</v>
      </c>
    </row>
    <row r="9658" spans="1:22">
      <c r="A9658" t="str">
        <f t="shared" si="1838"/>
        <v>08/11/2025</v>
      </c>
      <c r="B9658" t="str">
        <f t="shared" si="1847"/>
        <v>SAÍDA</v>
      </c>
      <c r="C9658" t="str">
        <f t="shared" si="1839"/>
        <v>PIX</v>
      </c>
      <c r="D9658" t="str">
        <f>"25107"</f>
        <v>25107</v>
      </c>
      <c r="E9658" t="str">
        <f t="shared" si="1841"/>
        <v>1</v>
      </c>
      <c r="F9658" t="str">
        <f t="shared" si="1845"/>
        <v>COM</v>
      </c>
      <c r="G9658" t="str">
        <f>"CARLOS ROBERTO BADARÓ MACHADO (78)"</f>
        <v>CARLOS ROBERTO BADARÓ MACHADO (78)</v>
      </c>
      <c r="H9658" t="s">
        <v>2756</v>
      </c>
      <c r="I9658" t="str">
        <f>("20/11/2025")</f>
        <v>20/11/2025</v>
      </c>
      <c r="J9658" t="str">
        <f>("11/11/2025")</f>
        <v>11/11/2025</v>
      </c>
      <c r="K9658">
        <v>45969</v>
      </c>
      <c r="N9658">
        <v>109</v>
      </c>
      <c r="O9658" t="s">
        <v>24</v>
      </c>
      <c r="Q9658">
        <v>528</v>
      </c>
      <c r="R9658" t="str">
        <f>"FARMÁCIA INDIANA LJ 109 (10047)"</f>
        <v>FARMÁCIA INDIANA LJ 109 (10047)</v>
      </c>
      <c r="S9658" t="s">
        <v>22</v>
      </c>
      <c r="T9658">
        <v>20895</v>
      </c>
      <c r="U9658">
        <v>25311</v>
      </c>
      <c r="V9658" t="s">
        <v>22</v>
      </c>
    </row>
    <row r="9659" spans="1:22">
      <c r="A9659" t="str">
        <f t="shared" ref="A9659:A9664" si="1848">("09/11/2025")</f>
        <v>09/11/2025</v>
      </c>
      <c r="B9659" t="str">
        <f t="shared" si="1847"/>
        <v>SAÍDA</v>
      </c>
      <c r="C9659" t="str">
        <f t="shared" si="1839"/>
        <v>PIX</v>
      </c>
      <c r="D9659" t="str">
        <f>"24992"</f>
        <v>24992</v>
      </c>
      <c r="E9659" t="str">
        <f t="shared" si="1841"/>
        <v>1</v>
      </c>
      <c r="F9659" t="str">
        <f t="shared" si="1845"/>
        <v>COM</v>
      </c>
      <c r="G9659" t="str">
        <f>"DAVID MARTINS SANTOS (1058)"</f>
        <v>DAVID MARTINS SANTOS (1058)</v>
      </c>
      <c r="H9659" t="str">
        <f>"Serv.Prest. 03/11/2025 a 09/11/2025 - PIX: E-MAIL - CHAVE: davidmartinssantos73@gmail.com"</f>
        <v>Serv.Prest. 03/11/2025 a 09/11/2025 - PIX: E-MAIL - CHAVE: davidmartinssantos73@gmail.com</v>
      </c>
      <c r="I9659" t="str">
        <f t="shared" ref="I9659:I9674" si="1849">("13/11/2025")</f>
        <v>13/11/2025</v>
      </c>
      <c r="J9659" t="str">
        <f t="shared" ref="J9659:J9664" si="1850">("10/11/2025")</f>
        <v>10/11/2025</v>
      </c>
      <c r="K9659" t="str">
        <f>("09/11/2025")</f>
        <v>09/11/2025</v>
      </c>
      <c r="L9659">
        <v>170</v>
      </c>
      <c r="M9659">
        <v>170</v>
      </c>
      <c r="N9659">
        <v>134</v>
      </c>
      <c r="O9659" t="str">
        <f>"DIARIA DE MOTOBOY"</f>
        <v>DIARIA DE MOTOBOY</v>
      </c>
      <c r="P9659">
        <v>170</v>
      </c>
      <c r="S9659" t="str">
        <f>"BANCO CORA (102)"</f>
        <v>BANCO CORA (102)</v>
      </c>
      <c r="T9659">
        <v>20866</v>
      </c>
      <c r="U9659">
        <v>24992</v>
      </c>
      <c r="V9659" t="s">
        <v>22</v>
      </c>
    </row>
    <row r="9660" spans="1:22">
      <c r="A9660" t="str">
        <f t="shared" si="1848"/>
        <v>09/11/2025</v>
      </c>
      <c r="B9660" t="str">
        <f t="shared" si="1847"/>
        <v>SAÍDA</v>
      </c>
      <c r="C9660" t="str">
        <f t="shared" si="1839"/>
        <v>PIX</v>
      </c>
      <c r="D9660" t="str">
        <f>"24992"</f>
        <v>24992</v>
      </c>
      <c r="E9660" t="str">
        <f t="shared" si="1841"/>
        <v>1</v>
      </c>
      <c r="F9660" t="str">
        <f t="shared" si="1845"/>
        <v>COM</v>
      </c>
      <c r="G9660" t="str">
        <f>"DAVID MARTINS SANTOS (1058)"</f>
        <v>DAVID MARTINS SANTOS (1058)</v>
      </c>
      <c r="H9660" t="s">
        <v>2757</v>
      </c>
      <c r="I9660" t="str">
        <f t="shared" si="1849"/>
        <v>13/11/2025</v>
      </c>
      <c r="J9660" t="str">
        <f t="shared" si="1850"/>
        <v>10/11/2025</v>
      </c>
      <c r="K9660">
        <v>45970</v>
      </c>
      <c r="N9660">
        <v>134</v>
      </c>
      <c r="O9660" t="s">
        <v>41</v>
      </c>
      <c r="Q9660">
        <v>170</v>
      </c>
      <c r="R9660" t="str">
        <f>"PENSE FARMA 15 (10195)"</f>
        <v>PENSE FARMA 15 (10195)</v>
      </c>
      <c r="S9660" t="s">
        <v>22</v>
      </c>
      <c r="T9660">
        <v>20866</v>
      </c>
      <c r="U9660">
        <v>24992</v>
      </c>
      <c r="V9660" t="s">
        <v>22</v>
      </c>
    </row>
    <row r="9661" spans="1:22">
      <c r="A9661" t="str">
        <f t="shared" si="1848"/>
        <v>09/11/2025</v>
      </c>
      <c r="B9661" t="str">
        <f t="shared" si="1847"/>
        <v>SAÍDA</v>
      </c>
      <c r="C9661" t="str">
        <f t="shared" si="1839"/>
        <v>PIX</v>
      </c>
      <c r="D9661" t="str">
        <f>"24999"</f>
        <v>24999</v>
      </c>
      <c r="E9661" t="str">
        <f t="shared" si="1841"/>
        <v>1</v>
      </c>
      <c r="F9661" t="str">
        <f t="shared" si="1845"/>
        <v>COM</v>
      </c>
      <c r="G9661" t="str">
        <f>"EDICARLOS OLIVEIRA BORGES (1068)"</f>
        <v>EDICARLOS OLIVEIRA BORGES (1068)</v>
      </c>
      <c r="H9661" t="str">
        <f>"Serv.Prest. 03/11/2025 a 09/11/2025 - PIX: CELULAR - CHAVE: (11) 93933-2088"</f>
        <v>Serv.Prest. 03/11/2025 a 09/11/2025 - PIX: CELULAR - CHAVE: (11) 93933-2088</v>
      </c>
      <c r="I9661" t="str">
        <f t="shared" si="1849"/>
        <v>13/11/2025</v>
      </c>
      <c r="J9661" t="str">
        <f t="shared" si="1850"/>
        <v>10/11/2025</v>
      </c>
      <c r="K9661" t="str">
        <f>("09/11/2025")</f>
        <v>09/11/2025</v>
      </c>
      <c r="L9661">
        <v>170</v>
      </c>
      <c r="M9661">
        <v>170</v>
      </c>
      <c r="N9661">
        <v>134</v>
      </c>
      <c r="O9661" t="str">
        <f>"DIARIA DE MOTOBOY"</f>
        <v>DIARIA DE MOTOBOY</v>
      </c>
      <c r="P9661">
        <v>170</v>
      </c>
      <c r="S9661" t="str">
        <f>"BANCO CORA (102)"</f>
        <v>BANCO CORA (102)</v>
      </c>
      <c r="T9661">
        <v>20876</v>
      </c>
      <c r="U9661">
        <v>24999</v>
      </c>
      <c r="V9661" t="s">
        <v>22</v>
      </c>
    </row>
    <row r="9662" spans="1:22">
      <c r="A9662" t="str">
        <f t="shared" si="1848"/>
        <v>09/11/2025</v>
      </c>
      <c r="B9662" t="str">
        <f t="shared" si="1847"/>
        <v>SAÍDA</v>
      </c>
      <c r="C9662" t="str">
        <f t="shared" si="1839"/>
        <v>PIX</v>
      </c>
      <c r="D9662" t="str">
        <f>"24999"</f>
        <v>24999</v>
      </c>
      <c r="E9662" t="str">
        <f t="shared" si="1841"/>
        <v>1</v>
      </c>
      <c r="F9662" t="str">
        <f t="shared" si="1845"/>
        <v>COM</v>
      </c>
      <c r="G9662" t="str">
        <f>"EDICARLOS OLIVEIRA BORGES (1068)"</f>
        <v>EDICARLOS OLIVEIRA BORGES (1068)</v>
      </c>
      <c r="H9662" t="s">
        <v>2758</v>
      </c>
      <c r="I9662" t="str">
        <f t="shared" si="1849"/>
        <v>13/11/2025</v>
      </c>
      <c r="J9662" t="str">
        <f t="shared" si="1850"/>
        <v>10/11/2025</v>
      </c>
      <c r="K9662">
        <v>45970</v>
      </c>
      <c r="N9662">
        <v>134</v>
      </c>
      <c r="O9662" t="s">
        <v>41</v>
      </c>
      <c r="Q9662">
        <v>170</v>
      </c>
      <c r="R9662" t="str">
        <f>"PENSE FARMA 22 (10198)"</f>
        <v>PENSE FARMA 22 (10198)</v>
      </c>
      <c r="S9662" t="s">
        <v>22</v>
      </c>
      <c r="T9662">
        <v>20876</v>
      </c>
      <c r="U9662">
        <v>24999</v>
      </c>
      <c r="V9662" t="s">
        <v>22</v>
      </c>
    </row>
    <row r="9663" spans="1:22">
      <c r="A9663" t="str">
        <f t="shared" si="1848"/>
        <v>09/11/2025</v>
      </c>
      <c r="B9663" t="str">
        <f t="shared" si="1847"/>
        <v>SAÍDA</v>
      </c>
      <c r="C9663" t="str">
        <f t="shared" si="1839"/>
        <v>PIX</v>
      </c>
      <c r="D9663" t="str">
        <f>"24979"</f>
        <v>24979</v>
      </c>
      <c r="E9663" t="str">
        <f t="shared" si="1841"/>
        <v>1</v>
      </c>
      <c r="F9663" t="str">
        <f t="shared" si="1845"/>
        <v>COM</v>
      </c>
      <c r="G9663" t="str">
        <f>"WESLEY JESUS SANTOS (1020)"</f>
        <v>WESLEY JESUS SANTOS (1020)</v>
      </c>
      <c r="H9663" t="str">
        <f>"Serv.Prest. 03/11/2025 a 09/11/2025 - PIX: CELULAR - CHAVE: (11) 91767-9056"</f>
        <v>Serv.Prest. 03/11/2025 a 09/11/2025 - PIX: CELULAR - CHAVE: (11) 91767-9056</v>
      </c>
      <c r="I9663" t="str">
        <f t="shared" si="1849"/>
        <v>13/11/2025</v>
      </c>
      <c r="J9663" t="str">
        <f t="shared" si="1850"/>
        <v>10/11/2025</v>
      </c>
      <c r="K9663" t="str">
        <f>("09/11/2025")</f>
        <v>09/11/2025</v>
      </c>
      <c r="L9663">
        <v>50</v>
      </c>
      <c r="M9663">
        <v>50</v>
      </c>
      <c r="N9663">
        <v>134</v>
      </c>
      <c r="O9663" t="str">
        <f>"DIARIA DE MOTOBOY"</f>
        <v>DIARIA DE MOTOBOY</v>
      </c>
      <c r="P9663">
        <v>50</v>
      </c>
      <c r="S9663" t="str">
        <f>"BANCO CORA (102)"</f>
        <v>BANCO CORA (102)</v>
      </c>
      <c r="T9663">
        <v>20878</v>
      </c>
      <c r="U9663">
        <v>25309</v>
      </c>
      <c r="V9663" t="s">
        <v>22</v>
      </c>
    </row>
    <row r="9664" spans="1:22">
      <c r="A9664" t="str">
        <f t="shared" si="1848"/>
        <v>09/11/2025</v>
      </c>
      <c r="B9664" t="str">
        <f t="shared" si="1847"/>
        <v>SAÍDA</v>
      </c>
      <c r="C9664" t="str">
        <f t="shared" si="1839"/>
        <v>PIX</v>
      </c>
      <c r="D9664" t="str">
        <f>"24979"</f>
        <v>24979</v>
      </c>
      <c r="E9664" t="str">
        <f t="shared" si="1841"/>
        <v>1</v>
      </c>
      <c r="F9664" t="str">
        <f t="shared" si="1845"/>
        <v>COM</v>
      </c>
      <c r="G9664" t="str">
        <f>"WESLEY JESUS SANTOS (1020)"</f>
        <v>WESLEY JESUS SANTOS (1020)</v>
      </c>
      <c r="H9664" t="s">
        <v>2759</v>
      </c>
      <c r="I9664" t="str">
        <f t="shared" si="1849"/>
        <v>13/11/2025</v>
      </c>
      <c r="J9664" t="str">
        <f t="shared" si="1850"/>
        <v>10/11/2025</v>
      </c>
      <c r="K9664">
        <v>45970</v>
      </c>
      <c r="N9664">
        <v>134</v>
      </c>
      <c r="O9664" t="s">
        <v>41</v>
      </c>
      <c r="Q9664">
        <v>50</v>
      </c>
      <c r="R9664" t="str">
        <f>"PENSE FARMA 09 (10218)"</f>
        <v>PENSE FARMA 09 (10218)</v>
      </c>
      <c r="S9664" t="s">
        <v>22</v>
      </c>
      <c r="T9664">
        <v>20878</v>
      </c>
      <c r="U9664">
        <v>25309</v>
      </c>
      <c r="V9664" t="s">
        <v>22</v>
      </c>
    </row>
    <row r="9665" spans="1:22">
      <c r="A9665" t="str">
        <f t="shared" ref="A9665:A9696" si="1851">("10/11/2025")</f>
        <v>10/11/2025</v>
      </c>
      <c r="B9665" t="str">
        <f t="shared" si="1847"/>
        <v>SAÍDA</v>
      </c>
      <c r="C9665" t="str">
        <f t="shared" ref="C9665:C9696" si="1852">"PIX"</f>
        <v>PIX</v>
      </c>
      <c r="D9665" t="str">
        <f t="shared" ref="D9665:D9670" si="1853">"25261"</f>
        <v>25261</v>
      </c>
      <c r="E9665" t="str">
        <f t="shared" si="1841"/>
        <v>1</v>
      </c>
      <c r="F9665" t="str">
        <f t="shared" si="1845"/>
        <v>COM</v>
      </c>
      <c r="G9665" t="str">
        <f t="shared" ref="G9665:G9670" si="1854">"ALESSANDRO DA CONCEICAO BRASILEIRO (1047)"</f>
        <v>ALESSANDRO DA CONCEICAO BRASILEIRO (1047)</v>
      </c>
      <c r="H9665" t="str">
        <f>"Serv.Prest. 03/11/2025 a 09/11/2025 - PIX: CELULAR - CHAVE: (34) 99768-4372"</f>
        <v>Serv.Prest. 03/11/2025 a 09/11/2025 - PIX: CELULAR - CHAVE: (34) 99768-4372</v>
      </c>
      <c r="I9665" t="str">
        <f t="shared" si="1849"/>
        <v>13/11/2025</v>
      </c>
      <c r="J9665" t="str">
        <f t="shared" ref="J9665:J9674" si="1855">("12/11/2025")</f>
        <v>12/11/2025</v>
      </c>
      <c r="K9665" t="str">
        <f>("10/11/2025")</f>
        <v>10/11/2025</v>
      </c>
      <c r="L9665">
        <v>150</v>
      </c>
      <c r="M9665">
        <v>170</v>
      </c>
      <c r="N9665">
        <v>134</v>
      </c>
      <c r="O9665" t="str">
        <f>"DIARIA DE MOTOBOY"</f>
        <v>DIARIA DE MOTOBOY</v>
      </c>
      <c r="P9665">
        <v>170</v>
      </c>
      <c r="S9665" t="str">
        <f>"BANCO CORA (102)"</f>
        <v>BANCO CORA (102)</v>
      </c>
      <c r="T9665">
        <v>20819</v>
      </c>
      <c r="U9665">
        <v>25261</v>
      </c>
      <c r="V9665" t="s">
        <v>22</v>
      </c>
    </row>
    <row r="9666" spans="1:22">
      <c r="A9666" t="str">
        <f t="shared" si="1851"/>
        <v>10/11/2025</v>
      </c>
      <c r="B9666" t="str">
        <f t="shared" si="1847"/>
        <v>SAÍDA</v>
      </c>
      <c r="C9666" t="str">
        <f t="shared" si="1852"/>
        <v>PIX</v>
      </c>
      <c r="D9666" t="str">
        <f t="shared" si="1853"/>
        <v>25261</v>
      </c>
      <c r="E9666" t="str">
        <f t="shared" si="1841"/>
        <v>1</v>
      </c>
      <c r="F9666" t="str">
        <f t="shared" si="1845"/>
        <v>COM</v>
      </c>
      <c r="G9666" t="str">
        <f t="shared" si="1854"/>
        <v>ALESSANDRO DA CONCEICAO BRASILEIRO (1047)</v>
      </c>
      <c r="H9666" t="s">
        <v>2507</v>
      </c>
      <c r="I9666" t="str">
        <f t="shared" si="1849"/>
        <v>13/11/2025</v>
      </c>
      <c r="J9666" t="str">
        <f t="shared" si="1855"/>
        <v>12/11/2025</v>
      </c>
      <c r="K9666">
        <v>45971</v>
      </c>
      <c r="N9666">
        <v>134</v>
      </c>
      <c r="O9666" t="s">
        <v>41</v>
      </c>
      <c r="Q9666">
        <v>13.79</v>
      </c>
      <c r="R9666" t="str">
        <f>"DROGALIDER 42 (10247)"</f>
        <v>DROGALIDER 42 (10247)</v>
      </c>
      <c r="S9666" t="s">
        <v>22</v>
      </c>
      <c r="T9666">
        <v>20819</v>
      </c>
      <c r="U9666">
        <v>25261</v>
      </c>
      <c r="V9666" t="s">
        <v>22</v>
      </c>
    </row>
    <row r="9667" spans="1:22">
      <c r="A9667" t="str">
        <f t="shared" si="1851"/>
        <v>10/11/2025</v>
      </c>
      <c r="B9667" t="str">
        <f t="shared" si="1847"/>
        <v>SAÍDA</v>
      </c>
      <c r="C9667" t="str">
        <f t="shared" si="1852"/>
        <v>PIX</v>
      </c>
      <c r="D9667" t="str">
        <f t="shared" si="1853"/>
        <v>25261</v>
      </c>
      <c r="E9667" t="str">
        <f t="shared" si="1841"/>
        <v>1</v>
      </c>
      <c r="F9667" t="str">
        <f t="shared" si="1845"/>
        <v>COM</v>
      </c>
      <c r="G9667" t="str">
        <f t="shared" si="1854"/>
        <v>ALESSANDRO DA CONCEICAO BRASILEIRO (1047)</v>
      </c>
      <c r="H9667" t="s">
        <v>2507</v>
      </c>
      <c r="I9667" t="str">
        <f t="shared" si="1849"/>
        <v>13/11/2025</v>
      </c>
      <c r="J9667" t="str">
        <f t="shared" si="1855"/>
        <v>12/11/2025</v>
      </c>
      <c r="K9667">
        <v>45971</v>
      </c>
      <c r="N9667">
        <v>134</v>
      </c>
      <c r="O9667" t="s">
        <v>41</v>
      </c>
      <c r="Q9667">
        <v>39.049999999999997</v>
      </c>
      <c r="R9667" t="str">
        <f>"DROGALIDER 55 (10249)"</f>
        <v>DROGALIDER 55 (10249)</v>
      </c>
      <c r="S9667" t="s">
        <v>22</v>
      </c>
      <c r="T9667">
        <v>20819</v>
      </c>
      <c r="U9667">
        <v>25261</v>
      </c>
      <c r="V9667" t="s">
        <v>22</v>
      </c>
    </row>
    <row r="9668" spans="1:22">
      <c r="A9668" t="str">
        <f t="shared" si="1851"/>
        <v>10/11/2025</v>
      </c>
      <c r="B9668" t="str">
        <f t="shared" si="1847"/>
        <v>SAÍDA</v>
      </c>
      <c r="C9668" t="str">
        <f t="shared" si="1852"/>
        <v>PIX</v>
      </c>
      <c r="D9668" t="str">
        <f t="shared" si="1853"/>
        <v>25261</v>
      </c>
      <c r="E9668" t="str">
        <f t="shared" si="1841"/>
        <v>1</v>
      </c>
      <c r="F9668" t="str">
        <f t="shared" si="1845"/>
        <v>COM</v>
      </c>
      <c r="G9668" t="str">
        <f t="shared" si="1854"/>
        <v>ALESSANDRO DA CONCEICAO BRASILEIRO (1047)</v>
      </c>
      <c r="H9668" t="s">
        <v>2507</v>
      </c>
      <c r="I9668" t="str">
        <f t="shared" si="1849"/>
        <v>13/11/2025</v>
      </c>
      <c r="J9668" t="str">
        <f t="shared" si="1855"/>
        <v>12/11/2025</v>
      </c>
      <c r="K9668">
        <v>45971</v>
      </c>
      <c r="N9668">
        <v>134</v>
      </c>
      <c r="O9668" t="s">
        <v>41</v>
      </c>
      <c r="Q9668">
        <v>32.159999999999997</v>
      </c>
      <c r="R9668" t="str">
        <f>"DROGALIDER 67 (10252)"</f>
        <v>DROGALIDER 67 (10252)</v>
      </c>
      <c r="S9668" t="s">
        <v>22</v>
      </c>
      <c r="T9668">
        <v>20819</v>
      </c>
      <c r="U9668">
        <v>25261</v>
      </c>
      <c r="V9668" t="s">
        <v>22</v>
      </c>
    </row>
    <row r="9669" spans="1:22">
      <c r="A9669" t="str">
        <f t="shared" si="1851"/>
        <v>10/11/2025</v>
      </c>
      <c r="B9669" t="str">
        <f t="shared" si="1847"/>
        <v>SAÍDA</v>
      </c>
      <c r="C9669" t="str">
        <f t="shared" si="1852"/>
        <v>PIX</v>
      </c>
      <c r="D9669" t="str">
        <f t="shared" si="1853"/>
        <v>25261</v>
      </c>
      <c r="E9669" t="str">
        <f t="shared" si="1841"/>
        <v>1</v>
      </c>
      <c r="F9669" t="str">
        <f t="shared" si="1845"/>
        <v>COM</v>
      </c>
      <c r="G9669" t="str">
        <f t="shared" si="1854"/>
        <v>ALESSANDRO DA CONCEICAO BRASILEIRO (1047)</v>
      </c>
      <c r="H9669" t="s">
        <v>2507</v>
      </c>
      <c r="I9669" t="str">
        <f t="shared" si="1849"/>
        <v>13/11/2025</v>
      </c>
      <c r="J9669" t="str">
        <f t="shared" si="1855"/>
        <v>12/11/2025</v>
      </c>
      <c r="K9669">
        <v>45971</v>
      </c>
      <c r="N9669">
        <v>134</v>
      </c>
      <c r="O9669" t="s">
        <v>41</v>
      </c>
      <c r="Q9669">
        <v>16.079999999999998</v>
      </c>
      <c r="R9669" t="str">
        <f>"DROGALIDER 68 (10253)"</f>
        <v>DROGALIDER 68 (10253)</v>
      </c>
      <c r="S9669" t="s">
        <v>22</v>
      </c>
      <c r="T9669">
        <v>20819</v>
      </c>
      <c r="U9669">
        <v>25261</v>
      </c>
      <c r="V9669" t="s">
        <v>22</v>
      </c>
    </row>
    <row r="9670" spans="1:22">
      <c r="A9670" t="str">
        <f t="shared" si="1851"/>
        <v>10/11/2025</v>
      </c>
      <c r="B9670" t="str">
        <f t="shared" si="1847"/>
        <v>SAÍDA</v>
      </c>
      <c r="C9670" t="str">
        <f t="shared" si="1852"/>
        <v>PIX</v>
      </c>
      <c r="D9670" t="str">
        <f t="shared" si="1853"/>
        <v>25261</v>
      </c>
      <c r="E9670" t="str">
        <f t="shared" si="1841"/>
        <v>1</v>
      </c>
      <c r="F9670" t="str">
        <f t="shared" si="1845"/>
        <v>COM</v>
      </c>
      <c r="G9670" t="str">
        <f t="shared" si="1854"/>
        <v>ALESSANDRO DA CONCEICAO BRASILEIRO (1047)</v>
      </c>
      <c r="H9670" t="s">
        <v>2507</v>
      </c>
      <c r="I9670" t="str">
        <f t="shared" si="1849"/>
        <v>13/11/2025</v>
      </c>
      <c r="J9670" t="str">
        <f t="shared" si="1855"/>
        <v>12/11/2025</v>
      </c>
      <c r="K9670">
        <v>45971</v>
      </c>
      <c r="N9670">
        <v>134</v>
      </c>
      <c r="O9670" t="s">
        <v>41</v>
      </c>
      <c r="Q9670">
        <v>68.92</v>
      </c>
      <c r="R9670" t="str">
        <f>"DROGALIDER 31 (10256)"</f>
        <v>DROGALIDER 31 (10256)</v>
      </c>
      <c r="S9670" t="s">
        <v>22</v>
      </c>
      <c r="T9670">
        <v>20819</v>
      </c>
      <c r="U9670">
        <v>25261</v>
      </c>
      <c r="V9670" t="s">
        <v>22</v>
      </c>
    </row>
    <row r="9671" spans="1:22">
      <c r="A9671" t="str">
        <f t="shared" si="1851"/>
        <v>10/11/2025</v>
      </c>
      <c r="B9671" t="str">
        <f t="shared" si="1847"/>
        <v>SAÍDA</v>
      </c>
      <c r="C9671" t="str">
        <f t="shared" si="1852"/>
        <v>PIX</v>
      </c>
      <c r="D9671" t="str">
        <f>"25266"</f>
        <v>25266</v>
      </c>
      <c r="E9671" t="str">
        <f t="shared" si="1841"/>
        <v>1</v>
      </c>
      <c r="F9671" t="str">
        <f t="shared" si="1845"/>
        <v>COM</v>
      </c>
      <c r="G9671" t="str">
        <f>"VALTER APARECIDO GOMES (1071)"</f>
        <v>VALTER APARECIDO GOMES (1071)</v>
      </c>
      <c r="H9671" t="str">
        <f>"Serv.Prest. 03/11/2025 a 09/11/2025 - PIX: CPF - CHAVE: 615.521.869-20"</f>
        <v>Serv.Prest. 03/11/2025 a 09/11/2025 - PIX: CPF - CHAVE: 615.521.869-20</v>
      </c>
      <c r="I9671" t="str">
        <f t="shared" si="1849"/>
        <v>13/11/2025</v>
      </c>
      <c r="J9671" t="str">
        <f t="shared" si="1855"/>
        <v>12/11/2025</v>
      </c>
      <c r="K9671" t="str">
        <f>("10/11/2025")</f>
        <v>10/11/2025</v>
      </c>
      <c r="L9671">
        <v>170</v>
      </c>
      <c r="M9671">
        <v>170</v>
      </c>
      <c r="N9671">
        <v>134</v>
      </c>
      <c r="O9671" t="str">
        <f>"DIARIA DE MOTOBOY"</f>
        <v>DIARIA DE MOTOBOY</v>
      </c>
      <c r="P9671">
        <v>170</v>
      </c>
      <c r="S9671" t="str">
        <f>"BANCO CORA (102)"</f>
        <v>BANCO CORA (102)</v>
      </c>
      <c r="T9671">
        <v>20822</v>
      </c>
      <c r="U9671">
        <v>25266</v>
      </c>
      <c r="V9671" t="s">
        <v>22</v>
      </c>
    </row>
    <row r="9672" spans="1:22">
      <c r="A9672" t="str">
        <f t="shared" si="1851"/>
        <v>10/11/2025</v>
      </c>
      <c r="B9672" t="str">
        <f t="shared" si="1847"/>
        <v>SAÍDA</v>
      </c>
      <c r="C9672" t="str">
        <f t="shared" si="1852"/>
        <v>PIX</v>
      </c>
      <c r="D9672" t="str">
        <f>"25266"</f>
        <v>25266</v>
      </c>
      <c r="E9672" t="str">
        <f t="shared" si="1841"/>
        <v>1</v>
      </c>
      <c r="F9672" t="str">
        <f t="shared" si="1845"/>
        <v>COM</v>
      </c>
      <c r="G9672" t="str">
        <f>"VALTER APARECIDO GOMES (1071)"</f>
        <v>VALTER APARECIDO GOMES (1071)</v>
      </c>
      <c r="H9672" t="s">
        <v>2760</v>
      </c>
      <c r="I9672" t="str">
        <f t="shared" si="1849"/>
        <v>13/11/2025</v>
      </c>
      <c r="J9672" t="str">
        <f t="shared" si="1855"/>
        <v>12/11/2025</v>
      </c>
      <c r="K9672">
        <v>45971</v>
      </c>
      <c r="N9672">
        <v>134</v>
      </c>
      <c r="O9672" t="s">
        <v>41</v>
      </c>
      <c r="Q9672">
        <v>34</v>
      </c>
      <c r="R9672" t="str">
        <f>"DROGALIDER 67 (10252)"</f>
        <v>DROGALIDER 67 (10252)</v>
      </c>
      <c r="S9672" t="s">
        <v>22</v>
      </c>
      <c r="T9672">
        <v>20822</v>
      </c>
      <c r="U9672">
        <v>25266</v>
      </c>
      <c r="V9672" t="s">
        <v>22</v>
      </c>
    </row>
    <row r="9673" spans="1:22">
      <c r="A9673" t="str">
        <f t="shared" si="1851"/>
        <v>10/11/2025</v>
      </c>
      <c r="B9673" t="str">
        <f t="shared" si="1847"/>
        <v>SAÍDA</v>
      </c>
      <c r="C9673" t="str">
        <f t="shared" si="1852"/>
        <v>PIX</v>
      </c>
      <c r="D9673" t="str">
        <f>"25266"</f>
        <v>25266</v>
      </c>
      <c r="E9673" t="str">
        <f t="shared" si="1841"/>
        <v>1</v>
      </c>
      <c r="F9673" t="str">
        <f t="shared" ref="F9673:F9704" si="1856">"COM"</f>
        <v>COM</v>
      </c>
      <c r="G9673" t="str">
        <f>"VALTER APARECIDO GOMES (1071)"</f>
        <v>VALTER APARECIDO GOMES (1071)</v>
      </c>
      <c r="H9673" t="s">
        <v>2760</v>
      </c>
      <c r="I9673" t="str">
        <f t="shared" si="1849"/>
        <v>13/11/2025</v>
      </c>
      <c r="J9673" t="str">
        <f t="shared" si="1855"/>
        <v>12/11/2025</v>
      </c>
      <c r="K9673">
        <v>45971</v>
      </c>
      <c r="N9673">
        <v>134</v>
      </c>
      <c r="O9673" t="s">
        <v>41</v>
      </c>
      <c r="Q9673">
        <v>22.68</v>
      </c>
      <c r="R9673" t="str">
        <f>"DROGALIDER 68 (10253)"</f>
        <v>DROGALIDER 68 (10253)</v>
      </c>
      <c r="S9673" t="s">
        <v>22</v>
      </c>
      <c r="T9673">
        <v>20822</v>
      </c>
      <c r="U9673">
        <v>25266</v>
      </c>
      <c r="V9673" t="s">
        <v>22</v>
      </c>
    </row>
    <row r="9674" spans="1:22">
      <c r="A9674" t="str">
        <f t="shared" si="1851"/>
        <v>10/11/2025</v>
      </c>
      <c r="B9674" t="str">
        <f t="shared" si="1847"/>
        <v>SAÍDA</v>
      </c>
      <c r="C9674" t="str">
        <f t="shared" si="1852"/>
        <v>PIX</v>
      </c>
      <c r="D9674" t="str">
        <f>"25266"</f>
        <v>25266</v>
      </c>
      <c r="E9674" t="str">
        <f t="shared" si="1841"/>
        <v>1</v>
      </c>
      <c r="F9674" t="str">
        <f t="shared" si="1856"/>
        <v>COM</v>
      </c>
      <c r="G9674" t="str">
        <f>"VALTER APARECIDO GOMES (1071)"</f>
        <v>VALTER APARECIDO GOMES (1071)</v>
      </c>
      <c r="H9674" t="s">
        <v>2760</v>
      </c>
      <c r="I9674" t="str">
        <f t="shared" si="1849"/>
        <v>13/11/2025</v>
      </c>
      <c r="J9674" t="str">
        <f t="shared" si="1855"/>
        <v>12/11/2025</v>
      </c>
      <c r="K9674">
        <v>45971</v>
      </c>
      <c r="N9674">
        <v>134</v>
      </c>
      <c r="O9674" t="s">
        <v>41</v>
      </c>
      <c r="Q9674">
        <v>113.32</v>
      </c>
      <c r="R9674" t="str">
        <f>"DROGALIDER 31 (10256)"</f>
        <v>DROGALIDER 31 (10256)</v>
      </c>
      <c r="S9674" t="s">
        <v>22</v>
      </c>
      <c r="T9674">
        <v>20822</v>
      </c>
      <c r="U9674">
        <v>25266</v>
      </c>
      <c r="V9674" t="s">
        <v>22</v>
      </c>
    </row>
    <row r="9675" spans="1:22">
      <c r="A9675" t="str">
        <f t="shared" si="1851"/>
        <v>10/11/2025</v>
      </c>
      <c r="B9675" t="str">
        <f t="shared" si="1847"/>
        <v>SAÍDA</v>
      </c>
      <c r="C9675" t="str">
        <f t="shared" si="1852"/>
        <v>PIX</v>
      </c>
      <c r="D9675" t="str">
        <f>"1011"</f>
        <v>1011</v>
      </c>
      <c r="E9675" t="str">
        <f>"25"</f>
        <v>25</v>
      </c>
      <c r="F9675" t="str">
        <f t="shared" si="1856"/>
        <v>COM</v>
      </c>
      <c r="G9675" t="str">
        <f>"RODOLFO RAFAEL BALSI LIMA (1077)"</f>
        <v>RODOLFO RAFAEL BALSI LIMA (1077)</v>
      </c>
      <c r="H9675" t="str">
        <f>"DIARIA 09/11 - COTIA"</f>
        <v>DIARIA 09/11 - COTIA</v>
      </c>
      <c r="I9675" t="str">
        <f>("10/11/2025")</f>
        <v>10/11/2025</v>
      </c>
      <c r="J9675" t="str">
        <f>("10/11/2025")</f>
        <v>10/11/2025</v>
      </c>
      <c r="K9675" t="str">
        <f>("10/11/2025")</f>
        <v>10/11/2025</v>
      </c>
      <c r="L9675">
        <v>170</v>
      </c>
      <c r="M9675">
        <v>170</v>
      </c>
      <c r="N9675">
        <v>134</v>
      </c>
      <c r="O9675" t="str">
        <f>"DIARIA DE MOTOBOY"</f>
        <v>DIARIA DE MOTOBOY</v>
      </c>
      <c r="P9675">
        <v>170</v>
      </c>
      <c r="S9675" t="str">
        <f>"BANCO CORA (102)"</f>
        <v>BANCO CORA (102)</v>
      </c>
      <c r="T9675">
        <v>20843</v>
      </c>
      <c r="U9675">
        <v>25293</v>
      </c>
      <c r="V9675" t="s">
        <v>22</v>
      </c>
    </row>
    <row r="9676" spans="1:22">
      <c r="A9676" t="str">
        <f t="shared" si="1851"/>
        <v>10/11/2025</v>
      </c>
      <c r="B9676" t="str">
        <f t="shared" si="1847"/>
        <v>SAÍDA</v>
      </c>
      <c r="C9676" t="str">
        <f t="shared" si="1852"/>
        <v>PIX</v>
      </c>
      <c r="D9676" t="str">
        <f>"1011"</f>
        <v>1011</v>
      </c>
      <c r="E9676" t="str">
        <f>"25"</f>
        <v>25</v>
      </c>
      <c r="F9676" t="str">
        <f t="shared" si="1856"/>
        <v>COM</v>
      </c>
      <c r="G9676" t="str">
        <f>"RODOLFO RAFAEL BALSI LIMA (1077)"</f>
        <v>RODOLFO RAFAEL BALSI LIMA (1077)</v>
      </c>
      <c r="H9676" t="s">
        <v>2761</v>
      </c>
      <c r="I9676" t="str">
        <f>("10/11/2025")</f>
        <v>10/11/2025</v>
      </c>
      <c r="J9676" t="str">
        <f>("10/11/2025")</f>
        <v>10/11/2025</v>
      </c>
      <c r="K9676">
        <v>45971</v>
      </c>
      <c r="N9676">
        <v>134</v>
      </c>
      <c r="O9676" t="s">
        <v>41</v>
      </c>
      <c r="Q9676">
        <v>170</v>
      </c>
      <c r="R9676" t="str">
        <f>"PENSE FARMA 20 (10203)"</f>
        <v>PENSE FARMA 20 (10203)</v>
      </c>
      <c r="S9676" t="s">
        <v>22</v>
      </c>
      <c r="T9676">
        <v>20843</v>
      </c>
      <c r="U9676">
        <v>25293</v>
      </c>
      <c r="V9676" t="s">
        <v>22</v>
      </c>
    </row>
    <row r="9677" spans="1:22">
      <c r="A9677" t="str">
        <f t="shared" si="1851"/>
        <v>10/11/2025</v>
      </c>
      <c r="B9677" t="str">
        <f t="shared" si="1847"/>
        <v>SAÍDA</v>
      </c>
      <c r="C9677" t="str">
        <f t="shared" si="1852"/>
        <v>PIX</v>
      </c>
      <c r="D9677" t="str">
        <f>"25008"</f>
        <v>25008</v>
      </c>
      <c r="E9677" t="str">
        <f t="shared" ref="E9677:E9700" si="1857">"1"</f>
        <v>1</v>
      </c>
      <c r="F9677" t="str">
        <f t="shared" si="1856"/>
        <v>COM</v>
      </c>
      <c r="G9677" t="str">
        <f>"DEIVID FERNANDES COSTA (828)"</f>
        <v>DEIVID FERNANDES COSTA (828)</v>
      </c>
      <c r="H9677" t="str">
        <f>"Serv.Prest. 03/11/2025 a 09/11/2025 - PIX: CELULAR - CHAVE: (62) 99550-3226"</f>
        <v>Serv.Prest. 03/11/2025 a 09/11/2025 - PIX: CELULAR - CHAVE: (62) 99550-3226</v>
      </c>
      <c r="I9677" t="str">
        <f t="shared" ref="I9677:I9688" si="1858">("13/11/2025")</f>
        <v>13/11/2025</v>
      </c>
      <c r="J9677" t="str">
        <f>("10/11/2025")</f>
        <v>10/11/2025</v>
      </c>
      <c r="K9677" t="str">
        <f>("10/11/2025")</f>
        <v>10/11/2025</v>
      </c>
      <c r="L9677">
        <v>150</v>
      </c>
      <c r="M9677">
        <v>150</v>
      </c>
      <c r="N9677">
        <v>109</v>
      </c>
      <c r="O9677" t="str">
        <f>"PAGAMENTO DE ENTREGADORES"</f>
        <v>PAGAMENTO DE ENTREGADORES</v>
      </c>
      <c r="P9677">
        <v>150</v>
      </c>
      <c r="S9677" t="str">
        <f>"BANCO CORA (102)"</f>
        <v>BANCO CORA (102)</v>
      </c>
      <c r="T9677">
        <v>20846</v>
      </c>
      <c r="U9677">
        <v>25295</v>
      </c>
      <c r="V9677" t="s">
        <v>22</v>
      </c>
    </row>
    <row r="9678" spans="1:22">
      <c r="A9678" t="str">
        <f t="shared" si="1851"/>
        <v>10/11/2025</v>
      </c>
      <c r="B9678" t="str">
        <f t="shared" si="1847"/>
        <v>SAÍDA</v>
      </c>
      <c r="C9678" t="str">
        <f t="shared" si="1852"/>
        <v>PIX</v>
      </c>
      <c r="D9678" t="str">
        <f>"25008"</f>
        <v>25008</v>
      </c>
      <c r="E9678" t="str">
        <f t="shared" si="1857"/>
        <v>1</v>
      </c>
      <c r="F9678" t="str">
        <f t="shared" si="1856"/>
        <v>COM</v>
      </c>
      <c r="G9678" t="str">
        <f>"DEIVID FERNANDES COSTA (828)"</f>
        <v>DEIVID FERNANDES COSTA (828)</v>
      </c>
      <c r="H9678" t="s">
        <v>2762</v>
      </c>
      <c r="I9678" t="str">
        <f t="shared" si="1858"/>
        <v>13/11/2025</v>
      </c>
      <c r="J9678" t="str">
        <f t="shared" ref="J9678:J9688" si="1859">("10/11/2025")</f>
        <v>10/11/2025</v>
      </c>
      <c r="K9678">
        <v>45971</v>
      </c>
      <c r="N9678">
        <v>109</v>
      </c>
      <c r="O9678" t="s">
        <v>24</v>
      </c>
      <c r="Q9678">
        <v>150</v>
      </c>
      <c r="R9678" t="str">
        <f>"BRASIL FARMA (10173)"</f>
        <v>BRASIL FARMA (10173)</v>
      </c>
      <c r="S9678" t="s">
        <v>22</v>
      </c>
      <c r="T9678">
        <v>20846</v>
      </c>
      <c r="U9678">
        <v>25295</v>
      </c>
      <c r="V9678" t="s">
        <v>22</v>
      </c>
    </row>
    <row r="9679" spans="1:22">
      <c r="A9679" t="str">
        <f t="shared" si="1851"/>
        <v>10/11/2025</v>
      </c>
      <c r="B9679" t="str">
        <f t="shared" si="1847"/>
        <v>SAÍDA</v>
      </c>
      <c r="C9679" t="str">
        <f t="shared" si="1852"/>
        <v>PIX</v>
      </c>
      <c r="D9679" t="str">
        <f>"25037"</f>
        <v>25037</v>
      </c>
      <c r="E9679" t="str">
        <f t="shared" si="1857"/>
        <v>1</v>
      </c>
      <c r="F9679" t="str">
        <f t="shared" si="1856"/>
        <v>COM</v>
      </c>
      <c r="G9679" t="str">
        <f>"ALEX DARC CAMPOS DA SILVA (814)"</f>
        <v>ALEX DARC CAMPOS DA SILVA (814)</v>
      </c>
      <c r="H9679" t="str">
        <f>"Serv.Prest. 03/11/2025 a 09/11/2025 - PIX: CPF - CHAVE: 488.769.518-73"</f>
        <v>Serv.Prest. 03/11/2025 a 09/11/2025 - PIX: CPF - CHAVE: 488.769.518-73</v>
      </c>
      <c r="I9679" t="str">
        <f t="shared" si="1858"/>
        <v>13/11/2025</v>
      </c>
      <c r="J9679" t="str">
        <f t="shared" si="1859"/>
        <v>10/11/2025</v>
      </c>
      <c r="K9679" t="str">
        <f>("10/11/2025")</f>
        <v>10/11/2025</v>
      </c>
      <c r="L9679">
        <v>49</v>
      </c>
      <c r="M9679">
        <v>60</v>
      </c>
      <c r="N9679">
        <v>134</v>
      </c>
      <c r="O9679" t="str">
        <f>"DIARIA DE MOTOBOY"</f>
        <v>DIARIA DE MOTOBOY</v>
      </c>
      <c r="P9679">
        <v>60</v>
      </c>
      <c r="S9679" t="str">
        <f>"BANCO CORA (102)"</f>
        <v>BANCO CORA (102)</v>
      </c>
      <c r="T9679">
        <v>20853</v>
      </c>
      <c r="U9679">
        <v>25037</v>
      </c>
      <c r="V9679" t="s">
        <v>22</v>
      </c>
    </row>
    <row r="9680" spans="1:22">
      <c r="A9680" t="str">
        <f t="shared" si="1851"/>
        <v>10/11/2025</v>
      </c>
      <c r="B9680" t="str">
        <f t="shared" si="1847"/>
        <v>SAÍDA</v>
      </c>
      <c r="C9680" t="str">
        <f t="shared" si="1852"/>
        <v>PIX</v>
      </c>
      <c r="D9680" t="str">
        <f>"25037"</f>
        <v>25037</v>
      </c>
      <c r="E9680" t="str">
        <f t="shared" si="1857"/>
        <v>1</v>
      </c>
      <c r="F9680" t="str">
        <f t="shared" si="1856"/>
        <v>COM</v>
      </c>
      <c r="G9680" t="str">
        <f>"ALEX DARC CAMPOS DA SILVA (814)"</f>
        <v>ALEX DARC CAMPOS DA SILVA (814)</v>
      </c>
      <c r="H9680" t="s">
        <v>2763</v>
      </c>
      <c r="I9680" t="str">
        <f t="shared" si="1858"/>
        <v>13/11/2025</v>
      </c>
      <c r="J9680" t="str">
        <f t="shared" si="1859"/>
        <v>10/11/2025</v>
      </c>
      <c r="K9680">
        <v>45971</v>
      </c>
      <c r="N9680">
        <v>134</v>
      </c>
      <c r="O9680" t="s">
        <v>41</v>
      </c>
      <c r="Q9680">
        <v>60</v>
      </c>
      <c r="R9680" t="str">
        <f>"DROGARIA MORENO LTDA (10171)"</f>
        <v>DROGARIA MORENO LTDA (10171)</v>
      </c>
      <c r="S9680" t="s">
        <v>22</v>
      </c>
      <c r="T9680">
        <v>20853</v>
      </c>
      <c r="U9680">
        <v>25037</v>
      </c>
      <c r="V9680" t="s">
        <v>22</v>
      </c>
    </row>
    <row r="9681" spans="1:22">
      <c r="A9681" t="str">
        <f t="shared" si="1851"/>
        <v>10/11/2025</v>
      </c>
      <c r="B9681" t="str">
        <f t="shared" si="1847"/>
        <v>SAÍDA</v>
      </c>
      <c r="C9681" t="str">
        <f t="shared" si="1852"/>
        <v>PIX</v>
      </c>
      <c r="D9681" t="str">
        <f>"25043"</f>
        <v>25043</v>
      </c>
      <c r="E9681" t="str">
        <f t="shared" si="1857"/>
        <v>1</v>
      </c>
      <c r="F9681" t="str">
        <f t="shared" si="1856"/>
        <v>COM</v>
      </c>
      <c r="G9681" t="str">
        <f>"ALEX DARC CAMPOS DA SILVA (814)"</f>
        <v>ALEX DARC CAMPOS DA SILVA (814)</v>
      </c>
      <c r="H9681" t="str">
        <f>"Serv.Prest. 03/11/2025 a 09/11/2025 - PIX: CPF - CHAVE: 488.769.518-73"</f>
        <v>Serv.Prest. 03/11/2025 a 09/11/2025 - PIX: CPF - CHAVE: 488.769.518-73</v>
      </c>
      <c r="I9681" t="str">
        <f t="shared" si="1858"/>
        <v>13/11/2025</v>
      </c>
      <c r="J9681" t="str">
        <f t="shared" si="1859"/>
        <v>10/11/2025</v>
      </c>
      <c r="K9681" t="str">
        <f>("10/11/2025")</f>
        <v>10/11/2025</v>
      </c>
      <c r="L9681">
        <v>70</v>
      </c>
      <c r="M9681">
        <v>70</v>
      </c>
      <c r="N9681">
        <v>134</v>
      </c>
      <c r="O9681" t="str">
        <f>"DIARIA DE MOTOBOY"</f>
        <v>DIARIA DE MOTOBOY</v>
      </c>
      <c r="S9681" t="str">
        <f>"BANCO CORA (102)"</f>
        <v>BANCO CORA (102)</v>
      </c>
      <c r="T9681">
        <v>20853</v>
      </c>
      <c r="U9681">
        <v>25043</v>
      </c>
      <c r="V9681" t="s">
        <v>22</v>
      </c>
    </row>
    <row r="9682" spans="1:22">
      <c r="A9682" t="str">
        <f t="shared" si="1851"/>
        <v>10/11/2025</v>
      </c>
      <c r="B9682" t="str">
        <f t="shared" si="1847"/>
        <v>SAÍDA</v>
      </c>
      <c r="C9682" t="str">
        <f t="shared" si="1852"/>
        <v>PIX</v>
      </c>
      <c r="D9682" t="str">
        <f>"25043"</f>
        <v>25043</v>
      </c>
      <c r="E9682" t="str">
        <f t="shared" si="1857"/>
        <v>1</v>
      </c>
      <c r="F9682" t="str">
        <f t="shared" si="1856"/>
        <v>COM</v>
      </c>
      <c r="G9682" t="str">
        <f>"ALEX DARC CAMPOS DA SILVA (814)"</f>
        <v>ALEX DARC CAMPOS DA SILVA (814)</v>
      </c>
      <c r="H9682" t="s">
        <v>2763</v>
      </c>
      <c r="I9682" t="str">
        <f t="shared" si="1858"/>
        <v>13/11/2025</v>
      </c>
      <c r="J9682" t="str">
        <f t="shared" si="1859"/>
        <v>10/11/2025</v>
      </c>
      <c r="K9682">
        <v>45971</v>
      </c>
      <c r="N9682">
        <v>134</v>
      </c>
      <c r="O9682" t="s">
        <v>41</v>
      </c>
      <c r="Q9682">
        <v>70</v>
      </c>
      <c r="R9682" t="str">
        <f>"DROGARIA TOTAL JUNDIAI (10177)"</f>
        <v>DROGARIA TOTAL JUNDIAI (10177)</v>
      </c>
      <c r="S9682" t="s">
        <v>22</v>
      </c>
      <c r="T9682">
        <v>20853</v>
      </c>
      <c r="U9682">
        <v>25043</v>
      </c>
      <c r="V9682" t="s">
        <v>22</v>
      </c>
    </row>
    <row r="9683" spans="1:22">
      <c r="A9683" t="str">
        <f t="shared" si="1851"/>
        <v>10/11/2025</v>
      </c>
      <c r="B9683" t="str">
        <f t="shared" si="1847"/>
        <v>SAÍDA</v>
      </c>
      <c r="C9683" t="str">
        <f t="shared" si="1852"/>
        <v>PIX</v>
      </c>
      <c r="D9683" t="str">
        <f>"25034"</f>
        <v>25034</v>
      </c>
      <c r="E9683" t="str">
        <f t="shared" si="1857"/>
        <v>1</v>
      </c>
      <c r="F9683" t="str">
        <f t="shared" si="1856"/>
        <v>COM</v>
      </c>
      <c r="G9683" t="str">
        <f>"JAMERSON SOUZA LOPES (749)"</f>
        <v>JAMERSON SOUZA LOPES (749)</v>
      </c>
      <c r="H9683" t="str">
        <f>"Serv.Prest. 03/11/2025 a 09/11/2025 - PIX: CPF - CHAVE: 423.098.018-36"</f>
        <v>Serv.Prest. 03/11/2025 a 09/11/2025 - PIX: CPF - CHAVE: 423.098.018-36</v>
      </c>
      <c r="I9683" t="str">
        <f t="shared" si="1858"/>
        <v>13/11/2025</v>
      </c>
      <c r="J9683" t="str">
        <f t="shared" si="1859"/>
        <v>10/11/2025</v>
      </c>
      <c r="K9683" t="str">
        <f>("10/11/2025")</f>
        <v>10/11/2025</v>
      </c>
      <c r="L9683">
        <v>130</v>
      </c>
      <c r="M9683">
        <v>130</v>
      </c>
      <c r="N9683">
        <v>109</v>
      </c>
      <c r="O9683" t="str">
        <f>"PAGAMENTO DE ENTREGADORES"</f>
        <v>PAGAMENTO DE ENTREGADORES</v>
      </c>
      <c r="P9683">
        <v>130</v>
      </c>
      <c r="S9683" t="str">
        <f>"BANCO CORA (102)"</f>
        <v>BANCO CORA (102)</v>
      </c>
      <c r="T9683">
        <v>20858</v>
      </c>
      <c r="U9683">
        <v>25299</v>
      </c>
      <c r="V9683" t="s">
        <v>22</v>
      </c>
    </row>
    <row r="9684" spans="1:22">
      <c r="A9684" t="str">
        <f t="shared" si="1851"/>
        <v>10/11/2025</v>
      </c>
      <c r="B9684" t="str">
        <f t="shared" si="1847"/>
        <v>SAÍDA</v>
      </c>
      <c r="C9684" t="str">
        <f t="shared" si="1852"/>
        <v>PIX</v>
      </c>
      <c r="D9684" t="str">
        <f>"25034"</f>
        <v>25034</v>
      </c>
      <c r="E9684" t="str">
        <f t="shared" si="1857"/>
        <v>1</v>
      </c>
      <c r="F9684" t="str">
        <f t="shared" si="1856"/>
        <v>COM</v>
      </c>
      <c r="G9684" t="str">
        <f>"JAMERSON SOUZA LOPES (749)"</f>
        <v>JAMERSON SOUZA LOPES (749)</v>
      </c>
      <c r="H9684" t="s">
        <v>2752</v>
      </c>
      <c r="I9684" t="str">
        <f t="shared" si="1858"/>
        <v>13/11/2025</v>
      </c>
      <c r="J9684" t="str">
        <f t="shared" si="1859"/>
        <v>10/11/2025</v>
      </c>
      <c r="K9684">
        <v>45971</v>
      </c>
      <c r="N9684">
        <v>109</v>
      </c>
      <c r="O9684" t="s">
        <v>24</v>
      </c>
      <c r="Q9684">
        <v>130</v>
      </c>
      <c r="R9684" t="str">
        <f>"DROGARIA MEDIC CENTER LTDA (10172)"</f>
        <v>DROGARIA MEDIC CENTER LTDA (10172)</v>
      </c>
      <c r="S9684" t="s">
        <v>22</v>
      </c>
      <c r="T9684">
        <v>20858</v>
      </c>
      <c r="U9684">
        <v>25299</v>
      </c>
      <c r="V9684" t="s">
        <v>22</v>
      </c>
    </row>
    <row r="9685" spans="1:22">
      <c r="A9685" t="str">
        <f t="shared" si="1851"/>
        <v>10/11/2025</v>
      </c>
      <c r="B9685" t="str">
        <f t="shared" si="1847"/>
        <v>SAÍDA</v>
      </c>
      <c r="C9685" t="str">
        <f t="shared" si="1852"/>
        <v>PIX</v>
      </c>
      <c r="D9685" t="str">
        <f>"25040"</f>
        <v>25040</v>
      </c>
      <c r="E9685" t="str">
        <f t="shared" si="1857"/>
        <v>1</v>
      </c>
      <c r="F9685" t="str">
        <f t="shared" si="1856"/>
        <v>COM</v>
      </c>
      <c r="G9685" t="str">
        <f>"JHONATAS FABIANO GOMES (1066)"</f>
        <v>JHONATAS FABIANO GOMES (1066)</v>
      </c>
      <c r="H9685" t="str">
        <f>"Serv.Prest. 03/11/2025 a 09/11/2025 - PIX: CPF - CHAVE: 400.402.668-77"</f>
        <v>Serv.Prest. 03/11/2025 a 09/11/2025 - PIX: CPF - CHAVE: 400.402.668-77</v>
      </c>
      <c r="I9685" t="str">
        <f t="shared" si="1858"/>
        <v>13/11/2025</v>
      </c>
      <c r="J9685" t="str">
        <f t="shared" si="1859"/>
        <v>10/11/2025</v>
      </c>
      <c r="K9685" t="str">
        <f>("10/11/2025")</f>
        <v>10/11/2025</v>
      </c>
      <c r="L9685">
        <v>133</v>
      </c>
      <c r="M9685">
        <v>130</v>
      </c>
      <c r="N9685">
        <v>134</v>
      </c>
      <c r="O9685" t="str">
        <f>"DIARIA DE MOTOBOY"</f>
        <v>DIARIA DE MOTOBOY</v>
      </c>
      <c r="P9685">
        <v>130</v>
      </c>
      <c r="S9685" t="str">
        <f>"BANCO CORA (102)"</f>
        <v>BANCO CORA (102)</v>
      </c>
      <c r="T9685">
        <v>20862</v>
      </c>
      <c r="U9685">
        <v>25040</v>
      </c>
      <c r="V9685" t="s">
        <v>22</v>
      </c>
    </row>
    <row r="9686" spans="1:22">
      <c r="A9686" t="str">
        <f t="shared" si="1851"/>
        <v>10/11/2025</v>
      </c>
      <c r="B9686" t="str">
        <f t="shared" si="1847"/>
        <v>SAÍDA</v>
      </c>
      <c r="C9686" t="str">
        <f t="shared" si="1852"/>
        <v>PIX</v>
      </c>
      <c r="D9686" t="str">
        <f>"25040"</f>
        <v>25040</v>
      </c>
      <c r="E9686" t="str">
        <f t="shared" si="1857"/>
        <v>1</v>
      </c>
      <c r="F9686" t="str">
        <f t="shared" si="1856"/>
        <v>COM</v>
      </c>
      <c r="G9686" t="str">
        <f>"JHONATAS FABIANO GOMES (1066)"</f>
        <v>JHONATAS FABIANO GOMES (1066)</v>
      </c>
      <c r="H9686" t="s">
        <v>2753</v>
      </c>
      <c r="I9686" t="str">
        <f t="shared" si="1858"/>
        <v>13/11/2025</v>
      </c>
      <c r="J9686" t="str">
        <f t="shared" si="1859"/>
        <v>10/11/2025</v>
      </c>
      <c r="K9686">
        <v>45971</v>
      </c>
      <c r="N9686">
        <v>134</v>
      </c>
      <c r="O9686" t="s">
        <v>41</v>
      </c>
      <c r="Q9686">
        <v>130</v>
      </c>
      <c r="R9686" t="str">
        <f>"DROGARIA MORENO LTDA (10171)"</f>
        <v>DROGARIA MORENO LTDA (10171)</v>
      </c>
      <c r="S9686" t="s">
        <v>22</v>
      </c>
      <c r="T9686">
        <v>20862</v>
      </c>
      <c r="U9686">
        <v>25040</v>
      </c>
      <c r="V9686" t="s">
        <v>22</v>
      </c>
    </row>
    <row r="9687" spans="1:22">
      <c r="A9687" t="str">
        <f t="shared" si="1851"/>
        <v>10/11/2025</v>
      </c>
      <c r="B9687" t="str">
        <f t="shared" si="1847"/>
        <v>SAÍDA</v>
      </c>
      <c r="C9687" t="str">
        <f t="shared" si="1852"/>
        <v>PIX</v>
      </c>
      <c r="D9687" t="str">
        <f>"25045"</f>
        <v>25045</v>
      </c>
      <c r="E9687" t="str">
        <f t="shared" si="1857"/>
        <v>1</v>
      </c>
      <c r="F9687" t="str">
        <f t="shared" si="1856"/>
        <v>COM</v>
      </c>
      <c r="G9687" t="str">
        <f>"JHONATAS FABIANO GOMES (1066)"</f>
        <v>JHONATAS FABIANO GOMES (1066)</v>
      </c>
      <c r="H9687" t="str">
        <f>"Serv.Prest. 03/11/2025 a 09/11/2025 - PIX: CPF - CHAVE: 400.402.668-77"</f>
        <v>Serv.Prest. 03/11/2025 a 09/11/2025 - PIX: CPF - CHAVE: 400.402.668-77</v>
      </c>
      <c r="I9687" t="str">
        <f t="shared" si="1858"/>
        <v>13/11/2025</v>
      </c>
      <c r="J9687" t="str">
        <f t="shared" si="1859"/>
        <v>10/11/2025</v>
      </c>
      <c r="K9687" t="str">
        <f>("10/11/2025")</f>
        <v>10/11/2025</v>
      </c>
      <c r="L9687">
        <v>77</v>
      </c>
      <c r="M9687">
        <v>80</v>
      </c>
      <c r="N9687">
        <v>134</v>
      </c>
      <c r="O9687" t="str">
        <f>"DIARIA DE MOTOBOY"</f>
        <v>DIARIA DE MOTOBOY</v>
      </c>
      <c r="P9687">
        <v>80</v>
      </c>
      <c r="S9687" t="str">
        <f>"BANCO CORA (102)"</f>
        <v>BANCO CORA (102)</v>
      </c>
      <c r="T9687">
        <v>20863</v>
      </c>
      <c r="U9687">
        <v>25045</v>
      </c>
      <c r="V9687" t="s">
        <v>22</v>
      </c>
    </row>
    <row r="9688" spans="1:22">
      <c r="A9688" t="str">
        <f t="shared" si="1851"/>
        <v>10/11/2025</v>
      </c>
      <c r="B9688" t="str">
        <f t="shared" si="1847"/>
        <v>SAÍDA</v>
      </c>
      <c r="C9688" t="str">
        <f t="shared" si="1852"/>
        <v>PIX</v>
      </c>
      <c r="D9688" t="str">
        <f>"25045"</f>
        <v>25045</v>
      </c>
      <c r="E9688" t="str">
        <f t="shared" si="1857"/>
        <v>1</v>
      </c>
      <c r="F9688" t="str">
        <f t="shared" si="1856"/>
        <v>COM</v>
      </c>
      <c r="G9688" t="str">
        <f>"JHONATAS FABIANO GOMES (1066)"</f>
        <v>JHONATAS FABIANO GOMES (1066)</v>
      </c>
      <c r="H9688" t="s">
        <v>2753</v>
      </c>
      <c r="I9688" t="str">
        <f t="shared" si="1858"/>
        <v>13/11/2025</v>
      </c>
      <c r="J9688" t="str">
        <f t="shared" si="1859"/>
        <v>10/11/2025</v>
      </c>
      <c r="K9688">
        <v>45971</v>
      </c>
      <c r="N9688">
        <v>134</v>
      </c>
      <c r="O9688" t="s">
        <v>41</v>
      </c>
      <c r="Q9688">
        <v>80</v>
      </c>
      <c r="R9688" t="str">
        <f>"DROGARIA TOTAL JUNDIAI (10177)"</f>
        <v>DROGARIA TOTAL JUNDIAI (10177)</v>
      </c>
      <c r="S9688" t="s">
        <v>22</v>
      </c>
      <c r="T9688">
        <v>20863</v>
      </c>
      <c r="U9688">
        <v>25045</v>
      </c>
      <c r="V9688" t="s">
        <v>22</v>
      </c>
    </row>
    <row r="9689" spans="1:22">
      <c r="A9689" t="str">
        <f t="shared" si="1851"/>
        <v>10/11/2025</v>
      </c>
      <c r="B9689" t="str">
        <f t="shared" ref="B9689:B9720" si="1860">"SAÍDA"</f>
        <v>SAÍDA</v>
      </c>
      <c r="C9689" t="str">
        <f t="shared" si="1852"/>
        <v>PIX</v>
      </c>
      <c r="D9689" t="str">
        <f>"25243"</f>
        <v>25243</v>
      </c>
      <c r="E9689" t="str">
        <f t="shared" si="1857"/>
        <v>1</v>
      </c>
      <c r="F9689" t="str">
        <f t="shared" si="1856"/>
        <v>COM</v>
      </c>
      <c r="G9689" t="str">
        <f>"JOAO ALEXANDRE DE SOUZA ARAUJO (698)"</f>
        <v>JOAO ALEXANDRE DE SOUZA ARAUJO (698)</v>
      </c>
      <c r="H9689" t="str">
        <f>"Serv.Prest. 03/11/2025 a 09/11/2025 - PIX: CPF - CHAVE: 174.029.607-90"</f>
        <v>Serv.Prest. 03/11/2025 a 09/11/2025 - PIX: CPF - CHAVE: 174.029.607-90</v>
      </c>
      <c r="I9689" t="str">
        <f>("20/11/2025")</f>
        <v>20/11/2025</v>
      </c>
      <c r="J9689" t="str">
        <f>("11/11/2025")</f>
        <v>11/11/2025</v>
      </c>
      <c r="K9689" t="str">
        <f>("10/11/2025")</f>
        <v>10/11/2025</v>
      </c>
      <c r="L9689">
        <v>720</v>
      </c>
      <c r="M9689">
        <v>720</v>
      </c>
      <c r="N9689">
        <v>134</v>
      </c>
      <c r="O9689" t="str">
        <f>"DIARIA DE MOTOBOY"</f>
        <v>DIARIA DE MOTOBOY</v>
      </c>
      <c r="P9689">
        <v>720</v>
      </c>
      <c r="S9689" t="str">
        <f>"BANCO CORA (102)"</f>
        <v>BANCO CORA (102)</v>
      </c>
      <c r="T9689">
        <v>20864</v>
      </c>
      <c r="U9689">
        <v>25243</v>
      </c>
      <c r="V9689" t="s">
        <v>22</v>
      </c>
    </row>
    <row r="9690" spans="1:22">
      <c r="A9690" t="str">
        <f t="shared" si="1851"/>
        <v>10/11/2025</v>
      </c>
      <c r="B9690" t="str">
        <f t="shared" si="1860"/>
        <v>SAÍDA</v>
      </c>
      <c r="C9690" t="str">
        <f t="shared" si="1852"/>
        <v>PIX</v>
      </c>
      <c r="D9690" t="str">
        <f>"25243"</f>
        <v>25243</v>
      </c>
      <c r="E9690" t="str">
        <f t="shared" si="1857"/>
        <v>1</v>
      </c>
      <c r="F9690" t="str">
        <f t="shared" si="1856"/>
        <v>COM</v>
      </c>
      <c r="G9690" t="str">
        <f>"JOAO ALEXANDRE DE SOUZA ARAUJO (698)"</f>
        <v>JOAO ALEXANDRE DE SOUZA ARAUJO (698)</v>
      </c>
      <c r="H9690" t="s">
        <v>2764</v>
      </c>
      <c r="I9690" t="str">
        <f>("20/11/2025")</f>
        <v>20/11/2025</v>
      </c>
      <c r="J9690" t="str">
        <f>("11/11/2025")</f>
        <v>11/11/2025</v>
      </c>
      <c r="K9690">
        <v>45971</v>
      </c>
      <c r="N9690">
        <v>134</v>
      </c>
      <c r="O9690" t="s">
        <v>41</v>
      </c>
      <c r="Q9690">
        <v>720</v>
      </c>
      <c r="R9690" t="str">
        <f>"FARMÁCIA INDIANA LJ 188 (10176)"</f>
        <v>FARMÁCIA INDIANA LJ 188 (10176)</v>
      </c>
      <c r="S9690" t="s">
        <v>22</v>
      </c>
      <c r="T9690">
        <v>20864</v>
      </c>
      <c r="U9690">
        <v>25243</v>
      </c>
      <c r="V9690" t="s">
        <v>22</v>
      </c>
    </row>
    <row r="9691" spans="1:22">
      <c r="A9691" t="str">
        <f t="shared" si="1851"/>
        <v>10/11/2025</v>
      </c>
      <c r="B9691" t="str">
        <f t="shared" si="1860"/>
        <v>SAÍDA</v>
      </c>
      <c r="C9691" t="str">
        <f t="shared" si="1852"/>
        <v>PIX</v>
      </c>
      <c r="D9691" t="str">
        <f>"24840"</f>
        <v>24840</v>
      </c>
      <c r="E9691" t="str">
        <f t="shared" si="1857"/>
        <v>1</v>
      </c>
      <c r="F9691" t="str">
        <f t="shared" si="1856"/>
        <v>COM</v>
      </c>
      <c r="G9691" t="str">
        <f>"JOAO ALEXANDRE DE SOUZA ARAUJO (698)"</f>
        <v>JOAO ALEXANDRE DE SOUZA ARAUJO (698)</v>
      </c>
      <c r="H9691" t="str">
        <f>"Serv.Prest. 24/10/2025 a 02/11/2025 - PIX: CPF - CHAVE: 174.029.607-90"</f>
        <v>Serv.Prest. 24/10/2025 a 02/11/2025 - PIX: CPF - CHAVE: 174.029.607-90</v>
      </c>
      <c r="I9691" t="str">
        <f>("25/11/2025")</f>
        <v>25/11/2025</v>
      </c>
      <c r="J9691" t="str">
        <f>("04/11/2025")</f>
        <v>04/11/2025</v>
      </c>
      <c r="K9691" t="str">
        <f>("10/11/2025")</f>
        <v>10/11/2025</v>
      </c>
      <c r="L9691">
        <v>670</v>
      </c>
      <c r="M9691">
        <v>670</v>
      </c>
      <c r="N9691">
        <v>134</v>
      </c>
      <c r="O9691" t="str">
        <f>"DIARIA DE MOTOBOY"</f>
        <v>DIARIA DE MOTOBOY</v>
      </c>
      <c r="P9691">
        <v>670</v>
      </c>
      <c r="S9691" t="str">
        <f>"BANCO CORA (102)"</f>
        <v>BANCO CORA (102)</v>
      </c>
      <c r="T9691">
        <v>20865</v>
      </c>
      <c r="U9691">
        <v>24840</v>
      </c>
      <c r="V9691" t="s">
        <v>22</v>
      </c>
    </row>
    <row r="9692" spans="1:22">
      <c r="A9692" t="str">
        <f t="shared" si="1851"/>
        <v>10/11/2025</v>
      </c>
      <c r="B9692" t="str">
        <f t="shared" si="1860"/>
        <v>SAÍDA</v>
      </c>
      <c r="C9692" t="str">
        <f t="shared" si="1852"/>
        <v>PIX</v>
      </c>
      <c r="D9692" t="str">
        <f>"24840"</f>
        <v>24840</v>
      </c>
      <c r="E9692" t="str">
        <f t="shared" si="1857"/>
        <v>1</v>
      </c>
      <c r="F9692" t="str">
        <f t="shared" si="1856"/>
        <v>COM</v>
      </c>
      <c r="G9692" t="str">
        <f>"JOAO ALEXANDRE DE SOUZA ARAUJO (698)"</f>
        <v>JOAO ALEXANDRE DE SOUZA ARAUJO (698)</v>
      </c>
      <c r="H9692" t="s">
        <v>2526</v>
      </c>
      <c r="I9692" t="str">
        <f>("25/11/2025")</f>
        <v>25/11/2025</v>
      </c>
      <c r="J9692" t="str">
        <f>("04/11/2025")</f>
        <v>04/11/2025</v>
      </c>
      <c r="K9692">
        <v>45971</v>
      </c>
      <c r="N9692">
        <v>134</v>
      </c>
      <c r="O9692" t="s">
        <v>41</v>
      </c>
      <c r="Q9692">
        <v>670</v>
      </c>
      <c r="R9692" t="str">
        <f>"FARMÁCIA INDIANA LJ 188 (10176)"</f>
        <v>FARMÁCIA INDIANA LJ 188 (10176)</v>
      </c>
      <c r="S9692" t="s">
        <v>22</v>
      </c>
      <c r="T9692">
        <v>20865</v>
      </c>
      <c r="U9692">
        <v>24840</v>
      </c>
      <c r="V9692" t="s">
        <v>22</v>
      </c>
    </row>
    <row r="9693" spans="1:22">
      <c r="A9693" t="str">
        <f t="shared" si="1851"/>
        <v>10/11/2025</v>
      </c>
      <c r="B9693" t="str">
        <f t="shared" si="1860"/>
        <v>SAÍDA</v>
      </c>
      <c r="C9693" t="str">
        <f t="shared" si="1852"/>
        <v>PIX</v>
      </c>
      <c r="D9693" t="str">
        <f>"24996"</f>
        <v>24996</v>
      </c>
      <c r="E9693" t="str">
        <f t="shared" si="1857"/>
        <v>1</v>
      </c>
      <c r="F9693" t="str">
        <f t="shared" si="1856"/>
        <v>COM</v>
      </c>
      <c r="G9693" t="str">
        <f>"NATHAN PETRIN SOUSA DA SILVA (1049)"</f>
        <v>NATHAN PETRIN SOUSA DA SILVA (1049)</v>
      </c>
      <c r="H9693" t="str">
        <f>"Serv.Prest. 03/11/2025 a 09/11/2025 - PIX: CELULAR - CHAVE: (11) 98731-4534"</f>
        <v>Serv.Prest. 03/11/2025 a 09/11/2025 - PIX: CELULAR - CHAVE: (11) 98731-4534</v>
      </c>
      <c r="I9693" t="str">
        <f>("13/11/2025")</f>
        <v>13/11/2025</v>
      </c>
      <c r="J9693" t="str">
        <f>("10/11/2025")</f>
        <v>10/11/2025</v>
      </c>
      <c r="K9693" t="str">
        <f>("10/11/2025")</f>
        <v>10/11/2025</v>
      </c>
      <c r="L9693">
        <v>150</v>
      </c>
      <c r="M9693">
        <v>150</v>
      </c>
      <c r="N9693">
        <v>109</v>
      </c>
      <c r="O9693" t="str">
        <f>"PAGAMENTO DE ENTREGADORES"</f>
        <v>PAGAMENTO DE ENTREGADORES</v>
      </c>
      <c r="P9693">
        <v>150</v>
      </c>
      <c r="S9693" t="str">
        <f>"BANCO CORA (102)"</f>
        <v>BANCO CORA (102)</v>
      </c>
      <c r="T9693">
        <v>20868</v>
      </c>
      <c r="U9693">
        <v>25302</v>
      </c>
      <c r="V9693" t="s">
        <v>22</v>
      </c>
    </row>
    <row r="9694" spans="1:22">
      <c r="A9694" t="str">
        <f t="shared" si="1851"/>
        <v>10/11/2025</v>
      </c>
      <c r="B9694" t="str">
        <f t="shared" si="1860"/>
        <v>SAÍDA</v>
      </c>
      <c r="C9694" t="str">
        <f t="shared" si="1852"/>
        <v>PIX</v>
      </c>
      <c r="D9694" t="str">
        <f>"24996"</f>
        <v>24996</v>
      </c>
      <c r="E9694" t="str">
        <f t="shared" si="1857"/>
        <v>1</v>
      </c>
      <c r="F9694" t="str">
        <f t="shared" si="1856"/>
        <v>COM</v>
      </c>
      <c r="G9694" t="str">
        <f>"NATHAN PETRIN SOUSA DA SILVA (1049)"</f>
        <v>NATHAN PETRIN SOUSA DA SILVA (1049)</v>
      </c>
      <c r="H9694" t="s">
        <v>2755</v>
      </c>
      <c r="I9694" t="str">
        <f>("13/11/2025")</f>
        <v>13/11/2025</v>
      </c>
      <c r="J9694" t="str">
        <f>("10/11/2025")</f>
        <v>10/11/2025</v>
      </c>
      <c r="K9694">
        <v>45971</v>
      </c>
      <c r="N9694">
        <v>109</v>
      </c>
      <c r="O9694" t="s">
        <v>24</v>
      </c>
      <c r="Q9694">
        <v>150</v>
      </c>
      <c r="R9694" t="str">
        <f>"PENSE FARMA 26 (10196)"</f>
        <v>PENSE FARMA 26 (10196)</v>
      </c>
      <c r="S9694" t="s">
        <v>22</v>
      </c>
      <c r="T9694">
        <v>20868</v>
      </c>
      <c r="U9694">
        <v>25302</v>
      </c>
      <c r="V9694" t="s">
        <v>22</v>
      </c>
    </row>
    <row r="9695" spans="1:22">
      <c r="A9695" t="str">
        <f t="shared" si="1851"/>
        <v>10/11/2025</v>
      </c>
      <c r="B9695" t="str">
        <f t="shared" si="1860"/>
        <v>SAÍDA</v>
      </c>
      <c r="C9695" t="str">
        <f t="shared" si="1852"/>
        <v>PIX</v>
      </c>
      <c r="D9695" t="str">
        <f>"25106"</f>
        <v>25106</v>
      </c>
      <c r="E9695" t="str">
        <f t="shared" si="1857"/>
        <v>1</v>
      </c>
      <c r="F9695" t="str">
        <f t="shared" si="1856"/>
        <v>COM</v>
      </c>
      <c r="G9695" t="str">
        <f>"CARLOS DANIEL FERNANDES VIEIRA (1051)"</f>
        <v>CARLOS DANIEL FERNANDES VIEIRA (1051)</v>
      </c>
      <c r="H9695" t="str">
        <f>"Serv.Prest. 03/11/2025 a 09/11/2025 - PIX: CPF - CHAVE: 171.393.446-98"</f>
        <v>Serv.Prest. 03/11/2025 a 09/11/2025 - PIX: CPF - CHAVE: 171.393.446-98</v>
      </c>
      <c r="I9695" t="str">
        <f>("20/11/2025")</f>
        <v>20/11/2025</v>
      </c>
      <c r="J9695" t="str">
        <f>("11/11/2025")</f>
        <v>11/11/2025</v>
      </c>
      <c r="K9695" t="str">
        <f>("10/11/2025")</f>
        <v>10/11/2025</v>
      </c>
      <c r="L9695">
        <v>240</v>
      </c>
      <c r="M9695">
        <v>240</v>
      </c>
      <c r="N9695">
        <v>134</v>
      </c>
      <c r="O9695" t="str">
        <f>"DIARIA DE MOTOBOY"</f>
        <v>DIARIA DE MOTOBOY</v>
      </c>
      <c r="P9695">
        <v>240</v>
      </c>
      <c r="S9695" t="str">
        <f>"BANCO CORA (102)"</f>
        <v>BANCO CORA (102)</v>
      </c>
      <c r="T9695">
        <v>20873</v>
      </c>
      <c r="U9695">
        <v>25305</v>
      </c>
      <c r="V9695" t="s">
        <v>22</v>
      </c>
    </row>
    <row r="9696" spans="1:22">
      <c r="A9696" t="str">
        <f t="shared" si="1851"/>
        <v>10/11/2025</v>
      </c>
      <c r="B9696" t="str">
        <f t="shared" si="1860"/>
        <v>SAÍDA</v>
      </c>
      <c r="C9696" t="str">
        <f t="shared" si="1852"/>
        <v>PIX</v>
      </c>
      <c r="D9696" t="str">
        <f>"25106"</f>
        <v>25106</v>
      </c>
      <c r="E9696" t="str">
        <f t="shared" si="1857"/>
        <v>1</v>
      </c>
      <c r="F9696" t="str">
        <f t="shared" si="1856"/>
        <v>COM</v>
      </c>
      <c r="G9696" t="str">
        <f>"CARLOS DANIEL FERNANDES VIEIRA (1051)"</f>
        <v>CARLOS DANIEL FERNANDES VIEIRA (1051)</v>
      </c>
      <c r="H9696" t="s">
        <v>2509</v>
      </c>
      <c r="I9696" t="str">
        <f>("20/11/2025")</f>
        <v>20/11/2025</v>
      </c>
      <c r="J9696" t="str">
        <f>("11/11/2025")</f>
        <v>11/11/2025</v>
      </c>
      <c r="K9696">
        <v>45971</v>
      </c>
      <c r="N9696">
        <v>134</v>
      </c>
      <c r="O9696" t="s">
        <v>41</v>
      </c>
      <c r="Q9696">
        <v>240</v>
      </c>
      <c r="R9696" t="str">
        <f>"FARMÁCIA INDIANA LJ 205 (10150)"</f>
        <v>FARMÁCIA INDIANA LJ 205 (10150)</v>
      </c>
      <c r="S9696" t="s">
        <v>22</v>
      </c>
      <c r="T9696">
        <v>20873</v>
      </c>
      <c r="U9696">
        <v>25305</v>
      </c>
      <c r="V9696" t="s">
        <v>22</v>
      </c>
    </row>
    <row r="9697" spans="1:22">
      <c r="A9697" t="str">
        <f t="shared" ref="A9697:A9718" si="1861">("10/11/2025")</f>
        <v>10/11/2025</v>
      </c>
      <c r="B9697" t="str">
        <f t="shared" si="1860"/>
        <v>SAÍDA</v>
      </c>
      <c r="C9697" t="str">
        <f t="shared" ref="C9697:C9702" si="1862">"PIX"</f>
        <v>PIX</v>
      </c>
      <c r="D9697" t="str">
        <f>"24999"</f>
        <v>24999</v>
      </c>
      <c r="E9697" t="str">
        <f t="shared" si="1857"/>
        <v>1</v>
      </c>
      <c r="F9697" t="str">
        <f t="shared" si="1856"/>
        <v>COM</v>
      </c>
      <c r="G9697" t="str">
        <f>"EDICARLOS OLIVEIRA BORGES (1068)"</f>
        <v>EDICARLOS OLIVEIRA BORGES (1068)</v>
      </c>
      <c r="H9697" t="str">
        <f>"Serv.Prest. 03/11/2025 a 09/11/2025 - PIX: CELULAR - CHAVE: (11) 93933-2088"</f>
        <v>Serv.Prest. 03/11/2025 a 09/11/2025 - PIX: CELULAR - CHAVE: (11) 93933-2088</v>
      </c>
      <c r="I9697" t="str">
        <f>("13/11/2025")</f>
        <v>13/11/2025</v>
      </c>
      <c r="J9697" t="str">
        <f>("10/11/2025")</f>
        <v>10/11/2025</v>
      </c>
      <c r="K9697" t="str">
        <f>("10/11/2025")</f>
        <v>10/11/2025</v>
      </c>
      <c r="L9697">
        <v>170</v>
      </c>
      <c r="M9697">
        <v>170</v>
      </c>
      <c r="N9697">
        <v>134</v>
      </c>
      <c r="O9697" t="str">
        <f>"DIARIA DE MOTOBOY"</f>
        <v>DIARIA DE MOTOBOY</v>
      </c>
      <c r="P9697">
        <v>170</v>
      </c>
      <c r="S9697" t="str">
        <f>"BANCO CORA (102)"</f>
        <v>BANCO CORA (102)</v>
      </c>
      <c r="T9697">
        <v>20877</v>
      </c>
      <c r="U9697">
        <v>25308</v>
      </c>
      <c r="V9697" t="s">
        <v>22</v>
      </c>
    </row>
    <row r="9698" spans="1:22">
      <c r="A9698" t="str">
        <f t="shared" si="1861"/>
        <v>10/11/2025</v>
      </c>
      <c r="B9698" t="str">
        <f t="shared" si="1860"/>
        <v>SAÍDA</v>
      </c>
      <c r="C9698" t="str">
        <f t="shared" si="1862"/>
        <v>PIX</v>
      </c>
      <c r="D9698" t="str">
        <f>"24999"</f>
        <v>24999</v>
      </c>
      <c r="E9698" t="str">
        <f t="shared" si="1857"/>
        <v>1</v>
      </c>
      <c r="F9698" t="str">
        <f t="shared" si="1856"/>
        <v>COM</v>
      </c>
      <c r="G9698" t="str">
        <f>"EDICARLOS OLIVEIRA BORGES (1068)"</f>
        <v>EDICARLOS OLIVEIRA BORGES (1068)</v>
      </c>
      <c r="H9698" t="s">
        <v>2758</v>
      </c>
      <c r="I9698" t="str">
        <f>("13/11/2025")</f>
        <v>13/11/2025</v>
      </c>
      <c r="J9698" t="str">
        <f>("10/11/2025")</f>
        <v>10/11/2025</v>
      </c>
      <c r="K9698">
        <v>45971</v>
      </c>
      <c r="N9698">
        <v>134</v>
      </c>
      <c r="O9698" t="s">
        <v>41</v>
      </c>
      <c r="Q9698">
        <v>170</v>
      </c>
      <c r="R9698" t="str">
        <f>"PENSE FARMA 22 (10198)"</f>
        <v>PENSE FARMA 22 (10198)</v>
      </c>
      <c r="S9698" t="s">
        <v>22</v>
      </c>
      <c r="T9698">
        <v>20877</v>
      </c>
      <c r="U9698">
        <v>25308</v>
      </c>
      <c r="V9698" t="s">
        <v>22</v>
      </c>
    </row>
    <row r="9699" spans="1:22">
      <c r="A9699" t="str">
        <f t="shared" si="1861"/>
        <v>10/11/2025</v>
      </c>
      <c r="B9699" t="str">
        <f t="shared" si="1860"/>
        <v>SAÍDA</v>
      </c>
      <c r="C9699" t="str">
        <f t="shared" si="1862"/>
        <v>PIX</v>
      </c>
      <c r="D9699" t="str">
        <f>"24979"</f>
        <v>24979</v>
      </c>
      <c r="E9699" t="str">
        <f t="shared" si="1857"/>
        <v>1</v>
      </c>
      <c r="F9699" t="str">
        <f t="shared" si="1856"/>
        <v>COM</v>
      </c>
      <c r="G9699" t="str">
        <f>"WESLEY JESUS SANTOS (1020)"</f>
        <v>WESLEY JESUS SANTOS (1020)</v>
      </c>
      <c r="H9699" t="str">
        <f>"Serv.Prest. 03/11/2025 a 09/11/2025 - PIX: CELULAR - CHAVE: (11) 91767-9056"</f>
        <v>Serv.Prest. 03/11/2025 a 09/11/2025 - PIX: CELULAR - CHAVE: (11) 91767-9056</v>
      </c>
      <c r="I9699" t="str">
        <f>("13/11/2025")</f>
        <v>13/11/2025</v>
      </c>
      <c r="J9699" t="str">
        <f>("10/11/2025")</f>
        <v>10/11/2025</v>
      </c>
      <c r="K9699" t="str">
        <f>("10/11/2025")</f>
        <v>10/11/2025</v>
      </c>
      <c r="L9699">
        <v>120</v>
      </c>
      <c r="M9699">
        <v>120</v>
      </c>
      <c r="N9699">
        <v>134</v>
      </c>
      <c r="O9699" t="str">
        <f>"DIARIA DE MOTOBOY"</f>
        <v>DIARIA DE MOTOBOY</v>
      </c>
      <c r="P9699">
        <v>120</v>
      </c>
      <c r="S9699" t="str">
        <f>"BANCO CORA (102)"</f>
        <v>BANCO CORA (102)</v>
      </c>
      <c r="T9699">
        <v>20879</v>
      </c>
      <c r="U9699">
        <v>24979</v>
      </c>
      <c r="V9699" t="s">
        <v>22</v>
      </c>
    </row>
    <row r="9700" spans="1:22">
      <c r="A9700" t="str">
        <f t="shared" si="1861"/>
        <v>10/11/2025</v>
      </c>
      <c r="B9700" t="str">
        <f t="shared" si="1860"/>
        <v>SAÍDA</v>
      </c>
      <c r="C9700" t="str">
        <f t="shared" si="1862"/>
        <v>PIX</v>
      </c>
      <c r="D9700" t="str">
        <f>"24979"</f>
        <v>24979</v>
      </c>
      <c r="E9700" t="str">
        <f t="shared" si="1857"/>
        <v>1</v>
      </c>
      <c r="F9700" t="str">
        <f t="shared" si="1856"/>
        <v>COM</v>
      </c>
      <c r="G9700" t="str">
        <f>"WESLEY JESUS SANTOS (1020)"</f>
        <v>WESLEY JESUS SANTOS (1020)</v>
      </c>
      <c r="H9700" t="s">
        <v>2759</v>
      </c>
      <c r="I9700" t="str">
        <f>("13/11/2025")</f>
        <v>13/11/2025</v>
      </c>
      <c r="J9700" t="str">
        <f>("10/11/2025")</f>
        <v>10/11/2025</v>
      </c>
      <c r="K9700">
        <v>45971</v>
      </c>
      <c r="N9700">
        <v>134</v>
      </c>
      <c r="O9700" t="s">
        <v>41</v>
      </c>
      <c r="Q9700">
        <v>120</v>
      </c>
      <c r="R9700" t="str">
        <f>"PENSE FARMA 09 (10218)"</f>
        <v>PENSE FARMA 09 (10218)</v>
      </c>
      <c r="S9700" t="s">
        <v>22</v>
      </c>
      <c r="T9700">
        <v>20879</v>
      </c>
      <c r="U9700">
        <v>24979</v>
      </c>
      <c r="V9700" t="s">
        <v>22</v>
      </c>
    </row>
    <row r="9701" spans="1:22">
      <c r="A9701" t="str">
        <f t="shared" si="1861"/>
        <v>10/11/2025</v>
      </c>
      <c r="B9701" t="str">
        <f t="shared" si="1860"/>
        <v>SAÍDA</v>
      </c>
      <c r="C9701" t="str">
        <f t="shared" si="1862"/>
        <v>PIX</v>
      </c>
      <c r="D9701" t="str">
        <f>"1001"</f>
        <v>1001</v>
      </c>
      <c r="E9701" t="str">
        <f>"35"</f>
        <v>35</v>
      </c>
      <c r="F9701" t="str">
        <f t="shared" si="1856"/>
        <v>COM</v>
      </c>
      <c r="G9701" t="str">
        <f>"OFFICIO COWORKING (20007)"</f>
        <v>OFFICIO COWORKING (20007)</v>
      </c>
      <c r="H9701" t="str">
        <f>"ALUGUEL SALA COWORKING - pixcolina1@gmail.com"</f>
        <v>ALUGUEL SALA COWORKING - pixcolina1@gmail.com</v>
      </c>
      <c r="I9701" t="str">
        <f t="shared" ref="I9701:I9707" si="1863">("10/11/2025")</f>
        <v>10/11/2025</v>
      </c>
      <c r="J9701" t="str">
        <f>("01/01/2025")</f>
        <v>01/01/2025</v>
      </c>
      <c r="K9701" t="str">
        <f>("10/11/2025")</f>
        <v>10/11/2025</v>
      </c>
      <c r="L9701">
        <v>1150</v>
      </c>
      <c r="M9701">
        <v>1150</v>
      </c>
      <c r="N9701">
        <v>105</v>
      </c>
      <c r="O9701" t="str">
        <f>"ALUGUEL"</f>
        <v>ALUGUEL</v>
      </c>
      <c r="P9701">
        <v>1150</v>
      </c>
      <c r="S9701" t="str">
        <f>"BANCO CORA (102)"</f>
        <v>BANCO CORA (102)</v>
      </c>
      <c r="T9701">
        <v>20882</v>
      </c>
      <c r="U9701">
        <v>8654</v>
      </c>
      <c r="V9701" t="s">
        <v>22</v>
      </c>
    </row>
    <row r="9702" spans="1:22">
      <c r="A9702" t="str">
        <f t="shared" si="1861"/>
        <v>10/11/2025</v>
      </c>
      <c r="B9702" t="str">
        <f t="shared" si="1860"/>
        <v>SAÍDA</v>
      </c>
      <c r="C9702" t="str">
        <f t="shared" si="1862"/>
        <v>PIX</v>
      </c>
      <c r="D9702" t="str">
        <f>"1001"</f>
        <v>1001</v>
      </c>
      <c r="E9702" t="str">
        <f>"35"</f>
        <v>35</v>
      </c>
      <c r="F9702" t="str">
        <f t="shared" si="1856"/>
        <v>COM</v>
      </c>
      <c r="G9702" t="str">
        <f>"OFFICIO COWORKING (20007)"</f>
        <v>OFFICIO COWORKING (20007)</v>
      </c>
      <c r="H9702" t="s">
        <v>461</v>
      </c>
      <c r="I9702" t="str">
        <f t="shared" si="1863"/>
        <v>10/11/2025</v>
      </c>
      <c r="J9702" t="str">
        <f>("01/01/2025")</f>
        <v>01/01/2025</v>
      </c>
      <c r="K9702">
        <v>45971</v>
      </c>
      <c r="N9702">
        <v>105</v>
      </c>
      <c r="O9702" t="s">
        <v>462</v>
      </c>
      <c r="Q9702">
        <v>1150</v>
      </c>
      <c r="R9702" t="str">
        <f>"OFFICIO COWORKING (20007)"</f>
        <v>OFFICIO COWORKING (20007)</v>
      </c>
      <c r="S9702" t="s">
        <v>22</v>
      </c>
      <c r="T9702">
        <v>20882</v>
      </c>
      <c r="U9702">
        <v>8654</v>
      </c>
      <c r="V9702" t="s">
        <v>22</v>
      </c>
    </row>
    <row r="9703" spans="1:22">
      <c r="A9703" t="str">
        <f t="shared" si="1861"/>
        <v>10/11/2025</v>
      </c>
      <c r="B9703" t="str">
        <f t="shared" si="1860"/>
        <v>SAÍDA</v>
      </c>
      <c r="C9703" t="str">
        <f t="shared" ref="C9703:C9709" si="1864">"BOLETO"</f>
        <v>BOLETO</v>
      </c>
      <c r="D9703" t="str">
        <f>"87970224"</f>
        <v>87970224</v>
      </c>
      <c r="E9703" t="str">
        <f>"19"</f>
        <v>19</v>
      </c>
      <c r="F9703" t="str">
        <f t="shared" si="1856"/>
        <v>COM</v>
      </c>
      <c r="G9703" t="str">
        <f t="shared" ref="G9703:G9709" si="1865">"MUNICIPIO DE UBERLANDIA (20032)"</f>
        <v>MUNICIPIO DE UBERLANDIA (20032)</v>
      </c>
      <c r="H9703" t="str">
        <f>"PARCELAMENTO ISS"</f>
        <v>PARCELAMENTO ISS</v>
      </c>
      <c r="I9703" t="str">
        <f t="shared" si="1863"/>
        <v>10/11/2025</v>
      </c>
      <c r="J9703" t="str">
        <f>("24/04/2024")</f>
        <v>24/04/2024</v>
      </c>
      <c r="K9703" t="str">
        <f>("10/11/2025")</f>
        <v>10/11/2025</v>
      </c>
      <c r="L9703">
        <v>247.84</v>
      </c>
      <c r="M9703">
        <v>293.02999999999997</v>
      </c>
      <c r="N9703">
        <v>137</v>
      </c>
      <c r="O9703" t="str">
        <f>"ISS"</f>
        <v>ISS</v>
      </c>
      <c r="P9703">
        <v>293.02999999999997</v>
      </c>
      <c r="S9703" t="str">
        <f>"BANCO CORA (102)"</f>
        <v>BANCO CORA (102)</v>
      </c>
      <c r="T9703">
        <v>20883</v>
      </c>
      <c r="U9703">
        <v>1219</v>
      </c>
      <c r="V9703" t="s">
        <v>22</v>
      </c>
    </row>
    <row r="9704" spans="1:22">
      <c r="A9704" t="str">
        <f t="shared" si="1861"/>
        <v>10/11/2025</v>
      </c>
      <c r="B9704" t="str">
        <f t="shared" si="1860"/>
        <v>SAÍDA</v>
      </c>
      <c r="C9704" t="str">
        <f t="shared" si="1864"/>
        <v>BOLETO</v>
      </c>
      <c r="D9704" t="str">
        <f>"87970224"</f>
        <v>87970224</v>
      </c>
      <c r="E9704" t="str">
        <f>"19"</f>
        <v>19</v>
      </c>
      <c r="F9704" t="str">
        <f t="shared" si="1856"/>
        <v>COM</v>
      </c>
      <c r="G9704" t="str">
        <f t="shared" si="1865"/>
        <v>MUNICIPIO DE UBERLANDIA (20032)</v>
      </c>
      <c r="H9704" t="s">
        <v>294</v>
      </c>
      <c r="I9704" t="str">
        <f t="shared" si="1863"/>
        <v>10/11/2025</v>
      </c>
      <c r="J9704" t="str">
        <f>("24/04/2024")</f>
        <v>24/04/2024</v>
      </c>
      <c r="K9704">
        <v>45971</v>
      </c>
      <c r="N9704">
        <v>137</v>
      </c>
      <c r="O9704" t="s">
        <v>295</v>
      </c>
      <c r="Q9704">
        <v>293.02999999999997</v>
      </c>
      <c r="R9704" t="str">
        <f>"MUNICIPIO DE UBERLANDIA (20032)"</f>
        <v>MUNICIPIO DE UBERLANDIA (20032)</v>
      </c>
      <c r="S9704" t="s">
        <v>22</v>
      </c>
      <c r="T9704">
        <v>20883</v>
      </c>
      <c r="U9704">
        <v>1219</v>
      </c>
      <c r="V9704" t="s">
        <v>22</v>
      </c>
    </row>
    <row r="9705" spans="1:22">
      <c r="A9705" t="str">
        <f t="shared" si="1861"/>
        <v>10/11/2025</v>
      </c>
      <c r="B9705" t="str">
        <f t="shared" si="1860"/>
        <v>SAÍDA</v>
      </c>
      <c r="C9705" t="str">
        <f t="shared" si="1864"/>
        <v>BOLETO</v>
      </c>
      <c r="D9705" t="str">
        <f>"193566723"</f>
        <v>193566723</v>
      </c>
      <c r="E9705" t="str">
        <f>"25"</f>
        <v>25</v>
      </c>
      <c r="F9705" t="str">
        <f t="shared" ref="F9705:F9717" si="1866">"COM"</f>
        <v>COM</v>
      </c>
      <c r="G9705" t="str">
        <f t="shared" si="1865"/>
        <v>MUNICIPIO DE UBERLANDIA (20032)</v>
      </c>
      <c r="H9705" t="str">
        <f>"PARCELAMENTO ISS "</f>
        <v xml:space="preserve">PARCELAMENTO ISS </v>
      </c>
      <c r="I9705" t="str">
        <f t="shared" si="1863"/>
        <v>10/11/2025</v>
      </c>
      <c r="J9705" t="str">
        <f>("01/07/2024")</f>
        <v>01/07/2024</v>
      </c>
      <c r="K9705" t="str">
        <f>("10/11/2025")</f>
        <v>10/11/2025</v>
      </c>
      <c r="L9705">
        <v>235.57</v>
      </c>
      <c r="M9705">
        <v>294.88</v>
      </c>
      <c r="N9705">
        <v>137</v>
      </c>
      <c r="O9705" t="str">
        <f>"ISS"</f>
        <v>ISS</v>
      </c>
      <c r="P9705">
        <v>294.88</v>
      </c>
      <c r="S9705" t="str">
        <f>"BANCO CORA (102)"</f>
        <v>BANCO CORA (102)</v>
      </c>
      <c r="T9705">
        <v>20884</v>
      </c>
      <c r="U9705">
        <v>1106</v>
      </c>
      <c r="V9705" t="s">
        <v>22</v>
      </c>
    </row>
    <row r="9706" spans="1:22">
      <c r="A9706" t="str">
        <f t="shared" si="1861"/>
        <v>10/11/2025</v>
      </c>
      <c r="B9706" t="str">
        <f t="shared" si="1860"/>
        <v>SAÍDA</v>
      </c>
      <c r="C9706" t="str">
        <f t="shared" si="1864"/>
        <v>BOLETO</v>
      </c>
      <c r="D9706" t="str">
        <f>"193566723"</f>
        <v>193566723</v>
      </c>
      <c r="E9706" t="str">
        <f>"25"</f>
        <v>25</v>
      </c>
      <c r="F9706" t="str">
        <f t="shared" si="1866"/>
        <v>COM</v>
      </c>
      <c r="G9706" t="str">
        <f t="shared" si="1865"/>
        <v>MUNICIPIO DE UBERLANDIA (20032)</v>
      </c>
      <c r="H9706" t="s">
        <v>1598</v>
      </c>
      <c r="I9706" t="str">
        <f t="shared" si="1863"/>
        <v>10/11/2025</v>
      </c>
      <c r="J9706" t="str">
        <f>("01/07/2024")</f>
        <v>01/07/2024</v>
      </c>
      <c r="K9706">
        <v>45971</v>
      </c>
      <c r="N9706">
        <v>137</v>
      </c>
      <c r="O9706" t="s">
        <v>295</v>
      </c>
      <c r="Q9706">
        <v>294.88</v>
      </c>
      <c r="R9706" t="str">
        <f>"MUNICIPIO DE UBERLANDIA (20032)"</f>
        <v>MUNICIPIO DE UBERLANDIA (20032)</v>
      </c>
      <c r="S9706" t="s">
        <v>22</v>
      </c>
      <c r="T9706">
        <v>20884</v>
      </c>
      <c r="U9706">
        <v>1106</v>
      </c>
      <c r="V9706" t="s">
        <v>22</v>
      </c>
    </row>
    <row r="9707" spans="1:22">
      <c r="A9707" t="str">
        <f t="shared" si="1861"/>
        <v>10/11/2025</v>
      </c>
      <c r="B9707" t="str">
        <f t="shared" si="1860"/>
        <v>SAÍDA</v>
      </c>
      <c r="C9707" t="str">
        <f t="shared" si="1864"/>
        <v>BOLETO</v>
      </c>
      <c r="D9707" t="str">
        <f>"882882503"</f>
        <v>882882503</v>
      </c>
      <c r="E9707" t="str">
        <f>"6"</f>
        <v>6</v>
      </c>
      <c r="F9707" t="str">
        <f t="shared" si="1866"/>
        <v>COM</v>
      </c>
      <c r="G9707" t="str">
        <f t="shared" si="1865"/>
        <v>MUNICIPIO DE UBERLANDIA (20032)</v>
      </c>
      <c r="H9707" t="str">
        <f>"PARCELAMENTO REFIM ISS "</f>
        <v xml:space="preserve">PARCELAMENTO REFIM ISS </v>
      </c>
      <c r="I9707" t="str">
        <f t="shared" si="1863"/>
        <v>10/11/2025</v>
      </c>
      <c r="J9707" t="str">
        <f>("09/05/2025")</f>
        <v>09/05/2025</v>
      </c>
      <c r="K9707" t="str">
        <f>("10/11/2025")</f>
        <v>10/11/2025</v>
      </c>
      <c r="L9707">
        <v>5518.71</v>
      </c>
      <c r="M9707">
        <v>5848.28</v>
      </c>
      <c r="N9707">
        <v>137</v>
      </c>
      <c r="O9707" t="str">
        <f>"ISS"</f>
        <v>ISS</v>
      </c>
      <c r="P9707">
        <v>5848.28</v>
      </c>
      <c r="S9707" t="str">
        <f>"BANCO CORA (102)"</f>
        <v>BANCO CORA (102)</v>
      </c>
      <c r="T9707">
        <v>20885</v>
      </c>
      <c r="U9707">
        <v>15910</v>
      </c>
      <c r="V9707" t="s">
        <v>22</v>
      </c>
    </row>
    <row r="9708" spans="1:22">
      <c r="A9708" t="str">
        <f t="shared" si="1861"/>
        <v>10/11/2025</v>
      </c>
      <c r="B9708" t="str">
        <f t="shared" si="1860"/>
        <v>SAÍDA</v>
      </c>
      <c r="C9708" t="str">
        <f t="shared" si="1864"/>
        <v>BOLETO</v>
      </c>
      <c r="D9708" t="str">
        <f>"48651422580"</f>
        <v>48651422580</v>
      </c>
      <c r="E9708" t="str">
        <f>"24"</f>
        <v>24</v>
      </c>
      <c r="F9708" t="str">
        <f t="shared" si="1866"/>
        <v>COM</v>
      </c>
      <c r="G9708" t="str">
        <f t="shared" si="1865"/>
        <v>MUNICIPIO DE UBERLANDIA (20032)</v>
      </c>
      <c r="H9708" t="str">
        <f>"PARCELAMENTO ISS"</f>
        <v>PARCELAMENTO ISS</v>
      </c>
      <c r="I9708" t="str">
        <f>("06/10/2025")</f>
        <v>06/10/2025</v>
      </c>
      <c r="J9708" t="str">
        <f>("24/07/2024")</f>
        <v>24/07/2024</v>
      </c>
      <c r="K9708" t="str">
        <f>("10/11/2025")</f>
        <v>10/11/2025</v>
      </c>
      <c r="L9708">
        <v>174.83</v>
      </c>
      <c r="M9708">
        <v>214.41</v>
      </c>
      <c r="N9708">
        <v>137</v>
      </c>
      <c r="O9708" t="str">
        <f>"ISS"</f>
        <v>ISS</v>
      </c>
      <c r="P9708">
        <v>214.41</v>
      </c>
      <c r="S9708" t="str">
        <f>"BANCO CORA (102)"</f>
        <v>BANCO CORA (102)</v>
      </c>
      <c r="T9708">
        <v>20892</v>
      </c>
      <c r="U9708">
        <v>1276</v>
      </c>
      <c r="V9708" t="s">
        <v>22</v>
      </c>
    </row>
    <row r="9709" spans="1:22">
      <c r="A9709" t="str">
        <f t="shared" si="1861"/>
        <v>10/11/2025</v>
      </c>
      <c r="B9709" t="str">
        <f t="shared" si="1860"/>
        <v>SAÍDA</v>
      </c>
      <c r="C9709" t="str">
        <f t="shared" si="1864"/>
        <v>BOLETO</v>
      </c>
      <c r="D9709" t="str">
        <f>"48651422580"</f>
        <v>48651422580</v>
      </c>
      <c r="E9709" t="str">
        <f>"24"</f>
        <v>24</v>
      </c>
      <c r="F9709" t="str">
        <f t="shared" si="1866"/>
        <v>COM</v>
      </c>
      <c r="G9709" t="str">
        <f t="shared" si="1865"/>
        <v>MUNICIPIO DE UBERLANDIA (20032)</v>
      </c>
      <c r="H9709" t="s">
        <v>294</v>
      </c>
      <c r="I9709" t="str">
        <f>("06/10/2025")</f>
        <v>06/10/2025</v>
      </c>
      <c r="J9709" t="str">
        <f>("24/07/2024")</f>
        <v>24/07/2024</v>
      </c>
      <c r="K9709">
        <v>45971</v>
      </c>
      <c r="N9709">
        <v>137</v>
      </c>
      <c r="O9709" t="s">
        <v>295</v>
      </c>
      <c r="Q9709">
        <v>214.41</v>
      </c>
      <c r="R9709" t="str">
        <f>"MUNICIPIO DE UBERLANDIA (20032)"</f>
        <v>MUNICIPIO DE UBERLANDIA (20032)</v>
      </c>
      <c r="S9709" t="s">
        <v>22</v>
      </c>
      <c r="T9709">
        <v>20892</v>
      </c>
      <c r="U9709">
        <v>1276</v>
      </c>
      <c r="V9709" t="s">
        <v>22</v>
      </c>
    </row>
    <row r="9710" spans="1:22">
      <c r="A9710" t="str">
        <f t="shared" si="1861"/>
        <v>10/11/2025</v>
      </c>
      <c r="B9710" t="str">
        <f t="shared" si="1860"/>
        <v>SAÍDA</v>
      </c>
      <c r="C9710" t="str">
        <f t="shared" ref="C9710:C9717" si="1867">"PIX"</f>
        <v>PIX</v>
      </c>
      <c r="D9710" t="str">
        <f>"010525139"</f>
        <v>010525139</v>
      </c>
      <c r="E9710" t="str">
        <f>"7"</f>
        <v>7</v>
      </c>
      <c r="F9710" t="str">
        <f t="shared" si="1866"/>
        <v>COM</v>
      </c>
      <c r="G9710" t="str">
        <f>"GUSTAVO CESAR DE REZENDE (20060)"</f>
        <v>GUSTAVO CESAR DE REZENDE (20060)</v>
      </c>
      <c r="H9710" t="str">
        <f>"REEMBOLSO MENSALIDADE PACOTE ADOBE"</f>
        <v>REEMBOLSO MENSALIDADE PACOTE ADOBE</v>
      </c>
      <c r="I9710" t="str">
        <f>("08/11/2025")</f>
        <v>08/11/2025</v>
      </c>
      <c r="J9710" t="str">
        <f>("01/05/2025")</f>
        <v>01/05/2025</v>
      </c>
      <c r="K9710" t="str">
        <f>("10/11/2025")</f>
        <v>10/11/2025</v>
      </c>
      <c r="L9710">
        <v>139</v>
      </c>
      <c r="M9710">
        <v>139</v>
      </c>
      <c r="N9710">
        <v>104</v>
      </c>
      <c r="O9710" t="str">
        <f>"SOFTWARE / LICENÇAS"</f>
        <v>SOFTWARE / LICENÇAS</v>
      </c>
      <c r="P9710">
        <v>139</v>
      </c>
      <c r="S9710" t="str">
        <f>"BANCO CORA (102)"</f>
        <v>BANCO CORA (102)</v>
      </c>
      <c r="T9710">
        <v>20893</v>
      </c>
      <c r="U9710">
        <v>16745</v>
      </c>
      <c r="V9710" t="s">
        <v>22</v>
      </c>
    </row>
    <row r="9711" spans="1:22">
      <c r="A9711" t="str">
        <f t="shared" si="1861"/>
        <v>10/11/2025</v>
      </c>
      <c r="B9711" t="str">
        <f t="shared" si="1860"/>
        <v>SAÍDA</v>
      </c>
      <c r="C9711" t="str">
        <f t="shared" si="1867"/>
        <v>PIX</v>
      </c>
      <c r="D9711" t="str">
        <f>"010525139"</f>
        <v>010525139</v>
      </c>
      <c r="E9711" t="str">
        <f>"7"</f>
        <v>7</v>
      </c>
      <c r="F9711" t="str">
        <f t="shared" si="1866"/>
        <v>COM</v>
      </c>
      <c r="G9711" t="str">
        <f>"GUSTAVO CESAR DE REZENDE (20060)"</f>
        <v>GUSTAVO CESAR DE REZENDE (20060)</v>
      </c>
      <c r="H9711" t="s">
        <v>368</v>
      </c>
      <c r="I9711" t="str">
        <f>("08/11/2025")</f>
        <v>08/11/2025</v>
      </c>
      <c r="J9711" t="str">
        <f>("01/05/2025")</f>
        <v>01/05/2025</v>
      </c>
      <c r="K9711">
        <v>45971</v>
      </c>
      <c r="N9711">
        <v>104</v>
      </c>
      <c r="O9711" t="s">
        <v>34</v>
      </c>
      <c r="Q9711">
        <v>139</v>
      </c>
      <c r="R9711" t="str">
        <f>"GUSTAVO CESAR DE REZENDE (20060)"</f>
        <v>GUSTAVO CESAR DE REZENDE (20060)</v>
      </c>
      <c r="S9711" t="s">
        <v>22</v>
      </c>
      <c r="T9711">
        <v>20893</v>
      </c>
      <c r="U9711">
        <v>16745</v>
      </c>
      <c r="V9711" t="s">
        <v>22</v>
      </c>
    </row>
    <row r="9712" spans="1:22">
      <c r="A9712" t="str">
        <f t="shared" si="1861"/>
        <v>10/11/2025</v>
      </c>
      <c r="B9712" t="str">
        <f t="shared" si="1860"/>
        <v>SAÍDA</v>
      </c>
      <c r="C9712" t="str">
        <f t="shared" si="1867"/>
        <v>PIX</v>
      </c>
      <c r="D9712" t="str">
        <f>"0801"</f>
        <v>0801</v>
      </c>
      <c r="E9712" t="str">
        <f>"35"</f>
        <v>35</v>
      </c>
      <c r="F9712" t="str">
        <f t="shared" si="1866"/>
        <v>COM</v>
      </c>
      <c r="G9712" t="str">
        <f>"CORA SOCIEDADE DE CREDITO, FINANCIAMENTO E INVESTIMENTO (20035)"</f>
        <v>CORA SOCIEDADE DE CREDITO, FINANCIAMENTO E INVESTIMENTO (20035)</v>
      </c>
      <c r="H9712" t="str">
        <f>"TARIFA BANCARIA"</f>
        <v>TARIFA BANCARIA</v>
      </c>
      <c r="I9712" t="str">
        <f>("08/11/2025")</f>
        <v>08/11/2025</v>
      </c>
      <c r="J9712" t="str">
        <f>("01/01/2025")</f>
        <v>01/01/2025</v>
      </c>
      <c r="K9712" t="str">
        <f>("10/11/2025")</f>
        <v>10/11/2025</v>
      </c>
      <c r="L9712">
        <v>44.9</v>
      </c>
      <c r="M9712">
        <v>44.9</v>
      </c>
      <c r="N9712">
        <v>401</v>
      </c>
      <c r="O9712" t="str">
        <f>"IOF/JUROS/DESP.FINANCEIRA"</f>
        <v>IOF/JUROS/DESP.FINANCEIRA</v>
      </c>
      <c r="P9712">
        <v>44.9</v>
      </c>
      <c r="S9712" t="str">
        <f>"BANCO CORA (102)"</f>
        <v>BANCO CORA (102)</v>
      </c>
      <c r="T9712">
        <v>20894</v>
      </c>
      <c r="U9712">
        <v>8142</v>
      </c>
      <c r="V9712" t="s">
        <v>22</v>
      </c>
    </row>
    <row r="9713" spans="1:22">
      <c r="A9713" t="str">
        <f t="shared" si="1861"/>
        <v>10/11/2025</v>
      </c>
      <c r="B9713" t="str">
        <f t="shared" si="1860"/>
        <v>SAÍDA</v>
      </c>
      <c r="C9713" t="str">
        <f t="shared" si="1867"/>
        <v>PIX</v>
      </c>
      <c r="D9713" t="str">
        <f>"0801"</f>
        <v>0801</v>
      </c>
      <c r="E9713" t="str">
        <f>"35"</f>
        <v>35</v>
      </c>
      <c r="F9713" t="str">
        <f t="shared" si="1866"/>
        <v>COM</v>
      </c>
      <c r="G9713" t="str">
        <f>"CORA SOCIEDADE DE CREDITO, FINANCIAMENTO E INVESTIMENTO (20035)"</f>
        <v>CORA SOCIEDADE DE CREDITO, FINANCIAMENTO E INVESTIMENTO (20035)</v>
      </c>
      <c r="H9713" t="s">
        <v>307</v>
      </c>
      <c r="I9713" t="str">
        <f>("08/11/2025")</f>
        <v>08/11/2025</v>
      </c>
      <c r="J9713" t="str">
        <f>("01/01/2025")</f>
        <v>01/01/2025</v>
      </c>
      <c r="K9713">
        <v>45971</v>
      </c>
      <c r="N9713">
        <v>401</v>
      </c>
      <c r="O9713" t="s">
        <v>76</v>
      </c>
      <c r="Q9713">
        <v>44.9</v>
      </c>
      <c r="R9713" t="str">
        <f>"CORA SOCIEDADE DE CREDITO, FINANCIAMENTO E INVESTIMENTO (20035)"</f>
        <v>CORA SOCIEDADE DE CREDITO, FINANCIAMENTO E INVESTIMENTO (20035)</v>
      </c>
      <c r="S9713" t="s">
        <v>22</v>
      </c>
      <c r="T9713">
        <v>20894</v>
      </c>
      <c r="U9713">
        <v>8142</v>
      </c>
      <c r="V9713" t="s">
        <v>22</v>
      </c>
    </row>
    <row r="9714" spans="1:22">
      <c r="A9714" t="str">
        <f t="shared" si="1861"/>
        <v>10/11/2025</v>
      </c>
      <c r="B9714" t="str">
        <f t="shared" si="1860"/>
        <v>SAÍDA</v>
      </c>
      <c r="C9714" t="str">
        <f t="shared" si="1867"/>
        <v>PIX</v>
      </c>
      <c r="D9714" t="str">
        <f>"25660"</f>
        <v>25660</v>
      </c>
      <c r="E9714" t="str">
        <f>"1"</f>
        <v>1</v>
      </c>
      <c r="F9714" t="str">
        <f t="shared" si="1866"/>
        <v>COM</v>
      </c>
      <c r="G9714" t="str">
        <f>"EDICARLOS OLIVEIRA BORGES (1068)"</f>
        <v>EDICARLOS OLIVEIRA BORGES (1068)</v>
      </c>
      <c r="H9714" t="str">
        <f>"Serv.Prest. 10/11/2025 a 16/11/2025 - PIX: CELULAR - CHAVE: (11) 93933-2088"</f>
        <v>Serv.Prest. 10/11/2025 a 16/11/2025 - PIX: CELULAR - CHAVE: (11) 93933-2088</v>
      </c>
      <c r="I9714" t="str">
        <f>("18/11/2025")</f>
        <v>18/11/2025</v>
      </c>
      <c r="J9714" t="str">
        <f>("18/11/2025")</f>
        <v>18/11/2025</v>
      </c>
      <c r="K9714" t="str">
        <f>("10/11/2025")</f>
        <v>10/11/2025</v>
      </c>
      <c r="L9714">
        <v>170</v>
      </c>
      <c r="M9714">
        <v>170</v>
      </c>
      <c r="N9714">
        <v>134</v>
      </c>
      <c r="O9714" t="str">
        <f>"DIARIA DE MOTOBOY"</f>
        <v>DIARIA DE MOTOBOY</v>
      </c>
      <c r="P9714">
        <v>170</v>
      </c>
      <c r="S9714" t="str">
        <f>"BANCO CORA (102)"</f>
        <v>BANCO CORA (102)</v>
      </c>
      <c r="T9714">
        <v>21224</v>
      </c>
      <c r="U9714">
        <v>25665</v>
      </c>
      <c r="V9714" t="s">
        <v>22</v>
      </c>
    </row>
    <row r="9715" spans="1:22">
      <c r="A9715" t="str">
        <f t="shared" si="1861"/>
        <v>10/11/2025</v>
      </c>
      <c r="B9715" t="str">
        <f t="shared" si="1860"/>
        <v>SAÍDA</v>
      </c>
      <c r="C9715" t="str">
        <f t="shared" si="1867"/>
        <v>PIX</v>
      </c>
      <c r="D9715" t="str">
        <f>"25660"</f>
        <v>25660</v>
      </c>
      <c r="E9715" t="str">
        <f>"1"</f>
        <v>1</v>
      </c>
      <c r="F9715" t="str">
        <f t="shared" si="1866"/>
        <v>COM</v>
      </c>
      <c r="G9715" t="str">
        <f>"EDICARLOS OLIVEIRA BORGES (1068)"</f>
        <v>EDICARLOS OLIVEIRA BORGES (1068)</v>
      </c>
      <c r="H9715" t="s">
        <v>2765</v>
      </c>
      <c r="I9715" t="str">
        <f>("18/11/2025")</f>
        <v>18/11/2025</v>
      </c>
      <c r="J9715" t="str">
        <f>("18/11/2025")</f>
        <v>18/11/2025</v>
      </c>
      <c r="K9715">
        <v>45971</v>
      </c>
      <c r="N9715">
        <v>134</v>
      </c>
      <c r="O9715" t="s">
        <v>41</v>
      </c>
      <c r="Q9715">
        <v>170</v>
      </c>
      <c r="R9715" t="str">
        <f>"PENSE FARMA 22 (10198)"</f>
        <v>PENSE FARMA 22 (10198)</v>
      </c>
      <c r="S9715" t="s">
        <v>22</v>
      </c>
      <c r="T9715">
        <v>21224</v>
      </c>
      <c r="U9715">
        <v>25665</v>
      </c>
      <c r="V9715" t="s">
        <v>22</v>
      </c>
    </row>
    <row r="9716" spans="1:22">
      <c r="A9716" t="str">
        <f t="shared" si="1861"/>
        <v>10/11/2025</v>
      </c>
      <c r="B9716" t="str">
        <f t="shared" si="1860"/>
        <v>SAÍDA</v>
      </c>
      <c r="C9716" t="str">
        <f t="shared" si="1867"/>
        <v>PIX</v>
      </c>
      <c r="D9716" t="str">
        <f>"1011"</f>
        <v>1011</v>
      </c>
      <c r="E9716" t="str">
        <f>"25"</f>
        <v>25</v>
      </c>
      <c r="F9716" t="str">
        <f t="shared" si="1866"/>
        <v>COM</v>
      </c>
      <c r="G9716" t="str">
        <f>"JAMERSON SOUZA LOPES (749)"</f>
        <v>JAMERSON SOUZA LOPES (749)</v>
      </c>
      <c r="H9716" t="str">
        <f>"ADIANTAMENTO LIDERANÇA E DIARIAS UBERABA"</f>
        <v>ADIANTAMENTO LIDERANÇA E DIARIAS UBERABA</v>
      </c>
      <c r="I9716" t="str">
        <f>("10/11/2025")</f>
        <v>10/11/2025</v>
      </c>
      <c r="J9716" t="str">
        <f>("10/11/2025")</f>
        <v>10/11/2025</v>
      </c>
      <c r="K9716" t="str">
        <f>("10/11/2025")</f>
        <v>10/11/2025</v>
      </c>
      <c r="L9716">
        <v>1800</v>
      </c>
      <c r="M9716">
        <v>1800</v>
      </c>
      <c r="N9716">
        <v>5000</v>
      </c>
      <c r="O9716" t="str">
        <f>"SOLICITACAO DE ADIANTAMENTO"</f>
        <v>SOLICITACAO DE ADIANTAMENTO</v>
      </c>
      <c r="P9716">
        <v>1800</v>
      </c>
      <c r="S9716" t="str">
        <f>"BANCO CORA (102)"</f>
        <v>BANCO CORA (102)</v>
      </c>
      <c r="T9716">
        <v>21826</v>
      </c>
      <c r="U9716">
        <v>25931</v>
      </c>
      <c r="V9716" t="s">
        <v>22</v>
      </c>
    </row>
    <row r="9717" spans="1:22">
      <c r="A9717" t="str">
        <f t="shared" si="1861"/>
        <v>10/11/2025</v>
      </c>
      <c r="B9717" t="str">
        <f t="shared" si="1860"/>
        <v>SAÍDA</v>
      </c>
      <c r="C9717" t="str">
        <f t="shared" si="1867"/>
        <v>PIX</v>
      </c>
      <c r="D9717" t="str">
        <f>"1011"</f>
        <v>1011</v>
      </c>
      <c r="E9717" t="str">
        <f>"25"</f>
        <v>25</v>
      </c>
      <c r="F9717" t="str">
        <f t="shared" si="1866"/>
        <v>COM</v>
      </c>
      <c r="G9717" t="str">
        <f>"JAMERSON SOUZA LOPES (749)"</f>
        <v>JAMERSON SOUZA LOPES (749)</v>
      </c>
      <c r="H9717" t="s">
        <v>2766</v>
      </c>
      <c r="I9717" t="str">
        <f>("10/11/2025")</f>
        <v>10/11/2025</v>
      </c>
      <c r="J9717" t="str">
        <f>("10/11/2025")</f>
        <v>10/11/2025</v>
      </c>
      <c r="K9717">
        <v>45971</v>
      </c>
      <c r="N9717">
        <v>5000</v>
      </c>
      <c r="O9717" t="s">
        <v>86</v>
      </c>
      <c r="Q9717">
        <v>1800</v>
      </c>
      <c r="R9717" t="str">
        <f>"JAMERSON SOUZA LOPES (749)"</f>
        <v>JAMERSON SOUZA LOPES (749)</v>
      </c>
      <c r="S9717" t="s">
        <v>22</v>
      </c>
      <c r="T9717">
        <v>21826</v>
      </c>
      <c r="U9717">
        <v>25931</v>
      </c>
      <c r="V9717" t="s">
        <v>22</v>
      </c>
    </row>
    <row r="9718" spans="1:22">
      <c r="A9718" t="str">
        <f t="shared" si="1861"/>
        <v>10/11/2025</v>
      </c>
      <c r="B9718" t="str">
        <f t="shared" si="1860"/>
        <v>SAÍDA</v>
      </c>
      <c r="C9718" t="str">
        <f>"JUROS"</f>
        <v>JUROS</v>
      </c>
      <c r="D9718" t="str">
        <f>""</f>
        <v/>
      </c>
      <c r="F9718" t="str">
        <f>"CXA"</f>
        <v>CXA</v>
      </c>
      <c r="G9718" t="str">
        <f>""</f>
        <v/>
      </c>
      <c r="H9718" t="str">
        <f>"CESTA DE RELACIONAMENTO"</f>
        <v>CESTA DE RELACIONAMENTO</v>
      </c>
      <c r="I9718" t="str">
        <f>("10/11/2025")</f>
        <v>10/11/2025</v>
      </c>
      <c r="J9718" t="str">
        <f>("10/11/2025")</f>
        <v>10/11/2025</v>
      </c>
      <c r="K9718" t="str">
        <f>("10/11/2025")</f>
        <v>10/11/2025</v>
      </c>
      <c r="L9718">
        <v>81.05</v>
      </c>
      <c r="M9718">
        <v>81.05</v>
      </c>
      <c r="N9718">
        <v>401</v>
      </c>
      <c r="O9718" t="str">
        <f>"IOF/JUROS/DESP.FINANCEIRA"</f>
        <v>IOF/JUROS/DESP.FINANCEIRA</v>
      </c>
      <c r="P9718">
        <v>81.05</v>
      </c>
      <c r="S9718" t="str">
        <f>"BANCO SICREDI (143)"</f>
        <v>BANCO SICREDI (143)</v>
      </c>
      <c r="T9718">
        <v>23398</v>
      </c>
      <c r="U9718">
        <v>0</v>
      </c>
      <c r="V9718" t="s">
        <v>1112</v>
      </c>
    </row>
    <row r="9719" spans="1:22">
      <c r="A9719" t="str">
        <f t="shared" ref="A9719:A9750" si="1868">("11/11/2025")</f>
        <v>11/11/2025</v>
      </c>
      <c r="B9719" t="str">
        <f t="shared" si="1860"/>
        <v>SAÍDA</v>
      </c>
      <c r="C9719" t="str">
        <f t="shared" ref="C9719:C9762" si="1869">"PIX"</f>
        <v>PIX</v>
      </c>
      <c r="D9719" t="str">
        <f>"24986"</f>
        <v>24986</v>
      </c>
      <c r="E9719" t="str">
        <f t="shared" ref="E9719:E9762" si="1870">"1"</f>
        <v>1</v>
      </c>
      <c r="F9719" t="str">
        <f t="shared" ref="F9719:F9782" si="1871">"COM"</f>
        <v>COM</v>
      </c>
      <c r="G9719" t="str">
        <f>"ERIC RODRIGUES TEIXEIRA (939)"</f>
        <v>ERIC RODRIGUES TEIXEIRA (939)</v>
      </c>
      <c r="H9719" t="str">
        <f>"Serv.Prest. 03/11/2025 a 09/11/2025 - PIX: CELULAR - CHAVE: (11) 95038-0621"</f>
        <v>Serv.Prest. 03/11/2025 a 09/11/2025 - PIX: CELULAR - CHAVE: (11) 95038-0621</v>
      </c>
      <c r="I9719" t="str">
        <f>("13/11/2025")</f>
        <v>13/11/2025</v>
      </c>
      <c r="J9719" t="str">
        <f>("10/11/2025")</f>
        <v>10/11/2025</v>
      </c>
      <c r="K9719" t="str">
        <f>("11/11/2025")</f>
        <v>11/11/2025</v>
      </c>
      <c r="L9719">
        <v>170</v>
      </c>
      <c r="M9719">
        <v>170</v>
      </c>
      <c r="N9719">
        <v>109</v>
      </c>
      <c r="O9719" t="str">
        <f>"PAGAMENTO DE ENTREGADORES"</f>
        <v>PAGAMENTO DE ENTREGADORES</v>
      </c>
      <c r="P9719">
        <v>170</v>
      </c>
      <c r="S9719" t="str">
        <f>"BANCO CORA (102)"</f>
        <v>BANCO CORA (102)</v>
      </c>
      <c r="T9719">
        <v>20816</v>
      </c>
      <c r="U9719">
        <v>25235</v>
      </c>
      <c r="V9719" t="s">
        <v>22</v>
      </c>
    </row>
    <row r="9720" spans="1:22">
      <c r="A9720" t="str">
        <f t="shared" si="1868"/>
        <v>11/11/2025</v>
      </c>
      <c r="B9720" t="str">
        <f t="shared" si="1860"/>
        <v>SAÍDA</v>
      </c>
      <c r="C9720" t="str">
        <f t="shared" si="1869"/>
        <v>PIX</v>
      </c>
      <c r="D9720" t="str">
        <f>"24986"</f>
        <v>24986</v>
      </c>
      <c r="E9720" t="str">
        <f t="shared" si="1870"/>
        <v>1</v>
      </c>
      <c r="F9720" t="str">
        <f t="shared" si="1871"/>
        <v>COM</v>
      </c>
      <c r="G9720" t="str">
        <f>"ERIC RODRIGUES TEIXEIRA (939)"</f>
        <v>ERIC RODRIGUES TEIXEIRA (939)</v>
      </c>
      <c r="H9720" t="s">
        <v>2767</v>
      </c>
      <c r="I9720" t="str">
        <f>("13/11/2025")</f>
        <v>13/11/2025</v>
      </c>
      <c r="J9720" t="str">
        <f>("10/11/2025")</f>
        <v>10/11/2025</v>
      </c>
      <c r="K9720">
        <v>45972</v>
      </c>
      <c r="N9720">
        <v>109</v>
      </c>
      <c r="O9720" t="s">
        <v>24</v>
      </c>
      <c r="Q9720">
        <v>56.66</v>
      </c>
      <c r="R9720" t="str">
        <f>"PENSE FARMA 07 (10201)"</f>
        <v>PENSE FARMA 07 (10201)</v>
      </c>
      <c r="S9720" t="s">
        <v>22</v>
      </c>
      <c r="T9720">
        <v>20816</v>
      </c>
      <c r="U9720">
        <v>25235</v>
      </c>
      <c r="V9720" t="s">
        <v>22</v>
      </c>
    </row>
    <row r="9721" spans="1:22">
      <c r="A9721" t="str">
        <f t="shared" si="1868"/>
        <v>11/11/2025</v>
      </c>
      <c r="B9721" t="str">
        <f t="shared" ref="B9721:B9752" si="1872">"SAÍDA"</f>
        <v>SAÍDA</v>
      </c>
      <c r="C9721" t="str">
        <f t="shared" si="1869"/>
        <v>PIX</v>
      </c>
      <c r="D9721" t="str">
        <f>"24986"</f>
        <v>24986</v>
      </c>
      <c r="E9721" t="str">
        <f t="shared" si="1870"/>
        <v>1</v>
      </c>
      <c r="F9721" t="str">
        <f t="shared" si="1871"/>
        <v>COM</v>
      </c>
      <c r="G9721" t="str">
        <f>"ERIC RODRIGUES TEIXEIRA (939)"</f>
        <v>ERIC RODRIGUES TEIXEIRA (939)</v>
      </c>
      <c r="H9721" t="s">
        <v>2767</v>
      </c>
      <c r="I9721" t="str">
        <f>("13/11/2025")</f>
        <v>13/11/2025</v>
      </c>
      <c r="J9721" t="str">
        <f>("10/11/2025")</f>
        <v>10/11/2025</v>
      </c>
      <c r="K9721">
        <v>45972</v>
      </c>
      <c r="N9721">
        <v>109</v>
      </c>
      <c r="O9721" t="s">
        <v>24</v>
      </c>
      <c r="Q9721">
        <v>56.66</v>
      </c>
      <c r="R9721" t="str">
        <f>"PENSE FARMA 45 (10209)"</f>
        <v>PENSE FARMA 45 (10209)</v>
      </c>
      <c r="S9721" t="s">
        <v>22</v>
      </c>
      <c r="T9721">
        <v>20816</v>
      </c>
      <c r="U9721">
        <v>25235</v>
      </c>
      <c r="V9721" t="s">
        <v>22</v>
      </c>
    </row>
    <row r="9722" spans="1:22">
      <c r="A9722" t="str">
        <f t="shared" si="1868"/>
        <v>11/11/2025</v>
      </c>
      <c r="B9722" t="str">
        <f t="shared" si="1872"/>
        <v>SAÍDA</v>
      </c>
      <c r="C9722" t="str">
        <f t="shared" si="1869"/>
        <v>PIX</v>
      </c>
      <c r="D9722" t="str">
        <f>"24986"</f>
        <v>24986</v>
      </c>
      <c r="E9722" t="str">
        <f t="shared" si="1870"/>
        <v>1</v>
      </c>
      <c r="F9722" t="str">
        <f t="shared" si="1871"/>
        <v>COM</v>
      </c>
      <c r="G9722" t="str">
        <f>"ERIC RODRIGUES TEIXEIRA (939)"</f>
        <v>ERIC RODRIGUES TEIXEIRA (939)</v>
      </c>
      <c r="H9722" t="s">
        <v>2767</v>
      </c>
      <c r="I9722" t="str">
        <f>("13/11/2025")</f>
        <v>13/11/2025</v>
      </c>
      <c r="J9722" t="str">
        <f>("10/11/2025")</f>
        <v>10/11/2025</v>
      </c>
      <c r="K9722">
        <v>45972</v>
      </c>
      <c r="N9722">
        <v>109</v>
      </c>
      <c r="O9722" t="s">
        <v>24</v>
      </c>
      <c r="Q9722">
        <v>56.68</v>
      </c>
      <c r="R9722" t="str">
        <f>"PENSE FARMA 50 (10210)"</f>
        <v>PENSE FARMA 50 (10210)</v>
      </c>
      <c r="S9722" t="s">
        <v>22</v>
      </c>
      <c r="T9722">
        <v>20816</v>
      </c>
      <c r="U9722">
        <v>25235</v>
      </c>
      <c r="V9722" t="s">
        <v>22</v>
      </c>
    </row>
    <row r="9723" spans="1:22">
      <c r="A9723" t="str">
        <f t="shared" si="1868"/>
        <v>11/11/2025</v>
      </c>
      <c r="B9723" t="str">
        <f t="shared" si="1872"/>
        <v>SAÍDA</v>
      </c>
      <c r="C9723" t="str">
        <f t="shared" si="1869"/>
        <v>PIX</v>
      </c>
      <c r="D9723" t="str">
        <f>"24732"</f>
        <v>24732</v>
      </c>
      <c r="E9723" t="str">
        <f t="shared" si="1870"/>
        <v>1</v>
      </c>
      <c r="F9723" t="str">
        <f t="shared" si="1871"/>
        <v>COM</v>
      </c>
      <c r="G9723" t="str">
        <f>"ARLINDO JOSE MARTINS (909)"</f>
        <v>ARLINDO JOSE MARTINS (909)</v>
      </c>
      <c r="H9723" t="str">
        <f>"Serv.Prest. 24/10/2025 a 02/11/2025 - PIX: CPF - CHAVE: 037.192.076-09"</f>
        <v>Serv.Prest. 24/10/2025 a 02/11/2025 - PIX: CPF - CHAVE: 037.192.076-09</v>
      </c>
      <c r="I9723" t="str">
        <f t="shared" ref="I9723:I9758" si="1873">("11/11/2025")</f>
        <v>11/11/2025</v>
      </c>
      <c r="J9723" t="str">
        <f>("04/11/2025")</f>
        <v>04/11/2025</v>
      </c>
      <c r="K9723" t="str">
        <f>("11/11/2025")</f>
        <v>11/11/2025</v>
      </c>
      <c r="L9723">
        <v>330</v>
      </c>
      <c r="M9723">
        <v>330</v>
      </c>
      <c r="N9723">
        <v>109</v>
      </c>
      <c r="O9723" t="str">
        <f>"PAGAMENTO DE ENTREGADORES"</f>
        <v>PAGAMENTO DE ENTREGADORES</v>
      </c>
      <c r="P9723">
        <v>330</v>
      </c>
      <c r="S9723" t="str">
        <f>"BANCO CORA (102)"</f>
        <v>BANCO CORA (102)</v>
      </c>
      <c r="T9723">
        <v>20823</v>
      </c>
      <c r="U9723">
        <v>24732</v>
      </c>
      <c r="V9723" t="s">
        <v>22</v>
      </c>
    </row>
    <row r="9724" spans="1:22">
      <c r="A9724" t="str">
        <f t="shared" si="1868"/>
        <v>11/11/2025</v>
      </c>
      <c r="B9724" t="str">
        <f t="shared" si="1872"/>
        <v>SAÍDA</v>
      </c>
      <c r="C9724" t="str">
        <f t="shared" si="1869"/>
        <v>PIX</v>
      </c>
      <c r="D9724" t="str">
        <f>"24732"</f>
        <v>24732</v>
      </c>
      <c r="E9724" t="str">
        <f t="shared" si="1870"/>
        <v>1</v>
      </c>
      <c r="F9724" t="str">
        <f t="shared" si="1871"/>
        <v>COM</v>
      </c>
      <c r="G9724" t="str">
        <f>"ARLINDO JOSE MARTINS (909)"</f>
        <v>ARLINDO JOSE MARTINS (909)</v>
      </c>
      <c r="H9724" t="s">
        <v>2768</v>
      </c>
      <c r="I9724" t="str">
        <f t="shared" si="1873"/>
        <v>11/11/2025</v>
      </c>
      <c r="J9724" t="str">
        <f>("04/11/2025")</f>
        <v>04/11/2025</v>
      </c>
      <c r="K9724">
        <v>45972</v>
      </c>
      <c r="N9724">
        <v>109</v>
      </c>
      <c r="O9724" t="s">
        <v>24</v>
      </c>
      <c r="Q9724">
        <v>38.81</v>
      </c>
      <c r="R9724" t="str">
        <f>"FARMÁCIA INDIANA LJ 185 (10141)"</f>
        <v>FARMÁCIA INDIANA LJ 185 (10141)</v>
      </c>
      <c r="S9724" t="s">
        <v>22</v>
      </c>
      <c r="T9724">
        <v>20823</v>
      </c>
      <c r="U9724">
        <v>24732</v>
      </c>
      <c r="V9724" t="s">
        <v>22</v>
      </c>
    </row>
    <row r="9725" spans="1:22">
      <c r="A9725" t="str">
        <f t="shared" si="1868"/>
        <v>11/11/2025</v>
      </c>
      <c r="B9725" t="str">
        <f t="shared" si="1872"/>
        <v>SAÍDA</v>
      </c>
      <c r="C9725" t="str">
        <f t="shared" si="1869"/>
        <v>PIX</v>
      </c>
      <c r="D9725" t="str">
        <f>"24732"</f>
        <v>24732</v>
      </c>
      <c r="E9725" t="str">
        <f t="shared" si="1870"/>
        <v>1</v>
      </c>
      <c r="F9725" t="str">
        <f t="shared" si="1871"/>
        <v>COM</v>
      </c>
      <c r="G9725" t="str">
        <f>"ARLINDO JOSE MARTINS (909)"</f>
        <v>ARLINDO JOSE MARTINS (909)</v>
      </c>
      <c r="H9725" t="s">
        <v>2768</v>
      </c>
      <c r="I9725" t="str">
        <f t="shared" si="1873"/>
        <v>11/11/2025</v>
      </c>
      <c r="J9725" t="str">
        <f>("04/11/2025")</f>
        <v>04/11/2025</v>
      </c>
      <c r="K9725">
        <v>45972</v>
      </c>
      <c r="N9725">
        <v>109</v>
      </c>
      <c r="O9725" t="s">
        <v>24</v>
      </c>
      <c r="Q9725">
        <v>291.19</v>
      </c>
      <c r="R9725" t="str">
        <f>"FARMÁCIA INDIANA LJ 257 (10267)"</f>
        <v>FARMÁCIA INDIANA LJ 257 (10267)</v>
      </c>
      <c r="S9725" t="s">
        <v>22</v>
      </c>
      <c r="T9725">
        <v>20823</v>
      </c>
      <c r="U9725">
        <v>24732</v>
      </c>
      <c r="V9725" t="s">
        <v>22</v>
      </c>
    </row>
    <row r="9726" spans="1:22">
      <c r="A9726" t="str">
        <f t="shared" si="1868"/>
        <v>11/11/2025</v>
      </c>
      <c r="B9726" t="str">
        <f t="shared" si="1872"/>
        <v>SAÍDA</v>
      </c>
      <c r="C9726" t="str">
        <f t="shared" si="1869"/>
        <v>PIX</v>
      </c>
      <c r="D9726" t="str">
        <f>"25146"</f>
        <v>25146</v>
      </c>
      <c r="E9726" t="str">
        <f t="shared" si="1870"/>
        <v>1</v>
      </c>
      <c r="F9726" t="str">
        <f t="shared" si="1871"/>
        <v>COM</v>
      </c>
      <c r="G9726" t="str">
        <f>"JUSSARA CRISTINA FARIA (783)"</f>
        <v>JUSSARA CRISTINA FARIA (783)</v>
      </c>
      <c r="H9726" t="str">
        <f>"Serv.Prest. 03/11/2025 a 09/11/2025 - PIX: CELULAR - CHAVE: (31) 99373-5678"</f>
        <v>Serv.Prest. 03/11/2025 a 09/11/2025 - PIX: CELULAR - CHAVE: (31) 99373-5678</v>
      </c>
      <c r="I9726" t="str">
        <f t="shared" si="1873"/>
        <v>11/11/2025</v>
      </c>
      <c r="J9726" t="str">
        <f>("11/11/2025")</f>
        <v>11/11/2025</v>
      </c>
      <c r="K9726" t="str">
        <f>("11/11/2025")</f>
        <v>11/11/2025</v>
      </c>
      <c r="L9726">
        <v>450</v>
      </c>
      <c r="M9726">
        <v>450</v>
      </c>
      <c r="N9726">
        <v>134</v>
      </c>
      <c r="O9726" t="str">
        <f>"DIARIA DE MOTOBOY"</f>
        <v>DIARIA DE MOTOBOY</v>
      </c>
      <c r="P9726">
        <v>450</v>
      </c>
      <c r="S9726" t="str">
        <f>"BANCO CORA (102)"</f>
        <v>BANCO CORA (102)</v>
      </c>
      <c r="T9726">
        <v>20824</v>
      </c>
      <c r="U9726">
        <v>25234</v>
      </c>
      <c r="V9726" t="s">
        <v>22</v>
      </c>
    </row>
    <row r="9727" spans="1:22">
      <c r="A9727" t="str">
        <f t="shared" si="1868"/>
        <v>11/11/2025</v>
      </c>
      <c r="B9727" t="str">
        <f t="shared" si="1872"/>
        <v>SAÍDA</v>
      </c>
      <c r="C9727" t="str">
        <f t="shared" si="1869"/>
        <v>PIX</v>
      </c>
      <c r="D9727" t="str">
        <f>"25146"</f>
        <v>25146</v>
      </c>
      <c r="E9727" t="str">
        <f t="shared" si="1870"/>
        <v>1</v>
      </c>
      <c r="F9727" t="str">
        <f t="shared" si="1871"/>
        <v>COM</v>
      </c>
      <c r="G9727" t="str">
        <f>"JUSSARA CRISTINA FARIA (783)"</f>
        <v>JUSSARA CRISTINA FARIA (783)</v>
      </c>
      <c r="H9727" t="s">
        <v>2508</v>
      </c>
      <c r="I9727" t="str">
        <f t="shared" si="1873"/>
        <v>11/11/2025</v>
      </c>
      <c r="J9727" t="str">
        <f>("11/11/2025")</f>
        <v>11/11/2025</v>
      </c>
      <c r="K9727">
        <v>45972</v>
      </c>
      <c r="N9727">
        <v>134</v>
      </c>
      <c r="O9727" t="s">
        <v>41</v>
      </c>
      <c r="Q9727">
        <v>450</v>
      </c>
      <c r="R9727" t="str">
        <f>"FARMÁCIA INDIANA LJ 110 (10048)"</f>
        <v>FARMÁCIA INDIANA LJ 110 (10048)</v>
      </c>
      <c r="S9727" t="s">
        <v>22</v>
      </c>
      <c r="T9727">
        <v>20824</v>
      </c>
      <c r="U9727">
        <v>25234</v>
      </c>
      <c r="V9727" t="s">
        <v>22</v>
      </c>
    </row>
    <row r="9728" spans="1:22">
      <c r="A9728" t="str">
        <f t="shared" si="1868"/>
        <v>11/11/2025</v>
      </c>
      <c r="B9728" t="str">
        <f t="shared" si="1872"/>
        <v>SAÍDA</v>
      </c>
      <c r="C9728" t="str">
        <f t="shared" si="1869"/>
        <v>PIX</v>
      </c>
      <c r="D9728" t="str">
        <f>"25089"</f>
        <v>25089</v>
      </c>
      <c r="E9728" t="str">
        <f t="shared" si="1870"/>
        <v>1</v>
      </c>
      <c r="F9728" t="str">
        <f t="shared" si="1871"/>
        <v>COM</v>
      </c>
      <c r="G9728" t="str">
        <f>"WILLIAM FERREIRA DE OLIVEIRA (900)"</f>
        <v>WILLIAM FERREIRA DE OLIVEIRA (900)</v>
      </c>
      <c r="H9728" t="str">
        <f>"Serv.Prest. 03/11/2025 a 09/11/2025 - PIX: CPF - CHAVE: 106.393.056-10"</f>
        <v>Serv.Prest. 03/11/2025 a 09/11/2025 - PIX: CPF - CHAVE: 106.393.056-10</v>
      </c>
      <c r="I9728" t="str">
        <f t="shared" si="1873"/>
        <v>11/11/2025</v>
      </c>
      <c r="J9728" t="str">
        <f>("10/11/2025")</f>
        <v>10/11/2025</v>
      </c>
      <c r="K9728" t="str">
        <f>("11/11/2025")</f>
        <v>11/11/2025</v>
      </c>
      <c r="L9728">
        <v>144</v>
      </c>
      <c r="M9728">
        <v>140</v>
      </c>
      <c r="N9728">
        <v>134</v>
      </c>
      <c r="O9728" t="str">
        <f>"DIARIA DE MOTOBOY"</f>
        <v>DIARIA DE MOTOBOY</v>
      </c>
      <c r="P9728">
        <v>140</v>
      </c>
      <c r="S9728" t="str">
        <f>"BANCO CORA (102)"</f>
        <v>BANCO CORA (102)</v>
      </c>
      <c r="T9728">
        <v>20825</v>
      </c>
      <c r="U9728">
        <v>25089</v>
      </c>
      <c r="V9728" t="s">
        <v>22</v>
      </c>
    </row>
    <row r="9729" spans="1:22">
      <c r="A9729" t="str">
        <f t="shared" si="1868"/>
        <v>11/11/2025</v>
      </c>
      <c r="B9729" t="str">
        <f t="shared" si="1872"/>
        <v>SAÍDA</v>
      </c>
      <c r="C9729" t="str">
        <f t="shared" si="1869"/>
        <v>PIX</v>
      </c>
      <c r="D9729" t="str">
        <f>"25089"</f>
        <v>25089</v>
      </c>
      <c r="E9729" t="str">
        <f t="shared" si="1870"/>
        <v>1</v>
      </c>
      <c r="F9729" t="str">
        <f t="shared" si="1871"/>
        <v>COM</v>
      </c>
      <c r="G9729" t="str">
        <f>"WILLIAM FERREIRA DE OLIVEIRA (900)"</f>
        <v>WILLIAM FERREIRA DE OLIVEIRA (900)</v>
      </c>
      <c r="H9729" t="s">
        <v>2769</v>
      </c>
      <c r="I9729" t="str">
        <f t="shared" si="1873"/>
        <v>11/11/2025</v>
      </c>
      <c r="J9729" t="str">
        <f>("10/11/2025")</f>
        <v>10/11/2025</v>
      </c>
      <c r="K9729">
        <v>45972</v>
      </c>
      <c r="N9729">
        <v>134</v>
      </c>
      <c r="O9729" t="s">
        <v>41</v>
      </c>
      <c r="Q9729">
        <v>140</v>
      </c>
      <c r="R9729" t="str">
        <f>"PAGMENOS - LJ 657 (10136)"</f>
        <v>PAGMENOS - LJ 657 (10136)</v>
      </c>
      <c r="S9729" t="s">
        <v>22</v>
      </c>
      <c r="T9729">
        <v>20825</v>
      </c>
      <c r="U9729">
        <v>25089</v>
      </c>
      <c r="V9729" t="s">
        <v>22</v>
      </c>
    </row>
    <row r="9730" spans="1:22">
      <c r="A9730" t="str">
        <f t="shared" si="1868"/>
        <v>11/11/2025</v>
      </c>
      <c r="B9730" t="str">
        <f t="shared" si="1872"/>
        <v>SAÍDA</v>
      </c>
      <c r="C9730" t="str">
        <f t="shared" si="1869"/>
        <v>PIX</v>
      </c>
      <c r="D9730" t="str">
        <f>"24756"</f>
        <v>24756</v>
      </c>
      <c r="E9730" t="str">
        <f t="shared" si="1870"/>
        <v>1</v>
      </c>
      <c r="F9730" t="str">
        <f t="shared" si="1871"/>
        <v>COM</v>
      </c>
      <c r="G9730" t="str">
        <f>"GABRIEL SOARES VIEIRA (18)"</f>
        <v>GABRIEL SOARES VIEIRA (18)</v>
      </c>
      <c r="H9730" t="str">
        <f>"Serv.Prest. 24/10/2025 a 02/11/2025 - PIX: CPF - CHAVE: 179.800.027-09"</f>
        <v>Serv.Prest. 24/10/2025 a 02/11/2025 - PIX: CPF - CHAVE: 179.800.027-09</v>
      </c>
      <c r="I9730" t="str">
        <f t="shared" si="1873"/>
        <v>11/11/2025</v>
      </c>
      <c r="J9730" t="str">
        <f>("04/11/2025")</f>
        <v>04/11/2025</v>
      </c>
      <c r="K9730" t="str">
        <f>("11/11/2025")</f>
        <v>11/11/2025</v>
      </c>
      <c r="L9730">
        <v>200</v>
      </c>
      <c r="M9730">
        <v>200</v>
      </c>
      <c r="N9730">
        <v>109</v>
      </c>
      <c r="O9730" t="str">
        <f>"PAGAMENTO DE ENTREGADORES"</f>
        <v>PAGAMENTO DE ENTREGADORES</v>
      </c>
      <c r="P9730">
        <v>200</v>
      </c>
      <c r="S9730" t="str">
        <f>"BANCO CORA (102)"</f>
        <v>BANCO CORA (102)</v>
      </c>
      <c r="T9730">
        <v>20826</v>
      </c>
      <c r="U9730">
        <v>25095</v>
      </c>
      <c r="V9730" t="s">
        <v>22</v>
      </c>
    </row>
    <row r="9731" spans="1:22">
      <c r="A9731" t="str">
        <f t="shared" si="1868"/>
        <v>11/11/2025</v>
      </c>
      <c r="B9731" t="str">
        <f t="shared" si="1872"/>
        <v>SAÍDA</v>
      </c>
      <c r="C9731" t="str">
        <f t="shared" si="1869"/>
        <v>PIX</v>
      </c>
      <c r="D9731" t="str">
        <f>"24756"</f>
        <v>24756</v>
      </c>
      <c r="E9731" t="str">
        <f t="shared" si="1870"/>
        <v>1</v>
      </c>
      <c r="F9731" t="str">
        <f t="shared" si="1871"/>
        <v>COM</v>
      </c>
      <c r="G9731" t="str">
        <f>"GABRIEL SOARES VIEIRA (18)"</f>
        <v>GABRIEL SOARES VIEIRA (18)</v>
      </c>
      <c r="H9731" t="s">
        <v>2770</v>
      </c>
      <c r="I9731" t="str">
        <f t="shared" si="1873"/>
        <v>11/11/2025</v>
      </c>
      <c r="J9731" t="str">
        <f>("04/11/2025")</f>
        <v>04/11/2025</v>
      </c>
      <c r="K9731">
        <v>45972</v>
      </c>
      <c r="N9731">
        <v>109</v>
      </c>
      <c r="O9731" t="s">
        <v>24</v>
      </c>
      <c r="Q9731">
        <v>200</v>
      </c>
      <c r="R9731" t="str">
        <f>"FARMÁCIA INDIANA LJ 40 (10016)"</f>
        <v>FARMÁCIA INDIANA LJ 40 (10016)</v>
      </c>
      <c r="S9731" t="s">
        <v>22</v>
      </c>
      <c r="T9731">
        <v>20826</v>
      </c>
      <c r="U9731">
        <v>25095</v>
      </c>
      <c r="V9731" t="s">
        <v>22</v>
      </c>
    </row>
    <row r="9732" spans="1:22">
      <c r="A9732" t="str">
        <f t="shared" si="1868"/>
        <v>11/11/2025</v>
      </c>
      <c r="B9732" t="str">
        <f t="shared" si="1872"/>
        <v>SAÍDA</v>
      </c>
      <c r="C9732" t="str">
        <f t="shared" si="1869"/>
        <v>PIX</v>
      </c>
      <c r="D9732" t="str">
        <f>"25122"</f>
        <v>25122</v>
      </c>
      <c r="E9732" t="str">
        <f t="shared" si="1870"/>
        <v>1</v>
      </c>
      <c r="F9732" t="str">
        <f t="shared" si="1871"/>
        <v>COM</v>
      </c>
      <c r="G9732" t="str">
        <f>"EZEQUIEL MATHEUS SOUSA MAXIMIANO ROSA (931)"</f>
        <v>EZEQUIEL MATHEUS SOUSA MAXIMIANO ROSA (931)</v>
      </c>
      <c r="H9732" t="str">
        <f>"Serv.Prest. 03/11/2025 a 09/11/2025 - PIX: CPF - CHAVE: 141.994.266-20"</f>
        <v>Serv.Prest. 03/11/2025 a 09/11/2025 - PIX: CPF - CHAVE: 141.994.266-20</v>
      </c>
      <c r="I9732" t="str">
        <f t="shared" si="1873"/>
        <v>11/11/2025</v>
      </c>
      <c r="J9732" t="str">
        <f>("11/11/2025")</f>
        <v>11/11/2025</v>
      </c>
      <c r="K9732" t="str">
        <f>("11/11/2025")</f>
        <v>11/11/2025</v>
      </c>
      <c r="L9732">
        <v>168</v>
      </c>
      <c r="M9732">
        <v>170</v>
      </c>
      <c r="N9732">
        <v>134</v>
      </c>
      <c r="O9732" t="str">
        <f>"DIARIA DE MOTOBOY"</f>
        <v>DIARIA DE MOTOBOY</v>
      </c>
      <c r="P9732">
        <v>170</v>
      </c>
      <c r="S9732" t="str">
        <f>"BANCO CORA (102)"</f>
        <v>BANCO CORA (102)</v>
      </c>
      <c r="T9732">
        <v>20827</v>
      </c>
      <c r="U9732">
        <v>25122</v>
      </c>
      <c r="V9732" t="s">
        <v>22</v>
      </c>
    </row>
    <row r="9733" spans="1:22">
      <c r="A9733" t="str">
        <f t="shared" si="1868"/>
        <v>11/11/2025</v>
      </c>
      <c r="B9733" t="str">
        <f t="shared" si="1872"/>
        <v>SAÍDA</v>
      </c>
      <c r="C9733" t="str">
        <f t="shared" si="1869"/>
        <v>PIX</v>
      </c>
      <c r="D9733" t="str">
        <f>"25122"</f>
        <v>25122</v>
      </c>
      <c r="E9733" t="str">
        <f t="shared" si="1870"/>
        <v>1</v>
      </c>
      <c r="F9733" t="str">
        <f t="shared" si="1871"/>
        <v>COM</v>
      </c>
      <c r="G9733" t="str">
        <f>"EZEQUIEL MATHEUS SOUSA MAXIMIANO ROSA (931)"</f>
        <v>EZEQUIEL MATHEUS SOUSA MAXIMIANO ROSA (931)</v>
      </c>
      <c r="H9733" t="s">
        <v>2771</v>
      </c>
      <c r="I9733" t="str">
        <f t="shared" si="1873"/>
        <v>11/11/2025</v>
      </c>
      <c r="J9733" t="str">
        <f t="shared" ref="J9733:J9745" si="1874">("11/11/2025")</f>
        <v>11/11/2025</v>
      </c>
      <c r="K9733">
        <v>45972</v>
      </c>
      <c r="N9733">
        <v>134</v>
      </c>
      <c r="O9733" t="s">
        <v>41</v>
      </c>
      <c r="Q9733">
        <v>170</v>
      </c>
      <c r="R9733" t="str">
        <f>"FARMÁCIA INDIANA LJ 192 (10082)"</f>
        <v>FARMÁCIA INDIANA LJ 192 (10082)</v>
      </c>
      <c r="S9733" t="s">
        <v>22</v>
      </c>
      <c r="T9733">
        <v>20827</v>
      </c>
      <c r="U9733">
        <v>25122</v>
      </c>
      <c r="V9733" t="s">
        <v>22</v>
      </c>
    </row>
    <row r="9734" spans="1:22">
      <c r="A9734" t="str">
        <f t="shared" si="1868"/>
        <v>11/11/2025</v>
      </c>
      <c r="B9734" t="str">
        <f t="shared" si="1872"/>
        <v>SAÍDA</v>
      </c>
      <c r="C9734" t="str">
        <f t="shared" si="1869"/>
        <v>PIX</v>
      </c>
      <c r="D9734" t="str">
        <f>"25142"</f>
        <v>25142</v>
      </c>
      <c r="E9734" t="str">
        <f t="shared" si="1870"/>
        <v>1</v>
      </c>
      <c r="F9734" t="str">
        <f t="shared" si="1871"/>
        <v>COM</v>
      </c>
      <c r="G9734" t="str">
        <f>"JOSE ERIC SILVA MACENA (854)"</f>
        <v>JOSE ERIC SILVA MACENA (854)</v>
      </c>
      <c r="H9734" t="str">
        <f>"Serv.Prest. 03/11/2025 a 09/11/2025 - PIX: E-MAIL - CHAVE: ericsilva8marcena@gmail.com"</f>
        <v>Serv.Prest. 03/11/2025 a 09/11/2025 - PIX: E-MAIL - CHAVE: ericsilva8marcena@gmail.com</v>
      </c>
      <c r="I9734" t="str">
        <f t="shared" si="1873"/>
        <v>11/11/2025</v>
      </c>
      <c r="J9734" t="str">
        <f t="shared" si="1874"/>
        <v>11/11/2025</v>
      </c>
      <c r="K9734" t="str">
        <f>("11/11/2025")</f>
        <v>11/11/2025</v>
      </c>
      <c r="L9734">
        <v>180</v>
      </c>
      <c r="M9734">
        <v>180</v>
      </c>
      <c r="N9734">
        <v>134</v>
      </c>
      <c r="O9734" t="str">
        <f>"DIARIA DE MOTOBOY"</f>
        <v>DIARIA DE MOTOBOY</v>
      </c>
      <c r="P9734">
        <v>180</v>
      </c>
      <c r="S9734" t="str">
        <f>"BANCO CORA (102)"</f>
        <v>BANCO CORA (102)</v>
      </c>
      <c r="T9734">
        <v>20828</v>
      </c>
      <c r="U9734">
        <v>25142</v>
      </c>
      <c r="V9734" t="s">
        <v>22</v>
      </c>
    </row>
    <row r="9735" spans="1:22">
      <c r="A9735" t="str">
        <f t="shared" si="1868"/>
        <v>11/11/2025</v>
      </c>
      <c r="B9735" t="str">
        <f t="shared" si="1872"/>
        <v>SAÍDA</v>
      </c>
      <c r="C9735" t="str">
        <f t="shared" si="1869"/>
        <v>PIX</v>
      </c>
      <c r="D9735" t="str">
        <f>"25142"</f>
        <v>25142</v>
      </c>
      <c r="E9735" t="str">
        <f t="shared" si="1870"/>
        <v>1</v>
      </c>
      <c r="F9735" t="str">
        <f t="shared" si="1871"/>
        <v>COM</v>
      </c>
      <c r="G9735" t="str">
        <f>"JOSE ERIC SILVA MACENA (854)"</f>
        <v>JOSE ERIC SILVA MACENA (854)</v>
      </c>
      <c r="H9735" t="s">
        <v>2772</v>
      </c>
      <c r="I9735" t="str">
        <f t="shared" si="1873"/>
        <v>11/11/2025</v>
      </c>
      <c r="J9735" t="str">
        <f t="shared" si="1874"/>
        <v>11/11/2025</v>
      </c>
      <c r="K9735">
        <v>45972</v>
      </c>
      <c r="N9735">
        <v>134</v>
      </c>
      <c r="O9735" t="s">
        <v>41</v>
      </c>
      <c r="Q9735">
        <v>180</v>
      </c>
      <c r="R9735" t="str">
        <f>"FARMÁCIA INDIANA LJ 101 (10043)"</f>
        <v>FARMÁCIA INDIANA LJ 101 (10043)</v>
      </c>
      <c r="S9735" t="s">
        <v>22</v>
      </c>
      <c r="T9735">
        <v>20828</v>
      </c>
      <c r="U9735">
        <v>25142</v>
      </c>
      <c r="V9735" t="s">
        <v>22</v>
      </c>
    </row>
    <row r="9736" spans="1:22">
      <c r="A9736" t="str">
        <f t="shared" si="1868"/>
        <v>11/11/2025</v>
      </c>
      <c r="B9736" t="str">
        <f t="shared" si="1872"/>
        <v>SAÍDA</v>
      </c>
      <c r="C9736" t="str">
        <f t="shared" si="1869"/>
        <v>PIX</v>
      </c>
      <c r="D9736" t="str">
        <f>"25149"</f>
        <v>25149</v>
      </c>
      <c r="E9736" t="str">
        <f t="shared" si="1870"/>
        <v>1</v>
      </c>
      <c r="F9736" t="str">
        <f t="shared" si="1871"/>
        <v>COM</v>
      </c>
      <c r="G9736" t="str">
        <f>"LAUAN ROCHA DE MELO (914)"</f>
        <v>LAUAN ROCHA DE MELO (914)</v>
      </c>
      <c r="H9736" t="str">
        <f>"Serv.Prest. 03/11/2025 a 09/11/2025 - PIX: CELULAR - CHAVE: (32) 99913-0476"</f>
        <v>Serv.Prest. 03/11/2025 a 09/11/2025 - PIX: CELULAR - CHAVE: (32) 99913-0476</v>
      </c>
      <c r="I9736" t="str">
        <f t="shared" si="1873"/>
        <v>11/11/2025</v>
      </c>
      <c r="J9736" t="str">
        <f t="shared" si="1874"/>
        <v>11/11/2025</v>
      </c>
      <c r="K9736" t="str">
        <f>("11/11/2025")</f>
        <v>11/11/2025</v>
      </c>
      <c r="L9736">
        <v>120</v>
      </c>
      <c r="M9736">
        <v>120</v>
      </c>
      <c r="N9736">
        <v>134</v>
      </c>
      <c r="O9736" t="str">
        <f>"DIARIA DE MOTOBOY"</f>
        <v>DIARIA DE MOTOBOY</v>
      </c>
      <c r="P9736">
        <v>120</v>
      </c>
      <c r="S9736" t="str">
        <f>"BANCO CORA (102)"</f>
        <v>BANCO CORA (102)</v>
      </c>
      <c r="T9736">
        <v>20829</v>
      </c>
      <c r="U9736">
        <v>25149</v>
      </c>
      <c r="V9736" t="s">
        <v>22</v>
      </c>
    </row>
    <row r="9737" spans="1:22">
      <c r="A9737" t="str">
        <f t="shared" si="1868"/>
        <v>11/11/2025</v>
      </c>
      <c r="B9737" t="str">
        <f t="shared" si="1872"/>
        <v>SAÍDA</v>
      </c>
      <c r="C9737" t="str">
        <f t="shared" si="1869"/>
        <v>PIX</v>
      </c>
      <c r="D9737" t="str">
        <f>"25149"</f>
        <v>25149</v>
      </c>
      <c r="E9737" t="str">
        <f t="shared" si="1870"/>
        <v>1</v>
      </c>
      <c r="F9737" t="str">
        <f t="shared" si="1871"/>
        <v>COM</v>
      </c>
      <c r="G9737" t="str">
        <f>"LAUAN ROCHA DE MELO (914)"</f>
        <v>LAUAN ROCHA DE MELO (914)</v>
      </c>
      <c r="H9737" t="s">
        <v>2773</v>
      </c>
      <c r="I9737" t="str">
        <f t="shared" si="1873"/>
        <v>11/11/2025</v>
      </c>
      <c r="J9737" t="str">
        <f t="shared" si="1874"/>
        <v>11/11/2025</v>
      </c>
      <c r="K9737">
        <v>45972</v>
      </c>
      <c r="N9737">
        <v>134</v>
      </c>
      <c r="O9737" t="s">
        <v>41</v>
      </c>
      <c r="Q9737">
        <v>120</v>
      </c>
      <c r="R9737" t="str">
        <f>"FARMÁCIA INDIANA LJ 109 (10047)"</f>
        <v>FARMÁCIA INDIANA LJ 109 (10047)</v>
      </c>
      <c r="S9737" t="s">
        <v>22</v>
      </c>
      <c r="T9737">
        <v>20829</v>
      </c>
      <c r="U9737">
        <v>25149</v>
      </c>
      <c r="V9737" t="s">
        <v>22</v>
      </c>
    </row>
    <row r="9738" spans="1:22">
      <c r="A9738" t="str">
        <f t="shared" si="1868"/>
        <v>11/11/2025</v>
      </c>
      <c r="B9738" t="str">
        <f t="shared" si="1872"/>
        <v>SAÍDA</v>
      </c>
      <c r="C9738" t="str">
        <f t="shared" si="1869"/>
        <v>PIX</v>
      </c>
      <c r="D9738" t="str">
        <f>"25154"</f>
        <v>25154</v>
      </c>
      <c r="E9738" t="str">
        <f t="shared" si="1870"/>
        <v>1</v>
      </c>
      <c r="F9738" t="str">
        <f t="shared" si="1871"/>
        <v>COM</v>
      </c>
      <c r="G9738" t="str">
        <f>"LUCAS RODRIGO LAGE ARRUDA (1052)"</f>
        <v>LUCAS RODRIGO LAGE ARRUDA (1052)</v>
      </c>
      <c r="H9738" t="str">
        <f>"Serv.Prest. 03/11/2025 a 09/11/2025 - PIX: CELULAR - CHAVE: (31) 99607-6585"</f>
        <v>Serv.Prest. 03/11/2025 a 09/11/2025 - PIX: CELULAR - CHAVE: (31) 99607-6585</v>
      </c>
      <c r="I9738" t="str">
        <f t="shared" si="1873"/>
        <v>11/11/2025</v>
      </c>
      <c r="J9738" t="str">
        <f t="shared" si="1874"/>
        <v>11/11/2025</v>
      </c>
      <c r="K9738" t="str">
        <f>("11/11/2025")</f>
        <v>11/11/2025</v>
      </c>
      <c r="L9738">
        <v>360</v>
      </c>
      <c r="M9738">
        <v>360</v>
      </c>
      <c r="N9738">
        <v>134</v>
      </c>
      <c r="O9738" t="str">
        <f>"DIARIA DE MOTOBOY"</f>
        <v>DIARIA DE MOTOBOY</v>
      </c>
      <c r="P9738">
        <v>360</v>
      </c>
      <c r="S9738" t="str">
        <f>"BANCO CORA (102)"</f>
        <v>BANCO CORA (102)</v>
      </c>
      <c r="T9738">
        <v>20830</v>
      </c>
      <c r="U9738">
        <v>25154</v>
      </c>
      <c r="V9738" t="s">
        <v>22</v>
      </c>
    </row>
    <row r="9739" spans="1:22">
      <c r="A9739" t="str">
        <f t="shared" si="1868"/>
        <v>11/11/2025</v>
      </c>
      <c r="B9739" t="str">
        <f t="shared" si="1872"/>
        <v>SAÍDA</v>
      </c>
      <c r="C9739" t="str">
        <f t="shared" si="1869"/>
        <v>PIX</v>
      </c>
      <c r="D9739" t="str">
        <f>"25154"</f>
        <v>25154</v>
      </c>
      <c r="E9739" t="str">
        <f t="shared" si="1870"/>
        <v>1</v>
      </c>
      <c r="F9739" t="str">
        <f t="shared" si="1871"/>
        <v>COM</v>
      </c>
      <c r="G9739" t="str">
        <f>"LUCAS RODRIGO LAGE ARRUDA (1052)"</f>
        <v>LUCAS RODRIGO LAGE ARRUDA (1052)</v>
      </c>
      <c r="H9739" t="s">
        <v>2774</v>
      </c>
      <c r="I9739" t="str">
        <f t="shared" si="1873"/>
        <v>11/11/2025</v>
      </c>
      <c r="J9739" t="str">
        <f t="shared" si="1874"/>
        <v>11/11/2025</v>
      </c>
      <c r="K9739">
        <v>45972</v>
      </c>
      <c r="N9739">
        <v>134</v>
      </c>
      <c r="O9739" t="s">
        <v>41</v>
      </c>
      <c r="Q9739">
        <v>360</v>
      </c>
      <c r="R9739" t="str">
        <f>"FARMÁCIA INDIANA LJ 101 (10043)"</f>
        <v>FARMÁCIA INDIANA LJ 101 (10043)</v>
      </c>
      <c r="S9739" t="s">
        <v>22</v>
      </c>
      <c r="T9739">
        <v>20830</v>
      </c>
      <c r="U9739">
        <v>25154</v>
      </c>
      <c r="V9739" t="s">
        <v>22</v>
      </c>
    </row>
    <row r="9740" spans="1:22">
      <c r="A9740" t="str">
        <f t="shared" si="1868"/>
        <v>11/11/2025</v>
      </c>
      <c r="B9740" t="str">
        <f t="shared" si="1872"/>
        <v>SAÍDA</v>
      </c>
      <c r="C9740" t="str">
        <f t="shared" si="1869"/>
        <v>PIX</v>
      </c>
      <c r="D9740" t="str">
        <f>"25179"</f>
        <v>25179</v>
      </c>
      <c r="E9740" t="str">
        <f t="shared" si="1870"/>
        <v>1</v>
      </c>
      <c r="F9740" t="str">
        <f t="shared" si="1871"/>
        <v>COM</v>
      </c>
      <c r="G9740" t="str">
        <f>"RENATO DE SOUZA HADDAD (1059)"</f>
        <v>RENATO DE SOUZA HADDAD (1059)</v>
      </c>
      <c r="H9740" t="str">
        <f>"Serv.Prest. 03/11/2025 a 09/11/2025 - PIX: CELULAR - CHAVE: (32) 98703-8039"</f>
        <v>Serv.Prest. 03/11/2025 a 09/11/2025 - PIX: CELULAR - CHAVE: (32) 98703-8039</v>
      </c>
      <c r="I9740" t="str">
        <f t="shared" si="1873"/>
        <v>11/11/2025</v>
      </c>
      <c r="J9740" t="str">
        <f t="shared" si="1874"/>
        <v>11/11/2025</v>
      </c>
      <c r="K9740" t="str">
        <f>("11/11/2025")</f>
        <v>11/11/2025</v>
      </c>
      <c r="L9740">
        <v>119</v>
      </c>
      <c r="M9740">
        <v>120</v>
      </c>
      <c r="N9740">
        <v>134</v>
      </c>
      <c r="O9740" t="str">
        <f>"DIARIA DE MOTOBOY"</f>
        <v>DIARIA DE MOTOBOY</v>
      </c>
      <c r="P9740">
        <v>120</v>
      </c>
      <c r="S9740" t="str">
        <f>"BANCO CORA (102)"</f>
        <v>BANCO CORA (102)</v>
      </c>
      <c r="T9740">
        <v>20831</v>
      </c>
      <c r="U9740">
        <v>25179</v>
      </c>
      <c r="V9740" t="s">
        <v>22</v>
      </c>
    </row>
    <row r="9741" spans="1:22">
      <c r="A9741" t="str">
        <f t="shared" si="1868"/>
        <v>11/11/2025</v>
      </c>
      <c r="B9741" t="str">
        <f t="shared" si="1872"/>
        <v>SAÍDA</v>
      </c>
      <c r="C9741" t="str">
        <f t="shared" si="1869"/>
        <v>PIX</v>
      </c>
      <c r="D9741" t="str">
        <f>"25179"</f>
        <v>25179</v>
      </c>
      <c r="E9741" t="str">
        <f t="shared" si="1870"/>
        <v>1</v>
      </c>
      <c r="F9741" t="str">
        <f t="shared" si="1871"/>
        <v>COM</v>
      </c>
      <c r="G9741" t="str">
        <f>"RENATO DE SOUZA HADDAD (1059)"</f>
        <v>RENATO DE SOUZA HADDAD (1059)</v>
      </c>
      <c r="H9741" t="s">
        <v>2775</v>
      </c>
      <c r="I9741" t="str">
        <f t="shared" si="1873"/>
        <v>11/11/2025</v>
      </c>
      <c r="J9741" t="str">
        <f t="shared" si="1874"/>
        <v>11/11/2025</v>
      </c>
      <c r="K9741">
        <v>45972</v>
      </c>
      <c r="N9741">
        <v>134</v>
      </c>
      <c r="O9741" t="s">
        <v>41</v>
      </c>
      <c r="Q9741">
        <v>120</v>
      </c>
      <c r="R9741" t="str">
        <f>"FARMÁCIA INDIANA LJ 219 (10091)"</f>
        <v>FARMÁCIA INDIANA LJ 219 (10091)</v>
      </c>
      <c r="S9741" t="s">
        <v>22</v>
      </c>
      <c r="T9741">
        <v>20831</v>
      </c>
      <c r="U9741">
        <v>25179</v>
      </c>
      <c r="V9741" t="s">
        <v>22</v>
      </c>
    </row>
    <row r="9742" spans="1:22">
      <c r="A9742" t="str">
        <f t="shared" si="1868"/>
        <v>11/11/2025</v>
      </c>
      <c r="B9742" t="str">
        <f t="shared" si="1872"/>
        <v>SAÍDA</v>
      </c>
      <c r="C9742" t="str">
        <f t="shared" si="1869"/>
        <v>PIX</v>
      </c>
      <c r="D9742" t="str">
        <f>"25200"</f>
        <v>25200</v>
      </c>
      <c r="E9742" t="str">
        <f t="shared" si="1870"/>
        <v>1</v>
      </c>
      <c r="F9742" t="str">
        <f t="shared" si="1871"/>
        <v>COM</v>
      </c>
      <c r="G9742" t="str">
        <f>"WILIANA RODRIGUES E RODRIGUES (398)"</f>
        <v>WILIANA RODRIGUES E RODRIGUES (398)</v>
      </c>
      <c r="H9742" t="str">
        <f>"Serv.Prest. 03/11/2025 a 09/11/2025 - PIX: CPF - CHAVE: 016.203.336-27"</f>
        <v>Serv.Prest. 03/11/2025 a 09/11/2025 - PIX: CPF - CHAVE: 016.203.336-27</v>
      </c>
      <c r="I9742" t="str">
        <f t="shared" si="1873"/>
        <v>11/11/2025</v>
      </c>
      <c r="J9742" t="str">
        <f t="shared" si="1874"/>
        <v>11/11/2025</v>
      </c>
      <c r="K9742" t="str">
        <f>("11/11/2025")</f>
        <v>11/11/2025</v>
      </c>
      <c r="L9742">
        <v>102</v>
      </c>
      <c r="M9742">
        <v>100</v>
      </c>
      <c r="N9742">
        <v>109</v>
      </c>
      <c r="O9742" t="str">
        <f>"PAGAMENTO DE ENTREGADORES"</f>
        <v>PAGAMENTO DE ENTREGADORES</v>
      </c>
      <c r="P9742">
        <v>100</v>
      </c>
      <c r="S9742" t="str">
        <f>"BANCO CORA (102)"</f>
        <v>BANCO CORA (102)</v>
      </c>
      <c r="T9742">
        <v>20832</v>
      </c>
      <c r="U9742">
        <v>25200</v>
      </c>
      <c r="V9742" t="s">
        <v>22</v>
      </c>
    </row>
    <row r="9743" spans="1:22">
      <c r="A9743" t="str">
        <f t="shared" si="1868"/>
        <v>11/11/2025</v>
      </c>
      <c r="B9743" t="str">
        <f t="shared" si="1872"/>
        <v>SAÍDA</v>
      </c>
      <c r="C9743" t="str">
        <f t="shared" si="1869"/>
        <v>PIX</v>
      </c>
      <c r="D9743" t="str">
        <f>"25200"</f>
        <v>25200</v>
      </c>
      <c r="E9743" t="str">
        <f t="shared" si="1870"/>
        <v>1</v>
      </c>
      <c r="F9743" t="str">
        <f t="shared" si="1871"/>
        <v>COM</v>
      </c>
      <c r="G9743" t="str">
        <f>"WILIANA RODRIGUES E RODRIGUES (398)"</f>
        <v>WILIANA RODRIGUES E RODRIGUES (398)</v>
      </c>
      <c r="H9743" t="s">
        <v>2776</v>
      </c>
      <c r="I9743" t="str">
        <f t="shared" si="1873"/>
        <v>11/11/2025</v>
      </c>
      <c r="J9743" t="str">
        <f t="shared" si="1874"/>
        <v>11/11/2025</v>
      </c>
      <c r="K9743">
        <v>45972</v>
      </c>
      <c r="N9743">
        <v>109</v>
      </c>
      <c r="O9743" t="s">
        <v>24</v>
      </c>
      <c r="Q9743">
        <v>100</v>
      </c>
      <c r="R9743" t="str">
        <f>"FARMÁCIA INDIANA LJ 118 (10052)"</f>
        <v>FARMÁCIA INDIANA LJ 118 (10052)</v>
      </c>
      <c r="S9743" t="s">
        <v>22</v>
      </c>
      <c r="T9743">
        <v>20832</v>
      </c>
      <c r="U9743">
        <v>25200</v>
      </c>
      <c r="V9743" t="s">
        <v>22</v>
      </c>
    </row>
    <row r="9744" spans="1:22">
      <c r="A9744" t="str">
        <f t="shared" si="1868"/>
        <v>11/11/2025</v>
      </c>
      <c r="B9744" t="str">
        <f t="shared" si="1872"/>
        <v>SAÍDA</v>
      </c>
      <c r="C9744" t="str">
        <f t="shared" si="1869"/>
        <v>PIX</v>
      </c>
      <c r="D9744" t="str">
        <f>"25210"</f>
        <v>25210</v>
      </c>
      <c r="E9744" t="str">
        <f t="shared" si="1870"/>
        <v>1</v>
      </c>
      <c r="F9744" t="str">
        <f t="shared" si="1871"/>
        <v>COM</v>
      </c>
      <c r="G9744" t="str">
        <f>"GILSON OLIVEIRA CAMPINHO JUNIOR (132)"</f>
        <v>GILSON OLIVEIRA CAMPINHO JUNIOR (132)</v>
      </c>
      <c r="H9744" t="str">
        <f>"Serv.Prest. 03/11/2025 a 09/11/2025 - PIX: CELULAR - CHAVE: (73) 988381077"</f>
        <v>Serv.Prest. 03/11/2025 a 09/11/2025 - PIX: CELULAR - CHAVE: (73) 988381077</v>
      </c>
      <c r="I9744" t="str">
        <f t="shared" si="1873"/>
        <v>11/11/2025</v>
      </c>
      <c r="J9744" t="str">
        <f t="shared" si="1874"/>
        <v>11/11/2025</v>
      </c>
      <c r="K9744" t="str">
        <f>("11/11/2025")</f>
        <v>11/11/2025</v>
      </c>
      <c r="L9744">
        <v>714</v>
      </c>
      <c r="M9744">
        <v>714</v>
      </c>
      <c r="N9744">
        <v>109</v>
      </c>
      <c r="O9744" t="str">
        <f>"PAGAMENTO DE ENTREGADORES"</f>
        <v>PAGAMENTO DE ENTREGADORES</v>
      </c>
      <c r="P9744">
        <v>714</v>
      </c>
      <c r="S9744" t="str">
        <f>"BANCO CORA (102)"</f>
        <v>BANCO CORA (102)</v>
      </c>
      <c r="T9744">
        <v>20833</v>
      </c>
      <c r="U9744">
        <v>25210</v>
      </c>
      <c r="V9744" t="s">
        <v>22</v>
      </c>
    </row>
    <row r="9745" spans="1:22">
      <c r="A9745" t="str">
        <f t="shared" si="1868"/>
        <v>11/11/2025</v>
      </c>
      <c r="B9745" t="str">
        <f t="shared" si="1872"/>
        <v>SAÍDA</v>
      </c>
      <c r="C9745" t="str">
        <f t="shared" si="1869"/>
        <v>PIX</v>
      </c>
      <c r="D9745" t="str">
        <f>"25210"</f>
        <v>25210</v>
      </c>
      <c r="E9745" t="str">
        <f t="shared" si="1870"/>
        <v>1</v>
      </c>
      <c r="F9745" t="str">
        <f t="shared" si="1871"/>
        <v>COM</v>
      </c>
      <c r="G9745" t="str">
        <f>"GILSON OLIVEIRA CAMPINHO JUNIOR (132)"</f>
        <v>GILSON OLIVEIRA CAMPINHO JUNIOR (132)</v>
      </c>
      <c r="H9745" t="s">
        <v>2777</v>
      </c>
      <c r="I9745" t="str">
        <f t="shared" si="1873"/>
        <v>11/11/2025</v>
      </c>
      <c r="J9745" t="str">
        <f t="shared" si="1874"/>
        <v>11/11/2025</v>
      </c>
      <c r="K9745">
        <v>45972</v>
      </c>
      <c r="N9745">
        <v>109</v>
      </c>
      <c r="O9745" t="s">
        <v>24</v>
      </c>
      <c r="Q9745">
        <v>714</v>
      </c>
      <c r="R9745" t="str">
        <f>"FARMÁCIA INDIANA LJ 91 (10037)"</f>
        <v>FARMÁCIA INDIANA LJ 91 (10037)</v>
      </c>
      <c r="S9745" t="s">
        <v>22</v>
      </c>
      <c r="T9745">
        <v>20833</v>
      </c>
      <c r="U9745">
        <v>25210</v>
      </c>
      <c r="V9745" t="s">
        <v>22</v>
      </c>
    </row>
    <row r="9746" spans="1:22">
      <c r="A9746" t="str">
        <f t="shared" si="1868"/>
        <v>11/11/2025</v>
      </c>
      <c r="B9746" t="str">
        <f t="shared" si="1872"/>
        <v>SAÍDA</v>
      </c>
      <c r="C9746" t="str">
        <f t="shared" si="1869"/>
        <v>PIX</v>
      </c>
      <c r="D9746" t="str">
        <f>"24983"</f>
        <v>24983</v>
      </c>
      <c r="E9746" t="str">
        <f t="shared" si="1870"/>
        <v>1</v>
      </c>
      <c r="F9746" t="str">
        <f t="shared" si="1871"/>
        <v>COM</v>
      </c>
      <c r="G9746" t="str">
        <f>"LUAN DOS REIS SILVA (954)"</f>
        <v>LUAN DOS REIS SILVA (954)</v>
      </c>
      <c r="H9746" t="str">
        <f>"Serv.Prest. 03/11/2025 a 09/11/2025 - PIX: CELULAR - CHAVE: (11) 95906-5439"</f>
        <v>Serv.Prest. 03/11/2025 a 09/11/2025 - PIX: CELULAR - CHAVE: (11) 95906-5439</v>
      </c>
      <c r="I9746" t="str">
        <f t="shared" si="1873"/>
        <v>11/11/2025</v>
      </c>
      <c r="J9746" t="str">
        <f t="shared" ref="J9746:J9754" si="1875">("10/11/2025")</f>
        <v>10/11/2025</v>
      </c>
      <c r="K9746" t="str">
        <f>("11/11/2025")</f>
        <v>11/11/2025</v>
      </c>
      <c r="L9746">
        <v>170</v>
      </c>
      <c r="M9746">
        <v>170</v>
      </c>
      <c r="N9746">
        <v>109</v>
      </c>
      <c r="O9746" t="str">
        <f>"PAGAMENTO DE ENTREGADORES"</f>
        <v>PAGAMENTO DE ENTREGADORES</v>
      </c>
      <c r="P9746">
        <v>170</v>
      </c>
      <c r="S9746" t="str">
        <f>"BANCO CORA (102)"</f>
        <v>BANCO CORA (102)</v>
      </c>
      <c r="T9746">
        <v>20834</v>
      </c>
      <c r="U9746">
        <v>25231</v>
      </c>
      <c r="V9746" t="s">
        <v>22</v>
      </c>
    </row>
    <row r="9747" spans="1:22">
      <c r="A9747" t="str">
        <f t="shared" si="1868"/>
        <v>11/11/2025</v>
      </c>
      <c r="B9747" t="str">
        <f t="shared" si="1872"/>
        <v>SAÍDA</v>
      </c>
      <c r="C9747" t="str">
        <f t="shared" si="1869"/>
        <v>PIX</v>
      </c>
      <c r="D9747" t="str">
        <f>"24983"</f>
        <v>24983</v>
      </c>
      <c r="E9747" t="str">
        <f t="shared" si="1870"/>
        <v>1</v>
      </c>
      <c r="F9747" t="str">
        <f t="shared" si="1871"/>
        <v>COM</v>
      </c>
      <c r="G9747" t="str">
        <f>"LUAN DOS REIS SILVA (954)"</f>
        <v>LUAN DOS REIS SILVA (954)</v>
      </c>
      <c r="H9747" t="s">
        <v>2778</v>
      </c>
      <c r="I9747" t="str">
        <f t="shared" si="1873"/>
        <v>11/11/2025</v>
      </c>
      <c r="J9747" t="str">
        <f t="shared" si="1875"/>
        <v>10/11/2025</v>
      </c>
      <c r="K9747">
        <v>45972</v>
      </c>
      <c r="N9747">
        <v>109</v>
      </c>
      <c r="O9747" t="s">
        <v>24</v>
      </c>
      <c r="Q9747">
        <v>56.66</v>
      </c>
      <c r="R9747" t="str">
        <f>"PENSE FARMA 05 (10200)"</f>
        <v>PENSE FARMA 05 (10200)</v>
      </c>
      <c r="S9747" t="s">
        <v>22</v>
      </c>
      <c r="T9747">
        <v>20834</v>
      </c>
      <c r="U9747">
        <v>25231</v>
      </c>
      <c r="V9747" t="s">
        <v>22</v>
      </c>
    </row>
    <row r="9748" spans="1:22">
      <c r="A9748" t="str">
        <f t="shared" si="1868"/>
        <v>11/11/2025</v>
      </c>
      <c r="B9748" t="str">
        <f t="shared" si="1872"/>
        <v>SAÍDA</v>
      </c>
      <c r="C9748" t="str">
        <f t="shared" si="1869"/>
        <v>PIX</v>
      </c>
      <c r="D9748" t="str">
        <f>"24983"</f>
        <v>24983</v>
      </c>
      <c r="E9748" t="str">
        <f t="shared" si="1870"/>
        <v>1</v>
      </c>
      <c r="F9748" t="str">
        <f t="shared" si="1871"/>
        <v>COM</v>
      </c>
      <c r="G9748" t="str">
        <f>"LUAN DOS REIS SILVA (954)"</f>
        <v>LUAN DOS REIS SILVA (954)</v>
      </c>
      <c r="H9748" t="s">
        <v>2778</v>
      </c>
      <c r="I9748" t="str">
        <f t="shared" si="1873"/>
        <v>11/11/2025</v>
      </c>
      <c r="J9748" t="str">
        <f t="shared" si="1875"/>
        <v>10/11/2025</v>
      </c>
      <c r="K9748">
        <v>45972</v>
      </c>
      <c r="N9748">
        <v>109</v>
      </c>
      <c r="O9748" t="s">
        <v>24</v>
      </c>
      <c r="Q9748">
        <v>56.66</v>
      </c>
      <c r="R9748" t="str">
        <f>"PENSE FARMA 13 (10202)"</f>
        <v>PENSE FARMA 13 (10202)</v>
      </c>
      <c r="S9748" t="s">
        <v>22</v>
      </c>
      <c r="T9748">
        <v>20834</v>
      </c>
      <c r="U9748">
        <v>25231</v>
      </c>
      <c r="V9748" t="s">
        <v>22</v>
      </c>
    </row>
    <row r="9749" spans="1:22">
      <c r="A9749" t="str">
        <f t="shared" si="1868"/>
        <v>11/11/2025</v>
      </c>
      <c r="B9749" t="str">
        <f t="shared" si="1872"/>
        <v>SAÍDA</v>
      </c>
      <c r="C9749" t="str">
        <f t="shared" si="1869"/>
        <v>PIX</v>
      </c>
      <c r="D9749" t="str">
        <f>"24983"</f>
        <v>24983</v>
      </c>
      <c r="E9749" t="str">
        <f t="shared" si="1870"/>
        <v>1</v>
      </c>
      <c r="F9749" t="str">
        <f t="shared" si="1871"/>
        <v>COM</v>
      </c>
      <c r="G9749" t="str">
        <f>"LUAN DOS REIS SILVA (954)"</f>
        <v>LUAN DOS REIS SILVA (954)</v>
      </c>
      <c r="H9749" t="s">
        <v>2778</v>
      </c>
      <c r="I9749" t="str">
        <f t="shared" si="1873"/>
        <v>11/11/2025</v>
      </c>
      <c r="J9749" t="str">
        <f t="shared" si="1875"/>
        <v>10/11/2025</v>
      </c>
      <c r="K9749">
        <v>45972</v>
      </c>
      <c r="N9749">
        <v>109</v>
      </c>
      <c r="O9749" t="s">
        <v>24</v>
      </c>
      <c r="Q9749">
        <v>56.68</v>
      </c>
      <c r="R9749" t="str">
        <f>"PENSE FARMA 27 (10204)"</f>
        <v>PENSE FARMA 27 (10204)</v>
      </c>
      <c r="S9749" t="s">
        <v>22</v>
      </c>
      <c r="T9749">
        <v>20834</v>
      </c>
      <c r="U9749">
        <v>25231</v>
      </c>
      <c r="V9749" t="s">
        <v>22</v>
      </c>
    </row>
    <row r="9750" spans="1:22">
      <c r="A9750" t="str">
        <f t="shared" si="1868"/>
        <v>11/11/2025</v>
      </c>
      <c r="B9750" t="str">
        <f t="shared" si="1872"/>
        <v>SAÍDA</v>
      </c>
      <c r="C9750" t="str">
        <f t="shared" si="1869"/>
        <v>PIX</v>
      </c>
      <c r="D9750" t="str">
        <f>"24961"</f>
        <v>24961</v>
      </c>
      <c r="E9750" t="str">
        <f t="shared" si="1870"/>
        <v>1</v>
      </c>
      <c r="F9750" t="str">
        <f t="shared" si="1871"/>
        <v>COM</v>
      </c>
      <c r="G9750" t="str">
        <f>"VICTOR HUGO SOARES DE PAULA (1021)"</f>
        <v>VICTOR HUGO SOARES DE PAULA (1021)</v>
      </c>
      <c r="H9750" t="str">
        <f>"Serv.Prest. 03/11/2025 a 09/11/2025 - PIX: CELULAR - CHAVE: (11) 98281-4526"</f>
        <v>Serv.Prest. 03/11/2025 a 09/11/2025 - PIX: CELULAR - CHAVE: (11) 98281-4526</v>
      </c>
      <c r="I9750" t="str">
        <f t="shared" si="1873"/>
        <v>11/11/2025</v>
      </c>
      <c r="J9750" t="str">
        <f t="shared" si="1875"/>
        <v>10/11/2025</v>
      </c>
      <c r="K9750" t="str">
        <f>("11/11/2025")</f>
        <v>11/11/2025</v>
      </c>
      <c r="L9750">
        <v>170</v>
      </c>
      <c r="M9750">
        <v>170</v>
      </c>
      <c r="N9750">
        <v>109</v>
      </c>
      <c r="O9750" t="str">
        <f>"PAGAMENTO DE ENTREGADORES"</f>
        <v>PAGAMENTO DE ENTREGADORES</v>
      </c>
      <c r="P9750">
        <v>170</v>
      </c>
      <c r="S9750" t="str">
        <f>"BANCO CORA (102)"</f>
        <v>BANCO CORA (102)</v>
      </c>
      <c r="T9750">
        <v>20835</v>
      </c>
      <c r="U9750">
        <v>25232</v>
      </c>
      <c r="V9750" t="s">
        <v>22</v>
      </c>
    </row>
    <row r="9751" spans="1:22">
      <c r="A9751" t="str">
        <f t="shared" ref="A9751:A9767" si="1876">("11/11/2025")</f>
        <v>11/11/2025</v>
      </c>
      <c r="B9751" t="str">
        <f t="shared" si="1872"/>
        <v>SAÍDA</v>
      </c>
      <c r="C9751" t="str">
        <f t="shared" si="1869"/>
        <v>PIX</v>
      </c>
      <c r="D9751" t="str">
        <f>"24961"</f>
        <v>24961</v>
      </c>
      <c r="E9751" t="str">
        <f t="shared" si="1870"/>
        <v>1</v>
      </c>
      <c r="F9751" t="str">
        <f t="shared" si="1871"/>
        <v>COM</v>
      </c>
      <c r="G9751" t="str">
        <f>"VICTOR HUGO SOARES DE PAULA (1021)"</f>
        <v>VICTOR HUGO SOARES DE PAULA (1021)</v>
      </c>
      <c r="H9751" t="s">
        <v>2779</v>
      </c>
      <c r="I9751" t="str">
        <f t="shared" si="1873"/>
        <v>11/11/2025</v>
      </c>
      <c r="J9751" t="str">
        <f t="shared" si="1875"/>
        <v>10/11/2025</v>
      </c>
      <c r="K9751">
        <v>45972</v>
      </c>
      <c r="N9751">
        <v>109</v>
      </c>
      <c r="O9751" t="s">
        <v>24</v>
      </c>
      <c r="Q9751">
        <v>85</v>
      </c>
      <c r="R9751" t="str">
        <f>"PENSE FARMA 44 (10231)"</f>
        <v>PENSE FARMA 44 (10231)</v>
      </c>
      <c r="S9751" t="s">
        <v>22</v>
      </c>
      <c r="T9751">
        <v>20835</v>
      </c>
      <c r="U9751">
        <v>25232</v>
      </c>
      <c r="V9751" t="s">
        <v>22</v>
      </c>
    </row>
    <row r="9752" spans="1:22">
      <c r="A9752" t="str">
        <f t="shared" si="1876"/>
        <v>11/11/2025</v>
      </c>
      <c r="B9752" t="str">
        <f t="shared" si="1872"/>
        <v>SAÍDA</v>
      </c>
      <c r="C9752" t="str">
        <f t="shared" si="1869"/>
        <v>PIX</v>
      </c>
      <c r="D9752" t="str">
        <f>"24961"</f>
        <v>24961</v>
      </c>
      <c r="E9752" t="str">
        <f t="shared" si="1870"/>
        <v>1</v>
      </c>
      <c r="F9752" t="str">
        <f t="shared" si="1871"/>
        <v>COM</v>
      </c>
      <c r="G9752" t="str">
        <f>"VICTOR HUGO SOARES DE PAULA (1021)"</f>
        <v>VICTOR HUGO SOARES DE PAULA (1021)</v>
      </c>
      <c r="H9752" t="s">
        <v>2779</v>
      </c>
      <c r="I9752" t="str">
        <f t="shared" si="1873"/>
        <v>11/11/2025</v>
      </c>
      <c r="J9752" t="str">
        <f t="shared" si="1875"/>
        <v>10/11/2025</v>
      </c>
      <c r="K9752">
        <v>45972</v>
      </c>
      <c r="N9752">
        <v>109</v>
      </c>
      <c r="O9752" t="s">
        <v>24</v>
      </c>
      <c r="Q9752">
        <v>85</v>
      </c>
      <c r="R9752" t="str">
        <f>"PENSE FARMA 48 (10233)"</f>
        <v>PENSE FARMA 48 (10233)</v>
      </c>
      <c r="S9752" t="s">
        <v>22</v>
      </c>
      <c r="T9752">
        <v>20835</v>
      </c>
      <c r="U9752">
        <v>25232</v>
      </c>
      <c r="V9752" t="s">
        <v>22</v>
      </c>
    </row>
    <row r="9753" spans="1:22">
      <c r="A9753" t="str">
        <f t="shared" si="1876"/>
        <v>11/11/2025</v>
      </c>
      <c r="B9753" t="str">
        <f t="shared" ref="B9753:B9762" si="1877">"SAÍDA"</f>
        <v>SAÍDA</v>
      </c>
      <c r="C9753" t="str">
        <f t="shared" si="1869"/>
        <v>PIX</v>
      </c>
      <c r="D9753" t="str">
        <f>"24968"</f>
        <v>24968</v>
      </c>
      <c r="E9753" t="str">
        <f t="shared" si="1870"/>
        <v>1</v>
      </c>
      <c r="F9753" t="str">
        <f t="shared" si="1871"/>
        <v>COM</v>
      </c>
      <c r="G9753" t="str">
        <f>"MATEUS VIEIRA DE SOUZA (1019)"</f>
        <v>MATEUS VIEIRA DE SOUZA (1019)</v>
      </c>
      <c r="H9753" t="str">
        <f>"Serv.Prest. 03/11/2025 a 09/11/2025 - PIX: CELULAR - CHAVE: (11) 97702-1316"</f>
        <v>Serv.Prest. 03/11/2025 a 09/11/2025 - PIX: CELULAR - CHAVE: (11) 97702-1316</v>
      </c>
      <c r="I9753" t="str">
        <f t="shared" si="1873"/>
        <v>11/11/2025</v>
      </c>
      <c r="J9753" t="str">
        <f t="shared" si="1875"/>
        <v>10/11/2025</v>
      </c>
      <c r="K9753" t="str">
        <f>("11/11/2025")</f>
        <v>11/11/2025</v>
      </c>
      <c r="L9753">
        <v>170</v>
      </c>
      <c r="M9753">
        <v>170</v>
      </c>
      <c r="N9753">
        <v>109</v>
      </c>
      <c r="O9753" t="str">
        <f>"PAGAMENTO DE ENTREGADORES"</f>
        <v>PAGAMENTO DE ENTREGADORES</v>
      </c>
      <c r="P9753">
        <v>170</v>
      </c>
      <c r="S9753" t="str">
        <f>"BANCO CORA (102)"</f>
        <v>BANCO CORA (102)</v>
      </c>
      <c r="T9753">
        <v>20836</v>
      </c>
      <c r="U9753">
        <v>25233</v>
      </c>
      <c r="V9753" t="s">
        <v>22</v>
      </c>
    </row>
    <row r="9754" spans="1:22">
      <c r="A9754" t="str">
        <f t="shared" si="1876"/>
        <v>11/11/2025</v>
      </c>
      <c r="B9754" t="str">
        <f t="shared" si="1877"/>
        <v>SAÍDA</v>
      </c>
      <c r="C9754" t="str">
        <f t="shared" si="1869"/>
        <v>PIX</v>
      </c>
      <c r="D9754" t="str">
        <f>"24968"</f>
        <v>24968</v>
      </c>
      <c r="E9754" t="str">
        <f t="shared" si="1870"/>
        <v>1</v>
      </c>
      <c r="F9754" t="str">
        <f t="shared" si="1871"/>
        <v>COM</v>
      </c>
      <c r="G9754" t="str">
        <f>"MATEUS VIEIRA DE SOUZA (1019)"</f>
        <v>MATEUS VIEIRA DE SOUZA (1019)</v>
      </c>
      <c r="H9754" t="s">
        <v>2780</v>
      </c>
      <c r="I9754" t="str">
        <f t="shared" si="1873"/>
        <v>11/11/2025</v>
      </c>
      <c r="J9754" t="str">
        <f t="shared" si="1875"/>
        <v>10/11/2025</v>
      </c>
      <c r="K9754">
        <v>45972</v>
      </c>
      <c r="N9754">
        <v>109</v>
      </c>
      <c r="O9754" t="s">
        <v>24</v>
      </c>
      <c r="Q9754">
        <v>170</v>
      </c>
      <c r="R9754" t="str">
        <f>"PENSE FARMA 47 (10232)"</f>
        <v>PENSE FARMA 47 (10232)</v>
      </c>
      <c r="S9754" t="s">
        <v>22</v>
      </c>
      <c r="T9754">
        <v>20836</v>
      </c>
      <c r="U9754">
        <v>25233</v>
      </c>
      <c r="V9754" t="s">
        <v>22</v>
      </c>
    </row>
    <row r="9755" spans="1:22">
      <c r="A9755" t="str">
        <f t="shared" si="1876"/>
        <v>11/11/2025</v>
      </c>
      <c r="B9755" t="str">
        <f t="shared" si="1877"/>
        <v>SAÍDA</v>
      </c>
      <c r="C9755" t="str">
        <f t="shared" si="1869"/>
        <v>PIX</v>
      </c>
      <c r="D9755" t="str">
        <f>"25230"</f>
        <v>25230</v>
      </c>
      <c r="E9755" t="str">
        <f t="shared" si="1870"/>
        <v>1</v>
      </c>
      <c r="F9755" t="str">
        <f t="shared" si="1871"/>
        <v>COM</v>
      </c>
      <c r="G9755" t="str">
        <f>"YAN BRENDO CORREIA VIEIRA (861)"</f>
        <v>YAN BRENDO CORREIA VIEIRA (861)</v>
      </c>
      <c r="H9755" t="str">
        <f>"Serv.Prest. 03/11/2025 a 09/11/2025 - PIX: CPF - CHAVE: 096.891.935-97"</f>
        <v>Serv.Prest. 03/11/2025 a 09/11/2025 - PIX: CPF - CHAVE: 096.891.935-97</v>
      </c>
      <c r="I9755" t="str">
        <f t="shared" si="1873"/>
        <v>11/11/2025</v>
      </c>
      <c r="J9755" t="str">
        <f>("11/11/2025")</f>
        <v>11/11/2025</v>
      </c>
      <c r="K9755" t="str">
        <f>("11/11/2025")</f>
        <v>11/11/2025</v>
      </c>
      <c r="L9755">
        <v>150</v>
      </c>
      <c r="M9755">
        <v>150</v>
      </c>
      <c r="N9755">
        <v>109</v>
      </c>
      <c r="O9755" t="str">
        <f>"PAGAMENTO DE ENTREGADORES"</f>
        <v>PAGAMENTO DE ENTREGADORES</v>
      </c>
      <c r="P9755">
        <v>150</v>
      </c>
      <c r="S9755" t="str">
        <f>"BANCO CORA (102)"</f>
        <v>BANCO CORA (102)</v>
      </c>
      <c r="T9755">
        <v>20837</v>
      </c>
      <c r="U9755">
        <v>25236</v>
      </c>
      <c r="V9755" t="s">
        <v>22</v>
      </c>
    </row>
    <row r="9756" spans="1:22">
      <c r="A9756" t="str">
        <f t="shared" si="1876"/>
        <v>11/11/2025</v>
      </c>
      <c r="B9756" t="str">
        <f t="shared" si="1877"/>
        <v>SAÍDA</v>
      </c>
      <c r="C9756" t="str">
        <f t="shared" si="1869"/>
        <v>PIX</v>
      </c>
      <c r="D9756" t="str">
        <f>"25230"</f>
        <v>25230</v>
      </c>
      <c r="E9756" t="str">
        <f t="shared" si="1870"/>
        <v>1</v>
      </c>
      <c r="F9756" t="str">
        <f t="shared" si="1871"/>
        <v>COM</v>
      </c>
      <c r="G9756" t="str">
        <f>"YAN BRENDO CORREIA VIEIRA (861)"</f>
        <v>YAN BRENDO CORREIA VIEIRA (861)</v>
      </c>
      <c r="H9756" t="s">
        <v>2781</v>
      </c>
      <c r="I9756" t="str">
        <f t="shared" si="1873"/>
        <v>11/11/2025</v>
      </c>
      <c r="J9756" t="str">
        <f>("11/11/2025")</f>
        <v>11/11/2025</v>
      </c>
      <c r="K9756">
        <v>45972</v>
      </c>
      <c r="N9756">
        <v>109</v>
      </c>
      <c r="O9756" t="s">
        <v>24</v>
      </c>
      <c r="Q9756">
        <v>150</v>
      </c>
      <c r="R9756" t="str">
        <f>"FARMÁCIA INDIANA LJ 200 (10155)"</f>
        <v>FARMÁCIA INDIANA LJ 200 (10155)</v>
      </c>
      <c r="S9756" t="s">
        <v>22</v>
      </c>
      <c r="T9756">
        <v>20837</v>
      </c>
      <c r="U9756">
        <v>25236</v>
      </c>
      <c r="V9756" t="s">
        <v>22</v>
      </c>
    </row>
    <row r="9757" spans="1:22">
      <c r="A9757" t="str">
        <f t="shared" si="1876"/>
        <v>11/11/2025</v>
      </c>
      <c r="B9757" t="str">
        <f t="shared" si="1877"/>
        <v>SAÍDA</v>
      </c>
      <c r="C9757" t="str">
        <f t="shared" si="1869"/>
        <v>PIX</v>
      </c>
      <c r="D9757" t="str">
        <f>"24738"</f>
        <v>24738</v>
      </c>
      <c r="E9757" t="str">
        <f t="shared" si="1870"/>
        <v>1</v>
      </c>
      <c r="F9757" t="str">
        <f t="shared" si="1871"/>
        <v>COM</v>
      </c>
      <c r="G9757" t="str">
        <f>"CARLOS ROBERTO BADARÓ MACHADO (78)"</f>
        <v>CARLOS ROBERTO BADARÓ MACHADO (78)</v>
      </c>
      <c r="H9757" t="str">
        <f>"Serv.Prest. 24/10/2025 a 02/11/2025 - PIX: CELULAR - CHAVE: (32) 99166-8238"</f>
        <v>Serv.Prest. 24/10/2025 a 02/11/2025 - PIX: CELULAR - CHAVE: (32) 99166-8238</v>
      </c>
      <c r="I9757" t="str">
        <f t="shared" si="1873"/>
        <v>11/11/2025</v>
      </c>
      <c r="J9757" t="str">
        <f>("04/11/2025")</f>
        <v>04/11/2025</v>
      </c>
      <c r="K9757" t="str">
        <f>("11/11/2025")</f>
        <v>11/11/2025</v>
      </c>
      <c r="L9757">
        <v>1000</v>
      </c>
      <c r="M9757">
        <v>1000</v>
      </c>
      <c r="N9757">
        <v>109</v>
      </c>
      <c r="O9757" t="str">
        <f>"PAGAMENTO DE ENTREGADORES"</f>
        <v>PAGAMENTO DE ENTREGADORES</v>
      </c>
      <c r="P9757">
        <v>1000</v>
      </c>
      <c r="S9757" t="str">
        <f>"BANCO CORA (102)"</f>
        <v>BANCO CORA (102)</v>
      </c>
      <c r="T9757">
        <v>20838</v>
      </c>
      <c r="U9757">
        <v>25237</v>
      </c>
      <c r="V9757" t="s">
        <v>22</v>
      </c>
    </row>
    <row r="9758" spans="1:22">
      <c r="A9758" t="str">
        <f t="shared" si="1876"/>
        <v>11/11/2025</v>
      </c>
      <c r="B9758" t="str">
        <f t="shared" si="1877"/>
        <v>SAÍDA</v>
      </c>
      <c r="C9758" t="str">
        <f t="shared" si="1869"/>
        <v>PIX</v>
      </c>
      <c r="D9758" t="str">
        <f>"24738"</f>
        <v>24738</v>
      </c>
      <c r="E9758" t="str">
        <f t="shared" si="1870"/>
        <v>1</v>
      </c>
      <c r="F9758" t="str">
        <f t="shared" si="1871"/>
        <v>COM</v>
      </c>
      <c r="G9758" t="str">
        <f>"CARLOS ROBERTO BADARÓ MACHADO (78)"</f>
        <v>CARLOS ROBERTO BADARÓ MACHADO (78)</v>
      </c>
      <c r="H9758" t="s">
        <v>2782</v>
      </c>
      <c r="I9758" t="str">
        <f t="shared" si="1873"/>
        <v>11/11/2025</v>
      </c>
      <c r="J9758" t="str">
        <f>("04/11/2025")</f>
        <v>04/11/2025</v>
      </c>
      <c r="K9758">
        <v>45972</v>
      </c>
      <c r="N9758">
        <v>109</v>
      </c>
      <c r="O9758" t="s">
        <v>24</v>
      </c>
      <c r="Q9758">
        <v>1000</v>
      </c>
      <c r="R9758" t="str">
        <f>"FARMÁCIA INDIANA LJ 109 (10047)"</f>
        <v>FARMÁCIA INDIANA LJ 109 (10047)</v>
      </c>
      <c r="S9758" t="s">
        <v>22</v>
      </c>
      <c r="T9758">
        <v>20838</v>
      </c>
      <c r="U9758">
        <v>25237</v>
      </c>
      <c r="V9758" t="s">
        <v>22</v>
      </c>
    </row>
    <row r="9759" spans="1:22">
      <c r="A9759" t="str">
        <f t="shared" si="1876"/>
        <v>11/11/2025</v>
      </c>
      <c r="B9759" t="str">
        <f t="shared" si="1877"/>
        <v>SAÍDA</v>
      </c>
      <c r="C9759" t="str">
        <f t="shared" si="1869"/>
        <v>PIX</v>
      </c>
      <c r="D9759" t="str">
        <f>"24996"</f>
        <v>24996</v>
      </c>
      <c r="E9759" t="str">
        <f t="shared" si="1870"/>
        <v>1</v>
      </c>
      <c r="F9759" t="str">
        <f t="shared" si="1871"/>
        <v>COM</v>
      </c>
      <c r="G9759" t="str">
        <f>"NATHAN PETRIN SOUSA DA SILVA (1049)"</f>
        <v>NATHAN PETRIN SOUSA DA SILVA (1049)</v>
      </c>
      <c r="H9759" t="str">
        <f>"Serv.Prest. 03/11/2025 a 09/11/2025 - PIX: CELULAR - CHAVE: (11) 98731-4534"</f>
        <v>Serv.Prest. 03/11/2025 a 09/11/2025 - PIX: CELULAR - CHAVE: (11) 98731-4534</v>
      </c>
      <c r="I9759" t="str">
        <f>("13/11/2025")</f>
        <v>13/11/2025</v>
      </c>
      <c r="J9759" t="str">
        <f>("10/11/2025")</f>
        <v>10/11/2025</v>
      </c>
      <c r="K9759" t="str">
        <f>("11/11/2025")</f>
        <v>11/11/2025</v>
      </c>
      <c r="L9759">
        <v>50</v>
      </c>
      <c r="M9759">
        <v>50</v>
      </c>
      <c r="N9759">
        <v>109</v>
      </c>
      <c r="O9759" t="str">
        <f>"PAGAMENTO DE ENTREGADORES"</f>
        <v>PAGAMENTO DE ENTREGADORES</v>
      </c>
      <c r="P9759">
        <v>50</v>
      </c>
      <c r="S9759" t="str">
        <f>"BANCO CORA (102)"</f>
        <v>BANCO CORA (102)</v>
      </c>
      <c r="T9759">
        <v>20870</v>
      </c>
      <c r="U9759">
        <v>25304</v>
      </c>
      <c r="V9759" t="s">
        <v>22</v>
      </c>
    </row>
    <row r="9760" spans="1:22">
      <c r="A9760" t="str">
        <f t="shared" si="1876"/>
        <v>11/11/2025</v>
      </c>
      <c r="B9760" t="str">
        <f t="shared" si="1877"/>
        <v>SAÍDA</v>
      </c>
      <c r="C9760" t="str">
        <f t="shared" si="1869"/>
        <v>PIX</v>
      </c>
      <c r="D9760" t="str">
        <f>"24996"</f>
        <v>24996</v>
      </c>
      <c r="E9760" t="str">
        <f t="shared" si="1870"/>
        <v>1</v>
      </c>
      <c r="F9760" t="str">
        <f t="shared" si="1871"/>
        <v>COM</v>
      </c>
      <c r="G9760" t="str">
        <f>"NATHAN PETRIN SOUSA DA SILVA (1049)"</f>
        <v>NATHAN PETRIN SOUSA DA SILVA (1049)</v>
      </c>
      <c r="H9760" t="s">
        <v>2755</v>
      </c>
      <c r="I9760" t="str">
        <f>("13/11/2025")</f>
        <v>13/11/2025</v>
      </c>
      <c r="J9760" t="str">
        <f>("10/11/2025")</f>
        <v>10/11/2025</v>
      </c>
      <c r="K9760">
        <v>45972</v>
      </c>
      <c r="N9760">
        <v>109</v>
      </c>
      <c r="O9760" t="s">
        <v>24</v>
      </c>
      <c r="Q9760">
        <v>50</v>
      </c>
      <c r="R9760" t="str">
        <f>"PENSE FARMA 26 (10196)"</f>
        <v>PENSE FARMA 26 (10196)</v>
      </c>
      <c r="S9760" t="s">
        <v>22</v>
      </c>
      <c r="T9760">
        <v>20870</v>
      </c>
      <c r="U9760">
        <v>25304</v>
      </c>
      <c r="V9760" t="s">
        <v>22</v>
      </c>
    </row>
    <row r="9761" spans="1:22">
      <c r="A9761" t="str">
        <f t="shared" si="1876"/>
        <v>11/11/2025</v>
      </c>
      <c r="B9761" t="str">
        <f t="shared" si="1877"/>
        <v>SAÍDA</v>
      </c>
      <c r="C9761" t="str">
        <f t="shared" si="1869"/>
        <v>PIX</v>
      </c>
      <c r="D9761" t="str">
        <f>"25660"</f>
        <v>25660</v>
      </c>
      <c r="E9761" t="str">
        <f t="shared" si="1870"/>
        <v>1</v>
      </c>
      <c r="F9761" t="str">
        <f t="shared" si="1871"/>
        <v>COM</v>
      </c>
      <c r="G9761" t="str">
        <f>"EDICARLOS OLIVEIRA BORGES (1068)"</f>
        <v>EDICARLOS OLIVEIRA BORGES (1068)</v>
      </c>
      <c r="H9761" t="str">
        <f>"Serv.Prest. 10/11/2025 a 16/11/2025 - PIX: CELULAR - CHAVE: (11) 93933-2088"</f>
        <v>Serv.Prest. 10/11/2025 a 16/11/2025 - PIX: CELULAR - CHAVE: (11) 93933-2088</v>
      </c>
      <c r="I9761" t="str">
        <f>("18/11/2025")</f>
        <v>18/11/2025</v>
      </c>
      <c r="J9761" t="str">
        <f>("18/11/2025")</f>
        <v>18/11/2025</v>
      </c>
      <c r="K9761" t="str">
        <f>("11/11/2025")</f>
        <v>11/11/2025</v>
      </c>
      <c r="L9761">
        <v>170</v>
      </c>
      <c r="M9761">
        <v>170</v>
      </c>
      <c r="N9761">
        <v>134</v>
      </c>
      <c r="O9761" t="str">
        <f>"DIARIA DE MOTOBOY"</f>
        <v>DIARIA DE MOTOBOY</v>
      </c>
      <c r="P9761">
        <v>170</v>
      </c>
      <c r="S9761" t="str">
        <f>"BANCO CORA (102)"</f>
        <v>BANCO CORA (102)</v>
      </c>
      <c r="T9761">
        <v>21216</v>
      </c>
      <c r="U9761">
        <v>25664</v>
      </c>
      <c r="V9761" t="s">
        <v>22</v>
      </c>
    </row>
    <row r="9762" spans="1:22">
      <c r="A9762" t="str">
        <f t="shared" si="1876"/>
        <v>11/11/2025</v>
      </c>
      <c r="B9762" t="str">
        <f t="shared" si="1877"/>
        <v>SAÍDA</v>
      </c>
      <c r="C9762" t="str">
        <f t="shared" si="1869"/>
        <v>PIX</v>
      </c>
      <c r="D9762" t="str">
        <f>"25660"</f>
        <v>25660</v>
      </c>
      <c r="E9762" t="str">
        <f t="shared" si="1870"/>
        <v>1</v>
      </c>
      <c r="F9762" t="str">
        <f t="shared" si="1871"/>
        <v>COM</v>
      </c>
      <c r="G9762" t="str">
        <f>"EDICARLOS OLIVEIRA BORGES (1068)"</f>
        <v>EDICARLOS OLIVEIRA BORGES (1068)</v>
      </c>
      <c r="H9762" t="s">
        <v>2765</v>
      </c>
      <c r="I9762" t="str">
        <f>("18/11/2025")</f>
        <v>18/11/2025</v>
      </c>
      <c r="J9762" t="str">
        <f>("18/11/2025")</f>
        <v>18/11/2025</v>
      </c>
      <c r="K9762">
        <v>45972</v>
      </c>
      <c r="N9762">
        <v>134</v>
      </c>
      <c r="O9762" t="s">
        <v>41</v>
      </c>
      <c r="Q9762">
        <v>170</v>
      </c>
      <c r="R9762" t="str">
        <f>"PENSE FARMA 22 (10198)"</f>
        <v>PENSE FARMA 22 (10198)</v>
      </c>
      <c r="S9762" t="s">
        <v>22</v>
      </c>
      <c r="T9762">
        <v>21216</v>
      </c>
      <c r="U9762">
        <v>25664</v>
      </c>
      <c r="V9762" t="s">
        <v>22</v>
      </c>
    </row>
    <row r="9763" spans="1:22">
      <c r="A9763" t="str">
        <f t="shared" si="1876"/>
        <v>11/11/2025</v>
      </c>
      <c r="B9763" t="str">
        <f>"ENTRADA"</f>
        <v>ENTRADA</v>
      </c>
      <c r="C9763" t="str">
        <f>""</f>
        <v/>
      </c>
      <c r="D9763" t="str">
        <f>""</f>
        <v/>
      </c>
      <c r="F9763" t="str">
        <f t="shared" si="1871"/>
        <v>COM</v>
      </c>
      <c r="G9763" t="str">
        <f>"PAGMENOS - LJ 657 (10136)"</f>
        <v>PAGMENOS - LJ 657 (10136)</v>
      </c>
      <c r="H9763" t="str">
        <f>"Serv.Prest. 20/10/2025 a 26/10/2025 - RPS: 1434 - NFSe: 3558 - PAGMENOS - LJ 657"</f>
        <v>Serv.Prest. 20/10/2025 a 26/10/2025 - RPS: 1434 - NFSe: 3558 - PAGMENOS - LJ 657</v>
      </c>
      <c r="I9763" t="str">
        <f>("11/11/2025")</f>
        <v>11/11/2025</v>
      </c>
      <c r="J9763" t="str">
        <f>("11/11/2025")</f>
        <v>11/11/2025</v>
      </c>
      <c r="K9763" t="str">
        <f>("11/11/2025")</f>
        <v>11/11/2025</v>
      </c>
      <c r="L9763">
        <v>1651.87</v>
      </c>
      <c r="M9763">
        <v>1651.87</v>
      </c>
      <c r="N9763">
        <v>303</v>
      </c>
      <c r="O9763" t="str">
        <f>"RECEITAS COM ENTREGAS"</f>
        <v>RECEITAS COM ENTREGAS</v>
      </c>
      <c r="P9763">
        <v>1651.87</v>
      </c>
      <c r="S9763" t="str">
        <f>"RECEITAS COM ENTREGAS (303)"</f>
        <v>RECEITAS COM ENTREGAS (303)</v>
      </c>
      <c r="T9763">
        <v>22798</v>
      </c>
      <c r="U9763">
        <v>0</v>
      </c>
      <c r="V9763" t="s">
        <v>70</v>
      </c>
    </row>
    <row r="9764" spans="1:22">
      <c r="A9764" t="str">
        <f t="shared" si="1876"/>
        <v>11/11/2025</v>
      </c>
      <c r="B9764" t="str">
        <f>"ENTRADA"</f>
        <v>ENTRADA</v>
      </c>
      <c r="C9764" t="str">
        <f>"NFSE"</f>
        <v>NFSE</v>
      </c>
      <c r="D9764" t="str">
        <f>"3557"</f>
        <v>3557</v>
      </c>
      <c r="E9764" t="str">
        <f t="shared" ref="E9764:E9775" si="1878">"1"</f>
        <v>1</v>
      </c>
      <c r="F9764" t="str">
        <f t="shared" si="1871"/>
        <v>COM</v>
      </c>
      <c r="G9764" t="str">
        <f>"PAGMENOS - LJ 608 (10135)"</f>
        <v>PAGMENOS - LJ 608 (10135)</v>
      </c>
      <c r="H9764" t="str">
        <f>"Serv.Prest. 20/10/2025 a 26/10/2025 - RPS: 1433 - NFSe: 3557"</f>
        <v>Serv.Prest. 20/10/2025 a 26/10/2025 - RPS: 1433 - NFSe: 3557</v>
      </c>
      <c r="I9764" t="str">
        <f>("06/11/2025")</f>
        <v>06/11/2025</v>
      </c>
      <c r="J9764" t="str">
        <f>("27/10/2025")</f>
        <v>27/10/2025</v>
      </c>
      <c r="K9764" t="str">
        <f>("11/11/2025")</f>
        <v>11/11/2025</v>
      </c>
      <c r="L9764">
        <v>1982.24</v>
      </c>
      <c r="M9764">
        <v>1982.24</v>
      </c>
      <c r="N9764">
        <v>303</v>
      </c>
      <c r="O9764" t="str">
        <f>"RECEITAS COM ENTREGAS"</f>
        <v>RECEITAS COM ENTREGAS</v>
      </c>
      <c r="P9764">
        <v>1982.24</v>
      </c>
      <c r="S9764" t="str">
        <f>"RECEITAS COM ENTREGAS (303)"</f>
        <v>RECEITAS COM ENTREGAS (303)</v>
      </c>
      <c r="T9764">
        <v>22799</v>
      </c>
      <c r="U9764">
        <v>24337</v>
      </c>
      <c r="V9764" t="s">
        <v>22</v>
      </c>
    </row>
    <row r="9765" spans="1:22">
      <c r="A9765" t="str">
        <f t="shared" si="1876"/>
        <v>11/11/2025</v>
      </c>
      <c r="B9765" t="str">
        <f>"ENTRADA"</f>
        <v>ENTRADA</v>
      </c>
      <c r="C9765" t="str">
        <f>"NFSE"</f>
        <v>NFSE</v>
      </c>
      <c r="D9765" t="str">
        <f>"3557"</f>
        <v>3557</v>
      </c>
      <c r="E9765" t="str">
        <f t="shared" si="1878"/>
        <v>1</v>
      </c>
      <c r="F9765" t="str">
        <f t="shared" si="1871"/>
        <v>COM</v>
      </c>
      <c r="G9765" t="str">
        <f>"PAGMENOS - LJ 608 (10135)"</f>
        <v>PAGMENOS - LJ 608 (10135)</v>
      </c>
      <c r="H9765" t="s">
        <v>2783</v>
      </c>
      <c r="I9765" t="str">
        <f>("06/11/2025")</f>
        <v>06/11/2025</v>
      </c>
      <c r="J9765" t="str">
        <f>("27/10/2025")</f>
        <v>27/10/2025</v>
      </c>
      <c r="K9765">
        <v>45972</v>
      </c>
      <c r="N9765">
        <v>303</v>
      </c>
      <c r="O9765" t="s">
        <v>69</v>
      </c>
      <c r="Q9765">
        <v>1982.24</v>
      </c>
      <c r="R9765" t="str">
        <f>"PAGMENOS - LJ 608 (10135)"</f>
        <v>PAGMENOS - LJ 608 (10135)</v>
      </c>
      <c r="S9765" t="s">
        <v>70</v>
      </c>
      <c r="T9765">
        <v>22799</v>
      </c>
      <c r="U9765">
        <v>24337</v>
      </c>
      <c r="V9765" t="s">
        <v>22</v>
      </c>
    </row>
    <row r="9766" spans="1:22">
      <c r="A9766" t="str">
        <f t="shared" si="1876"/>
        <v>11/11/2025</v>
      </c>
      <c r="B9766" t="str">
        <f>"ENTRADA"</f>
        <v>ENTRADA</v>
      </c>
      <c r="C9766" t="str">
        <f>"NFSE"</f>
        <v>NFSE</v>
      </c>
      <c r="D9766" t="str">
        <f>"3691"</f>
        <v>3691</v>
      </c>
      <c r="E9766" t="str">
        <f t="shared" si="1878"/>
        <v>1</v>
      </c>
      <c r="F9766" t="str">
        <f t="shared" si="1871"/>
        <v>COM</v>
      </c>
      <c r="G9766" t="str">
        <f>"PAGMENOS - LJ 657 (10136)"</f>
        <v>PAGMENOS - LJ 657 (10136)</v>
      </c>
      <c r="H9766" t="str">
        <f>"Serv.Prest. 03/11/2025 a 09/11/2025 - RPS: 1567 - NFSe: 3691"</f>
        <v>Serv.Prest. 03/11/2025 a 09/11/2025 - RPS: 1567 - NFSe: 3691</v>
      </c>
      <c r="I9766" t="str">
        <f>("21/11/2025")</f>
        <v>21/11/2025</v>
      </c>
      <c r="J9766" t="str">
        <f>("10/11/2025")</f>
        <v>10/11/2025</v>
      </c>
      <c r="K9766" t="str">
        <f>("11/11/2025")</f>
        <v>11/11/2025</v>
      </c>
      <c r="L9766">
        <v>1651.87</v>
      </c>
      <c r="M9766">
        <v>1651.87</v>
      </c>
      <c r="N9766">
        <v>303</v>
      </c>
      <c r="O9766" t="str">
        <f>"RECEITAS COM ENTREGAS"</f>
        <v>RECEITAS COM ENTREGAS</v>
      </c>
      <c r="P9766">
        <v>1651.87</v>
      </c>
      <c r="S9766" t="str">
        <f>"RECEITAS COM ENTREGAS (303)"</f>
        <v>RECEITAS COM ENTREGAS (303)</v>
      </c>
      <c r="T9766">
        <v>22800</v>
      </c>
      <c r="U9766">
        <v>25087</v>
      </c>
      <c r="V9766" t="s">
        <v>22</v>
      </c>
    </row>
    <row r="9767" spans="1:22">
      <c r="A9767" t="str">
        <f t="shared" si="1876"/>
        <v>11/11/2025</v>
      </c>
      <c r="B9767" t="str">
        <f>"ENTRADA"</f>
        <v>ENTRADA</v>
      </c>
      <c r="C9767" t="str">
        <f>"NFSE"</f>
        <v>NFSE</v>
      </c>
      <c r="D9767" t="str">
        <f>"3691"</f>
        <v>3691</v>
      </c>
      <c r="E9767" t="str">
        <f t="shared" si="1878"/>
        <v>1</v>
      </c>
      <c r="F9767" t="str">
        <f t="shared" si="1871"/>
        <v>COM</v>
      </c>
      <c r="G9767" t="str">
        <f>"PAGMENOS - LJ 657 (10136)"</f>
        <v>PAGMENOS - LJ 657 (10136)</v>
      </c>
      <c r="H9767" t="s">
        <v>2784</v>
      </c>
      <c r="I9767" t="str">
        <f>("21/11/2025")</f>
        <v>21/11/2025</v>
      </c>
      <c r="J9767" t="str">
        <f>("10/11/2025")</f>
        <v>10/11/2025</v>
      </c>
      <c r="K9767">
        <v>45972</v>
      </c>
      <c r="N9767">
        <v>303</v>
      </c>
      <c r="O9767" t="s">
        <v>69</v>
      </c>
      <c r="Q9767">
        <v>1651.87</v>
      </c>
      <c r="R9767" t="str">
        <f>"PAGMENOS - LJ 657 (10136)"</f>
        <v>PAGMENOS - LJ 657 (10136)</v>
      </c>
      <c r="S9767" t="s">
        <v>70</v>
      </c>
      <c r="T9767">
        <v>22800</v>
      </c>
      <c r="U9767">
        <v>25087</v>
      </c>
      <c r="V9767" t="s">
        <v>22</v>
      </c>
    </row>
    <row r="9768" spans="1:22">
      <c r="A9768" t="str">
        <f t="shared" ref="A9768:A9799" si="1879">("12/11/2025")</f>
        <v>12/11/2025</v>
      </c>
      <c r="B9768" t="str">
        <f t="shared" ref="B9768:B9775" si="1880">"SAÍDA"</f>
        <v>SAÍDA</v>
      </c>
      <c r="C9768" t="str">
        <f t="shared" ref="C9768:C9775" si="1881">"PIX"</f>
        <v>PIX</v>
      </c>
      <c r="D9768" t="str">
        <f t="shared" ref="D9768:D9773" si="1882">"25261"</f>
        <v>25261</v>
      </c>
      <c r="E9768" t="str">
        <f t="shared" si="1878"/>
        <v>1</v>
      </c>
      <c r="F9768" t="str">
        <f t="shared" si="1871"/>
        <v>COM</v>
      </c>
      <c r="G9768" t="str">
        <f t="shared" ref="G9768:G9773" si="1883">"ALESSANDRO DA CONCEICAO BRASILEIRO (1047)"</f>
        <v>ALESSANDRO DA CONCEICAO BRASILEIRO (1047)</v>
      </c>
      <c r="H9768" t="str">
        <f>"Serv.Prest. 03/11/2025 a 09/11/2025 - PIX: CELULAR - CHAVE: (34) 99768-4372"</f>
        <v>Serv.Prest. 03/11/2025 a 09/11/2025 - PIX: CELULAR - CHAVE: (34) 99768-4372</v>
      </c>
      <c r="I9768" t="str">
        <f t="shared" ref="I9768:I9775" si="1884">("13/11/2025")</f>
        <v>13/11/2025</v>
      </c>
      <c r="J9768" t="str">
        <f>("12/11/2025")</f>
        <v>12/11/2025</v>
      </c>
      <c r="K9768" t="str">
        <f>("12/11/2025")</f>
        <v>12/11/2025</v>
      </c>
      <c r="L9768">
        <v>150</v>
      </c>
      <c r="M9768">
        <v>150</v>
      </c>
      <c r="N9768">
        <v>134</v>
      </c>
      <c r="O9768" t="str">
        <f>"DIARIA DE MOTOBOY"</f>
        <v>DIARIA DE MOTOBOY</v>
      </c>
      <c r="P9768">
        <v>150</v>
      </c>
      <c r="S9768" t="str">
        <f>"BANCO CORA (102)"</f>
        <v>BANCO CORA (102)</v>
      </c>
      <c r="T9768">
        <v>20820</v>
      </c>
      <c r="U9768">
        <v>25287</v>
      </c>
      <c r="V9768" t="s">
        <v>22</v>
      </c>
    </row>
    <row r="9769" spans="1:22">
      <c r="A9769" t="str">
        <f t="shared" si="1879"/>
        <v>12/11/2025</v>
      </c>
      <c r="B9769" t="str">
        <f t="shared" si="1880"/>
        <v>SAÍDA</v>
      </c>
      <c r="C9769" t="str">
        <f t="shared" si="1881"/>
        <v>PIX</v>
      </c>
      <c r="D9769" t="str">
        <f t="shared" si="1882"/>
        <v>25261</v>
      </c>
      <c r="E9769" t="str">
        <f t="shared" si="1878"/>
        <v>1</v>
      </c>
      <c r="F9769" t="str">
        <f t="shared" si="1871"/>
        <v>COM</v>
      </c>
      <c r="G9769" t="str">
        <f t="shared" si="1883"/>
        <v>ALESSANDRO DA CONCEICAO BRASILEIRO (1047)</v>
      </c>
      <c r="H9769" t="s">
        <v>2507</v>
      </c>
      <c r="I9769" t="str">
        <f t="shared" si="1884"/>
        <v>13/11/2025</v>
      </c>
      <c r="J9769" t="str">
        <f>("12/11/2025")</f>
        <v>12/11/2025</v>
      </c>
      <c r="K9769">
        <v>45973</v>
      </c>
      <c r="N9769">
        <v>134</v>
      </c>
      <c r="O9769" t="s">
        <v>41</v>
      </c>
      <c r="Q9769">
        <v>12.16</v>
      </c>
      <c r="R9769" t="str">
        <f>"DROGALIDER 42 (10247)"</f>
        <v>DROGALIDER 42 (10247)</v>
      </c>
      <c r="S9769" t="s">
        <v>22</v>
      </c>
      <c r="T9769">
        <v>20820</v>
      </c>
      <c r="U9769">
        <v>25287</v>
      </c>
      <c r="V9769" t="s">
        <v>22</v>
      </c>
    </row>
    <row r="9770" spans="1:22">
      <c r="A9770" t="str">
        <f t="shared" si="1879"/>
        <v>12/11/2025</v>
      </c>
      <c r="B9770" t="str">
        <f t="shared" si="1880"/>
        <v>SAÍDA</v>
      </c>
      <c r="C9770" t="str">
        <f t="shared" si="1881"/>
        <v>PIX</v>
      </c>
      <c r="D9770" t="str">
        <f t="shared" si="1882"/>
        <v>25261</v>
      </c>
      <c r="E9770" t="str">
        <f t="shared" si="1878"/>
        <v>1</v>
      </c>
      <c r="F9770" t="str">
        <f t="shared" si="1871"/>
        <v>COM</v>
      </c>
      <c r="G9770" t="str">
        <f t="shared" si="1883"/>
        <v>ALESSANDRO DA CONCEICAO BRASILEIRO (1047)</v>
      </c>
      <c r="H9770" t="s">
        <v>2507</v>
      </c>
      <c r="I9770" t="str">
        <f t="shared" si="1884"/>
        <v>13/11/2025</v>
      </c>
      <c r="J9770" t="str">
        <f>("12/11/2025")</f>
        <v>12/11/2025</v>
      </c>
      <c r="K9770">
        <v>45973</v>
      </c>
      <c r="N9770">
        <v>134</v>
      </c>
      <c r="O9770" t="s">
        <v>41</v>
      </c>
      <c r="Q9770">
        <v>34.46</v>
      </c>
      <c r="R9770" t="str">
        <f>"DROGALIDER 55 (10249)"</f>
        <v>DROGALIDER 55 (10249)</v>
      </c>
      <c r="S9770" t="s">
        <v>22</v>
      </c>
      <c r="T9770">
        <v>20820</v>
      </c>
      <c r="U9770">
        <v>25287</v>
      </c>
      <c r="V9770" t="s">
        <v>22</v>
      </c>
    </row>
    <row r="9771" spans="1:22">
      <c r="A9771" t="str">
        <f t="shared" si="1879"/>
        <v>12/11/2025</v>
      </c>
      <c r="B9771" t="str">
        <f t="shared" si="1880"/>
        <v>SAÍDA</v>
      </c>
      <c r="C9771" t="str">
        <f t="shared" si="1881"/>
        <v>PIX</v>
      </c>
      <c r="D9771" t="str">
        <f t="shared" si="1882"/>
        <v>25261</v>
      </c>
      <c r="E9771" t="str">
        <f t="shared" si="1878"/>
        <v>1</v>
      </c>
      <c r="F9771" t="str">
        <f t="shared" si="1871"/>
        <v>COM</v>
      </c>
      <c r="G9771" t="str">
        <f t="shared" si="1883"/>
        <v>ALESSANDRO DA CONCEICAO BRASILEIRO (1047)</v>
      </c>
      <c r="H9771" t="s">
        <v>2507</v>
      </c>
      <c r="I9771" t="str">
        <f t="shared" si="1884"/>
        <v>13/11/2025</v>
      </c>
      <c r="J9771" t="str">
        <f>("12/11/2025")</f>
        <v>12/11/2025</v>
      </c>
      <c r="K9771">
        <v>45973</v>
      </c>
      <c r="N9771">
        <v>134</v>
      </c>
      <c r="O9771" t="s">
        <v>41</v>
      </c>
      <c r="Q9771">
        <v>28.38</v>
      </c>
      <c r="R9771" t="str">
        <f>"DROGALIDER 67 (10252)"</f>
        <v>DROGALIDER 67 (10252)</v>
      </c>
      <c r="S9771" t="s">
        <v>22</v>
      </c>
      <c r="T9771">
        <v>20820</v>
      </c>
      <c r="U9771">
        <v>25287</v>
      </c>
      <c r="V9771" t="s">
        <v>22</v>
      </c>
    </row>
    <row r="9772" spans="1:22">
      <c r="A9772" t="str">
        <f t="shared" si="1879"/>
        <v>12/11/2025</v>
      </c>
      <c r="B9772" t="str">
        <f t="shared" si="1880"/>
        <v>SAÍDA</v>
      </c>
      <c r="C9772" t="str">
        <f t="shared" si="1881"/>
        <v>PIX</v>
      </c>
      <c r="D9772" t="str">
        <f t="shared" si="1882"/>
        <v>25261</v>
      </c>
      <c r="E9772" t="str">
        <f t="shared" si="1878"/>
        <v>1</v>
      </c>
      <c r="F9772" t="str">
        <f t="shared" si="1871"/>
        <v>COM</v>
      </c>
      <c r="G9772" t="str">
        <f t="shared" si="1883"/>
        <v>ALESSANDRO DA CONCEICAO BRASILEIRO (1047)</v>
      </c>
      <c r="H9772" t="s">
        <v>2507</v>
      </c>
      <c r="I9772" t="str">
        <f t="shared" si="1884"/>
        <v>13/11/2025</v>
      </c>
      <c r="J9772" t="str">
        <f>("12/11/2025")</f>
        <v>12/11/2025</v>
      </c>
      <c r="K9772">
        <v>45973</v>
      </c>
      <c r="N9772">
        <v>134</v>
      </c>
      <c r="O9772" t="s">
        <v>41</v>
      </c>
      <c r="Q9772">
        <v>14.19</v>
      </c>
      <c r="R9772" t="str">
        <f>"DROGALIDER 68 (10253)"</f>
        <v>DROGALIDER 68 (10253)</v>
      </c>
      <c r="S9772" t="s">
        <v>22</v>
      </c>
      <c r="T9772">
        <v>20820</v>
      </c>
      <c r="U9772">
        <v>25287</v>
      </c>
      <c r="V9772" t="s">
        <v>22</v>
      </c>
    </row>
    <row r="9773" spans="1:22">
      <c r="A9773" t="str">
        <f t="shared" si="1879"/>
        <v>12/11/2025</v>
      </c>
      <c r="B9773" t="str">
        <f t="shared" si="1880"/>
        <v>SAÍDA</v>
      </c>
      <c r="C9773" t="str">
        <f t="shared" si="1881"/>
        <v>PIX</v>
      </c>
      <c r="D9773" t="str">
        <f t="shared" si="1882"/>
        <v>25261</v>
      </c>
      <c r="E9773" t="str">
        <f t="shared" si="1878"/>
        <v>1</v>
      </c>
      <c r="F9773" t="str">
        <f t="shared" si="1871"/>
        <v>COM</v>
      </c>
      <c r="G9773" t="str">
        <f t="shared" si="1883"/>
        <v>ALESSANDRO DA CONCEICAO BRASILEIRO (1047)</v>
      </c>
      <c r="H9773" t="s">
        <v>2507</v>
      </c>
      <c r="I9773" t="str">
        <f t="shared" si="1884"/>
        <v>13/11/2025</v>
      </c>
      <c r="J9773" t="str">
        <f>("12/11/2025")</f>
        <v>12/11/2025</v>
      </c>
      <c r="K9773">
        <v>45973</v>
      </c>
      <c r="N9773">
        <v>134</v>
      </c>
      <c r="O9773" t="s">
        <v>41</v>
      </c>
      <c r="Q9773">
        <v>60.81</v>
      </c>
      <c r="R9773" t="str">
        <f>"DROGALIDER 31 (10256)"</f>
        <v>DROGALIDER 31 (10256)</v>
      </c>
      <c r="S9773" t="s">
        <v>22</v>
      </c>
      <c r="T9773">
        <v>20820</v>
      </c>
      <c r="U9773">
        <v>25287</v>
      </c>
      <c r="V9773" t="s">
        <v>22</v>
      </c>
    </row>
    <row r="9774" spans="1:22">
      <c r="A9774" t="str">
        <f t="shared" si="1879"/>
        <v>12/11/2025</v>
      </c>
      <c r="B9774" t="str">
        <f t="shared" si="1880"/>
        <v>SAÍDA</v>
      </c>
      <c r="C9774" t="str">
        <f t="shared" si="1881"/>
        <v>PIX</v>
      </c>
      <c r="D9774" t="str">
        <f>"24794"</f>
        <v>24794</v>
      </c>
      <c r="E9774" t="str">
        <f t="shared" si="1878"/>
        <v>1</v>
      </c>
      <c r="F9774" t="str">
        <f t="shared" si="1871"/>
        <v>COM</v>
      </c>
      <c r="G9774" t="str">
        <f>"MARCOS RODRIGUES PENA (64)"</f>
        <v>MARCOS RODRIGUES PENA (64)</v>
      </c>
      <c r="H9774" t="str">
        <f>"Serv.Prest. 24/10/2025 a 02/11/2025 - PIX: CELULAR - CHAVE: (33) 99194-2339"</f>
        <v>Serv.Prest. 24/10/2025 a 02/11/2025 - PIX: CELULAR - CHAVE: (33) 99194-2339</v>
      </c>
      <c r="I9774" t="str">
        <f t="shared" si="1884"/>
        <v>13/11/2025</v>
      </c>
      <c r="J9774" t="str">
        <f>("04/11/2025")</f>
        <v>04/11/2025</v>
      </c>
      <c r="K9774" t="str">
        <f>("12/11/2025")</f>
        <v>12/11/2025</v>
      </c>
      <c r="L9774">
        <v>20</v>
      </c>
      <c r="M9774">
        <v>20</v>
      </c>
      <c r="N9774">
        <v>109</v>
      </c>
      <c r="O9774" t="str">
        <f>"PAGAMENTO DE ENTREGADORES"</f>
        <v>PAGAMENTO DE ENTREGADORES</v>
      </c>
      <c r="P9774">
        <v>20</v>
      </c>
      <c r="S9774" t="str">
        <f>"CAIXA MOVIMENTAÇÃO OPERACIONAL (132)"</f>
        <v>CAIXA MOVIMENTAÇÃO OPERACIONAL (132)</v>
      </c>
      <c r="T9774">
        <v>20839</v>
      </c>
      <c r="U9774">
        <v>25291</v>
      </c>
      <c r="V9774" t="s">
        <v>48</v>
      </c>
    </row>
    <row r="9775" spans="1:22">
      <c r="A9775" t="str">
        <f t="shared" si="1879"/>
        <v>12/11/2025</v>
      </c>
      <c r="B9775" t="str">
        <f t="shared" si="1880"/>
        <v>SAÍDA</v>
      </c>
      <c r="C9775" t="str">
        <f t="shared" si="1881"/>
        <v>PIX</v>
      </c>
      <c r="D9775" t="str">
        <f>"24794"</f>
        <v>24794</v>
      </c>
      <c r="E9775" t="str">
        <f t="shared" si="1878"/>
        <v>1</v>
      </c>
      <c r="F9775" t="str">
        <f t="shared" si="1871"/>
        <v>COM</v>
      </c>
      <c r="G9775" t="str">
        <f>"MARCOS RODRIGUES PENA (64)"</f>
        <v>MARCOS RODRIGUES PENA (64)</v>
      </c>
      <c r="H9775" t="s">
        <v>2785</v>
      </c>
      <c r="I9775" t="str">
        <f t="shared" si="1884"/>
        <v>13/11/2025</v>
      </c>
      <c r="J9775" t="str">
        <f>("04/11/2025")</f>
        <v>04/11/2025</v>
      </c>
      <c r="K9775">
        <v>45973</v>
      </c>
      <c r="N9775">
        <v>109</v>
      </c>
      <c r="O9775" t="s">
        <v>24</v>
      </c>
      <c r="Q9775">
        <v>20</v>
      </c>
      <c r="R9775" t="str">
        <f>"FARMÁCIA INDIANA LJ 62 (10028)"</f>
        <v>FARMÁCIA INDIANA LJ 62 (10028)</v>
      </c>
      <c r="S9775" t="s">
        <v>48</v>
      </c>
      <c r="T9775">
        <v>20839</v>
      </c>
      <c r="U9775">
        <v>25291</v>
      </c>
      <c r="V9775" t="s">
        <v>48</v>
      </c>
    </row>
    <row r="9776" spans="1:22">
      <c r="A9776" t="str">
        <f t="shared" si="1879"/>
        <v>12/11/2025</v>
      </c>
      <c r="B9776" t="str">
        <f>"ENTRADA"</f>
        <v>ENTRADA</v>
      </c>
      <c r="C9776" t="str">
        <f>"DINHEIRO"</f>
        <v>DINHEIRO</v>
      </c>
      <c r="D9776" t="str">
        <f>"12"</f>
        <v>12</v>
      </c>
      <c r="E9776" t="str">
        <f>"35"</f>
        <v>35</v>
      </c>
      <c r="F9776" t="str">
        <f t="shared" si="1871"/>
        <v>COM</v>
      </c>
      <c r="G9776" t="str">
        <f>"MARCOS RODRIGUES PENA (64)"</f>
        <v>MARCOS RODRIGUES PENA (64)</v>
      </c>
      <c r="H9776" t="str">
        <f>"DESCONTO COTA COOPERADO"</f>
        <v>DESCONTO COTA COOPERADO</v>
      </c>
      <c r="I9776" t="str">
        <f>("16/11/2025")</f>
        <v>16/11/2025</v>
      </c>
      <c r="J9776" t="str">
        <f>("16/01/2025")</f>
        <v>16/01/2025</v>
      </c>
      <c r="K9776" t="str">
        <f>("12/11/2025")</f>
        <v>12/11/2025</v>
      </c>
      <c r="L9776">
        <v>20</v>
      </c>
      <c r="M9776">
        <v>20</v>
      </c>
      <c r="N9776">
        <v>106</v>
      </c>
      <c r="O9776" t="str">
        <f>"ENTRADA DE CAPITAL"</f>
        <v>ENTRADA DE CAPITAL</v>
      </c>
      <c r="P9776">
        <v>20</v>
      </c>
      <c r="S9776" t="str">
        <f>"ENTRADA DE CAPITAL (106)"</f>
        <v>ENTRADA DE CAPITAL (106)</v>
      </c>
      <c r="T9776">
        <v>20840</v>
      </c>
      <c r="U9776">
        <v>7104</v>
      </c>
      <c r="V9776" t="s">
        <v>48</v>
      </c>
    </row>
    <row r="9777" spans="1:22">
      <c r="A9777" t="str">
        <f t="shared" si="1879"/>
        <v>12/11/2025</v>
      </c>
      <c r="B9777" t="str">
        <f>"ENTRADA"</f>
        <v>ENTRADA</v>
      </c>
      <c r="C9777" t="str">
        <f>"DINHEIRO"</f>
        <v>DINHEIRO</v>
      </c>
      <c r="D9777" t="str">
        <f>"12"</f>
        <v>12</v>
      </c>
      <c r="E9777" t="str">
        <f>"35"</f>
        <v>35</v>
      </c>
      <c r="F9777" t="str">
        <f t="shared" si="1871"/>
        <v>COM</v>
      </c>
      <c r="G9777" t="str">
        <f>"MARCOS RODRIGUES PENA (64)"</f>
        <v>MARCOS RODRIGUES PENA (64)</v>
      </c>
      <c r="H9777" t="s">
        <v>309</v>
      </c>
      <c r="I9777" t="str">
        <f>("16/11/2025")</f>
        <v>16/11/2025</v>
      </c>
      <c r="J9777" t="str">
        <f>("16/01/2025")</f>
        <v>16/01/2025</v>
      </c>
      <c r="K9777">
        <v>45973</v>
      </c>
      <c r="N9777">
        <v>106</v>
      </c>
      <c r="O9777" t="s">
        <v>51</v>
      </c>
      <c r="Q9777">
        <v>20</v>
      </c>
      <c r="R9777" t="str">
        <f>"MARCOS RODRIGUES PENA (64)"</f>
        <v>MARCOS RODRIGUES PENA (64)</v>
      </c>
      <c r="S9777" t="s">
        <v>52</v>
      </c>
      <c r="T9777">
        <v>20840</v>
      </c>
      <c r="U9777">
        <v>7104</v>
      </c>
      <c r="V9777" t="s">
        <v>48</v>
      </c>
    </row>
    <row r="9778" spans="1:22">
      <c r="A9778" t="str">
        <f t="shared" si="1879"/>
        <v>12/11/2025</v>
      </c>
      <c r="B9778" t="str">
        <f>"SAÍDA"</f>
        <v>SAÍDA</v>
      </c>
      <c r="C9778" t="str">
        <f>"PIX"</f>
        <v>PIX</v>
      </c>
      <c r="D9778" t="str">
        <f>"25088"</f>
        <v>25088</v>
      </c>
      <c r="E9778" t="str">
        <f>"1"</f>
        <v>1</v>
      </c>
      <c r="F9778" t="str">
        <f t="shared" si="1871"/>
        <v>COM</v>
      </c>
      <c r="G9778" t="str">
        <f>"WILIANA RODRIGUES E RODRIGUES (398)"</f>
        <v>WILIANA RODRIGUES E RODRIGUES (398)</v>
      </c>
      <c r="H9778" t="str">
        <f>"Serv.Prest. 03/11/2025 a 09/11/2025 - PIX: CPF - CHAVE: 016.203.336-27"</f>
        <v>Serv.Prest. 03/11/2025 a 09/11/2025 - PIX: CPF - CHAVE: 016.203.336-27</v>
      </c>
      <c r="I9778" t="str">
        <f>("13/11/2025")</f>
        <v>13/11/2025</v>
      </c>
      <c r="J9778" t="str">
        <f>("10/11/2025")</f>
        <v>10/11/2025</v>
      </c>
      <c r="K9778" t="str">
        <f>("12/11/2025")</f>
        <v>12/11/2025</v>
      </c>
      <c r="L9778">
        <v>20</v>
      </c>
      <c r="M9778">
        <v>20</v>
      </c>
      <c r="N9778">
        <v>109</v>
      </c>
      <c r="O9778" t="str">
        <f>"PAGAMENTO DE ENTREGADORES"</f>
        <v>PAGAMENTO DE ENTREGADORES</v>
      </c>
      <c r="P9778">
        <v>20</v>
      </c>
      <c r="S9778" t="str">
        <f>"CAIXA MOVIMENTAÇÃO OPERACIONAL (132)"</f>
        <v>CAIXA MOVIMENTAÇÃO OPERACIONAL (132)</v>
      </c>
      <c r="T9778">
        <v>20841</v>
      </c>
      <c r="U9778">
        <v>25292</v>
      </c>
      <c r="V9778" t="s">
        <v>48</v>
      </c>
    </row>
    <row r="9779" spans="1:22">
      <c r="A9779" t="str">
        <f t="shared" si="1879"/>
        <v>12/11/2025</v>
      </c>
      <c r="B9779" t="str">
        <f>"SAÍDA"</f>
        <v>SAÍDA</v>
      </c>
      <c r="C9779" t="str">
        <f>"PIX"</f>
        <v>PIX</v>
      </c>
      <c r="D9779" t="str">
        <f>"25088"</f>
        <v>25088</v>
      </c>
      <c r="E9779" t="str">
        <f>"1"</f>
        <v>1</v>
      </c>
      <c r="F9779" t="str">
        <f t="shared" si="1871"/>
        <v>COM</v>
      </c>
      <c r="G9779" t="str">
        <f>"WILIANA RODRIGUES E RODRIGUES (398)"</f>
        <v>WILIANA RODRIGUES E RODRIGUES (398)</v>
      </c>
      <c r="H9779" t="s">
        <v>2776</v>
      </c>
      <c r="I9779" t="str">
        <f>("13/11/2025")</f>
        <v>13/11/2025</v>
      </c>
      <c r="J9779" t="str">
        <f>("10/11/2025")</f>
        <v>10/11/2025</v>
      </c>
      <c r="K9779">
        <v>45973</v>
      </c>
      <c r="N9779">
        <v>109</v>
      </c>
      <c r="O9779" t="s">
        <v>24</v>
      </c>
      <c r="Q9779">
        <v>20</v>
      </c>
      <c r="R9779" t="str">
        <f>"PAGMENOS - LJ 657 (10136)"</f>
        <v>PAGMENOS - LJ 657 (10136)</v>
      </c>
      <c r="S9779" t="s">
        <v>48</v>
      </c>
      <c r="T9779">
        <v>20841</v>
      </c>
      <c r="U9779">
        <v>25292</v>
      </c>
      <c r="V9779" t="s">
        <v>48</v>
      </c>
    </row>
    <row r="9780" spans="1:22">
      <c r="A9780" t="str">
        <f t="shared" si="1879"/>
        <v>12/11/2025</v>
      </c>
      <c r="B9780" t="str">
        <f>"ENTRADA"</f>
        <v>ENTRADA</v>
      </c>
      <c r="C9780" t="str">
        <f>"DINHEIRO"</f>
        <v>DINHEIRO</v>
      </c>
      <c r="D9780" t="str">
        <f>"05"</f>
        <v>05</v>
      </c>
      <c r="E9780" t="str">
        <f>"35"</f>
        <v>35</v>
      </c>
      <c r="F9780" t="str">
        <f t="shared" si="1871"/>
        <v>COM</v>
      </c>
      <c r="G9780" t="str">
        <f>"WILIANA RODRIGUES E RODRIGUES (398)"</f>
        <v>WILIANA RODRIGUES E RODRIGUES (398)</v>
      </c>
      <c r="H9780" t="str">
        <f>"DESCONTO COTA COOPERADO"</f>
        <v>DESCONTO COTA COOPERADO</v>
      </c>
      <c r="I9780" t="str">
        <f>("16/11/2025")</f>
        <v>16/11/2025</v>
      </c>
      <c r="J9780" t="str">
        <f>("16/01/2025")</f>
        <v>16/01/2025</v>
      </c>
      <c r="K9780" t="str">
        <f>("12/11/2025")</f>
        <v>12/11/2025</v>
      </c>
      <c r="L9780">
        <v>20</v>
      </c>
      <c r="M9780">
        <v>20</v>
      </c>
      <c r="N9780">
        <v>106</v>
      </c>
      <c r="O9780" t="str">
        <f>"ENTRADA DE CAPITAL"</f>
        <v>ENTRADA DE CAPITAL</v>
      </c>
      <c r="P9780">
        <v>20</v>
      </c>
      <c r="S9780" t="str">
        <f>"ENTRADA DE CAPITAL (106)"</f>
        <v>ENTRADA DE CAPITAL (106)</v>
      </c>
      <c r="T9780">
        <v>20842</v>
      </c>
      <c r="U9780">
        <v>7845</v>
      </c>
      <c r="V9780" t="s">
        <v>48</v>
      </c>
    </row>
    <row r="9781" spans="1:22">
      <c r="A9781" t="str">
        <f t="shared" si="1879"/>
        <v>12/11/2025</v>
      </c>
      <c r="B9781" t="str">
        <f>"ENTRADA"</f>
        <v>ENTRADA</v>
      </c>
      <c r="C9781" t="str">
        <f>"DINHEIRO"</f>
        <v>DINHEIRO</v>
      </c>
      <c r="D9781" t="str">
        <f>"05"</f>
        <v>05</v>
      </c>
      <c r="E9781" t="str">
        <f>"35"</f>
        <v>35</v>
      </c>
      <c r="F9781" t="str">
        <f t="shared" si="1871"/>
        <v>COM</v>
      </c>
      <c r="G9781" t="str">
        <f>"WILIANA RODRIGUES E RODRIGUES (398)"</f>
        <v>WILIANA RODRIGUES E RODRIGUES (398)</v>
      </c>
      <c r="H9781" t="s">
        <v>309</v>
      </c>
      <c r="I9781" t="str">
        <f>("16/11/2025")</f>
        <v>16/11/2025</v>
      </c>
      <c r="J9781" t="str">
        <f>("16/01/2025")</f>
        <v>16/01/2025</v>
      </c>
      <c r="K9781">
        <v>45973</v>
      </c>
      <c r="N9781">
        <v>106</v>
      </c>
      <c r="O9781" t="s">
        <v>51</v>
      </c>
      <c r="Q9781">
        <v>20</v>
      </c>
      <c r="R9781" t="str">
        <f>"WILIANA RODRIGUES E RODRIGUES (398)"</f>
        <v>WILIANA RODRIGUES E RODRIGUES (398)</v>
      </c>
      <c r="S9781" t="s">
        <v>52</v>
      </c>
      <c r="T9781">
        <v>20842</v>
      </c>
      <c r="U9781">
        <v>7845</v>
      </c>
      <c r="V9781" t="s">
        <v>48</v>
      </c>
    </row>
    <row r="9782" spans="1:22">
      <c r="A9782" t="str">
        <f t="shared" si="1879"/>
        <v>12/11/2025</v>
      </c>
      <c r="B9782" t="str">
        <f>"ENTRADA"</f>
        <v>ENTRADA</v>
      </c>
      <c r="C9782" t="str">
        <f>"DINHEIRO"</f>
        <v>DINHEIRO</v>
      </c>
      <c r="D9782" t="str">
        <f>"781"</f>
        <v>781</v>
      </c>
      <c r="E9782" t="str">
        <f>"7"</f>
        <v>7</v>
      </c>
      <c r="F9782" t="str">
        <f t="shared" si="1871"/>
        <v>COM</v>
      </c>
      <c r="G9782" t="str">
        <f>"MAYKON LOPES DE MENEZES (781)"</f>
        <v>MAYKON LOPES DE MENEZES (781)</v>
      </c>
      <c r="H9782" t="str">
        <f>"COTA COOPERATIVA"</f>
        <v>COTA COOPERATIVA</v>
      </c>
      <c r="I9782" t="str">
        <f>("08/11/2025")</f>
        <v>08/11/2025</v>
      </c>
      <c r="J9782" t="str">
        <f>("28/04/2025")</f>
        <v>28/04/2025</v>
      </c>
      <c r="K9782" t="str">
        <f>("12/11/2025")</f>
        <v>12/11/2025</v>
      </c>
      <c r="L9782">
        <v>20</v>
      </c>
      <c r="M9782">
        <v>20</v>
      </c>
      <c r="N9782">
        <v>106</v>
      </c>
      <c r="O9782" t="str">
        <f>"ENTRADA DE CAPITAL"</f>
        <v>ENTRADA DE CAPITAL</v>
      </c>
      <c r="P9782">
        <v>20</v>
      </c>
      <c r="S9782" t="str">
        <f>"ENTRADA DE CAPITAL (106)"</f>
        <v>ENTRADA DE CAPITAL (106)</v>
      </c>
      <c r="T9782">
        <v>20844</v>
      </c>
      <c r="U9782">
        <v>14304</v>
      </c>
      <c r="V9782" t="s">
        <v>48</v>
      </c>
    </row>
    <row r="9783" spans="1:22">
      <c r="A9783" t="str">
        <f t="shared" si="1879"/>
        <v>12/11/2025</v>
      </c>
      <c r="B9783" t="str">
        <f>"ENTRADA"</f>
        <v>ENTRADA</v>
      </c>
      <c r="C9783" t="str">
        <f>"DINHEIRO"</f>
        <v>DINHEIRO</v>
      </c>
      <c r="D9783" t="str">
        <f>"781"</f>
        <v>781</v>
      </c>
      <c r="E9783" t="str">
        <f>"7"</f>
        <v>7</v>
      </c>
      <c r="F9783" t="str">
        <f t="shared" ref="F9783:F9846" si="1885">"COM"</f>
        <v>COM</v>
      </c>
      <c r="G9783" t="str">
        <f>"MAYKON LOPES DE MENEZES (781)"</f>
        <v>MAYKON LOPES DE MENEZES (781)</v>
      </c>
      <c r="H9783" t="s">
        <v>50</v>
      </c>
      <c r="I9783" t="str">
        <f>("08/11/2025")</f>
        <v>08/11/2025</v>
      </c>
      <c r="J9783" t="str">
        <f>("28/04/2025")</f>
        <v>28/04/2025</v>
      </c>
      <c r="K9783">
        <v>45973</v>
      </c>
      <c r="N9783">
        <v>106</v>
      </c>
      <c r="O9783" t="s">
        <v>51</v>
      </c>
      <c r="Q9783">
        <v>20</v>
      </c>
      <c r="R9783" t="str">
        <f>"MAYKON LOPES DE MENEZES (781)"</f>
        <v>MAYKON LOPES DE MENEZES (781)</v>
      </c>
      <c r="S9783" t="s">
        <v>52</v>
      </c>
      <c r="T9783">
        <v>20844</v>
      </c>
      <c r="U9783">
        <v>14304</v>
      </c>
      <c r="V9783" t="s">
        <v>48</v>
      </c>
    </row>
    <row r="9784" spans="1:22">
      <c r="A9784" t="str">
        <f t="shared" si="1879"/>
        <v>12/11/2025</v>
      </c>
      <c r="B9784" t="str">
        <f>"SAÍDA"</f>
        <v>SAÍDA</v>
      </c>
      <c r="C9784" t="str">
        <f>"PIX"</f>
        <v>PIX</v>
      </c>
      <c r="D9784" t="str">
        <f>"25009"</f>
        <v>25009</v>
      </c>
      <c r="E9784" t="str">
        <f>"1"</f>
        <v>1</v>
      </c>
      <c r="F9784" t="str">
        <f t="shared" si="1885"/>
        <v>COM</v>
      </c>
      <c r="G9784" t="str">
        <f>"MAYKON LOPES DE MENEZES (781)"</f>
        <v>MAYKON LOPES DE MENEZES (781)</v>
      </c>
      <c r="H9784" t="str">
        <f>"Serv.Prest. 03/11/2025 a 09/11/2025 - PIX: CPF - CHAVE: 012.600.851-55"</f>
        <v>Serv.Prest. 03/11/2025 a 09/11/2025 - PIX: CPF - CHAVE: 012.600.851-55</v>
      </c>
      <c r="I9784" t="str">
        <f>("13/11/2025")</f>
        <v>13/11/2025</v>
      </c>
      <c r="J9784" t="str">
        <f>("10/11/2025")</f>
        <v>10/11/2025</v>
      </c>
      <c r="K9784" t="str">
        <f>("12/11/2025")</f>
        <v>12/11/2025</v>
      </c>
      <c r="L9784">
        <v>20</v>
      </c>
      <c r="M9784">
        <v>20</v>
      </c>
      <c r="N9784">
        <v>109</v>
      </c>
      <c r="O9784" t="str">
        <f>"PAGAMENTO DE ENTREGADORES"</f>
        <v>PAGAMENTO DE ENTREGADORES</v>
      </c>
      <c r="P9784">
        <v>20</v>
      </c>
      <c r="S9784" t="str">
        <f>"CAIXA MOVIMENTAÇÃO OPERACIONAL (132)"</f>
        <v>CAIXA MOVIMENTAÇÃO OPERACIONAL (132)</v>
      </c>
      <c r="T9784">
        <v>20845</v>
      </c>
      <c r="U9784">
        <v>25294</v>
      </c>
      <c r="V9784" t="s">
        <v>48</v>
      </c>
    </row>
    <row r="9785" spans="1:22">
      <c r="A9785" t="str">
        <f t="shared" si="1879"/>
        <v>12/11/2025</v>
      </c>
      <c r="B9785" t="str">
        <f>"SAÍDA"</f>
        <v>SAÍDA</v>
      </c>
      <c r="C9785" t="str">
        <f>"PIX"</f>
        <v>PIX</v>
      </c>
      <c r="D9785" t="str">
        <f>"25009"</f>
        <v>25009</v>
      </c>
      <c r="E9785" t="str">
        <f>"1"</f>
        <v>1</v>
      </c>
      <c r="F9785" t="str">
        <f t="shared" si="1885"/>
        <v>COM</v>
      </c>
      <c r="G9785" t="str">
        <f>"MAYKON LOPES DE MENEZES (781)"</f>
        <v>MAYKON LOPES DE MENEZES (781)</v>
      </c>
      <c r="H9785" t="s">
        <v>2786</v>
      </c>
      <c r="I9785" t="str">
        <f>("13/11/2025")</f>
        <v>13/11/2025</v>
      </c>
      <c r="J9785" t="str">
        <f>("10/11/2025")</f>
        <v>10/11/2025</v>
      </c>
      <c r="K9785">
        <v>45973</v>
      </c>
      <c r="N9785">
        <v>109</v>
      </c>
      <c r="O9785" t="s">
        <v>24</v>
      </c>
      <c r="Q9785">
        <v>20</v>
      </c>
      <c r="R9785" t="str">
        <f>"BRASIL FARMA (10173)"</f>
        <v>BRASIL FARMA (10173)</v>
      </c>
      <c r="S9785" t="s">
        <v>48</v>
      </c>
      <c r="T9785">
        <v>20845</v>
      </c>
      <c r="U9785">
        <v>25294</v>
      </c>
      <c r="V9785" t="s">
        <v>48</v>
      </c>
    </row>
    <row r="9786" spans="1:22">
      <c r="A9786" t="str">
        <f t="shared" si="1879"/>
        <v>12/11/2025</v>
      </c>
      <c r="B9786" t="str">
        <f>"ENTRADA"</f>
        <v>ENTRADA</v>
      </c>
      <c r="C9786" t="str">
        <f>"DINHEIRO"</f>
        <v>DINHEIRO</v>
      </c>
      <c r="D9786" t="str">
        <f>"828"</f>
        <v>828</v>
      </c>
      <c r="E9786" t="str">
        <f>"6"</f>
        <v>6</v>
      </c>
      <c r="F9786" t="str">
        <f t="shared" si="1885"/>
        <v>COM</v>
      </c>
      <c r="G9786" t="str">
        <f>"DEIVID FERNANDES COSTA (828)"</f>
        <v>DEIVID FERNANDES COSTA (828)</v>
      </c>
      <c r="H9786" t="str">
        <f>"COTA COOPERATIVA"</f>
        <v>COTA COOPERATIVA</v>
      </c>
      <c r="I9786" t="str">
        <f>("12/11/2025")</f>
        <v>12/11/2025</v>
      </c>
      <c r="J9786" t="str">
        <f>("27/05/2025")</f>
        <v>27/05/2025</v>
      </c>
      <c r="K9786" t="str">
        <f>("12/11/2025")</f>
        <v>12/11/2025</v>
      </c>
      <c r="L9786">
        <v>20</v>
      </c>
      <c r="M9786">
        <v>20</v>
      </c>
      <c r="N9786">
        <v>106</v>
      </c>
      <c r="O9786" t="str">
        <f>"ENTRADA DE CAPITAL"</f>
        <v>ENTRADA DE CAPITAL</v>
      </c>
      <c r="P9786">
        <v>20</v>
      </c>
      <c r="S9786" t="str">
        <f>"ENTRADA DE CAPITAL (106)"</f>
        <v>ENTRADA DE CAPITAL (106)</v>
      </c>
      <c r="T9786">
        <v>20847</v>
      </c>
      <c r="U9786">
        <v>17036</v>
      </c>
      <c r="V9786" t="s">
        <v>48</v>
      </c>
    </row>
    <row r="9787" spans="1:22">
      <c r="A9787" t="str">
        <f t="shared" si="1879"/>
        <v>12/11/2025</v>
      </c>
      <c r="B9787" t="str">
        <f>"ENTRADA"</f>
        <v>ENTRADA</v>
      </c>
      <c r="C9787" t="str">
        <f>"DINHEIRO"</f>
        <v>DINHEIRO</v>
      </c>
      <c r="D9787" t="str">
        <f>"828"</f>
        <v>828</v>
      </c>
      <c r="E9787" t="str">
        <f>"6"</f>
        <v>6</v>
      </c>
      <c r="F9787" t="str">
        <f t="shared" si="1885"/>
        <v>COM</v>
      </c>
      <c r="G9787" t="str">
        <f>"DEIVID FERNANDES COSTA (828)"</f>
        <v>DEIVID FERNANDES COSTA (828)</v>
      </c>
      <c r="H9787" t="s">
        <v>50</v>
      </c>
      <c r="I9787" t="str">
        <f>("12/11/2025")</f>
        <v>12/11/2025</v>
      </c>
      <c r="J9787" t="str">
        <f>("27/05/2025")</f>
        <v>27/05/2025</v>
      </c>
      <c r="K9787">
        <v>45973</v>
      </c>
      <c r="N9787">
        <v>106</v>
      </c>
      <c r="O9787" t="s">
        <v>51</v>
      </c>
      <c r="Q9787">
        <v>20</v>
      </c>
      <c r="R9787" t="str">
        <f>"DEIVID FERNANDES COSTA (828)"</f>
        <v>DEIVID FERNANDES COSTA (828)</v>
      </c>
      <c r="S9787" t="s">
        <v>52</v>
      </c>
      <c r="T9787">
        <v>20847</v>
      </c>
      <c r="U9787">
        <v>17036</v>
      </c>
      <c r="V9787" t="s">
        <v>48</v>
      </c>
    </row>
    <row r="9788" spans="1:22">
      <c r="A9788" t="str">
        <f t="shared" si="1879"/>
        <v>12/11/2025</v>
      </c>
      <c r="B9788" t="str">
        <f>"SAÍDA"</f>
        <v>SAÍDA</v>
      </c>
      <c r="C9788" t="str">
        <f>"PIX"</f>
        <v>PIX</v>
      </c>
      <c r="D9788" t="str">
        <f>"25008"</f>
        <v>25008</v>
      </c>
      <c r="E9788" t="str">
        <f>"1"</f>
        <v>1</v>
      </c>
      <c r="F9788" t="str">
        <f t="shared" si="1885"/>
        <v>COM</v>
      </c>
      <c r="G9788" t="str">
        <f>"DEIVID FERNANDES COSTA (828)"</f>
        <v>DEIVID FERNANDES COSTA (828)</v>
      </c>
      <c r="H9788" t="str">
        <f>"Serv.Prest. 03/11/2025 a 09/11/2025 - PIX: CELULAR - CHAVE: (62) 99550-3226"</f>
        <v>Serv.Prest. 03/11/2025 a 09/11/2025 - PIX: CELULAR - CHAVE: (62) 99550-3226</v>
      </c>
      <c r="I9788" t="str">
        <f>("13/11/2025")</f>
        <v>13/11/2025</v>
      </c>
      <c r="J9788" t="str">
        <f>("10/11/2025")</f>
        <v>10/11/2025</v>
      </c>
      <c r="K9788" t="str">
        <f>("12/11/2025")</f>
        <v>12/11/2025</v>
      </c>
      <c r="L9788">
        <v>20</v>
      </c>
      <c r="M9788">
        <v>20</v>
      </c>
      <c r="N9788">
        <v>109</v>
      </c>
      <c r="O9788" t="str">
        <f>"PAGAMENTO DE ENTREGADORES"</f>
        <v>PAGAMENTO DE ENTREGADORES</v>
      </c>
      <c r="P9788">
        <v>20</v>
      </c>
      <c r="S9788" t="str">
        <f>"CAIXA MOVIMENTAÇÃO OPERACIONAL (132)"</f>
        <v>CAIXA MOVIMENTAÇÃO OPERACIONAL (132)</v>
      </c>
      <c r="T9788">
        <v>20848</v>
      </c>
      <c r="U9788">
        <v>25296</v>
      </c>
      <c r="V9788" t="s">
        <v>48</v>
      </c>
    </row>
    <row r="9789" spans="1:22">
      <c r="A9789" t="str">
        <f t="shared" si="1879"/>
        <v>12/11/2025</v>
      </c>
      <c r="B9789" t="str">
        <f>"SAÍDA"</f>
        <v>SAÍDA</v>
      </c>
      <c r="C9789" t="str">
        <f>"PIX"</f>
        <v>PIX</v>
      </c>
      <c r="D9789" t="str">
        <f>"25008"</f>
        <v>25008</v>
      </c>
      <c r="E9789" t="str">
        <f>"1"</f>
        <v>1</v>
      </c>
      <c r="F9789" t="str">
        <f t="shared" si="1885"/>
        <v>COM</v>
      </c>
      <c r="G9789" t="str">
        <f>"DEIVID FERNANDES COSTA (828)"</f>
        <v>DEIVID FERNANDES COSTA (828)</v>
      </c>
      <c r="H9789" t="s">
        <v>2762</v>
      </c>
      <c r="I9789" t="str">
        <f>("13/11/2025")</f>
        <v>13/11/2025</v>
      </c>
      <c r="J9789" t="str">
        <f>("10/11/2025")</f>
        <v>10/11/2025</v>
      </c>
      <c r="K9789">
        <v>45973</v>
      </c>
      <c r="N9789">
        <v>109</v>
      </c>
      <c r="O9789" t="s">
        <v>24</v>
      </c>
      <c r="Q9789">
        <v>20</v>
      </c>
      <c r="R9789" t="str">
        <f>"BRASIL FARMA (10173)"</f>
        <v>BRASIL FARMA (10173)</v>
      </c>
      <c r="S9789" t="s">
        <v>48</v>
      </c>
      <c r="T9789">
        <v>20848</v>
      </c>
      <c r="U9789">
        <v>25296</v>
      </c>
      <c r="V9789" t="s">
        <v>48</v>
      </c>
    </row>
    <row r="9790" spans="1:22">
      <c r="A9790" t="str">
        <f t="shared" si="1879"/>
        <v>12/11/2025</v>
      </c>
      <c r="B9790" t="str">
        <f>"ENTRADA"</f>
        <v>ENTRADA</v>
      </c>
      <c r="C9790" t="str">
        <f>"DINHEIRO"</f>
        <v>DINHEIRO</v>
      </c>
      <c r="D9790" t="str">
        <f>"790"</f>
        <v>790</v>
      </c>
      <c r="E9790" t="str">
        <f>"7"</f>
        <v>7</v>
      </c>
      <c r="F9790" t="str">
        <f t="shared" si="1885"/>
        <v>COM</v>
      </c>
      <c r="G9790" t="str">
        <f>"ALLAN SILVA DAMACENA (790)"</f>
        <v>ALLAN SILVA DAMACENA (790)</v>
      </c>
      <c r="H9790" t="str">
        <f>"COTA COOPERATIVA"</f>
        <v>COTA COOPERATIVA</v>
      </c>
      <c r="I9790" t="str">
        <f>("08/11/2025")</f>
        <v>08/11/2025</v>
      </c>
      <c r="J9790" t="str">
        <f>("01/04/2025")</f>
        <v>01/04/2025</v>
      </c>
      <c r="K9790" t="str">
        <f>("12/11/2025")</f>
        <v>12/11/2025</v>
      </c>
      <c r="L9790">
        <v>20</v>
      </c>
      <c r="M9790">
        <v>20</v>
      </c>
      <c r="N9790">
        <v>106</v>
      </c>
      <c r="O9790" t="str">
        <f>"ENTRADA DE CAPITAL"</f>
        <v>ENTRADA DE CAPITAL</v>
      </c>
      <c r="P9790">
        <v>20</v>
      </c>
      <c r="S9790" t="str">
        <f>"ENTRADA DE CAPITAL (106)"</f>
        <v>ENTRADA DE CAPITAL (106)</v>
      </c>
      <c r="T9790">
        <v>20855</v>
      </c>
      <c r="U9790">
        <v>13692</v>
      </c>
      <c r="V9790" t="s">
        <v>48</v>
      </c>
    </row>
    <row r="9791" spans="1:22">
      <c r="A9791" t="str">
        <f t="shared" si="1879"/>
        <v>12/11/2025</v>
      </c>
      <c r="B9791" t="str">
        <f>"ENTRADA"</f>
        <v>ENTRADA</v>
      </c>
      <c r="C9791" t="str">
        <f>"DINHEIRO"</f>
        <v>DINHEIRO</v>
      </c>
      <c r="D9791" t="str">
        <f>"790"</f>
        <v>790</v>
      </c>
      <c r="E9791" t="str">
        <f>"7"</f>
        <v>7</v>
      </c>
      <c r="F9791" t="str">
        <f t="shared" si="1885"/>
        <v>COM</v>
      </c>
      <c r="G9791" t="str">
        <f>"ALLAN SILVA DAMACENA (790)"</f>
        <v>ALLAN SILVA DAMACENA (790)</v>
      </c>
      <c r="H9791" t="s">
        <v>50</v>
      </c>
      <c r="I9791" t="str">
        <f>("08/11/2025")</f>
        <v>08/11/2025</v>
      </c>
      <c r="J9791" t="str">
        <f>("01/04/2025")</f>
        <v>01/04/2025</v>
      </c>
      <c r="K9791">
        <v>45973</v>
      </c>
      <c r="N9791">
        <v>106</v>
      </c>
      <c r="O9791" t="s">
        <v>51</v>
      </c>
      <c r="Q9791">
        <v>20</v>
      </c>
      <c r="R9791" t="str">
        <f>"ALLAN SILVA DAMACENA (790)"</f>
        <v>ALLAN SILVA DAMACENA (790)</v>
      </c>
      <c r="S9791" t="s">
        <v>52</v>
      </c>
      <c r="T9791">
        <v>20855</v>
      </c>
      <c r="U9791">
        <v>13692</v>
      </c>
      <c r="V9791" t="s">
        <v>48</v>
      </c>
    </row>
    <row r="9792" spans="1:22">
      <c r="A9792" t="str">
        <f t="shared" si="1879"/>
        <v>12/11/2025</v>
      </c>
      <c r="B9792" t="str">
        <f>"SAÍDA"</f>
        <v>SAÍDA</v>
      </c>
      <c r="C9792" t="str">
        <f>"PIX"</f>
        <v>PIX</v>
      </c>
      <c r="D9792" t="str">
        <f>"25038"</f>
        <v>25038</v>
      </c>
      <c r="E9792" t="str">
        <f>"1"</f>
        <v>1</v>
      </c>
      <c r="F9792" t="str">
        <f t="shared" si="1885"/>
        <v>COM</v>
      </c>
      <c r="G9792" t="str">
        <f>"ALLAN SILVA DAMACENA (790)"</f>
        <v>ALLAN SILVA DAMACENA (790)</v>
      </c>
      <c r="H9792" t="str">
        <f>"Serv.Prest. 03/11/2025 a 09/11/2025 - PIX: CELULAR - CHAVE: (19) 98944-4977"</f>
        <v>Serv.Prest. 03/11/2025 a 09/11/2025 - PIX: CELULAR - CHAVE: (19) 98944-4977</v>
      </c>
      <c r="I9792" t="str">
        <f>("13/11/2025")</f>
        <v>13/11/2025</v>
      </c>
      <c r="J9792" t="str">
        <f>("10/11/2025")</f>
        <v>10/11/2025</v>
      </c>
      <c r="K9792" t="str">
        <f>("12/11/2025")</f>
        <v>12/11/2025</v>
      </c>
      <c r="L9792">
        <v>20</v>
      </c>
      <c r="M9792">
        <v>20</v>
      </c>
      <c r="N9792">
        <v>109</v>
      </c>
      <c r="O9792" t="str">
        <f>"PAGAMENTO DE ENTREGADORES"</f>
        <v>PAGAMENTO DE ENTREGADORES</v>
      </c>
      <c r="P9792">
        <v>20</v>
      </c>
      <c r="S9792" t="str">
        <f>"CAIXA MOVIMENTAÇÃO OPERACIONAL (132)"</f>
        <v>CAIXA MOVIMENTAÇÃO OPERACIONAL (132)</v>
      </c>
      <c r="T9792">
        <v>20856</v>
      </c>
      <c r="U9792">
        <v>25298</v>
      </c>
      <c r="V9792" t="s">
        <v>48</v>
      </c>
    </row>
    <row r="9793" spans="1:22">
      <c r="A9793" t="str">
        <f t="shared" si="1879"/>
        <v>12/11/2025</v>
      </c>
      <c r="B9793" t="str">
        <f>"SAÍDA"</f>
        <v>SAÍDA</v>
      </c>
      <c r="C9793" t="str">
        <f>"PIX"</f>
        <v>PIX</v>
      </c>
      <c r="D9793" t="str">
        <f>"25038"</f>
        <v>25038</v>
      </c>
      <c r="E9793" t="str">
        <f>"1"</f>
        <v>1</v>
      </c>
      <c r="F9793" t="str">
        <f t="shared" si="1885"/>
        <v>COM</v>
      </c>
      <c r="G9793" t="str">
        <f>"ALLAN SILVA DAMACENA (790)"</f>
        <v>ALLAN SILVA DAMACENA (790)</v>
      </c>
      <c r="H9793" t="s">
        <v>2751</v>
      </c>
      <c r="I9793" t="str">
        <f>("13/11/2025")</f>
        <v>13/11/2025</v>
      </c>
      <c r="J9793" t="str">
        <f>("10/11/2025")</f>
        <v>10/11/2025</v>
      </c>
      <c r="K9793">
        <v>45973</v>
      </c>
      <c r="N9793">
        <v>109</v>
      </c>
      <c r="O9793" t="s">
        <v>24</v>
      </c>
      <c r="Q9793">
        <v>20</v>
      </c>
      <c r="R9793" t="str">
        <f>"DROGARIA MORENO LTDA (10171)"</f>
        <v>DROGARIA MORENO LTDA (10171)</v>
      </c>
      <c r="S9793" t="s">
        <v>48</v>
      </c>
      <c r="T9793">
        <v>20856</v>
      </c>
      <c r="U9793">
        <v>25298</v>
      </c>
      <c r="V9793" t="s">
        <v>48</v>
      </c>
    </row>
    <row r="9794" spans="1:22">
      <c r="A9794" t="str">
        <f t="shared" si="1879"/>
        <v>12/11/2025</v>
      </c>
      <c r="B9794" t="str">
        <f>"ENTRADA"</f>
        <v>ENTRADA</v>
      </c>
      <c r="C9794" t="str">
        <f>"DINHEIRO"</f>
        <v>DINHEIRO</v>
      </c>
      <c r="D9794" t="str">
        <f>"893"</f>
        <v>893</v>
      </c>
      <c r="E9794" t="str">
        <f>"2"</f>
        <v>2</v>
      </c>
      <c r="F9794" t="str">
        <f t="shared" si="1885"/>
        <v>COM</v>
      </c>
      <c r="G9794" t="str">
        <f>"DIEGO DAYSON FERNANDES VIEIRA (893)"</f>
        <v>DIEGO DAYSON FERNANDES VIEIRA (893)</v>
      </c>
      <c r="H9794" t="str">
        <f>"COTA COOPERATIVA"</f>
        <v>COTA COOPERATIVA</v>
      </c>
      <c r="I9794" t="str">
        <f>("10/11/2025")</f>
        <v>10/11/2025</v>
      </c>
      <c r="J9794" t="str">
        <f>("11/09/2025")</f>
        <v>11/09/2025</v>
      </c>
      <c r="K9794" t="str">
        <f>("12/11/2025")</f>
        <v>12/11/2025</v>
      </c>
      <c r="L9794">
        <v>20</v>
      </c>
      <c r="M9794">
        <v>20</v>
      </c>
      <c r="N9794">
        <v>106</v>
      </c>
      <c r="O9794" t="str">
        <f>"ENTRADA DE CAPITAL"</f>
        <v>ENTRADA DE CAPITAL</v>
      </c>
      <c r="P9794">
        <v>20</v>
      </c>
      <c r="S9794" t="str">
        <f>"ENTRADA DE CAPITAL (106)"</f>
        <v>ENTRADA DE CAPITAL (106)</v>
      </c>
      <c r="T9794">
        <v>20874</v>
      </c>
      <c r="U9794">
        <v>23213</v>
      </c>
      <c r="V9794" t="s">
        <v>48</v>
      </c>
    </row>
    <row r="9795" spans="1:22">
      <c r="A9795" t="str">
        <f t="shared" si="1879"/>
        <v>12/11/2025</v>
      </c>
      <c r="B9795" t="str">
        <f>"ENTRADA"</f>
        <v>ENTRADA</v>
      </c>
      <c r="C9795" t="str">
        <f>"DINHEIRO"</f>
        <v>DINHEIRO</v>
      </c>
      <c r="D9795" t="str">
        <f>"893"</f>
        <v>893</v>
      </c>
      <c r="E9795" t="str">
        <f>"2"</f>
        <v>2</v>
      </c>
      <c r="F9795" t="str">
        <f t="shared" si="1885"/>
        <v>COM</v>
      </c>
      <c r="G9795" t="str">
        <f>"DIEGO DAYSON FERNANDES VIEIRA (893)"</f>
        <v>DIEGO DAYSON FERNANDES VIEIRA (893)</v>
      </c>
      <c r="H9795" t="s">
        <v>50</v>
      </c>
      <c r="I9795" t="str">
        <f>("10/11/2025")</f>
        <v>10/11/2025</v>
      </c>
      <c r="J9795" t="str">
        <f>("11/09/2025")</f>
        <v>11/09/2025</v>
      </c>
      <c r="K9795">
        <v>45973</v>
      </c>
      <c r="N9795">
        <v>106</v>
      </c>
      <c r="O9795" t="s">
        <v>51</v>
      </c>
      <c r="Q9795">
        <v>20</v>
      </c>
      <c r="R9795" t="str">
        <f>"DIEGO DAYSON FERNANDES VIEIRA (893)"</f>
        <v>DIEGO DAYSON FERNANDES VIEIRA (893)</v>
      </c>
      <c r="S9795" t="s">
        <v>52</v>
      </c>
      <c r="T9795">
        <v>20874</v>
      </c>
      <c r="U9795">
        <v>23213</v>
      </c>
      <c r="V9795" t="s">
        <v>48</v>
      </c>
    </row>
    <row r="9796" spans="1:22">
      <c r="A9796" t="str">
        <f t="shared" si="1879"/>
        <v>12/11/2025</v>
      </c>
      <c r="B9796" t="str">
        <f>"SAÍDA"</f>
        <v>SAÍDA</v>
      </c>
      <c r="C9796" t="str">
        <f>"PIX"</f>
        <v>PIX</v>
      </c>
      <c r="D9796" t="str">
        <f>"24747"</f>
        <v>24747</v>
      </c>
      <c r="E9796" t="str">
        <f>"1"</f>
        <v>1</v>
      </c>
      <c r="F9796" t="str">
        <f t="shared" si="1885"/>
        <v>COM</v>
      </c>
      <c r="G9796" t="str">
        <f>"DIEGO DAYSON FERNANDES VIEIRA (893)"</f>
        <v>DIEGO DAYSON FERNANDES VIEIRA (893)</v>
      </c>
      <c r="H9796" t="str">
        <f>"Serv.Prest. 24/10/2025 a 02/11/2025 - PIX: E-MAIL - CHAVE: turano296801@gmail.com"</f>
        <v>Serv.Prest. 24/10/2025 a 02/11/2025 - PIX: E-MAIL - CHAVE: turano296801@gmail.com</v>
      </c>
      <c r="I9796" t="str">
        <f>("13/11/2025")</f>
        <v>13/11/2025</v>
      </c>
      <c r="J9796" t="str">
        <f>("04/11/2025")</f>
        <v>04/11/2025</v>
      </c>
      <c r="K9796" t="str">
        <f>("12/11/2025")</f>
        <v>12/11/2025</v>
      </c>
      <c r="L9796">
        <v>20</v>
      </c>
      <c r="M9796">
        <v>20</v>
      </c>
      <c r="N9796">
        <v>109</v>
      </c>
      <c r="O9796" t="str">
        <f>"PAGAMENTO DE ENTREGADORES"</f>
        <v>PAGAMENTO DE ENTREGADORES</v>
      </c>
      <c r="P9796">
        <v>20</v>
      </c>
      <c r="S9796" t="str">
        <f>"CAIXA MOVIMENTAÇÃO OPERACIONAL (132)"</f>
        <v>CAIXA MOVIMENTAÇÃO OPERACIONAL (132)</v>
      </c>
      <c r="T9796">
        <v>20875</v>
      </c>
      <c r="U9796">
        <v>25307</v>
      </c>
      <c r="V9796" t="s">
        <v>48</v>
      </c>
    </row>
    <row r="9797" spans="1:22">
      <c r="A9797" t="str">
        <f t="shared" si="1879"/>
        <v>12/11/2025</v>
      </c>
      <c r="B9797" t="str">
        <f>"SAÍDA"</f>
        <v>SAÍDA</v>
      </c>
      <c r="C9797" t="str">
        <f>"PIX"</f>
        <v>PIX</v>
      </c>
      <c r="D9797" t="str">
        <f>"24747"</f>
        <v>24747</v>
      </c>
      <c r="E9797" t="str">
        <f>"1"</f>
        <v>1</v>
      </c>
      <c r="F9797" t="str">
        <f t="shared" si="1885"/>
        <v>COM</v>
      </c>
      <c r="G9797" t="str">
        <f>"DIEGO DAYSON FERNANDES VIEIRA (893)"</f>
        <v>DIEGO DAYSON FERNANDES VIEIRA (893)</v>
      </c>
      <c r="H9797" t="s">
        <v>2787</v>
      </c>
      <c r="I9797" t="str">
        <f>("13/11/2025")</f>
        <v>13/11/2025</v>
      </c>
      <c r="J9797" t="str">
        <f>("04/11/2025")</f>
        <v>04/11/2025</v>
      </c>
      <c r="K9797">
        <v>45973</v>
      </c>
      <c r="N9797">
        <v>109</v>
      </c>
      <c r="O9797" t="s">
        <v>24</v>
      </c>
      <c r="Q9797">
        <v>20</v>
      </c>
      <c r="R9797" t="str">
        <f>"FARMÁCIA INDIANA LJ 205 (10150)"</f>
        <v>FARMÁCIA INDIANA LJ 205 (10150)</v>
      </c>
      <c r="S9797" t="s">
        <v>48</v>
      </c>
      <c r="T9797">
        <v>20875</v>
      </c>
      <c r="U9797">
        <v>25307</v>
      </c>
      <c r="V9797" t="s">
        <v>48</v>
      </c>
    </row>
    <row r="9798" spans="1:22">
      <c r="A9798" t="str">
        <f t="shared" si="1879"/>
        <v>12/11/2025</v>
      </c>
      <c r="B9798" t="str">
        <f>"ENTRADA"</f>
        <v>ENTRADA</v>
      </c>
      <c r="C9798" t="str">
        <f>"DINHEIRO"</f>
        <v>DINHEIRO</v>
      </c>
      <c r="D9798" t="str">
        <f>"861"</f>
        <v>861</v>
      </c>
      <c r="E9798" t="str">
        <f>"5"</f>
        <v>5</v>
      </c>
      <c r="F9798" t="str">
        <f t="shared" si="1885"/>
        <v>COM</v>
      </c>
      <c r="G9798" t="str">
        <f>"YAN BRENDO CORREIA VIEIRA (861)"</f>
        <v>YAN BRENDO CORREIA VIEIRA (861)</v>
      </c>
      <c r="H9798" t="str">
        <f>"COTA COOPERATIVA"</f>
        <v>COTA COOPERATIVA</v>
      </c>
      <c r="I9798" t="str">
        <f>("10/11/2025")</f>
        <v>10/11/2025</v>
      </c>
      <c r="J9798" t="str">
        <f>("23/06/2025")</f>
        <v>23/06/2025</v>
      </c>
      <c r="K9798" t="str">
        <f>("12/11/2025")</f>
        <v>12/11/2025</v>
      </c>
      <c r="L9798">
        <v>20</v>
      </c>
      <c r="M9798">
        <v>20</v>
      </c>
      <c r="N9798">
        <v>106</v>
      </c>
      <c r="O9798" t="str">
        <f>"ENTRADA DE CAPITAL"</f>
        <v>ENTRADA DE CAPITAL</v>
      </c>
      <c r="P9798">
        <v>20</v>
      </c>
      <c r="S9798" t="str">
        <f>"ENTRADA DE CAPITAL (106)"</f>
        <v>ENTRADA DE CAPITAL (106)</v>
      </c>
      <c r="T9798">
        <v>20880</v>
      </c>
      <c r="U9798">
        <v>18393</v>
      </c>
      <c r="V9798" t="s">
        <v>48</v>
      </c>
    </row>
    <row r="9799" spans="1:22">
      <c r="A9799" t="str">
        <f t="shared" si="1879"/>
        <v>12/11/2025</v>
      </c>
      <c r="B9799" t="str">
        <f>"ENTRADA"</f>
        <v>ENTRADA</v>
      </c>
      <c r="C9799" t="str">
        <f>"DINHEIRO"</f>
        <v>DINHEIRO</v>
      </c>
      <c r="D9799" t="str">
        <f>"861"</f>
        <v>861</v>
      </c>
      <c r="E9799" t="str">
        <f>"5"</f>
        <v>5</v>
      </c>
      <c r="F9799" t="str">
        <f t="shared" si="1885"/>
        <v>COM</v>
      </c>
      <c r="G9799" t="str">
        <f>"YAN BRENDO CORREIA VIEIRA (861)"</f>
        <v>YAN BRENDO CORREIA VIEIRA (861)</v>
      </c>
      <c r="H9799" t="s">
        <v>50</v>
      </c>
      <c r="I9799" t="str">
        <f>("10/11/2025")</f>
        <v>10/11/2025</v>
      </c>
      <c r="J9799" t="str">
        <f>("23/06/2025")</f>
        <v>23/06/2025</v>
      </c>
      <c r="K9799">
        <v>45973</v>
      </c>
      <c r="N9799">
        <v>106</v>
      </c>
      <c r="O9799" t="s">
        <v>51</v>
      </c>
      <c r="Q9799">
        <v>20</v>
      </c>
      <c r="R9799" t="str">
        <f>"YAN BRENDO CORREIA VIEIRA (861)"</f>
        <v>YAN BRENDO CORREIA VIEIRA (861)</v>
      </c>
      <c r="S9799" t="s">
        <v>52</v>
      </c>
      <c r="T9799">
        <v>20880</v>
      </c>
      <c r="U9799">
        <v>18393</v>
      </c>
      <c r="V9799" t="s">
        <v>48</v>
      </c>
    </row>
    <row r="9800" spans="1:22">
      <c r="A9800" t="str">
        <f t="shared" ref="A9800:A9831" si="1886">("12/11/2025")</f>
        <v>12/11/2025</v>
      </c>
      <c r="B9800" t="str">
        <f>"SAÍDA"</f>
        <v>SAÍDA</v>
      </c>
      <c r="C9800" t="str">
        <f>"PIX"</f>
        <v>PIX</v>
      </c>
      <c r="D9800" t="str">
        <f>"24727"</f>
        <v>24727</v>
      </c>
      <c r="E9800" t="str">
        <f>"1"</f>
        <v>1</v>
      </c>
      <c r="F9800" t="str">
        <f t="shared" si="1885"/>
        <v>COM</v>
      </c>
      <c r="G9800" t="str">
        <f>"YAN BRENDO CORREIA VIEIRA (861)"</f>
        <v>YAN BRENDO CORREIA VIEIRA (861)</v>
      </c>
      <c r="H9800" t="str">
        <f>"Serv.Prest. 24/10/2025 a 02/11/2025 - PIX: CPF - CHAVE: 096.891.935-97"</f>
        <v>Serv.Prest. 24/10/2025 a 02/11/2025 - PIX: CPF - CHAVE: 096.891.935-97</v>
      </c>
      <c r="I9800" t="str">
        <f>("13/11/2025")</f>
        <v>13/11/2025</v>
      </c>
      <c r="J9800" t="str">
        <f>("04/11/2025")</f>
        <v>04/11/2025</v>
      </c>
      <c r="K9800" t="str">
        <f>("12/11/2025")</f>
        <v>12/11/2025</v>
      </c>
      <c r="L9800">
        <v>20</v>
      </c>
      <c r="M9800">
        <v>20</v>
      </c>
      <c r="N9800">
        <v>109</v>
      </c>
      <c r="O9800" t="str">
        <f>"PAGAMENTO DE ENTREGADORES"</f>
        <v>PAGAMENTO DE ENTREGADORES</v>
      </c>
      <c r="P9800">
        <v>20</v>
      </c>
      <c r="S9800" t="str">
        <f>"CAIXA MOVIMENTAÇÃO OPERACIONAL (132)"</f>
        <v>CAIXA MOVIMENTAÇÃO OPERACIONAL (132)</v>
      </c>
      <c r="T9800">
        <v>20881</v>
      </c>
      <c r="U9800">
        <v>25310</v>
      </c>
      <c r="V9800" t="s">
        <v>48</v>
      </c>
    </row>
    <row r="9801" spans="1:22">
      <c r="A9801" t="str">
        <f t="shared" si="1886"/>
        <v>12/11/2025</v>
      </c>
      <c r="B9801" t="str">
        <f>"SAÍDA"</f>
        <v>SAÍDA</v>
      </c>
      <c r="C9801" t="str">
        <f>"PIX"</f>
        <v>PIX</v>
      </c>
      <c r="D9801" t="str">
        <f>"24727"</f>
        <v>24727</v>
      </c>
      <c r="E9801" t="str">
        <f>"1"</f>
        <v>1</v>
      </c>
      <c r="F9801" t="str">
        <f t="shared" si="1885"/>
        <v>COM</v>
      </c>
      <c r="G9801" t="str">
        <f>"YAN BRENDO CORREIA VIEIRA (861)"</f>
        <v>YAN BRENDO CORREIA VIEIRA (861)</v>
      </c>
      <c r="H9801" t="s">
        <v>2520</v>
      </c>
      <c r="I9801" t="str">
        <f>("13/11/2025")</f>
        <v>13/11/2025</v>
      </c>
      <c r="J9801" t="str">
        <f>("04/11/2025")</f>
        <v>04/11/2025</v>
      </c>
      <c r="K9801">
        <v>45973</v>
      </c>
      <c r="N9801">
        <v>109</v>
      </c>
      <c r="O9801" t="s">
        <v>24</v>
      </c>
      <c r="Q9801">
        <v>20</v>
      </c>
      <c r="R9801" t="str">
        <f>"FARMÁCIA INDIANA LJ 200 (10155)"</f>
        <v>FARMÁCIA INDIANA LJ 200 (10155)</v>
      </c>
      <c r="S9801" t="s">
        <v>48</v>
      </c>
      <c r="T9801">
        <v>20881</v>
      </c>
      <c r="U9801">
        <v>25310</v>
      </c>
      <c r="V9801" t="s">
        <v>48</v>
      </c>
    </row>
    <row r="9802" spans="1:22">
      <c r="A9802" t="str">
        <f t="shared" si="1886"/>
        <v>12/11/2025</v>
      </c>
      <c r="B9802" t="str">
        <f>"ENTRADA"</f>
        <v>ENTRADA</v>
      </c>
      <c r="C9802" t="str">
        <f>"DINHEIRO"</f>
        <v>DINHEIRO</v>
      </c>
      <c r="D9802" t="str">
        <f>"765"</f>
        <v>765</v>
      </c>
      <c r="E9802" t="str">
        <f>"6"</f>
        <v>6</v>
      </c>
      <c r="F9802" t="str">
        <f t="shared" si="1885"/>
        <v>COM</v>
      </c>
      <c r="G9802" t="str">
        <f>"NATANAEL AZEVEDO DOS SANTOS (765)"</f>
        <v>NATANAEL AZEVEDO DOS SANTOS (765)</v>
      </c>
      <c r="H9802" t="str">
        <f>"COTA COOPERATIVA"</f>
        <v>COTA COOPERATIVA</v>
      </c>
      <c r="I9802" t="str">
        <f>("12/11/2025")</f>
        <v>12/11/2025</v>
      </c>
      <c r="J9802" t="str">
        <f>("19/04/2025")</f>
        <v>19/04/2025</v>
      </c>
      <c r="K9802" t="str">
        <f>("12/11/2025")</f>
        <v>12/11/2025</v>
      </c>
      <c r="L9802">
        <v>20</v>
      </c>
      <c r="M9802">
        <v>20</v>
      </c>
      <c r="N9802">
        <v>106</v>
      </c>
      <c r="O9802" t="str">
        <f>"ENTRADA DE CAPITAL"</f>
        <v>ENTRADA DE CAPITAL</v>
      </c>
      <c r="P9802">
        <v>20</v>
      </c>
      <c r="S9802" t="str">
        <f>"ENTRADA DE CAPITAL (106)"</f>
        <v>ENTRADA DE CAPITAL (106)</v>
      </c>
      <c r="T9802">
        <v>20896</v>
      </c>
      <c r="U9802">
        <v>17088</v>
      </c>
      <c r="V9802" t="s">
        <v>48</v>
      </c>
    </row>
    <row r="9803" spans="1:22">
      <c r="A9803" t="str">
        <f t="shared" si="1886"/>
        <v>12/11/2025</v>
      </c>
      <c r="B9803" t="str">
        <f>"ENTRADA"</f>
        <v>ENTRADA</v>
      </c>
      <c r="C9803" t="str">
        <f>"DINHEIRO"</f>
        <v>DINHEIRO</v>
      </c>
      <c r="D9803" t="str">
        <f>"765"</f>
        <v>765</v>
      </c>
      <c r="E9803" t="str">
        <f>"6"</f>
        <v>6</v>
      </c>
      <c r="F9803" t="str">
        <f t="shared" si="1885"/>
        <v>COM</v>
      </c>
      <c r="G9803" t="str">
        <f>"NATANAEL AZEVEDO DOS SANTOS (765)"</f>
        <v>NATANAEL AZEVEDO DOS SANTOS (765)</v>
      </c>
      <c r="H9803" t="s">
        <v>50</v>
      </c>
      <c r="I9803" t="str">
        <f>("12/11/2025")</f>
        <v>12/11/2025</v>
      </c>
      <c r="J9803" t="str">
        <f>("19/04/2025")</f>
        <v>19/04/2025</v>
      </c>
      <c r="K9803">
        <v>45973</v>
      </c>
      <c r="N9803">
        <v>106</v>
      </c>
      <c r="O9803" t="s">
        <v>51</v>
      </c>
      <c r="Q9803">
        <v>20</v>
      </c>
      <c r="R9803" t="str">
        <f>"NATANAEL AZEVEDO DOS SANTOS (765)"</f>
        <v>NATANAEL AZEVEDO DOS SANTOS (765)</v>
      </c>
      <c r="S9803" t="s">
        <v>52</v>
      </c>
      <c r="T9803">
        <v>20896</v>
      </c>
      <c r="U9803">
        <v>17088</v>
      </c>
      <c r="V9803" t="s">
        <v>48</v>
      </c>
    </row>
    <row r="9804" spans="1:22">
      <c r="A9804" t="str">
        <f t="shared" si="1886"/>
        <v>12/11/2025</v>
      </c>
      <c r="B9804" t="str">
        <f>"SAÍDA"</f>
        <v>SAÍDA</v>
      </c>
      <c r="C9804" t="str">
        <f>"PIX"</f>
        <v>PIX</v>
      </c>
      <c r="D9804" t="str">
        <f>"24721"</f>
        <v>24721</v>
      </c>
      <c r="E9804" t="str">
        <f>"1"</f>
        <v>1</v>
      </c>
      <c r="F9804" t="str">
        <f t="shared" si="1885"/>
        <v>COM</v>
      </c>
      <c r="G9804" t="str">
        <f>"NATANAEL AZEVEDO DOS SANTOS (765)"</f>
        <v>NATANAEL AZEVEDO DOS SANTOS (765)</v>
      </c>
      <c r="H9804" t="str">
        <f>"Serv.Prest. 24/10/2025 a 02/11/2025 - PIX: CPF - CHAVE: 007.842.745-25"</f>
        <v>Serv.Prest. 24/10/2025 a 02/11/2025 - PIX: CPF - CHAVE: 007.842.745-25</v>
      </c>
      <c r="I9804" t="str">
        <f t="shared" ref="I9804:I9809" si="1887">("13/11/2025")</f>
        <v>13/11/2025</v>
      </c>
      <c r="J9804" t="str">
        <f>("04/11/2025")</f>
        <v>04/11/2025</v>
      </c>
      <c r="K9804" t="str">
        <f>("12/11/2025")</f>
        <v>12/11/2025</v>
      </c>
      <c r="L9804">
        <v>20</v>
      </c>
      <c r="M9804">
        <v>20</v>
      </c>
      <c r="N9804">
        <v>109</v>
      </c>
      <c r="O9804" t="str">
        <f>"PAGAMENTO DE ENTREGADORES"</f>
        <v>PAGAMENTO DE ENTREGADORES</v>
      </c>
      <c r="P9804">
        <v>20</v>
      </c>
      <c r="S9804" t="str">
        <f>"CAIXA MOVIMENTAÇÃO OPERACIONAL (132)"</f>
        <v>CAIXA MOVIMENTAÇÃO OPERACIONAL (132)</v>
      </c>
      <c r="T9804">
        <v>20897</v>
      </c>
      <c r="U9804">
        <v>25312</v>
      </c>
      <c r="V9804" t="s">
        <v>48</v>
      </c>
    </row>
    <row r="9805" spans="1:22">
      <c r="A9805" t="str">
        <f t="shared" si="1886"/>
        <v>12/11/2025</v>
      </c>
      <c r="B9805" t="str">
        <f>"SAÍDA"</f>
        <v>SAÍDA</v>
      </c>
      <c r="C9805" t="str">
        <f>"PIX"</f>
        <v>PIX</v>
      </c>
      <c r="D9805" t="str">
        <f>"24721"</f>
        <v>24721</v>
      </c>
      <c r="E9805" t="str">
        <f>"1"</f>
        <v>1</v>
      </c>
      <c r="F9805" t="str">
        <f t="shared" si="1885"/>
        <v>COM</v>
      </c>
      <c r="G9805" t="str">
        <f>"NATANAEL AZEVEDO DOS SANTOS (765)"</f>
        <v>NATANAEL AZEVEDO DOS SANTOS (765)</v>
      </c>
      <c r="H9805" t="s">
        <v>2745</v>
      </c>
      <c r="I9805" t="str">
        <f t="shared" si="1887"/>
        <v>13/11/2025</v>
      </c>
      <c r="J9805" t="str">
        <f>("04/11/2025")</f>
        <v>04/11/2025</v>
      </c>
      <c r="K9805">
        <v>45973</v>
      </c>
      <c r="N9805">
        <v>109</v>
      </c>
      <c r="O9805" t="s">
        <v>24</v>
      </c>
      <c r="Q9805">
        <v>20</v>
      </c>
      <c r="R9805" t="str">
        <f>"FARMÁCIA INDIANA LJ 91 (10037)"</f>
        <v>FARMÁCIA INDIANA LJ 91 (10037)</v>
      </c>
      <c r="S9805" t="s">
        <v>48</v>
      </c>
      <c r="T9805">
        <v>20897</v>
      </c>
      <c r="U9805">
        <v>25312</v>
      </c>
      <c r="V9805" t="s">
        <v>48</v>
      </c>
    </row>
    <row r="9806" spans="1:22">
      <c r="A9806" t="str">
        <f t="shared" si="1886"/>
        <v>12/11/2025</v>
      </c>
      <c r="B9806" t="str">
        <f>"ENTRADA"</f>
        <v>ENTRADA</v>
      </c>
      <c r="C9806" t="str">
        <f>"DINHEIRO"</f>
        <v>DINHEIRO</v>
      </c>
      <c r="D9806" t="str">
        <f>"318"</f>
        <v>318</v>
      </c>
      <c r="E9806" t="str">
        <f>"11"</f>
        <v>11</v>
      </c>
      <c r="F9806" t="str">
        <f t="shared" si="1885"/>
        <v>COM</v>
      </c>
      <c r="G9806" t="str">
        <f>"TALES DE JESUS OLIVEIRA (318)"</f>
        <v>TALES DE JESUS OLIVEIRA (318)</v>
      </c>
      <c r="H9806" t="str">
        <f>"COTAS COOPERATIVA"</f>
        <v>COTAS COOPERATIVA</v>
      </c>
      <c r="I9806" t="str">
        <f t="shared" si="1887"/>
        <v>13/11/2025</v>
      </c>
      <c r="J9806" t="str">
        <f>("13/02/2025")</f>
        <v>13/02/2025</v>
      </c>
      <c r="K9806" t="str">
        <f>("12/11/2025")</f>
        <v>12/11/2025</v>
      </c>
      <c r="L9806">
        <v>20</v>
      </c>
      <c r="M9806">
        <v>20</v>
      </c>
      <c r="N9806">
        <v>106</v>
      </c>
      <c r="O9806" t="str">
        <f>"ENTRADA DE CAPITAL"</f>
        <v>ENTRADA DE CAPITAL</v>
      </c>
      <c r="P9806">
        <v>20</v>
      </c>
      <c r="S9806" t="str">
        <f>"ENTRADA DE CAPITAL (106)"</f>
        <v>ENTRADA DE CAPITAL (106)</v>
      </c>
      <c r="T9806">
        <v>20898</v>
      </c>
      <c r="U9806">
        <v>9829</v>
      </c>
      <c r="V9806" t="s">
        <v>48</v>
      </c>
    </row>
    <row r="9807" spans="1:22">
      <c r="A9807" t="str">
        <f t="shared" si="1886"/>
        <v>12/11/2025</v>
      </c>
      <c r="B9807" t="str">
        <f>"ENTRADA"</f>
        <v>ENTRADA</v>
      </c>
      <c r="C9807" t="str">
        <f>"DINHEIRO"</f>
        <v>DINHEIRO</v>
      </c>
      <c r="D9807" t="str">
        <f>"318"</f>
        <v>318</v>
      </c>
      <c r="E9807" t="str">
        <f>"11"</f>
        <v>11</v>
      </c>
      <c r="F9807" t="str">
        <f t="shared" si="1885"/>
        <v>COM</v>
      </c>
      <c r="G9807" t="str">
        <f>"TALES DE JESUS OLIVEIRA (318)"</f>
        <v>TALES DE JESUS OLIVEIRA (318)</v>
      </c>
      <c r="H9807" t="s">
        <v>318</v>
      </c>
      <c r="I9807" t="str">
        <f t="shared" si="1887"/>
        <v>13/11/2025</v>
      </c>
      <c r="J9807" t="str">
        <f>("13/02/2025")</f>
        <v>13/02/2025</v>
      </c>
      <c r="K9807">
        <v>45973</v>
      </c>
      <c r="N9807">
        <v>106</v>
      </c>
      <c r="O9807" t="s">
        <v>51</v>
      </c>
      <c r="Q9807">
        <v>20</v>
      </c>
      <c r="R9807" t="str">
        <f>"TALES DE JESUS OLIVEIRA (318)"</f>
        <v>TALES DE JESUS OLIVEIRA (318)</v>
      </c>
      <c r="S9807" t="s">
        <v>52</v>
      </c>
      <c r="T9807">
        <v>20898</v>
      </c>
      <c r="U9807">
        <v>9829</v>
      </c>
      <c r="V9807" t="s">
        <v>48</v>
      </c>
    </row>
    <row r="9808" spans="1:22">
      <c r="A9808" t="str">
        <f t="shared" si="1886"/>
        <v>12/11/2025</v>
      </c>
      <c r="B9808" t="str">
        <f>"SAÍDA"</f>
        <v>SAÍDA</v>
      </c>
      <c r="C9808" t="str">
        <f>"PIX"</f>
        <v>PIX</v>
      </c>
      <c r="D9808" t="str">
        <f>"25226"</f>
        <v>25226</v>
      </c>
      <c r="E9808" t="str">
        <f>"1"</f>
        <v>1</v>
      </c>
      <c r="F9808" t="str">
        <f t="shared" si="1885"/>
        <v>COM</v>
      </c>
      <c r="G9808" t="str">
        <f>"TALES DE JESUS OLIVEIRA (318)"</f>
        <v>TALES DE JESUS OLIVEIRA (318)</v>
      </c>
      <c r="H9808" t="str">
        <f>"Serv.Prest. 03/11/2025 a 09/11/2025 - PIX: CPF - CHAVE: 378.223.888-51"</f>
        <v>Serv.Prest. 03/11/2025 a 09/11/2025 - PIX: CPF - CHAVE: 378.223.888-51</v>
      </c>
      <c r="I9808" t="str">
        <f t="shared" si="1887"/>
        <v>13/11/2025</v>
      </c>
      <c r="J9808" t="str">
        <f>("11/11/2025")</f>
        <v>11/11/2025</v>
      </c>
      <c r="K9808" t="str">
        <f>("12/11/2025")</f>
        <v>12/11/2025</v>
      </c>
      <c r="L9808">
        <v>20</v>
      </c>
      <c r="M9808">
        <v>20</v>
      </c>
      <c r="N9808">
        <v>109</v>
      </c>
      <c r="O9808" t="str">
        <f>"PAGAMENTO DE ENTREGADORES"</f>
        <v>PAGAMENTO DE ENTREGADORES</v>
      </c>
      <c r="P9808">
        <v>20</v>
      </c>
      <c r="S9808" t="str">
        <f>"CAIXA MOVIMENTAÇÃO OPERACIONAL (132)"</f>
        <v>CAIXA MOVIMENTAÇÃO OPERACIONAL (132)</v>
      </c>
      <c r="T9808">
        <v>20899</v>
      </c>
      <c r="U9808">
        <v>25313</v>
      </c>
      <c r="V9808" t="s">
        <v>48</v>
      </c>
    </row>
    <row r="9809" spans="1:22">
      <c r="A9809" t="str">
        <f t="shared" si="1886"/>
        <v>12/11/2025</v>
      </c>
      <c r="B9809" t="str">
        <f>"SAÍDA"</f>
        <v>SAÍDA</v>
      </c>
      <c r="C9809" t="str">
        <f>"PIX"</f>
        <v>PIX</v>
      </c>
      <c r="D9809" t="str">
        <f>"25226"</f>
        <v>25226</v>
      </c>
      <c r="E9809" t="str">
        <f>"1"</f>
        <v>1</v>
      </c>
      <c r="F9809" t="str">
        <f t="shared" si="1885"/>
        <v>COM</v>
      </c>
      <c r="G9809" t="str">
        <f>"TALES DE JESUS OLIVEIRA (318)"</f>
        <v>TALES DE JESUS OLIVEIRA (318)</v>
      </c>
      <c r="H9809" t="s">
        <v>2788</v>
      </c>
      <c r="I9809" t="str">
        <f t="shared" si="1887"/>
        <v>13/11/2025</v>
      </c>
      <c r="J9809" t="str">
        <f>("11/11/2025")</f>
        <v>11/11/2025</v>
      </c>
      <c r="K9809">
        <v>45973</v>
      </c>
      <c r="N9809">
        <v>109</v>
      </c>
      <c r="O9809" t="s">
        <v>24</v>
      </c>
      <c r="Q9809">
        <v>20</v>
      </c>
      <c r="R9809" t="str">
        <f>"FARMÁCIA INDIANA LJ 145 (10068)"</f>
        <v>FARMÁCIA INDIANA LJ 145 (10068)</v>
      </c>
      <c r="S9809" t="s">
        <v>48</v>
      </c>
      <c r="T9809">
        <v>20899</v>
      </c>
      <c r="U9809">
        <v>25313</v>
      </c>
      <c r="V9809" t="s">
        <v>48</v>
      </c>
    </row>
    <row r="9810" spans="1:22">
      <c r="A9810" t="str">
        <f t="shared" si="1886"/>
        <v>12/11/2025</v>
      </c>
      <c r="B9810" t="str">
        <f>"ENTRADA"</f>
        <v>ENTRADA</v>
      </c>
      <c r="C9810" t="str">
        <f>"DINHEIRO"</f>
        <v>DINHEIRO</v>
      </c>
      <c r="D9810" t="str">
        <f>"03"</f>
        <v>03</v>
      </c>
      <c r="E9810" t="str">
        <f>"35"</f>
        <v>35</v>
      </c>
      <c r="F9810" t="str">
        <f t="shared" si="1885"/>
        <v>COM</v>
      </c>
      <c r="G9810" t="str">
        <f>"DANILO DE JESUS SANTOS (490)"</f>
        <v>DANILO DE JESUS SANTOS (490)</v>
      </c>
      <c r="H9810" t="str">
        <f>"DESCONTO COTA COOPERADO"</f>
        <v>DESCONTO COTA COOPERADO</v>
      </c>
      <c r="I9810" t="str">
        <f>("16/11/2025")</f>
        <v>16/11/2025</v>
      </c>
      <c r="J9810" t="str">
        <f>("14/01/2025")</f>
        <v>14/01/2025</v>
      </c>
      <c r="K9810" t="str">
        <f>("12/11/2025")</f>
        <v>12/11/2025</v>
      </c>
      <c r="L9810">
        <v>20</v>
      </c>
      <c r="M9810">
        <v>20</v>
      </c>
      <c r="N9810">
        <v>106</v>
      </c>
      <c r="O9810" t="str">
        <f>"ENTRADA DE CAPITAL"</f>
        <v>ENTRADA DE CAPITAL</v>
      </c>
      <c r="P9810">
        <v>20</v>
      </c>
      <c r="S9810" t="str">
        <f>"ENTRADA DE CAPITAL (106)"</f>
        <v>ENTRADA DE CAPITAL (106)</v>
      </c>
      <c r="T9810">
        <v>20900</v>
      </c>
      <c r="U9810">
        <v>5818</v>
      </c>
      <c r="V9810" t="s">
        <v>48</v>
      </c>
    </row>
    <row r="9811" spans="1:22">
      <c r="A9811" t="str">
        <f t="shared" si="1886"/>
        <v>12/11/2025</v>
      </c>
      <c r="B9811" t="str">
        <f>"ENTRADA"</f>
        <v>ENTRADA</v>
      </c>
      <c r="C9811" t="str">
        <f>"DINHEIRO"</f>
        <v>DINHEIRO</v>
      </c>
      <c r="D9811" t="str">
        <f>"03"</f>
        <v>03</v>
      </c>
      <c r="E9811" t="str">
        <f>"35"</f>
        <v>35</v>
      </c>
      <c r="F9811" t="str">
        <f t="shared" si="1885"/>
        <v>COM</v>
      </c>
      <c r="G9811" t="str">
        <f>"DANILO DE JESUS SANTOS (490)"</f>
        <v>DANILO DE JESUS SANTOS (490)</v>
      </c>
      <c r="H9811" t="s">
        <v>309</v>
      </c>
      <c r="I9811" t="str">
        <f>("16/11/2025")</f>
        <v>16/11/2025</v>
      </c>
      <c r="J9811" t="str">
        <f>("14/01/2025")</f>
        <v>14/01/2025</v>
      </c>
      <c r="K9811">
        <v>45973</v>
      </c>
      <c r="N9811">
        <v>106</v>
      </c>
      <c r="O9811" t="s">
        <v>51</v>
      </c>
      <c r="Q9811">
        <v>20</v>
      </c>
      <c r="R9811" t="str">
        <f>"DANILO DE JESUS SANTOS (490)"</f>
        <v>DANILO DE JESUS SANTOS (490)</v>
      </c>
      <c r="S9811" t="s">
        <v>52</v>
      </c>
      <c r="T9811">
        <v>20900</v>
      </c>
      <c r="U9811">
        <v>5818</v>
      </c>
      <c r="V9811" t="s">
        <v>48</v>
      </c>
    </row>
    <row r="9812" spans="1:22">
      <c r="A9812" t="str">
        <f t="shared" si="1886"/>
        <v>12/11/2025</v>
      </c>
      <c r="B9812" t="str">
        <f>"SAÍDA"</f>
        <v>SAÍDA</v>
      </c>
      <c r="C9812" t="str">
        <f>"PIX"</f>
        <v>PIX</v>
      </c>
      <c r="D9812" t="str">
        <f>"25204"</f>
        <v>25204</v>
      </c>
      <c r="E9812" t="str">
        <f>"1"</f>
        <v>1</v>
      </c>
      <c r="F9812" t="str">
        <f t="shared" si="1885"/>
        <v>COM</v>
      </c>
      <c r="G9812" t="str">
        <f>"DANILO DE JESUS SANTOS (490)"</f>
        <v>DANILO DE JESUS SANTOS (490)</v>
      </c>
      <c r="H9812" t="str">
        <f>"Serv.Prest. 03/11/2025 a 09/11/2025 - PIX: CELULAR - CHAVE: (73) 98191-0061"</f>
        <v>Serv.Prest. 03/11/2025 a 09/11/2025 - PIX: CELULAR - CHAVE: (73) 98191-0061</v>
      </c>
      <c r="I9812" t="str">
        <f>("20/11/2025")</f>
        <v>20/11/2025</v>
      </c>
      <c r="J9812" t="str">
        <f>("11/11/2025")</f>
        <v>11/11/2025</v>
      </c>
      <c r="K9812" t="str">
        <f>("12/11/2025")</f>
        <v>12/11/2025</v>
      </c>
      <c r="L9812">
        <v>20</v>
      </c>
      <c r="M9812">
        <v>20</v>
      </c>
      <c r="N9812">
        <v>109</v>
      </c>
      <c r="O9812" t="str">
        <f>"PAGAMENTO DE ENTREGADORES"</f>
        <v>PAGAMENTO DE ENTREGADORES</v>
      </c>
      <c r="P9812">
        <v>20</v>
      </c>
      <c r="S9812" t="str">
        <f>"CAIXA MOVIMENTAÇÃO OPERACIONAL (132)"</f>
        <v>CAIXA MOVIMENTAÇÃO OPERACIONAL (132)</v>
      </c>
      <c r="T9812">
        <v>20901</v>
      </c>
      <c r="U9812">
        <v>25314</v>
      </c>
      <c r="V9812" t="s">
        <v>48</v>
      </c>
    </row>
    <row r="9813" spans="1:22">
      <c r="A9813" t="str">
        <f t="shared" si="1886"/>
        <v>12/11/2025</v>
      </c>
      <c r="B9813" t="str">
        <f>"SAÍDA"</f>
        <v>SAÍDA</v>
      </c>
      <c r="C9813" t="str">
        <f>"PIX"</f>
        <v>PIX</v>
      </c>
      <c r="D9813" t="str">
        <f>"25204"</f>
        <v>25204</v>
      </c>
      <c r="E9813" t="str">
        <f>"1"</f>
        <v>1</v>
      </c>
      <c r="F9813" t="str">
        <f t="shared" si="1885"/>
        <v>COM</v>
      </c>
      <c r="G9813" t="str">
        <f>"DANILO DE JESUS SANTOS (490)"</f>
        <v>DANILO DE JESUS SANTOS (490)</v>
      </c>
      <c r="H9813" t="s">
        <v>2789</v>
      </c>
      <c r="I9813" t="str">
        <f>("20/11/2025")</f>
        <v>20/11/2025</v>
      </c>
      <c r="J9813" t="str">
        <f>("11/11/2025")</f>
        <v>11/11/2025</v>
      </c>
      <c r="K9813">
        <v>45973</v>
      </c>
      <c r="N9813">
        <v>109</v>
      </c>
      <c r="O9813" t="s">
        <v>24</v>
      </c>
      <c r="Q9813">
        <v>20</v>
      </c>
      <c r="R9813" t="str">
        <f>"FARMÁCIA INDIANA LJ 145 (10068)"</f>
        <v>FARMÁCIA INDIANA LJ 145 (10068)</v>
      </c>
      <c r="S9813" t="s">
        <v>48</v>
      </c>
      <c r="T9813">
        <v>20901</v>
      </c>
      <c r="U9813">
        <v>25314</v>
      </c>
      <c r="V9813" t="s">
        <v>48</v>
      </c>
    </row>
    <row r="9814" spans="1:22">
      <c r="A9814" t="str">
        <f t="shared" si="1886"/>
        <v>12/11/2025</v>
      </c>
      <c r="B9814" t="str">
        <f>"ENTRADA"</f>
        <v>ENTRADA</v>
      </c>
      <c r="C9814" t="str">
        <f>"DINHEIRO"</f>
        <v>DINHEIRO</v>
      </c>
      <c r="D9814" t="str">
        <f>"623"</f>
        <v>623</v>
      </c>
      <c r="E9814" t="str">
        <f>"10"</f>
        <v>10</v>
      </c>
      <c r="F9814" t="str">
        <f t="shared" si="1885"/>
        <v>COM</v>
      </c>
      <c r="G9814" t="str">
        <f>"ROBSON OLIVEIRA DE JESUS (623)"</f>
        <v>ROBSON OLIVEIRA DE JESUS (623)</v>
      </c>
      <c r="H9814" t="str">
        <f>"COTAS COOPERATIVA"</f>
        <v>COTAS COOPERATIVA</v>
      </c>
      <c r="I9814" t="str">
        <f>("13/11/2025")</f>
        <v>13/11/2025</v>
      </c>
      <c r="J9814" t="str">
        <f>("13/02/2025")</f>
        <v>13/02/2025</v>
      </c>
      <c r="K9814" t="str">
        <f>("12/11/2025")</f>
        <v>12/11/2025</v>
      </c>
      <c r="L9814">
        <v>20</v>
      </c>
      <c r="M9814">
        <v>20</v>
      </c>
      <c r="N9814">
        <v>106</v>
      </c>
      <c r="O9814" t="str">
        <f>"ENTRADA DE CAPITAL"</f>
        <v>ENTRADA DE CAPITAL</v>
      </c>
      <c r="P9814">
        <v>20</v>
      </c>
      <c r="S9814" t="str">
        <f>"ENTRADA DE CAPITAL (106)"</f>
        <v>ENTRADA DE CAPITAL (106)</v>
      </c>
      <c r="T9814">
        <v>20902</v>
      </c>
      <c r="U9814">
        <v>9853</v>
      </c>
      <c r="V9814" t="s">
        <v>48</v>
      </c>
    </row>
    <row r="9815" spans="1:22">
      <c r="A9815" t="str">
        <f t="shared" si="1886"/>
        <v>12/11/2025</v>
      </c>
      <c r="B9815" t="str">
        <f>"ENTRADA"</f>
        <v>ENTRADA</v>
      </c>
      <c r="C9815" t="str">
        <f>"DINHEIRO"</f>
        <v>DINHEIRO</v>
      </c>
      <c r="D9815" t="str">
        <f>"623"</f>
        <v>623</v>
      </c>
      <c r="E9815" t="str">
        <f>"10"</f>
        <v>10</v>
      </c>
      <c r="F9815" t="str">
        <f t="shared" si="1885"/>
        <v>COM</v>
      </c>
      <c r="G9815" t="str">
        <f>"ROBSON OLIVEIRA DE JESUS (623)"</f>
        <v>ROBSON OLIVEIRA DE JESUS (623)</v>
      </c>
      <c r="H9815" t="s">
        <v>318</v>
      </c>
      <c r="I9815" t="str">
        <f>("13/11/2025")</f>
        <v>13/11/2025</v>
      </c>
      <c r="J9815" t="str">
        <f>("13/02/2025")</f>
        <v>13/02/2025</v>
      </c>
      <c r="K9815">
        <v>45973</v>
      </c>
      <c r="N9815">
        <v>106</v>
      </c>
      <c r="O9815" t="s">
        <v>51</v>
      </c>
      <c r="Q9815">
        <v>20</v>
      </c>
      <c r="R9815" t="str">
        <f>"ROBSON OLIVEIRA DE JESUS (623)"</f>
        <v>ROBSON OLIVEIRA DE JESUS (623)</v>
      </c>
      <c r="S9815" t="s">
        <v>52</v>
      </c>
      <c r="T9815">
        <v>20902</v>
      </c>
      <c r="U9815">
        <v>9853</v>
      </c>
      <c r="V9815" t="s">
        <v>48</v>
      </c>
    </row>
    <row r="9816" spans="1:22">
      <c r="A9816" t="str">
        <f t="shared" si="1886"/>
        <v>12/11/2025</v>
      </c>
      <c r="B9816" t="str">
        <f>"SAÍDA"</f>
        <v>SAÍDA</v>
      </c>
      <c r="C9816" t="str">
        <f>"PIX"</f>
        <v>PIX</v>
      </c>
      <c r="D9816" t="str">
        <f>"25225"</f>
        <v>25225</v>
      </c>
      <c r="E9816" t="str">
        <f>"1"</f>
        <v>1</v>
      </c>
      <c r="F9816" t="str">
        <f t="shared" si="1885"/>
        <v>COM</v>
      </c>
      <c r="G9816" t="str">
        <f>"ROBSON OLIVEIRA DE JESUS (623)"</f>
        <v>ROBSON OLIVEIRA DE JESUS (623)</v>
      </c>
      <c r="H9816" t="str">
        <f>"Serv.Prest. 03/11/2025 a 09/11/2025 - PIX: CELULAR - CHAVE: (73) 98166-3325"</f>
        <v>Serv.Prest. 03/11/2025 a 09/11/2025 - PIX: CELULAR - CHAVE: (73) 98166-3325</v>
      </c>
      <c r="I9816" t="str">
        <f>("20/11/2025")</f>
        <v>20/11/2025</v>
      </c>
      <c r="J9816" t="str">
        <f>("11/11/2025")</f>
        <v>11/11/2025</v>
      </c>
      <c r="K9816" t="str">
        <f>("12/11/2025")</f>
        <v>12/11/2025</v>
      </c>
      <c r="L9816">
        <v>20</v>
      </c>
      <c r="M9816">
        <v>20</v>
      </c>
      <c r="N9816">
        <v>109</v>
      </c>
      <c r="O9816" t="str">
        <f>"PAGAMENTO DE ENTREGADORES"</f>
        <v>PAGAMENTO DE ENTREGADORES</v>
      </c>
      <c r="P9816">
        <v>20</v>
      </c>
      <c r="S9816" t="str">
        <f>"CAIXA MOVIMENTAÇÃO OPERACIONAL (132)"</f>
        <v>CAIXA MOVIMENTAÇÃO OPERACIONAL (132)</v>
      </c>
      <c r="T9816">
        <v>20903</v>
      </c>
      <c r="U9816">
        <v>25315</v>
      </c>
      <c r="V9816" t="s">
        <v>48</v>
      </c>
    </row>
    <row r="9817" spans="1:22">
      <c r="A9817" t="str">
        <f t="shared" si="1886"/>
        <v>12/11/2025</v>
      </c>
      <c r="B9817" t="str">
        <f>"SAÍDA"</f>
        <v>SAÍDA</v>
      </c>
      <c r="C9817" t="str">
        <f>"PIX"</f>
        <v>PIX</v>
      </c>
      <c r="D9817" t="str">
        <f>"25225"</f>
        <v>25225</v>
      </c>
      <c r="E9817" t="str">
        <f>"1"</f>
        <v>1</v>
      </c>
      <c r="F9817" t="str">
        <f t="shared" si="1885"/>
        <v>COM</v>
      </c>
      <c r="G9817" t="str">
        <f>"ROBSON OLIVEIRA DE JESUS (623)"</f>
        <v>ROBSON OLIVEIRA DE JESUS (623)</v>
      </c>
      <c r="H9817" t="s">
        <v>2790</v>
      </c>
      <c r="I9817" t="str">
        <f>("20/11/2025")</f>
        <v>20/11/2025</v>
      </c>
      <c r="J9817" t="str">
        <f>("11/11/2025")</f>
        <v>11/11/2025</v>
      </c>
      <c r="K9817">
        <v>45973</v>
      </c>
      <c r="N9817">
        <v>109</v>
      </c>
      <c r="O9817" t="s">
        <v>24</v>
      </c>
      <c r="Q9817">
        <v>20</v>
      </c>
      <c r="R9817" t="str">
        <f>"FARMÁCIA INDIANA LJ 145 (10068)"</f>
        <v>FARMÁCIA INDIANA LJ 145 (10068)</v>
      </c>
      <c r="S9817" t="s">
        <v>48</v>
      </c>
      <c r="T9817">
        <v>20903</v>
      </c>
      <c r="U9817">
        <v>25315</v>
      </c>
      <c r="V9817" t="s">
        <v>48</v>
      </c>
    </row>
    <row r="9818" spans="1:22">
      <c r="A9818" t="str">
        <f t="shared" si="1886"/>
        <v>12/11/2025</v>
      </c>
      <c r="B9818" t="str">
        <f>"ENTRADA"</f>
        <v>ENTRADA</v>
      </c>
      <c r="C9818" t="str">
        <f>"DINHEIRO"</f>
        <v>DINHEIRO</v>
      </c>
      <c r="D9818" t="str">
        <f>"1311"</f>
        <v>1311</v>
      </c>
      <c r="E9818" t="str">
        <f>"25"</f>
        <v>25</v>
      </c>
      <c r="F9818" t="str">
        <f t="shared" si="1885"/>
        <v>COM</v>
      </c>
      <c r="G9818" t="str">
        <f>"WEIGNE SENA CARDOSO (53)"</f>
        <v>WEIGNE SENA CARDOSO (53)</v>
      </c>
      <c r="H9818" t="str">
        <f>"REEMBOLSO ADIANTAMENTO"</f>
        <v>REEMBOLSO ADIANTAMENTO</v>
      </c>
      <c r="I9818" t="str">
        <f>("13/11/2025")</f>
        <v>13/11/2025</v>
      </c>
      <c r="J9818" t="str">
        <f>("06/10/2025")</f>
        <v>06/10/2025</v>
      </c>
      <c r="K9818" t="str">
        <f>("12/11/2025")</f>
        <v>12/11/2025</v>
      </c>
      <c r="L9818">
        <v>150</v>
      </c>
      <c r="M9818">
        <v>150</v>
      </c>
      <c r="N9818">
        <v>129</v>
      </c>
      <c r="O9818" t="str">
        <f>"ENTRADA DE REEMBOLSO ADIANTAMENTO"</f>
        <v>ENTRADA DE REEMBOLSO ADIANTAMENTO</v>
      </c>
      <c r="P9818">
        <v>150</v>
      </c>
      <c r="S9818" t="str">
        <f>"ENTRADA DE REEMBOLSO ADIANTAMENTO (129)"</f>
        <v>ENTRADA DE REEMBOLSO ADIANTAMENTO (129)</v>
      </c>
      <c r="T9818">
        <v>20904</v>
      </c>
      <c r="U9818">
        <v>23102</v>
      </c>
      <c r="V9818" t="s">
        <v>48</v>
      </c>
    </row>
    <row r="9819" spans="1:22">
      <c r="A9819" t="str">
        <f t="shared" si="1886"/>
        <v>12/11/2025</v>
      </c>
      <c r="B9819" t="str">
        <f>"ENTRADA"</f>
        <v>ENTRADA</v>
      </c>
      <c r="C9819" t="str">
        <f>"DINHEIRO"</f>
        <v>DINHEIRO</v>
      </c>
      <c r="D9819" t="str">
        <f>"1311"</f>
        <v>1311</v>
      </c>
      <c r="E9819" t="str">
        <f>"25"</f>
        <v>25</v>
      </c>
      <c r="F9819" t="str">
        <f t="shared" si="1885"/>
        <v>COM</v>
      </c>
      <c r="G9819" t="str">
        <f>"WEIGNE SENA CARDOSO (53)"</f>
        <v>WEIGNE SENA CARDOSO (53)</v>
      </c>
      <c r="H9819" t="s">
        <v>57</v>
      </c>
      <c r="I9819" t="str">
        <f>("13/11/2025")</f>
        <v>13/11/2025</v>
      </c>
      <c r="J9819" t="str">
        <f>("06/10/2025")</f>
        <v>06/10/2025</v>
      </c>
      <c r="K9819">
        <v>45973</v>
      </c>
      <c r="N9819">
        <v>129</v>
      </c>
      <c r="O9819" t="s">
        <v>58</v>
      </c>
      <c r="Q9819">
        <v>150</v>
      </c>
      <c r="R9819" t="str">
        <f>"WEIGNE SENA CARDOSO (53)"</f>
        <v>WEIGNE SENA CARDOSO (53)</v>
      </c>
      <c r="S9819" t="s">
        <v>59</v>
      </c>
      <c r="T9819">
        <v>20904</v>
      </c>
      <c r="U9819">
        <v>23102</v>
      </c>
      <c r="V9819" t="s">
        <v>48</v>
      </c>
    </row>
    <row r="9820" spans="1:22">
      <c r="A9820" t="str">
        <f t="shared" si="1886"/>
        <v>12/11/2025</v>
      </c>
      <c r="B9820" t="str">
        <f>"SAÍDA"</f>
        <v>SAÍDA</v>
      </c>
      <c r="C9820" t="str">
        <f>"PIX"</f>
        <v>PIX</v>
      </c>
      <c r="D9820" t="str">
        <f>"25193"</f>
        <v>25193</v>
      </c>
      <c r="E9820" t="str">
        <f t="shared" ref="E9820:E9848" si="1888">"1"</f>
        <v>1</v>
      </c>
      <c r="F9820" t="str">
        <f t="shared" si="1885"/>
        <v>COM</v>
      </c>
      <c r="G9820" t="str">
        <f>"WEIGNE SENA CARDOSO (53)"</f>
        <v>WEIGNE SENA CARDOSO (53)</v>
      </c>
      <c r="H9820" t="str">
        <f>"Serv.Prest. 03/11/2025 a 09/11/2025 - PIX: CPF - CHAVE: 097.245.586-81"</f>
        <v>Serv.Prest. 03/11/2025 a 09/11/2025 - PIX: CPF - CHAVE: 097.245.586-81</v>
      </c>
      <c r="I9820" t="str">
        <f>("13/11/2025")</f>
        <v>13/11/2025</v>
      </c>
      <c r="J9820" t="str">
        <f>("11/11/2025")</f>
        <v>11/11/2025</v>
      </c>
      <c r="K9820" t="str">
        <f>("12/11/2025")</f>
        <v>12/11/2025</v>
      </c>
      <c r="L9820">
        <v>150</v>
      </c>
      <c r="M9820">
        <v>150</v>
      </c>
      <c r="N9820">
        <v>109</v>
      </c>
      <c r="O9820" t="str">
        <f>"PAGAMENTO DE ENTREGADORES"</f>
        <v>PAGAMENTO DE ENTREGADORES</v>
      </c>
      <c r="P9820">
        <v>150</v>
      </c>
      <c r="S9820" t="str">
        <f>"CAIXA MOVIMENTAÇÃO OPERACIONAL (132)"</f>
        <v>CAIXA MOVIMENTAÇÃO OPERACIONAL (132)</v>
      </c>
      <c r="T9820">
        <v>20905</v>
      </c>
      <c r="U9820">
        <v>25316</v>
      </c>
      <c r="V9820" t="s">
        <v>48</v>
      </c>
    </row>
    <row r="9821" spans="1:22">
      <c r="A9821" t="str">
        <f t="shared" si="1886"/>
        <v>12/11/2025</v>
      </c>
      <c r="B9821" t="str">
        <f>"SAÍDA"</f>
        <v>SAÍDA</v>
      </c>
      <c r="C9821" t="str">
        <f>"PIX"</f>
        <v>PIX</v>
      </c>
      <c r="D9821" t="str">
        <f>"25193"</f>
        <v>25193</v>
      </c>
      <c r="E9821" t="str">
        <f t="shared" si="1888"/>
        <v>1</v>
      </c>
      <c r="F9821" t="str">
        <f t="shared" si="1885"/>
        <v>COM</v>
      </c>
      <c r="G9821" t="str">
        <f>"WEIGNE SENA CARDOSO (53)"</f>
        <v>WEIGNE SENA CARDOSO (53)</v>
      </c>
      <c r="H9821" t="s">
        <v>2791</v>
      </c>
      <c r="I9821" t="str">
        <f>("13/11/2025")</f>
        <v>13/11/2025</v>
      </c>
      <c r="J9821" t="str">
        <f>("11/11/2025")</f>
        <v>11/11/2025</v>
      </c>
      <c r="K9821">
        <v>45973</v>
      </c>
      <c r="N9821">
        <v>109</v>
      </c>
      <c r="O9821" t="s">
        <v>24</v>
      </c>
      <c r="Q9821">
        <v>150</v>
      </c>
      <c r="R9821" t="str">
        <f>"FARMÁCIA INDIANA LJ 07 (10007)"</f>
        <v>FARMÁCIA INDIANA LJ 07 (10007)</v>
      </c>
      <c r="S9821" t="s">
        <v>48</v>
      </c>
      <c r="T9821">
        <v>20905</v>
      </c>
      <c r="U9821">
        <v>25316</v>
      </c>
      <c r="V9821" t="s">
        <v>48</v>
      </c>
    </row>
    <row r="9822" spans="1:22">
      <c r="A9822" t="str">
        <f t="shared" si="1886"/>
        <v>12/11/2025</v>
      </c>
      <c r="B9822" t="str">
        <f t="shared" ref="B9822:B9851" si="1889">"ENTRADA"</f>
        <v>ENTRADA</v>
      </c>
      <c r="C9822" t="str">
        <f t="shared" ref="C9822:C9851" si="1890">"NFSE"</f>
        <v>NFSE</v>
      </c>
      <c r="D9822" t="str">
        <f>"3680"</f>
        <v>3680</v>
      </c>
      <c r="E9822" t="str">
        <f t="shared" si="1888"/>
        <v>1</v>
      </c>
      <c r="F9822" t="str">
        <f t="shared" si="1885"/>
        <v>COM</v>
      </c>
      <c r="G9822" t="str">
        <f>"DROGARIA TOTAL JUNDIAI (10177)"</f>
        <v>DROGARIA TOTAL JUNDIAI (10177)</v>
      </c>
      <c r="H9822" t="str">
        <f>"Serv.Prest. 03/11/2025 a 09/11/2025 - RPS: 1556 - NFSe: 3680"</f>
        <v>Serv.Prest. 03/11/2025 a 09/11/2025 - RPS: 1556 - NFSe: 3680</v>
      </c>
      <c r="I9822" t="str">
        <f t="shared" ref="I9822:I9836" si="1891">("12/11/2025")</f>
        <v>12/11/2025</v>
      </c>
      <c r="J9822" t="str">
        <f t="shared" ref="J9822:J9836" si="1892">("10/11/2025")</f>
        <v>10/11/2025</v>
      </c>
      <c r="K9822" t="str">
        <f>("12/11/2025")</f>
        <v>12/11/2025</v>
      </c>
      <c r="L9822">
        <v>902.42</v>
      </c>
      <c r="M9822">
        <v>902.42</v>
      </c>
      <c r="N9822">
        <v>303</v>
      </c>
      <c r="O9822" t="str">
        <f>"RECEITAS COM ENTREGAS"</f>
        <v>RECEITAS COM ENTREGAS</v>
      </c>
      <c r="P9822">
        <v>902.42</v>
      </c>
      <c r="S9822" t="str">
        <f>"RECEITAS COM ENTREGAS (303)"</f>
        <v>RECEITAS COM ENTREGAS (303)</v>
      </c>
      <c r="T9822">
        <v>21198</v>
      </c>
      <c r="U9822">
        <v>25042</v>
      </c>
      <c r="V9822" t="s">
        <v>22</v>
      </c>
    </row>
    <row r="9823" spans="1:22">
      <c r="A9823" t="str">
        <f t="shared" si="1886"/>
        <v>12/11/2025</v>
      </c>
      <c r="B9823" t="str">
        <f t="shared" si="1889"/>
        <v>ENTRADA</v>
      </c>
      <c r="C9823" t="str">
        <f t="shared" si="1890"/>
        <v>NFSE</v>
      </c>
      <c r="D9823" t="str">
        <f>"3680"</f>
        <v>3680</v>
      </c>
      <c r="E9823" t="str">
        <f t="shared" si="1888"/>
        <v>1</v>
      </c>
      <c r="F9823" t="str">
        <f t="shared" si="1885"/>
        <v>COM</v>
      </c>
      <c r="G9823" t="str">
        <f>"DROGARIA TOTAL JUNDIAI (10177)"</f>
        <v>DROGARIA TOTAL JUNDIAI (10177)</v>
      </c>
      <c r="H9823" t="s">
        <v>2792</v>
      </c>
      <c r="I9823" t="str">
        <f t="shared" si="1891"/>
        <v>12/11/2025</v>
      </c>
      <c r="J9823" t="str">
        <f t="shared" si="1892"/>
        <v>10/11/2025</v>
      </c>
      <c r="K9823">
        <v>45973</v>
      </c>
      <c r="N9823">
        <v>303</v>
      </c>
      <c r="O9823" t="s">
        <v>69</v>
      </c>
      <c r="Q9823">
        <v>902.42</v>
      </c>
      <c r="R9823" t="str">
        <f>"DROGARIA TOTAL JUNDIAI (10177)"</f>
        <v>DROGARIA TOTAL JUNDIAI (10177)</v>
      </c>
      <c r="S9823" t="s">
        <v>70</v>
      </c>
      <c r="T9823">
        <v>21198</v>
      </c>
      <c r="U9823">
        <v>25042</v>
      </c>
      <c r="V9823" t="s">
        <v>22</v>
      </c>
    </row>
    <row r="9824" spans="1:22">
      <c r="A9824" t="str">
        <f t="shared" si="1886"/>
        <v>12/11/2025</v>
      </c>
      <c r="B9824" t="str">
        <f t="shared" si="1889"/>
        <v>ENTRADA</v>
      </c>
      <c r="C9824" t="str">
        <f t="shared" si="1890"/>
        <v>NFSE</v>
      </c>
      <c r="D9824" t="str">
        <f>"3676"</f>
        <v>3676</v>
      </c>
      <c r="E9824" t="str">
        <f t="shared" si="1888"/>
        <v>1</v>
      </c>
      <c r="F9824" t="str">
        <f t="shared" si="1885"/>
        <v>COM</v>
      </c>
      <c r="G9824" t="str">
        <f>"FRAN FARMA (10124)"</f>
        <v>FRAN FARMA (10124)</v>
      </c>
      <c r="H9824" t="str">
        <f>"Serv.Prest. 03/11/2025 a 09/11/2025 - RPS: 1552 - NFSe: 3676"</f>
        <v>Serv.Prest. 03/11/2025 a 09/11/2025 - RPS: 1552 - NFSe: 3676</v>
      </c>
      <c r="I9824" t="str">
        <f t="shared" si="1891"/>
        <v>12/11/2025</v>
      </c>
      <c r="J9824" t="str">
        <f t="shared" si="1892"/>
        <v>10/11/2025</v>
      </c>
      <c r="K9824" t="str">
        <f>("12/11/2025")</f>
        <v>12/11/2025</v>
      </c>
      <c r="L9824">
        <v>840</v>
      </c>
      <c r="M9824">
        <v>840</v>
      </c>
      <c r="N9824">
        <v>303</v>
      </c>
      <c r="O9824" t="str">
        <f>"RECEITAS COM ENTREGAS"</f>
        <v>RECEITAS COM ENTREGAS</v>
      </c>
      <c r="P9824">
        <v>840</v>
      </c>
      <c r="S9824" t="str">
        <f>"RECEITAS COM ENTREGAS (303)"</f>
        <v>RECEITAS COM ENTREGAS (303)</v>
      </c>
      <c r="T9824">
        <v>21199</v>
      </c>
      <c r="U9824">
        <v>25027</v>
      </c>
      <c r="V9824" t="s">
        <v>22</v>
      </c>
    </row>
    <row r="9825" spans="1:22">
      <c r="A9825" t="str">
        <f t="shared" si="1886"/>
        <v>12/11/2025</v>
      </c>
      <c r="B9825" t="str">
        <f t="shared" si="1889"/>
        <v>ENTRADA</v>
      </c>
      <c r="C9825" t="str">
        <f t="shared" si="1890"/>
        <v>NFSE</v>
      </c>
      <c r="D9825" t="str">
        <f>"3676"</f>
        <v>3676</v>
      </c>
      <c r="E9825" t="str">
        <f t="shared" si="1888"/>
        <v>1</v>
      </c>
      <c r="F9825" t="str">
        <f t="shared" si="1885"/>
        <v>COM</v>
      </c>
      <c r="G9825" t="str">
        <f>"FRAN FARMA (10124)"</f>
        <v>FRAN FARMA (10124)</v>
      </c>
      <c r="H9825" t="s">
        <v>2793</v>
      </c>
      <c r="I9825" t="str">
        <f t="shared" si="1891"/>
        <v>12/11/2025</v>
      </c>
      <c r="J9825" t="str">
        <f t="shared" si="1892"/>
        <v>10/11/2025</v>
      </c>
      <c r="K9825">
        <v>45973</v>
      </c>
      <c r="N9825">
        <v>303</v>
      </c>
      <c r="O9825" t="s">
        <v>69</v>
      </c>
      <c r="Q9825">
        <v>504</v>
      </c>
      <c r="R9825" t="str">
        <f>"FRAN FARMA LJ 2 (10131)"</f>
        <v>FRAN FARMA LJ 2 (10131)</v>
      </c>
      <c r="S9825" t="s">
        <v>70</v>
      </c>
      <c r="T9825">
        <v>21199</v>
      </c>
      <c r="U9825">
        <v>25027</v>
      </c>
      <c r="V9825" t="s">
        <v>22</v>
      </c>
    </row>
    <row r="9826" spans="1:22">
      <c r="A9826" t="str">
        <f t="shared" si="1886"/>
        <v>12/11/2025</v>
      </c>
      <c r="B9826" t="str">
        <f t="shared" si="1889"/>
        <v>ENTRADA</v>
      </c>
      <c r="C9826" t="str">
        <f t="shared" si="1890"/>
        <v>NFSE</v>
      </c>
      <c r="D9826" t="str">
        <f>"3676"</f>
        <v>3676</v>
      </c>
      <c r="E9826" t="str">
        <f t="shared" si="1888"/>
        <v>1</v>
      </c>
      <c r="F9826" t="str">
        <f t="shared" si="1885"/>
        <v>COM</v>
      </c>
      <c r="G9826" t="str">
        <f>"FRAN FARMA (10124)"</f>
        <v>FRAN FARMA (10124)</v>
      </c>
      <c r="H9826" t="s">
        <v>2793</v>
      </c>
      <c r="I9826" t="str">
        <f t="shared" si="1891"/>
        <v>12/11/2025</v>
      </c>
      <c r="J9826" t="str">
        <f t="shared" si="1892"/>
        <v>10/11/2025</v>
      </c>
      <c r="K9826">
        <v>45973</v>
      </c>
      <c r="N9826">
        <v>303</v>
      </c>
      <c r="O9826" t="s">
        <v>69</v>
      </c>
      <c r="Q9826">
        <v>336</v>
      </c>
      <c r="R9826" t="str">
        <f>"FRAN FARMA LJ 3 (10132)"</f>
        <v>FRAN FARMA LJ 3 (10132)</v>
      </c>
      <c r="S9826" t="s">
        <v>70</v>
      </c>
      <c r="T9826">
        <v>21199</v>
      </c>
      <c r="U9826">
        <v>25027</v>
      </c>
      <c r="V9826" t="s">
        <v>22</v>
      </c>
    </row>
    <row r="9827" spans="1:22">
      <c r="A9827" t="str">
        <f t="shared" si="1886"/>
        <v>12/11/2025</v>
      </c>
      <c r="B9827" t="str">
        <f t="shared" si="1889"/>
        <v>ENTRADA</v>
      </c>
      <c r="C9827" t="str">
        <f t="shared" si="1890"/>
        <v>NFSE</v>
      </c>
      <c r="D9827" t="str">
        <f>"3675"</f>
        <v>3675</v>
      </c>
      <c r="E9827" t="str">
        <f t="shared" si="1888"/>
        <v>1</v>
      </c>
      <c r="F9827" t="str">
        <f t="shared" si="1885"/>
        <v>COM</v>
      </c>
      <c r="G9827" t="str">
        <f>"ENTREFARMA (10164)"</f>
        <v>ENTREFARMA (10164)</v>
      </c>
      <c r="H9827" t="str">
        <f>"Serv.Prest. 03/11/2025 a 09/11/2025 - RPS: 1551 - NFSe: 3675"</f>
        <v>Serv.Prest. 03/11/2025 a 09/11/2025 - RPS: 1551 - NFSe: 3675</v>
      </c>
      <c r="I9827" t="str">
        <f t="shared" si="1891"/>
        <v>12/11/2025</v>
      </c>
      <c r="J9827" t="str">
        <f t="shared" si="1892"/>
        <v>10/11/2025</v>
      </c>
      <c r="K9827" t="str">
        <f>("12/11/2025")</f>
        <v>12/11/2025</v>
      </c>
      <c r="L9827">
        <v>6502.5</v>
      </c>
      <c r="M9827">
        <v>6502.5</v>
      </c>
      <c r="N9827">
        <v>303</v>
      </c>
      <c r="O9827" t="str">
        <f>"RECEITAS COM ENTREGAS"</f>
        <v>RECEITAS COM ENTREGAS</v>
      </c>
      <c r="P9827">
        <v>6502.5</v>
      </c>
      <c r="S9827" t="str">
        <f>"RECEITAS COM ENTREGAS (303)"</f>
        <v>RECEITAS COM ENTREGAS (303)</v>
      </c>
      <c r="T9827">
        <v>21200</v>
      </c>
      <c r="U9827">
        <v>25022</v>
      </c>
      <c r="V9827" t="s">
        <v>22</v>
      </c>
    </row>
    <row r="9828" spans="1:22">
      <c r="A9828" t="str">
        <f t="shared" si="1886"/>
        <v>12/11/2025</v>
      </c>
      <c r="B9828" t="str">
        <f t="shared" si="1889"/>
        <v>ENTRADA</v>
      </c>
      <c r="C9828" t="str">
        <f t="shared" si="1890"/>
        <v>NFSE</v>
      </c>
      <c r="D9828" t="str">
        <f>"3675"</f>
        <v>3675</v>
      </c>
      <c r="E9828" t="str">
        <f t="shared" si="1888"/>
        <v>1</v>
      </c>
      <c r="F9828" t="str">
        <f t="shared" si="1885"/>
        <v>COM</v>
      </c>
      <c r="G9828" t="str">
        <f>"ENTREFARMA (10164)"</f>
        <v>ENTREFARMA (10164)</v>
      </c>
      <c r="H9828" t="s">
        <v>2794</v>
      </c>
      <c r="I9828" t="str">
        <f t="shared" si="1891"/>
        <v>12/11/2025</v>
      </c>
      <c r="J9828" t="str">
        <f t="shared" si="1892"/>
        <v>10/11/2025</v>
      </c>
      <c r="K9828">
        <v>45973</v>
      </c>
      <c r="N9828">
        <v>303</v>
      </c>
      <c r="O9828" t="s">
        <v>69</v>
      </c>
      <c r="Q9828">
        <v>6502.5</v>
      </c>
      <c r="R9828" t="str">
        <f>"ENTREFARMA (10164)"</f>
        <v>ENTREFARMA (10164)</v>
      </c>
      <c r="S9828" t="s">
        <v>70</v>
      </c>
      <c r="T9828">
        <v>21200</v>
      </c>
      <c r="U9828">
        <v>25022</v>
      </c>
      <c r="V9828" t="s">
        <v>22</v>
      </c>
    </row>
    <row r="9829" spans="1:22">
      <c r="A9829" t="str">
        <f t="shared" si="1886"/>
        <v>12/11/2025</v>
      </c>
      <c r="B9829" t="str">
        <f t="shared" si="1889"/>
        <v>ENTRADA</v>
      </c>
      <c r="C9829" t="str">
        <f t="shared" si="1890"/>
        <v>NFSE</v>
      </c>
      <c r="D9829" t="str">
        <f>"3683"</f>
        <v>3683</v>
      </c>
      <c r="E9829" t="str">
        <f t="shared" si="1888"/>
        <v>1</v>
      </c>
      <c r="F9829" t="str">
        <f t="shared" si="1885"/>
        <v>COM</v>
      </c>
      <c r="G9829" t="str">
        <f>"JAL FARMACIA E DROGARIA LJ 2 (10138)"</f>
        <v>JAL FARMACIA E DROGARIA LJ 2 (10138)</v>
      </c>
      <c r="H9829" t="str">
        <f>"Serv.Prest. 03/11/2025 a 09/11/2025 - RPS: 1559 - NFSe: 3683"</f>
        <v>Serv.Prest. 03/11/2025 a 09/11/2025 - RPS: 1559 - NFSe: 3683</v>
      </c>
      <c r="I9829" t="str">
        <f t="shared" si="1891"/>
        <v>12/11/2025</v>
      </c>
      <c r="J9829" t="str">
        <f t="shared" si="1892"/>
        <v>10/11/2025</v>
      </c>
      <c r="K9829" t="str">
        <f>("12/11/2025")</f>
        <v>12/11/2025</v>
      </c>
      <c r="L9829">
        <v>1538.5</v>
      </c>
      <c r="M9829">
        <v>1538.5</v>
      </c>
      <c r="N9829">
        <v>303</v>
      </c>
      <c r="O9829" t="str">
        <f>"RECEITAS COM ENTREGAS"</f>
        <v>RECEITAS COM ENTREGAS</v>
      </c>
      <c r="P9829">
        <v>1538.5</v>
      </c>
      <c r="S9829" t="str">
        <f>"RECEITAS COM ENTREGAS (303)"</f>
        <v>RECEITAS COM ENTREGAS (303)</v>
      </c>
      <c r="T9829">
        <v>21201</v>
      </c>
      <c r="U9829">
        <v>25056</v>
      </c>
      <c r="V9829" t="s">
        <v>22</v>
      </c>
    </row>
    <row r="9830" spans="1:22">
      <c r="A9830" t="str">
        <f t="shared" si="1886"/>
        <v>12/11/2025</v>
      </c>
      <c r="B9830" t="str">
        <f t="shared" si="1889"/>
        <v>ENTRADA</v>
      </c>
      <c r="C9830" t="str">
        <f t="shared" si="1890"/>
        <v>NFSE</v>
      </c>
      <c r="D9830" t="str">
        <f>"3683"</f>
        <v>3683</v>
      </c>
      <c r="E9830" t="str">
        <f t="shared" si="1888"/>
        <v>1</v>
      </c>
      <c r="F9830" t="str">
        <f t="shared" si="1885"/>
        <v>COM</v>
      </c>
      <c r="G9830" t="str">
        <f>"JAL FARMACIA E DROGARIA LJ 2 (10138)"</f>
        <v>JAL FARMACIA E DROGARIA LJ 2 (10138)</v>
      </c>
      <c r="H9830" t="s">
        <v>2795</v>
      </c>
      <c r="I9830" t="str">
        <f t="shared" si="1891"/>
        <v>12/11/2025</v>
      </c>
      <c r="J9830" t="str">
        <f t="shared" si="1892"/>
        <v>10/11/2025</v>
      </c>
      <c r="K9830">
        <v>45973</v>
      </c>
      <c r="N9830">
        <v>303</v>
      </c>
      <c r="O9830" t="s">
        <v>69</v>
      </c>
      <c r="Q9830">
        <v>1538.5</v>
      </c>
      <c r="R9830" t="str">
        <f>"JAL FARMACIA E DROGARIA LJ 2 (10138)"</f>
        <v>JAL FARMACIA E DROGARIA LJ 2 (10138)</v>
      </c>
      <c r="S9830" t="s">
        <v>70</v>
      </c>
      <c r="T9830">
        <v>21201</v>
      </c>
      <c r="U9830">
        <v>25056</v>
      </c>
      <c r="V9830" t="s">
        <v>22</v>
      </c>
    </row>
    <row r="9831" spans="1:22">
      <c r="A9831" t="str">
        <f t="shared" si="1886"/>
        <v>12/11/2025</v>
      </c>
      <c r="B9831" t="str">
        <f t="shared" si="1889"/>
        <v>ENTRADA</v>
      </c>
      <c r="C9831" t="str">
        <f t="shared" si="1890"/>
        <v>NFSE</v>
      </c>
      <c r="D9831" t="str">
        <f>"3672"</f>
        <v>3672</v>
      </c>
      <c r="E9831" t="str">
        <f t="shared" si="1888"/>
        <v>1</v>
      </c>
      <c r="F9831" t="str">
        <f t="shared" si="1885"/>
        <v>COM</v>
      </c>
      <c r="G9831" t="str">
        <f>"DROGARIA AGAPEAMA (10167)"</f>
        <v>DROGARIA AGAPEAMA (10167)</v>
      </c>
      <c r="H9831" t="str">
        <f>"Serv.Prest. 03/11/2025 a 09/11/2025 - RPS: 1548 - NFSe: 3672"</f>
        <v>Serv.Prest. 03/11/2025 a 09/11/2025 - RPS: 1548 - NFSe: 3672</v>
      </c>
      <c r="I9831" t="str">
        <f t="shared" si="1891"/>
        <v>12/11/2025</v>
      </c>
      <c r="J9831" t="str">
        <f t="shared" si="1892"/>
        <v>10/11/2025</v>
      </c>
      <c r="K9831" t="str">
        <f>("12/11/2025")</f>
        <v>12/11/2025</v>
      </c>
      <c r="L9831">
        <v>3578.4</v>
      </c>
      <c r="M9831">
        <v>3578.4</v>
      </c>
      <c r="N9831">
        <v>303</v>
      </c>
      <c r="O9831" t="str">
        <f>"RECEITAS COM ENTREGAS"</f>
        <v>RECEITAS COM ENTREGAS</v>
      </c>
      <c r="P9831">
        <v>3578.4</v>
      </c>
      <c r="S9831" t="str">
        <f>"RECEITAS COM ENTREGAS (303)"</f>
        <v>RECEITAS COM ENTREGAS (303)</v>
      </c>
      <c r="T9831">
        <v>21202</v>
      </c>
      <c r="U9831">
        <v>25010</v>
      </c>
      <c r="V9831" t="s">
        <v>22</v>
      </c>
    </row>
    <row r="9832" spans="1:22">
      <c r="A9832" t="str">
        <f t="shared" ref="A9832:A9863" si="1893">("12/11/2025")</f>
        <v>12/11/2025</v>
      </c>
      <c r="B9832" t="str">
        <f t="shared" si="1889"/>
        <v>ENTRADA</v>
      </c>
      <c r="C9832" t="str">
        <f t="shared" si="1890"/>
        <v>NFSE</v>
      </c>
      <c r="D9832" t="str">
        <f>"3672"</f>
        <v>3672</v>
      </c>
      <c r="E9832" t="str">
        <f t="shared" si="1888"/>
        <v>1</v>
      </c>
      <c r="F9832" t="str">
        <f t="shared" si="1885"/>
        <v>COM</v>
      </c>
      <c r="G9832" t="str">
        <f>"DROGARIA AGAPEAMA (10167)"</f>
        <v>DROGARIA AGAPEAMA (10167)</v>
      </c>
      <c r="H9832" t="s">
        <v>2796</v>
      </c>
      <c r="I9832" t="str">
        <f t="shared" si="1891"/>
        <v>12/11/2025</v>
      </c>
      <c r="J9832" t="str">
        <f t="shared" si="1892"/>
        <v>10/11/2025</v>
      </c>
      <c r="K9832">
        <v>45973</v>
      </c>
      <c r="N9832">
        <v>303</v>
      </c>
      <c r="O9832" t="s">
        <v>69</v>
      </c>
      <c r="Q9832">
        <v>3578.4</v>
      </c>
      <c r="R9832" t="str">
        <f>"DROGARIA AGAPEAMA (10167)"</f>
        <v>DROGARIA AGAPEAMA (10167)</v>
      </c>
      <c r="S9832" t="s">
        <v>70</v>
      </c>
      <c r="T9832">
        <v>21202</v>
      </c>
      <c r="U9832">
        <v>25010</v>
      </c>
      <c r="V9832" t="s">
        <v>22</v>
      </c>
    </row>
    <row r="9833" spans="1:22">
      <c r="A9833" t="str">
        <f t="shared" si="1893"/>
        <v>12/11/2025</v>
      </c>
      <c r="B9833" t="str">
        <f t="shared" si="1889"/>
        <v>ENTRADA</v>
      </c>
      <c r="C9833" t="str">
        <f t="shared" si="1890"/>
        <v>NFSE</v>
      </c>
      <c r="D9833" t="str">
        <f>"3679"</f>
        <v>3679</v>
      </c>
      <c r="E9833" t="str">
        <f t="shared" si="1888"/>
        <v>1</v>
      </c>
      <c r="F9833" t="str">
        <f t="shared" si="1885"/>
        <v>COM</v>
      </c>
      <c r="G9833" t="str">
        <f>"DROGARIA MORENO LTDA (10171)"</f>
        <v>DROGARIA MORENO LTDA (10171)</v>
      </c>
      <c r="H9833" t="str">
        <f>"Serv.Prest. 03/11/2025 a 09/11/2025 - RPS: 1555 - NFSe: 3679"</f>
        <v>Serv.Prest. 03/11/2025 a 09/11/2025 - RPS: 1555 - NFSe: 3679</v>
      </c>
      <c r="I9833" t="str">
        <f t="shared" si="1891"/>
        <v>12/11/2025</v>
      </c>
      <c r="J9833" t="str">
        <f t="shared" si="1892"/>
        <v>10/11/2025</v>
      </c>
      <c r="K9833" t="str">
        <f>("12/11/2025")</f>
        <v>12/11/2025</v>
      </c>
      <c r="L9833">
        <v>3547.8</v>
      </c>
      <c r="M9833">
        <v>3547.8</v>
      </c>
      <c r="N9833">
        <v>303</v>
      </c>
      <c r="O9833" t="str">
        <f>"RECEITAS COM ENTREGAS"</f>
        <v>RECEITAS COM ENTREGAS</v>
      </c>
      <c r="P9833">
        <v>3547.8</v>
      </c>
      <c r="S9833" t="str">
        <f>"RECEITAS COM ENTREGAS (303)"</f>
        <v>RECEITAS COM ENTREGAS (303)</v>
      </c>
      <c r="T9833">
        <v>21203</v>
      </c>
      <c r="U9833">
        <v>25036</v>
      </c>
      <c r="V9833" t="s">
        <v>22</v>
      </c>
    </row>
    <row r="9834" spans="1:22">
      <c r="A9834" t="str">
        <f t="shared" si="1893"/>
        <v>12/11/2025</v>
      </c>
      <c r="B9834" t="str">
        <f t="shared" si="1889"/>
        <v>ENTRADA</v>
      </c>
      <c r="C9834" t="str">
        <f t="shared" si="1890"/>
        <v>NFSE</v>
      </c>
      <c r="D9834" t="str">
        <f>"3679"</f>
        <v>3679</v>
      </c>
      <c r="E9834" t="str">
        <f t="shared" si="1888"/>
        <v>1</v>
      </c>
      <c r="F9834" t="str">
        <f t="shared" si="1885"/>
        <v>COM</v>
      </c>
      <c r="G9834" t="str">
        <f>"DROGARIA MORENO LTDA (10171)"</f>
        <v>DROGARIA MORENO LTDA (10171)</v>
      </c>
      <c r="H9834" t="s">
        <v>2797</v>
      </c>
      <c r="I9834" t="str">
        <f t="shared" si="1891"/>
        <v>12/11/2025</v>
      </c>
      <c r="J9834" t="str">
        <f t="shared" si="1892"/>
        <v>10/11/2025</v>
      </c>
      <c r="K9834">
        <v>45973</v>
      </c>
      <c r="N9834">
        <v>303</v>
      </c>
      <c r="O9834" t="s">
        <v>69</v>
      </c>
      <c r="Q9834">
        <v>3547.8</v>
      </c>
      <c r="R9834" t="str">
        <f>"DROGARIA MORENO LTDA (10171)"</f>
        <v>DROGARIA MORENO LTDA (10171)</v>
      </c>
      <c r="S9834" t="s">
        <v>70</v>
      </c>
      <c r="T9834">
        <v>21203</v>
      </c>
      <c r="U9834">
        <v>25036</v>
      </c>
      <c r="V9834" t="s">
        <v>22</v>
      </c>
    </row>
    <row r="9835" spans="1:22">
      <c r="A9835" t="str">
        <f t="shared" si="1893"/>
        <v>12/11/2025</v>
      </c>
      <c r="B9835" t="str">
        <f t="shared" si="1889"/>
        <v>ENTRADA</v>
      </c>
      <c r="C9835" t="str">
        <f t="shared" si="1890"/>
        <v>NFSE</v>
      </c>
      <c r="D9835" t="str">
        <f>"3678"</f>
        <v>3678</v>
      </c>
      <c r="E9835" t="str">
        <f t="shared" si="1888"/>
        <v>1</v>
      </c>
      <c r="F9835" t="str">
        <f t="shared" si="1885"/>
        <v>COM</v>
      </c>
      <c r="G9835" t="str">
        <f>"DROGARIA MEDIC CENTER LTDA (10172)"</f>
        <v>DROGARIA MEDIC CENTER LTDA (10172)</v>
      </c>
      <c r="H9835" t="str">
        <f>"Serv.Prest. 03/11/2025 a 09/11/2025 - RPS: 1554 - NFSe: 3678"</f>
        <v>Serv.Prest. 03/11/2025 a 09/11/2025 - RPS: 1554 - NFSe: 3678</v>
      </c>
      <c r="I9835" t="str">
        <f t="shared" si="1891"/>
        <v>12/11/2025</v>
      </c>
      <c r="J9835" t="str">
        <f t="shared" si="1892"/>
        <v>10/11/2025</v>
      </c>
      <c r="K9835" t="str">
        <f>("12/11/2025")</f>
        <v>12/11/2025</v>
      </c>
      <c r="L9835">
        <v>1004.4</v>
      </c>
      <c r="M9835">
        <v>1004.4</v>
      </c>
      <c r="N9835">
        <v>303</v>
      </c>
      <c r="O9835" t="str">
        <f>"RECEITAS COM ENTREGAS"</f>
        <v>RECEITAS COM ENTREGAS</v>
      </c>
      <c r="P9835">
        <v>1004.4</v>
      </c>
      <c r="S9835" t="str">
        <f>"RECEITAS COM ENTREGAS (303)"</f>
        <v>RECEITAS COM ENTREGAS (303)</v>
      </c>
      <c r="T9835">
        <v>21204</v>
      </c>
      <c r="U9835">
        <v>25032</v>
      </c>
      <c r="V9835" t="s">
        <v>22</v>
      </c>
    </row>
    <row r="9836" spans="1:22">
      <c r="A9836" t="str">
        <f t="shared" si="1893"/>
        <v>12/11/2025</v>
      </c>
      <c r="B9836" t="str">
        <f t="shared" si="1889"/>
        <v>ENTRADA</v>
      </c>
      <c r="C9836" t="str">
        <f t="shared" si="1890"/>
        <v>NFSE</v>
      </c>
      <c r="D9836" t="str">
        <f>"3678"</f>
        <v>3678</v>
      </c>
      <c r="E9836" t="str">
        <f t="shared" si="1888"/>
        <v>1</v>
      </c>
      <c r="F9836" t="str">
        <f t="shared" si="1885"/>
        <v>COM</v>
      </c>
      <c r="G9836" t="str">
        <f>"DROGARIA MEDIC CENTER LTDA (10172)"</f>
        <v>DROGARIA MEDIC CENTER LTDA (10172)</v>
      </c>
      <c r="H9836" t="s">
        <v>2798</v>
      </c>
      <c r="I9836" t="str">
        <f t="shared" si="1891"/>
        <v>12/11/2025</v>
      </c>
      <c r="J9836" t="str">
        <f t="shared" si="1892"/>
        <v>10/11/2025</v>
      </c>
      <c r="K9836">
        <v>45973</v>
      </c>
      <c r="N9836">
        <v>303</v>
      </c>
      <c r="O9836" t="s">
        <v>69</v>
      </c>
      <c r="Q9836">
        <v>1004.4</v>
      </c>
      <c r="R9836" t="str">
        <f>"DROGARIA MEDIC CENTER LTDA (10172)"</f>
        <v>DROGARIA MEDIC CENTER LTDA (10172)</v>
      </c>
      <c r="S9836" t="s">
        <v>70</v>
      </c>
      <c r="T9836">
        <v>21204</v>
      </c>
      <c r="U9836">
        <v>25032</v>
      </c>
      <c r="V9836" t="s">
        <v>22</v>
      </c>
    </row>
    <row r="9837" spans="1:22">
      <c r="A9837" t="str">
        <f t="shared" si="1893"/>
        <v>12/11/2025</v>
      </c>
      <c r="B9837" t="str">
        <f t="shared" si="1889"/>
        <v>ENTRADA</v>
      </c>
      <c r="C9837" t="str">
        <f t="shared" si="1890"/>
        <v>NFSE</v>
      </c>
      <c r="D9837" t="str">
        <f t="shared" ref="D9837:D9842" si="1894">"3653"</f>
        <v>3653</v>
      </c>
      <c r="E9837" t="str">
        <f t="shared" si="1888"/>
        <v>1</v>
      </c>
      <c r="F9837" t="str">
        <f t="shared" si="1885"/>
        <v>COM</v>
      </c>
      <c r="G9837" t="str">
        <f t="shared" ref="G9837:G9842" si="1895">"DROGALIDER 31 (10256)"</f>
        <v>DROGALIDER 31 (10256)</v>
      </c>
      <c r="H9837" t="str">
        <f>"Serv.Prest. 27/10/2025 a 02/11/2025 - RPS: 1529 - NFSe: 3653"</f>
        <v>Serv.Prest. 27/10/2025 a 02/11/2025 - RPS: 1529 - NFSe: 3653</v>
      </c>
      <c r="I9837" t="str">
        <f t="shared" ref="I9837:I9848" si="1896">("11/11/2025")</f>
        <v>11/11/2025</v>
      </c>
      <c r="J9837" t="str">
        <f t="shared" ref="J9837:J9848" si="1897">("05/11/2025")</f>
        <v>05/11/2025</v>
      </c>
      <c r="K9837" t="str">
        <f>("12/11/2025")</f>
        <v>12/11/2025</v>
      </c>
      <c r="L9837">
        <v>1934.6</v>
      </c>
      <c r="M9837">
        <v>1934.6</v>
      </c>
      <c r="N9837">
        <v>303</v>
      </c>
      <c r="O9837" t="str">
        <f>"RECEITAS COM ENTREGAS"</f>
        <v>RECEITAS COM ENTREGAS</v>
      </c>
      <c r="P9837">
        <v>1934.6</v>
      </c>
      <c r="S9837" t="str">
        <f>"RECEITAS COM ENTREGAS (303)"</f>
        <v>RECEITAS COM ENTREGAS (303)</v>
      </c>
      <c r="T9837">
        <v>21205</v>
      </c>
      <c r="U9837">
        <v>24914</v>
      </c>
      <c r="V9837" t="s">
        <v>22</v>
      </c>
    </row>
    <row r="9838" spans="1:22">
      <c r="A9838" t="str">
        <f t="shared" si="1893"/>
        <v>12/11/2025</v>
      </c>
      <c r="B9838" t="str">
        <f t="shared" si="1889"/>
        <v>ENTRADA</v>
      </c>
      <c r="C9838" t="str">
        <f t="shared" si="1890"/>
        <v>NFSE</v>
      </c>
      <c r="D9838" t="str">
        <f t="shared" si="1894"/>
        <v>3653</v>
      </c>
      <c r="E9838" t="str">
        <f t="shared" si="1888"/>
        <v>1</v>
      </c>
      <c r="F9838" t="str">
        <f t="shared" si="1885"/>
        <v>COM</v>
      </c>
      <c r="G9838" t="str">
        <f t="shared" si="1895"/>
        <v>DROGALIDER 31 (10256)</v>
      </c>
      <c r="H9838" t="s">
        <v>2799</v>
      </c>
      <c r="I9838" t="str">
        <f t="shared" si="1896"/>
        <v>11/11/2025</v>
      </c>
      <c r="J9838" t="str">
        <f t="shared" si="1897"/>
        <v>05/11/2025</v>
      </c>
      <c r="K9838">
        <v>45973</v>
      </c>
      <c r="N9838">
        <v>303</v>
      </c>
      <c r="O9838" t="s">
        <v>69</v>
      </c>
      <c r="Q9838">
        <v>363.72</v>
      </c>
      <c r="R9838" t="str">
        <f>"DROGALIDER 42 (10247)"</f>
        <v>DROGALIDER 42 (10247)</v>
      </c>
      <c r="S9838" t="s">
        <v>70</v>
      </c>
      <c r="T9838">
        <v>21205</v>
      </c>
      <c r="U9838">
        <v>24914</v>
      </c>
      <c r="V9838" t="s">
        <v>22</v>
      </c>
    </row>
    <row r="9839" spans="1:22">
      <c r="A9839" t="str">
        <f t="shared" si="1893"/>
        <v>12/11/2025</v>
      </c>
      <c r="B9839" t="str">
        <f t="shared" si="1889"/>
        <v>ENTRADA</v>
      </c>
      <c r="C9839" t="str">
        <f t="shared" si="1890"/>
        <v>NFSE</v>
      </c>
      <c r="D9839" t="str">
        <f t="shared" si="1894"/>
        <v>3653</v>
      </c>
      <c r="E9839" t="str">
        <f t="shared" si="1888"/>
        <v>1</v>
      </c>
      <c r="F9839" t="str">
        <f t="shared" si="1885"/>
        <v>COM</v>
      </c>
      <c r="G9839" t="str">
        <f t="shared" si="1895"/>
        <v>DROGALIDER 31 (10256)</v>
      </c>
      <c r="H9839" t="s">
        <v>2799</v>
      </c>
      <c r="I9839" t="str">
        <f t="shared" si="1896"/>
        <v>11/11/2025</v>
      </c>
      <c r="J9839" t="str">
        <f t="shared" si="1897"/>
        <v>05/11/2025</v>
      </c>
      <c r="K9839">
        <v>45973</v>
      </c>
      <c r="N9839">
        <v>303</v>
      </c>
      <c r="O9839" t="s">
        <v>69</v>
      </c>
      <c r="Q9839">
        <v>363.7</v>
      </c>
      <c r="R9839" t="str">
        <f>"DROGALIDER 55 (10249)"</f>
        <v>DROGALIDER 55 (10249)</v>
      </c>
      <c r="S9839" t="s">
        <v>70</v>
      </c>
      <c r="T9839">
        <v>21205</v>
      </c>
      <c r="U9839">
        <v>24914</v>
      </c>
      <c r="V9839" t="s">
        <v>22</v>
      </c>
    </row>
    <row r="9840" spans="1:22">
      <c r="A9840" t="str">
        <f t="shared" si="1893"/>
        <v>12/11/2025</v>
      </c>
      <c r="B9840" t="str">
        <f t="shared" si="1889"/>
        <v>ENTRADA</v>
      </c>
      <c r="C9840" t="str">
        <f t="shared" si="1890"/>
        <v>NFSE</v>
      </c>
      <c r="D9840" t="str">
        <f t="shared" si="1894"/>
        <v>3653</v>
      </c>
      <c r="E9840" t="str">
        <f t="shared" si="1888"/>
        <v>1</v>
      </c>
      <c r="F9840" t="str">
        <f t="shared" si="1885"/>
        <v>COM</v>
      </c>
      <c r="G9840" t="str">
        <f t="shared" si="1895"/>
        <v>DROGALIDER 31 (10256)</v>
      </c>
      <c r="H9840" t="s">
        <v>2799</v>
      </c>
      <c r="I9840" t="str">
        <f t="shared" si="1896"/>
        <v>11/11/2025</v>
      </c>
      <c r="J9840" t="str">
        <f t="shared" si="1897"/>
        <v>05/11/2025</v>
      </c>
      <c r="K9840">
        <v>45973</v>
      </c>
      <c r="N9840">
        <v>303</v>
      </c>
      <c r="O9840" t="s">
        <v>69</v>
      </c>
      <c r="Q9840">
        <v>363.7</v>
      </c>
      <c r="R9840" t="str">
        <f>"DROGALIDER 67 (10252)"</f>
        <v>DROGALIDER 67 (10252)</v>
      </c>
      <c r="S9840" t="s">
        <v>70</v>
      </c>
      <c r="T9840">
        <v>21205</v>
      </c>
      <c r="U9840">
        <v>24914</v>
      </c>
      <c r="V9840" t="s">
        <v>22</v>
      </c>
    </row>
    <row r="9841" spans="1:22">
      <c r="A9841" t="str">
        <f t="shared" si="1893"/>
        <v>12/11/2025</v>
      </c>
      <c r="B9841" t="str">
        <f t="shared" si="1889"/>
        <v>ENTRADA</v>
      </c>
      <c r="C9841" t="str">
        <f t="shared" si="1890"/>
        <v>NFSE</v>
      </c>
      <c r="D9841" t="str">
        <f t="shared" si="1894"/>
        <v>3653</v>
      </c>
      <c r="E9841" t="str">
        <f t="shared" si="1888"/>
        <v>1</v>
      </c>
      <c r="F9841" t="str">
        <f t="shared" si="1885"/>
        <v>COM</v>
      </c>
      <c r="G9841" t="str">
        <f t="shared" si="1895"/>
        <v>DROGALIDER 31 (10256)</v>
      </c>
      <c r="H9841" t="s">
        <v>2799</v>
      </c>
      <c r="I9841" t="str">
        <f t="shared" si="1896"/>
        <v>11/11/2025</v>
      </c>
      <c r="J9841" t="str">
        <f t="shared" si="1897"/>
        <v>05/11/2025</v>
      </c>
      <c r="K9841">
        <v>45973</v>
      </c>
      <c r="N9841">
        <v>303</v>
      </c>
      <c r="O9841" t="s">
        <v>69</v>
      </c>
      <c r="Q9841">
        <v>363.7</v>
      </c>
      <c r="R9841" t="str">
        <f>"DROGALIDER 68 (10253)"</f>
        <v>DROGALIDER 68 (10253)</v>
      </c>
      <c r="S9841" t="s">
        <v>70</v>
      </c>
      <c r="T9841">
        <v>21205</v>
      </c>
      <c r="U9841">
        <v>24914</v>
      </c>
      <c r="V9841" t="s">
        <v>22</v>
      </c>
    </row>
    <row r="9842" spans="1:22">
      <c r="A9842" t="str">
        <f t="shared" si="1893"/>
        <v>12/11/2025</v>
      </c>
      <c r="B9842" t="str">
        <f t="shared" si="1889"/>
        <v>ENTRADA</v>
      </c>
      <c r="C9842" t="str">
        <f t="shared" si="1890"/>
        <v>NFSE</v>
      </c>
      <c r="D9842" t="str">
        <f t="shared" si="1894"/>
        <v>3653</v>
      </c>
      <c r="E9842" t="str">
        <f t="shared" si="1888"/>
        <v>1</v>
      </c>
      <c r="F9842" t="str">
        <f t="shared" si="1885"/>
        <v>COM</v>
      </c>
      <c r="G9842" t="str">
        <f t="shared" si="1895"/>
        <v>DROGALIDER 31 (10256)</v>
      </c>
      <c r="H9842" t="s">
        <v>2799</v>
      </c>
      <c r="I9842" t="str">
        <f t="shared" si="1896"/>
        <v>11/11/2025</v>
      </c>
      <c r="J9842" t="str">
        <f t="shared" si="1897"/>
        <v>05/11/2025</v>
      </c>
      <c r="K9842">
        <v>45973</v>
      </c>
      <c r="N9842">
        <v>303</v>
      </c>
      <c r="O9842" t="s">
        <v>69</v>
      </c>
      <c r="Q9842">
        <v>479.78</v>
      </c>
      <c r="R9842" t="str">
        <f>"DROGALIDER 31 (10256)"</f>
        <v>DROGALIDER 31 (10256)</v>
      </c>
      <c r="S9842" t="s">
        <v>70</v>
      </c>
      <c r="T9842">
        <v>21205</v>
      </c>
      <c r="U9842">
        <v>24914</v>
      </c>
      <c r="V9842" t="s">
        <v>22</v>
      </c>
    </row>
    <row r="9843" spans="1:22">
      <c r="A9843" t="str">
        <f t="shared" si="1893"/>
        <v>12/11/2025</v>
      </c>
      <c r="B9843" t="str">
        <f t="shared" si="1889"/>
        <v>ENTRADA</v>
      </c>
      <c r="C9843" t="str">
        <f t="shared" si="1890"/>
        <v>NFSE</v>
      </c>
      <c r="D9843" t="str">
        <f t="shared" ref="D9843:D9848" si="1898">"3652"</f>
        <v>3652</v>
      </c>
      <c r="E9843" t="str">
        <f t="shared" si="1888"/>
        <v>1</v>
      </c>
      <c r="F9843" t="str">
        <f t="shared" si="1885"/>
        <v>COM</v>
      </c>
      <c r="G9843" t="str">
        <f t="shared" ref="G9843:G9848" si="1899">"DROGALIDER 25 (10246)"</f>
        <v>DROGALIDER 25 (10246)</v>
      </c>
      <c r="H9843" t="str">
        <f>"Serv.Prest. 27/10/2025 a 02/11/2025 - RPS: 1528 - NFSe: 3652"</f>
        <v>Serv.Prest. 27/10/2025 a 02/11/2025 - RPS: 1528 - NFSe: 3652</v>
      </c>
      <c r="I9843" t="str">
        <f t="shared" si="1896"/>
        <v>11/11/2025</v>
      </c>
      <c r="J9843" t="str">
        <f t="shared" si="1897"/>
        <v>05/11/2025</v>
      </c>
      <c r="K9843" t="str">
        <f>("12/11/2025")</f>
        <v>12/11/2025</v>
      </c>
      <c r="L9843">
        <v>2700</v>
      </c>
      <c r="M9843">
        <v>2700</v>
      </c>
      <c r="N9843">
        <v>303</v>
      </c>
      <c r="O9843" t="str">
        <f>"RECEITAS COM ENTREGAS"</f>
        <v>RECEITAS COM ENTREGAS</v>
      </c>
      <c r="P9843">
        <v>2700</v>
      </c>
      <c r="S9843" t="str">
        <f>"RECEITAS COM ENTREGAS (303)"</f>
        <v>RECEITAS COM ENTREGAS (303)</v>
      </c>
      <c r="T9843">
        <v>21206</v>
      </c>
      <c r="U9843">
        <v>24902</v>
      </c>
      <c r="V9843" t="s">
        <v>22</v>
      </c>
    </row>
    <row r="9844" spans="1:22">
      <c r="A9844" t="str">
        <f t="shared" si="1893"/>
        <v>12/11/2025</v>
      </c>
      <c r="B9844" t="str">
        <f t="shared" si="1889"/>
        <v>ENTRADA</v>
      </c>
      <c r="C9844" t="str">
        <f t="shared" si="1890"/>
        <v>NFSE</v>
      </c>
      <c r="D9844" t="str">
        <f t="shared" si="1898"/>
        <v>3652</v>
      </c>
      <c r="E9844" t="str">
        <f t="shared" si="1888"/>
        <v>1</v>
      </c>
      <c r="F9844" t="str">
        <f t="shared" si="1885"/>
        <v>COM</v>
      </c>
      <c r="G9844" t="str">
        <f t="shared" si="1899"/>
        <v>DROGALIDER 25 (10246)</v>
      </c>
      <c r="H9844" t="s">
        <v>2800</v>
      </c>
      <c r="I9844" t="str">
        <f t="shared" si="1896"/>
        <v>11/11/2025</v>
      </c>
      <c r="J9844" t="str">
        <f t="shared" si="1897"/>
        <v>05/11/2025</v>
      </c>
      <c r="K9844">
        <v>45973</v>
      </c>
      <c r="N9844">
        <v>303</v>
      </c>
      <c r="O9844" t="s">
        <v>69</v>
      </c>
      <c r="Q9844">
        <v>540</v>
      </c>
      <c r="R9844" t="str">
        <f>"DROGALIDER 58 (10213)"</f>
        <v>DROGALIDER 58 (10213)</v>
      </c>
      <c r="S9844" t="s">
        <v>70</v>
      </c>
      <c r="T9844">
        <v>21206</v>
      </c>
      <c r="U9844">
        <v>24902</v>
      </c>
      <c r="V9844" t="s">
        <v>22</v>
      </c>
    </row>
    <row r="9845" spans="1:22">
      <c r="A9845" t="str">
        <f t="shared" si="1893"/>
        <v>12/11/2025</v>
      </c>
      <c r="B9845" t="str">
        <f t="shared" si="1889"/>
        <v>ENTRADA</v>
      </c>
      <c r="C9845" t="str">
        <f t="shared" si="1890"/>
        <v>NFSE</v>
      </c>
      <c r="D9845" t="str">
        <f t="shared" si="1898"/>
        <v>3652</v>
      </c>
      <c r="E9845" t="str">
        <f t="shared" si="1888"/>
        <v>1</v>
      </c>
      <c r="F9845" t="str">
        <f t="shared" si="1885"/>
        <v>COM</v>
      </c>
      <c r="G9845" t="str">
        <f t="shared" si="1899"/>
        <v>DROGALIDER 25 (10246)</v>
      </c>
      <c r="H9845" t="s">
        <v>2800</v>
      </c>
      <c r="I9845" t="str">
        <f t="shared" si="1896"/>
        <v>11/11/2025</v>
      </c>
      <c r="J9845" t="str">
        <f t="shared" si="1897"/>
        <v>05/11/2025</v>
      </c>
      <c r="K9845">
        <v>45973</v>
      </c>
      <c r="N9845">
        <v>303</v>
      </c>
      <c r="O9845" t="s">
        <v>69</v>
      </c>
      <c r="Q9845">
        <v>548.91</v>
      </c>
      <c r="R9845" t="str">
        <f>"DROGALIDER 25 (10246)"</f>
        <v>DROGALIDER 25 (10246)</v>
      </c>
      <c r="S9845" t="s">
        <v>70</v>
      </c>
      <c r="T9845">
        <v>21206</v>
      </c>
      <c r="U9845">
        <v>24902</v>
      </c>
      <c r="V9845" t="s">
        <v>22</v>
      </c>
    </row>
    <row r="9846" spans="1:22">
      <c r="A9846" t="str">
        <f t="shared" si="1893"/>
        <v>12/11/2025</v>
      </c>
      <c r="B9846" t="str">
        <f t="shared" si="1889"/>
        <v>ENTRADA</v>
      </c>
      <c r="C9846" t="str">
        <f t="shared" si="1890"/>
        <v>NFSE</v>
      </c>
      <c r="D9846" t="str">
        <f t="shared" si="1898"/>
        <v>3652</v>
      </c>
      <c r="E9846" t="str">
        <f t="shared" si="1888"/>
        <v>1</v>
      </c>
      <c r="F9846" t="str">
        <f t="shared" si="1885"/>
        <v>COM</v>
      </c>
      <c r="G9846" t="str">
        <f t="shared" si="1899"/>
        <v>DROGALIDER 25 (10246)</v>
      </c>
      <c r="H9846" t="s">
        <v>2800</v>
      </c>
      <c r="I9846" t="str">
        <f t="shared" si="1896"/>
        <v>11/11/2025</v>
      </c>
      <c r="J9846" t="str">
        <f t="shared" si="1897"/>
        <v>05/11/2025</v>
      </c>
      <c r="K9846">
        <v>45973</v>
      </c>
      <c r="N9846">
        <v>303</v>
      </c>
      <c r="O9846" t="s">
        <v>69</v>
      </c>
      <c r="Q9846">
        <v>531.09</v>
      </c>
      <c r="R9846" t="str">
        <f>"DROGALIDER 46 (10248)"</f>
        <v>DROGALIDER 46 (10248)</v>
      </c>
      <c r="S9846" t="s">
        <v>70</v>
      </c>
      <c r="T9846">
        <v>21206</v>
      </c>
      <c r="U9846">
        <v>24902</v>
      </c>
      <c r="V9846" t="s">
        <v>22</v>
      </c>
    </row>
    <row r="9847" spans="1:22">
      <c r="A9847" t="str">
        <f t="shared" si="1893"/>
        <v>12/11/2025</v>
      </c>
      <c r="B9847" t="str">
        <f t="shared" si="1889"/>
        <v>ENTRADA</v>
      </c>
      <c r="C9847" t="str">
        <f t="shared" si="1890"/>
        <v>NFSE</v>
      </c>
      <c r="D9847" t="str">
        <f t="shared" si="1898"/>
        <v>3652</v>
      </c>
      <c r="E9847" t="str">
        <f t="shared" si="1888"/>
        <v>1</v>
      </c>
      <c r="F9847" t="str">
        <f t="shared" ref="F9847:F9910" si="1900">"COM"</f>
        <v>COM</v>
      </c>
      <c r="G9847" t="str">
        <f t="shared" si="1899"/>
        <v>DROGALIDER 25 (10246)</v>
      </c>
      <c r="H9847" t="s">
        <v>2800</v>
      </c>
      <c r="I9847" t="str">
        <f t="shared" si="1896"/>
        <v>11/11/2025</v>
      </c>
      <c r="J9847" t="str">
        <f t="shared" si="1897"/>
        <v>05/11/2025</v>
      </c>
      <c r="K9847">
        <v>45973</v>
      </c>
      <c r="N9847">
        <v>303</v>
      </c>
      <c r="O9847" t="s">
        <v>69</v>
      </c>
      <c r="Q9847">
        <v>540</v>
      </c>
      <c r="R9847" t="str">
        <f>"DROGALIDER 64 (10250)"</f>
        <v>DROGALIDER 64 (10250)</v>
      </c>
      <c r="S9847" t="s">
        <v>70</v>
      </c>
      <c r="T9847">
        <v>21206</v>
      </c>
      <c r="U9847">
        <v>24902</v>
      </c>
      <c r="V9847" t="s">
        <v>22</v>
      </c>
    </row>
    <row r="9848" spans="1:22">
      <c r="A9848" t="str">
        <f t="shared" si="1893"/>
        <v>12/11/2025</v>
      </c>
      <c r="B9848" t="str">
        <f t="shared" si="1889"/>
        <v>ENTRADA</v>
      </c>
      <c r="C9848" t="str">
        <f t="shared" si="1890"/>
        <v>NFSE</v>
      </c>
      <c r="D9848" t="str">
        <f t="shared" si="1898"/>
        <v>3652</v>
      </c>
      <c r="E9848" t="str">
        <f t="shared" si="1888"/>
        <v>1</v>
      </c>
      <c r="F9848" t="str">
        <f t="shared" si="1900"/>
        <v>COM</v>
      </c>
      <c r="G9848" t="str">
        <f t="shared" si="1899"/>
        <v>DROGALIDER 25 (10246)</v>
      </c>
      <c r="H9848" t="s">
        <v>2800</v>
      </c>
      <c r="I9848" t="str">
        <f t="shared" si="1896"/>
        <v>11/11/2025</v>
      </c>
      <c r="J9848" t="str">
        <f t="shared" si="1897"/>
        <v>05/11/2025</v>
      </c>
      <c r="K9848">
        <v>45973</v>
      </c>
      <c r="N9848">
        <v>303</v>
      </c>
      <c r="O9848" t="s">
        <v>69</v>
      </c>
      <c r="Q9848">
        <v>540</v>
      </c>
      <c r="R9848" t="str">
        <f>"DROGALIDER 66 (10251)"</f>
        <v>DROGALIDER 66 (10251)</v>
      </c>
      <c r="S9848" t="s">
        <v>70</v>
      </c>
      <c r="T9848">
        <v>21206</v>
      </c>
      <c r="U9848">
        <v>24902</v>
      </c>
      <c r="V9848" t="s">
        <v>22</v>
      </c>
    </row>
    <row r="9849" spans="1:22">
      <c r="A9849" t="str">
        <f t="shared" si="1893"/>
        <v>12/11/2025</v>
      </c>
      <c r="B9849" t="str">
        <f t="shared" si="1889"/>
        <v>ENTRADA</v>
      </c>
      <c r="C9849" t="str">
        <f t="shared" si="1890"/>
        <v>NFSE</v>
      </c>
      <c r="D9849" t="str">
        <f>"1211"</f>
        <v>1211</v>
      </c>
      <c r="E9849" t="str">
        <f>"25"</f>
        <v>25</v>
      </c>
      <c r="F9849" t="str">
        <f t="shared" si="1900"/>
        <v>COM</v>
      </c>
      <c r="G9849" t="str">
        <f>"ULTRA POPULAR  UBA 2 (10214)"</f>
        <v>ULTRA POPULAR  UBA 2 (10214)</v>
      </c>
      <c r="H9849" t="str">
        <f>"ADIANTAMENTO Serv.Prest. 03/11/2025 a 09/11/2025 - RPS: 1553 - NFSe: 3677"</f>
        <v>ADIANTAMENTO Serv.Prest. 03/11/2025 a 09/11/2025 - RPS: 1553 - NFSe: 3677</v>
      </c>
      <c r="I9849" t="str">
        <f>("12/11/2025")</f>
        <v>12/11/2025</v>
      </c>
      <c r="J9849" t="str">
        <f>("12/11/2025")</f>
        <v>12/11/2025</v>
      </c>
      <c r="K9849" t="str">
        <f>("12/11/2025")</f>
        <v>12/11/2025</v>
      </c>
      <c r="L9849">
        <v>5481.38</v>
      </c>
      <c r="M9849">
        <v>5481.38</v>
      </c>
      <c r="N9849">
        <v>108</v>
      </c>
      <c r="O9849" t="str">
        <f>"RECEITAS COM REEMBOLSOS"</f>
        <v>RECEITAS COM REEMBOLSOS</v>
      </c>
      <c r="P9849">
        <v>5481.38</v>
      </c>
      <c r="S9849" t="str">
        <f>"RECEITAS COM REEMBOLSOS (108)"</f>
        <v>RECEITAS COM REEMBOLSOS (108)</v>
      </c>
      <c r="T9849">
        <v>21244</v>
      </c>
      <c r="U9849">
        <v>25878</v>
      </c>
      <c r="V9849" t="s">
        <v>22</v>
      </c>
    </row>
    <row r="9850" spans="1:22">
      <c r="A9850" t="str">
        <f t="shared" si="1893"/>
        <v>12/11/2025</v>
      </c>
      <c r="B9850" t="str">
        <f t="shared" si="1889"/>
        <v>ENTRADA</v>
      </c>
      <c r="C9850" t="str">
        <f t="shared" si="1890"/>
        <v>NFSE</v>
      </c>
      <c r="D9850" t="str">
        <f>"1211"</f>
        <v>1211</v>
      </c>
      <c r="E9850" t="str">
        <f>"25"</f>
        <v>25</v>
      </c>
      <c r="F9850" t="str">
        <f t="shared" si="1900"/>
        <v>COM</v>
      </c>
      <c r="G9850" t="str">
        <f>"ULTRA POPULAR  UBA 2 (10214)"</f>
        <v>ULTRA POPULAR  UBA 2 (10214)</v>
      </c>
      <c r="H9850" t="s">
        <v>2801</v>
      </c>
      <c r="I9850" t="str">
        <f>("12/11/2025")</f>
        <v>12/11/2025</v>
      </c>
      <c r="J9850" t="str">
        <f>("12/11/2025")</f>
        <v>12/11/2025</v>
      </c>
      <c r="K9850">
        <v>45973</v>
      </c>
      <c r="N9850">
        <v>108</v>
      </c>
      <c r="O9850" t="s">
        <v>54</v>
      </c>
      <c r="Q9850">
        <v>5249.52</v>
      </c>
      <c r="R9850" t="str">
        <f>"ULTRA POPULAR  UBA 2 (10214)"</f>
        <v>ULTRA POPULAR  UBA 2 (10214)</v>
      </c>
      <c r="S9850" t="s">
        <v>55</v>
      </c>
      <c r="T9850">
        <v>21244</v>
      </c>
      <c r="U9850">
        <v>25878</v>
      </c>
      <c r="V9850" t="s">
        <v>22</v>
      </c>
    </row>
    <row r="9851" spans="1:22">
      <c r="A9851" t="str">
        <f t="shared" si="1893"/>
        <v>12/11/2025</v>
      </c>
      <c r="B9851" t="str">
        <f t="shared" si="1889"/>
        <v>ENTRADA</v>
      </c>
      <c r="C9851" t="str">
        <f t="shared" si="1890"/>
        <v>NFSE</v>
      </c>
      <c r="D9851" t="str">
        <f>"1211"</f>
        <v>1211</v>
      </c>
      <c r="E9851" t="str">
        <f>"25"</f>
        <v>25</v>
      </c>
      <c r="F9851" t="str">
        <f t="shared" si="1900"/>
        <v>COM</v>
      </c>
      <c r="G9851" t="str">
        <f>"ULTRA POPULAR  UBA 2 (10214)"</f>
        <v>ULTRA POPULAR  UBA 2 (10214)</v>
      </c>
      <c r="H9851" t="s">
        <v>2801</v>
      </c>
      <c r="I9851" t="str">
        <f>("12/11/2025")</f>
        <v>12/11/2025</v>
      </c>
      <c r="J9851" t="str">
        <f>("12/11/2025")</f>
        <v>12/11/2025</v>
      </c>
      <c r="K9851">
        <v>45973</v>
      </c>
      <c r="N9851">
        <v>108</v>
      </c>
      <c r="O9851" t="s">
        <v>54</v>
      </c>
      <c r="Q9851">
        <v>231.86</v>
      </c>
      <c r="R9851" t="str">
        <f>"UBA 1 (10263)"</f>
        <v>UBA 1 (10263)</v>
      </c>
      <c r="S9851" t="s">
        <v>55</v>
      </c>
      <c r="T9851">
        <v>21244</v>
      </c>
      <c r="U9851">
        <v>25878</v>
      </c>
      <c r="V9851" t="s">
        <v>22</v>
      </c>
    </row>
    <row r="9852" spans="1:22">
      <c r="A9852" t="str">
        <f t="shared" si="1893"/>
        <v>12/11/2025</v>
      </c>
      <c r="B9852" t="str">
        <f t="shared" ref="B9852:B9857" si="1901">"SAÍDA"</f>
        <v>SAÍDA</v>
      </c>
      <c r="C9852" t="str">
        <f t="shared" ref="C9852:C9857" si="1902">"PIX"</f>
        <v>PIX</v>
      </c>
      <c r="D9852" t="str">
        <f t="shared" ref="D9852:D9857" si="1903">"25871"</f>
        <v>25871</v>
      </c>
      <c r="E9852" t="str">
        <f t="shared" ref="E9852:E9883" si="1904">"1"</f>
        <v>1</v>
      </c>
      <c r="F9852" t="str">
        <f t="shared" si="1900"/>
        <v>COM</v>
      </c>
      <c r="G9852" t="str">
        <f t="shared" ref="G9852:G9857" si="1905">"VALTER APARECIDO GOMES (1071)"</f>
        <v>VALTER APARECIDO GOMES (1071)</v>
      </c>
      <c r="H9852" t="str">
        <f>"Serv.Prest. 10/11/2025 a 16/11/2025 - PIX: CPF - CHAVE: 615.521.869-20"</f>
        <v>Serv.Prest. 10/11/2025 a 16/11/2025 - PIX: CPF - CHAVE: 615.521.869-20</v>
      </c>
      <c r="I9852" t="str">
        <f t="shared" ref="I9852:I9857" si="1906">("20/11/2025")</f>
        <v>20/11/2025</v>
      </c>
      <c r="J9852" t="str">
        <f t="shared" ref="J9852:J9857" si="1907">("19/11/2025")</f>
        <v>19/11/2025</v>
      </c>
      <c r="K9852" t="str">
        <f>("12/11/2025")</f>
        <v>12/11/2025</v>
      </c>
      <c r="L9852">
        <v>340</v>
      </c>
      <c r="M9852">
        <v>340</v>
      </c>
      <c r="N9852">
        <v>134</v>
      </c>
      <c r="O9852" t="str">
        <f>"DIARIA DE MOTOBOY"</f>
        <v>DIARIA DE MOTOBOY</v>
      </c>
      <c r="P9852">
        <v>340</v>
      </c>
      <c r="S9852" t="str">
        <f>"BANCO CORA (102)"</f>
        <v>BANCO CORA (102)</v>
      </c>
      <c r="T9852">
        <v>21280</v>
      </c>
      <c r="U9852">
        <v>25891</v>
      </c>
      <c r="V9852" t="s">
        <v>22</v>
      </c>
    </row>
    <row r="9853" spans="1:22">
      <c r="A9853" t="str">
        <f t="shared" si="1893"/>
        <v>12/11/2025</v>
      </c>
      <c r="B9853" t="str">
        <f t="shared" si="1901"/>
        <v>SAÍDA</v>
      </c>
      <c r="C9853" t="str">
        <f t="shared" si="1902"/>
        <v>PIX</v>
      </c>
      <c r="D9853" t="str">
        <f t="shared" si="1903"/>
        <v>25871</v>
      </c>
      <c r="E9853" t="str">
        <f t="shared" si="1904"/>
        <v>1</v>
      </c>
      <c r="F9853" t="str">
        <f t="shared" si="1900"/>
        <v>COM</v>
      </c>
      <c r="G9853" t="str">
        <f t="shared" si="1905"/>
        <v>VALTER APARECIDO GOMES (1071)</v>
      </c>
      <c r="H9853" t="s">
        <v>2802</v>
      </c>
      <c r="I9853" t="str">
        <f t="shared" si="1906"/>
        <v>20/11/2025</v>
      </c>
      <c r="J9853" t="str">
        <f t="shared" si="1907"/>
        <v>19/11/2025</v>
      </c>
      <c r="K9853">
        <v>45973</v>
      </c>
      <c r="N9853">
        <v>134</v>
      </c>
      <c r="O9853" t="s">
        <v>41</v>
      </c>
      <c r="Q9853">
        <v>27.4</v>
      </c>
      <c r="R9853" t="str">
        <f>"DROGALIDER 42 (10247)"</f>
        <v>DROGALIDER 42 (10247)</v>
      </c>
      <c r="S9853" t="s">
        <v>22</v>
      </c>
      <c r="T9853">
        <v>21280</v>
      </c>
      <c r="U9853">
        <v>25891</v>
      </c>
      <c r="V9853" t="s">
        <v>22</v>
      </c>
    </row>
    <row r="9854" spans="1:22">
      <c r="A9854" t="str">
        <f t="shared" si="1893"/>
        <v>12/11/2025</v>
      </c>
      <c r="B9854" t="str">
        <f t="shared" si="1901"/>
        <v>SAÍDA</v>
      </c>
      <c r="C9854" t="str">
        <f t="shared" si="1902"/>
        <v>PIX</v>
      </c>
      <c r="D9854" t="str">
        <f t="shared" si="1903"/>
        <v>25871</v>
      </c>
      <c r="E9854" t="str">
        <f t="shared" si="1904"/>
        <v>1</v>
      </c>
      <c r="F9854" t="str">
        <f t="shared" si="1900"/>
        <v>COM</v>
      </c>
      <c r="G9854" t="str">
        <f t="shared" si="1905"/>
        <v>VALTER APARECIDO GOMES (1071)</v>
      </c>
      <c r="H9854" t="s">
        <v>2802</v>
      </c>
      <c r="I9854" t="str">
        <f t="shared" si="1906"/>
        <v>20/11/2025</v>
      </c>
      <c r="J9854" t="str">
        <f t="shared" si="1907"/>
        <v>19/11/2025</v>
      </c>
      <c r="K9854">
        <v>45973</v>
      </c>
      <c r="N9854">
        <v>134</v>
      </c>
      <c r="O9854" t="s">
        <v>41</v>
      </c>
      <c r="Q9854">
        <v>5.47</v>
      </c>
      <c r="R9854" t="str">
        <f>"DROGALIDER 55 (10249)"</f>
        <v>DROGALIDER 55 (10249)</v>
      </c>
      <c r="S9854" t="s">
        <v>22</v>
      </c>
      <c r="T9854">
        <v>21280</v>
      </c>
      <c r="U9854">
        <v>25891</v>
      </c>
      <c r="V9854" t="s">
        <v>22</v>
      </c>
    </row>
    <row r="9855" spans="1:22">
      <c r="A9855" t="str">
        <f t="shared" si="1893"/>
        <v>12/11/2025</v>
      </c>
      <c r="B9855" t="str">
        <f t="shared" si="1901"/>
        <v>SAÍDA</v>
      </c>
      <c r="C9855" t="str">
        <f t="shared" si="1902"/>
        <v>PIX</v>
      </c>
      <c r="D9855" t="str">
        <f t="shared" si="1903"/>
        <v>25871</v>
      </c>
      <c r="E9855" t="str">
        <f t="shared" si="1904"/>
        <v>1</v>
      </c>
      <c r="F9855" t="str">
        <f t="shared" si="1900"/>
        <v>COM</v>
      </c>
      <c r="G9855" t="str">
        <f t="shared" si="1905"/>
        <v>VALTER APARECIDO GOMES (1071)</v>
      </c>
      <c r="H9855" t="s">
        <v>2802</v>
      </c>
      <c r="I9855" t="str">
        <f t="shared" si="1906"/>
        <v>20/11/2025</v>
      </c>
      <c r="J9855" t="str">
        <f t="shared" si="1907"/>
        <v>19/11/2025</v>
      </c>
      <c r="K9855">
        <v>45973</v>
      </c>
      <c r="N9855">
        <v>134</v>
      </c>
      <c r="O9855" t="s">
        <v>41</v>
      </c>
      <c r="Q9855">
        <v>49.37</v>
      </c>
      <c r="R9855" t="str">
        <f>"DROGALIDER 67 (10252)"</f>
        <v>DROGALIDER 67 (10252)</v>
      </c>
      <c r="S9855" t="s">
        <v>22</v>
      </c>
      <c r="T9855">
        <v>21280</v>
      </c>
      <c r="U9855">
        <v>25891</v>
      </c>
      <c r="V9855" t="s">
        <v>22</v>
      </c>
    </row>
    <row r="9856" spans="1:22">
      <c r="A9856" t="str">
        <f t="shared" si="1893"/>
        <v>12/11/2025</v>
      </c>
      <c r="B9856" t="str">
        <f t="shared" si="1901"/>
        <v>SAÍDA</v>
      </c>
      <c r="C9856" t="str">
        <f t="shared" si="1902"/>
        <v>PIX</v>
      </c>
      <c r="D9856" t="str">
        <f t="shared" si="1903"/>
        <v>25871</v>
      </c>
      <c r="E9856" t="str">
        <f t="shared" si="1904"/>
        <v>1</v>
      </c>
      <c r="F9856" t="str">
        <f t="shared" si="1900"/>
        <v>COM</v>
      </c>
      <c r="G9856" t="str">
        <f t="shared" si="1905"/>
        <v>VALTER APARECIDO GOMES (1071)</v>
      </c>
      <c r="H9856" t="s">
        <v>2802</v>
      </c>
      <c r="I9856" t="str">
        <f t="shared" si="1906"/>
        <v>20/11/2025</v>
      </c>
      <c r="J9856" t="str">
        <f t="shared" si="1907"/>
        <v>19/11/2025</v>
      </c>
      <c r="K9856">
        <v>45973</v>
      </c>
      <c r="N9856">
        <v>134</v>
      </c>
      <c r="O9856" t="s">
        <v>41</v>
      </c>
      <c r="Q9856">
        <v>49.37</v>
      </c>
      <c r="R9856" t="str">
        <f>"DROGALIDER 68 (10253)"</f>
        <v>DROGALIDER 68 (10253)</v>
      </c>
      <c r="S9856" t="s">
        <v>22</v>
      </c>
      <c r="T9856">
        <v>21280</v>
      </c>
      <c r="U9856">
        <v>25891</v>
      </c>
      <c r="V9856" t="s">
        <v>22</v>
      </c>
    </row>
    <row r="9857" spans="1:22">
      <c r="A9857" t="str">
        <f t="shared" si="1893"/>
        <v>12/11/2025</v>
      </c>
      <c r="B9857" t="str">
        <f t="shared" si="1901"/>
        <v>SAÍDA</v>
      </c>
      <c r="C9857" t="str">
        <f t="shared" si="1902"/>
        <v>PIX</v>
      </c>
      <c r="D9857" t="str">
        <f t="shared" si="1903"/>
        <v>25871</v>
      </c>
      <c r="E9857" t="str">
        <f t="shared" si="1904"/>
        <v>1</v>
      </c>
      <c r="F9857" t="str">
        <f t="shared" si="1900"/>
        <v>COM</v>
      </c>
      <c r="G9857" t="str">
        <f t="shared" si="1905"/>
        <v>VALTER APARECIDO GOMES (1071)</v>
      </c>
      <c r="H9857" t="s">
        <v>2802</v>
      </c>
      <c r="I9857" t="str">
        <f t="shared" si="1906"/>
        <v>20/11/2025</v>
      </c>
      <c r="J9857" t="str">
        <f t="shared" si="1907"/>
        <v>19/11/2025</v>
      </c>
      <c r="K9857">
        <v>45973</v>
      </c>
      <c r="N9857">
        <v>134</v>
      </c>
      <c r="O9857" t="s">
        <v>41</v>
      </c>
      <c r="Q9857">
        <v>208.39</v>
      </c>
      <c r="R9857" t="str">
        <f>"DROGALIDER 31 (10256)"</f>
        <v>DROGALIDER 31 (10256)</v>
      </c>
      <c r="S9857" t="s">
        <v>22</v>
      </c>
      <c r="T9857">
        <v>21280</v>
      </c>
      <c r="U9857">
        <v>25891</v>
      </c>
      <c r="V9857" t="s">
        <v>22</v>
      </c>
    </row>
    <row r="9858" spans="1:22">
      <c r="A9858" t="str">
        <f t="shared" si="1893"/>
        <v>12/11/2025</v>
      </c>
      <c r="B9858" t="str">
        <f t="shared" ref="B9858:B9889" si="1908">"ENTRADA"</f>
        <v>ENTRADA</v>
      </c>
      <c r="C9858" t="str">
        <f t="shared" ref="C9858:C9889" si="1909">"NFSE"</f>
        <v>NFSE</v>
      </c>
      <c r="D9858" t="str">
        <f t="shared" ref="D9858:D9889" si="1910">"3642"</f>
        <v>3642</v>
      </c>
      <c r="E9858" t="str">
        <f t="shared" si="1904"/>
        <v>1</v>
      </c>
      <c r="F9858" t="str">
        <f t="shared" si="1900"/>
        <v>COM</v>
      </c>
      <c r="G9858" t="str">
        <f t="shared" ref="G9858:G9889" si="1911">"FARMÁCIA INDIANA LJ 1 (10126)"</f>
        <v>FARMÁCIA INDIANA LJ 1 (10126)</v>
      </c>
      <c r="H9858" t="str">
        <f>"Serv.Prest. 24/10/2025 a 02/11/2025 - RPS: 1518 - NFSe: 3642"</f>
        <v>Serv.Prest. 24/10/2025 a 02/11/2025 - RPS: 1518 - NFSe: 3642</v>
      </c>
      <c r="I9858" t="str">
        <f t="shared" ref="I9858:I9889" si="1912">("12/11/2025")</f>
        <v>12/11/2025</v>
      </c>
      <c r="J9858" t="str">
        <f t="shared" ref="J9858:J9889" si="1913">("04/11/2025")</f>
        <v>04/11/2025</v>
      </c>
      <c r="K9858" t="str">
        <f>("12/11/2025")</f>
        <v>12/11/2025</v>
      </c>
      <c r="L9858">
        <v>145066.91</v>
      </c>
      <c r="M9858">
        <v>145066.91</v>
      </c>
      <c r="N9858">
        <v>303</v>
      </c>
      <c r="O9858" t="str">
        <f>"RECEITAS COM ENTREGAS"</f>
        <v>RECEITAS COM ENTREGAS</v>
      </c>
      <c r="P9858">
        <v>145066.91</v>
      </c>
      <c r="S9858" t="str">
        <f>"RECEITAS COM ENTREGAS (303)"</f>
        <v>RECEITAS COM ENTREGAS (303)</v>
      </c>
      <c r="T9858">
        <v>21840</v>
      </c>
      <c r="U9858">
        <v>24728</v>
      </c>
      <c r="V9858" t="s">
        <v>77</v>
      </c>
    </row>
    <row r="9859" spans="1:22">
      <c r="A9859" t="str">
        <f t="shared" si="1893"/>
        <v>12/11/2025</v>
      </c>
      <c r="B9859" t="str">
        <f t="shared" si="1908"/>
        <v>ENTRADA</v>
      </c>
      <c r="C9859" t="str">
        <f t="shared" si="1909"/>
        <v>NFSE</v>
      </c>
      <c r="D9859" t="str">
        <f t="shared" si="1910"/>
        <v>3642</v>
      </c>
      <c r="E9859" t="str">
        <f t="shared" si="1904"/>
        <v>1</v>
      </c>
      <c r="F9859" t="str">
        <f t="shared" si="1900"/>
        <v>COM</v>
      </c>
      <c r="G9859" t="str">
        <f t="shared" si="1911"/>
        <v>FARMÁCIA INDIANA LJ 1 (10126)</v>
      </c>
      <c r="H9859" t="s">
        <v>2803</v>
      </c>
      <c r="I9859" t="str">
        <f t="shared" si="1912"/>
        <v>12/11/2025</v>
      </c>
      <c r="J9859" t="str">
        <f t="shared" si="1913"/>
        <v>04/11/2025</v>
      </c>
      <c r="K9859">
        <v>45973</v>
      </c>
      <c r="N9859">
        <v>303</v>
      </c>
      <c r="O9859" t="s">
        <v>69</v>
      </c>
      <c r="Q9859">
        <v>23341.29</v>
      </c>
      <c r="R9859" t="str">
        <f>"FARMÁCIA INDIANA LJ 06 (10006)"</f>
        <v>FARMÁCIA INDIANA LJ 06 (10006)</v>
      </c>
      <c r="S9859" t="s">
        <v>70</v>
      </c>
      <c r="T9859">
        <v>21840</v>
      </c>
      <c r="U9859">
        <v>24728</v>
      </c>
      <c r="V9859" t="s">
        <v>77</v>
      </c>
    </row>
    <row r="9860" spans="1:22">
      <c r="A9860" t="str">
        <f t="shared" si="1893"/>
        <v>12/11/2025</v>
      </c>
      <c r="B9860" t="str">
        <f t="shared" si="1908"/>
        <v>ENTRADA</v>
      </c>
      <c r="C9860" t="str">
        <f t="shared" si="1909"/>
        <v>NFSE</v>
      </c>
      <c r="D9860" t="str">
        <f t="shared" si="1910"/>
        <v>3642</v>
      </c>
      <c r="E9860" t="str">
        <f t="shared" si="1904"/>
        <v>1</v>
      </c>
      <c r="F9860" t="str">
        <f t="shared" si="1900"/>
        <v>COM</v>
      </c>
      <c r="G9860" t="str">
        <f t="shared" si="1911"/>
        <v>FARMÁCIA INDIANA LJ 1 (10126)</v>
      </c>
      <c r="H9860" t="s">
        <v>2803</v>
      </c>
      <c r="I9860" t="str">
        <f t="shared" si="1912"/>
        <v>12/11/2025</v>
      </c>
      <c r="J9860" t="str">
        <f t="shared" si="1913"/>
        <v>04/11/2025</v>
      </c>
      <c r="K9860">
        <v>45973</v>
      </c>
      <c r="N9860">
        <v>303</v>
      </c>
      <c r="O9860" t="s">
        <v>69</v>
      </c>
      <c r="Q9860">
        <v>16769.73</v>
      </c>
      <c r="R9860" t="str">
        <f>"FARMÁCIA INDIANA LJ 07 (10007)"</f>
        <v>FARMÁCIA INDIANA LJ 07 (10007)</v>
      </c>
      <c r="S9860" t="s">
        <v>70</v>
      </c>
      <c r="T9860">
        <v>21840</v>
      </c>
      <c r="U9860">
        <v>24728</v>
      </c>
      <c r="V9860" t="s">
        <v>77</v>
      </c>
    </row>
    <row r="9861" spans="1:22">
      <c r="A9861" t="str">
        <f t="shared" si="1893"/>
        <v>12/11/2025</v>
      </c>
      <c r="B9861" t="str">
        <f t="shared" si="1908"/>
        <v>ENTRADA</v>
      </c>
      <c r="C9861" t="str">
        <f t="shared" si="1909"/>
        <v>NFSE</v>
      </c>
      <c r="D9861" t="str">
        <f t="shared" si="1910"/>
        <v>3642</v>
      </c>
      <c r="E9861" t="str">
        <f t="shared" si="1904"/>
        <v>1</v>
      </c>
      <c r="F9861" t="str">
        <f t="shared" si="1900"/>
        <v>COM</v>
      </c>
      <c r="G9861" t="str">
        <f t="shared" si="1911"/>
        <v>FARMÁCIA INDIANA LJ 1 (10126)</v>
      </c>
      <c r="H9861" t="s">
        <v>2803</v>
      </c>
      <c r="I9861" t="str">
        <f t="shared" si="1912"/>
        <v>12/11/2025</v>
      </c>
      <c r="J9861" t="str">
        <f t="shared" si="1913"/>
        <v>04/11/2025</v>
      </c>
      <c r="K9861">
        <v>45973</v>
      </c>
      <c r="N9861">
        <v>303</v>
      </c>
      <c r="O9861" t="s">
        <v>69</v>
      </c>
      <c r="Q9861">
        <v>11025.09</v>
      </c>
      <c r="R9861" t="str">
        <f>"FARMÁCIA INDIANA LJ 11 (10008)"</f>
        <v>FARMÁCIA INDIANA LJ 11 (10008)</v>
      </c>
      <c r="S9861" t="s">
        <v>70</v>
      </c>
      <c r="T9861">
        <v>21840</v>
      </c>
      <c r="U9861">
        <v>24728</v>
      </c>
      <c r="V9861" t="s">
        <v>77</v>
      </c>
    </row>
    <row r="9862" spans="1:22">
      <c r="A9862" t="str">
        <f t="shared" si="1893"/>
        <v>12/11/2025</v>
      </c>
      <c r="B9862" t="str">
        <f t="shared" si="1908"/>
        <v>ENTRADA</v>
      </c>
      <c r="C9862" t="str">
        <f t="shared" si="1909"/>
        <v>NFSE</v>
      </c>
      <c r="D9862" t="str">
        <f t="shared" si="1910"/>
        <v>3642</v>
      </c>
      <c r="E9862" t="str">
        <f t="shared" si="1904"/>
        <v>1</v>
      </c>
      <c r="F9862" t="str">
        <f t="shared" si="1900"/>
        <v>COM</v>
      </c>
      <c r="G9862" t="str">
        <f t="shared" si="1911"/>
        <v>FARMÁCIA INDIANA LJ 1 (10126)</v>
      </c>
      <c r="H9862" t="s">
        <v>2803</v>
      </c>
      <c r="I9862" t="str">
        <f t="shared" si="1912"/>
        <v>12/11/2025</v>
      </c>
      <c r="J9862" t="str">
        <f t="shared" si="1913"/>
        <v>04/11/2025</v>
      </c>
      <c r="K9862">
        <v>45973</v>
      </c>
      <c r="N9862">
        <v>303</v>
      </c>
      <c r="O9862" t="s">
        <v>69</v>
      </c>
      <c r="Q9862">
        <v>5730.14</v>
      </c>
      <c r="R9862" t="str">
        <f>"FARMÁCIA INDIANA LJ 14 (10009)"</f>
        <v>FARMÁCIA INDIANA LJ 14 (10009)</v>
      </c>
      <c r="S9862" t="s">
        <v>70</v>
      </c>
      <c r="T9862">
        <v>21840</v>
      </c>
      <c r="U9862">
        <v>24728</v>
      </c>
      <c r="V9862" t="s">
        <v>77</v>
      </c>
    </row>
    <row r="9863" spans="1:22">
      <c r="A9863" t="str">
        <f t="shared" si="1893"/>
        <v>12/11/2025</v>
      </c>
      <c r="B9863" t="str">
        <f t="shared" si="1908"/>
        <v>ENTRADA</v>
      </c>
      <c r="C9863" t="str">
        <f t="shared" si="1909"/>
        <v>NFSE</v>
      </c>
      <c r="D9863" t="str">
        <f t="shared" si="1910"/>
        <v>3642</v>
      </c>
      <c r="E9863" t="str">
        <f t="shared" si="1904"/>
        <v>1</v>
      </c>
      <c r="F9863" t="str">
        <f t="shared" si="1900"/>
        <v>COM</v>
      </c>
      <c r="G9863" t="str">
        <f t="shared" si="1911"/>
        <v>FARMÁCIA INDIANA LJ 1 (10126)</v>
      </c>
      <c r="H9863" t="s">
        <v>2803</v>
      </c>
      <c r="I9863" t="str">
        <f t="shared" si="1912"/>
        <v>12/11/2025</v>
      </c>
      <c r="J9863" t="str">
        <f t="shared" si="1913"/>
        <v>04/11/2025</v>
      </c>
      <c r="K9863">
        <v>45973</v>
      </c>
      <c r="N9863">
        <v>303</v>
      </c>
      <c r="O9863" t="s">
        <v>69</v>
      </c>
      <c r="Q9863">
        <v>3118.94</v>
      </c>
      <c r="R9863" t="str">
        <f>"FARMÁCIA INDIANA LJ 18 (10011)"</f>
        <v>FARMÁCIA INDIANA LJ 18 (10011)</v>
      </c>
      <c r="S9863" t="s">
        <v>70</v>
      </c>
      <c r="T9863">
        <v>21840</v>
      </c>
      <c r="U9863">
        <v>24728</v>
      </c>
      <c r="V9863" t="s">
        <v>77</v>
      </c>
    </row>
    <row r="9864" spans="1:22">
      <c r="A9864" t="str">
        <f t="shared" ref="A9864:A9895" si="1914">("12/11/2025")</f>
        <v>12/11/2025</v>
      </c>
      <c r="B9864" t="str">
        <f t="shared" si="1908"/>
        <v>ENTRADA</v>
      </c>
      <c r="C9864" t="str">
        <f t="shared" si="1909"/>
        <v>NFSE</v>
      </c>
      <c r="D9864" t="str">
        <f t="shared" si="1910"/>
        <v>3642</v>
      </c>
      <c r="E9864" t="str">
        <f t="shared" si="1904"/>
        <v>1</v>
      </c>
      <c r="F9864" t="str">
        <f t="shared" si="1900"/>
        <v>COM</v>
      </c>
      <c r="G9864" t="str">
        <f t="shared" si="1911"/>
        <v>FARMÁCIA INDIANA LJ 1 (10126)</v>
      </c>
      <c r="H9864" t="s">
        <v>2803</v>
      </c>
      <c r="I9864" t="str">
        <f t="shared" si="1912"/>
        <v>12/11/2025</v>
      </c>
      <c r="J9864" t="str">
        <f t="shared" si="1913"/>
        <v>04/11/2025</v>
      </c>
      <c r="K9864">
        <v>45973</v>
      </c>
      <c r="N9864">
        <v>303</v>
      </c>
      <c r="O9864" t="s">
        <v>69</v>
      </c>
      <c r="Q9864">
        <v>4424.54</v>
      </c>
      <c r="R9864" t="str">
        <f>"FARMÁCIA INDIANA LJ 19 (10012)"</f>
        <v>FARMÁCIA INDIANA LJ 19 (10012)</v>
      </c>
      <c r="S9864" t="s">
        <v>70</v>
      </c>
      <c r="T9864">
        <v>21840</v>
      </c>
      <c r="U9864">
        <v>24728</v>
      </c>
      <c r="V9864" t="s">
        <v>77</v>
      </c>
    </row>
    <row r="9865" spans="1:22">
      <c r="A9865" t="str">
        <f t="shared" si="1914"/>
        <v>12/11/2025</v>
      </c>
      <c r="B9865" t="str">
        <f t="shared" si="1908"/>
        <v>ENTRADA</v>
      </c>
      <c r="C9865" t="str">
        <f t="shared" si="1909"/>
        <v>NFSE</v>
      </c>
      <c r="D9865" t="str">
        <f t="shared" si="1910"/>
        <v>3642</v>
      </c>
      <c r="E9865" t="str">
        <f t="shared" si="1904"/>
        <v>1</v>
      </c>
      <c r="F9865" t="str">
        <f t="shared" si="1900"/>
        <v>COM</v>
      </c>
      <c r="G9865" t="str">
        <f t="shared" si="1911"/>
        <v>FARMÁCIA INDIANA LJ 1 (10126)</v>
      </c>
      <c r="H9865" t="s">
        <v>2803</v>
      </c>
      <c r="I9865" t="str">
        <f t="shared" si="1912"/>
        <v>12/11/2025</v>
      </c>
      <c r="J9865" t="str">
        <f t="shared" si="1913"/>
        <v>04/11/2025</v>
      </c>
      <c r="K9865">
        <v>45973</v>
      </c>
      <c r="N9865">
        <v>303</v>
      </c>
      <c r="O9865" t="s">
        <v>69</v>
      </c>
      <c r="Q9865">
        <v>4787.21</v>
      </c>
      <c r="R9865" t="str">
        <f>"FARMÁCIA INDIANA LJ 40 (10016)"</f>
        <v>FARMÁCIA INDIANA LJ 40 (10016)</v>
      </c>
      <c r="S9865" t="s">
        <v>70</v>
      </c>
      <c r="T9865">
        <v>21840</v>
      </c>
      <c r="U9865">
        <v>24728</v>
      </c>
      <c r="V9865" t="s">
        <v>77</v>
      </c>
    </row>
    <row r="9866" spans="1:22">
      <c r="A9866" t="str">
        <f t="shared" si="1914"/>
        <v>12/11/2025</v>
      </c>
      <c r="B9866" t="str">
        <f t="shared" si="1908"/>
        <v>ENTRADA</v>
      </c>
      <c r="C9866" t="str">
        <f t="shared" si="1909"/>
        <v>NFSE</v>
      </c>
      <c r="D9866" t="str">
        <f t="shared" si="1910"/>
        <v>3642</v>
      </c>
      <c r="E9866" t="str">
        <f t="shared" si="1904"/>
        <v>1</v>
      </c>
      <c r="F9866" t="str">
        <f t="shared" si="1900"/>
        <v>COM</v>
      </c>
      <c r="G9866" t="str">
        <f t="shared" si="1911"/>
        <v>FARMÁCIA INDIANA LJ 1 (10126)</v>
      </c>
      <c r="H9866" t="s">
        <v>2803</v>
      </c>
      <c r="I9866" t="str">
        <f t="shared" si="1912"/>
        <v>12/11/2025</v>
      </c>
      <c r="J9866" t="str">
        <f t="shared" si="1913"/>
        <v>04/11/2025</v>
      </c>
      <c r="K9866">
        <v>45973</v>
      </c>
      <c r="N9866">
        <v>303</v>
      </c>
      <c r="O9866" t="s">
        <v>69</v>
      </c>
      <c r="Q9866">
        <v>3409.07</v>
      </c>
      <c r="R9866" t="str">
        <f>"FARMÁCIA INDIANA LJ 59 (10026)"</f>
        <v>FARMÁCIA INDIANA LJ 59 (10026)</v>
      </c>
      <c r="S9866" t="s">
        <v>70</v>
      </c>
      <c r="T9866">
        <v>21840</v>
      </c>
      <c r="U9866">
        <v>24728</v>
      </c>
      <c r="V9866" t="s">
        <v>77</v>
      </c>
    </row>
    <row r="9867" spans="1:22">
      <c r="A9867" t="str">
        <f t="shared" si="1914"/>
        <v>12/11/2025</v>
      </c>
      <c r="B9867" t="str">
        <f t="shared" si="1908"/>
        <v>ENTRADA</v>
      </c>
      <c r="C9867" t="str">
        <f t="shared" si="1909"/>
        <v>NFSE</v>
      </c>
      <c r="D9867" t="str">
        <f t="shared" si="1910"/>
        <v>3642</v>
      </c>
      <c r="E9867" t="str">
        <f t="shared" si="1904"/>
        <v>1</v>
      </c>
      <c r="F9867" t="str">
        <f t="shared" si="1900"/>
        <v>COM</v>
      </c>
      <c r="G9867" t="str">
        <f t="shared" si="1911"/>
        <v>FARMÁCIA INDIANA LJ 1 (10126)</v>
      </c>
      <c r="H9867" t="s">
        <v>2803</v>
      </c>
      <c r="I9867" t="str">
        <f t="shared" si="1912"/>
        <v>12/11/2025</v>
      </c>
      <c r="J9867" t="str">
        <f t="shared" si="1913"/>
        <v>04/11/2025</v>
      </c>
      <c r="K9867">
        <v>45973</v>
      </c>
      <c r="N9867">
        <v>303</v>
      </c>
      <c r="O9867" t="s">
        <v>69</v>
      </c>
      <c r="Q9867">
        <v>6092.81</v>
      </c>
      <c r="R9867" t="str">
        <f>"FARMÁCIA INDIANA LJ 61 (10027)"</f>
        <v>FARMÁCIA INDIANA LJ 61 (10027)</v>
      </c>
      <c r="S9867" t="s">
        <v>70</v>
      </c>
      <c r="T9867">
        <v>21840</v>
      </c>
      <c r="U9867">
        <v>24728</v>
      </c>
      <c r="V9867" t="s">
        <v>77</v>
      </c>
    </row>
    <row r="9868" spans="1:22">
      <c r="A9868" t="str">
        <f t="shared" si="1914"/>
        <v>12/11/2025</v>
      </c>
      <c r="B9868" t="str">
        <f t="shared" si="1908"/>
        <v>ENTRADA</v>
      </c>
      <c r="C9868" t="str">
        <f t="shared" si="1909"/>
        <v>NFSE</v>
      </c>
      <c r="D9868" t="str">
        <f t="shared" si="1910"/>
        <v>3642</v>
      </c>
      <c r="E9868" t="str">
        <f t="shared" si="1904"/>
        <v>1</v>
      </c>
      <c r="F9868" t="str">
        <f t="shared" si="1900"/>
        <v>COM</v>
      </c>
      <c r="G9868" t="str">
        <f t="shared" si="1911"/>
        <v>FARMÁCIA INDIANA LJ 1 (10126)</v>
      </c>
      <c r="H9868" t="s">
        <v>2803</v>
      </c>
      <c r="I9868" t="str">
        <f t="shared" si="1912"/>
        <v>12/11/2025</v>
      </c>
      <c r="J9868" t="str">
        <f t="shared" si="1913"/>
        <v>04/11/2025</v>
      </c>
      <c r="K9868">
        <v>45973</v>
      </c>
      <c r="N9868">
        <v>303</v>
      </c>
      <c r="O9868" t="s">
        <v>69</v>
      </c>
      <c r="Q9868">
        <v>1711.79</v>
      </c>
      <c r="R9868" t="str">
        <f>"FARMÁCIA INDIANA LJ 62 (10028)"</f>
        <v>FARMÁCIA INDIANA LJ 62 (10028)</v>
      </c>
      <c r="S9868" t="s">
        <v>70</v>
      </c>
      <c r="T9868">
        <v>21840</v>
      </c>
      <c r="U9868">
        <v>24728</v>
      </c>
      <c r="V9868" t="s">
        <v>77</v>
      </c>
    </row>
    <row r="9869" spans="1:22">
      <c r="A9869" t="str">
        <f t="shared" si="1914"/>
        <v>12/11/2025</v>
      </c>
      <c r="B9869" t="str">
        <f t="shared" si="1908"/>
        <v>ENTRADA</v>
      </c>
      <c r="C9869" t="str">
        <f t="shared" si="1909"/>
        <v>NFSE</v>
      </c>
      <c r="D9869" t="str">
        <f t="shared" si="1910"/>
        <v>3642</v>
      </c>
      <c r="E9869" t="str">
        <f t="shared" si="1904"/>
        <v>1</v>
      </c>
      <c r="F9869" t="str">
        <f t="shared" si="1900"/>
        <v>COM</v>
      </c>
      <c r="G9869" t="str">
        <f t="shared" si="1911"/>
        <v>FARMÁCIA INDIANA LJ 1 (10126)</v>
      </c>
      <c r="H9869" t="s">
        <v>2803</v>
      </c>
      <c r="I9869" t="str">
        <f t="shared" si="1912"/>
        <v>12/11/2025</v>
      </c>
      <c r="J9869" t="str">
        <f t="shared" si="1913"/>
        <v>04/11/2025</v>
      </c>
      <c r="K9869">
        <v>45973</v>
      </c>
      <c r="N9869">
        <v>303</v>
      </c>
      <c r="O9869" t="s">
        <v>69</v>
      </c>
      <c r="Q9869">
        <v>638.29</v>
      </c>
      <c r="R9869" t="str">
        <f>"FARMÁCIA INDIANA LJ 64 (10029)"</f>
        <v>FARMÁCIA INDIANA LJ 64 (10029)</v>
      </c>
      <c r="S9869" t="s">
        <v>70</v>
      </c>
      <c r="T9869">
        <v>21840</v>
      </c>
      <c r="U9869">
        <v>24728</v>
      </c>
      <c r="V9869" t="s">
        <v>77</v>
      </c>
    </row>
    <row r="9870" spans="1:22">
      <c r="A9870" t="str">
        <f t="shared" si="1914"/>
        <v>12/11/2025</v>
      </c>
      <c r="B9870" t="str">
        <f t="shared" si="1908"/>
        <v>ENTRADA</v>
      </c>
      <c r="C9870" t="str">
        <f t="shared" si="1909"/>
        <v>NFSE</v>
      </c>
      <c r="D9870" t="str">
        <f t="shared" si="1910"/>
        <v>3642</v>
      </c>
      <c r="E9870" t="str">
        <f t="shared" si="1904"/>
        <v>1</v>
      </c>
      <c r="F9870" t="str">
        <f t="shared" si="1900"/>
        <v>COM</v>
      </c>
      <c r="G9870" t="str">
        <f t="shared" si="1911"/>
        <v>FARMÁCIA INDIANA LJ 1 (10126)</v>
      </c>
      <c r="H9870" t="s">
        <v>2803</v>
      </c>
      <c r="I9870" t="str">
        <f t="shared" si="1912"/>
        <v>12/11/2025</v>
      </c>
      <c r="J9870" t="str">
        <f t="shared" si="1913"/>
        <v>04/11/2025</v>
      </c>
      <c r="K9870">
        <v>45973</v>
      </c>
      <c r="N9870">
        <v>303</v>
      </c>
      <c r="O9870" t="s">
        <v>69</v>
      </c>
      <c r="Q9870">
        <v>609.28</v>
      </c>
      <c r="R9870" t="str">
        <f>"FARMÁCIA INDIANA LJ 97 (10040)"</f>
        <v>FARMÁCIA INDIANA LJ 97 (10040)</v>
      </c>
      <c r="S9870" t="s">
        <v>70</v>
      </c>
      <c r="T9870">
        <v>21840</v>
      </c>
      <c r="U9870">
        <v>24728</v>
      </c>
      <c r="V9870" t="s">
        <v>77</v>
      </c>
    </row>
    <row r="9871" spans="1:22">
      <c r="A9871" t="str">
        <f t="shared" si="1914"/>
        <v>12/11/2025</v>
      </c>
      <c r="B9871" t="str">
        <f t="shared" si="1908"/>
        <v>ENTRADA</v>
      </c>
      <c r="C9871" t="str">
        <f t="shared" si="1909"/>
        <v>NFSE</v>
      </c>
      <c r="D9871" t="str">
        <f t="shared" si="1910"/>
        <v>3642</v>
      </c>
      <c r="E9871" t="str">
        <f t="shared" si="1904"/>
        <v>1</v>
      </c>
      <c r="F9871" t="str">
        <f t="shared" si="1900"/>
        <v>COM</v>
      </c>
      <c r="G9871" t="str">
        <f t="shared" si="1911"/>
        <v>FARMÁCIA INDIANA LJ 1 (10126)</v>
      </c>
      <c r="H9871" t="s">
        <v>2803</v>
      </c>
      <c r="I9871" t="str">
        <f t="shared" si="1912"/>
        <v>12/11/2025</v>
      </c>
      <c r="J9871" t="str">
        <f t="shared" si="1913"/>
        <v>04/11/2025</v>
      </c>
      <c r="K9871">
        <v>45973</v>
      </c>
      <c r="N9871">
        <v>303</v>
      </c>
      <c r="O9871" t="s">
        <v>69</v>
      </c>
      <c r="Q9871">
        <v>1798.83</v>
      </c>
      <c r="R9871" t="str">
        <f>"FARMÁCIA INDIANA LJ 100 (10042)"</f>
        <v>FARMÁCIA INDIANA LJ 100 (10042)</v>
      </c>
      <c r="S9871" t="s">
        <v>70</v>
      </c>
      <c r="T9871">
        <v>21840</v>
      </c>
      <c r="U9871">
        <v>24728</v>
      </c>
      <c r="V9871" t="s">
        <v>77</v>
      </c>
    </row>
    <row r="9872" spans="1:22">
      <c r="A9872" t="str">
        <f t="shared" si="1914"/>
        <v>12/11/2025</v>
      </c>
      <c r="B9872" t="str">
        <f t="shared" si="1908"/>
        <v>ENTRADA</v>
      </c>
      <c r="C9872" t="str">
        <f t="shared" si="1909"/>
        <v>NFSE</v>
      </c>
      <c r="D9872" t="str">
        <f t="shared" si="1910"/>
        <v>3642</v>
      </c>
      <c r="E9872" t="str">
        <f t="shared" si="1904"/>
        <v>1</v>
      </c>
      <c r="F9872" t="str">
        <f t="shared" si="1900"/>
        <v>COM</v>
      </c>
      <c r="G9872" t="str">
        <f t="shared" si="1911"/>
        <v>FARMÁCIA INDIANA LJ 1 (10126)</v>
      </c>
      <c r="H9872" t="s">
        <v>2803</v>
      </c>
      <c r="I9872" t="str">
        <f t="shared" si="1912"/>
        <v>12/11/2025</v>
      </c>
      <c r="J9872" t="str">
        <f t="shared" si="1913"/>
        <v>04/11/2025</v>
      </c>
      <c r="K9872">
        <v>45973</v>
      </c>
      <c r="N9872">
        <v>303</v>
      </c>
      <c r="O9872" t="s">
        <v>69</v>
      </c>
      <c r="Q9872">
        <v>6542.52</v>
      </c>
      <c r="R9872" t="str">
        <f>"FARMÁCIA INDIANA LJ 101 (10043)"</f>
        <v>FARMÁCIA INDIANA LJ 101 (10043)</v>
      </c>
      <c r="S9872" t="s">
        <v>70</v>
      </c>
      <c r="T9872">
        <v>21840</v>
      </c>
      <c r="U9872">
        <v>24728</v>
      </c>
      <c r="V9872" t="s">
        <v>77</v>
      </c>
    </row>
    <row r="9873" spans="1:22">
      <c r="A9873" t="str">
        <f t="shared" si="1914"/>
        <v>12/11/2025</v>
      </c>
      <c r="B9873" t="str">
        <f t="shared" si="1908"/>
        <v>ENTRADA</v>
      </c>
      <c r="C9873" t="str">
        <f t="shared" si="1909"/>
        <v>NFSE</v>
      </c>
      <c r="D9873" t="str">
        <f t="shared" si="1910"/>
        <v>3642</v>
      </c>
      <c r="E9873" t="str">
        <f t="shared" si="1904"/>
        <v>1</v>
      </c>
      <c r="F9873" t="str">
        <f t="shared" si="1900"/>
        <v>COM</v>
      </c>
      <c r="G9873" t="str">
        <f t="shared" si="1911"/>
        <v>FARMÁCIA INDIANA LJ 1 (10126)</v>
      </c>
      <c r="H9873" t="s">
        <v>2803</v>
      </c>
      <c r="I9873" t="str">
        <f t="shared" si="1912"/>
        <v>12/11/2025</v>
      </c>
      <c r="J9873" t="str">
        <f t="shared" si="1913"/>
        <v>04/11/2025</v>
      </c>
      <c r="K9873">
        <v>45973</v>
      </c>
      <c r="N9873">
        <v>303</v>
      </c>
      <c r="O9873" t="s">
        <v>69</v>
      </c>
      <c r="Q9873">
        <v>1073.5</v>
      </c>
      <c r="R9873" t="str">
        <f>"FARMÁCIA INDIANA LJ 103 (10044)"</f>
        <v>FARMÁCIA INDIANA LJ 103 (10044)</v>
      </c>
      <c r="S9873" t="s">
        <v>70</v>
      </c>
      <c r="T9873">
        <v>21840</v>
      </c>
      <c r="U9873">
        <v>24728</v>
      </c>
      <c r="V9873" t="s">
        <v>77</v>
      </c>
    </row>
    <row r="9874" spans="1:22">
      <c r="A9874" t="str">
        <f t="shared" si="1914"/>
        <v>12/11/2025</v>
      </c>
      <c r="B9874" t="str">
        <f t="shared" si="1908"/>
        <v>ENTRADA</v>
      </c>
      <c r="C9874" t="str">
        <f t="shared" si="1909"/>
        <v>NFSE</v>
      </c>
      <c r="D9874" t="str">
        <f t="shared" si="1910"/>
        <v>3642</v>
      </c>
      <c r="E9874" t="str">
        <f t="shared" si="1904"/>
        <v>1</v>
      </c>
      <c r="F9874" t="str">
        <f t="shared" si="1900"/>
        <v>COM</v>
      </c>
      <c r="G9874" t="str">
        <f t="shared" si="1911"/>
        <v>FARMÁCIA INDIANA LJ 1 (10126)</v>
      </c>
      <c r="H9874" t="s">
        <v>2803</v>
      </c>
      <c r="I9874" t="str">
        <f t="shared" si="1912"/>
        <v>12/11/2025</v>
      </c>
      <c r="J9874" t="str">
        <f t="shared" si="1913"/>
        <v>04/11/2025</v>
      </c>
      <c r="K9874">
        <v>45973</v>
      </c>
      <c r="N9874">
        <v>303</v>
      </c>
      <c r="O9874" t="s">
        <v>69</v>
      </c>
      <c r="Q9874">
        <v>2944.86</v>
      </c>
      <c r="R9874" t="str">
        <f>"FARMÁCIA INDIANA LJ 109 (10047)"</f>
        <v>FARMÁCIA INDIANA LJ 109 (10047)</v>
      </c>
      <c r="S9874" t="s">
        <v>70</v>
      </c>
      <c r="T9874">
        <v>21840</v>
      </c>
      <c r="U9874">
        <v>24728</v>
      </c>
      <c r="V9874" t="s">
        <v>77</v>
      </c>
    </row>
    <row r="9875" spans="1:22">
      <c r="A9875" t="str">
        <f t="shared" si="1914"/>
        <v>12/11/2025</v>
      </c>
      <c r="B9875" t="str">
        <f t="shared" si="1908"/>
        <v>ENTRADA</v>
      </c>
      <c r="C9875" t="str">
        <f t="shared" si="1909"/>
        <v>NFSE</v>
      </c>
      <c r="D9875" t="str">
        <f t="shared" si="1910"/>
        <v>3642</v>
      </c>
      <c r="E9875" t="str">
        <f t="shared" si="1904"/>
        <v>1</v>
      </c>
      <c r="F9875" t="str">
        <f t="shared" si="1900"/>
        <v>COM</v>
      </c>
      <c r="G9875" t="str">
        <f t="shared" si="1911"/>
        <v>FARMÁCIA INDIANA LJ 1 (10126)</v>
      </c>
      <c r="H9875" t="s">
        <v>2803</v>
      </c>
      <c r="I9875" t="str">
        <f t="shared" si="1912"/>
        <v>12/11/2025</v>
      </c>
      <c r="J9875" t="str">
        <f t="shared" si="1913"/>
        <v>04/11/2025</v>
      </c>
      <c r="K9875">
        <v>45973</v>
      </c>
      <c r="N9875">
        <v>303</v>
      </c>
      <c r="O9875" t="s">
        <v>69</v>
      </c>
      <c r="Q9875">
        <v>3786.25</v>
      </c>
      <c r="R9875" t="str">
        <f>"FARMÁCIA INDIANA LJ 110 (10048)"</f>
        <v>FARMÁCIA INDIANA LJ 110 (10048)</v>
      </c>
      <c r="S9875" t="s">
        <v>70</v>
      </c>
      <c r="T9875">
        <v>21840</v>
      </c>
      <c r="U9875">
        <v>24728</v>
      </c>
      <c r="V9875" t="s">
        <v>77</v>
      </c>
    </row>
    <row r="9876" spans="1:22">
      <c r="A9876" t="str">
        <f t="shared" si="1914"/>
        <v>12/11/2025</v>
      </c>
      <c r="B9876" t="str">
        <f t="shared" si="1908"/>
        <v>ENTRADA</v>
      </c>
      <c r="C9876" t="str">
        <f t="shared" si="1909"/>
        <v>NFSE</v>
      </c>
      <c r="D9876" t="str">
        <f t="shared" si="1910"/>
        <v>3642</v>
      </c>
      <c r="E9876" t="str">
        <f t="shared" si="1904"/>
        <v>1</v>
      </c>
      <c r="F9876" t="str">
        <f t="shared" si="1900"/>
        <v>COM</v>
      </c>
      <c r="G9876" t="str">
        <f t="shared" si="1911"/>
        <v>FARMÁCIA INDIANA LJ 1 (10126)</v>
      </c>
      <c r="H9876" t="s">
        <v>2803</v>
      </c>
      <c r="I9876" t="str">
        <f t="shared" si="1912"/>
        <v>12/11/2025</v>
      </c>
      <c r="J9876" t="str">
        <f t="shared" si="1913"/>
        <v>04/11/2025</v>
      </c>
      <c r="K9876">
        <v>45973</v>
      </c>
      <c r="N9876">
        <v>303</v>
      </c>
      <c r="O9876" t="s">
        <v>69</v>
      </c>
      <c r="Q9876">
        <v>594.77</v>
      </c>
      <c r="R9876" t="str">
        <f>"FARMÁCIA INDIANA LJ 111 (10049)"</f>
        <v>FARMÁCIA INDIANA LJ 111 (10049)</v>
      </c>
      <c r="S9876" t="s">
        <v>70</v>
      </c>
      <c r="T9876">
        <v>21840</v>
      </c>
      <c r="U9876">
        <v>24728</v>
      </c>
      <c r="V9876" t="s">
        <v>77</v>
      </c>
    </row>
    <row r="9877" spans="1:22">
      <c r="A9877" t="str">
        <f t="shared" si="1914"/>
        <v>12/11/2025</v>
      </c>
      <c r="B9877" t="str">
        <f t="shared" si="1908"/>
        <v>ENTRADA</v>
      </c>
      <c r="C9877" t="str">
        <f t="shared" si="1909"/>
        <v>NFSE</v>
      </c>
      <c r="D9877" t="str">
        <f t="shared" si="1910"/>
        <v>3642</v>
      </c>
      <c r="E9877" t="str">
        <f t="shared" si="1904"/>
        <v>1</v>
      </c>
      <c r="F9877" t="str">
        <f t="shared" si="1900"/>
        <v>COM</v>
      </c>
      <c r="G9877" t="str">
        <f t="shared" si="1911"/>
        <v>FARMÁCIA INDIANA LJ 1 (10126)</v>
      </c>
      <c r="H9877" t="s">
        <v>2803</v>
      </c>
      <c r="I9877" t="str">
        <f t="shared" si="1912"/>
        <v>12/11/2025</v>
      </c>
      <c r="J9877" t="str">
        <f t="shared" si="1913"/>
        <v>04/11/2025</v>
      </c>
      <c r="K9877">
        <v>45973</v>
      </c>
      <c r="N9877">
        <v>303</v>
      </c>
      <c r="O9877" t="s">
        <v>69</v>
      </c>
      <c r="Q9877">
        <v>899.41</v>
      </c>
      <c r="R9877" t="str">
        <f>"FARMÁCIA INDIANA LJ 112 (10050)"</f>
        <v>FARMÁCIA INDIANA LJ 112 (10050)</v>
      </c>
      <c r="S9877" t="s">
        <v>70</v>
      </c>
      <c r="T9877">
        <v>21840</v>
      </c>
      <c r="U9877">
        <v>24728</v>
      </c>
      <c r="V9877" t="s">
        <v>77</v>
      </c>
    </row>
    <row r="9878" spans="1:22">
      <c r="A9878" t="str">
        <f t="shared" si="1914"/>
        <v>12/11/2025</v>
      </c>
      <c r="B9878" t="str">
        <f t="shared" si="1908"/>
        <v>ENTRADA</v>
      </c>
      <c r="C9878" t="str">
        <f t="shared" si="1909"/>
        <v>NFSE</v>
      </c>
      <c r="D9878" t="str">
        <f t="shared" si="1910"/>
        <v>3642</v>
      </c>
      <c r="E9878" t="str">
        <f t="shared" si="1904"/>
        <v>1</v>
      </c>
      <c r="F9878" t="str">
        <f t="shared" si="1900"/>
        <v>COM</v>
      </c>
      <c r="G9878" t="str">
        <f t="shared" si="1911"/>
        <v>FARMÁCIA INDIANA LJ 1 (10126)</v>
      </c>
      <c r="H9878" t="s">
        <v>2803</v>
      </c>
      <c r="I9878" t="str">
        <f t="shared" si="1912"/>
        <v>12/11/2025</v>
      </c>
      <c r="J9878" t="str">
        <f t="shared" si="1913"/>
        <v>04/11/2025</v>
      </c>
      <c r="K9878">
        <v>45973</v>
      </c>
      <c r="N9878">
        <v>303</v>
      </c>
      <c r="O9878" t="s">
        <v>69</v>
      </c>
      <c r="Q9878">
        <v>899.41</v>
      </c>
      <c r="R9878" t="str">
        <f>"FARMÁCIA INDIANA LJ 116 (10051)"</f>
        <v>FARMÁCIA INDIANA LJ 116 (10051)</v>
      </c>
      <c r="S9878" t="s">
        <v>70</v>
      </c>
      <c r="T9878">
        <v>21840</v>
      </c>
      <c r="U9878">
        <v>24728</v>
      </c>
      <c r="V9878" t="s">
        <v>77</v>
      </c>
    </row>
    <row r="9879" spans="1:22">
      <c r="A9879" t="str">
        <f t="shared" si="1914"/>
        <v>12/11/2025</v>
      </c>
      <c r="B9879" t="str">
        <f t="shared" si="1908"/>
        <v>ENTRADA</v>
      </c>
      <c r="C9879" t="str">
        <f t="shared" si="1909"/>
        <v>NFSE</v>
      </c>
      <c r="D9879" t="str">
        <f t="shared" si="1910"/>
        <v>3642</v>
      </c>
      <c r="E9879" t="str">
        <f t="shared" si="1904"/>
        <v>1</v>
      </c>
      <c r="F9879" t="str">
        <f t="shared" si="1900"/>
        <v>COM</v>
      </c>
      <c r="G9879" t="str">
        <f t="shared" si="1911"/>
        <v>FARMÁCIA INDIANA LJ 1 (10126)</v>
      </c>
      <c r="H9879" t="s">
        <v>2803</v>
      </c>
      <c r="I9879" t="str">
        <f t="shared" si="1912"/>
        <v>12/11/2025</v>
      </c>
      <c r="J9879" t="str">
        <f t="shared" si="1913"/>
        <v>04/11/2025</v>
      </c>
      <c r="K9879">
        <v>45973</v>
      </c>
      <c r="N9879">
        <v>303</v>
      </c>
      <c r="O9879" t="s">
        <v>69</v>
      </c>
      <c r="Q9879">
        <v>986.45</v>
      </c>
      <c r="R9879" t="str">
        <f>"FARMÁCIA INDIANA LJ 118 (10052)"</f>
        <v>FARMÁCIA INDIANA LJ 118 (10052)</v>
      </c>
      <c r="S9879" t="s">
        <v>70</v>
      </c>
      <c r="T9879">
        <v>21840</v>
      </c>
      <c r="U9879">
        <v>24728</v>
      </c>
      <c r="V9879" t="s">
        <v>77</v>
      </c>
    </row>
    <row r="9880" spans="1:22">
      <c r="A9880" t="str">
        <f t="shared" si="1914"/>
        <v>12/11/2025</v>
      </c>
      <c r="B9880" t="str">
        <f t="shared" si="1908"/>
        <v>ENTRADA</v>
      </c>
      <c r="C9880" t="str">
        <f t="shared" si="1909"/>
        <v>NFSE</v>
      </c>
      <c r="D9880" t="str">
        <f t="shared" si="1910"/>
        <v>3642</v>
      </c>
      <c r="E9880" t="str">
        <f t="shared" si="1904"/>
        <v>1</v>
      </c>
      <c r="F9880" t="str">
        <f t="shared" si="1900"/>
        <v>COM</v>
      </c>
      <c r="G9880" t="str">
        <f t="shared" si="1911"/>
        <v>FARMÁCIA INDIANA LJ 1 (10126)</v>
      </c>
      <c r="H9880" t="s">
        <v>2803</v>
      </c>
      <c r="I9880" t="str">
        <f t="shared" si="1912"/>
        <v>12/11/2025</v>
      </c>
      <c r="J9880" t="str">
        <f t="shared" si="1913"/>
        <v>04/11/2025</v>
      </c>
      <c r="K9880">
        <v>45973</v>
      </c>
      <c r="N9880">
        <v>303</v>
      </c>
      <c r="O9880" t="s">
        <v>69</v>
      </c>
      <c r="Q9880">
        <v>899.41</v>
      </c>
      <c r="R9880" t="str">
        <f>"FARMÁCIA INDIANA LJ 121 (10054)"</f>
        <v>FARMÁCIA INDIANA LJ 121 (10054)</v>
      </c>
      <c r="S9880" t="s">
        <v>70</v>
      </c>
      <c r="T9880">
        <v>21840</v>
      </c>
      <c r="U9880">
        <v>24728</v>
      </c>
      <c r="V9880" t="s">
        <v>77</v>
      </c>
    </row>
    <row r="9881" spans="1:22">
      <c r="A9881" t="str">
        <f t="shared" si="1914"/>
        <v>12/11/2025</v>
      </c>
      <c r="B9881" t="str">
        <f t="shared" si="1908"/>
        <v>ENTRADA</v>
      </c>
      <c r="C9881" t="str">
        <f t="shared" si="1909"/>
        <v>NFSE</v>
      </c>
      <c r="D9881" t="str">
        <f t="shared" si="1910"/>
        <v>3642</v>
      </c>
      <c r="E9881" t="str">
        <f t="shared" si="1904"/>
        <v>1</v>
      </c>
      <c r="F9881" t="str">
        <f t="shared" si="1900"/>
        <v>COM</v>
      </c>
      <c r="G9881" t="str">
        <f t="shared" si="1911"/>
        <v>FARMÁCIA INDIANA LJ 1 (10126)</v>
      </c>
      <c r="H9881" t="s">
        <v>2803</v>
      </c>
      <c r="I9881" t="str">
        <f t="shared" si="1912"/>
        <v>12/11/2025</v>
      </c>
      <c r="J9881" t="str">
        <f t="shared" si="1913"/>
        <v>04/11/2025</v>
      </c>
      <c r="K9881">
        <v>45973</v>
      </c>
      <c r="N9881">
        <v>303</v>
      </c>
      <c r="O9881" t="s">
        <v>69</v>
      </c>
      <c r="Q9881">
        <v>1073.5</v>
      </c>
      <c r="R9881" t="str">
        <f>"FARMÁCIA INDIANA LJ 128 (10057)"</f>
        <v>FARMÁCIA INDIANA LJ 128 (10057)</v>
      </c>
      <c r="S9881" t="s">
        <v>70</v>
      </c>
      <c r="T9881">
        <v>21840</v>
      </c>
      <c r="U9881">
        <v>24728</v>
      </c>
      <c r="V9881" t="s">
        <v>77</v>
      </c>
    </row>
    <row r="9882" spans="1:22">
      <c r="A9882" t="str">
        <f t="shared" si="1914"/>
        <v>12/11/2025</v>
      </c>
      <c r="B9882" t="str">
        <f t="shared" si="1908"/>
        <v>ENTRADA</v>
      </c>
      <c r="C9882" t="str">
        <f t="shared" si="1909"/>
        <v>NFSE</v>
      </c>
      <c r="D9882" t="str">
        <f t="shared" si="1910"/>
        <v>3642</v>
      </c>
      <c r="E9882" t="str">
        <f t="shared" si="1904"/>
        <v>1</v>
      </c>
      <c r="F9882" t="str">
        <f t="shared" si="1900"/>
        <v>COM</v>
      </c>
      <c r="G9882" t="str">
        <f t="shared" si="1911"/>
        <v>FARMÁCIA INDIANA LJ 1 (10126)</v>
      </c>
      <c r="H9882" t="s">
        <v>2803</v>
      </c>
      <c r="I9882" t="str">
        <f t="shared" si="1912"/>
        <v>12/11/2025</v>
      </c>
      <c r="J9882" t="str">
        <f t="shared" si="1913"/>
        <v>04/11/2025</v>
      </c>
      <c r="K9882">
        <v>45973</v>
      </c>
      <c r="N9882">
        <v>303</v>
      </c>
      <c r="O9882" t="s">
        <v>69</v>
      </c>
      <c r="Q9882">
        <v>377.17</v>
      </c>
      <c r="R9882" t="str">
        <f>"FARMÁCIA INDIANA LJ 140 (10064)"</f>
        <v>FARMÁCIA INDIANA LJ 140 (10064)</v>
      </c>
      <c r="S9882" t="s">
        <v>70</v>
      </c>
      <c r="T9882">
        <v>21840</v>
      </c>
      <c r="U9882">
        <v>24728</v>
      </c>
      <c r="V9882" t="s">
        <v>77</v>
      </c>
    </row>
    <row r="9883" spans="1:22">
      <c r="A9883" t="str">
        <f t="shared" si="1914"/>
        <v>12/11/2025</v>
      </c>
      <c r="B9883" t="str">
        <f t="shared" si="1908"/>
        <v>ENTRADA</v>
      </c>
      <c r="C9883" t="str">
        <f t="shared" si="1909"/>
        <v>NFSE</v>
      </c>
      <c r="D9883" t="str">
        <f t="shared" si="1910"/>
        <v>3642</v>
      </c>
      <c r="E9883" t="str">
        <f t="shared" si="1904"/>
        <v>1</v>
      </c>
      <c r="F9883" t="str">
        <f t="shared" si="1900"/>
        <v>COM</v>
      </c>
      <c r="G9883" t="str">
        <f t="shared" si="1911"/>
        <v>FARMÁCIA INDIANA LJ 1 (10126)</v>
      </c>
      <c r="H9883" t="s">
        <v>2803</v>
      </c>
      <c r="I9883" t="str">
        <f t="shared" si="1912"/>
        <v>12/11/2025</v>
      </c>
      <c r="J9883" t="str">
        <f t="shared" si="1913"/>
        <v>04/11/2025</v>
      </c>
      <c r="K9883">
        <v>45973</v>
      </c>
      <c r="N9883">
        <v>303</v>
      </c>
      <c r="O9883" t="s">
        <v>69</v>
      </c>
      <c r="Q9883">
        <v>116.05</v>
      </c>
      <c r="R9883" t="str">
        <f>"FARMÁCIA INDIANA LJ 141 (10065)"</f>
        <v>FARMÁCIA INDIANA LJ 141 (10065)</v>
      </c>
      <c r="S9883" t="s">
        <v>70</v>
      </c>
      <c r="T9883">
        <v>21840</v>
      </c>
      <c r="U9883">
        <v>24728</v>
      </c>
      <c r="V9883" t="s">
        <v>77</v>
      </c>
    </row>
    <row r="9884" spans="1:22">
      <c r="A9884" t="str">
        <f t="shared" si="1914"/>
        <v>12/11/2025</v>
      </c>
      <c r="B9884" t="str">
        <f t="shared" si="1908"/>
        <v>ENTRADA</v>
      </c>
      <c r="C9884" t="str">
        <f t="shared" si="1909"/>
        <v>NFSE</v>
      </c>
      <c r="D9884" t="str">
        <f t="shared" si="1910"/>
        <v>3642</v>
      </c>
      <c r="E9884" t="str">
        <f t="shared" ref="E9884:E9915" si="1915">"1"</f>
        <v>1</v>
      </c>
      <c r="F9884" t="str">
        <f t="shared" si="1900"/>
        <v>COM</v>
      </c>
      <c r="G9884" t="str">
        <f t="shared" si="1911"/>
        <v>FARMÁCIA INDIANA LJ 1 (10126)</v>
      </c>
      <c r="H9884" t="s">
        <v>2803</v>
      </c>
      <c r="I9884" t="str">
        <f t="shared" si="1912"/>
        <v>12/11/2025</v>
      </c>
      <c r="J9884" t="str">
        <f t="shared" si="1913"/>
        <v>04/11/2025</v>
      </c>
      <c r="K9884">
        <v>45973</v>
      </c>
      <c r="N9884">
        <v>303</v>
      </c>
      <c r="O9884" t="s">
        <v>69</v>
      </c>
      <c r="Q9884">
        <v>9400.34</v>
      </c>
      <c r="R9884" t="str">
        <f>"FARMÁCIA INDIANA LJ 142 (10066)"</f>
        <v>FARMÁCIA INDIANA LJ 142 (10066)</v>
      </c>
      <c r="S9884" t="s">
        <v>70</v>
      </c>
      <c r="T9884">
        <v>21840</v>
      </c>
      <c r="U9884">
        <v>24728</v>
      </c>
      <c r="V9884" t="s">
        <v>77</v>
      </c>
    </row>
    <row r="9885" spans="1:22">
      <c r="A9885" t="str">
        <f t="shared" si="1914"/>
        <v>12/11/2025</v>
      </c>
      <c r="B9885" t="str">
        <f t="shared" si="1908"/>
        <v>ENTRADA</v>
      </c>
      <c r="C9885" t="str">
        <f t="shared" si="1909"/>
        <v>NFSE</v>
      </c>
      <c r="D9885" t="str">
        <f t="shared" si="1910"/>
        <v>3642</v>
      </c>
      <c r="E9885" t="str">
        <f t="shared" si="1915"/>
        <v>1</v>
      </c>
      <c r="F9885" t="str">
        <f t="shared" si="1900"/>
        <v>COM</v>
      </c>
      <c r="G9885" t="str">
        <f t="shared" si="1911"/>
        <v>FARMÁCIA INDIANA LJ 1 (10126)</v>
      </c>
      <c r="H9885" t="s">
        <v>2803</v>
      </c>
      <c r="I9885" t="str">
        <f t="shared" si="1912"/>
        <v>12/11/2025</v>
      </c>
      <c r="J9885" t="str">
        <f t="shared" si="1913"/>
        <v>04/11/2025</v>
      </c>
      <c r="K9885">
        <v>45973</v>
      </c>
      <c r="N9885">
        <v>303</v>
      </c>
      <c r="O9885" t="s">
        <v>69</v>
      </c>
      <c r="Q9885">
        <v>609.28</v>
      </c>
      <c r="R9885" t="str">
        <f>"FARMÁCIA INDIANA LJ 143 (10067)"</f>
        <v>FARMÁCIA INDIANA LJ 143 (10067)</v>
      </c>
      <c r="S9885" t="s">
        <v>70</v>
      </c>
      <c r="T9885">
        <v>21840</v>
      </c>
      <c r="U9885">
        <v>24728</v>
      </c>
      <c r="V9885" t="s">
        <v>77</v>
      </c>
    </row>
    <row r="9886" spans="1:22">
      <c r="A9886" t="str">
        <f t="shared" si="1914"/>
        <v>12/11/2025</v>
      </c>
      <c r="B9886" t="str">
        <f t="shared" si="1908"/>
        <v>ENTRADA</v>
      </c>
      <c r="C9886" t="str">
        <f t="shared" si="1909"/>
        <v>NFSE</v>
      </c>
      <c r="D9886" t="str">
        <f t="shared" si="1910"/>
        <v>3642</v>
      </c>
      <c r="E9886" t="str">
        <f t="shared" si="1915"/>
        <v>1</v>
      </c>
      <c r="F9886" t="str">
        <f t="shared" si="1900"/>
        <v>COM</v>
      </c>
      <c r="G9886" t="str">
        <f t="shared" si="1911"/>
        <v>FARMÁCIA INDIANA LJ 1 (10126)</v>
      </c>
      <c r="H9886" t="s">
        <v>2803</v>
      </c>
      <c r="I9886" t="str">
        <f t="shared" si="1912"/>
        <v>12/11/2025</v>
      </c>
      <c r="J9886" t="str">
        <f t="shared" si="1913"/>
        <v>04/11/2025</v>
      </c>
      <c r="K9886">
        <v>45973</v>
      </c>
      <c r="N9886">
        <v>303</v>
      </c>
      <c r="O9886" t="s">
        <v>69</v>
      </c>
      <c r="Q9886">
        <v>4946.78</v>
      </c>
      <c r="R9886" t="str">
        <f>"FARMÁCIA INDIANA LJ 152 (10069)"</f>
        <v>FARMÁCIA INDIANA LJ 152 (10069)</v>
      </c>
      <c r="S9886" t="s">
        <v>70</v>
      </c>
      <c r="T9886">
        <v>21840</v>
      </c>
      <c r="U9886">
        <v>24728</v>
      </c>
      <c r="V9886" t="s">
        <v>77</v>
      </c>
    </row>
    <row r="9887" spans="1:22">
      <c r="A9887" t="str">
        <f t="shared" si="1914"/>
        <v>12/11/2025</v>
      </c>
      <c r="B9887" t="str">
        <f t="shared" si="1908"/>
        <v>ENTRADA</v>
      </c>
      <c r="C9887" t="str">
        <f t="shared" si="1909"/>
        <v>NFSE</v>
      </c>
      <c r="D9887" t="str">
        <f t="shared" si="1910"/>
        <v>3642</v>
      </c>
      <c r="E9887" t="str">
        <f t="shared" si="1915"/>
        <v>1</v>
      </c>
      <c r="F9887" t="str">
        <f t="shared" si="1900"/>
        <v>COM</v>
      </c>
      <c r="G9887" t="str">
        <f t="shared" si="1911"/>
        <v>FARMÁCIA INDIANA LJ 1 (10126)</v>
      </c>
      <c r="H9887" t="s">
        <v>2803</v>
      </c>
      <c r="I9887" t="str">
        <f t="shared" si="1912"/>
        <v>12/11/2025</v>
      </c>
      <c r="J9887" t="str">
        <f t="shared" si="1913"/>
        <v>04/11/2025</v>
      </c>
      <c r="K9887">
        <v>45973</v>
      </c>
      <c r="N9887">
        <v>303</v>
      </c>
      <c r="O9887" t="s">
        <v>69</v>
      </c>
      <c r="Q9887">
        <v>232.11</v>
      </c>
      <c r="R9887" t="str">
        <f>"FARMÁCIA INDIANA LJ 154 (10070)"</f>
        <v>FARMÁCIA INDIANA LJ 154 (10070)</v>
      </c>
      <c r="S9887" t="s">
        <v>70</v>
      </c>
      <c r="T9887">
        <v>21840</v>
      </c>
      <c r="U9887">
        <v>24728</v>
      </c>
      <c r="V9887" t="s">
        <v>77</v>
      </c>
    </row>
    <row r="9888" spans="1:22">
      <c r="A9888" t="str">
        <f t="shared" si="1914"/>
        <v>12/11/2025</v>
      </c>
      <c r="B9888" t="str">
        <f t="shared" si="1908"/>
        <v>ENTRADA</v>
      </c>
      <c r="C9888" t="str">
        <f t="shared" si="1909"/>
        <v>NFSE</v>
      </c>
      <c r="D9888" t="str">
        <f t="shared" si="1910"/>
        <v>3642</v>
      </c>
      <c r="E9888" t="str">
        <f t="shared" si="1915"/>
        <v>1</v>
      </c>
      <c r="F9888" t="str">
        <f t="shared" si="1900"/>
        <v>COM</v>
      </c>
      <c r="G9888" t="str">
        <f t="shared" si="1911"/>
        <v>FARMÁCIA INDIANA LJ 1 (10126)</v>
      </c>
      <c r="H9888" t="s">
        <v>2803</v>
      </c>
      <c r="I9888" t="str">
        <f t="shared" si="1912"/>
        <v>12/11/2025</v>
      </c>
      <c r="J9888" t="str">
        <f t="shared" si="1913"/>
        <v>04/11/2025</v>
      </c>
      <c r="K9888">
        <v>45973</v>
      </c>
      <c r="N9888">
        <v>303</v>
      </c>
      <c r="O9888" t="s">
        <v>69</v>
      </c>
      <c r="Q9888">
        <v>1929.39</v>
      </c>
      <c r="R9888" t="str">
        <f>"FARMÁCIA INDIANA LJ 171 (10074)"</f>
        <v>FARMÁCIA INDIANA LJ 171 (10074)</v>
      </c>
      <c r="S9888" t="s">
        <v>70</v>
      </c>
      <c r="T9888">
        <v>21840</v>
      </c>
      <c r="U9888">
        <v>24728</v>
      </c>
      <c r="V9888" t="s">
        <v>77</v>
      </c>
    </row>
    <row r="9889" spans="1:22">
      <c r="A9889" t="str">
        <f t="shared" si="1914"/>
        <v>12/11/2025</v>
      </c>
      <c r="B9889" t="str">
        <f t="shared" si="1908"/>
        <v>ENTRADA</v>
      </c>
      <c r="C9889" t="str">
        <f t="shared" si="1909"/>
        <v>NFSE</v>
      </c>
      <c r="D9889" t="str">
        <f t="shared" si="1910"/>
        <v>3642</v>
      </c>
      <c r="E9889" t="str">
        <f t="shared" si="1915"/>
        <v>1</v>
      </c>
      <c r="F9889" t="str">
        <f t="shared" si="1900"/>
        <v>COM</v>
      </c>
      <c r="G9889" t="str">
        <f t="shared" si="1911"/>
        <v>FARMÁCIA INDIANA LJ 1 (10126)</v>
      </c>
      <c r="H9889" t="s">
        <v>2803</v>
      </c>
      <c r="I9889" t="str">
        <f t="shared" si="1912"/>
        <v>12/11/2025</v>
      </c>
      <c r="J9889" t="str">
        <f t="shared" si="1913"/>
        <v>04/11/2025</v>
      </c>
      <c r="K9889">
        <v>45973</v>
      </c>
      <c r="N9889">
        <v>303</v>
      </c>
      <c r="O9889" t="s">
        <v>69</v>
      </c>
      <c r="Q9889">
        <v>739.84</v>
      </c>
      <c r="R9889" t="str">
        <f>"FARMÁCIA INDIANA LJ 175 (10076)"</f>
        <v>FARMÁCIA INDIANA LJ 175 (10076)</v>
      </c>
      <c r="S9889" t="s">
        <v>70</v>
      </c>
      <c r="T9889">
        <v>21840</v>
      </c>
      <c r="U9889">
        <v>24728</v>
      </c>
      <c r="V9889" t="s">
        <v>77</v>
      </c>
    </row>
    <row r="9890" spans="1:22">
      <c r="A9890" t="str">
        <f t="shared" si="1914"/>
        <v>12/11/2025</v>
      </c>
      <c r="B9890" t="str">
        <f t="shared" ref="B9890:B9921" si="1916">"ENTRADA"</f>
        <v>ENTRADA</v>
      </c>
      <c r="C9890" t="str">
        <f t="shared" ref="C9890:C9921" si="1917">"NFSE"</f>
        <v>NFSE</v>
      </c>
      <c r="D9890" t="str">
        <f t="shared" ref="D9890:D9906" si="1918">"3642"</f>
        <v>3642</v>
      </c>
      <c r="E9890" t="str">
        <f t="shared" si="1915"/>
        <v>1</v>
      </c>
      <c r="F9890" t="str">
        <f t="shared" si="1900"/>
        <v>COM</v>
      </c>
      <c r="G9890" t="str">
        <f t="shared" ref="G9890:G9906" si="1919">"FARMÁCIA INDIANA LJ 1 (10126)"</f>
        <v>FARMÁCIA INDIANA LJ 1 (10126)</v>
      </c>
      <c r="H9890" t="s">
        <v>2803</v>
      </c>
      <c r="I9890" t="str">
        <f t="shared" ref="I9890:I9921" si="1920">("12/11/2025")</f>
        <v>12/11/2025</v>
      </c>
      <c r="J9890" t="str">
        <f t="shared" ref="J9890:J9921" si="1921">("04/11/2025")</f>
        <v>04/11/2025</v>
      </c>
      <c r="K9890">
        <v>45973</v>
      </c>
      <c r="N9890">
        <v>303</v>
      </c>
      <c r="O9890" t="s">
        <v>69</v>
      </c>
      <c r="Q9890">
        <v>1175.04</v>
      </c>
      <c r="R9890" t="str">
        <f>"FARMÁCIA INDIANA LJ 178 (10077)"</f>
        <v>FARMÁCIA INDIANA LJ 178 (10077)</v>
      </c>
      <c r="S9890" t="s">
        <v>70</v>
      </c>
      <c r="T9890">
        <v>21840</v>
      </c>
      <c r="U9890">
        <v>24728</v>
      </c>
      <c r="V9890" t="s">
        <v>77</v>
      </c>
    </row>
    <row r="9891" spans="1:22">
      <c r="A9891" t="str">
        <f t="shared" si="1914"/>
        <v>12/11/2025</v>
      </c>
      <c r="B9891" t="str">
        <f t="shared" si="1916"/>
        <v>ENTRADA</v>
      </c>
      <c r="C9891" t="str">
        <f t="shared" si="1917"/>
        <v>NFSE</v>
      </c>
      <c r="D9891" t="str">
        <f t="shared" si="1918"/>
        <v>3642</v>
      </c>
      <c r="E9891" t="str">
        <f t="shared" si="1915"/>
        <v>1</v>
      </c>
      <c r="F9891" t="str">
        <f t="shared" si="1900"/>
        <v>COM</v>
      </c>
      <c r="G9891" t="str">
        <f t="shared" si="1919"/>
        <v>FARMÁCIA INDIANA LJ 1 (10126)</v>
      </c>
      <c r="H9891" t="s">
        <v>2803</v>
      </c>
      <c r="I9891" t="str">
        <f t="shared" si="1920"/>
        <v>12/11/2025</v>
      </c>
      <c r="J9891" t="str">
        <f t="shared" si="1921"/>
        <v>04/11/2025</v>
      </c>
      <c r="K9891">
        <v>45973</v>
      </c>
      <c r="N9891">
        <v>303</v>
      </c>
      <c r="O9891" t="s">
        <v>69</v>
      </c>
      <c r="Q9891">
        <v>449.71</v>
      </c>
      <c r="R9891" t="str">
        <f>"FARMÁCIA INDIANA LJ 182 (10079)"</f>
        <v>FARMÁCIA INDIANA LJ 182 (10079)</v>
      </c>
      <c r="S9891" t="s">
        <v>70</v>
      </c>
      <c r="T9891">
        <v>21840</v>
      </c>
      <c r="U9891">
        <v>24728</v>
      </c>
      <c r="V9891" t="s">
        <v>77</v>
      </c>
    </row>
    <row r="9892" spans="1:22">
      <c r="A9892" t="str">
        <f t="shared" si="1914"/>
        <v>12/11/2025</v>
      </c>
      <c r="B9892" t="str">
        <f t="shared" si="1916"/>
        <v>ENTRADA</v>
      </c>
      <c r="C9892" t="str">
        <f t="shared" si="1917"/>
        <v>NFSE</v>
      </c>
      <c r="D9892" t="str">
        <f t="shared" si="1918"/>
        <v>3642</v>
      </c>
      <c r="E9892" t="str">
        <f t="shared" si="1915"/>
        <v>1</v>
      </c>
      <c r="F9892" t="str">
        <f t="shared" si="1900"/>
        <v>COM</v>
      </c>
      <c r="G9892" t="str">
        <f t="shared" si="1919"/>
        <v>FARMÁCIA INDIANA LJ 1 (10126)</v>
      </c>
      <c r="H9892" t="s">
        <v>2803</v>
      </c>
      <c r="I9892" t="str">
        <f t="shared" si="1920"/>
        <v>12/11/2025</v>
      </c>
      <c r="J9892" t="str">
        <f t="shared" si="1921"/>
        <v>04/11/2025</v>
      </c>
      <c r="K9892">
        <v>45973</v>
      </c>
      <c r="N9892">
        <v>303</v>
      </c>
      <c r="O9892" t="s">
        <v>69</v>
      </c>
      <c r="Q9892">
        <v>362.67</v>
      </c>
      <c r="R9892" t="str">
        <f>"FARMÁCIA INDIANA LJ 184 (10080)"</f>
        <v>FARMÁCIA INDIANA LJ 184 (10080)</v>
      </c>
      <c r="S9892" t="s">
        <v>70</v>
      </c>
      <c r="T9892">
        <v>21840</v>
      </c>
      <c r="U9892">
        <v>24728</v>
      </c>
      <c r="V9892" t="s">
        <v>77</v>
      </c>
    </row>
    <row r="9893" spans="1:22">
      <c r="A9893" t="str">
        <f t="shared" si="1914"/>
        <v>12/11/2025</v>
      </c>
      <c r="B9893" t="str">
        <f t="shared" si="1916"/>
        <v>ENTRADA</v>
      </c>
      <c r="C9893" t="str">
        <f t="shared" si="1917"/>
        <v>NFSE</v>
      </c>
      <c r="D9893" t="str">
        <f t="shared" si="1918"/>
        <v>3642</v>
      </c>
      <c r="E9893" t="str">
        <f t="shared" si="1915"/>
        <v>1</v>
      </c>
      <c r="F9893" t="str">
        <f t="shared" si="1900"/>
        <v>COM</v>
      </c>
      <c r="G9893" t="str">
        <f t="shared" si="1919"/>
        <v>FARMÁCIA INDIANA LJ 1 (10126)</v>
      </c>
      <c r="H9893" t="s">
        <v>2803</v>
      </c>
      <c r="I9893" t="str">
        <f t="shared" si="1920"/>
        <v>12/11/2025</v>
      </c>
      <c r="J9893" t="str">
        <f t="shared" si="1921"/>
        <v>04/11/2025</v>
      </c>
      <c r="K9893">
        <v>45973</v>
      </c>
      <c r="N9893">
        <v>303</v>
      </c>
      <c r="O9893" t="s">
        <v>69</v>
      </c>
      <c r="Q9893">
        <v>449.71</v>
      </c>
      <c r="R9893" t="str">
        <f>"FARMÁCIA INDIANA LJ 186 (10081)"</f>
        <v>FARMÁCIA INDIANA LJ 186 (10081)</v>
      </c>
      <c r="S9893" t="s">
        <v>70</v>
      </c>
      <c r="T9893">
        <v>21840</v>
      </c>
      <c r="U9893">
        <v>24728</v>
      </c>
      <c r="V9893" t="s">
        <v>77</v>
      </c>
    </row>
    <row r="9894" spans="1:22">
      <c r="A9894" t="str">
        <f t="shared" si="1914"/>
        <v>12/11/2025</v>
      </c>
      <c r="B9894" t="str">
        <f t="shared" si="1916"/>
        <v>ENTRADA</v>
      </c>
      <c r="C9894" t="str">
        <f t="shared" si="1917"/>
        <v>NFSE</v>
      </c>
      <c r="D9894" t="str">
        <f t="shared" si="1918"/>
        <v>3642</v>
      </c>
      <c r="E9894" t="str">
        <f t="shared" si="1915"/>
        <v>1</v>
      </c>
      <c r="F9894" t="str">
        <f t="shared" si="1900"/>
        <v>COM</v>
      </c>
      <c r="G9894" t="str">
        <f t="shared" si="1919"/>
        <v>FARMÁCIA INDIANA LJ 1 (10126)</v>
      </c>
      <c r="H9894" t="s">
        <v>2803</v>
      </c>
      <c r="I9894" t="str">
        <f t="shared" si="1920"/>
        <v>12/11/2025</v>
      </c>
      <c r="J9894" t="str">
        <f t="shared" si="1921"/>
        <v>04/11/2025</v>
      </c>
      <c r="K9894">
        <v>45973</v>
      </c>
      <c r="N9894">
        <v>303</v>
      </c>
      <c r="O9894" t="s">
        <v>69</v>
      </c>
      <c r="Q9894">
        <v>870.4</v>
      </c>
      <c r="R9894" t="str">
        <f>"FARMÁCIA INDIANA LJ 192 (10082)"</f>
        <v>FARMÁCIA INDIANA LJ 192 (10082)</v>
      </c>
      <c r="S9894" t="s">
        <v>70</v>
      </c>
      <c r="T9894">
        <v>21840</v>
      </c>
      <c r="U9894">
        <v>24728</v>
      </c>
      <c r="V9894" t="s">
        <v>77</v>
      </c>
    </row>
    <row r="9895" spans="1:22">
      <c r="A9895" t="str">
        <f t="shared" si="1914"/>
        <v>12/11/2025</v>
      </c>
      <c r="B9895" t="str">
        <f t="shared" si="1916"/>
        <v>ENTRADA</v>
      </c>
      <c r="C9895" t="str">
        <f t="shared" si="1917"/>
        <v>NFSE</v>
      </c>
      <c r="D9895" t="str">
        <f t="shared" si="1918"/>
        <v>3642</v>
      </c>
      <c r="E9895" t="str">
        <f t="shared" si="1915"/>
        <v>1</v>
      </c>
      <c r="F9895" t="str">
        <f t="shared" si="1900"/>
        <v>COM</v>
      </c>
      <c r="G9895" t="str">
        <f t="shared" si="1919"/>
        <v>FARMÁCIA INDIANA LJ 1 (10126)</v>
      </c>
      <c r="H9895" t="s">
        <v>2803</v>
      </c>
      <c r="I9895" t="str">
        <f t="shared" si="1920"/>
        <v>12/11/2025</v>
      </c>
      <c r="J9895" t="str">
        <f t="shared" si="1921"/>
        <v>04/11/2025</v>
      </c>
      <c r="K9895">
        <v>45973</v>
      </c>
      <c r="N9895">
        <v>303</v>
      </c>
      <c r="O9895" t="s">
        <v>69</v>
      </c>
      <c r="Q9895">
        <v>362.67</v>
      </c>
      <c r="R9895" t="str">
        <f>"FARMÁCIA INDIANA LJ 195 (10083)"</f>
        <v>FARMÁCIA INDIANA LJ 195 (10083)</v>
      </c>
      <c r="S9895" t="s">
        <v>70</v>
      </c>
      <c r="T9895">
        <v>21840</v>
      </c>
      <c r="U9895">
        <v>24728</v>
      </c>
      <c r="V9895" t="s">
        <v>77</v>
      </c>
    </row>
    <row r="9896" spans="1:22">
      <c r="A9896" t="str">
        <f t="shared" ref="A9896:A9927" si="1922">("12/11/2025")</f>
        <v>12/11/2025</v>
      </c>
      <c r="B9896" t="str">
        <f t="shared" si="1916"/>
        <v>ENTRADA</v>
      </c>
      <c r="C9896" t="str">
        <f t="shared" si="1917"/>
        <v>NFSE</v>
      </c>
      <c r="D9896" t="str">
        <f t="shared" si="1918"/>
        <v>3642</v>
      </c>
      <c r="E9896" t="str">
        <f t="shared" si="1915"/>
        <v>1</v>
      </c>
      <c r="F9896" t="str">
        <f t="shared" si="1900"/>
        <v>COM</v>
      </c>
      <c r="G9896" t="str">
        <f t="shared" si="1919"/>
        <v>FARMÁCIA INDIANA LJ 1 (10126)</v>
      </c>
      <c r="H9896" t="s">
        <v>2803</v>
      </c>
      <c r="I9896" t="str">
        <f t="shared" si="1920"/>
        <v>12/11/2025</v>
      </c>
      <c r="J9896" t="str">
        <f t="shared" si="1921"/>
        <v>04/11/2025</v>
      </c>
      <c r="K9896">
        <v>45973</v>
      </c>
      <c r="N9896">
        <v>303</v>
      </c>
      <c r="O9896" t="s">
        <v>69</v>
      </c>
      <c r="Q9896">
        <v>899.41</v>
      </c>
      <c r="R9896" t="str">
        <f>"FARMÁCIA INDIANA LJ 202 (10085)"</f>
        <v>FARMÁCIA INDIANA LJ 202 (10085)</v>
      </c>
      <c r="S9896" t="s">
        <v>70</v>
      </c>
      <c r="T9896">
        <v>21840</v>
      </c>
      <c r="U9896">
        <v>24728</v>
      </c>
      <c r="V9896" t="s">
        <v>77</v>
      </c>
    </row>
    <row r="9897" spans="1:22">
      <c r="A9897" t="str">
        <f t="shared" si="1922"/>
        <v>12/11/2025</v>
      </c>
      <c r="B9897" t="str">
        <f t="shared" si="1916"/>
        <v>ENTRADA</v>
      </c>
      <c r="C9897" t="str">
        <f t="shared" si="1917"/>
        <v>NFSE</v>
      </c>
      <c r="D9897" t="str">
        <f t="shared" si="1918"/>
        <v>3642</v>
      </c>
      <c r="E9897" t="str">
        <f t="shared" si="1915"/>
        <v>1</v>
      </c>
      <c r="F9897" t="str">
        <f t="shared" si="1900"/>
        <v>COM</v>
      </c>
      <c r="G9897" t="str">
        <f t="shared" si="1919"/>
        <v>FARMÁCIA INDIANA LJ 1 (10126)</v>
      </c>
      <c r="H9897" t="s">
        <v>2803</v>
      </c>
      <c r="I9897" t="str">
        <f t="shared" si="1920"/>
        <v>12/11/2025</v>
      </c>
      <c r="J9897" t="str">
        <f t="shared" si="1921"/>
        <v>04/11/2025</v>
      </c>
      <c r="K9897">
        <v>45973</v>
      </c>
      <c r="N9897">
        <v>303</v>
      </c>
      <c r="O9897" t="s">
        <v>69</v>
      </c>
      <c r="Q9897">
        <v>725.33</v>
      </c>
      <c r="R9897" t="str">
        <f>"FARMÁCIA INDIANA LJ 204 (10087)"</f>
        <v>FARMÁCIA INDIANA LJ 204 (10087)</v>
      </c>
      <c r="S9897" t="s">
        <v>70</v>
      </c>
      <c r="T9897">
        <v>21840</v>
      </c>
      <c r="U9897">
        <v>24728</v>
      </c>
      <c r="V9897" t="s">
        <v>77</v>
      </c>
    </row>
    <row r="9898" spans="1:22">
      <c r="A9898" t="str">
        <f t="shared" si="1922"/>
        <v>12/11/2025</v>
      </c>
      <c r="B9898" t="str">
        <f t="shared" si="1916"/>
        <v>ENTRADA</v>
      </c>
      <c r="C9898" t="str">
        <f t="shared" si="1917"/>
        <v>NFSE</v>
      </c>
      <c r="D9898" t="str">
        <f t="shared" si="1918"/>
        <v>3642</v>
      </c>
      <c r="E9898" t="str">
        <f t="shared" si="1915"/>
        <v>1</v>
      </c>
      <c r="F9898" t="str">
        <f t="shared" si="1900"/>
        <v>COM</v>
      </c>
      <c r="G9898" t="str">
        <f t="shared" si="1919"/>
        <v>FARMÁCIA INDIANA LJ 1 (10126)</v>
      </c>
      <c r="H9898" t="s">
        <v>2803</v>
      </c>
      <c r="I9898" t="str">
        <f t="shared" si="1920"/>
        <v>12/11/2025</v>
      </c>
      <c r="J9898" t="str">
        <f t="shared" si="1921"/>
        <v>04/11/2025</v>
      </c>
      <c r="K9898">
        <v>45973</v>
      </c>
      <c r="N9898">
        <v>303</v>
      </c>
      <c r="O9898" t="s">
        <v>69</v>
      </c>
      <c r="Q9898">
        <v>1320.11</v>
      </c>
      <c r="R9898" t="str">
        <f>"FARMÁCIA INDIANA LJ 207 (10088)"</f>
        <v>FARMÁCIA INDIANA LJ 207 (10088)</v>
      </c>
      <c r="S9898" t="s">
        <v>70</v>
      </c>
      <c r="T9898">
        <v>21840</v>
      </c>
      <c r="U9898">
        <v>24728</v>
      </c>
      <c r="V9898" t="s">
        <v>77</v>
      </c>
    </row>
    <row r="9899" spans="1:22">
      <c r="A9899" t="str">
        <f t="shared" si="1922"/>
        <v>12/11/2025</v>
      </c>
      <c r="B9899" t="str">
        <f t="shared" si="1916"/>
        <v>ENTRADA</v>
      </c>
      <c r="C9899" t="str">
        <f t="shared" si="1917"/>
        <v>NFSE</v>
      </c>
      <c r="D9899" t="str">
        <f t="shared" si="1918"/>
        <v>3642</v>
      </c>
      <c r="E9899" t="str">
        <f t="shared" si="1915"/>
        <v>1</v>
      </c>
      <c r="F9899" t="str">
        <f t="shared" si="1900"/>
        <v>COM</v>
      </c>
      <c r="G9899" t="str">
        <f t="shared" si="1919"/>
        <v>FARMÁCIA INDIANA LJ 1 (10126)</v>
      </c>
      <c r="H9899" t="s">
        <v>2803</v>
      </c>
      <c r="I9899" t="str">
        <f t="shared" si="1920"/>
        <v>12/11/2025</v>
      </c>
      <c r="J9899" t="str">
        <f t="shared" si="1921"/>
        <v>04/11/2025</v>
      </c>
      <c r="K9899">
        <v>45973</v>
      </c>
      <c r="N9899">
        <v>303</v>
      </c>
      <c r="O9899" t="s">
        <v>69</v>
      </c>
      <c r="Q9899">
        <v>1131.52</v>
      </c>
      <c r="R9899" t="str">
        <f>"FARMÁCIA INDIANA LJ 209 (10089)"</f>
        <v>FARMÁCIA INDIANA LJ 209 (10089)</v>
      </c>
      <c r="S9899" t="s">
        <v>70</v>
      </c>
      <c r="T9899">
        <v>21840</v>
      </c>
      <c r="U9899">
        <v>24728</v>
      </c>
      <c r="V9899" t="s">
        <v>77</v>
      </c>
    </row>
    <row r="9900" spans="1:22">
      <c r="A9900" t="str">
        <f t="shared" si="1922"/>
        <v>12/11/2025</v>
      </c>
      <c r="B9900" t="str">
        <f t="shared" si="1916"/>
        <v>ENTRADA</v>
      </c>
      <c r="C9900" t="str">
        <f t="shared" si="1917"/>
        <v>NFSE</v>
      </c>
      <c r="D9900" t="str">
        <f t="shared" si="1918"/>
        <v>3642</v>
      </c>
      <c r="E9900" t="str">
        <f t="shared" si="1915"/>
        <v>1</v>
      </c>
      <c r="F9900" t="str">
        <f t="shared" si="1900"/>
        <v>COM</v>
      </c>
      <c r="G9900" t="str">
        <f t="shared" si="1919"/>
        <v>FARMÁCIA INDIANA LJ 1 (10126)</v>
      </c>
      <c r="H9900" t="s">
        <v>2803</v>
      </c>
      <c r="I9900" t="str">
        <f t="shared" si="1920"/>
        <v>12/11/2025</v>
      </c>
      <c r="J9900" t="str">
        <f t="shared" si="1921"/>
        <v>04/11/2025</v>
      </c>
      <c r="K9900">
        <v>45973</v>
      </c>
      <c r="N9900">
        <v>303</v>
      </c>
      <c r="O9900" t="s">
        <v>69</v>
      </c>
      <c r="Q9900">
        <v>2306.56</v>
      </c>
      <c r="R9900" t="str">
        <f>"FARMÁCIA INDIANA LJ 219 (10091)"</f>
        <v>FARMÁCIA INDIANA LJ 219 (10091)</v>
      </c>
      <c r="S9900" t="s">
        <v>70</v>
      </c>
      <c r="T9900">
        <v>21840</v>
      </c>
      <c r="U9900">
        <v>24728</v>
      </c>
      <c r="V9900" t="s">
        <v>77</v>
      </c>
    </row>
    <row r="9901" spans="1:22">
      <c r="A9901" t="str">
        <f t="shared" si="1922"/>
        <v>12/11/2025</v>
      </c>
      <c r="B9901" t="str">
        <f t="shared" si="1916"/>
        <v>ENTRADA</v>
      </c>
      <c r="C9901" t="str">
        <f t="shared" si="1917"/>
        <v>NFSE</v>
      </c>
      <c r="D9901" t="str">
        <f t="shared" si="1918"/>
        <v>3642</v>
      </c>
      <c r="E9901" t="str">
        <f t="shared" si="1915"/>
        <v>1</v>
      </c>
      <c r="F9901" t="str">
        <f t="shared" si="1900"/>
        <v>COM</v>
      </c>
      <c r="G9901" t="str">
        <f t="shared" si="1919"/>
        <v>FARMÁCIA INDIANA LJ 1 (10126)</v>
      </c>
      <c r="H9901" t="s">
        <v>2803</v>
      </c>
      <c r="I9901" t="str">
        <f t="shared" si="1920"/>
        <v>12/11/2025</v>
      </c>
      <c r="J9901" t="str">
        <f t="shared" si="1921"/>
        <v>04/11/2025</v>
      </c>
      <c r="K9901">
        <v>45973</v>
      </c>
      <c r="N9901">
        <v>303</v>
      </c>
      <c r="O9901" t="s">
        <v>69</v>
      </c>
      <c r="Q9901">
        <v>3525.13</v>
      </c>
      <c r="R9901" t="str">
        <f>"FARMÁCIA INDIANA LJ 220 (10092)"</f>
        <v>FARMÁCIA INDIANA LJ 220 (10092)</v>
      </c>
      <c r="S9901" t="s">
        <v>70</v>
      </c>
      <c r="T9901">
        <v>21840</v>
      </c>
      <c r="U9901">
        <v>24728</v>
      </c>
      <c r="V9901" t="s">
        <v>77</v>
      </c>
    </row>
    <row r="9902" spans="1:22">
      <c r="A9902" t="str">
        <f t="shared" si="1922"/>
        <v>12/11/2025</v>
      </c>
      <c r="B9902" t="str">
        <f t="shared" si="1916"/>
        <v>ENTRADA</v>
      </c>
      <c r="C9902" t="str">
        <f t="shared" si="1917"/>
        <v>NFSE</v>
      </c>
      <c r="D9902" t="str">
        <f t="shared" si="1918"/>
        <v>3642</v>
      </c>
      <c r="E9902" t="str">
        <f t="shared" si="1915"/>
        <v>1</v>
      </c>
      <c r="F9902" t="str">
        <f t="shared" si="1900"/>
        <v>COM</v>
      </c>
      <c r="G9902" t="str">
        <f t="shared" si="1919"/>
        <v>FARMÁCIA INDIANA LJ 1 (10126)</v>
      </c>
      <c r="H9902" t="s">
        <v>2803</v>
      </c>
      <c r="I9902" t="str">
        <f t="shared" si="1920"/>
        <v>12/11/2025</v>
      </c>
      <c r="J9902" t="str">
        <f t="shared" si="1921"/>
        <v>04/11/2025</v>
      </c>
      <c r="K9902">
        <v>45973</v>
      </c>
      <c r="N9902">
        <v>303</v>
      </c>
      <c r="O9902" t="s">
        <v>69</v>
      </c>
      <c r="Q9902">
        <v>1029.98</v>
      </c>
      <c r="R9902" t="str">
        <f>"FARMÁCIA INDIANA LJ 185 (10141)"</f>
        <v>FARMÁCIA INDIANA LJ 185 (10141)</v>
      </c>
      <c r="S9902" t="s">
        <v>70</v>
      </c>
      <c r="T9902">
        <v>21840</v>
      </c>
      <c r="U9902">
        <v>24728</v>
      </c>
      <c r="V9902" t="s">
        <v>77</v>
      </c>
    </row>
    <row r="9903" spans="1:22">
      <c r="A9903" t="str">
        <f t="shared" si="1922"/>
        <v>12/11/2025</v>
      </c>
      <c r="B9903" t="str">
        <f t="shared" si="1916"/>
        <v>ENTRADA</v>
      </c>
      <c r="C9903" t="str">
        <f t="shared" si="1917"/>
        <v>NFSE</v>
      </c>
      <c r="D9903" t="str">
        <f t="shared" si="1918"/>
        <v>3642</v>
      </c>
      <c r="E9903" t="str">
        <f t="shared" si="1915"/>
        <v>1</v>
      </c>
      <c r="F9903" t="str">
        <f t="shared" si="1900"/>
        <v>COM</v>
      </c>
      <c r="G9903" t="str">
        <f t="shared" si="1919"/>
        <v>FARMÁCIA INDIANA LJ 1 (10126)</v>
      </c>
      <c r="H9903" t="s">
        <v>2803</v>
      </c>
      <c r="I9903" t="str">
        <f t="shared" si="1920"/>
        <v>12/11/2025</v>
      </c>
      <c r="J9903" t="str">
        <f t="shared" si="1921"/>
        <v>04/11/2025</v>
      </c>
      <c r="K9903">
        <v>45973</v>
      </c>
      <c r="N9903">
        <v>303</v>
      </c>
      <c r="O9903" t="s">
        <v>69</v>
      </c>
      <c r="Q9903">
        <v>957.44</v>
      </c>
      <c r="R9903" t="str">
        <f>"FARMÁCIA INDIANA LJ 205 (10150)"</f>
        <v>FARMÁCIA INDIANA LJ 205 (10150)</v>
      </c>
      <c r="S9903" t="s">
        <v>70</v>
      </c>
      <c r="T9903">
        <v>21840</v>
      </c>
      <c r="U9903">
        <v>24728</v>
      </c>
      <c r="V9903" t="s">
        <v>77</v>
      </c>
    </row>
    <row r="9904" spans="1:22">
      <c r="A9904" t="str">
        <f t="shared" si="1922"/>
        <v>12/11/2025</v>
      </c>
      <c r="B9904" t="str">
        <f t="shared" si="1916"/>
        <v>ENTRADA</v>
      </c>
      <c r="C9904" t="str">
        <f t="shared" si="1917"/>
        <v>NFSE</v>
      </c>
      <c r="D9904" t="str">
        <f t="shared" si="1918"/>
        <v>3642</v>
      </c>
      <c r="E9904" t="str">
        <f t="shared" si="1915"/>
        <v>1</v>
      </c>
      <c r="F9904" t="str">
        <f t="shared" si="1900"/>
        <v>COM</v>
      </c>
      <c r="G9904" t="str">
        <f t="shared" si="1919"/>
        <v>FARMÁCIA INDIANA LJ 1 (10126)</v>
      </c>
      <c r="H9904" t="s">
        <v>2803</v>
      </c>
      <c r="I9904" t="str">
        <f t="shared" si="1920"/>
        <v>12/11/2025</v>
      </c>
      <c r="J9904" t="str">
        <f t="shared" si="1921"/>
        <v>04/11/2025</v>
      </c>
      <c r="K9904">
        <v>45973</v>
      </c>
      <c r="N9904">
        <v>303</v>
      </c>
      <c r="O9904" t="s">
        <v>69</v>
      </c>
      <c r="Q9904">
        <v>6847.16</v>
      </c>
      <c r="R9904" t="str">
        <f>"FARMÁCIA INDIANA LJ 172 (10161)"</f>
        <v>FARMÁCIA INDIANA LJ 172 (10161)</v>
      </c>
      <c r="S9904" t="s">
        <v>70</v>
      </c>
      <c r="T9904">
        <v>21840</v>
      </c>
      <c r="U9904">
        <v>24728</v>
      </c>
      <c r="V9904" t="s">
        <v>77</v>
      </c>
    </row>
    <row r="9905" spans="1:22">
      <c r="A9905" t="str">
        <f t="shared" si="1922"/>
        <v>12/11/2025</v>
      </c>
      <c r="B9905" t="str">
        <f t="shared" si="1916"/>
        <v>ENTRADA</v>
      </c>
      <c r="C9905" t="str">
        <f t="shared" si="1917"/>
        <v>NFSE</v>
      </c>
      <c r="D9905" t="str">
        <f t="shared" si="1918"/>
        <v>3642</v>
      </c>
      <c r="E9905" t="str">
        <f t="shared" si="1915"/>
        <v>1</v>
      </c>
      <c r="F9905" t="str">
        <f t="shared" si="1900"/>
        <v>COM</v>
      </c>
      <c r="G9905" t="str">
        <f t="shared" si="1919"/>
        <v>FARMÁCIA INDIANA LJ 1 (10126)</v>
      </c>
      <c r="H9905" t="s">
        <v>2803</v>
      </c>
      <c r="I9905" t="str">
        <f t="shared" si="1920"/>
        <v>12/11/2025</v>
      </c>
      <c r="J9905" t="str">
        <f t="shared" si="1921"/>
        <v>04/11/2025</v>
      </c>
      <c r="K9905">
        <v>45973</v>
      </c>
      <c r="N9905">
        <v>303</v>
      </c>
      <c r="O9905" t="s">
        <v>69</v>
      </c>
      <c r="Q9905">
        <v>725.33</v>
      </c>
      <c r="R9905" t="str">
        <f>"FARMÁCIA INDIANA LJ 266 (10186)"</f>
        <v>FARMÁCIA INDIANA LJ 266 (10186)</v>
      </c>
      <c r="S9905" t="s">
        <v>70</v>
      </c>
      <c r="T9905">
        <v>21840</v>
      </c>
      <c r="U9905">
        <v>24728</v>
      </c>
      <c r="V9905" t="s">
        <v>77</v>
      </c>
    </row>
    <row r="9906" spans="1:22">
      <c r="A9906" t="str">
        <f t="shared" si="1922"/>
        <v>12/11/2025</v>
      </c>
      <c r="B9906" t="str">
        <f t="shared" si="1916"/>
        <v>ENTRADA</v>
      </c>
      <c r="C9906" t="str">
        <f t="shared" si="1917"/>
        <v>NFSE</v>
      </c>
      <c r="D9906" t="str">
        <f t="shared" si="1918"/>
        <v>3642</v>
      </c>
      <c r="E9906" t="str">
        <f t="shared" si="1915"/>
        <v>1</v>
      </c>
      <c r="F9906" t="str">
        <f t="shared" si="1900"/>
        <v>COM</v>
      </c>
      <c r="G9906" t="str">
        <f t="shared" si="1919"/>
        <v>FARMÁCIA INDIANA LJ 1 (10126)</v>
      </c>
      <c r="H9906" t="s">
        <v>2803</v>
      </c>
      <c r="I9906" t="str">
        <f t="shared" si="1920"/>
        <v>12/11/2025</v>
      </c>
      <c r="J9906" t="str">
        <f t="shared" si="1921"/>
        <v>04/11/2025</v>
      </c>
      <c r="K9906">
        <v>45973</v>
      </c>
      <c r="N9906">
        <v>303</v>
      </c>
      <c r="O9906" t="s">
        <v>69</v>
      </c>
      <c r="Q9906">
        <v>420.69</v>
      </c>
      <c r="R9906" t="str">
        <f>"FARMÁCIA INDIANA LJ 257 (10267)"</f>
        <v>FARMÁCIA INDIANA LJ 257 (10267)</v>
      </c>
      <c r="S9906" t="s">
        <v>70</v>
      </c>
      <c r="T9906">
        <v>21840</v>
      </c>
      <c r="U9906">
        <v>24728</v>
      </c>
      <c r="V9906" t="s">
        <v>77</v>
      </c>
    </row>
    <row r="9907" spans="1:22">
      <c r="A9907" t="str">
        <f t="shared" si="1922"/>
        <v>12/11/2025</v>
      </c>
      <c r="B9907" t="str">
        <f t="shared" si="1916"/>
        <v>ENTRADA</v>
      </c>
      <c r="C9907" t="str">
        <f t="shared" si="1917"/>
        <v>NFSE</v>
      </c>
      <c r="D9907" t="str">
        <f t="shared" ref="D9907:D9919" si="1923">"3641"</f>
        <v>3641</v>
      </c>
      <c r="E9907" t="str">
        <f t="shared" si="1915"/>
        <v>1</v>
      </c>
      <c r="F9907" t="str">
        <f t="shared" si="1900"/>
        <v>COM</v>
      </c>
      <c r="G9907" t="str">
        <f t="shared" ref="G9907:G9919" si="1924">"FARMÁCIA INDIANA LJ 30 (10127)"</f>
        <v>FARMÁCIA INDIANA LJ 30 (10127)</v>
      </c>
      <c r="H9907" t="str">
        <f>"Serv.Prest. 24/10/2025 a 02/11/2025 - RPS: 1517 - NFSe: 3641"</f>
        <v>Serv.Prest. 24/10/2025 a 02/11/2025 - RPS: 1517 - NFSe: 3641</v>
      </c>
      <c r="I9907" t="str">
        <f t="shared" si="1920"/>
        <v>12/11/2025</v>
      </c>
      <c r="J9907" t="str">
        <f t="shared" si="1921"/>
        <v>04/11/2025</v>
      </c>
      <c r="K9907" t="str">
        <f>("12/11/2025")</f>
        <v>12/11/2025</v>
      </c>
      <c r="L9907">
        <v>30346.560000000001</v>
      </c>
      <c r="M9907">
        <v>30346.560000000001</v>
      </c>
      <c r="N9907">
        <v>303</v>
      </c>
      <c r="O9907" t="str">
        <f>"RECEITAS COM ENTREGAS"</f>
        <v>RECEITAS COM ENTREGAS</v>
      </c>
      <c r="P9907">
        <v>30346.560000000001</v>
      </c>
      <c r="S9907" t="str">
        <f>"RECEITAS COM ENTREGAS (303)"</f>
        <v>RECEITAS COM ENTREGAS (303)</v>
      </c>
      <c r="T9907">
        <v>21853</v>
      </c>
      <c r="U9907">
        <v>24699</v>
      </c>
      <c r="V9907" t="s">
        <v>77</v>
      </c>
    </row>
    <row r="9908" spans="1:22">
      <c r="A9908" t="str">
        <f t="shared" si="1922"/>
        <v>12/11/2025</v>
      </c>
      <c r="B9908" t="str">
        <f t="shared" si="1916"/>
        <v>ENTRADA</v>
      </c>
      <c r="C9908" t="str">
        <f t="shared" si="1917"/>
        <v>NFSE</v>
      </c>
      <c r="D9908" t="str">
        <f t="shared" si="1923"/>
        <v>3641</v>
      </c>
      <c r="E9908" t="str">
        <f t="shared" si="1915"/>
        <v>1</v>
      </c>
      <c r="F9908" t="str">
        <f t="shared" si="1900"/>
        <v>COM</v>
      </c>
      <c r="G9908" t="str">
        <f t="shared" si="1924"/>
        <v>FARMÁCIA INDIANA LJ 30 (10127)</v>
      </c>
      <c r="H9908" t="s">
        <v>2804</v>
      </c>
      <c r="I9908" t="str">
        <f t="shared" si="1920"/>
        <v>12/11/2025</v>
      </c>
      <c r="J9908" t="str">
        <f t="shared" si="1921"/>
        <v>04/11/2025</v>
      </c>
      <c r="K9908">
        <v>45973</v>
      </c>
      <c r="N9908">
        <v>303</v>
      </c>
      <c r="O9908" t="s">
        <v>69</v>
      </c>
      <c r="Q9908">
        <v>3732.62</v>
      </c>
      <c r="R9908" t="str">
        <f>"FARMÁCIA INDIANA LJ 34 (10014)"</f>
        <v>FARMÁCIA INDIANA LJ 34 (10014)</v>
      </c>
      <c r="S9908" t="s">
        <v>70</v>
      </c>
      <c r="T9908">
        <v>21853</v>
      </c>
      <c r="U9908">
        <v>24699</v>
      </c>
      <c r="V9908" t="s">
        <v>77</v>
      </c>
    </row>
    <row r="9909" spans="1:22">
      <c r="A9909" t="str">
        <f t="shared" si="1922"/>
        <v>12/11/2025</v>
      </c>
      <c r="B9909" t="str">
        <f t="shared" si="1916"/>
        <v>ENTRADA</v>
      </c>
      <c r="C9909" t="str">
        <f t="shared" si="1917"/>
        <v>NFSE</v>
      </c>
      <c r="D9909" t="str">
        <f t="shared" si="1923"/>
        <v>3641</v>
      </c>
      <c r="E9909" t="str">
        <f t="shared" si="1915"/>
        <v>1</v>
      </c>
      <c r="F9909" t="str">
        <f t="shared" si="1900"/>
        <v>COM</v>
      </c>
      <c r="G9909" t="str">
        <f t="shared" si="1924"/>
        <v>FARMÁCIA INDIANA LJ 30 (10127)</v>
      </c>
      <c r="H9909" t="s">
        <v>2804</v>
      </c>
      <c r="I9909" t="str">
        <f t="shared" si="1920"/>
        <v>12/11/2025</v>
      </c>
      <c r="J9909" t="str">
        <f t="shared" si="1921"/>
        <v>04/11/2025</v>
      </c>
      <c r="K9909">
        <v>45973</v>
      </c>
      <c r="N9909">
        <v>303</v>
      </c>
      <c r="O9909" t="s">
        <v>69</v>
      </c>
      <c r="Q9909">
        <v>1511.26</v>
      </c>
      <c r="R9909" t="str">
        <f>"FARMÁCIA INDIANA LJ 35 (10015)"</f>
        <v>FARMÁCIA INDIANA LJ 35 (10015)</v>
      </c>
      <c r="S9909" t="s">
        <v>70</v>
      </c>
      <c r="T9909">
        <v>21853</v>
      </c>
      <c r="U9909">
        <v>24699</v>
      </c>
      <c r="V9909" t="s">
        <v>77</v>
      </c>
    </row>
    <row r="9910" spans="1:22">
      <c r="A9910" t="str">
        <f t="shared" si="1922"/>
        <v>12/11/2025</v>
      </c>
      <c r="B9910" t="str">
        <f t="shared" si="1916"/>
        <v>ENTRADA</v>
      </c>
      <c r="C9910" t="str">
        <f t="shared" si="1917"/>
        <v>NFSE</v>
      </c>
      <c r="D9910" t="str">
        <f t="shared" si="1923"/>
        <v>3641</v>
      </c>
      <c r="E9910" t="str">
        <f t="shared" si="1915"/>
        <v>1</v>
      </c>
      <c r="F9910" t="str">
        <f t="shared" si="1900"/>
        <v>COM</v>
      </c>
      <c r="G9910" t="str">
        <f t="shared" si="1924"/>
        <v>FARMÁCIA INDIANA LJ 30 (10127)</v>
      </c>
      <c r="H9910" t="s">
        <v>2804</v>
      </c>
      <c r="I9910" t="str">
        <f t="shared" si="1920"/>
        <v>12/11/2025</v>
      </c>
      <c r="J9910" t="str">
        <f t="shared" si="1921"/>
        <v>04/11/2025</v>
      </c>
      <c r="K9910">
        <v>45973</v>
      </c>
      <c r="N9910">
        <v>303</v>
      </c>
      <c r="O9910" t="s">
        <v>69</v>
      </c>
      <c r="Q9910">
        <v>3335.09</v>
      </c>
      <c r="R9910" t="str">
        <f>"FARMÁCIA INDIANA LJ 48 (10018)"</f>
        <v>FARMÁCIA INDIANA LJ 48 (10018)</v>
      </c>
      <c r="S9910" t="s">
        <v>70</v>
      </c>
      <c r="T9910">
        <v>21853</v>
      </c>
      <c r="U9910">
        <v>24699</v>
      </c>
      <c r="V9910" t="s">
        <v>77</v>
      </c>
    </row>
    <row r="9911" spans="1:22">
      <c r="A9911" t="str">
        <f t="shared" si="1922"/>
        <v>12/11/2025</v>
      </c>
      <c r="B9911" t="str">
        <f t="shared" si="1916"/>
        <v>ENTRADA</v>
      </c>
      <c r="C9911" t="str">
        <f t="shared" si="1917"/>
        <v>NFSE</v>
      </c>
      <c r="D9911" t="str">
        <f t="shared" si="1923"/>
        <v>3641</v>
      </c>
      <c r="E9911" t="str">
        <f t="shared" si="1915"/>
        <v>1</v>
      </c>
      <c r="F9911" t="str">
        <f t="shared" ref="F9911:F9974" si="1925">"COM"</f>
        <v>COM</v>
      </c>
      <c r="G9911" t="str">
        <f t="shared" si="1924"/>
        <v>FARMÁCIA INDIANA LJ 30 (10127)</v>
      </c>
      <c r="H9911" t="s">
        <v>2804</v>
      </c>
      <c r="I9911" t="str">
        <f t="shared" si="1920"/>
        <v>12/11/2025</v>
      </c>
      <c r="J9911" t="str">
        <f t="shared" si="1921"/>
        <v>04/11/2025</v>
      </c>
      <c r="K9911">
        <v>45973</v>
      </c>
      <c r="N9911">
        <v>303</v>
      </c>
      <c r="O9911" t="s">
        <v>69</v>
      </c>
      <c r="Q9911">
        <v>3137.83</v>
      </c>
      <c r="R9911" t="str">
        <f>"FARMÁCIA INDIANA LJ 65 (10030)"</f>
        <v>FARMÁCIA INDIANA LJ 65 (10030)</v>
      </c>
      <c r="S9911" t="s">
        <v>70</v>
      </c>
      <c r="T9911">
        <v>21853</v>
      </c>
      <c r="U9911">
        <v>24699</v>
      </c>
      <c r="V9911" t="s">
        <v>77</v>
      </c>
    </row>
    <row r="9912" spans="1:22">
      <c r="A9912" t="str">
        <f t="shared" si="1922"/>
        <v>12/11/2025</v>
      </c>
      <c r="B9912" t="str">
        <f t="shared" si="1916"/>
        <v>ENTRADA</v>
      </c>
      <c r="C9912" t="str">
        <f t="shared" si="1917"/>
        <v>NFSE</v>
      </c>
      <c r="D9912" t="str">
        <f t="shared" si="1923"/>
        <v>3641</v>
      </c>
      <c r="E9912" t="str">
        <f t="shared" si="1915"/>
        <v>1</v>
      </c>
      <c r="F9912" t="str">
        <f t="shared" si="1925"/>
        <v>COM</v>
      </c>
      <c r="G9912" t="str">
        <f t="shared" si="1924"/>
        <v>FARMÁCIA INDIANA LJ 30 (10127)</v>
      </c>
      <c r="H9912" t="s">
        <v>2804</v>
      </c>
      <c r="I9912" t="str">
        <f t="shared" si="1920"/>
        <v>12/11/2025</v>
      </c>
      <c r="J9912" t="str">
        <f t="shared" si="1921"/>
        <v>04/11/2025</v>
      </c>
      <c r="K9912">
        <v>45973</v>
      </c>
      <c r="N9912">
        <v>303</v>
      </c>
      <c r="O9912" t="s">
        <v>69</v>
      </c>
      <c r="Q9912">
        <v>770.8</v>
      </c>
      <c r="R9912" t="str">
        <f>"FARMÁCIA INDIANA LJ 77 (10034)"</f>
        <v>FARMÁCIA INDIANA LJ 77 (10034)</v>
      </c>
      <c r="S9912" t="s">
        <v>70</v>
      </c>
      <c r="T9912">
        <v>21853</v>
      </c>
      <c r="U9912">
        <v>24699</v>
      </c>
      <c r="V9912" t="s">
        <v>77</v>
      </c>
    </row>
    <row r="9913" spans="1:22">
      <c r="A9913" t="str">
        <f t="shared" si="1922"/>
        <v>12/11/2025</v>
      </c>
      <c r="B9913" t="str">
        <f t="shared" si="1916"/>
        <v>ENTRADA</v>
      </c>
      <c r="C9913" t="str">
        <f t="shared" si="1917"/>
        <v>NFSE</v>
      </c>
      <c r="D9913" t="str">
        <f t="shared" si="1923"/>
        <v>3641</v>
      </c>
      <c r="E9913" t="str">
        <f t="shared" si="1915"/>
        <v>1</v>
      </c>
      <c r="F9913" t="str">
        <f t="shared" si="1925"/>
        <v>COM</v>
      </c>
      <c r="G9913" t="str">
        <f t="shared" si="1924"/>
        <v>FARMÁCIA INDIANA LJ 30 (10127)</v>
      </c>
      <c r="H9913" t="s">
        <v>2804</v>
      </c>
      <c r="I9913" t="str">
        <f t="shared" si="1920"/>
        <v>12/11/2025</v>
      </c>
      <c r="J9913" t="str">
        <f t="shared" si="1921"/>
        <v>04/11/2025</v>
      </c>
      <c r="K9913">
        <v>45973</v>
      </c>
      <c r="N9913">
        <v>303</v>
      </c>
      <c r="O9913" t="s">
        <v>69</v>
      </c>
      <c r="Q9913">
        <v>7316.56</v>
      </c>
      <c r="R9913" t="str">
        <f>"FARMÁCIA INDIANA LJ 91 (10037)"</f>
        <v>FARMÁCIA INDIANA LJ 91 (10037)</v>
      </c>
      <c r="S9913" t="s">
        <v>70</v>
      </c>
      <c r="T9913">
        <v>21853</v>
      </c>
      <c r="U9913">
        <v>24699</v>
      </c>
      <c r="V9913" t="s">
        <v>77</v>
      </c>
    </row>
    <row r="9914" spans="1:22">
      <c r="A9914" t="str">
        <f t="shared" si="1922"/>
        <v>12/11/2025</v>
      </c>
      <c r="B9914" t="str">
        <f t="shared" si="1916"/>
        <v>ENTRADA</v>
      </c>
      <c r="C9914" t="str">
        <f t="shared" si="1917"/>
        <v>NFSE</v>
      </c>
      <c r="D9914" t="str">
        <f t="shared" si="1923"/>
        <v>3641</v>
      </c>
      <c r="E9914" t="str">
        <f t="shared" si="1915"/>
        <v>1</v>
      </c>
      <c r="F9914" t="str">
        <f t="shared" si="1925"/>
        <v>COM</v>
      </c>
      <c r="G9914" t="str">
        <f t="shared" si="1924"/>
        <v>FARMÁCIA INDIANA LJ 30 (10127)</v>
      </c>
      <c r="H9914" t="s">
        <v>2804</v>
      </c>
      <c r="I9914" t="str">
        <f t="shared" si="1920"/>
        <v>12/11/2025</v>
      </c>
      <c r="J9914" t="str">
        <f t="shared" si="1921"/>
        <v>04/11/2025</v>
      </c>
      <c r="K9914">
        <v>45973</v>
      </c>
      <c r="N9914">
        <v>303</v>
      </c>
      <c r="O9914" t="s">
        <v>69</v>
      </c>
      <c r="Q9914">
        <v>2461.11</v>
      </c>
      <c r="R9914" t="str">
        <f>"FARMÁCIA INDIANA LJ 95 (10039)"</f>
        <v>FARMÁCIA INDIANA LJ 95 (10039)</v>
      </c>
      <c r="S9914" t="s">
        <v>70</v>
      </c>
      <c r="T9914">
        <v>21853</v>
      </c>
      <c r="U9914">
        <v>24699</v>
      </c>
      <c r="V9914" t="s">
        <v>77</v>
      </c>
    </row>
    <row r="9915" spans="1:22">
      <c r="A9915" t="str">
        <f t="shared" si="1922"/>
        <v>12/11/2025</v>
      </c>
      <c r="B9915" t="str">
        <f t="shared" si="1916"/>
        <v>ENTRADA</v>
      </c>
      <c r="C9915" t="str">
        <f t="shared" si="1917"/>
        <v>NFSE</v>
      </c>
      <c r="D9915" t="str">
        <f t="shared" si="1923"/>
        <v>3641</v>
      </c>
      <c r="E9915" t="str">
        <f t="shared" si="1915"/>
        <v>1</v>
      </c>
      <c r="F9915" t="str">
        <f t="shared" si="1925"/>
        <v>COM</v>
      </c>
      <c r="G9915" t="str">
        <f t="shared" si="1924"/>
        <v>FARMÁCIA INDIANA LJ 30 (10127)</v>
      </c>
      <c r="H9915" t="s">
        <v>2804</v>
      </c>
      <c r="I9915" t="str">
        <f t="shared" si="1920"/>
        <v>12/11/2025</v>
      </c>
      <c r="J9915" t="str">
        <f t="shared" si="1921"/>
        <v>04/11/2025</v>
      </c>
      <c r="K9915">
        <v>45973</v>
      </c>
      <c r="N9915">
        <v>303</v>
      </c>
      <c r="O9915" t="s">
        <v>69</v>
      </c>
      <c r="Q9915">
        <v>2527.87</v>
      </c>
      <c r="R9915" t="str">
        <f>"FARMÁCIA INDIANA LJ 145 (10068)"</f>
        <v>FARMÁCIA INDIANA LJ 145 (10068)</v>
      </c>
      <c r="S9915" t="s">
        <v>70</v>
      </c>
      <c r="T9915">
        <v>21853</v>
      </c>
      <c r="U9915">
        <v>24699</v>
      </c>
      <c r="V9915" t="s">
        <v>77</v>
      </c>
    </row>
    <row r="9916" spans="1:22">
      <c r="A9916" t="str">
        <f t="shared" si="1922"/>
        <v>12/11/2025</v>
      </c>
      <c r="B9916" t="str">
        <f t="shared" si="1916"/>
        <v>ENTRADA</v>
      </c>
      <c r="C9916" t="str">
        <f t="shared" si="1917"/>
        <v>NFSE</v>
      </c>
      <c r="D9916" t="str">
        <f t="shared" si="1923"/>
        <v>3641</v>
      </c>
      <c r="E9916" t="str">
        <f t="shared" ref="E9916:E9930" si="1926">"1"</f>
        <v>1</v>
      </c>
      <c r="F9916" t="str">
        <f t="shared" si="1925"/>
        <v>COM</v>
      </c>
      <c r="G9916" t="str">
        <f t="shared" si="1924"/>
        <v>FARMÁCIA INDIANA LJ 30 (10127)</v>
      </c>
      <c r="H9916" t="s">
        <v>2804</v>
      </c>
      <c r="I9916" t="str">
        <f t="shared" si="1920"/>
        <v>12/11/2025</v>
      </c>
      <c r="J9916" t="str">
        <f t="shared" si="1921"/>
        <v>04/11/2025</v>
      </c>
      <c r="K9916">
        <v>45973</v>
      </c>
      <c r="N9916">
        <v>303</v>
      </c>
      <c r="O9916" t="s">
        <v>69</v>
      </c>
      <c r="Q9916">
        <v>1450.57</v>
      </c>
      <c r="R9916" t="str">
        <f>"FARMÁCIA INDIANA LJ 169 (10073)"</f>
        <v>FARMÁCIA INDIANA LJ 169 (10073)</v>
      </c>
      <c r="S9916" t="s">
        <v>70</v>
      </c>
      <c r="T9916">
        <v>21853</v>
      </c>
      <c r="U9916">
        <v>24699</v>
      </c>
      <c r="V9916" t="s">
        <v>77</v>
      </c>
    </row>
    <row r="9917" spans="1:22">
      <c r="A9917" t="str">
        <f t="shared" si="1922"/>
        <v>12/11/2025</v>
      </c>
      <c r="B9917" t="str">
        <f t="shared" si="1916"/>
        <v>ENTRADA</v>
      </c>
      <c r="C9917" t="str">
        <f t="shared" si="1917"/>
        <v>NFSE</v>
      </c>
      <c r="D9917" t="str">
        <f t="shared" si="1923"/>
        <v>3641</v>
      </c>
      <c r="E9917" t="str">
        <f t="shared" si="1926"/>
        <v>1</v>
      </c>
      <c r="F9917" t="str">
        <f t="shared" si="1925"/>
        <v>COM</v>
      </c>
      <c r="G9917" t="str">
        <f t="shared" si="1924"/>
        <v>FARMÁCIA INDIANA LJ 30 (10127)</v>
      </c>
      <c r="H9917" t="s">
        <v>2804</v>
      </c>
      <c r="I9917" t="str">
        <f t="shared" si="1920"/>
        <v>12/11/2025</v>
      </c>
      <c r="J9917" t="str">
        <f t="shared" si="1921"/>
        <v>04/11/2025</v>
      </c>
      <c r="K9917">
        <v>45973</v>
      </c>
      <c r="N9917">
        <v>303</v>
      </c>
      <c r="O9917" t="s">
        <v>69</v>
      </c>
      <c r="Q9917">
        <v>1568.92</v>
      </c>
      <c r="R9917" t="str">
        <f>"FARMÁCIA INDIANA LJ 173 (10075)"</f>
        <v>FARMÁCIA INDIANA LJ 173 (10075)</v>
      </c>
      <c r="S9917" t="s">
        <v>70</v>
      </c>
      <c r="T9917">
        <v>21853</v>
      </c>
      <c r="U9917">
        <v>24699</v>
      </c>
      <c r="V9917" t="s">
        <v>77</v>
      </c>
    </row>
    <row r="9918" spans="1:22">
      <c r="A9918" t="str">
        <f t="shared" si="1922"/>
        <v>12/11/2025</v>
      </c>
      <c r="B9918" t="str">
        <f t="shared" si="1916"/>
        <v>ENTRADA</v>
      </c>
      <c r="C9918" t="str">
        <f t="shared" si="1917"/>
        <v>NFSE</v>
      </c>
      <c r="D9918" t="str">
        <f t="shared" si="1923"/>
        <v>3641</v>
      </c>
      <c r="E9918" t="str">
        <f t="shared" si="1926"/>
        <v>1</v>
      </c>
      <c r="F9918" t="str">
        <f t="shared" si="1925"/>
        <v>COM</v>
      </c>
      <c r="G9918" t="str">
        <f t="shared" si="1924"/>
        <v>FARMÁCIA INDIANA LJ 30 (10127)</v>
      </c>
      <c r="H9918" t="s">
        <v>2804</v>
      </c>
      <c r="I9918" t="str">
        <f t="shared" si="1920"/>
        <v>12/11/2025</v>
      </c>
      <c r="J9918" t="str">
        <f t="shared" si="1921"/>
        <v>04/11/2025</v>
      </c>
      <c r="K9918">
        <v>45973</v>
      </c>
      <c r="N9918">
        <v>303</v>
      </c>
      <c r="O9918" t="s">
        <v>69</v>
      </c>
      <c r="Q9918">
        <v>1417.18</v>
      </c>
      <c r="R9918" t="str">
        <f>"FARMÁCIA INDIANA LJ 200 (10155)"</f>
        <v>FARMÁCIA INDIANA LJ 200 (10155)</v>
      </c>
      <c r="S9918" t="s">
        <v>70</v>
      </c>
      <c r="T9918">
        <v>21853</v>
      </c>
      <c r="U9918">
        <v>24699</v>
      </c>
      <c r="V9918" t="s">
        <v>77</v>
      </c>
    </row>
    <row r="9919" spans="1:22">
      <c r="A9919" t="str">
        <f t="shared" si="1922"/>
        <v>12/11/2025</v>
      </c>
      <c r="B9919" t="str">
        <f t="shared" si="1916"/>
        <v>ENTRADA</v>
      </c>
      <c r="C9919" t="str">
        <f t="shared" si="1917"/>
        <v>NFSE</v>
      </c>
      <c r="D9919" t="str">
        <f t="shared" si="1923"/>
        <v>3641</v>
      </c>
      <c r="E9919" t="str">
        <f t="shared" si="1926"/>
        <v>1</v>
      </c>
      <c r="F9919" t="str">
        <f t="shared" si="1925"/>
        <v>COM</v>
      </c>
      <c r="G9919" t="str">
        <f t="shared" si="1924"/>
        <v>FARMÁCIA INDIANA LJ 30 (10127)</v>
      </c>
      <c r="H9919" t="s">
        <v>2804</v>
      </c>
      <c r="I9919" t="str">
        <f t="shared" si="1920"/>
        <v>12/11/2025</v>
      </c>
      <c r="J9919" t="str">
        <f t="shared" si="1921"/>
        <v>04/11/2025</v>
      </c>
      <c r="K9919">
        <v>45973</v>
      </c>
      <c r="N9919">
        <v>303</v>
      </c>
      <c r="O9919" t="s">
        <v>69</v>
      </c>
      <c r="Q9919">
        <v>1116.75</v>
      </c>
      <c r="R9919" t="str">
        <f>"FARMÁCIA INDIANA LJ 33 (10187)"</f>
        <v>FARMÁCIA INDIANA LJ 33 (10187)</v>
      </c>
      <c r="S9919" t="s">
        <v>70</v>
      </c>
      <c r="T9919">
        <v>21853</v>
      </c>
      <c r="U9919">
        <v>24699</v>
      </c>
      <c r="V9919" t="s">
        <v>77</v>
      </c>
    </row>
    <row r="9920" spans="1:22">
      <c r="A9920" t="str">
        <f t="shared" si="1922"/>
        <v>12/11/2025</v>
      </c>
      <c r="B9920" t="str">
        <f t="shared" si="1916"/>
        <v>ENTRADA</v>
      </c>
      <c r="C9920" t="str">
        <f t="shared" si="1917"/>
        <v>NFSE</v>
      </c>
      <c r="D9920" t="str">
        <f t="shared" ref="D9920:D9930" si="1927">"3643"</f>
        <v>3643</v>
      </c>
      <c r="E9920" t="str">
        <f t="shared" si="1926"/>
        <v>1</v>
      </c>
      <c r="F9920" t="str">
        <f t="shared" si="1925"/>
        <v>COM</v>
      </c>
      <c r="G9920" t="str">
        <f t="shared" ref="G9920:G9930" si="1928">"FARMÁCIA INDIANA LJ 85 (10128)"</f>
        <v>FARMÁCIA INDIANA LJ 85 (10128)</v>
      </c>
      <c r="H9920" t="str">
        <f>"Serv.Prest. 24/10/2025 a 02/11/2025 - RPS: 1519 - NFSe: 3643"</f>
        <v>Serv.Prest. 24/10/2025 a 02/11/2025 - RPS: 1519 - NFSe: 3643</v>
      </c>
      <c r="I9920" t="str">
        <f t="shared" si="1920"/>
        <v>12/11/2025</v>
      </c>
      <c r="J9920" t="str">
        <f t="shared" si="1921"/>
        <v>04/11/2025</v>
      </c>
      <c r="K9920" t="str">
        <f>("12/11/2025")</f>
        <v>12/11/2025</v>
      </c>
      <c r="L9920">
        <v>9829.5</v>
      </c>
      <c r="M9920">
        <v>9829.5</v>
      </c>
      <c r="N9920">
        <v>303</v>
      </c>
      <c r="O9920" t="str">
        <f>"RECEITAS COM ENTREGAS"</f>
        <v>RECEITAS COM ENTREGAS</v>
      </c>
      <c r="P9920">
        <v>9829.5</v>
      </c>
      <c r="S9920" t="str">
        <f>"RECEITAS COM ENTREGAS (303)"</f>
        <v>RECEITAS COM ENTREGAS (303)</v>
      </c>
      <c r="T9920">
        <v>21854</v>
      </c>
      <c r="U9920">
        <v>24834</v>
      </c>
      <c r="V9920" t="s">
        <v>77</v>
      </c>
    </row>
    <row r="9921" spans="1:22">
      <c r="A9921" t="str">
        <f t="shared" si="1922"/>
        <v>12/11/2025</v>
      </c>
      <c r="B9921" t="str">
        <f t="shared" si="1916"/>
        <v>ENTRADA</v>
      </c>
      <c r="C9921" t="str">
        <f t="shared" si="1917"/>
        <v>NFSE</v>
      </c>
      <c r="D9921" t="str">
        <f t="shared" si="1927"/>
        <v>3643</v>
      </c>
      <c r="E9921" t="str">
        <f t="shared" si="1926"/>
        <v>1</v>
      </c>
      <c r="F9921" t="str">
        <f t="shared" si="1925"/>
        <v>COM</v>
      </c>
      <c r="G9921" t="str">
        <f t="shared" si="1928"/>
        <v>FARMÁCIA INDIANA LJ 85 (10128)</v>
      </c>
      <c r="H9921" t="s">
        <v>2805</v>
      </c>
      <c r="I9921" t="str">
        <f t="shared" si="1920"/>
        <v>12/11/2025</v>
      </c>
      <c r="J9921" t="str">
        <f t="shared" si="1921"/>
        <v>04/11/2025</v>
      </c>
      <c r="K9921">
        <v>45973</v>
      </c>
      <c r="N9921">
        <v>303</v>
      </c>
      <c r="O9921" t="s">
        <v>69</v>
      </c>
      <c r="Q9921">
        <v>972.13</v>
      </c>
      <c r="R9921" t="str">
        <f>"FARMÁCIA INDIANA LJ 119 (10053)"</f>
        <v>FARMÁCIA INDIANA LJ 119 (10053)</v>
      </c>
      <c r="S9921" t="s">
        <v>70</v>
      </c>
      <c r="T9921">
        <v>21854</v>
      </c>
      <c r="U9921">
        <v>24834</v>
      </c>
      <c r="V9921" t="s">
        <v>77</v>
      </c>
    </row>
    <row r="9922" spans="1:22">
      <c r="A9922" t="str">
        <f t="shared" si="1922"/>
        <v>12/11/2025</v>
      </c>
      <c r="B9922" t="str">
        <f t="shared" ref="B9922:B9930" si="1929">"ENTRADA"</f>
        <v>ENTRADA</v>
      </c>
      <c r="C9922" t="str">
        <f t="shared" ref="C9922:C9930" si="1930">"NFSE"</f>
        <v>NFSE</v>
      </c>
      <c r="D9922" t="str">
        <f t="shared" si="1927"/>
        <v>3643</v>
      </c>
      <c r="E9922" t="str">
        <f t="shared" si="1926"/>
        <v>1</v>
      </c>
      <c r="F9922" t="str">
        <f t="shared" si="1925"/>
        <v>COM</v>
      </c>
      <c r="G9922" t="str">
        <f t="shared" si="1928"/>
        <v>FARMÁCIA INDIANA LJ 85 (10128)</v>
      </c>
      <c r="H9922" t="s">
        <v>2805</v>
      </c>
      <c r="I9922" t="str">
        <f t="shared" ref="I9922:I9950" si="1931">("12/11/2025")</f>
        <v>12/11/2025</v>
      </c>
      <c r="J9922" t="str">
        <f t="shared" ref="J9922:J9930" si="1932">("04/11/2025")</f>
        <v>04/11/2025</v>
      </c>
      <c r="K9922">
        <v>45973</v>
      </c>
      <c r="N9922">
        <v>303</v>
      </c>
      <c r="O9922" t="s">
        <v>69</v>
      </c>
      <c r="Q9922">
        <v>1166.76</v>
      </c>
      <c r="R9922" t="str">
        <f>"FARMÁCIA INDIANA LJ 163 (10072)"</f>
        <v>FARMÁCIA INDIANA LJ 163 (10072)</v>
      </c>
      <c r="S9922" t="s">
        <v>70</v>
      </c>
      <c r="T9922">
        <v>21854</v>
      </c>
      <c r="U9922">
        <v>24834</v>
      </c>
      <c r="V9922" t="s">
        <v>77</v>
      </c>
    </row>
    <row r="9923" spans="1:22">
      <c r="A9923" t="str">
        <f t="shared" si="1922"/>
        <v>12/11/2025</v>
      </c>
      <c r="B9923" t="str">
        <f t="shared" si="1929"/>
        <v>ENTRADA</v>
      </c>
      <c r="C9923" t="str">
        <f t="shared" si="1930"/>
        <v>NFSE</v>
      </c>
      <c r="D9923" t="str">
        <f t="shared" si="1927"/>
        <v>3643</v>
      </c>
      <c r="E9923" t="str">
        <f t="shared" si="1926"/>
        <v>1</v>
      </c>
      <c r="F9923" t="str">
        <f t="shared" si="1925"/>
        <v>COM</v>
      </c>
      <c r="G9923" t="str">
        <f t="shared" si="1928"/>
        <v>FARMÁCIA INDIANA LJ 85 (10128)</v>
      </c>
      <c r="H9923" t="s">
        <v>2805</v>
      </c>
      <c r="I9923" t="str">
        <f t="shared" si="1931"/>
        <v>12/11/2025</v>
      </c>
      <c r="J9923" t="str">
        <f t="shared" si="1932"/>
        <v>04/11/2025</v>
      </c>
      <c r="K9923">
        <v>45973</v>
      </c>
      <c r="N9923">
        <v>303</v>
      </c>
      <c r="O9923" t="s">
        <v>69</v>
      </c>
      <c r="Q9923">
        <v>2068.13</v>
      </c>
      <c r="R9923" t="str">
        <f>"FARMÁCIA INDIANA LJ 181 (10078)"</f>
        <v>FARMÁCIA INDIANA LJ 181 (10078)</v>
      </c>
      <c r="S9923" t="s">
        <v>70</v>
      </c>
      <c r="T9923">
        <v>21854</v>
      </c>
      <c r="U9923">
        <v>24834</v>
      </c>
      <c r="V9923" t="s">
        <v>77</v>
      </c>
    </row>
    <row r="9924" spans="1:22">
      <c r="A9924" t="str">
        <f t="shared" si="1922"/>
        <v>12/11/2025</v>
      </c>
      <c r="B9924" t="str">
        <f t="shared" si="1929"/>
        <v>ENTRADA</v>
      </c>
      <c r="C9924" t="str">
        <f t="shared" si="1930"/>
        <v>NFSE</v>
      </c>
      <c r="D9924" t="str">
        <f t="shared" si="1927"/>
        <v>3643</v>
      </c>
      <c r="E9924" t="str">
        <f t="shared" si="1926"/>
        <v>1</v>
      </c>
      <c r="F9924" t="str">
        <f t="shared" si="1925"/>
        <v>COM</v>
      </c>
      <c r="G9924" t="str">
        <f t="shared" si="1928"/>
        <v>FARMÁCIA INDIANA LJ 85 (10128)</v>
      </c>
      <c r="H9924" t="s">
        <v>2805</v>
      </c>
      <c r="I9924" t="str">
        <f t="shared" si="1931"/>
        <v>12/11/2025</v>
      </c>
      <c r="J9924" t="str">
        <f t="shared" si="1932"/>
        <v>04/11/2025</v>
      </c>
      <c r="K9924">
        <v>45973</v>
      </c>
      <c r="N9924">
        <v>303</v>
      </c>
      <c r="O9924" t="s">
        <v>69</v>
      </c>
      <c r="Q9924">
        <v>970.17</v>
      </c>
      <c r="R9924" t="str">
        <f>"FARMÁCIA INDIANA LJ 221 (10093)"</f>
        <v>FARMÁCIA INDIANA LJ 221 (10093)</v>
      </c>
      <c r="S9924" t="s">
        <v>70</v>
      </c>
      <c r="T9924">
        <v>21854</v>
      </c>
      <c r="U9924">
        <v>24834</v>
      </c>
      <c r="V9924" t="s">
        <v>77</v>
      </c>
    </row>
    <row r="9925" spans="1:22">
      <c r="A9925" t="str">
        <f t="shared" si="1922"/>
        <v>12/11/2025</v>
      </c>
      <c r="B9925" t="str">
        <f t="shared" si="1929"/>
        <v>ENTRADA</v>
      </c>
      <c r="C9925" t="str">
        <f t="shared" si="1930"/>
        <v>NFSE</v>
      </c>
      <c r="D9925" t="str">
        <f t="shared" si="1927"/>
        <v>3643</v>
      </c>
      <c r="E9925" t="str">
        <f t="shared" si="1926"/>
        <v>1</v>
      </c>
      <c r="F9925" t="str">
        <f t="shared" si="1925"/>
        <v>COM</v>
      </c>
      <c r="G9925" t="str">
        <f t="shared" si="1928"/>
        <v>FARMÁCIA INDIANA LJ 85 (10128)</v>
      </c>
      <c r="H9925" t="s">
        <v>2805</v>
      </c>
      <c r="I9925" t="str">
        <f t="shared" si="1931"/>
        <v>12/11/2025</v>
      </c>
      <c r="J9925" t="str">
        <f t="shared" si="1932"/>
        <v>04/11/2025</v>
      </c>
      <c r="K9925">
        <v>45973</v>
      </c>
      <c r="N9925">
        <v>303</v>
      </c>
      <c r="O9925" t="s">
        <v>69</v>
      </c>
      <c r="Q9925">
        <v>1208.05</v>
      </c>
      <c r="R9925" t="str">
        <f>"FARMÁCIA INDIANA LJ 243 (10142)"</f>
        <v>FARMÁCIA INDIANA LJ 243 (10142)</v>
      </c>
      <c r="S9925" t="s">
        <v>70</v>
      </c>
      <c r="T9925">
        <v>21854</v>
      </c>
      <c r="U9925">
        <v>24834</v>
      </c>
      <c r="V9925" t="s">
        <v>77</v>
      </c>
    </row>
    <row r="9926" spans="1:22">
      <c r="A9926" t="str">
        <f t="shared" si="1922"/>
        <v>12/11/2025</v>
      </c>
      <c r="B9926" t="str">
        <f t="shared" si="1929"/>
        <v>ENTRADA</v>
      </c>
      <c r="C9926" t="str">
        <f t="shared" si="1930"/>
        <v>NFSE</v>
      </c>
      <c r="D9926" t="str">
        <f t="shared" si="1927"/>
        <v>3643</v>
      </c>
      <c r="E9926" t="str">
        <f t="shared" si="1926"/>
        <v>1</v>
      </c>
      <c r="F9926" t="str">
        <f t="shared" si="1925"/>
        <v>COM</v>
      </c>
      <c r="G9926" t="str">
        <f t="shared" si="1928"/>
        <v>FARMÁCIA INDIANA LJ 85 (10128)</v>
      </c>
      <c r="H9926" t="s">
        <v>2805</v>
      </c>
      <c r="I9926" t="str">
        <f t="shared" si="1931"/>
        <v>12/11/2025</v>
      </c>
      <c r="J9926" t="str">
        <f t="shared" si="1932"/>
        <v>04/11/2025</v>
      </c>
      <c r="K9926">
        <v>45973</v>
      </c>
      <c r="N9926">
        <v>303</v>
      </c>
      <c r="O9926" t="s">
        <v>69</v>
      </c>
      <c r="Q9926">
        <v>517.03</v>
      </c>
      <c r="R9926" t="str">
        <f>"FARMÁCIA INDIANA LJ 211 (10168)"</f>
        <v>FARMÁCIA INDIANA LJ 211 (10168)</v>
      </c>
      <c r="S9926" t="s">
        <v>70</v>
      </c>
      <c r="T9926">
        <v>21854</v>
      </c>
      <c r="U9926">
        <v>24834</v>
      </c>
      <c r="V9926" t="s">
        <v>77</v>
      </c>
    </row>
    <row r="9927" spans="1:22">
      <c r="A9927" t="str">
        <f t="shared" si="1922"/>
        <v>12/11/2025</v>
      </c>
      <c r="B9927" t="str">
        <f t="shared" si="1929"/>
        <v>ENTRADA</v>
      </c>
      <c r="C9927" t="str">
        <f t="shared" si="1930"/>
        <v>NFSE</v>
      </c>
      <c r="D9927" t="str">
        <f t="shared" si="1927"/>
        <v>3643</v>
      </c>
      <c r="E9927" t="str">
        <f t="shared" si="1926"/>
        <v>1</v>
      </c>
      <c r="F9927" t="str">
        <f t="shared" si="1925"/>
        <v>COM</v>
      </c>
      <c r="G9927" t="str">
        <f t="shared" si="1928"/>
        <v>FARMÁCIA INDIANA LJ 85 (10128)</v>
      </c>
      <c r="H9927" t="s">
        <v>2805</v>
      </c>
      <c r="I9927" t="str">
        <f t="shared" si="1931"/>
        <v>12/11/2025</v>
      </c>
      <c r="J9927" t="str">
        <f t="shared" si="1932"/>
        <v>04/11/2025</v>
      </c>
      <c r="K9927">
        <v>45973</v>
      </c>
      <c r="N9927">
        <v>303</v>
      </c>
      <c r="O9927" t="s">
        <v>69</v>
      </c>
      <c r="Q9927">
        <v>517.03</v>
      </c>
      <c r="R9927" t="str">
        <f>"FARMÁCIA INDIANA LJ 236 (10169)"</f>
        <v>FARMÁCIA INDIANA LJ 236 (10169)</v>
      </c>
      <c r="S9927" t="s">
        <v>70</v>
      </c>
      <c r="T9927">
        <v>21854</v>
      </c>
      <c r="U9927">
        <v>24834</v>
      </c>
      <c r="V9927" t="s">
        <v>77</v>
      </c>
    </row>
    <row r="9928" spans="1:22">
      <c r="A9928" t="str">
        <f t="shared" ref="A9928:A9950" si="1933">("12/11/2025")</f>
        <v>12/11/2025</v>
      </c>
      <c r="B9928" t="str">
        <f t="shared" si="1929"/>
        <v>ENTRADA</v>
      </c>
      <c r="C9928" t="str">
        <f t="shared" si="1930"/>
        <v>NFSE</v>
      </c>
      <c r="D9928" t="str">
        <f t="shared" si="1927"/>
        <v>3643</v>
      </c>
      <c r="E9928" t="str">
        <f t="shared" si="1926"/>
        <v>1</v>
      </c>
      <c r="F9928" t="str">
        <f t="shared" si="1925"/>
        <v>COM</v>
      </c>
      <c r="G9928" t="str">
        <f t="shared" si="1928"/>
        <v>FARMÁCIA INDIANA LJ 85 (10128)</v>
      </c>
      <c r="H9928" t="s">
        <v>2805</v>
      </c>
      <c r="I9928" t="str">
        <f t="shared" si="1931"/>
        <v>12/11/2025</v>
      </c>
      <c r="J9928" t="str">
        <f t="shared" si="1932"/>
        <v>04/11/2025</v>
      </c>
      <c r="K9928">
        <v>45973</v>
      </c>
      <c r="N9928">
        <v>303</v>
      </c>
      <c r="O9928" t="s">
        <v>69</v>
      </c>
      <c r="Q9928">
        <v>1033.08</v>
      </c>
      <c r="R9928" t="str">
        <f>"FARMÁCIA INDIANA LJ 188 (10176)"</f>
        <v>FARMÁCIA INDIANA LJ 188 (10176)</v>
      </c>
      <c r="S9928" t="s">
        <v>70</v>
      </c>
      <c r="T9928">
        <v>21854</v>
      </c>
      <c r="U9928">
        <v>24834</v>
      </c>
      <c r="V9928" t="s">
        <v>77</v>
      </c>
    </row>
    <row r="9929" spans="1:22">
      <c r="A9929" t="str">
        <f t="shared" si="1933"/>
        <v>12/11/2025</v>
      </c>
      <c r="B9929" t="str">
        <f t="shared" si="1929"/>
        <v>ENTRADA</v>
      </c>
      <c r="C9929" t="str">
        <f t="shared" si="1930"/>
        <v>NFSE</v>
      </c>
      <c r="D9929" t="str">
        <f t="shared" si="1927"/>
        <v>3643</v>
      </c>
      <c r="E9929" t="str">
        <f t="shared" si="1926"/>
        <v>1</v>
      </c>
      <c r="F9929" t="str">
        <f t="shared" si="1925"/>
        <v>COM</v>
      </c>
      <c r="G9929" t="str">
        <f t="shared" si="1928"/>
        <v>FARMÁCIA INDIANA LJ 85 (10128)</v>
      </c>
      <c r="H9929" t="s">
        <v>2805</v>
      </c>
      <c r="I9929" t="str">
        <f t="shared" si="1931"/>
        <v>12/11/2025</v>
      </c>
      <c r="J9929" t="str">
        <f t="shared" si="1932"/>
        <v>04/11/2025</v>
      </c>
      <c r="K9929">
        <v>45973</v>
      </c>
      <c r="N9929">
        <v>303</v>
      </c>
      <c r="O9929" t="s">
        <v>69</v>
      </c>
      <c r="Q9929">
        <v>1214.93</v>
      </c>
      <c r="R9929" t="str">
        <f>"FARMÁCIA INDIANA LJ 273 (10188)"</f>
        <v>FARMÁCIA INDIANA LJ 273 (10188)</v>
      </c>
      <c r="S9929" t="s">
        <v>70</v>
      </c>
      <c r="T9929">
        <v>21854</v>
      </c>
      <c r="U9929">
        <v>24834</v>
      </c>
      <c r="V9929" t="s">
        <v>77</v>
      </c>
    </row>
    <row r="9930" spans="1:22">
      <c r="A9930" t="str">
        <f t="shared" si="1933"/>
        <v>12/11/2025</v>
      </c>
      <c r="B9930" t="str">
        <f t="shared" si="1929"/>
        <v>ENTRADA</v>
      </c>
      <c r="C9930" t="str">
        <f t="shared" si="1930"/>
        <v>NFSE</v>
      </c>
      <c r="D9930" t="str">
        <f t="shared" si="1927"/>
        <v>3643</v>
      </c>
      <c r="E9930" t="str">
        <f t="shared" si="1926"/>
        <v>1</v>
      </c>
      <c r="F9930" t="str">
        <f t="shared" si="1925"/>
        <v>COM</v>
      </c>
      <c r="G9930" t="str">
        <f t="shared" si="1928"/>
        <v>FARMÁCIA INDIANA LJ 85 (10128)</v>
      </c>
      <c r="H9930" t="s">
        <v>2805</v>
      </c>
      <c r="I9930" t="str">
        <f t="shared" si="1931"/>
        <v>12/11/2025</v>
      </c>
      <c r="J9930" t="str">
        <f t="shared" si="1932"/>
        <v>04/11/2025</v>
      </c>
      <c r="K9930">
        <v>45973</v>
      </c>
      <c r="N9930">
        <v>303</v>
      </c>
      <c r="O9930" t="s">
        <v>69</v>
      </c>
      <c r="Q9930">
        <v>162.19</v>
      </c>
      <c r="R9930" t="str">
        <f>"FARMÁCIA INDIANA LJ 235 (10190)"</f>
        <v>FARMÁCIA INDIANA LJ 235 (10190)</v>
      </c>
      <c r="S9930" t="s">
        <v>70</v>
      </c>
      <c r="T9930">
        <v>21854</v>
      </c>
      <c r="U9930">
        <v>24834</v>
      </c>
      <c r="V9930" t="s">
        <v>77</v>
      </c>
    </row>
    <row r="9931" spans="1:22">
      <c r="A9931" t="str">
        <f t="shared" si="1933"/>
        <v>12/11/2025</v>
      </c>
      <c r="B9931" t="str">
        <f t="shared" ref="B9931:B9953" si="1934">"SAÍDA"</f>
        <v>SAÍDA</v>
      </c>
      <c r="C9931" t="str">
        <f t="shared" ref="C9931:C9950" si="1935">"CONHECIMENTO"</f>
        <v>CONHECIMENTO</v>
      </c>
      <c r="D9931" t="str">
        <f t="shared" ref="D9931:D9950" si="1936">"01092025"</f>
        <v>01092025</v>
      </c>
      <c r="E9931" t="str">
        <f>"2"</f>
        <v>2</v>
      </c>
      <c r="F9931" t="str">
        <f t="shared" si="1925"/>
        <v>COM</v>
      </c>
      <c r="G9931" t="str">
        <f t="shared" ref="G9931:G9950" si="1937">"CORA SOCIEDADE DE CREDITO, FINANCIAMENTO E INVESTIMENTO (20035)"</f>
        <v>CORA SOCIEDADE DE CREDITO, FINANCIAMENTO E INVESTIMENTO (20035)</v>
      </c>
      <c r="H9931" t="str">
        <f>"TAXA BOLETO "</f>
        <v xml:space="preserve">TAXA BOLETO </v>
      </c>
      <c r="I9931" t="str">
        <f t="shared" si="1931"/>
        <v>12/11/2025</v>
      </c>
      <c r="J9931" t="str">
        <f t="shared" ref="J9931:J9950" si="1938">("01/09/2025")</f>
        <v>01/09/2025</v>
      </c>
      <c r="K9931" t="str">
        <f>("12/11/2025")</f>
        <v>12/11/2025</v>
      </c>
      <c r="L9931">
        <v>1.7</v>
      </c>
      <c r="M9931">
        <v>1.7</v>
      </c>
      <c r="N9931">
        <v>401</v>
      </c>
      <c r="O9931" t="str">
        <f>"IOF/JUROS/DESP.FINANCEIRA"</f>
        <v>IOF/JUROS/DESP.FINANCEIRA</v>
      </c>
      <c r="P9931">
        <v>1.7</v>
      </c>
      <c r="S9931" t="str">
        <f>"BANCO CORA (102)"</f>
        <v>BANCO CORA (102)</v>
      </c>
      <c r="T9931">
        <v>22801</v>
      </c>
      <c r="U9931">
        <v>26420</v>
      </c>
      <c r="V9931" t="s">
        <v>22</v>
      </c>
    </row>
    <row r="9932" spans="1:22">
      <c r="A9932" t="str">
        <f t="shared" si="1933"/>
        <v>12/11/2025</v>
      </c>
      <c r="B9932" t="str">
        <f t="shared" si="1934"/>
        <v>SAÍDA</v>
      </c>
      <c r="C9932" t="str">
        <f t="shared" si="1935"/>
        <v>CONHECIMENTO</v>
      </c>
      <c r="D9932" t="str">
        <f t="shared" si="1936"/>
        <v>01092025</v>
      </c>
      <c r="E9932" t="str">
        <f>"2"</f>
        <v>2</v>
      </c>
      <c r="F9932" t="str">
        <f t="shared" si="1925"/>
        <v>COM</v>
      </c>
      <c r="G9932" t="str">
        <f t="shared" si="1937"/>
        <v>CORA SOCIEDADE DE CREDITO, FINANCIAMENTO E INVESTIMENTO (20035)</v>
      </c>
      <c r="H9932" t="s">
        <v>75</v>
      </c>
      <c r="I9932" t="str">
        <f t="shared" si="1931"/>
        <v>12/11/2025</v>
      </c>
      <c r="J9932" t="str">
        <f t="shared" si="1938"/>
        <v>01/09/2025</v>
      </c>
      <c r="K9932">
        <v>45973</v>
      </c>
      <c r="N9932">
        <v>401</v>
      </c>
      <c r="O9932" t="s">
        <v>76</v>
      </c>
      <c r="Q9932">
        <v>1.7</v>
      </c>
      <c r="R9932" t="str">
        <f>"CORA SOCIEDADE DE CREDITO, FINANCIAMENTO E INVESTIMENTO (20035)"</f>
        <v>CORA SOCIEDADE DE CREDITO, FINANCIAMENTO E INVESTIMENTO (20035)</v>
      </c>
      <c r="S9932" t="s">
        <v>22</v>
      </c>
      <c r="T9932">
        <v>22801</v>
      </c>
      <c r="U9932">
        <v>26420</v>
      </c>
      <c r="V9932" t="s">
        <v>22</v>
      </c>
    </row>
    <row r="9933" spans="1:22">
      <c r="A9933" t="str">
        <f t="shared" si="1933"/>
        <v>12/11/2025</v>
      </c>
      <c r="B9933" t="str">
        <f t="shared" si="1934"/>
        <v>SAÍDA</v>
      </c>
      <c r="C9933" t="str">
        <f t="shared" si="1935"/>
        <v>CONHECIMENTO</v>
      </c>
      <c r="D9933" t="str">
        <f t="shared" si="1936"/>
        <v>01092025</v>
      </c>
      <c r="E9933" t="str">
        <f>"3"</f>
        <v>3</v>
      </c>
      <c r="F9933" t="str">
        <f t="shared" si="1925"/>
        <v>COM</v>
      </c>
      <c r="G9933" t="str">
        <f t="shared" si="1937"/>
        <v>CORA SOCIEDADE DE CREDITO, FINANCIAMENTO E INVESTIMENTO (20035)</v>
      </c>
      <c r="H9933" t="str">
        <f>"TAXA BOLETO "</f>
        <v xml:space="preserve">TAXA BOLETO </v>
      </c>
      <c r="I9933" t="str">
        <f t="shared" si="1931"/>
        <v>12/11/2025</v>
      </c>
      <c r="J9933" t="str">
        <f t="shared" si="1938"/>
        <v>01/09/2025</v>
      </c>
      <c r="K9933" t="str">
        <f>("12/11/2025")</f>
        <v>12/11/2025</v>
      </c>
      <c r="L9933">
        <v>1.7</v>
      </c>
      <c r="M9933">
        <v>1.7</v>
      </c>
      <c r="N9933">
        <v>401</v>
      </c>
      <c r="O9933" t="str">
        <f>"IOF/JUROS/DESP.FINANCEIRA"</f>
        <v>IOF/JUROS/DESP.FINANCEIRA</v>
      </c>
      <c r="P9933">
        <v>1.7</v>
      </c>
      <c r="S9933" t="str">
        <f>"BANCO CORA (102)"</f>
        <v>BANCO CORA (102)</v>
      </c>
      <c r="T9933">
        <v>22802</v>
      </c>
      <c r="U9933">
        <v>26421</v>
      </c>
      <c r="V9933" t="s">
        <v>22</v>
      </c>
    </row>
    <row r="9934" spans="1:22">
      <c r="A9934" t="str">
        <f t="shared" si="1933"/>
        <v>12/11/2025</v>
      </c>
      <c r="B9934" t="str">
        <f t="shared" si="1934"/>
        <v>SAÍDA</v>
      </c>
      <c r="C9934" t="str">
        <f t="shared" si="1935"/>
        <v>CONHECIMENTO</v>
      </c>
      <c r="D9934" t="str">
        <f t="shared" si="1936"/>
        <v>01092025</v>
      </c>
      <c r="E9934" t="str">
        <f>"3"</f>
        <v>3</v>
      </c>
      <c r="F9934" t="str">
        <f t="shared" si="1925"/>
        <v>COM</v>
      </c>
      <c r="G9934" t="str">
        <f t="shared" si="1937"/>
        <v>CORA SOCIEDADE DE CREDITO, FINANCIAMENTO E INVESTIMENTO (20035)</v>
      </c>
      <c r="H9934" t="s">
        <v>75</v>
      </c>
      <c r="I9934" t="str">
        <f t="shared" si="1931"/>
        <v>12/11/2025</v>
      </c>
      <c r="J9934" t="str">
        <f t="shared" si="1938"/>
        <v>01/09/2025</v>
      </c>
      <c r="K9934">
        <v>45973</v>
      </c>
      <c r="N9934">
        <v>401</v>
      </c>
      <c r="O9934" t="s">
        <v>76</v>
      </c>
      <c r="Q9934">
        <v>1.7</v>
      </c>
      <c r="R9934" t="str">
        <f>"CORA SOCIEDADE DE CREDITO, FINANCIAMENTO E INVESTIMENTO (20035)"</f>
        <v>CORA SOCIEDADE DE CREDITO, FINANCIAMENTO E INVESTIMENTO (20035)</v>
      </c>
      <c r="S9934" t="s">
        <v>22</v>
      </c>
      <c r="T9934">
        <v>22802</v>
      </c>
      <c r="U9934">
        <v>26421</v>
      </c>
      <c r="V9934" t="s">
        <v>22</v>
      </c>
    </row>
    <row r="9935" spans="1:22">
      <c r="A9935" t="str">
        <f t="shared" si="1933"/>
        <v>12/11/2025</v>
      </c>
      <c r="B9935" t="str">
        <f t="shared" si="1934"/>
        <v>SAÍDA</v>
      </c>
      <c r="C9935" t="str">
        <f t="shared" si="1935"/>
        <v>CONHECIMENTO</v>
      </c>
      <c r="D9935" t="str">
        <f t="shared" si="1936"/>
        <v>01092025</v>
      </c>
      <c r="E9935" t="str">
        <f>"4"</f>
        <v>4</v>
      </c>
      <c r="F9935" t="str">
        <f t="shared" si="1925"/>
        <v>COM</v>
      </c>
      <c r="G9935" t="str">
        <f t="shared" si="1937"/>
        <v>CORA SOCIEDADE DE CREDITO, FINANCIAMENTO E INVESTIMENTO (20035)</v>
      </c>
      <c r="H9935" t="str">
        <f>"TAXA BOLETO "</f>
        <v xml:space="preserve">TAXA BOLETO </v>
      </c>
      <c r="I9935" t="str">
        <f t="shared" si="1931"/>
        <v>12/11/2025</v>
      </c>
      <c r="J9935" t="str">
        <f t="shared" si="1938"/>
        <v>01/09/2025</v>
      </c>
      <c r="K9935" t="str">
        <f>("12/11/2025")</f>
        <v>12/11/2025</v>
      </c>
      <c r="L9935">
        <v>1.7</v>
      </c>
      <c r="M9935">
        <v>1.7</v>
      </c>
      <c r="N9935">
        <v>401</v>
      </c>
      <c r="O9935" t="str">
        <f>"IOF/JUROS/DESP.FINANCEIRA"</f>
        <v>IOF/JUROS/DESP.FINANCEIRA</v>
      </c>
      <c r="P9935">
        <v>1.7</v>
      </c>
      <c r="S9935" t="str">
        <f>"BANCO CORA (102)"</f>
        <v>BANCO CORA (102)</v>
      </c>
      <c r="T9935">
        <v>22803</v>
      </c>
      <c r="U9935">
        <v>26422</v>
      </c>
      <c r="V9935" t="s">
        <v>22</v>
      </c>
    </row>
    <row r="9936" spans="1:22">
      <c r="A9936" t="str">
        <f t="shared" si="1933"/>
        <v>12/11/2025</v>
      </c>
      <c r="B9936" t="str">
        <f t="shared" si="1934"/>
        <v>SAÍDA</v>
      </c>
      <c r="C9936" t="str">
        <f t="shared" si="1935"/>
        <v>CONHECIMENTO</v>
      </c>
      <c r="D9936" t="str">
        <f t="shared" si="1936"/>
        <v>01092025</v>
      </c>
      <c r="E9936" t="str">
        <f>"4"</f>
        <v>4</v>
      </c>
      <c r="F9936" t="str">
        <f t="shared" si="1925"/>
        <v>COM</v>
      </c>
      <c r="G9936" t="str">
        <f t="shared" si="1937"/>
        <v>CORA SOCIEDADE DE CREDITO, FINANCIAMENTO E INVESTIMENTO (20035)</v>
      </c>
      <c r="H9936" t="s">
        <v>75</v>
      </c>
      <c r="I9936" t="str">
        <f t="shared" si="1931"/>
        <v>12/11/2025</v>
      </c>
      <c r="J9936" t="str">
        <f t="shared" si="1938"/>
        <v>01/09/2025</v>
      </c>
      <c r="K9936">
        <v>45973</v>
      </c>
      <c r="N9936">
        <v>401</v>
      </c>
      <c r="O9936" t="s">
        <v>76</v>
      </c>
      <c r="Q9936">
        <v>1.7</v>
      </c>
      <c r="R9936" t="str">
        <f>"CORA SOCIEDADE DE CREDITO, FINANCIAMENTO E INVESTIMENTO (20035)"</f>
        <v>CORA SOCIEDADE DE CREDITO, FINANCIAMENTO E INVESTIMENTO (20035)</v>
      </c>
      <c r="S9936" t="s">
        <v>22</v>
      </c>
      <c r="T9936">
        <v>22803</v>
      </c>
      <c r="U9936">
        <v>26422</v>
      </c>
      <c r="V9936" t="s">
        <v>22</v>
      </c>
    </row>
    <row r="9937" spans="1:22">
      <c r="A9937" t="str">
        <f t="shared" si="1933"/>
        <v>12/11/2025</v>
      </c>
      <c r="B9937" t="str">
        <f t="shared" si="1934"/>
        <v>SAÍDA</v>
      </c>
      <c r="C9937" t="str">
        <f t="shared" si="1935"/>
        <v>CONHECIMENTO</v>
      </c>
      <c r="D9937" t="str">
        <f t="shared" si="1936"/>
        <v>01092025</v>
      </c>
      <c r="E9937" t="str">
        <f>"5"</f>
        <v>5</v>
      </c>
      <c r="F9937" t="str">
        <f t="shared" si="1925"/>
        <v>COM</v>
      </c>
      <c r="G9937" t="str">
        <f t="shared" si="1937"/>
        <v>CORA SOCIEDADE DE CREDITO, FINANCIAMENTO E INVESTIMENTO (20035)</v>
      </c>
      <c r="H9937" t="str">
        <f>"TAXA BOLETO "</f>
        <v xml:space="preserve">TAXA BOLETO </v>
      </c>
      <c r="I9937" t="str">
        <f t="shared" si="1931"/>
        <v>12/11/2025</v>
      </c>
      <c r="J9937" t="str">
        <f t="shared" si="1938"/>
        <v>01/09/2025</v>
      </c>
      <c r="K9937" t="str">
        <f>("12/11/2025")</f>
        <v>12/11/2025</v>
      </c>
      <c r="L9937">
        <v>1.7</v>
      </c>
      <c r="M9937">
        <v>1.7</v>
      </c>
      <c r="N9937">
        <v>401</v>
      </c>
      <c r="O9937" t="str">
        <f>"IOF/JUROS/DESP.FINANCEIRA"</f>
        <v>IOF/JUROS/DESP.FINANCEIRA</v>
      </c>
      <c r="P9937">
        <v>1.7</v>
      </c>
      <c r="S9937" t="str">
        <f>"BANCO CORA (102)"</f>
        <v>BANCO CORA (102)</v>
      </c>
      <c r="T9937">
        <v>22804</v>
      </c>
      <c r="U9937">
        <v>26423</v>
      </c>
      <c r="V9937" t="s">
        <v>22</v>
      </c>
    </row>
    <row r="9938" spans="1:22">
      <c r="A9938" t="str">
        <f t="shared" si="1933"/>
        <v>12/11/2025</v>
      </c>
      <c r="B9938" t="str">
        <f t="shared" si="1934"/>
        <v>SAÍDA</v>
      </c>
      <c r="C9938" t="str">
        <f t="shared" si="1935"/>
        <v>CONHECIMENTO</v>
      </c>
      <c r="D9938" t="str">
        <f t="shared" si="1936"/>
        <v>01092025</v>
      </c>
      <c r="E9938" t="str">
        <f>"5"</f>
        <v>5</v>
      </c>
      <c r="F9938" t="str">
        <f t="shared" si="1925"/>
        <v>COM</v>
      </c>
      <c r="G9938" t="str">
        <f t="shared" si="1937"/>
        <v>CORA SOCIEDADE DE CREDITO, FINANCIAMENTO E INVESTIMENTO (20035)</v>
      </c>
      <c r="H9938" t="s">
        <v>75</v>
      </c>
      <c r="I9938" t="str">
        <f t="shared" si="1931"/>
        <v>12/11/2025</v>
      </c>
      <c r="J9938" t="str">
        <f t="shared" si="1938"/>
        <v>01/09/2025</v>
      </c>
      <c r="K9938">
        <v>45973</v>
      </c>
      <c r="N9938">
        <v>401</v>
      </c>
      <c r="O9938" t="s">
        <v>76</v>
      </c>
      <c r="Q9938">
        <v>1.7</v>
      </c>
      <c r="R9938" t="str">
        <f>"CORA SOCIEDADE DE CREDITO, FINANCIAMENTO E INVESTIMENTO (20035)"</f>
        <v>CORA SOCIEDADE DE CREDITO, FINANCIAMENTO E INVESTIMENTO (20035)</v>
      </c>
      <c r="S9938" t="s">
        <v>22</v>
      </c>
      <c r="T9938">
        <v>22804</v>
      </c>
      <c r="U9938">
        <v>26423</v>
      </c>
      <c r="V9938" t="s">
        <v>22</v>
      </c>
    </row>
    <row r="9939" spans="1:22">
      <c r="A9939" t="str">
        <f t="shared" si="1933"/>
        <v>12/11/2025</v>
      </c>
      <c r="B9939" t="str">
        <f t="shared" si="1934"/>
        <v>SAÍDA</v>
      </c>
      <c r="C9939" t="str">
        <f t="shared" si="1935"/>
        <v>CONHECIMENTO</v>
      </c>
      <c r="D9939" t="str">
        <f t="shared" si="1936"/>
        <v>01092025</v>
      </c>
      <c r="E9939" t="str">
        <f>"6"</f>
        <v>6</v>
      </c>
      <c r="F9939" t="str">
        <f t="shared" si="1925"/>
        <v>COM</v>
      </c>
      <c r="G9939" t="str">
        <f t="shared" si="1937"/>
        <v>CORA SOCIEDADE DE CREDITO, FINANCIAMENTO E INVESTIMENTO (20035)</v>
      </c>
      <c r="H9939" t="str">
        <f>"TAXA BOLETO "</f>
        <v xml:space="preserve">TAXA BOLETO </v>
      </c>
      <c r="I9939" t="str">
        <f t="shared" si="1931"/>
        <v>12/11/2025</v>
      </c>
      <c r="J9939" t="str">
        <f t="shared" si="1938"/>
        <v>01/09/2025</v>
      </c>
      <c r="K9939" t="str">
        <f>("12/11/2025")</f>
        <v>12/11/2025</v>
      </c>
      <c r="L9939">
        <v>1.7</v>
      </c>
      <c r="M9939">
        <v>1.7</v>
      </c>
      <c r="N9939">
        <v>401</v>
      </c>
      <c r="O9939" t="str">
        <f>"IOF/JUROS/DESP.FINANCEIRA"</f>
        <v>IOF/JUROS/DESP.FINANCEIRA</v>
      </c>
      <c r="P9939">
        <v>1.7</v>
      </c>
      <c r="S9939" t="str">
        <f>"BANCO CORA (102)"</f>
        <v>BANCO CORA (102)</v>
      </c>
      <c r="T9939">
        <v>22805</v>
      </c>
      <c r="U9939">
        <v>26424</v>
      </c>
      <c r="V9939" t="s">
        <v>22</v>
      </c>
    </row>
    <row r="9940" spans="1:22">
      <c r="A9940" t="str">
        <f t="shared" si="1933"/>
        <v>12/11/2025</v>
      </c>
      <c r="B9940" t="str">
        <f t="shared" si="1934"/>
        <v>SAÍDA</v>
      </c>
      <c r="C9940" t="str">
        <f t="shared" si="1935"/>
        <v>CONHECIMENTO</v>
      </c>
      <c r="D9940" t="str">
        <f t="shared" si="1936"/>
        <v>01092025</v>
      </c>
      <c r="E9940" t="str">
        <f>"6"</f>
        <v>6</v>
      </c>
      <c r="F9940" t="str">
        <f t="shared" si="1925"/>
        <v>COM</v>
      </c>
      <c r="G9940" t="str">
        <f t="shared" si="1937"/>
        <v>CORA SOCIEDADE DE CREDITO, FINANCIAMENTO E INVESTIMENTO (20035)</v>
      </c>
      <c r="H9940" t="s">
        <v>75</v>
      </c>
      <c r="I9940" t="str">
        <f t="shared" si="1931"/>
        <v>12/11/2025</v>
      </c>
      <c r="J9940" t="str">
        <f t="shared" si="1938"/>
        <v>01/09/2025</v>
      </c>
      <c r="K9940">
        <v>45973</v>
      </c>
      <c r="N9940">
        <v>401</v>
      </c>
      <c r="O9940" t="s">
        <v>76</v>
      </c>
      <c r="Q9940">
        <v>1.7</v>
      </c>
      <c r="R9940" t="str">
        <f>"CORA SOCIEDADE DE CREDITO, FINANCIAMENTO E INVESTIMENTO (20035)"</f>
        <v>CORA SOCIEDADE DE CREDITO, FINANCIAMENTO E INVESTIMENTO (20035)</v>
      </c>
      <c r="S9940" t="s">
        <v>22</v>
      </c>
      <c r="T9940">
        <v>22805</v>
      </c>
      <c r="U9940">
        <v>26424</v>
      </c>
      <c r="V9940" t="s">
        <v>22</v>
      </c>
    </row>
    <row r="9941" spans="1:22">
      <c r="A9941" t="str">
        <f t="shared" si="1933"/>
        <v>12/11/2025</v>
      </c>
      <c r="B9941" t="str">
        <f t="shared" si="1934"/>
        <v>SAÍDA</v>
      </c>
      <c r="C9941" t="str">
        <f t="shared" si="1935"/>
        <v>CONHECIMENTO</v>
      </c>
      <c r="D9941" t="str">
        <f t="shared" si="1936"/>
        <v>01092025</v>
      </c>
      <c r="E9941" t="str">
        <f>"7"</f>
        <v>7</v>
      </c>
      <c r="F9941" t="str">
        <f t="shared" si="1925"/>
        <v>COM</v>
      </c>
      <c r="G9941" t="str">
        <f t="shared" si="1937"/>
        <v>CORA SOCIEDADE DE CREDITO, FINANCIAMENTO E INVESTIMENTO (20035)</v>
      </c>
      <c r="H9941" t="str">
        <f>"TAXA BOLETO "</f>
        <v xml:space="preserve">TAXA BOLETO </v>
      </c>
      <c r="I9941" t="str">
        <f t="shared" si="1931"/>
        <v>12/11/2025</v>
      </c>
      <c r="J9941" t="str">
        <f t="shared" si="1938"/>
        <v>01/09/2025</v>
      </c>
      <c r="K9941" t="str">
        <f>("12/11/2025")</f>
        <v>12/11/2025</v>
      </c>
      <c r="L9941">
        <v>1.7</v>
      </c>
      <c r="M9941">
        <v>1.7</v>
      </c>
      <c r="N9941">
        <v>401</v>
      </c>
      <c r="O9941" t="str">
        <f>"IOF/JUROS/DESP.FINANCEIRA"</f>
        <v>IOF/JUROS/DESP.FINANCEIRA</v>
      </c>
      <c r="P9941">
        <v>1.7</v>
      </c>
      <c r="S9941" t="str">
        <f>"BANCO CORA (102)"</f>
        <v>BANCO CORA (102)</v>
      </c>
      <c r="T9941">
        <v>22806</v>
      </c>
      <c r="U9941">
        <v>26425</v>
      </c>
      <c r="V9941" t="s">
        <v>22</v>
      </c>
    </row>
    <row r="9942" spans="1:22">
      <c r="A9942" t="str">
        <f t="shared" si="1933"/>
        <v>12/11/2025</v>
      </c>
      <c r="B9942" t="str">
        <f t="shared" si="1934"/>
        <v>SAÍDA</v>
      </c>
      <c r="C9942" t="str">
        <f t="shared" si="1935"/>
        <v>CONHECIMENTO</v>
      </c>
      <c r="D9942" t="str">
        <f t="shared" si="1936"/>
        <v>01092025</v>
      </c>
      <c r="E9942" t="str">
        <f>"7"</f>
        <v>7</v>
      </c>
      <c r="F9942" t="str">
        <f t="shared" si="1925"/>
        <v>COM</v>
      </c>
      <c r="G9942" t="str">
        <f t="shared" si="1937"/>
        <v>CORA SOCIEDADE DE CREDITO, FINANCIAMENTO E INVESTIMENTO (20035)</v>
      </c>
      <c r="H9942" t="s">
        <v>75</v>
      </c>
      <c r="I9942" t="str">
        <f t="shared" si="1931"/>
        <v>12/11/2025</v>
      </c>
      <c r="J9942" t="str">
        <f t="shared" si="1938"/>
        <v>01/09/2025</v>
      </c>
      <c r="K9942">
        <v>45973</v>
      </c>
      <c r="N9942">
        <v>401</v>
      </c>
      <c r="O9942" t="s">
        <v>76</v>
      </c>
      <c r="Q9942">
        <v>1.7</v>
      </c>
      <c r="R9942" t="str">
        <f>"CORA SOCIEDADE DE CREDITO, FINANCIAMENTO E INVESTIMENTO (20035)"</f>
        <v>CORA SOCIEDADE DE CREDITO, FINANCIAMENTO E INVESTIMENTO (20035)</v>
      </c>
      <c r="S9942" t="s">
        <v>22</v>
      </c>
      <c r="T9942">
        <v>22806</v>
      </c>
      <c r="U9942">
        <v>26425</v>
      </c>
      <c r="V9942" t="s">
        <v>22</v>
      </c>
    </row>
    <row r="9943" spans="1:22">
      <c r="A9943" t="str">
        <f t="shared" si="1933"/>
        <v>12/11/2025</v>
      </c>
      <c r="B9943" t="str">
        <f t="shared" si="1934"/>
        <v>SAÍDA</v>
      </c>
      <c r="C9943" t="str">
        <f t="shared" si="1935"/>
        <v>CONHECIMENTO</v>
      </c>
      <c r="D9943" t="str">
        <f t="shared" si="1936"/>
        <v>01092025</v>
      </c>
      <c r="E9943" t="str">
        <f>"8"</f>
        <v>8</v>
      </c>
      <c r="F9943" t="str">
        <f t="shared" si="1925"/>
        <v>COM</v>
      </c>
      <c r="G9943" t="str">
        <f t="shared" si="1937"/>
        <v>CORA SOCIEDADE DE CREDITO, FINANCIAMENTO E INVESTIMENTO (20035)</v>
      </c>
      <c r="H9943" t="str">
        <f>"TAXA BOLETO "</f>
        <v xml:space="preserve">TAXA BOLETO </v>
      </c>
      <c r="I9943" t="str">
        <f t="shared" si="1931"/>
        <v>12/11/2025</v>
      </c>
      <c r="J9943" t="str">
        <f t="shared" si="1938"/>
        <v>01/09/2025</v>
      </c>
      <c r="K9943" t="str">
        <f>("12/11/2025")</f>
        <v>12/11/2025</v>
      </c>
      <c r="L9943">
        <v>1.7</v>
      </c>
      <c r="M9943">
        <v>1.7</v>
      </c>
      <c r="N9943">
        <v>401</v>
      </c>
      <c r="O9943" t="str">
        <f>"IOF/JUROS/DESP.FINANCEIRA"</f>
        <v>IOF/JUROS/DESP.FINANCEIRA</v>
      </c>
      <c r="P9943">
        <v>1.7</v>
      </c>
      <c r="S9943" t="str">
        <f>"BANCO CORA (102)"</f>
        <v>BANCO CORA (102)</v>
      </c>
      <c r="T9943">
        <v>22807</v>
      </c>
      <c r="U9943">
        <v>26426</v>
      </c>
      <c r="V9943" t="s">
        <v>22</v>
      </c>
    </row>
    <row r="9944" spans="1:22">
      <c r="A9944" t="str">
        <f t="shared" si="1933"/>
        <v>12/11/2025</v>
      </c>
      <c r="B9944" t="str">
        <f t="shared" si="1934"/>
        <v>SAÍDA</v>
      </c>
      <c r="C9944" t="str">
        <f t="shared" si="1935"/>
        <v>CONHECIMENTO</v>
      </c>
      <c r="D9944" t="str">
        <f t="shared" si="1936"/>
        <v>01092025</v>
      </c>
      <c r="E9944" t="str">
        <f>"8"</f>
        <v>8</v>
      </c>
      <c r="F9944" t="str">
        <f t="shared" si="1925"/>
        <v>COM</v>
      </c>
      <c r="G9944" t="str">
        <f t="shared" si="1937"/>
        <v>CORA SOCIEDADE DE CREDITO, FINANCIAMENTO E INVESTIMENTO (20035)</v>
      </c>
      <c r="H9944" t="s">
        <v>75</v>
      </c>
      <c r="I9944" t="str">
        <f t="shared" si="1931"/>
        <v>12/11/2025</v>
      </c>
      <c r="J9944" t="str">
        <f t="shared" si="1938"/>
        <v>01/09/2025</v>
      </c>
      <c r="K9944">
        <v>45973</v>
      </c>
      <c r="N9944">
        <v>401</v>
      </c>
      <c r="O9944" t="s">
        <v>76</v>
      </c>
      <c r="Q9944">
        <v>1.7</v>
      </c>
      <c r="R9944" t="str">
        <f>"CORA SOCIEDADE DE CREDITO, FINANCIAMENTO E INVESTIMENTO (20035)"</f>
        <v>CORA SOCIEDADE DE CREDITO, FINANCIAMENTO E INVESTIMENTO (20035)</v>
      </c>
      <c r="S9944" t="s">
        <v>22</v>
      </c>
      <c r="T9944">
        <v>22807</v>
      </c>
      <c r="U9944">
        <v>26426</v>
      </c>
      <c r="V9944" t="s">
        <v>22</v>
      </c>
    </row>
    <row r="9945" spans="1:22">
      <c r="A9945" t="str">
        <f t="shared" si="1933"/>
        <v>12/11/2025</v>
      </c>
      <c r="B9945" t="str">
        <f t="shared" si="1934"/>
        <v>SAÍDA</v>
      </c>
      <c r="C9945" t="str">
        <f t="shared" si="1935"/>
        <v>CONHECIMENTO</v>
      </c>
      <c r="D9945" t="str">
        <f t="shared" si="1936"/>
        <v>01092025</v>
      </c>
      <c r="E9945" t="str">
        <f>"9"</f>
        <v>9</v>
      </c>
      <c r="F9945" t="str">
        <f t="shared" si="1925"/>
        <v>COM</v>
      </c>
      <c r="G9945" t="str">
        <f t="shared" si="1937"/>
        <v>CORA SOCIEDADE DE CREDITO, FINANCIAMENTO E INVESTIMENTO (20035)</v>
      </c>
      <c r="H9945" t="str">
        <f>"TAXA BOLETO "</f>
        <v xml:space="preserve">TAXA BOLETO </v>
      </c>
      <c r="I9945" t="str">
        <f t="shared" si="1931"/>
        <v>12/11/2025</v>
      </c>
      <c r="J9945" t="str">
        <f t="shared" si="1938"/>
        <v>01/09/2025</v>
      </c>
      <c r="K9945" t="str">
        <f>("12/11/2025")</f>
        <v>12/11/2025</v>
      </c>
      <c r="L9945">
        <v>1.7</v>
      </c>
      <c r="M9945">
        <v>1.7</v>
      </c>
      <c r="N9945">
        <v>401</v>
      </c>
      <c r="O9945" t="str">
        <f>"IOF/JUROS/DESP.FINANCEIRA"</f>
        <v>IOF/JUROS/DESP.FINANCEIRA</v>
      </c>
      <c r="P9945">
        <v>1.7</v>
      </c>
      <c r="S9945" t="str">
        <f>"BANCO CORA (102)"</f>
        <v>BANCO CORA (102)</v>
      </c>
      <c r="T9945">
        <v>22808</v>
      </c>
      <c r="U9945">
        <v>26427</v>
      </c>
      <c r="V9945" t="s">
        <v>22</v>
      </c>
    </row>
    <row r="9946" spans="1:22">
      <c r="A9946" t="str">
        <f t="shared" si="1933"/>
        <v>12/11/2025</v>
      </c>
      <c r="B9946" t="str">
        <f t="shared" si="1934"/>
        <v>SAÍDA</v>
      </c>
      <c r="C9946" t="str">
        <f t="shared" si="1935"/>
        <v>CONHECIMENTO</v>
      </c>
      <c r="D9946" t="str">
        <f t="shared" si="1936"/>
        <v>01092025</v>
      </c>
      <c r="E9946" t="str">
        <f>"9"</f>
        <v>9</v>
      </c>
      <c r="F9946" t="str">
        <f t="shared" si="1925"/>
        <v>COM</v>
      </c>
      <c r="G9946" t="str">
        <f t="shared" si="1937"/>
        <v>CORA SOCIEDADE DE CREDITO, FINANCIAMENTO E INVESTIMENTO (20035)</v>
      </c>
      <c r="H9946" t="s">
        <v>75</v>
      </c>
      <c r="I9946" t="str">
        <f t="shared" si="1931"/>
        <v>12/11/2025</v>
      </c>
      <c r="J9946" t="str">
        <f t="shared" si="1938"/>
        <v>01/09/2025</v>
      </c>
      <c r="K9946">
        <v>45973</v>
      </c>
      <c r="N9946">
        <v>401</v>
      </c>
      <c r="O9946" t="s">
        <v>76</v>
      </c>
      <c r="Q9946">
        <v>1.7</v>
      </c>
      <c r="R9946" t="str">
        <f>"CORA SOCIEDADE DE CREDITO, FINANCIAMENTO E INVESTIMENTO (20035)"</f>
        <v>CORA SOCIEDADE DE CREDITO, FINANCIAMENTO E INVESTIMENTO (20035)</v>
      </c>
      <c r="S9946" t="s">
        <v>22</v>
      </c>
      <c r="T9946">
        <v>22808</v>
      </c>
      <c r="U9946">
        <v>26427</v>
      </c>
      <c r="V9946" t="s">
        <v>22</v>
      </c>
    </row>
    <row r="9947" spans="1:22">
      <c r="A9947" t="str">
        <f t="shared" si="1933"/>
        <v>12/11/2025</v>
      </c>
      <c r="B9947" t="str">
        <f t="shared" si="1934"/>
        <v>SAÍDA</v>
      </c>
      <c r="C9947" t="str">
        <f t="shared" si="1935"/>
        <v>CONHECIMENTO</v>
      </c>
      <c r="D9947" t="str">
        <f t="shared" si="1936"/>
        <v>01092025</v>
      </c>
      <c r="E9947" t="str">
        <f>"10"</f>
        <v>10</v>
      </c>
      <c r="F9947" t="str">
        <f t="shared" si="1925"/>
        <v>COM</v>
      </c>
      <c r="G9947" t="str">
        <f t="shared" si="1937"/>
        <v>CORA SOCIEDADE DE CREDITO, FINANCIAMENTO E INVESTIMENTO (20035)</v>
      </c>
      <c r="H9947" t="str">
        <f>"TAXA BOLETO "</f>
        <v xml:space="preserve">TAXA BOLETO </v>
      </c>
      <c r="I9947" t="str">
        <f t="shared" si="1931"/>
        <v>12/11/2025</v>
      </c>
      <c r="J9947" t="str">
        <f t="shared" si="1938"/>
        <v>01/09/2025</v>
      </c>
      <c r="K9947" t="str">
        <f>("12/11/2025")</f>
        <v>12/11/2025</v>
      </c>
      <c r="L9947">
        <v>1.7</v>
      </c>
      <c r="M9947">
        <v>1.7</v>
      </c>
      <c r="N9947">
        <v>401</v>
      </c>
      <c r="O9947" t="str">
        <f>"IOF/JUROS/DESP.FINANCEIRA"</f>
        <v>IOF/JUROS/DESP.FINANCEIRA</v>
      </c>
      <c r="P9947">
        <v>1.7</v>
      </c>
      <c r="S9947" t="str">
        <f>"BANCO CORA (102)"</f>
        <v>BANCO CORA (102)</v>
      </c>
      <c r="T9947">
        <v>22809</v>
      </c>
      <c r="U9947">
        <v>26428</v>
      </c>
      <c r="V9947" t="s">
        <v>22</v>
      </c>
    </row>
    <row r="9948" spans="1:22">
      <c r="A9948" t="str">
        <f t="shared" si="1933"/>
        <v>12/11/2025</v>
      </c>
      <c r="B9948" t="str">
        <f t="shared" si="1934"/>
        <v>SAÍDA</v>
      </c>
      <c r="C9948" t="str">
        <f t="shared" si="1935"/>
        <v>CONHECIMENTO</v>
      </c>
      <c r="D9948" t="str">
        <f t="shared" si="1936"/>
        <v>01092025</v>
      </c>
      <c r="E9948" t="str">
        <f>"10"</f>
        <v>10</v>
      </c>
      <c r="F9948" t="str">
        <f t="shared" si="1925"/>
        <v>COM</v>
      </c>
      <c r="G9948" t="str">
        <f t="shared" si="1937"/>
        <v>CORA SOCIEDADE DE CREDITO, FINANCIAMENTO E INVESTIMENTO (20035)</v>
      </c>
      <c r="H9948" t="s">
        <v>75</v>
      </c>
      <c r="I9948" t="str">
        <f t="shared" si="1931"/>
        <v>12/11/2025</v>
      </c>
      <c r="J9948" t="str">
        <f t="shared" si="1938"/>
        <v>01/09/2025</v>
      </c>
      <c r="K9948">
        <v>45973</v>
      </c>
      <c r="N9948">
        <v>401</v>
      </c>
      <c r="O9948" t="s">
        <v>76</v>
      </c>
      <c r="Q9948">
        <v>1.7</v>
      </c>
      <c r="R9948" t="str">
        <f>"CORA SOCIEDADE DE CREDITO, FINANCIAMENTO E INVESTIMENTO (20035)"</f>
        <v>CORA SOCIEDADE DE CREDITO, FINANCIAMENTO E INVESTIMENTO (20035)</v>
      </c>
      <c r="S9948" t="s">
        <v>22</v>
      </c>
      <c r="T9948">
        <v>22809</v>
      </c>
      <c r="U9948">
        <v>26428</v>
      </c>
      <c r="V9948" t="s">
        <v>22</v>
      </c>
    </row>
    <row r="9949" spans="1:22">
      <c r="A9949" t="str">
        <f t="shared" si="1933"/>
        <v>12/11/2025</v>
      </c>
      <c r="B9949" t="str">
        <f t="shared" si="1934"/>
        <v>SAÍDA</v>
      </c>
      <c r="C9949" t="str">
        <f t="shared" si="1935"/>
        <v>CONHECIMENTO</v>
      </c>
      <c r="D9949" t="str">
        <f t="shared" si="1936"/>
        <v>01092025</v>
      </c>
      <c r="E9949" t="str">
        <f>"11"</f>
        <v>11</v>
      </c>
      <c r="F9949" t="str">
        <f t="shared" si="1925"/>
        <v>COM</v>
      </c>
      <c r="G9949" t="str">
        <f t="shared" si="1937"/>
        <v>CORA SOCIEDADE DE CREDITO, FINANCIAMENTO E INVESTIMENTO (20035)</v>
      </c>
      <c r="H9949" t="str">
        <f>"TAXA BOLETO "</f>
        <v xml:space="preserve">TAXA BOLETO </v>
      </c>
      <c r="I9949" t="str">
        <f t="shared" si="1931"/>
        <v>12/11/2025</v>
      </c>
      <c r="J9949" t="str">
        <f t="shared" si="1938"/>
        <v>01/09/2025</v>
      </c>
      <c r="K9949" t="str">
        <f>("12/11/2025")</f>
        <v>12/11/2025</v>
      </c>
      <c r="L9949">
        <v>1.7</v>
      </c>
      <c r="M9949">
        <v>1.7</v>
      </c>
      <c r="N9949">
        <v>401</v>
      </c>
      <c r="O9949" t="str">
        <f>"IOF/JUROS/DESP.FINANCEIRA"</f>
        <v>IOF/JUROS/DESP.FINANCEIRA</v>
      </c>
      <c r="P9949">
        <v>1.7</v>
      </c>
      <c r="S9949" t="str">
        <f>"BANCO CORA (102)"</f>
        <v>BANCO CORA (102)</v>
      </c>
      <c r="T9949">
        <v>22810</v>
      </c>
      <c r="U9949">
        <v>26429</v>
      </c>
      <c r="V9949" t="s">
        <v>22</v>
      </c>
    </row>
    <row r="9950" spans="1:22">
      <c r="A9950" t="str">
        <f t="shared" si="1933"/>
        <v>12/11/2025</v>
      </c>
      <c r="B9950" t="str">
        <f t="shared" si="1934"/>
        <v>SAÍDA</v>
      </c>
      <c r="C9950" t="str">
        <f t="shared" si="1935"/>
        <v>CONHECIMENTO</v>
      </c>
      <c r="D9950" t="str">
        <f t="shared" si="1936"/>
        <v>01092025</v>
      </c>
      <c r="E9950" t="str">
        <f>"11"</f>
        <v>11</v>
      </c>
      <c r="F9950" t="str">
        <f t="shared" si="1925"/>
        <v>COM</v>
      </c>
      <c r="G9950" t="str">
        <f t="shared" si="1937"/>
        <v>CORA SOCIEDADE DE CREDITO, FINANCIAMENTO E INVESTIMENTO (20035)</v>
      </c>
      <c r="H9950" t="s">
        <v>75</v>
      </c>
      <c r="I9950" t="str">
        <f t="shared" si="1931"/>
        <v>12/11/2025</v>
      </c>
      <c r="J9950" t="str">
        <f t="shared" si="1938"/>
        <v>01/09/2025</v>
      </c>
      <c r="K9950">
        <v>45973</v>
      </c>
      <c r="N9950">
        <v>401</v>
      </c>
      <c r="O9950" t="s">
        <v>76</v>
      </c>
      <c r="Q9950">
        <v>1.7</v>
      </c>
      <c r="R9950" t="str">
        <f>"CORA SOCIEDADE DE CREDITO, FINANCIAMENTO E INVESTIMENTO (20035)"</f>
        <v>CORA SOCIEDADE DE CREDITO, FINANCIAMENTO E INVESTIMENTO (20035)</v>
      </c>
      <c r="S9950" t="s">
        <v>22</v>
      </c>
      <c r="T9950">
        <v>22810</v>
      </c>
      <c r="U9950">
        <v>26429</v>
      </c>
      <c r="V9950" t="s">
        <v>22</v>
      </c>
    </row>
    <row r="9951" spans="1:22">
      <c r="A9951" t="str">
        <f t="shared" ref="A9951:A10014" si="1939">("13/11/2025")</f>
        <v>13/11/2025</v>
      </c>
      <c r="B9951" t="str">
        <f t="shared" si="1934"/>
        <v>SAÍDA</v>
      </c>
      <c r="C9951" t="str">
        <f>"PIX"</f>
        <v>PIX</v>
      </c>
      <c r="D9951" t="str">
        <f>"24890"</f>
        <v>24890</v>
      </c>
      <c r="E9951" t="str">
        <f>"1"</f>
        <v>1</v>
      </c>
      <c r="F9951" t="str">
        <f t="shared" si="1925"/>
        <v>COM</v>
      </c>
      <c r="G9951" t="str">
        <f>"ALAN ACOSTA (897)"</f>
        <v>ALAN ACOSTA (897)</v>
      </c>
      <c r="H9951" t="str">
        <f>"Serv.Prest. 27/10/2025 a 02/11/2025 - PIX: E-MAIL - CHAVE: alanacosta1999@gmail.com"</f>
        <v>Serv.Prest. 27/10/2025 a 02/11/2025 - PIX: E-MAIL - CHAVE: alanacosta1999@gmail.com</v>
      </c>
      <c r="I9951" t="str">
        <f>("13/11/2025")</f>
        <v>13/11/2025</v>
      </c>
      <c r="J9951" t="str">
        <f>("05/11/2025")</f>
        <v>05/11/2025</v>
      </c>
      <c r="K9951" t="str">
        <f>("13/11/2025")</f>
        <v>13/11/2025</v>
      </c>
      <c r="L9951">
        <v>20</v>
      </c>
      <c r="M9951">
        <v>20</v>
      </c>
      <c r="N9951">
        <v>109</v>
      </c>
      <c r="O9951" t="str">
        <f>"PAGAMENTO DE ENTREGADORES"</f>
        <v>PAGAMENTO DE ENTREGADORES</v>
      </c>
      <c r="P9951">
        <v>20</v>
      </c>
      <c r="S9951" t="str">
        <f>"CAIXA MOVIMENTAÇÃO OPERACIONAL (132)"</f>
        <v>CAIXA MOVIMENTAÇÃO OPERACIONAL (132)</v>
      </c>
      <c r="T9951">
        <v>20906</v>
      </c>
      <c r="U9951">
        <v>25317</v>
      </c>
      <c r="V9951" t="s">
        <v>48</v>
      </c>
    </row>
    <row r="9952" spans="1:22">
      <c r="A9952" t="str">
        <f t="shared" si="1939"/>
        <v>13/11/2025</v>
      </c>
      <c r="B9952" t="str">
        <f t="shared" si="1934"/>
        <v>SAÍDA</v>
      </c>
      <c r="C9952" t="str">
        <f>"PIX"</f>
        <v>PIX</v>
      </c>
      <c r="D9952" t="str">
        <f>"24890"</f>
        <v>24890</v>
      </c>
      <c r="E9952" t="str">
        <f>"1"</f>
        <v>1</v>
      </c>
      <c r="F9952" t="str">
        <f t="shared" si="1925"/>
        <v>COM</v>
      </c>
      <c r="G9952" t="str">
        <f>"ALAN ACOSTA (897)"</f>
        <v>ALAN ACOSTA (897)</v>
      </c>
      <c r="H9952" t="s">
        <v>2806</v>
      </c>
      <c r="I9952" t="str">
        <f>("13/11/2025")</f>
        <v>13/11/2025</v>
      </c>
      <c r="J9952" t="str">
        <f>("05/11/2025")</f>
        <v>05/11/2025</v>
      </c>
      <c r="K9952">
        <v>45974</v>
      </c>
      <c r="N9952">
        <v>109</v>
      </c>
      <c r="O9952" t="s">
        <v>24</v>
      </c>
      <c r="Q9952">
        <v>19.350000000000001</v>
      </c>
      <c r="R9952" t="str">
        <f>"AC FARMA -  FLEMINFARMA (10159)"</f>
        <v>AC FARMA -  FLEMINFARMA (10159)</v>
      </c>
      <c r="S9952" t="s">
        <v>48</v>
      </c>
      <c r="T9952">
        <v>20906</v>
      </c>
      <c r="U9952">
        <v>25317</v>
      </c>
      <c r="V9952" t="s">
        <v>48</v>
      </c>
    </row>
    <row r="9953" spans="1:22">
      <c r="A9953" t="str">
        <f t="shared" si="1939"/>
        <v>13/11/2025</v>
      </c>
      <c r="B9953" t="str">
        <f t="shared" si="1934"/>
        <v>SAÍDA</v>
      </c>
      <c r="C9953" t="str">
        <f>"PIX"</f>
        <v>PIX</v>
      </c>
      <c r="D9953" t="str">
        <f>"24890"</f>
        <v>24890</v>
      </c>
      <c r="E9953" t="str">
        <f>"1"</f>
        <v>1</v>
      </c>
      <c r="F9953" t="str">
        <f t="shared" si="1925"/>
        <v>COM</v>
      </c>
      <c r="G9953" t="str">
        <f>"ALAN ACOSTA (897)"</f>
        <v>ALAN ACOSTA (897)</v>
      </c>
      <c r="H9953" t="s">
        <v>2806</v>
      </c>
      <c r="I9953" t="str">
        <f>("13/11/2025")</f>
        <v>13/11/2025</v>
      </c>
      <c r="J9953" t="str">
        <f>("05/11/2025")</f>
        <v>05/11/2025</v>
      </c>
      <c r="K9953">
        <v>45974</v>
      </c>
      <c r="N9953">
        <v>109</v>
      </c>
      <c r="O9953" t="s">
        <v>24</v>
      </c>
      <c r="Q9953">
        <v>0.65</v>
      </c>
      <c r="R9953" t="str">
        <f>"AC FARMA - FLEMINFARMA (10160)"</f>
        <v>AC FARMA - FLEMINFARMA (10160)</v>
      </c>
      <c r="S9953" t="s">
        <v>48</v>
      </c>
      <c r="T9953">
        <v>20906</v>
      </c>
      <c r="U9953">
        <v>25317</v>
      </c>
      <c r="V9953" t="s">
        <v>48</v>
      </c>
    </row>
    <row r="9954" spans="1:22">
      <c r="A9954" t="str">
        <f t="shared" si="1939"/>
        <v>13/11/2025</v>
      </c>
      <c r="B9954" t="str">
        <f>"ENTRADA"</f>
        <v>ENTRADA</v>
      </c>
      <c r="C9954" t="str">
        <f>"DINHEIRO"</f>
        <v>DINHEIRO</v>
      </c>
      <c r="D9954" t="str">
        <f>"897"</f>
        <v>897</v>
      </c>
      <c r="E9954" t="str">
        <f>"2"</f>
        <v>2</v>
      </c>
      <c r="F9954" t="str">
        <f t="shared" si="1925"/>
        <v>COM</v>
      </c>
      <c r="G9954" t="str">
        <f>"ALAN ACOSTA (897)"</f>
        <v>ALAN ACOSTA (897)</v>
      </c>
      <c r="H9954" t="str">
        <f>"COTA COOPERATIVA"</f>
        <v>COTA COOPERATIVA</v>
      </c>
      <c r="I9954" t="str">
        <f>("10/11/2025")</f>
        <v>10/11/2025</v>
      </c>
      <c r="J9954" t="str">
        <f>("11/09/2025")</f>
        <v>11/09/2025</v>
      </c>
      <c r="K9954" t="str">
        <f>("13/11/2025")</f>
        <v>13/11/2025</v>
      </c>
      <c r="L9954">
        <v>20</v>
      </c>
      <c r="M9954">
        <v>20</v>
      </c>
      <c r="N9954">
        <v>106</v>
      </c>
      <c r="O9954" t="str">
        <f>"ENTRADA DE CAPITAL"</f>
        <v>ENTRADA DE CAPITAL</v>
      </c>
      <c r="P9954">
        <v>20</v>
      </c>
      <c r="S9954" t="str">
        <f>"ENTRADA DE CAPITAL (106)"</f>
        <v>ENTRADA DE CAPITAL (106)</v>
      </c>
      <c r="T9954">
        <v>20907</v>
      </c>
      <c r="U9954">
        <v>23108</v>
      </c>
      <c r="V9954" t="s">
        <v>48</v>
      </c>
    </row>
    <row r="9955" spans="1:22">
      <c r="A9955" t="str">
        <f t="shared" si="1939"/>
        <v>13/11/2025</v>
      </c>
      <c r="B9955" t="str">
        <f>"ENTRADA"</f>
        <v>ENTRADA</v>
      </c>
      <c r="C9955" t="str">
        <f>"DINHEIRO"</f>
        <v>DINHEIRO</v>
      </c>
      <c r="D9955" t="str">
        <f>"897"</f>
        <v>897</v>
      </c>
      <c r="E9955" t="str">
        <f>"2"</f>
        <v>2</v>
      </c>
      <c r="F9955" t="str">
        <f t="shared" si="1925"/>
        <v>COM</v>
      </c>
      <c r="G9955" t="str">
        <f>"ALAN ACOSTA (897)"</f>
        <v>ALAN ACOSTA (897)</v>
      </c>
      <c r="H9955" t="s">
        <v>50</v>
      </c>
      <c r="I9955" t="str">
        <f>("10/11/2025")</f>
        <v>10/11/2025</v>
      </c>
      <c r="J9955" t="str">
        <f>("11/09/2025")</f>
        <v>11/09/2025</v>
      </c>
      <c r="K9955">
        <v>45974</v>
      </c>
      <c r="N9955">
        <v>106</v>
      </c>
      <c r="O9955" t="s">
        <v>51</v>
      </c>
      <c r="Q9955">
        <v>20</v>
      </c>
      <c r="R9955" t="str">
        <f>"ALAN ACOSTA (897)"</f>
        <v>ALAN ACOSTA (897)</v>
      </c>
      <c r="S9955" t="s">
        <v>52</v>
      </c>
      <c r="T9955">
        <v>20907</v>
      </c>
      <c r="U9955">
        <v>23108</v>
      </c>
      <c r="V9955" t="s">
        <v>48</v>
      </c>
    </row>
    <row r="9956" spans="1:22">
      <c r="A9956" t="str">
        <f t="shared" si="1939"/>
        <v>13/11/2025</v>
      </c>
      <c r="B9956" t="str">
        <f>"ENTRADA"</f>
        <v>ENTRADA</v>
      </c>
      <c r="C9956" t="str">
        <f>"DINHEIRO"</f>
        <v>DINHEIRO</v>
      </c>
      <c r="D9956" t="str">
        <f>"800"</f>
        <v>800</v>
      </c>
      <c r="E9956" t="str">
        <f>"6"</f>
        <v>6</v>
      </c>
      <c r="F9956" t="str">
        <f t="shared" si="1925"/>
        <v>COM</v>
      </c>
      <c r="G9956" t="str">
        <f>"ALBERTO FARIAS DOS SANTOS JUNIOR (800)"</f>
        <v>ALBERTO FARIAS DOS SANTOS JUNIOR (800)</v>
      </c>
      <c r="H9956" t="str">
        <f>"COTA COOPERATIVA"</f>
        <v>COTA COOPERATIVA</v>
      </c>
      <c r="I9956" t="str">
        <f>("12/11/2025")</f>
        <v>12/11/2025</v>
      </c>
      <c r="J9956" t="str">
        <f>("10/05/2025")</f>
        <v>10/05/2025</v>
      </c>
      <c r="K9956" t="str">
        <f>("13/11/2025")</f>
        <v>13/11/2025</v>
      </c>
      <c r="L9956">
        <v>20</v>
      </c>
      <c r="M9956">
        <v>20</v>
      </c>
      <c r="N9956">
        <v>106</v>
      </c>
      <c r="O9956" t="str">
        <f>"ENTRADA DE CAPITAL"</f>
        <v>ENTRADA DE CAPITAL</v>
      </c>
      <c r="P9956">
        <v>20</v>
      </c>
      <c r="S9956" t="str">
        <f>"ENTRADA DE CAPITAL (106)"</f>
        <v>ENTRADA DE CAPITAL (106)</v>
      </c>
      <c r="T9956">
        <v>20908</v>
      </c>
      <c r="U9956">
        <v>16405</v>
      </c>
      <c r="V9956" t="s">
        <v>48</v>
      </c>
    </row>
    <row r="9957" spans="1:22">
      <c r="A9957" t="str">
        <f t="shared" si="1939"/>
        <v>13/11/2025</v>
      </c>
      <c r="B9957" t="str">
        <f>"ENTRADA"</f>
        <v>ENTRADA</v>
      </c>
      <c r="C9957" t="str">
        <f>"DINHEIRO"</f>
        <v>DINHEIRO</v>
      </c>
      <c r="D9957" t="str">
        <f>"800"</f>
        <v>800</v>
      </c>
      <c r="E9957" t="str">
        <f>"6"</f>
        <v>6</v>
      </c>
      <c r="F9957" t="str">
        <f t="shared" si="1925"/>
        <v>COM</v>
      </c>
      <c r="G9957" t="str">
        <f>"ALBERTO FARIAS DOS SANTOS JUNIOR (800)"</f>
        <v>ALBERTO FARIAS DOS SANTOS JUNIOR (800)</v>
      </c>
      <c r="H9957" t="s">
        <v>50</v>
      </c>
      <c r="I9957" t="str">
        <f>("12/11/2025")</f>
        <v>12/11/2025</v>
      </c>
      <c r="J9957" t="str">
        <f>("10/05/2025")</f>
        <v>10/05/2025</v>
      </c>
      <c r="K9957">
        <v>45974</v>
      </c>
      <c r="N9957">
        <v>106</v>
      </c>
      <c r="O9957" t="s">
        <v>51</v>
      </c>
      <c r="Q9957">
        <v>20</v>
      </c>
      <c r="R9957" t="str">
        <f>"ALBERTO FARIAS DOS SANTOS JUNIOR (800)"</f>
        <v>ALBERTO FARIAS DOS SANTOS JUNIOR (800)</v>
      </c>
      <c r="S9957" t="s">
        <v>52</v>
      </c>
      <c r="T9957">
        <v>20908</v>
      </c>
      <c r="U9957">
        <v>16405</v>
      </c>
      <c r="V9957" t="s">
        <v>48</v>
      </c>
    </row>
    <row r="9958" spans="1:22">
      <c r="A9958" t="str">
        <f t="shared" si="1939"/>
        <v>13/11/2025</v>
      </c>
      <c r="B9958" t="str">
        <f>"SAÍDA"</f>
        <v>SAÍDA</v>
      </c>
      <c r="C9958" t="str">
        <f>"PIX"</f>
        <v>PIX</v>
      </c>
      <c r="D9958" t="str">
        <f>"25250"</f>
        <v>25250</v>
      </c>
      <c r="E9958" t="str">
        <f>"1"</f>
        <v>1</v>
      </c>
      <c r="F9958" t="str">
        <f t="shared" si="1925"/>
        <v>COM</v>
      </c>
      <c r="G9958" t="str">
        <f>"ALBERTO FARIAS DOS SANTOS JUNIOR (800)"</f>
        <v>ALBERTO FARIAS DOS SANTOS JUNIOR (800)</v>
      </c>
      <c r="H9958" t="str">
        <f>"Serv.Prest. 03/11/2025 a 09/11/2025 - PIX: CELULAR - CHAVE: (71) 99696-7530"</f>
        <v>Serv.Prest. 03/11/2025 a 09/11/2025 - PIX: CELULAR - CHAVE: (71) 99696-7530</v>
      </c>
      <c r="I9958" t="str">
        <f>("13/11/2025")</f>
        <v>13/11/2025</v>
      </c>
      <c r="J9958" t="str">
        <f>("11/11/2025")</f>
        <v>11/11/2025</v>
      </c>
      <c r="K9958" t="str">
        <f>("13/11/2025")</f>
        <v>13/11/2025</v>
      </c>
      <c r="L9958">
        <v>20</v>
      </c>
      <c r="M9958">
        <v>20</v>
      </c>
      <c r="N9958">
        <v>109</v>
      </c>
      <c r="O9958" t="str">
        <f>"PAGAMENTO DE ENTREGADORES"</f>
        <v>PAGAMENTO DE ENTREGADORES</v>
      </c>
      <c r="P9958">
        <v>20</v>
      </c>
      <c r="S9958" t="str">
        <f>"CAIXA MOVIMENTAÇÃO OPERACIONAL (132)"</f>
        <v>CAIXA MOVIMENTAÇÃO OPERACIONAL (132)</v>
      </c>
      <c r="T9958">
        <v>20909</v>
      </c>
      <c r="U9958">
        <v>25318</v>
      </c>
      <c r="V9958" t="s">
        <v>48</v>
      </c>
    </row>
    <row r="9959" spans="1:22">
      <c r="A9959" t="str">
        <f t="shared" si="1939"/>
        <v>13/11/2025</v>
      </c>
      <c r="B9959" t="str">
        <f>"SAÍDA"</f>
        <v>SAÍDA</v>
      </c>
      <c r="C9959" t="str">
        <f>"PIX"</f>
        <v>PIX</v>
      </c>
      <c r="D9959" t="str">
        <f>"25250"</f>
        <v>25250</v>
      </c>
      <c r="E9959" t="str">
        <f>"1"</f>
        <v>1</v>
      </c>
      <c r="F9959" t="str">
        <f t="shared" si="1925"/>
        <v>COM</v>
      </c>
      <c r="G9959" t="str">
        <f>"ALBERTO FARIAS DOS SANTOS JUNIOR (800)"</f>
        <v>ALBERTO FARIAS DOS SANTOS JUNIOR (800)</v>
      </c>
      <c r="H9959" t="s">
        <v>2807</v>
      </c>
      <c r="I9959" t="str">
        <f>("13/11/2025")</f>
        <v>13/11/2025</v>
      </c>
      <c r="J9959" t="str">
        <f>("11/11/2025")</f>
        <v>11/11/2025</v>
      </c>
      <c r="K9959">
        <v>45974</v>
      </c>
      <c r="N9959">
        <v>109</v>
      </c>
      <c r="O9959" t="s">
        <v>24</v>
      </c>
      <c r="Q9959">
        <v>20</v>
      </c>
      <c r="R9959" t="str">
        <f>"DELTA LOJA 2 (10123)"</f>
        <v>DELTA LOJA 2 (10123)</v>
      </c>
      <c r="S9959" t="s">
        <v>48</v>
      </c>
      <c r="T9959">
        <v>20909</v>
      </c>
      <c r="U9959">
        <v>25318</v>
      </c>
      <c r="V9959" t="s">
        <v>48</v>
      </c>
    </row>
    <row r="9960" spans="1:22">
      <c r="A9960" t="str">
        <f t="shared" si="1939"/>
        <v>13/11/2025</v>
      </c>
      <c r="B9960" t="str">
        <f>"ENTRADA"</f>
        <v>ENTRADA</v>
      </c>
      <c r="C9960" t="str">
        <f>"DINHEIRO"</f>
        <v>DINHEIRO</v>
      </c>
      <c r="D9960" t="str">
        <f>"714"</f>
        <v>714</v>
      </c>
      <c r="E9960" t="str">
        <f>"7"</f>
        <v>7</v>
      </c>
      <c r="F9960" t="str">
        <f t="shared" si="1925"/>
        <v>COM</v>
      </c>
      <c r="G9960" t="str">
        <f>"ALEXANDRE DA CONCEI????O (714)"</f>
        <v>ALEXANDRE DA CONCEI????O (714)</v>
      </c>
      <c r="H9960" t="str">
        <f>"COTA COOPERATIVA"</f>
        <v>COTA COOPERATIVA</v>
      </c>
      <c r="I9960" t="str">
        <f>("08/11/2025")</f>
        <v>08/11/2025</v>
      </c>
      <c r="J9960" t="str">
        <f>("10/04/2025")</f>
        <v>10/04/2025</v>
      </c>
      <c r="K9960" t="str">
        <f>("13/11/2025")</f>
        <v>13/11/2025</v>
      </c>
      <c r="L9960">
        <v>20</v>
      </c>
      <c r="M9960">
        <v>20</v>
      </c>
      <c r="N9960">
        <v>106</v>
      </c>
      <c r="O9960" t="str">
        <f>"ENTRADA DE CAPITAL"</f>
        <v>ENTRADA DE CAPITAL</v>
      </c>
      <c r="P9960">
        <v>20</v>
      </c>
      <c r="S9960" t="str">
        <f>"ENTRADA DE CAPITAL (106)"</f>
        <v>ENTRADA DE CAPITAL (106)</v>
      </c>
      <c r="T9960">
        <v>20910</v>
      </c>
      <c r="U9960">
        <v>13664</v>
      </c>
      <c r="V9960" t="s">
        <v>48</v>
      </c>
    </row>
    <row r="9961" spans="1:22">
      <c r="A9961" t="str">
        <f t="shared" si="1939"/>
        <v>13/11/2025</v>
      </c>
      <c r="B9961" t="str">
        <f>"ENTRADA"</f>
        <v>ENTRADA</v>
      </c>
      <c r="C9961" t="str">
        <f>"DINHEIRO"</f>
        <v>DINHEIRO</v>
      </c>
      <c r="D9961" t="str">
        <f>"714"</f>
        <v>714</v>
      </c>
      <c r="E9961" t="str">
        <f>"7"</f>
        <v>7</v>
      </c>
      <c r="F9961" t="str">
        <f t="shared" si="1925"/>
        <v>COM</v>
      </c>
      <c r="G9961" t="str">
        <f>"ALEXANDRE DA CONCEI????O (714)"</f>
        <v>ALEXANDRE DA CONCEI????O (714)</v>
      </c>
      <c r="H9961" t="s">
        <v>50</v>
      </c>
      <c r="I9961" t="str">
        <f>("08/11/2025")</f>
        <v>08/11/2025</v>
      </c>
      <c r="J9961" t="str">
        <f>("10/04/2025")</f>
        <v>10/04/2025</v>
      </c>
      <c r="K9961">
        <v>45974</v>
      </c>
      <c r="N9961">
        <v>106</v>
      </c>
      <c r="O9961" t="s">
        <v>51</v>
      </c>
      <c r="Q9961">
        <v>20</v>
      </c>
      <c r="R9961" t="str">
        <f>"ALEXANDRE DA CONCEI????O (714)"</f>
        <v>ALEXANDRE DA CONCEI????O (714)</v>
      </c>
      <c r="S9961" t="s">
        <v>52</v>
      </c>
      <c r="T9961">
        <v>20910</v>
      </c>
      <c r="U9961">
        <v>13664</v>
      </c>
      <c r="V9961" t="s">
        <v>48</v>
      </c>
    </row>
    <row r="9962" spans="1:22">
      <c r="A9962" t="str">
        <f t="shared" si="1939"/>
        <v>13/11/2025</v>
      </c>
      <c r="B9962" t="str">
        <f>"SAÍDA"</f>
        <v>SAÍDA</v>
      </c>
      <c r="C9962" t="str">
        <f>"PIX"</f>
        <v>PIX</v>
      </c>
      <c r="D9962" t="str">
        <f>"24883"</f>
        <v>24883</v>
      </c>
      <c r="E9962" t="str">
        <f>"1"</f>
        <v>1</v>
      </c>
      <c r="F9962" t="str">
        <f t="shared" si="1925"/>
        <v>COM</v>
      </c>
      <c r="G9962" t="str">
        <f>"ALEXANDRE DA CONCEICAO (714)"</f>
        <v>ALEXANDRE DA CONCEICAO (714)</v>
      </c>
      <c r="H9962" t="str">
        <f>"Serv.Prest. 27/10/2025 a 02/11/2025 - PIX: CPF - CHAVE: 975.425.989-53"</f>
        <v>Serv.Prest. 27/10/2025 a 02/11/2025 - PIX: CPF - CHAVE: 975.425.989-53</v>
      </c>
      <c r="I9962" t="str">
        <f>("13/11/2025")</f>
        <v>13/11/2025</v>
      </c>
      <c r="J9962" t="str">
        <f>("05/11/2025")</f>
        <v>05/11/2025</v>
      </c>
      <c r="K9962" t="str">
        <f>("13/11/2025")</f>
        <v>13/11/2025</v>
      </c>
      <c r="L9962">
        <v>20</v>
      </c>
      <c r="M9962">
        <v>20</v>
      </c>
      <c r="N9962">
        <v>109</v>
      </c>
      <c r="O9962" t="str">
        <f>"PAGAMENTO DE ENTREGADORES"</f>
        <v>PAGAMENTO DE ENTREGADORES</v>
      </c>
      <c r="P9962">
        <v>20</v>
      </c>
      <c r="S9962" t="str">
        <f>"CAIXA MOVIMENTAÇÃO OPERACIONAL (132)"</f>
        <v>CAIXA MOVIMENTAÇÃO OPERACIONAL (132)</v>
      </c>
      <c r="T9962">
        <v>20911</v>
      </c>
      <c r="U9962">
        <v>25319</v>
      </c>
      <c r="V9962" t="s">
        <v>48</v>
      </c>
    </row>
    <row r="9963" spans="1:22">
      <c r="A9963" t="str">
        <f t="shared" si="1939"/>
        <v>13/11/2025</v>
      </c>
      <c r="B9963" t="str">
        <f>"SAÍDA"</f>
        <v>SAÍDA</v>
      </c>
      <c r="C9963" t="str">
        <f>"PIX"</f>
        <v>PIX</v>
      </c>
      <c r="D9963" t="str">
        <f>"24883"</f>
        <v>24883</v>
      </c>
      <c r="E9963" t="str">
        <f>"1"</f>
        <v>1</v>
      </c>
      <c r="F9963" t="str">
        <f t="shared" si="1925"/>
        <v>COM</v>
      </c>
      <c r="G9963" t="str">
        <f>"ALEXANDRE DA CONCEICAO (714)"</f>
        <v>ALEXANDRE DA CONCEICAO (714)</v>
      </c>
      <c r="H9963" t="s">
        <v>2808</v>
      </c>
      <c r="I9963" t="str">
        <f>("13/11/2025")</f>
        <v>13/11/2025</v>
      </c>
      <c r="J9963" t="str">
        <f>("05/11/2025")</f>
        <v>05/11/2025</v>
      </c>
      <c r="K9963">
        <v>45974</v>
      </c>
      <c r="N9963">
        <v>109</v>
      </c>
      <c r="O9963" t="s">
        <v>24</v>
      </c>
      <c r="Q9963">
        <v>20</v>
      </c>
      <c r="R9963" t="str">
        <f>"AC FARMA - CID.ALTA (10166)"</f>
        <v>AC FARMA - CID.ALTA (10166)</v>
      </c>
      <c r="S9963" t="s">
        <v>48</v>
      </c>
      <c r="T9963">
        <v>20911</v>
      </c>
      <c r="U9963">
        <v>25319</v>
      </c>
      <c r="V9963" t="s">
        <v>48</v>
      </c>
    </row>
    <row r="9964" spans="1:22">
      <c r="A9964" t="str">
        <f t="shared" si="1939"/>
        <v>13/11/2025</v>
      </c>
      <c r="B9964" t="str">
        <f>"ENTRADA"</f>
        <v>ENTRADA</v>
      </c>
      <c r="C9964" t="str">
        <f>"DINHEIRO"</f>
        <v>DINHEIRO</v>
      </c>
      <c r="D9964" t="str">
        <f>"808"</f>
        <v>808</v>
      </c>
      <c r="E9964" t="str">
        <f>"5"</f>
        <v>5</v>
      </c>
      <c r="F9964" t="str">
        <f t="shared" si="1925"/>
        <v>COM</v>
      </c>
      <c r="G9964" t="str">
        <f>"ALEXSANDRO HENRIQUE FERREIRA (808)"</f>
        <v>ALEXSANDRO HENRIQUE FERREIRA (808)</v>
      </c>
      <c r="H9964" t="str">
        <f>"COTA COOPERATIVA"</f>
        <v>COTA COOPERATIVA</v>
      </c>
      <c r="I9964" t="str">
        <f>("10/11/2025")</f>
        <v>10/11/2025</v>
      </c>
      <c r="J9964" t="str">
        <f>("19/05/2025")</f>
        <v>19/05/2025</v>
      </c>
      <c r="K9964" t="str">
        <f>("13/11/2025")</f>
        <v>13/11/2025</v>
      </c>
      <c r="L9964">
        <v>20</v>
      </c>
      <c r="M9964">
        <v>20</v>
      </c>
      <c r="N9964">
        <v>106</v>
      </c>
      <c r="O9964" t="str">
        <f>"ENTRADA DE CAPITAL"</f>
        <v>ENTRADA DE CAPITAL</v>
      </c>
      <c r="P9964">
        <v>20</v>
      </c>
      <c r="S9964" t="str">
        <f>"ENTRADA DE CAPITAL (106)"</f>
        <v>ENTRADA DE CAPITAL (106)</v>
      </c>
      <c r="T9964">
        <v>20912</v>
      </c>
      <c r="U9964">
        <v>18086</v>
      </c>
      <c r="V9964" t="s">
        <v>48</v>
      </c>
    </row>
    <row r="9965" spans="1:22">
      <c r="A9965" t="str">
        <f t="shared" si="1939"/>
        <v>13/11/2025</v>
      </c>
      <c r="B9965" t="str">
        <f>"ENTRADA"</f>
        <v>ENTRADA</v>
      </c>
      <c r="C9965" t="str">
        <f>"DINHEIRO"</f>
        <v>DINHEIRO</v>
      </c>
      <c r="D9965" t="str">
        <f>"808"</f>
        <v>808</v>
      </c>
      <c r="E9965" t="str">
        <f>"5"</f>
        <v>5</v>
      </c>
      <c r="F9965" t="str">
        <f t="shared" si="1925"/>
        <v>COM</v>
      </c>
      <c r="G9965" t="str">
        <f>"ALEXSANDRO HENRIQUE FERREIRA (808)"</f>
        <v>ALEXSANDRO HENRIQUE FERREIRA (808)</v>
      </c>
      <c r="H9965" t="s">
        <v>50</v>
      </c>
      <c r="I9965" t="str">
        <f>("10/11/2025")</f>
        <v>10/11/2025</v>
      </c>
      <c r="J9965" t="str">
        <f>("19/05/2025")</f>
        <v>19/05/2025</v>
      </c>
      <c r="K9965">
        <v>45974</v>
      </c>
      <c r="N9965">
        <v>106</v>
      </c>
      <c r="O9965" t="s">
        <v>51</v>
      </c>
      <c r="Q9965">
        <v>20</v>
      </c>
      <c r="R9965" t="str">
        <f>"ALEXSANDRO HENRIQUE FERREIRA (808)"</f>
        <v>ALEXSANDRO HENRIQUE FERREIRA (808)</v>
      </c>
      <c r="S9965" t="s">
        <v>52</v>
      </c>
      <c r="T9965">
        <v>20912</v>
      </c>
      <c r="U9965">
        <v>18086</v>
      </c>
      <c r="V9965" t="s">
        <v>48</v>
      </c>
    </row>
    <row r="9966" spans="1:22">
      <c r="A9966" t="str">
        <f t="shared" si="1939"/>
        <v>13/11/2025</v>
      </c>
      <c r="B9966" t="str">
        <f>"SAÍDA"</f>
        <v>SAÍDA</v>
      </c>
      <c r="C9966" t="str">
        <f>"PIX"</f>
        <v>PIX</v>
      </c>
      <c r="D9966" t="str">
        <f>"25015"</f>
        <v>25015</v>
      </c>
      <c r="E9966" t="str">
        <f>"1"</f>
        <v>1</v>
      </c>
      <c r="F9966" t="str">
        <f t="shared" si="1925"/>
        <v>COM</v>
      </c>
      <c r="G9966" t="str">
        <f>"ALEXSANDRO HENRIQUE FERREIRA (808)"</f>
        <v>ALEXSANDRO HENRIQUE FERREIRA (808)</v>
      </c>
      <c r="H9966" t="str">
        <f>"Serv.Prest. 03/11/2025 a 09/11/2025 - PIX: CPF - CHAVE: 157.591.436-03"</f>
        <v>Serv.Prest. 03/11/2025 a 09/11/2025 - PIX: CPF - CHAVE: 157.591.436-03</v>
      </c>
      <c r="I9966" t="str">
        <f>("13/11/2025")</f>
        <v>13/11/2025</v>
      </c>
      <c r="J9966" t="str">
        <f>("10/11/2025")</f>
        <v>10/11/2025</v>
      </c>
      <c r="K9966" t="str">
        <f>("13/11/2025")</f>
        <v>13/11/2025</v>
      </c>
      <c r="L9966">
        <v>20</v>
      </c>
      <c r="M9966">
        <v>20</v>
      </c>
      <c r="N9966">
        <v>109</v>
      </c>
      <c r="O9966" t="str">
        <f>"PAGAMENTO DE ENTREGADORES"</f>
        <v>PAGAMENTO DE ENTREGADORES</v>
      </c>
      <c r="P9966">
        <v>20</v>
      </c>
      <c r="S9966" t="str">
        <f>"CAIXA MOVIMENTAÇÃO OPERACIONAL (132)"</f>
        <v>CAIXA MOVIMENTAÇÃO OPERACIONAL (132)</v>
      </c>
      <c r="T9966">
        <v>20913</v>
      </c>
      <c r="U9966">
        <v>25320</v>
      </c>
      <c r="V9966" t="s">
        <v>48</v>
      </c>
    </row>
    <row r="9967" spans="1:22">
      <c r="A9967" t="str">
        <f t="shared" si="1939"/>
        <v>13/11/2025</v>
      </c>
      <c r="B9967" t="str">
        <f>"SAÍDA"</f>
        <v>SAÍDA</v>
      </c>
      <c r="C9967" t="str">
        <f>"PIX"</f>
        <v>PIX</v>
      </c>
      <c r="D9967" t="str">
        <f>"25015"</f>
        <v>25015</v>
      </c>
      <c r="E9967" t="str">
        <f>"1"</f>
        <v>1</v>
      </c>
      <c r="F9967" t="str">
        <f t="shared" si="1925"/>
        <v>COM</v>
      </c>
      <c r="G9967" t="str">
        <f>"ALEXSANDRO HENRIQUE FERREIRA (808)"</f>
        <v>ALEXSANDRO HENRIQUE FERREIRA (808)</v>
      </c>
      <c r="H9967" t="s">
        <v>2809</v>
      </c>
      <c r="I9967" t="str">
        <f>("13/11/2025")</f>
        <v>13/11/2025</v>
      </c>
      <c r="J9967" t="str">
        <f>("10/11/2025")</f>
        <v>10/11/2025</v>
      </c>
      <c r="K9967">
        <v>45974</v>
      </c>
      <c r="N9967">
        <v>109</v>
      </c>
      <c r="O9967" t="s">
        <v>24</v>
      </c>
      <c r="Q9967">
        <v>20</v>
      </c>
      <c r="R9967" t="str">
        <f>"DROGARIA ANA VISCONDE DO RIO BRANCO (10182)"</f>
        <v>DROGARIA ANA VISCONDE DO RIO BRANCO (10182)</v>
      </c>
      <c r="S9967" t="s">
        <v>48</v>
      </c>
      <c r="T9967">
        <v>20913</v>
      </c>
      <c r="U9967">
        <v>25320</v>
      </c>
      <c r="V9967" t="s">
        <v>48</v>
      </c>
    </row>
    <row r="9968" spans="1:22">
      <c r="A9968" t="str">
        <f t="shared" si="1939"/>
        <v>13/11/2025</v>
      </c>
      <c r="B9968" t="str">
        <f>"ENTRADA"</f>
        <v>ENTRADA</v>
      </c>
      <c r="C9968" t="str">
        <f>"DINHEIRO"</f>
        <v>DINHEIRO</v>
      </c>
      <c r="D9968" t="str">
        <f>"794"</f>
        <v>794</v>
      </c>
      <c r="E9968" t="str">
        <f>"6"</f>
        <v>6</v>
      </c>
      <c r="F9968" t="str">
        <f t="shared" si="1925"/>
        <v>COM</v>
      </c>
      <c r="G9968" t="str">
        <f t="shared" ref="G9968:G9973" si="1940">"AMANDA VERÍSSIMO FERREIRA (794)"</f>
        <v>AMANDA VERÍSSIMO FERREIRA (794)</v>
      </c>
      <c r="H9968" t="str">
        <f>"COTA COOPERATIVA"</f>
        <v>COTA COOPERATIVA</v>
      </c>
      <c r="I9968" t="str">
        <f>("12/11/2025")</f>
        <v>12/11/2025</v>
      </c>
      <c r="J9968" t="str">
        <f>("05/05/2025")</f>
        <v>05/05/2025</v>
      </c>
      <c r="K9968" t="str">
        <f>("13/11/2025")</f>
        <v>13/11/2025</v>
      </c>
      <c r="L9968">
        <v>20</v>
      </c>
      <c r="M9968">
        <v>20</v>
      </c>
      <c r="N9968">
        <v>106</v>
      </c>
      <c r="O9968" t="str">
        <f>"ENTRADA DE CAPITAL"</f>
        <v>ENTRADA DE CAPITAL</v>
      </c>
      <c r="P9968">
        <v>20</v>
      </c>
      <c r="S9968" t="str">
        <f>"ENTRADA DE CAPITAL (106)"</f>
        <v>ENTRADA DE CAPITAL (106)</v>
      </c>
      <c r="T9968">
        <v>20914</v>
      </c>
      <c r="U9968">
        <v>16457</v>
      </c>
      <c r="V9968" t="s">
        <v>48</v>
      </c>
    </row>
    <row r="9969" spans="1:22">
      <c r="A9969" t="str">
        <f t="shared" si="1939"/>
        <v>13/11/2025</v>
      </c>
      <c r="B9969" t="str">
        <f>"ENTRADA"</f>
        <v>ENTRADA</v>
      </c>
      <c r="C9969" t="str">
        <f>"DINHEIRO"</f>
        <v>DINHEIRO</v>
      </c>
      <c r="D9969" t="str">
        <f>"794"</f>
        <v>794</v>
      </c>
      <c r="E9969" t="str">
        <f>"6"</f>
        <v>6</v>
      </c>
      <c r="F9969" t="str">
        <f t="shared" si="1925"/>
        <v>COM</v>
      </c>
      <c r="G9969" t="str">
        <f t="shared" si="1940"/>
        <v>AMANDA VERÍSSIMO FERREIRA (794)</v>
      </c>
      <c r="H9969" t="s">
        <v>50</v>
      </c>
      <c r="I9969" t="str">
        <f>("12/11/2025")</f>
        <v>12/11/2025</v>
      </c>
      <c r="J9969" t="str">
        <f>("05/05/2025")</f>
        <v>05/05/2025</v>
      </c>
      <c r="K9969">
        <v>45974</v>
      </c>
      <c r="N9969">
        <v>106</v>
      </c>
      <c r="O9969" t="s">
        <v>51</v>
      </c>
      <c r="Q9969">
        <v>20</v>
      </c>
      <c r="R9969" t="str">
        <f>"AMANDA VERÍSSIMO FERREIRA (794)"</f>
        <v>AMANDA VERÍSSIMO FERREIRA (794)</v>
      </c>
      <c r="S9969" t="s">
        <v>52</v>
      </c>
      <c r="T9969">
        <v>20914</v>
      </c>
      <c r="U9969">
        <v>16457</v>
      </c>
      <c r="V9969" t="s">
        <v>48</v>
      </c>
    </row>
    <row r="9970" spans="1:22">
      <c r="A9970" t="str">
        <f t="shared" si="1939"/>
        <v>13/11/2025</v>
      </c>
      <c r="B9970" t="str">
        <f>"SAÍDA"</f>
        <v>SAÍDA</v>
      </c>
      <c r="C9970" t="str">
        <f>"PIX"</f>
        <v>PIX</v>
      </c>
      <c r="D9970" t="str">
        <f>"24730"</f>
        <v>24730</v>
      </c>
      <c r="E9970" t="str">
        <f>"1"</f>
        <v>1</v>
      </c>
      <c r="F9970" t="str">
        <f t="shared" si="1925"/>
        <v>COM</v>
      </c>
      <c r="G9970" t="str">
        <f t="shared" si="1940"/>
        <v>AMANDA VERÍSSIMO FERREIRA (794)</v>
      </c>
      <c r="H9970" t="str">
        <f>"Serv.Prest. 24/10/2025 a 02/11/2025 - PIX: CPF - CHAVE: 099.626.666-60"</f>
        <v>Serv.Prest. 24/10/2025 a 02/11/2025 - PIX: CPF - CHAVE: 099.626.666-60</v>
      </c>
      <c r="I9970" t="str">
        <f>("13/11/2025")</f>
        <v>13/11/2025</v>
      </c>
      <c r="J9970" t="str">
        <f>("04/11/2025")</f>
        <v>04/11/2025</v>
      </c>
      <c r="K9970" t="str">
        <f>("13/11/2025")</f>
        <v>13/11/2025</v>
      </c>
      <c r="L9970">
        <v>20</v>
      </c>
      <c r="M9970">
        <v>20</v>
      </c>
      <c r="N9970">
        <v>109</v>
      </c>
      <c r="O9970" t="str">
        <f>"PAGAMENTO DE ENTREGADORES"</f>
        <v>PAGAMENTO DE ENTREGADORES</v>
      </c>
      <c r="P9970">
        <v>20</v>
      </c>
      <c r="S9970" t="str">
        <f>"CAIXA MOVIMENTAÇÃO OPERACIONAL (132)"</f>
        <v>CAIXA MOVIMENTAÇÃO OPERACIONAL (132)</v>
      </c>
      <c r="T9970">
        <v>20915</v>
      </c>
      <c r="U9970">
        <v>25321</v>
      </c>
      <c r="V9970" t="s">
        <v>48</v>
      </c>
    </row>
    <row r="9971" spans="1:22">
      <c r="A9971" t="str">
        <f t="shared" si="1939"/>
        <v>13/11/2025</v>
      </c>
      <c r="B9971" t="str">
        <f>"SAÍDA"</f>
        <v>SAÍDA</v>
      </c>
      <c r="C9971" t="str">
        <f>"PIX"</f>
        <v>PIX</v>
      </c>
      <c r="D9971" t="str">
        <f>"24730"</f>
        <v>24730</v>
      </c>
      <c r="E9971" t="str">
        <f>"1"</f>
        <v>1</v>
      </c>
      <c r="F9971" t="str">
        <f t="shared" si="1925"/>
        <v>COM</v>
      </c>
      <c r="G9971" t="str">
        <f t="shared" si="1940"/>
        <v>AMANDA VERÍSSIMO FERREIRA (794)</v>
      </c>
      <c r="H9971" t="s">
        <v>2810</v>
      </c>
      <c r="I9971" t="str">
        <f>("13/11/2025")</f>
        <v>13/11/2025</v>
      </c>
      <c r="J9971" t="str">
        <f>("04/11/2025")</f>
        <v>04/11/2025</v>
      </c>
      <c r="K9971">
        <v>45974</v>
      </c>
      <c r="N9971">
        <v>109</v>
      </c>
      <c r="O9971" t="s">
        <v>24</v>
      </c>
      <c r="Q9971">
        <v>7.5</v>
      </c>
      <c r="R9971" t="str">
        <f>"FARMÁCIA INDIANA LJ 97 (10040)"</f>
        <v>FARMÁCIA INDIANA LJ 97 (10040)</v>
      </c>
      <c r="S9971" t="s">
        <v>48</v>
      </c>
      <c r="T9971">
        <v>20915</v>
      </c>
      <c r="U9971">
        <v>25321</v>
      </c>
      <c r="V9971" t="s">
        <v>48</v>
      </c>
    </row>
    <row r="9972" spans="1:22">
      <c r="A9972" t="str">
        <f t="shared" si="1939"/>
        <v>13/11/2025</v>
      </c>
      <c r="B9972" t="str">
        <f>"SAÍDA"</f>
        <v>SAÍDA</v>
      </c>
      <c r="C9972" t="str">
        <f>"PIX"</f>
        <v>PIX</v>
      </c>
      <c r="D9972" t="str">
        <f>"24730"</f>
        <v>24730</v>
      </c>
      <c r="E9972" t="str">
        <f>"1"</f>
        <v>1</v>
      </c>
      <c r="F9972" t="str">
        <f t="shared" si="1925"/>
        <v>COM</v>
      </c>
      <c r="G9972" t="str">
        <f t="shared" si="1940"/>
        <v>AMANDA VERÍSSIMO FERREIRA (794)</v>
      </c>
      <c r="H9972" t="s">
        <v>2810</v>
      </c>
      <c r="I9972" t="str">
        <f>("13/11/2025")</f>
        <v>13/11/2025</v>
      </c>
      <c r="J9972" t="str">
        <f>("04/11/2025")</f>
        <v>04/11/2025</v>
      </c>
      <c r="K9972">
        <v>45974</v>
      </c>
      <c r="N9972">
        <v>109</v>
      </c>
      <c r="O9972" t="s">
        <v>24</v>
      </c>
      <c r="Q9972">
        <v>5.5</v>
      </c>
      <c r="R9972" t="str">
        <f>"FARMÁCIA INDIANA LJ 111 (10049)"</f>
        <v>FARMÁCIA INDIANA LJ 111 (10049)</v>
      </c>
      <c r="S9972" t="s">
        <v>48</v>
      </c>
      <c r="T9972">
        <v>20915</v>
      </c>
      <c r="U9972">
        <v>25321</v>
      </c>
      <c r="V9972" t="s">
        <v>48</v>
      </c>
    </row>
    <row r="9973" spans="1:22">
      <c r="A9973" t="str">
        <f t="shared" si="1939"/>
        <v>13/11/2025</v>
      </c>
      <c r="B9973" t="str">
        <f>"SAÍDA"</f>
        <v>SAÍDA</v>
      </c>
      <c r="C9973" t="str">
        <f>"PIX"</f>
        <v>PIX</v>
      </c>
      <c r="D9973" t="str">
        <f>"24730"</f>
        <v>24730</v>
      </c>
      <c r="E9973" t="str">
        <f>"1"</f>
        <v>1</v>
      </c>
      <c r="F9973" t="str">
        <f t="shared" si="1925"/>
        <v>COM</v>
      </c>
      <c r="G9973" t="str">
        <f t="shared" si="1940"/>
        <v>AMANDA VERÍSSIMO FERREIRA (794)</v>
      </c>
      <c r="H9973" t="s">
        <v>2810</v>
      </c>
      <c r="I9973" t="str">
        <f>("13/11/2025")</f>
        <v>13/11/2025</v>
      </c>
      <c r="J9973" t="str">
        <f>("04/11/2025")</f>
        <v>04/11/2025</v>
      </c>
      <c r="K9973">
        <v>45974</v>
      </c>
      <c r="N9973">
        <v>109</v>
      </c>
      <c r="O9973" t="s">
        <v>24</v>
      </c>
      <c r="Q9973">
        <v>7</v>
      </c>
      <c r="R9973" t="str">
        <f>"FARMÁCIA INDIANA LJ 143 (10067)"</f>
        <v>FARMÁCIA INDIANA LJ 143 (10067)</v>
      </c>
      <c r="S9973" t="s">
        <v>48</v>
      </c>
      <c r="T9973">
        <v>20915</v>
      </c>
      <c r="U9973">
        <v>25321</v>
      </c>
      <c r="V9973" t="s">
        <v>48</v>
      </c>
    </row>
    <row r="9974" spans="1:22">
      <c r="A9974" t="str">
        <f t="shared" si="1939"/>
        <v>13/11/2025</v>
      </c>
      <c r="B9974" t="str">
        <f>"ENTRADA"</f>
        <v>ENTRADA</v>
      </c>
      <c r="C9974" t="str">
        <f>"DINHEIRO"</f>
        <v>DINHEIRO</v>
      </c>
      <c r="D9974" t="str">
        <f>"807"</f>
        <v>807</v>
      </c>
      <c r="E9974" t="str">
        <f>"6"</f>
        <v>6</v>
      </c>
      <c r="F9974" t="str">
        <f t="shared" si="1925"/>
        <v>COM</v>
      </c>
      <c r="G9974" t="str">
        <f>"ANDERSON LUIZ SOARES (807)"</f>
        <v>ANDERSON LUIZ SOARES (807)</v>
      </c>
      <c r="H9974" t="str">
        <f>"COTA COOPERATIVA"</f>
        <v>COTA COOPERATIVA</v>
      </c>
      <c r="I9974" t="str">
        <f>("12/11/2025")</f>
        <v>12/11/2025</v>
      </c>
      <c r="J9974" t="str">
        <f>("15/05/2025")</f>
        <v>15/05/2025</v>
      </c>
      <c r="K9974" t="str">
        <f>("13/11/2025")</f>
        <v>13/11/2025</v>
      </c>
      <c r="L9974">
        <v>20</v>
      </c>
      <c r="M9974">
        <v>20</v>
      </c>
      <c r="N9974">
        <v>106</v>
      </c>
      <c r="O9974" t="str">
        <f>"ENTRADA DE CAPITAL"</f>
        <v>ENTRADA DE CAPITAL</v>
      </c>
      <c r="P9974">
        <v>20</v>
      </c>
      <c r="S9974" t="str">
        <f>"ENTRADA DE CAPITAL (106)"</f>
        <v>ENTRADA DE CAPITAL (106)</v>
      </c>
      <c r="T9974">
        <v>20916</v>
      </c>
      <c r="U9974">
        <v>16483</v>
      </c>
      <c r="V9974" t="s">
        <v>48</v>
      </c>
    </row>
    <row r="9975" spans="1:22">
      <c r="A9975" t="str">
        <f t="shared" si="1939"/>
        <v>13/11/2025</v>
      </c>
      <c r="B9975" t="str">
        <f>"ENTRADA"</f>
        <v>ENTRADA</v>
      </c>
      <c r="C9975" t="str">
        <f>"DINHEIRO"</f>
        <v>DINHEIRO</v>
      </c>
      <c r="D9975" t="str">
        <f>"807"</f>
        <v>807</v>
      </c>
      <c r="E9975" t="str">
        <f>"6"</f>
        <v>6</v>
      </c>
      <c r="F9975" t="str">
        <f t="shared" ref="F9975:F10038" si="1941">"COM"</f>
        <v>COM</v>
      </c>
      <c r="G9975" t="str">
        <f>"ANDERSON LUIZ SOARES (807)"</f>
        <v>ANDERSON LUIZ SOARES (807)</v>
      </c>
      <c r="H9975" t="s">
        <v>50</v>
      </c>
      <c r="I9975" t="str">
        <f>("12/11/2025")</f>
        <v>12/11/2025</v>
      </c>
      <c r="J9975" t="str">
        <f>("15/05/2025")</f>
        <v>15/05/2025</v>
      </c>
      <c r="K9975">
        <v>45974</v>
      </c>
      <c r="N9975">
        <v>106</v>
      </c>
      <c r="O9975" t="s">
        <v>51</v>
      </c>
      <c r="Q9975">
        <v>20</v>
      </c>
      <c r="R9975" t="str">
        <f>"ANDERSON LUIZ SOARES (807)"</f>
        <v>ANDERSON LUIZ SOARES (807)</v>
      </c>
      <c r="S9975" t="s">
        <v>52</v>
      </c>
      <c r="T9975">
        <v>20916</v>
      </c>
      <c r="U9975">
        <v>16483</v>
      </c>
      <c r="V9975" t="s">
        <v>48</v>
      </c>
    </row>
    <row r="9976" spans="1:22">
      <c r="A9976" t="str">
        <f t="shared" si="1939"/>
        <v>13/11/2025</v>
      </c>
      <c r="B9976" t="str">
        <f>"SAÍDA"</f>
        <v>SAÍDA</v>
      </c>
      <c r="C9976" t="str">
        <f>"PIX"</f>
        <v>PIX</v>
      </c>
      <c r="D9976" t="str">
        <f>"25016"</f>
        <v>25016</v>
      </c>
      <c r="E9976" t="str">
        <f>"1"</f>
        <v>1</v>
      </c>
      <c r="F9976" t="str">
        <f t="shared" si="1941"/>
        <v>COM</v>
      </c>
      <c r="G9976" t="str">
        <f>"ANDERSON LUIZ SOARES (807)"</f>
        <v>ANDERSON LUIZ SOARES (807)</v>
      </c>
      <c r="H9976" t="str">
        <f>"Serv.Prest. 03/11/2025 a 09/11/2025 - PIX: CELULAR - CHAVE: (32) 99920-0416"</f>
        <v>Serv.Prest. 03/11/2025 a 09/11/2025 - PIX: CELULAR - CHAVE: (32) 99920-0416</v>
      </c>
      <c r="I9976" t="str">
        <f>("13/11/2025")</f>
        <v>13/11/2025</v>
      </c>
      <c r="J9976" t="str">
        <f>("10/11/2025")</f>
        <v>10/11/2025</v>
      </c>
      <c r="K9976" t="str">
        <f>("13/11/2025")</f>
        <v>13/11/2025</v>
      </c>
      <c r="L9976">
        <v>20</v>
      </c>
      <c r="M9976">
        <v>20</v>
      </c>
      <c r="N9976">
        <v>109</v>
      </c>
      <c r="O9976" t="str">
        <f>"PAGAMENTO DE ENTREGADORES"</f>
        <v>PAGAMENTO DE ENTREGADORES</v>
      </c>
      <c r="P9976">
        <v>20</v>
      </c>
      <c r="S9976" t="str">
        <f>"CAIXA MOVIMENTAÇÃO OPERACIONAL (132)"</f>
        <v>CAIXA MOVIMENTAÇÃO OPERACIONAL (132)</v>
      </c>
      <c r="T9976">
        <v>20917</v>
      </c>
      <c r="U9976">
        <v>25322</v>
      </c>
      <c r="V9976" t="s">
        <v>48</v>
      </c>
    </row>
    <row r="9977" spans="1:22">
      <c r="A9977" t="str">
        <f t="shared" si="1939"/>
        <v>13/11/2025</v>
      </c>
      <c r="B9977" t="str">
        <f>"SAÍDA"</f>
        <v>SAÍDA</v>
      </c>
      <c r="C9977" t="str">
        <f>"PIX"</f>
        <v>PIX</v>
      </c>
      <c r="D9977" t="str">
        <f>"25016"</f>
        <v>25016</v>
      </c>
      <c r="E9977" t="str">
        <f>"1"</f>
        <v>1</v>
      </c>
      <c r="F9977" t="str">
        <f t="shared" si="1941"/>
        <v>COM</v>
      </c>
      <c r="G9977" t="str">
        <f>"ANDERSON LUIZ SOARES (807)"</f>
        <v>ANDERSON LUIZ SOARES (807)</v>
      </c>
      <c r="H9977" t="s">
        <v>2811</v>
      </c>
      <c r="I9977" t="str">
        <f>("13/11/2025")</f>
        <v>13/11/2025</v>
      </c>
      <c r="J9977" t="str">
        <f>("10/11/2025")</f>
        <v>10/11/2025</v>
      </c>
      <c r="K9977">
        <v>45974</v>
      </c>
      <c r="N9977">
        <v>109</v>
      </c>
      <c r="O9977" t="s">
        <v>24</v>
      </c>
      <c r="Q9977">
        <v>20</v>
      </c>
      <c r="R9977" t="str">
        <f>"DROGARIA ANA VISCONDE DO RIO BRANCO (10182)"</f>
        <v>DROGARIA ANA VISCONDE DO RIO BRANCO (10182)</v>
      </c>
      <c r="S9977" t="s">
        <v>48</v>
      </c>
      <c r="T9977">
        <v>20917</v>
      </c>
      <c r="U9977">
        <v>25322</v>
      </c>
      <c r="V9977" t="s">
        <v>48</v>
      </c>
    </row>
    <row r="9978" spans="1:22">
      <c r="A9978" t="str">
        <f t="shared" si="1939"/>
        <v>13/11/2025</v>
      </c>
      <c r="B9978" t="str">
        <f>"ENTRADA"</f>
        <v>ENTRADA</v>
      </c>
      <c r="C9978" t="str">
        <f>"DINHEIRO"</f>
        <v>DINHEIRO</v>
      </c>
      <c r="D9978" t="str">
        <f>"746"</f>
        <v>746</v>
      </c>
      <c r="E9978" t="str">
        <f>"7"</f>
        <v>7</v>
      </c>
      <c r="F9978" t="str">
        <f t="shared" si="1941"/>
        <v>COM</v>
      </c>
      <c r="G9978" t="str">
        <f>"ANDERSON PEREIRA DOS SANTOS (746)"</f>
        <v>ANDERSON PEREIRA DOS SANTOS (746)</v>
      </c>
      <c r="H9978" t="str">
        <f>"COTA COOPERATIVA"</f>
        <v>COTA COOPERATIVA</v>
      </c>
      <c r="I9978" t="str">
        <f>("08/11/2025")</f>
        <v>08/11/2025</v>
      </c>
      <c r="J9978" t="str">
        <f>("11/04/2025")</f>
        <v>11/04/2025</v>
      </c>
      <c r="K9978" t="str">
        <f>("13/11/2025")</f>
        <v>13/11/2025</v>
      </c>
      <c r="L9978">
        <v>20</v>
      </c>
      <c r="M9978">
        <v>20</v>
      </c>
      <c r="N9978">
        <v>106</v>
      </c>
      <c r="O9978" t="str">
        <f>"ENTRADA DE CAPITAL"</f>
        <v>ENTRADA DE CAPITAL</v>
      </c>
      <c r="P9978">
        <v>20</v>
      </c>
      <c r="S9978" t="str">
        <f>"ENTRADA DE CAPITAL (106)"</f>
        <v>ENTRADA DE CAPITAL (106)</v>
      </c>
      <c r="T9978">
        <v>20918</v>
      </c>
      <c r="U9978">
        <v>13719</v>
      </c>
      <c r="V9978" t="s">
        <v>48</v>
      </c>
    </row>
    <row r="9979" spans="1:22">
      <c r="A9979" t="str">
        <f t="shared" si="1939"/>
        <v>13/11/2025</v>
      </c>
      <c r="B9979" t="str">
        <f>"ENTRADA"</f>
        <v>ENTRADA</v>
      </c>
      <c r="C9979" t="str">
        <f>"DINHEIRO"</f>
        <v>DINHEIRO</v>
      </c>
      <c r="D9979" t="str">
        <f>"746"</f>
        <v>746</v>
      </c>
      <c r="E9979" t="str">
        <f>"7"</f>
        <v>7</v>
      </c>
      <c r="F9979" t="str">
        <f t="shared" si="1941"/>
        <v>COM</v>
      </c>
      <c r="G9979" t="str">
        <f>"ANDERSON PEREIRA DOS SANTOS (746)"</f>
        <v>ANDERSON PEREIRA DOS SANTOS (746)</v>
      </c>
      <c r="H9979" t="s">
        <v>50</v>
      </c>
      <c r="I9979" t="str">
        <f>("08/11/2025")</f>
        <v>08/11/2025</v>
      </c>
      <c r="J9979" t="str">
        <f>("11/04/2025")</f>
        <v>11/04/2025</v>
      </c>
      <c r="K9979">
        <v>45974</v>
      </c>
      <c r="N9979">
        <v>106</v>
      </c>
      <c r="O9979" t="s">
        <v>51</v>
      </c>
      <c r="Q9979">
        <v>20</v>
      </c>
      <c r="R9979" t="str">
        <f>"ANDERSON PEREIRA DOS SANTOS (746)"</f>
        <v>ANDERSON PEREIRA DOS SANTOS (746)</v>
      </c>
      <c r="S9979" t="s">
        <v>52</v>
      </c>
      <c r="T9979">
        <v>20918</v>
      </c>
      <c r="U9979">
        <v>13719</v>
      </c>
      <c r="V9979" t="s">
        <v>48</v>
      </c>
    </row>
    <row r="9980" spans="1:22">
      <c r="A9980" t="str">
        <f t="shared" si="1939"/>
        <v>13/11/2025</v>
      </c>
      <c r="B9980" t="str">
        <f>"SAÍDA"</f>
        <v>SAÍDA</v>
      </c>
      <c r="C9980" t="str">
        <f>"PIX"</f>
        <v>PIX</v>
      </c>
      <c r="D9980" t="str">
        <f>"24835"</f>
        <v>24835</v>
      </c>
      <c r="E9980" t="str">
        <f>"1"</f>
        <v>1</v>
      </c>
      <c r="F9980" t="str">
        <f t="shared" si="1941"/>
        <v>COM</v>
      </c>
      <c r="G9980" t="str">
        <f>"ANDERSON PEREIRA DOS SANTOS (746)"</f>
        <v>ANDERSON PEREIRA DOS SANTOS (746)</v>
      </c>
      <c r="H9980" t="str">
        <f>"Serv.Prest. 24/10/2025 a 02/11/2025 - PIX: CPF - CHAVE: 079.930.865-07"</f>
        <v>Serv.Prest. 24/10/2025 a 02/11/2025 - PIX: CPF - CHAVE: 079.930.865-07</v>
      </c>
      <c r="I9980" t="str">
        <f>("13/11/2025")</f>
        <v>13/11/2025</v>
      </c>
      <c r="J9980" t="str">
        <f>("04/11/2025")</f>
        <v>04/11/2025</v>
      </c>
      <c r="K9980" t="str">
        <f>("13/11/2025")</f>
        <v>13/11/2025</v>
      </c>
      <c r="L9980">
        <v>20</v>
      </c>
      <c r="M9980">
        <v>20</v>
      </c>
      <c r="N9980">
        <v>109</v>
      </c>
      <c r="O9980" t="str">
        <f>"PAGAMENTO DE ENTREGADORES"</f>
        <v>PAGAMENTO DE ENTREGADORES</v>
      </c>
      <c r="P9980">
        <v>20</v>
      </c>
      <c r="S9980" t="str">
        <f>"CAIXA MOVIMENTAÇÃO OPERACIONAL (132)"</f>
        <v>CAIXA MOVIMENTAÇÃO OPERACIONAL (132)</v>
      </c>
      <c r="T9980">
        <v>20919</v>
      </c>
      <c r="U9980">
        <v>25323</v>
      </c>
      <c r="V9980" t="s">
        <v>48</v>
      </c>
    </row>
    <row r="9981" spans="1:22">
      <c r="A9981" t="str">
        <f t="shared" si="1939"/>
        <v>13/11/2025</v>
      </c>
      <c r="B9981" t="str">
        <f>"SAÍDA"</f>
        <v>SAÍDA</v>
      </c>
      <c r="C9981" t="str">
        <f>"PIX"</f>
        <v>PIX</v>
      </c>
      <c r="D9981" t="str">
        <f>"24835"</f>
        <v>24835</v>
      </c>
      <c r="E9981" t="str">
        <f>"1"</f>
        <v>1</v>
      </c>
      <c r="F9981" t="str">
        <f t="shared" si="1941"/>
        <v>COM</v>
      </c>
      <c r="G9981" t="str">
        <f>"ANDERSON PEREIRA DOS SANTOS (746)"</f>
        <v>ANDERSON PEREIRA DOS SANTOS (746)</v>
      </c>
      <c r="H9981" t="s">
        <v>2812</v>
      </c>
      <c r="I9981" t="str">
        <f>("13/11/2025")</f>
        <v>13/11/2025</v>
      </c>
      <c r="J9981" t="str">
        <f>("04/11/2025")</f>
        <v>04/11/2025</v>
      </c>
      <c r="K9981">
        <v>45974</v>
      </c>
      <c r="N9981">
        <v>109</v>
      </c>
      <c r="O9981" t="s">
        <v>24</v>
      </c>
      <c r="Q9981">
        <v>6.09</v>
      </c>
      <c r="R9981" t="str">
        <f>"FARMÁCIA INDIANA LJ 211 (10168)"</f>
        <v>FARMÁCIA INDIANA LJ 211 (10168)</v>
      </c>
      <c r="S9981" t="s">
        <v>48</v>
      </c>
      <c r="T9981">
        <v>20919</v>
      </c>
      <c r="U9981">
        <v>25323</v>
      </c>
      <c r="V9981" t="s">
        <v>48</v>
      </c>
    </row>
    <row r="9982" spans="1:22">
      <c r="A9982" t="str">
        <f t="shared" si="1939"/>
        <v>13/11/2025</v>
      </c>
      <c r="B9982" t="str">
        <f>"SAÍDA"</f>
        <v>SAÍDA</v>
      </c>
      <c r="C9982" t="str">
        <f>"PIX"</f>
        <v>PIX</v>
      </c>
      <c r="D9982" t="str">
        <f>"24835"</f>
        <v>24835</v>
      </c>
      <c r="E9982" t="str">
        <f>"1"</f>
        <v>1</v>
      </c>
      <c r="F9982" t="str">
        <f t="shared" si="1941"/>
        <v>COM</v>
      </c>
      <c r="G9982" t="str">
        <f>"ANDERSON PEREIRA DOS SANTOS (746)"</f>
        <v>ANDERSON PEREIRA DOS SANTOS (746)</v>
      </c>
      <c r="H9982" t="s">
        <v>2812</v>
      </c>
      <c r="I9982" t="str">
        <f>("13/11/2025")</f>
        <v>13/11/2025</v>
      </c>
      <c r="J9982" t="str">
        <f>("04/11/2025")</f>
        <v>04/11/2025</v>
      </c>
      <c r="K9982">
        <v>45974</v>
      </c>
      <c r="N9982">
        <v>109</v>
      </c>
      <c r="O9982" t="s">
        <v>24</v>
      </c>
      <c r="Q9982">
        <v>13.91</v>
      </c>
      <c r="R9982" t="str">
        <f>"FARMÁCIA INDIANA LJ 236 (10169)"</f>
        <v>FARMÁCIA INDIANA LJ 236 (10169)</v>
      </c>
      <c r="S9982" t="s">
        <v>48</v>
      </c>
      <c r="T9982">
        <v>20919</v>
      </c>
      <c r="U9982">
        <v>25323</v>
      </c>
      <c r="V9982" t="s">
        <v>48</v>
      </c>
    </row>
    <row r="9983" spans="1:22">
      <c r="A9983" t="str">
        <f t="shared" si="1939"/>
        <v>13/11/2025</v>
      </c>
      <c r="B9983" t="str">
        <f>"ENTRADA"</f>
        <v>ENTRADA</v>
      </c>
      <c r="C9983" t="str">
        <f>"DINHEIRO"</f>
        <v>DINHEIRO</v>
      </c>
      <c r="D9983" t="str">
        <f>"754"</f>
        <v>754</v>
      </c>
      <c r="E9983" t="str">
        <f>"7"</f>
        <v>7</v>
      </c>
      <c r="F9983" t="str">
        <f t="shared" si="1941"/>
        <v>COM</v>
      </c>
      <c r="G9983" t="str">
        <f>"ARLINDO COSTA FELIX (754)"</f>
        <v>ARLINDO COSTA FELIX (754)</v>
      </c>
      <c r="H9983" t="str">
        <f>"COTA COOPERATIVA"</f>
        <v>COTA COOPERATIVA</v>
      </c>
      <c r="I9983" t="str">
        <f>("08/11/2025")</f>
        <v>08/11/2025</v>
      </c>
      <c r="J9983" t="str">
        <f>("16/04/2025")</f>
        <v>16/04/2025</v>
      </c>
      <c r="K9983" t="str">
        <f>("13/11/2025")</f>
        <v>13/11/2025</v>
      </c>
      <c r="L9983">
        <v>20</v>
      </c>
      <c r="M9983">
        <v>20</v>
      </c>
      <c r="N9983">
        <v>106</v>
      </c>
      <c r="O9983" t="str">
        <f>"ENTRADA DE CAPITAL"</f>
        <v>ENTRADA DE CAPITAL</v>
      </c>
      <c r="P9983">
        <v>20</v>
      </c>
      <c r="S9983" t="str">
        <f>"ENTRADA DE CAPITAL (106)"</f>
        <v>ENTRADA DE CAPITAL (106)</v>
      </c>
      <c r="T9983">
        <v>20920</v>
      </c>
      <c r="U9983">
        <v>13750</v>
      </c>
      <c r="V9983" t="s">
        <v>48</v>
      </c>
    </row>
    <row r="9984" spans="1:22">
      <c r="A9984" t="str">
        <f t="shared" si="1939"/>
        <v>13/11/2025</v>
      </c>
      <c r="B9984" t="str">
        <f>"ENTRADA"</f>
        <v>ENTRADA</v>
      </c>
      <c r="C9984" t="str">
        <f>"DINHEIRO"</f>
        <v>DINHEIRO</v>
      </c>
      <c r="D9984" t="str">
        <f>"754"</f>
        <v>754</v>
      </c>
      <c r="E9984" t="str">
        <f>"7"</f>
        <v>7</v>
      </c>
      <c r="F9984" t="str">
        <f t="shared" si="1941"/>
        <v>COM</v>
      </c>
      <c r="G9984" t="str">
        <f>"ARLINDO COSTA FELIX (754)"</f>
        <v>ARLINDO COSTA FELIX (754)</v>
      </c>
      <c r="H9984" t="s">
        <v>50</v>
      </c>
      <c r="I9984" t="str">
        <f>("08/11/2025")</f>
        <v>08/11/2025</v>
      </c>
      <c r="J9984" t="str">
        <f>("16/04/2025")</f>
        <v>16/04/2025</v>
      </c>
      <c r="K9984">
        <v>45974</v>
      </c>
      <c r="N9984">
        <v>106</v>
      </c>
      <c r="O9984" t="s">
        <v>51</v>
      </c>
      <c r="Q9984">
        <v>20</v>
      </c>
      <c r="R9984" t="str">
        <f>"ARLINDO COSTA FELIX (754)"</f>
        <v>ARLINDO COSTA FELIX (754)</v>
      </c>
      <c r="S9984" t="s">
        <v>52</v>
      </c>
      <c r="T9984">
        <v>20920</v>
      </c>
      <c r="U9984">
        <v>13750</v>
      </c>
      <c r="V9984" t="s">
        <v>48</v>
      </c>
    </row>
    <row r="9985" spans="1:22">
      <c r="A9985" t="str">
        <f t="shared" si="1939"/>
        <v>13/11/2025</v>
      </c>
      <c r="B9985" t="str">
        <f>"SAÍDA"</f>
        <v>SAÍDA</v>
      </c>
      <c r="C9985" t="str">
        <f>"PIX"</f>
        <v>PIX</v>
      </c>
      <c r="D9985" t="str">
        <f>"25023"</f>
        <v>25023</v>
      </c>
      <c r="E9985" t="str">
        <f>"1"</f>
        <v>1</v>
      </c>
      <c r="F9985" t="str">
        <f t="shared" si="1941"/>
        <v>COM</v>
      </c>
      <c r="G9985" t="str">
        <f>"ARLINDO COSTA FELIX (754)"</f>
        <v>ARLINDO COSTA FELIX (754)</v>
      </c>
      <c r="H9985" t="str">
        <f>"Serv.Prest. 03/11/2025 a 09/11/2025 - PIX: CPF - CHAVE: 103.983.366-79"</f>
        <v>Serv.Prest. 03/11/2025 a 09/11/2025 - PIX: CPF - CHAVE: 103.983.366-79</v>
      </c>
      <c r="I9985" t="str">
        <f>("13/11/2025")</f>
        <v>13/11/2025</v>
      </c>
      <c r="J9985" t="str">
        <f>("10/11/2025")</f>
        <v>10/11/2025</v>
      </c>
      <c r="K9985" t="str">
        <f>("13/11/2025")</f>
        <v>13/11/2025</v>
      </c>
      <c r="L9985">
        <v>20</v>
      </c>
      <c r="M9985">
        <v>20</v>
      </c>
      <c r="N9985">
        <v>109</v>
      </c>
      <c r="O9985" t="str">
        <f>"PAGAMENTO DE ENTREGADORES"</f>
        <v>PAGAMENTO DE ENTREGADORES</v>
      </c>
      <c r="P9985">
        <v>20</v>
      </c>
      <c r="S9985" t="str">
        <f>"CAIXA MOVIMENTAÇÃO OPERACIONAL (132)"</f>
        <v>CAIXA MOVIMENTAÇÃO OPERACIONAL (132)</v>
      </c>
      <c r="T9985">
        <v>20921</v>
      </c>
      <c r="U9985">
        <v>25324</v>
      </c>
      <c r="V9985" t="s">
        <v>48</v>
      </c>
    </row>
    <row r="9986" spans="1:22">
      <c r="A9986" t="str">
        <f t="shared" si="1939"/>
        <v>13/11/2025</v>
      </c>
      <c r="B9986" t="str">
        <f>"SAÍDA"</f>
        <v>SAÍDA</v>
      </c>
      <c r="C9986" t="str">
        <f>"PIX"</f>
        <v>PIX</v>
      </c>
      <c r="D9986" t="str">
        <f>"25023"</f>
        <v>25023</v>
      </c>
      <c r="E9986" t="str">
        <f>"1"</f>
        <v>1</v>
      </c>
      <c r="F9986" t="str">
        <f t="shared" si="1941"/>
        <v>COM</v>
      </c>
      <c r="G9986" t="str">
        <f>"ARLINDO COSTA FELIX (754)"</f>
        <v>ARLINDO COSTA FELIX (754)</v>
      </c>
      <c r="H9986" t="s">
        <v>2813</v>
      </c>
      <c r="I9986" t="str">
        <f>("13/11/2025")</f>
        <v>13/11/2025</v>
      </c>
      <c r="J9986" t="str">
        <f>("10/11/2025")</f>
        <v>10/11/2025</v>
      </c>
      <c r="K9986">
        <v>45974</v>
      </c>
      <c r="N9986">
        <v>109</v>
      </c>
      <c r="O9986" t="s">
        <v>24</v>
      </c>
      <c r="Q9986">
        <v>20</v>
      </c>
      <c r="R9986" t="str">
        <f>"ENTREFARMA (10164)"</f>
        <v>ENTREFARMA (10164)</v>
      </c>
      <c r="S9986" t="s">
        <v>48</v>
      </c>
      <c r="T9986">
        <v>20921</v>
      </c>
      <c r="U9986">
        <v>25324</v>
      </c>
      <c r="V9986" t="s">
        <v>48</v>
      </c>
    </row>
    <row r="9987" spans="1:22">
      <c r="A9987" t="str">
        <f t="shared" si="1939"/>
        <v>13/11/2025</v>
      </c>
      <c r="B9987" t="str">
        <f>"ENTRADA"</f>
        <v>ENTRADA</v>
      </c>
      <c r="C9987" t="str">
        <f>"DINHEIRO"</f>
        <v>DINHEIRO</v>
      </c>
      <c r="D9987" t="str">
        <f>"909"</f>
        <v>909</v>
      </c>
      <c r="E9987" t="str">
        <f>"3"</f>
        <v>3</v>
      </c>
      <c r="F9987" t="str">
        <f t="shared" si="1941"/>
        <v>COM</v>
      </c>
      <c r="G9987" t="str">
        <f>"ARLINDO JOSE MARTINS (909)"</f>
        <v>ARLINDO JOSE MARTINS (909)</v>
      </c>
      <c r="H9987" t="str">
        <f>"COTA COOPERATIVA"</f>
        <v>COTA COOPERATIVA</v>
      </c>
      <c r="I9987" t="str">
        <f>("10/11/2025")</f>
        <v>10/11/2025</v>
      </c>
      <c r="J9987" t="str">
        <f>("12/08/2025")</f>
        <v>12/08/2025</v>
      </c>
      <c r="K9987" t="str">
        <f>("13/11/2025")</f>
        <v>13/11/2025</v>
      </c>
      <c r="L9987">
        <v>20</v>
      </c>
      <c r="M9987">
        <v>20</v>
      </c>
      <c r="N9987">
        <v>106</v>
      </c>
      <c r="O9987" t="str">
        <f>"ENTRADA DE CAPITAL"</f>
        <v>ENTRADA DE CAPITAL</v>
      </c>
      <c r="P9987">
        <v>20</v>
      </c>
      <c r="S9987" t="str">
        <f>"ENTRADA DE CAPITAL (106)"</f>
        <v>ENTRADA DE CAPITAL (106)</v>
      </c>
      <c r="T9987">
        <v>20922</v>
      </c>
      <c r="U9987">
        <v>21725</v>
      </c>
      <c r="V9987" t="s">
        <v>48</v>
      </c>
    </row>
    <row r="9988" spans="1:22">
      <c r="A9988" t="str">
        <f t="shared" si="1939"/>
        <v>13/11/2025</v>
      </c>
      <c r="B9988" t="str">
        <f>"ENTRADA"</f>
        <v>ENTRADA</v>
      </c>
      <c r="C9988" t="str">
        <f>"DINHEIRO"</f>
        <v>DINHEIRO</v>
      </c>
      <c r="D9988" t="str">
        <f>"909"</f>
        <v>909</v>
      </c>
      <c r="E9988" t="str">
        <f>"3"</f>
        <v>3</v>
      </c>
      <c r="F9988" t="str">
        <f t="shared" si="1941"/>
        <v>COM</v>
      </c>
      <c r="G9988" t="str">
        <f>"ARLINDO JOSE MARTINS (909)"</f>
        <v>ARLINDO JOSE MARTINS (909)</v>
      </c>
      <c r="H9988" t="s">
        <v>50</v>
      </c>
      <c r="I9988" t="str">
        <f>("10/11/2025")</f>
        <v>10/11/2025</v>
      </c>
      <c r="J9988" t="str">
        <f>("12/08/2025")</f>
        <v>12/08/2025</v>
      </c>
      <c r="K9988">
        <v>45974</v>
      </c>
      <c r="N9988">
        <v>106</v>
      </c>
      <c r="O9988" t="s">
        <v>51</v>
      </c>
      <c r="Q9988">
        <v>20</v>
      </c>
      <c r="R9988" t="str">
        <f>"ARLINDO JOSE MARTINS (909)"</f>
        <v>ARLINDO JOSE MARTINS (909)</v>
      </c>
      <c r="S9988" t="s">
        <v>52</v>
      </c>
      <c r="T9988">
        <v>20922</v>
      </c>
      <c r="U9988">
        <v>21725</v>
      </c>
      <c r="V9988" t="s">
        <v>48</v>
      </c>
    </row>
    <row r="9989" spans="1:22">
      <c r="A9989" t="str">
        <f t="shared" si="1939"/>
        <v>13/11/2025</v>
      </c>
      <c r="B9989" t="str">
        <f>"SAÍDA"</f>
        <v>SAÍDA</v>
      </c>
      <c r="C9989" t="str">
        <f>"PIX"</f>
        <v>PIX</v>
      </c>
      <c r="D9989" t="str">
        <f>"24732"</f>
        <v>24732</v>
      </c>
      <c r="E9989" t="str">
        <f>"1"</f>
        <v>1</v>
      </c>
      <c r="F9989" t="str">
        <f t="shared" si="1941"/>
        <v>COM</v>
      </c>
      <c r="G9989" t="str">
        <f>"ARLINDO JOSE MARTINS (909)"</f>
        <v>ARLINDO JOSE MARTINS (909)</v>
      </c>
      <c r="H9989" t="str">
        <f>"Serv.Prest. 24/10/2025 a 02/11/2025 - PIX: CPF - CHAVE: 037.192.076-09"</f>
        <v>Serv.Prest. 24/10/2025 a 02/11/2025 - PIX: CPF - CHAVE: 037.192.076-09</v>
      </c>
      <c r="I9989" t="str">
        <f>("13/11/2025")</f>
        <v>13/11/2025</v>
      </c>
      <c r="J9989" t="str">
        <f>("04/11/2025")</f>
        <v>04/11/2025</v>
      </c>
      <c r="K9989" t="str">
        <f>("13/11/2025")</f>
        <v>13/11/2025</v>
      </c>
      <c r="L9989">
        <v>20</v>
      </c>
      <c r="M9989">
        <v>20</v>
      </c>
      <c r="N9989">
        <v>109</v>
      </c>
      <c r="O9989" t="str">
        <f>"PAGAMENTO DE ENTREGADORES"</f>
        <v>PAGAMENTO DE ENTREGADORES</v>
      </c>
      <c r="P9989">
        <v>20</v>
      </c>
      <c r="S9989" t="str">
        <f>"CAIXA MOVIMENTAÇÃO OPERACIONAL (132)"</f>
        <v>CAIXA MOVIMENTAÇÃO OPERACIONAL (132)</v>
      </c>
      <c r="T9989">
        <v>20923</v>
      </c>
      <c r="U9989">
        <v>25325</v>
      </c>
      <c r="V9989" t="s">
        <v>48</v>
      </c>
    </row>
    <row r="9990" spans="1:22">
      <c r="A9990" t="str">
        <f t="shared" si="1939"/>
        <v>13/11/2025</v>
      </c>
      <c r="B9990" t="str">
        <f>"SAÍDA"</f>
        <v>SAÍDA</v>
      </c>
      <c r="C9990" t="str">
        <f>"PIX"</f>
        <v>PIX</v>
      </c>
      <c r="D9990" t="str">
        <f>"24732"</f>
        <v>24732</v>
      </c>
      <c r="E9990" t="str">
        <f>"1"</f>
        <v>1</v>
      </c>
      <c r="F9990" t="str">
        <f t="shared" si="1941"/>
        <v>COM</v>
      </c>
      <c r="G9990" t="str">
        <f>"ARLINDO JOSE MARTINS (909)"</f>
        <v>ARLINDO JOSE MARTINS (909)</v>
      </c>
      <c r="H9990" t="s">
        <v>2768</v>
      </c>
      <c r="I9990" t="str">
        <f>("13/11/2025")</f>
        <v>13/11/2025</v>
      </c>
      <c r="J9990" t="str">
        <f>("04/11/2025")</f>
        <v>04/11/2025</v>
      </c>
      <c r="K9990">
        <v>45974</v>
      </c>
      <c r="N9990">
        <v>109</v>
      </c>
      <c r="O9990" t="s">
        <v>24</v>
      </c>
      <c r="Q9990">
        <v>2.35</v>
      </c>
      <c r="R9990" t="str">
        <f>"FARMÁCIA INDIANA LJ 185 (10141)"</f>
        <v>FARMÁCIA INDIANA LJ 185 (10141)</v>
      </c>
      <c r="S9990" t="s">
        <v>48</v>
      </c>
      <c r="T9990">
        <v>20923</v>
      </c>
      <c r="U9990">
        <v>25325</v>
      </c>
      <c r="V9990" t="s">
        <v>48</v>
      </c>
    </row>
    <row r="9991" spans="1:22">
      <c r="A9991" t="str">
        <f t="shared" si="1939"/>
        <v>13/11/2025</v>
      </c>
      <c r="B9991" t="str">
        <f>"SAÍDA"</f>
        <v>SAÍDA</v>
      </c>
      <c r="C9991" t="str">
        <f>"PIX"</f>
        <v>PIX</v>
      </c>
      <c r="D9991" t="str">
        <f>"24732"</f>
        <v>24732</v>
      </c>
      <c r="E9991" t="str">
        <f>"1"</f>
        <v>1</v>
      </c>
      <c r="F9991" t="str">
        <f t="shared" si="1941"/>
        <v>COM</v>
      </c>
      <c r="G9991" t="str">
        <f>"ARLINDO JOSE MARTINS (909)"</f>
        <v>ARLINDO JOSE MARTINS (909)</v>
      </c>
      <c r="H9991" t="s">
        <v>2768</v>
      </c>
      <c r="I9991" t="str">
        <f>("13/11/2025")</f>
        <v>13/11/2025</v>
      </c>
      <c r="J9991" t="str">
        <f>("04/11/2025")</f>
        <v>04/11/2025</v>
      </c>
      <c r="K9991">
        <v>45974</v>
      </c>
      <c r="N9991">
        <v>109</v>
      </c>
      <c r="O9991" t="s">
        <v>24</v>
      </c>
      <c r="Q9991">
        <v>17.649999999999999</v>
      </c>
      <c r="R9991" t="str">
        <f>"FARMÁCIA INDIANA LJ 257 (10267)"</f>
        <v>FARMÁCIA INDIANA LJ 257 (10267)</v>
      </c>
      <c r="S9991" t="s">
        <v>48</v>
      </c>
      <c r="T9991">
        <v>20923</v>
      </c>
      <c r="U9991">
        <v>25325</v>
      </c>
      <c r="V9991" t="s">
        <v>48</v>
      </c>
    </row>
    <row r="9992" spans="1:22">
      <c r="A9992" t="str">
        <f t="shared" si="1939"/>
        <v>13/11/2025</v>
      </c>
      <c r="B9992" t="str">
        <f>"ENTRADA"</f>
        <v>ENTRADA</v>
      </c>
      <c r="C9992" t="str">
        <f>"DINHEIRO"</f>
        <v>DINHEIRO</v>
      </c>
      <c r="D9992" t="str">
        <f>"928"</f>
        <v>928</v>
      </c>
      <c r="E9992" t="str">
        <f>"2"</f>
        <v>2</v>
      </c>
      <c r="F9992" t="str">
        <f t="shared" si="1941"/>
        <v>COM</v>
      </c>
      <c r="G9992" t="str">
        <f>"ARTHUR DANTAS PACHECO (928)"</f>
        <v>ARTHUR DANTAS PACHECO (928)</v>
      </c>
      <c r="H9992" t="str">
        <f>"COTAS COOPERATIVA"</f>
        <v>COTAS COOPERATIVA</v>
      </c>
      <c r="I9992" t="str">
        <f>("10/11/2025")</f>
        <v>10/11/2025</v>
      </c>
      <c r="J9992" t="str">
        <f>("29/09/2025")</f>
        <v>29/09/2025</v>
      </c>
      <c r="K9992" t="str">
        <f>("13/11/2025")</f>
        <v>13/11/2025</v>
      </c>
      <c r="L9992">
        <v>20</v>
      </c>
      <c r="M9992">
        <v>20</v>
      </c>
      <c r="N9992">
        <v>106</v>
      </c>
      <c r="O9992" t="str">
        <f>"ENTRADA DE CAPITAL"</f>
        <v>ENTRADA DE CAPITAL</v>
      </c>
      <c r="P9992">
        <v>20</v>
      </c>
      <c r="S9992" t="str">
        <f>"ENTRADA DE CAPITAL (106)"</f>
        <v>ENTRADA DE CAPITAL (106)</v>
      </c>
      <c r="T9992">
        <v>20924</v>
      </c>
      <c r="U9992">
        <v>23144</v>
      </c>
      <c r="V9992" t="s">
        <v>48</v>
      </c>
    </row>
    <row r="9993" spans="1:22">
      <c r="A9993" t="str">
        <f t="shared" si="1939"/>
        <v>13/11/2025</v>
      </c>
      <c r="B9993" t="str">
        <f>"ENTRADA"</f>
        <v>ENTRADA</v>
      </c>
      <c r="C9993" t="str">
        <f>"DINHEIRO"</f>
        <v>DINHEIRO</v>
      </c>
      <c r="D9993" t="str">
        <f>"928"</f>
        <v>928</v>
      </c>
      <c r="E9993" t="str">
        <f>"2"</f>
        <v>2</v>
      </c>
      <c r="F9993" t="str">
        <f t="shared" si="1941"/>
        <v>COM</v>
      </c>
      <c r="G9993" t="str">
        <f>"ARTHUR DANTAS PACHECO (928)"</f>
        <v>ARTHUR DANTAS PACHECO (928)</v>
      </c>
      <c r="H9993" t="s">
        <v>318</v>
      </c>
      <c r="I9993" t="str">
        <f>("10/11/2025")</f>
        <v>10/11/2025</v>
      </c>
      <c r="J9993" t="str">
        <f>("29/09/2025")</f>
        <v>29/09/2025</v>
      </c>
      <c r="K9993">
        <v>45974</v>
      </c>
      <c r="N9993">
        <v>106</v>
      </c>
      <c r="O9993" t="s">
        <v>51</v>
      </c>
      <c r="Q9993">
        <v>20</v>
      </c>
      <c r="R9993" t="str">
        <f>"ARTHUR DANTAS PACHECO (928)"</f>
        <v>ARTHUR DANTAS PACHECO (928)</v>
      </c>
      <c r="S9993" t="s">
        <v>52</v>
      </c>
      <c r="T9993">
        <v>20924</v>
      </c>
      <c r="U9993">
        <v>23144</v>
      </c>
      <c r="V9993" t="s">
        <v>48</v>
      </c>
    </row>
    <row r="9994" spans="1:22">
      <c r="A9994" t="str">
        <f t="shared" si="1939"/>
        <v>13/11/2025</v>
      </c>
      <c r="B9994" t="str">
        <f>"SAÍDA"</f>
        <v>SAÍDA</v>
      </c>
      <c r="C9994" t="str">
        <f>"PIX"</f>
        <v>PIX</v>
      </c>
      <c r="D9994" t="str">
        <f>"24733"</f>
        <v>24733</v>
      </c>
      <c r="E9994" t="str">
        <f>"1"</f>
        <v>1</v>
      </c>
      <c r="F9994" t="str">
        <f t="shared" si="1941"/>
        <v>COM</v>
      </c>
      <c r="G9994" t="str">
        <f>"ARTHUR DANTAS PACHECO (928)"</f>
        <v>ARTHUR DANTAS PACHECO (928)</v>
      </c>
      <c r="H9994" t="str">
        <f>"Serv.Prest. 24/10/2025 a 02/11/2025 - PIX: CELULAR - CHAVE: (33) 99110-6940"</f>
        <v>Serv.Prest. 24/10/2025 a 02/11/2025 - PIX: CELULAR - CHAVE: (33) 99110-6940</v>
      </c>
      <c r="I9994" t="str">
        <f t="shared" ref="I9994:I9999" si="1942">("13/11/2025")</f>
        <v>13/11/2025</v>
      </c>
      <c r="J9994" t="str">
        <f>("04/11/2025")</f>
        <v>04/11/2025</v>
      </c>
      <c r="K9994" t="str">
        <f>("13/11/2025")</f>
        <v>13/11/2025</v>
      </c>
      <c r="L9994">
        <v>20</v>
      </c>
      <c r="M9994">
        <v>20</v>
      </c>
      <c r="N9994">
        <v>109</v>
      </c>
      <c r="O9994" t="str">
        <f>"PAGAMENTO DE ENTREGADORES"</f>
        <v>PAGAMENTO DE ENTREGADORES</v>
      </c>
      <c r="P9994">
        <v>20</v>
      </c>
      <c r="S9994" t="str">
        <f>"CAIXA MOVIMENTAÇÃO OPERACIONAL (132)"</f>
        <v>CAIXA MOVIMENTAÇÃO OPERACIONAL (132)</v>
      </c>
      <c r="T9994">
        <v>20925</v>
      </c>
      <c r="U9994">
        <v>25326</v>
      </c>
      <c r="V9994" t="s">
        <v>48</v>
      </c>
    </row>
    <row r="9995" spans="1:22">
      <c r="A9995" t="str">
        <f t="shared" si="1939"/>
        <v>13/11/2025</v>
      </c>
      <c r="B9995" t="str">
        <f>"SAÍDA"</f>
        <v>SAÍDA</v>
      </c>
      <c r="C9995" t="str">
        <f>"PIX"</f>
        <v>PIX</v>
      </c>
      <c r="D9995" t="str">
        <f>"24733"</f>
        <v>24733</v>
      </c>
      <c r="E9995" t="str">
        <f>"1"</f>
        <v>1</v>
      </c>
      <c r="F9995" t="str">
        <f t="shared" si="1941"/>
        <v>COM</v>
      </c>
      <c r="G9995" t="str">
        <f>"ARTHUR DANTAS PACHECO (928)"</f>
        <v>ARTHUR DANTAS PACHECO (928)</v>
      </c>
      <c r="H9995" t="s">
        <v>2814</v>
      </c>
      <c r="I9995" t="str">
        <f t="shared" si="1942"/>
        <v>13/11/2025</v>
      </c>
      <c r="J9995" t="str">
        <f>("04/11/2025")</f>
        <v>04/11/2025</v>
      </c>
      <c r="K9995">
        <v>45974</v>
      </c>
      <c r="N9995">
        <v>109</v>
      </c>
      <c r="O9995" t="s">
        <v>24</v>
      </c>
      <c r="Q9995">
        <v>20</v>
      </c>
      <c r="R9995" t="str">
        <f>"FARMÁCIA INDIANA LJ 40 (10016)"</f>
        <v>FARMÁCIA INDIANA LJ 40 (10016)</v>
      </c>
      <c r="S9995" t="s">
        <v>48</v>
      </c>
      <c r="T9995">
        <v>20925</v>
      </c>
      <c r="U9995">
        <v>25326</v>
      </c>
      <c r="V9995" t="s">
        <v>48</v>
      </c>
    </row>
    <row r="9996" spans="1:22">
      <c r="A9996" t="str">
        <f t="shared" si="1939"/>
        <v>13/11/2025</v>
      </c>
      <c r="B9996" t="str">
        <f>"ENTRADA"</f>
        <v>ENTRADA</v>
      </c>
      <c r="C9996" t="str">
        <f>"DINHEIRO"</f>
        <v>DINHEIRO</v>
      </c>
      <c r="D9996" t="str">
        <f>"596"</f>
        <v>596</v>
      </c>
      <c r="E9996" t="str">
        <f>"10"</f>
        <v>10</v>
      </c>
      <c r="F9996" t="str">
        <f t="shared" si="1941"/>
        <v>COM</v>
      </c>
      <c r="G9996" t="str">
        <f>"BRENO HENRIQUE DE SOUSA (596)"</f>
        <v>BRENO HENRIQUE DE SOUSA (596)</v>
      </c>
      <c r="H9996" t="str">
        <f>"COTAS COOPERATIVA"</f>
        <v>COTAS COOPERATIVA</v>
      </c>
      <c r="I9996" t="str">
        <f t="shared" si="1942"/>
        <v>13/11/2025</v>
      </c>
      <c r="J9996" t="str">
        <f>("12/02/2025")</f>
        <v>12/02/2025</v>
      </c>
      <c r="K9996" t="str">
        <f>("13/11/2025")</f>
        <v>13/11/2025</v>
      </c>
      <c r="L9996">
        <v>20</v>
      </c>
      <c r="M9996">
        <v>20</v>
      </c>
      <c r="N9996">
        <v>106</v>
      </c>
      <c r="O9996" t="str">
        <f>"ENTRADA DE CAPITAL"</f>
        <v>ENTRADA DE CAPITAL</v>
      </c>
      <c r="P9996">
        <v>20</v>
      </c>
      <c r="S9996" t="str">
        <f>"ENTRADA DE CAPITAL (106)"</f>
        <v>ENTRADA DE CAPITAL (106)</v>
      </c>
      <c r="T9996">
        <v>20926</v>
      </c>
      <c r="U9996">
        <v>9053</v>
      </c>
      <c r="V9996" t="s">
        <v>48</v>
      </c>
    </row>
    <row r="9997" spans="1:22">
      <c r="A9997" t="str">
        <f t="shared" si="1939"/>
        <v>13/11/2025</v>
      </c>
      <c r="B9997" t="str">
        <f>"ENTRADA"</f>
        <v>ENTRADA</v>
      </c>
      <c r="C9997" t="str">
        <f>"DINHEIRO"</f>
        <v>DINHEIRO</v>
      </c>
      <c r="D9997" t="str">
        <f>"596"</f>
        <v>596</v>
      </c>
      <c r="E9997" t="str">
        <f>"10"</f>
        <v>10</v>
      </c>
      <c r="F9997" t="str">
        <f t="shared" si="1941"/>
        <v>COM</v>
      </c>
      <c r="G9997" t="str">
        <f>"BRENO HENRIQUE DE SOUSA (596)"</f>
        <v>BRENO HENRIQUE DE SOUSA (596)</v>
      </c>
      <c r="H9997" t="s">
        <v>318</v>
      </c>
      <c r="I9997" t="str">
        <f t="shared" si="1942"/>
        <v>13/11/2025</v>
      </c>
      <c r="J9997" t="str">
        <f>("12/02/2025")</f>
        <v>12/02/2025</v>
      </c>
      <c r="K9997">
        <v>45974</v>
      </c>
      <c r="N9997">
        <v>106</v>
      </c>
      <c r="O9997" t="s">
        <v>51</v>
      </c>
      <c r="Q9997">
        <v>20</v>
      </c>
      <c r="R9997" t="str">
        <f>"BRENO HENRIQUE DE SOUSA (596)"</f>
        <v>BRENO HENRIQUE DE SOUSA (596)</v>
      </c>
      <c r="S9997" t="s">
        <v>52</v>
      </c>
      <c r="T9997">
        <v>20926</v>
      </c>
      <c r="U9997">
        <v>9053</v>
      </c>
      <c r="V9997" t="s">
        <v>48</v>
      </c>
    </row>
    <row r="9998" spans="1:22">
      <c r="A9998" t="str">
        <f t="shared" si="1939"/>
        <v>13/11/2025</v>
      </c>
      <c r="B9998" t="str">
        <f>"SAÍDA"</f>
        <v>SAÍDA</v>
      </c>
      <c r="C9998" t="str">
        <f>"PIX"</f>
        <v>PIX</v>
      </c>
      <c r="D9998" t="str">
        <f>"25047"</f>
        <v>25047</v>
      </c>
      <c r="E9998" t="str">
        <f>"1"</f>
        <v>1</v>
      </c>
      <c r="F9998" t="str">
        <f t="shared" si="1941"/>
        <v>COM</v>
      </c>
      <c r="G9998" t="str">
        <f>"BRENO HENRIQUE DE SOUSA (596)"</f>
        <v>BRENO HENRIQUE DE SOUSA (596)</v>
      </c>
      <c r="H9998" t="str">
        <f>"Serv.Prest. 03/11/2025 a 09/11/2025 - PIX: CELULAR - CHAVE: (37) 99146-2630"</f>
        <v>Serv.Prest. 03/11/2025 a 09/11/2025 - PIX: CELULAR - CHAVE: (37) 99146-2630</v>
      </c>
      <c r="I9998" t="str">
        <f t="shared" si="1942"/>
        <v>13/11/2025</v>
      </c>
      <c r="J9998" t="str">
        <f>("10/11/2025")</f>
        <v>10/11/2025</v>
      </c>
      <c r="K9998" t="str">
        <f>("13/11/2025")</f>
        <v>13/11/2025</v>
      </c>
      <c r="L9998">
        <v>20</v>
      </c>
      <c r="M9998">
        <v>20</v>
      </c>
      <c r="N9998">
        <v>109</v>
      </c>
      <c r="O9998" t="str">
        <f>"PAGAMENTO DE ENTREGADORES"</f>
        <v>PAGAMENTO DE ENTREGADORES</v>
      </c>
      <c r="P9998">
        <v>20</v>
      </c>
      <c r="S9998" t="str">
        <f>"CAIXA MOVIMENTAÇÃO OPERACIONAL (132)"</f>
        <v>CAIXA MOVIMENTAÇÃO OPERACIONAL (132)</v>
      </c>
      <c r="T9998">
        <v>20927</v>
      </c>
      <c r="U9998">
        <v>25327</v>
      </c>
      <c r="V9998" t="s">
        <v>48</v>
      </c>
    </row>
    <row r="9999" spans="1:22">
      <c r="A9999" t="str">
        <f t="shared" si="1939"/>
        <v>13/11/2025</v>
      </c>
      <c r="B9999" t="str">
        <f>"SAÍDA"</f>
        <v>SAÍDA</v>
      </c>
      <c r="C9999" t="str">
        <f>"PIX"</f>
        <v>PIX</v>
      </c>
      <c r="D9999" t="str">
        <f>"25047"</f>
        <v>25047</v>
      </c>
      <c r="E9999" t="str">
        <f>"1"</f>
        <v>1</v>
      </c>
      <c r="F9999" t="str">
        <f t="shared" si="1941"/>
        <v>COM</v>
      </c>
      <c r="G9999" t="str">
        <f>"BRENO HENRIQUE DE SOUSA (596)"</f>
        <v>BRENO HENRIQUE DE SOUSA (596)</v>
      </c>
      <c r="H9999" t="s">
        <v>2815</v>
      </c>
      <c r="I9999" t="str">
        <f t="shared" si="1942"/>
        <v>13/11/2025</v>
      </c>
      <c r="J9999" t="str">
        <f>("10/11/2025")</f>
        <v>10/11/2025</v>
      </c>
      <c r="K9999">
        <v>45974</v>
      </c>
      <c r="N9999">
        <v>109</v>
      </c>
      <c r="O9999" t="s">
        <v>24</v>
      </c>
      <c r="Q9999">
        <v>20</v>
      </c>
      <c r="R9999" t="str">
        <f>"DROGARIA POUPA MINAS (ULTRAMINAS) 1 (10181)"</f>
        <v>DROGARIA POUPA MINAS (ULTRAMINAS) 1 (10181)</v>
      </c>
      <c r="S9999" t="s">
        <v>48</v>
      </c>
      <c r="T9999">
        <v>20927</v>
      </c>
      <c r="U9999">
        <v>25327</v>
      </c>
      <c r="V9999" t="s">
        <v>48</v>
      </c>
    </row>
    <row r="10000" spans="1:22">
      <c r="A10000" t="str">
        <f t="shared" si="1939"/>
        <v>13/11/2025</v>
      </c>
      <c r="B10000" t="str">
        <f>"ENTRADA"</f>
        <v>ENTRADA</v>
      </c>
      <c r="C10000" t="str">
        <f>"DINHEIRO"</f>
        <v>DINHEIRO</v>
      </c>
      <c r="D10000" t="str">
        <f>"811"</f>
        <v>811</v>
      </c>
      <c r="E10000" t="str">
        <f>"6"</f>
        <v>6</v>
      </c>
      <c r="F10000" t="str">
        <f t="shared" si="1941"/>
        <v>COM</v>
      </c>
      <c r="G10000" t="str">
        <f>"BRENO VIANA MONTEIRO RODRIGUES (811)"</f>
        <v>BRENO VIANA MONTEIRO RODRIGUES (811)</v>
      </c>
      <c r="H10000" t="str">
        <f>"COTA COOPERATIVA"</f>
        <v>COTA COOPERATIVA</v>
      </c>
      <c r="I10000" t="str">
        <f>("12/11/2025")</f>
        <v>12/11/2025</v>
      </c>
      <c r="J10000" t="str">
        <f>("16/05/2025")</f>
        <v>16/05/2025</v>
      </c>
      <c r="K10000" t="str">
        <f>("13/11/2025")</f>
        <v>13/11/2025</v>
      </c>
      <c r="L10000">
        <v>20</v>
      </c>
      <c r="M10000">
        <v>20</v>
      </c>
      <c r="N10000">
        <v>106</v>
      </c>
      <c r="O10000" t="str">
        <f>"ENTRADA DE CAPITAL"</f>
        <v>ENTRADA DE CAPITAL</v>
      </c>
      <c r="P10000">
        <v>20</v>
      </c>
      <c r="S10000" t="str">
        <f>"ENTRADA DE CAPITAL (106)"</f>
        <v>ENTRADA DE CAPITAL (106)</v>
      </c>
      <c r="T10000">
        <v>20928</v>
      </c>
      <c r="U10000">
        <v>16509</v>
      </c>
      <c r="V10000" t="s">
        <v>48</v>
      </c>
    </row>
    <row r="10001" spans="1:22">
      <c r="A10001" t="str">
        <f t="shared" si="1939"/>
        <v>13/11/2025</v>
      </c>
      <c r="B10001" t="str">
        <f>"ENTRADA"</f>
        <v>ENTRADA</v>
      </c>
      <c r="C10001" t="str">
        <f>"DINHEIRO"</f>
        <v>DINHEIRO</v>
      </c>
      <c r="D10001" t="str">
        <f>"811"</f>
        <v>811</v>
      </c>
      <c r="E10001" t="str">
        <f>"6"</f>
        <v>6</v>
      </c>
      <c r="F10001" t="str">
        <f t="shared" si="1941"/>
        <v>COM</v>
      </c>
      <c r="G10001" t="str">
        <f>"BRENO VIANA MONTEIRO RODRIGUES (811)"</f>
        <v>BRENO VIANA MONTEIRO RODRIGUES (811)</v>
      </c>
      <c r="H10001" t="s">
        <v>50</v>
      </c>
      <c r="I10001" t="str">
        <f>("12/11/2025")</f>
        <v>12/11/2025</v>
      </c>
      <c r="J10001" t="str">
        <f>("16/05/2025")</f>
        <v>16/05/2025</v>
      </c>
      <c r="K10001">
        <v>45974</v>
      </c>
      <c r="N10001">
        <v>106</v>
      </c>
      <c r="O10001" t="s">
        <v>51</v>
      </c>
      <c r="Q10001">
        <v>20</v>
      </c>
      <c r="R10001" t="str">
        <f>"BRENO VIANA MONTEIRO RODRIGUES (811)"</f>
        <v>BRENO VIANA MONTEIRO RODRIGUES (811)</v>
      </c>
      <c r="S10001" t="s">
        <v>52</v>
      </c>
      <c r="T10001">
        <v>20928</v>
      </c>
      <c r="U10001">
        <v>16509</v>
      </c>
      <c r="V10001" t="s">
        <v>48</v>
      </c>
    </row>
    <row r="10002" spans="1:22">
      <c r="A10002" t="str">
        <f t="shared" si="1939"/>
        <v>13/11/2025</v>
      </c>
      <c r="B10002" t="str">
        <f>"SAÍDA"</f>
        <v>SAÍDA</v>
      </c>
      <c r="C10002" t="str">
        <f>"PIX"</f>
        <v>PIX</v>
      </c>
      <c r="D10002" t="str">
        <f>"25017"</f>
        <v>25017</v>
      </c>
      <c r="E10002" t="str">
        <f>"1"</f>
        <v>1</v>
      </c>
      <c r="F10002" t="str">
        <f t="shared" si="1941"/>
        <v>COM</v>
      </c>
      <c r="G10002" t="str">
        <f>"BRENO VIANA MONTEIRO RODRIGUES (811)"</f>
        <v>BRENO VIANA MONTEIRO RODRIGUES (811)</v>
      </c>
      <c r="H10002" t="str">
        <f>"Serv.Prest. 03/11/2025 a 09/11/2025 - PIX: CNPJ - CHAVE: 51.676.704/0001-10"</f>
        <v>Serv.Prest. 03/11/2025 a 09/11/2025 - PIX: CNPJ - CHAVE: 51.676.704/0001-10</v>
      </c>
      <c r="I10002" t="str">
        <f>("13/11/2025")</f>
        <v>13/11/2025</v>
      </c>
      <c r="J10002" t="str">
        <f>("10/11/2025")</f>
        <v>10/11/2025</v>
      </c>
      <c r="K10002" t="str">
        <f>("13/11/2025")</f>
        <v>13/11/2025</v>
      </c>
      <c r="L10002">
        <v>20</v>
      </c>
      <c r="M10002">
        <v>20</v>
      </c>
      <c r="N10002">
        <v>109</v>
      </c>
      <c r="O10002" t="str">
        <f>"PAGAMENTO DE ENTREGADORES"</f>
        <v>PAGAMENTO DE ENTREGADORES</v>
      </c>
      <c r="P10002">
        <v>20</v>
      </c>
      <c r="S10002" t="str">
        <f>"CAIXA MOVIMENTAÇÃO OPERACIONAL (132)"</f>
        <v>CAIXA MOVIMENTAÇÃO OPERACIONAL (132)</v>
      </c>
      <c r="T10002">
        <v>20929</v>
      </c>
      <c r="U10002">
        <v>25328</v>
      </c>
      <c r="V10002" t="s">
        <v>48</v>
      </c>
    </row>
    <row r="10003" spans="1:22">
      <c r="A10003" t="str">
        <f t="shared" si="1939"/>
        <v>13/11/2025</v>
      </c>
      <c r="B10003" t="str">
        <f>"SAÍDA"</f>
        <v>SAÍDA</v>
      </c>
      <c r="C10003" t="str">
        <f>"PIX"</f>
        <v>PIX</v>
      </c>
      <c r="D10003" t="str">
        <f>"25017"</f>
        <v>25017</v>
      </c>
      <c r="E10003" t="str">
        <f>"1"</f>
        <v>1</v>
      </c>
      <c r="F10003" t="str">
        <f t="shared" si="1941"/>
        <v>COM</v>
      </c>
      <c r="G10003" t="str">
        <f>"BRENO VIANA MONTEIRO RODRIGUES (811)"</f>
        <v>BRENO VIANA MONTEIRO RODRIGUES (811)</v>
      </c>
      <c r="H10003" t="s">
        <v>2816</v>
      </c>
      <c r="I10003" t="str">
        <f>("13/11/2025")</f>
        <v>13/11/2025</v>
      </c>
      <c r="J10003" t="str">
        <f>("10/11/2025")</f>
        <v>10/11/2025</v>
      </c>
      <c r="K10003">
        <v>45974</v>
      </c>
      <c r="N10003">
        <v>109</v>
      </c>
      <c r="O10003" t="s">
        <v>24</v>
      </c>
      <c r="Q10003">
        <v>20</v>
      </c>
      <c r="R10003" t="str">
        <f>"DROGARIA ANA VISCONDE DO RIO BRANCO (10182)"</f>
        <v>DROGARIA ANA VISCONDE DO RIO BRANCO (10182)</v>
      </c>
      <c r="S10003" t="s">
        <v>48</v>
      </c>
      <c r="T10003">
        <v>20929</v>
      </c>
      <c r="U10003">
        <v>25328</v>
      </c>
      <c r="V10003" t="s">
        <v>48</v>
      </c>
    </row>
    <row r="10004" spans="1:22">
      <c r="A10004" t="str">
        <f t="shared" si="1939"/>
        <v>13/11/2025</v>
      </c>
      <c r="B10004" t="str">
        <f>"ENTRADA"</f>
        <v>ENTRADA</v>
      </c>
      <c r="C10004" t="str">
        <f>"DINHEIRO"</f>
        <v>DINHEIRO</v>
      </c>
      <c r="D10004" t="str">
        <f>"952"</f>
        <v>952</v>
      </c>
      <c r="E10004" t="str">
        <f>"2"</f>
        <v>2</v>
      </c>
      <c r="F10004" t="str">
        <f t="shared" si="1941"/>
        <v>COM</v>
      </c>
      <c r="G10004" t="str">
        <f>"BRUNO ANDRADE LESSA (952)"</f>
        <v>BRUNO ANDRADE LESSA (952)</v>
      </c>
      <c r="H10004" t="str">
        <f>"COTA COOPERATIVA"</f>
        <v>COTA COOPERATIVA</v>
      </c>
      <c r="I10004" t="str">
        <f>("10/11/2025")</f>
        <v>10/11/2025</v>
      </c>
      <c r="J10004" t="str">
        <f>("22/09/2025")</f>
        <v>22/09/2025</v>
      </c>
      <c r="K10004" t="str">
        <f>("13/11/2025")</f>
        <v>13/11/2025</v>
      </c>
      <c r="L10004">
        <v>20</v>
      </c>
      <c r="M10004">
        <v>20</v>
      </c>
      <c r="N10004">
        <v>106</v>
      </c>
      <c r="O10004" t="str">
        <f>"ENTRADA DE CAPITAL"</f>
        <v>ENTRADA DE CAPITAL</v>
      </c>
      <c r="P10004">
        <v>20</v>
      </c>
      <c r="S10004" t="str">
        <f>"ENTRADA DE CAPITAL (106)"</f>
        <v>ENTRADA DE CAPITAL (106)</v>
      </c>
      <c r="T10004">
        <v>20930</v>
      </c>
      <c r="U10004">
        <v>23176</v>
      </c>
      <c r="V10004" t="s">
        <v>48</v>
      </c>
    </row>
    <row r="10005" spans="1:22">
      <c r="A10005" t="str">
        <f t="shared" si="1939"/>
        <v>13/11/2025</v>
      </c>
      <c r="B10005" t="str">
        <f>"ENTRADA"</f>
        <v>ENTRADA</v>
      </c>
      <c r="C10005" t="str">
        <f>"DINHEIRO"</f>
        <v>DINHEIRO</v>
      </c>
      <c r="D10005" t="str">
        <f>"952"</f>
        <v>952</v>
      </c>
      <c r="E10005" t="str">
        <f>"2"</f>
        <v>2</v>
      </c>
      <c r="F10005" t="str">
        <f t="shared" si="1941"/>
        <v>COM</v>
      </c>
      <c r="G10005" t="str">
        <f>"BRUNO ANDRADE LESSA (952)"</f>
        <v>BRUNO ANDRADE LESSA (952)</v>
      </c>
      <c r="H10005" t="s">
        <v>50</v>
      </c>
      <c r="I10005" t="str">
        <f>("10/11/2025")</f>
        <v>10/11/2025</v>
      </c>
      <c r="J10005" t="str">
        <f>("22/09/2025")</f>
        <v>22/09/2025</v>
      </c>
      <c r="K10005">
        <v>45974</v>
      </c>
      <c r="N10005">
        <v>106</v>
      </c>
      <c r="O10005" t="s">
        <v>51</v>
      </c>
      <c r="Q10005">
        <v>20</v>
      </c>
      <c r="R10005" t="str">
        <f>"BRUNO ANDRADE LESSA (952)"</f>
        <v>BRUNO ANDRADE LESSA (952)</v>
      </c>
      <c r="S10005" t="s">
        <v>52</v>
      </c>
      <c r="T10005">
        <v>20930</v>
      </c>
      <c r="U10005">
        <v>23176</v>
      </c>
      <c r="V10005" t="s">
        <v>48</v>
      </c>
    </row>
    <row r="10006" spans="1:22">
      <c r="A10006" t="str">
        <f t="shared" si="1939"/>
        <v>13/11/2025</v>
      </c>
      <c r="B10006" t="str">
        <f>"SAÍDA"</f>
        <v>SAÍDA</v>
      </c>
      <c r="C10006" t="str">
        <f>"PIX"</f>
        <v>PIX</v>
      </c>
      <c r="D10006" t="str">
        <f>"25069"</f>
        <v>25069</v>
      </c>
      <c r="E10006" t="str">
        <f>"1"</f>
        <v>1</v>
      </c>
      <c r="F10006" t="str">
        <f t="shared" si="1941"/>
        <v>COM</v>
      </c>
      <c r="G10006" t="str">
        <f>"BRUNO ANDRADE LESSA (952)"</f>
        <v>BRUNO ANDRADE LESSA (952)</v>
      </c>
      <c r="H10006" t="str">
        <f>"Serv.Prest. 03/11/2025 a 09/11/2025 - PIX: CELULAR - CHAVE: (28) 99988-2177"</f>
        <v>Serv.Prest. 03/11/2025 a 09/11/2025 - PIX: CELULAR - CHAVE: (28) 99988-2177</v>
      </c>
      <c r="I10006" t="str">
        <f>("13/11/2025")</f>
        <v>13/11/2025</v>
      </c>
      <c r="J10006" t="str">
        <f>("10/11/2025")</f>
        <v>10/11/2025</v>
      </c>
      <c r="K10006" t="str">
        <f>("13/11/2025")</f>
        <v>13/11/2025</v>
      </c>
      <c r="L10006">
        <v>20</v>
      </c>
      <c r="M10006">
        <v>20</v>
      </c>
      <c r="N10006">
        <v>109</v>
      </c>
      <c r="O10006" t="str">
        <f>"PAGAMENTO DE ENTREGADORES"</f>
        <v>PAGAMENTO DE ENTREGADORES</v>
      </c>
      <c r="P10006">
        <v>20</v>
      </c>
      <c r="S10006" t="str">
        <f>"CAIXA MOVIMENTAÇÃO OPERACIONAL (132)"</f>
        <v>CAIXA MOVIMENTAÇÃO OPERACIONAL (132)</v>
      </c>
      <c r="T10006">
        <v>20931</v>
      </c>
      <c r="U10006">
        <v>25336</v>
      </c>
      <c r="V10006" t="s">
        <v>48</v>
      </c>
    </row>
    <row r="10007" spans="1:22">
      <c r="A10007" t="str">
        <f t="shared" si="1939"/>
        <v>13/11/2025</v>
      </c>
      <c r="B10007" t="str">
        <f>"SAÍDA"</f>
        <v>SAÍDA</v>
      </c>
      <c r="C10007" t="str">
        <f>"PIX"</f>
        <v>PIX</v>
      </c>
      <c r="D10007" t="str">
        <f>"25069"</f>
        <v>25069</v>
      </c>
      <c r="E10007" t="str">
        <f>"1"</f>
        <v>1</v>
      </c>
      <c r="F10007" t="str">
        <f t="shared" si="1941"/>
        <v>COM</v>
      </c>
      <c r="G10007" t="str">
        <f>"BRUNO ANDRADE LESSA (952)"</f>
        <v>BRUNO ANDRADE LESSA (952)</v>
      </c>
      <c r="H10007" t="s">
        <v>2817</v>
      </c>
      <c r="I10007" t="str">
        <f>("13/11/2025")</f>
        <v>13/11/2025</v>
      </c>
      <c r="J10007" t="str">
        <f>("10/11/2025")</f>
        <v>10/11/2025</v>
      </c>
      <c r="K10007">
        <v>45974</v>
      </c>
      <c r="N10007">
        <v>109</v>
      </c>
      <c r="O10007" t="s">
        <v>24</v>
      </c>
      <c r="Q10007">
        <v>20</v>
      </c>
      <c r="R10007" t="str">
        <f>"LBL FARMACIA LTDA FILIAL (10192)"</f>
        <v>LBL FARMACIA LTDA FILIAL (10192)</v>
      </c>
      <c r="S10007" t="s">
        <v>48</v>
      </c>
      <c r="T10007">
        <v>20931</v>
      </c>
      <c r="U10007">
        <v>25336</v>
      </c>
      <c r="V10007" t="s">
        <v>48</v>
      </c>
    </row>
    <row r="10008" spans="1:22">
      <c r="A10008" t="str">
        <f t="shared" si="1939"/>
        <v>13/11/2025</v>
      </c>
      <c r="B10008" t="str">
        <f>"ENTRADA"</f>
        <v>ENTRADA</v>
      </c>
      <c r="C10008" t="str">
        <f>"DINHEIRO"</f>
        <v>DINHEIRO</v>
      </c>
      <c r="D10008" t="str">
        <f>"702"</f>
        <v>702</v>
      </c>
      <c r="E10008" t="str">
        <f>"8"</f>
        <v>8</v>
      </c>
      <c r="F10008" t="str">
        <f t="shared" si="1941"/>
        <v>COM</v>
      </c>
      <c r="G10008" t="str">
        <f>"BRUNO DOS SANTOS MACHADO (702)"</f>
        <v>BRUNO DOS SANTOS MACHADO (702)</v>
      </c>
      <c r="H10008" t="str">
        <f>"COTA COOPERATIVA"</f>
        <v>COTA COOPERATIVA</v>
      </c>
      <c r="I10008" t="str">
        <f>("10/11/2025")</f>
        <v>10/11/2025</v>
      </c>
      <c r="J10008" t="str">
        <f>("17/03/2025")</f>
        <v>17/03/2025</v>
      </c>
      <c r="K10008" t="str">
        <f>("13/11/2025")</f>
        <v>13/11/2025</v>
      </c>
      <c r="L10008">
        <v>20</v>
      </c>
      <c r="M10008">
        <v>20</v>
      </c>
      <c r="N10008">
        <v>106</v>
      </c>
      <c r="O10008" t="str">
        <f>"ENTRADA DE CAPITAL"</f>
        <v>ENTRADA DE CAPITAL</v>
      </c>
      <c r="P10008">
        <v>20</v>
      </c>
      <c r="S10008" t="str">
        <f>"ENTRADA DE CAPITAL (106)"</f>
        <v>ENTRADA DE CAPITAL (106)</v>
      </c>
      <c r="T10008">
        <v>20932</v>
      </c>
      <c r="U10008">
        <v>11788</v>
      </c>
      <c r="V10008" t="s">
        <v>48</v>
      </c>
    </row>
    <row r="10009" spans="1:22">
      <c r="A10009" t="str">
        <f t="shared" si="1939"/>
        <v>13/11/2025</v>
      </c>
      <c r="B10009" t="str">
        <f>"ENTRADA"</f>
        <v>ENTRADA</v>
      </c>
      <c r="C10009" t="str">
        <f>"DINHEIRO"</f>
        <v>DINHEIRO</v>
      </c>
      <c r="D10009" t="str">
        <f>"702"</f>
        <v>702</v>
      </c>
      <c r="E10009" t="str">
        <f>"8"</f>
        <v>8</v>
      </c>
      <c r="F10009" t="str">
        <f t="shared" si="1941"/>
        <v>COM</v>
      </c>
      <c r="G10009" t="str">
        <f>"BRUNO DOS SANTOS MACHADO (702)"</f>
        <v>BRUNO DOS SANTOS MACHADO (702)</v>
      </c>
      <c r="H10009" t="s">
        <v>50</v>
      </c>
      <c r="I10009" t="str">
        <f>("10/11/2025")</f>
        <v>10/11/2025</v>
      </c>
      <c r="J10009" t="str">
        <f>("17/03/2025")</f>
        <v>17/03/2025</v>
      </c>
      <c r="K10009">
        <v>45974</v>
      </c>
      <c r="N10009">
        <v>106</v>
      </c>
      <c r="O10009" t="s">
        <v>51</v>
      </c>
      <c r="Q10009">
        <v>20</v>
      </c>
      <c r="R10009" t="str">
        <f>"BRUNO DOS SANTOS MACHADO (702)"</f>
        <v>BRUNO DOS SANTOS MACHADO (702)</v>
      </c>
      <c r="S10009" t="s">
        <v>52</v>
      </c>
      <c r="T10009">
        <v>20932</v>
      </c>
      <c r="U10009">
        <v>11788</v>
      </c>
      <c r="V10009" t="s">
        <v>48</v>
      </c>
    </row>
    <row r="10010" spans="1:22">
      <c r="A10010" t="str">
        <f t="shared" si="1939"/>
        <v>13/11/2025</v>
      </c>
      <c r="B10010" t="str">
        <f t="shared" ref="B10010:B10015" si="1943">"SAÍDA"</f>
        <v>SAÍDA</v>
      </c>
      <c r="C10010" t="str">
        <f t="shared" ref="C10010:C10015" si="1944">"PIX"</f>
        <v>PIX</v>
      </c>
      <c r="D10010" t="str">
        <f>"24735"</f>
        <v>24735</v>
      </c>
      <c r="E10010" t="str">
        <f t="shared" ref="E10010:E10015" si="1945">"1"</f>
        <v>1</v>
      </c>
      <c r="F10010" t="str">
        <f t="shared" si="1941"/>
        <v>COM</v>
      </c>
      <c r="G10010" t="str">
        <f>"BRUNO DOS SANTOS MACHADO (702)"</f>
        <v>BRUNO DOS SANTOS MACHADO (702)</v>
      </c>
      <c r="H10010" t="str">
        <f>"Serv.Prest. 24/10/2025 a 02/11/2025 - PIX: CPF - CHAVE: 155.328.666-94"</f>
        <v>Serv.Prest. 24/10/2025 a 02/11/2025 - PIX: CPF - CHAVE: 155.328.666-94</v>
      </c>
      <c r="I10010" t="str">
        <f t="shared" ref="I10010:I10015" si="1946">("13/11/2025")</f>
        <v>13/11/2025</v>
      </c>
      <c r="J10010" t="str">
        <f t="shared" ref="J10010:J10015" si="1947">("04/11/2025")</f>
        <v>04/11/2025</v>
      </c>
      <c r="K10010" t="str">
        <f>("13/11/2025")</f>
        <v>13/11/2025</v>
      </c>
      <c r="L10010">
        <v>20</v>
      </c>
      <c r="M10010">
        <v>20</v>
      </c>
      <c r="N10010">
        <v>109</v>
      </c>
      <c r="O10010" t="str">
        <f>"PAGAMENTO DE ENTREGADORES"</f>
        <v>PAGAMENTO DE ENTREGADORES</v>
      </c>
      <c r="P10010">
        <v>20</v>
      </c>
      <c r="S10010" t="str">
        <f>"CAIXA MOVIMENTAÇÃO OPERACIONAL (132)"</f>
        <v>CAIXA MOVIMENTAÇÃO OPERACIONAL (132)</v>
      </c>
      <c r="T10010">
        <v>20933</v>
      </c>
      <c r="U10010">
        <v>25338</v>
      </c>
      <c r="V10010" t="s">
        <v>48</v>
      </c>
    </row>
    <row r="10011" spans="1:22">
      <c r="A10011" t="str">
        <f t="shared" si="1939"/>
        <v>13/11/2025</v>
      </c>
      <c r="B10011" t="str">
        <f t="shared" si="1943"/>
        <v>SAÍDA</v>
      </c>
      <c r="C10011" t="str">
        <f t="shared" si="1944"/>
        <v>PIX</v>
      </c>
      <c r="D10011" t="str">
        <f>"24735"</f>
        <v>24735</v>
      </c>
      <c r="E10011" t="str">
        <f t="shared" si="1945"/>
        <v>1</v>
      </c>
      <c r="F10011" t="str">
        <f t="shared" si="1941"/>
        <v>COM</v>
      </c>
      <c r="G10011" t="str">
        <f>"BRUNO DOS SANTOS MACHADO (702)"</f>
        <v>BRUNO DOS SANTOS MACHADO (702)</v>
      </c>
      <c r="H10011" t="s">
        <v>2818</v>
      </c>
      <c r="I10011" t="str">
        <f t="shared" si="1946"/>
        <v>13/11/2025</v>
      </c>
      <c r="J10011" t="str">
        <f t="shared" si="1947"/>
        <v>04/11/2025</v>
      </c>
      <c r="K10011">
        <v>45974</v>
      </c>
      <c r="N10011">
        <v>109</v>
      </c>
      <c r="O10011" t="s">
        <v>24</v>
      </c>
      <c r="Q10011">
        <v>10</v>
      </c>
      <c r="R10011" t="str">
        <f>"FARMÁCIA INDIANA LJ 204 (10087)"</f>
        <v>FARMÁCIA INDIANA LJ 204 (10087)</v>
      </c>
      <c r="S10011" t="s">
        <v>48</v>
      </c>
      <c r="T10011">
        <v>20933</v>
      </c>
      <c r="U10011">
        <v>25338</v>
      </c>
      <c r="V10011" t="s">
        <v>48</v>
      </c>
    </row>
    <row r="10012" spans="1:22">
      <c r="A10012" t="str">
        <f t="shared" si="1939"/>
        <v>13/11/2025</v>
      </c>
      <c r="B10012" t="str">
        <f t="shared" si="1943"/>
        <v>SAÍDA</v>
      </c>
      <c r="C10012" t="str">
        <f t="shared" si="1944"/>
        <v>PIX</v>
      </c>
      <c r="D10012" t="str">
        <f>"24735"</f>
        <v>24735</v>
      </c>
      <c r="E10012" t="str">
        <f t="shared" si="1945"/>
        <v>1</v>
      </c>
      <c r="F10012" t="str">
        <f t="shared" si="1941"/>
        <v>COM</v>
      </c>
      <c r="G10012" t="str">
        <f>"BRUNO DOS SANTOS MACHADO (702)"</f>
        <v>BRUNO DOS SANTOS MACHADO (702)</v>
      </c>
      <c r="H10012" t="s">
        <v>2818</v>
      </c>
      <c r="I10012" t="str">
        <f t="shared" si="1946"/>
        <v>13/11/2025</v>
      </c>
      <c r="J10012" t="str">
        <f t="shared" si="1947"/>
        <v>04/11/2025</v>
      </c>
      <c r="K10012">
        <v>45974</v>
      </c>
      <c r="N10012">
        <v>109</v>
      </c>
      <c r="O10012" t="s">
        <v>24</v>
      </c>
      <c r="Q10012">
        <v>10</v>
      </c>
      <c r="R10012" t="str">
        <f>"FARMÁCIA INDIANA LJ 266 (10186)"</f>
        <v>FARMÁCIA INDIANA LJ 266 (10186)</v>
      </c>
      <c r="S10012" t="s">
        <v>48</v>
      </c>
      <c r="T10012">
        <v>20933</v>
      </c>
      <c r="U10012">
        <v>25338</v>
      </c>
      <c r="V10012" t="s">
        <v>48</v>
      </c>
    </row>
    <row r="10013" spans="1:22">
      <c r="A10013" t="str">
        <f t="shared" si="1939"/>
        <v>13/11/2025</v>
      </c>
      <c r="B10013" t="str">
        <f t="shared" si="1943"/>
        <v>SAÍDA</v>
      </c>
      <c r="C10013" t="str">
        <f t="shared" si="1944"/>
        <v>PIX</v>
      </c>
      <c r="D10013" t="str">
        <f>"24736"</f>
        <v>24736</v>
      </c>
      <c r="E10013" t="str">
        <f t="shared" si="1945"/>
        <v>1</v>
      </c>
      <c r="F10013" t="str">
        <f t="shared" si="1941"/>
        <v>COM</v>
      </c>
      <c r="G10013" t="str">
        <f>"BRUNO WAGNER DE CARVALHO OLIVEIRA (84)"</f>
        <v>BRUNO WAGNER DE CARVALHO OLIVEIRA (84)</v>
      </c>
      <c r="H10013" t="str">
        <f>"Serv.Prest. 24/10/2025 a 02/11/2025 - PIX: CELULAR - CHAVE: (32) 98896-0708"</f>
        <v>Serv.Prest. 24/10/2025 a 02/11/2025 - PIX: CELULAR - CHAVE: (32) 98896-0708</v>
      </c>
      <c r="I10013" t="str">
        <f t="shared" si="1946"/>
        <v>13/11/2025</v>
      </c>
      <c r="J10013" t="str">
        <f t="shared" si="1947"/>
        <v>04/11/2025</v>
      </c>
      <c r="K10013" t="str">
        <f>("13/11/2025")</f>
        <v>13/11/2025</v>
      </c>
      <c r="L10013">
        <v>20</v>
      </c>
      <c r="M10013">
        <v>20</v>
      </c>
      <c r="N10013">
        <v>109</v>
      </c>
      <c r="O10013" t="str">
        <f>"PAGAMENTO DE ENTREGADORES"</f>
        <v>PAGAMENTO DE ENTREGADORES</v>
      </c>
      <c r="P10013">
        <v>20</v>
      </c>
      <c r="S10013" t="str">
        <f>"CAIXA MOVIMENTAÇÃO OPERACIONAL (132)"</f>
        <v>CAIXA MOVIMENTAÇÃO OPERACIONAL (132)</v>
      </c>
      <c r="T10013">
        <v>20934</v>
      </c>
      <c r="U10013">
        <v>25339</v>
      </c>
      <c r="V10013" t="s">
        <v>48</v>
      </c>
    </row>
    <row r="10014" spans="1:22">
      <c r="A10014" t="str">
        <f t="shared" si="1939"/>
        <v>13/11/2025</v>
      </c>
      <c r="B10014" t="str">
        <f t="shared" si="1943"/>
        <v>SAÍDA</v>
      </c>
      <c r="C10014" t="str">
        <f t="shared" si="1944"/>
        <v>PIX</v>
      </c>
      <c r="D10014" t="str">
        <f>"24736"</f>
        <v>24736</v>
      </c>
      <c r="E10014" t="str">
        <f t="shared" si="1945"/>
        <v>1</v>
      </c>
      <c r="F10014" t="str">
        <f t="shared" si="1941"/>
        <v>COM</v>
      </c>
      <c r="G10014" t="str">
        <f>"BRUNO WAGNER DE CARVALHO OLIVEIRA (84)"</f>
        <v>BRUNO WAGNER DE CARVALHO OLIVEIRA (84)</v>
      </c>
      <c r="H10014" t="s">
        <v>2819</v>
      </c>
      <c r="I10014" t="str">
        <f t="shared" si="1946"/>
        <v>13/11/2025</v>
      </c>
      <c r="J10014" t="str">
        <f t="shared" si="1947"/>
        <v>04/11/2025</v>
      </c>
      <c r="K10014">
        <v>45974</v>
      </c>
      <c r="N10014">
        <v>109</v>
      </c>
      <c r="O10014" t="s">
        <v>24</v>
      </c>
      <c r="Q10014">
        <v>5</v>
      </c>
      <c r="R10014" t="str">
        <f>"FARMÁCIA INDIANA LJ 182 (10079)"</f>
        <v>FARMÁCIA INDIANA LJ 182 (10079)</v>
      </c>
      <c r="S10014" t="s">
        <v>48</v>
      </c>
      <c r="T10014">
        <v>20934</v>
      </c>
      <c r="U10014">
        <v>25339</v>
      </c>
      <c r="V10014" t="s">
        <v>48</v>
      </c>
    </row>
    <row r="10015" spans="1:22">
      <c r="A10015" t="str">
        <f t="shared" ref="A10015:A10078" si="1948">("13/11/2025")</f>
        <v>13/11/2025</v>
      </c>
      <c r="B10015" t="str">
        <f t="shared" si="1943"/>
        <v>SAÍDA</v>
      </c>
      <c r="C10015" t="str">
        <f t="shared" si="1944"/>
        <v>PIX</v>
      </c>
      <c r="D10015" t="str">
        <f>"24736"</f>
        <v>24736</v>
      </c>
      <c r="E10015" t="str">
        <f t="shared" si="1945"/>
        <v>1</v>
      </c>
      <c r="F10015" t="str">
        <f t="shared" si="1941"/>
        <v>COM</v>
      </c>
      <c r="G10015" t="str">
        <f>"BRUNO WAGNER DE CARVALHO OLIVEIRA (84)"</f>
        <v>BRUNO WAGNER DE CARVALHO OLIVEIRA (84)</v>
      </c>
      <c r="H10015" t="s">
        <v>2819</v>
      </c>
      <c r="I10015" t="str">
        <f t="shared" si="1946"/>
        <v>13/11/2025</v>
      </c>
      <c r="J10015" t="str">
        <f t="shared" si="1947"/>
        <v>04/11/2025</v>
      </c>
      <c r="K10015">
        <v>45974</v>
      </c>
      <c r="N10015">
        <v>109</v>
      </c>
      <c r="O10015" t="s">
        <v>24</v>
      </c>
      <c r="Q10015">
        <v>15</v>
      </c>
      <c r="R10015" t="str">
        <f>"FARMÁCIA INDIANA LJ 186 (10081)"</f>
        <v>FARMÁCIA INDIANA LJ 186 (10081)</v>
      </c>
      <c r="S10015" t="s">
        <v>48</v>
      </c>
      <c r="T10015">
        <v>20934</v>
      </c>
      <c r="U10015">
        <v>25339</v>
      </c>
      <c r="V10015" t="s">
        <v>48</v>
      </c>
    </row>
    <row r="10016" spans="1:22">
      <c r="A10016" t="str">
        <f t="shared" si="1948"/>
        <v>13/11/2025</v>
      </c>
      <c r="B10016" t="str">
        <f>"ENTRADA"</f>
        <v>ENTRADA</v>
      </c>
      <c r="C10016" t="str">
        <f>"DINHEIRO"</f>
        <v>DINHEIRO</v>
      </c>
      <c r="D10016" t="str">
        <f>"10"</f>
        <v>10</v>
      </c>
      <c r="E10016" t="str">
        <f>"35"</f>
        <v>35</v>
      </c>
      <c r="F10016" t="str">
        <f t="shared" si="1941"/>
        <v>COM</v>
      </c>
      <c r="G10016" t="str">
        <f>"BRUNO WAGNER DE CARVALHO OLIVEIRA (84)"</f>
        <v>BRUNO WAGNER DE CARVALHO OLIVEIRA (84)</v>
      </c>
      <c r="H10016" t="str">
        <f>"DESCONTO COTA COOPERADO"</f>
        <v>DESCONTO COTA COOPERADO</v>
      </c>
      <c r="I10016" t="str">
        <f>("16/11/2025")</f>
        <v>16/11/2025</v>
      </c>
      <c r="J10016" t="str">
        <f>("15/01/2025")</f>
        <v>15/01/2025</v>
      </c>
      <c r="K10016" t="str">
        <f>("13/11/2025")</f>
        <v>13/11/2025</v>
      </c>
      <c r="L10016">
        <v>20</v>
      </c>
      <c r="M10016">
        <v>20</v>
      </c>
      <c r="N10016">
        <v>106</v>
      </c>
      <c r="O10016" t="str">
        <f>"ENTRADA DE CAPITAL"</f>
        <v>ENTRADA DE CAPITAL</v>
      </c>
      <c r="P10016">
        <v>20</v>
      </c>
      <c r="S10016" t="str">
        <f>"ENTRADA DE CAPITAL (106)"</f>
        <v>ENTRADA DE CAPITAL (106)</v>
      </c>
      <c r="T10016">
        <v>20935</v>
      </c>
      <c r="U10016">
        <v>5900</v>
      </c>
      <c r="V10016" t="s">
        <v>48</v>
      </c>
    </row>
    <row r="10017" spans="1:22">
      <c r="A10017" t="str">
        <f t="shared" si="1948"/>
        <v>13/11/2025</v>
      </c>
      <c r="B10017" t="str">
        <f>"ENTRADA"</f>
        <v>ENTRADA</v>
      </c>
      <c r="C10017" t="str">
        <f>"DINHEIRO"</f>
        <v>DINHEIRO</v>
      </c>
      <c r="D10017" t="str">
        <f>"10"</f>
        <v>10</v>
      </c>
      <c r="E10017" t="str">
        <f>"35"</f>
        <v>35</v>
      </c>
      <c r="F10017" t="str">
        <f t="shared" si="1941"/>
        <v>COM</v>
      </c>
      <c r="G10017" t="str">
        <f>"BRUNO WAGNER DE CARVALHO OLIVEIRA (84)"</f>
        <v>BRUNO WAGNER DE CARVALHO OLIVEIRA (84)</v>
      </c>
      <c r="H10017" t="s">
        <v>309</v>
      </c>
      <c r="I10017" t="str">
        <f>("16/11/2025")</f>
        <v>16/11/2025</v>
      </c>
      <c r="J10017" t="str">
        <f>("15/01/2025")</f>
        <v>15/01/2025</v>
      </c>
      <c r="K10017">
        <v>45974</v>
      </c>
      <c r="N10017">
        <v>106</v>
      </c>
      <c r="O10017" t="s">
        <v>51</v>
      </c>
      <c r="Q10017">
        <v>20</v>
      </c>
      <c r="R10017" t="str">
        <f>"BRUNO WAGNER DE CARVALHO OLIVEIRA (84)"</f>
        <v>BRUNO WAGNER DE CARVALHO OLIVEIRA (84)</v>
      </c>
      <c r="S10017" t="s">
        <v>52</v>
      </c>
      <c r="T10017">
        <v>20935</v>
      </c>
      <c r="U10017">
        <v>5900</v>
      </c>
      <c r="V10017" t="s">
        <v>48</v>
      </c>
    </row>
    <row r="10018" spans="1:22">
      <c r="A10018" t="str">
        <f t="shared" si="1948"/>
        <v>13/11/2025</v>
      </c>
      <c r="B10018" t="str">
        <f>"SAÍDA"</f>
        <v>SAÍDA</v>
      </c>
      <c r="C10018" t="str">
        <f>"PIX"</f>
        <v>PIX</v>
      </c>
      <c r="D10018" t="str">
        <f>"24738"</f>
        <v>24738</v>
      </c>
      <c r="E10018" t="str">
        <f>"1"</f>
        <v>1</v>
      </c>
      <c r="F10018" t="str">
        <f t="shared" si="1941"/>
        <v>COM</v>
      </c>
      <c r="G10018" t="str">
        <f>"CARLOS ROBERTO BADARÓ MACHADO (78)"</f>
        <v>CARLOS ROBERTO BADARÓ MACHADO (78)</v>
      </c>
      <c r="H10018" t="str">
        <f>"Serv.Prest. 24/10/2025 a 02/11/2025 - PIX: CELULAR - CHAVE: (32) 99166-8238"</f>
        <v>Serv.Prest. 24/10/2025 a 02/11/2025 - PIX: CELULAR - CHAVE: (32) 99166-8238</v>
      </c>
      <c r="I10018" t="str">
        <f>("13/11/2025")</f>
        <v>13/11/2025</v>
      </c>
      <c r="J10018" t="str">
        <f>("04/11/2025")</f>
        <v>04/11/2025</v>
      </c>
      <c r="K10018" t="str">
        <f>("13/11/2025")</f>
        <v>13/11/2025</v>
      </c>
      <c r="L10018">
        <v>20</v>
      </c>
      <c r="M10018">
        <v>20</v>
      </c>
      <c r="N10018">
        <v>109</v>
      </c>
      <c r="O10018" t="str">
        <f>"PAGAMENTO DE ENTREGADORES"</f>
        <v>PAGAMENTO DE ENTREGADORES</v>
      </c>
      <c r="P10018">
        <v>20</v>
      </c>
      <c r="S10018" t="str">
        <f>"CAIXA MOVIMENTAÇÃO OPERACIONAL (132)"</f>
        <v>CAIXA MOVIMENTAÇÃO OPERACIONAL (132)</v>
      </c>
      <c r="T10018">
        <v>20936</v>
      </c>
      <c r="U10018">
        <v>25340</v>
      </c>
      <c r="V10018" t="s">
        <v>48</v>
      </c>
    </row>
    <row r="10019" spans="1:22">
      <c r="A10019" t="str">
        <f t="shared" si="1948"/>
        <v>13/11/2025</v>
      </c>
      <c r="B10019" t="str">
        <f>"SAÍDA"</f>
        <v>SAÍDA</v>
      </c>
      <c r="C10019" t="str">
        <f>"PIX"</f>
        <v>PIX</v>
      </c>
      <c r="D10019" t="str">
        <f>"24738"</f>
        <v>24738</v>
      </c>
      <c r="E10019" t="str">
        <f>"1"</f>
        <v>1</v>
      </c>
      <c r="F10019" t="str">
        <f t="shared" si="1941"/>
        <v>COM</v>
      </c>
      <c r="G10019" t="str">
        <f>"CARLOS ROBERTO BADARÓ MACHADO (78)"</f>
        <v>CARLOS ROBERTO BADARÓ MACHADO (78)</v>
      </c>
      <c r="H10019" t="s">
        <v>2782</v>
      </c>
      <c r="I10019" t="str">
        <f>("13/11/2025")</f>
        <v>13/11/2025</v>
      </c>
      <c r="J10019" t="str">
        <f>("04/11/2025")</f>
        <v>04/11/2025</v>
      </c>
      <c r="K10019">
        <v>45974</v>
      </c>
      <c r="N10019">
        <v>109</v>
      </c>
      <c r="O10019" t="s">
        <v>24</v>
      </c>
      <c r="Q10019">
        <v>20</v>
      </c>
      <c r="R10019" t="str">
        <f>"FARMÁCIA INDIANA LJ 109 (10047)"</f>
        <v>FARMÁCIA INDIANA LJ 109 (10047)</v>
      </c>
      <c r="S10019" t="s">
        <v>48</v>
      </c>
      <c r="T10019">
        <v>20936</v>
      </c>
      <c r="U10019">
        <v>25340</v>
      </c>
      <c r="V10019" t="s">
        <v>48</v>
      </c>
    </row>
    <row r="10020" spans="1:22">
      <c r="A10020" t="str">
        <f t="shared" si="1948"/>
        <v>13/11/2025</v>
      </c>
      <c r="B10020" t="str">
        <f>"ENTRADA"</f>
        <v>ENTRADA</v>
      </c>
      <c r="C10020" t="str">
        <f>"DINHEIRO"</f>
        <v>DINHEIRO</v>
      </c>
      <c r="D10020" t="str">
        <f>"16"</f>
        <v>16</v>
      </c>
      <c r="E10020" t="str">
        <f>"34"</f>
        <v>34</v>
      </c>
      <c r="F10020" t="str">
        <f t="shared" si="1941"/>
        <v>COM</v>
      </c>
      <c r="G10020" t="str">
        <f>"CARLOS ROBERTO BADARÓ MACHADO (78)"</f>
        <v>CARLOS ROBERTO BADARÓ MACHADO (78)</v>
      </c>
      <c r="H10020" t="str">
        <f>"DESCONTO COTA COOPERADO"</f>
        <v>DESCONTO COTA COOPERADO</v>
      </c>
      <c r="I10020" t="str">
        <f>("16/11/2025")</f>
        <v>16/11/2025</v>
      </c>
      <c r="J10020" t="str">
        <f>("15/01/2025")</f>
        <v>15/01/2025</v>
      </c>
      <c r="K10020" t="str">
        <f>("13/11/2025")</f>
        <v>13/11/2025</v>
      </c>
      <c r="L10020">
        <v>20</v>
      </c>
      <c r="M10020">
        <v>20</v>
      </c>
      <c r="N10020">
        <v>106</v>
      </c>
      <c r="O10020" t="str">
        <f>"ENTRADA DE CAPITAL"</f>
        <v>ENTRADA DE CAPITAL</v>
      </c>
      <c r="P10020">
        <v>20</v>
      </c>
      <c r="S10020" t="str">
        <f>"ENTRADA DE CAPITAL (106)"</f>
        <v>ENTRADA DE CAPITAL (106)</v>
      </c>
      <c r="T10020">
        <v>20937</v>
      </c>
      <c r="U10020">
        <v>5949</v>
      </c>
      <c r="V10020" t="s">
        <v>48</v>
      </c>
    </row>
    <row r="10021" spans="1:22">
      <c r="A10021" t="str">
        <f t="shared" si="1948"/>
        <v>13/11/2025</v>
      </c>
      <c r="B10021" t="str">
        <f>"ENTRADA"</f>
        <v>ENTRADA</v>
      </c>
      <c r="C10021" t="str">
        <f>"DINHEIRO"</f>
        <v>DINHEIRO</v>
      </c>
      <c r="D10021" t="str">
        <f>"16"</f>
        <v>16</v>
      </c>
      <c r="E10021" t="str">
        <f>"34"</f>
        <v>34</v>
      </c>
      <c r="F10021" t="str">
        <f t="shared" si="1941"/>
        <v>COM</v>
      </c>
      <c r="G10021" t="str">
        <f>"CARLOS ROBERTO BADARÓ MACHADO (78)"</f>
        <v>CARLOS ROBERTO BADARÓ MACHADO (78)</v>
      </c>
      <c r="H10021" t="s">
        <v>309</v>
      </c>
      <c r="I10021" t="str">
        <f>("16/11/2025")</f>
        <v>16/11/2025</v>
      </c>
      <c r="J10021" t="str">
        <f>("15/01/2025")</f>
        <v>15/01/2025</v>
      </c>
      <c r="K10021">
        <v>45974</v>
      </c>
      <c r="N10021">
        <v>106</v>
      </c>
      <c r="O10021" t="s">
        <v>51</v>
      </c>
      <c r="Q10021">
        <v>20</v>
      </c>
      <c r="R10021" t="str">
        <f>"CARLOS ROBERTO BADARÓ MACHADO (78)"</f>
        <v>CARLOS ROBERTO BADARÓ MACHADO (78)</v>
      </c>
      <c r="S10021" t="s">
        <v>52</v>
      </c>
      <c r="T10021">
        <v>20937</v>
      </c>
      <c r="U10021">
        <v>5949</v>
      </c>
      <c r="V10021" t="s">
        <v>48</v>
      </c>
    </row>
    <row r="10022" spans="1:22">
      <c r="A10022" t="str">
        <f t="shared" si="1948"/>
        <v>13/11/2025</v>
      </c>
      <c r="B10022" t="str">
        <f>"ENTRADA"</f>
        <v>ENTRADA</v>
      </c>
      <c r="C10022" t="str">
        <f>"DINHEIRO"</f>
        <v>DINHEIRO</v>
      </c>
      <c r="D10022" t="str">
        <f>"681"</f>
        <v>681</v>
      </c>
      <c r="E10022" t="str">
        <f>"7"</f>
        <v>7</v>
      </c>
      <c r="F10022" t="str">
        <f t="shared" si="1941"/>
        <v>COM</v>
      </c>
      <c r="G10022" t="str">
        <f>"CLAUDINEI RIBEIRO VAL??RIO (681)"</f>
        <v>CLAUDINEI RIBEIRO VAL??RIO (681)</v>
      </c>
      <c r="H10022" t="str">
        <f>"COTA COOPERATIVA"</f>
        <v>COTA COOPERATIVA</v>
      </c>
      <c r="I10022" t="str">
        <f>("08/11/2025")</f>
        <v>08/11/2025</v>
      </c>
      <c r="J10022" t="str">
        <f>("31/03/2025")</f>
        <v>31/03/2025</v>
      </c>
      <c r="K10022" t="str">
        <f>("13/11/2025")</f>
        <v>13/11/2025</v>
      </c>
      <c r="L10022">
        <v>20</v>
      </c>
      <c r="M10022">
        <v>20</v>
      </c>
      <c r="N10022">
        <v>106</v>
      </c>
      <c r="O10022" t="str">
        <f>"ENTRADA DE CAPITAL"</f>
        <v>ENTRADA DE CAPITAL</v>
      </c>
      <c r="P10022">
        <v>20</v>
      </c>
      <c r="S10022" t="str">
        <f>"ENTRADA DE CAPITAL (106)"</f>
        <v>ENTRADA DE CAPITAL (106)</v>
      </c>
      <c r="T10022">
        <v>20938</v>
      </c>
      <c r="U10022">
        <v>13787</v>
      </c>
      <c r="V10022" t="s">
        <v>48</v>
      </c>
    </row>
    <row r="10023" spans="1:22">
      <c r="A10023" t="str">
        <f t="shared" si="1948"/>
        <v>13/11/2025</v>
      </c>
      <c r="B10023" t="str">
        <f>"ENTRADA"</f>
        <v>ENTRADA</v>
      </c>
      <c r="C10023" t="str">
        <f>"DINHEIRO"</f>
        <v>DINHEIRO</v>
      </c>
      <c r="D10023" t="str">
        <f>"681"</f>
        <v>681</v>
      </c>
      <c r="E10023" t="str">
        <f>"7"</f>
        <v>7</v>
      </c>
      <c r="F10023" t="str">
        <f t="shared" si="1941"/>
        <v>COM</v>
      </c>
      <c r="G10023" t="str">
        <f>"CLAUDINEI RIBEIRO VAL??RIO (681)"</f>
        <v>CLAUDINEI RIBEIRO VAL??RIO (681)</v>
      </c>
      <c r="H10023" t="s">
        <v>50</v>
      </c>
      <c r="I10023" t="str">
        <f>("08/11/2025")</f>
        <v>08/11/2025</v>
      </c>
      <c r="J10023" t="str">
        <f>("31/03/2025")</f>
        <v>31/03/2025</v>
      </c>
      <c r="K10023">
        <v>45974</v>
      </c>
      <c r="N10023">
        <v>106</v>
      </c>
      <c r="O10023" t="s">
        <v>51</v>
      </c>
      <c r="Q10023">
        <v>20</v>
      </c>
      <c r="R10023" t="str">
        <f>"CLAUDINEI RIBEIRO VAL??RIO (681)"</f>
        <v>CLAUDINEI RIBEIRO VAL??RIO (681)</v>
      </c>
      <c r="S10023" t="s">
        <v>52</v>
      </c>
      <c r="T10023">
        <v>20938</v>
      </c>
      <c r="U10023">
        <v>13787</v>
      </c>
      <c r="V10023" t="s">
        <v>48</v>
      </c>
    </row>
    <row r="10024" spans="1:22">
      <c r="A10024" t="str">
        <f t="shared" si="1948"/>
        <v>13/11/2025</v>
      </c>
      <c r="B10024" t="str">
        <f>"SAÍDA"</f>
        <v>SAÍDA</v>
      </c>
      <c r="C10024" t="str">
        <f>"PIX"</f>
        <v>PIX</v>
      </c>
      <c r="D10024" t="str">
        <f>"24884"</f>
        <v>24884</v>
      </c>
      <c r="E10024" t="str">
        <f>"1"</f>
        <v>1</v>
      </c>
      <c r="F10024" t="str">
        <f t="shared" si="1941"/>
        <v>COM</v>
      </c>
      <c r="G10024" t="str">
        <f>"CLAUDINEI RIBEIRO VALERIO (681)"</f>
        <v>CLAUDINEI RIBEIRO VALERIO (681)</v>
      </c>
      <c r="H10024" t="str">
        <f>"Serv.Prest. 27/10/2025 a 02/11/2025 - PIX: CELULAR - CHAVE: (43) 99630-7532"</f>
        <v>Serv.Prest. 27/10/2025 a 02/11/2025 - PIX: CELULAR - CHAVE: (43) 99630-7532</v>
      </c>
      <c r="I10024" t="str">
        <f>("13/11/2025")</f>
        <v>13/11/2025</v>
      </c>
      <c r="J10024" t="str">
        <f>("05/11/2025")</f>
        <v>05/11/2025</v>
      </c>
      <c r="K10024" t="str">
        <f>("13/11/2025")</f>
        <v>13/11/2025</v>
      </c>
      <c r="L10024">
        <v>20</v>
      </c>
      <c r="M10024">
        <v>20</v>
      </c>
      <c r="N10024">
        <v>109</v>
      </c>
      <c r="O10024" t="str">
        <f>"PAGAMENTO DE ENTREGADORES"</f>
        <v>PAGAMENTO DE ENTREGADORES</v>
      </c>
      <c r="P10024">
        <v>20</v>
      </c>
      <c r="S10024" t="str">
        <f>"CAIXA MOVIMENTAÇÃO OPERACIONAL (132)"</f>
        <v>CAIXA MOVIMENTAÇÃO OPERACIONAL (132)</v>
      </c>
      <c r="T10024">
        <v>20939</v>
      </c>
      <c r="U10024">
        <v>25341</v>
      </c>
      <c r="V10024" t="s">
        <v>48</v>
      </c>
    </row>
    <row r="10025" spans="1:22">
      <c r="A10025" t="str">
        <f t="shared" si="1948"/>
        <v>13/11/2025</v>
      </c>
      <c r="B10025" t="str">
        <f>"SAÍDA"</f>
        <v>SAÍDA</v>
      </c>
      <c r="C10025" t="str">
        <f>"PIX"</f>
        <v>PIX</v>
      </c>
      <c r="D10025" t="str">
        <f>"24884"</f>
        <v>24884</v>
      </c>
      <c r="E10025" t="str">
        <f>"1"</f>
        <v>1</v>
      </c>
      <c r="F10025" t="str">
        <f t="shared" si="1941"/>
        <v>COM</v>
      </c>
      <c r="G10025" t="str">
        <f>"CLAUDINEI RIBEIRO VALERIO (681)"</f>
        <v>CLAUDINEI RIBEIRO VALERIO (681)</v>
      </c>
      <c r="H10025" t="s">
        <v>2820</v>
      </c>
      <c r="I10025" t="str">
        <f>("13/11/2025")</f>
        <v>13/11/2025</v>
      </c>
      <c r="J10025" t="str">
        <f>("05/11/2025")</f>
        <v>05/11/2025</v>
      </c>
      <c r="K10025">
        <v>45974</v>
      </c>
      <c r="N10025">
        <v>109</v>
      </c>
      <c r="O10025" t="s">
        <v>24</v>
      </c>
      <c r="Q10025">
        <v>20</v>
      </c>
      <c r="R10025" t="str">
        <f>"AC FARMA - CID.ALTA (10166)"</f>
        <v>AC FARMA - CID.ALTA (10166)</v>
      </c>
      <c r="S10025" t="s">
        <v>48</v>
      </c>
      <c r="T10025">
        <v>20939</v>
      </c>
      <c r="U10025">
        <v>25341</v>
      </c>
      <c r="V10025" t="s">
        <v>48</v>
      </c>
    </row>
    <row r="10026" spans="1:22">
      <c r="A10026" t="str">
        <f t="shared" si="1948"/>
        <v>13/11/2025</v>
      </c>
      <c r="B10026" t="str">
        <f>"SAÍDA"</f>
        <v>SAÍDA</v>
      </c>
      <c r="C10026" t="str">
        <f>"PIX"</f>
        <v>PIX</v>
      </c>
      <c r="D10026" t="str">
        <f>"25061"</f>
        <v>25061</v>
      </c>
      <c r="E10026" t="str">
        <f>"1"</f>
        <v>1</v>
      </c>
      <c r="F10026" t="str">
        <f t="shared" si="1941"/>
        <v>COM</v>
      </c>
      <c r="G10026" t="str">
        <f>"CLAUDIO DOS SANTOS (507)"</f>
        <v>CLAUDIO DOS SANTOS (507)</v>
      </c>
      <c r="H10026" t="str">
        <f>"Serv.Prest. 03/11/2025 a 09/11/2025 - PIX: E-MAIL - CHAVE: claudioverdinho2009@hotmail.com"</f>
        <v>Serv.Prest. 03/11/2025 a 09/11/2025 - PIX: E-MAIL - CHAVE: claudioverdinho2009@hotmail.com</v>
      </c>
      <c r="I10026" t="str">
        <f>("13/11/2025")</f>
        <v>13/11/2025</v>
      </c>
      <c r="J10026" t="str">
        <f>("10/11/2025")</f>
        <v>10/11/2025</v>
      </c>
      <c r="K10026" t="str">
        <f>("13/11/2025")</f>
        <v>13/11/2025</v>
      </c>
      <c r="L10026">
        <v>20</v>
      </c>
      <c r="M10026">
        <v>20</v>
      </c>
      <c r="N10026">
        <v>109</v>
      </c>
      <c r="O10026" t="str">
        <f>"PAGAMENTO DE ENTREGADORES"</f>
        <v>PAGAMENTO DE ENTREGADORES</v>
      </c>
      <c r="P10026">
        <v>20</v>
      </c>
      <c r="S10026" t="str">
        <f>"CAIXA MOVIMENTAÇÃO OPERACIONAL (132)"</f>
        <v>CAIXA MOVIMENTAÇÃO OPERACIONAL (132)</v>
      </c>
      <c r="T10026">
        <v>20940</v>
      </c>
      <c r="U10026">
        <v>25342</v>
      </c>
      <c r="V10026" t="s">
        <v>48</v>
      </c>
    </row>
    <row r="10027" spans="1:22">
      <c r="A10027" t="str">
        <f t="shared" si="1948"/>
        <v>13/11/2025</v>
      </c>
      <c r="B10027" t="str">
        <f>"SAÍDA"</f>
        <v>SAÍDA</v>
      </c>
      <c r="C10027" t="str">
        <f>"PIX"</f>
        <v>PIX</v>
      </c>
      <c r="D10027" t="str">
        <f>"25061"</f>
        <v>25061</v>
      </c>
      <c r="E10027" t="str">
        <f>"1"</f>
        <v>1</v>
      </c>
      <c r="F10027" t="str">
        <f t="shared" si="1941"/>
        <v>COM</v>
      </c>
      <c r="G10027" t="str">
        <f>"CLAUDIO DOS SANTOS (507)"</f>
        <v>CLAUDIO DOS SANTOS (507)</v>
      </c>
      <c r="H10027" t="s">
        <v>2821</v>
      </c>
      <c r="I10027" t="str">
        <f>("13/11/2025")</f>
        <v>13/11/2025</v>
      </c>
      <c r="J10027" t="str">
        <f>("10/11/2025")</f>
        <v>10/11/2025</v>
      </c>
      <c r="K10027">
        <v>45974</v>
      </c>
      <c r="N10027">
        <v>109</v>
      </c>
      <c r="O10027" t="s">
        <v>24</v>
      </c>
      <c r="Q10027">
        <v>20</v>
      </c>
      <c r="R10027" t="str">
        <f>"JAL FARMACIA E DROGARIA LJ 1 (10137)"</f>
        <v>JAL FARMACIA E DROGARIA LJ 1 (10137)</v>
      </c>
      <c r="S10027" t="s">
        <v>48</v>
      </c>
      <c r="T10027">
        <v>20940</v>
      </c>
      <c r="U10027">
        <v>25342</v>
      </c>
      <c r="V10027" t="s">
        <v>48</v>
      </c>
    </row>
    <row r="10028" spans="1:22">
      <c r="A10028" t="str">
        <f t="shared" si="1948"/>
        <v>13/11/2025</v>
      </c>
      <c r="B10028" t="str">
        <f>"ENTRADA"</f>
        <v>ENTRADA</v>
      </c>
      <c r="C10028" t="str">
        <f>"DINHEIRO"</f>
        <v>DINHEIRO</v>
      </c>
      <c r="D10028" t="str">
        <f>"3"</f>
        <v>3</v>
      </c>
      <c r="E10028" t="str">
        <f>"35"</f>
        <v>35</v>
      </c>
      <c r="F10028" t="str">
        <f t="shared" si="1941"/>
        <v>COM</v>
      </c>
      <c r="G10028" t="str">
        <f>"CLAUDIO DOS SANTOS (507)"</f>
        <v>CLAUDIO DOS SANTOS (507)</v>
      </c>
      <c r="H10028" t="str">
        <f>"DESCONTO COTA COOPERADO"</f>
        <v>DESCONTO COTA COOPERADO</v>
      </c>
      <c r="I10028" t="str">
        <f>("16/11/2025")</f>
        <v>16/11/2025</v>
      </c>
      <c r="J10028" t="str">
        <f>("15/01/2025")</f>
        <v>15/01/2025</v>
      </c>
      <c r="K10028" t="str">
        <f>("13/11/2025")</f>
        <v>13/11/2025</v>
      </c>
      <c r="L10028">
        <v>20</v>
      </c>
      <c r="M10028">
        <v>20</v>
      </c>
      <c r="N10028">
        <v>106</v>
      </c>
      <c r="O10028" t="str">
        <f>"ENTRADA DE CAPITAL"</f>
        <v>ENTRADA DE CAPITAL</v>
      </c>
      <c r="P10028">
        <v>20</v>
      </c>
      <c r="S10028" t="str">
        <f>"ENTRADA DE CAPITAL (106)"</f>
        <v>ENTRADA DE CAPITAL (106)</v>
      </c>
      <c r="T10028">
        <v>20941</v>
      </c>
      <c r="U10028">
        <v>5969</v>
      </c>
      <c r="V10028" t="s">
        <v>48</v>
      </c>
    </row>
    <row r="10029" spans="1:22">
      <c r="A10029" t="str">
        <f t="shared" si="1948"/>
        <v>13/11/2025</v>
      </c>
      <c r="B10029" t="str">
        <f>"ENTRADA"</f>
        <v>ENTRADA</v>
      </c>
      <c r="C10029" t="str">
        <f>"DINHEIRO"</f>
        <v>DINHEIRO</v>
      </c>
      <c r="D10029" t="str">
        <f>"3"</f>
        <v>3</v>
      </c>
      <c r="E10029" t="str">
        <f>"35"</f>
        <v>35</v>
      </c>
      <c r="F10029" t="str">
        <f t="shared" si="1941"/>
        <v>COM</v>
      </c>
      <c r="G10029" t="str">
        <f>"CLAUDIO DOS SANTOS (507)"</f>
        <v>CLAUDIO DOS SANTOS (507)</v>
      </c>
      <c r="H10029" t="s">
        <v>309</v>
      </c>
      <c r="I10029" t="str">
        <f>("16/11/2025")</f>
        <v>16/11/2025</v>
      </c>
      <c r="J10029" t="str">
        <f>("15/01/2025")</f>
        <v>15/01/2025</v>
      </c>
      <c r="K10029">
        <v>45974</v>
      </c>
      <c r="N10029">
        <v>106</v>
      </c>
      <c r="O10029" t="s">
        <v>51</v>
      </c>
      <c r="Q10029">
        <v>20</v>
      </c>
      <c r="R10029" t="str">
        <f>"CLAUDIO DOS SANTOS (507)"</f>
        <v>CLAUDIO DOS SANTOS (507)</v>
      </c>
      <c r="S10029" t="s">
        <v>52</v>
      </c>
      <c r="T10029">
        <v>20941</v>
      </c>
      <c r="U10029">
        <v>5969</v>
      </c>
      <c r="V10029" t="s">
        <v>48</v>
      </c>
    </row>
    <row r="10030" spans="1:22">
      <c r="A10030" t="str">
        <f t="shared" si="1948"/>
        <v>13/11/2025</v>
      </c>
      <c r="B10030" t="str">
        <f>"SAÍDA"</f>
        <v>SAÍDA</v>
      </c>
      <c r="C10030" t="str">
        <f>"PIX"</f>
        <v>PIX</v>
      </c>
      <c r="D10030" t="str">
        <f>"24742"</f>
        <v>24742</v>
      </c>
      <c r="E10030" t="str">
        <f>"1"</f>
        <v>1</v>
      </c>
      <c r="F10030" t="str">
        <f t="shared" si="1941"/>
        <v>COM</v>
      </c>
      <c r="G10030" t="str">
        <f>"CRISTIANO XAVIER DA COSTA (269)"</f>
        <v>CRISTIANO XAVIER DA COSTA (269)</v>
      </c>
      <c r="H10030" t="str">
        <f>"Serv.Prest. 24/10/2025 a 02/11/2025 - PIX: CELULAR - CHAVE: (32) 99177-6167"</f>
        <v>Serv.Prest. 24/10/2025 a 02/11/2025 - PIX: CELULAR - CHAVE: (32) 99177-6167</v>
      </c>
      <c r="I10030" t="str">
        <f>("13/11/2025")</f>
        <v>13/11/2025</v>
      </c>
      <c r="J10030" t="str">
        <f>("04/11/2025")</f>
        <v>04/11/2025</v>
      </c>
      <c r="K10030" t="str">
        <f>("13/11/2025")</f>
        <v>13/11/2025</v>
      </c>
      <c r="L10030">
        <v>20</v>
      </c>
      <c r="M10030">
        <v>20</v>
      </c>
      <c r="N10030">
        <v>109</v>
      </c>
      <c r="O10030" t="str">
        <f>"PAGAMENTO DE ENTREGADORES"</f>
        <v>PAGAMENTO DE ENTREGADORES</v>
      </c>
      <c r="P10030">
        <v>20</v>
      </c>
      <c r="S10030" t="str">
        <f>"CAIXA MOVIMENTAÇÃO OPERACIONAL (132)"</f>
        <v>CAIXA MOVIMENTAÇÃO OPERACIONAL (132)</v>
      </c>
      <c r="T10030">
        <v>20942</v>
      </c>
      <c r="U10030">
        <v>25343</v>
      </c>
      <c r="V10030" t="s">
        <v>48</v>
      </c>
    </row>
    <row r="10031" spans="1:22">
      <c r="A10031" t="str">
        <f t="shared" si="1948"/>
        <v>13/11/2025</v>
      </c>
      <c r="B10031" t="str">
        <f>"SAÍDA"</f>
        <v>SAÍDA</v>
      </c>
      <c r="C10031" t="str">
        <f>"PIX"</f>
        <v>PIX</v>
      </c>
      <c r="D10031" t="str">
        <f>"24742"</f>
        <v>24742</v>
      </c>
      <c r="E10031" t="str">
        <f>"1"</f>
        <v>1</v>
      </c>
      <c r="F10031" t="str">
        <f t="shared" si="1941"/>
        <v>COM</v>
      </c>
      <c r="G10031" t="str">
        <f>"CRISTIANO XAVIER DA COSTA (269)"</f>
        <v>CRISTIANO XAVIER DA COSTA (269)</v>
      </c>
      <c r="H10031" t="s">
        <v>2822</v>
      </c>
      <c r="I10031" t="str">
        <f>("13/11/2025")</f>
        <v>13/11/2025</v>
      </c>
      <c r="J10031" t="str">
        <f>("04/11/2025")</f>
        <v>04/11/2025</v>
      </c>
      <c r="K10031">
        <v>45974</v>
      </c>
      <c r="N10031">
        <v>109</v>
      </c>
      <c r="O10031" t="s">
        <v>24</v>
      </c>
      <c r="Q10031">
        <v>10.73</v>
      </c>
      <c r="R10031" t="str">
        <f>"FARMÁCIA INDIANA LJ 207 (10088)"</f>
        <v>FARMÁCIA INDIANA LJ 207 (10088)</v>
      </c>
      <c r="S10031" t="s">
        <v>48</v>
      </c>
      <c r="T10031">
        <v>20942</v>
      </c>
      <c r="U10031">
        <v>25343</v>
      </c>
      <c r="V10031" t="s">
        <v>48</v>
      </c>
    </row>
    <row r="10032" spans="1:22">
      <c r="A10032" t="str">
        <f t="shared" si="1948"/>
        <v>13/11/2025</v>
      </c>
      <c r="B10032" t="str">
        <f>"SAÍDA"</f>
        <v>SAÍDA</v>
      </c>
      <c r="C10032" t="str">
        <f>"PIX"</f>
        <v>PIX</v>
      </c>
      <c r="D10032" t="str">
        <f>"24742"</f>
        <v>24742</v>
      </c>
      <c r="E10032" t="str">
        <f>"1"</f>
        <v>1</v>
      </c>
      <c r="F10032" t="str">
        <f t="shared" si="1941"/>
        <v>COM</v>
      </c>
      <c r="G10032" t="str">
        <f>"CRISTIANO XAVIER DA COSTA (269)"</f>
        <v>CRISTIANO XAVIER DA COSTA (269)</v>
      </c>
      <c r="H10032" t="s">
        <v>2822</v>
      </c>
      <c r="I10032" t="str">
        <f>("13/11/2025")</f>
        <v>13/11/2025</v>
      </c>
      <c r="J10032" t="str">
        <f>("04/11/2025")</f>
        <v>04/11/2025</v>
      </c>
      <c r="K10032">
        <v>45974</v>
      </c>
      <c r="N10032">
        <v>109</v>
      </c>
      <c r="O10032" t="s">
        <v>24</v>
      </c>
      <c r="Q10032">
        <v>9.27</v>
      </c>
      <c r="R10032" t="str">
        <f>"FARMÁCIA INDIANA LJ 209 (10089)"</f>
        <v>FARMÁCIA INDIANA LJ 209 (10089)</v>
      </c>
      <c r="S10032" t="s">
        <v>48</v>
      </c>
      <c r="T10032">
        <v>20942</v>
      </c>
      <c r="U10032">
        <v>25343</v>
      </c>
      <c r="V10032" t="s">
        <v>48</v>
      </c>
    </row>
    <row r="10033" spans="1:22">
      <c r="A10033" t="str">
        <f t="shared" si="1948"/>
        <v>13/11/2025</v>
      </c>
      <c r="B10033" t="str">
        <f>"ENTRADA"</f>
        <v>ENTRADA</v>
      </c>
      <c r="C10033" t="str">
        <f>"DINHEIRO"</f>
        <v>DINHEIRO</v>
      </c>
      <c r="D10033" t="str">
        <f>"10"</f>
        <v>10</v>
      </c>
      <c r="E10033" t="str">
        <f>"35"</f>
        <v>35</v>
      </c>
      <c r="F10033" t="str">
        <f t="shared" si="1941"/>
        <v>COM</v>
      </c>
      <c r="G10033" t="str">
        <f>"CRISTIANO XAVIER DA COSTA (269)"</f>
        <v>CRISTIANO XAVIER DA COSTA (269)</v>
      </c>
      <c r="H10033" t="str">
        <f>"DESCONTO COTA COOPERADO"</f>
        <v>DESCONTO COTA COOPERADO</v>
      </c>
      <c r="I10033" t="str">
        <f>("16/11/2025")</f>
        <v>16/11/2025</v>
      </c>
      <c r="J10033" t="str">
        <f>("16/01/2025")</f>
        <v>16/01/2025</v>
      </c>
      <c r="K10033" t="str">
        <f>("13/11/2025")</f>
        <v>13/11/2025</v>
      </c>
      <c r="L10033">
        <v>20</v>
      </c>
      <c r="M10033">
        <v>20</v>
      </c>
      <c r="N10033">
        <v>106</v>
      </c>
      <c r="O10033" t="str">
        <f>"ENTRADA DE CAPITAL"</f>
        <v>ENTRADA DE CAPITAL</v>
      </c>
      <c r="P10033">
        <v>20</v>
      </c>
      <c r="S10033" t="str">
        <f>"ENTRADA DE CAPITAL (106)"</f>
        <v>ENTRADA DE CAPITAL (106)</v>
      </c>
      <c r="T10033">
        <v>20943</v>
      </c>
      <c r="U10033">
        <v>6000</v>
      </c>
      <c r="V10033" t="s">
        <v>48</v>
      </c>
    </row>
    <row r="10034" spans="1:22">
      <c r="A10034" t="str">
        <f t="shared" si="1948"/>
        <v>13/11/2025</v>
      </c>
      <c r="B10034" t="str">
        <f>"ENTRADA"</f>
        <v>ENTRADA</v>
      </c>
      <c r="C10034" t="str">
        <f>"DINHEIRO"</f>
        <v>DINHEIRO</v>
      </c>
      <c r="D10034" t="str">
        <f>"10"</f>
        <v>10</v>
      </c>
      <c r="E10034" t="str">
        <f>"35"</f>
        <v>35</v>
      </c>
      <c r="F10034" t="str">
        <f t="shared" si="1941"/>
        <v>COM</v>
      </c>
      <c r="G10034" t="str">
        <f>"CRISTIANO XAVIER DA COSTA (269)"</f>
        <v>CRISTIANO XAVIER DA COSTA (269)</v>
      </c>
      <c r="H10034" t="s">
        <v>309</v>
      </c>
      <c r="I10034" t="str">
        <f>("16/11/2025")</f>
        <v>16/11/2025</v>
      </c>
      <c r="J10034" t="str">
        <f>("16/01/2025")</f>
        <v>16/01/2025</v>
      </c>
      <c r="K10034">
        <v>45974</v>
      </c>
      <c r="N10034">
        <v>106</v>
      </c>
      <c r="O10034" t="s">
        <v>51</v>
      </c>
      <c r="Q10034">
        <v>20</v>
      </c>
      <c r="R10034" t="str">
        <f>"CRISTIANO XAVIER DA COSTA (269)"</f>
        <v>CRISTIANO XAVIER DA COSTA (269)</v>
      </c>
      <c r="S10034" t="s">
        <v>52</v>
      </c>
      <c r="T10034">
        <v>20943</v>
      </c>
      <c r="U10034">
        <v>6000</v>
      </c>
      <c r="V10034" t="s">
        <v>48</v>
      </c>
    </row>
    <row r="10035" spans="1:22">
      <c r="A10035" t="str">
        <f t="shared" si="1948"/>
        <v>13/11/2025</v>
      </c>
      <c r="B10035" t="str">
        <f>"ENTRADA"</f>
        <v>ENTRADA</v>
      </c>
      <c r="C10035" t="str">
        <f>"DINHEIRO"</f>
        <v>DINHEIRO</v>
      </c>
      <c r="D10035" t="str">
        <f>"770"</f>
        <v>770</v>
      </c>
      <c r="E10035" t="str">
        <f>"7"</f>
        <v>7</v>
      </c>
      <c r="F10035" t="str">
        <f t="shared" si="1941"/>
        <v>COM</v>
      </c>
      <c r="G10035" t="str">
        <f>"DANILO WASHINGTON DOS SANTOS (770)"</f>
        <v>DANILO WASHINGTON DOS SANTOS (770)</v>
      </c>
      <c r="H10035" t="str">
        <f>"COTAS COOPERATIVA"</f>
        <v>COTAS COOPERATIVA</v>
      </c>
      <c r="I10035" t="str">
        <f>("08/11/2025")</f>
        <v>08/11/2025</v>
      </c>
      <c r="J10035" t="str">
        <f>("21/04/2025")</f>
        <v>21/04/2025</v>
      </c>
      <c r="K10035" t="str">
        <f>("13/11/2025")</f>
        <v>13/11/2025</v>
      </c>
      <c r="L10035">
        <v>20</v>
      </c>
      <c r="M10035">
        <v>20</v>
      </c>
      <c r="N10035">
        <v>106</v>
      </c>
      <c r="O10035" t="str">
        <f>"ENTRADA DE CAPITAL"</f>
        <v>ENTRADA DE CAPITAL</v>
      </c>
      <c r="P10035">
        <v>20</v>
      </c>
      <c r="S10035" t="str">
        <f>"ENTRADA DE CAPITAL (106)"</f>
        <v>ENTRADA DE CAPITAL (106)</v>
      </c>
      <c r="T10035">
        <v>20944</v>
      </c>
      <c r="U10035">
        <v>13818</v>
      </c>
      <c r="V10035" t="s">
        <v>48</v>
      </c>
    </row>
    <row r="10036" spans="1:22">
      <c r="A10036" t="str">
        <f t="shared" si="1948"/>
        <v>13/11/2025</v>
      </c>
      <c r="B10036" t="str">
        <f>"ENTRADA"</f>
        <v>ENTRADA</v>
      </c>
      <c r="C10036" t="str">
        <f>"DINHEIRO"</f>
        <v>DINHEIRO</v>
      </c>
      <c r="D10036" t="str">
        <f>"770"</f>
        <v>770</v>
      </c>
      <c r="E10036" t="str">
        <f>"7"</f>
        <v>7</v>
      </c>
      <c r="F10036" t="str">
        <f t="shared" si="1941"/>
        <v>COM</v>
      </c>
      <c r="G10036" t="str">
        <f>"DANILO WASHINGTON DOS SANTOS (770)"</f>
        <v>DANILO WASHINGTON DOS SANTOS (770)</v>
      </c>
      <c r="H10036" t="s">
        <v>318</v>
      </c>
      <c r="I10036" t="str">
        <f>("08/11/2025")</f>
        <v>08/11/2025</v>
      </c>
      <c r="J10036" t="str">
        <f>("21/04/2025")</f>
        <v>21/04/2025</v>
      </c>
      <c r="K10036">
        <v>45974</v>
      </c>
      <c r="N10036">
        <v>106</v>
      </c>
      <c r="O10036" t="s">
        <v>51</v>
      </c>
      <c r="Q10036">
        <v>20</v>
      </c>
      <c r="R10036" t="str">
        <f>"DANILO WASHINGTON DOS SANTOS (770)"</f>
        <v>DANILO WASHINGTON DOS SANTOS (770)</v>
      </c>
      <c r="S10036" t="s">
        <v>52</v>
      </c>
      <c r="T10036">
        <v>20944</v>
      </c>
      <c r="U10036">
        <v>13818</v>
      </c>
      <c r="V10036" t="s">
        <v>48</v>
      </c>
    </row>
    <row r="10037" spans="1:22">
      <c r="A10037" t="str">
        <f t="shared" si="1948"/>
        <v>13/11/2025</v>
      </c>
      <c r="B10037" t="str">
        <f>"SAÍDA"</f>
        <v>SAÍDA</v>
      </c>
      <c r="C10037" t="str">
        <f>"PIX"</f>
        <v>PIX</v>
      </c>
      <c r="D10037" t="str">
        <f>"24744"</f>
        <v>24744</v>
      </c>
      <c r="E10037" t="str">
        <f>"1"</f>
        <v>1</v>
      </c>
      <c r="F10037" t="str">
        <f t="shared" si="1941"/>
        <v>COM</v>
      </c>
      <c r="G10037" t="str">
        <f>"DANILO WASHINGTON DOS SANTOS (770)"</f>
        <v>DANILO WASHINGTON DOS SANTOS (770)</v>
      </c>
      <c r="H10037" t="str">
        <f>"Serv.Prest. 24/10/2025 a 02/11/2025 - PIX: CELULAR - CHAVE: (33) 98749-5105"</f>
        <v>Serv.Prest. 24/10/2025 a 02/11/2025 - PIX: CELULAR - CHAVE: (33) 98749-5105</v>
      </c>
      <c r="I10037" t="str">
        <f>("13/11/2025")</f>
        <v>13/11/2025</v>
      </c>
      <c r="J10037" t="str">
        <f>("04/11/2025")</f>
        <v>04/11/2025</v>
      </c>
      <c r="K10037" t="str">
        <f>("13/11/2025")</f>
        <v>13/11/2025</v>
      </c>
      <c r="L10037">
        <v>20</v>
      </c>
      <c r="M10037">
        <v>20</v>
      </c>
      <c r="N10037">
        <v>109</v>
      </c>
      <c r="O10037" t="str">
        <f>"PAGAMENTO DE ENTREGADORES"</f>
        <v>PAGAMENTO DE ENTREGADORES</v>
      </c>
      <c r="P10037">
        <v>20</v>
      </c>
      <c r="S10037" t="str">
        <f>"CAIXA MOVIMENTAÇÃO OPERACIONAL (132)"</f>
        <v>CAIXA MOVIMENTAÇÃO OPERACIONAL (132)</v>
      </c>
      <c r="T10037">
        <v>20945</v>
      </c>
      <c r="U10037">
        <v>25344</v>
      </c>
      <c r="V10037" t="s">
        <v>48</v>
      </c>
    </row>
    <row r="10038" spans="1:22">
      <c r="A10038" t="str">
        <f t="shared" si="1948"/>
        <v>13/11/2025</v>
      </c>
      <c r="B10038" t="str">
        <f>"SAÍDA"</f>
        <v>SAÍDA</v>
      </c>
      <c r="C10038" t="str">
        <f>"PIX"</f>
        <v>PIX</v>
      </c>
      <c r="D10038" t="str">
        <f>"24744"</f>
        <v>24744</v>
      </c>
      <c r="E10038" t="str">
        <f>"1"</f>
        <v>1</v>
      </c>
      <c r="F10038" t="str">
        <f t="shared" si="1941"/>
        <v>COM</v>
      </c>
      <c r="G10038" t="str">
        <f>"DANILO WASHINGTON DOS SANTOS (770)"</f>
        <v>DANILO WASHINGTON DOS SANTOS (770)</v>
      </c>
      <c r="H10038" t="s">
        <v>2823</v>
      </c>
      <c r="I10038" t="str">
        <f>("13/11/2025")</f>
        <v>13/11/2025</v>
      </c>
      <c r="J10038" t="str">
        <f>("04/11/2025")</f>
        <v>04/11/2025</v>
      </c>
      <c r="K10038">
        <v>45974</v>
      </c>
      <c r="N10038">
        <v>109</v>
      </c>
      <c r="O10038" t="s">
        <v>24</v>
      </c>
      <c r="Q10038">
        <v>20</v>
      </c>
      <c r="R10038" t="str">
        <f>"FARMÁCIA INDIANA LJ 07 (10007)"</f>
        <v>FARMÁCIA INDIANA LJ 07 (10007)</v>
      </c>
      <c r="S10038" t="s">
        <v>48</v>
      </c>
      <c r="T10038">
        <v>20945</v>
      </c>
      <c r="U10038">
        <v>25344</v>
      </c>
      <c r="V10038" t="s">
        <v>48</v>
      </c>
    </row>
    <row r="10039" spans="1:22">
      <c r="A10039" t="str">
        <f t="shared" si="1948"/>
        <v>13/11/2025</v>
      </c>
      <c r="B10039" t="str">
        <f>"SAÍDA"</f>
        <v>SAÍDA</v>
      </c>
      <c r="C10039" t="str">
        <f>"PIX"</f>
        <v>PIX</v>
      </c>
      <c r="D10039" t="str">
        <f>"24745"</f>
        <v>24745</v>
      </c>
      <c r="E10039" t="str">
        <f>"1"</f>
        <v>1</v>
      </c>
      <c r="F10039" t="str">
        <f t="shared" ref="F10039:F10102" si="1949">"COM"</f>
        <v>COM</v>
      </c>
      <c r="G10039" t="str">
        <f>"DANTE SOARES DA SILVA (416)"</f>
        <v>DANTE SOARES DA SILVA (416)</v>
      </c>
      <c r="H10039" t="str">
        <f>"Serv.Prest. 24/10/2025 a 02/11/2025 - PIX: CELULAR - CHAVE: (33) 99802-1883"</f>
        <v>Serv.Prest. 24/10/2025 a 02/11/2025 - PIX: CELULAR - CHAVE: (33) 99802-1883</v>
      </c>
      <c r="I10039" t="str">
        <f>("13/11/2025")</f>
        <v>13/11/2025</v>
      </c>
      <c r="J10039" t="str">
        <f>("04/11/2025")</f>
        <v>04/11/2025</v>
      </c>
      <c r="K10039" t="str">
        <f>("13/11/2025")</f>
        <v>13/11/2025</v>
      </c>
      <c r="L10039">
        <v>20</v>
      </c>
      <c r="M10039">
        <v>20</v>
      </c>
      <c r="N10039">
        <v>109</v>
      </c>
      <c r="O10039" t="str">
        <f>"PAGAMENTO DE ENTREGADORES"</f>
        <v>PAGAMENTO DE ENTREGADORES</v>
      </c>
      <c r="P10039">
        <v>20</v>
      </c>
      <c r="S10039" t="str">
        <f>"CAIXA MOVIMENTAÇÃO OPERACIONAL (132)"</f>
        <v>CAIXA MOVIMENTAÇÃO OPERACIONAL (132)</v>
      </c>
      <c r="T10039">
        <v>20946</v>
      </c>
      <c r="U10039">
        <v>25345</v>
      </c>
      <c r="V10039" t="s">
        <v>48</v>
      </c>
    </row>
    <row r="10040" spans="1:22">
      <c r="A10040" t="str">
        <f t="shared" si="1948"/>
        <v>13/11/2025</v>
      </c>
      <c r="B10040" t="str">
        <f>"SAÍDA"</f>
        <v>SAÍDA</v>
      </c>
      <c r="C10040" t="str">
        <f>"PIX"</f>
        <v>PIX</v>
      </c>
      <c r="D10040" t="str">
        <f>"24745"</f>
        <v>24745</v>
      </c>
      <c r="E10040" t="str">
        <f>"1"</f>
        <v>1</v>
      </c>
      <c r="F10040" t="str">
        <f t="shared" si="1949"/>
        <v>COM</v>
      </c>
      <c r="G10040" t="str">
        <f>"DANTE SOARES DA SILVA (416)"</f>
        <v>DANTE SOARES DA SILVA (416)</v>
      </c>
      <c r="H10040" t="s">
        <v>2565</v>
      </c>
      <c r="I10040" t="str">
        <f>("13/11/2025")</f>
        <v>13/11/2025</v>
      </c>
      <c r="J10040" t="str">
        <f>("04/11/2025")</f>
        <v>04/11/2025</v>
      </c>
      <c r="K10040">
        <v>45974</v>
      </c>
      <c r="N10040">
        <v>109</v>
      </c>
      <c r="O10040" t="s">
        <v>24</v>
      </c>
      <c r="Q10040">
        <v>20</v>
      </c>
      <c r="R10040" t="str">
        <f>"FARMÁCIA INDIANA LJ 59 (10026)"</f>
        <v>FARMÁCIA INDIANA LJ 59 (10026)</v>
      </c>
      <c r="S10040" t="s">
        <v>48</v>
      </c>
      <c r="T10040">
        <v>20946</v>
      </c>
      <c r="U10040">
        <v>25345</v>
      </c>
      <c r="V10040" t="s">
        <v>48</v>
      </c>
    </row>
    <row r="10041" spans="1:22">
      <c r="A10041" t="str">
        <f t="shared" si="1948"/>
        <v>13/11/2025</v>
      </c>
      <c r="B10041" t="str">
        <f>"ENTRADA"</f>
        <v>ENTRADA</v>
      </c>
      <c r="C10041" t="str">
        <f>"DINHEIRO"</f>
        <v>DINHEIRO</v>
      </c>
      <c r="D10041" t="str">
        <f>"09"</f>
        <v>09</v>
      </c>
      <c r="E10041" t="str">
        <f>"35"</f>
        <v>35</v>
      </c>
      <c r="F10041" t="str">
        <f t="shared" si="1949"/>
        <v>COM</v>
      </c>
      <c r="G10041" t="str">
        <f>"DANTE SOARES DA SILVA (416)"</f>
        <v>DANTE SOARES DA SILVA (416)</v>
      </c>
      <c r="H10041" t="str">
        <f>"DESCONTO COTA COOPERADO"</f>
        <v>DESCONTO COTA COOPERADO</v>
      </c>
      <c r="I10041" t="str">
        <f>("16/11/2025")</f>
        <v>16/11/2025</v>
      </c>
      <c r="J10041" t="str">
        <f>("16/01/2025")</f>
        <v>16/01/2025</v>
      </c>
      <c r="K10041" t="str">
        <f>("13/11/2025")</f>
        <v>13/11/2025</v>
      </c>
      <c r="L10041">
        <v>20</v>
      </c>
      <c r="M10041">
        <v>20</v>
      </c>
      <c r="N10041">
        <v>106</v>
      </c>
      <c r="O10041" t="str">
        <f>"ENTRADA DE CAPITAL"</f>
        <v>ENTRADA DE CAPITAL</v>
      </c>
      <c r="P10041">
        <v>20</v>
      </c>
      <c r="S10041" t="str">
        <f>"ENTRADA DE CAPITAL (106)"</f>
        <v>ENTRADA DE CAPITAL (106)</v>
      </c>
      <c r="T10041">
        <v>20947</v>
      </c>
      <c r="U10041">
        <v>6035</v>
      </c>
      <c r="V10041" t="s">
        <v>48</v>
      </c>
    </row>
    <row r="10042" spans="1:22">
      <c r="A10042" t="str">
        <f t="shared" si="1948"/>
        <v>13/11/2025</v>
      </c>
      <c r="B10042" t="str">
        <f>"ENTRADA"</f>
        <v>ENTRADA</v>
      </c>
      <c r="C10042" t="str">
        <f>"DINHEIRO"</f>
        <v>DINHEIRO</v>
      </c>
      <c r="D10042" t="str">
        <f>"09"</f>
        <v>09</v>
      </c>
      <c r="E10042" t="str">
        <f>"35"</f>
        <v>35</v>
      </c>
      <c r="F10042" t="str">
        <f t="shared" si="1949"/>
        <v>COM</v>
      </c>
      <c r="G10042" t="str">
        <f>"DANTE SOARES DA SILVA (416)"</f>
        <v>DANTE SOARES DA SILVA (416)</v>
      </c>
      <c r="H10042" t="s">
        <v>309</v>
      </c>
      <c r="I10042" t="str">
        <f>("16/11/2025")</f>
        <v>16/11/2025</v>
      </c>
      <c r="J10042" t="str">
        <f>("16/01/2025")</f>
        <v>16/01/2025</v>
      </c>
      <c r="K10042">
        <v>45974</v>
      </c>
      <c r="N10042">
        <v>106</v>
      </c>
      <c r="O10042" t="s">
        <v>51</v>
      </c>
      <c r="Q10042">
        <v>20</v>
      </c>
      <c r="R10042" t="str">
        <f>"DANTE SOARES DA SILVA (416)"</f>
        <v>DANTE SOARES DA SILVA (416)</v>
      </c>
      <c r="S10042" t="s">
        <v>52</v>
      </c>
      <c r="T10042">
        <v>20947</v>
      </c>
      <c r="U10042">
        <v>6035</v>
      </c>
      <c r="V10042" t="s">
        <v>48</v>
      </c>
    </row>
    <row r="10043" spans="1:22">
      <c r="A10043" t="str">
        <f t="shared" si="1948"/>
        <v>13/11/2025</v>
      </c>
      <c r="B10043" t="str">
        <f>"SAÍDA"</f>
        <v>SAÍDA</v>
      </c>
      <c r="C10043" t="str">
        <f>"PIX"</f>
        <v>PIX</v>
      </c>
      <c r="D10043" t="str">
        <f>"24746"</f>
        <v>24746</v>
      </c>
      <c r="E10043" t="str">
        <f>"1"</f>
        <v>1</v>
      </c>
      <c r="F10043" t="str">
        <f t="shared" si="1949"/>
        <v>COM</v>
      </c>
      <c r="G10043" t="str">
        <f>"DEVANILDO PONTES CASAGRANDE (179)"</f>
        <v>DEVANILDO PONTES CASAGRANDE (179)</v>
      </c>
      <c r="H10043" t="str">
        <f>"Serv.Prest. 24/10/2025 a 02/11/2025 - PIX: CELULAR - CHAVE: (31) 99610-7049"</f>
        <v>Serv.Prest. 24/10/2025 a 02/11/2025 - PIX: CELULAR - CHAVE: (31) 99610-7049</v>
      </c>
      <c r="I10043" t="str">
        <f>("13/11/2025")</f>
        <v>13/11/2025</v>
      </c>
      <c r="J10043" t="str">
        <f>("04/11/2025")</f>
        <v>04/11/2025</v>
      </c>
      <c r="K10043" t="str">
        <f>("13/11/2025")</f>
        <v>13/11/2025</v>
      </c>
      <c r="L10043">
        <v>20</v>
      </c>
      <c r="M10043">
        <v>20</v>
      </c>
      <c r="N10043">
        <v>109</v>
      </c>
      <c r="O10043" t="str">
        <f>"PAGAMENTO DE ENTREGADORES"</f>
        <v>PAGAMENTO DE ENTREGADORES</v>
      </c>
      <c r="P10043">
        <v>20</v>
      </c>
      <c r="S10043" t="str">
        <f>"CAIXA MOVIMENTAÇÃO OPERACIONAL (132)"</f>
        <v>CAIXA MOVIMENTAÇÃO OPERACIONAL (132)</v>
      </c>
      <c r="T10043">
        <v>20948</v>
      </c>
      <c r="U10043">
        <v>25346</v>
      </c>
      <c r="V10043" t="s">
        <v>48</v>
      </c>
    </row>
    <row r="10044" spans="1:22">
      <c r="A10044" t="str">
        <f t="shared" si="1948"/>
        <v>13/11/2025</v>
      </c>
      <c r="B10044" t="str">
        <f>"SAÍDA"</f>
        <v>SAÍDA</v>
      </c>
      <c r="C10044" t="str">
        <f>"PIX"</f>
        <v>PIX</v>
      </c>
      <c r="D10044" t="str">
        <f>"24746"</f>
        <v>24746</v>
      </c>
      <c r="E10044" t="str">
        <f>"1"</f>
        <v>1</v>
      </c>
      <c r="F10044" t="str">
        <f t="shared" si="1949"/>
        <v>COM</v>
      </c>
      <c r="G10044" t="str">
        <f>"DEVANILDO PONTES CASAGRANDE (179)"</f>
        <v>DEVANILDO PONTES CASAGRANDE (179)</v>
      </c>
      <c r="H10044" t="s">
        <v>2824</v>
      </c>
      <c r="I10044" t="str">
        <f>("13/11/2025")</f>
        <v>13/11/2025</v>
      </c>
      <c r="J10044" t="str">
        <f>("04/11/2025")</f>
        <v>04/11/2025</v>
      </c>
      <c r="K10044">
        <v>45974</v>
      </c>
      <c r="N10044">
        <v>109</v>
      </c>
      <c r="O10044" t="s">
        <v>24</v>
      </c>
      <c r="Q10044">
        <v>20</v>
      </c>
      <c r="R10044" t="str">
        <f>"FARMÁCIA INDIANA LJ 142 (10066)"</f>
        <v>FARMÁCIA INDIANA LJ 142 (10066)</v>
      </c>
      <c r="S10044" t="s">
        <v>48</v>
      </c>
      <c r="T10044">
        <v>20948</v>
      </c>
      <c r="U10044">
        <v>25346</v>
      </c>
      <c r="V10044" t="s">
        <v>48</v>
      </c>
    </row>
    <row r="10045" spans="1:22">
      <c r="A10045" t="str">
        <f t="shared" si="1948"/>
        <v>13/11/2025</v>
      </c>
      <c r="B10045" t="str">
        <f>"ENTRADA"</f>
        <v>ENTRADA</v>
      </c>
      <c r="C10045" t="str">
        <f>"DINHEIRO"</f>
        <v>DINHEIRO</v>
      </c>
      <c r="D10045" t="str">
        <f>"09"</f>
        <v>09</v>
      </c>
      <c r="E10045" t="str">
        <f>"35"</f>
        <v>35</v>
      </c>
      <c r="F10045" t="str">
        <f t="shared" si="1949"/>
        <v>COM</v>
      </c>
      <c r="G10045" t="str">
        <f>"DEVANILDO PONTES CASAGRANDE (179)"</f>
        <v>DEVANILDO PONTES CASAGRANDE (179)</v>
      </c>
      <c r="H10045" t="str">
        <f>"DESCONTO COTA COOPERADO"</f>
        <v>DESCONTO COTA COOPERADO</v>
      </c>
      <c r="I10045" t="str">
        <f>("16/11/2025")</f>
        <v>16/11/2025</v>
      </c>
      <c r="J10045" t="str">
        <f>("16/01/2025")</f>
        <v>16/01/2025</v>
      </c>
      <c r="K10045" t="str">
        <f>("13/11/2025")</f>
        <v>13/11/2025</v>
      </c>
      <c r="L10045">
        <v>20</v>
      </c>
      <c r="M10045">
        <v>20</v>
      </c>
      <c r="N10045">
        <v>106</v>
      </c>
      <c r="O10045" t="str">
        <f>"ENTRADA DE CAPITAL"</f>
        <v>ENTRADA DE CAPITAL</v>
      </c>
      <c r="P10045">
        <v>20</v>
      </c>
      <c r="S10045" t="str">
        <f>"ENTRADA DE CAPITAL (106)"</f>
        <v>ENTRADA DE CAPITAL (106)</v>
      </c>
      <c r="T10045">
        <v>20949</v>
      </c>
      <c r="U10045">
        <v>6074</v>
      </c>
      <c r="V10045" t="s">
        <v>48</v>
      </c>
    </row>
    <row r="10046" spans="1:22">
      <c r="A10046" t="str">
        <f t="shared" si="1948"/>
        <v>13/11/2025</v>
      </c>
      <c r="B10046" t="str">
        <f>"ENTRADA"</f>
        <v>ENTRADA</v>
      </c>
      <c r="C10046" t="str">
        <f>"DINHEIRO"</f>
        <v>DINHEIRO</v>
      </c>
      <c r="D10046" t="str">
        <f>"09"</f>
        <v>09</v>
      </c>
      <c r="E10046" t="str">
        <f>"35"</f>
        <v>35</v>
      </c>
      <c r="F10046" t="str">
        <f t="shared" si="1949"/>
        <v>COM</v>
      </c>
      <c r="G10046" t="str">
        <f>"DEVANILDO PONTES CASAGRANDE (179)"</f>
        <v>DEVANILDO PONTES CASAGRANDE (179)</v>
      </c>
      <c r="H10046" t="s">
        <v>309</v>
      </c>
      <c r="I10046" t="str">
        <f>("16/11/2025")</f>
        <v>16/11/2025</v>
      </c>
      <c r="J10046" t="str">
        <f>("16/01/2025")</f>
        <v>16/01/2025</v>
      </c>
      <c r="K10046">
        <v>45974</v>
      </c>
      <c r="N10046">
        <v>106</v>
      </c>
      <c r="O10046" t="s">
        <v>51</v>
      </c>
      <c r="Q10046">
        <v>20</v>
      </c>
      <c r="R10046" t="str">
        <f>"DEVANILDO PONTES CASAGRANDE (179)"</f>
        <v>DEVANILDO PONTES CASAGRANDE (179)</v>
      </c>
      <c r="S10046" t="s">
        <v>52</v>
      </c>
      <c r="T10046">
        <v>20949</v>
      </c>
      <c r="U10046">
        <v>6074</v>
      </c>
      <c r="V10046" t="s">
        <v>48</v>
      </c>
    </row>
    <row r="10047" spans="1:22">
      <c r="A10047" t="str">
        <f t="shared" si="1948"/>
        <v>13/11/2025</v>
      </c>
      <c r="B10047" t="str">
        <f>"ENTRADA"</f>
        <v>ENTRADA</v>
      </c>
      <c r="C10047" t="str">
        <f>"DINHEIRO"</f>
        <v>DINHEIRO</v>
      </c>
      <c r="D10047" t="str">
        <f>"899"</f>
        <v>899</v>
      </c>
      <c r="E10047" t="str">
        <f>"3"</f>
        <v>3</v>
      </c>
      <c r="F10047" t="str">
        <f t="shared" si="1949"/>
        <v>COM</v>
      </c>
      <c r="G10047" t="str">
        <f>"EDNUBIA RAMOS ALVES OLIVEIRA (899)"</f>
        <v>EDNUBIA RAMOS ALVES OLIVEIRA (899)</v>
      </c>
      <c r="H10047" t="str">
        <f>"COTA COOPERATIVA"</f>
        <v>COTA COOPERATIVA</v>
      </c>
      <c r="I10047" t="str">
        <f>("10/11/2025")</f>
        <v>10/11/2025</v>
      </c>
      <c r="J10047" t="str">
        <f>("04/08/2025")</f>
        <v>04/08/2025</v>
      </c>
      <c r="K10047" t="str">
        <f>("13/11/2025")</f>
        <v>13/11/2025</v>
      </c>
      <c r="L10047">
        <v>20</v>
      </c>
      <c r="M10047">
        <v>20</v>
      </c>
      <c r="N10047">
        <v>106</v>
      </c>
      <c r="O10047" t="str">
        <f>"ENTRADA DE CAPITAL"</f>
        <v>ENTRADA DE CAPITAL</v>
      </c>
      <c r="P10047">
        <v>20</v>
      </c>
      <c r="S10047" t="str">
        <f>"ENTRADA DE CAPITAL (106)"</f>
        <v>ENTRADA DE CAPITAL (106)</v>
      </c>
      <c r="T10047">
        <v>20950</v>
      </c>
      <c r="U10047">
        <v>21766</v>
      </c>
      <c r="V10047" t="s">
        <v>48</v>
      </c>
    </row>
    <row r="10048" spans="1:22">
      <c r="A10048" t="str">
        <f t="shared" si="1948"/>
        <v>13/11/2025</v>
      </c>
      <c r="B10048" t="str">
        <f>"ENTRADA"</f>
        <v>ENTRADA</v>
      </c>
      <c r="C10048" t="str">
        <f>"DINHEIRO"</f>
        <v>DINHEIRO</v>
      </c>
      <c r="D10048" t="str">
        <f>"899"</f>
        <v>899</v>
      </c>
      <c r="E10048" t="str">
        <f>"3"</f>
        <v>3</v>
      </c>
      <c r="F10048" t="str">
        <f t="shared" si="1949"/>
        <v>COM</v>
      </c>
      <c r="G10048" t="str">
        <f>"EDNUBIA RAMOS ALVES OLIVEIRA (899)"</f>
        <v>EDNUBIA RAMOS ALVES OLIVEIRA (899)</v>
      </c>
      <c r="H10048" t="s">
        <v>50</v>
      </c>
      <c r="I10048" t="str">
        <f>("10/11/2025")</f>
        <v>10/11/2025</v>
      </c>
      <c r="J10048" t="str">
        <f>("04/08/2025")</f>
        <v>04/08/2025</v>
      </c>
      <c r="K10048">
        <v>45974</v>
      </c>
      <c r="N10048">
        <v>106</v>
      </c>
      <c r="O10048" t="s">
        <v>51</v>
      </c>
      <c r="Q10048">
        <v>20</v>
      </c>
      <c r="R10048" t="str">
        <f>"EDNUBIA RAMOS ALVES OLIVEIRA (899)"</f>
        <v>EDNUBIA RAMOS ALVES OLIVEIRA (899)</v>
      </c>
      <c r="S10048" t="s">
        <v>52</v>
      </c>
      <c r="T10048">
        <v>20950</v>
      </c>
      <c r="U10048">
        <v>21766</v>
      </c>
      <c r="V10048" t="s">
        <v>48</v>
      </c>
    </row>
    <row r="10049" spans="1:22">
      <c r="A10049" t="str">
        <f t="shared" si="1948"/>
        <v>13/11/2025</v>
      </c>
      <c r="B10049" t="str">
        <f>"SAÍDA"</f>
        <v>SAÍDA</v>
      </c>
      <c r="C10049" t="str">
        <f>"PIX"</f>
        <v>PIX</v>
      </c>
      <c r="D10049" t="str">
        <f>"25251"</f>
        <v>25251</v>
      </c>
      <c r="E10049" t="str">
        <f>"1"</f>
        <v>1</v>
      </c>
      <c r="F10049" t="str">
        <f t="shared" si="1949"/>
        <v>COM</v>
      </c>
      <c r="G10049" t="str">
        <f>"EDNUBIA RAMOS ALVES OLIVEIRA (899)"</f>
        <v>EDNUBIA RAMOS ALVES OLIVEIRA (899)</v>
      </c>
      <c r="H10049" t="str">
        <f>"Serv.Prest. 03/11/2025 a 09/11/2025 - PIX: CELULAR - CHAVE: (71) 99214-9256"</f>
        <v>Serv.Prest. 03/11/2025 a 09/11/2025 - PIX: CELULAR - CHAVE: (71) 99214-9256</v>
      </c>
      <c r="I10049" t="str">
        <f>("13/11/2025")</f>
        <v>13/11/2025</v>
      </c>
      <c r="J10049" t="str">
        <f>("11/11/2025")</f>
        <v>11/11/2025</v>
      </c>
      <c r="K10049" t="str">
        <f>("13/11/2025")</f>
        <v>13/11/2025</v>
      </c>
      <c r="L10049">
        <v>20</v>
      </c>
      <c r="M10049">
        <v>20</v>
      </c>
      <c r="N10049">
        <v>109</v>
      </c>
      <c r="O10049" t="str">
        <f>"PAGAMENTO DE ENTREGADORES"</f>
        <v>PAGAMENTO DE ENTREGADORES</v>
      </c>
      <c r="P10049">
        <v>20</v>
      </c>
      <c r="S10049" t="str">
        <f>"CAIXA MOVIMENTAÇÃO OPERACIONAL (132)"</f>
        <v>CAIXA MOVIMENTAÇÃO OPERACIONAL (132)</v>
      </c>
      <c r="T10049">
        <v>20951</v>
      </c>
      <c r="U10049">
        <v>25347</v>
      </c>
      <c r="V10049" t="s">
        <v>48</v>
      </c>
    </row>
    <row r="10050" spans="1:22">
      <c r="A10050" t="str">
        <f t="shared" si="1948"/>
        <v>13/11/2025</v>
      </c>
      <c r="B10050" t="str">
        <f>"SAÍDA"</f>
        <v>SAÍDA</v>
      </c>
      <c r="C10050" t="str">
        <f>"PIX"</f>
        <v>PIX</v>
      </c>
      <c r="D10050" t="str">
        <f>"25251"</f>
        <v>25251</v>
      </c>
      <c r="E10050" t="str">
        <f>"1"</f>
        <v>1</v>
      </c>
      <c r="F10050" t="str">
        <f t="shared" si="1949"/>
        <v>COM</v>
      </c>
      <c r="G10050" t="str">
        <f>"EDNUBIA RAMOS ALVES OLIVEIRA (899)"</f>
        <v>EDNUBIA RAMOS ALVES OLIVEIRA (899)</v>
      </c>
      <c r="H10050" t="s">
        <v>2825</v>
      </c>
      <c r="I10050" t="str">
        <f>("13/11/2025")</f>
        <v>13/11/2025</v>
      </c>
      <c r="J10050" t="str">
        <f>("11/11/2025")</f>
        <v>11/11/2025</v>
      </c>
      <c r="K10050">
        <v>45974</v>
      </c>
      <c r="N10050">
        <v>109</v>
      </c>
      <c r="O10050" t="s">
        <v>24</v>
      </c>
      <c r="Q10050">
        <v>20</v>
      </c>
      <c r="R10050" t="str">
        <f>"DELTA LOJA 2 (10123)"</f>
        <v>DELTA LOJA 2 (10123)</v>
      </c>
      <c r="S10050" t="s">
        <v>48</v>
      </c>
      <c r="T10050">
        <v>20951</v>
      </c>
      <c r="U10050">
        <v>25347</v>
      </c>
      <c r="V10050" t="s">
        <v>48</v>
      </c>
    </row>
    <row r="10051" spans="1:22">
      <c r="A10051" t="str">
        <f t="shared" si="1948"/>
        <v>13/11/2025</v>
      </c>
      <c r="B10051" t="str">
        <f>"SAÍDA"</f>
        <v>SAÍDA</v>
      </c>
      <c r="C10051" t="str">
        <f>"PIX"</f>
        <v>PIX</v>
      </c>
      <c r="D10051" t="str">
        <f>"24751"</f>
        <v>24751</v>
      </c>
      <c r="E10051" t="str">
        <f>"1"</f>
        <v>1</v>
      </c>
      <c r="F10051" t="str">
        <f t="shared" si="1949"/>
        <v>COM</v>
      </c>
      <c r="G10051" t="str">
        <f>"EDSON JUNIOR FERREIRA DA SILVA (99)"</f>
        <v>EDSON JUNIOR FERREIRA DA SILVA (99)</v>
      </c>
      <c r="H10051" t="str">
        <f>"Serv.Prest. 24/10/2025 a 02/11/2025 - PIX: CPF - CHAVE: 141.134.256-98"</f>
        <v>Serv.Prest. 24/10/2025 a 02/11/2025 - PIX: CPF - CHAVE: 141.134.256-98</v>
      </c>
      <c r="I10051" t="str">
        <f>("13/11/2025")</f>
        <v>13/11/2025</v>
      </c>
      <c r="J10051" t="str">
        <f>("04/11/2025")</f>
        <v>04/11/2025</v>
      </c>
      <c r="K10051" t="str">
        <f>("13/11/2025")</f>
        <v>13/11/2025</v>
      </c>
      <c r="L10051">
        <v>20</v>
      </c>
      <c r="M10051">
        <v>20</v>
      </c>
      <c r="N10051">
        <v>109</v>
      </c>
      <c r="O10051" t="str">
        <f>"PAGAMENTO DE ENTREGADORES"</f>
        <v>PAGAMENTO DE ENTREGADORES</v>
      </c>
      <c r="P10051">
        <v>20</v>
      </c>
      <c r="S10051" t="str">
        <f>"CAIXA MOVIMENTAÇÃO OPERACIONAL (132)"</f>
        <v>CAIXA MOVIMENTAÇÃO OPERACIONAL (132)</v>
      </c>
      <c r="T10051">
        <v>20952</v>
      </c>
      <c r="U10051">
        <v>25348</v>
      </c>
      <c r="V10051" t="s">
        <v>48</v>
      </c>
    </row>
    <row r="10052" spans="1:22">
      <c r="A10052" t="str">
        <f t="shared" si="1948"/>
        <v>13/11/2025</v>
      </c>
      <c r="B10052" t="str">
        <f>"SAÍDA"</f>
        <v>SAÍDA</v>
      </c>
      <c r="C10052" t="str">
        <f>"PIX"</f>
        <v>PIX</v>
      </c>
      <c r="D10052" t="str">
        <f>"24751"</f>
        <v>24751</v>
      </c>
      <c r="E10052" t="str">
        <f>"1"</f>
        <v>1</v>
      </c>
      <c r="F10052" t="str">
        <f t="shared" si="1949"/>
        <v>COM</v>
      </c>
      <c r="G10052" t="str">
        <f>"EDSON JUNIOR FERREIRA DA SILVA (99)"</f>
        <v>EDSON JUNIOR FERREIRA DA SILVA (99)</v>
      </c>
      <c r="H10052" t="s">
        <v>2826</v>
      </c>
      <c r="I10052" t="str">
        <f>("13/11/2025")</f>
        <v>13/11/2025</v>
      </c>
      <c r="J10052" t="str">
        <f>("04/11/2025")</f>
        <v>04/11/2025</v>
      </c>
      <c r="K10052">
        <v>45974</v>
      </c>
      <c r="N10052">
        <v>109</v>
      </c>
      <c r="O10052" t="s">
        <v>24</v>
      </c>
      <c r="Q10052">
        <v>20</v>
      </c>
      <c r="R10052" t="str">
        <f>"FARMÁCIA INDIANA LJ 100 (10042)"</f>
        <v>FARMÁCIA INDIANA LJ 100 (10042)</v>
      </c>
      <c r="S10052" t="s">
        <v>48</v>
      </c>
      <c r="T10052">
        <v>20952</v>
      </c>
      <c r="U10052">
        <v>25348</v>
      </c>
      <c r="V10052" t="s">
        <v>48</v>
      </c>
    </row>
    <row r="10053" spans="1:22">
      <c r="A10053" t="str">
        <f t="shared" si="1948"/>
        <v>13/11/2025</v>
      </c>
      <c r="B10053" t="str">
        <f>"ENTRADA"</f>
        <v>ENTRADA</v>
      </c>
      <c r="C10053" t="str">
        <f>"DINHEIRO"</f>
        <v>DINHEIRO</v>
      </c>
      <c r="D10053" t="str">
        <f>"09"</f>
        <v>09</v>
      </c>
      <c r="E10053" t="str">
        <f>"35"</f>
        <v>35</v>
      </c>
      <c r="F10053" t="str">
        <f t="shared" si="1949"/>
        <v>COM</v>
      </c>
      <c r="G10053" t="str">
        <f>"EDSON JUNIOR FERREIRA DA SILVA (99)"</f>
        <v>EDSON JUNIOR FERREIRA DA SILVA (99)</v>
      </c>
      <c r="H10053" t="str">
        <f>"DESCONTO COTA COOPERADO"</f>
        <v>DESCONTO COTA COOPERADO</v>
      </c>
      <c r="I10053" t="str">
        <f>("16/11/2025")</f>
        <v>16/11/2025</v>
      </c>
      <c r="J10053" t="str">
        <f>("16/01/2025")</f>
        <v>16/01/2025</v>
      </c>
      <c r="K10053" t="str">
        <f>("13/11/2025")</f>
        <v>13/11/2025</v>
      </c>
      <c r="L10053">
        <v>20</v>
      </c>
      <c r="M10053">
        <v>20</v>
      </c>
      <c r="N10053">
        <v>106</v>
      </c>
      <c r="O10053" t="str">
        <f>"ENTRADA DE CAPITAL"</f>
        <v>ENTRADA DE CAPITAL</v>
      </c>
      <c r="P10053">
        <v>20</v>
      </c>
      <c r="S10053" t="str">
        <f>"ENTRADA DE CAPITAL (106)"</f>
        <v>ENTRADA DE CAPITAL (106)</v>
      </c>
      <c r="T10053">
        <v>20953</v>
      </c>
      <c r="U10053">
        <v>6124</v>
      </c>
      <c r="V10053" t="s">
        <v>48</v>
      </c>
    </row>
    <row r="10054" spans="1:22">
      <c r="A10054" t="str">
        <f t="shared" si="1948"/>
        <v>13/11/2025</v>
      </c>
      <c r="B10054" t="str">
        <f>"ENTRADA"</f>
        <v>ENTRADA</v>
      </c>
      <c r="C10054" t="str">
        <f>"DINHEIRO"</f>
        <v>DINHEIRO</v>
      </c>
      <c r="D10054" t="str">
        <f>"09"</f>
        <v>09</v>
      </c>
      <c r="E10054" t="str">
        <f>"35"</f>
        <v>35</v>
      </c>
      <c r="F10054" t="str">
        <f t="shared" si="1949"/>
        <v>COM</v>
      </c>
      <c r="G10054" t="str">
        <f>"EDSON JUNIOR FERREIRA DA SILVA (99)"</f>
        <v>EDSON JUNIOR FERREIRA DA SILVA (99)</v>
      </c>
      <c r="H10054" t="s">
        <v>309</v>
      </c>
      <c r="I10054" t="str">
        <f>("16/11/2025")</f>
        <v>16/11/2025</v>
      </c>
      <c r="J10054" t="str">
        <f>("16/01/2025")</f>
        <v>16/01/2025</v>
      </c>
      <c r="K10054">
        <v>45974</v>
      </c>
      <c r="N10054">
        <v>106</v>
      </c>
      <c r="O10054" t="s">
        <v>51</v>
      </c>
      <c r="Q10054">
        <v>20</v>
      </c>
      <c r="R10054" t="str">
        <f>"EDSON JUNIOR FERREIRA DA SILVA (99)"</f>
        <v>EDSON JUNIOR FERREIRA DA SILVA (99)</v>
      </c>
      <c r="S10054" t="s">
        <v>52</v>
      </c>
      <c r="T10054">
        <v>20953</v>
      </c>
      <c r="U10054">
        <v>6124</v>
      </c>
      <c r="V10054" t="s">
        <v>48</v>
      </c>
    </row>
    <row r="10055" spans="1:22">
      <c r="A10055" t="str">
        <f t="shared" si="1948"/>
        <v>13/11/2025</v>
      </c>
      <c r="B10055" t="str">
        <f>"ENTRADA"</f>
        <v>ENTRADA</v>
      </c>
      <c r="C10055" t="str">
        <f>"DINHEIRO"</f>
        <v>DINHEIRO</v>
      </c>
      <c r="D10055" t="str">
        <f>"721"</f>
        <v>721</v>
      </c>
      <c r="E10055" t="str">
        <f>"5"</f>
        <v>5</v>
      </c>
      <c r="F10055" t="str">
        <f t="shared" si="1949"/>
        <v>COM</v>
      </c>
      <c r="G10055" t="str">
        <f>"EDUARDO COSTA DA SILVA (721)"</f>
        <v>EDUARDO COSTA DA SILVA (721)</v>
      </c>
      <c r="H10055" t="str">
        <f>"COTA COOPERATIVA"</f>
        <v>COTA COOPERATIVA</v>
      </c>
      <c r="I10055" t="str">
        <f>("10/11/2025")</f>
        <v>10/11/2025</v>
      </c>
      <c r="J10055" t="str">
        <f>("01/04/2025")</f>
        <v>01/04/2025</v>
      </c>
      <c r="K10055" t="str">
        <f>("13/11/2025")</f>
        <v>13/11/2025</v>
      </c>
      <c r="L10055">
        <v>20</v>
      </c>
      <c r="M10055">
        <v>20</v>
      </c>
      <c r="N10055">
        <v>106</v>
      </c>
      <c r="O10055" t="str">
        <f>"ENTRADA DE CAPITAL"</f>
        <v>ENTRADA DE CAPITAL</v>
      </c>
      <c r="P10055">
        <v>20</v>
      </c>
      <c r="S10055" t="str">
        <f>"ENTRADA DE CAPITAL (106)"</f>
        <v>ENTRADA DE CAPITAL (106)</v>
      </c>
      <c r="T10055">
        <v>20954</v>
      </c>
      <c r="U10055">
        <v>18138</v>
      </c>
      <c r="V10055" t="s">
        <v>48</v>
      </c>
    </row>
    <row r="10056" spans="1:22">
      <c r="A10056" t="str">
        <f t="shared" si="1948"/>
        <v>13/11/2025</v>
      </c>
      <c r="B10056" t="str">
        <f>"ENTRADA"</f>
        <v>ENTRADA</v>
      </c>
      <c r="C10056" t="str">
        <f>"DINHEIRO"</f>
        <v>DINHEIRO</v>
      </c>
      <c r="D10056" t="str">
        <f>"721"</f>
        <v>721</v>
      </c>
      <c r="E10056" t="str">
        <f>"5"</f>
        <v>5</v>
      </c>
      <c r="F10056" t="str">
        <f t="shared" si="1949"/>
        <v>COM</v>
      </c>
      <c r="G10056" t="str">
        <f>"EDUARDO COSTA DA SILVA (721)"</f>
        <v>EDUARDO COSTA DA SILVA (721)</v>
      </c>
      <c r="H10056" t="s">
        <v>50</v>
      </c>
      <c r="I10056" t="str">
        <f>("10/11/2025")</f>
        <v>10/11/2025</v>
      </c>
      <c r="J10056" t="str">
        <f>("01/04/2025")</f>
        <v>01/04/2025</v>
      </c>
      <c r="K10056">
        <v>45974</v>
      </c>
      <c r="N10056">
        <v>106</v>
      </c>
      <c r="O10056" t="s">
        <v>51</v>
      </c>
      <c r="Q10056">
        <v>20</v>
      </c>
      <c r="R10056" t="str">
        <f>"EDUARDO COSTA DA SILVA (721)"</f>
        <v>EDUARDO COSTA DA SILVA (721)</v>
      </c>
      <c r="S10056" t="s">
        <v>52</v>
      </c>
      <c r="T10056">
        <v>20954</v>
      </c>
      <c r="U10056">
        <v>18138</v>
      </c>
      <c r="V10056" t="s">
        <v>48</v>
      </c>
    </row>
    <row r="10057" spans="1:22">
      <c r="A10057" t="str">
        <f t="shared" si="1948"/>
        <v>13/11/2025</v>
      </c>
      <c r="B10057" t="str">
        <f>"SAÍDA"</f>
        <v>SAÍDA</v>
      </c>
      <c r="C10057" t="str">
        <f>"PIX"</f>
        <v>PIX</v>
      </c>
      <c r="D10057" t="str">
        <f>"25011"</f>
        <v>25011</v>
      </c>
      <c r="E10057" t="str">
        <f>"1"</f>
        <v>1</v>
      </c>
      <c r="F10057" t="str">
        <f t="shared" si="1949"/>
        <v>COM</v>
      </c>
      <c r="G10057" t="str">
        <f>"EDUARDO COSTA DA SILVA (721)"</f>
        <v>EDUARDO COSTA DA SILVA (721)</v>
      </c>
      <c r="H10057" t="str">
        <f>"Serv.Prest. 03/11/2025 a 09/11/2025 - PIX: CELULAR - CHAVE: (11) 95552-9905"</f>
        <v>Serv.Prest. 03/11/2025 a 09/11/2025 - PIX: CELULAR - CHAVE: (11) 95552-9905</v>
      </c>
      <c r="I10057" t="str">
        <f>("13/11/2025")</f>
        <v>13/11/2025</v>
      </c>
      <c r="J10057" t="str">
        <f>("10/11/2025")</f>
        <v>10/11/2025</v>
      </c>
      <c r="K10057" t="str">
        <f>("13/11/2025")</f>
        <v>13/11/2025</v>
      </c>
      <c r="L10057">
        <v>20</v>
      </c>
      <c r="M10057">
        <v>20</v>
      </c>
      <c r="N10057">
        <v>109</v>
      </c>
      <c r="O10057" t="str">
        <f>"PAGAMENTO DE ENTREGADORES"</f>
        <v>PAGAMENTO DE ENTREGADORES</v>
      </c>
      <c r="P10057">
        <v>20</v>
      </c>
      <c r="S10057" t="str">
        <f>"CAIXA MOVIMENTAÇÃO OPERACIONAL (132)"</f>
        <v>CAIXA MOVIMENTAÇÃO OPERACIONAL (132)</v>
      </c>
      <c r="T10057">
        <v>20955</v>
      </c>
      <c r="U10057">
        <v>25349</v>
      </c>
      <c r="V10057" t="s">
        <v>48</v>
      </c>
    </row>
    <row r="10058" spans="1:22">
      <c r="A10058" t="str">
        <f t="shared" si="1948"/>
        <v>13/11/2025</v>
      </c>
      <c r="B10058" t="str">
        <f>"SAÍDA"</f>
        <v>SAÍDA</v>
      </c>
      <c r="C10058" t="str">
        <f>"PIX"</f>
        <v>PIX</v>
      </c>
      <c r="D10058" t="str">
        <f>"25011"</f>
        <v>25011</v>
      </c>
      <c r="E10058" t="str">
        <f>"1"</f>
        <v>1</v>
      </c>
      <c r="F10058" t="str">
        <f t="shared" si="1949"/>
        <v>COM</v>
      </c>
      <c r="G10058" t="str">
        <f>"EDUARDO COSTA DA SILVA (721)"</f>
        <v>EDUARDO COSTA DA SILVA (721)</v>
      </c>
      <c r="H10058" t="s">
        <v>2827</v>
      </c>
      <c r="I10058" t="str">
        <f>("13/11/2025")</f>
        <v>13/11/2025</v>
      </c>
      <c r="J10058" t="str">
        <f>("10/11/2025")</f>
        <v>10/11/2025</v>
      </c>
      <c r="K10058">
        <v>45974</v>
      </c>
      <c r="N10058">
        <v>109</v>
      </c>
      <c r="O10058" t="s">
        <v>24</v>
      </c>
      <c r="Q10058">
        <v>20</v>
      </c>
      <c r="R10058" t="str">
        <f>"DROGARIA AGAPEAMA (10167)"</f>
        <v>DROGARIA AGAPEAMA (10167)</v>
      </c>
      <c r="S10058" t="s">
        <v>48</v>
      </c>
      <c r="T10058">
        <v>20955</v>
      </c>
      <c r="U10058">
        <v>25349</v>
      </c>
      <c r="V10058" t="s">
        <v>48</v>
      </c>
    </row>
    <row r="10059" spans="1:22">
      <c r="A10059" t="str">
        <f t="shared" si="1948"/>
        <v>13/11/2025</v>
      </c>
      <c r="B10059" t="str">
        <f>"ENTRADA"</f>
        <v>ENTRADA</v>
      </c>
      <c r="C10059" t="str">
        <f>"DINHEIRO"</f>
        <v>DINHEIRO</v>
      </c>
      <c r="D10059" t="str">
        <f>"787"</f>
        <v>787</v>
      </c>
      <c r="E10059" t="str">
        <f>"7"</f>
        <v>7</v>
      </c>
      <c r="F10059" t="str">
        <f t="shared" si="1949"/>
        <v>COM</v>
      </c>
      <c r="G10059" t="str">
        <f>"EDUARDO MARQUES DOS SANTOS (787)"</f>
        <v>EDUARDO MARQUES DOS SANTOS (787)</v>
      </c>
      <c r="H10059" t="str">
        <f>"COTAS COOPERATIVA"</f>
        <v>COTAS COOPERATIVA</v>
      </c>
      <c r="I10059" t="str">
        <f>("08/11/2025")</f>
        <v>08/11/2025</v>
      </c>
      <c r="J10059" t="str">
        <f>("28/04/2025")</f>
        <v>28/04/2025</v>
      </c>
      <c r="K10059" t="str">
        <f>("13/11/2025")</f>
        <v>13/11/2025</v>
      </c>
      <c r="L10059">
        <v>20</v>
      </c>
      <c r="M10059">
        <v>20</v>
      </c>
      <c r="N10059">
        <v>106</v>
      </c>
      <c r="O10059" t="str">
        <f>"ENTRADA DE CAPITAL"</f>
        <v>ENTRADA DE CAPITAL</v>
      </c>
      <c r="P10059">
        <v>20</v>
      </c>
      <c r="S10059" t="str">
        <f>"ENTRADA DE CAPITAL (106)"</f>
        <v>ENTRADA DE CAPITAL (106)</v>
      </c>
      <c r="T10059">
        <v>20956</v>
      </c>
      <c r="U10059">
        <v>13877</v>
      </c>
      <c r="V10059" t="s">
        <v>48</v>
      </c>
    </row>
    <row r="10060" spans="1:22">
      <c r="A10060" t="str">
        <f t="shared" si="1948"/>
        <v>13/11/2025</v>
      </c>
      <c r="B10060" t="str">
        <f>"ENTRADA"</f>
        <v>ENTRADA</v>
      </c>
      <c r="C10060" t="str">
        <f>"DINHEIRO"</f>
        <v>DINHEIRO</v>
      </c>
      <c r="D10060" t="str">
        <f>"787"</f>
        <v>787</v>
      </c>
      <c r="E10060" t="str">
        <f>"7"</f>
        <v>7</v>
      </c>
      <c r="F10060" t="str">
        <f t="shared" si="1949"/>
        <v>COM</v>
      </c>
      <c r="G10060" t="str">
        <f>"EDUARDO MARQUES DOS SANTOS (787)"</f>
        <v>EDUARDO MARQUES DOS SANTOS (787)</v>
      </c>
      <c r="H10060" t="s">
        <v>318</v>
      </c>
      <c r="I10060" t="str">
        <f>("08/11/2025")</f>
        <v>08/11/2025</v>
      </c>
      <c r="J10060" t="str">
        <f>("28/04/2025")</f>
        <v>28/04/2025</v>
      </c>
      <c r="K10060">
        <v>45974</v>
      </c>
      <c r="N10060">
        <v>106</v>
      </c>
      <c r="O10060" t="s">
        <v>51</v>
      </c>
      <c r="Q10060">
        <v>20</v>
      </c>
      <c r="R10060" t="str">
        <f>"EDUARDO MARQUES DOS SANTOS (787)"</f>
        <v>EDUARDO MARQUES DOS SANTOS (787)</v>
      </c>
      <c r="S10060" t="s">
        <v>52</v>
      </c>
      <c r="T10060">
        <v>20956</v>
      </c>
      <c r="U10060">
        <v>13877</v>
      </c>
      <c r="V10060" t="s">
        <v>48</v>
      </c>
    </row>
    <row r="10061" spans="1:22">
      <c r="A10061" t="str">
        <f t="shared" si="1948"/>
        <v>13/11/2025</v>
      </c>
      <c r="B10061" t="str">
        <f>"SAÍDA"</f>
        <v>SAÍDA</v>
      </c>
      <c r="C10061" t="str">
        <f>"PIX"</f>
        <v>PIX</v>
      </c>
      <c r="D10061" t="str">
        <f>"25039"</f>
        <v>25039</v>
      </c>
      <c r="E10061" t="str">
        <f>"1"</f>
        <v>1</v>
      </c>
      <c r="F10061" t="str">
        <f t="shared" si="1949"/>
        <v>COM</v>
      </c>
      <c r="G10061" t="str">
        <f>"EDUARDO MARQUES DOS SANTOS (787)"</f>
        <v>EDUARDO MARQUES DOS SANTOS (787)</v>
      </c>
      <c r="H10061" t="str">
        <f>"Serv.Prest. 03/11/2025 a 09/11/2025 - PIX: CELULAR - CHAVE: (11) 97402-1586"</f>
        <v>Serv.Prest. 03/11/2025 a 09/11/2025 - PIX: CELULAR - CHAVE: (11) 97402-1586</v>
      </c>
      <c r="I10061" t="str">
        <f>("13/11/2025")</f>
        <v>13/11/2025</v>
      </c>
      <c r="J10061" t="str">
        <f>("10/11/2025")</f>
        <v>10/11/2025</v>
      </c>
      <c r="K10061" t="str">
        <f>("13/11/2025")</f>
        <v>13/11/2025</v>
      </c>
      <c r="L10061">
        <v>20</v>
      </c>
      <c r="M10061">
        <v>20</v>
      </c>
      <c r="N10061">
        <v>109</v>
      </c>
      <c r="O10061" t="str">
        <f>"PAGAMENTO DE ENTREGADORES"</f>
        <v>PAGAMENTO DE ENTREGADORES</v>
      </c>
      <c r="P10061">
        <v>20</v>
      </c>
      <c r="S10061" t="str">
        <f>"CAIXA MOVIMENTAÇÃO OPERACIONAL (132)"</f>
        <v>CAIXA MOVIMENTAÇÃO OPERACIONAL (132)</v>
      </c>
      <c r="T10061">
        <v>20957</v>
      </c>
      <c r="U10061">
        <v>25350</v>
      </c>
      <c r="V10061" t="s">
        <v>48</v>
      </c>
    </row>
    <row r="10062" spans="1:22">
      <c r="A10062" t="str">
        <f t="shared" si="1948"/>
        <v>13/11/2025</v>
      </c>
      <c r="B10062" t="str">
        <f>"SAÍDA"</f>
        <v>SAÍDA</v>
      </c>
      <c r="C10062" t="str">
        <f>"PIX"</f>
        <v>PIX</v>
      </c>
      <c r="D10062" t="str">
        <f>"25039"</f>
        <v>25039</v>
      </c>
      <c r="E10062" t="str">
        <f>"1"</f>
        <v>1</v>
      </c>
      <c r="F10062" t="str">
        <f t="shared" si="1949"/>
        <v>COM</v>
      </c>
      <c r="G10062" t="str">
        <f>"EDUARDO MARQUES DOS SANTOS (787)"</f>
        <v>EDUARDO MARQUES DOS SANTOS (787)</v>
      </c>
      <c r="H10062" t="s">
        <v>2828</v>
      </c>
      <c r="I10062" t="str">
        <f>("13/11/2025")</f>
        <v>13/11/2025</v>
      </c>
      <c r="J10062" t="str">
        <f>("10/11/2025")</f>
        <v>10/11/2025</v>
      </c>
      <c r="K10062">
        <v>45974</v>
      </c>
      <c r="N10062">
        <v>109</v>
      </c>
      <c r="O10062" t="s">
        <v>24</v>
      </c>
      <c r="Q10062">
        <v>20</v>
      </c>
      <c r="R10062" t="str">
        <f>"DROGARIA MORENO LTDA (10171)"</f>
        <v>DROGARIA MORENO LTDA (10171)</v>
      </c>
      <c r="S10062" t="s">
        <v>48</v>
      </c>
      <c r="T10062">
        <v>20957</v>
      </c>
      <c r="U10062">
        <v>25350</v>
      </c>
      <c r="V10062" t="s">
        <v>48</v>
      </c>
    </row>
    <row r="10063" spans="1:22">
      <c r="A10063" t="str">
        <f t="shared" si="1948"/>
        <v>13/11/2025</v>
      </c>
      <c r="B10063" t="str">
        <f>"ENTRADA"</f>
        <v>ENTRADA</v>
      </c>
      <c r="C10063" t="str">
        <f>"DINHEIRO"</f>
        <v>DINHEIRO</v>
      </c>
      <c r="D10063" t="str">
        <f>"25"</f>
        <v>25</v>
      </c>
      <c r="E10063" t="str">
        <f>"8"</f>
        <v>8</v>
      </c>
      <c r="F10063" t="str">
        <f t="shared" si="1949"/>
        <v>COM</v>
      </c>
      <c r="G10063" t="str">
        <f>"EDUARDO SILVA DE JESUS (143)"</f>
        <v>EDUARDO SILVA DE JESUS (143)</v>
      </c>
      <c r="H10063" t="str">
        <f>"COTA COOPERATIVA"</f>
        <v>COTA COOPERATIVA</v>
      </c>
      <c r="I10063" t="str">
        <f>("10/11/2025")</f>
        <v>10/11/2025</v>
      </c>
      <c r="J10063" t="str">
        <f>("10/04/2025")</f>
        <v>10/04/2025</v>
      </c>
      <c r="K10063" t="str">
        <f>("13/11/2025")</f>
        <v>13/11/2025</v>
      </c>
      <c r="L10063">
        <v>20</v>
      </c>
      <c r="M10063">
        <v>20</v>
      </c>
      <c r="N10063">
        <v>106</v>
      </c>
      <c r="O10063" t="str">
        <f>"ENTRADA DE CAPITAL"</f>
        <v>ENTRADA DE CAPITAL</v>
      </c>
      <c r="P10063">
        <v>20</v>
      </c>
      <c r="S10063" t="str">
        <f>"ENTRADA DE CAPITAL (106)"</f>
        <v>ENTRADA DE CAPITAL (106)</v>
      </c>
      <c r="T10063">
        <v>20958</v>
      </c>
      <c r="U10063">
        <v>12228</v>
      </c>
      <c r="V10063" t="s">
        <v>48</v>
      </c>
    </row>
    <row r="10064" spans="1:22">
      <c r="A10064" t="str">
        <f t="shared" si="1948"/>
        <v>13/11/2025</v>
      </c>
      <c r="B10064" t="str">
        <f>"ENTRADA"</f>
        <v>ENTRADA</v>
      </c>
      <c r="C10064" t="str">
        <f>"DINHEIRO"</f>
        <v>DINHEIRO</v>
      </c>
      <c r="D10064" t="str">
        <f>"25"</f>
        <v>25</v>
      </c>
      <c r="E10064" t="str">
        <f>"8"</f>
        <v>8</v>
      </c>
      <c r="F10064" t="str">
        <f t="shared" si="1949"/>
        <v>COM</v>
      </c>
      <c r="G10064" t="str">
        <f>"EDUARDO SILVA DE JESUS (143)"</f>
        <v>EDUARDO SILVA DE JESUS (143)</v>
      </c>
      <c r="H10064" t="s">
        <v>50</v>
      </c>
      <c r="I10064" t="str">
        <f>("10/11/2025")</f>
        <v>10/11/2025</v>
      </c>
      <c r="J10064" t="str">
        <f>("10/04/2025")</f>
        <v>10/04/2025</v>
      </c>
      <c r="K10064">
        <v>45974</v>
      </c>
      <c r="N10064">
        <v>106</v>
      </c>
      <c r="O10064" t="s">
        <v>51</v>
      </c>
      <c r="Q10064">
        <v>20</v>
      </c>
      <c r="R10064" t="str">
        <f>"EDUARDO SILVA DE JESUS (143)"</f>
        <v>EDUARDO SILVA DE JESUS (143)</v>
      </c>
      <c r="S10064" t="s">
        <v>52</v>
      </c>
      <c r="T10064">
        <v>20958</v>
      </c>
      <c r="U10064">
        <v>12228</v>
      </c>
      <c r="V10064" t="s">
        <v>48</v>
      </c>
    </row>
    <row r="10065" spans="1:22">
      <c r="A10065" t="str">
        <f t="shared" si="1948"/>
        <v>13/11/2025</v>
      </c>
      <c r="B10065" t="str">
        <f>"SAÍDA"</f>
        <v>SAÍDA</v>
      </c>
      <c r="C10065" t="str">
        <f>"PIX"</f>
        <v>PIX</v>
      </c>
      <c r="D10065" t="str">
        <f>"24703"</f>
        <v>24703</v>
      </c>
      <c r="E10065" t="str">
        <f>"1"</f>
        <v>1</v>
      </c>
      <c r="F10065" t="str">
        <f t="shared" si="1949"/>
        <v>COM</v>
      </c>
      <c r="G10065" t="str">
        <f>"EDUARDO SILVA DE JESUS (143)"</f>
        <v>EDUARDO SILVA DE JESUS (143)</v>
      </c>
      <c r="H10065" t="str">
        <f>"Serv.Prest. 24/10/2025 a 02/11/2025 - PIX: CPF - CHAVE: 094.947.395-23"</f>
        <v>Serv.Prest. 24/10/2025 a 02/11/2025 - PIX: CPF - CHAVE: 094.947.395-23</v>
      </c>
      <c r="I10065" t="str">
        <f>("13/11/2025")</f>
        <v>13/11/2025</v>
      </c>
      <c r="J10065" t="str">
        <f>("04/11/2025")</f>
        <v>04/11/2025</v>
      </c>
      <c r="K10065" t="str">
        <f>("13/11/2025")</f>
        <v>13/11/2025</v>
      </c>
      <c r="L10065">
        <v>20</v>
      </c>
      <c r="M10065">
        <v>20</v>
      </c>
      <c r="N10065">
        <v>109</v>
      </c>
      <c r="O10065" t="str">
        <f>"PAGAMENTO DE ENTREGADORES"</f>
        <v>PAGAMENTO DE ENTREGADORES</v>
      </c>
      <c r="P10065">
        <v>20</v>
      </c>
      <c r="S10065" t="str">
        <f>"CAIXA MOVIMENTAÇÃO OPERACIONAL (132)"</f>
        <v>CAIXA MOVIMENTAÇÃO OPERACIONAL (132)</v>
      </c>
      <c r="T10065">
        <v>20959</v>
      </c>
      <c r="U10065">
        <v>25351</v>
      </c>
      <c r="V10065" t="s">
        <v>48</v>
      </c>
    </row>
    <row r="10066" spans="1:22">
      <c r="A10066" t="str">
        <f t="shared" si="1948"/>
        <v>13/11/2025</v>
      </c>
      <c r="B10066" t="str">
        <f>"SAÍDA"</f>
        <v>SAÍDA</v>
      </c>
      <c r="C10066" t="str">
        <f>"PIX"</f>
        <v>PIX</v>
      </c>
      <c r="D10066" t="str">
        <f>"24703"</f>
        <v>24703</v>
      </c>
      <c r="E10066" t="str">
        <f>"1"</f>
        <v>1</v>
      </c>
      <c r="F10066" t="str">
        <f t="shared" si="1949"/>
        <v>COM</v>
      </c>
      <c r="G10066" t="str">
        <f>"EDUARDO SILVA DE JESUS (143)"</f>
        <v>EDUARDO SILVA DE JESUS (143)</v>
      </c>
      <c r="H10066" t="s">
        <v>2829</v>
      </c>
      <c r="I10066" t="str">
        <f>("13/11/2025")</f>
        <v>13/11/2025</v>
      </c>
      <c r="J10066" t="str">
        <f>("04/11/2025")</f>
        <v>04/11/2025</v>
      </c>
      <c r="K10066">
        <v>45974</v>
      </c>
      <c r="N10066">
        <v>109</v>
      </c>
      <c r="O10066" t="s">
        <v>24</v>
      </c>
      <c r="Q10066">
        <v>20</v>
      </c>
      <c r="R10066" t="str">
        <f>"FARMÁCIA INDIANA LJ 91 (10037)"</f>
        <v>FARMÁCIA INDIANA LJ 91 (10037)</v>
      </c>
      <c r="S10066" t="s">
        <v>48</v>
      </c>
      <c r="T10066">
        <v>20959</v>
      </c>
      <c r="U10066">
        <v>25351</v>
      </c>
      <c r="V10066" t="s">
        <v>48</v>
      </c>
    </row>
    <row r="10067" spans="1:22">
      <c r="A10067" t="str">
        <f t="shared" si="1948"/>
        <v>13/11/2025</v>
      </c>
      <c r="B10067" t="str">
        <f>"ENTRADA"</f>
        <v>ENTRADA</v>
      </c>
      <c r="C10067" t="str">
        <f>"DINHEIRO"</f>
        <v>DINHEIRO</v>
      </c>
      <c r="D10067" t="str">
        <f>"934"</f>
        <v>934</v>
      </c>
      <c r="E10067" t="str">
        <f>"2"</f>
        <v>2</v>
      </c>
      <c r="F10067" t="str">
        <f t="shared" si="1949"/>
        <v>COM</v>
      </c>
      <c r="G10067" t="str">
        <f>"EDVAN DA SILVA ALVES (934)"</f>
        <v>EDVAN DA SILVA ALVES (934)</v>
      </c>
      <c r="H10067" t="str">
        <f>"COTAS COOPERATIVA"</f>
        <v>COTAS COOPERATIVA</v>
      </c>
      <c r="I10067" t="str">
        <f>("10/11/2025")</f>
        <v>10/11/2025</v>
      </c>
      <c r="J10067" t="str">
        <f>("09/09/2025")</f>
        <v>09/09/2025</v>
      </c>
      <c r="K10067" t="str">
        <f>("13/11/2025")</f>
        <v>13/11/2025</v>
      </c>
      <c r="L10067">
        <v>20</v>
      </c>
      <c r="M10067">
        <v>20</v>
      </c>
      <c r="N10067">
        <v>106</v>
      </c>
      <c r="O10067" t="str">
        <f>"ENTRADA DE CAPITAL"</f>
        <v>ENTRADA DE CAPITAL</v>
      </c>
      <c r="P10067">
        <v>20</v>
      </c>
      <c r="S10067" t="str">
        <f>"ENTRADA DE CAPITAL (106)"</f>
        <v>ENTRADA DE CAPITAL (106)</v>
      </c>
      <c r="T10067">
        <v>20960</v>
      </c>
      <c r="U10067">
        <v>23244</v>
      </c>
      <c r="V10067" t="s">
        <v>48</v>
      </c>
    </row>
    <row r="10068" spans="1:22">
      <c r="A10068" t="str">
        <f t="shared" si="1948"/>
        <v>13/11/2025</v>
      </c>
      <c r="B10068" t="str">
        <f>"ENTRADA"</f>
        <v>ENTRADA</v>
      </c>
      <c r="C10068" t="str">
        <f>"DINHEIRO"</f>
        <v>DINHEIRO</v>
      </c>
      <c r="D10068" t="str">
        <f>"934"</f>
        <v>934</v>
      </c>
      <c r="E10068" t="str">
        <f>"2"</f>
        <v>2</v>
      </c>
      <c r="F10068" t="str">
        <f t="shared" si="1949"/>
        <v>COM</v>
      </c>
      <c r="G10068" t="str">
        <f>"EDVAN DA SILVA ALVES (934)"</f>
        <v>EDVAN DA SILVA ALVES (934)</v>
      </c>
      <c r="H10068" t="s">
        <v>318</v>
      </c>
      <c r="I10068" t="str">
        <f>("10/11/2025")</f>
        <v>10/11/2025</v>
      </c>
      <c r="J10068" t="str">
        <f>("09/09/2025")</f>
        <v>09/09/2025</v>
      </c>
      <c r="K10068">
        <v>45974</v>
      </c>
      <c r="N10068">
        <v>106</v>
      </c>
      <c r="O10068" t="s">
        <v>51</v>
      </c>
      <c r="Q10068">
        <v>20</v>
      </c>
      <c r="R10068" t="str">
        <f>"EDVAN DA SILVA ALVES (934)"</f>
        <v>EDVAN DA SILVA ALVES (934)</v>
      </c>
      <c r="S10068" t="s">
        <v>52</v>
      </c>
      <c r="T10068">
        <v>20960</v>
      </c>
      <c r="U10068">
        <v>23244</v>
      </c>
      <c r="V10068" t="s">
        <v>48</v>
      </c>
    </row>
    <row r="10069" spans="1:22">
      <c r="A10069" t="str">
        <f t="shared" si="1948"/>
        <v>13/11/2025</v>
      </c>
      <c r="B10069" t="str">
        <f>"SAÍDA"</f>
        <v>SAÍDA</v>
      </c>
      <c r="C10069" t="str">
        <f>"PIX"</f>
        <v>PIX</v>
      </c>
      <c r="D10069" t="str">
        <f>"25252"</f>
        <v>25252</v>
      </c>
      <c r="E10069" t="str">
        <f>"1"</f>
        <v>1</v>
      </c>
      <c r="F10069" t="str">
        <f t="shared" si="1949"/>
        <v>COM</v>
      </c>
      <c r="G10069" t="str">
        <f>"EDVAN DA SILVA ALVES (934)"</f>
        <v>EDVAN DA SILVA ALVES (934)</v>
      </c>
      <c r="H10069" t="str">
        <f>"Serv.Prest. 03/11/2025 a 09/11/2025 - PIX: E-MAIL - CHAVE: edvam18.alves@gmail.com"</f>
        <v>Serv.Prest. 03/11/2025 a 09/11/2025 - PIX: E-MAIL - CHAVE: edvam18.alves@gmail.com</v>
      </c>
      <c r="I10069" t="str">
        <f>("13/11/2025")</f>
        <v>13/11/2025</v>
      </c>
      <c r="J10069" t="str">
        <f>("11/11/2025")</f>
        <v>11/11/2025</v>
      </c>
      <c r="K10069" t="str">
        <f>("13/11/2025")</f>
        <v>13/11/2025</v>
      </c>
      <c r="L10069">
        <v>20</v>
      </c>
      <c r="M10069">
        <v>20</v>
      </c>
      <c r="N10069">
        <v>109</v>
      </c>
      <c r="O10069" t="str">
        <f>"PAGAMENTO DE ENTREGADORES"</f>
        <v>PAGAMENTO DE ENTREGADORES</v>
      </c>
      <c r="P10069">
        <v>20</v>
      </c>
      <c r="S10069" t="str">
        <f>"CAIXA MOVIMENTAÇÃO OPERACIONAL (132)"</f>
        <v>CAIXA MOVIMENTAÇÃO OPERACIONAL (132)</v>
      </c>
      <c r="T10069">
        <v>20961</v>
      </c>
      <c r="U10069">
        <v>25352</v>
      </c>
      <c r="V10069" t="s">
        <v>48</v>
      </c>
    </row>
    <row r="10070" spans="1:22">
      <c r="A10070" t="str">
        <f t="shared" si="1948"/>
        <v>13/11/2025</v>
      </c>
      <c r="B10070" t="str">
        <f>"SAÍDA"</f>
        <v>SAÍDA</v>
      </c>
      <c r="C10070" t="str">
        <f>"PIX"</f>
        <v>PIX</v>
      </c>
      <c r="D10070" t="str">
        <f>"25252"</f>
        <v>25252</v>
      </c>
      <c r="E10070" t="str">
        <f>"1"</f>
        <v>1</v>
      </c>
      <c r="F10070" t="str">
        <f t="shared" si="1949"/>
        <v>COM</v>
      </c>
      <c r="G10070" t="str">
        <f>"EDVAN DA SILVA ALVES (934)"</f>
        <v>EDVAN DA SILVA ALVES (934)</v>
      </c>
      <c r="H10070" t="s">
        <v>2830</v>
      </c>
      <c r="I10070" t="str">
        <f>("13/11/2025")</f>
        <v>13/11/2025</v>
      </c>
      <c r="J10070" t="str">
        <f>("11/11/2025")</f>
        <v>11/11/2025</v>
      </c>
      <c r="K10070">
        <v>45974</v>
      </c>
      <c r="N10070">
        <v>109</v>
      </c>
      <c r="O10070" t="s">
        <v>24</v>
      </c>
      <c r="Q10070">
        <v>20</v>
      </c>
      <c r="R10070" t="str">
        <f>"DELTA LOJA 2 (10123)"</f>
        <v>DELTA LOJA 2 (10123)</v>
      </c>
      <c r="S10070" t="s">
        <v>48</v>
      </c>
      <c r="T10070">
        <v>20961</v>
      </c>
      <c r="U10070">
        <v>25352</v>
      </c>
      <c r="V10070" t="s">
        <v>48</v>
      </c>
    </row>
    <row r="10071" spans="1:22">
      <c r="A10071" t="str">
        <f t="shared" si="1948"/>
        <v>13/11/2025</v>
      </c>
      <c r="B10071" t="str">
        <f>"ENTRADA"</f>
        <v>ENTRADA</v>
      </c>
      <c r="C10071" t="str">
        <f>"DINHEIRO"</f>
        <v>DINHEIRO</v>
      </c>
      <c r="D10071" t="str">
        <f>"04"</f>
        <v>04</v>
      </c>
      <c r="E10071" t="str">
        <f>"35"</f>
        <v>35</v>
      </c>
      <c r="F10071" t="str">
        <f t="shared" si="1949"/>
        <v>COM</v>
      </c>
      <c r="G10071" t="str">
        <f>"ELIENAI ROSA DO NASCIMENTO (343)"</f>
        <v>ELIENAI ROSA DO NASCIMENTO (343)</v>
      </c>
      <c r="H10071" t="str">
        <f>"DESCONTO COTA COOPERADO"</f>
        <v>DESCONTO COTA COOPERADO</v>
      </c>
      <c r="I10071" t="str">
        <f>("16/11/2025")</f>
        <v>16/11/2025</v>
      </c>
      <c r="J10071" t="str">
        <f>("16/01/2025")</f>
        <v>16/01/2025</v>
      </c>
      <c r="K10071" t="str">
        <f>("13/11/2025")</f>
        <v>13/11/2025</v>
      </c>
      <c r="L10071">
        <v>20</v>
      </c>
      <c r="M10071">
        <v>20</v>
      </c>
      <c r="N10071">
        <v>106</v>
      </c>
      <c r="O10071" t="str">
        <f>"ENTRADA DE CAPITAL"</f>
        <v>ENTRADA DE CAPITAL</v>
      </c>
      <c r="P10071">
        <v>20</v>
      </c>
      <c r="S10071" t="str">
        <f>"ENTRADA DE CAPITAL (106)"</f>
        <v>ENTRADA DE CAPITAL (106)</v>
      </c>
      <c r="T10071">
        <v>20962</v>
      </c>
      <c r="U10071">
        <v>6156</v>
      </c>
      <c r="V10071" t="s">
        <v>48</v>
      </c>
    </row>
    <row r="10072" spans="1:22">
      <c r="A10072" t="str">
        <f t="shared" si="1948"/>
        <v>13/11/2025</v>
      </c>
      <c r="B10072" t="str">
        <f>"ENTRADA"</f>
        <v>ENTRADA</v>
      </c>
      <c r="C10072" t="str">
        <f>"DINHEIRO"</f>
        <v>DINHEIRO</v>
      </c>
      <c r="D10072" t="str">
        <f>"04"</f>
        <v>04</v>
      </c>
      <c r="E10072" t="str">
        <f>"35"</f>
        <v>35</v>
      </c>
      <c r="F10072" t="str">
        <f t="shared" si="1949"/>
        <v>COM</v>
      </c>
      <c r="G10072" t="str">
        <f>"ELIENAI ROSA DO NASCIMENTO (343)"</f>
        <v>ELIENAI ROSA DO NASCIMENTO (343)</v>
      </c>
      <c r="H10072" t="s">
        <v>309</v>
      </c>
      <c r="I10072" t="str">
        <f>("16/11/2025")</f>
        <v>16/11/2025</v>
      </c>
      <c r="J10072" t="str">
        <f>("16/01/2025")</f>
        <v>16/01/2025</v>
      </c>
      <c r="K10072">
        <v>45974</v>
      </c>
      <c r="N10072">
        <v>106</v>
      </c>
      <c r="O10072" t="s">
        <v>51</v>
      </c>
      <c r="Q10072">
        <v>20</v>
      </c>
      <c r="R10072" t="str">
        <f>"ELIENAI ROSA DO NASCIMENTO (343)"</f>
        <v>ELIENAI ROSA DO NASCIMENTO (343)</v>
      </c>
      <c r="S10072" t="s">
        <v>52</v>
      </c>
      <c r="T10072">
        <v>20962</v>
      </c>
      <c r="U10072">
        <v>6156</v>
      </c>
      <c r="V10072" t="s">
        <v>48</v>
      </c>
    </row>
    <row r="10073" spans="1:22">
      <c r="A10073" t="str">
        <f t="shared" si="1948"/>
        <v>13/11/2025</v>
      </c>
      <c r="B10073" t="str">
        <f>"SAÍDA"</f>
        <v>SAÍDA</v>
      </c>
      <c r="C10073" t="str">
        <f>"PIX"</f>
        <v>PIX</v>
      </c>
      <c r="D10073" t="str">
        <f>"25253"</f>
        <v>25253</v>
      </c>
      <c r="E10073" t="str">
        <f>"1"</f>
        <v>1</v>
      </c>
      <c r="F10073" t="str">
        <f t="shared" si="1949"/>
        <v>COM</v>
      </c>
      <c r="G10073" t="str">
        <f>"ELIENAI ROSA DO NASCIMENTO (343)"</f>
        <v>ELIENAI ROSA DO NASCIMENTO (343)</v>
      </c>
      <c r="H10073" t="str">
        <f>"Serv.Prest. 03/11/2025 a 09/11/2025 - PIX: CPF - CHAVE: 048.672.645-20"</f>
        <v>Serv.Prest. 03/11/2025 a 09/11/2025 - PIX: CPF - CHAVE: 048.672.645-20</v>
      </c>
      <c r="I10073" t="str">
        <f>("13/11/2025")</f>
        <v>13/11/2025</v>
      </c>
      <c r="J10073" t="str">
        <f>("11/11/2025")</f>
        <v>11/11/2025</v>
      </c>
      <c r="K10073" t="str">
        <f>("13/11/2025")</f>
        <v>13/11/2025</v>
      </c>
      <c r="L10073">
        <v>20</v>
      </c>
      <c r="M10073">
        <v>20</v>
      </c>
      <c r="N10073">
        <v>109</v>
      </c>
      <c r="O10073" t="str">
        <f>"PAGAMENTO DE ENTREGADORES"</f>
        <v>PAGAMENTO DE ENTREGADORES</v>
      </c>
      <c r="P10073">
        <v>20</v>
      </c>
      <c r="S10073" t="str">
        <f>"CAIXA MOVIMENTAÇÃO OPERACIONAL (132)"</f>
        <v>CAIXA MOVIMENTAÇÃO OPERACIONAL (132)</v>
      </c>
      <c r="T10073">
        <v>20963</v>
      </c>
      <c r="U10073">
        <v>25353</v>
      </c>
      <c r="V10073" t="s">
        <v>48</v>
      </c>
    </row>
    <row r="10074" spans="1:22">
      <c r="A10074" t="str">
        <f t="shared" si="1948"/>
        <v>13/11/2025</v>
      </c>
      <c r="B10074" t="str">
        <f>"SAÍDA"</f>
        <v>SAÍDA</v>
      </c>
      <c r="C10074" t="str">
        <f>"PIX"</f>
        <v>PIX</v>
      </c>
      <c r="D10074" t="str">
        <f>"25253"</f>
        <v>25253</v>
      </c>
      <c r="E10074" t="str">
        <f>"1"</f>
        <v>1</v>
      </c>
      <c r="F10074" t="str">
        <f t="shared" si="1949"/>
        <v>COM</v>
      </c>
      <c r="G10074" t="str">
        <f>"ELIENAI ROSA DO NASCIMENTO (343)"</f>
        <v>ELIENAI ROSA DO NASCIMENTO (343)</v>
      </c>
      <c r="H10074" t="s">
        <v>2831</v>
      </c>
      <c r="I10074" t="str">
        <f>("13/11/2025")</f>
        <v>13/11/2025</v>
      </c>
      <c r="J10074" t="str">
        <f>("11/11/2025")</f>
        <v>11/11/2025</v>
      </c>
      <c r="K10074">
        <v>45974</v>
      </c>
      <c r="N10074">
        <v>109</v>
      </c>
      <c r="O10074" t="s">
        <v>24</v>
      </c>
      <c r="Q10074">
        <v>20</v>
      </c>
      <c r="R10074" t="str">
        <f>"DELTA LOJA 2 (10123)"</f>
        <v>DELTA LOJA 2 (10123)</v>
      </c>
      <c r="S10074" t="s">
        <v>48</v>
      </c>
      <c r="T10074">
        <v>20963</v>
      </c>
      <c r="U10074">
        <v>25353</v>
      </c>
      <c r="V10074" t="s">
        <v>48</v>
      </c>
    </row>
    <row r="10075" spans="1:22">
      <c r="A10075" t="str">
        <f t="shared" si="1948"/>
        <v>13/11/2025</v>
      </c>
      <c r="B10075" t="str">
        <f>"ENTRADA"</f>
        <v>ENTRADA</v>
      </c>
      <c r="C10075" t="str">
        <f>"DINHEIRO"</f>
        <v>DINHEIRO</v>
      </c>
      <c r="D10075" t="str">
        <f>"840"</f>
        <v>840</v>
      </c>
      <c r="E10075" t="str">
        <f>"5"</f>
        <v>5</v>
      </c>
      <c r="F10075" t="str">
        <f t="shared" si="1949"/>
        <v>COM</v>
      </c>
      <c r="G10075" t="str">
        <f>"ELIO CALDEIRA RIBEIRO JUNIOR (840)"</f>
        <v>ELIO CALDEIRA RIBEIRO JUNIOR (840)</v>
      </c>
      <c r="H10075" t="str">
        <f>"COTA COOPERATIVA"</f>
        <v>COTA COOPERATIVA</v>
      </c>
      <c r="I10075" t="str">
        <f>("10/11/2025")</f>
        <v>10/11/2025</v>
      </c>
      <c r="J10075" t="str">
        <f>("31/05/2025")</f>
        <v>31/05/2025</v>
      </c>
      <c r="K10075" t="str">
        <f>("13/11/2025")</f>
        <v>13/11/2025</v>
      </c>
      <c r="L10075">
        <v>20</v>
      </c>
      <c r="M10075">
        <v>20</v>
      </c>
      <c r="N10075">
        <v>106</v>
      </c>
      <c r="O10075" t="str">
        <f>"ENTRADA DE CAPITAL"</f>
        <v>ENTRADA DE CAPITAL</v>
      </c>
      <c r="P10075">
        <v>20</v>
      </c>
      <c r="S10075" t="str">
        <f>"ENTRADA DE CAPITAL (106)"</f>
        <v>ENTRADA DE CAPITAL (106)</v>
      </c>
      <c r="T10075">
        <v>20964</v>
      </c>
      <c r="U10075">
        <v>18166</v>
      </c>
      <c r="V10075" t="s">
        <v>48</v>
      </c>
    </row>
    <row r="10076" spans="1:22">
      <c r="A10076" t="str">
        <f t="shared" si="1948"/>
        <v>13/11/2025</v>
      </c>
      <c r="B10076" t="str">
        <f>"ENTRADA"</f>
        <v>ENTRADA</v>
      </c>
      <c r="C10076" t="str">
        <f>"DINHEIRO"</f>
        <v>DINHEIRO</v>
      </c>
      <c r="D10076" t="str">
        <f>"840"</f>
        <v>840</v>
      </c>
      <c r="E10076" t="str">
        <f>"5"</f>
        <v>5</v>
      </c>
      <c r="F10076" t="str">
        <f t="shared" si="1949"/>
        <v>COM</v>
      </c>
      <c r="G10076" t="str">
        <f>"ELIO CALDEIRA RIBEIRO JUNIOR (840)"</f>
        <v>ELIO CALDEIRA RIBEIRO JUNIOR (840)</v>
      </c>
      <c r="H10076" t="s">
        <v>50</v>
      </c>
      <c r="I10076" t="str">
        <f>("10/11/2025")</f>
        <v>10/11/2025</v>
      </c>
      <c r="J10076" t="str">
        <f>("31/05/2025")</f>
        <v>31/05/2025</v>
      </c>
      <c r="K10076">
        <v>45974</v>
      </c>
      <c r="N10076">
        <v>106</v>
      </c>
      <c r="O10076" t="s">
        <v>51</v>
      </c>
      <c r="Q10076">
        <v>20</v>
      </c>
      <c r="R10076" t="str">
        <f>"ELIO CALDEIRA RIBEIRO JUNIOR (840)"</f>
        <v>ELIO CALDEIRA RIBEIRO JUNIOR (840)</v>
      </c>
      <c r="S10076" t="s">
        <v>52</v>
      </c>
      <c r="T10076">
        <v>20964</v>
      </c>
      <c r="U10076">
        <v>18166</v>
      </c>
      <c r="V10076" t="s">
        <v>48</v>
      </c>
    </row>
    <row r="10077" spans="1:22">
      <c r="A10077" t="str">
        <f t="shared" si="1948"/>
        <v>13/11/2025</v>
      </c>
      <c r="B10077" t="str">
        <f>"SAÍDA"</f>
        <v>SAÍDA</v>
      </c>
      <c r="C10077" t="str">
        <f>"PIX"</f>
        <v>PIX</v>
      </c>
      <c r="D10077" t="str">
        <f>"25033"</f>
        <v>25033</v>
      </c>
      <c r="E10077" t="str">
        <f>"1"</f>
        <v>1</v>
      </c>
      <c r="F10077" t="str">
        <f t="shared" si="1949"/>
        <v>COM</v>
      </c>
      <c r="G10077" t="str">
        <f>"ELIO CALDEIRA RIBEIRO JUNIOR (840)"</f>
        <v>ELIO CALDEIRA RIBEIRO JUNIOR (840)</v>
      </c>
      <c r="H10077" t="str">
        <f>"Serv.Prest. 03/11/2025 a 09/11/2025 - PIX: CPF - CHAVE: 463.491.858-70"</f>
        <v>Serv.Prest. 03/11/2025 a 09/11/2025 - PIX: CPF - CHAVE: 463.491.858-70</v>
      </c>
      <c r="I10077" t="str">
        <f t="shared" ref="I10077:I10084" si="1950">("13/11/2025")</f>
        <v>13/11/2025</v>
      </c>
      <c r="J10077" t="str">
        <f>("10/11/2025")</f>
        <v>10/11/2025</v>
      </c>
      <c r="K10077" t="str">
        <f>("13/11/2025")</f>
        <v>13/11/2025</v>
      </c>
      <c r="L10077">
        <v>20</v>
      </c>
      <c r="M10077">
        <v>20</v>
      </c>
      <c r="N10077">
        <v>109</v>
      </c>
      <c r="O10077" t="str">
        <f>"PAGAMENTO DE ENTREGADORES"</f>
        <v>PAGAMENTO DE ENTREGADORES</v>
      </c>
      <c r="P10077">
        <v>20</v>
      </c>
      <c r="S10077" t="str">
        <f>"CAIXA MOVIMENTAÇÃO OPERACIONAL (132)"</f>
        <v>CAIXA MOVIMENTAÇÃO OPERACIONAL (132)</v>
      </c>
      <c r="T10077">
        <v>20965</v>
      </c>
      <c r="U10077">
        <v>25354</v>
      </c>
      <c r="V10077" t="s">
        <v>48</v>
      </c>
    </row>
    <row r="10078" spans="1:22">
      <c r="A10078" t="str">
        <f t="shared" si="1948"/>
        <v>13/11/2025</v>
      </c>
      <c r="B10078" t="str">
        <f>"SAÍDA"</f>
        <v>SAÍDA</v>
      </c>
      <c r="C10078" t="str">
        <f>"PIX"</f>
        <v>PIX</v>
      </c>
      <c r="D10078" t="str">
        <f>"25033"</f>
        <v>25033</v>
      </c>
      <c r="E10078" t="str">
        <f>"1"</f>
        <v>1</v>
      </c>
      <c r="F10078" t="str">
        <f t="shared" si="1949"/>
        <v>COM</v>
      </c>
      <c r="G10078" t="str">
        <f>"ELIO CALDEIRA RIBEIRO JUNIOR (840)"</f>
        <v>ELIO CALDEIRA RIBEIRO JUNIOR (840)</v>
      </c>
      <c r="H10078" t="s">
        <v>2832</v>
      </c>
      <c r="I10078" t="str">
        <f t="shared" si="1950"/>
        <v>13/11/2025</v>
      </c>
      <c r="J10078" t="str">
        <f>("10/11/2025")</f>
        <v>10/11/2025</v>
      </c>
      <c r="K10078">
        <v>45974</v>
      </c>
      <c r="N10078">
        <v>109</v>
      </c>
      <c r="O10078" t="s">
        <v>24</v>
      </c>
      <c r="Q10078">
        <v>20</v>
      </c>
      <c r="R10078" t="str">
        <f>"DROGARIA MEDIC CENTER LTDA (10172)"</f>
        <v>DROGARIA MEDIC CENTER LTDA (10172)</v>
      </c>
      <c r="S10078" t="s">
        <v>48</v>
      </c>
      <c r="T10078">
        <v>20965</v>
      </c>
      <c r="U10078">
        <v>25354</v>
      </c>
      <c r="V10078" t="s">
        <v>48</v>
      </c>
    </row>
    <row r="10079" spans="1:22">
      <c r="A10079" t="str">
        <f t="shared" ref="A10079:A10142" si="1951">("13/11/2025")</f>
        <v>13/11/2025</v>
      </c>
      <c r="B10079" t="str">
        <f>"ENTRADA"</f>
        <v>ENTRADA</v>
      </c>
      <c r="C10079" t="str">
        <f>"DINHEIRO"</f>
        <v>DINHEIRO</v>
      </c>
      <c r="D10079" t="str">
        <f>"606"</f>
        <v>606</v>
      </c>
      <c r="E10079" t="str">
        <f>"10"</f>
        <v>10</v>
      </c>
      <c r="F10079" t="str">
        <f t="shared" si="1949"/>
        <v>COM</v>
      </c>
      <c r="G10079" t="str">
        <f>"ERIC DE RAMOS GOMES (606)"</f>
        <v>ERIC DE RAMOS GOMES (606)</v>
      </c>
      <c r="H10079" t="str">
        <f>"COTAS COOPERATIVA"</f>
        <v>COTAS COOPERATIVA</v>
      </c>
      <c r="I10079" t="str">
        <f t="shared" si="1950"/>
        <v>13/11/2025</v>
      </c>
      <c r="J10079" t="str">
        <f>("12/02/2025")</f>
        <v>12/02/2025</v>
      </c>
      <c r="K10079" t="str">
        <f>("13/11/2025")</f>
        <v>13/11/2025</v>
      </c>
      <c r="L10079">
        <v>20</v>
      </c>
      <c r="M10079">
        <v>20</v>
      </c>
      <c r="N10079">
        <v>106</v>
      </c>
      <c r="O10079" t="str">
        <f>"ENTRADA DE CAPITAL"</f>
        <v>ENTRADA DE CAPITAL</v>
      </c>
      <c r="P10079">
        <v>20</v>
      </c>
      <c r="S10079" t="str">
        <f>"ENTRADA DE CAPITAL (106)"</f>
        <v>ENTRADA DE CAPITAL (106)</v>
      </c>
      <c r="T10079">
        <v>20966</v>
      </c>
      <c r="U10079">
        <v>9126</v>
      </c>
      <c r="V10079" t="s">
        <v>48</v>
      </c>
    </row>
    <row r="10080" spans="1:22">
      <c r="A10080" t="str">
        <f t="shared" si="1951"/>
        <v>13/11/2025</v>
      </c>
      <c r="B10080" t="str">
        <f>"ENTRADA"</f>
        <v>ENTRADA</v>
      </c>
      <c r="C10080" t="str">
        <f>"DINHEIRO"</f>
        <v>DINHEIRO</v>
      </c>
      <c r="D10080" t="str">
        <f>"606"</f>
        <v>606</v>
      </c>
      <c r="E10080" t="str">
        <f>"10"</f>
        <v>10</v>
      </c>
      <c r="F10080" t="str">
        <f t="shared" si="1949"/>
        <v>COM</v>
      </c>
      <c r="G10080" t="str">
        <f>"ERIC DE RAMOS GOMES (606)"</f>
        <v>ERIC DE RAMOS GOMES (606)</v>
      </c>
      <c r="H10080" t="s">
        <v>318</v>
      </c>
      <c r="I10080" t="str">
        <f t="shared" si="1950"/>
        <v>13/11/2025</v>
      </c>
      <c r="J10080" t="str">
        <f>("12/02/2025")</f>
        <v>12/02/2025</v>
      </c>
      <c r="K10080">
        <v>45974</v>
      </c>
      <c r="N10080">
        <v>106</v>
      </c>
      <c r="O10080" t="s">
        <v>51</v>
      </c>
      <c r="Q10080">
        <v>20</v>
      </c>
      <c r="R10080" t="str">
        <f>"ERIC DE RAMOS GOMES (606)"</f>
        <v>ERIC DE RAMOS GOMES (606)</v>
      </c>
      <c r="S10080" t="s">
        <v>52</v>
      </c>
      <c r="T10080">
        <v>20966</v>
      </c>
      <c r="U10080">
        <v>9126</v>
      </c>
      <c r="V10080" t="s">
        <v>48</v>
      </c>
    </row>
    <row r="10081" spans="1:22">
      <c r="A10081" t="str">
        <f t="shared" si="1951"/>
        <v>13/11/2025</v>
      </c>
      <c r="B10081" t="str">
        <f>"SAÍDA"</f>
        <v>SAÍDA</v>
      </c>
      <c r="C10081" t="str">
        <f>"PIX"</f>
        <v>PIX</v>
      </c>
      <c r="D10081" t="str">
        <f>"24704"</f>
        <v>24704</v>
      </c>
      <c r="E10081" t="str">
        <f>"1"</f>
        <v>1</v>
      </c>
      <c r="F10081" t="str">
        <f t="shared" si="1949"/>
        <v>COM</v>
      </c>
      <c r="G10081" t="str">
        <f>"ERIC DE RAMOS GOMES (606)"</f>
        <v>ERIC DE RAMOS GOMES (606)</v>
      </c>
      <c r="H10081" t="str">
        <f>"Serv.Prest. 24/10/2025 a 02/11/2025 - PIX: E-MAIL - CHAVE: ericgomes508@gmail.com"</f>
        <v>Serv.Prest. 24/10/2025 a 02/11/2025 - PIX: E-MAIL - CHAVE: ericgomes508@gmail.com</v>
      </c>
      <c r="I10081" t="str">
        <f t="shared" si="1950"/>
        <v>13/11/2025</v>
      </c>
      <c r="J10081" t="str">
        <f>("04/11/2025")</f>
        <v>04/11/2025</v>
      </c>
      <c r="K10081" t="str">
        <f>("13/11/2025")</f>
        <v>13/11/2025</v>
      </c>
      <c r="L10081">
        <v>20</v>
      </c>
      <c r="M10081">
        <v>20</v>
      </c>
      <c r="N10081">
        <v>109</v>
      </c>
      <c r="O10081" t="str">
        <f>"PAGAMENTO DE ENTREGADORES"</f>
        <v>PAGAMENTO DE ENTREGADORES</v>
      </c>
      <c r="P10081">
        <v>20</v>
      </c>
      <c r="S10081" t="str">
        <f>"CAIXA MOVIMENTAÇÃO OPERACIONAL (132)"</f>
        <v>CAIXA MOVIMENTAÇÃO OPERACIONAL (132)</v>
      </c>
      <c r="T10081">
        <v>20967</v>
      </c>
      <c r="U10081">
        <v>25355</v>
      </c>
      <c r="V10081" t="s">
        <v>48</v>
      </c>
    </row>
    <row r="10082" spans="1:22">
      <c r="A10082" t="str">
        <f t="shared" si="1951"/>
        <v>13/11/2025</v>
      </c>
      <c r="B10082" t="str">
        <f>"SAÍDA"</f>
        <v>SAÍDA</v>
      </c>
      <c r="C10082" t="str">
        <f>"PIX"</f>
        <v>PIX</v>
      </c>
      <c r="D10082" t="str">
        <f>"24704"</f>
        <v>24704</v>
      </c>
      <c r="E10082" t="str">
        <f>"1"</f>
        <v>1</v>
      </c>
      <c r="F10082" t="str">
        <f t="shared" si="1949"/>
        <v>COM</v>
      </c>
      <c r="G10082" t="str">
        <f>"ERIC DE RAMOS GOMES (606)"</f>
        <v>ERIC DE RAMOS GOMES (606)</v>
      </c>
      <c r="H10082" t="s">
        <v>2833</v>
      </c>
      <c r="I10082" t="str">
        <f t="shared" si="1950"/>
        <v>13/11/2025</v>
      </c>
      <c r="J10082" t="str">
        <f>("04/11/2025")</f>
        <v>04/11/2025</v>
      </c>
      <c r="K10082">
        <v>45974</v>
      </c>
      <c r="N10082">
        <v>109</v>
      </c>
      <c r="O10082" t="s">
        <v>24</v>
      </c>
      <c r="Q10082">
        <v>20</v>
      </c>
      <c r="R10082" t="str">
        <f>"FARMÁCIA INDIANA LJ 91 (10037)"</f>
        <v>FARMÁCIA INDIANA LJ 91 (10037)</v>
      </c>
      <c r="S10082" t="s">
        <v>48</v>
      </c>
      <c r="T10082">
        <v>20967</v>
      </c>
      <c r="U10082">
        <v>25355</v>
      </c>
      <c r="V10082" t="s">
        <v>48</v>
      </c>
    </row>
    <row r="10083" spans="1:22">
      <c r="A10083" t="str">
        <f t="shared" si="1951"/>
        <v>13/11/2025</v>
      </c>
      <c r="B10083" t="str">
        <f>"SAÍDA"</f>
        <v>SAÍDA</v>
      </c>
      <c r="C10083" t="str">
        <f>"PIX"</f>
        <v>PIX</v>
      </c>
      <c r="D10083" t="str">
        <f>"24752"</f>
        <v>24752</v>
      </c>
      <c r="E10083" t="str">
        <f>"1"</f>
        <v>1</v>
      </c>
      <c r="F10083" t="str">
        <f t="shared" si="1949"/>
        <v>COM</v>
      </c>
      <c r="G10083" t="str">
        <f>"EUDES PIMENTA (368)"</f>
        <v>EUDES PIMENTA (368)</v>
      </c>
      <c r="H10083" t="str">
        <f>"Serv.Prest. 24/10/2025 a 02/11/2025 - PIX: CPF - CHAVE: 070.073.316-70"</f>
        <v>Serv.Prest. 24/10/2025 a 02/11/2025 - PIX: CPF - CHAVE: 070.073.316-70</v>
      </c>
      <c r="I10083" t="str">
        <f t="shared" si="1950"/>
        <v>13/11/2025</v>
      </c>
      <c r="J10083" t="str">
        <f>("04/11/2025")</f>
        <v>04/11/2025</v>
      </c>
      <c r="K10083" t="str">
        <f>("13/11/2025")</f>
        <v>13/11/2025</v>
      </c>
      <c r="L10083">
        <v>20</v>
      </c>
      <c r="M10083">
        <v>20</v>
      </c>
      <c r="N10083">
        <v>109</v>
      </c>
      <c r="O10083" t="str">
        <f>"PAGAMENTO DE ENTREGADORES"</f>
        <v>PAGAMENTO DE ENTREGADORES</v>
      </c>
      <c r="P10083">
        <v>20</v>
      </c>
      <c r="S10083" t="str">
        <f>"CAIXA MOVIMENTAÇÃO OPERACIONAL (132)"</f>
        <v>CAIXA MOVIMENTAÇÃO OPERACIONAL (132)</v>
      </c>
      <c r="T10083">
        <v>20968</v>
      </c>
      <c r="U10083">
        <v>25356</v>
      </c>
      <c r="V10083" t="s">
        <v>48</v>
      </c>
    </row>
    <row r="10084" spans="1:22">
      <c r="A10084" t="str">
        <f t="shared" si="1951"/>
        <v>13/11/2025</v>
      </c>
      <c r="B10084" t="str">
        <f>"SAÍDA"</f>
        <v>SAÍDA</v>
      </c>
      <c r="C10084" t="str">
        <f>"PIX"</f>
        <v>PIX</v>
      </c>
      <c r="D10084" t="str">
        <f>"24752"</f>
        <v>24752</v>
      </c>
      <c r="E10084" t="str">
        <f>"1"</f>
        <v>1</v>
      </c>
      <c r="F10084" t="str">
        <f t="shared" si="1949"/>
        <v>COM</v>
      </c>
      <c r="G10084" t="str">
        <f>"EUDES PIMENTA (368)"</f>
        <v>EUDES PIMENTA (368)</v>
      </c>
      <c r="H10084" t="s">
        <v>2834</v>
      </c>
      <c r="I10084" t="str">
        <f t="shared" si="1950"/>
        <v>13/11/2025</v>
      </c>
      <c r="J10084" t="str">
        <f>("04/11/2025")</f>
        <v>04/11/2025</v>
      </c>
      <c r="K10084">
        <v>45974</v>
      </c>
      <c r="N10084">
        <v>109</v>
      </c>
      <c r="O10084" t="s">
        <v>24</v>
      </c>
      <c r="Q10084">
        <v>20</v>
      </c>
      <c r="R10084" t="str">
        <f>"FARMÁCIA INDIANA LJ 06 (10006)"</f>
        <v>FARMÁCIA INDIANA LJ 06 (10006)</v>
      </c>
      <c r="S10084" t="s">
        <v>48</v>
      </c>
      <c r="T10084">
        <v>20968</v>
      </c>
      <c r="U10084">
        <v>25356</v>
      </c>
      <c r="V10084" t="s">
        <v>48</v>
      </c>
    </row>
    <row r="10085" spans="1:22">
      <c r="A10085" t="str">
        <f t="shared" si="1951"/>
        <v>13/11/2025</v>
      </c>
      <c r="B10085" t="str">
        <f>"ENTRADA"</f>
        <v>ENTRADA</v>
      </c>
      <c r="C10085" t="str">
        <f>"DINHEIRO"</f>
        <v>DINHEIRO</v>
      </c>
      <c r="D10085" t="str">
        <f>"06"</f>
        <v>06</v>
      </c>
      <c r="E10085" t="str">
        <f>"35"</f>
        <v>35</v>
      </c>
      <c r="F10085" t="str">
        <f t="shared" si="1949"/>
        <v>COM</v>
      </c>
      <c r="G10085" t="str">
        <f>"EUDES PIMENTA (368)"</f>
        <v>EUDES PIMENTA (368)</v>
      </c>
      <c r="H10085" t="str">
        <f>"DESCONTO COTA COOPERADO"</f>
        <v>DESCONTO COTA COOPERADO</v>
      </c>
      <c r="I10085" t="str">
        <f>("16/11/2025")</f>
        <v>16/11/2025</v>
      </c>
      <c r="J10085" t="str">
        <f>("16/01/2025")</f>
        <v>16/01/2025</v>
      </c>
      <c r="K10085" t="str">
        <f>("13/11/2025")</f>
        <v>13/11/2025</v>
      </c>
      <c r="L10085">
        <v>20</v>
      </c>
      <c r="M10085">
        <v>20</v>
      </c>
      <c r="N10085">
        <v>106</v>
      </c>
      <c r="O10085" t="str">
        <f>"ENTRADA DE CAPITAL"</f>
        <v>ENTRADA DE CAPITAL</v>
      </c>
      <c r="P10085">
        <v>20</v>
      </c>
      <c r="S10085" t="str">
        <f>"ENTRADA DE CAPITAL (106)"</f>
        <v>ENTRADA DE CAPITAL (106)</v>
      </c>
      <c r="T10085">
        <v>20969</v>
      </c>
      <c r="U10085">
        <v>6179</v>
      </c>
      <c r="V10085" t="s">
        <v>48</v>
      </c>
    </row>
    <row r="10086" spans="1:22">
      <c r="A10086" t="str">
        <f t="shared" si="1951"/>
        <v>13/11/2025</v>
      </c>
      <c r="B10086" t="str">
        <f>"ENTRADA"</f>
        <v>ENTRADA</v>
      </c>
      <c r="C10086" t="str">
        <f>"DINHEIRO"</f>
        <v>DINHEIRO</v>
      </c>
      <c r="D10086" t="str">
        <f>"06"</f>
        <v>06</v>
      </c>
      <c r="E10086" t="str">
        <f>"35"</f>
        <v>35</v>
      </c>
      <c r="F10086" t="str">
        <f t="shared" si="1949"/>
        <v>COM</v>
      </c>
      <c r="G10086" t="str">
        <f>"EUDES PIMENTA (368)"</f>
        <v>EUDES PIMENTA (368)</v>
      </c>
      <c r="H10086" t="s">
        <v>309</v>
      </c>
      <c r="I10086" t="str">
        <f>("16/11/2025")</f>
        <v>16/11/2025</v>
      </c>
      <c r="J10086" t="str">
        <f>("16/01/2025")</f>
        <v>16/01/2025</v>
      </c>
      <c r="K10086">
        <v>45974</v>
      </c>
      <c r="N10086">
        <v>106</v>
      </c>
      <c r="O10086" t="s">
        <v>51</v>
      </c>
      <c r="Q10086">
        <v>20</v>
      </c>
      <c r="R10086" t="str">
        <f>"EUDES PIMENTA (368)"</f>
        <v>EUDES PIMENTA (368)</v>
      </c>
      <c r="S10086" t="s">
        <v>52</v>
      </c>
      <c r="T10086">
        <v>20969</v>
      </c>
      <c r="U10086">
        <v>6179</v>
      </c>
      <c r="V10086" t="s">
        <v>48</v>
      </c>
    </row>
    <row r="10087" spans="1:22">
      <c r="A10087" t="str">
        <f t="shared" si="1951"/>
        <v>13/11/2025</v>
      </c>
      <c r="B10087" t="str">
        <f>"ENTRADA"</f>
        <v>ENTRADA</v>
      </c>
      <c r="C10087" t="str">
        <f>"DINHEIRO"</f>
        <v>DINHEIRO</v>
      </c>
      <c r="D10087" t="str">
        <f>"788"</f>
        <v>788</v>
      </c>
      <c r="E10087" t="str">
        <f>"7"</f>
        <v>7</v>
      </c>
      <c r="F10087" t="str">
        <f t="shared" si="1949"/>
        <v>COM</v>
      </c>
      <c r="G10087" t="str">
        <f>"FABRICIO QUEIROZ DE OLIVEIRA (788)"</f>
        <v>FABRICIO QUEIROZ DE OLIVEIRA (788)</v>
      </c>
      <c r="H10087" t="str">
        <f>"COTAS COOPERATIVA"</f>
        <v>COTAS COOPERATIVA</v>
      </c>
      <c r="I10087" t="str">
        <f>("08/11/2025")</f>
        <v>08/11/2025</v>
      </c>
      <c r="J10087" t="str">
        <f>("27/04/2025")</f>
        <v>27/04/2025</v>
      </c>
      <c r="K10087" t="str">
        <f>("13/11/2025")</f>
        <v>13/11/2025</v>
      </c>
      <c r="L10087">
        <v>20</v>
      </c>
      <c r="M10087">
        <v>20</v>
      </c>
      <c r="N10087">
        <v>106</v>
      </c>
      <c r="O10087" t="str">
        <f>"ENTRADA DE CAPITAL"</f>
        <v>ENTRADA DE CAPITAL</v>
      </c>
      <c r="P10087">
        <v>20</v>
      </c>
      <c r="S10087" t="str">
        <f>"ENTRADA DE CAPITAL (106)"</f>
        <v>ENTRADA DE CAPITAL (106)</v>
      </c>
      <c r="T10087">
        <v>20970</v>
      </c>
      <c r="U10087">
        <v>13909</v>
      </c>
      <c r="V10087" t="s">
        <v>48</v>
      </c>
    </row>
    <row r="10088" spans="1:22">
      <c r="A10088" t="str">
        <f t="shared" si="1951"/>
        <v>13/11/2025</v>
      </c>
      <c r="B10088" t="str">
        <f>"ENTRADA"</f>
        <v>ENTRADA</v>
      </c>
      <c r="C10088" t="str">
        <f>"DINHEIRO"</f>
        <v>DINHEIRO</v>
      </c>
      <c r="D10088" t="str">
        <f>"788"</f>
        <v>788</v>
      </c>
      <c r="E10088" t="str">
        <f>"7"</f>
        <v>7</v>
      </c>
      <c r="F10088" t="str">
        <f t="shared" si="1949"/>
        <v>COM</v>
      </c>
      <c r="G10088" t="str">
        <f>"FABRICIO QUEIROZ DE OLIVEIRA (788)"</f>
        <v>FABRICIO QUEIROZ DE OLIVEIRA (788)</v>
      </c>
      <c r="H10088" t="s">
        <v>318</v>
      </c>
      <c r="I10088" t="str">
        <f>("08/11/2025")</f>
        <v>08/11/2025</v>
      </c>
      <c r="J10088" t="str">
        <f>("27/04/2025")</f>
        <v>27/04/2025</v>
      </c>
      <c r="K10088">
        <v>45974</v>
      </c>
      <c r="N10088">
        <v>106</v>
      </c>
      <c r="O10088" t="s">
        <v>51</v>
      </c>
      <c r="Q10088">
        <v>20</v>
      </c>
      <c r="R10088" t="str">
        <f>"FABRICIO QUEIROZ DE OLIVEIRA (788)"</f>
        <v>FABRICIO QUEIROZ DE OLIVEIRA (788)</v>
      </c>
      <c r="S10088" t="s">
        <v>52</v>
      </c>
      <c r="T10088">
        <v>20970</v>
      </c>
      <c r="U10088">
        <v>13909</v>
      </c>
      <c r="V10088" t="s">
        <v>48</v>
      </c>
    </row>
    <row r="10089" spans="1:22">
      <c r="A10089" t="str">
        <f t="shared" si="1951"/>
        <v>13/11/2025</v>
      </c>
      <c r="B10089" t="str">
        <f>"SAÍDA"</f>
        <v>SAÍDA</v>
      </c>
      <c r="C10089" t="str">
        <f>"PIX"</f>
        <v>PIX</v>
      </c>
      <c r="D10089" t="str">
        <f>"25028"</f>
        <v>25028</v>
      </c>
      <c r="E10089" t="str">
        <f>"1"</f>
        <v>1</v>
      </c>
      <c r="F10089" t="str">
        <f t="shared" si="1949"/>
        <v>COM</v>
      </c>
      <c r="G10089" t="str">
        <f>"FABRICIO QUEIROZ DE OLIVEIRA (788)"</f>
        <v>FABRICIO QUEIROZ DE OLIVEIRA (788)</v>
      </c>
      <c r="H10089" t="str">
        <f>"Serv.Prest. 03/11/2025 a 09/11/2025 - PIX: CPF - CHAVE: 138.798.486-10"</f>
        <v>Serv.Prest. 03/11/2025 a 09/11/2025 - PIX: CPF - CHAVE: 138.798.486-10</v>
      </c>
      <c r="I10089" t="str">
        <f t="shared" ref="I10089:I10095" si="1952">("13/11/2025")</f>
        <v>13/11/2025</v>
      </c>
      <c r="J10089" t="str">
        <f>("10/11/2025")</f>
        <v>10/11/2025</v>
      </c>
      <c r="K10089" t="str">
        <f>("13/11/2025")</f>
        <v>13/11/2025</v>
      </c>
      <c r="L10089">
        <v>20</v>
      </c>
      <c r="M10089">
        <v>20</v>
      </c>
      <c r="N10089">
        <v>109</v>
      </c>
      <c r="O10089" t="str">
        <f>"PAGAMENTO DE ENTREGADORES"</f>
        <v>PAGAMENTO DE ENTREGADORES</v>
      </c>
      <c r="P10089">
        <v>20</v>
      </c>
      <c r="S10089" t="str">
        <f>"CAIXA MOVIMENTAÇÃO OPERACIONAL (132)"</f>
        <v>CAIXA MOVIMENTAÇÃO OPERACIONAL (132)</v>
      </c>
      <c r="T10089">
        <v>20971</v>
      </c>
      <c r="U10089">
        <v>25357</v>
      </c>
      <c r="V10089" t="s">
        <v>48</v>
      </c>
    </row>
    <row r="10090" spans="1:22">
      <c r="A10090" t="str">
        <f t="shared" si="1951"/>
        <v>13/11/2025</v>
      </c>
      <c r="B10090" t="str">
        <f>"SAÍDA"</f>
        <v>SAÍDA</v>
      </c>
      <c r="C10090" t="str">
        <f>"PIX"</f>
        <v>PIX</v>
      </c>
      <c r="D10090" t="str">
        <f>"25028"</f>
        <v>25028</v>
      </c>
      <c r="E10090" t="str">
        <f>"1"</f>
        <v>1</v>
      </c>
      <c r="F10090" t="str">
        <f t="shared" si="1949"/>
        <v>COM</v>
      </c>
      <c r="G10090" t="str">
        <f>"FABRICIO QUEIROZ DE OLIVEIRA (788)"</f>
        <v>FABRICIO QUEIROZ DE OLIVEIRA (788)</v>
      </c>
      <c r="H10090" t="s">
        <v>2835</v>
      </c>
      <c r="I10090" t="str">
        <f t="shared" si="1952"/>
        <v>13/11/2025</v>
      </c>
      <c r="J10090" t="str">
        <f>("10/11/2025")</f>
        <v>10/11/2025</v>
      </c>
      <c r="K10090">
        <v>45974</v>
      </c>
      <c r="N10090">
        <v>109</v>
      </c>
      <c r="O10090" t="s">
        <v>24</v>
      </c>
      <c r="Q10090">
        <v>18.52</v>
      </c>
      <c r="R10090" t="str">
        <f>"FRAN FARMA LJ 2 (10131)"</f>
        <v>FRAN FARMA LJ 2 (10131)</v>
      </c>
      <c r="S10090" t="s">
        <v>48</v>
      </c>
      <c r="T10090">
        <v>20971</v>
      </c>
      <c r="U10090">
        <v>25357</v>
      </c>
      <c r="V10090" t="s">
        <v>48</v>
      </c>
    </row>
    <row r="10091" spans="1:22">
      <c r="A10091" t="str">
        <f t="shared" si="1951"/>
        <v>13/11/2025</v>
      </c>
      <c r="B10091" t="str">
        <f>"SAÍDA"</f>
        <v>SAÍDA</v>
      </c>
      <c r="C10091" t="str">
        <f>"PIX"</f>
        <v>PIX</v>
      </c>
      <c r="D10091" t="str">
        <f>"25028"</f>
        <v>25028</v>
      </c>
      <c r="E10091" t="str">
        <f>"1"</f>
        <v>1</v>
      </c>
      <c r="F10091" t="str">
        <f t="shared" si="1949"/>
        <v>COM</v>
      </c>
      <c r="G10091" t="str">
        <f>"FABRICIO QUEIROZ DE OLIVEIRA (788)"</f>
        <v>FABRICIO QUEIROZ DE OLIVEIRA (788)</v>
      </c>
      <c r="H10091" t="s">
        <v>2835</v>
      </c>
      <c r="I10091" t="str">
        <f t="shared" si="1952"/>
        <v>13/11/2025</v>
      </c>
      <c r="J10091" t="str">
        <f>("10/11/2025")</f>
        <v>10/11/2025</v>
      </c>
      <c r="K10091">
        <v>45974</v>
      </c>
      <c r="N10091">
        <v>109</v>
      </c>
      <c r="O10091" t="s">
        <v>24</v>
      </c>
      <c r="Q10091">
        <v>1.48</v>
      </c>
      <c r="R10091" t="str">
        <f>"FRAN FARMA LJ 3 (10132)"</f>
        <v>FRAN FARMA LJ 3 (10132)</v>
      </c>
      <c r="S10091" t="s">
        <v>48</v>
      </c>
      <c r="T10091">
        <v>20971</v>
      </c>
      <c r="U10091">
        <v>25357</v>
      </c>
      <c r="V10091" t="s">
        <v>48</v>
      </c>
    </row>
    <row r="10092" spans="1:22">
      <c r="A10092" t="str">
        <f t="shared" si="1951"/>
        <v>13/11/2025</v>
      </c>
      <c r="B10092" t="str">
        <f>"ENTRADA"</f>
        <v>ENTRADA</v>
      </c>
      <c r="C10092" t="str">
        <f>"DINHEIRO"</f>
        <v>DINHEIRO</v>
      </c>
      <c r="D10092" t="str">
        <f>"25"</f>
        <v>25</v>
      </c>
      <c r="E10092" t="str">
        <f>"9"</f>
        <v>9</v>
      </c>
      <c r="F10092" t="str">
        <f t="shared" si="1949"/>
        <v>COM</v>
      </c>
      <c r="G10092" t="str">
        <f>"FABRICIO RAMON SOARES SANTOS (645)"</f>
        <v>FABRICIO RAMON SOARES SANTOS (645)</v>
      </c>
      <c r="H10092" t="str">
        <f>"DESCONTO COTA COOPERATIVA"</f>
        <v>DESCONTO COTA COOPERATIVA</v>
      </c>
      <c r="I10092" t="str">
        <f t="shared" si="1952"/>
        <v>13/11/2025</v>
      </c>
      <c r="J10092" t="str">
        <f>("13/03/2025")</f>
        <v>13/03/2025</v>
      </c>
      <c r="K10092" t="str">
        <f>("13/11/2025")</f>
        <v>13/11/2025</v>
      </c>
      <c r="L10092">
        <v>20</v>
      </c>
      <c r="M10092">
        <v>20</v>
      </c>
      <c r="N10092">
        <v>106</v>
      </c>
      <c r="O10092" t="str">
        <f>"ENTRADA DE CAPITAL"</f>
        <v>ENTRADA DE CAPITAL</v>
      </c>
      <c r="P10092">
        <v>20</v>
      </c>
      <c r="S10092" t="str">
        <f>"ENTRADA DE CAPITAL (106)"</f>
        <v>ENTRADA DE CAPITAL (106)</v>
      </c>
      <c r="T10092">
        <v>20972</v>
      </c>
      <c r="U10092">
        <v>10899</v>
      </c>
      <c r="V10092" t="s">
        <v>48</v>
      </c>
    </row>
    <row r="10093" spans="1:22">
      <c r="A10093" t="str">
        <f t="shared" si="1951"/>
        <v>13/11/2025</v>
      </c>
      <c r="B10093" t="str">
        <f>"ENTRADA"</f>
        <v>ENTRADA</v>
      </c>
      <c r="C10093" t="str">
        <f>"DINHEIRO"</f>
        <v>DINHEIRO</v>
      </c>
      <c r="D10093" t="str">
        <f>"25"</f>
        <v>25</v>
      </c>
      <c r="E10093" t="str">
        <f>"9"</f>
        <v>9</v>
      </c>
      <c r="F10093" t="str">
        <f t="shared" si="1949"/>
        <v>COM</v>
      </c>
      <c r="G10093" t="str">
        <f>"FABRICIO RAMON SOARES SANTOS (645)"</f>
        <v>FABRICIO RAMON SOARES SANTOS (645)</v>
      </c>
      <c r="H10093" t="s">
        <v>360</v>
      </c>
      <c r="I10093" t="str">
        <f t="shared" si="1952"/>
        <v>13/11/2025</v>
      </c>
      <c r="J10093" t="str">
        <f>("13/03/2025")</f>
        <v>13/03/2025</v>
      </c>
      <c r="K10093">
        <v>45974</v>
      </c>
      <c r="N10093">
        <v>106</v>
      </c>
      <c r="O10093" t="s">
        <v>51</v>
      </c>
      <c r="Q10093">
        <v>20</v>
      </c>
      <c r="R10093" t="str">
        <f>"FABRICIO RAMON SOARES SANTOS (645)"</f>
        <v>FABRICIO RAMON SOARES SANTOS (645)</v>
      </c>
      <c r="S10093" t="s">
        <v>52</v>
      </c>
      <c r="T10093">
        <v>20972</v>
      </c>
      <c r="U10093">
        <v>10899</v>
      </c>
      <c r="V10093" t="s">
        <v>48</v>
      </c>
    </row>
    <row r="10094" spans="1:22">
      <c r="A10094" t="str">
        <f t="shared" si="1951"/>
        <v>13/11/2025</v>
      </c>
      <c r="B10094" t="str">
        <f>"SAÍDA"</f>
        <v>SAÍDA</v>
      </c>
      <c r="C10094" t="str">
        <f>"PIX"</f>
        <v>PIX</v>
      </c>
      <c r="D10094" t="str">
        <f>"24754"</f>
        <v>24754</v>
      </c>
      <c r="E10094" t="str">
        <f>"1"</f>
        <v>1</v>
      </c>
      <c r="F10094" t="str">
        <f t="shared" si="1949"/>
        <v>COM</v>
      </c>
      <c r="G10094" t="str">
        <f>"FABRICIO RAMON SOARES SANTOS (645)"</f>
        <v>FABRICIO RAMON SOARES SANTOS (645)</v>
      </c>
      <c r="H10094" t="str">
        <f>"Serv.Prest. 24/10/2025 a 02/11/2025 - PIX: CELULAR - CHAVE: (31) 98483-3242"</f>
        <v>Serv.Prest. 24/10/2025 a 02/11/2025 - PIX: CELULAR - CHAVE: (31) 98483-3242</v>
      </c>
      <c r="I10094" t="str">
        <f t="shared" si="1952"/>
        <v>13/11/2025</v>
      </c>
      <c r="J10094" t="str">
        <f>("04/11/2025")</f>
        <v>04/11/2025</v>
      </c>
      <c r="K10094" t="str">
        <f>("13/11/2025")</f>
        <v>13/11/2025</v>
      </c>
      <c r="L10094">
        <v>20</v>
      </c>
      <c r="M10094">
        <v>20</v>
      </c>
      <c r="N10094">
        <v>109</v>
      </c>
      <c r="O10094" t="str">
        <f>"PAGAMENTO DE ENTREGADORES"</f>
        <v>PAGAMENTO DE ENTREGADORES</v>
      </c>
      <c r="P10094">
        <v>20</v>
      </c>
      <c r="S10094" t="str">
        <f>"CAIXA MOVIMENTAÇÃO OPERACIONAL (132)"</f>
        <v>CAIXA MOVIMENTAÇÃO OPERACIONAL (132)</v>
      </c>
      <c r="T10094">
        <v>20973</v>
      </c>
      <c r="U10094">
        <v>25358</v>
      </c>
      <c r="V10094" t="s">
        <v>48</v>
      </c>
    </row>
    <row r="10095" spans="1:22">
      <c r="A10095" t="str">
        <f t="shared" si="1951"/>
        <v>13/11/2025</v>
      </c>
      <c r="B10095" t="str">
        <f>"SAÍDA"</f>
        <v>SAÍDA</v>
      </c>
      <c r="C10095" t="str">
        <f>"PIX"</f>
        <v>PIX</v>
      </c>
      <c r="D10095" t="str">
        <f>"24754"</f>
        <v>24754</v>
      </c>
      <c r="E10095" t="str">
        <f>"1"</f>
        <v>1</v>
      </c>
      <c r="F10095" t="str">
        <f t="shared" si="1949"/>
        <v>COM</v>
      </c>
      <c r="G10095" t="str">
        <f>"FABRICIO RAMON SOARES SANTOS (645)"</f>
        <v>FABRICIO RAMON SOARES SANTOS (645)</v>
      </c>
      <c r="H10095" t="s">
        <v>2518</v>
      </c>
      <c r="I10095" t="str">
        <f t="shared" si="1952"/>
        <v>13/11/2025</v>
      </c>
      <c r="J10095" t="str">
        <f>("04/11/2025")</f>
        <v>04/11/2025</v>
      </c>
      <c r="K10095">
        <v>45974</v>
      </c>
      <c r="N10095">
        <v>109</v>
      </c>
      <c r="O10095" t="s">
        <v>24</v>
      </c>
      <c r="Q10095">
        <v>20</v>
      </c>
      <c r="R10095" t="str">
        <f>"FARMÁCIA INDIANA LJ 101 (10043)"</f>
        <v>FARMÁCIA INDIANA LJ 101 (10043)</v>
      </c>
      <c r="S10095" t="s">
        <v>48</v>
      </c>
      <c r="T10095">
        <v>20973</v>
      </c>
      <c r="U10095">
        <v>25358</v>
      </c>
      <c r="V10095" t="s">
        <v>48</v>
      </c>
    </row>
    <row r="10096" spans="1:22">
      <c r="A10096" t="str">
        <f t="shared" si="1951"/>
        <v>13/11/2025</v>
      </c>
      <c r="B10096" t="str">
        <f>"ENTRADA"</f>
        <v>ENTRADA</v>
      </c>
      <c r="C10096" t="str">
        <f>"DINHEIRO"</f>
        <v>DINHEIRO</v>
      </c>
      <c r="D10096" t="str">
        <f>"701"</f>
        <v>701</v>
      </c>
      <c r="E10096" t="str">
        <f>"7"</f>
        <v>7</v>
      </c>
      <c r="F10096" t="str">
        <f t="shared" si="1949"/>
        <v>COM</v>
      </c>
      <c r="G10096" t="str">
        <f>"FERNANDO MARTINS DA SILVA (701)"</f>
        <v>FERNANDO MARTINS DA SILVA (701)</v>
      </c>
      <c r="H10096" t="str">
        <f>"COTA COOPERATIVA"</f>
        <v>COTA COOPERATIVA</v>
      </c>
      <c r="I10096" t="str">
        <f>("08/11/2025")</f>
        <v>08/11/2025</v>
      </c>
      <c r="J10096" t="str">
        <f>("31/03/2025")</f>
        <v>31/03/2025</v>
      </c>
      <c r="K10096" t="str">
        <f>("13/11/2025")</f>
        <v>13/11/2025</v>
      </c>
      <c r="L10096">
        <v>20</v>
      </c>
      <c r="M10096">
        <v>20</v>
      </c>
      <c r="N10096">
        <v>106</v>
      </c>
      <c r="O10096" t="str">
        <f>"ENTRADA DE CAPITAL"</f>
        <v>ENTRADA DE CAPITAL</v>
      </c>
      <c r="P10096">
        <v>20</v>
      </c>
      <c r="S10096" t="str">
        <f>"ENTRADA DE CAPITAL (106)"</f>
        <v>ENTRADA DE CAPITAL (106)</v>
      </c>
      <c r="T10096">
        <v>20974</v>
      </c>
      <c r="U10096">
        <v>13937</v>
      </c>
      <c r="V10096" t="s">
        <v>48</v>
      </c>
    </row>
    <row r="10097" spans="1:22">
      <c r="A10097" t="str">
        <f t="shared" si="1951"/>
        <v>13/11/2025</v>
      </c>
      <c r="B10097" t="str">
        <f>"ENTRADA"</f>
        <v>ENTRADA</v>
      </c>
      <c r="C10097" t="str">
        <f>"DINHEIRO"</f>
        <v>DINHEIRO</v>
      </c>
      <c r="D10097" t="str">
        <f>"701"</f>
        <v>701</v>
      </c>
      <c r="E10097" t="str">
        <f>"7"</f>
        <v>7</v>
      </c>
      <c r="F10097" t="str">
        <f t="shared" si="1949"/>
        <v>COM</v>
      </c>
      <c r="G10097" t="str">
        <f>"FERNANDO MARTINS DA SILVA (701)"</f>
        <v>FERNANDO MARTINS DA SILVA (701)</v>
      </c>
      <c r="H10097" t="s">
        <v>50</v>
      </c>
      <c r="I10097" t="str">
        <f>("08/11/2025")</f>
        <v>08/11/2025</v>
      </c>
      <c r="J10097" t="str">
        <f>("31/03/2025")</f>
        <v>31/03/2025</v>
      </c>
      <c r="K10097">
        <v>45974</v>
      </c>
      <c r="N10097">
        <v>106</v>
      </c>
      <c r="O10097" t="s">
        <v>51</v>
      </c>
      <c r="Q10097">
        <v>20</v>
      </c>
      <c r="R10097" t="str">
        <f>"FERNANDO MARTINS DA SILVA (701)"</f>
        <v>FERNANDO MARTINS DA SILVA (701)</v>
      </c>
      <c r="S10097" t="s">
        <v>52</v>
      </c>
      <c r="T10097">
        <v>20974</v>
      </c>
      <c r="U10097">
        <v>13937</v>
      </c>
      <c r="V10097" t="s">
        <v>48</v>
      </c>
    </row>
    <row r="10098" spans="1:22">
      <c r="A10098" t="str">
        <f t="shared" si="1951"/>
        <v>13/11/2025</v>
      </c>
      <c r="B10098" t="str">
        <f>"SAÍDA"</f>
        <v>SAÍDA</v>
      </c>
      <c r="C10098" t="str">
        <f>"PIX"</f>
        <v>PIX</v>
      </c>
      <c r="D10098" t="str">
        <f>"24885"</f>
        <v>24885</v>
      </c>
      <c r="E10098" t="str">
        <f>"1"</f>
        <v>1</v>
      </c>
      <c r="F10098" t="str">
        <f t="shared" si="1949"/>
        <v>COM</v>
      </c>
      <c r="G10098" t="str">
        <f>"FERNANDO MARTINS DA SILVA (701)"</f>
        <v>FERNANDO MARTINS DA SILVA (701)</v>
      </c>
      <c r="H10098" t="str">
        <f>"Serv.Prest. 27/10/2025 a 02/11/2025 - PIX: CPF - CHAVE: 004.682.359-06"</f>
        <v>Serv.Prest. 27/10/2025 a 02/11/2025 - PIX: CPF - CHAVE: 004.682.359-06</v>
      </c>
      <c r="I10098" t="str">
        <f>("13/11/2025")</f>
        <v>13/11/2025</v>
      </c>
      <c r="J10098" t="str">
        <f>("05/11/2025")</f>
        <v>05/11/2025</v>
      </c>
      <c r="K10098" t="str">
        <f>("13/11/2025")</f>
        <v>13/11/2025</v>
      </c>
      <c r="L10098">
        <v>20</v>
      </c>
      <c r="M10098">
        <v>20</v>
      </c>
      <c r="N10098">
        <v>109</v>
      </c>
      <c r="O10098" t="str">
        <f>"PAGAMENTO DE ENTREGADORES"</f>
        <v>PAGAMENTO DE ENTREGADORES</v>
      </c>
      <c r="P10098">
        <v>20</v>
      </c>
      <c r="S10098" t="str">
        <f>"CAIXA MOVIMENTAÇÃO OPERACIONAL (132)"</f>
        <v>CAIXA MOVIMENTAÇÃO OPERACIONAL (132)</v>
      </c>
      <c r="T10098">
        <v>20975</v>
      </c>
      <c r="U10098">
        <v>25359</v>
      </c>
      <c r="V10098" t="s">
        <v>48</v>
      </c>
    </row>
    <row r="10099" spans="1:22">
      <c r="A10099" t="str">
        <f t="shared" si="1951"/>
        <v>13/11/2025</v>
      </c>
      <c r="B10099" t="str">
        <f>"SAÍDA"</f>
        <v>SAÍDA</v>
      </c>
      <c r="C10099" t="str">
        <f>"PIX"</f>
        <v>PIX</v>
      </c>
      <c r="D10099" t="str">
        <f>"24885"</f>
        <v>24885</v>
      </c>
      <c r="E10099" t="str">
        <f>"1"</f>
        <v>1</v>
      </c>
      <c r="F10099" t="str">
        <f t="shared" si="1949"/>
        <v>COM</v>
      </c>
      <c r="G10099" t="str">
        <f>"FERNANDO MARTINS DA SILVA (701)"</f>
        <v>FERNANDO MARTINS DA SILVA (701)</v>
      </c>
      <c r="H10099" t="s">
        <v>2836</v>
      </c>
      <c r="I10099" t="str">
        <f>("13/11/2025")</f>
        <v>13/11/2025</v>
      </c>
      <c r="J10099" t="str">
        <f>("05/11/2025")</f>
        <v>05/11/2025</v>
      </c>
      <c r="K10099">
        <v>45974</v>
      </c>
      <c r="N10099">
        <v>109</v>
      </c>
      <c r="O10099" t="s">
        <v>24</v>
      </c>
      <c r="Q10099">
        <v>20</v>
      </c>
      <c r="R10099" t="str">
        <f>"AC FARMA - CID.ALTA (10166)"</f>
        <v>AC FARMA - CID.ALTA (10166)</v>
      </c>
      <c r="S10099" t="s">
        <v>48</v>
      </c>
      <c r="T10099">
        <v>20975</v>
      </c>
      <c r="U10099">
        <v>25359</v>
      </c>
      <c r="V10099" t="s">
        <v>48</v>
      </c>
    </row>
    <row r="10100" spans="1:22">
      <c r="A10100" t="str">
        <f t="shared" si="1951"/>
        <v>13/11/2025</v>
      </c>
      <c r="B10100" t="str">
        <f>"ENTRADA"</f>
        <v>ENTRADA</v>
      </c>
      <c r="C10100" t="str">
        <f>"DINHEIRO"</f>
        <v>DINHEIRO</v>
      </c>
      <c r="D10100" t="str">
        <f>"824"</f>
        <v>824</v>
      </c>
      <c r="E10100" t="str">
        <f>"5"</f>
        <v>5</v>
      </c>
      <c r="F10100" t="str">
        <f t="shared" si="1949"/>
        <v>COM</v>
      </c>
      <c r="G10100" t="str">
        <f>"GABRIEL DA SILVA REIS (824)"</f>
        <v>GABRIEL DA SILVA REIS (824)</v>
      </c>
      <c r="H10100" t="str">
        <f>"COTA COOPERATIVA"</f>
        <v>COTA COOPERATIVA</v>
      </c>
      <c r="I10100" t="str">
        <f>("10/11/2025")</f>
        <v>10/11/2025</v>
      </c>
      <c r="J10100" t="str">
        <f>("01/06/2025")</f>
        <v>01/06/2025</v>
      </c>
      <c r="K10100" t="str">
        <f>("13/11/2025")</f>
        <v>13/11/2025</v>
      </c>
      <c r="L10100">
        <v>20</v>
      </c>
      <c r="M10100">
        <v>20</v>
      </c>
      <c r="N10100">
        <v>106</v>
      </c>
      <c r="O10100" t="str">
        <f>"ENTRADA DE CAPITAL"</f>
        <v>ENTRADA DE CAPITAL</v>
      </c>
      <c r="P10100">
        <v>20</v>
      </c>
      <c r="S10100" t="str">
        <f>"ENTRADA DE CAPITAL (106)"</f>
        <v>ENTRADA DE CAPITAL (106)</v>
      </c>
      <c r="T10100">
        <v>20976</v>
      </c>
      <c r="U10100">
        <v>18199</v>
      </c>
      <c r="V10100" t="s">
        <v>48</v>
      </c>
    </row>
    <row r="10101" spans="1:22">
      <c r="A10101" t="str">
        <f t="shared" si="1951"/>
        <v>13/11/2025</v>
      </c>
      <c r="B10101" t="str">
        <f>"ENTRADA"</f>
        <v>ENTRADA</v>
      </c>
      <c r="C10101" t="str">
        <f>"DINHEIRO"</f>
        <v>DINHEIRO</v>
      </c>
      <c r="D10101" t="str">
        <f>"824"</f>
        <v>824</v>
      </c>
      <c r="E10101" t="str">
        <f>"5"</f>
        <v>5</v>
      </c>
      <c r="F10101" t="str">
        <f t="shared" si="1949"/>
        <v>COM</v>
      </c>
      <c r="G10101" t="str">
        <f>"GABRIEL DA SILVA REIS (824)"</f>
        <v>GABRIEL DA SILVA REIS (824)</v>
      </c>
      <c r="H10101" t="s">
        <v>50</v>
      </c>
      <c r="I10101" t="str">
        <f>("10/11/2025")</f>
        <v>10/11/2025</v>
      </c>
      <c r="J10101" t="str">
        <f>("01/06/2025")</f>
        <v>01/06/2025</v>
      </c>
      <c r="K10101">
        <v>45974</v>
      </c>
      <c r="N10101">
        <v>106</v>
      </c>
      <c r="O10101" t="s">
        <v>51</v>
      </c>
      <c r="Q10101">
        <v>20</v>
      </c>
      <c r="R10101" t="str">
        <f>"GABRIEL DA SILVA REIS (824)"</f>
        <v>GABRIEL DA SILVA REIS (824)</v>
      </c>
      <c r="S10101" t="s">
        <v>52</v>
      </c>
      <c r="T10101">
        <v>20976</v>
      </c>
      <c r="U10101">
        <v>18199</v>
      </c>
      <c r="V10101" t="s">
        <v>48</v>
      </c>
    </row>
    <row r="10102" spans="1:22">
      <c r="A10102" t="str">
        <f t="shared" si="1951"/>
        <v>13/11/2025</v>
      </c>
      <c r="B10102" t="str">
        <f>"SAÍDA"</f>
        <v>SAÍDA</v>
      </c>
      <c r="C10102" t="str">
        <f>"PIX"</f>
        <v>PIX</v>
      </c>
      <c r="D10102" t="str">
        <f>"24755"</f>
        <v>24755</v>
      </c>
      <c r="E10102" t="str">
        <f>"1"</f>
        <v>1</v>
      </c>
      <c r="F10102" t="str">
        <f t="shared" si="1949"/>
        <v>COM</v>
      </c>
      <c r="G10102" t="str">
        <f>"GABRIEL DA SILVA REIS (824)"</f>
        <v>GABRIEL DA SILVA REIS (824)</v>
      </c>
      <c r="H10102" t="str">
        <f>"Serv.Prest. 24/10/2025 a 02/11/2025 - PIX: CPF - CHAVE: 160.160.216-28"</f>
        <v>Serv.Prest. 24/10/2025 a 02/11/2025 - PIX: CPF - CHAVE: 160.160.216-28</v>
      </c>
      <c r="I10102" t="str">
        <f>("13/11/2025")</f>
        <v>13/11/2025</v>
      </c>
      <c r="J10102" t="str">
        <f>("04/11/2025")</f>
        <v>04/11/2025</v>
      </c>
      <c r="K10102" t="str">
        <f>("13/11/2025")</f>
        <v>13/11/2025</v>
      </c>
      <c r="L10102">
        <v>20</v>
      </c>
      <c r="M10102">
        <v>20</v>
      </c>
      <c r="N10102">
        <v>109</v>
      </c>
      <c r="O10102" t="str">
        <f>"PAGAMENTO DE ENTREGADORES"</f>
        <v>PAGAMENTO DE ENTREGADORES</v>
      </c>
      <c r="P10102">
        <v>20</v>
      </c>
      <c r="S10102" t="str">
        <f>"CAIXA MOVIMENTAÇÃO OPERACIONAL (132)"</f>
        <v>CAIXA MOVIMENTAÇÃO OPERACIONAL (132)</v>
      </c>
      <c r="T10102">
        <v>20977</v>
      </c>
      <c r="U10102">
        <v>25360</v>
      </c>
      <c r="V10102" t="s">
        <v>48</v>
      </c>
    </row>
    <row r="10103" spans="1:22">
      <c r="A10103" t="str">
        <f t="shared" si="1951"/>
        <v>13/11/2025</v>
      </c>
      <c r="B10103" t="str">
        <f>"SAÍDA"</f>
        <v>SAÍDA</v>
      </c>
      <c r="C10103" t="str">
        <f>"PIX"</f>
        <v>PIX</v>
      </c>
      <c r="D10103" t="str">
        <f>"24755"</f>
        <v>24755</v>
      </c>
      <c r="E10103" t="str">
        <f>"1"</f>
        <v>1</v>
      </c>
      <c r="F10103" t="str">
        <f t="shared" ref="F10103:F10166" si="1953">"COM"</f>
        <v>COM</v>
      </c>
      <c r="G10103" t="str">
        <f>"GABRIEL DA SILVA REIS (824)"</f>
        <v>GABRIEL DA SILVA REIS (824)</v>
      </c>
      <c r="H10103" t="s">
        <v>2837</v>
      </c>
      <c r="I10103" t="str">
        <f>("13/11/2025")</f>
        <v>13/11/2025</v>
      </c>
      <c r="J10103" t="str">
        <f>("04/11/2025")</f>
        <v>04/11/2025</v>
      </c>
      <c r="K10103">
        <v>45974</v>
      </c>
      <c r="N10103">
        <v>109</v>
      </c>
      <c r="O10103" t="s">
        <v>24</v>
      </c>
      <c r="Q10103">
        <v>20</v>
      </c>
      <c r="R10103" t="str">
        <f>"FARMÁCIA INDIANA LJ 100 (10042)"</f>
        <v>FARMÁCIA INDIANA LJ 100 (10042)</v>
      </c>
      <c r="S10103" t="s">
        <v>48</v>
      </c>
      <c r="T10103">
        <v>20977</v>
      </c>
      <c r="U10103">
        <v>25360</v>
      </c>
      <c r="V10103" t="s">
        <v>48</v>
      </c>
    </row>
    <row r="10104" spans="1:22">
      <c r="A10104" t="str">
        <f t="shared" si="1951"/>
        <v>13/11/2025</v>
      </c>
      <c r="B10104" t="str">
        <f>"ENTRADA"</f>
        <v>ENTRADA</v>
      </c>
      <c r="C10104" t="str">
        <f>""</f>
        <v/>
      </c>
      <c r="D10104" t="str">
        <f>""</f>
        <v/>
      </c>
      <c r="F10104" t="str">
        <f t="shared" si="1953"/>
        <v>COM</v>
      </c>
      <c r="G10104" t="str">
        <f>"GABRIEL PACHECO DE QUEIROZ NARCISO (812)"</f>
        <v>GABRIEL PACHECO DE QUEIROZ NARCISO (812)</v>
      </c>
      <c r="H10104" t="str">
        <f>"COTA COOPERATIVA - GABRIEL PACHECO DE QUEIROZ NARCISO"</f>
        <v>COTA COOPERATIVA - GABRIEL PACHECO DE QUEIROZ NARCISO</v>
      </c>
      <c r="I10104" t="str">
        <f>("13/11/2025")</f>
        <v>13/11/2025</v>
      </c>
      <c r="J10104" t="str">
        <f>("13/11/2025")</f>
        <v>13/11/2025</v>
      </c>
      <c r="K10104" t="str">
        <f>("13/11/2025")</f>
        <v>13/11/2025</v>
      </c>
      <c r="L10104">
        <v>20</v>
      </c>
      <c r="M10104">
        <v>20</v>
      </c>
      <c r="N10104">
        <v>106</v>
      </c>
      <c r="O10104" t="str">
        <f>"ENTRADA DE CAPITAL"</f>
        <v>ENTRADA DE CAPITAL</v>
      </c>
      <c r="P10104">
        <v>20</v>
      </c>
      <c r="S10104" t="str">
        <f>"ENTRADA DE CAPITAL (106)"</f>
        <v>ENTRADA DE CAPITAL (106)</v>
      </c>
      <c r="T10104">
        <v>20978</v>
      </c>
      <c r="U10104">
        <v>0</v>
      </c>
      <c r="V10104" t="s">
        <v>52</v>
      </c>
    </row>
    <row r="10105" spans="1:22">
      <c r="A10105" t="str">
        <f t="shared" si="1951"/>
        <v>13/11/2025</v>
      </c>
      <c r="B10105" t="str">
        <f>"ENTRADA"</f>
        <v>ENTRADA</v>
      </c>
      <c r="C10105" t="str">
        <f>"DINHEIRO"</f>
        <v>DINHEIRO</v>
      </c>
      <c r="D10105" t="str">
        <f>"812"</f>
        <v>812</v>
      </c>
      <c r="E10105" t="str">
        <f>"6"</f>
        <v>6</v>
      </c>
      <c r="F10105" t="str">
        <f t="shared" si="1953"/>
        <v>COM</v>
      </c>
      <c r="G10105" t="str">
        <f>"GABRIEL PACHECO DE QUEIROZ NARCISO (812)"</f>
        <v>GABRIEL PACHECO DE QUEIROZ NARCISO (812)</v>
      </c>
      <c r="H10105" t="str">
        <f>"COTA COOPERATIVA"</f>
        <v>COTA COOPERATIVA</v>
      </c>
      <c r="I10105" t="str">
        <f>("12/11/2025")</f>
        <v>12/11/2025</v>
      </c>
      <c r="J10105" t="str">
        <f>("16/05/2025")</f>
        <v>16/05/2025</v>
      </c>
      <c r="K10105" t="str">
        <f>("13/11/2025")</f>
        <v>13/11/2025</v>
      </c>
      <c r="L10105">
        <v>20</v>
      </c>
      <c r="M10105">
        <v>20</v>
      </c>
      <c r="N10105">
        <v>106</v>
      </c>
      <c r="O10105" t="str">
        <f>"ENTRADA DE CAPITAL"</f>
        <v>ENTRADA DE CAPITAL</v>
      </c>
      <c r="P10105">
        <v>20</v>
      </c>
      <c r="S10105" t="str">
        <f>"ENTRADA DE CAPITAL (106)"</f>
        <v>ENTRADA DE CAPITAL (106)</v>
      </c>
      <c r="T10105">
        <v>20979</v>
      </c>
      <c r="U10105">
        <v>16561</v>
      </c>
      <c r="V10105" t="s">
        <v>48</v>
      </c>
    </row>
    <row r="10106" spans="1:22">
      <c r="A10106" t="str">
        <f t="shared" si="1951"/>
        <v>13/11/2025</v>
      </c>
      <c r="B10106" t="str">
        <f>"ENTRADA"</f>
        <v>ENTRADA</v>
      </c>
      <c r="C10106" t="str">
        <f>"DINHEIRO"</f>
        <v>DINHEIRO</v>
      </c>
      <c r="D10106" t="str">
        <f>"812"</f>
        <v>812</v>
      </c>
      <c r="E10106" t="str">
        <f>"6"</f>
        <v>6</v>
      </c>
      <c r="F10106" t="str">
        <f t="shared" si="1953"/>
        <v>COM</v>
      </c>
      <c r="G10106" t="str">
        <f>"GABRIEL PACHECO DE QUEIROZ NARCISO (812)"</f>
        <v>GABRIEL PACHECO DE QUEIROZ NARCISO (812)</v>
      </c>
      <c r="H10106" t="s">
        <v>50</v>
      </c>
      <c r="I10106" t="str">
        <f>("12/11/2025")</f>
        <v>12/11/2025</v>
      </c>
      <c r="J10106" t="str">
        <f>("16/05/2025")</f>
        <v>16/05/2025</v>
      </c>
      <c r="K10106">
        <v>45974</v>
      </c>
      <c r="N10106">
        <v>106</v>
      </c>
      <c r="O10106" t="s">
        <v>51</v>
      </c>
      <c r="Q10106">
        <v>20</v>
      </c>
      <c r="R10106" t="str">
        <f>"GABRIEL PACHECO DE QUEIROZ NARCISO (812)"</f>
        <v>GABRIEL PACHECO DE QUEIROZ NARCISO (812)</v>
      </c>
      <c r="S10106" t="s">
        <v>52</v>
      </c>
      <c r="T10106">
        <v>20979</v>
      </c>
      <c r="U10106">
        <v>16561</v>
      </c>
      <c r="V10106" t="s">
        <v>48</v>
      </c>
    </row>
    <row r="10107" spans="1:22">
      <c r="A10107" t="str">
        <f t="shared" si="1951"/>
        <v>13/11/2025</v>
      </c>
      <c r="B10107" t="str">
        <f>"SAÍDA"</f>
        <v>SAÍDA</v>
      </c>
      <c r="C10107" t="str">
        <f>"PIX"</f>
        <v>PIX</v>
      </c>
      <c r="D10107" t="str">
        <f>"25018"</f>
        <v>25018</v>
      </c>
      <c r="E10107" t="str">
        <f>"1"</f>
        <v>1</v>
      </c>
      <c r="F10107" t="str">
        <f t="shared" si="1953"/>
        <v>COM</v>
      </c>
      <c r="G10107" t="str">
        <f>"GABRIEL PACHECO DE QUEIROZ NARCISO (812)"</f>
        <v>GABRIEL PACHECO DE QUEIROZ NARCISO (812)</v>
      </c>
      <c r="H10107" t="str">
        <f>"Serv.Prest. 03/11/2025 a 09/11/2025 - PIX: CPF - CHAVE: 140.108.466-40"</f>
        <v>Serv.Prest. 03/11/2025 a 09/11/2025 - PIX: CPF - CHAVE: 140.108.466-40</v>
      </c>
      <c r="I10107" t="str">
        <f>("13/11/2025")</f>
        <v>13/11/2025</v>
      </c>
      <c r="J10107" t="str">
        <f>("10/11/2025")</f>
        <v>10/11/2025</v>
      </c>
      <c r="K10107" t="str">
        <f>("13/11/2025")</f>
        <v>13/11/2025</v>
      </c>
      <c r="L10107">
        <v>20</v>
      </c>
      <c r="M10107">
        <v>20</v>
      </c>
      <c r="N10107">
        <v>109</v>
      </c>
      <c r="O10107" t="str">
        <f>"PAGAMENTO DE ENTREGADORES"</f>
        <v>PAGAMENTO DE ENTREGADORES</v>
      </c>
      <c r="P10107">
        <v>20</v>
      </c>
      <c r="S10107" t="str">
        <f>"CAIXA MOVIMENTAÇÃO OPERACIONAL (132)"</f>
        <v>CAIXA MOVIMENTAÇÃO OPERACIONAL (132)</v>
      </c>
      <c r="T10107">
        <v>20980</v>
      </c>
      <c r="U10107">
        <v>25361</v>
      </c>
      <c r="V10107" t="s">
        <v>48</v>
      </c>
    </row>
    <row r="10108" spans="1:22">
      <c r="A10108" t="str">
        <f t="shared" si="1951"/>
        <v>13/11/2025</v>
      </c>
      <c r="B10108" t="str">
        <f>"SAÍDA"</f>
        <v>SAÍDA</v>
      </c>
      <c r="C10108" t="str">
        <f>"PIX"</f>
        <v>PIX</v>
      </c>
      <c r="D10108" t="str">
        <f>"25018"</f>
        <v>25018</v>
      </c>
      <c r="E10108" t="str">
        <f>"1"</f>
        <v>1</v>
      </c>
      <c r="F10108" t="str">
        <f t="shared" si="1953"/>
        <v>COM</v>
      </c>
      <c r="G10108" t="str">
        <f>"GABRIEL PACHECO DE QUEIROZ NARCISO (812)"</f>
        <v>GABRIEL PACHECO DE QUEIROZ NARCISO (812)</v>
      </c>
      <c r="H10108" t="s">
        <v>2838</v>
      </c>
      <c r="I10108" t="str">
        <f>("13/11/2025")</f>
        <v>13/11/2025</v>
      </c>
      <c r="J10108" t="str">
        <f>("10/11/2025")</f>
        <v>10/11/2025</v>
      </c>
      <c r="K10108">
        <v>45974</v>
      </c>
      <c r="N10108">
        <v>109</v>
      </c>
      <c r="O10108" t="s">
        <v>24</v>
      </c>
      <c r="Q10108">
        <v>20</v>
      </c>
      <c r="R10108" t="str">
        <f>"DROGARIA ANA VISCONDE DO RIO BRANCO (10182)"</f>
        <v>DROGARIA ANA VISCONDE DO RIO BRANCO (10182)</v>
      </c>
      <c r="S10108" t="s">
        <v>48</v>
      </c>
      <c r="T10108">
        <v>20980</v>
      </c>
      <c r="U10108">
        <v>25361</v>
      </c>
      <c r="V10108" t="s">
        <v>48</v>
      </c>
    </row>
    <row r="10109" spans="1:22">
      <c r="A10109" t="str">
        <f t="shared" si="1951"/>
        <v>13/11/2025</v>
      </c>
      <c r="B10109" t="str">
        <f>"SAÍDA"</f>
        <v>SAÍDA</v>
      </c>
      <c r="C10109" t="str">
        <f>"PIX"</f>
        <v>PIX</v>
      </c>
      <c r="D10109" t="str">
        <f>"24705"</f>
        <v>24705</v>
      </c>
      <c r="E10109" t="str">
        <f>"1"</f>
        <v>1</v>
      </c>
      <c r="F10109" t="str">
        <f t="shared" si="1953"/>
        <v>COM</v>
      </c>
      <c r="G10109" t="str">
        <f>"GABRIEL SOUZA RIBEIRO (425)"</f>
        <v>GABRIEL SOUZA RIBEIRO (425)</v>
      </c>
      <c r="H10109" t="str">
        <f>"Serv.Prest. 24/10/2025 a 02/11/2025 - PIX: CPF - CHAVE: 087.398.185-51"</f>
        <v>Serv.Prest. 24/10/2025 a 02/11/2025 - PIX: CPF - CHAVE: 087.398.185-51</v>
      </c>
      <c r="I10109" t="str">
        <f>("13/11/2025")</f>
        <v>13/11/2025</v>
      </c>
      <c r="J10109" t="str">
        <f>("04/11/2025")</f>
        <v>04/11/2025</v>
      </c>
      <c r="K10109" t="str">
        <f>("13/11/2025")</f>
        <v>13/11/2025</v>
      </c>
      <c r="L10109">
        <v>20</v>
      </c>
      <c r="M10109">
        <v>20</v>
      </c>
      <c r="N10109">
        <v>109</v>
      </c>
      <c r="O10109" t="str">
        <f>"PAGAMENTO DE ENTREGADORES"</f>
        <v>PAGAMENTO DE ENTREGADORES</v>
      </c>
      <c r="P10109">
        <v>20</v>
      </c>
      <c r="S10109" t="str">
        <f>"CAIXA MOVIMENTAÇÃO OPERACIONAL (132)"</f>
        <v>CAIXA MOVIMENTAÇÃO OPERACIONAL (132)</v>
      </c>
      <c r="T10109">
        <v>20981</v>
      </c>
      <c r="U10109">
        <v>25362</v>
      </c>
      <c r="V10109" t="s">
        <v>48</v>
      </c>
    </row>
    <row r="10110" spans="1:22">
      <c r="A10110" t="str">
        <f t="shared" si="1951"/>
        <v>13/11/2025</v>
      </c>
      <c r="B10110" t="str">
        <f>"SAÍDA"</f>
        <v>SAÍDA</v>
      </c>
      <c r="C10110" t="str">
        <f>"PIX"</f>
        <v>PIX</v>
      </c>
      <c r="D10110" t="str">
        <f>"24705"</f>
        <v>24705</v>
      </c>
      <c r="E10110" t="str">
        <f>"1"</f>
        <v>1</v>
      </c>
      <c r="F10110" t="str">
        <f t="shared" si="1953"/>
        <v>COM</v>
      </c>
      <c r="G10110" t="str">
        <f>"GABRIEL SOUZA RIBEIRO (425)"</f>
        <v>GABRIEL SOUZA RIBEIRO (425)</v>
      </c>
      <c r="H10110" t="s">
        <v>2839</v>
      </c>
      <c r="I10110" t="str">
        <f>("13/11/2025")</f>
        <v>13/11/2025</v>
      </c>
      <c r="J10110" t="str">
        <f>("04/11/2025")</f>
        <v>04/11/2025</v>
      </c>
      <c r="K10110">
        <v>45974</v>
      </c>
      <c r="N10110">
        <v>109</v>
      </c>
      <c r="O10110" t="s">
        <v>24</v>
      </c>
      <c r="Q10110">
        <v>20</v>
      </c>
      <c r="R10110" t="str">
        <f>"FARMÁCIA INDIANA LJ 65 (10030)"</f>
        <v>FARMÁCIA INDIANA LJ 65 (10030)</v>
      </c>
      <c r="S10110" t="s">
        <v>48</v>
      </c>
      <c r="T10110">
        <v>20981</v>
      </c>
      <c r="U10110">
        <v>25362</v>
      </c>
      <c r="V10110" t="s">
        <v>48</v>
      </c>
    </row>
    <row r="10111" spans="1:22">
      <c r="A10111" t="str">
        <f t="shared" si="1951"/>
        <v>13/11/2025</v>
      </c>
      <c r="B10111" t="str">
        <f>"ENTRADA"</f>
        <v>ENTRADA</v>
      </c>
      <c r="C10111" t="str">
        <f>"DINHEIRO"</f>
        <v>DINHEIRO</v>
      </c>
      <c r="D10111" t="str">
        <f>"05"</f>
        <v>05</v>
      </c>
      <c r="E10111" t="str">
        <f>"35"</f>
        <v>35</v>
      </c>
      <c r="F10111" t="str">
        <f t="shared" si="1953"/>
        <v>COM</v>
      </c>
      <c r="G10111" t="str">
        <f>"GABRIEL SOUZA RIBEIRO (425)"</f>
        <v>GABRIEL SOUZA RIBEIRO (425)</v>
      </c>
      <c r="H10111" t="str">
        <f>"DESCONTO COTA COOPERADO"</f>
        <v>DESCONTO COTA COOPERADO</v>
      </c>
      <c r="I10111" t="str">
        <f>("16/11/2025")</f>
        <v>16/11/2025</v>
      </c>
      <c r="J10111" t="str">
        <f>("16/01/2025")</f>
        <v>16/01/2025</v>
      </c>
      <c r="K10111" t="str">
        <f>("13/11/2025")</f>
        <v>13/11/2025</v>
      </c>
      <c r="L10111">
        <v>20</v>
      </c>
      <c r="M10111">
        <v>20</v>
      </c>
      <c r="N10111">
        <v>106</v>
      </c>
      <c r="O10111" t="str">
        <f>"ENTRADA DE CAPITAL"</f>
        <v>ENTRADA DE CAPITAL</v>
      </c>
      <c r="P10111">
        <v>20</v>
      </c>
      <c r="S10111" t="str">
        <f>"ENTRADA DE CAPITAL (106)"</f>
        <v>ENTRADA DE CAPITAL (106)</v>
      </c>
      <c r="T10111">
        <v>20982</v>
      </c>
      <c r="U10111">
        <v>6307</v>
      </c>
      <c r="V10111" t="s">
        <v>48</v>
      </c>
    </row>
    <row r="10112" spans="1:22">
      <c r="A10112" t="str">
        <f t="shared" si="1951"/>
        <v>13/11/2025</v>
      </c>
      <c r="B10112" t="str">
        <f>"ENTRADA"</f>
        <v>ENTRADA</v>
      </c>
      <c r="C10112" t="str">
        <f>"DINHEIRO"</f>
        <v>DINHEIRO</v>
      </c>
      <c r="D10112" t="str">
        <f>"05"</f>
        <v>05</v>
      </c>
      <c r="E10112" t="str">
        <f>"35"</f>
        <v>35</v>
      </c>
      <c r="F10112" t="str">
        <f t="shared" si="1953"/>
        <v>COM</v>
      </c>
      <c r="G10112" t="str">
        <f>"GABRIEL SOUZA RIBEIRO (425)"</f>
        <v>GABRIEL SOUZA RIBEIRO (425)</v>
      </c>
      <c r="H10112" t="s">
        <v>309</v>
      </c>
      <c r="I10112" t="str">
        <f>("16/11/2025")</f>
        <v>16/11/2025</v>
      </c>
      <c r="J10112" t="str">
        <f>("16/01/2025")</f>
        <v>16/01/2025</v>
      </c>
      <c r="K10112">
        <v>45974</v>
      </c>
      <c r="N10112">
        <v>106</v>
      </c>
      <c r="O10112" t="s">
        <v>51</v>
      </c>
      <c r="Q10112">
        <v>20</v>
      </c>
      <c r="R10112" t="str">
        <f>"GABRIEL SOUZA RIBEIRO (425)"</f>
        <v>GABRIEL SOUZA RIBEIRO (425)</v>
      </c>
      <c r="S10112" t="s">
        <v>52</v>
      </c>
      <c r="T10112">
        <v>20982</v>
      </c>
      <c r="U10112">
        <v>6307</v>
      </c>
      <c r="V10112" t="s">
        <v>48</v>
      </c>
    </row>
    <row r="10113" spans="1:22">
      <c r="A10113" t="str">
        <f t="shared" si="1951"/>
        <v>13/11/2025</v>
      </c>
      <c r="B10113" t="str">
        <f>"ENTRADA"</f>
        <v>ENTRADA</v>
      </c>
      <c r="C10113" t="str">
        <f>"DINHEIRO"</f>
        <v>DINHEIRO</v>
      </c>
      <c r="D10113" t="str">
        <f>"729"</f>
        <v>729</v>
      </c>
      <c r="E10113" t="str">
        <f>"7"</f>
        <v>7</v>
      </c>
      <c r="F10113" t="str">
        <f t="shared" si="1953"/>
        <v>COM</v>
      </c>
      <c r="G10113" t="str">
        <f>"GERALDO SEVERINO DE SANTANA (729)"</f>
        <v>GERALDO SEVERINO DE SANTANA (729)</v>
      </c>
      <c r="H10113" t="str">
        <f>"COTA COOPERATIVA"</f>
        <v>COTA COOPERATIVA</v>
      </c>
      <c r="I10113" t="str">
        <f>("08/11/2025")</f>
        <v>08/11/2025</v>
      </c>
      <c r="J10113" t="str">
        <f>("07/04/2025")</f>
        <v>07/04/2025</v>
      </c>
      <c r="K10113" t="str">
        <f>("13/11/2025")</f>
        <v>13/11/2025</v>
      </c>
      <c r="L10113">
        <v>20</v>
      </c>
      <c r="M10113">
        <v>20</v>
      </c>
      <c r="N10113">
        <v>106</v>
      </c>
      <c r="O10113" t="str">
        <f>"ENTRADA DE CAPITAL"</f>
        <v>ENTRADA DE CAPITAL</v>
      </c>
      <c r="P10113">
        <v>20</v>
      </c>
      <c r="S10113" t="str">
        <f>"ENTRADA DE CAPITAL (106)"</f>
        <v>ENTRADA DE CAPITAL (106)</v>
      </c>
      <c r="T10113">
        <v>20983</v>
      </c>
      <c r="U10113">
        <v>13967</v>
      </c>
      <c r="V10113" t="s">
        <v>48</v>
      </c>
    </row>
    <row r="10114" spans="1:22">
      <c r="A10114" t="str">
        <f t="shared" si="1951"/>
        <v>13/11/2025</v>
      </c>
      <c r="B10114" t="str">
        <f>"ENTRADA"</f>
        <v>ENTRADA</v>
      </c>
      <c r="C10114" t="str">
        <f>"DINHEIRO"</f>
        <v>DINHEIRO</v>
      </c>
      <c r="D10114" t="str">
        <f>"729"</f>
        <v>729</v>
      </c>
      <c r="E10114" t="str">
        <f>"7"</f>
        <v>7</v>
      </c>
      <c r="F10114" t="str">
        <f t="shared" si="1953"/>
        <v>COM</v>
      </c>
      <c r="G10114" t="str">
        <f>"GERALDO SEVERINO DE SANTANA (729)"</f>
        <v>GERALDO SEVERINO DE SANTANA (729)</v>
      </c>
      <c r="H10114" t="s">
        <v>50</v>
      </c>
      <c r="I10114" t="str">
        <f>("08/11/2025")</f>
        <v>08/11/2025</v>
      </c>
      <c r="J10114" t="str">
        <f>("07/04/2025")</f>
        <v>07/04/2025</v>
      </c>
      <c r="K10114">
        <v>45974</v>
      </c>
      <c r="N10114">
        <v>106</v>
      </c>
      <c r="O10114" t="s">
        <v>51</v>
      </c>
      <c r="Q10114">
        <v>20</v>
      </c>
      <c r="R10114" t="str">
        <f>"GERALDO SEVERINO DE SANTANA (729)"</f>
        <v>GERALDO SEVERINO DE SANTANA (729)</v>
      </c>
      <c r="S10114" t="s">
        <v>52</v>
      </c>
      <c r="T10114">
        <v>20983</v>
      </c>
      <c r="U10114">
        <v>13967</v>
      </c>
      <c r="V10114" t="s">
        <v>48</v>
      </c>
    </row>
    <row r="10115" spans="1:22">
      <c r="A10115" t="str">
        <f t="shared" si="1951"/>
        <v>13/11/2025</v>
      </c>
      <c r="B10115" t="str">
        <f>"SAÍDA"</f>
        <v>SAÍDA</v>
      </c>
      <c r="C10115" t="str">
        <f>"PIX"</f>
        <v>PIX</v>
      </c>
      <c r="D10115" t="str">
        <f>"24886"</f>
        <v>24886</v>
      </c>
      <c r="E10115" t="str">
        <f>"1"</f>
        <v>1</v>
      </c>
      <c r="F10115" t="str">
        <f t="shared" si="1953"/>
        <v>COM</v>
      </c>
      <c r="G10115" t="str">
        <f>"GERALDO SEVERINO DE SANTANA (729)"</f>
        <v>GERALDO SEVERINO DE SANTANA (729)</v>
      </c>
      <c r="H10115" t="str">
        <f>"Serv.Prest. 27/10/2025 a 02/11/2025 - PIX: CELULAR - CHAVE: (43) 99934-1696"</f>
        <v>Serv.Prest. 27/10/2025 a 02/11/2025 - PIX: CELULAR - CHAVE: (43) 99934-1696</v>
      </c>
      <c r="I10115" t="str">
        <f>("13/11/2025")</f>
        <v>13/11/2025</v>
      </c>
      <c r="J10115" t="str">
        <f>("05/11/2025")</f>
        <v>05/11/2025</v>
      </c>
      <c r="K10115" t="str">
        <f>("13/11/2025")</f>
        <v>13/11/2025</v>
      </c>
      <c r="L10115">
        <v>20</v>
      </c>
      <c r="M10115">
        <v>20</v>
      </c>
      <c r="N10115">
        <v>109</v>
      </c>
      <c r="O10115" t="str">
        <f>"PAGAMENTO DE ENTREGADORES"</f>
        <v>PAGAMENTO DE ENTREGADORES</v>
      </c>
      <c r="P10115">
        <v>20</v>
      </c>
      <c r="S10115" t="str">
        <f>"CAIXA MOVIMENTAÇÃO OPERACIONAL (132)"</f>
        <v>CAIXA MOVIMENTAÇÃO OPERACIONAL (132)</v>
      </c>
      <c r="T10115">
        <v>20984</v>
      </c>
      <c r="U10115">
        <v>25363</v>
      </c>
      <c r="V10115" t="s">
        <v>48</v>
      </c>
    </row>
    <row r="10116" spans="1:22">
      <c r="A10116" t="str">
        <f t="shared" si="1951"/>
        <v>13/11/2025</v>
      </c>
      <c r="B10116" t="str">
        <f>"SAÍDA"</f>
        <v>SAÍDA</v>
      </c>
      <c r="C10116" t="str">
        <f>"PIX"</f>
        <v>PIX</v>
      </c>
      <c r="D10116" t="str">
        <f>"24886"</f>
        <v>24886</v>
      </c>
      <c r="E10116" t="str">
        <f>"1"</f>
        <v>1</v>
      </c>
      <c r="F10116" t="str">
        <f t="shared" si="1953"/>
        <v>COM</v>
      </c>
      <c r="G10116" t="str">
        <f>"GERALDO SEVERINO DE SANTANA (729)"</f>
        <v>GERALDO SEVERINO DE SANTANA (729)</v>
      </c>
      <c r="H10116" t="s">
        <v>2840</v>
      </c>
      <c r="I10116" t="str">
        <f>("13/11/2025")</f>
        <v>13/11/2025</v>
      </c>
      <c r="J10116" t="str">
        <f>("05/11/2025")</f>
        <v>05/11/2025</v>
      </c>
      <c r="K10116">
        <v>45974</v>
      </c>
      <c r="N10116">
        <v>109</v>
      </c>
      <c r="O10116" t="s">
        <v>24</v>
      </c>
      <c r="Q10116">
        <v>20</v>
      </c>
      <c r="R10116" t="str">
        <f>"AC FARMA - CID.ALTA (10166)"</f>
        <v>AC FARMA - CID.ALTA (10166)</v>
      </c>
      <c r="S10116" t="s">
        <v>48</v>
      </c>
      <c r="T10116">
        <v>20984</v>
      </c>
      <c r="U10116">
        <v>25363</v>
      </c>
      <c r="V10116" t="s">
        <v>48</v>
      </c>
    </row>
    <row r="10117" spans="1:22">
      <c r="A10117" t="str">
        <f t="shared" si="1951"/>
        <v>13/11/2025</v>
      </c>
      <c r="B10117" t="str">
        <f>"SAÍDA"</f>
        <v>SAÍDA</v>
      </c>
      <c r="C10117" t="str">
        <f>"PIX"</f>
        <v>PIX</v>
      </c>
      <c r="D10117" t="str">
        <f>"24706"</f>
        <v>24706</v>
      </c>
      <c r="E10117" t="str">
        <f>"1"</f>
        <v>1</v>
      </c>
      <c r="F10117" t="str">
        <f t="shared" si="1953"/>
        <v>COM</v>
      </c>
      <c r="G10117" t="str">
        <f>"GILBERTO PINHEIRO DA ROCHA (155)"</f>
        <v>GILBERTO PINHEIRO DA ROCHA (155)</v>
      </c>
      <c r="H10117" t="str">
        <f>"Serv.Prest. 24/10/2025 a 02/11/2025 - PIX: CELULAR - CHAVE: (73) 99941-8352"</f>
        <v>Serv.Prest. 24/10/2025 a 02/11/2025 - PIX: CELULAR - CHAVE: (73) 99941-8352</v>
      </c>
      <c r="I10117" t="str">
        <f>("13/11/2025")</f>
        <v>13/11/2025</v>
      </c>
      <c r="J10117" t="str">
        <f>("04/11/2025")</f>
        <v>04/11/2025</v>
      </c>
      <c r="K10117" t="str">
        <f>("13/11/2025")</f>
        <v>13/11/2025</v>
      </c>
      <c r="L10117">
        <v>20</v>
      </c>
      <c r="M10117">
        <v>20</v>
      </c>
      <c r="N10117">
        <v>109</v>
      </c>
      <c r="O10117" t="str">
        <f>"PAGAMENTO DE ENTREGADORES"</f>
        <v>PAGAMENTO DE ENTREGADORES</v>
      </c>
      <c r="P10117">
        <v>20</v>
      </c>
      <c r="S10117" t="str">
        <f>"CAIXA MOVIMENTAÇÃO OPERACIONAL (132)"</f>
        <v>CAIXA MOVIMENTAÇÃO OPERACIONAL (132)</v>
      </c>
      <c r="T10117">
        <v>20985</v>
      </c>
      <c r="U10117">
        <v>25364</v>
      </c>
      <c r="V10117" t="s">
        <v>48</v>
      </c>
    </row>
    <row r="10118" spans="1:22">
      <c r="A10118" t="str">
        <f t="shared" si="1951"/>
        <v>13/11/2025</v>
      </c>
      <c r="B10118" t="str">
        <f>"SAÍDA"</f>
        <v>SAÍDA</v>
      </c>
      <c r="C10118" t="str">
        <f>"PIX"</f>
        <v>PIX</v>
      </c>
      <c r="D10118" t="str">
        <f>"24706"</f>
        <v>24706</v>
      </c>
      <c r="E10118" t="str">
        <f>"1"</f>
        <v>1</v>
      </c>
      <c r="F10118" t="str">
        <f t="shared" si="1953"/>
        <v>COM</v>
      </c>
      <c r="G10118" t="str">
        <f>"GILBERTO PINHEIRO DA ROCHA (155)"</f>
        <v>GILBERTO PINHEIRO DA ROCHA (155)</v>
      </c>
      <c r="H10118" t="s">
        <v>2841</v>
      </c>
      <c r="I10118" t="str">
        <f>("13/11/2025")</f>
        <v>13/11/2025</v>
      </c>
      <c r="J10118" t="str">
        <f>("04/11/2025")</f>
        <v>04/11/2025</v>
      </c>
      <c r="K10118">
        <v>45974</v>
      </c>
      <c r="N10118">
        <v>109</v>
      </c>
      <c r="O10118" t="s">
        <v>24</v>
      </c>
      <c r="Q10118">
        <v>20</v>
      </c>
      <c r="R10118" t="str">
        <f>"FARMÁCIA INDIANA LJ 34 (10014)"</f>
        <v>FARMÁCIA INDIANA LJ 34 (10014)</v>
      </c>
      <c r="S10118" t="s">
        <v>48</v>
      </c>
      <c r="T10118">
        <v>20985</v>
      </c>
      <c r="U10118">
        <v>25364</v>
      </c>
      <c r="V10118" t="s">
        <v>48</v>
      </c>
    </row>
    <row r="10119" spans="1:22">
      <c r="A10119" t="str">
        <f t="shared" si="1951"/>
        <v>13/11/2025</v>
      </c>
      <c r="B10119" t="str">
        <f>"ENTRADA"</f>
        <v>ENTRADA</v>
      </c>
      <c r="C10119" t="str">
        <f>"DINHEIRO"</f>
        <v>DINHEIRO</v>
      </c>
      <c r="D10119" t="str">
        <f>"15"</f>
        <v>15</v>
      </c>
      <c r="E10119" t="str">
        <f>"35"</f>
        <v>35</v>
      </c>
      <c r="F10119" t="str">
        <f t="shared" si="1953"/>
        <v>COM</v>
      </c>
      <c r="G10119" t="str">
        <f>"GILBERTO PINHEIRO DA ROCHA (155)"</f>
        <v>GILBERTO PINHEIRO DA ROCHA (155)</v>
      </c>
      <c r="H10119" t="str">
        <f>"DESCONTO COTA COOPERADO"</f>
        <v>DESCONTO COTA COOPERADO</v>
      </c>
      <c r="I10119" t="str">
        <f>("16/11/2025")</f>
        <v>16/11/2025</v>
      </c>
      <c r="J10119" t="str">
        <f>("16/01/2025")</f>
        <v>16/01/2025</v>
      </c>
      <c r="K10119" t="str">
        <f>("13/11/2025")</f>
        <v>13/11/2025</v>
      </c>
      <c r="L10119">
        <v>20</v>
      </c>
      <c r="M10119">
        <v>20</v>
      </c>
      <c r="N10119">
        <v>106</v>
      </c>
      <c r="O10119" t="str">
        <f>"ENTRADA DE CAPITAL"</f>
        <v>ENTRADA DE CAPITAL</v>
      </c>
      <c r="P10119">
        <v>20</v>
      </c>
      <c r="S10119" t="str">
        <f>"ENTRADA DE CAPITAL (106)"</f>
        <v>ENTRADA DE CAPITAL (106)</v>
      </c>
      <c r="T10119">
        <v>20986</v>
      </c>
      <c r="U10119">
        <v>6379</v>
      </c>
      <c r="V10119" t="s">
        <v>48</v>
      </c>
    </row>
    <row r="10120" spans="1:22">
      <c r="A10120" t="str">
        <f t="shared" si="1951"/>
        <v>13/11/2025</v>
      </c>
      <c r="B10120" t="str">
        <f>"ENTRADA"</f>
        <v>ENTRADA</v>
      </c>
      <c r="C10120" t="str">
        <f>"DINHEIRO"</f>
        <v>DINHEIRO</v>
      </c>
      <c r="D10120" t="str">
        <f>"15"</f>
        <v>15</v>
      </c>
      <c r="E10120" t="str">
        <f>"35"</f>
        <v>35</v>
      </c>
      <c r="F10120" t="str">
        <f t="shared" si="1953"/>
        <v>COM</v>
      </c>
      <c r="G10120" t="str">
        <f>"GILBERTO PINHEIRO DA ROCHA (155)"</f>
        <v>GILBERTO PINHEIRO DA ROCHA (155)</v>
      </c>
      <c r="H10120" t="s">
        <v>309</v>
      </c>
      <c r="I10120" t="str">
        <f>("16/11/2025")</f>
        <v>16/11/2025</v>
      </c>
      <c r="J10120" t="str">
        <f>("16/01/2025")</f>
        <v>16/01/2025</v>
      </c>
      <c r="K10120">
        <v>45974</v>
      </c>
      <c r="N10120">
        <v>106</v>
      </c>
      <c r="O10120" t="s">
        <v>51</v>
      </c>
      <c r="Q10120">
        <v>20</v>
      </c>
      <c r="R10120" t="str">
        <f>"GILBERTO PINHEIRO DA ROCHA (155)"</f>
        <v>GILBERTO PINHEIRO DA ROCHA (155)</v>
      </c>
      <c r="S10120" t="s">
        <v>52</v>
      </c>
      <c r="T10120">
        <v>20986</v>
      </c>
      <c r="U10120">
        <v>6379</v>
      </c>
      <c r="V10120" t="s">
        <v>48</v>
      </c>
    </row>
    <row r="10121" spans="1:22">
      <c r="A10121" t="str">
        <f t="shared" si="1951"/>
        <v>13/11/2025</v>
      </c>
      <c r="B10121" t="str">
        <f>"ENTRADA"</f>
        <v>ENTRADA</v>
      </c>
      <c r="C10121" t="str">
        <f>"DINHEIRO"</f>
        <v>DINHEIRO</v>
      </c>
      <c r="D10121" t="str">
        <f>"901"</f>
        <v>901</v>
      </c>
      <c r="E10121" t="str">
        <f>"2"</f>
        <v>2</v>
      </c>
      <c r="F10121" t="str">
        <f t="shared" si="1953"/>
        <v>COM</v>
      </c>
      <c r="G10121" t="str">
        <f>"GUILHERME DA SILVA GOMES (901)"</f>
        <v>GUILHERME DA SILVA GOMES (901)</v>
      </c>
      <c r="H10121" t="str">
        <f>"COTAS COOPERATIVA"</f>
        <v>COTAS COOPERATIVA</v>
      </c>
      <c r="I10121" t="str">
        <f>("10/11/2025")</f>
        <v>10/11/2025</v>
      </c>
      <c r="J10121" t="str">
        <f>("11/09/2025")</f>
        <v>11/09/2025</v>
      </c>
      <c r="K10121" t="str">
        <f>("13/11/2025")</f>
        <v>13/11/2025</v>
      </c>
      <c r="L10121">
        <v>20</v>
      </c>
      <c r="M10121">
        <v>20</v>
      </c>
      <c r="N10121">
        <v>106</v>
      </c>
      <c r="O10121" t="str">
        <f>"ENTRADA DE CAPITAL"</f>
        <v>ENTRADA DE CAPITAL</v>
      </c>
      <c r="P10121">
        <v>20</v>
      </c>
      <c r="S10121" t="str">
        <f>"ENTRADA DE CAPITAL (106)"</f>
        <v>ENTRADA DE CAPITAL (106)</v>
      </c>
      <c r="T10121">
        <v>20987</v>
      </c>
      <c r="U10121">
        <v>23283</v>
      </c>
      <c r="V10121" t="s">
        <v>48</v>
      </c>
    </row>
    <row r="10122" spans="1:22">
      <c r="A10122" t="str">
        <f t="shared" si="1951"/>
        <v>13/11/2025</v>
      </c>
      <c r="B10122" t="str">
        <f>"ENTRADA"</f>
        <v>ENTRADA</v>
      </c>
      <c r="C10122" t="str">
        <f>"DINHEIRO"</f>
        <v>DINHEIRO</v>
      </c>
      <c r="D10122" t="str">
        <f>"901"</f>
        <v>901</v>
      </c>
      <c r="E10122" t="str">
        <f>"2"</f>
        <v>2</v>
      </c>
      <c r="F10122" t="str">
        <f t="shared" si="1953"/>
        <v>COM</v>
      </c>
      <c r="G10122" t="str">
        <f>"GUILHERME DA SILVA GOMES (901)"</f>
        <v>GUILHERME DA SILVA GOMES (901)</v>
      </c>
      <c r="H10122" t="s">
        <v>318</v>
      </c>
      <c r="I10122" t="str">
        <f>("10/11/2025")</f>
        <v>10/11/2025</v>
      </c>
      <c r="J10122" t="str">
        <f>("11/09/2025")</f>
        <v>11/09/2025</v>
      </c>
      <c r="K10122">
        <v>45974</v>
      </c>
      <c r="N10122">
        <v>106</v>
      </c>
      <c r="O10122" t="s">
        <v>51</v>
      </c>
      <c r="Q10122">
        <v>20</v>
      </c>
      <c r="R10122" t="str">
        <f>"GUILHERME DA SILVA GOMES (901)"</f>
        <v>GUILHERME DA SILVA GOMES (901)</v>
      </c>
      <c r="S10122" t="s">
        <v>52</v>
      </c>
      <c r="T10122">
        <v>20987</v>
      </c>
      <c r="U10122">
        <v>23283</v>
      </c>
      <c r="V10122" t="s">
        <v>48</v>
      </c>
    </row>
    <row r="10123" spans="1:22">
      <c r="A10123" t="str">
        <f t="shared" si="1951"/>
        <v>13/11/2025</v>
      </c>
      <c r="B10123" t="str">
        <f>"SAÍDA"</f>
        <v>SAÍDA</v>
      </c>
      <c r="C10123" t="str">
        <f>"PIX"</f>
        <v>PIX</v>
      </c>
      <c r="D10123" t="str">
        <f>"25012"</f>
        <v>25012</v>
      </c>
      <c r="E10123" t="str">
        <f>"1"</f>
        <v>1</v>
      </c>
      <c r="F10123" t="str">
        <f t="shared" si="1953"/>
        <v>COM</v>
      </c>
      <c r="G10123" t="str">
        <f>"GUILHERME DA SILVA GOMES (901)"</f>
        <v>GUILHERME DA SILVA GOMES (901)</v>
      </c>
      <c r="H10123" t="str">
        <f>"Serv.Prest. 03/11/2025 a 09/11/2025 - PIX: CPF - CHAVE: 505.341.528-56"</f>
        <v>Serv.Prest. 03/11/2025 a 09/11/2025 - PIX: CPF - CHAVE: 505.341.528-56</v>
      </c>
      <c r="I10123" t="str">
        <f>("13/11/2025")</f>
        <v>13/11/2025</v>
      </c>
      <c r="J10123" t="str">
        <f>("10/11/2025")</f>
        <v>10/11/2025</v>
      </c>
      <c r="K10123" t="str">
        <f>("13/11/2025")</f>
        <v>13/11/2025</v>
      </c>
      <c r="L10123">
        <v>20</v>
      </c>
      <c r="M10123">
        <v>20</v>
      </c>
      <c r="N10123">
        <v>109</v>
      </c>
      <c r="O10123" t="str">
        <f>"PAGAMENTO DE ENTREGADORES"</f>
        <v>PAGAMENTO DE ENTREGADORES</v>
      </c>
      <c r="P10123">
        <v>20</v>
      </c>
      <c r="S10123" t="str">
        <f>"CAIXA MOVIMENTAÇÃO OPERACIONAL (132)"</f>
        <v>CAIXA MOVIMENTAÇÃO OPERACIONAL (132)</v>
      </c>
      <c r="T10123">
        <v>20988</v>
      </c>
      <c r="U10123">
        <v>25365</v>
      </c>
      <c r="V10123" t="s">
        <v>48</v>
      </c>
    </row>
    <row r="10124" spans="1:22">
      <c r="A10124" t="str">
        <f t="shared" si="1951"/>
        <v>13/11/2025</v>
      </c>
      <c r="B10124" t="str">
        <f>"SAÍDA"</f>
        <v>SAÍDA</v>
      </c>
      <c r="C10124" t="str">
        <f>"PIX"</f>
        <v>PIX</v>
      </c>
      <c r="D10124" t="str">
        <f>"25012"</f>
        <v>25012</v>
      </c>
      <c r="E10124" t="str">
        <f>"1"</f>
        <v>1</v>
      </c>
      <c r="F10124" t="str">
        <f t="shared" si="1953"/>
        <v>COM</v>
      </c>
      <c r="G10124" t="str">
        <f>"GUILHERME DA SILVA GOMES (901)"</f>
        <v>GUILHERME DA SILVA GOMES (901)</v>
      </c>
      <c r="H10124" t="s">
        <v>2842</v>
      </c>
      <c r="I10124" t="str">
        <f>("13/11/2025")</f>
        <v>13/11/2025</v>
      </c>
      <c r="J10124" t="str">
        <f>("10/11/2025")</f>
        <v>10/11/2025</v>
      </c>
      <c r="K10124">
        <v>45974</v>
      </c>
      <c r="N10124">
        <v>109</v>
      </c>
      <c r="O10124" t="s">
        <v>24</v>
      </c>
      <c r="Q10124">
        <v>20</v>
      </c>
      <c r="R10124" t="str">
        <f>"DROGARIA AGAPEAMA (10167)"</f>
        <v>DROGARIA AGAPEAMA (10167)</v>
      </c>
      <c r="S10124" t="s">
        <v>48</v>
      </c>
      <c r="T10124">
        <v>20988</v>
      </c>
      <c r="U10124">
        <v>25365</v>
      </c>
      <c r="V10124" t="s">
        <v>48</v>
      </c>
    </row>
    <row r="10125" spans="1:22">
      <c r="A10125" t="str">
        <f t="shared" si="1951"/>
        <v>13/11/2025</v>
      </c>
      <c r="B10125" t="str">
        <f>"SAÍDA"</f>
        <v>SAÍDA</v>
      </c>
      <c r="C10125" t="str">
        <f>"PIX"</f>
        <v>PIX</v>
      </c>
      <c r="D10125" t="str">
        <f>"24759"</f>
        <v>24759</v>
      </c>
      <c r="E10125" t="str">
        <f>"1"</f>
        <v>1</v>
      </c>
      <c r="F10125" t="str">
        <f t="shared" si="1953"/>
        <v>COM</v>
      </c>
      <c r="G10125" t="str">
        <f>"GUILHERME QUINTINO DA ROCHA (199)"</f>
        <v>GUILHERME QUINTINO DA ROCHA (199)</v>
      </c>
      <c r="H10125" t="str">
        <f>"Serv.Prest. 24/10/2025 a 02/11/2025 - PIX: CELULAR - CHAVE: (33) 99706-4860"</f>
        <v>Serv.Prest. 24/10/2025 a 02/11/2025 - PIX: CELULAR - CHAVE: (33) 99706-4860</v>
      </c>
      <c r="I10125" t="str">
        <f>("13/11/2025")</f>
        <v>13/11/2025</v>
      </c>
      <c r="J10125" t="str">
        <f>("04/11/2025")</f>
        <v>04/11/2025</v>
      </c>
      <c r="K10125" t="str">
        <f>("13/11/2025")</f>
        <v>13/11/2025</v>
      </c>
      <c r="L10125">
        <v>20</v>
      </c>
      <c r="M10125">
        <v>20</v>
      </c>
      <c r="N10125">
        <v>109</v>
      </c>
      <c r="O10125" t="str">
        <f>"PAGAMENTO DE ENTREGADORES"</f>
        <v>PAGAMENTO DE ENTREGADORES</v>
      </c>
      <c r="P10125">
        <v>20</v>
      </c>
      <c r="S10125" t="str">
        <f>"CAIXA MOVIMENTAÇÃO OPERACIONAL (132)"</f>
        <v>CAIXA MOVIMENTAÇÃO OPERACIONAL (132)</v>
      </c>
      <c r="T10125">
        <v>20989</v>
      </c>
      <c r="U10125">
        <v>25366</v>
      </c>
      <c r="V10125" t="s">
        <v>48</v>
      </c>
    </row>
    <row r="10126" spans="1:22">
      <c r="A10126" t="str">
        <f t="shared" si="1951"/>
        <v>13/11/2025</v>
      </c>
      <c r="B10126" t="str">
        <f>"SAÍDA"</f>
        <v>SAÍDA</v>
      </c>
      <c r="C10126" t="str">
        <f>"PIX"</f>
        <v>PIX</v>
      </c>
      <c r="D10126" t="str">
        <f>"24759"</f>
        <v>24759</v>
      </c>
      <c r="E10126" t="str">
        <f>"1"</f>
        <v>1</v>
      </c>
      <c r="F10126" t="str">
        <f t="shared" si="1953"/>
        <v>COM</v>
      </c>
      <c r="G10126" t="str">
        <f>"GUILHERME QUINTINO DA ROCHA (199)"</f>
        <v>GUILHERME QUINTINO DA ROCHA (199)</v>
      </c>
      <c r="H10126" t="s">
        <v>2843</v>
      </c>
      <c r="I10126" t="str">
        <f>("13/11/2025")</f>
        <v>13/11/2025</v>
      </c>
      <c r="J10126" t="str">
        <f>("04/11/2025")</f>
        <v>04/11/2025</v>
      </c>
      <c r="K10126">
        <v>45974</v>
      </c>
      <c r="N10126">
        <v>109</v>
      </c>
      <c r="O10126" t="s">
        <v>24</v>
      </c>
      <c r="Q10126">
        <v>20</v>
      </c>
      <c r="R10126" t="str">
        <f>"FARMÁCIA INDIANA LJ 06 (10006)"</f>
        <v>FARMÁCIA INDIANA LJ 06 (10006)</v>
      </c>
      <c r="S10126" t="s">
        <v>48</v>
      </c>
      <c r="T10126">
        <v>20989</v>
      </c>
      <c r="U10126">
        <v>25366</v>
      </c>
      <c r="V10126" t="s">
        <v>48</v>
      </c>
    </row>
    <row r="10127" spans="1:22">
      <c r="A10127" t="str">
        <f t="shared" si="1951"/>
        <v>13/11/2025</v>
      </c>
      <c r="B10127" t="str">
        <f>"ENTRADA"</f>
        <v>ENTRADA</v>
      </c>
      <c r="C10127" t="str">
        <f>"DINHEIRO"</f>
        <v>DINHEIRO</v>
      </c>
      <c r="D10127" t="str">
        <f>"10"</f>
        <v>10</v>
      </c>
      <c r="E10127" t="str">
        <f>"35"</f>
        <v>35</v>
      </c>
      <c r="F10127" t="str">
        <f t="shared" si="1953"/>
        <v>COM</v>
      </c>
      <c r="G10127" t="str">
        <f>"GUILHERME QUINTINO DA ROCHA (199)"</f>
        <v>GUILHERME QUINTINO DA ROCHA (199)</v>
      </c>
      <c r="H10127" t="str">
        <f>"DESCONTO COTA COOPERADO"</f>
        <v>DESCONTO COTA COOPERADO</v>
      </c>
      <c r="I10127" t="str">
        <f>("16/11/2025")</f>
        <v>16/11/2025</v>
      </c>
      <c r="J10127" t="str">
        <f>("16/01/2025")</f>
        <v>16/01/2025</v>
      </c>
      <c r="K10127" t="str">
        <f>("13/11/2025")</f>
        <v>13/11/2025</v>
      </c>
      <c r="L10127">
        <v>20</v>
      </c>
      <c r="M10127">
        <v>20</v>
      </c>
      <c r="N10127">
        <v>106</v>
      </c>
      <c r="O10127" t="str">
        <f>"ENTRADA DE CAPITAL"</f>
        <v>ENTRADA DE CAPITAL</v>
      </c>
      <c r="P10127">
        <v>20</v>
      </c>
      <c r="S10127" t="str">
        <f>"ENTRADA DE CAPITAL (106)"</f>
        <v>ENTRADA DE CAPITAL (106)</v>
      </c>
      <c r="T10127">
        <v>20990</v>
      </c>
      <c r="U10127">
        <v>6413</v>
      </c>
      <c r="V10127" t="s">
        <v>48</v>
      </c>
    </row>
    <row r="10128" spans="1:22">
      <c r="A10128" t="str">
        <f t="shared" si="1951"/>
        <v>13/11/2025</v>
      </c>
      <c r="B10128" t="str">
        <f>"ENTRADA"</f>
        <v>ENTRADA</v>
      </c>
      <c r="C10128" t="str">
        <f>"DINHEIRO"</f>
        <v>DINHEIRO</v>
      </c>
      <c r="D10128" t="str">
        <f>"10"</f>
        <v>10</v>
      </c>
      <c r="E10128" t="str">
        <f>"35"</f>
        <v>35</v>
      </c>
      <c r="F10128" t="str">
        <f t="shared" si="1953"/>
        <v>COM</v>
      </c>
      <c r="G10128" t="str">
        <f>"GUILHERME QUINTINO DA ROCHA (199)"</f>
        <v>GUILHERME QUINTINO DA ROCHA (199)</v>
      </c>
      <c r="H10128" t="s">
        <v>309</v>
      </c>
      <c r="I10128" t="str">
        <f>("16/11/2025")</f>
        <v>16/11/2025</v>
      </c>
      <c r="J10128" t="str">
        <f>("16/01/2025")</f>
        <v>16/01/2025</v>
      </c>
      <c r="K10128">
        <v>45974</v>
      </c>
      <c r="N10128">
        <v>106</v>
      </c>
      <c r="O10128" t="s">
        <v>51</v>
      </c>
      <c r="Q10128">
        <v>20</v>
      </c>
      <c r="R10128" t="str">
        <f>"GUILHERME QUINTINO DA ROCHA (199)"</f>
        <v>GUILHERME QUINTINO DA ROCHA (199)</v>
      </c>
      <c r="S10128" t="s">
        <v>52</v>
      </c>
      <c r="T10128">
        <v>20990</v>
      </c>
      <c r="U10128">
        <v>6413</v>
      </c>
      <c r="V10128" t="s">
        <v>48</v>
      </c>
    </row>
    <row r="10129" spans="1:22">
      <c r="A10129" t="str">
        <f t="shared" si="1951"/>
        <v>13/11/2025</v>
      </c>
      <c r="B10129" t="str">
        <f>"SAÍDA"</f>
        <v>SAÍDA</v>
      </c>
      <c r="C10129" t="str">
        <f>"PIX"</f>
        <v>PIX</v>
      </c>
      <c r="D10129" t="str">
        <f>"24760"</f>
        <v>24760</v>
      </c>
      <c r="E10129" t="str">
        <f>"1"</f>
        <v>1</v>
      </c>
      <c r="F10129" t="str">
        <f t="shared" si="1953"/>
        <v>COM</v>
      </c>
      <c r="G10129" t="str">
        <f>"GUSTAVO ALVES DE ARAÚJO (298)"</f>
        <v>GUSTAVO ALVES DE ARAÚJO (298)</v>
      </c>
      <c r="H10129" t="str">
        <f>"Serv.Prest. 24/10/2025 a 02/11/2025 - PIX: CELULAR - CHAVE: (31) 99816-8965"</f>
        <v>Serv.Prest. 24/10/2025 a 02/11/2025 - PIX: CELULAR - CHAVE: (31) 99816-8965</v>
      </c>
      <c r="I10129" t="str">
        <f>("13/11/2025")</f>
        <v>13/11/2025</v>
      </c>
      <c r="J10129" t="str">
        <f>("04/11/2025")</f>
        <v>04/11/2025</v>
      </c>
      <c r="K10129" t="str">
        <f>("13/11/2025")</f>
        <v>13/11/2025</v>
      </c>
      <c r="L10129">
        <v>20</v>
      </c>
      <c r="M10129">
        <v>20</v>
      </c>
      <c r="N10129">
        <v>109</v>
      </c>
      <c r="O10129" t="str">
        <f>"PAGAMENTO DE ENTREGADORES"</f>
        <v>PAGAMENTO DE ENTREGADORES</v>
      </c>
      <c r="P10129">
        <v>20</v>
      </c>
      <c r="S10129" t="str">
        <f>"CAIXA MOVIMENTAÇÃO OPERACIONAL (132)"</f>
        <v>CAIXA MOVIMENTAÇÃO OPERACIONAL (132)</v>
      </c>
      <c r="T10129">
        <v>20991</v>
      </c>
      <c r="U10129">
        <v>25368</v>
      </c>
      <c r="V10129" t="s">
        <v>48</v>
      </c>
    </row>
    <row r="10130" spans="1:22">
      <c r="A10130" t="str">
        <f t="shared" si="1951"/>
        <v>13/11/2025</v>
      </c>
      <c r="B10130" t="str">
        <f>"SAÍDA"</f>
        <v>SAÍDA</v>
      </c>
      <c r="C10130" t="str">
        <f>"PIX"</f>
        <v>PIX</v>
      </c>
      <c r="D10130" t="str">
        <f>"24760"</f>
        <v>24760</v>
      </c>
      <c r="E10130" t="str">
        <f>"1"</f>
        <v>1</v>
      </c>
      <c r="F10130" t="str">
        <f t="shared" si="1953"/>
        <v>COM</v>
      </c>
      <c r="G10130" t="str">
        <f>"GUSTAVO ALVES DE ARAÚJO (298)"</f>
        <v>GUSTAVO ALVES DE ARAÚJO (298)</v>
      </c>
      <c r="H10130" t="s">
        <v>2844</v>
      </c>
      <c r="I10130" t="str">
        <f>("13/11/2025")</f>
        <v>13/11/2025</v>
      </c>
      <c r="J10130" t="str">
        <f>("04/11/2025")</f>
        <v>04/11/2025</v>
      </c>
      <c r="K10130">
        <v>45974</v>
      </c>
      <c r="N10130">
        <v>109</v>
      </c>
      <c r="O10130" t="s">
        <v>24</v>
      </c>
      <c r="Q10130">
        <v>20</v>
      </c>
      <c r="R10130" t="str">
        <f>"FARMÁCIA INDIANA LJ 172 (10161)"</f>
        <v>FARMÁCIA INDIANA LJ 172 (10161)</v>
      </c>
      <c r="S10130" t="s">
        <v>48</v>
      </c>
      <c r="T10130">
        <v>20991</v>
      </c>
      <c r="U10130">
        <v>25368</v>
      </c>
      <c r="V10130" t="s">
        <v>48</v>
      </c>
    </row>
    <row r="10131" spans="1:22">
      <c r="A10131" t="str">
        <f t="shared" si="1951"/>
        <v>13/11/2025</v>
      </c>
      <c r="B10131" t="str">
        <f>"ENTRADA"</f>
        <v>ENTRADA</v>
      </c>
      <c r="C10131" t="str">
        <f>"DINHEIRO"</f>
        <v>DINHEIRO</v>
      </c>
      <c r="D10131" t="str">
        <f>"06"</f>
        <v>06</v>
      </c>
      <c r="E10131" t="str">
        <f>"35"</f>
        <v>35</v>
      </c>
      <c r="F10131" t="str">
        <f t="shared" si="1953"/>
        <v>COM</v>
      </c>
      <c r="G10131" t="str">
        <f>"GUSTAVO ALVES DE ARAÚJO (298)"</f>
        <v>GUSTAVO ALVES DE ARAÚJO (298)</v>
      </c>
      <c r="H10131" t="str">
        <f>"DESCONTO COTA COOPERADO"</f>
        <v>DESCONTO COTA COOPERADO</v>
      </c>
      <c r="I10131" t="str">
        <f>("16/11/2025")</f>
        <v>16/11/2025</v>
      </c>
      <c r="J10131" t="str">
        <f>("16/01/2025")</f>
        <v>16/01/2025</v>
      </c>
      <c r="K10131" t="str">
        <f>("13/11/2025")</f>
        <v>13/11/2025</v>
      </c>
      <c r="L10131">
        <v>20</v>
      </c>
      <c r="M10131">
        <v>20</v>
      </c>
      <c r="N10131">
        <v>106</v>
      </c>
      <c r="O10131" t="str">
        <f>"ENTRADA DE CAPITAL"</f>
        <v>ENTRADA DE CAPITAL</v>
      </c>
      <c r="P10131">
        <v>20</v>
      </c>
      <c r="S10131" t="str">
        <f>"ENTRADA DE CAPITAL (106)"</f>
        <v>ENTRADA DE CAPITAL (106)</v>
      </c>
      <c r="T10131">
        <v>20992</v>
      </c>
      <c r="U10131">
        <v>6455</v>
      </c>
      <c r="V10131" t="s">
        <v>48</v>
      </c>
    </row>
    <row r="10132" spans="1:22">
      <c r="A10132" t="str">
        <f t="shared" si="1951"/>
        <v>13/11/2025</v>
      </c>
      <c r="B10132" t="str">
        <f>"ENTRADA"</f>
        <v>ENTRADA</v>
      </c>
      <c r="C10132" t="str">
        <f>"DINHEIRO"</f>
        <v>DINHEIRO</v>
      </c>
      <c r="D10132" t="str">
        <f>"06"</f>
        <v>06</v>
      </c>
      <c r="E10132" t="str">
        <f>"35"</f>
        <v>35</v>
      </c>
      <c r="F10132" t="str">
        <f t="shared" si="1953"/>
        <v>COM</v>
      </c>
      <c r="G10132" t="str">
        <f>"GUSTAVO ALVES DE ARAÚJO (298)"</f>
        <v>GUSTAVO ALVES DE ARAÚJO (298)</v>
      </c>
      <c r="H10132" t="s">
        <v>309</v>
      </c>
      <c r="I10132" t="str">
        <f>("16/11/2025")</f>
        <v>16/11/2025</v>
      </c>
      <c r="J10132" t="str">
        <f>("16/01/2025")</f>
        <v>16/01/2025</v>
      </c>
      <c r="K10132">
        <v>45974</v>
      </c>
      <c r="N10132">
        <v>106</v>
      </c>
      <c r="O10132" t="s">
        <v>51</v>
      </c>
      <c r="Q10132">
        <v>20</v>
      </c>
      <c r="R10132" t="str">
        <f>"GUSTAVO ALVES DE ARAÚJO (298)"</f>
        <v>GUSTAVO ALVES DE ARAÚJO (298)</v>
      </c>
      <c r="S10132" t="s">
        <v>52</v>
      </c>
      <c r="T10132">
        <v>20992</v>
      </c>
      <c r="U10132">
        <v>6455</v>
      </c>
      <c r="V10132" t="s">
        <v>48</v>
      </c>
    </row>
    <row r="10133" spans="1:22">
      <c r="A10133" t="str">
        <f t="shared" si="1951"/>
        <v>13/11/2025</v>
      </c>
      <c r="B10133" t="str">
        <f>"ENTRADA"</f>
        <v>ENTRADA</v>
      </c>
      <c r="C10133" t="str">
        <f>"DINHEIRO"</f>
        <v>DINHEIRO</v>
      </c>
      <c r="D10133" t="str">
        <f>"25"</f>
        <v>25</v>
      </c>
      <c r="E10133" t="str">
        <f>"9"</f>
        <v>9</v>
      </c>
      <c r="F10133" t="str">
        <f t="shared" si="1953"/>
        <v>COM</v>
      </c>
      <c r="G10133" t="str">
        <f>"GUSTAVO HENRIQUE OLIVEIRA (661)"</f>
        <v>GUSTAVO HENRIQUE OLIVEIRA (661)</v>
      </c>
      <c r="H10133" t="str">
        <f>"DESCONTO COTA COOPERADO"</f>
        <v>DESCONTO COTA COOPERADO</v>
      </c>
      <c r="I10133" t="str">
        <f>("13/11/2025")</f>
        <v>13/11/2025</v>
      </c>
      <c r="J10133" t="str">
        <f>("13/03/2025")</f>
        <v>13/03/2025</v>
      </c>
      <c r="K10133" t="str">
        <f>("13/11/2025")</f>
        <v>13/11/2025</v>
      </c>
      <c r="L10133">
        <v>20</v>
      </c>
      <c r="M10133">
        <v>20</v>
      </c>
      <c r="N10133">
        <v>106</v>
      </c>
      <c r="O10133" t="str">
        <f>"ENTRADA DE CAPITAL"</f>
        <v>ENTRADA DE CAPITAL</v>
      </c>
      <c r="P10133">
        <v>20</v>
      </c>
      <c r="S10133" t="str">
        <f>"ENTRADA DE CAPITAL (106)"</f>
        <v>ENTRADA DE CAPITAL (106)</v>
      </c>
      <c r="T10133">
        <v>20993</v>
      </c>
      <c r="U10133">
        <v>10938</v>
      </c>
      <c r="V10133" t="s">
        <v>48</v>
      </c>
    </row>
    <row r="10134" spans="1:22">
      <c r="A10134" t="str">
        <f t="shared" si="1951"/>
        <v>13/11/2025</v>
      </c>
      <c r="B10134" t="str">
        <f>"ENTRADA"</f>
        <v>ENTRADA</v>
      </c>
      <c r="C10134" t="str">
        <f>"DINHEIRO"</f>
        <v>DINHEIRO</v>
      </c>
      <c r="D10134" t="str">
        <f>"25"</f>
        <v>25</v>
      </c>
      <c r="E10134" t="str">
        <f>"9"</f>
        <v>9</v>
      </c>
      <c r="F10134" t="str">
        <f t="shared" si="1953"/>
        <v>COM</v>
      </c>
      <c r="G10134" t="str">
        <f>"GUSTAVO HENRIQUE OLIVEIRA (661)"</f>
        <v>GUSTAVO HENRIQUE OLIVEIRA (661)</v>
      </c>
      <c r="H10134" t="s">
        <v>309</v>
      </c>
      <c r="I10134" t="str">
        <f>("13/11/2025")</f>
        <v>13/11/2025</v>
      </c>
      <c r="J10134" t="str">
        <f>("13/03/2025")</f>
        <v>13/03/2025</v>
      </c>
      <c r="K10134">
        <v>45974</v>
      </c>
      <c r="N10134">
        <v>106</v>
      </c>
      <c r="O10134" t="s">
        <v>51</v>
      </c>
      <c r="Q10134">
        <v>20</v>
      </c>
      <c r="R10134" t="str">
        <f>"GUSTAVO HENRIQUE OLIVEIRA (661)"</f>
        <v>GUSTAVO HENRIQUE OLIVEIRA (661)</v>
      </c>
      <c r="S10134" t="s">
        <v>52</v>
      </c>
      <c r="T10134">
        <v>20993</v>
      </c>
      <c r="U10134">
        <v>10938</v>
      </c>
      <c r="V10134" t="s">
        <v>48</v>
      </c>
    </row>
    <row r="10135" spans="1:22">
      <c r="A10135" t="str">
        <f t="shared" si="1951"/>
        <v>13/11/2025</v>
      </c>
      <c r="B10135" t="str">
        <f>"SAÍDA"</f>
        <v>SAÍDA</v>
      </c>
      <c r="C10135" t="str">
        <f>"PIX"</f>
        <v>PIX</v>
      </c>
      <c r="D10135" t="str">
        <f>"24761"</f>
        <v>24761</v>
      </c>
      <c r="E10135" t="str">
        <f>"1"</f>
        <v>1</v>
      </c>
      <c r="F10135" t="str">
        <f t="shared" si="1953"/>
        <v>COM</v>
      </c>
      <c r="G10135" t="str">
        <f>"GUSTAVO HENRIQUE OLIVEIRA (661)"</f>
        <v>GUSTAVO HENRIQUE OLIVEIRA (661)</v>
      </c>
      <c r="H10135" t="str">
        <f>"Serv.Prest. 24/10/2025 a 02/11/2025 - PIX: CPF - CHAVE: 113.084.266-58"</f>
        <v>Serv.Prest. 24/10/2025 a 02/11/2025 - PIX: CPF - CHAVE: 113.084.266-58</v>
      </c>
      <c r="I10135" t="str">
        <f>("13/11/2025")</f>
        <v>13/11/2025</v>
      </c>
      <c r="J10135" t="str">
        <f>("04/11/2025")</f>
        <v>04/11/2025</v>
      </c>
      <c r="K10135" t="str">
        <f>("13/11/2025")</f>
        <v>13/11/2025</v>
      </c>
      <c r="L10135">
        <v>20</v>
      </c>
      <c r="M10135">
        <v>20</v>
      </c>
      <c r="N10135">
        <v>109</v>
      </c>
      <c r="O10135" t="str">
        <f>"PAGAMENTO DE ENTREGADORES"</f>
        <v>PAGAMENTO DE ENTREGADORES</v>
      </c>
      <c r="P10135">
        <v>20</v>
      </c>
      <c r="S10135" t="str">
        <f>"CAIXA MOVIMENTAÇÃO OPERACIONAL (132)"</f>
        <v>CAIXA MOVIMENTAÇÃO OPERACIONAL (132)</v>
      </c>
      <c r="T10135">
        <v>20994</v>
      </c>
      <c r="U10135">
        <v>25369</v>
      </c>
      <c r="V10135" t="s">
        <v>48</v>
      </c>
    </row>
    <row r="10136" spans="1:22">
      <c r="A10136" t="str">
        <f t="shared" si="1951"/>
        <v>13/11/2025</v>
      </c>
      <c r="B10136" t="str">
        <f>"SAÍDA"</f>
        <v>SAÍDA</v>
      </c>
      <c r="C10136" t="str">
        <f>"PIX"</f>
        <v>PIX</v>
      </c>
      <c r="D10136" t="str">
        <f>"24761"</f>
        <v>24761</v>
      </c>
      <c r="E10136" t="str">
        <f>"1"</f>
        <v>1</v>
      </c>
      <c r="F10136" t="str">
        <f t="shared" si="1953"/>
        <v>COM</v>
      </c>
      <c r="G10136" t="str">
        <f>"GUSTAVO HENRIQUE OLIVEIRA (661)"</f>
        <v>GUSTAVO HENRIQUE OLIVEIRA (661)</v>
      </c>
      <c r="H10136" t="s">
        <v>2519</v>
      </c>
      <c r="I10136" t="str">
        <f>("13/11/2025")</f>
        <v>13/11/2025</v>
      </c>
      <c r="J10136" t="str">
        <f>("04/11/2025")</f>
        <v>04/11/2025</v>
      </c>
      <c r="K10136">
        <v>45974</v>
      </c>
      <c r="N10136">
        <v>109</v>
      </c>
      <c r="O10136" t="s">
        <v>24</v>
      </c>
      <c r="Q10136">
        <v>20</v>
      </c>
      <c r="R10136" t="str">
        <f>"FARMÁCIA INDIANA LJ 110 (10048)"</f>
        <v>FARMÁCIA INDIANA LJ 110 (10048)</v>
      </c>
      <c r="S10136" t="s">
        <v>48</v>
      </c>
      <c r="T10136">
        <v>20994</v>
      </c>
      <c r="U10136">
        <v>25369</v>
      </c>
      <c r="V10136" t="s">
        <v>48</v>
      </c>
    </row>
    <row r="10137" spans="1:22">
      <c r="A10137" t="str">
        <f t="shared" si="1951"/>
        <v>13/11/2025</v>
      </c>
      <c r="B10137" t="str">
        <f>"ENTRADA"</f>
        <v>ENTRADA</v>
      </c>
      <c r="C10137" t="str">
        <f>"DINHEIRO"</f>
        <v>DINHEIRO</v>
      </c>
      <c r="D10137" t="str">
        <f>"771"</f>
        <v>771</v>
      </c>
      <c r="E10137" t="str">
        <f>"7"</f>
        <v>7</v>
      </c>
      <c r="F10137" t="str">
        <f t="shared" si="1953"/>
        <v>COM</v>
      </c>
      <c r="G10137" t="str">
        <f>"GUSTAVO SILVA LIMA (771)"</f>
        <v>GUSTAVO SILVA LIMA (771)</v>
      </c>
      <c r="H10137" t="str">
        <f>"COTA COOPERATIVA"</f>
        <v>COTA COOPERATIVA</v>
      </c>
      <c r="I10137" t="str">
        <f>("09/11/2025")</f>
        <v>09/11/2025</v>
      </c>
      <c r="J10137" t="str">
        <f>("23/04/2025")</f>
        <v>23/04/2025</v>
      </c>
      <c r="K10137" t="str">
        <f>("13/11/2025")</f>
        <v>13/11/2025</v>
      </c>
      <c r="L10137">
        <v>20</v>
      </c>
      <c r="M10137">
        <v>20</v>
      </c>
      <c r="N10137">
        <v>106</v>
      </c>
      <c r="O10137" t="str">
        <f>"ENTRADA DE CAPITAL"</f>
        <v>ENTRADA DE CAPITAL</v>
      </c>
      <c r="P10137">
        <v>20</v>
      </c>
      <c r="S10137" t="str">
        <f>"ENTRADA DE CAPITAL (106)"</f>
        <v>ENTRADA DE CAPITAL (106)</v>
      </c>
      <c r="T10137">
        <v>20995</v>
      </c>
      <c r="U10137">
        <v>21659</v>
      </c>
      <c r="V10137" t="s">
        <v>48</v>
      </c>
    </row>
    <row r="10138" spans="1:22">
      <c r="A10138" t="str">
        <f t="shared" si="1951"/>
        <v>13/11/2025</v>
      </c>
      <c r="B10138" t="str">
        <f>"ENTRADA"</f>
        <v>ENTRADA</v>
      </c>
      <c r="C10138" t="str">
        <f>"DINHEIRO"</f>
        <v>DINHEIRO</v>
      </c>
      <c r="D10138" t="str">
        <f>"771"</f>
        <v>771</v>
      </c>
      <c r="E10138" t="str">
        <f>"7"</f>
        <v>7</v>
      </c>
      <c r="F10138" t="str">
        <f t="shared" si="1953"/>
        <v>COM</v>
      </c>
      <c r="G10138" t="str">
        <f>"GUSTAVO SILVA LIMA (771)"</f>
        <v>GUSTAVO SILVA LIMA (771)</v>
      </c>
      <c r="H10138" t="s">
        <v>50</v>
      </c>
      <c r="I10138" t="str">
        <f>("09/11/2025")</f>
        <v>09/11/2025</v>
      </c>
      <c r="J10138" t="str">
        <f>("23/04/2025")</f>
        <v>23/04/2025</v>
      </c>
      <c r="K10138">
        <v>45974</v>
      </c>
      <c r="N10138">
        <v>106</v>
      </c>
      <c r="O10138" t="s">
        <v>51</v>
      </c>
      <c r="Q10138">
        <v>20</v>
      </c>
      <c r="R10138" t="str">
        <f>"GUSTAVO SILVA LIMA (771)"</f>
        <v>GUSTAVO SILVA LIMA (771)</v>
      </c>
      <c r="S10138" t="s">
        <v>52</v>
      </c>
      <c r="T10138">
        <v>20995</v>
      </c>
      <c r="U10138">
        <v>21659</v>
      </c>
      <c r="V10138" t="s">
        <v>48</v>
      </c>
    </row>
    <row r="10139" spans="1:22">
      <c r="A10139" t="str">
        <f t="shared" si="1951"/>
        <v>13/11/2025</v>
      </c>
      <c r="B10139" t="str">
        <f>"SAÍDA"</f>
        <v>SAÍDA</v>
      </c>
      <c r="C10139" t="str">
        <f>"PIX"</f>
        <v>PIX</v>
      </c>
      <c r="D10139" t="str">
        <f>"24709"</f>
        <v>24709</v>
      </c>
      <c r="E10139" t="str">
        <f>"1"</f>
        <v>1</v>
      </c>
      <c r="F10139" t="str">
        <f t="shared" si="1953"/>
        <v>COM</v>
      </c>
      <c r="G10139" t="str">
        <f>"GUSTAVO SILVA LIMA (771)"</f>
        <v>GUSTAVO SILVA LIMA (771)</v>
      </c>
      <c r="H10139" t="str">
        <f>"Serv.Prest. 24/10/2025 a 02/11/2025 - PIX: CELULAR - CHAVE: (73) 98888-3793"</f>
        <v>Serv.Prest. 24/10/2025 a 02/11/2025 - PIX: CELULAR - CHAVE: (73) 98888-3793</v>
      </c>
      <c r="I10139" t="str">
        <f>("13/11/2025")</f>
        <v>13/11/2025</v>
      </c>
      <c r="J10139" t="str">
        <f>("04/11/2025")</f>
        <v>04/11/2025</v>
      </c>
      <c r="K10139" t="str">
        <f>("13/11/2025")</f>
        <v>13/11/2025</v>
      </c>
      <c r="L10139">
        <v>20</v>
      </c>
      <c r="M10139">
        <v>20</v>
      </c>
      <c r="N10139">
        <v>109</v>
      </c>
      <c r="O10139" t="str">
        <f>"PAGAMENTO DE ENTREGADORES"</f>
        <v>PAGAMENTO DE ENTREGADORES</v>
      </c>
      <c r="P10139">
        <v>20</v>
      </c>
      <c r="S10139" t="str">
        <f>"CAIXA MOVIMENTAÇÃO OPERACIONAL (132)"</f>
        <v>CAIXA MOVIMENTAÇÃO OPERACIONAL (132)</v>
      </c>
      <c r="T10139">
        <v>20996</v>
      </c>
      <c r="U10139">
        <v>25370</v>
      </c>
      <c r="V10139" t="s">
        <v>48</v>
      </c>
    </row>
    <row r="10140" spans="1:22">
      <c r="A10140" t="str">
        <f t="shared" si="1951"/>
        <v>13/11/2025</v>
      </c>
      <c r="B10140" t="str">
        <f>"SAÍDA"</f>
        <v>SAÍDA</v>
      </c>
      <c r="C10140" t="str">
        <f>"PIX"</f>
        <v>PIX</v>
      </c>
      <c r="D10140" t="str">
        <f>"24709"</f>
        <v>24709</v>
      </c>
      <c r="E10140" t="str">
        <f>"1"</f>
        <v>1</v>
      </c>
      <c r="F10140" t="str">
        <f t="shared" si="1953"/>
        <v>COM</v>
      </c>
      <c r="G10140" t="str">
        <f>"GUSTAVO SILVA LIMA (771)"</f>
        <v>GUSTAVO SILVA LIMA (771)</v>
      </c>
      <c r="H10140" t="s">
        <v>2845</v>
      </c>
      <c r="I10140" t="str">
        <f>("13/11/2025")</f>
        <v>13/11/2025</v>
      </c>
      <c r="J10140" t="str">
        <f>("04/11/2025")</f>
        <v>04/11/2025</v>
      </c>
      <c r="K10140">
        <v>45974</v>
      </c>
      <c r="N10140">
        <v>109</v>
      </c>
      <c r="O10140" t="s">
        <v>24</v>
      </c>
      <c r="Q10140">
        <v>20</v>
      </c>
      <c r="R10140" t="str">
        <f>"FARMÁCIA INDIANA LJ 65 (10030)"</f>
        <v>FARMÁCIA INDIANA LJ 65 (10030)</v>
      </c>
      <c r="S10140" t="s">
        <v>48</v>
      </c>
      <c r="T10140">
        <v>20996</v>
      </c>
      <c r="U10140">
        <v>25370</v>
      </c>
      <c r="V10140" t="s">
        <v>48</v>
      </c>
    </row>
    <row r="10141" spans="1:22">
      <c r="A10141" t="str">
        <f t="shared" si="1951"/>
        <v>13/11/2025</v>
      </c>
      <c r="B10141" t="str">
        <f>"ENTRADA"</f>
        <v>ENTRADA</v>
      </c>
      <c r="C10141" t="str">
        <f>"DINHEIRO"</f>
        <v>DINHEIRO</v>
      </c>
      <c r="D10141" t="str">
        <f>"718"</f>
        <v>718</v>
      </c>
      <c r="E10141" t="str">
        <f>"8"</f>
        <v>8</v>
      </c>
      <c r="F10141" t="str">
        <f t="shared" si="1953"/>
        <v>COM</v>
      </c>
      <c r="G10141" t="str">
        <f>"HECTOR LUIS YANEZ QUEZADA (718)"</f>
        <v>HECTOR LUIS YANEZ QUEZADA (718)</v>
      </c>
      <c r="H10141" t="str">
        <f>"COTAS COOPERATIVA"</f>
        <v>COTAS COOPERATIVA</v>
      </c>
      <c r="I10141" t="str">
        <f>("10/11/2025")</f>
        <v>10/11/2025</v>
      </c>
      <c r="J10141" t="str">
        <f>("24/03/2025")</f>
        <v>24/03/2025</v>
      </c>
      <c r="K10141" t="str">
        <f>("13/11/2025")</f>
        <v>13/11/2025</v>
      </c>
      <c r="L10141">
        <v>20</v>
      </c>
      <c r="M10141">
        <v>20</v>
      </c>
      <c r="N10141">
        <v>106</v>
      </c>
      <c r="O10141" t="str">
        <f>"ENTRADA DE CAPITAL"</f>
        <v>ENTRADA DE CAPITAL</v>
      </c>
      <c r="P10141">
        <v>20</v>
      </c>
      <c r="S10141" t="str">
        <f>"ENTRADA DE CAPITAL (106)"</f>
        <v>ENTRADA DE CAPITAL (106)</v>
      </c>
      <c r="T10141">
        <v>20997</v>
      </c>
      <c r="U10141">
        <v>11813</v>
      </c>
      <c r="V10141" t="s">
        <v>48</v>
      </c>
    </row>
    <row r="10142" spans="1:22">
      <c r="A10142" t="str">
        <f t="shared" si="1951"/>
        <v>13/11/2025</v>
      </c>
      <c r="B10142" t="str">
        <f>"ENTRADA"</f>
        <v>ENTRADA</v>
      </c>
      <c r="C10142" t="str">
        <f>"DINHEIRO"</f>
        <v>DINHEIRO</v>
      </c>
      <c r="D10142" t="str">
        <f>"718"</f>
        <v>718</v>
      </c>
      <c r="E10142" t="str">
        <f>"8"</f>
        <v>8</v>
      </c>
      <c r="F10142" t="str">
        <f t="shared" si="1953"/>
        <v>COM</v>
      </c>
      <c r="G10142" t="str">
        <f>"HECTOR LUIS YANEZ QUEZADA (718)"</f>
        <v>HECTOR LUIS YANEZ QUEZADA (718)</v>
      </c>
      <c r="H10142" t="s">
        <v>318</v>
      </c>
      <c r="I10142" t="str">
        <f>("10/11/2025")</f>
        <v>10/11/2025</v>
      </c>
      <c r="J10142" t="str">
        <f>("24/03/2025")</f>
        <v>24/03/2025</v>
      </c>
      <c r="K10142">
        <v>45974</v>
      </c>
      <c r="N10142">
        <v>106</v>
      </c>
      <c r="O10142" t="s">
        <v>51</v>
      </c>
      <c r="Q10142">
        <v>20</v>
      </c>
      <c r="R10142" t="str">
        <f>"HECTOR LUIS YANEZ QUEZADA (718)"</f>
        <v>HECTOR LUIS YANEZ QUEZADA (718)</v>
      </c>
      <c r="S10142" t="s">
        <v>52</v>
      </c>
      <c r="T10142">
        <v>20997</v>
      </c>
      <c r="U10142">
        <v>11813</v>
      </c>
      <c r="V10142" t="s">
        <v>48</v>
      </c>
    </row>
    <row r="10143" spans="1:22">
      <c r="A10143" t="str">
        <f t="shared" ref="A10143:A10206" si="1954">("13/11/2025")</f>
        <v>13/11/2025</v>
      </c>
      <c r="B10143" t="str">
        <f>"SAÍDA"</f>
        <v>SAÍDA</v>
      </c>
      <c r="C10143" t="str">
        <f>"PIX"</f>
        <v>PIX</v>
      </c>
      <c r="D10143" t="str">
        <f>"25058"</f>
        <v>25058</v>
      </c>
      <c r="E10143" t="str">
        <f>"1"</f>
        <v>1</v>
      </c>
      <c r="F10143" t="str">
        <f t="shared" si="1953"/>
        <v>COM</v>
      </c>
      <c r="G10143" t="str">
        <f>"HECTOR LUIS YANEZ QUEZADA (718)"</f>
        <v>HECTOR LUIS YANEZ QUEZADA (718)</v>
      </c>
      <c r="H10143" t="str">
        <f>"Serv.Prest. 03/11/2025 a 09/11/2025 - PIX: CELULAR - CHAVE: (41) 98421-2278"</f>
        <v>Serv.Prest. 03/11/2025 a 09/11/2025 - PIX: CELULAR - CHAVE: (41) 98421-2278</v>
      </c>
      <c r="I10143" t="str">
        <f>("13/11/2025")</f>
        <v>13/11/2025</v>
      </c>
      <c r="J10143" t="str">
        <f>("10/11/2025")</f>
        <v>10/11/2025</v>
      </c>
      <c r="K10143" t="str">
        <f>("13/11/2025")</f>
        <v>13/11/2025</v>
      </c>
      <c r="L10143">
        <v>20</v>
      </c>
      <c r="M10143">
        <v>20</v>
      </c>
      <c r="N10143">
        <v>109</v>
      </c>
      <c r="O10143" t="str">
        <f>"PAGAMENTO DE ENTREGADORES"</f>
        <v>PAGAMENTO DE ENTREGADORES</v>
      </c>
      <c r="P10143">
        <v>20</v>
      </c>
      <c r="S10143" t="str">
        <f>"CAIXA MOVIMENTAÇÃO OPERACIONAL (132)"</f>
        <v>CAIXA MOVIMENTAÇÃO OPERACIONAL (132)</v>
      </c>
      <c r="T10143">
        <v>20998</v>
      </c>
      <c r="U10143">
        <v>25371</v>
      </c>
      <c r="V10143" t="s">
        <v>48</v>
      </c>
    </row>
    <row r="10144" spans="1:22">
      <c r="A10144" t="str">
        <f t="shared" si="1954"/>
        <v>13/11/2025</v>
      </c>
      <c r="B10144" t="str">
        <f>"SAÍDA"</f>
        <v>SAÍDA</v>
      </c>
      <c r="C10144" t="str">
        <f>"PIX"</f>
        <v>PIX</v>
      </c>
      <c r="D10144" t="str">
        <f>"25058"</f>
        <v>25058</v>
      </c>
      <c r="E10144" t="str">
        <f>"1"</f>
        <v>1</v>
      </c>
      <c r="F10144" t="str">
        <f t="shared" si="1953"/>
        <v>COM</v>
      </c>
      <c r="G10144" t="str">
        <f>"HECTOR LUIS YANEZ QUEZADA (718)"</f>
        <v>HECTOR LUIS YANEZ QUEZADA (718)</v>
      </c>
      <c r="H10144" t="s">
        <v>2846</v>
      </c>
      <c r="I10144" t="str">
        <f>("13/11/2025")</f>
        <v>13/11/2025</v>
      </c>
      <c r="J10144" t="str">
        <f>("10/11/2025")</f>
        <v>10/11/2025</v>
      </c>
      <c r="K10144">
        <v>45974</v>
      </c>
      <c r="N10144">
        <v>109</v>
      </c>
      <c r="O10144" t="s">
        <v>24</v>
      </c>
      <c r="Q10144">
        <v>20</v>
      </c>
      <c r="R10144" t="str">
        <f>"JAL FARMACIA E DROGARIA LJ 2 (10138)"</f>
        <v>JAL FARMACIA E DROGARIA LJ 2 (10138)</v>
      </c>
      <c r="S10144" t="s">
        <v>48</v>
      </c>
      <c r="T10144">
        <v>20998</v>
      </c>
      <c r="U10144">
        <v>25371</v>
      </c>
      <c r="V10144" t="s">
        <v>48</v>
      </c>
    </row>
    <row r="10145" spans="1:22">
      <c r="A10145" t="str">
        <f t="shared" si="1954"/>
        <v>13/11/2025</v>
      </c>
      <c r="B10145" t="str">
        <f>"ENTRADA"</f>
        <v>ENTRADA</v>
      </c>
      <c r="C10145" t="str">
        <f>"DINHEIRO"</f>
        <v>DINHEIRO</v>
      </c>
      <c r="D10145" t="str">
        <f>"724"</f>
        <v>724</v>
      </c>
      <c r="E10145" t="str">
        <f>"7"</f>
        <v>7</v>
      </c>
      <c r="F10145" t="str">
        <f t="shared" si="1953"/>
        <v>COM</v>
      </c>
      <c r="G10145" t="str">
        <f>"HELITON DE OLIVEIRA RAMOS BARBOSA (724)"</f>
        <v>HELITON DE OLIVEIRA RAMOS BARBOSA (724)</v>
      </c>
      <c r="H10145" t="str">
        <f>"COTA COOPERATIVA"</f>
        <v>COTA COOPERATIVA</v>
      </c>
      <c r="I10145" t="str">
        <f>("08/11/2025")</f>
        <v>08/11/2025</v>
      </c>
      <c r="J10145" t="str">
        <f>("01/04/2025")</f>
        <v>01/04/2025</v>
      </c>
      <c r="K10145" t="str">
        <f>("13/11/2025")</f>
        <v>13/11/2025</v>
      </c>
      <c r="L10145">
        <v>20</v>
      </c>
      <c r="M10145">
        <v>20</v>
      </c>
      <c r="N10145">
        <v>106</v>
      </c>
      <c r="O10145" t="str">
        <f>"ENTRADA DE CAPITAL"</f>
        <v>ENTRADA DE CAPITAL</v>
      </c>
      <c r="P10145">
        <v>20</v>
      </c>
      <c r="S10145" t="str">
        <f>"ENTRADA DE CAPITAL (106)"</f>
        <v>ENTRADA DE CAPITAL (106)</v>
      </c>
      <c r="T10145">
        <v>20999</v>
      </c>
      <c r="U10145">
        <v>14000</v>
      </c>
      <c r="V10145" t="s">
        <v>48</v>
      </c>
    </row>
    <row r="10146" spans="1:22">
      <c r="A10146" t="str">
        <f t="shared" si="1954"/>
        <v>13/11/2025</v>
      </c>
      <c r="B10146" t="str">
        <f>"ENTRADA"</f>
        <v>ENTRADA</v>
      </c>
      <c r="C10146" t="str">
        <f>"DINHEIRO"</f>
        <v>DINHEIRO</v>
      </c>
      <c r="D10146" t="str">
        <f>"724"</f>
        <v>724</v>
      </c>
      <c r="E10146" t="str">
        <f>"7"</f>
        <v>7</v>
      </c>
      <c r="F10146" t="str">
        <f t="shared" si="1953"/>
        <v>COM</v>
      </c>
      <c r="G10146" t="str">
        <f>"HELITON DE OLIVEIRA RAMOS BARBOSA (724)"</f>
        <v>HELITON DE OLIVEIRA RAMOS BARBOSA (724)</v>
      </c>
      <c r="H10146" t="s">
        <v>50</v>
      </c>
      <c r="I10146" t="str">
        <f>("08/11/2025")</f>
        <v>08/11/2025</v>
      </c>
      <c r="J10146" t="str">
        <f>("01/04/2025")</f>
        <v>01/04/2025</v>
      </c>
      <c r="K10146">
        <v>45974</v>
      </c>
      <c r="N10146">
        <v>106</v>
      </c>
      <c r="O10146" t="s">
        <v>51</v>
      </c>
      <c r="Q10146">
        <v>20</v>
      </c>
      <c r="R10146" t="str">
        <f>"HELITON DE OLIVEIRA RAMOS BARBOSA (724)"</f>
        <v>HELITON DE OLIVEIRA RAMOS BARBOSA (724)</v>
      </c>
      <c r="S10146" t="s">
        <v>52</v>
      </c>
      <c r="T10146">
        <v>20999</v>
      </c>
      <c r="U10146">
        <v>14000</v>
      </c>
      <c r="V10146" t="s">
        <v>48</v>
      </c>
    </row>
    <row r="10147" spans="1:22">
      <c r="A10147" t="str">
        <f t="shared" si="1954"/>
        <v>13/11/2025</v>
      </c>
      <c r="B10147" t="str">
        <f>"SAÍDA"</f>
        <v>SAÍDA</v>
      </c>
      <c r="C10147" t="str">
        <f>"PIX"</f>
        <v>PIX</v>
      </c>
      <c r="D10147" t="str">
        <f>"24887"</f>
        <v>24887</v>
      </c>
      <c r="E10147" t="str">
        <f>"1"</f>
        <v>1</v>
      </c>
      <c r="F10147" t="str">
        <f t="shared" si="1953"/>
        <v>COM</v>
      </c>
      <c r="G10147" t="str">
        <f>"HELITON DE OLIVEIRA RAMOS BARBOSA (724)"</f>
        <v>HELITON DE OLIVEIRA RAMOS BARBOSA (724)</v>
      </c>
      <c r="H10147" t="str">
        <f>"Serv.Prest. 27/10/2025 a 02/11/2025 - PIX: CPF - CHAVE: 074.604.219-10"</f>
        <v>Serv.Prest. 27/10/2025 a 02/11/2025 - PIX: CPF - CHAVE: 074.604.219-10</v>
      </c>
      <c r="I10147" t="str">
        <f t="shared" ref="I10147:I10154" si="1955">("13/11/2025")</f>
        <v>13/11/2025</v>
      </c>
      <c r="J10147" t="str">
        <f>("05/11/2025")</f>
        <v>05/11/2025</v>
      </c>
      <c r="K10147" t="str">
        <f>("13/11/2025")</f>
        <v>13/11/2025</v>
      </c>
      <c r="L10147">
        <v>20</v>
      </c>
      <c r="M10147">
        <v>20</v>
      </c>
      <c r="N10147">
        <v>109</v>
      </c>
      <c r="O10147" t="str">
        <f>"PAGAMENTO DE ENTREGADORES"</f>
        <v>PAGAMENTO DE ENTREGADORES</v>
      </c>
      <c r="P10147">
        <v>20</v>
      </c>
      <c r="S10147" t="str">
        <f>"CAIXA MOVIMENTAÇÃO OPERACIONAL (132)"</f>
        <v>CAIXA MOVIMENTAÇÃO OPERACIONAL (132)</v>
      </c>
      <c r="T10147">
        <v>21000</v>
      </c>
      <c r="U10147">
        <v>25372</v>
      </c>
      <c r="V10147" t="s">
        <v>48</v>
      </c>
    </row>
    <row r="10148" spans="1:22">
      <c r="A10148" t="str">
        <f t="shared" si="1954"/>
        <v>13/11/2025</v>
      </c>
      <c r="B10148" t="str">
        <f>"SAÍDA"</f>
        <v>SAÍDA</v>
      </c>
      <c r="C10148" t="str">
        <f>"PIX"</f>
        <v>PIX</v>
      </c>
      <c r="D10148" t="str">
        <f>"24887"</f>
        <v>24887</v>
      </c>
      <c r="E10148" t="str">
        <f>"1"</f>
        <v>1</v>
      </c>
      <c r="F10148" t="str">
        <f t="shared" si="1953"/>
        <v>COM</v>
      </c>
      <c r="G10148" t="str">
        <f>"HELITON DE OLIVEIRA RAMOS BARBOSA (724)"</f>
        <v>HELITON DE OLIVEIRA RAMOS BARBOSA (724)</v>
      </c>
      <c r="H10148" t="s">
        <v>2847</v>
      </c>
      <c r="I10148" t="str">
        <f t="shared" si="1955"/>
        <v>13/11/2025</v>
      </c>
      <c r="J10148" t="str">
        <f>("05/11/2025")</f>
        <v>05/11/2025</v>
      </c>
      <c r="K10148">
        <v>45974</v>
      </c>
      <c r="N10148">
        <v>109</v>
      </c>
      <c r="O10148" t="s">
        <v>24</v>
      </c>
      <c r="Q10148">
        <v>20</v>
      </c>
      <c r="R10148" t="str">
        <f>"AC FARMA - CID.ALTA (10166)"</f>
        <v>AC FARMA - CID.ALTA (10166)</v>
      </c>
      <c r="S10148" t="s">
        <v>48</v>
      </c>
      <c r="T10148">
        <v>21000</v>
      </c>
      <c r="U10148">
        <v>25372</v>
      </c>
      <c r="V10148" t="s">
        <v>48</v>
      </c>
    </row>
    <row r="10149" spans="1:22">
      <c r="A10149" t="str">
        <f t="shared" si="1954"/>
        <v>13/11/2025</v>
      </c>
      <c r="B10149" t="str">
        <f>"ENTRADA"</f>
        <v>ENTRADA</v>
      </c>
      <c r="C10149" t="str">
        <f>"DINHEIRO"</f>
        <v>DINHEIRO</v>
      </c>
      <c r="D10149" t="str">
        <f>"642"</f>
        <v>642</v>
      </c>
      <c r="E10149" t="str">
        <f>"10"</f>
        <v>10</v>
      </c>
      <c r="F10149" t="str">
        <f t="shared" si="1953"/>
        <v>COM</v>
      </c>
      <c r="G10149" t="str">
        <f>"ISAEL SANTOS ROSA (642)"</f>
        <v>ISAEL SANTOS ROSA (642)</v>
      </c>
      <c r="H10149" t="str">
        <f>"COTAS COOPERATIVA"</f>
        <v>COTAS COOPERATIVA</v>
      </c>
      <c r="I10149" t="str">
        <f t="shared" si="1955"/>
        <v>13/11/2025</v>
      </c>
      <c r="J10149" t="str">
        <f>("12/02/2025")</f>
        <v>12/02/2025</v>
      </c>
      <c r="K10149" t="str">
        <f>("13/11/2025")</f>
        <v>13/11/2025</v>
      </c>
      <c r="L10149">
        <v>20</v>
      </c>
      <c r="M10149">
        <v>20</v>
      </c>
      <c r="N10149">
        <v>106</v>
      </c>
      <c r="O10149" t="str">
        <f>"ENTRADA DE CAPITAL"</f>
        <v>ENTRADA DE CAPITAL</v>
      </c>
      <c r="P10149">
        <v>20</v>
      </c>
      <c r="S10149" t="str">
        <f>"ENTRADA DE CAPITAL (106)"</f>
        <v>ENTRADA DE CAPITAL (106)</v>
      </c>
      <c r="T10149">
        <v>21001</v>
      </c>
      <c r="U10149">
        <v>9285</v>
      </c>
      <c r="V10149" t="s">
        <v>48</v>
      </c>
    </row>
    <row r="10150" spans="1:22">
      <c r="A10150" t="str">
        <f t="shared" si="1954"/>
        <v>13/11/2025</v>
      </c>
      <c r="B10150" t="str">
        <f>"ENTRADA"</f>
        <v>ENTRADA</v>
      </c>
      <c r="C10150" t="str">
        <f>"DINHEIRO"</f>
        <v>DINHEIRO</v>
      </c>
      <c r="D10150" t="str">
        <f>"642"</f>
        <v>642</v>
      </c>
      <c r="E10150" t="str">
        <f>"10"</f>
        <v>10</v>
      </c>
      <c r="F10150" t="str">
        <f t="shared" si="1953"/>
        <v>COM</v>
      </c>
      <c r="G10150" t="str">
        <f>"ISAEL SANTOS ROSA (642)"</f>
        <v>ISAEL SANTOS ROSA (642)</v>
      </c>
      <c r="H10150" t="s">
        <v>318</v>
      </c>
      <c r="I10150" t="str">
        <f t="shared" si="1955"/>
        <v>13/11/2025</v>
      </c>
      <c r="J10150" t="str">
        <f>("12/02/2025")</f>
        <v>12/02/2025</v>
      </c>
      <c r="K10150">
        <v>45974</v>
      </c>
      <c r="N10150">
        <v>106</v>
      </c>
      <c r="O10150" t="s">
        <v>51</v>
      </c>
      <c r="Q10150">
        <v>20</v>
      </c>
      <c r="R10150" t="str">
        <f>"ISAEL SANTOS ROSA (642)"</f>
        <v>ISAEL SANTOS ROSA (642)</v>
      </c>
      <c r="S10150" t="s">
        <v>52</v>
      </c>
      <c r="T10150">
        <v>21001</v>
      </c>
      <c r="U10150">
        <v>9285</v>
      </c>
      <c r="V10150" t="s">
        <v>48</v>
      </c>
    </row>
    <row r="10151" spans="1:22">
      <c r="A10151" t="str">
        <f t="shared" si="1954"/>
        <v>13/11/2025</v>
      </c>
      <c r="B10151" t="str">
        <f>"SAÍDA"</f>
        <v>SAÍDA</v>
      </c>
      <c r="C10151" t="str">
        <f>"PIX"</f>
        <v>PIX</v>
      </c>
      <c r="D10151" t="str">
        <f>"25021"</f>
        <v>25021</v>
      </c>
      <c r="E10151" t="str">
        <f>"1"</f>
        <v>1</v>
      </c>
      <c r="F10151" t="str">
        <f t="shared" si="1953"/>
        <v>COM</v>
      </c>
      <c r="G10151" t="str">
        <f>"ISAEL SANTOS ROSA (642)"</f>
        <v>ISAEL SANTOS ROSA (642)</v>
      </c>
      <c r="H10151" t="str">
        <f>"Serv.Prest. 03/11/2025 a 09/11/2025 - PIX: CELULAR - CHAVE: (31) 99376-7989"</f>
        <v>Serv.Prest. 03/11/2025 a 09/11/2025 - PIX: CELULAR - CHAVE: (31) 99376-7989</v>
      </c>
      <c r="I10151" t="str">
        <f t="shared" si="1955"/>
        <v>13/11/2025</v>
      </c>
      <c r="J10151" t="str">
        <f>("10/11/2025")</f>
        <v>10/11/2025</v>
      </c>
      <c r="K10151" t="str">
        <f>("13/11/2025")</f>
        <v>13/11/2025</v>
      </c>
      <c r="L10151">
        <v>20</v>
      </c>
      <c r="M10151">
        <v>20</v>
      </c>
      <c r="N10151">
        <v>109</v>
      </c>
      <c r="O10151" t="str">
        <f>"PAGAMENTO DE ENTREGADORES"</f>
        <v>PAGAMENTO DE ENTREGADORES</v>
      </c>
      <c r="P10151">
        <v>20</v>
      </c>
      <c r="S10151" t="str">
        <f>"CAIXA MOVIMENTAÇÃO OPERACIONAL (132)"</f>
        <v>CAIXA MOVIMENTAÇÃO OPERACIONAL (132)</v>
      </c>
      <c r="T10151">
        <v>21002</v>
      </c>
      <c r="U10151">
        <v>25373</v>
      </c>
      <c r="V10151" t="s">
        <v>48</v>
      </c>
    </row>
    <row r="10152" spans="1:22">
      <c r="A10152" t="str">
        <f t="shared" si="1954"/>
        <v>13/11/2025</v>
      </c>
      <c r="B10152" t="str">
        <f>"SAÍDA"</f>
        <v>SAÍDA</v>
      </c>
      <c r="C10152" t="str">
        <f>"PIX"</f>
        <v>PIX</v>
      </c>
      <c r="D10152" t="str">
        <f>"25021"</f>
        <v>25021</v>
      </c>
      <c r="E10152" t="str">
        <f>"1"</f>
        <v>1</v>
      </c>
      <c r="F10152" t="str">
        <f t="shared" si="1953"/>
        <v>COM</v>
      </c>
      <c r="G10152" t="str">
        <f>"ISAEL SANTOS ROSA (642)"</f>
        <v>ISAEL SANTOS ROSA (642)</v>
      </c>
      <c r="H10152" t="s">
        <v>2848</v>
      </c>
      <c r="I10152" t="str">
        <f t="shared" si="1955"/>
        <v>13/11/2025</v>
      </c>
      <c r="J10152" t="str">
        <f>("10/11/2025")</f>
        <v>10/11/2025</v>
      </c>
      <c r="K10152">
        <v>45974</v>
      </c>
      <c r="N10152">
        <v>109</v>
      </c>
      <c r="O10152" t="s">
        <v>24</v>
      </c>
      <c r="Q10152">
        <v>20</v>
      </c>
      <c r="R10152" t="str">
        <f>"DROGARIA POUPA MINAS (ULTRAMINAS) 3 (10129)"</f>
        <v>DROGARIA POUPA MINAS (ULTRAMINAS) 3 (10129)</v>
      </c>
      <c r="S10152" t="s">
        <v>48</v>
      </c>
      <c r="T10152">
        <v>21002</v>
      </c>
      <c r="U10152">
        <v>25373</v>
      </c>
      <c r="V10152" t="s">
        <v>48</v>
      </c>
    </row>
    <row r="10153" spans="1:22">
      <c r="A10153" t="str">
        <f t="shared" si="1954"/>
        <v>13/11/2025</v>
      </c>
      <c r="B10153" t="str">
        <f>"SAÍDA"</f>
        <v>SAÍDA</v>
      </c>
      <c r="C10153" t="str">
        <f>"PIX"</f>
        <v>PIX</v>
      </c>
      <c r="D10153" t="str">
        <f>"24763"</f>
        <v>24763</v>
      </c>
      <c r="E10153" t="str">
        <f>"1"</f>
        <v>1</v>
      </c>
      <c r="F10153" t="str">
        <f t="shared" si="1953"/>
        <v>COM</v>
      </c>
      <c r="G10153" t="str">
        <f>"IVAN SOUZA SANTOS (101)"</f>
        <v>IVAN SOUZA SANTOS (101)</v>
      </c>
      <c r="H10153" t="str">
        <f>"Serv.Prest. 24/10/2025 a 02/11/2025 - PIX: CPF - CHAVE: 067.393.286-92"</f>
        <v>Serv.Prest. 24/10/2025 a 02/11/2025 - PIX: CPF - CHAVE: 067.393.286-92</v>
      </c>
      <c r="I10153" t="str">
        <f t="shared" si="1955"/>
        <v>13/11/2025</v>
      </c>
      <c r="J10153" t="str">
        <f>("04/11/2025")</f>
        <v>04/11/2025</v>
      </c>
      <c r="K10153" t="str">
        <f>("13/11/2025")</f>
        <v>13/11/2025</v>
      </c>
      <c r="L10153">
        <v>20</v>
      </c>
      <c r="M10153">
        <v>20</v>
      </c>
      <c r="N10153">
        <v>109</v>
      </c>
      <c r="O10153" t="str">
        <f>"PAGAMENTO DE ENTREGADORES"</f>
        <v>PAGAMENTO DE ENTREGADORES</v>
      </c>
      <c r="P10153">
        <v>20</v>
      </c>
      <c r="S10153" t="str">
        <f>"CAIXA MOVIMENTAÇÃO OPERACIONAL (132)"</f>
        <v>CAIXA MOVIMENTAÇÃO OPERACIONAL (132)</v>
      </c>
      <c r="T10153">
        <v>21003</v>
      </c>
      <c r="U10153">
        <v>25374</v>
      </c>
      <c r="V10153" t="s">
        <v>48</v>
      </c>
    </row>
    <row r="10154" spans="1:22">
      <c r="A10154" t="str">
        <f t="shared" si="1954"/>
        <v>13/11/2025</v>
      </c>
      <c r="B10154" t="str">
        <f>"SAÍDA"</f>
        <v>SAÍDA</v>
      </c>
      <c r="C10154" t="str">
        <f>"PIX"</f>
        <v>PIX</v>
      </c>
      <c r="D10154" t="str">
        <f>"24763"</f>
        <v>24763</v>
      </c>
      <c r="E10154" t="str">
        <f>"1"</f>
        <v>1</v>
      </c>
      <c r="F10154" t="str">
        <f t="shared" si="1953"/>
        <v>COM</v>
      </c>
      <c r="G10154" t="str">
        <f>"IVAN SOUZA SANTOS (101)"</f>
        <v>IVAN SOUZA SANTOS (101)</v>
      </c>
      <c r="H10154" t="s">
        <v>2525</v>
      </c>
      <c r="I10154" t="str">
        <f t="shared" si="1955"/>
        <v>13/11/2025</v>
      </c>
      <c r="J10154" t="str">
        <f>("04/11/2025")</f>
        <v>04/11/2025</v>
      </c>
      <c r="K10154">
        <v>45974</v>
      </c>
      <c r="N10154">
        <v>109</v>
      </c>
      <c r="O10154" t="s">
        <v>24</v>
      </c>
      <c r="Q10154">
        <v>20</v>
      </c>
      <c r="R10154" t="str">
        <f>"FARMÁCIA INDIANA LJ 59 (10026)"</f>
        <v>FARMÁCIA INDIANA LJ 59 (10026)</v>
      </c>
      <c r="S10154" t="s">
        <v>48</v>
      </c>
      <c r="T10154">
        <v>21003</v>
      </c>
      <c r="U10154">
        <v>25374</v>
      </c>
      <c r="V10154" t="s">
        <v>48</v>
      </c>
    </row>
    <row r="10155" spans="1:22">
      <c r="A10155" t="str">
        <f t="shared" si="1954"/>
        <v>13/11/2025</v>
      </c>
      <c r="B10155" t="str">
        <f>"ENTRADA"</f>
        <v>ENTRADA</v>
      </c>
      <c r="C10155" t="str">
        <f>"DINHEIRO"</f>
        <v>DINHEIRO</v>
      </c>
      <c r="D10155" t="str">
        <f>"09"</f>
        <v>09</v>
      </c>
      <c r="E10155" t="str">
        <f>"35"</f>
        <v>35</v>
      </c>
      <c r="F10155" t="str">
        <f t="shared" si="1953"/>
        <v>COM</v>
      </c>
      <c r="G10155" t="str">
        <f>"IVAN SOUZA SANTOS (101)"</f>
        <v>IVAN SOUZA SANTOS (101)</v>
      </c>
      <c r="H10155" t="str">
        <f>"DESCONTO COTA COOPERADO"</f>
        <v>DESCONTO COTA COOPERADO</v>
      </c>
      <c r="I10155" t="str">
        <f>("16/11/2025")</f>
        <v>16/11/2025</v>
      </c>
      <c r="J10155" t="str">
        <f>("16/01/2025")</f>
        <v>16/01/2025</v>
      </c>
      <c r="K10155" t="str">
        <f>("13/11/2025")</f>
        <v>13/11/2025</v>
      </c>
      <c r="L10155">
        <v>20</v>
      </c>
      <c r="M10155">
        <v>20</v>
      </c>
      <c r="N10155">
        <v>106</v>
      </c>
      <c r="O10155" t="str">
        <f>"ENTRADA DE CAPITAL"</f>
        <v>ENTRADA DE CAPITAL</v>
      </c>
      <c r="P10155">
        <v>20</v>
      </c>
      <c r="S10155" t="str">
        <f>"ENTRADA DE CAPITAL (106)"</f>
        <v>ENTRADA DE CAPITAL (106)</v>
      </c>
      <c r="T10155">
        <v>21004</v>
      </c>
      <c r="U10155">
        <v>6525</v>
      </c>
      <c r="V10155" t="s">
        <v>48</v>
      </c>
    </row>
    <row r="10156" spans="1:22">
      <c r="A10156" t="str">
        <f t="shared" si="1954"/>
        <v>13/11/2025</v>
      </c>
      <c r="B10156" t="str">
        <f>"ENTRADA"</f>
        <v>ENTRADA</v>
      </c>
      <c r="C10156" t="str">
        <f>"DINHEIRO"</f>
        <v>DINHEIRO</v>
      </c>
      <c r="D10156" t="str">
        <f>"09"</f>
        <v>09</v>
      </c>
      <c r="E10156" t="str">
        <f>"35"</f>
        <v>35</v>
      </c>
      <c r="F10156" t="str">
        <f t="shared" si="1953"/>
        <v>COM</v>
      </c>
      <c r="G10156" t="str">
        <f>"IVAN SOUZA SANTOS (101)"</f>
        <v>IVAN SOUZA SANTOS (101)</v>
      </c>
      <c r="H10156" t="s">
        <v>309</v>
      </c>
      <c r="I10156" t="str">
        <f>("16/11/2025")</f>
        <v>16/11/2025</v>
      </c>
      <c r="J10156" t="str">
        <f>("16/01/2025")</f>
        <v>16/01/2025</v>
      </c>
      <c r="K10156">
        <v>45974</v>
      </c>
      <c r="N10156">
        <v>106</v>
      </c>
      <c r="O10156" t="s">
        <v>51</v>
      </c>
      <c r="Q10156">
        <v>20</v>
      </c>
      <c r="R10156" t="str">
        <f>"IVAN SOUZA SANTOS (101)"</f>
        <v>IVAN SOUZA SANTOS (101)</v>
      </c>
      <c r="S10156" t="s">
        <v>52</v>
      </c>
      <c r="T10156">
        <v>21004</v>
      </c>
      <c r="U10156">
        <v>6525</v>
      </c>
      <c r="V10156" t="s">
        <v>48</v>
      </c>
    </row>
    <row r="10157" spans="1:22">
      <c r="A10157" t="str">
        <f t="shared" si="1954"/>
        <v>13/11/2025</v>
      </c>
      <c r="B10157" t="str">
        <f>"SAÍDA"</f>
        <v>SAÍDA</v>
      </c>
      <c r="C10157" t="str">
        <f>"PIX"</f>
        <v>PIX</v>
      </c>
      <c r="D10157" t="str">
        <f>"24710"</f>
        <v>24710</v>
      </c>
      <c r="E10157" t="str">
        <f>"1"</f>
        <v>1</v>
      </c>
      <c r="F10157" t="str">
        <f t="shared" si="1953"/>
        <v>COM</v>
      </c>
      <c r="G10157" t="str">
        <f>"JALDENIR MENDES DOS SANTOS (167)"</f>
        <v>JALDENIR MENDES DOS SANTOS (167)</v>
      </c>
      <c r="H10157" t="str">
        <f>"Serv.Prest. 24/10/2025 a 02/11/2025 - PIX: CPF - CHAVE: 439.169.103-53"</f>
        <v>Serv.Prest. 24/10/2025 a 02/11/2025 - PIX: CPF - CHAVE: 439.169.103-53</v>
      </c>
      <c r="I10157" t="str">
        <f>("13/11/2025")</f>
        <v>13/11/2025</v>
      </c>
      <c r="J10157" t="str">
        <f>("04/11/2025")</f>
        <v>04/11/2025</v>
      </c>
      <c r="K10157" t="str">
        <f>("13/11/2025")</f>
        <v>13/11/2025</v>
      </c>
      <c r="L10157">
        <v>20</v>
      </c>
      <c r="M10157">
        <v>20</v>
      </c>
      <c r="N10157">
        <v>109</v>
      </c>
      <c r="O10157" t="str">
        <f>"PAGAMENTO DE ENTREGADORES"</f>
        <v>PAGAMENTO DE ENTREGADORES</v>
      </c>
      <c r="P10157">
        <v>20</v>
      </c>
      <c r="S10157" t="str">
        <f>"CAIXA MOVIMENTAÇÃO OPERACIONAL (132)"</f>
        <v>CAIXA MOVIMENTAÇÃO OPERACIONAL (132)</v>
      </c>
      <c r="T10157">
        <v>21005</v>
      </c>
      <c r="U10157">
        <v>25375</v>
      </c>
      <c r="V10157" t="s">
        <v>48</v>
      </c>
    </row>
    <row r="10158" spans="1:22">
      <c r="A10158" t="str">
        <f t="shared" si="1954"/>
        <v>13/11/2025</v>
      </c>
      <c r="B10158" t="str">
        <f>"SAÍDA"</f>
        <v>SAÍDA</v>
      </c>
      <c r="C10158" t="str">
        <f>"PIX"</f>
        <v>PIX</v>
      </c>
      <c r="D10158" t="str">
        <f>"24710"</f>
        <v>24710</v>
      </c>
      <c r="E10158" t="str">
        <f>"1"</f>
        <v>1</v>
      </c>
      <c r="F10158" t="str">
        <f t="shared" si="1953"/>
        <v>COM</v>
      </c>
      <c r="G10158" t="str">
        <f>"JALDENIR MENDES DOS SANTOS (167)"</f>
        <v>JALDENIR MENDES DOS SANTOS (167)</v>
      </c>
      <c r="H10158" t="s">
        <v>2849</v>
      </c>
      <c r="I10158" t="str">
        <f>("13/11/2025")</f>
        <v>13/11/2025</v>
      </c>
      <c r="J10158" t="str">
        <f>("04/11/2025")</f>
        <v>04/11/2025</v>
      </c>
      <c r="K10158">
        <v>45974</v>
      </c>
      <c r="N10158">
        <v>109</v>
      </c>
      <c r="O10158" t="s">
        <v>24</v>
      </c>
      <c r="Q10158">
        <v>20</v>
      </c>
      <c r="R10158" t="str">
        <f>"FARMÁCIA INDIANA LJ 34 (10014)"</f>
        <v>FARMÁCIA INDIANA LJ 34 (10014)</v>
      </c>
      <c r="S10158" t="s">
        <v>48</v>
      </c>
      <c r="T10158">
        <v>21005</v>
      </c>
      <c r="U10158">
        <v>25375</v>
      </c>
      <c r="V10158" t="s">
        <v>48</v>
      </c>
    </row>
    <row r="10159" spans="1:22">
      <c r="A10159" t="str">
        <f t="shared" si="1954"/>
        <v>13/11/2025</v>
      </c>
      <c r="B10159" t="str">
        <f>"ENTRADA"</f>
        <v>ENTRADA</v>
      </c>
      <c r="C10159" t="str">
        <f>"DINHEIRO"</f>
        <v>DINHEIRO</v>
      </c>
      <c r="D10159" t="str">
        <f>"11"</f>
        <v>11</v>
      </c>
      <c r="E10159" t="str">
        <f>"35"</f>
        <v>35</v>
      </c>
      <c r="F10159" t="str">
        <f t="shared" si="1953"/>
        <v>COM</v>
      </c>
      <c r="G10159" t="str">
        <f>"JALDENIR MENDES DOS SANTOS (167)"</f>
        <v>JALDENIR MENDES DOS SANTOS (167)</v>
      </c>
      <c r="H10159" t="str">
        <f>"DESCONTO COTA COOPERADO"</f>
        <v>DESCONTO COTA COOPERADO</v>
      </c>
      <c r="I10159" t="str">
        <f>("16/11/2025")</f>
        <v>16/11/2025</v>
      </c>
      <c r="J10159" t="str">
        <f>("16/01/2025")</f>
        <v>16/01/2025</v>
      </c>
      <c r="K10159" t="str">
        <f>("13/11/2025")</f>
        <v>13/11/2025</v>
      </c>
      <c r="L10159">
        <v>20</v>
      </c>
      <c r="M10159">
        <v>20</v>
      </c>
      <c r="N10159">
        <v>106</v>
      </c>
      <c r="O10159" t="str">
        <f>"ENTRADA DE CAPITAL"</f>
        <v>ENTRADA DE CAPITAL</v>
      </c>
      <c r="P10159">
        <v>20</v>
      </c>
      <c r="S10159" t="str">
        <f>"ENTRADA DE CAPITAL (106)"</f>
        <v>ENTRADA DE CAPITAL (106)</v>
      </c>
      <c r="T10159">
        <v>21006</v>
      </c>
      <c r="U10159">
        <v>6543</v>
      </c>
      <c r="V10159" t="s">
        <v>48</v>
      </c>
    </row>
    <row r="10160" spans="1:22">
      <c r="A10160" t="str">
        <f t="shared" si="1954"/>
        <v>13/11/2025</v>
      </c>
      <c r="B10160" t="str">
        <f>"ENTRADA"</f>
        <v>ENTRADA</v>
      </c>
      <c r="C10160" t="str">
        <f>"DINHEIRO"</f>
        <v>DINHEIRO</v>
      </c>
      <c r="D10160" t="str">
        <f>"11"</f>
        <v>11</v>
      </c>
      <c r="E10160" t="str">
        <f>"35"</f>
        <v>35</v>
      </c>
      <c r="F10160" t="str">
        <f t="shared" si="1953"/>
        <v>COM</v>
      </c>
      <c r="G10160" t="str">
        <f>"JALDENIR MENDES DOS SANTOS (167)"</f>
        <v>JALDENIR MENDES DOS SANTOS (167)</v>
      </c>
      <c r="H10160" t="s">
        <v>309</v>
      </c>
      <c r="I10160" t="str">
        <f>("16/11/2025")</f>
        <v>16/11/2025</v>
      </c>
      <c r="J10160" t="str">
        <f>("16/01/2025")</f>
        <v>16/01/2025</v>
      </c>
      <c r="K10160">
        <v>45974</v>
      </c>
      <c r="N10160">
        <v>106</v>
      </c>
      <c r="O10160" t="s">
        <v>51</v>
      </c>
      <c r="Q10160">
        <v>20</v>
      </c>
      <c r="R10160" t="str">
        <f>"JALDENIR MENDES DOS SANTOS (167)"</f>
        <v>JALDENIR MENDES DOS SANTOS (167)</v>
      </c>
      <c r="S10160" t="s">
        <v>52</v>
      </c>
      <c r="T10160">
        <v>21006</v>
      </c>
      <c r="U10160">
        <v>6543</v>
      </c>
      <c r="V10160" t="s">
        <v>48</v>
      </c>
    </row>
    <row r="10161" spans="1:22">
      <c r="A10161" t="str">
        <f t="shared" si="1954"/>
        <v>13/11/2025</v>
      </c>
      <c r="B10161" t="str">
        <f>"SAÍDA"</f>
        <v>SAÍDA</v>
      </c>
      <c r="C10161" t="str">
        <f>"PIX"</f>
        <v>PIX</v>
      </c>
      <c r="D10161" t="str">
        <f>"24764"</f>
        <v>24764</v>
      </c>
      <c r="E10161" t="str">
        <f>"1"</f>
        <v>1</v>
      </c>
      <c r="F10161" t="str">
        <f t="shared" si="1953"/>
        <v>COM</v>
      </c>
      <c r="G10161" t="str">
        <f>"JANDERSON SOUZA ARCANJO (28)"</f>
        <v>JANDERSON SOUZA ARCANJO (28)</v>
      </c>
      <c r="H10161" t="str">
        <f>"Serv.Prest. 24/10/2025 a 02/11/2025 - PIX: CPF - CHAVE: 121.297.376-33"</f>
        <v>Serv.Prest. 24/10/2025 a 02/11/2025 - PIX: CPF - CHAVE: 121.297.376-33</v>
      </c>
      <c r="I10161" t="str">
        <f>("13/11/2025")</f>
        <v>13/11/2025</v>
      </c>
      <c r="J10161" t="str">
        <f>("04/11/2025")</f>
        <v>04/11/2025</v>
      </c>
      <c r="K10161" t="str">
        <f>("13/11/2025")</f>
        <v>13/11/2025</v>
      </c>
      <c r="L10161">
        <v>20</v>
      </c>
      <c r="M10161">
        <v>20</v>
      </c>
      <c r="N10161">
        <v>109</v>
      </c>
      <c r="O10161" t="str">
        <f>"PAGAMENTO DE ENTREGADORES"</f>
        <v>PAGAMENTO DE ENTREGADORES</v>
      </c>
      <c r="P10161">
        <v>20</v>
      </c>
      <c r="S10161" t="str">
        <f>"CAIXA MOVIMENTAÇÃO OPERACIONAL (132)"</f>
        <v>CAIXA MOVIMENTAÇÃO OPERACIONAL (132)</v>
      </c>
      <c r="T10161">
        <v>21007</v>
      </c>
      <c r="U10161">
        <v>25376</v>
      </c>
      <c r="V10161" t="s">
        <v>48</v>
      </c>
    </row>
    <row r="10162" spans="1:22">
      <c r="A10162" t="str">
        <f t="shared" si="1954"/>
        <v>13/11/2025</v>
      </c>
      <c r="B10162" t="str">
        <f>"SAÍDA"</f>
        <v>SAÍDA</v>
      </c>
      <c r="C10162" t="str">
        <f>"PIX"</f>
        <v>PIX</v>
      </c>
      <c r="D10162" t="str">
        <f>"24764"</f>
        <v>24764</v>
      </c>
      <c r="E10162" t="str">
        <f>"1"</f>
        <v>1</v>
      </c>
      <c r="F10162" t="str">
        <f t="shared" si="1953"/>
        <v>COM</v>
      </c>
      <c r="G10162" t="str">
        <f>"JANDERSON SOUZA ARCANJO (28)"</f>
        <v>JANDERSON SOUZA ARCANJO (28)</v>
      </c>
      <c r="H10162" t="s">
        <v>2850</v>
      </c>
      <c r="I10162" t="str">
        <f>("13/11/2025")</f>
        <v>13/11/2025</v>
      </c>
      <c r="J10162" t="str">
        <f>("04/11/2025")</f>
        <v>04/11/2025</v>
      </c>
      <c r="K10162">
        <v>45974</v>
      </c>
      <c r="N10162">
        <v>109</v>
      </c>
      <c r="O10162" t="s">
        <v>24</v>
      </c>
      <c r="Q10162">
        <v>19.57</v>
      </c>
      <c r="R10162" t="str">
        <f>"FARMÁCIA INDIANA LJ 40 (10016)"</f>
        <v>FARMÁCIA INDIANA LJ 40 (10016)</v>
      </c>
      <c r="S10162" t="s">
        <v>48</v>
      </c>
      <c r="T10162">
        <v>21007</v>
      </c>
      <c r="U10162">
        <v>25376</v>
      </c>
      <c r="V10162" t="s">
        <v>48</v>
      </c>
    </row>
    <row r="10163" spans="1:22">
      <c r="A10163" t="str">
        <f t="shared" si="1954"/>
        <v>13/11/2025</v>
      </c>
      <c r="B10163" t="str">
        <f>"SAÍDA"</f>
        <v>SAÍDA</v>
      </c>
      <c r="C10163" t="str">
        <f>"PIX"</f>
        <v>PIX</v>
      </c>
      <c r="D10163" t="str">
        <f>"24764"</f>
        <v>24764</v>
      </c>
      <c r="E10163" t="str">
        <f>"1"</f>
        <v>1</v>
      </c>
      <c r="F10163" t="str">
        <f t="shared" si="1953"/>
        <v>COM</v>
      </c>
      <c r="G10163" t="str">
        <f>"JANDERSON SOUZA ARCANJO (28)"</f>
        <v>JANDERSON SOUZA ARCANJO (28)</v>
      </c>
      <c r="H10163" t="s">
        <v>2850</v>
      </c>
      <c r="I10163" t="str">
        <f>("13/11/2025")</f>
        <v>13/11/2025</v>
      </c>
      <c r="J10163" t="str">
        <f>("04/11/2025")</f>
        <v>04/11/2025</v>
      </c>
      <c r="K10163">
        <v>45974</v>
      </c>
      <c r="N10163">
        <v>109</v>
      </c>
      <c r="O10163" t="s">
        <v>24</v>
      </c>
      <c r="Q10163">
        <v>0.43</v>
      </c>
      <c r="R10163" t="str">
        <f>"FARMÁCIA INDIANA LJ 61 (10027)"</f>
        <v>FARMÁCIA INDIANA LJ 61 (10027)</v>
      </c>
      <c r="S10163" t="s">
        <v>48</v>
      </c>
      <c r="T10163">
        <v>21007</v>
      </c>
      <c r="U10163">
        <v>25376</v>
      </c>
      <c r="V10163" t="s">
        <v>48</v>
      </c>
    </row>
    <row r="10164" spans="1:22">
      <c r="A10164" t="str">
        <f t="shared" si="1954"/>
        <v>13/11/2025</v>
      </c>
      <c r="B10164" t="str">
        <f>"ENTRADA"</f>
        <v>ENTRADA</v>
      </c>
      <c r="C10164" t="str">
        <f>"DINHEIRO"</f>
        <v>DINHEIRO</v>
      </c>
      <c r="D10164" t="str">
        <f>"13"</f>
        <v>13</v>
      </c>
      <c r="E10164" t="str">
        <f>"35"</f>
        <v>35</v>
      </c>
      <c r="F10164" t="str">
        <f t="shared" si="1953"/>
        <v>COM</v>
      </c>
      <c r="G10164" t="str">
        <f>"JANDERSON SOUZA ARCANJO (28)"</f>
        <v>JANDERSON SOUZA ARCANJO (28)</v>
      </c>
      <c r="H10164" t="str">
        <f>"DESCONTO COTA COOPERADO"</f>
        <v>DESCONTO COTA COOPERADO</v>
      </c>
      <c r="I10164" t="str">
        <f>("16/11/2025")</f>
        <v>16/11/2025</v>
      </c>
      <c r="J10164" t="str">
        <f>("16/01/2025")</f>
        <v>16/01/2025</v>
      </c>
      <c r="K10164" t="str">
        <f>("13/11/2025")</f>
        <v>13/11/2025</v>
      </c>
      <c r="L10164">
        <v>20</v>
      </c>
      <c r="M10164">
        <v>20</v>
      </c>
      <c r="N10164">
        <v>106</v>
      </c>
      <c r="O10164" t="str">
        <f>"ENTRADA DE CAPITAL"</f>
        <v>ENTRADA DE CAPITAL</v>
      </c>
      <c r="P10164">
        <v>20</v>
      </c>
      <c r="S10164" t="str">
        <f>"ENTRADA DE CAPITAL (106)"</f>
        <v>ENTRADA DE CAPITAL (106)</v>
      </c>
      <c r="T10164">
        <v>21008</v>
      </c>
      <c r="U10164">
        <v>6559</v>
      </c>
      <c r="V10164" t="s">
        <v>48</v>
      </c>
    </row>
    <row r="10165" spans="1:22">
      <c r="A10165" t="str">
        <f t="shared" si="1954"/>
        <v>13/11/2025</v>
      </c>
      <c r="B10165" t="str">
        <f>"ENTRADA"</f>
        <v>ENTRADA</v>
      </c>
      <c r="C10165" t="str">
        <f>"DINHEIRO"</f>
        <v>DINHEIRO</v>
      </c>
      <c r="D10165" t="str">
        <f>"13"</f>
        <v>13</v>
      </c>
      <c r="E10165" t="str">
        <f>"35"</f>
        <v>35</v>
      </c>
      <c r="F10165" t="str">
        <f t="shared" si="1953"/>
        <v>COM</v>
      </c>
      <c r="G10165" t="str">
        <f>"JANDERSON SOUZA ARCANJO (28)"</f>
        <v>JANDERSON SOUZA ARCANJO (28)</v>
      </c>
      <c r="H10165" t="s">
        <v>309</v>
      </c>
      <c r="I10165" t="str">
        <f>("16/11/2025")</f>
        <v>16/11/2025</v>
      </c>
      <c r="J10165" t="str">
        <f>("16/01/2025")</f>
        <v>16/01/2025</v>
      </c>
      <c r="K10165">
        <v>45974</v>
      </c>
      <c r="N10165">
        <v>106</v>
      </c>
      <c r="O10165" t="s">
        <v>51</v>
      </c>
      <c r="Q10165">
        <v>20</v>
      </c>
      <c r="R10165" t="str">
        <f>"JANDERSON SOUZA ARCANJO (28)"</f>
        <v>JANDERSON SOUZA ARCANJO (28)</v>
      </c>
      <c r="S10165" t="s">
        <v>52</v>
      </c>
      <c r="T10165">
        <v>21008</v>
      </c>
      <c r="U10165">
        <v>6559</v>
      </c>
      <c r="V10165" t="s">
        <v>48</v>
      </c>
    </row>
    <row r="10166" spans="1:22">
      <c r="A10166" t="str">
        <f t="shared" si="1954"/>
        <v>13/11/2025</v>
      </c>
      <c r="B10166" t="str">
        <f>"SAÍDA"</f>
        <v>SAÍDA</v>
      </c>
      <c r="C10166" t="str">
        <f>"PIX"</f>
        <v>PIX</v>
      </c>
      <c r="D10166" t="str">
        <f>"24765"</f>
        <v>24765</v>
      </c>
      <c r="E10166" t="str">
        <f>"1"</f>
        <v>1</v>
      </c>
      <c r="F10166" t="str">
        <f t="shared" si="1953"/>
        <v>COM</v>
      </c>
      <c r="G10166" t="str">
        <f>"JEAN ARAÚJO SANTOS GERMANO (551)"</f>
        <v>JEAN ARAÚJO SANTOS GERMANO (551)</v>
      </c>
      <c r="H10166" t="str">
        <f>"Serv.Prest. 24/10/2025 a 02/11/2025 - PIX: CELULAR - CHAVE: (31) 99812-7173"</f>
        <v>Serv.Prest. 24/10/2025 a 02/11/2025 - PIX: CELULAR - CHAVE: (31) 99812-7173</v>
      </c>
      <c r="I10166" t="str">
        <f>("13/11/2025")</f>
        <v>13/11/2025</v>
      </c>
      <c r="J10166" t="str">
        <f>("04/11/2025")</f>
        <v>04/11/2025</v>
      </c>
      <c r="K10166" t="str">
        <f>("13/11/2025")</f>
        <v>13/11/2025</v>
      </c>
      <c r="L10166">
        <v>20</v>
      </c>
      <c r="M10166">
        <v>20</v>
      </c>
      <c r="N10166">
        <v>109</v>
      </c>
      <c r="O10166" t="str">
        <f>"PAGAMENTO DE ENTREGADORES"</f>
        <v>PAGAMENTO DE ENTREGADORES</v>
      </c>
      <c r="P10166">
        <v>20</v>
      </c>
      <c r="S10166" t="str">
        <f>"CAIXA MOVIMENTAÇÃO OPERACIONAL (132)"</f>
        <v>CAIXA MOVIMENTAÇÃO OPERACIONAL (132)</v>
      </c>
      <c r="T10166">
        <v>21009</v>
      </c>
      <c r="U10166">
        <v>25377</v>
      </c>
      <c r="V10166" t="s">
        <v>48</v>
      </c>
    </row>
    <row r="10167" spans="1:22">
      <c r="A10167" t="str">
        <f t="shared" si="1954"/>
        <v>13/11/2025</v>
      </c>
      <c r="B10167" t="str">
        <f>"SAÍDA"</f>
        <v>SAÍDA</v>
      </c>
      <c r="C10167" t="str">
        <f>"PIX"</f>
        <v>PIX</v>
      </c>
      <c r="D10167" t="str">
        <f>"24765"</f>
        <v>24765</v>
      </c>
      <c r="E10167" t="str">
        <f>"1"</f>
        <v>1</v>
      </c>
      <c r="F10167" t="str">
        <f t="shared" ref="F10167:F10230" si="1956">"COM"</f>
        <v>COM</v>
      </c>
      <c r="G10167" t="str">
        <f>"JEAN ARAÚJO SANTOS GERMANO (551)"</f>
        <v>JEAN ARAÚJO SANTOS GERMANO (551)</v>
      </c>
      <c r="H10167" t="s">
        <v>2851</v>
      </c>
      <c r="I10167" t="str">
        <f>("13/11/2025")</f>
        <v>13/11/2025</v>
      </c>
      <c r="J10167" t="str">
        <f>("04/11/2025")</f>
        <v>04/11/2025</v>
      </c>
      <c r="K10167">
        <v>45974</v>
      </c>
      <c r="N10167">
        <v>109</v>
      </c>
      <c r="O10167" t="s">
        <v>24</v>
      </c>
      <c r="Q10167">
        <v>20</v>
      </c>
      <c r="R10167" t="str">
        <f>"FARMÁCIA INDIANA LJ 142 (10066)"</f>
        <v>FARMÁCIA INDIANA LJ 142 (10066)</v>
      </c>
      <c r="S10167" t="s">
        <v>48</v>
      </c>
      <c r="T10167">
        <v>21009</v>
      </c>
      <c r="U10167">
        <v>25377</v>
      </c>
      <c r="V10167" t="s">
        <v>48</v>
      </c>
    </row>
    <row r="10168" spans="1:22">
      <c r="A10168" t="str">
        <f t="shared" si="1954"/>
        <v>13/11/2025</v>
      </c>
      <c r="B10168" t="str">
        <f>"ENTRADA"</f>
        <v>ENTRADA</v>
      </c>
      <c r="C10168" t="str">
        <f>"DINHEIRO"</f>
        <v>DINHEIRO</v>
      </c>
      <c r="D10168" t="str">
        <f>"02"</f>
        <v>02</v>
      </c>
      <c r="E10168" t="str">
        <f>"35"</f>
        <v>35</v>
      </c>
      <c r="F10168" t="str">
        <f t="shared" si="1956"/>
        <v>COM</v>
      </c>
      <c r="G10168" t="str">
        <f>"JEAN ARAÚJO SANTOS GERMANO (551)"</f>
        <v>JEAN ARAÚJO SANTOS GERMANO (551)</v>
      </c>
      <c r="H10168" t="str">
        <f>"DESCONTO COTA COOPERADO"</f>
        <v>DESCONTO COTA COOPERADO</v>
      </c>
      <c r="I10168" t="str">
        <f>("16/11/2025")</f>
        <v>16/11/2025</v>
      </c>
      <c r="J10168" t="str">
        <f>("16/01/2025")</f>
        <v>16/01/2025</v>
      </c>
      <c r="K10168" t="str">
        <f>("13/11/2025")</f>
        <v>13/11/2025</v>
      </c>
      <c r="L10168">
        <v>20</v>
      </c>
      <c r="M10168">
        <v>20</v>
      </c>
      <c r="N10168">
        <v>106</v>
      </c>
      <c r="O10168" t="str">
        <f>"ENTRADA DE CAPITAL"</f>
        <v>ENTRADA DE CAPITAL</v>
      </c>
      <c r="P10168">
        <v>20</v>
      </c>
      <c r="S10168" t="str">
        <f>"ENTRADA DE CAPITAL (106)"</f>
        <v>ENTRADA DE CAPITAL (106)</v>
      </c>
      <c r="T10168">
        <v>21010</v>
      </c>
      <c r="U10168">
        <v>6583</v>
      </c>
      <c r="V10168" t="s">
        <v>48</v>
      </c>
    </row>
    <row r="10169" spans="1:22">
      <c r="A10169" t="str">
        <f t="shared" si="1954"/>
        <v>13/11/2025</v>
      </c>
      <c r="B10169" t="str">
        <f>"ENTRADA"</f>
        <v>ENTRADA</v>
      </c>
      <c r="C10169" t="str">
        <f>"DINHEIRO"</f>
        <v>DINHEIRO</v>
      </c>
      <c r="D10169" t="str">
        <f>"02"</f>
        <v>02</v>
      </c>
      <c r="E10169" t="str">
        <f>"35"</f>
        <v>35</v>
      </c>
      <c r="F10169" t="str">
        <f t="shared" si="1956"/>
        <v>COM</v>
      </c>
      <c r="G10169" t="str">
        <f>"JEAN ARAÚJO SANTOS GERMANO (551)"</f>
        <v>JEAN ARAÚJO SANTOS GERMANO (551)</v>
      </c>
      <c r="H10169" t="s">
        <v>309</v>
      </c>
      <c r="I10169" t="str">
        <f>("16/11/2025")</f>
        <v>16/11/2025</v>
      </c>
      <c r="J10169" t="str">
        <f>("16/01/2025")</f>
        <v>16/01/2025</v>
      </c>
      <c r="K10169">
        <v>45974</v>
      </c>
      <c r="N10169">
        <v>106</v>
      </c>
      <c r="O10169" t="s">
        <v>51</v>
      </c>
      <c r="Q10169">
        <v>20</v>
      </c>
      <c r="R10169" t="str">
        <f>"JEAN ARAÚJO SANTOS GERMANO (551)"</f>
        <v>JEAN ARAÚJO SANTOS GERMANO (551)</v>
      </c>
      <c r="S10169" t="s">
        <v>52</v>
      </c>
      <c r="T10169">
        <v>21010</v>
      </c>
      <c r="U10169">
        <v>6583</v>
      </c>
      <c r="V10169" t="s">
        <v>48</v>
      </c>
    </row>
    <row r="10170" spans="1:22">
      <c r="A10170" t="str">
        <f t="shared" si="1954"/>
        <v>13/11/2025</v>
      </c>
      <c r="B10170" t="str">
        <f>"SAÍDA"</f>
        <v>SAÍDA</v>
      </c>
      <c r="C10170" t="str">
        <f>"PIX"</f>
        <v>PIX</v>
      </c>
      <c r="D10170" t="str">
        <f>"24766"</f>
        <v>24766</v>
      </c>
      <c r="E10170" t="str">
        <f>"1"</f>
        <v>1</v>
      </c>
      <c r="F10170" t="str">
        <f t="shared" si="1956"/>
        <v>COM</v>
      </c>
      <c r="G10170" t="str">
        <f>"JEFERSON ANDRADE FERREIRA (165)"</f>
        <v>JEFERSON ANDRADE FERREIRA (165)</v>
      </c>
      <c r="H10170" t="str">
        <f>"Serv.Prest. 24/10/2025 a 02/11/2025 - PIX: CPF - CHAVE: 126.873.296-65"</f>
        <v>Serv.Prest. 24/10/2025 a 02/11/2025 - PIX: CPF - CHAVE: 126.873.296-65</v>
      </c>
      <c r="I10170" t="str">
        <f>("13/11/2025")</f>
        <v>13/11/2025</v>
      </c>
      <c r="J10170" t="str">
        <f>("04/11/2025")</f>
        <v>04/11/2025</v>
      </c>
      <c r="K10170" t="str">
        <f>("13/11/2025")</f>
        <v>13/11/2025</v>
      </c>
      <c r="L10170">
        <v>20</v>
      </c>
      <c r="M10170">
        <v>20</v>
      </c>
      <c r="N10170">
        <v>109</v>
      </c>
      <c r="O10170" t="str">
        <f>"PAGAMENTO DE ENTREGADORES"</f>
        <v>PAGAMENTO DE ENTREGADORES</v>
      </c>
      <c r="P10170">
        <v>20</v>
      </c>
      <c r="S10170" t="str">
        <f>"CAIXA MOVIMENTAÇÃO OPERACIONAL (132)"</f>
        <v>CAIXA MOVIMENTAÇÃO OPERACIONAL (132)</v>
      </c>
      <c r="T10170">
        <v>21011</v>
      </c>
      <c r="U10170">
        <v>25378</v>
      </c>
      <c r="V10170" t="s">
        <v>48</v>
      </c>
    </row>
    <row r="10171" spans="1:22">
      <c r="A10171" t="str">
        <f t="shared" si="1954"/>
        <v>13/11/2025</v>
      </c>
      <c r="B10171" t="str">
        <f>"SAÍDA"</f>
        <v>SAÍDA</v>
      </c>
      <c r="C10171" t="str">
        <f>"PIX"</f>
        <v>PIX</v>
      </c>
      <c r="D10171" t="str">
        <f>"24766"</f>
        <v>24766</v>
      </c>
      <c r="E10171" t="str">
        <f>"1"</f>
        <v>1</v>
      </c>
      <c r="F10171" t="str">
        <f t="shared" si="1956"/>
        <v>COM</v>
      </c>
      <c r="G10171" t="str">
        <f>"JEFERSON ANDRADE FERREIRA (165)"</f>
        <v>JEFERSON ANDRADE FERREIRA (165)</v>
      </c>
      <c r="H10171" t="s">
        <v>2517</v>
      </c>
      <c r="I10171" t="str">
        <f>("13/11/2025")</f>
        <v>13/11/2025</v>
      </c>
      <c r="J10171" t="str">
        <f>("04/11/2025")</f>
        <v>04/11/2025</v>
      </c>
      <c r="K10171">
        <v>45974</v>
      </c>
      <c r="N10171">
        <v>109</v>
      </c>
      <c r="O10171" t="s">
        <v>24</v>
      </c>
      <c r="Q10171">
        <v>12.14</v>
      </c>
      <c r="R10171" t="str">
        <f>"FARMÁCIA INDIANA LJ 101 (10043)"</f>
        <v>FARMÁCIA INDIANA LJ 101 (10043)</v>
      </c>
      <c r="S10171" t="s">
        <v>48</v>
      </c>
      <c r="T10171">
        <v>21011</v>
      </c>
      <c r="U10171">
        <v>25378</v>
      </c>
      <c r="V10171" t="s">
        <v>48</v>
      </c>
    </row>
    <row r="10172" spans="1:22">
      <c r="A10172" t="str">
        <f t="shared" si="1954"/>
        <v>13/11/2025</v>
      </c>
      <c r="B10172" t="str">
        <f>"SAÍDA"</f>
        <v>SAÍDA</v>
      </c>
      <c r="C10172" t="str">
        <f>"PIX"</f>
        <v>PIX</v>
      </c>
      <c r="D10172" t="str">
        <f>"24766"</f>
        <v>24766</v>
      </c>
      <c r="E10172" t="str">
        <f>"1"</f>
        <v>1</v>
      </c>
      <c r="F10172" t="str">
        <f t="shared" si="1956"/>
        <v>COM</v>
      </c>
      <c r="G10172" t="str">
        <f>"JEFERSON ANDRADE FERREIRA (165)"</f>
        <v>JEFERSON ANDRADE FERREIRA (165)</v>
      </c>
      <c r="H10172" t="s">
        <v>2517</v>
      </c>
      <c r="I10172" t="str">
        <f>("13/11/2025")</f>
        <v>13/11/2025</v>
      </c>
      <c r="J10172" t="str">
        <f>("04/11/2025")</f>
        <v>04/11/2025</v>
      </c>
      <c r="K10172">
        <v>45974</v>
      </c>
      <c r="N10172">
        <v>109</v>
      </c>
      <c r="O10172" t="s">
        <v>24</v>
      </c>
      <c r="Q10172">
        <v>7.86</v>
      </c>
      <c r="R10172" t="str">
        <f>"FARMÁCIA INDIANA LJ 220 (10092)"</f>
        <v>FARMÁCIA INDIANA LJ 220 (10092)</v>
      </c>
      <c r="S10172" t="s">
        <v>48</v>
      </c>
      <c r="T10172">
        <v>21011</v>
      </c>
      <c r="U10172">
        <v>25378</v>
      </c>
      <c r="V10172" t="s">
        <v>48</v>
      </c>
    </row>
    <row r="10173" spans="1:22">
      <c r="A10173" t="str">
        <f t="shared" si="1954"/>
        <v>13/11/2025</v>
      </c>
      <c r="B10173" t="str">
        <f>"ENTRADA"</f>
        <v>ENTRADA</v>
      </c>
      <c r="C10173" t="str">
        <f>"DINHEIRO"</f>
        <v>DINHEIRO</v>
      </c>
      <c r="D10173" t="str">
        <f>"09"</f>
        <v>09</v>
      </c>
      <c r="E10173" t="str">
        <f>"35"</f>
        <v>35</v>
      </c>
      <c r="F10173" t="str">
        <f t="shared" si="1956"/>
        <v>COM</v>
      </c>
      <c r="G10173" t="str">
        <f>"JEFERSON ANDRADE FERREIRA (165)"</f>
        <v>JEFERSON ANDRADE FERREIRA (165)</v>
      </c>
      <c r="H10173" t="str">
        <f>"DESCONTO COTA COOPERADO"</f>
        <v>DESCONTO COTA COOPERADO</v>
      </c>
      <c r="I10173" t="str">
        <f>("16/11/2025")</f>
        <v>16/11/2025</v>
      </c>
      <c r="J10173" t="str">
        <f>("16/01/2025")</f>
        <v>16/01/2025</v>
      </c>
      <c r="K10173" t="str">
        <f>("13/11/2025")</f>
        <v>13/11/2025</v>
      </c>
      <c r="L10173">
        <v>20</v>
      </c>
      <c r="M10173">
        <v>20</v>
      </c>
      <c r="N10173">
        <v>106</v>
      </c>
      <c r="O10173" t="str">
        <f>"ENTRADA DE CAPITAL"</f>
        <v>ENTRADA DE CAPITAL</v>
      </c>
      <c r="P10173">
        <v>20</v>
      </c>
      <c r="S10173" t="str">
        <f>"ENTRADA DE CAPITAL (106)"</f>
        <v>ENTRADA DE CAPITAL (106)</v>
      </c>
      <c r="T10173">
        <v>21012</v>
      </c>
      <c r="U10173">
        <v>6625</v>
      </c>
      <c r="V10173" t="s">
        <v>48</v>
      </c>
    </row>
    <row r="10174" spans="1:22">
      <c r="A10174" t="str">
        <f t="shared" si="1954"/>
        <v>13/11/2025</v>
      </c>
      <c r="B10174" t="str">
        <f>"ENTRADA"</f>
        <v>ENTRADA</v>
      </c>
      <c r="C10174" t="str">
        <f>"DINHEIRO"</f>
        <v>DINHEIRO</v>
      </c>
      <c r="D10174" t="str">
        <f>"09"</f>
        <v>09</v>
      </c>
      <c r="E10174" t="str">
        <f>"35"</f>
        <v>35</v>
      </c>
      <c r="F10174" t="str">
        <f t="shared" si="1956"/>
        <v>COM</v>
      </c>
      <c r="G10174" t="str">
        <f>"JEFERSON ANDRADE FERREIRA (165)"</f>
        <v>JEFERSON ANDRADE FERREIRA (165)</v>
      </c>
      <c r="H10174" t="s">
        <v>309</v>
      </c>
      <c r="I10174" t="str">
        <f>("16/11/2025")</f>
        <v>16/11/2025</v>
      </c>
      <c r="J10174" t="str">
        <f>("16/01/2025")</f>
        <v>16/01/2025</v>
      </c>
      <c r="K10174">
        <v>45974</v>
      </c>
      <c r="N10174">
        <v>106</v>
      </c>
      <c r="O10174" t="s">
        <v>51</v>
      </c>
      <c r="Q10174">
        <v>20</v>
      </c>
      <c r="R10174" t="str">
        <f>"JEFERSON ANDRADE FERREIRA (165)"</f>
        <v>JEFERSON ANDRADE FERREIRA (165)</v>
      </c>
      <c r="S10174" t="s">
        <v>52</v>
      </c>
      <c r="T10174">
        <v>21012</v>
      </c>
      <c r="U10174">
        <v>6625</v>
      </c>
      <c r="V10174" t="s">
        <v>48</v>
      </c>
    </row>
    <row r="10175" spans="1:22">
      <c r="A10175" t="str">
        <f t="shared" si="1954"/>
        <v>13/11/2025</v>
      </c>
      <c r="B10175" t="str">
        <f>"SAÍDA"</f>
        <v>SAÍDA</v>
      </c>
      <c r="C10175" t="str">
        <f>"PIX"</f>
        <v>PIX</v>
      </c>
      <c r="D10175" t="str">
        <f>"24767"</f>
        <v>24767</v>
      </c>
      <c r="E10175" t="str">
        <f>"1"</f>
        <v>1</v>
      </c>
      <c r="F10175" t="str">
        <f t="shared" si="1956"/>
        <v>COM</v>
      </c>
      <c r="G10175" t="str">
        <f>"JEFERSON ARAÚJO SANTOS GERMANO (180)"</f>
        <v>JEFERSON ARAÚJO SANTOS GERMANO (180)</v>
      </c>
      <c r="H10175" t="str">
        <f>"Serv.Prest. 24/10/2025 a 02/11/2025 - PIX: CPF - CHAVE: 023.645.626-19"</f>
        <v>Serv.Prest. 24/10/2025 a 02/11/2025 - PIX: CPF - CHAVE: 023.645.626-19</v>
      </c>
      <c r="I10175" t="str">
        <f>("13/11/2025")</f>
        <v>13/11/2025</v>
      </c>
      <c r="J10175" t="str">
        <f>("04/11/2025")</f>
        <v>04/11/2025</v>
      </c>
      <c r="K10175" t="str">
        <f>("13/11/2025")</f>
        <v>13/11/2025</v>
      </c>
      <c r="L10175">
        <v>20</v>
      </c>
      <c r="M10175">
        <v>20</v>
      </c>
      <c r="N10175">
        <v>109</v>
      </c>
      <c r="O10175" t="str">
        <f>"PAGAMENTO DE ENTREGADORES"</f>
        <v>PAGAMENTO DE ENTREGADORES</v>
      </c>
      <c r="P10175">
        <v>20</v>
      </c>
      <c r="S10175" t="str">
        <f>"CAIXA MOVIMENTAÇÃO OPERACIONAL (132)"</f>
        <v>CAIXA MOVIMENTAÇÃO OPERACIONAL (132)</v>
      </c>
      <c r="T10175">
        <v>21013</v>
      </c>
      <c r="U10175">
        <v>25379</v>
      </c>
      <c r="V10175" t="s">
        <v>48</v>
      </c>
    </row>
    <row r="10176" spans="1:22">
      <c r="A10176" t="str">
        <f t="shared" si="1954"/>
        <v>13/11/2025</v>
      </c>
      <c r="B10176" t="str">
        <f>"SAÍDA"</f>
        <v>SAÍDA</v>
      </c>
      <c r="C10176" t="str">
        <f>"PIX"</f>
        <v>PIX</v>
      </c>
      <c r="D10176" t="str">
        <f>"24767"</f>
        <v>24767</v>
      </c>
      <c r="E10176" t="str">
        <f>"1"</f>
        <v>1</v>
      </c>
      <c r="F10176" t="str">
        <f t="shared" si="1956"/>
        <v>COM</v>
      </c>
      <c r="G10176" t="str">
        <f>"JEFERSON ARAÚJO SANTOS GERMANO (180)"</f>
        <v>JEFERSON ARAÚJO SANTOS GERMANO (180)</v>
      </c>
      <c r="H10176" t="s">
        <v>2852</v>
      </c>
      <c r="I10176" t="str">
        <f>("13/11/2025")</f>
        <v>13/11/2025</v>
      </c>
      <c r="J10176" t="str">
        <f>("04/11/2025")</f>
        <v>04/11/2025</v>
      </c>
      <c r="K10176">
        <v>45974</v>
      </c>
      <c r="N10176">
        <v>109</v>
      </c>
      <c r="O10176" t="s">
        <v>24</v>
      </c>
      <c r="Q10176">
        <v>20</v>
      </c>
      <c r="R10176" t="str">
        <f>"FARMÁCIA INDIANA LJ 142 (10066)"</f>
        <v>FARMÁCIA INDIANA LJ 142 (10066)</v>
      </c>
      <c r="S10176" t="s">
        <v>48</v>
      </c>
      <c r="T10176">
        <v>21013</v>
      </c>
      <c r="U10176">
        <v>25379</v>
      </c>
      <c r="V10176" t="s">
        <v>48</v>
      </c>
    </row>
    <row r="10177" spans="1:22">
      <c r="A10177" t="str">
        <f t="shared" si="1954"/>
        <v>13/11/2025</v>
      </c>
      <c r="B10177" t="str">
        <f>"ENTRADA"</f>
        <v>ENTRADA</v>
      </c>
      <c r="C10177" t="str">
        <f>"DINHEIRO"</f>
        <v>DINHEIRO</v>
      </c>
      <c r="D10177" t="str">
        <f>"09"</f>
        <v>09</v>
      </c>
      <c r="E10177" t="str">
        <f>"35"</f>
        <v>35</v>
      </c>
      <c r="F10177" t="str">
        <f t="shared" si="1956"/>
        <v>COM</v>
      </c>
      <c r="G10177" t="str">
        <f>"JEFERSON ARAÚJO SANTOS GERMANO (180)"</f>
        <v>JEFERSON ARAÚJO SANTOS GERMANO (180)</v>
      </c>
      <c r="H10177" t="str">
        <f>"DESCONTO COTA COOPERADO"</f>
        <v>DESCONTO COTA COOPERADO</v>
      </c>
      <c r="I10177" t="str">
        <f>("16/11/2025")</f>
        <v>16/11/2025</v>
      </c>
      <c r="J10177" t="str">
        <f>("16/01/2025")</f>
        <v>16/01/2025</v>
      </c>
      <c r="K10177" t="str">
        <f>("13/11/2025")</f>
        <v>13/11/2025</v>
      </c>
      <c r="L10177">
        <v>20</v>
      </c>
      <c r="M10177">
        <v>20</v>
      </c>
      <c r="N10177">
        <v>106</v>
      </c>
      <c r="O10177" t="str">
        <f>"ENTRADA DE CAPITAL"</f>
        <v>ENTRADA DE CAPITAL</v>
      </c>
      <c r="P10177">
        <v>20</v>
      </c>
      <c r="S10177" t="str">
        <f>"ENTRADA DE CAPITAL (106)"</f>
        <v>ENTRADA DE CAPITAL (106)</v>
      </c>
      <c r="T10177">
        <v>21014</v>
      </c>
      <c r="U10177">
        <v>6643</v>
      </c>
      <c r="V10177" t="s">
        <v>48</v>
      </c>
    </row>
    <row r="10178" spans="1:22">
      <c r="A10178" t="str">
        <f t="shared" si="1954"/>
        <v>13/11/2025</v>
      </c>
      <c r="B10178" t="str">
        <f>"ENTRADA"</f>
        <v>ENTRADA</v>
      </c>
      <c r="C10178" t="str">
        <f>"DINHEIRO"</f>
        <v>DINHEIRO</v>
      </c>
      <c r="D10178" t="str">
        <f>"09"</f>
        <v>09</v>
      </c>
      <c r="E10178" t="str">
        <f>"35"</f>
        <v>35</v>
      </c>
      <c r="F10178" t="str">
        <f t="shared" si="1956"/>
        <v>COM</v>
      </c>
      <c r="G10178" t="str">
        <f>"JEFERSON ARAÚJO SANTOS GERMANO (180)"</f>
        <v>JEFERSON ARAÚJO SANTOS GERMANO (180)</v>
      </c>
      <c r="H10178" t="s">
        <v>309</v>
      </c>
      <c r="I10178" t="str">
        <f>("16/11/2025")</f>
        <v>16/11/2025</v>
      </c>
      <c r="J10178" t="str">
        <f>("16/01/2025")</f>
        <v>16/01/2025</v>
      </c>
      <c r="K10178">
        <v>45974</v>
      </c>
      <c r="N10178">
        <v>106</v>
      </c>
      <c r="O10178" t="s">
        <v>51</v>
      </c>
      <c r="Q10178">
        <v>20</v>
      </c>
      <c r="R10178" t="str">
        <f>"JEFERSON ARAÚJO SANTOS GERMANO (180)"</f>
        <v>JEFERSON ARAÚJO SANTOS GERMANO (180)</v>
      </c>
      <c r="S10178" t="s">
        <v>52</v>
      </c>
      <c r="T10178">
        <v>21014</v>
      </c>
      <c r="U10178">
        <v>6643</v>
      </c>
      <c r="V10178" t="s">
        <v>48</v>
      </c>
    </row>
    <row r="10179" spans="1:22">
      <c r="A10179" t="str">
        <f t="shared" si="1954"/>
        <v>13/11/2025</v>
      </c>
      <c r="B10179" t="str">
        <f>"ENTRADA"</f>
        <v>ENTRADA</v>
      </c>
      <c r="C10179" t="str">
        <f>"DINHEIRO"</f>
        <v>DINHEIRO</v>
      </c>
      <c r="D10179" t="str">
        <f>"910"</f>
        <v>910</v>
      </c>
      <c r="E10179" t="str">
        <f>"2"</f>
        <v>2</v>
      </c>
      <c r="F10179" t="str">
        <f t="shared" si="1956"/>
        <v>COM</v>
      </c>
      <c r="G10179" t="str">
        <f>"JEFERSON DE JESUS SANTOS (910)"</f>
        <v>JEFERSON DE JESUS SANTOS (910)</v>
      </c>
      <c r="H10179" t="str">
        <f>"COTAS COOPERATIVA"</f>
        <v>COTAS COOPERATIVA</v>
      </c>
      <c r="I10179" t="str">
        <f>("10/11/2025")</f>
        <v>10/11/2025</v>
      </c>
      <c r="J10179" t="str">
        <f>("12/09/2025")</f>
        <v>12/09/2025</v>
      </c>
      <c r="K10179" t="str">
        <f>("13/11/2025")</f>
        <v>13/11/2025</v>
      </c>
      <c r="L10179">
        <v>20</v>
      </c>
      <c r="M10179">
        <v>20</v>
      </c>
      <c r="N10179">
        <v>106</v>
      </c>
      <c r="O10179" t="str">
        <f>"ENTRADA DE CAPITAL"</f>
        <v>ENTRADA DE CAPITAL</v>
      </c>
      <c r="P10179">
        <v>20</v>
      </c>
      <c r="S10179" t="str">
        <f>"ENTRADA DE CAPITAL (106)"</f>
        <v>ENTRADA DE CAPITAL (106)</v>
      </c>
      <c r="T10179">
        <v>21015</v>
      </c>
      <c r="U10179">
        <v>23323</v>
      </c>
      <c r="V10179" t="s">
        <v>48</v>
      </c>
    </row>
    <row r="10180" spans="1:22">
      <c r="A10180" t="str">
        <f t="shared" si="1954"/>
        <v>13/11/2025</v>
      </c>
      <c r="B10180" t="str">
        <f>"ENTRADA"</f>
        <v>ENTRADA</v>
      </c>
      <c r="C10180" t="str">
        <f>"DINHEIRO"</f>
        <v>DINHEIRO</v>
      </c>
      <c r="D10180" t="str">
        <f>"910"</f>
        <v>910</v>
      </c>
      <c r="E10180" t="str">
        <f>"2"</f>
        <v>2</v>
      </c>
      <c r="F10180" t="str">
        <f t="shared" si="1956"/>
        <v>COM</v>
      </c>
      <c r="G10180" t="str">
        <f>"JEFERSON DE JESUS SANTOS (910)"</f>
        <v>JEFERSON DE JESUS SANTOS (910)</v>
      </c>
      <c r="H10180" t="s">
        <v>318</v>
      </c>
      <c r="I10180" t="str">
        <f>("10/11/2025")</f>
        <v>10/11/2025</v>
      </c>
      <c r="J10180" t="str">
        <f>("12/09/2025")</f>
        <v>12/09/2025</v>
      </c>
      <c r="K10180">
        <v>45974</v>
      </c>
      <c r="N10180">
        <v>106</v>
      </c>
      <c r="O10180" t="s">
        <v>51</v>
      </c>
      <c r="Q10180">
        <v>20</v>
      </c>
      <c r="R10180" t="str">
        <f>"JEFERSON DE JESUS SANTOS (910)"</f>
        <v>JEFERSON DE JESUS SANTOS (910)</v>
      </c>
      <c r="S10180" t="s">
        <v>52</v>
      </c>
      <c r="T10180">
        <v>21015</v>
      </c>
      <c r="U10180">
        <v>23323</v>
      </c>
      <c r="V10180" t="s">
        <v>48</v>
      </c>
    </row>
    <row r="10181" spans="1:22">
      <c r="A10181" t="str">
        <f t="shared" si="1954"/>
        <v>13/11/2025</v>
      </c>
      <c r="B10181" t="str">
        <f>"SAÍDA"</f>
        <v>SAÍDA</v>
      </c>
      <c r="C10181" t="str">
        <f>"PIX"</f>
        <v>PIX</v>
      </c>
      <c r="D10181" t="str">
        <f>"24768"</f>
        <v>24768</v>
      </c>
      <c r="E10181" t="str">
        <f>"1"</f>
        <v>1</v>
      </c>
      <c r="F10181" t="str">
        <f t="shared" si="1956"/>
        <v>COM</v>
      </c>
      <c r="G10181" t="str">
        <f>"JEFERSON DE JESUS SANTOS (910)"</f>
        <v>JEFERSON DE JESUS SANTOS (910)</v>
      </c>
      <c r="H10181" t="str">
        <f>"Serv.Prest. 24/10/2025 a 02/11/2025 - PIX: CELULAR - CHAVE: (33) 98836-6015"</f>
        <v>Serv.Prest. 24/10/2025 a 02/11/2025 - PIX: CELULAR - CHAVE: (33) 98836-6015</v>
      </c>
      <c r="I10181" t="str">
        <f>("13/11/2025")</f>
        <v>13/11/2025</v>
      </c>
      <c r="J10181" t="str">
        <f>("04/11/2025")</f>
        <v>04/11/2025</v>
      </c>
      <c r="K10181" t="str">
        <f>("13/11/2025")</f>
        <v>13/11/2025</v>
      </c>
      <c r="L10181">
        <v>20</v>
      </c>
      <c r="M10181">
        <v>20</v>
      </c>
      <c r="N10181">
        <v>109</v>
      </c>
      <c r="O10181" t="str">
        <f>"PAGAMENTO DE ENTREGADORES"</f>
        <v>PAGAMENTO DE ENTREGADORES</v>
      </c>
      <c r="P10181">
        <v>20</v>
      </c>
      <c r="S10181" t="str">
        <f>"CAIXA MOVIMENTAÇÃO OPERACIONAL (132)"</f>
        <v>CAIXA MOVIMENTAÇÃO OPERACIONAL (132)</v>
      </c>
      <c r="T10181">
        <v>21016</v>
      </c>
      <c r="U10181">
        <v>25380</v>
      </c>
      <c r="V10181" t="s">
        <v>48</v>
      </c>
    </row>
    <row r="10182" spans="1:22">
      <c r="A10182" t="str">
        <f t="shared" si="1954"/>
        <v>13/11/2025</v>
      </c>
      <c r="B10182" t="str">
        <f>"SAÍDA"</f>
        <v>SAÍDA</v>
      </c>
      <c r="C10182" t="str">
        <f>"PIX"</f>
        <v>PIX</v>
      </c>
      <c r="D10182" t="str">
        <f>"24768"</f>
        <v>24768</v>
      </c>
      <c r="E10182" t="str">
        <f>"1"</f>
        <v>1</v>
      </c>
      <c r="F10182" t="str">
        <f t="shared" si="1956"/>
        <v>COM</v>
      </c>
      <c r="G10182" t="str">
        <f>"JEFERSON DE JESUS SANTOS (910)"</f>
        <v>JEFERSON DE JESUS SANTOS (910)</v>
      </c>
      <c r="H10182" t="s">
        <v>2853</v>
      </c>
      <c r="I10182" t="str">
        <f>("13/11/2025")</f>
        <v>13/11/2025</v>
      </c>
      <c r="J10182" t="str">
        <f>("04/11/2025")</f>
        <v>04/11/2025</v>
      </c>
      <c r="K10182">
        <v>45974</v>
      </c>
      <c r="N10182">
        <v>109</v>
      </c>
      <c r="O10182" t="s">
        <v>24</v>
      </c>
      <c r="Q10182">
        <v>20</v>
      </c>
      <c r="R10182" t="str">
        <f>"FARMÁCIA INDIANA LJ 07 (10007)"</f>
        <v>FARMÁCIA INDIANA LJ 07 (10007)</v>
      </c>
      <c r="S10182" t="s">
        <v>48</v>
      </c>
      <c r="T10182">
        <v>21016</v>
      </c>
      <c r="U10182">
        <v>25380</v>
      </c>
      <c r="V10182" t="s">
        <v>48</v>
      </c>
    </row>
    <row r="10183" spans="1:22">
      <c r="A10183" t="str">
        <f t="shared" si="1954"/>
        <v>13/11/2025</v>
      </c>
      <c r="B10183" t="str">
        <f>"ENTRADA"</f>
        <v>ENTRADA</v>
      </c>
      <c r="C10183" t="str">
        <f>"DINHEIRO"</f>
        <v>DINHEIRO</v>
      </c>
      <c r="D10183" t="str">
        <f>"837"</f>
        <v>837</v>
      </c>
      <c r="E10183" t="str">
        <f>"4"</f>
        <v>4</v>
      </c>
      <c r="F10183" t="str">
        <f t="shared" si="1956"/>
        <v>COM</v>
      </c>
      <c r="G10183" t="str">
        <f>"JESSICA BRAHOLKA (837)"</f>
        <v>JESSICA BRAHOLKA (837)</v>
      </c>
      <c r="H10183" t="str">
        <f>"COTA COOPERATIVA"</f>
        <v>COTA COOPERATIVA</v>
      </c>
      <c r="I10183" t="str">
        <f>("10/11/2025")</f>
        <v>10/11/2025</v>
      </c>
      <c r="J10183" t="str">
        <f>("31/05/2025")</f>
        <v>31/05/2025</v>
      </c>
      <c r="K10183" t="str">
        <f>("13/11/2025")</f>
        <v>13/11/2025</v>
      </c>
      <c r="L10183">
        <v>20</v>
      </c>
      <c r="M10183">
        <v>20</v>
      </c>
      <c r="N10183">
        <v>106</v>
      </c>
      <c r="O10183" t="str">
        <f>"ENTRADA DE CAPITAL"</f>
        <v>ENTRADA DE CAPITAL</v>
      </c>
      <c r="P10183">
        <v>20</v>
      </c>
      <c r="S10183" t="str">
        <f>"ENTRADA DE CAPITAL (106)"</f>
        <v>ENTRADA DE CAPITAL (106)</v>
      </c>
      <c r="T10183">
        <v>21017</v>
      </c>
      <c r="U10183">
        <v>19741</v>
      </c>
      <c r="V10183" t="s">
        <v>48</v>
      </c>
    </row>
    <row r="10184" spans="1:22">
      <c r="A10184" t="str">
        <f t="shared" si="1954"/>
        <v>13/11/2025</v>
      </c>
      <c r="B10184" t="str">
        <f>"ENTRADA"</f>
        <v>ENTRADA</v>
      </c>
      <c r="C10184" t="str">
        <f>"DINHEIRO"</f>
        <v>DINHEIRO</v>
      </c>
      <c r="D10184" t="str">
        <f>"837"</f>
        <v>837</v>
      </c>
      <c r="E10184" t="str">
        <f>"4"</f>
        <v>4</v>
      </c>
      <c r="F10184" t="str">
        <f t="shared" si="1956"/>
        <v>COM</v>
      </c>
      <c r="G10184" t="str">
        <f>"JESSICA BRAHOLKA (837)"</f>
        <v>JESSICA BRAHOLKA (837)</v>
      </c>
      <c r="H10184" t="s">
        <v>50</v>
      </c>
      <c r="I10184" t="str">
        <f>("10/11/2025")</f>
        <v>10/11/2025</v>
      </c>
      <c r="J10184" t="str">
        <f>("31/05/2025")</f>
        <v>31/05/2025</v>
      </c>
      <c r="K10184">
        <v>45974</v>
      </c>
      <c r="N10184">
        <v>106</v>
      </c>
      <c r="O10184" t="s">
        <v>51</v>
      </c>
      <c r="Q10184">
        <v>20</v>
      </c>
      <c r="R10184" t="str">
        <f>"JESSICA BRAHOLKA (837)"</f>
        <v>JESSICA BRAHOLKA (837)</v>
      </c>
      <c r="S10184" t="s">
        <v>52</v>
      </c>
      <c r="T10184">
        <v>21017</v>
      </c>
      <c r="U10184">
        <v>19741</v>
      </c>
      <c r="V10184" t="s">
        <v>48</v>
      </c>
    </row>
    <row r="10185" spans="1:22">
      <c r="A10185" t="str">
        <f t="shared" si="1954"/>
        <v>13/11/2025</v>
      </c>
      <c r="B10185" t="str">
        <f>"SAÍDA"</f>
        <v>SAÍDA</v>
      </c>
      <c r="C10185" t="str">
        <f>"PIX"</f>
        <v>PIX</v>
      </c>
      <c r="D10185" t="str">
        <f>"25059"</f>
        <v>25059</v>
      </c>
      <c r="E10185" t="str">
        <f>"1"</f>
        <v>1</v>
      </c>
      <c r="F10185" t="str">
        <f t="shared" si="1956"/>
        <v>COM</v>
      </c>
      <c r="G10185" t="str">
        <f>"JESSICA BRAHOLKA (837)"</f>
        <v>JESSICA BRAHOLKA (837)</v>
      </c>
      <c r="H10185" t="str">
        <f>"Serv.Prest. 03/11/2025 a 09/11/2025 - PIX: CPF - CHAVE: 124.575.099-20"</f>
        <v>Serv.Prest. 03/11/2025 a 09/11/2025 - PIX: CPF - CHAVE: 124.575.099-20</v>
      </c>
      <c r="I10185" t="str">
        <f>("13/11/2025")</f>
        <v>13/11/2025</v>
      </c>
      <c r="J10185" t="str">
        <f>("10/11/2025")</f>
        <v>10/11/2025</v>
      </c>
      <c r="K10185" t="str">
        <f>("13/11/2025")</f>
        <v>13/11/2025</v>
      </c>
      <c r="L10185">
        <v>20</v>
      </c>
      <c r="M10185">
        <v>20</v>
      </c>
      <c r="N10185">
        <v>109</v>
      </c>
      <c r="O10185" t="str">
        <f>"PAGAMENTO DE ENTREGADORES"</f>
        <v>PAGAMENTO DE ENTREGADORES</v>
      </c>
      <c r="P10185">
        <v>20</v>
      </c>
      <c r="S10185" t="str">
        <f>"CAIXA MOVIMENTAÇÃO OPERACIONAL (132)"</f>
        <v>CAIXA MOVIMENTAÇÃO OPERACIONAL (132)</v>
      </c>
      <c r="T10185">
        <v>21018</v>
      </c>
      <c r="U10185">
        <v>25381</v>
      </c>
      <c r="V10185" t="s">
        <v>48</v>
      </c>
    </row>
    <row r="10186" spans="1:22">
      <c r="A10186" t="str">
        <f t="shared" si="1954"/>
        <v>13/11/2025</v>
      </c>
      <c r="B10186" t="str">
        <f>"SAÍDA"</f>
        <v>SAÍDA</v>
      </c>
      <c r="C10186" t="str">
        <f>"PIX"</f>
        <v>PIX</v>
      </c>
      <c r="D10186" t="str">
        <f>"25059"</f>
        <v>25059</v>
      </c>
      <c r="E10186" t="str">
        <f>"1"</f>
        <v>1</v>
      </c>
      <c r="F10186" t="str">
        <f t="shared" si="1956"/>
        <v>COM</v>
      </c>
      <c r="G10186" t="str">
        <f>"JESSICA BRAHOLKA (837)"</f>
        <v>JESSICA BRAHOLKA (837)</v>
      </c>
      <c r="H10186" t="s">
        <v>2854</v>
      </c>
      <c r="I10186" t="str">
        <f>("13/11/2025")</f>
        <v>13/11/2025</v>
      </c>
      <c r="J10186" t="str">
        <f>("10/11/2025")</f>
        <v>10/11/2025</v>
      </c>
      <c r="K10186">
        <v>45974</v>
      </c>
      <c r="N10186">
        <v>109</v>
      </c>
      <c r="O10186" t="s">
        <v>24</v>
      </c>
      <c r="Q10186">
        <v>20</v>
      </c>
      <c r="R10186" t="str">
        <f>"JAL FARMACIA E DROGARIA LJ 2 (10138)"</f>
        <v>JAL FARMACIA E DROGARIA LJ 2 (10138)</v>
      </c>
      <c r="S10186" t="s">
        <v>48</v>
      </c>
      <c r="T10186">
        <v>21018</v>
      </c>
      <c r="U10186">
        <v>25381</v>
      </c>
      <c r="V10186" t="s">
        <v>48</v>
      </c>
    </row>
    <row r="10187" spans="1:22">
      <c r="A10187" t="str">
        <f t="shared" si="1954"/>
        <v>13/11/2025</v>
      </c>
      <c r="B10187" t="str">
        <f>"SAÍDA"</f>
        <v>SAÍDA</v>
      </c>
      <c r="C10187" t="str">
        <f>"PIX"</f>
        <v>PIX</v>
      </c>
      <c r="D10187" t="str">
        <f>"24769"</f>
        <v>24769</v>
      </c>
      <c r="E10187" t="str">
        <f>"1"</f>
        <v>1</v>
      </c>
      <c r="F10187" t="str">
        <f t="shared" si="1956"/>
        <v>COM</v>
      </c>
      <c r="G10187" t="str">
        <f>"JHONANTAN LACERDA DE JESUS (142)"</f>
        <v>JHONANTAN LACERDA DE JESUS (142)</v>
      </c>
      <c r="H10187" t="str">
        <f>"Serv.Prest. 24/10/2025 a 02/11/2025 - PIX: E-MAIL - CHAVE: jhonantanlacerda@gmail.com"</f>
        <v>Serv.Prest. 24/10/2025 a 02/11/2025 - PIX: E-MAIL - CHAVE: jhonantanlacerda@gmail.com</v>
      </c>
      <c r="I10187" t="str">
        <f>("13/11/2025")</f>
        <v>13/11/2025</v>
      </c>
      <c r="J10187" t="str">
        <f>("04/11/2025")</f>
        <v>04/11/2025</v>
      </c>
      <c r="K10187" t="str">
        <f>("13/11/2025")</f>
        <v>13/11/2025</v>
      </c>
      <c r="L10187">
        <v>20</v>
      </c>
      <c r="M10187">
        <v>20</v>
      </c>
      <c r="N10187">
        <v>109</v>
      </c>
      <c r="O10187" t="str">
        <f>"PAGAMENTO DE ENTREGADORES"</f>
        <v>PAGAMENTO DE ENTREGADORES</v>
      </c>
      <c r="P10187">
        <v>20</v>
      </c>
      <c r="S10187" t="str">
        <f>"CAIXA MOVIMENTAÇÃO OPERACIONAL (132)"</f>
        <v>CAIXA MOVIMENTAÇÃO OPERACIONAL (132)</v>
      </c>
      <c r="T10187">
        <v>21019</v>
      </c>
      <c r="U10187">
        <v>25382</v>
      </c>
      <c r="V10187" t="s">
        <v>48</v>
      </c>
    </row>
    <row r="10188" spans="1:22">
      <c r="A10188" t="str">
        <f t="shared" si="1954"/>
        <v>13/11/2025</v>
      </c>
      <c r="B10188" t="str">
        <f>"SAÍDA"</f>
        <v>SAÍDA</v>
      </c>
      <c r="C10188" t="str">
        <f>"PIX"</f>
        <v>PIX</v>
      </c>
      <c r="D10188" t="str">
        <f>"24769"</f>
        <v>24769</v>
      </c>
      <c r="E10188" t="str">
        <f>"1"</f>
        <v>1</v>
      </c>
      <c r="F10188" t="str">
        <f t="shared" si="1956"/>
        <v>COM</v>
      </c>
      <c r="G10188" t="str">
        <f>"JHONANTAN LACERDA DE JESUS (142)"</f>
        <v>JHONANTAN LACERDA DE JESUS (142)</v>
      </c>
      <c r="H10188" t="s">
        <v>2855</v>
      </c>
      <c r="I10188" t="str">
        <f>("13/11/2025")</f>
        <v>13/11/2025</v>
      </c>
      <c r="J10188" t="str">
        <f>("04/11/2025")</f>
        <v>04/11/2025</v>
      </c>
      <c r="K10188">
        <v>45974</v>
      </c>
      <c r="N10188">
        <v>109</v>
      </c>
      <c r="O10188" t="s">
        <v>24</v>
      </c>
      <c r="Q10188">
        <v>20</v>
      </c>
      <c r="R10188" t="str">
        <f>"FARMÁCIA INDIANA LJ 142 (10066)"</f>
        <v>FARMÁCIA INDIANA LJ 142 (10066)</v>
      </c>
      <c r="S10188" t="s">
        <v>48</v>
      </c>
      <c r="T10188">
        <v>21019</v>
      </c>
      <c r="U10188">
        <v>25382</v>
      </c>
      <c r="V10188" t="s">
        <v>48</v>
      </c>
    </row>
    <row r="10189" spans="1:22">
      <c r="A10189" t="str">
        <f t="shared" si="1954"/>
        <v>13/11/2025</v>
      </c>
      <c r="B10189" t="str">
        <f>"ENTRADA"</f>
        <v>ENTRADA</v>
      </c>
      <c r="C10189" t="str">
        <f>"DINHEIRO"</f>
        <v>DINHEIRO</v>
      </c>
      <c r="D10189" t="str">
        <f>"15"</f>
        <v>15</v>
      </c>
      <c r="E10189" t="str">
        <f>"35"</f>
        <v>35</v>
      </c>
      <c r="F10189" t="str">
        <f t="shared" si="1956"/>
        <v>COM</v>
      </c>
      <c r="G10189" t="str">
        <f>"JHONANTAN LACERDA DE JESUS (142)"</f>
        <v>JHONANTAN LACERDA DE JESUS (142)</v>
      </c>
      <c r="H10189" t="str">
        <f>"DESCONTO COTA COOPERADO"</f>
        <v>DESCONTO COTA COOPERADO</v>
      </c>
      <c r="I10189" t="str">
        <f>("16/11/2025")</f>
        <v>16/11/2025</v>
      </c>
      <c r="J10189" t="str">
        <f>("16/01/2025")</f>
        <v>16/01/2025</v>
      </c>
      <c r="K10189" t="str">
        <f>("13/11/2025")</f>
        <v>13/11/2025</v>
      </c>
      <c r="L10189">
        <v>20</v>
      </c>
      <c r="M10189">
        <v>20</v>
      </c>
      <c r="N10189">
        <v>106</v>
      </c>
      <c r="O10189" t="str">
        <f>"ENTRADA DE CAPITAL"</f>
        <v>ENTRADA DE CAPITAL</v>
      </c>
      <c r="P10189">
        <v>20</v>
      </c>
      <c r="S10189" t="str">
        <f>"ENTRADA DE CAPITAL (106)"</f>
        <v>ENTRADA DE CAPITAL (106)</v>
      </c>
      <c r="T10189">
        <v>21020</v>
      </c>
      <c r="U10189">
        <v>6697</v>
      </c>
      <c r="V10189" t="s">
        <v>48</v>
      </c>
    </row>
    <row r="10190" spans="1:22">
      <c r="A10190" t="str">
        <f t="shared" si="1954"/>
        <v>13/11/2025</v>
      </c>
      <c r="B10190" t="str">
        <f>"ENTRADA"</f>
        <v>ENTRADA</v>
      </c>
      <c r="C10190" t="str">
        <f>"DINHEIRO"</f>
        <v>DINHEIRO</v>
      </c>
      <c r="D10190" t="str">
        <f>"15"</f>
        <v>15</v>
      </c>
      <c r="E10190" t="str">
        <f>"35"</f>
        <v>35</v>
      </c>
      <c r="F10190" t="str">
        <f t="shared" si="1956"/>
        <v>COM</v>
      </c>
      <c r="G10190" t="str">
        <f>"JHONANTAN LACERDA DE JESUS (142)"</f>
        <v>JHONANTAN LACERDA DE JESUS (142)</v>
      </c>
      <c r="H10190" t="s">
        <v>309</v>
      </c>
      <c r="I10190" t="str">
        <f>("16/11/2025")</f>
        <v>16/11/2025</v>
      </c>
      <c r="J10190" t="str">
        <f>("16/01/2025")</f>
        <v>16/01/2025</v>
      </c>
      <c r="K10190">
        <v>45974</v>
      </c>
      <c r="N10190">
        <v>106</v>
      </c>
      <c r="O10190" t="s">
        <v>51</v>
      </c>
      <c r="Q10190">
        <v>20</v>
      </c>
      <c r="R10190" t="str">
        <f>"JHONANTAN LACERDA DE JESUS (142)"</f>
        <v>JHONANTAN LACERDA DE JESUS (142)</v>
      </c>
      <c r="S10190" t="s">
        <v>52</v>
      </c>
      <c r="T10190">
        <v>21020</v>
      </c>
      <c r="U10190">
        <v>6697</v>
      </c>
      <c r="V10190" t="s">
        <v>48</v>
      </c>
    </row>
    <row r="10191" spans="1:22">
      <c r="A10191" t="str">
        <f t="shared" si="1954"/>
        <v>13/11/2025</v>
      </c>
      <c r="B10191" t="str">
        <f>"ENTRADA"</f>
        <v>ENTRADA</v>
      </c>
      <c r="C10191" t="str">
        <f>"DINHEIRO"</f>
        <v>DINHEIRO</v>
      </c>
      <c r="D10191" t="str">
        <f>"876"</f>
        <v>876</v>
      </c>
      <c r="E10191" t="str">
        <f>"4"</f>
        <v>4</v>
      </c>
      <c r="F10191" t="str">
        <f t="shared" si="1956"/>
        <v>COM</v>
      </c>
      <c r="G10191" t="str">
        <f>"JOAO PEDRO BRITO DE SOUZA (876)"</f>
        <v>JOAO PEDRO BRITO DE SOUZA (876)</v>
      </c>
      <c r="H10191" t="str">
        <f>"COTA COOPERATIVA"</f>
        <v>COTA COOPERATIVA</v>
      </c>
      <c r="I10191" t="str">
        <f>("10/11/2025")</f>
        <v>10/11/2025</v>
      </c>
      <c r="J10191" t="str">
        <f>("11/07/2025")</f>
        <v>11/07/2025</v>
      </c>
      <c r="K10191" t="str">
        <f>("13/11/2025")</f>
        <v>13/11/2025</v>
      </c>
      <c r="L10191">
        <v>20</v>
      </c>
      <c r="M10191">
        <v>20</v>
      </c>
      <c r="N10191">
        <v>106</v>
      </c>
      <c r="O10191" t="str">
        <f>"ENTRADA DE CAPITAL"</f>
        <v>ENTRADA DE CAPITAL</v>
      </c>
      <c r="P10191">
        <v>20</v>
      </c>
      <c r="S10191" t="str">
        <f>"ENTRADA DE CAPITAL (106)"</f>
        <v>ENTRADA DE CAPITAL (106)</v>
      </c>
      <c r="T10191">
        <v>21021</v>
      </c>
      <c r="U10191">
        <v>19768</v>
      </c>
      <c r="V10191" t="s">
        <v>48</v>
      </c>
    </row>
    <row r="10192" spans="1:22">
      <c r="A10192" t="str">
        <f t="shared" si="1954"/>
        <v>13/11/2025</v>
      </c>
      <c r="B10192" t="str">
        <f>"ENTRADA"</f>
        <v>ENTRADA</v>
      </c>
      <c r="C10192" t="str">
        <f>"DINHEIRO"</f>
        <v>DINHEIRO</v>
      </c>
      <c r="D10192" t="str">
        <f>"876"</f>
        <v>876</v>
      </c>
      <c r="E10192" t="str">
        <f>"4"</f>
        <v>4</v>
      </c>
      <c r="F10192" t="str">
        <f t="shared" si="1956"/>
        <v>COM</v>
      </c>
      <c r="G10192" t="str">
        <f>"JOAO PEDRO BRITO DE SOUZA (876)"</f>
        <v>JOAO PEDRO BRITO DE SOUZA (876)</v>
      </c>
      <c r="H10192" t="s">
        <v>50</v>
      </c>
      <c r="I10192" t="str">
        <f>("10/11/2025")</f>
        <v>10/11/2025</v>
      </c>
      <c r="J10192" t="str">
        <f>("11/07/2025")</f>
        <v>11/07/2025</v>
      </c>
      <c r="K10192">
        <v>45974</v>
      </c>
      <c r="N10192">
        <v>106</v>
      </c>
      <c r="O10192" t="s">
        <v>51</v>
      </c>
      <c r="Q10192">
        <v>20</v>
      </c>
      <c r="R10192" t="str">
        <f>"JOAO PEDRO BRITO DE SOUZA (876)"</f>
        <v>JOAO PEDRO BRITO DE SOUZA (876)</v>
      </c>
      <c r="S10192" t="s">
        <v>52</v>
      </c>
      <c r="T10192">
        <v>21021</v>
      </c>
      <c r="U10192">
        <v>19768</v>
      </c>
      <c r="V10192" t="s">
        <v>48</v>
      </c>
    </row>
    <row r="10193" spans="1:22">
      <c r="A10193" t="str">
        <f t="shared" si="1954"/>
        <v>13/11/2025</v>
      </c>
      <c r="B10193" t="str">
        <f>"SAÍDA"</f>
        <v>SAÍDA</v>
      </c>
      <c r="C10193" t="str">
        <f>"PIX"</f>
        <v>PIX</v>
      </c>
      <c r="D10193" t="str">
        <f>"24713"</f>
        <v>24713</v>
      </c>
      <c r="E10193" t="str">
        <f>"1"</f>
        <v>1</v>
      </c>
      <c r="F10193" t="str">
        <f t="shared" si="1956"/>
        <v>COM</v>
      </c>
      <c r="G10193" t="str">
        <f>"JOAO PEDRO BRITO DE SOUZA (876)"</f>
        <v>JOAO PEDRO BRITO DE SOUZA (876)</v>
      </c>
      <c r="H10193" t="str">
        <f>"Serv.Prest. 24/10/2025 a 02/11/2025 - PIX: CPF - CHAVE: 860.305.455-07"</f>
        <v>Serv.Prest. 24/10/2025 a 02/11/2025 - PIX: CPF - CHAVE: 860.305.455-07</v>
      </c>
      <c r="I10193" t="str">
        <f>("13/11/2025")</f>
        <v>13/11/2025</v>
      </c>
      <c r="J10193" t="str">
        <f>("04/11/2025")</f>
        <v>04/11/2025</v>
      </c>
      <c r="K10193" t="str">
        <f>("13/11/2025")</f>
        <v>13/11/2025</v>
      </c>
      <c r="L10193">
        <v>20</v>
      </c>
      <c r="M10193">
        <v>20</v>
      </c>
      <c r="N10193">
        <v>109</v>
      </c>
      <c r="O10193" t="str">
        <f>"PAGAMENTO DE ENTREGADORES"</f>
        <v>PAGAMENTO DE ENTREGADORES</v>
      </c>
      <c r="P10193">
        <v>20</v>
      </c>
      <c r="S10193" t="str">
        <f>"CAIXA MOVIMENTAÇÃO OPERACIONAL (132)"</f>
        <v>CAIXA MOVIMENTAÇÃO OPERACIONAL (132)</v>
      </c>
      <c r="T10193">
        <v>21022</v>
      </c>
      <c r="U10193">
        <v>25383</v>
      </c>
      <c r="V10193" t="s">
        <v>48</v>
      </c>
    </row>
    <row r="10194" spans="1:22">
      <c r="A10194" t="str">
        <f t="shared" si="1954"/>
        <v>13/11/2025</v>
      </c>
      <c r="B10194" t="str">
        <f>"SAÍDA"</f>
        <v>SAÍDA</v>
      </c>
      <c r="C10194" t="str">
        <f>"PIX"</f>
        <v>PIX</v>
      </c>
      <c r="D10194" t="str">
        <f>"24713"</f>
        <v>24713</v>
      </c>
      <c r="E10194" t="str">
        <f>"1"</f>
        <v>1</v>
      </c>
      <c r="F10194" t="str">
        <f t="shared" si="1956"/>
        <v>COM</v>
      </c>
      <c r="G10194" t="str">
        <f>"JOAO PEDRO BRITO DE SOUZA (876)"</f>
        <v>JOAO PEDRO BRITO DE SOUZA (876)</v>
      </c>
      <c r="H10194" t="s">
        <v>2856</v>
      </c>
      <c r="I10194" t="str">
        <f>("13/11/2025")</f>
        <v>13/11/2025</v>
      </c>
      <c r="J10194" t="str">
        <f>("04/11/2025")</f>
        <v>04/11/2025</v>
      </c>
      <c r="K10194">
        <v>45974</v>
      </c>
      <c r="N10194">
        <v>109</v>
      </c>
      <c r="O10194" t="s">
        <v>24</v>
      </c>
      <c r="Q10194">
        <v>14.03</v>
      </c>
      <c r="R10194" t="str">
        <f>"FARMÁCIA INDIANA LJ 48 (10018)"</f>
        <v>FARMÁCIA INDIANA LJ 48 (10018)</v>
      </c>
      <c r="S10194" t="s">
        <v>48</v>
      </c>
      <c r="T10194">
        <v>21022</v>
      </c>
      <c r="U10194">
        <v>25383</v>
      </c>
      <c r="V10194" t="s">
        <v>48</v>
      </c>
    </row>
    <row r="10195" spans="1:22">
      <c r="A10195" t="str">
        <f t="shared" si="1954"/>
        <v>13/11/2025</v>
      </c>
      <c r="B10195" t="str">
        <f>"SAÍDA"</f>
        <v>SAÍDA</v>
      </c>
      <c r="C10195" t="str">
        <f>"PIX"</f>
        <v>PIX</v>
      </c>
      <c r="D10195" t="str">
        <f>"24713"</f>
        <v>24713</v>
      </c>
      <c r="E10195" t="str">
        <f>"1"</f>
        <v>1</v>
      </c>
      <c r="F10195" t="str">
        <f t="shared" si="1956"/>
        <v>COM</v>
      </c>
      <c r="G10195" t="str">
        <f>"JOAO PEDRO BRITO DE SOUZA (876)"</f>
        <v>JOAO PEDRO BRITO DE SOUZA (876)</v>
      </c>
      <c r="H10195" t="s">
        <v>2856</v>
      </c>
      <c r="I10195" t="str">
        <f>("13/11/2025")</f>
        <v>13/11/2025</v>
      </c>
      <c r="J10195" t="str">
        <f>("04/11/2025")</f>
        <v>04/11/2025</v>
      </c>
      <c r="K10195">
        <v>45974</v>
      </c>
      <c r="N10195">
        <v>109</v>
      </c>
      <c r="O10195" t="s">
        <v>24</v>
      </c>
      <c r="Q10195">
        <v>5.97</v>
      </c>
      <c r="R10195" t="str">
        <f>"FARMÁCIA INDIANA LJ 169 (10073)"</f>
        <v>FARMÁCIA INDIANA LJ 169 (10073)</v>
      </c>
      <c r="S10195" t="s">
        <v>48</v>
      </c>
      <c r="T10195">
        <v>21022</v>
      </c>
      <c r="U10195">
        <v>25383</v>
      </c>
      <c r="V10195" t="s">
        <v>48</v>
      </c>
    </row>
    <row r="10196" spans="1:22">
      <c r="A10196" t="str">
        <f t="shared" si="1954"/>
        <v>13/11/2025</v>
      </c>
      <c r="B10196" t="str">
        <f>"SAÍDA"</f>
        <v>SAÍDA</v>
      </c>
      <c r="C10196" t="str">
        <f>"PIX"</f>
        <v>PIX</v>
      </c>
      <c r="D10196" t="str">
        <f>"24770"</f>
        <v>24770</v>
      </c>
      <c r="E10196" t="str">
        <f>"1"</f>
        <v>1</v>
      </c>
      <c r="F10196" t="str">
        <f t="shared" si="1956"/>
        <v>COM</v>
      </c>
      <c r="G10196" t="str">
        <f>"JOCIMAR VAZ FERREIRA (197)"</f>
        <v>JOCIMAR VAZ FERREIRA (197)</v>
      </c>
      <c r="H10196" t="str">
        <f>"Serv.Prest. 24/10/2025 a 02/11/2025 - PIX: CELULAR - CHAVE: (33) 99924-7557"</f>
        <v>Serv.Prest. 24/10/2025 a 02/11/2025 - PIX: CELULAR - CHAVE: (33) 99924-7557</v>
      </c>
      <c r="I10196" t="str">
        <f>("13/11/2025")</f>
        <v>13/11/2025</v>
      </c>
      <c r="J10196" t="str">
        <f>("04/11/2025")</f>
        <v>04/11/2025</v>
      </c>
      <c r="K10196" t="str">
        <f>("13/11/2025")</f>
        <v>13/11/2025</v>
      </c>
      <c r="L10196">
        <v>20</v>
      </c>
      <c r="M10196">
        <v>20</v>
      </c>
      <c r="N10196">
        <v>109</v>
      </c>
      <c r="O10196" t="str">
        <f>"PAGAMENTO DE ENTREGADORES"</f>
        <v>PAGAMENTO DE ENTREGADORES</v>
      </c>
      <c r="P10196">
        <v>20</v>
      </c>
      <c r="S10196" t="str">
        <f>"CAIXA MOVIMENTAÇÃO OPERACIONAL (132)"</f>
        <v>CAIXA MOVIMENTAÇÃO OPERACIONAL (132)</v>
      </c>
      <c r="T10196">
        <v>21023</v>
      </c>
      <c r="U10196">
        <v>25384</v>
      </c>
      <c r="V10196" t="s">
        <v>48</v>
      </c>
    </row>
    <row r="10197" spans="1:22">
      <c r="A10197" t="str">
        <f t="shared" si="1954"/>
        <v>13/11/2025</v>
      </c>
      <c r="B10197" t="str">
        <f>"SAÍDA"</f>
        <v>SAÍDA</v>
      </c>
      <c r="C10197" t="str">
        <f>"PIX"</f>
        <v>PIX</v>
      </c>
      <c r="D10197" t="str">
        <f>"24770"</f>
        <v>24770</v>
      </c>
      <c r="E10197" t="str">
        <f>"1"</f>
        <v>1</v>
      </c>
      <c r="F10197" t="str">
        <f t="shared" si="1956"/>
        <v>COM</v>
      </c>
      <c r="G10197" t="str">
        <f>"JOCIMAR VAZ FERREIRA (197)"</f>
        <v>JOCIMAR VAZ FERREIRA (197)</v>
      </c>
      <c r="H10197" t="s">
        <v>2857</v>
      </c>
      <c r="I10197" t="str">
        <f>("13/11/2025")</f>
        <v>13/11/2025</v>
      </c>
      <c r="J10197" t="str">
        <f>("04/11/2025")</f>
        <v>04/11/2025</v>
      </c>
      <c r="K10197">
        <v>45974</v>
      </c>
      <c r="N10197">
        <v>109</v>
      </c>
      <c r="O10197" t="s">
        <v>24</v>
      </c>
      <c r="Q10197">
        <v>20</v>
      </c>
      <c r="R10197" t="str">
        <f>"FARMÁCIA INDIANA LJ 06 (10006)"</f>
        <v>FARMÁCIA INDIANA LJ 06 (10006)</v>
      </c>
      <c r="S10197" t="s">
        <v>48</v>
      </c>
      <c r="T10197">
        <v>21023</v>
      </c>
      <c r="U10197">
        <v>25384</v>
      </c>
      <c r="V10197" t="s">
        <v>48</v>
      </c>
    </row>
    <row r="10198" spans="1:22">
      <c r="A10198" t="str">
        <f t="shared" si="1954"/>
        <v>13/11/2025</v>
      </c>
      <c r="B10198" t="str">
        <f>"ENTRADA"</f>
        <v>ENTRADA</v>
      </c>
      <c r="C10198" t="str">
        <f>"DINHEIRO"</f>
        <v>DINHEIRO</v>
      </c>
      <c r="D10198" t="str">
        <f>"15"</f>
        <v>15</v>
      </c>
      <c r="E10198" t="str">
        <f>"35"</f>
        <v>35</v>
      </c>
      <c r="F10198" t="str">
        <f t="shared" si="1956"/>
        <v>COM</v>
      </c>
      <c r="G10198" t="str">
        <f>"JOCIMAR VAZ FERREIRA (197)"</f>
        <v>JOCIMAR VAZ FERREIRA (197)</v>
      </c>
      <c r="H10198" t="str">
        <f>"DESCONTO COTA COOPERADO"</f>
        <v>DESCONTO COTA COOPERADO</v>
      </c>
      <c r="I10198" t="str">
        <f>("16/11/2025")</f>
        <v>16/11/2025</v>
      </c>
      <c r="J10198" t="str">
        <f>("16/01/2025")</f>
        <v>16/01/2025</v>
      </c>
      <c r="K10198" t="str">
        <f>("13/11/2025")</f>
        <v>13/11/2025</v>
      </c>
      <c r="L10198">
        <v>20</v>
      </c>
      <c r="M10198">
        <v>20</v>
      </c>
      <c r="N10198">
        <v>106</v>
      </c>
      <c r="O10198" t="str">
        <f>"ENTRADA DE CAPITAL"</f>
        <v>ENTRADA DE CAPITAL</v>
      </c>
      <c r="P10198">
        <v>20</v>
      </c>
      <c r="S10198" t="str">
        <f>"ENTRADA DE CAPITAL (106)"</f>
        <v>ENTRADA DE CAPITAL (106)</v>
      </c>
      <c r="T10198">
        <v>21024</v>
      </c>
      <c r="U10198">
        <v>6746</v>
      </c>
      <c r="V10198" t="s">
        <v>48</v>
      </c>
    </row>
    <row r="10199" spans="1:22">
      <c r="A10199" t="str">
        <f t="shared" si="1954"/>
        <v>13/11/2025</v>
      </c>
      <c r="B10199" t="str">
        <f>"ENTRADA"</f>
        <v>ENTRADA</v>
      </c>
      <c r="C10199" t="str">
        <f>"DINHEIRO"</f>
        <v>DINHEIRO</v>
      </c>
      <c r="D10199" t="str">
        <f>"15"</f>
        <v>15</v>
      </c>
      <c r="E10199" t="str">
        <f>"35"</f>
        <v>35</v>
      </c>
      <c r="F10199" t="str">
        <f t="shared" si="1956"/>
        <v>COM</v>
      </c>
      <c r="G10199" t="str">
        <f>"JOCIMAR VAZ FERREIRA (197)"</f>
        <v>JOCIMAR VAZ FERREIRA (197)</v>
      </c>
      <c r="H10199" t="s">
        <v>309</v>
      </c>
      <c r="I10199" t="str">
        <f>("16/11/2025")</f>
        <v>16/11/2025</v>
      </c>
      <c r="J10199" t="str">
        <f>("16/01/2025")</f>
        <v>16/01/2025</v>
      </c>
      <c r="K10199">
        <v>45974</v>
      </c>
      <c r="N10199">
        <v>106</v>
      </c>
      <c r="O10199" t="s">
        <v>51</v>
      </c>
      <c r="Q10199">
        <v>20</v>
      </c>
      <c r="R10199" t="str">
        <f>"JOCIMAR VAZ FERREIRA (197)"</f>
        <v>JOCIMAR VAZ FERREIRA (197)</v>
      </c>
      <c r="S10199" t="s">
        <v>52</v>
      </c>
      <c r="T10199">
        <v>21024</v>
      </c>
      <c r="U10199">
        <v>6746</v>
      </c>
      <c r="V10199" t="s">
        <v>48</v>
      </c>
    </row>
    <row r="10200" spans="1:22">
      <c r="A10200" t="str">
        <f t="shared" si="1954"/>
        <v>13/11/2025</v>
      </c>
      <c r="B10200" t="str">
        <f>"SAÍDA"</f>
        <v>SAÍDA</v>
      </c>
      <c r="C10200" t="str">
        <f>"PIX"</f>
        <v>PIX</v>
      </c>
      <c r="D10200" t="str">
        <f>"25085"</f>
        <v>25085</v>
      </c>
      <c r="E10200" t="str">
        <f>"1"</f>
        <v>1</v>
      </c>
      <c r="F10200" t="str">
        <f t="shared" si="1956"/>
        <v>COM</v>
      </c>
      <c r="G10200" t="str">
        <f>"JOSÉ HENRIQUE RODRIGUES (430)"</f>
        <v>JOSÉ HENRIQUE RODRIGUES (430)</v>
      </c>
      <c r="H10200" t="str">
        <f>"Serv.Prest. 03/11/2025 a 09/11/2025 - PIX: CPF - CHAVE: 100.826.516-04"</f>
        <v>Serv.Prest. 03/11/2025 a 09/11/2025 - PIX: CPF - CHAVE: 100.826.516-04</v>
      </c>
      <c r="I10200" t="str">
        <f>("13/11/2025")</f>
        <v>13/11/2025</v>
      </c>
      <c r="J10200" t="str">
        <f>("10/11/2025")</f>
        <v>10/11/2025</v>
      </c>
      <c r="K10200" t="str">
        <f>("13/11/2025")</f>
        <v>13/11/2025</v>
      </c>
      <c r="L10200">
        <v>20</v>
      </c>
      <c r="M10200">
        <v>20</v>
      </c>
      <c r="N10200">
        <v>109</v>
      </c>
      <c r="O10200" t="str">
        <f>"PAGAMENTO DE ENTREGADORES"</f>
        <v>PAGAMENTO DE ENTREGADORES</v>
      </c>
      <c r="P10200">
        <v>20</v>
      </c>
      <c r="S10200" t="str">
        <f>"CAIXA MOVIMENTAÇÃO OPERACIONAL (132)"</f>
        <v>CAIXA MOVIMENTAÇÃO OPERACIONAL (132)</v>
      </c>
      <c r="T10200">
        <v>21025</v>
      </c>
      <c r="U10200">
        <v>25385</v>
      </c>
      <c r="V10200" t="s">
        <v>48</v>
      </c>
    </row>
    <row r="10201" spans="1:22">
      <c r="A10201" t="str">
        <f t="shared" si="1954"/>
        <v>13/11/2025</v>
      </c>
      <c r="B10201" t="str">
        <f>"SAÍDA"</f>
        <v>SAÍDA</v>
      </c>
      <c r="C10201" t="str">
        <f>"PIX"</f>
        <v>PIX</v>
      </c>
      <c r="D10201" t="str">
        <f>"25085"</f>
        <v>25085</v>
      </c>
      <c r="E10201" t="str">
        <f>"1"</f>
        <v>1</v>
      </c>
      <c r="F10201" t="str">
        <f t="shared" si="1956"/>
        <v>COM</v>
      </c>
      <c r="G10201" t="str">
        <f>"JOSÉ HENRIQUE RODRIGUES (430)"</f>
        <v>JOSÉ HENRIQUE RODRIGUES (430)</v>
      </c>
      <c r="H10201" t="s">
        <v>2858</v>
      </c>
      <c r="I10201" t="str">
        <f>("13/11/2025")</f>
        <v>13/11/2025</v>
      </c>
      <c r="J10201" t="str">
        <f>("10/11/2025")</f>
        <v>10/11/2025</v>
      </c>
      <c r="K10201">
        <v>45974</v>
      </c>
      <c r="N10201">
        <v>109</v>
      </c>
      <c r="O10201" t="s">
        <v>24</v>
      </c>
      <c r="Q10201">
        <v>20</v>
      </c>
      <c r="R10201" t="str">
        <f>"PAGMENOS - LJ 608 (10135)"</f>
        <v>PAGMENOS - LJ 608 (10135)</v>
      </c>
      <c r="S10201" t="s">
        <v>48</v>
      </c>
      <c r="T10201">
        <v>21025</v>
      </c>
      <c r="U10201">
        <v>25385</v>
      </c>
      <c r="V10201" t="s">
        <v>48</v>
      </c>
    </row>
    <row r="10202" spans="1:22">
      <c r="A10202" t="str">
        <f t="shared" si="1954"/>
        <v>13/11/2025</v>
      </c>
      <c r="B10202" t="str">
        <f>"ENTRADA"</f>
        <v>ENTRADA</v>
      </c>
      <c r="C10202" t="str">
        <f>"DINHEIRO"</f>
        <v>DINHEIRO</v>
      </c>
      <c r="D10202" t="str">
        <f>"5"</f>
        <v>5</v>
      </c>
      <c r="E10202" t="str">
        <f>"35"</f>
        <v>35</v>
      </c>
      <c r="F10202" t="str">
        <f t="shared" si="1956"/>
        <v>COM</v>
      </c>
      <c r="G10202" t="str">
        <f>"JOSÉ HENRIQUE RODRIGUES (430)"</f>
        <v>JOSÉ HENRIQUE RODRIGUES (430)</v>
      </c>
      <c r="H10202" t="str">
        <f>"DESCONTO COTA COOPERADO"</f>
        <v>DESCONTO COTA COOPERADO</v>
      </c>
      <c r="I10202" t="str">
        <f>("16/11/2025")</f>
        <v>16/11/2025</v>
      </c>
      <c r="J10202" t="str">
        <f>("16/01/2025")</f>
        <v>16/01/2025</v>
      </c>
      <c r="K10202" t="str">
        <f>("13/11/2025")</f>
        <v>13/11/2025</v>
      </c>
      <c r="L10202">
        <v>20</v>
      </c>
      <c r="M10202">
        <v>20</v>
      </c>
      <c r="N10202">
        <v>106</v>
      </c>
      <c r="O10202" t="str">
        <f>"ENTRADA DE CAPITAL"</f>
        <v>ENTRADA DE CAPITAL</v>
      </c>
      <c r="P10202">
        <v>20</v>
      </c>
      <c r="S10202" t="str">
        <f>"ENTRADA DE CAPITAL (106)"</f>
        <v>ENTRADA DE CAPITAL (106)</v>
      </c>
      <c r="T10202">
        <v>21026</v>
      </c>
      <c r="U10202">
        <v>6779</v>
      </c>
      <c r="V10202" t="s">
        <v>48</v>
      </c>
    </row>
    <row r="10203" spans="1:22">
      <c r="A10203" t="str">
        <f t="shared" si="1954"/>
        <v>13/11/2025</v>
      </c>
      <c r="B10203" t="str">
        <f>"ENTRADA"</f>
        <v>ENTRADA</v>
      </c>
      <c r="C10203" t="str">
        <f>"DINHEIRO"</f>
        <v>DINHEIRO</v>
      </c>
      <c r="D10203" t="str">
        <f>"5"</f>
        <v>5</v>
      </c>
      <c r="E10203" t="str">
        <f>"35"</f>
        <v>35</v>
      </c>
      <c r="F10203" t="str">
        <f t="shared" si="1956"/>
        <v>COM</v>
      </c>
      <c r="G10203" t="str">
        <f>"JOSÉ HENRIQUE RODRIGUES (430)"</f>
        <v>JOSÉ HENRIQUE RODRIGUES (430)</v>
      </c>
      <c r="H10203" t="s">
        <v>309</v>
      </c>
      <c r="I10203" t="str">
        <f>("16/11/2025")</f>
        <v>16/11/2025</v>
      </c>
      <c r="J10203" t="str">
        <f>("16/01/2025")</f>
        <v>16/01/2025</v>
      </c>
      <c r="K10203">
        <v>45974</v>
      </c>
      <c r="N10203">
        <v>106</v>
      </c>
      <c r="O10203" t="s">
        <v>51</v>
      </c>
      <c r="Q10203">
        <v>20</v>
      </c>
      <c r="R10203" t="str">
        <f>"JOSÉ HENRIQUE RODRIGUES (430)"</f>
        <v>JOSÉ HENRIQUE RODRIGUES (430)</v>
      </c>
      <c r="S10203" t="s">
        <v>52</v>
      </c>
      <c r="T10203">
        <v>21026</v>
      </c>
      <c r="U10203">
        <v>6779</v>
      </c>
      <c r="V10203" t="s">
        <v>48</v>
      </c>
    </row>
    <row r="10204" spans="1:22">
      <c r="A10204" t="str">
        <f t="shared" si="1954"/>
        <v>13/11/2025</v>
      </c>
      <c r="B10204" t="str">
        <f>"ENTRADA"</f>
        <v>ENTRADA</v>
      </c>
      <c r="C10204" t="str">
        <f>"DINHEIRO"</f>
        <v>DINHEIRO</v>
      </c>
      <c r="D10204" t="str">
        <f>"946"</f>
        <v>946</v>
      </c>
      <c r="E10204" t="str">
        <f>"2"</f>
        <v>2</v>
      </c>
      <c r="F10204" t="str">
        <f t="shared" si="1956"/>
        <v>COM</v>
      </c>
      <c r="G10204" t="str">
        <f>"JULIEDERSON AGUIAR SANTOS (946)"</f>
        <v>JULIEDERSON AGUIAR SANTOS (946)</v>
      </c>
      <c r="H10204" t="str">
        <f>"COTA COOPERATIVA"</f>
        <v>COTA COOPERATIVA</v>
      </c>
      <c r="I10204" t="str">
        <f>("10/11/2025")</f>
        <v>10/11/2025</v>
      </c>
      <c r="J10204" t="str">
        <f>("02/10/2025")</f>
        <v>02/10/2025</v>
      </c>
      <c r="K10204" t="str">
        <f>("13/11/2025")</f>
        <v>13/11/2025</v>
      </c>
      <c r="L10204">
        <v>20</v>
      </c>
      <c r="M10204">
        <v>20</v>
      </c>
      <c r="N10204">
        <v>106</v>
      </c>
      <c r="O10204" t="str">
        <f>"ENTRADA DE CAPITAL"</f>
        <v>ENTRADA DE CAPITAL</v>
      </c>
      <c r="P10204">
        <v>20</v>
      </c>
      <c r="S10204" t="str">
        <f>"ENTRADA DE CAPITAL (106)"</f>
        <v>ENTRADA DE CAPITAL (106)</v>
      </c>
      <c r="T10204">
        <v>21027</v>
      </c>
      <c r="U10204">
        <v>23355</v>
      </c>
      <c r="V10204" t="s">
        <v>48</v>
      </c>
    </row>
    <row r="10205" spans="1:22">
      <c r="A10205" t="str">
        <f t="shared" si="1954"/>
        <v>13/11/2025</v>
      </c>
      <c r="B10205" t="str">
        <f>"ENTRADA"</f>
        <v>ENTRADA</v>
      </c>
      <c r="C10205" t="str">
        <f>"DINHEIRO"</f>
        <v>DINHEIRO</v>
      </c>
      <c r="D10205" t="str">
        <f>"946"</f>
        <v>946</v>
      </c>
      <c r="E10205" t="str">
        <f>"2"</f>
        <v>2</v>
      </c>
      <c r="F10205" t="str">
        <f t="shared" si="1956"/>
        <v>COM</v>
      </c>
      <c r="G10205" t="str">
        <f>"JULIEDERSON AGUIAR SANTOS (946)"</f>
        <v>JULIEDERSON AGUIAR SANTOS (946)</v>
      </c>
      <c r="H10205" t="s">
        <v>50</v>
      </c>
      <c r="I10205" t="str">
        <f>("10/11/2025")</f>
        <v>10/11/2025</v>
      </c>
      <c r="J10205" t="str">
        <f>("02/10/2025")</f>
        <v>02/10/2025</v>
      </c>
      <c r="K10205">
        <v>45974</v>
      </c>
      <c r="N10205">
        <v>106</v>
      </c>
      <c r="O10205" t="s">
        <v>51</v>
      </c>
      <c r="Q10205">
        <v>20</v>
      </c>
      <c r="R10205" t="str">
        <f>"JULIEDERSON AGUIAR SANTOS (946)"</f>
        <v>JULIEDERSON AGUIAR SANTOS (946)</v>
      </c>
      <c r="S10205" t="s">
        <v>52</v>
      </c>
      <c r="T10205">
        <v>21027</v>
      </c>
      <c r="U10205">
        <v>23355</v>
      </c>
      <c r="V10205" t="s">
        <v>48</v>
      </c>
    </row>
    <row r="10206" spans="1:22">
      <c r="A10206" t="str">
        <f t="shared" si="1954"/>
        <v>13/11/2025</v>
      </c>
      <c r="B10206" t="str">
        <f>"SAÍDA"</f>
        <v>SAÍDA</v>
      </c>
      <c r="C10206" t="str">
        <f>"PIX"</f>
        <v>PIX</v>
      </c>
      <c r="D10206" t="str">
        <f>"25000"</f>
        <v>25000</v>
      </c>
      <c r="E10206" t="str">
        <f>"1"</f>
        <v>1</v>
      </c>
      <c r="F10206" t="str">
        <f t="shared" si="1956"/>
        <v>COM</v>
      </c>
      <c r="G10206" t="str">
        <f>"JULIEDERSON AGUIAR SANTOS (946)"</f>
        <v>JULIEDERSON AGUIAR SANTOS (946)</v>
      </c>
      <c r="H10206" t="str">
        <f>"Serv.Prest. 03/11/2025 a 09/11/2025 - PIX: CPF - CHAVE: 383.328.968-60"</f>
        <v>Serv.Prest. 03/11/2025 a 09/11/2025 - PIX: CPF - CHAVE: 383.328.968-60</v>
      </c>
      <c r="I10206" t="str">
        <f t="shared" ref="I10206:I10213" si="1957">("13/11/2025")</f>
        <v>13/11/2025</v>
      </c>
      <c r="J10206" t="str">
        <f>("10/11/2025")</f>
        <v>10/11/2025</v>
      </c>
      <c r="K10206" t="str">
        <f>("13/11/2025")</f>
        <v>13/11/2025</v>
      </c>
      <c r="L10206">
        <v>20</v>
      </c>
      <c r="M10206">
        <v>20</v>
      </c>
      <c r="N10206">
        <v>109</v>
      </c>
      <c r="O10206" t="str">
        <f>"PAGAMENTO DE ENTREGADORES"</f>
        <v>PAGAMENTO DE ENTREGADORES</v>
      </c>
      <c r="P10206">
        <v>20</v>
      </c>
      <c r="S10206" t="str">
        <f>"CAIXA MOVIMENTAÇÃO OPERACIONAL (132)"</f>
        <v>CAIXA MOVIMENTAÇÃO OPERACIONAL (132)</v>
      </c>
      <c r="T10206">
        <v>21028</v>
      </c>
      <c r="U10206">
        <v>25386</v>
      </c>
      <c r="V10206" t="s">
        <v>48</v>
      </c>
    </row>
    <row r="10207" spans="1:22">
      <c r="A10207" t="str">
        <f t="shared" ref="A10207:A10270" si="1958">("13/11/2025")</f>
        <v>13/11/2025</v>
      </c>
      <c r="B10207" t="str">
        <f>"SAÍDA"</f>
        <v>SAÍDA</v>
      </c>
      <c r="C10207" t="str">
        <f>"PIX"</f>
        <v>PIX</v>
      </c>
      <c r="D10207" t="str">
        <f>"25000"</f>
        <v>25000</v>
      </c>
      <c r="E10207" t="str">
        <f>"1"</f>
        <v>1</v>
      </c>
      <c r="F10207" t="str">
        <f t="shared" si="1956"/>
        <v>COM</v>
      </c>
      <c r="G10207" t="str">
        <f>"JULIEDERSON AGUIAR SANTOS (946)"</f>
        <v>JULIEDERSON AGUIAR SANTOS (946)</v>
      </c>
      <c r="H10207" t="s">
        <v>2859</v>
      </c>
      <c r="I10207" t="str">
        <f t="shared" si="1957"/>
        <v>13/11/2025</v>
      </c>
      <c r="J10207" t="str">
        <f>("10/11/2025")</f>
        <v>10/11/2025</v>
      </c>
      <c r="K10207">
        <v>45974</v>
      </c>
      <c r="N10207">
        <v>109</v>
      </c>
      <c r="O10207" t="s">
        <v>24</v>
      </c>
      <c r="Q10207">
        <v>20</v>
      </c>
      <c r="R10207" t="str">
        <f>"PENSE FARMA 22 (10198)"</f>
        <v>PENSE FARMA 22 (10198)</v>
      </c>
      <c r="S10207" t="s">
        <v>48</v>
      </c>
      <c r="T10207">
        <v>21028</v>
      </c>
      <c r="U10207">
        <v>25386</v>
      </c>
      <c r="V10207" t="s">
        <v>48</v>
      </c>
    </row>
    <row r="10208" spans="1:22">
      <c r="A10208" t="str">
        <f t="shared" si="1958"/>
        <v>13/11/2025</v>
      </c>
      <c r="B10208" t="str">
        <f>"ENTRADA"</f>
        <v>ENTRADA</v>
      </c>
      <c r="C10208" t="str">
        <f>"DINHEIRO"</f>
        <v>DINHEIRO</v>
      </c>
      <c r="D10208" t="str">
        <f>"610"</f>
        <v>610</v>
      </c>
      <c r="E10208" t="str">
        <f>"10"</f>
        <v>10</v>
      </c>
      <c r="F10208" t="str">
        <f t="shared" si="1956"/>
        <v>COM</v>
      </c>
      <c r="G10208" t="str">
        <f>"JUNIO SOUZA SILVA (610)"</f>
        <v>JUNIO SOUZA SILVA (610)</v>
      </c>
      <c r="H10208" t="str">
        <f>"COTAS COOPERATIVA"</f>
        <v>COTAS COOPERATIVA</v>
      </c>
      <c r="I10208" t="str">
        <f t="shared" si="1957"/>
        <v>13/11/2025</v>
      </c>
      <c r="J10208" t="str">
        <f>("12/02/2025")</f>
        <v>12/02/2025</v>
      </c>
      <c r="K10208" t="str">
        <f>("13/11/2025")</f>
        <v>13/11/2025</v>
      </c>
      <c r="L10208">
        <v>20</v>
      </c>
      <c r="M10208">
        <v>20</v>
      </c>
      <c r="N10208">
        <v>106</v>
      </c>
      <c r="O10208" t="str">
        <f>"ENTRADA DE CAPITAL"</f>
        <v>ENTRADA DE CAPITAL</v>
      </c>
      <c r="P10208">
        <v>20</v>
      </c>
      <c r="S10208" t="str">
        <f>"ENTRADA DE CAPITAL (106)"</f>
        <v>ENTRADA DE CAPITAL (106)</v>
      </c>
      <c r="T10208">
        <v>21029</v>
      </c>
      <c r="U10208">
        <v>9355</v>
      </c>
      <c r="V10208" t="s">
        <v>48</v>
      </c>
    </row>
    <row r="10209" spans="1:22">
      <c r="A10209" t="str">
        <f t="shared" si="1958"/>
        <v>13/11/2025</v>
      </c>
      <c r="B10209" t="str">
        <f>"ENTRADA"</f>
        <v>ENTRADA</v>
      </c>
      <c r="C10209" t="str">
        <f>"DINHEIRO"</f>
        <v>DINHEIRO</v>
      </c>
      <c r="D10209" t="str">
        <f>"610"</f>
        <v>610</v>
      </c>
      <c r="E10209" t="str">
        <f>"10"</f>
        <v>10</v>
      </c>
      <c r="F10209" t="str">
        <f t="shared" si="1956"/>
        <v>COM</v>
      </c>
      <c r="G10209" t="str">
        <f>"JUNIO SOUZA SILVA (610)"</f>
        <v>JUNIO SOUZA SILVA (610)</v>
      </c>
      <c r="H10209" t="s">
        <v>318</v>
      </c>
      <c r="I10209" t="str">
        <f t="shared" si="1957"/>
        <v>13/11/2025</v>
      </c>
      <c r="J10209" t="str">
        <f>("12/02/2025")</f>
        <v>12/02/2025</v>
      </c>
      <c r="K10209">
        <v>45974</v>
      </c>
      <c r="N10209">
        <v>106</v>
      </c>
      <c r="O10209" t="s">
        <v>51</v>
      </c>
      <c r="Q10209">
        <v>20</v>
      </c>
      <c r="R10209" t="str">
        <f>"JUNIO SOUZA SILVA (610)"</f>
        <v>JUNIO SOUZA SILVA (610)</v>
      </c>
      <c r="S10209" t="s">
        <v>52</v>
      </c>
      <c r="T10209">
        <v>21029</v>
      </c>
      <c r="U10209">
        <v>9355</v>
      </c>
      <c r="V10209" t="s">
        <v>48</v>
      </c>
    </row>
    <row r="10210" spans="1:22">
      <c r="A10210" t="str">
        <f t="shared" si="1958"/>
        <v>13/11/2025</v>
      </c>
      <c r="B10210" t="str">
        <f>"SAÍDA"</f>
        <v>SAÍDA</v>
      </c>
      <c r="C10210" t="str">
        <f>"PIX"</f>
        <v>PIX</v>
      </c>
      <c r="D10210" t="str">
        <f>"24715"</f>
        <v>24715</v>
      </c>
      <c r="E10210" t="str">
        <f>"1"</f>
        <v>1</v>
      </c>
      <c r="F10210" t="str">
        <f t="shared" si="1956"/>
        <v>COM</v>
      </c>
      <c r="G10210" t="str">
        <f>"JUNIO SOUZA SILVA (610)"</f>
        <v>JUNIO SOUZA SILVA (610)</v>
      </c>
      <c r="H10210" t="str">
        <f>"Serv.Prest. 24/10/2025 a 02/11/2025 - PIX: CELULAR - CHAVE: (73) 98105-2187"</f>
        <v>Serv.Prest. 24/10/2025 a 02/11/2025 - PIX: CELULAR - CHAVE: (73) 98105-2187</v>
      </c>
      <c r="I10210" t="str">
        <f t="shared" si="1957"/>
        <v>13/11/2025</v>
      </c>
      <c r="J10210" t="str">
        <f>("04/11/2025")</f>
        <v>04/11/2025</v>
      </c>
      <c r="K10210" t="str">
        <f>("13/11/2025")</f>
        <v>13/11/2025</v>
      </c>
      <c r="L10210">
        <v>20</v>
      </c>
      <c r="M10210">
        <v>20</v>
      </c>
      <c r="N10210">
        <v>109</v>
      </c>
      <c r="O10210" t="str">
        <f>"PAGAMENTO DE ENTREGADORES"</f>
        <v>PAGAMENTO DE ENTREGADORES</v>
      </c>
      <c r="P10210">
        <v>20</v>
      </c>
      <c r="S10210" t="str">
        <f>"CAIXA MOVIMENTAÇÃO OPERACIONAL (132)"</f>
        <v>CAIXA MOVIMENTAÇÃO OPERACIONAL (132)</v>
      </c>
      <c r="T10210">
        <v>21030</v>
      </c>
      <c r="U10210">
        <v>25387</v>
      </c>
      <c r="V10210" t="s">
        <v>48</v>
      </c>
    </row>
    <row r="10211" spans="1:22">
      <c r="A10211" t="str">
        <f t="shared" si="1958"/>
        <v>13/11/2025</v>
      </c>
      <c r="B10211" t="str">
        <f>"SAÍDA"</f>
        <v>SAÍDA</v>
      </c>
      <c r="C10211" t="str">
        <f>"PIX"</f>
        <v>PIX</v>
      </c>
      <c r="D10211" t="str">
        <f>"24715"</f>
        <v>24715</v>
      </c>
      <c r="E10211" t="str">
        <f>"1"</f>
        <v>1</v>
      </c>
      <c r="F10211" t="str">
        <f t="shared" si="1956"/>
        <v>COM</v>
      </c>
      <c r="G10211" t="str">
        <f>"JUNIO SOUZA SILVA (610)"</f>
        <v>JUNIO SOUZA SILVA (610)</v>
      </c>
      <c r="H10211" t="s">
        <v>2860</v>
      </c>
      <c r="I10211" t="str">
        <f t="shared" si="1957"/>
        <v>13/11/2025</v>
      </c>
      <c r="J10211" t="str">
        <f>("04/11/2025")</f>
        <v>04/11/2025</v>
      </c>
      <c r="K10211">
        <v>45974</v>
      </c>
      <c r="N10211">
        <v>109</v>
      </c>
      <c r="O10211" t="s">
        <v>24</v>
      </c>
      <c r="Q10211">
        <v>20</v>
      </c>
      <c r="R10211" t="str">
        <f>"FARMÁCIA INDIANA LJ 77 (10034)"</f>
        <v>FARMÁCIA INDIANA LJ 77 (10034)</v>
      </c>
      <c r="S10211" t="s">
        <v>48</v>
      </c>
      <c r="T10211">
        <v>21030</v>
      </c>
      <c r="U10211">
        <v>25387</v>
      </c>
      <c r="V10211" t="s">
        <v>48</v>
      </c>
    </row>
    <row r="10212" spans="1:22">
      <c r="A10212" t="str">
        <f t="shared" si="1958"/>
        <v>13/11/2025</v>
      </c>
      <c r="B10212" t="str">
        <f>"SAÍDA"</f>
        <v>SAÍDA</v>
      </c>
      <c r="C10212" t="str">
        <f>"PIX"</f>
        <v>PIX</v>
      </c>
      <c r="D10212" t="str">
        <f>"24776"</f>
        <v>24776</v>
      </c>
      <c r="E10212" t="str">
        <f>"1"</f>
        <v>1</v>
      </c>
      <c r="F10212" t="str">
        <f t="shared" si="1956"/>
        <v>COM</v>
      </c>
      <c r="G10212" t="str">
        <f>"JUNIOR DOS SANTOS MACHADO (240)"</f>
        <v>JUNIOR DOS SANTOS MACHADO (240)</v>
      </c>
      <c r="H10212" t="str">
        <f>"Serv.Prest. 24/10/2025 a 02/11/2025 - PIX: CPF - CHAVE: 074.520.456-29"</f>
        <v>Serv.Prest. 24/10/2025 a 02/11/2025 - PIX: CPF - CHAVE: 074.520.456-29</v>
      </c>
      <c r="I10212" t="str">
        <f t="shared" si="1957"/>
        <v>13/11/2025</v>
      </c>
      <c r="J10212" t="str">
        <f>("04/11/2025")</f>
        <v>04/11/2025</v>
      </c>
      <c r="K10212" t="str">
        <f>("13/11/2025")</f>
        <v>13/11/2025</v>
      </c>
      <c r="L10212">
        <v>20</v>
      </c>
      <c r="M10212">
        <v>20</v>
      </c>
      <c r="N10212">
        <v>109</v>
      </c>
      <c r="O10212" t="str">
        <f>"PAGAMENTO DE ENTREGADORES"</f>
        <v>PAGAMENTO DE ENTREGADORES</v>
      </c>
      <c r="P10212">
        <v>20</v>
      </c>
      <c r="S10212" t="str">
        <f>"CAIXA MOVIMENTAÇÃO OPERACIONAL (132)"</f>
        <v>CAIXA MOVIMENTAÇÃO OPERACIONAL (132)</v>
      </c>
      <c r="T10212">
        <v>21031</v>
      </c>
      <c r="U10212">
        <v>25388</v>
      </c>
      <c r="V10212" t="s">
        <v>48</v>
      </c>
    </row>
    <row r="10213" spans="1:22">
      <c r="A10213" t="str">
        <f t="shared" si="1958"/>
        <v>13/11/2025</v>
      </c>
      <c r="B10213" t="str">
        <f>"SAÍDA"</f>
        <v>SAÍDA</v>
      </c>
      <c r="C10213" t="str">
        <f>"PIX"</f>
        <v>PIX</v>
      </c>
      <c r="D10213" t="str">
        <f>"24776"</f>
        <v>24776</v>
      </c>
      <c r="E10213" t="str">
        <f>"1"</f>
        <v>1</v>
      </c>
      <c r="F10213" t="str">
        <f t="shared" si="1956"/>
        <v>COM</v>
      </c>
      <c r="G10213" t="str">
        <f>"JUNIOR DOS SANTOS MACHADO (240)"</f>
        <v>JUNIOR DOS SANTOS MACHADO (240)</v>
      </c>
      <c r="H10213" t="s">
        <v>2729</v>
      </c>
      <c r="I10213" t="str">
        <f t="shared" si="1957"/>
        <v>13/11/2025</v>
      </c>
      <c r="J10213" t="str">
        <f>("04/11/2025")</f>
        <v>04/11/2025</v>
      </c>
      <c r="K10213">
        <v>45974</v>
      </c>
      <c r="N10213">
        <v>109</v>
      </c>
      <c r="O10213" t="s">
        <v>24</v>
      </c>
      <c r="Q10213">
        <v>20</v>
      </c>
      <c r="R10213" t="str">
        <f>"FARMÁCIA INDIANA LJ 62 (10028)"</f>
        <v>FARMÁCIA INDIANA LJ 62 (10028)</v>
      </c>
      <c r="S10213" t="s">
        <v>48</v>
      </c>
      <c r="T10213">
        <v>21031</v>
      </c>
      <c r="U10213">
        <v>25388</v>
      </c>
      <c r="V10213" t="s">
        <v>48</v>
      </c>
    </row>
    <row r="10214" spans="1:22">
      <c r="A10214" t="str">
        <f t="shared" si="1958"/>
        <v>13/11/2025</v>
      </c>
      <c r="B10214" t="str">
        <f>"ENTRADA"</f>
        <v>ENTRADA</v>
      </c>
      <c r="C10214" t="str">
        <f>"DINHEIRO"</f>
        <v>DINHEIRO</v>
      </c>
      <c r="D10214" t="str">
        <f>"07"</f>
        <v>07</v>
      </c>
      <c r="E10214" t="str">
        <f>"35"</f>
        <v>35</v>
      </c>
      <c r="F10214" t="str">
        <f t="shared" si="1956"/>
        <v>COM</v>
      </c>
      <c r="G10214" t="str">
        <f>"JUNIOR DOS SANTOS MACHADO (240)"</f>
        <v>JUNIOR DOS SANTOS MACHADO (240)</v>
      </c>
      <c r="H10214" t="str">
        <f>"DESCONTO COTA COOPERADO"</f>
        <v>DESCONTO COTA COOPERADO</v>
      </c>
      <c r="I10214" t="str">
        <f>("16/11/2025")</f>
        <v>16/11/2025</v>
      </c>
      <c r="J10214" t="str">
        <f>("16/01/2025")</f>
        <v>16/01/2025</v>
      </c>
      <c r="K10214" t="str">
        <f>("13/11/2025")</f>
        <v>13/11/2025</v>
      </c>
      <c r="L10214">
        <v>20</v>
      </c>
      <c r="M10214">
        <v>20</v>
      </c>
      <c r="N10214">
        <v>106</v>
      </c>
      <c r="O10214" t="str">
        <f>"ENTRADA DE CAPITAL"</f>
        <v>ENTRADA DE CAPITAL</v>
      </c>
      <c r="P10214">
        <v>20</v>
      </c>
      <c r="S10214" t="str">
        <f>"ENTRADA DE CAPITAL (106)"</f>
        <v>ENTRADA DE CAPITAL (106)</v>
      </c>
      <c r="T10214">
        <v>21032</v>
      </c>
      <c r="U10214">
        <v>6841</v>
      </c>
      <c r="V10214" t="s">
        <v>48</v>
      </c>
    </row>
    <row r="10215" spans="1:22">
      <c r="A10215" t="str">
        <f t="shared" si="1958"/>
        <v>13/11/2025</v>
      </c>
      <c r="B10215" t="str">
        <f>"ENTRADA"</f>
        <v>ENTRADA</v>
      </c>
      <c r="C10215" t="str">
        <f>"DINHEIRO"</f>
        <v>DINHEIRO</v>
      </c>
      <c r="D10215" t="str">
        <f>"07"</f>
        <v>07</v>
      </c>
      <c r="E10215" t="str">
        <f>"35"</f>
        <v>35</v>
      </c>
      <c r="F10215" t="str">
        <f t="shared" si="1956"/>
        <v>COM</v>
      </c>
      <c r="G10215" t="str">
        <f>"JUNIOR DOS SANTOS MACHADO (240)"</f>
        <v>JUNIOR DOS SANTOS MACHADO (240)</v>
      </c>
      <c r="H10215" t="s">
        <v>309</v>
      </c>
      <c r="I10215" t="str">
        <f>("16/11/2025")</f>
        <v>16/11/2025</v>
      </c>
      <c r="J10215" t="str">
        <f>("16/01/2025")</f>
        <v>16/01/2025</v>
      </c>
      <c r="K10215">
        <v>45974</v>
      </c>
      <c r="N10215">
        <v>106</v>
      </c>
      <c r="O10215" t="s">
        <v>51</v>
      </c>
      <c r="Q10215">
        <v>20</v>
      </c>
      <c r="R10215" t="str">
        <f>"JUNIOR DOS SANTOS MACHADO (240)"</f>
        <v>JUNIOR DOS SANTOS MACHADO (240)</v>
      </c>
      <c r="S10215" t="s">
        <v>52</v>
      </c>
      <c r="T10215">
        <v>21032</v>
      </c>
      <c r="U10215">
        <v>6841</v>
      </c>
      <c r="V10215" t="s">
        <v>48</v>
      </c>
    </row>
    <row r="10216" spans="1:22">
      <c r="A10216" t="str">
        <f t="shared" si="1958"/>
        <v>13/11/2025</v>
      </c>
      <c r="B10216" t="str">
        <f>"ENTRADA"</f>
        <v>ENTRADA</v>
      </c>
      <c r="C10216" t="str">
        <f>"DINHEIRO"</f>
        <v>DINHEIRO</v>
      </c>
      <c r="D10216" t="str">
        <f>"735"</f>
        <v>735</v>
      </c>
      <c r="E10216" t="str">
        <f>"7"</f>
        <v>7</v>
      </c>
      <c r="F10216" t="str">
        <f t="shared" si="1956"/>
        <v>COM</v>
      </c>
      <c r="G10216" t="str">
        <f>"KELVIN NUBIO DE SOUZA TOLEDO (735)"</f>
        <v>KELVIN NUBIO DE SOUZA TOLEDO (735)</v>
      </c>
      <c r="H10216" t="str">
        <f>"COTA COOPERATIVA"</f>
        <v>COTA COOPERATIVA</v>
      </c>
      <c r="I10216" t="str">
        <f>("08/11/2025")</f>
        <v>08/11/2025</v>
      </c>
      <c r="J10216" t="str">
        <f>("01/04/2025")</f>
        <v>01/04/2025</v>
      </c>
      <c r="K10216" t="str">
        <f>("13/11/2025")</f>
        <v>13/11/2025</v>
      </c>
      <c r="L10216">
        <v>20</v>
      </c>
      <c r="M10216">
        <v>20</v>
      </c>
      <c r="N10216">
        <v>106</v>
      </c>
      <c r="O10216" t="str">
        <f>"ENTRADA DE CAPITAL"</f>
        <v>ENTRADA DE CAPITAL</v>
      </c>
      <c r="P10216">
        <v>20</v>
      </c>
      <c r="S10216" t="str">
        <f>"ENTRADA DE CAPITAL (106)"</f>
        <v>ENTRADA DE CAPITAL (106)</v>
      </c>
      <c r="T10216">
        <v>21033</v>
      </c>
      <c r="U10216">
        <v>14131</v>
      </c>
      <c r="V10216" t="s">
        <v>48</v>
      </c>
    </row>
    <row r="10217" spans="1:22">
      <c r="A10217" t="str">
        <f t="shared" si="1958"/>
        <v>13/11/2025</v>
      </c>
      <c r="B10217" t="str">
        <f>"ENTRADA"</f>
        <v>ENTRADA</v>
      </c>
      <c r="C10217" t="str">
        <f>"DINHEIRO"</f>
        <v>DINHEIRO</v>
      </c>
      <c r="D10217" t="str">
        <f>"735"</f>
        <v>735</v>
      </c>
      <c r="E10217" t="str">
        <f>"7"</f>
        <v>7</v>
      </c>
      <c r="F10217" t="str">
        <f t="shared" si="1956"/>
        <v>COM</v>
      </c>
      <c r="G10217" t="str">
        <f>"KELVIN NUBIO DE SOUZA TOLEDO (735)"</f>
        <v>KELVIN NUBIO DE SOUZA TOLEDO (735)</v>
      </c>
      <c r="H10217" t="s">
        <v>50</v>
      </c>
      <c r="I10217" t="str">
        <f>("08/11/2025")</f>
        <v>08/11/2025</v>
      </c>
      <c r="J10217" t="str">
        <f>("01/04/2025")</f>
        <v>01/04/2025</v>
      </c>
      <c r="K10217">
        <v>45974</v>
      </c>
      <c r="N10217">
        <v>106</v>
      </c>
      <c r="O10217" t="s">
        <v>51</v>
      </c>
      <c r="Q10217">
        <v>20</v>
      </c>
      <c r="R10217" t="str">
        <f>"KELVIN NUBIO DE SOUZA TOLEDO (735)"</f>
        <v>KELVIN NUBIO DE SOUZA TOLEDO (735)</v>
      </c>
      <c r="S10217" t="s">
        <v>52</v>
      </c>
      <c r="T10217">
        <v>21033</v>
      </c>
      <c r="U10217">
        <v>14131</v>
      </c>
      <c r="V10217" t="s">
        <v>48</v>
      </c>
    </row>
    <row r="10218" spans="1:22">
      <c r="A10218" t="str">
        <f t="shared" si="1958"/>
        <v>13/11/2025</v>
      </c>
      <c r="B10218" t="str">
        <f>"SAÍDA"</f>
        <v>SAÍDA</v>
      </c>
      <c r="C10218" t="str">
        <f>"PIX"</f>
        <v>PIX</v>
      </c>
      <c r="D10218" t="str">
        <f>"24779"</f>
        <v>24779</v>
      </c>
      <c r="E10218" t="str">
        <f>"1"</f>
        <v>1</v>
      </c>
      <c r="F10218" t="str">
        <f t="shared" si="1956"/>
        <v>COM</v>
      </c>
      <c r="G10218" t="str">
        <f>"KELVIN NUBIO DE SOUZA TOLEDO (735)"</f>
        <v>KELVIN NUBIO DE SOUZA TOLEDO (735)</v>
      </c>
      <c r="H10218" t="str">
        <f>"Serv.Prest. 24/10/2025 a 02/11/2025 - PIX: CHAVE ALEATÓRIA - CHAVE: c489bee1-360b-4fa9-86c4-fbb0e9844cb8"</f>
        <v>Serv.Prest. 24/10/2025 a 02/11/2025 - PIX: CHAVE ALEATÓRIA - CHAVE: c489bee1-360b-4fa9-86c4-fbb0e9844cb8</v>
      </c>
      <c r="I10218" t="str">
        <f>("13/11/2025")</f>
        <v>13/11/2025</v>
      </c>
      <c r="J10218" t="str">
        <f>("04/11/2025")</f>
        <v>04/11/2025</v>
      </c>
      <c r="K10218" t="str">
        <f>("13/11/2025")</f>
        <v>13/11/2025</v>
      </c>
      <c r="L10218">
        <v>20</v>
      </c>
      <c r="M10218">
        <v>20</v>
      </c>
      <c r="N10218">
        <v>109</v>
      </c>
      <c r="O10218" t="str">
        <f>"PAGAMENTO DE ENTREGADORES"</f>
        <v>PAGAMENTO DE ENTREGADORES</v>
      </c>
      <c r="P10218">
        <v>20</v>
      </c>
      <c r="S10218" t="str">
        <f>"CAIXA MOVIMENTAÇÃO OPERACIONAL (132)"</f>
        <v>CAIXA MOVIMENTAÇÃO OPERACIONAL (132)</v>
      </c>
      <c r="T10218">
        <v>21034</v>
      </c>
      <c r="U10218">
        <v>25389</v>
      </c>
      <c r="V10218" t="s">
        <v>48</v>
      </c>
    </row>
    <row r="10219" spans="1:22">
      <c r="A10219" t="str">
        <f t="shared" si="1958"/>
        <v>13/11/2025</v>
      </c>
      <c r="B10219" t="str">
        <f>"SAÍDA"</f>
        <v>SAÍDA</v>
      </c>
      <c r="C10219" t="str">
        <f>"PIX"</f>
        <v>PIX</v>
      </c>
      <c r="D10219" t="str">
        <f>"24779"</f>
        <v>24779</v>
      </c>
      <c r="E10219" t="str">
        <f>"1"</f>
        <v>1</v>
      </c>
      <c r="F10219" t="str">
        <f t="shared" si="1956"/>
        <v>COM</v>
      </c>
      <c r="G10219" t="str">
        <f>"KELVIN NUBIO DE SOUZA TOLEDO (735)"</f>
        <v>KELVIN NUBIO DE SOUZA TOLEDO (735)</v>
      </c>
      <c r="H10219" t="s">
        <v>2861</v>
      </c>
      <c r="I10219" t="str">
        <f>("13/11/2025")</f>
        <v>13/11/2025</v>
      </c>
      <c r="J10219" t="str">
        <f>("04/11/2025")</f>
        <v>04/11/2025</v>
      </c>
      <c r="K10219">
        <v>45974</v>
      </c>
      <c r="N10219">
        <v>109</v>
      </c>
      <c r="O10219" t="s">
        <v>24</v>
      </c>
      <c r="Q10219">
        <v>20</v>
      </c>
      <c r="R10219" t="str">
        <f>"FARMÁCIA INDIANA LJ 152 (10069)"</f>
        <v>FARMÁCIA INDIANA LJ 152 (10069)</v>
      </c>
      <c r="S10219" t="s">
        <v>48</v>
      </c>
      <c r="T10219">
        <v>21034</v>
      </c>
      <c r="U10219">
        <v>25389</v>
      </c>
      <c r="V10219" t="s">
        <v>48</v>
      </c>
    </row>
    <row r="10220" spans="1:22">
      <c r="A10220" t="str">
        <f t="shared" si="1958"/>
        <v>13/11/2025</v>
      </c>
      <c r="B10220" t="str">
        <f>"ENTRADA"</f>
        <v>ENTRADA</v>
      </c>
      <c r="C10220" t="str">
        <f>"DINHEIRO"</f>
        <v>DINHEIRO</v>
      </c>
      <c r="D10220" t="str">
        <f>"692"</f>
        <v>692</v>
      </c>
      <c r="E10220" t="str">
        <f>"8"</f>
        <v>8</v>
      </c>
      <c r="F10220" t="str">
        <f t="shared" si="1956"/>
        <v>COM</v>
      </c>
      <c r="G10220" t="str">
        <f>"KHENNEDY DAVY DOS SANTOS SILVA (692)"</f>
        <v>KHENNEDY DAVY DOS SANTOS SILVA (692)</v>
      </c>
      <c r="H10220" t="str">
        <f>"COTAS COOPERATIVA"</f>
        <v>COTAS COOPERATIVA</v>
      </c>
      <c r="I10220" t="str">
        <f>("10/11/2025")</f>
        <v>10/11/2025</v>
      </c>
      <c r="J10220" t="str">
        <f>("03/03/2025")</f>
        <v>03/03/2025</v>
      </c>
      <c r="K10220" t="str">
        <f>("13/11/2025")</f>
        <v>13/11/2025</v>
      </c>
      <c r="L10220">
        <v>20</v>
      </c>
      <c r="M10220">
        <v>20</v>
      </c>
      <c r="N10220">
        <v>106</v>
      </c>
      <c r="O10220" t="str">
        <f>"ENTRADA DE CAPITAL"</f>
        <v>ENTRADA DE CAPITAL</v>
      </c>
      <c r="P10220">
        <v>20</v>
      </c>
      <c r="S10220" t="str">
        <f>"ENTRADA DE CAPITAL (106)"</f>
        <v>ENTRADA DE CAPITAL (106)</v>
      </c>
      <c r="T10220">
        <v>21035</v>
      </c>
      <c r="U10220">
        <v>11838</v>
      </c>
      <c r="V10220" t="s">
        <v>48</v>
      </c>
    </row>
    <row r="10221" spans="1:22">
      <c r="A10221" t="str">
        <f t="shared" si="1958"/>
        <v>13/11/2025</v>
      </c>
      <c r="B10221" t="str">
        <f>"ENTRADA"</f>
        <v>ENTRADA</v>
      </c>
      <c r="C10221" t="str">
        <f>"DINHEIRO"</f>
        <v>DINHEIRO</v>
      </c>
      <c r="D10221" t="str">
        <f>"692"</f>
        <v>692</v>
      </c>
      <c r="E10221" t="str">
        <f>"8"</f>
        <v>8</v>
      </c>
      <c r="F10221" t="str">
        <f t="shared" si="1956"/>
        <v>COM</v>
      </c>
      <c r="G10221" t="str">
        <f>"KHENNEDY DAVY DOS SANTOS SILVA (692)"</f>
        <v>KHENNEDY DAVY DOS SANTOS SILVA (692)</v>
      </c>
      <c r="H10221" t="s">
        <v>318</v>
      </c>
      <c r="I10221" t="str">
        <f>("10/11/2025")</f>
        <v>10/11/2025</v>
      </c>
      <c r="J10221" t="str">
        <f>("03/03/2025")</f>
        <v>03/03/2025</v>
      </c>
      <c r="K10221">
        <v>45974</v>
      </c>
      <c r="N10221">
        <v>106</v>
      </c>
      <c r="O10221" t="s">
        <v>51</v>
      </c>
      <c r="Q10221">
        <v>20</v>
      </c>
      <c r="R10221" t="str">
        <f>"KHENNEDY DAVY DOS SANTOS SILVA (692)"</f>
        <v>KHENNEDY DAVY DOS SANTOS SILVA (692)</v>
      </c>
      <c r="S10221" t="s">
        <v>52</v>
      </c>
      <c r="T10221">
        <v>21035</v>
      </c>
      <c r="U10221">
        <v>11838</v>
      </c>
      <c r="V10221" t="s">
        <v>48</v>
      </c>
    </row>
    <row r="10222" spans="1:22">
      <c r="A10222" t="str">
        <f t="shared" si="1958"/>
        <v>13/11/2025</v>
      </c>
      <c r="B10222" t="str">
        <f>"SAÍDA"</f>
        <v>SAÍDA</v>
      </c>
      <c r="C10222" t="str">
        <f>"PIX"</f>
        <v>PIX</v>
      </c>
      <c r="D10222" t="str">
        <f>"24716"</f>
        <v>24716</v>
      </c>
      <c r="E10222" t="str">
        <f>"1"</f>
        <v>1</v>
      </c>
      <c r="F10222" t="str">
        <f t="shared" si="1956"/>
        <v>COM</v>
      </c>
      <c r="G10222" t="str">
        <f>"KHENNEDY DAVY DOS SANTOS SILVA (692)"</f>
        <v>KHENNEDY DAVY DOS SANTOS SILVA (692)</v>
      </c>
      <c r="H10222" t="str">
        <f>"Serv.Prest. 24/10/2025 a 02/11/2025 - PIX: CPF - CHAVE: 094.700.685-05"</f>
        <v>Serv.Prest. 24/10/2025 a 02/11/2025 - PIX: CPF - CHAVE: 094.700.685-05</v>
      </c>
      <c r="I10222" t="str">
        <f>("13/11/2025")</f>
        <v>13/11/2025</v>
      </c>
      <c r="J10222" t="str">
        <f>("04/11/2025")</f>
        <v>04/11/2025</v>
      </c>
      <c r="K10222" t="str">
        <f>("13/11/2025")</f>
        <v>13/11/2025</v>
      </c>
      <c r="L10222">
        <v>20</v>
      </c>
      <c r="M10222">
        <v>20</v>
      </c>
      <c r="N10222">
        <v>109</v>
      </c>
      <c r="O10222" t="str">
        <f>"PAGAMENTO DE ENTREGADORES"</f>
        <v>PAGAMENTO DE ENTREGADORES</v>
      </c>
      <c r="P10222">
        <v>20</v>
      </c>
      <c r="S10222" t="str">
        <f>"CAIXA MOVIMENTAÇÃO OPERACIONAL (132)"</f>
        <v>CAIXA MOVIMENTAÇÃO OPERACIONAL (132)</v>
      </c>
      <c r="T10222">
        <v>21036</v>
      </c>
      <c r="U10222">
        <v>25390</v>
      </c>
      <c r="V10222" t="s">
        <v>48</v>
      </c>
    </row>
    <row r="10223" spans="1:22">
      <c r="A10223" t="str">
        <f t="shared" si="1958"/>
        <v>13/11/2025</v>
      </c>
      <c r="B10223" t="str">
        <f>"SAÍDA"</f>
        <v>SAÍDA</v>
      </c>
      <c r="C10223" t="str">
        <f>"PIX"</f>
        <v>PIX</v>
      </c>
      <c r="D10223" t="str">
        <f>"24716"</f>
        <v>24716</v>
      </c>
      <c r="E10223" t="str">
        <f>"1"</f>
        <v>1</v>
      </c>
      <c r="F10223" t="str">
        <f t="shared" si="1956"/>
        <v>COM</v>
      </c>
      <c r="G10223" t="str">
        <f>"KHENNEDY DAVY DOS SANTOS SILVA (692)"</f>
        <v>KHENNEDY DAVY DOS SANTOS SILVA (692)</v>
      </c>
      <c r="H10223" t="s">
        <v>2862</v>
      </c>
      <c r="I10223" t="str">
        <f>("13/11/2025")</f>
        <v>13/11/2025</v>
      </c>
      <c r="J10223" t="str">
        <f>("04/11/2025")</f>
        <v>04/11/2025</v>
      </c>
      <c r="K10223">
        <v>45974</v>
      </c>
      <c r="N10223">
        <v>109</v>
      </c>
      <c r="O10223" t="s">
        <v>24</v>
      </c>
      <c r="Q10223">
        <v>13.94</v>
      </c>
      <c r="R10223" t="str">
        <f>"FARMÁCIA INDIANA LJ 65 (10030)"</f>
        <v>FARMÁCIA INDIANA LJ 65 (10030)</v>
      </c>
      <c r="S10223" t="s">
        <v>48</v>
      </c>
      <c r="T10223">
        <v>21036</v>
      </c>
      <c r="U10223">
        <v>25390</v>
      </c>
      <c r="V10223" t="s">
        <v>48</v>
      </c>
    </row>
    <row r="10224" spans="1:22">
      <c r="A10224" t="str">
        <f t="shared" si="1958"/>
        <v>13/11/2025</v>
      </c>
      <c r="B10224" t="str">
        <f>"SAÍDA"</f>
        <v>SAÍDA</v>
      </c>
      <c r="C10224" t="str">
        <f>"PIX"</f>
        <v>PIX</v>
      </c>
      <c r="D10224" t="str">
        <f>"24716"</f>
        <v>24716</v>
      </c>
      <c r="E10224" t="str">
        <f>"1"</f>
        <v>1</v>
      </c>
      <c r="F10224" t="str">
        <f t="shared" si="1956"/>
        <v>COM</v>
      </c>
      <c r="G10224" t="str">
        <f>"KHENNEDY DAVY DOS SANTOS SILVA (692)"</f>
        <v>KHENNEDY DAVY DOS SANTOS SILVA (692)</v>
      </c>
      <c r="H10224" t="s">
        <v>2862</v>
      </c>
      <c r="I10224" t="str">
        <f>("13/11/2025")</f>
        <v>13/11/2025</v>
      </c>
      <c r="J10224" t="str">
        <f>("04/11/2025")</f>
        <v>04/11/2025</v>
      </c>
      <c r="K10224">
        <v>45974</v>
      </c>
      <c r="N10224">
        <v>109</v>
      </c>
      <c r="O10224" t="s">
        <v>24</v>
      </c>
      <c r="Q10224">
        <v>6.06</v>
      </c>
      <c r="R10224" t="str">
        <f>"FARMÁCIA INDIANA LJ 173 (10075)"</f>
        <v>FARMÁCIA INDIANA LJ 173 (10075)</v>
      </c>
      <c r="S10224" t="s">
        <v>48</v>
      </c>
      <c r="T10224">
        <v>21036</v>
      </c>
      <c r="U10224">
        <v>25390</v>
      </c>
      <c r="V10224" t="s">
        <v>48</v>
      </c>
    </row>
    <row r="10225" spans="1:22">
      <c r="A10225" t="str">
        <f t="shared" si="1958"/>
        <v>13/11/2025</v>
      </c>
      <c r="B10225" t="str">
        <f>"SAÍDA"</f>
        <v>SAÍDA</v>
      </c>
      <c r="C10225" t="str">
        <f>"PIX"</f>
        <v>PIX</v>
      </c>
      <c r="D10225" t="str">
        <f>"24717"</f>
        <v>24717</v>
      </c>
      <c r="E10225" t="str">
        <f>"1"</f>
        <v>1</v>
      </c>
      <c r="F10225" t="str">
        <f t="shared" si="1956"/>
        <v>COM</v>
      </c>
      <c r="G10225" t="str">
        <f>"LEONARDO MERCÊS CAJAZEIRAS (235)"</f>
        <v>LEONARDO MERCÊS CAJAZEIRAS (235)</v>
      </c>
      <c r="H10225" t="str">
        <f>"Serv.Prest. 24/10/2025 a 02/11/2025 - PIX: CELULAR - CHAVE: (73) 99803-0715"</f>
        <v>Serv.Prest. 24/10/2025 a 02/11/2025 - PIX: CELULAR - CHAVE: (73) 99803-0715</v>
      </c>
      <c r="I10225" t="str">
        <f>("13/11/2025")</f>
        <v>13/11/2025</v>
      </c>
      <c r="J10225" t="str">
        <f>("04/11/2025")</f>
        <v>04/11/2025</v>
      </c>
      <c r="K10225" t="str">
        <f>("13/11/2025")</f>
        <v>13/11/2025</v>
      </c>
      <c r="L10225">
        <v>20</v>
      </c>
      <c r="M10225">
        <v>20</v>
      </c>
      <c r="N10225">
        <v>109</v>
      </c>
      <c r="O10225" t="str">
        <f>"PAGAMENTO DE ENTREGADORES"</f>
        <v>PAGAMENTO DE ENTREGADORES</v>
      </c>
      <c r="P10225">
        <v>20</v>
      </c>
      <c r="S10225" t="str">
        <f>"CAIXA MOVIMENTAÇÃO OPERACIONAL (132)"</f>
        <v>CAIXA MOVIMENTAÇÃO OPERACIONAL (132)</v>
      </c>
      <c r="T10225">
        <v>21037</v>
      </c>
      <c r="U10225">
        <v>25391</v>
      </c>
      <c r="V10225" t="s">
        <v>48</v>
      </c>
    </row>
    <row r="10226" spans="1:22">
      <c r="A10226" t="str">
        <f t="shared" si="1958"/>
        <v>13/11/2025</v>
      </c>
      <c r="B10226" t="str">
        <f>"SAÍDA"</f>
        <v>SAÍDA</v>
      </c>
      <c r="C10226" t="str">
        <f>"PIX"</f>
        <v>PIX</v>
      </c>
      <c r="D10226" t="str">
        <f>"24717"</f>
        <v>24717</v>
      </c>
      <c r="E10226" t="str">
        <f>"1"</f>
        <v>1</v>
      </c>
      <c r="F10226" t="str">
        <f t="shared" si="1956"/>
        <v>COM</v>
      </c>
      <c r="G10226" t="str">
        <f>"LEONARDO MERCÊS CAJAZEIRAS (235)"</f>
        <v>LEONARDO MERCÊS CAJAZEIRAS (235)</v>
      </c>
      <c r="H10226" t="s">
        <v>2863</v>
      </c>
      <c r="I10226" t="str">
        <f>("13/11/2025")</f>
        <v>13/11/2025</v>
      </c>
      <c r="J10226" t="str">
        <f>("04/11/2025")</f>
        <v>04/11/2025</v>
      </c>
      <c r="K10226">
        <v>45974</v>
      </c>
      <c r="N10226">
        <v>109</v>
      </c>
      <c r="O10226" t="s">
        <v>24</v>
      </c>
      <c r="Q10226">
        <v>20</v>
      </c>
      <c r="R10226" t="str">
        <f>"FARMÁCIA INDIANA LJ 35 (10015)"</f>
        <v>FARMÁCIA INDIANA LJ 35 (10015)</v>
      </c>
      <c r="S10226" t="s">
        <v>48</v>
      </c>
      <c r="T10226">
        <v>21037</v>
      </c>
      <c r="U10226">
        <v>25391</v>
      </c>
      <c r="V10226" t="s">
        <v>48</v>
      </c>
    </row>
    <row r="10227" spans="1:22">
      <c r="A10227" t="str">
        <f t="shared" si="1958"/>
        <v>13/11/2025</v>
      </c>
      <c r="B10227" t="str">
        <f>"ENTRADA"</f>
        <v>ENTRADA</v>
      </c>
      <c r="C10227" t="str">
        <f>"DINHEIRO"</f>
        <v>DINHEIRO</v>
      </c>
      <c r="D10227" t="str">
        <f>"08"</f>
        <v>08</v>
      </c>
      <c r="E10227" t="str">
        <f>"35"</f>
        <v>35</v>
      </c>
      <c r="F10227" t="str">
        <f t="shared" si="1956"/>
        <v>COM</v>
      </c>
      <c r="G10227" t="str">
        <f>"LEONARDO MERCÊS CAJAZEIRAS (235)"</f>
        <v>LEONARDO MERCÊS CAJAZEIRAS (235)</v>
      </c>
      <c r="H10227" t="str">
        <f>"DESCONTO COTA COOPERADO"</f>
        <v>DESCONTO COTA COOPERADO</v>
      </c>
      <c r="I10227" t="str">
        <f>("16/11/2025")</f>
        <v>16/11/2025</v>
      </c>
      <c r="J10227" t="str">
        <f>("16/01/2025")</f>
        <v>16/01/2025</v>
      </c>
      <c r="K10227" t="str">
        <f>("13/11/2025")</f>
        <v>13/11/2025</v>
      </c>
      <c r="L10227">
        <v>20</v>
      </c>
      <c r="M10227">
        <v>20</v>
      </c>
      <c r="N10227">
        <v>106</v>
      </c>
      <c r="O10227" t="str">
        <f>"ENTRADA DE CAPITAL"</f>
        <v>ENTRADA DE CAPITAL</v>
      </c>
      <c r="P10227">
        <v>20</v>
      </c>
      <c r="S10227" t="str">
        <f>"ENTRADA DE CAPITAL (106)"</f>
        <v>ENTRADA DE CAPITAL (106)</v>
      </c>
      <c r="T10227">
        <v>21038</v>
      </c>
      <c r="U10227">
        <v>6939</v>
      </c>
      <c r="V10227" t="s">
        <v>48</v>
      </c>
    </row>
    <row r="10228" spans="1:22">
      <c r="A10228" t="str">
        <f t="shared" si="1958"/>
        <v>13/11/2025</v>
      </c>
      <c r="B10228" t="str">
        <f>"ENTRADA"</f>
        <v>ENTRADA</v>
      </c>
      <c r="C10228" t="str">
        <f>"DINHEIRO"</f>
        <v>DINHEIRO</v>
      </c>
      <c r="D10228" t="str">
        <f>"08"</f>
        <v>08</v>
      </c>
      <c r="E10228" t="str">
        <f>"35"</f>
        <v>35</v>
      </c>
      <c r="F10228" t="str">
        <f t="shared" si="1956"/>
        <v>COM</v>
      </c>
      <c r="G10228" t="str">
        <f>"LEONARDO MERCÊS CAJAZEIRAS (235)"</f>
        <v>LEONARDO MERCÊS CAJAZEIRAS (235)</v>
      </c>
      <c r="H10228" t="s">
        <v>309</v>
      </c>
      <c r="I10228" t="str">
        <f>("16/11/2025")</f>
        <v>16/11/2025</v>
      </c>
      <c r="J10228" t="str">
        <f>("16/01/2025")</f>
        <v>16/01/2025</v>
      </c>
      <c r="K10228">
        <v>45974</v>
      </c>
      <c r="N10228">
        <v>106</v>
      </c>
      <c r="O10228" t="s">
        <v>51</v>
      </c>
      <c r="Q10228">
        <v>20</v>
      </c>
      <c r="R10228" t="str">
        <f>"LEONARDO MERCÊS CAJAZEIRAS (235)"</f>
        <v>LEONARDO MERCÊS CAJAZEIRAS (235)</v>
      </c>
      <c r="S10228" t="s">
        <v>52</v>
      </c>
      <c r="T10228">
        <v>21038</v>
      </c>
      <c r="U10228">
        <v>6939</v>
      </c>
      <c r="V10228" t="s">
        <v>48</v>
      </c>
    </row>
    <row r="10229" spans="1:22">
      <c r="A10229" t="str">
        <f t="shared" si="1958"/>
        <v>13/11/2025</v>
      </c>
      <c r="B10229" t="str">
        <f>"ENTRADA"</f>
        <v>ENTRADA</v>
      </c>
      <c r="C10229" t="str">
        <f>"DINHEIRO"</f>
        <v>DINHEIRO</v>
      </c>
      <c r="D10229" t="str">
        <f>"716"</f>
        <v>716</v>
      </c>
      <c r="E10229" t="str">
        <f>"7"</f>
        <v>7</v>
      </c>
      <c r="F10229" t="str">
        <f t="shared" si="1956"/>
        <v>COM</v>
      </c>
      <c r="G10229" t="str">
        <f>"LEONICIO CORR??A DA SILVA (716)"</f>
        <v>LEONICIO CORR??A DA SILVA (716)</v>
      </c>
      <c r="H10229" t="str">
        <f>"COTA COOPERATIVA"</f>
        <v>COTA COOPERATIVA</v>
      </c>
      <c r="I10229" t="str">
        <f>("08/11/2025")</f>
        <v>08/11/2025</v>
      </c>
      <c r="J10229" t="str">
        <f>("06/04/2025")</f>
        <v>06/04/2025</v>
      </c>
      <c r="K10229" t="str">
        <f>("13/11/2025")</f>
        <v>13/11/2025</v>
      </c>
      <c r="L10229">
        <v>20</v>
      </c>
      <c r="M10229">
        <v>20</v>
      </c>
      <c r="N10229">
        <v>106</v>
      </c>
      <c r="O10229" t="str">
        <f>"ENTRADA DE CAPITAL"</f>
        <v>ENTRADA DE CAPITAL</v>
      </c>
      <c r="P10229">
        <v>20</v>
      </c>
      <c r="S10229" t="str">
        <f>"ENTRADA DE CAPITAL (106)"</f>
        <v>ENTRADA DE CAPITAL (106)</v>
      </c>
      <c r="T10229">
        <v>21039</v>
      </c>
      <c r="U10229">
        <v>14160</v>
      </c>
      <c r="V10229" t="s">
        <v>48</v>
      </c>
    </row>
    <row r="10230" spans="1:22">
      <c r="A10230" t="str">
        <f t="shared" si="1958"/>
        <v>13/11/2025</v>
      </c>
      <c r="B10230" t="str">
        <f>"ENTRADA"</f>
        <v>ENTRADA</v>
      </c>
      <c r="C10230" t="str">
        <f>"DINHEIRO"</f>
        <v>DINHEIRO</v>
      </c>
      <c r="D10230" t="str">
        <f>"716"</f>
        <v>716</v>
      </c>
      <c r="E10230" t="str">
        <f>"7"</f>
        <v>7</v>
      </c>
      <c r="F10230" t="str">
        <f t="shared" si="1956"/>
        <v>COM</v>
      </c>
      <c r="G10230" t="str">
        <f>"LEONICIO CORR??A DA SILVA (716)"</f>
        <v>LEONICIO CORR??A DA SILVA (716)</v>
      </c>
      <c r="H10230" t="s">
        <v>50</v>
      </c>
      <c r="I10230" t="str">
        <f>("08/11/2025")</f>
        <v>08/11/2025</v>
      </c>
      <c r="J10230" t="str">
        <f>("06/04/2025")</f>
        <v>06/04/2025</v>
      </c>
      <c r="K10230">
        <v>45974</v>
      </c>
      <c r="N10230">
        <v>106</v>
      </c>
      <c r="O10230" t="s">
        <v>51</v>
      </c>
      <c r="Q10230">
        <v>20</v>
      </c>
      <c r="R10230" t="str">
        <f>"LEONICIO CORR??A DA SILVA (716)"</f>
        <v>LEONICIO CORR??A DA SILVA (716)</v>
      </c>
      <c r="S10230" t="s">
        <v>52</v>
      </c>
      <c r="T10230">
        <v>21039</v>
      </c>
      <c r="U10230">
        <v>14160</v>
      </c>
      <c r="V10230" t="s">
        <v>48</v>
      </c>
    </row>
    <row r="10231" spans="1:22">
      <c r="A10231" t="str">
        <f t="shared" si="1958"/>
        <v>13/11/2025</v>
      </c>
      <c r="B10231" t="str">
        <f>"SAÍDA"</f>
        <v>SAÍDA</v>
      </c>
      <c r="C10231" t="str">
        <f>"PIX"</f>
        <v>PIX</v>
      </c>
      <c r="D10231" t="str">
        <f>"25024"</f>
        <v>25024</v>
      </c>
      <c r="E10231" t="str">
        <f>"1"</f>
        <v>1</v>
      </c>
      <c r="F10231" t="str">
        <f t="shared" ref="F10231:F10294" si="1959">"COM"</f>
        <v>COM</v>
      </c>
      <c r="G10231" t="str">
        <f>"LEONICIO CORREA DA SILVA (716)"</f>
        <v>LEONICIO CORREA DA SILVA (716)</v>
      </c>
      <c r="H10231" t="str">
        <f>"Serv.Prest. 03/11/2025 a 09/11/2025 - PIX: CPF - CHAVE: 138.263.636-98"</f>
        <v>Serv.Prest. 03/11/2025 a 09/11/2025 - PIX: CPF - CHAVE: 138.263.636-98</v>
      </c>
      <c r="I10231" t="str">
        <f>("13/11/2025")</f>
        <v>13/11/2025</v>
      </c>
      <c r="J10231" t="str">
        <f>("10/11/2025")</f>
        <v>10/11/2025</v>
      </c>
      <c r="K10231" t="str">
        <f>("13/11/2025")</f>
        <v>13/11/2025</v>
      </c>
      <c r="L10231">
        <v>20</v>
      </c>
      <c r="M10231">
        <v>20</v>
      </c>
      <c r="N10231">
        <v>109</v>
      </c>
      <c r="O10231" t="str">
        <f>"PAGAMENTO DE ENTREGADORES"</f>
        <v>PAGAMENTO DE ENTREGADORES</v>
      </c>
      <c r="P10231">
        <v>20</v>
      </c>
      <c r="S10231" t="str">
        <f>"CAIXA MOVIMENTAÇÃO OPERACIONAL (132)"</f>
        <v>CAIXA MOVIMENTAÇÃO OPERACIONAL (132)</v>
      </c>
      <c r="T10231">
        <v>21040</v>
      </c>
      <c r="U10231">
        <v>25392</v>
      </c>
      <c r="V10231" t="s">
        <v>48</v>
      </c>
    </row>
    <row r="10232" spans="1:22">
      <c r="A10232" t="str">
        <f t="shared" si="1958"/>
        <v>13/11/2025</v>
      </c>
      <c r="B10232" t="str">
        <f>"SAÍDA"</f>
        <v>SAÍDA</v>
      </c>
      <c r="C10232" t="str">
        <f>"PIX"</f>
        <v>PIX</v>
      </c>
      <c r="D10232" t="str">
        <f>"25024"</f>
        <v>25024</v>
      </c>
      <c r="E10232" t="str">
        <f>"1"</f>
        <v>1</v>
      </c>
      <c r="F10232" t="str">
        <f t="shared" si="1959"/>
        <v>COM</v>
      </c>
      <c r="G10232" t="str">
        <f>"LEONICIO CORREA DA SILVA (716)"</f>
        <v>LEONICIO CORREA DA SILVA (716)</v>
      </c>
      <c r="H10232" t="s">
        <v>2864</v>
      </c>
      <c r="I10232" t="str">
        <f>("13/11/2025")</f>
        <v>13/11/2025</v>
      </c>
      <c r="J10232" t="str">
        <f>("10/11/2025")</f>
        <v>10/11/2025</v>
      </c>
      <c r="K10232">
        <v>45974</v>
      </c>
      <c r="N10232">
        <v>109</v>
      </c>
      <c r="O10232" t="s">
        <v>24</v>
      </c>
      <c r="Q10232">
        <v>20</v>
      </c>
      <c r="R10232" t="str">
        <f>"ENTREFARMA (10164)"</f>
        <v>ENTREFARMA (10164)</v>
      </c>
      <c r="S10232" t="s">
        <v>48</v>
      </c>
      <c r="T10232">
        <v>21040</v>
      </c>
      <c r="U10232">
        <v>25392</v>
      </c>
      <c r="V10232" t="s">
        <v>48</v>
      </c>
    </row>
    <row r="10233" spans="1:22">
      <c r="A10233" t="str">
        <f t="shared" si="1958"/>
        <v>13/11/2025</v>
      </c>
      <c r="B10233" t="str">
        <f>"SAÍDA"</f>
        <v>SAÍDA</v>
      </c>
      <c r="C10233" t="str">
        <f>"PIX"</f>
        <v>PIX</v>
      </c>
      <c r="D10233" t="str">
        <f>"24783"</f>
        <v>24783</v>
      </c>
      <c r="E10233" t="str">
        <f>"1"</f>
        <v>1</v>
      </c>
      <c r="F10233" t="str">
        <f t="shared" si="1959"/>
        <v>COM</v>
      </c>
      <c r="G10233" t="str">
        <f>"LUAN DOS SANTOS NUNES (719)"</f>
        <v>LUAN DOS SANTOS NUNES (719)</v>
      </c>
      <c r="H10233" t="str">
        <f>"Serv.Prest. 24/10/2025 a 02/11/2025 - PIX: CELULAR - CHAVE: (33) 98749-4693"</f>
        <v>Serv.Prest. 24/10/2025 a 02/11/2025 - PIX: CELULAR - CHAVE: (33) 98749-4693</v>
      </c>
      <c r="I10233" t="str">
        <f>("13/11/2025")</f>
        <v>13/11/2025</v>
      </c>
      <c r="J10233" t="str">
        <f>("04/11/2025")</f>
        <v>04/11/2025</v>
      </c>
      <c r="K10233" t="str">
        <f>("13/11/2025")</f>
        <v>13/11/2025</v>
      </c>
      <c r="L10233">
        <v>20</v>
      </c>
      <c r="M10233">
        <v>20</v>
      </c>
      <c r="N10233">
        <v>109</v>
      </c>
      <c r="O10233" t="str">
        <f>"PAGAMENTO DE ENTREGADORES"</f>
        <v>PAGAMENTO DE ENTREGADORES</v>
      </c>
      <c r="P10233">
        <v>20</v>
      </c>
      <c r="S10233" t="str">
        <f>"CAIXA MOVIMENTAÇÃO OPERACIONAL (132)"</f>
        <v>CAIXA MOVIMENTAÇÃO OPERACIONAL (132)</v>
      </c>
      <c r="T10233">
        <v>21041</v>
      </c>
      <c r="U10233">
        <v>25393</v>
      </c>
      <c r="V10233" t="s">
        <v>48</v>
      </c>
    </row>
    <row r="10234" spans="1:22">
      <c r="A10234" t="str">
        <f t="shared" si="1958"/>
        <v>13/11/2025</v>
      </c>
      <c r="B10234" t="str">
        <f>"SAÍDA"</f>
        <v>SAÍDA</v>
      </c>
      <c r="C10234" t="str">
        <f>"PIX"</f>
        <v>PIX</v>
      </c>
      <c r="D10234" t="str">
        <f>"24783"</f>
        <v>24783</v>
      </c>
      <c r="E10234" t="str">
        <f>"1"</f>
        <v>1</v>
      </c>
      <c r="F10234" t="str">
        <f t="shared" si="1959"/>
        <v>COM</v>
      </c>
      <c r="G10234" t="str">
        <f>"LUAN DOS SANTOS NUNES (719)"</f>
        <v>LUAN DOS SANTOS NUNES (719)</v>
      </c>
      <c r="H10234" t="s">
        <v>2865</v>
      </c>
      <c r="I10234" t="str">
        <f>("13/11/2025")</f>
        <v>13/11/2025</v>
      </c>
      <c r="J10234" t="str">
        <f>("04/11/2025")</f>
        <v>04/11/2025</v>
      </c>
      <c r="K10234">
        <v>45974</v>
      </c>
      <c r="N10234">
        <v>109</v>
      </c>
      <c r="O10234" t="s">
        <v>24</v>
      </c>
      <c r="Q10234">
        <v>20</v>
      </c>
      <c r="R10234" t="str">
        <f>"FARMÁCIA INDIANA LJ 61 (10027)"</f>
        <v>FARMÁCIA INDIANA LJ 61 (10027)</v>
      </c>
      <c r="S10234" t="s">
        <v>48</v>
      </c>
      <c r="T10234">
        <v>21041</v>
      </c>
      <c r="U10234">
        <v>25393</v>
      </c>
      <c r="V10234" t="s">
        <v>48</v>
      </c>
    </row>
    <row r="10235" spans="1:22">
      <c r="A10235" t="str">
        <f t="shared" si="1958"/>
        <v>13/11/2025</v>
      </c>
      <c r="B10235" t="str">
        <f>"ENTRADA"</f>
        <v>ENTRADA</v>
      </c>
      <c r="C10235" t="str">
        <f>"DINHEIRO"</f>
        <v>DINHEIRO</v>
      </c>
      <c r="D10235" t="str">
        <f>"719"</f>
        <v>719</v>
      </c>
      <c r="E10235" t="str">
        <f>"7"</f>
        <v>7</v>
      </c>
      <c r="F10235" t="str">
        <f t="shared" si="1959"/>
        <v>COM</v>
      </c>
      <c r="G10235" t="str">
        <f>"LUAN DOS SANTOS NUNES (719)"</f>
        <v>LUAN DOS SANTOS NUNES (719)</v>
      </c>
      <c r="H10235" t="str">
        <f>"COTA COOPERATIVA"</f>
        <v>COTA COOPERATIVA</v>
      </c>
      <c r="I10235" t="str">
        <f>("15/11/2025")</f>
        <v>15/11/2025</v>
      </c>
      <c r="J10235" t="str">
        <f>("07/04/2025")</f>
        <v>07/04/2025</v>
      </c>
      <c r="K10235" t="str">
        <f>("13/11/2025")</f>
        <v>13/11/2025</v>
      </c>
      <c r="L10235">
        <v>20</v>
      </c>
      <c r="M10235">
        <v>20</v>
      </c>
      <c r="N10235">
        <v>106</v>
      </c>
      <c r="O10235" t="str">
        <f>"ENTRADA DE CAPITAL"</f>
        <v>ENTRADA DE CAPITAL</v>
      </c>
      <c r="P10235">
        <v>20</v>
      </c>
      <c r="S10235" t="str">
        <f>"ENTRADA DE CAPITAL (106)"</f>
        <v>ENTRADA DE CAPITAL (106)</v>
      </c>
      <c r="T10235">
        <v>21042</v>
      </c>
      <c r="U10235">
        <v>13046</v>
      </c>
      <c r="V10235" t="s">
        <v>48</v>
      </c>
    </row>
    <row r="10236" spans="1:22">
      <c r="A10236" t="str">
        <f t="shared" si="1958"/>
        <v>13/11/2025</v>
      </c>
      <c r="B10236" t="str">
        <f>"ENTRADA"</f>
        <v>ENTRADA</v>
      </c>
      <c r="C10236" t="str">
        <f>"DINHEIRO"</f>
        <v>DINHEIRO</v>
      </c>
      <c r="D10236" t="str">
        <f>"719"</f>
        <v>719</v>
      </c>
      <c r="E10236" t="str">
        <f>"7"</f>
        <v>7</v>
      </c>
      <c r="F10236" t="str">
        <f t="shared" si="1959"/>
        <v>COM</v>
      </c>
      <c r="G10236" t="str">
        <f>"LUAN DOS SANTOS NUNES (719)"</f>
        <v>LUAN DOS SANTOS NUNES (719)</v>
      </c>
      <c r="H10236" t="s">
        <v>50</v>
      </c>
      <c r="I10236" t="str">
        <f>("15/11/2025")</f>
        <v>15/11/2025</v>
      </c>
      <c r="J10236" t="str">
        <f>("07/04/2025")</f>
        <v>07/04/2025</v>
      </c>
      <c r="K10236">
        <v>45974</v>
      </c>
      <c r="N10236">
        <v>106</v>
      </c>
      <c r="O10236" t="s">
        <v>51</v>
      </c>
      <c r="Q10236">
        <v>20</v>
      </c>
      <c r="R10236" t="str">
        <f>"LUAN DOS SANTOS NUNES (719)"</f>
        <v>LUAN DOS SANTOS NUNES (719)</v>
      </c>
      <c r="S10236" t="s">
        <v>52</v>
      </c>
      <c r="T10236">
        <v>21042</v>
      </c>
      <c r="U10236">
        <v>13046</v>
      </c>
      <c r="V10236" t="s">
        <v>48</v>
      </c>
    </row>
    <row r="10237" spans="1:22">
      <c r="A10237" t="str">
        <f t="shared" si="1958"/>
        <v>13/11/2025</v>
      </c>
      <c r="B10237" t="str">
        <f>"ENTRADA"</f>
        <v>ENTRADA</v>
      </c>
      <c r="C10237" t="str">
        <f>"DINHEIRO"</f>
        <v>DINHEIRO</v>
      </c>
      <c r="D10237" t="str">
        <f>"868"</f>
        <v>868</v>
      </c>
      <c r="E10237" t="str">
        <f>"4"</f>
        <v>4</v>
      </c>
      <c r="F10237" t="str">
        <f t="shared" si="1959"/>
        <v>COM</v>
      </c>
      <c r="G10237" t="str">
        <f>"LUCAS FERREIRA DOS SANTOS (868)"</f>
        <v>LUCAS FERREIRA DOS SANTOS (868)</v>
      </c>
      <c r="H10237" t="str">
        <f>"COTA COOPERATIVA"</f>
        <v>COTA COOPERATIVA</v>
      </c>
      <c r="I10237" t="str">
        <f>("10/11/2025")</f>
        <v>10/11/2025</v>
      </c>
      <c r="J10237" t="str">
        <f>("01/07/2025")</f>
        <v>01/07/2025</v>
      </c>
      <c r="K10237" t="str">
        <f>("13/11/2025")</f>
        <v>13/11/2025</v>
      </c>
      <c r="L10237">
        <v>20</v>
      </c>
      <c r="M10237">
        <v>20</v>
      </c>
      <c r="N10237">
        <v>106</v>
      </c>
      <c r="O10237" t="str">
        <f>"ENTRADA DE CAPITAL"</f>
        <v>ENTRADA DE CAPITAL</v>
      </c>
      <c r="P10237">
        <v>20</v>
      </c>
      <c r="S10237" t="str">
        <f>"ENTRADA DE CAPITAL (106)"</f>
        <v>ENTRADA DE CAPITAL (106)</v>
      </c>
      <c r="T10237">
        <v>21043</v>
      </c>
      <c r="U10237">
        <v>19801</v>
      </c>
      <c r="V10237" t="s">
        <v>48</v>
      </c>
    </row>
    <row r="10238" spans="1:22">
      <c r="A10238" t="str">
        <f t="shared" si="1958"/>
        <v>13/11/2025</v>
      </c>
      <c r="B10238" t="str">
        <f>"ENTRADA"</f>
        <v>ENTRADA</v>
      </c>
      <c r="C10238" t="str">
        <f>"DINHEIRO"</f>
        <v>DINHEIRO</v>
      </c>
      <c r="D10238" t="str">
        <f>"868"</f>
        <v>868</v>
      </c>
      <c r="E10238" t="str">
        <f>"4"</f>
        <v>4</v>
      </c>
      <c r="F10238" t="str">
        <f t="shared" si="1959"/>
        <v>COM</v>
      </c>
      <c r="G10238" t="str">
        <f>"LUCAS FERREIRA DOS SANTOS (868)"</f>
        <v>LUCAS FERREIRA DOS SANTOS (868)</v>
      </c>
      <c r="H10238" t="s">
        <v>50</v>
      </c>
      <c r="I10238" t="str">
        <f>("10/11/2025")</f>
        <v>10/11/2025</v>
      </c>
      <c r="J10238" t="str">
        <f>("01/07/2025")</f>
        <v>01/07/2025</v>
      </c>
      <c r="K10238">
        <v>45974</v>
      </c>
      <c r="N10238">
        <v>106</v>
      </c>
      <c r="O10238" t="s">
        <v>51</v>
      </c>
      <c r="Q10238">
        <v>20</v>
      </c>
      <c r="R10238" t="str">
        <f>"LUCAS FERREIRA DOS SANTOS (868)"</f>
        <v>LUCAS FERREIRA DOS SANTOS (868)</v>
      </c>
      <c r="S10238" t="s">
        <v>52</v>
      </c>
      <c r="T10238">
        <v>21043</v>
      </c>
      <c r="U10238">
        <v>19801</v>
      </c>
      <c r="V10238" t="s">
        <v>48</v>
      </c>
    </row>
    <row r="10239" spans="1:22">
      <c r="A10239" t="str">
        <f t="shared" si="1958"/>
        <v>13/11/2025</v>
      </c>
      <c r="B10239" t="str">
        <f>"SAÍDA"</f>
        <v>SAÍDA</v>
      </c>
      <c r="C10239" t="str">
        <f>"PIX"</f>
        <v>PIX</v>
      </c>
      <c r="D10239" t="str">
        <f>"24785"</f>
        <v>24785</v>
      </c>
      <c r="E10239" t="str">
        <f>"1"</f>
        <v>1</v>
      </c>
      <c r="F10239" t="str">
        <f t="shared" si="1959"/>
        <v>COM</v>
      </c>
      <c r="G10239" t="str">
        <f>"LUCAS FERREIRA DOS SANTOS (868)"</f>
        <v>LUCAS FERREIRA DOS SANTOS (868)</v>
      </c>
      <c r="H10239" t="str">
        <f>"Serv.Prest. 24/10/2025 a 02/11/2025 - PIX: CELULAR - CHAVE: (33) 99172-0627"</f>
        <v>Serv.Prest. 24/10/2025 a 02/11/2025 - PIX: CELULAR - CHAVE: (33) 99172-0627</v>
      </c>
      <c r="I10239" t="str">
        <f>("13/11/2025")</f>
        <v>13/11/2025</v>
      </c>
      <c r="J10239" t="str">
        <f>("04/11/2025")</f>
        <v>04/11/2025</v>
      </c>
      <c r="K10239" t="str">
        <f>("13/11/2025")</f>
        <v>13/11/2025</v>
      </c>
      <c r="L10239">
        <v>20</v>
      </c>
      <c r="M10239">
        <v>20</v>
      </c>
      <c r="N10239">
        <v>109</v>
      </c>
      <c r="O10239" t="str">
        <f>"PAGAMENTO DE ENTREGADORES"</f>
        <v>PAGAMENTO DE ENTREGADORES</v>
      </c>
      <c r="P10239">
        <v>20</v>
      </c>
      <c r="S10239" t="str">
        <f>"CAIXA MOVIMENTAÇÃO OPERACIONAL (132)"</f>
        <v>CAIXA MOVIMENTAÇÃO OPERACIONAL (132)</v>
      </c>
      <c r="T10239">
        <v>21044</v>
      </c>
      <c r="U10239">
        <v>25394</v>
      </c>
      <c r="V10239" t="s">
        <v>48</v>
      </c>
    </row>
    <row r="10240" spans="1:22">
      <c r="A10240" t="str">
        <f t="shared" si="1958"/>
        <v>13/11/2025</v>
      </c>
      <c r="B10240" t="str">
        <f>"SAÍDA"</f>
        <v>SAÍDA</v>
      </c>
      <c r="C10240" t="str">
        <f>"PIX"</f>
        <v>PIX</v>
      </c>
      <c r="D10240" t="str">
        <f>"24785"</f>
        <v>24785</v>
      </c>
      <c r="E10240" t="str">
        <f>"1"</f>
        <v>1</v>
      </c>
      <c r="F10240" t="str">
        <f t="shared" si="1959"/>
        <v>COM</v>
      </c>
      <c r="G10240" t="str">
        <f>"LUCAS FERREIRA DOS SANTOS (868)"</f>
        <v>LUCAS FERREIRA DOS SANTOS (868)</v>
      </c>
      <c r="H10240" t="s">
        <v>2866</v>
      </c>
      <c r="I10240" t="str">
        <f>("13/11/2025")</f>
        <v>13/11/2025</v>
      </c>
      <c r="J10240" t="str">
        <f>("04/11/2025")</f>
        <v>04/11/2025</v>
      </c>
      <c r="K10240">
        <v>45974</v>
      </c>
      <c r="N10240">
        <v>109</v>
      </c>
      <c r="O10240" t="s">
        <v>24</v>
      </c>
      <c r="Q10240">
        <v>20</v>
      </c>
      <c r="R10240" t="str">
        <f>"FARMÁCIA INDIANA LJ 06 (10006)"</f>
        <v>FARMÁCIA INDIANA LJ 06 (10006)</v>
      </c>
      <c r="S10240" t="s">
        <v>48</v>
      </c>
      <c r="T10240">
        <v>21044</v>
      </c>
      <c r="U10240">
        <v>25394</v>
      </c>
      <c r="V10240" t="s">
        <v>48</v>
      </c>
    </row>
    <row r="10241" spans="1:22">
      <c r="A10241" t="str">
        <f t="shared" si="1958"/>
        <v>13/11/2025</v>
      </c>
      <c r="B10241" t="str">
        <f>"SAÍDA"</f>
        <v>SAÍDA</v>
      </c>
      <c r="C10241" t="str">
        <f>"PIX"</f>
        <v>PIX</v>
      </c>
      <c r="D10241" t="str">
        <f>"24718"</f>
        <v>24718</v>
      </c>
      <c r="E10241" t="str">
        <f>"1"</f>
        <v>1</v>
      </c>
      <c r="F10241" t="str">
        <f t="shared" si="1959"/>
        <v>COM</v>
      </c>
      <c r="G10241" t="str">
        <f>"LUCAS MOREIRA PEREIRA (153)"</f>
        <v>LUCAS MOREIRA PEREIRA (153)</v>
      </c>
      <c r="H10241" t="str">
        <f>"Serv.Prest. 24/10/2025 a 02/11/2025 - PIX: CELULAR - CHAVE: (73) 99967-3239"</f>
        <v>Serv.Prest. 24/10/2025 a 02/11/2025 - PIX: CELULAR - CHAVE: (73) 99967-3239</v>
      </c>
      <c r="I10241" t="str">
        <f>("13/11/2025")</f>
        <v>13/11/2025</v>
      </c>
      <c r="J10241" t="str">
        <f>("04/11/2025")</f>
        <v>04/11/2025</v>
      </c>
      <c r="K10241" t="str">
        <f>("13/11/2025")</f>
        <v>13/11/2025</v>
      </c>
      <c r="L10241">
        <v>20</v>
      </c>
      <c r="M10241">
        <v>20</v>
      </c>
      <c r="N10241">
        <v>109</v>
      </c>
      <c r="O10241" t="str">
        <f>"PAGAMENTO DE ENTREGADORES"</f>
        <v>PAGAMENTO DE ENTREGADORES</v>
      </c>
      <c r="P10241">
        <v>20</v>
      </c>
      <c r="S10241" t="str">
        <f>"CAIXA MOVIMENTAÇÃO OPERACIONAL (132)"</f>
        <v>CAIXA MOVIMENTAÇÃO OPERACIONAL (132)</v>
      </c>
      <c r="T10241">
        <v>21045</v>
      </c>
      <c r="U10241">
        <v>25395</v>
      </c>
      <c r="V10241" t="s">
        <v>48</v>
      </c>
    </row>
    <row r="10242" spans="1:22">
      <c r="A10242" t="str">
        <f t="shared" si="1958"/>
        <v>13/11/2025</v>
      </c>
      <c r="B10242" t="str">
        <f>"SAÍDA"</f>
        <v>SAÍDA</v>
      </c>
      <c r="C10242" t="str">
        <f>"PIX"</f>
        <v>PIX</v>
      </c>
      <c r="D10242" t="str">
        <f>"24718"</f>
        <v>24718</v>
      </c>
      <c r="E10242" t="str">
        <f>"1"</f>
        <v>1</v>
      </c>
      <c r="F10242" t="str">
        <f t="shared" si="1959"/>
        <v>COM</v>
      </c>
      <c r="G10242" t="str">
        <f>"LUCAS MOREIRA PEREIRA (153)"</f>
        <v>LUCAS MOREIRA PEREIRA (153)</v>
      </c>
      <c r="H10242" t="s">
        <v>2867</v>
      </c>
      <c r="I10242" t="str">
        <f>("13/11/2025")</f>
        <v>13/11/2025</v>
      </c>
      <c r="J10242" t="str">
        <f>("04/11/2025")</f>
        <v>04/11/2025</v>
      </c>
      <c r="K10242">
        <v>45974</v>
      </c>
      <c r="N10242">
        <v>109</v>
      </c>
      <c r="O10242" t="s">
        <v>24</v>
      </c>
      <c r="Q10242">
        <v>13.85</v>
      </c>
      <c r="R10242" t="str">
        <f>"FARMÁCIA INDIANA LJ 48 (10018)"</f>
        <v>FARMÁCIA INDIANA LJ 48 (10018)</v>
      </c>
      <c r="S10242" t="s">
        <v>48</v>
      </c>
      <c r="T10242">
        <v>21045</v>
      </c>
      <c r="U10242">
        <v>25395</v>
      </c>
      <c r="V10242" t="s">
        <v>48</v>
      </c>
    </row>
    <row r="10243" spans="1:22">
      <c r="A10243" t="str">
        <f t="shared" si="1958"/>
        <v>13/11/2025</v>
      </c>
      <c r="B10243" t="str">
        <f>"SAÍDA"</f>
        <v>SAÍDA</v>
      </c>
      <c r="C10243" t="str">
        <f>"PIX"</f>
        <v>PIX</v>
      </c>
      <c r="D10243" t="str">
        <f>"24718"</f>
        <v>24718</v>
      </c>
      <c r="E10243" t="str">
        <f>"1"</f>
        <v>1</v>
      </c>
      <c r="F10243" t="str">
        <f t="shared" si="1959"/>
        <v>COM</v>
      </c>
      <c r="G10243" t="str">
        <f>"LUCAS MOREIRA PEREIRA (153)"</f>
        <v>LUCAS MOREIRA PEREIRA (153)</v>
      </c>
      <c r="H10243" t="s">
        <v>2867</v>
      </c>
      <c r="I10243" t="str">
        <f>("13/11/2025")</f>
        <v>13/11/2025</v>
      </c>
      <c r="J10243" t="str">
        <f>("04/11/2025")</f>
        <v>04/11/2025</v>
      </c>
      <c r="K10243">
        <v>45974</v>
      </c>
      <c r="N10243">
        <v>109</v>
      </c>
      <c r="O10243" t="s">
        <v>24</v>
      </c>
      <c r="Q10243">
        <v>6.15</v>
      </c>
      <c r="R10243" t="str">
        <f>"FARMÁCIA INDIANA LJ 169 (10073)"</f>
        <v>FARMÁCIA INDIANA LJ 169 (10073)</v>
      </c>
      <c r="S10243" t="s">
        <v>48</v>
      </c>
      <c r="T10243">
        <v>21045</v>
      </c>
      <c r="U10243">
        <v>25395</v>
      </c>
      <c r="V10243" t="s">
        <v>48</v>
      </c>
    </row>
    <row r="10244" spans="1:22">
      <c r="A10244" t="str">
        <f t="shared" si="1958"/>
        <v>13/11/2025</v>
      </c>
      <c r="B10244" t="str">
        <f>"ENTRADA"</f>
        <v>ENTRADA</v>
      </c>
      <c r="C10244" t="str">
        <f>"DINHEIRO"</f>
        <v>DINHEIRO</v>
      </c>
      <c r="D10244" t="str">
        <f>"13"</f>
        <v>13</v>
      </c>
      <c r="E10244" t="str">
        <f>"35"</f>
        <v>35</v>
      </c>
      <c r="F10244" t="str">
        <f t="shared" si="1959"/>
        <v>COM</v>
      </c>
      <c r="G10244" t="str">
        <f>"LUCAS MOREIRA PEREIRA (153)"</f>
        <v>LUCAS MOREIRA PEREIRA (153)</v>
      </c>
      <c r="H10244" t="str">
        <f>"DESCONTO COTA COOPERADO"</f>
        <v>DESCONTO COTA COOPERADO</v>
      </c>
      <c r="I10244" t="str">
        <f>("16/11/2025")</f>
        <v>16/11/2025</v>
      </c>
      <c r="J10244" t="str">
        <f>("16/01/2025")</f>
        <v>16/01/2025</v>
      </c>
      <c r="K10244" t="str">
        <f>("13/11/2025")</f>
        <v>13/11/2025</v>
      </c>
      <c r="L10244">
        <v>20</v>
      </c>
      <c r="M10244">
        <v>20</v>
      </c>
      <c r="N10244">
        <v>106</v>
      </c>
      <c r="O10244" t="str">
        <f>"ENTRADA DE CAPITAL"</f>
        <v>ENTRADA DE CAPITAL</v>
      </c>
      <c r="P10244">
        <v>20</v>
      </c>
      <c r="S10244" t="str">
        <f>"ENTRADA DE CAPITAL (106)"</f>
        <v>ENTRADA DE CAPITAL (106)</v>
      </c>
      <c r="T10244">
        <v>21046</v>
      </c>
      <c r="U10244">
        <v>6965</v>
      </c>
      <c r="V10244" t="s">
        <v>48</v>
      </c>
    </row>
    <row r="10245" spans="1:22">
      <c r="A10245" t="str">
        <f t="shared" si="1958"/>
        <v>13/11/2025</v>
      </c>
      <c r="B10245" t="str">
        <f>"ENTRADA"</f>
        <v>ENTRADA</v>
      </c>
      <c r="C10245" t="str">
        <f>"DINHEIRO"</f>
        <v>DINHEIRO</v>
      </c>
      <c r="D10245" t="str">
        <f>"13"</f>
        <v>13</v>
      </c>
      <c r="E10245" t="str">
        <f>"35"</f>
        <v>35</v>
      </c>
      <c r="F10245" t="str">
        <f t="shared" si="1959"/>
        <v>COM</v>
      </c>
      <c r="G10245" t="str">
        <f>"LUCAS MOREIRA PEREIRA (153)"</f>
        <v>LUCAS MOREIRA PEREIRA (153)</v>
      </c>
      <c r="H10245" t="s">
        <v>309</v>
      </c>
      <c r="I10245" t="str">
        <f>("16/11/2025")</f>
        <v>16/11/2025</v>
      </c>
      <c r="J10245" t="str">
        <f>("16/01/2025")</f>
        <v>16/01/2025</v>
      </c>
      <c r="K10245">
        <v>45974</v>
      </c>
      <c r="N10245">
        <v>106</v>
      </c>
      <c r="O10245" t="s">
        <v>51</v>
      </c>
      <c r="Q10245">
        <v>20</v>
      </c>
      <c r="R10245" t="str">
        <f>"LUCAS MOREIRA PEREIRA (153)"</f>
        <v>LUCAS MOREIRA PEREIRA (153)</v>
      </c>
      <c r="S10245" t="s">
        <v>52</v>
      </c>
      <c r="T10245">
        <v>21046</v>
      </c>
      <c r="U10245">
        <v>6965</v>
      </c>
      <c r="V10245" t="s">
        <v>48</v>
      </c>
    </row>
    <row r="10246" spans="1:22">
      <c r="A10246" t="str">
        <f t="shared" si="1958"/>
        <v>13/11/2025</v>
      </c>
      <c r="B10246" t="str">
        <f>"ENTRADA"</f>
        <v>ENTRADA</v>
      </c>
      <c r="C10246" t="str">
        <f>"DINHEIRO"</f>
        <v>DINHEIRO</v>
      </c>
      <c r="D10246" t="str">
        <f>"878"</f>
        <v>878</v>
      </c>
      <c r="E10246" t="str">
        <f>"4"</f>
        <v>4</v>
      </c>
      <c r="F10246" t="str">
        <f t="shared" si="1959"/>
        <v>COM</v>
      </c>
      <c r="G10246" t="str">
        <f>"LUIZ EDUARDO VIANA BRITO (878)"</f>
        <v>LUIZ EDUARDO VIANA BRITO (878)</v>
      </c>
      <c r="H10246" t="str">
        <f>"COTA COOPERATIVA"</f>
        <v>COTA COOPERATIVA</v>
      </c>
      <c r="I10246" t="str">
        <f>("10/11/2025")</f>
        <v>10/11/2025</v>
      </c>
      <c r="J10246" t="str">
        <f>("14/07/2025")</f>
        <v>14/07/2025</v>
      </c>
      <c r="K10246" t="str">
        <f>("13/11/2025")</f>
        <v>13/11/2025</v>
      </c>
      <c r="L10246">
        <v>20</v>
      </c>
      <c r="M10246">
        <v>20</v>
      </c>
      <c r="N10246">
        <v>106</v>
      </c>
      <c r="O10246" t="str">
        <f>"ENTRADA DE CAPITAL"</f>
        <v>ENTRADA DE CAPITAL</v>
      </c>
      <c r="P10246">
        <v>20</v>
      </c>
      <c r="S10246" t="str">
        <f>"ENTRADA DE CAPITAL (106)"</f>
        <v>ENTRADA DE CAPITAL (106)</v>
      </c>
      <c r="T10246">
        <v>21047</v>
      </c>
      <c r="U10246">
        <v>19829</v>
      </c>
      <c r="V10246" t="s">
        <v>48</v>
      </c>
    </row>
    <row r="10247" spans="1:22">
      <c r="A10247" t="str">
        <f t="shared" si="1958"/>
        <v>13/11/2025</v>
      </c>
      <c r="B10247" t="str">
        <f>"ENTRADA"</f>
        <v>ENTRADA</v>
      </c>
      <c r="C10247" t="str">
        <f>"DINHEIRO"</f>
        <v>DINHEIRO</v>
      </c>
      <c r="D10247" t="str">
        <f>"878"</f>
        <v>878</v>
      </c>
      <c r="E10247" t="str">
        <f>"4"</f>
        <v>4</v>
      </c>
      <c r="F10247" t="str">
        <f t="shared" si="1959"/>
        <v>COM</v>
      </c>
      <c r="G10247" t="str">
        <f>"LUIZ EDUARDO VIANA BRITO (878)"</f>
        <v>LUIZ EDUARDO VIANA BRITO (878)</v>
      </c>
      <c r="H10247" t="s">
        <v>50</v>
      </c>
      <c r="I10247" t="str">
        <f>("10/11/2025")</f>
        <v>10/11/2025</v>
      </c>
      <c r="J10247" t="str">
        <f>("14/07/2025")</f>
        <v>14/07/2025</v>
      </c>
      <c r="K10247">
        <v>45974</v>
      </c>
      <c r="N10247">
        <v>106</v>
      </c>
      <c r="O10247" t="s">
        <v>51</v>
      </c>
      <c r="Q10247">
        <v>20</v>
      </c>
      <c r="R10247" t="str">
        <f>"LUIZ EDUARDO VIANA BRITO (878)"</f>
        <v>LUIZ EDUARDO VIANA BRITO (878)</v>
      </c>
      <c r="S10247" t="s">
        <v>52</v>
      </c>
      <c r="T10247">
        <v>21047</v>
      </c>
      <c r="U10247">
        <v>19829</v>
      </c>
      <c r="V10247" t="s">
        <v>48</v>
      </c>
    </row>
    <row r="10248" spans="1:22">
      <c r="A10248" t="str">
        <f t="shared" si="1958"/>
        <v>13/11/2025</v>
      </c>
      <c r="B10248" t="str">
        <f>"SAÍDA"</f>
        <v>SAÍDA</v>
      </c>
      <c r="C10248" t="str">
        <f>"PIX"</f>
        <v>PIX</v>
      </c>
      <c r="D10248" t="str">
        <f>"24788"</f>
        <v>24788</v>
      </c>
      <c r="E10248" t="str">
        <f>"1"</f>
        <v>1</v>
      </c>
      <c r="F10248" t="str">
        <f t="shared" si="1959"/>
        <v>COM</v>
      </c>
      <c r="G10248" t="str">
        <f>"LUIZ EDUARDO VIANA BRITO (878)"</f>
        <v>LUIZ EDUARDO VIANA BRITO (878)</v>
      </c>
      <c r="H10248" t="str">
        <f>"Serv.Prest. 24/10/2025 a 02/11/2025 - PIX: CPF - CHAVE: 101.220.976-88"</f>
        <v>Serv.Prest. 24/10/2025 a 02/11/2025 - PIX: CPF - CHAVE: 101.220.976-88</v>
      </c>
      <c r="I10248" t="str">
        <f>("13/11/2025")</f>
        <v>13/11/2025</v>
      </c>
      <c r="J10248" t="str">
        <f>("04/11/2025")</f>
        <v>04/11/2025</v>
      </c>
      <c r="K10248" t="str">
        <f>("13/11/2025")</f>
        <v>13/11/2025</v>
      </c>
      <c r="L10248">
        <v>20</v>
      </c>
      <c r="M10248">
        <v>20</v>
      </c>
      <c r="N10248">
        <v>109</v>
      </c>
      <c r="O10248" t="str">
        <f>"PAGAMENTO DE ENTREGADORES"</f>
        <v>PAGAMENTO DE ENTREGADORES</v>
      </c>
      <c r="P10248">
        <v>20</v>
      </c>
      <c r="S10248" t="str">
        <f>"CAIXA MOVIMENTAÇÃO OPERACIONAL (132)"</f>
        <v>CAIXA MOVIMENTAÇÃO OPERACIONAL (132)</v>
      </c>
      <c r="T10248">
        <v>21048</v>
      </c>
      <c r="U10248">
        <v>25396</v>
      </c>
      <c r="V10248" t="s">
        <v>48</v>
      </c>
    </row>
    <row r="10249" spans="1:22">
      <c r="A10249" t="str">
        <f t="shared" si="1958"/>
        <v>13/11/2025</v>
      </c>
      <c r="B10249" t="str">
        <f>"SAÍDA"</f>
        <v>SAÍDA</v>
      </c>
      <c r="C10249" t="str">
        <f>"PIX"</f>
        <v>PIX</v>
      </c>
      <c r="D10249" t="str">
        <f>"24788"</f>
        <v>24788</v>
      </c>
      <c r="E10249" t="str">
        <f>"1"</f>
        <v>1</v>
      </c>
      <c r="F10249" t="str">
        <f t="shared" si="1959"/>
        <v>COM</v>
      </c>
      <c r="G10249" t="str">
        <f>"LUIZ EDUARDO VIANA BRITO (878)"</f>
        <v>LUIZ EDUARDO VIANA BRITO (878)</v>
      </c>
      <c r="H10249" t="s">
        <v>2868</v>
      </c>
      <c r="I10249" t="str">
        <f>("13/11/2025")</f>
        <v>13/11/2025</v>
      </c>
      <c r="J10249" t="str">
        <f>("04/11/2025")</f>
        <v>04/11/2025</v>
      </c>
      <c r="K10249">
        <v>45974</v>
      </c>
      <c r="N10249">
        <v>109</v>
      </c>
      <c r="O10249" t="s">
        <v>24</v>
      </c>
      <c r="Q10249">
        <v>20</v>
      </c>
      <c r="R10249" t="str">
        <f>"FARMÁCIA INDIANA LJ 40 (10016)"</f>
        <v>FARMÁCIA INDIANA LJ 40 (10016)</v>
      </c>
      <c r="S10249" t="s">
        <v>48</v>
      </c>
      <c r="T10249">
        <v>21048</v>
      </c>
      <c r="U10249">
        <v>25396</v>
      </c>
      <c r="V10249" t="s">
        <v>48</v>
      </c>
    </row>
    <row r="10250" spans="1:22">
      <c r="A10250" t="str">
        <f t="shared" si="1958"/>
        <v>13/11/2025</v>
      </c>
      <c r="B10250" t="str">
        <f>"ENTRADA"</f>
        <v>ENTRADA</v>
      </c>
      <c r="C10250" t="str">
        <f>"DINHEIRO"</f>
        <v>DINHEIRO</v>
      </c>
      <c r="D10250" t="str">
        <f>"870"</f>
        <v>870</v>
      </c>
      <c r="E10250" t="str">
        <f>"4"</f>
        <v>4</v>
      </c>
      <c r="F10250" t="str">
        <f t="shared" si="1959"/>
        <v>COM</v>
      </c>
      <c r="G10250" t="str">
        <f>"LUIZ EMANUEL PINHEIRO (870)"</f>
        <v>LUIZ EMANUEL PINHEIRO (870)</v>
      </c>
      <c r="H10250" t="str">
        <f>"COTA COOPERATIVA"</f>
        <v>COTA COOPERATIVA</v>
      </c>
      <c r="I10250" t="str">
        <f>("10/11/2025")</f>
        <v>10/11/2025</v>
      </c>
      <c r="J10250" t="str">
        <f>("04/07/2025")</f>
        <v>04/07/2025</v>
      </c>
      <c r="K10250" t="str">
        <f>("13/11/2025")</f>
        <v>13/11/2025</v>
      </c>
      <c r="L10250">
        <v>20</v>
      </c>
      <c r="M10250">
        <v>20</v>
      </c>
      <c r="N10250">
        <v>106</v>
      </c>
      <c r="O10250" t="str">
        <f>"ENTRADA DE CAPITAL"</f>
        <v>ENTRADA DE CAPITAL</v>
      </c>
      <c r="P10250">
        <v>20</v>
      </c>
      <c r="S10250" t="str">
        <f>"ENTRADA DE CAPITAL (106)"</f>
        <v>ENTRADA DE CAPITAL (106)</v>
      </c>
      <c r="T10250">
        <v>21049</v>
      </c>
      <c r="U10250">
        <v>19856</v>
      </c>
      <c r="V10250" t="s">
        <v>48</v>
      </c>
    </row>
    <row r="10251" spans="1:22">
      <c r="A10251" t="str">
        <f t="shared" si="1958"/>
        <v>13/11/2025</v>
      </c>
      <c r="B10251" t="str">
        <f>"ENTRADA"</f>
        <v>ENTRADA</v>
      </c>
      <c r="C10251" t="str">
        <f>"DINHEIRO"</f>
        <v>DINHEIRO</v>
      </c>
      <c r="D10251" t="str">
        <f>"870"</f>
        <v>870</v>
      </c>
      <c r="E10251" t="str">
        <f>"4"</f>
        <v>4</v>
      </c>
      <c r="F10251" t="str">
        <f t="shared" si="1959"/>
        <v>COM</v>
      </c>
      <c r="G10251" t="str">
        <f>"LUIZ EMANUEL PINHEIRO (870)"</f>
        <v>LUIZ EMANUEL PINHEIRO (870)</v>
      </c>
      <c r="H10251" t="s">
        <v>50</v>
      </c>
      <c r="I10251" t="str">
        <f>("10/11/2025")</f>
        <v>10/11/2025</v>
      </c>
      <c r="J10251" t="str">
        <f>("04/07/2025")</f>
        <v>04/07/2025</v>
      </c>
      <c r="K10251">
        <v>45974</v>
      </c>
      <c r="N10251">
        <v>106</v>
      </c>
      <c r="O10251" t="s">
        <v>51</v>
      </c>
      <c r="Q10251">
        <v>20</v>
      </c>
      <c r="R10251" t="str">
        <f>"LUIZ EMANUEL PINHEIRO (870)"</f>
        <v>LUIZ EMANUEL PINHEIRO (870)</v>
      </c>
      <c r="S10251" t="s">
        <v>52</v>
      </c>
      <c r="T10251">
        <v>21049</v>
      </c>
      <c r="U10251">
        <v>19856</v>
      </c>
      <c r="V10251" t="s">
        <v>48</v>
      </c>
    </row>
    <row r="10252" spans="1:22">
      <c r="A10252" t="str">
        <f t="shared" si="1958"/>
        <v>13/11/2025</v>
      </c>
      <c r="B10252" t="str">
        <f>"SAÍDA"</f>
        <v>SAÍDA</v>
      </c>
      <c r="C10252" t="str">
        <f>"PIX"</f>
        <v>PIX</v>
      </c>
      <c r="D10252" t="str">
        <f>"24789"</f>
        <v>24789</v>
      </c>
      <c r="E10252" t="str">
        <f>"1"</f>
        <v>1</v>
      </c>
      <c r="F10252" t="str">
        <f t="shared" si="1959"/>
        <v>COM</v>
      </c>
      <c r="G10252" t="str">
        <f>"LUIZ EMANUEL PINHEIRO (870)"</f>
        <v>LUIZ EMANUEL PINHEIRO (870)</v>
      </c>
      <c r="H10252" t="str">
        <f>"Serv.Prest. 24/10/2025 a 02/11/2025 - PIX: CPF - CHAVE: 129.269.326-69"</f>
        <v>Serv.Prest. 24/10/2025 a 02/11/2025 - PIX: CPF - CHAVE: 129.269.326-69</v>
      </c>
      <c r="I10252" t="str">
        <f>("13/11/2025")</f>
        <v>13/11/2025</v>
      </c>
      <c r="J10252" t="str">
        <f>("04/11/2025")</f>
        <v>04/11/2025</v>
      </c>
      <c r="K10252" t="str">
        <f>("13/11/2025")</f>
        <v>13/11/2025</v>
      </c>
      <c r="L10252">
        <v>20</v>
      </c>
      <c r="M10252">
        <v>20</v>
      </c>
      <c r="N10252">
        <v>109</v>
      </c>
      <c r="O10252" t="str">
        <f>"PAGAMENTO DE ENTREGADORES"</f>
        <v>PAGAMENTO DE ENTREGADORES</v>
      </c>
      <c r="P10252">
        <v>20</v>
      </c>
      <c r="S10252" t="str">
        <f>"CAIXA MOVIMENTAÇÃO OPERACIONAL (132)"</f>
        <v>CAIXA MOVIMENTAÇÃO OPERACIONAL (132)</v>
      </c>
      <c r="T10252">
        <v>21050</v>
      </c>
      <c r="U10252">
        <v>25397</v>
      </c>
      <c r="V10252" t="s">
        <v>48</v>
      </c>
    </row>
    <row r="10253" spans="1:22">
      <c r="A10253" t="str">
        <f t="shared" si="1958"/>
        <v>13/11/2025</v>
      </c>
      <c r="B10253" t="str">
        <f>"SAÍDA"</f>
        <v>SAÍDA</v>
      </c>
      <c r="C10253" t="str">
        <f>"PIX"</f>
        <v>PIX</v>
      </c>
      <c r="D10253" t="str">
        <f>"24789"</f>
        <v>24789</v>
      </c>
      <c r="E10253" t="str">
        <f>"1"</f>
        <v>1</v>
      </c>
      <c r="F10253" t="str">
        <f t="shared" si="1959"/>
        <v>COM</v>
      </c>
      <c r="G10253" t="str">
        <f>"LUIZ EMANUEL PINHEIRO (870)"</f>
        <v>LUIZ EMANUEL PINHEIRO (870)</v>
      </c>
      <c r="H10253" t="s">
        <v>2869</v>
      </c>
      <c r="I10253" t="str">
        <f>("13/11/2025")</f>
        <v>13/11/2025</v>
      </c>
      <c r="J10253" t="str">
        <f>("04/11/2025")</f>
        <v>04/11/2025</v>
      </c>
      <c r="K10253">
        <v>45974</v>
      </c>
      <c r="N10253">
        <v>109</v>
      </c>
      <c r="O10253" t="s">
        <v>24</v>
      </c>
      <c r="Q10253">
        <v>1.67</v>
      </c>
      <c r="R10253" t="str">
        <f>"FARMÁCIA INDIANA LJ 121 (10054)"</f>
        <v>FARMÁCIA INDIANA LJ 121 (10054)</v>
      </c>
      <c r="S10253" t="s">
        <v>48</v>
      </c>
      <c r="T10253">
        <v>21050</v>
      </c>
      <c r="U10253">
        <v>25397</v>
      </c>
      <c r="V10253" t="s">
        <v>48</v>
      </c>
    </row>
    <row r="10254" spans="1:22">
      <c r="A10254" t="str">
        <f t="shared" si="1958"/>
        <v>13/11/2025</v>
      </c>
      <c r="B10254" t="str">
        <f>"SAÍDA"</f>
        <v>SAÍDA</v>
      </c>
      <c r="C10254" t="str">
        <f>"PIX"</f>
        <v>PIX</v>
      </c>
      <c r="D10254" t="str">
        <f>"24789"</f>
        <v>24789</v>
      </c>
      <c r="E10254" t="str">
        <f>"1"</f>
        <v>1</v>
      </c>
      <c r="F10254" t="str">
        <f t="shared" si="1959"/>
        <v>COM</v>
      </c>
      <c r="G10254" t="str">
        <f>"LUIZ EMANUEL PINHEIRO (870)"</f>
        <v>LUIZ EMANUEL PINHEIRO (870)</v>
      </c>
      <c r="H10254" t="s">
        <v>2869</v>
      </c>
      <c r="I10254" t="str">
        <f>("13/11/2025")</f>
        <v>13/11/2025</v>
      </c>
      <c r="J10254" t="str">
        <f>("04/11/2025")</f>
        <v>04/11/2025</v>
      </c>
      <c r="K10254">
        <v>45974</v>
      </c>
      <c r="N10254">
        <v>109</v>
      </c>
      <c r="O10254" t="s">
        <v>24</v>
      </c>
      <c r="Q10254">
        <v>18.329999999999998</v>
      </c>
      <c r="R10254" t="str">
        <f>"FARMÁCIA INDIANA LJ 128 (10057)"</f>
        <v>FARMÁCIA INDIANA LJ 128 (10057)</v>
      </c>
      <c r="S10254" t="s">
        <v>48</v>
      </c>
      <c r="T10254">
        <v>21050</v>
      </c>
      <c r="U10254">
        <v>25397</v>
      </c>
      <c r="V10254" t="s">
        <v>48</v>
      </c>
    </row>
    <row r="10255" spans="1:22">
      <c r="A10255" t="str">
        <f t="shared" si="1958"/>
        <v>13/11/2025</v>
      </c>
      <c r="B10255" t="str">
        <f>"SAÍDA"</f>
        <v>SAÍDA</v>
      </c>
      <c r="C10255" t="str">
        <f>"PIX"</f>
        <v>PIX</v>
      </c>
      <c r="D10255" t="str">
        <f>"24790"</f>
        <v>24790</v>
      </c>
      <c r="E10255" t="str">
        <f>"1"</f>
        <v>1</v>
      </c>
      <c r="F10255" t="str">
        <f t="shared" si="1959"/>
        <v>COM</v>
      </c>
      <c r="G10255" t="str">
        <f>"LUIZ FERNANDO CARVALHO ALVES (198)"</f>
        <v>LUIZ FERNANDO CARVALHO ALVES (198)</v>
      </c>
      <c r="H10255" t="str">
        <f>"Serv.Prest. 24/10/2025 a 02/11/2025 - PIX: CPF - CHAVE: 705.097.186-39"</f>
        <v>Serv.Prest. 24/10/2025 a 02/11/2025 - PIX: CPF - CHAVE: 705.097.186-39</v>
      </c>
      <c r="I10255" t="str">
        <f>("13/11/2025")</f>
        <v>13/11/2025</v>
      </c>
      <c r="J10255" t="str">
        <f>("04/11/2025")</f>
        <v>04/11/2025</v>
      </c>
      <c r="K10255" t="str">
        <f>("13/11/2025")</f>
        <v>13/11/2025</v>
      </c>
      <c r="L10255">
        <v>20</v>
      </c>
      <c r="M10255">
        <v>20</v>
      </c>
      <c r="N10255">
        <v>109</v>
      </c>
      <c r="O10255" t="str">
        <f>"PAGAMENTO DE ENTREGADORES"</f>
        <v>PAGAMENTO DE ENTREGADORES</v>
      </c>
      <c r="P10255">
        <v>20</v>
      </c>
      <c r="S10255" t="str">
        <f>"CAIXA MOVIMENTAÇÃO OPERACIONAL (132)"</f>
        <v>CAIXA MOVIMENTAÇÃO OPERACIONAL (132)</v>
      </c>
      <c r="T10255">
        <v>21051</v>
      </c>
      <c r="U10255">
        <v>25398</v>
      </c>
      <c r="V10255" t="s">
        <v>48</v>
      </c>
    </row>
    <row r="10256" spans="1:22">
      <c r="A10256" t="str">
        <f t="shared" si="1958"/>
        <v>13/11/2025</v>
      </c>
      <c r="B10256" t="str">
        <f>"SAÍDA"</f>
        <v>SAÍDA</v>
      </c>
      <c r="C10256" t="str">
        <f>"PIX"</f>
        <v>PIX</v>
      </c>
      <c r="D10256" t="str">
        <f>"24790"</f>
        <v>24790</v>
      </c>
      <c r="E10256" t="str">
        <f>"1"</f>
        <v>1</v>
      </c>
      <c r="F10256" t="str">
        <f t="shared" si="1959"/>
        <v>COM</v>
      </c>
      <c r="G10256" t="str">
        <f>"LUIZ FERNANDO CARVALHO ALVES (198)"</f>
        <v>LUIZ FERNANDO CARVALHO ALVES (198)</v>
      </c>
      <c r="H10256" t="s">
        <v>2870</v>
      </c>
      <c r="I10256" t="str">
        <f>("13/11/2025")</f>
        <v>13/11/2025</v>
      </c>
      <c r="J10256" t="str">
        <f>("04/11/2025")</f>
        <v>04/11/2025</v>
      </c>
      <c r="K10256">
        <v>45974</v>
      </c>
      <c r="N10256">
        <v>109</v>
      </c>
      <c r="O10256" t="s">
        <v>24</v>
      </c>
      <c r="Q10256">
        <v>20</v>
      </c>
      <c r="R10256" t="str">
        <f>"FARMÁCIA INDIANA LJ 171 (10074)"</f>
        <v>FARMÁCIA INDIANA LJ 171 (10074)</v>
      </c>
      <c r="S10256" t="s">
        <v>48</v>
      </c>
      <c r="T10256">
        <v>21051</v>
      </c>
      <c r="U10256">
        <v>25398</v>
      </c>
      <c r="V10256" t="s">
        <v>48</v>
      </c>
    </row>
    <row r="10257" spans="1:22">
      <c r="A10257" t="str">
        <f t="shared" si="1958"/>
        <v>13/11/2025</v>
      </c>
      <c r="B10257" t="str">
        <f>"ENTRADA"</f>
        <v>ENTRADA</v>
      </c>
      <c r="C10257" t="str">
        <f>"DINHEIRO"</f>
        <v>DINHEIRO</v>
      </c>
      <c r="D10257" t="str">
        <f>"10"</f>
        <v>10</v>
      </c>
      <c r="E10257" t="str">
        <f>"35"</f>
        <v>35</v>
      </c>
      <c r="F10257" t="str">
        <f t="shared" si="1959"/>
        <v>COM</v>
      </c>
      <c r="G10257" t="str">
        <f>"LUIZ FERNANDO CARVALHO ALVES (198)"</f>
        <v>LUIZ FERNANDO CARVALHO ALVES (198)</v>
      </c>
      <c r="H10257" t="str">
        <f>"DESCONTO COTA COOPERADO"</f>
        <v>DESCONTO COTA COOPERADO</v>
      </c>
      <c r="I10257" t="str">
        <f>("16/11/2025")</f>
        <v>16/11/2025</v>
      </c>
      <c r="J10257" t="str">
        <f>("16/01/2025")</f>
        <v>16/01/2025</v>
      </c>
      <c r="K10257" t="str">
        <f>("13/11/2025")</f>
        <v>13/11/2025</v>
      </c>
      <c r="L10257">
        <v>20</v>
      </c>
      <c r="M10257">
        <v>20</v>
      </c>
      <c r="N10257">
        <v>106</v>
      </c>
      <c r="O10257" t="str">
        <f>"ENTRADA DE CAPITAL"</f>
        <v>ENTRADA DE CAPITAL</v>
      </c>
      <c r="P10257">
        <v>20</v>
      </c>
      <c r="S10257" t="str">
        <f>"ENTRADA DE CAPITAL (106)"</f>
        <v>ENTRADA DE CAPITAL (106)</v>
      </c>
      <c r="T10257">
        <v>21052</v>
      </c>
      <c r="U10257">
        <v>6986</v>
      </c>
      <c r="V10257" t="s">
        <v>48</v>
      </c>
    </row>
    <row r="10258" spans="1:22">
      <c r="A10258" t="str">
        <f t="shared" si="1958"/>
        <v>13/11/2025</v>
      </c>
      <c r="B10258" t="str">
        <f>"ENTRADA"</f>
        <v>ENTRADA</v>
      </c>
      <c r="C10258" t="str">
        <f>"DINHEIRO"</f>
        <v>DINHEIRO</v>
      </c>
      <c r="D10258" t="str">
        <f>"10"</f>
        <v>10</v>
      </c>
      <c r="E10258" t="str">
        <f>"35"</f>
        <v>35</v>
      </c>
      <c r="F10258" t="str">
        <f t="shared" si="1959"/>
        <v>COM</v>
      </c>
      <c r="G10258" t="str">
        <f>"LUIZ FERNANDO CARVALHO ALVES (198)"</f>
        <v>LUIZ FERNANDO CARVALHO ALVES (198)</v>
      </c>
      <c r="H10258" t="s">
        <v>309</v>
      </c>
      <c r="I10258" t="str">
        <f>("16/11/2025")</f>
        <v>16/11/2025</v>
      </c>
      <c r="J10258" t="str">
        <f>("16/01/2025")</f>
        <v>16/01/2025</v>
      </c>
      <c r="K10258">
        <v>45974</v>
      </c>
      <c r="N10258">
        <v>106</v>
      </c>
      <c r="O10258" t="s">
        <v>51</v>
      </c>
      <c r="Q10258">
        <v>20</v>
      </c>
      <c r="R10258" t="str">
        <f>"LUIZ FERNANDO CARVALHO ALVES (198)"</f>
        <v>LUIZ FERNANDO CARVALHO ALVES (198)</v>
      </c>
      <c r="S10258" t="s">
        <v>52</v>
      </c>
      <c r="T10258">
        <v>21052</v>
      </c>
      <c r="U10258">
        <v>6986</v>
      </c>
      <c r="V10258" t="s">
        <v>48</v>
      </c>
    </row>
    <row r="10259" spans="1:22">
      <c r="A10259" t="str">
        <f t="shared" si="1958"/>
        <v>13/11/2025</v>
      </c>
      <c r="B10259" t="str">
        <f>"ENTRADA"</f>
        <v>ENTRADA</v>
      </c>
      <c r="C10259" t="str">
        <f>"DINHEIRO"</f>
        <v>DINHEIRO</v>
      </c>
      <c r="D10259" t="str">
        <f>"712"</f>
        <v>712</v>
      </c>
      <c r="E10259" t="str">
        <f>"8"</f>
        <v>8</v>
      </c>
      <c r="F10259" t="str">
        <f t="shared" si="1959"/>
        <v>COM</v>
      </c>
      <c r="G10259" t="str">
        <f>"LUIZ PAULO DE OLIVEIRA (712)"</f>
        <v>LUIZ PAULO DE OLIVEIRA (712)</v>
      </c>
      <c r="H10259" t="str">
        <f>"COTAS COOPERATIVA"</f>
        <v>COTAS COOPERATIVA</v>
      </c>
      <c r="I10259" t="str">
        <f>("10/11/2025")</f>
        <v>10/11/2025</v>
      </c>
      <c r="J10259" t="str">
        <f>("24/03/2025")</f>
        <v>24/03/2025</v>
      </c>
      <c r="K10259" t="str">
        <f>("13/11/2025")</f>
        <v>13/11/2025</v>
      </c>
      <c r="L10259">
        <v>20</v>
      </c>
      <c r="M10259">
        <v>20</v>
      </c>
      <c r="N10259">
        <v>106</v>
      </c>
      <c r="O10259" t="str">
        <f>"ENTRADA DE CAPITAL"</f>
        <v>ENTRADA DE CAPITAL</v>
      </c>
      <c r="P10259">
        <v>20</v>
      </c>
      <c r="S10259" t="str">
        <f>"ENTRADA DE CAPITAL (106)"</f>
        <v>ENTRADA DE CAPITAL (106)</v>
      </c>
      <c r="T10259">
        <v>21053</v>
      </c>
      <c r="U10259">
        <v>11863</v>
      </c>
      <c r="V10259" t="s">
        <v>48</v>
      </c>
    </row>
    <row r="10260" spans="1:22">
      <c r="A10260" t="str">
        <f t="shared" si="1958"/>
        <v>13/11/2025</v>
      </c>
      <c r="B10260" t="str">
        <f>"ENTRADA"</f>
        <v>ENTRADA</v>
      </c>
      <c r="C10260" t="str">
        <f>"DINHEIRO"</f>
        <v>DINHEIRO</v>
      </c>
      <c r="D10260" t="str">
        <f>"712"</f>
        <v>712</v>
      </c>
      <c r="E10260" t="str">
        <f>"8"</f>
        <v>8</v>
      </c>
      <c r="F10260" t="str">
        <f t="shared" si="1959"/>
        <v>COM</v>
      </c>
      <c r="G10260" t="str">
        <f>"LUIZ PAULO DE OLIVEIRA (712)"</f>
        <v>LUIZ PAULO DE OLIVEIRA (712)</v>
      </c>
      <c r="H10260" t="s">
        <v>318</v>
      </c>
      <c r="I10260" t="str">
        <f>("10/11/2025")</f>
        <v>10/11/2025</v>
      </c>
      <c r="J10260" t="str">
        <f>("24/03/2025")</f>
        <v>24/03/2025</v>
      </c>
      <c r="K10260">
        <v>45974</v>
      </c>
      <c r="N10260">
        <v>106</v>
      </c>
      <c r="O10260" t="s">
        <v>51</v>
      </c>
      <c r="Q10260">
        <v>20</v>
      </c>
      <c r="R10260" t="str">
        <f>"LUIZ PAULO DE OLIVEIRA (712)"</f>
        <v>LUIZ PAULO DE OLIVEIRA (712)</v>
      </c>
      <c r="S10260" t="s">
        <v>52</v>
      </c>
      <c r="T10260">
        <v>21053</v>
      </c>
      <c r="U10260">
        <v>11863</v>
      </c>
      <c r="V10260" t="s">
        <v>48</v>
      </c>
    </row>
    <row r="10261" spans="1:22">
      <c r="A10261" t="str">
        <f t="shared" si="1958"/>
        <v>13/11/2025</v>
      </c>
      <c r="B10261" t="str">
        <f>"SAÍDA"</f>
        <v>SAÍDA</v>
      </c>
      <c r="C10261" t="str">
        <f>"PIX"</f>
        <v>PIX</v>
      </c>
      <c r="D10261" t="str">
        <f>"25048"</f>
        <v>25048</v>
      </c>
      <c r="E10261" t="str">
        <f>"1"</f>
        <v>1</v>
      </c>
      <c r="F10261" t="str">
        <f t="shared" si="1959"/>
        <v>COM</v>
      </c>
      <c r="G10261" t="str">
        <f>"LUIZ PAULO DE OLIVEIRA (712)"</f>
        <v>LUIZ PAULO DE OLIVEIRA (712)</v>
      </c>
      <c r="H10261" t="str">
        <f>"Serv.Prest. 03/11/2025 a 09/11/2025 - PIX: CPF - CHAVE: 090.332.006-19"</f>
        <v>Serv.Prest. 03/11/2025 a 09/11/2025 - PIX: CPF - CHAVE: 090.332.006-19</v>
      </c>
      <c r="I10261" t="str">
        <f>("13/11/2025")</f>
        <v>13/11/2025</v>
      </c>
      <c r="J10261" t="str">
        <f>("10/11/2025")</f>
        <v>10/11/2025</v>
      </c>
      <c r="K10261" t="str">
        <f>("13/11/2025")</f>
        <v>13/11/2025</v>
      </c>
      <c r="L10261">
        <v>20</v>
      </c>
      <c r="M10261">
        <v>20</v>
      </c>
      <c r="N10261">
        <v>109</v>
      </c>
      <c r="O10261" t="str">
        <f>"PAGAMENTO DE ENTREGADORES"</f>
        <v>PAGAMENTO DE ENTREGADORES</v>
      </c>
      <c r="P10261">
        <v>20</v>
      </c>
      <c r="S10261" t="str">
        <f>"CAIXA MOVIMENTAÇÃO OPERACIONAL (132)"</f>
        <v>CAIXA MOVIMENTAÇÃO OPERACIONAL (132)</v>
      </c>
      <c r="T10261">
        <v>21054</v>
      </c>
      <c r="U10261">
        <v>25399</v>
      </c>
      <c r="V10261" t="s">
        <v>48</v>
      </c>
    </row>
    <row r="10262" spans="1:22">
      <c r="A10262" t="str">
        <f t="shared" si="1958"/>
        <v>13/11/2025</v>
      </c>
      <c r="B10262" t="str">
        <f>"SAÍDA"</f>
        <v>SAÍDA</v>
      </c>
      <c r="C10262" t="str">
        <f>"PIX"</f>
        <v>PIX</v>
      </c>
      <c r="D10262" t="str">
        <f>"25048"</f>
        <v>25048</v>
      </c>
      <c r="E10262" t="str">
        <f>"1"</f>
        <v>1</v>
      </c>
      <c r="F10262" t="str">
        <f t="shared" si="1959"/>
        <v>COM</v>
      </c>
      <c r="G10262" t="str">
        <f>"LUIZ PAULO DE OLIVEIRA (712)"</f>
        <v>LUIZ PAULO DE OLIVEIRA (712)</v>
      </c>
      <c r="H10262" t="s">
        <v>2871</v>
      </c>
      <c r="I10262" t="str">
        <f>("13/11/2025")</f>
        <v>13/11/2025</v>
      </c>
      <c r="J10262" t="str">
        <f>("10/11/2025")</f>
        <v>10/11/2025</v>
      </c>
      <c r="K10262">
        <v>45974</v>
      </c>
      <c r="N10262">
        <v>109</v>
      </c>
      <c r="O10262" t="s">
        <v>24</v>
      </c>
      <c r="Q10262">
        <v>20</v>
      </c>
      <c r="R10262" t="str">
        <f>"DROGARIA POUPA MINAS (ULTRAMINAS) 1 (10181)"</f>
        <v>DROGARIA POUPA MINAS (ULTRAMINAS) 1 (10181)</v>
      </c>
      <c r="S10262" t="s">
        <v>48</v>
      </c>
      <c r="T10262">
        <v>21054</v>
      </c>
      <c r="U10262">
        <v>25399</v>
      </c>
      <c r="V10262" t="s">
        <v>48</v>
      </c>
    </row>
    <row r="10263" spans="1:22">
      <c r="A10263" t="str">
        <f t="shared" si="1958"/>
        <v>13/11/2025</v>
      </c>
      <c r="B10263" t="str">
        <f>"ENTRADA"</f>
        <v>ENTRADA</v>
      </c>
      <c r="C10263" t="str">
        <f>"DINHEIRO"</f>
        <v>DINHEIRO</v>
      </c>
      <c r="D10263" t="str">
        <f>"475"</f>
        <v>475</v>
      </c>
      <c r="E10263" t="str">
        <f>"01"</f>
        <v>01</v>
      </c>
      <c r="F10263" t="str">
        <f t="shared" si="1959"/>
        <v>COM</v>
      </c>
      <c r="G10263" t="str">
        <f>"LUIZ PAULO LOUREIRO PRADO (475)"</f>
        <v>LUIZ PAULO LOUREIRO PRADO (475)</v>
      </c>
      <c r="H10263" t="str">
        <f>"COTA COOPERATIVA"</f>
        <v>COTA COOPERATIVA</v>
      </c>
      <c r="I10263" t="str">
        <f>("10/11/2025")</f>
        <v>10/11/2025</v>
      </c>
      <c r="J10263" t="str">
        <f>("16/05/2025")</f>
        <v>16/05/2025</v>
      </c>
      <c r="K10263" t="str">
        <f>("13/11/2025")</f>
        <v>13/11/2025</v>
      </c>
      <c r="L10263">
        <v>20</v>
      </c>
      <c r="M10263">
        <v>20</v>
      </c>
      <c r="N10263">
        <v>106</v>
      </c>
      <c r="O10263" t="str">
        <f>"ENTRADA DE CAPITAL"</f>
        <v>ENTRADA DE CAPITAL</v>
      </c>
      <c r="P10263">
        <v>20</v>
      </c>
      <c r="S10263" t="str">
        <f>"ENTRADA DE CAPITAL (106)"</f>
        <v>ENTRADA DE CAPITAL (106)</v>
      </c>
      <c r="T10263">
        <v>21055</v>
      </c>
      <c r="U10263">
        <v>25425</v>
      </c>
      <c r="V10263" t="s">
        <v>48</v>
      </c>
    </row>
    <row r="10264" spans="1:22">
      <c r="A10264" t="str">
        <f t="shared" si="1958"/>
        <v>13/11/2025</v>
      </c>
      <c r="B10264" t="str">
        <f>"ENTRADA"</f>
        <v>ENTRADA</v>
      </c>
      <c r="C10264" t="str">
        <f>"DINHEIRO"</f>
        <v>DINHEIRO</v>
      </c>
      <c r="D10264" t="str">
        <f>"475"</f>
        <v>475</v>
      </c>
      <c r="E10264" t="str">
        <f>"01"</f>
        <v>01</v>
      </c>
      <c r="F10264" t="str">
        <f t="shared" si="1959"/>
        <v>COM</v>
      </c>
      <c r="G10264" t="str">
        <f>"LUIZ PAULO LOUREIRO PRADO (475)"</f>
        <v>LUIZ PAULO LOUREIRO PRADO (475)</v>
      </c>
      <c r="H10264" t="s">
        <v>50</v>
      </c>
      <c r="I10264" t="str">
        <f>("10/11/2025")</f>
        <v>10/11/2025</v>
      </c>
      <c r="J10264" t="str">
        <f>("16/05/2025")</f>
        <v>16/05/2025</v>
      </c>
      <c r="K10264">
        <v>45974</v>
      </c>
      <c r="N10264">
        <v>106</v>
      </c>
      <c r="O10264" t="s">
        <v>51</v>
      </c>
      <c r="Q10264">
        <v>20</v>
      </c>
      <c r="R10264" t="str">
        <f>"LUIZ PAULO LOUREIRO PRADO (475)"</f>
        <v>LUIZ PAULO LOUREIRO PRADO (475)</v>
      </c>
      <c r="S10264" t="s">
        <v>52</v>
      </c>
      <c r="T10264">
        <v>21055</v>
      </c>
      <c r="U10264">
        <v>25425</v>
      </c>
      <c r="V10264" t="s">
        <v>48</v>
      </c>
    </row>
    <row r="10265" spans="1:22">
      <c r="A10265" t="str">
        <f t="shared" si="1958"/>
        <v>13/11/2025</v>
      </c>
      <c r="B10265" t="str">
        <f>"SAÍDA"</f>
        <v>SAÍDA</v>
      </c>
      <c r="C10265" t="str">
        <f>"PIX"</f>
        <v>PIX</v>
      </c>
      <c r="D10265" t="str">
        <f>"24791"</f>
        <v>24791</v>
      </c>
      <c r="E10265" t="str">
        <f>"1"</f>
        <v>1</v>
      </c>
      <c r="F10265" t="str">
        <f t="shared" si="1959"/>
        <v>COM</v>
      </c>
      <c r="G10265" t="str">
        <f>"LUIZ PAULO LOUREIRO PRADO (475)"</f>
        <v>LUIZ PAULO LOUREIRO PRADO (475)</v>
      </c>
      <c r="H10265" t="str">
        <f>"Serv.Prest. 24/10/2025 a 02/11/2025 - PIX: CPF - CHAVE: 159.443.306-27"</f>
        <v>Serv.Prest. 24/10/2025 a 02/11/2025 - PIX: CPF - CHAVE: 159.443.306-27</v>
      </c>
      <c r="I10265" t="str">
        <f t="shared" ref="I10265:I10273" si="1960">("13/11/2025")</f>
        <v>13/11/2025</v>
      </c>
      <c r="J10265" t="str">
        <f>("04/11/2025")</f>
        <v>04/11/2025</v>
      </c>
      <c r="K10265" t="str">
        <f>("13/11/2025")</f>
        <v>13/11/2025</v>
      </c>
      <c r="L10265">
        <v>20</v>
      </c>
      <c r="M10265">
        <v>20</v>
      </c>
      <c r="N10265">
        <v>109</v>
      </c>
      <c r="O10265" t="str">
        <f>"PAGAMENTO DE ENTREGADORES"</f>
        <v>PAGAMENTO DE ENTREGADORES</v>
      </c>
      <c r="P10265">
        <v>20</v>
      </c>
      <c r="S10265" t="str">
        <f>"CAIXA MOVIMENTAÇÃO OPERACIONAL (132)"</f>
        <v>CAIXA MOVIMENTAÇÃO OPERACIONAL (132)</v>
      </c>
      <c r="T10265">
        <v>21056</v>
      </c>
      <c r="U10265">
        <v>25450</v>
      </c>
      <c r="V10265" t="s">
        <v>48</v>
      </c>
    </row>
    <row r="10266" spans="1:22">
      <c r="A10266" t="str">
        <f t="shared" si="1958"/>
        <v>13/11/2025</v>
      </c>
      <c r="B10266" t="str">
        <f>"SAÍDA"</f>
        <v>SAÍDA</v>
      </c>
      <c r="C10266" t="str">
        <f>"PIX"</f>
        <v>PIX</v>
      </c>
      <c r="D10266" t="str">
        <f>"24791"</f>
        <v>24791</v>
      </c>
      <c r="E10266" t="str">
        <f>"1"</f>
        <v>1</v>
      </c>
      <c r="F10266" t="str">
        <f t="shared" si="1959"/>
        <v>COM</v>
      </c>
      <c r="G10266" t="str">
        <f>"LUIZ PAULO LOUREIRO PRADO (475)"</f>
        <v>LUIZ PAULO LOUREIRO PRADO (475)</v>
      </c>
      <c r="H10266" t="s">
        <v>2872</v>
      </c>
      <c r="I10266" t="str">
        <f t="shared" si="1960"/>
        <v>13/11/2025</v>
      </c>
      <c r="J10266" t="str">
        <f>("04/11/2025")</f>
        <v>04/11/2025</v>
      </c>
      <c r="K10266">
        <v>45974</v>
      </c>
      <c r="N10266">
        <v>109</v>
      </c>
      <c r="O10266" t="s">
        <v>24</v>
      </c>
      <c r="Q10266">
        <v>1.6</v>
      </c>
      <c r="R10266" t="str">
        <f>"FARMÁCIA INDIANA LJ 121 (10054)"</f>
        <v>FARMÁCIA INDIANA LJ 121 (10054)</v>
      </c>
      <c r="S10266" t="s">
        <v>48</v>
      </c>
      <c r="T10266">
        <v>21056</v>
      </c>
      <c r="U10266">
        <v>25450</v>
      </c>
      <c r="V10266" t="s">
        <v>48</v>
      </c>
    </row>
    <row r="10267" spans="1:22">
      <c r="A10267" t="str">
        <f t="shared" si="1958"/>
        <v>13/11/2025</v>
      </c>
      <c r="B10267" t="str">
        <f>"SAÍDA"</f>
        <v>SAÍDA</v>
      </c>
      <c r="C10267" t="str">
        <f>"PIX"</f>
        <v>PIX</v>
      </c>
      <c r="D10267" t="str">
        <f>"24791"</f>
        <v>24791</v>
      </c>
      <c r="E10267" t="str">
        <f>"1"</f>
        <v>1</v>
      </c>
      <c r="F10267" t="str">
        <f t="shared" si="1959"/>
        <v>COM</v>
      </c>
      <c r="G10267" t="str">
        <f>"LUIZ PAULO LOUREIRO PRADO (475)"</f>
        <v>LUIZ PAULO LOUREIRO PRADO (475)</v>
      </c>
      <c r="H10267" t="s">
        <v>2872</v>
      </c>
      <c r="I10267" t="str">
        <f t="shared" si="1960"/>
        <v>13/11/2025</v>
      </c>
      <c r="J10267" t="str">
        <f>("04/11/2025")</f>
        <v>04/11/2025</v>
      </c>
      <c r="K10267">
        <v>45974</v>
      </c>
      <c r="N10267">
        <v>109</v>
      </c>
      <c r="O10267" t="s">
        <v>24</v>
      </c>
      <c r="Q10267">
        <v>18.399999999999999</v>
      </c>
      <c r="R10267" t="str">
        <f>"FARMÁCIA INDIANA LJ 128 (10057)"</f>
        <v>FARMÁCIA INDIANA LJ 128 (10057)</v>
      </c>
      <c r="S10267" t="s">
        <v>48</v>
      </c>
      <c r="T10267">
        <v>21056</v>
      </c>
      <c r="U10267">
        <v>25450</v>
      </c>
      <c r="V10267" t="s">
        <v>48</v>
      </c>
    </row>
    <row r="10268" spans="1:22">
      <c r="A10268" t="str">
        <f t="shared" si="1958"/>
        <v>13/11/2025</v>
      </c>
      <c r="B10268" t="str">
        <f>"ENTRADA"</f>
        <v>ENTRADA</v>
      </c>
      <c r="C10268" t="str">
        <f>"DINHEIRO"</f>
        <v>DINHEIRO</v>
      </c>
      <c r="D10268" t="str">
        <f>"1311"</f>
        <v>1311</v>
      </c>
      <c r="E10268" t="str">
        <f>"25"</f>
        <v>25</v>
      </c>
      <c r="F10268" t="str">
        <f t="shared" si="1959"/>
        <v>COM</v>
      </c>
      <c r="G10268" t="str">
        <f>"MARCIO CLAUDIO DE ARAUJO (204)"</f>
        <v>MARCIO CLAUDIO DE ARAUJO (204)</v>
      </c>
      <c r="H10268" t="str">
        <f>"REEMBOLSO ADIANTAMENTO"</f>
        <v>REEMBOLSO ADIANTAMENTO</v>
      </c>
      <c r="I10268" t="str">
        <f t="shared" si="1960"/>
        <v>13/11/2025</v>
      </c>
      <c r="J10268" t="str">
        <f>("31/10/2025")</f>
        <v>31/10/2025</v>
      </c>
      <c r="K10268" t="str">
        <f>("13/11/2025")</f>
        <v>13/11/2025</v>
      </c>
      <c r="L10268">
        <v>168</v>
      </c>
      <c r="M10268">
        <v>168</v>
      </c>
      <c r="N10268">
        <v>129</v>
      </c>
      <c r="O10268" t="str">
        <f>"ENTRADA DE REEMBOLSO ADIANTAMENTO"</f>
        <v>ENTRADA DE REEMBOLSO ADIANTAMENTO</v>
      </c>
      <c r="P10268">
        <v>168</v>
      </c>
      <c r="S10268" t="str">
        <f>"ENTRADA DE REEMBOLSO ADIANTAMENTO (129)"</f>
        <v>ENTRADA DE REEMBOLSO ADIANTAMENTO (129)</v>
      </c>
      <c r="T10268">
        <v>21057</v>
      </c>
      <c r="U10268">
        <v>24571</v>
      </c>
      <c r="V10268" t="s">
        <v>48</v>
      </c>
    </row>
    <row r="10269" spans="1:22">
      <c r="A10269" t="str">
        <f t="shared" si="1958"/>
        <v>13/11/2025</v>
      </c>
      <c r="B10269" t="str">
        <f>"ENTRADA"</f>
        <v>ENTRADA</v>
      </c>
      <c r="C10269" t="str">
        <f>"DINHEIRO"</f>
        <v>DINHEIRO</v>
      </c>
      <c r="D10269" t="str">
        <f>"1311"</f>
        <v>1311</v>
      </c>
      <c r="E10269" t="str">
        <f>"25"</f>
        <v>25</v>
      </c>
      <c r="F10269" t="str">
        <f t="shared" si="1959"/>
        <v>COM</v>
      </c>
      <c r="G10269" t="str">
        <f>"MARCIO CLAUDIO DE ARAUJO (204)"</f>
        <v>MARCIO CLAUDIO DE ARAUJO (204)</v>
      </c>
      <c r="H10269" t="s">
        <v>57</v>
      </c>
      <c r="I10269" t="str">
        <f t="shared" si="1960"/>
        <v>13/11/2025</v>
      </c>
      <c r="J10269" t="str">
        <f>("31/10/2025")</f>
        <v>31/10/2025</v>
      </c>
      <c r="K10269">
        <v>45974</v>
      </c>
      <c r="N10269">
        <v>129</v>
      </c>
      <c r="O10269" t="s">
        <v>58</v>
      </c>
      <c r="Q10269">
        <v>168</v>
      </c>
      <c r="R10269" t="str">
        <f>"MARCIO CLAUDIO DE ARAUJO (204)"</f>
        <v>MARCIO CLAUDIO DE ARAUJO (204)</v>
      </c>
      <c r="S10269" t="s">
        <v>59</v>
      </c>
      <c r="T10269">
        <v>21057</v>
      </c>
      <c r="U10269">
        <v>24571</v>
      </c>
      <c r="V10269" t="s">
        <v>48</v>
      </c>
    </row>
    <row r="10270" spans="1:22">
      <c r="A10270" t="str">
        <f t="shared" si="1958"/>
        <v>13/11/2025</v>
      </c>
      <c r="B10270" t="str">
        <f>"SAÍDA"</f>
        <v>SAÍDA</v>
      </c>
      <c r="C10270" t="str">
        <f>"PIX"</f>
        <v>PIX</v>
      </c>
      <c r="D10270" t="str">
        <f>"24792"</f>
        <v>24792</v>
      </c>
      <c r="E10270" t="str">
        <f>"1"</f>
        <v>1</v>
      </c>
      <c r="F10270" t="str">
        <f t="shared" si="1959"/>
        <v>COM</v>
      </c>
      <c r="G10270" t="str">
        <f>"MARCIO CLAUDIO DE ARAUJO (204)"</f>
        <v>MARCIO CLAUDIO DE ARAUJO (204)</v>
      </c>
      <c r="H10270" t="str">
        <f>"Serv.Prest. 24/10/2025 a 02/11/2025 - PIX: CELULAR - CHAVE: (33) 98427-3872"</f>
        <v>Serv.Prest. 24/10/2025 a 02/11/2025 - PIX: CELULAR - CHAVE: (33) 98427-3872</v>
      </c>
      <c r="I10270" t="str">
        <f t="shared" si="1960"/>
        <v>13/11/2025</v>
      </c>
      <c r="J10270" t="str">
        <f>("04/11/2025")</f>
        <v>04/11/2025</v>
      </c>
      <c r="K10270" t="str">
        <f>("13/11/2025")</f>
        <v>13/11/2025</v>
      </c>
      <c r="L10270">
        <v>168</v>
      </c>
      <c r="M10270">
        <v>168</v>
      </c>
      <c r="N10270">
        <v>109</v>
      </c>
      <c r="O10270" t="str">
        <f>"PAGAMENTO DE ENTREGADORES"</f>
        <v>PAGAMENTO DE ENTREGADORES</v>
      </c>
      <c r="P10270">
        <v>168</v>
      </c>
      <c r="S10270" t="str">
        <f>"CAIXA MOVIMENTAÇÃO OPERACIONAL (132)"</f>
        <v>CAIXA MOVIMENTAÇÃO OPERACIONAL (132)</v>
      </c>
      <c r="T10270">
        <v>21058</v>
      </c>
      <c r="U10270">
        <v>25451</v>
      </c>
      <c r="V10270" t="s">
        <v>48</v>
      </c>
    </row>
    <row r="10271" spans="1:22">
      <c r="A10271" t="str">
        <f t="shared" ref="A10271:A10334" si="1961">("13/11/2025")</f>
        <v>13/11/2025</v>
      </c>
      <c r="B10271" t="str">
        <f>"SAÍDA"</f>
        <v>SAÍDA</v>
      </c>
      <c r="C10271" t="str">
        <f>"PIX"</f>
        <v>PIX</v>
      </c>
      <c r="D10271" t="str">
        <f>"24792"</f>
        <v>24792</v>
      </c>
      <c r="E10271" t="str">
        <f>"1"</f>
        <v>1</v>
      </c>
      <c r="F10271" t="str">
        <f t="shared" si="1959"/>
        <v>COM</v>
      </c>
      <c r="G10271" t="str">
        <f>"MARCIO CLAUDIO DE ARAUJO (204)"</f>
        <v>MARCIO CLAUDIO DE ARAUJO (204)</v>
      </c>
      <c r="H10271" t="s">
        <v>2873</v>
      </c>
      <c r="I10271" t="str">
        <f t="shared" si="1960"/>
        <v>13/11/2025</v>
      </c>
      <c r="J10271" t="str">
        <f>("04/11/2025")</f>
        <v>04/11/2025</v>
      </c>
      <c r="K10271">
        <v>45974</v>
      </c>
      <c r="N10271">
        <v>109</v>
      </c>
      <c r="O10271" t="s">
        <v>24</v>
      </c>
      <c r="Q10271">
        <v>168</v>
      </c>
      <c r="R10271" t="str">
        <f>"FARMÁCIA INDIANA LJ 06 (10006)"</f>
        <v>FARMÁCIA INDIANA LJ 06 (10006)</v>
      </c>
      <c r="S10271" t="s">
        <v>48</v>
      </c>
      <c r="T10271">
        <v>21058</v>
      </c>
      <c r="U10271">
        <v>25451</v>
      </c>
      <c r="V10271" t="s">
        <v>48</v>
      </c>
    </row>
    <row r="10272" spans="1:22">
      <c r="A10272" t="str">
        <f t="shared" si="1961"/>
        <v>13/11/2025</v>
      </c>
      <c r="B10272" t="str">
        <f>"SAÍDA"</f>
        <v>SAÍDA</v>
      </c>
      <c r="C10272" t="str">
        <f>"PIX"</f>
        <v>PIX</v>
      </c>
      <c r="D10272" t="str">
        <f>"24793"</f>
        <v>24793</v>
      </c>
      <c r="E10272" t="str">
        <f>"1"</f>
        <v>1</v>
      </c>
      <c r="F10272" t="str">
        <f t="shared" si="1959"/>
        <v>COM</v>
      </c>
      <c r="G10272" t="str">
        <f>"MARCOS DIONI RODRIGUES GASPAR (506)"</f>
        <v>MARCOS DIONI RODRIGUES GASPAR (506)</v>
      </c>
      <c r="H10272" t="str">
        <f>"Serv.Prest. 24/10/2025 a 02/11/2025 - PIX: CELULAR - CHAVE: (33) 99815-2379"</f>
        <v>Serv.Prest. 24/10/2025 a 02/11/2025 - PIX: CELULAR - CHAVE: (33) 99815-2379</v>
      </c>
      <c r="I10272" t="str">
        <f t="shared" si="1960"/>
        <v>13/11/2025</v>
      </c>
      <c r="J10272" t="str">
        <f>("04/11/2025")</f>
        <v>04/11/2025</v>
      </c>
      <c r="K10272" t="str">
        <f>("13/11/2025")</f>
        <v>13/11/2025</v>
      </c>
      <c r="L10272">
        <v>20</v>
      </c>
      <c r="M10272">
        <v>20</v>
      </c>
      <c r="N10272">
        <v>109</v>
      </c>
      <c r="O10272" t="str">
        <f>"PAGAMENTO DE ENTREGADORES"</f>
        <v>PAGAMENTO DE ENTREGADORES</v>
      </c>
      <c r="P10272">
        <v>20</v>
      </c>
      <c r="S10272" t="str">
        <f>"CAIXA MOVIMENTAÇÃO OPERACIONAL (132)"</f>
        <v>CAIXA MOVIMENTAÇÃO OPERACIONAL (132)</v>
      </c>
      <c r="T10272">
        <v>21059</v>
      </c>
      <c r="U10272">
        <v>25452</v>
      </c>
      <c r="V10272" t="s">
        <v>48</v>
      </c>
    </row>
    <row r="10273" spans="1:22">
      <c r="A10273" t="str">
        <f t="shared" si="1961"/>
        <v>13/11/2025</v>
      </c>
      <c r="B10273" t="str">
        <f>"SAÍDA"</f>
        <v>SAÍDA</v>
      </c>
      <c r="C10273" t="str">
        <f>"PIX"</f>
        <v>PIX</v>
      </c>
      <c r="D10273" t="str">
        <f>"24793"</f>
        <v>24793</v>
      </c>
      <c r="E10273" t="str">
        <f>"1"</f>
        <v>1</v>
      </c>
      <c r="F10273" t="str">
        <f t="shared" si="1959"/>
        <v>COM</v>
      </c>
      <c r="G10273" t="str">
        <f>"MARCOS DIONI RODRIGUES GASPAR (506)"</f>
        <v>MARCOS DIONI RODRIGUES GASPAR (506)</v>
      </c>
      <c r="H10273" t="s">
        <v>2874</v>
      </c>
      <c r="I10273" t="str">
        <f t="shared" si="1960"/>
        <v>13/11/2025</v>
      </c>
      <c r="J10273" t="str">
        <f>("04/11/2025")</f>
        <v>04/11/2025</v>
      </c>
      <c r="K10273">
        <v>45974</v>
      </c>
      <c r="N10273">
        <v>109</v>
      </c>
      <c r="O10273" t="s">
        <v>24</v>
      </c>
      <c r="Q10273">
        <v>20</v>
      </c>
      <c r="R10273" t="str">
        <f>"FARMÁCIA INDIANA LJ 06 (10006)"</f>
        <v>FARMÁCIA INDIANA LJ 06 (10006)</v>
      </c>
      <c r="S10273" t="s">
        <v>48</v>
      </c>
      <c r="T10273">
        <v>21059</v>
      </c>
      <c r="U10273">
        <v>25452</v>
      </c>
      <c r="V10273" t="s">
        <v>48</v>
      </c>
    </row>
    <row r="10274" spans="1:22">
      <c r="A10274" t="str">
        <f t="shared" si="1961"/>
        <v>13/11/2025</v>
      </c>
      <c r="B10274" t="str">
        <f>"ENTRADA"</f>
        <v>ENTRADA</v>
      </c>
      <c r="C10274" t="str">
        <f>"DINHEIRO"</f>
        <v>DINHEIRO</v>
      </c>
      <c r="D10274" t="str">
        <f>"03"</f>
        <v>03</v>
      </c>
      <c r="E10274" t="str">
        <f>"35"</f>
        <v>35</v>
      </c>
      <c r="F10274" t="str">
        <f t="shared" si="1959"/>
        <v>COM</v>
      </c>
      <c r="G10274" t="str">
        <f>"MARCOS DIONI RODRIGUES GASPAR (506)"</f>
        <v>MARCOS DIONI RODRIGUES GASPAR (506)</v>
      </c>
      <c r="H10274" t="str">
        <f>"DESCONTO COTA COOPERADO"</f>
        <v>DESCONTO COTA COOPERADO</v>
      </c>
      <c r="I10274" t="str">
        <f>("16/11/2025")</f>
        <v>16/11/2025</v>
      </c>
      <c r="J10274" t="str">
        <f>("16/01/2025")</f>
        <v>16/01/2025</v>
      </c>
      <c r="K10274" t="str">
        <f>("13/11/2025")</f>
        <v>13/11/2025</v>
      </c>
      <c r="L10274">
        <v>20</v>
      </c>
      <c r="M10274">
        <v>20</v>
      </c>
      <c r="N10274">
        <v>106</v>
      </c>
      <c r="O10274" t="str">
        <f>"ENTRADA DE CAPITAL"</f>
        <v>ENTRADA DE CAPITAL</v>
      </c>
      <c r="P10274">
        <v>20</v>
      </c>
      <c r="S10274" t="str">
        <f>"ENTRADA DE CAPITAL (106)"</f>
        <v>ENTRADA DE CAPITAL (106)</v>
      </c>
      <c r="T10274">
        <v>21060</v>
      </c>
      <c r="U10274">
        <v>7080</v>
      </c>
      <c r="V10274" t="s">
        <v>48</v>
      </c>
    </row>
    <row r="10275" spans="1:22">
      <c r="A10275" t="str">
        <f t="shared" si="1961"/>
        <v>13/11/2025</v>
      </c>
      <c r="B10275" t="str">
        <f>"ENTRADA"</f>
        <v>ENTRADA</v>
      </c>
      <c r="C10275" t="str">
        <f>"DINHEIRO"</f>
        <v>DINHEIRO</v>
      </c>
      <c r="D10275" t="str">
        <f>"03"</f>
        <v>03</v>
      </c>
      <c r="E10275" t="str">
        <f>"35"</f>
        <v>35</v>
      </c>
      <c r="F10275" t="str">
        <f t="shared" si="1959"/>
        <v>COM</v>
      </c>
      <c r="G10275" t="str">
        <f>"MARCOS DIONI RODRIGUES GASPAR (506)"</f>
        <v>MARCOS DIONI RODRIGUES GASPAR (506)</v>
      </c>
      <c r="H10275" t="s">
        <v>309</v>
      </c>
      <c r="I10275" t="str">
        <f>("16/11/2025")</f>
        <v>16/11/2025</v>
      </c>
      <c r="J10275" t="str">
        <f>("16/01/2025")</f>
        <v>16/01/2025</v>
      </c>
      <c r="K10275">
        <v>45974</v>
      </c>
      <c r="N10275">
        <v>106</v>
      </c>
      <c r="O10275" t="s">
        <v>51</v>
      </c>
      <c r="Q10275">
        <v>20</v>
      </c>
      <c r="R10275" t="str">
        <f>"MARCOS DIONI RODRIGUES GASPAR (506)"</f>
        <v>MARCOS DIONI RODRIGUES GASPAR (506)</v>
      </c>
      <c r="S10275" t="s">
        <v>52</v>
      </c>
      <c r="T10275">
        <v>21060</v>
      </c>
      <c r="U10275">
        <v>7080</v>
      </c>
      <c r="V10275" t="s">
        <v>48</v>
      </c>
    </row>
    <row r="10276" spans="1:22">
      <c r="A10276" t="str">
        <f t="shared" si="1961"/>
        <v>13/11/2025</v>
      </c>
      <c r="B10276" t="str">
        <f>"ENTRADA"</f>
        <v>ENTRADA</v>
      </c>
      <c r="C10276" t="str">
        <f>"DINHEIRO"</f>
        <v>DINHEIRO</v>
      </c>
      <c r="D10276" t="str">
        <f>"618"</f>
        <v>618</v>
      </c>
      <c r="E10276" t="str">
        <f>"10"</f>
        <v>10</v>
      </c>
      <c r="F10276" t="str">
        <f t="shared" si="1959"/>
        <v>COM</v>
      </c>
      <c r="G10276" t="str">
        <f>"MARIA ILZA PEREIRA DOS SANTOS (618)"</f>
        <v>MARIA ILZA PEREIRA DOS SANTOS (618)</v>
      </c>
      <c r="H10276" t="str">
        <f>"COTAS COOPERATIVA"</f>
        <v>COTAS COOPERATIVA</v>
      </c>
      <c r="I10276" t="str">
        <f t="shared" ref="I10276:I10282" si="1962">("13/11/2025")</f>
        <v>13/11/2025</v>
      </c>
      <c r="J10276" t="str">
        <f>("13/02/2025")</f>
        <v>13/02/2025</v>
      </c>
      <c r="K10276" t="str">
        <f>("13/11/2025")</f>
        <v>13/11/2025</v>
      </c>
      <c r="L10276">
        <v>20</v>
      </c>
      <c r="M10276">
        <v>20</v>
      </c>
      <c r="N10276">
        <v>106</v>
      </c>
      <c r="O10276" t="str">
        <f>"ENTRADA DE CAPITAL"</f>
        <v>ENTRADA DE CAPITAL</v>
      </c>
      <c r="P10276">
        <v>20</v>
      </c>
      <c r="S10276" t="str">
        <f>"ENTRADA DE CAPITAL (106)"</f>
        <v>ENTRADA DE CAPITAL (106)</v>
      </c>
      <c r="T10276">
        <v>21061</v>
      </c>
      <c r="U10276">
        <v>9526</v>
      </c>
      <c r="V10276" t="s">
        <v>48</v>
      </c>
    </row>
    <row r="10277" spans="1:22">
      <c r="A10277" t="str">
        <f t="shared" si="1961"/>
        <v>13/11/2025</v>
      </c>
      <c r="B10277" t="str">
        <f>"ENTRADA"</f>
        <v>ENTRADA</v>
      </c>
      <c r="C10277" t="str">
        <f>"DINHEIRO"</f>
        <v>DINHEIRO</v>
      </c>
      <c r="D10277" t="str">
        <f>"618"</f>
        <v>618</v>
      </c>
      <c r="E10277" t="str">
        <f>"10"</f>
        <v>10</v>
      </c>
      <c r="F10277" t="str">
        <f t="shared" si="1959"/>
        <v>COM</v>
      </c>
      <c r="G10277" t="str">
        <f>"MARIA ILZA PEREIRA DOS SANTOS (618)"</f>
        <v>MARIA ILZA PEREIRA DOS SANTOS (618)</v>
      </c>
      <c r="H10277" t="s">
        <v>318</v>
      </c>
      <c r="I10277" t="str">
        <f t="shared" si="1962"/>
        <v>13/11/2025</v>
      </c>
      <c r="J10277" t="str">
        <f>("13/02/2025")</f>
        <v>13/02/2025</v>
      </c>
      <c r="K10277">
        <v>45974</v>
      </c>
      <c r="N10277">
        <v>106</v>
      </c>
      <c r="O10277" t="s">
        <v>51</v>
      </c>
      <c r="Q10277">
        <v>20</v>
      </c>
      <c r="R10277" t="str">
        <f>"MARIA ILZA PEREIRA DOS SANTOS (618)"</f>
        <v>MARIA ILZA PEREIRA DOS SANTOS (618)</v>
      </c>
      <c r="S10277" t="s">
        <v>52</v>
      </c>
      <c r="T10277">
        <v>21061</v>
      </c>
      <c r="U10277">
        <v>9526</v>
      </c>
      <c r="V10277" t="s">
        <v>48</v>
      </c>
    </row>
    <row r="10278" spans="1:22">
      <c r="A10278" t="str">
        <f t="shared" si="1961"/>
        <v>13/11/2025</v>
      </c>
      <c r="B10278" t="str">
        <f>"SAÍDA"</f>
        <v>SAÍDA</v>
      </c>
      <c r="C10278" t="str">
        <f>"PIX"</f>
        <v>PIX</v>
      </c>
      <c r="D10278" t="str">
        <f>"24719"</f>
        <v>24719</v>
      </c>
      <c r="E10278" t="str">
        <f>"1"</f>
        <v>1</v>
      </c>
      <c r="F10278" t="str">
        <f t="shared" si="1959"/>
        <v>COM</v>
      </c>
      <c r="G10278" t="str">
        <f>"MARIA ILZA PEREIRA DOS SANTOS (618)"</f>
        <v>MARIA ILZA PEREIRA DOS SANTOS (618)</v>
      </c>
      <c r="H10278" t="str">
        <f>"Serv.Prest. 24/10/2025 a 02/11/2025 - PIX: CPF - CHAVE: 003.157.195-67"</f>
        <v>Serv.Prest. 24/10/2025 a 02/11/2025 - PIX: CPF - CHAVE: 003.157.195-67</v>
      </c>
      <c r="I10278" t="str">
        <f t="shared" si="1962"/>
        <v>13/11/2025</v>
      </c>
      <c r="J10278" t="str">
        <f>("04/11/2025")</f>
        <v>04/11/2025</v>
      </c>
      <c r="K10278" t="str">
        <f>("13/11/2025")</f>
        <v>13/11/2025</v>
      </c>
      <c r="L10278">
        <v>20</v>
      </c>
      <c r="M10278">
        <v>20</v>
      </c>
      <c r="N10278">
        <v>109</v>
      </c>
      <c r="O10278" t="str">
        <f>"PAGAMENTO DE ENTREGADORES"</f>
        <v>PAGAMENTO DE ENTREGADORES</v>
      </c>
      <c r="P10278">
        <v>20</v>
      </c>
      <c r="S10278" t="str">
        <f>"CAIXA MOVIMENTAÇÃO OPERACIONAL (132)"</f>
        <v>CAIXA MOVIMENTAÇÃO OPERACIONAL (132)</v>
      </c>
      <c r="T10278">
        <v>21062</v>
      </c>
      <c r="U10278">
        <v>25453</v>
      </c>
      <c r="V10278" t="s">
        <v>48</v>
      </c>
    </row>
    <row r="10279" spans="1:22">
      <c r="A10279" t="str">
        <f t="shared" si="1961"/>
        <v>13/11/2025</v>
      </c>
      <c r="B10279" t="str">
        <f>"SAÍDA"</f>
        <v>SAÍDA</v>
      </c>
      <c r="C10279" t="str">
        <f>"PIX"</f>
        <v>PIX</v>
      </c>
      <c r="D10279" t="str">
        <f>"24719"</f>
        <v>24719</v>
      </c>
      <c r="E10279" t="str">
        <f>"1"</f>
        <v>1</v>
      </c>
      <c r="F10279" t="str">
        <f t="shared" si="1959"/>
        <v>COM</v>
      </c>
      <c r="G10279" t="str">
        <f>"MARIA ILZA PEREIRA DOS SANTOS (618)"</f>
        <v>MARIA ILZA PEREIRA DOS SANTOS (618)</v>
      </c>
      <c r="H10279" t="s">
        <v>2875</v>
      </c>
      <c r="I10279" t="str">
        <f t="shared" si="1962"/>
        <v>13/11/2025</v>
      </c>
      <c r="J10279" t="str">
        <f>("04/11/2025")</f>
        <v>04/11/2025</v>
      </c>
      <c r="K10279">
        <v>45974</v>
      </c>
      <c r="N10279">
        <v>109</v>
      </c>
      <c r="O10279" t="s">
        <v>24</v>
      </c>
      <c r="Q10279">
        <v>18.399999999999999</v>
      </c>
      <c r="R10279" t="str">
        <f>"FARMÁCIA INDIANA LJ 65 (10030)"</f>
        <v>FARMÁCIA INDIANA LJ 65 (10030)</v>
      </c>
      <c r="S10279" t="s">
        <v>48</v>
      </c>
      <c r="T10279">
        <v>21062</v>
      </c>
      <c r="U10279">
        <v>25453</v>
      </c>
      <c r="V10279" t="s">
        <v>48</v>
      </c>
    </row>
    <row r="10280" spans="1:22">
      <c r="A10280" t="str">
        <f t="shared" si="1961"/>
        <v>13/11/2025</v>
      </c>
      <c r="B10280" t="str">
        <f>"SAÍDA"</f>
        <v>SAÍDA</v>
      </c>
      <c r="C10280" t="str">
        <f>"PIX"</f>
        <v>PIX</v>
      </c>
      <c r="D10280" t="str">
        <f>"24719"</f>
        <v>24719</v>
      </c>
      <c r="E10280" t="str">
        <f>"1"</f>
        <v>1</v>
      </c>
      <c r="F10280" t="str">
        <f t="shared" si="1959"/>
        <v>COM</v>
      </c>
      <c r="G10280" t="str">
        <f>"MARIA ILZA PEREIRA DOS SANTOS (618)"</f>
        <v>MARIA ILZA PEREIRA DOS SANTOS (618)</v>
      </c>
      <c r="H10280" t="s">
        <v>2875</v>
      </c>
      <c r="I10280" t="str">
        <f t="shared" si="1962"/>
        <v>13/11/2025</v>
      </c>
      <c r="J10280" t="str">
        <f>("04/11/2025")</f>
        <v>04/11/2025</v>
      </c>
      <c r="K10280">
        <v>45974</v>
      </c>
      <c r="N10280">
        <v>109</v>
      </c>
      <c r="O10280" t="s">
        <v>24</v>
      </c>
      <c r="Q10280">
        <v>1.6</v>
      </c>
      <c r="R10280" t="str">
        <f>"FARMÁCIA INDIANA LJ 173 (10075)"</f>
        <v>FARMÁCIA INDIANA LJ 173 (10075)</v>
      </c>
      <c r="S10280" t="s">
        <v>48</v>
      </c>
      <c r="T10280">
        <v>21062</v>
      </c>
      <c r="U10280">
        <v>25453</v>
      </c>
      <c r="V10280" t="s">
        <v>48</v>
      </c>
    </row>
    <row r="10281" spans="1:22">
      <c r="A10281" t="str">
        <f t="shared" si="1961"/>
        <v>13/11/2025</v>
      </c>
      <c r="B10281" t="str">
        <f>"SAÍDA"</f>
        <v>SAÍDA</v>
      </c>
      <c r="C10281" t="str">
        <f>"PIX"</f>
        <v>PIX</v>
      </c>
      <c r="D10281" t="str">
        <f>"24795"</f>
        <v>24795</v>
      </c>
      <c r="E10281" t="str">
        <f>"1"</f>
        <v>1</v>
      </c>
      <c r="F10281" t="str">
        <f t="shared" si="1959"/>
        <v>COM</v>
      </c>
      <c r="G10281" t="str">
        <f>"MATHEUS VIEIRA DA SILVA (886)"</f>
        <v>MATHEUS VIEIRA DA SILVA (886)</v>
      </c>
      <c r="H10281" t="str">
        <f>"Serv.Prest. 24/10/2025 a 02/11/2025 - PIX: E-MAIL - CHAVE: meamatheusvieira@gmail.com"</f>
        <v>Serv.Prest. 24/10/2025 a 02/11/2025 - PIX: E-MAIL - CHAVE: meamatheusvieira@gmail.com</v>
      </c>
      <c r="I10281" t="str">
        <f t="shared" si="1962"/>
        <v>13/11/2025</v>
      </c>
      <c r="J10281" t="str">
        <f>("04/11/2025")</f>
        <v>04/11/2025</v>
      </c>
      <c r="K10281" t="str">
        <f>("13/11/2025")</f>
        <v>13/11/2025</v>
      </c>
      <c r="L10281">
        <v>20</v>
      </c>
      <c r="M10281">
        <v>20</v>
      </c>
      <c r="N10281">
        <v>109</v>
      </c>
      <c r="O10281" t="str">
        <f>"PAGAMENTO DE ENTREGADORES"</f>
        <v>PAGAMENTO DE ENTREGADORES</v>
      </c>
      <c r="P10281">
        <v>20</v>
      </c>
      <c r="S10281" t="str">
        <f>"CAIXA MOVIMENTAÇÃO OPERACIONAL (132)"</f>
        <v>CAIXA MOVIMENTAÇÃO OPERACIONAL (132)</v>
      </c>
      <c r="T10281">
        <v>21063</v>
      </c>
      <c r="U10281">
        <v>25454</v>
      </c>
      <c r="V10281" t="s">
        <v>48</v>
      </c>
    </row>
    <row r="10282" spans="1:22">
      <c r="A10282" t="str">
        <f t="shared" si="1961"/>
        <v>13/11/2025</v>
      </c>
      <c r="B10282" t="str">
        <f>"SAÍDA"</f>
        <v>SAÍDA</v>
      </c>
      <c r="C10282" t="str">
        <f>"PIX"</f>
        <v>PIX</v>
      </c>
      <c r="D10282" t="str">
        <f>"24795"</f>
        <v>24795</v>
      </c>
      <c r="E10282" t="str">
        <f>"1"</f>
        <v>1</v>
      </c>
      <c r="F10282" t="str">
        <f t="shared" si="1959"/>
        <v>COM</v>
      </c>
      <c r="G10282" t="str">
        <f>"MATHEUS VIEIRA DA SILVA (886)"</f>
        <v>MATHEUS VIEIRA DA SILVA (886)</v>
      </c>
      <c r="H10282" t="s">
        <v>2876</v>
      </c>
      <c r="I10282" t="str">
        <f t="shared" si="1962"/>
        <v>13/11/2025</v>
      </c>
      <c r="J10282" t="str">
        <f>("04/11/2025")</f>
        <v>04/11/2025</v>
      </c>
      <c r="K10282">
        <v>45974</v>
      </c>
      <c r="N10282">
        <v>109</v>
      </c>
      <c r="O10282" t="s">
        <v>24</v>
      </c>
      <c r="Q10282">
        <v>20</v>
      </c>
      <c r="R10282" t="str">
        <f>"FARMÁCIA INDIANA LJ 07 (10007)"</f>
        <v>FARMÁCIA INDIANA LJ 07 (10007)</v>
      </c>
      <c r="S10282" t="s">
        <v>48</v>
      </c>
      <c r="T10282">
        <v>21063</v>
      </c>
      <c r="U10282">
        <v>25454</v>
      </c>
      <c r="V10282" t="s">
        <v>48</v>
      </c>
    </row>
    <row r="10283" spans="1:22">
      <c r="A10283" t="str">
        <f t="shared" si="1961"/>
        <v>13/11/2025</v>
      </c>
      <c r="B10283" t="str">
        <f>"ENTRADA"</f>
        <v>ENTRADA</v>
      </c>
      <c r="C10283" t="str">
        <f>"DINHEIRO"</f>
        <v>DINHEIRO</v>
      </c>
      <c r="D10283" t="str">
        <f>"886"</f>
        <v>886</v>
      </c>
      <c r="E10283" t="str">
        <f>"4"</f>
        <v>4</v>
      </c>
      <c r="F10283" t="str">
        <f t="shared" si="1959"/>
        <v>COM</v>
      </c>
      <c r="G10283" t="str">
        <f>"MATHEUS VIEIRA DA SILVA (886)"</f>
        <v>MATHEUS VIEIRA DA SILVA (886)</v>
      </c>
      <c r="H10283" t="str">
        <f>"COTA COOPERATIVA"</f>
        <v>COTA COOPERATIVA</v>
      </c>
      <c r="I10283" t="str">
        <f>("10/11/2025")</f>
        <v>10/11/2025</v>
      </c>
      <c r="J10283" t="str">
        <f>("19/07/2025")</f>
        <v>19/07/2025</v>
      </c>
      <c r="K10283" t="str">
        <f>("13/11/2025")</f>
        <v>13/11/2025</v>
      </c>
      <c r="L10283">
        <v>20</v>
      </c>
      <c r="M10283">
        <v>20</v>
      </c>
      <c r="N10283">
        <v>106</v>
      </c>
      <c r="O10283" t="str">
        <f>"ENTRADA DE CAPITAL"</f>
        <v>ENTRADA DE CAPITAL</v>
      </c>
      <c r="P10283">
        <v>20</v>
      </c>
      <c r="S10283" t="str">
        <f>"ENTRADA DE CAPITAL (106)"</f>
        <v>ENTRADA DE CAPITAL (106)</v>
      </c>
      <c r="T10283">
        <v>21064</v>
      </c>
      <c r="U10283">
        <v>19917</v>
      </c>
      <c r="V10283" t="s">
        <v>48</v>
      </c>
    </row>
    <row r="10284" spans="1:22">
      <c r="A10284" t="str">
        <f t="shared" si="1961"/>
        <v>13/11/2025</v>
      </c>
      <c r="B10284" t="str">
        <f>"ENTRADA"</f>
        <v>ENTRADA</v>
      </c>
      <c r="C10284" t="str">
        <f>"DINHEIRO"</f>
        <v>DINHEIRO</v>
      </c>
      <c r="D10284" t="str">
        <f>"886"</f>
        <v>886</v>
      </c>
      <c r="E10284" t="str">
        <f>"4"</f>
        <v>4</v>
      </c>
      <c r="F10284" t="str">
        <f t="shared" si="1959"/>
        <v>COM</v>
      </c>
      <c r="G10284" t="str">
        <f>"MATHEUS VIEIRA DA SILVA (886)"</f>
        <v>MATHEUS VIEIRA DA SILVA (886)</v>
      </c>
      <c r="H10284" t="s">
        <v>50</v>
      </c>
      <c r="I10284" t="str">
        <f>("10/11/2025")</f>
        <v>10/11/2025</v>
      </c>
      <c r="J10284" t="str">
        <f>("19/07/2025")</f>
        <v>19/07/2025</v>
      </c>
      <c r="K10284">
        <v>45974</v>
      </c>
      <c r="N10284">
        <v>106</v>
      </c>
      <c r="O10284" t="s">
        <v>51</v>
      </c>
      <c r="Q10284">
        <v>20</v>
      </c>
      <c r="R10284" t="str">
        <f>"MATHEUS VIEIRA DA SILVA (886)"</f>
        <v>MATHEUS VIEIRA DA SILVA (886)</v>
      </c>
      <c r="S10284" t="s">
        <v>52</v>
      </c>
      <c r="T10284">
        <v>21064</v>
      </c>
      <c r="U10284">
        <v>19917</v>
      </c>
      <c r="V10284" t="s">
        <v>48</v>
      </c>
    </row>
    <row r="10285" spans="1:22">
      <c r="A10285" t="str">
        <f t="shared" si="1961"/>
        <v>13/11/2025</v>
      </c>
      <c r="B10285" t="str">
        <f>"ENTRADA"</f>
        <v>ENTRADA</v>
      </c>
      <c r="C10285" t="str">
        <f>"DINHEIRO"</f>
        <v>DINHEIRO</v>
      </c>
      <c r="D10285" t="str">
        <f>"767"</f>
        <v>767</v>
      </c>
      <c r="E10285" t="str">
        <f>"7"</f>
        <v>7</v>
      </c>
      <c r="F10285" t="str">
        <f t="shared" si="1959"/>
        <v>COM</v>
      </c>
      <c r="G10285" t="str">
        <f>"MAURO AUGUSTO MACHADO DE ASSIS (767)"</f>
        <v>MAURO AUGUSTO MACHADO DE ASSIS (767)</v>
      </c>
      <c r="H10285" t="str">
        <f>"COTA COOPERATIVA"</f>
        <v>COTA COOPERATIVA</v>
      </c>
      <c r="I10285" t="str">
        <f>("08/11/2025")</f>
        <v>08/11/2025</v>
      </c>
      <c r="J10285" t="str">
        <f>("15/04/2025")</f>
        <v>15/04/2025</v>
      </c>
      <c r="K10285" t="str">
        <f>("13/11/2025")</f>
        <v>13/11/2025</v>
      </c>
      <c r="L10285">
        <v>20</v>
      </c>
      <c r="M10285">
        <v>20</v>
      </c>
      <c r="N10285">
        <v>106</v>
      </c>
      <c r="O10285" t="str">
        <f>"ENTRADA DE CAPITAL"</f>
        <v>ENTRADA DE CAPITAL</v>
      </c>
      <c r="P10285">
        <v>20</v>
      </c>
      <c r="S10285" t="str">
        <f>"ENTRADA DE CAPITAL (106)"</f>
        <v>ENTRADA DE CAPITAL (106)</v>
      </c>
      <c r="T10285">
        <v>21065</v>
      </c>
      <c r="U10285">
        <v>14251</v>
      </c>
      <c r="V10285" t="s">
        <v>48</v>
      </c>
    </row>
    <row r="10286" spans="1:22">
      <c r="A10286" t="str">
        <f t="shared" si="1961"/>
        <v>13/11/2025</v>
      </c>
      <c r="B10286" t="str">
        <f>"ENTRADA"</f>
        <v>ENTRADA</v>
      </c>
      <c r="C10286" t="str">
        <f>"DINHEIRO"</f>
        <v>DINHEIRO</v>
      </c>
      <c r="D10286" t="str">
        <f>"767"</f>
        <v>767</v>
      </c>
      <c r="E10286" t="str">
        <f>"7"</f>
        <v>7</v>
      </c>
      <c r="F10286" t="str">
        <f t="shared" si="1959"/>
        <v>COM</v>
      </c>
      <c r="G10286" t="str">
        <f>"MAURO AUGUSTO MACHADO DE ASSIS (767)"</f>
        <v>MAURO AUGUSTO MACHADO DE ASSIS (767)</v>
      </c>
      <c r="H10286" t="s">
        <v>50</v>
      </c>
      <c r="I10286" t="str">
        <f>("08/11/2025")</f>
        <v>08/11/2025</v>
      </c>
      <c r="J10286" t="str">
        <f>("15/04/2025")</f>
        <v>15/04/2025</v>
      </c>
      <c r="K10286">
        <v>45974</v>
      </c>
      <c r="N10286">
        <v>106</v>
      </c>
      <c r="O10286" t="s">
        <v>51</v>
      </c>
      <c r="Q10286">
        <v>20</v>
      </c>
      <c r="R10286" t="str">
        <f>"MAURO AUGUSTO MACHADO DE ASSIS (767)"</f>
        <v>MAURO AUGUSTO MACHADO DE ASSIS (767)</v>
      </c>
      <c r="S10286" t="s">
        <v>52</v>
      </c>
      <c r="T10286">
        <v>21065</v>
      </c>
      <c r="U10286">
        <v>14251</v>
      </c>
      <c r="V10286" t="s">
        <v>48</v>
      </c>
    </row>
    <row r="10287" spans="1:22">
      <c r="A10287" t="str">
        <f t="shared" si="1961"/>
        <v>13/11/2025</v>
      </c>
      <c r="B10287" t="str">
        <f>"SAÍDA"</f>
        <v>SAÍDA</v>
      </c>
      <c r="C10287" t="str">
        <f>"PIX"</f>
        <v>PIX</v>
      </c>
      <c r="D10287" t="str">
        <f>"24796"</f>
        <v>24796</v>
      </c>
      <c r="E10287" t="str">
        <f>"1"</f>
        <v>1</v>
      </c>
      <c r="F10287" t="str">
        <f t="shared" si="1959"/>
        <v>COM</v>
      </c>
      <c r="G10287" t="str">
        <f>"MAURO AUGUSTO MACHADO DE ASSIS (767)"</f>
        <v>MAURO AUGUSTO MACHADO DE ASSIS (767)</v>
      </c>
      <c r="H10287" t="str">
        <f>"Serv.Prest. 24/10/2025 a 02/11/2025 - PIX: CPF - CHAVE: 163.330.766-27"</f>
        <v>Serv.Prest. 24/10/2025 a 02/11/2025 - PIX: CPF - CHAVE: 163.330.766-27</v>
      </c>
      <c r="I10287" t="str">
        <f>("13/11/2025")</f>
        <v>13/11/2025</v>
      </c>
      <c r="J10287" t="str">
        <f>("04/11/2025")</f>
        <v>04/11/2025</v>
      </c>
      <c r="K10287" t="str">
        <f>("13/11/2025")</f>
        <v>13/11/2025</v>
      </c>
      <c r="L10287">
        <v>20</v>
      </c>
      <c r="M10287">
        <v>20</v>
      </c>
      <c r="N10287">
        <v>109</v>
      </c>
      <c r="O10287" t="str">
        <f>"PAGAMENTO DE ENTREGADORES"</f>
        <v>PAGAMENTO DE ENTREGADORES</v>
      </c>
      <c r="P10287">
        <v>20</v>
      </c>
      <c r="S10287" t="str">
        <f>"CAIXA MOVIMENTAÇÃO OPERACIONAL (132)"</f>
        <v>CAIXA MOVIMENTAÇÃO OPERACIONAL (132)</v>
      </c>
      <c r="T10287">
        <v>21066</v>
      </c>
      <c r="U10287">
        <v>25455</v>
      </c>
      <c r="V10287" t="s">
        <v>48</v>
      </c>
    </row>
    <row r="10288" spans="1:22">
      <c r="A10288" t="str">
        <f t="shared" si="1961"/>
        <v>13/11/2025</v>
      </c>
      <c r="B10288" t="str">
        <f>"SAÍDA"</f>
        <v>SAÍDA</v>
      </c>
      <c r="C10288" t="str">
        <f>"PIX"</f>
        <v>PIX</v>
      </c>
      <c r="D10288" t="str">
        <f>"24796"</f>
        <v>24796</v>
      </c>
      <c r="E10288" t="str">
        <f>"1"</f>
        <v>1</v>
      </c>
      <c r="F10288" t="str">
        <f t="shared" si="1959"/>
        <v>COM</v>
      </c>
      <c r="G10288" t="str">
        <f>"MAURO AUGUSTO MACHADO DE ASSIS (767)"</f>
        <v>MAURO AUGUSTO MACHADO DE ASSIS (767)</v>
      </c>
      <c r="H10288" t="s">
        <v>2877</v>
      </c>
      <c r="I10288" t="str">
        <f>("13/11/2025")</f>
        <v>13/11/2025</v>
      </c>
      <c r="J10288" t="str">
        <f>("04/11/2025")</f>
        <v>04/11/2025</v>
      </c>
      <c r="K10288">
        <v>45974</v>
      </c>
      <c r="N10288">
        <v>109</v>
      </c>
      <c r="O10288" t="s">
        <v>24</v>
      </c>
      <c r="Q10288">
        <v>9.31</v>
      </c>
      <c r="R10288" t="str">
        <f>"FARMÁCIA INDIANA LJ 11 (10008)"</f>
        <v>FARMÁCIA INDIANA LJ 11 (10008)</v>
      </c>
      <c r="S10288" t="s">
        <v>48</v>
      </c>
      <c r="T10288">
        <v>21066</v>
      </c>
      <c r="U10288">
        <v>25455</v>
      </c>
      <c r="V10288" t="s">
        <v>48</v>
      </c>
    </row>
    <row r="10289" spans="1:22">
      <c r="A10289" t="str">
        <f t="shared" si="1961"/>
        <v>13/11/2025</v>
      </c>
      <c r="B10289" t="str">
        <f>"SAÍDA"</f>
        <v>SAÍDA</v>
      </c>
      <c r="C10289" t="str">
        <f>"PIX"</f>
        <v>PIX</v>
      </c>
      <c r="D10289" t="str">
        <f>"24796"</f>
        <v>24796</v>
      </c>
      <c r="E10289" t="str">
        <f>"1"</f>
        <v>1</v>
      </c>
      <c r="F10289" t="str">
        <f t="shared" si="1959"/>
        <v>COM</v>
      </c>
      <c r="G10289" t="str">
        <f>"MAURO AUGUSTO MACHADO DE ASSIS (767)"</f>
        <v>MAURO AUGUSTO MACHADO DE ASSIS (767)</v>
      </c>
      <c r="H10289" t="s">
        <v>2877</v>
      </c>
      <c r="I10289" t="str">
        <f>("13/11/2025")</f>
        <v>13/11/2025</v>
      </c>
      <c r="J10289" t="str">
        <f>("04/11/2025")</f>
        <v>04/11/2025</v>
      </c>
      <c r="K10289">
        <v>45974</v>
      </c>
      <c r="N10289">
        <v>109</v>
      </c>
      <c r="O10289" t="s">
        <v>24</v>
      </c>
      <c r="Q10289">
        <v>10.69</v>
      </c>
      <c r="R10289" t="str">
        <f>"FARMÁCIA INDIANA LJ 172 (10161)"</f>
        <v>FARMÁCIA INDIANA LJ 172 (10161)</v>
      </c>
      <c r="S10289" t="s">
        <v>48</v>
      </c>
      <c r="T10289">
        <v>21066</v>
      </c>
      <c r="U10289">
        <v>25455</v>
      </c>
      <c r="V10289" t="s">
        <v>48</v>
      </c>
    </row>
    <row r="10290" spans="1:22">
      <c r="A10290" t="str">
        <f t="shared" si="1961"/>
        <v>13/11/2025</v>
      </c>
      <c r="B10290" t="str">
        <f>"SAÍDA"</f>
        <v>SAÍDA</v>
      </c>
      <c r="C10290" t="str">
        <f>"PIX"</f>
        <v>PIX</v>
      </c>
      <c r="D10290" t="str">
        <f>"24797"</f>
        <v>24797</v>
      </c>
      <c r="E10290" t="str">
        <f>"1"</f>
        <v>1</v>
      </c>
      <c r="F10290" t="str">
        <f t="shared" si="1959"/>
        <v>COM</v>
      </c>
      <c r="G10290" t="str">
        <f>"MAYCON GUILHERME DUARTE (541)"</f>
        <v>MAYCON GUILHERME DUARTE (541)</v>
      </c>
      <c r="H10290" t="str">
        <f>"Serv.Prest. 24/10/2025 a 02/11/2025 - PIX: CELULAR - CHAVE: (31) 99076-6539"</f>
        <v>Serv.Prest. 24/10/2025 a 02/11/2025 - PIX: CELULAR - CHAVE: (31) 99076-6539</v>
      </c>
      <c r="I10290" t="str">
        <f>("13/11/2025")</f>
        <v>13/11/2025</v>
      </c>
      <c r="J10290" t="str">
        <f>("04/11/2025")</f>
        <v>04/11/2025</v>
      </c>
      <c r="K10290" t="str">
        <f>("13/11/2025")</f>
        <v>13/11/2025</v>
      </c>
      <c r="L10290">
        <v>20</v>
      </c>
      <c r="M10290">
        <v>20</v>
      </c>
      <c r="N10290">
        <v>109</v>
      </c>
      <c r="O10290" t="str">
        <f>"PAGAMENTO DE ENTREGADORES"</f>
        <v>PAGAMENTO DE ENTREGADORES</v>
      </c>
      <c r="P10290">
        <v>20</v>
      </c>
      <c r="S10290" t="str">
        <f>"CAIXA MOVIMENTAÇÃO OPERACIONAL (132)"</f>
        <v>CAIXA MOVIMENTAÇÃO OPERACIONAL (132)</v>
      </c>
      <c r="T10290">
        <v>21067</v>
      </c>
      <c r="U10290">
        <v>25456</v>
      </c>
      <c r="V10290" t="s">
        <v>48</v>
      </c>
    </row>
    <row r="10291" spans="1:22">
      <c r="A10291" t="str">
        <f t="shared" si="1961"/>
        <v>13/11/2025</v>
      </c>
      <c r="B10291" t="str">
        <f>"SAÍDA"</f>
        <v>SAÍDA</v>
      </c>
      <c r="C10291" t="str">
        <f>"PIX"</f>
        <v>PIX</v>
      </c>
      <c r="D10291" t="str">
        <f>"24797"</f>
        <v>24797</v>
      </c>
      <c r="E10291" t="str">
        <f>"1"</f>
        <v>1</v>
      </c>
      <c r="F10291" t="str">
        <f t="shared" si="1959"/>
        <v>COM</v>
      </c>
      <c r="G10291" t="str">
        <f>"MAYCON GUILHERME DUARTE (541)"</f>
        <v>MAYCON GUILHERME DUARTE (541)</v>
      </c>
      <c r="H10291" t="s">
        <v>2878</v>
      </c>
      <c r="I10291" t="str">
        <f>("13/11/2025")</f>
        <v>13/11/2025</v>
      </c>
      <c r="J10291" t="str">
        <f>("04/11/2025")</f>
        <v>04/11/2025</v>
      </c>
      <c r="K10291">
        <v>45974</v>
      </c>
      <c r="N10291">
        <v>109</v>
      </c>
      <c r="O10291" t="s">
        <v>24</v>
      </c>
      <c r="Q10291">
        <v>20</v>
      </c>
      <c r="R10291" t="str">
        <f>"FARMÁCIA INDIANA LJ 220 (10092)"</f>
        <v>FARMÁCIA INDIANA LJ 220 (10092)</v>
      </c>
      <c r="S10291" t="s">
        <v>48</v>
      </c>
      <c r="T10291">
        <v>21067</v>
      </c>
      <c r="U10291">
        <v>25456</v>
      </c>
      <c r="V10291" t="s">
        <v>48</v>
      </c>
    </row>
    <row r="10292" spans="1:22">
      <c r="A10292" t="str">
        <f t="shared" si="1961"/>
        <v>13/11/2025</v>
      </c>
      <c r="B10292" t="str">
        <f>"ENTRADA"</f>
        <v>ENTRADA</v>
      </c>
      <c r="C10292" t="str">
        <f>"DINHEIRO"</f>
        <v>DINHEIRO</v>
      </c>
      <c r="D10292" t="str">
        <f>"02"</f>
        <v>02</v>
      </c>
      <c r="E10292" t="str">
        <f>"35"</f>
        <v>35</v>
      </c>
      <c r="F10292" t="str">
        <f t="shared" si="1959"/>
        <v>COM</v>
      </c>
      <c r="G10292" t="str">
        <f>"MAYCON GUILHERME DUARTE (541)"</f>
        <v>MAYCON GUILHERME DUARTE (541)</v>
      </c>
      <c r="H10292" t="str">
        <f>"DESCONTO COTA COOPERADO"</f>
        <v>DESCONTO COTA COOPERADO</v>
      </c>
      <c r="I10292" t="str">
        <f>("16/11/2025")</f>
        <v>16/11/2025</v>
      </c>
      <c r="J10292" t="str">
        <f>("16/01/2025")</f>
        <v>16/01/2025</v>
      </c>
      <c r="K10292" t="str">
        <f>("13/11/2025")</f>
        <v>13/11/2025</v>
      </c>
      <c r="L10292">
        <v>20</v>
      </c>
      <c r="M10292">
        <v>20</v>
      </c>
      <c r="N10292">
        <v>106</v>
      </c>
      <c r="O10292" t="str">
        <f>"ENTRADA DE CAPITAL"</f>
        <v>ENTRADA DE CAPITAL</v>
      </c>
      <c r="P10292">
        <v>20</v>
      </c>
      <c r="S10292" t="str">
        <f>"ENTRADA DE CAPITAL (106)"</f>
        <v>ENTRADA DE CAPITAL (106)</v>
      </c>
      <c r="T10292">
        <v>21068</v>
      </c>
      <c r="U10292">
        <v>7169</v>
      </c>
      <c r="V10292" t="s">
        <v>48</v>
      </c>
    </row>
    <row r="10293" spans="1:22">
      <c r="A10293" t="str">
        <f t="shared" si="1961"/>
        <v>13/11/2025</v>
      </c>
      <c r="B10293" t="str">
        <f>"ENTRADA"</f>
        <v>ENTRADA</v>
      </c>
      <c r="C10293" t="str">
        <f>"DINHEIRO"</f>
        <v>DINHEIRO</v>
      </c>
      <c r="D10293" t="str">
        <f>"02"</f>
        <v>02</v>
      </c>
      <c r="E10293" t="str">
        <f>"35"</f>
        <v>35</v>
      </c>
      <c r="F10293" t="str">
        <f t="shared" si="1959"/>
        <v>COM</v>
      </c>
      <c r="G10293" t="str">
        <f>"MAYCON GUILHERME DUARTE (541)"</f>
        <v>MAYCON GUILHERME DUARTE (541)</v>
      </c>
      <c r="H10293" t="s">
        <v>309</v>
      </c>
      <c r="I10293" t="str">
        <f>("16/11/2025")</f>
        <v>16/11/2025</v>
      </c>
      <c r="J10293" t="str">
        <f>("16/01/2025")</f>
        <v>16/01/2025</v>
      </c>
      <c r="K10293">
        <v>45974</v>
      </c>
      <c r="N10293">
        <v>106</v>
      </c>
      <c r="O10293" t="s">
        <v>51</v>
      </c>
      <c r="Q10293">
        <v>20</v>
      </c>
      <c r="R10293" t="str">
        <f>"MAYCON GUILHERME DUARTE (541)"</f>
        <v>MAYCON GUILHERME DUARTE (541)</v>
      </c>
      <c r="S10293" t="s">
        <v>52</v>
      </c>
      <c r="T10293">
        <v>21068</v>
      </c>
      <c r="U10293">
        <v>7169</v>
      </c>
      <c r="V10293" t="s">
        <v>48</v>
      </c>
    </row>
    <row r="10294" spans="1:22">
      <c r="A10294" t="str">
        <f t="shared" si="1961"/>
        <v>13/11/2025</v>
      </c>
      <c r="B10294" t="str">
        <f>"SAÍDA"</f>
        <v>SAÍDA</v>
      </c>
      <c r="C10294" t="str">
        <f>"PIX"</f>
        <v>PIX</v>
      </c>
      <c r="D10294" t="str">
        <f>"24799"</f>
        <v>24799</v>
      </c>
      <c r="E10294" t="str">
        <f>"1"</f>
        <v>1</v>
      </c>
      <c r="F10294" t="str">
        <f t="shared" si="1959"/>
        <v>COM</v>
      </c>
      <c r="G10294" t="str">
        <f>"MURILO BARRETO AFONSO (30)"</f>
        <v>MURILO BARRETO AFONSO (30)</v>
      </c>
      <c r="H10294" t="str">
        <f>"Serv.Prest. 24/10/2025 a 02/11/2025 - PIX: CPF - CHAVE: 123.020.026-60"</f>
        <v>Serv.Prest. 24/10/2025 a 02/11/2025 - PIX: CPF - CHAVE: 123.020.026-60</v>
      </c>
      <c r="I10294" t="str">
        <f>("13/11/2025")</f>
        <v>13/11/2025</v>
      </c>
      <c r="J10294" t="str">
        <f>("04/11/2025")</f>
        <v>04/11/2025</v>
      </c>
      <c r="K10294" t="str">
        <f>("13/11/2025")</f>
        <v>13/11/2025</v>
      </c>
      <c r="L10294">
        <v>20</v>
      </c>
      <c r="M10294">
        <v>20</v>
      </c>
      <c r="N10294">
        <v>109</v>
      </c>
      <c r="O10294" t="str">
        <f>"PAGAMENTO DE ENTREGADORES"</f>
        <v>PAGAMENTO DE ENTREGADORES</v>
      </c>
      <c r="P10294">
        <v>20</v>
      </c>
      <c r="S10294" t="str">
        <f>"CAIXA MOVIMENTAÇÃO OPERACIONAL (132)"</f>
        <v>CAIXA MOVIMENTAÇÃO OPERACIONAL (132)</v>
      </c>
      <c r="T10294">
        <v>21069</v>
      </c>
      <c r="U10294">
        <v>25457</v>
      </c>
      <c r="V10294" t="s">
        <v>48</v>
      </c>
    </row>
    <row r="10295" spans="1:22">
      <c r="A10295" t="str">
        <f t="shared" si="1961"/>
        <v>13/11/2025</v>
      </c>
      <c r="B10295" t="str">
        <f>"SAÍDA"</f>
        <v>SAÍDA</v>
      </c>
      <c r="C10295" t="str">
        <f>"PIX"</f>
        <v>PIX</v>
      </c>
      <c r="D10295" t="str">
        <f>"24799"</f>
        <v>24799</v>
      </c>
      <c r="E10295" t="str">
        <f>"1"</f>
        <v>1</v>
      </c>
      <c r="F10295" t="str">
        <f t="shared" ref="F10295:F10358" si="1963">"COM"</f>
        <v>COM</v>
      </c>
      <c r="G10295" t="str">
        <f>"MURILO BARRETO AFONSO (30)"</f>
        <v>MURILO BARRETO AFONSO (30)</v>
      </c>
      <c r="H10295" t="s">
        <v>2879</v>
      </c>
      <c r="I10295" t="str">
        <f>("13/11/2025")</f>
        <v>13/11/2025</v>
      </c>
      <c r="J10295" t="str">
        <f>("04/11/2025")</f>
        <v>04/11/2025</v>
      </c>
      <c r="K10295">
        <v>45974</v>
      </c>
      <c r="N10295">
        <v>109</v>
      </c>
      <c r="O10295" t="s">
        <v>24</v>
      </c>
      <c r="Q10295">
        <v>7.89</v>
      </c>
      <c r="R10295" t="str">
        <f>"FARMÁCIA INDIANA LJ 118 (10052)"</f>
        <v>FARMÁCIA INDIANA LJ 118 (10052)</v>
      </c>
      <c r="S10295" t="s">
        <v>48</v>
      </c>
      <c r="T10295">
        <v>21069</v>
      </c>
      <c r="U10295">
        <v>25457</v>
      </c>
      <c r="V10295" t="s">
        <v>48</v>
      </c>
    </row>
    <row r="10296" spans="1:22">
      <c r="A10296" t="str">
        <f t="shared" si="1961"/>
        <v>13/11/2025</v>
      </c>
      <c r="B10296" t="str">
        <f>"SAÍDA"</f>
        <v>SAÍDA</v>
      </c>
      <c r="C10296" t="str">
        <f>"PIX"</f>
        <v>PIX</v>
      </c>
      <c r="D10296" t="str">
        <f>"24799"</f>
        <v>24799</v>
      </c>
      <c r="E10296" t="str">
        <f>"1"</f>
        <v>1</v>
      </c>
      <c r="F10296" t="str">
        <f t="shared" si="1963"/>
        <v>COM</v>
      </c>
      <c r="G10296" t="str">
        <f>"MURILO BARRETO AFONSO (30)"</f>
        <v>MURILO BARRETO AFONSO (30)</v>
      </c>
      <c r="H10296" t="s">
        <v>2879</v>
      </c>
      <c r="I10296" t="str">
        <f>("13/11/2025")</f>
        <v>13/11/2025</v>
      </c>
      <c r="J10296" t="str">
        <f>("04/11/2025")</f>
        <v>04/11/2025</v>
      </c>
      <c r="K10296">
        <v>45974</v>
      </c>
      <c r="N10296">
        <v>109</v>
      </c>
      <c r="O10296" t="s">
        <v>24</v>
      </c>
      <c r="Q10296">
        <v>12.11</v>
      </c>
      <c r="R10296" t="str">
        <f>"FARMÁCIA INDIANA LJ 192 (10082)"</f>
        <v>FARMÁCIA INDIANA LJ 192 (10082)</v>
      </c>
      <c r="S10296" t="s">
        <v>48</v>
      </c>
      <c r="T10296">
        <v>21069</v>
      </c>
      <c r="U10296">
        <v>25457</v>
      </c>
      <c r="V10296" t="s">
        <v>48</v>
      </c>
    </row>
    <row r="10297" spans="1:22">
      <c r="A10297" t="str">
        <f t="shared" si="1961"/>
        <v>13/11/2025</v>
      </c>
      <c r="B10297" t="str">
        <f>"ENTRADA"</f>
        <v>ENTRADA</v>
      </c>
      <c r="C10297" t="str">
        <f>"DINHEIRO"</f>
        <v>DINHEIRO</v>
      </c>
      <c r="D10297" t="str">
        <f>"11"</f>
        <v>11</v>
      </c>
      <c r="E10297" t="str">
        <f>"35"</f>
        <v>35</v>
      </c>
      <c r="F10297" t="str">
        <f t="shared" si="1963"/>
        <v>COM</v>
      </c>
      <c r="G10297" t="str">
        <f>"MURILO BARRETO AFONSO (30)"</f>
        <v>MURILO BARRETO AFONSO (30)</v>
      </c>
      <c r="H10297" t="str">
        <f>"DESCONTO COTA COOPERADO"</f>
        <v>DESCONTO COTA COOPERADO</v>
      </c>
      <c r="I10297" t="str">
        <f>("16/11/2025")</f>
        <v>16/11/2025</v>
      </c>
      <c r="J10297" t="str">
        <f>("16/01/2025")</f>
        <v>16/01/2025</v>
      </c>
      <c r="K10297" t="str">
        <f>("13/11/2025")</f>
        <v>13/11/2025</v>
      </c>
      <c r="L10297">
        <v>20</v>
      </c>
      <c r="M10297">
        <v>20</v>
      </c>
      <c r="N10297">
        <v>106</v>
      </c>
      <c r="O10297" t="str">
        <f>"ENTRADA DE CAPITAL"</f>
        <v>ENTRADA DE CAPITAL</v>
      </c>
      <c r="P10297">
        <v>20</v>
      </c>
      <c r="S10297" t="str">
        <f>"ENTRADA DE CAPITAL (106)"</f>
        <v>ENTRADA DE CAPITAL (106)</v>
      </c>
      <c r="T10297">
        <v>21070</v>
      </c>
      <c r="U10297">
        <v>7208</v>
      </c>
      <c r="V10297" t="s">
        <v>48</v>
      </c>
    </row>
    <row r="10298" spans="1:22">
      <c r="A10298" t="str">
        <f t="shared" si="1961"/>
        <v>13/11/2025</v>
      </c>
      <c r="B10298" t="str">
        <f>"ENTRADA"</f>
        <v>ENTRADA</v>
      </c>
      <c r="C10298" t="str">
        <f>"DINHEIRO"</f>
        <v>DINHEIRO</v>
      </c>
      <c r="D10298" t="str">
        <f>"11"</f>
        <v>11</v>
      </c>
      <c r="E10298" t="str">
        <f>"35"</f>
        <v>35</v>
      </c>
      <c r="F10298" t="str">
        <f t="shared" si="1963"/>
        <v>COM</v>
      </c>
      <c r="G10298" t="str">
        <f>"MURILO BARRETO AFONSO (30)"</f>
        <v>MURILO BARRETO AFONSO (30)</v>
      </c>
      <c r="H10298" t="s">
        <v>309</v>
      </c>
      <c r="I10298" t="str">
        <f>("16/11/2025")</f>
        <v>16/11/2025</v>
      </c>
      <c r="J10298" t="str">
        <f>("16/01/2025")</f>
        <v>16/01/2025</v>
      </c>
      <c r="K10298">
        <v>45974</v>
      </c>
      <c r="N10298">
        <v>106</v>
      </c>
      <c r="O10298" t="s">
        <v>51</v>
      </c>
      <c r="Q10298">
        <v>20</v>
      </c>
      <c r="R10298" t="str">
        <f>"MURILO BARRETO AFONSO (30)"</f>
        <v>MURILO BARRETO AFONSO (30)</v>
      </c>
      <c r="S10298" t="s">
        <v>52</v>
      </c>
      <c r="T10298">
        <v>21070</v>
      </c>
      <c r="U10298">
        <v>7208</v>
      </c>
      <c r="V10298" t="s">
        <v>48</v>
      </c>
    </row>
    <row r="10299" spans="1:22">
      <c r="A10299" t="str">
        <f t="shared" si="1961"/>
        <v>13/11/2025</v>
      </c>
      <c r="B10299" t="str">
        <f>"SAÍDA"</f>
        <v>SAÍDA</v>
      </c>
      <c r="C10299" t="str">
        <f>"PIX"</f>
        <v>PIX</v>
      </c>
      <c r="D10299" t="str">
        <f>"24722"</f>
        <v>24722</v>
      </c>
      <c r="E10299" t="str">
        <f>"1"</f>
        <v>1</v>
      </c>
      <c r="F10299" t="str">
        <f t="shared" si="1963"/>
        <v>COM</v>
      </c>
      <c r="G10299" t="str">
        <f>"OSVALDO DOS SANTOS (163)"</f>
        <v>OSVALDO DOS SANTOS (163)</v>
      </c>
      <c r="H10299" t="str">
        <f>"Serv.Prest. 24/10/2025 a 02/11/2025 - PIX: CELULAR - CHAVE: (73) 99977-2721"</f>
        <v>Serv.Prest. 24/10/2025 a 02/11/2025 - PIX: CELULAR - CHAVE: (73) 99977-2721</v>
      </c>
      <c r="I10299" t="str">
        <f>("13/11/2025")</f>
        <v>13/11/2025</v>
      </c>
      <c r="J10299" t="str">
        <f>("04/11/2025")</f>
        <v>04/11/2025</v>
      </c>
      <c r="K10299" t="str">
        <f>("13/11/2025")</f>
        <v>13/11/2025</v>
      </c>
      <c r="L10299">
        <v>20</v>
      </c>
      <c r="M10299">
        <v>20</v>
      </c>
      <c r="N10299">
        <v>109</v>
      </c>
      <c r="O10299" t="str">
        <f>"PAGAMENTO DE ENTREGADORES"</f>
        <v>PAGAMENTO DE ENTREGADORES</v>
      </c>
      <c r="P10299">
        <v>20</v>
      </c>
      <c r="S10299" t="str">
        <f>"CAIXA MOVIMENTAÇÃO OPERACIONAL (132)"</f>
        <v>CAIXA MOVIMENTAÇÃO OPERACIONAL (132)</v>
      </c>
      <c r="T10299">
        <v>21071</v>
      </c>
      <c r="U10299">
        <v>25458</v>
      </c>
      <c r="V10299" t="s">
        <v>48</v>
      </c>
    </row>
    <row r="10300" spans="1:22">
      <c r="A10300" t="str">
        <f t="shared" si="1961"/>
        <v>13/11/2025</v>
      </c>
      <c r="B10300" t="str">
        <f>"SAÍDA"</f>
        <v>SAÍDA</v>
      </c>
      <c r="C10300" t="str">
        <f>"PIX"</f>
        <v>PIX</v>
      </c>
      <c r="D10300" t="str">
        <f>"24722"</f>
        <v>24722</v>
      </c>
      <c r="E10300" t="str">
        <f>"1"</f>
        <v>1</v>
      </c>
      <c r="F10300" t="str">
        <f t="shared" si="1963"/>
        <v>COM</v>
      </c>
      <c r="G10300" t="str">
        <f>"OSVALDO DOS SANTOS (163)"</f>
        <v>OSVALDO DOS SANTOS (163)</v>
      </c>
      <c r="H10300" t="s">
        <v>2880</v>
      </c>
      <c r="I10300" t="str">
        <f>("13/11/2025")</f>
        <v>13/11/2025</v>
      </c>
      <c r="J10300" t="str">
        <f>("04/11/2025")</f>
        <v>04/11/2025</v>
      </c>
      <c r="K10300">
        <v>45974</v>
      </c>
      <c r="N10300">
        <v>109</v>
      </c>
      <c r="O10300" t="s">
        <v>24</v>
      </c>
      <c r="Q10300">
        <v>20</v>
      </c>
      <c r="R10300" t="str">
        <f>"FARMÁCIA INDIANA LJ 35 (10015)"</f>
        <v>FARMÁCIA INDIANA LJ 35 (10015)</v>
      </c>
      <c r="S10300" t="s">
        <v>48</v>
      </c>
      <c r="T10300">
        <v>21071</v>
      </c>
      <c r="U10300">
        <v>25458</v>
      </c>
      <c r="V10300" t="s">
        <v>48</v>
      </c>
    </row>
    <row r="10301" spans="1:22">
      <c r="A10301" t="str">
        <f t="shared" si="1961"/>
        <v>13/11/2025</v>
      </c>
      <c r="B10301" t="str">
        <f>"ENTRADA"</f>
        <v>ENTRADA</v>
      </c>
      <c r="C10301" t="str">
        <f>"DINHEIRO"</f>
        <v>DINHEIRO</v>
      </c>
      <c r="D10301" t="str">
        <f>"09"</f>
        <v>09</v>
      </c>
      <c r="E10301" t="str">
        <f>"35"</f>
        <v>35</v>
      </c>
      <c r="F10301" t="str">
        <f t="shared" si="1963"/>
        <v>COM</v>
      </c>
      <c r="G10301" t="str">
        <f>"OSVALDO DOS SANTOS (163)"</f>
        <v>OSVALDO DOS SANTOS (163)</v>
      </c>
      <c r="H10301" t="str">
        <f>"DESCONTO COTA COOPERADO"</f>
        <v>DESCONTO COTA COOPERADO</v>
      </c>
      <c r="I10301" t="str">
        <f>("16/11/2025")</f>
        <v>16/11/2025</v>
      </c>
      <c r="J10301" t="str">
        <f>("16/01/2025")</f>
        <v>16/01/2025</v>
      </c>
      <c r="K10301" t="str">
        <f>("13/11/2025")</f>
        <v>13/11/2025</v>
      </c>
      <c r="L10301">
        <v>20</v>
      </c>
      <c r="M10301">
        <v>20</v>
      </c>
      <c r="N10301">
        <v>106</v>
      </c>
      <c r="O10301" t="str">
        <f>"ENTRADA DE CAPITAL"</f>
        <v>ENTRADA DE CAPITAL</v>
      </c>
      <c r="P10301">
        <v>20</v>
      </c>
      <c r="S10301" t="str">
        <f>"ENTRADA DE CAPITAL (106)"</f>
        <v>ENTRADA DE CAPITAL (106)</v>
      </c>
      <c r="T10301">
        <v>21072</v>
      </c>
      <c r="U10301">
        <v>7242</v>
      </c>
      <c r="V10301" t="s">
        <v>48</v>
      </c>
    </row>
    <row r="10302" spans="1:22">
      <c r="A10302" t="str">
        <f t="shared" si="1961"/>
        <v>13/11/2025</v>
      </c>
      <c r="B10302" t="str">
        <f>"ENTRADA"</f>
        <v>ENTRADA</v>
      </c>
      <c r="C10302" t="str">
        <f>"DINHEIRO"</f>
        <v>DINHEIRO</v>
      </c>
      <c r="D10302" t="str">
        <f>"09"</f>
        <v>09</v>
      </c>
      <c r="E10302" t="str">
        <f>"35"</f>
        <v>35</v>
      </c>
      <c r="F10302" t="str">
        <f t="shared" si="1963"/>
        <v>COM</v>
      </c>
      <c r="G10302" t="str">
        <f>"OSVALDO DOS SANTOS (163)"</f>
        <v>OSVALDO DOS SANTOS (163)</v>
      </c>
      <c r="H10302" t="s">
        <v>309</v>
      </c>
      <c r="I10302" t="str">
        <f>("16/11/2025")</f>
        <v>16/11/2025</v>
      </c>
      <c r="J10302" t="str">
        <f>("16/01/2025")</f>
        <v>16/01/2025</v>
      </c>
      <c r="K10302">
        <v>45974</v>
      </c>
      <c r="N10302">
        <v>106</v>
      </c>
      <c r="O10302" t="s">
        <v>51</v>
      </c>
      <c r="Q10302">
        <v>20</v>
      </c>
      <c r="R10302" t="str">
        <f>"OSVALDO DOS SANTOS (163)"</f>
        <v>OSVALDO DOS SANTOS (163)</v>
      </c>
      <c r="S10302" t="s">
        <v>52</v>
      </c>
      <c r="T10302">
        <v>21072</v>
      </c>
      <c r="U10302">
        <v>7242</v>
      </c>
      <c r="V10302" t="s">
        <v>48</v>
      </c>
    </row>
    <row r="10303" spans="1:22">
      <c r="A10303" t="str">
        <f t="shared" si="1961"/>
        <v>13/11/2025</v>
      </c>
      <c r="B10303" t="str">
        <f>"SAÍDA"</f>
        <v>SAÍDA</v>
      </c>
      <c r="C10303" t="str">
        <f>"PIX"</f>
        <v>PIX</v>
      </c>
      <c r="D10303" t="str">
        <f>"24803"</f>
        <v>24803</v>
      </c>
      <c r="E10303" t="str">
        <f>"1"</f>
        <v>1</v>
      </c>
      <c r="F10303" t="str">
        <f t="shared" si="1963"/>
        <v>COM</v>
      </c>
      <c r="G10303" t="str">
        <f>"PATRICK DE SOUZA CORREA (92)"</f>
        <v>PATRICK DE SOUZA CORREA (92)</v>
      </c>
      <c r="H10303" t="str">
        <f>"Serv.Prest. 24/10/2025 a 02/11/2025 - PIX: CELULAR - CHAVE: (31) 99216-8711"</f>
        <v>Serv.Prest. 24/10/2025 a 02/11/2025 - PIX: CELULAR - CHAVE: (31) 99216-8711</v>
      </c>
      <c r="I10303" t="str">
        <f>("13/11/2025")</f>
        <v>13/11/2025</v>
      </c>
      <c r="J10303" t="str">
        <f>("04/11/2025")</f>
        <v>04/11/2025</v>
      </c>
      <c r="K10303" t="str">
        <f>("13/11/2025")</f>
        <v>13/11/2025</v>
      </c>
      <c r="L10303">
        <v>20</v>
      </c>
      <c r="M10303">
        <v>20</v>
      </c>
      <c r="N10303">
        <v>109</v>
      </c>
      <c r="O10303" t="str">
        <f>"PAGAMENTO DE ENTREGADORES"</f>
        <v>PAGAMENTO DE ENTREGADORES</v>
      </c>
      <c r="P10303">
        <v>20</v>
      </c>
      <c r="S10303" t="str">
        <f>"CAIXA MOVIMENTAÇÃO OPERACIONAL (132)"</f>
        <v>CAIXA MOVIMENTAÇÃO OPERACIONAL (132)</v>
      </c>
      <c r="T10303">
        <v>21073</v>
      </c>
      <c r="U10303">
        <v>25459</v>
      </c>
      <c r="V10303" t="s">
        <v>48</v>
      </c>
    </row>
    <row r="10304" spans="1:22">
      <c r="A10304" t="str">
        <f t="shared" si="1961"/>
        <v>13/11/2025</v>
      </c>
      <c r="B10304" t="str">
        <f>"SAÍDA"</f>
        <v>SAÍDA</v>
      </c>
      <c r="C10304" t="str">
        <f>"PIX"</f>
        <v>PIX</v>
      </c>
      <c r="D10304" t="str">
        <f>"24803"</f>
        <v>24803</v>
      </c>
      <c r="E10304" t="str">
        <f>"1"</f>
        <v>1</v>
      </c>
      <c r="F10304" t="str">
        <f t="shared" si="1963"/>
        <v>COM</v>
      </c>
      <c r="G10304" t="str">
        <f>"PATRICK DE SOUZA CORREA (92)"</f>
        <v>PATRICK DE SOUZA CORREA (92)</v>
      </c>
      <c r="H10304" t="s">
        <v>2881</v>
      </c>
      <c r="I10304" t="str">
        <f>("13/11/2025")</f>
        <v>13/11/2025</v>
      </c>
      <c r="J10304" t="str">
        <f>("04/11/2025")</f>
        <v>04/11/2025</v>
      </c>
      <c r="K10304">
        <v>45974</v>
      </c>
      <c r="N10304">
        <v>109</v>
      </c>
      <c r="O10304" t="s">
        <v>24</v>
      </c>
      <c r="Q10304">
        <v>10</v>
      </c>
      <c r="R10304" t="str">
        <f>"FARMÁCIA INDIANA LJ 184 (10080)"</f>
        <v>FARMÁCIA INDIANA LJ 184 (10080)</v>
      </c>
      <c r="S10304" t="s">
        <v>48</v>
      </c>
      <c r="T10304">
        <v>21073</v>
      </c>
      <c r="U10304">
        <v>25459</v>
      </c>
      <c r="V10304" t="s">
        <v>48</v>
      </c>
    </row>
    <row r="10305" spans="1:22">
      <c r="A10305" t="str">
        <f t="shared" si="1961"/>
        <v>13/11/2025</v>
      </c>
      <c r="B10305" t="str">
        <f>"SAÍDA"</f>
        <v>SAÍDA</v>
      </c>
      <c r="C10305" t="str">
        <f>"PIX"</f>
        <v>PIX</v>
      </c>
      <c r="D10305" t="str">
        <f>"24803"</f>
        <v>24803</v>
      </c>
      <c r="E10305" t="str">
        <f>"1"</f>
        <v>1</v>
      </c>
      <c r="F10305" t="str">
        <f t="shared" si="1963"/>
        <v>COM</v>
      </c>
      <c r="G10305" t="str">
        <f>"PATRICK DE SOUZA CORREA (92)"</f>
        <v>PATRICK DE SOUZA CORREA (92)</v>
      </c>
      <c r="H10305" t="s">
        <v>2881</v>
      </c>
      <c r="I10305" t="str">
        <f>("13/11/2025")</f>
        <v>13/11/2025</v>
      </c>
      <c r="J10305" t="str">
        <f>("04/11/2025")</f>
        <v>04/11/2025</v>
      </c>
      <c r="K10305">
        <v>45974</v>
      </c>
      <c r="N10305">
        <v>109</v>
      </c>
      <c r="O10305" t="s">
        <v>24</v>
      </c>
      <c r="Q10305">
        <v>10</v>
      </c>
      <c r="R10305" t="str">
        <f>"FARMÁCIA INDIANA LJ 195 (10083)"</f>
        <v>FARMÁCIA INDIANA LJ 195 (10083)</v>
      </c>
      <c r="S10305" t="s">
        <v>48</v>
      </c>
      <c r="T10305">
        <v>21073</v>
      </c>
      <c r="U10305">
        <v>25459</v>
      </c>
      <c r="V10305" t="s">
        <v>48</v>
      </c>
    </row>
    <row r="10306" spans="1:22">
      <c r="A10306" t="str">
        <f t="shared" si="1961"/>
        <v>13/11/2025</v>
      </c>
      <c r="B10306" t="str">
        <f>"ENTRADA"</f>
        <v>ENTRADA</v>
      </c>
      <c r="C10306" t="str">
        <f>"DINHEIRO"</f>
        <v>DINHEIRO</v>
      </c>
      <c r="D10306" t="str">
        <f>"14"</f>
        <v>14</v>
      </c>
      <c r="E10306" t="str">
        <f>"35"</f>
        <v>35</v>
      </c>
      <c r="F10306" t="str">
        <f t="shared" si="1963"/>
        <v>COM</v>
      </c>
      <c r="G10306" t="str">
        <f>"PATRICK DE SOUZA CORREA (92)"</f>
        <v>PATRICK DE SOUZA CORREA (92)</v>
      </c>
      <c r="H10306" t="str">
        <f>"DESCONTO COTA COOPERADO"</f>
        <v>DESCONTO COTA COOPERADO</v>
      </c>
      <c r="I10306" t="str">
        <f>("16/11/2025")</f>
        <v>16/11/2025</v>
      </c>
      <c r="J10306" t="str">
        <f>("16/01/2025")</f>
        <v>16/01/2025</v>
      </c>
      <c r="K10306" t="str">
        <f>("13/11/2025")</f>
        <v>13/11/2025</v>
      </c>
      <c r="L10306">
        <v>20</v>
      </c>
      <c r="M10306">
        <v>20</v>
      </c>
      <c r="N10306">
        <v>106</v>
      </c>
      <c r="O10306" t="str">
        <f>"ENTRADA DE CAPITAL"</f>
        <v>ENTRADA DE CAPITAL</v>
      </c>
      <c r="P10306">
        <v>20</v>
      </c>
      <c r="S10306" t="str">
        <f>"ENTRADA DE CAPITAL (106)"</f>
        <v>ENTRADA DE CAPITAL (106)</v>
      </c>
      <c r="T10306">
        <v>21074</v>
      </c>
      <c r="U10306">
        <v>7260</v>
      </c>
      <c r="V10306" t="s">
        <v>48</v>
      </c>
    </row>
    <row r="10307" spans="1:22">
      <c r="A10307" t="str">
        <f t="shared" si="1961"/>
        <v>13/11/2025</v>
      </c>
      <c r="B10307" t="str">
        <f>"ENTRADA"</f>
        <v>ENTRADA</v>
      </c>
      <c r="C10307" t="str">
        <f>"DINHEIRO"</f>
        <v>DINHEIRO</v>
      </c>
      <c r="D10307" t="str">
        <f>"14"</f>
        <v>14</v>
      </c>
      <c r="E10307" t="str">
        <f>"35"</f>
        <v>35</v>
      </c>
      <c r="F10307" t="str">
        <f t="shared" si="1963"/>
        <v>COM</v>
      </c>
      <c r="G10307" t="str">
        <f>"PATRICK DE SOUZA CORREA (92)"</f>
        <v>PATRICK DE SOUZA CORREA (92)</v>
      </c>
      <c r="H10307" t="s">
        <v>309</v>
      </c>
      <c r="I10307" t="str">
        <f>("16/11/2025")</f>
        <v>16/11/2025</v>
      </c>
      <c r="J10307" t="str">
        <f>("16/01/2025")</f>
        <v>16/01/2025</v>
      </c>
      <c r="K10307">
        <v>45974</v>
      </c>
      <c r="N10307">
        <v>106</v>
      </c>
      <c r="O10307" t="s">
        <v>51</v>
      </c>
      <c r="Q10307">
        <v>20</v>
      </c>
      <c r="R10307" t="str">
        <f>"PATRICK DE SOUZA CORREA (92)"</f>
        <v>PATRICK DE SOUZA CORREA (92)</v>
      </c>
      <c r="S10307" t="s">
        <v>52</v>
      </c>
      <c r="T10307">
        <v>21074</v>
      </c>
      <c r="U10307">
        <v>7260</v>
      </c>
      <c r="V10307" t="s">
        <v>48</v>
      </c>
    </row>
    <row r="10308" spans="1:22">
      <c r="A10308" t="str">
        <f t="shared" si="1961"/>
        <v>13/11/2025</v>
      </c>
      <c r="B10308" t="str">
        <f>"ENTRADA"</f>
        <v>ENTRADA</v>
      </c>
      <c r="C10308" t="str">
        <f>"DINHEIRO"</f>
        <v>DINHEIRO</v>
      </c>
      <c r="D10308" t="str">
        <f>"865"</f>
        <v>865</v>
      </c>
      <c r="E10308" t="str">
        <f>"5"</f>
        <v>5</v>
      </c>
      <c r="F10308" t="str">
        <f t="shared" si="1963"/>
        <v>COM</v>
      </c>
      <c r="G10308" t="str">
        <f>"PAULO CESAR DE FARIA (865)"</f>
        <v>PAULO CESAR DE FARIA (865)</v>
      </c>
      <c r="H10308" t="str">
        <f>"COTA COOPERATIVA"</f>
        <v>COTA COOPERATIVA</v>
      </c>
      <c r="I10308" t="str">
        <f>("10/11/2025")</f>
        <v>10/11/2025</v>
      </c>
      <c r="J10308" t="str">
        <f>("30/06/2025")</f>
        <v>30/06/2025</v>
      </c>
      <c r="K10308" t="str">
        <f>("13/11/2025")</f>
        <v>13/11/2025</v>
      </c>
      <c r="L10308">
        <v>20</v>
      </c>
      <c r="M10308">
        <v>20</v>
      </c>
      <c r="N10308">
        <v>106</v>
      </c>
      <c r="O10308" t="str">
        <f>"ENTRADA DE CAPITAL"</f>
        <v>ENTRADA DE CAPITAL</v>
      </c>
      <c r="P10308">
        <v>20</v>
      </c>
      <c r="S10308" t="str">
        <f>"ENTRADA DE CAPITAL (106)"</f>
        <v>ENTRADA DE CAPITAL (106)</v>
      </c>
      <c r="T10308">
        <v>21075</v>
      </c>
      <c r="U10308">
        <v>18279</v>
      </c>
      <c r="V10308" t="s">
        <v>48</v>
      </c>
    </row>
    <row r="10309" spans="1:22">
      <c r="A10309" t="str">
        <f t="shared" si="1961"/>
        <v>13/11/2025</v>
      </c>
      <c r="B10309" t="str">
        <f>"ENTRADA"</f>
        <v>ENTRADA</v>
      </c>
      <c r="C10309" t="str">
        <f>"DINHEIRO"</f>
        <v>DINHEIRO</v>
      </c>
      <c r="D10309" t="str">
        <f>"865"</f>
        <v>865</v>
      </c>
      <c r="E10309" t="str">
        <f>"5"</f>
        <v>5</v>
      </c>
      <c r="F10309" t="str">
        <f t="shared" si="1963"/>
        <v>COM</v>
      </c>
      <c r="G10309" t="str">
        <f>"PAULO CESAR DE FARIA (865)"</f>
        <v>PAULO CESAR DE FARIA (865)</v>
      </c>
      <c r="H10309" t="s">
        <v>50</v>
      </c>
      <c r="I10309" t="str">
        <f>("10/11/2025")</f>
        <v>10/11/2025</v>
      </c>
      <c r="J10309" t="str">
        <f>("30/06/2025")</f>
        <v>30/06/2025</v>
      </c>
      <c r="K10309">
        <v>45974</v>
      </c>
      <c r="N10309">
        <v>106</v>
      </c>
      <c r="O10309" t="s">
        <v>51</v>
      </c>
      <c r="Q10309">
        <v>20</v>
      </c>
      <c r="R10309" t="str">
        <f>"PAULO CESAR DE FARIA (865)"</f>
        <v>PAULO CESAR DE FARIA (865)</v>
      </c>
      <c r="S10309" t="s">
        <v>52</v>
      </c>
      <c r="T10309">
        <v>21075</v>
      </c>
      <c r="U10309">
        <v>18279</v>
      </c>
      <c r="V10309" t="s">
        <v>48</v>
      </c>
    </row>
    <row r="10310" spans="1:22">
      <c r="A10310" t="str">
        <f t="shared" si="1961"/>
        <v>13/11/2025</v>
      </c>
      <c r="B10310" t="str">
        <f>"SAÍDA"</f>
        <v>SAÍDA</v>
      </c>
      <c r="C10310" t="str">
        <f>"PIX"</f>
        <v>PIX</v>
      </c>
      <c r="D10310" t="str">
        <f>"25041"</f>
        <v>25041</v>
      </c>
      <c r="E10310" t="str">
        <f>"1"</f>
        <v>1</v>
      </c>
      <c r="F10310" t="str">
        <f t="shared" si="1963"/>
        <v>COM</v>
      </c>
      <c r="G10310" t="str">
        <f>"PAULO CESAR DE FARIA (865)"</f>
        <v>PAULO CESAR DE FARIA (865)</v>
      </c>
      <c r="H10310" t="str">
        <f>"Serv.Prest. 03/11/2025 a 09/11/2025 - PIX: CELULAR - CHAVE: (11) 99992-0816"</f>
        <v>Serv.Prest. 03/11/2025 a 09/11/2025 - PIX: CELULAR - CHAVE: (11) 99992-0816</v>
      </c>
      <c r="I10310" t="str">
        <f>("13/11/2025")</f>
        <v>13/11/2025</v>
      </c>
      <c r="J10310" t="str">
        <f>("10/11/2025")</f>
        <v>10/11/2025</v>
      </c>
      <c r="K10310" t="str">
        <f>("13/11/2025")</f>
        <v>13/11/2025</v>
      </c>
      <c r="L10310">
        <v>20</v>
      </c>
      <c r="M10310">
        <v>20</v>
      </c>
      <c r="N10310">
        <v>109</v>
      </c>
      <c r="O10310" t="str">
        <f>"PAGAMENTO DE ENTREGADORES"</f>
        <v>PAGAMENTO DE ENTREGADORES</v>
      </c>
      <c r="P10310">
        <v>20</v>
      </c>
      <c r="S10310" t="str">
        <f>"CAIXA MOVIMENTAÇÃO OPERACIONAL (132)"</f>
        <v>CAIXA MOVIMENTAÇÃO OPERACIONAL (132)</v>
      </c>
      <c r="T10310">
        <v>21076</v>
      </c>
      <c r="U10310">
        <v>25460</v>
      </c>
      <c r="V10310" t="s">
        <v>48</v>
      </c>
    </row>
    <row r="10311" spans="1:22">
      <c r="A10311" t="str">
        <f t="shared" si="1961"/>
        <v>13/11/2025</v>
      </c>
      <c r="B10311" t="str">
        <f>"SAÍDA"</f>
        <v>SAÍDA</v>
      </c>
      <c r="C10311" t="str">
        <f>"PIX"</f>
        <v>PIX</v>
      </c>
      <c r="D10311" t="str">
        <f>"25041"</f>
        <v>25041</v>
      </c>
      <c r="E10311" t="str">
        <f>"1"</f>
        <v>1</v>
      </c>
      <c r="F10311" t="str">
        <f t="shared" si="1963"/>
        <v>COM</v>
      </c>
      <c r="G10311" t="str">
        <f>"PAULO CESAR DE FARIA (865)"</f>
        <v>PAULO CESAR DE FARIA (865)</v>
      </c>
      <c r="H10311" t="s">
        <v>2882</v>
      </c>
      <c r="I10311" t="str">
        <f>("13/11/2025")</f>
        <v>13/11/2025</v>
      </c>
      <c r="J10311" t="str">
        <f>("10/11/2025")</f>
        <v>10/11/2025</v>
      </c>
      <c r="K10311">
        <v>45974</v>
      </c>
      <c r="N10311">
        <v>109</v>
      </c>
      <c r="O10311" t="s">
        <v>24</v>
      </c>
      <c r="Q10311">
        <v>20</v>
      </c>
      <c r="R10311" t="str">
        <f>"DROGARIA MORENO LTDA (10171)"</f>
        <v>DROGARIA MORENO LTDA (10171)</v>
      </c>
      <c r="S10311" t="s">
        <v>48</v>
      </c>
      <c r="T10311">
        <v>21076</v>
      </c>
      <c r="U10311">
        <v>25460</v>
      </c>
      <c r="V10311" t="s">
        <v>48</v>
      </c>
    </row>
    <row r="10312" spans="1:22">
      <c r="A10312" t="str">
        <f t="shared" si="1961"/>
        <v>13/11/2025</v>
      </c>
      <c r="B10312" t="str">
        <f>"SAÍDA"</f>
        <v>SAÍDA</v>
      </c>
      <c r="C10312" t="str">
        <f>"PIX"</f>
        <v>PIX</v>
      </c>
      <c r="D10312" t="str">
        <f>"24804"</f>
        <v>24804</v>
      </c>
      <c r="E10312" t="str">
        <f>"1"</f>
        <v>1</v>
      </c>
      <c r="F10312" t="str">
        <f t="shared" si="1963"/>
        <v>COM</v>
      </c>
      <c r="G10312" t="str">
        <f>"PAULO MARCOS FARIA DE SOUZA L (233)"</f>
        <v>PAULO MARCOS FARIA DE SOUZA L (233)</v>
      </c>
      <c r="H10312" t="str">
        <f>"Serv.Prest. 24/10/2025 a 02/11/2025 - PIX: CELULAR - CHAVE: (35) 99264-4504"</f>
        <v>Serv.Prest. 24/10/2025 a 02/11/2025 - PIX: CELULAR - CHAVE: (35) 99264-4504</v>
      </c>
      <c r="I10312" t="str">
        <f>("13/11/2025")</f>
        <v>13/11/2025</v>
      </c>
      <c r="J10312" t="str">
        <f>("04/11/2025")</f>
        <v>04/11/2025</v>
      </c>
      <c r="K10312" t="str">
        <f>("13/11/2025")</f>
        <v>13/11/2025</v>
      </c>
      <c r="L10312">
        <v>20</v>
      </c>
      <c r="M10312">
        <v>20</v>
      </c>
      <c r="N10312">
        <v>109</v>
      </c>
      <c r="O10312" t="str">
        <f>"PAGAMENTO DE ENTREGADORES"</f>
        <v>PAGAMENTO DE ENTREGADORES</v>
      </c>
      <c r="P10312">
        <v>20</v>
      </c>
      <c r="S10312" t="str">
        <f>"CAIXA MOVIMENTAÇÃO OPERACIONAL (132)"</f>
        <v>CAIXA MOVIMENTAÇÃO OPERACIONAL (132)</v>
      </c>
      <c r="T10312">
        <v>21077</v>
      </c>
      <c r="U10312">
        <v>25461</v>
      </c>
      <c r="V10312" t="s">
        <v>48</v>
      </c>
    </row>
    <row r="10313" spans="1:22">
      <c r="A10313" t="str">
        <f t="shared" si="1961"/>
        <v>13/11/2025</v>
      </c>
      <c r="B10313" t="str">
        <f>"SAÍDA"</f>
        <v>SAÍDA</v>
      </c>
      <c r="C10313" t="str">
        <f>"PIX"</f>
        <v>PIX</v>
      </c>
      <c r="D10313" t="str">
        <f>"24804"</f>
        <v>24804</v>
      </c>
      <c r="E10313" t="str">
        <f>"1"</f>
        <v>1</v>
      </c>
      <c r="F10313" t="str">
        <f t="shared" si="1963"/>
        <v>COM</v>
      </c>
      <c r="G10313" t="str">
        <f>"PAULO MARCOS FARIA DE SOUZA L (233)"</f>
        <v>PAULO MARCOS FARIA DE SOUZA L (233)</v>
      </c>
      <c r="H10313" t="s">
        <v>2883</v>
      </c>
      <c r="I10313" t="str">
        <f>("13/11/2025")</f>
        <v>13/11/2025</v>
      </c>
      <c r="J10313" t="str">
        <f>("04/11/2025")</f>
        <v>04/11/2025</v>
      </c>
      <c r="K10313">
        <v>45974</v>
      </c>
      <c r="N10313">
        <v>109</v>
      </c>
      <c r="O10313" t="s">
        <v>24</v>
      </c>
      <c r="Q10313">
        <v>20</v>
      </c>
      <c r="R10313" t="str">
        <f>"FARMÁCIA INDIANA LJ 64 (10029)"</f>
        <v>FARMÁCIA INDIANA LJ 64 (10029)</v>
      </c>
      <c r="S10313" t="s">
        <v>48</v>
      </c>
      <c r="T10313">
        <v>21077</v>
      </c>
      <c r="U10313">
        <v>25461</v>
      </c>
      <c r="V10313" t="s">
        <v>48</v>
      </c>
    </row>
    <row r="10314" spans="1:22">
      <c r="A10314" t="str">
        <f t="shared" si="1961"/>
        <v>13/11/2025</v>
      </c>
      <c r="B10314" t="str">
        <f>"ENTRADA"</f>
        <v>ENTRADA</v>
      </c>
      <c r="C10314" t="str">
        <f>"DINHEIRO"</f>
        <v>DINHEIRO</v>
      </c>
      <c r="D10314" t="str">
        <f>"08"</f>
        <v>08</v>
      </c>
      <c r="E10314" t="str">
        <f>"35"</f>
        <v>35</v>
      </c>
      <c r="F10314" t="str">
        <f t="shared" si="1963"/>
        <v>COM</v>
      </c>
      <c r="G10314" t="str">
        <f>"PAULO MARCOS FARIA DE SOUZA L (233)"</f>
        <v>PAULO MARCOS FARIA DE SOUZA L (233)</v>
      </c>
      <c r="H10314" t="str">
        <f>"DESCONTO COTA COOPERADO"</f>
        <v>DESCONTO COTA COOPERADO</v>
      </c>
      <c r="I10314" t="str">
        <f>("16/11/2025")</f>
        <v>16/11/2025</v>
      </c>
      <c r="J10314" t="str">
        <f>("16/01/2025")</f>
        <v>16/01/2025</v>
      </c>
      <c r="K10314" t="str">
        <f>("13/11/2025")</f>
        <v>13/11/2025</v>
      </c>
      <c r="L10314">
        <v>20</v>
      </c>
      <c r="M10314">
        <v>20</v>
      </c>
      <c r="N10314">
        <v>106</v>
      </c>
      <c r="O10314" t="str">
        <f>"ENTRADA DE CAPITAL"</f>
        <v>ENTRADA DE CAPITAL</v>
      </c>
      <c r="P10314">
        <v>20</v>
      </c>
      <c r="S10314" t="str">
        <f>"ENTRADA DE CAPITAL (106)"</f>
        <v>ENTRADA DE CAPITAL (106)</v>
      </c>
      <c r="T10314">
        <v>21078</v>
      </c>
      <c r="U10314">
        <v>7292</v>
      </c>
      <c r="V10314" t="s">
        <v>48</v>
      </c>
    </row>
    <row r="10315" spans="1:22">
      <c r="A10315" t="str">
        <f t="shared" si="1961"/>
        <v>13/11/2025</v>
      </c>
      <c r="B10315" t="str">
        <f>"ENTRADA"</f>
        <v>ENTRADA</v>
      </c>
      <c r="C10315" t="str">
        <f>"DINHEIRO"</f>
        <v>DINHEIRO</v>
      </c>
      <c r="D10315" t="str">
        <f>"08"</f>
        <v>08</v>
      </c>
      <c r="E10315" t="str">
        <f>"35"</f>
        <v>35</v>
      </c>
      <c r="F10315" t="str">
        <f t="shared" si="1963"/>
        <v>COM</v>
      </c>
      <c r="G10315" t="str">
        <f>"PAULO MARCOS FARIA DE SOUZA L (233)"</f>
        <v>PAULO MARCOS FARIA DE SOUZA L (233)</v>
      </c>
      <c r="H10315" t="s">
        <v>309</v>
      </c>
      <c r="I10315" t="str">
        <f>("16/11/2025")</f>
        <v>16/11/2025</v>
      </c>
      <c r="J10315" t="str">
        <f>("16/01/2025")</f>
        <v>16/01/2025</v>
      </c>
      <c r="K10315">
        <v>45974</v>
      </c>
      <c r="N10315">
        <v>106</v>
      </c>
      <c r="O10315" t="s">
        <v>51</v>
      </c>
      <c r="Q10315">
        <v>20</v>
      </c>
      <c r="R10315" t="str">
        <f>"PAULO MARCOS FARIA DE SOUZA L (233)"</f>
        <v>PAULO MARCOS FARIA DE SOUZA L (233)</v>
      </c>
      <c r="S10315" t="s">
        <v>52</v>
      </c>
      <c r="T10315">
        <v>21078</v>
      </c>
      <c r="U10315">
        <v>7292</v>
      </c>
      <c r="V10315" t="s">
        <v>48</v>
      </c>
    </row>
    <row r="10316" spans="1:22">
      <c r="A10316" t="str">
        <f t="shared" si="1961"/>
        <v>13/11/2025</v>
      </c>
      <c r="B10316" t="str">
        <f>"ENTRADA"</f>
        <v>ENTRADA</v>
      </c>
      <c r="C10316" t="str">
        <f>"DINHEIRO"</f>
        <v>DINHEIRO</v>
      </c>
      <c r="D10316" t="str">
        <f>"852"</f>
        <v>852</v>
      </c>
      <c r="E10316" t="str">
        <f>"5"</f>
        <v>5</v>
      </c>
      <c r="F10316" t="str">
        <f t="shared" si="1963"/>
        <v>COM</v>
      </c>
      <c r="G10316" t="str">
        <f>"PEDRO HENRIQUE DA SILVA COSTA OLIVEIRA (852)"</f>
        <v>PEDRO HENRIQUE DA SILVA COSTA OLIVEIRA (852)</v>
      </c>
      <c r="H10316" t="str">
        <f>"COTA COOPERATIVA"</f>
        <v>COTA COOPERATIVA</v>
      </c>
      <c r="I10316" t="str">
        <f>("10/11/2025")</f>
        <v>10/11/2025</v>
      </c>
      <c r="J10316" t="str">
        <f>("23/06/2025")</f>
        <v>23/06/2025</v>
      </c>
      <c r="K10316" t="str">
        <f>("13/11/2025")</f>
        <v>13/11/2025</v>
      </c>
      <c r="L10316">
        <v>20</v>
      </c>
      <c r="M10316">
        <v>20</v>
      </c>
      <c r="N10316">
        <v>106</v>
      </c>
      <c r="O10316" t="str">
        <f>"ENTRADA DE CAPITAL"</f>
        <v>ENTRADA DE CAPITAL</v>
      </c>
      <c r="P10316">
        <v>20</v>
      </c>
      <c r="S10316" t="str">
        <f>"ENTRADA DE CAPITAL (106)"</f>
        <v>ENTRADA DE CAPITAL (106)</v>
      </c>
      <c r="T10316">
        <v>21079</v>
      </c>
      <c r="U10316">
        <v>18310</v>
      </c>
      <c r="V10316" t="s">
        <v>48</v>
      </c>
    </row>
    <row r="10317" spans="1:22">
      <c r="A10317" t="str">
        <f t="shared" si="1961"/>
        <v>13/11/2025</v>
      </c>
      <c r="B10317" t="str">
        <f>"ENTRADA"</f>
        <v>ENTRADA</v>
      </c>
      <c r="C10317" t="str">
        <f>"DINHEIRO"</f>
        <v>DINHEIRO</v>
      </c>
      <c r="D10317" t="str">
        <f>"852"</f>
        <v>852</v>
      </c>
      <c r="E10317" t="str">
        <f>"5"</f>
        <v>5</v>
      </c>
      <c r="F10317" t="str">
        <f t="shared" si="1963"/>
        <v>COM</v>
      </c>
      <c r="G10317" t="str">
        <f>"PEDRO HENRIQUE DA SILVA COSTA OLIVEIRA (852)"</f>
        <v>PEDRO HENRIQUE DA SILVA COSTA OLIVEIRA (852)</v>
      </c>
      <c r="H10317" t="s">
        <v>50</v>
      </c>
      <c r="I10317" t="str">
        <f>("10/11/2025")</f>
        <v>10/11/2025</v>
      </c>
      <c r="J10317" t="str">
        <f>("23/06/2025")</f>
        <v>23/06/2025</v>
      </c>
      <c r="K10317">
        <v>45974</v>
      </c>
      <c r="N10317">
        <v>106</v>
      </c>
      <c r="O10317" t="s">
        <v>51</v>
      </c>
      <c r="Q10317">
        <v>20</v>
      </c>
      <c r="R10317" t="str">
        <f>"PEDRO HENRIQUE DA SILVA COSTA OLIVEIRA (852)"</f>
        <v>PEDRO HENRIQUE DA SILVA COSTA OLIVEIRA (852)</v>
      </c>
      <c r="S10317" t="s">
        <v>52</v>
      </c>
      <c r="T10317">
        <v>21079</v>
      </c>
      <c r="U10317">
        <v>18310</v>
      </c>
      <c r="V10317" t="s">
        <v>48</v>
      </c>
    </row>
    <row r="10318" spans="1:22">
      <c r="A10318" t="str">
        <f t="shared" si="1961"/>
        <v>13/11/2025</v>
      </c>
      <c r="B10318" t="str">
        <f>"SAÍDA"</f>
        <v>SAÍDA</v>
      </c>
      <c r="C10318" t="str">
        <f>"PIX"</f>
        <v>PIX</v>
      </c>
      <c r="D10318" t="str">
        <f>"24805"</f>
        <v>24805</v>
      </c>
      <c r="E10318" t="str">
        <f>"1"</f>
        <v>1</v>
      </c>
      <c r="F10318" t="str">
        <f t="shared" si="1963"/>
        <v>COM</v>
      </c>
      <c r="G10318" t="str">
        <f>"PEDRO HENRIQUE DA SILVA COSTA OLIVEIRA (852)"</f>
        <v>PEDRO HENRIQUE DA SILVA COSTA OLIVEIRA (852)</v>
      </c>
      <c r="H10318" t="str">
        <f>"Serv.Prest. 24/10/2025 a 02/11/2025 - PIX: E-MAIL - CHAVE: sypedrinho@gmail.com"</f>
        <v>Serv.Prest. 24/10/2025 a 02/11/2025 - PIX: E-MAIL - CHAVE: sypedrinho@gmail.com</v>
      </c>
      <c r="I10318" t="str">
        <f>("13/11/2025")</f>
        <v>13/11/2025</v>
      </c>
      <c r="J10318" t="str">
        <f>("04/11/2025")</f>
        <v>04/11/2025</v>
      </c>
      <c r="K10318" t="str">
        <f>("13/11/2025")</f>
        <v>13/11/2025</v>
      </c>
      <c r="L10318">
        <v>20</v>
      </c>
      <c r="M10318">
        <v>20</v>
      </c>
      <c r="N10318">
        <v>109</v>
      </c>
      <c r="O10318" t="str">
        <f>"PAGAMENTO DE ENTREGADORES"</f>
        <v>PAGAMENTO DE ENTREGADORES</v>
      </c>
      <c r="P10318">
        <v>20</v>
      </c>
      <c r="S10318" t="str">
        <f>"CAIXA MOVIMENTAÇÃO OPERACIONAL (132)"</f>
        <v>CAIXA MOVIMENTAÇÃO OPERACIONAL (132)</v>
      </c>
      <c r="T10318">
        <v>21080</v>
      </c>
      <c r="U10318">
        <v>25462</v>
      </c>
      <c r="V10318" t="s">
        <v>48</v>
      </c>
    </row>
    <row r="10319" spans="1:22">
      <c r="A10319" t="str">
        <f t="shared" si="1961"/>
        <v>13/11/2025</v>
      </c>
      <c r="B10319" t="str">
        <f>"SAÍDA"</f>
        <v>SAÍDA</v>
      </c>
      <c r="C10319" t="str">
        <f>"PIX"</f>
        <v>PIX</v>
      </c>
      <c r="D10319" t="str">
        <f>"24805"</f>
        <v>24805</v>
      </c>
      <c r="E10319" t="str">
        <f>"1"</f>
        <v>1</v>
      </c>
      <c r="F10319" t="str">
        <f t="shared" si="1963"/>
        <v>COM</v>
      </c>
      <c r="G10319" t="str">
        <f>"PEDRO HENRIQUE DA SILVA COSTA OLIVEIRA (852)"</f>
        <v>PEDRO HENRIQUE DA SILVA COSTA OLIVEIRA (852)</v>
      </c>
      <c r="H10319" t="s">
        <v>2884</v>
      </c>
      <c r="I10319" t="str">
        <f>("13/11/2025")</f>
        <v>13/11/2025</v>
      </c>
      <c r="J10319" t="str">
        <f>("04/11/2025")</f>
        <v>04/11/2025</v>
      </c>
      <c r="K10319">
        <v>45974</v>
      </c>
      <c r="N10319">
        <v>109</v>
      </c>
      <c r="O10319" t="s">
        <v>24</v>
      </c>
      <c r="Q10319">
        <v>20</v>
      </c>
      <c r="R10319" t="str">
        <f>"FARMÁCIA INDIANA LJ 110 (10048)"</f>
        <v>FARMÁCIA INDIANA LJ 110 (10048)</v>
      </c>
      <c r="S10319" t="s">
        <v>48</v>
      </c>
      <c r="T10319">
        <v>21080</v>
      </c>
      <c r="U10319">
        <v>25462</v>
      </c>
      <c r="V10319" t="s">
        <v>48</v>
      </c>
    </row>
    <row r="10320" spans="1:22">
      <c r="A10320" t="str">
        <f t="shared" si="1961"/>
        <v>13/11/2025</v>
      </c>
      <c r="B10320" t="str">
        <f>"ENTRADA"</f>
        <v>ENTRADA</v>
      </c>
      <c r="C10320" t="str">
        <f>"DINHEIRO"</f>
        <v>DINHEIRO</v>
      </c>
      <c r="D10320" t="str">
        <f>"705"</f>
        <v>705</v>
      </c>
      <c r="E10320" t="str">
        <f>"8"</f>
        <v>8</v>
      </c>
      <c r="F10320" t="str">
        <f t="shared" si="1963"/>
        <v>COM</v>
      </c>
      <c r="G10320" t="str">
        <f>"RAISSON VITOR MENDES DE ABREU (705)"</f>
        <v>RAISSON VITOR MENDES DE ABREU (705)</v>
      </c>
      <c r="H10320" t="str">
        <f>"COTAS COOPERATIVA"</f>
        <v>COTAS COOPERATIVA</v>
      </c>
      <c r="I10320" t="str">
        <f>("10/11/2025")</f>
        <v>10/11/2025</v>
      </c>
      <c r="J10320" t="str">
        <f>("17/03/2025")</f>
        <v>17/03/2025</v>
      </c>
      <c r="K10320" t="str">
        <f>("13/11/2025")</f>
        <v>13/11/2025</v>
      </c>
      <c r="L10320">
        <v>20</v>
      </c>
      <c r="M10320">
        <v>20</v>
      </c>
      <c r="N10320">
        <v>106</v>
      </c>
      <c r="O10320" t="str">
        <f>"ENTRADA DE CAPITAL"</f>
        <v>ENTRADA DE CAPITAL</v>
      </c>
      <c r="P10320">
        <v>20</v>
      </c>
      <c r="S10320" t="str">
        <f>"ENTRADA DE CAPITAL (106)"</f>
        <v>ENTRADA DE CAPITAL (106)</v>
      </c>
      <c r="T10320">
        <v>21081</v>
      </c>
      <c r="U10320">
        <v>11888</v>
      </c>
      <c r="V10320" t="s">
        <v>48</v>
      </c>
    </row>
    <row r="10321" spans="1:22">
      <c r="A10321" t="str">
        <f t="shared" si="1961"/>
        <v>13/11/2025</v>
      </c>
      <c r="B10321" t="str">
        <f>"ENTRADA"</f>
        <v>ENTRADA</v>
      </c>
      <c r="C10321" t="str">
        <f>"DINHEIRO"</f>
        <v>DINHEIRO</v>
      </c>
      <c r="D10321" t="str">
        <f>"705"</f>
        <v>705</v>
      </c>
      <c r="E10321" t="str">
        <f>"8"</f>
        <v>8</v>
      </c>
      <c r="F10321" t="str">
        <f t="shared" si="1963"/>
        <v>COM</v>
      </c>
      <c r="G10321" t="str">
        <f>"RAISSON VITOR MENDES DE ABREU (705)"</f>
        <v>RAISSON VITOR MENDES DE ABREU (705)</v>
      </c>
      <c r="H10321" t="s">
        <v>318</v>
      </c>
      <c r="I10321" t="str">
        <f>("10/11/2025")</f>
        <v>10/11/2025</v>
      </c>
      <c r="J10321" t="str">
        <f>("17/03/2025")</f>
        <v>17/03/2025</v>
      </c>
      <c r="K10321">
        <v>45974</v>
      </c>
      <c r="N10321">
        <v>106</v>
      </c>
      <c r="O10321" t="s">
        <v>51</v>
      </c>
      <c r="Q10321">
        <v>20</v>
      </c>
      <c r="R10321" t="str">
        <f>"RAISSON VITOR MENDES DE ABREU (705)"</f>
        <v>RAISSON VITOR MENDES DE ABREU (705)</v>
      </c>
      <c r="S10321" t="s">
        <v>52</v>
      </c>
      <c r="T10321">
        <v>21081</v>
      </c>
      <c r="U10321">
        <v>11888</v>
      </c>
      <c r="V10321" t="s">
        <v>48</v>
      </c>
    </row>
    <row r="10322" spans="1:22">
      <c r="A10322" t="str">
        <f t="shared" si="1961"/>
        <v>13/11/2025</v>
      </c>
      <c r="B10322" t="str">
        <f>"SAÍDA"</f>
        <v>SAÍDA</v>
      </c>
      <c r="C10322" t="str">
        <f>"PIX"</f>
        <v>PIX</v>
      </c>
      <c r="D10322" t="str">
        <f>"25177"</f>
        <v>25177</v>
      </c>
      <c r="E10322" t="str">
        <f>"1"</f>
        <v>1</v>
      </c>
      <c r="F10322" t="str">
        <f t="shared" si="1963"/>
        <v>COM</v>
      </c>
      <c r="G10322" t="str">
        <f>"RAISSON VITOR MENDES DE ABREU (705)"</f>
        <v>RAISSON VITOR MENDES DE ABREU (705)</v>
      </c>
      <c r="H10322" t="str">
        <f>"Serv.Prest. 03/11/2025 a 09/11/2025 - PIX: CELULAR - CHAVE: (31) 99959-5414"</f>
        <v>Serv.Prest. 03/11/2025 a 09/11/2025 - PIX: CELULAR - CHAVE: (31) 99959-5414</v>
      </c>
      <c r="I10322" t="str">
        <f>("13/11/2025")</f>
        <v>13/11/2025</v>
      </c>
      <c r="J10322" t="str">
        <f>("11/11/2025")</f>
        <v>11/11/2025</v>
      </c>
      <c r="K10322" t="str">
        <f>("13/11/2025")</f>
        <v>13/11/2025</v>
      </c>
      <c r="L10322">
        <v>20</v>
      </c>
      <c r="M10322">
        <v>20</v>
      </c>
      <c r="N10322">
        <v>109</v>
      </c>
      <c r="O10322" t="str">
        <f>"PAGAMENTO DE ENTREGADORES"</f>
        <v>PAGAMENTO DE ENTREGADORES</v>
      </c>
      <c r="P10322">
        <v>20</v>
      </c>
      <c r="S10322" t="str">
        <f>"CAIXA MOVIMENTAÇÃO OPERACIONAL (132)"</f>
        <v>CAIXA MOVIMENTAÇÃO OPERACIONAL (132)</v>
      </c>
      <c r="T10322">
        <v>21082</v>
      </c>
      <c r="U10322">
        <v>25464</v>
      </c>
      <c r="V10322" t="s">
        <v>48</v>
      </c>
    </row>
    <row r="10323" spans="1:22">
      <c r="A10323" t="str">
        <f t="shared" si="1961"/>
        <v>13/11/2025</v>
      </c>
      <c r="B10323" t="str">
        <f>"SAÍDA"</f>
        <v>SAÍDA</v>
      </c>
      <c r="C10323" t="str">
        <f>"PIX"</f>
        <v>PIX</v>
      </c>
      <c r="D10323" t="str">
        <f>"25177"</f>
        <v>25177</v>
      </c>
      <c r="E10323" t="str">
        <f>"1"</f>
        <v>1</v>
      </c>
      <c r="F10323" t="str">
        <f t="shared" si="1963"/>
        <v>COM</v>
      </c>
      <c r="G10323" t="str">
        <f>"RAISSON VITOR MENDES DE ABREU (705)"</f>
        <v>RAISSON VITOR MENDES DE ABREU (705)</v>
      </c>
      <c r="H10323" t="s">
        <v>2885</v>
      </c>
      <c r="I10323" t="str">
        <f>("13/11/2025")</f>
        <v>13/11/2025</v>
      </c>
      <c r="J10323" t="str">
        <f>("11/11/2025")</f>
        <v>11/11/2025</v>
      </c>
      <c r="K10323">
        <v>45974</v>
      </c>
      <c r="N10323">
        <v>109</v>
      </c>
      <c r="O10323" t="s">
        <v>24</v>
      </c>
      <c r="Q10323">
        <v>20</v>
      </c>
      <c r="R10323" t="str">
        <f>"FARMÁCIA INDIANA LJ 178 (10077)"</f>
        <v>FARMÁCIA INDIANA LJ 178 (10077)</v>
      </c>
      <c r="S10323" t="s">
        <v>48</v>
      </c>
      <c r="T10323">
        <v>21082</v>
      </c>
      <c r="U10323">
        <v>25464</v>
      </c>
      <c r="V10323" t="s">
        <v>48</v>
      </c>
    </row>
    <row r="10324" spans="1:22">
      <c r="A10324" t="str">
        <f t="shared" si="1961"/>
        <v>13/11/2025</v>
      </c>
      <c r="B10324" t="str">
        <f>"ENTRADA"</f>
        <v>ENTRADA</v>
      </c>
      <c r="C10324" t="str">
        <f>"DINHEIRO"</f>
        <v>DINHEIRO</v>
      </c>
      <c r="D10324" t="str">
        <f>"727"</f>
        <v>727</v>
      </c>
      <c r="E10324" t="str">
        <f>"7"</f>
        <v>7</v>
      </c>
      <c r="F10324" t="str">
        <f t="shared" si="1963"/>
        <v>COM</v>
      </c>
      <c r="G10324" t="str">
        <f>"RAUL SILVA ROMAO (727)"</f>
        <v>RAUL SILVA ROMAO (727)</v>
      </c>
      <c r="H10324" t="str">
        <f>"COTA COOPERATIVA"</f>
        <v>COTA COOPERATIVA</v>
      </c>
      <c r="I10324" t="str">
        <f>("08/11/2025")</f>
        <v>08/11/2025</v>
      </c>
      <c r="J10324" t="str">
        <f>("07/04/2025")</f>
        <v>07/04/2025</v>
      </c>
      <c r="K10324" t="str">
        <f>("13/11/2025")</f>
        <v>13/11/2025</v>
      </c>
      <c r="L10324">
        <v>20</v>
      </c>
      <c r="M10324">
        <v>20</v>
      </c>
      <c r="N10324">
        <v>106</v>
      </c>
      <c r="O10324" t="str">
        <f>"ENTRADA DE CAPITAL"</f>
        <v>ENTRADA DE CAPITAL</v>
      </c>
      <c r="P10324">
        <v>20</v>
      </c>
      <c r="S10324" t="str">
        <f>"ENTRADA DE CAPITAL (106)"</f>
        <v>ENTRADA DE CAPITAL (106)</v>
      </c>
      <c r="T10324">
        <v>21083</v>
      </c>
      <c r="U10324">
        <v>14392</v>
      </c>
      <c r="V10324" t="s">
        <v>48</v>
      </c>
    </row>
    <row r="10325" spans="1:22">
      <c r="A10325" t="str">
        <f t="shared" si="1961"/>
        <v>13/11/2025</v>
      </c>
      <c r="B10325" t="str">
        <f>"ENTRADA"</f>
        <v>ENTRADA</v>
      </c>
      <c r="C10325" t="str">
        <f>"DINHEIRO"</f>
        <v>DINHEIRO</v>
      </c>
      <c r="D10325" t="str">
        <f>"727"</f>
        <v>727</v>
      </c>
      <c r="E10325" t="str">
        <f>"7"</f>
        <v>7</v>
      </c>
      <c r="F10325" t="str">
        <f t="shared" si="1963"/>
        <v>COM</v>
      </c>
      <c r="G10325" t="str">
        <f>"RAUL SILVA ROMAO (727)"</f>
        <v>RAUL SILVA ROMAO (727)</v>
      </c>
      <c r="H10325" t="s">
        <v>50</v>
      </c>
      <c r="I10325" t="str">
        <f>("08/11/2025")</f>
        <v>08/11/2025</v>
      </c>
      <c r="J10325" t="str">
        <f>("07/04/2025")</f>
        <v>07/04/2025</v>
      </c>
      <c r="K10325">
        <v>45974</v>
      </c>
      <c r="N10325">
        <v>106</v>
      </c>
      <c r="O10325" t="s">
        <v>51</v>
      </c>
      <c r="Q10325">
        <v>20</v>
      </c>
      <c r="R10325" t="str">
        <f>"RAUL SILVA ROMAO (727)"</f>
        <v>RAUL SILVA ROMAO (727)</v>
      </c>
      <c r="S10325" t="s">
        <v>52</v>
      </c>
      <c r="T10325">
        <v>21083</v>
      </c>
      <c r="U10325">
        <v>14392</v>
      </c>
      <c r="V10325" t="s">
        <v>48</v>
      </c>
    </row>
    <row r="10326" spans="1:22">
      <c r="A10326" t="str">
        <f t="shared" si="1961"/>
        <v>13/11/2025</v>
      </c>
      <c r="B10326" t="str">
        <f>"SAÍDA"</f>
        <v>SAÍDA</v>
      </c>
      <c r="C10326" t="str">
        <f>"PIX"</f>
        <v>PIX</v>
      </c>
      <c r="D10326" t="str">
        <f>"24888"</f>
        <v>24888</v>
      </c>
      <c r="E10326" t="str">
        <f>"1"</f>
        <v>1</v>
      </c>
      <c r="F10326" t="str">
        <f t="shared" si="1963"/>
        <v>COM</v>
      </c>
      <c r="G10326" t="str">
        <f>"RAUL SILVA ROMAO (727)"</f>
        <v>RAUL SILVA ROMAO (727)</v>
      </c>
      <c r="H10326" t="str">
        <f>"Serv.Prest. 27/10/2025 a 02/11/2025 - PIX: CPF - CHAVE: 878.196.869-87"</f>
        <v>Serv.Prest. 27/10/2025 a 02/11/2025 - PIX: CPF - CHAVE: 878.196.869-87</v>
      </c>
      <c r="I10326" t="str">
        <f>("13/11/2025")</f>
        <v>13/11/2025</v>
      </c>
      <c r="J10326" t="str">
        <f>("05/11/2025")</f>
        <v>05/11/2025</v>
      </c>
      <c r="K10326" t="str">
        <f>("13/11/2025")</f>
        <v>13/11/2025</v>
      </c>
      <c r="L10326">
        <v>20</v>
      </c>
      <c r="M10326">
        <v>20</v>
      </c>
      <c r="N10326">
        <v>109</v>
      </c>
      <c r="O10326" t="str">
        <f>"PAGAMENTO DE ENTREGADORES"</f>
        <v>PAGAMENTO DE ENTREGADORES</v>
      </c>
      <c r="P10326">
        <v>20</v>
      </c>
      <c r="S10326" t="str">
        <f>"CAIXA MOVIMENTAÇÃO OPERACIONAL (132)"</f>
        <v>CAIXA MOVIMENTAÇÃO OPERACIONAL (132)</v>
      </c>
      <c r="T10326">
        <v>21084</v>
      </c>
      <c r="U10326">
        <v>25465</v>
      </c>
      <c r="V10326" t="s">
        <v>48</v>
      </c>
    </row>
    <row r="10327" spans="1:22">
      <c r="A10327" t="str">
        <f t="shared" si="1961"/>
        <v>13/11/2025</v>
      </c>
      <c r="B10327" t="str">
        <f>"SAÍDA"</f>
        <v>SAÍDA</v>
      </c>
      <c r="C10327" t="str">
        <f>"PIX"</f>
        <v>PIX</v>
      </c>
      <c r="D10327" t="str">
        <f>"24888"</f>
        <v>24888</v>
      </c>
      <c r="E10327" t="str">
        <f>"1"</f>
        <v>1</v>
      </c>
      <c r="F10327" t="str">
        <f t="shared" si="1963"/>
        <v>COM</v>
      </c>
      <c r="G10327" t="str">
        <f>"RAUL SILVA ROMAO (727)"</f>
        <v>RAUL SILVA ROMAO (727)</v>
      </c>
      <c r="H10327" t="s">
        <v>2886</v>
      </c>
      <c r="I10327" t="str">
        <f>("13/11/2025")</f>
        <v>13/11/2025</v>
      </c>
      <c r="J10327" t="str">
        <f>("05/11/2025")</f>
        <v>05/11/2025</v>
      </c>
      <c r="K10327">
        <v>45974</v>
      </c>
      <c r="N10327">
        <v>109</v>
      </c>
      <c r="O10327" t="s">
        <v>24</v>
      </c>
      <c r="Q10327">
        <v>20</v>
      </c>
      <c r="R10327" t="str">
        <f>"AC FARMA - CID.ALTA (10166)"</f>
        <v>AC FARMA - CID.ALTA (10166)</v>
      </c>
      <c r="S10327" t="s">
        <v>48</v>
      </c>
      <c r="T10327">
        <v>21084</v>
      </c>
      <c r="U10327">
        <v>25465</v>
      </c>
      <c r="V10327" t="s">
        <v>48</v>
      </c>
    </row>
    <row r="10328" spans="1:22">
      <c r="A10328" t="str">
        <f t="shared" si="1961"/>
        <v>13/11/2025</v>
      </c>
      <c r="B10328" t="str">
        <f>"SAÍDA"</f>
        <v>SAÍDA</v>
      </c>
      <c r="C10328" t="str">
        <f>"PIX"</f>
        <v>PIX</v>
      </c>
      <c r="D10328" t="str">
        <f>"25049"</f>
        <v>25049</v>
      </c>
      <c r="E10328" t="str">
        <f>"1"</f>
        <v>1</v>
      </c>
      <c r="F10328" t="str">
        <f t="shared" si="1963"/>
        <v>COM</v>
      </c>
      <c r="G10328" t="str">
        <f>"RICHARD HENRIQUE DA SILVA (244)"</f>
        <v>RICHARD HENRIQUE DA SILVA (244)</v>
      </c>
      <c r="H10328" t="str">
        <f>"Serv.Prest. 03/11/2025 a 09/11/2025 - PIX: CELULAR - CHAVE: (37) 99197-6834"</f>
        <v>Serv.Prest. 03/11/2025 a 09/11/2025 - PIX: CELULAR - CHAVE: (37) 99197-6834</v>
      </c>
      <c r="I10328" t="str">
        <f>("13/11/2025")</f>
        <v>13/11/2025</v>
      </c>
      <c r="J10328" t="str">
        <f>("10/11/2025")</f>
        <v>10/11/2025</v>
      </c>
      <c r="K10328" t="str">
        <f>("13/11/2025")</f>
        <v>13/11/2025</v>
      </c>
      <c r="L10328">
        <v>20</v>
      </c>
      <c r="M10328">
        <v>20</v>
      </c>
      <c r="N10328">
        <v>109</v>
      </c>
      <c r="O10328" t="str">
        <f>"PAGAMENTO DE ENTREGADORES"</f>
        <v>PAGAMENTO DE ENTREGADORES</v>
      </c>
      <c r="P10328">
        <v>20</v>
      </c>
      <c r="S10328" t="str">
        <f>"CAIXA MOVIMENTAÇÃO OPERACIONAL (132)"</f>
        <v>CAIXA MOVIMENTAÇÃO OPERACIONAL (132)</v>
      </c>
      <c r="T10328">
        <v>21085</v>
      </c>
      <c r="U10328">
        <v>25466</v>
      </c>
      <c r="V10328" t="s">
        <v>48</v>
      </c>
    </row>
    <row r="10329" spans="1:22">
      <c r="A10329" t="str">
        <f t="shared" si="1961"/>
        <v>13/11/2025</v>
      </c>
      <c r="B10329" t="str">
        <f>"SAÍDA"</f>
        <v>SAÍDA</v>
      </c>
      <c r="C10329" t="str">
        <f>"PIX"</f>
        <v>PIX</v>
      </c>
      <c r="D10329" t="str">
        <f>"25049"</f>
        <v>25049</v>
      </c>
      <c r="E10329" t="str">
        <f>"1"</f>
        <v>1</v>
      </c>
      <c r="F10329" t="str">
        <f t="shared" si="1963"/>
        <v>COM</v>
      </c>
      <c r="G10329" t="str">
        <f>"RICHARD HENRIQUE DA SILVA (244)"</f>
        <v>RICHARD HENRIQUE DA SILVA (244)</v>
      </c>
      <c r="H10329" t="s">
        <v>2887</v>
      </c>
      <c r="I10329" t="str">
        <f>("13/11/2025")</f>
        <v>13/11/2025</v>
      </c>
      <c r="J10329" t="str">
        <f>("10/11/2025")</f>
        <v>10/11/2025</v>
      </c>
      <c r="K10329">
        <v>45974</v>
      </c>
      <c r="N10329">
        <v>109</v>
      </c>
      <c r="O10329" t="s">
        <v>24</v>
      </c>
      <c r="Q10329">
        <v>20</v>
      </c>
      <c r="R10329" t="str">
        <f>"DROGARIA POUPA MINAS (ULTRAMINAS) 1 (10181)"</f>
        <v>DROGARIA POUPA MINAS (ULTRAMINAS) 1 (10181)</v>
      </c>
      <c r="S10329" t="s">
        <v>48</v>
      </c>
      <c r="T10329">
        <v>21085</v>
      </c>
      <c r="U10329">
        <v>25466</v>
      </c>
      <c r="V10329" t="s">
        <v>48</v>
      </c>
    </row>
    <row r="10330" spans="1:22">
      <c r="A10330" t="str">
        <f t="shared" si="1961"/>
        <v>13/11/2025</v>
      </c>
      <c r="B10330" t="str">
        <f>"ENTRADA"</f>
        <v>ENTRADA</v>
      </c>
      <c r="C10330" t="str">
        <f>"DINHEIRO"</f>
        <v>DINHEIRO</v>
      </c>
      <c r="D10330" t="str">
        <f>"07"</f>
        <v>07</v>
      </c>
      <c r="E10330" t="str">
        <f>"35"</f>
        <v>35</v>
      </c>
      <c r="F10330" t="str">
        <f t="shared" si="1963"/>
        <v>COM</v>
      </c>
      <c r="G10330" t="str">
        <f>"RICHARD HENRIQUE DA SILVA (244)"</f>
        <v>RICHARD HENRIQUE DA SILVA (244)</v>
      </c>
      <c r="H10330" t="str">
        <f>"DESCONTO COTA COOPERADO"</f>
        <v>DESCONTO COTA COOPERADO</v>
      </c>
      <c r="I10330" t="str">
        <f>("16/11/2025")</f>
        <v>16/11/2025</v>
      </c>
      <c r="J10330" t="str">
        <f>("16/01/2025")</f>
        <v>16/01/2025</v>
      </c>
      <c r="K10330" t="str">
        <f>("13/11/2025")</f>
        <v>13/11/2025</v>
      </c>
      <c r="L10330">
        <v>20</v>
      </c>
      <c r="M10330">
        <v>20</v>
      </c>
      <c r="N10330">
        <v>106</v>
      </c>
      <c r="O10330" t="str">
        <f>"ENTRADA DE CAPITAL"</f>
        <v>ENTRADA DE CAPITAL</v>
      </c>
      <c r="P10330">
        <v>20</v>
      </c>
      <c r="S10330" t="str">
        <f>"ENTRADA DE CAPITAL (106)"</f>
        <v>ENTRADA DE CAPITAL (106)</v>
      </c>
      <c r="T10330">
        <v>21086</v>
      </c>
      <c r="U10330">
        <v>7396</v>
      </c>
      <c r="V10330" t="s">
        <v>48</v>
      </c>
    </row>
    <row r="10331" spans="1:22">
      <c r="A10331" t="str">
        <f t="shared" si="1961"/>
        <v>13/11/2025</v>
      </c>
      <c r="B10331" t="str">
        <f>"ENTRADA"</f>
        <v>ENTRADA</v>
      </c>
      <c r="C10331" t="str">
        <f>"DINHEIRO"</f>
        <v>DINHEIRO</v>
      </c>
      <c r="D10331" t="str">
        <f>"07"</f>
        <v>07</v>
      </c>
      <c r="E10331" t="str">
        <f>"35"</f>
        <v>35</v>
      </c>
      <c r="F10331" t="str">
        <f t="shared" si="1963"/>
        <v>COM</v>
      </c>
      <c r="G10331" t="str">
        <f>"RICHARD HENRIQUE DA SILVA (244)"</f>
        <v>RICHARD HENRIQUE DA SILVA (244)</v>
      </c>
      <c r="H10331" t="s">
        <v>309</v>
      </c>
      <c r="I10331" t="str">
        <f>("16/11/2025")</f>
        <v>16/11/2025</v>
      </c>
      <c r="J10331" t="str">
        <f>("16/01/2025")</f>
        <v>16/01/2025</v>
      </c>
      <c r="K10331">
        <v>45974</v>
      </c>
      <c r="N10331">
        <v>106</v>
      </c>
      <c r="O10331" t="s">
        <v>51</v>
      </c>
      <c r="Q10331">
        <v>20</v>
      </c>
      <c r="R10331" t="str">
        <f>"RICHARD HENRIQUE DA SILVA (244)"</f>
        <v>RICHARD HENRIQUE DA SILVA (244)</v>
      </c>
      <c r="S10331" t="s">
        <v>52</v>
      </c>
      <c r="T10331">
        <v>21086</v>
      </c>
      <c r="U10331">
        <v>7396</v>
      </c>
      <c r="V10331" t="s">
        <v>48</v>
      </c>
    </row>
    <row r="10332" spans="1:22">
      <c r="A10332" t="str">
        <f t="shared" si="1961"/>
        <v>13/11/2025</v>
      </c>
      <c r="B10332" t="str">
        <f>"ENTRADA"</f>
        <v>ENTRADA</v>
      </c>
      <c r="C10332" t="str">
        <f>"DINHEIRO"</f>
        <v>DINHEIRO</v>
      </c>
      <c r="D10332" t="str">
        <f>"649"</f>
        <v>649</v>
      </c>
      <c r="E10332" t="str">
        <f>"10"</f>
        <v>10</v>
      </c>
      <c r="F10332" t="str">
        <f t="shared" si="1963"/>
        <v>COM</v>
      </c>
      <c r="G10332" t="str">
        <f>"ROGERIO AUGUSTO FERREIRA (649)"</f>
        <v>ROGERIO AUGUSTO FERREIRA (649)</v>
      </c>
      <c r="H10332" t="str">
        <f>"COTAS COOPERATIVA"</f>
        <v>COTAS COOPERATIVA</v>
      </c>
      <c r="I10332" t="str">
        <f>("13/11/2025")</f>
        <v>13/11/2025</v>
      </c>
      <c r="J10332" t="str">
        <f>("13/02/2025")</f>
        <v>13/02/2025</v>
      </c>
      <c r="K10332" t="str">
        <f>("13/11/2025")</f>
        <v>13/11/2025</v>
      </c>
      <c r="L10332">
        <v>20</v>
      </c>
      <c r="M10332">
        <v>20</v>
      </c>
      <c r="N10332">
        <v>106</v>
      </c>
      <c r="O10332" t="str">
        <f>"ENTRADA DE CAPITAL"</f>
        <v>ENTRADA DE CAPITAL</v>
      </c>
      <c r="P10332">
        <v>20</v>
      </c>
      <c r="S10332" t="str">
        <f>"ENTRADA DE CAPITAL (106)"</f>
        <v>ENTRADA DE CAPITAL (106)</v>
      </c>
      <c r="T10332">
        <v>21087</v>
      </c>
      <c r="U10332">
        <v>9595</v>
      </c>
      <c r="V10332" t="s">
        <v>48</v>
      </c>
    </row>
    <row r="10333" spans="1:22">
      <c r="A10333" t="str">
        <f t="shared" si="1961"/>
        <v>13/11/2025</v>
      </c>
      <c r="B10333" t="str">
        <f>"ENTRADA"</f>
        <v>ENTRADA</v>
      </c>
      <c r="C10333" t="str">
        <f>"DINHEIRO"</f>
        <v>DINHEIRO</v>
      </c>
      <c r="D10333" t="str">
        <f>"649"</f>
        <v>649</v>
      </c>
      <c r="E10333" t="str">
        <f>"10"</f>
        <v>10</v>
      </c>
      <c r="F10333" t="str">
        <f t="shared" si="1963"/>
        <v>COM</v>
      </c>
      <c r="G10333" t="str">
        <f>"ROGERIO AUGUSTO FERREIRA (649)"</f>
        <v>ROGERIO AUGUSTO FERREIRA (649)</v>
      </c>
      <c r="H10333" t="s">
        <v>318</v>
      </c>
      <c r="I10333" t="str">
        <f>("13/11/2025")</f>
        <v>13/11/2025</v>
      </c>
      <c r="J10333" t="str">
        <f>("13/02/2025")</f>
        <v>13/02/2025</v>
      </c>
      <c r="K10333">
        <v>45974</v>
      </c>
      <c r="N10333">
        <v>106</v>
      </c>
      <c r="O10333" t="s">
        <v>51</v>
      </c>
      <c r="Q10333">
        <v>20</v>
      </c>
      <c r="R10333" t="str">
        <f>"ROGERIO AUGUSTO FERREIRA (649)"</f>
        <v>ROGERIO AUGUSTO FERREIRA (649)</v>
      </c>
      <c r="S10333" t="s">
        <v>52</v>
      </c>
      <c r="T10333">
        <v>21087</v>
      </c>
      <c r="U10333">
        <v>9595</v>
      </c>
      <c r="V10333" t="s">
        <v>48</v>
      </c>
    </row>
    <row r="10334" spans="1:22">
      <c r="A10334" t="str">
        <f t="shared" si="1961"/>
        <v>13/11/2025</v>
      </c>
      <c r="B10334" t="str">
        <f>"SAÍDA"</f>
        <v>SAÍDA</v>
      </c>
      <c r="C10334" t="str">
        <f>"PIX"</f>
        <v>PIX</v>
      </c>
      <c r="D10334" t="str">
        <f>"25050"</f>
        <v>25050</v>
      </c>
      <c r="E10334" t="str">
        <f>"1"</f>
        <v>1</v>
      </c>
      <c r="F10334" t="str">
        <f t="shared" si="1963"/>
        <v>COM</v>
      </c>
      <c r="G10334" t="str">
        <f>"ROGERIO AUGUSTO FERREIRA (649)"</f>
        <v>ROGERIO AUGUSTO FERREIRA (649)</v>
      </c>
      <c r="H10334" t="str">
        <f>"Serv.Prest. 03/11/2025 a 09/11/2025 - PIX: CPF - CHAVE: 950.176.406-06"</f>
        <v>Serv.Prest. 03/11/2025 a 09/11/2025 - PIX: CPF - CHAVE: 950.176.406-06</v>
      </c>
      <c r="I10334" t="str">
        <f>("13/11/2025")</f>
        <v>13/11/2025</v>
      </c>
      <c r="J10334" t="str">
        <f>("10/11/2025")</f>
        <v>10/11/2025</v>
      </c>
      <c r="K10334" t="str">
        <f>("13/11/2025")</f>
        <v>13/11/2025</v>
      </c>
      <c r="L10334">
        <v>20</v>
      </c>
      <c r="M10334">
        <v>20</v>
      </c>
      <c r="N10334">
        <v>109</v>
      </c>
      <c r="O10334" t="str">
        <f>"PAGAMENTO DE ENTREGADORES"</f>
        <v>PAGAMENTO DE ENTREGADORES</v>
      </c>
      <c r="P10334">
        <v>20</v>
      </c>
      <c r="S10334" t="str">
        <f>"CAIXA MOVIMENTAÇÃO OPERACIONAL (132)"</f>
        <v>CAIXA MOVIMENTAÇÃO OPERACIONAL (132)</v>
      </c>
      <c r="T10334">
        <v>21088</v>
      </c>
      <c r="U10334">
        <v>25467</v>
      </c>
      <c r="V10334" t="s">
        <v>48</v>
      </c>
    </row>
    <row r="10335" spans="1:22">
      <c r="A10335" t="str">
        <f t="shared" ref="A10335:A10398" si="1964">("13/11/2025")</f>
        <v>13/11/2025</v>
      </c>
      <c r="B10335" t="str">
        <f>"SAÍDA"</f>
        <v>SAÍDA</v>
      </c>
      <c r="C10335" t="str">
        <f>"PIX"</f>
        <v>PIX</v>
      </c>
      <c r="D10335" t="str">
        <f>"25050"</f>
        <v>25050</v>
      </c>
      <c r="E10335" t="str">
        <f>"1"</f>
        <v>1</v>
      </c>
      <c r="F10335" t="str">
        <f t="shared" si="1963"/>
        <v>COM</v>
      </c>
      <c r="G10335" t="str">
        <f>"ROGERIO AUGUSTO FERREIRA (649)"</f>
        <v>ROGERIO AUGUSTO FERREIRA (649)</v>
      </c>
      <c r="H10335" t="s">
        <v>2888</v>
      </c>
      <c r="I10335" t="str">
        <f>("13/11/2025")</f>
        <v>13/11/2025</v>
      </c>
      <c r="J10335" t="str">
        <f>("10/11/2025")</f>
        <v>10/11/2025</v>
      </c>
      <c r="K10335">
        <v>45974</v>
      </c>
      <c r="N10335">
        <v>109</v>
      </c>
      <c r="O10335" t="s">
        <v>24</v>
      </c>
      <c r="Q10335">
        <v>20</v>
      </c>
      <c r="R10335" t="str">
        <f>"DROGARIA POUPA MINAS (ULTRAMINAS) 1 (10181)"</f>
        <v>DROGARIA POUPA MINAS (ULTRAMINAS) 1 (10181)</v>
      </c>
      <c r="S10335" t="s">
        <v>48</v>
      </c>
      <c r="T10335">
        <v>21088</v>
      </c>
      <c r="U10335">
        <v>25467</v>
      </c>
      <c r="V10335" t="s">
        <v>48</v>
      </c>
    </row>
    <row r="10336" spans="1:22">
      <c r="A10336" t="str">
        <f t="shared" si="1964"/>
        <v>13/11/2025</v>
      </c>
      <c r="B10336" t="str">
        <f>"ENTRADA"</f>
        <v>ENTRADA</v>
      </c>
      <c r="C10336" t="str">
        <f>"DINHEIRO"</f>
        <v>DINHEIRO</v>
      </c>
      <c r="D10336" t="str">
        <f>"725"</f>
        <v>725</v>
      </c>
      <c r="E10336" t="str">
        <f>"7"</f>
        <v>7</v>
      </c>
      <c r="F10336" t="str">
        <f t="shared" si="1963"/>
        <v>COM</v>
      </c>
      <c r="G10336" t="str">
        <f>"SADRAK ENOK BORGES (725)"</f>
        <v>SADRAK ENOK BORGES (725)</v>
      </c>
      <c r="H10336" t="str">
        <f>"COTA COOPERATIVA"</f>
        <v>COTA COOPERATIVA</v>
      </c>
      <c r="I10336" t="str">
        <f>("08/11/2025")</f>
        <v>08/11/2025</v>
      </c>
      <c r="J10336" t="str">
        <f>("04/04/2025")</f>
        <v>04/04/2025</v>
      </c>
      <c r="K10336" t="str">
        <f>("13/11/2025")</f>
        <v>13/11/2025</v>
      </c>
      <c r="L10336">
        <v>20</v>
      </c>
      <c r="M10336">
        <v>20</v>
      </c>
      <c r="N10336">
        <v>106</v>
      </c>
      <c r="O10336" t="str">
        <f>"ENTRADA DE CAPITAL"</f>
        <v>ENTRADA DE CAPITAL</v>
      </c>
      <c r="P10336">
        <v>20</v>
      </c>
      <c r="S10336" t="str">
        <f>"ENTRADA DE CAPITAL (106)"</f>
        <v>ENTRADA DE CAPITAL (106)</v>
      </c>
      <c r="T10336">
        <v>21089</v>
      </c>
      <c r="U10336">
        <v>14425</v>
      </c>
      <c r="V10336" t="s">
        <v>48</v>
      </c>
    </row>
    <row r="10337" spans="1:22">
      <c r="A10337" t="str">
        <f t="shared" si="1964"/>
        <v>13/11/2025</v>
      </c>
      <c r="B10337" t="str">
        <f>"ENTRADA"</f>
        <v>ENTRADA</v>
      </c>
      <c r="C10337" t="str">
        <f>"DINHEIRO"</f>
        <v>DINHEIRO</v>
      </c>
      <c r="D10337" t="str">
        <f>"725"</f>
        <v>725</v>
      </c>
      <c r="E10337" t="str">
        <f>"7"</f>
        <v>7</v>
      </c>
      <c r="F10337" t="str">
        <f t="shared" si="1963"/>
        <v>COM</v>
      </c>
      <c r="G10337" t="str">
        <f>"SADRAK ENOK BORGES (725)"</f>
        <v>SADRAK ENOK BORGES (725)</v>
      </c>
      <c r="H10337" t="s">
        <v>50</v>
      </c>
      <c r="I10337" t="str">
        <f>("08/11/2025")</f>
        <v>08/11/2025</v>
      </c>
      <c r="J10337" t="str">
        <f>("04/04/2025")</f>
        <v>04/04/2025</v>
      </c>
      <c r="K10337">
        <v>45974</v>
      </c>
      <c r="N10337">
        <v>106</v>
      </c>
      <c r="O10337" t="s">
        <v>51</v>
      </c>
      <c r="Q10337">
        <v>20</v>
      </c>
      <c r="R10337" t="str">
        <f>"SADRAK ENOK BORGES (725)"</f>
        <v>SADRAK ENOK BORGES (725)</v>
      </c>
      <c r="S10337" t="s">
        <v>52</v>
      </c>
      <c r="T10337">
        <v>21089</v>
      </c>
      <c r="U10337">
        <v>14425</v>
      </c>
      <c r="V10337" t="s">
        <v>48</v>
      </c>
    </row>
    <row r="10338" spans="1:22">
      <c r="A10338" t="str">
        <f t="shared" si="1964"/>
        <v>13/11/2025</v>
      </c>
      <c r="B10338" t="str">
        <f>"SAÍDA"</f>
        <v>SAÍDA</v>
      </c>
      <c r="C10338" t="str">
        <f>"PIX"</f>
        <v>PIX</v>
      </c>
      <c r="D10338" t="str">
        <f>"25025"</f>
        <v>25025</v>
      </c>
      <c r="E10338" t="str">
        <f>"1"</f>
        <v>1</v>
      </c>
      <c r="F10338" t="str">
        <f t="shared" si="1963"/>
        <v>COM</v>
      </c>
      <c r="G10338" t="str">
        <f>"SADRAK ENOKES BORGES (725)"</f>
        <v>SADRAK ENOKES BORGES (725)</v>
      </c>
      <c r="H10338" t="str">
        <f>"Serv.Prest. 03/11/2025 a 09/11/2025 - PIX: CPF - CHAVE: 128.367.756-37"</f>
        <v>Serv.Prest. 03/11/2025 a 09/11/2025 - PIX: CPF - CHAVE: 128.367.756-37</v>
      </c>
      <c r="I10338" t="str">
        <f>("13/11/2025")</f>
        <v>13/11/2025</v>
      </c>
      <c r="J10338" t="str">
        <f>("10/11/2025")</f>
        <v>10/11/2025</v>
      </c>
      <c r="K10338" t="str">
        <f>("13/11/2025")</f>
        <v>13/11/2025</v>
      </c>
      <c r="L10338">
        <v>20</v>
      </c>
      <c r="M10338">
        <v>20</v>
      </c>
      <c r="N10338">
        <v>109</v>
      </c>
      <c r="O10338" t="str">
        <f>"PAGAMENTO DE ENTREGADORES"</f>
        <v>PAGAMENTO DE ENTREGADORES</v>
      </c>
      <c r="P10338">
        <v>20</v>
      </c>
      <c r="S10338" t="str">
        <f>"CAIXA MOVIMENTAÇÃO OPERACIONAL (132)"</f>
        <v>CAIXA MOVIMENTAÇÃO OPERACIONAL (132)</v>
      </c>
      <c r="T10338">
        <v>21090</v>
      </c>
      <c r="U10338">
        <v>25468</v>
      </c>
      <c r="V10338" t="s">
        <v>48</v>
      </c>
    </row>
    <row r="10339" spans="1:22">
      <c r="A10339" t="str">
        <f t="shared" si="1964"/>
        <v>13/11/2025</v>
      </c>
      <c r="B10339" t="str">
        <f>"SAÍDA"</f>
        <v>SAÍDA</v>
      </c>
      <c r="C10339" t="str">
        <f>"PIX"</f>
        <v>PIX</v>
      </c>
      <c r="D10339" t="str">
        <f>"25025"</f>
        <v>25025</v>
      </c>
      <c r="E10339" t="str">
        <f>"1"</f>
        <v>1</v>
      </c>
      <c r="F10339" t="str">
        <f t="shared" si="1963"/>
        <v>COM</v>
      </c>
      <c r="G10339" t="str">
        <f>"SADRAK ENOKES BORGES (725)"</f>
        <v>SADRAK ENOKES BORGES (725)</v>
      </c>
      <c r="H10339" t="s">
        <v>2889</v>
      </c>
      <c r="I10339" t="str">
        <f>("13/11/2025")</f>
        <v>13/11/2025</v>
      </c>
      <c r="J10339" t="str">
        <f>("10/11/2025")</f>
        <v>10/11/2025</v>
      </c>
      <c r="K10339">
        <v>45974</v>
      </c>
      <c r="N10339">
        <v>109</v>
      </c>
      <c r="O10339" t="s">
        <v>24</v>
      </c>
      <c r="Q10339">
        <v>20</v>
      </c>
      <c r="R10339" t="str">
        <f>"ENTREFARMA (10164)"</f>
        <v>ENTREFARMA (10164)</v>
      </c>
      <c r="S10339" t="s">
        <v>48</v>
      </c>
      <c r="T10339">
        <v>21090</v>
      </c>
      <c r="U10339">
        <v>25468</v>
      </c>
      <c r="V10339" t="s">
        <v>48</v>
      </c>
    </row>
    <row r="10340" spans="1:22">
      <c r="A10340" t="str">
        <f t="shared" si="1964"/>
        <v>13/11/2025</v>
      </c>
      <c r="B10340" t="str">
        <f>"ENTRADA"</f>
        <v>ENTRADA</v>
      </c>
      <c r="C10340" t="str">
        <f>"DINHEIRO"</f>
        <v>DINHEIRO</v>
      </c>
      <c r="D10340" t="str">
        <f>"867"</f>
        <v>867</v>
      </c>
      <c r="E10340" t="str">
        <f>"4"</f>
        <v>4</v>
      </c>
      <c r="F10340" t="str">
        <f t="shared" si="1963"/>
        <v>COM</v>
      </c>
      <c r="G10340" t="str">
        <f>"SAMUEL SOARES DA SILVA (867)"</f>
        <v>SAMUEL SOARES DA SILVA (867)</v>
      </c>
      <c r="H10340" t="str">
        <f>"COTA COOPERATIVA"</f>
        <v>COTA COOPERATIVA</v>
      </c>
      <c r="I10340" t="str">
        <f>("10/11/2025")</f>
        <v>10/11/2025</v>
      </c>
      <c r="J10340" t="str">
        <f>("30/06/2025")</f>
        <v>30/06/2025</v>
      </c>
      <c r="K10340" t="str">
        <f>("13/11/2025")</f>
        <v>13/11/2025</v>
      </c>
      <c r="L10340">
        <v>20</v>
      </c>
      <c r="M10340">
        <v>20</v>
      </c>
      <c r="N10340">
        <v>106</v>
      </c>
      <c r="O10340" t="str">
        <f>"ENTRADA DE CAPITAL"</f>
        <v>ENTRADA DE CAPITAL</v>
      </c>
      <c r="P10340">
        <v>20</v>
      </c>
      <c r="S10340" t="str">
        <f>"ENTRADA DE CAPITAL (106)"</f>
        <v>ENTRADA DE CAPITAL (106)</v>
      </c>
      <c r="T10340">
        <v>21091</v>
      </c>
      <c r="U10340">
        <v>19955</v>
      </c>
      <c r="V10340" t="s">
        <v>48</v>
      </c>
    </row>
    <row r="10341" spans="1:22">
      <c r="A10341" t="str">
        <f t="shared" si="1964"/>
        <v>13/11/2025</v>
      </c>
      <c r="B10341" t="str">
        <f>"ENTRADA"</f>
        <v>ENTRADA</v>
      </c>
      <c r="C10341" t="str">
        <f>"DINHEIRO"</f>
        <v>DINHEIRO</v>
      </c>
      <c r="D10341" t="str">
        <f>"867"</f>
        <v>867</v>
      </c>
      <c r="E10341" t="str">
        <f>"4"</f>
        <v>4</v>
      </c>
      <c r="F10341" t="str">
        <f t="shared" si="1963"/>
        <v>COM</v>
      </c>
      <c r="G10341" t="str">
        <f>"SAMUEL SOARES DA SILVA (867)"</f>
        <v>SAMUEL SOARES DA SILVA (867)</v>
      </c>
      <c r="H10341" t="s">
        <v>50</v>
      </c>
      <c r="I10341" t="str">
        <f>("10/11/2025")</f>
        <v>10/11/2025</v>
      </c>
      <c r="J10341" t="str">
        <f>("30/06/2025")</f>
        <v>30/06/2025</v>
      </c>
      <c r="K10341">
        <v>45974</v>
      </c>
      <c r="N10341">
        <v>106</v>
      </c>
      <c r="O10341" t="s">
        <v>51</v>
      </c>
      <c r="Q10341">
        <v>20</v>
      </c>
      <c r="R10341" t="str">
        <f>"SAMUEL SOARES DA SILVA (867)"</f>
        <v>SAMUEL SOARES DA SILVA (867)</v>
      </c>
      <c r="S10341" t="s">
        <v>52</v>
      </c>
      <c r="T10341">
        <v>21091</v>
      </c>
      <c r="U10341">
        <v>19955</v>
      </c>
      <c r="V10341" t="s">
        <v>48</v>
      </c>
    </row>
    <row r="10342" spans="1:22">
      <c r="A10342" t="str">
        <f t="shared" si="1964"/>
        <v>13/11/2025</v>
      </c>
      <c r="B10342" t="str">
        <f>"SAÍDA"</f>
        <v>SAÍDA</v>
      </c>
      <c r="C10342" t="str">
        <f>"PIX"</f>
        <v>PIX</v>
      </c>
      <c r="D10342" t="str">
        <f>"25091"</f>
        <v>25091</v>
      </c>
      <c r="E10342" t="str">
        <f>"1"</f>
        <v>1</v>
      </c>
      <c r="F10342" t="str">
        <f t="shared" si="1963"/>
        <v>COM</v>
      </c>
      <c r="G10342" t="str">
        <f>"SAMUEL SOARES DA SILVA (867)"</f>
        <v>SAMUEL SOARES DA SILVA (867)</v>
      </c>
      <c r="H10342" t="str">
        <f>"Serv.Prest. 03/11/2025 a 09/11/2025 - PIX: CPF - CHAVE: 396.124.108-28"</f>
        <v>Serv.Prest. 03/11/2025 a 09/11/2025 - PIX: CPF - CHAVE: 396.124.108-28</v>
      </c>
      <c r="I10342" t="str">
        <f>("13/11/2025")</f>
        <v>13/11/2025</v>
      </c>
      <c r="J10342" t="str">
        <f>("10/11/2025")</f>
        <v>10/11/2025</v>
      </c>
      <c r="K10342" t="str">
        <f>("13/11/2025")</f>
        <v>13/11/2025</v>
      </c>
      <c r="L10342">
        <v>20</v>
      </c>
      <c r="M10342">
        <v>20</v>
      </c>
      <c r="N10342">
        <v>109</v>
      </c>
      <c r="O10342" t="str">
        <f>"PAGAMENTO DE ENTREGADORES"</f>
        <v>PAGAMENTO DE ENTREGADORES</v>
      </c>
      <c r="P10342">
        <v>20</v>
      </c>
      <c r="S10342" t="str">
        <f>"CAIXA MOVIMENTAÇÃO OPERACIONAL (132)"</f>
        <v>CAIXA MOVIMENTAÇÃO OPERACIONAL (132)</v>
      </c>
      <c r="T10342">
        <v>21092</v>
      </c>
      <c r="U10342">
        <v>25469</v>
      </c>
      <c r="V10342" t="s">
        <v>48</v>
      </c>
    </row>
    <row r="10343" spans="1:22">
      <c r="A10343" t="str">
        <f t="shared" si="1964"/>
        <v>13/11/2025</v>
      </c>
      <c r="B10343" t="str">
        <f>"SAÍDA"</f>
        <v>SAÍDA</v>
      </c>
      <c r="C10343" t="str">
        <f>"PIX"</f>
        <v>PIX</v>
      </c>
      <c r="D10343" t="str">
        <f>"25091"</f>
        <v>25091</v>
      </c>
      <c r="E10343" t="str">
        <f>"1"</f>
        <v>1</v>
      </c>
      <c r="F10343" t="str">
        <f t="shared" si="1963"/>
        <v>COM</v>
      </c>
      <c r="G10343" t="str">
        <f>"SAMUEL SOARES DA SILVA (867)"</f>
        <v>SAMUEL SOARES DA SILVA (867)</v>
      </c>
      <c r="H10343" t="s">
        <v>2890</v>
      </c>
      <c r="I10343" t="str">
        <f>("13/11/2025")</f>
        <v>13/11/2025</v>
      </c>
      <c r="J10343" t="str">
        <f>("10/11/2025")</f>
        <v>10/11/2025</v>
      </c>
      <c r="K10343">
        <v>45974</v>
      </c>
      <c r="N10343">
        <v>109</v>
      </c>
      <c r="O10343" t="s">
        <v>24</v>
      </c>
      <c r="Q10343">
        <v>20</v>
      </c>
      <c r="R10343" t="str">
        <f>"DROGA ELIDA (10121)"</f>
        <v>DROGA ELIDA (10121)</v>
      </c>
      <c r="S10343" t="s">
        <v>48</v>
      </c>
      <c r="T10343">
        <v>21092</v>
      </c>
      <c r="U10343">
        <v>25469</v>
      </c>
      <c r="V10343" t="s">
        <v>48</v>
      </c>
    </row>
    <row r="10344" spans="1:22">
      <c r="A10344" t="str">
        <f t="shared" si="1964"/>
        <v>13/11/2025</v>
      </c>
      <c r="B10344" t="str">
        <f>"SAÍDA"</f>
        <v>SAÍDA</v>
      </c>
      <c r="C10344" t="str">
        <f>"PIX"</f>
        <v>PIX</v>
      </c>
      <c r="D10344" t="str">
        <f>"24813"</f>
        <v>24813</v>
      </c>
      <c r="E10344" t="str">
        <f>"1"</f>
        <v>1</v>
      </c>
      <c r="F10344" t="str">
        <f t="shared" si="1963"/>
        <v>COM</v>
      </c>
      <c r="G10344" t="str">
        <f>"SANRIO OLIVEIRA DO CARMO (579)"</f>
        <v>SANRIO OLIVEIRA DO CARMO (579)</v>
      </c>
      <c r="H10344" t="str">
        <f>"Serv.Prest. 24/10/2025 a 02/11/2025 - PIX: CPF - CHAVE: 118.731.976-75"</f>
        <v>Serv.Prest. 24/10/2025 a 02/11/2025 - PIX: CPF - CHAVE: 118.731.976-75</v>
      </c>
      <c r="I10344" t="str">
        <f>("13/11/2025")</f>
        <v>13/11/2025</v>
      </c>
      <c r="J10344" t="str">
        <f>("04/11/2025")</f>
        <v>04/11/2025</v>
      </c>
      <c r="K10344" t="str">
        <f>("13/11/2025")</f>
        <v>13/11/2025</v>
      </c>
      <c r="L10344">
        <v>20</v>
      </c>
      <c r="M10344">
        <v>20</v>
      </c>
      <c r="N10344">
        <v>109</v>
      </c>
      <c r="O10344" t="str">
        <f>"PAGAMENTO DE ENTREGADORES"</f>
        <v>PAGAMENTO DE ENTREGADORES</v>
      </c>
      <c r="P10344">
        <v>20</v>
      </c>
      <c r="S10344" t="str">
        <f>"CAIXA MOVIMENTAÇÃO OPERACIONAL (132)"</f>
        <v>CAIXA MOVIMENTAÇÃO OPERACIONAL (132)</v>
      </c>
      <c r="T10344">
        <v>21093</v>
      </c>
      <c r="U10344">
        <v>25470</v>
      </c>
      <c r="V10344" t="s">
        <v>48</v>
      </c>
    </row>
    <row r="10345" spans="1:22">
      <c r="A10345" t="str">
        <f t="shared" si="1964"/>
        <v>13/11/2025</v>
      </c>
      <c r="B10345" t="str">
        <f>"SAÍDA"</f>
        <v>SAÍDA</v>
      </c>
      <c r="C10345" t="str">
        <f>"PIX"</f>
        <v>PIX</v>
      </c>
      <c r="D10345" t="str">
        <f>"24813"</f>
        <v>24813</v>
      </c>
      <c r="E10345" t="str">
        <f>"1"</f>
        <v>1</v>
      </c>
      <c r="F10345" t="str">
        <f t="shared" si="1963"/>
        <v>COM</v>
      </c>
      <c r="G10345" t="str">
        <f>"SANRIO OLIVEIRA DO CARMO (579)"</f>
        <v>SANRIO OLIVEIRA DO CARMO (579)</v>
      </c>
      <c r="H10345" t="s">
        <v>2891</v>
      </c>
      <c r="I10345" t="str">
        <f>("13/11/2025")</f>
        <v>13/11/2025</v>
      </c>
      <c r="J10345" t="str">
        <f>("04/11/2025")</f>
        <v>04/11/2025</v>
      </c>
      <c r="K10345">
        <v>45974</v>
      </c>
      <c r="N10345">
        <v>109</v>
      </c>
      <c r="O10345" t="s">
        <v>24</v>
      </c>
      <c r="Q10345">
        <v>20</v>
      </c>
      <c r="R10345" t="str">
        <f>"FARMÁCIA INDIANA LJ 152 (10069)"</f>
        <v>FARMÁCIA INDIANA LJ 152 (10069)</v>
      </c>
      <c r="S10345" t="s">
        <v>48</v>
      </c>
      <c r="T10345">
        <v>21093</v>
      </c>
      <c r="U10345">
        <v>25470</v>
      </c>
      <c r="V10345" t="s">
        <v>48</v>
      </c>
    </row>
    <row r="10346" spans="1:22">
      <c r="A10346" t="str">
        <f t="shared" si="1964"/>
        <v>13/11/2025</v>
      </c>
      <c r="B10346" t="str">
        <f>"ENTRADA"</f>
        <v>ENTRADA</v>
      </c>
      <c r="C10346" t="str">
        <f>"DINHEIRO"</f>
        <v>DINHEIRO</v>
      </c>
      <c r="D10346" t="str">
        <f>"02"</f>
        <v>02</v>
      </c>
      <c r="E10346" t="str">
        <f>"35"</f>
        <v>35</v>
      </c>
      <c r="F10346" t="str">
        <f t="shared" si="1963"/>
        <v>COM</v>
      </c>
      <c r="G10346" t="str">
        <f>"SANRIO OLIVEIRA DO CARMO (579)"</f>
        <v>SANRIO OLIVEIRA DO CARMO (579)</v>
      </c>
      <c r="H10346" t="str">
        <f>"DESCONTO COTA COOPERADO"</f>
        <v>DESCONTO COTA COOPERADO</v>
      </c>
      <c r="I10346" t="str">
        <f>("16/11/2025")</f>
        <v>16/11/2025</v>
      </c>
      <c r="J10346" t="str">
        <f>("16/01/2025")</f>
        <v>16/01/2025</v>
      </c>
      <c r="K10346" t="str">
        <f>("13/11/2025")</f>
        <v>13/11/2025</v>
      </c>
      <c r="L10346">
        <v>20</v>
      </c>
      <c r="M10346">
        <v>20</v>
      </c>
      <c r="N10346">
        <v>106</v>
      </c>
      <c r="O10346" t="str">
        <f>"ENTRADA DE CAPITAL"</f>
        <v>ENTRADA DE CAPITAL</v>
      </c>
      <c r="P10346">
        <v>20</v>
      </c>
      <c r="S10346" t="str">
        <f>"ENTRADA DE CAPITAL (106)"</f>
        <v>ENTRADA DE CAPITAL (106)</v>
      </c>
      <c r="T10346">
        <v>21094</v>
      </c>
      <c r="U10346">
        <v>7531</v>
      </c>
      <c r="V10346" t="s">
        <v>48</v>
      </c>
    </row>
    <row r="10347" spans="1:22">
      <c r="A10347" t="str">
        <f t="shared" si="1964"/>
        <v>13/11/2025</v>
      </c>
      <c r="B10347" t="str">
        <f>"ENTRADA"</f>
        <v>ENTRADA</v>
      </c>
      <c r="C10347" t="str">
        <f>"DINHEIRO"</f>
        <v>DINHEIRO</v>
      </c>
      <c r="D10347" t="str">
        <f>"02"</f>
        <v>02</v>
      </c>
      <c r="E10347" t="str">
        <f>"35"</f>
        <v>35</v>
      </c>
      <c r="F10347" t="str">
        <f t="shared" si="1963"/>
        <v>COM</v>
      </c>
      <c r="G10347" t="str">
        <f>"SANRIO OLIVEIRA DO CARMO (579)"</f>
        <v>SANRIO OLIVEIRA DO CARMO (579)</v>
      </c>
      <c r="H10347" t="s">
        <v>309</v>
      </c>
      <c r="I10347" t="str">
        <f>("16/11/2025")</f>
        <v>16/11/2025</v>
      </c>
      <c r="J10347" t="str">
        <f>("16/01/2025")</f>
        <v>16/01/2025</v>
      </c>
      <c r="K10347">
        <v>45974</v>
      </c>
      <c r="N10347">
        <v>106</v>
      </c>
      <c r="O10347" t="s">
        <v>51</v>
      </c>
      <c r="Q10347">
        <v>20</v>
      </c>
      <c r="R10347" t="str">
        <f>"SANRIO OLIVEIRA DO CARMO (579)"</f>
        <v>SANRIO OLIVEIRA DO CARMO (579)</v>
      </c>
      <c r="S10347" t="s">
        <v>52</v>
      </c>
      <c r="T10347">
        <v>21094</v>
      </c>
      <c r="U10347">
        <v>7531</v>
      </c>
      <c r="V10347" t="s">
        <v>48</v>
      </c>
    </row>
    <row r="10348" spans="1:22">
      <c r="A10348" t="str">
        <f t="shared" si="1964"/>
        <v>13/11/2025</v>
      </c>
      <c r="B10348" t="str">
        <f>"SAÍDA"</f>
        <v>SAÍDA</v>
      </c>
      <c r="C10348" t="str">
        <f>"PIX"</f>
        <v>PIX</v>
      </c>
      <c r="D10348" t="str">
        <f>"24814"</f>
        <v>24814</v>
      </c>
      <c r="E10348" t="str">
        <f>"1"</f>
        <v>1</v>
      </c>
      <c r="F10348" t="str">
        <f t="shared" si="1963"/>
        <v>COM</v>
      </c>
      <c r="G10348" t="str">
        <f t="shared" ref="G10348:G10353" si="1965">"SEDNEY GOMES SOARES (87)"</f>
        <v>SEDNEY GOMES SOARES (87)</v>
      </c>
      <c r="H10348" t="str">
        <f>"Serv.Prest. 24/10/2025 a 02/11/2025 - PIX: CPF - CHAVE: 048.151.276-46"</f>
        <v>Serv.Prest. 24/10/2025 a 02/11/2025 - PIX: CPF - CHAVE: 048.151.276-46</v>
      </c>
      <c r="I10348" t="str">
        <f>("13/11/2025")</f>
        <v>13/11/2025</v>
      </c>
      <c r="J10348" t="str">
        <f>("04/11/2025")</f>
        <v>04/11/2025</v>
      </c>
      <c r="K10348" t="str">
        <f>("13/11/2025")</f>
        <v>13/11/2025</v>
      </c>
      <c r="L10348">
        <v>20</v>
      </c>
      <c r="M10348">
        <v>20</v>
      </c>
      <c r="N10348">
        <v>109</v>
      </c>
      <c r="O10348" t="str">
        <f>"PAGAMENTO DE ENTREGADORES"</f>
        <v>PAGAMENTO DE ENTREGADORES</v>
      </c>
      <c r="P10348">
        <v>20</v>
      </c>
      <c r="S10348" t="str">
        <f>"CAIXA MOVIMENTAÇÃO OPERACIONAL (132)"</f>
        <v>CAIXA MOVIMENTAÇÃO OPERACIONAL (132)</v>
      </c>
      <c r="T10348">
        <v>21095</v>
      </c>
      <c r="U10348">
        <v>25471</v>
      </c>
      <c r="V10348" t="s">
        <v>48</v>
      </c>
    </row>
    <row r="10349" spans="1:22">
      <c r="A10349" t="str">
        <f t="shared" si="1964"/>
        <v>13/11/2025</v>
      </c>
      <c r="B10349" t="str">
        <f>"SAÍDA"</f>
        <v>SAÍDA</v>
      </c>
      <c r="C10349" t="str">
        <f>"PIX"</f>
        <v>PIX</v>
      </c>
      <c r="D10349" t="str">
        <f>"24814"</f>
        <v>24814</v>
      </c>
      <c r="E10349" t="str">
        <f>"1"</f>
        <v>1</v>
      </c>
      <c r="F10349" t="str">
        <f t="shared" si="1963"/>
        <v>COM</v>
      </c>
      <c r="G10349" t="str">
        <f t="shared" si="1965"/>
        <v>SEDNEY GOMES SOARES (87)</v>
      </c>
      <c r="H10349" t="s">
        <v>2892</v>
      </c>
      <c r="I10349" t="str">
        <f>("13/11/2025")</f>
        <v>13/11/2025</v>
      </c>
      <c r="J10349" t="str">
        <f>("04/11/2025")</f>
        <v>04/11/2025</v>
      </c>
      <c r="K10349">
        <v>45974</v>
      </c>
      <c r="N10349">
        <v>109</v>
      </c>
      <c r="O10349" t="s">
        <v>24</v>
      </c>
      <c r="Q10349">
        <v>4.4400000000000004</v>
      </c>
      <c r="R10349" t="str">
        <f>"FARMÁCIA INDIANA LJ 97 (10040)"</f>
        <v>FARMÁCIA INDIANA LJ 97 (10040)</v>
      </c>
      <c r="S10349" t="s">
        <v>48</v>
      </c>
      <c r="T10349">
        <v>21095</v>
      </c>
      <c r="U10349">
        <v>25471</v>
      </c>
      <c r="V10349" t="s">
        <v>48</v>
      </c>
    </row>
    <row r="10350" spans="1:22">
      <c r="A10350" t="str">
        <f t="shared" si="1964"/>
        <v>13/11/2025</v>
      </c>
      <c r="B10350" t="str">
        <f>"SAÍDA"</f>
        <v>SAÍDA</v>
      </c>
      <c r="C10350" t="str">
        <f>"PIX"</f>
        <v>PIX</v>
      </c>
      <c r="D10350" t="str">
        <f>"24814"</f>
        <v>24814</v>
      </c>
      <c r="E10350" t="str">
        <f>"1"</f>
        <v>1</v>
      </c>
      <c r="F10350" t="str">
        <f t="shared" si="1963"/>
        <v>COM</v>
      </c>
      <c r="G10350" t="str">
        <f t="shared" si="1965"/>
        <v>SEDNEY GOMES SOARES (87)</v>
      </c>
      <c r="H10350" t="s">
        <v>2892</v>
      </c>
      <c r="I10350" t="str">
        <f>("13/11/2025")</f>
        <v>13/11/2025</v>
      </c>
      <c r="J10350" t="str">
        <f>("04/11/2025")</f>
        <v>04/11/2025</v>
      </c>
      <c r="K10350">
        <v>45974</v>
      </c>
      <c r="N10350">
        <v>109</v>
      </c>
      <c r="O10350" t="s">
        <v>24</v>
      </c>
      <c r="Q10350">
        <v>10.28</v>
      </c>
      <c r="R10350" t="str">
        <f>"FARMÁCIA INDIANA LJ 111 (10049)"</f>
        <v>FARMÁCIA INDIANA LJ 111 (10049)</v>
      </c>
      <c r="S10350" t="s">
        <v>48</v>
      </c>
      <c r="T10350">
        <v>21095</v>
      </c>
      <c r="U10350">
        <v>25471</v>
      </c>
      <c r="V10350" t="s">
        <v>48</v>
      </c>
    </row>
    <row r="10351" spans="1:22">
      <c r="A10351" t="str">
        <f t="shared" si="1964"/>
        <v>13/11/2025</v>
      </c>
      <c r="B10351" t="str">
        <f>"SAÍDA"</f>
        <v>SAÍDA</v>
      </c>
      <c r="C10351" t="str">
        <f>"PIX"</f>
        <v>PIX</v>
      </c>
      <c r="D10351" t="str">
        <f>"24814"</f>
        <v>24814</v>
      </c>
      <c r="E10351" t="str">
        <f>"1"</f>
        <v>1</v>
      </c>
      <c r="F10351" t="str">
        <f t="shared" si="1963"/>
        <v>COM</v>
      </c>
      <c r="G10351" t="str">
        <f t="shared" si="1965"/>
        <v>SEDNEY GOMES SOARES (87)</v>
      </c>
      <c r="H10351" t="s">
        <v>2892</v>
      </c>
      <c r="I10351" t="str">
        <f>("13/11/2025")</f>
        <v>13/11/2025</v>
      </c>
      <c r="J10351" t="str">
        <f>("04/11/2025")</f>
        <v>04/11/2025</v>
      </c>
      <c r="K10351">
        <v>45974</v>
      </c>
      <c r="N10351">
        <v>109</v>
      </c>
      <c r="O10351" t="s">
        <v>24</v>
      </c>
      <c r="Q10351">
        <v>5.28</v>
      </c>
      <c r="R10351" t="str">
        <f>"FARMÁCIA INDIANA LJ 143 (10067)"</f>
        <v>FARMÁCIA INDIANA LJ 143 (10067)</v>
      </c>
      <c r="S10351" t="s">
        <v>48</v>
      </c>
      <c r="T10351">
        <v>21095</v>
      </c>
      <c r="U10351">
        <v>25471</v>
      </c>
      <c r="V10351" t="s">
        <v>48</v>
      </c>
    </row>
    <row r="10352" spans="1:22">
      <c r="A10352" t="str">
        <f t="shared" si="1964"/>
        <v>13/11/2025</v>
      </c>
      <c r="B10352" t="str">
        <f>"ENTRADA"</f>
        <v>ENTRADA</v>
      </c>
      <c r="C10352" t="str">
        <f>"DINHEIRO"</f>
        <v>DINHEIRO</v>
      </c>
      <c r="D10352" t="str">
        <f>"15"</f>
        <v>15</v>
      </c>
      <c r="E10352" t="str">
        <f>"35"</f>
        <v>35</v>
      </c>
      <c r="F10352" t="str">
        <f t="shared" si="1963"/>
        <v>COM</v>
      </c>
      <c r="G10352" t="str">
        <f t="shared" si="1965"/>
        <v>SEDNEY GOMES SOARES (87)</v>
      </c>
      <c r="H10352" t="str">
        <f>"DESCONTO COTA COOPERADO"</f>
        <v>DESCONTO COTA COOPERADO</v>
      </c>
      <c r="I10352" t="str">
        <f>("16/11/2025")</f>
        <v>16/11/2025</v>
      </c>
      <c r="J10352" t="str">
        <f>("16/01/2025")</f>
        <v>16/01/2025</v>
      </c>
      <c r="K10352" t="str">
        <f>("13/11/2025")</f>
        <v>13/11/2025</v>
      </c>
      <c r="L10352">
        <v>20</v>
      </c>
      <c r="M10352">
        <v>20</v>
      </c>
      <c r="N10352">
        <v>106</v>
      </c>
      <c r="O10352" t="str">
        <f>"ENTRADA DE CAPITAL"</f>
        <v>ENTRADA DE CAPITAL</v>
      </c>
      <c r="P10352">
        <v>20</v>
      </c>
      <c r="S10352" t="str">
        <f>"ENTRADA DE CAPITAL (106)"</f>
        <v>ENTRADA DE CAPITAL (106)</v>
      </c>
      <c r="T10352">
        <v>21096</v>
      </c>
      <c r="U10352">
        <v>7556</v>
      </c>
      <c r="V10352" t="s">
        <v>48</v>
      </c>
    </row>
    <row r="10353" spans="1:22">
      <c r="A10353" t="str">
        <f t="shared" si="1964"/>
        <v>13/11/2025</v>
      </c>
      <c r="B10353" t="str">
        <f>"ENTRADA"</f>
        <v>ENTRADA</v>
      </c>
      <c r="C10353" t="str">
        <f>"DINHEIRO"</f>
        <v>DINHEIRO</v>
      </c>
      <c r="D10353" t="str">
        <f>"15"</f>
        <v>15</v>
      </c>
      <c r="E10353" t="str">
        <f>"35"</f>
        <v>35</v>
      </c>
      <c r="F10353" t="str">
        <f t="shared" si="1963"/>
        <v>COM</v>
      </c>
      <c r="G10353" t="str">
        <f t="shared" si="1965"/>
        <v>SEDNEY GOMES SOARES (87)</v>
      </c>
      <c r="H10353" t="s">
        <v>309</v>
      </c>
      <c r="I10353" t="str">
        <f>("16/11/2025")</f>
        <v>16/11/2025</v>
      </c>
      <c r="J10353" t="str">
        <f>("16/01/2025")</f>
        <v>16/01/2025</v>
      </c>
      <c r="K10353">
        <v>45974</v>
      </c>
      <c r="N10353">
        <v>106</v>
      </c>
      <c r="O10353" t="s">
        <v>51</v>
      </c>
      <c r="Q10353">
        <v>20</v>
      </c>
      <c r="R10353" t="str">
        <f>"SEDNEY GOMES SOARES (87)"</f>
        <v>SEDNEY GOMES SOARES (87)</v>
      </c>
      <c r="S10353" t="s">
        <v>52</v>
      </c>
      <c r="T10353">
        <v>21096</v>
      </c>
      <c r="U10353">
        <v>7556</v>
      </c>
      <c r="V10353" t="s">
        <v>48</v>
      </c>
    </row>
    <row r="10354" spans="1:22">
      <c r="A10354" t="str">
        <f t="shared" si="1964"/>
        <v>13/11/2025</v>
      </c>
      <c r="B10354" t="str">
        <f>"SAÍDA"</f>
        <v>SAÍDA</v>
      </c>
      <c r="C10354" t="str">
        <f>"PIX"</f>
        <v>PIX</v>
      </c>
      <c r="D10354" t="str">
        <f>"25086"</f>
        <v>25086</v>
      </c>
      <c r="E10354" t="str">
        <f>"1"</f>
        <v>1</v>
      </c>
      <c r="F10354" t="str">
        <f t="shared" si="1963"/>
        <v>COM</v>
      </c>
      <c r="G10354" t="str">
        <f>"TALES SILVA MARIANO (431)"</f>
        <v>TALES SILVA MARIANO (431)</v>
      </c>
      <c r="H10354" t="str">
        <f>"Serv.Prest. 03/11/2025 a 09/11/2025 - PIX: CPF - CHAVE: 126.686.406-79"</f>
        <v>Serv.Prest. 03/11/2025 a 09/11/2025 - PIX: CPF - CHAVE: 126.686.406-79</v>
      </c>
      <c r="I10354" t="str">
        <f>("13/11/2025")</f>
        <v>13/11/2025</v>
      </c>
      <c r="J10354" t="str">
        <f>("10/11/2025")</f>
        <v>10/11/2025</v>
      </c>
      <c r="K10354" t="str">
        <f>("13/11/2025")</f>
        <v>13/11/2025</v>
      </c>
      <c r="L10354">
        <v>20</v>
      </c>
      <c r="M10354">
        <v>20</v>
      </c>
      <c r="N10354">
        <v>109</v>
      </c>
      <c r="O10354" t="str">
        <f>"PAGAMENTO DE ENTREGADORES"</f>
        <v>PAGAMENTO DE ENTREGADORES</v>
      </c>
      <c r="P10354">
        <v>20</v>
      </c>
      <c r="S10354" t="str">
        <f>"CAIXA MOVIMENTAÇÃO OPERACIONAL (132)"</f>
        <v>CAIXA MOVIMENTAÇÃO OPERACIONAL (132)</v>
      </c>
      <c r="T10354">
        <v>21097</v>
      </c>
      <c r="U10354">
        <v>25472</v>
      </c>
      <c r="V10354" t="s">
        <v>48</v>
      </c>
    </row>
    <row r="10355" spans="1:22">
      <c r="A10355" t="str">
        <f t="shared" si="1964"/>
        <v>13/11/2025</v>
      </c>
      <c r="B10355" t="str">
        <f>"SAÍDA"</f>
        <v>SAÍDA</v>
      </c>
      <c r="C10355" t="str">
        <f>"PIX"</f>
        <v>PIX</v>
      </c>
      <c r="D10355" t="str">
        <f>"25086"</f>
        <v>25086</v>
      </c>
      <c r="E10355" t="str">
        <f>"1"</f>
        <v>1</v>
      </c>
      <c r="F10355" t="str">
        <f t="shared" si="1963"/>
        <v>COM</v>
      </c>
      <c r="G10355" t="str">
        <f>"TALES SILVA MARIANO (431)"</f>
        <v>TALES SILVA MARIANO (431)</v>
      </c>
      <c r="H10355" t="s">
        <v>2893</v>
      </c>
      <c r="I10355" t="str">
        <f>("13/11/2025")</f>
        <v>13/11/2025</v>
      </c>
      <c r="J10355" t="str">
        <f>("10/11/2025")</f>
        <v>10/11/2025</v>
      </c>
      <c r="K10355">
        <v>45974</v>
      </c>
      <c r="N10355">
        <v>109</v>
      </c>
      <c r="O10355" t="s">
        <v>24</v>
      </c>
      <c r="Q10355">
        <v>20</v>
      </c>
      <c r="R10355" t="str">
        <f>"PAGMENOS - LJ 608 (10135)"</f>
        <v>PAGMENOS - LJ 608 (10135)</v>
      </c>
      <c r="S10355" t="s">
        <v>48</v>
      </c>
      <c r="T10355">
        <v>21097</v>
      </c>
      <c r="U10355">
        <v>25472</v>
      </c>
      <c r="V10355" t="s">
        <v>48</v>
      </c>
    </row>
    <row r="10356" spans="1:22">
      <c r="A10356" t="str">
        <f t="shared" si="1964"/>
        <v>13/11/2025</v>
      </c>
      <c r="B10356" t="str">
        <f>"ENTRADA"</f>
        <v>ENTRADA</v>
      </c>
      <c r="C10356" t="str">
        <f>"DINHEIRO"</f>
        <v>DINHEIRO</v>
      </c>
      <c r="D10356" t="str">
        <f>"05"</f>
        <v>05</v>
      </c>
      <c r="E10356" t="str">
        <f>"35"</f>
        <v>35</v>
      </c>
      <c r="F10356" t="str">
        <f t="shared" si="1963"/>
        <v>COM</v>
      </c>
      <c r="G10356" t="str">
        <f>"TALES SILVA MARIANO (431)"</f>
        <v>TALES SILVA MARIANO (431)</v>
      </c>
      <c r="H10356" t="str">
        <f>"DESCONTO COTA COOPERADO"</f>
        <v>DESCONTO COTA COOPERADO</v>
      </c>
      <c r="I10356" t="str">
        <f>("16/11/2025")</f>
        <v>16/11/2025</v>
      </c>
      <c r="J10356" t="str">
        <f>("16/01/2025")</f>
        <v>16/01/2025</v>
      </c>
      <c r="K10356" t="str">
        <f>("13/11/2025")</f>
        <v>13/11/2025</v>
      </c>
      <c r="L10356">
        <v>20</v>
      </c>
      <c r="M10356">
        <v>20</v>
      </c>
      <c r="N10356">
        <v>106</v>
      </c>
      <c r="O10356" t="str">
        <f>"ENTRADA DE CAPITAL"</f>
        <v>ENTRADA DE CAPITAL</v>
      </c>
      <c r="P10356">
        <v>20</v>
      </c>
      <c r="S10356" t="str">
        <f>"ENTRADA DE CAPITAL (106)"</f>
        <v>ENTRADA DE CAPITAL (106)</v>
      </c>
      <c r="T10356">
        <v>21098</v>
      </c>
      <c r="U10356">
        <v>7575</v>
      </c>
      <c r="V10356" t="s">
        <v>48</v>
      </c>
    </row>
    <row r="10357" spans="1:22">
      <c r="A10357" t="str">
        <f t="shared" si="1964"/>
        <v>13/11/2025</v>
      </c>
      <c r="B10357" t="str">
        <f>"ENTRADA"</f>
        <v>ENTRADA</v>
      </c>
      <c r="C10357" t="str">
        <f>"DINHEIRO"</f>
        <v>DINHEIRO</v>
      </c>
      <c r="D10357" t="str">
        <f>"05"</f>
        <v>05</v>
      </c>
      <c r="E10357" t="str">
        <f>"35"</f>
        <v>35</v>
      </c>
      <c r="F10357" t="str">
        <f t="shared" si="1963"/>
        <v>COM</v>
      </c>
      <c r="G10357" t="str">
        <f>"TALES SILVA MARIANO (431)"</f>
        <v>TALES SILVA MARIANO (431)</v>
      </c>
      <c r="H10357" t="s">
        <v>309</v>
      </c>
      <c r="I10357" t="str">
        <f>("16/11/2025")</f>
        <v>16/11/2025</v>
      </c>
      <c r="J10357" t="str">
        <f>("16/01/2025")</f>
        <v>16/01/2025</v>
      </c>
      <c r="K10357">
        <v>45974</v>
      </c>
      <c r="N10357">
        <v>106</v>
      </c>
      <c r="O10357" t="s">
        <v>51</v>
      </c>
      <c r="Q10357">
        <v>20</v>
      </c>
      <c r="R10357" t="str">
        <f>"TALES SILVA MARIANO (431)"</f>
        <v>TALES SILVA MARIANO (431)</v>
      </c>
      <c r="S10357" t="s">
        <v>52</v>
      </c>
      <c r="T10357">
        <v>21098</v>
      </c>
      <c r="U10357">
        <v>7575</v>
      </c>
      <c r="V10357" t="s">
        <v>48</v>
      </c>
    </row>
    <row r="10358" spans="1:22">
      <c r="A10358" t="str">
        <f t="shared" si="1964"/>
        <v>13/11/2025</v>
      </c>
      <c r="B10358" t="str">
        <f>"ENTRADA"</f>
        <v>ENTRADA</v>
      </c>
      <c r="C10358" t="str">
        <f>"DINHEIRO"</f>
        <v>DINHEIRO</v>
      </c>
      <c r="D10358" t="str">
        <f>"25"</f>
        <v>25</v>
      </c>
      <c r="E10358" t="str">
        <f>"8"</f>
        <v>8</v>
      </c>
      <c r="F10358" t="str">
        <f t="shared" si="1963"/>
        <v>COM</v>
      </c>
      <c r="G10358" t="str">
        <f>"TAYSON BARBOSA SILVINO (613)"</f>
        <v>TAYSON BARBOSA SILVINO (613)</v>
      </c>
      <c r="H10358" t="str">
        <f>"COTA COOPERADO"</f>
        <v>COTA COOPERADO</v>
      </c>
      <c r="I10358" t="str">
        <f>("10/11/2025")</f>
        <v>10/11/2025</v>
      </c>
      <c r="J10358" t="str">
        <f>("10/04/2025")</f>
        <v>10/04/2025</v>
      </c>
      <c r="K10358" t="str">
        <f>("13/11/2025")</f>
        <v>13/11/2025</v>
      </c>
      <c r="L10358">
        <v>20</v>
      </c>
      <c r="M10358">
        <v>20</v>
      </c>
      <c r="N10358">
        <v>106</v>
      </c>
      <c r="O10358" t="str">
        <f>"ENTRADA DE CAPITAL"</f>
        <v>ENTRADA DE CAPITAL</v>
      </c>
      <c r="P10358">
        <v>20</v>
      </c>
      <c r="S10358" t="str">
        <f>"ENTRADA DE CAPITAL (106)"</f>
        <v>ENTRADA DE CAPITAL (106)</v>
      </c>
      <c r="T10358">
        <v>21099</v>
      </c>
      <c r="U10358">
        <v>12374</v>
      </c>
      <c r="V10358" t="s">
        <v>48</v>
      </c>
    </row>
    <row r="10359" spans="1:22">
      <c r="A10359" t="str">
        <f t="shared" si="1964"/>
        <v>13/11/2025</v>
      </c>
      <c r="B10359" t="str">
        <f>"ENTRADA"</f>
        <v>ENTRADA</v>
      </c>
      <c r="C10359" t="str">
        <f>"DINHEIRO"</f>
        <v>DINHEIRO</v>
      </c>
      <c r="D10359" t="str">
        <f>"25"</f>
        <v>25</v>
      </c>
      <c r="E10359" t="str">
        <f>"8"</f>
        <v>8</v>
      </c>
      <c r="F10359" t="str">
        <f t="shared" ref="F10359:F10422" si="1966">"COM"</f>
        <v>COM</v>
      </c>
      <c r="G10359" t="str">
        <f>"TAYSON BARBOSA SILVINO (613)"</f>
        <v>TAYSON BARBOSA SILVINO (613)</v>
      </c>
      <c r="H10359" t="s">
        <v>434</v>
      </c>
      <c r="I10359" t="str">
        <f>("10/11/2025")</f>
        <v>10/11/2025</v>
      </c>
      <c r="J10359" t="str">
        <f>("10/04/2025")</f>
        <v>10/04/2025</v>
      </c>
      <c r="K10359">
        <v>45974</v>
      </c>
      <c r="N10359">
        <v>106</v>
      </c>
      <c r="O10359" t="s">
        <v>51</v>
      </c>
      <c r="Q10359">
        <v>20</v>
      </c>
      <c r="R10359" t="str">
        <f>"TAYSON BARBOSA SILVINO (613)"</f>
        <v>TAYSON BARBOSA SILVINO (613)</v>
      </c>
      <c r="S10359" t="s">
        <v>52</v>
      </c>
      <c r="T10359">
        <v>21099</v>
      </c>
      <c r="U10359">
        <v>12374</v>
      </c>
      <c r="V10359" t="s">
        <v>48</v>
      </c>
    </row>
    <row r="10360" spans="1:22">
      <c r="A10360" t="str">
        <f t="shared" si="1964"/>
        <v>13/11/2025</v>
      </c>
      <c r="B10360" t="str">
        <f>"SAÍDA"</f>
        <v>SAÍDA</v>
      </c>
      <c r="C10360" t="str">
        <f>"PIX"</f>
        <v>PIX</v>
      </c>
      <c r="D10360" t="str">
        <f>"24816"</f>
        <v>24816</v>
      </c>
      <c r="E10360" t="str">
        <f>"1"</f>
        <v>1</v>
      </c>
      <c r="F10360" t="str">
        <f t="shared" si="1966"/>
        <v>COM</v>
      </c>
      <c r="G10360" t="str">
        <f>"TAYSON BARBOSA SILVINO (613)"</f>
        <v>TAYSON BARBOSA SILVINO (613)</v>
      </c>
      <c r="H10360" t="str">
        <f>"Serv.Prest. 24/10/2025 a 02/11/2025 - PIX: CHAVE ALEATÓRIA - CHAVE: 1550e869-c9d7-4436-be93-6858fd0cb900"</f>
        <v>Serv.Prest. 24/10/2025 a 02/11/2025 - PIX: CHAVE ALEATÓRIA - CHAVE: 1550e869-c9d7-4436-be93-6858fd0cb900</v>
      </c>
      <c r="I10360" t="str">
        <f>("13/11/2025")</f>
        <v>13/11/2025</v>
      </c>
      <c r="J10360" t="str">
        <f>("04/11/2025")</f>
        <v>04/11/2025</v>
      </c>
      <c r="K10360" t="str">
        <f>("13/11/2025")</f>
        <v>13/11/2025</v>
      </c>
      <c r="L10360">
        <v>20</v>
      </c>
      <c r="M10360">
        <v>20</v>
      </c>
      <c r="N10360">
        <v>109</v>
      </c>
      <c r="O10360" t="str">
        <f>"PAGAMENTO DE ENTREGADORES"</f>
        <v>PAGAMENTO DE ENTREGADORES</v>
      </c>
      <c r="P10360">
        <v>20</v>
      </c>
      <c r="S10360" t="str">
        <f>"CAIXA MOVIMENTAÇÃO OPERACIONAL (132)"</f>
        <v>CAIXA MOVIMENTAÇÃO OPERACIONAL (132)</v>
      </c>
      <c r="T10360">
        <v>21100</v>
      </c>
      <c r="U10360">
        <v>25473</v>
      </c>
      <c r="V10360" t="s">
        <v>48</v>
      </c>
    </row>
    <row r="10361" spans="1:22">
      <c r="A10361" t="str">
        <f t="shared" si="1964"/>
        <v>13/11/2025</v>
      </c>
      <c r="B10361" t="str">
        <f>"SAÍDA"</f>
        <v>SAÍDA</v>
      </c>
      <c r="C10361" t="str">
        <f>"PIX"</f>
        <v>PIX</v>
      </c>
      <c r="D10361" t="str">
        <f>"24816"</f>
        <v>24816</v>
      </c>
      <c r="E10361" t="str">
        <f>"1"</f>
        <v>1</v>
      </c>
      <c r="F10361" t="str">
        <f t="shared" si="1966"/>
        <v>COM</v>
      </c>
      <c r="G10361" t="str">
        <f>"TAYSON BARBOSA SILVINO (613)"</f>
        <v>TAYSON BARBOSA SILVINO (613)</v>
      </c>
      <c r="H10361" t="s">
        <v>2894</v>
      </c>
      <c r="I10361" t="str">
        <f>("13/11/2025")</f>
        <v>13/11/2025</v>
      </c>
      <c r="J10361" t="str">
        <f>("04/11/2025")</f>
        <v>04/11/2025</v>
      </c>
      <c r="K10361">
        <v>45974</v>
      </c>
      <c r="N10361">
        <v>109</v>
      </c>
      <c r="O10361" t="s">
        <v>24</v>
      </c>
      <c r="Q10361">
        <v>20</v>
      </c>
      <c r="R10361" t="str">
        <f>"FARMÁCIA INDIANA LJ 19 (10012)"</f>
        <v>FARMÁCIA INDIANA LJ 19 (10012)</v>
      </c>
      <c r="S10361" t="s">
        <v>48</v>
      </c>
      <c r="T10361">
        <v>21100</v>
      </c>
      <c r="U10361">
        <v>25473</v>
      </c>
      <c r="V10361" t="s">
        <v>48</v>
      </c>
    </row>
    <row r="10362" spans="1:22">
      <c r="A10362" t="str">
        <f t="shared" si="1964"/>
        <v>13/11/2025</v>
      </c>
      <c r="B10362" t="str">
        <f>"ENTRADA"</f>
        <v>ENTRADA</v>
      </c>
      <c r="C10362" t="str">
        <f>"DINHEIRO"</f>
        <v>DINHEIRO</v>
      </c>
      <c r="D10362" t="str">
        <f>"704"</f>
        <v>704</v>
      </c>
      <c r="E10362" t="str">
        <f>"8"</f>
        <v>8</v>
      </c>
      <c r="F10362" t="str">
        <f t="shared" si="1966"/>
        <v>COM</v>
      </c>
      <c r="G10362" t="str">
        <f>"THALES VINÍCIUS RODRIGUES DE OLIVEIRA (704)"</f>
        <v>THALES VINÍCIUS RODRIGUES DE OLIVEIRA (704)</v>
      </c>
      <c r="H10362" t="str">
        <f>"COTAS COOPERATIVA"</f>
        <v>COTAS COOPERATIVA</v>
      </c>
      <c r="I10362" t="str">
        <f>("10/11/2025")</f>
        <v>10/11/2025</v>
      </c>
      <c r="J10362" t="str">
        <f>("17/03/2025")</f>
        <v>17/03/2025</v>
      </c>
      <c r="K10362" t="str">
        <f>("13/11/2025")</f>
        <v>13/11/2025</v>
      </c>
      <c r="L10362">
        <v>20</v>
      </c>
      <c r="M10362">
        <v>20</v>
      </c>
      <c r="N10362">
        <v>106</v>
      </c>
      <c r="O10362" t="str">
        <f>"ENTRADA DE CAPITAL"</f>
        <v>ENTRADA DE CAPITAL</v>
      </c>
      <c r="P10362">
        <v>20</v>
      </c>
      <c r="S10362" t="str">
        <f>"ENTRADA DE CAPITAL (106)"</f>
        <v>ENTRADA DE CAPITAL (106)</v>
      </c>
      <c r="T10362">
        <v>21101</v>
      </c>
      <c r="U10362">
        <v>11913</v>
      </c>
      <c r="V10362" t="s">
        <v>48</v>
      </c>
    </row>
    <row r="10363" spans="1:22">
      <c r="A10363" t="str">
        <f t="shared" si="1964"/>
        <v>13/11/2025</v>
      </c>
      <c r="B10363" t="str">
        <f>"ENTRADA"</f>
        <v>ENTRADA</v>
      </c>
      <c r="C10363" t="str">
        <f>"DINHEIRO"</f>
        <v>DINHEIRO</v>
      </c>
      <c r="D10363" t="str">
        <f>"704"</f>
        <v>704</v>
      </c>
      <c r="E10363" t="str">
        <f>"8"</f>
        <v>8</v>
      </c>
      <c r="F10363" t="str">
        <f t="shared" si="1966"/>
        <v>COM</v>
      </c>
      <c r="G10363" t="str">
        <f>"THALES VINÍCIUS RODRIGUES DE OLIVEIRA (704)"</f>
        <v>THALES VINÍCIUS RODRIGUES DE OLIVEIRA (704)</v>
      </c>
      <c r="H10363" t="s">
        <v>318</v>
      </c>
      <c r="I10363" t="str">
        <f>("10/11/2025")</f>
        <v>10/11/2025</v>
      </c>
      <c r="J10363" t="str">
        <f>("17/03/2025")</f>
        <v>17/03/2025</v>
      </c>
      <c r="K10363">
        <v>45974</v>
      </c>
      <c r="N10363">
        <v>106</v>
      </c>
      <c r="O10363" t="s">
        <v>51</v>
      </c>
      <c r="Q10363">
        <v>20</v>
      </c>
      <c r="R10363" t="str">
        <f>"THALES VINÍCIUS RODRIGUES DE OLIVEIRA (704)"</f>
        <v>THALES VINÍCIUS RODRIGUES DE OLIVEIRA (704)</v>
      </c>
      <c r="S10363" t="s">
        <v>52</v>
      </c>
      <c r="T10363">
        <v>21101</v>
      </c>
      <c r="U10363">
        <v>11913</v>
      </c>
      <c r="V10363" t="s">
        <v>48</v>
      </c>
    </row>
    <row r="10364" spans="1:22">
      <c r="A10364" t="str">
        <f t="shared" si="1964"/>
        <v>13/11/2025</v>
      </c>
      <c r="B10364" t="str">
        <f>"SAÍDA"</f>
        <v>SAÍDA</v>
      </c>
      <c r="C10364" t="str">
        <f>"PIX"</f>
        <v>PIX</v>
      </c>
      <c r="D10364" t="str">
        <f>"25051"</f>
        <v>25051</v>
      </c>
      <c r="E10364" t="str">
        <f>"1"</f>
        <v>1</v>
      </c>
      <c r="F10364" t="str">
        <f t="shared" si="1966"/>
        <v>COM</v>
      </c>
      <c r="G10364" t="str">
        <f>"THALES VINÍCIUS RODRIGUES DE OLIVEIRA (704)"</f>
        <v>THALES VINÍCIUS RODRIGUES DE OLIVEIRA (704)</v>
      </c>
      <c r="H10364" t="str">
        <f>"Serv.Prest. 03/11/2025 a 09/11/2025 - PIX: CELULAR - CHAVE: (37) 99138-1777"</f>
        <v>Serv.Prest. 03/11/2025 a 09/11/2025 - PIX: CELULAR - CHAVE: (37) 99138-1777</v>
      </c>
      <c r="I10364" t="str">
        <f>("13/11/2025")</f>
        <v>13/11/2025</v>
      </c>
      <c r="J10364" t="str">
        <f>("10/11/2025")</f>
        <v>10/11/2025</v>
      </c>
      <c r="K10364" t="str">
        <f>("13/11/2025")</f>
        <v>13/11/2025</v>
      </c>
      <c r="L10364">
        <v>20</v>
      </c>
      <c r="M10364">
        <v>20</v>
      </c>
      <c r="N10364">
        <v>109</v>
      </c>
      <c r="O10364" t="str">
        <f>"PAGAMENTO DE ENTREGADORES"</f>
        <v>PAGAMENTO DE ENTREGADORES</v>
      </c>
      <c r="P10364">
        <v>20</v>
      </c>
      <c r="S10364" t="str">
        <f>"CAIXA MOVIMENTAÇÃO OPERACIONAL (132)"</f>
        <v>CAIXA MOVIMENTAÇÃO OPERACIONAL (132)</v>
      </c>
      <c r="T10364">
        <v>21102</v>
      </c>
      <c r="U10364">
        <v>25474</v>
      </c>
      <c r="V10364" t="s">
        <v>48</v>
      </c>
    </row>
    <row r="10365" spans="1:22">
      <c r="A10365" t="str">
        <f t="shared" si="1964"/>
        <v>13/11/2025</v>
      </c>
      <c r="B10365" t="str">
        <f>"SAÍDA"</f>
        <v>SAÍDA</v>
      </c>
      <c r="C10365" t="str">
        <f>"PIX"</f>
        <v>PIX</v>
      </c>
      <c r="D10365" t="str">
        <f>"25051"</f>
        <v>25051</v>
      </c>
      <c r="E10365" t="str">
        <f>"1"</f>
        <v>1</v>
      </c>
      <c r="F10365" t="str">
        <f t="shared" si="1966"/>
        <v>COM</v>
      </c>
      <c r="G10365" t="str">
        <f>"THALES VINÍCIUS RODRIGUES DE OLIVEIRA (704)"</f>
        <v>THALES VINÍCIUS RODRIGUES DE OLIVEIRA (704)</v>
      </c>
      <c r="H10365" t="s">
        <v>2895</v>
      </c>
      <c r="I10365" t="str">
        <f>("13/11/2025")</f>
        <v>13/11/2025</v>
      </c>
      <c r="J10365" t="str">
        <f>("10/11/2025")</f>
        <v>10/11/2025</v>
      </c>
      <c r="K10365">
        <v>45974</v>
      </c>
      <c r="N10365">
        <v>109</v>
      </c>
      <c r="O10365" t="s">
        <v>24</v>
      </c>
      <c r="Q10365">
        <v>20</v>
      </c>
      <c r="R10365" t="str">
        <f>"DROGARIA POUPA MINAS (ULTRAMINAS) 1 (10181)"</f>
        <v>DROGARIA POUPA MINAS (ULTRAMINAS) 1 (10181)</v>
      </c>
      <c r="S10365" t="s">
        <v>48</v>
      </c>
      <c r="T10365">
        <v>21102</v>
      </c>
      <c r="U10365">
        <v>25474</v>
      </c>
      <c r="V10365" t="s">
        <v>48</v>
      </c>
    </row>
    <row r="10366" spans="1:22">
      <c r="A10366" t="str">
        <f t="shared" si="1964"/>
        <v>13/11/2025</v>
      </c>
      <c r="B10366" t="str">
        <f>"SAÍDA"</f>
        <v>SAÍDA</v>
      </c>
      <c r="C10366" t="str">
        <f>"PIX"</f>
        <v>PIX</v>
      </c>
      <c r="D10366" t="str">
        <f>"25052"</f>
        <v>25052</v>
      </c>
      <c r="E10366" t="str">
        <f>"1"</f>
        <v>1</v>
      </c>
      <c r="F10366" t="str">
        <f t="shared" si="1966"/>
        <v>COM</v>
      </c>
      <c r="G10366" t="str">
        <f>"TIAGO VIEIRA (372)"</f>
        <v>TIAGO VIEIRA (372)</v>
      </c>
      <c r="H10366" t="str">
        <f>"Serv.Prest. 03/11/2025 a 09/11/2025 - PIX: CELULAR - CHAVE: (37) 98841-8571"</f>
        <v>Serv.Prest. 03/11/2025 a 09/11/2025 - PIX: CELULAR - CHAVE: (37) 98841-8571</v>
      </c>
      <c r="I10366" t="str">
        <f>("13/11/2025")</f>
        <v>13/11/2025</v>
      </c>
      <c r="J10366" t="str">
        <f>("10/11/2025")</f>
        <v>10/11/2025</v>
      </c>
      <c r="K10366" t="str">
        <f>("13/11/2025")</f>
        <v>13/11/2025</v>
      </c>
      <c r="L10366">
        <v>20</v>
      </c>
      <c r="M10366">
        <v>20</v>
      </c>
      <c r="N10366">
        <v>109</v>
      </c>
      <c r="O10366" t="str">
        <f>"PAGAMENTO DE ENTREGADORES"</f>
        <v>PAGAMENTO DE ENTREGADORES</v>
      </c>
      <c r="P10366">
        <v>20</v>
      </c>
      <c r="S10366" t="str">
        <f>"CAIXA MOVIMENTAÇÃO OPERACIONAL (132)"</f>
        <v>CAIXA MOVIMENTAÇÃO OPERACIONAL (132)</v>
      </c>
      <c r="T10366">
        <v>21103</v>
      </c>
      <c r="U10366">
        <v>25475</v>
      </c>
      <c r="V10366" t="s">
        <v>48</v>
      </c>
    </row>
    <row r="10367" spans="1:22">
      <c r="A10367" t="str">
        <f t="shared" si="1964"/>
        <v>13/11/2025</v>
      </c>
      <c r="B10367" t="str">
        <f>"SAÍDA"</f>
        <v>SAÍDA</v>
      </c>
      <c r="C10367" t="str">
        <f>"PIX"</f>
        <v>PIX</v>
      </c>
      <c r="D10367" t="str">
        <f>"25052"</f>
        <v>25052</v>
      </c>
      <c r="E10367" t="str">
        <f>"1"</f>
        <v>1</v>
      </c>
      <c r="F10367" t="str">
        <f t="shared" si="1966"/>
        <v>COM</v>
      </c>
      <c r="G10367" t="str">
        <f>"TIAGO VIEIRA (372)"</f>
        <v>TIAGO VIEIRA (372)</v>
      </c>
      <c r="H10367" t="s">
        <v>2896</v>
      </c>
      <c r="I10367" t="str">
        <f>("13/11/2025")</f>
        <v>13/11/2025</v>
      </c>
      <c r="J10367" t="str">
        <f>("10/11/2025")</f>
        <v>10/11/2025</v>
      </c>
      <c r="K10367">
        <v>45974</v>
      </c>
      <c r="N10367">
        <v>109</v>
      </c>
      <c r="O10367" t="s">
        <v>24</v>
      </c>
      <c r="Q10367">
        <v>20</v>
      </c>
      <c r="R10367" t="str">
        <f>"DROGARIA POUPA MINAS (ULTRAMINAS) 1 (10181)"</f>
        <v>DROGARIA POUPA MINAS (ULTRAMINAS) 1 (10181)</v>
      </c>
      <c r="S10367" t="s">
        <v>48</v>
      </c>
      <c r="T10367">
        <v>21103</v>
      </c>
      <c r="U10367">
        <v>25475</v>
      </c>
      <c r="V10367" t="s">
        <v>48</v>
      </c>
    </row>
    <row r="10368" spans="1:22">
      <c r="A10368" t="str">
        <f t="shared" si="1964"/>
        <v>13/11/2025</v>
      </c>
      <c r="B10368" t="str">
        <f>"ENTRADA"</f>
        <v>ENTRADA</v>
      </c>
      <c r="C10368" t="str">
        <f>"DINHEIRO"</f>
        <v>DINHEIRO</v>
      </c>
      <c r="D10368" t="str">
        <f>"05"</f>
        <v>05</v>
      </c>
      <c r="E10368" t="str">
        <f>"35"</f>
        <v>35</v>
      </c>
      <c r="F10368" t="str">
        <f t="shared" si="1966"/>
        <v>COM</v>
      </c>
      <c r="G10368" t="str">
        <f>"TIAGO VIEIRA (372)"</f>
        <v>TIAGO VIEIRA (372)</v>
      </c>
      <c r="H10368" t="str">
        <f>"DESCONTO COTA COOPERADO"</f>
        <v>DESCONTO COTA COOPERADO</v>
      </c>
      <c r="I10368" t="str">
        <f>("16/11/2025")</f>
        <v>16/11/2025</v>
      </c>
      <c r="J10368" t="str">
        <f>("16/01/2025")</f>
        <v>16/01/2025</v>
      </c>
      <c r="K10368" t="str">
        <f>("13/11/2025")</f>
        <v>13/11/2025</v>
      </c>
      <c r="L10368">
        <v>20</v>
      </c>
      <c r="M10368">
        <v>20</v>
      </c>
      <c r="N10368">
        <v>106</v>
      </c>
      <c r="O10368" t="str">
        <f>"ENTRADA DE CAPITAL"</f>
        <v>ENTRADA DE CAPITAL</v>
      </c>
      <c r="P10368">
        <v>20</v>
      </c>
      <c r="S10368" t="str">
        <f>"ENTRADA DE CAPITAL (106)"</f>
        <v>ENTRADA DE CAPITAL (106)</v>
      </c>
      <c r="T10368">
        <v>21104</v>
      </c>
      <c r="U10368">
        <v>7604</v>
      </c>
      <c r="V10368" t="s">
        <v>48</v>
      </c>
    </row>
    <row r="10369" spans="1:22">
      <c r="A10369" t="str">
        <f t="shared" si="1964"/>
        <v>13/11/2025</v>
      </c>
      <c r="B10369" t="str">
        <f>"ENTRADA"</f>
        <v>ENTRADA</v>
      </c>
      <c r="C10369" t="str">
        <f>"DINHEIRO"</f>
        <v>DINHEIRO</v>
      </c>
      <c r="D10369" t="str">
        <f>"05"</f>
        <v>05</v>
      </c>
      <c r="E10369" t="str">
        <f>"35"</f>
        <v>35</v>
      </c>
      <c r="F10369" t="str">
        <f t="shared" si="1966"/>
        <v>COM</v>
      </c>
      <c r="G10369" t="str">
        <f>"TIAGO VIEIRA (372)"</f>
        <v>TIAGO VIEIRA (372)</v>
      </c>
      <c r="H10369" t="s">
        <v>309</v>
      </c>
      <c r="I10369" t="str">
        <f>("16/11/2025")</f>
        <v>16/11/2025</v>
      </c>
      <c r="J10369" t="str">
        <f>("16/01/2025")</f>
        <v>16/01/2025</v>
      </c>
      <c r="K10369">
        <v>45974</v>
      </c>
      <c r="N10369">
        <v>106</v>
      </c>
      <c r="O10369" t="s">
        <v>51</v>
      </c>
      <c r="Q10369">
        <v>20</v>
      </c>
      <c r="R10369" t="str">
        <f>"TIAGO VIEIRA (372)"</f>
        <v>TIAGO VIEIRA (372)</v>
      </c>
      <c r="S10369" t="s">
        <v>52</v>
      </c>
      <c r="T10369">
        <v>21104</v>
      </c>
      <c r="U10369">
        <v>7604</v>
      </c>
      <c r="V10369" t="s">
        <v>48</v>
      </c>
    </row>
    <row r="10370" spans="1:22">
      <c r="A10370" t="str">
        <f t="shared" si="1964"/>
        <v>13/11/2025</v>
      </c>
      <c r="B10370" t="str">
        <f>"SAÍDA"</f>
        <v>SAÍDA</v>
      </c>
      <c r="C10370" t="str">
        <f>"PIX"</f>
        <v>PIX</v>
      </c>
      <c r="D10370" t="str">
        <f>"24819"</f>
        <v>24819</v>
      </c>
      <c r="E10370" t="str">
        <f>"1"</f>
        <v>1</v>
      </c>
      <c r="F10370" t="str">
        <f t="shared" si="1966"/>
        <v>COM</v>
      </c>
      <c r="G10370" t="str">
        <f>"VINICIUS DE SOUZA ISABEL (658)"</f>
        <v>VINICIUS DE SOUZA ISABEL (658)</v>
      </c>
      <c r="H10370" t="str">
        <f>"Serv.Prest. 24/10/2025 a 02/11/2025 - PIX: CPF - CHAVE: 092.566.416-23"</f>
        <v>Serv.Prest. 24/10/2025 a 02/11/2025 - PIX: CPF - CHAVE: 092.566.416-23</v>
      </c>
      <c r="I10370" t="str">
        <f>("13/11/2025")</f>
        <v>13/11/2025</v>
      </c>
      <c r="J10370" t="str">
        <f>("04/11/2025")</f>
        <v>04/11/2025</v>
      </c>
      <c r="K10370" t="str">
        <f>("13/11/2025")</f>
        <v>13/11/2025</v>
      </c>
      <c r="L10370">
        <v>20</v>
      </c>
      <c r="M10370">
        <v>20</v>
      </c>
      <c r="N10370">
        <v>109</v>
      </c>
      <c r="O10370" t="str">
        <f>"PAGAMENTO DE ENTREGADORES"</f>
        <v>PAGAMENTO DE ENTREGADORES</v>
      </c>
      <c r="P10370">
        <v>20</v>
      </c>
      <c r="S10370" t="str">
        <f>"CAIXA MOVIMENTAÇÃO OPERACIONAL (132)"</f>
        <v>CAIXA MOVIMENTAÇÃO OPERACIONAL (132)</v>
      </c>
      <c r="T10370">
        <v>21105</v>
      </c>
      <c r="U10370">
        <v>25476</v>
      </c>
      <c r="V10370" t="s">
        <v>48</v>
      </c>
    </row>
    <row r="10371" spans="1:22">
      <c r="A10371" t="str">
        <f t="shared" si="1964"/>
        <v>13/11/2025</v>
      </c>
      <c r="B10371" t="str">
        <f>"SAÍDA"</f>
        <v>SAÍDA</v>
      </c>
      <c r="C10371" t="str">
        <f>"PIX"</f>
        <v>PIX</v>
      </c>
      <c r="D10371" t="str">
        <f>"24819"</f>
        <v>24819</v>
      </c>
      <c r="E10371" t="str">
        <f>"1"</f>
        <v>1</v>
      </c>
      <c r="F10371" t="str">
        <f t="shared" si="1966"/>
        <v>COM</v>
      </c>
      <c r="G10371" t="str">
        <f>"VINICIUS DE SOUZA ISABEL (658)"</f>
        <v>VINICIUS DE SOUZA ISABEL (658)</v>
      </c>
      <c r="H10371" t="s">
        <v>2727</v>
      </c>
      <c r="I10371" t="str">
        <f>("13/11/2025")</f>
        <v>13/11/2025</v>
      </c>
      <c r="J10371" t="str">
        <f>("04/11/2025")</f>
        <v>04/11/2025</v>
      </c>
      <c r="K10371">
        <v>45974</v>
      </c>
      <c r="N10371">
        <v>109</v>
      </c>
      <c r="O10371" t="s">
        <v>24</v>
      </c>
      <c r="Q10371">
        <v>20</v>
      </c>
      <c r="R10371" t="str">
        <f>"FARMÁCIA INDIANA LJ 219 (10091)"</f>
        <v>FARMÁCIA INDIANA LJ 219 (10091)</v>
      </c>
      <c r="S10371" t="s">
        <v>48</v>
      </c>
      <c r="T10371">
        <v>21105</v>
      </c>
      <c r="U10371">
        <v>25476</v>
      </c>
      <c r="V10371" t="s">
        <v>48</v>
      </c>
    </row>
    <row r="10372" spans="1:22">
      <c r="A10372" t="str">
        <f t="shared" si="1964"/>
        <v>13/11/2025</v>
      </c>
      <c r="B10372" t="str">
        <f>"ENTRADA"</f>
        <v>ENTRADA</v>
      </c>
      <c r="C10372" t="str">
        <f>"DINHEIRO"</f>
        <v>DINHEIRO</v>
      </c>
      <c r="D10372" t="str">
        <f>"25"</f>
        <v>25</v>
      </c>
      <c r="E10372" t="str">
        <f>"9"</f>
        <v>9</v>
      </c>
      <c r="F10372" t="str">
        <f t="shared" si="1966"/>
        <v>COM</v>
      </c>
      <c r="G10372" t="str">
        <f>"VINICIUS DE SOUZA ISABEL (658)"</f>
        <v>VINICIUS DE SOUZA ISABEL (658)</v>
      </c>
      <c r="H10372" t="str">
        <f>"COTA COOPERADO"</f>
        <v>COTA COOPERADO</v>
      </c>
      <c r="I10372" t="str">
        <f>("10/11/2025")</f>
        <v>10/11/2025</v>
      </c>
      <c r="J10372" t="str">
        <f>("10/04/2025")</f>
        <v>10/04/2025</v>
      </c>
      <c r="K10372" t="str">
        <f>("13/11/2025")</f>
        <v>13/11/2025</v>
      </c>
      <c r="L10372">
        <v>20</v>
      </c>
      <c r="M10372">
        <v>20</v>
      </c>
      <c r="N10372">
        <v>106</v>
      </c>
      <c r="O10372" t="str">
        <f>"ENTRADA DE CAPITAL"</f>
        <v>ENTRADA DE CAPITAL</v>
      </c>
      <c r="P10372">
        <v>20</v>
      </c>
      <c r="S10372" t="str">
        <f>"ENTRADA DE CAPITAL (106)"</f>
        <v>ENTRADA DE CAPITAL (106)</v>
      </c>
      <c r="T10372">
        <v>21106</v>
      </c>
      <c r="U10372">
        <v>12405</v>
      </c>
      <c r="V10372" t="s">
        <v>48</v>
      </c>
    </row>
    <row r="10373" spans="1:22">
      <c r="A10373" t="str">
        <f t="shared" si="1964"/>
        <v>13/11/2025</v>
      </c>
      <c r="B10373" t="str">
        <f>"ENTRADA"</f>
        <v>ENTRADA</v>
      </c>
      <c r="C10373" t="str">
        <f>"DINHEIRO"</f>
        <v>DINHEIRO</v>
      </c>
      <c r="D10373" t="str">
        <f>"25"</f>
        <v>25</v>
      </c>
      <c r="E10373" t="str">
        <f>"9"</f>
        <v>9</v>
      </c>
      <c r="F10373" t="str">
        <f t="shared" si="1966"/>
        <v>COM</v>
      </c>
      <c r="G10373" t="str">
        <f>"VINICIUS DE SOUZA ISABEL (658)"</f>
        <v>VINICIUS DE SOUZA ISABEL (658)</v>
      </c>
      <c r="H10373" t="s">
        <v>434</v>
      </c>
      <c r="I10373" t="str">
        <f>("10/11/2025")</f>
        <v>10/11/2025</v>
      </c>
      <c r="J10373" t="str">
        <f>("10/04/2025")</f>
        <v>10/04/2025</v>
      </c>
      <c r="K10373">
        <v>45974</v>
      </c>
      <c r="N10373">
        <v>106</v>
      </c>
      <c r="O10373" t="s">
        <v>51</v>
      </c>
      <c r="Q10373">
        <v>20</v>
      </c>
      <c r="R10373" t="str">
        <f>"VINICIUS DE SOUZA ISABEL (658)"</f>
        <v>VINICIUS DE SOUZA ISABEL (658)</v>
      </c>
      <c r="S10373" t="s">
        <v>52</v>
      </c>
      <c r="T10373">
        <v>21106</v>
      </c>
      <c r="U10373">
        <v>12405</v>
      </c>
      <c r="V10373" t="s">
        <v>48</v>
      </c>
    </row>
    <row r="10374" spans="1:22">
      <c r="A10374" t="str">
        <f t="shared" si="1964"/>
        <v>13/11/2025</v>
      </c>
      <c r="B10374" t="str">
        <f>"ENTRADA"</f>
        <v>ENTRADA</v>
      </c>
      <c r="C10374" t="str">
        <f>"DINHEIRO"</f>
        <v>DINHEIRO</v>
      </c>
      <c r="D10374" t="str">
        <f>"776"</f>
        <v>776</v>
      </c>
      <c r="E10374" t="str">
        <f>"6"</f>
        <v>6</v>
      </c>
      <c r="F10374" t="str">
        <f t="shared" si="1966"/>
        <v>COM</v>
      </c>
      <c r="G10374" t="str">
        <f>"VINÍCIUS NEVES PEREIRA (776)"</f>
        <v>VINÍCIUS NEVES PEREIRA (776)</v>
      </c>
      <c r="H10374" t="str">
        <f>"COTA COOPERATIVA"</f>
        <v>COTA COOPERATIVA</v>
      </c>
      <c r="I10374" t="str">
        <f>("12/11/2025")</f>
        <v>12/11/2025</v>
      </c>
      <c r="J10374" t="str">
        <f>("23/04/2025")</f>
        <v>23/04/2025</v>
      </c>
      <c r="K10374" t="str">
        <f>("13/11/2025")</f>
        <v>13/11/2025</v>
      </c>
      <c r="L10374">
        <v>20</v>
      </c>
      <c r="M10374">
        <v>20</v>
      </c>
      <c r="N10374">
        <v>106</v>
      </c>
      <c r="O10374" t="str">
        <f>"ENTRADA DE CAPITAL"</f>
        <v>ENTRADA DE CAPITAL</v>
      </c>
      <c r="P10374">
        <v>20</v>
      </c>
      <c r="S10374" t="str">
        <f>"ENTRADA DE CAPITAL (106)"</f>
        <v>ENTRADA DE CAPITAL (106)</v>
      </c>
      <c r="T10374">
        <v>21107</v>
      </c>
      <c r="U10374">
        <v>16665</v>
      </c>
      <c r="V10374" t="s">
        <v>48</v>
      </c>
    </row>
    <row r="10375" spans="1:22">
      <c r="A10375" t="str">
        <f t="shared" si="1964"/>
        <v>13/11/2025</v>
      </c>
      <c r="B10375" t="str">
        <f>"ENTRADA"</f>
        <v>ENTRADA</v>
      </c>
      <c r="C10375" t="str">
        <f>"DINHEIRO"</f>
        <v>DINHEIRO</v>
      </c>
      <c r="D10375" t="str">
        <f>"776"</f>
        <v>776</v>
      </c>
      <c r="E10375" t="str">
        <f>"6"</f>
        <v>6</v>
      </c>
      <c r="F10375" t="str">
        <f t="shared" si="1966"/>
        <v>COM</v>
      </c>
      <c r="G10375" t="str">
        <f>"VINÍCIUS NEVES PEREIRA (776)"</f>
        <v>VINÍCIUS NEVES PEREIRA (776)</v>
      </c>
      <c r="H10375" t="s">
        <v>50</v>
      </c>
      <c r="I10375" t="str">
        <f>("12/11/2025")</f>
        <v>12/11/2025</v>
      </c>
      <c r="J10375" t="str">
        <f>("23/04/2025")</f>
        <v>23/04/2025</v>
      </c>
      <c r="K10375">
        <v>45974</v>
      </c>
      <c r="N10375">
        <v>106</v>
      </c>
      <c r="O10375" t="s">
        <v>51</v>
      </c>
      <c r="Q10375">
        <v>20</v>
      </c>
      <c r="R10375" t="str">
        <f>"VINÍCIUS NEVES PEREIRA (776)"</f>
        <v>VINÍCIUS NEVES PEREIRA (776)</v>
      </c>
      <c r="S10375" t="s">
        <v>52</v>
      </c>
      <c r="T10375">
        <v>21107</v>
      </c>
      <c r="U10375">
        <v>16665</v>
      </c>
      <c r="V10375" t="s">
        <v>48</v>
      </c>
    </row>
    <row r="10376" spans="1:22">
      <c r="A10376" t="str">
        <f t="shared" si="1964"/>
        <v>13/11/2025</v>
      </c>
      <c r="B10376" t="str">
        <f>"SAÍDA"</f>
        <v>SAÍDA</v>
      </c>
      <c r="C10376" t="str">
        <f>"PIX"</f>
        <v>PIX</v>
      </c>
      <c r="D10376" t="str">
        <f>"24843"</f>
        <v>24843</v>
      </c>
      <c r="E10376" t="str">
        <f>"1"</f>
        <v>1</v>
      </c>
      <c r="F10376" t="str">
        <f t="shared" si="1966"/>
        <v>COM</v>
      </c>
      <c r="G10376" t="str">
        <f>"VINÍCIUS NEVES PEREIRA (776)"</f>
        <v>VINÍCIUS NEVES PEREIRA (776)</v>
      </c>
      <c r="H10376" t="str">
        <f>"Serv.Prest. 24/10/2025 a 02/11/2025 - PIX: CPF - CHAVE: 121.963.507-37"</f>
        <v>Serv.Prest. 24/10/2025 a 02/11/2025 - PIX: CPF - CHAVE: 121.963.507-37</v>
      </c>
      <c r="I10376" t="str">
        <f t="shared" ref="I10376:I10389" si="1967">("13/11/2025")</f>
        <v>13/11/2025</v>
      </c>
      <c r="J10376" t="str">
        <f>("04/11/2025")</f>
        <v>04/11/2025</v>
      </c>
      <c r="K10376" t="str">
        <f>("13/11/2025")</f>
        <v>13/11/2025</v>
      </c>
      <c r="L10376">
        <v>20</v>
      </c>
      <c r="M10376">
        <v>20</v>
      </c>
      <c r="N10376">
        <v>109</v>
      </c>
      <c r="O10376" t="str">
        <f>"PAGAMENTO DE ENTREGADORES"</f>
        <v>PAGAMENTO DE ENTREGADORES</v>
      </c>
      <c r="P10376">
        <v>20</v>
      </c>
      <c r="S10376" t="str">
        <f>"CAIXA MOVIMENTAÇÃO OPERACIONAL (132)"</f>
        <v>CAIXA MOVIMENTAÇÃO OPERACIONAL (132)</v>
      </c>
      <c r="T10376">
        <v>21108</v>
      </c>
      <c r="U10376">
        <v>25477</v>
      </c>
      <c r="V10376" t="s">
        <v>48</v>
      </c>
    </row>
    <row r="10377" spans="1:22">
      <c r="A10377" t="str">
        <f t="shared" si="1964"/>
        <v>13/11/2025</v>
      </c>
      <c r="B10377" t="str">
        <f>"SAÍDA"</f>
        <v>SAÍDA</v>
      </c>
      <c r="C10377" t="str">
        <f>"PIX"</f>
        <v>PIX</v>
      </c>
      <c r="D10377" t="str">
        <f>"24843"</f>
        <v>24843</v>
      </c>
      <c r="E10377" t="str">
        <f>"1"</f>
        <v>1</v>
      </c>
      <c r="F10377" t="str">
        <f t="shared" si="1966"/>
        <v>COM</v>
      </c>
      <c r="G10377" t="str">
        <f>"VINÍCIUS NEVES PEREIRA (776)"</f>
        <v>VINÍCIUS NEVES PEREIRA (776)</v>
      </c>
      <c r="H10377" t="s">
        <v>2897</v>
      </c>
      <c r="I10377" t="str">
        <f t="shared" si="1967"/>
        <v>13/11/2025</v>
      </c>
      <c r="J10377" t="str">
        <f>("04/11/2025")</f>
        <v>04/11/2025</v>
      </c>
      <c r="K10377">
        <v>45974</v>
      </c>
      <c r="N10377">
        <v>109</v>
      </c>
      <c r="O10377" t="s">
        <v>24</v>
      </c>
      <c r="Q10377">
        <v>20</v>
      </c>
      <c r="R10377" t="str">
        <f>"FARMÁCIA INDIANA LJ 221 (10093)"</f>
        <v>FARMÁCIA INDIANA LJ 221 (10093)</v>
      </c>
      <c r="S10377" t="s">
        <v>48</v>
      </c>
      <c r="T10377">
        <v>21108</v>
      </c>
      <c r="U10377">
        <v>25477</v>
      </c>
      <c r="V10377" t="s">
        <v>48</v>
      </c>
    </row>
    <row r="10378" spans="1:22">
      <c r="A10378" t="str">
        <f t="shared" si="1964"/>
        <v>13/11/2025</v>
      </c>
      <c r="B10378" t="str">
        <f>"ENTRADA"</f>
        <v>ENTRADA</v>
      </c>
      <c r="C10378" t="str">
        <f>"DINHEIRO"</f>
        <v>DINHEIRO</v>
      </c>
      <c r="D10378" t="str">
        <f>"633"</f>
        <v>633</v>
      </c>
      <c r="E10378" t="str">
        <f>"10"</f>
        <v>10</v>
      </c>
      <c r="F10378" t="str">
        <f t="shared" si="1966"/>
        <v>COM</v>
      </c>
      <c r="G10378" t="str">
        <f>"VINICIUS SANTOS PEREIRA (633)"</f>
        <v>VINICIUS SANTOS PEREIRA (633)</v>
      </c>
      <c r="H10378" t="str">
        <f>"COTAS COOPERATIVA"</f>
        <v>COTAS COOPERATIVA</v>
      </c>
      <c r="I10378" t="str">
        <f t="shared" si="1967"/>
        <v>13/11/2025</v>
      </c>
      <c r="J10378" t="str">
        <f>("13/02/2025")</f>
        <v>13/02/2025</v>
      </c>
      <c r="K10378" t="str">
        <f>("13/11/2025")</f>
        <v>13/11/2025</v>
      </c>
      <c r="L10378">
        <v>20</v>
      </c>
      <c r="M10378">
        <v>20</v>
      </c>
      <c r="N10378">
        <v>106</v>
      </c>
      <c r="O10378" t="str">
        <f>"ENTRADA DE CAPITAL"</f>
        <v>ENTRADA DE CAPITAL</v>
      </c>
      <c r="P10378">
        <v>20</v>
      </c>
      <c r="S10378" t="str">
        <f>"ENTRADA DE CAPITAL (106)"</f>
        <v>ENTRADA DE CAPITAL (106)</v>
      </c>
      <c r="T10378">
        <v>21109</v>
      </c>
      <c r="U10378">
        <v>9688</v>
      </c>
      <c r="V10378" t="s">
        <v>48</v>
      </c>
    </row>
    <row r="10379" spans="1:22">
      <c r="A10379" t="str">
        <f t="shared" si="1964"/>
        <v>13/11/2025</v>
      </c>
      <c r="B10379" t="str">
        <f>"ENTRADA"</f>
        <v>ENTRADA</v>
      </c>
      <c r="C10379" t="str">
        <f>"DINHEIRO"</f>
        <v>DINHEIRO</v>
      </c>
      <c r="D10379" t="str">
        <f>"633"</f>
        <v>633</v>
      </c>
      <c r="E10379" t="str">
        <f>"10"</f>
        <v>10</v>
      </c>
      <c r="F10379" t="str">
        <f t="shared" si="1966"/>
        <v>COM</v>
      </c>
      <c r="G10379" t="str">
        <f>"VINICIUS SANTOS PEREIRA (633)"</f>
        <v>VINICIUS SANTOS PEREIRA (633)</v>
      </c>
      <c r="H10379" t="s">
        <v>318</v>
      </c>
      <c r="I10379" t="str">
        <f t="shared" si="1967"/>
        <v>13/11/2025</v>
      </c>
      <c r="J10379" t="str">
        <f>("13/02/2025")</f>
        <v>13/02/2025</v>
      </c>
      <c r="K10379">
        <v>45974</v>
      </c>
      <c r="N10379">
        <v>106</v>
      </c>
      <c r="O10379" t="s">
        <v>51</v>
      </c>
      <c r="Q10379">
        <v>20</v>
      </c>
      <c r="R10379" t="str">
        <f>"VINICIUS SANTOS PEREIRA (633)"</f>
        <v>VINICIUS SANTOS PEREIRA (633)</v>
      </c>
      <c r="S10379" t="s">
        <v>52</v>
      </c>
      <c r="T10379">
        <v>21109</v>
      </c>
      <c r="U10379">
        <v>9688</v>
      </c>
      <c r="V10379" t="s">
        <v>48</v>
      </c>
    </row>
    <row r="10380" spans="1:22">
      <c r="A10380" t="str">
        <f t="shared" si="1964"/>
        <v>13/11/2025</v>
      </c>
      <c r="B10380" t="str">
        <f>"SAÍDA"</f>
        <v>SAÍDA</v>
      </c>
      <c r="C10380" t="str">
        <f>"PIX"</f>
        <v>PIX</v>
      </c>
      <c r="D10380" t="str">
        <f>"24725"</f>
        <v>24725</v>
      </c>
      <c r="E10380" t="str">
        <f>"1"</f>
        <v>1</v>
      </c>
      <c r="F10380" t="str">
        <f t="shared" si="1966"/>
        <v>COM</v>
      </c>
      <c r="G10380" t="str">
        <f>"VINICIUS SANTOS PEREIRA (633)"</f>
        <v>VINICIUS SANTOS PEREIRA (633)</v>
      </c>
      <c r="H10380" t="str">
        <f>"Serv.Prest. 24/10/2025 a 02/11/2025 - PIX: CELULAR - CHAVE: (73) 99818-9718"</f>
        <v>Serv.Prest. 24/10/2025 a 02/11/2025 - PIX: CELULAR - CHAVE: (73) 99818-9718</v>
      </c>
      <c r="I10380" t="str">
        <f t="shared" si="1967"/>
        <v>13/11/2025</v>
      </c>
      <c r="J10380" t="str">
        <f>("04/11/2025")</f>
        <v>04/11/2025</v>
      </c>
      <c r="K10380" t="str">
        <f>("13/11/2025")</f>
        <v>13/11/2025</v>
      </c>
      <c r="L10380">
        <v>20</v>
      </c>
      <c r="M10380">
        <v>20</v>
      </c>
      <c r="N10380">
        <v>109</v>
      </c>
      <c r="O10380" t="str">
        <f>"PAGAMENTO DE ENTREGADORES"</f>
        <v>PAGAMENTO DE ENTREGADORES</v>
      </c>
      <c r="P10380">
        <v>20</v>
      </c>
      <c r="S10380" t="str">
        <f>"CAIXA MOVIMENTAÇÃO OPERACIONAL (132)"</f>
        <v>CAIXA MOVIMENTAÇÃO OPERACIONAL (132)</v>
      </c>
      <c r="T10380">
        <v>21110</v>
      </c>
      <c r="U10380">
        <v>25478</v>
      </c>
      <c r="V10380" t="s">
        <v>48</v>
      </c>
    </row>
    <row r="10381" spans="1:22">
      <c r="A10381" t="str">
        <f t="shared" si="1964"/>
        <v>13/11/2025</v>
      </c>
      <c r="B10381" t="str">
        <f>"SAÍDA"</f>
        <v>SAÍDA</v>
      </c>
      <c r="C10381" t="str">
        <f>"PIX"</f>
        <v>PIX</v>
      </c>
      <c r="D10381" t="str">
        <f>"24725"</f>
        <v>24725</v>
      </c>
      <c r="E10381" t="str">
        <f>"1"</f>
        <v>1</v>
      </c>
      <c r="F10381" t="str">
        <f t="shared" si="1966"/>
        <v>COM</v>
      </c>
      <c r="G10381" t="str">
        <f>"VINICIUS SANTOS PEREIRA (633)"</f>
        <v>VINICIUS SANTOS PEREIRA (633)</v>
      </c>
      <c r="H10381" t="s">
        <v>2898</v>
      </c>
      <c r="I10381" t="str">
        <f t="shared" si="1967"/>
        <v>13/11/2025</v>
      </c>
      <c r="J10381" t="str">
        <f>("04/11/2025")</f>
        <v>04/11/2025</v>
      </c>
      <c r="K10381">
        <v>45974</v>
      </c>
      <c r="N10381">
        <v>109</v>
      </c>
      <c r="O10381" t="s">
        <v>24</v>
      </c>
      <c r="Q10381">
        <v>20</v>
      </c>
      <c r="R10381" t="str">
        <f>"FARMÁCIA INDIANA LJ 95 (10039)"</f>
        <v>FARMÁCIA INDIANA LJ 95 (10039)</v>
      </c>
      <c r="S10381" t="s">
        <v>48</v>
      </c>
      <c r="T10381">
        <v>21110</v>
      </c>
      <c r="U10381">
        <v>25478</v>
      </c>
      <c r="V10381" t="s">
        <v>48</v>
      </c>
    </row>
    <row r="10382" spans="1:22">
      <c r="A10382" t="str">
        <f t="shared" si="1964"/>
        <v>13/11/2025</v>
      </c>
      <c r="B10382" t="str">
        <f>"ENTRADA"</f>
        <v>ENTRADA</v>
      </c>
      <c r="C10382" t="str">
        <f>"DINHEIRO"</f>
        <v>DINHEIRO</v>
      </c>
      <c r="D10382" t="str">
        <f>"257"</f>
        <v>257</v>
      </c>
      <c r="E10382" t="str">
        <f>"24"</f>
        <v>24</v>
      </c>
      <c r="F10382" t="str">
        <f t="shared" si="1966"/>
        <v>COM</v>
      </c>
      <c r="G10382" t="str">
        <f>"VITOR CARDOSO FAUSTINO (257)"</f>
        <v>VITOR CARDOSO FAUSTINO (257)</v>
      </c>
      <c r="H10382" t="str">
        <f>"COTAS COOPERATIVA"</f>
        <v>COTAS COOPERATIVA</v>
      </c>
      <c r="I10382" t="str">
        <f t="shared" si="1967"/>
        <v>13/11/2025</v>
      </c>
      <c r="J10382" t="str">
        <f>("13/02/2025")</f>
        <v>13/02/2025</v>
      </c>
      <c r="K10382" t="str">
        <f>("13/11/2025")</f>
        <v>13/11/2025</v>
      </c>
      <c r="L10382">
        <v>20</v>
      </c>
      <c r="M10382">
        <v>20</v>
      </c>
      <c r="N10382">
        <v>106</v>
      </c>
      <c r="O10382" t="str">
        <f>"ENTRADA DE CAPITAL"</f>
        <v>ENTRADA DE CAPITAL</v>
      </c>
      <c r="P10382">
        <v>20</v>
      </c>
      <c r="S10382" t="str">
        <f>"ENTRADA DE CAPITAL (106)"</f>
        <v>ENTRADA DE CAPITAL (106)</v>
      </c>
      <c r="T10382">
        <v>21111</v>
      </c>
      <c r="U10382">
        <v>9714</v>
      </c>
      <c r="V10382" t="s">
        <v>48</v>
      </c>
    </row>
    <row r="10383" spans="1:22">
      <c r="A10383" t="str">
        <f t="shared" si="1964"/>
        <v>13/11/2025</v>
      </c>
      <c r="B10383" t="str">
        <f>"ENTRADA"</f>
        <v>ENTRADA</v>
      </c>
      <c r="C10383" t="str">
        <f>"DINHEIRO"</f>
        <v>DINHEIRO</v>
      </c>
      <c r="D10383" t="str">
        <f>"257"</f>
        <v>257</v>
      </c>
      <c r="E10383" t="str">
        <f>"24"</f>
        <v>24</v>
      </c>
      <c r="F10383" t="str">
        <f t="shared" si="1966"/>
        <v>COM</v>
      </c>
      <c r="G10383" t="str">
        <f>"VITOR CARDOSO FAUSTINO (257)"</f>
        <v>VITOR CARDOSO FAUSTINO (257)</v>
      </c>
      <c r="H10383" t="s">
        <v>318</v>
      </c>
      <c r="I10383" t="str">
        <f t="shared" si="1967"/>
        <v>13/11/2025</v>
      </c>
      <c r="J10383" t="str">
        <f>("13/02/2025")</f>
        <v>13/02/2025</v>
      </c>
      <c r="K10383">
        <v>45974</v>
      </c>
      <c r="N10383">
        <v>106</v>
      </c>
      <c r="O10383" t="s">
        <v>51</v>
      </c>
      <c r="Q10383">
        <v>20</v>
      </c>
      <c r="R10383" t="str">
        <f>"VITOR CARDOSO FAUSTINO (257)"</f>
        <v>VITOR CARDOSO FAUSTINO (257)</v>
      </c>
      <c r="S10383" t="s">
        <v>52</v>
      </c>
      <c r="T10383">
        <v>21111</v>
      </c>
      <c r="U10383">
        <v>9714</v>
      </c>
      <c r="V10383" t="s">
        <v>48</v>
      </c>
    </row>
    <row r="10384" spans="1:22">
      <c r="A10384" t="str">
        <f t="shared" si="1964"/>
        <v>13/11/2025</v>
      </c>
      <c r="B10384" t="str">
        <f t="shared" ref="B10384:B10389" si="1968">"SAÍDA"</f>
        <v>SAÍDA</v>
      </c>
      <c r="C10384" t="str">
        <f t="shared" ref="C10384:C10389" si="1969">"PIX"</f>
        <v>PIX</v>
      </c>
      <c r="D10384" t="str">
        <f>"24820"</f>
        <v>24820</v>
      </c>
      <c r="E10384" t="str">
        <f t="shared" ref="E10384:E10389" si="1970">"1"</f>
        <v>1</v>
      </c>
      <c r="F10384" t="str">
        <f t="shared" si="1966"/>
        <v>COM</v>
      </c>
      <c r="G10384" t="str">
        <f>"VITOR CARDOSO FAUSTINO (257)"</f>
        <v>VITOR CARDOSO FAUSTINO (257)</v>
      </c>
      <c r="H10384" t="str">
        <f>"Serv.Prest. 24/10/2025 a 02/11/2025 - PIX: CPF - CHAVE: 157.874.046-02"</f>
        <v>Serv.Prest. 24/10/2025 a 02/11/2025 - PIX: CPF - CHAVE: 157.874.046-02</v>
      </c>
      <c r="I10384" t="str">
        <f t="shared" si="1967"/>
        <v>13/11/2025</v>
      </c>
      <c r="J10384" t="str">
        <f t="shared" ref="J10384:J10389" si="1971">("04/11/2025")</f>
        <v>04/11/2025</v>
      </c>
      <c r="K10384" t="str">
        <f>("13/11/2025")</f>
        <v>13/11/2025</v>
      </c>
      <c r="L10384">
        <v>20</v>
      </c>
      <c r="M10384">
        <v>20</v>
      </c>
      <c r="N10384">
        <v>109</v>
      </c>
      <c r="O10384" t="str">
        <f>"PAGAMENTO DE ENTREGADORES"</f>
        <v>PAGAMENTO DE ENTREGADORES</v>
      </c>
      <c r="P10384">
        <v>20</v>
      </c>
      <c r="S10384" t="str">
        <f>"CAIXA MOVIMENTAÇÃO OPERACIONAL (132)"</f>
        <v>CAIXA MOVIMENTAÇÃO OPERACIONAL (132)</v>
      </c>
      <c r="T10384">
        <v>21112</v>
      </c>
      <c r="U10384">
        <v>25479</v>
      </c>
      <c r="V10384" t="s">
        <v>48</v>
      </c>
    </row>
    <row r="10385" spans="1:22">
      <c r="A10385" t="str">
        <f t="shared" si="1964"/>
        <v>13/11/2025</v>
      </c>
      <c r="B10385" t="str">
        <f t="shared" si="1968"/>
        <v>SAÍDA</v>
      </c>
      <c r="C10385" t="str">
        <f t="shared" si="1969"/>
        <v>PIX</v>
      </c>
      <c r="D10385" t="str">
        <f>"24820"</f>
        <v>24820</v>
      </c>
      <c r="E10385" t="str">
        <f t="shared" si="1970"/>
        <v>1</v>
      </c>
      <c r="F10385" t="str">
        <f t="shared" si="1966"/>
        <v>COM</v>
      </c>
      <c r="G10385" t="str">
        <f>"VITOR CARDOSO FAUSTINO (257)"</f>
        <v>VITOR CARDOSO FAUSTINO (257)</v>
      </c>
      <c r="H10385" t="s">
        <v>2899</v>
      </c>
      <c r="I10385" t="str">
        <f t="shared" si="1967"/>
        <v>13/11/2025</v>
      </c>
      <c r="J10385" t="str">
        <f t="shared" si="1971"/>
        <v>04/11/2025</v>
      </c>
      <c r="K10385">
        <v>45974</v>
      </c>
      <c r="N10385">
        <v>109</v>
      </c>
      <c r="O10385" t="s">
        <v>24</v>
      </c>
      <c r="Q10385">
        <v>20</v>
      </c>
      <c r="R10385" t="str">
        <f>"FARMÁCIA INDIANA LJ 07 (10007)"</f>
        <v>FARMÁCIA INDIANA LJ 07 (10007)</v>
      </c>
      <c r="S10385" t="s">
        <v>48</v>
      </c>
      <c r="T10385">
        <v>21112</v>
      </c>
      <c r="U10385">
        <v>25479</v>
      </c>
      <c r="V10385" t="s">
        <v>48</v>
      </c>
    </row>
    <row r="10386" spans="1:22">
      <c r="A10386" t="str">
        <f t="shared" si="1964"/>
        <v>13/11/2025</v>
      </c>
      <c r="B10386" t="str">
        <f t="shared" si="1968"/>
        <v>SAÍDA</v>
      </c>
      <c r="C10386" t="str">
        <f t="shared" si="1969"/>
        <v>PIX</v>
      </c>
      <c r="D10386" t="str">
        <f>"24821"</f>
        <v>24821</v>
      </c>
      <c r="E10386" t="str">
        <f t="shared" si="1970"/>
        <v>1</v>
      </c>
      <c r="F10386" t="str">
        <f t="shared" si="1966"/>
        <v>COM</v>
      </c>
      <c r="G10386" t="str">
        <f t="shared" ref="G10386:G10391" si="1972">"VITOR DE SOUZA SILVA (360)"</f>
        <v>VITOR DE SOUZA SILVA (360)</v>
      </c>
      <c r="H10386" t="str">
        <f>"Serv.Prest. 24/10/2025 a 02/11/2025 - PIX: CPF - CHAVE: 130.194.566-81"</f>
        <v>Serv.Prest. 24/10/2025 a 02/11/2025 - PIX: CPF - CHAVE: 130.194.566-81</v>
      </c>
      <c r="I10386" t="str">
        <f t="shared" si="1967"/>
        <v>13/11/2025</v>
      </c>
      <c r="J10386" t="str">
        <f t="shared" si="1971"/>
        <v>04/11/2025</v>
      </c>
      <c r="K10386" t="str">
        <f>("13/11/2025")</f>
        <v>13/11/2025</v>
      </c>
      <c r="L10386">
        <v>20</v>
      </c>
      <c r="M10386">
        <v>20</v>
      </c>
      <c r="N10386">
        <v>109</v>
      </c>
      <c r="O10386" t="str">
        <f>"PAGAMENTO DE ENTREGADORES"</f>
        <v>PAGAMENTO DE ENTREGADORES</v>
      </c>
      <c r="P10386">
        <v>20</v>
      </c>
      <c r="S10386" t="str">
        <f>"CAIXA MOVIMENTAÇÃO OPERACIONAL (132)"</f>
        <v>CAIXA MOVIMENTAÇÃO OPERACIONAL (132)</v>
      </c>
      <c r="T10386">
        <v>21113</v>
      </c>
      <c r="U10386">
        <v>25480</v>
      </c>
      <c r="V10386" t="s">
        <v>48</v>
      </c>
    </row>
    <row r="10387" spans="1:22">
      <c r="A10387" t="str">
        <f t="shared" si="1964"/>
        <v>13/11/2025</v>
      </c>
      <c r="B10387" t="str">
        <f t="shared" si="1968"/>
        <v>SAÍDA</v>
      </c>
      <c r="C10387" t="str">
        <f t="shared" si="1969"/>
        <v>PIX</v>
      </c>
      <c r="D10387" t="str">
        <f>"24821"</f>
        <v>24821</v>
      </c>
      <c r="E10387" t="str">
        <f t="shared" si="1970"/>
        <v>1</v>
      </c>
      <c r="F10387" t="str">
        <f t="shared" si="1966"/>
        <v>COM</v>
      </c>
      <c r="G10387" t="str">
        <f t="shared" si="1972"/>
        <v>VITOR DE SOUZA SILVA (360)</v>
      </c>
      <c r="H10387" t="s">
        <v>2900</v>
      </c>
      <c r="I10387" t="str">
        <f t="shared" si="1967"/>
        <v>13/11/2025</v>
      </c>
      <c r="J10387" t="str">
        <f t="shared" si="1971"/>
        <v>04/11/2025</v>
      </c>
      <c r="K10387">
        <v>45974</v>
      </c>
      <c r="N10387">
        <v>109</v>
      </c>
      <c r="O10387" t="s">
        <v>24</v>
      </c>
      <c r="Q10387">
        <v>0.39</v>
      </c>
      <c r="R10387" t="str">
        <f>"FARMÁCIA INDIANA LJ 116 (10051)"</f>
        <v>FARMÁCIA INDIANA LJ 116 (10051)</v>
      </c>
      <c r="S10387" t="s">
        <v>48</v>
      </c>
      <c r="T10387">
        <v>21113</v>
      </c>
      <c r="U10387">
        <v>25480</v>
      </c>
      <c r="V10387" t="s">
        <v>48</v>
      </c>
    </row>
    <row r="10388" spans="1:22">
      <c r="A10388" t="str">
        <f t="shared" si="1964"/>
        <v>13/11/2025</v>
      </c>
      <c r="B10388" t="str">
        <f t="shared" si="1968"/>
        <v>SAÍDA</v>
      </c>
      <c r="C10388" t="str">
        <f t="shared" si="1969"/>
        <v>PIX</v>
      </c>
      <c r="D10388" t="str">
        <f>"24821"</f>
        <v>24821</v>
      </c>
      <c r="E10388" t="str">
        <f t="shared" si="1970"/>
        <v>1</v>
      </c>
      <c r="F10388" t="str">
        <f t="shared" si="1966"/>
        <v>COM</v>
      </c>
      <c r="G10388" t="str">
        <f t="shared" si="1972"/>
        <v>VITOR DE SOUZA SILVA (360)</v>
      </c>
      <c r="H10388" t="s">
        <v>2900</v>
      </c>
      <c r="I10388" t="str">
        <f t="shared" si="1967"/>
        <v>13/11/2025</v>
      </c>
      <c r="J10388" t="str">
        <f t="shared" si="1971"/>
        <v>04/11/2025</v>
      </c>
      <c r="K10388">
        <v>45974</v>
      </c>
      <c r="N10388">
        <v>109</v>
      </c>
      <c r="O10388" t="s">
        <v>24</v>
      </c>
      <c r="Q10388">
        <v>3.14</v>
      </c>
      <c r="R10388" t="str">
        <f>"FARMÁCIA INDIANA LJ 121 (10054)"</f>
        <v>FARMÁCIA INDIANA LJ 121 (10054)</v>
      </c>
      <c r="S10388" t="s">
        <v>48</v>
      </c>
      <c r="T10388">
        <v>21113</v>
      </c>
      <c r="U10388">
        <v>25480</v>
      </c>
      <c r="V10388" t="s">
        <v>48</v>
      </c>
    </row>
    <row r="10389" spans="1:22">
      <c r="A10389" t="str">
        <f t="shared" si="1964"/>
        <v>13/11/2025</v>
      </c>
      <c r="B10389" t="str">
        <f t="shared" si="1968"/>
        <v>SAÍDA</v>
      </c>
      <c r="C10389" t="str">
        <f t="shared" si="1969"/>
        <v>PIX</v>
      </c>
      <c r="D10389" t="str">
        <f>"24821"</f>
        <v>24821</v>
      </c>
      <c r="E10389" t="str">
        <f t="shared" si="1970"/>
        <v>1</v>
      </c>
      <c r="F10389" t="str">
        <f t="shared" si="1966"/>
        <v>COM</v>
      </c>
      <c r="G10389" t="str">
        <f t="shared" si="1972"/>
        <v>VITOR DE SOUZA SILVA (360)</v>
      </c>
      <c r="H10389" t="s">
        <v>2900</v>
      </c>
      <c r="I10389" t="str">
        <f t="shared" si="1967"/>
        <v>13/11/2025</v>
      </c>
      <c r="J10389" t="str">
        <f t="shared" si="1971"/>
        <v>04/11/2025</v>
      </c>
      <c r="K10389">
        <v>45974</v>
      </c>
      <c r="N10389">
        <v>109</v>
      </c>
      <c r="O10389" t="s">
        <v>24</v>
      </c>
      <c r="Q10389">
        <v>16.47</v>
      </c>
      <c r="R10389" t="str">
        <f>"FARMÁCIA INDIANA LJ 128 (10057)"</f>
        <v>FARMÁCIA INDIANA LJ 128 (10057)</v>
      </c>
      <c r="S10389" t="s">
        <v>48</v>
      </c>
      <c r="T10389">
        <v>21113</v>
      </c>
      <c r="U10389">
        <v>25480</v>
      </c>
      <c r="V10389" t="s">
        <v>48</v>
      </c>
    </row>
    <row r="10390" spans="1:22">
      <c r="A10390" t="str">
        <f t="shared" si="1964"/>
        <v>13/11/2025</v>
      </c>
      <c r="B10390" t="str">
        <f>"ENTRADA"</f>
        <v>ENTRADA</v>
      </c>
      <c r="C10390" t="str">
        <f>"DINHEIRO"</f>
        <v>DINHEIRO</v>
      </c>
      <c r="D10390" t="str">
        <f>"06"</f>
        <v>06</v>
      </c>
      <c r="E10390" t="str">
        <f>"35"</f>
        <v>35</v>
      </c>
      <c r="F10390" t="str">
        <f t="shared" si="1966"/>
        <v>COM</v>
      </c>
      <c r="G10390" t="str">
        <f t="shared" si="1972"/>
        <v>VITOR DE SOUZA SILVA (360)</v>
      </c>
      <c r="H10390" t="str">
        <f>"DESCONTO COTA COOPERADO"</f>
        <v>DESCONTO COTA COOPERADO</v>
      </c>
      <c r="I10390" t="str">
        <f>("16/11/2025")</f>
        <v>16/11/2025</v>
      </c>
      <c r="J10390" t="str">
        <f>("16/01/2025")</f>
        <v>16/01/2025</v>
      </c>
      <c r="K10390" t="str">
        <f>("13/11/2025")</f>
        <v>13/11/2025</v>
      </c>
      <c r="L10390">
        <v>20</v>
      </c>
      <c r="M10390">
        <v>20</v>
      </c>
      <c r="N10390">
        <v>106</v>
      </c>
      <c r="O10390" t="str">
        <f>"ENTRADA DE CAPITAL"</f>
        <v>ENTRADA DE CAPITAL</v>
      </c>
      <c r="P10390">
        <v>20</v>
      </c>
      <c r="S10390" t="str">
        <f>"ENTRADA DE CAPITAL (106)"</f>
        <v>ENTRADA DE CAPITAL (106)</v>
      </c>
      <c r="T10390">
        <v>21114</v>
      </c>
      <c r="U10390">
        <v>7653</v>
      </c>
      <c r="V10390" t="s">
        <v>48</v>
      </c>
    </row>
    <row r="10391" spans="1:22">
      <c r="A10391" t="str">
        <f t="shared" si="1964"/>
        <v>13/11/2025</v>
      </c>
      <c r="B10391" t="str">
        <f>"ENTRADA"</f>
        <v>ENTRADA</v>
      </c>
      <c r="C10391" t="str">
        <f>"DINHEIRO"</f>
        <v>DINHEIRO</v>
      </c>
      <c r="D10391" t="str">
        <f>"06"</f>
        <v>06</v>
      </c>
      <c r="E10391" t="str">
        <f>"35"</f>
        <v>35</v>
      </c>
      <c r="F10391" t="str">
        <f t="shared" si="1966"/>
        <v>COM</v>
      </c>
      <c r="G10391" t="str">
        <f t="shared" si="1972"/>
        <v>VITOR DE SOUZA SILVA (360)</v>
      </c>
      <c r="H10391" t="s">
        <v>309</v>
      </c>
      <c r="I10391" t="str">
        <f>("16/11/2025")</f>
        <v>16/11/2025</v>
      </c>
      <c r="J10391" t="str">
        <f>("16/01/2025")</f>
        <v>16/01/2025</v>
      </c>
      <c r="K10391">
        <v>45974</v>
      </c>
      <c r="N10391">
        <v>106</v>
      </c>
      <c r="O10391" t="s">
        <v>51</v>
      </c>
      <c r="Q10391">
        <v>20</v>
      </c>
      <c r="R10391" t="str">
        <f>"VITOR DE SOUZA SILVA (360)"</f>
        <v>VITOR DE SOUZA SILVA (360)</v>
      </c>
      <c r="S10391" t="s">
        <v>52</v>
      </c>
      <c r="T10391">
        <v>21114</v>
      </c>
      <c r="U10391">
        <v>7653</v>
      </c>
      <c r="V10391" t="s">
        <v>48</v>
      </c>
    </row>
    <row r="10392" spans="1:22">
      <c r="A10392" t="str">
        <f t="shared" si="1964"/>
        <v>13/11/2025</v>
      </c>
      <c r="B10392" t="str">
        <f>"SAÍDA"</f>
        <v>SAÍDA</v>
      </c>
      <c r="C10392" t="str">
        <f>"PIX"</f>
        <v>PIX</v>
      </c>
      <c r="D10392" t="str">
        <f>"24824"</f>
        <v>24824</v>
      </c>
      <c r="E10392" t="str">
        <f>"1"</f>
        <v>1</v>
      </c>
      <c r="F10392" t="str">
        <f t="shared" si="1966"/>
        <v>COM</v>
      </c>
      <c r="G10392" t="str">
        <f>"WARLEN JUNIO ELIAS DE OLIVEIRA (171)"</f>
        <v>WARLEN JUNIO ELIAS DE OLIVEIRA (171)</v>
      </c>
      <c r="H10392" t="str">
        <f>"Serv.Prest. 24/10/2025 a 02/11/2025 - PIX: CELULAR - CHAVE: (31) 97251-6838"</f>
        <v>Serv.Prest. 24/10/2025 a 02/11/2025 - PIX: CELULAR - CHAVE: (31) 97251-6838</v>
      </c>
      <c r="I10392" t="str">
        <f>("13/11/2025")</f>
        <v>13/11/2025</v>
      </c>
      <c r="J10392" t="str">
        <f>("04/11/2025")</f>
        <v>04/11/2025</v>
      </c>
      <c r="K10392" t="str">
        <f>("13/11/2025")</f>
        <v>13/11/2025</v>
      </c>
      <c r="L10392">
        <v>20</v>
      </c>
      <c r="M10392">
        <v>20</v>
      </c>
      <c r="N10392">
        <v>109</v>
      </c>
      <c r="O10392" t="str">
        <f>"PAGAMENTO DE ENTREGADORES"</f>
        <v>PAGAMENTO DE ENTREGADORES</v>
      </c>
      <c r="P10392">
        <v>20</v>
      </c>
      <c r="S10392" t="str">
        <f>"CAIXA MOVIMENTAÇÃO OPERACIONAL (132)"</f>
        <v>CAIXA MOVIMENTAÇÃO OPERACIONAL (132)</v>
      </c>
      <c r="T10392">
        <v>21115</v>
      </c>
      <c r="U10392">
        <v>25481</v>
      </c>
      <c r="V10392" t="s">
        <v>48</v>
      </c>
    </row>
    <row r="10393" spans="1:22">
      <c r="A10393" t="str">
        <f t="shared" si="1964"/>
        <v>13/11/2025</v>
      </c>
      <c r="B10393" t="str">
        <f>"SAÍDA"</f>
        <v>SAÍDA</v>
      </c>
      <c r="C10393" t="str">
        <f>"PIX"</f>
        <v>PIX</v>
      </c>
      <c r="D10393" t="str">
        <f>"24824"</f>
        <v>24824</v>
      </c>
      <c r="E10393" t="str">
        <f>"1"</f>
        <v>1</v>
      </c>
      <c r="F10393" t="str">
        <f t="shared" si="1966"/>
        <v>COM</v>
      </c>
      <c r="G10393" t="str">
        <f>"WARLEN JUNIO ELIAS DE OLIVEIRA (171)"</f>
        <v>WARLEN JUNIO ELIAS DE OLIVEIRA (171)</v>
      </c>
      <c r="H10393" t="s">
        <v>2901</v>
      </c>
      <c r="I10393" t="str">
        <f>("13/11/2025")</f>
        <v>13/11/2025</v>
      </c>
      <c r="J10393" t="str">
        <f>("04/11/2025")</f>
        <v>04/11/2025</v>
      </c>
      <c r="K10393">
        <v>45974</v>
      </c>
      <c r="N10393">
        <v>109</v>
      </c>
      <c r="O10393" t="s">
        <v>24</v>
      </c>
      <c r="Q10393">
        <v>20</v>
      </c>
      <c r="R10393" t="str">
        <f>"FARMÁCIA INDIANA LJ 175 (10076)"</f>
        <v>FARMÁCIA INDIANA LJ 175 (10076)</v>
      </c>
      <c r="S10393" t="s">
        <v>48</v>
      </c>
      <c r="T10393">
        <v>21115</v>
      </c>
      <c r="U10393">
        <v>25481</v>
      </c>
      <c r="V10393" t="s">
        <v>48</v>
      </c>
    </row>
    <row r="10394" spans="1:22">
      <c r="A10394" t="str">
        <f t="shared" si="1964"/>
        <v>13/11/2025</v>
      </c>
      <c r="B10394" t="str">
        <f>"ENTRADA"</f>
        <v>ENTRADA</v>
      </c>
      <c r="C10394" t="str">
        <f>"DINHEIRO"</f>
        <v>DINHEIRO</v>
      </c>
      <c r="D10394" t="str">
        <f>"11"</f>
        <v>11</v>
      </c>
      <c r="E10394" t="str">
        <f>"35"</f>
        <v>35</v>
      </c>
      <c r="F10394" t="str">
        <f t="shared" si="1966"/>
        <v>COM</v>
      </c>
      <c r="G10394" t="str">
        <f>"WARLEN JUNIO ELIAS DE OLIVEIRA (171)"</f>
        <v>WARLEN JUNIO ELIAS DE OLIVEIRA (171)</v>
      </c>
      <c r="H10394" t="str">
        <f>"DESCONTO COTA COOPERADO"</f>
        <v>DESCONTO COTA COOPERADO</v>
      </c>
      <c r="I10394" t="str">
        <f>("16/11/2025")</f>
        <v>16/11/2025</v>
      </c>
      <c r="J10394" t="str">
        <f>("16/01/2025")</f>
        <v>16/01/2025</v>
      </c>
      <c r="K10394" t="str">
        <f>("13/11/2025")</f>
        <v>13/11/2025</v>
      </c>
      <c r="L10394">
        <v>20</v>
      </c>
      <c r="M10394">
        <v>20</v>
      </c>
      <c r="N10394">
        <v>106</v>
      </c>
      <c r="O10394" t="str">
        <f>"ENTRADA DE CAPITAL"</f>
        <v>ENTRADA DE CAPITAL</v>
      </c>
      <c r="P10394">
        <v>20</v>
      </c>
      <c r="S10394" t="str">
        <f>"ENTRADA DE CAPITAL (106)"</f>
        <v>ENTRADA DE CAPITAL (106)</v>
      </c>
      <c r="T10394">
        <v>21116</v>
      </c>
      <c r="U10394">
        <v>7695</v>
      </c>
      <c r="V10394" t="s">
        <v>48</v>
      </c>
    </row>
    <row r="10395" spans="1:22">
      <c r="A10395" t="str">
        <f t="shared" si="1964"/>
        <v>13/11/2025</v>
      </c>
      <c r="B10395" t="str">
        <f>"ENTRADA"</f>
        <v>ENTRADA</v>
      </c>
      <c r="C10395" t="str">
        <f>"DINHEIRO"</f>
        <v>DINHEIRO</v>
      </c>
      <c r="D10395" t="str">
        <f>"11"</f>
        <v>11</v>
      </c>
      <c r="E10395" t="str">
        <f>"35"</f>
        <v>35</v>
      </c>
      <c r="F10395" t="str">
        <f t="shared" si="1966"/>
        <v>COM</v>
      </c>
      <c r="G10395" t="str">
        <f>"WARLEN JUNIO ELIAS DE OLIVEIRA (171)"</f>
        <v>WARLEN JUNIO ELIAS DE OLIVEIRA (171)</v>
      </c>
      <c r="H10395" t="s">
        <v>309</v>
      </c>
      <c r="I10395" t="str">
        <f>("16/11/2025")</f>
        <v>16/11/2025</v>
      </c>
      <c r="J10395" t="str">
        <f>("16/01/2025")</f>
        <v>16/01/2025</v>
      </c>
      <c r="K10395">
        <v>45974</v>
      </c>
      <c r="N10395">
        <v>106</v>
      </c>
      <c r="O10395" t="s">
        <v>51</v>
      </c>
      <c r="Q10395">
        <v>20</v>
      </c>
      <c r="R10395" t="str">
        <f>"WARLEN JUNIO ELIAS DE OLIVEIRA (171)"</f>
        <v>WARLEN JUNIO ELIAS DE OLIVEIRA (171)</v>
      </c>
      <c r="S10395" t="s">
        <v>52</v>
      </c>
      <c r="T10395">
        <v>21116</v>
      </c>
      <c r="U10395">
        <v>7695</v>
      </c>
      <c r="V10395" t="s">
        <v>48</v>
      </c>
    </row>
    <row r="10396" spans="1:22">
      <c r="A10396" t="str">
        <f t="shared" si="1964"/>
        <v>13/11/2025</v>
      </c>
      <c r="B10396" t="str">
        <f>"SAÍDA"</f>
        <v>SAÍDA</v>
      </c>
      <c r="C10396" t="str">
        <f>"PIX"</f>
        <v>PIX</v>
      </c>
      <c r="D10396" t="str">
        <f>"24826"</f>
        <v>24826</v>
      </c>
      <c r="E10396" t="str">
        <f>"1"</f>
        <v>1</v>
      </c>
      <c r="F10396" t="str">
        <f t="shared" si="1966"/>
        <v>COM</v>
      </c>
      <c r="G10396" t="str">
        <f t="shared" ref="G10396:G10401" si="1973">"WELLINGTON DOS SANTOS ALVES (438)"</f>
        <v>WELLINGTON DOS SANTOS ALVES (438)</v>
      </c>
      <c r="H10396" t="str">
        <f>"Serv.Prest. 24/10/2025 a 02/11/2025 - PIX: CELULAR - CHAVE: (32) 99800-1691"</f>
        <v>Serv.Prest. 24/10/2025 a 02/11/2025 - PIX: CELULAR - CHAVE: (32) 99800-1691</v>
      </c>
      <c r="I10396" t="str">
        <f>("13/11/2025")</f>
        <v>13/11/2025</v>
      </c>
      <c r="J10396" t="str">
        <f>("04/11/2025")</f>
        <v>04/11/2025</v>
      </c>
      <c r="K10396" t="str">
        <f>("13/11/2025")</f>
        <v>13/11/2025</v>
      </c>
      <c r="L10396">
        <v>20</v>
      </c>
      <c r="M10396">
        <v>20</v>
      </c>
      <c r="N10396">
        <v>109</v>
      </c>
      <c r="O10396" t="str">
        <f>"PAGAMENTO DE ENTREGADORES"</f>
        <v>PAGAMENTO DE ENTREGADORES</v>
      </c>
      <c r="P10396">
        <v>20</v>
      </c>
      <c r="S10396" t="str">
        <f>"CAIXA MOVIMENTAÇÃO OPERACIONAL (132)"</f>
        <v>CAIXA MOVIMENTAÇÃO OPERACIONAL (132)</v>
      </c>
      <c r="T10396">
        <v>21117</v>
      </c>
      <c r="U10396">
        <v>25482</v>
      </c>
      <c r="V10396" t="s">
        <v>48</v>
      </c>
    </row>
    <row r="10397" spans="1:22">
      <c r="A10397" t="str">
        <f t="shared" si="1964"/>
        <v>13/11/2025</v>
      </c>
      <c r="B10397" t="str">
        <f>"SAÍDA"</f>
        <v>SAÍDA</v>
      </c>
      <c r="C10397" t="str">
        <f>"PIX"</f>
        <v>PIX</v>
      </c>
      <c r="D10397" t="str">
        <f>"24826"</f>
        <v>24826</v>
      </c>
      <c r="E10397" t="str">
        <f>"1"</f>
        <v>1</v>
      </c>
      <c r="F10397" t="str">
        <f t="shared" si="1966"/>
        <v>COM</v>
      </c>
      <c r="G10397" t="str">
        <f t="shared" si="1973"/>
        <v>WELLINGTON DOS SANTOS ALVES (438)</v>
      </c>
      <c r="H10397" t="s">
        <v>2902</v>
      </c>
      <c r="I10397" t="str">
        <f>("13/11/2025")</f>
        <v>13/11/2025</v>
      </c>
      <c r="J10397" t="str">
        <f>("04/11/2025")</f>
        <v>04/11/2025</v>
      </c>
      <c r="K10397">
        <v>45974</v>
      </c>
      <c r="N10397">
        <v>109</v>
      </c>
      <c r="O10397" t="s">
        <v>24</v>
      </c>
      <c r="Q10397">
        <v>9.82</v>
      </c>
      <c r="R10397" t="str">
        <f>"FARMÁCIA INDIANA LJ 112 (10050)"</f>
        <v>FARMÁCIA INDIANA LJ 112 (10050)</v>
      </c>
      <c r="S10397" t="s">
        <v>48</v>
      </c>
      <c r="T10397">
        <v>21117</v>
      </c>
      <c r="U10397">
        <v>25482</v>
      </c>
      <c r="V10397" t="s">
        <v>48</v>
      </c>
    </row>
    <row r="10398" spans="1:22">
      <c r="A10398" t="str">
        <f t="shared" si="1964"/>
        <v>13/11/2025</v>
      </c>
      <c r="B10398" t="str">
        <f>"SAÍDA"</f>
        <v>SAÍDA</v>
      </c>
      <c r="C10398" t="str">
        <f>"PIX"</f>
        <v>PIX</v>
      </c>
      <c r="D10398" t="str">
        <f>"24826"</f>
        <v>24826</v>
      </c>
      <c r="E10398" t="str">
        <f>"1"</f>
        <v>1</v>
      </c>
      <c r="F10398" t="str">
        <f t="shared" si="1966"/>
        <v>COM</v>
      </c>
      <c r="G10398" t="str">
        <f t="shared" si="1973"/>
        <v>WELLINGTON DOS SANTOS ALVES (438)</v>
      </c>
      <c r="H10398" t="s">
        <v>2902</v>
      </c>
      <c r="I10398" t="str">
        <f>("13/11/2025")</f>
        <v>13/11/2025</v>
      </c>
      <c r="J10398" t="str">
        <f>("04/11/2025")</f>
        <v>04/11/2025</v>
      </c>
      <c r="K10398">
        <v>45974</v>
      </c>
      <c r="N10398">
        <v>109</v>
      </c>
      <c r="O10398" t="s">
        <v>24</v>
      </c>
      <c r="Q10398">
        <v>0.54</v>
      </c>
      <c r="R10398" t="str">
        <f>"FARMÁCIA INDIANA LJ 121 (10054)"</f>
        <v>FARMÁCIA INDIANA LJ 121 (10054)</v>
      </c>
      <c r="S10398" t="s">
        <v>48</v>
      </c>
      <c r="T10398">
        <v>21117</v>
      </c>
      <c r="U10398">
        <v>25482</v>
      </c>
      <c r="V10398" t="s">
        <v>48</v>
      </c>
    </row>
    <row r="10399" spans="1:22">
      <c r="A10399" t="str">
        <f t="shared" ref="A10399:A10462" si="1974">("13/11/2025")</f>
        <v>13/11/2025</v>
      </c>
      <c r="B10399" t="str">
        <f>"SAÍDA"</f>
        <v>SAÍDA</v>
      </c>
      <c r="C10399" t="str">
        <f>"PIX"</f>
        <v>PIX</v>
      </c>
      <c r="D10399" t="str">
        <f>"24826"</f>
        <v>24826</v>
      </c>
      <c r="E10399" t="str">
        <f>"1"</f>
        <v>1</v>
      </c>
      <c r="F10399" t="str">
        <f t="shared" si="1966"/>
        <v>COM</v>
      </c>
      <c r="G10399" t="str">
        <f t="shared" si="1973"/>
        <v>WELLINGTON DOS SANTOS ALVES (438)</v>
      </c>
      <c r="H10399" t="s">
        <v>2902</v>
      </c>
      <c r="I10399" t="str">
        <f>("13/11/2025")</f>
        <v>13/11/2025</v>
      </c>
      <c r="J10399" t="str">
        <f>("04/11/2025")</f>
        <v>04/11/2025</v>
      </c>
      <c r="K10399">
        <v>45974</v>
      </c>
      <c r="N10399">
        <v>109</v>
      </c>
      <c r="O10399" t="s">
        <v>24</v>
      </c>
      <c r="Q10399">
        <v>9.64</v>
      </c>
      <c r="R10399" t="str">
        <f>"FARMÁCIA INDIANA LJ 128 (10057)"</f>
        <v>FARMÁCIA INDIANA LJ 128 (10057)</v>
      </c>
      <c r="S10399" t="s">
        <v>48</v>
      </c>
      <c r="T10399">
        <v>21117</v>
      </c>
      <c r="U10399">
        <v>25482</v>
      </c>
      <c r="V10399" t="s">
        <v>48</v>
      </c>
    </row>
    <row r="10400" spans="1:22">
      <c r="A10400" t="str">
        <f t="shared" si="1974"/>
        <v>13/11/2025</v>
      </c>
      <c r="B10400" t="str">
        <f>"ENTRADA"</f>
        <v>ENTRADA</v>
      </c>
      <c r="C10400" t="str">
        <f>"DINHEIRO"</f>
        <v>DINHEIRO</v>
      </c>
      <c r="D10400" t="str">
        <f>"04"</f>
        <v>04</v>
      </c>
      <c r="E10400" t="str">
        <f>"35"</f>
        <v>35</v>
      </c>
      <c r="F10400" t="str">
        <f t="shared" si="1966"/>
        <v>COM</v>
      </c>
      <c r="G10400" t="str">
        <f t="shared" si="1973"/>
        <v>WELLINGTON DOS SANTOS ALVES (438)</v>
      </c>
      <c r="H10400" t="str">
        <f>"DESCONTO COTA COOPERADO"</f>
        <v>DESCONTO COTA COOPERADO</v>
      </c>
      <c r="I10400" t="str">
        <f>("16/11/2025")</f>
        <v>16/11/2025</v>
      </c>
      <c r="J10400" t="str">
        <f>("16/01/2025")</f>
        <v>16/01/2025</v>
      </c>
      <c r="K10400" t="str">
        <f>("13/11/2025")</f>
        <v>13/11/2025</v>
      </c>
      <c r="L10400">
        <v>20</v>
      </c>
      <c r="M10400">
        <v>20</v>
      </c>
      <c r="N10400">
        <v>106</v>
      </c>
      <c r="O10400" t="str">
        <f>"ENTRADA DE CAPITAL"</f>
        <v>ENTRADA DE CAPITAL</v>
      </c>
      <c r="P10400">
        <v>20</v>
      </c>
      <c r="S10400" t="str">
        <f>"ENTRADA DE CAPITAL (106)"</f>
        <v>ENTRADA DE CAPITAL (106)</v>
      </c>
      <c r="T10400">
        <v>21118</v>
      </c>
      <c r="U10400">
        <v>7743</v>
      </c>
      <c r="V10400" t="s">
        <v>48</v>
      </c>
    </row>
    <row r="10401" spans="1:22">
      <c r="A10401" t="str">
        <f t="shared" si="1974"/>
        <v>13/11/2025</v>
      </c>
      <c r="B10401" t="str">
        <f>"ENTRADA"</f>
        <v>ENTRADA</v>
      </c>
      <c r="C10401" t="str">
        <f>"DINHEIRO"</f>
        <v>DINHEIRO</v>
      </c>
      <c r="D10401" t="str">
        <f>"04"</f>
        <v>04</v>
      </c>
      <c r="E10401" t="str">
        <f>"35"</f>
        <v>35</v>
      </c>
      <c r="F10401" t="str">
        <f t="shared" si="1966"/>
        <v>COM</v>
      </c>
      <c r="G10401" t="str">
        <f t="shared" si="1973"/>
        <v>WELLINGTON DOS SANTOS ALVES (438)</v>
      </c>
      <c r="H10401" t="s">
        <v>309</v>
      </c>
      <c r="I10401" t="str">
        <f>("16/11/2025")</f>
        <v>16/11/2025</v>
      </c>
      <c r="J10401" t="str">
        <f>("16/01/2025")</f>
        <v>16/01/2025</v>
      </c>
      <c r="K10401">
        <v>45974</v>
      </c>
      <c r="N10401">
        <v>106</v>
      </c>
      <c r="O10401" t="s">
        <v>51</v>
      </c>
      <c r="Q10401">
        <v>20</v>
      </c>
      <c r="R10401" t="str">
        <f>"WELLINGTON DOS SANTOS ALVES (438)"</f>
        <v>WELLINGTON DOS SANTOS ALVES (438)</v>
      </c>
      <c r="S10401" t="s">
        <v>52</v>
      </c>
      <c r="T10401">
        <v>21118</v>
      </c>
      <c r="U10401">
        <v>7743</v>
      </c>
      <c r="V10401" t="s">
        <v>48</v>
      </c>
    </row>
    <row r="10402" spans="1:22">
      <c r="A10402" t="str">
        <f t="shared" si="1974"/>
        <v>13/11/2025</v>
      </c>
      <c r="B10402" t="str">
        <f>"SAÍDA"</f>
        <v>SAÍDA</v>
      </c>
      <c r="C10402" t="str">
        <f>"PIX"</f>
        <v>PIX</v>
      </c>
      <c r="D10402" t="str">
        <f>"24828"</f>
        <v>24828</v>
      </c>
      <c r="E10402" t="str">
        <f>"1"</f>
        <v>1</v>
      </c>
      <c r="F10402" t="str">
        <f t="shared" si="1966"/>
        <v>COM</v>
      </c>
      <c r="G10402" t="str">
        <f>"WEMERSON FELIPE LOPES (187)"</f>
        <v>WEMERSON FELIPE LOPES (187)</v>
      </c>
      <c r="H10402" t="str">
        <f>"Serv.Prest. 24/10/2025 a 02/11/2025 - PIX: CELULAR - CHAVE: (33) 98806-5772"</f>
        <v>Serv.Prest. 24/10/2025 a 02/11/2025 - PIX: CELULAR - CHAVE: (33) 98806-5772</v>
      </c>
      <c r="I10402" t="str">
        <f>("13/11/2025")</f>
        <v>13/11/2025</v>
      </c>
      <c r="J10402" t="str">
        <f>("04/11/2025")</f>
        <v>04/11/2025</v>
      </c>
      <c r="K10402" t="str">
        <f>("13/11/2025")</f>
        <v>13/11/2025</v>
      </c>
      <c r="L10402">
        <v>20</v>
      </c>
      <c r="M10402">
        <v>20</v>
      </c>
      <c r="N10402">
        <v>109</v>
      </c>
      <c r="O10402" t="str">
        <f>"PAGAMENTO DE ENTREGADORES"</f>
        <v>PAGAMENTO DE ENTREGADORES</v>
      </c>
      <c r="P10402">
        <v>20</v>
      </c>
      <c r="S10402" t="str">
        <f>"CAIXA MOVIMENTAÇÃO OPERACIONAL (132)"</f>
        <v>CAIXA MOVIMENTAÇÃO OPERACIONAL (132)</v>
      </c>
      <c r="T10402">
        <v>21119</v>
      </c>
      <c r="U10402">
        <v>25483</v>
      </c>
      <c r="V10402" t="s">
        <v>48</v>
      </c>
    </row>
    <row r="10403" spans="1:22">
      <c r="A10403" t="str">
        <f t="shared" si="1974"/>
        <v>13/11/2025</v>
      </c>
      <c r="B10403" t="str">
        <f>"SAÍDA"</f>
        <v>SAÍDA</v>
      </c>
      <c r="C10403" t="str">
        <f>"PIX"</f>
        <v>PIX</v>
      </c>
      <c r="D10403" t="str">
        <f>"24828"</f>
        <v>24828</v>
      </c>
      <c r="E10403" t="str">
        <f>"1"</f>
        <v>1</v>
      </c>
      <c r="F10403" t="str">
        <f t="shared" si="1966"/>
        <v>COM</v>
      </c>
      <c r="G10403" t="str">
        <f>"WEMERSON FELIPE LOPES (187)"</f>
        <v>WEMERSON FELIPE LOPES (187)</v>
      </c>
      <c r="H10403" t="s">
        <v>2903</v>
      </c>
      <c r="I10403" t="str">
        <f>("13/11/2025")</f>
        <v>13/11/2025</v>
      </c>
      <c r="J10403" t="str">
        <f>("04/11/2025")</f>
        <v>04/11/2025</v>
      </c>
      <c r="K10403">
        <v>45974</v>
      </c>
      <c r="N10403">
        <v>109</v>
      </c>
      <c r="O10403" t="s">
        <v>24</v>
      </c>
      <c r="Q10403">
        <v>20</v>
      </c>
      <c r="R10403" t="str">
        <f>"FARMÁCIA INDIANA LJ 06 (10006)"</f>
        <v>FARMÁCIA INDIANA LJ 06 (10006)</v>
      </c>
      <c r="S10403" t="s">
        <v>48</v>
      </c>
      <c r="T10403">
        <v>21119</v>
      </c>
      <c r="U10403">
        <v>25483</v>
      </c>
      <c r="V10403" t="s">
        <v>48</v>
      </c>
    </row>
    <row r="10404" spans="1:22">
      <c r="A10404" t="str">
        <f t="shared" si="1974"/>
        <v>13/11/2025</v>
      </c>
      <c r="B10404" t="str">
        <f>"ENTRADA"</f>
        <v>ENTRADA</v>
      </c>
      <c r="C10404" t="str">
        <f>"DINHEIRO"</f>
        <v>DINHEIRO</v>
      </c>
      <c r="D10404" t="str">
        <f>"11"</f>
        <v>11</v>
      </c>
      <c r="E10404" t="str">
        <f>"35"</f>
        <v>35</v>
      </c>
      <c r="F10404" t="str">
        <f t="shared" si="1966"/>
        <v>COM</v>
      </c>
      <c r="G10404" t="str">
        <f>"WEMERSON FELIPE LOPES (187)"</f>
        <v>WEMERSON FELIPE LOPES (187)</v>
      </c>
      <c r="H10404" t="str">
        <f>"DESCONTO COTA COOPERADO"</f>
        <v>DESCONTO COTA COOPERADO</v>
      </c>
      <c r="I10404" t="str">
        <f>("16/11/2025")</f>
        <v>16/11/2025</v>
      </c>
      <c r="J10404" t="str">
        <f>("16/01/2025")</f>
        <v>16/01/2025</v>
      </c>
      <c r="K10404" t="str">
        <f>("13/11/2025")</f>
        <v>13/11/2025</v>
      </c>
      <c r="L10404">
        <v>20</v>
      </c>
      <c r="M10404">
        <v>20</v>
      </c>
      <c r="N10404">
        <v>106</v>
      </c>
      <c r="O10404" t="str">
        <f>"ENTRADA DE CAPITAL"</f>
        <v>ENTRADA DE CAPITAL</v>
      </c>
      <c r="P10404">
        <v>20</v>
      </c>
      <c r="S10404" t="str">
        <f>"ENTRADA DE CAPITAL (106)"</f>
        <v>ENTRADA DE CAPITAL (106)</v>
      </c>
      <c r="T10404">
        <v>21120</v>
      </c>
      <c r="U10404">
        <v>7768</v>
      </c>
      <c r="V10404" t="s">
        <v>48</v>
      </c>
    </row>
    <row r="10405" spans="1:22">
      <c r="A10405" t="str">
        <f t="shared" si="1974"/>
        <v>13/11/2025</v>
      </c>
      <c r="B10405" t="str">
        <f>"ENTRADA"</f>
        <v>ENTRADA</v>
      </c>
      <c r="C10405" t="str">
        <f>"DINHEIRO"</f>
        <v>DINHEIRO</v>
      </c>
      <c r="D10405" t="str">
        <f>"11"</f>
        <v>11</v>
      </c>
      <c r="E10405" t="str">
        <f>"35"</f>
        <v>35</v>
      </c>
      <c r="F10405" t="str">
        <f t="shared" si="1966"/>
        <v>COM</v>
      </c>
      <c r="G10405" t="str">
        <f>"WEMERSON FELIPE LOPES (187)"</f>
        <v>WEMERSON FELIPE LOPES (187)</v>
      </c>
      <c r="H10405" t="s">
        <v>309</v>
      </c>
      <c r="I10405" t="str">
        <f>("16/11/2025")</f>
        <v>16/11/2025</v>
      </c>
      <c r="J10405" t="str">
        <f>("16/01/2025")</f>
        <v>16/01/2025</v>
      </c>
      <c r="K10405">
        <v>45974</v>
      </c>
      <c r="N10405">
        <v>106</v>
      </c>
      <c r="O10405" t="s">
        <v>51</v>
      </c>
      <c r="Q10405">
        <v>20</v>
      </c>
      <c r="R10405" t="str">
        <f>"WEMERSON FELIPE LOPES (187)"</f>
        <v>WEMERSON FELIPE LOPES (187)</v>
      </c>
      <c r="S10405" t="s">
        <v>52</v>
      </c>
      <c r="T10405">
        <v>21120</v>
      </c>
      <c r="U10405">
        <v>7768</v>
      </c>
      <c r="V10405" t="s">
        <v>48</v>
      </c>
    </row>
    <row r="10406" spans="1:22">
      <c r="A10406" t="str">
        <f t="shared" si="1974"/>
        <v>13/11/2025</v>
      </c>
      <c r="B10406" t="str">
        <f>"SAÍDA"</f>
        <v>SAÍDA</v>
      </c>
      <c r="C10406" t="str">
        <f>"PIX"</f>
        <v>PIX</v>
      </c>
      <c r="D10406" t="str">
        <f>"24830"</f>
        <v>24830</v>
      </c>
      <c r="E10406" t="str">
        <f>"1"</f>
        <v>1</v>
      </c>
      <c r="F10406" t="str">
        <f t="shared" si="1966"/>
        <v>COM</v>
      </c>
      <c r="G10406" t="str">
        <f>"WENDEL LIMA DE SOUZA (112)"</f>
        <v>WENDEL LIMA DE SOUZA (112)</v>
      </c>
      <c r="H10406" t="str">
        <f>"Serv.Prest. 24/10/2025 a 02/11/2025 - PIX: CPF - CHAVE: 012.906.122-00"</f>
        <v>Serv.Prest. 24/10/2025 a 02/11/2025 - PIX: CPF - CHAVE: 012.906.122-00</v>
      </c>
      <c r="I10406" t="str">
        <f>("13/11/2025")</f>
        <v>13/11/2025</v>
      </c>
      <c r="J10406" t="str">
        <f>("04/11/2025")</f>
        <v>04/11/2025</v>
      </c>
      <c r="K10406" t="str">
        <f>("13/11/2025")</f>
        <v>13/11/2025</v>
      </c>
      <c r="L10406">
        <v>20</v>
      </c>
      <c r="M10406">
        <v>20</v>
      </c>
      <c r="N10406">
        <v>109</v>
      </c>
      <c r="O10406" t="str">
        <f>"PAGAMENTO DE ENTREGADORES"</f>
        <v>PAGAMENTO DE ENTREGADORES</v>
      </c>
      <c r="P10406">
        <v>20</v>
      </c>
      <c r="S10406" t="str">
        <f>"CAIXA MOVIMENTAÇÃO OPERACIONAL (132)"</f>
        <v>CAIXA MOVIMENTAÇÃO OPERACIONAL (132)</v>
      </c>
      <c r="T10406">
        <v>21121</v>
      </c>
      <c r="U10406">
        <v>25484</v>
      </c>
      <c r="V10406" t="s">
        <v>48</v>
      </c>
    </row>
    <row r="10407" spans="1:22">
      <c r="A10407" t="str">
        <f t="shared" si="1974"/>
        <v>13/11/2025</v>
      </c>
      <c r="B10407" t="str">
        <f>"SAÍDA"</f>
        <v>SAÍDA</v>
      </c>
      <c r="C10407" t="str">
        <f>"PIX"</f>
        <v>PIX</v>
      </c>
      <c r="D10407" t="str">
        <f>"24830"</f>
        <v>24830</v>
      </c>
      <c r="E10407" t="str">
        <f>"1"</f>
        <v>1</v>
      </c>
      <c r="F10407" t="str">
        <f t="shared" si="1966"/>
        <v>COM</v>
      </c>
      <c r="G10407" t="str">
        <f>"WENDEL LIMA DE SOUZA (112)"</f>
        <v>WENDEL LIMA DE SOUZA (112)</v>
      </c>
      <c r="H10407" t="s">
        <v>2904</v>
      </c>
      <c r="I10407" t="str">
        <f>("13/11/2025")</f>
        <v>13/11/2025</v>
      </c>
      <c r="J10407" t="str">
        <f>("04/11/2025")</f>
        <v>04/11/2025</v>
      </c>
      <c r="K10407">
        <v>45974</v>
      </c>
      <c r="N10407">
        <v>109</v>
      </c>
      <c r="O10407" t="s">
        <v>24</v>
      </c>
      <c r="Q10407">
        <v>20</v>
      </c>
      <c r="R10407" t="str">
        <f>"FARMÁCIA INDIANA LJ 11 (10008)"</f>
        <v>FARMÁCIA INDIANA LJ 11 (10008)</v>
      </c>
      <c r="S10407" t="s">
        <v>48</v>
      </c>
      <c r="T10407">
        <v>21121</v>
      </c>
      <c r="U10407">
        <v>25484</v>
      </c>
      <c r="V10407" t="s">
        <v>48</v>
      </c>
    </row>
    <row r="10408" spans="1:22">
      <c r="A10408" t="str">
        <f t="shared" si="1974"/>
        <v>13/11/2025</v>
      </c>
      <c r="B10408" t="str">
        <f>"ENTRADA"</f>
        <v>ENTRADA</v>
      </c>
      <c r="C10408" t="str">
        <f>"DINHEIRO"</f>
        <v>DINHEIRO</v>
      </c>
      <c r="D10408" t="str">
        <f>"10"</f>
        <v>10</v>
      </c>
      <c r="E10408" t="str">
        <f>"34"</f>
        <v>34</v>
      </c>
      <c r="F10408" t="str">
        <f t="shared" si="1966"/>
        <v>COM</v>
      </c>
      <c r="G10408" t="str">
        <f>"WENDEL LIMA DE SOUZA (112)"</f>
        <v>WENDEL LIMA DE SOUZA (112)</v>
      </c>
      <c r="H10408" t="str">
        <f>"DESCONTO COTA COOPERADO"</f>
        <v>DESCONTO COTA COOPERADO</v>
      </c>
      <c r="I10408" t="str">
        <f>("16/11/2025")</f>
        <v>16/11/2025</v>
      </c>
      <c r="J10408" t="str">
        <f>("16/01/2025")</f>
        <v>16/01/2025</v>
      </c>
      <c r="K10408" t="str">
        <f>("13/11/2025")</f>
        <v>13/11/2025</v>
      </c>
      <c r="L10408">
        <v>20</v>
      </c>
      <c r="M10408">
        <v>20</v>
      </c>
      <c r="N10408">
        <v>106</v>
      </c>
      <c r="O10408" t="str">
        <f>"ENTRADA DE CAPITAL"</f>
        <v>ENTRADA DE CAPITAL</v>
      </c>
      <c r="P10408">
        <v>20</v>
      </c>
      <c r="S10408" t="str">
        <f>"ENTRADA DE CAPITAL (106)"</f>
        <v>ENTRADA DE CAPITAL (106)</v>
      </c>
      <c r="T10408">
        <v>21122</v>
      </c>
      <c r="U10408">
        <v>7791</v>
      </c>
      <c r="V10408" t="s">
        <v>48</v>
      </c>
    </row>
    <row r="10409" spans="1:22">
      <c r="A10409" t="str">
        <f t="shared" si="1974"/>
        <v>13/11/2025</v>
      </c>
      <c r="B10409" t="str">
        <f>"ENTRADA"</f>
        <v>ENTRADA</v>
      </c>
      <c r="C10409" t="str">
        <f>"DINHEIRO"</f>
        <v>DINHEIRO</v>
      </c>
      <c r="D10409" t="str">
        <f>"10"</f>
        <v>10</v>
      </c>
      <c r="E10409" t="str">
        <f>"34"</f>
        <v>34</v>
      </c>
      <c r="F10409" t="str">
        <f t="shared" si="1966"/>
        <v>COM</v>
      </c>
      <c r="G10409" t="str">
        <f>"WENDEL LIMA DE SOUZA (112)"</f>
        <v>WENDEL LIMA DE SOUZA (112)</v>
      </c>
      <c r="H10409" t="s">
        <v>309</v>
      </c>
      <c r="I10409" t="str">
        <f>("16/11/2025")</f>
        <v>16/11/2025</v>
      </c>
      <c r="J10409" t="str">
        <f>("16/01/2025")</f>
        <v>16/01/2025</v>
      </c>
      <c r="K10409">
        <v>45974</v>
      </c>
      <c r="N10409">
        <v>106</v>
      </c>
      <c r="O10409" t="s">
        <v>51</v>
      </c>
      <c r="Q10409">
        <v>20</v>
      </c>
      <c r="R10409" t="str">
        <f>"WENDEL LIMA DE SOUZA (112)"</f>
        <v>WENDEL LIMA DE SOUZA (112)</v>
      </c>
      <c r="S10409" t="s">
        <v>52</v>
      </c>
      <c r="T10409">
        <v>21122</v>
      </c>
      <c r="U10409">
        <v>7791</v>
      </c>
      <c r="V10409" t="s">
        <v>48</v>
      </c>
    </row>
    <row r="10410" spans="1:22">
      <c r="A10410" t="str">
        <f t="shared" si="1974"/>
        <v>13/11/2025</v>
      </c>
      <c r="B10410" t="str">
        <f>"ENTRADA"</f>
        <v>ENTRADA</v>
      </c>
      <c r="C10410" t="str">
        <f>"DINHEIRO"</f>
        <v>DINHEIRO</v>
      </c>
      <c r="D10410" t="str">
        <f>"708"</f>
        <v>708</v>
      </c>
      <c r="E10410" t="str">
        <f>"7"</f>
        <v>7</v>
      </c>
      <c r="F10410" t="str">
        <f t="shared" si="1966"/>
        <v>COM</v>
      </c>
      <c r="G10410" t="str">
        <f>"WENDERSON (708)"</f>
        <v>WENDERSON (708)</v>
      </c>
      <c r="H10410" t="str">
        <f>"COTA COOPERATIVA"</f>
        <v>COTA COOPERATIVA</v>
      </c>
      <c r="I10410" t="str">
        <f>("08/11/2025")</f>
        <v>08/11/2025</v>
      </c>
      <c r="J10410" t="str">
        <f>("06/04/2025")</f>
        <v>06/04/2025</v>
      </c>
      <c r="K10410" t="str">
        <f>("13/11/2025")</f>
        <v>13/11/2025</v>
      </c>
      <c r="L10410">
        <v>20</v>
      </c>
      <c r="M10410">
        <v>20</v>
      </c>
      <c r="N10410">
        <v>106</v>
      </c>
      <c r="O10410" t="str">
        <f>"ENTRADA DE CAPITAL"</f>
        <v>ENTRADA DE CAPITAL</v>
      </c>
      <c r="P10410">
        <v>20</v>
      </c>
      <c r="S10410" t="str">
        <f>"ENTRADA DE CAPITAL (106)"</f>
        <v>ENTRADA DE CAPITAL (106)</v>
      </c>
      <c r="T10410">
        <v>21123</v>
      </c>
      <c r="U10410">
        <v>14497</v>
      </c>
      <c r="V10410" t="s">
        <v>48</v>
      </c>
    </row>
    <row r="10411" spans="1:22">
      <c r="A10411" t="str">
        <f t="shared" si="1974"/>
        <v>13/11/2025</v>
      </c>
      <c r="B10411" t="str">
        <f>"ENTRADA"</f>
        <v>ENTRADA</v>
      </c>
      <c r="C10411" t="str">
        <f>"DINHEIRO"</f>
        <v>DINHEIRO</v>
      </c>
      <c r="D10411" t="str">
        <f>"708"</f>
        <v>708</v>
      </c>
      <c r="E10411" t="str">
        <f>"7"</f>
        <v>7</v>
      </c>
      <c r="F10411" t="str">
        <f t="shared" si="1966"/>
        <v>COM</v>
      </c>
      <c r="G10411" t="str">
        <f>"WENDERSON (708)"</f>
        <v>WENDERSON (708)</v>
      </c>
      <c r="H10411" t="s">
        <v>50</v>
      </c>
      <c r="I10411" t="str">
        <f>("08/11/2025")</f>
        <v>08/11/2025</v>
      </c>
      <c r="J10411" t="str">
        <f>("06/04/2025")</f>
        <v>06/04/2025</v>
      </c>
      <c r="K10411">
        <v>45974</v>
      </c>
      <c r="N10411">
        <v>106</v>
      </c>
      <c r="O10411" t="s">
        <v>51</v>
      </c>
      <c r="Q10411">
        <v>20</v>
      </c>
      <c r="R10411" t="str">
        <f>"WENDERSON (708)"</f>
        <v>WENDERSON (708)</v>
      </c>
      <c r="S10411" t="s">
        <v>52</v>
      </c>
      <c r="T10411">
        <v>21123</v>
      </c>
      <c r="U10411">
        <v>14497</v>
      </c>
      <c r="V10411" t="s">
        <v>48</v>
      </c>
    </row>
    <row r="10412" spans="1:22">
      <c r="A10412" t="str">
        <f t="shared" si="1974"/>
        <v>13/11/2025</v>
      </c>
      <c r="B10412" t="str">
        <f>"SAÍDA"</f>
        <v>SAÍDA</v>
      </c>
      <c r="C10412" t="str">
        <f>"PIX"</f>
        <v>PIX</v>
      </c>
      <c r="D10412" t="str">
        <f>"25026"</f>
        <v>25026</v>
      </c>
      <c r="E10412" t="str">
        <f>"1"</f>
        <v>1</v>
      </c>
      <c r="F10412" t="str">
        <f t="shared" si="1966"/>
        <v>COM</v>
      </c>
      <c r="G10412" t="str">
        <f>"WENDERSON GOMES (708)"</f>
        <v>WENDERSON GOMES (708)</v>
      </c>
      <c r="H10412" t="str">
        <f>"Serv.Prest. 03/11/2025 a 09/11/2025 - PIX: CPF - CHAVE: 147.592.156-03"</f>
        <v>Serv.Prest. 03/11/2025 a 09/11/2025 - PIX: CPF - CHAVE: 147.592.156-03</v>
      </c>
      <c r="I10412" t="str">
        <f>("13/11/2025")</f>
        <v>13/11/2025</v>
      </c>
      <c r="J10412" t="str">
        <f>("10/11/2025")</f>
        <v>10/11/2025</v>
      </c>
      <c r="K10412" t="str">
        <f>("13/11/2025")</f>
        <v>13/11/2025</v>
      </c>
      <c r="L10412">
        <v>20</v>
      </c>
      <c r="M10412">
        <v>20</v>
      </c>
      <c r="N10412">
        <v>109</v>
      </c>
      <c r="O10412" t="str">
        <f>"PAGAMENTO DE ENTREGADORES"</f>
        <v>PAGAMENTO DE ENTREGADORES</v>
      </c>
      <c r="P10412">
        <v>20</v>
      </c>
      <c r="S10412" t="str">
        <f>"CAIXA MOVIMENTAÇÃO OPERACIONAL (132)"</f>
        <v>CAIXA MOVIMENTAÇÃO OPERACIONAL (132)</v>
      </c>
      <c r="T10412">
        <v>21124</v>
      </c>
      <c r="U10412">
        <v>25485</v>
      </c>
      <c r="V10412" t="s">
        <v>48</v>
      </c>
    </row>
    <row r="10413" spans="1:22">
      <c r="A10413" t="str">
        <f t="shared" si="1974"/>
        <v>13/11/2025</v>
      </c>
      <c r="B10413" t="str">
        <f>"SAÍDA"</f>
        <v>SAÍDA</v>
      </c>
      <c r="C10413" t="str">
        <f>"PIX"</f>
        <v>PIX</v>
      </c>
      <c r="D10413" t="str">
        <f>"25026"</f>
        <v>25026</v>
      </c>
      <c r="E10413" t="str">
        <f>"1"</f>
        <v>1</v>
      </c>
      <c r="F10413" t="str">
        <f t="shared" si="1966"/>
        <v>COM</v>
      </c>
      <c r="G10413" t="str">
        <f>"WENDERSON GOMES (708)"</f>
        <v>WENDERSON GOMES (708)</v>
      </c>
      <c r="H10413" t="s">
        <v>2905</v>
      </c>
      <c r="I10413" t="str">
        <f>("13/11/2025")</f>
        <v>13/11/2025</v>
      </c>
      <c r="J10413" t="str">
        <f>("10/11/2025")</f>
        <v>10/11/2025</v>
      </c>
      <c r="K10413">
        <v>45974</v>
      </c>
      <c r="N10413">
        <v>109</v>
      </c>
      <c r="O10413" t="s">
        <v>24</v>
      </c>
      <c r="Q10413">
        <v>20</v>
      </c>
      <c r="R10413" t="str">
        <f>"ENTREFARMA (10164)"</f>
        <v>ENTREFARMA (10164)</v>
      </c>
      <c r="S10413" t="s">
        <v>48</v>
      </c>
      <c r="T10413">
        <v>21124</v>
      </c>
      <c r="U10413">
        <v>25485</v>
      </c>
      <c r="V10413" t="s">
        <v>48</v>
      </c>
    </row>
    <row r="10414" spans="1:22">
      <c r="A10414" t="str">
        <f t="shared" si="1974"/>
        <v>13/11/2025</v>
      </c>
      <c r="B10414" t="str">
        <f>"SAÍDA"</f>
        <v>SAÍDA</v>
      </c>
      <c r="C10414" t="str">
        <f>"PIX"</f>
        <v>PIX</v>
      </c>
      <c r="D10414" t="str">
        <f>"24726"</f>
        <v>24726</v>
      </c>
      <c r="E10414" t="str">
        <f>"1"</f>
        <v>1</v>
      </c>
      <c r="F10414" t="str">
        <f t="shared" si="1966"/>
        <v>COM</v>
      </c>
      <c r="G10414" t="str">
        <f>"WESLEI GONÇALVES SANTOS (154)"</f>
        <v>WESLEI GONÇALVES SANTOS (154)</v>
      </c>
      <c r="H10414" t="str">
        <f>"Serv.Prest. 24/10/2025 a 02/11/2025 - PIX: CPF - CHAVE: 079.068.045-97"</f>
        <v>Serv.Prest. 24/10/2025 a 02/11/2025 - PIX: CPF - CHAVE: 079.068.045-97</v>
      </c>
      <c r="I10414" t="str">
        <f>("13/11/2025")</f>
        <v>13/11/2025</v>
      </c>
      <c r="J10414" t="str">
        <f>("04/11/2025")</f>
        <v>04/11/2025</v>
      </c>
      <c r="K10414" t="str">
        <f>("13/11/2025")</f>
        <v>13/11/2025</v>
      </c>
      <c r="L10414">
        <v>20</v>
      </c>
      <c r="M10414">
        <v>20</v>
      </c>
      <c r="N10414">
        <v>109</v>
      </c>
      <c r="O10414" t="str">
        <f>"PAGAMENTO DE ENTREGADORES"</f>
        <v>PAGAMENTO DE ENTREGADORES</v>
      </c>
      <c r="P10414">
        <v>20</v>
      </c>
      <c r="S10414" t="str">
        <f>"CAIXA MOVIMENTAÇÃO OPERACIONAL (132)"</f>
        <v>CAIXA MOVIMENTAÇÃO OPERACIONAL (132)</v>
      </c>
      <c r="T10414">
        <v>21125</v>
      </c>
      <c r="U10414">
        <v>25486</v>
      </c>
      <c r="V10414" t="s">
        <v>48</v>
      </c>
    </row>
    <row r="10415" spans="1:22">
      <c r="A10415" t="str">
        <f t="shared" si="1974"/>
        <v>13/11/2025</v>
      </c>
      <c r="B10415" t="str">
        <f>"SAÍDA"</f>
        <v>SAÍDA</v>
      </c>
      <c r="C10415" t="str">
        <f>"PIX"</f>
        <v>PIX</v>
      </c>
      <c r="D10415" t="str">
        <f>"24726"</f>
        <v>24726</v>
      </c>
      <c r="E10415" t="str">
        <f>"1"</f>
        <v>1</v>
      </c>
      <c r="F10415" t="str">
        <f t="shared" si="1966"/>
        <v>COM</v>
      </c>
      <c r="G10415" t="str">
        <f>"WESLEI GONÇALVES SANTOS (154)"</f>
        <v>WESLEI GONÇALVES SANTOS (154)</v>
      </c>
      <c r="H10415" t="s">
        <v>2906</v>
      </c>
      <c r="I10415" t="str">
        <f>("13/11/2025")</f>
        <v>13/11/2025</v>
      </c>
      <c r="J10415" t="str">
        <f>("04/11/2025")</f>
        <v>04/11/2025</v>
      </c>
      <c r="K10415">
        <v>45974</v>
      </c>
      <c r="N10415">
        <v>109</v>
      </c>
      <c r="O10415" t="s">
        <v>24</v>
      </c>
      <c r="Q10415">
        <v>20</v>
      </c>
      <c r="R10415" t="str">
        <f>"FARMÁCIA INDIANA LJ 34 (10014)"</f>
        <v>FARMÁCIA INDIANA LJ 34 (10014)</v>
      </c>
      <c r="S10415" t="s">
        <v>48</v>
      </c>
      <c r="T10415">
        <v>21125</v>
      </c>
      <c r="U10415">
        <v>25486</v>
      </c>
      <c r="V10415" t="s">
        <v>48</v>
      </c>
    </row>
    <row r="10416" spans="1:22">
      <c r="A10416" t="str">
        <f t="shared" si="1974"/>
        <v>13/11/2025</v>
      </c>
      <c r="B10416" t="str">
        <f>"ENTRADA"</f>
        <v>ENTRADA</v>
      </c>
      <c r="C10416" t="str">
        <f>"DINHEIRO"</f>
        <v>DINHEIRO</v>
      </c>
      <c r="D10416" t="str">
        <f>"15"</f>
        <v>15</v>
      </c>
      <c r="E10416" t="str">
        <f>"35"</f>
        <v>35</v>
      </c>
      <c r="F10416" t="str">
        <f t="shared" si="1966"/>
        <v>COM</v>
      </c>
      <c r="G10416" t="str">
        <f>"WESLEI GONÇALVES SANTOS (154)"</f>
        <v>WESLEI GONÇALVES SANTOS (154)</v>
      </c>
      <c r="H10416" t="str">
        <f>"DESCONTO COTA COOPERADO"</f>
        <v>DESCONTO COTA COOPERADO</v>
      </c>
      <c r="I10416" t="str">
        <f>("16/11/2025")</f>
        <v>16/11/2025</v>
      </c>
      <c r="J10416" t="str">
        <f>("16/01/2025")</f>
        <v>16/01/2025</v>
      </c>
      <c r="K10416" t="str">
        <f>("13/11/2025")</f>
        <v>13/11/2025</v>
      </c>
      <c r="L10416">
        <v>20</v>
      </c>
      <c r="M10416">
        <v>20</v>
      </c>
      <c r="N10416">
        <v>106</v>
      </c>
      <c r="O10416" t="str">
        <f>"ENTRADA DE CAPITAL"</f>
        <v>ENTRADA DE CAPITAL</v>
      </c>
      <c r="P10416">
        <v>20</v>
      </c>
      <c r="S10416" t="str">
        <f>"ENTRADA DE CAPITAL (106)"</f>
        <v>ENTRADA DE CAPITAL (106)</v>
      </c>
      <c r="T10416">
        <v>21126</v>
      </c>
      <c r="U10416">
        <v>7809</v>
      </c>
      <c r="V10416" t="s">
        <v>48</v>
      </c>
    </row>
    <row r="10417" spans="1:22">
      <c r="A10417" t="str">
        <f t="shared" si="1974"/>
        <v>13/11/2025</v>
      </c>
      <c r="B10417" t="str">
        <f>"ENTRADA"</f>
        <v>ENTRADA</v>
      </c>
      <c r="C10417" t="str">
        <f>"DINHEIRO"</f>
        <v>DINHEIRO</v>
      </c>
      <c r="D10417" t="str">
        <f>"15"</f>
        <v>15</v>
      </c>
      <c r="E10417" t="str">
        <f>"35"</f>
        <v>35</v>
      </c>
      <c r="F10417" t="str">
        <f t="shared" si="1966"/>
        <v>COM</v>
      </c>
      <c r="G10417" t="str">
        <f>"WESLEI GONÇALVES SANTOS (154)"</f>
        <v>WESLEI GONÇALVES SANTOS (154)</v>
      </c>
      <c r="H10417" t="s">
        <v>309</v>
      </c>
      <c r="I10417" t="str">
        <f>("16/11/2025")</f>
        <v>16/11/2025</v>
      </c>
      <c r="J10417" t="str">
        <f>("16/01/2025")</f>
        <v>16/01/2025</v>
      </c>
      <c r="K10417">
        <v>45974</v>
      </c>
      <c r="N10417">
        <v>106</v>
      </c>
      <c r="O10417" t="s">
        <v>51</v>
      </c>
      <c r="Q10417">
        <v>20</v>
      </c>
      <c r="R10417" t="str">
        <f>"WESLEI GONÇALVES SANTOS (154)"</f>
        <v>WESLEI GONÇALVES SANTOS (154)</v>
      </c>
      <c r="S10417" t="s">
        <v>52</v>
      </c>
      <c r="T10417">
        <v>21126</v>
      </c>
      <c r="U10417">
        <v>7809</v>
      </c>
      <c r="V10417" t="s">
        <v>48</v>
      </c>
    </row>
    <row r="10418" spans="1:22">
      <c r="A10418" t="str">
        <f t="shared" si="1974"/>
        <v>13/11/2025</v>
      </c>
      <c r="B10418" t="str">
        <f>"ENTRADA"</f>
        <v>ENTRADA</v>
      </c>
      <c r="C10418" t="str">
        <f>"DINHEIRO"</f>
        <v>DINHEIRO</v>
      </c>
      <c r="D10418" t="str">
        <f>"722"</f>
        <v>722</v>
      </c>
      <c r="E10418" t="str">
        <f>"6"</f>
        <v>6</v>
      </c>
      <c r="F10418" t="str">
        <f t="shared" si="1966"/>
        <v>COM</v>
      </c>
      <c r="G10418" t="str">
        <f>"WESLEY RICARDO DE OLIVEIRA (722)"</f>
        <v>WESLEY RICARDO DE OLIVEIRA (722)</v>
      </c>
      <c r="H10418" t="str">
        <f>"COTA COOPERATIVA"</f>
        <v>COTA COOPERATIVA</v>
      </c>
      <c r="I10418" t="str">
        <f>("12/11/2025")</f>
        <v>12/11/2025</v>
      </c>
      <c r="J10418" t="str">
        <f>("01/04/2025")</f>
        <v>01/04/2025</v>
      </c>
      <c r="K10418" t="str">
        <f>("13/11/2025")</f>
        <v>13/11/2025</v>
      </c>
      <c r="L10418">
        <v>20</v>
      </c>
      <c r="M10418">
        <v>20</v>
      </c>
      <c r="N10418">
        <v>106</v>
      </c>
      <c r="O10418" t="str">
        <f>"ENTRADA DE CAPITAL"</f>
        <v>ENTRADA DE CAPITAL</v>
      </c>
      <c r="P10418">
        <v>20</v>
      </c>
      <c r="S10418" t="str">
        <f>"ENTRADA DE CAPITAL (106)"</f>
        <v>ENTRADA DE CAPITAL (106)</v>
      </c>
      <c r="T10418">
        <v>21127</v>
      </c>
      <c r="U10418">
        <v>16691</v>
      </c>
      <c r="V10418" t="s">
        <v>48</v>
      </c>
    </row>
    <row r="10419" spans="1:22">
      <c r="A10419" t="str">
        <f t="shared" si="1974"/>
        <v>13/11/2025</v>
      </c>
      <c r="B10419" t="str">
        <f>"ENTRADA"</f>
        <v>ENTRADA</v>
      </c>
      <c r="C10419" t="str">
        <f>"DINHEIRO"</f>
        <v>DINHEIRO</v>
      </c>
      <c r="D10419" t="str">
        <f>"722"</f>
        <v>722</v>
      </c>
      <c r="E10419" t="str">
        <f>"6"</f>
        <v>6</v>
      </c>
      <c r="F10419" t="str">
        <f t="shared" si="1966"/>
        <v>COM</v>
      </c>
      <c r="G10419" t="str">
        <f>"WESLEY RICARDO DE OLIVEIRA (722)"</f>
        <v>WESLEY RICARDO DE OLIVEIRA (722)</v>
      </c>
      <c r="H10419" t="s">
        <v>50</v>
      </c>
      <c r="I10419" t="str">
        <f>("12/11/2025")</f>
        <v>12/11/2025</v>
      </c>
      <c r="J10419" t="str">
        <f>("01/04/2025")</f>
        <v>01/04/2025</v>
      </c>
      <c r="K10419">
        <v>45974</v>
      </c>
      <c r="N10419">
        <v>106</v>
      </c>
      <c r="O10419" t="s">
        <v>51</v>
      </c>
      <c r="Q10419">
        <v>20</v>
      </c>
      <c r="R10419" t="str">
        <f>"WESLEY RICARDO DE OLIVEIRA (722)"</f>
        <v>WESLEY RICARDO DE OLIVEIRA (722)</v>
      </c>
      <c r="S10419" t="s">
        <v>52</v>
      </c>
      <c r="T10419">
        <v>21127</v>
      </c>
      <c r="U10419">
        <v>16691</v>
      </c>
      <c r="V10419" t="s">
        <v>48</v>
      </c>
    </row>
    <row r="10420" spans="1:22">
      <c r="A10420" t="str">
        <f t="shared" si="1974"/>
        <v>13/11/2025</v>
      </c>
      <c r="B10420" t="str">
        <f t="shared" ref="B10420:B10426" si="1975">"SAÍDA"</f>
        <v>SAÍDA</v>
      </c>
      <c r="C10420" t="str">
        <f t="shared" ref="C10420:C10426" si="1976">"PIX"</f>
        <v>PIX</v>
      </c>
      <c r="D10420" t="str">
        <f>"25013"</f>
        <v>25013</v>
      </c>
      <c r="E10420" t="str">
        <f t="shared" ref="E10420:E10426" si="1977">"1"</f>
        <v>1</v>
      </c>
      <c r="F10420" t="str">
        <f t="shared" si="1966"/>
        <v>COM</v>
      </c>
      <c r="G10420" t="str">
        <f>"WESLEY RICARDO DE OLIVEIRA (722)"</f>
        <v>WESLEY RICARDO DE OLIVEIRA (722)</v>
      </c>
      <c r="H10420" t="str">
        <f>"Serv.Prest. 03/11/2025 a 09/11/2025 - PIX: CELULAR - CHAVE: (11) 91214-6176"</f>
        <v>Serv.Prest. 03/11/2025 a 09/11/2025 - PIX: CELULAR - CHAVE: (11) 91214-6176</v>
      </c>
      <c r="I10420" t="str">
        <f t="shared" ref="I10420:I10426" si="1978">("13/11/2025")</f>
        <v>13/11/2025</v>
      </c>
      <c r="J10420" t="str">
        <f>("10/11/2025")</f>
        <v>10/11/2025</v>
      </c>
      <c r="K10420" t="str">
        <f>("13/11/2025")</f>
        <v>13/11/2025</v>
      </c>
      <c r="L10420">
        <v>20</v>
      </c>
      <c r="M10420">
        <v>20</v>
      </c>
      <c r="N10420">
        <v>109</v>
      </c>
      <c r="O10420" t="str">
        <f>"PAGAMENTO DE ENTREGADORES"</f>
        <v>PAGAMENTO DE ENTREGADORES</v>
      </c>
      <c r="P10420">
        <v>20</v>
      </c>
      <c r="S10420" t="str">
        <f>"CAIXA MOVIMENTAÇÃO OPERACIONAL (132)"</f>
        <v>CAIXA MOVIMENTAÇÃO OPERACIONAL (132)</v>
      </c>
      <c r="T10420">
        <v>21128</v>
      </c>
      <c r="U10420">
        <v>25487</v>
      </c>
      <c r="V10420" t="s">
        <v>48</v>
      </c>
    </row>
    <row r="10421" spans="1:22">
      <c r="A10421" t="str">
        <f t="shared" si="1974"/>
        <v>13/11/2025</v>
      </c>
      <c r="B10421" t="str">
        <f t="shared" si="1975"/>
        <v>SAÍDA</v>
      </c>
      <c r="C10421" t="str">
        <f t="shared" si="1976"/>
        <v>PIX</v>
      </c>
      <c r="D10421" t="str">
        <f>"25013"</f>
        <v>25013</v>
      </c>
      <c r="E10421" t="str">
        <f t="shared" si="1977"/>
        <v>1</v>
      </c>
      <c r="F10421" t="str">
        <f t="shared" si="1966"/>
        <v>COM</v>
      </c>
      <c r="G10421" t="str">
        <f>"WESLEY RICARDO DE OLIVEIRA (722)"</f>
        <v>WESLEY RICARDO DE OLIVEIRA (722)</v>
      </c>
      <c r="H10421" t="s">
        <v>2907</v>
      </c>
      <c r="I10421" t="str">
        <f t="shared" si="1978"/>
        <v>13/11/2025</v>
      </c>
      <c r="J10421" t="str">
        <f>("10/11/2025")</f>
        <v>10/11/2025</v>
      </c>
      <c r="K10421">
        <v>45974</v>
      </c>
      <c r="N10421">
        <v>109</v>
      </c>
      <c r="O10421" t="s">
        <v>24</v>
      </c>
      <c r="Q10421">
        <v>20</v>
      </c>
      <c r="R10421" t="str">
        <f>"DROGARIA AGAPEAMA (10167)"</f>
        <v>DROGARIA AGAPEAMA (10167)</v>
      </c>
      <c r="S10421" t="s">
        <v>48</v>
      </c>
      <c r="T10421">
        <v>21128</v>
      </c>
      <c r="U10421">
        <v>25487</v>
      </c>
      <c r="V10421" t="s">
        <v>48</v>
      </c>
    </row>
    <row r="10422" spans="1:22">
      <c r="A10422" t="str">
        <f t="shared" si="1974"/>
        <v>13/11/2025</v>
      </c>
      <c r="B10422" t="str">
        <f t="shared" si="1975"/>
        <v>SAÍDA</v>
      </c>
      <c r="C10422" t="str">
        <f t="shared" si="1976"/>
        <v>PIX</v>
      </c>
      <c r="D10422" t="str">
        <f>"24831"</f>
        <v>24831</v>
      </c>
      <c r="E10422" t="str">
        <f t="shared" si="1977"/>
        <v>1</v>
      </c>
      <c r="F10422" t="str">
        <f t="shared" si="1966"/>
        <v>COM</v>
      </c>
      <c r="G10422" t="str">
        <f t="shared" ref="G10422:G10428" si="1979">"WILIAN ROSA VIEIRA (488)"</f>
        <v>WILIAN ROSA VIEIRA (488)</v>
      </c>
      <c r="H10422" t="str">
        <f>"Serv.Prest. 24/10/2025 a 02/11/2025 - PIX: E-MAIL - CHAVE: wilianvieirawrv3578@gmail.com"</f>
        <v>Serv.Prest. 24/10/2025 a 02/11/2025 - PIX: E-MAIL - CHAVE: wilianvieirawrv3578@gmail.com</v>
      </c>
      <c r="I10422" t="str">
        <f t="shared" si="1978"/>
        <v>13/11/2025</v>
      </c>
      <c r="J10422" t="str">
        <f>("04/11/2025")</f>
        <v>04/11/2025</v>
      </c>
      <c r="K10422" t="str">
        <f>("13/11/2025")</f>
        <v>13/11/2025</v>
      </c>
      <c r="L10422">
        <v>20</v>
      </c>
      <c r="M10422">
        <v>20</v>
      </c>
      <c r="N10422">
        <v>109</v>
      </c>
      <c r="O10422" t="str">
        <f>"PAGAMENTO DE ENTREGADORES"</f>
        <v>PAGAMENTO DE ENTREGADORES</v>
      </c>
      <c r="P10422">
        <v>20</v>
      </c>
      <c r="S10422" t="str">
        <f>"CAIXA MOVIMENTAÇÃO OPERACIONAL (132)"</f>
        <v>CAIXA MOVIMENTAÇÃO OPERACIONAL (132)</v>
      </c>
      <c r="T10422">
        <v>21129</v>
      </c>
      <c r="U10422">
        <v>25488</v>
      </c>
      <c r="V10422" t="s">
        <v>48</v>
      </c>
    </row>
    <row r="10423" spans="1:22">
      <c r="A10423" t="str">
        <f t="shared" si="1974"/>
        <v>13/11/2025</v>
      </c>
      <c r="B10423" t="str">
        <f t="shared" si="1975"/>
        <v>SAÍDA</v>
      </c>
      <c r="C10423" t="str">
        <f t="shared" si="1976"/>
        <v>PIX</v>
      </c>
      <c r="D10423" t="str">
        <f>"24831"</f>
        <v>24831</v>
      </c>
      <c r="E10423" t="str">
        <f t="shared" si="1977"/>
        <v>1</v>
      </c>
      <c r="F10423" t="str">
        <f t="shared" ref="F10423:F10486" si="1980">"COM"</f>
        <v>COM</v>
      </c>
      <c r="G10423" t="str">
        <f t="shared" si="1979"/>
        <v>WILIAN ROSA VIEIRA (488)</v>
      </c>
      <c r="H10423" t="s">
        <v>2908</v>
      </c>
      <c r="I10423" t="str">
        <f t="shared" si="1978"/>
        <v>13/11/2025</v>
      </c>
      <c r="J10423" t="str">
        <f>("04/11/2025")</f>
        <v>04/11/2025</v>
      </c>
      <c r="K10423">
        <v>45974</v>
      </c>
      <c r="N10423">
        <v>109</v>
      </c>
      <c r="O10423" t="s">
        <v>24</v>
      </c>
      <c r="Q10423">
        <v>12.22</v>
      </c>
      <c r="R10423" t="str">
        <f>"FARMÁCIA INDIANA LJ 103 (10044)"</f>
        <v>FARMÁCIA INDIANA LJ 103 (10044)</v>
      </c>
      <c r="S10423" t="s">
        <v>48</v>
      </c>
      <c r="T10423">
        <v>21129</v>
      </c>
      <c r="U10423">
        <v>25488</v>
      </c>
      <c r="V10423" t="s">
        <v>48</v>
      </c>
    </row>
    <row r="10424" spans="1:22">
      <c r="A10424" t="str">
        <f t="shared" si="1974"/>
        <v>13/11/2025</v>
      </c>
      <c r="B10424" t="str">
        <f t="shared" si="1975"/>
        <v>SAÍDA</v>
      </c>
      <c r="C10424" t="str">
        <f t="shared" si="1976"/>
        <v>PIX</v>
      </c>
      <c r="D10424" t="str">
        <f>"24831"</f>
        <v>24831</v>
      </c>
      <c r="E10424" t="str">
        <f t="shared" si="1977"/>
        <v>1</v>
      </c>
      <c r="F10424" t="str">
        <f t="shared" si="1980"/>
        <v>COM</v>
      </c>
      <c r="G10424" t="str">
        <f t="shared" si="1979"/>
        <v>WILIAN ROSA VIEIRA (488)</v>
      </c>
      <c r="H10424" t="s">
        <v>2908</v>
      </c>
      <c r="I10424" t="str">
        <f t="shared" si="1978"/>
        <v>13/11/2025</v>
      </c>
      <c r="J10424" t="str">
        <f>("04/11/2025")</f>
        <v>04/11/2025</v>
      </c>
      <c r="K10424">
        <v>45974</v>
      </c>
      <c r="N10424">
        <v>109</v>
      </c>
      <c r="O10424" t="s">
        <v>24</v>
      </c>
      <c r="Q10424">
        <v>4.28</v>
      </c>
      <c r="R10424" t="str">
        <f>"FARMÁCIA INDIANA LJ 140 (10064)"</f>
        <v>FARMÁCIA INDIANA LJ 140 (10064)</v>
      </c>
      <c r="S10424" t="s">
        <v>48</v>
      </c>
      <c r="T10424">
        <v>21129</v>
      </c>
      <c r="U10424">
        <v>25488</v>
      </c>
      <c r="V10424" t="s">
        <v>48</v>
      </c>
    </row>
    <row r="10425" spans="1:22">
      <c r="A10425" t="str">
        <f t="shared" si="1974"/>
        <v>13/11/2025</v>
      </c>
      <c r="B10425" t="str">
        <f t="shared" si="1975"/>
        <v>SAÍDA</v>
      </c>
      <c r="C10425" t="str">
        <f t="shared" si="1976"/>
        <v>PIX</v>
      </c>
      <c r="D10425" t="str">
        <f>"24831"</f>
        <v>24831</v>
      </c>
      <c r="E10425" t="str">
        <f t="shared" si="1977"/>
        <v>1</v>
      </c>
      <c r="F10425" t="str">
        <f t="shared" si="1980"/>
        <v>COM</v>
      </c>
      <c r="G10425" t="str">
        <f t="shared" si="1979"/>
        <v>WILIAN ROSA VIEIRA (488)</v>
      </c>
      <c r="H10425" t="s">
        <v>2908</v>
      </c>
      <c r="I10425" t="str">
        <f t="shared" si="1978"/>
        <v>13/11/2025</v>
      </c>
      <c r="J10425" t="str">
        <f>("04/11/2025")</f>
        <v>04/11/2025</v>
      </c>
      <c r="K10425">
        <v>45974</v>
      </c>
      <c r="N10425">
        <v>109</v>
      </c>
      <c r="O10425" t="s">
        <v>24</v>
      </c>
      <c r="Q10425">
        <v>0.79</v>
      </c>
      <c r="R10425" t="str">
        <f>"FARMÁCIA INDIANA LJ 141 (10065)"</f>
        <v>FARMÁCIA INDIANA LJ 141 (10065)</v>
      </c>
      <c r="S10425" t="s">
        <v>48</v>
      </c>
      <c r="T10425">
        <v>21129</v>
      </c>
      <c r="U10425">
        <v>25488</v>
      </c>
      <c r="V10425" t="s">
        <v>48</v>
      </c>
    </row>
    <row r="10426" spans="1:22">
      <c r="A10426" t="str">
        <f t="shared" si="1974"/>
        <v>13/11/2025</v>
      </c>
      <c r="B10426" t="str">
        <f t="shared" si="1975"/>
        <v>SAÍDA</v>
      </c>
      <c r="C10426" t="str">
        <f t="shared" si="1976"/>
        <v>PIX</v>
      </c>
      <c r="D10426" t="str">
        <f>"24831"</f>
        <v>24831</v>
      </c>
      <c r="E10426" t="str">
        <f t="shared" si="1977"/>
        <v>1</v>
      </c>
      <c r="F10426" t="str">
        <f t="shared" si="1980"/>
        <v>COM</v>
      </c>
      <c r="G10426" t="str">
        <f t="shared" si="1979"/>
        <v>WILIAN ROSA VIEIRA (488)</v>
      </c>
      <c r="H10426" t="s">
        <v>2908</v>
      </c>
      <c r="I10426" t="str">
        <f t="shared" si="1978"/>
        <v>13/11/2025</v>
      </c>
      <c r="J10426" t="str">
        <f>("04/11/2025")</f>
        <v>04/11/2025</v>
      </c>
      <c r="K10426">
        <v>45974</v>
      </c>
      <c r="N10426">
        <v>109</v>
      </c>
      <c r="O10426" t="s">
        <v>24</v>
      </c>
      <c r="Q10426">
        <v>2.71</v>
      </c>
      <c r="R10426" t="str">
        <f>"FARMÁCIA INDIANA LJ 154 (10070)"</f>
        <v>FARMÁCIA INDIANA LJ 154 (10070)</v>
      </c>
      <c r="S10426" t="s">
        <v>48</v>
      </c>
      <c r="T10426">
        <v>21129</v>
      </c>
      <c r="U10426">
        <v>25488</v>
      </c>
      <c r="V10426" t="s">
        <v>48</v>
      </c>
    </row>
    <row r="10427" spans="1:22">
      <c r="A10427" t="str">
        <f t="shared" si="1974"/>
        <v>13/11/2025</v>
      </c>
      <c r="B10427" t="str">
        <f>"ENTRADA"</f>
        <v>ENTRADA</v>
      </c>
      <c r="C10427" t="str">
        <f>"DINHEIRO"</f>
        <v>DINHEIRO</v>
      </c>
      <c r="D10427" t="str">
        <f>"03"</f>
        <v>03</v>
      </c>
      <c r="E10427" t="str">
        <f>"35"</f>
        <v>35</v>
      </c>
      <c r="F10427" t="str">
        <f t="shared" si="1980"/>
        <v>COM</v>
      </c>
      <c r="G10427" t="str">
        <f t="shared" si="1979"/>
        <v>WILIAN ROSA VIEIRA (488)</v>
      </c>
      <c r="H10427" t="str">
        <f>"DESCONTO COTA COOPERADO"</f>
        <v>DESCONTO COTA COOPERADO</v>
      </c>
      <c r="I10427" t="str">
        <f>("16/11/2025")</f>
        <v>16/11/2025</v>
      </c>
      <c r="J10427" t="str">
        <f>("16/01/2025")</f>
        <v>16/01/2025</v>
      </c>
      <c r="K10427" t="str">
        <f>("13/11/2025")</f>
        <v>13/11/2025</v>
      </c>
      <c r="L10427">
        <v>20</v>
      </c>
      <c r="M10427">
        <v>20</v>
      </c>
      <c r="N10427">
        <v>106</v>
      </c>
      <c r="O10427" t="str">
        <f>"ENTRADA DE CAPITAL"</f>
        <v>ENTRADA DE CAPITAL</v>
      </c>
      <c r="P10427">
        <v>20</v>
      </c>
      <c r="S10427" t="str">
        <f>"ENTRADA DE CAPITAL (106)"</f>
        <v>ENTRADA DE CAPITAL (106)</v>
      </c>
      <c r="T10427">
        <v>21130</v>
      </c>
      <c r="U10427">
        <v>7821</v>
      </c>
      <c r="V10427" t="s">
        <v>48</v>
      </c>
    </row>
    <row r="10428" spans="1:22">
      <c r="A10428" t="str">
        <f t="shared" si="1974"/>
        <v>13/11/2025</v>
      </c>
      <c r="B10428" t="str">
        <f>"ENTRADA"</f>
        <v>ENTRADA</v>
      </c>
      <c r="C10428" t="str">
        <f>"DINHEIRO"</f>
        <v>DINHEIRO</v>
      </c>
      <c r="D10428" t="str">
        <f>"03"</f>
        <v>03</v>
      </c>
      <c r="E10428" t="str">
        <f>"35"</f>
        <v>35</v>
      </c>
      <c r="F10428" t="str">
        <f t="shared" si="1980"/>
        <v>COM</v>
      </c>
      <c r="G10428" t="str">
        <f t="shared" si="1979"/>
        <v>WILIAN ROSA VIEIRA (488)</v>
      </c>
      <c r="H10428" t="s">
        <v>309</v>
      </c>
      <c r="I10428" t="str">
        <f>("16/11/2025")</f>
        <v>16/11/2025</v>
      </c>
      <c r="J10428" t="str">
        <f>("16/01/2025")</f>
        <v>16/01/2025</v>
      </c>
      <c r="K10428">
        <v>45974</v>
      </c>
      <c r="N10428">
        <v>106</v>
      </c>
      <c r="O10428" t="s">
        <v>51</v>
      </c>
      <c r="Q10428">
        <v>20</v>
      </c>
      <c r="R10428" t="str">
        <f>"WILIAN ROSA VIEIRA (488)"</f>
        <v>WILIAN ROSA VIEIRA (488)</v>
      </c>
      <c r="S10428" t="s">
        <v>52</v>
      </c>
      <c r="T10428">
        <v>21130</v>
      </c>
      <c r="U10428">
        <v>7821</v>
      </c>
      <c r="V10428" t="s">
        <v>48</v>
      </c>
    </row>
    <row r="10429" spans="1:22">
      <c r="A10429" t="str">
        <f t="shared" si="1974"/>
        <v>13/11/2025</v>
      </c>
      <c r="B10429" t="str">
        <f>"ENTRADA"</f>
        <v>ENTRADA</v>
      </c>
      <c r="C10429" t="str">
        <f>"DINHEIRO"</f>
        <v>DINHEIRO</v>
      </c>
      <c r="D10429" t="str">
        <f>"850"</f>
        <v>850</v>
      </c>
      <c r="E10429" t="str">
        <f>"2"</f>
        <v>2</v>
      </c>
      <c r="F10429" t="str">
        <f t="shared" si="1980"/>
        <v>COM</v>
      </c>
      <c r="G10429" t="str">
        <f>"WILLIAM ANDRE SILVA COELLO (850)"</f>
        <v>WILLIAM ANDRE SILVA COELLO (850)</v>
      </c>
      <c r="H10429" t="str">
        <f>"COTAS COOPERATIVA"</f>
        <v>COTAS COOPERATIVA</v>
      </c>
      <c r="I10429" t="str">
        <f>("10/11/2025")</f>
        <v>10/11/2025</v>
      </c>
      <c r="J10429" t="str">
        <f>("12/09/2025")</f>
        <v>12/09/2025</v>
      </c>
      <c r="K10429" t="str">
        <f>("13/11/2025")</f>
        <v>13/11/2025</v>
      </c>
      <c r="L10429">
        <v>20</v>
      </c>
      <c r="M10429">
        <v>20</v>
      </c>
      <c r="N10429">
        <v>106</v>
      </c>
      <c r="O10429" t="str">
        <f>"ENTRADA DE CAPITAL"</f>
        <v>ENTRADA DE CAPITAL</v>
      </c>
      <c r="P10429">
        <v>20</v>
      </c>
      <c r="S10429" t="str">
        <f>"ENTRADA DE CAPITAL (106)"</f>
        <v>ENTRADA DE CAPITAL (106)</v>
      </c>
      <c r="T10429">
        <v>21131</v>
      </c>
      <c r="U10429">
        <v>23465</v>
      </c>
      <c r="V10429" t="s">
        <v>48</v>
      </c>
    </row>
    <row r="10430" spans="1:22">
      <c r="A10430" t="str">
        <f t="shared" si="1974"/>
        <v>13/11/2025</v>
      </c>
      <c r="B10430" t="str">
        <f>"ENTRADA"</f>
        <v>ENTRADA</v>
      </c>
      <c r="C10430" t="str">
        <f>"DINHEIRO"</f>
        <v>DINHEIRO</v>
      </c>
      <c r="D10430" t="str">
        <f>"850"</f>
        <v>850</v>
      </c>
      <c r="E10430" t="str">
        <f>"2"</f>
        <v>2</v>
      </c>
      <c r="F10430" t="str">
        <f t="shared" si="1980"/>
        <v>COM</v>
      </c>
      <c r="G10430" t="str">
        <f>"WILLIAM ANDRE SILVA COELLO (850)"</f>
        <v>WILLIAM ANDRE SILVA COELLO (850)</v>
      </c>
      <c r="H10430" t="s">
        <v>318</v>
      </c>
      <c r="I10430" t="str">
        <f>("10/11/2025")</f>
        <v>10/11/2025</v>
      </c>
      <c r="J10430" t="str">
        <f>("12/09/2025")</f>
        <v>12/09/2025</v>
      </c>
      <c r="K10430">
        <v>45974</v>
      </c>
      <c r="N10430">
        <v>106</v>
      </c>
      <c r="O10430" t="s">
        <v>51</v>
      </c>
      <c r="Q10430">
        <v>20</v>
      </c>
      <c r="R10430" t="str">
        <f>"WILLIAM ANDRE SILVA COELLO (850)"</f>
        <v>WILLIAM ANDRE SILVA COELLO (850)</v>
      </c>
      <c r="S10430" t="s">
        <v>52</v>
      </c>
      <c r="T10430">
        <v>21131</v>
      </c>
      <c r="U10430">
        <v>23465</v>
      </c>
      <c r="V10430" t="s">
        <v>48</v>
      </c>
    </row>
    <row r="10431" spans="1:22">
      <c r="A10431" t="str">
        <f t="shared" si="1974"/>
        <v>13/11/2025</v>
      </c>
      <c r="B10431" t="str">
        <f>"SAÍDA"</f>
        <v>SAÍDA</v>
      </c>
      <c r="C10431" t="str">
        <f>"PIX"</f>
        <v>PIX</v>
      </c>
      <c r="D10431" t="str">
        <f>"25019"</f>
        <v>25019</v>
      </c>
      <c r="E10431" t="str">
        <f>"1"</f>
        <v>1</v>
      </c>
      <c r="F10431" t="str">
        <f t="shared" si="1980"/>
        <v>COM</v>
      </c>
      <c r="G10431" t="str">
        <f>"WILLIAM ANDRE SILVA COELLO (850)"</f>
        <v>WILLIAM ANDRE SILVA COELLO (850)</v>
      </c>
      <c r="H10431" t="str">
        <f>"Serv.Prest. 03/11/2025 a 09/11/2025 - PIX: CPF - CHAVE: 100.710.806-19"</f>
        <v>Serv.Prest. 03/11/2025 a 09/11/2025 - PIX: CPF - CHAVE: 100.710.806-19</v>
      </c>
      <c r="I10431" t="str">
        <f t="shared" ref="I10431:I10436" si="1981">("13/11/2025")</f>
        <v>13/11/2025</v>
      </c>
      <c r="J10431" t="str">
        <f>("10/11/2025")</f>
        <v>10/11/2025</v>
      </c>
      <c r="K10431" t="str">
        <f>("13/11/2025")</f>
        <v>13/11/2025</v>
      </c>
      <c r="L10431">
        <v>20</v>
      </c>
      <c r="M10431">
        <v>20</v>
      </c>
      <c r="N10431">
        <v>109</v>
      </c>
      <c r="O10431" t="str">
        <f>"PAGAMENTO DE ENTREGADORES"</f>
        <v>PAGAMENTO DE ENTREGADORES</v>
      </c>
      <c r="P10431">
        <v>20</v>
      </c>
      <c r="S10431" t="str">
        <f>"CAIXA MOVIMENTAÇÃO OPERACIONAL (132)"</f>
        <v>CAIXA MOVIMENTAÇÃO OPERACIONAL (132)</v>
      </c>
      <c r="T10431">
        <v>21132</v>
      </c>
      <c r="U10431">
        <v>25489</v>
      </c>
      <c r="V10431" t="s">
        <v>48</v>
      </c>
    </row>
    <row r="10432" spans="1:22">
      <c r="A10432" t="str">
        <f t="shared" si="1974"/>
        <v>13/11/2025</v>
      </c>
      <c r="B10432" t="str">
        <f>"SAÍDA"</f>
        <v>SAÍDA</v>
      </c>
      <c r="C10432" t="str">
        <f>"PIX"</f>
        <v>PIX</v>
      </c>
      <c r="D10432" t="str">
        <f>"25019"</f>
        <v>25019</v>
      </c>
      <c r="E10432" t="str">
        <f>"1"</f>
        <v>1</v>
      </c>
      <c r="F10432" t="str">
        <f t="shared" si="1980"/>
        <v>COM</v>
      </c>
      <c r="G10432" t="str">
        <f>"WILLIAM ANDRE SILVA COELLO (850)"</f>
        <v>WILLIAM ANDRE SILVA COELLO (850)</v>
      </c>
      <c r="H10432" t="s">
        <v>2909</v>
      </c>
      <c r="I10432" t="str">
        <f t="shared" si="1981"/>
        <v>13/11/2025</v>
      </c>
      <c r="J10432" t="str">
        <f>("10/11/2025")</f>
        <v>10/11/2025</v>
      </c>
      <c r="K10432">
        <v>45974</v>
      </c>
      <c r="N10432">
        <v>109</v>
      </c>
      <c r="O10432" t="s">
        <v>24</v>
      </c>
      <c r="Q10432">
        <v>20</v>
      </c>
      <c r="R10432" t="str">
        <f>"DROGARIA ANA VISCONDE DO RIO BRANCO (10182)"</f>
        <v>DROGARIA ANA VISCONDE DO RIO BRANCO (10182)</v>
      </c>
      <c r="S10432" t="s">
        <v>48</v>
      </c>
      <c r="T10432">
        <v>21132</v>
      </c>
      <c r="U10432">
        <v>25489</v>
      </c>
      <c r="V10432" t="s">
        <v>48</v>
      </c>
    </row>
    <row r="10433" spans="1:22">
      <c r="A10433" t="str">
        <f t="shared" si="1974"/>
        <v>13/11/2025</v>
      </c>
      <c r="B10433" t="str">
        <f>"ENTRADA"</f>
        <v>ENTRADA</v>
      </c>
      <c r="C10433" t="str">
        <f>"DINHEIRO"</f>
        <v>DINHEIRO</v>
      </c>
      <c r="D10433" t="str">
        <f>"655"</f>
        <v>655</v>
      </c>
      <c r="E10433" t="str">
        <f>"10"</f>
        <v>10</v>
      </c>
      <c r="F10433" t="str">
        <f t="shared" si="1980"/>
        <v>COM</v>
      </c>
      <c r="G10433" t="str">
        <f>"WILLIAM DA SILVA COSTA (655)"</f>
        <v>WILLIAM DA SILVA COSTA (655)</v>
      </c>
      <c r="H10433" t="str">
        <f>"COTAS COOPERATIVA"</f>
        <v>COTAS COOPERATIVA</v>
      </c>
      <c r="I10433" t="str">
        <f t="shared" si="1981"/>
        <v>13/11/2025</v>
      </c>
      <c r="J10433" t="str">
        <f>("13/02/2025")</f>
        <v>13/02/2025</v>
      </c>
      <c r="K10433" t="str">
        <f>("13/11/2025")</f>
        <v>13/11/2025</v>
      </c>
      <c r="L10433">
        <v>20</v>
      </c>
      <c r="M10433">
        <v>20</v>
      </c>
      <c r="N10433">
        <v>106</v>
      </c>
      <c r="O10433" t="str">
        <f>"ENTRADA DE CAPITAL"</f>
        <v>ENTRADA DE CAPITAL</v>
      </c>
      <c r="P10433">
        <v>20</v>
      </c>
      <c r="S10433" t="str">
        <f>"ENTRADA DE CAPITAL (106)"</f>
        <v>ENTRADA DE CAPITAL (106)</v>
      </c>
      <c r="T10433">
        <v>21133</v>
      </c>
      <c r="U10433">
        <v>9801</v>
      </c>
      <c r="V10433" t="s">
        <v>48</v>
      </c>
    </row>
    <row r="10434" spans="1:22">
      <c r="A10434" t="str">
        <f t="shared" si="1974"/>
        <v>13/11/2025</v>
      </c>
      <c r="B10434" t="str">
        <f>"ENTRADA"</f>
        <v>ENTRADA</v>
      </c>
      <c r="C10434" t="str">
        <f>"DINHEIRO"</f>
        <v>DINHEIRO</v>
      </c>
      <c r="D10434" t="str">
        <f>"655"</f>
        <v>655</v>
      </c>
      <c r="E10434" t="str">
        <f>"10"</f>
        <v>10</v>
      </c>
      <c r="F10434" t="str">
        <f t="shared" si="1980"/>
        <v>COM</v>
      </c>
      <c r="G10434" t="str">
        <f>"WILLIAM DA SILVA COSTA (655)"</f>
        <v>WILLIAM DA SILVA COSTA (655)</v>
      </c>
      <c r="H10434" t="s">
        <v>318</v>
      </c>
      <c r="I10434" t="str">
        <f t="shared" si="1981"/>
        <v>13/11/2025</v>
      </c>
      <c r="J10434" t="str">
        <f>("13/02/2025")</f>
        <v>13/02/2025</v>
      </c>
      <c r="K10434">
        <v>45974</v>
      </c>
      <c r="N10434">
        <v>106</v>
      </c>
      <c r="O10434" t="s">
        <v>51</v>
      </c>
      <c r="Q10434">
        <v>20</v>
      </c>
      <c r="R10434" t="str">
        <f>"WILLIAM DA SILVA COSTA (655)"</f>
        <v>WILLIAM DA SILVA COSTA (655)</v>
      </c>
      <c r="S10434" t="s">
        <v>52</v>
      </c>
      <c r="T10434">
        <v>21133</v>
      </c>
      <c r="U10434">
        <v>9801</v>
      </c>
      <c r="V10434" t="s">
        <v>48</v>
      </c>
    </row>
    <row r="10435" spans="1:22">
      <c r="A10435" t="str">
        <f t="shared" si="1974"/>
        <v>13/11/2025</v>
      </c>
      <c r="B10435" t="str">
        <f>"SAÍDA"</f>
        <v>SAÍDA</v>
      </c>
      <c r="C10435" t="str">
        <f>"PIX"</f>
        <v>PIX</v>
      </c>
      <c r="D10435" t="str">
        <f>"25055"</f>
        <v>25055</v>
      </c>
      <c r="E10435" t="str">
        <f>"1"</f>
        <v>1</v>
      </c>
      <c r="F10435" t="str">
        <f t="shared" si="1980"/>
        <v>COM</v>
      </c>
      <c r="G10435" t="str">
        <f>"WILLIAM DA SILVA COSTA (655)"</f>
        <v>WILLIAM DA SILVA COSTA (655)</v>
      </c>
      <c r="H10435" t="str">
        <f>"Serv.Prest. 03/11/2025 a 09/11/2025 - PIX: CELULAR - CHAVE: (64) 97400-9101"</f>
        <v>Serv.Prest. 03/11/2025 a 09/11/2025 - PIX: CELULAR - CHAVE: (64) 97400-9101</v>
      </c>
      <c r="I10435" t="str">
        <f t="shared" si="1981"/>
        <v>13/11/2025</v>
      </c>
      <c r="J10435" t="str">
        <f>("10/11/2025")</f>
        <v>10/11/2025</v>
      </c>
      <c r="K10435" t="str">
        <f>("13/11/2025")</f>
        <v>13/11/2025</v>
      </c>
      <c r="L10435">
        <v>20</v>
      </c>
      <c r="M10435">
        <v>20</v>
      </c>
      <c r="N10435">
        <v>109</v>
      </c>
      <c r="O10435" t="str">
        <f>"PAGAMENTO DE ENTREGADORES"</f>
        <v>PAGAMENTO DE ENTREGADORES</v>
      </c>
      <c r="P10435">
        <v>20</v>
      </c>
      <c r="S10435" t="str">
        <f>"CAIXA MOVIMENTAÇÃO OPERACIONAL (132)"</f>
        <v>CAIXA MOVIMENTAÇÃO OPERACIONAL (132)</v>
      </c>
      <c r="T10435">
        <v>21134</v>
      </c>
      <c r="U10435">
        <v>25490</v>
      </c>
      <c r="V10435" t="s">
        <v>48</v>
      </c>
    </row>
    <row r="10436" spans="1:22">
      <c r="A10436" t="str">
        <f t="shared" si="1974"/>
        <v>13/11/2025</v>
      </c>
      <c r="B10436" t="str">
        <f>"SAÍDA"</f>
        <v>SAÍDA</v>
      </c>
      <c r="C10436" t="str">
        <f>"PIX"</f>
        <v>PIX</v>
      </c>
      <c r="D10436" t="str">
        <f>"25055"</f>
        <v>25055</v>
      </c>
      <c r="E10436" t="str">
        <f>"1"</f>
        <v>1</v>
      </c>
      <c r="F10436" t="str">
        <f t="shared" si="1980"/>
        <v>COM</v>
      </c>
      <c r="G10436" t="str">
        <f>"WILLIAM DA SILVA COSTA (655)"</f>
        <v>WILLIAM DA SILVA COSTA (655)</v>
      </c>
      <c r="H10436" t="s">
        <v>2910</v>
      </c>
      <c r="I10436" t="str">
        <f t="shared" si="1981"/>
        <v>13/11/2025</v>
      </c>
      <c r="J10436" t="str">
        <f>("10/11/2025")</f>
        <v>10/11/2025</v>
      </c>
      <c r="K10436">
        <v>45974</v>
      </c>
      <c r="N10436">
        <v>109</v>
      </c>
      <c r="O10436" t="s">
        <v>24</v>
      </c>
      <c r="Q10436">
        <v>20</v>
      </c>
      <c r="R10436" t="str">
        <f>"FARMACIA ECONOMIZE (10103)"</f>
        <v>FARMACIA ECONOMIZE (10103)</v>
      </c>
      <c r="S10436" t="s">
        <v>48</v>
      </c>
      <c r="T10436">
        <v>21134</v>
      </c>
      <c r="U10436">
        <v>25490</v>
      </c>
      <c r="V10436" t="s">
        <v>48</v>
      </c>
    </row>
    <row r="10437" spans="1:22">
      <c r="A10437" t="str">
        <f t="shared" si="1974"/>
        <v>13/11/2025</v>
      </c>
      <c r="B10437" t="str">
        <f>"ENTRADA"</f>
        <v>ENTRADA</v>
      </c>
      <c r="C10437" t="str">
        <f>"DINHEIRO"</f>
        <v>DINHEIRO</v>
      </c>
      <c r="D10437" t="str">
        <f>"875"</f>
        <v>875</v>
      </c>
      <c r="E10437" t="str">
        <f>"4"</f>
        <v>4</v>
      </c>
      <c r="F10437" t="str">
        <f t="shared" si="1980"/>
        <v>COM</v>
      </c>
      <c r="G10437" t="str">
        <f>"YAN EVERTON RODRIGUES DE LIMA (875)"</f>
        <v>YAN EVERTON RODRIGUES DE LIMA (875)</v>
      </c>
      <c r="H10437" t="str">
        <f>"COTA COOPERATIVA"</f>
        <v>COTA COOPERATIVA</v>
      </c>
      <c r="I10437" t="str">
        <f>("10/11/2025")</f>
        <v>10/11/2025</v>
      </c>
      <c r="J10437" t="str">
        <f>("10/07/2025")</f>
        <v>10/07/2025</v>
      </c>
      <c r="K10437" t="str">
        <f>("13/11/2025")</f>
        <v>13/11/2025</v>
      </c>
      <c r="L10437">
        <v>20</v>
      </c>
      <c r="M10437">
        <v>20</v>
      </c>
      <c r="N10437">
        <v>106</v>
      </c>
      <c r="O10437" t="str">
        <f>"ENTRADA DE CAPITAL"</f>
        <v>ENTRADA DE CAPITAL</v>
      </c>
      <c r="P10437">
        <v>20</v>
      </c>
      <c r="S10437" t="str">
        <f>"ENTRADA DE CAPITAL (106)"</f>
        <v>ENTRADA DE CAPITAL (106)</v>
      </c>
      <c r="T10437">
        <v>21135</v>
      </c>
      <c r="U10437">
        <v>20019</v>
      </c>
      <c r="V10437" t="s">
        <v>48</v>
      </c>
    </row>
    <row r="10438" spans="1:22">
      <c r="A10438" t="str">
        <f t="shared" si="1974"/>
        <v>13/11/2025</v>
      </c>
      <c r="B10438" t="str">
        <f>"ENTRADA"</f>
        <v>ENTRADA</v>
      </c>
      <c r="C10438" t="str">
        <f>"DINHEIRO"</f>
        <v>DINHEIRO</v>
      </c>
      <c r="D10438" t="str">
        <f>"875"</f>
        <v>875</v>
      </c>
      <c r="E10438" t="str">
        <f>"4"</f>
        <v>4</v>
      </c>
      <c r="F10438" t="str">
        <f t="shared" si="1980"/>
        <v>COM</v>
      </c>
      <c r="G10438" t="str">
        <f>"YAN EVERTON RODRIGUES DE LIMA (875)"</f>
        <v>YAN EVERTON RODRIGUES DE LIMA (875)</v>
      </c>
      <c r="H10438" t="s">
        <v>50</v>
      </c>
      <c r="I10438" t="str">
        <f>("10/11/2025")</f>
        <v>10/11/2025</v>
      </c>
      <c r="J10438" t="str">
        <f>("10/07/2025")</f>
        <v>10/07/2025</v>
      </c>
      <c r="K10438">
        <v>45974</v>
      </c>
      <c r="N10438">
        <v>106</v>
      </c>
      <c r="O10438" t="s">
        <v>51</v>
      </c>
      <c r="Q10438">
        <v>20</v>
      </c>
      <c r="R10438" t="str">
        <f>"YAN EVERTON RODRIGUES DE LIMA (875)"</f>
        <v>YAN EVERTON RODRIGUES DE LIMA (875)</v>
      </c>
      <c r="S10438" t="s">
        <v>52</v>
      </c>
      <c r="T10438">
        <v>21135</v>
      </c>
      <c r="U10438">
        <v>20019</v>
      </c>
      <c r="V10438" t="s">
        <v>48</v>
      </c>
    </row>
    <row r="10439" spans="1:22">
      <c r="A10439" t="str">
        <f t="shared" si="1974"/>
        <v>13/11/2025</v>
      </c>
      <c r="B10439" t="str">
        <f>"SAÍDA"</f>
        <v>SAÍDA</v>
      </c>
      <c r="C10439" t="str">
        <f>"PIX"</f>
        <v>PIX</v>
      </c>
      <c r="D10439" t="str">
        <f>"24832"</f>
        <v>24832</v>
      </c>
      <c r="E10439" t="str">
        <f>"1"</f>
        <v>1</v>
      </c>
      <c r="F10439" t="str">
        <f t="shared" si="1980"/>
        <v>COM</v>
      </c>
      <c r="G10439" t="str">
        <f>"YAN EVERTON RODRIGUES DE LIMA (875)"</f>
        <v>YAN EVERTON RODRIGUES DE LIMA (875)</v>
      </c>
      <c r="H10439" t="str">
        <f>"Serv.Prest. 24/10/2025 a 02/11/2025 - PIX: CELULAR - CHAVE: (33) 99859-8751"</f>
        <v>Serv.Prest. 24/10/2025 a 02/11/2025 - PIX: CELULAR - CHAVE: (33) 99859-8751</v>
      </c>
      <c r="I10439" t="str">
        <f>("13/11/2025")</f>
        <v>13/11/2025</v>
      </c>
      <c r="J10439" t="str">
        <f>("04/11/2025")</f>
        <v>04/11/2025</v>
      </c>
      <c r="K10439" t="str">
        <f>("13/11/2025")</f>
        <v>13/11/2025</v>
      </c>
      <c r="L10439">
        <v>20</v>
      </c>
      <c r="M10439">
        <v>20</v>
      </c>
      <c r="N10439">
        <v>109</v>
      </c>
      <c r="O10439" t="str">
        <f>"PAGAMENTO DE ENTREGADORES"</f>
        <v>PAGAMENTO DE ENTREGADORES</v>
      </c>
      <c r="P10439">
        <v>20</v>
      </c>
      <c r="S10439" t="str">
        <f>"CAIXA MOVIMENTAÇÃO OPERACIONAL (132)"</f>
        <v>CAIXA MOVIMENTAÇÃO OPERACIONAL (132)</v>
      </c>
      <c r="T10439">
        <v>21136</v>
      </c>
      <c r="U10439">
        <v>25491</v>
      </c>
      <c r="V10439" t="s">
        <v>48</v>
      </c>
    </row>
    <row r="10440" spans="1:22">
      <c r="A10440" t="str">
        <f t="shared" si="1974"/>
        <v>13/11/2025</v>
      </c>
      <c r="B10440" t="str">
        <f>"SAÍDA"</f>
        <v>SAÍDA</v>
      </c>
      <c r="C10440" t="str">
        <f>"PIX"</f>
        <v>PIX</v>
      </c>
      <c r="D10440" t="str">
        <f>"24832"</f>
        <v>24832</v>
      </c>
      <c r="E10440" t="str">
        <f>"1"</f>
        <v>1</v>
      </c>
      <c r="F10440" t="str">
        <f t="shared" si="1980"/>
        <v>COM</v>
      </c>
      <c r="G10440" t="str">
        <f>"YAN EVERTON RODRIGUES DE LIMA (875)"</f>
        <v>YAN EVERTON RODRIGUES DE LIMA (875)</v>
      </c>
      <c r="H10440" t="s">
        <v>2911</v>
      </c>
      <c r="I10440" t="str">
        <f>("13/11/2025")</f>
        <v>13/11/2025</v>
      </c>
      <c r="J10440" t="str">
        <f>("04/11/2025")</f>
        <v>04/11/2025</v>
      </c>
      <c r="K10440">
        <v>45974</v>
      </c>
      <c r="N10440">
        <v>109</v>
      </c>
      <c r="O10440" t="s">
        <v>24</v>
      </c>
      <c r="Q10440">
        <v>20</v>
      </c>
      <c r="R10440" t="str">
        <f>"FARMÁCIA INDIANA LJ 06 (10006)"</f>
        <v>FARMÁCIA INDIANA LJ 06 (10006)</v>
      </c>
      <c r="S10440" t="s">
        <v>48</v>
      </c>
      <c r="T10440">
        <v>21136</v>
      </c>
      <c r="U10440">
        <v>25491</v>
      </c>
      <c r="V10440" t="s">
        <v>48</v>
      </c>
    </row>
    <row r="10441" spans="1:22">
      <c r="A10441" t="str">
        <f t="shared" si="1974"/>
        <v>13/11/2025</v>
      </c>
      <c r="B10441" t="str">
        <f>"ENTRADA"</f>
        <v>ENTRADA</v>
      </c>
      <c r="C10441" t="str">
        <f>"DINHEIRO"</f>
        <v>DINHEIRO</v>
      </c>
      <c r="D10441" t="str">
        <f>"926"</f>
        <v>926</v>
      </c>
      <c r="E10441" t="str">
        <f>"2"</f>
        <v>2</v>
      </c>
      <c r="F10441" t="str">
        <f t="shared" si="1980"/>
        <v>COM</v>
      </c>
      <c r="G10441" t="str">
        <f>"YAN FILIPUTI CORA (926)"</f>
        <v>YAN FILIPUTI CORA (926)</v>
      </c>
      <c r="H10441" t="str">
        <f>"COTA COOPERATIVA"</f>
        <v>COTA COOPERATIVA</v>
      </c>
      <c r="I10441" t="str">
        <f>("10/11/2025")</f>
        <v>10/11/2025</v>
      </c>
      <c r="J10441" t="str">
        <f>("12/09/2025")</f>
        <v>12/09/2025</v>
      </c>
      <c r="K10441" t="str">
        <f>("13/11/2025")</f>
        <v>13/11/2025</v>
      </c>
      <c r="L10441">
        <v>20</v>
      </c>
      <c r="M10441">
        <v>20</v>
      </c>
      <c r="N10441">
        <v>106</v>
      </c>
      <c r="O10441" t="str">
        <f>"ENTRADA DE CAPITAL"</f>
        <v>ENTRADA DE CAPITAL</v>
      </c>
      <c r="P10441">
        <v>20</v>
      </c>
      <c r="S10441" t="str">
        <f>"ENTRADA DE CAPITAL (106)"</f>
        <v>ENTRADA DE CAPITAL (106)</v>
      </c>
      <c r="T10441">
        <v>21137</v>
      </c>
      <c r="U10441">
        <v>23494</v>
      </c>
      <c r="V10441" t="s">
        <v>48</v>
      </c>
    </row>
    <row r="10442" spans="1:22">
      <c r="A10442" t="str">
        <f t="shared" si="1974"/>
        <v>13/11/2025</v>
      </c>
      <c r="B10442" t="str">
        <f>"ENTRADA"</f>
        <v>ENTRADA</v>
      </c>
      <c r="C10442" t="str">
        <f>"DINHEIRO"</f>
        <v>DINHEIRO</v>
      </c>
      <c r="D10442" t="str">
        <f>"926"</f>
        <v>926</v>
      </c>
      <c r="E10442" t="str">
        <f>"2"</f>
        <v>2</v>
      </c>
      <c r="F10442" t="str">
        <f t="shared" si="1980"/>
        <v>COM</v>
      </c>
      <c r="G10442" t="str">
        <f>"YAN FILIPUTI CORA (926)"</f>
        <v>YAN FILIPUTI CORA (926)</v>
      </c>
      <c r="H10442" t="s">
        <v>50</v>
      </c>
      <c r="I10442" t="str">
        <f>("10/11/2025")</f>
        <v>10/11/2025</v>
      </c>
      <c r="J10442" t="str">
        <f>("12/09/2025")</f>
        <v>12/09/2025</v>
      </c>
      <c r="K10442">
        <v>45974</v>
      </c>
      <c r="N10442">
        <v>106</v>
      </c>
      <c r="O10442" t="s">
        <v>51</v>
      </c>
      <c r="Q10442">
        <v>20</v>
      </c>
      <c r="R10442" t="str">
        <f>"YAN FILIPUTI CORA (926)"</f>
        <v>YAN FILIPUTI CORA (926)</v>
      </c>
      <c r="S10442" t="s">
        <v>52</v>
      </c>
      <c r="T10442">
        <v>21137</v>
      </c>
      <c r="U10442">
        <v>23494</v>
      </c>
      <c r="V10442" t="s">
        <v>48</v>
      </c>
    </row>
    <row r="10443" spans="1:22">
      <c r="A10443" t="str">
        <f t="shared" si="1974"/>
        <v>13/11/2025</v>
      </c>
      <c r="B10443" t="str">
        <f>"SAÍDA"</f>
        <v>SAÍDA</v>
      </c>
      <c r="C10443" t="str">
        <f>"PIX"</f>
        <v>PIX</v>
      </c>
      <c r="D10443" t="str">
        <f>"25067"</f>
        <v>25067</v>
      </c>
      <c r="E10443" t="str">
        <f>"1"</f>
        <v>1</v>
      </c>
      <c r="F10443" t="str">
        <f t="shared" si="1980"/>
        <v>COM</v>
      </c>
      <c r="G10443" t="str">
        <f>"YAN FILIPUTI CORA (926)"</f>
        <v>YAN FILIPUTI CORA (926)</v>
      </c>
      <c r="H10443" t="str">
        <f>"Serv.Prest. 03/11/2025 a 09/11/2025 - PIX: CELULAR - CHAVE: (28) 98816-4170"</f>
        <v>Serv.Prest. 03/11/2025 a 09/11/2025 - PIX: CELULAR - CHAVE: (28) 98816-4170</v>
      </c>
      <c r="I10443" t="str">
        <f t="shared" ref="I10443:I10448" si="1982">("13/11/2025")</f>
        <v>13/11/2025</v>
      </c>
      <c r="J10443" t="str">
        <f>("10/11/2025")</f>
        <v>10/11/2025</v>
      </c>
      <c r="K10443" t="str">
        <f>("13/11/2025")</f>
        <v>13/11/2025</v>
      </c>
      <c r="L10443">
        <v>20</v>
      </c>
      <c r="M10443">
        <v>20</v>
      </c>
      <c r="N10443">
        <v>109</v>
      </c>
      <c r="O10443" t="str">
        <f>"PAGAMENTO DE ENTREGADORES"</f>
        <v>PAGAMENTO DE ENTREGADORES</v>
      </c>
      <c r="P10443">
        <v>20</v>
      </c>
      <c r="S10443" t="str">
        <f>"CAIXA MOVIMENTAÇÃO OPERACIONAL (132)"</f>
        <v>CAIXA MOVIMENTAÇÃO OPERACIONAL (132)</v>
      </c>
      <c r="T10443">
        <v>21138</v>
      </c>
      <c r="U10443">
        <v>25492</v>
      </c>
      <c r="V10443" t="s">
        <v>48</v>
      </c>
    </row>
    <row r="10444" spans="1:22">
      <c r="A10444" t="str">
        <f t="shared" si="1974"/>
        <v>13/11/2025</v>
      </c>
      <c r="B10444" t="str">
        <f>"SAÍDA"</f>
        <v>SAÍDA</v>
      </c>
      <c r="C10444" t="str">
        <f>"PIX"</f>
        <v>PIX</v>
      </c>
      <c r="D10444" t="str">
        <f>"25067"</f>
        <v>25067</v>
      </c>
      <c r="E10444" t="str">
        <f>"1"</f>
        <v>1</v>
      </c>
      <c r="F10444" t="str">
        <f t="shared" si="1980"/>
        <v>COM</v>
      </c>
      <c r="G10444" t="str">
        <f>"YAN FILIPUTI CORA (926)"</f>
        <v>YAN FILIPUTI CORA (926)</v>
      </c>
      <c r="H10444" t="s">
        <v>2912</v>
      </c>
      <c r="I10444" t="str">
        <f t="shared" si="1982"/>
        <v>13/11/2025</v>
      </c>
      <c r="J10444" t="str">
        <f>("10/11/2025")</f>
        <v>10/11/2025</v>
      </c>
      <c r="K10444">
        <v>45974</v>
      </c>
      <c r="N10444">
        <v>109</v>
      </c>
      <c r="O10444" t="s">
        <v>24</v>
      </c>
      <c r="Q10444">
        <v>20</v>
      </c>
      <c r="R10444" t="str">
        <f>"LBL FARMACIA LTDA (10189)"</f>
        <v>LBL FARMACIA LTDA (10189)</v>
      </c>
      <c r="S10444" t="s">
        <v>48</v>
      </c>
      <c r="T10444">
        <v>21138</v>
      </c>
      <c r="U10444">
        <v>25492</v>
      </c>
      <c r="V10444" t="s">
        <v>48</v>
      </c>
    </row>
    <row r="10445" spans="1:22">
      <c r="A10445" t="str">
        <f t="shared" si="1974"/>
        <v>13/11/2025</v>
      </c>
      <c r="B10445" t="str">
        <f>"SAÍDA"</f>
        <v>SAÍDA</v>
      </c>
      <c r="C10445" t="str">
        <f>"PIX"</f>
        <v>PIX</v>
      </c>
      <c r="D10445" t="str">
        <f>"131120"</f>
        <v>131120</v>
      </c>
      <c r="E10445" t="str">
        <f>"25"</f>
        <v>25</v>
      </c>
      <c r="F10445" t="str">
        <f t="shared" si="1980"/>
        <v>COM</v>
      </c>
      <c r="G10445" t="str">
        <f>"WEIGNE SENA CARDOSO (53)"</f>
        <v>WEIGNE SENA CARDOSO (53)</v>
      </c>
      <c r="H10445" t="str">
        <f>"PAGAMENTO LIDERENÇA REF. MES 10/2025 - PIX: CPF - CHAVE: 097.245.586-81"</f>
        <v>PAGAMENTO LIDERENÇA REF. MES 10/2025 - PIX: CPF - CHAVE: 097.245.586-81</v>
      </c>
      <c r="I10445" t="str">
        <f t="shared" si="1982"/>
        <v>13/11/2025</v>
      </c>
      <c r="J10445" t="str">
        <f>("31/10/2025")</f>
        <v>31/10/2025</v>
      </c>
      <c r="K10445" t="str">
        <f>("13/11/2025")</f>
        <v>13/11/2025</v>
      </c>
      <c r="L10445">
        <v>1250</v>
      </c>
      <c r="M10445">
        <v>1250</v>
      </c>
      <c r="N10445">
        <v>120</v>
      </c>
      <c r="O10445" t="str">
        <f>"PAGAMENTO COMISSAO LIDERES"</f>
        <v>PAGAMENTO COMISSAO LIDERES</v>
      </c>
      <c r="P10445">
        <v>1250</v>
      </c>
      <c r="S10445" t="str">
        <f>"BANCO CORA (102)"</f>
        <v>BANCO CORA (102)</v>
      </c>
      <c r="T10445">
        <v>21140</v>
      </c>
      <c r="U10445">
        <v>25493</v>
      </c>
      <c r="V10445" t="s">
        <v>22</v>
      </c>
    </row>
    <row r="10446" spans="1:22">
      <c r="A10446" t="str">
        <f t="shared" si="1974"/>
        <v>13/11/2025</v>
      </c>
      <c r="B10446" t="str">
        <f>"SAÍDA"</f>
        <v>SAÍDA</v>
      </c>
      <c r="C10446" t="str">
        <f>"PIX"</f>
        <v>PIX</v>
      </c>
      <c r="D10446" t="str">
        <f>"131120"</f>
        <v>131120</v>
      </c>
      <c r="E10446" t="str">
        <f>"25"</f>
        <v>25</v>
      </c>
      <c r="F10446" t="str">
        <f t="shared" si="1980"/>
        <v>COM</v>
      </c>
      <c r="G10446" t="str">
        <f>"WEIGNE SENA CARDOSO (53)"</f>
        <v>WEIGNE SENA CARDOSO (53)</v>
      </c>
      <c r="H10446" t="s">
        <v>2913</v>
      </c>
      <c r="I10446" t="str">
        <f t="shared" si="1982"/>
        <v>13/11/2025</v>
      </c>
      <c r="J10446" t="str">
        <f>("31/10/2025")</f>
        <v>31/10/2025</v>
      </c>
      <c r="K10446">
        <v>45974</v>
      </c>
      <c r="N10446">
        <v>120</v>
      </c>
      <c r="O10446" t="s">
        <v>306</v>
      </c>
      <c r="Q10446">
        <v>1250</v>
      </c>
      <c r="R10446" t="str">
        <f>"FARMÁCIA INDIANA LJ 07 (10007)"</f>
        <v>FARMÁCIA INDIANA LJ 07 (10007)</v>
      </c>
      <c r="S10446" t="s">
        <v>22</v>
      </c>
      <c r="T10446">
        <v>21140</v>
      </c>
      <c r="U10446">
        <v>25493</v>
      </c>
      <c r="V10446" t="s">
        <v>22</v>
      </c>
    </row>
    <row r="10447" spans="1:22">
      <c r="A10447" t="str">
        <f t="shared" si="1974"/>
        <v>13/11/2025</v>
      </c>
      <c r="B10447" t="str">
        <f t="shared" ref="B10447:B10478" si="1983">"ENTRADA"</f>
        <v>ENTRADA</v>
      </c>
      <c r="C10447" t="str">
        <f t="shared" ref="C10447:C10478" si="1984">"NFSE"</f>
        <v>NFSE</v>
      </c>
      <c r="D10447" t="str">
        <f>"3697"</f>
        <v>3697</v>
      </c>
      <c r="E10447" t="str">
        <f t="shared" ref="E10447:E10478" si="1985">"1"</f>
        <v>1</v>
      </c>
      <c r="F10447" t="str">
        <f t="shared" si="1980"/>
        <v>COM</v>
      </c>
      <c r="G10447" t="str">
        <f>"DROGA HONDA (10149)"</f>
        <v>DROGA HONDA (10149)</v>
      </c>
      <c r="H10447" t="str">
        <f>"Serv.Prest. 03/11/2025 a 09/11/2025 - RPS: 1573 - NFSe: 3697"</f>
        <v>Serv.Prest. 03/11/2025 a 09/11/2025 - RPS: 1573 - NFSe: 3697</v>
      </c>
      <c r="I10447" t="str">
        <f t="shared" si="1982"/>
        <v>13/11/2025</v>
      </c>
      <c r="J10447" t="str">
        <f>("11/11/2025")</f>
        <v>11/11/2025</v>
      </c>
      <c r="K10447" t="str">
        <f>("13/11/2025")</f>
        <v>13/11/2025</v>
      </c>
      <c r="L10447">
        <v>1259.5999999999999</v>
      </c>
      <c r="M10447">
        <v>1259.5999999999999</v>
      </c>
      <c r="N10447">
        <v>303</v>
      </c>
      <c r="O10447" t="str">
        <f>"RECEITAS COM ENTREGAS"</f>
        <v>RECEITAS COM ENTREGAS</v>
      </c>
      <c r="P10447">
        <v>1259.5999999999999</v>
      </c>
      <c r="S10447" t="str">
        <f>"RECEITAS COM ENTREGAS (303)"</f>
        <v>RECEITAS COM ENTREGAS (303)</v>
      </c>
      <c r="T10447">
        <v>21168</v>
      </c>
      <c r="U10447">
        <v>25247</v>
      </c>
      <c r="V10447" t="s">
        <v>22</v>
      </c>
    </row>
    <row r="10448" spans="1:22">
      <c r="A10448" t="str">
        <f t="shared" si="1974"/>
        <v>13/11/2025</v>
      </c>
      <c r="B10448" t="str">
        <f t="shared" si="1983"/>
        <v>ENTRADA</v>
      </c>
      <c r="C10448" t="str">
        <f t="shared" si="1984"/>
        <v>NFSE</v>
      </c>
      <c r="D10448" t="str">
        <f>"3697"</f>
        <v>3697</v>
      </c>
      <c r="E10448" t="str">
        <f t="shared" si="1985"/>
        <v>1</v>
      </c>
      <c r="F10448" t="str">
        <f t="shared" si="1980"/>
        <v>COM</v>
      </c>
      <c r="G10448" t="str">
        <f>"DROGA HONDA (10149)"</f>
        <v>DROGA HONDA (10149)</v>
      </c>
      <c r="H10448" t="s">
        <v>2914</v>
      </c>
      <c r="I10448" t="str">
        <f t="shared" si="1982"/>
        <v>13/11/2025</v>
      </c>
      <c r="J10448" t="str">
        <f>("11/11/2025")</f>
        <v>11/11/2025</v>
      </c>
      <c r="K10448">
        <v>45974</v>
      </c>
      <c r="N10448">
        <v>303</v>
      </c>
      <c r="O10448" t="s">
        <v>69</v>
      </c>
      <c r="Q10448">
        <v>1259.5999999999999</v>
      </c>
      <c r="R10448" t="str">
        <f>"DROGA HONDA (10149)"</f>
        <v>DROGA HONDA (10149)</v>
      </c>
      <c r="S10448" t="s">
        <v>70</v>
      </c>
      <c r="T10448">
        <v>21168</v>
      </c>
      <c r="U10448">
        <v>25247</v>
      </c>
      <c r="V10448" t="s">
        <v>22</v>
      </c>
    </row>
    <row r="10449" spans="1:22">
      <c r="A10449" t="str">
        <f t="shared" si="1974"/>
        <v>13/11/2025</v>
      </c>
      <c r="B10449" t="str">
        <f t="shared" si="1983"/>
        <v>ENTRADA</v>
      </c>
      <c r="C10449" t="str">
        <f t="shared" si="1984"/>
        <v>NFSE</v>
      </c>
      <c r="D10449" t="str">
        <f>"3684"</f>
        <v>3684</v>
      </c>
      <c r="E10449" t="str">
        <f t="shared" si="1985"/>
        <v>1</v>
      </c>
      <c r="F10449" t="str">
        <f t="shared" si="1980"/>
        <v>COM</v>
      </c>
      <c r="G10449" t="str">
        <f>"JAL FARMACIA E DROGARIA LJ 1 (10137)"</f>
        <v>JAL FARMACIA E DROGARIA LJ 1 (10137)</v>
      </c>
      <c r="H10449" t="str">
        <f>"Serv.Prest. 03/11/2025 a 09/11/2025 - RPS: 1560 - NFSe: 3684"</f>
        <v>Serv.Prest. 03/11/2025 a 09/11/2025 - RPS: 1560 - NFSe: 3684</v>
      </c>
      <c r="I10449" t="str">
        <f t="shared" ref="I10449:I10480" si="1986">("12/11/2025")</f>
        <v>12/11/2025</v>
      </c>
      <c r="J10449" t="str">
        <f t="shared" ref="J10449:J10456" si="1987">("10/11/2025")</f>
        <v>10/11/2025</v>
      </c>
      <c r="K10449" t="str">
        <f>("13/11/2025")</f>
        <v>13/11/2025</v>
      </c>
      <c r="L10449">
        <v>2278</v>
      </c>
      <c r="M10449">
        <v>2278</v>
      </c>
      <c r="N10449">
        <v>303</v>
      </c>
      <c r="O10449" t="str">
        <f>"RECEITAS COM ENTREGAS"</f>
        <v>RECEITAS COM ENTREGAS</v>
      </c>
      <c r="P10449">
        <v>2278</v>
      </c>
      <c r="S10449" t="str">
        <f>"RECEITAS COM ENTREGAS (303)"</f>
        <v>RECEITAS COM ENTREGAS (303)</v>
      </c>
      <c r="T10449">
        <v>21169</v>
      </c>
      <c r="U10449">
        <v>25060</v>
      </c>
      <c r="V10449" t="s">
        <v>22</v>
      </c>
    </row>
    <row r="10450" spans="1:22">
      <c r="A10450" t="str">
        <f t="shared" si="1974"/>
        <v>13/11/2025</v>
      </c>
      <c r="B10450" t="str">
        <f t="shared" si="1983"/>
        <v>ENTRADA</v>
      </c>
      <c r="C10450" t="str">
        <f t="shared" si="1984"/>
        <v>NFSE</v>
      </c>
      <c r="D10450" t="str">
        <f>"3684"</f>
        <v>3684</v>
      </c>
      <c r="E10450" t="str">
        <f t="shared" si="1985"/>
        <v>1</v>
      </c>
      <c r="F10450" t="str">
        <f t="shared" si="1980"/>
        <v>COM</v>
      </c>
      <c r="G10450" t="str">
        <f>"JAL FARMACIA E DROGARIA LJ 1 (10137)"</f>
        <v>JAL FARMACIA E DROGARIA LJ 1 (10137)</v>
      </c>
      <c r="H10450" t="s">
        <v>2915</v>
      </c>
      <c r="I10450" t="str">
        <f t="shared" si="1986"/>
        <v>12/11/2025</v>
      </c>
      <c r="J10450" t="str">
        <f t="shared" si="1987"/>
        <v>10/11/2025</v>
      </c>
      <c r="K10450">
        <v>45974</v>
      </c>
      <c r="N10450">
        <v>303</v>
      </c>
      <c r="O10450" t="s">
        <v>69</v>
      </c>
      <c r="Q10450">
        <v>2278</v>
      </c>
      <c r="R10450" t="str">
        <f>"JAL FARMACIA E DROGARIA LJ 1 (10137)"</f>
        <v>JAL FARMACIA E DROGARIA LJ 1 (10137)</v>
      </c>
      <c r="S10450" t="s">
        <v>70</v>
      </c>
      <c r="T10450">
        <v>21169</v>
      </c>
      <c r="U10450">
        <v>25060</v>
      </c>
      <c r="V10450" t="s">
        <v>22</v>
      </c>
    </row>
    <row r="10451" spans="1:22">
      <c r="A10451" t="str">
        <f t="shared" si="1974"/>
        <v>13/11/2025</v>
      </c>
      <c r="B10451" t="str">
        <f t="shared" si="1983"/>
        <v>ENTRADA</v>
      </c>
      <c r="C10451" t="str">
        <f t="shared" si="1984"/>
        <v>NFSE</v>
      </c>
      <c r="D10451" t="str">
        <f>"3671"</f>
        <v>3671</v>
      </c>
      <c r="E10451" t="str">
        <f t="shared" si="1985"/>
        <v>1</v>
      </c>
      <c r="F10451" t="str">
        <f t="shared" si="1980"/>
        <v>COM</v>
      </c>
      <c r="G10451" t="str">
        <f>"BRASIL FARMA (10173)"</f>
        <v>BRASIL FARMA (10173)</v>
      </c>
      <c r="H10451" t="str">
        <f>"Serv.Prest. 03/11/2025 a 09/11/2025 - RPS: 1547 - NFSe: 3671"</f>
        <v>Serv.Prest. 03/11/2025 a 09/11/2025 - RPS: 1547 - NFSe: 3671</v>
      </c>
      <c r="I10451" t="str">
        <f t="shared" si="1986"/>
        <v>12/11/2025</v>
      </c>
      <c r="J10451" t="str">
        <f t="shared" si="1987"/>
        <v>10/11/2025</v>
      </c>
      <c r="K10451" t="str">
        <f>("13/11/2025")</f>
        <v>13/11/2025</v>
      </c>
      <c r="L10451">
        <v>1705.1</v>
      </c>
      <c r="M10451">
        <v>1705.1</v>
      </c>
      <c r="N10451">
        <v>303</v>
      </c>
      <c r="O10451" t="str">
        <f>"RECEITAS COM ENTREGAS"</f>
        <v>RECEITAS COM ENTREGAS</v>
      </c>
      <c r="P10451">
        <v>1705.1</v>
      </c>
      <c r="S10451" t="str">
        <f>"RECEITAS COM ENTREGAS (303)"</f>
        <v>RECEITAS COM ENTREGAS (303)</v>
      </c>
      <c r="T10451">
        <v>21170</v>
      </c>
      <c r="U10451">
        <v>25007</v>
      </c>
      <c r="V10451" t="s">
        <v>22</v>
      </c>
    </row>
    <row r="10452" spans="1:22">
      <c r="A10452" t="str">
        <f t="shared" si="1974"/>
        <v>13/11/2025</v>
      </c>
      <c r="B10452" t="str">
        <f t="shared" si="1983"/>
        <v>ENTRADA</v>
      </c>
      <c r="C10452" t="str">
        <f t="shared" si="1984"/>
        <v>NFSE</v>
      </c>
      <c r="D10452" t="str">
        <f>"3671"</f>
        <v>3671</v>
      </c>
      <c r="E10452" t="str">
        <f t="shared" si="1985"/>
        <v>1</v>
      </c>
      <c r="F10452" t="str">
        <f t="shared" si="1980"/>
        <v>COM</v>
      </c>
      <c r="G10452" t="str">
        <f>"BRASIL FARMA (10173)"</f>
        <v>BRASIL FARMA (10173)</v>
      </c>
      <c r="H10452" t="s">
        <v>2916</v>
      </c>
      <c r="I10452" t="str">
        <f t="shared" si="1986"/>
        <v>12/11/2025</v>
      </c>
      <c r="J10452" t="str">
        <f t="shared" si="1987"/>
        <v>10/11/2025</v>
      </c>
      <c r="K10452">
        <v>45974</v>
      </c>
      <c r="N10452">
        <v>303</v>
      </c>
      <c r="O10452" t="s">
        <v>69</v>
      </c>
      <c r="Q10452">
        <v>1705.1</v>
      </c>
      <c r="R10452" t="str">
        <f>"BRASIL FARMA (10173)"</f>
        <v>BRASIL FARMA (10173)</v>
      </c>
      <c r="S10452" t="s">
        <v>70</v>
      </c>
      <c r="T10452">
        <v>21170</v>
      </c>
      <c r="U10452">
        <v>25007</v>
      </c>
      <c r="V10452" t="s">
        <v>22</v>
      </c>
    </row>
    <row r="10453" spans="1:22">
      <c r="A10453" t="str">
        <f t="shared" si="1974"/>
        <v>13/11/2025</v>
      </c>
      <c r="B10453" t="str">
        <f t="shared" si="1983"/>
        <v>ENTRADA</v>
      </c>
      <c r="C10453" t="str">
        <f t="shared" si="1984"/>
        <v>NFSE</v>
      </c>
      <c r="D10453" t="str">
        <f>"3685"</f>
        <v>3685</v>
      </c>
      <c r="E10453" t="str">
        <f t="shared" si="1985"/>
        <v>1</v>
      </c>
      <c r="F10453" t="str">
        <f t="shared" si="1980"/>
        <v>COM</v>
      </c>
      <c r="G10453" t="str">
        <f>"LBL FARMACIA LTDA (10189)"</f>
        <v>LBL FARMACIA LTDA (10189)</v>
      </c>
      <c r="H10453" t="str">
        <f>"Serv.Prest. 03/11/2025 a 09/11/2025 - RPS: 1561 - NFSe: 3685"</f>
        <v>Serv.Prest. 03/11/2025 a 09/11/2025 - RPS: 1561 - NFSe: 3685</v>
      </c>
      <c r="I10453" t="str">
        <f t="shared" si="1986"/>
        <v>12/11/2025</v>
      </c>
      <c r="J10453" t="str">
        <f t="shared" si="1987"/>
        <v>10/11/2025</v>
      </c>
      <c r="K10453" t="str">
        <f>("13/11/2025")</f>
        <v>13/11/2025</v>
      </c>
      <c r="L10453">
        <v>737.8</v>
      </c>
      <c r="M10453">
        <v>737.8</v>
      </c>
      <c r="N10453">
        <v>303</v>
      </c>
      <c r="O10453" t="str">
        <f>"RECEITAS COM ENTREGAS"</f>
        <v>RECEITAS COM ENTREGAS</v>
      </c>
      <c r="P10453">
        <v>737.8</v>
      </c>
      <c r="S10453" t="str">
        <f>"RECEITAS COM ENTREGAS (303)"</f>
        <v>RECEITAS COM ENTREGAS (303)</v>
      </c>
      <c r="T10453">
        <v>21171</v>
      </c>
      <c r="U10453">
        <v>25064</v>
      </c>
      <c r="V10453" t="s">
        <v>22</v>
      </c>
    </row>
    <row r="10454" spans="1:22">
      <c r="A10454" t="str">
        <f t="shared" si="1974"/>
        <v>13/11/2025</v>
      </c>
      <c r="B10454" t="str">
        <f t="shared" si="1983"/>
        <v>ENTRADA</v>
      </c>
      <c r="C10454" t="str">
        <f t="shared" si="1984"/>
        <v>NFSE</v>
      </c>
      <c r="D10454" t="str">
        <f>"3685"</f>
        <v>3685</v>
      </c>
      <c r="E10454" t="str">
        <f t="shared" si="1985"/>
        <v>1</v>
      </c>
      <c r="F10454" t="str">
        <f t="shared" si="1980"/>
        <v>COM</v>
      </c>
      <c r="G10454" t="str">
        <f>"LBL FARMACIA LTDA (10189)"</f>
        <v>LBL FARMACIA LTDA (10189)</v>
      </c>
      <c r="H10454" t="s">
        <v>2917</v>
      </c>
      <c r="I10454" t="str">
        <f t="shared" si="1986"/>
        <v>12/11/2025</v>
      </c>
      <c r="J10454" t="str">
        <f t="shared" si="1987"/>
        <v>10/11/2025</v>
      </c>
      <c r="K10454">
        <v>45974</v>
      </c>
      <c r="N10454">
        <v>303</v>
      </c>
      <c r="O10454" t="s">
        <v>69</v>
      </c>
      <c r="Q10454">
        <v>737.8</v>
      </c>
      <c r="R10454" t="str">
        <f>"LBL FARMACIA LTDA (10189)"</f>
        <v>LBL FARMACIA LTDA (10189)</v>
      </c>
      <c r="S10454" t="s">
        <v>70</v>
      </c>
      <c r="T10454">
        <v>21171</v>
      </c>
      <c r="U10454">
        <v>25064</v>
      </c>
      <c r="V10454" t="s">
        <v>22</v>
      </c>
    </row>
    <row r="10455" spans="1:22">
      <c r="A10455" t="str">
        <f t="shared" si="1974"/>
        <v>13/11/2025</v>
      </c>
      <c r="B10455" t="str">
        <f t="shared" si="1983"/>
        <v>ENTRADA</v>
      </c>
      <c r="C10455" t="str">
        <f t="shared" si="1984"/>
        <v>NFSE</v>
      </c>
      <c r="D10455" t="str">
        <f>"3682"</f>
        <v>3682</v>
      </c>
      <c r="E10455" t="str">
        <f t="shared" si="1985"/>
        <v>1</v>
      </c>
      <c r="F10455" t="str">
        <f t="shared" si="1980"/>
        <v>COM</v>
      </c>
      <c r="G10455" t="str">
        <f>"FARMACIA ECONOMIZE (10103)"</f>
        <v>FARMACIA ECONOMIZE (10103)</v>
      </c>
      <c r="H10455" t="str">
        <f>"Serv.Prest. 03/11/2025 a 09/11/2025 - RPS: 1558 - NFSe: 3682"</f>
        <v>Serv.Prest. 03/11/2025 a 09/11/2025 - RPS: 1558 - NFSe: 3682</v>
      </c>
      <c r="I10455" t="str">
        <f t="shared" si="1986"/>
        <v>12/11/2025</v>
      </c>
      <c r="J10455" t="str">
        <f t="shared" si="1987"/>
        <v>10/11/2025</v>
      </c>
      <c r="K10455" t="str">
        <f>("13/11/2025")</f>
        <v>13/11/2025</v>
      </c>
      <c r="L10455">
        <v>2288.88</v>
      </c>
      <c r="M10455">
        <v>2288.88</v>
      </c>
      <c r="N10455">
        <v>303</v>
      </c>
      <c r="O10455" t="str">
        <f>"RECEITAS COM ENTREGAS"</f>
        <v>RECEITAS COM ENTREGAS</v>
      </c>
      <c r="P10455">
        <v>2288.88</v>
      </c>
      <c r="S10455" t="str">
        <f>"RECEITAS COM ENTREGAS (303)"</f>
        <v>RECEITAS COM ENTREGAS (303)</v>
      </c>
      <c r="T10455">
        <v>21172</v>
      </c>
      <c r="U10455">
        <v>25053</v>
      </c>
      <c r="V10455" t="s">
        <v>22</v>
      </c>
    </row>
    <row r="10456" spans="1:22">
      <c r="A10456" t="str">
        <f t="shared" si="1974"/>
        <v>13/11/2025</v>
      </c>
      <c r="B10456" t="str">
        <f t="shared" si="1983"/>
        <v>ENTRADA</v>
      </c>
      <c r="C10456" t="str">
        <f t="shared" si="1984"/>
        <v>NFSE</v>
      </c>
      <c r="D10456" t="str">
        <f>"3682"</f>
        <v>3682</v>
      </c>
      <c r="E10456" t="str">
        <f t="shared" si="1985"/>
        <v>1</v>
      </c>
      <c r="F10456" t="str">
        <f t="shared" si="1980"/>
        <v>COM</v>
      </c>
      <c r="G10456" t="str">
        <f>"FARMACIA ECONOMIZE (10103)"</f>
        <v>FARMACIA ECONOMIZE (10103)</v>
      </c>
      <c r="H10456" t="s">
        <v>2918</v>
      </c>
      <c r="I10456" t="str">
        <f t="shared" si="1986"/>
        <v>12/11/2025</v>
      </c>
      <c r="J10456" t="str">
        <f t="shared" si="1987"/>
        <v>10/11/2025</v>
      </c>
      <c r="K10456">
        <v>45974</v>
      </c>
      <c r="N10456">
        <v>303</v>
      </c>
      <c r="O10456" t="s">
        <v>69</v>
      </c>
      <c r="Q10456">
        <v>2288.88</v>
      </c>
      <c r="R10456" t="str">
        <f>"FARMACIA ECONOMIZE (10103)"</f>
        <v>FARMACIA ECONOMIZE (10103)</v>
      </c>
      <c r="S10456" t="s">
        <v>70</v>
      </c>
      <c r="T10456">
        <v>21172</v>
      </c>
      <c r="U10456">
        <v>25053</v>
      </c>
      <c r="V10456" t="s">
        <v>22</v>
      </c>
    </row>
    <row r="10457" spans="1:22">
      <c r="A10457" t="str">
        <f t="shared" si="1974"/>
        <v>13/11/2025</v>
      </c>
      <c r="B10457" t="str">
        <f t="shared" si="1983"/>
        <v>ENTRADA</v>
      </c>
      <c r="C10457" t="str">
        <f t="shared" si="1984"/>
        <v>NFSE</v>
      </c>
      <c r="D10457" t="str">
        <f>"3651"</f>
        <v>3651</v>
      </c>
      <c r="E10457" t="str">
        <f t="shared" si="1985"/>
        <v>1</v>
      </c>
      <c r="F10457" t="str">
        <f t="shared" si="1980"/>
        <v>COM</v>
      </c>
      <c r="G10457" t="str">
        <f>"AC FARMA - FLEMINFARMA 5 (10183)"</f>
        <v>AC FARMA - FLEMINFARMA 5 (10183)</v>
      </c>
      <c r="H10457" t="str">
        <f>"Serv.Prest. 27/10/2025 a 02/11/2025 - RPS: 1527 - NFSe: 3651"</f>
        <v>Serv.Prest. 27/10/2025 a 02/11/2025 - RPS: 1527 - NFSe: 3651</v>
      </c>
      <c r="I10457" t="str">
        <f t="shared" si="1986"/>
        <v>12/11/2025</v>
      </c>
      <c r="J10457" t="str">
        <f>("05/11/2025")</f>
        <v>05/11/2025</v>
      </c>
      <c r="K10457" t="str">
        <f>("13/11/2025")</f>
        <v>13/11/2025</v>
      </c>
      <c r="L10457">
        <v>512.54999999999995</v>
      </c>
      <c r="M10457">
        <v>512.54999999999995</v>
      </c>
      <c r="N10457">
        <v>303</v>
      </c>
      <c r="O10457" t="str">
        <f>"RECEITAS COM ENTREGAS"</f>
        <v>RECEITAS COM ENTREGAS</v>
      </c>
      <c r="P10457">
        <v>512.54999999999995</v>
      </c>
      <c r="S10457" t="str">
        <f>"RECEITAS COM ENTREGAS (303)"</f>
        <v>RECEITAS COM ENTREGAS (303)</v>
      </c>
      <c r="T10457">
        <v>21173</v>
      </c>
      <c r="U10457">
        <v>24896</v>
      </c>
      <c r="V10457" t="s">
        <v>22</v>
      </c>
    </row>
    <row r="10458" spans="1:22">
      <c r="A10458" t="str">
        <f t="shared" si="1974"/>
        <v>13/11/2025</v>
      </c>
      <c r="B10458" t="str">
        <f t="shared" si="1983"/>
        <v>ENTRADA</v>
      </c>
      <c r="C10458" t="str">
        <f t="shared" si="1984"/>
        <v>NFSE</v>
      </c>
      <c r="D10458" t="str">
        <f>"3651"</f>
        <v>3651</v>
      </c>
      <c r="E10458" t="str">
        <f t="shared" si="1985"/>
        <v>1</v>
      </c>
      <c r="F10458" t="str">
        <f t="shared" si="1980"/>
        <v>COM</v>
      </c>
      <c r="G10458" t="str">
        <f>"AC FARMA - FLEMINFARMA 5 (10183)"</f>
        <v>AC FARMA - FLEMINFARMA 5 (10183)</v>
      </c>
      <c r="H10458" t="s">
        <v>2919</v>
      </c>
      <c r="I10458" t="str">
        <f t="shared" si="1986"/>
        <v>12/11/2025</v>
      </c>
      <c r="J10458" t="str">
        <f>("05/11/2025")</f>
        <v>05/11/2025</v>
      </c>
      <c r="K10458">
        <v>45974</v>
      </c>
      <c r="N10458">
        <v>303</v>
      </c>
      <c r="O10458" t="s">
        <v>69</v>
      </c>
      <c r="Q10458">
        <v>474.31</v>
      </c>
      <c r="R10458" t="str">
        <f>"AC FARMA - FLEMINFARMA 5 (10183)"</f>
        <v>AC FARMA - FLEMINFARMA 5 (10183)</v>
      </c>
      <c r="S10458" t="s">
        <v>70</v>
      </c>
      <c r="T10458">
        <v>21173</v>
      </c>
      <c r="U10458">
        <v>24896</v>
      </c>
      <c r="V10458" t="s">
        <v>22</v>
      </c>
    </row>
    <row r="10459" spans="1:22">
      <c r="A10459" t="str">
        <f t="shared" si="1974"/>
        <v>13/11/2025</v>
      </c>
      <c r="B10459" t="str">
        <f t="shared" si="1983"/>
        <v>ENTRADA</v>
      </c>
      <c r="C10459" t="str">
        <f t="shared" si="1984"/>
        <v>NFSE</v>
      </c>
      <c r="D10459" t="str">
        <f>"3651"</f>
        <v>3651</v>
      </c>
      <c r="E10459" t="str">
        <f t="shared" si="1985"/>
        <v>1</v>
      </c>
      <c r="F10459" t="str">
        <f t="shared" si="1980"/>
        <v>COM</v>
      </c>
      <c r="G10459" t="str">
        <f>"AC FARMA - FLEMINFARMA 5 (10183)"</f>
        <v>AC FARMA - FLEMINFARMA 5 (10183)</v>
      </c>
      <c r="H10459" t="s">
        <v>2919</v>
      </c>
      <c r="I10459" t="str">
        <f t="shared" si="1986"/>
        <v>12/11/2025</v>
      </c>
      <c r="J10459" t="str">
        <f>("05/11/2025")</f>
        <v>05/11/2025</v>
      </c>
      <c r="K10459">
        <v>45974</v>
      </c>
      <c r="N10459">
        <v>303</v>
      </c>
      <c r="O10459" t="s">
        <v>69</v>
      </c>
      <c r="Q10459">
        <v>38.24</v>
      </c>
      <c r="R10459" t="str">
        <f>"AC FARMA - FLEMINFARMA 6 (10184)"</f>
        <v>AC FARMA - FLEMINFARMA 6 (10184)</v>
      </c>
      <c r="S10459" t="s">
        <v>70</v>
      </c>
      <c r="T10459">
        <v>21173</v>
      </c>
      <c r="U10459">
        <v>24896</v>
      </c>
      <c r="V10459" t="s">
        <v>22</v>
      </c>
    </row>
    <row r="10460" spans="1:22">
      <c r="A10460" t="str">
        <f t="shared" si="1974"/>
        <v>13/11/2025</v>
      </c>
      <c r="B10460" t="str">
        <f t="shared" si="1983"/>
        <v>ENTRADA</v>
      </c>
      <c r="C10460" t="str">
        <f t="shared" si="1984"/>
        <v>NFSE</v>
      </c>
      <c r="D10460" t="str">
        <f>"3686"</f>
        <v>3686</v>
      </c>
      <c r="E10460" t="str">
        <f t="shared" si="1985"/>
        <v>1</v>
      </c>
      <c r="F10460" t="str">
        <f t="shared" si="1980"/>
        <v>COM</v>
      </c>
      <c r="G10460" t="str">
        <f>"LBL FARMACIA LTDA FILIAL (10192)"</f>
        <v>LBL FARMACIA LTDA FILIAL (10192)</v>
      </c>
      <c r="H10460" t="str">
        <f>"Serv.Prest. 03/11/2025 a 09/11/2025 - RPS: 1562 - NFSe: 3686"</f>
        <v>Serv.Prest. 03/11/2025 a 09/11/2025 - RPS: 1562 - NFSe: 3686</v>
      </c>
      <c r="I10460" t="str">
        <f t="shared" si="1986"/>
        <v>12/11/2025</v>
      </c>
      <c r="J10460" t="str">
        <f>("10/11/2025")</f>
        <v>10/11/2025</v>
      </c>
      <c r="K10460" t="str">
        <f>("13/11/2025")</f>
        <v>13/11/2025</v>
      </c>
      <c r="L10460">
        <v>1785</v>
      </c>
      <c r="M10460">
        <v>1785</v>
      </c>
      <c r="N10460">
        <v>303</v>
      </c>
      <c r="O10460" t="str">
        <f>"RECEITAS COM ENTREGAS"</f>
        <v>RECEITAS COM ENTREGAS</v>
      </c>
      <c r="P10460">
        <v>1785</v>
      </c>
      <c r="S10460" t="str">
        <f>"RECEITAS COM ENTREGAS (303)"</f>
        <v>RECEITAS COM ENTREGAS (303)</v>
      </c>
      <c r="T10460">
        <v>21174</v>
      </c>
      <c r="U10460">
        <v>25068</v>
      </c>
      <c r="V10460" t="s">
        <v>22</v>
      </c>
    </row>
    <row r="10461" spans="1:22">
      <c r="A10461" t="str">
        <f t="shared" si="1974"/>
        <v>13/11/2025</v>
      </c>
      <c r="B10461" t="str">
        <f t="shared" si="1983"/>
        <v>ENTRADA</v>
      </c>
      <c r="C10461" t="str">
        <f t="shared" si="1984"/>
        <v>NFSE</v>
      </c>
      <c r="D10461" t="str">
        <f>"3686"</f>
        <v>3686</v>
      </c>
      <c r="E10461" t="str">
        <f t="shared" si="1985"/>
        <v>1</v>
      </c>
      <c r="F10461" t="str">
        <f t="shared" si="1980"/>
        <v>COM</v>
      </c>
      <c r="G10461" t="str">
        <f>"LBL FARMACIA LTDA FILIAL (10192)"</f>
        <v>LBL FARMACIA LTDA FILIAL (10192)</v>
      </c>
      <c r="H10461" t="s">
        <v>2920</v>
      </c>
      <c r="I10461" t="str">
        <f t="shared" si="1986"/>
        <v>12/11/2025</v>
      </c>
      <c r="J10461" t="str">
        <f>("10/11/2025")</f>
        <v>10/11/2025</v>
      </c>
      <c r="K10461">
        <v>45974</v>
      </c>
      <c r="N10461">
        <v>303</v>
      </c>
      <c r="O10461" t="s">
        <v>69</v>
      </c>
      <c r="Q10461">
        <v>1785</v>
      </c>
      <c r="R10461" t="str">
        <f>"LBL FARMACIA LTDA FILIAL (10192)"</f>
        <v>LBL FARMACIA LTDA FILIAL (10192)</v>
      </c>
      <c r="S10461" t="s">
        <v>70</v>
      </c>
      <c r="T10461">
        <v>21174</v>
      </c>
      <c r="U10461">
        <v>25068</v>
      </c>
      <c r="V10461" t="s">
        <v>22</v>
      </c>
    </row>
    <row r="10462" spans="1:22">
      <c r="A10462" t="str">
        <f t="shared" si="1974"/>
        <v>13/11/2025</v>
      </c>
      <c r="B10462" t="str">
        <f t="shared" si="1983"/>
        <v>ENTRADA</v>
      </c>
      <c r="C10462" t="str">
        <f t="shared" si="1984"/>
        <v>NFSE</v>
      </c>
      <c r="D10462" t="str">
        <f>"3650"</f>
        <v>3650</v>
      </c>
      <c r="E10462" t="str">
        <f t="shared" si="1985"/>
        <v>1</v>
      </c>
      <c r="F10462" t="str">
        <f t="shared" si="1980"/>
        <v>COM</v>
      </c>
      <c r="G10462" t="str">
        <f>"AC FARMA - FLEMINFARMA (10160)"</f>
        <v>AC FARMA - FLEMINFARMA (10160)</v>
      </c>
      <c r="H10462" t="str">
        <f>"Serv.Prest. 27/10/2025 a 02/11/2025 - RPS: 1526 - NFSe: 3650"</f>
        <v>Serv.Prest. 27/10/2025 a 02/11/2025 - RPS: 1526 - NFSe: 3650</v>
      </c>
      <c r="I10462" t="str">
        <f t="shared" si="1986"/>
        <v>12/11/2025</v>
      </c>
      <c r="J10462" t="str">
        <f>("05/11/2025")</f>
        <v>05/11/2025</v>
      </c>
      <c r="K10462" t="str">
        <f>("13/11/2025")</f>
        <v>13/11/2025</v>
      </c>
      <c r="L10462">
        <v>1369.35</v>
      </c>
      <c r="M10462">
        <v>1369.35</v>
      </c>
      <c r="N10462">
        <v>303</v>
      </c>
      <c r="O10462" t="str">
        <f>"RECEITAS COM ENTREGAS"</f>
        <v>RECEITAS COM ENTREGAS</v>
      </c>
      <c r="P10462">
        <v>1369.35</v>
      </c>
      <c r="S10462" t="str">
        <f>"RECEITAS COM ENTREGAS (303)"</f>
        <v>RECEITAS COM ENTREGAS (303)</v>
      </c>
      <c r="T10462">
        <v>21175</v>
      </c>
      <c r="U10462">
        <v>24889</v>
      </c>
      <c r="V10462" t="s">
        <v>22</v>
      </c>
    </row>
    <row r="10463" spans="1:22">
      <c r="A10463" t="str">
        <f t="shared" ref="A10463:A10526" si="1988">("13/11/2025")</f>
        <v>13/11/2025</v>
      </c>
      <c r="B10463" t="str">
        <f t="shared" si="1983"/>
        <v>ENTRADA</v>
      </c>
      <c r="C10463" t="str">
        <f t="shared" si="1984"/>
        <v>NFSE</v>
      </c>
      <c r="D10463" t="str">
        <f>"3650"</f>
        <v>3650</v>
      </c>
      <c r="E10463" t="str">
        <f t="shared" si="1985"/>
        <v>1</v>
      </c>
      <c r="F10463" t="str">
        <f t="shared" si="1980"/>
        <v>COM</v>
      </c>
      <c r="G10463" t="str">
        <f>"AC FARMA - FLEMINFARMA (10160)"</f>
        <v>AC FARMA - FLEMINFARMA (10160)</v>
      </c>
      <c r="H10463" t="s">
        <v>2921</v>
      </c>
      <c r="I10463" t="str">
        <f t="shared" si="1986"/>
        <v>12/11/2025</v>
      </c>
      <c r="J10463" t="str">
        <f>("05/11/2025")</f>
        <v>05/11/2025</v>
      </c>
      <c r="K10463">
        <v>45974</v>
      </c>
      <c r="N10463">
        <v>303</v>
      </c>
      <c r="O10463" t="s">
        <v>69</v>
      </c>
      <c r="Q10463">
        <v>1331.15</v>
      </c>
      <c r="R10463" t="str">
        <f>"AC FARMA -  FLEMINFARMA (10159)"</f>
        <v>AC FARMA -  FLEMINFARMA (10159)</v>
      </c>
      <c r="S10463" t="s">
        <v>70</v>
      </c>
      <c r="T10463">
        <v>21175</v>
      </c>
      <c r="U10463">
        <v>24889</v>
      </c>
      <c r="V10463" t="s">
        <v>22</v>
      </c>
    </row>
    <row r="10464" spans="1:22">
      <c r="A10464" t="str">
        <f t="shared" si="1988"/>
        <v>13/11/2025</v>
      </c>
      <c r="B10464" t="str">
        <f t="shared" si="1983"/>
        <v>ENTRADA</v>
      </c>
      <c r="C10464" t="str">
        <f t="shared" si="1984"/>
        <v>NFSE</v>
      </c>
      <c r="D10464" t="str">
        <f>"3650"</f>
        <v>3650</v>
      </c>
      <c r="E10464" t="str">
        <f t="shared" si="1985"/>
        <v>1</v>
      </c>
      <c r="F10464" t="str">
        <f t="shared" si="1980"/>
        <v>COM</v>
      </c>
      <c r="G10464" t="str">
        <f>"AC FARMA - FLEMINFARMA (10160)"</f>
        <v>AC FARMA - FLEMINFARMA (10160)</v>
      </c>
      <c r="H10464" t="s">
        <v>2921</v>
      </c>
      <c r="I10464" t="str">
        <f t="shared" si="1986"/>
        <v>12/11/2025</v>
      </c>
      <c r="J10464" t="str">
        <f>("05/11/2025")</f>
        <v>05/11/2025</v>
      </c>
      <c r="K10464">
        <v>45974</v>
      </c>
      <c r="N10464">
        <v>303</v>
      </c>
      <c r="O10464" t="s">
        <v>69</v>
      </c>
      <c r="Q10464">
        <v>38.200000000000003</v>
      </c>
      <c r="R10464" t="str">
        <f>"AC FARMA - FLEMINFARMA (10160)"</f>
        <v>AC FARMA - FLEMINFARMA (10160)</v>
      </c>
      <c r="S10464" t="s">
        <v>70</v>
      </c>
      <c r="T10464">
        <v>21175</v>
      </c>
      <c r="U10464">
        <v>24889</v>
      </c>
      <c r="V10464" t="s">
        <v>22</v>
      </c>
    </row>
    <row r="10465" spans="1:22">
      <c r="A10465" t="str">
        <f t="shared" si="1988"/>
        <v>13/11/2025</v>
      </c>
      <c r="B10465" t="str">
        <f t="shared" si="1983"/>
        <v>ENTRADA</v>
      </c>
      <c r="C10465" t="str">
        <f t="shared" si="1984"/>
        <v>NFSE</v>
      </c>
      <c r="D10465" t="str">
        <f>"3658"</f>
        <v>3658</v>
      </c>
      <c r="E10465" t="str">
        <f t="shared" si="1985"/>
        <v>1</v>
      </c>
      <c r="F10465" t="str">
        <f t="shared" si="1980"/>
        <v>COM</v>
      </c>
      <c r="G10465" t="str">
        <f>"PENSE FARMA 39 (10228)"</f>
        <v>PENSE FARMA 39 (10228)</v>
      </c>
      <c r="H10465" t="str">
        <f>"Serv.Prest. 03/11/2025 a 09/11/2025 - RPS: 1534 - NFSe: 3658"</f>
        <v>Serv.Prest. 03/11/2025 a 09/11/2025 - RPS: 1534 - NFSe: 3658</v>
      </c>
      <c r="I10465" t="str">
        <f t="shared" si="1986"/>
        <v>12/11/2025</v>
      </c>
      <c r="J10465" t="str">
        <f t="shared" ref="J10465:J10496" si="1989">("10/11/2025")</f>
        <v>10/11/2025</v>
      </c>
      <c r="K10465" t="str">
        <f>("13/11/2025")</f>
        <v>13/11/2025</v>
      </c>
      <c r="L10465">
        <v>3156.99</v>
      </c>
      <c r="M10465">
        <v>3156.99</v>
      </c>
      <c r="N10465">
        <v>303</v>
      </c>
      <c r="O10465" t="str">
        <f>"RECEITAS COM ENTREGAS"</f>
        <v>RECEITAS COM ENTREGAS</v>
      </c>
      <c r="P10465">
        <v>3156.99</v>
      </c>
      <c r="S10465" t="str">
        <f>"RECEITAS COM ENTREGAS (303)"</f>
        <v>RECEITAS COM ENTREGAS (303)</v>
      </c>
      <c r="T10465">
        <v>21176</v>
      </c>
      <c r="U10465">
        <v>24964</v>
      </c>
      <c r="V10465" t="s">
        <v>22</v>
      </c>
    </row>
    <row r="10466" spans="1:22">
      <c r="A10466" t="str">
        <f t="shared" si="1988"/>
        <v>13/11/2025</v>
      </c>
      <c r="B10466" t="str">
        <f t="shared" si="1983"/>
        <v>ENTRADA</v>
      </c>
      <c r="C10466" t="str">
        <f t="shared" si="1984"/>
        <v>NFSE</v>
      </c>
      <c r="D10466" t="str">
        <f>"3658"</f>
        <v>3658</v>
      </c>
      <c r="E10466" t="str">
        <f t="shared" si="1985"/>
        <v>1</v>
      </c>
      <c r="F10466" t="str">
        <f t="shared" si="1980"/>
        <v>COM</v>
      </c>
      <c r="G10466" t="str">
        <f>"PENSE FARMA 39 (10228)"</f>
        <v>PENSE FARMA 39 (10228)</v>
      </c>
      <c r="H10466" t="s">
        <v>2922</v>
      </c>
      <c r="I10466" t="str">
        <f t="shared" si="1986"/>
        <v>12/11/2025</v>
      </c>
      <c r="J10466" t="str">
        <f t="shared" si="1989"/>
        <v>10/11/2025</v>
      </c>
      <c r="K10466">
        <v>45974</v>
      </c>
      <c r="N10466">
        <v>303</v>
      </c>
      <c r="O10466" t="s">
        <v>69</v>
      </c>
      <c r="Q10466">
        <v>788.94</v>
      </c>
      <c r="R10466" t="str">
        <f>"PENSE FARMA 02 (10199)"</f>
        <v>PENSE FARMA 02 (10199)</v>
      </c>
      <c r="S10466" t="s">
        <v>70</v>
      </c>
      <c r="T10466">
        <v>21176</v>
      </c>
      <c r="U10466">
        <v>24964</v>
      </c>
      <c r="V10466" t="s">
        <v>22</v>
      </c>
    </row>
    <row r="10467" spans="1:22">
      <c r="A10467" t="str">
        <f t="shared" si="1988"/>
        <v>13/11/2025</v>
      </c>
      <c r="B10467" t="str">
        <f t="shared" si="1983"/>
        <v>ENTRADA</v>
      </c>
      <c r="C10467" t="str">
        <f t="shared" si="1984"/>
        <v>NFSE</v>
      </c>
      <c r="D10467" t="str">
        <f>"3658"</f>
        <v>3658</v>
      </c>
      <c r="E10467" t="str">
        <f t="shared" si="1985"/>
        <v>1</v>
      </c>
      <c r="F10467" t="str">
        <f t="shared" si="1980"/>
        <v>COM</v>
      </c>
      <c r="G10467" t="str">
        <f>"PENSE FARMA 39 (10228)"</f>
        <v>PENSE FARMA 39 (10228)</v>
      </c>
      <c r="H10467" t="s">
        <v>2922</v>
      </c>
      <c r="I10467" t="str">
        <f t="shared" si="1986"/>
        <v>12/11/2025</v>
      </c>
      <c r="J10467" t="str">
        <f t="shared" si="1989"/>
        <v>10/11/2025</v>
      </c>
      <c r="K10467">
        <v>45974</v>
      </c>
      <c r="N10467">
        <v>303</v>
      </c>
      <c r="O10467" t="s">
        <v>69</v>
      </c>
      <c r="Q10467">
        <v>788.93</v>
      </c>
      <c r="R10467" t="str">
        <f>"PENSE FARMA 01 (10215)"</f>
        <v>PENSE FARMA 01 (10215)</v>
      </c>
      <c r="S10467" t="s">
        <v>70</v>
      </c>
      <c r="T10467">
        <v>21176</v>
      </c>
      <c r="U10467">
        <v>24964</v>
      </c>
      <c r="V10467" t="s">
        <v>22</v>
      </c>
    </row>
    <row r="10468" spans="1:22">
      <c r="A10468" t="str">
        <f t="shared" si="1988"/>
        <v>13/11/2025</v>
      </c>
      <c r="B10468" t="str">
        <f t="shared" si="1983"/>
        <v>ENTRADA</v>
      </c>
      <c r="C10468" t="str">
        <f t="shared" si="1984"/>
        <v>NFSE</v>
      </c>
      <c r="D10468" t="str">
        <f>"3658"</f>
        <v>3658</v>
      </c>
      <c r="E10468" t="str">
        <f t="shared" si="1985"/>
        <v>1</v>
      </c>
      <c r="F10468" t="str">
        <f t="shared" si="1980"/>
        <v>COM</v>
      </c>
      <c r="G10468" t="str">
        <f>"PENSE FARMA 39 (10228)"</f>
        <v>PENSE FARMA 39 (10228)</v>
      </c>
      <c r="H10468" t="s">
        <v>2922</v>
      </c>
      <c r="I10468" t="str">
        <f t="shared" si="1986"/>
        <v>12/11/2025</v>
      </c>
      <c r="J10468" t="str">
        <f t="shared" si="1989"/>
        <v>10/11/2025</v>
      </c>
      <c r="K10468">
        <v>45974</v>
      </c>
      <c r="N10468">
        <v>303</v>
      </c>
      <c r="O10468" t="s">
        <v>69</v>
      </c>
      <c r="Q10468">
        <v>788.93</v>
      </c>
      <c r="R10468" t="str">
        <f>"PENSE FARMA 03 (10216)"</f>
        <v>PENSE FARMA 03 (10216)</v>
      </c>
      <c r="S10468" t="s">
        <v>70</v>
      </c>
      <c r="T10468">
        <v>21176</v>
      </c>
      <c r="U10468">
        <v>24964</v>
      </c>
      <c r="V10468" t="s">
        <v>22</v>
      </c>
    </row>
    <row r="10469" spans="1:22">
      <c r="A10469" t="str">
        <f t="shared" si="1988"/>
        <v>13/11/2025</v>
      </c>
      <c r="B10469" t="str">
        <f t="shared" si="1983"/>
        <v>ENTRADA</v>
      </c>
      <c r="C10469" t="str">
        <f t="shared" si="1984"/>
        <v>NFSE</v>
      </c>
      <c r="D10469" t="str">
        <f>"3658"</f>
        <v>3658</v>
      </c>
      <c r="E10469" t="str">
        <f t="shared" si="1985"/>
        <v>1</v>
      </c>
      <c r="F10469" t="str">
        <f t="shared" si="1980"/>
        <v>COM</v>
      </c>
      <c r="G10469" t="str">
        <f>"PENSE FARMA 39 (10228)"</f>
        <v>PENSE FARMA 39 (10228)</v>
      </c>
      <c r="H10469" t="s">
        <v>2922</v>
      </c>
      <c r="I10469" t="str">
        <f t="shared" si="1986"/>
        <v>12/11/2025</v>
      </c>
      <c r="J10469" t="str">
        <f t="shared" si="1989"/>
        <v>10/11/2025</v>
      </c>
      <c r="K10469">
        <v>45974</v>
      </c>
      <c r="N10469">
        <v>303</v>
      </c>
      <c r="O10469" t="s">
        <v>69</v>
      </c>
      <c r="Q10469">
        <v>790.19</v>
      </c>
      <c r="R10469" t="str">
        <f>"PENSE FARMA 39 (10228)"</f>
        <v>PENSE FARMA 39 (10228)</v>
      </c>
      <c r="S10469" t="s">
        <v>70</v>
      </c>
      <c r="T10469">
        <v>21176</v>
      </c>
      <c r="U10469">
        <v>24964</v>
      </c>
      <c r="V10469" t="s">
        <v>22</v>
      </c>
    </row>
    <row r="10470" spans="1:22">
      <c r="A10470" t="str">
        <f t="shared" si="1988"/>
        <v>13/11/2025</v>
      </c>
      <c r="B10470" t="str">
        <f t="shared" si="1983"/>
        <v>ENTRADA</v>
      </c>
      <c r="C10470" t="str">
        <f t="shared" si="1984"/>
        <v>NFSE</v>
      </c>
      <c r="D10470" t="str">
        <f>"3673"</f>
        <v>3673</v>
      </c>
      <c r="E10470" t="str">
        <f t="shared" si="1985"/>
        <v>1</v>
      </c>
      <c r="F10470" t="str">
        <f t="shared" si="1980"/>
        <v>COM</v>
      </c>
      <c r="G10470" t="str">
        <f>"DROGARIA ANA VISCONDE DO RIO BRANCO (10182)"</f>
        <v>DROGARIA ANA VISCONDE DO RIO BRANCO (10182)</v>
      </c>
      <c r="H10470" t="str">
        <f>"Serv.Prest. 03/11/2025 a 09/11/2025 - RPS: 1549 - NFSe: 3673"</f>
        <v>Serv.Prest. 03/11/2025 a 09/11/2025 - RPS: 1549 - NFSe: 3673</v>
      </c>
      <c r="I10470" t="str">
        <f t="shared" si="1986"/>
        <v>12/11/2025</v>
      </c>
      <c r="J10470" t="str">
        <f t="shared" si="1989"/>
        <v>10/11/2025</v>
      </c>
      <c r="K10470" t="str">
        <f>("13/11/2025")</f>
        <v>13/11/2025</v>
      </c>
      <c r="L10470">
        <v>4490.55</v>
      </c>
      <c r="M10470">
        <v>4490.55</v>
      </c>
      <c r="N10470">
        <v>303</v>
      </c>
      <c r="O10470" t="str">
        <f>"RECEITAS COM ENTREGAS"</f>
        <v>RECEITAS COM ENTREGAS</v>
      </c>
      <c r="P10470">
        <v>4490.55</v>
      </c>
      <c r="S10470" t="str">
        <f>"RECEITAS COM ENTREGAS (303)"</f>
        <v>RECEITAS COM ENTREGAS (303)</v>
      </c>
      <c r="T10470">
        <v>21177</v>
      </c>
      <c r="U10470">
        <v>25014</v>
      </c>
      <c r="V10470" t="s">
        <v>22</v>
      </c>
    </row>
    <row r="10471" spans="1:22">
      <c r="A10471" t="str">
        <f t="shared" si="1988"/>
        <v>13/11/2025</v>
      </c>
      <c r="B10471" t="str">
        <f t="shared" si="1983"/>
        <v>ENTRADA</v>
      </c>
      <c r="C10471" t="str">
        <f t="shared" si="1984"/>
        <v>NFSE</v>
      </c>
      <c r="D10471" t="str">
        <f>"3673"</f>
        <v>3673</v>
      </c>
      <c r="E10471" t="str">
        <f t="shared" si="1985"/>
        <v>1</v>
      </c>
      <c r="F10471" t="str">
        <f t="shared" si="1980"/>
        <v>COM</v>
      </c>
      <c r="G10471" t="str">
        <f>"DROGARIA ANA VISCONDE DO RIO BRANCO (10182)"</f>
        <v>DROGARIA ANA VISCONDE DO RIO BRANCO (10182)</v>
      </c>
      <c r="H10471" t="s">
        <v>2923</v>
      </c>
      <c r="I10471" t="str">
        <f t="shared" si="1986"/>
        <v>12/11/2025</v>
      </c>
      <c r="J10471" t="str">
        <f t="shared" si="1989"/>
        <v>10/11/2025</v>
      </c>
      <c r="K10471">
        <v>45974</v>
      </c>
      <c r="N10471">
        <v>303</v>
      </c>
      <c r="O10471" t="s">
        <v>69</v>
      </c>
      <c r="Q10471">
        <v>4490.55</v>
      </c>
      <c r="R10471" t="str">
        <f>"DROGARIA ANA VISCONDE DO RIO BRANCO (10182)"</f>
        <v>DROGARIA ANA VISCONDE DO RIO BRANCO (10182)</v>
      </c>
      <c r="S10471" t="s">
        <v>70</v>
      </c>
      <c r="T10471">
        <v>21177</v>
      </c>
      <c r="U10471">
        <v>25014</v>
      </c>
      <c r="V10471" t="s">
        <v>22</v>
      </c>
    </row>
    <row r="10472" spans="1:22">
      <c r="A10472" t="str">
        <f t="shared" si="1988"/>
        <v>13/11/2025</v>
      </c>
      <c r="B10472" t="str">
        <f t="shared" si="1983"/>
        <v>ENTRADA</v>
      </c>
      <c r="C10472" t="str">
        <f t="shared" si="1984"/>
        <v>NFSE</v>
      </c>
      <c r="D10472" t="str">
        <f>"3664"</f>
        <v>3664</v>
      </c>
      <c r="E10472" t="str">
        <f t="shared" si="1985"/>
        <v>1</v>
      </c>
      <c r="F10472" t="str">
        <f t="shared" si="1980"/>
        <v>COM</v>
      </c>
      <c r="G10472" t="str">
        <f>"PENSE FARMA 46 (10194)"</f>
        <v>PENSE FARMA 46 (10194)</v>
      </c>
      <c r="H10472" t="str">
        <f>"Serv.Prest. 03/11/2025 a 09/11/2025 - RPS: 1540 - NFSe: 3664"</f>
        <v>Serv.Prest. 03/11/2025 a 09/11/2025 - RPS: 1540 - NFSe: 3664</v>
      </c>
      <c r="I10472" t="str">
        <f t="shared" si="1986"/>
        <v>12/11/2025</v>
      </c>
      <c r="J10472" t="str">
        <f t="shared" si="1989"/>
        <v>10/11/2025</v>
      </c>
      <c r="K10472" t="str">
        <f>("13/11/2025")</f>
        <v>13/11/2025</v>
      </c>
      <c r="L10472">
        <v>1700</v>
      </c>
      <c r="M10472">
        <v>1700</v>
      </c>
      <c r="N10472">
        <v>303</v>
      </c>
      <c r="O10472" t="str">
        <f>"RECEITAS COM ENTREGAS"</f>
        <v>RECEITAS COM ENTREGAS</v>
      </c>
      <c r="P10472">
        <v>1700</v>
      </c>
      <c r="S10472" t="str">
        <f>"RECEITAS COM ENTREGAS (303)"</f>
        <v>RECEITAS COM ENTREGAS (303)</v>
      </c>
      <c r="T10472">
        <v>21178</v>
      </c>
      <c r="U10472">
        <v>24980</v>
      </c>
      <c r="V10472" t="s">
        <v>22</v>
      </c>
    </row>
    <row r="10473" spans="1:22">
      <c r="A10473" t="str">
        <f t="shared" si="1988"/>
        <v>13/11/2025</v>
      </c>
      <c r="B10473" t="str">
        <f t="shared" si="1983"/>
        <v>ENTRADA</v>
      </c>
      <c r="C10473" t="str">
        <f t="shared" si="1984"/>
        <v>NFSE</v>
      </c>
      <c r="D10473" t="str">
        <f>"3664"</f>
        <v>3664</v>
      </c>
      <c r="E10473" t="str">
        <f t="shared" si="1985"/>
        <v>1</v>
      </c>
      <c r="F10473" t="str">
        <f t="shared" si="1980"/>
        <v>COM</v>
      </c>
      <c r="G10473" t="str">
        <f>"PENSE FARMA 46 (10194)"</f>
        <v>PENSE FARMA 46 (10194)</v>
      </c>
      <c r="H10473" t="s">
        <v>2924</v>
      </c>
      <c r="I10473" t="str">
        <f t="shared" si="1986"/>
        <v>12/11/2025</v>
      </c>
      <c r="J10473" t="str">
        <f t="shared" si="1989"/>
        <v>10/11/2025</v>
      </c>
      <c r="K10473">
        <v>45974</v>
      </c>
      <c r="N10473">
        <v>303</v>
      </c>
      <c r="O10473" t="s">
        <v>69</v>
      </c>
      <c r="Q10473">
        <v>1700</v>
      </c>
      <c r="R10473" t="str">
        <f>"PENSE FARMA 46 (10194)"</f>
        <v>PENSE FARMA 46 (10194)</v>
      </c>
      <c r="S10473" t="s">
        <v>70</v>
      </c>
      <c r="T10473">
        <v>21178</v>
      </c>
      <c r="U10473">
        <v>24980</v>
      </c>
      <c r="V10473" t="s">
        <v>22</v>
      </c>
    </row>
    <row r="10474" spans="1:22">
      <c r="A10474" t="str">
        <f t="shared" si="1988"/>
        <v>13/11/2025</v>
      </c>
      <c r="B10474" t="str">
        <f t="shared" si="1983"/>
        <v>ENTRADA</v>
      </c>
      <c r="C10474" t="str">
        <f t="shared" si="1984"/>
        <v>NFSE</v>
      </c>
      <c r="D10474" t="str">
        <f>"3692"</f>
        <v>3692</v>
      </c>
      <c r="E10474" t="str">
        <f t="shared" si="1985"/>
        <v>1</v>
      </c>
      <c r="F10474" t="str">
        <f t="shared" si="1980"/>
        <v>COM</v>
      </c>
      <c r="G10474" t="str">
        <f>"DROGA ELIDA (10121)"</f>
        <v>DROGA ELIDA (10121)</v>
      </c>
      <c r="H10474" t="str">
        <f>"Serv.Prest. 03/11/2025 a 09/11/2025 - RPS: 1568 - NFSe: 3692"</f>
        <v>Serv.Prest. 03/11/2025 a 09/11/2025 - RPS: 1568 - NFSe: 3692</v>
      </c>
      <c r="I10474" t="str">
        <f t="shared" si="1986"/>
        <v>12/11/2025</v>
      </c>
      <c r="J10474" t="str">
        <f t="shared" si="1989"/>
        <v>10/11/2025</v>
      </c>
      <c r="K10474" t="str">
        <f>("13/11/2025")</f>
        <v>13/11/2025</v>
      </c>
      <c r="L10474">
        <v>1861.5</v>
      </c>
      <c r="M10474">
        <v>1861.5</v>
      </c>
      <c r="N10474">
        <v>303</v>
      </c>
      <c r="O10474" t="str">
        <f>"RECEITAS COM ENTREGAS"</f>
        <v>RECEITAS COM ENTREGAS</v>
      </c>
      <c r="P10474">
        <v>1861.5</v>
      </c>
      <c r="S10474" t="str">
        <f>"RECEITAS COM ENTREGAS (303)"</f>
        <v>RECEITAS COM ENTREGAS (303)</v>
      </c>
      <c r="T10474">
        <v>21179</v>
      </c>
      <c r="U10474">
        <v>25090</v>
      </c>
      <c r="V10474" t="s">
        <v>22</v>
      </c>
    </row>
    <row r="10475" spans="1:22">
      <c r="A10475" t="str">
        <f t="shared" si="1988"/>
        <v>13/11/2025</v>
      </c>
      <c r="B10475" t="str">
        <f t="shared" si="1983"/>
        <v>ENTRADA</v>
      </c>
      <c r="C10475" t="str">
        <f t="shared" si="1984"/>
        <v>NFSE</v>
      </c>
      <c r="D10475" t="str">
        <f>"3692"</f>
        <v>3692</v>
      </c>
      <c r="E10475" t="str">
        <f t="shared" si="1985"/>
        <v>1</v>
      </c>
      <c r="F10475" t="str">
        <f t="shared" si="1980"/>
        <v>COM</v>
      </c>
      <c r="G10475" t="str">
        <f>"DROGA ELIDA (10121)"</f>
        <v>DROGA ELIDA (10121)</v>
      </c>
      <c r="H10475" t="s">
        <v>2925</v>
      </c>
      <c r="I10475" t="str">
        <f t="shared" si="1986"/>
        <v>12/11/2025</v>
      </c>
      <c r="J10475" t="str">
        <f t="shared" si="1989"/>
        <v>10/11/2025</v>
      </c>
      <c r="K10475">
        <v>45974</v>
      </c>
      <c r="N10475">
        <v>303</v>
      </c>
      <c r="O10475" t="s">
        <v>69</v>
      </c>
      <c r="Q10475">
        <v>1861.5</v>
      </c>
      <c r="R10475" t="str">
        <f>"DROGA ELIDA (10121)"</f>
        <v>DROGA ELIDA (10121)</v>
      </c>
      <c r="S10475" t="s">
        <v>70</v>
      </c>
      <c r="T10475">
        <v>21179</v>
      </c>
      <c r="U10475">
        <v>25090</v>
      </c>
      <c r="V10475" t="s">
        <v>22</v>
      </c>
    </row>
    <row r="10476" spans="1:22">
      <c r="A10476" t="str">
        <f t="shared" si="1988"/>
        <v>13/11/2025</v>
      </c>
      <c r="B10476" t="str">
        <f t="shared" si="1983"/>
        <v>ENTRADA</v>
      </c>
      <c r="C10476" t="str">
        <f t="shared" si="1984"/>
        <v>NFSE</v>
      </c>
      <c r="D10476" t="str">
        <f>"3668"</f>
        <v>3668</v>
      </c>
      <c r="E10476" t="str">
        <f t="shared" si="1985"/>
        <v>1</v>
      </c>
      <c r="F10476" t="str">
        <f t="shared" si="1980"/>
        <v>COM</v>
      </c>
      <c r="G10476" t="str">
        <f>"PENSE FARMA 15 (10195)"</f>
        <v>PENSE FARMA 15 (10195)</v>
      </c>
      <c r="H10476" t="str">
        <f>"Serv.Prest. 03/11/2025 a 09/11/2025 - RPS: 1544 - NFSe: 3668"</f>
        <v>Serv.Prest. 03/11/2025 a 09/11/2025 - RPS: 1544 - NFSe: 3668</v>
      </c>
      <c r="I10476" t="str">
        <f t="shared" si="1986"/>
        <v>12/11/2025</v>
      </c>
      <c r="J10476" t="str">
        <f t="shared" si="1989"/>
        <v>10/11/2025</v>
      </c>
      <c r="K10476" t="str">
        <f>("13/11/2025")</f>
        <v>13/11/2025</v>
      </c>
      <c r="L10476">
        <v>3034.48</v>
      </c>
      <c r="M10476">
        <v>3034.48</v>
      </c>
      <c r="N10476">
        <v>303</v>
      </c>
      <c r="O10476" t="str">
        <f>"RECEITAS COM ENTREGAS"</f>
        <v>RECEITAS COM ENTREGAS</v>
      </c>
      <c r="P10476">
        <v>3034.48</v>
      </c>
      <c r="S10476" t="str">
        <f>"RECEITAS COM ENTREGAS (303)"</f>
        <v>RECEITAS COM ENTREGAS (303)</v>
      </c>
      <c r="T10476">
        <v>21180</v>
      </c>
      <c r="U10476">
        <v>24990</v>
      </c>
      <c r="V10476" t="s">
        <v>22</v>
      </c>
    </row>
    <row r="10477" spans="1:22">
      <c r="A10477" t="str">
        <f t="shared" si="1988"/>
        <v>13/11/2025</v>
      </c>
      <c r="B10477" t="str">
        <f t="shared" si="1983"/>
        <v>ENTRADA</v>
      </c>
      <c r="C10477" t="str">
        <f t="shared" si="1984"/>
        <v>NFSE</v>
      </c>
      <c r="D10477" t="str">
        <f>"3668"</f>
        <v>3668</v>
      </c>
      <c r="E10477" t="str">
        <f t="shared" si="1985"/>
        <v>1</v>
      </c>
      <c r="F10477" t="str">
        <f t="shared" si="1980"/>
        <v>COM</v>
      </c>
      <c r="G10477" t="str">
        <f>"PENSE FARMA 15 (10195)"</f>
        <v>PENSE FARMA 15 (10195)</v>
      </c>
      <c r="H10477" t="s">
        <v>2926</v>
      </c>
      <c r="I10477" t="str">
        <f t="shared" si="1986"/>
        <v>12/11/2025</v>
      </c>
      <c r="J10477" t="str">
        <f t="shared" si="1989"/>
        <v>10/11/2025</v>
      </c>
      <c r="K10477">
        <v>45974</v>
      </c>
      <c r="N10477">
        <v>303</v>
      </c>
      <c r="O10477" t="s">
        <v>69</v>
      </c>
      <c r="Q10477">
        <v>758.62</v>
      </c>
      <c r="R10477" t="str">
        <f>"PENSE FARMA 15 (10195)"</f>
        <v>PENSE FARMA 15 (10195)</v>
      </c>
      <c r="S10477" t="s">
        <v>70</v>
      </c>
      <c r="T10477">
        <v>21180</v>
      </c>
      <c r="U10477">
        <v>24990</v>
      </c>
      <c r="V10477" t="s">
        <v>22</v>
      </c>
    </row>
    <row r="10478" spans="1:22">
      <c r="A10478" t="str">
        <f t="shared" si="1988"/>
        <v>13/11/2025</v>
      </c>
      <c r="B10478" t="str">
        <f t="shared" si="1983"/>
        <v>ENTRADA</v>
      </c>
      <c r="C10478" t="str">
        <f t="shared" si="1984"/>
        <v>NFSE</v>
      </c>
      <c r="D10478" t="str">
        <f>"3668"</f>
        <v>3668</v>
      </c>
      <c r="E10478" t="str">
        <f t="shared" si="1985"/>
        <v>1</v>
      </c>
      <c r="F10478" t="str">
        <f t="shared" si="1980"/>
        <v>COM</v>
      </c>
      <c r="G10478" t="str">
        <f>"PENSE FARMA 15 (10195)"</f>
        <v>PENSE FARMA 15 (10195)</v>
      </c>
      <c r="H10478" t="s">
        <v>2926</v>
      </c>
      <c r="I10478" t="str">
        <f t="shared" si="1986"/>
        <v>12/11/2025</v>
      </c>
      <c r="J10478" t="str">
        <f t="shared" si="1989"/>
        <v>10/11/2025</v>
      </c>
      <c r="K10478">
        <v>45974</v>
      </c>
      <c r="N10478">
        <v>303</v>
      </c>
      <c r="O10478" t="s">
        <v>69</v>
      </c>
      <c r="Q10478">
        <v>758.62</v>
      </c>
      <c r="R10478" t="str">
        <f>"PENSE FARMA 26 (10196)"</f>
        <v>PENSE FARMA 26 (10196)</v>
      </c>
      <c r="S10478" t="s">
        <v>70</v>
      </c>
      <c r="T10478">
        <v>21180</v>
      </c>
      <c r="U10478">
        <v>24990</v>
      </c>
      <c r="V10478" t="s">
        <v>22</v>
      </c>
    </row>
    <row r="10479" spans="1:22">
      <c r="A10479" t="str">
        <f t="shared" si="1988"/>
        <v>13/11/2025</v>
      </c>
      <c r="B10479" t="str">
        <f t="shared" ref="B10479:B10510" si="1990">"ENTRADA"</f>
        <v>ENTRADA</v>
      </c>
      <c r="C10479" t="str">
        <f t="shared" ref="C10479:C10510" si="1991">"NFSE"</f>
        <v>NFSE</v>
      </c>
      <c r="D10479" t="str">
        <f>"3668"</f>
        <v>3668</v>
      </c>
      <c r="E10479" t="str">
        <f t="shared" ref="E10479:E10510" si="1992">"1"</f>
        <v>1</v>
      </c>
      <c r="F10479" t="str">
        <f t="shared" si="1980"/>
        <v>COM</v>
      </c>
      <c r="G10479" t="str">
        <f>"PENSE FARMA 15 (10195)"</f>
        <v>PENSE FARMA 15 (10195)</v>
      </c>
      <c r="H10479" t="s">
        <v>2926</v>
      </c>
      <c r="I10479" t="str">
        <f t="shared" si="1986"/>
        <v>12/11/2025</v>
      </c>
      <c r="J10479" t="str">
        <f t="shared" si="1989"/>
        <v>10/11/2025</v>
      </c>
      <c r="K10479">
        <v>45974</v>
      </c>
      <c r="N10479">
        <v>303</v>
      </c>
      <c r="O10479" t="s">
        <v>69</v>
      </c>
      <c r="Q10479">
        <v>758.62</v>
      </c>
      <c r="R10479" t="str">
        <f>"PENSE FARMA 60 (10197)"</f>
        <v>PENSE FARMA 60 (10197)</v>
      </c>
      <c r="S10479" t="s">
        <v>70</v>
      </c>
      <c r="T10479">
        <v>21180</v>
      </c>
      <c r="U10479">
        <v>24990</v>
      </c>
      <c r="V10479" t="s">
        <v>22</v>
      </c>
    </row>
    <row r="10480" spans="1:22">
      <c r="A10480" t="str">
        <f t="shared" si="1988"/>
        <v>13/11/2025</v>
      </c>
      <c r="B10480" t="str">
        <f t="shared" si="1990"/>
        <v>ENTRADA</v>
      </c>
      <c r="C10480" t="str">
        <f t="shared" si="1991"/>
        <v>NFSE</v>
      </c>
      <c r="D10480" t="str">
        <f>"3668"</f>
        <v>3668</v>
      </c>
      <c r="E10480" t="str">
        <f t="shared" si="1992"/>
        <v>1</v>
      </c>
      <c r="F10480" t="str">
        <f t="shared" si="1980"/>
        <v>COM</v>
      </c>
      <c r="G10480" t="str">
        <f>"PENSE FARMA 15 (10195)"</f>
        <v>PENSE FARMA 15 (10195)</v>
      </c>
      <c r="H10480" t="s">
        <v>2926</v>
      </c>
      <c r="I10480" t="str">
        <f t="shared" si="1986"/>
        <v>12/11/2025</v>
      </c>
      <c r="J10480" t="str">
        <f t="shared" si="1989"/>
        <v>10/11/2025</v>
      </c>
      <c r="K10480">
        <v>45974</v>
      </c>
      <c r="N10480">
        <v>303</v>
      </c>
      <c r="O10480" t="s">
        <v>69</v>
      </c>
      <c r="Q10480">
        <v>758.62</v>
      </c>
      <c r="R10480" t="str">
        <f>"PENSE FARMA 61 (10243)"</f>
        <v>PENSE FARMA 61 (10243)</v>
      </c>
      <c r="S10480" t="s">
        <v>70</v>
      </c>
      <c r="T10480">
        <v>21180</v>
      </c>
      <c r="U10480">
        <v>24990</v>
      </c>
      <c r="V10480" t="s">
        <v>22</v>
      </c>
    </row>
    <row r="10481" spans="1:22">
      <c r="A10481" t="str">
        <f t="shared" si="1988"/>
        <v>13/11/2025</v>
      </c>
      <c r="B10481" t="str">
        <f t="shared" si="1990"/>
        <v>ENTRADA</v>
      </c>
      <c r="C10481" t="str">
        <f t="shared" si="1991"/>
        <v>NFSE</v>
      </c>
      <c r="D10481" t="str">
        <f>"3667"</f>
        <v>3667</v>
      </c>
      <c r="E10481" t="str">
        <f t="shared" si="1992"/>
        <v>1</v>
      </c>
      <c r="F10481" t="str">
        <f t="shared" si="1980"/>
        <v>COM</v>
      </c>
      <c r="G10481" t="str">
        <f>"PENSE FARMA 19 (10223)"</f>
        <v>PENSE FARMA 19 (10223)</v>
      </c>
      <c r="H10481" t="str">
        <f>"Serv.Prest. 03/11/2025 a 09/11/2025 - RPS: 1543 - NFSe: 3667"</f>
        <v>Serv.Prest. 03/11/2025 a 09/11/2025 - RPS: 1543 - NFSe: 3667</v>
      </c>
      <c r="I10481" t="str">
        <f t="shared" ref="I10481:I10512" si="1993">("12/11/2025")</f>
        <v>12/11/2025</v>
      </c>
      <c r="J10481" t="str">
        <f t="shared" si="1989"/>
        <v>10/11/2025</v>
      </c>
      <c r="K10481" t="str">
        <f>("13/11/2025")</f>
        <v>13/11/2025</v>
      </c>
      <c r="L10481">
        <v>1250.21</v>
      </c>
      <c r="M10481">
        <v>1250.21</v>
      </c>
      <c r="N10481">
        <v>303</v>
      </c>
      <c r="O10481" t="str">
        <f>"RECEITAS COM ENTREGAS"</f>
        <v>RECEITAS COM ENTREGAS</v>
      </c>
      <c r="P10481">
        <v>1250.21</v>
      </c>
      <c r="S10481" t="str">
        <f>"RECEITAS COM ENTREGAS (303)"</f>
        <v>RECEITAS COM ENTREGAS (303)</v>
      </c>
      <c r="T10481">
        <v>21181</v>
      </c>
      <c r="U10481">
        <v>24987</v>
      </c>
      <c r="V10481" t="s">
        <v>22</v>
      </c>
    </row>
    <row r="10482" spans="1:22">
      <c r="A10482" t="str">
        <f t="shared" si="1988"/>
        <v>13/11/2025</v>
      </c>
      <c r="B10482" t="str">
        <f t="shared" si="1990"/>
        <v>ENTRADA</v>
      </c>
      <c r="C10482" t="str">
        <f t="shared" si="1991"/>
        <v>NFSE</v>
      </c>
      <c r="D10482" t="str">
        <f>"3667"</f>
        <v>3667</v>
      </c>
      <c r="E10482" t="str">
        <f t="shared" si="1992"/>
        <v>1</v>
      </c>
      <c r="F10482" t="str">
        <f t="shared" si="1980"/>
        <v>COM</v>
      </c>
      <c r="G10482" t="str">
        <f>"PENSE FARMA 19 (10223)"</f>
        <v>PENSE FARMA 19 (10223)</v>
      </c>
      <c r="H10482" t="s">
        <v>2927</v>
      </c>
      <c r="I10482" t="str">
        <f t="shared" si="1993"/>
        <v>12/11/2025</v>
      </c>
      <c r="J10482" t="str">
        <f t="shared" si="1989"/>
        <v>10/11/2025</v>
      </c>
      <c r="K10482">
        <v>45974</v>
      </c>
      <c r="N10482">
        <v>303</v>
      </c>
      <c r="O10482" t="s">
        <v>69</v>
      </c>
      <c r="Q10482">
        <v>1250.21</v>
      </c>
      <c r="R10482" t="str">
        <f>"PENSE FARMA 19 (10223)"</f>
        <v>PENSE FARMA 19 (10223)</v>
      </c>
      <c r="S10482" t="s">
        <v>70</v>
      </c>
      <c r="T10482">
        <v>21181</v>
      </c>
      <c r="U10482">
        <v>24987</v>
      </c>
      <c r="V10482" t="s">
        <v>22</v>
      </c>
    </row>
    <row r="10483" spans="1:22">
      <c r="A10483" t="str">
        <f t="shared" si="1988"/>
        <v>13/11/2025</v>
      </c>
      <c r="B10483" t="str">
        <f t="shared" si="1990"/>
        <v>ENTRADA</v>
      </c>
      <c r="C10483" t="str">
        <f t="shared" si="1991"/>
        <v>NFSE</v>
      </c>
      <c r="D10483" t="str">
        <f t="shared" ref="D10483:D10488" si="1994">"3662"</f>
        <v>3662</v>
      </c>
      <c r="E10483" t="str">
        <f t="shared" si="1992"/>
        <v>1</v>
      </c>
      <c r="F10483" t="str">
        <f t="shared" si="1980"/>
        <v>COM</v>
      </c>
      <c r="G10483" t="str">
        <f t="shared" ref="G10483:G10488" si="1995">"PENSE FARMA 08 (10217)"</f>
        <v>PENSE FARMA 08 (10217)</v>
      </c>
      <c r="H10483" t="str">
        <f>"Serv.Prest. 03/11/2025 a 09/11/2025 - RPS: 1538 - NFSe: 3662"</f>
        <v>Serv.Prest. 03/11/2025 a 09/11/2025 - RPS: 1538 - NFSe: 3662</v>
      </c>
      <c r="I10483" t="str">
        <f t="shared" si="1993"/>
        <v>12/11/2025</v>
      </c>
      <c r="J10483" t="str">
        <f t="shared" si="1989"/>
        <v>10/11/2025</v>
      </c>
      <c r="K10483" t="str">
        <f>("13/11/2025")</f>
        <v>13/11/2025</v>
      </c>
      <c r="L10483">
        <v>3340.5</v>
      </c>
      <c r="M10483">
        <v>3340.5</v>
      </c>
      <c r="N10483">
        <v>303</v>
      </c>
      <c r="O10483" t="str">
        <f>"RECEITAS COM ENTREGAS"</f>
        <v>RECEITAS COM ENTREGAS</v>
      </c>
      <c r="P10483">
        <v>3340.5</v>
      </c>
      <c r="S10483" t="str">
        <f>"RECEITAS COM ENTREGAS (303)"</f>
        <v>RECEITAS COM ENTREGAS (303)</v>
      </c>
      <c r="T10483">
        <v>21182</v>
      </c>
      <c r="U10483">
        <v>24974</v>
      </c>
      <c r="V10483" t="s">
        <v>22</v>
      </c>
    </row>
    <row r="10484" spans="1:22">
      <c r="A10484" t="str">
        <f t="shared" si="1988"/>
        <v>13/11/2025</v>
      </c>
      <c r="B10484" t="str">
        <f t="shared" si="1990"/>
        <v>ENTRADA</v>
      </c>
      <c r="C10484" t="str">
        <f t="shared" si="1991"/>
        <v>NFSE</v>
      </c>
      <c r="D10484" t="str">
        <f t="shared" si="1994"/>
        <v>3662</v>
      </c>
      <c r="E10484" t="str">
        <f t="shared" si="1992"/>
        <v>1</v>
      </c>
      <c r="F10484" t="str">
        <f t="shared" si="1980"/>
        <v>COM</v>
      </c>
      <c r="G10484" t="str">
        <f t="shared" si="1995"/>
        <v>PENSE FARMA 08 (10217)</v>
      </c>
      <c r="H10484" t="s">
        <v>2928</v>
      </c>
      <c r="I10484" t="str">
        <f t="shared" si="1993"/>
        <v>12/11/2025</v>
      </c>
      <c r="J10484" t="str">
        <f t="shared" si="1989"/>
        <v>10/11/2025</v>
      </c>
      <c r="K10484">
        <v>45974</v>
      </c>
      <c r="N10484">
        <v>303</v>
      </c>
      <c r="O10484" t="s">
        <v>69</v>
      </c>
      <c r="Q10484">
        <v>668.1</v>
      </c>
      <c r="R10484" t="str">
        <f>"PENSE FARMA 08 (10217)"</f>
        <v>PENSE FARMA 08 (10217)</v>
      </c>
      <c r="S10484" t="s">
        <v>70</v>
      </c>
      <c r="T10484">
        <v>21182</v>
      </c>
      <c r="U10484">
        <v>24974</v>
      </c>
      <c r="V10484" t="s">
        <v>22</v>
      </c>
    </row>
    <row r="10485" spans="1:22">
      <c r="A10485" t="str">
        <f t="shared" si="1988"/>
        <v>13/11/2025</v>
      </c>
      <c r="B10485" t="str">
        <f t="shared" si="1990"/>
        <v>ENTRADA</v>
      </c>
      <c r="C10485" t="str">
        <f t="shared" si="1991"/>
        <v>NFSE</v>
      </c>
      <c r="D10485" t="str">
        <f t="shared" si="1994"/>
        <v>3662</v>
      </c>
      <c r="E10485" t="str">
        <f t="shared" si="1992"/>
        <v>1</v>
      </c>
      <c r="F10485" t="str">
        <f t="shared" si="1980"/>
        <v>COM</v>
      </c>
      <c r="G10485" t="str">
        <f t="shared" si="1995"/>
        <v>PENSE FARMA 08 (10217)</v>
      </c>
      <c r="H10485" t="s">
        <v>2928</v>
      </c>
      <c r="I10485" t="str">
        <f t="shared" si="1993"/>
        <v>12/11/2025</v>
      </c>
      <c r="J10485" t="str">
        <f t="shared" si="1989"/>
        <v>10/11/2025</v>
      </c>
      <c r="K10485">
        <v>45974</v>
      </c>
      <c r="N10485">
        <v>303</v>
      </c>
      <c r="O10485" t="s">
        <v>69</v>
      </c>
      <c r="Q10485">
        <v>668.1</v>
      </c>
      <c r="R10485" t="str">
        <f>"PENSE FARMA 11 (10220)"</f>
        <v>PENSE FARMA 11 (10220)</v>
      </c>
      <c r="S10485" t="s">
        <v>70</v>
      </c>
      <c r="T10485">
        <v>21182</v>
      </c>
      <c r="U10485">
        <v>24974</v>
      </c>
      <c r="V10485" t="s">
        <v>22</v>
      </c>
    </row>
    <row r="10486" spans="1:22">
      <c r="A10486" t="str">
        <f t="shared" si="1988"/>
        <v>13/11/2025</v>
      </c>
      <c r="B10486" t="str">
        <f t="shared" si="1990"/>
        <v>ENTRADA</v>
      </c>
      <c r="C10486" t="str">
        <f t="shared" si="1991"/>
        <v>NFSE</v>
      </c>
      <c r="D10486" t="str">
        <f t="shared" si="1994"/>
        <v>3662</v>
      </c>
      <c r="E10486" t="str">
        <f t="shared" si="1992"/>
        <v>1</v>
      </c>
      <c r="F10486" t="str">
        <f t="shared" si="1980"/>
        <v>COM</v>
      </c>
      <c r="G10486" t="str">
        <f t="shared" si="1995"/>
        <v>PENSE FARMA 08 (10217)</v>
      </c>
      <c r="H10486" t="s">
        <v>2928</v>
      </c>
      <c r="I10486" t="str">
        <f t="shared" si="1993"/>
        <v>12/11/2025</v>
      </c>
      <c r="J10486" t="str">
        <f t="shared" si="1989"/>
        <v>10/11/2025</v>
      </c>
      <c r="K10486">
        <v>45974</v>
      </c>
      <c r="N10486">
        <v>303</v>
      </c>
      <c r="O10486" t="s">
        <v>69</v>
      </c>
      <c r="Q10486">
        <v>668.1</v>
      </c>
      <c r="R10486" t="str">
        <f>"PENSE FARMA 41 (10229)"</f>
        <v>PENSE FARMA 41 (10229)</v>
      </c>
      <c r="S10486" t="s">
        <v>70</v>
      </c>
      <c r="T10486">
        <v>21182</v>
      </c>
      <c r="U10486">
        <v>24974</v>
      </c>
      <c r="V10486" t="s">
        <v>22</v>
      </c>
    </row>
    <row r="10487" spans="1:22">
      <c r="A10487" t="str">
        <f t="shared" si="1988"/>
        <v>13/11/2025</v>
      </c>
      <c r="B10487" t="str">
        <f t="shared" si="1990"/>
        <v>ENTRADA</v>
      </c>
      <c r="C10487" t="str">
        <f t="shared" si="1991"/>
        <v>NFSE</v>
      </c>
      <c r="D10487" t="str">
        <f t="shared" si="1994"/>
        <v>3662</v>
      </c>
      <c r="E10487" t="str">
        <f t="shared" si="1992"/>
        <v>1</v>
      </c>
      <c r="F10487" t="str">
        <f t="shared" ref="F10487:F10550" si="1996">"COM"</f>
        <v>COM</v>
      </c>
      <c r="G10487" t="str">
        <f t="shared" si="1995"/>
        <v>PENSE FARMA 08 (10217)</v>
      </c>
      <c r="H10487" t="s">
        <v>2928</v>
      </c>
      <c r="I10487" t="str">
        <f t="shared" si="1993"/>
        <v>12/11/2025</v>
      </c>
      <c r="J10487" t="str">
        <f t="shared" si="1989"/>
        <v>10/11/2025</v>
      </c>
      <c r="K10487">
        <v>45974</v>
      </c>
      <c r="N10487">
        <v>303</v>
      </c>
      <c r="O10487" t="s">
        <v>69</v>
      </c>
      <c r="Q10487">
        <v>668.1</v>
      </c>
      <c r="R10487" t="str">
        <f>"PENSE FARMA 42 (10230)"</f>
        <v>PENSE FARMA 42 (10230)</v>
      </c>
      <c r="S10487" t="s">
        <v>70</v>
      </c>
      <c r="T10487">
        <v>21182</v>
      </c>
      <c r="U10487">
        <v>24974</v>
      </c>
      <c r="V10487" t="s">
        <v>22</v>
      </c>
    </row>
    <row r="10488" spans="1:22">
      <c r="A10488" t="str">
        <f t="shared" si="1988"/>
        <v>13/11/2025</v>
      </c>
      <c r="B10488" t="str">
        <f t="shared" si="1990"/>
        <v>ENTRADA</v>
      </c>
      <c r="C10488" t="str">
        <f t="shared" si="1991"/>
        <v>NFSE</v>
      </c>
      <c r="D10488" t="str">
        <f t="shared" si="1994"/>
        <v>3662</v>
      </c>
      <c r="E10488" t="str">
        <f t="shared" si="1992"/>
        <v>1</v>
      </c>
      <c r="F10488" t="str">
        <f t="shared" si="1996"/>
        <v>COM</v>
      </c>
      <c r="G10488" t="str">
        <f t="shared" si="1995"/>
        <v>PENSE FARMA 08 (10217)</v>
      </c>
      <c r="H10488" t="s">
        <v>2928</v>
      </c>
      <c r="I10488" t="str">
        <f t="shared" si="1993"/>
        <v>12/11/2025</v>
      </c>
      <c r="J10488" t="str">
        <f t="shared" si="1989"/>
        <v>10/11/2025</v>
      </c>
      <c r="K10488">
        <v>45974</v>
      </c>
      <c r="N10488">
        <v>303</v>
      </c>
      <c r="O10488" t="s">
        <v>69</v>
      </c>
      <c r="Q10488">
        <v>668.1</v>
      </c>
      <c r="R10488" t="str">
        <f>"PENSE FARMA 52 (10236)"</f>
        <v>PENSE FARMA 52 (10236)</v>
      </c>
      <c r="S10488" t="s">
        <v>70</v>
      </c>
      <c r="T10488">
        <v>21182</v>
      </c>
      <c r="U10488">
        <v>24974</v>
      </c>
      <c r="V10488" t="s">
        <v>22</v>
      </c>
    </row>
    <row r="10489" spans="1:22">
      <c r="A10489" t="str">
        <f t="shared" si="1988"/>
        <v>13/11/2025</v>
      </c>
      <c r="B10489" t="str">
        <f t="shared" si="1990"/>
        <v>ENTRADA</v>
      </c>
      <c r="C10489" t="str">
        <f t="shared" si="1991"/>
        <v>NFSE</v>
      </c>
      <c r="D10489" t="str">
        <f>"3656"</f>
        <v>3656</v>
      </c>
      <c r="E10489" t="str">
        <f t="shared" si="1992"/>
        <v>1</v>
      </c>
      <c r="F10489" t="str">
        <f t="shared" si="1996"/>
        <v>COM</v>
      </c>
      <c r="G10489" t="str">
        <f>"PENSE FARMA 44 (10231)"</f>
        <v>PENSE FARMA 44 (10231)</v>
      </c>
      <c r="H10489" t="str">
        <f>"Serv.Prest. 03/11/2025 a 09/11/2025 - RPS: 1532 - NFSe: 3656"</f>
        <v>Serv.Prest. 03/11/2025 a 09/11/2025 - RPS: 1532 - NFSe: 3656</v>
      </c>
      <c r="I10489" t="str">
        <f t="shared" si="1993"/>
        <v>12/11/2025</v>
      </c>
      <c r="J10489" t="str">
        <f t="shared" si="1989"/>
        <v>10/11/2025</v>
      </c>
      <c r="K10489" t="str">
        <f>("13/11/2025")</f>
        <v>13/11/2025</v>
      </c>
      <c r="L10489">
        <v>3337.94</v>
      </c>
      <c r="M10489">
        <v>3337.94</v>
      </c>
      <c r="N10489">
        <v>303</v>
      </c>
      <c r="O10489" t="str">
        <f>"RECEITAS COM ENTREGAS"</f>
        <v>RECEITAS COM ENTREGAS</v>
      </c>
      <c r="P10489">
        <v>3337.94</v>
      </c>
      <c r="S10489" t="str">
        <f>"RECEITAS COM ENTREGAS (303)"</f>
        <v>RECEITAS COM ENTREGAS (303)</v>
      </c>
      <c r="T10489">
        <v>21183</v>
      </c>
      <c r="U10489">
        <v>24959</v>
      </c>
      <c r="V10489" t="s">
        <v>22</v>
      </c>
    </row>
    <row r="10490" spans="1:22">
      <c r="A10490" t="str">
        <f t="shared" si="1988"/>
        <v>13/11/2025</v>
      </c>
      <c r="B10490" t="str">
        <f t="shared" si="1990"/>
        <v>ENTRADA</v>
      </c>
      <c r="C10490" t="str">
        <f t="shared" si="1991"/>
        <v>NFSE</v>
      </c>
      <c r="D10490" t="str">
        <f>"3656"</f>
        <v>3656</v>
      </c>
      <c r="E10490" t="str">
        <f t="shared" si="1992"/>
        <v>1</v>
      </c>
      <c r="F10490" t="str">
        <f t="shared" si="1996"/>
        <v>COM</v>
      </c>
      <c r="G10490" t="str">
        <f>"PENSE FARMA 44 (10231)"</f>
        <v>PENSE FARMA 44 (10231)</v>
      </c>
      <c r="H10490" t="s">
        <v>2929</v>
      </c>
      <c r="I10490" t="str">
        <f t="shared" si="1993"/>
        <v>12/11/2025</v>
      </c>
      <c r="J10490" t="str">
        <f t="shared" si="1989"/>
        <v>10/11/2025</v>
      </c>
      <c r="K10490">
        <v>45974</v>
      </c>
      <c r="N10490">
        <v>303</v>
      </c>
      <c r="O10490" t="s">
        <v>69</v>
      </c>
      <c r="Q10490">
        <v>1668.97</v>
      </c>
      <c r="R10490" t="str">
        <f>"PENSE FARMA 44 (10231)"</f>
        <v>PENSE FARMA 44 (10231)</v>
      </c>
      <c r="S10490" t="s">
        <v>70</v>
      </c>
      <c r="T10490">
        <v>21183</v>
      </c>
      <c r="U10490">
        <v>24959</v>
      </c>
      <c r="V10490" t="s">
        <v>22</v>
      </c>
    </row>
    <row r="10491" spans="1:22">
      <c r="A10491" t="str">
        <f t="shared" si="1988"/>
        <v>13/11/2025</v>
      </c>
      <c r="B10491" t="str">
        <f t="shared" si="1990"/>
        <v>ENTRADA</v>
      </c>
      <c r="C10491" t="str">
        <f t="shared" si="1991"/>
        <v>NFSE</v>
      </c>
      <c r="D10491" t="str">
        <f>"3656"</f>
        <v>3656</v>
      </c>
      <c r="E10491" t="str">
        <f t="shared" si="1992"/>
        <v>1</v>
      </c>
      <c r="F10491" t="str">
        <f t="shared" si="1996"/>
        <v>COM</v>
      </c>
      <c r="G10491" t="str">
        <f>"PENSE FARMA 44 (10231)"</f>
        <v>PENSE FARMA 44 (10231)</v>
      </c>
      <c r="H10491" t="s">
        <v>2929</v>
      </c>
      <c r="I10491" t="str">
        <f t="shared" si="1993"/>
        <v>12/11/2025</v>
      </c>
      <c r="J10491" t="str">
        <f t="shared" si="1989"/>
        <v>10/11/2025</v>
      </c>
      <c r="K10491">
        <v>45974</v>
      </c>
      <c r="N10491">
        <v>303</v>
      </c>
      <c r="O10491" t="s">
        <v>69</v>
      </c>
      <c r="Q10491">
        <v>1668.97</v>
      </c>
      <c r="R10491" t="str">
        <f>"PENSE FARMA 48 (10233)"</f>
        <v>PENSE FARMA 48 (10233)</v>
      </c>
      <c r="S10491" t="s">
        <v>70</v>
      </c>
      <c r="T10491">
        <v>21183</v>
      </c>
      <c r="U10491">
        <v>24959</v>
      </c>
      <c r="V10491" t="s">
        <v>22</v>
      </c>
    </row>
    <row r="10492" spans="1:22">
      <c r="A10492" t="str">
        <f t="shared" si="1988"/>
        <v>13/11/2025</v>
      </c>
      <c r="B10492" t="str">
        <f t="shared" si="1990"/>
        <v>ENTRADA</v>
      </c>
      <c r="C10492" t="str">
        <f t="shared" si="1991"/>
        <v>NFSE</v>
      </c>
      <c r="D10492" t="str">
        <f>"3665"</f>
        <v>3665</v>
      </c>
      <c r="E10492" t="str">
        <f t="shared" si="1992"/>
        <v>1</v>
      </c>
      <c r="F10492" t="str">
        <f t="shared" si="1996"/>
        <v>COM</v>
      </c>
      <c r="G10492" t="str">
        <f>"PENSE FARMA 27 (10204)"</f>
        <v>PENSE FARMA 27 (10204)</v>
      </c>
      <c r="H10492" t="str">
        <f>"Serv.Prest. 03/11/2025 a 09/11/2025 - RPS: 1541 - NFSe: 3665"</f>
        <v>Serv.Prest. 03/11/2025 a 09/11/2025 - RPS: 1541 - NFSe: 3665</v>
      </c>
      <c r="I10492" t="str">
        <f t="shared" si="1993"/>
        <v>12/11/2025</v>
      </c>
      <c r="J10492" t="str">
        <f t="shared" si="1989"/>
        <v>10/11/2025</v>
      </c>
      <c r="K10492" t="str">
        <f>("13/11/2025")</f>
        <v>13/11/2025</v>
      </c>
      <c r="L10492">
        <v>3034.5</v>
      </c>
      <c r="M10492">
        <v>3034.5</v>
      </c>
      <c r="N10492">
        <v>303</v>
      </c>
      <c r="O10492" t="str">
        <f>"RECEITAS COM ENTREGAS"</f>
        <v>RECEITAS COM ENTREGAS</v>
      </c>
      <c r="P10492">
        <v>3034.5</v>
      </c>
      <c r="S10492" t="str">
        <f>"RECEITAS COM ENTREGAS (303)"</f>
        <v>RECEITAS COM ENTREGAS (303)</v>
      </c>
      <c r="T10492">
        <v>21184</v>
      </c>
      <c r="U10492">
        <v>24982</v>
      </c>
      <c r="V10492" t="s">
        <v>22</v>
      </c>
    </row>
    <row r="10493" spans="1:22">
      <c r="A10493" t="str">
        <f t="shared" si="1988"/>
        <v>13/11/2025</v>
      </c>
      <c r="B10493" t="str">
        <f t="shared" si="1990"/>
        <v>ENTRADA</v>
      </c>
      <c r="C10493" t="str">
        <f t="shared" si="1991"/>
        <v>NFSE</v>
      </c>
      <c r="D10493" t="str">
        <f>"3665"</f>
        <v>3665</v>
      </c>
      <c r="E10493" t="str">
        <f t="shared" si="1992"/>
        <v>1</v>
      </c>
      <c r="F10493" t="str">
        <f t="shared" si="1996"/>
        <v>COM</v>
      </c>
      <c r="G10493" t="str">
        <f>"PENSE FARMA 27 (10204)"</f>
        <v>PENSE FARMA 27 (10204)</v>
      </c>
      <c r="H10493" t="s">
        <v>2930</v>
      </c>
      <c r="I10493" t="str">
        <f t="shared" si="1993"/>
        <v>12/11/2025</v>
      </c>
      <c r="J10493" t="str">
        <f t="shared" si="1989"/>
        <v>10/11/2025</v>
      </c>
      <c r="K10493">
        <v>45974</v>
      </c>
      <c r="N10493">
        <v>303</v>
      </c>
      <c r="O10493" t="s">
        <v>69</v>
      </c>
      <c r="Q10493">
        <v>1011.4</v>
      </c>
      <c r="R10493" t="str">
        <f>"PENSE FARMA 05 (10200)"</f>
        <v>PENSE FARMA 05 (10200)</v>
      </c>
      <c r="S10493" t="s">
        <v>70</v>
      </c>
      <c r="T10493">
        <v>21184</v>
      </c>
      <c r="U10493">
        <v>24982</v>
      </c>
      <c r="V10493" t="s">
        <v>22</v>
      </c>
    </row>
    <row r="10494" spans="1:22">
      <c r="A10494" t="str">
        <f t="shared" si="1988"/>
        <v>13/11/2025</v>
      </c>
      <c r="B10494" t="str">
        <f t="shared" si="1990"/>
        <v>ENTRADA</v>
      </c>
      <c r="C10494" t="str">
        <f t="shared" si="1991"/>
        <v>NFSE</v>
      </c>
      <c r="D10494" t="str">
        <f>"3665"</f>
        <v>3665</v>
      </c>
      <c r="E10494" t="str">
        <f t="shared" si="1992"/>
        <v>1</v>
      </c>
      <c r="F10494" t="str">
        <f t="shared" si="1996"/>
        <v>COM</v>
      </c>
      <c r="G10494" t="str">
        <f>"PENSE FARMA 27 (10204)"</f>
        <v>PENSE FARMA 27 (10204)</v>
      </c>
      <c r="H10494" t="s">
        <v>2930</v>
      </c>
      <c r="I10494" t="str">
        <f t="shared" si="1993"/>
        <v>12/11/2025</v>
      </c>
      <c r="J10494" t="str">
        <f t="shared" si="1989"/>
        <v>10/11/2025</v>
      </c>
      <c r="K10494">
        <v>45974</v>
      </c>
      <c r="N10494">
        <v>303</v>
      </c>
      <c r="O10494" t="s">
        <v>69</v>
      </c>
      <c r="Q10494">
        <v>1011.4</v>
      </c>
      <c r="R10494" t="str">
        <f>"PENSE FARMA 13 (10202)"</f>
        <v>PENSE FARMA 13 (10202)</v>
      </c>
      <c r="S10494" t="s">
        <v>70</v>
      </c>
      <c r="T10494">
        <v>21184</v>
      </c>
      <c r="U10494">
        <v>24982</v>
      </c>
      <c r="V10494" t="s">
        <v>22</v>
      </c>
    </row>
    <row r="10495" spans="1:22">
      <c r="A10495" t="str">
        <f t="shared" si="1988"/>
        <v>13/11/2025</v>
      </c>
      <c r="B10495" t="str">
        <f t="shared" si="1990"/>
        <v>ENTRADA</v>
      </c>
      <c r="C10495" t="str">
        <f t="shared" si="1991"/>
        <v>NFSE</v>
      </c>
      <c r="D10495" t="str">
        <f>"3665"</f>
        <v>3665</v>
      </c>
      <c r="E10495" t="str">
        <f t="shared" si="1992"/>
        <v>1</v>
      </c>
      <c r="F10495" t="str">
        <f t="shared" si="1996"/>
        <v>COM</v>
      </c>
      <c r="G10495" t="str">
        <f>"PENSE FARMA 27 (10204)"</f>
        <v>PENSE FARMA 27 (10204)</v>
      </c>
      <c r="H10495" t="s">
        <v>2930</v>
      </c>
      <c r="I10495" t="str">
        <f t="shared" si="1993"/>
        <v>12/11/2025</v>
      </c>
      <c r="J10495" t="str">
        <f t="shared" si="1989"/>
        <v>10/11/2025</v>
      </c>
      <c r="K10495">
        <v>45974</v>
      </c>
      <c r="N10495">
        <v>303</v>
      </c>
      <c r="O10495" t="s">
        <v>69</v>
      </c>
      <c r="Q10495">
        <v>1011.7</v>
      </c>
      <c r="R10495" t="str">
        <f>"PENSE FARMA 27 (10204)"</f>
        <v>PENSE FARMA 27 (10204)</v>
      </c>
      <c r="S10495" t="s">
        <v>70</v>
      </c>
      <c r="T10495">
        <v>21184</v>
      </c>
      <c r="U10495">
        <v>24982</v>
      </c>
      <c r="V10495" t="s">
        <v>22</v>
      </c>
    </row>
    <row r="10496" spans="1:22">
      <c r="A10496" t="str">
        <f t="shared" si="1988"/>
        <v>13/11/2025</v>
      </c>
      <c r="B10496" t="str">
        <f t="shared" si="1990"/>
        <v>ENTRADA</v>
      </c>
      <c r="C10496" t="str">
        <f t="shared" si="1991"/>
        <v>NFSE</v>
      </c>
      <c r="D10496" t="str">
        <f>"3666"</f>
        <v>3666</v>
      </c>
      <c r="E10496" t="str">
        <f t="shared" si="1992"/>
        <v>1</v>
      </c>
      <c r="F10496" t="str">
        <f t="shared" si="1996"/>
        <v>COM</v>
      </c>
      <c r="G10496" t="str">
        <f>"PENSE FARMA 07 (10201)"</f>
        <v>PENSE FARMA 07 (10201)</v>
      </c>
      <c r="H10496" t="str">
        <f>"Serv.Prest. 03/11/2025 a 09/11/2025 - RPS: 1542 - NFSe: 3666"</f>
        <v>Serv.Prest. 03/11/2025 a 09/11/2025 - RPS: 1542 - NFSe: 3666</v>
      </c>
      <c r="I10496" t="str">
        <f t="shared" si="1993"/>
        <v>12/11/2025</v>
      </c>
      <c r="J10496" t="str">
        <f t="shared" si="1989"/>
        <v>10/11/2025</v>
      </c>
      <c r="K10496" t="str">
        <f>("13/11/2025")</f>
        <v>13/11/2025</v>
      </c>
      <c r="L10496">
        <v>1517.25</v>
      </c>
      <c r="M10496">
        <v>1517.25</v>
      </c>
      <c r="N10496">
        <v>303</v>
      </c>
      <c r="O10496" t="str">
        <f>"RECEITAS COM ENTREGAS"</f>
        <v>RECEITAS COM ENTREGAS</v>
      </c>
      <c r="P10496">
        <v>1517.25</v>
      </c>
      <c r="S10496" t="str">
        <f>"RECEITAS COM ENTREGAS (303)"</f>
        <v>RECEITAS COM ENTREGAS (303)</v>
      </c>
      <c r="T10496">
        <v>21185</v>
      </c>
      <c r="U10496">
        <v>24985</v>
      </c>
      <c r="V10496" t="s">
        <v>22</v>
      </c>
    </row>
    <row r="10497" spans="1:22">
      <c r="A10497" t="str">
        <f t="shared" si="1988"/>
        <v>13/11/2025</v>
      </c>
      <c r="B10497" t="str">
        <f t="shared" si="1990"/>
        <v>ENTRADA</v>
      </c>
      <c r="C10497" t="str">
        <f t="shared" si="1991"/>
        <v>NFSE</v>
      </c>
      <c r="D10497" t="str">
        <f>"3666"</f>
        <v>3666</v>
      </c>
      <c r="E10497" t="str">
        <f t="shared" si="1992"/>
        <v>1</v>
      </c>
      <c r="F10497" t="str">
        <f t="shared" si="1996"/>
        <v>COM</v>
      </c>
      <c r="G10497" t="str">
        <f>"PENSE FARMA 07 (10201)"</f>
        <v>PENSE FARMA 07 (10201)</v>
      </c>
      <c r="H10497" t="s">
        <v>2931</v>
      </c>
      <c r="I10497" t="str">
        <f t="shared" si="1993"/>
        <v>12/11/2025</v>
      </c>
      <c r="J10497" t="str">
        <f t="shared" ref="J10497:J10525" si="1997">("10/11/2025")</f>
        <v>10/11/2025</v>
      </c>
      <c r="K10497">
        <v>45974</v>
      </c>
      <c r="N10497">
        <v>303</v>
      </c>
      <c r="O10497" t="s">
        <v>69</v>
      </c>
      <c r="Q10497">
        <v>505.7</v>
      </c>
      <c r="R10497" t="str">
        <f>"PENSE FARMA 07 (10201)"</f>
        <v>PENSE FARMA 07 (10201)</v>
      </c>
      <c r="S10497" t="s">
        <v>70</v>
      </c>
      <c r="T10497">
        <v>21185</v>
      </c>
      <c r="U10497">
        <v>24985</v>
      </c>
      <c r="V10497" t="s">
        <v>22</v>
      </c>
    </row>
    <row r="10498" spans="1:22">
      <c r="A10498" t="str">
        <f t="shared" si="1988"/>
        <v>13/11/2025</v>
      </c>
      <c r="B10498" t="str">
        <f t="shared" si="1990"/>
        <v>ENTRADA</v>
      </c>
      <c r="C10498" t="str">
        <f t="shared" si="1991"/>
        <v>NFSE</v>
      </c>
      <c r="D10498" t="str">
        <f>"3666"</f>
        <v>3666</v>
      </c>
      <c r="E10498" t="str">
        <f t="shared" si="1992"/>
        <v>1</v>
      </c>
      <c r="F10498" t="str">
        <f t="shared" si="1996"/>
        <v>COM</v>
      </c>
      <c r="G10498" t="str">
        <f>"PENSE FARMA 07 (10201)"</f>
        <v>PENSE FARMA 07 (10201)</v>
      </c>
      <c r="H10498" t="s">
        <v>2931</v>
      </c>
      <c r="I10498" t="str">
        <f t="shared" si="1993"/>
        <v>12/11/2025</v>
      </c>
      <c r="J10498" t="str">
        <f t="shared" si="1997"/>
        <v>10/11/2025</v>
      </c>
      <c r="K10498">
        <v>45974</v>
      </c>
      <c r="N10498">
        <v>303</v>
      </c>
      <c r="O10498" t="s">
        <v>69</v>
      </c>
      <c r="Q10498">
        <v>505.7</v>
      </c>
      <c r="R10498" t="str">
        <f>"PENSE FARMA 45 (10209)"</f>
        <v>PENSE FARMA 45 (10209)</v>
      </c>
      <c r="S10498" t="s">
        <v>70</v>
      </c>
      <c r="T10498">
        <v>21185</v>
      </c>
      <c r="U10498">
        <v>24985</v>
      </c>
      <c r="V10498" t="s">
        <v>22</v>
      </c>
    </row>
    <row r="10499" spans="1:22">
      <c r="A10499" t="str">
        <f t="shared" si="1988"/>
        <v>13/11/2025</v>
      </c>
      <c r="B10499" t="str">
        <f t="shared" si="1990"/>
        <v>ENTRADA</v>
      </c>
      <c r="C10499" t="str">
        <f t="shared" si="1991"/>
        <v>NFSE</v>
      </c>
      <c r="D10499" t="str">
        <f>"3666"</f>
        <v>3666</v>
      </c>
      <c r="E10499" t="str">
        <f t="shared" si="1992"/>
        <v>1</v>
      </c>
      <c r="F10499" t="str">
        <f t="shared" si="1996"/>
        <v>COM</v>
      </c>
      <c r="G10499" t="str">
        <f>"PENSE FARMA 07 (10201)"</f>
        <v>PENSE FARMA 07 (10201)</v>
      </c>
      <c r="H10499" t="s">
        <v>2931</v>
      </c>
      <c r="I10499" t="str">
        <f t="shared" si="1993"/>
        <v>12/11/2025</v>
      </c>
      <c r="J10499" t="str">
        <f t="shared" si="1997"/>
        <v>10/11/2025</v>
      </c>
      <c r="K10499">
        <v>45974</v>
      </c>
      <c r="N10499">
        <v>303</v>
      </c>
      <c r="O10499" t="s">
        <v>69</v>
      </c>
      <c r="Q10499">
        <v>505.85</v>
      </c>
      <c r="R10499" t="str">
        <f>"PENSE FARMA 50 (10210)"</f>
        <v>PENSE FARMA 50 (10210)</v>
      </c>
      <c r="S10499" t="s">
        <v>70</v>
      </c>
      <c r="T10499">
        <v>21185</v>
      </c>
      <c r="U10499">
        <v>24985</v>
      </c>
      <c r="V10499" t="s">
        <v>22</v>
      </c>
    </row>
    <row r="10500" spans="1:22">
      <c r="A10500" t="str">
        <f t="shared" si="1988"/>
        <v>13/11/2025</v>
      </c>
      <c r="B10500" t="str">
        <f t="shared" si="1990"/>
        <v>ENTRADA</v>
      </c>
      <c r="C10500" t="str">
        <f t="shared" si="1991"/>
        <v>NFSE</v>
      </c>
      <c r="D10500" t="str">
        <f>"3669"</f>
        <v>3669</v>
      </c>
      <c r="E10500" t="str">
        <f t="shared" si="1992"/>
        <v>1</v>
      </c>
      <c r="F10500" t="str">
        <f t="shared" si="1996"/>
        <v>COM</v>
      </c>
      <c r="G10500" t="str">
        <f>"PENSE FARMA 22 (10198)"</f>
        <v>PENSE FARMA 22 (10198)</v>
      </c>
      <c r="H10500" t="str">
        <f>"Serv.Prest. 03/11/2025 a 09/11/2025 - RPS: 1545 - NFSe: 3669"</f>
        <v>Serv.Prest. 03/11/2025 a 09/11/2025 - RPS: 1545 - NFSe: 3669</v>
      </c>
      <c r="I10500" t="str">
        <f t="shared" si="1993"/>
        <v>12/11/2025</v>
      </c>
      <c r="J10500" t="str">
        <f t="shared" si="1997"/>
        <v>10/11/2025</v>
      </c>
      <c r="K10500" t="str">
        <f>("13/11/2025")</f>
        <v>13/11/2025</v>
      </c>
      <c r="L10500">
        <v>3252.01</v>
      </c>
      <c r="M10500">
        <v>3252.01</v>
      </c>
      <c r="N10500">
        <v>303</v>
      </c>
      <c r="O10500" t="str">
        <f>"RECEITAS COM ENTREGAS"</f>
        <v>RECEITAS COM ENTREGAS</v>
      </c>
      <c r="P10500">
        <v>3252.01</v>
      </c>
      <c r="S10500" t="str">
        <f>"RECEITAS COM ENTREGAS (303)"</f>
        <v>RECEITAS COM ENTREGAS (303)</v>
      </c>
      <c r="T10500">
        <v>21186</v>
      </c>
      <c r="U10500">
        <v>24997</v>
      </c>
      <c r="V10500" t="s">
        <v>22</v>
      </c>
    </row>
    <row r="10501" spans="1:22">
      <c r="A10501" t="str">
        <f t="shared" si="1988"/>
        <v>13/11/2025</v>
      </c>
      <c r="B10501" t="str">
        <f t="shared" si="1990"/>
        <v>ENTRADA</v>
      </c>
      <c r="C10501" t="str">
        <f t="shared" si="1991"/>
        <v>NFSE</v>
      </c>
      <c r="D10501" t="str">
        <f>"3669"</f>
        <v>3669</v>
      </c>
      <c r="E10501" t="str">
        <f t="shared" si="1992"/>
        <v>1</v>
      </c>
      <c r="F10501" t="str">
        <f t="shared" si="1996"/>
        <v>COM</v>
      </c>
      <c r="G10501" t="str">
        <f>"PENSE FARMA 22 (10198)"</f>
        <v>PENSE FARMA 22 (10198)</v>
      </c>
      <c r="H10501" t="s">
        <v>2932</v>
      </c>
      <c r="I10501" t="str">
        <f t="shared" si="1993"/>
        <v>12/11/2025</v>
      </c>
      <c r="J10501" t="str">
        <f t="shared" si="1997"/>
        <v>10/11/2025</v>
      </c>
      <c r="K10501">
        <v>45974</v>
      </c>
      <c r="N10501">
        <v>303</v>
      </c>
      <c r="O10501" t="s">
        <v>69</v>
      </c>
      <c r="Q10501">
        <v>3252.01</v>
      </c>
      <c r="R10501" t="str">
        <f>"PENSE FARMA 22 (10198)"</f>
        <v>PENSE FARMA 22 (10198)</v>
      </c>
      <c r="S10501" t="s">
        <v>70</v>
      </c>
      <c r="T10501">
        <v>21186</v>
      </c>
      <c r="U10501">
        <v>24997</v>
      </c>
      <c r="V10501" t="s">
        <v>22</v>
      </c>
    </row>
    <row r="10502" spans="1:22">
      <c r="A10502" t="str">
        <f t="shared" si="1988"/>
        <v>13/11/2025</v>
      </c>
      <c r="B10502" t="str">
        <f t="shared" si="1990"/>
        <v>ENTRADA</v>
      </c>
      <c r="C10502" t="str">
        <f t="shared" si="1991"/>
        <v>NFSE</v>
      </c>
      <c r="D10502" t="str">
        <f>"3655"</f>
        <v>3655</v>
      </c>
      <c r="E10502" t="str">
        <f t="shared" si="1992"/>
        <v>1</v>
      </c>
      <c r="F10502" t="str">
        <f t="shared" si="1996"/>
        <v>COM</v>
      </c>
      <c r="G10502" t="str">
        <f>"PENSE FARMA 31 (10205)"</f>
        <v>PENSE FARMA 31 (10205)</v>
      </c>
      <c r="H10502" t="str">
        <f>"Serv.Prest. 03/11/2025 a 09/11/2025 - RPS: 1531 - NFSe: 3655"</f>
        <v>Serv.Prest. 03/11/2025 a 09/11/2025 - RPS: 1531 - NFSe: 3655</v>
      </c>
      <c r="I10502" t="str">
        <f t="shared" si="1993"/>
        <v>12/11/2025</v>
      </c>
      <c r="J10502" t="str">
        <f t="shared" si="1997"/>
        <v>10/11/2025</v>
      </c>
      <c r="K10502" t="str">
        <f>("13/11/2025")</f>
        <v>13/11/2025</v>
      </c>
      <c r="L10502">
        <v>1608.94</v>
      </c>
      <c r="M10502">
        <v>1608.94</v>
      </c>
      <c r="N10502">
        <v>303</v>
      </c>
      <c r="O10502" t="str">
        <f>"RECEITAS COM ENTREGAS"</f>
        <v>RECEITAS COM ENTREGAS</v>
      </c>
      <c r="P10502">
        <v>1608.94</v>
      </c>
      <c r="S10502" t="str">
        <f>"RECEITAS COM ENTREGAS (303)"</f>
        <v>RECEITAS COM ENTREGAS (303)</v>
      </c>
      <c r="T10502">
        <v>21187</v>
      </c>
      <c r="U10502">
        <v>24957</v>
      </c>
      <c r="V10502" t="s">
        <v>22</v>
      </c>
    </row>
    <row r="10503" spans="1:22">
      <c r="A10503" t="str">
        <f t="shared" si="1988"/>
        <v>13/11/2025</v>
      </c>
      <c r="B10503" t="str">
        <f t="shared" si="1990"/>
        <v>ENTRADA</v>
      </c>
      <c r="C10503" t="str">
        <f t="shared" si="1991"/>
        <v>NFSE</v>
      </c>
      <c r="D10503" t="str">
        <f>"3655"</f>
        <v>3655</v>
      </c>
      <c r="E10503" t="str">
        <f t="shared" si="1992"/>
        <v>1</v>
      </c>
      <c r="F10503" t="str">
        <f t="shared" si="1996"/>
        <v>COM</v>
      </c>
      <c r="G10503" t="str">
        <f>"PENSE FARMA 31 (10205)"</f>
        <v>PENSE FARMA 31 (10205)</v>
      </c>
      <c r="H10503" t="s">
        <v>2933</v>
      </c>
      <c r="I10503" t="str">
        <f t="shared" si="1993"/>
        <v>12/11/2025</v>
      </c>
      <c r="J10503" t="str">
        <f t="shared" si="1997"/>
        <v>10/11/2025</v>
      </c>
      <c r="K10503">
        <v>45974</v>
      </c>
      <c r="N10503">
        <v>303</v>
      </c>
      <c r="O10503" t="s">
        <v>69</v>
      </c>
      <c r="Q10503">
        <v>534.01</v>
      </c>
      <c r="R10503" t="str">
        <f>"PENSE FARMA 31 (10205)"</f>
        <v>PENSE FARMA 31 (10205)</v>
      </c>
      <c r="S10503" t="s">
        <v>70</v>
      </c>
      <c r="T10503">
        <v>21187</v>
      </c>
      <c r="U10503">
        <v>24957</v>
      </c>
      <c r="V10503" t="s">
        <v>22</v>
      </c>
    </row>
    <row r="10504" spans="1:22">
      <c r="A10504" t="str">
        <f t="shared" si="1988"/>
        <v>13/11/2025</v>
      </c>
      <c r="B10504" t="str">
        <f t="shared" si="1990"/>
        <v>ENTRADA</v>
      </c>
      <c r="C10504" t="str">
        <f t="shared" si="1991"/>
        <v>NFSE</v>
      </c>
      <c r="D10504" t="str">
        <f>"3655"</f>
        <v>3655</v>
      </c>
      <c r="E10504" t="str">
        <f t="shared" si="1992"/>
        <v>1</v>
      </c>
      <c r="F10504" t="str">
        <f t="shared" si="1996"/>
        <v>COM</v>
      </c>
      <c r="G10504" t="str">
        <f>"PENSE FARMA 31 (10205)"</f>
        <v>PENSE FARMA 31 (10205)</v>
      </c>
      <c r="H10504" t="s">
        <v>2933</v>
      </c>
      <c r="I10504" t="str">
        <f t="shared" si="1993"/>
        <v>12/11/2025</v>
      </c>
      <c r="J10504" t="str">
        <f t="shared" si="1997"/>
        <v>10/11/2025</v>
      </c>
      <c r="K10504">
        <v>45974</v>
      </c>
      <c r="N10504">
        <v>303</v>
      </c>
      <c r="O10504" t="s">
        <v>69</v>
      </c>
      <c r="Q10504">
        <v>540.76</v>
      </c>
      <c r="R10504" t="str">
        <f>"PENSE FARMA 16 (10221)"</f>
        <v>PENSE FARMA 16 (10221)</v>
      </c>
      <c r="S10504" t="s">
        <v>70</v>
      </c>
      <c r="T10504">
        <v>21187</v>
      </c>
      <c r="U10504">
        <v>24957</v>
      </c>
      <c r="V10504" t="s">
        <v>22</v>
      </c>
    </row>
    <row r="10505" spans="1:22">
      <c r="A10505" t="str">
        <f t="shared" si="1988"/>
        <v>13/11/2025</v>
      </c>
      <c r="B10505" t="str">
        <f t="shared" si="1990"/>
        <v>ENTRADA</v>
      </c>
      <c r="C10505" t="str">
        <f t="shared" si="1991"/>
        <v>NFSE</v>
      </c>
      <c r="D10505" t="str">
        <f>"3655"</f>
        <v>3655</v>
      </c>
      <c r="E10505" t="str">
        <f t="shared" si="1992"/>
        <v>1</v>
      </c>
      <c r="F10505" t="str">
        <f t="shared" si="1996"/>
        <v>COM</v>
      </c>
      <c r="G10505" t="str">
        <f>"PENSE FARMA 31 (10205)"</f>
        <v>PENSE FARMA 31 (10205)</v>
      </c>
      <c r="H10505" t="s">
        <v>2933</v>
      </c>
      <c r="I10505" t="str">
        <f t="shared" si="1993"/>
        <v>12/11/2025</v>
      </c>
      <c r="J10505" t="str">
        <f t="shared" si="1997"/>
        <v>10/11/2025</v>
      </c>
      <c r="K10505">
        <v>45974</v>
      </c>
      <c r="N10505">
        <v>303</v>
      </c>
      <c r="O10505" t="s">
        <v>69</v>
      </c>
      <c r="Q10505">
        <v>534.16999999999996</v>
      </c>
      <c r="R10505" t="str">
        <f>"PENSE FARMA 17 (10222)"</f>
        <v>PENSE FARMA 17 (10222)</v>
      </c>
      <c r="S10505" t="s">
        <v>70</v>
      </c>
      <c r="T10505">
        <v>21187</v>
      </c>
      <c r="U10505">
        <v>24957</v>
      </c>
      <c r="V10505" t="s">
        <v>22</v>
      </c>
    </row>
    <row r="10506" spans="1:22">
      <c r="A10506" t="str">
        <f t="shared" si="1988"/>
        <v>13/11/2025</v>
      </c>
      <c r="B10506" t="str">
        <f t="shared" si="1990"/>
        <v>ENTRADA</v>
      </c>
      <c r="C10506" t="str">
        <f t="shared" si="1991"/>
        <v>NFSE</v>
      </c>
      <c r="D10506" t="str">
        <f>"3657"</f>
        <v>3657</v>
      </c>
      <c r="E10506" t="str">
        <f t="shared" si="1992"/>
        <v>1</v>
      </c>
      <c r="F10506" t="str">
        <f t="shared" si="1996"/>
        <v>COM</v>
      </c>
      <c r="G10506" t="str">
        <f>"PENSE FARMA 49 (10234)"</f>
        <v>PENSE FARMA 49 (10234)</v>
      </c>
      <c r="H10506" t="str">
        <f>"Serv.Prest. 03/11/2025 a 09/11/2025 - RPS: 1533 - NFSe: 3657"</f>
        <v>Serv.Prest. 03/11/2025 a 09/11/2025 - RPS: 1533 - NFSe: 3657</v>
      </c>
      <c r="I10506" t="str">
        <f t="shared" si="1993"/>
        <v>12/11/2025</v>
      </c>
      <c r="J10506" t="str">
        <f t="shared" si="1997"/>
        <v>10/11/2025</v>
      </c>
      <c r="K10506" t="str">
        <f>("13/11/2025")</f>
        <v>13/11/2025</v>
      </c>
      <c r="L10506">
        <v>971.04</v>
      </c>
      <c r="M10506">
        <v>971.04</v>
      </c>
      <c r="N10506">
        <v>303</v>
      </c>
      <c r="O10506" t="str">
        <f>"RECEITAS COM ENTREGAS"</f>
        <v>RECEITAS COM ENTREGAS</v>
      </c>
      <c r="P10506">
        <v>971.04</v>
      </c>
      <c r="S10506" t="str">
        <f>"RECEITAS COM ENTREGAS (303)"</f>
        <v>RECEITAS COM ENTREGAS (303)</v>
      </c>
      <c r="T10506">
        <v>21188</v>
      </c>
      <c r="U10506">
        <v>24962</v>
      </c>
      <c r="V10506" t="s">
        <v>22</v>
      </c>
    </row>
    <row r="10507" spans="1:22">
      <c r="A10507" t="str">
        <f t="shared" si="1988"/>
        <v>13/11/2025</v>
      </c>
      <c r="B10507" t="str">
        <f t="shared" si="1990"/>
        <v>ENTRADA</v>
      </c>
      <c r="C10507" t="str">
        <f t="shared" si="1991"/>
        <v>NFSE</v>
      </c>
      <c r="D10507" t="str">
        <f>"3657"</f>
        <v>3657</v>
      </c>
      <c r="E10507" t="str">
        <f t="shared" si="1992"/>
        <v>1</v>
      </c>
      <c r="F10507" t="str">
        <f t="shared" si="1996"/>
        <v>COM</v>
      </c>
      <c r="G10507" t="str">
        <f>"PENSE FARMA 49 (10234)"</f>
        <v>PENSE FARMA 49 (10234)</v>
      </c>
      <c r="H10507" t="s">
        <v>2934</v>
      </c>
      <c r="I10507" t="str">
        <f t="shared" si="1993"/>
        <v>12/11/2025</v>
      </c>
      <c r="J10507" t="str">
        <f t="shared" si="1997"/>
        <v>10/11/2025</v>
      </c>
      <c r="K10507">
        <v>45974</v>
      </c>
      <c r="N10507">
        <v>303</v>
      </c>
      <c r="O10507" t="s">
        <v>69</v>
      </c>
      <c r="Q10507">
        <v>971.04</v>
      </c>
      <c r="R10507" t="str">
        <f>"PENSE FARMA 49 (10234)"</f>
        <v>PENSE FARMA 49 (10234)</v>
      </c>
      <c r="S10507" t="s">
        <v>70</v>
      </c>
      <c r="T10507">
        <v>21188</v>
      </c>
      <c r="U10507">
        <v>24962</v>
      </c>
      <c r="V10507" t="s">
        <v>22</v>
      </c>
    </row>
    <row r="10508" spans="1:22">
      <c r="A10508" t="str">
        <f t="shared" si="1988"/>
        <v>13/11/2025</v>
      </c>
      <c r="B10508" t="str">
        <f t="shared" si="1990"/>
        <v>ENTRADA</v>
      </c>
      <c r="C10508" t="str">
        <f t="shared" si="1991"/>
        <v>NFSE</v>
      </c>
      <c r="D10508" t="str">
        <f>"3663"</f>
        <v>3663</v>
      </c>
      <c r="E10508" t="str">
        <f t="shared" si="1992"/>
        <v>1</v>
      </c>
      <c r="F10508" t="str">
        <f t="shared" si="1996"/>
        <v>COM</v>
      </c>
      <c r="G10508" t="str">
        <f>"PENSE FARMA 09 (10218)"</f>
        <v>PENSE FARMA 09 (10218)</v>
      </c>
      <c r="H10508" t="str">
        <f>"Serv.Prest. 03/11/2025 a 09/11/2025 - RPS: 1539 - NFSe: 3663"</f>
        <v>Serv.Prest. 03/11/2025 a 09/11/2025 - RPS: 1539 - NFSe: 3663</v>
      </c>
      <c r="I10508" t="str">
        <f t="shared" si="1993"/>
        <v>12/11/2025</v>
      </c>
      <c r="J10508" t="str">
        <f t="shared" si="1997"/>
        <v>10/11/2025</v>
      </c>
      <c r="K10508" t="str">
        <f>("13/11/2025")</f>
        <v>13/11/2025</v>
      </c>
      <c r="L10508">
        <v>1669.34</v>
      </c>
      <c r="M10508">
        <v>1669.34</v>
      </c>
      <c r="N10508">
        <v>303</v>
      </c>
      <c r="O10508" t="str">
        <f>"RECEITAS COM ENTREGAS"</f>
        <v>RECEITAS COM ENTREGAS</v>
      </c>
      <c r="P10508">
        <v>1669.34</v>
      </c>
      <c r="S10508" t="str">
        <f>"RECEITAS COM ENTREGAS (303)"</f>
        <v>RECEITAS COM ENTREGAS (303)</v>
      </c>
      <c r="T10508">
        <v>21189</v>
      </c>
      <c r="U10508">
        <v>24977</v>
      </c>
      <c r="V10508" t="s">
        <v>22</v>
      </c>
    </row>
    <row r="10509" spans="1:22">
      <c r="A10509" t="str">
        <f t="shared" si="1988"/>
        <v>13/11/2025</v>
      </c>
      <c r="B10509" t="str">
        <f t="shared" si="1990"/>
        <v>ENTRADA</v>
      </c>
      <c r="C10509" t="str">
        <f t="shared" si="1991"/>
        <v>NFSE</v>
      </c>
      <c r="D10509" t="str">
        <f>"3663"</f>
        <v>3663</v>
      </c>
      <c r="E10509" t="str">
        <f t="shared" si="1992"/>
        <v>1</v>
      </c>
      <c r="F10509" t="str">
        <f t="shared" si="1996"/>
        <v>COM</v>
      </c>
      <c r="G10509" t="str">
        <f>"PENSE FARMA 09 (10218)"</f>
        <v>PENSE FARMA 09 (10218)</v>
      </c>
      <c r="H10509" t="s">
        <v>2935</v>
      </c>
      <c r="I10509" t="str">
        <f t="shared" si="1993"/>
        <v>12/11/2025</v>
      </c>
      <c r="J10509" t="str">
        <f t="shared" si="1997"/>
        <v>10/11/2025</v>
      </c>
      <c r="K10509">
        <v>45974</v>
      </c>
      <c r="N10509">
        <v>303</v>
      </c>
      <c r="O10509" t="s">
        <v>69</v>
      </c>
      <c r="Q10509">
        <v>837.67</v>
      </c>
      <c r="R10509" t="str">
        <f>"PENSE FARMA 09 (10218)"</f>
        <v>PENSE FARMA 09 (10218)</v>
      </c>
      <c r="S10509" t="s">
        <v>70</v>
      </c>
      <c r="T10509">
        <v>21189</v>
      </c>
      <c r="U10509">
        <v>24977</v>
      </c>
      <c r="V10509" t="s">
        <v>22</v>
      </c>
    </row>
    <row r="10510" spans="1:22">
      <c r="A10510" t="str">
        <f t="shared" si="1988"/>
        <v>13/11/2025</v>
      </c>
      <c r="B10510" t="str">
        <f t="shared" si="1990"/>
        <v>ENTRADA</v>
      </c>
      <c r="C10510" t="str">
        <f t="shared" si="1991"/>
        <v>NFSE</v>
      </c>
      <c r="D10510" t="str">
        <f>"3663"</f>
        <v>3663</v>
      </c>
      <c r="E10510" t="str">
        <f t="shared" si="1992"/>
        <v>1</v>
      </c>
      <c r="F10510" t="str">
        <f t="shared" si="1996"/>
        <v>COM</v>
      </c>
      <c r="G10510" t="str">
        <f>"PENSE FARMA 09 (10218)"</f>
        <v>PENSE FARMA 09 (10218)</v>
      </c>
      <c r="H10510" t="s">
        <v>2935</v>
      </c>
      <c r="I10510" t="str">
        <f t="shared" si="1993"/>
        <v>12/11/2025</v>
      </c>
      <c r="J10510" t="str">
        <f t="shared" si="1997"/>
        <v>10/11/2025</v>
      </c>
      <c r="K10510">
        <v>45974</v>
      </c>
      <c r="N10510">
        <v>303</v>
      </c>
      <c r="O10510" t="s">
        <v>69</v>
      </c>
      <c r="Q10510">
        <v>831.67</v>
      </c>
      <c r="R10510" t="str">
        <f>"PENSE FARMA 10 (10219)"</f>
        <v>PENSE FARMA 10 (10219)</v>
      </c>
      <c r="S10510" t="s">
        <v>70</v>
      </c>
      <c r="T10510">
        <v>21189</v>
      </c>
      <c r="U10510">
        <v>24977</v>
      </c>
      <c r="V10510" t="s">
        <v>22</v>
      </c>
    </row>
    <row r="10511" spans="1:22">
      <c r="A10511" t="str">
        <f t="shared" si="1988"/>
        <v>13/11/2025</v>
      </c>
      <c r="B10511" t="str">
        <f t="shared" ref="B10511:B10527" si="1998">"ENTRADA"</f>
        <v>ENTRADA</v>
      </c>
      <c r="C10511" t="str">
        <f t="shared" ref="C10511:C10527" si="1999">"NFSE"</f>
        <v>NFSE</v>
      </c>
      <c r="D10511" t="str">
        <f>"3660"</f>
        <v>3660</v>
      </c>
      <c r="E10511" t="str">
        <f t="shared" ref="E10511:E10531" si="2000">"1"</f>
        <v>1</v>
      </c>
      <c r="F10511" t="str">
        <f t="shared" si="1996"/>
        <v>COM</v>
      </c>
      <c r="G10511" t="str">
        <f>"PENSE FARMA 25 (10224)"</f>
        <v>PENSE FARMA 25 (10224)</v>
      </c>
      <c r="H10511" t="str">
        <f>"Serv.Prest. 03/11/2025 a 09/11/2025 - RPS: 1536 - NFSe: 3660"</f>
        <v>Serv.Prest. 03/11/2025 a 09/11/2025 - RPS: 1536 - NFSe: 3660</v>
      </c>
      <c r="I10511" t="str">
        <f t="shared" si="1993"/>
        <v>12/11/2025</v>
      </c>
      <c r="J10511" t="str">
        <f t="shared" si="1997"/>
        <v>10/11/2025</v>
      </c>
      <c r="K10511" t="str">
        <f>("13/11/2025")</f>
        <v>13/11/2025</v>
      </c>
      <c r="L10511">
        <v>3156.95</v>
      </c>
      <c r="M10511">
        <v>3156.95</v>
      </c>
      <c r="N10511">
        <v>303</v>
      </c>
      <c r="O10511" t="str">
        <f>"RECEITAS COM ENTREGAS"</f>
        <v>RECEITAS COM ENTREGAS</v>
      </c>
      <c r="P10511">
        <v>3156.95</v>
      </c>
      <c r="S10511" t="str">
        <f>"RECEITAS COM ENTREGAS (303)"</f>
        <v>RECEITAS COM ENTREGAS (303)</v>
      </c>
      <c r="T10511">
        <v>21190</v>
      </c>
      <c r="U10511">
        <v>24969</v>
      </c>
      <c r="V10511" t="s">
        <v>22</v>
      </c>
    </row>
    <row r="10512" spans="1:22">
      <c r="A10512" t="str">
        <f t="shared" si="1988"/>
        <v>13/11/2025</v>
      </c>
      <c r="B10512" t="str">
        <f t="shared" si="1998"/>
        <v>ENTRADA</v>
      </c>
      <c r="C10512" t="str">
        <f t="shared" si="1999"/>
        <v>NFSE</v>
      </c>
      <c r="D10512" t="str">
        <f>"3660"</f>
        <v>3660</v>
      </c>
      <c r="E10512" t="str">
        <f t="shared" si="2000"/>
        <v>1</v>
      </c>
      <c r="F10512" t="str">
        <f t="shared" si="1996"/>
        <v>COM</v>
      </c>
      <c r="G10512" t="str">
        <f>"PENSE FARMA 25 (10224)"</f>
        <v>PENSE FARMA 25 (10224)</v>
      </c>
      <c r="H10512" t="s">
        <v>2936</v>
      </c>
      <c r="I10512" t="str">
        <f t="shared" si="1993"/>
        <v>12/11/2025</v>
      </c>
      <c r="J10512" t="str">
        <f t="shared" si="1997"/>
        <v>10/11/2025</v>
      </c>
      <c r="K10512">
        <v>45974</v>
      </c>
      <c r="N10512">
        <v>303</v>
      </c>
      <c r="O10512" t="s">
        <v>69</v>
      </c>
      <c r="Q10512">
        <v>3156.95</v>
      </c>
      <c r="R10512" t="str">
        <f>"PENSE FARMA 25 (10224)"</f>
        <v>PENSE FARMA 25 (10224)</v>
      </c>
      <c r="S10512" t="s">
        <v>70</v>
      </c>
      <c r="T10512">
        <v>21190</v>
      </c>
      <c r="U10512">
        <v>24969</v>
      </c>
      <c r="V10512" t="s">
        <v>22</v>
      </c>
    </row>
    <row r="10513" spans="1:22">
      <c r="A10513" t="str">
        <f t="shared" si="1988"/>
        <v>13/11/2025</v>
      </c>
      <c r="B10513" t="str">
        <f t="shared" si="1998"/>
        <v>ENTRADA</v>
      </c>
      <c r="C10513" t="str">
        <f t="shared" si="1999"/>
        <v>NFSE</v>
      </c>
      <c r="D10513" t="str">
        <f>"3661"</f>
        <v>3661</v>
      </c>
      <c r="E10513" t="str">
        <f t="shared" si="2000"/>
        <v>1</v>
      </c>
      <c r="F10513" t="str">
        <f t="shared" si="1996"/>
        <v>COM</v>
      </c>
      <c r="G10513" t="str">
        <f>"PENSE FARMA 35 (10227)"</f>
        <v>PENSE FARMA 35 (10227)</v>
      </c>
      <c r="H10513" t="str">
        <f>"Serv.Prest. 03/11/2025 a 09/11/2025 - RPS: 1537 - NFSe: 3661"</f>
        <v>Serv.Prest. 03/11/2025 a 09/11/2025 - RPS: 1537 - NFSe: 3661</v>
      </c>
      <c r="I10513" t="str">
        <f t="shared" ref="I10513:I10527" si="2001">("12/11/2025")</f>
        <v>12/11/2025</v>
      </c>
      <c r="J10513" t="str">
        <f t="shared" si="1997"/>
        <v>10/11/2025</v>
      </c>
      <c r="K10513" t="str">
        <f>("13/11/2025")</f>
        <v>13/11/2025</v>
      </c>
      <c r="L10513">
        <v>971.55</v>
      </c>
      <c r="M10513">
        <v>971.55</v>
      </c>
      <c r="N10513">
        <v>303</v>
      </c>
      <c r="O10513" t="str">
        <f>"RECEITAS COM ENTREGAS"</f>
        <v>RECEITAS COM ENTREGAS</v>
      </c>
      <c r="P10513">
        <v>971.55</v>
      </c>
      <c r="S10513" t="str">
        <f>"RECEITAS COM ENTREGAS (303)"</f>
        <v>RECEITAS COM ENTREGAS (303)</v>
      </c>
      <c r="T10513">
        <v>21192</v>
      </c>
      <c r="U10513">
        <v>24972</v>
      </c>
      <c r="V10513" t="s">
        <v>22</v>
      </c>
    </row>
    <row r="10514" spans="1:22">
      <c r="A10514" t="str">
        <f t="shared" si="1988"/>
        <v>13/11/2025</v>
      </c>
      <c r="B10514" t="str">
        <f t="shared" si="1998"/>
        <v>ENTRADA</v>
      </c>
      <c r="C10514" t="str">
        <f t="shared" si="1999"/>
        <v>NFSE</v>
      </c>
      <c r="D10514" t="str">
        <f>"3661"</f>
        <v>3661</v>
      </c>
      <c r="E10514" t="str">
        <f t="shared" si="2000"/>
        <v>1</v>
      </c>
      <c r="F10514" t="str">
        <f t="shared" si="1996"/>
        <v>COM</v>
      </c>
      <c r="G10514" t="str">
        <f>"PENSE FARMA 35 (10227)"</f>
        <v>PENSE FARMA 35 (10227)</v>
      </c>
      <c r="H10514" t="s">
        <v>2937</v>
      </c>
      <c r="I10514" t="str">
        <f t="shared" si="2001"/>
        <v>12/11/2025</v>
      </c>
      <c r="J10514" t="str">
        <f t="shared" si="1997"/>
        <v>10/11/2025</v>
      </c>
      <c r="K10514">
        <v>45974</v>
      </c>
      <c r="N10514">
        <v>303</v>
      </c>
      <c r="O10514" t="s">
        <v>69</v>
      </c>
      <c r="Q10514">
        <v>971.55</v>
      </c>
      <c r="R10514" t="str">
        <f>"PENSE FARMA 35 (10227)"</f>
        <v>PENSE FARMA 35 (10227)</v>
      </c>
      <c r="S10514" t="s">
        <v>70</v>
      </c>
      <c r="T10514">
        <v>21192</v>
      </c>
      <c r="U10514">
        <v>24972</v>
      </c>
      <c r="V10514" t="s">
        <v>22</v>
      </c>
    </row>
    <row r="10515" spans="1:22">
      <c r="A10515" t="str">
        <f t="shared" si="1988"/>
        <v>13/11/2025</v>
      </c>
      <c r="B10515" t="str">
        <f t="shared" si="1998"/>
        <v>ENTRADA</v>
      </c>
      <c r="C10515" t="str">
        <f t="shared" si="1999"/>
        <v>NFSE</v>
      </c>
      <c r="D10515" t="str">
        <f t="shared" ref="D10515:D10521" si="2002">"3670"</f>
        <v>3670</v>
      </c>
      <c r="E10515" t="str">
        <f t="shared" si="2000"/>
        <v>1</v>
      </c>
      <c r="F10515" t="str">
        <f t="shared" si="1996"/>
        <v>COM</v>
      </c>
      <c r="G10515" t="str">
        <f t="shared" ref="G10515:G10521" si="2003">"PENSE FARMA 36 (10206)"</f>
        <v>PENSE FARMA 36 (10206)</v>
      </c>
      <c r="H10515" t="str">
        <f>"Serv.Prest. 03/11/2025 a 09/11/2025 - RPS: 1546 - NFSe: 3670"</f>
        <v>Serv.Prest. 03/11/2025 a 09/11/2025 - RPS: 1546 - NFSe: 3670</v>
      </c>
      <c r="I10515" t="str">
        <f t="shared" si="2001"/>
        <v>12/11/2025</v>
      </c>
      <c r="J10515" t="str">
        <f t="shared" si="1997"/>
        <v>10/11/2025</v>
      </c>
      <c r="K10515" t="str">
        <f>("13/11/2025")</f>
        <v>13/11/2025</v>
      </c>
      <c r="L10515">
        <v>4826.13</v>
      </c>
      <c r="M10515">
        <v>4826.13</v>
      </c>
      <c r="N10515">
        <v>303</v>
      </c>
      <c r="O10515" t="str">
        <f>"RECEITAS COM ENTREGAS"</f>
        <v>RECEITAS COM ENTREGAS</v>
      </c>
      <c r="P10515">
        <v>4826.13</v>
      </c>
      <c r="S10515" t="str">
        <f>"RECEITAS COM ENTREGAS (303)"</f>
        <v>RECEITAS COM ENTREGAS (303)</v>
      </c>
      <c r="T10515">
        <v>21193</v>
      </c>
      <c r="U10515">
        <v>25002</v>
      </c>
      <c r="V10515" t="s">
        <v>22</v>
      </c>
    </row>
    <row r="10516" spans="1:22">
      <c r="A10516" t="str">
        <f t="shared" si="1988"/>
        <v>13/11/2025</v>
      </c>
      <c r="B10516" t="str">
        <f t="shared" si="1998"/>
        <v>ENTRADA</v>
      </c>
      <c r="C10516" t="str">
        <f t="shared" si="1999"/>
        <v>NFSE</v>
      </c>
      <c r="D10516" t="str">
        <f t="shared" si="2002"/>
        <v>3670</v>
      </c>
      <c r="E10516" t="str">
        <f t="shared" si="2000"/>
        <v>1</v>
      </c>
      <c r="F10516" t="str">
        <f t="shared" si="1996"/>
        <v>COM</v>
      </c>
      <c r="G10516" t="str">
        <f t="shared" si="2003"/>
        <v>PENSE FARMA 36 (10206)</v>
      </c>
      <c r="H10516" t="s">
        <v>2938</v>
      </c>
      <c r="I10516" t="str">
        <f t="shared" si="2001"/>
        <v>12/11/2025</v>
      </c>
      <c r="J10516" t="str">
        <f t="shared" si="1997"/>
        <v>10/11/2025</v>
      </c>
      <c r="K10516">
        <v>45974</v>
      </c>
      <c r="N10516">
        <v>303</v>
      </c>
      <c r="O10516" t="s">
        <v>69</v>
      </c>
      <c r="Q10516">
        <v>803.55</v>
      </c>
      <c r="R10516" t="str">
        <f>"PENSE FARMA 20 (10203)"</f>
        <v>PENSE FARMA 20 (10203)</v>
      </c>
      <c r="S10516" t="s">
        <v>70</v>
      </c>
      <c r="T10516">
        <v>21193</v>
      </c>
      <c r="U10516">
        <v>25002</v>
      </c>
      <c r="V10516" t="s">
        <v>22</v>
      </c>
    </row>
    <row r="10517" spans="1:22">
      <c r="A10517" t="str">
        <f t="shared" si="1988"/>
        <v>13/11/2025</v>
      </c>
      <c r="B10517" t="str">
        <f t="shared" si="1998"/>
        <v>ENTRADA</v>
      </c>
      <c r="C10517" t="str">
        <f t="shared" si="1999"/>
        <v>NFSE</v>
      </c>
      <c r="D10517" t="str">
        <f t="shared" si="2002"/>
        <v>3670</v>
      </c>
      <c r="E10517" t="str">
        <f t="shared" si="2000"/>
        <v>1</v>
      </c>
      <c r="F10517" t="str">
        <f t="shared" si="1996"/>
        <v>COM</v>
      </c>
      <c r="G10517" t="str">
        <f t="shared" si="2003"/>
        <v>PENSE FARMA 36 (10206)</v>
      </c>
      <c r="H10517" t="s">
        <v>2938</v>
      </c>
      <c r="I10517" t="str">
        <f t="shared" si="2001"/>
        <v>12/11/2025</v>
      </c>
      <c r="J10517" t="str">
        <f t="shared" si="1997"/>
        <v>10/11/2025</v>
      </c>
      <c r="K10517">
        <v>45974</v>
      </c>
      <c r="N10517">
        <v>303</v>
      </c>
      <c r="O10517" t="s">
        <v>69</v>
      </c>
      <c r="Q10517">
        <v>803.55</v>
      </c>
      <c r="R10517" t="str">
        <f>"PENSE FARMA 36 (10206)"</f>
        <v>PENSE FARMA 36 (10206)</v>
      </c>
      <c r="S10517" t="s">
        <v>70</v>
      </c>
      <c r="T10517">
        <v>21193</v>
      </c>
      <c r="U10517">
        <v>25002</v>
      </c>
      <c r="V10517" t="s">
        <v>22</v>
      </c>
    </row>
    <row r="10518" spans="1:22">
      <c r="A10518" t="str">
        <f t="shared" si="1988"/>
        <v>13/11/2025</v>
      </c>
      <c r="B10518" t="str">
        <f t="shared" si="1998"/>
        <v>ENTRADA</v>
      </c>
      <c r="C10518" t="str">
        <f t="shared" si="1999"/>
        <v>NFSE</v>
      </c>
      <c r="D10518" t="str">
        <f t="shared" si="2002"/>
        <v>3670</v>
      </c>
      <c r="E10518" t="str">
        <f t="shared" si="2000"/>
        <v>1</v>
      </c>
      <c r="F10518" t="str">
        <f t="shared" si="1996"/>
        <v>COM</v>
      </c>
      <c r="G10518" t="str">
        <f t="shared" si="2003"/>
        <v>PENSE FARMA 36 (10206)</v>
      </c>
      <c r="H10518" t="s">
        <v>2938</v>
      </c>
      <c r="I10518" t="str">
        <f t="shared" si="2001"/>
        <v>12/11/2025</v>
      </c>
      <c r="J10518" t="str">
        <f t="shared" si="1997"/>
        <v>10/11/2025</v>
      </c>
      <c r="K10518">
        <v>45974</v>
      </c>
      <c r="N10518">
        <v>303</v>
      </c>
      <c r="O10518" t="s">
        <v>69</v>
      </c>
      <c r="Q10518">
        <v>803.55</v>
      </c>
      <c r="R10518" t="str">
        <f>"PENSE FARMA 40 (10207)"</f>
        <v>PENSE FARMA 40 (10207)</v>
      </c>
      <c r="S10518" t="s">
        <v>70</v>
      </c>
      <c r="T10518">
        <v>21193</v>
      </c>
      <c r="U10518">
        <v>25002</v>
      </c>
      <c r="V10518" t="s">
        <v>22</v>
      </c>
    </row>
    <row r="10519" spans="1:22">
      <c r="A10519" t="str">
        <f t="shared" si="1988"/>
        <v>13/11/2025</v>
      </c>
      <c r="B10519" t="str">
        <f t="shared" si="1998"/>
        <v>ENTRADA</v>
      </c>
      <c r="C10519" t="str">
        <f t="shared" si="1999"/>
        <v>NFSE</v>
      </c>
      <c r="D10519" t="str">
        <f t="shared" si="2002"/>
        <v>3670</v>
      </c>
      <c r="E10519" t="str">
        <f t="shared" si="2000"/>
        <v>1</v>
      </c>
      <c r="F10519" t="str">
        <f t="shared" si="1996"/>
        <v>COM</v>
      </c>
      <c r="G10519" t="str">
        <f t="shared" si="2003"/>
        <v>PENSE FARMA 36 (10206)</v>
      </c>
      <c r="H10519" t="s">
        <v>2938</v>
      </c>
      <c r="I10519" t="str">
        <f t="shared" si="2001"/>
        <v>12/11/2025</v>
      </c>
      <c r="J10519" t="str">
        <f t="shared" si="1997"/>
        <v>10/11/2025</v>
      </c>
      <c r="K10519">
        <v>45974</v>
      </c>
      <c r="N10519">
        <v>303</v>
      </c>
      <c r="O10519" t="s">
        <v>69</v>
      </c>
      <c r="Q10519">
        <v>803.55</v>
      </c>
      <c r="R10519" t="str">
        <f>"PENSE FARMA 43 (10208)"</f>
        <v>PENSE FARMA 43 (10208)</v>
      </c>
      <c r="S10519" t="s">
        <v>70</v>
      </c>
      <c r="T10519">
        <v>21193</v>
      </c>
      <c r="U10519">
        <v>25002</v>
      </c>
      <c r="V10519" t="s">
        <v>22</v>
      </c>
    </row>
    <row r="10520" spans="1:22">
      <c r="A10520" t="str">
        <f t="shared" si="1988"/>
        <v>13/11/2025</v>
      </c>
      <c r="B10520" t="str">
        <f t="shared" si="1998"/>
        <v>ENTRADA</v>
      </c>
      <c r="C10520" t="str">
        <f t="shared" si="1999"/>
        <v>NFSE</v>
      </c>
      <c r="D10520" t="str">
        <f t="shared" si="2002"/>
        <v>3670</v>
      </c>
      <c r="E10520" t="str">
        <f t="shared" si="2000"/>
        <v>1</v>
      </c>
      <c r="F10520" t="str">
        <f t="shared" si="1996"/>
        <v>COM</v>
      </c>
      <c r="G10520" t="str">
        <f t="shared" si="2003"/>
        <v>PENSE FARMA 36 (10206)</v>
      </c>
      <c r="H10520" t="s">
        <v>2938</v>
      </c>
      <c r="I10520" t="str">
        <f t="shared" si="2001"/>
        <v>12/11/2025</v>
      </c>
      <c r="J10520" t="str">
        <f t="shared" si="1997"/>
        <v>10/11/2025</v>
      </c>
      <c r="K10520">
        <v>45974</v>
      </c>
      <c r="N10520">
        <v>303</v>
      </c>
      <c r="O10520" t="s">
        <v>69</v>
      </c>
      <c r="Q10520">
        <v>803.55</v>
      </c>
      <c r="R10520" t="str">
        <f>"PENSE FARMA 59 (10211)"</f>
        <v>PENSE FARMA 59 (10211)</v>
      </c>
      <c r="S10520" t="s">
        <v>70</v>
      </c>
      <c r="T10520">
        <v>21193</v>
      </c>
      <c r="U10520">
        <v>25002</v>
      </c>
      <c r="V10520" t="s">
        <v>22</v>
      </c>
    </row>
    <row r="10521" spans="1:22">
      <c r="A10521" t="str">
        <f t="shared" si="1988"/>
        <v>13/11/2025</v>
      </c>
      <c r="B10521" t="str">
        <f t="shared" si="1998"/>
        <v>ENTRADA</v>
      </c>
      <c r="C10521" t="str">
        <f t="shared" si="1999"/>
        <v>NFSE</v>
      </c>
      <c r="D10521" t="str">
        <f t="shared" si="2002"/>
        <v>3670</v>
      </c>
      <c r="E10521" t="str">
        <f t="shared" si="2000"/>
        <v>1</v>
      </c>
      <c r="F10521" t="str">
        <f t="shared" si="1996"/>
        <v>COM</v>
      </c>
      <c r="G10521" t="str">
        <f t="shared" si="2003"/>
        <v>PENSE FARMA 36 (10206)</v>
      </c>
      <c r="H10521" t="s">
        <v>2938</v>
      </c>
      <c r="I10521" t="str">
        <f t="shared" si="2001"/>
        <v>12/11/2025</v>
      </c>
      <c r="J10521" t="str">
        <f t="shared" si="1997"/>
        <v>10/11/2025</v>
      </c>
      <c r="K10521">
        <v>45974</v>
      </c>
      <c r="N10521">
        <v>303</v>
      </c>
      <c r="O10521" t="s">
        <v>69</v>
      </c>
      <c r="Q10521">
        <v>808.38</v>
      </c>
      <c r="R10521" t="str">
        <f>"PENSE FARMA DARK STORE 361 (10212)"</f>
        <v>PENSE FARMA DARK STORE 361 (10212)</v>
      </c>
      <c r="S10521" t="s">
        <v>70</v>
      </c>
      <c r="T10521">
        <v>21193</v>
      </c>
      <c r="U10521">
        <v>25002</v>
      </c>
      <c r="V10521" t="s">
        <v>22</v>
      </c>
    </row>
    <row r="10522" spans="1:22">
      <c r="A10522" t="str">
        <f t="shared" si="1988"/>
        <v>13/11/2025</v>
      </c>
      <c r="B10522" t="str">
        <f t="shared" si="1998"/>
        <v>ENTRADA</v>
      </c>
      <c r="C10522" t="str">
        <f t="shared" si="1999"/>
        <v>NFSE</v>
      </c>
      <c r="D10522" t="str">
        <f>"3659"</f>
        <v>3659</v>
      </c>
      <c r="E10522" t="str">
        <f t="shared" si="2000"/>
        <v>1</v>
      </c>
      <c r="F10522" t="str">
        <f t="shared" si="1996"/>
        <v>COM</v>
      </c>
      <c r="G10522" t="str">
        <f>"PENSE FARMA 47 (10232)"</f>
        <v>PENSE FARMA 47 (10232)</v>
      </c>
      <c r="H10522" t="str">
        <f>"Serv.Prest. 03/11/2025 a 09/11/2025 - RPS: 1535 - NFSe: 3659"</f>
        <v>Serv.Prest. 03/11/2025 a 09/11/2025 - RPS: 1535 - NFSe: 3659</v>
      </c>
      <c r="I10522" t="str">
        <f t="shared" si="2001"/>
        <v>12/11/2025</v>
      </c>
      <c r="J10522" t="str">
        <f t="shared" si="1997"/>
        <v>10/11/2025</v>
      </c>
      <c r="K10522" t="str">
        <f>("13/11/2025")</f>
        <v>13/11/2025</v>
      </c>
      <c r="L10522">
        <v>1577.94</v>
      </c>
      <c r="M10522">
        <v>1577.94</v>
      </c>
      <c r="N10522">
        <v>303</v>
      </c>
      <c r="O10522" t="str">
        <f>"RECEITAS COM ENTREGAS"</f>
        <v>RECEITAS COM ENTREGAS</v>
      </c>
      <c r="P10522">
        <v>1577.94</v>
      </c>
      <c r="S10522" t="str">
        <f>"RECEITAS COM ENTREGAS (303)"</f>
        <v>RECEITAS COM ENTREGAS (303)</v>
      </c>
      <c r="T10522">
        <v>21194</v>
      </c>
      <c r="U10522">
        <v>24967</v>
      </c>
      <c r="V10522" t="s">
        <v>22</v>
      </c>
    </row>
    <row r="10523" spans="1:22">
      <c r="A10523" t="str">
        <f t="shared" si="1988"/>
        <v>13/11/2025</v>
      </c>
      <c r="B10523" t="str">
        <f t="shared" si="1998"/>
        <v>ENTRADA</v>
      </c>
      <c r="C10523" t="str">
        <f t="shared" si="1999"/>
        <v>NFSE</v>
      </c>
      <c r="D10523" t="str">
        <f>"3659"</f>
        <v>3659</v>
      </c>
      <c r="E10523" t="str">
        <f t="shared" si="2000"/>
        <v>1</v>
      </c>
      <c r="F10523" t="str">
        <f t="shared" si="1996"/>
        <v>COM</v>
      </c>
      <c r="G10523" t="str">
        <f>"PENSE FARMA 47 (10232)"</f>
        <v>PENSE FARMA 47 (10232)</v>
      </c>
      <c r="H10523" t="s">
        <v>2939</v>
      </c>
      <c r="I10523" t="str">
        <f t="shared" si="2001"/>
        <v>12/11/2025</v>
      </c>
      <c r="J10523" t="str">
        <f t="shared" si="1997"/>
        <v>10/11/2025</v>
      </c>
      <c r="K10523">
        <v>45974</v>
      </c>
      <c r="N10523">
        <v>303</v>
      </c>
      <c r="O10523" t="s">
        <v>69</v>
      </c>
      <c r="Q10523">
        <v>1577.94</v>
      </c>
      <c r="R10523" t="str">
        <f>"PENSE FARMA 47 (10232)"</f>
        <v>PENSE FARMA 47 (10232)</v>
      </c>
      <c r="S10523" t="s">
        <v>70</v>
      </c>
      <c r="T10523">
        <v>21194</v>
      </c>
      <c r="U10523">
        <v>24967</v>
      </c>
      <c r="V10523" t="s">
        <v>22</v>
      </c>
    </row>
    <row r="10524" spans="1:22">
      <c r="A10524" t="str">
        <f t="shared" si="1988"/>
        <v>13/11/2025</v>
      </c>
      <c r="B10524" t="str">
        <f t="shared" si="1998"/>
        <v>ENTRADA</v>
      </c>
      <c r="C10524" t="str">
        <f t="shared" si="1999"/>
        <v>NFSE</v>
      </c>
      <c r="D10524" t="str">
        <f>"3654"</f>
        <v>3654</v>
      </c>
      <c r="E10524" t="str">
        <f t="shared" si="2000"/>
        <v>1</v>
      </c>
      <c r="F10524" t="str">
        <f t="shared" si="1996"/>
        <v>COM</v>
      </c>
      <c r="G10524" t="str">
        <f>"PENSE FARMA 51 (10235)"</f>
        <v>PENSE FARMA 51 (10235)</v>
      </c>
      <c r="H10524" t="str">
        <f>"Serv.Prest. 03/11/2025 a 09/11/2025 - RPS: 1530 - NFSe: 3654"</f>
        <v>Serv.Prest. 03/11/2025 a 09/11/2025 - RPS: 1530 - NFSe: 3654</v>
      </c>
      <c r="I10524" t="str">
        <f t="shared" si="2001"/>
        <v>12/11/2025</v>
      </c>
      <c r="J10524" t="str">
        <f t="shared" si="1997"/>
        <v>10/11/2025</v>
      </c>
      <c r="K10524" t="str">
        <f>("13/11/2025")</f>
        <v>13/11/2025</v>
      </c>
      <c r="L10524">
        <v>971.04</v>
      </c>
      <c r="M10524">
        <v>971.04</v>
      </c>
      <c r="N10524">
        <v>303</v>
      </c>
      <c r="O10524" t="str">
        <f>"RECEITAS COM ENTREGAS"</f>
        <v>RECEITAS COM ENTREGAS</v>
      </c>
      <c r="P10524">
        <v>971.04</v>
      </c>
      <c r="S10524" t="str">
        <f>"RECEITAS COM ENTREGAS (303)"</f>
        <v>RECEITAS COM ENTREGAS (303)</v>
      </c>
      <c r="T10524">
        <v>21195</v>
      </c>
      <c r="U10524">
        <v>24955</v>
      </c>
      <c r="V10524" t="s">
        <v>22</v>
      </c>
    </row>
    <row r="10525" spans="1:22">
      <c r="A10525" t="str">
        <f t="shared" si="1988"/>
        <v>13/11/2025</v>
      </c>
      <c r="B10525" t="str">
        <f t="shared" si="1998"/>
        <v>ENTRADA</v>
      </c>
      <c r="C10525" t="str">
        <f t="shared" si="1999"/>
        <v>NFSE</v>
      </c>
      <c r="D10525" t="str">
        <f>"3654"</f>
        <v>3654</v>
      </c>
      <c r="E10525" t="str">
        <f t="shared" si="2000"/>
        <v>1</v>
      </c>
      <c r="F10525" t="str">
        <f t="shared" si="1996"/>
        <v>COM</v>
      </c>
      <c r="G10525" t="str">
        <f>"PENSE FARMA 51 (10235)"</f>
        <v>PENSE FARMA 51 (10235)</v>
      </c>
      <c r="H10525" t="s">
        <v>2940</v>
      </c>
      <c r="I10525" t="str">
        <f t="shared" si="2001"/>
        <v>12/11/2025</v>
      </c>
      <c r="J10525" t="str">
        <f t="shared" si="1997"/>
        <v>10/11/2025</v>
      </c>
      <c r="K10525">
        <v>45974</v>
      </c>
      <c r="N10525">
        <v>303</v>
      </c>
      <c r="O10525" t="s">
        <v>69</v>
      </c>
      <c r="Q10525">
        <v>971.04</v>
      </c>
      <c r="R10525" t="str">
        <f>"PENSE FARMA 51 (10235)"</f>
        <v>PENSE FARMA 51 (10235)</v>
      </c>
      <c r="S10525" t="s">
        <v>70</v>
      </c>
      <c r="T10525">
        <v>21195</v>
      </c>
      <c r="U10525">
        <v>24955</v>
      </c>
      <c r="V10525" t="s">
        <v>22</v>
      </c>
    </row>
    <row r="10526" spans="1:22">
      <c r="A10526" t="str">
        <f t="shared" si="1988"/>
        <v>13/11/2025</v>
      </c>
      <c r="B10526" t="str">
        <f t="shared" si="1998"/>
        <v>ENTRADA</v>
      </c>
      <c r="C10526" t="str">
        <f t="shared" si="1999"/>
        <v>NFSE</v>
      </c>
      <c r="D10526" t="str">
        <f>"3649"</f>
        <v>3649</v>
      </c>
      <c r="E10526" t="str">
        <f t="shared" si="2000"/>
        <v>1</v>
      </c>
      <c r="F10526" t="str">
        <f t="shared" si="1996"/>
        <v>COM</v>
      </c>
      <c r="G10526" t="str">
        <f>"AC FARMA - CID.ALTA (10166)"</f>
        <v>AC FARMA - CID.ALTA (10166)</v>
      </c>
      <c r="H10526" t="str">
        <f>"Serv.Prest. 27/10/2025 a 02/11/2025 - RPS: 1525 - NFSe: 3649"</f>
        <v>Serv.Prest. 27/10/2025 a 02/11/2025 - RPS: 1525 - NFSe: 3649</v>
      </c>
      <c r="I10526" t="str">
        <f t="shared" si="2001"/>
        <v>12/11/2025</v>
      </c>
      <c r="J10526" t="str">
        <f>("05/11/2025")</f>
        <v>05/11/2025</v>
      </c>
      <c r="K10526" t="str">
        <f>("13/11/2025")</f>
        <v>13/11/2025</v>
      </c>
      <c r="L10526">
        <v>5905.8</v>
      </c>
      <c r="M10526">
        <v>5905.8</v>
      </c>
      <c r="N10526">
        <v>303</v>
      </c>
      <c r="O10526" t="str">
        <f>"RECEITAS COM ENTREGAS"</f>
        <v>RECEITAS COM ENTREGAS</v>
      </c>
      <c r="P10526">
        <v>5905.8</v>
      </c>
      <c r="S10526" t="str">
        <f>"RECEITAS COM ENTREGAS (303)"</f>
        <v>RECEITAS COM ENTREGAS (303)</v>
      </c>
      <c r="T10526">
        <v>21196</v>
      </c>
      <c r="U10526">
        <v>24881</v>
      </c>
      <c r="V10526" t="s">
        <v>22</v>
      </c>
    </row>
    <row r="10527" spans="1:22">
      <c r="A10527" t="str">
        <f t="shared" ref="A10527:A10590" si="2004">("13/11/2025")</f>
        <v>13/11/2025</v>
      </c>
      <c r="B10527" t="str">
        <f t="shared" si="1998"/>
        <v>ENTRADA</v>
      </c>
      <c r="C10527" t="str">
        <f t="shared" si="1999"/>
        <v>NFSE</v>
      </c>
      <c r="D10527" t="str">
        <f>"3649"</f>
        <v>3649</v>
      </c>
      <c r="E10527" t="str">
        <f t="shared" si="2000"/>
        <v>1</v>
      </c>
      <c r="F10527" t="str">
        <f t="shared" si="1996"/>
        <v>COM</v>
      </c>
      <c r="G10527" t="str">
        <f>"AC FARMA - CID.ALTA (10166)"</f>
        <v>AC FARMA - CID.ALTA (10166)</v>
      </c>
      <c r="H10527" t="s">
        <v>2941</v>
      </c>
      <c r="I10527" t="str">
        <f t="shared" si="2001"/>
        <v>12/11/2025</v>
      </c>
      <c r="J10527" t="str">
        <f>("05/11/2025")</f>
        <v>05/11/2025</v>
      </c>
      <c r="K10527">
        <v>45974</v>
      </c>
      <c r="N10527">
        <v>303</v>
      </c>
      <c r="O10527" t="s">
        <v>69</v>
      </c>
      <c r="Q10527">
        <v>5905.8</v>
      </c>
      <c r="R10527" t="str">
        <f>"AC FARMA - CID.ALTA (10166)"</f>
        <v>AC FARMA - CID.ALTA (10166)</v>
      </c>
      <c r="S10527" t="s">
        <v>70</v>
      </c>
      <c r="T10527">
        <v>21196</v>
      </c>
      <c r="U10527">
        <v>24881</v>
      </c>
      <c r="V10527" t="s">
        <v>22</v>
      </c>
    </row>
    <row r="10528" spans="1:22">
      <c r="A10528" t="str">
        <f t="shared" si="2004"/>
        <v>13/11/2025</v>
      </c>
      <c r="B10528" t="str">
        <f t="shared" ref="B10528:B10591" si="2005">"SAÍDA"</f>
        <v>SAÍDA</v>
      </c>
      <c r="C10528" t="str">
        <f t="shared" ref="C10528:C10591" si="2006">"PIX"</f>
        <v>PIX</v>
      </c>
      <c r="D10528" t="str">
        <f>"25660"</f>
        <v>25660</v>
      </c>
      <c r="E10528" t="str">
        <f t="shared" si="2000"/>
        <v>1</v>
      </c>
      <c r="F10528" t="str">
        <f t="shared" si="1996"/>
        <v>COM</v>
      </c>
      <c r="G10528" t="str">
        <f>"EDICARLOS OLIVEIRA BORGES (1068)"</f>
        <v>EDICARLOS OLIVEIRA BORGES (1068)</v>
      </c>
      <c r="H10528" t="str">
        <f>"Serv.Prest. 10/11/2025 a 16/11/2025 - PIX: CELULAR - CHAVE: (11) 93933-2088"</f>
        <v>Serv.Prest. 10/11/2025 a 16/11/2025 - PIX: CELULAR - CHAVE: (11) 93933-2088</v>
      </c>
      <c r="I10528" t="str">
        <f>("18/11/2025")</f>
        <v>18/11/2025</v>
      </c>
      <c r="J10528" t="str">
        <f>("18/11/2025")</f>
        <v>18/11/2025</v>
      </c>
      <c r="K10528" t="str">
        <f>("13/11/2025")</f>
        <v>13/11/2025</v>
      </c>
      <c r="L10528">
        <v>170</v>
      </c>
      <c r="M10528">
        <v>170</v>
      </c>
      <c r="N10528">
        <v>134</v>
      </c>
      <c r="O10528" t="str">
        <f>"DIARIA DE MOTOBOY"</f>
        <v>DIARIA DE MOTOBOY</v>
      </c>
      <c r="P10528">
        <v>170</v>
      </c>
      <c r="S10528" t="str">
        <f>"BANCO CORA (102)"</f>
        <v>BANCO CORA (102)</v>
      </c>
      <c r="T10528">
        <v>21221</v>
      </c>
      <c r="U10528">
        <v>25668</v>
      </c>
      <c r="V10528" t="s">
        <v>22</v>
      </c>
    </row>
    <row r="10529" spans="1:22">
      <c r="A10529" t="str">
        <f t="shared" si="2004"/>
        <v>13/11/2025</v>
      </c>
      <c r="B10529" t="str">
        <f t="shared" si="2005"/>
        <v>SAÍDA</v>
      </c>
      <c r="C10529" t="str">
        <f t="shared" si="2006"/>
        <v>PIX</v>
      </c>
      <c r="D10529" t="str">
        <f>"25660"</f>
        <v>25660</v>
      </c>
      <c r="E10529" t="str">
        <f t="shared" si="2000"/>
        <v>1</v>
      </c>
      <c r="F10529" t="str">
        <f t="shared" si="1996"/>
        <v>COM</v>
      </c>
      <c r="G10529" t="str">
        <f>"EDICARLOS OLIVEIRA BORGES (1068)"</f>
        <v>EDICARLOS OLIVEIRA BORGES (1068)</v>
      </c>
      <c r="H10529" t="s">
        <v>2765</v>
      </c>
      <c r="I10529" t="str">
        <f>("18/11/2025")</f>
        <v>18/11/2025</v>
      </c>
      <c r="J10529" t="str">
        <f>("18/11/2025")</f>
        <v>18/11/2025</v>
      </c>
      <c r="K10529">
        <v>45974</v>
      </c>
      <c r="N10529">
        <v>134</v>
      </c>
      <c r="O10529" t="s">
        <v>41</v>
      </c>
      <c r="Q10529">
        <v>170</v>
      </c>
      <c r="R10529" t="str">
        <f>"PENSE FARMA 22 (10198)"</f>
        <v>PENSE FARMA 22 (10198)</v>
      </c>
      <c r="S10529" t="s">
        <v>22</v>
      </c>
      <c r="T10529">
        <v>21221</v>
      </c>
      <c r="U10529">
        <v>25668</v>
      </c>
      <c r="V10529" t="s">
        <v>22</v>
      </c>
    </row>
    <row r="10530" spans="1:22">
      <c r="A10530" t="str">
        <f t="shared" si="2004"/>
        <v>13/11/2025</v>
      </c>
      <c r="B10530" t="str">
        <f t="shared" si="2005"/>
        <v>SAÍDA</v>
      </c>
      <c r="C10530" t="str">
        <f t="shared" si="2006"/>
        <v>PIX</v>
      </c>
      <c r="D10530" t="str">
        <f>"25827"</f>
        <v>25827</v>
      </c>
      <c r="E10530" t="str">
        <f t="shared" si="2000"/>
        <v>1</v>
      </c>
      <c r="F10530" t="str">
        <f t="shared" si="1996"/>
        <v>COM</v>
      </c>
      <c r="G10530" t="str">
        <f>"JAIR BRISON JUNIOR (964)"</f>
        <v>JAIR BRISON JUNIOR (964)</v>
      </c>
      <c r="H10530" t="str">
        <f>"Serv.Prest. 10/11/2025 a 16/11/2025 - PIX: CPF - CHAVE: 096.116.707-61"</f>
        <v>Serv.Prest. 10/11/2025 a 16/11/2025 - PIX: CPF - CHAVE: 096.116.707-61</v>
      </c>
      <c r="I10530" t="str">
        <f>("27/11/2025")</f>
        <v>27/11/2025</v>
      </c>
      <c r="J10530" t="str">
        <f>("18/11/2025")</f>
        <v>18/11/2025</v>
      </c>
      <c r="K10530" t="str">
        <f>("13/11/2025")</f>
        <v>13/11/2025</v>
      </c>
      <c r="L10530">
        <v>130.5</v>
      </c>
      <c r="M10530">
        <v>130</v>
      </c>
      <c r="N10530">
        <v>134</v>
      </c>
      <c r="O10530" t="str">
        <f>"DIARIA DE MOTOBOY"</f>
        <v>DIARIA DE MOTOBOY</v>
      </c>
      <c r="P10530">
        <v>130</v>
      </c>
      <c r="S10530" t="str">
        <f>"BANCO CORA (102)"</f>
        <v>BANCO CORA (102)</v>
      </c>
      <c r="T10530">
        <v>21274</v>
      </c>
      <c r="U10530">
        <v>25827</v>
      </c>
      <c r="V10530" t="s">
        <v>22</v>
      </c>
    </row>
    <row r="10531" spans="1:22">
      <c r="A10531" t="str">
        <f t="shared" si="2004"/>
        <v>13/11/2025</v>
      </c>
      <c r="B10531" t="str">
        <f t="shared" si="2005"/>
        <v>SAÍDA</v>
      </c>
      <c r="C10531" t="str">
        <f t="shared" si="2006"/>
        <v>PIX</v>
      </c>
      <c r="D10531" t="str">
        <f>"25827"</f>
        <v>25827</v>
      </c>
      <c r="E10531" t="str">
        <f t="shared" si="2000"/>
        <v>1</v>
      </c>
      <c r="F10531" t="str">
        <f t="shared" si="1996"/>
        <v>COM</v>
      </c>
      <c r="G10531" t="str">
        <f>"JAIR BRISON JUNIOR (964)"</f>
        <v>JAIR BRISON JUNIOR (964)</v>
      </c>
      <c r="H10531" t="s">
        <v>2942</v>
      </c>
      <c r="I10531" t="str">
        <f>("27/11/2025")</f>
        <v>27/11/2025</v>
      </c>
      <c r="J10531" t="str">
        <f>("18/11/2025")</f>
        <v>18/11/2025</v>
      </c>
      <c r="K10531">
        <v>45974</v>
      </c>
      <c r="N10531">
        <v>134</v>
      </c>
      <c r="O10531" t="s">
        <v>41</v>
      </c>
      <c r="Q10531">
        <v>130</v>
      </c>
      <c r="R10531" t="str">
        <f>"FARMÁCIA INDIANA LJ 119 (10053)"</f>
        <v>FARMÁCIA INDIANA LJ 119 (10053)</v>
      </c>
      <c r="S10531" t="s">
        <v>22</v>
      </c>
      <c r="T10531">
        <v>21274</v>
      </c>
      <c r="U10531">
        <v>25827</v>
      </c>
      <c r="V10531" t="s">
        <v>22</v>
      </c>
    </row>
    <row r="10532" spans="1:22">
      <c r="A10532" t="str">
        <f t="shared" si="2004"/>
        <v>13/11/2025</v>
      </c>
      <c r="B10532" t="str">
        <f t="shared" si="2005"/>
        <v>SAÍDA</v>
      </c>
      <c r="C10532" t="str">
        <f t="shared" si="2006"/>
        <v>PIX</v>
      </c>
      <c r="D10532" t="str">
        <f>"2310"</f>
        <v>2310</v>
      </c>
      <c r="E10532" t="str">
        <f>"27"</f>
        <v>27</v>
      </c>
      <c r="F10532" t="str">
        <f t="shared" si="1996"/>
        <v>COM</v>
      </c>
      <c r="G10532" t="str">
        <f>"51.114.831 TANIA CRISTINA JOAQUIM (20120)"</f>
        <v>51.114.831 TANIA CRISTINA JOAQUIM (20120)</v>
      </c>
      <c r="H10532" t="str">
        <f>"PAGAMENTO PRESTACAO DE SERVICOS - PIX CELULAR (11) 99181-5502"</f>
        <v>PAGAMENTO PRESTACAO DE SERVICOS - PIX CELULAR (11) 99181-5502</v>
      </c>
      <c r="I10532" t="str">
        <f t="shared" ref="I10532:I10595" si="2007">("13/11/2025")</f>
        <v>13/11/2025</v>
      </c>
      <c r="J10532" t="str">
        <f>("13/10/2025")</f>
        <v>13/10/2025</v>
      </c>
      <c r="K10532" t="str">
        <f>("13/11/2025")</f>
        <v>13/11/2025</v>
      </c>
      <c r="L10532">
        <v>625</v>
      </c>
      <c r="M10532">
        <v>625</v>
      </c>
      <c r="N10532">
        <v>114</v>
      </c>
      <c r="O10532" t="str">
        <f>"PRESTADORES DE SERVIÇOS"</f>
        <v>PRESTADORES DE SERVIÇOS</v>
      </c>
      <c r="P10532">
        <v>625</v>
      </c>
      <c r="S10532" t="str">
        <f>"BANCO C6 (149)"</f>
        <v>BANCO C6 (149)</v>
      </c>
      <c r="T10532">
        <v>21578</v>
      </c>
      <c r="U10532">
        <v>24543</v>
      </c>
      <c r="V10532" t="s">
        <v>77</v>
      </c>
    </row>
    <row r="10533" spans="1:22">
      <c r="A10533" t="str">
        <f t="shared" si="2004"/>
        <v>13/11/2025</v>
      </c>
      <c r="B10533" t="str">
        <f t="shared" si="2005"/>
        <v>SAÍDA</v>
      </c>
      <c r="C10533" t="str">
        <f t="shared" si="2006"/>
        <v>PIX</v>
      </c>
      <c r="D10533" t="str">
        <f>"2310"</f>
        <v>2310</v>
      </c>
      <c r="E10533" t="str">
        <f>"27"</f>
        <v>27</v>
      </c>
      <c r="F10533" t="str">
        <f t="shared" si="1996"/>
        <v>COM</v>
      </c>
      <c r="G10533" t="str">
        <f>"51.114.831 TANIA CRISTINA JOAQUIM (20120)"</f>
        <v>51.114.831 TANIA CRISTINA JOAQUIM (20120)</v>
      </c>
      <c r="H10533" t="s">
        <v>2001</v>
      </c>
      <c r="I10533" t="str">
        <f t="shared" si="2007"/>
        <v>13/11/2025</v>
      </c>
      <c r="J10533" t="str">
        <f>("13/10/2025")</f>
        <v>13/10/2025</v>
      </c>
      <c r="K10533">
        <v>45974</v>
      </c>
      <c r="N10533">
        <v>114</v>
      </c>
      <c r="O10533" t="s">
        <v>260</v>
      </c>
      <c r="Q10533">
        <v>625</v>
      </c>
      <c r="R10533" t="str">
        <f>"51.114.831 TANIA CRISTINA JOAQUIM (20120)"</f>
        <v>51.114.831 TANIA CRISTINA JOAQUIM (20120)</v>
      </c>
      <c r="S10533" t="s">
        <v>77</v>
      </c>
      <c r="T10533">
        <v>21578</v>
      </c>
      <c r="U10533">
        <v>24543</v>
      </c>
      <c r="V10533" t="s">
        <v>77</v>
      </c>
    </row>
    <row r="10534" spans="1:22">
      <c r="A10534" t="str">
        <f t="shared" si="2004"/>
        <v>13/11/2025</v>
      </c>
      <c r="B10534" t="str">
        <f t="shared" si="2005"/>
        <v>SAÍDA</v>
      </c>
      <c r="C10534" t="str">
        <f t="shared" si="2006"/>
        <v>PIX</v>
      </c>
      <c r="D10534" t="str">
        <f>"24700"</f>
        <v>24700</v>
      </c>
      <c r="E10534" t="str">
        <f t="shared" ref="E10534:E10597" si="2008">"1"</f>
        <v>1</v>
      </c>
      <c r="F10534" t="str">
        <f t="shared" si="1996"/>
        <v>COM</v>
      </c>
      <c r="G10534" t="str">
        <f>"CARLOS ALBERTO DE JESUS SANTOS (110)"</f>
        <v>CARLOS ALBERTO DE JESUS SANTOS (110)</v>
      </c>
      <c r="H10534" t="str">
        <f>"Serv.Prest. 24/10/2025 a 02/11/2025 - PIX: CPF - CHAVE: 036.875.515-04"</f>
        <v>Serv.Prest. 24/10/2025 a 02/11/2025 - PIX: CPF - CHAVE: 036.875.515-04</v>
      </c>
      <c r="I10534" t="str">
        <f t="shared" si="2007"/>
        <v>13/11/2025</v>
      </c>
      <c r="J10534" t="str">
        <f t="shared" ref="J10534:J10597" si="2009">("04/11/2025")</f>
        <v>04/11/2025</v>
      </c>
      <c r="K10534" t="str">
        <f>("13/11/2025")</f>
        <v>13/11/2025</v>
      </c>
      <c r="L10534">
        <v>654</v>
      </c>
      <c r="M10534">
        <v>654</v>
      </c>
      <c r="N10534">
        <v>109</v>
      </c>
      <c r="O10534" t="str">
        <f>"PAGAMENTO DE ENTREGADORES"</f>
        <v>PAGAMENTO DE ENTREGADORES</v>
      </c>
      <c r="P10534">
        <v>654</v>
      </c>
      <c r="S10534" t="str">
        <f>"BANCO C6 (149)"</f>
        <v>BANCO C6 (149)</v>
      </c>
      <c r="T10534">
        <v>21579</v>
      </c>
      <c r="U10534">
        <v>24700</v>
      </c>
      <c r="V10534" t="s">
        <v>77</v>
      </c>
    </row>
    <row r="10535" spans="1:22">
      <c r="A10535" t="str">
        <f t="shared" si="2004"/>
        <v>13/11/2025</v>
      </c>
      <c r="B10535" t="str">
        <f t="shared" si="2005"/>
        <v>SAÍDA</v>
      </c>
      <c r="C10535" t="str">
        <f t="shared" si="2006"/>
        <v>PIX</v>
      </c>
      <c r="D10535" t="str">
        <f>"24700"</f>
        <v>24700</v>
      </c>
      <c r="E10535" t="str">
        <f t="shared" si="2008"/>
        <v>1</v>
      </c>
      <c r="F10535" t="str">
        <f t="shared" si="1996"/>
        <v>COM</v>
      </c>
      <c r="G10535" t="str">
        <f>"CARLOS ALBERTO DE JESUS SANTOS (110)"</f>
        <v>CARLOS ALBERTO DE JESUS SANTOS (110)</v>
      </c>
      <c r="H10535" t="s">
        <v>2943</v>
      </c>
      <c r="I10535" t="str">
        <f t="shared" si="2007"/>
        <v>13/11/2025</v>
      </c>
      <c r="J10535" t="str">
        <f t="shared" si="2009"/>
        <v>04/11/2025</v>
      </c>
      <c r="K10535">
        <v>45974</v>
      </c>
      <c r="N10535">
        <v>109</v>
      </c>
      <c r="O10535" t="s">
        <v>24</v>
      </c>
      <c r="Q10535">
        <v>130.80000000000001</v>
      </c>
      <c r="R10535" t="str">
        <f>"FARMÁCIA INDIANA LJ 65 (10030)"</f>
        <v>FARMÁCIA INDIANA LJ 65 (10030)</v>
      </c>
      <c r="S10535" t="s">
        <v>77</v>
      </c>
      <c r="T10535">
        <v>21579</v>
      </c>
      <c r="U10535">
        <v>24700</v>
      </c>
      <c r="V10535" t="s">
        <v>77</v>
      </c>
    </row>
    <row r="10536" spans="1:22">
      <c r="A10536" t="str">
        <f t="shared" si="2004"/>
        <v>13/11/2025</v>
      </c>
      <c r="B10536" t="str">
        <f t="shared" si="2005"/>
        <v>SAÍDA</v>
      </c>
      <c r="C10536" t="str">
        <f t="shared" si="2006"/>
        <v>PIX</v>
      </c>
      <c r="D10536" t="str">
        <f>"24700"</f>
        <v>24700</v>
      </c>
      <c r="E10536" t="str">
        <f t="shared" si="2008"/>
        <v>1</v>
      </c>
      <c r="F10536" t="str">
        <f t="shared" si="1996"/>
        <v>COM</v>
      </c>
      <c r="G10536" t="str">
        <f>"CARLOS ALBERTO DE JESUS SANTOS (110)"</f>
        <v>CARLOS ALBERTO DE JESUS SANTOS (110)</v>
      </c>
      <c r="H10536" t="s">
        <v>2943</v>
      </c>
      <c r="I10536" t="str">
        <f t="shared" si="2007"/>
        <v>13/11/2025</v>
      </c>
      <c r="J10536" t="str">
        <f t="shared" si="2009"/>
        <v>04/11/2025</v>
      </c>
      <c r="K10536">
        <v>45974</v>
      </c>
      <c r="N10536">
        <v>109</v>
      </c>
      <c r="O10536" t="s">
        <v>24</v>
      </c>
      <c r="Q10536">
        <v>523.20000000000005</v>
      </c>
      <c r="R10536" t="str">
        <f>"FARMÁCIA INDIANA LJ 173 (10075)"</f>
        <v>FARMÁCIA INDIANA LJ 173 (10075)</v>
      </c>
      <c r="S10536" t="s">
        <v>77</v>
      </c>
      <c r="T10536">
        <v>21579</v>
      </c>
      <c r="U10536">
        <v>24700</v>
      </c>
      <c r="V10536" t="s">
        <v>77</v>
      </c>
    </row>
    <row r="10537" spans="1:22">
      <c r="A10537" t="str">
        <f t="shared" si="2004"/>
        <v>13/11/2025</v>
      </c>
      <c r="B10537" t="str">
        <f t="shared" si="2005"/>
        <v>SAÍDA</v>
      </c>
      <c r="C10537" t="str">
        <f t="shared" si="2006"/>
        <v>PIX</v>
      </c>
      <c r="D10537" t="str">
        <f>"24702"</f>
        <v>24702</v>
      </c>
      <c r="E10537" t="str">
        <f t="shared" si="2008"/>
        <v>1</v>
      </c>
      <c r="F10537" t="str">
        <f t="shared" si="1996"/>
        <v>COM</v>
      </c>
      <c r="G10537" t="str">
        <f>"DIOCLECIO SANDES JOTA (135)"</f>
        <v>DIOCLECIO SANDES JOTA (135)</v>
      </c>
      <c r="H10537" t="str">
        <f>"Serv.Prest. 24/10/2025 a 02/11/2025 - PIX: CELULAR - CHAVE: (73) 99966-7211"</f>
        <v>Serv.Prest. 24/10/2025 a 02/11/2025 - PIX: CELULAR - CHAVE: (73) 99966-7211</v>
      </c>
      <c r="I10537" t="str">
        <f t="shared" si="2007"/>
        <v>13/11/2025</v>
      </c>
      <c r="J10537" t="str">
        <f t="shared" si="2009"/>
        <v>04/11/2025</v>
      </c>
      <c r="K10537" t="str">
        <f>("13/11/2025")</f>
        <v>13/11/2025</v>
      </c>
      <c r="L10537">
        <v>954</v>
      </c>
      <c r="M10537">
        <v>954</v>
      </c>
      <c r="N10537">
        <v>109</v>
      </c>
      <c r="O10537" t="str">
        <f>"PAGAMENTO DE ENTREGADORES"</f>
        <v>PAGAMENTO DE ENTREGADORES</v>
      </c>
      <c r="P10537">
        <v>954</v>
      </c>
      <c r="S10537" t="str">
        <f>"BANCO C6 (149)"</f>
        <v>BANCO C6 (149)</v>
      </c>
      <c r="T10537">
        <v>21580</v>
      </c>
      <c r="U10537">
        <v>24702</v>
      </c>
      <c r="V10537" t="s">
        <v>77</v>
      </c>
    </row>
    <row r="10538" spans="1:22">
      <c r="A10538" t="str">
        <f t="shared" si="2004"/>
        <v>13/11/2025</v>
      </c>
      <c r="B10538" t="str">
        <f t="shared" si="2005"/>
        <v>SAÍDA</v>
      </c>
      <c r="C10538" t="str">
        <f t="shared" si="2006"/>
        <v>PIX</v>
      </c>
      <c r="D10538" t="str">
        <f>"24702"</f>
        <v>24702</v>
      </c>
      <c r="E10538" t="str">
        <f t="shared" si="2008"/>
        <v>1</v>
      </c>
      <c r="F10538" t="str">
        <f t="shared" si="1996"/>
        <v>COM</v>
      </c>
      <c r="G10538" t="str">
        <f>"DIOCLECIO SANDES JOTA (135)"</f>
        <v>DIOCLECIO SANDES JOTA (135)</v>
      </c>
      <c r="H10538" t="s">
        <v>2944</v>
      </c>
      <c r="I10538" t="str">
        <f t="shared" si="2007"/>
        <v>13/11/2025</v>
      </c>
      <c r="J10538" t="str">
        <f t="shared" si="2009"/>
        <v>04/11/2025</v>
      </c>
      <c r="K10538">
        <v>45974</v>
      </c>
      <c r="N10538">
        <v>109</v>
      </c>
      <c r="O10538" t="s">
        <v>24</v>
      </c>
      <c r="Q10538">
        <v>954</v>
      </c>
      <c r="R10538" t="str">
        <f>"FARMÁCIA INDIANA LJ 91 (10037)"</f>
        <v>FARMÁCIA INDIANA LJ 91 (10037)</v>
      </c>
      <c r="S10538" t="s">
        <v>77</v>
      </c>
      <c r="T10538">
        <v>21580</v>
      </c>
      <c r="U10538">
        <v>24702</v>
      </c>
      <c r="V10538" t="s">
        <v>77</v>
      </c>
    </row>
    <row r="10539" spans="1:22">
      <c r="A10539" t="str">
        <f t="shared" si="2004"/>
        <v>13/11/2025</v>
      </c>
      <c r="B10539" t="str">
        <f t="shared" si="2005"/>
        <v>SAÍDA</v>
      </c>
      <c r="C10539" t="str">
        <f t="shared" si="2006"/>
        <v>PIX</v>
      </c>
      <c r="D10539" t="str">
        <f>"24703"</f>
        <v>24703</v>
      </c>
      <c r="E10539" t="str">
        <f t="shared" si="2008"/>
        <v>1</v>
      </c>
      <c r="F10539" t="str">
        <f t="shared" si="1996"/>
        <v>COM</v>
      </c>
      <c r="G10539" t="str">
        <f>"EDUARDO SILVA DE JESUS (143)"</f>
        <v>EDUARDO SILVA DE JESUS (143)</v>
      </c>
      <c r="H10539" t="str">
        <f>"Serv.Prest. 24/10/2025 a 02/11/2025 - PIX: CPF - CHAVE: 094.947.395-23"</f>
        <v>Serv.Prest. 24/10/2025 a 02/11/2025 - PIX: CPF - CHAVE: 094.947.395-23</v>
      </c>
      <c r="I10539" t="str">
        <f t="shared" si="2007"/>
        <v>13/11/2025</v>
      </c>
      <c r="J10539" t="str">
        <f t="shared" si="2009"/>
        <v>04/11/2025</v>
      </c>
      <c r="K10539" t="str">
        <f>("13/11/2025")</f>
        <v>13/11/2025</v>
      </c>
      <c r="L10539">
        <v>574</v>
      </c>
      <c r="M10539">
        <v>574</v>
      </c>
      <c r="N10539">
        <v>109</v>
      </c>
      <c r="O10539" t="str">
        <f>"PAGAMENTO DE ENTREGADORES"</f>
        <v>PAGAMENTO DE ENTREGADORES</v>
      </c>
      <c r="P10539">
        <v>574</v>
      </c>
      <c r="S10539" t="str">
        <f>"BANCO C6 (149)"</f>
        <v>BANCO C6 (149)</v>
      </c>
      <c r="T10539">
        <v>21581</v>
      </c>
      <c r="U10539">
        <v>24703</v>
      </c>
      <c r="V10539" t="s">
        <v>77</v>
      </c>
    </row>
    <row r="10540" spans="1:22">
      <c r="A10540" t="str">
        <f t="shared" si="2004"/>
        <v>13/11/2025</v>
      </c>
      <c r="B10540" t="str">
        <f t="shared" si="2005"/>
        <v>SAÍDA</v>
      </c>
      <c r="C10540" t="str">
        <f t="shared" si="2006"/>
        <v>PIX</v>
      </c>
      <c r="D10540" t="str">
        <f>"24703"</f>
        <v>24703</v>
      </c>
      <c r="E10540" t="str">
        <f t="shared" si="2008"/>
        <v>1</v>
      </c>
      <c r="F10540" t="str">
        <f t="shared" si="1996"/>
        <v>COM</v>
      </c>
      <c r="G10540" t="str">
        <f>"EDUARDO SILVA DE JESUS (143)"</f>
        <v>EDUARDO SILVA DE JESUS (143)</v>
      </c>
      <c r="H10540" t="s">
        <v>2829</v>
      </c>
      <c r="I10540" t="str">
        <f t="shared" si="2007"/>
        <v>13/11/2025</v>
      </c>
      <c r="J10540" t="str">
        <f t="shared" si="2009"/>
        <v>04/11/2025</v>
      </c>
      <c r="K10540">
        <v>45974</v>
      </c>
      <c r="N10540">
        <v>109</v>
      </c>
      <c r="O10540" t="s">
        <v>24</v>
      </c>
      <c r="Q10540">
        <v>574</v>
      </c>
      <c r="R10540" t="str">
        <f>"FARMÁCIA INDIANA LJ 91 (10037)"</f>
        <v>FARMÁCIA INDIANA LJ 91 (10037)</v>
      </c>
      <c r="S10540" t="s">
        <v>77</v>
      </c>
      <c r="T10540">
        <v>21581</v>
      </c>
      <c r="U10540">
        <v>24703</v>
      </c>
      <c r="V10540" t="s">
        <v>77</v>
      </c>
    </row>
    <row r="10541" spans="1:22">
      <c r="A10541" t="str">
        <f t="shared" si="2004"/>
        <v>13/11/2025</v>
      </c>
      <c r="B10541" t="str">
        <f t="shared" si="2005"/>
        <v>SAÍDA</v>
      </c>
      <c r="C10541" t="str">
        <f t="shared" si="2006"/>
        <v>PIX</v>
      </c>
      <c r="D10541" t="str">
        <f>"24704"</f>
        <v>24704</v>
      </c>
      <c r="E10541" t="str">
        <f t="shared" si="2008"/>
        <v>1</v>
      </c>
      <c r="F10541" t="str">
        <f t="shared" si="1996"/>
        <v>COM</v>
      </c>
      <c r="G10541" t="str">
        <f>"ERIC DE RAMOS GOMES (606)"</f>
        <v>ERIC DE RAMOS GOMES (606)</v>
      </c>
      <c r="H10541" t="str">
        <f>"Serv.Prest. 24/10/2025 a 02/11/2025 - PIX: E-MAIL - CHAVE: ericgomes508@gmail.com"</f>
        <v>Serv.Prest. 24/10/2025 a 02/11/2025 - PIX: E-MAIL - CHAVE: ericgomes508@gmail.com</v>
      </c>
      <c r="I10541" t="str">
        <f t="shared" si="2007"/>
        <v>13/11/2025</v>
      </c>
      <c r="J10541" t="str">
        <f t="shared" si="2009"/>
        <v>04/11/2025</v>
      </c>
      <c r="K10541" t="str">
        <f>("13/11/2025")</f>
        <v>13/11/2025</v>
      </c>
      <c r="L10541">
        <v>1072</v>
      </c>
      <c r="M10541">
        <v>1072</v>
      </c>
      <c r="N10541">
        <v>109</v>
      </c>
      <c r="O10541" t="str">
        <f>"PAGAMENTO DE ENTREGADORES"</f>
        <v>PAGAMENTO DE ENTREGADORES</v>
      </c>
      <c r="P10541">
        <v>1072</v>
      </c>
      <c r="S10541" t="str">
        <f>"BANCO C6 (149)"</f>
        <v>BANCO C6 (149)</v>
      </c>
      <c r="T10541">
        <v>21582</v>
      </c>
      <c r="U10541">
        <v>24704</v>
      </c>
      <c r="V10541" t="s">
        <v>77</v>
      </c>
    </row>
    <row r="10542" spans="1:22">
      <c r="A10542" t="str">
        <f t="shared" si="2004"/>
        <v>13/11/2025</v>
      </c>
      <c r="B10542" t="str">
        <f t="shared" si="2005"/>
        <v>SAÍDA</v>
      </c>
      <c r="C10542" t="str">
        <f t="shared" si="2006"/>
        <v>PIX</v>
      </c>
      <c r="D10542" t="str">
        <f>"24704"</f>
        <v>24704</v>
      </c>
      <c r="E10542" t="str">
        <f t="shared" si="2008"/>
        <v>1</v>
      </c>
      <c r="F10542" t="str">
        <f t="shared" si="1996"/>
        <v>COM</v>
      </c>
      <c r="G10542" t="str">
        <f>"ERIC DE RAMOS GOMES (606)"</f>
        <v>ERIC DE RAMOS GOMES (606)</v>
      </c>
      <c r="H10542" t="s">
        <v>2833</v>
      </c>
      <c r="I10542" t="str">
        <f t="shared" si="2007"/>
        <v>13/11/2025</v>
      </c>
      <c r="J10542" t="str">
        <f t="shared" si="2009"/>
        <v>04/11/2025</v>
      </c>
      <c r="K10542">
        <v>45974</v>
      </c>
      <c r="N10542">
        <v>109</v>
      </c>
      <c r="O10542" t="s">
        <v>24</v>
      </c>
      <c r="Q10542">
        <v>1072</v>
      </c>
      <c r="R10542" t="str">
        <f>"FARMÁCIA INDIANA LJ 91 (10037)"</f>
        <v>FARMÁCIA INDIANA LJ 91 (10037)</v>
      </c>
      <c r="S10542" t="s">
        <v>77</v>
      </c>
      <c r="T10542">
        <v>21582</v>
      </c>
      <c r="U10542">
        <v>24704</v>
      </c>
      <c r="V10542" t="s">
        <v>77</v>
      </c>
    </row>
    <row r="10543" spans="1:22">
      <c r="A10543" t="str">
        <f t="shared" si="2004"/>
        <v>13/11/2025</v>
      </c>
      <c r="B10543" t="str">
        <f t="shared" si="2005"/>
        <v>SAÍDA</v>
      </c>
      <c r="C10543" t="str">
        <f t="shared" si="2006"/>
        <v>PIX</v>
      </c>
      <c r="D10543" t="str">
        <f>"24705"</f>
        <v>24705</v>
      </c>
      <c r="E10543" t="str">
        <f t="shared" si="2008"/>
        <v>1</v>
      </c>
      <c r="F10543" t="str">
        <f t="shared" si="1996"/>
        <v>COM</v>
      </c>
      <c r="G10543" t="str">
        <f>"GABRIEL SOUZA RIBEIRO (425)"</f>
        <v>GABRIEL SOUZA RIBEIRO (425)</v>
      </c>
      <c r="H10543" t="str">
        <f>"Serv.Prest. 24/10/2025 a 02/11/2025 - PIX: CPF - CHAVE: 087.398.185-51"</f>
        <v>Serv.Prest. 24/10/2025 a 02/11/2025 - PIX: CPF - CHAVE: 087.398.185-51</v>
      </c>
      <c r="I10543" t="str">
        <f t="shared" si="2007"/>
        <v>13/11/2025</v>
      </c>
      <c r="J10543" t="str">
        <f t="shared" si="2009"/>
        <v>04/11/2025</v>
      </c>
      <c r="K10543" t="str">
        <f>("13/11/2025")</f>
        <v>13/11/2025</v>
      </c>
      <c r="L10543">
        <v>634</v>
      </c>
      <c r="M10543">
        <v>634</v>
      </c>
      <c r="N10543">
        <v>109</v>
      </c>
      <c r="O10543" t="str">
        <f>"PAGAMENTO DE ENTREGADORES"</f>
        <v>PAGAMENTO DE ENTREGADORES</v>
      </c>
      <c r="P10543">
        <v>634</v>
      </c>
      <c r="S10543" t="str">
        <f>"BANCO C6 (149)"</f>
        <v>BANCO C6 (149)</v>
      </c>
      <c r="T10543">
        <v>21583</v>
      </c>
      <c r="U10543">
        <v>24705</v>
      </c>
      <c r="V10543" t="s">
        <v>77</v>
      </c>
    </row>
    <row r="10544" spans="1:22">
      <c r="A10544" t="str">
        <f t="shared" si="2004"/>
        <v>13/11/2025</v>
      </c>
      <c r="B10544" t="str">
        <f t="shared" si="2005"/>
        <v>SAÍDA</v>
      </c>
      <c r="C10544" t="str">
        <f t="shared" si="2006"/>
        <v>PIX</v>
      </c>
      <c r="D10544" t="str">
        <f>"24705"</f>
        <v>24705</v>
      </c>
      <c r="E10544" t="str">
        <f t="shared" si="2008"/>
        <v>1</v>
      </c>
      <c r="F10544" t="str">
        <f t="shared" si="1996"/>
        <v>COM</v>
      </c>
      <c r="G10544" t="str">
        <f>"GABRIEL SOUZA RIBEIRO (425)"</f>
        <v>GABRIEL SOUZA RIBEIRO (425)</v>
      </c>
      <c r="H10544" t="s">
        <v>2839</v>
      </c>
      <c r="I10544" t="str">
        <f t="shared" si="2007"/>
        <v>13/11/2025</v>
      </c>
      <c r="J10544" t="str">
        <f t="shared" si="2009"/>
        <v>04/11/2025</v>
      </c>
      <c r="K10544">
        <v>45974</v>
      </c>
      <c r="N10544">
        <v>109</v>
      </c>
      <c r="O10544" t="s">
        <v>24</v>
      </c>
      <c r="Q10544">
        <v>634</v>
      </c>
      <c r="R10544" t="str">
        <f>"FARMÁCIA INDIANA LJ 65 (10030)"</f>
        <v>FARMÁCIA INDIANA LJ 65 (10030)</v>
      </c>
      <c r="S10544" t="s">
        <v>77</v>
      </c>
      <c r="T10544">
        <v>21583</v>
      </c>
      <c r="U10544">
        <v>24705</v>
      </c>
      <c r="V10544" t="s">
        <v>77</v>
      </c>
    </row>
    <row r="10545" spans="1:22">
      <c r="A10545" t="str">
        <f t="shared" si="2004"/>
        <v>13/11/2025</v>
      </c>
      <c r="B10545" t="str">
        <f t="shared" si="2005"/>
        <v>SAÍDA</v>
      </c>
      <c r="C10545" t="str">
        <f t="shared" si="2006"/>
        <v>PIX</v>
      </c>
      <c r="D10545" t="str">
        <f>"24706"</f>
        <v>24706</v>
      </c>
      <c r="E10545" t="str">
        <f t="shared" si="2008"/>
        <v>1</v>
      </c>
      <c r="F10545" t="str">
        <f t="shared" si="1996"/>
        <v>COM</v>
      </c>
      <c r="G10545" t="str">
        <f>"GILBERTO PINHEIRO DA ROCHA (155)"</f>
        <v>GILBERTO PINHEIRO DA ROCHA (155)</v>
      </c>
      <c r="H10545" t="str">
        <f>"Serv.Prest. 24/10/2025 a 02/11/2025 - PIX: CELULAR - CHAVE: (73) 99941-8352"</f>
        <v>Serv.Prest. 24/10/2025 a 02/11/2025 - PIX: CELULAR - CHAVE: (73) 99941-8352</v>
      </c>
      <c r="I10545" t="str">
        <f t="shared" si="2007"/>
        <v>13/11/2025</v>
      </c>
      <c r="J10545" t="str">
        <f t="shared" si="2009"/>
        <v>04/11/2025</v>
      </c>
      <c r="K10545" t="str">
        <f>("13/11/2025")</f>
        <v>13/11/2025</v>
      </c>
      <c r="L10545">
        <v>1250.75</v>
      </c>
      <c r="M10545">
        <v>1250.75</v>
      </c>
      <c r="N10545">
        <v>109</v>
      </c>
      <c r="O10545" t="str">
        <f>"PAGAMENTO DE ENTREGADORES"</f>
        <v>PAGAMENTO DE ENTREGADORES</v>
      </c>
      <c r="P10545">
        <v>1250.75</v>
      </c>
      <c r="S10545" t="str">
        <f>"BANCO C6 (149)"</f>
        <v>BANCO C6 (149)</v>
      </c>
      <c r="T10545">
        <v>21584</v>
      </c>
      <c r="U10545">
        <v>24706</v>
      </c>
      <c r="V10545" t="s">
        <v>77</v>
      </c>
    </row>
    <row r="10546" spans="1:22">
      <c r="A10546" t="str">
        <f t="shared" si="2004"/>
        <v>13/11/2025</v>
      </c>
      <c r="B10546" t="str">
        <f t="shared" si="2005"/>
        <v>SAÍDA</v>
      </c>
      <c r="C10546" t="str">
        <f t="shared" si="2006"/>
        <v>PIX</v>
      </c>
      <c r="D10546" t="str">
        <f>"24706"</f>
        <v>24706</v>
      </c>
      <c r="E10546" t="str">
        <f t="shared" si="2008"/>
        <v>1</v>
      </c>
      <c r="F10546" t="str">
        <f t="shared" si="1996"/>
        <v>COM</v>
      </c>
      <c r="G10546" t="str">
        <f>"GILBERTO PINHEIRO DA ROCHA (155)"</f>
        <v>GILBERTO PINHEIRO DA ROCHA (155)</v>
      </c>
      <c r="H10546" t="s">
        <v>2841</v>
      </c>
      <c r="I10546" t="str">
        <f t="shared" si="2007"/>
        <v>13/11/2025</v>
      </c>
      <c r="J10546" t="str">
        <f t="shared" si="2009"/>
        <v>04/11/2025</v>
      </c>
      <c r="K10546">
        <v>45974</v>
      </c>
      <c r="N10546">
        <v>109</v>
      </c>
      <c r="O10546" t="s">
        <v>24</v>
      </c>
      <c r="Q10546">
        <v>1250.75</v>
      </c>
      <c r="R10546" t="str">
        <f>"FARMÁCIA INDIANA LJ 34 (10014)"</f>
        <v>FARMÁCIA INDIANA LJ 34 (10014)</v>
      </c>
      <c r="S10546" t="s">
        <v>77</v>
      </c>
      <c r="T10546">
        <v>21584</v>
      </c>
      <c r="U10546">
        <v>24706</v>
      </c>
      <c r="V10546" t="s">
        <v>77</v>
      </c>
    </row>
    <row r="10547" spans="1:22">
      <c r="A10547" t="str">
        <f t="shared" si="2004"/>
        <v>13/11/2025</v>
      </c>
      <c r="B10547" t="str">
        <f t="shared" si="2005"/>
        <v>SAÍDA</v>
      </c>
      <c r="C10547" t="str">
        <f t="shared" si="2006"/>
        <v>PIX</v>
      </c>
      <c r="D10547" t="str">
        <f>"24709"</f>
        <v>24709</v>
      </c>
      <c r="E10547" t="str">
        <f t="shared" si="2008"/>
        <v>1</v>
      </c>
      <c r="F10547" t="str">
        <f t="shared" si="1996"/>
        <v>COM</v>
      </c>
      <c r="G10547" t="str">
        <f>"GUSTAVO SILVA LIMA (771)"</f>
        <v>GUSTAVO SILVA LIMA (771)</v>
      </c>
      <c r="H10547" t="str">
        <f>"Serv.Prest. 24/10/2025 a 02/11/2025 - PIX: CELULAR - CHAVE: (73) 98888-3793"</f>
        <v>Serv.Prest. 24/10/2025 a 02/11/2025 - PIX: CELULAR - CHAVE: (73) 98888-3793</v>
      </c>
      <c r="I10547" t="str">
        <f t="shared" si="2007"/>
        <v>13/11/2025</v>
      </c>
      <c r="J10547" t="str">
        <f t="shared" si="2009"/>
        <v>04/11/2025</v>
      </c>
      <c r="K10547" t="str">
        <f>("13/11/2025")</f>
        <v>13/11/2025</v>
      </c>
      <c r="L10547">
        <v>634</v>
      </c>
      <c r="M10547">
        <v>634</v>
      </c>
      <c r="N10547">
        <v>109</v>
      </c>
      <c r="O10547" t="str">
        <f>"PAGAMENTO DE ENTREGADORES"</f>
        <v>PAGAMENTO DE ENTREGADORES</v>
      </c>
      <c r="P10547">
        <v>634</v>
      </c>
      <c r="S10547" t="str">
        <f>"BANCO C6 (149)"</f>
        <v>BANCO C6 (149)</v>
      </c>
      <c r="T10547">
        <v>21585</v>
      </c>
      <c r="U10547">
        <v>24709</v>
      </c>
      <c r="V10547" t="s">
        <v>77</v>
      </c>
    </row>
    <row r="10548" spans="1:22">
      <c r="A10548" t="str">
        <f t="shared" si="2004"/>
        <v>13/11/2025</v>
      </c>
      <c r="B10548" t="str">
        <f t="shared" si="2005"/>
        <v>SAÍDA</v>
      </c>
      <c r="C10548" t="str">
        <f t="shared" si="2006"/>
        <v>PIX</v>
      </c>
      <c r="D10548" t="str">
        <f>"24709"</f>
        <v>24709</v>
      </c>
      <c r="E10548" t="str">
        <f t="shared" si="2008"/>
        <v>1</v>
      </c>
      <c r="F10548" t="str">
        <f t="shared" si="1996"/>
        <v>COM</v>
      </c>
      <c r="G10548" t="str">
        <f>"GUSTAVO SILVA LIMA (771)"</f>
        <v>GUSTAVO SILVA LIMA (771)</v>
      </c>
      <c r="H10548" t="s">
        <v>2845</v>
      </c>
      <c r="I10548" t="str">
        <f t="shared" si="2007"/>
        <v>13/11/2025</v>
      </c>
      <c r="J10548" t="str">
        <f t="shared" si="2009"/>
        <v>04/11/2025</v>
      </c>
      <c r="K10548">
        <v>45974</v>
      </c>
      <c r="N10548">
        <v>109</v>
      </c>
      <c r="O10548" t="s">
        <v>24</v>
      </c>
      <c r="Q10548">
        <v>634</v>
      </c>
      <c r="R10548" t="str">
        <f>"FARMÁCIA INDIANA LJ 65 (10030)"</f>
        <v>FARMÁCIA INDIANA LJ 65 (10030)</v>
      </c>
      <c r="S10548" t="s">
        <v>77</v>
      </c>
      <c r="T10548">
        <v>21585</v>
      </c>
      <c r="U10548">
        <v>24709</v>
      </c>
      <c r="V10548" t="s">
        <v>77</v>
      </c>
    </row>
    <row r="10549" spans="1:22">
      <c r="A10549" t="str">
        <f t="shared" si="2004"/>
        <v>13/11/2025</v>
      </c>
      <c r="B10549" t="str">
        <f t="shared" si="2005"/>
        <v>SAÍDA</v>
      </c>
      <c r="C10549" t="str">
        <f t="shared" si="2006"/>
        <v>PIX</v>
      </c>
      <c r="D10549" t="str">
        <f>"24710"</f>
        <v>24710</v>
      </c>
      <c r="E10549" t="str">
        <f t="shared" si="2008"/>
        <v>1</v>
      </c>
      <c r="F10549" t="str">
        <f t="shared" si="1996"/>
        <v>COM</v>
      </c>
      <c r="G10549" t="str">
        <f>"JALDENIR MENDES DOS SANTOS (167)"</f>
        <v>JALDENIR MENDES DOS SANTOS (167)</v>
      </c>
      <c r="H10549" t="str">
        <f>"Serv.Prest. 24/10/2025 a 02/11/2025 - PIX: CPF - CHAVE: 439.169.103-53"</f>
        <v>Serv.Prest. 24/10/2025 a 02/11/2025 - PIX: CPF - CHAVE: 439.169.103-53</v>
      </c>
      <c r="I10549" t="str">
        <f t="shared" si="2007"/>
        <v>13/11/2025</v>
      </c>
      <c r="J10549" t="str">
        <f t="shared" si="2009"/>
        <v>04/11/2025</v>
      </c>
      <c r="K10549" t="str">
        <f>("13/11/2025")</f>
        <v>13/11/2025</v>
      </c>
      <c r="L10549">
        <v>1199.75</v>
      </c>
      <c r="M10549">
        <v>1199.75</v>
      </c>
      <c r="N10549">
        <v>109</v>
      </c>
      <c r="O10549" t="str">
        <f>"PAGAMENTO DE ENTREGADORES"</f>
        <v>PAGAMENTO DE ENTREGADORES</v>
      </c>
      <c r="P10549">
        <v>1199.75</v>
      </c>
      <c r="S10549" t="str">
        <f>"BANCO C6 (149)"</f>
        <v>BANCO C6 (149)</v>
      </c>
      <c r="T10549">
        <v>21586</v>
      </c>
      <c r="U10549">
        <v>24710</v>
      </c>
      <c r="V10549" t="s">
        <v>77</v>
      </c>
    </row>
    <row r="10550" spans="1:22">
      <c r="A10550" t="str">
        <f t="shared" si="2004"/>
        <v>13/11/2025</v>
      </c>
      <c r="B10550" t="str">
        <f t="shared" si="2005"/>
        <v>SAÍDA</v>
      </c>
      <c r="C10550" t="str">
        <f t="shared" si="2006"/>
        <v>PIX</v>
      </c>
      <c r="D10550" t="str">
        <f>"24710"</f>
        <v>24710</v>
      </c>
      <c r="E10550" t="str">
        <f t="shared" si="2008"/>
        <v>1</v>
      </c>
      <c r="F10550" t="str">
        <f t="shared" si="1996"/>
        <v>COM</v>
      </c>
      <c r="G10550" t="str">
        <f>"JALDENIR MENDES DOS SANTOS (167)"</f>
        <v>JALDENIR MENDES DOS SANTOS (167)</v>
      </c>
      <c r="H10550" t="s">
        <v>2849</v>
      </c>
      <c r="I10550" t="str">
        <f t="shared" si="2007"/>
        <v>13/11/2025</v>
      </c>
      <c r="J10550" t="str">
        <f t="shared" si="2009"/>
        <v>04/11/2025</v>
      </c>
      <c r="K10550">
        <v>45974</v>
      </c>
      <c r="N10550">
        <v>109</v>
      </c>
      <c r="O10550" t="s">
        <v>24</v>
      </c>
      <c r="Q10550">
        <v>1199.75</v>
      </c>
      <c r="R10550" t="str">
        <f>"FARMÁCIA INDIANA LJ 34 (10014)"</f>
        <v>FARMÁCIA INDIANA LJ 34 (10014)</v>
      </c>
      <c r="S10550" t="s">
        <v>77</v>
      </c>
      <c r="T10550">
        <v>21586</v>
      </c>
      <c r="U10550">
        <v>24710</v>
      </c>
      <c r="V10550" t="s">
        <v>77</v>
      </c>
    </row>
    <row r="10551" spans="1:22">
      <c r="A10551" t="str">
        <f t="shared" si="2004"/>
        <v>13/11/2025</v>
      </c>
      <c r="B10551" t="str">
        <f t="shared" si="2005"/>
        <v>SAÍDA</v>
      </c>
      <c r="C10551" t="str">
        <f t="shared" si="2006"/>
        <v>PIX</v>
      </c>
      <c r="D10551" t="str">
        <f>"24711"</f>
        <v>24711</v>
      </c>
      <c r="E10551" t="str">
        <f t="shared" si="2008"/>
        <v>1</v>
      </c>
      <c r="F10551" t="str">
        <f t="shared" ref="F10551:F10614" si="2010">"COM"</f>
        <v>COM</v>
      </c>
      <c r="G10551" t="str">
        <f>"JARLES DE SOUZA PEREIRA (109)"</f>
        <v>JARLES DE SOUZA PEREIRA (109)</v>
      </c>
      <c r="H10551" t="str">
        <f>"Serv.Prest. 24/10/2025 a 02/11/2025 - PIX: CELULAR - CHAVE: (73) 99115-9602"</f>
        <v>Serv.Prest. 24/10/2025 a 02/11/2025 - PIX: CELULAR - CHAVE: (73) 99115-9602</v>
      </c>
      <c r="I10551" t="str">
        <f t="shared" si="2007"/>
        <v>13/11/2025</v>
      </c>
      <c r="J10551" t="str">
        <f t="shared" si="2009"/>
        <v>04/11/2025</v>
      </c>
      <c r="K10551" t="str">
        <f>("13/11/2025")</f>
        <v>13/11/2025</v>
      </c>
      <c r="L10551">
        <v>654</v>
      </c>
      <c r="M10551">
        <v>654</v>
      </c>
      <c r="N10551">
        <v>109</v>
      </c>
      <c r="O10551" t="str">
        <f>"PAGAMENTO DE ENTREGADORES"</f>
        <v>PAGAMENTO DE ENTREGADORES</v>
      </c>
      <c r="P10551">
        <v>654</v>
      </c>
      <c r="S10551" t="str">
        <f>"BANCO C6 (149)"</f>
        <v>BANCO C6 (149)</v>
      </c>
      <c r="T10551">
        <v>21587</v>
      </c>
      <c r="U10551">
        <v>24711</v>
      </c>
      <c r="V10551" t="s">
        <v>77</v>
      </c>
    </row>
    <row r="10552" spans="1:22">
      <c r="A10552" t="str">
        <f t="shared" si="2004"/>
        <v>13/11/2025</v>
      </c>
      <c r="B10552" t="str">
        <f t="shared" si="2005"/>
        <v>SAÍDA</v>
      </c>
      <c r="C10552" t="str">
        <f t="shared" si="2006"/>
        <v>PIX</v>
      </c>
      <c r="D10552" t="str">
        <f>"24711"</f>
        <v>24711</v>
      </c>
      <c r="E10552" t="str">
        <f t="shared" si="2008"/>
        <v>1</v>
      </c>
      <c r="F10552" t="str">
        <f t="shared" si="2010"/>
        <v>COM</v>
      </c>
      <c r="G10552" t="str">
        <f>"JARLES DE SOUZA PEREIRA (109)"</f>
        <v>JARLES DE SOUZA PEREIRA (109)</v>
      </c>
      <c r="H10552" t="s">
        <v>2945</v>
      </c>
      <c r="I10552" t="str">
        <f t="shared" si="2007"/>
        <v>13/11/2025</v>
      </c>
      <c r="J10552" t="str">
        <f t="shared" si="2009"/>
        <v>04/11/2025</v>
      </c>
      <c r="K10552">
        <v>45974</v>
      </c>
      <c r="N10552">
        <v>109</v>
      </c>
      <c r="O10552" t="s">
        <v>24</v>
      </c>
      <c r="Q10552">
        <v>69.59</v>
      </c>
      <c r="R10552" t="str">
        <f>"FARMÁCIA INDIANA LJ 65 (10030)"</f>
        <v>FARMÁCIA INDIANA LJ 65 (10030)</v>
      </c>
      <c r="S10552" t="s">
        <v>77</v>
      </c>
      <c r="T10552">
        <v>21587</v>
      </c>
      <c r="U10552">
        <v>24711</v>
      </c>
      <c r="V10552" t="s">
        <v>77</v>
      </c>
    </row>
    <row r="10553" spans="1:22">
      <c r="A10553" t="str">
        <f t="shared" si="2004"/>
        <v>13/11/2025</v>
      </c>
      <c r="B10553" t="str">
        <f t="shared" si="2005"/>
        <v>SAÍDA</v>
      </c>
      <c r="C10553" t="str">
        <f t="shared" si="2006"/>
        <v>PIX</v>
      </c>
      <c r="D10553" t="str">
        <f>"24711"</f>
        <v>24711</v>
      </c>
      <c r="E10553" t="str">
        <f t="shared" si="2008"/>
        <v>1</v>
      </c>
      <c r="F10553" t="str">
        <f t="shared" si="2010"/>
        <v>COM</v>
      </c>
      <c r="G10553" t="str">
        <f>"JARLES DE SOUZA PEREIRA (109)"</f>
        <v>JARLES DE SOUZA PEREIRA (109)</v>
      </c>
      <c r="H10553" t="s">
        <v>2945</v>
      </c>
      <c r="I10553" t="str">
        <f t="shared" si="2007"/>
        <v>13/11/2025</v>
      </c>
      <c r="J10553" t="str">
        <f t="shared" si="2009"/>
        <v>04/11/2025</v>
      </c>
      <c r="K10553">
        <v>45974</v>
      </c>
      <c r="N10553">
        <v>109</v>
      </c>
      <c r="O10553" t="s">
        <v>24</v>
      </c>
      <c r="Q10553">
        <v>584.41</v>
      </c>
      <c r="R10553" t="str">
        <f>"FARMÁCIA INDIANA LJ 173 (10075)"</f>
        <v>FARMÁCIA INDIANA LJ 173 (10075)</v>
      </c>
      <c r="S10553" t="s">
        <v>77</v>
      </c>
      <c r="T10553">
        <v>21587</v>
      </c>
      <c r="U10553">
        <v>24711</v>
      </c>
      <c r="V10553" t="s">
        <v>77</v>
      </c>
    </row>
    <row r="10554" spans="1:22">
      <c r="A10554" t="str">
        <f t="shared" si="2004"/>
        <v>13/11/2025</v>
      </c>
      <c r="B10554" t="str">
        <f t="shared" si="2005"/>
        <v>SAÍDA</v>
      </c>
      <c r="C10554" t="str">
        <f t="shared" si="2006"/>
        <v>PIX</v>
      </c>
      <c r="D10554" t="str">
        <f>"24712"</f>
        <v>24712</v>
      </c>
      <c r="E10554" t="str">
        <f t="shared" si="2008"/>
        <v>1</v>
      </c>
      <c r="F10554" t="str">
        <f t="shared" si="2010"/>
        <v>COM</v>
      </c>
      <c r="G10554" t="str">
        <f>"JIRLANIA RODRIGUES DOS SANTOS (152)"</f>
        <v>JIRLANIA RODRIGUES DOS SANTOS (152)</v>
      </c>
      <c r="H10554" t="str">
        <f>"Serv.Prest. 24/10/2025 a 02/11/2025 - PIX: CPF - CHAVE: 035.018.455-02"</f>
        <v>Serv.Prest. 24/10/2025 a 02/11/2025 - PIX: CPF - CHAVE: 035.018.455-02</v>
      </c>
      <c r="I10554" t="str">
        <f t="shared" si="2007"/>
        <v>13/11/2025</v>
      </c>
      <c r="J10554" t="str">
        <f t="shared" si="2009"/>
        <v>04/11/2025</v>
      </c>
      <c r="K10554" t="str">
        <f>("13/11/2025")</f>
        <v>13/11/2025</v>
      </c>
      <c r="L10554">
        <v>935</v>
      </c>
      <c r="M10554">
        <v>935</v>
      </c>
      <c r="N10554">
        <v>109</v>
      </c>
      <c r="O10554" t="str">
        <f>"PAGAMENTO DE ENTREGADORES"</f>
        <v>PAGAMENTO DE ENTREGADORES</v>
      </c>
      <c r="P10554">
        <v>935</v>
      </c>
      <c r="S10554" t="str">
        <f>"BANCO C6 (149)"</f>
        <v>BANCO C6 (149)</v>
      </c>
      <c r="T10554">
        <v>21588</v>
      </c>
      <c r="U10554">
        <v>24712</v>
      </c>
      <c r="V10554" t="s">
        <v>77</v>
      </c>
    </row>
    <row r="10555" spans="1:22">
      <c r="A10555" t="str">
        <f t="shared" si="2004"/>
        <v>13/11/2025</v>
      </c>
      <c r="B10555" t="str">
        <f t="shared" si="2005"/>
        <v>SAÍDA</v>
      </c>
      <c r="C10555" t="str">
        <f t="shared" si="2006"/>
        <v>PIX</v>
      </c>
      <c r="D10555" t="str">
        <f>"24712"</f>
        <v>24712</v>
      </c>
      <c r="E10555" t="str">
        <f t="shared" si="2008"/>
        <v>1</v>
      </c>
      <c r="F10555" t="str">
        <f t="shared" si="2010"/>
        <v>COM</v>
      </c>
      <c r="G10555" t="str">
        <f>"JIRLANIA RODRIGUES DOS SANTOS (152)"</f>
        <v>JIRLANIA RODRIGUES DOS SANTOS (152)</v>
      </c>
      <c r="H10555" t="s">
        <v>2946</v>
      </c>
      <c r="I10555" t="str">
        <f t="shared" si="2007"/>
        <v>13/11/2025</v>
      </c>
      <c r="J10555" t="str">
        <f t="shared" si="2009"/>
        <v>04/11/2025</v>
      </c>
      <c r="K10555">
        <v>45974</v>
      </c>
      <c r="N10555">
        <v>109</v>
      </c>
      <c r="O10555" t="s">
        <v>24</v>
      </c>
      <c r="Q10555">
        <v>935</v>
      </c>
      <c r="R10555" t="str">
        <f>"FARMÁCIA INDIANA LJ 95 (10039)"</f>
        <v>FARMÁCIA INDIANA LJ 95 (10039)</v>
      </c>
      <c r="S10555" t="s">
        <v>77</v>
      </c>
      <c r="T10555">
        <v>21588</v>
      </c>
      <c r="U10555">
        <v>24712</v>
      </c>
      <c r="V10555" t="s">
        <v>77</v>
      </c>
    </row>
    <row r="10556" spans="1:22">
      <c r="A10556" t="str">
        <f t="shared" si="2004"/>
        <v>13/11/2025</v>
      </c>
      <c r="B10556" t="str">
        <f t="shared" si="2005"/>
        <v>SAÍDA</v>
      </c>
      <c r="C10556" t="str">
        <f t="shared" si="2006"/>
        <v>PIX</v>
      </c>
      <c r="D10556" t="str">
        <f>"24713"</f>
        <v>24713</v>
      </c>
      <c r="E10556" t="str">
        <f t="shared" si="2008"/>
        <v>1</v>
      </c>
      <c r="F10556" t="str">
        <f t="shared" si="2010"/>
        <v>COM</v>
      </c>
      <c r="G10556" t="str">
        <f>"JOAO PEDRO BRITO DE SOUZA (876)"</f>
        <v>JOAO PEDRO BRITO DE SOUZA (876)</v>
      </c>
      <c r="H10556" t="str">
        <f>"Serv.Prest. 24/10/2025 a 02/11/2025 - PIX: CPF - CHAVE: 860.305.455-07"</f>
        <v>Serv.Prest. 24/10/2025 a 02/11/2025 - PIX: CPF - CHAVE: 860.305.455-07</v>
      </c>
      <c r="I10556" t="str">
        <f t="shared" si="2007"/>
        <v>13/11/2025</v>
      </c>
      <c r="J10556" t="str">
        <f t="shared" si="2009"/>
        <v>04/11/2025</v>
      </c>
      <c r="K10556" t="str">
        <f>("13/11/2025")</f>
        <v>13/11/2025</v>
      </c>
      <c r="L10556">
        <v>1840</v>
      </c>
      <c r="M10556">
        <v>1840</v>
      </c>
      <c r="N10556">
        <v>109</v>
      </c>
      <c r="O10556" t="str">
        <f>"PAGAMENTO DE ENTREGADORES"</f>
        <v>PAGAMENTO DE ENTREGADORES</v>
      </c>
      <c r="P10556">
        <v>1840</v>
      </c>
      <c r="S10556" t="str">
        <f>"BANCO C6 (149)"</f>
        <v>BANCO C6 (149)</v>
      </c>
      <c r="T10556">
        <v>21589</v>
      </c>
      <c r="U10556">
        <v>24713</v>
      </c>
      <c r="V10556" t="s">
        <v>77</v>
      </c>
    </row>
    <row r="10557" spans="1:22">
      <c r="A10557" t="str">
        <f t="shared" si="2004"/>
        <v>13/11/2025</v>
      </c>
      <c r="B10557" t="str">
        <f t="shared" si="2005"/>
        <v>SAÍDA</v>
      </c>
      <c r="C10557" t="str">
        <f t="shared" si="2006"/>
        <v>PIX</v>
      </c>
      <c r="D10557" t="str">
        <f>"24713"</f>
        <v>24713</v>
      </c>
      <c r="E10557" t="str">
        <f t="shared" si="2008"/>
        <v>1</v>
      </c>
      <c r="F10557" t="str">
        <f t="shared" si="2010"/>
        <v>COM</v>
      </c>
      <c r="G10557" t="str">
        <f>"JOAO PEDRO BRITO DE SOUZA (876)"</f>
        <v>JOAO PEDRO BRITO DE SOUZA (876)</v>
      </c>
      <c r="H10557" t="s">
        <v>2856</v>
      </c>
      <c r="I10557" t="str">
        <f t="shared" si="2007"/>
        <v>13/11/2025</v>
      </c>
      <c r="J10557" t="str">
        <f t="shared" si="2009"/>
        <v>04/11/2025</v>
      </c>
      <c r="K10557">
        <v>45974</v>
      </c>
      <c r="N10557">
        <v>109</v>
      </c>
      <c r="O10557" t="s">
        <v>24</v>
      </c>
      <c r="Q10557">
        <v>1290.94</v>
      </c>
      <c r="R10557" t="str">
        <f>"FARMÁCIA INDIANA LJ 48 (10018)"</f>
        <v>FARMÁCIA INDIANA LJ 48 (10018)</v>
      </c>
      <c r="S10557" t="s">
        <v>77</v>
      </c>
      <c r="T10557">
        <v>21589</v>
      </c>
      <c r="U10557">
        <v>24713</v>
      </c>
      <c r="V10557" t="s">
        <v>77</v>
      </c>
    </row>
    <row r="10558" spans="1:22">
      <c r="A10558" t="str">
        <f t="shared" si="2004"/>
        <v>13/11/2025</v>
      </c>
      <c r="B10558" t="str">
        <f t="shared" si="2005"/>
        <v>SAÍDA</v>
      </c>
      <c r="C10558" t="str">
        <f t="shared" si="2006"/>
        <v>PIX</v>
      </c>
      <c r="D10558" t="str">
        <f>"24713"</f>
        <v>24713</v>
      </c>
      <c r="E10558" t="str">
        <f t="shared" si="2008"/>
        <v>1</v>
      </c>
      <c r="F10558" t="str">
        <f t="shared" si="2010"/>
        <v>COM</v>
      </c>
      <c r="G10558" t="str">
        <f>"JOAO PEDRO BRITO DE SOUZA (876)"</f>
        <v>JOAO PEDRO BRITO DE SOUZA (876)</v>
      </c>
      <c r="H10558" t="s">
        <v>2856</v>
      </c>
      <c r="I10558" t="str">
        <f t="shared" si="2007"/>
        <v>13/11/2025</v>
      </c>
      <c r="J10558" t="str">
        <f t="shared" si="2009"/>
        <v>04/11/2025</v>
      </c>
      <c r="K10558">
        <v>45974</v>
      </c>
      <c r="N10558">
        <v>109</v>
      </c>
      <c r="O10558" t="s">
        <v>24</v>
      </c>
      <c r="Q10558">
        <v>549.05999999999995</v>
      </c>
      <c r="R10558" t="str">
        <f>"FARMÁCIA INDIANA LJ 169 (10073)"</f>
        <v>FARMÁCIA INDIANA LJ 169 (10073)</v>
      </c>
      <c r="S10558" t="s">
        <v>77</v>
      </c>
      <c r="T10558">
        <v>21589</v>
      </c>
      <c r="U10558">
        <v>24713</v>
      </c>
      <c r="V10558" t="s">
        <v>77</v>
      </c>
    </row>
    <row r="10559" spans="1:22">
      <c r="A10559" t="str">
        <f t="shared" si="2004"/>
        <v>13/11/2025</v>
      </c>
      <c r="B10559" t="str">
        <f t="shared" si="2005"/>
        <v>SAÍDA</v>
      </c>
      <c r="C10559" t="str">
        <f t="shared" si="2006"/>
        <v>PIX</v>
      </c>
      <c r="D10559" t="str">
        <f>"24714"</f>
        <v>24714</v>
      </c>
      <c r="E10559" t="str">
        <f t="shared" si="2008"/>
        <v>1</v>
      </c>
      <c r="F10559" t="str">
        <f t="shared" si="2010"/>
        <v>COM</v>
      </c>
      <c r="G10559" t="str">
        <f>"JOSE MARIO MENEZES DA CRUZ (941)"</f>
        <v>JOSE MARIO MENEZES DA CRUZ (941)</v>
      </c>
      <c r="H10559" t="str">
        <f>"Serv.Prest. 24/10/2025 a 02/11/2025 - PIX: CPF - CHAVE: 009.476.175-23"</f>
        <v>Serv.Prest. 24/10/2025 a 02/11/2025 - PIX: CPF - CHAVE: 009.476.175-23</v>
      </c>
      <c r="I10559" t="str">
        <f t="shared" si="2007"/>
        <v>13/11/2025</v>
      </c>
      <c r="J10559" t="str">
        <f t="shared" si="2009"/>
        <v>04/11/2025</v>
      </c>
      <c r="K10559" t="str">
        <f>("13/11/2025")</f>
        <v>13/11/2025</v>
      </c>
      <c r="L10559">
        <v>870</v>
      </c>
      <c r="M10559">
        <v>870</v>
      </c>
      <c r="N10559">
        <v>109</v>
      </c>
      <c r="O10559" t="str">
        <f>"PAGAMENTO DE ENTREGADORES"</f>
        <v>PAGAMENTO DE ENTREGADORES</v>
      </c>
      <c r="P10559">
        <v>870</v>
      </c>
      <c r="S10559" t="str">
        <f>"BANCO C6 (149)"</f>
        <v>BANCO C6 (149)</v>
      </c>
      <c r="T10559">
        <v>21590</v>
      </c>
      <c r="U10559">
        <v>24714</v>
      </c>
      <c r="V10559" t="s">
        <v>77</v>
      </c>
    </row>
    <row r="10560" spans="1:22">
      <c r="A10560" t="str">
        <f t="shared" si="2004"/>
        <v>13/11/2025</v>
      </c>
      <c r="B10560" t="str">
        <f t="shared" si="2005"/>
        <v>SAÍDA</v>
      </c>
      <c r="C10560" t="str">
        <f t="shared" si="2006"/>
        <v>PIX</v>
      </c>
      <c r="D10560" t="str">
        <f>"24714"</f>
        <v>24714</v>
      </c>
      <c r="E10560" t="str">
        <f t="shared" si="2008"/>
        <v>1</v>
      </c>
      <c r="F10560" t="str">
        <f t="shared" si="2010"/>
        <v>COM</v>
      </c>
      <c r="G10560" t="str">
        <f>"JOSE MARIO MENEZES DA CRUZ (941)"</f>
        <v>JOSE MARIO MENEZES DA CRUZ (941)</v>
      </c>
      <c r="H10560" t="s">
        <v>2947</v>
      </c>
      <c r="I10560" t="str">
        <f t="shared" si="2007"/>
        <v>13/11/2025</v>
      </c>
      <c r="J10560" t="str">
        <f t="shared" si="2009"/>
        <v>04/11/2025</v>
      </c>
      <c r="K10560">
        <v>45974</v>
      </c>
      <c r="N10560">
        <v>109</v>
      </c>
      <c r="O10560" t="s">
        <v>24</v>
      </c>
      <c r="Q10560">
        <v>870</v>
      </c>
      <c r="R10560" t="str">
        <f>"FARMÁCIA INDIANA LJ 33 (10187)"</f>
        <v>FARMÁCIA INDIANA LJ 33 (10187)</v>
      </c>
      <c r="S10560" t="s">
        <v>77</v>
      </c>
      <c r="T10560">
        <v>21590</v>
      </c>
      <c r="U10560">
        <v>24714</v>
      </c>
      <c r="V10560" t="s">
        <v>77</v>
      </c>
    </row>
    <row r="10561" spans="1:22">
      <c r="A10561" t="str">
        <f t="shared" si="2004"/>
        <v>13/11/2025</v>
      </c>
      <c r="B10561" t="str">
        <f t="shared" si="2005"/>
        <v>SAÍDA</v>
      </c>
      <c r="C10561" t="str">
        <f t="shared" si="2006"/>
        <v>PIX</v>
      </c>
      <c r="D10561" t="str">
        <f>"24715"</f>
        <v>24715</v>
      </c>
      <c r="E10561" t="str">
        <f t="shared" si="2008"/>
        <v>1</v>
      </c>
      <c r="F10561" t="str">
        <f t="shared" si="2010"/>
        <v>COM</v>
      </c>
      <c r="G10561" t="str">
        <f>"JUNIO SOUZA SILVA (610)"</f>
        <v>JUNIO SOUZA SILVA (610)</v>
      </c>
      <c r="H10561" t="str">
        <f>"Serv.Prest. 24/10/2025 a 02/11/2025 - PIX: CELULAR - CHAVE: (73) 98105-2187"</f>
        <v>Serv.Prest. 24/10/2025 a 02/11/2025 - PIX: CELULAR - CHAVE: (73) 98105-2187</v>
      </c>
      <c r="I10561" t="str">
        <f t="shared" si="2007"/>
        <v>13/11/2025</v>
      </c>
      <c r="J10561" t="str">
        <f t="shared" si="2009"/>
        <v>04/11/2025</v>
      </c>
      <c r="K10561" t="str">
        <f>("13/11/2025")</f>
        <v>13/11/2025</v>
      </c>
      <c r="L10561">
        <v>580</v>
      </c>
      <c r="M10561">
        <v>580</v>
      </c>
      <c r="N10561">
        <v>109</v>
      </c>
      <c r="O10561" t="str">
        <f>"PAGAMENTO DE ENTREGADORES"</f>
        <v>PAGAMENTO DE ENTREGADORES</v>
      </c>
      <c r="P10561">
        <v>580</v>
      </c>
      <c r="S10561" t="str">
        <f>"BANCO C6 (149)"</f>
        <v>BANCO C6 (149)</v>
      </c>
      <c r="T10561">
        <v>21591</v>
      </c>
      <c r="U10561">
        <v>24715</v>
      </c>
      <c r="V10561" t="s">
        <v>77</v>
      </c>
    </row>
    <row r="10562" spans="1:22">
      <c r="A10562" t="str">
        <f t="shared" si="2004"/>
        <v>13/11/2025</v>
      </c>
      <c r="B10562" t="str">
        <f t="shared" si="2005"/>
        <v>SAÍDA</v>
      </c>
      <c r="C10562" t="str">
        <f t="shared" si="2006"/>
        <v>PIX</v>
      </c>
      <c r="D10562" t="str">
        <f>"24715"</f>
        <v>24715</v>
      </c>
      <c r="E10562" t="str">
        <f t="shared" si="2008"/>
        <v>1</v>
      </c>
      <c r="F10562" t="str">
        <f t="shared" si="2010"/>
        <v>COM</v>
      </c>
      <c r="G10562" t="str">
        <f>"JUNIO SOUZA SILVA (610)"</f>
        <v>JUNIO SOUZA SILVA (610)</v>
      </c>
      <c r="H10562" t="s">
        <v>2860</v>
      </c>
      <c r="I10562" t="str">
        <f t="shared" si="2007"/>
        <v>13/11/2025</v>
      </c>
      <c r="J10562" t="str">
        <f t="shared" si="2009"/>
        <v>04/11/2025</v>
      </c>
      <c r="K10562">
        <v>45974</v>
      </c>
      <c r="N10562">
        <v>109</v>
      </c>
      <c r="O10562" t="s">
        <v>24</v>
      </c>
      <c r="Q10562">
        <v>580</v>
      </c>
      <c r="R10562" t="str">
        <f>"FARMÁCIA INDIANA LJ 77 (10034)"</f>
        <v>FARMÁCIA INDIANA LJ 77 (10034)</v>
      </c>
      <c r="S10562" t="s">
        <v>77</v>
      </c>
      <c r="T10562">
        <v>21591</v>
      </c>
      <c r="U10562">
        <v>24715</v>
      </c>
      <c r="V10562" t="s">
        <v>77</v>
      </c>
    </row>
    <row r="10563" spans="1:22">
      <c r="A10563" t="str">
        <f t="shared" si="2004"/>
        <v>13/11/2025</v>
      </c>
      <c r="B10563" t="str">
        <f t="shared" si="2005"/>
        <v>SAÍDA</v>
      </c>
      <c r="C10563" t="str">
        <f t="shared" si="2006"/>
        <v>PIX</v>
      </c>
      <c r="D10563" t="str">
        <f>"24716"</f>
        <v>24716</v>
      </c>
      <c r="E10563" t="str">
        <f t="shared" si="2008"/>
        <v>1</v>
      </c>
      <c r="F10563" t="str">
        <f t="shared" si="2010"/>
        <v>COM</v>
      </c>
      <c r="G10563" t="str">
        <f>"KHENNEDY DAVY DOS SANTOS SILVA (692)"</f>
        <v>KHENNEDY DAVY DOS SANTOS SILVA (692)</v>
      </c>
      <c r="H10563" t="str">
        <f>"Serv.Prest. 24/10/2025 a 02/11/2025 - PIX: CPF - CHAVE: 094.700.685-05"</f>
        <v>Serv.Prest. 24/10/2025 a 02/11/2025 - PIX: CPF - CHAVE: 094.700.685-05</v>
      </c>
      <c r="I10563" t="str">
        <f t="shared" si="2007"/>
        <v>13/11/2025</v>
      </c>
      <c r="J10563" t="str">
        <f t="shared" si="2009"/>
        <v>04/11/2025</v>
      </c>
      <c r="K10563" t="str">
        <f>("13/11/2025")</f>
        <v>13/11/2025</v>
      </c>
      <c r="L10563">
        <v>634</v>
      </c>
      <c r="M10563">
        <v>634</v>
      </c>
      <c r="N10563">
        <v>109</v>
      </c>
      <c r="O10563" t="str">
        <f>"PAGAMENTO DE ENTREGADORES"</f>
        <v>PAGAMENTO DE ENTREGADORES</v>
      </c>
      <c r="P10563">
        <v>634</v>
      </c>
      <c r="S10563" t="str">
        <f>"BANCO C6 (149)"</f>
        <v>BANCO C6 (149)</v>
      </c>
      <c r="T10563">
        <v>21592</v>
      </c>
      <c r="U10563">
        <v>24716</v>
      </c>
      <c r="V10563" t="s">
        <v>77</v>
      </c>
    </row>
    <row r="10564" spans="1:22">
      <c r="A10564" t="str">
        <f t="shared" si="2004"/>
        <v>13/11/2025</v>
      </c>
      <c r="B10564" t="str">
        <f t="shared" si="2005"/>
        <v>SAÍDA</v>
      </c>
      <c r="C10564" t="str">
        <f t="shared" si="2006"/>
        <v>PIX</v>
      </c>
      <c r="D10564" t="str">
        <f>"24716"</f>
        <v>24716</v>
      </c>
      <c r="E10564" t="str">
        <f t="shared" si="2008"/>
        <v>1</v>
      </c>
      <c r="F10564" t="str">
        <f t="shared" si="2010"/>
        <v>COM</v>
      </c>
      <c r="G10564" t="str">
        <f>"KHENNEDY DAVY DOS SANTOS SILVA (692)"</f>
        <v>KHENNEDY DAVY DOS SANTOS SILVA (692)</v>
      </c>
      <c r="H10564" t="s">
        <v>2862</v>
      </c>
      <c r="I10564" t="str">
        <f t="shared" si="2007"/>
        <v>13/11/2025</v>
      </c>
      <c r="J10564" t="str">
        <f t="shared" si="2009"/>
        <v>04/11/2025</v>
      </c>
      <c r="K10564">
        <v>45974</v>
      </c>
      <c r="N10564">
        <v>109</v>
      </c>
      <c r="O10564" t="s">
        <v>24</v>
      </c>
      <c r="Q10564">
        <v>441.9</v>
      </c>
      <c r="R10564" t="str">
        <f>"FARMÁCIA INDIANA LJ 65 (10030)"</f>
        <v>FARMÁCIA INDIANA LJ 65 (10030)</v>
      </c>
      <c r="S10564" t="s">
        <v>77</v>
      </c>
      <c r="T10564">
        <v>21592</v>
      </c>
      <c r="U10564">
        <v>24716</v>
      </c>
      <c r="V10564" t="s">
        <v>77</v>
      </c>
    </row>
    <row r="10565" spans="1:22">
      <c r="A10565" t="str">
        <f t="shared" si="2004"/>
        <v>13/11/2025</v>
      </c>
      <c r="B10565" t="str">
        <f t="shared" si="2005"/>
        <v>SAÍDA</v>
      </c>
      <c r="C10565" t="str">
        <f t="shared" si="2006"/>
        <v>PIX</v>
      </c>
      <c r="D10565" t="str">
        <f>"24716"</f>
        <v>24716</v>
      </c>
      <c r="E10565" t="str">
        <f t="shared" si="2008"/>
        <v>1</v>
      </c>
      <c r="F10565" t="str">
        <f t="shared" si="2010"/>
        <v>COM</v>
      </c>
      <c r="G10565" t="str">
        <f>"KHENNEDY DAVY DOS SANTOS SILVA (692)"</f>
        <v>KHENNEDY DAVY DOS SANTOS SILVA (692)</v>
      </c>
      <c r="H10565" t="s">
        <v>2862</v>
      </c>
      <c r="I10565" t="str">
        <f t="shared" si="2007"/>
        <v>13/11/2025</v>
      </c>
      <c r="J10565" t="str">
        <f t="shared" si="2009"/>
        <v>04/11/2025</v>
      </c>
      <c r="K10565">
        <v>45974</v>
      </c>
      <c r="N10565">
        <v>109</v>
      </c>
      <c r="O10565" t="s">
        <v>24</v>
      </c>
      <c r="Q10565">
        <v>192.1</v>
      </c>
      <c r="R10565" t="str">
        <f>"FARMÁCIA INDIANA LJ 173 (10075)"</f>
        <v>FARMÁCIA INDIANA LJ 173 (10075)</v>
      </c>
      <c r="S10565" t="s">
        <v>77</v>
      </c>
      <c r="T10565">
        <v>21592</v>
      </c>
      <c r="U10565">
        <v>24716</v>
      </c>
      <c r="V10565" t="s">
        <v>77</v>
      </c>
    </row>
    <row r="10566" spans="1:22">
      <c r="A10566" t="str">
        <f t="shared" si="2004"/>
        <v>13/11/2025</v>
      </c>
      <c r="B10566" t="str">
        <f t="shared" si="2005"/>
        <v>SAÍDA</v>
      </c>
      <c r="C10566" t="str">
        <f t="shared" si="2006"/>
        <v>PIX</v>
      </c>
      <c r="D10566" t="str">
        <f>"24717"</f>
        <v>24717</v>
      </c>
      <c r="E10566" t="str">
        <f t="shared" si="2008"/>
        <v>1</v>
      </c>
      <c r="F10566" t="str">
        <f t="shared" si="2010"/>
        <v>COM</v>
      </c>
      <c r="G10566" t="str">
        <f>"LEONARDO MERCÊS CAJAZEIRAS (235)"</f>
        <v>LEONARDO MERCÊS CAJAZEIRAS (235)</v>
      </c>
      <c r="H10566" t="str">
        <f>"Serv.Prest. 24/10/2025 a 02/11/2025 - PIX: CELULAR - CHAVE: (73) 99803-0715"</f>
        <v>Serv.Prest. 24/10/2025 a 02/11/2025 - PIX: CELULAR - CHAVE: (73) 99803-0715</v>
      </c>
      <c r="I10566" t="str">
        <f t="shared" si="2007"/>
        <v>13/11/2025</v>
      </c>
      <c r="J10566" t="str">
        <f t="shared" si="2009"/>
        <v>04/11/2025</v>
      </c>
      <c r="K10566" t="str">
        <f>("13/11/2025")</f>
        <v>13/11/2025</v>
      </c>
      <c r="L10566">
        <v>580</v>
      </c>
      <c r="M10566">
        <v>580</v>
      </c>
      <c r="N10566">
        <v>109</v>
      </c>
      <c r="O10566" t="str">
        <f>"PAGAMENTO DE ENTREGADORES"</f>
        <v>PAGAMENTO DE ENTREGADORES</v>
      </c>
      <c r="P10566">
        <v>580</v>
      </c>
      <c r="S10566" t="str">
        <f>"BANCO C6 (149)"</f>
        <v>BANCO C6 (149)</v>
      </c>
      <c r="T10566">
        <v>21593</v>
      </c>
      <c r="U10566">
        <v>24717</v>
      </c>
      <c r="V10566" t="s">
        <v>77</v>
      </c>
    </row>
    <row r="10567" spans="1:22">
      <c r="A10567" t="str">
        <f t="shared" si="2004"/>
        <v>13/11/2025</v>
      </c>
      <c r="B10567" t="str">
        <f t="shared" si="2005"/>
        <v>SAÍDA</v>
      </c>
      <c r="C10567" t="str">
        <f t="shared" si="2006"/>
        <v>PIX</v>
      </c>
      <c r="D10567" t="str">
        <f>"24717"</f>
        <v>24717</v>
      </c>
      <c r="E10567" t="str">
        <f t="shared" si="2008"/>
        <v>1</v>
      </c>
      <c r="F10567" t="str">
        <f t="shared" si="2010"/>
        <v>COM</v>
      </c>
      <c r="G10567" t="str">
        <f>"LEONARDO MERCÊS CAJAZEIRAS (235)"</f>
        <v>LEONARDO MERCÊS CAJAZEIRAS (235)</v>
      </c>
      <c r="H10567" t="s">
        <v>2863</v>
      </c>
      <c r="I10567" t="str">
        <f t="shared" si="2007"/>
        <v>13/11/2025</v>
      </c>
      <c r="J10567" t="str">
        <f t="shared" si="2009"/>
        <v>04/11/2025</v>
      </c>
      <c r="K10567">
        <v>45974</v>
      </c>
      <c r="N10567">
        <v>109</v>
      </c>
      <c r="O10567" t="s">
        <v>24</v>
      </c>
      <c r="Q10567">
        <v>580</v>
      </c>
      <c r="R10567" t="str">
        <f>"FARMÁCIA INDIANA LJ 35 (10015)"</f>
        <v>FARMÁCIA INDIANA LJ 35 (10015)</v>
      </c>
      <c r="S10567" t="s">
        <v>77</v>
      </c>
      <c r="T10567">
        <v>21593</v>
      </c>
      <c r="U10567">
        <v>24717</v>
      </c>
      <c r="V10567" t="s">
        <v>77</v>
      </c>
    </row>
    <row r="10568" spans="1:22">
      <c r="A10568" t="str">
        <f t="shared" si="2004"/>
        <v>13/11/2025</v>
      </c>
      <c r="B10568" t="str">
        <f t="shared" si="2005"/>
        <v>SAÍDA</v>
      </c>
      <c r="C10568" t="str">
        <f t="shared" si="2006"/>
        <v>PIX</v>
      </c>
      <c r="D10568" t="str">
        <f>"24718"</f>
        <v>24718</v>
      </c>
      <c r="E10568" t="str">
        <f t="shared" si="2008"/>
        <v>1</v>
      </c>
      <c r="F10568" t="str">
        <f t="shared" si="2010"/>
        <v>COM</v>
      </c>
      <c r="G10568" t="str">
        <f>"LUCAS MOREIRA PEREIRA (153)"</f>
        <v>LUCAS MOREIRA PEREIRA (153)</v>
      </c>
      <c r="H10568" t="str">
        <f>"Serv.Prest. 24/10/2025 a 02/11/2025 - PIX: CELULAR - CHAVE: (73) 99967-3239"</f>
        <v>Serv.Prest. 24/10/2025 a 02/11/2025 - PIX: CELULAR - CHAVE: (73) 99967-3239</v>
      </c>
      <c r="I10568" t="str">
        <f t="shared" si="2007"/>
        <v>13/11/2025</v>
      </c>
      <c r="J10568" t="str">
        <f t="shared" si="2009"/>
        <v>04/11/2025</v>
      </c>
      <c r="K10568" t="str">
        <f>("13/11/2025")</f>
        <v>13/11/2025</v>
      </c>
      <c r="L10568">
        <v>2060</v>
      </c>
      <c r="M10568">
        <v>2060</v>
      </c>
      <c r="N10568">
        <v>109</v>
      </c>
      <c r="O10568" t="str">
        <f>"PAGAMENTO DE ENTREGADORES"</f>
        <v>PAGAMENTO DE ENTREGADORES</v>
      </c>
      <c r="P10568">
        <v>2060</v>
      </c>
      <c r="S10568" t="str">
        <f>"BANCO C6 (149)"</f>
        <v>BANCO C6 (149)</v>
      </c>
      <c r="T10568">
        <v>21594</v>
      </c>
      <c r="U10568">
        <v>24718</v>
      </c>
      <c r="V10568" t="s">
        <v>77</v>
      </c>
    </row>
    <row r="10569" spans="1:22">
      <c r="A10569" t="str">
        <f t="shared" si="2004"/>
        <v>13/11/2025</v>
      </c>
      <c r="B10569" t="str">
        <f t="shared" si="2005"/>
        <v>SAÍDA</v>
      </c>
      <c r="C10569" t="str">
        <f t="shared" si="2006"/>
        <v>PIX</v>
      </c>
      <c r="D10569" t="str">
        <f>"24718"</f>
        <v>24718</v>
      </c>
      <c r="E10569" t="str">
        <f t="shared" si="2008"/>
        <v>1</v>
      </c>
      <c r="F10569" t="str">
        <f t="shared" si="2010"/>
        <v>COM</v>
      </c>
      <c r="G10569" t="str">
        <f>"LUCAS MOREIRA PEREIRA (153)"</f>
        <v>LUCAS MOREIRA PEREIRA (153)</v>
      </c>
      <c r="H10569" t="s">
        <v>2867</v>
      </c>
      <c r="I10569" t="str">
        <f t="shared" si="2007"/>
        <v>13/11/2025</v>
      </c>
      <c r="J10569" t="str">
        <f t="shared" si="2009"/>
        <v>04/11/2025</v>
      </c>
      <c r="K10569">
        <v>45974</v>
      </c>
      <c r="N10569">
        <v>109</v>
      </c>
      <c r="O10569" t="s">
        <v>24</v>
      </c>
      <c r="Q10569">
        <v>1426.14</v>
      </c>
      <c r="R10569" t="str">
        <f>"FARMÁCIA INDIANA LJ 48 (10018)"</f>
        <v>FARMÁCIA INDIANA LJ 48 (10018)</v>
      </c>
      <c r="S10569" t="s">
        <v>77</v>
      </c>
      <c r="T10569">
        <v>21594</v>
      </c>
      <c r="U10569">
        <v>24718</v>
      </c>
      <c r="V10569" t="s">
        <v>77</v>
      </c>
    </row>
    <row r="10570" spans="1:22">
      <c r="A10570" t="str">
        <f t="shared" si="2004"/>
        <v>13/11/2025</v>
      </c>
      <c r="B10570" t="str">
        <f t="shared" si="2005"/>
        <v>SAÍDA</v>
      </c>
      <c r="C10570" t="str">
        <f t="shared" si="2006"/>
        <v>PIX</v>
      </c>
      <c r="D10570" t="str">
        <f>"24718"</f>
        <v>24718</v>
      </c>
      <c r="E10570" t="str">
        <f t="shared" si="2008"/>
        <v>1</v>
      </c>
      <c r="F10570" t="str">
        <f t="shared" si="2010"/>
        <v>COM</v>
      </c>
      <c r="G10570" t="str">
        <f>"LUCAS MOREIRA PEREIRA (153)"</f>
        <v>LUCAS MOREIRA PEREIRA (153)</v>
      </c>
      <c r="H10570" t="s">
        <v>2867</v>
      </c>
      <c r="I10570" t="str">
        <f t="shared" si="2007"/>
        <v>13/11/2025</v>
      </c>
      <c r="J10570" t="str">
        <f t="shared" si="2009"/>
        <v>04/11/2025</v>
      </c>
      <c r="K10570">
        <v>45974</v>
      </c>
      <c r="N10570">
        <v>109</v>
      </c>
      <c r="O10570" t="s">
        <v>24</v>
      </c>
      <c r="Q10570">
        <v>633.86</v>
      </c>
      <c r="R10570" t="str">
        <f>"FARMÁCIA INDIANA LJ 169 (10073)"</f>
        <v>FARMÁCIA INDIANA LJ 169 (10073)</v>
      </c>
      <c r="S10570" t="s">
        <v>77</v>
      </c>
      <c r="T10570">
        <v>21594</v>
      </c>
      <c r="U10570">
        <v>24718</v>
      </c>
      <c r="V10570" t="s">
        <v>77</v>
      </c>
    </row>
    <row r="10571" spans="1:22">
      <c r="A10571" t="str">
        <f t="shared" si="2004"/>
        <v>13/11/2025</v>
      </c>
      <c r="B10571" t="str">
        <f t="shared" si="2005"/>
        <v>SAÍDA</v>
      </c>
      <c r="C10571" t="str">
        <f t="shared" si="2006"/>
        <v>PIX</v>
      </c>
      <c r="D10571" t="str">
        <f>"24719"</f>
        <v>24719</v>
      </c>
      <c r="E10571" t="str">
        <f t="shared" si="2008"/>
        <v>1</v>
      </c>
      <c r="F10571" t="str">
        <f t="shared" si="2010"/>
        <v>COM</v>
      </c>
      <c r="G10571" t="str">
        <f>"MARIA ILZA PEREIRA DOS SANTOS (618)"</f>
        <v>MARIA ILZA PEREIRA DOS SANTOS (618)</v>
      </c>
      <c r="H10571" t="str">
        <f>"Serv.Prest. 24/10/2025 a 02/11/2025 - PIX: CPF - CHAVE: 003.157.195-67"</f>
        <v>Serv.Prest. 24/10/2025 a 02/11/2025 - PIX: CPF - CHAVE: 003.157.195-67</v>
      </c>
      <c r="I10571" t="str">
        <f t="shared" si="2007"/>
        <v>13/11/2025</v>
      </c>
      <c r="J10571" t="str">
        <f t="shared" si="2009"/>
        <v>04/11/2025</v>
      </c>
      <c r="K10571" t="str">
        <f>("13/11/2025")</f>
        <v>13/11/2025</v>
      </c>
      <c r="L10571">
        <v>634</v>
      </c>
      <c r="M10571">
        <v>634</v>
      </c>
      <c r="N10571">
        <v>109</v>
      </c>
      <c r="O10571" t="str">
        <f>"PAGAMENTO DE ENTREGADORES"</f>
        <v>PAGAMENTO DE ENTREGADORES</v>
      </c>
      <c r="P10571">
        <v>634</v>
      </c>
      <c r="S10571" t="str">
        <f>"BANCO C6 (149)"</f>
        <v>BANCO C6 (149)</v>
      </c>
      <c r="T10571">
        <v>21595</v>
      </c>
      <c r="U10571">
        <v>24719</v>
      </c>
      <c r="V10571" t="s">
        <v>77</v>
      </c>
    </row>
    <row r="10572" spans="1:22">
      <c r="A10572" t="str">
        <f t="shared" si="2004"/>
        <v>13/11/2025</v>
      </c>
      <c r="B10572" t="str">
        <f t="shared" si="2005"/>
        <v>SAÍDA</v>
      </c>
      <c r="C10572" t="str">
        <f t="shared" si="2006"/>
        <v>PIX</v>
      </c>
      <c r="D10572" t="str">
        <f>"24719"</f>
        <v>24719</v>
      </c>
      <c r="E10572" t="str">
        <f t="shared" si="2008"/>
        <v>1</v>
      </c>
      <c r="F10572" t="str">
        <f t="shared" si="2010"/>
        <v>COM</v>
      </c>
      <c r="G10572" t="str">
        <f>"MARIA ILZA PEREIRA DOS SANTOS (618)"</f>
        <v>MARIA ILZA PEREIRA DOS SANTOS (618)</v>
      </c>
      <c r="H10572" t="s">
        <v>2875</v>
      </c>
      <c r="I10572" t="str">
        <f t="shared" si="2007"/>
        <v>13/11/2025</v>
      </c>
      <c r="J10572" t="str">
        <f t="shared" si="2009"/>
        <v>04/11/2025</v>
      </c>
      <c r="K10572">
        <v>45974</v>
      </c>
      <c r="N10572">
        <v>109</v>
      </c>
      <c r="O10572" t="s">
        <v>24</v>
      </c>
      <c r="Q10572">
        <v>583.28</v>
      </c>
      <c r="R10572" t="str">
        <f>"FARMÁCIA INDIANA LJ 65 (10030)"</f>
        <v>FARMÁCIA INDIANA LJ 65 (10030)</v>
      </c>
      <c r="S10572" t="s">
        <v>77</v>
      </c>
      <c r="T10572">
        <v>21595</v>
      </c>
      <c r="U10572">
        <v>24719</v>
      </c>
      <c r="V10572" t="s">
        <v>77</v>
      </c>
    </row>
    <row r="10573" spans="1:22">
      <c r="A10573" t="str">
        <f t="shared" si="2004"/>
        <v>13/11/2025</v>
      </c>
      <c r="B10573" t="str">
        <f t="shared" si="2005"/>
        <v>SAÍDA</v>
      </c>
      <c r="C10573" t="str">
        <f t="shared" si="2006"/>
        <v>PIX</v>
      </c>
      <c r="D10573" t="str">
        <f>"24719"</f>
        <v>24719</v>
      </c>
      <c r="E10573" t="str">
        <f t="shared" si="2008"/>
        <v>1</v>
      </c>
      <c r="F10573" t="str">
        <f t="shared" si="2010"/>
        <v>COM</v>
      </c>
      <c r="G10573" t="str">
        <f>"MARIA ILZA PEREIRA DOS SANTOS (618)"</f>
        <v>MARIA ILZA PEREIRA DOS SANTOS (618)</v>
      </c>
      <c r="H10573" t="s">
        <v>2875</v>
      </c>
      <c r="I10573" t="str">
        <f t="shared" si="2007"/>
        <v>13/11/2025</v>
      </c>
      <c r="J10573" t="str">
        <f t="shared" si="2009"/>
        <v>04/11/2025</v>
      </c>
      <c r="K10573">
        <v>45974</v>
      </c>
      <c r="N10573">
        <v>109</v>
      </c>
      <c r="O10573" t="s">
        <v>24</v>
      </c>
      <c r="Q10573">
        <v>50.72</v>
      </c>
      <c r="R10573" t="str">
        <f>"FARMÁCIA INDIANA LJ 173 (10075)"</f>
        <v>FARMÁCIA INDIANA LJ 173 (10075)</v>
      </c>
      <c r="S10573" t="s">
        <v>77</v>
      </c>
      <c r="T10573">
        <v>21595</v>
      </c>
      <c r="U10573">
        <v>24719</v>
      </c>
      <c r="V10573" t="s">
        <v>77</v>
      </c>
    </row>
    <row r="10574" spans="1:22">
      <c r="A10574" t="str">
        <f t="shared" si="2004"/>
        <v>13/11/2025</v>
      </c>
      <c r="B10574" t="str">
        <f t="shared" si="2005"/>
        <v>SAÍDA</v>
      </c>
      <c r="C10574" t="str">
        <f t="shared" si="2006"/>
        <v>PIX</v>
      </c>
      <c r="D10574" t="str">
        <f>"24720"</f>
        <v>24720</v>
      </c>
      <c r="E10574" t="str">
        <f t="shared" si="2008"/>
        <v>1</v>
      </c>
      <c r="F10574" t="str">
        <f t="shared" si="2010"/>
        <v>COM</v>
      </c>
      <c r="G10574" t="str">
        <f>"MOABIO AZEVEDO DOS SANTOS (131)"</f>
        <v>MOABIO AZEVEDO DOS SANTOS (131)</v>
      </c>
      <c r="H10574" t="str">
        <f>"Serv.Prest. 24/10/2025 a 02/11/2025 - PIX: CNPJ - CHAVE: 33.412.676/0001-41"</f>
        <v>Serv.Prest. 24/10/2025 a 02/11/2025 - PIX: CNPJ - CHAVE: 33.412.676/0001-41</v>
      </c>
      <c r="I10574" t="str">
        <f t="shared" si="2007"/>
        <v>13/11/2025</v>
      </c>
      <c r="J10574" t="str">
        <f t="shared" si="2009"/>
        <v>04/11/2025</v>
      </c>
      <c r="K10574" t="str">
        <f>("13/11/2025")</f>
        <v>13/11/2025</v>
      </c>
      <c r="L10574">
        <v>1410</v>
      </c>
      <c r="M10574">
        <v>1410</v>
      </c>
      <c r="N10574">
        <v>109</v>
      </c>
      <c r="O10574" t="str">
        <f>"PAGAMENTO DE ENTREGADORES"</f>
        <v>PAGAMENTO DE ENTREGADORES</v>
      </c>
      <c r="P10574">
        <v>1410</v>
      </c>
      <c r="S10574" t="str">
        <f>"BANCO C6 (149)"</f>
        <v>BANCO C6 (149)</v>
      </c>
      <c r="T10574">
        <v>21596</v>
      </c>
      <c r="U10574">
        <v>24720</v>
      </c>
      <c r="V10574" t="s">
        <v>77</v>
      </c>
    </row>
    <row r="10575" spans="1:22">
      <c r="A10575" t="str">
        <f t="shared" si="2004"/>
        <v>13/11/2025</v>
      </c>
      <c r="B10575" t="str">
        <f t="shared" si="2005"/>
        <v>SAÍDA</v>
      </c>
      <c r="C10575" t="str">
        <f t="shared" si="2006"/>
        <v>PIX</v>
      </c>
      <c r="D10575" t="str">
        <f>"24720"</f>
        <v>24720</v>
      </c>
      <c r="E10575" t="str">
        <f t="shared" si="2008"/>
        <v>1</v>
      </c>
      <c r="F10575" t="str">
        <f t="shared" si="2010"/>
        <v>COM</v>
      </c>
      <c r="G10575" t="str">
        <f>"MOABIO AZEVEDO DOS SANTOS (131)"</f>
        <v>MOABIO AZEVEDO DOS SANTOS (131)</v>
      </c>
      <c r="H10575" t="s">
        <v>2948</v>
      </c>
      <c r="I10575" t="str">
        <f t="shared" si="2007"/>
        <v>13/11/2025</v>
      </c>
      <c r="J10575" t="str">
        <f t="shared" si="2009"/>
        <v>04/11/2025</v>
      </c>
      <c r="K10575">
        <v>45974</v>
      </c>
      <c r="N10575">
        <v>109</v>
      </c>
      <c r="O10575" t="s">
        <v>24</v>
      </c>
      <c r="Q10575">
        <v>1410</v>
      </c>
      <c r="R10575" t="str">
        <f>"FARMÁCIA INDIANA LJ 91 (10037)"</f>
        <v>FARMÁCIA INDIANA LJ 91 (10037)</v>
      </c>
      <c r="S10575" t="s">
        <v>77</v>
      </c>
      <c r="T10575">
        <v>21596</v>
      </c>
      <c r="U10575">
        <v>24720</v>
      </c>
      <c r="V10575" t="s">
        <v>77</v>
      </c>
    </row>
    <row r="10576" spans="1:22">
      <c r="A10576" t="str">
        <f t="shared" si="2004"/>
        <v>13/11/2025</v>
      </c>
      <c r="B10576" t="str">
        <f t="shared" si="2005"/>
        <v>SAÍDA</v>
      </c>
      <c r="C10576" t="str">
        <f t="shared" si="2006"/>
        <v>PIX</v>
      </c>
      <c r="D10576" t="str">
        <f>"24721"</f>
        <v>24721</v>
      </c>
      <c r="E10576" t="str">
        <f t="shared" si="2008"/>
        <v>1</v>
      </c>
      <c r="F10576" t="str">
        <f t="shared" si="2010"/>
        <v>COM</v>
      </c>
      <c r="G10576" t="str">
        <f>"NATANAEL AZEVEDO DOS SANTOS (765)"</f>
        <v>NATANAEL AZEVEDO DOS SANTOS (765)</v>
      </c>
      <c r="H10576" t="str">
        <f>"Serv.Prest. 24/10/2025 a 02/11/2025 - PIX: CPF - CHAVE: 007.842.745-25"</f>
        <v>Serv.Prest. 24/10/2025 a 02/11/2025 - PIX: CPF - CHAVE: 007.842.745-25</v>
      </c>
      <c r="I10576" t="str">
        <f t="shared" si="2007"/>
        <v>13/11/2025</v>
      </c>
      <c r="J10576" t="str">
        <f t="shared" si="2009"/>
        <v>04/11/2025</v>
      </c>
      <c r="K10576" t="str">
        <f>("13/11/2025")</f>
        <v>13/11/2025</v>
      </c>
      <c r="L10576">
        <v>484</v>
      </c>
      <c r="M10576">
        <v>484</v>
      </c>
      <c r="N10576">
        <v>109</v>
      </c>
      <c r="O10576" t="str">
        <f>"PAGAMENTO DE ENTREGADORES"</f>
        <v>PAGAMENTO DE ENTREGADORES</v>
      </c>
      <c r="P10576">
        <v>484</v>
      </c>
      <c r="S10576" t="str">
        <f>"BANCO C6 (149)"</f>
        <v>BANCO C6 (149)</v>
      </c>
      <c r="T10576">
        <v>21597</v>
      </c>
      <c r="U10576">
        <v>24721</v>
      </c>
      <c r="V10576" t="s">
        <v>77</v>
      </c>
    </row>
    <row r="10577" spans="1:22">
      <c r="A10577" t="str">
        <f t="shared" si="2004"/>
        <v>13/11/2025</v>
      </c>
      <c r="B10577" t="str">
        <f t="shared" si="2005"/>
        <v>SAÍDA</v>
      </c>
      <c r="C10577" t="str">
        <f t="shared" si="2006"/>
        <v>PIX</v>
      </c>
      <c r="D10577" t="str">
        <f>"24721"</f>
        <v>24721</v>
      </c>
      <c r="E10577" t="str">
        <f t="shared" si="2008"/>
        <v>1</v>
      </c>
      <c r="F10577" t="str">
        <f t="shared" si="2010"/>
        <v>COM</v>
      </c>
      <c r="G10577" t="str">
        <f>"NATANAEL AZEVEDO DOS SANTOS (765)"</f>
        <v>NATANAEL AZEVEDO DOS SANTOS (765)</v>
      </c>
      <c r="H10577" t="s">
        <v>2745</v>
      </c>
      <c r="I10577" t="str">
        <f t="shared" si="2007"/>
        <v>13/11/2025</v>
      </c>
      <c r="J10577" t="str">
        <f t="shared" si="2009"/>
        <v>04/11/2025</v>
      </c>
      <c r="K10577">
        <v>45974</v>
      </c>
      <c r="N10577">
        <v>109</v>
      </c>
      <c r="O10577" t="s">
        <v>24</v>
      </c>
      <c r="Q10577">
        <v>484</v>
      </c>
      <c r="R10577" t="str">
        <f>"FARMÁCIA INDIANA LJ 91 (10037)"</f>
        <v>FARMÁCIA INDIANA LJ 91 (10037)</v>
      </c>
      <c r="S10577" t="s">
        <v>77</v>
      </c>
      <c r="T10577">
        <v>21597</v>
      </c>
      <c r="U10577">
        <v>24721</v>
      </c>
      <c r="V10577" t="s">
        <v>77</v>
      </c>
    </row>
    <row r="10578" spans="1:22">
      <c r="A10578" t="str">
        <f t="shared" si="2004"/>
        <v>13/11/2025</v>
      </c>
      <c r="B10578" t="str">
        <f t="shared" si="2005"/>
        <v>SAÍDA</v>
      </c>
      <c r="C10578" t="str">
        <f t="shared" si="2006"/>
        <v>PIX</v>
      </c>
      <c r="D10578" t="str">
        <f>"24722"</f>
        <v>24722</v>
      </c>
      <c r="E10578" t="str">
        <f t="shared" si="2008"/>
        <v>1</v>
      </c>
      <c r="F10578" t="str">
        <f t="shared" si="2010"/>
        <v>COM</v>
      </c>
      <c r="G10578" t="str">
        <f>"OSVALDO DOS SANTOS (163)"</f>
        <v>OSVALDO DOS SANTOS (163)</v>
      </c>
      <c r="H10578" t="str">
        <f>"Serv.Prest. 24/10/2025 a 02/11/2025 - PIX: CELULAR - CHAVE: (73) 99977-2721"</f>
        <v>Serv.Prest. 24/10/2025 a 02/11/2025 - PIX: CELULAR - CHAVE: (73) 99977-2721</v>
      </c>
      <c r="I10578" t="str">
        <f t="shared" si="2007"/>
        <v>13/11/2025</v>
      </c>
      <c r="J10578" t="str">
        <f t="shared" si="2009"/>
        <v>04/11/2025</v>
      </c>
      <c r="K10578" t="str">
        <f>("13/11/2025")</f>
        <v>13/11/2025</v>
      </c>
      <c r="L10578">
        <v>580</v>
      </c>
      <c r="M10578">
        <v>580</v>
      </c>
      <c r="N10578">
        <v>109</v>
      </c>
      <c r="O10578" t="str">
        <f>"PAGAMENTO DE ENTREGADORES"</f>
        <v>PAGAMENTO DE ENTREGADORES</v>
      </c>
      <c r="P10578">
        <v>580</v>
      </c>
      <c r="S10578" t="str">
        <f>"BANCO C6 (149)"</f>
        <v>BANCO C6 (149)</v>
      </c>
      <c r="T10578">
        <v>21598</v>
      </c>
      <c r="U10578">
        <v>24722</v>
      </c>
      <c r="V10578" t="s">
        <v>77</v>
      </c>
    </row>
    <row r="10579" spans="1:22">
      <c r="A10579" t="str">
        <f t="shared" si="2004"/>
        <v>13/11/2025</v>
      </c>
      <c r="B10579" t="str">
        <f t="shared" si="2005"/>
        <v>SAÍDA</v>
      </c>
      <c r="C10579" t="str">
        <f t="shared" si="2006"/>
        <v>PIX</v>
      </c>
      <c r="D10579" t="str">
        <f>"24722"</f>
        <v>24722</v>
      </c>
      <c r="E10579" t="str">
        <f t="shared" si="2008"/>
        <v>1</v>
      </c>
      <c r="F10579" t="str">
        <f t="shared" si="2010"/>
        <v>COM</v>
      </c>
      <c r="G10579" t="str">
        <f>"OSVALDO DOS SANTOS (163)"</f>
        <v>OSVALDO DOS SANTOS (163)</v>
      </c>
      <c r="H10579" t="s">
        <v>2880</v>
      </c>
      <c r="I10579" t="str">
        <f t="shared" si="2007"/>
        <v>13/11/2025</v>
      </c>
      <c r="J10579" t="str">
        <f t="shared" si="2009"/>
        <v>04/11/2025</v>
      </c>
      <c r="K10579">
        <v>45974</v>
      </c>
      <c r="N10579">
        <v>109</v>
      </c>
      <c r="O10579" t="s">
        <v>24</v>
      </c>
      <c r="Q10579">
        <v>580</v>
      </c>
      <c r="R10579" t="str">
        <f>"FARMÁCIA INDIANA LJ 35 (10015)"</f>
        <v>FARMÁCIA INDIANA LJ 35 (10015)</v>
      </c>
      <c r="S10579" t="s">
        <v>77</v>
      </c>
      <c r="T10579">
        <v>21598</v>
      </c>
      <c r="U10579">
        <v>24722</v>
      </c>
      <c r="V10579" t="s">
        <v>77</v>
      </c>
    </row>
    <row r="10580" spans="1:22">
      <c r="A10580" t="str">
        <f t="shared" si="2004"/>
        <v>13/11/2025</v>
      </c>
      <c r="B10580" t="str">
        <f t="shared" si="2005"/>
        <v>SAÍDA</v>
      </c>
      <c r="C10580" t="str">
        <f t="shared" si="2006"/>
        <v>PIX</v>
      </c>
      <c r="D10580" t="str">
        <f>"24725"</f>
        <v>24725</v>
      </c>
      <c r="E10580" t="str">
        <f t="shared" si="2008"/>
        <v>1</v>
      </c>
      <c r="F10580" t="str">
        <f t="shared" si="2010"/>
        <v>COM</v>
      </c>
      <c r="G10580" t="str">
        <f>"VINICIUS SANTOS PEREIRA (633)"</f>
        <v>VINICIUS SANTOS PEREIRA (633)</v>
      </c>
      <c r="H10580" t="str">
        <f>"Serv.Prest. 24/10/2025 a 02/11/2025 - PIX: CELULAR - CHAVE: (73) 99818-9718"</f>
        <v>Serv.Prest. 24/10/2025 a 02/11/2025 - PIX: CELULAR - CHAVE: (73) 99818-9718</v>
      </c>
      <c r="I10580" t="str">
        <f t="shared" si="2007"/>
        <v>13/11/2025</v>
      </c>
      <c r="J10580" t="str">
        <f t="shared" si="2009"/>
        <v>04/11/2025</v>
      </c>
      <c r="K10580" t="str">
        <f>("13/11/2025")</f>
        <v>13/11/2025</v>
      </c>
      <c r="L10580">
        <v>983</v>
      </c>
      <c r="M10580">
        <v>983</v>
      </c>
      <c r="N10580">
        <v>109</v>
      </c>
      <c r="O10580" t="str">
        <f>"PAGAMENTO DE ENTREGADORES"</f>
        <v>PAGAMENTO DE ENTREGADORES</v>
      </c>
      <c r="P10580">
        <v>983</v>
      </c>
      <c r="S10580" t="str">
        <f>"BANCO C6 (149)"</f>
        <v>BANCO C6 (149)</v>
      </c>
      <c r="T10580">
        <v>21599</v>
      </c>
      <c r="U10580">
        <v>24725</v>
      </c>
      <c r="V10580" t="s">
        <v>77</v>
      </c>
    </row>
    <row r="10581" spans="1:22">
      <c r="A10581" t="str">
        <f t="shared" si="2004"/>
        <v>13/11/2025</v>
      </c>
      <c r="B10581" t="str">
        <f t="shared" si="2005"/>
        <v>SAÍDA</v>
      </c>
      <c r="C10581" t="str">
        <f t="shared" si="2006"/>
        <v>PIX</v>
      </c>
      <c r="D10581" t="str">
        <f>"24725"</f>
        <v>24725</v>
      </c>
      <c r="E10581" t="str">
        <f t="shared" si="2008"/>
        <v>1</v>
      </c>
      <c r="F10581" t="str">
        <f t="shared" si="2010"/>
        <v>COM</v>
      </c>
      <c r="G10581" t="str">
        <f>"VINICIUS SANTOS PEREIRA (633)"</f>
        <v>VINICIUS SANTOS PEREIRA (633)</v>
      </c>
      <c r="H10581" t="s">
        <v>2898</v>
      </c>
      <c r="I10581" t="str">
        <f t="shared" si="2007"/>
        <v>13/11/2025</v>
      </c>
      <c r="J10581" t="str">
        <f t="shared" si="2009"/>
        <v>04/11/2025</v>
      </c>
      <c r="K10581">
        <v>45974</v>
      </c>
      <c r="N10581">
        <v>109</v>
      </c>
      <c r="O10581" t="s">
        <v>24</v>
      </c>
      <c r="Q10581">
        <v>983</v>
      </c>
      <c r="R10581" t="str">
        <f>"FARMÁCIA INDIANA LJ 95 (10039)"</f>
        <v>FARMÁCIA INDIANA LJ 95 (10039)</v>
      </c>
      <c r="S10581" t="s">
        <v>77</v>
      </c>
      <c r="T10581">
        <v>21599</v>
      </c>
      <c r="U10581">
        <v>24725</v>
      </c>
      <c r="V10581" t="s">
        <v>77</v>
      </c>
    </row>
    <row r="10582" spans="1:22">
      <c r="A10582" t="str">
        <f t="shared" si="2004"/>
        <v>13/11/2025</v>
      </c>
      <c r="B10582" t="str">
        <f t="shared" si="2005"/>
        <v>SAÍDA</v>
      </c>
      <c r="C10582" t="str">
        <f t="shared" si="2006"/>
        <v>PIX</v>
      </c>
      <c r="D10582" t="str">
        <f>"24726"</f>
        <v>24726</v>
      </c>
      <c r="E10582" t="str">
        <f t="shared" si="2008"/>
        <v>1</v>
      </c>
      <c r="F10582" t="str">
        <f t="shared" si="2010"/>
        <v>COM</v>
      </c>
      <c r="G10582" t="str">
        <f>"WESLEI GONÇALVES SANTOS (154)"</f>
        <v>WESLEI GONÇALVES SANTOS (154)</v>
      </c>
      <c r="H10582" t="str">
        <f>"Serv.Prest. 24/10/2025 a 02/11/2025 - PIX: CPF - CHAVE: 079.068.045-97"</f>
        <v>Serv.Prest. 24/10/2025 a 02/11/2025 - PIX: CPF - CHAVE: 079.068.045-97</v>
      </c>
      <c r="I10582" t="str">
        <f t="shared" si="2007"/>
        <v>13/11/2025</v>
      </c>
      <c r="J10582" t="str">
        <f t="shared" si="2009"/>
        <v>04/11/2025</v>
      </c>
      <c r="K10582" t="str">
        <f>("13/11/2025")</f>
        <v>13/11/2025</v>
      </c>
      <c r="L10582">
        <v>580.66</v>
      </c>
      <c r="M10582">
        <v>580.66</v>
      </c>
      <c r="N10582">
        <v>109</v>
      </c>
      <c r="O10582" t="str">
        <f>"PAGAMENTO DE ENTREGADORES"</f>
        <v>PAGAMENTO DE ENTREGADORES</v>
      </c>
      <c r="P10582">
        <v>580.66</v>
      </c>
      <c r="S10582" t="str">
        <f>"BANCO C6 (149)"</f>
        <v>BANCO C6 (149)</v>
      </c>
      <c r="T10582">
        <v>21600</v>
      </c>
      <c r="U10582">
        <v>24726</v>
      </c>
      <c r="V10582" t="s">
        <v>77</v>
      </c>
    </row>
    <row r="10583" spans="1:22">
      <c r="A10583" t="str">
        <f t="shared" si="2004"/>
        <v>13/11/2025</v>
      </c>
      <c r="B10583" t="str">
        <f t="shared" si="2005"/>
        <v>SAÍDA</v>
      </c>
      <c r="C10583" t="str">
        <f t="shared" si="2006"/>
        <v>PIX</v>
      </c>
      <c r="D10583" t="str">
        <f>"24726"</f>
        <v>24726</v>
      </c>
      <c r="E10583" t="str">
        <f t="shared" si="2008"/>
        <v>1</v>
      </c>
      <c r="F10583" t="str">
        <f t="shared" si="2010"/>
        <v>COM</v>
      </c>
      <c r="G10583" t="str">
        <f>"WESLEI GONÇALVES SANTOS (154)"</f>
        <v>WESLEI GONÇALVES SANTOS (154)</v>
      </c>
      <c r="H10583" t="s">
        <v>2906</v>
      </c>
      <c r="I10583" t="str">
        <f t="shared" si="2007"/>
        <v>13/11/2025</v>
      </c>
      <c r="J10583" t="str">
        <f t="shared" si="2009"/>
        <v>04/11/2025</v>
      </c>
      <c r="K10583">
        <v>45974</v>
      </c>
      <c r="N10583">
        <v>109</v>
      </c>
      <c r="O10583" t="s">
        <v>24</v>
      </c>
      <c r="Q10583">
        <v>580.66</v>
      </c>
      <c r="R10583" t="str">
        <f>"FARMÁCIA INDIANA LJ 34 (10014)"</f>
        <v>FARMÁCIA INDIANA LJ 34 (10014)</v>
      </c>
      <c r="S10583" t="s">
        <v>77</v>
      </c>
      <c r="T10583">
        <v>21600</v>
      </c>
      <c r="U10583">
        <v>24726</v>
      </c>
      <c r="V10583" t="s">
        <v>77</v>
      </c>
    </row>
    <row r="10584" spans="1:22">
      <c r="A10584" t="str">
        <f t="shared" si="2004"/>
        <v>13/11/2025</v>
      </c>
      <c r="B10584" t="str">
        <f t="shared" si="2005"/>
        <v>SAÍDA</v>
      </c>
      <c r="C10584" t="str">
        <f t="shared" si="2006"/>
        <v>PIX</v>
      </c>
      <c r="D10584" t="str">
        <f>"24727"</f>
        <v>24727</v>
      </c>
      <c r="E10584" t="str">
        <f t="shared" si="2008"/>
        <v>1</v>
      </c>
      <c r="F10584" t="str">
        <f t="shared" si="2010"/>
        <v>COM</v>
      </c>
      <c r="G10584" t="str">
        <f>"YAN BRENDO CORREIA VIEIRA (861)"</f>
        <v>YAN BRENDO CORREIA VIEIRA (861)</v>
      </c>
      <c r="H10584" t="str">
        <f>"Serv.Prest. 24/10/2025 a 02/11/2025 - PIX: CPF - CHAVE: 096.891.935-97"</f>
        <v>Serv.Prest. 24/10/2025 a 02/11/2025 - PIX: CPF - CHAVE: 096.891.935-97</v>
      </c>
      <c r="I10584" t="str">
        <f t="shared" si="2007"/>
        <v>13/11/2025</v>
      </c>
      <c r="J10584" t="str">
        <f t="shared" si="2009"/>
        <v>04/11/2025</v>
      </c>
      <c r="K10584" t="str">
        <f>("13/11/2025")</f>
        <v>13/11/2025</v>
      </c>
      <c r="L10584">
        <v>780</v>
      </c>
      <c r="M10584">
        <v>780</v>
      </c>
      <c r="N10584">
        <v>109</v>
      </c>
      <c r="O10584" t="str">
        <f>"PAGAMENTO DE ENTREGADORES"</f>
        <v>PAGAMENTO DE ENTREGADORES</v>
      </c>
      <c r="P10584">
        <v>780</v>
      </c>
      <c r="S10584" t="str">
        <f>"BANCO C6 (149)"</f>
        <v>BANCO C6 (149)</v>
      </c>
      <c r="T10584">
        <v>21601</v>
      </c>
      <c r="U10584">
        <v>24727</v>
      </c>
      <c r="V10584" t="s">
        <v>77</v>
      </c>
    </row>
    <row r="10585" spans="1:22">
      <c r="A10585" t="str">
        <f t="shared" si="2004"/>
        <v>13/11/2025</v>
      </c>
      <c r="B10585" t="str">
        <f t="shared" si="2005"/>
        <v>SAÍDA</v>
      </c>
      <c r="C10585" t="str">
        <f t="shared" si="2006"/>
        <v>PIX</v>
      </c>
      <c r="D10585" t="str">
        <f>"24727"</f>
        <v>24727</v>
      </c>
      <c r="E10585" t="str">
        <f t="shared" si="2008"/>
        <v>1</v>
      </c>
      <c r="F10585" t="str">
        <f t="shared" si="2010"/>
        <v>COM</v>
      </c>
      <c r="G10585" t="str">
        <f>"YAN BRENDO CORREIA VIEIRA (861)"</f>
        <v>YAN BRENDO CORREIA VIEIRA (861)</v>
      </c>
      <c r="H10585" t="s">
        <v>2520</v>
      </c>
      <c r="I10585" t="str">
        <f t="shared" si="2007"/>
        <v>13/11/2025</v>
      </c>
      <c r="J10585" t="str">
        <f t="shared" si="2009"/>
        <v>04/11/2025</v>
      </c>
      <c r="K10585">
        <v>45974</v>
      </c>
      <c r="N10585">
        <v>109</v>
      </c>
      <c r="O10585" t="s">
        <v>24</v>
      </c>
      <c r="Q10585">
        <v>780</v>
      </c>
      <c r="R10585" t="str">
        <f>"FARMÁCIA INDIANA LJ 200 (10155)"</f>
        <v>FARMÁCIA INDIANA LJ 200 (10155)</v>
      </c>
      <c r="S10585" t="s">
        <v>77</v>
      </c>
      <c r="T10585">
        <v>21601</v>
      </c>
      <c r="U10585">
        <v>24727</v>
      </c>
      <c r="V10585" t="s">
        <v>77</v>
      </c>
    </row>
    <row r="10586" spans="1:22">
      <c r="A10586" t="str">
        <f t="shared" si="2004"/>
        <v>13/11/2025</v>
      </c>
      <c r="B10586" t="str">
        <f t="shared" si="2005"/>
        <v>SAÍDA</v>
      </c>
      <c r="C10586" t="str">
        <f t="shared" si="2006"/>
        <v>PIX</v>
      </c>
      <c r="D10586" t="str">
        <f>"24729"</f>
        <v>24729</v>
      </c>
      <c r="E10586" t="str">
        <f t="shared" si="2008"/>
        <v>1</v>
      </c>
      <c r="F10586" t="str">
        <f t="shared" si="2010"/>
        <v>COM</v>
      </c>
      <c r="G10586" t="str">
        <f>"ALISSON FELIPE GODINHO (219)"</f>
        <v>ALISSON FELIPE GODINHO (219)</v>
      </c>
      <c r="H10586" t="str">
        <f>"Serv.Prest. 24/10/2025 a 02/11/2025 - PIX: CELULAR - CHAVE: (33) 99877-0415"</f>
        <v>Serv.Prest. 24/10/2025 a 02/11/2025 - PIX: CELULAR - CHAVE: (33) 99877-0415</v>
      </c>
      <c r="I10586" t="str">
        <f t="shared" si="2007"/>
        <v>13/11/2025</v>
      </c>
      <c r="J10586" t="str">
        <f t="shared" si="2009"/>
        <v>04/11/2025</v>
      </c>
      <c r="K10586" t="str">
        <f>("13/11/2025")</f>
        <v>13/11/2025</v>
      </c>
      <c r="L10586">
        <v>2640</v>
      </c>
      <c r="M10586">
        <v>2640</v>
      </c>
      <c r="N10586">
        <v>109</v>
      </c>
      <c r="O10586" t="str">
        <f>"PAGAMENTO DE ENTREGADORES"</f>
        <v>PAGAMENTO DE ENTREGADORES</v>
      </c>
      <c r="P10586">
        <v>2640</v>
      </c>
      <c r="S10586" t="str">
        <f>"BANCO C6 (149)"</f>
        <v>BANCO C6 (149)</v>
      </c>
      <c r="T10586">
        <v>21602</v>
      </c>
      <c r="U10586">
        <v>24729</v>
      </c>
      <c r="V10586" t="s">
        <v>77</v>
      </c>
    </row>
    <row r="10587" spans="1:22">
      <c r="A10587" t="str">
        <f t="shared" si="2004"/>
        <v>13/11/2025</v>
      </c>
      <c r="B10587" t="str">
        <f t="shared" si="2005"/>
        <v>SAÍDA</v>
      </c>
      <c r="C10587" t="str">
        <f t="shared" si="2006"/>
        <v>PIX</v>
      </c>
      <c r="D10587" t="str">
        <f>"24729"</f>
        <v>24729</v>
      </c>
      <c r="E10587" t="str">
        <f t="shared" si="2008"/>
        <v>1</v>
      </c>
      <c r="F10587" t="str">
        <f t="shared" si="2010"/>
        <v>COM</v>
      </c>
      <c r="G10587" t="str">
        <f>"ALISSON FELIPE GODINHO (219)"</f>
        <v>ALISSON FELIPE GODINHO (219)</v>
      </c>
      <c r="H10587" t="s">
        <v>2949</v>
      </c>
      <c r="I10587" t="str">
        <f t="shared" si="2007"/>
        <v>13/11/2025</v>
      </c>
      <c r="J10587" t="str">
        <f t="shared" si="2009"/>
        <v>04/11/2025</v>
      </c>
      <c r="K10587">
        <v>45974</v>
      </c>
      <c r="N10587">
        <v>109</v>
      </c>
      <c r="O10587" t="s">
        <v>24</v>
      </c>
      <c r="Q10587">
        <v>2640</v>
      </c>
      <c r="R10587" t="str">
        <f>"FARMÁCIA INDIANA LJ 14 (10009)"</f>
        <v>FARMÁCIA INDIANA LJ 14 (10009)</v>
      </c>
      <c r="S10587" t="s">
        <v>77</v>
      </c>
      <c r="T10587">
        <v>21602</v>
      </c>
      <c r="U10587">
        <v>24729</v>
      </c>
      <c r="V10587" t="s">
        <v>77</v>
      </c>
    </row>
    <row r="10588" spans="1:22">
      <c r="A10588" t="str">
        <f t="shared" si="2004"/>
        <v>13/11/2025</v>
      </c>
      <c r="B10588" t="str">
        <f t="shared" si="2005"/>
        <v>SAÍDA</v>
      </c>
      <c r="C10588" t="str">
        <f t="shared" si="2006"/>
        <v>PIX</v>
      </c>
      <c r="D10588" t="str">
        <f>"24730"</f>
        <v>24730</v>
      </c>
      <c r="E10588" t="str">
        <f t="shared" si="2008"/>
        <v>1</v>
      </c>
      <c r="F10588" t="str">
        <f t="shared" si="2010"/>
        <v>COM</v>
      </c>
      <c r="G10588" t="str">
        <f>"AMANDA VERÍSSIMO FERREIRA (794)"</f>
        <v>AMANDA VERÍSSIMO FERREIRA (794)</v>
      </c>
      <c r="H10588" t="str">
        <f>"Serv.Prest. 24/10/2025 a 02/11/2025 - PIX: CPF - CHAVE: 099.626.666-60"</f>
        <v>Serv.Prest. 24/10/2025 a 02/11/2025 - PIX: CPF - CHAVE: 099.626.666-60</v>
      </c>
      <c r="I10588" t="str">
        <f t="shared" si="2007"/>
        <v>13/11/2025</v>
      </c>
      <c r="J10588" t="str">
        <f t="shared" si="2009"/>
        <v>04/11/2025</v>
      </c>
      <c r="K10588" t="str">
        <f>("13/11/2025")</f>
        <v>13/11/2025</v>
      </c>
      <c r="L10588">
        <v>730</v>
      </c>
      <c r="M10588">
        <v>730</v>
      </c>
      <c r="N10588">
        <v>109</v>
      </c>
      <c r="O10588" t="str">
        <f>"PAGAMENTO DE ENTREGADORES"</f>
        <v>PAGAMENTO DE ENTREGADORES</v>
      </c>
      <c r="P10588">
        <v>730</v>
      </c>
      <c r="S10588" t="str">
        <f>"BANCO C6 (149)"</f>
        <v>BANCO C6 (149)</v>
      </c>
      <c r="T10588">
        <v>21603</v>
      </c>
      <c r="U10588">
        <v>24730</v>
      </c>
      <c r="V10588" t="s">
        <v>77</v>
      </c>
    </row>
    <row r="10589" spans="1:22">
      <c r="A10589" t="str">
        <f t="shared" si="2004"/>
        <v>13/11/2025</v>
      </c>
      <c r="B10589" t="str">
        <f t="shared" si="2005"/>
        <v>SAÍDA</v>
      </c>
      <c r="C10589" t="str">
        <f t="shared" si="2006"/>
        <v>PIX</v>
      </c>
      <c r="D10589" t="str">
        <f>"24730"</f>
        <v>24730</v>
      </c>
      <c r="E10589" t="str">
        <f t="shared" si="2008"/>
        <v>1</v>
      </c>
      <c r="F10589" t="str">
        <f t="shared" si="2010"/>
        <v>COM</v>
      </c>
      <c r="G10589" t="str">
        <f>"AMANDA VERÍSSIMO FERREIRA (794)"</f>
        <v>AMANDA VERÍSSIMO FERREIRA (794)</v>
      </c>
      <c r="H10589" t="s">
        <v>2810</v>
      </c>
      <c r="I10589" t="str">
        <f t="shared" si="2007"/>
        <v>13/11/2025</v>
      </c>
      <c r="J10589" t="str">
        <f t="shared" si="2009"/>
        <v>04/11/2025</v>
      </c>
      <c r="K10589">
        <v>45974</v>
      </c>
      <c r="N10589">
        <v>109</v>
      </c>
      <c r="O10589" t="s">
        <v>24</v>
      </c>
      <c r="Q10589">
        <v>273.75</v>
      </c>
      <c r="R10589" t="str">
        <f>"FARMÁCIA INDIANA LJ 97 (10040)"</f>
        <v>FARMÁCIA INDIANA LJ 97 (10040)</v>
      </c>
      <c r="S10589" t="s">
        <v>77</v>
      </c>
      <c r="T10589">
        <v>21603</v>
      </c>
      <c r="U10589">
        <v>24730</v>
      </c>
      <c r="V10589" t="s">
        <v>77</v>
      </c>
    </row>
    <row r="10590" spans="1:22">
      <c r="A10590" t="str">
        <f t="shared" si="2004"/>
        <v>13/11/2025</v>
      </c>
      <c r="B10590" t="str">
        <f t="shared" si="2005"/>
        <v>SAÍDA</v>
      </c>
      <c r="C10590" t="str">
        <f t="shared" si="2006"/>
        <v>PIX</v>
      </c>
      <c r="D10590" t="str">
        <f>"24730"</f>
        <v>24730</v>
      </c>
      <c r="E10590" t="str">
        <f t="shared" si="2008"/>
        <v>1</v>
      </c>
      <c r="F10590" t="str">
        <f t="shared" si="2010"/>
        <v>COM</v>
      </c>
      <c r="G10590" t="str">
        <f>"AMANDA VERÍSSIMO FERREIRA (794)"</f>
        <v>AMANDA VERÍSSIMO FERREIRA (794)</v>
      </c>
      <c r="H10590" t="s">
        <v>2810</v>
      </c>
      <c r="I10590" t="str">
        <f t="shared" si="2007"/>
        <v>13/11/2025</v>
      </c>
      <c r="J10590" t="str">
        <f t="shared" si="2009"/>
        <v>04/11/2025</v>
      </c>
      <c r="K10590">
        <v>45974</v>
      </c>
      <c r="N10590">
        <v>109</v>
      </c>
      <c r="O10590" t="s">
        <v>24</v>
      </c>
      <c r="Q10590">
        <v>200.75</v>
      </c>
      <c r="R10590" t="str">
        <f>"FARMÁCIA INDIANA LJ 111 (10049)"</f>
        <v>FARMÁCIA INDIANA LJ 111 (10049)</v>
      </c>
      <c r="S10590" t="s">
        <v>77</v>
      </c>
      <c r="T10590">
        <v>21603</v>
      </c>
      <c r="U10590">
        <v>24730</v>
      </c>
      <c r="V10590" t="s">
        <v>77</v>
      </c>
    </row>
    <row r="10591" spans="1:22">
      <c r="A10591" t="str">
        <f t="shared" ref="A10591:A10654" si="2011">("13/11/2025")</f>
        <v>13/11/2025</v>
      </c>
      <c r="B10591" t="str">
        <f t="shared" si="2005"/>
        <v>SAÍDA</v>
      </c>
      <c r="C10591" t="str">
        <f t="shared" si="2006"/>
        <v>PIX</v>
      </c>
      <c r="D10591" t="str">
        <f>"24730"</f>
        <v>24730</v>
      </c>
      <c r="E10591" t="str">
        <f t="shared" si="2008"/>
        <v>1</v>
      </c>
      <c r="F10591" t="str">
        <f t="shared" si="2010"/>
        <v>COM</v>
      </c>
      <c r="G10591" t="str">
        <f>"AMANDA VERÍSSIMO FERREIRA (794)"</f>
        <v>AMANDA VERÍSSIMO FERREIRA (794)</v>
      </c>
      <c r="H10591" t="s">
        <v>2810</v>
      </c>
      <c r="I10591" t="str">
        <f t="shared" si="2007"/>
        <v>13/11/2025</v>
      </c>
      <c r="J10591" t="str">
        <f t="shared" si="2009"/>
        <v>04/11/2025</v>
      </c>
      <c r="K10591">
        <v>45974</v>
      </c>
      <c r="N10591">
        <v>109</v>
      </c>
      <c r="O10591" t="s">
        <v>24</v>
      </c>
      <c r="Q10591">
        <v>255.5</v>
      </c>
      <c r="R10591" t="str">
        <f>"FARMÁCIA INDIANA LJ 143 (10067)"</f>
        <v>FARMÁCIA INDIANA LJ 143 (10067)</v>
      </c>
      <c r="S10591" t="s">
        <v>77</v>
      </c>
      <c r="T10591">
        <v>21603</v>
      </c>
      <c r="U10591">
        <v>24730</v>
      </c>
      <c r="V10591" t="s">
        <v>77</v>
      </c>
    </row>
    <row r="10592" spans="1:22">
      <c r="A10592" t="str">
        <f t="shared" si="2011"/>
        <v>13/11/2025</v>
      </c>
      <c r="B10592" t="str">
        <f t="shared" ref="B10592:B10655" si="2012">"SAÍDA"</f>
        <v>SAÍDA</v>
      </c>
      <c r="C10592" t="str">
        <f t="shared" ref="C10592:C10655" si="2013">"PIX"</f>
        <v>PIX</v>
      </c>
      <c r="D10592" t="str">
        <f>"24731"</f>
        <v>24731</v>
      </c>
      <c r="E10592" t="str">
        <f t="shared" si="2008"/>
        <v>1</v>
      </c>
      <c r="F10592" t="str">
        <f t="shared" si="2010"/>
        <v>COM</v>
      </c>
      <c r="G10592" t="str">
        <f>"ANISSO ANIDAL DE PAULA (161)"</f>
        <v>ANISSO ANIDAL DE PAULA (161)</v>
      </c>
      <c r="H10592" t="str">
        <f>"Serv.Prest. 24/10/2025 a 02/11/2025 - PIX: E-MAIL - CHAVE: anissoanidaldepaula@gmail.com"</f>
        <v>Serv.Prest. 24/10/2025 a 02/11/2025 - PIX: E-MAIL - CHAVE: anissoanidaldepaula@gmail.com</v>
      </c>
      <c r="I10592" t="str">
        <f t="shared" si="2007"/>
        <v>13/11/2025</v>
      </c>
      <c r="J10592" t="str">
        <f t="shared" si="2009"/>
        <v>04/11/2025</v>
      </c>
      <c r="K10592" t="str">
        <f>("13/11/2025")</f>
        <v>13/11/2025</v>
      </c>
      <c r="L10592">
        <v>1068</v>
      </c>
      <c r="M10592">
        <v>1068</v>
      </c>
      <c r="N10592">
        <v>109</v>
      </c>
      <c r="O10592" t="str">
        <f>"PAGAMENTO DE ENTREGADORES"</f>
        <v>PAGAMENTO DE ENTREGADORES</v>
      </c>
      <c r="P10592">
        <v>1068</v>
      </c>
      <c r="S10592" t="str">
        <f>"BANCO C6 (149)"</f>
        <v>BANCO C6 (149)</v>
      </c>
      <c r="T10592">
        <v>21604</v>
      </c>
      <c r="U10592">
        <v>24731</v>
      </c>
      <c r="V10592" t="s">
        <v>77</v>
      </c>
    </row>
    <row r="10593" spans="1:22">
      <c r="A10593" t="str">
        <f t="shared" si="2011"/>
        <v>13/11/2025</v>
      </c>
      <c r="B10593" t="str">
        <f t="shared" si="2012"/>
        <v>SAÍDA</v>
      </c>
      <c r="C10593" t="str">
        <f t="shared" si="2013"/>
        <v>PIX</v>
      </c>
      <c r="D10593" t="str">
        <f>"24731"</f>
        <v>24731</v>
      </c>
      <c r="E10593" t="str">
        <f t="shared" si="2008"/>
        <v>1</v>
      </c>
      <c r="F10593" t="str">
        <f t="shared" si="2010"/>
        <v>COM</v>
      </c>
      <c r="G10593" t="str">
        <f>"ANISSO ANIDAL DE PAULA (161)"</f>
        <v>ANISSO ANIDAL DE PAULA (161)</v>
      </c>
      <c r="H10593" t="s">
        <v>2950</v>
      </c>
      <c r="I10593" t="str">
        <f t="shared" si="2007"/>
        <v>13/11/2025</v>
      </c>
      <c r="J10593" t="str">
        <f t="shared" si="2009"/>
        <v>04/11/2025</v>
      </c>
      <c r="K10593">
        <v>45974</v>
      </c>
      <c r="N10593">
        <v>109</v>
      </c>
      <c r="O10593" t="s">
        <v>24</v>
      </c>
      <c r="Q10593">
        <v>839.98</v>
      </c>
      <c r="R10593" t="str">
        <f>"FARMÁCIA INDIANA LJ 18 (10011)"</f>
        <v>FARMÁCIA INDIANA LJ 18 (10011)</v>
      </c>
      <c r="S10593" t="s">
        <v>77</v>
      </c>
      <c r="T10593">
        <v>21604</v>
      </c>
      <c r="U10593">
        <v>24731</v>
      </c>
      <c r="V10593" t="s">
        <v>77</v>
      </c>
    </row>
    <row r="10594" spans="1:22">
      <c r="A10594" t="str">
        <f t="shared" si="2011"/>
        <v>13/11/2025</v>
      </c>
      <c r="B10594" t="str">
        <f t="shared" si="2012"/>
        <v>SAÍDA</v>
      </c>
      <c r="C10594" t="str">
        <f t="shared" si="2013"/>
        <v>PIX</v>
      </c>
      <c r="D10594" t="str">
        <f>"24731"</f>
        <v>24731</v>
      </c>
      <c r="E10594" t="str">
        <f t="shared" si="2008"/>
        <v>1</v>
      </c>
      <c r="F10594" t="str">
        <f t="shared" si="2010"/>
        <v>COM</v>
      </c>
      <c r="G10594" t="str">
        <f>"ANISSO ANIDAL DE PAULA (161)"</f>
        <v>ANISSO ANIDAL DE PAULA (161)</v>
      </c>
      <c r="H10594" t="s">
        <v>2950</v>
      </c>
      <c r="I10594" t="str">
        <f t="shared" si="2007"/>
        <v>13/11/2025</v>
      </c>
      <c r="J10594" t="str">
        <f t="shared" si="2009"/>
        <v>04/11/2025</v>
      </c>
      <c r="K10594">
        <v>45974</v>
      </c>
      <c r="N10594">
        <v>109</v>
      </c>
      <c r="O10594" t="s">
        <v>24</v>
      </c>
      <c r="Q10594">
        <v>228.02</v>
      </c>
      <c r="R10594" t="str">
        <f>"FARMÁCIA INDIANA LJ 19 (10012)"</f>
        <v>FARMÁCIA INDIANA LJ 19 (10012)</v>
      </c>
      <c r="S10594" t="s">
        <v>77</v>
      </c>
      <c r="T10594">
        <v>21604</v>
      </c>
      <c r="U10594">
        <v>24731</v>
      </c>
      <c r="V10594" t="s">
        <v>77</v>
      </c>
    </row>
    <row r="10595" spans="1:22">
      <c r="A10595" t="str">
        <f t="shared" si="2011"/>
        <v>13/11/2025</v>
      </c>
      <c r="B10595" t="str">
        <f t="shared" si="2012"/>
        <v>SAÍDA</v>
      </c>
      <c r="C10595" t="str">
        <f t="shared" si="2013"/>
        <v>PIX</v>
      </c>
      <c r="D10595" t="str">
        <f>"24733"</f>
        <v>24733</v>
      </c>
      <c r="E10595" t="str">
        <f t="shared" si="2008"/>
        <v>1</v>
      </c>
      <c r="F10595" t="str">
        <f t="shared" si="2010"/>
        <v>COM</v>
      </c>
      <c r="G10595" t="str">
        <f>"ARTHUR DANTAS PACHECO (928)"</f>
        <v>ARTHUR DANTAS PACHECO (928)</v>
      </c>
      <c r="H10595" t="str">
        <f>"Serv.Prest. 24/10/2025 a 02/11/2025 - PIX: CELULAR - CHAVE: (33) 99110-6940"</f>
        <v>Serv.Prest. 24/10/2025 a 02/11/2025 - PIX: CELULAR - CHAVE: (33) 99110-6940</v>
      </c>
      <c r="I10595" t="str">
        <f t="shared" si="2007"/>
        <v>13/11/2025</v>
      </c>
      <c r="J10595" t="str">
        <f t="shared" si="2009"/>
        <v>04/11/2025</v>
      </c>
      <c r="K10595" t="str">
        <f>("13/11/2025")</f>
        <v>13/11/2025</v>
      </c>
      <c r="L10595">
        <v>1085.5</v>
      </c>
      <c r="M10595">
        <v>1085.5</v>
      </c>
      <c r="N10595">
        <v>109</v>
      </c>
      <c r="O10595" t="str">
        <f>"PAGAMENTO DE ENTREGADORES"</f>
        <v>PAGAMENTO DE ENTREGADORES</v>
      </c>
      <c r="P10595">
        <v>1085.5</v>
      </c>
      <c r="S10595" t="str">
        <f>"BANCO C6 (149)"</f>
        <v>BANCO C6 (149)</v>
      </c>
      <c r="T10595">
        <v>21605</v>
      </c>
      <c r="U10595">
        <v>24733</v>
      </c>
      <c r="V10595" t="s">
        <v>77</v>
      </c>
    </row>
    <row r="10596" spans="1:22">
      <c r="A10596" t="str">
        <f t="shared" si="2011"/>
        <v>13/11/2025</v>
      </c>
      <c r="B10596" t="str">
        <f t="shared" si="2012"/>
        <v>SAÍDA</v>
      </c>
      <c r="C10596" t="str">
        <f t="shared" si="2013"/>
        <v>PIX</v>
      </c>
      <c r="D10596" t="str">
        <f>"24733"</f>
        <v>24733</v>
      </c>
      <c r="E10596" t="str">
        <f t="shared" si="2008"/>
        <v>1</v>
      </c>
      <c r="F10596" t="str">
        <f t="shared" si="2010"/>
        <v>COM</v>
      </c>
      <c r="G10596" t="str">
        <f>"ARTHUR DANTAS PACHECO (928)"</f>
        <v>ARTHUR DANTAS PACHECO (928)</v>
      </c>
      <c r="H10596" t="s">
        <v>2814</v>
      </c>
      <c r="I10596" t="str">
        <f t="shared" ref="I10596:I10659" si="2014">("13/11/2025")</f>
        <v>13/11/2025</v>
      </c>
      <c r="J10596" t="str">
        <f t="shared" si="2009"/>
        <v>04/11/2025</v>
      </c>
      <c r="K10596">
        <v>45974</v>
      </c>
      <c r="N10596">
        <v>109</v>
      </c>
      <c r="O10596" t="s">
        <v>24</v>
      </c>
      <c r="Q10596">
        <v>1085.5</v>
      </c>
      <c r="R10596" t="str">
        <f>"FARMÁCIA INDIANA LJ 40 (10016)"</f>
        <v>FARMÁCIA INDIANA LJ 40 (10016)</v>
      </c>
      <c r="S10596" t="s">
        <v>77</v>
      </c>
      <c r="T10596">
        <v>21605</v>
      </c>
      <c r="U10596">
        <v>24733</v>
      </c>
      <c r="V10596" t="s">
        <v>77</v>
      </c>
    </row>
    <row r="10597" spans="1:22">
      <c r="A10597" t="str">
        <f t="shared" si="2011"/>
        <v>13/11/2025</v>
      </c>
      <c r="B10597" t="str">
        <f t="shared" si="2012"/>
        <v>SAÍDA</v>
      </c>
      <c r="C10597" t="str">
        <f t="shared" si="2013"/>
        <v>PIX</v>
      </c>
      <c r="D10597" t="str">
        <f>"24734"</f>
        <v>24734</v>
      </c>
      <c r="E10597" t="str">
        <f t="shared" si="2008"/>
        <v>1</v>
      </c>
      <c r="F10597" t="str">
        <f t="shared" si="2010"/>
        <v>COM</v>
      </c>
      <c r="G10597" t="str">
        <f>"BRUNO BARBOSA DE MATOS (82)"</f>
        <v>BRUNO BARBOSA DE MATOS (82)</v>
      </c>
      <c r="H10597" t="str">
        <f>"Serv.Prest. 24/10/2025 a 02/11/2025 - PIX: CPF - CHAVE: 137.446.146-62"</f>
        <v>Serv.Prest. 24/10/2025 a 02/11/2025 - PIX: CPF - CHAVE: 137.446.146-62</v>
      </c>
      <c r="I10597" t="str">
        <f t="shared" si="2014"/>
        <v>13/11/2025</v>
      </c>
      <c r="J10597" t="str">
        <f t="shared" si="2009"/>
        <v>04/11/2025</v>
      </c>
      <c r="K10597" t="str">
        <f>("13/11/2025")</f>
        <v>13/11/2025</v>
      </c>
      <c r="L10597">
        <v>1536</v>
      </c>
      <c r="M10597">
        <v>1536</v>
      </c>
      <c r="N10597">
        <v>109</v>
      </c>
      <c r="O10597" t="str">
        <f>"PAGAMENTO DE ENTREGADORES"</f>
        <v>PAGAMENTO DE ENTREGADORES</v>
      </c>
      <c r="P10597">
        <v>1536</v>
      </c>
      <c r="S10597" t="str">
        <f>"BANCO C6 (149)"</f>
        <v>BANCO C6 (149)</v>
      </c>
      <c r="T10597">
        <v>21606</v>
      </c>
      <c r="U10597">
        <v>24734</v>
      </c>
      <c r="V10597" t="s">
        <v>77</v>
      </c>
    </row>
    <row r="10598" spans="1:22">
      <c r="A10598" t="str">
        <f t="shared" si="2011"/>
        <v>13/11/2025</v>
      </c>
      <c r="B10598" t="str">
        <f t="shared" si="2012"/>
        <v>SAÍDA</v>
      </c>
      <c r="C10598" t="str">
        <f t="shared" si="2013"/>
        <v>PIX</v>
      </c>
      <c r="D10598" t="str">
        <f>"24734"</f>
        <v>24734</v>
      </c>
      <c r="E10598" t="str">
        <f t="shared" ref="E10598:E10661" si="2015">"1"</f>
        <v>1</v>
      </c>
      <c r="F10598" t="str">
        <f t="shared" si="2010"/>
        <v>COM</v>
      </c>
      <c r="G10598" t="str">
        <f>"BRUNO BARBOSA DE MATOS (82)"</f>
        <v>BRUNO BARBOSA DE MATOS (82)</v>
      </c>
      <c r="H10598" t="s">
        <v>2951</v>
      </c>
      <c r="I10598" t="str">
        <f t="shared" si="2014"/>
        <v>13/11/2025</v>
      </c>
      <c r="J10598" t="str">
        <f t="shared" ref="J10598:J10661" si="2016">("04/11/2025")</f>
        <v>04/11/2025</v>
      </c>
      <c r="K10598">
        <v>45974</v>
      </c>
      <c r="N10598">
        <v>109</v>
      </c>
      <c r="O10598" t="s">
        <v>24</v>
      </c>
      <c r="Q10598">
        <v>1536</v>
      </c>
      <c r="R10598" t="str">
        <f>"FARMÁCIA INDIANA LJ 152 (10069)"</f>
        <v>FARMÁCIA INDIANA LJ 152 (10069)</v>
      </c>
      <c r="S10598" t="s">
        <v>77</v>
      </c>
      <c r="T10598">
        <v>21606</v>
      </c>
      <c r="U10598">
        <v>24734</v>
      </c>
      <c r="V10598" t="s">
        <v>77</v>
      </c>
    </row>
    <row r="10599" spans="1:22">
      <c r="A10599" t="str">
        <f t="shared" si="2011"/>
        <v>13/11/2025</v>
      </c>
      <c r="B10599" t="str">
        <f t="shared" si="2012"/>
        <v>SAÍDA</v>
      </c>
      <c r="C10599" t="str">
        <f t="shared" si="2013"/>
        <v>PIX</v>
      </c>
      <c r="D10599" t="str">
        <f>"24735"</f>
        <v>24735</v>
      </c>
      <c r="E10599" t="str">
        <f t="shared" si="2015"/>
        <v>1</v>
      </c>
      <c r="F10599" t="str">
        <f t="shared" si="2010"/>
        <v>COM</v>
      </c>
      <c r="G10599" t="str">
        <f>"BRUNO DOS SANTOS MACHADO (702)"</f>
        <v>BRUNO DOS SANTOS MACHADO (702)</v>
      </c>
      <c r="H10599" t="str">
        <f>"Serv.Prest. 24/10/2025 a 02/11/2025 - PIX: CPF - CHAVE: 155.328.666-94"</f>
        <v>Serv.Prest. 24/10/2025 a 02/11/2025 - PIX: CPF - CHAVE: 155.328.666-94</v>
      </c>
      <c r="I10599" t="str">
        <f t="shared" si="2014"/>
        <v>13/11/2025</v>
      </c>
      <c r="J10599" t="str">
        <f t="shared" si="2016"/>
        <v>04/11/2025</v>
      </c>
      <c r="K10599" t="str">
        <f>("13/11/2025")</f>
        <v>13/11/2025</v>
      </c>
      <c r="L10599">
        <v>1180</v>
      </c>
      <c r="M10599">
        <v>1180</v>
      </c>
      <c r="N10599">
        <v>109</v>
      </c>
      <c r="O10599" t="str">
        <f>"PAGAMENTO DE ENTREGADORES"</f>
        <v>PAGAMENTO DE ENTREGADORES</v>
      </c>
      <c r="P10599">
        <v>1180</v>
      </c>
      <c r="S10599" t="str">
        <f>"BANCO C6 (149)"</f>
        <v>BANCO C6 (149)</v>
      </c>
      <c r="T10599">
        <v>21607</v>
      </c>
      <c r="U10599">
        <v>24735</v>
      </c>
      <c r="V10599" t="s">
        <v>77</v>
      </c>
    </row>
    <row r="10600" spans="1:22">
      <c r="A10600" t="str">
        <f t="shared" si="2011"/>
        <v>13/11/2025</v>
      </c>
      <c r="B10600" t="str">
        <f t="shared" si="2012"/>
        <v>SAÍDA</v>
      </c>
      <c r="C10600" t="str">
        <f t="shared" si="2013"/>
        <v>PIX</v>
      </c>
      <c r="D10600" t="str">
        <f>"24735"</f>
        <v>24735</v>
      </c>
      <c r="E10600" t="str">
        <f t="shared" si="2015"/>
        <v>1</v>
      </c>
      <c r="F10600" t="str">
        <f t="shared" si="2010"/>
        <v>COM</v>
      </c>
      <c r="G10600" t="str">
        <f>"BRUNO DOS SANTOS MACHADO (702)"</f>
        <v>BRUNO DOS SANTOS MACHADO (702)</v>
      </c>
      <c r="H10600" t="s">
        <v>2818</v>
      </c>
      <c r="I10600" t="str">
        <f t="shared" si="2014"/>
        <v>13/11/2025</v>
      </c>
      <c r="J10600" t="str">
        <f t="shared" si="2016"/>
        <v>04/11/2025</v>
      </c>
      <c r="K10600">
        <v>45974</v>
      </c>
      <c r="N10600">
        <v>109</v>
      </c>
      <c r="O10600" t="s">
        <v>24</v>
      </c>
      <c r="Q10600">
        <v>590</v>
      </c>
      <c r="R10600" t="str">
        <f>"FARMÁCIA INDIANA LJ 204 (10087)"</f>
        <v>FARMÁCIA INDIANA LJ 204 (10087)</v>
      </c>
      <c r="S10600" t="s">
        <v>77</v>
      </c>
      <c r="T10600">
        <v>21607</v>
      </c>
      <c r="U10600">
        <v>24735</v>
      </c>
      <c r="V10600" t="s">
        <v>77</v>
      </c>
    </row>
    <row r="10601" spans="1:22">
      <c r="A10601" t="str">
        <f t="shared" si="2011"/>
        <v>13/11/2025</v>
      </c>
      <c r="B10601" t="str">
        <f t="shared" si="2012"/>
        <v>SAÍDA</v>
      </c>
      <c r="C10601" t="str">
        <f t="shared" si="2013"/>
        <v>PIX</v>
      </c>
      <c r="D10601" t="str">
        <f>"24735"</f>
        <v>24735</v>
      </c>
      <c r="E10601" t="str">
        <f t="shared" si="2015"/>
        <v>1</v>
      </c>
      <c r="F10601" t="str">
        <f t="shared" si="2010"/>
        <v>COM</v>
      </c>
      <c r="G10601" t="str">
        <f>"BRUNO DOS SANTOS MACHADO (702)"</f>
        <v>BRUNO DOS SANTOS MACHADO (702)</v>
      </c>
      <c r="H10601" t="s">
        <v>2818</v>
      </c>
      <c r="I10601" t="str">
        <f t="shared" si="2014"/>
        <v>13/11/2025</v>
      </c>
      <c r="J10601" t="str">
        <f t="shared" si="2016"/>
        <v>04/11/2025</v>
      </c>
      <c r="K10601">
        <v>45974</v>
      </c>
      <c r="N10601">
        <v>109</v>
      </c>
      <c r="O10601" t="s">
        <v>24</v>
      </c>
      <c r="Q10601">
        <v>590</v>
      </c>
      <c r="R10601" t="str">
        <f>"FARMÁCIA INDIANA LJ 266 (10186)"</f>
        <v>FARMÁCIA INDIANA LJ 266 (10186)</v>
      </c>
      <c r="S10601" t="s">
        <v>77</v>
      </c>
      <c r="T10601">
        <v>21607</v>
      </c>
      <c r="U10601">
        <v>24735</v>
      </c>
      <c r="V10601" t="s">
        <v>77</v>
      </c>
    </row>
    <row r="10602" spans="1:22">
      <c r="A10602" t="str">
        <f t="shared" si="2011"/>
        <v>13/11/2025</v>
      </c>
      <c r="B10602" t="str">
        <f t="shared" si="2012"/>
        <v>SAÍDA</v>
      </c>
      <c r="C10602" t="str">
        <f t="shared" si="2013"/>
        <v>PIX</v>
      </c>
      <c r="D10602" t="str">
        <f>"24736"</f>
        <v>24736</v>
      </c>
      <c r="E10602" t="str">
        <f t="shared" si="2015"/>
        <v>1</v>
      </c>
      <c r="F10602" t="str">
        <f t="shared" si="2010"/>
        <v>COM</v>
      </c>
      <c r="G10602" t="str">
        <f>"BRUNO WAGNER DE CARVALHO OLIVEIRA (84)"</f>
        <v>BRUNO WAGNER DE CARVALHO OLIVEIRA (84)</v>
      </c>
      <c r="H10602" t="str">
        <f>"Serv.Prest. 24/10/2025 a 02/11/2025 - PIX: CELULAR - CHAVE: (32) 98896-0708"</f>
        <v>Serv.Prest. 24/10/2025 a 02/11/2025 - PIX: CELULAR - CHAVE: (32) 98896-0708</v>
      </c>
      <c r="I10602" t="str">
        <f t="shared" si="2014"/>
        <v>13/11/2025</v>
      </c>
      <c r="J10602" t="str">
        <f t="shared" si="2016"/>
        <v>04/11/2025</v>
      </c>
      <c r="K10602" t="str">
        <f>("13/11/2025")</f>
        <v>13/11/2025</v>
      </c>
      <c r="L10602">
        <v>680</v>
      </c>
      <c r="M10602">
        <v>680</v>
      </c>
      <c r="N10602">
        <v>109</v>
      </c>
      <c r="O10602" t="str">
        <f>"PAGAMENTO DE ENTREGADORES"</f>
        <v>PAGAMENTO DE ENTREGADORES</v>
      </c>
      <c r="P10602">
        <v>680</v>
      </c>
      <c r="S10602" t="str">
        <f>"BANCO C6 (149)"</f>
        <v>BANCO C6 (149)</v>
      </c>
      <c r="T10602">
        <v>21608</v>
      </c>
      <c r="U10602">
        <v>24736</v>
      </c>
      <c r="V10602" t="s">
        <v>77</v>
      </c>
    </row>
    <row r="10603" spans="1:22">
      <c r="A10603" t="str">
        <f t="shared" si="2011"/>
        <v>13/11/2025</v>
      </c>
      <c r="B10603" t="str">
        <f t="shared" si="2012"/>
        <v>SAÍDA</v>
      </c>
      <c r="C10603" t="str">
        <f t="shared" si="2013"/>
        <v>PIX</v>
      </c>
      <c r="D10603" t="str">
        <f>"24736"</f>
        <v>24736</v>
      </c>
      <c r="E10603" t="str">
        <f t="shared" si="2015"/>
        <v>1</v>
      </c>
      <c r="F10603" t="str">
        <f t="shared" si="2010"/>
        <v>COM</v>
      </c>
      <c r="G10603" t="str">
        <f>"BRUNO WAGNER DE CARVALHO OLIVEIRA (84)"</f>
        <v>BRUNO WAGNER DE CARVALHO OLIVEIRA (84)</v>
      </c>
      <c r="H10603" t="s">
        <v>2819</v>
      </c>
      <c r="I10603" t="str">
        <f t="shared" si="2014"/>
        <v>13/11/2025</v>
      </c>
      <c r="J10603" t="str">
        <f t="shared" si="2016"/>
        <v>04/11/2025</v>
      </c>
      <c r="K10603">
        <v>45974</v>
      </c>
      <c r="N10603">
        <v>109</v>
      </c>
      <c r="O10603" t="s">
        <v>24</v>
      </c>
      <c r="Q10603">
        <v>170</v>
      </c>
      <c r="R10603" t="str">
        <f>"FARMÁCIA INDIANA LJ 182 (10079)"</f>
        <v>FARMÁCIA INDIANA LJ 182 (10079)</v>
      </c>
      <c r="S10603" t="s">
        <v>77</v>
      </c>
      <c r="T10603">
        <v>21608</v>
      </c>
      <c r="U10603">
        <v>24736</v>
      </c>
      <c r="V10603" t="s">
        <v>77</v>
      </c>
    </row>
    <row r="10604" spans="1:22">
      <c r="A10604" t="str">
        <f t="shared" si="2011"/>
        <v>13/11/2025</v>
      </c>
      <c r="B10604" t="str">
        <f t="shared" si="2012"/>
        <v>SAÍDA</v>
      </c>
      <c r="C10604" t="str">
        <f t="shared" si="2013"/>
        <v>PIX</v>
      </c>
      <c r="D10604" t="str">
        <f>"24736"</f>
        <v>24736</v>
      </c>
      <c r="E10604" t="str">
        <f t="shared" si="2015"/>
        <v>1</v>
      </c>
      <c r="F10604" t="str">
        <f t="shared" si="2010"/>
        <v>COM</v>
      </c>
      <c r="G10604" t="str">
        <f>"BRUNO WAGNER DE CARVALHO OLIVEIRA (84)"</f>
        <v>BRUNO WAGNER DE CARVALHO OLIVEIRA (84)</v>
      </c>
      <c r="H10604" t="s">
        <v>2819</v>
      </c>
      <c r="I10604" t="str">
        <f t="shared" si="2014"/>
        <v>13/11/2025</v>
      </c>
      <c r="J10604" t="str">
        <f t="shared" si="2016"/>
        <v>04/11/2025</v>
      </c>
      <c r="K10604">
        <v>45974</v>
      </c>
      <c r="N10604">
        <v>109</v>
      </c>
      <c r="O10604" t="s">
        <v>24</v>
      </c>
      <c r="Q10604">
        <v>510</v>
      </c>
      <c r="R10604" t="str">
        <f>"FARMÁCIA INDIANA LJ 186 (10081)"</f>
        <v>FARMÁCIA INDIANA LJ 186 (10081)</v>
      </c>
      <c r="S10604" t="s">
        <v>77</v>
      </c>
      <c r="T10604">
        <v>21608</v>
      </c>
      <c r="U10604">
        <v>24736</v>
      </c>
      <c r="V10604" t="s">
        <v>77</v>
      </c>
    </row>
    <row r="10605" spans="1:22">
      <c r="A10605" t="str">
        <f t="shared" si="2011"/>
        <v>13/11/2025</v>
      </c>
      <c r="B10605" t="str">
        <f t="shared" si="2012"/>
        <v>SAÍDA</v>
      </c>
      <c r="C10605" t="str">
        <f t="shared" si="2013"/>
        <v>PIX</v>
      </c>
      <c r="D10605" t="str">
        <f>"24738"</f>
        <v>24738</v>
      </c>
      <c r="E10605" t="str">
        <f t="shared" si="2015"/>
        <v>1</v>
      </c>
      <c r="F10605" t="str">
        <f t="shared" si="2010"/>
        <v>COM</v>
      </c>
      <c r="G10605" t="str">
        <f>"CARLOS ROBERTO BADARÓ MACHADO (78)"</f>
        <v>CARLOS ROBERTO BADARÓ MACHADO (78)</v>
      </c>
      <c r="H10605" t="str">
        <f>"Serv.Prest. 24/10/2025 a 02/11/2025 - PIX: CELULAR - CHAVE: (32) 99166-8238"</f>
        <v>Serv.Prest. 24/10/2025 a 02/11/2025 - PIX: CELULAR - CHAVE: (32) 99166-8238</v>
      </c>
      <c r="I10605" t="str">
        <f t="shared" si="2014"/>
        <v>13/11/2025</v>
      </c>
      <c r="J10605" t="str">
        <f t="shared" si="2016"/>
        <v>04/11/2025</v>
      </c>
      <c r="K10605" t="str">
        <f>("13/11/2025")</f>
        <v>13/11/2025</v>
      </c>
      <c r="L10605">
        <v>1200</v>
      </c>
      <c r="M10605">
        <v>1200</v>
      </c>
      <c r="N10605">
        <v>109</v>
      </c>
      <c r="O10605" t="str">
        <f>"PAGAMENTO DE ENTREGADORES"</f>
        <v>PAGAMENTO DE ENTREGADORES</v>
      </c>
      <c r="P10605">
        <v>1200</v>
      </c>
      <c r="S10605" t="str">
        <f>"BANCO C6 (149)"</f>
        <v>BANCO C6 (149)</v>
      </c>
      <c r="T10605">
        <v>21609</v>
      </c>
      <c r="U10605">
        <v>24738</v>
      </c>
      <c r="V10605" t="s">
        <v>77</v>
      </c>
    </row>
    <row r="10606" spans="1:22">
      <c r="A10606" t="str">
        <f t="shared" si="2011"/>
        <v>13/11/2025</v>
      </c>
      <c r="B10606" t="str">
        <f t="shared" si="2012"/>
        <v>SAÍDA</v>
      </c>
      <c r="C10606" t="str">
        <f t="shared" si="2013"/>
        <v>PIX</v>
      </c>
      <c r="D10606" t="str">
        <f>"24738"</f>
        <v>24738</v>
      </c>
      <c r="E10606" t="str">
        <f t="shared" si="2015"/>
        <v>1</v>
      </c>
      <c r="F10606" t="str">
        <f t="shared" si="2010"/>
        <v>COM</v>
      </c>
      <c r="G10606" t="str">
        <f>"CARLOS ROBERTO BADARÓ MACHADO (78)"</f>
        <v>CARLOS ROBERTO BADARÓ MACHADO (78)</v>
      </c>
      <c r="H10606" t="s">
        <v>2782</v>
      </c>
      <c r="I10606" t="str">
        <f t="shared" si="2014"/>
        <v>13/11/2025</v>
      </c>
      <c r="J10606" t="str">
        <f t="shared" si="2016"/>
        <v>04/11/2025</v>
      </c>
      <c r="K10606">
        <v>45974</v>
      </c>
      <c r="N10606">
        <v>109</v>
      </c>
      <c r="O10606" t="s">
        <v>24</v>
      </c>
      <c r="Q10606">
        <v>1200</v>
      </c>
      <c r="R10606" t="str">
        <f>"FARMÁCIA INDIANA LJ 109 (10047)"</f>
        <v>FARMÁCIA INDIANA LJ 109 (10047)</v>
      </c>
      <c r="S10606" t="s">
        <v>77</v>
      </c>
      <c r="T10606">
        <v>21609</v>
      </c>
      <c r="U10606">
        <v>24738</v>
      </c>
      <c r="V10606" t="s">
        <v>77</v>
      </c>
    </row>
    <row r="10607" spans="1:22">
      <c r="A10607" t="str">
        <f t="shared" si="2011"/>
        <v>13/11/2025</v>
      </c>
      <c r="B10607" t="str">
        <f t="shared" si="2012"/>
        <v>SAÍDA</v>
      </c>
      <c r="C10607" t="str">
        <f t="shared" si="2013"/>
        <v>PIX</v>
      </c>
      <c r="D10607" t="str">
        <f>"24739"</f>
        <v>24739</v>
      </c>
      <c r="E10607" t="str">
        <f t="shared" si="2015"/>
        <v>1</v>
      </c>
      <c r="F10607" t="str">
        <f t="shared" si="2010"/>
        <v>COM</v>
      </c>
      <c r="G10607" t="str">
        <f>"CASSIO DIAS RIBEIRO (32)"</f>
        <v>CASSIO DIAS RIBEIRO (32)</v>
      </c>
      <c r="H10607" t="str">
        <f>"Serv.Prest. 24/10/2025 a 02/11/2025 - PIX: CPF - CHAVE: 091.575.986-14"</f>
        <v>Serv.Prest. 24/10/2025 a 02/11/2025 - PIX: CPF - CHAVE: 091.575.986-14</v>
      </c>
      <c r="I10607" t="str">
        <f t="shared" si="2014"/>
        <v>13/11/2025</v>
      </c>
      <c r="J10607" t="str">
        <f t="shared" si="2016"/>
        <v>04/11/2025</v>
      </c>
      <c r="K10607" t="str">
        <f>("13/11/2025")</f>
        <v>13/11/2025</v>
      </c>
      <c r="L10607">
        <v>1638</v>
      </c>
      <c r="M10607">
        <v>1638</v>
      </c>
      <c r="N10607">
        <v>109</v>
      </c>
      <c r="O10607" t="str">
        <f>"PAGAMENTO DE ENTREGADORES"</f>
        <v>PAGAMENTO DE ENTREGADORES</v>
      </c>
      <c r="P10607">
        <v>1638</v>
      </c>
      <c r="S10607" t="str">
        <f>"BANCO C6 (149)"</f>
        <v>BANCO C6 (149)</v>
      </c>
      <c r="T10607">
        <v>21610</v>
      </c>
      <c r="U10607">
        <v>24739</v>
      </c>
      <c r="V10607" t="s">
        <v>77</v>
      </c>
    </row>
    <row r="10608" spans="1:22">
      <c r="A10608" t="str">
        <f t="shared" si="2011"/>
        <v>13/11/2025</v>
      </c>
      <c r="B10608" t="str">
        <f t="shared" si="2012"/>
        <v>SAÍDA</v>
      </c>
      <c r="C10608" t="str">
        <f t="shared" si="2013"/>
        <v>PIX</v>
      </c>
      <c r="D10608" t="str">
        <f>"24739"</f>
        <v>24739</v>
      </c>
      <c r="E10608" t="str">
        <f t="shared" si="2015"/>
        <v>1</v>
      </c>
      <c r="F10608" t="str">
        <f t="shared" si="2010"/>
        <v>COM</v>
      </c>
      <c r="G10608" t="str">
        <f>"CASSIO DIAS RIBEIRO (32)"</f>
        <v>CASSIO DIAS RIBEIRO (32)</v>
      </c>
      <c r="H10608" t="s">
        <v>2952</v>
      </c>
      <c r="I10608" t="str">
        <f t="shared" si="2014"/>
        <v>13/11/2025</v>
      </c>
      <c r="J10608" t="str">
        <f t="shared" si="2016"/>
        <v>04/11/2025</v>
      </c>
      <c r="K10608">
        <v>45974</v>
      </c>
      <c r="N10608">
        <v>109</v>
      </c>
      <c r="O10608" t="s">
        <v>24</v>
      </c>
      <c r="Q10608">
        <v>1626.04</v>
      </c>
      <c r="R10608" t="str">
        <f>"FARMÁCIA INDIANA LJ 11 (10008)"</f>
        <v>FARMÁCIA INDIANA LJ 11 (10008)</v>
      </c>
      <c r="S10608" t="s">
        <v>77</v>
      </c>
      <c r="T10608">
        <v>21610</v>
      </c>
      <c r="U10608">
        <v>24739</v>
      </c>
      <c r="V10608" t="s">
        <v>77</v>
      </c>
    </row>
    <row r="10609" spans="1:22">
      <c r="A10609" t="str">
        <f t="shared" si="2011"/>
        <v>13/11/2025</v>
      </c>
      <c r="B10609" t="str">
        <f t="shared" si="2012"/>
        <v>SAÍDA</v>
      </c>
      <c r="C10609" t="str">
        <f t="shared" si="2013"/>
        <v>PIX</v>
      </c>
      <c r="D10609" t="str">
        <f>"24739"</f>
        <v>24739</v>
      </c>
      <c r="E10609" t="str">
        <f t="shared" si="2015"/>
        <v>1</v>
      </c>
      <c r="F10609" t="str">
        <f t="shared" si="2010"/>
        <v>COM</v>
      </c>
      <c r="G10609" t="str">
        <f>"CASSIO DIAS RIBEIRO (32)"</f>
        <v>CASSIO DIAS RIBEIRO (32)</v>
      </c>
      <c r="H10609" t="s">
        <v>2952</v>
      </c>
      <c r="I10609" t="str">
        <f t="shared" si="2014"/>
        <v>13/11/2025</v>
      </c>
      <c r="J10609" t="str">
        <f t="shared" si="2016"/>
        <v>04/11/2025</v>
      </c>
      <c r="K10609">
        <v>45974</v>
      </c>
      <c r="N10609">
        <v>109</v>
      </c>
      <c r="O10609" t="s">
        <v>24</v>
      </c>
      <c r="Q10609">
        <v>11.96</v>
      </c>
      <c r="R10609" t="str">
        <f>"FARMÁCIA INDIANA LJ 172 (10161)"</f>
        <v>FARMÁCIA INDIANA LJ 172 (10161)</v>
      </c>
      <c r="S10609" t="s">
        <v>77</v>
      </c>
      <c r="T10609">
        <v>21610</v>
      </c>
      <c r="U10609">
        <v>24739</v>
      </c>
      <c r="V10609" t="s">
        <v>77</v>
      </c>
    </row>
    <row r="10610" spans="1:22">
      <c r="A10610" t="str">
        <f t="shared" si="2011"/>
        <v>13/11/2025</v>
      </c>
      <c r="B10610" t="str">
        <f t="shared" si="2012"/>
        <v>SAÍDA</v>
      </c>
      <c r="C10610" t="str">
        <f t="shared" si="2013"/>
        <v>PIX</v>
      </c>
      <c r="D10610" t="str">
        <f>"24740"</f>
        <v>24740</v>
      </c>
      <c r="E10610" t="str">
        <f t="shared" si="2015"/>
        <v>1</v>
      </c>
      <c r="F10610" t="str">
        <f t="shared" si="2010"/>
        <v>COM</v>
      </c>
      <c r="G10610" t="str">
        <f>"CELIO JOSÉ RIBEIRO (189)"</f>
        <v>CELIO JOSÉ RIBEIRO (189)</v>
      </c>
      <c r="H10610" t="str">
        <f>"Serv.Prest. 24/10/2025 a 02/11/2025 - PIX: CELULAR - CHAVE: (33) 98845-4528"</f>
        <v>Serv.Prest. 24/10/2025 a 02/11/2025 - PIX: CELULAR - CHAVE: (33) 98845-4528</v>
      </c>
      <c r="I10610" t="str">
        <f t="shared" si="2014"/>
        <v>13/11/2025</v>
      </c>
      <c r="J10610" t="str">
        <f t="shared" si="2016"/>
        <v>04/11/2025</v>
      </c>
      <c r="K10610" t="str">
        <f>("13/11/2025")</f>
        <v>13/11/2025</v>
      </c>
      <c r="L10610">
        <v>1188</v>
      </c>
      <c r="M10610">
        <v>1188</v>
      </c>
      <c r="N10610">
        <v>109</v>
      </c>
      <c r="O10610" t="str">
        <f>"PAGAMENTO DE ENTREGADORES"</f>
        <v>PAGAMENTO DE ENTREGADORES</v>
      </c>
      <c r="P10610">
        <v>1188</v>
      </c>
      <c r="S10610" t="str">
        <f>"BANCO C6 (149)"</f>
        <v>BANCO C6 (149)</v>
      </c>
      <c r="T10610">
        <v>21611</v>
      </c>
      <c r="U10610">
        <v>24740</v>
      </c>
      <c r="V10610" t="s">
        <v>77</v>
      </c>
    </row>
    <row r="10611" spans="1:22">
      <c r="A10611" t="str">
        <f t="shared" si="2011"/>
        <v>13/11/2025</v>
      </c>
      <c r="B10611" t="str">
        <f t="shared" si="2012"/>
        <v>SAÍDA</v>
      </c>
      <c r="C10611" t="str">
        <f t="shared" si="2013"/>
        <v>PIX</v>
      </c>
      <c r="D10611" t="str">
        <f>"24740"</f>
        <v>24740</v>
      </c>
      <c r="E10611" t="str">
        <f t="shared" si="2015"/>
        <v>1</v>
      </c>
      <c r="F10611" t="str">
        <f t="shared" si="2010"/>
        <v>COM</v>
      </c>
      <c r="G10611" t="str">
        <f>"CELIO JOSÉ RIBEIRO (189)"</f>
        <v>CELIO JOSÉ RIBEIRO (189)</v>
      </c>
      <c r="H10611" t="s">
        <v>2953</v>
      </c>
      <c r="I10611" t="str">
        <f t="shared" si="2014"/>
        <v>13/11/2025</v>
      </c>
      <c r="J10611" t="str">
        <f t="shared" si="2016"/>
        <v>04/11/2025</v>
      </c>
      <c r="K10611">
        <v>45974</v>
      </c>
      <c r="N10611">
        <v>109</v>
      </c>
      <c r="O10611" t="s">
        <v>24</v>
      </c>
      <c r="Q10611">
        <v>1188</v>
      </c>
      <c r="R10611" t="str">
        <f>"FARMÁCIA INDIANA LJ 06 (10006)"</f>
        <v>FARMÁCIA INDIANA LJ 06 (10006)</v>
      </c>
      <c r="S10611" t="s">
        <v>77</v>
      </c>
      <c r="T10611">
        <v>21611</v>
      </c>
      <c r="U10611">
        <v>24740</v>
      </c>
      <c r="V10611" t="s">
        <v>77</v>
      </c>
    </row>
    <row r="10612" spans="1:22">
      <c r="A10612" t="str">
        <f t="shared" si="2011"/>
        <v>13/11/2025</v>
      </c>
      <c r="B10612" t="str">
        <f t="shared" si="2012"/>
        <v>SAÍDA</v>
      </c>
      <c r="C10612" t="str">
        <f t="shared" si="2013"/>
        <v>PIX</v>
      </c>
      <c r="D10612" t="str">
        <f>"24741"</f>
        <v>24741</v>
      </c>
      <c r="E10612" t="str">
        <f t="shared" si="2015"/>
        <v>1</v>
      </c>
      <c r="F10612" t="str">
        <f t="shared" si="2010"/>
        <v>COM</v>
      </c>
      <c r="G10612" t="str">
        <f>"CLEIDIOMAR RIBEIRO FERREIRA (34)"</f>
        <v>CLEIDIOMAR RIBEIRO FERREIRA (34)</v>
      </c>
      <c r="H10612" t="str">
        <f>"Serv.Prest. 24/10/2025 a 02/11/2025 - PIX: CELULAR - CHAVE: (31) 98511-2851"</f>
        <v>Serv.Prest. 24/10/2025 a 02/11/2025 - PIX: CELULAR - CHAVE: (31) 98511-2851</v>
      </c>
      <c r="I10612" t="str">
        <f t="shared" si="2014"/>
        <v>13/11/2025</v>
      </c>
      <c r="J10612" t="str">
        <f t="shared" si="2016"/>
        <v>04/11/2025</v>
      </c>
      <c r="K10612" t="str">
        <f>("13/11/2025")</f>
        <v>13/11/2025</v>
      </c>
      <c r="L10612">
        <v>2076</v>
      </c>
      <c r="M10612">
        <v>2076</v>
      </c>
      <c r="N10612">
        <v>109</v>
      </c>
      <c r="O10612" t="str">
        <f>"PAGAMENTO DE ENTREGADORES"</f>
        <v>PAGAMENTO DE ENTREGADORES</v>
      </c>
      <c r="P10612">
        <v>2076</v>
      </c>
      <c r="S10612" t="str">
        <f>"BANCO C6 (149)"</f>
        <v>BANCO C6 (149)</v>
      </c>
      <c r="T10612">
        <v>21612</v>
      </c>
      <c r="U10612">
        <v>24741</v>
      </c>
      <c r="V10612" t="s">
        <v>77</v>
      </c>
    </row>
    <row r="10613" spans="1:22">
      <c r="A10613" t="str">
        <f t="shared" si="2011"/>
        <v>13/11/2025</v>
      </c>
      <c r="B10613" t="str">
        <f t="shared" si="2012"/>
        <v>SAÍDA</v>
      </c>
      <c r="C10613" t="str">
        <f t="shared" si="2013"/>
        <v>PIX</v>
      </c>
      <c r="D10613" t="str">
        <f>"24741"</f>
        <v>24741</v>
      </c>
      <c r="E10613" t="str">
        <f t="shared" si="2015"/>
        <v>1</v>
      </c>
      <c r="F10613" t="str">
        <f t="shared" si="2010"/>
        <v>COM</v>
      </c>
      <c r="G10613" t="str">
        <f>"CLEIDIOMAR RIBEIRO FERREIRA (34)"</f>
        <v>CLEIDIOMAR RIBEIRO FERREIRA (34)</v>
      </c>
      <c r="H10613" t="s">
        <v>2954</v>
      </c>
      <c r="I10613" t="str">
        <f t="shared" si="2014"/>
        <v>13/11/2025</v>
      </c>
      <c r="J10613" t="str">
        <f t="shared" si="2016"/>
        <v>04/11/2025</v>
      </c>
      <c r="K10613">
        <v>45974</v>
      </c>
      <c r="N10613">
        <v>109</v>
      </c>
      <c r="O10613" t="s">
        <v>24</v>
      </c>
      <c r="Q10613">
        <v>2076</v>
      </c>
      <c r="R10613" t="str">
        <f>"FARMÁCIA INDIANA LJ 11 (10008)"</f>
        <v>FARMÁCIA INDIANA LJ 11 (10008)</v>
      </c>
      <c r="S10613" t="s">
        <v>77</v>
      </c>
      <c r="T10613">
        <v>21612</v>
      </c>
      <c r="U10613">
        <v>24741</v>
      </c>
      <c r="V10613" t="s">
        <v>77</v>
      </c>
    </row>
    <row r="10614" spans="1:22">
      <c r="A10614" t="str">
        <f t="shared" si="2011"/>
        <v>13/11/2025</v>
      </c>
      <c r="B10614" t="str">
        <f t="shared" si="2012"/>
        <v>SAÍDA</v>
      </c>
      <c r="C10614" t="str">
        <f t="shared" si="2013"/>
        <v>PIX</v>
      </c>
      <c r="D10614" t="str">
        <f>"24742"</f>
        <v>24742</v>
      </c>
      <c r="E10614" t="str">
        <f t="shared" si="2015"/>
        <v>1</v>
      </c>
      <c r="F10614" t="str">
        <f t="shared" si="2010"/>
        <v>COM</v>
      </c>
      <c r="G10614" t="str">
        <f>"CRISTIANO XAVIER DA COSTA (269)"</f>
        <v>CRISTIANO XAVIER DA COSTA (269)</v>
      </c>
      <c r="H10614" t="str">
        <f>"Serv.Prest. 24/10/2025 a 02/11/2025 - PIX: CELULAR - CHAVE: (32) 99177-6167"</f>
        <v>Serv.Prest. 24/10/2025 a 02/11/2025 - PIX: CELULAR - CHAVE: (32) 99177-6167</v>
      </c>
      <c r="I10614" t="str">
        <f t="shared" si="2014"/>
        <v>13/11/2025</v>
      </c>
      <c r="J10614" t="str">
        <f t="shared" si="2016"/>
        <v>04/11/2025</v>
      </c>
      <c r="K10614" t="str">
        <f>("13/11/2025")</f>
        <v>13/11/2025</v>
      </c>
      <c r="L10614">
        <v>2020</v>
      </c>
      <c r="M10614">
        <v>2020</v>
      </c>
      <c r="N10614">
        <v>109</v>
      </c>
      <c r="O10614" t="str">
        <f>"PAGAMENTO DE ENTREGADORES"</f>
        <v>PAGAMENTO DE ENTREGADORES</v>
      </c>
      <c r="P10614">
        <v>2020</v>
      </c>
      <c r="S10614" t="str">
        <f>"BANCO C6 (149)"</f>
        <v>BANCO C6 (149)</v>
      </c>
      <c r="T10614">
        <v>21613</v>
      </c>
      <c r="U10614">
        <v>24742</v>
      </c>
      <c r="V10614" t="s">
        <v>77</v>
      </c>
    </row>
    <row r="10615" spans="1:22">
      <c r="A10615" t="str">
        <f t="shared" si="2011"/>
        <v>13/11/2025</v>
      </c>
      <c r="B10615" t="str">
        <f t="shared" si="2012"/>
        <v>SAÍDA</v>
      </c>
      <c r="C10615" t="str">
        <f t="shared" si="2013"/>
        <v>PIX</v>
      </c>
      <c r="D10615" t="str">
        <f>"24742"</f>
        <v>24742</v>
      </c>
      <c r="E10615" t="str">
        <f t="shared" si="2015"/>
        <v>1</v>
      </c>
      <c r="F10615" t="str">
        <f t="shared" ref="F10615:F10678" si="2017">"COM"</f>
        <v>COM</v>
      </c>
      <c r="G10615" t="str">
        <f>"CRISTIANO XAVIER DA COSTA (269)"</f>
        <v>CRISTIANO XAVIER DA COSTA (269)</v>
      </c>
      <c r="H10615" t="s">
        <v>2822</v>
      </c>
      <c r="I10615" t="str">
        <f t="shared" si="2014"/>
        <v>13/11/2025</v>
      </c>
      <c r="J10615" t="str">
        <f t="shared" si="2016"/>
        <v>04/11/2025</v>
      </c>
      <c r="K10615">
        <v>45974</v>
      </c>
      <c r="N10615">
        <v>109</v>
      </c>
      <c r="O10615" t="s">
        <v>24</v>
      </c>
      <c r="Q10615">
        <v>1083.93</v>
      </c>
      <c r="R10615" t="str">
        <f>"FARMÁCIA INDIANA LJ 207 (10088)"</f>
        <v>FARMÁCIA INDIANA LJ 207 (10088)</v>
      </c>
      <c r="S10615" t="s">
        <v>77</v>
      </c>
      <c r="T10615">
        <v>21613</v>
      </c>
      <c r="U10615">
        <v>24742</v>
      </c>
      <c r="V10615" t="s">
        <v>77</v>
      </c>
    </row>
    <row r="10616" spans="1:22">
      <c r="A10616" t="str">
        <f t="shared" si="2011"/>
        <v>13/11/2025</v>
      </c>
      <c r="B10616" t="str">
        <f t="shared" si="2012"/>
        <v>SAÍDA</v>
      </c>
      <c r="C10616" t="str">
        <f t="shared" si="2013"/>
        <v>PIX</v>
      </c>
      <c r="D10616" t="str">
        <f>"24742"</f>
        <v>24742</v>
      </c>
      <c r="E10616" t="str">
        <f t="shared" si="2015"/>
        <v>1</v>
      </c>
      <c r="F10616" t="str">
        <f t="shared" si="2017"/>
        <v>COM</v>
      </c>
      <c r="G10616" t="str">
        <f>"CRISTIANO XAVIER DA COSTA (269)"</f>
        <v>CRISTIANO XAVIER DA COSTA (269)</v>
      </c>
      <c r="H10616" t="s">
        <v>2822</v>
      </c>
      <c r="I10616" t="str">
        <f t="shared" si="2014"/>
        <v>13/11/2025</v>
      </c>
      <c r="J10616" t="str">
        <f t="shared" si="2016"/>
        <v>04/11/2025</v>
      </c>
      <c r="K10616">
        <v>45974</v>
      </c>
      <c r="N10616">
        <v>109</v>
      </c>
      <c r="O10616" t="s">
        <v>24</v>
      </c>
      <c r="Q10616">
        <v>936.07</v>
      </c>
      <c r="R10616" t="str">
        <f>"FARMÁCIA INDIANA LJ 209 (10089)"</f>
        <v>FARMÁCIA INDIANA LJ 209 (10089)</v>
      </c>
      <c r="S10616" t="s">
        <v>77</v>
      </c>
      <c r="T10616">
        <v>21613</v>
      </c>
      <c r="U10616">
        <v>24742</v>
      </c>
      <c r="V10616" t="s">
        <v>77</v>
      </c>
    </row>
    <row r="10617" spans="1:22">
      <c r="A10617" t="str">
        <f t="shared" si="2011"/>
        <v>13/11/2025</v>
      </c>
      <c r="B10617" t="str">
        <f t="shared" si="2012"/>
        <v>SAÍDA</v>
      </c>
      <c r="C10617" t="str">
        <f t="shared" si="2013"/>
        <v>PIX</v>
      </c>
      <c r="D10617" t="str">
        <f>"24743"</f>
        <v>24743</v>
      </c>
      <c r="E10617" t="str">
        <f t="shared" si="2015"/>
        <v>1</v>
      </c>
      <c r="F10617" t="str">
        <f t="shared" si="2017"/>
        <v>COM</v>
      </c>
      <c r="G10617" t="str">
        <f>"DAMÁSIO JOSÉ DO NASCIMENTO NETO (147)"</f>
        <v>DAMÁSIO JOSÉ DO NASCIMENTO NETO (147)</v>
      </c>
      <c r="H10617" t="str">
        <f>"Serv.Prest. 24/10/2025 a 02/11/2025 - PIX: CPF - CHAVE: 110.483.296-82"</f>
        <v>Serv.Prest. 24/10/2025 a 02/11/2025 - PIX: CPF - CHAVE: 110.483.296-82</v>
      </c>
      <c r="I10617" t="str">
        <f t="shared" si="2014"/>
        <v>13/11/2025</v>
      </c>
      <c r="J10617" t="str">
        <f t="shared" si="2016"/>
        <v>04/11/2025</v>
      </c>
      <c r="K10617" t="str">
        <f>("13/11/2025")</f>
        <v>13/11/2025</v>
      </c>
      <c r="L10617">
        <v>1608</v>
      </c>
      <c r="M10617">
        <v>1608</v>
      </c>
      <c r="N10617">
        <v>109</v>
      </c>
      <c r="O10617" t="str">
        <f>"PAGAMENTO DE ENTREGADORES"</f>
        <v>PAGAMENTO DE ENTREGADORES</v>
      </c>
      <c r="P10617">
        <v>1608</v>
      </c>
      <c r="S10617" t="str">
        <f>"BANCO C6 (149)"</f>
        <v>BANCO C6 (149)</v>
      </c>
      <c r="T10617">
        <v>21614</v>
      </c>
      <c r="U10617">
        <v>24743</v>
      </c>
      <c r="V10617" t="s">
        <v>77</v>
      </c>
    </row>
    <row r="10618" spans="1:22">
      <c r="A10618" t="str">
        <f t="shared" si="2011"/>
        <v>13/11/2025</v>
      </c>
      <c r="B10618" t="str">
        <f t="shared" si="2012"/>
        <v>SAÍDA</v>
      </c>
      <c r="C10618" t="str">
        <f t="shared" si="2013"/>
        <v>PIX</v>
      </c>
      <c r="D10618" t="str">
        <f>"24743"</f>
        <v>24743</v>
      </c>
      <c r="E10618" t="str">
        <f t="shared" si="2015"/>
        <v>1</v>
      </c>
      <c r="F10618" t="str">
        <f t="shared" si="2017"/>
        <v>COM</v>
      </c>
      <c r="G10618" t="str">
        <f>"DAMÁSIO JOSÉ DO NASCIMENTO NETO (147)"</f>
        <v>DAMÁSIO JOSÉ DO NASCIMENTO NETO (147)</v>
      </c>
      <c r="H10618" t="s">
        <v>2955</v>
      </c>
      <c r="I10618" t="str">
        <f t="shared" si="2014"/>
        <v>13/11/2025</v>
      </c>
      <c r="J10618" t="str">
        <f t="shared" si="2016"/>
        <v>04/11/2025</v>
      </c>
      <c r="K10618">
        <v>45974</v>
      </c>
      <c r="N10618">
        <v>109</v>
      </c>
      <c r="O10618" t="s">
        <v>24</v>
      </c>
      <c r="Q10618">
        <v>1608</v>
      </c>
      <c r="R10618" t="str">
        <f>"FARMÁCIA INDIANA LJ 142 (10066)"</f>
        <v>FARMÁCIA INDIANA LJ 142 (10066)</v>
      </c>
      <c r="S10618" t="s">
        <v>77</v>
      </c>
      <c r="T10618">
        <v>21614</v>
      </c>
      <c r="U10618">
        <v>24743</v>
      </c>
      <c r="V10618" t="s">
        <v>77</v>
      </c>
    </row>
    <row r="10619" spans="1:22">
      <c r="A10619" t="str">
        <f t="shared" si="2011"/>
        <v>13/11/2025</v>
      </c>
      <c r="B10619" t="str">
        <f t="shared" si="2012"/>
        <v>SAÍDA</v>
      </c>
      <c r="C10619" t="str">
        <f t="shared" si="2013"/>
        <v>PIX</v>
      </c>
      <c r="D10619" t="str">
        <f>"24744"</f>
        <v>24744</v>
      </c>
      <c r="E10619" t="str">
        <f t="shared" si="2015"/>
        <v>1</v>
      </c>
      <c r="F10619" t="str">
        <f t="shared" si="2017"/>
        <v>COM</v>
      </c>
      <c r="G10619" t="str">
        <f>"DANILO WASHINGTON DOS SANTOS (770)"</f>
        <v>DANILO WASHINGTON DOS SANTOS (770)</v>
      </c>
      <c r="H10619" t="str">
        <f>"Serv.Prest. 24/10/2025 a 02/11/2025 - PIX: CELULAR - CHAVE: (33) 98749-5105"</f>
        <v>Serv.Prest. 24/10/2025 a 02/11/2025 - PIX: CELULAR - CHAVE: (33) 98749-5105</v>
      </c>
      <c r="I10619" t="str">
        <f t="shared" si="2014"/>
        <v>13/11/2025</v>
      </c>
      <c r="J10619" t="str">
        <f t="shared" si="2016"/>
        <v>04/11/2025</v>
      </c>
      <c r="K10619" t="str">
        <f>("13/11/2025")</f>
        <v>13/11/2025</v>
      </c>
      <c r="L10619">
        <v>1360</v>
      </c>
      <c r="M10619">
        <v>1360</v>
      </c>
      <c r="N10619">
        <v>109</v>
      </c>
      <c r="O10619" t="str">
        <f>"PAGAMENTO DE ENTREGADORES"</f>
        <v>PAGAMENTO DE ENTREGADORES</v>
      </c>
      <c r="P10619">
        <v>1360</v>
      </c>
      <c r="S10619" t="str">
        <f>"BANCO C6 (149)"</f>
        <v>BANCO C6 (149)</v>
      </c>
      <c r="T10619">
        <v>21615</v>
      </c>
      <c r="U10619">
        <v>24744</v>
      </c>
      <c r="V10619" t="s">
        <v>77</v>
      </c>
    </row>
    <row r="10620" spans="1:22">
      <c r="A10620" t="str">
        <f t="shared" si="2011"/>
        <v>13/11/2025</v>
      </c>
      <c r="B10620" t="str">
        <f t="shared" si="2012"/>
        <v>SAÍDA</v>
      </c>
      <c r="C10620" t="str">
        <f t="shared" si="2013"/>
        <v>PIX</v>
      </c>
      <c r="D10620" t="str">
        <f>"24744"</f>
        <v>24744</v>
      </c>
      <c r="E10620" t="str">
        <f t="shared" si="2015"/>
        <v>1</v>
      </c>
      <c r="F10620" t="str">
        <f t="shared" si="2017"/>
        <v>COM</v>
      </c>
      <c r="G10620" t="str">
        <f>"DANILO WASHINGTON DOS SANTOS (770)"</f>
        <v>DANILO WASHINGTON DOS SANTOS (770)</v>
      </c>
      <c r="H10620" t="s">
        <v>2823</v>
      </c>
      <c r="I10620" t="str">
        <f t="shared" si="2014"/>
        <v>13/11/2025</v>
      </c>
      <c r="J10620" t="str">
        <f t="shared" si="2016"/>
        <v>04/11/2025</v>
      </c>
      <c r="K10620">
        <v>45974</v>
      </c>
      <c r="N10620">
        <v>109</v>
      </c>
      <c r="O10620" t="s">
        <v>24</v>
      </c>
      <c r="Q10620">
        <v>1360</v>
      </c>
      <c r="R10620" t="str">
        <f>"FARMÁCIA INDIANA LJ 07 (10007)"</f>
        <v>FARMÁCIA INDIANA LJ 07 (10007)</v>
      </c>
      <c r="S10620" t="s">
        <v>77</v>
      </c>
      <c r="T10620">
        <v>21615</v>
      </c>
      <c r="U10620">
        <v>24744</v>
      </c>
      <c r="V10620" t="s">
        <v>77</v>
      </c>
    </row>
    <row r="10621" spans="1:22">
      <c r="A10621" t="str">
        <f t="shared" si="2011"/>
        <v>13/11/2025</v>
      </c>
      <c r="B10621" t="str">
        <f t="shared" si="2012"/>
        <v>SAÍDA</v>
      </c>
      <c r="C10621" t="str">
        <f t="shared" si="2013"/>
        <v>PIX</v>
      </c>
      <c r="D10621" t="str">
        <f>"24745"</f>
        <v>24745</v>
      </c>
      <c r="E10621" t="str">
        <f t="shared" si="2015"/>
        <v>1</v>
      </c>
      <c r="F10621" t="str">
        <f t="shared" si="2017"/>
        <v>COM</v>
      </c>
      <c r="G10621" t="str">
        <f>"DANTE SOARES DA SILVA (416)"</f>
        <v>DANTE SOARES DA SILVA (416)</v>
      </c>
      <c r="H10621" t="str">
        <f>"Serv.Prest. 24/10/2025 a 02/11/2025 - PIX: CELULAR - CHAVE: (33) 99802-1883"</f>
        <v>Serv.Prest. 24/10/2025 a 02/11/2025 - PIX: CELULAR - CHAVE: (33) 99802-1883</v>
      </c>
      <c r="I10621" t="str">
        <f t="shared" si="2014"/>
        <v>13/11/2025</v>
      </c>
      <c r="J10621" t="str">
        <f t="shared" si="2016"/>
        <v>04/11/2025</v>
      </c>
      <c r="K10621" t="str">
        <f>("13/11/2025")</f>
        <v>13/11/2025</v>
      </c>
      <c r="L10621">
        <v>759.1</v>
      </c>
      <c r="M10621">
        <v>759.1</v>
      </c>
      <c r="N10621">
        <v>109</v>
      </c>
      <c r="O10621" t="str">
        <f>"PAGAMENTO DE ENTREGADORES"</f>
        <v>PAGAMENTO DE ENTREGADORES</v>
      </c>
      <c r="P10621">
        <v>759.1</v>
      </c>
      <c r="S10621" t="str">
        <f>"BANCO C6 (149)"</f>
        <v>BANCO C6 (149)</v>
      </c>
      <c r="T10621">
        <v>21616</v>
      </c>
      <c r="U10621">
        <v>24745</v>
      </c>
      <c r="V10621" t="s">
        <v>77</v>
      </c>
    </row>
    <row r="10622" spans="1:22">
      <c r="A10622" t="str">
        <f t="shared" si="2011"/>
        <v>13/11/2025</v>
      </c>
      <c r="B10622" t="str">
        <f t="shared" si="2012"/>
        <v>SAÍDA</v>
      </c>
      <c r="C10622" t="str">
        <f t="shared" si="2013"/>
        <v>PIX</v>
      </c>
      <c r="D10622" t="str">
        <f>"24745"</f>
        <v>24745</v>
      </c>
      <c r="E10622" t="str">
        <f t="shared" si="2015"/>
        <v>1</v>
      </c>
      <c r="F10622" t="str">
        <f t="shared" si="2017"/>
        <v>COM</v>
      </c>
      <c r="G10622" t="str">
        <f>"DANTE SOARES DA SILVA (416)"</f>
        <v>DANTE SOARES DA SILVA (416)</v>
      </c>
      <c r="H10622" t="s">
        <v>2565</v>
      </c>
      <c r="I10622" t="str">
        <f t="shared" si="2014"/>
        <v>13/11/2025</v>
      </c>
      <c r="J10622" t="str">
        <f t="shared" si="2016"/>
        <v>04/11/2025</v>
      </c>
      <c r="K10622">
        <v>45974</v>
      </c>
      <c r="N10622">
        <v>109</v>
      </c>
      <c r="O10622" t="s">
        <v>24</v>
      </c>
      <c r="Q10622">
        <v>759.1</v>
      </c>
      <c r="R10622" t="str">
        <f>"FARMÁCIA INDIANA LJ 59 (10026)"</f>
        <v>FARMÁCIA INDIANA LJ 59 (10026)</v>
      </c>
      <c r="S10622" t="s">
        <v>77</v>
      </c>
      <c r="T10622">
        <v>21616</v>
      </c>
      <c r="U10622">
        <v>24745</v>
      </c>
      <c r="V10622" t="s">
        <v>77</v>
      </c>
    </row>
    <row r="10623" spans="1:22">
      <c r="A10623" t="str">
        <f t="shared" si="2011"/>
        <v>13/11/2025</v>
      </c>
      <c r="B10623" t="str">
        <f t="shared" si="2012"/>
        <v>SAÍDA</v>
      </c>
      <c r="C10623" t="str">
        <f t="shared" si="2013"/>
        <v>PIX</v>
      </c>
      <c r="D10623" t="str">
        <f>"24746"</f>
        <v>24746</v>
      </c>
      <c r="E10623" t="str">
        <f t="shared" si="2015"/>
        <v>1</v>
      </c>
      <c r="F10623" t="str">
        <f t="shared" si="2017"/>
        <v>COM</v>
      </c>
      <c r="G10623" t="str">
        <f>"DEVANILDO PONTES CASAGRANDE (179)"</f>
        <v>DEVANILDO PONTES CASAGRANDE (179)</v>
      </c>
      <c r="H10623" t="str">
        <f>"Serv.Prest. 24/10/2025 a 02/11/2025 - PIX: CELULAR - CHAVE: (31) 99610-7049"</f>
        <v>Serv.Prest. 24/10/2025 a 02/11/2025 - PIX: CELULAR - CHAVE: (31) 99610-7049</v>
      </c>
      <c r="I10623" t="str">
        <f t="shared" si="2014"/>
        <v>13/11/2025</v>
      </c>
      <c r="J10623" t="str">
        <f t="shared" si="2016"/>
        <v>04/11/2025</v>
      </c>
      <c r="K10623" t="str">
        <f>("13/11/2025")</f>
        <v>13/11/2025</v>
      </c>
      <c r="L10623">
        <v>1168</v>
      </c>
      <c r="M10623">
        <v>1168</v>
      </c>
      <c r="N10623">
        <v>109</v>
      </c>
      <c r="O10623" t="str">
        <f>"PAGAMENTO DE ENTREGADORES"</f>
        <v>PAGAMENTO DE ENTREGADORES</v>
      </c>
      <c r="P10623">
        <v>1168</v>
      </c>
      <c r="S10623" t="str">
        <f>"BANCO C6 (149)"</f>
        <v>BANCO C6 (149)</v>
      </c>
      <c r="T10623">
        <v>21617</v>
      </c>
      <c r="U10623">
        <v>24746</v>
      </c>
      <c r="V10623" t="s">
        <v>77</v>
      </c>
    </row>
    <row r="10624" spans="1:22">
      <c r="A10624" t="str">
        <f t="shared" si="2011"/>
        <v>13/11/2025</v>
      </c>
      <c r="B10624" t="str">
        <f t="shared" si="2012"/>
        <v>SAÍDA</v>
      </c>
      <c r="C10624" t="str">
        <f t="shared" si="2013"/>
        <v>PIX</v>
      </c>
      <c r="D10624" t="str">
        <f>"24746"</f>
        <v>24746</v>
      </c>
      <c r="E10624" t="str">
        <f t="shared" si="2015"/>
        <v>1</v>
      </c>
      <c r="F10624" t="str">
        <f t="shared" si="2017"/>
        <v>COM</v>
      </c>
      <c r="G10624" t="str">
        <f>"DEVANILDO PONTES CASAGRANDE (179)"</f>
        <v>DEVANILDO PONTES CASAGRANDE (179)</v>
      </c>
      <c r="H10624" t="s">
        <v>2824</v>
      </c>
      <c r="I10624" t="str">
        <f t="shared" si="2014"/>
        <v>13/11/2025</v>
      </c>
      <c r="J10624" t="str">
        <f t="shared" si="2016"/>
        <v>04/11/2025</v>
      </c>
      <c r="K10624">
        <v>45974</v>
      </c>
      <c r="N10624">
        <v>109</v>
      </c>
      <c r="O10624" t="s">
        <v>24</v>
      </c>
      <c r="Q10624">
        <v>1168</v>
      </c>
      <c r="R10624" t="str">
        <f>"FARMÁCIA INDIANA LJ 142 (10066)"</f>
        <v>FARMÁCIA INDIANA LJ 142 (10066)</v>
      </c>
      <c r="S10624" t="s">
        <v>77</v>
      </c>
      <c r="T10624">
        <v>21617</v>
      </c>
      <c r="U10624">
        <v>24746</v>
      </c>
      <c r="V10624" t="s">
        <v>77</v>
      </c>
    </row>
    <row r="10625" spans="1:22">
      <c r="A10625" t="str">
        <f t="shared" si="2011"/>
        <v>13/11/2025</v>
      </c>
      <c r="B10625" t="str">
        <f t="shared" si="2012"/>
        <v>SAÍDA</v>
      </c>
      <c r="C10625" t="str">
        <f t="shared" si="2013"/>
        <v>PIX</v>
      </c>
      <c r="D10625" t="str">
        <f>"24747"</f>
        <v>24747</v>
      </c>
      <c r="E10625" t="str">
        <f t="shared" si="2015"/>
        <v>1</v>
      </c>
      <c r="F10625" t="str">
        <f t="shared" si="2017"/>
        <v>COM</v>
      </c>
      <c r="G10625" t="str">
        <f>"DIEGO DAYSON FERNANDES VIEIRA (893)"</f>
        <v>DIEGO DAYSON FERNANDES VIEIRA (893)</v>
      </c>
      <c r="H10625" t="str">
        <f>"Serv.Prest. 24/10/2025 a 02/11/2025 - PIX: E-MAIL - CHAVE: turano296801@gmail.com"</f>
        <v>Serv.Prest. 24/10/2025 a 02/11/2025 - PIX: E-MAIL - CHAVE: turano296801@gmail.com</v>
      </c>
      <c r="I10625" t="str">
        <f t="shared" si="2014"/>
        <v>13/11/2025</v>
      </c>
      <c r="J10625" t="str">
        <f t="shared" si="2016"/>
        <v>04/11/2025</v>
      </c>
      <c r="K10625" t="str">
        <f>("13/11/2025")</f>
        <v>13/11/2025</v>
      </c>
      <c r="L10625">
        <v>555</v>
      </c>
      <c r="M10625">
        <v>555</v>
      </c>
      <c r="N10625">
        <v>109</v>
      </c>
      <c r="O10625" t="str">
        <f>"PAGAMENTO DE ENTREGADORES"</f>
        <v>PAGAMENTO DE ENTREGADORES</v>
      </c>
      <c r="P10625">
        <v>555</v>
      </c>
      <c r="S10625" t="str">
        <f>"BANCO C6 (149)"</f>
        <v>BANCO C6 (149)</v>
      </c>
      <c r="T10625">
        <v>21618</v>
      </c>
      <c r="U10625">
        <v>24747</v>
      </c>
      <c r="V10625" t="s">
        <v>77</v>
      </c>
    </row>
    <row r="10626" spans="1:22">
      <c r="A10626" t="str">
        <f t="shared" si="2011"/>
        <v>13/11/2025</v>
      </c>
      <c r="B10626" t="str">
        <f t="shared" si="2012"/>
        <v>SAÍDA</v>
      </c>
      <c r="C10626" t="str">
        <f t="shared" si="2013"/>
        <v>PIX</v>
      </c>
      <c r="D10626" t="str">
        <f>"24747"</f>
        <v>24747</v>
      </c>
      <c r="E10626" t="str">
        <f t="shared" si="2015"/>
        <v>1</v>
      </c>
      <c r="F10626" t="str">
        <f t="shared" si="2017"/>
        <v>COM</v>
      </c>
      <c r="G10626" t="str">
        <f>"DIEGO DAYSON FERNANDES VIEIRA (893)"</f>
        <v>DIEGO DAYSON FERNANDES VIEIRA (893)</v>
      </c>
      <c r="H10626" t="s">
        <v>2787</v>
      </c>
      <c r="I10626" t="str">
        <f t="shared" si="2014"/>
        <v>13/11/2025</v>
      </c>
      <c r="J10626" t="str">
        <f t="shared" si="2016"/>
        <v>04/11/2025</v>
      </c>
      <c r="K10626">
        <v>45974</v>
      </c>
      <c r="N10626">
        <v>109</v>
      </c>
      <c r="O10626" t="s">
        <v>24</v>
      </c>
      <c r="Q10626">
        <v>555</v>
      </c>
      <c r="R10626" t="str">
        <f>"FARMÁCIA INDIANA LJ 205 (10150)"</f>
        <v>FARMÁCIA INDIANA LJ 205 (10150)</v>
      </c>
      <c r="S10626" t="s">
        <v>77</v>
      </c>
      <c r="T10626">
        <v>21618</v>
      </c>
      <c r="U10626">
        <v>24747</v>
      </c>
      <c r="V10626" t="s">
        <v>77</v>
      </c>
    </row>
    <row r="10627" spans="1:22">
      <c r="A10627" t="str">
        <f t="shared" si="2011"/>
        <v>13/11/2025</v>
      </c>
      <c r="B10627" t="str">
        <f t="shared" si="2012"/>
        <v>SAÍDA</v>
      </c>
      <c r="C10627" t="str">
        <f t="shared" si="2013"/>
        <v>PIX</v>
      </c>
      <c r="D10627" t="str">
        <f>"24748"</f>
        <v>24748</v>
      </c>
      <c r="E10627" t="str">
        <f t="shared" si="2015"/>
        <v>1</v>
      </c>
      <c r="F10627" t="str">
        <f t="shared" si="2017"/>
        <v>COM</v>
      </c>
      <c r="G10627" t="str">
        <f>"DIEGO DIRLEY RIBEIRO (38)"</f>
        <v>DIEGO DIRLEY RIBEIRO (38)</v>
      </c>
      <c r="H10627" t="str">
        <f>"Serv.Prest. 24/10/2025 a 02/11/2025 - PIX: CPF - CHAVE: 102.023.716-38"</f>
        <v>Serv.Prest. 24/10/2025 a 02/11/2025 - PIX: CPF - CHAVE: 102.023.716-38</v>
      </c>
      <c r="I10627" t="str">
        <f t="shared" si="2014"/>
        <v>13/11/2025</v>
      </c>
      <c r="J10627" t="str">
        <f t="shared" si="2016"/>
        <v>04/11/2025</v>
      </c>
      <c r="K10627" t="str">
        <f>("13/11/2025")</f>
        <v>13/11/2025</v>
      </c>
      <c r="L10627">
        <v>2214</v>
      </c>
      <c r="M10627">
        <v>2214</v>
      </c>
      <c r="N10627">
        <v>109</v>
      </c>
      <c r="O10627" t="str">
        <f>"PAGAMENTO DE ENTREGADORES"</f>
        <v>PAGAMENTO DE ENTREGADORES</v>
      </c>
      <c r="P10627">
        <v>2214</v>
      </c>
      <c r="S10627" t="str">
        <f>"BANCO C6 (149)"</f>
        <v>BANCO C6 (149)</v>
      </c>
      <c r="T10627">
        <v>21619</v>
      </c>
      <c r="U10627">
        <v>24748</v>
      </c>
      <c r="V10627" t="s">
        <v>77</v>
      </c>
    </row>
    <row r="10628" spans="1:22">
      <c r="A10628" t="str">
        <f t="shared" si="2011"/>
        <v>13/11/2025</v>
      </c>
      <c r="B10628" t="str">
        <f t="shared" si="2012"/>
        <v>SAÍDA</v>
      </c>
      <c r="C10628" t="str">
        <f t="shared" si="2013"/>
        <v>PIX</v>
      </c>
      <c r="D10628" t="str">
        <f>"24748"</f>
        <v>24748</v>
      </c>
      <c r="E10628" t="str">
        <f t="shared" si="2015"/>
        <v>1</v>
      </c>
      <c r="F10628" t="str">
        <f t="shared" si="2017"/>
        <v>COM</v>
      </c>
      <c r="G10628" t="str">
        <f>"DIEGO DIRLEY RIBEIRO (38)"</f>
        <v>DIEGO DIRLEY RIBEIRO (38)</v>
      </c>
      <c r="H10628" t="s">
        <v>2956</v>
      </c>
      <c r="I10628" t="str">
        <f t="shared" si="2014"/>
        <v>13/11/2025</v>
      </c>
      <c r="J10628" t="str">
        <f t="shared" si="2016"/>
        <v>04/11/2025</v>
      </c>
      <c r="K10628">
        <v>45974</v>
      </c>
      <c r="N10628">
        <v>109</v>
      </c>
      <c r="O10628" t="s">
        <v>24</v>
      </c>
      <c r="Q10628">
        <v>2214</v>
      </c>
      <c r="R10628" t="str">
        <f>"FARMÁCIA INDIANA LJ 172 (10161)"</f>
        <v>FARMÁCIA INDIANA LJ 172 (10161)</v>
      </c>
      <c r="S10628" t="s">
        <v>77</v>
      </c>
      <c r="T10628">
        <v>21619</v>
      </c>
      <c r="U10628">
        <v>24748</v>
      </c>
      <c r="V10628" t="s">
        <v>77</v>
      </c>
    </row>
    <row r="10629" spans="1:22">
      <c r="A10629" t="str">
        <f t="shared" si="2011"/>
        <v>13/11/2025</v>
      </c>
      <c r="B10629" t="str">
        <f t="shared" si="2012"/>
        <v>SAÍDA</v>
      </c>
      <c r="C10629" t="str">
        <f t="shared" si="2013"/>
        <v>PIX</v>
      </c>
      <c r="D10629" t="str">
        <f>"24749"</f>
        <v>24749</v>
      </c>
      <c r="E10629" t="str">
        <f t="shared" si="2015"/>
        <v>1</v>
      </c>
      <c r="F10629" t="str">
        <f t="shared" si="2017"/>
        <v>COM</v>
      </c>
      <c r="G10629" t="str">
        <f>"DIONE OLIVEIRA SILVA (214)"</f>
        <v>DIONE OLIVEIRA SILVA (214)</v>
      </c>
      <c r="H10629" t="str">
        <f>"Serv.Prest. 24/10/2025 a 02/11/2025 - PIX: CELULAR - CHAVE: (33) 98890-5095"</f>
        <v>Serv.Prest. 24/10/2025 a 02/11/2025 - PIX: CELULAR - CHAVE: (33) 98890-5095</v>
      </c>
      <c r="I10629" t="str">
        <f t="shared" si="2014"/>
        <v>13/11/2025</v>
      </c>
      <c r="J10629" t="str">
        <f t="shared" si="2016"/>
        <v>04/11/2025</v>
      </c>
      <c r="K10629" t="str">
        <f>("13/11/2025")</f>
        <v>13/11/2025</v>
      </c>
      <c r="L10629">
        <v>2226</v>
      </c>
      <c r="M10629">
        <v>2226</v>
      </c>
      <c r="N10629">
        <v>109</v>
      </c>
      <c r="O10629" t="str">
        <f>"PAGAMENTO DE ENTREGADORES"</f>
        <v>PAGAMENTO DE ENTREGADORES</v>
      </c>
      <c r="P10629">
        <v>2226</v>
      </c>
      <c r="S10629" t="str">
        <f>"BANCO C6 (149)"</f>
        <v>BANCO C6 (149)</v>
      </c>
      <c r="T10629">
        <v>21620</v>
      </c>
      <c r="U10629">
        <v>24749</v>
      </c>
      <c r="V10629" t="s">
        <v>77</v>
      </c>
    </row>
    <row r="10630" spans="1:22">
      <c r="A10630" t="str">
        <f t="shared" si="2011"/>
        <v>13/11/2025</v>
      </c>
      <c r="B10630" t="str">
        <f t="shared" si="2012"/>
        <v>SAÍDA</v>
      </c>
      <c r="C10630" t="str">
        <f t="shared" si="2013"/>
        <v>PIX</v>
      </c>
      <c r="D10630" t="str">
        <f>"24749"</f>
        <v>24749</v>
      </c>
      <c r="E10630" t="str">
        <f t="shared" si="2015"/>
        <v>1</v>
      </c>
      <c r="F10630" t="str">
        <f t="shared" si="2017"/>
        <v>COM</v>
      </c>
      <c r="G10630" t="str">
        <f>"DIONE OLIVEIRA SILVA (214)"</f>
        <v>DIONE OLIVEIRA SILVA (214)</v>
      </c>
      <c r="H10630" t="s">
        <v>2957</v>
      </c>
      <c r="I10630" t="str">
        <f t="shared" si="2014"/>
        <v>13/11/2025</v>
      </c>
      <c r="J10630" t="str">
        <f t="shared" si="2016"/>
        <v>04/11/2025</v>
      </c>
      <c r="K10630">
        <v>45974</v>
      </c>
      <c r="N10630">
        <v>109</v>
      </c>
      <c r="O10630" t="s">
        <v>24</v>
      </c>
      <c r="Q10630">
        <v>2226</v>
      </c>
      <c r="R10630" t="str">
        <f>"FARMÁCIA INDIANA LJ 14 (10009)"</f>
        <v>FARMÁCIA INDIANA LJ 14 (10009)</v>
      </c>
      <c r="S10630" t="s">
        <v>77</v>
      </c>
      <c r="T10630">
        <v>21620</v>
      </c>
      <c r="U10630">
        <v>24749</v>
      </c>
      <c r="V10630" t="s">
        <v>77</v>
      </c>
    </row>
    <row r="10631" spans="1:22">
      <c r="A10631" t="str">
        <f t="shared" si="2011"/>
        <v>13/11/2025</v>
      </c>
      <c r="B10631" t="str">
        <f t="shared" si="2012"/>
        <v>SAÍDA</v>
      </c>
      <c r="C10631" t="str">
        <f t="shared" si="2013"/>
        <v>PIX</v>
      </c>
      <c r="D10631" t="str">
        <f>"24750"</f>
        <v>24750</v>
      </c>
      <c r="E10631" t="str">
        <f t="shared" si="2015"/>
        <v>1</v>
      </c>
      <c r="F10631" t="str">
        <f t="shared" si="2017"/>
        <v>COM</v>
      </c>
      <c r="G10631" t="str">
        <f>"EDIONIO CARVALHO DA SILVA (920)"</f>
        <v>EDIONIO CARVALHO DA SILVA (920)</v>
      </c>
      <c r="H10631" t="str">
        <f>"Serv.Prest. 24/10/2025 a 02/11/2025 - PIX: CELULAR - CHAVE: (33) 99199-7983"</f>
        <v>Serv.Prest. 24/10/2025 a 02/11/2025 - PIX: CELULAR - CHAVE: (33) 99199-7983</v>
      </c>
      <c r="I10631" t="str">
        <f t="shared" si="2014"/>
        <v>13/11/2025</v>
      </c>
      <c r="J10631" t="str">
        <f t="shared" si="2016"/>
        <v>04/11/2025</v>
      </c>
      <c r="K10631" t="str">
        <f>("13/11/2025")</f>
        <v>13/11/2025</v>
      </c>
      <c r="L10631">
        <v>750</v>
      </c>
      <c r="M10631">
        <v>750</v>
      </c>
      <c r="N10631">
        <v>109</v>
      </c>
      <c r="O10631" t="str">
        <f>"PAGAMENTO DE ENTREGADORES"</f>
        <v>PAGAMENTO DE ENTREGADORES</v>
      </c>
      <c r="P10631">
        <v>750</v>
      </c>
      <c r="S10631" t="str">
        <f>"BANCO C6 (149)"</f>
        <v>BANCO C6 (149)</v>
      </c>
      <c r="T10631">
        <v>21621</v>
      </c>
      <c r="U10631">
        <v>24750</v>
      </c>
      <c r="V10631" t="s">
        <v>77</v>
      </c>
    </row>
    <row r="10632" spans="1:22">
      <c r="A10632" t="str">
        <f t="shared" si="2011"/>
        <v>13/11/2025</v>
      </c>
      <c r="B10632" t="str">
        <f t="shared" si="2012"/>
        <v>SAÍDA</v>
      </c>
      <c r="C10632" t="str">
        <f t="shared" si="2013"/>
        <v>PIX</v>
      </c>
      <c r="D10632" t="str">
        <f>"24750"</f>
        <v>24750</v>
      </c>
      <c r="E10632" t="str">
        <f t="shared" si="2015"/>
        <v>1</v>
      </c>
      <c r="F10632" t="str">
        <f t="shared" si="2017"/>
        <v>COM</v>
      </c>
      <c r="G10632" t="str">
        <f>"EDIONIO CARVALHO DA SILVA (920)"</f>
        <v>EDIONIO CARVALHO DA SILVA (920)</v>
      </c>
      <c r="H10632" t="s">
        <v>2958</v>
      </c>
      <c r="I10632" t="str">
        <f t="shared" si="2014"/>
        <v>13/11/2025</v>
      </c>
      <c r="J10632" t="str">
        <f t="shared" si="2016"/>
        <v>04/11/2025</v>
      </c>
      <c r="K10632">
        <v>45974</v>
      </c>
      <c r="N10632">
        <v>109</v>
      </c>
      <c r="O10632" t="s">
        <v>24</v>
      </c>
      <c r="Q10632">
        <v>750</v>
      </c>
      <c r="R10632" t="str">
        <f>"FARMÁCIA INDIANA LJ 171 (10074)"</f>
        <v>FARMÁCIA INDIANA LJ 171 (10074)</v>
      </c>
      <c r="S10632" t="s">
        <v>77</v>
      </c>
      <c r="T10632">
        <v>21621</v>
      </c>
      <c r="U10632">
        <v>24750</v>
      </c>
      <c r="V10632" t="s">
        <v>77</v>
      </c>
    </row>
    <row r="10633" spans="1:22">
      <c r="A10633" t="str">
        <f t="shared" si="2011"/>
        <v>13/11/2025</v>
      </c>
      <c r="B10633" t="str">
        <f t="shared" si="2012"/>
        <v>SAÍDA</v>
      </c>
      <c r="C10633" t="str">
        <f t="shared" si="2013"/>
        <v>PIX</v>
      </c>
      <c r="D10633" t="str">
        <f>"24751"</f>
        <v>24751</v>
      </c>
      <c r="E10633" t="str">
        <f t="shared" si="2015"/>
        <v>1</v>
      </c>
      <c r="F10633" t="str">
        <f t="shared" si="2017"/>
        <v>COM</v>
      </c>
      <c r="G10633" t="str">
        <f>"EDSON JUNIOR FERREIRA DA SILVA (99)"</f>
        <v>EDSON JUNIOR FERREIRA DA SILVA (99)</v>
      </c>
      <c r="H10633" t="str">
        <f>"Serv.Prest. 24/10/2025 a 02/11/2025 - PIX: CPF - CHAVE: 141.134.256-98"</f>
        <v>Serv.Prest. 24/10/2025 a 02/11/2025 - PIX: CPF - CHAVE: 141.134.256-98</v>
      </c>
      <c r="I10633" t="str">
        <f t="shared" si="2014"/>
        <v>13/11/2025</v>
      </c>
      <c r="J10633" t="str">
        <f t="shared" si="2016"/>
        <v>04/11/2025</v>
      </c>
      <c r="K10633" t="str">
        <f>("13/11/2025")</f>
        <v>13/11/2025</v>
      </c>
      <c r="L10633">
        <v>680.7</v>
      </c>
      <c r="M10633">
        <v>680.7</v>
      </c>
      <c r="N10633">
        <v>109</v>
      </c>
      <c r="O10633" t="str">
        <f>"PAGAMENTO DE ENTREGADORES"</f>
        <v>PAGAMENTO DE ENTREGADORES</v>
      </c>
      <c r="P10633">
        <v>680.7</v>
      </c>
      <c r="S10633" t="str">
        <f>"BANCO C6 (149)"</f>
        <v>BANCO C6 (149)</v>
      </c>
      <c r="T10633">
        <v>21622</v>
      </c>
      <c r="U10633">
        <v>24751</v>
      </c>
      <c r="V10633" t="s">
        <v>77</v>
      </c>
    </row>
    <row r="10634" spans="1:22">
      <c r="A10634" t="str">
        <f t="shared" si="2011"/>
        <v>13/11/2025</v>
      </c>
      <c r="B10634" t="str">
        <f t="shared" si="2012"/>
        <v>SAÍDA</v>
      </c>
      <c r="C10634" t="str">
        <f t="shared" si="2013"/>
        <v>PIX</v>
      </c>
      <c r="D10634" t="str">
        <f>"24751"</f>
        <v>24751</v>
      </c>
      <c r="E10634" t="str">
        <f t="shared" si="2015"/>
        <v>1</v>
      </c>
      <c r="F10634" t="str">
        <f t="shared" si="2017"/>
        <v>COM</v>
      </c>
      <c r="G10634" t="str">
        <f>"EDSON JUNIOR FERREIRA DA SILVA (99)"</f>
        <v>EDSON JUNIOR FERREIRA DA SILVA (99)</v>
      </c>
      <c r="H10634" t="s">
        <v>2826</v>
      </c>
      <c r="I10634" t="str">
        <f t="shared" si="2014"/>
        <v>13/11/2025</v>
      </c>
      <c r="J10634" t="str">
        <f t="shared" si="2016"/>
        <v>04/11/2025</v>
      </c>
      <c r="K10634">
        <v>45974</v>
      </c>
      <c r="N10634">
        <v>109</v>
      </c>
      <c r="O10634" t="s">
        <v>24</v>
      </c>
      <c r="Q10634">
        <v>680.7</v>
      </c>
      <c r="R10634" t="str">
        <f>"FARMÁCIA INDIANA LJ 100 (10042)"</f>
        <v>FARMÁCIA INDIANA LJ 100 (10042)</v>
      </c>
      <c r="S10634" t="s">
        <v>77</v>
      </c>
      <c r="T10634">
        <v>21622</v>
      </c>
      <c r="U10634">
        <v>24751</v>
      </c>
      <c r="V10634" t="s">
        <v>77</v>
      </c>
    </row>
    <row r="10635" spans="1:22">
      <c r="A10635" t="str">
        <f t="shared" si="2011"/>
        <v>13/11/2025</v>
      </c>
      <c r="B10635" t="str">
        <f t="shared" si="2012"/>
        <v>SAÍDA</v>
      </c>
      <c r="C10635" t="str">
        <f t="shared" si="2013"/>
        <v>PIX</v>
      </c>
      <c r="D10635" t="str">
        <f>"24752"</f>
        <v>24752</v>
      </c>
      <c r="E10635" t="str">
        <f t="shared" si="2015"/>
        <v>1</v>
      </c>
      <c r="F10635" t="str">
        <f t="shared" si="2017"/>
        <v>COM</v>
      </c>
      <c r="G10635" t="str">
        <f>"EUDES PIMENTA (368)"</f>
        <v>EUDES PIMENTA (368)</v>
      </c>
      <c r="H10635" t="str">
        <f>"Serv.Prest. 24/10/2025 a 02/11/2025 - PIX: CPF - CHAVE: 070.073.316-70"</f>
        <v>Serv.Prest. 24/10/2025 a 02/11/2025 - PIX: CPF - CHAVE: 070.073.316-70</v>
      </c>
      <c r="I10635" t="str">
        <f t="shared" si="2014"/>
        <v>13/11/2025</v>
      </c>
      <c r="J10635" t="str">
        <f t="shared" si="2016"/>
        <v>04/11/2025</v>
      </c>
      <c r="K10635" t="str">
        <f>("13/11/2025")</f>
        <v>13/11/2025</v>
      </c>
      <c r="L10635">
        <v>1240</v>
      </c>
      <c r="M10635">
        <v>1240</v>
      </c>
      <c r="N10635">
        <v>109</v>
      </c>
      <c r="O10635" t="str">
        <f>"PAGAMENTO DE ENTREGADORES"</f>
        <v>PAGAMENTO DE ENTREGADORES</v>
      </c>
      <c r="P10635">
        <v>1240</v>
      </c>
      <c r="S10635" t="str">
        <f>"BANCO C6 (149)"</f>
        <v>BANCO C6 (149)</v>
      </c>
      <c r="T10635">
        <v>21623</v>
      </c>
      <c r="U10635">
        <v>24752</v>
      </c>
      <c r="V10635" t="s">
        <v>77</v>
      </c>
    </row>
    <row r="10636" spans="1:22">
      <c r="A10636" t="str">
        <f t="shared" si="2011"/>
        <v>13/11/2025</v>
      </c>
      <c r="B10636" t="str">
        <f t="shared" si="2012"/>
        <v>SAÍDA</v>
      </c>
      <c r="C10636" t="str">
        <f t="shared" si="2013"/>
        <v>PIX</v>
      </c>
      <c r="D10636" t="str">
        <f>"24752"</f>
        <v>24752</v>
      </c>
      <c r="E10636" t="str">
        <f t="shared" si="2015"/>
        <v>1</v>
      </c>
      <c r="F10636" t="str">
        <f t="shared" si="2017"/>
        <v>COM</v>
      </c>
      <c r="G10636" t="str">
        <f>"EUDES PIMENTA (368)"</f>
        <v>EUDES PIMENTA (368)</v>
      </c>
      <c r="H10636" t="s">
        <v>2834</v>
      </c>
      <c r="I10636" t="str">
        <f t="shared" si="2014"/>
        <v>13/11/2025</v>
      </c>
      <c r="J10636" t="str">
        <f t="shared" si="2016"/>
        <v>04/11/2025</v>
      </c>
      <c r="K10636">
        <v>45974</v>
      </c>
      <c r="N10636">
        <v>109</v>
      </c>
      <c r="O10636" t="s">
        <v>24</v>
      </c>
      <c r="Q10636">
        <v>1240</v>
      </c>
      <c r="R10636" t="str">
        <f>"FARMÁCIA INDIANA LJ 06 (10006)"</f>
        <v>FARMÁCIA INDIANA LJ 06 (10006)</v>
      </c>
      <c r="S10636" t="s">
        <v>77</v>
      </c>
      <c r="T10636">
        <v>21623</v>
      </c>
      <c r="U10636">
        <v>24752</v>
      </c>
      <c r="V10636" t="s">
        <v>77</v>
      </c>
    </row>
    <row r="10637" spans="1:22">
      <c r="A10637" t="str">
        <f t="shared" si="2011"/>
        <v>13/11/2025</v>
      </c>
      <c r="B10637" t="str">
        <f t="shared" si="2012"/>
        <v>SAÍDA</v>
      </c>
      <c r="C10637" t="str">
        <f t="shared" si="2013"/>
        <v>PIX</v>
      </c>
      <c r="D10637" t="str">
        <f>"24754"</f>
        <v>24754</v>
      </c>
      <c r="E10637" t="str">
        <f t="shared" si="2015"/>
        <v>1</v>
      </c>
      <c r="F10637" t="str">
        <f t="shared" si="2017"/>
        <v>COM</v>
      </c>
      <c r="G10637" t="str">
        <f>"FABRICIO RAMON SOARES SANTOS (645)"</f>
        <v>FABRICIO RAMON SOARES SANTOS (645)</v>
      </c>
      <c r="H10637" t="str">
        <f>"Serv.Prest. 24/10/2025 a 02/11/2025 - PIX: CELULAR - CHAVE: (31) 98483-3242"</f>
        <v>Serv.Prest. 24/10/2025 a 02/11/2025 - PIX: CELULAR - CHAVE: (31) 98483-3242</v>
      </c>
      <c r="I10637" t="str">
        <f t="shared" si="2014"/>
        <v>13/11/2025</v>
      </c>
      <c r="J10637" t="str">
        <f t="shared" si="2016"/>
        <v>04/11/2025</v>
      </c>
      <c r="K10637" t="str">
        <f>("13/11/2025")</f>
        <v>13/11/2025</v>
      </c>
      <c r="L10637">
        <v>2158</v>
      </c>
      <c r="M10637">
        <v>2158</v>
      </c>
      <c r="N10637">
        <v>109</v>
      </c>
      <c r="O10637" t="str">
        <f>"PAGAMENTO DE ENTREGADORES"</f>
        <v>PAGAMENTO DE ENTREGADORES</v>
      </c>
      <c r="P10637">
        <v>2158</v>
      </c>
      <c r="S10637" t="str">
        <f>"BANCO C6 (149)"</f>
        <v>BANCO C6 (149)</v>
      </c>
      <c r="T10637">
        <v>21624</v>
      </c>
      <c r="U10637">
        <v>24754</v>
      </c>
      <c r="V10637" t="s">
        <v>77</v>
      </c>
    </row>
    <row r="10638" spans="1:22">
      <c r="A10638" t="str">
        <f t="shared" si="2011"/>
        <v>13/11/2025</v>
      </c>
      <c r="B10638" t="str">
        <f t="shared" si="2012"/>
        <v>SAÍDA</v>
      </c>
      <c r="C10638" t="str">
        <f t="shared" si="2013"/>
        <v>PIX</v>
      </c>
      <c r="D10638" t="str">
        <f>"24754"</f>
        <v>24754</v>
      </c>
      <c r="E10638" t="str">
        <f t="shared" si="2015"/>
        <v>1</v>
      </c>
      <c r="F10638" t="str">
        <f t="shared" si="2017"/>
        <v>COM</v>
      </c>
      <c r="G10638" t="str">
        <f>"FABRICIO RAMON SOARES SANTOS (645)"</f>
        <v>FABRICIO RAMON SOARES SANTOS (645)</v>
      </c>
      <c r="H10638" t="s">
        <v>2518</v>
      </c>
      <c r="I10638" t="str">
        <f t="shared" si="2014"/>
        <v>13/11/2025</v>
      </c>
      <c r="J10638" t="str">
        <f t="shared" si="2016"/>
        <v>04/11/2025</v>
      </c>
      <c r="K10638">
        <v>45974</v>
      </c>
      <c r="N10638">
        <v>109</v>
      </c>
      <c r="O10638" t="s">
        <v>24</v>
      </c>
      <c r="Q10638">
        <v>2158</v>
      </c>
      <c r="R10638" t="str">
        <f>"FARMÁCIA INDIANA LJ 101 (10043)"</f>
        <v>FARMÁCIA INDIANA LJ 101 (10043)</v>
      </c>
      <c r="S10638" t="s">
        <v>77</v>
      </c>
      <c r="T10638">
        <v>21624</v>
      </c>
      <c r="U10638">
        <v>24754</v>
      </c>
      <c r="V10638" t="s">
        <v>77</v>
      </c>
    </row>
    <row r="10639" spans="1:22">
      <c r="A10639" t="str">
        <f t="shared" si="2011"/>
        <v>13/11/2025</v>
      </c>
      <c r="B10639" t="str">
        <f t="shared" si="2012"/>
        <v>SAÍDA</v>
      </c>
      <c r="C10639" t="str">
        <f t="shared" si="2013"/>
        <v>PIX</v>
      </c>
      <c r="D10639" t="str">
        <f>"24755"</f>
        <v>24755</v>
      </c>
      <c r="E10639" t="str">
        <f t="shared" si="2015"/>
        <v>1</v>
      </c>
      <c r="F10639" t="str">
        <f t="shared" si="2017"/>
        <v>COM</v>
      </c>
      <c r="G10639" t="str">
        <f>"GABRIEL DA SILVA REIS (824)"</f>
        <v>GABRIEL DA SILVA REIS (824)</v>
      </c>
      <c r="H10639" t="str">
        <f>"Serv.Prest. 24/10/2025 a 02/11/2025 - PIX: CPF - CHAVE: 160.160.216-28"</f>
        <v>Serv.Prest. 24/10/2025 a 02/11/2025 - PIX: CPF - CHAVE: 160.160.216-28</v>
      </c>
      <c r="I10639" t="str">
        <f t="shared" si="2014"/>
        <v>13/11/2025</v>
      </c>
      <c r="J10639" t="str">
        <f t="shared" si="2016"/>
        <v>04/11/2025</v>
      </c>
      <c r="K10639" t="str">
        <f>("13/11/2025")</f>
        <v>13/11/2025</v>
      </c>
      <c r="L10639">
        <v>680.7</v>
      </c>
      <c r="M10639">
        <v>680.7</v>
      </c>
      <c r="N10639">
        <v>109</v>
      </c>
      <c r="O10639" t="str">
        <f>"PAGAMENTO DE ENTREGADORES"</f>
        <v>PAGAMENTO DE ENTREGADORES</v>
      </c>
      <c r="P10639">
        <v>680.7</v>
      </c>
      <c r="S10639" t="str">
        <f>"BANCO C6 (149)"</f>
        <v>BANCO C6 (149)</v>
      </c>
      <c r="T10639">
        <v>21625</v>
      </c>
      <c r="U10639">
        <v>24755</v>
      </c>
      <c r="V10639" t="s">
        <v>77</v>
      </c>
    </row>
    <row r="10640" spans="1:22">
      <c r="A10640" t="str">
        <f t="shared" si="2011"/>
        <v>13/11/2025</v>
      </c>
      <c r="B10640" t="str">
        <f t="shared" si="2012"/>
        <v>SAÍDA</v>
      </c>
      <c r="C10640" t="str">
        <f t="shared" si="2013"/>
        <v>PIX</v>
      </c>
      <c r="D10640" t="str">
        <f>"24755"</f>
        <v>24755</v>
      </c>
      <c r="E10640" t="str">
        <f t="shared" si="2015"/>
        <v>1</v>
      </c>
      <c r="F10640" t="str">
        <f t="shared" si="2017"/>
        <v>COM</v>
      </c>
      <c r="G10640" t="str">
        <f>"GABRIEL DA SILVA REIS (824)"</f>
        <v>GABRIEL DA SILVA REIS (824)</v>
      </c>
      <c r="H10640" t="s">
        <v>2837</v>
      </c>
      <c r="I10640" t="str">
        <f t="shared" si="2014"/>
        <v>13/11/2025</v>
      </c>
      <c r="J10640" t="str">
        <f t="shared" si="2016"/>
        <v>04/11/2025</v>
      </c>
      <c r="K10640">
        <v>45974</v>
      </c>
      <c r="N10640">
        <v>109</v>
      </c>
      <c r="O10640" t="s">
        <v>24</v>
      </c>
      <c r="Q10640">
        <v>680.7</v>
      </c>
      <c r="R10640" t="str">
        <f>"FARMÁCIA INDIANA LJ 100 (10042)"</f>
        <v>FARMÁCIA INDIANA LJ 100 (10042)</v>
      </c>
      <c r="S10640" t="s">
        <v>77</v>
      </c>
      <c r="T10640">
        <v>21625</v>
      </c>
      <c r="U10640">
        <v>24755</v>
      </c>
      <c r="V10640" t="s">
        <v>77</v>
      </c>
    </row>
    <row r="10641" spans="1:22">
      <c r="A10641" t="str">
        <f t="shared" si="2011"/>
        <v>13/11/2025</v>
      </c>
      <c r="B10641" t="str">
        <f t="shared" si="2012"/>
        <v>SAÍDA</v>
      </c>
      <c r="C10641" t="str">
        <f t="shared" si="2013"/>
        <v>PIX</v>
      </c>
      <c r="D10641" t="str">
        <f>"24756"</f>
        <v>24756</v>
      </c>
      <c r="E10641" t="str">
        <f t="shared" si="2015"/>
        <v>1</v>
      </c>
      <c r="F10641" t="str">
        <f t="shared" si="2017"/>
        <v>COM</v>
      </c>
      <c r="G10641" t="str">
        <f>"GABRIEL SOARES VIEIRA (18)"</f>
        <v>GABRIEL SOARES VIEIRA (18)</v>
      </c>
      <c r="H10641" t="str">
        <f>"Serv.Prest. 24/10/2025 a 02/11/2025 - PIX: CELULAR - CHAVE: (33) 99114-8112"</f>
        <v>Serv.Prest. 24/10/2025 a 02/11/2025 - PIX: CELULAR - CHAVE: (33) 99114-8112</v>
      </c>
      <c r="I10641" t="str">
        <f t="shared" si="2014"/>
        <v>13/11/2025</v>
      </c>
      <c r="J10641" t="str">
        <f t="shared" si="2016"/>
        <v>04/11/2025</v>
      </c>
      <c r="K10641" t="str">
        <f>("13/11/2025")</f>
        <v>13/11/2025</v>
      </c>
      <c r="L10641">
        <v>806.5</v>
      </c>
      <c r="M10641">
        <v>806.5</v>
      </c>
      <c r="N10641">
        <v>109</v>
      </c>
      <c r="O10641" t="str">
        <f>"PAGAMENTO DE ENTREGADORES"</f>
        <v>PAGAMENTO DE ENTREGADORES</v>
      </c>
      <c r="P10641">
        <v>806.5</v>
      </c>
      <c r="S10641" t="str">
        <f>"BANCO C6 (149)"</f>
        <v>BANCO C6 (149)</v>
      </c>
      <c r="T10641">
        <v>21626</v>
      </c>
      <c r="U10641">
        <v>24756</v>
      </c>
      <c r="V10641" t="s">
        <v>77</v>
      </c>
    </row>
    <row r="10642" spans="1:22">
      <c r="A10642" t="str">
        <f t="shared" si="2011"/>
        <v>13/11/2025</v>
      </c>
      <c r="B10642" t="str">
        <f t="shared" si="2012"/>
        <v>SAÍDA</v>
      </c>
      <c r="C10642" t="str">
        <f t="shared" si="2013"/>
        <v>PIX</v>
      </c>
      <c r="D10642" t="str">
        <f>"24756"</f>
        <v>24756</v>
      </c>
      <c r="E10642" t="str">
        <f t="shared" si="2015"/>
        <v>1</v>
      </c>
      <c r="F10642" t="str">
        <f t="shared" si="2017"/>
        <v>COM</v>
      </c>
      <c r="G10642" t="str">
        <f>"GABRIEL SOARES VIEIRA (18)"</f>
        <v>GABRIEL SOARES VIEIRA (18)</v>
      </c>
      <c r="H10642" t="s">
        <v>2959</v>
      </c>
      <c r="I10642" t="str">
        <f t="shared" si="2014"/>
        <v>13/11/2025</v>
      </c>
      <c r="J10642" t="str">
        <f t="shared" si="2016"/>
        <v>04/11/2025</v>
      </c>
      <c r="K10642">
        <v>45974</v>
      </c>
      <c r="N10642">
        <v>109</v>
      </c>
      <c r="O10642" t="s">
        <v>24</v>
      </c>
      <c r="Q10642">
        <v>806.5</v>
      </c>
      <c r="R10642" t="str">
        <f>"FARMÁCIA INDIANA LJ 40 (10016)"</f>
        <v>FARMÁCIA INDIANA LJ 40 (10016)</v>
      </c>
      <c r="S10642" t="s">
        <v>77</v>
      </c>
      <c r="T10642">
        <v>21626</v>
      </c>
      <c r="U10642">
        <v>24756</v>
      </c>
      <c r="V10642" t="s">
        <v>77</v>
      </c>
    </row>
    <row r="10643" spans="1:22">
      <c r="A10643" t="str">
        <f t="shared" si="2011"/>
        <v>13/11/2025</v>
      </c>
      <c r="B10643" t="str">
        <f t="shared" si="2012"/>
        <v>SAÍDA</v>
      </c>
      <c r="C10643" t="str">
        <f t="shared" si="2013"/>
        <v>PIX</v>
      </c>
      <c r="D10643" t="str">
        <f>"24757"</f>
        <v>24757</v>
      </c>
      <c r="E10643" t="str">
        <f t="shared" si="2015"/>
        <v>1</v>
      </c>
      <c r="F10643" t="str">
        <f t="shared" si="2017"/>
        <v>COM</v>
      </c>
      <c r="G10643" t="str">
        <f>"GILDASIO DOMINGOS DOS SANTOS (54)"</f>
        <v>GILDASIO DOMINGOS DOS SANTOS (54)</v>
      </c>
      <c r="H10643" t="str">
        <f>"Serv.Prest. 24/10/2025 a 02/11/2025 - PIX: CELULAR - CHAVE: (33) 98857-0494"</f>
        <v>Serv.Prest. 24/10/2025 a 02/11/2025 - PIX: CELULAR - CHAVE: (33) 98857-0494</v>
      </c>
      <c r="I10643" t="str">
        <f t="shared" si="2014"/>
        <v>13/11/2025</v>
      </c>
      <c r="J10643" t="str">
        <f t="shared" si="2016"/>
        <v>04/11/2025</v>
      </c>
      <c r="K10643" t="str">
        <f>("13/11/2025")</f>
        <v>13/11/2025</v>
      </c>
      <c r="L10643">
        <v>1362</v>
      </c>
      <c r="M10643">
        <v>1362</v>
      </c>
      <c r="N10643">
        <v>109</v>
      </c>
      <c r="O10643" t="str">
        <f>"PAGAMENTO DE ENTREGADORES"</f>
        <v>PAGAMENTO DE ENTREGADORES</v>
      </c>
      <c r="P10643">
        <v>1362</v>
      </c>
      <c r="S10643" t="str">
        <f>"BANCO C6 (149)"</f>
        <v>BANCO C6 (149)</v>
      </c>
      <c r="T10643">
        <v>21627</v>
      </c>
      <c r="U10643">
        <v>24757</v>
      </c>
      <c r="V10643" t="s">
        <v>77</v>
      </c>
    </row>
    <row r="10644" spans="1:22">
      <c r="A10644" t="str">
        <f t="shared" si="2011"/>
        <v>13/11/2025</v>
      </c>
      <c r="B10644" t="str">
        <f t="shared" si="2012"/>
        <v>SAÍDA</v>
      </c>
      <c r="C10644" t="str">
        <f t="shared" si="2013"/>
        <v>PIX</v>
      </c>
      <c r="D10644" t="str">
        <f>"24757"</f>
        <v>24757</v>
      </c>
      <c r="E10644" t="str">
        <f t="shared" si="2015"/>
        <v>1</v>
      </c>
      <c r="F10644" t="str">
        <f t="shared" si="2017"/>
        <v>COM</v>
      </c>
      <c r="G10644" t="str">
        <f>"GILDASIO DOMINGOS DOS SANTOS (54)"</f>
        <v>GILDASIO DOMINGOS DOS SANTOS (54)</v>
      </c>
      <c r="H10644" t="s">
        <v>2960</v>
      </c>
      <c r="I10644" t="str">
        <f t="shared" si="2014"/>
        <v>13/11/2025</v>
      </c>
      <c r="J10644" t="str">
        <f t="shared" si="2016"/>
        <v>04/11/2025</v>
      </c>
      <c r="K10644">
        <v>45974</v>
      </c>
      <c r="N10644">
        <v>109</v>
      </c>
      <c r="O10644" t="s">
        <v>24</v>
      </c>
      <c r="Q10644">
        <v>1362</v>
      </c>
      <c r="R10644" t="str">
        <f>"FARMÁCIA INDIANA LJ 07 (10007)"</f>
        <v>FARMÁCIA INDIANA LJ 07 (10007)</v>
      </c>
      <c r="S10644" t="s">
        <v>77</v>
      </c>
      <c r="T10644">
        <v>21627</v>
      </c>
      <c r="U10644">
        <v>24757</v>
      </c>
      <c r="V10644" t="s">
        <v>77</v>
      </c>
    </row>
    <row r="10645" spans="1:22">
      <c r="A10645" t="str">
        <f t="shared" si="2011"/>
        <v>13/11/2025</v>
      </c>
      <c r="B10645" t="str">
        <f t="shared" si="2012"/>
        <v>SAÍDA</v>
      </c>
      <c r="C10645" t="str">
        <f t="shared" si="2013"/>
        <v>PIX</v>
      </c>
      <c r="D10645" t="str">
        <f>"24758"</f>
        <v>24758</v>
      </c>
      <c r="E10645" t="str">
        <f t="shared" si="2015"/>
        <v>1</v>
      </c>
      <c r="F10645" t="str">
        <f t="shared" si="2017"/>
        <v>COM</v>
      </c>
      <c r="G10645" t="str">
        <f>"GILNEI MENDES COELHO (195)"</f>
        <v>GILNEI MENDES COELHO (195)</v>
      </c>
      <c r="H10645" t="str">
        <f>"Serv.Prest. 24/10/2025 a 02/11/2025 - PIX: CPF - CHAVE: 386.313.426-53"</f>
        <v>Serv.Prest. 24/10/2025 a 02/11/2025 - PIX: CPF - CHAVE: 386.313.426-53</v>
      </c>
      <c r="I10645" t="str">
        <f t="shared" si="2014"/>
        <v>13/11/2025</v>
      </c>
      <c r="J10645" t="str">
        <f t="shared" si="2016"/>
        <v>04/11/2025</v>
      </c>
      <c r="K10645" t="str">
        <f>("13/11/2025")</f>
        <v>13/11/2025</v>
      </c>
      <c r="L10645">
        <v>1590</v>
      </c>
      <c r="M10645">
        <v>1590</v>
      </c>
      <c r="N10645">
        <v>109</v>
      </c>
      <c r="O10645" t="str">
        <f>"PAGAMENTO DE ENTREGADORES"</f>
        <v>PAGAMENTO DE ENTREGADORES</v>
      </c>
      <c r="P10645">
        <v>1590</v>
      </c>
      <c r="S10645" t="str">
        <f>"BANCO C6 (149)"</f>
        <v>BANCO C6 (149)</v>
      </c>
      <c r="T10645">
        <v>21628</v>
      </c>
      <c r="U10645">
        <v>24758</v>
      </c>
      <c r="V10645" t="s">
        <v>77</v>
      </c>
    </row>
    <row r="10646" spans="1:22">
      <c r="A10646" t="str">
        <f t="shared" si="2011"/>
        <v>13/11/2025</v>
      </c>
      <c r="B10646" t="str">
        <f t="shared" si="2012"/>
        <v>SAÍDA</v>
      </c>
      <c r="C10646" t="str">
        <f t="shared" si="2013"/>
        <v>PIX</v>
      </c>
      <c r="D10646" t="str">
        <f>"24758"</f>
        <v>24758</v>
      </c>
      <c r="E10646" t="str">
        <f t="shared" si="2015"/>
        <v>1</v>
      </c>
      <c r="F10646" t="str">
        <f t="shared" si="2017"/>
        <v>COM</v>
      </c>
      <c r="G10646" t="str">
        <f>"GILNEI MENDES COELHO (195)"</f>
        <v>GILNEI MENDES COELHO (195)</v>
      </c>
      <c r="H10646" t="s">
        <v>2961</v>
      </c>
      <c r="I10646" t="str">
        <f t="shared" si="2014"/>
        <v>13/11/2025</v>
      </c>
      <c r="J10646" t="str">
        <f t="shared" si="2016"/>
        <v>04/11/2025</v>
      </c>
      <c r="K10646">
        <v>45974</v>
      </c>
      <c r="N10646">
        <v>109</v>
      </c>
      <c r="O10646" t="s">
        <v>24</v>
      </c>
      <c r="Q10646">
        <v>1590</v>
      </c>
      <c r="R10646" t="str">
        <f>"FARMÁCIA INDIANA LJ 06 (10006)"</f>
        <v>FARMÁCIA INDIANA LJ 06 (10006)</v>
      </c>
      <c r="S10646" t="s">
        <v>77</v>
      </c>
      <c r="T10646">
        <v>21628</v>
      </c>
      <c r="U10646">
        <v>24758</v>
      </c>
      <c r="V10646" t="s">
        <v>77</v>
      </c>
    </row>
    <row r="10647" spans="1:22">
      <c r="A10647" t="str">
        <f t="shared" si="2011"/>
        <v>13/11/2025</v>
      </c>
      <c r="B10647" t="str">
        <f t="shared" si="2012"/>
        <v>SAÍDA</v>
      </c>
      <c r="C10647" t="str">
        <f t="shared" si="2013"/>
        <v>PIX</v>
      </c>
      <c r="D10647" t="str">
        <f>"24759"</f>
        <v>24759</v>
      </c>
      <c r="E10647" t="str">
        <f t="shared" si="2015"/>
        <v>1</v>
      </c>
      <c r="F10647" t="str">
        <f t="shared" si="2017"/>
        <v>COM</v>
      </c>
      <c r="G10647" t="str">
        <f>"GUILHERME QUINTINO DA ROCHA (199)"</f>
        <v>GUILHERME QUINTINO DA ROCHA (199)</v>
      </c>
      <c r="H10647" t="str">
        <f>"Serv.Prest. 24/10/2025 a 02/11/2025 - PIX: CELULAR - CHAVE: (33) 99706-4860"</f>
        <v>Serv.Prest. 24/10/2025 a 02/11/2025 - PIX: CELULAR - CHAVE: (33) 99706-4860</v>
      </c>
      <c r="I10647" t="str">
        <f t="shared" si="2014"/>
        <v>13/11/2025</v>
      </c>
      <c r="J10647" t="str">
        <f t="shared" si="2016"/>
        <v>04/11/2025</v>
      </c>
      <c r="K10647" t="str">
        <f>("13/11/2025")</f>
        <v>13/11/2025</v>
      </c>
      <c r="L10647">
        <v>1240</v>
      </c>
      <c r="M10647">
        <v>1240</v>
      </c>
      <c r="N10647">
        <v>109</v>
      </c>
      <c r="O10647" t="str">
        <f>"PAGAMENTO DE ENTREGADORES"</f>
        <v>PAGAMENTO DE ENTREGADORES</v>
      </c>
      <c r="P10647">
        <v>1240</v>
      </c>
      <c r="S10647" t="str">
        <f>"BANCO C6 (149)"</f>
        <v>BANCO C6 (149)</v>
      </c>
      <c r="T10647">
        <v>21629</v>
      </c>
      <c r="U10647">
        <v>24759</v>
      </c>
      <c r="V10647" t="s">
        <v>77</v>
      </c>
    </row>
    <row r="10648" spans="1:22">
      <c r="A10648" t="str">
        <f t="shared" si="2011"/>
        <v>13/11/2025</v>
      </c>
      <c r="B10648" t="str">
        <f t="shared" si="2012"/>
        <v>SAÍDA</v>
      </c>
      <c r="C10648" t="str">
        <f t="shared" si="2013"/>
        <v>PIX</v>
      </c>
      <c r="D10648" t="str">
        <f>"24759"</f>
        <v>24759</v>
      </c>
      <c r="E10648" t="str">
        <f t="shared" si="2015"/>
        <v>1</v>
      </c>
      <c r="F10648" t="str">
        <f t="shared" si="2017"/>
        <v>COM</v>
      </c>
      <c r="G10648" t="str">
        <f>"GUILHERME QUINTINO DA ROCHA (199)"</f>
        <v>GUILHERME QUINTINO DA ROCHA (199)</v>
      </c>
      <c r="H10648" t="s">
        <v>2843</v>
      </c>
      <c r="I10648" t="str">
        <f t="shared" si="2014"/>
        <v>13/11/2025</v>
      </c>
      <c r="J10648" t="str">
        <f t="shared" si="2016"/>
        <v>04/11/2025</v>
      </c>
      <c r="K10648">
        <v>45974</v>
      </c>
      <c r="N10648">
        <v>109</v>
      </c>
      <c r="O10648" t="s">
        <v>24</v>
      </c>
      <c r="Q10648">
        <v>1240</v>
      </c>
      <c r="R10648" t="str">
        <f>"FARMÁCIA INDIANA LJ 06 (10006)"</f>
        <v>FARMÁCIA INDIANA LJ 06 (10006)</v>
      </c>
      <c r="S10648" t="s">
        <v>77</v>
      </c>
      <c r="T10648">
        <v>21629</v>
      </c>
      <c r="U10648">
        <v>24759</v>
      </c>
      <c r="V10648" t="s">
        <v>77</v>
      </c>
    </row>
    <row r="10649" spans="1:22">
      <c r="A10649" t="str">
        <f t="shared" si="2011"/>
        <v>13/11/2025</v>
      </c>
      <c r="B10649" t="str">
        <f t="shared" si="2012"/>
        <v>SAÍDA</v>
      </c>
      <c r="C10649" t="str">
        <f t="shared" si="2013"/>
        <v>PIX</v>
      </c>
      <c r="D10649" t="str">
        <f>"24760"</f>
        <v>24760</v>
      </c>
      <c r="E10649" t="str">
        <f t="shared" si="2015"/>
        <v>1</v>
      </c>
      <c r="F10649" t="str">
        <f t="shared" si="2017"/>
        <v>COM</v>
      </c>
      <c r="G10649" t="str">
        <f>"GUSTAVO ALVES DE ARAÚJO (298)"</f>
        <v>GUSTAVO ALVES DE ARAÚJO (298)</v>
      </c>
      <c r="H10649" t="str">
        <f>"Serv.Prest. 24/10/2025 a 02/11/2025 - PIX: CELULAR - CHAVE: (31) 99816-8965"</f>
        <v>Serv.Prest. 24/10/2025 a 02/11/2025 - PIX: CELULAR - CHAVE: (31) 99816-8965</v>
      </c>
      <c r="I10649" t="str">
        <f t="shared" si="2014"/>
        <v>13/11/2025</v>
      </c>
      <c r="J10649" t="str">
        <f t="shared" si="2016"/>
        <v>04/11/2025</v>
      </c>
      <c r="K10649" t="str">
        <f>("13/11/2025")</f>
        <v>13/11/2025</v>
      </c>
      <c r="L10649">
        <v>1270</v>
      </c>
      <c r="M10649">
        <v>1270</v>
      </c>
      <c r="N10649">
        <v>109</v>
      </c>
      <c r="O10649" t="str">
        <f>"PAGAMENTO DE ENTREGADORES"</f>
        <v>PAGAMENTO DE ENTREGADORES</v>
      </c>
      <c r="P10649">
        <v>1270</v>
      </c>
      <c r="S10649" t="str">
        <f>"BANCO C6 (149)"</f>
        <v>BANCO C6 (149)</v>
      </c>
      <c r="T10649">
        <v>21630</v>
      </c>
      <c r="U10649">
        <v>24760</v>
      </c>
      <c r="V10649" t="s">
        <v>77</v>
      </c>
    </row>
    <row r="10650" spans="1:22">
      <c r="A10650" t="str">
        <f t="shared" si="2011"/>
        <v>13/11/2025</v>
      </c>
      <c r="B10650" t="str">
        <f t="shared" si="2012"/>
        <v>SAÍDA</v>
      </c>
      <c r="C10650" t="str">
        <f t="shared" si="2013"/>
        <v>PIX</v>
      </c>
      <c r="D10650" t="str">
        <f>"24760"</f>
        <v>24760</v>
      </c>
      <c r="E10650" t="str">
        <f t="shared" si="2015"/>
        <v>1</v>
      </c>
      <c r="F10650" t="str">
        <f t="shared" si="2017"/>
        <v>COM</v>
      </c>
      <c r="G10650" t="str">
        <f>"GUSTAVO ALVES DE ARAÚJO (298)"</f>
        <v>GUSTAVO ALVES DE ARAÚJO (298)</v>
      </c>
      <c r="H10650" t="s">
        <v>2844</v>
      </c>
      <c r="I10650" t="str">
        <f t="shared" si="2014"/>
        <v>13/11/2025</v>
      </c>
      <c r="J10650" t="str">
        <f t="shared" si="2016"/>
        <v>04/11/2025</v>
      </c>
      <c r="K10650">
        <v>45974</v>
      </c>
      <c r="N10650">
        <v>109</v>
      </c>
      <c r="O10650" t="s">
        <v>24</v>
      </c>
      <c r="Q10650">
        <v>1270</v>
      </c>
      <c r="R10650" t="str">
        <f>"FARMÁCIA INDIANA LJ 172 (10161)"</f>
        <v>FARMÁCIA INDIANA LJ 172 (10161)</v>
      </c>
      <c r="S10650" t="s">
        <v>77</v>
      </c>
      <c r="T10650">
        <v>21630</v>
      </c>
      <c r="U10650">
        <v>24760</v>
      </c>
      <c r="V10650" t="s">
        <v>77</v>
      </c>
    </row>
    <row r="10651" spans="1:22">
      <c r="A10651" t="str">
        <f t="shared" si="2011"/>
        <v>13/11/2025</v>
      </c>
      <c r="B10651" t="str">
        <f t="shared" si="2012"/>
        <v>SAÍDA</v>
      </c>
      <c r="C10651" t="str">
        <f t="shared" si="2013"/>
        <v>PIX</v>
      </c>
      <c r="D10651" t="str">
        <f>"24761"</f>
        <v>24761</v>
      </c>
      <c r="E10651" t="str">
        <f t="shared" si="2015"/>
        <v>1</v>
      </c>
      <c r="F10651" t="str">
        <f t="shared" si="2017"/>
        <v>COM</v>
      </c>
      <c r="G10651" t="str">
        <f>"GUSTAVO HENRIQUE OLIVEIRA (661)"</f>
        <v>GUSTAVO HENRIQUE OLIVEIRA (661)</v>
      </c>
      <c r="H10651" t="str">
        <f>"Serv.Prest. 24/10/2025 a 02/11/2025 - PIX: CPF - CHAVE: 113.084.266-58"</f>
        <v>Serv.Prest. 24/10/2025 a 02/11/2025 - PIX: CPF - CHAVE: 113.084.266-58</v>
      </c>
      <c r="I10651" t="str">
        <f t="shared" si="2014"/>
        <v>13/11/2025</v>
      </c>
      <c r="J10651" t="str">
        <f t="shared" si="2016"/>
        <v>04/11/2025</v>
      </c>
      <c r="K10651" t="str">
        <f>("13/11/2025")</f>
        <v>13/11/2025</v>
      </c>
      <c r="L10651">
        <v>682</v>
      </c>
      <c r="M10651">
        <v>682</v>
      </c>
      <c r="N10651">
        <v>109</v>
      </c>
      <c r="O10651" t="str">
        <f>"PAGAMENTO DE ENTREGADORES"</f>
        <v>PAGAMENTO DE ENTREGADORES</v>
      </c>
      <c r="P10651">
        <v>682</v>
      </c>
      <c r="S10651" t="str">
        <f>"BANCO C6 (149)"</f>
        <v>BANCO C6 (149)</v>
      </c>
      <c r="T10651">
        <v>21631</v>
      </c>
      <c r="U10651">
        <v>24761</v>
      </c>
      <c r="V10651" t="s">
        <v>77</v>
      </c>
    </row>
    <row r="10652" spans="1:22">
      <c r="A10652" t="str">
        <f t="shared" si="2011"/>
        <v>13/11/2025</v>
      </c>
      <c r="B10652" t="str">
        <f t="shared" si="2012"/>
        <v>SAÍDA</v>
      </c>
      <c r="C10652" t="str">
        <f t="shared" si="2013"/>
        <v>PIX</v>
      </c>
      <c r="D10652" t="str">
        <f>"24761"</f>
        <v>24761</v>
      </c>
      <c r="E10652" t="str">
        <f t="shared" si="2015"/>
        <v>1</v>
      </c>
      <c r="F10652" t="str">
        <f t="shared" si="2017"/>
        <v>COM</v>
      </c>
      <c r="G10652" t="str">
        <f>"GUSTAVO HENRIQUE OLIVEIRA (661)"</f>
        <v>GUSTAVO HENRIQUE OLIVEIRA (661)</v>
      </c>
      <c r="H10652" t="s">
        <v>2519</v>
      </c>
      <c r="I10652" t="str">
        <f t="shared" si="2014"/>
        <v>13/11/2025</v>
      </c>
      <c r="J10652" t="str">
        <f t="shared" si="2016"/>
        <v>04/11/2025</v>
      </c>
      <c r="K10652">
        <v>45974</v>
      </c>
      <c r="N10652">
        <v>109</v>
      </c>
      <c r="O10652" t="s">
        <v>24</v>
      </c>
      <c r="Q10652">
        <v>682</v>
      </c>
      <c r="R10652" t="str">
        <f>"FARMÁCIA INDIANA LJ 110 (10048)"</f>
        <v>FARMÁCIA INDIANA LJ 110 (10048)</v>
      </c>
      <c r="S10652" t="s">
        <v>77</v>
      </c>
      <c r="T10652">
        <v>21631</v>
      </c>
      <c r="U10652">
        <v>24761</v>
      </c>
      <c r="V10652" t="s">
        <v>77</v>
      </c>
    </row>
    <row r="10653" spans="1:22">
      <c r="A10653" t="str">
        <f t="shared" si="2011"/>
        <v>13/11/2025</v>
      </c>
      <c r="B10653" t="str">
        <f t="shared" si="2012"/>
        <v>SAÍDA</v>
      </c>
      <c r="C10653" t="str">
        <f t="shared" si="2013"/>
        <v>PIX</v>
      </c>
      <c r="D10653" t="str">
        <f>"24763"</f>
        <v>24763</v>
      </c>
      <c r="E10653" t="str">
        <f t="shared" si="2015"/>
        <v>1</v>
      </c>
      <c r="F10653" t="str">
        <f t="shared" si="2017"/>
        <v>COM</v>
      </c>
      <c r="G10653" t="str">
        <f>"IVAN SOUZA SANTOS (101)"</f>
        <v>IVAN SOUZA SANTOS (101)</v>
      </c>
      <c r="H10653" t="str">
        <f>"Serv.Prest. 24/10/2025 a 02/11/2025 - PIX: CPF - CHAVE: 067.393.286-92"</f>
        <v>Serv.Prest. 24/10/2025 a 02/11/2025 - PIX: CPF - CHAVE: 067.393.286-92</v>
      </c>
      <c r="I10653" t="str">
        <f t="shared" si="2014"/>
        <v>13/11/2025</v>
      </c>
      <c r="J10653" t="str">
        <f t="shared" si="2016"/>
        <v>04/11/2025</v>
      </c>
      <c r="K10653" t="str">
        <f>("13/11/2025")</f>
        <v>13/11/2025</v>
      </c>
      <c r="L10653">
        <v>1107</v>
      </c>
      <c r="M10653">
        <v>1107</v>
      </c>
      <c r="N10653">
        <v>109</v>
      </c>
      <c r="O10653" t="str">
        <f>"PAGAMENTO DE ENTREGADORES"</f>
        <v>PAGAMENTO DE ENTREGADORES</v>
      </c>
      <c r="P10653">
        <v>1107</v>
      </c>
      <c r="S10653" t="str">
        <f>"BANCO C6 (149)"</f>
        <v>BANCO C6 (149)</v>
      </c>
      <c r="T10653">
        <v>21632</v>
      </c>
      <c r="U10653">
        <v>24763</v>
      </c>
      <c r="V10653" t="s">
        <v>77</v>
      </c>
    </row>
    <row r="10654" spans="1:22">
      <c r="A10654" t="str">
        <f t="shared" si="2011"/>
        <v>13/11/2025</v>
      </c>
      <c r="B10654" t="str">
        <f t="shared" si="2012"/>
        <v>SAÍDA</v>
      </c>
      <c r="C10654" t="str">
        <f t="shared" si="2013"/>
        <v>PIX</v>
      </c>
      <c r="D10654" t="str">
        <f>"24763"</f>
        <v>24763</v>
      </c>
      <c r="E10654" t="str">
        <f t="shared" si="2015"/>
        <v>1</v>
      </c>
      <c r="F10654" t="str">
        <f t="shared" si="2017"/>
        <v>COM</v>
      </c>
      <c r="G10654" t="str">
        <f>"IVAN SOUZA SANTOS (101)"</f>
        <v>IVAN SOUZA SANTOS (101)</v>
      </c>
      <c r="H10654" t="s">
        <v>2525</v>
      </c>
      <c r="I10654" t="str">
        <f t="shared" si="2014"/>
        <v>13/11/2025</v>
      </c>
      <c r="J10654" t="str">
        <f t="shared" si="2016"/>
        <v>04/11/2025</v>
      </c>
      <c r="K10654">
        <v>45974</v>
      </c>
      <c r="N10654">
        <v>109</v>
      </c>
      <c r="O10654" t="s">
        <v>24</v>
      </c>
      <c r="Q10654">
        <v>1107</v>
      </c>
      <c r="R10654" t="str">
        <f>"FARMÁCIA INDIANA LJ 59 (10026)"</f>
        <v>FARMÁCIA INDIANA LJ 59 (10026)</v>
      </c>
      <c r="S10654" t="s">
        <v>77</v>
      </c>
      <c r="T10654">
        <v>21632</v>
      </c>
      <c r="U10654">
        <v>24763</v>
      </c>
      <c r="V10654" t="s">
        <v>77</v>
      </c>
    </row>
    <row r="10655" spans="1:22">
      <c r="A10655" t="str">
        <f t="shared" ref="A10655:A10718" si="2018">("13/11/2025")</f>
        <v>13/11/2025</v>
      </c>
      <c r="B10655" t="str">
        <f t="shared" si="2012"/>
        <v>SAÍDA</v>
      </c>
      <c r="C10655" t="str">
        <f t="shared" si="2013"/>
        <v>PIX</v>
      </c>
      <c r="D10655" t="str">
        <f>"24764"</f>
        <v>24764</v>
      </c>
      <c r="E10655" t="str">
        <f t="shared" si="2015"/>
        <v>1</v>
      </c>
      <c r="F10655" t="str">
        <f t="shared" si="2017"/>
        <v>COM</v>
      </c>
      <c r="G10655" t="str">
        <f>"JANDERSON SOUZA ARCANJO (28)"</f>
        <v>JANDERSON SOUZA ARCANJO (28)</v>
      </c>
      <c r="H10655" t="str">
        <f>"Serv.Prest. 24/10/2025 a 02/11/2025 - PIX: CPF - CHAVE: 121.297.376-33"</f>
        <v>Serv.Prest. 24/10/2025 a 02/11/2025 - PIX: CPF - CHAVE: 121.297.376-33</v>
      </c>
      <c r="I10655" t="str">
        <f t="shared" si="2014"/>
        <v>13/11/2025</v>
      </c>
      <c r="J10655" t="str">
        <f t="shared" si="2016"/>
        <v>04/11/2025</v>
      </c>
      <c r="K10655" t="str">
        <f>("13/11/2025")</f>
        <v>13/11/2025</v>
      </c>
      <c r="L10655">
        <v>1003</v>
      </c>
      <c r="M10655">
        <v>1003</v>
      </c>
      <c r="N10655">
        <v>109</v>
      </c>
      <c r="O10655" t="str">
        <f>"PAGAMENTO DE ENTREGADORES"</f>
        <v>PAGAMENTO DE ENTREGADORES</v>
      </c>
      <c r="P10655">
        <v>1003</v>
      </c>
      <c r="S10655" t="str">
        <f>"BANCO C6 (149)"</f>
        <v>BANCO C6 (149)</v>
      </c>
      <c r="T10655">
        <v>21633</v>
      </c>
      <c r="U10655">
        <v>24764</v>
      </c>
      <c r="V10655" t="s">
        <v>77</v>
      </c>
    </row>
    <row r="10656" spans="1:22">
      <c r="A10656" t="str">
        <f t="shared" si="2018"/>
        <v>13/11/2025</v>
      </c>
      <c r="B10656" t="str">
        <f t="shared" ref="B10656:B10719" si="2019">"SAÍDA"</f>
        <v>SAÍDA</v>
      </c>
      <c r="C10656" t="str">
        <f t="shared" ref="C10656:C10719" si="2020">"PIX"</f>
        <v>PIX</v>
      </c>
      <c r="D10656" t="str">
        <f>"24764"</f>
        <v>24764</v>
      </c>
      <c r="E10656" t="str">
        <f t="shared" si="2015"/>
        <v>1</v>
      </c>
      <c r="F10656" t="str">
        <f t="shared" si="2017"/>
        <v>COM</v>
      </c>
      <c r="G10656" t="str">
        <f>"JANDERSON SOUZA ARCANJO (28)"</f>
        <v>JANDERSON SOUZA ARCANJO (28)</v>
      </c>
      <c r="H10656" t="s">
        <v>2850</v>
      </c>
      <c r="I10656" t="str">
        <f t="shared" si="2014"/>
        <v>13/11/2025</v>
      </c>
      <c r="J10656" t="str">
        <f t="shared" si="2016"/>
        <v>04/11/2025</v>
      </c>
      <c r="K10656">
        <v>45974</v>
      </c>
      <c r="N10656">
        <v>109</v>
      </c>
      <c r="O10656" t="s">
        <v>24</v>
      </c>
      <c r="Q10656">
        <v>981.44</v>
      </c>
      <c r="R10656" t="str">
        <f>"FARMÁCIA INDIANA LJ 40 (10016)"</f>
        <v>FARMÁCIA INDIANA LJ 40 (10016)</v>
      </c>
      <c r="S10656" t="s">
        <v>77</v>
      </c>
      <c r="T10656">
        <v>21633</v>
      </c>
      <c r="U10656">
        <v>24764</v>
      </c>
      <c r="V10656" t="s">
        <v>77</v>
      </c>
    </row>
    <row r="10657" spans="1:22">
      <c r="A10657" t="str">
        <f t="shared" si="2018"/>
        <v>13/11/2025</v>
      </c>
      <c r="B10657" t="str">
        <f t="shared" si="2019"/>
        <v>SAÍDA</v>
      </c>
      <c r="C10657" t="str">
        <f t="shared" si="2020"/>
        <v>PIX</v>
      </c>
      <c r="D10657" t="str">
        <f>"24764"</f>
        <v>24764</v>
      </c>
      <c r="E10657" t="str">
        <f t="shared" si="2015"/>
        <v>1</v>
      </c>
      <c r="F10657" t="str">
        <f t="shared" si="2017"/>
        <v>COM</v>
      </c>
      <c r="G10657" t="str">
        <f>"JANDERSON SOUZA ARCANJO (28)"</f>
        <v>JANDERSON SOUZA ARCANJO (28)</v>
      </c>
      <c r="H10657" t="s">
        <v>2850</v>
      </c>
      <c r="I10657" t="str">
        <f t="shared" si="2014"/>
        <v>13/11/2025</v>
      </c>
      <c r="J10657" t="str">
        <f t="shared" si="2016"/>
        <v>04/11/2025</v>
      </c>
      <c r="K10657">
        <v>45974</v>
      </c>
      <c r="N10657">
        <v>109</v>
      </c>
      <c r="O10657" t="s">
        <v>24</v>
      </c>
      <c r="Q10657">
        <v>21.56</v>
      </c>
      <c r="R10657" t="str">
        <f>"FARMÁCIA INDIANA LJ 61 (10027)"</f>
        <v>FARMÁCIA INDIANA LJ 61 (10027)</v>
      </c>
      <c r="S10657" t="s">
        <v>77</v>
      </c>
      <c r="T10657">
        <v>21633</v>
      </c>
      <c r="U10657">
        <v>24764</v>
      </c>
      <c r="V10657" t="s">
        <v>77</v>
      </c>
    </row>
    <row r="10658" spans="1:22">
      <c r="A10658" t="str">
        <f t="shared" si="2018"/>
        <v>13/11/2025</v>
      </c>
      <c r="B10658" t="str">
        <f t="shared" si="2019"/>
        <v>SAÍDA</v>
      </c>
      <c r="C10658" t="str">
        <f t="shared" si="2020"/>
        <v>PIX</v>
      </c>
      <c r="D10658" t="str">
        <f>"24765"</f>
        <v>24765</v>
      </c>
      <c r="E10658" t="str">
        <f t="shared" si="2015"/>
        <v>1</v>
      </c>
      <c r="F10658" t="str">
        <f t="shared" si="2017"/>
        <v>COM</v>
      </c>
      <c r="G10658" t="str">
        <f>"JEAN ARAÚJO SANTOS GERMANO (551)"</f>
        <v>JEAN ARAÚJO SANTOS GERMANO (551)</v>
      </c>
      <c r="H10658" t="str">
        <f>"Serv.Prest. 24/10/2025 a 02/11/2025 - PIX: CELULAR - CHAVE: (31) 99812-7173"</f>
        <v>Serv.Prest. 24/10/2025 a 02/11/2025 - PIX: CELULAR - CHAVE: (31) 99812-7173</v>
      </c>
      <c r="I10658" t="str">
        <f t="shared" si="2014"/>
        <v>13/11/2025</v>
      </c>
      <c r="J10658" t="str">
        <f t="shared" si="2016"/>
        <v>04/11/2025</v>
      </c>
      <c r="K10658" t="str">
        <f>("13/11/2025")</f>
        <v>13/11/2025</v>
      </c>
      <c r="L10658">
        <v>1120</v>
      </c>
      <c r="M10658">
        <v>1120</v>
      </c>
      <c r="N10658">
        <v>109</v>
      </c>
      <c r="O10658" t="str">
        <f>"PAGAMENTO DE ENTREGADORES"</f>
        <v>PAGAMENTO DE ENTREGADORES</v>
      </c>
      <c r="P10658">
        <v>1120</v>
      </c>
      <c r="S10658" t="str">
        <f>"BANCO C6 (149)"</f>
        <v>BANCO C6 (149)</v>
      </c>
      <c r="T10658">
        <v>21634</v>
      </c>
      <c r="U10658">
        <v>24765</v>
      </c>
      <c r="V10658" t="s">
        <v>77</v>
      </c>
    </row>
    <row r="10659" spans="1:22">
      <c r="A10659" t="str">
        <f t="shared" si="2018"/>
        <v>13/11/2025</v>
      </c>
      <c r="B10659" t="str">
        <f t="shared" si="2019"/>
        <v>SAÍDA</v>
      </c>
      <c r="C10659" t="str">
        <f t="shared" si="2020"/>
        <v>PIX</v>
      </c>
      <c r="D10659" t="str">
        <f>"24765"</f>
        <v>24765</v>
      </c>
      <c r="E10659" t="str">
        <f t="shared" si="2015"/>
        <v>1</v>
      </c>
      <c r="F10659" t="str">
        <f t="shared" si="2017"/>
        <v>COM</v>
      </c>
      <c r="G10659" t="str">
        <f>"JEAN ARAÚJO SANTOS GERMANO (551)"</f>
        <v>JEAN ARAÚJO SANTOS GERMANO (551)</v>
      </c>
      <c r="H10659" t="s">
        <v>2851</v>
      </c>
      <c r="I10659" t="str">
        <f t="shared" si="2014"/>
        <v>13/11/2025</v>
      </c>
      <c r="J10659" t="str">
        <f t="shared" si="2016"/>
        <v>04/11/2025</v>
      </c>
      <c r="K10659">
        <v>45974</v>
      </c>
      <c r="N10659">
        <v>109</v>
      </c>
      <c r="O10659" t="s">
        <v>24</v>
      </c>
      <c r="Q10659">
        <v>1120</v>
      </c>
      <c r="R10659" t="str">
        <f>"FARMÁCIA INDIANA LJ 142 (10066)"</f>
        <v>FARMÁCIA INDIANA LJ 142 (10066)</v>
      </c>
      <c r="S10659" t="s">
        <v>77</v>
      </c>
      <c r="T10659">
        <v>21634</v>
      </c>
      <c r="U10659">
        <v>24765</v>
      </c>
      <c r="V10659" t="s">
        <v>77</v>
      </c>
    </row>
    <row r="10660" spans="1:22">
      <c r="A10660" t="str">
        <f t="shared" si="2018"/>
        <v>13/11/2025</v>
      </c>
      <c r="B10660" t="str">
        <f t="shared" si="2019"/>
        <v>SAÍDA</v>
      </c>
      <c r="C10660" t="str">
        <f t="shared" si="2020"/>
        <v>PIX</v>
      </c>
      <c r="D10660" t="str">
        <f>"24766"</f>
        <v>24766</v>
      </c>
      <c r="E10660" t="str">
        <f t="shared" si="2015"/>
        <v>1</v>
      </c>
      <c r="F10660" t="str">
        <f t="shared" si="2017"/>
        <v>COM</v>
      </c>
      <c r="G10660" t="str">
        <f>"JEFERSON ANDRADE FERREIRA (165)"</f>
        <v>JEFERSON ANDRADE FERREIRA (165)</v>
      </c>
      <c r="H10660" t="str">
        <f>"Serv.Prest. 24/10/2025 a 02/11/2025 - PIX: CPF - CHAVE: 126.873.296-65"</f>
        <v>Serv.Prest. 24/10/2025 a 02/11/2025 - PIX: CPF - CHAVE: 126.873.296-65</v>
      </c>
      <c r="I10660" t="str">
        <f t="shared" ref="I10660:I10723" si="2021">("13/11/2025")</f>
        <v>13/11/2025</v>
      </c>
      <c r="J10660" t="str">
        <f t="shared" si="2016"/>
        <v>04/11/2025</v>
      </c>
      <c r="K10660" t="str">
        <f>("13/11/2025")</f>
        <v>13/11/2025</v>
      </c>
      <c r="L10660">
        <v>2716</v>
      </c>
      <c r="M10660">
        <v>2716</v>
      </c>
      <c r="N10660">
        <v>109</v>
      </c>
      <c r="O10660" t="str">
        <f>"PAGAMENTO DE ENTREGADORES"</f>
        <v>PAGAMENTO DE ENTREGADORES</v>
      </c>
      <c r="P10660">
        <v>2716</v>
      </c>
      <c r="S10660" t="str">
        <f>"BANCO C6 (149)"</f>
        <v>BANCO C6 (149)</v>
      </c>
      <c r="T10660">
        <v>21635</v>
      </c>
      <c r="U10660">
        <v>24766</v>
      </c>
      <c r="V10660" t="s">
        <v>77</v>
      </c>
    </row>
    <row r="10661" spans="1:22">
      <c r="A10661" t="str">
        <f t="shared" si="2018"/>
        <v>13/11/2025</v>
      </c>
      <c r="B10661" t="str">
        <f t="shared" si="2019"/>
        <v>SAÍDA</v>
      </c>
      <c r="C10661" t="str">
        <f t="shared" si="2020"/>
        <v>PIX</v>
      </c>
      <c r="D10661" t="str">
        <f>"24766"</f>
        <v>24766</v>
      </c>
      <c r="E10661" t="str">
        <f t="shared" si="2015"/>
        <v>1</v>
      </c>
      <c r="F10661" t="str">
        <f t="shared" si="2017"/>
        <v>COM</v>
      </c>
      <c r="G10661" t="str">
        <f>"JEFERSON ANDRADE FERREIRA (165)"</f>
        <v>JEFERSON ANDRADE FERREIRA (165)</v>
      </c>
      <c r="H10661" t="s">
        <v>2517</v>
      </c>
      <c r="I10661" t="str">
        <f t="shared" si="2021"/>
        <v>13/11/2025</v>
      </c>
      <c r="J10661" t="str">
        <f t="shared" si="2016"/>
        <v>04/11/2025</v>
      </c>
      <c r="K10661">
        <v>45974</v>
      </c>
      <c r="N10661">
        <v>109</v>
      </c>
      <c r="O10661" t="s">
        <v>24</v>
      </c>
      <c r="Q10661">
        <v>1648.61</v>
      </c>
      <c r="R10661" t="str">
        <f>"FARMÁCIA INDIANA LJ 101 (10043)"</f>
        <v>FARMÁCIA INDIANA LJ 101 (10043)</v>
      </c>
      <c r="S10661" t="s">
        <v>77</v>
      </c>
      <c r="T10661">
        <v>21635</v>
      </c>
      <c r="U10661">
        <v>24766</v>
      </c>
      <c r="V10661" t="s">
        <v>77</v>
      </c>
    </row>
    <row r="10662" spans="1:22">
      <c r="A10662" t="str">
        <f t="shared" si="2018"/>
        <v>13/11/2025</v>
      </c>
      <c r="B10662" t="str">
        <f t="shared" si="2019"/>
        <v>SAÍDA</v>
      </c>
      <c r="C10662" t="str">
        <f t="shared" si="2020"/>
        <v>PIX</v>
      </c>
      <c r="D10662" t="str">
        <f>"24766"</f>
        <v>24766</v>
      </c>
      <c r="E10662" t="str">
        <f t="shared" ref="E10662:E10725" si="2022">"1"</f>
        <v>1</v>
      </c>
      <c r="F10662" t="str">
        <f t="shared" si="2017"/>
        <v>COM</v>
      </c>
      <c r="G10662" t="str">
        <f>"JEFERSON ANDRADE FERREIRA (165)"</f>
        <v>JEFERSON ANDRADE FERREIRA (165)</v>
      </c>
      <c r="H10662" t="s">
        <v>2517</v>
      </c>
      <c r="I10662" t="str">
        <f t="shared" si="2021"/>
        <v>13/11/2025</v>
      </c>
      <c r="J10662" t="str">
        <f t="shared" ref="J10662:J10725" si="2023">("04/11/2025")</f>
        <v>04/11/2025</v>
      </c>
      <c r="K10662">
        <v>45974</v>
      </c>
      <c r="N10662">
        <v>109</v>
      </c>
      <c r="O10662" t="s">
        <v>24</v>
      </c>
      <c r="Q10662">
        <v>1067.3900000000001</v>
      </c>
      <c r="R10662" t="str">
        <f>"FARMÁCIA INDIANA LJ 220 (10092)"</f>
        <v>FARMÁCIA INDIANA LJ 220 (10092)</v>
      </c>
      <c r="S10662" t="s">
        <v>77</v>
      </c>
      <c r="T10662">
        <v>21635</v>
      </c>
      <c r="U10662">
        <v>24766</v>
      </c>
      <c r="V10662" t="s">
        <v>77</v>
      </c>
    </row>
    <row r="10663" spans="1:22">
      <c r="A10663" t="str">
        <f t="shared" si="2018"/>
        <v>13/11/2025</v>
      </c>
      <c r="B10663" t="str">
        <f t="shared" si="2019"/>
        <v>SAÍDA</v>
      </c>
      <c r="C10663" t="str">
        <f t="shared" si="2020"/>
        <v>PIX</v>
      </c>
      <c r="D10663" t="str">
        <f>"24767"</f>
        <v>24767</v>
      </c>
      <c r="E10663" t="str">
        <f t="shared" si="2022"/>
        <v>1</v>
      </c>
      <c r="F10663" t="str">
        <f t="shared" si="2017"/>
        <v>COM</v>
      </c>
      <c r="G10663" t="str">
        <f>"JEFERSON ARAÚJO SANTOS GERMANO (180)"</f>
        <v>JEFERSON ARAÚJO SANTOS GERMANO (180)</v>
      </c>
      <c r="H10663" t="str">
        <f>"Serv.Prest. 24/10/2025 a 02/11/2025 - PIX: CPF - CHAVE: 023.645.626-19"</f>
        <v>Serv.Prest. 24/10/2025 a 02/11/2025 - PIX: CPF - CHAVE: 023.645.626-19</v>
      </c>
      <c r="I10663" t="str">
        <f t="shared" si="2021"/>
        <v>13/11/2025</v>
      </c>
      <c r="J10663" t="str">
        <f t="shared" si="2023"/>
        <v>04/11/2025</v>
      </c>
      <c r="K10663" t="str">
        <f>("13/11/2025")</f>
        <v>13/11/2025</v>
      </c>
      <c r="L10663">
        <v>910</v>
      </c>
      <c r="M10663">
        <v>910</v>
      </c>
      <c r="N10663">
        <v>109</v>
      </c>
      <c r="O10663" t="str">
        <f>"PAGAMENTO DE ENTREGADORES"</f>
        <v>PAGAMENTO DE ENTREGADORES</v>
      </c>
      <c r="P10663">
        <v>910</v>
      </c>
      <c r="S10663" t="str">
        <f>"BANCO C6 (149)"</f>
        <v>BANCO C6 (149)</v>
      </c>
      <c r="T10663">
        <v>21636</v>
      </c>
      <c r="U10663">
        <v>24767</v>
      </c>
      <c r="V10663" t="s">
        <v>77</v>
      </c>
    </row>
    <row r="10664" spans="1:22">
      <c r="A10664" t="str">
        <f t="shared" si="2018"/>
        <v>13/11/2025</v>
      </c>
      <c r="B10664" t="str">
        <f t="shared" si="2019"/>
        <v>SAÍDA</v>
      </c>
      <c r="C10664" t="str">
        <f t="shared" si="2020"/>
        <v>PIX</v>
      </c>
      <c r="D10664" t="str">
        <f>"24767"</f>
        <v>24767</v>
      </c>
      <c r="E10664" t="str">
        <f t="shared" si="2022"/>
        <v>1</v>
      </c>
      <c r="F10664" t="str">
        <f t="shared" si="2017"/>
        <v>COM</v>
      </c>
      <c r="G10664" t="str">
        <f>"JEFERSON ARAÚJO SANTOS GERMANO (180)"</f>
        <v>JEFERSON ARAÚJO SANTOS GERMANO (180)</v>
      </c>
      <c r="H10664" t="s">
        <v>2852</v>
      </c>
      <c r="I10664" t="str">
        <f t="shared" si="2021"/>
        <v>13/11/2025</v>
      </c>
      <c r="J10664" t="str">
        <f t="shared" si="2023"/>
        <v>04/11/2025</v>
      </c>
      <c r="K10664">
        <v>45974</v>
      </c>
      <c r="N10664">
        <v>109</v>
      </c>
      <c r="O10664" t="s">
        <v>24</v>
      </c>
      <c r="Q10664">
        <v>910</v>
      </c>
      <c r="R10664" t="str">
        <f>"FARMÁCIA INDIANA LJ 142 (10066)"</f>
        <v>FARMÁCIA INDIANA LJ 142 (10066)</v>
      </c>
      <c r="S10664" t="s">
        <v>77</v>
      </c>
      <c r="T10664">
        <v>21636</v>
      </c>
      <c r="U10664">
        <v>24767</v>
      </c>
      <c r="V10664" t="s">
        <v>77</v>
      </c>
    </row>
    <row r="10665" spans="1:22">
      <c r="A10665" t="str">
        <f t="shared" si="2018"/>
        <v>13/11/2025</v>
      </c>
      <c r="B10665" t="str">
        <f t="shared" si="2019"/>
        <v>SAÍDA</v>
      </c>
      <c r="C10665" t="str">
        <f t="shared" si="2020"/>
        <v>PIX</v>
      </c>
      <c r="D10665" t="str">
        <f>"24768"</f>
        <v>24768</v>
      </c>
      <c r="E10665" t="str">
        <f t="shared" si="2022"/>
        <v>1</v>
      </c>
      <c r="F10665" t="str">
        <f t="shared" si="2017"/>
        <v>COM</v>
      </c>
      <c r="G10665" t="str">
        <f>"JEFERSON DE JESUS SANTOS (910)"</f>
        <v>JEFERSON DE JESUS SANTOS (910)</v>
      </c>
      <c r="H10665" t="str">
        <f>"Serv.Prest. 24/10/2025 a 02/11/2025 - PIX: CELULAR - CHAVE: (33) 98836-6015"</f>
        <v>Serv.Prest. 24/10/2025 a 02/11/2025 - PIX: CELULAR - CHAVE: (33) 98836-6015</v>
      </c>
      <c r="I10665" t="str">
        <f t="shared" si="2021"/>
        <v>13/11/2025</v>
      </c>
      <c r="J10665" t="str">
        <f t="shared" si="2023"/>
        <v>04/11/2025</v>
      </c>
      <c r="K10665" t="str">
        <f>("13/11/2025")</f>
        <v>13/11/2025</v>
      </c>
      <c r="L10665">
        <v>1108</v>
      </c>
      <c r="M10665">
        <v>1108</v>
      </c>
      <c r="N10665">
        <v>109</v>
      </c>
      <c r="O10665" t="str">
        <f>"PAGAMENTO DE ENTREGADORES"</f>
        <v>PAGAMENTO DE ENTREGADORES</v>
      </c>
      <c r="P10665">
        <v>1108</v>
      </c>
      <c r="S10665" t="str">
        <f>"BANCO C6 (149)"</f>
        <v>BANCO C6 (149)</v>
      </c>
      <c r="T10665">
        <v>21637</v>
      </c>
      <c r="U10665">
        <v>24768</v>
      </c>
      <c r="V10665" t="s">
        <v>77</v>
      </c>
    </row>
    <row r="10666" spans="1:22">
      <c r="A10666" t="str">
        <f t="shared" si="2018"/>
        <v>13/11/2025</v>
      </c>
      <c r="B10666" t="str">
        <f t="shared" si="2019"/>
        <v>SAÍDA</v>
      </c>
      <c r="C10666" t="str">
        <f t="shared" si="2020"/>
        <v>PIX</v>
      </c>
      <c r="D10666" t="str">
        <f>"24768"</f>
        <v>24768</v>
      </c>
      <c r="E10666" t="str">
        <f t="shared" si="2022"/>
        <v>1</v>
      </c>
      <c r="F10666" t="str">
        <f t="shared" si="2017"/>
        <v>COM</v>
      </c>
      <c r="G10666" t="str">
        <f>"JEFERSON DE JESUS SANTOS (910)"</f>
        <v>JEFERSON DE JESUS SANTOS (910)</v>
      </c>
      <c r="H10666" t="s">
        <v>2853</v>
      </c>
      <c r="I10666" t="str">
        <f t="shared" si="2021"/>
        <v>13/11/2025</v>
      </c>
      <c r="J10666" t="str">
        <f t="shared" si="2023"/>
        <v>04/11/2025</v>
      </c>
      <c r="K10666">
        <v>45974</v>
      </c>
      <c r="N10666">
        <v>109</v>
      </c>
      <c r="O10666" t="s">
        <v>24</v>
      </c>
      <c r="Q10666">
        <v>1108</v>
      </c>
      <c r="R10666" t="str">
        <f>"FARMÁCIA INDIANA LJ 07 (10007)"</f>
        <v>FARMÁCIA INDIANA LJ 07 (10007)</v>
      </c>
      <c r="S10666" t="s">
        <v>77</v>
      </c>
      <c r="T10666">
        <v>21637</v>
      </c>
      <c r="U10666">
        <v>24768</v>
      </c>
      <c r="V10666" t="s">
        <v>77</v>
      </c>
    </row>
    <row r="10667" spans="1:22">
      <c r="A10667" t="str">
        <f t="shared" si="2018"/>
        <v>13/11/2025</v>
      </c>
      <c r="B10667" t="str">
        <f t="shared" si="2019"/>
        <v>SAÍDA</v>
      </c>
      <c r="C10667" t="str">
        <f t="shared" si="2020"/>
        <v>PIX</v>
      </c>
      <c r="D10667" t="str">
        <f>"24769"</f>
        <v>24769</v>
      </c>
      <c r="E10667" t="str">
        <f t="shared" si="2022"/>
        <v>1</v>
      </c>
      <c r="F10667" t="str">
        <f t="shared" si="2017"/>
        <v>COM</v>
      </c>
      <c r="G10667" t="str">
        <f>"JHONANTAN LACERDA DE JESUS (142)"</f>
        <v>JHONANTAN LACERDA DE JESUS (142)</v>
      </c>
      <c r="H10667" t="str">
        <f>"Serv.Prest. 24/10/2025 a 02/11/2025 - PIX: E-MAIL - CHAVE: jhonantanlacerda@gmail.com"</f>
        <v>Serv.Prest. 24/10/2025 a 02/11/2025 - PIX: E-MAIL - CHAVE: jhonantanlacerda@gmail.com</v>
      </c>
      <c r="I10667" t="str">
        <f t="shared" si="2021"/>
        <v>13/11/2025</v>
      </c>
      <c r="J10667" t="str">
        <f t="shared" si="2023"/>
        <v>04/11/2025</v>
      </c>
      <c r="K10667" t="str">
        <f>("13/11/2025")</f>
        <v>13/11/2025</v>
      </c>
      <c r="L10667">
        <v>1198</v>
      </c>
      <c r="M10667">
        <v>1198</v>
      </c>
      <c r="N10667">
        <v>109</v>
      </c>
      <c r="O10667" t="str">
        <f>"PAGAMENTO DE ENTREGADORES"</f>
        <v>PAGAMENTO DE ENTREGADORES</v>
      </c>
      <c r="P10667">
        <v>1198</v>
      </c>
      <c r="S10667" t="str">
        <f>"BANCO C6 (149)"</f>
        <v>BANCO C6 (149)</v>
      </c>
      <c r="T10667">
        <v>21638</v>
      </c>
      <c r="U10667">
        <v>24769</v>
      </c>
      <c r="V10667" t="s">
        <v>77</v>
      </c>
    </row>
    <row r="10668" spans="1:22">
      <c r="A10668" t="str">
        <f t="shared" si="2018"/>
        <v>13/11/2025</v>
      </c>
      <c r="B10668" t="str">
        <f t="shared" si="2019"/>
        <v>SAÍDA</v>
      </c>
      <c r="C10668" t="str">
        <f t="shared" si="2020"/>
        <v>PIX</v>
      </c>
      <c r="D10668" t="str">
        <f>"24769"</f>
        <v>24769</v>
      </c>
      <c r="E10668" t="str">
        <f t="shared" si="2022"/>
        <v>1</v>
      </c>
      <c r="F10668" t="str">
        <f t="shared" si="2017"/>
        <v>COM</v>
      </c>
      <c r="G10668" t="str">
        <f>"JHONANTAN LACERDA DE JESUS (142)"</f>
        <v>JHONANTAN LACERDA DE JESUS (142)</v>
      </c>
      <c r="H10668" t="s">
        <v>2855</v>
      </c>
      <c r="I10668" t="str">
        <f t="shared" si="2021"/>
        <v>13/11/2025</v>
      </c>
      <c r="J10668" t="str">
        <f t="shared" si="2023"/>
        <v>04/11/2025</v>
      </c>
      <c r="K10668">
        <v>45974</v>
      </c>
      <c r="N10668">
        <v>109</v>
      </c>
      <c r="O10668" t="s">
        <v>24</v>
      </c>
      <c r="Q10668">
        <v>1198</v>
      </c>
      <c r="R10668" t="str">
        <f>"FARMÁCIA INDIANA LJ 142 (10066)"</f>
        <v>FARMÁCIA INDIANA LJ 142 (10066)</v>
      </c>
      <c r="S10668" t="s">
        <v>77</v>
      </c>
      <c r="T10668">
        <v>21638</v>
      </c>
      <c r="U10668">
        <v>24769</v>
      </c>
      <c r="V10668" t="s">
        <v>77</v>
      </c>
    </row>
    <row r="10669" spans="1:22">
      <c r="A10669" t="str">
        <f t="shared" si="2018"/>
        <v>13/11/2025</v>
      </c>
      <c r="B10669" t="str">
        <f t="shared" si="2019"/>
        <v>SAÍDA</v>
      </c>
      <c r="C10669" t="str">
        <f t="shared" si="2020"/>
        <v>PIX</v>
      </c>
      <c r="D10669" t="str">
        <f>"24770"</f>
        <v>24770</v>
      </c>
      <c r="E10669" t="str">
        <f t="shared" si="2022"/>
        <v>1</v>
      </c>
      <c r="F10669" t="str">
        <f t="shared" si="2017"/>
        <v>COM</v>
      </c>
      <c r="G10669" t="str">
        <f>"JOCIMAR VAZ FERREIRA (197)"</f>
        <v>JOCIMAR VAZ FERREIRA (197)</v>
      </c>
      <c r="H10669" t="str">
        <f>"Serv.Prest. 24/10/2025 a 02/11/2025 - PIX: CELULAR - CHAVE: (33) 99924-7557"</f>
        <v>Serv.Prest. 24/10/2025 a 02/11/2025 - PIX: CELULAR - CHAVE: (33) 99924-7557</v>
      </c>
      <c r="I10669" t="str">
        <f t="shared" si="2021"/>
        <v>13/11/2025</v>
      </c>
      <c r="J10669" t="str">
        <f t="shared" si="2023"/>
        <v>04/11/2025</v>
      </c>
      <c r="K10669" t="str">
        <f>("13/11/2025")</f>
        <v>13/11/2025</v>
      </c>
      <c r="L10669">
        <v>1060</v>
      </c>
      <c r="M10669">
        <v>1060</v>
      </c>
      <c r="N10669">
        <v>109</v>
      </c>
      <c r="O10669" t="str">
        <f>"PAGAMENTO DE ENTREGADORES"</f>
        <v>PAGAMENTO DE ENTREGADORES</v>
      </c>
      <c r="P10669">
        <v>1060</v>
      </c>
      <c r="S10669" t="str">
        <f>"BANCO C6 (149)"</f>
        <v>BANCO C6 (149)</v>
      </c>
      <c r="T10669">
        <v>21639</v>
      </c>
      <c r="U10669">
        <v>24770</v>
      </c>
      <c r="V10669" t="s">
        <v>77</v>
      </c>
    </row>
    <row r="10670" spans="1:22">
      <c r="A10670" t="str">
        <f t="shared" si="2018"/>
        <v>13/11/2025</v>
      </c>
      <c r="B10670" t="str">
        <f t="shared" si="2019"/>
        <v>SAÍDA</v>
      </c>
      <c r="C10670" t="str">
        <f t="shared" si="2020"/>
        <v>PIX</v>
      </c>
      <c r="D10670" t="str">
        <f>"24770"</f>
        <v>24770</v>
      </c>
      <c r="E10670" t="str">
        <f t="shared" si="2022"/>
        <v>1</v>
      </c>
      <c r="F10670" t="str">
        <f t="shared" si="2017"/>
        <v>COM</v>
      </c>
      <c r="G10670" t="str">
        <f>"JOCIMAR VAZ FERREIRA (197)"</f>
        <v>JOCIMAR VAZ FERREIRA (197)</v>
      </c>
      <c r="H10670" t="s">
        <v>2857</v>
      </c>
      <c r="I10670" t="str">
        <f t="shared" si="2021"/>
        <v>13/11/2025</v>
      </c>
      <c r="J10670" t="str">
        <f t="shared" si="2023"/>
        <v>04/11/2025</v>
      </c>
      <c r="K10670">
        <v>45974</v>
      </c>
      <c r="N10670">
        <v>109</v>
      </c>
      <c r="O10670" t="s">
        <v>24</v>
      </c>
      <c r="Q10670">
        <v>1060</v>
      </c>
      <c r="R10670" t="str">
        <f>"FARMÁCIA INDIANA LJ 06 (10006)"</f>
        <v>FARMÁCIA INDIANA LJ 06 (10006)</v>
      </c>
      <c r="S10670" t="s">
        <v>77</v>
      </c>
      <c r="T10670">
        <v>21639</v>
      </c>
      <c r="U10670">
        <v>24770</v>
      </c>
      <c r="V10670" t="s">
        <v>77</v>
      </c>
    </row>
    <row r="10671" spans="1:22">
      <c r="A10671" t="str">
        <f t="shared" si="2018"/>
        <v>13/11/2025</v>
      </c>
      <c r="B10671" t="str">
        <f t="shared" si="2019"/>
        <v>SAÍDA</v>
      </c>
      <c r="C10671" t="str">
        <f t="shared" si="2020"/>
        <v>PIX</v>
      </c>
      <c r="D10671" t="str">
        <f>"24771"</f>
        <v>24771</v>
      </c>
      <c r="E10671" t="str">
        <f t="shared" si="2022"/>
        <v>1</v>
      </c>
      <c r="F10671" t="str">
        <f t="shared" si="2017"/>
        <v>COM</v>
      </c>
      <c r="G10671" t="str">
        <f>"JOMAR GONÇALVES DIAS (16)"</f>
        <v>JOMAR GONÇALVES DIAS (16)</v>
      </c>
      <c r="H10671" t="str">
        <f>"Serv.Prest. 24/10/2025 a 02/11/2025 - PIX: CPF - CHAVE: 602.838.315-53"</f>
        <v>Serv.Prest. 24/10/2025 a 02/11/2025 - PIX: CPF - CHAVE: 602.838.315-53</v>
      </c>
      <c r="I10671" t="str">
        <f t="shared" si="2021"/>
        <v>13/11/2025</v>
      </c>
      <c r="J10671" t="str">
        <f t="shared" si="2023"/>
        <v>04/11/2025</v>
      </c>
      <c r="K10671" t="str">
        <f>("13/11/2025")</f>
        <v>13/11/2025</v>
      </c>
      <c r="L10671">
        <v>1265</v>
      </c>
      <c r="M10671">
        <v>1265</v>
      </c>
      <c r="N10671">
        <v>109</v>
      </c>
      <c r="O10671" t="str">
        <f>"PAGAMENTO DE ENTREGADORES"</f>
        <v>PAGAMENTO DE ENTREGADORES</v>
      </c>
      <c r="P10671">
        <v>1265</v>
      </c>
      <c r="S10671" t="str">
        <f>"BANCO C6 (149)"</f>
        <v>BANCO C6 (149)</v>
      </c>
      <c r="T10671">
        <v>21640</v>
      </c>
      <c r="U10671">
        <v>24771</v>
      </c>
      <c r="V10671" t="s">
        <v>77</v>
      </c>
    </row>
    <row r="10672" spans="1:22">
      <c r="A10672" t="str">
        <f t="shared" si="2018"/>
        <v>13/11/2025</v>
      </c>
      <c r="B10672" t="str">
        <f t="shared" si="2019"/>
        <v>SAÍDA</v>
      </c>
      <c r="C10672" t="str">
        <f t="shared" si="2020"/>
        <v>PIX</v>
      </c>
      <c r="D10672" t="str">
        <f>"24771"</f>
        <v>24771</v>
      </c>
      <c r="E10672" t="str">
        <f t="shared" si="2022"/>
        <v>1</v>
      </c>
      <c r="F10672" t="str">
        <f t="shared" si="2017"/>
        <v>COM</v>
      </c>
      <c r="G10672" t="str">
        <f>"JOMAR GONÇALVES DIAS (16)"</f>
        <v>JOMAR GONÇALVES DIAS (16)</v>
      </c>
      <c r="H10672" t="s">
        <v>2962</v>
      </c>
      <c r="I10672" t="str">
        <f t="shared" si="2021"/>
        <v>13/11/2025</v>
      </c>
      <c r="J10672" t="str">
        <f t="shared" si="2023"/>
        <v>04/11/2025</v>
      </c>
      <c r="K10672">
        <v>45974</v>
      </c>
      <c r="N10672">
        <v>109</v>
      </c>
      <c r="O10672" t="s">
        <v>24</v>
      </c>
      <c r="Q10672">
        <v>1265</v>
      </c>
      <c r="R10672" t="str">
        <f>"FARMÁCIA INDIANA LJ 61 (10027)"</f>
        <v>FARMÁCIA INDIANA LJ 61 (10027)</v>
      </c>
      <c r="S10672" t="s">
        <v>77</v>
      </c>
      <c r="T10672">
        <v>21640</v>
      </c>
      <c r="U10672">
        <v>24771</v>
      </c>
      <c r="V10672" t="s">
        <v>77</v>
      </c>
    </row>
    <row r="10673" spans="1:22">
      <c r="A10673" t="str">
        <f t="shared" si="2018"/>
        <v>13/11/2025</v>
      </c>
      <c r="B10673" t="str">
        <f t="shared" si="2019"/>
        <v>SAÍDA</v>
      </c>
      <c r="C10673" t="str">
        <f t="shared" si="2020"/>
        <v>PIX</v>
      </c>
      <c r="D10673" t="str">
        <f>"24772"</f>
        <v>24772</v>
      </c>
      <c r="E10673" t="str">
        <f t="shared" si="2022"/>
        <v>1</v>
      </c>
      <c r="F10673" t="str">
        <f t="shared" si="2017"/>
        <v>COM</v>
      </c>
      <c r="G10673" t="str">
        <f>"JOSÉ CARLOS DA COSTA (83)"</f>
        <v>JOSÉ CARLOS DA COSTA (83)</v>
      </c>
      <c r="H10673" t="str">
        <f>"Serv.Prest. 24/10/2025 a 02/11/2025 - PIX: CPF - CHAVE: 043.301.196-33"</f>
        <v>Serv.Prest. 24/10/2025 a 02/11/2025 - PIX: CPF - CHAVE: 043.301.196-33</v>
      </c>
      <c r="I10673" t="str">
        <f t="shared" si="2021"/>
        <v>13/11/2025</v>
      </c>
      <c r="J10673" t="str">
        <f t="shared" si="2023"/>
        <v>04/11/2025</v>
      </c>
      <c r="K10673" t="str">
        <f>("13/11/2025")</f>
        <v>13/11/2025</v>
      </c>
      <c r="L10673">
        <v>834</v>
      </c>
      <c r="M10673">
        <v>834</v>
      </c>
      <c r="N10673">
        <v>109</v>
      </c>
      <c r="O10673" t="str">
        <f>"PAGAMENTO DE ENTREGADORES"</f>
        <v>PAGAMENTO DE ENTREGADORES</v>
      </c>
      <c r="P10673">
        <v>834</v>
      </c>
      <c r="S10673" t="str">
        <f>"BANCO C6 (149)"</f>
        <v>BANCO C6 (149)</v>
      </c>
      <c r="T10673">
        <v>21641</v>
      </c>
      <c r="U10673">
        <v>24772</v>
      </c>
      <c r="V10673" t="s">
        <v>77</v>
      </c>
    </row>
    <row r="10674" spans="1:22">
      <c r="A10674" t="str">
        <f t="shared" si="2018"/>
        <v>13/11/2025</v>
      </c>
      <c r="B10674" t="str">
        <f t="shared" si="2019"/>
        <v>SAÍDA</v>
      </c>
      <c r="C10674" t="str">
        <f t="shared" si="2020"/>
        <v>PIX</v>
      </c>
      <c r="D10674" t="str">
        <f>"24772"</f>
        <v>24772</v>
      </c>
      <c r="E10674" t="str">
        <f t="shared" si="2022"/>
        <v>1</v>
      </c>
      <c r="F10674" t="str">
        <f t="shared" si="2017"/>
        <v>COM</v>
      </c>
      <c r="G10674" t="str">
        <f>"JOSÉ CARLOS DA COSTA (83)"</f>
        <v>JOSÉ CARLOS DA COSTA (83)</v>
      </c>
      <c r="H10674" t="s">
        <v>2963</v>
      </c>
      <c r="I10674" t="str">
        <f t="shared" si="2021"/>
        <v>13/11/2025</v>
      </c>
      <c r="J10674" t="str">
        <f t="shared" si="2023"/>
        <v>04/11/2025</v>
      </c>
      <c r="K10674">
        <v>45974</v>
      </c>
      <c r="N10674">
        <v>109</v>
      </c>
      <c r="O10674" t="s">
        <v>24</v>
      </c>
      <c r="Q10674">
        <v>834</v>
      </c>
      <c r="R10674" t="str">
        <f>"FARMÁCIA INDIANA LJ 152 (10069)"</f>
        <v>FARMÁCIA INDIANA LJ 152 (10069)</v>
      </c>
      <c r="S10674" t="s">
        <v>77</v>
      </c>
      <c r="T10674">
        <v>21641</v>
      </c>
      <c r="U10674">
        <v>24772</v>
      </c>
      <c r="V10674" t="s">
        <v>77</v>
      </c>
    </row>
    <row r="10675" spans="1:22">
      <c r="A10675" t="str">
        <f t="shared" si="2018"/>
        <v>13/11/2025</v>
      </c>
      <c r="B10675" t="str">
        <f t="shared" si="2019"/>
        <v>SAÍDA</v>
      </c>
      <c r="C10675" t="str">
        <f t="shared" si="2020"/>
        <v>PIX</v>
      </c>
      <c r="D10675" t="str">
        <f>"24774"</f>
        <v>24774</v>
      </c>
      <c r="E10675" t="str">
        <f t="shared" si="2022"/>
        <v>1</v>
      </c>
      <c r="F10675" t="str">
        <f t="shared" si="2017"/>
        <v>COM</v>
      </c>
      <c r="G10675" t="str">
        <f>"JUBER FERREIRA SILVA BASTOS (192)"</f>
        <v>JUBER FERREIRA SILVA BASTOS (192)</v>
      </c>
      <c r="H10675" t="str">
        <f>"Serv.Prest. 24/10/2025 a 02/11/2025 - PIX: CPF - CHAVE: 012.459.366-62"</f>
        <v>Serv.Prest. 24/10/2025 a 02/11/2025 - PIX: CPF - CHAVE: 012.459.366-62</v>
      </c>
      <c r="I10675" t="str">
        <f t="shared" si="2021"/>
        <v>13/11/2025</v>
      </c>
      <c r="J10675" t="str">
        <f t="shared" si="2023"/>
        <v>04/11/2025</v>
      </c>
      <c r="K10675" t="str">
        <f>("13/11/2025")</f>
        <v>13/11/2025</v>
      </c>
      <c r="L10675">
        <v>1350</v>
      </c>
      <c r="M10675">
        <v>1350</v>
      </c>
      <c r="N10675">
        <v>109</v>
      </c>
      <c r="O10675" t="str">
        <f>"PAGAMENTO DE ENTREGADORES"</f>
        <v>PAGAMENTO DE ENTREGADORES</v>
      </c>
      <c r="P10675">
        <v>1350</v>
      </c>
      <c r="S10675" t="str">
        <f>"BANCO C6 (149)"</f>
        <v>BANCO C6 (149)</v>
      </c>
      <c r="T10675">
        <v>21642</v>
      </c>
      <c r="U10675">
        <v>24774</v>
      </c>
      <c r="V10675" t="s">
        <v>77</v>
      </c>
    </row>
    <row r="10676" spans="1:22">
      <c r="A10676" t="str">
        <f t="shared" si="2018"/>
        <v>13/11/2025</v>
      </c>
      <c r="B10676" t="str">
        <f t="shared" si="2019"/>
        <v>SAÍDA</v>
      </c>
      <c r="C10676" t="str">
        <f t="shared" si="2020"/>
        <v>PIX</v>
      </c>
      <c r="D10676" t="str">
        <f>"24774"</f>
        <v>24774</v>
      </c>
      <c r="E10676" t="str">
        <f t="shared" si="2022"/>
        <v>1</v>
      </c>
      <c r="F10676" t="str">
        <f t="shared" si="2017"/>
        <v>COM</v>
      </c>
      <c r="G10676" t="str">
        <f>"JUBER FERREIRA SILVA BASTOS (192)"</f>
        <v>JUBER FERREIRA SILVA BASTOS (192)</v>
      </c>
      <c r="H10676" t="s">
        <v>2964</v>
      </c>
      <c r="I10676" t="str">
        <f t="shared" si="2021"/>
        <v>13/11/2025</v>
      </c>
      <c r="J10676" t="str">
        <f t="shared" si="2023"/>
        <v>04/11/2025</v>
      </c>
      <c r="K10676">
        <v>45974</v>
      </c>
      <c r="N10676">
        <v>109</v>
      </c>
      <c r="O10676" t="s">
        <v>24</v>
      </c>
      <c r="Q10676">
        <v>1350</v>
      </c>
      <c r="R10676" t="str">
        <f>"FARMÁCIA INDIANA LJ 06 (10006)"</f>
        <v>FARMÁCIA INDIANA LJ 06 (10006)</v>
      </c>
      <c r="S10676" t="s">
        <v>77</v>
      </c>
      <c r="T10676">
        <v>21642</v>
      </c>
      <c r="U10676">
        <v>24774</v>
      </c>
      <c r="V10676" t="s">
        <v>77</v>
      </c>
    </row>
    <row r="10677" spans="1:22">
      <c r="A10677" t="str">
        <f t="shared" si="2018"/>
        <v>13/11/2025</v>
      </c>
      <c r="B10677" t="str">
        <f t="shared" si="2019"/>
        <v>SAÍDA</v>
      </c>
      <c r="C10677" t="str">
        <f t="shared" si="2020"/>
        <v>PIX</v>
      </c>
      <c r="D10677" t="str">
        <f>"24775"</f>
        <v>24775</v>
      </c>
      <c r="E10677" t="str">
        <f t="shared" si="2022"/>
        <v>1</v>
      </c>
      <c r="F10677" t="str">
        <f t="shared" si="2017"/>
        <v>COM</v>
      </c>
      <c r="G10677" t="str">
        <f>"JUNIO DE ANDRADE ARRUDA (145)"</f>
        <v>JUNIO DE ANDRADE ARRUDA (145)</v>
      </c>
      <c r="H10677" t="str">
        <f>"Serv.Prest. 24/10/2025 a 02/11/2025 - PIX: CPF - CHAVE: 077.488.126-75"</f>
        <v>Serv.Prest. 24/10/2025 a 02/11/2025 - PIX: CPF - CHAVE: 077.488.126-75</v>
      </c>
      <c r="I10677" t="str">
        <f t="shared" si="2021"/>
        <v>13/11/2025</v>
      </c>
      <c r="J10677" t="str">
        <f t="shared" si="2023"/>
        <v>04/11/2025</v>
      </c>
      <c r="K10677" t="str">
        <f>("13/11/2025")</f>
        <v>13/11/2025</v>
      </c>
      <c r="L10677">
        <v>1074</v>
      </c>
      <c r="M10677">
        <v>1074</v>
      </c>
      <c r="N10677">
        <v>109</v>
      </c>
      <c r="O10677" t="str">
        <f>"PAGAMENTO DE ENTREGADORES"</f>
        <v>PAGAMENTO DE ENTREGADORES</v>
      </c>
      <c r="P10677">
        <v>1074</v>
      </c>
      <c r="S10677" t="str">
        <f>"BANCO C6 (149)"</f>
        <v>BANCO C6 (149)</v>
      </c>
      <c r="T10677">
        <v>21643</v>
      </c>
      <c r="U10677">
        <v>24775</v>
      </c>
      <c r="V10677" t="s">
        <v>77</v>
      </c>
    </row>
    <row r="10678" spans="1:22">
      <c r="A10678" t="str">
        <f t="shared" si="2018"/>
        <v>13/11/2025</v>
      </c>
      <c r="B10678" t="str">
        <f t="shared" si="2019"/>
        <v>SAÍDA</v>
      </c>
      <c r="C10678" t="str">
        <f t="shared" si="2020"/>
        <v>PIX</v>
      </c>
      <c r="D10678" t="str">
        <f>"24775"</f>
        <v>24775</v>
      </c>
      <c r="E10678" t="str">
        <f t="shared" si="2022"/>
        <v>1</v>
      </c>
      <c r="F10678" t="str">
        <f t="shared" si="2017"/>
        <v>COM</v>
      </c>
      <c r="G10678" t="str">
        <f>"JUNIO DE ANDRADE ARRUDA (145)"</f>
        <v>JUNIO DE ANDRADE ARRUDA (145)</v>
      </c>
      <c r="H10678" t="s">
        <v>2965</v>
      </c>
      <c r="I10678" t="str">
        <f t="shared" si="2021"/>
        <v>13/11/2025</v>
      </c>
      <c r="J10678" t="str">
        <f t="shared" si="2023"/>
        <v>04/11/2025</v>
      </c>
      <c r="K10678">
        <v>45974</v>
      </c>
      <c r="N10678">
        <v>109</v>
      </c>
      <c r="O10678" t="s">
        <v>24</v>
      </c>
      <c r="Q10678">
        <v>1074</v>
      </c>
      <c r="R10678" t="str">
        <f>"FARMÁCIA INDIANA LJ 19 (10012)"</f>
        <v>FARMÁCIA INDIANA LJ 19 (10012)</v>
      </c>
      <c r="S10678" t="s">
        <v>77</v>
      </c>
      <c r="T10678">
        <v>21643</v>
      </c>
      <c r="U10678">
        <v>24775</v>
      </c>
      <c r="V10678" t="s">
        <v>77</v>
      </c>
    </row>
    <row r="10679" spans="1:22">
      <c r="A10679" t="str">
        <f t="shared" si="2018"/>
        <v>13/11/2025</v>
      </c>
      <c r="B10679" t="str">
        <f t="shared" si="2019"/>
        <v>SAÍDA</v>
      </c>
      <c r="C10679" t="str">
        <f t="shared" si="2020"/>
        <v>PIX</v>
      </c>
      <c r="D10679" t="str">
        <f>"24776"</f>
        <v>24776</v>
      </c>
      <c r="E10679" t="str">
        <f t="shared" si="2022"/>
        <v>1</v>
      </c>
      <c r="F10679" t="str">
        <f t="shared" ref="F10679:F10742" si="2024">"COM"</f>
        <v>COM</v>
      </c>
      <c r="G10679" t="str">
        <f>"JUNIOR DOS SANTOS MACHADO (240)"</f>
        <v>JUNIOR DOS SANTOS MACHADO (240)</v>
      </c>
      <c r="H10679" t="str">
        <f>"Serv.Prest. 24/10/2025 a 02/11/2025 - PIX: CPF - CHAVE: 074.520.456-29"</f>
        <v>Serv.Prest. 24/10/2025 a 02/11/2025 - PIX: CPF - CHAVE: 074.520.456-29</v>
      </c>
      <c r="I10679" t="str">
        <f t="shared" si="2021"/>
        <v>13/11/2025</v>
      </c>
      <c r="J10679" t="str">
        <f t="shared" si="2023"/>
        <v>04/11/2025</v>
      </c>
      <c r="K10679" t="str">
        <f>("13/11/2025")</f>
        <v>13/11/2025</v>
      </c>
      <c r="L10679">
        <v>659.5</v>
      </c>
      <c r="M10679">
        <v>659.5</v>
      </c>
      <c r="N10679">
        <v>109</v>
      </c>
      <c r="O10679" t="str">
        <f>"PAGAMENTO DE ENTREGADORES"</f>
        <v>PAGAMENTO DE ENTREGADORES</v>
      </c>
      <c r="P10679">
        <v>659.5</v>
      </c>
      <c r="S10679" t="str">
        <f>"BANCO C6 (149)"</f>
        <v>BANCO C6 (149)</v>
      </c>
      <c r="T10679">
        <v>21644</v>
      </c>
      <c r="U10679">
        <v>24776</v>
      </c>
      <c r="V10679" t="s">
        <v>77</v>
      </c>
    </row>
    <row r="10680" spans="1:22">
      <c r="A10680" t="str">
        <f t="shared" si="2018"/>
        <v>13/11/2025</v>
      </c>
      <c r="B10680" t="str">
        <f t="shared" si="2019"/>
        <v>SAÍDA</v>
      </c>
      <c r="C10680" t="str">
        <f t="shared" si="2020"/>
        <v>PIX</v>
      </c>
      <c r="D10680" t="str">
        <f>"24776"</f>
        <v>24776</v>
      </c>
      <c r="E10680" t="str">
        <f t="shared" si="2022"/>
        <v>1</v>
      </c>
      <c r="F10680" t="str">
        <f t="shared" si="2024"/>
        <v>COM</v>
      </c>
      <c r="G10680" t="str">
        <f>"JUNIOR DOS SANTOS MACHADO (240)"</f>
        <v>JUNIOR DOS SANTOS MACHADO (240)</v>
      </c>
      <c r="H10680" t="s">
        <v>2729</v>
      </c>
      <c r="I10680" t="str">
        <f t="shared" si="2021"/>
        <v>13/11/2025</v>
      </c>
      <c r="J10680" t="str">
        <f t="shared" si="2023"/>
        <v>04/11/2025</v>
      </c>
      <c r="K10680">
        <v>45974</v>
      </c>
      <c r="N10680">
        <v>109</v>
      </c>
      <c r="O10680" t="s">
        <v>24</v>
      </c>
      <c r="Q10680">
        <v>659.5</v>
      </c>
      <c r="R10680" t="str">
        <f>"FARMÁCIA INDIANA LJ 62 (10028)"</f>
        <v>FARMÁCIA INDIANA LJ 62 (10028)</v>
      </c>
      <c r="S10680" t="s">
        <v>77</v>
      </c>
      <c r="T10680">
        <v>21644</v>
      </c>
      <c r="U10680">
        <v>24776</v>
      </c>
      <c r="V10680" t="s">
        <v>77</v>
      </c>
    </row>
    <row r="10681" spans="1:22">
      <c r="A10681" t="str">
        <f t="shared" si="2018"/>
        <v>13/11/2025</v>
      </c>
      <c r="B10681" t="str">
        <f t="shared" si="2019"/>
        <v>SAÍDA</v>
      </c>
      <c r="C10681" t="str">
        <f t="shared" si="2020"/>
        <v>PIX</v>
      </c>
      <c r="D10681" t="str">
        <f>"24778"</f>
        <v>24778</v>
      </c>
      <c r="E10681" t="str">
        <f t="shared" si="2022"/>
        <v>1</v>
      </c>
      <c r="F10681" t="str">
        <f t="shared" si="2024"/>
        <v>COM</v>
      </c>
      <c r="G10681" t="str">
        <f>"KALESSON BARROSO DIAS (216)"</f>
        <v>KALESSON BARROSO DIAS (216)</v>
      </c>
      <c r="H10681" t="str">
        <f>"Serv.Prest. 24/10/2025 a 02/11/2025 - PIX: CELULAR - CHAVE: (33) 99106-9330"</f>
        <v>Serv.Prest. 24/10/2025 a 02/11/2025 - PIX: CELULAR - CHAVE: (33) 99106-9330</v>
      </c>
      <c r="I10681" t="str">
        <f t="shared" si="2021"/>
        <v>13/11/2025</v>
      </c>
      <c r="J10681" t="str">
        <f t="shared" si="2023"/>
        <v>04/11/2025</v>
      </c>
      <c r="K10681" t="str">
        <f>("13/11/2025")</f>
        <v>13/11/2025</v>
      </c>
      <c r="L10681">
        <v>1350</v>
      </c>
      <c r="M10681">
        <v>1350</v>
      </c>
      <c r="N10681">
        <v>109</v>
      </c>
      <c r="O10681" t="str">
        <f>"PAGAMENTO DE ENTREGADORES"</f>
        <v>PAGAMENTO DE ENTREGADORES</v>
      </c>
      <c r="P10681">
        <v>1350</v>
      </c>
      <c r="S10681" t="str">
        <f>"BANCO C6 (149)"</f>
        <v>BANCO C6 (149)</v>
      </c>
      <c r="T10681">
        <v>21645</v>
      </c>
      <c r="U10681">
        <v>24778</v>
      </c>
      <c r="V10681" t="s">
        <v>77</v>
      </c>
    </row>
    <row r="10682" spans="1:22">
      <c r="A10682" t="str">
        <f t="shared" si="2018"/>
        <v>13/11/2025</v>
      </c>
      <c r="B10682" t="str">
        <f t="shared" si="2019"/>
        <v>SAÍDA</v>
      </c>
      <c r="C10682" t="str">
        <f t="shared" si="2020"/>
        <v>PIX</v>
      </c>
      <c r="D10682" t="str">
        <f>"24778"</f>
        <v>24778</v>
      </c>
      <c r="E10682" t="str">
        <f t="shared" si="2022"/>
        <v>1</v>
      </c>
      <c r="F10682" t="str">
        <f t="shared" si="2024"/>
        <v>COM</v>
      </c>
      <c r="G10682" t="str">
        <f>"KALESSON BARROSO DIAS (216)"</f>
        <v>KALESSON BARROSO DIAS (216)</v>
      </c>
      <c r="H10682" t="s">
        <v>2966</v>
      </c>
      <c r="I10682" t="str">
        <f t="shared" si="2021"/>
        <v>13/11/2025</v>
      </c>
      <c r="J10682" t="str">
        <f t="shared" si="2023"/>
        <v>04/11/2025</v>
      </c>
      <c r="K10682">
        <v>45974</v>
      </c>
      <c r="N10682">
        <v>109</v>
      </c>
      <c r="O10682" t="s">
        <v>24</v>
      </c>
      <c r="Q10682">
        <v>1350</v>
      </c>
      <c r="R10682" t="str">
        <f>"FARMÁCIA INDIANA LJ 06 (10006)"</f>
        <v>FARMÁCIA INDIANA LJ 06 (10006)</v>
      </c>
      <c r="S10682" t="s">
        <v>77</v>
      </c>
      <c r="T10682">
        <v>21645</v>
      </c>
      <c r="U10682">
        <v>24778</v>
      </c>
      <c r="V10682" t="s">
        <v>77</v>
      </c>
    </row>
    <row r="10683" spans="1:22">
      <c r="A10683" t="str">
        <f t="shared" si="2018"/>
        <v>13/11/2025</v>
      </c>
      <c r="B10683" t="str">
        <f t="shared" si="2019"/>
        <v>SAÍDA</v>
      </c>
      <c r="C10683" t="str">
        <f t="shared" si="2020"/>
        <v>PIX</v>
      </c>
      <c r="D10683" t="str">
        <f>"24779"</f>
        <v>24779</v>
      </c>
      <c r="E10683" t="str">
        <f t="shared" si="2022"/>
        <v>1</v>
      </c>
      <c r="F10683" t="str">
        <f t="shared" si="2024"/>
        <v>COM</v>
      </c>
      <c r="G10683" t="str">
        <f>"KELVIN NUBIO DE SOUZA TOLEDO (735)"</f>
        <v>KELVIN NUBIO DE SOUZA TOLEDO (735)</v>
      </c>
      <c r="H10683" t="str">
        <f>"Serv.Prest. 24/10/2025 a 02/11/2025 - PIX: CHAVE ALEATÓRIA - CHAVE: c489bee1-360b-4fa9-86c4-fbb0e9844cb8"</f>
        <v>Serv.Prest. 24/10/2025 a 02/11/2025 - PIX: CHAVE ALEATÓRIA - CHAVE: c489bee1-360b-4fa9-86c4-fbb0e9844cb8</v>
      </c>
      <c r="I10683" t="str">
        <f t="shared" si="2021"/>
        <v>13/11/2025</v>
      </c>
      <c r="J10683" t="str">
        <f t="shared" si="2023"/>
        <v>04/11/2025</v>
      </c>
      <c r="K10683" t="str">
        <f>("13/11/2025")</f>
        <v>13/11/2025</v>
      </c>
      <c r="L10683">
        <v>472</v>
      </c>
      <c r="M10683">
        <v>472</v>
      </c>
      <c r="N10683">
        <v>109</v>
      </c>
      <c r="O10683" t="str">
        <f>"PAGAMENTO DE ENTREGADORES"</f>
        <v>PAGAMENTO DE ENTREGADORES</v>
      </c>
      <c r="P10683">
        <v>472</v>
      </c>
      <c r="S10683" t="str">
        <f>"BANCO C6 (149)"</f>
        <v>BANCO C6 (149)</v>
      </c>
      <c r="T10683">
        <v>21646</v>
      </c>
      <c r="U10683">
        <v>24779</v>
      </c>
      <c r="V10683" t="s">
        <v>77</v>
      </c>
    </row>
    <row r="10684" spans="1:22">
      <c r="A10684" t="str">
        <f t="shared" si="2018"/>
        <v>13/11/2025</v>
      </c>
      <c r="B10684" t="str">
        <f t="shared" si="2019"/>
        <v>SAÍDA</v>
      </c>
      <c r="C10684" t="str">
        <f t="shared" si="2020"/>
        <v>PIX</v>
      </c>
      <c r="D10684" t="str">
        <f>"24779"</f>
        <v>24779</v>
      </c>
      <c r="E10684" t="str">
        <f t="shared" si="2022"/>
        <v>1</v>
      </c>
      <c r="F10684" t="str">
        <f t="shared" si="2024"/>
        <v>COM</v>
      </c>
      <c r="G10684" t="str">
        <f>"KELVIN NUBIO DE SOUZA TOLEDO (735)"</f>
        <v>KELVIN NUBIO DE SOUZA TOLEDO (735)</v>
      </c>
      <c r="H10684" t="s">
        <v>2861</v>
      </c>
      <c r="I10684" t="str">
        <f t="shared" si="2021"/>
        <v>13/11/2025</v>
      </c>
      <c r="J10684" t="str">
        <f t="shared" si="2023"/>
        <v>04/11/2025</v>
      </c>
      <c r="K10684">
        <v>45974</v>
      </c>
      <c r="N10684">
        <v>109</v>
      </c>
      <c r="O10684" t="s">
        <v>24</v>
      </c>
      <c r="Q10684">
        <v>472</v>
      </c>
      <c r="R10684" t="str">
        <f>"FARMÁCIA INDIANA LJ 152 (10069)"</f>
        <v>FARMÁCIA INDIANA LJ 152 (10069)</v>
      </c>
      <c r="S10684" t="s">
        <v>77</v>
      </c>
      <c r="T10684">
        <v>21646</v>
      </c>
      <c r="U10684">
        <v>24779</v>
      </c>
      <c r="V10684" t="s">
        <v>77</v>
      </c>
    </row>
    <row r="10685" spans="1:22">
      <c r="A10685" t="str">
        <f t="shared" si="2018"/>
        <v>13/11/2025</v>
      </c>
      <c r="B10685" t="str">
        <f t="shared" si="2019"/>
        <v>SAÍDA</v>
      </c>
      <c r="C10685" t="str">
        <f t="shared" si="2020"/>
        <v>PIX</v>
      </c>
      <c r="D10685" t="str">
        <f>"24782"</f>
        <v>24782</v>
      </c>
      <c r="E10685" t="str">
        <f t="shared" si="2022"/>
        <v>1</v>
      </c>
      <c r="F10685" t="str">
        <f t="shared" si="2024"/>
        <v>COM</v>
      </c>
      <c r="G10685" t="str">
        <f>"LEVERCI DA SILVA COURA (138)"</f>
        <v>LEVERCI DA SILVA COURA (138)</v>
      </c>
      <c r="H10685" t="str">
        <f>"Serv.Prest. 24/10/2025 a 02/11/2025 - PIX: CELULAR - CHAVE: (31) 99850-4727"</f>
        <v>Serv.Prest. 24/10/2025 a 02/11/2025 - PIX: CELULAR - CHAVE: (31) 99850-4727</v>
      </c>
      <c r="I10685" t="str">
        <f t="shared" si="2021"/>
        <v>13/11/2025</v>
      </c>
      <c r="J10685" t="str">
        <f t="shared" si="2023"/>
        <v>04/11/2025</v>
      </c>
      <c r="K10685" t="str">
        <f>("13/11/2025")</f>
        <v>13/11/2025</v>
      </c>
      <c r="L10685">
        <v>960</v>
      </c>
      <c r="M10685">
        <v>960</v>
      </c>
      <c r="N10685">
        <v>109</v>
      </c>
      <c r="O10685" t="str">
        <f>"PAGAMENTO DE ENTREGADORES"</f>
        <v>PAGAMENTO DE ENTREGADORES</v>
      </c>
      <c r="P10685">
        <v>960</v>
      </c>
      <c r="S10685" t="str">
        <f>"BANCO C6 (149)"</f>
        <v>BANCO C6 (149)</v>
      </c>
      <c r="T10685">
        <v>21647</v>
      </c>
      <c r="U10685">
        <v>24782</v>
      </c>
      <c r="V10685" t="s">
        <v>77</v>
      </c>
    </row>
    <row r="10686" spans="1:22">
      <c r="A10686" t="str">
        <f t="shared" si="2018"/>
        <v>13/11/2025</v>
      </c>
      <c r="B10686" t="str">
        <f t="shared" si="2019"/>
        <v>SAÍDA</v>
      </c>
      <c r="C10686" t="str">
        <f t="shared" si="2020"/>
        <v>PIX</v>
      </c>
      <c r="D10686" t="str">
        <f>"24782"</f>
        <v>24782</v>
      </c>
      <c r="E10686" t="str">
        <f t="shared" si="2022"/>
        <v>1</v>
      </c>
      <c r="F10686" t="str">
        <f t="shared" si="2024"/>
        <v>COM</v>
      </c>
      <c r="G10686" t="str">
        <f>"LEVERCI DA SILVA COURA (138)"</f>
        <v>LEVERCI DA SILVA COURA (138)</v>
      </c>
      <c r="H10686" t="s">
        <v>2967</v>
      </c>
      <c r="I10686" t="str">
        <f t="shared" si="2021"/>
        <v>13/11/2025</v>
      </c>
      <c r="J10686" t="str">
        <f t="shared" si="2023"/>
        <v>04/11/2025</v>
      </c>
      <c r="K10686">
        <v>45974</v>
      </c>
      <c r="N10686">
        <v>109</v>
      </c>
      <c r="O10686" t="s">
        <v>24</v>
      </c>
      <c r="Q10686">
        <v>960</v>
      </c>
      <c r="R10686" t="str">
        <f>"FARMÁCIA INDIANA LJ 18 (10011)"</f>
        <v>FARMÁCIA INDIANA LJ 18 (10011)</v>
      </c>
      <c r="S10686" t="s">
        <v>77</v>
      </c>
      <c r="T10686">
        <v>21647</v>
      </c>
      <c r="U10686">
        <v>24782</v>
      </c>
      <c r="V10686" t="s">
        <v>77</v>
      </c>
    </row>
    <row r="10687" spans="1:22">
      <c r="A10687" t="str">
        <f t="shared" si="2018"/>
        <v>13/11/2025</v>
      </c>
      <c r="B10687" t="str">
        <f t="shared" si="2019"/>
        <v>SAÍDA</v>
      </c>
      <c r="C10687" t="str">
        <f t="shared" si="2020"/>
        <v>PIX</v>
      </c>
      <c r="D10687" t="str">
        <f>"24783"</f>
        <v>24783</v>
      </c>
      <c r="E10687" t="str">
        <f t="shared" si="2022"/>
        <v>1</v>
      </c>
      <c r="F10687" t="str">
        <f t="shared" si="2024"/>
        <v>COM</v>
      </c>
      <c r="G10687" t="str">
        <f>"LUAN DOS SANTOS NUNES (719)"</f>
        <v>LUAN DOS SANTOS NUNES (719)</v>
      </c>
      <c r="H10687" t="str">
        <f>"Serv.Prest. 24/10/2025 a 02/11/2025 - PIX: CELULAR - CHAVE: (33) 98749-4693"</f>
        <v>Serv.Prest. 24/10/2025 a 02/11/2025 - PIX: CELULAR - CHAVE: (33) 98749-4693</v>
      </c>
      <c r="I10687" t="str">
        <f t="shared" si="2021"/>
        <v>13/11/2025</v>
      </c>
      <c r="J10687" t="str">
        <f t="shared" si="2023"/>
        <v>04/11/2025</v>
      </c>
      <c r="K10687" t="str">
        <f>("13/11/2025")</f>
        <v>13/11/2025</v>
      </c>
      <c r="L10687">
        <v>2273.5</v>
      </c>
      <c r="M10687">
        <v>2273.5</v>
      </c>
      <c r="N10687">
        <v>109</v>
      </c>
      <c r="O10687" t="str">
        <f>"PAGAMENTO DE ENTREGADORES"</f>
        <v>PAGAMENTO DE ENTREGADORES</v>
      </c>
      <c r="P10687">
        <v>2273.5</v>
      </c>
      <c r="S10687" t="str">
        <f>"BANCO C6 (149)"</f>
        <v>BANCO C6 (149)</v>
      </c>
      <c r="T10687">
        <v>21648</v>
      </c>
      <c r="U10687">
        <v>24783</v>
      </c>
      <c r="V10687" t="s">
        <v>77</v>
      </c>
    </row>
    <row r="10688" spans="1:22">
      <c r="A10688" t="str">
        <f t="shared" si="2018"/>
        <v>13/11/2025</v>
      </c>
      <c r="B10688" t="str">
        <f t="shared" si="2019"/>
        <v>SAÍDA</v>
      </c>
      <c r="C10688" t="str">
        <f t="shared" si="2020"/>
        <v>PIX</v>
      </c>
      <c r="D10688" t="str">
        <f>"24783"</f>
        <v>24783</v>
      </c>
      <c r="E10688" t="str">
        <f t="shared" si="2022"/>
        <v>1</v>
      </c>
      <c r="F10688" t="str">
        <f t="shared" si="2024"/>
        <v>COM</v>
      </c>
      <c r="G10688" t="str">
        <f>"LUAN DOS SANTOS NUNES (719)"</f>
        <v>LUAN DOS SANTOS NUNES (719)</v>
      </c>
      <c r="H10688" t="s">
        <v>2865</v>
      </c>
      <c r="I10688" t="str">
        <f t="shared" si="2021"/>
        <v>13/11/2025</v>
      </c>
      <c r="J10688" t="str">
        <f t="shared" si="2023"/>
        <v>04/11/2025</v>
      </c>
      <c r="K10688">
        <v>45974</v>
      </c>
      <c r="N10688">
        <v>109</v>
      </c>
      <c r="O10688" t="s">
        <v>24</v>
      </c>
      <c r="Q10688">
        <v>2273.5</v>
      </c>
      <c r="R10688" t="str">
        <f>"FARMÁCIA INDIANA LJ 61 (10027)"</f>
        <v>FARMÁCIA INDIANA LJ 61 (10027)</v>
      </c>
      <c r="S10688" t="s">
        <v>77</v>
      </c>
      <c r="T10688">
        <v>21648</v>
      </c>
      <c r="U10688">
        <v>24783</v>
      </c>
      <c r="V10688" t="s">
        <v>77</v>
      </c>
    </row>
    <row r="10689" spans="1:22">
      <c r="A10689" t="str">
        <f t="shared" si="2018"/>
        <v>13/11/2025</v>
      </c>
      <c r="B10689" t="str">
        <f t="shared" si="2019"/>
        <v>SAÍDA</v>
      </c>
      <c r="C10689" t="str">
        <f t="shared" si="2020"/>
        <v>PIX</v>
      </c>
      <c r="D10689" t="str">
        <f>"24784"</f>
        <v>24784</v>
      </c>
      <c r="E10689" t="str">
        <f t="shared" si="2022"/>
        <v>1</v>
      </c>
      <c r="F10689" t="str">
        <f t="shared" si="2024"/>
        <v>COM</v>
      </c>
      <c r="G10689" t="str">
        <f>"LUAN VICTOR SERQUEIRA DA SILVA (577)"</f>
        <v>LUAN VICTOR SERQUEIRA DA SILVA (577)</v>
      </c>
      <c r="H10689" t="str">
        <f>"Serv.Prest. 24/10/2025 a 02/11/2025 - PIX: CPF - CHAVE: 161.508.516-56"</f>
        <v>Serv.Prest. 24/10/2025 a 02/11/2025 - PIX: CPF - CHAVE: 161.508.516-56</v>
      </c>
      <c r="I10689" t="str">
        <f t="shared" si="2021"/>
        <v>13/11/2025</v>
      </c>
      <c r="J10689" t="str">
        <f t="shared" si="2023"/>
        <v>04/11/2025</v>
      </c>
      <c r="K10689" t="str">
        <f>("13/11/2025")</f>
        <v>13/11/2025</v>
      </c>
      <c r="L10689">
        <v>680</v>
      </c>
      <c r="M10689">
        <v>680</v>
      </c>
      <c r="N10689">
        <v>109</v>
      </c>
      <c r="O10689" t="str">
        <f>"PAGAMENTO DE ENTREGADORES"</f>
        <v>PAGAMENTO DE ENTREGADORES</v>
      </c>
      <c r="P10689">
        <v>680</v>
      </c>
      <c r="S10689" t="str">
        <f>"BANCO C6 (149)"</f>
        <v>BANCO C6 (149)</v>
      </c>
      <c r="T10689">
        <v>21649</v>
      </c>
      <c r="U10689">
        <v>24784</v>
      </c>
      <c r="V10689" t="s">
        <v>77</v>
      </c>
    </row>
    <row r="10690" spans="1:22">
      <c r="A10690" t="str">
        <f t="shared" si="2018"/>
        <v>13/11/2025</v>
      </c>
      <c r="B10690" t="str">
        <f t="shared" si="2019"/>
        <v>SAÍDA</v>
      </c>
      <c r="C10690" t="str">
        <f t="shared" si="2020"/>
        <v>PIX</v>
      </c>
      <c r="D10690" t="str">
        <f>"24784"</f>
        <v>24784</v>
      </c>
      <c r="E10690" t="str">
        <f t="shared" si="2022"/>
        <v>1</v>
      </c>
      <c r="F10690" t="str">
        <f t="shared" si="2024"/>
        <v>COM</v>
      </c>
      <c r="G10690" t="str">
        <f>"LUAN VICTOR SERQUEIRA DA SILVA (577)"</f>
        <v>LUAN VICTOR SERQUEIRA DA SILVA (577)</v>
      </c>
      <c r="H10690" t="s">
        <v>2523</v>
      </c>
      <c r="I10690" t="str">
        <f t="shared" si="2021"/>
        <v>13/11/2025</v>
      </c>
      <c r="J10690" t="str">
        <f t="shared" si="2023"/>
        <v>04/11/2025</v>
      </c>
      <c r="K10690">
        <v>45974</v>
      </c>
      <c r="N10690">
        <v>109</v>
      </c>
      <c r="O10690" t="s">
        <v>24</v>
      </c>
      <c r="Q10690">
        <v>680</v>
      </c>
      <c r="R10690" t="str">
        <f>"FARMÁCIA INDIANA LJ 202 (10085)"</f>
        <v>FARMÁCIA INDIANA LJ 202 (10085)</v>
      </c>
      <c r="S10690" t="s">
        <v>77</v>
      </c>
      <c r="T10690">
        <v>21649</v>
      </c>
      <c r="U10690">
        <v>24784</v>
      </c>
      <c r="V10690" t="s">
        <v>77</v>
      </c>
    </row>
    <row r="10691" spans="1:22">
      <c r="A10691" t="str">
        <f t="shared" si="2018"/>
        <v>13/11/2025</v>
      </c>
      <c r="B10691" t="str">
        <f t="shared" si="2019"/>
        <v>SAÍDA</v>
      </c>
      <c r="C10691" t="str">
        <f t="shared" si="2020"/>
        <v>PIX</v>
      </c>
      <c r="D10691" t="str">
        <f>"24785"</f>
        <v>24785</v>
      </c>
      <c r="E10691" t="str">
        <f t="shared" si="2022"/>
        <v>1</v>
      </c>
      <c r="F10691" t="str">
        <f t="shared" si="2024"/>
        <v>COM</v>
      </c>
      <c r="G10691" t="str">
        <f>"LUCAS FERREIRA DOS SANTOS (868)"</f>
        <v>LUCAS FERREIRA DOS SANTOS (868)</v>
      </c>
      <c r="H10691" t="str">
        <f>"Serv.Prest. 24/10/2025 a 02/11/2025 - PIX: CELULAR - CHAVE: (33) 99172-0627"</f>
        <v>Serv.Prest. 24/10/2025 a 02/11/2025 - PIX: CELULAR - CHAVE: (33) 99172-0627</v>
      </c>
      <c r="I10691" t="str">
        <f t="shared" si="2021"/>
        <v>13/11/2025</v>
      </c>
      <c r="J10691" t="str">
        <f t="shared" si="2023"/>
        <v>04/11/2025</v>
      </c>
      <c r="K10691" t="str">
        <f>("13/11/2025")</f>
        <v>13/11/2025</v>
      </c>
      <c r="L10691">
        <v>1534</v>
      </c>
      <c r="M10691">
        <v>1534</v>
      </c>
      <c r="N10691">
        <v>109</v>
      </c>
      <c r="O10691" t="str">
        <f>"PAGAMENTO DE ENTREGADORES"</f>
        <v>PAGAMENTO DE ENTREGADORES</v>
      </c>
      <c r="P10691">
        <v>1534</v>
      </c>
      <c r="S10691" t="str">
        <f>"BANCO C6 (149)"</f>
        <v>BANCO C6 (149)</v>
      </c>
      <c r="T10691">
        <v>21650</v>
      </c>
      <c r="U10691">
        <v>24785</v>
      </c>
      <c r="V10691" t="s">
        <v>77</v>
      </c>
    </row>
    <row r="10692" spans="1:22">
      <c r="A10692" t="str">
        <f t="shared" si="2018"/>
        <v>13/11/2025</v>
      </c>
      <c r="B10692" t="str">
        <f t="shared" si="2019"/>
        <v>SAÍDA</v>
      </c>
      <c r="C10692" t="str">
        <f t="shared" si="2020"/>
        <v>PIX</v>
      </c>
      <c r="D10692" t="str">
        <f>"24785"</f>
        <v>24785</v>
      </c>
      <c r="E10692" t="str">
        <f t="shared" si="2022"/>
        <v>1</v>
      </c>
      <c r="F10692" t="str">
        <f t="shared" si="2024"/>
        <v>COM</v>
      </c>
      <c r="G10692" t="str">
        <f>"LUCAS FERREIRA DOS SANTOS (868)"</f>
        <v>LUCAS FERREIRA DOS SANTOS (868)</v>
      </c>
      <c r="H10692" t="s">
        <v>2866</v>
      </c>
      <c r="I10692" t="str">
        <f t="shared" si="2021"/>
        <v>13/11/2025</v>
      </c>
      <c r="J10692" t="str">
        <f t="shared" si="2023"/>
        <v>04/11/2025</v>
      </c>
      <c r="K10692">
        <v>45974</v>
      </c>
      <c r="N10692">
        <v>109</v>
      </c>
      <c r="O10692" t="s">
        <v>24</v>
      </c>
      <c r="Q10692">
        <v>1534</v>
      </c>
      <c r="R10692" t="str">
        <f>"FARMÁCIA INDIANA LJ 06 (10006)"</f>
        <v>FARMÁCIA INDIANA LJ 06 (10006)</v>
      </c>
      <c r="S10692" t="s">
        <v>77</v>
      </c>
      <c r="T10692">
        <v>21650</v>
      </c>
      <c r="U10692">
        <v>24785</v>
      </c>
      <c r="V10692" t="s">
        <v>77</v>
      </c>
    </row>
    <row r="10693" spans="1:22">
      <c r="A10693" t="str">
        <f t="shared" si="2018"/>
        <v>13/11/2025</v>
      </c>
      <c r="B10693" t="str">
        <f t="shared" si="2019"/>
        <v>SAÍDA</v>
      </c>
      <c r="C10693" t="str">
        <f t="shared" si="2020"/>
        <v>PIX</v>
      </c>
      <c r="D10693" t="str">
        <f>"24787"</f>
        <v>24787</v>
      </c>
      <c r="E10693" t="str">
        <f t="shared" si="2022"/>
        <v>1</v>
      </c>
      <c r="F10693" t="str">
        <f t="shared" si="2024"/>
        <v>COM</v>
      </c>
      <c r="G10693" t="str">
        <f>"LUIZ ALVES MARTINS (40)"</f>
        <v>LUIZ ALVES MARTINS (40)</v>
      </c>
      <c r="H10693" t="str">
        <f>"Serv.Prest. 24/10/2025 a 02/11/2025 - PIX: CELULAR - CHAVE: (33) 99981-6650"</f>
        <v>Serv.Prest. 24/10/2025 a 02/11/2025 - PIX: CELULAR - CHAVE: (33) 99981-6650</v>
      </c>
      <c r="I10693" t="str">
        <f t="shared" si="2021"/>
        <v>13/11/2025</v>
      </c>
      <c r="J10693" t="str">
        <f t="shared" si="2023"/>
        <v>04/11/2025</v>
      </c>
      <c r="K10693" t="str">
        <f>("13/11/2025")</f>
        <v>13/11/2025</v>
      </c>
      <c r="L10693">
        <v>1248</v>
      </c>
      <c r="M10693">
        <v>1248</v>
      </c>
      <c r="N10693">
        <v>109</v>
      </c>
      <c r="O10693" t="str">
        <f>"PAGAMENTO DE ENTREGADORES"</f>
        <v>PAGAMENTO DE ENTREGADORES</v>
      </c>
      <c r="P10693">
        <v>1248</v>
      </c>
      <c r="S10693" t="str">
        <f>"BANCO C6 (149)"</f>
        <v>BANCO C6 (149)</v>
      </c>
      <c r="T10693">
        <v>21651</v>
      </c>
      <c r="U10693">
        <v>24787</v>
      </c>
      <c r="V10693" t="s">
        <v>77</v>
      </c>
    </row>
    <row r="10694" spans="1:22">
      <c r="A10694" t="str">
        <f t="shared" si="2018"/>
        <v>13/11/2025</v>
      </c>
      <c r="B10694" t="str">
        <f t="shared" si="2019"/>
        <v>SAÍDA</v>
      </c>
      <c r="C10694" t="str">
        <f t="shared" si="2020"/>
        <v>PIX</v>
      </c>
      <c r="D10694" t="str">
        <f>"24787"</f>
        <v>24787</v>
      </c>
      <c r="E10694" t="str">
        <f t="shared" si="2022"/>
        <v>1</v>
      </c>
      <c r="F10694" t="str">
        <f t="shared" si="2024"/>
        <v>COM</v>
      </c>
      <c r="G10694" t="str">
        <f>"LUIZ ALVES MARTINS (40)"</f>
        <v>LUIZ ALVES MARTINS (40)</v>
      </c>
      <c r="H10694" t="s">
        <v>2968</v>
      </c>
      <c r="I10694" t="str">
        <f t="shared" si="2021"/>
        <v>13/11/2025</v>
      </c>
      <c r="J10694" t="str">
        <f t="shared" si="2023"/>
        <v>04/11/2025</v>
      </c>
      <c r="K10694">
        <v>45974</v>
      </c>
      <c r="N10694">
        <v>109</v>
      </c>
      <c r="O10694" t="s">
        <v>24</v>
      </c>
      <c r="Q10694">
        <v>1187.97</v>
      </c>
      <c r="R10694" t="str">
        <f>"FARMÁCIA INDIANA LJ 11 (10008)"</f>
        <v>FARMÁCIA INDIANA LJ 11 (10008)</v>
      </c>
      <c r="S10694" t="s">
        <v>77</v>
      </c>
      <c r="T10694">
        <v>21651</v>
      </c>
      <c r="U10694">
        <v>24787</v>
      </c>
      <c r="V10694" t="s">
        <v>77</v>
      </c>
    </row>
    <row r="10695" spans="1:22">
      <c r="A10695" t="str">
        <f t="shared" si="2018"/>
        <v>13/11/2025</v>
      </c>
      <c r="B10695" t="str">
        <f t="shared" si="2019"/>
        <v>SAÍDA</v>
      </c>
      <c r="C10695" t="str">
        <f t="shared" si="2020"/>
        <v>PIX</v>
      </c>
      <c r="D10695" t="str">
        <f>"24787"</f>
        <v>24787</v>
      </c>
      <c r="E10695" t="str">
        <f t="shared" si="2022"/>
        <v>1</v>
      </c>
      <c r="F10695" t="str">
        <f t="shared" si="2024"/>
        <v>COM</v>
      </c>
      <c r="G10695" t="str">
        <f>"LUIZ ALVES MARTINS (40)"</f>
        <v>LUIZ ALVES MARTINS (40)</v>
      </c>
      <c r="H10695" t="s">
        <v>2968</v>
      </c>
      <c r="I10695" t="str">
        <f t="shared" si="2021"/>
        <v>13/11/2025</v>
      </c>
      <c r="J10695" t="str">
        <f t="shared" si="2023"/>
        <v>04/11/2025</v>
      </c>
      <c r="K10695">
        <v>45974</v>
      </c>
      <c r="N10695">
        <v>109</v>
      </c>
      <c r="O10695" t="s">
        <v>24</v>
      </c>
      <c r="Q10695">
        <v>60.03</v>
      </c>
      <c r="R10695" t="str">
        <f>"FARMÁCIA INDIANA LJ 172 (10161)"</f>
        <v>FARMÁCIA INDIANA LJ 172 (10161)</v>
      </c>
      <c r="S10695" t="s">
        <v>77</v>
      </c>
      <c r="T10695">
        <v>21651</v>
      </c>
      <c r="U10695">
        <v>24787</v>
      </c>
      <c r="V10695" t="s">
        <v>77</v>
      </c>
    </row>
    <row r="10696" spans="1:22">
      <c r="A10696" t="str">
        <f t="shared" si="2018"/>
        <v>13/11/2025</v>
      </c>
      <c r="B10696" t="str">
        <f t="shared" si="2019"/>
        <v>SAÍDA</v>
      </c>
      <c r="C10696" t="str">
        <f t="shared" si="2020"/>
        <v>PIX</v>
      </c>
      <c r="D10696" t="str">
        <f>"24788"</f>
        <v>24788</v>
      </c>
      <c r="E10696" t="str">
        <f t="shared" si="2022"/>
        <v>1</v>
      </c>
      <c r="F10696" t="str">
        <f t="shared" si="2024"/>
        <v>COM</v>
      </c>
      <c r="G10696" t="str">
        <f>"LUIZ EDUARDO VIANA BRITO (878)"</f>
        <v>LUIZ EDUARDO VIANA BRITO (878)</v>
      </c>
      <c r="H10696" t="str">
        <f>"Serv.Prest. 24/10/2025 a 02/11/2025 - PIX: CPF - CHAVE: 101.220.976-88"</f>
        <v>Serv.Prest. 24/10/2025 a 02/11/2025 - PIX: CPF - CHAVE: 101.220.976-88</v>
      </c>
      <c r="I10696" t="str">
        <f t="shared" si="2021"/>
        <v>13/11/2025</v>
      </c>
      <c r="J10696" t="str">
        <f t="shared" si="2023"/>
        <v>04/11/2025</v>
      </c>
      <c r="K10696" t="str">
        <f>("13/11/2025")</f>
        <v>13/11/2025</v>
      </c>
      <c r="L10696">
        <v>843.5</v>
      </c>
      <c r="M10696">
        <v>843.5</v>
      </c>
      <c r="N10696">
        <v>109</v>
      </c>
      <c r="O10696" t="str">
        <f>"PAGAMENTO DE ENTREGADORES"</f>
        <v>PAGAMENTO DE ENTREGADORES</v>
      </c>
      <c r="P10696">
        <v>843.5</v>
      </c>
      <c r="S10696" t="str">
        <f>"BANCO C6 (149)"</f>
        <v>BANCO C6 (149)</v>
      </c>
      <c r="T10696">
        <v>21652</v>
      </c>
      <c r="U10696">
        <v>24788</v>
      </c>
      <c r="V10696" t="s">
        <v>77</v>
      </c>
    </row>
    <row r="10697" spans="1:22">
      <c r="A10697" t="str">
        <f t="shared" si="2018"/>
        <v>13/11/2025</v>
      </c>
      <c r="B10697" t="str">
        <f t="shared" si="2019"/>
        <v>SAÍDA</v>
      </c>
      <c r="C10697" t="str">
        <f t="shared" si="2020"/>
        <v>PIX</v>
      </c>
      <c r="D10697" t="str">
        <f>"24788"</f>
        <v>24788</v>
      </c>
      <c r="E10697" t="str">
        <f t="shared" si="2022"/>
        <v>1</v>
      </c>
      <c r="F10697" t="str">
        <f t="shared" si="2024"/>
        <v>COM</v>
      </c>
      <c r="G10697" t="str">
        <f>"LUIZ EDUARDO VIANA BRITO (878)"</f>
        <v>LUIZ EDUARDO VIANA BRITO (878)</v>
      </c>
      <c r="H10697" t="s">
        <v>2868</v>
      </c>
      <c r="I10697" t="str">
        <f t="shared" si="2021"/>
        <v>13/11/2025</v>
      </c>
      <c r="J10697" t="str">
        <f t="shared" si="2023"/>
        <v>04/11/2025</v>
      </c>
      <c r="K10697">
        <v>45974</v>
      </c>
      <c r="N10697">
        <v>109</v>
      </c>
      <c r="O10697" t="s">
        <v>24</v>
      </c>
      <c r="Q10697">
        <v>843.5</v>
      </c>
      <c r="R10697" t="str">
        <f>"FARMÁCIA INDIANA LJ 40 (10016)"</f>
        <v>FARMÁCIA INDIANA LJ 40 (10016)</v>
      </c>
      <c r="S10697" t="s">
        <v>77</v>
      </c>
      <c r="T10697">
        <v>21652</v>
      </c>
      <c r="U10697">
        <v>24788</v>
      </c>
      <c r="V10697" t="s">
        <v>77</v>
      </c>
    </row>
    <row r="10698" spans="1:22">
      <c r="A10698" t="str">
        <f t="shared" si="2018"/>
        <v>13/11/2025</v>
      </c>
      <c r="B10698" t="str">
        <f t="shared" si="2019"/>
        <v>SAÍDA</v>
      </c>
      <c r="C10698" t="str">
        <f t="shared" si="2020"/>
        <v>PIX</v>
      </c>
      <c r="D10698" t="str">
        <f>"24789"</f>
        <v>24789</v>
      </c>
      <c r="E10698" t="str">
        <f t="shared" si="2022"/>
        <v>1</v>
      </c>
      <c r="F10698" t="str">
        <f t="shared" si="2024"/>
        <v>COM</v>
      </c>
      <c r="G10698" t="str">
        <f>"LUIZ EMANUEL PINHEIRO (870)"</f>
        <v>LUIZ EMANUEL PINHEIRO (870)</v>
      </c>
      <c r="H10698" t="str">
        <f>"Serv.Prest. 24/10/2025 a 02/11/2025 - PIX: CPF - CHAVE: 129.269.326-69"</f>
        <v>Serv.Prest. 24/10/2025 a 02/11/2025 - PIX: CPF - CHAVE: 129.269.326-69</v>
      </c>
      <c r="I10698" t="str">
        <f t="shared" si="2021"/>
        <v>13/11/2025</v>
      </c>
      <c r="J10698" t="str">
        <f t="shared" si="2023"/>
        <v>04/11/2025</v>
      </c>
      <c r="K10698" t="str">
        <f>("13/11/2025")</f>
        <v>13/11/2025</v>
      </c>
      <c r="L10698">
        <v>680.8</v>
      </c>
      <c r="M10698">
        <v>680.8</v>
      </c>
      <c r="N10698">
        <v>109</v>
      </c>
      <c r="O10698" t="str">
        <f>"PAGAMENTO DE ENTREGADORES"</f>
        <v>PAGAMENTO DE ENTREGADORES</v>
      </c>
      <c r="P10698">
        <v>680.8</v>
      </c>
      <c r="S10698" t="str">
        <f>"BANCO C6 (149)"</f>
        <v>BANCO C6 (149)</v>
      </c>
      <c r="T10698">
        <v>21653</v>
      </c>
      <c r="U10698">
        <v>24789</v>
      </c>
      <c r="V10698" t="s">
        <v>77</v>
      </c>
    </row>
    <row r="10699" spans="1:22">
      <c r="A10699" t="str">
        <f t="shared" si="2018"/>
        <v>13/11/2025</v>
      </c>
      <c r="B10699" t="str">
        <f t="shared" si="2019"/>
        <v>SAÍDA</v>
      </c>
      <c r="C10699" t="str">
        <f t="shared" si="2020"/>
        <v>PIX</v>
      </c>
      <c r="D10699" t="str">
        <f>"24789"</f>
        <v>24789</v>
      </c>
      <c r="E10699" t="str">
        <f t="shared" si="2022"/>
        <v>1</v>
      </c>
      <c r="F10699" t="str">
        <f t="shared" si="2024"/>
        <v>COM</v>
      </c>
      <c r="G10699" t="str">
        <f>"LUIZ EMANUEL PINHEIRO (870)"</f>
        <v>LUIZ EMANUEL PINHEIRO (870)</v>
      </c>
      <c r="H10699" t="s">
        <v>2869</v>
      </c>
      <c r="I10699" t="str">
        <f t="shared" si="2021"/>
        <v>13/11/2025</v>
      </c>
      <c r="J10699" t="str">
        <f t="shared" si="2023"/>
        <v>04/11/2025</v>
      </c>
      <c r="K10699">
        <v>45974</v>
      </c>
      <c r="N10699">
        <v>109</v>
      </c>
      <c r="O10699" t="s">
        <v>24</v>
      </c>
      <c r="Q10699">
        <v>56.71</v>
      </c>
      <c r="R10699" t="str">
        <f>"FARMÁCIA INDIANA LJ 121 (10054)"</f>
        <v>FARMÁCIA INDIANA LJ 121 (10054)</v>
      </c>
      <c r="S10699" t="s">
        <v>77</v>
      </c>
      <c r="T10699">
        <v>21653</v>
      </c>
      <c r="U10699">
        <v>24789</v>
      </c>
      <c r="V10699" t="s">
        <v>77</v>
      </c>
    </row>
    <row r="10700" spans="1:22">
      <c r="A10700" t="str">
        <f t="shared" si="2018"/>
        <v>13/11/2025</v>
      </c>
      <c r="B10700" t="str">
        <f t="shared" si="2019"/>
        <v>SAÍDA</v>
      </c>
      <c r="C10700" t="str">
        <f t="shared" si="2020"/>
        <v>PIX</v>
      </c>
      <c r="D10700" t="str">
        <f>"24789"</f>
        <v>24789</v>
      </c>
      <c r="E10700" t="str">
        <f t="shared" si="2022"/>
        <v>1</v>
      </c>
      <c r="F10700" t="str">
        <f t="shared" si="2024"/>
        <v>COM</v>
      </c>
      <c r="G10700" t="str">
        <f>"LUIZ EMANUEL PINHEIRO (870)"</f>
        <v>LUIZ EMANUEL PINHEIRO (870)</v>
      </c>
      <c r="H10700" t="s">
        <v>2869</v>
      </c>
      <c r="I10700" t="str">
        <f t="shared" si="2021"/>
        <v>13/11/2025</v>
      </c>
      <c r="J10700" t="str">
        <f t="shared" si="2023"/>
        <v>04/11/2025</v>
      </c>
      <c r="K10700">
        <v>45974</v>
      </c>
      <c r="N10700">
        <v>109</v>
      </c>
      <c r="O10700" t="s">
        <v>24</v>
      </c>
      <c r="Q10700">
        <v>624.09</v>
      </c>
      <c r="R10700" t="str">
        <f>"FARMÁCIA INDIANA LJ 128 (10057)"</f>
        <v>FARMÁCIA INDIANA LJ 128 (10057)</v>
      </c>
      <c r="S10700" t="s">
        <v>77</v>
      </c>
      <c r="T10700">
        <v>21653</v>
      </c>
      <c r="U10700">
        <v>24789</v>
      </c>
      <c r="V10700" t="s">
        <v>77</v>
      </c>
    </row>
    <row r="10701" spans="1:22">
      <c r="A10701" t="str">
        <f t="shared" si="2018"/>
        <v>13/11/2025</v>
      </c>
      <c r="B10701" t="str">
        <f t="shared" si="2019"/>
        <v>SAÍDA</v>
      </c>
      <c r="C10701" t="str">
        <f t="shared" si="2020"/>
        <v>PIX</v>
      </c>
      <c r="D10701" t="str">
        <f>"24790"</f>
        <v>24790</v>
      </c>
      <c r="E10701" t="str">
        <f t="shared" si="2022"/>
        <v>1</v>
      </c>
      <c r="F10701" t="str">
        <f t="shared" si="2024"/>
        <v>COM</v>
      </c>
      <c r="G10701" t="str">
        <f>"LUIZ FERNANDO CARVALHO ALVES (198)"</f>
        <v>LUIZ FERNANDO CARVALHO ALVES (198)</v>
      </c>
      <c r="H10701" t="str">
        <f>"Serv.Prest. 24/10/2025 a 02/11/2025 - PIX: CPF - CHAVE: 705.097.186-39"</f>
        <v>Serv.Prest. 24/10/2025 a 02/11/2025 - PIX: CPF - CHAVE: 705.097.186-39</v>
      </c>
      <c r="I10701" t="str">
        <f t="shared" si="2021"/>
        <v>13/11/2025</v>
      </c>
      <c r="J10701" t="str">
        <f t="shared" si="2023"/>
        <v>04/11/2025</v>
      </c>
      <c r="K10701" t="str">
        <f>("13/11/2025")</f>
        <v>13/11/2025</v>
      </c>
      <c r="L10701">
        <v>730</v>
      </c>
      <c r="M10701">
        <v>730</v>
      </c>
      <c r="N10701">
        <v>109</v>
      </c>
      <c r="O10701" t="str">
        <f>"PAGAMENTO DE ENTREGADORES"</f>
        <v>PAGAMENTO DE ENTREGADORES</v>
      </c>
      <c r="P10701">
        <v>730</v>
      </c>
      <c r="S10701" t="str">
        <f>"BANCO C6 (149)"</f>
        <v>BANCO C6 (149)</v>
      </c>
      <c r="T10701">
        <v>21654</v>
      </c>
      <c r="U10701">
        <v>24790</v>
      </c>
      <c r="V10701" t="s">
        <v>77</v>
      </c>
    </row>
    <row r="10702" spans="1:22">
      <c r="A10702" t="str">
        <f t="shared" si="2018"/>
        <v>13/11/2025</v>
      </c>
      <c r="B10702" t="str">
        <f t="shared" si="2019"/>
        <v>SAÍDA</v>
      </c>
      <c r="C10702" t="str">
        <f t="shared" si="2020"/>
        <v>PIX</v>
      </c>
      <c r="D10702" t="str">
        <f>"24790"</f>
        <v>24790</v>
      </c>
      <c r="E10702" t="str">
        <f t="shared" si="2022"/>
        <v>1</v>
      </c>
      <c r="F10702" t="str">
        <f t="shared" si="2024"/>
        <v>COM</v>
      </c>
      <c r="G10702" t="str">
        <f>"LUIZ FERNANDO CARVALHO ALVES (198)"</f>
        <v>LUIZ FERNANDO CARVALHO ALVES (198)</v>
      </c>
      <c r="H10702" t="s">
        <v>2870</v>
      </c>
      <c r="I10702" t="str">
        <f t="shared" si="2021"/>
        <v>13/11/2025</v>
      </c>
      <c r="J10702" t="str">
        <f t="shared" si="2023"/>
        <v>04/11/2025</v>
      </c>
      <c r="K10702">
        <v>45974</v>
      </c>
      <c r="N10702">
        <v>109</v>
      </c>
      <c r="O10702" t="s">
        <v>24</v>
      </c>
      <c r="Q10702">
        <v>730</v>
      </c>
      <c r="R10702" t="str">
        <f>"FARMÁCIA INDIANA LJ 171 (10074)"</f>
        <v>FARMÁCIA INDIANA LJ 171 (10074)</v>
      </c>
      <c r="S10702" t="s">
        <v>77</v>
      </c>
      <c r="T10702">
        <v>21654</v>
      </c>
      <c r="U10702">
        <v>24790</v>
      </c>
      <c r="V10702" t="s">
        <v>77</v>
      </c>
    </row>
    <row r="10703" spans="1:22">
      <c r="A10703" t="str">
        <f t="shared" si="2018"/>
        <v>13/11/2025</v>
      </c>
      <c r="B10703" t="str">
        <f t="shared" si="2019"/>
        <v>SAÍDA</v>
      </c>
      <c r="C10703" t="str">
        <f t="shared" si="2020"/>
        <v>PIX</v>
      </c>
      <c r="D10703" t="str">
        <f>"24791"</f>
        <v>24791</v>
      </c>
      <c r="E10703" t="str">
        <f t="shared" si="2022"/>
        <v>1</v>
      </c>
      <c r="F10703" t="str">
        <f t="shared" si="2024"/>
        <v>COM</v>
      </c>
      <c r="G10703" t="str">
        <f>"LUIZ PAULO LOUREIRO PRADO (475)"</f>
        <v>LUIZ PAULO LOUREIRO PRADO (475)</v>
      </c>
      <c r="H10703" t="str">
        <f>"Serv.Prest. 24/10/2025 a 02/11/2025 - PIX: CPF - CHAVE: 159.443.306-27"</f>
        <v>Serv.Prest. 24/10/2025 a 02/11/2025 - PIX: CPF - CHAVE: 159.443.306-27</v>
      </c>
      <c r="I10703" t="str">
        <f t="shared" si="2021"/>
        <v>13/11/2025</v>
      </c>
      <c r="J10703" t="str">
        <f t="shared" si="2023"/>
        <v>04/11/2025</v>
      </c>
      <c r="K10703" t="str">
        <f>("13/11/2025")</f>
        <v>13/11/2025</v>
      </c>
      <c r="L10703">
        <v>680.8</v>
      </c>
      <c r="M10703">
        <v>680.8</v>
      </c>
      <c r="N10703">
        <v>109</v>
      </c>
      <c r="O10703" t="str">
        <f>"PAGAMENTO DE ENTREGADORES"</f>
        <v>PAGAMENTO DE ENTREGADORES</v>
      </c>
      <c r="P10703">
        <v>680.8</v>
      </c>
      <c r="S10703" t="str">
        <f>"BANCO C6 (149)"</f>
        <v>BANCO C6 (149)</v>
      </c>
      <c r="T10703">
        <v>21655</v>
      </c>
      <c r="U10703">
        <v>24791</v>
      </c>
      <c r="V10703" t="s">
        <v>77</v>
      </c>
    </row>
    <row r="10704" spans="1:22">
      <c r="A10704" t="str">
        <f t="shared" si="2018"/>
        <v>13/11/2025</v>
      </c>
      <c r="B10704" t="str">
        <f t="shared" si="2019"/>
        <v>SAÍDA</v>
      </c>
      <c r="C10704" t="str">
        <f t="shared" si="2020"/>
        <v>PIX</v>
      </c>
      <c r="D10704" t="str">
        <f>"24791"</f>
        <v>24791</v>
      </c>
      <c r="E10704" t="str">
        <f t="shared" si="2022"/>
        <v>1</v>
      </c>
      <c r="F10704" t="str">
        <f t="shared" si="2024"/>
        <v>COM</v>
      </c>
      <c r="G10704" t="str">
        <f>"LUIZ PAULO LOUREIRO PRADO (475)"</f>
        <v>LUIZ PAULO LOUREIRO PRADO (475)</v>
      </c>
      <c r="H10704" t="s">
        <v>2872</v>
      </c>
      <c r="I10704" t="str">
        <f t="shared" si="2021"/>
        <v>13/11/2025</v>
      </c>
      <c r="J10704" t="str">
        <f t="shared" si="2023"/>
        <v>04/11/2025</v>
      </c>
      <c r="K10704">
        <v>45974</v>
      </c>
      <c r="N10704">
        <v>109</v>
      </c>
      <c r="O10704" t="s">
        <v>24</v>
      </c>
      <c r="Q10704">
        <v>54.46</v>
      </c>
      <c r="R10704" t="str">
        <f>"FARMÁCIA INDIANA LJ 121 (10054)"</f>
        <v>FARMÁCIA INDIANA LJ 121 (10054)</v>
      </c>
      <c r="S10704" t="s">
        <v>77</v>
      </c>
      <c r="T10704">
        <v>21655</v>
      </c>
      <c r="U10704">
        <v>24791</v>
      </c>
      <c r="V10704" t="s">
        <v>77</v>
      </c>
    </row>
    <row r="10705" spans="1:22">
      <c r="A10705" t="str">
        <f t="shared" si="2018"/>
        <v>13/11/2025</v>
      </c>
      <c r="B10705" t="str">
        <f t="shared" si="2019"/>
        <v>SAÍDA</v>
      </c>
      <c r="C10705" t="str">
        <f t="shared" si="2020"/>
        <v>PIX</v>
      </c>
      <c r="D10705" t="str">
        <f>"24791"</f>
        <v>24791</v>
      </c>
      <c r="E10705" t="str">
        <f t="shared" si="2022"/>
        <v>1</v>
      </c>
      <c r="F10705" t="str">
        <f t="shared" si="2024"/>
        <v>COM</v>
      </c>
      <c r="G10705" t="str">
        <f>"LUIZ PAULO LOUREIRO PRADO (475)"</f>
        <v>LUIZ PAULO LOUREIRO PRADO (475)</v>
      </c>
      <c r="H10705" t="s">
        <v>2872</v>
      </c>
      <c r="I10705" t="str">
        <f t="shared" si="2021"/>
        <v>13/11/2025</v>
      </c>
      <c r="J10705" t="str">
        <f t="shared" si="2023"/>
        <v>04/11/2025</v>
      </c>
      <c r="K10705">
        <v>45974</v>
      </c>
      <c r="N10705">
        <v>109</v>
      </c>
      <c r="O10705" t="s">
        <v>24</v>
      </c>
      <c r="Q10705">
        <v>626.34</v>
      </c>
      <c r="R10705" t="str">
        <f>"FARMÁCIA INDIANA LJ 128 (10057)"</f>
        <v>FARMÁCIA INDIANA LJ 128 (10057)</v>
      </c>
      <c r="S10705" t="s">
        <v>77</v>
      </c>
      <c r="T10705">
        <v>21655</v>
      </c>
      <c r="U10705">
        <v>24791</v>
      </c>
      <c r="V10705" t="s">
        <v>77</v>
      </c>
    </row>
    <row r="10706" spans="1:22">
      <c r="A10706" t="str">
        <f t="shared" si="2018"/>
        <v>13/11/2025</v>
      </c>
      <c r="B10706" t="str">
        <f t="shared" si="2019"/>
        <v>SAÍDA</v>
      </c>
      <c r="C10706" t="str">
        <f t="shared" si="2020"/>
        <v>PIX</v>
      </c>
      <c r="D10706" t="str">
        <f>"24792"</f>
        <v>24792</v>
      </c>
      <c r="E10706" t="str">
        <f t="shared" si="2022"/>
        <v>1</v>
      </c>
      <c r="F10706" t="str">
        <f t="shared" si="2024"/>
        <v>COM</v>
      </c>
      <c r="G10706" t="str">
        <f>"MARCIO CLAUDIO DE ARAUJO (204)"</f>
        <v>MARCIO CLAUDIO DE ARAUJO (204)</v>
      </c>
      <c r="H10706" t="str">
        <f>"Serv.Prest. 24/10/2025 a 02/11/2025 - PIX: CELULAR - CHAVE: (33) 98427-3872"</f>
        <v>Serv.Prest. 24/10/2025 a 02/11/2025 - PIX: CELULAR - CHAVE: (33) 98427-3872</v>
      </c>
      <c r="I10706" t="str">
        <f t="shared" si="2021"/>
        <v>13/11/2025</v>
      </c>
      <c r="J10706" t="str">
        <f t="shared" si="2023"/>
        <v>04/11/2025</v>
      </c>
      <c r="K10706" t="str">
        <f>("13/11/2025")</f>
        <v>13/11/2025</v>
      </c>
      <c r="L10706">
        <v>1542</v>
      </c>
      <c r="M10706">
        <v>1542</v>
      </c>
      <c r="N10706">
        <v>109</v>
      </c>
      <c r="O10706" t="str">
        <f>"PAGAMENTO DE ENTREGADORES"</f>
        <v>PAGAMENTO DE ENTREGADORES</v>
      </c>
      <c r="P10706">
        <v>1542</v>
      </c>
      <c r="S10706" t="str">
        <f>"BANCO C6 (149)"</f>
        <v>BANCO C6 (149)</v>
      </c>
      <c r="T10706">
        <v>21656</v>
      </c>
      <c r="U10706">
        <v>24792</v>
      </c>
      <c r="V10706" t="s">
        <v>77</v>
      </c>
    </row>
    <row r="10707" spans="1:22">
      <c r="A10707" t="str">
        <f t="shared" si="2018"/>
        <v>13/11/2025</v>
      </c>
      <c r="B10707" t="str">
        <f t="shared" si="2019"/>
        <v>SAÍDA</v>
      </c>
      <c r="C10707" t="str">
        <f t="shared" si="2020"/>
        <v>PIX</v>
      </c>
      <c r="D10707" t="str">
        <f>"24792"</f>
        <v>24792</v>
      </c>
      <c r="E10707" t="str">
        <f t="shared" si="2022"/>
        <v>1</v>
      </c>
      <c r="F10707" t="str">
        <f t="shared" si="2024"/>
        <v>COM</v>
      </c>
      <c r="G10707" t="str">
        <f>"MARCIO CLAUDIO DE ARAUJO (204)"</f>
        <v>MARCIO CLAUDIO DE ARAUJO (204)</v>
      </c>
      <c r="H10707" t="s">
        <v>2873</v>
      </c>
      <c r="I10707" t="str">
        <f t="shared" si="2021"/>
        <v>13/11/2025</v>
      </c>
      <c r="J10707" t="str">
        <f t="shared" si="2023"/>
        <v>04/11/2025</v>
      </c>
      <c r="K10707">
        <v>45974</v>
      </c>
      <c r="N10707">
        <v>109</v>
      </c>
      <c r="O10707" t="s">
        <v>24</v>
      </c>
      <c r="Q10707">
        <v>1542</v>
      </c>
      <c r="R10707" t="str">
        <f>"FARMÁCIA INDIANA LJ 06 (10006)"</f>
        <v>FARMÁCIA INDIANA LJ 06 (10006)</v>
      </c>
      <c r="S10707" t="s">
        <v>77</v>
      </c>
      <c r="T10707">
        <v>21656</v>
      </c>
      <c r="U10707">
        <v>24792</v>
      </c>
      <c r="V10707" t="s">
        <v>77</v>
      </c>
    </row>
    <row r="10708" spans="1:22">
      <c r="A10708" t="str">
        <f t="shared" si="2018"/>
        <v>13/11/2025</v>
      </c>
      <c r="B10708" t="str">
        <f t="shared" si="2019"/>
        <v>SAÍDA</v>
      </c>
      <c r="C10708" t="str">
        <f t="shared" si="2020"/>
        <v>PIX</v>
      </c>
      <c r="D10708" t="str">
        <f>"24793"</f>
        <v>24793</v>
      </c>
      <c r="E10708" t="str">
        <f t="shared" si="2022"/>
        <v>1</v>
      </c>
      <c r="F10708" t="str">
        <f t="shared" si="2024"/>
        <v>COM</v>
      </c>
      <c r="G10708" t="str">
        <f>"MARCOS DIONI RODRIGUES GASPAR (506)"</f>
        <v>MARCOS DIONI RODRIGUES GASPAR (506)</v>
      </c>
      <c r="H10708" t="str">
        <f>"Serv.Prest. 24/10/2025 a 02/11/2025 - PIX: CELULAR - CHAVE: (33) 99815-2379"</f>
        <v>Serv.Prest. 24/10/2025 a 02/11/2025 - PIX: CELULAR - CHAVE: (33) 99815-2379</v>
      </c>
      <c r="I10708" t="str">
        <f t="shared" si="2021"/>
        <v>13/11/2025</v>
      </c>
      <c r="J10708" t="str">
        <f t="shared" si="2023"/>
        <v>04/11/2025</v>
      </c>
      <c r="K10708" t="str">
        <f>("13/11/2025")</f>
        <v>13/11/2025</v>
      </c>
      <c r="L10708">
        <v>1420</v>
      </c>
      <c r="M10708">
        <v>1420</v>
      </c>
      <c r="N10708">
        <v>109</v>
      </c>
      <c r="O10708" t="str">
        <f>"PAGAMENTO DE ENTREGADORES"</f>
        <v>PAGAMENTO DE ENTREGADORES</v>
      </c>
      <c r="P10708">
        <v>1420</v>
      </c>
      <c r="S10708" t="str">
        <f>"BANCO C6 (149)"</f>
        <v>BANCO C6 (149)</v>
      </c>
      <c r="T10708">
        <v>21657</v>
      </c>
      <c r="U10708">
        <v>24793</v>
      </c>
      <c r="V10708" t="s">
        <v>77</v>
      </c>
    </row>
    <row r="10709" spans="1:22">
      <c r="A10709" t="str">
        <f t="shared" si="2018"/>
        <v>13/11/2025</v>
      </c>
      <c r="B10709" t="str">
        <f t="shared" si="2019"/>
        <v>SAÍDA</v>
      </c>
      <c r="C10709" t="str">
        <f t="shared" si="2020"/>
        <v>PIX</v>
      </c>
      <c r="D10709" t="str">
        <f>"24793"</f>
        <v>24793</v>
      </c>
      <c r="E10709" t="str">
        <f t="shared" si="2022"/>
        <v>1</v>
      </c>
      <c r="F10709" t="str">
        <f t="shared" si="2024"/>
        <v>COM</v>
      </c>
      <c r="G10709" t="str">
        <f>"MARCOS DIONI RODRIGUES GASPAR (506)"</f>
        <v>MARCOS DIONI RODRIGUES GASPAR (506)</v>
      </c>
      <c r="H10709" t="s">
        <v>2874</v>
      </c>
      <c r="I10709" t="str">
        <f t="shared" si="2021"/>
        <v>13/11/2025</v>
      </c>
      <c r="J10709" t="str">
        <f t="shared" si="2023"/>
        <v>04/11/2025</v>
      </c>
      <c r="K10709">
        <v>45974</v>
      </c>
      <c r="N10709">
        <v>109</v>
      </c>
      <c r="O10709" t="s">
        <v>24</v>
      </c>
      <c r="Q10709">
        <v>1420</v>
      </c>
      <c r="R10709" t="str">
        <f>"FARMÁCIA INDIANA LJ 06 (10006)"</f>
        <v>FARMÁCIA INDIANA LJ 06 (10006)</v>
      </c>
      <c r="S10709" t="s">
        <v>77</v>
      </c>
      <c r="T10709">
        <v>21657</v>
      </c>
      <c r="U10709">
        <v>24793</v>
      </c>
      <c r="V10709" t="s">
        <v>77</v>
      </c>
    </row>
    <row r="10710" spans="1:22">
      <c r="A10710" t="str">
        <f t="shared" si="2018"/>
        <v>13/11/2025</v>
      </c>
      <c r="B10710" t="str">
        <f t="shared" si="2019"/>
        <v>SAÍDA</v>
      </c>
      <c r="C10710" t="str">
        <f t="shared" si="2020"/>
        <v>PIX</v>
      </c>
      <c r="D10710" t="str">
        <f>"24794"</f>
        <v>24794</v>
      </c>
      <c r="E10710" t="str">
        <f t="shared" si="2022"/>
        <v>1</v>
      </c>
      <c r="F10710" t="str">
        <f t="shared" si="2024"/>
        <v>COM</v>
      </c>
      <c r="G10710" t="str">
        <f>"MARCOS RODRIGUES PENA (64)"</f>
        <v>MARCOS RODRIGUES PENA (64)</v>
      </c>
      <c r="H10710" t="str">
        <f>"Serv.Prest. 24/10/2025 a 02/11/2025 - PIX: CELULAR - CHAVE: (33) 99194-2339"</f>
        <v>Serv.Prest. 24/10/2025 a 02/11/2025 - PIX: CELULAR - CHAVE: (33) 99194-2339</v>
      </c>
      <c r="I10710" t="str">
        <f t="shared" si="2021"/>
        <v>13/11/2025</v>
      </c>
      <c r="J10710" t="str">
        <f t="shared" si="2023"/>
        <v>04/11/2025</v>
      </c>
      <c r="K10710" t="str">
        <f>("13/11/2025")</f>
        <v>13/11/2025</v>
      </c>
      <c r="L10710">
        <v>585</v>
      </c>
      <c r="M10710">
        <v>585</v>
      </c>
      <c r="N10710">
        <v>109</v>
      </c>
      <c r="O10710" t="str">
        <f>"PAGAMENTO DE ENTREGADORES"</f>
        <v>PAGAMENTO DE ENTREGADORES</v>
      </c>
      <c r="P10710">
        <v>585</v>
      </c>
      <c r="S10710" t="str">
        <f>"BANCO C6 (149)"</f>
        <v>BANCO C6 (149)</v>
      </c>
      <c r="T10710">
        <v>21658</v>
      </c>
      <c r="U10710">
        <v>24794</v>
      </c>
      <c r="V10710" t="s">
        <v>77</v>
      </c>
    </row>
    <row r="10711" spans="1:22">
      <c r="A10711" t="str">
        <f t="shared" si="2018"/>
        <v>13/11/2025</v>
      </c>
      <c r="B10711" t="str">
        <f t="shared" si="2019"/>
        <v>SAÍDA</v>
      </c>
      <c r="C10711" t="str">
        <f t="shared" si="2020"/>
        <v>PIX</v>
      </c>
      <c r="D10711" t="str">
        <f>"24794"</f>
        <v>24794</v>
      </c>
      <c r="E10711" t="str">
        <f t="shared" si="2022"/>
        <v>1</v>
      </c>
      <c r="F10711" t="str">
        <f t="shared" si="2024"/>
        <v>COM</v>
      </c>
      <c r="G10711" t="str">
        <f>"MARCOS RODRIGUES PENA (64)"</f>
        <v>MARCOS RODRIGUES PENA (64)</v>
      </c>
      <c r="H10711" t="s">
        <v>2785</v>
      </c>
      <c r="I10711" t="str">
        <f t="shared" si="2021"/>
        <v>13/11/2025</v>
      </c>
      <c r="J10711" t="str">
        <f t="shared" si="2023"/>
        <v>04/11/2025</v>
      </c>
      <c r="K10711">
        <v>45974</v>
      </c>
      <c r="N10711">
        <v>109</v>
      </c>
      <c r="O10711" t="s">
        <v>24</v>
      </c>
      <c r="Q10711">
        <v>585</v>
      </c>
      <c r="R10711" t="str">
        <f>"FARMÁCIA INDIANA LJ 62 (10028)"</f>
        <v>FARMÁCIA INDIANA LJ 62 (10028)</v>
      </c>
      <c r="S10711" t="s">
        <v>77</v>
      </c>
      <c r="T10711">
        <v>21658</v>
      </c>
      <c r="U10711">
        <v>24794</v>
      </c>
      <c r="V10711" t="s">
        <v>77</v>
      </c>
    </row>
    <row r="10712" spans="1:22">
      <c r="A10712" t="str">
        <f t="shared" si="2018"/>
        <v>13/11/2025</v>
      </c>
      <c r="B10712" t="str">
        <f t="shared" si="2019"/>
        <v>SAÍDA</v>
      </c>
      <c r="C10712" t="str">
        <f t="shared" si="2020"/>
        <v>PIX</v>
      </c>
      <c r="D10712" t="str">
        <f>"24795"</f>
        <v>24795</v>
      </c>
      <c r="E10712" t="str">
        <f t="shared" si="2022"/>
        <v>1</v>
      </c>
      <c r="F10712" t="str">
        <f t="shared" si="2024"/>
        <v>COM</v>
      </c>
      <c r="G10712" t="str">
        <f>"MATHEUS VIEIRA DA SILVA (886)"</f>
        <v>MATHEUS VIEIRA DA SILVA (886)</v>
      </c>
      <c r="H10712" t="str">
        <f>"Serv.Prest. 24/10/2025 a 02/11/2025 - PIX: E-MAIL - CHAVE: meamatheusvieira@gmail.com"</f>
        <v>Serv.Prest. 24/10/2025 a 02/11/2025 - PIX: E-MAIL - CHAVE: meamatheusvieira@gmail.com</v>
      </c>
      <c r="I10712" t="str">
        <f t="shared" si="2021"/>
        <v>13/11/2025</v>
      </c>
      <c r="J10712" t="str">
        <f t="shared" si="2023"/>
        <v>04/11/2025</v>
      </c>
      <c r="K10712" t="str">
        <f>("13/11/2025")</f>
        <v>13/11/2025</v>
      </c>
      <c r="L10712">
        <v>1060</v>
      </c>
      <c r="M10712">
        <v>1060</v>
      </c>
      <c r="N10712">
        <v>109</v>
      </c>
      <c r="O10712" t="str">
        <f>"PAGAMENTO DE ENTREGADORES"</f>
        <v>PAGAMENTO DE ENTREGADORES</v>
      </c>
      <c r="P10712">
        <v>1060</v>
      </c>
      <c r="S10712" t="str">
        <f>"BANCO C6 (149)"</f>
        <v>BANCO C6 (149)</v>
      </c>
      <c r="T10712">
        <v>21659</v>
      </c>
      <c r="U10712">
        <v>24795</v>
      </c>
      <c r="V10712" t="s">
        <v>77</v>
      </c>
    </row>
    <row r="10713" spans="1:22">
      <c r="A10713" t="str">
        <f t="shared" si="2018"/>
        <v>13/11/2025</v>
      </c>
      <c r="B10713" t="str">
        <f t="shared" si="2019"/>
        <v>SAÍDA</v>
      </c>
      <c r="C10713" t="str">
        <f t="shared" si="2020"/>
        <v>PIX</v>
      </c>
      <c r="D10713" t="str">
        <f>"24795"</f>
        <v>24795</v>
      </c>
      <c r="E10713" t="str">
        <f t="shared" si="2022"/>
        <v>1</v>
      </c>
      <c r="F10713" t="str">
        <f t="shared" si="2024"/>
        <v>COM</v>
      </c>
      <c r="G10713" t="str">
        <f>"MATHEUS VIEIRA DA SILVA (886)"</f>
        <v>MATHEUS VIEIRA DA SILVA (886)</v>
      </c>
      <c r="H10713" t="s">
        <v>2876</v>
      </c>
      <c r="I10713" t="str">
        <f t="shared" si="2021"/>
        <v>13/11/2025</v>
      </c>
      <c r="J10713" t="str">
        <f t="shared" si="2023"/>
        <v>04/11/2025</v>
      </c>
      <c r="K10713">
        <v>45974</v>
      </c>
      <c r="N10713">
        <v>109</v>
      </c>
      <c r="O10713" t="s">
        <v>24</v>
      </c>
      <c r="Q10713">
        <v>1060</v>
      </c>
      <c r="R10713" t="str">
        <f>"FARMÁCIA INDIANA LJ 07 (10007)"</f>
        <v>FARMÁCIA INDIANA LJ 07 (10007)</v>
      </c>
      <c r="S10713" t="s">
        <v>77</v>
      </c>
      <c r="T10713">
        <v>21659</v>
      </c>
      <c r="U10713">
        <v>24795</v>
      </c>
      <c r="V10713" t="s">
        <v>77</v>
      </c>
    </row>
    <row r="10714" spans="1:22">
      <c r="A10714" t="str">
        <f t="shared" si="2018"/>
        <v>13/11/2025</v>
      </c>
      <c r="B10714" t="str">
        <f t="shared" si="2019"/>
        <v>SAÍDA</v>
      </c>
      <c r="C10714" t="str">
        <f t="shared" si="2020"/>
        <v>PIX</v>
      </c>
      <c r="D10714" t="str">
        <f>"24796"</f>
        <v>24796</v>
      </c>
      <c r="E10714" t="str">
        <f t="shared" si="2022"/>
        <v>1</v>
      </c>
      <c r="F10714" t="str">
        <f t="shared" si="2024"/>
        <v>COM</v>
      </c>
      <c r="G10714" t="str">
        <f>"MAURO AUGUSTO MACHADO DE ASSIS (767)"</f>
        <v>MAURO AUGUSTO MACHADO DE ASSIS (767)</v>
      </c>
      <c r="H10714" t="str">
        <f>"Serv.Prest. 24/10/2025 a 02/11/2025 - PIX: CPF - CHAVE: 163.330.766-27"</f>
        <v>Serv.Prest. 24/10/2025 a 02/11/2025 - PIX: CPF - CHAVE: 163.330.766-27</v>
      </c>
      <c r="I10714" t="str">
        <f t="shared" si="2021"/>
        <v>13/11/2025</v>
      </c>
      <c r="J10714" t="str">
        <f t="shared" si="2023"/>
        <v>04/11/2025</v>
      </c>
      <c r="K10714" t="str">
        <f>("13/11/2025")</f>
        <v>13/11/2025</v>
      </c>
      <c r="L10714">
        <v>1552</v>
      </c>
      <c r="M10714">
        <v>1552</v>
      </c>
      <c r="N10714">
        <v>109</v>
      </c>
      <c r="O10714" t="str">
        <f>"PAGAMENTO DE ENTREGADORES"</f>
        <v>PAGAMENTO DE ENTREGADORES</v>
      </c>
      <c r="P10714">
        <v>1552</v>
      </c>
      <c r="S10714" t="str">
        <f>"BANCO C6 (149)"</f>
        <v>BANCO C6 (149)</v>
      </c>
      <c r="T10714">
        <v>21660</v>
      </c>
      <c r="U10714">
        <v>24796</v>
      </c>
      <c r="V10714" t="s">
        <v>77</v>
      </c>
    </row>
    <row r="10715" spans="1:22">
      <c r="A10715" t="str">
        <f t="shared" si="2018"/>
        <v>13/11/2025</v>
      </c>
      <c r="B10715" t="str">
        <f t="shared" si="2019"/>
        <v>SAÍDA</v>
      </c>
      <c r="C10715" t="str">
        <f t="shared" si="2020"/>
        <v>PIX</v>
      </c>
      <c r="D10715" t="str">
        <f>"24796"</f>
        <v>24796</v>
      </c>
      <c r="E10715" t="str">
        <f t="shared" si="2022"/>
        <v>1</v>
      </c>
      <c r="F10715" t="str">
        <f t="shared" si="2024"/>
        <v>COM</v>
      </c>
      <c r="G10715" t="str">
        <f>"MAURO AUGUSTO MACHADO DE ASSIS (767)"</f>
        <v>MAURO AUGUSTO MACHADO DE ASSIS (767)</v>
      </c>
      <c r="H10715" t="s">
        <v>2877</v>
      </c>
      <c r="I10715" t="str">
        <f t="shared" si="2021"/>
        <v>13/11/2025</v>
      </c>
      <c r="J10715" t="str">
        <f t="shared" si="2023"/>
        <v>04/11/2025</v>
      </c>
      <c r="K10715">
        <v>45974</v>
      </c>
      <c r="N10715">
        <v>109</v>
      </c>
      <c r="O10715" t="s">
        <v>24</v>
      </c>
      <c r="Q10715">
        <v>722.61</v>
      </c>
      <c r="R10715" t="str">
        <f>"FARMÁCIA INDIANA LJ 11 (10008)"</f>
        <v>FARMÁCIA INDIANA LJ 11 (10008)</v>
      </c>
      <c r="S10715" t="s">
        <v>77</v>
      </c>
      <c r="T10715">
        <v>21660</v>
      </c>
      <c r="U10715">
        <v>24796</v>
      </c>
      <c r="V10715" t="s">
        <v>77</v>
      </c>
    </row>
    <row r="10716" spans="1:22">
      <c r="A10716" t="str">
        <f t="shared" si="2018"/>
        <v>13/11/2025</v>
      </c>
      <c r="B10716" t="str">
        <f t="shared" si="2019"/>
        <v>SAÍDA</v>
      </c>
      <c r="C10716" t="str">
        <f t="shared" si="2020"/>
        <v>PIX</v>
      </c>
      <c r="D10716" t="str">
        <f>"24796"</f>
        <v>24796</v>
      </c>
      <c r="E10716" t="str">
        <f t="shared" si="2022"/>
        <v>1</v>
      </c>
      <c r="F10716" t="str">
        <f t="shared" si="2024"/>
        <v>COM</v>
      </c>
      <c r="G10716" t="str">
        <f>"MAURO AUGUSTO MACHADO DE ASSIS (767)"</f>
        <v>MAURO AUGUSTO MACHADO DE ASSIS (767)</v>
      </c>
      <c r="H10716" t="s">
        <v>2877</v>
      </c>
      <c r="I10716" t="str">
        <f t="shared" si="2021"/>
        <v>13/11/2025</v>
      </c>
      <c r="J10716" t="str">
        <f t="shared" si="2023"/>
        <v>04/11/2025</v>
      </c>
      <c r="K10716">
        <v>45974</v>
      </c>
      <c r="N10716">
        <v>109</v>
      </c>
      <c r="O10716" t="s">
        <v>24</v>
      </c>
      <c r="Q10716">
        <v>829.39</v>
      </c>
      <c r="R10716" t="str">
        <f>"FARMÁCIA INDIANA LJ 172 (10161)"</f>
        <v>FARMÁCIA INDIANA LJ 172 (10161)</v>
      </c>
      <c r="S10716" t="s">
        <v>77</v>
      </c>
      <c r="T10716">
        <v>21660</v>
      </c>
      <c r="U10716">
        <v>24796</v>
      </c>
      <c r="V10716" t="s">
        <v>77</v>
      </c>
    </row>
    <row r="10717" spans="1:22">
      <c r="A10717" t="str">
        <f t="shared" si="2018"/>
        <v>13/11/2025</v>
      </c>
      <c r="B10717" t="str">
        <f t="shared" si="2019"/>
        <v>SAÍDA</v>
      </c>
      <c r="C10717" t="str">
        <f t="shared" si="2020"/>
        <v>PIX</v>
      </c>
      <c r="D10717" t="str">
        <f>"24797"</f>
        <v>24797</v>
      </c>
      <c r="E10717" t="str">
        <f t="shared" si="2022"/>
        <v>1</v>
      </c>
      <c r="F10717" t="str">
        <f t="shared" si="2024"/>
        <v>COM</v>
      </c>
      <c r="G10717" t="str">
        <f>"MAYCON GUILHERME DUARTE (541)"</f>
        <v>MAYCON GUILHERME DUARTE (541)</v>
      </c>
      <c r="H10717" t="str">
        <f>"Serv.Prest. 24/10/2025 a 02/11/2025 - PIX: CELULAR - CHAVE: (31) 99076-6539"</f>
        <v>Serv.Prest. 24/10/2025 a 02/11/2025 - PIX: CELULAR - CHAVE: (31) 99076-6539</v>
      </c>
      <c r="I10717" t="str">
        <f t="shared" si="2021"/>
        <v>13/11/2025</v>
      </c>
      <c r="J10717" t="str">
        <f t="shared" si="2023"/>
        <v>04/11/2025</v>
      </c>
      <c r="K10717" t="str">
        <f>("13/11/2025")</f>
        <v>13/11/2025</v>
      </c>
      <c r="L10717">
        <v>1768</v>
      </c>
      <c r="M10717">
        <v>1768</v>
      </c>
      <c r="N10717">
        <v>109</v>
      </c>
      <c r="O10717" t="str">
        <f>"PAGAMENTO DE ENTREGADORES"</f>
        <v>PAGAMENTO DE ENTREGADORES</v>
      </c>
      <c r="P10717">
        <v>1768</v>
      </c>
      <c r="S10717" t="str">
        <f>"BANCO C6 (149)"</f>
        <v>BANCO C6 (149)</v>
      </c>
      <c r="T10717">
        <v>21661</v>
      </c>
      <c r="U10717">
        <v>24797</v>
      </c>
      <c r="V10717" t="s">
        <v>77</v>
      </c>
    </row>
    <row r="10718" spans="1:22">
      <c r="A10718" t="str">
        <f t="shared" si="2018"/>
        <v>13/11/2025</v>
      </c>
      <c r="B10718" t="str">
        <f t="shared" si="2019"/>
        <v>SAÍDA</v>
      </c>
      <c r="C10718" t="str">
        <f t="shared" si="2020"/>
        <v>PIX</v>
      </c>
      <c r="D10718" t="str">
        <f>"24797"</f>
        <v>24797</v>
      </c>
      <c r="E10718" t="str">
        <f t="shared" si="2022"/>
        <v>1</v>
      </c>
      <c r="F10718" t="str">
        <f t="shared" si="2024"/>
        <v>COM</v>
      </c>
      <c r="G10718" t="str">
        <f>"MAYCON GUILHERME DUARTE (541)"</f>
        <v>MAYCON GUILHERME DUARTE (541)</v>
      </c>
      <c r="H10718" t="s">
        <v>2878</v>
      </c>
      <c r="I10718" t="str">
        <f t="shared" si="2021"/>
        <v>13/11/2025</v>
      </c>
      <c r="J10718" t="str">
        <f t="shared" si="2023"/>
        <v>04/11/2025</v>
      </c>
      <c r="K10718">
        <v>45974</v>
      </c>
      <c r="N10718">
        <v>109</v>
      </c>
      <c r="O10718" t="s">
        <v>24</v>
      </c>
      <c r="Q10718">
        <v>1768</v>
      </c>
      <c r="R10718" t="str">
        <f>"FARMÁCIA INDIANA LJ 220 (10092)"</f>
        <v>FARMÁCIA INDIANA LJ 220 (10092)</v>
      </c>
      <c r="S10718" t="s">
        <v>77</v>
      </c>
      <c r="T10718">
        <v>21661</v>
      </c>
      <c r="U10718">
        <v>24797</v>
      </c>
      <c r="V10718" t="s">
        <v>77</v>
      </c>
    </row>
    <row r="10719" spans="1:22">
      <c r="A10719" t="str">
        <f t="shared" ref="A10719:A10782" si="2025">("13/11/2025")</f>
        <v>13/11/2025</v>
      </c>
      <c r="B10719" t="str">
        <f t="shared" si="2019"/>
        <v>SAÍDA</v>
      </c>
      <c r="C10719" t="str">
        <f t="shared" si="2020"/>
        <v>PIX</v>
      </c>
      <c r="D10719" t="str">
        <f>"24798"</f>
        <v>24798</v>
      </c>
      <c r="E10719" t="str">
        <f t="shared" si="2022"/>
        <v>1</v>
      </c>
      <c r="F10719" t="str">
        <f t="shared" si="2024"/>
        <v>COM</v>
      </c>
      <c r="G10719" t="str">
        <f>"MIGUEL PESSOA RAMOS (68)"</f>
        <v>MIGUEL PESSOA RAMOS (68)</v>
      </c>
      <c r="H10719" t="str">
        <f>"Serv.Prest. 24/10/2025 a 02/11/2025 - PIX: CELULAR - CHAVE: (33) 99845-0493"</f>
        <v>Serv.Prest. 24/10/2025 a 02/11/2025 - PIX: CELULAR - CHAVE: (33) 99845-0493</v>
      </c>
      <c r="I10719" t="str">
        <f t="shared" si="2021"/>
        <v>13/11/2025</v>
      </c>
      <c r="J10719" t="str">
        <f t="shared" si="2023"/>
        <v>04/11/2025</v>
      </c>
      <c r="K10719" t="str">
        <f>("13/11/2025")</f>
        <v>13/11/2025</v>
      </c>
      <c r="L10719">
        <v>1074</v>
      </c>
      <c r="M10719">
        <v>1074</v>
      </c>
      <c r="N10719">
        <v>109</v>
      </c>
      <c r="O10719" t="str">
        <f>"PAGAMENTO DE ENTREGADORES"</f>
        <v>PAGAMENTO DE ENTREGADORES</v>
      </c>
      <c r="P10719">
        <v>1074</v>
      </c>
      <c r="S10719" t="str">
        <f>"BANCO C6 (149)"</f>
        <v>BANCO C6 (149)</v>
      </c>
      <c r="T10719">
        <v>21662</v>
      </c>
      <c r="U10719">
        <v>24798</v>
      </c>
      <c r="V10719" t="s">
        <v>77</v>
      </c>
    </row>
    <row r="10720" spans="1:22">
      <c r="A10720" t="str">
        <f t="shared" si="2025"/>
        <v>13/11/2025</v>
      </c>
      <c r="B10720" t="str">
        <f t="shared" ref="B10720:B10783" si="2026">"SAÍDA"</f>
        <v>SAÍDA</v>
      </c>
      <c r="C10720" t="str">
        <f t="shared" ref="C10720:C10783" si="2027">"PIX"</f>
        <v>PIX</v>
      </c>
      <c r="D10720" t="str">
        <f>"24798"</f>
        <v>24798</v>
      </c>
      <c r="E10720" t="str">
        <f t="shared" si="2022"/>
        <v>1</v>
      </c>
      <c r="F10720" t="str">
        <f t="shared" si="2024"/>
        <v>COM</v>
      </c>
      <c r="G10720" t="str">
        <f>"MIGUEL PESSOA RAMOS (68)"</f>
        <v>MIGUEL PESSOA RAMOS (68)</v>
      </c>
      <c r="H10720" t="s">
        <v>2969</v>
      </c>
      <c r="I10720" t="str">
        <f t="shared" si="2021"/>
        <v>13/11/2025</v>
      </c>
      <c r="J10720" t="str">
        <f t="shared" si="2023"/>
        <v>04/11/2025</v>
      </c>
      <c r="K10720">
        <v>45974</v>
      </c>
      <c r="N10720">
        <v>109</v>
      </c>
      <c r="O10720" t="s">
        <v>24</v>
      </c>
      <c r="Q10720">
        <v>1074</v>
      </c>
      <c r="R10720" t="str">
        <f>"FARMÁCIA INDIANA LJ 07 (10007)"</f>
        <v>FARMÁCIA INDIANA LJ 07 (10007)</v>
      </c>
      <c r="S10720" t="s">
        <v>77</v>
      </c>
      <c r="T10720">
        <v>21662</v>
      </c>
      <c r="U10720">
        <v>24798</v>
      </c>
      <c r="V10720" t="s">
        <v>77</v>
      </c>
    </row>
    <row r="10721" spans="1:22">
      <c r="A10721" t="str">
        <f t="shared" si="2025"/>
        <v>13/11/2025</v>
      </c>
      <c r="B10721" t="str">
        <f t="shared" si="2026"/>
        <v>SAÍDA</v>
      </c>
      <c r="C10721" t="str">
        <f t="shared" si="2027"/>
        <v>PIX</v>
      </c>
      <c r="D10721" t="str">
        <f>"24799"</f>
        <v>24799</v>
      </c>
      <c r="E10721" t="str">
        <f t="shared" si="2022"/>
        <v>1</v>
      </c>
      <c r="F10721" t="str">
        <f t="shared" si="2024"/>
        <v>COM</v>
      </c>
      <c r="G10721" t="str">
        <f>"MURILO BARRETO AFONSO (30)"</f>
        <v>MURILO BARRETO AFONSO (30)</v>
      </c>
      <c r="H10721" t="str">
        <f>"Serv.Prest. 24/10/2025 a 02/11/2025 - PIX: CPF - CHAVE: 123.020.026-60"</f>
        <v>Serv.Prest. 24/10/2025 a 02/11/2025 - PIX: CPF - CHAVE: 123.020.026-60</v>
      </c>
      <c r="I10721" t="str">
        <f t="shared" si="2021"/>
        <v>13/11/2025</v>
      </c>
      <c r="J10721" t="str">
        <f t="shared" si="2023"/>
        <v>04/11/2025</v>
      </c>
      <c r="K10721" t="str">
        <f>("13/11/2025")</f>
        <v>13/11/2025</v>
      </c>
      <c r="L10721">
        <v>1180</v>
      </c>
      <c r="M10721">
        <v>1180</v>
      </c>
      <c r="N10721">
        <v>109</v>
      </c>
      <c r="O10721" t="str">
        <f>"PAGAMENTO DE ENTREGADORES"</f>
        <v>PAGAMENTO DE ENTREGADORES</v>
      </c>
      <c r="P10721">
        <v>1180</v>
      </c>
      <c r="S10721" t="str">
        <f>"BANCO C6 (149)"</f>
        <v>BANCO C6 (149)</v>
      </c>
      <c r="T10721">
        <v>21663</v>
      </c>
      <c r="U10721">
        <v>24799</v>
      </c>
      <c r="V10721" t="s">
        <v>77</v>
      </c>
    </row>
    <row r="10722" spans="1:22">
      <c r="A10722" t="str">
        <f t="shared" si="2025"/>
        <v>13/11/2025</v>
      </c>
      <c r="B10722" t="str">
        <f t="shared" si="2026"/>
        <v>SAÍDA</v>
      </c>
      <c r="C10722" t="str">
        <f t="shared" si="2027"/>
        <v>PIX</v>
      </c>
      <c r="D10722" t="str">
        <f>"24799"</f>
        <v>24799</v>
      </c>
      <c r="E10722" t="str">
        <f t="shared" si="2022"/>
        <v>1</v>
      </c>
      <c r="F10722" t="str">
        <f t="shared" si="2024"/>
        <v>COM</v>
      </c>
      <c r="G10722" t="str">
        <f>"MURILO BARRETO AFONSO (30)"</f>
        <v>MURILO BARRETO AFONSO (30)</v>
      </c>
      <c r="H10722" t="s">
        <v>2879</v>
      </c>
      <c r="I10722" t="str">
        <f t="shared" si="2021"/>
        <v>13/11/2025</v>
      </c>
      <c r="J10722" t="str">
        <f t="shared" si="2023"/>
        <v>04/11/2025</v>
      </c>
      <c r="K10722">
        <v>45974</v>
      </c>
      <c r="N10722">
        <v>109</v>
      </c>
      <c r="O10722" t="s">
        <v>24</v>
      </c>
      <c r="Q10722">
        <v>465.51</v>
      </c>
      <c r="R10722" t="str">
        <f>"FARMÁCIA INDIANA LJ 118 (10052)"</f>
        <v>FARMÁCIA INDIANA LJ 118 (10052)</v>
      </c>
      <c r="S10722" t="s">
        <v>77</v>
      </c>
      <c r="T10722">
        <v>21663</v>
      </c>
      <c r="U10722">
        <v>24799</v>
      </c>
      <c r="V10722" t="s">
        <v>77</v>
      </c>
    </row>
    <row r="10723" spans="1:22">
      <c r="A10723" t="str">
        <f t="shared" si="2025"/>
        <v>13/11/2025</v>
      </c>
      <c r="B10723" t="str">
        <f t="shared" si="2026"/>
        <v>SAÍDA</v>
      </c>
      <c r="C10723" t="str">
        <f t="shared" si="2027"/>
        <v>PIX</v>
      </c>
      <c r="D10723" t="str">
        <f>"24799"</f>
        <v>24799</v>
      </c>
      <c r="E10723" t="str">
        <f t="shared" si="2022"/>
        <v>1</v>
      </c>
      <c r="F10723" t="str">
        <f t="shared" si="2024"/>
        <v>COM</v>
      </c>
      <c r="G10723" t="str">
        <f>"MURILO BARRETO AFONSO (30)"</f>
        <v>MURILO BARRETO AFONSO (30)</v>
      </c>
      <c r="H10723" t="s">
        <v>2879</v>
      </c>
      <c r="I10723" t="str">
        <f t="shared" si="2021"/>
        <v>13/11/2025</v>
      </c>
      <c r="J10723" t="str">
        <f t="shared" si="2023"/>
        <v>04/11/2025</v>
      </c>
      <c r="K10723">
        <v>45974</v>
      </c>
      <c r="N10723">
        <v>109</v>
      </c>
      <c r="O10723" t="s">
        <v>24</v>
      </c>
      <c r="Q10723">
        <v>714.49</v>
      </c>
      <c r="R10723" t="str">
        <f>"FARMÁCIA INDIANA LJ 192 (10082)"</f>
        <v>FARMÁCIA INDIANA LJ 192 (10082)</v>
      </c>
      <c r="S10723" t="s">
        <v>77</v>
      </c>
      <c r="T10723">
        <v>21663</v>
      </c>
      <c r="U10723">
        <v>24799</v>
      </c>
      <c r="V10723" t="s">
        <v>77</v>
      </c>
    </row>
    <row r="10724" spans="1:22">
      <c r="A10724" t="str">
        <f t="shared" si="2025"/>
        <v>13/11/2025</v>
      </c>
      <c r="B10724" t="str">
        <f t="shared" si="2026"/>
        <v>SAÍDA</v>
      </c>
      <c r="C10724" t="str">
        <f t="shared" si="2027"/>
        <v>PIX</v>
      </c>
      <c r="D10724" t="str">
        <f>"24800"</f>
        <v>24800</v>
      </c>
      <c r="E10724" t="str">
        <f t="shared" si="2022"/>
        <v>1</v>
      </c>
      <c r="F10724" t="str">
        <f t="shared" si="2024"/>
        <v>COM</v>
      </c>
      <c r="G10724" t="str">
        <f>"NATÁLIA KAROLAINE GOMES BATISTA (936)"</f>
        <v>NATÁLIA KAROLAINE GOMES BATISTA (936)</v>
      </c>
      <c r="H10724" t="str">
        <f>"Serv.Prest. 24/10/2025 a 02/11/2025 - PIX: CELULAR - CHAVE: (33) 98817-9868"</f>
        <v>Serv.Prest. 24/10/2025 a 02/11/2025 - PIX: CELULAR - CHAVE: (33) 98817-9868</v>
      </c>
      <c r="I10724" t="str">
        <f t="shared" ref="I10724:I10787" si="2028">("13/11/2025")</f>
        <v>13/11/2025</v>
      </c>
      <c r="J10724" t="str">
        <f t="shared" si="2023"/>
        <v>04/11/2025</v>
      </c>
      <c r="K10724" t="str">
        <f>("13/11/2025")</f>
        <v>13/11/2025</v>
      </c>
      <c r="L10724">
        <v>894</v>
      </c>
      <c r="M10724">
        <v>894</v>
      </c>
      <c r="N10724">
        <v>109</v>
      </c>
      <c r="O10724" t="str">
        <f>"PAGAMENTO DE ENTREGADORES"</f>
        <v>PAGAMENTO DE ENTREGADORES</v>
      </c>
      <c r="P10724">
        <v>894</v>
      </c>
      <c r="S10724" t="str">
        <f>"BANCO C6 (149)"</f>
        <v>BANCO C6 (149)</v>
      </c>
      <c r="T10724">
        <v>21664</v>
      </c>
      <c r="U10724">
        <v>24800</v>
      </c>
      <c r="V10724" t="s">
        <v>77</v>
      </c>
    </row>
    <row r="10725" spans="1:22">
      <c r="A10725" t="str">
        <f t="shared" si="2025"/>
        <v>13/11/2025</v>
      </c>
      <c r="B10725" t="str">
        <f t="shared" si="2026"/>
        <v>SAÍDA</v>
      </c>
      <c r="C10725" t="str">
        <f t="shared" si="2027"/>
        <v>PIX</v>
      </c>
      <c r="D10725" t="str">
        <f>"24800"</f>
        <v>24800</v>
      </c>
      <c r="E10725" t="str">
        <f t="shared" si="2022"/>
        <v>1</v>
      </c>
      <c r="F10725" t="str">
        <f t="shared" si="2024"/>
        <v>COM</v>
      </c>
      <c r="G10725" t="str">
        <f>"NATÁLIA KAROLAINE GOMES BATISTA (936)"</f>
        <v>NATÁLIA KAROLAINE GOMES BATISTA (936)</v>
      </c>
      <c r="H10725" t="s">
        <v>2970</v>
      </c>
      <c r="I10725" t="str">
        <f t="shared" si="2028"/>
        <v>13/11/2025</v>
      </c>
      <c r="J10725" t="str">
        <f t="shared" si="2023"/>
        <v>04/11/2025</v>
      </c>
      <c r="K10725">
        <v>45974</v>
      </c>
      <c r="N10725">
        <v>109</v>
      </c>
      <c r="O10725" t="s">
        <v>24</v>
      </c>
      <c r="Q10725">
        <v>894</v>
      </c>
      <c r="R10725" t="str">
        <f>"FARMÁCIA INDIANA LJ 07 (10007)"</f>
        <v>FARMÁCIA INDIANA LJ 07 (10007)</v>
      </c>
      <c r="S10725" t="s">
        <v>77</v>
      </c>
      <c r="T10725">
        <v>21664</v>
      </c>
      <c r="U10725">
        <v>24800</v>
      </c>
      <c r="V10725" t="s">
        <v>77</v>
      </c>
    </row>
    <row r="10726" spans="1:22">
      <c r="A10726" t="str">
        <f t="shared" si="2025"/>
        <v>13/11/2025</v>
      </c>
      <c r="B10726" t="str">
        <f t="shared" si="2026"/>
        <v>SAÍDA</v>
      </c>
      <c r="C10726" t="str">
        <f t="shared" si="2027"/>
        <v>PIX</v>
      </c>
      <c r="D10726" t="str">
        <f>"24801"</f>
        <v>24801</v>
      </c>
      <c r="E10726" t="str">
        <f t="shared" ref="E10726:E10789" si="2029">"1"</f>
        <v>1</v>
      </c>
      <c r="F10726" t="str">
        <f t="shared" si="2024"/>
        <v>COM</v>
      </c>
      <c r="G10726" t="str">
        <f>"NELSON DOS SANTOS RODRIGUES (37)"</f>
        <v>NELSON DOS SANTOS RODRIGUES (37)</v>
      </c>
      <c r="H10726" t="str">
        <f>"Serv.Prest. 24/10/2025 a 02/11/2025 - PIX: CPF - CHAVE: 108.680.396-59"</f>
        <v>Serv.Prest. 24/10/2025 a 02/11/2025 - PIX: CPF - CHAVE: 108.680.396-59</v>
      </c>
      <c r="I10726" t="str">
        <f t="shared" si="2028"/>
        <v>13/11/2025</v>
      </c>
      <c r="J10726" t="str">
        <f t="shared" ref="J10726:J10789" si="2030">("04/11/2025")</f>
        <v>04/11/2025</v>
      </c>
      <c r="K10726" t="str">
        <f>("13/11/2025")</f>
        <v>13/11/2025</v>
      </c>
      <c r="L10726">
        <v>1896</v>
      </c>
      <c r="M10726">
        <v>1896</v>
      </c>
      <c r="N10726">
        <v>109</v>
      </c>
      <c r="O10726" t="str">
        <f>"PAGAMENTO DE ENTREGADORES"</f>
        <v>PAGAMENTO DE ENTREGADORES</v>
      </c>
      <c r="P10726">
        <v>1896</v>
      </c>
      <c r="S10726" t="str">
        <f>"BANCO C6 (149)"</f>
        <v>BANCO C6 (149)</v>
      </c>
      <c r="T10726">
        <v>21665</v>
      </c>
      <c r="U10726">
        <v>24801</v>
      </c>
      <c r="V10726" t="s">
        <v>77</v>
      </c>
    </row>
    <row r="10727" spans="1:22">
      <c r="A10727" t="str">
        <f t="shared" si="2025"/>
        <v>13/11/2025</v>
      </c>
      <c r="B10727" t="str">
        <f t="shared" si="2026"/>
        <v>SAÍDA</v>
      </c>
      <c r="C10727" t="str">
        <f t="shared" si="2027"/>
        <v>PIX</v>
      </c>
      <c r="D10727" t="str">
        <f>"24801"</f>
        <v>24801</v>
      </c>
      <c r="E10727" t="str">
        <f t="shared" si="2029"/>
        <v>1</v>
      </c>
      <c r="F10727" t="str">
        <f t="shared" si="2024"/>
        <v>COM</v>
      </c>
      <c r="G10727" t="str">
        <f>"NELSON DOS SANTOS RODRIGUES (37)"</f>
        <v>NELSON DOS SANTOS RODRIGUES (37)</v>
      </c>
      <c r="H10727" t="s">
        <v>2971</v>
      </c>
      <c r="I10727" t="str">
        <f t="shared" si="2028"/>
        <v>13/11/2025</v>
      </c>
      <c r="J10727" t="str">
        <f t="shared" si="2030"/>
        <v>04/11/2025</v>
      </c>
      <c r="K10727">
        <v>45974</v>
      </c>
      <c r="N10727">
        <v>109</v>
      </c>
      <c r="O10727" t="s">
        <v>24</v>
      </c>
      <c r="Q10727">
        <v>1896</v>
      </c>
      <c r="R10727" t="str">
        <f>"FARMÁCIA INDIANA LJ 11 (10008)"</f>
        <v>FARMÁCIA INDIANA LJ 11 (10008)</v>
      </c>
      <c r="S10727" t="s">
        <v>77</v>
      </c>
      <c r="T10727">
        <v>21665</v>
      </c>
      <c r="U10727">
        <v>24801</v>
      </c>
      <c r="V10727" t="s">
        <v>77</v>
      </c>
    </row>
    <row r="10728" spans="1:22">
      <c r="A10728" t="str">
        <f t="shared" si="2025"/>
        <v>13/11/2025</v>
      </c>
      <c r="B10728" t="str">
        <f t="shared" si="2026"/>
        <v>SAÍDA</v>
      </c>
      <c r="C10728" t="str">
        <f t="shared" si="2027"/>
        <v>PIX</v>
      </c>
      <c r="D10728" t="str">
        <f>"24802"</f>
        <v>24802</v>
      </c>
      <c r="E10728" t="str">
        <f t="shared" si="2029"/>
        <v>1</v>
      </c>
      <c r="F10728" t="str">
        <f t="shared" si="2024"/>
        <v>COM</v>
      </c>
      <c r="G10728" t="str">
        <f>"NILTON RODRIGUES DE SOUZA (136)"</f>
        <v>NILTON RODRIGUES DE SOUZA (136)</v>
      </c>
      <c r="H10728" t="str">
        <f>"Serv.Prest. 24/10/2025 a 02/11/2025 - PIX: CPF - CHAVE: 037.974.316-78"</f>
        <v>Serv.Prest. 24/10/2025 a 02/11/2025 - PIX: CPF - CHAVE: 037.974.316-78</v>
      </c>
      <c r="I10728" t="str">
        <f t="shared" si="2028"/>
        <v>13/11/2025</v>
      </c>
      <c r="J10728" t="str">
        <f t="shared" si="2030"/>
        <v>04/11/2025</v>
      </c>
      <c r="K10728" t="str">
        <f>("13/11/2025")</f>
        <v>13/11/2025</v>
      </c>
      <c r="L10728">
        <v>1038</v>
      </c>
      <c r="M10728">
        <v>1038</v>
      </c>
      <c r="N10728">
        <v>109</v>
      </c>
      <c r="O10728" t="str">
        <f>"PAGAMENTO DE ENTREGADORES"</f>
        <v>PAGAMENTO DE ENTREGADORES</v>
      </c>
      <c r="P10728">
        <v>1038</v>
      </c>
      <c r="S10728" t="str">
        <f>"BANCO C6 (149)"</f>
        <v>BANCO C6 (149)</v>
      </c>
      <c r="T10728">
        <v>21666</v>
      </c>
      <c r="U10728">
        <v>24802</v>
      </c>
      <c r="V10728" t="s">
        <v>77</v>
      </c>
    </row>
    <row r="10729" spans="1:22">
      <c r="A10729" t="str">
        <f t="shared" si="2025"/>
        <v>13/11/2025</v>
      </c>
      <c r="B10729" t="str">
        <f t="shared" si="2026"/>
        <v>SAÍDA</v>
      </c>
      <c r="C10729" t="str">
        <f t="shared" si="2027"/>
        <v>PIX</v>
      </c>
      <c r="D10729" t="str">
        <f>"24802"</f>
        <v>24802</v>
      </c>
      <c r="E10729" t="str">
        <f t="shared" si="2029"/>
        <v>1</v>
      </c>
      <c r="F10729" t="str">
        <f t="shared" si="2024"/>
        <v>COM</v>
      </c>
      <c r="G10729" t="str">
        <f>"NILTON RODRIGUES DE SOUZA (136)"</f>
        <v>NILTON RODRIGUES DE SOUZA (136)</v>
      </c>
      <c r="H10729" t="s">
        <v>2972</v>
      </c>
      <c r="I10729" t="str">
        <f t="shared" si="2028"/>
        <v>13/11/2025</v>
      </c>
      <c r="J10729" t="str">
        <f t="shared" si="2030"/>
        <v>04/11/2025</v>
      </c>
      <c r="K10729">
        <v>45974</v>
      </c>
      <c r="N10729">
        <v>109</v>
      </c>
      <c r="O10729" t="s">
        <v>24</v>
      </c>
      <c r="Q10729">
        <v>798.01</v>
      </c>
      <c r="R10729" t="str">
        <f>"FARMÁCIA INDIANA LJ 18 (10011)"</f>
        <v>FARMÁCIA INDIANA LJ 18 (10011)</v>
      </c>
      <c r="S10729" t="s">
        <v>77</v>
      </c>
      <c r="T10729">
        <v>21666</v>
      </c>
      <c r="U10729">
        <v>24802</v>
      </c>
      <c r="V10729" t="s">
        <v>77</v>
      </c>
    </row>
    <row r="10730" spans="1:22">
      <c r="A10730" t="str">
        <f t="shared" si="2025"/>
        <v>13/11/2025</v>
      </c>
      <c r="B10730" t="str">
        <f t="shared" si="2026"/>
        <v>SAÍDA</v>
      </c>
      <c r="C10730" t="str">
        <f t="shared" si="2027"/>
        <v>PIX</v>
      </c>
      <c r="D10730" t="str">
        <f>"24802"</f>
        <v>24802</v>
      </c>
      <c r="E10730" t="str">
        <f t="shared" si="2029"/>
        <v>1</v>
      </c>
      <c r="F10730" t="str">
        <f t="shared" si="2024"/>
        <v>COM</v>
      </c>
      <c r="G10730" t="str">
        <f>"NILTON RODRIGUES DE SOUZA (136)"</f>
        <v>NILTON RODRIGUES DE SOUZA (136)</v>
      </c>
      <c r="H10730" t="s">
        <v>2972</v>
      </c>
      <c r="I10730" t="str">
        <f t="shared" si="2028"/>
        <v>13/11/2025</v>
      </c>
      <c r="J10730" t="str">
        <f t="shared" si="2030"/>
        <v>04/11/2025</v>
      </c>
      <c r="K10730">
        <v>45974</v>
      </c>
      <c r="N10730">
        <v>109</v>
      </c>
      <c r="O10730" t="s">
        <v>24</v>
      </c>
      <c r="Q10730">
        <v>239.99</v>
      </c>
      <c r="R10730" t="str">
        <f>"FARMÁCIA INDIANA LJ 19 (10012)"</f>
        <v>FARMÁCIA INDIANA LJ 19 (10012)</v>
      </c>
      <c r="S10730" t="s">
        <v>77</v>
      </c>
      <c r="T10730">
        <v>21666</v>
      </c>
      <c r="U10730">
        <v>24802</v>
      </c>
      <c r="V10730" t="s">
        <v>77</v>
      </c>
    </row>
    <row r="10731" spans="1:22">
      <c r="A10731" t="str">
        <f t="shared" si="2025"/>
        <v>13/11/2025</v>
      </c>
      <c r="B10731" t="str">
        <f t="shared" si="2026"/>
        <v>SAÍDA</v>
      </c>
      <c r="C10731" t="str">
        <f t="shared" si="2027"/>
        <v>PIX</v>
      </c>
      <c r="D10731" t="str">
        <f>"24803"</f>
        <v>24803</v>
      </c>
      <c r="E10731" t="str">
        <f t="shared" si="2029"/>
        <v>1</v>
      </c>
      <c r="F10731" t="str">
        <f t="shared" si="2024"/>
        <v>COM</v>
      </c>
      <c r="G10731" t="str">
        <f>"PATRICK DE SOUZA CORREA (92)"</f>
        <v>PATRICK DE SOUZA CORREA (92)</v>
      </c>
      <c r="H10731" t="str">
        <f>"Serv.Prest. 24/10/2025 a 02/11/2025 - PIX: CELULAR - CHAVE: (31) 99216-8711"</f>
        <v>Serv.Prest. 24/10/2025 a 02/11/2025 - PIX: CELULAR - CHAVE: (31) 99216-8711</v>
      </c>
      <c r="I10731" t="str">
        <f t="shared" si="2028"/>
        <v>13/11/2025</v>
      </c>
      <c r="J10731" t="str">
        <f t="shared" si="2030"/>
        <v>04/11/2025</v>
      </c>
      <c r="K10731" t="str">
        <f>("13/11/2025")</f>
        <v>13/11/2025</v>
      </c>
      <c r="L10731">
        <v>580</v>
      </c>
      <c r="M10731">
        <v>580</v>
      </c>
      <c r="N10731">
        <v>109</v>
      </c>
      <c r="O10731" t="str">
        <f>"PAGAMENTO DE ENTREGADORES"</f>
        <v>PAGAMENTO DE ENTREGADORES</v>
      </c>
      <c r="P10731">
        <v>580</v>
      </c>
      <c r="S10731" t="str">
        <f>"BANCO C6 (149)"</f>
        <v>BANCO C6 (149)</v>
      </c>
      <c r="T10731">
        <v>21667</v>
      </c>
      <c r="U10731">
        <v>24803</v>
      </c>
      <c r="V10731" t="s">
        <v>77</v>
      </c>
    </row>
    <row r="10732" spans="1:22">
      <c r="A10732" t="str">
        <f t="shared" si="2025"/>
        <v>13/11/2025</v>
      </c>
      <c r="B10732" t="str">
        <f t="shared" si="2026"/>
        <v>SAÍDA</v>
      </c>
      <c r="C10732" t="str">
        <f t="shared" si="2027"/>
        <v>PIX</v>
      </c>
      <c r="D10732" t="str">
        <f>"24803"</f>
        <v>24803</v>
      </c>
      <c r="E10732" t="str">
        <f t="shared" si="2029"/>
        <v>1</v>
      </c>
      <c r="F10732" t="str">
        <f t="shared" si="2024"/>
        <v>COM</v>
      </c>
      <c r="G10732" t="str">
        <f>"PATRICK DE SOUZA CORREA (92)"</f>
        <v>PATRICK DE SOUZA CORREA (92)</v>
      </c>
      <c r="H10732" t="s">
        <v>2881</v>
      </c>
      <c r="I10732" t="str">
        <f t="shared" si="2028"/>
        <v>13/11/2025</v>
      </c>
      <c r="J10732" t="str">
        <f t="shared" si="2030"/>
        <v>04/11/2025</v>
      </c>
      <c r="K10732">
        <v>45974</v>
      </c>
      <c r="N10732">
        <v>109</v>
      </c>
      <c r="O10732" t="s">
        <v>24</v>
      </c>
      <c r="Q10732">
        <v>290</v>
      </c>
      <c r="R10732" t="str">
        <f>"FARMÁCIA INDIANA LJ 184 (10080)"</f>
        <v>FARMÁCIA INDIANA LJ 184 (10080)</v>
      </c>
      <c r="S10732" t="s">
        <v>77</v>
      </c>
      <c r="T10732">
        <v>21667</v>
      </c>
      <c r="U10732">
        <v>24803</v>
      </c>
      <c r="V10732" t="s">
        <v>77</v>
      </c>
    </row>
    <row r="10733" spans="1:22">
      <c r="A10733" t="str">
        <f t="shared" si="2025"/>
        <v>13/11/2025</v>
      </c>
      <c r="B10733" t="str">
        <f t="shared" si="2026"/>
        <v>SAÍDA</v>
      </c>
      <c r="C10733" t="str">
        <f t="shared" si="2027"/>
        <v>PIX</v>
      </c>
      <c r="D10733" t="str">
        <f>"24803"</f>
        <v>24803</v>
      </c>
      <c r="E10733" t="str">
        <f t="shared" si="2029"/>
        <v>1</v>
      </c>
      <c r="F10733" t="str">
        <f t="shared" si="2024"/>
        <v>COM</v>
      </c>
      <c r="G10733" t="str">
        <f>"PATRICK DE SOUZA CORREA (92)"</f>
        <v>PATRICK DE SOUZA CORREA (92)</v>
      </c>
      <c r="H10733" t="s">
        <v>2881</v>
      </c>
      <c r="I10733" t="str">
        <f t="shared" si="2028"/>
        <v>13/11/2025</v>
      </c>
      <c r="J10733" t="str">
        <f t="shared" si="2030"/>
        <v>04/11/2025</v>
      </c>
      <c r="K10733">
        <v>45974</v>
      </c>
      <c r="N10733">
        <v>109</v>
      </c>
      <c r="O10733" t="s">
        <v>24</v>
      </c>
      <c r="Q10733">
        <v>290</v>
      </c>
      <c r="R10733" t="str">
        <f>"FARMÁCIA INDIANA LJ 195 (10083)"</f>
        <v>FARMÁCIA INDIANA LJ 195 (10083)</v>
      </c>
      <c r="S10733" t="s">
        <v>77</v>
      </c>
      <c r="T10733">
        <v>21667</v>
      </c>
      <c r="U10733">
        <v>24803</v>
      </c>
      <c r="V10733" t="s">
        <v>77</v>
      </c>
    </row>
    <row r="10734" spans="1:22">
      <c r="A10734" t="str">
        <f t="shared" si="2025"/>
        <v>13/11/2025</v>
      </c>
      <c r="B10734" t="str">
        <f t="shared" si="2026"/>
        <v>SAÍDA</v>
      </c>
      <c r="C10734" t="str">
        <f t="shared" si="2027"/>
        <v>PIX</v>
      </c>
      <c r="D10734" t="str">
        <f>"24804"</f>
        <v>24804</v>
      </c>
      <c r="E10734" t="str">
        <f t="shared" si="2029"/>
        <v>1</v>
      </c>
      <c r="F10734" t="str">
        <f t="shared" si="2024"/>
        <v>COM</v>
      </c>
      <c r="G10734" t="str">
        <f>"PAULO MARCOS FARIA DE SOUZA L (233)"</f>
        <v>PAULO MARCOS FARIA DE SOUZA L (233)</v>
      </c>
      <c r="H10734" t="str">
        <f>"Serv.Prest. 24/10/2025 a 02/11/2025 - PIX: CELULAR - CHAVE: (35) 99264-4504"</f>
        <v>Serv.Prest. 24/10/2025 a 02/11/2025 - PIX: CELULAR - CHAVE: (35) 99264-4504</v>
      </c>
      <c r="I10734" t="str">
        <f t="shared" si="2028"/>
        <v>13/11/2025</v>
      </c>
      <c r="J10734" t="str">
        <f t="shared" si="2030"/>
        <v>04/11/2025</v>
      </c>
      <c r="K10734" t="str">
        <f>("13/11/2025")</f>
        <v>13/11/2025</v>
      </c>
      <c r="L10734">
        <v>480</v>
      </c>
      <c r="M10734">
        <v>480</v>
      </c>
      <c r="N10734">
        <v>109</v>
      </c>
      <c r="O10734" t="str">
        <f>"PAGAMENTO DE ENTREGADORES"</f>
        <v>PAGAMENTO DE ENTREGADORES</v>
      </c>
      <c r="P10734">
        <v>480</v>
      </c>
      <c r="S10734" t="str">
        <f>"BANCO C6 (149)"</f>
        <v>BANCO C6 (149)</v>
      </c>
      <c r="T10734">
        <v>21668</v>
      </c>
      <c r="U10734">
        <v>24804</v>
      </c>
      <c r="V10734" t="s">
        <v>77</v>
      </c>
    </row>
    <row r="10735" spans="1:22">
      <c r="A10735" t="str">
        <f t="shared" si="2025"/>
        <v>13/11/2025</v>
      </c>
      <c r="B10735" t="str">
        <f t="shared" si="2026"/>
        <v>SAÍDA</v>
      </c>
      <c r="C10735" t="str">
        <f t="shared" si="2027"/>
        <v>PIX</v>
      </c>
      <c r="D10735" t="str">
        <f>"24804"</f>
        <v>24804</v>
      </c>
      <c r="E10735" t="str">
        <f t="shared" si="2029"/>
        <v>1</v>
      </c>
      <c r="F10735" t="str">
        <f t="shared" si="2024"/>
        <v>COM</v>
      </c>
      <c r="G10735" t="str">
        <f>"PAULO MARCOS FARIA DE SOUZA L (233)"</f>
        <v>PAULO MARCOS FARIA DE SOUZA L (233)</v>
      </c>
      <c r="H10735" t="s">
        <v>2883</v>
      </c>
      <c r="I10735" t="str">
        <f t="shared" si="2028"/>
        <v>13/11/2025</v>
      </c>
      <c r="J10735" t="str">
        <f t="shared" si="2030"/>
        <v>04/11/2025</v>
      </c>
      <c r="K10735">
        <v>45974</v>
      </c>
      <c r="N10735">
        <v>109</v>
      </c>
      <c r="O10735" t="s">
        <v>24</v>
      </c>
      <c r="Q10735">
        <v>480</v>
      </c>
      <c r="R10735" t="str">
        <f>"FARMÁCIA INDIANA LJ 64 (10029)"</f>
        <v>FARMÁCIA INDIANA LJ 64 (10029)</v>
      </c>
      <c r="S10735" t="s">
        <v>77</v>
      </c>
      <c r="T10735">
        <v>21668</v>
      </c>
      <c r="U10735">
        <v>24804</v>
      </c>
      <c r="V10735" t="s">
        <v>77</v>
      </c>
    </row>
    <row r="10736" spans="1:22">
      <c r="A10736" t="str">
        <f t="shared" si="2025"/>
        <v>13/11/2025</v>
      </c>
      <c r="B10736" t="str">
        <f t="shared" si="2026"/>
        <v>SAÍDA</v>
      </c>
      <c r="C10736" t="str">
        <f t="shared" si="2027"/>
        <v>PIX</v>
      </c>
      <c r="D10736" t="str">
        <f>"24805"</f>
        <v>24805</v>
      </c>
      <c r="E10736" t="str">
        <f t="shared" si="2029"/>
        <v>1</v>
      </c>
      <c r="F10736" t="str">
        <f t="shared" si="2024"/>
        <v>COM</v>
      </c>
      <c r="G10736" t="str">
        <f>"PEDRO HENRIQUE DA SILVA COSTA OLIVEIRA (852)"</f>
        <v>PEDRO HENRIQUE DA SILVA COSTA OLIVEIRA (852)</v>
      </c>
      <c r="H10736" t="str">
        <f>"Serv.Prest. 24/10/2025 a 02/11/2025 - PIX: E-MAIL - CHAVE: sypedrinho@gmail.com"</f>
        <v>Serv.Prest. 24/10/2025 a 02/11/2025 - PIX: E-MAIL - CHAVE: sypedrinho@gmail.com</v>
      </c>
      <c r="I10736" t="str">
        <f t="shared" si="2028"/>
        <v>13/11/2025</v>
      </c>
      <c r="J10736" t="str">
        <f t="shared" si="2030"/>
        <v>04/11/2025</v>
      </c>
      <c r="K10736" t="str">
        <f>("13/11/2025")</f>
        <v>13/11/2025</v>
      </c>
      <c r="L10736">
        <v>800</v>
      </c>
      <c r="M10736">
        <v>800</v>
      </c>
      <c r="N10736">
        <v>109</v>
      </c>
      <c r="O10736" t="str">
        <f>"PAGAMENTO DE ENTREGADORES"</f>
        <v>PAGAMENTO DE ENTREGADORES</v>
      </c>
      <c r="P10736">
        <v>800</v>
      </c>
      <c r="S10736" t="str">
        <f>"BANCO C6 (149)"</f>
        <v>BANCO C6 (149)</v>
      </c>
      <c r="T10736">
        <v>21669</v>
      </c>
      <c r="U10736">
        <v>24805</v>
      </c>
      <c r="V10736" t="s">
        <v>77</v>
      </c>
    </row>
    <row r="10737" spans="1:22">
      <c r="A10737" t="str">
        <f t="shared" si="2025"/>
        <v>13/11/2025</v>
      </c>
      <c r="B10737" t="str">
        <f t="shared" si="2026"/>
        <v>SAÍDA</v>
      </c>
      <c r="C10737" t="str">
        <f t="shared" si="2027"/>
        <v>PIX</v>
      </c>
      <c r="D10737" t="str">
        <f>"24805"</f>
        <v>24805</v>
      </c>
      <c r="E10737" t="str">
        <f t="shared" si="2029"/>
        <v>1</v>
      </c>
      <c r="F10737" t="str">
        <f t="shared" si="2024"/>
        <v>COM</v>
      </c>
      <c r="G10737" t="str">
        <f>"PEDRO HENRIQUE DA SILVA COSTA OLIVEIRA (852)"</f>
        <v>PEDRO HENRIQUE DA SILVA COSTA OLIVEIRA (852)</v>
      </c>
      <c r="H10737" t="s">
        <v>2884</v>
      </c>
      <c r="I10737" t="str">
        <f t="shared" si="2028"/>
        <v>13/11/2025</v>
      </c>
      <c r="J10737" t="str">
        <f t="shared" si="2030"/>
        <v>04/11/2025</v>
      </c>
      <c r="K10737">
        <v>45974</v>
      </c>
      <c r="N10737">
        <v>109</v>
      </c>
      <c r="O10737" t="s">
        <v>24</v>
      </c>
      <c r="Q10737">
        <v>800</v>
      </c>
      <c r="R10737" t="str">
        <f>"FARMÁCIA INDIANA LJ 110 (10048)"</f>
        <v>FARMÁCIA INDIANA LJ 110 (10048)</v>
      </c>
      <c r="S10737" t="s">
        <v>77</v>
      </c>
      <c r="T10737">
        <v>21669</v>
      </c>
      <c r="U10737">
        <v>24805</v>
      </c>
      <c r="V10737" t="s">
        <v>77</v>
      </c>
    </row>
    <row r="10738" spans="1:22">
      <c r="A10738" t="str">
        <f t="shared" si="2025"/>
        <v>13/11/2025</v>
      </c>
      <c r="B10738" t="str">
        <f t="shared" si="2026"/>
        <v>SAÍDA</v>
      </c>
      <c r="C10738" t="str">
        <f t="shared" si="2027"/>
        <v>PIX</v>
      </c>
      <c r="D10738" t="str">
        <f>"24806"</f>
        <v>24806</v>
      </c>
      <c r="E10738" t="str">
        <f t="shared" si="2029"/>
        <v>1</v>
      </c>
      <c r="F10738" t="str">
        <f t="shared" si="2024"/>
        <v>COM</v>
      </c>
      <c r="G10738" t="str">
        <f>"PHABLO HEINRICK VALADARES FERREIRA (989)"</f>
        <v>PHABLO HEINRICK VALADARES FERREIRA (989)</v>
      </c>
      <c r="H10738" t="str">
        <f>"Serv.Prest. 24/10/2025 a 02/11/2025 - PIX: CPF - CHAVE: 135.640.066-30"</f>
        <v>Serv.Prest. 24/10/2025 a 02/11/2025 - PIX: CPF - CHAVE: 135.640.066-30</v>
      </c>
      <c r="I10738" t="str">
        <f t="shared" si="2028"/>
        <v>13/11/2025</v>
      </c>
      <c r="J10738" t="str">
        <f t="shared" si="2030"/>
        <v>04/11/2025</v>
      </c>
      <c r="K10738" t="str">
        <f>("13/11/2025")</f>
        <v>13/11/2025</v>
      </c>
      <c r="L10738">
        <v>702</v>
      </c>
      <c r="M10738">
        <v>702</v>
      </c>
      <c r="N10738">
        <v>109</v>
      </c>
      <c r="O10738" t="str">
        <f>"PAGAMENTO DE ENTREGADORES"</f>
        <v>PAGAMENTO DE ENTREGADORES</v>
      </c>
      <c r="P10738">
        <v>702</v>
      </c>
      <c r="S10738" t="str">
        <f>"BANCO C6 (149)"</f>
        <v>BANCO C6 (149)</v>
      </c>
      <c r="T10738">
        <v>21670</v>
      </c>
      <c r="U10738">
        <v>24806</v>
      </c>
      <c r="V10738" t="s">
        <v>77</v>
      </c>
    </row>
    <row r="10739" spans="1:22">
      <c r="A10739" t="str">
        <f t="shared" si="2025"/>
        <v>13/11/2025</v>
      </c>
      <c r="B10739" t="str">
        <f t="shared" si="2026"/>
        <v>SAÍDA</v>
      </c>
      <c r="C10739" t="str">
        <f t="shared" si="2027"/>
        <v>PIX</v>
      </c>
      <c r="D10739" t="str">
        <f>"24806"</f>
        <v>24806</v>
      </c>
      <c r="E10739" t="str">
        <f t="shared" si="2029"/>
        <v>1</v>
      </c>
      <c r="F10739" t="str">
        <f t="shared" si="2024"/>
        <v>COM</v>
      </c>
      <c r="G10739" t="str">
        <f>"PHABLO HEINRICK VALADARES FERREIRA (989)"</f>
        <v>PHABLO HEINRICK VALADARES FERREIRA (989)</v>
      </c>
      <c r="H10739" t="s">
        <v>2973</v>
      </c>
      <c r="I10739" t="str">
        <f t="shared" si="2028"/>
        <v>13/11/2025</v>
      </c>
      <c r="J10739" t="str">
        <f t="shared" si="2030"/>
        <v>04/11/2025</v>
      </c>
      <c r="K10739">
        <v>45974</v>
      </c>
      <c r="N10739">
        <v>109</v>
      </c>
      <c r="O10739" t="s">
        <v>24</v>
      </c>
      <c r="Q10739">
        <v>702</v>
      </c>
      <c r="R10739" t="str">
        <f>"FARMÁCIA INDIANA LJ 101 (10043)"</f>
        <v>FARMÁCIA INDIANA LJ 101 (10043)</v>
      </c>
      <c r="S10739" t="s">
        <v>77</v>
      </c>
      <c r="T10739">
        <v>21670</v>
      </c>
      <c r="U10739">
        <v>24806</v>
      </c>
      <c r="V10739" t="s">
        <v>77</v>
      </c>
    </row>
    <row r="10740" spans="1:22">
      <c r="A10740" t="str">
        <f t="shared" si="2025"/>
        <v>13/11/2025</v>
      </c>
      <c r="B10740" t="str">
        <f t="shared" si="2026"/>
        <v>SAÍDA</v>
      </c>
      <c r="C10740" t="str">
        <f t="shared" si="2027"/>
        <v>PIX</v>
      </c>
      <c r="D10740" t="str">
        <f>"24807"</f>
        <v>24807</v>
      </c>
      <c r="E10740" t="str">
        <f t="shared" si="2029"/>
        <v>1</v>
      </c>
      <c r="F10740" t="str">
        <f t="shared" si="2024"/>
        <v>COM</v>
      </c>
      <c r="G10740" t="str">
        <f>"RAFAEL MONTEIRO DE CASTRO VITRAL (1038)"</f>
        <v>RAFAEL MONTEIRO DE CASTRO VITRAL (1038)</v>
      </c>
      <c r="H10740" t="str">
        <f>"Serv.Prest. 24/10/2025 a 02/11/2025 - PIX: CELULAR - CHAVE: (24) 99846-2202"</f>
        <v>Serv.Prest. 24/10/2025 a 02/11/2025 - PIX: CELULAR - CHAVE: (24) 99846-2202</v>
      </c>
      <c r="I10740" t="str">
        <f t="shared" si="2028"/>
        <v>13/11/2025</v>
      </c>
      <c r="J10740" t="str">
        <f t="shared" si="2030"/>
        <v>04/11/2025</v>
      </c>
      <c r="K10740" t="str">
        <f>("13/11/2025")</f>
        <v>13/11/2025</v>
      </c>
      <c r="L10740">
        <v>601</v>
      </c>
      <c r="M10740">
        <v>601</v>
      </c>
      <c r="N10740">
        <v>109</v>
      </c>
      <c r="O10740" t="str">
        <f>"PAGAMENTO DE ENTREGADORES"</f>
        <v>PAGAMENTO DE ENTREGADORES</v>
      </c>
      <c r="P10740">
        <v>601</v>
      </c>
      <c r="S10740" t="str">
        <f>"BANCO C6 (149)"</f>
        <v>BANCO C6 (149)</v>
      </c>
      <c r="T10740">
        <v>21671</v>
      </c>
      <c r="U10740">
        <v>24807</v>
      </c>
      <c r="V10740" t="s">
        <v>77</v>
      </c>
    </row>
    <row r="10741" spans="1:22">
      <c r="A10741" t="str">
        <f t="shared" si="2025"/>
        <v>13/11/2025</v>
      </c>
      <c r="B10741" t="str">
        <f t="shared" si="2026"/>
        <v>SAÍDA</v>
      </c>
      <c r="C10741" t="str">
        <f t="shared" si="2027"/>
        <v>PIX</v>
      </c>
      <c r="D10741" t="str">
        <f>"24807"</f>
        <v>24807</v>
      </c>
      <c r="E10741" t="str">
        <f t="shared" si="2029"/>
        <v>1</v>
      </c>
      <c r="F10741" t="str">
        <f t="shared" si="2024"/>
        <v>COM</v>
      </c>
      <c r="G10741" t="str">
        <f>"RAFAEL MONTEIRO DE CASTRO VITRAL (1038)"</f>
        <v>RAFAEL MONTEIRO DE CASTRO VITRAL (1038)</v>
      </c>
      <c r="H10741" t="s">
        <v>2426</v>
      </c>
      <c r="I10741" t="str">
        <f t="shared" si="2028"/>
        <v>13/11/2025</v>
      </c>
      <c r="J10741" t="str">
        <f t="shared" si="2030"/>
        <v>04/11/2025</v>
      </c>
      <c r="K10741">
        <v>45974</v>
      </c>
      <c r="N10741">
        <v>109</v>
      </c>
      <c r="O10741" t="s">
        <v>24</v>
      </c>
      <c r="Q10741">
        <v>601</v>
      </c>
      <c r="R10741" t="str">
        <f>"FARMÁCIA INDIANA LJ 219 (10091)"</f>
        <v>FARMÁCIA INDIANA LJ 219 (10091)</v>
      </c>
      <c r="S10741" t="s">
        <v>77</v>
      </c>
      <c r="T10741">
        <v>21671</v>
      </c>
      <c r="U10741">
        <v>24807</v>
      </c>
      <c r="V10741" t="s">
        <v>77</v>
      </c>
    </row>
    <row r="10742" spans="1:22">
      <c r="A10742" t="str">
        <f t="shared" si="2025"/>
        <v>13/11/2025</v>
      </c>
      <c r="B10742" t="str">
        <f t="shared" si="2026"/>
        <v>SAÍDA</v>
      </c>
      <c r="C10742" t="str">
        <f t="shared" si="2027"/>
        <v>PIX</v>
      </c>
      <c r="D10742" t="str">
        <f>"24808"</f>
        <v>24808</v>
      </c>
      <c r="E10742" t="str">
        <f t="shared" si="2029"/>
        <v>1</v>
      </c>
      <c r="F10742" t="str">
        <f t="shared" si="2024"/>
        <v>COM</v>
      </c>
      <c r="G10742" t="str">
        <f>"RAISSON VITOR MENDES DE ABREU (705)"</f>
        <v>RAISSON VITOR MENDES DE ABREU (705)</v>
      </c>
      <c r="H10742" t="str">
        <f>"Serv.Prest. 24/10/2025 a 02/11/2025 - PIX: CELULAR - CHAVE: (31) 99959-5414"</f>
        <v>Serv.Prest. 24/10/2025 a 02/11/2025 - PIX: CELULAR - CHAVE: (31) 99959-5414</v>
      </c>
      <c r="I10742" t="str">
        <f t="shared" si="2028"/>
        <v>13/11/2025</v>
      </c>
      <c r="J10742" t="str">
        <f t="shared" si="2030"/>
        <v>04/11/2025</v>
      </c>
      <c r="K10742" t="str">
        <f>("13/11/2025")</f>
        <v>13/11/2025</v>
      </c>
      <c r="L10742">
        <v>800</v>
      </c>
      <c r="M10742">
        <v>800</v>
      </c>
      <c r="N10742">
        <v>109</v>
      </c>
      <c r="O10742" t="str">
        <f>"PAGAMENTO DE ENTREGADORES"</f>
        <v>PAGAMENTO DE ENTREGADORES</v>
      </c>
      <c r="P10742">
        <v>800</v>
      </c>
      <c r="S10742" t="str">
        <f>"BANCO C6 (149)"</f>
        <v>BANCO C6 (149)</v>
      </c>
      <c r="T10742">
        <v>21672</v>
      </c>
      <c r="U10742">
        <v>24808</v>
      </c>
      <c r="V10742" t="s">
        <v>77</v>
      </c>
    </row>
    <row r="10743" spans="1:22">
      <c r="A10743" t="str">
        <f t="shared" si="2025"/>
        <v>13/11/2025</v>
      </c>
      <c r="B10743" t="str">
        <f t="shared" si="2026"/>
        <v>SAÍDA</v>
      </c>
      <c r="C10743" t="str">
        <f t="shared" si="2027"/>
        <v>PIX</v>
      </c>
      <c r="D10743" t="str">
        <f>"24808"</f>
        <v>24808</v>
      </c>
      <c r="E10743" t="str">
        <f t="shared" si="2029"/>
        <v>1</v>
      </c>
      <c r="F10743" t="str">
        <f t="shared" ref="F10743:F10806" si="2031">"COM"</f>
        <v>COM</v>
      </c>
      <c r="G10743" t="str">
        <f>"RAISSON VITOR MENDES DE ABREU (705)"</f>
        <v>RAISSON VITOR MENDES DE ABREU (705)</v>
      </c>
      <c r="H10743" t="s">
        <v>2974</v>
      </c>
      <c r="I10743" t="str">
        <f t="shared" si="2028"/>
        <v>13/11/2025</v>
      </c>
      <c r="J10743" t="str">
        <f t="shared" si="2030"/>
        <v>04/11/2025</v>
      </c>
      <c r="K10743">
        <v>45974</v>
      </c>
      <c r="N10743">
        <v>109</v>
      </c>
      <c r="O10743" t="s">
        <v>24</v>
      </c>
      <c r="Q10743">
        <v>800</v>
      </c>
      <c r="R10743" t="str">
        <f>"FARMÁCIA INDIANA LJ 178 (10077)"</f>
        <v>FARMÁCIA INDIANA LJ 178 (10077)</v>
      </c>
      <c r="S10743" t="s">
        <v>77</v>
      </c>
      <c r="T10743">
        <v>21672</v>
      </c>
      <c r="U10743">
        <v>24808</v>
      </c>
      <c r="V10743" t="s">
        <v>77</v>
      </c>
    </row>
    <row r="10744" spans="1:22">
      <c r="A10744" t="str">
        <f t="shared" si="2025"/>
        <v>13/11/2025</v>
      </c>
      <c r="B10744" t="str">
        <f t="shared" si="2026"/>
        <v>SAÍDA</v>
      </c>
      <c r="C10744" t="str">
        <f t="shared" si="2027"/>
        <v>PIX</v>
      </c>
      <c r="D10744" t="str">
        <f>"24809"</f>
        <v>24809</v>
      </c>
      <c r="E10744" t="str">
        <f t="shared" si="2029"/>
        <v>1</v>
      </c>
      <c r="F10744" t="str">
        <f t="shared" si="2031"/>
        <v>COM</v>
      </c>
      <c r="G10744" t="str">
        <f>"REGINALDO PIRES PORTES (1009)"</f>
        <v>REGINALDO PIRES PORTES (1009)</v>
      </c>
      <c r="H10744" t="str">
        <f>"Serv.Prest. 24/10/2025 a 02/11/2025 - PIX: CPF - CHAVE: 072.968.086-08"</f>
        <v>Serv.Prest. 24/10/2025 a 02/11/2025 - PIX: CPF - CHAVE: 072.968.086-08</v>
      </c>
      <c r="I10744" t="str">
        <f t="shared" si="2028"/>
        <v>13/11/2025</v>
      </c>
      <c r="J10744" t="str">
        <f t="shared" si="2030"/>
        <v>04/11/2025</v>
      </c>
      <c r="K10744" t="str">
        <f>("13/11/2025")</f>
        <v>13/11/2025</v>
      </c>
      <c r="L10744">
        <v>1392</v>
      </c>
      <c r="M10744">
        <v>1392</v>
      </c>
      <c r="N10744">
        <v>109</v>
      </c>
      <c r="O10744" t="str">
        <f>"PAGAMENTO DE ENTREGADORES"</f>
        <v>PAGAMENTO DE ENTREGADORES</v>
      </c>
      <c r="P10744">
        <v>1392</v>
      </c>
      <c r="S10744" t="str">
        <f>"BANCO C6 (149)"</f>
        <v>BANCO C6 (149)</v>
      </c>
      <c r="T10744">
        <v>21673</v>
      </c>
      <c r="U10744">
        <v>24809</v>
      </c>
      <c r="V10744" t="s">
        <v>77</v>
      </c>
    </row>
    <row r="10745" spans="1:22">
      <c r="A10745" t="str">
        <f t="shared" si="2025"/>
        <v>13/11/2025</v>
      </c>
      <c r="B10745" t="str">
        <f t="shared" si="2026"/>
        <v>SAÍDA</v>
      </c>
      <c r="C10745" t="str">
        <f t="shared" si="2027"/>
        <v>PIX</v>
      </c>
      <c r="D10745" t="str">
        <f>"24809"</f>
        <v>24809</v>
      </c>
      <c r="E10745" t="str">
        <f t="shared" si="2029"/>
        <v>1</v>
      </c>
      <c r="F10745" t="str">
        <f t="shared" si="2031"/>
        <v>COM</v>
      </c>
      <c r="G10745" t="str">
        <f>"REGINALDO PIRES PORTES (1009)"</f>
        <v>REGINALDO PIRES PORTES (1009)</v>
      </c>
      <c r="H10745" t="s">
        <v>2975</v>
      </c>
      <c r="I10745" t="str">
        <f t="shared" si="2028"/>
        <v>13/11/2025</v>
      </c>
      <c r="J10745" t="str">
        <f t="shared" si="2030"/>
        <v>04/11/2025</v>
      </c>
      <c r="K10745">
        <v>45974</v>
      </c>
      <c r="N10745">
        <v>109</v>
      </c>
      <c r="O10745" t="s">
        <v>24</v>
      </c>
      <c r="Q10745">
        <v>1392</v>
      </c>
      <c r="R10745" t="str">
        <f>"FARMÁCIA INDIANA LJ 19 (10012)"</f>
        <v>FARMÁCIA INDIANA LJ 19 (10012)</v>
      </c>
      <c r="S10745" t="s">
        <v>77</v>
      </c>
      <c r="T10745">
        <v>21673</v>
      </c>
      <c r="U10745">
        <v>24809</v>
      </c>
      <c r="V10745" t="s">
        <v>77</v>
      </c>
    </row>
    <row r="10746" spans="1:22">
      <c r="A10746" t="str">
        <f t="shared" si="2025"/>
        <v>13/11/2025</v>
      </c>
      <c r="B10746" t="str">
        <f t="shared" si="2026"/>
        <v>SAÍDA</v>
      </c>
      <c r="C10746" t="str">
        <f t="shared" si="2027"/>
        <v>PIX</v>
      </c>
      <c r="D10746" t="str">
        <f>"24810"</f>
        <v>24810</v>
      </c>
      <c r="E10746" t="str">
        <f t="shared" si="2029"/>
        <v>1</v>
      </c>
      <c r="F10746" t="str">
        <f t="shared" si="2031"/>
        <v>COM</v>
      </c>
      <c r="G10746" t="str">
        <f>"RENATO GEORGE GONÇALVES (191)"</f>
        <v>RENATO GEORGE GONÇALVES (191)</v>
      </c>
      <c r="H10746" t="str">
        <f>"Serv.Prest. 24/10/2025 a 02/11/2025 - PIX: CPF - CHAVE: 012.783.036-77"</f>
        <v>Serv.Prest. 24/10/2025 a 02/11/2025 - PIX: CPF - CHAVE: 012.783.036-77</v>
      </c>
      <c r="I10746" t="str">
        <f t="shared" si="2028"/>
        <v>13/11/2025</v>
      </c>
      <c r="J10746" t="str">
        <f t="shared" si="2030"/>
        <v>04/11/2025</v>
      </c>
      <c r="K10746" t="str">
        <f>("13/11/2025")</f>
        <v>13/11/2025</v>
      </c>
      <c r="L10746">
        <v>1350</v>
      </c>
      <c r="M10746">
        <v>1350</v>
      </c>
      <c r="N10746">
        <v>109</v>
      </c>
      <c r="O10746" t="str">
        <f>"PAGAMENTO DE ENTREGADORES"</f>
        <v>PAGAMENTO DE ENTREGADORES</v>
      </c>
      <c r="P10746">
        <v>1350</v>
      </c>
      <c r="S10746" t="str">
        <f>"BANCO C6 (149)"</f>
        <v>BANCO C6 (149)</v>
      </c>
      <c r="T10746">
        <v>21674</v>
      </c>
      <c r="U10746">
        <v>24810</v>
      </c>
      <c r="V10746" t="s">
        <v>77</v>
      </c>
    </row>
    <row r="10747" spans="1:22">
      <c r="A10747" t="str">
        <f t="shared" si="2025"/>
        <v>13/11/2025</v>
      </c>
      <c r="B10747" t="str">
        <f t="shared" si="2026"/>
        <v>SAÍDA</v>
      </c>
      <c r="C10747" t="str">
        <f t="shared" si="2027"/>
        <v>PIX</v>
      </c>
      <c r="D10747" t="str">
        <f>"24810"</f>
        <v>24810</v>
      </c>
      <c r="E10747" t="str">
        <f t="shared" si="2029"/>
        <v>1</v>
      </c>
      <c r="F10747" t="str">
        <f t="shared" si="2031"/>
        <v>COM</v>
      </c>
      <c r="G10747" t="str">
        <f>"RENATO GEORGE GONÇALVES (191)"</f>
        <v>RENATO GEORGE GONÇALVES (191)</v>
      </c>
      <c r="H10747" t="s">
        <v>2976</v>
      </c>
      <c r="I10747" t="str">
        <f t="shared" si="2028"/>
        <v>13/11/2025</v>
      </c>
      <c r="J10747" t="str">
        <f t="shared" si="2030"/>
        <v>04/11/2025</v>
      </c>
      <c r="K10747">
        <v>45974</v>
      </c>
      <c r="N10747">
        <v>109</v>
      </c>
      <c r="O10747" t="s">
        <v>24</v>
      </c>
      <c r="Q10747">
        <v>1350</v>
      </c>
      <c r="R10747" t="str">
        <f>"FARMÁCIA INDIANA LJ 06 (10006)"</f>
        <v>FARMÁCIA INDIANA LJ 06 (10006)</v>
      </c>
      <c r="S10747" t="s">
        <v>77</v>
      </c>
      <c r="T10747">
        <v>21674</v>
      </c>
      <c r="U10747">
        <v>24810</v>
      </c>
      <c r="V10747" t="s">
        <v>77</v>
      </c>
    </row>
    <row r="10748" spans="1:22">
      <c r="A10748" t="str">
        <f t="shared" si="2025"/>
        <v>13/11/2025</v>
      </c>
      <c r="B10748" t="str">
        <f t="shared" si="2026"/>
        <v>SAÍDA</v>
      </c>
      <c r="C10748" t="str">
        <f t="shared" si="2027"/>
        <v>PIX</v>
      </c>
      <c r="D10748" t="str">
        <f>"24811"</f>
        <v>24811</v>
      </c>
      <c r="E10748" t="str">
        <f t="shared" si="2029"/>
        <v>1</v>
      </c>
      <c r="F10748" t="str">
        <f t="shared" si="2031"/>
        <v>COM</v>
      </c>
      <c r="G10748" t="str">
        <f>"ROGÉRIO LAURINDO BORGES (176)"</f>
        <v>ROGÉRIO LAURINDO BORGES (176)</v>
      </c>
      <c r="H10748" t="str">
        <f>"Serv.Prest. 24/10/2025 a 02/11/2025 - PIX: E-MAIL - CHAVE: roger.l.borges04@gmail.com"</f>
        <v>Serv.Prest. 24/10/2025 a 02/11/2025 - PIX: E-MAIL - CHAVE: roger.l.borges04@gmail.com</v>
      </c>
      <c r="I10748" t="str">
        <f t="shared" si="2028"/>
        <v>13/11/2025</v>
      </c>
      <c r="J10748" t="str">
        <f t="shared" si="2030"/>
        <v>04/11/2025</v>
      </c>
      <c r="K10748" t="str">
        <f>("13/11/2025")</f>
        <v>13/11/2025</v>
      </c>
      <c r="L10748">
        <v>1752</v>
      </c>
      <c r="M10748">
        <v>1752</v>
      </c>
      <c r="N10748">
        <v>109</v>
      </c>
      <c r="O10748" t="str">
        <f>"PAGAMENTO DE ENTREGADORES"</f>
        <v>PAGAMENTO DE ENTREGADORES</v>
      </c>
      <c r="P10748">
        <v>1752</v>
      </c>
      <c r="S10748" t="str">
        <f>"BANCO C6 (149)"</f>
        <v>BANCO C6 (149)</v>
      </c>
      <c r="T10748">
        <v>21675</v>
      </c>
      <c r="U10748">
        <v>24811</v>
      </c>
      <c r="V10748" t="s">
        <v>77</v>
      </c>
    </row>
    <row r="10749" spans="1:22">
      <c r="A10749" t="str">
        <f t="shared" si="2025"/>
        <v>13/11/2025</v>
      </c>
      <c r="B10749" t="str">
        <f t="shared" si="2026"/>
        <v>SAÍDA</v>
      </c>
      <c r="C10749" t="str">
        <f t="shared" si="2027"/>
        <v>PIX</v>
      </c>
      <c r="D10749" t="str">
        <f>"24811"</f>
        <v>24811</v>
      </c>
      <c r="E10749" t="str">
        <f t="shared" si="2029"/>
        <v>1</v>
      </c>
      <c r="F10749" t="str">
        <f t="shared" si="2031"/>
        <v>COM</v>
      </c>
      <c r="G10749" t="str">
        <f>"ROGÉRIO LAURINDO BORGES (176)"</f>
        <v>ROGÉRIO LAURINDO BORGES (176)</v>
      </c>
      <c r="H10749" t="s">
        <v>2977</v>
      </c>
      <c r="I10749" t="str">
        <f t="shared" si="2028"/>
        <v>13/11/2025</v>
      </c>
      <c r="J10749" t="str">
        <f t="shared" si="2030"/>
        <v>04/11/2025</v>
      </c>
      <c r="K10749">
        <v>45974</v>
      </c>
      <c r="N10749">
        <v>109</v>
      </c>
      <c r="O10749" t="s">
        <v>24</v>
      </c>
      <c r="Q10749">
        <v>1752</v>
      </c>
      <c r="R10749" t="str">
        <f>"FARMÁCIA INDIANA LJ 142 (10066)"</f>
        <v>FARMÁCIA INDIANA LJ 142 (10066)</v>
      </c>
      <c r="S10749" t="s">
        <v>77</v>
      </c>
      <c r="T10749">
        <v>21675</v>
      </c>
      <c r="U10749">
        <v>24811</v>
      </c>
      <c r="V10749" t="s">
        <v>77</v>
      </c>
    </row>
    <row r="10750" spans="1:22">
      <c r="A10750" t="str">
        <f t="shared" si="2025"/>
        <v>13/11/2025</v>
      </c>
      <c r="B10750" t="str">
        <f t="shared" si="2026"/>
        <v>SAÍDA</v>
      </c>
      <c r="C10750" t="str">
        <f t="shared" si="2027"/>
        <v>PIX</v>
      </c>
      <c r="D10750" t="str">
        <f>"24812"</f>
        <v>24812</v>
      </c>
      <c r="E10750" t="str">
        <f t="shared" si="2029"/>
        <v>1</v>
      </c>
      <c r="F10750" t="str">
        <f t="shared" si="2031"/>
        <v>COM</v>
      </c>
      <c r="G10750" t="str">
        <f>"SAMUEL JADSON SANTANA RIBEIRO (55)"</f>
        <v>SAMUEL JADSON SANTANA RIBEIRO (55)</v>
      </c>
      <c r="H10750" t="str">
        <f>"Serv.Prest. 24/10/2025 a 02/11/2025 - PIX: CPF - CHAVE: 701.955.866-62"</f>
        <v>Serv.Prest. 24/10/2025 a 02/11/2025 - PIX: CPF - CHAVE: 701.955.866-62</v>
      </c>
      <c r="I10750" t="str">
        <f t="shared" si="2028"/>
        <v>13/11/2025</v>
      </c>
      <c r="J10750" t="str">
        <f t="shared" si="2030"/>
        <v>04/11/2025</v>
      </c>
      <c r="K10750" t="str">
        <f>("13/11/2025")</f>
        <v>13/11/2025</v>
      </c>
      <c r="L10750">
        <v>1404</v>
      </c>
      <c r="M10750">
        <v>1404</v>
      </c>
      <c r="N10750">
        <v>109</v>
      </c>
      <c r="O10750" t="str">
        <f>"PAGAMENTO DE ENTREGADORES"</f>
        <v>PAGAMENTO DE ENTREGADORES</v>
      </c>
      <c r="P10750">
        <v>1404</v>
      </c>
      <c r="S10750" t="str">
        <f>"BANCO C6 (149)"</f>
        <v>BANCO C6 (149)</v>
      </c>
      <c r="T10750">
        <v>21676</v>
      </c>
      <c r="U10750">
        <v>24812</v>
      </c>
      <c r="V10750" t="s">
        <v>77</v>
      </c>
    </row>
    <row r="10751" spans="1:22">
      <c r="A10751" t="str">
        <f t="shared" si="2025"/>
        <v>13/11/2025</v>
      </c>
      <c r="B10751" t="str">
        <f t="shared" si="2026"/>
        <v>SAÍDA</v>
      </c>
      <c r="C10751" t="str">
        <f t="shared" si="2027"/>
        <v>PIX</v>
      </c>
      <c r="D10751" t="str">
        <f>"24812"</f>
        <v>24812</v>
      </c>
      <c r="E10751" t="str">
        <f t="shared" si="2029"/>
        <v>1</v>
      </c>
      <c r="F10751" t="str">
        <f t="shared" si="2031"/>
        <v>COM</v>
      </c>
      <c r="G10751" t="str">
        <f>"SAMUEL JADSON SANTANA RIBEIRO (55)"</f>
        <v>SAMUEL JADSON SANTANA RIBEIRO (55)</v>
      </c>
      <c r="H10751" t="s">
        <v>2978</v>
      </c>
      <c r="I10751" t="str">
        <f t="shared" si="2028"/>
        <v>13/11/2025</v>
      </c>
      <c r="J10751" t="str">
        <f t="shared" si="2030"/>
        <v>04/11/2025</v>
      </c>
      <c r="K10751">
        <v>45974</v>
      </c>
      <c r="N10751">
        <v>109</v>
      </c>
      <c r="O10751" t="s">
        <v>24</v>
      </c>
      <c r="Q10751">
        <v>1404</v>
      </c>
      <c r="R10751" t="str">
        <f>"FARMÁCIA INDIANA LJ 07 (10007)"</f>
        <v>FARMÁCIA INDIANA LJ 07 (10007)</v>
      </c>
      <c r="S10751" t="s">
        <v>77</v>
      </c>
      <c r="T10751">
        <v>21676</v>
      </c>
      <c r="U10751">
        <v>24812</v>
      </c>
      <c r="V10751" t="s">
        <v>77</v>
      </c>
    </row>
    <row r="10752" spans="1:22">
      <c r="A10752" t="str">
        <f t="shared" si="2025"/>
        <v>13/11/2025</v>
      </c>
      <c r="B10752" t="str">
        <f t="shared" si="2026"/>
        <v>SAÍDA</v>
      </c>
      <c r="C10752" t="str">
        <f t="shared" si="2027"/>
        <v>PIX</v>
      </c>
      <c r="D10752" t="str">
        <f>"24813"</f>
        <v>24813</v>
      </c>
      <c r="E10752" t="str">
        <f t="shared" si="2029"/>
        <v>1</v>
      </c>
      <c r="F10752" t="str">
        <f t="shared" si="2031"/>
        <v>COM</v>
      </c>
      <c r="G10752" t="str">
        <f>"SANRIO OLIVEIRA DO CARMO (579)"</f>
        <v>SANRIO OLIVEIRA DO CARMO (579)</v>
      </c>
      <c r="H10752" t="str">
        <f>"Serv.Prest. 24/10/2025 a 02/11/2025 - PIX: CPF - CHAVE: 118.731.976-75"</f>
        <v>Serv.Prest. 24/10/2025 a 02/11/2025 - PIX: CPF - CHAVE: 118.731.976-75</v>
      </c>
      <c r="I10752" t="str">
        <f t="shared" si="2028"/>
        <v>13/11/2025</v>
      </c>
      <c r="J10752" t="str">
        <f t="shared" si="2030"/>
        <v>04/11/2025</v>
      </c>
      <c r="K10752" t="str">
        <f>("13/11/2025")</f>
        <v>13/11/2025</v>
      </c>
      <c r="L10752">
        <v>1240</v>
      </c>
      <c r="M10752">
        <v>1240</v>
      </c>
      <c r="N10752">
        <v>109</v>
      </c>
      <c r="O10752" t="str">
        <f>"PAGAMENTO DE ENTREGADORES"</f>
        <v>PAGAMENTO DE ENTREGADORES</v>
      </c>
      <c r="P10752">
        <v>1240</v>
      </c>
      <c r="S10752" t="str">
        <f>"BANCO C6 (149)"</f>
        <v>BANCO C6 (149)</v>
      </c>
      <c r="T10752">
        <v>21677</v>
      </c>
      <c r="U10752">
        <v>24813</v>
      </c>
      <c r="V10752" t="s">
        <v>77</v>
      </c>
    </row>
    <row r="10753" spans="1:22">
      <c r="A10753" t="str">
        <f t="shared" si="2025"/>
        <v>13/11/2025</v>
      </c>
      <c r="B10753" t="str">
        <f t="shared" si="2026"/>
        <v>SAÍDA</v>
      </c>
      <c r="C10753" t="str">
        <f t="shared" si="2027"/>
        <v>PIX</v>
      </c>
      <c r="D10753" t="str">
        <f>"24813"</f>
        <v>24813</v>
      </c>
      <c r="E10753" t="str">
        <f t="shared" si="2029"/>
        <v>1</v>
      </c>
      <c r="F10753" t="str">
        <f t="shared" si="2031"/>
        <v>COM</v>
      </c>
      <c r="G10753" t="str">
        <f>"SANRIO OLIVEIRA DO CARMO (579)"</f>
        <v>SANRIO OLIVEIRA DO CARMO (579)</v>
      </c>
      <c r="H10753" t="s">
        <v>2891</v>
      </c>
      <c r="I10753" t="str">
        <f t="shared" si="2028"/>
        <v>13/11/2025</v>
      </c>
      <c r="J10753" t="str">
        <f t="shared" si="2030"/>
        <v>04/11/2025</v>
      </c>
      <c r="K10753">
        <v>45974</v>
      </c>
      <c r="N10753">
        <v>109</v>
      </c>
      <c r="O10753" t="s">
        <v>24</v>
      </c>
      <c r="Q10753">
        <v>1240</v>
      </c>
      <c r="R10753" t="str">
        <f>"FARMÁCIA INDIANA LJ 152 (10069)"</f>
        <v>FARMÁCIA INDIANA LJ 152 (10069)</v>
      </c>
      <c r="S10753" t="s">
        <v>77</v>
      </c>
      <c r="T10753">
        <v>21677</v>
      </c>
      <c r="U10753">
        <v>24813</v>
      </c>
      <c r="V10753" t="s">
        <v>77</v>
      </c>
    </row>
    <row r="10754" spans="1:22">
      <c r="A10754" t="str">
        <f t="shared" si="2025"/>
        <v>13/11/2025</v>
      </c>
      <c r="B10754" t="str">
        <f t="shared" si="2026"/>
        <v>SAÍDA</v>
      </c>
      <c r="C10754" t="str">
        <f t="shared" si="2027"/>
        <v>PIX</v>
      </c>
      <c r="D10754" t="str">
        <f>"24814"</f>
        <v>24814</v>
      </c>
      <c r="E10754" t="str">
        <f t="shared" si="2029"/>
        <v>1</v>
      </c>
      <c r="F10754" t="str">
        <f t="shared" si="2031"/>
        <v>COM</v>
      </c>
      <c r="G10754" t="str">
        <f>"SEDNEY GOMES SOARES (87)"</f>
        <v>SEDNEY GOMES SOARES (87)</v>
      </c>
      <c r="H10754" t="str">
        <f>"Serv.Prest. 24/10/2025 a 02/11/2025 - PIX: CPF - CHAVE: 048.151.276-46"</f>
        <v>Serv.Prest. 24/10/2025 a 02/11/2025 - PIX: CPF - CHAVE: 048.151.276-46</v>
      </c>
      <c r="I10754" t="str">
        <f t="shared" si="2028"/>
        <v>13/11/2025</v>
      </c>
      <c r="J10754" t="str">
        <f t="shared" si="2030"/>
        <v>04/11/2025</v>
      </c>
      <c r="K10754" t="str">
        <f>("13/11/2025")</f>
        <v>13/11/2025</v>
      </c>
      <c r="L10754">
        <v>730</v>
      </c>
      <c r="M10754">
        <v>730</v>
      </c>
      <c r="N10754">
        <v>109</v>
      </c>
      <c r="O10754" t="str">
        <f>"PAGAMENTO DE ENTREGADORES"</f>
        <v>PAGAMENTO DE ENTREGADORES</v>
      </c>
      <c r="P10754">
        <v>730</v>
      </c>
      <c r="S10754" t="str">
        <f>"BANCO C6 (149)"</f>
        <v>BANCO C6 (149)</v>
      </c>
      <c r="T10754">
        <v>21678</v>
      </c>
      <c r="U10754">
        <v>24814</v>
      </c>
      <c r="V10754" t="s">
        <v>77</v>
      </c>
    </row>
    <row r="10755" spans="1:22">
      <c r="A10755" t="str">
        <f t="shared" si="2025"/>
        <v>13/11/2025</v>
      </c>
      <c r="B10755" t="str">
        <f t="shared" si="2026"/>
        <v>SAÍDA</v>
      </c>
      <c r="C10755" t="str">
        <f t="shared" si="2027"/>
        <v>PIX</v>
      </c>
      <c r="D10755" t="str">
        <f>"24814"</f>
        <v>24814</v>
      </c>
      <c r="E10755" t="str">
        <f t="shared" si="2029"/>
        <v>1</v>
      </c>
      <c r="F10755" t="str">
        <f t="shared" si="2031"/>
        <v>COM</v>
      </c>
      <c r="G10755" t="str">
        <f>"SEDNEY GOMES SOARES (87)"</f>
        <v>SEDNEY GOMES SOARES (87)</v>
      </c>
      <c r="H10755" t="s">
        <v>2892</v>
      </c>
      <c r="I10755" t="str">
        <f t="shared" si="2028"/>
        <v>13/11/2025</v>
      </c>
      <c r="J10755" t="str">
        <f t="shared" si="2030"/>
        <v>04/11/2025</v>
      </c>
      <c r="K10755">
        <v>45974</v>
      </c>
      <c r="N10755">
        <v>109</v>
      </c>
      <c r="O10755" t="s">
        <v>24</v>
      </c>
      <c r="Q10755">
        <v>162.19999999999999</v>
      </c>
      <c r="R10755" t="str">
        <f>"FARMÁCIA INDIANA LJ 97 (10040)"</f>
        <v>FARMÁCIA INDIANA LJ 97 (10040)</v>
      </c>
      <c r="S10755" t="s">
        <v>77</v>
      </c>
      <c r="T10755">
        <v>21678</v>
      </c>
      <c r="U10755">
        <v>24814</v>
      </c>
      <c r="V10755" t="s">
        <v>77</v>
      </c>
    </row>
    <row r="10756" spans="1:22">
      <c r="A10756" t="str">
        <f t="shared" si="2025"/>
        <v>13/11/2025</v>
      </c>
      <c r="B10756" t="str">
        <f t="shared" si="2026"/>
        <v>SAÍDA</v>
      </c>
      <c r="C10756" t="str">
        <f t="shared" si="2027"/>
        <v>PIX</v>
      </c>
      <c r="D10756" t="str">
        <f>"24814"</f>
        <v>24814</v>
      </c>
      <c r="E10756" t="str">
        <f t="shared" si="2029"/>
        <v>1</v>
      </c>
      <c r="F10756" t="str">
        <f t="shared" si="2031"/>
        <v>COM</v>
      </c>
      <c r="G10756" t="str">
        <f>"SEDNEY GOMES SOARES (87)"</f>
        <v>SEDNEY GOMES SOARES (87)</v>
      </c>
      <c r="H10756" t="s">
        <v>2892</v>
      </c>
      <c r="I10756" t="str">
        <f t="shared" si="2028"/>
        <v>13/11/2025</v>
      </c>
      <c r="J10756" t="str">
        <f t="shared" si="2030"/>
        <v>04/11/2025</v>
      </c>
      <c r="K10756">
        <v>45974</v>
      </c>
      <c r="N10756">
        <v>109</v>
      </c>
      <c r="O10756" t="s">
        <v>24</v>
      </c>
      <c r="Q10756">
        <v>375.15</v>
      </c>
      <c r="R10756" t="str">
        <f>"FARMÁCIA INDIANA LJ 111 (10049)"</f>
        <v>FARMÁCIA INDIANA LJ 111 (10049)</v>
      </c>
      <c r="S10756" t="s">
        <v>77</v>
      </c>
      <c r="T10756">
        <v>21678</v>
      </c>
      <c r="U10756">
        <v>24814</v>
      </c>
      <c r="V10756" t="s">
        <v>77</v>
      </c>
    </row>
    <row r="10757" spans="1:22">
      <c r="A10757" t="str">
        <f t="shared" si="2025"/>
        <v>13/11/2025</v>
      </c>
      <c r="B10757" t="str">
        <f t="shared" si="2026"/>
        <v>SAÍDA</v>
      </c>
      <c r="C10757" t="str">
        <f t="shared" si="2027"/>
        <v>PIX</v>
      </c>
      <c r="D10757" t="str">
        <f>"24814"</f>
        <v>24814</v>
      </c>
      <c r="E10757" t="str">
        <f t="shared" si="2029"/>
        <v>1</v>
      </c>
      <c r="F10757" t="str">
        <f t="shared" si="2031"/>
        <v>COM</v>
      </c>
      <c r="G10757" t="str">
        <f>"SEDNEY GOMES SOARES (87)"</f>
        <v>SEDNEY GOMES SOARES (87)</v>
      </c>
      <c r="H10757" t="s">
        <v>2892</v>
      </c>
      <c r="I10757" t="str">
        <f t="shared" si="2028"/>
        <v>13/11/2025</v>
      </c>
      <c r="J10757" t="str">
        <f t="shared" si="2030"/>
        <v>04/11/2025</v>
      </c>
      <c r="K10757">
        <v>45974</v>
      </c>
      <c r="N10757">
        <v>109</v>
      </c>
      <c r="O10757" t="s">
        <v>24</v>
      </c>
      <c r="Q10757">
        <v>192.65</v>
      </c>
      <c r="R10757" t="str">
        <f>"FARMÁCIA INDIANA LJ 143 (10067)"</f>
        <v>FARMÁCIA INDIANA LJ 143 (10067)</v>
      </c>
      <c r="S10757" t="s">
        <v>77</v>
      </c>
      <c r="T10757">
        <v>21678</v>
      </c>
      <c r="U10757">
        <v>24814</v>
      </c>
      <c r="V10757" t="s">
        <v>77</v>
      </c>
    </row>
    <row r="10758" spans="1:22">
      <c r="A10758" t="str">
        <f t="shared" si="2025"/>
        <v>13/11/2025</v>
      </c>
      <c r="B10758" t="str">
        <f t="shared" si="2026"/>
        <v>SAÍDA</v>
      </c>
      <c r="C10758" t="str">
        <f t="shared" si="2027"/>
        <v>PIX</v>
      </c>
      <c r="D10758" t="str">
        <f>"24815"</f>
        <v>24815</v>
      </c>
      <c r="E10758" t="str">
        <f t="shared" si="2029"/>
        <v>1</v>
      </c>
      <c r="F10758" t="str">
        <f t="shared" si="2031"/>
        <v>COM</v>
      </c>
      <c r="G10758" t="str">
        <f>"SILAS ALVES DE FREITAS (35)"</f>
        <v>SILAS ALVES DE FREITAS (35)</v>
      </c>
      <c r="H10758" t="str">
        <f>"Serv.Prest. 24/10/2025 a 02/11/2025 - PIX: CPF - CHAVE: 097.855.786-74"</f>
        <v>Serv.Prest. 24/10/2025 a 02/11/2025 - PIX: CPF - CHAVE: 097.855.786-74</v>
      </c>
      <c r="I10758" t="str">
        <f t="shared" si="2028"/>
        <v>13/11/2025</v>
      </c>
      <c r="J10758" t="str">
        <f t="shared" si="2030"/>
        <v>04/11/2025</v>
      </c>
      <c r="K10758" t="str">
        <f>("13/11/2025")</f>
        <v>13/11/2025</v>
      </c>
      <c r="L10758">
        <v>1296</v>
      </c>
      <c r="M10758">
        <v>1296</v>
      </c>
      <c r="N10758">
        <v>109</v>
      </c>
      <c r="O10758" t="str">
        <f>"PAGAMENTO DE ENTREGADORES"</f>
        <v>PAGAMENTO DE ENTREGADORES</v>
      </c>
      <c r="P10758">
        <v>1296</v>
      </c>
      <c r="S10758" t="str">
        <f>"BANCO C6 (149)"</f>
        <v>BANCO C6 (149)</v>
      </c>
      <c r="T10758">
        <v>21679</v>
      </c>
      <c r="U10758">
        <v>24815</v>
      </c>
      <c r="V10758" t="s">
        <v>77</v>
      </c>
    </row>
    <row r="10759" spans="1:22">
      <c r="A10759" t="str">
        <f t="shared" si="2025"/>
        <v>13/11/2025</v>
      </c>
      <c r="B10759" t="str">
        <f t="shared" si="2026"/>
        <v>SAÍDA</v>
      </c>
      <c r="C10759" t="str">
        <f t="shared" si="2027"/>
        <v>PIX</v>
      </c>
      <c r="D10759" t="str">
        <f>"24815"</f>
        <v>24815</v>
      </c>
      <c r="E10759" t="str">
        <f t="shared" si="2029"/>
        <v>1</v>
      </c>
      <c r="F10759" t="str">
        <f t="shared" si="2031"/>
        <v>COM</v>
      </c>
      <c r="G10759" t="str">
        <f>"SILAS ALVES DE FREITAS (35)"</f>
        <v>SILAS ALVES DE FREITAS (35)</v>
      </c>
      <c r="H10759" t="s">
        <v>2979</v>
      </c>
      <c r="I10759" t="str">
        <f t="shared" si="2028"/>
        <v>13/11/2025</v>
      </c>
      <c r="J10759" t="str">
        <f t="shared" si="2030"/>
        <v>04/11/2025</v>
      </c>
      <c r="K10759">
        <v>45974</v>
      </c>
      <c r="N10759">
        <v>109</v>
      </c>
      <c r="O10759" t="s">
        <v>24</v>
      </c>
      <c r="Q10759">
        <v>1296</v>
      </c>
      <c r="R10759" t="str">
        <f>"FARMÁCIA INDIANA LJ 172 (10161)"</f>
        <v>FARMÁCIA INDIANA LJ 172 (10161)</v>
      </c>
      <c r="S10759" t="s">
        <v>77</v>
      </c>
      <c r="T10759">
        <v>21679</v>
      </c>
      <c r="U10759">
        <v>24815</v>
      </c>
      <c r="V10759" t="s">
        <v>77</v>
      </c>
    </row>
    <row r="10760" spans="1:22">
      <c r="A10760" t="str">
        <f t="shared" si="2025"/>
        <v>13/11/2025</v>
      </c>
      <c r="B10760" t="str">
        <f t="shared" si="2026"/>
        <v>SAÍDA</v>
      </c>
      <c r="C10760" t="str">
        <f t="shared" si="2027"/>
        <v>PIX</v>
      </c>
      <c r="D10760" t="str">
        <f>"24816"</f>
        <v>24816</v>
      </c>
      <c r="E10760" t="str">
        <f t="shared" si="2029"/>
        <v>1</v>
      </c>
      <c r="F10760" t="str">
        <f t="shared" si="2031"/>
        <v>COM</v>
      </c>
      <c r="G10760" t="str">
        <f>"TAYSON BARBOSA SILVINO (613)"</f>
        <v>TAYSON BARBOSA SILVINO (613)</v>
      </c>
      <c r="H10760" t="str">
        <f>"Serv.Prest. 24/10/2025 a 02/11/2025 - PIX: CHAVE ALEATÓRIA - CHAVE: 1550e869-c9d7-4436-be93-6858fd0cb900"</f>
        <v>Serv.Prest. 24/10/2025 a 02/11/2025 - PIX: CHAVE ALEATÓRIA - CHAVE: 1550e869-c9d7-4436-be93-6858fd0cb900</v>
      </c>
      <c r="I10760" t="str">
        <f t="shared" si="2028"/>
        <v>13/11/2025</v>
      </c>
      <c r="J10760" t="str">
        <f t="shared" si="2030"/>
        <v>04/11/2025</v>
      </c>
      <c r="K10760" t="str">
        <f>("13/11/2025")</f>
        <v>13/11/2025</v>
      </c>
      <c r="L10760">
        <v>730</v>
      </c>
      <c r="M10760">
        <v>730</v>
      </c>
      <c r="N10760">
        <v>109</v>
      </c>
      <c r="O10760" t="str">
        <f>"PAGAMENTO DE ENTREGADORES"</f>
        <v>PAGAMENTO DE ENTREGADORES</v>
      </c>
      <c r="P10760">
        <v>730</v>
      </c>
      <c r="S10760" t="str">
        <f>"BANCO C6 (149)"</f>
        <v>BANCO C6 (149)</v>
      </c>
      <c r="T10760">
        <v>21680</v>
      </c>
      <c r="U10760">
        <v>24816</v>
      </c>
      <c r="V10760" t="s">
        <v>77</v>
      </c>
    </row>
    <row r="10761" spans="1:22">
      <c r="A10761" t="str">
        <f t="shared" si="2025"/>
        <v>13/11/2025</v>
      </c>
      <c r="B10761" t="str">
        <f t="shared" si="2026"/>
        <v>SAÍDA</v>
      </c>
      <c r="C10761" t="str">
        <f t="shared" si="2027"/>
        <v>PIX</v>
      </c>
      <c r="D10761" t="str">
        <f>"24816"</f>
        <v>24816</v>
      </c>
      <c r="E10761" t="str">
        <f t="shared" si="2029"/>
        <v>1</v>
      </c>
      <c r="F10761" t="str">
        <f t="shared" si="2031"/>
        <v>COM</v>
      </c>
      <c r="G10761" t="str">
        <f>"TAYSON BARBOSA SILVINO (613)"</f>
        <v>TAYSON BARBOSA SILVINO (613)</v>
      </c>
      <c r="H10761" t="s">
        <v>2894</v>
      </c>
      <c r="I10761" t="str">
        <f t="shared" si="2028"/>
        <v>13/11/2025</v>
      </c>
      <c r="J10761" t="str">
        <f t="shared" si="2030"/>
        <v>04/11/2025</v>
      </c>
      <c r="K10761">
        <v>45974</v>
      </c>
      <c r="N10761">
        <v>109</v>
      </c>
      <c r="O10761" t="s">
        <v>24</v>
      </c>
      <c r="Q10761">
        <v>730</v>
      </c>
      <c r="R10761" t="str">
        <f>"FARMÁCIA INDIANA LJ 19 (10012)"</f>
        <v>FARMÁCIA INDIANA LJ 19 (10012)</v>
      </c>
      <c r="S10761" t="s">
        <v>77</v>
      </c>
      <c r="T10761">
        <v>21680</v>
      </c>
      <c r="U10761">
        <v>24816</v>
      </c>
      <c r="V10761" t="s">
        <v>77</v>
      </c>
    </row>
    <row r="10762" spans="1:22">
      <c r="A10762" t="str">
        <f t="shared" si="2025"/>
        <v>13/11/2025</v>
      </c>
      <c r="B10762" t="str">
        <f t="shared" si="2026"/>
        <v>SAÍDA</v>
      </c>
      <c r="C10762" t="str">
        <f t="shared" si="2027"/>
        <v>PIX</v>
      </c>
      <c r="D10762" t="str">
        <f>"24817"</f>
        <v>24817</v>
      </c>
      <c r="E10762" t="str">
        <f t="shared" si="2029"/>
        <v>1</v>
      </c>
      <c r="F10762" t="str">
        <f t="shared" si="2031"/>
        <v>COM</v>
      </c>
      <c r="G10762" t="str">
        <f>"THALES VIANA DOS SANTOS (63)"</f>
        <v>THALES VIANA DOS SANTOS (63)</v>
      </c>
      <c r="H10762" t="str">
        <f>"Serv.Prest. 24/10/2025 a 02/11/2025 - PIX: CELULAR - CHAVE: (33) 99880-7941"</f>
        <v>Serv.Prest. 24/10/2025 a 02/11/2025 - PIX: CELULAR - CHAVE: (33) 99880-7941</v>
      </c>
      <c r="I10762" t="str">
        <f t="shared" si="2028"/>
        <v>13/11/2025</v>
      </c>
      <c r="J10762" t="str">
        <f t="shared" si="2030"/>
        <v>04/11/2025</v>
      </c>
      <c r="K10762" t="str">
        <f>("13/11/2025")</f>
        <v>13/11/2025</v>
      </c>
      <c r="L10762">
        <v>870</v>
      </c>
      <c r="M10762">
        <v>870</v>
      </c>
      <c r="N10762">
        <v>109</v>
      </c>
      <c r="O10762" t="str">
        <f>"PAGAMENTO DE ENTREGADORES"</f>
        <v>PAGAMENTO DE ENTREGADORES</v>
      </c>
      <c r="P10762">
        <v>870</v>
      </c>
      <c r="S10762" t="str">
        <f>"BANCO C6 (149)"</f>
        <v>BANCO C6 (149)</v>
      </c>
      <c r="T10762">
        <v>21681</v>
      </c>
      <c r="U10762">
        <v>24817</v>
      </c>
      <c r="V10762" t="s">
        <v>77</v>
      </c>
    </row>
    <row r="10763" spans="1:22">
      <c r="A10763" t="str">
        <f t="shared" si="2025"/>
        <v>13/11/2025</v>
      </c>
      <c r="B10763" t="str">
        <f t="shared" si="2026"/>
        <v>SAÍDA</v>
      </c>
      <c r="C10763" t="str">
        <f t="shared" si="2027"/>
        <v>PIX</v>
      </c>
      <c r="D10763" t="str">
        <f>"24817"</f>
        <v>24817</v>
      </c>
      <c r="E10763" t="str">
        <f t="shared" si="2029"/>
        <v>1</v>
      </c>
      <c r="F10763" t="str">
        <f t="shared" si="2031"/>
        <v>COM</v>
      </c>
      <c r="G10763" t="str">
        <f>"THALES VIANA DOS SANTOS (63)"</f>
        <v>THALES VIANA DOS SANTOS (63)</v>
      </c>
      <c r="H10763" t="s">
        <v>2980</v>
      </c>
      <c r="I10763" t="str">
        <f t="shared" si="2028"/>
        <v>13/11/2025</v>
      </c>
      <c r="J10763" t="str">
        <f t="shared" si="2030"/>
        <v>04/11/2025</v>
      </c>
      <c r="K10763">
        <v>45974</v>
      </c>
      <c r="N10763">
        <v>109</v>
      </c>
      <c r="O10763" t="s">
        <v>24</v>
      </c>
      <c r="Q10763">
        <v>870</v>
      </c>
      <c r="R10763" t="str">
        <f>"FARMÁCIA INDIANA LJ 07 (10007)"</f>
        <v>FARMÁCIA INDIANA LJ 07 (10007)</v>
      </c>
      <c r="S10763" t="s">
        <v>77</v>
      </c>
      <c r="T10763">
        <v>21681</v>
      </c>
      <c r="U10763">
        <v>24817</v>
      </c>
      <c r="V10763" t="s">
        <v>77</v>
      </c>
    </row>
    <row r="10764" spans="1:22">
      <c r="A10764" t="str">
        <f t="shared" si="2025"/>
        <v>13/11/2025</v>
      </c>
      <c r="B10764" t="str">
        <f t="shared" si="2026"/>
        <v>SAÍDA</v>
      </c>
      <c r="C10764" t="str">
        <f t="shared" si="2027"/>
        <v>PIX</v>
      </c>
      <c r="D10764" t="str">
        <f>"24818"</f>
        <v>24818</v>
      </c>
      <c r="E10764" t="str">
        <f t="shared" si="2029"/>
        <v>1</v>
      </c>
      <c r="F10764" t="str">
        <f t="shared" si="2031"/>
        <v>COM</v>
      </c>
      <c r="G10764" t="str">
        <f>"VICTOR RILLEY CRUZ MESQUITA (1005)"</f>
        <v>VICTOR RILLEY CRUZ MESQUITA (1005)</v>
      </c>
      <c r="H10764" t="str">
        <f>"Serv.Prest. 24/10/2025 a 02/11/2025 - PIX: CELULAR - CHAVE: (33) 99874-5128"</f>
        <v>Serv.Prest. 24/10/2025 a 02/11/2025 - PIX: CELULAR - CHAVE: (33) 99874-5128</v>
      </c>
      <c r="I10764" t="str">
        <f t="shared" si="2028"/>
        <v>13/11/2025</v>
      </c>
      <c r="J10764" t="str">
        <f t="shared" si="2030"/>
        <v>04/11/2025</v>
      </c>
      <c r="K10764" t="str">
        <f>("13/11/2025")</f>
        <v>13/11/2025</v>
      </c>
      <c r="L10764">
        <v>1068</v>
      </c>
      <c r="M10764">
        <v>1068</v>
      </c>
      <c r="N10764">
        <v>109</v>
      </c>
      <c r="O10764" t="str">
        <f>"PAGAMENTO DE ENTREGADORES"</f>
        <v>PAGAMENTO DE ENTREGADORES</v>
      </c>
      <c r="P10764">
        <v>1068</v>
      </c>
      <c r="S10764" t="str">
        <f>"BANCO C6 (149)"</f>
        <v>BANCO C6 (149)</v>
      </c>
      <c r="T10764">
        <v>21682</v>
      </c>
      <c r="U10764">
        <v>24818</v>
      </c>
      <c r="V10764" t="s">
        <v>77</v>
      </c>
    </row>
    <row r="10765" spans="1:22">
      <c r="A10765" t="str">
        <f t="shared" si="2025"/>
        <v>13/11/2025</v>
      </c>
      <c r="B10765" t="str">
        <f t="shared" si="2026"/>
        <v>SAÍDA</v>
      </c>
      <c r="C10765" t="str">
        <f t="shared" si="2027"/>
        <v>PIX</v>
      </c>
      <c r="D10765" t="str">
        <f>"24818"</f>
        <v>24818</v>
      </c>
      <c r="E10765" t="str">
        <f t="shared" si="2029"/>
        <v>1</v>
      </c>
      <c r="F10765" t="str">
        <f t="shared" si="2031"/>
        <v>COM</v>
      </c>
      <c r="G10765" t="str">
        <f>"VICTOR RILLEY CRUZ MESQUITA (1005)"</f>
        <v>VICTOR RILLEY CRUZ MESQUITA (1005)</v>
      </c>
      <c r="H10765" t="s">
        <v>2981</v>
      </c>
      <c r="I10765" t="str">
        <f t="shared" si="2028"/>
        <v>13/11/2025</v>
      </c>
      <c r="J10765" t="str">
        <f t="shared" si="2030"/>
        <v>04/11/2025</v>
      </c>
      <c r="K10765">
        <v>45974</v>
      </c>
      <c r="N10765">
        <v>109</v>
      </c>
      <c r="O10765" t="s">
        <v>24</v>
      </c>
      <c r="Q10765">
        <v>1068</v>
      </c>
      <c r="R10765" t="str">
        <f>"FARMÁCIA INDIANA LJ 07 (10007)"</f>
        <v>FARMÁCIA INDIANA LJ 07 (10007)</v>
      </c>
      <c r="S10765" t="s">
        <v>77</v>
      </c>
      <c r="T10765">
        <v>21682</v>
      </c>
      <c r="U10765">
        <v>24818</v>
      </c>
      <c r="V10765" t="s">
        <v>77</v>
      </c>
    </row>
    <row r="10766" spans="1:22">
      <c r="A10766" t="str">
        <f t="shared" si="2025"/>
        <v>13/11/2025</v>
      </c>
      <c r="B10766" t="str">
        <f t="shared" si="2026"/>
        <v>SAÍDA</v>
      </c>
      <c r="C10766" t="str">
        <f t="shared" si="2027"/>
        <v>PIX</v>
      </c>
      <c r="D10766" t="str">
        <f>"24819"</f>
        <v>24819</v>
      </c>
      <c r="E10766" t="str">
        <f t="shared" si="2029"/>
        <v>1</v>
      </c>
      <c r="F10766" t="str">
        <f t="shared" si="2031"/>
        <v>COM</v>
      </c>
      <c r="G10766" t="str">
        <f>"VINICIUS DE SOUZA ISABEL (658)"</f>
        <v>VINICIUS DE SOUZA ISABEL (658)</v>
      </c>
      <c r="H10766" t="str">
        <f>"Serv.Prest. 24/10/2025 a 02/11/2025 - PIX: CPF - CHAVE: 092.566.416-23"</f>
        <v>Serv.Prest. 24/10/2025 a 02/11/2025 - PIX: CPF - CHAVE: 092.566.416-23</v>
      </c>
      <c r="I10766" t="str">
        <f t="shared" si="2028"/>
        <v>13/11/2025</v>
      </c>
      <c r="J10766" t="str">
        <f t="shared" si="2030"/>
        <v>04/11/2025</v>
      </c>
      <c r="K10766" t="str">
        <f>("13/11/2025")</f>
        <v>13/11/2025</v>
      </c>
      <c r="L10766">
        <v>680</v>
      </c>
      <c r="M10766">
        <v>680</v>
      </c>
      <c r="N10766">
        <v>109</v>
      </c>
      <c r="O10766" t="str">
        <f>"PAGAMENTO DE ENTREGADORES"</f>
        <v>PAGAMENTO DE ENTREGADORES</v>
      </c>
      <c r="P10766">
        <v>680</v>
      </c>
      <c r="S10766" t="str">
        <f>"BANCO C6 (149)"</f>
        <v>BANCO C6 (149)</v>
      </c>
      <c r="T10766">
        <v>21683</v>
      </c>
      <c r="U10766">
        <v>24819</v>
      </c>
      <c r="V10766" t="s">
        <v>77</v>
      </c>
    </row>
    <row r="10767" spans="1:22">
      <c r="A10767" t="str">
        <f t="shared" si="2025"/>
        <v>13/11/2025</v>
      </c>
      <c r="B10767" t="str">
        <f t="shared" si="2026"/>
        <v>SAÍDA</v>
      </c>
      <c r="C10767" t="str">
        <f t="shared" si="2027"/>
        <v>PIX</v>
      </c>
      <c r="D10767" t="str">
        <f>"24819"</f>
        <v>24819</v>
      </c>
      <c r="E10767" t="str">
        <f t="shared" si="2029"/>
        <v>1</v>
      </c>
      <c r="F10767" t="str">
        <f t="shared" si="2031"/>
        <v>COM</v>
      </c>
      <c r="G10767" t="str">
        <f>"VINICIUS DE SOUZA ISABEL (658)"</f>
        <v>VINICIUS DE SOUZA ISABEL (658)</v>
      </c>
      <c r="H10767" t="s">
        <v>2727</v>
      </c>
      <c r="I10767" t="str">
        <f t="shared" si="2028"/>
        <v>13/11/2025</v>
      </c>
      <c r="J10767" t="str">
        <f t="shared" si="2030"/>
        <v>04/11/2025</v>
      </c>
      <c r="K10767">
        <v>45974</v>
      </c>
      <c r="N10767">
        <v>109</v>
      </c>
      <c r="O10767" t="s">
        <v>24</v>
      </c>
      <c r="Q10767">
        <v>680</v>
      </c>
      <c r="R10767" t="str">
        <f>"FARMÁCIA INDIANA LJ 219 (10091)"</f>
        <v>FARMÁCIA INDIANA LJ 219 (10091)</v>
      </c>
      <c r="S10767" t="s">
        <v>77</v>
      </c>
      <c r="T10767">
        <v>21683</v>
      </c>
      <c r="U10767">
        <v>24819</v>
      </c>
      <c r="V10767" t="s">
        <v>77</v>
      </c>
    </row>
    <row r="10768" spans="1:22">
      <c r="A10768" t="str">
        <f t="shared" si="2025"/>
        <v>13/11/2025</v>
      </c>
      <c r="B10768" t="str">
        <f t="shared" si="2026"/>
        <v>SAÍDA</v>
      </c>
      <c r="C10768" t="str">
        <f t="shared" si="2027"/>
        <v>PIX</v>
      </c>
      <c r="D10768" t="str">
        <f>"24820"</f>
        <v>24820</v>
      </c>
      <c r="E10768" t="str">
        <f t="shared" si="2029"/>
        <v>1</v>
      </c>
      <c r="F10768" t="str">
        <f t="shared" si="2031"/>
        <v>COM</v>
      </c>
      <c r="G10768" t="str">
        <f>"VITOR CARDOSO FAUSTINO (257)"</f>
        <v>VITOR CARDOSO FAUSTINO (257)</v>
      </c>
      <c r="H10768" t="str">
        <f>"Serv.Prest. 24/10/2025 a 02/11/2025 - PIX: CPF - CHAVE: 157.874.046-02"</f>
        <v>Serv.Prest. 24/10/2025 a 02/11/2025 - PIX: CPF - CHAVE: 157.874.046-02</v>
      </c>
      <c r="I10768" t="str">
        <f t="shared" si="2028"/>
        <v>13/11/2025</v>
      </c>
      <c r="J10768" t="str">
        <f t="shared" si="2030"/>
        <v>04/11/2025</v>
      </c>
      <c r="K10768" t="str">
        <f>("13/11/2025")</f>
        <v>13/11/2025</v>
      </c>
      <c r="L10768">
        <v>1132</v>
      </c>
      <c r="M10768">
        <v>1132</v>
      </c>
      <c r="N10768">
        <v>109</v>
      </c>
      <c r="O10768" t="str">
        <f>"PAGAMENTO DE ENTREGADORES"</f>
        <v>PAGAMENTO DE ENTREGADORES</v>
      </c>
      <c r="P10768">
        <v>1132</v>
      </c>
      <c r="S10768" t="str">
        <f>"BANCO C6 (149)"</f>
        <v>BANCO C6 (149)</v>
      </c>
      <c r="T10768">
        <v>21684</v>
      </c>
      <c r="U10768">
        <v>24820</v>
      </c>
      <c r="V10768" t="s">
        <v>77</v>
      </c>
    </row>
    <row r="10769" spans="1:22">
      <c r="A10769" t="str">
        <f t="shared" si="2025"/>
        <v>13/11/2025</v>
      </c>
      <c r="B10769" t="str">
        <f t="shared" si="2026"/>
        <v>SAÍDA</v>
      </c>
      <c r="C10769" t="str">
        <f t="shared" si="2027"/>
        <v>PIX</v>
      </c>
      <c r="D10769" t="str">
        <f>"24820"</f>
        <v>24820</v>
      </c>
      <c r="E10769" t="str">
        <f t="shared" si="2029"/>
        <v>1</v>
      </c>
      <c r="F10769" t="str">
        <f t="shared" si="2031"/>
        <v>COM</v>
      </c>
      <c r="G10769" t="str">
        <f>"VITOR CARDOSO FAUSTINO (257)"</f>
        <v>VITOR CARDOSO FAUSTINO (257)</v>
      </c>
      <c r="H10769" t="s">
        <v>2899</v>
      </c>
      <c r="I10769" t="str">
        <f t="shared" si="2028"/>
        <v>13/11/2025</v>
      </c>
      <c r="J10769" t="str">
        <f t="shared" si="2030"/>
        <v>04/11/2025</v>
      </c>
      <c r="K10769">
        <v>45974</v>
      </c>
      <c r="N10769">
        <v>109</v>
      </c>
      <c r="O10769" t="s">
        <v>24</v>
      </c>
      <c r="Q10769">
        <v>1132</v>
      </c>
      <c r="R10769" t="str">
        <f>"FARMÁCIA INDIANA LJ 07 (10007)"</f>
        <v>FARMÁCIA INDIANA LJ 07 (10007)</v>
      </c>
      <c r="S10769" t="s">
        <v>77</v>
      </c>
      <c r="T10769">
        <v>21684</v>
      </c>
      <c r="U10769">
        <v>24820</v>
      </c>
      <c r="V10769" t="s">
        <v>77</v>
      </c>
    </row>
    <row r="10770" spans="1:22">
      <c r="A10770" t="str">
        <f t="shared" si="2025"/>
        <v>13/11/2025</v>
      </c>
      <c r="B10770" t="str">
        <f t="shared" si="2026"/>
        <v>SAÍDA</v>
      </c>
      <c r="C10770" t="str">
        <f t="shared" si="2027"/>
        <v>PIX</v>
      </c>
      <c r="D10770" t="str">
        <f>"24821"</f>
        <v>24821</v>
      </c>
      <c r="E10770" t="str">
        <f t="shared" si="2029"/>
        <v>1</v>
      </c>
      <c r="F10770" t="str">
        <f t="shared" si="2031"/>
        <v>COM</v>
      </c>
      <c r="G10770" t="str">
        <f>"VITOR DE SOUZA SILVA (360)"</f>
        <v>VITOR DE SOUZA SILVA (360)</v>
      </c>
      <c r="H10770" t="str">
        <f>"Serv.Prest. 24/10/2025 a 02/11/2025 - PIX: CPF - CHAVE: 130.194.566-81"</f>
        <v>Serv.Prest. 24/10/2025 a 02/11/2025 - PIX: CPF - CHAVE: 130.194.566-81</v>
      </c>
      <c r="I10770" t="str">
        <f t="shared" si="2028"/>
        <v>13/11/2025</v>
      </c>
      <c r="J10770" t="str">
        <f t="shared" si="2030"/>
        <v>04/11/2025</v>
      </c>
      <c r="K10770" t="str">
        <f>("13/11/2025")</f>
        <v>13/11/2025</v>
      </c>
      <c r="L10770">
        <v>680.8</v>
      </c>
      <c r="M10770">
        <v>680.8</v>
      </c>
      <c r="N10770">
        <v>109</v>
      </c>
      <c r="O10770" t="str">
        <f>"PAGAMENTO DE ENTREGADORES"</f>
        <v>PAGAMENTO DE ENTREGADORES</v>
      </c>
      <c r="P10770">
        <v>680.8</v>
      </c>
      <c r="S10770" t="str">
        <f>"BANCO C6 (149)"</f>
        <v>BANCO C6 (149)</v>
      </c>
      <c r="T10770">
        <v>21685</v>
      </c>
      <c r="U10770">
        <v>24821</v>
      </c>
      <c r="V10770" t="s">
        <v>77</v>
      </c>
    </row>
    <row r="10771" spans="1:22">
      <c r="A10771" t="str">
        <f t="shared" si="2025"/>
        <v>13/11/2025</v>
      </c>
      <c r="B10771" t="str">
        <f t="shared" si="2026"/>
        <v>SAÍDA</v>
      </c>
      <c r="C10771" t="str">
        <f t="shared" si="2027"/>
        <v>PIX</v>
      </c>
      <c r="D10771" t="str">
        <f>"24821"</f>
        <v>24821</v>
      </c>
      <c r="E10771" t="str">
        <f t="shared" si="2029"/>
        <v>1</v>
      </c>
      <c r="F10771" t="str">
        <f t="shared" si="2031"/>
        <v>COM</v>
      </c>
      <c r="G10771" t="str">
        <f>"VITOR DE SOUZA SILVA (360)"</f>
        <v>VITOR DE SOUZA SILVA (360)</v>
      </c>
      <c r="H10771" t="s">
        <v>2900</v>
      </c>
      <c r="I10771" t="str">
        <f t="shared" si="2028"/>
        <v>13/11/2025</v>
      </c>
      <c r="J10771" t="str">
        <f t="shared" si="2030"/>
        <v>04/11/2025</v>
      </c>
      <c r="K10771">
        <v>45974</v>
      </c>
      <c r="N10771">
        <v>109</v>
      </c>
      <c r="O10771" t="s">
        <v>24</v>
      </c>
      <c r="Q10771">
        <v>13.34</v>
      </c>
      <c r="R10771" t="str">
        <f>"FARMÁCIA INDIANA LJ 116 (10051)"</f>
        <v>FARMÁCIA INDIANA LJ 116 (10051)</v>
      </c>
      <c r="S10771" t="s">
        <v>77</v>
      </c>
      <c r="T10771">
        <v>21685</v>
      </c>
      <c r="U10771">
        <v>24821</v>
      </c>
      <c r="V10771" t="s">
        <v>77</v>
      </c>
    </row>
    <row r="10772" spans="1:22">
      <c r="A10772" t="str">
        <f t="shared" si="2025"/>
        <v>13/11/2025</v>
      </c>
      <c r="B10772" t="str">
        <f t="shared" si="2026"/>
        <v>SAÍDA</v>
      </c>
      <c r="C10772" t="str">
        <f t="shared" si="2027"/>
        <v>PIX</v>
      </c>
      <c r="D10772" t="str">
        <f>"24821"</f>
        <v>24821</v>
      </c>
      <c r="E10772" t="str">
        <f t="shared" si="2029"/>
        <v>1</v>
      </c>
      <c r="F10772" t="str">
        <f t="shared" si="2031"/>
        <v>COM</v>
      </c>
      <c r="G10772" t="str">
        <f>"VITOR DE SOUZA SILVA (360)"</f>
        <v>VITOR DE SOUZA SILVA (360)</v>
      </c>
      <c r="H10772" t="s">
        <v>2900</v>
      </c>
      <c r="I10772" t="str">
        <f t="shared" si="2028"/>
        <v>13/11/2025</v>
      </c>
      <c r="J10772" t="str">
        <f t="shared" si="2030"/>
        <v>04/11/2025</v>
      </c>
      <c r="K10772">
        <v>45974</v>
      </c>
      <c r="N10772">
        <v>109</v>
      </c>
      <c r="O10772" t="s">
        <v>24</v>
      </c>
      <c r="Q10772">
        <v>106.82</v>
      </c>
      <c r="R10772" t="str">
        <f>"FARMÁCIA INDIANA LJ 121 (10054)"</f>
        <v>FARMÁCIA INDIANA LJ 121 (10054)</v>
      </c>
      <c r="S10772" t="s">
        <v>77</v>
      </c>
      <c r="T10772">
        <v>21685</v>
      </c>
      <c r="U10772">
        <v>24821</v>
      </c>
      <c r="V10772" t="s">
        <v>77</v>
      </c>
    </row>
    <row r="10773" spans="1:22">
      <c r="A10773" t="str">
        <f t="shared" si="2025"/>
        <v>13/11/2025</v>
      </c>
      <c r="B10773" t="str">
        <f t="shared" si="2026"/>
        <v>SAÍDA</v>
      </c>
      <c r="C10773" t="str">
        <f t="shared" si="2027"/>
        <v>PIX</v>
      </c>
      <c r="D10773" t="str">
        <f>"24821"</f>
        <v>24821</v>
      </c>
      <c r="E10773" t="str">
        <f t="shared" si="2029"/>
        <v>1</v>
      </c>
      <c r="F10773" t="str">
        <f t="shared" si="2031"/>
        <v>COM</v>
      </c>
      <c r="G10773" t="str">
        <f>"VITOR DE SOUZA SILVA (360)"</f>
        <v>VITOR DE SOUZA SILVA (360)</v>
      </c>
      <c r="H10773" t="s">
        <v>2900</v>
      </c>
      <c r="I10773" t="str">
        <f t="shared" si="2028"/>
        <v>13/11/2025</v>
      </c>
      <c r="J10773" t="str">
        <f t="shared" si="2030"/>
        <v>04/11/2025</v>
      </c>
      <c r="K10773">
        <v>45974</v>
      </c>
      <c r="N10773">
        <v>109</v>
      </c>
      <c r="O10773" t="s">
        <v>24</v>
      </c>
      <c r="Q10773">
        <v>560.64</v>
      </c>
      <c r="R10773" t="str">
        <f>"FARMÁCIA INDIANA LJ 128 (10057)"</f>
        <v>FARMÁCIA INDIANA LJ 128 (10057)</v>
      </c>
      <c r="S10773" t="s">
        <v>77</v>
      </c>
      <c r="T10773">
        <v>21685</v>
      </c>
      <c r="U10773">
        <v>24821</v>
      </c>
      <c r="V10773" t="s">
        <v>77</v>
      </c>
    </row>
    <row r="10774" spans="1:22">
      <c r="A10774" t="str">
        <f t="shared" si="2025"/>
        <v>13/11/2025</v>
      </c>
      <c r="B10774" t="str">
        <f t="shared" si="2026"/>
        <v>SAÍDA</v>
      </c>
      <c r="C10774" t="str">
        <f t="shared" si="2027"/>
        <v>PIX</v>
      </c>
      <c r="D10774" t="str">
        <f>"24822"</f>
        <v>24822</v>
      </c>
      <c r="E10774" t="str">
        <f t="shared" si="2029"/>
        <v>1</v>
      </c>
      <c r="F10774" t="str">
        <f t="shared" si="2031"/>
        <v>COM</v>
      </c>
      <c r="G10774" t="str">
        <f>"WAGNER DOS SANTOS LIMA (31)"</f>
        <v>WAGNER DOS SANTOS LIMA (31)</v>
      </c>
      <c r="H10774" t="str">
        <f>"Serv.Prest. 24/10/2025 a 02/11/2025 - PIX: CELULAR - CHAVE: (33) 99118-9032"</f>
        <v>Serv.Prest. 24/10/2025 a 02/11/2025 - PIX: CELULAR - CHAVE: (33) 99118-9032</v>
      </c>
      <c r="I10774" t="str">
        <f t="shared" si="2028"/>
        <v>13/11/2025</v>
      </c>
      <c r="J10774" t="str">
        <f t="shared" si="2030"/>
        <v>04/11/2025</v>
      </c>
      <c r="K10774" t="str">
        <f>("13/11/2025")</f>
        <v>13/11/2025</v>
      </c>
      <c r="L10774">
        <v>1485</v>
      </c>
      <c r="M10774">
        <v>1485</v>
      </c>
      <c r="N10774">
        <v>109</v>
      </c>
      <c r="O10774" t="str">
        <f>"PAGAMENTO DE ENTREGADORES"</f>
        <v>PAGAMENTO DE ENTREGADORES</v>
      </c>
      <c r="P10774">
        <v>1485</v>
      </c>
      <c r="S10774" t="str">
        <f>"BANCO C6 (149)"</f>
        <v>BANCO C6 (149)</v>
      </c>
      <c r="T10774">
        <v>21686</v>
      </c>
      <c r="U10774">
        <v>24822</v>
      </c>
      <c r="V10774" t="s">
        <v>77</v>
      </c>
    </row>
    <row r="10775" spans="1:22">
      <c r="A10775" t="str">
        <f t="shared" si="2025"/>
        <v>13/11/2025</v>
      </c>
      <c r="B10775" t="str">
        <f t="shared" si="2026"/>
        <v>SAÍDA</v>
      </c>
      <c r="C10775" t="str">
        <f t="shared" si="2027"/>
        <v>PIX</v>
      </c>
      <c r="D10775" t="str">
        <f>"24822"</f>
        <v>24822</v>
      </c>
      <c r="E10775" t="str">
        <f t="shared" si="2029"/>
        <v>1</v>
      </c>
      <c r="F10775" t="str">
        <f t="shared" si="2031"/>
        <v>COM</v>
      </c>
      <c r="G10775" t="str">
        <f>"WAGNER DOS SANTOS LIMA (31)"</f>
        <v>WAGNER DOS SANTOS LIMA (31)</v>
      </c>
      <c r="H10775" t="s">
        <v>2982</v>
      </c>
      <c r="I10775" t="str">
        <f t="shared" si="2028"/>
        <v>13/11/2025</v>
      </c>
      <c r="J10775" t="str">
        <f t="shared" si="2030"/>
        <v>04/11/2025</v>
      </c>
      <c r="K10775">
        <v>45974</v>
      </c>
      <c r="N10775">
        <v>109</v>
      </c>
      <c r="O10775" t="s">
        <v>24</v>
      </c>
      <c r="Q10775">
        <v>1485</v>
      </c>
      <c r="R10775" t="str">
        <f>"FARMÁCIA INDIANA LJ 61 (10027)"</f>
        <v>FARMÁCIA INDIANA LJ 61 (10027)</v>
      </c>
      <c r="S10775" t="s">
        <v>77</v>
      </c>
      <c r="T10775">
        <v>21686</v>
      </c>
      <c r="U10775">
        <v>24822</v>
      </c>
      <c r="V10775" t="s">
        <v>77</v>
      </c>
    </row>
    <row r="10776" spans="1:22">
      <c r="A10776" t="str">
        <f t="shared" si="2025"/>
        <v>13/11/2025</v>
      </c>
      <c r="B10776" t="str">
        <f t="shared" si="2026"/>
        <v>SAÍDA</v>
      </c>
      <c r="C10776" t="str">
        <f t="shared" si="2027"/>
        <v>PIX</v>
      </c>
      <c r="D10776" t="str">
        <f>"24824"</f>
        <v>24824</v>
      </c>
      <c r="E10776" t="str">
        <f t="shared" si="2029"/>
        <v>1</v>
      </c>
      <c r="F10776" t="str">
        <f t="shared" si="2031"/>
        <v>COM</v>
      </c>
      <c r="G10776" t="str">
        <f>"WARLEN JUNIO ELIAS DE OLIVEIRA (171)"</f>
        <v>WARLEN JUNIO ELIAS DE OLIVEIRA (171)</v>
      </c>
      <c r="H10776" t="str">
        <f>"Serv.Prest. 24/10/2025 a 02/11/2025 - PIX: CELULAR - CHAVE: (31) 97251-6838"</f>
        <v>Serv.Prest. 24/10/2025 a 02/11/2025 - PIX: CELULAR - CHAVE: (31) 97251-6838</v>
      </c>
      <c r="I10776" t="str">
        <f t="shared" si="2028"/>
        <v>13/11/2025</v>
      </c>
      <c r="J10776" t="str">
        <f t="shared" si="2030"/>
        <v>04/11/2025</v>
      </c>
      <c r="K10776" t="str">
        <f>("13/11/2025")</f>
        <v>13/11/2025</v>
      </c>
      <c r="L10776">
        <v>555</v>
      </c>
      <c r="M10776">
        <v>555</v>
      </c>
      <c r="N10776">
        <v>109</v>
      </c>
      <c r="O10776" t="str">
        <f>"PAGAMENTO DE ENTREGADORES"</f>
        <v>PAGAMENTO DE ENTREGADORES</v>
      </c>
      <c r="P10776">
        <v>555</v>
      </c>
      <c r="S10776" t="str">
        <f>"BANCO C6 (149)"</f>
        <v>BANCO C6 (149)</v>
      </c>
      <c r="T10776">
        <v>21687</v>
      </c>
      <c r="U10776">
        <v>24824</v>
      </c>
      <c r="V10776" t="s">
        <v>77</v>
      </c>
    </row>
    <row r="10777" spans="1:22">
      <c r="A10777" t="str">
        <f t="shared" si="2025"/>
        <v>13/11/2025</v>
      </c>
      <c r="B10777" t="str">
        <f t="shared" si="2026"/>
        <v>SAÍDA</v>
      </c>
      <c r="C10777" t="str">
        <f t="shared" si="2027"/>
        <v>PIX</v>
      </c>
      <c r="D10777" t="str">
        <f>"24824"</f>
        <v>24824</v>
      </c>
      <c r="E10777" t="str">
        <f t="shared" si="2029"/>
        <v>1</v>
      </c>
      <c r="F10777" t="str">
        <f t="shared" si="2031"/>
        <v>COM</v>
      </c>
      <c r="G10777" t="str">
        <f>"WARLEN JUNIO ELIAS DE OLIVEIRA (171)"</f>
        <v>WARLEN JUNIO ELIAS DE OLIVEIRA (171)</v>
      </c>
      <c r="H10777" t="s">
        <v>2901</v>
      </c>
      <c r="I10777" t="str">
        <f t="shared" si="2028"/>
        <v>13/11/2025</v>
      </c>
      <c r="J10777" t="str">
        <f t="shared" si="2030"/>
        <v>04/11/2025</v>
      </c>
      <c r="K10777">
        <v>45974</v>
      </c>
      <c r="N10777">
        <v>109</v>
      </c>
      <c r="O10777" t="s">
        <v>24</v>
      </c>
      <c r="Q10777">
        <v>555</v>
      </c>
      <c r="R10777" t="str">
        <f>"FARMÁCIA INDIANA LJ 175 (10076)"</f>
        <v>FARMÁCIA INDIANA LJ 175 (10076)</v>
      </c>
      <c r="S10777" t="s">
        <v>77</v>
      </c>
      <c r="T10777">
        <v>21687</v>
      </c>
      <c r="U10777">
        <v>24824</v>
      </c>
      <c r="V10777" t="s">
        <v>77</v>
      </c>
    </row>
    <row r="10778" spans="1:22">
      <c r="A10778" t="str">
        <f t="shared" si="2025"/>
        <v>13/11/2025</v>
      </c>
      <c r="B10778" t="str">
        <f t="shared" si="2026"/>
        <v>SAÍDA</v>
      </c>
      <c r="C10778" t="str">
        <f t="shared" si="2027"/>
        <v>PIX</v>
      </c>
      <c r="D10778" t="str">
        <f>"24826"</f>
        <v>24826</v>
      </c>
      <c r="E10778" t="str">
        <f t="shared" si="2029"/>
        <v>1</v>
      </c>
      <c r="F10778" t="str">
        <f t="shared" si="2031"/>
        <v>COM</v>
      </c>
      <c r="G10778" t="str">
        <f>"WELLINGTON DOS SANTOS ALVES (438)"</f>
        <v>WELLINGTON DOS SANTOS ALVES (438)</v>
      </c>
      <c r="H10778" t="str">
        <f>"Serv.Prest. 24/10/2025 a 02/11/2025 - PIX: CELULAR - CHAVE: (32) 99800-1691"</f>
        <v>Serv.Prest. 24/10/2025 a 02/11/2025 - PIX: CELULAR - CHAVE: (32) 99800-1691</v>
      </c>
      <c r="I10778" t="str">
        <f t="shared" si="2028"/>
        <v>13/11/2025</v>
      </c>
      <c r="J10778" t="str">
        <f t="shared" si="2030"/>
        <v>04/11/2025</v>
      </c>
      <c r="K10778" t="str">
        <f>("13/11/2025")</f>
        <v>13/11/2025</v>
      </c>
      <c r="L10778">
        <v>680.8</v>
      </c>
      <c r="M10778">
        <v>680.8</v>
      </c>
      <c r="N10778">
        <v>109</v>
      </c>
      <c r="O10778" t="str">
        <f>"PAGAMENTO DE ENTREGADORES"</f>
        <v>PAGAMENTO DE ENTREGADORES</v>
      </c>
      <c r="P10778">
        <v>680.8</v>
      </c>
      <c r="S10778" t="str">
        <f>"BANCO C6 (149)"</f>
        <v>BANCO C6 (149)</v>
      </c>
      <c r="T10778">
        <v>21688</v>
      </c>
      <c r="U10778">
        <v>24826</v>
      </c>
      <c r="V10778" t="s">
        <v>77</v>
      </c>
    </row>
    <row r="10779" spans="1:22">
      <c r="A10779" t="str">
        <f t="shared" si="2025"/>
        <v>13/11/2025</v>
      </c>
      <c r="B10779" t="str">
        <f t="shared" si="2026"/>
        <v>SAÍDA</v>
      </c>
      <c r="C10779" t="str">
        <f t="shared" si="2027"/>
        <v>PIX</v>
      </c>
      <c r="D10779" t="str">
        <f>"24826"</f>
        <v>24826</v>
      </c>
      <c r="E10779" t="str">
        <f t="shared" si="2029"/>
        <v>1</v>
      </c>
      <c r="F10779" t="str">
        <f t="shared" si="2031"/>
        <v>COM</v>
      </c>
      <c r="G10779" t="str">
        <f>"WELLINGTON DOS SANTOS ALVES (438)"</f>
        <v>WELLINGTON DOS SANTOS ALVES (438)</v>
      </c>
      <c r="H10779" t="s">
        <v>2902</v>
      </c>
      <c r="I10779" t="str">
        <f t="shared" si="2028"/>
        <v>13/11/2025</v>
      </c>
      <c r="J10779" t="str">
        <f t="shared" si="2030"/>
        <v>04/11/2025</v>
      </c>
      <c r="K10779">
        <v>45974</v>
      </c>
      <c r="N10779">
        <v>109</v>
      </c>
      <c r="O10779" t="s">
        <v>24</v>
      </c>
      <c r="Q10779">
        <v>334.34</v>
      </c>
      <c r="R10779" t="str">
        <f>"FARMÁCIA INDIANA LJ 112 (10050)"</f>
        <v>FARMÁCIA INDIANA LJ 112 (10050)</v>
      </c>
      <c r="S10779" t="s">
        <v>77</v>
      </c>
      <c r="T10779">
        <v>21688</v>
      </c>
      <c r="U10779">
        <v>24826</v>
      </c>
      <c r="V10779" t="s">
        <v>77</v>
      </c>
    </row>
    <row r="10780" spans="1:22">
      <c r="A10780" t="str">
        <f t="shared" si="2025"/>
        <v>13/11/2025</v>
      </c>
      <c r="B10780" t="str">
        <f t="shared" si="2026"/>
        <v>SAÍDA</v>
      </c>
      <c r="C10780" t="str">
        <f t="shared" si="2027"/>
        <v>PIX</v>
      </c>
      <c r="D10780" t="str">
        <f>"24826"</f>
        <v>24826</v>
      </c>
      <c r="E10780" t="str">
        <f t="shared" si="2029"/>
        <v>1</v>
      </c>
      <c r="F10780" t="str">
        <f t="shared" si="2031"/>
        <v>COM</v>
      </c>
      <c r="G10780" t="str">
        <f>"WELLINGTON DOS SANTOS ALVES (438)"</f>
        <v>WELLINGTON DOS SANTOS ALVES (438)</v>
      </c>
      <c r="H10780" t="s">
        <v>2902</v>
      </c>
      <c r="I10780" t="str">
        <f t="shared" si="2028"/>
        <v>13/11/2025</v>
      </c>
      <c r="J10780" t="str">
        <f t="shared" si="2030"/>
        <v>04/11/2025</v>
      </c>
      <c r="K10780">
        <v>45974</v>
      </c>
      <c r="N10780">
        <v>109</v>
      </c>
      <c r="O10780" t="s">
        <v>24</v>
      </c>
      <c r="Q10780">
        <v>18.25</v>
      </c>
      <c r="R10780" t="str">
        <f>"FARMÁCIA INDIANA LJ 121 (10054)"</f>
        <v>FARMÁCIA INDIANA LJ 121 (10054)</v>
      </c>
      <c r="S10780" t="s">
        <v>77</v>
      </c>
      <c r="T10780">
        <v>21688</v>
      </c>
      <c r="U10780">
        <v>24826</v>
      </c>
      <c r="V10780" t="s">
        <v>77</v>
      </c>
    </row>
    <row r="10781" spans="1:22">
      <c r="A10781" t="str">
        <f t="shared" si="2025"/>
        <v>13/11/2025</v>
      </c>
      <c r="B10781" t="str">
        <f t="shared" si="2026"/>
        <v>SAÍDA</v>
      </c>
      <c r="C10781" t="str">
        <f t="shared" si="2027"/>
        <v>PIX</v>
      </c>
      <c r="D10781" t="str">
        <f>"24826"</f>
        <v>24826</v>
      </c>
      <c r="E10781" t="str">
        <f t="shared" si="2029"/>
        <v>1</v>
      </c>
      <c r="F10781" t="str">
        <f t="shared" si="2031"/>
        <v>COM</v>
      </c>
      <c r="G10781" t="str">
        <f>"WELLINGTON DOS SANTOS ALVES (438)"</f>
        <v>WELLINGTON DOS SANTOS ALVES (438)</v>
      </c>
      <c r="H10781" t="s">
        <v>2902</v>
      </c>
      <c r="I10781" t="str">
        <f t="shared" si="2028"/>
        <v>13/11/2025</v>
      </c>
      <c r="J10781" t="str">
        <f t="shared" si="2030"/>
        <v>04/11/2025</v>
      </c>
      <c r="K10781">
        <v>45974</v>
      </c>
      <c r="N10781">
        <v>109</v>
      </c>
      <c r="O10781" t="s">
        <v>24</v>
      </c>
      <c r="Q10781">
        <v>328.21</v>
      </c>
      <c r="R10781" t="str">
        <f>"FARMÁCIA INDIANA LJ 128 (10057)"</f>
        <v>FARMÁCIA INDIANA LJ 128 (10057)</v>
      </c>
      <c r="S10781" t="s">
        <v>77</v>
      </c>
      <c r="T10781">
        <v>21688</v>
      </c>
      <c r="U10781">
        <v>24826</v>
      </c>
      <c r="V10781" t="s">
        <v>77</v>
      </c>
    </row>
    <row r="10782" spans="1:22">
      <c r="A10782" t="str">
        <f t="shared" si="2025"/>
        <v>13/11/2025</v>
      </c>
      <c r="B10782" t="str">
        <f t="shared" si="2026"/>
        <v>SAÍDA</v>
      </c>
      <c r="C10782" t="str">
        <f t="shared" si="2027"/>
        <v>PIX</v>
      </c>
      <c r="D10782" t="str">
        <f>"24827"</f>
        <v>24827</v>
      </c>
      <c r="E10782" t="str">
        <f t="shared" si="2029"/>
        <v>1</v>
      </c>
      <c r="F10782" t="str">
        <f t="shared" si="2031"/>
        <v>COM</v>
      </c>
      <c r="G10782" t="str">
        <f>"WELVES DA SILVA RAMOS (194)"</f>
        <v>WELVES DA SILVA RAMOS (194)</v>
      </c>
      <c r="H10782" t="str">
        <f>"Serv.Prest. 24/10/2025 a 02/11/2025 - PIX: CPF - CHAVE: 700.454.836-80"</f>
        <v>Serv.Prest. 24/10/2025 a 02/11/2025 - PIX: CPF - CHAVE: 700.454.836-80</v>
      </c>
      <c r="I10782" t="str">
        <f t="shared" si="2028"/>
        <v>13/11/2025</v>
      </c>
      <c r="J10782" t="str">
        <f t="shared" si="2030"/>
        <v>04/11/2025</v>
      </c>
      <c r="K10782" t="str">
        <f>("13/11/2025")</f>
        <v>13/11/2025</v>
      </c>
      <c r="L10782">
        <v>1440</v>
      </c>
      <c r="M10782">
        <v>1440</v>
      </c>
      <c r="N10782">
        <v>109</v>
      </c>
      <c r="O10782" t="str">
        <f>"PAGAMENTO DE ENTREGADORES"</f>
        <v>PAGAMENTO DE ENTREGADORES</v>
      </c>
      <c r="P10782">
        <v>1440</v>
      </c>
      <c r="S10782" t="str">
        <f>"BANCO C6 (149)"</f>
        <v>BANCO C6 (149)</v>
      </c>
      <c r="T10782">
        <v>21689</v>
      </c>
      <c r="U10782">
        <v>24827</v>
      </c>
      <c r="V10782" t="s">
        <v>77</v>
      </c>
    </row>
    <row r="10783" spans="1:22">
      <c r="A10783" t="str">
        <f t="shared" ref="A10783:A10846" si="2032">("13/11/2025")</f>
        <v>13/11/2025</v>
      </c>
      <c r="B10783" t="str">
        <f t="shared" si="2026"/>
        <v>SAÍDA</v>
      </c>
      <c r="C10783" t="str">
        <f t="shared" si="2027"/>
        <v>PIX</v>
      </c>
      <c r="D10783" t="str">
        <f>"24827"</f>
        <v>24827</v>
      </c>
      <c r="E10783" t="str">
        <f t="shared" si="2029"/>
        <v>1</v>
      </c>
      <c r="F10783" t="str">
        <f t="shared" si="2031"/>
        <v>COM</v>
      </c>
      <c r="G10783" t="str">
        <f>"WELVES DA SILVA RAMOS (194)"</f>
        <v>WELVES DA SILVA RAMOS (194)</v>
      </c>
      <c r="H10783" t="s">
        <v>2983</v>
      </c>
      <c r="I10783" t="str">
        <f t="shared" si="2028"/>
        <v>13/11/2025</v>
      </c>
      <c r="J10783" t="str">
        <f t="shared" si="2030"/>
        <v>04/11/2025</v>
      </c>
      <c r="K10783">
        <v>45974</v>
      </c>
      <c r="N10783">
        <v>109</v>
      </c>
      <c r="O10783" t="s">
        <v>24</v>
      </c>
      <c r="Q10783">
        <v>1440</v>
      </c>
      <c r="R10783" t="str">
        <f>"FARMÁCIA INDIANA LJ 06 (10006)"</f>
        <v>FARMÁCIA INDIANA LJ 06 (10006)</v>
      </c>
      <c r="S10783" t="s">
        <v>77</v>
      </c>
      <c r="T10783">
        <v>21689</v>
      </c>
      <c r="U10783">
        <v>24827</v>
      </c>
      <c r="V10783" t="s">
        <v>77</v>
      </c>
    </row>
    <row r="10784" spans="1:22">
      <c r="A10784" t="str">
        <f t="shared" si="2032"/>
        <v>13/11/2025</v>
      </c>
      <c r="B10784" t="str">
        <f t="shared" ref="B10784:B10847" si="2033">"SAÍDA"</f>
        <v>SAÍDA</v>
      </c>
      <c r="C10784" t="str">
        <f t="shared" ref="C10784:C10847" si="2034">"PIX"</f>
        <v>PIX</v>
      </c>
      <c r="D10784" t="str">
        <f>"24828"</f>
        <v>24828</v>
      </c>
      <c r="E10784" t="str">
        <f t="shared" si="2029"/>
        <v>1</v>
      </c>
      <c r="F10784" t="str">
        <f t="shared" si="2031"/>
        <v>COM</v>
      </c>
      <c r="G10784" t="str">
        <f>"WEMERSON FELIPE LOPES (187)"</f>
        <v>WEMERSON FELIPE LOPES (187)</v>
      </c>
      <c r="H10784" t="str">
        <f>"Serv.Prest. 24/10/2025 a 02/11/2025 - PIX: CELULAR - CHAVE: (33) 98806-5772"</f>
        <v>Serv.Prest. 24/10/2025 a 02/11/2025 - PIX: CELULAR - CHAVE: (33) 98806-5772</v>
      </c>
      <c r="I10784" t="str">
        <f t="shared" si="2028"/>
        <v>13/11/2025</v>
      </c>
      <c r="J10784" t="str">
        <f t="shared" si="2030"/>
        <v>04/11/2025</v>
      </c>
      <c r="K10784" t="str">
        <f>("13/11/2025")</f>
        <v>13/11/2025</v>
      </c>
      <c r="L10784">
        <v>1600</v>
      </c>
      <c r="M10784">
        <v>1600</v>
      </c>
      <c r="N10784">
        <v>109</v>
      </c>
      <c r="O10784" t="str">
        <f>"PAGAMENTO DE ENTREGADORES"</f>
        <v>PAGAMENTO DE ENTREGADORES</v>
      </c>
      <c r="P10784">
        <v>1600</v>
      </c>
      <c r="S10784" t="str">
        <f>"BANCO C6 (149)"</f>
        <v>BANCO C6 (149)</v>
      </c>
      <c r="T10784">
        <v>21690</v>
      </c>
      <c r="U10784">
        <v>24828</v>
      </c>
      <c r="V10784" t="s">
        <v>77</v>
      </c>
    </row>
    <row r="10785" spans="1:22">
      <c r="A10785" t="str">
        <f t="shared" si="2032"/>
        <v>13/11/2025</v>
      </c>
      <c r="B10785" t="str">
        <f t="shared" si="2033"/>
        <v>SAÍDA</v>
      </c>
      <c r="C10785" t="str">
        <f t="shared" si="2034"/>
        <v>PIX</v>
      </c>
      <c r="D10785" t="str">
        <f>"24828"</f>
        <v>24828</v>
      </c>
      <c r="E10785" t="str">
        <f t="shared" si="2029"/>
        <v>1</v>
      </c>
      <c r="F10785" t="str">
        <f t="shared" si="2031"/>
        <v>COM</v>
      </c>
      <c r="G10785" t="str">
        <f>"WEMERSON FELIPE LOPES (187)"</f>
        <v>WEMERSON FELIPE LOPES (187)</v>
      </c>
      <c r="H10785" t="s">
        <v>2903</v>
      </c>
      <c r="I10785" t="str">
        <f t="shared" si="2028"/>
        <v>13/11/2025</v>
      </c>
      <c r="J10785" t="str">
        <f t="shared" si="2030"/>
        <v>04/11/2025</v>
      </c>
      <c r="K10785">
        <v>45974</v>
      </c>
      <c r="N10785">
        <v>109</v>
      </c>
      <c r="O10785" t="s">
        <v>24</v>
      </c>
      <c r="Q10785">
        <v>1600</v>
      </c>
      <c r="R10785" t="str">
        <f>"FARMÁCIA INDIANA LJ 06 (10006)"</f>
        <v>FARMÁCIA INDIANA LJ 06 (10006)</v>
      </c>
      <c r="S10785" t="s">
        <v>77</v>
      </c>
      <c r="T10785">
        <v>21690</v>
      </c>
      <c r="U10785">
        <v>24828</v>
      </c>
      <c r="V10785" t="s">
        <v>77</v>
      </c>
    </row>
    <row r="10786" spans="1:22">
      <c r="A10786" t="str">
        <f t="shared" si="2032"/>
        <v>13/11/2025</v>
      </c>
      <c r="B10786" t="str">
        <f t="shared" si="2033"/>
        <v>SAÍDA</v>
      </c>
      <c r="C10786" t="str">
        <f t="shared" si="2034"/>
        <v>PIX</v>
      </c>
      <c r="D10786" t="str">
        <f>"24829"</f>
        <v>24829</v>
      </c>
      <c r="E10786" t="str">
        <f t="shared" si="2029"/>
        <v>1</v>
      </c>
      <c r="F10786" t="str">
        <f t="shared" si="2031"/>
        <v>COM</v>
      </c>
      <c r="G10786" t="str">
        <f>"WEMERSON MOREIRA PESSOA (75)"</f>
        <v>WEMERSON MOREIRA PESSOA (75)</v>
      </c>
      <c r="H10786" t="str">
        <f>"Serv.Prest. 24/10/2025 a 02/11/2025 - PIX: CELULAR - CHAVE: (33) 99996-3668"</f>
        <v>Serv.Prest. 24/10/2025 a 02/11/2025 - PIX: CELULAR - CHAVE: (33) 99996-3668</v>
      </c>
      <c r="I10786" t="str">
        <f t="shared" si="2028"/>
        <v>13/11/2025</v>
      </c>
      <c r="J10786" t="str">
        <f t="shared" si="2030"/>
        <v>04/11/2025</v>
      </c>
      <c r="K10786" t="str">
        <f>("13/11/2025")</f>
        <v>13/11/2025</v>
      </c>
      <c r="L10786">
        <v>1308</v>
      </c>
      <c r="M10786">
        <v>1308</v>
      </c>
      <c r="N10786">
        <v>109</v>
      </c>
      <c r="O10786" t="str">
        <f>"PAGAMENTO DE ENTREGADORES"</f>
        <v>PAGAMENTO DE ENTREGADORES</v>
      </c>
      <c r="P10786">
        <v>1308</v>
      </c>
      <c r="S10786" t="str">
        <f>"BANCO C6 (149)"</f>
        <v>BANCO C6 (149)</v>
      </c>
      <c r="T10786">
        <v>21691</v>
      </c>
      <c r="U10786">
        <v>24829</v>
      </c>
      <c r="V10786" t="s">
        <v>77</v>
      </c>
    </row>
    <row r="10787" spans="1:22">
      <c r="A10787" t="str">
        <f t="shared" si="2032"/>
        <v>13/11/2025</v>
      </c>
      <c r="B10787" t="str">
        <f t="shared" si="2033"/>
        <v>SAÍDA</v>
      </c>
      <c r="C10787" t="str">
        <f t="shared" si="2034"/>
        <v>PIX</v>
      </c>
      <c r="D10787" t="str">
        <f>"24829"</f>
        <v>24829</v>
      </c>
      <c r="E10787" t="str">
        <f t="shared" si="2029"/>
        <v>1</v>
      </c>
      <c r="F10787" t="str">
        <f t="shared" si="2031"/>
        <v>COM</v>
      </c>
      <c r="G10787" t="str">
        <f>"WEMERSON MOREIRA PESSOA (75)"</f>
        <v>WEMERSON MOREIRA PESSOA (75)</v>
      </c>
      <c r="H10787" t="s">
        <v>2984</v>
      </c>
      <c r="I10787" t="str">
        <f t="shared" si="2028"/>
        <v>13/11/2025</v>
      </c>
      <c r="J10787" t="str">
        <f t="shared" si="2030"/>
        <v>04/11/2025</v>
      </c>
      <c r="K10787">
        <v>45974</v>
      </c>
      <c r="N10787">
        <v>109</v>
      </c>
      <c r="O10787" t="s">
        <v>24</v>
      </c>
      <c r="Q10787">
        <v>1308</v>
      </c>
      <c r="R10787" t="str">
        <f>"FARMÁCIA INDIANA LJ 07 (10007)"</f>
        <v>FARMÁCIA INDIANA LJ 07 (10007)</v>
      </c>
      <c r="S10787" t="s">
        <v>77</v>
      </c>
      <c r="T10787">
        <v>21691</v>
      </c>
      <c r="U10787">
        <v>24829</v>
      </c>
      <c r="V10787" t="s">
        <v>77</v>
      </c>
    </row>
    <row r="10788" spans="1:22">
      <c r="A10788" t="str">
        <f t="shared" si="2032"/>
        <v>13/11/2025</v>
      </c>
      <c r="B10788" t="str">
        <f t="shared" si="2033"/>
        <v>SAÍDA</v>
      </c>
      <c r="C10788" t="str">
        <f t="shared" si="2034"/>
        <v>PIX</v>
      </c>
      <c r="D10788" t="str">
        <f>"24830"</f>
        <v>24830</v>
      </c>
      <c r="E10788" t="str">
        <f t="shared" si="2029"/>
        <v>1</v>
      </c>
      <c r="F10788" t="str">
        <f t="shared" si="2031"/>
        <v>COM</v>
      </c>
      <c r="G10788" t="str">
        <f>"WENDEL LIMA DE SOUZA (112)"</f>
        <v>WENDEL LIMA DE SOUZA (112)</v>
      </c>
      <c r="H10788" t="str">
        <f>"Serv.Prest. 24/10/2025 a 02/11/2025 - PIX: CPF - CHAVE: 012.906.122-00"</f>
        <v>Serv.Prest. 24/10/2025 a 02/11/2025 - PIX: CPF - CHAVE: 012.906.122-00</v>
      </c>
      <c r="I10788" t="str">
        <f t="shared" ref="I10788:I10851" si="2035">("13/11/2025")</f>
        <v>13/11/2025</v>
      </c>
      <c r="J10788" t="str">
        <f t="shared" si="2030"/>
        <v>04/11/2025</v>
      </c>
      <c r="K10788" t="str">
        <f>("13/11/2025")</f>
        <v>13/11/2025</v>
      </c>
      <c r="L10788">
        <v>1648</v>
      </c>
      <c r="M10788">
        <v>1648</v>
      </c>
      <c r="N10788">
        <v>109</v>
      </c>
      <c r="O10788" t="str">
        <f>"PAGAMENTO DE ENTREGADORES"</f>
        <v>PAGAMENTO DE ENTREGADORES</v>
      </c>
      <c r="P10788">
        <v>1648</v>
      </c>
      <c r="S10788" t="str">
        <f>"BANCO C6 (149)"</f>
        <v>BANCO C6 (149)</v>
      </c>
      <c r="T10788">
        <v>21692</v>
      </c>
      <c r="U10788">
        <v>24830</v>
      </c>
      <c r="V10788" t="s">
        <v>77</v>
      </c>
    </row>
    <row r="10789" spans="1:22">
      <c r="A10789" t="str">
        <f t="shared" si="2032"/>
        <v>13/11/2025</v>
      </c>
      <c r="B10789" t="str">
        <f t="shared" si="2033"/>
        <v>SAÍDA</v>
      </c>
      <c r="C10789" t="str">
        <f t="shared" si="2034"/>
        <v>PIX</v>
      </c>
      <c r="D10789" t="str">
        <f>"24830"</f>
        <v>24830</v>
      </c>
      <c r="E10789" t="str">
        <f t="shared" si="2029"/>
        <v>1</v>
      </c>
      <c r="F10789" t="str">
        <f t="shared" si="2031"/>
        <v>COM</v>
      </c>
      <c r="G10789" t="str">
        <f>"WENDEL LIMA DE SOUZA (112)"</f>
        <v>WENDEL LIMA DE SOUZA (112)</v>
      </c>
      <c r="H10789" t="s">
        <v>2904</v>
      </c>
      <c r="I10789" t="str">
        <f t="shared" si="2035"/>
        <v>13/11/2025</v>
      </c>
      <c r="J10789" t="str">
        <f t="shared" si="2030"/>
        <v>04/11/2025</v>
      </c>
      <c r="K10789">
        <v>45974</v>
      </c>
      <c r="N10789">
        <v>109</v>
      </c>
      <c r="O10789" t="s">
        <v>24</v>
      </c>
      <c r="Q10789">
        <v>1648</v>
      </c>
      <c r="R10789" t="str">
        <f>"FARMÁCIA INDIANA LJ 11 (10008)"</f>
        <v>FARMÁCIA INDIANA LJ 11 (10008)</v>
      </c>
      <c r="S10789" t="s">
        <v>77</v>
      </c>
      <c r="T10789">
        <v>21692</v>
      </c>
      <c r="U10789">
        <v>24830</v>
      </c>
      <c r="V10789" t="s">
        <v>77</v>
      </c>
    </row>
    <row r="10790" spans="1:22">
      <c r="A10790" t="str">
        <f t="shared" si="2032"/>
        <v>13/11/2025</v>
      </c>
      <c r="B10790" t="str">
        <f t="shared" si="2033"/>
        <v>SAÍDA</v>
      </c>
      <c r="C10790" t="str">
        <f t="shared" si="2034"/>
        <v>PIX</v>
      </c>
      <c r="D10790" t="str">
        <f>"24831"</f>
        <v>24831</v>
      </c>
      <c r="E10790" t="str">
        <f t="shared" ref="E10790:E10853" si="2036">"1"</f>
        <v>1</v>
      </c>
      <c r="F10790" t="str">
        <f t="shared" si="2031"/>
        <v>COM</v>
      </c>
      <c r="G10790" t="str">
        <f>"WILIAN ROSA VIEIRA (488)"</f>
        <v>WILIAN ROSA VIEIRA (488)</v>
      </c>
      <c r="H10790" t="str">
        <f>"Serv.Prest. 24/10/2025 a 02/11/2025 - PIX: E-MAIL - CHAVE: wilianvieirawrv3578@gmail.com"</f>
        <v>Serv.Prest. 24/10/2025 a 02/11/2025 - PIX: E-MAIL - CHAVE: wilianvieirawrv3578@gmail.com</v>
      </c>
      <c r="I10790" t="str">
        <f t="shared" si="2035"/>
        <v>13/11/2025</v>
      </c>
      <c r="J10790" t="str">
        <f t="shared" ref="J10790:J10812" si="2037">("04/11/2025")</f>
        <v>04/11/2025</v>
      </c>
      <c r="K10790" t="str">
        <f>("13/11/2025")</f>
        <v>13/11/2025</v>
      </c>
      <c r="L10790">
        <v>1354</v>
      </c>
      <c r="M10790">
        <v>1354</v>
      </c>
      <c r="N10790">
        <v>109</v>
      </c>
      <c r="O10790" t="str">
        <f>"PAGAMENTO DE ENTREGADORES"</f>
        <v>PAGAMENTO DE ENTREGADORES</v>
      </c>
      <c r="P10790">
        <v>1354</v>
      </c>
      <c r="S10790" t="str">
        <f>"BANCO C6 (149)"</f>
        <v>BANCO C6 (149)</v>
      </c>
      <c r="T10790">
        <v>21693</v>
      </c>
      <c r="U10790">
        <v>24831</v>
      </c>
      <c r="V10790" t="s">
        <v>77</v>
      </c>
    </row>
    <row r="10791" spans="1:22">
      <c r="A10791" t="str">
        <f t="shared" si="2032"/>
        <v>13/11/2025</v>
      </c>
      <c r="B10791" t="str">
        <f t="shared" si="2033"/>
        <v>SAÍDA</v>
      </c>
      <c r="C10791" t="str">
        <f t="shared" si="2034"/>
        <v>PIX</v>
      </c>
      <c r="D10791" t="str">
        <f>"24831"</f>
        <v>24831</v>
      </c>
      <c r="E10791" t="str">
        <f t="shared" si="2036"/>
        <v>1</v>
      </c>
      <c r="F10791" t="str">
        <f t="shared" si="2031"/>
        <v>COM</v>
      </c>
      <c r="G10791" t="str">
        <f>"WILIAN ROSA VIEIRA (488)"</f>
        <v>WILIAN ROSA VIEIRA (488)</v>
      </c>
      <c r="H10791" t="s">
        <v>2908</v>
      </c>
      <c r="I10791" t="str">
        <f t="shared" si="2035"/>
        <v>13/11/2025</v>
      </c>
      <c r="J10791" t="str">
        <f t="shared" si="2037"/>
        <v>04/11/2025</v>
      </c>
      <c r="K10791">
        <v>45974</v>
      </c>
      <c r="N10791">
        <v>109</v>
      </c>
      <c r="O10791" t="s">
        <v>24</v>
      </c>
      <c r="Q10791">
        <v>827.83</v>
      </c>
      <c r="R10791" t="str">
        <f>"FARMÁCIA INDIANA LJ 103 (10044)"</f>
        <v>FARMÁCIA INDIANA LJ 103 (10044)</v>
      </c>
      <c r="S10791" t="s">
        <v>77</v>
      </c>
      <c r="T10791">
        <v>21693</v>
      </c>
      <c r="U10791">
        <v>24831</v>
      </c>
      <c r="V10791" t="s">
        <v>77</v>
      </c>
    </row>
    <row r="10792" spans="1:22">
      <c r="A10792" t="str">
        <f t="shared" si="2032"/>
        <v>13/11/2025</v>
      </c>
      <c r="B10792" t="str">
        <f t="shared" si="2033"/>
        <v>SAÍDA</v>
      </c>
      <c r="C10792" t="str">
        <f t="shared" si="2034"/>
        <v>PIX</v>
      </c>
      <c r="D10792" t="str">
        <f>"24831"</f>
        <v>24831</v>
      </c>
      <c r="E10792" t="str">
        <f t="shared" si="2036"/>
        <v>1</v>
      </c>
      <c r="F10792" t="str">
        <f t="shared" si="2031"/>
        <v>COM</v>
      </c>
      <c r="G10792" t="str">
        <f>"WILIAN ROSA VIEIRA (488)"</f>
        <v>WILIAN ROSA VIEIRA (488)</v>
      </c>
      <c r="H10792" t="s">
        <v>2908</v>
      </c>
      <c r="I10792" t="str">
        <f t="shared" si="2035"/>
        <v>13/11/2025</v>
      </c>
      <c r="J10792" t="str">
        <f t="shared" si="2037"/>
        <v>04/11/2025</v>
      </c>
      <c r="K10792">
        <v>45974</v>
      </c>
      <c r="N10792">
        <v>109</v>
      </c>
      <c r="O10792" t="s">
        <v>24</v>
      </c>
      <c r="Q10792">
        <v>289.76</v>
      </c>
      <c r="R10792" t="str">
        <f>"FARMÁCIA INDIANA LJ 140 (10064)"</f>
        <v>FARMÁCIA INDIANA LJ 140 (10064)</v>
      </c>
      <c r="S10792" t="s">
        <v>77</v>
      </c>
      <c r="T10792">
        <v>21693</v>
      </c>
      <c r="U10792">
        <v>24831</v>
      </c>
      <c r="V10792" t="s">
        <v>77</v>
      </c>
    </row>
    <row r="10793" spans="1:22">
      <c r="A10793" t="str">
        <f t="shared" si="2032"/>
        <v>13/11/2025</v>
      </c>
      <c r="B10793" t="str">
        <f t="shared" si="2033"/>
        <v>SAÍDA</v>
      </c>
      <c r="C10793" t="str">
        <f t="shared" si="2034"/>
        <v>PIX</v>
      </c>
      <c r="D10793" t="str">
        <f>"24831"</f>
        <v>24831</v>
      </c>
      <c r="E10793" t="str">
        <f t="shared" si="2036"/>
        <v>1</v>
      </c>
      <c r="F10793" t="str">
        <f t="shared" si="2031"/>
        <v>COM</v>
      </c>
      <c r="G10793" t="str">
        <f>"WILIAN ROSA VIEIRA (488)"</f>
        <v>WILIAN ROSA VIEIRA (488)</v>
      </c>
      <c r="H10793" t="s">
        <v>2908</v>
      </c>
      <c r="I10793" t="str">
        <f t="shared" si="2035"/>
        <v>13/11/2025</v>
      </c>
      <c r="J10793" t="str">
        <f t="shared" si="2037"/>
        <v>04/11/2025</v>
      </c>
      <c r="K10793">
        <v>45974</v>
      </c>
      <c r="N10793">
        <v>109</v>
      </c>
      <c r="O10793" t="s">
        <v>24</v>
      </c>
      <c r="Q10793">
        <v>53.21</v>
      </c>
      <c r="R10793" t="str">
        <f>"FARMÁCIA INDIANA LJ 141 (10065)"</f>
        <v>FARMÁCIA INDIANA LJ 141 (10065)</v>
      </c>
      <c r="S10793" t="s">
        <v>77</v>
      </c>
      <c r="T10793">
        <v>21693</v>
      </c>
      <c r="U10793">
        <v>24831</v>
      </c>
      <c r="V10793" t="s">
        <v>77</v>
      </c>
    </row>
    <row r="10794" spans="1:22">
      <c r="A10794" t="str">
        <f t="shared" si="2032"/>
        <v>13/11/2025</v>
      </c>
      <c r="B10794" t="str">
        <f t="shared" si="2033"/>
        <v>SAÍDA</v>
      </c>
      <c r="C10794" t="str">
        <f t="shared" si="2034"/>
        <v>PIX</v>
      </c>
      <c r="D10794" t="str">
        <f>"24831"</f>
        <v>24831</v>
      </c>
      <c r="E10794" t="str">
        <f t="shared" si="2036"/>
        <v>1</v>
      </c>
      <c r="F10794" t="str">
        <f t="shared" si="2031"/>
        <v>COM</v>
      </c>
      <c r="G10794" t="str">
        <f>"WILIAN ROSA VIEIRA (488)"</f>
        <v>WILIAN ROSA VIEIRA (488)</v>
      </c>
      <c r="H10794" t="s">
        <v>2908</v>
      </c>
      <c r="I10794" t="str">
        <f t="shared" si="2035"/>
        <v>13/11/2025</v>
      </c>
      <c r="J10794" t="str">
        <f t="shared" si="2037"/>
        <v>04/11/2025</v>
      </c>
      <c r="K10794">
        <v>45974</v>
      </c>
      <c r="N10794">
        <v>109</v>
      </c>
      <c r="O10794" t="s">
        <v>24</v>
      </c>
      <c r="Q10794">
        <v>183.2</v>
      </c>
      <c r="R10794" t="str">
        <f>"FARMÁCIA INDIANA LJ 154 (10070)"</f>
        <v>FARMÁCIA INDIANA LJ 154 (10070)</v>
      </c>
      <c r="S10794" t="s">
        <v>77</v>
      </c>
      <c r="T10794">
        <v>21693</v>
      </c>
      <c r="U10794">
        <v>24831</v>
      </c>
      <c r="V10794" t="s">
        <v>77</v>
      </c>
    </row>
    <row r="10795" spans="1:22">
      <c r="A10795" t="str">
        <f t="shared" si="2032"/>
        <v>13/11/2025</v>
      </c>
      <c r="B10795" t="str">
        <f t="shared" si="2033"/>
        <v>SAÍDA</v>
      </c>
      <c r="C10795" t="str">
        <f t="shared" si="2034"/>
        <v>PIX</v>
      </c>
      <c r="D10795" t="str">
        <f>"24832"</f>
        <v>24832</v>
      </c>
      <c r="E10795" t="str">
        <f t="shared" si="2036"/>
        <v>1</v>
      </c>
      <c r="F10795" t="str">
        <f t="shared" si="2031"/>
        <v>COM</v>
      </c>
      <c r="G10795" t="str">
        <f>"YAN EVERTON RODRIGUES DE LIMA (875)"</f>
        <v>YAN EVERTON RODRIGUES DE LIMA (875)</v>
      </c>
      <c r="H10795" t="str">
        <f>"Serv.Prest. 24/10/2025 a 02/11/2025 - PIX: CELULAR - CHAVE: (33) 99859-8751"</f>
        <v>Serv.Prest. 24/10/2025 a 02/11/2025 - PIX: CELULAR - CHAVE: (33) 99859-8751</v>
      </c>
      <c r="I10795" t="str">
        <f t="shared" si="2035"/>
        <v>13/11/2025</v>
      </c>
      <c r="J10795" t="str">
        <f t="shared" si="2037"/>
        <v>04/11/2025</v>
      </c>
      <c r="K10795" t="str">
        <f>("13/11/2025")</f>
        <v>13/11/2025</v>
      </c>
      <c r="L10795">
        <v>1600</v>
      </c>
      <c r="M10795">
        <v>1600</v>
      </c>
      <c r="N10795">
        <v>109</v>
      </c>
      <c r="O10795" t="str">
        <f>"PAGAMENTO DE ENTREGADORES"</f>
        <v>PAGAMENTO DE ENTREGADORES</v>
      </c>
      <c r="P10795">
        <v>1600</v>
      </c>
      <c r="S10795" t="str">
        <f>"BANCO C6 (149)"</f>
        <v>BANCO C6 (149)</v>
      </c>
      <c r="T10795">
        <v>21694</v>
      </c>
      <c r="U10795">
        <v>24832</v>
      </c>
      <c r="V10795" t="s">
        <v>77</v>
      </c>
    </row>
    <row r="10796" spans="1:22">
      <c r="A10796" t="str">
        <f t="shared" si="2032"/>
        <v>13/11/2025</v>
      </c>
      <c r="B10796" t="str">
        <f t="shared" si="2033"/>
        <v>SAÍDA</v>
      </c>
      <c r="C10796" t="str">
        <f t="shared" si="2034"/>
        <v>PIX</v>
      </c>
      <c r="D10796" t="str">
        <f>"24832"</f>
        <v>24832</v>
      </c>
      <c r="E10796" t="str">
        <f t="shared" si="2036"/>
        <v>1</v>
      </c>
      <c r="F10796" t="str">
        <f t="shared" si="2031"/>
        <v>COM</v>
      </c>
      <c r="G10796" t="str">
        <f>"YAN EVERTON RODRIGUES DE LIMA (875)"</f>
        <v>YAN EVERTON RODRIGUES DE LIMA (875)</v>
      </c>
      <c r="H10796" t="s">
        <v>2911</v>
      </c>
      <c r="I10796" t="str">
        <f t="shared" si="2035"/>
        <v>13/11/2025</v>
      </c>
      <c r="J10796" t="str">
        <f t="shared" si="2037"/>
        <v>04/11/2025</v>
      </c>
      <c r="K10796">
        <v>45974</v>
      </c>
      <c r="N10796">
        <v>109</v>
      </c>
      <c r="O10796" t="s">
        <v>24</v>
      </c>
      <c r="Q10796">
        <v>1600</v>
      </c>
      <c r="R10796" t="str">
        <f>"FARMÁCIA INDIANA LJ 06 (10006)"</f>
        <v>FARMÁCIA INDIANA LJ 06 (10006)</v>
      </c>
      <c r="S10796" t="s">
        <v>77</v>
      </c>
      <c r="T10796">
        <v>21694</v>
      </c>
      <c r="U10796">
        <v>24832</v>
      </c>
      <c r="V10796" t="s">
        <v>77</v>
      </c>
    </row>
    <row r="10797" spans="1:22">
      <c r="A10797" t="str">
        <f t="shared" si="2032"/>
        <v>13/11/2025</v>
      </c>
      <c r="B10797" t="str">
        <f t="shared" si="2033"/>
        <v>SAÍDA</v>
      </c>
      <c r="C10797" t="str">
        <f t="shared" si="2034"/>
        <v>PIX</v>
      </c>
      <c r="D10797" t="str">
        <f>"24835"</f>
        <v>24835</v>
      </c>
      <c r="E10797" t="str">
        <f t="shared" si="2036"/>
        <v>1</v>
      </c>
      <c r="F10797" t="str">
        <f t="shared" si="2031"/>
        <v>COM</v>
      </c>
      <c r="G10797" t="str">
        <f>"ANDERSON PEREIRA DOS SANTOS (746)"</f>
        <v>ANDERSON PEREIRA DOS SANTOS (746)</v>
      </c>
      <c r="H10797" t="str">
        <f>"Serv.Prest. 24/10/2025 a 02/11/2025 - PIX: CPF - CHAVE: 079.930.865-07"</f>
        <v>Serv.Prest. 24/10/2025 a 02/11/2025 - PIX: CPF - CHAVE: 079.930.865-07</v>
      </c>
      <c r="I10797" t="str">
        <f t="shared" si="2035"/>
        <v>13/11/2025</v>
      </c>
      <c r="J10797" t="str">
        <f t="shared" si="2037"/>
        <v>04/11/2025</v>
      </c>
      <c r="K10797" t="str">
        <f>("13/11/2025")</f>
        <v>13/11/2025</v>
      </c>
      <c r="L10797">
        <v>784</v>
      </c>
      <c r="M10797">
        <v>784</v>
      </c>
      <c r="N10797">
        <v>109</v>
      </c>
      <c r="O10797" t="str">
        <f>"PAGAMENTO DE ENTREGADORES"</f>
        <v>PAGAMENTO DE ENTREGADORES</v>
      </c>
      <c r="P10797">
        <v>784</v>
      </c>
      <c r="S10797" t="str">
        <f>"BANCO C6 (149)"</f>
        <v>BANCO C6 (149)</v>
      </c>
      <c r="T10797">
        <v>21695</v>
      </c>
      <c r="U10797">
        <v>24835</v>
      </c>
      <c r="V10797" t="s">
        <v>77</v>
      </c>
    </row>
    <row r="10798" spans="1:22">
      <c r="A10798" t="str">
        <f t="shared" si="2032"/>
        <v>13/11/2025</v>
      </c>
      <c r="B10798" t="str">
        <f t="shared" si="2033"/>
        <v>SAÍDA</v>
      </c>
      <c r="C10798" t="str">
        <f t="shared" si="2034"/>
        <v>PIX</v>
      </c>
      <c r="D10798" t="str">
        <f>"24835"</f>
        <v>24835</v>
      </c>
      <c r="E10798" t="str">
        <f t="shared" si="2036"/>
        <v>1</v>
      </c>
      <c r="F10798" t="str">
        <f t="shared" si="2031"/>
        <v>COM</v>
      </c>
      <c r="G10798" t="str">
        <f>"ANDERSON PEREIRA DOS SANTOS (746)"</f>
        <v>ANDERSON PEREIRA DOS SANTOS (746)</v>
      </c>
      <c r="H10798" t="s">
        <v>2812</v>
      </c>
      <c r="I10798" t="str">
        <f t="shared" si="2035"/>
        <v>13/11/2025</v>
      </c>
      <c r="J10798" t="str">
        <f t="shared" si="2037"/>
        <v>04/11/2025</v>
      </c>
      <c r="K10798">
        <v>45974</v>
      </c>
      <c r="N10798">
        <v>109</v>
      </c>
      <c r="O10798" t="s">
        <v>24</v>
      </c>
      <c r="Q10798">
        <v>238.65</v>
      </c>
      <c r="R10798" t="str">
        <f>"FARMÁCIA INDIANA LJ 211 (10168)"</f>
        <v>FARMÁCIA INDIANA LJ 211 (10168)</v>
      </c>
      <c r="S10798" t="s">
        <v>77</v>
      </c>
      <c r="T10798">
        <v>21695</v>
      </c>
      <c r="U10798">
        <v>24835</v>
      </c>
      <c r="V10798" t="s">
        <v>77</v>
      </c>
    </row>
    <row r="10799" spans="1:22">
      <c r="A10799" t="str">
        <f t="shared" si="2032"/>
        <v>13/11/2025</v>
      </c>
      <c r="B10799" t="str">
        <f t="shared" si="2033"/>
        <v>SAÍDA</v>
      </c>
      <c r="C10799" t="str">
        <f t="shared" si="2034"/>
        <v>PIX</v>
      </c>
      <c r="D10799" t="str">
        <f>"24835"</f>
        <v>24835</v>
      </c>
      <c r="E10799" t="str">
        <f t="shared" si="2036"/>
        <v>1</v>
      </c>
      <c r="F10799" t="str">
        <f t="shared" si="2031"/>
        <v>COM</v>
      </c>
      <c r="G10799" t="str">
        <f>"ANDERSON PEREIRA DOS SANTOS (746)"</f>
        <v>ANDERSON PEREIRA DOS SANTOS (746)</v>
      </c>
      <c r="H10799" t="s">
        <v>2812</v>
      </c>
      <c r="I10799" t="str">
        <f t="shared" si="2035"/>
        <v>13/11/2025</v>
      </c>
      <c r="J10799" t="str">
        <f t="shared" si="2037"/>
        <v>04/11/2025</v>
      </c>
      <c r="K10799">
        <v>45974</v>
      </c>
      <c r="N10799">
        <v>109</v>
      </c>
      <c r="O10799" t="s">
        <v>24</v>
      </c>
      <c r="Q10799">
        <v>545.35</v>
      </c>
      <c r="R10799" t="str">
        <f>"FARMÁCIA INDIANA LJ 236 (10169)"</f>
        <v>FARMÁCIA INDIANA LJ 236 (10169)</v>
      </c>
      <c r="S10799" t="s">
        <v>77</v>
      </c>
      <c r="T10799">
        <v>21695</v>
      </c>
      <c r="U10799">
        <v>24835</v>
      </c>
      <c r="V10799" t="s">
        <v>77</v>
      </c>
    </row>
    <row r="10800" spans="1:22">
      <c r="A10800" t="str">
        <f t="shared" si="2032"/>
        <v>13/11/2025</v>
      </c>
      <c r="B10800" t="str">
        <f t="shared" si="2033"/>
        <v>SAÍDA</v>
      </c>
      <c r="C10800" t="str">
        <f t="shared" si="2034"/>
        <v>PIX</v>
      </c>
      <c r="D10800" t="str">
        <f>"24836"</f>
        <v>24836</v>
      </c>
      <c r="E10800" t="str">
        <f t="shared" si="2036"/>
        <v>1</v>
      </c>
      <c r="F10800" t="str">
        <f t="shared" si="2031"/>
        <v>COM</v>
      </c>
      <c r="G10800" t="str">
        <f>"CLEIDIVAN SALOMÃO DOS SANTOS (982)"</f>
        <v>CLEIDIVAN SALOMÃO DOS SANTOS (982)</v>
      </c>
      <c r="H10800" t="str">
        <f>"Serv.Prest. 24/10/2025 a 02/11/2025 - PIX: CPF - CHAVE: 077.317.327-70"</f>
        <v>Serv.Prest. 24/10/2025 a 02/11/2025 - PIX: CPF - CHAVE: 077.317.327-70</v>
      </c>
      <c r="I10800" t="str">
        <f t="shared" si="2035"/>
        <v>13/11/2025</v>
      </c>
      <c r="J10800" t="str">
        <f t="shared" si="2037"/>
        <v>04/11/2025</v>
      </c>
      <c r="K10800" t="str">
        <f>("13/11/2025")</f>
        <v>13/11/2025</v>
      </c>
      <c r="L10800">
        <v>1067</v>
      </c>
      <c r="M10800">
        <v>1067</v>
      </c>
      <c r="N10800">
        <v>109</v>
      </c>
      <c r="O10800" t="str">
        <f>"PAGAMENTO DE ENTREGADORES"</f>
        <v>PAGAMENTO DE ENTREGADORES</v>
      </c>
      <c r="P10800">
        <v>1067</v>
      </c>
      <c r="S10800" t="str">
        <f>"BANCO C6 (149)"</f>
        <v>BANCO C6 (149)</v>
      </c>
      <c r="T10800">
        <v>21696</v>
      </c>
      <c r="U10800">
        <v>24836</v>
      </c>
      <c r="V10800" t="s">
        <v>77</v>
      </c>
    </row>
    <row r="10801" spans="1:22">
      <c r="A10801" t="str">
        <f t="shared" si="2032"/>
        <v>13/11/2025</v>
      </c>
      <c r="B10801" t="str">
        <f t="shared" si="2033"/>
        <v>SAÍDA</v>
      </c>
      <c r="C10801" t="str">
        <f t="shared" si="2034"/>
        <v>PIX</v>
      </c>
      <c r="D10801" t="str">
        <f>"24836"</f>
        <v>24836</v>
      </c>
      <c r="E10801" t="str">
        <f t="shared" si="2036"/>
        <v>1</v>
      </c>
      <c r="F10801" t="str">
        <f t="shared" si="2031"/>
        <v>COM</v>
      </c>
      <c r="G10801" t="str">
        <f>"CLEIDIVAN SALOMÃO DOS SANTOS (982)"</f>
        <v>CLEIDIVAN SALOMÃO DOS SANTOS (982)</v>
      </c>
      <c r="H10801" t="s">
        <v>2985</v>
      </c>
      <c r="I10801" t="str">
        <f t="shared" si="2035"/>
        <v>13/11/2025</v>
      </c>
      <c r="J10801" t="str">
        <f t="shared" si="2037"/>
        <v>04/11/2025</v>
      </c>
      <c r="K10801">
        <v>45974</v>
      </c>
      <c r="N10801">
        <v>109</v>
      </c>
      <c r="O10801" t="s">
        <v>24</v>
      </c>
      <c r="Q10801">
        <v>304.83999999999997</v>
      </c>
      <c r="R10801" t="str">
        <f>"FARMÁCIA INDIANA LJ 243 (10142)"</f>
        <v>FARMÁCIA INDIANA LJ 243 (10142)</v>
      </c>
      <c r="S10801" t="s">
        <v>77</v>
      </c>
      <c r="T10801">
        <v>21696</v>
      </c>
      <c r="U10801">
        <v>24836</v>
      </c>
      <c r="V10801" t="s">
        <v>77</v>
      </c>
    </row>
    <row r="10802" spans="1:22">
      <c r="A10802" t="str">
        <f t="shared" si="2032"/>
        <v>13/11/2025</v>
      </c>
      <c r="B10802" t="str">
        <f t="shared" si="2033"/>
        <v>SAÍDA</v>
      </c>
      <c r="C10802" t="str">
        <f t="shared" si="2034"/>
        <v>PIX</v>
      </c>
      <c r="D10802" t="str">
        <f>"24836"</f>
        <v>24836</v>
      </c>
      <c r="E10802" t="str">
        <f t="shared" si="2036"/>
        <v>1</v>
      </c>
      <c r="F10802" t="str">
        <f t="shared" si="2031"/>
        <v>COM</v>
      </c>
      <c r="G10802" t="str">
        <f>"CLEIDIVAN SALOMÃO DOS SANTOS (982)"</f>
        <v>CLEIDIVAN SALOMÃO DOS SANTOS (982)</v>
      </c>
      <c r="H10802" t="s">
        <v>2985</v>
      </c>
      <c r="I10802" t="str">
        <f t="shared" si="2035"/>
        <v>13/11/2025</v>
      </c>
      <c r="J10802" t="str">
        <f t="shared" si="2037"/>
        <v>04/11/2025</v>
      </c>
      <c r="K10802">
        <v>45974</v>
      </c>
      <c r="N10802">
        <v>109</v>
      </c>
      <c r="O10802" t="s">
        <v>24</v>
      </c>
      <c r="Q10802">
        <v>762.16</v>
      </c>
      <c r="R10802" t="str">
        <f>"FARMÁCIA INDIANA LJ 235 (10190)"</f>
        <v>FARMÁCIA INDIANA LJ 235 (10190)</v>
      </c>
      <c r="S10802" t="s">
        <v>77</v>
      </c>
      <c r="T10802">
        <v>21696</v>
      </c>
      <c r="U10802">
        <v>24836</v>
      </c>
      <c r="V10802" t="s">
        <v>77</v>
      </c>
    </row>
    <row r="10803" spans="1:22">
      <c r="A10803" t="str">
        <f t="shared" si="2032"/>
        <v>13/11/2025</v>
      </c>
      <c r="B10803" t="str">
        <f t="shared" si="2033"/>
        <v>SAÍDA</v>
      </c>
      <c r="C10803" t="str">
        <f t="shared" si="2034"/>
        <v>PIX</v>
      </c>
      <c r="D10803" t="str">
        <f>"24837"</f>
        <v>24837</v>
      </c>
      <c r="E10803" t="str">
        <f t="shared" si="2036"/>
        <v>1</v>
      </c>
      <c r="F10803" t="str">
        <f t="shared" si="2031"/>
        <v>COM</v>
      </c>
      <c r="G10803" t="str">
        <f>"DANILO ROCHA SILVA (162)"</f>
        <v>DANILO ROCHA SILVA (162)</v>
      </c>
      <c r="H10803" t="str">
        <f>"Serv.Prest. 24/10/2025 a 02/11/2025 - PIX: CELULAR - CHAVE: (27) 99811-6850"</f>
        <v>Serv.Prest. 24/10/2025 a 02/11/2025 - PIX: CELULAR - CHAVE: (27) 99811-6850</v>
      </c>
      <c r="I10803" t="str">
        <f t="shared" si="2035"/>
        <v>13/11/2025</v>
      </c>
      <c r="J10803" t="str">
        <f t="shared" si="2037"/>
        <v>04/11/2025</v>
      </c>
      <c r="K10803" t="str">
        <f>("13/11/2025")</f>
        <v>13/11/2025</v>
      </c>
      <c r="L10803">
        <v>1723.5</v>
      </c>
      <c r="M10803">
        <v>1723.5</v>
      </c>
      <c r="N10803">
        <v>109</v>
      </c>
      <c r="O10803" t="str">
        <f>"PAGAMENTO DE ENTREGADORES"</f>
        <v>PAGAMENTO DE ENTREGADORES</v>
      </c>
      <c r="P10803">
        <v>1723.5</v>
      </c>
      <c r="S10803" t="str">
        <f>"BANCO C6 (149)"</f>
        <v>BANCO C6 (149)</v>
      </c>
      <c r="T10803">
        <v>21697</v>
      </c>
      <c r="U10803">
        <v>24837</v>
      </c>
      <c r="V10803" t="s">
        <v>77</v>
      </c>
    </row>
    <row r="10804" spans="1:22">
      <c r="A10804" t="str">
        <f t="shared" si="2032"/>
        <v>13/11/2025</v>
      </c>
      <c r="B10804" t="str">
        <f t="shared" si="2033"/>
        <v>SAÍDA</v>
      </c>
      <c r="C10804" t="str">
        <f t="shared" si="2034"/>
        <v>PIX</v>
      </c>
      <c r="D10804" t="str">
        <f>"24837"</f>
        <v>24837</v>
      </c>
      <c r="E10804" t="str">
        <f t="shared" si="2036"/>
        <v>1</v>
      </c>
      <c r="F10804" t="str">
        <f t="shared" si="2031"/>
        <v>COM</v>
      </c>
      <c r="G10804" t="str">
        <f>"DANILO ROCHA SILVA (162)"</f>
        <v>DANILO ROCHA SILVA (162)</v>
      </c>
      <c r="H10804" t="s">
        <v>2986</v>
      </c>
      <c r="I10804" t="str">
        <f t="shared" si="2035"/>
        <v>13/11/2025</v>
      </c>
      <c r="J10804" t="str">
        <f t="shared" si="2037"/>
        <v>04/11/2025</v>
      </c>
      <c r="K10804">
        <v>45974</v>
      </c>
      <c r="N10804">
        <v>109</v>
      </c>
      <c r="O10804" t="s">
        <v>24</v>
      </c>
      <c r="Q10804">
        <v>1723.5</v>
      </c>
      <c r="R10804" t="str">
        <f>"FARMÁCIA INDIANA LJ 181 (10078)"</f>
        <v>FARMÁCIA INDIANA LJ 181 (10078)</v>
      </c>
      <c r="S10804" t="s">
        <v>77</v>
      </c>
      <c r="T10804">
        <v>21697</v>
      </c>
      <c r="U10804">
        <v>24837</v>
      </c>
      <c r="V10804" t="s">
        <v>77</v>
      </c>
    </row>
    <row r="10805" spans="1:22">
      <c r="A10805" t="str">
        <f t="shared" si="2032"/>
        <v>13/11/2025</v>
      </c>
      <c r="B10805" t="str">
        <f t="shared" si="2033"/>
        <v>SAÍDA</v>
      </c>
      <c r="C10805" t="str">
        <f t="shared" si="2034"/>
        <v>PIX</v>
      </c>
      <c r="D10805" t="str">
        <f>"24838"</f>
        <v>24838</v>
      </c>
      <c r="E10805" t="str">
        <f t="shared" si="2036"/>
        <v>1</v>
      </c>
      <c r="F10805" t="str">
        <f t="shared" si="2031"/>
        <v>COM</v>
      </c>
      <c r="G10805" t="str">
        <f>"GABRIEL PRATES DE OLIVEIRA (511)"</f>
        <v>GABRIEL PRATES DE OLIVEIRA (511)</v>
      </c>
      <c r="H10805" t="str">
        <f>"Serv.Prest. 24/10/2025 a 02/11/2025 - PIX: CELULAR - CHAVE: (27) 99869-8144"</f>
        <v>Serv.Prest. 24/10/2025 a 02/11/2025 - PIX: CELULAR - CHAVE: (27) 99869-8144</v>
      </c>
      <c r="I10805" t="str">
        <f t="shared" si="2035"/>
        <v>13/11/2025</v>
      </c>
      <c r="J10805" t="str">
        <f t="shared" si="2037"/>
        <v>04/11/2025</v>
      </c>
      <c r="K10805" t="str">
        <f>("13/11/2025")</f>
        <v>13/11/2025</v>
      </c>
      <c r="L10805">
        <v>930</v>
      </c>
      <c r="M10805">
        <v>930</v>
      </c>
      <c r="N10805">
        <v>109</v>
      </c>
      <c r="O10805" t="str">
        <f>"PAGAMENTO DE ENTREGADORES"</f>
        <v>PAGAMENTO DE ENTREGADORES</v>
      </c>
      <c r="P10805">
        <v>930</v>
      </c>
      <c r="S10805" t="str">
        <f>"BANCO C6 (149)"</f>
        <v>BANCO C6 (149)</v>
      </c>
      <c r="T10805">
        <v>21698</v>
      </c>
      <c r="U10805">
        <v>24838</v>
      </c>
      <c r="V10805" t="s">
        <v>77</v>
      </c>
    </row>
    <row r="10806" spans="1:22">
      <c r="A10806" t="str">
        <f t="shared" si="2032"/>
        <v>13/11/2025</v>
      </c>
      <c r="B10806" t="str">
        <f t="shared" si="2033"/>
        <v>SAÍDA</v>
      </c>
      <c r="C10806" t="str">
        <f t="shared" si="2034"/>
        <v>PIX</v>
      </c>
      <c r="D10806" t="str">
        <f>"24838"</f>
        <v>24838</v>
      </c>
      <c r="E10806" t="str">
        <f t="shared" si="2036"/>
        <v>1</v>
      </c>
      <c r="F10806" t="str">
        <f t="shared" si="2031"/>
        <v>COM</v>
      </c>
      <c r="G10806" t="str">
        <f>"GABRIEL PRATES DE OLIVEIRA (511)"</f>
        <v>GABRIEL PRATES DE OLIVEIRA (511)</v>
      </c>
      <c r="H10806" t="s">
        <v>2987</v>
      </c>
      <c r="I10806" t="str">
        <f t="shared" si="2035"/>
        <v>13/11/2025</v>
      </c>
      <c r="J10806" t="str">
        <f t="shared" si="2037"/>
        <v>04/11/2025</v>
      </c>
      <c r="K10806">
        <v>45974</v>
      </c>
      <c r="N10806">
        <v>109</v>
      </c>
      <c r="O10806" t="s">
        <v>24</v>
      </c>
      <c r="Q10806">
        <v>930</v>
      </c>
      <c r="R10806" t="str">
        <f>"FARMÁCIA INDIANA LJ 163 (10072)"</f>
        <v>FARMÁCIA INDIANA LJ 163 (10072)</v>
      </c>
      <c r="S10806" t="s">
        <v>77</v>
      </c>
      <c r="T10806">
        <v>21698</v>
      </c>
      <c r="U10806">
        <v>24838</v>
      </c>
      <c r="V10806" t="s">
        <v>77</v>
      </c>
    </row>
    <row r="10807" spans="1:22">
      <c r="A10807" t="str">
        <f t="shared" si="2032"/>
        <v>13/11/2025</v>
      </c>
      <c r="B10807" t="str">
        <f t="shared" si="2033"/>
        <v>SAÍDA</v>
      </c>
      <c r="C10807" t="str">
        <f t="shared" si="2034"/>
        <v>PIX</v>
      </c>
      <c r="D10807" t="str">
        <f>"24841"</f>
        <v>24841</v>
      </c>
      <c r="E10807" t="str">
        <f t="shared" si="2036"/>
        <v>1</v>
      </c>
      <c r="F10807" t="str">
        <f t="shared" ref="F10807:F10870" si="2038">"COM"</f>
        <v>COM</v>
      </c>
      <c r="G10807" t="str">
        <f>"MARCELO SOUZA DE MOURA (924)"</f>
        <v>MARCELO SOUZA DE MOURA (924)</v>
      </c>
      <c r="H10807" t="str">
        <f>"Serv.Prest. 24/10/2025 a 02/11/2025 - PIX: CELULAR - CHAVE: (73) 99167-5954"</f>
        <v>Serv.Prest. 24/10/2025 a 02/11/2025 - PIX: CELULAR - CHAVE: (73) 99167-5954</v>
      </c>
      <c r="I10807" t="str">
        <f t="shared" si="2035"/>
        <v>13/11/2025</v>
      </c>
      <c r="J10807" t="str">
        <f t="shared" si="2037"/>
        <v>04/11/2025</v>
      </c>
      <c r="K10807" t="str">
        <f>("13/11/2025")</f>
        <v>13/11/2025</v>
      </c>
      <c r="L10807">
        <v>1012.5</v>
      </c>
      <c r="M10807">
        <v>1012.5</v>
      </c>
      <c r="N10807">
        <v>109</v>
      </c>
      <c r="O10807" t="str">
        <f>"PAGAMENTO DE ENTREGADORES"</f>
        <v>PAGAMENTO DE ENTREGADORES</v>
      </c>
      <c r="P10807">
        <v>1012.5</v>
      </c>
      <c r="S10807" t="str">
        <f>"BANCO C6 (149)"</f>
        <v>BANCO C6 (149)</v>
      </c>
      <c r="T10807">
        <v>21699</v>
      </c>
      <c r="U10807">
        <v>24841</v>
      </c>
      <c r="V10807" t="s">
        <v>77</v>
      </c>
    </row>
    <row r="10808" spans="1:22">
      <c r="A10808" t="str">
        <f t="shared" si="2032"/>
        <v>13/11/2025</v>
      </c>
      <c r="B10808" t="str">
        <f t="shared" si="2033"/>
        <v>SAÍDA</v>
      </c>
      <c r="C10808" t="str">
        <f t="shared" si="2034"/>
        <v>PIX</v>
      </c>
      <c r="D10808" t="str">
        <f>"24841"</f>
        <v>24841</v>
      </c>
      <c r="E10808" t="str">
        <f t="shared" si="2036"/>
        <v>1</v>
      </c>
      <c r="F10808" t="str">
        <f t="shared" si="2038"/>
        <v>COM</v>
      </c>
      <c r="G10808" t="str">
        <f>"MARCELO SOUZA DE MOURA (924)"</f>
        <v>MARCELO SOUZA DE MOURA (924)</v>
      </c>
      <c r="H10808" t="s">
        <v>2988</v>
      </c>
      <c r="I10808" t="str">
        <f t="shared" si="2035"/>
        <v>13/11/2025</v>
      </c>
      <c r="J10808" t="str">
        <f t="shared" si="2037"/>
        <v>04/11/2025</v>
      </c>
      <c r="K10808">
        <v>45974</v>
      </c>
      <c r="N10808">
        <v>109</v>
      </c>
      <c r="O10808" t="s">
        <v>24</v>
      </c>
      <c r="Q10808">
        <v>1012.5</v>
      </c>
      <c r="R10808" t="str">
        <f>"FARMÁCIA INDIANA LJ 273 (10188)"</f>
        <v>FARMÁCIA INDIANA LJ 273 (10188)</v>
      </c>
      <c r="S10808" t="s">
        <v>77</v>
      </c>
      <c r="T10808">
        <v>21699</v>
      </c>
      <c r="U10808">
        <v>24841</v>
      </c>
      <c r="V10808" t="s">
        <v>77</v>
      </c>
    </row>
    <row r="10809" spans="1:22">
      <c r="A10809" t="str">
        <f t="shared" si="2032"/>
        <v>13/11/2025</v>
      </c>
      <c r="B10809" t="str">
        <f t="shared" si="2033"/>
        <v>SAÍDA</v>
      </c>
      <c r="C10809" t="str">
        <f t="shared" si="2034"/>
        <v>PIX</v>
      </c>
      <c r="D10809" t="str">
        <f>"24842"</f>
        <v>24842</v>
      </c>
      <c r="E10809" t="str">
        <f t="shared" si="2036"/>
        <v>1</v>
      </c>
      <c r="F10809" t="str">
        <f t="shared" si="2038"/>
        <v>COM</v>
      </c>
      <c r="G10809" t="str">
        <f>"VANDERLEI PEREIRA CARVALHO (929)"</f>
        <v>VANDERLEI PEREIRA CARVALHO (929)</v>
      </c>
      <c r="H10809" t="str">
        <f>"Serv.Prest. 24/10/2025 a 02/11/2025 - PIX: CELULAR - CHAVE: (27) 99650-9691"</f>
        <v>Serv.Prest. 24/10/2025 a 02/11/2025 - PIX: CELULAR - CHAVE: (27) 99650-9691</v>
      </c>
      <c r="I10809" t="str">
        <f t="shared" si="2035"/>
        <v>13/11/2025</v>
      </c>
      <c r="J10809" t="str">
        <f t="shared" si="2037"/>
        <v>04/11/2025</v>
      </c>
      <c r="K10809" t="str">
        <f>("13/11/2025")</f>
        <v>13/11/2025</v>
      </c>
      <c r="L10809">
        <v>825</v>
      </c>
      <c r="M10809">
        <v>825</v>
      </c>
      <c r="N10809">
        <v>109</v>
      </c>
      <c r="O10809" t="str">
        <f>"PAGAMENTO DE ENTREGADORES"</f>
        <v>PAGAMENTO DE ENTREGADORES</v>
      </c>
      <c r="P10809">
        <v>825</v>
      </c>
      <c r="S10809" t="str">
        <f>"BANCO C6 (149)"</f>
        <v>BANCO C6 (149)</v>
      </c>
      <c r="T10809">
        <v>21700</v>
      </c>
      <c r="U10809">
        <v>24842</v>
      </c>
      <c r="V10809" t="s">
        <v>77</v>
      </c>
    </row>
    <row r="10810" spans="1:22">
      <c r="A10810" t="str">
        <f t="shared" si="2032"/>
        <v>13/11/2025</v>
      </c>
      <c r="B10810" t="str">
        <f t="shared" si="2033"/>
        <v>SAÍDA</v>
      </c>
      <c r="C10810" t="str">
        <f t="shared" si="2034"/>
        <v>PIX</v>
      </c>
      <c r="D10810" t="str">
        <f>"24842"</f>
        <v>24842</v>
      </c>
      <c r="E10810" t="str">
        <f t="shared" si="2036"/>
        <v>1</v>
      </c>
      <c r="F10810" t="str">
        <f t="shared" si="2038"/>
        <v>COM</v>
      </c>
      <c r="G10810" t="str">
        <f>"VANDERLEI PEREIRA CARVALHO (929)"</f>
        <v>VANDERLEI PEREIRA CARVALHO (929)</v>
      </c>
      <c r="H10810" t="s">
        <v>2989</v>
      </c>
      <c r="I10810" t="str">
        <f t="shared" si="2035"/>
        <v>13/11/2025</v>
      </c>
      <c r="J10810" t="str">
        <f t="shared" si="2037"/>
        <v>04/11/2025</v>
      </c>
      <c r="K10810">
        <v>45974</v>
      </c>
      <c r="N10810">
        <v>109</v>
      </c>
      <c r="O10810" t="s">
        <v>24</v>
      </c>
      <c r="Q10810">
        <v>825</v>
      </c>
      <c r="R10810" t="str">
        <f>"FARMÁCIA INDIANA LJ 119 (10053)"</f>
        <v>FARMÁCIA INDIANA LJ 119 (10053)</v>
      </c>
      <c r="S10810" t="s">
        <v>77</v>
      </c>
      <c r="T10810">
        <v>21700</v>
      </c>
      <c r="U10810">
        <v>24842</v>
      </c>
      <c r="V10810" t="s">
        <v>77</v>
      </c>
    </row>
    <row r="10811" spans="1:22">
      <c r="A10811" t="str">
        <f t="shared" si="2032"/>
        <v>13/11/2025</v>
      </c>
      <c r="B10811" t="str">
        <f t="shared" si="2033"/>
        <v>SAÍDA</v>
      </c>
      <c r="C10811" t="str">
        <f t="shared" si="2034"/>
        <v>PIX</v>
      </c>
      <c r="D10811" t="str">
        <f>"24843"</f>
        <v>24843</v>
      </c>
      <c r="E10811" t="str">
        <f t="shared" si="2036"/>
        <v>1</v>
      </c>
      <c r="F10811" t="str">
        <f t="shared" si="2038"/>
        <v>COM</v>
      </c>
      <c r="G10811" t="str">
        <f>"VINÍCIUS NEVES PEREIRA (776)"</f>
        <v>VINÍCIUS NEVES PEREIRA (776)</v>
      </c>
      <c r="H10811" t="str">
        <f>"Serv.Prest. 24/10/2025 a 02/11/2025 - PIX: CPF - CHAVE: 121.963.507-37"</f>
        <v>Serv.Prest. 24/10/2025 a 02/11/2025 - PIX: CPF - CHAVE: 121.963.507-37</v>
      </c>
      <c r="I10811" t="str">
        <f t="shared" si="2035"/>
        <v>13/11/2025</v>
      </c>
      <c r="J10811" t="str">
        <f t="shared" si="2037"/>
        <v>04/11/2025</v>
      </c>
      <c r="K10811" t="str">
        <f>("13/11/2025")</f>
        <v>13/11/2025</v>
      </c>
      <c r="L10811">
        <v>730.75</v>
      </c>
      <c r="M10811">
        <v>730.75</v>
      </c>
      <c r="N10811">
        <v>109</v>
      </c>
      <c r="O10811" t="str">
        <f>"PAGAMENTO DE ENTREGADORES"</f>
        <v>PAGAMENTO DE ENTREGADORES</v>
      </c>
      <c r="P10811">
        <v>730.75</v>
      </c>
      <c r="S10811" t="str">
        <f>"BANCO C6 (149)"</f>
        <v>BANCO C6 (149)</v>
      </c>
      <c r="T10811">
        <v>21701</v>
      </c>
      <c r="U10811">
        <v>24843</v>
      </c>
      <c r="V10811" t="s">
        <v>77</v>
      </c>
    </row>
    <row r="10812" spans="1:22">
      <c r="A10812" t="str">
        <f t="shared" si="2032"/>
        <v>13/11/2025</v>
      </c>
      <c r="B10812" t="str">
        <f t="shared" si="2033"/>
        <v>SAÍDA</v>
      </c>
      <c r="C10812" t="str">
        <f t="shared" si="2034"/>
        <v>PIX</v>
      </c>
      <c r="D10812" t="str">
        <f>"24843"</f>
        <v>24843</v>
      </c>
      <c r="E10812" t="str">
        <f t="shared" si="2036"/>
        <v>1</v>
      </c>
      <c r="F10812" t="str">
        <f t="shared" si="2038"/>
        <v>COM</v>
      </c>
      <c r="G10812" t="str">
        <f>"VINÍCIUS NEVES PEREIRA (776)"</f>
        <v>VINÍCIUS NEVES PEREIRA (776)</v>
      </c>
      <c r="H10812" t="s">
        <v>2897</v>
      </c>
      <c r="I10812" t="str">
        <f t="shared" si="2035"/>
        <v>13/11/2025</v>
      </c>
      <c r="J10812" t="str">
        <f t="shared" si="2037"/>
        <v>04/11/2025</v>
      </c>
      <c r="K10812">
        <v>45974</v>
      </c>
      <c r="N10812">
        <v>109</v>
      </c>
      <c r="O10812" t="s">
        <v>24</v>
      </c>
      <c r="Q10812">
        <v>730.75</v>
      </c>
      <c r="R10812" t="str">
        <f>"FARMÁCIA INDIANA LJ 221 (10093)"</f>
        <v>FARMÁCIA INDIANA LJ 221 (10093)</v>
      </c>
      <c r="S10812" t="s">
        <v>77</v>
      </c>
      <c r="T10812">
        <v>21701</v>
      </c>
      <c r="U10812">
        <v>24843</v>
      </c>
      <c r="V10812" t="s">
        <v>77</v>
      </c>
    </row>
    <row r="10813" spans="1:22">
      <c r="A10813" t="str">
        <f t="shared" si="2032"/>
        <v>13/11/2025</v>
      </c>
      <c r="B10813" t="str">
        <f t="shared" si="2033"/>
        <v>SAÍDA</v>
      </c>
      <c r="C10813" t="str">
        <f t="shared" si="2034"/>
        <v>PIX</v>
      </c>
      <c r="D10813" t="str">
        <f>"24882"</f>
        <v>24882</v>
      </c>
      <c r="E10813" t="str">
        <f t="shared" si="2036"/>
        <v>1</v>
      </c>
      <c r="F10813" t="str">
        <f t="shared" si="2038"/>
        <v>COM</v>
      </c>
      <c r="G10813" t="str">
        <f>"ALAN ACOSTA (897)"</f>
        <v>ALAN ACOSTA (897)</v>
      </c>
      <c r="H10813" t="str">
        <f>"Serv.Prest. 27/10/2025 a 02/11/2025 - PIX: E-MAIL - CHAVE: alanacosta1999@gmail.com"</f>
        <v>Serv.Prest. 27/10/2025 a 02/11/2025 - PIX: E-MAIL - CHAVE: alanacosta1999@gmail.com</v>
      </c>
      <c r="I10813" t="str">
        <f t="shared" si="2035"/>
        <v>13/11/2025</v>
      </c>
      <c r="J10813" t="str">
        <f t="shared" ref="J10813:J10854" si="2039">("05/11/2025")</f>
        <v>05/11/2025</v>
      </c>
      <c r="K10813" t="str">
        <f>("13/11/2025")</f>
        <v>13/11/2025</v>
      </c>
      <c r="L10813">
        <v>630</v>
      </c>
      <c r="M10813">
        <v>630</v>
      </c>
      <c r="N10813">
        <v>109</v>
      </c>
      <c r="O10813" t="str">
        <f>"PAGAMENTO DE ENTREGADORES"</f>
        <v>PAGAMENTO DE ENTREGADORES</v>
      </c>
      <c r="P10813">
        <v>630</v>
      </c>
      <c r="S10813" t="str">
        <f>"BANCO C6 (149)"</f>
        <v>BANCO C6 (149)</v>
      </c>
      <c r="T10813">
        <v>21702</v>
      </c>
      <c r="U10813">
        <v>24882</v>
      </c>
      <c r="V10813" t="s">
        <v>77</v>
      </c>
    </row>
    <row r="10814" spans="1:22">
      <c r="A10814" t="str">
        <f t="shared" si="2032"/>
        <v>13/11/2025</v>
      </c>
      <c r="B10814" t="str">
        <f t="shared" si="2033"/>
        <v>SAÍDA</v>
      </c>
      <c r="C10814" t="str">
        <f t="shared" si="2034"/>
        <v>PIX</v>
      </c>
      <c r="D10814" t="str">
        <f>"24882"</f>
        <v>24882</v>
      </c>
      <c r="E10814" t="str">
        <f t="shared" si="2036"/>
        <v>1</v>
      </c>
      <c r="F10814" t="str">
        <f t="shared" si="2038"/>
        <v>COM</v>
      </c>
      <c r="G10814" t="str">
        <f>"ALAN ACOSTA (897)"</f>
        <v>ALAN ACOSTA (897)</v>
      </c>
      <c r="H10814" t="s">
        <v>2806</v>
      </c>
      <c r="I10814" t="str">
        <f t="shared" si="2035"/>
        <v>13/11/2025</v>
      </c>
      <c r="J10814" t="str">
        <f t="shared" si="2039"/>
        <v>05/11/2025</v>
      </c>
      <c r="K10814">
        <v>45974</v>
      </c>
      <c r="N10814">
        <v>109</v>
      </c>
      <c r="O10814" t="s">
        <v>24</v>
      </c>
      <c r="Q10814">
        <v>630</v>
      </c>
      <c r="R10814" t="str">
        <f>"AC FARMA - CID.ALTA (10166)"</f>
        <v>AC FARMA - CID.ALTA (10166)</v>
      </c>
      <c r="S10814" t="s">
        <v>77</v>
      </c>
      <c r="T10814">
        <v>21702</v>
      </c>
      <c r="U10814">
        <v>24882</v>
      </c>
      <c r="V10814" t="s">
        <v>77</v>
      </c>
    </row>
    <row r="10815" spans="1:22">
      <c r="A10815" t="str">
        <f t="shared" si="2032"/>
        <v>13/11/2025</v>
      </c>
      <c r="B10815" t="str">
        <f t="shared" si="2033"/>
        <v>SAÍDA</v>
      </c>
      <c r="C10815" t="str">
        <f t="shared" si="2034"/>
        <v>PIX</v>
      </c>
      <c r="D10815" t="str">
        <f>"24883"</f>
        <v>24883</v>
      </c>
      <c r="E10815" t="str">
        <f t="shared" si="2036"/>
        <v>1</v>
      </c>
      <c r="F10815" t="str">
        <f t="shared" si="2038"/>
        <v>COM</v>
      </c>
      <c r="G10815" t="str">
        <f>"ALEXANDRE DA CONCEICAO (714)"</f>
        <v>ALEXANDRE DA CONCEICAO (714)</v>
      </c>
      <c r="H10815" t="str">
        <f>"Serv.Prest. 27/10/2025 a 02/11/2025 - PIX: CPF - CHAVE: 975.425.989-53"</f>
        <v>Serv.Prest. 27/10/2025 a 02/11/2025 - PIX: CPF - CHAVE: 975.425.989-53</v>
      </c>
      <c r="I10815" t="str">
        <f t="shared" si="2035"/>
        <v>13/11/2025</v>
      </c>
      <c r="J10815" t="str">
        <f t="shared" si="2039"/>
        <v>05/11/2025</v>
      </c>
      <c r="K10815" t="str">
        <f>("13/11/2025")</f>
        <v>13/11/2025</v>
      </c>
      <c r="L10815">
        <v>358</v>
      </c>
      <c r="M10815">
        <v>358</v>
      </c>
      <c r="N10815">
        <v>109</v>
      </c>
      <c r="O10815" t="str">
        <f>"PAGAMENTO DE ENTREGADORES"</f>
        <v>PAGAMENTO DE ENTREGADORES</v>
      </c>
      <c r="P10815">
        <v>358</v>
      </c>
      <c r="S10815" t="str">
        <f>"BANCO C6 (149)"</f>
        <v>BANCO C6 (149)</v>
      </c>
      <c r="T10815">
        <v>21703</v>
      </c>
      <c r="U10815">
        <v>24883</v>
      </c>
      <c r="V10815" t="s">
        <v>77</v>
      </c>
    </row>
    <row r="10816" spans="1:22">
      <c r="A10816" t="str">
        <f t="shared" si="2032"/>
        <v>13/11/2025</v>
      </c>
      <c r="B10816" t="str">
        <f t="shared" si="2033"/>
        <v>SAÍDA</v>
      </c>
      <c r="C10816" t="str">
        <f t="shared" si="2034"/>
        <v>PIX</v>
      </c>
      <c r="D10816" t="str">
        <f>"24883"</f>
        <v>24883</v>
      </c>
      <c r="E10816" t="str">
        <f t="shared" si="2036"/>
        <v>1</v>
      </c>
      <c r="F10816" t="str">
        <f t="shared" si="2038"/>
        <v>COM</v>
      </c>
      <c r="G10816" t="str">
        <f>"ALEXANDRE DA CONCEICAO (714)"</f>
        <v>ALEXANDRE DA CONCEICAO (714)</v>
      </c>
      <c r="H10816" t="s">
        <v>2808</v>
      </c>
      <c r="I10816" t="str">
        <f t="shared" si="2035"/>
        <v>13/11/2025</v>
      </c>
      <c r="J10816" t="str">
        <f t="shared" si="2039"/>
        <v>05/11/2025</v>
      </c>
      <c r="K10816">
        <v>45974</v>
      </c>
      <c r="N10816">
        <v>109</v>
      </c>
      <c r="O10816" t="s">
        <v>24</v>
      </c>
      <c r="Q10816">
        <v>358</v>
      </c>
      <c r="R10816" t="str">
        <f>"AC FARMA - CID.ALTA (10166)"</f>
        <v>AC FARMA - CID.ALTA (10166)</v>
      </c>
      <c r="S10816" t="s">
        <v>77</v>
      </c>
      <c r="T10816">
        <v>21703</v>
      </c>
      <c r="U10816">
        <v>24883</v>
      </c>
      <c r="V10816" t="s">
        <v>77</v>
      </c>
    </row>
    <row r="10817" spans="1:22">
      <c r="A10817" t="str">
        <f t="shared" si="2032"/>
        <v>13/11/2025</v>
      </c>
      <c r="B10817" t="str">
        <f t="shared" si="2033"/>
        <v>SAÍDA</v>
      </c>
      <c r="C10817" t="str">
        <f t="shared" si="2034"/>
        <v>PIX</v>
      </c>
      <c r="D10817" t="str">
        <f>"24884"</f>
        <v>24884</v>
      </c>
      <c r="E10817" t="str">
        <f t="shared" si="2036"/>
        <v>1</v>
      </c>
      <c r="F10817" t="str">
        <f t="shared" si="2038"/>
        <v>COM</v>
      </c>
      <c r="G10817" t="str">
        <f>"CLAUDINEI RIBEIRO VALERIO (681)"</f>
        <v>CLAUDINEI RIBEIRO VALERIO (681)</v>
      </c>
      <c r="H10817" t="str">
        <f>"Serv.Prest. 27/10/2025 a 02/11/2025 - PIX: CELULAR - CHAVE: (43) 99630-7532"</f>
        <v>Serv.Prest. 27/10/2025 a 02/11/2025 - PIX: CELULAR - CHAVE: (43) 99630-7532</v>
      </c>
      <c r="I10817" t="str">
        <f t="shared" si="2035"/>
        <v>13/11/2025</v>
      </c>
      <c r="J10817" t="str">
        <f t="shared" si="2039"/>
        <v>05/11/2025</v>
      </c>
      <c r="K10817" t="str">
        <f>("13/11/2025")</f>
        <v>13/11/2025</v>
      </c>
      <c r="L10817">
        <v>849.4</v>
      </c>
      <c r="M10817">
        <v>849.4</v>
      </c>
      <c r="N10817">
        <v>109</v>
      </c>
      <c r="O10817" t="str">
        <f>"PAGAMENTO DE ENTREGADORES"</f>
        <v>PAGAMENTO DE ENTREGADORES</v>
      </c>
      <c r="P10817">
        <v>849.4</v>
      </c>
      <c r="S10817" t="str">
        <f>"BANCO C6 (149)"</f>
        <v>BANCO C6 (149)</v>
      </c>
      <c r="T10817">
        <v>21704</v>
      </c>
      <c r="U10817">
        <v>24884</v>
      </c>
      <c r="V10817" t="s">
        <v>77</v>
      </c>
    </row>
    <row r="10818" spans="1:22">
      <c r="A10818" t="str">
        <f t="shared" si="2032"/>
        <v>13/11/2025</v>
      </c>
      <c r="B10818" t="str">
        <f t="shared" si="2033"/>
        <v>SAÍDA</v>
      </c>
      <c r="C10818" t="str">
        <f t="shared" si="2034"/>
        <v>PIX</v>
      </c>
      <c r="D10818" t="str">
        <f>"24884"</f>
        <v>24884</v>
      </c>
      <c r="E10818" t="str">
        <f t="shared" si="2036"/>
        <v>1</v>
      </c>
      <c r="F10818" t="str">
        <f t="shared" si="2038"/>
        <v>COM</v>
      </c>
      <c r="G10818" t="str">
        <f>"CLAUDINEI RIBEIRO VALERIO (681)"</f>
        <v>CLAUDINEI RIBEIRO VALERIO (681)</v>
      </c>
      <c r="H10818" t="s">
        <v>2820</v>
      </c>
      <c r="I10818" t="str">
        <f t="shared" si="2035"/>
        <v>13/11/2025</v>
      </c>
      <c r="J10818" t="str">
        <f t="shared" si="2039"/>
        <v>05/11/2025</v>
      </c>
      <c r="K10818">
        <v>45974</v>
      </c>
      <c r="N10818">
        <v>109</v>
      </c>
      <c r="O10818" t="s">
        <v>24</v>
      </c>
      <c r="Q10818">
        <v>849.4</v>
      </c>
      <c r="R10818" t="str">
        <f>"AC FARMA - CID.ALTA (10166)"</f>
        <v>AC FARMA - CID.ALTA (10166)</v>
      </c>
      <c r="S10818" t="s">
        <v>77</v>
      </c>
      <c r="T10818">
        <v>21704</v>
      </c>
      <c r="U10818">
        <v>24884</v>
      </c>
      <c r="V10818" t="s">
        <v>77</v>
      </c>
    </row>
    <row r="10819" spans="1:22">
      <c r="A10819" t="str">
        <f t="shared" si="2032"/>
        <v>13/11/2025</v>
      </c>
      <c r="B10819" t="str">
        <f t="shared" si="2033"/>
        <v>SAÍDA</v>
      </c>
      <c r="C10819" t="str">
        <f t="shared" si="2034"/>
        <v>PIX</v>
      </c>
      <c r="D10819" t="str">
        <f>"24885"</f>
        <v>24885</v>
      </c>
      <c r="E10819" t="str">
        <f t="shared" si="2036"/>
        <v>1</v>
      </c>
      <c r="F10819" t="str">
        <f t="shared" si="2038"/>
        <v>COM</v>
      </c>
      <c r="G10819" t="str">
        <f>"FERNANDO MARTINS DA SILVA (701)"</f>
        <v>FERNANDO MARTINS DA SILVA (701)</v>
      </c>
      <c r="H10819" t="str">
        <f>"Serv.Prest. 27/10/2025 a 02/11/2025 - PIX: CPF - CHAVE: 004.682.359-06"</f>
        <v>Serv.Prest. 27/10/2025 a 02/11/2025 - PIX: CPF - CHAVE: 004.682.359-06</v>
      </c>
      <c r="I10819" t="str">
        <f t="shared" si="2035"/>
        <v>13/11/2025</v>
      </c>
      <c r="J10819" t="str">
        <f t="shared" si="2039"/>
        <v>05/11/2025</v>
      </c>
      <c r="K10819" t="str">
        <f>("13/11/2025")</f>
        <v>13/11/2025</v>
      </c>
      <c r="L10819">
        <v>1057.3</v>
      </c>
      <c r="M10819">
        <v>1057.3</v>
      </c>
      <c r="N10819">
        <v>109</v>
      </c>
      <c r="O10819" t="str">
        <f>"PAGAMENTO DE ENTREGADORES"</f>
        <v>PAGAMENTO DE ENTREGADORES</v>
      </c>
      <c r="P10819">
        <v>1057.3</v>
      </c>
      <c r="S10819" t="str">
        <f>"BANCO C6 (149)"</f>
        <v>BANCO C6 (149)</v>
      </c>
      <c r="T10819">
        <v>21705</v>
      </c>
      <c r="U10819">
        <v>24885</v>
      </c>
      <c r="V10819" t="s">
        <v>77</v>
      </c>
    </row>
    <row r="10820" spans="1:22">
      <c r="A10820" t="str">
        <f t="shared" si="2032"/>
        <v>13/11/2025</v>
      </c>
      <c r="B10820" t="str">
        <f t="shared" si="2033"/>
        <v>SAÍDA</v>
      </c>
      <c r="C10820" t="str">
        <f t="shared" si="2034"/>
        <v>PIX</v>
      </c>
      <c r="D10820" t="str">
        <f>"24885"</f>
        <v>24885</v>
      </c>
      <c r="E10820" t="str">
        <f t="shared" si="2036"/>
        <v>1</v>
      </c>
      <c r="F10820" t="str">
        <f t="shared" si="2038"/>
        <v>COM</v>
      </c>
      <c r="G10820" t="str">
        <f>"FERNANDO MARTINS DA SILVA (701)"</f>
        <v>FERNANDO MARTINS DA SILVA (701)</v>
      </c>
      <c r="H10820" t="s">
        <v>2836</v>
      </c>
      <c r="I10820" t="str">
        <f t="shared" si="2035"/>
        <v>13/11/2025</v>
      </c>
      <c r="J10820" t="str">
        <f t="shared" si="2039"/>
        <v>05/11/2025</v>
      </c>
      <c r="K10820">
        <v>45974</v>
      </c>
      <c r="N10820">
        <v>109</v>
      </c>
      <c r="O10820" t="s">
        <v>24</v>
      </c>
      <c r="Q10820">
        <v>1057.3</v>
      </c>
      <c r="R10820" t="str">
        <f>"AC FARMA - CID.ALTA (10166)"</f>
        <v>AC FARMA - CID.ALTA (10166)</v>
      </c>
      <c r="S10820" t="s">
        <v>77</v>
      </c>
      <c r="T10820">
        <v>21705</v>
      </c>
      <c r="U10820">
        <v>24885</v>
      </c>
      <c r="V10820" t="s">
        <v>77</v>
      </c>
    </row>
    <row r="10821" spans="1:22">
      <c r="A10821" t="str">
        <f t="shared" si="2032"/>
        <v>13/11/2025</v>
      </c>
      <c r="B10821" t="str">
        <f t="shared" si="2033"/>
        <v>SAÍDA</v>
      </c>
      <c r="C10821" t="str">
        <f t="shared" si="2034"/>
        <v>PIX</v>
      </c>
      <c r="D10821" t="str">
        <f>"24886"</f>
        <v>24886</v>
      </c>
      <c r="E10821" t="str">
        <f t="shared" si="2036"/>
        <v>1</v>
      </c>
      <c r="F10821" t="str">
        <f t="shared" si="2038"/>
        <v>COM</v>
      </c>
      <c r="G10821" t="str">
        <f>"GERALDO SEVERINO DE SANTANA (729)"</f>
        <v>GERALDO SEVERINO DE SANTANA (729)</v>
      </c>
      <c r="H10821" t="str">
        <f>"Serv.Prest. 27/10/2025 a 02/11/2025 - PIX: CELULAR - CHAVE: (43) 99934-1696"</f>
        <v>Serv.Prest. 27/10/2025 a 02/11/2025 - PIX: CELULAR - CHAVE: (43) 99934-1696</v>
      </c>
      <c r="I10821" t="str">
        <f t="shared" si="2035"/>
        <v>13/11/2025</v>
      </c>
      <c r="J10821" t="str">
        <f t="shared" si="2039"/>
        <v>05/11/2025</v>
      </c>
      <c r="K10821" t="str">
        <f>("13/11/2025")</f>
        <v>13/11/2025</v>
      </c>
      <c r="L10821">
        <v>616.29999999999995</v>
      </c>
      <c r="M10821">
        <v>616.29999999999995</v>
      </c>
      <c r="N10821">
        <v>109</v>
      </c>
      <c r="O10821" t="str">
        <f>"PAGAMENTO DE ENTREGADORES"</f>
        <v>PAGAMENTO DE ENTREGADORES</v>
      </c>
      <c r="P10821">
        <v>616.29999999999995</v>
      </c>
      <c r="S10821" t="str">
        <f>"BANCO C6 (149)"</f>
        <v>BANCO C6 (149)</v>
      </c>
      <c r="T10821">
        <v>21706</v>
      </c>
      <c r="U10821">
        <v>24886</v>
      </c>
      <c r="V10821" t="s">
        <v>77</v>
      </c>
    </row>
    <row r="10822" spans="1:22">
      <c r="A10822" t="str">
        <f t="shared" si="2032"/>
        <v>13/11/2025</v>
      </c>
      <c r="B10822" t="str">
        <f t="shared" si="2033"/>
        <v>SAÍDA</v>
      </c>
      <c r="C10822" t="str">
        <f t="shared" si="2034"/>
        <v>PIX</v>
      </c>
      <c r="D10822" t="str">
        <f>"24886"</f>
        <v>24886</v>
      </c>
      <c r="E10822" t="str">
        <f t="shared" si="2036"/>
        <v>1</v>
      </c>
      <c r="F10822" t="str">
        <f t="shared" si="2038"/>
        <v>COM</v>
      </c>
      <c r="G10822" t="str">
        <f>"GERALDO SEVERINO DE SANTANA (729)"</f>
        <v>GERALDO SEVERINO DE SANTANA (729)</v>
      </c>
      <c r="H10822" t="s">
        <v>2840</v>
      </c>
      <c r="I10822" t="str">
        <f t="shared" si="2035"/>
        <v>13/11/2025</v>
      </c>
      <c r="J10822" t="str">
        <f t="shared" si="2039"/>
        <v>05/11/2025</v>
      </c>
      <c r="K10822">
        <v>45974</v>
      </c>
      <c r="N10822">
        <v>109</v>
      </c>
      <c r="O10822" t="s">
        <v>24</v>
      </c>
      <c r="Q10822">
        <v>616.29999999999995</v>
      </c>
      <c r="R10822" t="str">
        <f>"AC FARMA - CID.ALTA (10166)"</f>
        <v>AC FARMA - CID.ALTA (10166)</v>
      </c>
      <c r="S10822" t="s">
        <v>77</v>
      </c>
      <c r="T10822">
        <v>21706</v>
      </c>
      <c r="U10822">
        <v>24886</v>
      </c>
      <c r="V10822" t="s">
        <v>77</v>
      </c>
    </row>
    <row r="10823" spans="1:22">
      <c r="A10823" t="str">
        <f t="shared" si="2032"/>
        <v>13/11/2025</v>
      </c>
      <c r="B10823" t="str">
        <f t="shared" si="2033"/>
        <v>SAÍDA</v>
      </c>
      <c r="C10823" t="str">
        <f t="shared" si="2034"/>
        <v>PIX</v>
      </c>
      <c r="D10823" t="str">
        <f>"24887"</f>
        <v>24887</v>
      </c>
      <c r="E10823" t="str">
        <f t="shared" si="2036"/>
        <v>1</v>
      </c>
      <c r="F10823" t="str">
        <f t="shared" si="2038"/>
        <v>COM</v>
      </c>
      <c r="G10823" t="str">
        <f>"HELITON DE OLIVEIRA RAMOS BARBOSA (724)"</f>
        <v>HELITON DE OLIVEIRA RAMOS BARBOSA (724)</v>
      </c>
      <c r="H10823" t="str">
        <f>"Serv.Prest. 27/10/2025 a 02/11/2025 - PIX: CPF - CHAVE: 074.604.219-10"</f>
        <v>Serv.Prest. 27/10/2025 a 02/11/2025 - PIX: CPF - CHAVE: 074.604.219-10</v>
      </c>
      <c r="I10823" t="str">
        <f t="shared" si="2035"/>
        <v>13/11/2025</v>
      </c>
      <c r="J10823" t="str">
        <f t="shared" si="2039"/>
        <v>05/11/2025</v>
      </c>
      <c r="K10823" t="str">
        <f>("13/11/2025")</f>
        <v>13/11/2025</v>
      </c>
      <c r="L10823">
        <v>937.6</v>
      </c>
      <c r="M10823">
        <v>937.6</v>
      </c>
      <c r="N10823">
        <v>109</v>
      </c>
      <c r="O10823" t="str">
        <f>"PAGAMENTO DE ENTREGADORES"</f>
        <v>PAGAMENTO DE ENTREGADORES</v>
      </c>
      <c r="P10823">
        <v>937.6</v>
      </c>
      <c r="S10823" t="str">
        <f>"BANCO C6 (149)"</f>
        <v>BANCO C6 (149)</v>
      </c>
      <c r="T10823">
        <v>21707</v>
      </c>
      <c r="U10823">
        <v>24887</v>
      </c>
      <c r="V10823" t="s">
        <v>77</v>
      </c>
    </row>
    <row r="10824" spans="1:22">
      <c r="A10824" t="str">
        <f t="shared" si="2032"/>
        <v>13/11/2025</v>
      </c>
      <c r="B10824" t="str">
        <f t="shared" si="2033"/>
        <v>SAÍDA</v>
      </c>
      <c r="C10824" t="str">
        <f t="shared" si="2034"/>
        <v>PIX</v>
      </c>
      <c r="D10824" t="str">
        <f>"24887"</f>
        <v>24887</v>
      </c>
      <c r="E10824" t="str">
        <f t="shared" si="2036"/>
        <v>1</v>
      </c>
      <c r="F10824" t="str">
        <f t="shared" si="2038"/>
        <v>COM</v>
      </c>
      <c r="G10824" t="str">
        <f>"HELITON DE OLIVEIRA RAMOS BARBOSA (724)"</f>
        <v>HELITON DE OLIVEIRA RAMOS BARBOSA (724)</v>
      </c>
      <c r="H10824" t="s">
        <v>2847</v>
      </c>
      <c r="I10824" t="str">
        <f t="shared" si="2035"/>
        <v>13/11/2025</v>
      </c>
      <c r="J10824" t="str">
        <f t="shared" si="2039"/>
        <v>05/11/2025</v>
      </c>
      <c r="K10824">
        <v>45974</v>
      </c>
      <c r="N10824">
        <v>109</v>
      </c>
      <c r="O10824" t="s">
        <v>24</v>
      </c>
      <c r="Q10824">
        <v>937.6</v>
      </c>
      <c r="R10824" t="str">
        <f>"AC FARMA - CID.ALTA (10166)"</f>
        <v>AC FARMA - CID.ALTA (10166)</v>
      </c>
      <c r="S10824" t="s">
        <v>77</v>
      </c>
      <c r="T10824">
        <v>21707</v>
      </c>
      <c r="U10824">
        <v>24887</v>
      </c>
      <c r="V10824" t="s">
        <v>77</v>
      </c>
    </row>
    <row r="10825" spans="1:22">
      <c r="A10825" t="str">
        <f t="shared" si="2032"/>
        <v>13/11/2025</v>
      </c>
      <c r="B10825" t="str">
        <f t="shared" si="2033"/>
        <v>SAÍDA</v>
      </c>
      <c r="C10825" t="str">
        <f t="shared" si="2034"/>
        <v>PIX</v>
      </c>
      <c r="D10825" t="str">
        <f>"24888"</f>
        <v>24888</v>
      </c>
      <c r="E10825" t="str">
        <f t="shared" si="2036"/>
        <v>1</v>
      </c>
      <c r="F10825" t="str">
        <f t="shared" si="2038"/>
        <v>COM</v>
      </c>
      <c r="G10825" t="str">
        <f>"RAUL SILVA ROMAO (727)"</f>
        <v>RAUL SILVA ROMAO (727)</v>
      </c>
      <c r="H10825" t="str">
        <f>"Serv.Prest. 27/10/2025 a 02/11/2025 - PIX: CPF - CHAVE: 878.196.869-87"</f>
        <v>Serv.Prest. 27/10/2025 a 02/11/2025 - PIX: CPF - CHAVE: 878.196.869-87</v>
      </c>
      <c r="I10825" t="str">
        <f t="shared" si="2035"/>
        <v>13/11/2025</v>
      </c>
      <c r="J10825" t="str">
        <f t="shared" si="2039"/>
        <v>05/11/2025</v>
      </c>
      <c r="K10825" t="str">
        <f>("13/11/2025")</f>
        <v>13/11/2025</v>
      </c>
      <c r="L10825">
        <v>295</v>
      </c>
      <c r="M10825">
        <v>295</v>
      </c>
      <c r="N10825">
        <v>109</v>
      </c>
      <c r="O10825" t="str">
        <f>"PAGAMENTO DE ENTREGADORES"</f>
        <v>PAGAMENTO DE ENTREGADORES</v>
      </c>
      <c r="P10825">
        <v>295</v>
      </c>
      <c r="S10825" t="str">
        <f>"BANCO C6 (149)"</f>
        <v>BANCO C6 (149)</v>
      </c>
      <c r="T10825">
        <v>21708</v>
      </c>
      <c r="U10825">
        <v>24888</v>
      </c>
      <c r="V10825" t="s">
        <v>77</v>
      </c>
    </row>
    <row r="10826" spans="1:22">
      <c r="A10826" t="str">
        <f t="shared" si="2032"/>
        <v>13/11/2025</v>
      </c>
      <c r="B10826" t="str">
        <f t="shared" si="2033"/>
        <v>SAÍDA</v>
      </c>
      <c r="C10826" t="str">
        <f t="shared" si="2034"/>
        <v>PIX</v>
      </c>
      <c r="D10826" t="str">
        <f>"24888"</f>
        <v>24888</v>
      </c>
      <c r="E10826" t="str">
        <f t="shared" si="2036"/>
        <v>1</v>
      </c>
      <c r="F10826" t="str">
        <f t="shared" si="2038"/>
        <v>COM</v>
      </c>
      <c r="G10826" t="str">
        <f>"RAUL SILVA ROMAO (727)"</f>
        <v>RAUL SILVA ROMAO (727)</v>
      </c>
      <c r="H10826" t="s">
        <v>2886</v>
      </c>
      <c r="I10826" t="str">
        <f t="shared" si="2035"/>
        <v>13/11/2025</v>
      </c>
      <c r="J10826" t="str">
        <f t="shared" si="2039"/>
        <v>05/11/2025</v>
      </c>
      <c r="K10826">
        <v>45974</v>
      </c>
      <c r="N10826">
        <v>109</v>
      </c>
      <c r="O10826" t="s">
        <v>24</v>
      </c>
      <c r="Q10826">
        <v>295</v>
      </c>
      <c r="R10826" t="str">
        <f>"AC FARMA - CID.ALTA (10166)"</f>
        <v>AC FARMA - CID.ALTA (10166)</v>
      </c>
      <c r="S10826" t="s">
        <v>77</v>
      </c>
      <c r="T10826">
        <v>21708</v>
      </c>
      <c r="U10826">
        <v>24888</v>
      </c>
      <c r="V10826" t="s">
        <v>77</v>
      </c>
    </row>
    <row r="10827" spans="1:22">
      <c r="A10827" t="str">
        <f t="shared" si="2032"/>
        <v>13/11/2025</v>
      </c>
      <c r="B10827" t="str">
        <f t="shared" si="2033"/>
        <v>SAÍDA</v>
      </c>
      <c r="C10827" t="str">
        <f t="shared" si="2034"/>
        <v>PIX</v>
      </c>
      <c r="D10827" t="str">
        <f>"24890"</f>
        <v>24890</v>
      </c>
      <c r="E10827" t="str">
        <f t="shared" si="2036"/>
        <v>1</v>
      </c>
      <c r="F10827" t="str">
        <f t="shared" si="2038"/>
        <v>COM</v>
      </c>
      <c r="G10827" t="str">
        <f>"ALAN ACOSTA (897)"</f>
        <v>ALAN ACOSTA (897)</v>
      </c>
      <c r="H10827" t="str">
        <f>"Serv.Prest. 27/10/2025 a 02/11/2025 - PIX: E-MAIL - CHAVE: alanacosta1999@gmail.com"</f>
        <v>Serv.Prest. 27/10/2025 a 02/11/2025 - PIX: E-MAIL - CHAVE: alanacosta1999@gmail.com</v>
      </c>
      <c r="I10827" t="str">
        <f t="shared" si="2035"/>
        <v>13/11/2025</v>
      </c>
      <c r="J10827" t="str">
        <f t="shared" si="2039"/>
        <v>05/11/2025</v>
      </c>
      <c r="K10827" t="str">
        <f>("13/11/2025")</f>
        <v>13/11/2025</v>
      </c>
      <c r="L10827">
        <v>175.3</v>
      </c>
      <c r="M10827">
        <v>175.3</v>
      </c>
      <c r="N10827">
        <v>109</v>
      </c>
      <c r="O10827" t="str">
        <f>"PAGAMENTO DE ENTREGADORES"</f>
        <v>PAGAMENTO DE ENTREGADORES</v>
      </c>
      <c r="P10827">
        <v>175.3</v>
      </c>
      <c r="S10827" t="str">
        <f>"BANCO C6 (149)"</f>
        <v>BANCO C6 (149)</v>
      </c>
      <c r="T10827">
        <v>21709</v>
      </c>
      <c r="U10827">
        <v>24890</v>
      </c>
      <c r="V10827" t="s">
        <v>77</v>
      </c>
    </row>
    <row r="10828" spans="1:22">
      <c r="A10828" t="str">
        <f t="shared" si="2032"/>
        <v>13/11/2025</v>
      </c>
      <c r="B10828" t="str">
        <f t="shared" si="2033"/>
        <v>SAÍDA</v>
      </c>
      <c r="C10828" t="str">
        <f t="shared" si="2034"/>
        <v>PIX</v>
      </c>
      <c r="D10828" t="str">
        <f>"24890"</f>
        <v>24890</v>
      </c>
      <c r="E10828" t="str">
        <f t="shared" si="2036"/>
        <v>1</v>
      </c>
      <c r="F10828" t="str">
        <f t="shared" si="2038"/>
        <v>COM</v>
      </c>
      <c r="G10828" t="str">
        <f>"ALAN ACOSTA (897)"</f>
        <v>ALAN ACOSTA (897)</v>
      </c>
      <c r="H10828" t="s">
        <v>2806</v>
      </c>
      <c r="I10828" t="str">
        <f t="shared" si="2035"/>
        <v>13/11/2025</v>
      </c>
      <c r="J10828" t="str">
        <f t="shared" si="2039"/>
        <v>05/11/2025</v>
      </c>
      <c r="K10828">
        <v>45974</v>
      </c>
      <c r="N10828">
        <v>109</v>
      </c>
      <c r="O10828" t="s">
        <v>24</v>
      </c>
      <c r="Q10828">
        <v>169.64</v>
      </c>
      <c r="R10828" t="str">
        <f>"AC FARMA -  FLEMINFARMA (10159)"</f>
        <v>AC FARMA -  FLEMINFARMA (10159)</v>
      </c>
      <c r="S10828" t="s">
        <v>77</v>
      </c>
      <c r="T10828">
        <v>21709</v>
      </c>
      <c r="U10828">
        <v>24890</v>
      </c>
      <c r="V10828" t="s">
        <v>77</v>
      </c>
    </row>
    <row r="10829" spans="1:22">
      <c r="A10829" t="str">
        <f t="shared" si="2032"/>
        <v>13/11/2025</v>
      </c>
      <c r="B10829" t="str">
        <f t="shared" si="2033"/>
        <v>SAÍDA</v>
      </c>
      <c r="C10829" t="str">
        <f t="shared" si="2034"/>
        <v>PIX</v>
      </c>
      <c r="D10829" t="str">
        <f>"24890"</f>
        <v>24890</v>
      </c>
      <c r="E10829" t="str">
        <f t="shared" si="2036"/>
        <v>1</v>
      </c>
      <c r="F10829" t="str">
        <f t="shared" si="2038"/>
        <v>COM</v>
      </c>
      <c r="G10829" t="str">
        <f>"ALAN ACOSTA (897)"</f>
        <v>ALAN ACOSTA (897)</v>
      </c>
      <c r="H10829" t="s">
        <v>2806</v>
      </c>
      <c r="I10829" t="str">
        <f t="shared" si="2035"/>
        <v>13/11/2025</v>
      </c>
      <c r="J10829" t="str">
        <f t="shared" si="2039"/>
        <v>05/11/2025</v>
      </c>
      <c r="K10829">
        <v>45974</v>
      </c>
      <c r="N10829">
        <v>109</v>
      </c>
      <c r="O10829" t="s">
        <v>24</v>
      </c>
      <c r="Q10829">
        <v>5.66</v>
      </c>
      <c r="R10829" t="str">
        <f>"AC FARMA - FLEMINFARMA (10160)"</f>
        <v>AC FARMA - FLEMINFARMA (10160)</v>
      </c>
      <c r="S10829" t="s">
        <v>77</v>
      </c>
      <c r="T10829">
        <v>21709</v>
      </c>
      <c r="U10829">
        <v>24890</v>
      </c>
      <c r="V10829" t="s">
        <v>77</v>
      </c>
    </row>
    <row r="10830" spans="1:22">
      <c r="A10830" t="str">
        <f t="shared" si="2032"/>
        <v>13/11/2025</v>
      </c>
      <c r="B10830" t="str">
        <f t="shared" si="2033"/>
        <v>SAÍDA</v>
      </c>
      <c r="C10830" t="str">
        <f t="shared" si="2034"/>
        <v>PIX</v>
      </c>
      <c r="D10830" t="str">
        <f>"24891"</f>
        <v>24891</v>
      </c>
      <c r="E10830" t="str">
        <f t="shared" si="2036"/>
        <v>1</v>
      </c>
      <c r="F10830" t="str">
        <f t="shared" si="2038"/>
        <v>COM</v>
      </c>
      <c r="G10830" t="str">
        <f>"ALEXANDRE DA CONCEICAO (714)"</f>
        <v>ALEXANDRE DA CONCEICAO (714)</v>
      </c>
      <c r="H10830" t="str">
        <f>"Serv.Prest. 27/10/2025 a 02/11/2025 - PIX: CPF - CHAVE: 975.425.989-53"</f>
        <v>Serv.Prest. 27/10/2025 a 02/11/2025 - PIX: CPF - CHAVE: 975.425.989-53</v>
      </c>
      <c r="I10830" t="str">
        <f t="shared" si="2035"/>
        <v>13/11/2025</v>
      </c>
      <c r="J10830" t="str">
        <f t="shared" si="2039"/>
        <v>05/11/2025</v>
      </c>
      <c r="K10830" t="str">
        <f>("13/11/2025")</f>
        <v>13/11/2025</v>
      </c>
      <c r="L10830">
        <v>69.3</v>
      </c>
      <c r="M10830">
        <v>69.3</v>
      </c>
      <c r="N10830">
        <v>109</v>
      </c>
      <c r="O10830" t="str">
        <f>"PAGAMENTO DE ENTREGADORES"</f>
        <v>PAGAMENTO DE ENTREGADORES</v>
      </c>
      <c r="P10830">
        <v>69.3</v>
      </c>
      <c r="S10830" t="str">
        <f>"BANCO C6 (149)"</f>
        <v>BANCO C6 (149)</v>
      </c>
      <c r="T10830">
        <v>21710</v>
      </c>
      <c r="U10830">
        <v>24891</v>
      </c>
      <c r="V10830" t="s">
        <v>77</v>
      </c>
    </row>
    <row r="10831" spans="1:22">
      <c r="A10831" t="str">
        <f t="shared" si="2032"/>
        <v>13/11/2025</v>
      </c>
      <c r="B10831" t="str">
        <f t="shared" si="2033"/>
        <v>SAÍDA</v>
      </c>
      <c r="C10831" t="str">
        <f t="shared" si="2034"/>
        <v>PIX</v>
      </c>
      <c r="D10831" t="str">
        <f>"24891"</f>
        <v>24891</v>
      </c>
      <c r="E10831" t="str">
        <f t="shared" si="2036"/>
        <v>1</v>
      </c>
      <c r="F10831" t="str">
        <f t="shared" si="2038"/>
        <v>COM</v>
      </c>
      <c r="G10831" t="str">
        <f>"ALEXANDRE DA CONCEICAO (714)"</f>
        <v>ALEXANDRE DA CONCEICAO (714)</v>
      </c>
      <c r="H10831" t="s">
        <v>2808</v>
      </c>
      <c r="I10831" t="str">
        <f t="shared" si="2035"/>
        <v>13/11/2025</v>
      </c>
      <c r="J10831" t="str">
        <f t="shared" si="2039"/>
        <v>05/11/2025</v>
      </c>
      <c r="K10831">
        <v>45974</v>
      </c>
      <c r="N10831">
        <v>109</v>
      </c>
      <c r="O10831" t="s">
        <v>24</v>
      </c>
      <c r="Q10831">
        <v>63</v>
      </c>
      <c r="R10831" t="str">
        <f>"AC FARMA -  FLEMINFARMA (10159)"</f>
        <v>AC FARMA -  FLEMINFARMA (10159)</v>
      </c>
      <c r="S10831" t="s">
        <v>77</v>
      </c>
      <c r="T10831">
        <v>21710</v>
      </c>
      <c r="U10831">
        <v>24891</v>
      </c>
      <c r="V10831" t="s">
        <v>77</v>
      </c>
    </row>
    <row r="10832" spans="1:22">
      <c r="A10832" t="str">
        <f t="shared" si="2032"/>
        <v>13/11/2025</v>
      </c>
      <c r="B10832" t="str">
        <f t="shared" si="2033"/>
        <v>SAÍDA</v>
      </c>
      <c r="C10832" t="str">
        <f t="shared" si="2034"/>
        <v>PIX</v>
      </c>
      <c r="D10832" t="str">
        <f>"24891"</f>
        <v>24891</v>
      </c>
      <c r="E10832" t="str">
        <f t="shared" si="2036"/>
        <v>1</v>
      </c>
      <c r="F10832" t="str">
        <f t="shared" si="2038"/>
        <v>COM</v>
      </c>
      <c r="G10832" t="str">
        <f>"ALEXANDRE DA CONCEICAO (714)"</f>
        <v>ALEXANDRE DA CONCEICAO (714)</v>
      </c>
      <c r="H10832" t="s">
        <v>2808</v>
      </c>
      <c r="I10832" t="str">
        <f t="shared" si="2035"/>
        <v>13/11/2025</v>
      </c>
      <c r="J10832" t="str">
        <f t="shared" si="2039"/>
        <v>05/11/2025</v>
      </c>
      <c r="K10832">
        <v>45974</v>
      </c>
      <c r="N10832">
        <v>109</v>
      </c>
      <c r="O10832" t="s">
        <v>24</v>
      </c>
      <c r="Q10832">
        <v>6.3</v>
      </c>
      <c r="R10832" t="str">
        <f>"AC FARMA - FLEMINFARMA (10160)"</f>
        <v>AC FARMA - FLEMINFARMA (10160)</v>
      </c>
      <c r="S10832" t="s">
        <v>77</v>
      </c>
      <c r="T10832">
        <v>21710</v>
      </c>
      <c r="U10832">
        <v>24891</v>
      </c>
      <c r="V10832" t="s">
        <v>77</v>
      </c>
    </row>
    <row r="10833" spans="1:22">
      <c r="A10833" t="str">
        <f t="shared" si="2032"/>
        <v>13/11/2025</v>
      </c>
      <c r="B10833" t="str">
        <f t="shared" si="2033"/>
        <v>SAÍDA</v>
      </c>
      <c r="C10833" t="str">
        <f t="shared" si="2034"/>
        <v>PIX</v>
      </c>
      <c r="D10833" t="str">
        <f>"24892"</f>
        <v>24892</v>
      </c>
      <c r="E10833" t="str">
        <f t="shared" si="2036"/>
        <v>1</v>
      </c>
      <c r="F10833" t="str">
        <f t="shared" si="2038"/>
        <v>COM</v>
      </c>
      <c r="G10833" t="str">
        <f>"CLAUDINEI RIBEIRO VALERIO (681)"</f>
        <v>CLAUDINEI RIBEIRO VALERIO (681)</v>
      </c>
      <c r="H10833" t="str">
        <f>"Serv.Prest. 27/10/2025 a 02/11/2025 - PIX: CELULAR - CHAVE: (43) 99630-7532"</f>
        <v>Serv.Prest. 27/10/2025 a 02/11/2025 - PIX: CELULAR - CHAVE: (43) 99630-7532</v>
      </c>
      <c r="I10833" t="str">
        <f t="shared" si="2035"/>
        <v>13/11/2025</v>
      </c>
      <c r="J10833" t="str">
        <f t="shared" si="2039"/>
        <v>05/11/2025</v>
      </c>
      <c r="K10833" t="str">
        <f>("13/11/2025")</f>
        <v>13/11/2025</v>
      </c>
      <c r="L10833">
        <v>69.3</v>
      </c>
      <c r="M10833">
        <v>69.3</v>
      </c>
      <c r="N10833">
        <v>109</v>
      </c>
      <c r="O10833" t="str">
        <f>"PAGAMENTO DE ENTREGADORES"</f>
        <v>PAGAMENTO DE ENTREGADORES</v>
      </c>
      <c r="P10833">
        <v>69.3</v>
      </c>
      <c r="S10833" t="str">
        <f>"BANCO C6 (149)"</f>
        <v>BANCO C6 (149)</v>
      </c>
      <c r="T10833">
        <v>21711</v>
      </c>
      <c r="U10833">
        <v>24892</v>
      </c>
      <c r="V10833" t="s">
        <v>77</v>
      </c>
    </row>
    <row r="10834" spans="1:22">
      <c r="A10834" t="str">
        <f t="shared" si="2032"/>
        <v>13/11/2025</v>
      </c>
      <c r="B10834" t="str">
        <f t="shared" si="2033"/>
        <v>SAÍDA</v>
      </c>
      <c r="C10834" t="str">
        <f t="shared" si="2034"/>
        <v>PIX</v>
      </c>
      <c r="D10834" t="str">
        <f>"24892"</f>
        <v>24892</v>
      </c>
      <c r="E10834" t="str">
        <f t="shared" si="2036"/>
        <v>1</v>
      </c>
      <c r="F10834" t="str">
        <f t="shared" si="2038"/>
        <v>COM</v>
      </c>
      <c r="G10834" t="str">
        <f>"CLAUDINEI RIBEIRO VALERIO (681)"</f>
        <v>CLAUDINEI RIBEIRO VALERIO (681)</v>
      </c>
      <c r="H10834" t="s">
        <v>2820</v>
      </c>
      <c r="I10834" t="str">
        <f t="shared" si="2035"/>
        <v>13/11/2025</v>
      </c>
      <c r="J10834" t="str">
        <f t="shared" si="2039"/>
        <v>05/11/2025</v>
      </c>
      <c r="K10834">
        <v>45974</v>
      </c>
      <c r="N10834">
        <v>109</v>
      </c>
      <c r="O10834" t="s">
        <v>24</v>
      </c>
      <c r="Q10834">
        <v>63</v>
      </c>
      <c r="R10834" t="str">
        <f>"AC FARMA -  FLEMINFARMA (10159)"</f>
        <v>AC FARMA -  FLEMINFARMA (10159)</v>
      </c>
      <c r="S10834" t="s">
        <v>77</v>
      </c>
      <c r="T10834">
        <v>21711</v>
      </c>
      <c r="U10834">
        <v>24892</v>
      </c>
      <c r="V10834" t="s">
        <v>77</v>
      </c>
    </row>
    <row r="10835" spans="1:22">
      <c r="A10835" t="str">
        <f t="shared" si="2032"/>
        <v>13/11/2025</v>
      </c>
      <c r="B10835" t="str">
        <f t="shared" si="2033"/>
        <v>SAÍDA</v>
      </c>
      <c r="C10835" t="str">
        <f t="shared" si="2034"/>
        <v>PIX</v>
      </c>
      <c r="D10835" t="str">
        <f>"24892"</f>
        <v>24892</v>
      </c>
      <c r="E10835" t="str">
        <f t="shared" si="2036"/>
        <v>1</v>
      </c>
      <c r="F10835" t="str">
        <f t="shared" si="2038"/>
        <v>COM</v>
      </c>
      <c r="G10835" t="str">
        <f>"CLAUDINEI RIBEIRO VALERIO (681)"</f>
        <v>CLAUDINEI RIBEIRO VALERIO (681)</v>
      </c>
      <c r="H10835" t="s">
        <v>2820</v>
      </c>
      <c r="I10835" t="str">
        <f t="shared" si="2035"/>
        <v>13/11/2025</v>
      </c>
      <c r="J10835" t="str">
        <f t="shared" si="2039"/>
        <v>05/11/2025</v>
      </c>
      <c r="K10835">
        <v>45974</v>
      </c>
      <c r="N10835">
        <v>109</v>
      </c>
      <c r="O10835" t="s">
        <v>24</v>
      </c>
      <c r="Q10835">
        <v>6.3</v>
      </c>
      <c r="R10835" t="str">
        <f>"AC FARMA - FLEMINFARMA (10160)"</f>
        <v>AC FARMA - FLEMINFARMA (10160)</v>
      </c>
      <c r="S10835" t="s">
        <v>77</v>
      </c>
      <c r="T10835">
        <v>21711</v>
      </c>
      <c r="U10835">
        <v>24892</v>
      </c>
      <c r="V10835" t="s">
        <v>77</v>
      </c>
    </row>
    <row r="10836" spans="1:22">
      <c r="A10836" t="str">
        <f t="shared" si="2032"/>
        <v>13/11/2025</v>
      </c>
      <c r="B10836" t="str">
        <f t="shared" si="2033"/>
        <v>SAÍDA</v>
      </c>
      <c r="C10836" t="str">
        <f t="shared" si="2034"/>
        <v>PIX</v>
      </c>
      <c r="D10836" t="str">
        <f>"24893"</f>
        <v>24893</v>
      </c>
      <c r="E10836" t="str">
        <f t="shared" si="2036"/>
        <v>1</v>
      </c>
      <c r="F10836" t="str">
        <f t="shared" si="2038"/>
        <v>COM</v>
      </c>
      <c r="G10836" t="str">
        <f>"FERNANDO MARTINS DA SILVA (701)"</f>
        <v>FERNANDO MARTINS DA SILVA (701)</v>
      </c>
      <c r="H10836" t="str">
        <f>"Serv.Prest. 27/10/2025 a 02/11/2025 - PIX: CPF - CHAVE: 004.682.359-06"</f>
        <v>Serv.Prest. 27/10/2025 a 02/11/2025 - PIX: CPF - CHAVE: 004.682.359-06</v>
      </c>
      <c r="I10836" t="str">
        <f t="shared" si="2035"/>
        <v>13/11/2025</v>
      </c>
      <c r="J10836" t="str">
        <f t="shared" si="2039"/>
        <v>05/11/2025</v>
      </c>
      <c r="K10836" t="str">
        <f>("13/11/2025")</f>
        <v>13/11/2025</v>
      </c>
      <c r="L10836">
        <v>371.7</v>
      </c>
      <c r="M10836">
        <v>371.7</v>
      </c>
      <c r="N10836">
        <v>109</v>
      </c>
      <c r="O10836" t="str">
        <f>"PAGAMENTO DE ENTREGADORES"</f>
        <v>PAGAMENTO DE ENTREGADORES</v>
      </c>
      <c r="P10836">
        <v>371.7</v>
      </c>
      <c r="S10836" t="str">
        <f>"BANCO C6 (149)"</f>
        <v>BANCO C6 (149)</v>
      </c>
      <c r="T10836">
        <v>21712</v>
      </c>
      <c r="U10836">
        <v>24893</v>
      </c>
      <c r="V10836" t="s">
        <v>77</v>
      </c>
    </row>
    <row r="10837" spans="1:22">
      <c r="A10837" t="str">
        <f t="shared" si="2032"/>
        <v>13/11/2025</v>
      </c>
      <c r="B10837" t="str">
        <f t="shared" si="2033"/>
        <v>SAÍDA</v>
      </c>
      <c r="C10837" t="str">
        <f t="shared" si="2034"/>
        <v>PIX</v>
      </c>
      <c r="D10837" t="str">
        <f>"24893"</f>
        <v>24893</v>
      </c>
      <c r="E10837" t="str">
        <f t="shared" si="2036"/>
        <v>1</v>
      </c>
      <c r="F10837" t="str">
        <f t="shared" si="2038"/>
        <v>COM</v>
      </c>
      <c r="G10837" t="str">
        <f>"FERNANDO MARTINS DA SILVA (701)"</f>
        <v>FERNANDO MARTINS DA SILVA (701)</v>
      </c>
      <c r="H10837" t="s">
        <v>2836</v>
      </c>
      <c r="I10837" t="str">
        <f t="shared" si="2035"/>
        <v>13/11/2025</v>
      </c>
      <c r="J10837" t="str">
        <f t="shared" si="2039"/>
        <v>05/11/2025</v>
      </c>
      <c r="K10837">
        <v>45974</v>
      </c>
      <c r="N10837">
        <v>109</v>
      </c>
      <c r="O10837" t="s">
        <v>24</v>
      </c>
      <c r="Q10837">
        <v>359.1</v>
      </c>
      <c r="R10837" t="str">
        <f>"AC FARMA -  FLEMINFARMA (10159)"</f>
        <v>AC FARMA -  FLEMINFARMA (10159)</v>
      </c>
      <c r="S10837" t="s">
        <v>77</v>
      </c>
      <c r="T10837">
        <v>21712</v>
      </c>
      <c r="U10837">
        <v>24893</v>
      </c>
      <c r="V10837" t="s">
        <v>77</v>
      </c>
    </row>
    <row r="10838" spans="1:22">
      <c r="A10838" t="str">
        <f t="shared" si="2032"/>
        <v>13/11/2025</v>
      </c>
      <c r="B10838" t="str">
        <f t="shared" si="2033"/>
        <v>SAÍDA</v>
      </c>
      <c r="C10838" t="str">
        <f t="shared" si="2034"/>
        <v>PIX</v>
      </c>
      <c r="D10838" t="str">
        <f>"24893"</f>
        <v>24893</v>
      </c>
      <c r="E10838" t="str">
        <f t="shared" si="2036"/>
        <v>1</v>
      </c>
      <c r="F10838" t="str">
        <f t="shared" si="2038"/>
        <v>COM</v>
      </c>
      <c r="G10838" t="str">
        <f>"FERNANDO MARTINS DA SILVA (701)"</f>
        <v>FERNANDO MARTINS DA SILVA (701)</v>
      </c>
      <c r="H10838" t="s">
        <v>2836</v>
      </c>
      <c r="I10838" t="str">
        <f t="shared" si="2035"/>
        <v>13/11/2025</v>
      </c>
      <c r="J10838" t="str">
        <f t="shared" si="2039"/>
        <v>05/11/2025</v>
      </c>
      <c r="K10838">
        <v>45974</v>
      </c>
      <c r="N10838">
        <v>109</v>
      </c>
      <c r="O10838" t="s">
        <v>24</v>
      </c>
      <c r="Q10838">
        <v>12.6</v>
      </c>
      <c r="R10838" t="str">
        <f>"AC FARMA - FLEMINFARMA (10160)"</f>
        <v>AC FARMA - FLEMINFARMA (10160)</v>
      </c>
      <c r="S10838" t="s">
        <v>77</v>
      </c>
      <c r="T10838">
        <v>21712</v>
      </c>
      <c r="U10838">
        <v>24893</v>
      </c>
      <c r="V10838" t="s">
        <v>77</v>
      </c>
    </row>
    <row r="10839" spans="1:22">
      <c r="A10839" t="str">
        <f t="shared" si="2032"/>
        <v>13/11/2025</v>
      </c>
      <c r="B10839" t="str">
        <f t="shared" si="2033"/>
        <v>SAÍDA</v>
      </c>
      <c r="C10839" t="str">
        <f t="shared" si="2034"/>
        <v>PIX</v>
      </c>
      <c r="D10839" t="str">
        <f>"24894"</f>
        <v>24894</v>
      </c>
      <c r="E10839" t="str">
        <f t="shared" si="2036"/>
        <v>1</v>
      </c>
      <c r="F10839" t="str">
        <f t="shared" si="2038"/>
        <v>COM</v>
      </c>
      <c r="G10839" t="str">
        <f>"GERALDO SEVERINO DE SANTANA (729)"</f>
        <v>GERALDO SEVERINO DE SANTANA (729)</v>
      </c>
      <c r="H10839" t="str">
        <f>"Serv.Prest. 27/10/2025 a 02/11/2025 - PIX: CELULAR - CHAVE: (43) 99934-1696"</f>
        <v>Serv.Prest. 27/10/2025 a 02/11/2025 - PIX: CELULAR - CHAVE: (43) 99934-1696</v>
      </c>
      <c r="I10839" t="str">
        <f t="shared" si="2035"/>
        <v>13/11/2025</v>
      </c>
      <c r="J10839" t="str">
        <f t="shared" si="2039"/>
        <v>05/11/2025</v>
      </c>
      <c r="K10839" t="str">
        <f>("13/11/2025")</f>
        <v>13/11/2025</v>
      </c>
      <c r="L10839">
        <v>157.5</v>
      </c>
      <c r="M10839">
        <v>157.5</v>
      </c>
      <c r="N10839">
        <v>109</v>
      </c>
      <c r="O10839" t="str">
        <f>"PAGAMENTO DE ENTREGADORES"</f>
        <v>PAGAMENTO DE ENTREGADORES</v>
      </c>
      <c r="P10839">
        <v>157.5</v>
      </c>
      <c r="S10839" t="str">
        <f>"BANCO C6 (149)"</f>
        <v>BANCO C6 (149)</v>
      </c>
      <c r="T10839">
        <v>21713</v>
      </c>
      <c r="U10839">
        <v>24894</v>
      </c>
      <c r="V10839" t="s">
        <v>77</v>
      </c>
    </row>
    <row r="10840" spans="1:22">
      <c r="A10840" t="str">
        <f t="shared" si="2032"/>
        <v>13/11/2025</v>
      </c>
      <c r="B10840" t="str">
        <f t="shared" si="2033"/>
        <v>SAÍDA</v>
      </c>
      <c r="C10840" t="str">
        <f t="shared" si="2034"/>
        <v>PIX</v>
      </c>
      <c r="D10840" t="str">
        <f>"24894"</f>
        <v>24894</v>
      </c>
      <c r="E10840" t="str">
        <f t="shared" si="2036"/>
        <v>1</v>
      </c>
      <c r="F10840" t="str">
        <f t="shared" si="2038"/>
        <v>COM</v>
      </c>
      <c r="G10840" t="str">
        <f>"GERALDO SEVERINO DE SANTANA (729)"</f>
        <v>GERALDO SEVERINO DE SANTANA (729)</v>
      </c>
      <c r="H10840" t="s">
        <v>2840</v>
      </c>
      <c r="I10840" t="str">
        <f t="shared" si="2035"/>
        <v>13/11/2025</v>
      </c>
      <c r="J10840" t="str">
        <f t="shared" si="2039"/>
        <v>05/11/2025</v>
      </c>
      <c r="K10840">
        <v>45974</v>
      </c>
      <c r="N10840">
        <v>109</v>
      </c>
      <c r="O10840" t="s">
        <v>24</v>
      </c>
      <c r="Q10840">
        <v>157.5</v>
      </c>
      <c r="R10840" t="str">
        <f>"AC FARMA -  FLEMINFARMA (10159)"</f>
        <v>AC FARMA -  FLEMINFARMA (10159)</v>
      </c>
      <c r="S10840" t="s">
        <v>77</v>
      </c>
      <c r="T10840">
        <v>21713</v>
      </c>
      <c r="U10840">
        <v>24894</v>
      </c>
      <c r="V10840" t="s">
        <v>77</v>
      </c>
    </row>
    <row r="10841" spans="1:22">
      <c r="A10841" t="str">
        <f t="shared" si="2032"/>
        <v>13/11/2025</v>
      </c>
      <c r="B10841" t="str">
        <f t="shared" si="2033"/>
        <v>SAÍDA</v>
      </c>
      <c r="C10841" t="str">
        <f t="shared" si="2034"/>
        <v>PIX</v>
      </c>
      <c r="D10841" t="str">
        <f>"24895"</f>
        <v>24895</v>
      </c>
      <c r="E10841" t="str">
        <f t="shared" si="2036"/>
        <v>1</v>
      </c>
      <c r="F10841" t="str">
        <f t="shared" si="2038"/>
        <v>COM</v>
      </c>
      <c r="G10841" t="str">
        <f>"HELITON DE OLIVEIRA RAMOS BARBOSA (724)"</f>
        <v>HELITON DE OLIVEIRA RAMOS BARBOSA (724)</v>
      </c>
      <c r="H10841" t="str">
        <f>"Serv.Prest. 27/10/2025 a 02/11/2025 - PIX: CPF - CHAVE: 074.604.219-10"</f>
        <v>Serv.Prest. 27/10/2025 a 02/11/2025 - PIX: CPF - CHAVE: 074.604.219-10</v>
      </c>
      <c r="I10841" t="str">
        <f t="shared" si="2035"/>
        <v>13/11/2025</v>
      </c>
      <c r="J10841" t="str">
        <f t="shared" si="2039"/>
        <v>05/11/2025</v>
      </c>
      <c r="K10841" t="str">
        <f>("13/11/2025")</f>
        <v>13/11/2025</v>
      </c>
      <c r="L10841">
        <v>264.60000000000002</v>
      </c>
      <c r="M10841">
        <v>264.60000000000002</v>
      </c>
      <c r="N10841">
        <v>109</v>
      </c>
      <c r="O10841" t="str">
        <f>"PAGAMENTO DE ENTREGADORES"</f>
        <v>PAGAMENTO DE ENTREGADORES</v>
      </c>
      <c r="P10841">
        <v>264.60000000000002</v>
      </c>
      <c r="S10841" t="str">
        <f>"BANCO C6 (149)"</f>
        <v>BANCO C6 (149)</v>
      </c>
      <c r="T10841">
        <v>21714</v>
      </c>
      <c r="U10841">
        <v>24895</v>
      </c>
      <c r="V10841" t="s">
        <v>77</v>
      </c>
    </row>
    <row r="10842" spans="1:22">
      <c r="A10842" t="str">
        <f t="shared" si="2032"/>
        <v>13/11/2025</v>
      </c>
      <c r="B10842" t="str">
        <f t="shared" si="2033"/>
        <v>SAÍDA</v>
      </c>
      <c r="C10842" t="str">
        <f t="shared" si="2034"/>
        <v>PIX</v>
      </c>
      <c r="D10842" t="str">
        <f>"24895"</f>
        <v>24895</v>
      </c>
      <c r="E10842" t="str">
        <f t="shared" si="2036"/>
        <v>1</v>
      </c>
      <c r="F10842" t="str">
        <f t="shared" si="2038"/>
        <v>COM</v>
      </c>
      <c r="G10842" t="str">
        <f>"HELITON DE OLIVEIRA RAMOS BARBOSA (724)"</f>
        <v>HELITON DE OLIVEIRA RAMOS BARBOSA (724)</v>
      </c>
      <c r="H10842" t="s">
        <v>2847</v>
      </c>
      <c r="I10842" t="str">
        <f t="shared" si="2035"/>
        <v>13/11/2025</v>
      </c>
      <c r="J10842" t="str">
        <f t="shared" si="2039"/>
        <v>05/11/2025</v>
      </c>
      <c r="K10842">
        <v>45974</v>
      </c>
      <c r="N10842">
        <v>109</v>
      </c>
      <c r="O10842" t="s">
        <v>24</v>
      </c>
      <c r="Q10842">
        <v>264.60000000000002</v>
      </c>
      <c r="R10842" t="str">
        <f>"AC FARMA -  FLEMINFARMA (10159)"</f>
        <v>AC FARMA -  FLEMINFARMA (10159)</v>
      </c>
      <c r="S10842" t="s">
        <v>77</v>
      </c>
      <c r="T10842">
        <v>21714</v>
      </c>
      <c r="U10842">
        <v>24895</v>
      </c>
      <c r="V10842" t="s">
        <v>77</v>
      </c>
    </row>
    <row r="10843" spans="1:22">
      <c r="A10843" t="str">
        <f t="shared" si="2032"/>
        <v>13/11/2025</v>
      </c>
      <c r="B10843" t="str">
        <f t="shared" si="2033"/>
        <v>SAÍDA</v>
      </c>
      <c r="C10843" t="str">
        <f t="shared" si="2034"/>
        <v>PIX</v>
      </c>
      <c r="D10843" t="str">
        <f>"24897"</f>
        <v>24897</v>
      </c>
      <c r="E10843" t="str">
        <f t="shared" si="2036"/>
        <v>1</v>
      </c>
      <c r="F10843" t="str">
        <f t="shared" si="2038"/>
        <v>COM</v>
      </c>
      <c r="G10843" t="str">
        <f>"ALAN ACOSTA (897)"</f>
        <v>ALAN ACOSTA (897)</v>
      </c>
      <c r="H10843" t="str">
        <f>"Serv.Prest. 27/10/2025 a 02/11/2025 - PIX: E-MAIL - CHAVE: alanacosta1999@gmail.com"</f>
        <v>Serv.Prest. 27/10/2025 a 02/11/2025 - PIX: E-MAIL - CHAVE: alanacosta1999@gmail.com</v>
      </c>
      <c r="I10843" t="str">
        <f t="shared" si="2035"/>
        <v>13/11/2025</v>
      </c>
      <c r="J10843" t="str">
        <f t="shared" si="2039"/>
        <v>05/11/2025</v>
      </c>
      <c r="K10843" t="str">
        <f>("13/11/2025")</f>
        <v>13/11/2025</v>
      </c>
      <c r="L10843">
        <v>63</v>
      </c>
      <c r="M10843">
        <v>63</v>
      </c>
      <c r="N10843">
        <v>109</v>
      </c>
      <c r="O10843" t="str">
        <f>"PAGAMENTO DE ENTREGADORES"</f>
        <v>PAGAMENTO DE ENTREGADORES</v>
      </c>
      <c r="P10843">
        <v>63</v>
      </c>
      <c r="S10843" t="str">
        <f>"BANCO C6 (149)"</f>
        <v>BANCO C6 (149)</v>
      </c>
      <c r="T10843">
        <v>21715</v>
      </c>
      <c r="U10843">
        <v>24897</v>
      </c>
      <c r="V10843" t="s">
        <v>77</v>
      </c>
    </row>
    <row r="10844" spans="1:22">
      <c r="A10844" t="str">
        <f t="shared" si="2032"/>
        <v>13/11/2025</v>
      </c>
      <c r="B10844" t="str">
        <f t="shared" si="2033"/>
        <v>SAÍDA</v>
      </c>
      <c r="C10844" t="str">
        <f t="shared" si="2034"/>
        <v>PIX</v>
      </c>
      <c r="D10844" t="str">
        <f>"24897"</f>
        <v>24897</v>
      </c>
      <c r="E10844" t="str">
        <f t="shared" si="2036"/>
        <v>1</v>
      </c>
      <c r="F10844" t="str">
        <f t="shared" si="2038"/>
        <v>COM</v>
      </c>
      <c r="G10844" t="str">
        <f>"ALAN ACOSTA (897)"</f>
        <v>ALAN ACOSTA (897)</v>
      </c>
      <c r="H10844" t="s">
        <v>2806</v>
      </c>
      <c r="I10844" t="str">
        <f t="shared" si="2035"/>
        <v>13/11/2025</v>
      </c>
      <c r="J10844" t="str">
        <f t="shared" si="2039"/>
        <v>05/11/2025</v>
      </c>
      <c r="K10844">
        <v>45974</v>
      </c>
      <c r="N10844">
        <v>109</v>
      </c>
      <c r="O10844" t="s">
        <v>24</v>
      </c>
      <c r="Q10844">
        <v>56.7</v>
      </c>
      <c r="R10844" t="str">
        <f>"AC FARMA - FLEMINFARMA 5 (10183)"</f>
        <v>AC FARMA - FLEMINFARMA 5 (10183)</v>
      </c>
      <c r="S10844" t="s">
        <v>77</v>
      </c>
      <c r="T10844">
        <v>21715</v>
      </c>
      <c r="U10844">
        <v>24897</v>
      </c>
      <c r="V10844" t="s">
        <v>77</v>
      </c>
    </row>
    <row r="10845" spans="1:22">
      <c r="A10845" t="str">
        <f t="shared" si="2032"/>
        <v>13/11/2025</v>
      </c>
      <c r="B10845" t="str">
        <f t="shared" si="2033"/>
        <v>SAÍDA</v>
      </c>
      <c r="C10845" t="str">
        <f t="shared" si="2034"/>
        <v>PIX</v>
      </c>
      <c r="D10845" t="str">
        <f>"24897"</f>
        <v>24897</v>
      </c>
      <c r="E10845" t="str">
        <f t="shared" si="2036"/>
        <v>1</v>
      </c>
      <c r="F10845" t="str">
        <f t="shared" si="2038"/>
        <v>COM</v>
      </c>
      <c r="G10845" t="str">
        <f>"ALAN ACOSTA (897)"</f>
        <v>ALAN ACOSTA (897)</v>
      </c>
      <c r="H10845" t="s">
        <v>2806</v>
      </c>
      <c r="I10845" t="str">
        <f t="shared" si="2035"/>
        <v>13/11/2025</v>
      </c>
      <c r="J10845" t="str">
        <f t="shared" si="2039"/>
        <v>05/11/2025</v>
      </c>
      <c r="K10845">
        <v>45974</v>
      </c>
      <c r="N10845">
        <v>109</v>
      </c>
      <c r="O10845" t="s">
        <v>24</v>
      </c>
      <c r="Q10845">
        <v>6.3</v>
      </c>
      <c r="R10845" t="str">
        <f>"AC FARMA - FLEMINFARMA 6 (10184)"</f>
        <v>AC FARMA - FLEMINFARMA 6 (10184)</v>
      </c>
      <c r="S10845" t="s">
        <v>77</v>
      </c>
      <c r="T10845">
        <v>21715</v>
      </c>
      <c r="U10845">
        <v>24897</v>
      </c>
      <c r="V10845" t="s">
        <v>77</v>
      </c>
    </row>
    <row r="10846" spans="1:22">
      <c r="A10846" t="str">
        <f t="shared" si="2032"/>
        <v>13/11/2025</v>
      </c>
      <c r="B10846" t="str">
        <f t="shared" si="2033"/>
        <v>SAÍDA</v>
      </c>
      <c r="C10846" t="str">
        <f t="shared" si="2034"/>
        <v>PIX</v>
      </c>
      <c r="D10846" t="str">
        <f>"24898"</f>
        <v>24898</v>
      </c>
      <c r="E10846" t="str">
        <f t="shared" si="2036"/>
        <v>1</v>
      </c>
      <c r="F10846" t="str">
        <f t="shared" si="2038"/>
        <v>COM</v>
      </c>
      <c r="G10846" t="str">
        <f>"CLAUDINEI RIBEIRO VALERIO (681)"</f>
        <v>CLAUDINEI RIBEIRO VALERIO (681)</v>
      </c>
      <c r="H10846" t="str">
        <f>"Serv.Prest. 27/10/2025 a 02/11/2025 - PIX: CELULAR - CHAVE: (43) 99630-7532"</f>
        <v>Serv.Prest. 27/10/2025 a 02/11/2025 - PIX: CELULAR - CHAVE: (43) 99630-7532</v>
      </c>
      <c r="I10846" t="str">
        <f t="shared" si="2035"/>
        <v>13/11/2025</v>
      </c>
      <c r="J10846" t="str">
        <f t="shared" si="2039"/>
        <v>05/11/2025</v>
      </c>
      <c r="K10846" t="str">
        <f>("13/11/2025")</f>
        <v>13/11/2025</v>
      </c>
      <c r="L10846">
        <v>12.6</v>
      </c>
      <c r="M10846">
        <v>12.6</v>
      </c>
      <c r="N10846">
        <v>109</v>
      </c>
      <c r="O10846" t="str">
        <f>"PAGAMENTO DE ENTREGADORES"</f>
        <v>PAGAMENTO DE ENTREGADORES</v>
      </c>
      <c r="P10846">
        <v>12.6</v>
      </c>
      <c r="S10846" t="str">
        <f>"BANCO C6 (149)"</f>
        <v>BANCO C6 (149)</v>
      </c>
      <c r="T10846">
        <v>21716</v>
      </c>
      <c r="U10846">
        <v>24898</v>
      </c>
      <c r="V10846" t="s">
        <v>77</v>
      </c>
    </row>
    <row r="10847" spans="1:22">
      <c r="A10847" t="str">
        <f t="shared" ref="A10847:A10910" si="2040">("13/11/2025")</f>
        <v>13/11/2025</v>
      </c>
      <c r="B10847" t="str">
        <f t="shared" si="2033"/>
        <v>SAÍDA</v>
      </c>
      <c r="C10847" t="str">
        <f t="shared" si="2034"/>
        <v>PIX</v>
      </c>
      <c r="D10847" t="str">
        <f>"24898"</f>
        <v>24898</v>
      </c>
      <c r="E10847" t="str">
        <f t="shared" si="2036"/>
        <v>1</v>
      </c>
      <c r="F10847" t="str">
        <f t="shared" si="2038"/>
        <v>COM</v>
      </c>
      <c r="G10847" t="str">
        <f>"CLAUDINEI RIBEIRO VALERIO (681)"</f>
        <v>CLAUDINEI RIBEIRO VALERIO (681)</v>
      </c>
      <c r="H10847" t="s">
        <v>2820</v>
      </c>
      <c r="I10847" t="str">
        <f t="shared" si="2035"/>
        <v>13/11/2025</v>
      </c>
      <c r="J10847" t="str">
        <f t="shared" si="2039"/>
        <v>05/11/2025</v>
      </c>
      <c r="K10847">
        <v>45974</v>
      </c>
      <c r="N10847">
        <v>109</v>
      </c>
      <c r="O10847" t="s">
        <v>24</v>
      </c>
      <c r="Q10847">
        <v>12.6</v>
      </c>
      <c r="R10847" t="str">
        <f>"AC FARMA - FLEMINFARMA 5 (10183)"</f>
        <v>AC FARMA - FLEMINFARMA 5 (10183)</v>
      </c>
      <c r="S10847" t="s">
        <v>77</v>
      </c>
      <c r="T10847">
        <v>21716</v>
      </c>
      <c r="U10847">
        <v>24898</v>
      </c>
      <c r="V10847" t="s">
        <v>77</v>
      </c>
    </row>
    <row r="10848" spans="1:22">
      <c r="A10848" t="str">
        <f t="shared" si="2040"/>
        <v>13/11/2025</v>
      </c>
      <c r="B10848" t="str">
        <f t="shared" ref="B10848:B10911" si="2041">"SAÍDA"</f>
        <v>SAÍDA</v>
      </c>
      <c r="C10848" t="str">
        <f t="shared" ref="C10848:C10911" si="2042">"PIX"</f>
        <v>PIX</v>
      </c>
      <c r="D10848" t="str">
        <f>"24899"</f>
        <v>24899</v>
      </c>
      <c r="E10848" t="str">
        <f t="shared" si="2036"/>
        <v>1</v>
      </c>
      <c r="F10848" t="str">
        <f t="shared" si="2038"/>
        <v>COM</v>
      </c>
      <c r="G10848" t="str">
        <f>"FERNANDO MARTINS DA SILVA (701)"</f>
        <v>FERNANDO MARTINS DA SILVA (701)</v>
      </c>
      <c r="H10848" t="str">
        <f>"Serv.Prest. 27/10/2025 a 02/11/2025 - PIX: CPF - CHAVE: 004.682.359-06"</f>
        <v>Serv.Prest. 27/10/2025 a 02/11/2025 - PIX: CPF - CHAVE: 004.682.359-06</v>
      </c>
      <c r="I10848" t="str">
        <f t="shared" si="2035"/>
        <v>13/11/2025</v>
      </c>
      <c r="J10848" t="str">
        <f t="shared" si="2039"/>
        <v>05/11/2025</v>
      </c>
      <c r="K10848" t="str">
        <f>("13/11/2025")</f>
        <v>13/11/2025</v>
      </c>
      <c r="L10848">
        <v>245.7</v>
      </c>
      <c r="M10848">
        <v>245.7</v>
      </c>
      <c r="N10848">
        <v>109</v>
      </c>
      <c r="O10848" t="str">
        <f>"PAGAMENTO DE ENTREGADORES"</f>
        <v>PAGAMENTO DE ENTREGADORES</v>
      </c>
      <c r="P10848">
        <v>245.7</v>
      </c>
      <c r="S10848" t="str">
        <f>"BANCO C6 (149)"</f>
        <v>BANCO C6 (149)</v>
      </c>
      <c r="T10848">
        <v>21717</v>
      </c>
      <c r="U10848">
        <v>24899</v>
      </c>
      <c r="V10848" t="s">
        <v>77</v>
      </c>
    </row>
    <row r="10849" spans="1:22">
      <c r="A10849" t="str">
        <f t="shared" si="2040"/>
        <v>13/11/2025</v>
      </c>
      <c r="B10849" t="str">
        <f t="shared" si="2041"/>
        <v>SAÍDA</v>
      </c>
      <c r="C10849" t="str">
        <f t="shared" si="2042"/>
        <v>PIX</v>
      </c>
      <c r="D10849" t="str">
        <f>"24899"</f>
        <v>24899</v>
      </c>
      <c r="E10849" t="str">
        <f t="shared" si="2036"/>
        <v>1</v>
      </c>
      <c r="F10849" t="str">
        <f t="shared" si="2038"/>
        <v>COM</v>
      </c>
      <c r="G10849" t="str">
        <f>"FERNANDO MARTINS DA SILVA (701)"</f>
        <v>FERNANDO MARTINS DA SILVA (701)</v>
      </c>
      <c r="H10849" t="s">
        <v>2836</v>
      </c>
      <c r="I10849" t="str">
        <f t="shared" si="2035"/>
        <v>13/11/2025</v>
      </c>
      <c r="J10849" t="str">
        <f t="shared" si="2039"/>
        <v>05/11/2025</v>
      </c>
      <c r="K10849">
        <v>45974</v>
      </c>
      <c r="N10849">
        <v>109</v>
      </c>
      <c r="O10849" t="s">
        <v>24</v>
      </c>
      <c r="Q10849">
        <v>220.49</v>
      </c>
      <c r="R10849" t="str">
        <f>"AC FARMA - FLEMINFARMA 5 (10183)"</f>
        <v>AC FARMA - FLEMINFARMA 5 (10183)</v>
      </c>
      <c r="S10849" t="s">
        <v>77</v>
      </c>
      <c r="T10849">
        <v>21717</v>
      </c>
      <c r="U10849">
        <v>24899</v>
      </c>
      <c r="V10849" t="s">
        <v>77</v>
      </c>
    </row>
    <row r="10850" spans="1:22">
      <c r="A10850" t="str">
        <f t="shared" si="2040"/>
        <v>13/11/2025</v>
      </c>
      <c r="B10850" t="str">
        <f t="shared" si="2041"/>
        <v>SAÍDA</v>
      </c>
      <c r="C10850" t="str">
        <f t="shared" si="2042"/>
        <v>PIX</v>
      </c>
      <c r="D10850" t="str">
        <f>"24899"</f>
        <v>24899</v>
      </c>
      <c r="E10850" t="str">
        <f t="shared" si="2036"/>
        <v>1</v>
      </c>
      <c r="F10850" t="str">
        <f t="shared" si="2038"/>
        <v>COM</v>
      </c>
      <c r="G10850" t="str">
        <f>"FERNANDO MARTINS DA SILVA (701)"</f>
        <v>FERNANDO MARTINS DA SILVA (701)</v>
      </c>
      <c r="H10850" t="s">
        <v>2836</v>
      </c>
      <c r="I10850" t="str">
        <f t="shared" si="2035"/>
        <v>13/11/2025</v>
      </c>
      <c r="J10850" t="str">
        <f t="shared" si="2039"/>
        <v>05/11/2025</v>
      </c>
      <c r="K10850">
        <v>45974</v>
      </c>
      <c r="N10850">
        <v>109</v>
      </c>
      <c r="O10850" t="s">
        <v>24</v>
      </c>
      <c r="Q10850">
        <v>25.21</v>
      </c>
      <c r="R10850" t="str">
        <f>"AC FARMA - FLEMINFARMA 6 (10184)"</f>
        <v>AC FARMA - FLEMINFARMA 6 (10184)</v>
      </c>
      <c r="S10850" t="s">
        <v>77</v>
      </c>
      <c r="T10850">
        <v>21717</v>
      </c>
      <c r="U10850">
        <v>24899</v>
      </c>
      <c r="V10850" t="s">
        <v>77</v>
      </c>
    </row>
    <row r="10851" spans="1:22">
      <c r="A10851" t="str">
        <f t="shared" si="2040"/>
        <v>13/11/2025</v>
      </c>
      <c r="B10851" t="str">
        <f t="shared" si="2041"/>
        <v>SAÍDA</v>
      </c>
      <c r="C10851" t="str">
        <f t="shared" si="2042"/>
        <v>PIX</v>
      </c>
      <c r="D10851" t="str">
        <f>"24900"</f>
        <v>24900</v>
      </c>
      <c r="E10851" t="str">
        <f t="shared" si="2036"/>
        <v>1</v>
      </c>
      <c r="F10851" t="str">
        <f t="shared" si="2038"/>
        <v>COM</v>
      </c>
      <c r="G10851" t="str">
        <f>"GERALDO SEVERINO DE SANTANA (729)"</f>
        <v>GERALDO SEVERINO DE SANTANA (729)</v>
      </c>
      <c r="H10851" t="str">
        <f>"Serv.Prest. 27/10/2025 a 02/11/2025 - PIX: CELULAR - CHAVE: (43) 99934-1696"</f>
        <v>Serv.Prest. 27/10/2025 a 02/11/2025 - PIX: CELULAR - CHAVE: (43) 99934-1696</v>
      </c>
      <c r="I10851" t="str">
        <f t="shared" si="2035"/>
        <v>13/11/2025</v>
      </c>
      <c r="J10851" t="str">
        <f t="shared" si="2039"/>
        <v>05/11/2025</v>
      </c>
      <c r="K10851" t="str">
        <f>("13/11/2025")</f>
        <v>13/11/2025</v>
      </c>
      <c r="L10851">
        <v>81.900000000000006</v>
      </c>
      <c r="M10851">
        <v>81.900000000000006</v>
      </c>
      <c r="N10851">
        <v>109</v>
      </c>
      <c r="O10851" t="str">
        <f>"PAGAMENTO DE ENTREGADORES"</f>
        <v>PAGAMENTO DE ENTREGADORES</v>
      </c>
      <c r="P10851">
        <v>81.900000000000006</v>
      </c>
      <c r="S10851" t="str">
        <f>"BANCO C6 (149)"</f>
        <v>BANCO C6 (149)</v>
      </c>
      <c r="T10851">
        <v>21718</v>
      </c>
      <c r="U10851">
        <v>24900</v>
      </c>
      <c r="V10851" t="s">
        <v>77</v>
      </c>
    </row>
    <row r="10852" spans="1:22">
      <c r="A10852" t="str">
        <f t="shared" si="2040"/>
        <v>13/11/2025</v>
      </c>
      <c r="B10852" t="str">
        <f t="shared" si="2041"/>
        <v>SAÍDA</v>
      </c>
      <c r="C10852" t="str">
        <f t="shared" si="2042"/>
        <v>PIX</v>
      </c>
      <c r="D10852" t="str">
        <f>"24900"</f>
        <v>24900</v>
      </c>
      <c r="E10852" t="str">
        <f t="shared" si="2036"/>
        <v>1</v>
      </c>
      <c r="F10852" t="str">
        <f t="shared" si="2038"/>
        <v>COM</v>
      </c>
      <c r="G10852" t="str">
        <f>"GERALDO SEVERINO DE SANTANA (729)"</f>
        <v>GERALDO SEVERINO DE SANTANA (729)</v>
      </c>
      <c r="H10852" t="s">
        <v>2840</v>
      </c>
      <c r="I10852" t="str">
        <f t="shared" ref="I10852:I10915" si="2043">("13/11/2025")</f>
        <v>13/11/2025</v>
      </c>
      <c r="J10852" t="str">
        <f t="shared" si="2039"/>
        <v>05/11/2025</v>
      </c>
      <c r="K10852">
        <v>45974</v>
      </c>
      <c r="N10852">
        <v>109</v>
      </c>
      <c r="O10852" t="s">
        <v>24</v>
      </c>
      <c r="Q10852">
        <v>81.900000000000006</v>
      </c>
      <c r="R10852" t="str">
        <f>"AC FARMA - FLEMINFARMA 5 (10183)"</f>
        <v>AC FARMA - FLEMINFARMA 5 (10183)</v>
      </c>
      <c r="S10852" t="s">
        <v>77</v>
      </c>
      <c r="T10852">
        <v>21718</v>
      </c>
      <c r="U10852">
        <v>24900</v>
      </c>
      <c r="V10852" t="s">
        <v>77</v>
      </c>
    </row>
    <row r="10853" spans="1:22">
      <c r="A10853" t="str">
        <f t="shared" si="2040"/>
        <v>13/11/2025</v>
      </c>
      <c r="B10853" t="str">
        <f t="shared" si="2041"/>
        <v>SAÍDA</v>
      </c>
      <c r="C10853" t="str">
        <f t="shared" si="2042"/>
        <v>PIX</v>
      </c>
      <c r="D10853" t="str">
        <f>"24901"</f>
        <v>24901</v>
      </c>
      <c r="E10853" t="str">
        <f t="shared" si="2036"/>
        <v>1</v>
      </c>
      <c r="F10853" t="str">
        <f t="shared" si="2038"/>
        <v>COM</v>
      </c>
      <c r="G10853" t="str">
        <f>"HELITON DE OLIVEIRA RAMOS BARBOSA (724)"</f>
        <v>HELITON DE OLIVEIRA RAMOS BARBOSA (724)</v>
      </c>
      <c r="H10853" t="str">
        <f>"Serv.Prest. 27/10/2025 a 02/11/2025 - PIX: CPF - CHAVE: 074.604.219-10"</f>
        <v>Serv.Prest. 27/10/2025 a 02/11/2025 - PIX: CPF - CHAVE: 074.604.219-10</v>
      </c>
      <c r="I10853" t="str">
        <f t="shared" si="2043"/>
        <v>13/11/2025</v>
      </c>
      <c r="J10853" t="str">
        <f t="shared" si="2039"/>
        <v>05/11/2025</v>
      </c>
      <c r="K10853" t="str">
        <f>("13/11/2025")</f>
        <v>13/11/2025</v>
      </c>
      <c r="L10853">
        <v>18.899999999999999</v>
      </c>
      <c r="M10853">
        <v>18.899999999999999</v>
      </c>
      <c r="N10853">
        <v>109</v>
      </c>
      <c r="O10853" t="str">
        <f>"PAGAMENTO DE ENTREGADORES"</f>
        <v>PAGAMENTO DE ENTREGADORES</v>
      </c>
      <c r="P10853">
        <v>18.899999999999999</v>
      </c>
      <c r="S10853" t="str">
        <f>"BANCO C6 (149)"</f>
        <v>BANCO C6 (149)</v>
      </c>
      <c r="T10853">
        <v>21719</v>
      </c>
      <c r="U10853">
        <v>24901</v>
      </c>
      <c r="V10853" t="s">
        <v>77</v>
      </c>
    </row>
    <row r="10854" spans="1:22">
      <c r="A10854" t="str">
        <f t="shared" si="2040"/>
        <v>13/11/2025</v>
      </c>
      <c r="B10854" t="str">
        <f t="shared" si="2041"/>
        <v>SAÍDA</v>
      </c>
      <c r="C10854" t="str">
        <f t="shared" si="2042"/>
        <v>PIX</v>
      </c>
      <c r="D10854" t="str">
        <f>"24901"</f>
        <v>24901</v>
      </c>
      <c r="E10854" t="str">
        <f t="shared" ref="E10854:E10917" si="2044">"1"</f>
        <v>1</v>
      </c>
      <c r="F10854" t="str">
        <f t="shared" si="2038"/>
        <v>COM</v>
      </c>
      <c r="G10854" t="str">
        <f>"HELITON DE OLIVEIRA RAMOS BARBOSA (724)"</f>
        <v>HELITON DE OLIVEIRA RAMOS BARBOSA (724)</v>
      </c>
      <c r="H10854" t="s">
        <v>2847</v>
      </c>
      <c r="I10854" t="str">
        <f t="shared" si="2043"/>
        <v>13/11/2025</v>
      </c>
      <c r="J10854" t="str">
        <f t="shared" si="2039"/>
        <v>05/11/2025</v>
      </c>
      <c r="K10854">
        <v>45974</v>
      </c>
      <c r="N10854">
        <v>109</v>
      </c>
      <c r="O10854" t="s">
        <v>24</v>
      </c>
      <c r="Q10854">
        <v>18.899999999999999</v>
      </c>
      <c r="R10854" t="str">
        <f>"AC FARMA - FLEMINFARMA 5 (10183)"</f>
        <v>AC FARMA - FLEMINFARMA 5 (10183)</v>
      </c>
      <c r="S10854" t="s">
        <v>77</v>
      </c>
      <c r="T10854">
        <v>21719</v>
      </c>
      <c r="U10854">
        <v>24901</v>
      </c>
      <c r="V10854" t="s">
        <v>77</v>
      </c>
    </row>
    <row r="10855" spans="1:22">
      <c r="A10855" t="str">
        <f t="shared" si="2040"/>
        <v>13/11/2025</v>
      </c>
      <c r="B10855" t="str">
        <f t="shared" si="2041"/>
        <v>SAÍDA</v>
      </c>
      <c r="C10855" t="str">
        <f t="shared" si="2042"/>
        <v>PIX</v>
      </c>
      <c r="D10855" t="str">
        <f>"24956"</f>
        <v>24956</v>
      </c>
      <c r="E10855" t="str">
        <f t="shared" si="2044"/>
        <v>1</v>
      </c>
      <c r="F10855" t="str">
        <f t="shared" si="2038"/>
        <v>COM</v>
      </c>
      <c r="G10855" t="str">
        <f>"ADRIANO DE OMENA CARMO (992)"</f>
        <v>ADRIANO DE OMENA CARMO (992)</v>
      </c>
      <c r="H10855" t="str">
        <f>"Serv.Prest. 03/11/2025 a 09/11/2025 - PIX: CELULAR - CHAVE: (11) 98612-9589"</f>
        <v>Serv.Prest. 03/11/2025 a 09/11/2025 - PIX: CELULAR - CHAVE: (11) 98612-9589</v>
      </c>
      <c r="I10855" t="str">
        <f t="shared" si="2043"/>
        <v>13/11/2025</v>
      </c>
      <c r="J10855" t="str">
        <f t="shared" ref="J10855:J10886" si="2045">("10/11/2025")</f>
        <v>10/11/2025</v>
      </c>
      <c r="K10855" t="str">
        <f>("13/11/2025")</f>
        <v>13/11/2025</v>
      </c>
      <c r="L10855">
        <v>800</v>
      </c>
      <c r="M10855">
        <v>800</v>
      </c>
      <c r="N10855">
        <v>109</v>
      </c>
      <c r="O10855" t="str">
        <f>"PAGAMENTO DE ENTREGADORES"</f>
        <v>PAGAMENTO DE ENTREGADORES</v>
      </c>
      <c r="P10855">
        <v>800</v>
      </c>
      <c r="S10855" t="str">
        <f>"BANCO C6 (149)"</f>
        <v>BANCO C6 (149)</v>
      </c>
      <c r="T10855">
        <v>21720</v>
      </c>
      <c r="U10855">
        <v>24956</v>
      </c>
      <c r="V10855" t="s">
        <v>77</v>
      </c>
    </row>
    <row r="10856" spans="1:22">
      <c r="A10856" t="str">
        <f t="shared" si="2040"/>
        <v>13/11/2025</v>
      </c>
      <c r="B10856" t="str">
        <f t="shared" si="2041"/>
        <v>SAÍDA</v>
      </c>
      <c r="C10856" t="str">
        <f t="shared" si="2042"/>
        <v>PIX</v>
      </c>
      <c r="D10856" t="str">
        <f>"24956"</f>
        <v>24956</v>
      </c>
      <c r="E10856" t="str">
        <f t="shared" si="2044"/>
        <v>1</v>
      </c>
      <c r="F10856" t="str">
        <f t="shared" si="2038"/>
        <v>COM</v>
      </c>
      <c r="G10856" t="str">
        <f>"ADRIANO DE OMENA CARMO (992)"</f>
        <v>ADRIANO DE OMENA CARMO (992)</v>
      </c>
      <c r="H10856" t="s">
        <v>2990</v>
      </c>
      <c r="I10856" t="str">
        <f t="shared" si="2043"/>
        <v>13/11/2025</v>
      </c>
      <c r="J10856" t="str">
        <f t="shared" si="2045"/>
        <v>10/11/2025</v>
      </c>
      <c r="K10856">
        <v>45974</v>
      </c>
      <c r="N10856">
        <v>109</v>
      </c>
      <c r="O10856" t="s">
        <v>24</v>
      </c>
      <c r="Q10856">
        <v>800</v>
      </c>
      <c r="R10856" t="str">
        <f>"PENSE FARMA 51 (10235)"</f>
        <v>PENSE FARMA 51 (10235)</v>
      </c>
      <c r="S10856" t="s">
        <v>77</v>
      </c>
      <c r="T10856">
        <v>21720</v>
      </c>
      <c r="U10856">
        <v>24956</v>
      </c>
      <c r="V10856" t="s">
        <v>77</v>
      </c>
    </row>
    <row r="10857" spans="1:22">
      <c r="A10857" t="str">
        <f t="shared" si="2040"/>
        <v>13/11/2025</v>
      </c>
      <c r="B10857" t="str">
        <f t="shared" si="2041"/>
        <v>SAÍDA</v>
      </c>
      <c r="C10857" t="str">
        <f t="shared" si="2042"/>
        <v>PIX</v>
      </c>
      <c r="D10857" t="str">
        <f>"24958"</f>
        <v>24958</v>
      </c>
      <c r="E10857" t="str">
        <f t="shared" si="2044"/>
        <v>1</v>
      </c>
      <c r="F10857" t="str">
        <f t="shared" si="2038"/>
        <v>COM</v>
      </c>
      <c r="G10857" t="str">
        <f>"MATHEUS DA ROCHA GOMES (1002)"</f>
        <v>MATHEUS DA ROCHA GOMES (1002)</v>
      </c>
      <c r="H10857" t="str">
        <f>"Serv.Prest. 03/11/2025 a 09/11/2025 - PIX: CPF - CHAVE: 469.543.578-04"</f>
        <v>Serv.Prest. 03/11/2025 a 09/11/2025 - PIX: CPF - CHAVE: 469.543.578-04</v>
      </c>
      <c r="I10857" t="str">
        <f t="shared" si="2043"/>
        <v>13/11/2025</v>
      </c>
      <c r="J10857" t="str">
        <f t="shared" si="2045"/>
        <v>10/11/2025</v>
      </c>
      <c r="K10857" t="str">
        <f>("13/11/2025")</f>
        <v>13/11/2025</v>
      </c>
      <c r="L10857">
        <v>1325</v>
      </c>
      <c r="M10857">
        <v>1325</v>
      </c>
      <c r="N10857">
        <v>109</v>
      </c>
      <c r="O10857" t="str">
        <f>"PAGAMENTO DE ENTREGADORES"</f>
        <v>PAGAMENTO DE ENTREGADORES</v>
      </c>
      <c r="P10857">
        <v>1325</v>
      </c>
      <c r="S10857" t="str">
        <f>"BANCO C6 (149)"</f>
        <v>BANCO C6 (149)</v>
      </c>
      <c r="T10857">
        <v>21721</v>
      </c>
      <c r="U10857">
        <v>24958</v>
      </c>
      <c r="V10857" t="s">
        <v>77</v>
      </c>
    </row>
    <row r="10858" spans="1:22">
      <c r="A10858" t="str">
        <f t="shared" si="2040"/>
        <v>13/11/2025</v>
      </c>
      <c r="B10858" t="str">
        <f t="shared" si="2041"/>
        <v>SAÍDA</v>
      </c>
      <c r="C10858" t="str">
        <f t="shared" si="2042"/>
        <v>PIX</v>
      </c>
      <c r="D10858" t="str">
        <f>"24958"</f>
        <v>24958</v>
      </c>
      <c r="E10858" t="str">
        <f t="shared" si="2044"/>
        <v>1</v>
      </c>
      <c r="F10858" t="str">
        <f t="shared" si="2038"/>
        <v>COM</v>
      </c>
      <c r="G10858" t="str">
        <f>"MATHEUS DA ROCHA GOMES (1002)"</f>
        <v>MATHEUS DA ROCHA GOMES (1002)</v>
      </c>
      <c r="H10858" t="s">
        <v>2991</v>
      </c>
      <c r="I10858" t="str">
        <f t="shared" si="2043"/>
        <v>13/11/2025</v>
      </c>
      <c r="J10858" t="str">
        <f t="shared" si="2045"/>
        <v>10/11/2025</v>
      </c>
      <c r="K10858">
        <v>45974</v>
      </c>
      <c r="N10858">
        <v>109</v>
      </c>
      <c r="O10858" t="s">
        <v>24</v>
      </c>
      <c r="Q10858">
        <v>441.62</v>
      </c>
      <c r="R10858" t="str">
        <f>"PENSE FARMA 31 (10205)"</f>
        <v>PENSE FARMA 31 (10205)</v>
      </c>
      <c r="S10858" t="s">
        <v>77</v>
      </c>
      <c r="T10858">
        <v>21721</v>
      </c>
      <c r="U10858">
        <v>24958</v>
      </c>
      <c r="V10858" t="s">
        <v>77</v>
      </c>
    </row>
    <row r="10859" spans="1:22">
      <c r="A10859" t="str">
        <f t="shared" si="2040"/>
        <v>13/11/2025</v>
      </c>
      <c r="B10859" t="str">
        <f t="shared" si="2041"/>
        <v>SAÍDA</v>
      </c>
      <c r="C10859" t="str">
        <f t="shared" si="2042"/>
        <v>PIX</v>
      </c>
      <c r="D10859" t="str">
        <f>"24958"</f>
        <v>24958</v>
      </c>
      <c r="E10859" t="str">
        <f t="shared" si="2044"/>
        <v>1</v>
      </c>
      <c r="F10859" t="str">
        <f t="shared" si="2038"/>
        <v>COM</v>
      </c>
      <c r="G10859" t="str">
        <f>"MATHEUS DA ROCHA GOMES (1002)"</f>
        <v>MATHEUS DA ROCHA GOMES (1002)</v>
      </c>
      <c r="H10859" t="s">
        <v>2991</v>
      </c>
      <c r="I10859" t="str">
        <f t="shared" si="2043"/>
        <v>13/11/2025</v>
      </c>
      <c r="J10859" t="str">
        <f t="shared" si="2045"/>
        <v>10/11/2025</v>
      </c>
      <c r="K10859">
        <v>45974</v>
      </c>
      <c r="N10859">
        <v>109</v>
      </c>
      <c r="O10859" t="s">
        <v>24</v>
      </c>
      <c r="Q10859">
        <v>441.62</v>
      </c>
      <c r="R10859" t="str">
        <f>"PENSE FARMA 16 (10221)"</f>
        <v>PENSE FARMA 16 (10221)</v>
      </c>
      <c r="S10859" t="s">
        <v>77</v>
      </c>
      <c r="T10859">
        <v>21721</v>
      </c>
      <c r="U10859">
        <v>24958</v>
      </c>
      <c r="V10859" t="s">
        <v>77</v>
      </c>
    </row>
    <row r="10860" spans="1:22">
      <c r="A10860" t="str">
        <f t="shared" si="2040"/>
        <v>13/11/2025</v>
      </c>
      <c r="B10860" t="str">
        <f t="shared" si="2041"/>
        <v>SAÍDA</v>
      </c>
      <c r="C10860" t="str">
        <f t="shared" si="2042"/>
        <v>PIX</v>
      </c>
      <c r="D10860" t="str">
        <f>"24958"</f>
        <v>24958</v>
      </c>
      <c r="E10860" t="str">
        <f t="shared" si="2044"/>
        <v>1</v>
      </c>
      <c r="F10860" t="str">
        <f t="shared" si="2038"/>
        <v>COM</v>
      </c>
      <c r="G10860" t="str">
        <f>"MATHEUS DA ROCHA GOMES (1002)"</f>
        <v>MATHEUS DA ROCHA GOMES (1002)</v>
      </c>
      <c r="H10860" t="s">
        <v>2991</v>
      </c>
      <c r="I10860" t="str">
        <f t="shared" si="2043"/>
        <v>13/11/2025</v>
      </c>
      <c r="J10860" t="str">
        <f t="shared" si="2045"/>
        <v>10/11/2025</v>
      </c>
      <c r="K10860">
        <v>45974</v>
      </c>
      <c r="N10860">
        <v>109</v>
      </c>
      <c r="O10860" t="s">
        <v>24</v>
      </c>
      <c r="Q10860">
        <v>441.76</v>
      </c>
      <c r="R10860" t="str">
        <f>"PENSE FARMA 17 (10222)"</f>
        <v>PENSE FARMA 17 (10222)</v>
      </c>
      <c r="S10860" t="s">
        <v>77</v>
      </c>
      <c r="T10860">
        <v>21721</v>
      </c>
      <c r="U10860">
        <v>24958</v>
      </c>
      <c r="V10860" t="s">
        <v>77</v>
      </c>
    </row>
    <row r="10861" spans="1:22">
      <c r="A10861" t="str">
        <f t="shared" si="2040"/>
        <v>13/11/2025</v>
      </c>
      <c r="B10861" t="str">
        <f t="shared" si="2041"/>
        <v>SAÍDA</v>
      </c>
      <c r="C10861" t="str">
        <f t="shared" si="2042"/>
        <v>PIX</v>
      </c>
      <c r="D10861" t="str">
        <f>"24960"</f>
        <v>24960</v>
      </c>
      <c r="E10861" t="str">
        <f t="shared" si="2044"/>
        <v>1</v>
      </c>
      <c r="F10861" t="str">
        <f t="shared" si="2038"/>
        <v>COM</v>
      </c>
      <c r="G10861" t="str">
        <f>"MARCOS VINICIUS CORREIA JULI??O (1001)"</f>
        <v>MARCOS VINICIUS CORREIA JULI??O (1001)</v>
      </c>
      <c r="H10861" t="str">
        <f>"Serv.Prest. 03/11/2025 a 09/11/2025 - PIX: CELULAR - CHAVE: (11) 98144-5840"</f>
        <v>Serv.Prest. 03/11/2025 a 09/11/2025 - PIX: CELULAR - CHAVE: (11) 98144-5840</v>
      </c>
      <c r="I10861" t="str">
        <f t="shared" si="2043"/>
        <v>13/11/2025</v>
      </c>
      <c r="J10861" t="str">
        <f t="shared" si="2045"/>
        <v>10/11/2025</v>
      </c>
      <c r="K10861" t="str">
        <f>("13/11/2025")</f>
        <v>13/11/2025</v>
      </c>
      <c r="L10861">
        <v>1375</v>
      </c>
      <c r="M10861">
        <v>1375</v>
      </c>
      <c r="N10861">
        <v>109</v>
      </c>
      <c r="O10861" t="str">
        <f>"PAGAMENTO DE ENTREGADORES"</f>
        <v>PAGAMENTO DE ENTREGADORES</v>
      </c>
      <c r="P10861">
        <v>1375</v>
      </c>
      <c r="S10861" t="str">
        <f>"BANCO C6 (149)"</f>
        <v>BANCO C6 (149)</v>
      </c>
      <c r="T10861">
        <v>21722</v>
      </c>
      <c r="U10861">
        <v>24960</v>
      </c>
      <c r="V10861" t="s">
        <v>77</v>
      </c>
    </row>
    <row r="10862" spans="1:22">
      <c r="A10862" t="str">
        <f t="shared" si="2040"/>
        <v>13/11/2025</v>
      </c>
      <c r="B10862" t="str">
        <f t="shared" si="2041"/>
        <v>SAÍDA</v>
      </c>
      <c r="C10862" t="str">
        <f t="shared" si="2042"/>
        <v>PIX</v>
      </c>
      <c r="D10862" t="str">
        <f>"24960"</f>
        <v>24960</v>
      </c>
      <c r="E10862" t="str">
        <f t="shared" si="2044"/>
        <v>1</v>
      </c>
      <c r="F10862" t="str">
        <f t="shared" si="2038"/>
        <v>COM</v>
      </c>
      <c r="G10862" t="str">
        <f>"MARCOS VINICIUS CORREIA JULI??O (1001)"</f>
        <v>MARCOS VINICIUS CORREIA JULI??O (1001)</v>
      </c>
      <c r="H10862" t="s">
        <v>2992</v>
      </c>
      <c r="I10862" t="str">
        <f t="shared" si="2043"/>
        <v>13/11/2025</v>
      </c>
      <c r="J10862" t="str">
        <f t="shared" si="2045"/>
        <v>10/11/2025</v>
      </c>
      <c r="K10862">
        <v>45974</v>
      </c>
      <c r="N10862">
        <v>109</v>
      </c>
      <c r="O10862" t="s">
        <v>24</v>
      </c>
      <c r="Q10862">
        <v>687.5</v>
      </c>
      <c r="R10862" t="str">
        <f>"PENSE FARMA 44 (10231)"</f>
        <v>PENSE FARMA 44 (10231)</v>
      </c>
      <c r="S10862" t="s">
        <v>77</v>
      </c>
      <c r="T10862">
        <v>21722</v>
      </c>
      <c r="U10862">
        <v>24960</v>
      </c>
      <c r="V10862" t="s">
        <v>77</v>
      </c>
    </row>
    <row r="10863" spans="1:22">
      <c r="A10863" t="str">
        <f t="shared" si="2040"/>
        <v>13/11/2025</v>
      </c>
      <c r="B10863" t="str">
        <f t="shared" si="2041"/>
        <v>SAÍDA</v>
      </c>
      <c r="C10863" t="str">
        <f t="shared" si="2042"/>
        <v>PIX</v>
      </c>
      <c r="D10863" t="str">
        <f>"24960"</f>
        <v>24960</v>
      </c>
      <c r="E10863" t="str">
        <f t="shared" si="2044"/>
        <v>1</v>
      </c>
      <c r="F10863" t="str">
        <f t="shared" si="2038"/>
        <v>COM</v>
      </c>
      <c r="G10863" t="str">
        <f>"MARCOS VINICIUS CORREIA JULI??O (1001)"</f>
        <v>MARCOS VINICIUS CORREIA JULI??O (1001)</v>
      </c>
      <c r="H10863" t="s">
        <v>2992</v>
      </c>
      <c r="I10863" t="str">
        <f t="shared" si="2043"/>
        <v>13/11/2025</v>
      </c>
      <c r="J10863" t="str">
        <f t="shared" si="2045"/>
        <v>10/11/2025</v>
      </c>
      <c r="K10863">
        <v>45974</v>
      </c>
      <c r="N10863">
        <v>109</v>
      </c>
      <c r="O10863" t="s">
        <v>24</v>
      </c>
      <c r="Q10863">
        <v>687.5</v>
      </c>
      <c r="R10863" t="str">
        <f>"PENSE FARMA 48 (10233)"</f>
        <v>PENSE FARMA 48 (10233)</v>
      </c>
      <c r="S10863" t="s">
        <v>77</v>
      </c>
      <c r="T10863">
        <v>21722</v>
      </c>
      <c r="U10863">
        <v>24960</v>
      </c>
      <c r="V10863" t="s">
        <v>77</v>
      </c>
    </row>
    <row r="10864" spans="1:22">
      <c r="A10864" t="str">
        <f t="shared" si="2040"/>
        <v>13/11/2025</v>
      </c>
      <c r="B10864" t="str">
        <f t="shared" si="2041"/>
        <v>SAÍDA</v>
      </c>
      <c r="C10864" t="str">
        <f t="shared" si="2042"/>
        <v>PIX</v>
      </c>
      <c r="D10864" t="str">
        <f>"24961"</f>
        <v>24961</v>
      </c>
      <c r="E10864" t="str">
        <f t="shared" si="2044"/>
        <v>1</v>
      </c>
      <c r="F10864" t="str">
        <f t="shared" si="2038"/>
        <v>COM</v>
      </c>
      <c r="G10864" t="str">
        <f>"VICTOR HUGO SOARES DE PAULA (1021)"</f>
        <v>VICTOR HUGO SOARES DE PAULA (1021)</v>
      </c>
      <c r="H10864" t="str">
        <f>"Serv.Prest. 03/11/2025 a 09/11/2025 - PIX: CELULAR - CHAVE: (11) 98281-4526"</f>
        <v>Serv.Prest. 03/11/2025 a 09/11/2025 - PIX: CELULAR - CHAVE: (11) 98281-4526</v>
      </c>
      <c r="I10864" t="str">
        <f t="shared" si="2043"/>
        <v>13/11/2025</v>
      </c>
      <c r="J10864" t="str">
        <f t="shared" si="2045"/>
        <v>10/11/2025</v>
      </c>
      <c r="K10864" t="str">
        <f>("13/11/2025")</f>
        <v>13/11/2025</v>
      </c>
      <c r="L10864">
        <v>1375</v>
      </c>
      <c r="M10864">
        <v>1375</v>
      </c>
      <c r="N10864">
        <v>109</v>
      </c>
      <c r="O10864" t="str">
        <f>"PAGAMENTO DE ENTREGADORES"</f>
        <v>PAGAMENTO DE ENTREGADORES</v>
      </c>
      <c r="P10864">
        <v>1375</v>
      </c>
      <c r="S10864" t="str">
        <f>"BANCO C6 (149)"</f>
        <v>BANCO C6 (149)</v>
      </c>
      <c r="T10864">
        <v>21723</v>
      </c>
      <c r="U10864">
        <v>24961</v>
      </c>
      <c r="V10864" t="s">
        <v>77</v>
      </c>
    </row>
    <row r="10865" spans="1:22">
      <c r="A10865" t="str">
        <f t="shared" si="2040"/>
        <v>13/11/2025</v>
      </c>
      <c r="B10865" t="str">
        <f t="shared" si="2041"/>
        <v>SAÍDA</v>
      </c>
      <c r="C10865" t="str">
        <f t="shared" si="2042"/>
        <v>PIX</v>
      </c>
      <c r="D10865" t="str">
        <f>"24961"</f>
        <v>24961</v>
      </c>
      <c r="E10865" t="str">
        <f t="shared" si="2044"/>
        <v>1</v>
      </c>
      <c r="F10865" t="str">
        <f t="shared" si="2038"/>
        <v>COM</v>
      </c>
      <c r="G10865" t="str">
        <f>"VICTOR HUGO SOARES DE PAULA (1021)"</f>
        <v>VICTOR HUGO SOARES DE PAULA (1021)</v>
      </c>
      <c r="H10865" t="s">
        <v>2779</v>
      </c>
      <c r="I10865" t="str">
        <f t="shared" si="2043"/>
        <v>13/11/2025</v>
      </c>
      <c r="J10865" t="str">
        <f t="shared" si="2045"/>
        <v>10/11/2025</v>
      </c>
      <c r="K10865">
        <v>45974</v>
      </c>
      <c r="N10865">
        <v>109</v>
      </c>
      <c r="O10865" t="s">
        <v>24</v>
      </c>
      <c r="Q10865">
        <v>687.5</v>
      </c>
      <c r="R10865" t="str">
        <f>"PENSE FARMA 44 (10231)"</f>
        <v>PENSE FARMA 44 (10231)</v>
      </c>
      <c r="S10865" t="s">
        <v>77</v>
      </c>
      <c r="T10865">
        <v>21723</v>
      </c>
      <c r="U10865">
        <v>24961</v>
      </c>
      <c r="V10865" t="s">
        <v>77</v>
      </c>
    </row>
    <row r="10866" spans="1:22">
      <c r="A10866" t="str">
        <f t="shared" si="2040"/>
        <v>13/11/2025</v>
      </c>
      <c r="B10866" t="str">
        <f t="shared" si="2041"/>
        <v>SAÍDA</v>
      </c>
      <c r="C10866" t="str">
        <f t="shared" si="2042"/>
        <v>PIX</v>
      </c>
      <c r="D10866" t="str">
        <f>"24961"</f>
        <v>24961</v>
      </c>
      <c r="E10866" t="str">
        <f t="shared" si="2044"/>
        <v>1</v>
      </c>
      <c r="F10866" t="str">
        <f t="shared" si="2038"/>
        <v>COM</v>
      </c>
      <c r="G10866" t="str">
        <f>"VICTOR HUGO SOARES DE PAULA (1021)"</f>
        <v>VICTOR HUGO SOARES DE PAULA (1021)</v>
      </c>
      <c r="H10866" t="s">
        <v>2779</v>
      </c>
      <c r="I10866" t="str">
        <f t="shared" si="2043"/>
        <v>13/11/2025</v>
      </c>
      <c r="J10866" t="str">
        <f t="shared" si="2045"/>
        <v>10/11/2025</v>
      </c>
      <c r="K10866">
        <v>45974</v>
      </c>
      <c r="N10866">
        <v>109</v>
      </c>
      <c r="O10866" t="s">
        <v>24</v>
      </c>
      <c r="Q10866">
        <v>687.5</v>
      </c>
      <c r="R10866" t="str">
        <f>"PENSE FARMA 48 (10233)"</f>
        <v>PENSE FARMA 48 (10233)</v>
      </c>
      <c r="S10866" t="s">
        <v>77</v>
      </c>
      <c r="T10866">
        <v>21723</v>
      </c>
      <c r="U10866">
        <v>24961</v>
      </c>
      <c r="V10866" t="s">
        <v>77</v>
      </c>
    </row>
    <row r="10867" spans="1:22">
      <c r="A10867" t="str">
        <f t="shared" si="2040"/>
        <v>13/11/2025</v>
      </c>
      <c r="B10867" t="str">
        <f t="shared" si="2041"/>
        <v>SAÍDA</v>
      </c>
      <c r="C10867" t="str">
        <f t="shared" si="2042"/>
        <v>PIX</v>
      </c>
      <c r="D10867" t="str">
        <f>"24963"</f>
        <v>24963</v>
      </c>
      <c r="E10867" t="str">
        <f t="shared" si="2044"/>
        <v>1</v>
      </c>
      <c r="F10867" t="str">
        <f t="shared" si="2038"/>
        <v>COM</v>
      </c>
      <c r="G10867" t="str">
        <f>"GABRIEL SIQUEIRA DA SILVA (997)"</f>
        <v>GABRIEL SIQUEIRA DA SILVA (997)</v>
      </c>
      <c r="H10867" t="str">
        <f>"Serv.Prest. 03/11/2025 a 09/11/2025 - PIX: CPF - CHAVE: 500.480.978-02"</f>
        <v>Serv.Prest. 03/11/2025 a 09/11/2025 - PIX: CPF - CHAVE: 500.480.978-02</v>
      </c>
      <c r="I10867" t="str">
        <f t="shared" si="2043"/>
        <v>13/11/2025</v>
      </c>
      <c r="J10867" t="str">
        <f t="shared" si="2045"/>
        <v>10/11/2025</v>
      </c>
      <c r="K10867" t="str">
        <f>("13/11/2025")</f>
        <v>13/11/2025</v>
      </c>
      <c r="L10867">
        <v>800</v>
      </c>
      <c r="M10867">
        <v>800</v>
      </c>
      <c r="N10867">
        <v>109</v>
      </c>
      <c r="O10867" t="str">
        <f>"PAGAMENTO DE ENTREGADORES"</f>
        <v>PAGAMENTO DE ENTREGADORES</v>
      </c>
      <c r="P10867">
        <v>800</v>
      </c>
      <c r="S10867" t="str">
        <f>"BANCO C6 (149)"</f>
        <v>BANCO C6 (149)</v>
      </c>
      <c r="T10867">
        <v>21724</v>
      </c>
      <c r="U10867">
        <v>24963</v>
      </c>
      <c r="V10867" t="s">
        <v>77</v>
      </c>
    </row>
    <row r="10868" spans="1:22">
      <c r="A10868" t="str">
        <f t="shared" si="2040"/>
        <v>13/11/2025</v>
      </c>
      <c r="B10868" t="str">
        <f t="shared" si="2041"/>
        <v>SAÍDA</v>
      </c>
      <c r="C10868" t="str">
        <f t="shared" si="2042"/>
        <v>PIX</v>
      </c>
      <c r="D10868" t="str">
        <f>"24963"</f>
        <v>24963</v>
      </c>
      <c r="E10868" t="str">
        <f t="shared" si="2044"/>
        <v>1</v>
      </c>
      <c r="F10868" t="str">
        <f t="shared" si="2038"/>
        <v>COM</v>
      </c>
      <c r="G10868" t="str">
        <f>"GABRIEL SIQUEIRA DA SILVA (997)"</f>
        <v>GABRIEL SIQUEIRA DA SILVA (997)</v>
      </c>
      <c r="H10868" t="s">
        <v>2993</v>
      </c>
      <c r="I10868" t="str">
        <f t="shared" si="2043"/>
        <v>13/11/2025</v>
      </c>
      <c r="J10868" t="str">
        <f t="shared" si="2045"/>
        <v>10/11/2025</v>
      </c>
      <c r="K10868">
        <v>45974</v>
      </c>
      <c r="N10868">
        <v>109</v>
      </c>
      <c r="O10868" t="s">
        <v>24</v>
      </c>
      <c r="Q10868">
        <v>800</v>
      </c>
      <c r="R10868" t="str">
        <f>"PENSE FARMA 49 (10234)"</f>
        <v>PENSE FARMA 49 (10234)</v>
      </c>
      <c r="S10868" t="s">
        <v>77</v>
      </c>
      <c r="T10868">
        <v>21724</v>
      </c>
      <c r="U10868">
        <v>24963</v>
      </c>
      <c r="V10868" t="s">
        <v>77</v>
      </c>
    </row>
    <row r="10869" spans="1:22">
      <c r="A10869" t="str">
        <f t="shared" si="2040"/>
        <v>13/11/2025</v>
      </c>
      <c r="B10869" t="str">
        <f t="shared" si="2041"/>
        <v>SAÍDA</v>
      </c>
      <c r="C10869" t="str">
        <f t="shared" si="2042"/>
        <v>PIX</v>
      </c>
      <c r="D10869" t="str">
        <f>"24965"</f>
        <v>24965</v>
      </c>
      <c r="E10869" t="str">
        <f t="shared" si="2044"/>
        <v>1</v>
      </c>
      <c r="F10869" t="str">
        <f t="shared" si="2038"/>
        <v>COM</v>
      </c>
      <c r="G10869" t="str">
        <f>"ALAN COSTA SILVA (994)"</f>
        <v>ALAN COSTA SILVA (994)</v>
      </c>
      <c r="H10869" t="str">
        <f>"Serv.Prest. 03/11/2025 a 09/11/2025 - PIX: CELULAR - CHAVE: (11) 98484-6837"</f>
        <v>Serv.Prest. 03/11/2025 a 09/11/2025 - PIX: CELULAR - CHAVE: (11) 98484-6837</v>
      </c>
      <c r="I10869" t="str">
        <f t="shared" si="2043"/>
        <v>13/11/2025</v>
      </c>
      <c r="J10869" t="str">
        <f t="shared" si="2045"/>
        <v>10/11/2025</v>
      </c>
      <c r="K10869" t="str">
        <f>("13/11/2025")</f>
        <v>13/11/2025</v>
      </c>
      <c r="L10869">
        <v>1300</v>
      </c>
      <c r="M10869">
        <v>1300</v>
      </c>
      <c r="N10869">
        <v>109</v>
      </c>
      <c r="O10869" t="str">
        <f>"PAGAMENTO DE ENTREGADORES"</f>
        <v>PAGAMENTO DE ENTREGADORES</v>
      </c>
      <c r="P10869">
        <v>1300</v>
      </c>
      <c r="S10869" t="str">
        <f>"BANCO C6 (149)"</f>
        <v>BANCO C6 (149)</v>
      </c>
      <c r="T10869">
        <v>21725</v>
      </c>
      <c r="U10869">
        <v>24965</v>
      </c>
      <c r="V10869" t="s">
        <v>77</v>
      </c>
    </row>
    <row r="10870" spans="1:22">
      <c r="A10870" t="str">
        <f t="shared" si="2040"/>
        <v>13/11/2025</v>
      </c>
      <c r="B10870" t="str">
        <f t="shared" si="2041"/>
        <v>SAÍDA</v>
      </c>
      <c r="C10870" t="str">
        <f t="shared" si="2042"/>
        <v>PIX</v>
      </c>
      <c r="D10870" t="str">
        <f>"24965"</f>
        <v>24965</v>
      </c>
      <c r="E10870" t="str">
        <f t="shared" si="2044"/>
        <v>1</v>
      </c>
      <c r="F10870" t="str">
        <f t="shared" si="2038"/>
        <v>COM</v>
      </c>
      <c r="G10870" t="str">
        <f>"ALAN COSTA SILVA (994)"</f>
        <v>ALAN COSTA SILVA (994)</v>
      </c>
      <c r="H10870" t="s">
        <v>2994</v>
      </c>
      <c r="I10870" t="str">
        <f t="shared" si="2043"/>
        <v>13/11/2025</v>
      </c>
      <c r="J10870" t="str">
        <f t="shared" si="2045"/>
        <v>10/11/2025</v>
      </c>
      <c r="K10870">
        <v>45974</v>
      </c>
      <c r="N10870">
        <v>109</v>
      </c>
      <c r="O10870" t="s">
        <v>24</v>
      </c>
      <c r="Q10870">
        <v>325</v>
      </c>
      <c r="R10870" t="str">
        <f>"PENSE FARMA 02 (10199)"</f>
        <v>PENSE FARMA 02 (10199)</v>
      </c>
      <c r="S10870" t="s">
        <v>77</v>
      </c>
      <c r="T10870">
        <v>21725</v>
      </c>
      <c r="U10870">
        <v>24965</v>
      </c>
      <c r="V10870" t="s">
        <v>77</v>
      </c>
    </row>
    <row r="10871" spans="1:22">
      <c r="A10871" t="str">
        <f t="shared" si="2040"/>
        <v>13/11/2025</v>
      </c>
      <c r="B10871" t="str">
        <f t="shared" si="2041"/>
        <v>SAÍDA</v>
      </c>
      <c r="C10871" t="str">
        <f t="shared" si="2042"/>
        <v>PIX</v>
      </c>
      <c r="D10871" t="str">
        <f>"24965"</f>
        <v>24965</v>
      </c>
      <c r="E10871" t="str">
        <f t="shared" si="2044"/>
        <v>1</v>
      </c>
      <c r="F10871" t="str">
        <f t="shared" ref="F10871:F10934" si="2046">"COM"</f>
        <v>COM</v>
      </c>
      <c r="G10871" t="str">
        <f>"ALAN COSTA SILVA (994)"</f>
        <v>ALAN COSTA SILVA (994)</v>
      </c>
      <c r="H10871" t="s">
        <v>2994</v>
      </c>
      <c r="I10871" t="str">
        <f t="shared" si="2043"/>
        <v>13/11/2025</v>
      </c>
      <c r="J10871" t="str">
        <f t="shared" si="2045"/>
        <v>10/11/2025</v>
      </c>
      <c r="K10871">
        <v>45974</v>
      </c>
      <c r="N10871">
        <v>109</v>
      </c>
      <c r="O10871" t="s">
        <v>24</v>
      </c>
      <c r="Q10871">
        <v>325</v>
      </c>
      <c r="R10871" t="str">
        <f>"PENSE FARMA 01 (10215)"</f>
        <v>PENSE FARMA 01 (10215)</v>
      </c>
      <c r="S10871" t="s">
        <v>77</v>
      </c>
      <c r="T10871">
        <v>21725</v>
      </c>
      <c r="U10871">
        <v>24965</v>
      </c>
      <c r="V10871" t="s">
        <v>77</v>
      </c>
    </row>
    <row r="10872" spans="1:22">
      <c r="A10872" t="str">
        <f t="shared" si="2040"/>
        <v>13/11/2025</v>
      </c>
      <c r="B10872" t="str">
        <f t="shared" si="2041"/>
        <v>SAÍDA</v>
      </c>
      <c r="C10872" t="str">
        <f t="shared" si="2042"/>
        <v>PIX</v>
      </c>
      <c r="D10872" t="str">
        <f>"24965"</f>
        <v>24965</v>
      </c>
      <c r="E10872" t="str">
        <f t="shared" si="2044"/>
        <v>1</v>
      </c>
      <c r="F10872" t="str">
        <f t="shared" si="2046"/>
        <v>COM</v>
      </c>
      <c r="G10872" t="str">
        <f>"ALAN COSTA SILVA (994)"</f>
        <v>ALAN COSTA SILVA (994)</v>
      </c>
      <c r="H10872" t="s">
        <v>2994</v>
      </c>
      <c r="I10872" t="str">
        <f t="shared" si="2043"/>
        <v>13/11/2025</v>
      </c>
      <c r="J10872" t="str">
        <f t="shared" si="2045"/>
        <v>10/11/2025</v>
      </c>
      <c r="K10872">
        <v>45974</v>
      </c>
      <c r="N10872">
        <v>109</v>
      </c>
      <c r="O10872" t="s">
        <v>24</v>
      </c>
      <c r="Q10872">
        <v>325</v>
      </c>
      <c r="R10872" t="str">
        <f>"PENSE FARMA 03 (10216)"</f>
        <v>PENSE FARMA 03 (10216)</v>
      </c>
      <c r="S10872" t="s">
        <v>77</v>
      </c>
      <c r="T10872">
        <v>21725</v>
      </c>
      <c r="U10872">
        <v>24965</v>
      </c>
      <c r="V10872" t="s">
        <v>77</v>
      </c>
    </row>
    <row r="10873" spans="1:22">
      <c r="A10873" t="str">
        <f t="shared" si="2040"/>
        <v>13/11/2025</v>
      </c>
      <c r="B10873" t="str">
        <f t="shared" si="2041"/>
        <v>SAÍDA</v>
      </c>
      <c r="C10873" t="str">
        <f t="shared" si="2042"/>
        <v>PIX</v>
      </c>
      <c r="D10873" t="str">
        <f>"24965"</f>
        <v>24965</v>
      </c>
      <c r="E10873" t="str">
        <f t="shared" si="2044"/>
        <v>1</v>
      </c>
      <c r="F10873" t="str">
        <f t="shared" si="2046"/>
        <v>COM</v>
      </c>
      <c r="G10873" t="str">
        <f>"ALAN COSTA SILVA (994)"</f>
        <v>ALAN COSTA SILVA (994)</v>
      </c>
      <c r="H10873" t="s">
        <v>2994</v>
      </c>
      <c r="I10873" t="str">
        <f t="shared" si="2043"/>
        <v>13/11/2025</v>
      </c>
      <c r="J10873" t="str">
        <f t="shared" si="2045"/>
        <v>10/11/2025</v>
      </c>
      <c r="K10873">
        <v>45974</v>
      </c>
      <c r="N10873">
        <v>109</v>
      </c>
      <c r="O10873" t="s">
        <v>24</v>
      </c>
      <c r="Q10873">
        <v>325</v>
      </c>
      <c r="R10873" t="str">
        <f>"PENSE FARMA 39 (10228)"</f>
        <v>PENSE FARMA 39 (10228)</v>
      </c>
      <c r="S10873" t="s">
        <v>77</v>
      </c>
      <c r="T10873">
        <v>21725</v>
      </c>
      <c r="U10873">
        <v>24965</v>
      </c>
      <c r="V10873" t="s">
        <v>77</v>
      </c>
    </row>
    <row r="10874" spans="1:22">
      <c r="A10874" t="str">
        <f t="shared" si="2040"/>
        <v>13/11/2025</v>
      </c>
      <c r="B10874" t="str">
        <f t="shared" si="2041"/>
        <v>SAÍDA</v>
      </c>
      <c r="C10874" t="str">
        <f t="shared" si="2042"/>
        <v>PIX</v>
      </c>
      <c r="D10874" t="str">
        <f>"24966"</f>
        <v>24966</v>
      </c>
      <c r="E10874" t="str">
        <f t="shared" si="2044"/>
        <v>1</v>
      </c>
      <c r="F10874" t="str">
        <f t="shared" si="2046"/>
        <v>COM</v>
      </c>
      <c r="G10874" t="str">
        <f>"IGOR LOPES DA SILVA (991)"</f>
        <v>IGOR LOPES DA SILVA (991)</v>
      </c>
      <c r="H10874" t="str">
        <f>"Serv.Prest. 03/11/2025 a 09/11/2025 - PIX: CELULAR - CHAVE: (11) 95054-2206"</f>
        <v>Serv.Prest. 03/11/2025 a 09/11/2025 - PIX: CELULAR - CHAVE: (11) 95054-2206</v>
      </c>
      <c r="I10874" t="str">
        <f t="shared" si="2043"/>
        <v>13/11/2025</v>
      </c>
      <c r="J10874" t="str">
        <f t="shared" si="2045"/>
        <v>10/11/2025</v>
      </c>
      <c r="K10874" t="str">
        <f>("13/11/2025")</f>
        <v>13/11/2025</v>
      </c>
      <c r="L10874">
        <v>1300</v>
      </c>
      <c r="M10874">
        <v>1300</v>
      </c>
      <c r="N10874">
        <v>109</v>
      </c>
      <c r="O10874" t="str">
        <f>"PAGAMENTO DE ENTREGADORES"</f>
        <v>PAGAMENTO DE ENTREGADORES</v>
      </c>
      <c r="P10874">
        <v>1300</v>
      </c>
      <c r="S10874" t="str">
        <f>"BANCO C6 (149)"</f>
        <v>BANCO C6 (149)</v>
      </c>
      <c r="T10874">
        <v>21726</v>
      </c>
      <c r="U10874">
        <v>24966</v>
      </c>
      <c r="V10874" t="s">
        <v>77</v>
      </c>
    </row>
    <row r="10875" spans="1:22">
      <c r="A10875" t="str">
        <f t="shared" si="2040"/>
        <v>13/11/2025</v>
      </c>
      <c r="B10875" t="str">
        <f t="shared" si="2041"/>
        <v>SAÍDA</v>
      </c>
      <c r="C10875" t="str">
        <f t="shared" si="2042"/>
        <v>PIX</v>
      </c>
      <c r="D10875" t="str">
        <f>"24966"</f>
        <v>24966</v>
      </c>
      <c r="E10875" t="str">
        <f t="shared" si="2044"/>
        <v>1</v>
      </c>
      <c r="F10875" t="str">
        <f t="shared" si="2046"/>
        <v>COM</v>
      </c>
      <c r="G10875" t="str">
        <f>"IGOR LOPES DA SILVA (991)"</f>
        <v>IGOR LOPES DA SILVA (991)</v>
      </c>
      <c r="H10875" t="s">
        <v>2995</v>
      </c>
      <c r="I10875" t="str">
        <f t="shared" si="2043"/>
        <v>13/11/2025</v>
      </c>
      <c r="J10875" t="str">
        <f t="shared" si="2045"/>
        <v>10/11/2025</v>
      </c>
      <c r="K10875">
        <v>45974</v>
      </c>
      <c r="N10875">
        <v>109</v>
      </c>
      <c r="O10875" t="s">
        <v>24</v>
      </c>
      <c r="Q10875">
        <v>325</v>
      </c>
      <c r="R10875" t="str">
        <f>"PENSE FARMA 02 (10199)"</f>
        <v>PENSE FARMA 02 (10199)</v>
      </c>
      <c r="S10875" t="s">
        <v>77</v>
      </c>
      <c r="T10875">
        <v>21726</v>
      </c>
      <c r="U10875">
        <v>24966</v>
      </c>
      <c r="V10875" t="s">
        <v>77</v>
      </c>
    </row>
    <row r="10876" spans="1:22">
      <c r="A10876" t="str">
        <f t="shared" si="2040"/>
        <v>13/11/2025</v>
      </c>
      <c r="B10876" t="str">
        <f t="shared" si="2041"/>
        <v>SAÍDA</v>
      </c>
      <c r="C10876" t="str">
        <f t="shared" si="2042"/>
        <v>PIX</v>
      </c>
      <c r="D10876" t="str">
        <f>"24966"</f>
        <v>24966</v>
      </c>
      <c r="E10876" t="str">
        <f t="shared" si="2044"/>
        <v>1</v>
      </c>
      <c r="F10876" t="str">
        <f t="shared" si="2046"/>
        <v>COM</v>
      </c>
      <c r="G10876" t="str">
        <f>"IGOR LOPES DA SILVA (991)"</f>
        <v>IGOR LOPES DA SILVA (991)</v>
      </c>
      <c r="H10876" t="s">
        <v>2995</v>
      </c>
      <c r="I10876" t="str">
        <f t="shared" si="2043"/>
        <v>13/11/2025</v>
      </c>
      <c r="J10876" t="str">
        <f t="shared" si="2045"/>
        <v>10/11/2025</v>
      </c>
      <c r="K10876">
        <v>45974</v>
      </c>
      <c r="N10876">
        <v>109</v>
      </c>
      <c r="O10876" t="s">
        <v>24</v>
      </c>
      <c r="Q10876">
        <v>325</v>
      </c>
      <c r="R10876" t="str">
        <f>"PENSE FARMA 01 (10215)"</f>
        <v>PENSE FARMA 01 (10215)</v>
      </c>
      <c r="S10876" t="s">
        <v>77</v>
      </c>
      <c r="T10876">
        <v>21726</v>
      </c>
      <c r="U10876">
        <v>24966</v>
      </c>
      <c r="V10876" t="s">
        <v>77</v>
      </c>
    </row>
    <row r="10877" spans="1:22">
      <c r="A10877" t="str">
        <f t="shared" si="2040"/>
        <v>13/11/2025</v>
      </c>
      <c r="B10877" t="str">
        <f t="shared" si="2041"/>
        <v>SAÍDA</v>
      </c>
      <c r="C10877" t="str">
        <f t="shared" si="2042"/>
        <v>PIX</v>
      </c>
      <c r="D10877" t="str">
        <f>"24966"</f>
        <v>24966</v>
      </c>
      <c r="E10877" t="str">
        <f t="shared" si="2044"/>
        <v>1</v>
      </c>
      <c r="F10877" t="str">
        <f t="shared" si="2046"/>
        <v>COM</v>
      </c>
      <c r="G10877" t="str">
        <f>"IGOR LOPES DA SILVA (991)"</f>
        <v>IGOR LOPES DA SILVA (991)</v>
      </c>
      <c r="H10877" t="s">
        <v>2995</v>
      </c>
      <c r="I10877" t="str">
        <f t="shared" si="2043"/>
        <v>13/11/2025</v>
      </c>
      <c r="J10877" t="str">
        <f t="shared" si="2045"/>
        <v>10/11/2025</v>
      </c>
      <c r="K10877">
        <v>45974</v>
      </c>
      <c r="N10877">
        <v>109</v>
      </c>
      <c r="O10877" t="s">
        <v>24</v>
      </c>
      <c r="Q10877">
        <v>325</v>
      </c>
      <c r="R10877" t="str">
        <f>"PENSE FARMA 03 (10216)"</f>
        <v>PENSE FARMA 03 (10216)</v>
      </c>
      <c r="S10877" t="s">
        <v>77</v>
      </c>
      <c r="T10877">
        <v>21726</v>
      </c>
      <c r="U10877">
        <v>24966</v>
      </c>
      <c r="V10877" t="s">
        <v>77</v>
      </c>
    </row>
    <row r="10878" spans="1:22">
      <c r="A10878" t="str">
        <f t="shared" si="2040"/>
        <v>13/11/2025</v>
      </c>
      <c r="B10878" t="str">
        <f t="shared" si="2041"/>
        <v>SAÍDA</v>
      </c>
      <c r="C10878" t="str">
        <f t="shared" si="2042"/>
        <v>PIX</v>
      </c>
      <c r="D10878" t="str">
        <f>"24966"</f>
        <v>24966</v>
      </c>
      <c r="E10878" t="str">
        <f t="shared" si="2044"/>
        <v>1</v>
      </c>
      <c r="F10878" t="str">
        <f t="shared" si="2046"/>
        <v>COM</v>
      </c>
      <c r="G10878" t="str">
        <f>"IGOR LOPES DA SILVA (991)"</f>
        <v>IGOR LOPES DA SILVA (991)</v>
      </c>
      <c r="H10878" t="s">
        <v>2995</v>
      </c>
      <c r="I10878" t="str">
        <f t="shared" si="2043"/>
        <v>13/11/2025</v>
      </c>
      <c r="J10878" t="str">
        <f t="shared" si="2045"/>
        <v>10/11/2025</v>
      </c>
      <c r="K10878">
        <v>45974</v>
      </c>
      <c r="N10878">
        <v>109</v>
      </c>
      <c r="O10878" t="s">
        <v>24</v>
      </c>
      <c r="Q10878">
        <v>325</v>
      </c>
      <c r="R10878" t="str">
        <f>"PENSE FARMA 39 (10228)"</f>
        <v>PENSE FARMA 39 (10228)</v>
      </c>
      <c r="S10878" t="s">
        <v>77</v>
      </c>
      <c r="T10878">
        <v>21726</v>
      </c>
      <c r="U10878">
        <v>24966</v>
      </c>
      <c r="V10878" t="s">
        <v>77</v>
      </c>
    </row>
    <row r="10879" spans="1:22">
      <c r="A10879" t="str">
        <f t="shared" si="2040"/>
        <v>13/11/2025</v>
      </c>
      <c r="B10879" t="str">
        <f t="shared" si="2041"/>
        <v>SAÍDA</v>
      </c>
      <c r="C10879" t="str">
        <f t="shared" si="2042"/>
        <v>PIX</v>
      </c>
      <c r="D10879" t="str">
        <f>"24968"</f>
        <v>24968</v>
      </c>
      <c r="E10879" t="str">
        <f t="shared" si="2044"/>
        <v>1</v>
      </c>
      <c r="F10879" t="str">
        <f t="shared" si="2046"/>
        <v>COM</v>
      </c>
      <c r="G10879" t="str">
        <f>"MATEUS VIEIRA DE SOUZA (1019)"</f>
        <v>MATEUS VIEIRA DE SOUZA (1019)</v>
      </c>
      <c r="H10879" t="str">
        <f>"Serv.Prest. 03/11/2025 a 09/11/2025 - PIX: CELULAR - CHAVE: (11) 97702-1316"</f>
        <v>Serv.Prest. 03/11/2025 a 09/11/2025 - PIX: CELULAR - CHAVE: (11) 97702-1316</v>
      </c>
      <c r="I10879" t="str">
        <f t="shared" si="2043"/>
        <v>13/11/2025</v>
      </c>
      <c r="J10879" t="str">
        <f t="shared" si="2045"/>
        <v>10/11/2025</v>
      </c>
      <c r="K10879" t="str">
        <f>("13/11/2025")</f>
        <v>13/11/2025</v>
      </c>
      <c r="L10879">
        <v>1300</v>
      </c>
      <c r="M10879">
        <v>1300</v>
      </c>
      <c r="N10879">
        <v>109</v>
      </c>
      <c r="O10879" t="str">
        <f>"PAGAMENTO DE ENTREGADORES"</f>
        <v>PAGAMENTO DE ENTREGADORES</v>
      </c>
      <c r="P10879">
        <v>1300</v>
      </c>
      <c r="S10879" t="str">
        <f>"BANCO C6 (149)"</f>
        <v>BANCO C6 (149)</v>
      </c>
      <c r="T10879">
        <v>21727</v>
      </c>
      <c r="U10879">
        <v>24968</v>
      </c>
      <c r="V10879" t="s">
        <v>77</v>
      </c>
    </row>
    <row r="10880" spans="1:22">
      <c r="A10880" t="str">
        <f t="shared" si="2040"/>
        <v>13/11/2025</v>
      </c>
      <c r="B10880" t="str">
        <f t="shared" si="2041"/>
        <v>SAÍDA</v>
      </c>
      <c r="C10880" t="str">
        <f t="shared" si="2042"/>
        <v>PIX</v>
      </c>
      <c r="D10880" t="str">
        <f>"24968"</f>
        <v>24968</v>
      </c>
      <c r="E10880" t="str">
        <f t="shared" si="2044"/>
        <v>1</v>
      </c>
      <c r="F10880" t="str">
        <f t="shared" si="2046"/>
        <v>COM</v>
      </c>
      <c r="G10880" t="str">
        <f>"MATEUS VIEIRA DE SOUZA (1019)"</f>
        <v>MATEUS VIEIRA DE SOUZA (1019)</v>
      </c>
      <c r="H10880" t="s">
        <v>2780</v>
      </c>
      <c r="I10880" t="str">
        <f t="shared" si="2043"/>
        <v>13/11/2025</v>
      </c>
      <c r="J10880" t="str">
        <f t="shared" si="2045"/>
        <v>10/11/2025</v>
      </c>
      <c r="K10880">
        <v>45974</v>
      </c>
      <c r="N10880">
        <v>109</v>
      </c>
      <c r="O10880" t="s">
        <v>24</v>
      </c>
      <c r="Q10880">
        <v>1300</v>
      </c>
      <c r="R10880" t="str">
        <f>"PENSE FARMA 47 (10232)"</f>
        <v>PENSE FARMA 47 (10232)</v>
      </c>
      <c r="S10880" t="s">
        <v>77</v>
      </c>
      <c r="T10880">
        <v>21727</v>
      </c>
      <c r="U10880">
        <v>24968</v>
      </c>
      <c r="V10880" t="s">
        <v>77</v>
      </c>
    </row>
    <row r="10881" spans="1:22">
      <c r="A10881" t="str">
        <f t="shared" si="2040"/>
        <v>13/11/2025</v>
      </c>
      <c r="B10881" t="str">
        <f t="shared" si="2041"/>
        <v>SAÍDA</v>
      </c>
      <c r="C10881" t="str">
        <f t="shared" si="2042"/>
        <v>PIX</v>
      </c>
      <c r="D10881" t="str">
        <f>"24970"</f>
        <v>24970</v>
      </c>
      <c r="E10881" t="str">
        <f t="shared" si="2044"/>
        <v>1</v>
      </c>
      <c r="F10881" t="str">
        <f t="shared" si="2046"/>
        <v>COM</v>
      </c>
      <c r="G10881" t="str">
        <f>"RODRIGO TEIXEIRA ROCHA (1007)"</f>
        <v>RODRIGO TEIXEIRA ROCHA (1007)</v>
      </c>
      <c r="H10881" t="str">
        <f>"Serv.Prest. 03/11/2025 a 09/11/2025 - PIX: CPF - CHAVE: 506.934.998-85"</f>
        <v>Serv.Prest. 03/11/2025 a 09/11/2025 - PIX: CPF - CHAVE: 506.934.998-85</v>
      </c>
      <c r="I10881" t="str">
        <f t="shared" si="2043"/>
        <v>13/11/2025</v>
      </c>
      <c r="J10881" t="str">
        <f t="shared" si="2045"/>
        <v>10/11/2025</v>
      </c>
      <c r="K10881" t="str">
        <f>("13/11/2025")</f>
        <v>13/11/2025</v>
      </c>
      <c r="L10881">
        <v>1300</v>
      </c>
      <c r="M10881">
        <v>1300</v>
      </c>
      <c r="N10881">
        <v>109</v>
      </c>
      <c r="O10881" t="str">
        <f>"PAGAMENTO DE ENTREGADORES"</f>
        <v>PAGAMENTO DE ENTREGADORES</v>
      </c>
      <c r="P10881">
        <v>1300</v>
      </c>
      <c r="S10881" t="str">
        <f>"BANCO C6 (149)"</f>
        <v>BANCO C6 (149)</v>
      </c>
      <c r="T10881">
        <v>21728</v>
      </c>
      <c r="U10881">
        <v>24970</v>
      </c>
      <c r="V10881" t="s">
        <v>77</v>
      </c>
    </row>
    <row r="10882" spans="1:22">
      <c r="A10882" t="str">
        <f t="shared" si="2040"/>
        <v>13/11/2025</v>
      </c>
      <c r="B10882" t="str">
        <f t="shared" si="2041"/>
        <v>SAÍDA</v>
      </c>
      <c r="C10882" t="str">
        <f t="shared" si="2042"/>
        <v>PIX</v>
      </c>
      <c r="D10882" t="str">
        <f>"24970"</f>
        <v>24970</v>
      </c>
      <c r="E10882" t="str">
        <f t="shared" si="2044"/>
        <v>1</v>
      </c>
      <c r="F10882" t="str">
        <f t="shared" si="2046"/>
        <v>COM</v>
      </c>
      <c r="G10882" t="str">
        <f>"RODRIGO TEIXEIRA ROCHA (1007)"</f>
        <v>RODRIGO TEIXEIRA ROCHA (1007)</v>
      </c>
      <c r="H10882" t="s">
        <v>2996</v>
      </c>
      <c r="I10882" t="str">
        <f t="shared" si="2043"/>
        <v>13/11/2025</v>
      </c>
      <c r="J10882" t="str">
        <f t="shared" si="2045"/>
        <v>10/11/2025</v>
      </c>
      <c r="K10882">
        <v>45974</v>
      </c>
      <c r="N10882">
        <v>109</v>
      </c>
      <c r="O10882" t="s">
        <v>24</v>
      </c>
      <c r="Q10882">
        <v>1300</v>
      </c>
      <c r="R10882" t="str">
        <f>"PENSE FARMA 25 (10224)"</f>
        <v>PENSE FARMA 25 (10224)</v>
      </c>
      <c r="S10882" t="s">
        <v>77</v>
      </c>
      <c r="T10882">
        <v>21728</v>
      </c>
      <c r="U10882">
        <v>24970</v>
      </c>
      <c r="V10882" t="s">
        <v>77</v>
      </c>
    </row>
    <row r="10883" spans="1:22">
      <c r="A10883" t="str">
        <f t="shared" si="2040"/>
        <v>13/11/2025</v>
      </c>
      <c r="B10883" t="str">
        <f t="shared" si="2041"/>
        <v>SAÍDA</v>
      </c>
      <c r="C10883" t="str">
        <f t="shared" si="2042"/>
        <v>PIX</v>
      </c>
      <c r="D10883" t="str">
        <f>"24971"</f>
        <v>24971</v>
      </c>
      <c r="E10883" t="str">
        <f t="shared" si="2044"/>
        <v>1</v>
      </c>
      <c r="F10883" t="str">
        <f t="shared" si="2046"/>
        <v>COM</v>
      </c>
      <c r="G10883" t="str">
        <f>"VAGNER DIEGO DE OLIVEIRA MELO (990)"</f>
        <v>VAGNER DIEGO DE OLIVEIRA MELO (990)</v>
      </c>
      <c r="H10883" t="str">
        <f>"Serv.Prest. 03/11/2025 a 09/11/2025 - PIX: CPF - CHAVE: 419.678.508-52"</f>
        <v>Serv.Prest. 03/11/2025 a 09/11/2025 - PIX: CPF - CHAVE: 419.678.508-52</v>
      </c>
      <c r="I10883" t="str">
        <f t="shared" si="2043"/>
        <v>13/11/2025</v>
      </c>
      <c r="J10883" t="str">
        <f t="shared" si="2045"/>
        <v>10/11/2025</v>
      </c>
      <c r="K10883" t="str">
        <f>("13/11/2025")</f>
        <v>13/11/2025</v>
      </c>
      <c r="L10883">
        <v>1300</v>
      </c>
      <c r="M10883">
        <v>1300</v>
      </c>
      <c r="N10883">
        <v>109</v>
      </c>
      <c r="O10883" t="str">
        <f>"PAGAMENTO DE ENTREGADORES"</f>
        <v>PAGAMENTO DE ENTREGADORES</v>
      </c>
      <c r="P10883">
        <v>1300</v>
      </c>
      <c r="S10883" t="str">
        <f>"BANCO C6 (149)"</f>
        <v>BANCO C6 (149)</v>
      </c>
      <c r="T10883">
        <v>21729</v>
      </c>
      <c r="U10883">
        <v>24971</v>
      </c>
      <c r="V10883" t="s">
        <v>77</v>
      </c>
    </row>
    <row r="10884" spans="1:22">
      <c r="A10884" t="str">
        <f t="shared" si="2040"/>
        <v>13/11/2025</v>
      </c>
      <c r="B10884" t="str">
        <f t="shared" si="2041"/>
        <v>SAÍDA</v>
      </c>
      <c r="C10884" t="str">
        <f t="shared" si="2042"/>
        <v>PIX</v>
      </c>
      <c r="D10884" t="str">
        <f>"24971"</f>
        <v>24971</v>
      </c>
      <c r="E10884" t="str">
        <f t="shared" si="2044"/>
        <v>1</v>
      </c>
      <c r="F10884" t="str">
        <f t="shared" si="2046"/>
        <v>COM</v>
      </c>
      <c r="G10884" t="str">
        <f>"VAGNER DIEGO DE OLIVEIRA MELO (990)"</f>
        <v>VAGNER DIEGO DE OLIVEIRA MELO (990)</v>
      </c>
      <c r="H10884" t="s">
        <v>2997</v>
      </c>
      <c r="I10884" t="str">
        <f t="shared" si="2043"/>
        <v>13/11/2025</v>
      </c>
      <c r="J10884" t="str">
        <f t="shared" si="2045"/>
        <v>10/11/2025</v>
      </c>
      <c r="K10884">
        <v>45974</v>
      </c>
      <c r="N10884">
        <v>109</v>
      </c>
      <c r="O10884" t="s">
        <v>24</v>
      </c>
      <c r="Q10884">
        <v>1300</v>
      </c>
      <c r="R10884" t="str">
        <f>"PENSE FARMA 25 (10224)"</f>
        <v>PENSE FARMA 25 (10224)</v>
      </c>
      <c r="S10884" t="s">
        <v>77</v>
      </c>
      <c r="T10884">
        <v>21729</v>
      </c>
      <c r="U10884">
        <v>24971</v>
      </c>
      <c r="V10884" t="s">
        <v>77</v>
      </c>
    </row>
    <row r="10885" spans="1:22">
      <c r="A10885" t="str">
        <f t="shared" si="2040"/>
        <v>13/11/2025</v>
      </c>
      <c r="B10885" t="str">
        <f t="shared" si="2041"/>
        <v>SAÍDA</v>
      </c>
      <c r="C10885" t="str">
        <f t="shared" si="2042"/>
        <v>PIX</v>
      </c>
      <c r="D10885" t="str">
        <f>"24973"</f>
        <v>24973</v>
      </c>
      <c r="E10885" t="str">
        <f t="shared" si="2044"/>
        <v>1</v>
      </c>
      <c r="F10885" t="str">
        <f t="shared" si="2046"/>
        <v>COM</v>
      </c>
      <c r="G10885" t="str">
        <f>"PEDRO HENRIQUE XAVIER DOS SANTOS (993)"</f>
        <v>PEDRO HENRIQUE XAVIER DOS SANTOS (993)</v>
      </c>
      <c r="H10885" t="str">
        <f>"Serv.Prest. 03/11/2025 a 09/11/2025 - PIX: CPF - CHAVE: 489.237.478-40"</f>
        <v>Serv.Prest. 03/11/2025 a 09/11/2025 - PIX: CPF - CHAVE: 489.237.478-40</v>
      </c>
      <c r="I10885" t="str">
        <f t="shared" si="2043"/>
        <v>13/11/2025</v>
      </c>
      <c r="J10885" t="str">
        <f t="shared" si="2045"/>
        <v>10/11/2025</v>
      </c>
      <c r="K10885" t="str">
        <f>("13/11/2025")</f>
        <v>13/11/2025</v>
      </c>
      <c r="L10885">
        <v>800</v>
      </c>
      <c r="M10885">
        <v>800</v>
      </c>
      <c r="N10885">
        <v>109</v>
      </c>
      <c r="O10885" t="str">
        <f>"PAGAMENTO DE ENTREGADORES"</f>
        <v>PAGAMENTO DE ENTREGADORES</v>
      </c>
      <c r="P10885">
        <v>800</v>
      </c>
      <c r="S10885" t="str">
        <f>"BANCO C6 (149)"</f>
        <v>BANCO C6 (149)</v>
      </c>
      <c r="T10885">
        <v>21730</v>
      </c>
      <c r="U10885">
        <v>24973</v>
      </c>
      <c r="V10885" t="s">
        <v>77</v>
      </c>
    </row>
    <row r="10886" spans="1:22">
      <c r="A10886" t="str">
        <f t="shared" si="2040"/>
        <v>13/11/2025</v>
      </c>
      <c r="B10886" t="str">
        <f t="shared" si="2041"/>
        <v>SAÍDA</v>
      </c>
      <c r="C10886" t="str">
        <f t="shared" si="2042"/>
        <v>PIX</v>
      </c>
      <c r="D10886" t="str">
        <f>"24973"</f>
        <v>24973</v>
      </c>
      <c r="E10886" t="str">
        <f t="shared" si="2044"/>
        <v>1</v>
      </c>
      <c r="F10886" t="str">
        <f t="shared" si="2046"/>
        <v>COM</v>
      </c>
      <c r="G10886" t="str">
        <f>"PEDRO HENRIQUE XAVIER DOS SANTOS (993)"</f>
        <v>PEDRO HENRIQUE XAVIER DOS SANTOS (993)</v>
      </c>
      <c r="H10886" t="s">
        <v>2998</v>
      </c>
      <c r="I10886" t="str">
        <f t="shared" si="2043"/>
        <v>13/11/2025</v>
      </c>
      <c r="J10886" t="str">
        <f t="shared" si="2045"/>
        <v>10/11/2025</v>
      </c>
      <c r="K10886">
        <v>45974</v>
      </c>
      <c r="N10886">
        <v>109</v>
      </c>
      <c r="O10886" t="s">
        <v>24</v>
      </c>
      <c r="Q10886">
        <v>800</v>
      </c>
      <c r="R10886" t="str">
        <f>"PENSE FARMA 35 (10227)"</f>
        <v>PENSE FARMA 35 (10227)</v>
      </c>
      <c r="S10886" t="s">
        <v>77</v>
      </c>
      <c r="T10886">
        <v>21730</v>
      </c>
      <c r="U10886">
        <v>24973</v>
      </c>
      <c r="V10886" t="s">
        <v>77</v>
      </c>
    </row>
    <row r="10887" spans="1:22">
      <c r="A10887" t="str">
        <f t="shared" si="2040"/>
        <v>13/11/2025</v>
      </c>
      <c r="B10887" t="str">
        <f t="shared" si="2041"/>
        <v>SAÍDA</v>
      </c>
      <c r="C10887" t="str">
        <f t="shared" si="2042"/>
        <v>PIX</v>
      </c>
      <c r="D10887" t="str">
        <f t="shared" ref="D10887:D10892" si="2047">"24975"</f>
        <v>24975</v>
      </c>
      <c r="E10887" t="str">
        <f t="shared" si="2044"/>
        <v>1</v>
      </c>
      <c r="F10887" t="str">
        <f t="shared" si="2046"/>
        <v>COM</v>
      </c>
      <c r="G10887" t="str">
        <f t="shared" ref="G10887:G10892" si="2048">"DANILO VICENTE MARINHO SANTOS (1018)"</f>
        <v>DANILO VICENTE MARINHO SANTOS (1018)</v>
      </c>
      <c r="H10887" t="str">
        <f>"Serv.Prest. 03/11/2025 a 09/11/2025 - PIX: CELULAR - CHAVE: (11) 98768-7863"</f>
        <v>Serv.Prest. 03/11/2025 a 09/11/2025 - PIX: CELULAR - CHAVE: (11) 98768-7863</v>
      </c>
      <c r="I10887" t="str">
        <f t="shared" si="2043"/>
        <v>13/11/2025</v>
      </c>
      <c r="J10887" t="str">
        <f t="shared" ref="J10887:J10918" si="2049">("10/11/2025")</f>
        <v>10/11/2025</v>
      </c>
      <c r="K10887" t="str">
        <f>("13/11/2025")</f>
        <v>13/11/2025</v>
      </c>
      <c r="L10887">
        <v>1375</v>
      </c>
      <c r="M10887">
        <v>1375</v>
      </c>
      <c r="N10887">
        <v>109</v>
      </c>
      <c r="O10887" t="str">
        <f>"PAGAMENTO DE ENTREGADORES"</f>
        <v>PAGAMENTO DE ENTREGADORES</v>
      </c>
      <c r="P10887">
        <v>1375</v>
      </c>
      <c r="S10887" t="str">
        <f>"BANCO C6 (149)"</f>
        <v>BANCO C6 (149)</v>
      </c>
      <c r="T10887">
        <v>21731</v>
      </c>
      <c r="U10887">
        <v>24975</v>
      </c>
      <c r="V10887" t="s">
        <v>77</v>
      </c>
    </row>
    <row r="10888" spans="1:22">
      <c r="A10888" t="str">
        <f t="shared" si="2040"/>
        <v>13/11/2025</v>
      </c>
      <c r="B10888" t="str">
        <f t="shared" si="2041"/>
        <v>SAÍDA</v>
      </c>
      <c r="C10888" t="str">
        <f t="shared" si="2042"/>
        <v>PIX</v>
      </c>
      <c r="D10888" t="str">
        <f t="shared" si="2047"/>
        <v>24975</v>
      </c>
      <c r="E10888" t="str">
        <f t="shared" si="2044"/>
        <v>1</v>
      </c>
      <c r="F10888" t="str">
        <f t="shared" si="2046"/>
        <v>COM</v>
      </c>
      <c r="G10888" t="str">
        <f t="shared" si="2048"/>
        <v>DANILO VICENTE MARINHO SANTOS (1018)</v>
      </c>
      <c r="H10888" t="s">
        <v>2999</v>
      </c>
      <c r="I10888" t="str">
        <f t="shared" si="2043"/>
        <v>13/11/2025</v>
      </c>
      <c r="J10888" t="str">
        <f t="shared" si="2049"/>
        <v>10/11/2025</v>
      </c>
      <c r="K10888">
        <v>45974</v>
      </c>
      <c r="N10888">
        <v>109</v>
      </c>
      <c r="O10888" t="s">
        <v>24</v>
      </c>
      <c r="Q10888">
        <v>229.21</v>
      </c>
      <c r="R10888" t="str">
        <f>"PENSE FARMA 08 (10217)"</f>
        <v>PENSE FARMA 08 (10217)</v>
      </c>
      <c r="S10888" t="s">
        <v>77</v>
      </c>
      <c r="T10888">
        <v>21731</v>
      </c>
      <c r="U10888">
        <v>24975</v>
      </c>
      <c r="V10888" t="s">
        <v>77</v>
      </c>
    </row>
    <row r="10889" spans="1:22">
      <c r="A10889" t="str">
        <f t="shared" si="2040"/>
        <v>13/11/2025</v>
      </c>
      <c r="B10889" t="str">
        <f t="shared" si="2041"/>
        <v>SAÍDA</v>
      </c>
      <c r="C10889" t="str">
        <f t="shared" si="2042"/>
        <v>PIX</v>
      </c>
      <c r="D10889" t="str">
        <f t="shared" si="2047"/>
        <v>24975</v>
      </c>
      <c r="E10889" t="str">
        <f t="shared" si="2044"/>
        <v>1</v>
      </c>
      <c r="F10889" t="str">
        <f t="shared" si="2046"/>
        <v>COM</v>
      </c>
      <c r="G10889" t="str">
        <f t="shared" si="2048"/>
        <v>DANILO VICENTE MARINHO SANTOS (1018)</v>
      </c>
      <c r="H10889" t="s">
        <v>2999</v>
      </c>
      <c r="I10889" t="str">
        <f t="shared" si="2043"/>
        <v>13/11/2025</v>
      </c>
      <c r="J10889" t="str">
        <f t="shared" si="2049"/>
        <v>10/11/2025</v>
      </c>
      <c r="K10889">
        <v>45974</v>
      </c>
      <c r="N10889">
        <v>109</v>
      </c>
      <c r="O10889" t="s">
        <v>24</v>
      </c>
      <c r="Q10889">
        <v>229.21</v>
      </c>
      <c r="R10889" t="str">
        <f>"PENSE FARMA 11 (10220)"</f>
        <v>PENSE FARMA 11 (10220)</v>
      </c>
      <c r="S10889" t="s">
        <v>77</v>
      </c>
      <c r="T10889">
        <v>21731</v>
      </c>
      <c r="U10889">
        <v>24975</v>
      </c>
      <c r="V10889" t="s">
        <v>77</v>
      </c>
    </row>
    <row r="10890" spans="1:22">
      <c r="A10890" t="str">
        <f t="shared" si="2040"/>
        <v>13/11/2025</v>
      </c>
      <c r="B10890" t="str">
        <f t="shared" si="2041"/>
        <v>SAÍDA</v>
      </c>
      <c r="C10890" t="str">
        <f t="shared" si="2042"/>
        <v>PIX</v>
      </c>
      <c r="D10890" t="str">
        <f t="shared" si="2047"/>
        <v>24975</v>
      </c>
      <c r="E10890" t="str">
        <f t="shared" si="2044"/>
        <v>1</v>
      </c>
      <c r="F10890" t="str">
        <f t="shared" si="2046"/>
        <v>COM</v>
      </c>
      <c r="G10890" t="str">
        <f t="shared" si="2048"/>
        <v>DANILO VICENTE MARINHO SANTOS (1018)</v>
      </c>
      <c r="H10890" t="s">
        <v>2999</v>
      </c>
      <c r="I10890" t="str">
        <f t="shared" si="2043"/>
        <v>13/11/2025</v>
      </c>
      <c r="J10890" t="str">
        <f t="shared" si="2049"/>
        <v>10/11/2025</v>
      </c>
      <c r="K10890">
        <v>45974</v>
      </c>
      <c r="N10890">
        <v>109</v>
      </c>
      <c r="O10890" t="s">
        <v>24</v>
      </c>
      <c r="Q10890">
        <v>458.29</v>
      </c>
      <c r="R10890" t="str">
        <f>"PENSE FARMA 41 (10229)"</f>
        <v>PENSE FARMA 41 (10229)</v>
      </c>
      <c r="S10890" t="s">
        <v>77</v>
      </c>
      <c r="T10890">
        <v>21731</v>
      </c>
      <c r="U10890">
        <v>24975</v>
      </c>
      <c r="V10890" t="s">
        <v>77</v>
      </c>
    </row>
    <row r="10891" spans="1:22">
      <c r="A10891" t="str">
        <f t="shared" si="2040"/>
        <v>13/11/2025</v>
      </c>
      <c r="B10891" t="str">
        <f t="shared" si="2041"/>
        <v>SAÍDA</v>
      </c>
      <c r="C10891" t="str">
        <f t="shared" si="2042"/>
        <v>PIX</v>
      </c>
      <c r="D10891" t="str">
        <f t="shared" si="2047"/>
        <v>24975</v>
      </c>
      <c r="E10891" t="str">
        <f t="shared" si="2044"/>
        <v>1</v>
      </c>
      <c r="F10891" t="str">
        <f t="shared" si="2046"/>
        <v>COM</v>
      </c>
      <c r="G10891" t="str">
        <f t="shared" si="2048"/>
        <v>DANILO VICENTE MARINHO SANTOS (1018)</v>
      </c>
      <c r="H10891" t="s">
        <v>2999</v>
      </c>
      <c r="I10891" t="str">
        <f t="shared" si="2043"/>
        <v>13/11/2025</v>
      </c>
      <c r="J10891" t="str">
        <f t="shared" si="2049"/>
        <v>10/11/2025</v>
      </c>
      <c r="K10891">
        <v>45974</v>
      </c>
      <c r="N10891">
        <v>109</v>
      </c>
      <c r="O10891" t="s">
        <v>24</v>
      </c>
      <c r="Q10891">
        <v>229.21</v>
      </c>
      <c r="R10891" t="str">
        <f>"PENSE FARMA 42 (10230)"</f>
        <v>PENSE FARMA 42 (10230)</v>
      </c>
      <c r="S10891" t="s">
        <v>77</v>
      </c>
      <c r="T10891">
        <v>21731</v>
      </c>
      <c r="U10891">
        <v>24975</v>
      </c>
      <c r="V10891" t="s">
        <v>77</v>
      </c>
    </row>
    <row r="10892" spans="1:22">
      <c r="A10892" t="str">
        <f t="shared" si="2040"/>
        <v>13/11/2025</v>
      </c>
      <c r="B10892" t="str">
        <f t="shared" si="2041"/>
        <v>SAÍDA</v>
      </c>
      <c r="C10892" t="str">
        <f t="shared" si="2042"/>
        <v>PIX</v>
      </c>
      <c r="D10892" t="str">
        <f t="shared" si="2047"/>
        <v>24975</v>
      </c>
      <c r="E10892" t="str">
        <f t="shared" si="2044"/>
        <v>1</v>
      </c>
      <c r="F10892" t="str">
        <f t="shared" si="2046"/>
        <v>COM</v>
      </c>
      <c r="G10892" t="str">
        <f t="shared" si="2048"/>
        <v>DANILO VICENTE MARINHO SANTOS (1018)</v>
      </c>
      <c r="H10892" t="s">
        <v>2999</v>
      </c>
      <c r="I10892" t="str">
        <f t="shared" si="2043"/>
        <v>13/11/2025</v>
      </c>
      <c r="J10892" t="str">
        <f t="shared" si="2049"/>
        <v>10/11/2025</v>
      </c>
      <c r="K10892">
        <v>45974</v>
      </c>
      <c r="N10892">
        <v>109</v>
      </c>
      <c r="O10892" t="s">
        <v>24</v>
      </c>
      <c r="Q10892">
        <v>229.08</v>
      </c>
      <c r="R10892" t="str">
        <f>"PENSE FARMA 52 (10236)"</f>
        <v>PENSE FARMA 52 (10236)</v>
      </c>
      <c r="S10892" t="s">
        <v>77</v>
      </c>
      <c r="T10892">
        <v>21731</v>
      </c>
      <c r="U10892">
        <v>24975</v>
      </c>
      <c r="V10892" t="s">
        <v>77</v>
      </c>
    </row>
    <row r="10893" spans="1:22">
      <c r="A10893" t="str">
        <f t="shared" si="2040"/>
        <v>13/11/2025</v>
      </c>
      <c r="B10893" t="str">
        <f t="shared" si="2041"/>
        <v>SAÍDA</v>
      </c>
      <c r="C10893" t="str">
        <f t="shared" si="2042"/>
        <v>PIX</v>
      </c>
      <c r="D10893" t="str">
        <f t="shared" ref="D10893:D10898" si="2050">"24976"</f>
        <v>24976</v>
      </c>
      <c r="E10893" t="str">
        <f t="shared" si="2044"/>
        <v>1</v>
      </c>
      <c r="F10893" t="str">
        <f t="shared" si="2046"/>
        <v>COM</v>
      </c>
      <c r="G10893" t="str">
        <f t="shared" ref="G10893:G10898" si="2051">"EDUARDO RODRIGUES ALVES STEPHANO (999)"</f>
        <v>EDUARDO RODRIGUES ALVES STEPHANO (999)</v>
      </c>
      <c r="H10893" t="str">
        <f>"Serv.Prest. 03/11/2025 a 09/11/2025 - PIX: CPF - CHAVE: 370.849.948-40"</f>
        <v>Serv.Prest. 03/11/2025 a 09/11/2025 - PIX: CPF - CHAVE: 370.849.948-40</v>
      </c>
      <c r="I10893" t="str">
        <f t="shared" si="2043"/>
        <v>13/11/2025</v>
      </c>
      <c r="J10893" t="str">
        <f t="shared" si="2049"/>
        <v>10/11/2025</v>
      </c>
      <c r="K10893" t="str">
        <f>("13/11/2025")</f>
        <v>13/11/2025</v>
      </c>
      <c r="L10893">
        <v>1375</v>
      </c>
      <c r="M10893">
        <v>1375</v>
      </c>
      <c r="N10893">
        <v>109</v>
      </c>
      <c r="O10893" t="str">
        <f>"PAGAMENTO DE ENTREGADORES"</f>
        <v>PAGAMENTO DE ENTREGADORES</v>
      </c>
      <c r="P10893">
        <v>1375</v>
      </c>
      <c r="S10893" t="str">
        <f>"BANCO C6 (149)"</f>
        <v>BANCO C6 (149)</v>
      </c>
      <c r="T10893">
        <v>21732</v>
      </c>
      <c r="U10893">
        <v>24976</v>
      </c>
      <c r="V10893" t="s">
        <v>77</v>
      </c>
    </row>
    <row r="10894" spans="1:22">
      <c r="A10894" t="str">
        <f t="shared" si="2040"/>
        <v>13/11/2025</v>
      </c>
      <c r="B10894" t="str">
        <f t="shared" si="2041"/>
        <v>SAÍDA</v>
      </c>
      <c r="C10894" t="str">
        <f t="shared" si="2042"/>
        <v>PIX</v>
      </c>
      <c r="D10894" t="str">
        <f t="shared" si="2050"/>
        <v>24976</v>
      </c>
      <c r="E10894" t="str">
        <f t="shared" si="2044"/>
        <v>1</v>
      </c>
      <c r="F10894" t="str">
        <f t="shared" si="2046"/>
        <v>COM</v>
      </c>
      <c r="G10894" t="str">
        <f t="shared" si="2051"/>
        <v>EDUARDO RODRIGUES ALVES STEPHANO (999)</v>
      </c>
      <c r="H10894" t="s">
        <v>3000</v>
      </c>
      <c r="I10894" t="str">
        <f t="shared" si="2043"/>
        <v>13/11/2025</v>
      </c>
      <c r="J10894" t="str">
        <f t="shared" si="2049"/>
        <v>10/11/2025</v>
      </c>
      <c r="K10894">
        <v>45974</v>
      </c>
      <c r="N10894">
        <v>109</v>
      </c>
      <c r="O10894" t="s">
        <v>24</v>
      </c>
      <c r="Q10894">
        <v>275</v>
      </c>
      <c r="R10894" t="str">
        <f>"PENSE FARMA 08 (10217)"</f>
        <v>PENSE FARMA 08 (10217)</v>
      </c>
      <c r="S10894" t="s">
        <v>77</v>
      </c>
      <c r="T10894">
        <v>21732</v>
      </c>
      <c r="U10894">
        <v>24976</v>
      </c>
      <c r="V10894" t="s">
        <v>77</v>
      </c>
    </row>
    <row r="10895" spans="1:22">
      <c r="A10895" t="str">
        <f t="shared" si="2040"/>
        <v>13/11/2025</v>
      </c>
      <c r="B10895" t="str">
        <f t="shared" si="2041"/>
        <v>SAÍDA</v>
      </c>
      <c r="C10895" t="str">
        <f t="shared" si="2042"/>
        <v>PIX</v>
      </c>
      <c r="D10895" t="str">
        <f t="shared" si="2050"/>
        <v>24976</v>
      </c>
      <c r="E10895" t="str">
        <f t="shared" si="2044"/>
        <v>1</v>
      </c>
      <c r="F10895" t="str">
        <f t="shared" si="2046"/>
        <v>COM</v>
      </c>
      <c r="G10895" t="str">
        <f t="shared" si="2051"/>
        <v>EDUARDO RODRIGUES ALVES STEPHANO (999)</v>
      </c>
      <c r="H10895" t="s">
        <v>3000</v>
      </c>
      <c r="I10895" t="str">
        <f t="shared" si="2043"/>
        <v>13/11/2025</v>
      </c>
      <c r="J10895" t="str">
        <f t="shared" si="2049"/>
        <v>10/11/2025</v>
      </c>
      <c r="K10895">
        <v>45974</v>
      </c>
      <c r="N10895">
        <v>109</v>
      </c>
      <c r="O10895" t="s">
        <v>24</v>
      </c>
      <c r="Q10895">
        <v>275</v>
      </c>
      <c r="R10895" t="str">
        <f>"PENSE FARMA 11 (10220)"</f>
        <v>PENSE FARMA 11 (10220)</v>
      </c>
      <c r="S10895" t="s">
        <v>77</v>
      </c>
      <c r="T10895">
        <v>21732</v>
      </c>
      <c r="U10895">
        <v>24976</v>
      </c>
      <c r="V10895" t="s">
        <v>77</v>
      </c>
    </row>
    <row r="10896" spans="1:22">
      <c r="A10896" t="str">
        <f t="shared" si="2040"/>
        <v>13/11/2025</v>
      </c>
      <c r="B10896" t="str">
        <f t="shared" si="2041"/>
        <v>SAÍDA</v>
      </c>
      <c r="C10896" t="str">
        <f t="shared" si="2042"/>
        <v>PIX</v>
      </c>
      <c r="D10896" t="str">
        <f t="shared" si="2050"/>
        <v>24976</v>
      </c>
      <c r="E10896" t="str">
        <f t="shared" si="2044"/>
        <v>1</v>
      </c>
      <c r="F10896" t="str">
        <f t="shared" si="2046"/>
        <v>COM</v>
      </c>
      <c r="G10896" t="str">
        <f t="shared" si="2051"/>
        <v>EDUARDO RODRIGUES ALVES STEPHANO (999)</v>
      </c>
      <c r="H10896" t="s">
        <v>3000</v>
      </c>
      <c r="I10896" t="str">
        <f t="shared" si="2043"/>
        <v>13/11/2025</v>
      </c>
      <c r="J10896" t="str">
        <f t="shared" si="2049"/>
        <v>10/11/2025</v>
      </c>
      <c r="K10896">
        <v>45974</v>
      </c>
      <c r="N10896">
        <v>109</v>
      </c>
      <c r="O10896" t="s">
        <v>24</v>
      </c>
      <c r="Q10896">
        <v>275</v>
      </c>
      <c r="R10896" t="str">
        <f>"PENSE FARMA 41 (10229)"</f>
        <v>PENSE FARMA 41 (10229)</v>
      </c>
      <c r="S10896" t="s">
        <v>77</v>
      </c>
      <c r="T10896">
        <v>21732</v>
      </c>
      <c r="U10896">
        <v>24976</v>
      </c>
      <c r="V10896" t="s">
        <v>77</v>
      </c>
    </row>
    <row r="10897" spans="1:22">
      <c r="A10897" t="str">
        <f t="shared" si="2040"/>
        <v>13/11/2025</v>
      </c>
      <c r="B10897" t="str">
        <f t="shared" si="2041"/>
        <v>SAÍDA</v>
      </c>
      <c r="C10897" t="str">
        <f t="shared" si="2042"/>
        <v>PIX</v>
      </c>
      <c r="D10897" t="str">
        <f t="shared" si="2050"/>
        <v>24976</v>
      </c>
      <c r="E10897" t="str">
        <f t="shared" si="2044"/>
        <v>1</v>
      </c>
      <c r="F10897" t="str">
        <f t="shared" si="2046"/>
        <v>COM</v>
      </c>
      <c r="G10897" t="str">
        <f t="shared" si="2051"/>
        <v>EDUARDO RODRIGUES ALVES STEPHANO (999)</v>
      </c>
      <c r="H10897" t="s">
        <v>3000</v>
      </c>
      <c r="I10897" t="str">
        <f t="shared" si="2043"/>
        <v>13/11/2025</v>
      </c>
      <c r="J10897" t="str">
        <f t="shared" si="2049"/>
        <v>10/11/2025</v>
      </c>
      <c r="K10897">
        <v>45974</v>
      </c>
      <c r="N10897">
        <v>109</v>
      </c>
      <c r="O10897" t="s">
        <v>24</v>
      </c>
      <c r="Q10897">
        <v>275</v>
      </c>
      <c r="R10897" t="str">
        <f>"PENSE FARMA 42 (10230)"</f>
        <v>PENSE FARMA 42 (10230)</v>
      </c>
      <c r="S10897" t="s">
        <v>77</v>
      </c>
      <c r="T10897">
        <v>21732</v>
      </c>
      <c r="U10897">
        <v>24976</v>
      </c>
      <c r="V10897" t="s">
        <v>77</v>
      </c>
    </row>
    <row r="10898" spans="1:22">
      <c r="A10898" t="str">
        <f t="shared" si="2040"/>
        <v>13/11/2025</v>
      </c>
      <c r="B10898" t="str">
        <f t="shared" si="2041"/>
        <v>SAÍDA</v>
      </c>
      <c r="C10898" t="str">
        <f t="shared" si="2042"/>
        <v>PIX</v>
      </c>
      <c r="D10898" t="str">
        <f t="shared" si="2050"/>
        <v>24976</v>
      </c>
      <c r="E10898" t="str">
        <f t="shared" si="2044"/>
        <v>1</v>
      </c>
      <c r="F10898" t="str">
        <f t="shared" si="2046"/>
        <v>COM</v>
      </c>
      <c r="G10898" t="str">
        <f t="shared" si="2051"/>
        <v>EDUARDO RODRIGUES ALVES STEPHANO (999)</v>
      </c>
      <c r="H10898" t="s">
        <v>3000</v>
      </c>
      <c r="I10898" t="str">
        <f t="shared" si="2043"/>
        <v>13/11/2025</v>
      </c>
      <c r="J10898" t="str">
        <f t="shared" si="2049"/>
        <v>10/11/2025</v>
      </c>
      <c r="K10898">
        <v>45974</v>
      </c>
      <c r="N10898">
        <v>109</v>
      </c>
      <c r="O10898" t="s">
        <v>24</v>
      </c>
      <c r="Q10898">
        <v>275</v>
      </c>
      <c r="R10898" t="str">
        <f>"PENSE FARMA 52 (10236)"</f>
        <v>PENSE FARMA 52 (10236)</v>
      </c>
      <c r="S10898" t="s">
        <v>77</v>
      </c>
      <c r="T10898">
        <v>21732</v>
      </c>
      <c r="U10898">
        <v>24976</v>
      </c>
      <c r="V10898" t="s">
        <v>77</v>
      </c>
    </row>
    <row r="10899" spans="1:22">
      <c r="A10899" t="str">
        <f t="shared" si="2040"/>
        <v>13/11/2025</v>
      </c>
      <c r="B10899" t="str">
        <f t="shared" si="2041"/>
        <v>SAÍDA</v>
      </c>
      <c r="C10899" t="str">
        <f t="shared" si="2042"/>
        <v>PIX</v>
      </c>
      <c r="D10899" t="str">
        <f>"24978"</f>
        <v>24978</v>
      </c>
      <c r="E10899" t="str">
        <f t="shared" si="2044"/>
        <v>1</v>
      </c>
      <c r="F10899" t="str">
        <f t="shared" si="2046"/>
        <v>COM</v>
      </c>
      <c r="G10899" t="str">
        <f>"MARCOS DUARTE CARVALHO (998)"</f>
        <v>MARCOS DUARTE CARVALHO (998)</v>
      </c>
      <c r="H10899" t="str">
        <f>"Serv.Prest. 03/11/2025 a 09/11/2025 - PIX: CPF - CHAVE: 396.877.618-65"</f>
        <v>Serv.Prest. 03/11/2025 a 09/11/2025 - PIX: CPF - CHAVE: 396.877.618-65</v>
      </c>
      <c r="I10899" t="str">
        <f t="shared" si="2043"/>
        <v>13/11/2025</v>
      </c>
      <c r="J10899" t="str">
        <f t="shared" si="2049"/>
        <v>10/11/2025</v>
      </c>
      <c r="K10899" t="str">
        <f>("13/11/2025")</f>
        <v>13/11/2025</v>
      </c>
      <c r="L10899">
        <v>1375</v>
      </c>
      <c r="M10899">
        <v>1375</v>
      </c>
      <c r="N10899">
        <v>109</v>
      </c>
      <c r="O10899" t="str">
        <f>"PAGAMENTO DE ENTREGADORES"</f>
        <v>PAGAMENTO DE ENTREGADORES</v>
      </c>
      <c r="P10899">
        <v>1375</v>
      </c>
      <c r="S10899" t="str">
        <f>"BANCO C6 (149)"</f>
        <v>BANCO C6 (149)</v>
      </c>
      <c r="T10899">
        <v>21733</v>
      </c>
      <c r="U10899">
        <v>24978</v>
      </c>
      <c r="V10899" t="s">
        <v>77</v>
      </c>
    </row>
    <row r="10900" spans="1:22">
      <c r="A10900" t="str">
        <f t="shared" si="2040"/>
        <v>13/11/2025</v>
      </c>
      <c r="B10900" t="str">
        <f t="shared" si="2041"/>
        <v>SAÍDA</v>
      </c>
      <c r="C10900" t="str">
        <f t="shared" si="2042"/>
        <v>PIX</v>
      </c>
      <c r="D10900" t="str">
        <f>"24978"</f>
        <v>24978</v>
      </c>
      <c r="E10900" t="str">
        <f t="shared" si="2044"/>
        <v>1</v>
      </c>
      <c r="F10900" t="str">
        <f t="shared" si="2046"/>
        <v>COM</v>
      </c>
      <c r="G10900" t="str">
        <f>"MARCOS DUARTE CARVALHO (998)"</f>
        <v>MARCOS DUARTE CARVALHO (998)</v>
      </c>
      <c r="H10900" t="s">
        <v>3001</v>
      </c>
      <c r="I10900" t="str">
        <f t="shared" si="2043"/>
        <v>13/11/2025</v>
      </c>
      <c r="J10900" t="str">
        <f t="shared" si="2049"/>
        <v>10/11/2025</v>
      </c>
      <c r="K10900">
        <v>45974</v>
      </c>
      <c r="N10900">
        <v>109</v>
      </c>
      <c r="O10900" t="s">
        <v>24</v>
      </c>
      <c r="Q10900">
        <v>687.5</v>
      </c>
      <c r="R10900" t="str">
        <f>"PENSE FARMA 09 (10218)"</f>
        <v>PENSE FARMA 09 (10218)</v>
      </c>
      <c r="S10900" t="s">
        <v>77</v>
      </c>
      <c r="T10900">
        <v>21733</v>
      </c>
      <c r="U10900">
        <v>24978</v>
      </c>
      <c r="V10900" t="s">
        <v>77</v>
      </c>
    </row>
    <row r="10901" spans="1:22">
      <c r="A10901" t="str">
        <f t="shared" si="2040"/>
        <v>13/11/2025</v>
      </c>
      <c r="B10901" t="str">
        <f t="shared" si="2041"/>
        <v>SAÍDA</v>
      </c>
      <c r="C10901" t="str">
        <f t="shared" si="2042"/>
        <v>PIX</v>
      </c>
      <c r="D10901" t="str">
        <f>"24978"</f>
        <v>24978</v>
      </c>
      <c r="E10901" t="str">
        <f t="shared" si="2044"/>
        <v>1</v>
      </c>
      <c r="F10901" t="str">
        <f t="shared" si="2046"/>
        <v>COM</v>
      </c>
      <c r="G10901" t="str">
        <f>"MARCOS DUARTE CARVALHO (998)"</f>
        <v>MARCOS DUARTE CARVALHO (998)</v>
      </c>
      <c r="H10901" t="s">
        <v>3001</v>
      </c>
      <c r="I10901" t="str">
        <f t="shared" si="2043"/>
        <v>13/11/2025</v>
      </c>
      <c r="J10901" t="str">
        <f t="shared" si="2049"/>
        <v>10/11/2025</v>
      </c>
      <c r="K10901">
        <v>45974</v>
      </c>
      <c r="N10901">
        <v>109</v>
      </c>
      <c r="O10901" t="s">
        <v>24</v>
      </c>
      <c r="Q10901">
        <v>687.5</v>
      </c>
      <c r="R10901" t="str">
        <f>"PENSE FARMA 10 (10219)"</f>
        <v>PENSE FARMA 10 (10219)</v>
      </c>
      <c r="S10901" t="s">
        <v>77</v>
      </c>
      <c r="T10901">
        <v>21733</v>
      </c>
      <c r="U10901">
        <v>24978</v>
      </c>
      <c r="V10901" t="s">
        <v>77</v>
      </c>
    </row>
    <row r="10902" spans="1:22">
      <c r="A10902" t="str">
        <f t="shared" si="2040"/>
        <v>13/11/2025</v>
      </c>
      <c r="B10902" t="str">
        <f t="shared" si="2041"/>
        <v>SAÍDA</v>
      </c>
      <c r="C10902" t="str">
        <f t="shared" si="2042"/>
        <v>PIX</v>
      </c>
      <c r="D10902" t="str">
        <f>"24981"</f>
        <v>24981</v>
      </c>
      <c r="E10902" t="str">
        <f t="shared" si="2044"/>
        <v>1</v>
      </c>
      <c r="F10902" t="str">
        <f t="shared" si="2046"/>
        <v>COM</v>
      </c>
      <c r="G10902" t="str">
        <f>"HERICK KUSSYOYADA CAMARA (937)"</f>
        <v>HERICK KUSSYOYADA CAMARA (937)</v>
      </c>
      <c r="H10902" t="str">
        <f>"Serv.Prest. 03/11/2025 a 09/11/2025 - PIX: CPF - CHAVE: 427.090.718-51"</f>
        <v>Serv.Prest. 03/11/2025 a 09/11/2025 - PIX: CPF - CHAVE: 427.090.718-51</v>
      </c>
      <c r="I10902" t="str">
        <f t="shared" si="2043"/>
        <v>13/11/2025</v>
      </c>
      <c r="J10902" t="str">
        <f t="shared" si="2049"/>
        <v>10/11/2025</v>
      </c>
      <c r="K10902" t="str">
        <f>("13/11/2025")</f>
        <v>13/11/2025</v>
      </c>
      <c r="L10902">
        <v>1400</v>
      </c>
      <c r="M10902">
        <v>1400</v>
      </c>
      <c r="N10902">
        <v>109</v>
      </c>
      <c r="O10902" t="str">
        <f>"PAGAMENTO DE ENTREGADORES"</f>
        <v>PAGAMENTO DE ENTREGADORES</v>
      </c>
      <c r="P10902">
        <v>1400</v>
      </c>
      <c r="S10902" t="str">
        <f>"BANCO C6 (149)"</f>
        <v>BANCO C6 (149)</v>
      </c>
      <c r="T10902">
        <v>21734</v>
      </c>
      <c r="U10902">
        <v>24981</v>
      </c>
      <c r="V10902" t="s">
        <v>77</v>
      </c>
    </row>
    <row r="10903" spans="1:22">
      <c r="A10903" t="str">
        <f t="shared" si="2040"/>
        <v>13/11/2025</v>
      </c>
      <c r="B10903" t="str">
        <f t="shared" si="2041"/>
        <v>SAÍDA</v>
      </c>
      <c r="C10903" t="str">
        <f t="shared" si="2042"/>
        <v>PIX</v>
      </c>
      <c r="D10903" t="str">
        <f>"24981"</f>
        <v>24981</v>
      </c>
      <c r="E10903" t="str">
        <f t="shared" si="2044"/>
        <v>1</v>
      </c>
      <c r="F10903" t="str">
        <f t="shared" si="2046"/>
        <v>COM</v>
      </c>
      <c r="G10903" t="str">
        <f>"HERICK KUSSYOYADA CAMARA (937)"</f>
        <v>HERICK KUSSYOYADA CAMARA (937)</v>
      </c>
      <c r="H10903" t="s">
        <v>3002</v>
      </c>
      <c r="I10903" t="str">
        <f t="shared" si="2043"/>
        <v>13/11/2025</v>
      </c>
      <c r="J10903" t="str">
        <f t="shared" si="2049"/>
        <v>10/11/2025</v>
      </c>
      <c r="K10903">
        <v>45974</v>
      </c>
      <c r="N10903">
        <v>109</v>
      </c>
      <c r="O10903" t="s">
        <v>24</v>
      </c>
      <c r="Q10903">
        <v>1400</v>
      </c>
      <c r="R10903" t="str">
        <f>"PENSE FARMA 46 (10194)"</f>
        <v>PENSE FARMA 46 (10194)</v>
      </c>
      <c r="S10903" t="s">
        <v>77</v>
      </c>
      <c r="T10903">
        <v>21734</v>
      </c>
      <c r="U10903">
        <v>24981</v>
      </c>
      <c r="V10903" t="s">
        <v>77</v>
      </c>
    </row>
    <row r="10904" spans="1:22">
      <c r="A10904" t="str">
        <f t="shared" si="2040"/>
        <v>13/11/2025</v>
      </c>
      <c r="B10904" t="str">
        <f t="shared" si="2041"/>
        <v>SAÍDA</v>
      </c>
      <c r="C10904" t="str">
        <f t="shared" si="2042"/>
        <v>PIX</v>
      </c>
      <c r="D10904" t="str">
        <f>"24983"</f>
        <v>24983</v>
      </c>
      <c r="E10904" t="str">
        <f t="shared" si="2044"/>
        <v>1</v>
      </c>
      <c r="F10904" t="str">
        <f t="shared" si="2046"/>
        <v>COM</v>
      </c>
      <c r="G10904" t="str">
        <f>"LUAN DOS REIS SILVA (954)"</f>
        <v>LUAN DOS REIS SILVA (954)</v>
      </c>
      <c r="H10904" t="str">
        <f>"Serv.Prest. 03/11/2025 a 09/11/2025 - PIX: CELULAR - CHAVE: (11) 95906-5439"</f>
        <v>Serv.Prest. 03/11/2025 a 09/11/2025 - PIX: CELULAR - CHAVE: (11) 95906-5439</v>
      </c>
      <c r="I10904" t="str">
        <f t="shared" si="2043"/>
        <v>13/11/2025</v>
      </c>
      <c r="J10904" t="str">
        <f t="shared" si="2049"/>
        <v>10/11/2025</v>
      </c>
      <c r="K10904" t="str">
        <f>("13/11/2025")</f>
        <v>13/11/2025</v>
      </c>
      <c r="L10904">
        <v>1250</v>
      </c>
      <c r="M10904">
        <v>1250</v>
      </c>
      <c r="N10904">
        <v>109</v>
      </c>
      <c r="O10904" t="str">
        <f>"PAGAMENTO DE ENTREGADORES"</f>
        <v>PAGAMENTO DE ENTREGADORES</v>
      </c>
      <c r="P10904">
        <v>1250</v>
      </c>
      <c r="S10904" t="str">
        <f>"BANCO C6 (149)"</f>
        <v>BANCO C6 (149)</v>
      </c>
      <c r="T10904">
        <v>21735</v>
      </c>
      <c r="U10904">
        <v>24983</v>
      </c>
      <c r="V10904" t="s">
        <v>77</v>
      </c>
    </row>
    <row r="10905" spans="1:22">
      <c r="A10905" t="str">
        <f t="shared" si="2040"/>
        <v>13/11/2025</v>
      </c>
      <c r="B10905" t="str">
        <f t="shared" si="2041"/>
        <v>SAÍDA</v>
      </c>
      <c r="C10905" t="str">
        <f t="shared" si="2042"/>
        <v>PIX</v>
      </c>
      <c r="D10905" t="str">
        <f>"24983"</f>
        <v>24983</v>
      </c>
      <c r="E10905" t="str">
        <f t="shared" si="2044"/>
        <v>1</v>
      </c>
      <c r="F10905" t="str">
        <f t="shared" si="2046"/>
        <v>COM</v>
      </c>
      <c r="G10905" t="str">
        <f>"LUAN DOS REIS SILVA (954)"</f>
        <v>LUAN DOS REIS SILVA (954)</v>
      </c>
      <c r="H10905" t="s">
        <v>2778</v>
      </c>
      <c r="I10905" t="str">
        <f t="shared" si="2043"/>
        <v>13/11/2025</v>
      </c>
      <c r="J10905" t="str">
        <f t="shared" si="2049"/>
        <v>10/11/2025</v>
      </c>
      <c r="K10905">
        <v>45974</v>
      </c>
      <c r="N10905">
        <v>109</v>
      </c>
      <c r="O10905" t="s">
        <v>24</v>
      </c>
      <c r="Q10905">
        <v>416.62</v>
      </c>
      <c r="R10905" t="str">
        <f>"PENSE FARMA 05 (10200)"</f>
        <v>PENSE FARMA 05 (10200)</v>
      </c>
      <c r="S10905" t="s">
        <v>77</v>
      </c>
      <c r="T10905">
        <v>21735</v>
      </c>
      <c r="U10905">
        <v>24983</v>
      </c>
      <c r="V10905" t="s">
        <v>77</v>
      </c>
    </row>
    <row r="10906" spans="1:22">
      <c r="A10906" t="str">
        <f t="shared" si="2040"/>
        <v>13/11/2025</v>
      </c>
      <c r="B10906" t="str">
        <f t="shared" si="2041"/>
        <v>SAÍDA</v>
      </c>
      <c r="C10906" t="str">
        <f t="shared" si="2042"/>
        <v>PIX</v>
      </c>
      <c r="D10906" t="str">
        <f>"24983"</f>
        <v>24983</v>
      </c>
      <c r="E10906" t="str">
        <f t="shared" si="2044"/>
        <v>1</v>
      </c>
      <c r="F10906" t="str">
        <f t="shared" si="2046"/>
        <v>COM</v>
      </c>
      <c r="G10906" t="str">
        <f>"LUAN DOS REIS SILVA (954)"</f>
        <v>LUAN DOS REIS SILVA (954)</v>
      </c>
      <c r="H10906" t="s">
        <v>2778</v>
      </c>
      <c r="I10906" t="str">
        <f t="shared" si="2043"/>
        <v>13/11/2025</v>
      </c>
      <c r="J10906" t="str">
        <f t="shared" si="2049"/>
        <v>10/11/2025</v>
      </c>
      <c r="K10906">
        <v>45974</v>
      </c>
      <c r="N10906">
        <v>109</v>
      </c>
      <c r="O10906" t="s">
        <v>24</v>
      </c>
      <c r="Q10906">
        <v>416.63</v>
      </c>
      <c r="R10906" t="str">
        <f>"PENSE FARMA 13 (10202)"</f>
        <v>PENSE FARMA 13 (10202)</v>
      </c>
      <c r="S10906" t="s">
        <v>77</v>
      </c>
      <c r="T10906">
        <v>21735</v>
      </c>
      <c r="U10906">
        <v>24983</v>
      </c>
      <c r="V10906" t="s">
        <v>77</v>
      </c>
    </row>
    <row r="10907" spans="1:22">
      <c r="A10907" t="str">
        <f t="shared" si="2040"/>
        <v>13/11/2025</v>
      </c>
      <c r="B10907" t="str">
        <f t="shared" si="2041"/>
        <v>SAÍDA</v>
      </c>
      <c r="C10907" t="str">
        <f t="shared" si="2042"/>
        <v>PIX</v>
      </c>
      <c r="D10907" t="str">
        <f>"24983"</f>
        <v>24983</v>
      </c>
      <c r="E10907" t="str">
        <f t="shared" si="2044"/>
        <v>1</v>
      </c>
      <c r="F10907" t="str">
        <f t="shared" si="2046"/>
        <v>COM</v>
      </c>
      <c r="G10907" t="str">
        <f>"LUAN DOS REIS SILVA (954)"</f>
        <v>LUAN DOS REIS SILVA (954)</v>
      </c>
      <c r="H10907" t="s">
        <v>2778</v>
      </c>
      <c r="I10907" t="str">
        <f t="shared" si="2043"/>
        <v>13/11/2025</v>
      </c>
      <c r="J10907" t="str">
        <f t="shared" si="2049"/>
        <v>10/11/2025</v>
      </c>
      <c r="K10907">
        <v>45974</v>
      </c>
      <c r="N10907">
        <v>109</v>
      </c>
      <c r="O10907" t="s">
        <v>24</v>
      </c>
      <c r="Q10907">
        <v>416.75</v>
      </c>
      <c r="R10907" t="str">
        <f>"PENSE FARMA 27 (10204)"</f>
        <v>PENSE FARMA 27 (10204)</v>
      </c>
      <c r="S10907" t="s">
        <v>77</v>
      </c>
      <c r="T10907">
        <v>21735</v>
      </c>
      <c r="U10907">
        <v>24983</v>
      </c>
      <c r="V10907" t="s">
        <v>77</v>
      </c>
    </row>
    <row r="10908" spans="1:22">
      <c r="A10908" t="str">
        <f t="shared" si="2040"/>
        <v>13/11/2025</v>
      </c>
      <c r="B10908" t="str">
        <f t="shared" si="2041"/>
        <v>SAÍDA</v>
      </c>
      <c r="C10908" t="str">
        <f t="shared" si="2042"/>
        <v>PIX</v>
      </c>
      <c r="D10908" t="str">
        <f>"24984"</f>
        <v>24984</v>
      </c>
      <c r="E10908" t="str">
        <f t="shared" si="2044"/>
        <v>1</v>
      </c>
      <c r="F10908" t="str">
        <f t="shared" si="2046"/>
        <v>COM</v>
      </c>
      <c r="G10908" t="str">
        <f>"MANOEL DE JESUS ALMEIDA (1017)"</f>
        <v>MANOEL DE JESUS ALMEIDA (1017)</v>
      </c>
      <c r="H10908" t="str">
        <f>"Serv.Prest. 03/11/2025 a 09/11/2025 - PIX: CPF - CHAVE: 026.422.254-70"</f>
        <v>Serv.Prest. 03/11/2025 a 09/11/2025 - PIX: CPF - CHAVE: 026.422.254-70</v>
      </c>
      <c r="I10908" t="str">
        <f t="shared" si="2043"/>
        <v>13/11/2025</v>
      </c>
      <c r="J10908" t="str">
        <f t="shared" si="2049"/>
        <v>10/11/2025</v>
      </c>
      <c r="K10908" t="str">
        <f>("13/11/2025")</f>
        <v>13/11/2025</v>
      </c>
      <c r="L10908">
        <v>1250</v>
      </c>
      <c r="M10908">
        <v>1250</v>
      </c>
      <c r="N10908">
        <v>109</v>
      </c>
      <c r="O10908" t="str">
        <f>"PAGAMENTO DE ENTREGADORES"</f>
        <v>PAGAMENTO DE ENTREGADORES</v>
      </c>
      <c r="P10908">
        <v>1250</v>
      </c>
      <c r="S10908" t="str">
        <f>"BANCO C6 (149)"</f>
        <v>BANCO C6 (149)</v>
      </c>
      <c r="T10908">
        <v>21736</v>
      </c>
      <c r="U10908">
        <v>24984</v>
      </c>
      <c r="V10908" t="s">
        <v>77</v>
      </c>
    </row>
    <row r="10909" spans="1:22">
      <c r="A10909" t="str">
        <f t="shared" si="2040"/>
        <v>13/11/2025</v>
      </c>
      <c r="B10909" t="str">
        <f t="shared" si="2041"/>
        <v>SAÍDA</v>
      </c>
      <c r="C10909" t="str">
        <f t="shared" si="2042"/>
        <v>PIX</v>
      </c>
      <c r="D10909" t="str">
        <f>"24984"</f>
        <v>24984</v>
      </c>
      <c r="E10909" t="str">
        <f t="shared" si="2044"/>
        <v>1</v>
      </c>
      <c r="F10909" t="str">
        <f t="shared" si="2046"/>
        <v>COM</v>
      </c>
      <c r="G10909" t="str">
        <f>"MANOEL DE JESUS ALMEIDA (1017)"</f>
        <v>MANOEL DE JESUS ALMEIDA (1017)</v>
      </c>
      <c r="H10909" t="s">
        <v>3003</v>
      </c>
      <c r="I10909" t="str">
        <f t="shared" si="2043"/>
        <v>13/11/2025</v>
      </c>
      <c r="J10909" t="str">
        <f t="shared" si="2049"/>
        <v>10/11/2025</v>
      </c>
      <c r="K10909">
        <v>45974</v>
      </c>
      <c r="N10909">
        <v>109</v>
      </c>
      <c r="O10909" t="s">
        <v>24</v>
      </c>
      <c r="Q10909">
        <v>416.62</v>
      </c>
      <c r="R10909" t="str">
        <f>"PENSE FARMA 05 (10200)"</f>
        <v>PENSE FARMA 05 (10200)</v>
      </c>
      <c r="S10909" t="s">
        <v>77</v>
      </c>
      <c r="T10909">
        <v>21736</v>
      </c>
      <c r="U10909">
        <v>24984</v>
      </c>
      <c r="V10909" t="s">
        <v>77</v>
      </c>
    </row>
    <row r="10910" spans="1:22">
      <c r="A10910" t="str">
        <f t="shared" si="2040"/>
        <v>13/11/2025</v>
      </c>
      <c r="B10910" t="str">
        <f t="shared" si="2041"/>
        <v>SAÍDA</v>
      </c>
      <c r="C10910" t="str">
        <f t="shared" si="2042"/>
        <v>PIX</v>
      </c>
      <c r="D10910" t="str">
        <f>"24984"</f>
        <v>24984</v>
      </c>
      <c r="E10910" t="str">
        <f t="shared" si="2044"/>
        <v>1</v>
      </c>
      <c r="F10910" t="str">
        <f t="shared" si="2046"/>
        <v>COM</v>
      </c>
      <c r="G10910" t="str">
        <f>"MANOEL DE JESUS ALMEIDA (1017)"</f>
        <v>MANOEL DE JESUS ALMEIDA (1017)</v>
      </c>
      <c r="H10910" t="s">
        <v>3003</v>
      </c>
      <c r="I10910" t="str">
        <f t="shared" si="2043"/>
        <v>13/11/2025</v>
      </c>
      <c r="J10910" t="str">
        <f t="shared" si="2049"/>
        <v>10/11/2025</v>
      </c>
      <c r="K10910">
        <v>45974</v>
      </c>
      <c r="N10910">
        <v>109</v>
      </c>
      <c r="O10910" t="s">
        <v>24</v>
      </c>
      <c r="Q10910">
        <v>416.63</v>
      </c>
      <c r="R10910" t="str">
        <f>"PENSE FARMA 13 (10202)"</f>
        <v>PENSE FARMA 13 (10202)</v>
      </c>
      <c r="S10910" t="s">
        <v>77</v>
      </c>
      <c r="T10910">
        <v>21736</v>
      </c>
      <c r="U10910">
        <v>24984</v>
      </c>
      <c r="V10910" t="s">
        <v>77</v>
      </c>
    </row>
    <row r="10911" spans="1:22">
      <c r="A10911" t="str">
        <f t="shared" ref="A10911:A10974" si="2052">("13/11/2025")</f>
        <v>13/11/2025</v>
      </c>
      <c r="B10911" t="str">
        <f t="shared" si="2041"/>
        <v>SAÍDA</v>
      </c>
      <c r="C10911" t="str">
        <f t="shared" si="2042"/>
        <v>PIX</v>
      </c>
      <c r="D10911" t="str">
        <f>"24984"</f>
        <v>24984</v>
      </c>
      <c r="E10911" t="str">
        <f t="shared" si="2044"/>
        <v>1</v>
      </c>
      <c r="F10911" t="str">
        <f t="shared" si="2046"/>
        <v>COM</v>
      </c>
      <c r="G10911" t="str">
        <f>"MANOEL DE JESUS ALMEIDA (1017)"</f>
        <v>MANOEL DE JESUS ALMEIDA (1017)</v>
      </c>
      <c r="H10911" t="s">
        <v>3003</v>
      </c>
      <c r="I10911" t="str">
        <f t="shared" si="2043"/>
        <v>13/11/2025</v>
      </c>
      <c r="J10911" t="str">
        <f t="shared" si="2049"/>
        <v>10/11/2025</v>
      </c>
      <c r="K10911">
        <v>45974</v>
      </c>
      <c r="N10911">
        <v>109</v>
      </c>
      <c r="O10911" t="s">
        <v>24</v>
      </c>
      <c r="Q10911">
        <v>416.75</v>
      </c>
      <c r="R10911" t="str">
        <f>"PENSE FARMA 27 (10204)"</f>
        <v>PENSE FARMA 27 (10204)</v>
      </c>
      <c r="S10911" t="s">
        <v>77</v>
      </c>
      <c r="T10911">
        <v>21736</v>
      </c>
      <c r="U10911">
        <v>24984</v>
      </c>
      <c r="V10911" t="s">
        <v>77</v>
      </c>
    </row>
    <row r="10912" spans="1:22">
      <c r="A10912" t="str">
        <f t="shared" si="2052"/>
        <v>13/11/2025</v>
      </c>
      <c r="B10912" t="str">
        <f t="shared" ref="B10912:B10975" si="2053">"SAÍDA"</f>
        <v>SAÍDA</v>
      </c>
      <c r="C10912" t="str">
        <f t="shared" ref="C10912:C10975" si="2054">"PIX"</f>
        <v>PIX</v>
      </c>
      <c r="D10912" t="str">
        <f>"24986"</f>
        <v>24986</v>
      </c>
      <c r="E10912" t="str">
        <f t="shared" si="2044"/>
        <v>1</v>
      </c>
      <c r="F10912" t="str">
        <f t="shared" si="2046"/>
        <v>COM</v>
      </c>
      <c r="G10912" t="str">
        <f>"ERIC RODRIGUES TEIXEIRA (939)"</f>
        <v>ERIC RODRIGUES TEIXEIRA (939)</v>
      </c>
      <c r="H10912" t="str">
        <f>"Serv.Prest. 03/11/2025 a 09/11/2025 - PIX: CELULAR - CHAVE: (11) 95038-0621"</f>
        <v>Serv.Prest. 03/11/2025 a 09/11/2025 - PIX: CELULAR - CHAVE: (11) 95038-0621</v>
      </c>
      <c r="I10912" t="str">
        <f t="shared" si="2043"/>
        <v>13/11/2025</v>
      </c>
      <c r="J10912" t="str">
        <f t="shared" si="2049"/>
        <v>10/11/2025</v>
      </c>
      <c r="K10912" t="str">
        <f>("13/11/2025")</f>
        <v>13/11/2025</v>
      </c>
      <c r="L10912">
        <v>1250</v>
      </c>
      <c r="M10912">
        <v>1250</v>
      </c>
      <c r="N10912">
        <v>109</v>
      </c>
      <c r="O10912" t="str">
        <f>"PAGAMENTO DE ENTREGADORES"</f>
        <v>PAGAMENTO DE ENTREGADORES</v>
      </c>
      <c r="P10912">
        <v>1250</v>
      </c>
      <c r="S10912" t="str">
        <f>"BANCO C6 (149)"</f>
        <v>BANCO C6 (149)</v>
      </c>
      <c r="T10912">
        <v>21737</v>
      </c>
      <c r="U10912">
        <v>24986</v>
      </c>
      <c r="V10912" t="s">
        <v>77</v>
      </c>
    </row>
    <row r="10913" spans="1:22">
      <c r="A10913" t="str">
        <f t="shared" si="2052"/>
        <v>13/11/2025</v>
      </c>
      <c r="B10913" t="str">
        <f t="shared" si="2053"/>
        <v>SAÍDA</v>
      </c>
      <c r="C10913" t="str">
        <f t="shared" si="2054"/>
        <v>PIX</v>
      </c>
      <c r="D10913" t="str">
        <f>"24986"</f>
        <v>24986</v>
      </c>
      <c r="E10913" t="str">
        <f t="shared" si="2044"/>
        <v>1</v>
      </c>
      <c r="F10913" t="str">
        <f t="shared" si="2046"/>
        <v>COM</v>
      </c>
      <c r="G10913" t="str">
        <f>"ERIC RODRIGUES TEIXEIRA (939)"</f>
        <v>ERIC RODRIGUES TEIXEIRA (939)</v>
      </c>
      <c r="H10913" t="s">
        <v>2767</v>
      </c>
      <c r="I10913" t="str">
        <f t="shared" si="2043"/>
        <v>13/11/2025</v>
      </c>
      <c r="J10913" t="str">
        <f t="shared" si="2049"/>
        <v>10/11/2025</v>
      </c>
      <c r="K10913">
        <v>45974</v>
      </c>
      <c r="N10913">
        <v>109</v>
      </c>
      <c r="O10913" t="s">
        <v>24</v>
      </c>
      <c r="Q10913">
        <v>416.62</v>
      </c>
      <c r="R10913" t="str">
        <f>"PENSE FARMA 07 (10201)"</f>
        <v>PENSE FARMA 07 (10201)</v>
      </c>
      <c r="S10913" t="s">
        <v>77</v>
      </c>
      <c r="T10913">
        <v>21737</v>
      </c>
      <c r="U10913">
        <v>24986</v>
      </c>
      <c r="V10913" t="s">
        <v>77</v>
      </c>
    </row>
    <row r="10914" spans="1:22">
      <c r="A10914" t="str">
        <f t="shared" si="2052"/>
        <v>13/11/2025</v>
      </c>
      <c r="B10914" t="str">
        <f t="shared" si="2053"/>
        <v>SAÍDA</v>
      </c>
      <c r="C10914" t="str">
        <f t="shared" si="2054"/>
        <v>PIX</v>
      </c>
      <c r="D10914" t="str">
        <f>"24986"</f>
        <v>24986</v>
      </c>
      <c r="E10914" t="str">
        <f t="shared" si="2044"/>
        <v>1</v>
      </c>
      <c r="F10914" t="str">
        <f t="shared" si="2046"/>
        <v>COM</v>
      </c>
      <c r="G10914" t="str">
        <f>"ERIC RODRIGUES TEIXEIRA (939)"</f>
        <v>ERIC RODRIGUES TEIXEIRA (939)</v>
      </c>
      <c r="H10914" t="s">
        <v>2767</v>
      </c>
      <c r="I10914" t="str">
        <f t="shared" si="2043"/>
        <v>13/11/2025</v>
      </c>
      <c r="J10914" t="str">
        <f t="shared" si="2049"/>
        <v>10/11/2025</v>
      </c>
      <c r="K10914">
        <v>45974</v>
      </c>
      <c r="N10914">
        <v>109</v>
      </c>
      <c r="O10914" t="s">
        <v>24</v>
      </c>
      <c r="Q10914">
        <v>416.63</v>
      </c>
      <c r="R10914" t="str">
        <f>"PENSE FARMA 45 (10209)"</f>
        <v>PENSE FARMA 45 (10209)</v>
      </c>
      <c r="S10914" t="s">
        <v>77</v>
      </c>
      <c r="T10914">
        <v>21737</v>
      </c>
      <c r="U10914">
        <v>24986</v>
      </c>
      <c r="V10914" t="s">
        <v>77</v>
      </c>
    </row>
    <row r="10915" spans="1:22">
      <c r="A10915" t="str">
        <f t="shared" si="2052"/>
        <v>13/11/2025</v>
      </c>
      <c r="B10915" t="str">
        <f t="shared" si="2053"/>
        <v>SAÍDA</v>
      </c>
      <c r="C10915" t="str">
        <f t="shared" si="2054"/>
        <v>PIX</v>
      </c>
      <c r="D10915" t="str">
        <f>"24986"</f>
        <v>24986</v>
      </c>
      <c r="E10915" t="str">
        <f t="shared" si="2044"/>
        <v>1</v>
      </c>
      <c r="F10915" t="str">
        <f t="shared" si="2046"/>
        <v>COM</v>
      </c>
      <c r="G10915" t="str">
        <f>"ERIC RODRIGUES TEIXEIRA (939)"</f>
        <v>ERIC RODRIGUES TEIXEIRA (939)</v>
      </c>
      <c r="H10915" t="s">
        <v>2767</v>
      </c>
      <c r="I10915" t="str">
        <f t="shared" si="2043"/>
        <v>13/11/2025</v>
      </c>
      <c r="J10915" t="str">
        <f t="shared" si="2049"/>
        <v>10/11/2025</v>
      </c>
      <c r="K10915">
        <v>45974</v>
      </c>
      <c r="N10915">
        <v>109</v>
      </c>
      <c r="O10915" t="s">
        <v>24</v>
      </c>
      <c r="Q10915">
        <v>416.75</v>
      </c>
      <c r="R10915" t="str">
        <f>"PENSE FARMA 50 (10210)"</f>
        <v>PENSE FARMA 50 (10210)</v>
      </c>
      <c r="S10915" t="s">
        <v>77</v>
      </c>
      <c r="T10915">
        <v>21737</v>
      </c>
      <c r="U10915">
        <v>24986</v>
      </c>
      <c r="V10915" t="s">
        <v>77</v>
      </c>
    </row>
    <row r="10916" spans="1:22">
      <c r="A10916" t="str">
        <f t="shared" si="2052"/>
        <v>13/11/2025</v>
      </c>
      <c r="B10916" t="str">
        <f t="shared" si="2053"/>
        <v>SAÍDA</v>
      </c>
      <c r="C10916" t="str">
        <f t="shared" si="2054"/>
        <v>PIX</v>
      </c>
      <c r="D10916" t="str">
        <f>"24988"</f>
        <v>24988</v>
      </c>
      <c r="E10916" t="str">
        <f t="shared" si="2044"/>
        <v>1</v>
      </c>
      <c r="F10916" t="str">
        <f t="shared" si="2046"/>
        <v>COM</v>
      </c>
      <c r="G10916" t="str">
        <f>"ANDREA VOLPONI (1004)"</f>
        <v>ANDREA VOLPONI (1004)</v>
      </c>
      <c r="H10916" t="str">
        <f>"Serv.Prest. 03/11/2025 a 09/11/2025 - PIX: CPF - CHAVE: 361.750.258-06"</f>
        <v>Serv.Prest. 03/11/2025 a 09/11/2025 - PIX: CPF - CHAVE: 361.750.258-06</v>
      </c>
      <c r="I10916" t="str">
        <f t="shared" ref="I10916:I10979" si="2055">("13/11/2025")</f>
        <v>13/11/2025</v>
      </c>
      <c r="J10916" t="str">
        <f t="shared" si="2049"/>
        <v>10/11/2025</v>
      </c>
      <c r="K10916" t="str">
        <f>("13/11/2025")</f>
        <v>13/11/2025</v>
      </c>
      <c r="L10916">
        <v>800</v>
      </c>
      <c r="M10916">
        <v>800</v>
      </c>
      <c r="N10916">
        <v>109</v>
      </c>
      <c r="O10916" t="str">
        <f>"PAGAMENTO DE ENTREGADORES"</f>
        <v>PAGAMENTO DE ENTREGADORES</v>
      </c>
      <c r="P10916">
        <v>800</v>
      </c>
      <c r="S10916" t="str">
        <f>"BANCO C6 (149)"</f>
        <v>BANCO C6 (149)</v>
      </c>
      <c r="T10916">
        <v>21738</v>
      </c>
      <c r="U10916">
        <v>24988</v>
      </c>
      <c r="V10916" t="s">
        <v>77</v>
      </c>
    </row>
    <row r="10917" spans="1:22">
      <c r="A10917" t="str">
        <f t="shared" si="2052"/>
        <v>13/11/2025</v>
      </c>
      <c r="B10917" t="str">
        <f t="shared" si="2053"/>
        <v>SAÍDA</v>
      </c>
      <c r="C10917" t="str">
        <f t="shared" si="2054"/>
        <v>PIX</v>
      </c>
      <c r="D10917" t="str">
        <f>"24988"</f>
        <v>24988</v>
      </c>
      <c r="E10917" t="str">
        <f t="shared" si="2044"/>
        <v>1</v>
      </c>
      <c r="F10917" t="str">
        <f t="shared" si="2046"/>
        <v>COM</v>
      </c>
      <c r="G10917" t="str">
        <f>"ANDREA VOLPONI (1004)"</f>
        <v>ANDREA VOLPONI (1004)</v>
      </c>
      <c r="H10917" t="s">
        <v>3004</v>
      </c>
      <c r="I10917" t="str">
        <f t="shared" si="2055"/>
        <v>13/11/2025</v>
      </c>
      <c r="J10917" t="str">
        <f t="shared" si="2049"/>
        <v>10/11/2025</v>
      </c>
      <c r="K10917">
        <v>45974</v>
      </c>
      <c r="N10917">
        <v>109</v>
      </c>
      <c r="O10917" t="s">
        <v>24</v>
      </c>
      <c r="Q10917">
        <v>800</v>
      </c>
      <c r="R10917" t="str">
        <f>"PENSE FARMA 19 (10223)"</f>
        <v>PENSE FARMA 19 (10223)</v>
      </c>
      <c r="S10917" t="s">
        <v>77</v>
      </c>
      <c r="T10917">
        <v>21738</v>
      </c>
      <c r="U10917">
        <v>24988</v>
      </c>
      <c r="V10917" t="s">
        <v>77</v>
      </c>
    </row>
    <row r="10918" spans="1:22">
      <c r="A10918" t="str">
        <f t="shared" si="2052"/>
        <v>13/11/2025</v>
      </c>
      <c r="B10918" t="str">
        <f t="shared" si="2053"/>
        <v>SAÍDA</v>
      </c>
      <c r="C10918" t="str">
        <f t="shared" si="2054"/>
        <v>PIX</v>
      </c>
      <c r="D10918" t="str">
        <f>"24989"</f>
        <v>24989</v>
      </c>
      <c r="E10918" t="str">
        <f t="shared" ref="E10918:E10981" si="2056">"1"</f>
        <v>1</v>
      </c>
      <c r="F10918" t="str">
        <f t="shared" si="2046"/>
        <v>COM</v>
      </c>
      <c r="G10918" t="str">
        <f>"BRUCE HENRIQUE COSTA DOS SANTOS CONCEI?? (996)"</f>
        <v>BRUCE HENRIQUE COSTA DOS SANTOS CONCEI?? (996)</v>
      </c>
      <c r="H10918" t="str">
        <f>"Serv.Prest. 03/11/2025 a 09/11/2025 - PIX: CNPJ - CHAVE: 52.606.983/0001-08"</f>
        <v>Serv.Prest. 03/11/2025 a 09/11/2025 - PIX: CNPJ - CHAVE: 52.606.983/0001-08</v>
      </c>
      <c r="I10918" t="str">
        <f t="shared" si="2055"/>
        <v>13/11/2025</v>
      </c>
      <c r="J10918" t="str">
        <f t="shared" si="2049"/>
        <v>10/11/2025</v>
      </c>
      <c r="K10918" t="str">
        <f>("13/11/2025")</f>
        <v>13/11/2025</v>
      </c>
      <c r="L10918">
        <v>1375</v>
      </c>
      <c r="M10918">
        <v>1375</v>
      </c>
      <c r="N10918">
        <v>109</v>
      </c>
      <c r="O10918" t="str">
        <f>"PAGAMENTO DE ENTREGADORES"</f>
        <v>PAGAMENTO DE ENTREGADORES</v>
      </c>
      <c r="P10918">
        <v>1375</v>
      </c>
      <c r="S10918" t="str">
        <f>"BANCO C6 (149)"</f>
        <v>BANCO C6 (149)</v>
      </c>
      <c r="T10918">
        <v>21739</v>
      </c>
      <c r="U10918">
        <v>24989</v>
      </c>
      <c r="V10918" t="s">
        <v>77</v>
      </c>
    </row>
    <row r="10919" spans="1:22">
      <c r="A10919" t="str">
        <f t="shared" si="2052"/>
        <v>13/11/2025</v>
      </c>
      <c r="B10919" t="str">
        <f t="shared" si="2053"/>
        <v>SAÍDA</v>
      </c>
      <c r="C10919" t="str">
        <f t="shared" si="2054"/>
        <v>PIX</v>
      </c>
      <c r="D10919" t="str">
        <f>"24989"</f>
        <v>24989</v>
      </c>
      <c r="E10919" t="str">
        <f t="shared" si="2056"/>
        <v>1</v>
      </c>
      <c r="F10919" t="str">
        <f t="shared" si="2046"/>
        <v>COM</v>
      </c>
      <c r="G10919" t="str">
        <f>"BRUCE HENRIQUE COSTA DOS SANTOS CONCEI?? (996)"</f>
        <v>BRUCE HENRIQUE COSTA DOS SANTOS CONCEI?? (996)</v>
      </c>
      <c r="H10919" t="s">
        <v>3005</v>
      </c>
      <c r="I10919" t="str">
        <f t="shared" si="2055"/>
        <v>13/11/2025</v>
      </c>
      <c r="J10919" t="str">
        <f t="shared" ref="J10919:J10950" si="2057">("10/11/2025")</f>
        <v>10/11/2025</v>
      </c>
      <c r="K10919">
        <v>45974</v>
      </c>
      <c r="N10919">
        <v>109</v>
      </c>
      <c r="O10919" t="s">
        <v>24</v>
      </c>
      <c r="Q10919">
        <v>1375</v>
      </c>
      <c r="R10919" t="str">
        <f>"PENSE FARMA 19 (10223)"</f>
        <v>PENSE FARMA 19 (10223)</v>
      </c>
      <c r="S10919" t="s">
        <v>77</v>
      </c>
      <c r="T10919">
        <v>21739</v>
      </c>
      <c r="U10919">
        <v>24989</v>
      </c>
      <c r="V10919" t="s">
        <v>77</v>
      </c>
    </row>
    <row r="10920" spans="1:22">
      <c r="A10920" t="str">
        <f t="shared" si="2052"/>
        <v>13/11/2025</v>
      </c>
      <c r="B10920" t="str">
        <f t="shared" si="2053"/>
        <v>SAÍDA</v>
      </c>
      <c r="C10920" t="str">
        <f t="shared" si="2054"/>
        <v>PIX</v>
      </c>
      <c r="D10920" t="str">
        <f>"24991"</f>
        <v>24991</v>
      </c>
      <c r="E10920" t="str">
        <f t="shared" si="2056"/>
        <v>1</v>
      </c>
      <c r="F10920" t="str">
        <f t="shared" si="2046"/>
        <v>COM</v>
      </c>
      <c r="G10920" t="str">
        <f>"DARIO GILIARD DE BARROS OLIVEIRA (1011)"</f>
        <v>DARIO GILIARD DE BARROS OLIVEIRA (1011)</v>
      </c>
      <c r="H10920" t="str">
        <f>"Serv.Prest. 03/11/2025 a 09/11/2025 - PIX: CELULAR - CHAVE: (11) 96409-0865"</f>
        <v>Serv.Prest. 03/11/2025 a 09/11/2025 - PIX: CELULAR - CHAVE: (11) 96409-0865</v>
      </c>
      <c r="I10920" t="str">
        <f t="shared" si="2055"/>
        <v>13/11/2025</v>
      </c>
      <c r="J10920" t="str">
        <f t="shared" si="2057"/>
        <v>10/11/2025</v>
      </c>
      <c r="K10920" t="str">
        <f>("13/11/2025")</f>
        <v>13/11/2025</v>
      </c>
      <c r="L10920">
        <v>600</v>
      </c>
      <c r="M10920">
        <v>600</v>
      </c>
      <c r="N10920">
        <v>109</v>
      </c>
      <c r="O10920" t="str">
        <f>"PAGAMENTO DE ENTREGADORES"</f>
        <v>PAGAMENTO DE ENTREGADORES</v>
      </c>
      <c r="P10920">
        <v>600</v>
      </c>
      <c r="S10920" t="str">
        <f>"BANCO C6 (149)"</f>
        <v>BANCO C6 (149)</v>
      </c>
      <c r="T10920">
        <v>21740</v>
      </c>
      <c r="U10920">
        <v>24991</v>
      </c>
      <c r="V10920" t="s">
        <v>77</v>
      </c>
    </row>
    <row r="10921" spans="1:22">
      <c r="A10921" t="str">
        <f t="shared" si="2052"/>
        <v>13/11/2025</v>
      </c>
      <c r="B10921" t="str">
        <f t="shared" si="2053"/>
        <v>SAÍDA</v>
      </c>
      <c r="C10921" t="str">
        <f t="shared" si="2054"/>
        <v>PIX</v>
      </c>
      <c r="D10921" t="str">
        <f>"24991"</f>
        <v>24991</v>
      </c>
      <c r="E10921" t="str">
        <f t="shared" si="2056"/>
        <v>1</v>
      </c>
      <c r="F10921" t="str">
        <f t="shared" si="2046"/>
        <v>COM</v>
      </c>
      <c r="G10921" t="str">
        <f>"DARIO GILIARD DE BARROS OLIVEIRA (1011)"</f>
        <v>DARIO GILIARD DE BARROS OLIVEIRA (1011)</v>
      </c>
      <c r="H10921" t="s">
        <v>3006</v>
      </c>
      <c r="I10921" t="str">
        <f t="shared" si="2055"/>
        <v>13/11/2025</v>
      </c>
      <c r="J10921" t="str">
        <f t="shared" si="2057"/>
        <v>10/11/2025</v>
      </c>
      <c r="K10921">
        <v>45974</v>
      </c>
      <c r="N10921">
        <v>109</v>
      </c>
      <c r="O10921" t="s">
        <v>24</v>
      </c>
      <c r="Q10921">
        <v>199.98</v>
      </c>
      <c r="R10921" t="str">
        <f>"PENSE FARMA 15 (10195)"</f>
        <v>PENSE FARMA 15 (10195)</v>
      </c>
      <c r="S10921" t="s">
        <v>77</v>
      </c>
      <c r="T10921">
        <v>21740</v>
      </c>
      <c r="U10921">
        <v>24991</v>
      </c>
      <c r="V10921" t="s">
        <v>77</v>
      </c>
    </row>
    <row r="10922" spans="1:22">
      <c r="A10922" t="str">
        <f t="shared" si="2052"/>
        <v>13/11/2025</v>
      </c>
      <c r="B10922" t="str">
        <f t="shared" si="2053"/>
        <v>SAÍDA</v>
      </c>
      <c r="C10922" t="str">
        <f t="shared" si="2054"/>
        <v>PIX</v>
      </c>
      <c r="D10922" t="str">
        <f>"24991"</f>
        <v>24991</v>
      </c>
      <c r="E10922" t="str">
        <f t="shared" si="2056"/>
        <v>1</v>
      </c>
      <c r="F10922" t="str">
        <f t="shared" si="2046"/>
        <v>COM</v>
      </c>
      <c r="G10922" t="str">
        <f>"DARIO GILIARD DE BARROS OLIVEIRA (1011)"</f>
        <v>DARIO GILIARD DE BARROS OLIVEIRA (1011)</v>
      </c>
      <c r="H10922" t="s">
        <v>3006</v>
      </c>
      <c r="I10922" t="str">
        <f t="shared" si="2055"/>
        <v>13/11/2025</v>
      </c>
      <c r="J10922" t="str">
        <f t="shared" si="2057"/>
        <v>10/11/2025</v>
      </c>
      <c r="K10922">
        <v>45974</v>
      </c>
      <c r="N10922">
        <v>109</v>
      </c>
      <c r="O10922" t="s">
        <v>24</v>
      </c>
      <c r="Q10922">
        <v>199.98</v>
      </c>
      <c r="R10922" t="str">
        <f>"PENSE FARMA 60 (10197)"</f>
        <v>PENSE FARMA 60 (10197)</v>
      </c>
      <c r="S10922" t="s">
        <v>77</v>
      </c>
      <c r="T10922">
        <v>21740</v>
      </c>
      <c r="U10922">
        <v>24991</v>
      </c>
      <c r="V10922" t="s">
        <v>77</v>
      </c>
    </row>
    <row r="10923" spans="1:22">
      <c r="A10923" t="str">
        <f t="shared" si="2052"/>
        <v>13/11/2025</v>
      </c>
      <c r="B10923" t="str">
        <f t="shared" si="2053"/>
        <v>SAÍDA</v>
      </c>
      <c r="C10923" t="str">
        <f t="shared" si="2054"/>
        <v>PIX</v>
      </c>
      <c r="D10923" t="str">
        <f>"24991"</f>
        <v>24991</v>
      </c>
      <c r="E10923" t="str">
        <f t="shared" si="2056"/>
        <v>1</v>
      </c>
      <c r="F10923" t="str">
        <f t="shared" si="2046"/>
        <v>COM</v>
      </c>
      <c r="G10923" t="str">
        <f>"DARIO GILIARD DE BARROS OLIVEIRA (1011)"</f>
        <v>DARIO GILIARD DE BARROS OLIVEIRA (1011)</v>
      </c>
      <c r="H10923" t="s">
        <v>3006</v>
      </c>
      <c r="I10923" t="str">
        <f t="shared" si="2055"/>
        <v>13/11/2025</v>
      </c>
      <c r="J10923" t="str">
        <f t="shared" si="2057"/>
        <v>10/11/2025</v>
      </c>
      <c r="K10923">
        <v>45974</v>
      </c>
      <c r="N10923">
        <v>109</v>
      </c>
      <c r="O10923" t="s">
        <v>24</v>
      </c>
      <c r="Q10923">
        <v>200.04</v>
      </c>
      <c r="R10923" t="str">
        <f>"PENSE FARMA 61 (10243)"</f>
        <v>PENSE FARMA 61 (10243)</v>
      </c>
      <c r="S10923" t="s">
        <v>77</v>
      </c>
      <c r="T10923">
        <v>21740</v>
      </c>
      <c r="U10923">
        <v>24991</v>
      </c>
      <c r="V10923" t="s">
        <v>77</v>
      </c>
    </row>
    <row r="10924" spans="1:22">
      <c r="A10924" t="str">
        <f t="shared" si="2052"/>
        <v>13/11/2025</v>
      </c>
      <c r="B10924" t="str">
        <f t="shared" si="2053"/>
        <v>SAÍDA</v>
      </c>
      <c r="C10924" t="str">
        <f t="shared" si="2054"/>
        <v>PIX</v>
      </c>
      <c r="D10924" t="str">
        <f>"24994"</f>
        <v>24994</v>
      </c>
      <c r="E10924" t="str">
        <f t="shared" si="2056"/>
        <v>1</v>
      </c>
      <c r="F10924" t="str">
        <f t="shared" si="2046"/>
        <v>COM</v>
      </c>
      <c r="G10924" t="str">
        <f>"JEFFERSON AMORIM DA SILVA (940)"</f>
        <v>JEFFERSON AMORIM DA SILVA (940)</v>
      </c>
      <c r="H10924" t="str">
        <f>"Serv.Prest. 03/11/2025 a 09/11/2025 - PIX: CELULAR - CHAVE: (11) 98447-6954"</f>
        <v>Serv.Prest. 03/11/2025 a 09/11/2025 - PIX: CELULAR - CHAVE: (11) 98447-6954</v>
      </c>
      <c r="I10924" t="str">
        <f t="shared" si="2055"/>
        <v>13/11/2025</v>
      </c>
      <c r="J10924" t="str">
        <f t="shared" si="2057"/>
        <v>10/11/2025</v>
      </c>
      <c r="K10924" t="str">
        <f>("13/11/2025")</f>
        <v>13/11/2025</v>
      </c>
      <c r="L10924">
        <v>700</v>
      </c>
      <c r="M10924">
        <v>700</v>
      </c>
      <c r="N10924">
        <v>109</v>
      </c>
      <c r="O10924" t="str">
        <f>"PAGAMENTO DE ENTREGADORES"</f>
        <v>PAGAMENTO DE ENTREGADORES</v>
      </c>
      <c r="P10924">
        <v>700</v>
      </c>
      <c r="S10924" t="str">
        <f>"BANCO C6 (149)"</f>
        <v>BANCO C6 (149)</v>
      </c>
      <c r="T10924">
        <v>21741</v>
      </c>
      <c r="U10924">
        <v>24994</v>
      </c>
      <c r="V10924" t="s">
        <v>77</v>
      </c>
    </row>
    <row r="10925" spans="1:22">
      <c r="A10925" t="str">
        <f t="shared" si="2052"/>
        <v>13/11/2025</v>
      </c>
      <c r="B10925" t="str">
        <f t="shared" si="2053"/>
        <v>SAÍDA</v>
      </c>
      <c r="C10925" t="str">
        <f t="shared" si="2054"/>
        <v>PIX</v>
      </c>
      <c r="D10925" t="str">
        <f>"24994"</f>
        <v>24994</v>
      </c>
      <c r="E10925" t="str">
        <f t="shared" si="2056"/>
        <v>1</v>
      </c>
      <c r="F10925" t="str">
        <f t="shared" si="2046"/>
        <v>COM</v>
      </c>
      <c r="G10925" t="str">
        <f>"JEFFERSON AMORIM DA SILVA (940)"</f>
        <v>JEFFERSON AMORIM DA SILVA (940)</v>
      </c>
      <c r="H10925" t="s">
        <v>3007</v>
      </c>
      <c r="I10925" t="str">
        <f t="shared" si="2055"/>
        <v>13/11/2025</v>
      </c>
      <c r="J10925" t="str">
        <f t="shared" si="2057"/>
        <v>10/11/2025</v>
      </c>
      <c r="K10925">
        <v>45974</v>
      </c>
      <c r="N10925">
        <v>109</v>
      </c>
      <c r="O10925" t="s">
        <v>24</v>
      </c>
      <c r="Q10925">
        <v>233.31</v>
      </c>
      <c r="R10925" t="str">
        <f>"PENSE FARMA 15 (10195)"</f>
        <v>PENSE FARMA 15 (10195)</v>
      </c>
      <c r="S10925" t="s">
        <v>77</v>
      </c>
      <c r="T10925">
        <v>21741</v>
      </c>
      <c r="U10925">
        <v>24994</v>
      </c>
      <c r="V10925" t="s">
        <v>77</v>
      </c>
    </row>
    <row r="10926" spans="1:22">
      <c r="A10926" t="str">
        <f t="shared" si="2052"/>
        <v>13/11/2025</v>
      </c>
      <c r="B10926" t="str">
        <f t="shared" si="2053"/>
        <v>SAÍDA</v>
      </c>
      <c r="C10926" t="str">
        <f t="shared" si="2054"/>
        <v>PIX</v>
      </c>
      <c r="D10926" t="str">
        <f>"24994"</f>
        <v>24994</v>
      </c>
      <c r="E10926" t="str">
        <f t="shared" si="2056"/>
        <v>1</v>
      </c>
      <c r="F10926" t="str">
        <f t="shared" si="2046"/>
        <v>COM</v>
      </c>
      <c r="G10926" t="str">
        <f>"JEFFERSON AMORIM DA SILVA (940)"</f>
        <v>JEFFERSON AMORIM DA SILVA (940)</v>
      </c>
      <c r="H10926" t="s">
        <v>3007</v>
      </c>
      <c r="I10926" t="str">
        <f t="shared" si="2055"/>
        <v>13/11/2025</v>
      </c>
      <c r="J10926" t="str">
        <f t="shared" si="2057"/>
        <v>10/11/2025</v>
      </c>
      <c r="K10926">
        <v>45974</v>
      </c>
      <c r="N10926">
        <v>109</v>
      </c>
      <c r="O10926" t="s">
        <v>24</v>
      </c>
      <c r="Q10926">
        <v>233.31</v>
      </c>
      <c r="R10926" t="str">
        <f>"PENSE FARMA 60 (10197)"</f>
        <v>PENSE FARMA 60 (10197)</v>
      </c>
      <c r="S10926" t="s">
        <v>77</v>
      </c>
      <c r="T10926">
        <v>21741</v>
      </c>
      <c r="U10926">
        <v>24994</v>
      </c>
      <c r="V10926" t="s">
        <v>77</v>
      </c>
    </row>
    <row r="10927" spans="1:22">
      <c r="A10927" t="str">
        <f t="shared" si="2052"/>
        <v>13/11/2025</v>
      </c>
      <c r="B10927" t="str">
        <f t="shared" si="2053"/>
        <v>SAÍDA</v>
      </c>
      <c r="C10927" t="str">
        <f t="shared" si="2054"/>
        <v>PIX</v>
      </c>
      <c r="D10927" t="str">
        <f>"24994"</f>
        <v>24994</v>
      </c>
      <c r="E10927" t="str">
        <f t="shared" si="2056"/>
        <v>1</v>
      </c>
      <c r="F10927" t="str">
        <f t="shared" si="2046"/>
        <v>COM</v>
      </c>
      <c r="G10927" t="str">
        <f>"JEFFERSON AMORIM DA SILVA (940)"</f>
        <v>JEFFERSON AMORIM DA SILVA (940)</v>
      </c>
      <c r="H10927" t="s">
        <v>3007</v>
      </c>
      <c r="I10927" t="str">
        <f t="shared" si="2055"/>
        <v>13/11/2025</v>
      </c>
      <c r="J10927" t="str">
        <f t="shared" si="2057"/>
        <v>10/11/2025</v>
      </c>
      <c r="K10927">
        <v>45974</v>
      </c>
      <c r="N10927">
        <v>109</v>
      </c>
      <c r="O10927" t="s">
        <v>24</v>
      </c>
      <c r="Q10927">
        <v>233.38</v>
      </c>
      <c r="R10927" t="str">
        <f>"PENSE FARMA 61 (10243)"</f>
        <v>PENSE FARMA 61 (10243)</v>
      </c>
      <c r="S10927" t="s">
        <v>77</v>
      </c>
      <c r="T10927">
        <v>21741</v>
      </c>
      <c r="U10927">
        <v>24994</v>
      </c>
      <c r="V10927" t="s">
        <v>77</v>
      </c>
    </row>
    <row r="10928" spans="1:22">
      <c r="A10928" t="str">
        <f t="shared" si="2052"/>
        <v>13/11/2025</v>
      </c>
      <c r="B10928" t="str">
        <f t="shared" si="2053"/>
        <v>SAÍDA</v>
      </c>
      <c r="C10928" t="str">
        <f t="shared" si="2054"/>
        <v>PIX</v>
      </c>
      <c r="D10928" t="str">
        <f>"24995"</f>
        <v>24995</v>
      </c>
      <c r="E10928" t="str">
        <f t="shared" si="2056"/>
        <v>1</v>
      </c>
      <c r="F10928" t="str">
        <f t="shared" si="2046"/>
        <v>COM</v>
      </c>
      <c r="G10928" t="str">
        <f>"LETÍCIA ANDRADE DE CASTRO SILVA (1067)"</f>
        <v>LETÍCIA ANDRADE DE CASTRO SILVA (1067)</v>
      </c>
      <c r="H10928" t="str">
        <f>"Serv.Prest. 03/11/2025 a 09/11/2025 - PIX: CPF - CHAVE: 439.367.298-40"</f>
        <v>Serv.Prest. 03/11/2025 a 09/11/2025 - PIX: CPF - CHAVE: 439.367.298-40</v>
      </c>
      <c r="I10928" t="str">
        <f t="shared" si="2055"/>
        <v>13/11/2025</v>
      </c>
      <c r="J10928" t="str">
        <f t="shared" si="2057"/>
        <v>10/11/2025</v>
      </c>
      <c r="K10928" t="str">
        <f>("13/11/2025")</f>
        <v>13/11/2025</v>
      </c>
      <c r="L10928">
        <v>300</v>
      </c>
      <c r="M10928">
        <v>300</v>
      </c>
      <c r="N10928">
        <v>109</v>
      </c>
      <c r="O10928" t="str">
        <f>"PAGAMENTO DE ENTREGADORES"</f>
        <v>PAGAMENTO DE ENTREGADORES</v>
      </c>
      <c r="P10928">
        <v>300</v>
      </c>
      <c r="S10928" t="str">
        <f>"BANCO C6 (149)"</f>
        <v>BANCO C6 (149)</v>
      </c>
      <c r="T10928">
        <v>21742</v>
      </c>
      <c r="U10928">
        <v>24995</v>
      </c>
      <c r="V10928" t="s">
        <v>77</v>
      </c>
    </row>
    <row r="10929" spans="1:22">
      <c r="A10929" t="str">
        <f t="shared" si="2052"/>
        <v>13/11/2025</v>
      </c>
      <c r="B10929" t="str">
        <f t="shared" si="2053"/>
        <v>SAÍDA</v>
      </c>
      <c r="C10929" t="str">
        <f t="shared" si="2054"/>
        <v>PIX</v>
      </c>
      <c r="D10929" t="str">
        <f>"24995"</f>
        <v>24995</v>
      </c>
      <c r="E10929" t="str">
        <f t="shared" si="2056"/>
        <v>1</v>
      </c>
      <c r="F10929" t="str">
        <f t="shared" si="2046"/>
        <v>COM</v>
      </c>
      <c r="G10929" t="str">
        <f>"LETÍCIA ANDRADE DE CASTRO SILVA (1067)"</f>
        <v>LETÍCIA ANDRADE DE CASTRO SILVA (1067)</v>
      </c>
      <c r="H10929" t="s">
        <v>3008</v>
      </c>
      <c r="I10929" t="str">
        <f t="shared" si="2055"/>
        <v>13/11/2025</v>
      </c>
      <c r="J10929" t="str">
        <f t="shared" si="2057"/>
        <v>10/11/2025</v>
      </c>
      <c r="K10929">
        <v>45974</v>
      </c>
      <c r="N10929">
        <v>109</v>
      </c>
      <c r="O10929" t="s">
        <v>24</v>
      </c>
      <c r="Q10929">
        <v>99.99</v>
      </c>
      <c r="R10929" t="str">
        <f>"PENSE FARMA 15 (10195)"</f>
        <v>PENSE FARMA 15 (10195)</v>
      </c>
      <c r="S10929" t="s">
        <v>77</v>
      </c>
      <c r="T10929">
        <v>21742</v>
      </c>
      <c r="U10929">
        <v>24995</v>
      </c>
      <c r="V10929" t="s">
        <v>77</v>
      </c>
    </row>
    <row r="10930" spans="1:22">
      <c r="A10930" t="str">
        <f t="shared" si="2052"/>
        <v>13/11/2025</v>
      </c>
      <c r="B10930" t="str">
        <f t="shared" si="2053"/>
        <v>SAÍDA</v>
      </c>
      <c r="C10930" t="str">
        <f t="shared" si="2054"/>
        <v>PIX</v>
      </c>
      <c r="D10930" t="str">
        <f>"24995"</f>
        <v>24995</v>
      </c>
      <c r="E10930" t="str">
        <f t="shared" si="2056"/>
        <v>1</v>
      </c>
      <c r="F10930" t="str">
        <f t="shared" si="2046"/>
        <v>COM</v>
      </c>
      <c r="G10930" t="str">
        <f>"LETÍCIA ANDRADE DE CASTRO SILVA (1067)"</f>
        <v>LETÍCIA ANDRADE DE CASTRO SILVA (1067)</v>
      </c>
      <c r="H10930" t="s">
        <v>3008</v>
      </c>
      <c r="I10930" t="str">
        <f t="shared" si="2055"/>
        <v>13/11/2025</v>
      </c>
      <c r="J10930" t="str">
        <f t="shared" si="2057"/>
        <v>10/11/2025</v>
      </c>
      <c r="K10930">
        <v>45974</v>
      </c>
      <c r="N10930">
        <v>109</v>
      </c>
      <c r="O10930" t="s">
        <v>24</v>
      </c>
      <c r="Q10930">
        <v>99.99</v>
      </c>
      <c r="R10930" t="str">
        <f>"PENSE FARMA 60 (10197)"</f>
        <v>PENSE FARMA 60 (10197)</v>
      </c>
      <c r="S10930" t="s">
        <v>77</v>
      </c>
      <c r="T10930">
        <v>21742</v>
      </c>
      <c r="U10930">
        <v>24995</v>
      </c>
      <c r="V10930" t="s">
        <v>77</v>
      </c>
    </row>
    <row r="10931" spans="1:22">
      <c r="A10931" t="str">
        <f t="shared" si="2052"/>
        <v>13/11/2025</v>
      </c>
      <c r="B10931" t="str">
        <f t="shared" si="2053"/>
        <v>SAÍDA</v>
      </c>
      <c r="C10931" t="str">
        <f t="shared" si="2054"/>
        <v>PIX</v>
      </c>
      <c r="D10931" t="str">
        <f>"24995"</f>
        <v>24995</v>
      </c>
      <c r="E10931" t="str">
        <f t="shared" si="2056"/>
        <v>1</v>
      </c>
      <c r="F10931" t="str">
        <f t="shared" si="2046"/>
        <v>COM</v>
      </c>
      <c r="G10931" t="str">
        <f>"LETÍCIA ANDRADE DE CASTRO SILVA (1067)"</f>
        <v>LETÍCIA ANDRADE DE CASTRO SILVA (1067)</v>
      </c>
      <c r="H10931" t="s">
        <v>3008</v>
      </c>
      <c r="I10931" t="str">
        <f t="shared" si="2055"/>
        <v>13/11/2025</v>
      </c>
      <c r="J10931" t="str">
        <f t="shared" si="2057"/>
        <v>10/11/2025</v>
      </c>
      <c r="K10931">
        <v>45974</v>
      </c>
      <c r="N10931">
        <v>109</v>
      </c>
      <c r="O10931" t="s">
        <v>24</v>
      </c>
      <c r="Q10931">
        <v>100.02</v>
      </c>
      <c r="R10931" t="str">
        <f>"PENSE FARMA 61 (10243)"</f>
        <v>PENSE FARMA 61 (10243)</v>
      </c>
      <c r="S10931" t="s">
        <v>77</v>
      </c>
      <c r="T10931">
        <v>21742</v>
      </c>
      <c r="U10931">
        <v>24995</v>
      </c>
      <c r="V10931" t="s">
        <v>77</v>
      </c>
    </row>
    <row r="10932" spans="1:22">
      <c r="A10932" t="str">
        <f t="shared" si="2052"/>
        <v>13/11/2025</v>
      </c>
      <c r="B10932" t="str">
        <f t="shared" si="2053"/>
        <v>SAÍDA</v>
      </c>
      <c r="C10932" t="str">
        <f t="shared" si="2054"/>
        <v>PIX</v>
      </c>
      <c r="D10932" t="str">
        <f>"24996"</f>
        <v>24996</v>
      </c>
      <c r="E10932" t="str">
        <f t="shared" si="2056"/>
        <v>1</v>
      </c>
      <c r="F10932" t="str">
        <f t="shared" si="2046"/>
        <v>COM</v>
      </c>
      <c r="G10932" t="str">
        <f>"NATHAN PETRIN SOUSA DA SILVA (1049)"</f>
        <v>NATHAN PETRIN SOUSA DA SILVA (1049)</v>
      </c>
      <c r="H10932" t="str">
        <f>"Serv.Prest. 03/11/2025 a 09/11/2025 - PIX: CELULAR - CHAVE: (11) 98731-4534"</f>
        <v>Serv.Prest. 03/11/2025 a 09/11/2025 - PIX: CELULAR - CHAVE: (11) 98731-4534</v>
      </c>
      <c r="I10932" t="str">
        <f t="shared" si="2055"/>
        <v>13/11/2025</v>
      </c>
      <c r="J10932" t="str">
        <f t="shared" si="2057"/>
        <v>10/11/2025</v>
      </c>
      <c r="K10932" t="str">
        <f>("13/11/2025")</f>
        <v>13/11/2025</v>
      </c>
      <c r="L10932">
        <v>600</v>
      </c>
      <c r="M10932">
        <v>600</v>
      </c>
      <c r="N10932">
        <v>109</v>
      </c>
      <c r="O10932" t="str">
        <f>"PAGAMENTO DE ENTREGADORES"</f>
        <v>PAGAMENTO DE ENTREGADORES</v>
      </c>
      <c r="P10932">
        <v>600</v>
      </c>
      <c r="S10932" t="str">
        <f>"BANCO C6 (149)"</f>
        <v>BANCO C6 (149)</v>
      </c>
      <c r="T10932">
        <v>21743</v>
      </c>
      <c r="U10932">
        <v>24996</v>
      </c>
      <c r="V10932" t="s">
        <v>77</v>
      </c>
    </row>
    <row r="10933" spans="1:22">
      <c r="A10933" t="str">
        <f t="shared" si="2052"/>
        <v>13/11/2025</v>
      </c>
      <c r="B10933" t="str">
        <f t="shared" si="2053"/>
        <v>SAÍDA</v>
      </c>
      <c r="C10933" t="str">
        <f t="shared" si="2054"/>
        <v>PIX</v>
      </c>
      <c r="D10933" t="str">
        <f>"24996"</f>
        <v>24996</v>
      </c>
      <c r="E10933" t="str">
        <f t="shared" si="2056"/>
        <v>1</v>
      </c>
      <c r="F10933" t="str">
        <f t="shared" si="2046"/>
        <v>COM</v>
      </c>
      <c r="G10933" t="str">
        <f>"NATHAN PETRIN SOUSA DA SILVA (1049)"</f>
        <v>NATHAN PETRIN SOUSA DA SILVA (1049)</v>
      </c>
      <c r="H10933" t="s">
        <v>2755</v>
      </c>
      <c r="I10933" t="str">
        <f t="shared" si="2055"/>
        <v>13/11/2025</v>
      </c>
      <c r="J10933" t="str">
        <f t="shared" si="2057"/>
        <v>10/11/2025</v>
      </c>
      <c r="K10933">
        <v>45974</v>
      </c>
      <c r="N10933">
        <v>109</v>
      </c>
      <c r="O10933" t="s">
        <v>24</v>
      </c>
      <c r="Q10933">
        <v>600</v>
      </c>
      <c r="R10933" t="str">
        <f>"PENSE FARMA 26 (10196)"</f>
        <v>PENSE FARMA 26 (10196)</v>
      </c>
      <c r="S10933" t="s">
        <v>77</v>
      </c>
      <c r="T10933">
        <v>21743</v>
      </c>
      <c r="U10933">
        <v>24996</v>
      </c>
      <c r="V10933" t="s">
        <v>77</v>
      </c>
    </row>
    <row r="10934" spans="1:22">
      <c r="A10934" t="str">
        <f t="shared" si="2052"/>
        <v>13/11/2025</v>
      </c>
      <c r="B10934" t="str">
        <f t="shared" si="2053"/>
        <v>SAÍDA</v>
      </c>
      <c r="C10934" t="str">
        <f t="shared" si="2054"/>
        <v>PIX</v>
      </c>
      <c r="D10934" t="str">
        <f>"24998"</f>
        <v>24998</v>
      </c>
      <c r="E10934" t="str">
        <f t="shared" si="2056"/>
        <v>1</v>
      </c>
      <c r="F10934" t="str">
        <f t="shared" si="2046"/>
        <v>COM</v>
      </c>
      <c r="G10934" t="str">
        <f>"ALESSANDRO SILVA DOS SANTOS (966)"</f>
        <v>ALESSANDRO SILVA DOS SANTOS (966)</v>
      </c>
      <c r="H10934" t="str">
        <f>"Serv.Prest. 03/11/2025 a 09/11/2025 - PIX: E-MAIL - CHAVE: silvaalessandro3909@gmail.com"</f>
        <v>Serv.Prest. 03/11/2025 a 09/11/2025 - PIX: E-MAIL - CHAVE: silvaalessandro3909@gmail.com</v>
      </c>
      <c r="I10934" t="str">
        <f t="shared" si="2055"/>
        <v>13/11/2025</v>
      </c>
      <c r="J10934" t="str">
        <f t="shared" si="2057"/>
        <v>10/11/2025</v>
      </c>
      <c r="K10934" t="str">
        <f>("13/11/2025")</f>
        <v>13/11/2025</v>
      </c>
      <c r="L10934">
        <v>1190</v>
      </c>
      <c r="M10934">
        <v>1190</v>
      </c>
      <c r="N10934">
        <v>109</v>
      </c>
      <c r="O10934" t="str">
        <f>"PAGAMENTO DE ENTREGADORES"</f>
        <v>PAGAMENTO DE ENTREGADORES</v>
      </c>
      <c r="P10934">
        <v>1190</v>
      </c>
      <c r="S10934" t="str">
        <f>"BANCO C6 (149)"</f>
        <v>BANCO C6 (149)</v>
      </c>
      <c r="T10934">
        <v>21744</v>
      </c>
      <c r="U10934">
        <v>24998</v>
      </c>
      <c r="V10934" t="s">
        <v>77</v>
      </c>
    </row>
    <row r="10935" spans="1:22">
      <c r="A10935" t="str">
        <f t="shared" si="2052"/>
        <v>13/11/2025</v>
      </c>
      <c r="B10935" t="str">
        <f t="shared" si="2053"/>
        <v>SAÍDA</v>
      </c>
      <c r="C10935" t="str">
        <f t="shared" si="2054"/>
        <v>PIX</v>
      </c>
      <c r="D10935" t="str">
        <f>"24998"</f>
        <v>24998</v>
      </c>
      <c r="E10935" t="str">
        <f t="shared" si="2056"/>
        <v>1</v>
      </c>
      <c r="F10935" t="str">
        <f t="shared" ref="F10935:F10998" si="2058">"COM"</f>
        <v>COM</v>
      </c>
      <c r="G10935" t="str">
        <f>"ALESSANDRO SILVA DOS SANTOS (966)"</f>
        <v>ALESSANDRO SILVA DOS SANTOS (966)</v>
      </c>
      <c r="H10935" t="s">
        <v>3009</v>
      </c>
      <c r="I10935" t="str">
        <f t="shared" si="2055"/>
        <v>13/11/2025</v>
      </c>
      <c r="J10935" t="str">
        <f t="shared" si="2057"/>
        <v>10/11/2025</v>
      </c>
      <c r="K10935">
        <v>45974</v>
      </c>
      <c r="N10935">
        <v>109</v>
      </c>
      <c r="O10935" t="s">
        <v>24</v>
      </c>
      <c r="Q10935">
        <v>1190</v>
      </c>
      <c r="R10935" t="str">
        <f>"PENSE FARMA 22 (10198)"</f>
        <v>PENSE FARMA 22 (10198)</v>
      </c>
      <c r="S10935" t="s">
        <v>77</v>
      </c>
      <c r="T10935">
        <v>21744</v>
      </c>
      <c r="U10935">
        <v>24998</v>
      </c>
      <c r="V10935" t="s">
        <v>77</v>
      </c>
    </row>
    <row r="10936" spans="1:22">
      <c r="A10936" t="str">
        <f t="shared" si="2052"/>
        <v>13/11/2025</v>
      </c>
      <c r="B10936" t="str">
        <f t="shared" si="2053"/>
        <v>SAÍDA</v>
      </c>
      <c r="C10936" t="str">
        <f t="shared" si="2054"/>
        <v>PIX</v>
      </c>
      <c r="D10936" t="str">
        <f>"25000"</f>
        <v>25000</v>
      </c>
      <c r="E10936" t="str">
        <f t="shared" si="2056"/>
        <v>1</v>
      </c>
      <c r="F10936" t="str">
        <f t="shared" si="2058"/>
        <v>COM</v>
      </c>
      <c r="G10936" t="str">
        <f>"JULIEDERSON AGUIAR SANTOS (946)"</f>
        <v>JULIEDERSON AGUIAR SANTOS (946)</v>
      </c>
      <c r="H10936" t="str">
        <f>"Serv.Prest. 03/11/2025 a 09/11/2025 - PIX: CPF - CHAVE: 383.328.968-60"</f>
        <v>Serv.Prest. 03/11/2025 a 09/11/2025 - PIX: CPF - CHAVE: 383.328.968-60</v>
      </c>
      <c r="I10936" t="str">
        <f t="shared" si="2055"/>
        <v>13/11/2025</v>
      </c>
      <c r="J10936" t="str">
        <f t="shared" si="2057"/>
        <v>10/11/2025</v>
      </c>
      <c r="K10936" t="str">
        <f>("13/11/2025")</f>
        <v>13/11/2025</v>
      </c>
      <c r="L10936">
        <v>1150</v>
      </c>
      <c r="M10936">
        <v>1150</v>
      </c>
      <c r="N10936">
        <v>109</v>
      </c>
      <c r="O10936" t="str">
        <f>"PAGAMENTO DE ENTREGADORES"</f>
        <v>PAGAMENTO DE ENTREGADORES</v>
      </c>
      <c r="P10936">
        <v>1150</v>
      </c>
      <c r="S10936" t="str">
        <f>"BANCO C6 (149)"</f>
        <v>BANCO C6 (149)</v>
      </c>
      <c r="T10936">
        <v>21745</v>
      </c>
      <c r="U10936">
        <v>25000</v>
      </c>
      <c r="V10936" t="s">
        <v>77</v>
      </c>
    </row>
    <row r="10937" spans="1:22">
      <c r="A10937" t="str">
        <f t="shared" si="2052"/>
        <v>13/11/2025</v>
      </c>
      <c r="B10937" t="str">
        <f t="shared" si="2053"/>
        <v>SAÍDA</v>
      </c>
      <c r="C10937" t="str">
        <f t="shared" si="2054"/>
        <v>PIX</v>
      </c>
      <c r="D10937" t="str">
        <f>"25000"</f>
        <v>25000</v>
      </c>
      <c r="E10937" t="str">
        <f t="shared" si="2056"/>
        <v>1</v>
      </c>
      <c r="F10937" t="str">
        <f t="shared" si="2058"/>
        <v>COM</v>
      </c>
      <c r="G10937" t="str">
        <f>"JULIEDERSON AGUIAR SANTOS (946)"</f>
        <v>JULIEDERSON AGUIAR SANTOS (946)</v>
      </c>
      <c r="H10937" t="s">
        <v>2859</v>
      </c>
      <c r="I10937" t="str">
        <f t="shared" si="2055"/>
        <v>13/11/2025</v>
      </c>
      <c r="J10937" t="str">
        <f t="shared" si="2057"/>
        <v>10/11/2025</v>
      </c>
      <c r="K10937">
        <v>45974</v>
      </c>
      <c r="N10937">
        <v>109</v>
      </c>
      <c r="O10937" t="s">
        <v>24</v>
      </c>
      <c r="Q10937">
        <v>1150</v>
      </c>
      <c r="R10937" t="str">
        <f>"PENSE FARMA 22 (10198)"</f>
        <v>PENSE FARMA 22 (10198)</v>
      </c>
      <c r="S10937" t="s">
        <v>77</v>
      </c>
      <c r="T10937">
        <v>21745</v>
      </c>
      <c r="U10937">
        <v>25000</v>
      </c>
      <c r="V10937" t="s">
        <v>77</v>
      </c>
    </row>
    <row r="10938" spans="1:22">
      <c r="A10938" t="str">
        <f t="shared" si="2052"/>
        <v>13/11/2025</v>
      </c>
      <c r="B10938" t="str">
        <f t="shared" si="2053"/>
        <v>SAÍDA</v>
      </c>
      <c r="C10938" t="str">
        <f t="shared" si="2054"/>
        <v>PIX</v>
      </c>
      <c r="D10938" t="str">
        <f>"25001"</f>
        <v>25001</v>
      </c>
      <c r="E10938" t="str">
        <f t="shared" si="2056"/>
        <v>1</v>
      </c>
      <c r="F10938" t="str">
        <f t="shared" si="2058"/>
        <v>COM</v>
      </c>
      <c r="G10938" t="str">
        <f>"RICARDO DE OLIVEIRA SENA (1065)"</f>
        <v>RICARDO DE OLIVEIRA SENA (1065)</v>
      </c>
      <c r="H10938" t="str">
        <f>"Serv.Prest. 03/11/2025 a 09/11/2025 - PIX: CELULAR - CHAVE: (11) 95335-4943"</f>
        <v>Serv.Prest. 03/11/2025 a 09/11/2025 - PIX: CELULAR - CHAVE: (11) 95335-4943</v>
      </c>
      <c r="I10938" t="str">
        <f t="shared" si="2055"/>
        <v>13/11/2025</v>
      </c>
      <c r="J10938" t="str">
        <f t="shared" si="2057"/>
        <v>10/11/2025</v>
      </c>
      <c r="K10938" t="str">
        <f>("13/11/2025")</f>
        <v>13/11/2025</v>
      </c>
      <c r="L10938">
        <v>570</v>
      </c>
      <c r="M10938">
        <v>570</v>
      </c>
      <c r="N10938">
        <v>109</v>
      </c>
      <c r="O10938" t="str">
        <f>"PAGAMENTO DE ENTREGADORES"</f>
        <v>PAGAMENTO DE ENTREGADORES</v>
      </c>
      <c r="P10938">
        <v>570</v>
      </c>
      <c r="S10938" t="str">
        <f>"BANCO C6 (149)"</f>
        <v>BANCO C6 (149)</v>
      </c>
      <c r="T10938">
        <v>21746</v>
      </c>
      <c r="U10938">
        <v>25001</v>
      </c>
      <c r="V10938" t="s">
        <v>77</v>
      </c>
    </row>
    <row r="10939" spans="1:22">
      <c r="A10939" t="str">
        <f t="shared" si="2052"/>
        <v>13/11/2025</v>
      </c>
      <c r="B10939" t="str">
        <f t="shared" si="2053"/>
        <v>SAÍDA</v>
      </c>
      <c r="C10939" t="str">
        <f t="shared" si="2054"/>
        <v>PIX</v>
      </c>
      <c r="D10939" t="str">
        <f>"25001"</f>
        <v>25001</v>
      </c>
      <c r="E10939" t="str">
        <f t="shared" si="2056"/>
        <v>1</v>
      </c>
      <c r="F10939" t="str">
        <f t="shared" si="2058"/>
        <v>COM</v>
      </c>
      <c r="G10939" t="str">
        <f>"RICARDO DE OLIVEIRA SENA (1065)"</f>
        <v>RICARDO DE OLIVEIRA SENA (1065)</v>
      </c>
      <c r="H10939" t="s">
        <v>3010</v>
      </c>
      <c r="I10939" t="str">
        <f t="shared" si="2055"/>
        <v>13/11/2025</v>
      </c>
      <c r="J10939" t="str">
        <f t="shared" si="2057"/>
        <v>10/11/2025</v>
      </c>
      <c r="K10939">
        <v>45974</v>
      </c>
      <c r="N10939">
        <v>109</v>
      </c>
      <c r="O10939" t="s">
        <v>24</v>
      </c>
      <c r="Q10939">
        <v>570</v>
      </c>
      <c r="R10939" t="str">
        <f>"PENSE FARMA 22 (10198)"</f>
        <v>PENSE FARMA 22 (10198)</v>
      </c>
      <c r="S10939" t="s">
        <v>77</v>
      </c>
      <c r="T10939">
        <v>21746</v>
      </c>
      <c r="U10939">
        <v>25001</v>
      </c>
      <c r="V10939" t="s">
        <v>77</v>
      </c>
    </row>
    <row r="10940" spans="1:22">
      <c r="A10940" t="str">
        <f t="shared" si="2052"/>
        <v>13/11/2025</v>
      </c>
      <c r="B10940" t="str">
        <f t="shared" si="2053"/>
        <v>SAÍDA</v>
      </c>
      <c r="C10940" t="str">
        <f t="shared" si="2054"/>
        <v>PIX</v>
      </c>
      <c r="D10940" t="str">
        <f t="shared" ref="D10940:D10946" si="2059">"25003"</f>
        <v>25003</v>
      </c>
      <c r="E10940" t="str">
        <f t="shared" si="2056"/>
        <v>1</v>
      </c>
      <c r="F10940" t="str">
        <f t="shared" si="2058"/>
        <v>COM</v>
      </c>
      <c r="G10940" t="str">
        <f t="shared" ref="G10940:G10946" si="2060">"FELIPE ALEXANDRE CAMA (976)"</f>
        <v>FELIPE ALEXANDRE CAMA (976)</v>
      </c>
      <c r="H10940" t="str">
        <f>"Serv.Prest. 03/11/2025 a 09/11/2025 - PIX: CPF - CHAVE: 471.142.438-55"</f>
        <v>Serv.Prest. 03/11/2025 a 09/11/2025 - PIX: CPF - CHAVE: 471.142.438-55</v>
      </c>
      <c r="I10940" t="str">
        <f t="shared" si="2055"/>
        <v>13/11/2025</v>
      </c>
      <c r="J10940" t="str">
        <f t="shared" si="2057"/>
        <v>10/11/2025</v>
      </c>
      <c r="K10940" t="str">
        <f>("13/11/2025")</f>
        <v>13/11/2025</v>
      </c>
      <c r="L10940">
        <v>1325</v>
      </c>
      <c r="M10940">
        <v>1325</v>
      </c>
      <c r="N10940">
        <v>109</v>
      </c>
      <c r="O10940" t="str">
        <f>"PAGAMENTO DE ENTREGADORES"</f>
        <v>PAGAMENTO DE ENTREGADORES</v>
      </c>
      <c r="P10940">
        <v>1325</v>
      </c>
      <c r="S10940" t="str">
        <f>"BANCO C6 (149)"</f>
        <v>BANCO C6 (149)</v>
      </c>
      <c r="T10940">
        <v>21747</v>
      </c>
      <c r="U10940">
        <v>25003</v>
      </c>
      <c r="V10940" t="s">
        <v>77</v>
      </c>
    </row>
    <row r="10941" spans="1:22">
      <c r="A10941" t="str">
        <f t="shared" si="2052"/>
        <v>13/11/2025</v>
      </c>
      <c r="B10941" t="str">
        <f t="shared" si="2053"/>
        <v>SAÍDA</v>
      </c>
      <c r="C10941" t="str">
        <f t="shared" si="2054"/>
        <v>PIX</v>
      </c>
      <c r="D10941" t="str">
        <f t="shared" si="2059"/>
        <v>25003</v>
      </c>
      <c r="E10941" t="str">
        <f t="shared" si="2056"/>
        <v>1</v>
      </c>
      <c r="F10941" t="str">
        <f t="shared" si="2058"/>
        <v>COM</v>
      </c>
      <c r="G10941" t="str">
        <f t="shared" si="2060"/>
        <v>FELIPE ALEXANDRE CAMA (976)</v>
      </c>
      <c r="H10941" t="s">
        <v>3011</v>
      </c>
      <c r="I10941" t="str">
        <f t="shared" si="2055"/>
        <v>13/11/2025</v>
      </c>
      <c r="J10941" t="str">
        <f t="shared" si="2057"/>
        <v>10/11/2025</v>
      </c>
      <c r="K10941">
        <v>45974</v>
      </c>
      <c r="N10941">
        <v>109</v>
      </c>
      <c r="O10941" t="s">
        <v>24</v>
      </c>
      <c r="Q10941">
        <v>189.35</v>
      </c>
      <c r="R10941" t="str">
        <f>"PENSE FARMA 20 (10203)"</f>
        <v>PENSE FARMA 20 (10203)</v>
      </c>
      <c r="S10941" t="s">
        <v>77</v>
      </c>
      <c r="T10941">
        <v>21747</v>
      </c>
      <c r="U10941">
        <v>25003</v>
      </c>
      <c r="V10941" t="s">
        <v>77</v>
      </c>
    </row>
    <row r="10942" spans="1:22">
      <c r="A10942" t="str">
        <f t="shared" si="2052"/>
        <v>13/11/2025</v>
      </c>
      <c r="B10942" t="str">
        <f t="shared" si="2053"/>
        <v>SAÍDA</v>
      </c>
      <c r="C10942" t="str">
        <f t="shared" si="2054"/>
        <v>PIX</v>
      </c>
      <c r="D10942" t="str">
        <f t="shared" si="2059"/>
        <v>25003</v>
      </c>
      <c r="E10942" t="str">
        <f t="shared" si="2056"/>
        <v>1</v>
      </c>
      <c r="F10942" t="str">
        <f t="shared" si="2058"/>
        <v>COM</v>
      </c>
      <c r="G10942" t="str">
        <f t="shared" si="2060"/>
        <v>FELIPE ALEXANDRE CAMA (976)</v>
      </c>
      <c r="H10942" t="s">
        <v>3011</v>
      </c>
      <c r="I10942" t="str">
        <f t="shared" si="2055"/>
        <v>13/11/2025</v>
      </c>
      <c r="J10942" t="str">
        <f t="shared" si="2057"/>
        <v>10/11/2025</v>
      </c>
      <c r="K10942">
        <v>45974</v>
      </c>
      <c r="N10942">
        <v>109</v>
      </c>
      <c r="O10942" t="s">
        <v>24</v>
      </c>
      <c r="Q10942">
        <v>189.34</v>
      </c>
      <c r="R10942" t="str">
        <f>"PENSE FARMA 36 (10206)"</f>
        <v>PENSE FARMA 36 (10206)</v>
      </c>
      <c r="S10942" t="s">
        <v>77</v>
      </c>
      <c r="T10942">
        <v>21747</v>
      </c>
      <c r="U10942">
        <v>25003</v>
      </c>
      <c r="V10942" t="s">
        <v>77</v>
      </c>
    </row>
    <row r="10943" spans="1:22">
      <c r="A10943" t="str">
        <f t="shared" si="2052"/>
        <v>13/11/2025</v>
      </c>
      <c r="B10943" t="str">
        <f t="shared" si="2053"/>
        <v>SAÍDA</v>
      </c>
      <c r="C10943" t="str">
        <f t="shared" si="2054"/>
        <v>PIX</v>
      </c>
      <c r="D10943" t="str">
        <f t="shared" si="2059"/>
        <v>25003</v>
      </c>
      <c r="E10943" t="str">
        <f t="shared" si="2056"/>
        <v>1</v>
      </c>
      <c r="F10943" t="str">
        <f t="shared" si="2058"/>
        <v>COM</v>
      </c>
      <c r="G10943" t="str">
        <f t="shared" si="2060"/>
        <v>FELIPE ALEXANDRE CAMA (976)</v>
      </c>
      <c r="H10943" t="s">
        <v>3011</v>
      </c>
      <c r="I10943" t="str">
        <f t="shared" si="2055"/>
        <v>13/11/2025</v>
      </c>
      <c r="J10943" t="str">
        <f t="shared" si="2057"/>
        <v>10/11/2025</v>
      </c>
      <c r="K10943">
        <v>45974</v>
      </c>
      <c r="N10943">
        <v>109</v>
      </c>
      <c r="O10943" t="s">
        <v>24</v>
      </c>
      <c r="Q10943">
        <v>189.34</v>
      </c>
      <c r="R10943" t="str">
        <f>"PENSE FARMA 40 (10207)"</f>
        <v>PENSE FARMA 40 (10207)</v>
      </c>
      <c r="S10943" t="s">
        <v>77</v>
      </c>
      <c r="T10943">
        <v>21747</v>
      </c>
      <c r="U10943">
        <v>25003</v>
      </c>
      <c r="V10943" t="s">
        <v>77</v>
      </c>
    </row>
    <row r="10944" spans="1:22">
      <c r="A10944" t="str">
        <f t="shared" si="2052"/>
        <v>13/11/2025</v>
      </c>
      <c r="B10944" t="str">
        <f t="shared" si="2053"/>
        <v>SAÍDA</v>
      </c>
      <c r="C10944" t="str">
        <f t="shared" si="2054"/>
        <v>PIX</v>
      </c>
      <c r="D10944" t="str">
        <f t="shared" si="2059"/>
        <v>25003</v>
      </c>
      <c r="E10944" t="str">
        <f t="shared" si="2056"/>
        <v>1</v>
      </c>
      <c r="F10944" t="str">
        <f t="shared" si="2058"/>
        <v>COM</v>
      </c>
      <c r="G10944" t="str">
        <f t="shared" si="2060"/>
        <v>FELIPE ALEXANDRE CAMA (976)</v>
      </c>
      <c r="H10944" t="s">
        <v>3011</v>
      </c>
      <c r="I10944" t="str">
        <f t="shared" si="2055"/>
        <v>13/11/2025</v>
      </c>
      <c r="J10944" t="str">
        <f t="shared" si="2057"/>
        <v>10/11/2025</v>
      </c>
      <c r="K10944">
        <v>45974</v>
      </c>
      <c r="N10944">
        <v>109</v>
      </c>
      <c r="O10944" t="s">
        <v>24</v>
      </c>
      <c r="Q10944">
        <v>189.34</v>
      </c>
      <c r="R10944" t="str">
        <f>"PENSE FARMA 43 (10208)"</f>
        <v>PENSE FARMA 43 (10208)</v>
      </c>
      <c r="S10944" t="s">
        <v>77</v>
      </c>
      <c r="T10944">
        <v>21747</v>
      </c>
      <c r="U10944">
        <v>25003</v>
      </c>
      <c r="V10944" t="s">
        <v>77</v>
      </c>
    </row>
    <row r="10945" spans="1:22">
      <c r="A10945" t="str">
        <f t="shared" si="2052"/>
        <v>13/11/2025</v>
      </c>
      <c r="B10945" t="str">
        <f t="shared" si="2053"/>
        <v>SAÍDA</v>
      </c>
      <c r="C10945" t="str">
        <f t="shared" si="2054"/>
        <v>PIX</v>
      </c>
      <c r="D10945" t="str">
        <f t="shared" si="2059"/>
        <v>25003</v>
      </c>
      <c r="E10945" t="str">
        <f t="shared" si="2056"/>
        <v>1</v>
      </c>
      <c r="F10945" t="str">
        <f t="shared" si="2058"/>
        <v>COM</v>
      </c>
      <c r="G10945" t="str">
        <f t="shared" si="2060"/>
        <v>FELIPE ALEXANDRE CAMA (976)</v>
      </c>
      <c r="H10945" t="s">
        <v>3011</v>
      </c>
      <c r="I10945" t="str">
        <f t="shared" si="2055"/>
        <v>13/11/2025</v>
      </c>
      <c r="J10945" t="str">
        <f t="shared" si="2057"/>
        <v>10/11/2025</v>
      </c>
      <c r="K10945">
        <v>45974</v>
      </c>
      <c r="N10945">
        <v>109</v>
      </c>
      <c r="O10945" t="s">
        <v>24</v>
      </c>
      <c r="Q10945">
        <v>378.55</v>
      </c>
      <c r="R10945" t="str">
        <f>"PENSE FARMA 59 (10211)"</f>
        <v>PENSE FARMA 59 (10211)</v>
      </c>
      <c r="S10945" t="s">
        <v>77</v>
      </c>
      <c r="T10945">
        <v>21747</v>
      </c>
      <c r="U10945">
        <v>25003</v>
      </c>
      <c r="V10945" t="s">
        <v>77</v>
      </c>
    </row>
    <row r="10946" spans="1:22">
      <c r="A10946" t="str">
        <f t="shared" si="2052"/>
        <v>13/11/2025</v>
      </c>
      <c r="B10946" t="str">
        <f t="shared" si="2053"/>
        <v>SAÍDA</v>
      </c>
      <c r="C10946" t="str">
        <f t="shared" si="2054"/>
        <v>PIX</v>
      </c>
      <c r="D10946" t="str">
        <f t="shared" si="2059"/>
        <v>25003</v>
      </c>
      <c r="E10946" t="str">
        <f t="shared" si="2056"/>
        <v>1</v>
      </c>
      <c r="F10946" t="str">
        <f t="shared" si="2058"/>
        <v>COM</v>
      </c>
      <c r="G10946" t="str">
        <f t="shared" si="2060"/>
        <v>FELIPE ALEXANDRE CAMA (976)</v>
      </c>
      <c r="H10946" t="s">
        <v>3011</v>
      </c>
      <c r="I10946" t="str">
        <f t="shared" si="2055"/>
        <v>13/11/2025</v>
      </c>
      <c r="J10946" t="str">
        <f t="shared" si="2057"/>
        <v>10/11/2025</v>
      </c>
      <c r="K10946">
        <v>45974</v>
      </c>
      <c r="N10946">
        <v>109</v>
      </c>
      <c r="O10946" t="s">
        <v>24</v>
      </c>
      <c r="Q10946">
        <v>189.08</v>
      </c>
      <c r="R10946" t="str">
        <f>"PENSE FARMA DARK STORE 361 (10212)"</f>
        <v>PENSE FARMA DARK STORE 361 (10212)</v>
      </c>
      <c r="S10946" t="s">
        <v>77</v>
      </c>
      <c r="T10946">
        <v>21747</v>
      </c>
      <c r="U10946">
        <v>25003</v>
      </c>
      <c r="V10946" t="s">
        <v>77</v>
      </c>
    </row>
    <row r="10947" spans="1:22">
      <c r="A10947" t="str">
        <f t="shared" si="2052"/>
        <v>13/11/2025</v>
      </c>
      <c r="B10947" t="str">
        <f t="shared" si="2053"/>
        <v>SAÍDA</v>
      </c>
      <c r="C10947" t="str">
        <f t="shared" si="2054"/>
        <v>PIX</v>
      </c>
      <c r="D10947" t="str">
        <f t="shared" ref="D10947:D10953" si="2061">"25004"</f>
        <v>25004</v>
      </c>
      <c r="E10947" t="str">
        <f t="shared" si="2056"/>
        <v>1</v>
      </c>
      <c r="F10947" t="str">
        <f t="shared" si="2058"/>
        <v>COM</v>
      </c>
      <c r="G10947" t="str">
        <f t="shared" ref="G10947:G10953" si="2062">"JULIO GUIMARAES DOS SANTOS (977)"</f>
        <v>JULIO GUIMARAES DOS SANTOS (977)</v>
      </c>
      <c r="H10947" t="str">
        <f>"Serv.Prest. 03/11/2025 a 09/11/2025 - PIX: CELULAR - CHAVE: (11) 94195-2534"</f>
        <v>Serv.Prest. 03/11/2025 a 09/11/2025 - PIX: CELULAR - CHAVE: (11) 94195-2534</v>
      </c>
      <c r="I10947" t="str">
        <f t="shared" si="2055"/>
        <v>13/11/2025</v>
      </c>
      <c r="J10947" t="str">
        <f t="shared" si="2057"/>
        <v>10/11/2025</v>
      </c>
      <c r="K10947" t="str">
        <f>("13/11/2025")</f>
        <v>13/11/2025</v>
      </c>
      <c r="L10947">
        <v>1325</v>
      </c>
      <c r="M10947">
        <v>1325</v>
      </c>
      <c r="N10947">
        <v>109</v>
      </c>
      <c r="O10947" t="str">
        <f>"PAGAMENTO DE ENTREGADORES"</f>
        <v>PAGAMENTO DE ENTREGADORES</v>
      </c>
      <c r="P10947">
        <v>1325</v>
      </c>
      <c r="S10947" t="str">
        <f>"BANCO C6 (149)"</f>
        <v>BANCO C6 (149)</v>
      </c>
      <c r="T10947">
        <v>21748</v>
      </c>
      <c r="U10947">
        <v>25004</v>
      </c>
      <c r="V10947" t="s">
        <v>77</v>
      </c>
    </row>
    <row r="10948" spans="1:22">
      <c r="A10948" t="str">
        <f t="shared" si="2052"/>
        <v>13/11/2025</v>
      </c>
      <c r="B10948" t="str">
        <f t="shared" si="2053"/>
        <v>SAÍDA</v>
      </c>
      <c r="C10948" t="str">
        <f t="shared" si="2054"/>
        <v>PIX</v>
      </c>
      <c r="D10948" t="str">
        <f t="shared" si="2061"/>
        <v>25004</v>
      </c>
      <c r="E10948" t="str">
        <f t="shared" si="2056"/>
        <v>1</v>
      </c>
      <c r="F10948" t="str">
        <f t="shared" si="2058"/>
        <v>COM</v>
      </c>
      <c r="G10948" t="str">
        <f t="shared" si="2062"/>
        <v>JULIO GUIMARAES DOS SANTOS (977)</v>
      </c>
      <c r="H10948" t="s">
        <v>3012</v>
      </c>
      <c r="I10948" t="str">
        <f t="shared" si="2055"/>
        <v>13/11/2025</v>
      </c>
      <c r="J10948" t="str">
        <f t="shared" si="2057"/>
        <v>10/11/2025</v>
      </c>
      <c r="K10948">
        <v>45974</v>
      </c>
      <c r="N10948">
        <v>109</v>
      </c>
      <c r="O10948" t="s">
        <v>24</v>
      </c>
      <c r="Q10948">
        <v>220.87</v>
      </c>
      <c r="R10948" t="str">
        <f>"PENSE FARMA 20 (10203)"</f>
        <v>PENSE FARMA 20 (10203)</v>
      </c>
      <c r="S10948" t="s">
        <v>77</v>
      </c>
      <c r="T10948">
        <v>21748</v>
      </c>
      <c r="U10948">
        <v>25004</v>
      </c>
      <c r="V10948" t="s">
        <v>77</v>
      </c>
    </row>
    <row r="10949" spans="1:22">
      <c r="A10949" t="str">
        <f t="shared" si="2052"/>
        <v>13/11/2025</v>
      </c>
      <c r="B10949" t="str">
        <f t="shared" si="2053"/>
        <v>SAÍDA</v>
      </c>
      <c r="C10949" t="str">
        <f t="shared" si="2054"/>
        <v>PIX</v>
      </c>
      <c r="D10949" t="str">
        <f t="shared" si="2061"/>
        <v>25004</v>
      </c>
      <c r="E10949" t="str">
        <f t="shared" si="2056"/>
        <v>1</v>
      </c>
      <c r="F10949" t="str">
        <f t="shared" si="2058"/>
        <v>COM</v>
      </c>
      <c r="G10949" t="str">
        <f t="shared" si="2062"/>
        <v>JULIO GUIMARAES DOS SANTOS (977)</v>
      </c>
      <c r="H10949" t="s">
        <v>3012</v>
      </c>
      <c r="I10949" t="str">
        <f t="shared" si="2055"/>
        <v>13/11/2025</v>
      </c>
      <c r="J10949" t="str">
        <f t="shared" si="2057"/>
        <v>10/11/2025</v>
      </c>
      <c r="K10949">
        <v>45974</v>
      </c>
      <c r="N10949">
        <v>109</v>
      </c>
      <c r="O10949" t="s">
        <v>24</v>
      </c>
      <c r="Q10949">
        <v>220.88</v>
      </c>
      <c r="R10949" t="str">
        <f>"PENSE FARMA 36 (10206)"</f>
        <v>PENSE FARMA 36 (10206)</v>
      </c>
      <c r="S10949" t="s">
        <v>77</v>
      </c>
      <c r="T10949">
        <v>21748</v>
      </c>
      <c r="U10949">
        <v>25004</v>
      </c>
      <c r="V10949" t="s">
        <v>77</v>
      </c>
    </row>
    <row r="10950" spans="1:22">
      <c r="A10950" t="str">
        <f t="shared" si="2052"/>
        <v>13/11/2025</v>
      </c>
      <c r="B10950" t="str">
        <f t="shared" si="2053"/>
        <v>SAÍDA</v>
      </c>
      <c r="C10950" t="str">
        <f t="shared" si="2054"/>
        <v>PIX</v>
      </c>
      <c r="D10950" t="str">
        <f t="shared" si="2061"/>
        <v>25004</v>
      </c>
      <c r="E10950" t="str">
        <f t="shared" si="2056"/>
        <v>1</v>
      </c>
      <c r="F10950" t="str">
        <f t="shared" si="2058"/>
        <v>COM</v>
      </c>
      <c r="G10950" t="str">
        <f t="shared" si="2062"/>
        <v>JULIO GUIMARAES DOS SANTOS (977)</v>
      </c>
      <c r="H10950" t="s">
        <v>3012</v>
      </c>
      <c r="I10950" t="str">
        <f t="shared" si="2055"/>
        <v>13/11/2025</v>
      </c>
      <c r="J10950" t="str">
        <f t="shared" si="2057"/>
        <v>10/11/2025</v>
      </c>
      <c r="K10950">
        <v>45974</v>
      </c>
      <c r="N10950">
        <v>109</v>
      </c>
      <c r="O10950" t="s">
        <v>24</v>
      </c>
      <c r="Q10950">
        <v>220.88</v>
      </c>
      <c r="R10950" t="str">
        <f>"PENSE FARMA 40 (10207)"</f>
        <v>PENSE FARMA 40 (10207)</v>
      </c>
      <c r="S10950" t="s">
        <v>77</v>
      </c>
      <c r="T10950">
        <v>21748</v>
      </c>
      <c r="U10950">
        <v>25004</v>
      </c>
      <c r="V10950" t="s">
        <v>77</v>
      </c>
    </row>
    <row r="10951" spans="1:22">
      <c r="A10951" t="str">
        <f t="shared" si="2052"/>
        <v>13/11/2025</v>
      </c>
      <c r="B10951" t="str">
        <f t="shared" si="2053"/>
        <v>SAÍDA</v>
      </c>
      <c r="C10951" t="str">
        <f t="shared" si="2054"/>
        <v>PIX</v>
      </c>
      <c r="D10951" t="str">
        <f t="shared" si="2061"/>
        <v>25004</v>
      </c>
      <c r="E10951" t="str">
        <f t="shared" si="2056"/>
        <v>1</v>
      </c>
      <c r="F10951" t="str">
        <f t="shared" si="2058"/>
        <v>COM</v>
      </c>
      <c r="G10951" t="str">
        <f t="shared" si="2062"/>
        <v>JULIO GUIMARAES DOS SANTOS (977)</v>
      </c>
      <c r="H10951" t="s">
        <v>3012</v>
      </c>
      <c r="I10951" t="str">
        <f t="shared" si="2055"/>
        <v>13/11/2025</v>
      </c>
      <c r="J10951" t="str">
        <f t="shared" ref="J10951:J10982" si="2063">("10/11/2025")</f>
        <v>10/11/2025</v>
      </c>
      <c r="K10951">
        <v>45974</v>
      </c>
      <c r="N10951">
        <v>109</v>
      </c>
      <c r="O10951" t="s">
        <v>24</v>
      </c>
      <c r="Q10951">
        <v>220.88</v>
      </c>
      <c r="R10951" t="str">
        <f>"PENSE FARMA 43 (10208)"</f>
        <v>PENSE FARMA 43 (10208)</v>
      </c>
      <c r="S10951" t="s">
        <v>77</v>
      </c>
      <c r="T10951">
        <v>21748</v>
      </c>
      <c r="U10951">
        <v>25004</v>
      </c>
      <c r="V10951" t="s">
        <v>77</v>
      </c>
    </row>
    <row r="10952" spans="1:22">
      <c r="A10952" t="str">
        <f t="shared" si="2052"/>
        <v>13/11/2025</v>
      </c>
      <c r="B10952" t="str">
        <f t="shared" si="2053"/>
        <v>SAÍDA</v>
      </c>
      <c r="C10952" t="str">
        <f t="shared" si="2054"/>
        <v>PIX</v>
      </c>
      <c r="D10952" t="str">
        <f t="shared" si="2061"/>
        <v>25004</v>
      </c>
      <c r="E10952" t="str">
        <f t="shared" si="2056"/>
        <v>1</v>
      </c>
      <c r="F10952" t="str">
        <f t="shared" si="2058"/>
        <v>COM</v>
      </c>
      <c r="G10952" t="str">
        <f t="shared" si="2062"/>
        <v>JULIO GUIMARAES DOS SANTOS (977)</v>
      </c>
      <c r="H10952" t="s">
        <v>3012</v>
      </c>
      <c r="I10952" t="str">
        <f t="shared" si="2055"/>
        <v>13/11/2025</v>
      </c>
      <c r="J10952" t="str">
        <f t="shared" si="2063"/>
        <v>10/11/2025</v>
      </c>
      <c r="K10952">
        <v>45974</v>
      </c>
      <c r="N10952">
        <v>109</v>
      </c>
      <c r="O10952" t="s">
        <v>24</v>
      </c>
      <c r="Q10952">
        <v>220.88</v>
      </c>
      <c r="R10952" t="str">
        <f>"PENSE FARMA 59 (10211)"</f>
        <v>PENSE FARMA 59 (10211)</v>
      </c>
      <c r="S10952" t="s">
        <v>77</v>
      </c>
      <c r="T10952">
        <v>21748</v>
      </c>
      <c r="U10952">
        <v>25004</v>
      </c>
      <c r="V10952" t="s">
        <v>77</v>
      </c>
    </row>
    <row r="10953" spans="1:22">
      <c r="A10953" t="str">
        <f t="shared" si="2052"/>
        <v>13/11/2025</v>
      </c>
      <c r="B10953" t="str">
        <f t="shared" si="2053"/>
        <v>SAÍDA</v>
      </c>
      <c r="C10953" t="str">
        <f t="shared" si="2054"/>
        <v>PIX</v>
      </c>
      <c r="D10953" t="str">
        <f t="shared" si="2061"/>
        <v>25004</v>
      </c>
      <c r="E10953" t="str">
        <f t="shared" si="2056"/>
        <v>1</v>
      </c>
      <c r="F10953" t="str">
        <f t="shared" si="2058"/>
        <v>COM</v>
      </c>
      <c r="G10953" t="str">
        <f t="shared" si="2062"/>
        <v>JULIO GUIMARAES DOS SANTOS (977)</v>
      </c>
      <c r="H10953" t="s">
        <v>3012</v>
      </c>
      <c r="I10953" t="str">
        <f t="shared" si="2055"/>
        <v>13/11/2025</v>
      </c>
      <c r="J10953" t="str">
        <f t="shared" si="2063"/>
        <v>10/11/2025</v>
      </c>
      <c r="K10953">
        <v>45974</v>
      </c>
      <c r="N10953">
        <v>109</v>
      </c>
      <c r="O10953" t="s">
        <v>24</v>
      </c>
      <c r="Q10953">
        <v>220.61</v>
      </c>
      <c r="R10953" t="str">
        <f>"PENSE FARMA DARK STORE 361 (10212)"</f>
        <v>PENSE FARMA DARK STORE 361 (10212)</v>
      </c>
      <c r="S10953" t="s">
        <v>77</v>
      </c>
      <c r="T10953">
        <v>21748</v>
      </c>
      <c r="U10953">
        <v>25004</v>
      </c>
      <c r="V10953" t="s">
        <v>77</v>
      </c>
    </row>
    <row r="10954" spans="1:22">
      <c r="A10954" t="str">
        <f t="shared" si="2052"/>
        <v>13/11/2025</v>
      </c>
      <c r="B10954" t="str">
        <f t="shared" si="2053"/>
        <v>SAÍDA</v>
      </c>
      <c r="C10954" t="str">
        <f t="shared" si="2054"/>
        <v>PIX</v>
      </c>
      <c r="D10954" t="str">
        <f t="shared" ref="D10954:D10960" si="2064">"25006"</f>
        <v>25006</v>
      </c>
      <c r="E10954" t="str">
        <f t="shared" si="2056"/>
        <v>1</v>
      </c>
      <c r="F10954" t="str">
        <f t="shared" si="2058"/>
        <v>COM</v>
      </c>
      <c r="G10954" t="str">
        <f t="shared" ref="G10954:G10960" si="2065">"RAFAEL PEDROSO DE CAMARA (975)"</f>
        <v>RAFAEL PEDROSO DE CAMARA (975)</v>
      </c>
      <c r="H10954" t="str">
        <f>"Serv.Prest. 03/11/2025 a 09/11/2025 - PIX: CELULAR - CHAVE: (11) 99270-3082"</f>
        <v>Serv.Prest. 03/11/2025 a 09/11/2025 - PIX: CELULAR - CHAVE: (11) 99270-3082</v>
      </c>
      <c r="I10954" t="str">
        <f t="shared" si="2055"/>
        <v>13/11/2025</v>
      </c>
      <c r="J10954" t="str">
        <f t="shared" si="2063"/>
        <v>10/11/2025</v>
      </c>
      <c r="K10954" t="str">
        <f>("13/11/2025")</f>
        <v>13/11/2025</v>
      </c>
      <c r="L10954">
        <v>1375</v>
      </c>
      <c r="M10954">
        <v>1375</v>
      </c>
      <c r="N10954">
        <v>109</v>
      </c>
      <c r="O10954" t="str">
        <f>"PAGAMENTO DE ENTREGADORES"</f>
        <v>PAGAMENTO DE ENTREGADORES</v>
      </c>
      <c r="P10954">
        <v>1375</v>
      </c>
      <c r="S10954" t="str">
        <f>"BANCO C6 (149)"</f>
        <v>BANCO C6 (149)</v>
      </c>
      <c r="T10954">
        <v>21749</v>
      </c>
      <c r="U10954">
        <v>25006</v>
      </c>
      <c r="V10954" t="s">
        <v>77</v>
      </c>
    </row>
    <row r="10955" spans="1:22">
      <c r="A10955" t="str">
        <f t="shared" si="2052"/>
        <v>13/11/2025</v>
      </c>
      <c r="B10955" t="str">
        <f t="shared" si="2053"/>
        <v>SAÍDA</v>
      </c>
      <c r="C10955" t="str">
        <f t="shared" si="2054"/>
        <v>PIX</v>
      </c>
      <c r="D10955" t="str">
        <f t="shared" si="2064"/>
        <v>25006</v>
      </c>
      <c r="E10955" t="str">
        <f t="shared" si="2056"/>
        <v>1</v>
      </c>
      <c r="F10955" t="str">
        <f t="shared" si="2058"/>
        <v>COM</v>
      </c>
      <c r="G10955" t="str">
        <f t="shared" si="2065"/>
        <v>RAFAEL PEDROSO DE CAMARA (975)</v>
      </c>
      <c r="H10955" t="s">
        <v>3013</v>
      </c>
      <c r="I10955" t="str">
        <f t="shared" si="2055"/>
        <v>13/11/2025</v>
      </c>
      <c r="J10955" t="str">
        <f t="shared" si="2063"/>
        <v>10/11/2025</v>
      </c>
      <c r="K10955">
        <v>45974</v>
      </c>
      <c r="N10955">
        <v>109</v>
      </c>
      <c r="O10955" t="s">
        <v>24</v>
      </c>
      <c r="Q10955">
        <v>196.48</v>
      </c>
      <c r="R10955" t="str">
        <f>"PENSE FARMA 20 (10203)"</f>
        <v>PENSE FARMA 20 (10203)</v>
      </c>
      <c r="S10955" t="s">
        <v>77</v>
      </c>
      <c r="T10955">
        <v>21749</v>
      </c>
      <c r="U10955">
        <v>25006</v>
      </c>
      <c r="V10955" t="s">
        <v>77</v>
      </c>
    </row>
    <row r="10956" spans="1:22">
      <c r="A10956" t="str">
        <f t="shared" si="2052"/>
        <v>13/11/2025</v>
      </c>
      <c r="B10956" t="str">
        <f t="shared" si="2053"/>
        <v>SAÍDA</v>
      </c>
      <c r="C10956" t="str">
        <f t="shared" si="2054"/>
        <v>PIX</v>
      </c>
      <c r="D10956" t="str">
        <f t="shared" si="2064"/>
        <v>25006</v>
      </c>
      <c r="E10956" t="str">
        <f t="shared" si="2056"/>
        <v>1</v>
      </c>
      <c r="F10956" t="str">
        <f t="shared" si="2058"/>
        <v>COM</v>
      </c>
      <c r="G10956" t="str">
        <f t="shared" si="2065"/>
        <v>RAFAEL PEDROSO DE CAMARA (975)</v>
      </c>
      <c r="H10956" t="s">
        <v>3013</v>
      </c>
      <c r="I10956" t="str">
        <f t="shared" si="2055"/>
        <v>13/11/2025</v>
      </c>
      <c r="J10956" t="str">
        <f t="shared" si="2063"/>
        <v>10/11/2025</v>
      </c>
      <c r="K10956">
        <v>45974</v>
      </c>
      <c r="N10956">
        <v>109</v>
      </c>
      <c r="O10956" t="s">
        <v>24</v>
      </c>
      <c r="Q10956">
        <v>196.49</v>
      </c>
      <c r="R10956" t="str">
        <f>"PENSE FARMA 36 (10206)"</f>
        <v>PENSE FARMA 36 (10206)</v>
      </c>
      <c r="S10956" t="s">
        <v>77</v>
      </c>
      <c r="T10956">
        <v>21749</v>
      </c>
      <c r="U10956">
        <v>25006</v>
      </c>
      <c r="V10956" t="s">
        <v>77</v>
      </c>
    </row>
    <row r="10957" spans="1:22">
      <c r="A10957" t="str">
        <f t="shared" si="2052"/>
        <v>13/11/2025</v>
      </c>
      <c r="B10957" t="str">
        <f t="shared" si="2053"/>
        <v>SAÍDA</v>
      </c>
      <c r="C10957" t="str">
        <f t="shared" si="2054"/>
        <v>PIX</v>
      </c>
      <c r="D10957" t="str">
        <f t="shared" si="2064"/>
        <v>25006</v>
      </c>
      <c r="E10957" t="str">
        <f t="shared" si="2056"/>
        <v>1</v>
      </c>
      <c r="F10957" t="str">
        <f t="shared" si="2058"/>
        <v>COM</v>
      </c>
      <c r="G10957" t="str">
        <f t="shared" si="2065"/>
        <v>RAFAEL PEDROSO DE CAMARA (975)</v>
      </c>
      <c r="H10957" t="s">
        <v>3013</v>
      </c>
      <c r="I10957" t="str">
        <f t="shared" si="2055"/>
        <v>13/11/2025</v>
      </c>
      <c r="J10957" t="str">
        <f t="shared" si="2063"/>
        <v>10/11/2025</v>
      </c>
      <c r="K10957">
        <v>45974</v>
      </c>
      <c r="N10957">
        <v>109</v>
      </c>
      <c r="O10957" t="s">
        <v>24</v>
      </c>
      <c r="Q10957">
        <v>196.49</v>
      </c>
      <c r="R10957" t="str">
        <f>"PENSE FARMA 40 (10207)"</f>
        <v>PENSE FARMA 40 (10207)</v>
      </c>
      <c r="S10957" t="s">
        <v>77</v>
      </c>
      <c r="T10957">
        <v>21749</v>
      </c>
      <c r="U10957">
        <v>25006</v>
      </c>
      <c r="V10957" t="s">
        <v>77</v>
      </c>
    </row>
    <row r="10958" spans="1:22">
      <c r="A10958" t="str">
        <f t="shared" si="2052"/>
        <v>13/11/2025</v>
      </c>
      <c r="B10958" t="str">
        <f t="shared" si="2053"/>
        <v>SAÍDA</v>
      </c>
      <c r="C10958" t="str">
        <f t="shared" si="2054"/>
        <v>PIX</v>
      </c>
      <c r="D10958" t="str">
        <f t="shared" si="2064"/>
        <v>25006</v>
      </c>
      <c r="E10958" t="str">
        <f t="shared" si="2056"/>
        <v>1</v>
      </c>
      <c r="F10958" t="str">
        <f t="shared" si="2058"/>
        <v>COM</v>
      </c>
      <c r="G10958" t="str">
        <f t="shared" si="2065"/>
        <v>RAFAEL PEDROSO DE CAMARA (975)</v>
      </c>
      <c r="H10958" t="s">
        <v>3013</v>
      </c>
      <c r="I10958" t="str">
        <f t="shared" si="2055"/>
        <v>13/11/2025</v>
      </c>
      <c r="J10958" t="str">
        <f t="shared" si="2063"/>
        <v>10/11/2025</v>
      </c>
      <c r="K10958">
        <v>45974</v>
      </c>
      <c r="N10958">
        <v>109</v>
      </c>
      <c r="O10958" t="s">
        <v>24</v>
      </c>
      <c r="Q10958">
        <v>196.49</v>
      </c>
      <c r="R10958" t="str">
        <f>"PENSE FARMA 43 (10208)"</f>
        <v>PENSE FARMA 43 (10208)</v>
      </c>
      <c r="S10958" t="s">
        <v>77</v>
      </c>
      <c r="T10958">
        <v>21749</v>
      </c>
      <c r="U10958">
        <v>25006</v>
      </c>
      <c r="V10958" t="s">
        <v>77</v>
      </c>
    </row>
    <row r="10959" spans="1:22">
      <c r="A10959" t="str">
        <f t="shared" si="2052"/>
        <v>13/11/2025</v>
      </c>
      <c r="B10959" t="str">
        <f t="shared" si="2053"/>
        <v>SAÍDA</v>
      </c>
      <c r="C10959" t="str">
        <f t="shared" si="2054"/>
        <v>PIX</v>
      </c>
      <c r="D10959" t="str">
        <f t="shared" si="2064"/>
        <v>25006</v>
      </c>
      <c r="E10959" t="str">
        <f t="shared" si="2056"/>
        <v>1</v>
      </c>
      <c r="F10959" t="str">
        <f t="shared" si="2058"/>
        <v>COM</v>
      </c>
      <c r="G10959" t="str">
        <f t="shared" si="2065"/>
        <v>RAFAEL PEDROSO DE CAMARA (975)</v>
      </c>
      <c r="H10959" t="s">
        <v>3013</v>
      </c>
      <c r="I10959" t="str">
        <f t="shared" si="2055"/>
        <v>13/11/2025</v>
      </c>
      <c r="J10959" t="str">
        <f t="shared" si="2063"/>
        <v>10/11/2025</v>
      </c>
      <c r="K10959">
        <v>45974</v>
      </c>
      <c r="N10959">
        <v>109</v>
      </c>
      <c r="O10959" t="s">
        <v>24</v>
      </c>
      <c r="Q10959">
        <v>392.84</v>
      </c>
      <c r="R10959" t="str">
        <f>"PENSE FARMA 59 (10211)"</f>
        <v>PENSE FARMA 59 (10211)</v>
      </c>
      <c r="S10959" t="s">
        <v>77</v>
      </c>
      <c r="T10959">
        <v>21749</v>
      </c>
      <c r="U10959">
        <v>25006</v>
      </c>
      <c r="V10959" t="s">
        <v>77</v>
      </c>
    </row>
    <row r="10960" spans="1:22">
      <c r="A10960" t="str">
        <f t="shared" si="2052"/>
        <v>13/11/2025</v>
      </c>
      <c r="B10960" t="str">
        <f t="shared" si="2053"/>
        <v>SAÍDA</v>
      </c>
      <c r="C10960" t="str">
        <f t="shared" si="2054"/>
        <v>PIX</v>
      </c>
      <c r="D10960" t="str">
        <f t="shared" si="2064"/>
        <v>25006</v>
      </c>
      <c r="E10960" t="str">
        <f t="shared" si="2056"/>
        <v>1</v>
      </c>
      <c r="F10960" t="str">
        <f t="shared" si="2058"/>
        <v>COM</v>
      </c>
      <c r="G10960" t="str">
        <f t="shared" si="2065"/>
        <v>RAFAEL PEDROSO DE CAMARA (975)</v>
      </c>
      <c r="H10960" t="s">
        <v>3013</v>
      </c>
      <c r="I10960" t="str">
        <f t="shared" si="2055"/>
        <v>13/11/2025</v>
      </c>
      <c r="J10960" t="str">
        <f t="shared" si="2063"/>
        <v>10/11/2025</v>
      </c>
      <c r="K10960">
        <v>45974</v>
      </c>
      <c r="N10960">
        <v>109</v>
      </c>
      <c r="O10960" t="s">
        <v>24</v>
      </c>
      <c r="Q10960">
        <v>196.21</v>
      </c>
      <c r="R10960" t="str">
        <f>"PENSE FARMA DARK STORE 361 (10212)"</f>
        <v>PENSE FARMA DARK STORE 361 (10212)</v>
      </c>
      <c r="S10960" t="s">
        <v>77</v>
      </c>
      <c r="T10960">
        <v>21749</v>
      </c>
      <c r="U10960">
        <v>25006</v>
      </c>
      <c r="V10960" t="s">
        <v>77</v>
      </c>
    </row>
    <row r="10961" spans="1:22">
      <c r="A10961" t="str">
        <f t="shared" si="2052"/>
        <v>13/11/2025</v>
      </c>
      <c r="B10961" t="str">
        <f t="shared" si="2053"/>
        <v>SAÍDA</v>
      </c>
      <c r="C10961" t="str">
        <f t="shared" si="2054"/>
        <v>PIX</v>
      </c>
      <c r="D10961" t="str">
        <f>"25008"</f>
        <v>25008</v>
      </c>
      <c r="E10961" t="str">
        <f t="shared" si="2056"/>
        <v>1</v>
      </c>
      <c r="F10961" t="str">
        <f t="shared" si="2058"/>
        <v>COM</v>
      </c>
      <c r="G10961" t="str">
        <f>"DEIVID FERNANDES COSTA (828)"</f>
        <v>DEIVID FERNANDES COSTA (828)</v>
      </c>
      <c r="H10961" t="str">
        <f>"Serv.Prest. 03/11/2025 a 09/11/2025 - PIX: CELULAR - CHAVE: (62) 99550-3226"</f>
        <v>Serv.Prest. 03/11/2025 a 09/11/2025 - PIX: CELULAR - CHAVE: (62) 99550-3226</v>
      </c>
      <c r="I10961" t="str">
        <f t="shared" si="2055"/>
        <v>13/11/2025</v>
      </c>
      <c r="J10961" t="str">
        <f t="shared" si="2063"/>
        <v>10/11/2025</v>
      </c>
      <c r="K10961" t="str">
        <f>("13/11/2025")</f>
        <v>13/11/2025</v>
      </c>
      <c r="L10961">
        <v>686.8</v>
      </c>
      <c r="M10961">
        <v>686.8</v>
      </c>
      <c r="N10961">
        <v>109</v>
      </c>
      <c r="O10961" t="str">
        <f>"PAGAMENTO DE ENTREGADORES"</f>
        <v>PAGAMENTO DE ENTREGADORES</v>
      </c>
      <c r="P10961">
        <v>686.8</v>
      </c>
      <c r="S10961" t="str">
        <f>"BANCO C6 (149)"</f>
        <v>BANCO C6 (149)</v>
      </c>
      <c r="T10961">
        <v>21750</v>
      </c>
      <c r="U10961">
        <v>25008</v>
      </c>
      <c r="V10961" t="s">
        <v>77</v>
      </c>
    </row>
    <row r="10962" spans="1:22">
      <c r="A10962" t="str">
        <f t="shared" si="2052"/>
        <v>13/11/2025</v>
      </c>
      <c r="B10962" t="str">
        <f t="shared" si="2053"/>
        <v>SAÍDA</v>
      </c>
      <c r="C10962" t="str">
        <f t="shared" si="2054"/>
        <v>PIX</v>
      </c>
      <c r="D10962" t="str">
        <f>"25008"</f>
        <v>25008</v>
      </c>
      <c r="E10962" t="str">
        <f t="shared" si="2056"/>
        <v>1</v>
      </c>
      <c r="F10962" t="str">
        <f t="shared" si="2058"/>
        <v>COM</v>
      </c>
      <c r="G10962" t="str">
        <f>"DEIVID FERNANDES COSTA (828)"</f>
        <v>DEIVID FERNANDES COSTA (828)</v>
      </c>
      <c r="H10962" t="s">
        <v>2762</v>
      </c>
      <c r="I10962" t="str">
        <f t="shared" si="2055"/>
        <v>13/11/2025</v>
      </c>
      <c r="J10962" t="str">
        <f t="shared" si="2063"/>
        <v>10/11/2025</v>
      </c>
      <c r="K10962">
        <v>45974</v>
      </c>
      <c r="N10962">
        <v>109</v>
      </c>
      <c r="O10962" t="s">
        <v>24</v>
      </c>
      <c r="Q10962">
        <v>686.8</v>
      </c>
      <c r="R10962" t="str">
        <f>"BRASIL FARMA (10173)"</f>
        <v>BRASIL FARMA (10173)</v>
      </c>
      <c r="S10962" t="s">
        <v>77</v>
      </c>
      <c r="T10962">
        <v>21750</v>
      </c>
      <c r="U10962">
        <v>25008</v>
      </c>
      <c r="V10962" t="s">
        <v>77</v>
      </c>
    </row>
    <row r="10963" spans="1:22">
      <c r="A10963" t="str">
        <f t="shared" si="2052"/>
        <v>13/11/2025</v>
      </c>
      <c r="B10963" t="str">
        <f t="shared" si="2053"/>
        <v>SAÍDA</v>
      </c>
      <c r="C10963" t="str">
        <f t="shared" si="2054"/>
        <v>PIX</v>
      </c>
      <c r="D10963" t="str">
        <f>"25009"</f>
        <v>25009</v>
      </c>
      <c r="E10963" t="str">
        <f t="shared" si="2056"/>
        <v>1</v>
      </c>
      <c r="F10963" t="str">
        <f t="shared" si="2058"/>
        <v>COM</v>
      </c>
      <c r="G10963" t="str">
        <f>"MAYKON LOPES DE MENEZES (781)"</f>
        <v>MAYKON LOPES DE MENEZES (781)</v>
      </c>
      <c r="H10963" t="str">
        <f>"Serv.Prest. 03/11/2025 a 09/11/2025 - PIX: CPF - CHAVE: 012.600.851-55"</f>
        <v>Serv.Prest. 03/11/2025 a 09/11/2025 - PIX: CPF - CHAVE: 012.600.851-55</v>
      </c>
      <c r="I10963" t="str">
        <f t="shared" si="2055"/>
        <v>13/11/2025</v>
      </c>
      <c r="J10963" t="str">
        <f t="shared" si="2063"/>
        <v>10/11/2025</v>
      </c>
      <c r="K10963" t="str">
        <f>("13/11/2025")</f>
        <v>13/11/2025</v>
      </c>
      <c r="L10963">
        <v>586.9</v>
      </c>
      <c r="M10963">
        <v>586.9</v>
      </c>
      <c r="N10963">
        <v>109</v>
      </c>
      <c r="O10963" t="str">
        <f>"PAGAMENTO DE ENTREGADORES"</f>
        <v>PAGAMENTO DE ENTREGADORES</v>
      </c>
      <c r="P10963">
        <v>586.9</v>
      </c>
      <c r="S10963" t="str">
        <f>"BANCO C6 (149)"</f>
        <v>BANCO C6 (149)</v>
      </c>
      <c r="T10963">
        <v>21751</v>
      </c>
      <c r="U10963">
        <v>25009</v>
      </c>
      <c r="V10963" t="s">
        <v>77</v>
      </c>
    </row>
    <row r="10964" spans="1:22">
      <c r="A10964" t="str">
        <f t="shared" si="2052"/>
        <v>13/11/2025</v>
      </c>
      <c r="B10964" t="str">
        <f t="shared" si="2053"/>
        <v>SAÍDA</v>
      </c>
      <c r="C10964" t="str">
        <f t="shared" si="2054"/>
        <v>PIX</v>
      </c>
      <c r="D10964" t="str">
        <f>"25009"</f>
        <v>25009</v>
      </c>
      <c r="E10964" t="str">
        <f t="shared" si="2056"/>
        <v>1</v>
      </c>
      <c r="F10964" t="str">
        <f t="shared" si="2058"/>
        <v>COM</v>
      </c>
      <c r="G10964" t="str">
        <f>"MAYKON LOPES DE MENEZES (781)"</f>
        <v>MAYKON LOPES DE MENEZES (781)</v>
      </c>
      <c r="H10964" t="s">
        <v>2786</v>
      </c>
      <c r="I10964" t="str">
        <f t="shared" si="2055"/>
        <v>13/11/2025</v>
      </c>
      <c r="J10964" t="str">
        <f t="shared" si="2063"/>
        <v>10/11/2025</v>
      </c>
      <c r="K10964">
        <v>45974</v>
      </c>
      <c r="N10964">
        <v>109</v>
      </c>
      <c r="O10964" t="s">
        <v>24</v>
      </c>
      <c r="Q10964">
        <v>586.9</v>
      </c>
      <c r="R10964" t="str">
        <f>"BRASIL FARMA (10173)"</f>
        <v>BRASIL FARMA (10173)</v>
      </c>
      <c r="S10964" t="s">
        <v>77</v>
      </c>
      <c r="T10964">
        <v>21751</v>
      </c>
      <c r="U10964">
        <v>25009</v>
      </c>
      <c r="V10964" t="s">
        <v>77</v>
      </c>
    </row>
    <row r="10965" spans="1:22">
      <c r="A10965" t="str">
        <f t="shared" si="2052"/>
        <v>13/11/2025</v>
      </c>
      <c r="B10965" t="str">
        <f t="shared" si="2053"/>
        <v>SAÍDA</v>
      </c>
      <c r="C10965" t="str">
        <f t="shared" si="2054"/>
        <v>PIX</v>
      </c>
      <c r="D10965" t="str">
        <f>"25011"</f>
        <v>25011</v>
      </c>
      <c r="E10965" t="str">
        <f t="shared" si="2056"/>
        <v>1</v>
      </c>
      <c r="F10965" t="str">
        <f t="shared" si="2058"/>
        <v>COM</v>
      </c>
      <c r="G10965" t="str">
        <f>"EDUARDO COSTA DA SILVA (721)"</f>
        <v>EDUARDO COSTA DA SILVA (721)</v>
      </c>
      <c r="H10965" t="str">
        <f>"Serv.Prest. 03/11/2025 a 09/11/2025 - PIX: CELULAR - CHAVE: (11) 95552-9905"</f>
        <v>Serv.Prest. 03/11/2025 a 09/11/2025 - PIX: CELULAR - CHAVE: (11) 95552-9905</v>
      </c>
      <c r="I10965" t="str">
        <f t="shared" si="2055"/>
        <v>13/11/2025</v>
      </c>
      <c r="J10965" t="str">
        <f t="shared" si="2063"/>
        <v>10/11/2025</v>
      </c>
      <c r="K10965" t="str">
        <f>("13/11/2025")</f>
        <v>13/11/2025</v>
      </c>
      <c r="L10965">
        <v>1063.5999999999999</v>
      </c>
      <c r="M10965">
        <v>1063.5999999999999</v>
      </c>
      <c r="N10965">
        <v>109</v>
      </c>
      <c r="O10965" t="str">
        <f>"PAGAMENTO DE ENTREGADORES"</f>
        <v>PAGAMENTO DE ENTREGADORES</v>
      </c>
      <c r="P10965">
        <v>1063.5999999999999</v>
      </c>
      <c r="S10965" t="str">
        <f>"BANCO C6 (149)"</f>
        <v>BANCO C6 (149)</v>
      </c>
      <c r="T10965">
        <v>21752</v>
      </c>
      <c r="U10965">
        <v>25011</v>
      </c>
      <c r="V10965" t="s">
        <v>77</v>
      </c>
    </row>
    <row r="10966" spans="1:22">
      <c r="A10966" t="str">
        <f t="shared" si="2052"/>
        <v>13/11/2025</v>
      </c>
      <c r="B10966" t="str">
        <f t="shared" si="2053"/>
        <v>SAÍDA</v>
      </c>
      <c r="C10966" t="str">
        <f t="shared" si="2054"/>
        <v>PIX</v>
      </c>
      <c r="D10966" t="str">
        <f>"25011"</f>
        <v>25011</v>
      </c>
      <c r="E10966" t="str">
        <f t="shared" si="2056"/>
        <v>1</v>
      </c>
      <c r="F10966" t="str">
        <f t="shared" si="2058"/>
        <v>COM</v>
      </c>
      <c r="G10966" t="str">
        <f>"EDUARDO COSTA DA SILVA (721)"</f>
        <v>EDUARDO COSTA DA SILVA (721)</v>
      </c>
      <c r="H10966" t="s">
        <v>2827</v>
      </c>
      <c r="I10966" t="str">
        <f t="shared" si="2055"/>
        <v>13/11/2025</v>
      </c>
      <c r="J10966" t="str">
        <f t="shared" si="2063"/>
        <v>10/11/2025</v>
      </c>
      <c r="K10966">
        <v>45974</v>
      </c>
      <c r="N10966">
        <v>109</v>
      </c>
      <c r="O10966" t="s">
        <v>24</v>
      </c>
      <c r="Q10966">
        <v>1063.5999999999999</v>
      </c>
      <c r="R10966" t="str">
        <f>"DROGARIA AGAPEAMA (10167)"</f>
        <v>DROGARIA AGAPEAMA (10167)</v>
      </c>
      <c r="S10966" t="s">
        <v>77</v>
      </c>
      <c r="T10966">
        <v>21752</v>
      </c>
      <c r="U10966">
        <v>25011</v>
      </c>
      <c r="V10966" t="s">
        <v>77</v>
      </c>
    </row>
    <row r="10967" spans="1:22">
      <c r="A10967" t="str">
        <f t="shared" si="2052"/>
        <v>13/11/2025</v>
      </c>
      <c r="B10967" t="str">
        <f t="shared" si="2053"/>
        <v>SAÍDA</v>
      </c>
      <c r="C10967" t="str">
        <f t="shared" si="2054"/>
        <v>PIX</v>
      </c>
      <c r="D10967" t="str">
        <f>"25012"</f>
        <v>25012</v>
      </c>
      <c r="E10967" t="str">
        <f t="shared" si="2056"/>
        <v>1</v>
      </c>
      <c r="F10967" t="str">
        <f t="shared" si="2058"/>
        <v>COM</v>
      </c>
      <c r="G10967" t="str">
        <f>"GUILHERME DA SILVA GOMES (901)"</f>
        <v>GUILHERME DA SILVA GOMES (901)</v>
      </c>
      <c r="H10967" t="str">
        <f>"Serv.Prest. 03/11/2025 a 09/11/2025 - PIX: CPF - CHAVE: 505.341.528-56"</f>
        <v>Serv.Prest. 03/11/2025 a 09/11/2025 - PIX: CPF - CHAVE: 505.341.528-56</v>
      </c>
      <c r="I10967" t="str">
        <f t="shared" si="2055"/>
        <v>13/11/2025</v>
      </c>
      <c r="J10967" t="str">
        <f t="shared" si="2063"/>
        <v>10/11/2025</v>
      </c>
      <c r="K10967" t="str">
        <f>("13/11/2025")</f>
        <v>13/11/2025</v>
      </c>
      <c r="L10967">
        <v>1069.9000000000001</v>
      </c>
      <c r="M10967">
        <v>1069.9000000000001</v>
      </c>
      <c r="N10967">
        <v>109</v>
      </c>
      <c r="O10967" t="str">
        <f>"PAGAMENTO DE ENTREGADORES"</f>
        <v>PAGAMENTO DE ENTREGADORES</v>
      </c>
      <c r="P10967">
        <v>1069.9000000000001</v>
      </c>
      <c r="S10967" t="str">
        <f>"BANCO C6 (149)"</f>
        <v>BANCO C6 (149)</v>
      </c>
      <c r="T10967">
        <v>21753</v>
      </c>
      <c r="U10967">
        <v>25012</v>
      </c>
      <c r="V10967" t="s">
        <v>77</v>
      </c>
    </row>
    <row r="10968" spans="1:22">
      <c r="A10968" t="str">
        <f t="shared" si="2052"/>
        <v>13/11/2025</v>
      </c>
      <c r="B10968" t="str">
        <f t="shared" si="2053"/>
        <v>SAÍDA</v>
      </c>
      <c r="C10968" t="str">
        <f t="shared" si="2054"/>
        <v>PIX</v>
      </c>
      <c r="D10968" t="str">
        <f>"25012"</f>
        <v>25012</v>
      </c>
      <c r="E10968" t="str">
        <f t="shared" si="2056"/>
        <v>1</v>
      </c>
      <c r="F10968" t="str">
        <f t="shared" si="2058"/>
        <v>COM</v>
      </c>
      <c r="G10968" t="str">
        <f>"GUILHERME DA SILVA GOMES (901)"</f>
        <v>GUILHERME DA SILVA GOMES (901)</v>
      </c>
      <c r="H10968" t="s">
        <v>2842</v>
      </c>
      <c r="I10968" t="str">
        <f t="shared" si="2055"/>
        <v>13/11/2025</v>
      </c>
      <c r="J10968" t="str">
        <f t="shared" si="2063"/>
        <v>10/11/2025</v>
      </c>
      <c r="K10968">
        <v>45974</v>
      </c>
      <c r="N10968">
        <v>109</v>
      </c>
      <c r="O10968" t="s">
        <v>24</v>
      </c>
      <c r="Q10968">
        <v>1069.9000000000001</v>
      </c>
      <c r="R10968" t="str">
        <f>"DROGARIA AGAPEAMA (10167)"</f>
        <v>DROGARIA AGAPEAMA (10167)</v>
      </c>
      <c r="S10968" t="s">
        <v>77</v>
      </c>
      <c r="T10968">
        <v>21753</v>
      </c>
      <c r="U10968">
        <v>25012</v>
      </c>
      <c r="V10968" t="s">
        <v>77</v>
      </c>
    </row>
    <row r="10969" spans="1:22">
      <c r="A10969" t="str">
        <f t="shared" si="2052"/>
        <v>13/11/2025</v>
      </c>
      <c r="B10969" t="str">
        <f t="shared" si="2053"/>
        <v>SAÍDA</v>
      </c>
      <c r="C10969" t="str">
        <f t="shared" si="2054"/>
        <v>PIX</v>
      </c>
      <c r="D10969" t="str">
        <f>"25013"</f>
        <v>25013</v>
      </c>
      <c r="E10969" t="str">
        <f t="shared" si="2056"/>
        <v>1</v>
      </c>
      <c r="F10969" t="str">
        <f t="shared" si="2058"/>
        <v>COM</v>
      </c>
      <c r="G10969" t="str">
        <f>"WESLEY RICARDO DE OLIVEIRA (722)"</f>
        <v>WESLEY RICARDO DE OLIVEIRA (722)</v>
      </c>
      <c r="H10969" t="str">
        <f>"Serv.Prest. 03/11/2025 a 09/11/2025 - PIX: CELULAR - CHAVE: (11) 91214-6176"</f>
        <v>Serv.Prest. 03/11/2025 a 09/11/2025 - PIX: CELULAR - CHAVE: (11) 91214-6176</v>
      </c>
      <c r="I10969" t="str">
        <f t="shared" si="2055"/>
        <v>13/11/2025</v>
      </c>
      <c r="J10969" t="str">
        <f t="shared" si="2063"/>
        <v>10/11/2025</v>
      </c>
      <c r="K10969" t="str">
        <f>("13/11/2025")</f>
        <v>13/11/2025</v>
      </c>
      <c r="L10969">
        <v>937.6</v>
      </c>
      <c r="M10969">
        <v>937.6</v>
      </c>
      <c r="N10969">
        <v>109</v>
      </c>
      <c r="O10969" t="str">
        <f>"PAGAMENTO DE ENTREGADORES"</f>
        <v>PAGAMENTO DE ENTREGADORES</v>
      </c>
      <c r="P10969">
        <v>937.6</v>
      </c>
      <c r="S10969" t="str">
        <f>"BANCO C6 (149)"</f>
        <v>BANCO C6 (149)</v>
      </c>
      <c r="T10969">
        <v>21754</v>
      </c>
      <c r="U10969">
        <v>25013</v>
      </c>
      <c r="V10969" t="s">
        <v>77</v>
      </c>
    </row>
    <row r="10970" spans="1:22">
      <c r="A10970" t="str">
        <f t="shared" si="2052"/>
        <v>13/11/2025</v>
      </c>
      <c r="B10970" t="str">
        <f t="shared" si="2053"/>
        <v>SAÍDA</v>
      </c>
      <c r="C10970" t="str">
        <f t="shared" si="2054"/>
        <v>PIX</v>
      </c>
      <c r="D10970" t="str">
        <f>"25013"</f>
        <v>25013</v>
      </c>
      <c r="E10970" t="str">
        <f t="shared" si="2056"/>
        <v>1</v>
      </c>
      <c r="F10970" t="str">
        <f t="shared" si="2058"/>
        <v>COM</v>
      </c>
      <c r="G10970" t="str">
        <f>"WESLEY RICARDO DE OLIVEIRA (722)"</f>
        <v>WESLEY RICARDO DE OLIVEIRA (722)</v>
      </c>
      <c r="H10970" t="s">
        <v>2907</v>
      </c>
      <c r="I10970" t="str">
        <f t="shared" si="2055"/>
        <v>13/11/2025</v>
      </c>
      <c r="J10970" t="str">
        <f t="shared" si="2063"/>
        <v>10/11/2025</v>
      </c>
      <c r="K10970">
        <v>45974</v>
      </c>
      <c r="N10970">
        <v>109</v>
      </c>
      <c r="O10970" t="s">
        <v>24</v>
      </c>
      <c r="Q10970">
        <v>937.6</v>
      </c>
      <c r="R10970" t="str">
        <f>"DROGARIA AGAPEAMA (10167)"</f>
        <v>DROGARIA AGAPEAMA (10167)</v>
      </c>
      <c r="S10970" t="s">
        <v>77</v>
      </c>
      <c r="T10970">
        <v>21754</v>
      </c>
      <c r="U10970">
        <v>25013</v>
      </c>
      <c r="V10970" t="s">
        <v>77</v>
      </c>
    </row>
    <row r="10971" spans="1:22">
      <c r="A10971" t="str">
        <f t="shared" si="2052"/>
        <v>13/11/2025</v>
      </c>
      <c r="B10971" t="str">
        <f t="shared" si="2053"/>
        <v>SAÍDA</v>
      </c>
      <c r="C10971" t="str">
        <f t="shared" si="2054"/>
        <v>PIX</v>
      </c>
      <c r="D10971" t="str">
        <f>"25015"</f>
        <v>25015</v>
      </c>
      <c r="E10971" t="str">
        <f t="shared" si="2056"/>
        <v>1</v>
      </c>
      <c r="F10971" t="str">
        <f t="shared" si="2058"/>
        <v>COM</v>
      </c>
      <c r="G10971" t="str">
        <f>"ALEXSANDRO HENRIQUE FERREIRA (808)"</f>
        <v>ALEXSANDRO HENRIQUE FERREIRA (808)</v>
      </c>
      <c r="H10971" t="str">
        <f>"Serv.Prest. 03/11/2025 a 09/11/2025 - PIX: CPF - CHAVE: 157.591.436-03"</f>
        <v>Serv.Prest. 03/11/2025 a 09/11/2025 - PIX: CPF - CHAVE: 157.591.436-03</v>
      </c>
      <c r="I10971" t="str">
        <f t="shared" si="2055"/>
        <v>13/11/2025</v>
      </c>
      <c r="J10971" t="str">
        <f t="shared" si="2063"/>
        <v>10/11/2025</v>
      </c>
      <c r="K10971" t="str">
        <f>("13/11/2025")</f>
        <v>13/11/2025</v>
      </c>
      <c r="L10971">
        <v>884.05</v>
      </c>
      <c r="M10971">
        <v>884.05</v>
      </c>
      <c r="N10971">
        <v>109</v>
      </c>
      <c r="O10971" t="str">
        <f>"PAGAMENTO DE ENTREGADORES"</f>
        <v>PAGAMENTO DE ENTREGADORES</v>
      </c>
      <c r="P10971">
        <v>884.05</v>
      </c>
      <c r="S10971" t="str">
        <f>"BANCO C6 (149)"</f>
        <v>BANCO C6 (149)</v>
      </c>
      <c r="T10971">
        <v>21755</v>
      </c>
      <c r="U10971">
        <v>25015</v>
      </c>
      <c r="V10971" t="s">
        <v>77</v>
      </c>
    </row>
    <row r="10972" spans="1:22">
      <c r="A10972" t="str">
        <f t="shared" si="2052"/>
        <v>13/11/2025</v>
      </c>
      <c r="B10972" t="str">
        <f t="shared" si="2053"/>
        <v>SAÍDA</v>
      </c>
      <c r="C10972" t="str">
        <f t="shared" si="2054"/>
        <v>PIX</v>
      </c>
      <c r="D10972" t="str">
        <f>"25015"</f>
        <v>25015</v>
      </c>
      <c r="E10972" t="str">
        <f t="shared" si="2056"/>
        <v>1</v>
      </c>
      <c r="F10972" t="str">
        <f t="shared" si="2058"/>
        <v>COM</v>
      </c>
      <c r="G10972" t="str">
        <f>"ALEXSANDRO HENRIQUE FERREIRA (808)"</f>
        <v>ALEXSANDRO HENRIQUE FERREIRA (808)</v>
      </c>
      <c r="H10972" t="s">
        <v>2809</v>
      </c>
      <c r="I10972" t="str">
        <f t="shared" si="2055"/>
        <v>13/11/2025</v>
      </c>
      <c r="J10972" t="str">
        <f t="shared" si="2063"/>
        <v>10/11/2025</v>
      </c>
      <c r="K10972">
        <v>45974</v>
      </c>
      <c r="N10972">
        <v>109</v>
      </c>
      <c r="O10972" t="s">
        <v>24</v>
      </c>
      <c r="Q10972">
        <v>884.05</v>
      </c>
      <c r="R10972" t="str">
        <f>"DROGARIA ANA VISCONDE DO RIO BRANCO (10182)"</f>
        <v>DROGARIA ANA VISCONDE DO RIO BRANCO (10182)</v>
      </c>
      <c r="S10972" t="s">
        <v>77</v>
      </c>
      <c r="T10972">
        <v>21755</v>
      </c>
      <c r="U10972">
        <v>25015</v>
      </c>
      <c r="V10972" t="s">
        <v>77</v>
      </c>
    </row>
    <row r="10973" spans="1:22">
      <c r="A10973" t="str">
        <f t="shared" si="2052"/>
        <v>13/11/2025</v>
      </c>
      <c r="B10973" t="str">
        <f t="shared" si="2053"/>
        <v>SAÍDA</v>
      </c>
      <c r="C10973" t="str">
        <f t="shared" si="2054"/>
        <v>PIX</v>
      </c>
      <c r="D10973" t="str">
        <f>"25016"</f>
        <v>25016</v>
      </c>
      <c r="E10973" t="str">
        <f t="shared" si="2056"/>
        <v>1</v>
      </c>
      <c r="F10973" t="str">
        <f t="shared" si="2058"/>
        <v>COM</v>
      </c>
      <c r="G10973" t="str">
        <f>"ANDERSON LUIZ SOARES (807)"</f>
        <v>ANDERSON LUIZ SOARES (807)</v>
      </c>
      <c r="H10973" t="str">
        <f>"Serv.Prest. 03/11/2025 a 09/11/2025 - PIX: CELULAR - CHAVE: (32) 99920-0416"</f>
        <v>Serv.Prest. 03/11/2025 a 09/11/2025 - PIX: CELULAR - CHAVE: (32) 99920-0416</v>
      </c>
      <c r="I10973" t="str">
        <f t="shared" si="2055"/>
        <v>13/11/2025</v>
      </c>
      <c r="J10973" t="str">
        <f t="shared" si="2063"/>
        <v>10/11/2025</v>
      </c>
      <c r="K10973" t="str">
        <f>("13/11/2025")</f>
        <v>13/11/2025</v>
      </c>
      <c r="L10973">
        <v>682.45</v>
      </c>
      <c r="M10973">
        <v>682.45</v>
      </c>
      <c r="N10973">
        <v>109</v>
      </c>
      <c r="O10973" t="str">
        <f>"PAGAMENTO DE ENTREGADORES"</f>
        <v>PAGAMENTO DE ENTREGADORES</v>
      </c>
      <c r="P10973">
        <v>682.45</v>
      </c>
      <c r="S10973" t="str">
        <f>"BANCO C6 (149)"</f>
        <v>BANCO C6 (149)</v>
      </c>
      <c r="T10973">
        <v>21756</v>
      </c>
      <c r="U10973">
        <v>25016</v>
      </c>
      <c r="V10973" t="s">
        <v>77</v>
      </c>
    </row>
    <row r="10974" spans="1:22">
      <c r="A10974" t="str">
        <f t="shared" si="2052"/>
        <v>13/11/2025</v>
      </c>
      <c r="B10974" t="str">
        <f t="shared" si="2053"/>
        <v>SAÍDA</v>
      </c>
      <c r="C10974" t="str">
        <f t="shared" si="2054"/>
        <v>PIX</v>
      </c>
      <c r="D10974" t="str">
        <f>"25016"</f>
        <v>25016</v>
      </c>
      <c r="E10974" t="str">
        <f t="shared" si="2056"/>
        <v>1</v>
      </c>
      <c r="F10974" t="str">
        <f t="shared" si="2058"/>
        <v>COM</v>
      </c>
      <c r="G10974" t="str">
        <f>"ANDERSON LUIZ SOARES (807)"</f>
        <v>ANDERSON LUIZ SOARES (807)</v>
      </c>
      <c r="H10974" t="s">
        <v>2811</v>
      </c>
      <c r="I10974" t="str">
        <f t="shared" si="2055"/>
        <v>13/11/2025</v>
      </c>
      <c r="J10974" t="str">
        <f t="shared" si="2063"/>
        <v>10/11/2025</v>
      </c>
      <c r="K10974">
        <v>45974</v>
      </c>
      <c r="N10974">
        <v>109</v>
      </c>
      <c r="O10974" t="s">
        <v>24</v>
      </c>
      <c r="Q10974">
        <v>682.45</v>
      </c>
      <c r="R10974" t="str">
        <f>"DROGARIA ANA VISCONDE DO RIO BRANCO (10182)"</f>
        <v>DROGARIA ANA VISCONDE DO RIO BRANCO (10182)</v>
      </c>
      <c r="S10974" t="s">
        <v>77</v>
      </c>
      <c r="T10974">
        <v>21756</v>
      </c>
      <c r="U10974">
        <v>25016</v>
      </c>
      <c r="V10974" t="s">
        <v>77</v>
      </c>
    </row>
    <row r="10975" spans="1:22">
      <c r="A10975" t="str">
        <f t="shared" ref="A10975:A11038" si="2066">("13/11/2025")</f>
        <v>13/11/2025</v>
      </c>
      <c r="B10975" t="str">
        <f t="shared" si="2053"/>
        <v>SAÍDA</v>
      </c>
      <c r="C10975" t="str">
        <f t="shared" si="2054"/>
        <v>PIX</v>
      </c>
      <c r="D10975" t="str">
        <f>"25017"</f>
        <v>25017</v>
      </c>
      <c r="E10975" t="str">
        <f t="shared" si="2056"/>
        <v>1</v>
      </c>
      <c r="F10975" t="str">
        <f t="shared" si="2058"/>
        <v>COM</v>
      </c>
      <c r="G10975" t="str">
        <f>"BRENO VIANA MONTEIRO RODRIGUES (811)"</f>
        <v>BRENO VIANA MONTEIRO RODRIGUES (811)</v>
      </c>
      <c r="H10975" t="str">
        <f>"Serv.Prest. 03/11/2025 a 09/11/2025 - PIX: CNPJ - CHAVE: 51.676.704/0001-10"</f>
        <v>Serv.Prest. 03/11/2025 a 09/11/2025 - PIX: CNPJ - CHAVE: 51.676.704/0001-10</v>
      </c>
      <c r="I10975" t="str">
        <f t="shared" si="2055"/>
        <v>13/11/2025</v>
      </c>
      <c r="J10975" t="str">
        <f t="shared" si="2063"/>
        <v>10/11/2025</v>
      </c>
      <c r="K10975" t="str">
        <f>("13/11/2025")</f>
        <v>13/11/2025</v>
      </c>
      <c r="L10975">
        <v>682.45</v>
      </c>
      <c r="M10975">
        <v>682.45</v>
      </c>
      <c r="N10975">
        <v>109</v>
      </c>
      <c r="O10975" t="str">
        <f>"PAGAMENTO DE ENTREGADORES"</f>
        <v>PAGAMENTO DE ENTREGADORES</v>
      </c>
      <c r="P10975">
        <v>682.45</v>
      </c>
      <c r="S10975" t="str">
        <f>"BANCO C6 (149)"</f>
        <v>BANCO C6 (149)</v>
      </c>
      <c r="T10975">
        <v>21757</v>
      </c>
      <c r="U10975">
        <v>25017</v>
      </c>
      <c r="V10975" t="s">
        <v>77</v>
      </c>
    </row>
    <row r="10976" spans="1:22">
      <c r="A10976" t="str">
        <f t="shared" si="2066"/>
        <v>13/11/2025</v>
      </c>
      <c r="B10976" t="str">
        <f t="shared" ref="B10976:B11039" si="2067">"SAÍDA"</f>
        <v>SAÍDA</v>
      </c>
      <c r="C10976" t="str">
        <f t="shared" ref="C10976:C11039" si="2068">"PIX"</f>
        <v>PIX</v>
      </c>
      <c r="D10976" t="str">
        <f>"25017"</f>
        <v>25017</v>
      </c>
      <c r="E10976" t="str">
        <f t="shared" si="2056"/>
        <v>1</v>
      </c>
      <c r="F10976" t="str">
        <f t="shared" si="2058"/>
        <v>COM</v>
      </c>
      <c r="G10976" t="str">
        <f>"BRENO VIANA MONTEIRO RODRIGUES (811)"</f>
        <v>BRENO VIANA MONTEIRO RODRIGUES (811)</v>
      </c>
      <c r="H10976" t="s">
        <v>2816</v>
      </c>
      <c r="I10976" t="str">
        <f t="shared" si="2055"/>
        <v>13/11/2025</v>
      </c>
      <c r="J10976" t="str">
        <f t="shared" si="2063"/>
        <v>10/11/2025</v>
      </c>
      <c r="K10976">
        <v>45974</v>
      </c>
      <c r="N10976">
        <v>109</v>
      </c>
      <c r="O10976" t="s">
        <v>24</v>
      </c>
      <c r="Q10976">
        <v>682.45</v>
      </c>
      <c r="R10976" t="str">
        <f>"DROGARIA ANA VISCONDE DO RIO BRANCO (10182)"</f>
        <v>DROGARIA ANA VISCONDE DO RIO BRANCO (10182)</v>
      </c>
      <c r="S10976" t="s">
        <v>77</v>
      </c>
      <c r="T10976">
        <v>21757</v>
      </c>
      <c r="U10976">
        <v>25017</v>
      </c>
      <c r="V10976" t="s">
        <v>77</v>
      </c>
    </row>
    <row r="10977" spans="1:22">
      <c r="A10977" t="str">
        <f t="shared" si="2066"/>
        <v>13/11/2025</v>
      </c>
      <c r="B10977" t="str">
        <f t="shared" si="2067"/>
        <v>SAÍDA</v>
      </c>
      <c r="C10977" t="str">
        <f t="shared" si="2068"/>
        <v>PIX</v>
      </c>
      <c r="D10977" t="str">
        <f>"25018"</f>
        <v>25018</v>
      </c>
      <c r="E10977" t="str">
        <f t="shared" si="2056"/>
        <v>1</v>
      </c>
      <c r="F10977" t="str">
        <f t="shared" si="2058"/>
        <v>COM</v>
      </c>
      <c r="G10977" t="str">
        <f>"GABRIEL PACHECO DE QUEIROZ NARCISO (812)"</f>
        <v>GABRIEL PACHECO DE QUEIROZ NARCISO (812)</v>
      </c>
      <c r="H10977" t="str">
        <f>"Serv.Prest. 03/11/2025 a 09/11/2025 - PIX: CPF - CHAVE: 140.108.466-40"</f>
        <v>Serv.Prest. 03/11/2025 a 09/11/2025 - PIX: CPF - CHAVE: 140.108.466-40</v>
      </c>
      <c r="I10977" t="str">
        <f t="shared" si="2055"/>
        <v>13/11/2025</v>
      </c>
      <c r="J10977" t="str">
        <f t="shared" si="2063"/>
        <v>10/11/2025</v>
      </c>
      <c r="K10977" t="str">
        <f>("13/11/2025")</f>
        <v>13/11/2025</v>
      </c>
      <c r="L10977">
        <v>682.45</v>
      </c>
      <c r="M10977">
        <v>682.45</v>
      </c>
      <c r="N10977">
        <v>109</v>
      </c>
      <c r="O10977" t="str">
        <f>"PAGAMENTO DE ENTREGADORES"</f>
        <v>PAGAMENTO DE ENTREGADORES</v>
      </c>
      <c r="P10977">
        <v>682.45</v>
      </c>
      <c r="S10977" t="str">
        <f>"BANCO C6 (149)"</f>
        <v>BANCO C6 (149)</v>
      </c>
      <c r="T10977">
        <v>21758</v>
      </c>
      <c r="U10977">
        <v>25018</v>
      </c>
      <c r="V10977" t="s">
        <v>77</v>
      </c>
    </row>
    <row r="10978" spans="1:22">
      <c r="A10978" t="str">
        <f t="shared" si="2066"/>
        <v>13/11/2025</v>
      </c>
      <c r="B10978" t="str">
        <f t="shared" si="2067"/>
        <v>SAÍDA</v>
      </c>
      <c r="C10978" t="str">
        <f t="shared" si="2068"/>
        <v>PIX</v>
      </c>
      <c r="D10978" t="str">
        <f>"25018"</f>
        <v>25018</v>
      </c>
      <c r="E10978" t="str">
        <f t="shared" si="2056"/>
        <v>1</v>
      </c>
      <c r="F10978" t="str">
        <f t="shared" si="2058"/>
        <v>COM</v>
      </c>
      <c r="G10978" t="str">
        <f>"GABRIEL PACHECO DE QUEIROZ NARCISO (812)"</f>
        <v>GABRIEL PACHECO DE QUEIROZ NARCISO (812)</v>
      </c>
      <c r="H10978" t="s">
        <v>2838</v>
      </c>
      <c r="I10978" t="str">
        <f t="shared" si="2055"/>
        <v>13/11/2025</v>
      </c>
      <c r="J10978" t="str">
        <f t="shared" si="2063"/>
        <v>10/11/2025</v>
      </c>
      <c r="K10978">
        <v>45974</v>
      </c>
      <c r="N10978">
        <v>109</v>
      </c>
      <c r="O10978" t="s">
        <v>24</v>
      </c>
      <c r="Q10978">
        <v>682.45</v>
      </c>
      <c r="R10978" t="str">
        <f>"DROGARIA ANA VISCONDE DO RIO BRANCO (10182)"</f>
        <v>DROGARIA ANA VISCONDE DO RIO BRANCO (10182)</v>
      </c>
      <c r="S10978" t="s">
        <v>77</v>
      </c>
      <c r="T10978">
        <v>21758</v>
      </c>
      <c r="U10978">
        <v>25018</v>
      </c>
      <c r="V10978" t="s">
        <v>77</v>
      </c>
    </row>
    <row r="10979" spans="1:22">
      <c r="A10979" t="str">
        <f t="shared" si="2066"/>
        <v>13/11/2025</v>
      </c>
      <c r="B10979" t="str">
        <f t="shared" si="2067"/>
        <v>SAÍDA</v>
      </c>
      <c r="C10979" t="str">
        <f t="shared" si="2068"/>
        <v>PIX</v>
      </c>
      <c r="D10979" t="str">
        <f>"25019"</f>
        <v>25019</v>
      </c>
      <c r="E10979" t="str">
        <f t="shared" si="2056"/>
        <v>1</v>
      </c>
      <c r="F10979" t="str">
        <f t="shared" si="2058"/>
        <v>COM</v>
      </c>
      <c r="G10979" t="str">
        <f>"WILLIAM ANDRE SILVA COELLO (850)"</f>
        <v>WILLIAM ANDRE SILVA COELLO (850)</v>
      </c>
      <c r="H10979" t="str">
        <f>"Serv.Prest. 03/11/2025 a 09/11/2025 - PIX: CPF - CHAVE: 100.710.806-19"</f>
        <v>Serv.Prest. 03/11/2025 a 09/11/2025 - PIX: CPF - CHAVE: 100.710.806-19</v>
      </c>
      <c r="I10979" t="str">
        <f t="shared" si="2055"/>
        <v>13/11/2025</v>
      </c>
      <c r="J10979" t="str">
        <f t="shared" si="2063"/>
        <v>10/11/2025</v>
      </c>
      <c r="K10979" t="str">
        <f>("13/11/2025")</f>
        <v>13/11/2025</v>
      </c>
      <c r="L10979">
        <v>682.45</v>
      </c>
      <c r="M10979">
        <v>682.45</v>
      </c>
      <c r="N10979">
        <v>109</v>
      </c>
      <c r="O10979" t="str">
        <f>"PAGAMENTO DE ENTREGADORES"</f>
        <v>PAGAMENTO DE ENTREGADORES</v>
      </c>
      <c r="P10979">
        <v>682.45</v>
      </c>
      <c r="S10979" t="str">
        <f>"BANCO C6 (149)"</f>
        <v>BANCO C6 (149)</v>
      </c>
      <c r="T10979">
        <v>21759</v>
      </c>
      <c r="U10979">
        <v>25019</v>
      </c>
      <c r="V10979" t="s">
        <v>77</v>
      </c>
    </row>
    <row r="10980" spans="1:22">
      <c r="A10980" t="str">
        <f t="shared" si="2066"/>
        <v>13/11/2025</v>
      </c>
      <c r="B10980" t="str">
        <f t="shared" si="2067"/>
        <v>SAÍDA</v>
      </c>
      <c r="C10980" t="str">
        <f t="shared" si="2068"/>
        <v>PIX</v>
      </c>
      <c r="D10980" t="str">
        <f>"25019"</f>
        <v>25019</v>
      </c>
      <c r="E10980" t="str">
        <f t="shared" si="2056"/>
        <v>1</v>
      </c>
      <c r="F10980" t="str">
        <f t="shared" si="2058"/>
        <v>COM</v>
      </c>
      <c r="G10980" t="str">
        <f>"WILLIAM ANDRE SILVA COELLO (850)"</f>
        <v>WILLIAM ANDRE SILVA COELLO (850)</v>
      </c>
      <c r="H10980" t="s">
        <v>2909</v>
      </c>
      <c r="I10980" t="str">
        <f t="shared" ref="I10980:I11043" si="2069">("13/11/2025")</f>
        <v>13/11/2025</v>
      </c>
      <c r="J10980" t="str">
        <f t="shared" si="2063"/>
        <v>10/11/2025</v>
      </c>
      <c r="K10980">
        <v>45974</v>
      </c>
      <c r="N10980">
        <v>109</v>
      </c>
      <c r="O10980" t="s">
        <v>24</v>
      </c>
      <c r="Q10980">
        <v>682.45</v>
      </c>
      <c r="R10980" t="str">
        <f>"DROGARIA ANA VISCONDE DO RIO BRANCO (10182)"</f>
        <v>DROGARIA ANA VISCONDE DO RIO BRANCO (10182)</v>
      </c>
      <c r="S10980" t="s">
        <v>77</v>
      </c>
      <c r="T10980">
        <v>21759</v>
      </c>
      <c r="U10980">
        <v>25019</v>
      </c>
      <c r="V10980" t="s">
        <v>77</v>
      </c>
    </row>
    <row r="10981" spans="1:22">
      <c r="A10981" t="str">
        <f t="shared" si="2066"/>
        <v>13/11/2025</v>
      </c>
      <c r="B10981" t="str">
        <f t="shared" si="2067"/>
        <v>SAÍDA</v>
      </c>
      <c r="C10981" t="str">
        <f t="shared" si="2068"/>
        <v>PIX</v>
      </c>
      <c r="D10981" t="str">
        <f>"25021"</f>
        <v>25021</v>
      </c>
      <c r="E10981" t="str">
        <f t="shared" si="2056"/>
        <v>1</v>
      </c>
      <c r="F10981" t="str">
        <f t="shared" si="2058"/>
        <v>COM</v>
      </c>
      <c r="G10981" t="str">
        <f>"ISAEL SANTOS ROSA (642)"</f>
        <v>ISAEL SANTOS ROSA (642)</v>
      </c>
      <c r="H10981" t="str">
        <f>"Serv.Prest. 03/11/2025 a 09/11/2025 - PIX: CELULAR - CHAVE: (31) 99376-7989"</f>
        <v>Serv.Prest. 03/11/2025 a 09/11/2025 - PIX: CELULAR - CHAVE: (31) 99376-7989</v>
      </c>
      <c r="I10981" t="str">
        <f t="shared" si="2069"/>
        <v>13/11/2025</v>
      </c>
      <c r="J10981" t="str">
        <f t="shared" si="2063"/>
        <v>10/11/2025</v>
      </c>
      <c r="K10981" t="str">
        <f>("13/11/2025")</f>
        <v>13/11/2025</v>
      </c>
      <c r="L10981">
        <v>1380</v>
      </c>
      <c r="M10981">
        <v>1380</v>
      </c>
      <c r="N10981">
        <v>109</v>
      </c>
      <c r="O10981" t="str">
        <f>"PAGAMENTO DE ENTREGADORES"</f>
        <v>PAGAMENTO DE ENTREGADORES</v>
      </c>
      <c r="P10981">
        <v>1380</v>
      </c>
      <c r="S10981" t="str">
        <f>"BANCO C6 (149)"</f>
        <v>BANCO C6 (149)</v>
      </c>
      <c r="T10981">
        <v>21760</v>
      </c>
      <c r="U10981">
        <v>25021</v>
      </c>
      <c r="V10981" t="s">
        <v>77</v>
      </c>
    </row>
    <row r="10982" spans="1:22">
      <c r="A10982" t="str">
        <f t="shared" si="2066"/>
        <v>13/11/2025</v>
      </c>
      <c r="B10982" t="str">
        <f t="shared" si="2067"/>
        <v>SAÍDA</v>
      </c>
      <c r="C10982" t="str">
        <f t="shared" si="2068"/>
        <v>PIX</v>
      </c>
      <c r="D10982" t="str">
        <f>"25021"</f>
        <v>25021</v>
      </c>
      <c r="E10982" t="str">
        <f t="shared" ref="E10982:E11045" si="2070">"1"</f>
        <v>1</v>
      </c>
      <c r="F10982" t="str">
        <f t="shared" si="2058"/>
        <v>COM</v>
      </c>
      <c r="G10982" t="str">
        <f>"ISAEL SANTOS ROSA (642)"</f>
        <v>ISAEL SANTOS ROSA (642)</v>
      </c>
      <c r="H10982" t="s">
        <v>2848</v>
      </c>
      <c r="I10982" t="str">
        <f t="shared" si="2069"/>
        <v>13/11/2025</v>
      </c>
      <c r="J10982" t="str">
        <f t="shared" si="2063"/>
        <v>10/11/2025</v>
      </c>
      <c r="K10982">
        <v>45974</v>
      </c>
      <c r="N10982">
        <v>109</v>
      </c>
      <c r="O10982" t="s">
        <v>24</v>
      </c>
      <c r="Q10982">
        <v>1380</v>
      </c>
      <c r="R10982" t="str">
        <f>"DROGARIA POUPA MINAS (ULTRAMINAS) 3 (10129)"</f>
        <v>DROGARIA POUPA MINAS (ULTRAMINAS) 3 (10129)</v>
      </c>
      <c r="S10982" t="s">
        <v>77</v>
      </c>
      <c r="T10982">
        <v>21760</v>
      </c>
      <c r="U10982">
        <v>25021</v>
      </c>
      <c r="V10982" t="s">
        <v>77</v>
      </c>
    </row>
    <row r="10983" spans="1:22">
      <c r="A10983" t="str">
        <f t="shared" si="2066"/>
        <v>13/11/2025</v>
      </c>
      <c r="B10983" t="str">
        <f t="shared" si="2067"/>
        <v>SAÍDA</v>
      </c>
      <c r="C10983" t="str">
        <f t="shared" si="2068"/>
        <v>PIX</v>
      </c>
      <c r="D10983" t="str">
        <f>"25023"</f>
        <v>25023</v>
      </c>
      <c r="E10983" t="str">
        <f t="shared" si="2070"/>
        <v>1</v>
      </c>
      <c r="F10983" t="str">
        <f t="shared" si="2058"/>
        <v>COM</v>
      </c>
      <c r="G10983" t="str">
        <f>"ARLINDO COSTA FELIX (754)"</f>
        <v>ARLINDO COSTA FELIX (754)</v>
      </c>
      <c r="H10983" t="str">
        <f>"Serv.Prest. 03/11/2025 a 09/11/2025 - PIX: CPF - CHAVE: 103.983.366-79"</f>
        <v>Serv.Prest. 03/11/2025 a 09/11/2025 - PIX: CPF - CHAVE: 103.983.366-79</v>
      </c>
      <c r="I10983" t="str">
        <f t="shared" si="2069"/>
        <v>13/11/2025</v>
      </c>
      <c r="J10983" t="str">
        <f t="shared" ref="J10983:J10993" si="2071">("10/11/2025")</f>
        <v>10/11/2025</v>
      </c>
      <c r="K10983" t="str">
        <f>("13/11/2025")</f>
        <v>13/11/2025</v>
      </c>
      <c r="L10983">
        <v>1144</v>
      </c>
      <c r="M10983">
        <v>1144</v>
      </c>
      <c r="N10983">
        <v>109</v>
      </c>
      <c r="O10983" t="str">
        <f>"PAGAMENTO DE ENTREGADORES"</f>
        <v>PAGAMENTO DE ENTREGADORES</v>
      </c>
      <c r="P10983">
        <v>1144</v>
      </c>
      <c r="S10983" t="str">
        <f>"BANCO C6 (149)"</f>
        <v>BANCO C6 (149)</v>
      </c>
      <c r="T10983">
        <v>21761</v>
      </c>
      <c r="U10983">
        <v>25023</v>
      </c>
      <c r="V10983" t="s">
        <v>77</v>
      </c>
    </row>
    <row r="10984" spans="1:22">
      <c r="A10984" t="str">
        <f t="shared" si="2066"/>
        <v>13/11/2025</v>
      </c>
      <c r="B10984" t="str">
        <f t="shared" si="2067"/>
        <v>SAÍDA</v>
      </c>
      <c r="C10984" t="str">
        <f t="shared" si="2068"/>
        <v>PIX</v>
      </c>
      <c r="D10984" t="str">
        <f>"25023"</f>
        <v>25023</v>
      </c>
      <c r="E10984" t="str">
        <f t="shared" si="2070"/>
        <v>1</v>
      </c>
      <c r="F10984" t="str">
        <f t="shared" si="2058"/>
        <v>COM</v>
      </c>
      <c r="G10984" t="str">
        <f>"ARLINDO COSTA FELIX (754)"</f>
        <v>ARLINDO COSTA FELIX (754)</v>
      </c>
      <c r="H10984" t="s">
        <v>2813</v>
      </c>
      <c r="I10984" t="str">
        <f t="shared" si="2069"/>
        <v>13/11/2025</v>
      </c>
      <c r="J10984" t="str">
        <f t="shared" si="2071"/>
        <v>10/11/2025</v>
      </c>
      <c r="K10984">
        <v>45974</v>
      </c>
      <c r="N10984">
        <v>109</v>
      </c>
      <c r="O10984" t="s">
        <v>24</v>
      </c>
      <c r="Q10984">
        <v>1144</v>
      </c>
      <c r="R10984" t="str">
        <f>"ENTREFARMA (10164)"</f>
        <v>ENTREFARMA (10164)</v>
      </c>
      <c r="S10984" t="s">
        <v>77</v>
      </c>
      <c r="T10984">
        <v>21761</v>
      </c>
      <c r="U10984">
        <v>25023</v>
      </c>
      <c r="V10984" t="s">
        <v>77</v>
      </c>
    </row>
    <row r="10985" spans="1:22">
      <c r="A10985" t="str">
        <f t="shared" si="2066"/>
        <v>13/11/2025</v>
      </c>
      <c r="B10985" t="str">
        <f t="shared" si="2067"/>
        <v>SAÍDA</v>
      </c>
      <c r="C10985" t="str">
        <f t="shared" si="2068"/>
        <v>PIX</v>
      </c>
      <c r="D10985" t="str">
        <f>"25024"</f>
        <v>25024</v>
      </c>
      <c r="E10985" t="str">
        <f t="shared" si="2070"/>
        <v>1</v>
      </c>
      <c r="F10985" t="str">
        <f t="shared" si="2058"/>
        <v>COM</v>
      </c>
      <c r="G10985" t="str">
        <f>"LEONICIO CORREA DA SILVA (716)"</f>
        <v>LEONICIO CORREA DA SILVA (716)</v>
      </c>
      <c r="H10985" t="str">
        <f>"Serv.Prest. 03/11/2025 a 09/11/2025 - PIX: CPF - CHAVE: 138.263.636-98"</f>
        <v>Serv.Prest. 03/11/2025 a 09/11/2025 - PIX: CPF - CHAVE: 138.263.636-98</v>
      </c>
      <c r="I10985" t="str">
        <f t="shared" si="2069"/>
        <v>13/11/2025</v>
      </c>
      <c r="J10985" t="str">
        <f t="shared" si="2071"/>
        <v>10/11/2025</v>
      </c>
      <c r="K10985" t="str">
        <f>("13/11/2025")</f>
        <v>13/11/2025</v>
      </c>
      <c r="L10985">
        <v>1384</v>
      </c>
      <c r="M10985">
        <v>1384</v>
      </c>
      <c r="N10985">
        <v>109</v>
      </c>
      <c r="O10985" t="str">
        <f>"PAGAMENTO DE ENTREGADORES"</f>
        <v>PAGAMENTO DE ENTREGADORES</v>
      </c>
      <c r="P10985">
        <v>1384</v>
      </c>
      <c r="S10985" t="str">
        <f>"BANCO C6 (149)"</f>
        <v>BANCO C6 (149)</v>
      </c>
      <c r="T10985">
        <v>21762</v>
      </c>
      <c r="U10985">
        <v>25024</v>
      </c>
      <c r="V10985" t="s">
        <v>77</v>
      </c>
    </row>
    <row r="10986" spans="1:22">
      <c r="A10986" t="str">
        <f t="shared" si="2066"/>
        <v>13/11/2025</v>
      </c>
      <c r="B10986" t="str">
        <f t="shared" si="2067"/>
        <v>SAÍDA</v>
      </c>
      <c r="C10986" t="str">
        <f t="shared" si="2068"/>
        <v>PIX</v>
      </c>
      <c r="D10986" t="str">
        <f>"25024"</f>
        <v>25024</v>
      </c>
      <c r="E10986" t="str">
        <f t="shared" si="2070"/>
        <v>1</v>
      </c>
      <c r="F10986" t="str">
        <f t="shared" si="2058"/>
        <v>COM</v>
      </c>
      <c r="G10986" t="str">
        <f>"LEONICIO CORREA DA SILVA (716)"</f>
        <v>LEONICIO CORREA DA SILVA (716)</v>
      </c>
      <c r="H10986" t="s">
        <v>2864</v>
      </c>
      <c r="I10986" t="str">
        <f t="shared" si="2069"/>
        <v>13/11/2025</v>
      </c>
      <c r="J10986" t="str">
        <f t="shared" si="2071"/>
        <v>10/11/2025</v>
      </c>
      <c r="K10986">
        <v>45974</v>
      </c>
      <c r="N10986">
        <v>109</v>
      </c>
      <c r="O10986" t="s">
        <v>24</v>
      </c>
      <c r="Q10986">
        <v>1384</v>
      </c>
      <c r="R10986" t="str">
        <f>"ENTREFARMA (10164)"</f>
        <v>ENTREFARMA (10164)</v>
      </c>
      <c r="S10986" t="s">
        <v>77</v>
      </c>
      <c r="T10986">
        <v>21762</v>
      </c>
      <c r="U10986">
        <v>25024</v>
      </c>
      <c r="V10986" t="s">
        <v>77</v>
      </c>
    </row>
    <row r="10987" spans="1:22">
      <c r="A10987" t="str">
        <f t="shared" si="2066"/>
        <v>13/11/2025</v>
      </c>
      <c r="B10987" t="str">
        <f t="shared" si="2067"/>
        <v>SAÍDA</v>
      </c>
      <c r="C10987" t="str">
        <f t="shared" si="2068"/>
        <v>PIX</v>
      </c>
      <c r="D10987" t="str">
        <f>"25025"</f>
        <v>25025</v>
      </c>
      <c r="E10987" t="str">
        <f t="shared" si="2070"/>
        <v>1</v>
      </c>
      <c r="F10987" t="str">
        <f t="shared" si="2058"/>
        <v>COM</v>
      </c>
      <c r="G10987" t="str">
        <f>"SADRAK ENOKES BORGES (725)"</f>
        <v>SADRAK ENOKES BORGES (725)</v>
      </c>
      <c r="H10987" t="str">
        <f>"Serv.Prest. 03/11/2025 a 09/11/2025 - PIX: CPF - CHAVE: 128.367.756-37"</f>
        <v>Serv.Prest. 03/11/2025 a 09/11/2025 - PIX: CPF - CHAVE: 128.367.756-37</v>
      </c>
      <c r="I10987" t="str">
        <f t="shared" si="2069"/>
        <v>13/11/2025</v>
      </c>
      <c r="J10987" t="str">
        <f t="shared" si="2071"/>
        <v>10/11/2025</v>
      </c>
      <c r="K10987" t="str">
        <f>("13/11/2025")</f>
        <v>13/11/2025</v>
      </c>
      <c r="L10987">
        <v>1288</v>
      </c>
      <c r="M10987">
        <v>1288</v>
      </c>
      <c r="N10987">
        <v>109</v>
      </c>
      <c r="O10987" t="str">
        <f>"PAGAMENTO DE ENTREGADORES"</f>
        <v>PAGAMENTO DE ENTREGADORES</v>
      </c>
      <c r="P10987">
        <v>1288</v>
      </c>
      <c r="S10987" t="str">
        <f>"BANCO C6 (149)"</f>
        <v>BANCO C6 (149)</v>
      </c>
      <c r="T10987">
        <v>21763</v>
      </c>
      <c r="U10987">
        <v>25025</v>
      </c>
      <c r="V10987" t="s">
        <v>77</v>
      </c>
    </row>
    <row r="10988" spans="1:22">
      <c r="A10988" t="str">
        <f t="shared" si="2066"/>
        <v>13/11/2025</v>
      </c>
      <c r="B10988" t="str">
        <f t="shared" si="2067"/>
        <v>SAÍDA</v>
      </c>
      <c r="C10988" t="str">
        <f t="shared" si="2068"/>
        <v>PIX</v>
      </c>
      <c r="D10988" t="str">
        <f>"25025"</f>
        <v>25025</v>
      </c>
      <c r="E10988" t="str">
        <f t="shared" si="2070"/>
        <v>1</v>
      </c>
      <c r="F10988" t="str">
        <f t="shared" si="2058"/>
        <v>COM</v>
      </c>
      <c r="G10988" t="str">
        <f>"SADRAK ENOKES BORGES (725)"</f>
        <v>SADRAK ENOKES BORGES (725)</v>
      </c>
      <c r="H10988" t="s">
        <v>2889</v>
      </c>
      <c r="I10988" t="str">
        <f t="shared" si="2069"/>
        <v>13/11/2025</v>
      </c>
      <c r="J10988" t="str">
        <f t="shared" si="2071"/>
        <v>10/11/2025</v>
      </c>
      <c r="K10988">
        <v>45974</v>
      </c>
      <c r="N10988">
        <v>109</v>
      </c>
      <c r="O10988" t="s">
        <v>24</v>
      </c>
      <c r="Q10988">
        <v>1288</v>
      </c>
      <c r="R10988" t="str">
        <f>"ENTREFARMA (10164)"</f>
        <v>ENTREFARMA (10164)</v>
      </c>
      <c r="S10988" t="s">
        <v>77</v>
      </c>
      <c r="T10988">
        <v>21763</v>
      </c>
      <c r="U10988">
        <v>25025</v>
      </c>
      <c r="V10988" t="s">
        <v>77</v>
      </c>
    </row>
    <row r="10989" spans="1:22">
      <c r="A10989" t="str">
        <f t="shared" si="2066"/>
        <v>13/11/2025</v>
      </c>
      <c r="B10989" t="str">
        <f t="shared" si="2067"/>
        <v>SAÍDA</v>
      </c>
      <c r="C10989" t="str">
        <f t="shared" si="2068"/>
        <v>PIX</v>
      </c>
      <c r="D10989" t="str">
        <f>"25026"</f>
        <v>25026</v>
      </c>
      <c r="E10989" t="str">
        <f t="shared" si="2070"/>
        <v>1</v>
      </c>
      <c r="F10989" t="str">
        <f t="shared" si="2058"/>
        <v>COM</v>
      </c>
      <c r="G10989" t="str">
        <f>"WENDERSON GOMES (708)"</f>
        <v>WENDERSON GOMES (708)</v>
      </c>
      <c r="H10989" t="str">
        <f>"Serv.Prest. 03/11/2025 a 09/11/2025 - PIX: CPF - CHAVE: 147.592.156-03"</f>
        <v>Serv.Prest. 03/11/2025 a 09/11/2025 - PIX: CPF - CHAVE: 147.592.156-03</v>
      </c>
      <c r="I10989" t="str">
        <f t="shared" si="2069"/>
        <v>13/11/2025</v>
      </c>
      <c r="J10989" t="str">
        <f t="shared" si="2071"/>
        <v>10/11/2025</v>
      </c>
      <c r="K10989" t="str">
        <f>("13/11/2025")</f>
        <v>13/11/2025</v>
      </c>
      <c r="L10989">
        <v>1504</v>
      </c>
      <c r="M10989">
        <v>1504</v>
      </c>
      <c r="N10989">
        <v>109</v>
      </c>
      <c r="O10989" t="str">
        <f>"PAGAMENTO DE ENTREGADORES"</f>
        <v>PAGAMENTO DE ENTREGADORES</v>
      </c>
      <c r="P10989">
        <v>1504</v>
      </c>
      <c r="S10989" t="str">
        <f>"BANCO C6 (149)"</f>
        <v>BANCO C6 (149)</v>
      </c>
      <c r="T10989">
        <v>21764</v>
      </c>
      <c r="U10989">
        <v>25026</v>
      </c>
      <c r="V10989" t="s">
        <v>77</v>
      </c>
    </row>
    <row r="10990" spans="1:22">
      <c r="A10990" t="str">
        <f t="shared" si="2066"/>
        <v>13/11/2025</v>
      </c>
      <c r="B10990" t="str">
        <f t="shared" si="2067"/>
        <v>SAÍDA</v>
      </c>
      <c r="C10990" t="str">
        <f t="shared" si="2068"/>
        <v>PIX</v>
      </c>
      <c r="D10990" t="str">
        <f>"25026"</f>
        <v>25026</v>
      </c>
      <c r="E10990" t="str">
        <f t="shared" si="2070"/>
        <v>1</v>
      </c>
      <c r="F10990" t="str">
        <f t="shared" si="2058"/>
        <v>COM</v>
      </c>
      <c r="G10990" t="str">
        <f>"WENDERSON GOMES (708)"</f>
        <v>WENDERSON GOMES (708)</v>
      </c>
      <c r="H10990" t="s">
        <v>2905</v>
      </c>
      <c r="I10990" t="str">
        <f t="shared" si="2069"/>
        <v>13/11/2025</v>
      </c>
      <c r="J10990" t="str">
        <f t="shared" si="2071"/>
        <v>10/11/2025</v>
      </c>
      <c r="K10990">
        <v>45974</v>
      </c>
      <c r="N10990">
        <v>109</v>
      </c>
      <c r="O10990" t="s">
        <v>24</v>
      </c>
      <c r="Q10990">
        <v>1504</v>
      </c>
      <c r="R10990" t="str">
        <f>"ENTREFARMA (10164)"</f>
        <v>ENTREFARMA (10164)</v>
      </c>
      <c r="S10990" t="s">
        <v>77</v>
      </c>
      <c r="T10990">
        <v>21764</v>
      </c>
      <c r="U10990">
        <v>25026</v>
      </c>
      <c r="V10990" t="s">
        <v>77</v>
      </c>
    </row>
    <row r="10991" spans="1:22">
      <c r="A10991" t="str">
        <f t="shared" si="2066"/>
        <v>13/11/2025</v>
      </c>
      <c r="B10991" t="str">
        <f t="shared" si="2067"/>
        <v>SAÍDA</v>
      </c>
      <c r="C10991" t="str">
        <f t="shared" si="2068"/>
        <v>PIX</v>
      </c>
      <c r="D10991" t="str">
        <f>"25028"</f>
        <v>25028</v>
      </c>
      <c r="E10991" t="str">
        <f t="shared" si="2070"/>
        <v>1</v>
      </c>
      <c r="F10991" t="str">
        <f t="shared" si="2058"/>
        <v>COM</v>
      </c>
      <c r="G10991" t="str">
        <f>"FABRICIO QUEIROZ DE OLIVEIRA (788)"</f>
        <v>FABRICIO QUEIROZ DE OLIVEIRA (788)</v>
      </c>
      <c r="H10991" t="str">
        <f>"Serv.Prest. 03/11/2025 a 09/11/2025 - PIX: CPF - CHAVE: 138.798.486-10"</f>
        <v>Serv.Prest. 03/11/2025 a 09/11/2025 - PIX: CPF - CHAVE: 138.798.486-10</v>
      </c>
      <c r="I10991" t="str">
        <f t="shared" si="2069"/>
        <v>13/11/2025</v>
      </c>
      <c r="J10991" t="str">
        <f t="shared" si="2071"/>
        <v>10/11/2025</v>
      </c>
      <c r="K10991" t="str">
        <f>("13/11/2025")</f>
        <v>13/11/2025</v>
      </c>
      <c r="L10991">
        <v>680</v>
      </c>
      <c r="M10991">
        <v>680</v>
      </c>
      <c r="N10991">
        <v>109</v>
      </c>
      <c r="O10991" t="str">
        <f>"PAGAMENTO DE ENTREGADORES"</f>
        <v>PAGAMENTO DE ENTREGADORES</v>
      </c>
      <c r="P10991">
        <v>680</v>
      </c>
      <c r="S10991" t="str">
        <f>"BANCO C6 (149)"</f>
        <v>BANCO C6 (149)</v>
      </c>
      <c r="T10991">
        <v>21765</v>
      </c>
      <c r="U10991">
        <v>25028</v>
      </c>
      <c r="V10991" t="s">
        <v>77</v>
      </c>
    </row>
    <row r="10992" spans="1:22">
      <c r="A10992" t="str">
        <f t="shared" si="2066"/>
        <v>13/11/2025</v>
      </c>
      <c r="B10992" t="str">
        <f t="shared" si="2067"/>
        <v>SAÍDA</v>
      </c>
      <c r="C10992" t="str">
        <f t="shared" si="2068"/>
        <v>PIX</v>
      </c>
      <c r="D10992" t="str">
        <f>"25028"</f>
        <v>25028</v>
      </c>
      <c r="E10992" t="str">
        <f t="shared" si="2070"/>
        <v>1</v>
      </c>
      <c r="F10992" t="str">
        <f t="shared" si="2058"/>
        <v>COM</v>
      </c>
      <c r="G10992" t="str">
        <f>"FABRICIO QUEIROZ DE OLIVEIRA (788)"</f>
        <v>FABRICIO QUEIROZ DE OLIVEIRA (788)</v>
      </c>
      <c r="H10992" t="s">
        <v>2835</v>
      </c>
      <c r="I10992" t="str">
        <f t="shared" si="2069"/>
        <v>13/11/2025</v>
      </c>
      <c r="J10992" t="str">
        <f t="shared" si="2071"/>
        <v>10/11/2025</v>
      </c>
      <c r="K10992">
        <v>45974</v>
      </c>
      <c r="N10992">
        <v>109</v>
      </c>
      <c r="O10992" t="s">
        <v>24</v>
      </c>
      <c r="Q10992">
        <v>629.82000000000005</v>
      </c>
      <c r="R10992" t="str">
        <f>"FRAN FARMA LJ 2 (10131)"</f>
        <v>FRAN FARMA LJ 2 (10131)</v>
      </c>
      <c r="S10992" t="s">
        <v>77</v>
      </c>
      <c r="T10992">
        <v>21765</v>
      </c>
      <c r="U10992">
        <v>25028</v>
      </c>
      <c r="V10992" t="s">
        <v>77</v>
      </c>
    </row>
    <row r="10993" spans="1:22">
      <c r="A10993" t="str">
        <f t="shared" si="2066"/>
        <v>13/11/2025</v>
      </c>
      <c r="B10993" t="str">
        <f t="shared" si="2067"/>
        <v>SAÍDA</v>
      </c>
      <c r="C10993" t="str">
        <f t="shared" si="2068"/>
        <v>PIX</v>
      </c>
      <c r="D10993" t="str">
        <f>"25028"</f>
        <v>25028</v>
      </c>
      <c r="E10993" t="str">
        <f t="shared" si="2070"/>
        <v>1</v>
      </c>
      <c r="F10993" t="str">
        <f t="shared" si="2058"/>
        <v>COM</v>
      </c>
      <c r="G10993" t="str">
        <f>"FABRICIO QUEIROZ DE OLIVEIRA (788)"</f>
        <v>FABRICIO QUEIROZ DE OLIVEIRA (788)</v>
      </c>
      <c r="H10993" t="s">
        <v>2835</v>
      </c>
      <c r="I10993" t="str">
        <f t="shared" si="2069"/>
        <v>13/11/2025</v>
      </c>
      <c r="J10993" t="str">
        <f t="shared" si="2071"/>
        <v>10/11/2025</v>
      </c>
      <c r="K10993">
        <v>45974</v>
      </c>
      <c r="N10993">
        <v>109</v>
      </c>
      <c r="O10993" t="s">
        <v>24</v>
      </c>
      <c r="Q10993">
        <v>50.18</v>
      </c>
      <c r="R10993" t="str">
        <f>"FRAN FARMA LJ 3 (10132)"</f>
        <v>FRAN FARMA LJ 3 (10132)</v>
      </c>
      <c r="S10993" t="s">
        <v>77</v>
      </c>
      <c r="T10993">
        <v>21765</v>
      </c>
      <c r="U10993">
        <v>25028</v>
      </c>
      <c r="V10993" t="s">
        <v>77</v>
      </c>
    </row>
    <row r="10994" spans="1:22">
      <c r="A10994" t="str">
        <f t="shared" si="2066"/>
        <v>13/11/2025</v>
      </c>
      <c r="B10994" t="str">
        <f t="shared" si="2067"/>
        <v>SAÍDA</v>
      </c>
      <c r="C10994" t="str">
        <f t="shared" si="2068"/>
        <v>PIX</v>
      </c>
      <c r="D10994" t="str">
        <f>"25882"</f>
        <v>25882</v>
      </c>
      <c r="E10994" t="str">
        <f t="shared" si="2070"/>
        <v>1</v>
      </c>
      <c r="F10994" t="str">
        <f t="shared" si="2058"/>
        <v>COM</v>
      </c>
      <c r="G10994" t="str">
        <f>"TALES SILVA MARIANO (431)"</f>
        <v>TALES SILVA MARIANO (431)</v>
      </c>
      <c r="H10994" t="str">
        <f>"Serv.Prest. 03/11/2025 a 09/11/2025 - PIX: CPF - CHAVE: 126.686.406-79"</f>
        <v>Serv.Prest. 03/11/2025 a 09/11/2025 - PIX: CPF - CHAVE: 126.686.406-79</v>
      </c>
      <c r="I10994" t="str">
        <f t="shared" si="2069"/>
        <v>13/11/2025</v>
      </c>
      <c r="J10994" t="str">
        <f>("13/11/2025")</f>
        <v>13/11/2025</v>
      </c>
      <c r="K10994" t="str">
        <f>("13/11/2025")</f>
        <v>13/11/2025</v>
      </c>
      <c r="L10994">
        <v>402</v>
      </c>
      <c r="M10994">
        <v>402</v>
      </c>
      <c r="N10994">
        <v>109</v>
      </c>
      <c r="O10994" t="str">
        <f>"PAGAMENTO DE ENTREGADORES"</f>
        <v>PAGAMENTO DE ENTREGADORES</v>
      </c>
      <c r="P10994">
        <v>402</v>
      </c>
      <c r="S10994" t="str">
        <f>"BANCO C6 (149)"</f>
        <v>BANCO C6 (149)</v>
      </c>
      <c r="T10994">
        <v>21766</v>
      </c>
      <c r="U10994">
        <v>25882</v>
      </c>
      <c r="V10994" t="s">
        <v>77</v>
      </c>
    </row>
    <row r="10995" spans="1:22">
      <c r="A10995" t="str">
        <f t="shared" si="2066"/>
        <v>13/11/2025</v>
      </c>
      <c r="B10995" t="str">
        <f t="shared" si="2067"/>
        <v>SAÍDA</v>
      </c>
      <c r="C10995" t="str">
        <f t="shared" si="2068"/>
        <v>PIX</v>
      </c>
      <c r="D10995" t="str">
        <f>"25882"</f>
        <v>25882</v>
      </c>
      <c r="E10995" t="str">
        <f t="shared" si="2070"/>
        <v>1</v>
      </c>
      <c r="F10995" t="str">
        <f t="shared" si="2058"/>
        <v>COM</v>
      </c>
      <c r="G10995" t="str">
        <f>"TALES SILVA MARIANO (431)"</f>
        <v>TALES SILVA MARIANO (431)</v>
      </c>
      <c r="H10995" t="s">
        <v>2893</v>
      </c>
      <c r="I10995" t="str">
        <f t="shared" si="2069"/>
        <v>13/11/2025</v>
      </c>
      <c r="J10995" t="str">
        <f>("13/11/2025")</f>
        <v>13/11/2025</v>
      </c>
      <c r="K10995">
        <v>45974</v>
      </c>
      <c r="N10995">
        <v>109</v>
      </c>
      <c r="O10995" t="s">
        <v>24</v>
      </c>
      <c r="Q10995">
        <v>287.99</v>
      </c>
      <c r="R10995" t="str">
        <f>"ULTRA POPULAR  UBA 2 (10214)"</f>
        <v>ULTRA POPULAR  UBA 2 (10214)</v>
      </c>
      <c r="S10995" t="s">
        <v>77</v>
      </c>
      <c r="T10995">
        <v>21766</v>
      </c>
      <c r="U10995">
        <v>25882</v>
      </c>
      <c r="V10995" t="s">
        <v>77</v>
      </c>
    </row>
    <row r="10996" spans="1:22">
      <c r="A10996" t="str">
        <f t="shared" si="2066"/>
        <v>13/11/2025</v>
      </c>
      <c r="B10996" t="str">
        <f t="shared" si="2067"/>
        <v>SAÍDA</v>
      </c>
      <c r="C10996" t="str">
        <f t="shared" si="2068"/>
        <v>PIX</v>
      </c>
      <c r="D10996" t="str">
        <f>"25882"</f>
        <v>25882</v>
      </c>
      <c r="E10996" t="str">
        <f t="shared" si="2070"/>
        <v>1</v>
      </c>
      <c r="F10996" t="str">
        <f t="shared" si="2058"/>
        <v>COM</v>
      </c>
      <c r="G10996" t="str">
        <f>"TALES SILVA MARIANO (431)"</f>
        <v>TALES SILVA MARIANO (431)</v>
      </c>
      <c r="H10996" t="s">
        <v>2893</v>
      </c>
      <c r="I10996" t="str">
        <f t="shared" si="2069"/>
        <v>13/11/2025</v>
      </c>
      <c r="J10996" t="str">
        <f>("13/11/2025")</f>
        <v>13/11/2025</v>
      </c>
      <c r="K10996">
        <v>45974</v>
      </c>
      <c r="N10996">
        <v>109</v>
      </c>
      <c r="O10996" t="s">
        <v>24</v>
      </c>
      <c r="Q10996">
        <v>114.01</v>
      </c>
      <c r="R10996" t="str">
        <f>"UBA 1 (10263)"</f>
        <v>UBA 1 (10263)</v>
      </c>
      <c r="S10996" t="s">
        <v>77</v>
      </c>
      <c r="T10996">
        <v>21766</v>
      </c>
      <c r="U10996">
        <v>25882</v>
      </c>
      <c r="V10996" t="s">
        <v>77</v>
      </c>
    </row>
    <row r="10997" spans="1:22">
      <c r="A10997" t="str">
        <f t="shared" si="2066"/>
        <v>13/11/2025</v>
      </c>
      <c r="B10997" t="str">
        <f t="shared" si="2067"/>
        <v>SAÍDA</v>
      </c>
      <c r="C10997" t="str">
        <f t="shared" si="2068"/>
        <v>PIX</v>
      </c>
      <c r="D10997" t="str">
        <f>"25881"</f>
        <v>25881</v>
      </c>
      <c r="E10997" t="str">
        <f t="shared" si="2070"/>
        <v>1</v>
      </c>
      <c r="F10997" t="str">
        <f t="shared" si="2058"/>
        <v>COM</v>
      </c>
      <c r="G10997" t="str">
        <f>"JOSÉ HENRIQUE RODRIGUES (430)"</f>
        <v>JOSÉ HENRIQUE RODRIGUES (430)</v>
      </c>
      <c r="H10997" t="str">
        <f>"Serv.Prest. 03/11/2025 a 09/11/2025 - PIX: CPF - CHAVE: 100.826.516-04"</f>
        <v>Serv.Prest. 03/11/2025 a 09/11/2025 - PIX: CPF - CHAVE: 100.826.516-04</v>
      </c>
      <c r="I10997" t="str">
        <f t="shared" si="2069"/>
        <v>13/11/2025</v>
      </c>
      <c r="J10997" t="str">
        <f>("13/11/2025")</f>
        <v>13/11/2025</v>
      </c>
      <c r="K10997" t="str">
        <f>("13/11/2025")</f>
        <v>13/11/2025</v>
      </c>
      <c r="L10997">
        <v>210</v>
      </c>
      <c r="M10997">
        <v>210</v>
      </c>
      <c r="N10997">
        <v>109</v>
      </c>
      <c r="O10997" t="str">
        <f>"PAGAMENTO DE ENTREGADORES"</f>
        <v>PAGAMENTO DE ENTREGADORES</v>
      </c>
      <c r="P10997">
        <v>210</v>
      </c>
      <c r="S10997" t="str">
        <f>"BANCO C6 (149)"</f>
        <v>BANCO C6 (149)</v>
      </c>
      <c r="T10997">
        <v>21767</v>
      </c>
      <c r="U10997">
        <v>25881</v>
      </c>
      <c r="V10997" t="s">
        <v>77</v>
      </c>
    </row>
    <row r="10998" spans="1:22">
      <c r="A10998" t="str">
        <f t="shared" si="2066"/>
        <v>13/11/2025</v>
      </c>
      <c r="B10998" t="str">
        <f t="shared" si="2067"/>
        <v>SAÍDA</v>
      </c>
      <c r="C10998" t="str">
        <f t="shared" si="2068"/>
        <v>PIX</v>
      </c>
      <c r="D10998" t="str">
        <f>"25881"</f>
        <v>25881</v>
      </c>
      <c r="E10998" t="str">
        <f t="shared" si="2070"/>
        <v>1</v>
      </c>
      <c r="F10998" t="str">
        <f t="shared" si="2058"/>
        <v>COM</v>
      </c>
      <c r="G10998" t="str">
        <f>"JOSÉ HENRIQUE RODRIGUES (430)"</f>
        <v>JOSÉ HENRIQUE RODRIGUES (430)</v>
      </c>
      <c r="H10998" t="s">
        <v>2858</v>
      </c>
      <c r="I10998" t="str">
        <f t="shared" si="2069"/>
        <v>13/11/2025</v>
      </c>
      <c r="J10998" t="str">
        <f>("13/11/2025")</f>
        <v>13/11/2025</v>
      </c>
      <c r="K10998">
        <v>45974</v>
      </c>
      <c r="N10998">
        <v>109</v>
      </c>
      <c r="O10998" t="s">
        <v>24</v>
      </c>
      <c r="Q10998">
        <v>132.01</v>
      </c>
      <c r="R10998" t="str">
        <f>"ULTRA POPULAR  UBA 2 (10214)"</f>
        <v>ULTRA POPULAR  UBA 2 (10214)</v>
      </c>
      <c r="S10998" t="s">
        <v>77</v>
      </c>
      <c r="T10998">
        <v>21767</v>
      </c>
      <c r="U10998">
        <v>25881</v>
      </c>
      <c r="V10998" t="s">
        <v>77</v>
      </c>
    </row>
    <row r="10999" spans="1:22">
      <c r="A10999" t="str">
        <f t="shared" si="2066"/>
        <v>13/11/2025</v>
      </c>
      <c r="B10999" t="str">
        <f t="shared" si="2067"/>
        <v>SAÍDA</v>
      </c>
      <c r="C10999" t="str">
        <f t="shared" si="2068"/>
        <v>PIX</v>
      </c>
      <c r="D10999" t="str">
        <f>"25881"</f>
        <v>25881</v>
      </c>
      <c r="E10999" t="str">
        <f t="shared" si="2070"/>
        <v>1</v>
      </c>
      <c r="F10999" t="str">
        <f t="shared" ref="F10999:F11062" si="2072">"COM"</f>
        <v>COM</v>
      </c>
      <c r="G10999" t="str">
        <f>"JOSÉ HENRIQUE RODRIGUES (430)"</f>
        <v>JOSÉ HENRIQUE RODRIGUES (430)</v>
      </c>
      <c r="H10999" t="s">
        <v>2858</v>
      </c>
      <c r="I10999" t="str">
        <f t="shared" si="2069"/>
        <v>13/11/2025</v>
      </c>
      <c r="J10999" t="str">
        <f>("13/11/2025")</f>
        <v>13/11/2025</v>
      </c>
      <c r="K10999">
        <v>45974</v>
      </c>
      <c r="N10999">
        <v>109</v>
      </c>
      <c r="O10999" t="s">
        <v>24</v>
      </c>
      <c r="Q10999">
        <v>77.989999999999995</v>
      </c>
      <c r="R10999" t="str">
        <f>"UBA 1 (10263)"</f>
        <v>UBA 1 (10263)</v>
      </c>
      <c r="S10999" t="s">
        <v>77</v>
      </c>
      <c r="T10999">
        <v>21767</v>
      </c>
      <c r="U10999">
        <v>25881</v>
      </c>
      <c r="V10999" t="s">
        <v>77</v>
      </c>
    </row>
    <row r="11000" spans="1:22">
      <c r="A11000" t="str">
        <f t="shared" si="2066"/>
        <v>13/11/2025</v>
      </c>
      <c r="B11000" t="str">
        <f t="shared" si="2067"/>
        <v>SAÍDA</v>
      </c>
      <c r="C11000" t="str">
        <f t="shared" si="2068"/>
        <v>PIX</v>
      </c>
      <c r="D11000" t="str">
        <f>"25033"</f>
        <v>25033</v>
      </c>
      <c r="E11000" t="str">
        <f t="shared" si="2070"/>
        <v>1</v>
      </c>
      <c r="F11000" t="str">
        <f t="shared" si="2072"/>
        <v>COM</v>
      </c>
      <c r="G11000" t="str">
        <f>"ELIO CALDEIRA RIBEIRO JUNIOR (840)"</f>
        <v>ELIO CALDEIRA RIBEIRO JUNIOR (840)</v>
      </c>
      <c r="H11000" t="str">
        <f>"Serv.Prest. 03/11/2025 a 09/11/2025 - PIX: CPF - CHAVE: 463.491.858-70"</f>
        <v>Serv.Prest. 03/11/2025 a 09/11/2025 - PIX: CPF - CHAVE: 463.491.858-70</v>
      </c>
      <c r="I11000" t="str">
        <f t="shared" si="2069"/>
        <v>13/11/2025</v>
      </c>
      <c r="J11000" t="str">
        <f t="shared" ref="J11000:J11031" si="2073">("10/11/2025")</f>
        <v>10/11/2025</v>
      </c>
      <c r="K11000" t="str">
        <f>("13/11/2025")</f>
        <v>13/11/2025</v>
      </c>
      <c r="L11000">
        <v>582</v>
      </c>
      <c r="M11000">
        <v>582</v>
      </c>
      <c r="N11000">
        <v>109</v>
      </c>
      <c r="O11000" t="str">
        <f>"PAGAMENTO DE ENTREGADORES"</f>
        <v>PAGAMENTO DE ENTREGADORES</v>
      </c>
      <c r="P11000">
        <v>582</v>
      </c>
      <c r="S11000" t="str">
        <f>"BANCO C6 (149)"</f>
        <v>BANCO C6 (149)</v>
      </c>
      <c r="T11000">
        <v>21768</v>
      </c>
      <c r="U11000">
        <v>25033</v>
      </c>
      <c r="V11000" t="s">
        <v>77</v>
      </c>
    </row>
    <row r="11001" spans="1:22">
      <c r="A11001" t="str">
        <f t="shared" si="2066"/>
        <v>13/11/2025</v>
      </c>
      <c r="B11001" t="str">
        <f t="shared" si="2067"/>
        <v>SAÍDA</v>
      </c>
      <c r="C11001" t="str">
        <f t="shared" si="2068"/>
        <v>PIX</v>
      </c>
      <c r="D11001" t="str">
        <f>"25033"</f>
        <v>25033</v>
      </c>
      <c r="E11001" t="str">
        <f t="shared" si="2070"/>
        <v>1</v>
      </c>
      <c r="F11001" t="str">
        <f t="shared" si="2072"/>
        <v>COM</v>
      </c>
      <c r="G11001" t="str">
        <f>"ELIO CALDEIRA RIBEIRO JUNIOR (840)"</f>
        <v>ELIO CALDEIRA RIBEIRO JUNIOR (840)</v>
      </c>
      <c r="H11001" t="s">
        <v>2832</v>
      </c>
      <c r="I11001" t="str">
        <f t="shared" si="2069"/>
        <v>13/11/2025</v>
      </c>
      <c r="J11001" t="str">
        <f t="shared" si="2073"/>
        <v>10/11/2025</v>
      </c>
      <c r="K11001">
        <v>45974</v>
      </c>
      <c r="N11001">
        <v>109</v>
      </c>
      <c r="O11001" t="s">
        <v>24</v>
      </c>
      <c r="Q11001">
        <v>582</v>
      </c>
      <c r="R11001" t="str">
        <f>"DROGARIA MEDIC CENTER LTDA (10172)"</f>
        <v>DROGARIA MEDIC CENTER LTDA (10172)</v>
      </c>
      <c r="S11001" t="s">
        <v>77</v>
      </c>
      <c r="T11001">
        <v>21768</v>
      </c>
      <c r="U11001">
        <v>25033</v>
      </c>
      <c r="V11001" t="s">
        <v>77</v>
      </c>
    </row>
    <row r="11002" spans="1:22">
      <c r="A11002" t="str">
        <f t="shared" si="2066"/>
        <v>13/11/2025</v>
      </c>
      <c r="B11002" t="str">
        <f t="shared" si="2067"/>
        <v>SAÍDA</v>
      </c>
      <c r="C11002" t="str">
        <f t="shared" si="2068"/>
        <v>PIX</v>
      </c>
      <c r="D11002" t="str">
        <f>"25038"</f>
        <v>25038</v>
      </c>
      <c r="E11002" t="str">
        <f t="shared" si="2070"/>
        <v>1</v>
      </c>
      <c r="F11002" t="str">
        <f t="shared" si="2072"/>
        <v>COM</v>
      </c>
      <c r="G11002" t="str">
        <f>"ALLAN SILVA DAMACENA (790)"</f>
        <v>ALLAN SILVA DAMACENA (790)</v>
      </c>
      <c r="H11002" t="str">
        <f>"Serv.Prest. 03/11/2025 a 09/11/2025 - PIX: CELULAR - CHAVE: (19) 98944-4977"</f>
        <v>Serv.Prest. 03/11/2025 a 09/11/2025 - PIX: CELULAR - CHAVE: (19) 98944-4977</v>
      </c>
      <c r="I11002" t="str">
        <f t="shared" si="2069"/>
        <v>13/11/2025</v>
      </c>
      <c r="J11002" t="str">
        <f t="shared" si="2073"/>
        <v>10/11/2025</v>
      </c>
      <c r="K11002" t="str">
        <f>("13/11/2025")</f>
        <v>13/11/2025</v>
      </c>
      <c r="L11002">
        <v>834</v>
      </c>
      <c r="M11002">
        <v>834</v>
      </c>
      <c r="N11002">
        <v>109</v>
      </c>
      <c r="O11002" t="str">
        <f>"PAGAMENTO DE ENTREGADORES"</f>
        <v>PAGAMENTO DE ENTREGADORES</v>
      </c>
      <c r="P11002">
        <v>834</v>
      </c>
      <c r="S11002" t="str">
        <f>"BANCO C6 (149)"</f>
        <v>BANCO C6 (149)</v>
      </c>
      <c r="T11002">
        <v>21769</v>
      </c>
      <c r="U11002">
        <v>25038</v>
      </c>
      <c r="V11002" t="s">
        <v>77</v>
      </c>
    </row>
    <row r="11003" spans="1:22">
      <c r="A11003" t="str">
        <f t="shared" si="2066"/>
        <v>13/11/2025</v>
      </c>
      <c r="B11003" t="str">
        <f t="shared" si="2067"/>
        <v>SAÍDA</v>
      </c>
      <c r="C11003" t="str">
        <f t="shared" si="2068"/>
        <v>PIX</v>
      </c>
      <c r="D11003" t="str">
        <f>"25038"</f>
        <v>25038</v>
      </c>
      <c r="E11003" t="str">
        <f t="shared" si="2070"/>
        <v>1</v>
      </c>
      <c r="F11003" t="str">
        <f t="shared" si="2072"/>
        <v>COM</v>
      </c>
      <c r="G11003" t="str">
        <f>"ALLAN SILVA DAMACENA (790)"</f>
        <v>ALLAN SILVA DAMACENA (790)</v>
      </c>
      <c r="H11003" t="s">
        <v>2751</v>
      </c>
      <c r="I11003" t="str">
        <f t="shared" si="2069"/>
        <v>13/11/2025</v>
      </c>
      <c r="J11003" t="str">
        <f t="shared" si="2073"/>
        <v>10/11/2025</v>
      </c>
      <c r="K11003">
        <v>45974</v>
      </c>
      <c r="N11003">
        <v>109</v>
      </c>
      <c r="O11003" t="s">
        <v>24</v>
      </c>
      <c r="Q11003">
        <v>834</v>
      </c>
      <c r="R11003" t="str">
        <f>"DROGARIA MORENO LTDA (10171)"</f>
        <v>DROGARIA MORENO LTDA (10171)</v>
      </c>
      <c r="S11003" t="s">
        <v>77</v>
      </c>
      <c r="T11003">
        <v>21769</v>
      </c>
      <c r="U11003">
        <v>25038</v>
      </c>
      <c r="V11003" t="s">
        <v>77</v>
      </c>
    </row>
    <row r="11004" spans="1:22">
      <c r="A11004" t="str">
        <f t="shared" si="2066"/>
        <v>13/11/2025</v>
      </c>
      <c r="B11004" t="str">
        <f t="shared" si="2067"/>
        <v>SAÍDA</v>
      </c>
      <c r="C11004" t="str">
        <f t="shared" si="2068"/>
        <v>PIX</v>
      </c>
      <c r="D11004" t="str">
        <f>"25039"</f>
        <v>25039</v>
      </c>
      <c r="E11004" t="str">
        <f t="shared" si="2070"/>
        <v>1</v>
      </c>
      <c r="F11004" t="str">
        <f t="shared" si="2072"/>
        <v>COM</v>
      </c>
      <c r="G11004" t="str">
        <f>"EDUARDO MARQUES DOS SANTOS (787)"</f>
        <v>EDUARDO MARQUES DOS SANTOS (787)</v>
      </c>
      <c r="H11004" t="str">
        <f>"Serv.Prest. 03/11/2025 a 09/11/2025 - PIX: CELULAR - CHAVE: (11) 97402-1586"</f>
        <v>Serv.Prest. 03/11/2025 a 09/11/2025 - PIX: CELULAR - CHAVE: (11) 97402-1586</v>
      </c>
      <c r="I11004" t="str">
        <f t="shared" si="2069"/>
        <v>13/11/2025</v>
      </c>
      <c r="J11004" t="str">
        <f t="shared" si="2073"/>
        <v>10/11/2025</v>
      </c>
      <c r="K11004" t="str">
        <f>("13/11/2025")</f>
        <v>13/11/2025</v>
      </c>
      <c r="L11004">
        <v>1037</v>
      </c>
      <c r="M11004">
        <v>1037</v>
      </c>
      <c r="N11004">
        <v>109</v>
      </c>
      <c r="O11004" t="str">
        <f>"PAGAMENTO DE ENTREGADORES"</f>
        <v>PAGAMENTO DE ENTREGADORES</v>
      </c>
      <c r="P11004">
        <v>1037</v>
      </c>
      <c r="S11004" t="str">
        <f>"BANCO C6 (149)"</f>
        <v>BANCO C6 (149)</v>
      </c>
      <c r="T11004">
        <v>21770</v>
      </c>
      <c r="U11004">
        <v>25039</v>
      </c>
      <c r="V11004" t="s">
        <v>77</v>
      </c>
    </row>
    <row r="11005" spans="1:22">
      <c r="A11005" t="str">
        <f t="shared" si="2066"/>
        <v>13/11/2025</v>
      </c>
      <c r="B11005" t="str">
        <f t="shared" si="2067"/>
        <v>SAÍDA</v>
      </c>
      <c r="C11005" t="str">
        <f t="shared" si="2068"/>
        <v>PIX</v>
      </c>
      <c r="D11005" t="str">
        <f>"25039"</f>
        <v>25039</v>
      </c>
      <c r="E11005" t="str">
        <f t="shared" si="2070"/>
        <v>1</v>
      </c>
      <c r="F11005" t="str">
        <f t="shared" si="2072"/>
        <v>COM</v>
      </c>
      <c r="G11005" t="str">
        <f>"EDUARDO MARQUES DOS SANTOS (787)"</f>
        <v>EDUARDO MARQUES DOS SANTOS (787)</v>
      </c>
      <c r="H11005" t="s">
        <v>2828</v>
      </c>
      <c r="I11005" t="str">
        <f t="shared" si="2069"/>
        <v>13/11/2025</v>
      </c>
      <c r="J11005" t="str">
        <f t="shared" si="2073"/>
        <v>10/11/2025</v>
      </c>
      <c r="K11005">
        <v>45974</v>
      </c>
      <c r="N11005">
        <v>109</v>
      </c>
      <c r="O11005" t="s">
        <v>24</v>
      </c>
      <c r="Q11005">
        <v>1037</v>
      </c>
      <c r="R11005" t="str">
        <f>"DROGARIA MORENO LTDA (10171)"</f>
        <v>DROGARIA MORENO LTDA (10171)</v>
      </c>
      <c r="S11005" t="s">
        <v>77</v>
      </c>
      <c r="T11005">
        <v>21770</v>
      </c>
      <c r="U11005">
        <v>25039</v>
      </c>
      <c r="V11005" t="s">
        <v>77</v>
      </c>
    </row>
    <row r="11006" spans="1:22">
      <c r="A11006" t="str">
        <f t="shared" si="2066"/>
        <v>13/11/2025</v>
      </c>
      <c r="B11006" t="str">
        <f t="shared" si="2067"/>
        <v>SAÍDA</v>
      </c>
      <c r="C11006" t="str">
        <f t="shared" si="2068"/>
        <v>PIX</v>
      </c>
      <c r="D11006" t="str">
        <f>"25041"</f>
        <v>25041</v>
      </c>
      <c r="E11006" t="str">
        <f t="shared" si="2070"/>
        <v>1</v>
      </c>
      <c r="F11006" t="str">
        <f t="shared" si="2072"/>
        <v>COM</v>
      </c>
      <c r="G11006" t="str">
        <f>"PAULO CESAR DE FARIA (865)"</f>
        <v>PAULO CESAR DE FARIA (865)</v>
      </c>
      <c r="H11006" t="str">
        <f>"Serv.Prest. 03/11/2025 a 09/11/2025 - PIX: CELULAR - CHAVE: (11) 99992-0816"</f>
        <v>Serv.Prest. 03/11/2025 a 09/11/2025 - PIX: CELULAR - CHAVE: (11) 99992-0816</v>
      </c>
      <c r="I11006" t="str">
        <f t="shared" si="2069"/>
        <v>13/11/2025</v>
      </c>
      <c r="J11006" t="str">
        <f t="shared" si="2073"/>
        <v>10/11/2025</v>
      </c>
      <c r="K11006" t="str">
        <f>("13/11/2025")</f>
        <v>13/11/2025</v>
      </c>
      <c r="L11006">
        <v>953</v>
      </c>
      <c r="M11006">
        <v>953</v>
      </c>
      <c r="N11006">
        <v>109</v>
      </c>
      <c r="O11006" t="str">
        <f>"PAGAMENTO DE ENTREGADORES"</f>
        <v>PAGAMENTO DE ENTREGADORES</v>
      </c>
      <c r="P11006">
        <v>953</v>
      </c>
      <c r="S11006" t="str">
        <f>"BANCO C6 (149)"</f>
        <v>BANCO C6 (149)</v>
      </c>
      <c r="T11006">
        <v>21771</v>
      </c>
      <c r="U11006">
        <v>25041</v>
      </c>
      <c r="V11006" t="s">
        <v>77</v>
      </c>
    </row>
    <row r="11007" spans="1:22">
      <c r="A11007" t="str">
        <f t="shared" si="2066"/>
        <v>13/11/2025</v>
      </c>
      <c r="B11007" t="str">
        <f t="shared" si="2067"/>
        <v>SAÍDA</v>
      </c>
      <c r="C11007" t="str">
        <f t="shared" si="2068"/>
        <v>PIX</v>
      </c>
      <c r="D11007" t="str">
        <f>"25041"</f>
        <v>25041</v>
      </c>
      <c r="E11007" t="str">
        <f t="shared" si="2070"/>
        <v>1</v>
      </c>
      <c r="F11007" t="str">
        <f t="shared" si="2072"/>
        <v>COM</v>
      </c>
      <c r="G11007" t="str">
        <f>"PAULO CESAR DE FARIA (865)"</f>
        <v>PAULO CESAR DE FARIA (865)</v>
      </c>
      <c r="H11007" t="s">
        <v>2882</v>
      </c>
      <c r="I11007" t="str">
        <f t="shared" si="2069"/>
        <v>13/11/2025</v>
      </c>
      <c r="J11007" t="str">
        <f t="shared" si="2073"/>
        <v>10/11/2025</v>
      </c>
      <c r="K11007">
        <v>45974</v>
      </c>
      <c r="N11007">
        <v>109</v>
      </c>
      <c r="O11007" t="s">
        <v>24</v>
      </c>
      <c r="Q11007">
        <v>953</v>
      </c>
      <c r="R11007" t="str">
        <f>"DROGARIA MORENO LTDA (10171)"</f>
        <v>DROGARIA MORENO LTDA (10171)</v>
      </c>
      <c r="S11007" t="s">
        <v>77</v>
      </c>
      <c r="T11007">
        <v>21771</v>
      </c>
      <c r="U11007">
        <v>25041</v>
      </c>
      <c r="V11007" t="s">
        <v>77</v>
      </c>
    </row>
    <row r="11008" spans="1:22">
      <c r="A11008" t="str">
        <f t="shared" si="2066"/>
        <v>13/11/2025</v>
      </c>
      <c r="B11008" t="str">
        <f t="shared" si="2067"/>
        <v>SAÍDA</v>
      </c>
      <c r="C11008" t="str">
        <f t="shared" si="2068"/>
        <v>PIX</v>
      </c>
      <c r="D11008" t="str">
        <f>"25047"</f>
        <v>25047</v>
      </c>
      <c r="E11008" t="str">
        <f t="shared" si="2070"/>
        <v>1</v>
      </c>
      <c r="F11008" t="str">
        <f t="shared" si="2072"/>
        <v>COM</v>
      </c>
      <c r="G11008" t="str">
        <f>"BRENO HENRIQUE DE SOUSA (596)"</f>
        <v>BRENO HENRIQUE DE SOUSA (596)</v>
      </c>
      <c r="H11008" t="str">
        <f>"Serv.Prest. 03/11/2025 a 09/11/2025 - PIX: CELULAR - CHAVE: (37) 99146-2630"</f>
        <v>Serv.Prest. 03/11/2025 a 09/11/2025 - PIX: CELULAR - CHAVE: (37) 99146-2630</v>
      </c>
      <c r="I11008" t="str">
        <f t="shared" si="2069"/>
        <v>13/11/2025</v>
      </c>
      <c r="J11008" t="str">
        <f t="shared" si="2073"/>
        <v>10/11/2025</v>
      </c>
      <c r="K11008" t="str">
        <f>("13/11/2025")</f>
        <v>13/11/2025</v>
      </c>
      <c r="L11008">
        <v>1060</v>
      </c>
      <c r="M11008">
        <v>1060</v>
      </c>
      <c r="N11008">
        <v>109</v>
      </c>
      <c r="O11008" t="str">
        <f>"PAGAMENTO DE ENTREGADORES"</f>
        <v>PAGAMENTO DE ENTREGADORES</v>
      </c>
      <c r="P11008">
        <v>1060</v>
      </c>
      <c r="S11008" t="str">
        <f>"BANCO C6 (149)"</f>
        <v>BANCO C6 (149)</v>
      </c>
      <c r="T11008">
        <v>21772</v>
      </c>
      <c r="U11008">
        <v>25047</v>
      </c>
      <c r="V11008" t="s">
        <v>77</v>
      </c>
    </row>
    <row r="11009" spans="1:22">
      <c r="A11009" t="str">
        <f t="shared" si="2066"/>
        <v>13/11/2025</v>
      </c>
      <c r="B11009" t="str">
        <f t="shared" si="2067"/>
        <v>SAÍDA</v>
      </c>
      <c r="C11009" t="str">
        <f t="shared" si="2068"/>
        <v>PIX</v>
      </c>
      <c r="D11009" t="str">
        <f>"25047"</f>
        <v>25047</v>
      </c>
      <c r="E11009" t="str">
        <f t="shared" si="2070"/>
        <v>1</v>
      </c>
      <c r="F11009" t="str">
        <f t="shared" si="2072"/>
        <v>COM</v>
      </c>
      <c r="G11009" t="str">
        <f>"BRENO HENRIQUE DE SOUSA (596)"</f>
        <v>BRENO HENRIQUE DE SOUSA (596)</v>
      </c>
      <c r="H11009" t="s">
        <v>2815</v>
      </c>
      <c r="I11009" t="str">
        <f t="shared" si="2069"/>
        <v>13/11/2025</v>
      </c>
      <c r="J11009" t="str">
        <f t="shared" si="2073"/>
        <v>10/11/2025</v>
      </c>
      <c r="K11009">
        <v>45974</v>
      </c>
      <c r="N11009">
        <v>109</v>
      </c>
      <c r="O11009" t="s">
        <v>24</v>
      </c>
      <c r="Q11009">
        <v>1060</v>
      </c>
      <c r="R11009" t="str">
        <f>"DROGARIA POUPA MINAS (ULTRAMINAS) 1 (10181)"</f>
        <v>DROGARIA POUPA MINAS (ULTRAMINAS) 1 (10181)</v>
      </c>
      <c r="S11009" t="s">
        <v>77</v>
      </c>
      <c r="T11009">
        <v>21772</v>
      </c>
      <c r="U11009">
        <v>25047</v>
      </c>
      <c r="V11009" t="s">
        <v>77</v>
      </c>
    </row>
    <row r="11010" spans="1:22">
      <c r="A11010" t="str">
        <f t="shared" si="2066"/>
        <v>13/11/2025</v>
      </c>
      <c r="B11010" t="str">
        <f t="shared" si="2067"/>
        <v>SAÍDA</v>
      </c>
      <c r="C11010" t="str">
        <f t="shared" si="2068"/>
        <v>PIX</v>
      </c>
      <c r="D11010" t="str">
        <f>"25048"</f>
        <v>25048</v>
      </c>
      <c r="E11010" t="str">
        <f t="shared" si="2070"/>
        <v>1</v>
      </c>
      <c r="F11010" t="str">
        <f t="shared" si="2072"/>
        <v>COM</v>
      </c>
      <c r="G11010" t="str">
        <f>"LUIZ PAULO DE OLIVEIRA (712)"</f>
        <v>LUIZ PAULO DE OLIVEIRA (712)</v>
      </c>
      <c r="H11010" t="str">
        <f>"Serv.Prest. 03/11/2025 a 09/11/2025 - PIX: CPF - CHAVE: 090.332.006-19"</f>
        <v>Serv.Prest. 03/11/2025 a 09/11/2025 - PIX: CPF - CHAVE: 090.332.006-19</v>
      </c>
      <c r="I11010" t="str">
        <f t="shared" si="2069"/>
        <v>13/11/2025</v>
      </c>
      <c r="J11010" t="str">
        <f t="shared" si="2073"/>
        <v>10/11/2025</v>
      </c>
      <c r="K11010" t="str">
        <f>("13/11/2025")</f>
        <v>13/11/2025</v>
      </c>
      <c r="L11010">
        <v>880</v>
      </c>
      <c r="M11010">
        <v>880</v>
      </c>
      <c r="N11010">
        <v>109</v>
      </c>
      <c r="O11010" t="str">
        <f>"PAGAMENTO DE ENTREGADORES"</f>
        <v>PAGAMENTO DE ENTREGADORES</v>
      </c>
      <c r="P11010">
        <v>880</v>
      </c>
      <c r="S11010" t="str">
        <f>"BANCO C6 (149)"</f>
        <v>BANCO C6 (149)</v>
      </c>
      <c r="T11010">
        <v>21773</v>
      </c>
      <c r="U11010">
        <v>25048</v>
      </c>
      <c r="V11010" t="s">
        <v>77</v>
      </c>
    </row>
    <row r="11011" spans="1:22">
      <c r="A11011" t="str">
        <f t="shared" si="2066"/>
        <v>13/11/2025</v>
      </c>
      <c r="B11011" t="str">
        <f t="shared" si="2067"/>
        <v>SAÍDA</v>
      </c>
      <c r="C11011" t="str">
        <f t="shared" si="2068"/>
        <v>PIX</v>
      </c>
      <c r="D11011" t="str">
        <f>"25048"</f>
        <v>25048</v>
      </c>
      <c r="E11011" t="str">
        <f t="shared" si="2070"/>
        <v>1</v>
      </c>
      <c r="F11011" t="str">
        <f t="shared" si="2072"/>
        <v>COM</v>
      </c>
      <c r="G11011" t="str">
        <f>"LUIZ PAULO DE OLIVEIRA (712)"</f>
        <v>LUIZ PAULO DE OLIVEIRA (712)</v>
      </c>
      <c r="H11011" t="s">
        <v>2871</v>
      </c>
      <c r="I11011" t="str">
        <f t="shared" si="2069"/>
        <v>13/11/2025</v>
      </c>
      <c r="J11011" t="str">
        <f t="shared" si="2073"/>
        <v>10/11/2025</v>
      </c>
      <c r="K11011">
        <v>45974</v>
      </c>
      <c r="N11011">
        <v>109</v>
      </c>
      <c r="O11011" t="s">
        <v>24</v>
      </c>
      <c r="Q11011">
        <v>880</v>
      </c>
      <c r="R11011" t="str">
        <f>"DROGARIA POUPA MINAS (ULTRAMINAS) 1 (10181)"</f>
        <v>DROGARIA POUPA MINAS (ULTRAMINAS) 1 (10181)</v>
      </c>
      <c r="S11011" t="s">
        <v>77</v>
      </c>
      <c r="T11011">
        <v>21773</v>
      </c>
      <c r="U11011">
        <v>25048</v>
      </c>
      <c r="V11011" t="s">
        <v>77</v>
      </c>
    </row>
    <row r="11012" spans="1:22">
      <c r="A11012" t="str">
        <f t="shared" si="2066"/>
        <v>13/11/2025</v>
      </c>
      <c r="B11012" t="str">
        <f t="shared" si="2067"/>
        <v>SAÍDA</v>
      </c>
      <c r="C11012" t="str">
        <f t="shared" si="2068"/>
        <v>PIX</v>
      </c>
      <c r="D11012" t="str">
        <f>"25049"</f>
        <v>25049</v>
      </c>
      <c r="E11012" t="str">
        <f t="shared" si="2070"/>
        <v>1</v>
      </c>
      <c r="F11012" t="str">
        <f t="shared" si="2072"/>
        <v>COM</v>
      </c>
      <c r="G11012" t="str">
        <f>"RICHARD HENRIQUE DA SILVA (244)"</f>
        <v>RICHARD HENRIQUE DA SILVA (244)</v>
      </c>
      <c r="H11012" t="str">
        <f>"Serv.Prest. 03/11/2025 a 09/11/2025 - PIX: CELULAR - CHAVE: (37) 99197-6834"</f>
        <v>Serv.Prest. 03/11/2025 a 09/11/2025 - PIX: CELULAR - CHAVE: (37) 99197-6834</v>
      </c>
      <c r="I11012" t="str">
        <f t="shared" si="2069"/>
        <v>13/11/2025</v>
      </c>
      <c r="J11012" t="str">
        <f t="shared" si="2073"/>
        <v>10/11/2025</v>
      </c>
      <c r="K11012" t="str">
        <f>("13/11/2025")</f>
        <v>13/11/2025</v>
      </c>
      <c r="L11012">
        <v>1480</v>
      </c>
      <c r="M11012">
        <v>1480</v>
      </c>
      <c r="N11012">
        <v>109</v>
      </c>
      <c r="O11012" t="str">
        <f>"PAGAMENTO DE ENTREGADORES"</f>
        <v>PAGAMENTO DE ENTREGADORES</v>
      </c>
      <c r="P11012">
        <v>1480</v>
      </c>
      <c r="S11012" t="str">
        <f>"BANCO C6 (149)"</f>
        <v>BANCO C6 (149)</v>
      </c>
      <c r="T11012">
        <v>21774</v>
      </c>
      <c r="U11012">
        <v>25049</v>
      </c>
      <c r="V11012" t="s">
        <v>77</v>
      </c>
    </row>
    <row r="11013" spans="1:22">
      <c r="A11013" t="str">
        <f t="shared" si="2066"/>
        <v>13/11/2025</v>
      </c>
      <c r="B11013" t="str">
        <f t="shared" si="2067"/>
        <v>SAÍDA</v>
      </c>
      <c r="C11013" t="str">
        <f t="shared" si="2068"/>
        <v>PIX</v>
      </c>
      <c r="D11013" t="str">
        <f>"25049"</f>
        <v>25049</v>
      </c>
      <c r="E11013" t="str">
        <f t="shared" si="2070"/>
        <v>1</v>
      </c>
      <c r="F11013" t="str">
        <f t="shared" si="2072"/>
        <v>COM</v>
      </c>
      <c r="G11013" t="str">
        <f>"RICHARD HENRIQUE DA SILVA (244)"</f>
        <v>RICHARD HENRIQUE DA SILVA (244)</v>
      </c>
      <c r="H11013" t="s">
        <v>2887</v>
      </c>
      <c r="I11013" t="str">
        <f t="shared" si="2069"/>
        <v>13/11/2025</v>
      </c>
      <c r="J11013" t="str">
        <f t="shared" si="2073"/>
        <v>10/11/2025</v>
      </c>
      <c r="K11013">
        <v>45974</v>
      </c>
      <c r="N11013">
        <v>109</v>
      </c>
      <c r="O11013" t="s">
        <v>24</v>
      </c>
      <c r="Q11013">
        <v>1480</v>
      </c>
      <c r="R11013" t="str">
        <f>"DROGARIA POUPA MINAS (ULTRAMINAS) 1 (10181)"</f>
        <v>DROGARIA POUPA MINAS (ULTRAMINAS) 1 (10181)</v>
      </c>
      <c r="S11013" t="s">
        <v>77</v>
      </c>
      <c r="T11013">
        <v>21774</v>
      </c>
      <c r="U11013">
        <v>25049</v>
      </c>
      <c r="V11013" t="s">
        <v>77</v>
      </c>
    </row>
    <row r="11014" spans="1:22">
      <c r="A11014" t="str">
        <f t="shared" si="2066"/>
        <v>13/11/2025</v>
      </c>
      <c r="B11014" t="str">
        <f t="shared" si="2067"/>
        <v>SAÍDA</v>
      </c>
      <c r="C11014" t="str">
        <f t="shared" si="2068"/>
        <v>PIX</v>
      </c>
      <c r="D11014" t="str">
        <f>"25050"</f>
        <v>25050</v>
      </c>
      <c r="E11014" t="str">
        <f t="shared" si="2070"/>
        <v>1</v>
      </c>
      <c r="F11014" t="str">
        <f t="shared" si="2072"/>
        <v>COM</v>
      </c>
      <c r="G11014" t="str">
        <f>"ROGERIO AUGUSTO FERREIRA (649)"</f>
        <v>ROGERIO AUGUSTO FERREIRA (649)</v>
      </c>
      <c r="H11014" t="str">
        <f>"Serv.Prest. 03/11/2025 a 09/11/2025 - PIX: CPF - CHAVE: 950.176.406-06"</f>
        <v>Serv.Prest. 03/11/2025 a 09/11/2025 - PIX: CPF - CHAVE: 950.176.406-06</v>
      </c>
      <c r="I11014" t="str">
        <f t="shared" si="2069"/>
        <v>13/11/2025</v>
      </c>
      <c r="J11014" t="str">
        <f t="shared" si="2073"/>
        <v>10/11/2025</v>
      </c>
      <c r="K11014" t="str">
        <f>("13/11/2025")</f>
        <v>13/11/2025</v>
      </c>
      <c r="L11014">
        <v>1000</v>
      </c>
      <c r="M11014">
        <v>1000</v>
      </c>
      <c r="N11014">
        <v>109</v>
      </c>
      <c r="O11014" t="str">
        <f>"PAGAMENTO DE ENTREGADORES"</f>
        <v>PAGAMENTO DE ENTREGADORES</v>
      </c>
      <c r="P11014">
        <v>1000</v>
      </c>
      <c r="S11014" t="str">
        <f>"BANCO C6 (149)"</f>
        <v>BANCO C6 (149)</v>
      </c>
      <c r="T11014">
        <v>21775</v>
      </c>
      <c r="U11014">
        <v>25050</v>
      </c>
      <c r="V11014" t="s">
        <v>77</v>
      </c>
    </row>
    <row r="11015" spans="1:22">
      <c r="A11015" t="str">
        <f t="shared" si="2066"/>
        <v>13/11/2025</v>
      </c>
      <c r="B11015" t="str">
        <f t="shared" si="2067"/>
        <v>SAÍDA</v>
      </c>
      <c r="C11015" t="str">
        <f t="shared" si="2068"/>
        <v>PIX</v>
      </c>
      <c r="D11015" t="str">
        <f>"25050"</f>
        <v>25050</v>
      </c>
      <c r="E11015" t="str">
        <f t="shared" si="2070"/>
        <v>1</v>
      </c>
      <c r="F11015" t="str">
        <f t="shared" si="2072"/>
        <v>COM</v>
      </c>
      <c r="G11015" t="str">
        <f>"ROGERIO AUGUSTO FERREIRA (649)"</f>
        <v>ROGERIO AUGUSTO FERREIRA (649)</v>
      </c>
      <c r="H11015" t="s">
        <v>2888</v>
      </c>
      <c r="I11015" t="str">
        <f t="shared" si="2069"/>
        <v>13/11/2025</v>
      </c>
      <c r="J11015" t="str">
        <f t="shared" si="2073"/>
        <v>10/11/2025</v>
      </c>
      <c r="K11015">
        <v>45974</v>
      </c>
      <c r="N11015">
        <v>109</v>
      </c>
      <c r="O11015" t="s">
        <v>24</v>
      </c>
      <c r="Q11015">
        <v>1000</v>
      </c>
      <c r="R11015" t="str">
        <f>"DROGARIA POUPA MINAS (ULTRAMINAS) 1 (10181)"</f>
        <v>DROGARIA POUPA MINAS (ULTRAMINAS) 1 (10181)</v>
      </c>
      <c r="S11015" t="s">
        <v>77</v>
      </c>
      <c r="T11015">
        <v>21775</v>
      </c>
      <c r="U11015">
        <v>25050</v>
      </c>
      <c r="V11015" t="s">
        <v>77</v>
      </c>
    </row>
    <row r="11016" spans="1:22">
      <c r="A11016" t="str">
        <f t="shared" si="2066"/>
        <v>13/11/2025</v>
      </c>
      <c r="B11016" t="str">
        <f t="shared" si="2067"/>
        <v>SAÍDA</v>
      </c>
      <c r="C11016" t="str">
        <f t="shared" si="2068"/>
        <v>PIX</v>
      </c>
      <c r="D11016" t="str">
        <f>"25051"</f>
        <v>25051</v>
      </c>
      <c r="E11016" t="str">
        <f t="shared" si="2070"/>
        <v>1</v>
      </c>
      <c r="F11016" t="str">
        <f t="shared" si="2072"/>
        <v>COM</v>
      </c>
      <c r="G11016" t="str">
        <f>"THALES VINÍCIUS RODRIGUES DE OLIVEIRA (704)"</f>
        <v>THALES VINÍCIUS RODRIGUES DE OLIVEIRA (704)</v>
      </c>
      <c r="H11016" t="str">
        <f>"Serv.Prest. 03/11/2025 a 09/11/2025 - PIX: CELULAR - CHAVE: (37) 99138-1777"</f>
        <v>Serv.Prest. 03/11/2025 a 09/11/2025 - PIX: CELULAR - CHAVE: (37) 99138-1777</v>
      </c>
      <c r="I11016" t="str">
        <f t="shared" si="2069"/>
        <v>13/11/2025</v>
      </c>
      <c r="J11016" t="str">
        <f t="shared" si="2073"/>
        <v>10/11/2025</v>
      </c>
      <c r="K11016" t="str">
        <f>("13/11/2025")</f>
        <v>13/11/2025</v>
      </c>
      <c r="L11016">
        <v>1060</v>
      </c>
      <c r="M11016">
        <v>1060</v>
      </c>
      <c r="N11016">
        <v>109</v>
      </c>
      <c r="O11016" t="str">
        <f>"PAGAMENTO DE ENTREGADORES"</f>
        <v>PAGAMENTO DE ENTREGADORES</v>
      </c>
      <c r="P11016">
        <v>1060</v>
      </c>
      <c r="S11016" t="str">
        <f>"BANCO C6 (149)"</f>
        <v>BANCO C6 (149)</v>
      </c>
      <c r="T11016">
        <v>21776</v>
      </c>
      <c r="U11016">
        <v>25051</v>
      </c>
      <c r="V11016" t="s">
        <v>77</v>
      </c>
    </row>
    <row r="11017" spans="1:22">
      <c r="A11017" t="str">
        <f t="shared" si="2066"/>
        <v>13/11/2025</v>
      </c>
      <c r="B11017" t="str">
        <f t="shared" si="2067"/>
        <v>SAÍDA</v>
      </c>
      <c r="C11017" t="str">
        <f t="shared" si="2068"/>
        <v>PIX</v>
      </c>
      <c r="D11017" t="str">
        <f>"25051"</f>
        <v>25051</v>
      </c>
      <c r="E11017" t="str">
        <f t="shared" si="2070"/>
        <v>1</v>
      </c>
      <c r="F11017" t="str">
        <f t="shared" si="2072"/>
        <v>COM</v>
      </c>
      <c r="G11017" t="str">
        <f>"THALES VINÍCIUS RODRIGUES DE OLIVEIRA (704)"</f>
        <v>THALES VINÍCIUS RODRIGUES DE OLIVEIRA (704)</v>
      </c>
      <c r="H11017" t="s">
        <v>2895</v>
      </c>
      <c r="I11017" t="str">
        <f t="shared" si="2069"/>
        <v>13/11/2025</v>
      </c>
      <c r="J11017" t="str">
        <f t="shared" si="2073"/>
        <v>10/11/2025</v>
      </c>
      <c r="K11017">
        <v>45974</v>
      </c>
      <c r="N11017">
        <v>109</v>
      </c>
      <c r="O11017" t="s">
        <v>24</v>
      </c>
      <c r="Q11017">
        <v>1060</v>
      </c>
      <c r="R11017" t="str">
        <f>"DROGARIA POUPA MINAS (ULTRAMINAS) 1 (10181)"</f>
        <v>DROGARIA POUPA MINAS (ULTRAMINAS) 1 (10181)</v>
      </c>
      <c r="S11017" t="s">
        <v>77</v>
      </c>
      <c r="T11017">
        <v>21776</v>
      </c>
      <c r="U11017">
        <v>25051</v>
      </c>
      <c r="V11017" t="s">
        <v>77</v>
      </c>
    </row>
    <row r="11018" spans="1:22">
      <c r="A11018" t="str">
        <f t="shared" si="2066"/>
        <v>13/11/2025</v>
      </c>
      <c r="B11018" t="str">
        <f t="shared" si="2067"/>
        <v>SAÍDA</v>
      </c>
      <c r="C11018" t="str">
        <f t="shared" si="2068"/>
        <v>PIX</v>
      </c>
      <c r="D11018" t="str">
        <f>"25052"</f>
        <v>25052</v>
      </c>
      <c r="E11018" t="str">
        <f t="shared" si="2070"/>
        <v>1</v>
      </c>
      <c r="F11018" t="str">
        <f t="shared" si="2072"/>
        <v>COM</v>
      </c>
      <c r="G11018" t="str">
        <f>"TIAGO VIEIRA (372)"</f>
        <v>TIAGO VIEIRA (372)</v>
      </c>
      <c r="H11018" t="str">
        <f>"Serv.Prest. 03/11/2025 a 09/11/2025 - PIX: CELULAR - CHAVE: (37) 98841-8571"</f>
        <v>Serv.Prest. 03/11/2025 a 09/11/2025 - PIX: CELULAR - CHAVE: (37) 98841-8571</v>
      </c>
      <c r="I11018" t="str">
        <f t="shared" si="2069"/>
        <v>13/11/2025</v>
      </c>
      <c r="J11018" t="str">
        <f t="shared" si="2073"/>
        <v>10/11/2025</v>
      </c>
      <c r="K11018" t="str">
        <f>("13/11/2025")</f>
        <v>13/11/2025</v>
      </c>
      <c r="L11018">
        <v>826</v>
      </c>
      <c r="M11018">
        <v>826</v>
      </c>
      <c r="N11018">
        <v>109</v>
      </c>
      <c r="O11018" t="str">
        <f>"PAGAMENTO DE ENTREGADORES"</f>
        <v>PAGAMENTO DE ENTREGADORES</v>
      </c>
      <c r="P11018">
        <v>826</v>
      </c>
      <c r="S11018" t="str">
        <f>"BANCO C6 (149)"</f>
        <v>BANCO C6 (149)</v>
      </c>
      <c r="T11018">
        <v>21777</v>
      </c>
      <c r="U11018">
        <v>25052</v>
      </c>
      <c r="V11018" t="s">
        <v>77</v>
      </c>
    </row>
    <row r="11019" spans="1:22">
      <c r="A11019" t="str">
        <f t="shared" si="2066"/>
        <v>13/11/2025</v>
      </c>
      <c r="B11019" t="str">
        <f t="shared" si="2067"/>
        <v>SAÍDA</v>
      </c>
      <c r="C11019" t="str">
        <f t="shared" si="2068"/>
        <v>PIX</v>
      </c>
      <c r="D11019" t="str">
        <f>"25052"</f>
        <v>25052</v>
      </c>
      <c r="E11019" t="str">
        <f t="shared" si="2070"/>
        <v>1</v>
      </c>
      <c r="F11019" t="str">
        <f t="shared" si="2072"/>
        <v>COM</v>
      </c>
      <c r="G11019" t="str">
        <f>"TIAGO VIEIRA (372)"</f>
        <v>TIAGO VIEIRA (372)</v>
      </c>
      <c r="H11019" t="s">
        <v>2896</v>
      </c>
      <c r="I11019" t="str">
        <f t="shared" si="2069"/>
        <v>13/11/2025</v>
      </c>
      <c r="J11019" t="str">
        <f t="shared" si="2073"/>
        <v>10/11/2025</v>
      </c>
      <c r="K11019">
        <v>45974</v>
      </c>
      <c r="N11019">
        <v>109</v>
      </c>
      <c r="O11019" t="s">
        <v>24</v>
      </c>
      <c r="Q11019">
        <v>826</v>
      </c>
      <c r="R11019" t="str">
        <f>"DROGARIA POUPA MINAS (ULTRAMINAS) 1 (10181)"</f>
        <v>DROGARIA POUPA MINAS (ULTRAMINAS) 1 (10181)</v>
      </c>
      <c r="S11019" t="s">
        <v>77</v>
      </c>
      <c r="T11019">
        <v>21777</v>
      </c>
      <c r="U11019">
        <v>25052</v>
      </c>
      <c r="V11019" t="s">
        <v>77</v>
      </c>
    </row>
    <row r="11020" spans="1:22">
      <c r="A11020" t="str">
        <f t="shared" si="2066"/>
        <v>13/11/2025</v>
      </c>
      <c r="B11020" t="str">
        <f t="shared" si="2067"/>
        <v>SAÍDA</v>
      </c>
      <c r="C11020" t="str">
        <f t="shared" si="2068"/>
        <v>PIX</v>
      </c>
      <c r="D11020" t="str">
        <f>"25054"</f>
        <v>25054</v>
      </c>
      <c r="E11020" t="str">
        <f t="shared" si="2070"/>
        <v>1</v>
      </c>
      <c r="F11020" t="str">
        <f t="shared" si="2072"/>
        <v>COM</v>
      </c>
      <c r="G11020" t="str">
        <f>"ALEX SILVA RODRIGUES (1027)"</f>
        <v>ALEX SILVA RODRIGUES (1027)</v>
      </c>
      <c r="H11020" t="str">
        <f>"Serv.Prest. 03/11/2025 a 09/11/2025 - PIX: CELULAR - CHAVE: (64) 99952-0910"</f>
        <v>Serv.Prest. 03/11/2025 a 09/11/2025 - PIX: CELULAR - CHAVE: (64) 99952-0910</v>
      </c>
      <c r="I11020" t="str">
        <f t="shared" si="2069"/>
        <v>13/11/2025</v>
      </c>
      <c r="J11020" t="str">
        <f t="shared" si="2073"/>
        <v>10/11/2025</v>
      </c>
      <c r="K11020" t="str">
        <f>("13/11/2025")</f>
        <v>13/11/2025</v>
      </c>
      <c r="L11020">
        <v>805</v>
      </c>
      <c r="M11020">
        <v>805</v>
      </c>
      <c r="N11020">
        <v>109</v>
      </c>
      <c r="O11020" t="str">
        <f>"PAGAMENTO DE ENTREGADORES"</f>
        <v>PAGAMENTO DE ENTREGADORES</v>
      </c>
      <c r="P11020">
        <v>805</v>
      </c>
      <c r="S11020" t="str">
        <f>"BANCO C6 (149)"</f>
        <v>BANCO C6 (149)</v>
      </c>
      <c r="T11020">
        <v>21778</v>
      </c>
      <c r="U11020">
        <v>25054</v>
      </c>
      <c r="V11020" t="s">
        <v>77</v>
      </c>
    </row>
    <row r="11021" spans="1:22">
      <c r="A11021" t="str">
        <f t="shared" si="2066"/>
        <v>13/11/2025</v>
      </c>
      <c r="B11021" t="str">
        <f t="shared" si="2067"/>
        <v>SAÍDA</v>
      </c>
      <c r="C11021" t="str">
        <f t="shared" si="2068"/>
        <v>PIX</v>
      </c>
      <c r="D11021" t="str">
        <f>"25054"</f>
        <v>25054</v>
      </c>
      <c r="E11021" t="str">
        <f t="shared" si="2070"/>
        <v>1</v>
      </c>
      <c r="F11021" t="str">
        <f t="shared" si="2072"/>
        <v>COM</v>
      </c>
      <c r="G11021" t="str">
        <f>"ALEX SILVA RODRIGUES (1027)"</f>
        <v>ALEX SILVA RODRIGUES (1027)</v>
      </c>
      <c r="H11021" t="s">
        <v>3014</v>
      </c>
      <c r="I11021" t="str">
        <f t="shared" si="2069"/>
        <v>13/11/2025</v>
      </c>
      <c r="J11021" t="str">
        <f t="shared" si="2073"/>
        <v>10/11/2025</v>
      </c>
      <c r="K11021">
        <v>45974</v>
      </c>
      <c r="N11021">
        <v>109</v>
      </c>
      <c r="O11021" t="s">
        <v>24</v>
      </c>
      <c r="Q11021">
        <v>805</v>
      </c>
      <c r="R11021" t="str">
        <f>"FARMACIA ECONOMIZE (10103)"</f>
        <v>FARMACIA ECONOMIZE (10103)</v>
      </c>
      <c r="S11021" t="s">
        <v>77</v>
      </c>
      <c r="T11021">
        <v>21778</v>
      </c>
      <c r="U11021">
        <v>25054</v>
      </c>
      <c r="V11021" t="s">
        <v>77</v>
      </c>
    </row>
    <row r="11022" spans="1:22">
      <c r="A11022" t="str">
        <f t="shared" si="2066"/>
        <v>13/11/2025</v>
      </c>
      <c r="B11022" t="str">
        <f t="shared" si="2067"/>
        <v>SAÍDA</v>
      </c>
      <c r="C11022" t="str">
        <f t="shared" si="2068"/>
        <v>PIX</v>
      </c>
      <c r="D11022" t="str">
        <f>"25055"</f>
        <v>25055</v>
      </c>
      <c r="E11022" t="str">
        <f t="shared" si="2070"/>
        <v>1</v>
      </c>
      <c r="F11022" t="str">
        <f t="shared" si="2072"/>
        <v>COM</v>
      </c>
      <c r="G11022" t="str">
        <f>"WILLIAM DA SILVA COSTA (655)"</f>
        <v>WILLIAM DA SILVA COSTA (655)</v>
      </c>
      <c r="H11022" t="str">
        <f>"Serv.Prest. 03/11/2025 a 09/11/2025 - PIX: CELULAR - CHAVE: (64) 97400-9101"</f>
        <v>Serv.Prest. 03/11/2025 a 09/11/2025 - PIX: CELULAR - CHAVE: (64) 97400-9101</v>
      </c>
      <c r="I11022" t="str">
        <f t="shared" si="2069"/>
        <v>13/11/2025</v>
      </c>
      <c r="J11022" t="str">
        <f t="shared" si="2073"/>
        <v>10/11/2025</v>
      </c>
      <c r="K11022" t="str">
        <f>("13/11/2025")</f>
        <v>13/11/2025</v>
      </c>
      <c r="L11022">
        <v>1198</v>
      </c>
      <c r="M11022">
        <v>1198</v>
      </c>
      <c r="N11022">
        <v>109</v>
      </c>
      <c r="O11022" t="str">
        <f>"PAGAMENTO DE ENTREGADORES"</f>
        <v>PAGAMENTO DE ENTREGADORES</v>
      </c>
      <c r="P11022">
        <v>1198</v>
      </c>
      <c r="S11022" t="str">
        <f>"BANCO C6 (149)"</f>
        <v>BANCO C6 (149)</v>
      </c>
      <c r="T11022">
        <v>21779</v>
      </c>
      <c r="U11022">
        <v>25055</v>
      </c>
      <c r="V11022" t="s">
        <v>77</v>
      </c>
    </row>
    <row r="11023" spans="1:22">
      <c r="A11023" t="str">
        <f t="shared" si="2066"/>
        <v>13/11/2025</v>
      </c>
      <c r="B11023" t="str">
        <f t="shared" si="2067"/>
        <v>SAÍDA</v>
      </c>
      <c r="C11023" t="str">
        <f t="shared" si="2068"/>
        <v>PIX</v>
      </c>
      <c r="D11023" t="str">
        <f>"25055"</f>
        <v>25055</v>
      </c>
      <c r="E11023" t="str">
        <f t="shared" si="2070"/>
        <v>1</v>
      </c>
      <c r="F11023" t="str">
        <f t="shared" si="2072"/>
        <v>COM</v>
      </c>
      <c r="G11023" t="str">
        <f>"WILLIAM DA SILVA COSTA (655)"</f>
        <v>WILLIAM DA SILVA COSTA (655)</v>
      </c>
      <c r="H11023" t="s">
        <v>2910</v>
      </c>
      <c r="I11023" t="str">
        <f t="shared" si="2069"/>
        <v>13/11/2025</v>
      </c>
      <c r="J11023" t="str">
        <f t="shared" si="2073"/>
        <v>10/11/2025</v>
      </c>
      <c r="K11023">
        <v>45974</v>
      </c>
      <c r="N11023">
        <v>109</v>
      </c>
      <c r="O11023" t="s">
        <v>24</v>
      </c>
      <c r="Q11023">
        <v>1198</v>
      </c>
      <c r="R11023" t="str">
        <f>"FARMACIA ECONOMIZE (10103)"</f>
        <v>FARMACIA ECONOMIZE (10103)</v>
      </c>
      <c r="S11023" t="s">
        <v>77</v>
      </c>
      <c r="T11023">
        <v>21779</v>
      </c>
      <c r="U11023">
        <v>25055</v>
      </c>
      <c r="V11023" t="s">
        <v>77</v>
      </c>
    </row>
    <row r="11024" spans="1:22">
      <c r="A11024" t="str">
        <f t="shared" si="2066"/>
        <v>13/11/2025</v>
      </c>
      <c r="B11024" t="str">
        <f t="shared" si="2067"/>
        <v>SAÍDA</v>
      </c>
      <c r="C11024" t="str">
        <f t="shared" si="2068"/>
        <v>PIX</v>
      </c>
      <c r="D11024" t="str">
        <f>"25057"</f>
        <v>25057</v>
      </c>
      <c r="E11024" t="str">
        <f t="shared" si="2070"/>
        <v>1</v>
      </c>
      <c r="F11024" t="str">
        <f t="shared" si="2072"/>
        <v>COM</v>
      </c>
      <c r="G11024" t="str">
        <f>"CLAUDIO DOS SANTOS (507)"</f>
        <v>CLAUDIO DOS SANTOS (507)</v>
      </c>
      <c r="H11024" t="str">
        <f>"Serv.Prest. 03/11/2025 a 09/11/2025 - PIX: E-MAIL - CHAVE: claudioverdinho2009@hotmail.com"</f>
        <v>Serv.Prest. 03/11/2025 a 09/11/2025 - PIX: E-MAIL - CHAVE: claudioverdinho2009@hotmail.com</v>
      </c>
      <c r="I11024" t="str">
        <f t="shared" si="2069"/>
        <v>13/11/2025</v>
      </c>
      <c r="J11024" t="str">
        <f t="shared" si="2073"/>
        <v>10/11/2025</v>
      </c>
      <c r="K11024" t="str">
        <f>("13/11/2025")</f>
        <v>13/11/2025</v>
      </c>
      <c r="L11024">
        <v>149</v>
      </c>
      <c r="M11024">
        <v>149</v>
      </c>
      <c r="N11024">
        <v>109</v>
      </c>
      <c r="O11024" t="str">
        <f>"PAGAMENTO DE ENTREGADORES"</f>
        <v>PAGAMENTO DE ENTREGADORES</v>
      </c>
      <c r="P11024">
        <v>149</v>
      </c>
      <c r="S11024" t="str">
        <f>"BANCO C6 (149)"</f>
        <v>BANCO C6 (149)</v>
      </c>
      <c r="T11024">
        <v>21780</v>
      </c>
      <c r="U11024">
        <v>25057</v>
      </c>
      <c r="V11024" t="s">
        <v>77</v>
      </c>
    </row>
    <row r="11025" spans="1:22">
      <c r="A11025" t="str">
        <f t="shared" si="2066"/>
        <v>13/11/2025</v>
      </c>
      <c r="B11025" t="str">
        <f t="shared" si="2067"/>
        <v>SAÍDA</v>
      </c>
      <c r="C11025" t="str">
        <f t="shared" si="2068"/>
        <v>PIX</v>
      </c>
      <c r="D11025" t="str">
        <f>"25057"</f>
        <v>25057</v>
      </c>
      <c r="E11025" t="str">
        <f t="shared" si="2070"/>
        <v>1</v>
      </c>
      <c r="F11025" t="str">
        <f t="shared" si="2072"/>
        <v>COM</v>
      </c>
      <c r="G11025" t="str">
        <f>"CLAUDIO DOS SANTOS (507)"</f>
        <v>CLAUDIO DOS SANTOS (507)</v>
      </c>
      <c r="H11025" t="s">
        <v>2821</v>
      </c>
      <c r="I11025" t="str">
        <f t="shared" si="2069"/>
        <v>13/11/2025</v>
      </c>
      <c r="J11025" t="str">
        <f t="shared" si="2073"/>
        <v>10/11/2025</v>
      </c>
      <c r="K11025">
        <v>45974</v>
      </c>
      <c r="N11025">
        <v>109</v>
      </c>
      <c r="O11025" t="s">
        <v>24</v>
      </c>
      <c r="Q11025">
        <v>149</v>
      </c>
      <c r="R11025" t="str">
        <f>"JAL FARMACIA E DROGARIA LJ 2 (10138)"</f>
        <v>JAL FARMACIA E DROGARIA LJ 2 (10138)</v>
      </c>
      <c r="S11025" t="s">
        <v>77</v>
      </c>
      <c r="T11025">
        <v>21780</v>
      </c>
      <c r="U11025">
        <v>25057</v>
      </c>
      <c r="V11025" t="s">
        <v>77</v>
      </c>
    </row>
    <row r="11026" spans="1:22">
      <c r="A11026" t="str">
        <f t="shared" si="2066"/>
        <v>13/11/2025</v>
      </c>
      <c r="B11026" t="str">
        <f t="shared" si="2067"/>
        <v>SAÍDA</v>
      </c>
      <c r="C11026" t="str">
        <f t="shared" si="2068"/>
        <v>PIX</v>
      </c>
      <c r="D11026" t="str">
        <f>"25058"</f>
        <v>25058</v>
      </c>
      <c r="E11026" t="str">
        <f t="shared" si="2070"/>
        <v>1</v>
      </c>
      <c r="F11026" t="str">
        <f t="shared" si="2072"/>
        <v>COM</v>
      </c>
      <c r="G11026" t="str">
        <f>"HECTOR LUIS YANEZ QUEZADA (718)"</f>
        <v>HECTOR LUIS YANEZ QUEZADA (718)</v>
      </c>
      <c r="H11026" t="str">
        <f>"Serv.Prest. 03/11/2025 a 09/11/2025 - PIX: CELULAR - CHAVE: (41) 98421-2278"</f>
        <v>Serv.Prest. 03/11/2025 a 09/11/2025 - PIX: CELULAR - CHAVE: (41) 98421-2278</v>
      </c>
      <c r="I11026" t="str">
        <f t="shared" si="2069"/>
        <v>13/11/2025</v>
      </c>
      <c r="J11026" t="str">
        <f t="shared" si="2073"/>
        <v>10/11/2025</v>
      </c>
      <c r="K11026" t="str">
        <f>("13/11/2025")</f>
        <v>13/11/2025</v>
      </c>
      <c r="L11026">
        <v>451</v>
      </c>
      <c r="M11026">
        <v>451</v>
      </c>
      <c r="N11026">
        <v>109</v>
      </c>
      <c r="O11026" t="str">
        <f>"PAGAMENTO DE ENTREGADORES"</f>
        <v>PAGAMENTO DE ENTREGADORES</v>
      </c>
      <c r="P11026">
        <v>451</v>
      </c>
      <c r="S11026" t="str">
        <f>"BANCO C6 (149)"</f>
        <v>BANCO C6 (149)</v>
      </c>
      <c r="T11026">
        <v>21781</v>
      </c>
      <c r="U11026">
        <v>25058</v>
      </c>
      <c r="V11026" t="s">
        <v>77</v>
      </c>
    </row>
    <row r="11027" spans="1:22">
      <c r="A11027" t="str">
        <f t="shared" si="2066"/>
        <v>13/11/2025</v>
      </c>
      <c r="B11027" t="str">
        <f t="shared" si="2067"/>
        <v>SAÍDA</v>
      </c>
      <c r="C11027" t="str">
        <f t="shared" si="2068"/>
        <v>PIX</v>
      </c>
      <c r="D11027" t="str">
        <f>"25058"</f>
        <v>25058</v>
      </c>
      <c r="E11027" t="str">
        <f t="shared" si="2070"/>
        <v>1</v>
      </c>
      <c r="F11027" t="str">
        <f t="shared" si="2072"/>
        <v>COM</v>
      </c>
      <c r="G11027" t="str">
        <f>"HECTOR LUIS YANEZ QUEZADA (718)"</f>
        <v>HECTOR LUIS YANEZ QUEZADA (718)</v>
      </c>
      <c r="H11027" t="s">
        <v>2846</v>
      </c>
      <c r="I11027" t="str">
        <f t="shared" si="2069"/>
        <v>13/11/2025</v>
      </c>
      <c r="J11027" t="str">
        <f t="shared" si="2073"/>
        <v>10/11/2025</v>
      </c>
      <c r="K11027">
        <v>45974</v>
      </c>
      <c r="N11027">
        <v>109</v>
      </c>
      <c r="O11027" t="s">
        <v>24</v>
      </c>
      <c r="Q11027">
        <v>451</v>
      </c>
      <c r="R11027" t="str">
        <f>"JAL FARMACIA E DROGARIA LJ 2 (10138)"</f>
        <v>JAL FARMACIA E DROGARIA LJ 2 (10138)</v>
      </c>
      <c r="S11027" t="s">
        <v>77</v>
      </c>
      <c r="T11027">
        <v>21781</v>
      </c>
      <c r="U11027">
        <v>25058</v>
      </c>
      <c r="V11027" t="s">
        <v>77</v>
      </c>
    </row>
    <row r="11028" spans="1:22">
      <c r="A11028" t="str">
        <f t="shared" si="2066"/>
        <v>13/11/2025</v>
      </c>
      <c r="B11028" t="str">
        <f t="shared" si="2067"/>
        <v>SAÍDA</v>
      </c>
      <c r="C11028" t="str">
        <f t="shared" si="2068"/>
        <v>PIX</v>
      </c>
      <c r="D11028" t="str">
        <f>"25059"</f>
        <v>25059</v>
      </c>
      <c r="E11028" t="str">
        <f t="shared" si="2070"/>
        <v>1</v>
      </c>
      <c r="F11028" t="str">
        <f t="shared" si="2072"/>
        <v>COM</v>
      </c>
      <c r="G11028" t="str">
        <f>"JESSICA BRAHOLKA (837)"</f>
        <v>JESSICA BRAHOLKA (837)</v>
      </c>
      <c r="H11028" t="str">
        <f>"Serv.Prest. 03/11/2025 a 09/11/2025 - PIX: CPF - CHAVE: 124.575.099-20"</f>
        <v>Serv.Prest. 03/11/2025 a 09/11/2025 - PIX: CPF - CHAVE: 124.575.099-20</v>
      </c>
      <c r="I11028" t="str">
        <f t="shared" si="2069"/>
        <v>13/11/2025</v>
      </c>
      <c r="J11028" t="str">
        <f t="shared" si="2073"/>
        <v>10/11/2025</v>
      </c>
      <c r="K11028" t="str">
        <f>("13/11/2025")</f>
        <v>13/11/2025</v>
      </c>
      <c r="L11028">
        <v>633</v>
      </c>
      <c r="M11028">
        <v>633</v>
      </c>
      <c r="N11028">
        <v>109</v>
      </c>
      <c r="O11028" t="str">
        <f>"PAGAMENTO DE ENTREGADORES"</f>
        <v>PAGAMENTO DE ENTREGADORES</v>
      </c>
      <c r="P11028">
        <v>633</v>
      </c>
      <c r="S11028" t="str">
        <f>"BANCO C6 (149)"</f>
        <v>BANCO C6 (149)</v>
      </c>
      <c r="T11028">
        <v>21782</v>
      </c>
      <c r="U11028">
        <v>25059</v>
      </c>
      <c r="V11028" t="s">
        <v>77</v>
      </c>
    </row>
    <row r="11029" spans="1:22">
      <c r="A11029" t="str">
        <f t="shared" si="2066"/>
        <v>13/11/2025</v>
      </c>
      <c r="B11029" t="str">
        <f t="shared" si="2067"/>
        <v>SAÍDA</v>
      </c>
      <c r="C11029" t="str">
        <f t="shared" si="2068"/>
        <v>PIX</v>
      </c>
      <c r="D11029" t="str">
        <f>"25059"</f>
        <v>25059</v>
      </c>
      <c r="E11029" t="str">
        <f t="shared" si="2070"/>
        <v>1</v>
      </c>
      <c r="F11029" t="str">
        <f t="shared" si="2072"/>
        <v>COM</v>
      </c>
      <c r="G11029" t="str">
        <f>"JESSICA BRAHOLKA (837)"</f>
        <v>JESSICA BRAHOLKA (837)</v>
      </c>
      <c r="H11029" t="s">
        <v>2854</v>
      </c>
      <c r="I11029" t="str">
        <f t="shared" si="2069"/>
        <v>13/11/2025</v>
      </c>
      <c r="J11029" t="str">
        <f t="shared" si="2073"/>
        <v>10/11/2025</v>
      </c>
      <c r="K11029">
        <v>45974</v>
      </c>
      <c r="N11029">
        <v>109</v>
      </c>
      <c r="O11029" t="s">
        <v>24</v>
      </c>
      <c r="Q11029">
        <v>633</v>
      </c>
      <c r="R11029" t="str">
        <f>"JAL FARMACIA E DROGARIA LJ 2 (10138)"</f>
        <v>JAL FARMACIA E DROGARIA LJ 2 (10138)</v>
      </c>
      <c r="S11029" t="s">
        <v>77</v>
      </c>
      <c r="T11029">
        <v>21782</v>
      </c>
      <c r="U11029">
        <v>25059</v>
      </c>
      <c r="V11029" t="s">
        <v>77</v>
      </c>
    </row>
    <row r="11030" spans="1:22">
      <c r="A11030" t="str">
        <f t="shared" si="2066"/>
        <v>13/11/2025</v>
      </c>
      <c r="B11030" t="str">
        <f t="shared" si="2067"/>
        <v>SAÍDA</v>
      </c>
      <c r="C11030" t="str">
        <f t="shared" si="2068"/>
        <v>PIX</v>
      </c>
      <c r="D11030" t="str">
        <f>"25061"</f>
        <v>25061</v>
      </c>
      <c r="E11030" t="str">
        <f t="shared" si="2070"/>
        <v>1</v>
      </c>
      <c r="F11030" t="str">
        <f t="shared" si="2072"/>
        <v>COM</v>
      </c>
      <c r="G11030" t="str">
        <f>"CLAUDIO DOS SANTOS (507)"</f>
        <v>CLAUDIO DOS SANTOS (507)</v>
      </c>
      <c r="H11030" t="str">
        <f>"Serv.Prest. 03/11/2025 a 09/11/2025 - PIX: E-MAIL - CHAVE: claudioverdinho2009@hotmail.com"</f>
        <v>Serv.Prest. 03/11/2025 a 09/11/2025 - PIX: E-MAIL - CHAVE: claudioverdinho2009@hotmail.com</v>
      </c>
      <c r="I11030" t="str">
        <f t="shared" si="2069"/>
        <v>13/11/2025</v>
      </c>
      <c r="J11030" t="str">
        <f t="shared" si="2073"/>
        <v>10/11/2025</v>
      </c>
      <c r="K11030" t="str">
        <f>("13/11/2025")</f>
        <v>13/11/2025</v>
      </c>
      <c r="L11030">
        <v>1002</v>
      </c>
      <c r="M11030">
        <v>1002</v>
      </c>
      <c r="N11030">
        <v>109</v>
      </c>
      <c r="O11030" t="str">
        <f>"PAGAMENTO DE ENTREGADORES"</f>
        <v>PAGAMENTO DE ENTREGADORES</v>
      </c>
      <c r="P11030">
        <v>1002</v>
      </c>
      <c r="S11030" t="str">
        <f>"BANCO C6 (149)"</f>
        <v>BANCO C6 (149)</v>
      </c>
      <c r="T11030">
        <v>21783</v>
      </c>
      <c r="U11030">
        <v>25061</v>
      </c>
      <c r="V11030" t="s">
        <v>77</v>
      </c>
    </row>
    <row r="11031" spans="1:22">
      <c r="A11031" t="str">
        <f t="shared" si="2066"/>
        <v>13/11/2025</v>
      </c>
      <c r="B11031" t="str">
        <f t="shared" si="2067"/>
        <v>SAÍDA</v>
      </c>
      <c r="C11031" t="str">
        <f t="shared" si="2068"/>
        <v>PIX</v>
      </c>
      <c r="D11031" t="str">
        <f>"25061"</f>
        <v>25061</v>
      </c>
      <c r="E11031" t="str">
        <f t="shared" si="2070"/>
        <v>1</v>
      </c>
      <c r="F11031" t="str">
        <f t="shared" si="2072"/>
        <v>COM</v>
      </c>
      <c r="G11031" t="str">
        <f>"CLAUDIO DOS SANTOS (507)"</f>
        <v>CLAUDIO DOS SANTOS (507)</v>
      </c>
      <c r="H11031" t="s">
        <v>2821</v>
      </c>
      <c r="I11031" t="str">
        <f t="shared" si="2069"/>
        <v>13/11/2025</v>
      </c>
      <c r="J11031" t="str">
        <f t="shared" si="2073"/>
        <v>10/11/2025</v>
      </c>
      <c r="K11031">
        <v>45974</v>
      </c>
      <c r="N11031">
        <v>109</v>
      </c>
      <c r="O11031" t="s">
        <v>24</v>
      </c>
      <c r="Q11031">
        <v>1002</v>
      </c>
      <c r="R11031" t="str">
        <f>"JAL FARMACIA E DROGARIA LJ 1 (10137)"</f>
        <v>JAL FARMACIA E DROGARIA LJ 1 (10137)</v>
      </c>
      <c r="S11031" t="s">
        <v>77</v>
      </c>
      <c r="T11031">
        <v>21783</v>
      </c>
      <c r="U11031">
        <v>25061</v>
      </c>
      <c r="V11031" t="s">
        <v>77</v>
      </c>
    </row>
    <row r="11032" spans="1:22">
      <c r="A11032" t="str">
        <f t="shared" si="2066"/>
        <v>13/11/2025</v>
      </c>
      <c r="B11032" t="str">
        <f t="shared" si="2067"/>
        <v>SAÍDA</v>
      </c>
      <c r="C11032" t="str">
        <f t="shared" si="2068"/>
        <v>PIX</v>
      </c>
      <c r="D11032" t="str">
        <f>"25062"</f>
        <v>25062</v>
      </c>
      <c r="E11032" t="str">
        <f t="shared" si="2070"/>
        <v>1</v>
      </c>
      <c r="F11032" t="str">
        <f t="shared" si="2072"/>
        <v>COM</v>
      </c>
      <c r="G11032" t="str">
        <f>"HECTOR LUIS YANEZ QUEZADA (718)"</f>
        <v>HECTOR LUIS YANEZ QUEZADA (718)</v>
      </c>
      <c r="H11032" t="str">
        <f>"Serv.Prest. 03/11/2025 a 09/11/2025 - PIX: CELULAR - CHAVE: (41) 98421-2278"</f>
        <v>Serv.Prest. 03/11/2025 a 09/11/2025 - PIX: CELULAR - CHAVE: (41) 98421-2278</v>
      </c>
      <c r="I11032" t="str">
        <f t="shared" si="2069"/>
        <v>13/11/2025</v>
      </c>
      <c r="J11032" t="str">
        <f t="shared" ref="J11032:J11063" si="2074">("10/11/2025")</f>
        <v>10/11/2025</v>
      </c>
      <c r="K11032" t="str">
        <f>("13/11/2025")</f>
        <v>13/11/2025</v>
      </c>
      <c r="L11032">
        <v>329</v>
      </c>
      <c r="M11032">
        <v>329</v>
      </c>
      <c r="N11032">
        <v>109</v>
      </c>
      <c r="O11032" t="str">
        <f>"PAGAMENTO DE ENTREGADORES"</f>
        <v>PAGAMENTO DE ENTREGADORES</v>
      </c>
      <c r="P11032">
        <v>329</v>
      </c>
      <c r="S11032" t="str">
        <f>"BANCO C6 (149)"</f>
        <v>BANCO C6 (149)</v>
      </c>
      <c r="T11032">
        <v>21784</v>
      </c>
      <c r="U11032">
        <v>25062</v>
      </c>
      <c r="V11032" t="s">
        <v>77</v>
      </c>
    </row>
    <row r="11033" spans="1:22">
      <c r="A11033" t="str">
        <f t="shared" si="2066"/>
        <v>13/11/2025</v>
      </c>
      <c r="B11033" t="str">
        <f t="shared" si="2067"/>
        <v>SAÍDA</v>
      </c>
      <c r="C11033" t="str">
        <f t="shared" si="2068"/>
        <v>PIX</v>
      </c>
      <c r="D11033" t="str">
        <f>"25062"</f>
        <v>25062</v>
      </c>
      <c r="E11033" t="str">
        <f t="shared" si="2070"/>
        <v>1</v>
      </c>
      <c r="F11033" t="str">
        <f t="shared" si="2072"/>
        <v>COM</v>
      </c>
      <c r="G11033" t="str">
        <f>"HECTOR LUIS YANEZ QUEZADA (718)"</f>
        <v>HECTOR LUIS YANEZ QUEZADA (718)</v>
      </c>
      <c r="H11033" t="s">
        <v>2846</v>
      </c>
      <c r="I11033" t="str">
        <f t="shared" si="2069"/>
        <v>13/11/2025</v>
      </c>
      <c r="J11033" t="str">
        <f t="shared" si="2074"/>
        <v>10/11/2025</v>
      </c>
      <c r="K11033">
        <v>45974</v>
      </c>
      <c r="N11033">
        <v>109</v>
      </c>
      <c r="O11033" t="s">
        <v>24</v>
      </c>
      <c r="Q11033">
        <v>329</v>
      </c>
      <c r="R11033" t="str">
        <f>"JAL FARMACIA E DROGARIA LJ 1 (10137)"</f>
        <v>JAL FARMACIA E DROGARIA LJ 1 (10137)</v>
      </c>
      <c r="S11033" t="s">
        <v>77</v>
      </c>
      <c r="T11033">
        <v>21784</v>
      </c>
      <c r="U11033">
        <v>25062</v>
      </c>
      <c r="V11033" t="s">
        <v>77</v>
      </c>
    </row>
    <row r="11034" spans="1:22">
      <c r="A11034" t="str">
        <f t="shared" si="2066"/>
        <v>13/11/2025</v>
      </c>
      <c r="B11034" t="str">
        <f t="shared" si="2067"/>
        <v>SAÍDA</v>
      </c>
      <c r="C11034" t="str">
        <f t="shared" si="2068"/>
        <v>PIX</v>
      </c>
      <c r="D11034" t="str">
        <f>"25063"</f>
        <v>25063</v>
      </c>
      <c r="E11034" t="str">
        <f t="shared" si="2070"/>
        <v>1</v>
      </c>
      <c r="F11034" t="str">
        <f t="shared" si="2072"/>
        <v>COM</v>
      </c>
      <c r="G11034" t="str">
        <f>"JESSICA BRAHOLKA (837)"</f>
        <v>JESSICA BRAHOLKA (837)</v>
      </c>
      <c r="H11034" t="str">
        <f>"Serv.Prest. 03/11/2025 a 09/11/2025 - PIX: CPF - CHAVE: 124.575.099-20"</f>
        <v>Serv.Prest. 03/11/2025 a 09/11/2025 - PIX: CPF - CHAVE: 124.575.099-20</v>
      </c>
      <c r="I11034" t="str">
        <f t="shared" si="2069"/>
        <v>13/11/2025</v>
      </c>
      <c r="J11034" t="str">
        <f t="shared" si="2074"/>
        <v>10/11/2025</v>
      </c>
      <c r="K11034" t="str">
        <f>("13/11/2025")</f>
        <v>13/11/2025</v>
      </c>
      <c r="L11034">
        <v>525</v>
      </c>
      <c r="M11034">
        <v>525</v>
      </c>
      <c r="N11034">
        <v>109</v>
      </c>
      <c r="O11034" t="str">
        <f>"PAGAMENTO DE ENTREGADORES"</f>
        <v>PAGAMENTO DE ENTREGADORES</v>
      </c>
      <c r="P11034">
        <v>525</v>
      </c>
      <c r="S11034" t="str">
        <f>"BANCO C6 (149)"</f>
        <v>BANCO C6 (149)</v>
      </c>
      <c r="T11034">
        <v>21785</v>
      </c>
      <c r="U11034">
        <v>25063</v>
      </c>
      <c r="V11034" t="s">
        <v>77</v>
      </c>
    </row>
    <row r="11035" spans="1:22">
      <c r="A11035" t="str">
        <f t="shared" si="2066"/>
        <v>13/11/2025</v>
      </c>
      <c r="B11035" t="str">
        <f t="shared" si="2067"/>
        <v>SAÍDA</v>
      </c>
      <c r="C11035" t="str">
        <f t="shared" si="2068"/>
        <v>PIX</v>
      </c>
      <c r="D11035" t="str">
        <f>"25063"</f>
        <v>25063</v>
      </c>
      <c r="E11035" t="str">
        <f t="shared" si="2070"/>
        <v>1</v>
      </c>
      <c r="F11035" t="str">
        <f t="shared" si="2072"/>
        <v>COM</v>
      </c>
      <c r="G11035" t="str">
        <f>"JESSICA BRAHOLKA (837)"</f>
        <v>JESSICA BRAHOLKA (837)</v>
      </c>
      <c r="H11035" t="s">
        <v>2854</v>
      </c>
      <c r="I11035" t="str">
        <f t="shared" si="2069"/>
        <v>13/11/2025</v>
      </c>
      <c r="J11035" t="str">
        <f t="shared" si="2074"/>
        <v>10/11/2025</v>
      </c>
      <c r="K11035">
        <v>45974</v>
      </c>
      <c r="N11035">
        <v>109</v>
      </c>
      <c r="O11035" t="s">
        <v>24</v>
      </c>
      <c r="Q11035">
        <v>525</v>
      </c>
      <c r="R11035" t="str">
        <f>"JAL FARMACIA E DROGARIA LJ 1 (10137)"</f>
        <v>JAL FARMACIA E DROGARIA LJ 1 (10137)</v>
      </c>
      <c r="S11035" t="s">
        <v>77</v>
      </c>
      <c r="T11035">
        <v>21785</v>
      </c>
      <c r="U11035">
        <v>25063</v>
      </c>
      <c r="V11035" t="s">
        <v>77</v>
      </c>
    </row>
    <row r="11036" spans="1:22">
      <c r="A11036" t="str">
        <f t="shared" si="2066"/>
        <v>13/11/2025</v>
      </c>
      <c r="B11036" t="str">
        <f t="shared" si="2067"/>
        <v>SAÍDA</v>
      </c>
      <c r="C11036" t="str">
        <f t="shared" si="2068"/>
        <v>PIX</v>
      </c>
      <c r="D11036" t="str">
        <f>"25065"</f>
        <v>25065</v>
      </c>
      <c r="E11036" t="str">
        <f t="shared" si="2070"/>
        <v>1</v>
      </c>
      <c r="F11036" t="str">
        <f t="shared" si="2072"/>
        <v>COM</v>
      </c>
      <c r="G11036" t="str">
        <f>"BRUNO ANDRADE LESSA (952)"</f>
        <v>BRUNO ANDRADE LESSA (952)</v>
      </c>
      <c r="H11036" t="str">
        <f>"Serv.Prest. 03/11/2025 a 09/11/2025 - PIX: CELULAR - CHAVE: (28) 99988-2177"</f>
        <v>Serv.Prest. 03/11/2025 a 09/11/2025 - PIX: CELULAR - CHAVE: (28) 99988-2177</v>
      </c>
      <c r="I11036" t="str">
        <f t="shared" si="2069"/>
        <v>13/11/2025</v>
      </c>
      <c r="J11036" t="str">
        <f t="shared" si="2074"/>
        <v>10/11/2025</v>
      </c>
      <c r="K11036" t="str">
        <f>("13/11/2025")</f>
        <v>13/11/2025</v>
      </c>
      <c r="L11036">
        <v>235</v>
      </c>
      <c r="M11036">
        <v>235</v>
      </c>
      <c r="N11036">
        <v>109</v>
      </c>
      <c r="O11036" t="str">
        <f>"PAGAMENTO DE ENTREGADORES"</f>
        <v>PAGAMENTO DE ENTREGADORES</v>
      </c>
      <c r="P11036">
        <v>235</v>
      </c>
      <c r="S11036" t="str">
        <f>"BANCO C6 (149)"</f>
        <v>BANCO C6 (149)</v>
      </c>
      <c r="T11036">
        <v>21786</v>
      </c>
      <c r="U11036">
        <v>25065</v>
      </c>
      <c r="V11036" t="s">
        <v>77</v>
      </c>
    </row>
    <row r="11037" spans="1:22">
      <c r="A11037" t="str">
        <f t="shared" si="2066"/>
        <v>13/11/2025</v>
      </c>
      <c r="B11037" t="str">
        <f t="shared" si="2067"/>
        <v>SAÍDA</v>
      </c>
      <c r="C11037" t="str">
        <f t="shared" si="2068"/>
        <v>PIX</v>
      </c>
      <c r="D11037" t="str">
        <f>"25065"</f>
        <v>25065</v>
      </c>
      <c r="E11037" t="str">
        <f t="shared" si="2070"/>
        <v>1</v>
      </c>
      <c r="F11037" t="str">
        <f t="shared" si="2072"/>
        <v>COM</v>
      </c>
      <c r="G11037" t="str">
        <f>"BRUNO ANDRADE LESSA (952)"</f>
        <v>BRUNO ANDRADE LESSA (952)</v>
      </c>
      <c r="H11037" t="s">
        <v>2817</v>
      </c>
      <c r="I11037" t="str">
        <f t="shared" si="2069"/>
        <v>13/11/2025</v>
      </c>
      <c r="J11037" t="str">
        <f t="shared" si="2074"/>
        <v>10/11/2025</v>
      </c>
      <c r="K11037">
        <v>45974</v>
      </c>
      <c r="N11037">
        <v>109</v>
      </c>
      <c r="O11037" t="s">
        <v>24</v>
      </c>
      <c r="Q11037">
        <v>235</v>
      </c>
      <c r="R11037" t="str">
        <f>"LBL FARMACIA LTDA (10189)"</f>
        <v>LBL FARMACIA LTDA (10189)</v>
      </c>
      <c r="S11037" t="s">
        <v>77</v>
      </c>
      <c r="T11037">
        <v>21786</v>
      </c>
      <c r="U11037">
        <v>25065</v>
      </c>
      <c r="V11037" t="s">
        <v>77</v>
      </c>
    </row>
    <row r="11038" spans="1:22">
      <c r="A11038" t="str">
        <f t="shared" si="2066"/>
        <v>13/11/2025</v>
      </c>
      <c r="B11038" t="str">
        <f t="shared" si="2067"/>
        <v>SAÍDA</v>
      </c>
      <c r="C11038" t="str">
        <f t="shared" si="2068"/>
        <v>PIX</v>
      </c>
      <c r="D11038" t="str">
        <f>"25066"</f>
        <v>25066</v>
      </c>
      <c r="E11038" t="str">
        <f t="shared" si="2070"/>
        <v>1</v>
      </c>
      <c r="F11038" t="str">
        <f t="shared" si="2072"/>
        <v>COM</v>
      </c>
      <c r="G11038" t="str">
        <f>"JOAO MARCOS FERREIRA (925)"</f>
        <v>JOAO MARCOS FERREIRA (925)</v>
      </c>
      <c r="H11038" t="str">
        <f>"Serv.Prest. 03/11/2025 a 09/11/2025 - PIX: CELULAR - CHAVE: (28) 99908-0831"</f>
        <v>Serv.Prest. 03/11/2025 a 09/11/2025 - PIX: CELULAR - CHAVE: (28) 99908-0831</v>
      </c>
      <c r="I11038" t="str">
        <f t="shared" si="2069"/>
        <v>13/11/2025</v>
      </c>
      <c r="J11038" t="str">
        <f t="shared" si="2074"/>
        <v>10/11/2025</v>
      </c>
      <c r="K11038" t="str">
        <f>("13/11/2025")</f>
        <v>13/11/2025</v>
      </c>
      <c r="L11038">
        <v>250</v>
      </c>
      <c r="M11038">
        <v>250</v>
      </c>
      <c r="N11038">
        <v>109</v>
      </c>
      <c r="O11038" t="str">
        <f>"PAGAMENTO DE ENTREGADORES"</f>
        <v>PAGAMENTO DE ENTREGADORES</v>
      </c>
      <c r="P11038">
        <v>250</v>
      </c>
      <c r="S11038" t="str">
        <f>"BANCO C6 (149)"</f>
        <v>BANCO C6 (149)</v>
      </c>
      <c r="T11038">
        <v>21787</v>
      </c>
      <c r="U11038">
        <v>25066</v>
      </c>
      <c r="V11038" t="s">
        <v>77</v>
      </c>
    </row>
    <row r="11039" spans="1:22">
      <c r="A11039" t="str">
        <f t="shared" ref="A11039:A11102" si="2075">("13/11/2025")</f>
        <v>13/11/2025</v>
      </c>
      <c r="B11039" t="str">
        <f t="shared" si="2067"/>
        <v>SAÍDA</v>
      </c>
      <c r="C11039" t="str">
        <f t="shared" si="2068"/>
        <v>PIX</v>
      </c>
      <c r="D11039" t="str">
        <f>"25066"</f>
        <v>25066</v>
      </c>
      <c r="E11039" t="str">
        <f t="shared" si="2070"/>
        <v>1</v>
      </c>
      <c r="F11039" t="str">
        <f t="shared" si="2072"/>
        <v>COM</v>
      </c>
      <c r="G11039" t="str">
        <f>"JOAO MARCOS FERREIRA (925)"</f>
        <v>JOAO MARCOS FERREIRA (925)</v>
      </c>
      <c r="H11039" t="s">
        <v>3015</v>
      </c>
      <c r="I11039" t="str">
        <f t="shared" si="2069"/>
        <v>13/11/2025</v>
      </c>
      <c r="J11039" t="str">
        <f t="shared" si="2074"/>
        <v>10/11/2025</v>
      </c>
      <c r="K11039">
        <v>45974</v>
      </c>
      <c r="N11039">
        <v>109</v>
      </c>
      <c r="O11039" t="s">
        <v>24</v>
      </c>
      <c r="Q11039">
        <v>250</v>
      </c>
      <c r="R11039" t="str">
        <f>"LBL FARMACIA LTDA (10189)"</f>
        <v>LBL FARMACIA LTDA (10189)</v>
      </c>
      <c r="S11039" t="s">
        <v>77</v>
      </c>
      <c r="T11039">
        <v>21787</v>
      </c>
      <c r="U11039">
        <v>25066</v>
      </c>
      <c r="V11039" t="s">
        <v>77</v>
      </c>
    </row>
    <row r="11040" spans="1:22">
      <c r="A11040" t="str">
        <f t="shared" si="2075"/>
        <v>13/11/2025</v>
      </c>
      <c r="B11040" t="str">
        <f t="shared" ref="B11040:B11103" si="2076">"SAÍDA"</f>
        <v>SAÍDA</v>
      </c>
      <c r="C11040" t="str">
        <f t="shared" ref="C11040:C11103" si="2077">"PIX"</f>
        <v>PIX</v>
      </c>
      <c r="D11040" t="str">
        <f>"25067"</f>
        <v>25067</v>
      </c>
      <c r="E11040" t="str">
        <f t="shared" si="2070"/>
        <v>1</v>
      </c>
      <c r="F11040" t="str">
        <f t="shared" si="2072"/>
        <v>COM</v>
      </c>
      <c r="G11040" t="str">
        <f>"YAN FILIPUTI CORA (926)"</f>
        <v>YAN FILIPUTI CORA (926)</v>
      </c>
      <c r="H11040" t="str">
        <f>"Serv.Prest. 03/11/2025 a 09/11/2025 - PIX: CELULAR - CHAVE: (28) 98816-4170"</f>
        <v>Serv.Prest. 03/11/2025 a 09/11/2025 - PIX: CELULAR - CHAVE: (28) 98816-4170</v>
      </c>
      <c r="I11040" t="str">
        <f t="shared" si="2069"/>
        <v>13/11/2025</v>
      </c>
      <c r="J11040" t="str">
        <f t="shared" si="2074"/>
        <v>10/11/2025</v>
      </c>
      <c r="K11040" t="str">
        <f>("13/11/2025")</f>
        <v>13/11/2025</v>
      </c>
      <c r="L11040">
        <v>300</v>
      </c>
      <c r="M11040">
        <v>300</v>
      </c>
      <c r="N11040">
        <v>109</v>
      </c>
      <c r="O11040" t="str">
        <f>"PAGAMENTO DE ENTREGADORES"</f>
        <v>PAGAMENTO DE ENTREGADORES</v>
      </c>
      <c r="P11040">
        <v>300</v>
      </c>
      <c r="S11040" t="str">
        <f>"BANCO C6 (149)"</f>
        <v>BANCO C6 (149)</v>
      </c>
      <c r="T11040">
        <v>21788</v>
      </c>
      <c r="U11040">
        <v>25067</v>
      </c>
      <c r="V11040" t="s">
        <v>77</v>
      </c>
    </row>
    <row r="11041" spans="1:22">
      <c r="A11041" t="str">
        <f t="shared" si="2075"/>
        <v>13/11/2025</v>
      </c>
      <c r="B11041" t="str">
        <f t="shared" si="2076"/>
        <v>SAÍDA</v>
      </c>
      <c r="C11041" t="str">
        <f t="shared" si="2077"/>
        <v>PIX</v>
      </c>
      <c r="D11041" t="str">
        <f>"25067"</f>
        <v>25067</v>
      </c>
      <c r="E11041" t="str">
        <f t="shared" si="2070"/>
        <v>1</v>
      </c>
      <c r="F11041" t="str">
        <f t="shared" si="2072"/>
        <v>COM</v>
      </c>
      <c r="G11041" t="str">
        <f>"YAN FILIPUTI CORA (926)"</f>
        <v>YAN FILIPUTI CORA (926)</v>
      </c>
      <c r="H11041" t="s">
        <v>2912</v>
      </c>
      <c r="I11041" t="str">
        <f t="shared" si="2069"/>
        <v>13/11/2025</v>
      </c>
      <c r="J11041" t="str">
        <f t="shared" si="2074"/>
        <v>10/11/2025</v>
      </c>
      <c r="K11041">
        <v>45974</v>
      </c>
      <c r="N11041">
        <v>109</v>
      </c>
      <c r="O11041" t="s">
        <v>24</v>
      </c>
      <c r="Q11041">
        <v>300</v>
      </c>
      <c r="R11041" t="str">
        <f>"LBL FARMACIA LTDA (10189)"</f>
        <v>LBL FARMACIA LTDA (10189)</v>
      </c>
      <c r="S11041" t="s">
        <v>77</v>
      </c>
      <c r="T11041">
        <v>21788</v>
      </c>
      <c r="U11041">
        <v>25067</v>
      </c>
      <c r="V11041" t="s">
        <v>77</v>
      </c>
    </row>
    <row r="11042" spans="1:22">
      <c r="A11042" t="str">
        <f t="shared" si="2075"/>
        <v>13/11/2025</v>
      </c>
      <c r="B11042" t="str">
        <f t="shared" si="2076"/>
        <v>SAÍDA</v>
      </c>
      <c r="C11042" t="str">
        <f t="shared" si="2077"/>
        <v>PIX</v>
      </c>
      <c r="D11042" t="str">
        <f>"25069"</f>
        <v>25069</v>
      </c>
      <c r="E11042" t="str">
        <f t="shared" si="2070"/>
        <v>1</v>
      </c>
      <c r="F11042" t="str">
        <f t="shared" si="2072"/>
        <v>COM</v>
      </c>
      <c r="G11042" t="str">
        <f>"BRUNO ANDRADE LESSA (952)"</f>
        <v>BRUNO ANDRADE LESSA (952)</v>
      </c>
      <c r="H11042" t="str">
        <f>"Serv.Prest. 03/11/2025 a 09/11/2025 - PIX: CELULAR - CHAVE: (28) 99988-2177"</f>
        <v>Serv.Prest. 03/11/2025 a 09/11/2025 - PIX: CELULAR - CHAVE: (28) 99988-2177</v>
      </c>
      <c r="I11042" t="str">
        <f t="shared" si="2069"/>
        <v>13/11/2025</v>
      </c>
      <c r="J11042" t="str">
        <f t="shared" si="2074"/>
        <v>10/11/2025</v>
      </c>
      <c r="K11042" t="str">
        <f>("13/11/2025")</f>
        <v>13/11/2025</v>
      </c>
      <c r="L11042">
        <v>765</v>
      </c>
      <c r="M11042">
        <v>765</v>
      </c>
      <c r="N11042">
        <v>109</v>
      </c>
      <c r="O11042" t="str">
        <f>"PAGAMENTO DE ENTREGADORES"</f>
        <v>PAGAMENTO DE ENTREGADORES</v>
      </c>
      <c r="P11042">
        <v>765</v>
      </c>
      <c r="S11042" t="str">
        <f>"BANCO C6 (149)"</f>
        <v>BANCO C6 (149)</v>
      </c>
      <c r="T11042">
        <v>21789</v>
      </c>
      <c r="U11042">
        <v>25069</v>
      </c>
      <c r="V11042" t="s">
        <v>77</v>
      </c>
    </row>
    <row r="11043" spans="1:22">
      <c r="A11043" t="str">
        <f t="shared" si="2075"/>
        <v>13/11/2025</v>
      </c>
      <c r="B11043" t="str">
        <f t="shared" si="2076"/>
        <v>SAÍDA</v>
      </c>
      <c r="C11043" t="str">
        <f t="shared" si="2077"/>
        <v>PIX</v>
      </c>
      <c r="D11043" t="str">
        <f>"25069"</f>
        <v>25069</v>
      </c>
      <c r="E11043" t="str">
        <f t="shared" si="2070"/>
        <v>1</v>
      </c>
      <c r="F11043" t="str">
        <f t="shared" si="2072"/>
        <v>COM</v>
      </c>
      <c r="G11043" t="str">
        <f>"BRUNO ANDRADE LESSA (952)"</f>
        <v>BRUNO ANDRADE LESSA (952)</v>
      </c>
      <c r="H11043" t="s">
        <v>2817</v>
      </c>
      <c r="I11043" t="str">
        <f t="shared" si="2069"/>
        <v>13/11/2025</v>
      </c>
      <c r="J11043" t="str">
        <f t="shared" si="2074"/>
        <v>10/11/2025</v>
      </c>
      <c r="K11043">
        <v>45974</v>
      </c>
      <c r="N11043">
        <v>109</v>
      </c>
      <c r="O11043" t="s">
        <v>24</v>
      </c>
      <c r="Q11043">
        <v>765</v>
      </c>
      <c r="R11043" t="str">
        <f>"LBL FARMACIA LTDA FILIAL (10192)"</f>
        <v>LBL FARMACIA LTDA FILIAL (10192)</v>
      </c>
      <c r="S11043" t="s">
        <v>77</v>
      </c>
      <c r="T11043">
        <v>21789</v>
      </c>
      <c r="U11043">
        <v>25069</v>
      </c>
      <c r="V11043" t="s">
        <v>77</v>
      </c>
    </row>
    <row r="11044" spans="1:22">
      <c r="A11044" t="str">
        <f t="shared" si="2075"/>
        <v>13/11/2025</v>
      </c>
      <c r="B11044" t="str">
        <f t="shared" si="2076"/>
        <v>SAÍDA</v>
      </c>
      <c r="C11044" t="str">
        <f t="shared" si="2077"/>
        <v>PIX</v>
      </c>
      <c r="D11044" t="str">
        <f>"25070"</f>
        <v>25070</v>
      </c>
      <c r="E11044" t="str">
        <f t="shared" si="2070"/>
        <v>1</v>
      </c>
      <c r="F11044" t="str">
        <f t="shared" si="2072"/>
        <v>COM</v>
      </c>
      <c r="G11044" t="str">
        <f>"JOAO MARCOS FERREIRA (925)"</f>
        <v>JOAO MARCOS FERREIRA (925)</v>
      </c>
      <c r="H11044" t="str">
        <f>"Serv.Prest. 03/11/2025 a 09/11/2025 - PIX: CELULAR - CHAVE: (28) 99908-0831"</f>
        <v>Serv.Prest. 03/11/2025 a 09/11/2025 - PIX: CELULAR - CHAVE: (28) 99908-0831</v>
      </c>
      <c r="I11044" t="str">
        <f t="shared" ref="I11044:I11107" si="2078">("13/11/2025")</f>
        <v>13/11/2025</v>
      </c>
      <c r="J11044" t="str">
        <f t="shared" si="2074"/>
        <v>10/11/2025</v>
      </c>
      <c r="K11044" t="str">
        <f>("13/11/2025")</f>
        <v>13/11/2025</v>
      </c>
      <c r="L11044">
        <v>250</v>
      </c>
      <c r="M11044">
        <v>250</v>
      </c>
      <c r="N11044">
        <v>109</v>
      </c>
      <c r="O11044" t="str">
        <f>"PAGAMENTO DE ENTREGADORES"</f>
        <v>PAGAMENTO DE ENTREGADORES</v>
      </c>
      <c r="P11044">
        <v>250</v>
      </c>
      <c r="S11044" t="str">
        <f>"BANCO C6 (149)"</f>
        <v>BANCO C6 (149)</v>
      </c>
      <c r="T11044">
        <v>21790</v>
      </c>
      <c r="U11044">
        <v>25070</v>
      </c>
      <c r="V11044" t="s">
        <v>77</v>
      </c>
    </row>
    <row r="11045" spans="1:22">
      <c r="A11045" t="str">
        <f t="shared" si="2075"/>
        <v>13/11/2025</v>
      </c>
      <c r="B11045" t="str">
        <f t="shared" si="2076"/>
        <v>SAÍDA</v>
      </c>
      <c r="C11045" t="str">
        <f t="shared" si="2077"/>
        <v>PIX</v>
      </c>
      <c r="D11045" t="str">
        <f>"25070"</f>
        <v>25070</v>
      </c>
      <c r="E11045" t="str">
        <f t="shared" si="2070"/>
        <v>1</v>
      </c>
      <c r="F11045" t="str">
        <f t="shared" si="2072"/>
        <v>COM</v>
      </c>
      <c r="G11045" t="str">
        <f>"JOAO MARCOS FERREIRA (925)"</f>
        <v>JOAO MARCOS FERREIRA (925)</v>
      </c>
      <c r="H11045" t="s">
        <v>3015</v>
      </c>
      <c r="I11045" t="str">
        <f t="shared" si="2078"/>
        <v>13/11/2025</v>
      </c>
      <c r="J11045" t="str">
        <f t="shared" si="2074"/>
        <v>10/11/2025</v>
      </c>
      <c r="K11045">
        <v>45974</v>
      </c>
      <c r="N11045">
        <v>109</v>
      </c>
      <c r="O11045" t="s">
        <v>24</v>
      </c>
      <c r="Q11045">
        <v>250</v>
      </c>
      <c r="R11045" t="str">
        <f>"LBL FARMACIA LTDA FILIAL (10192)"</f>
        <v>LBL FARMACIA LTDA FILIAL (10192)</v>
      </c>
      <c r="S11045" t="s">
        <v>77</v>
      </c>
      <c r="T11045">
        <v>21790</v>
      </c>
      <c r="U11045">
        <v>25070</v>
      </c>
      <c r="V11045" t="s">
        <v>77</v>
      </c>
    </row>
    <row r="11046" spans="1:22">
      <c r="A11046" t="str">
        <f t="shared" si="2075"/>
        <v>13/11/2025</v>
      </c>
      <c r="B11046" t="str">
        <f t="shared" si="2076"/>
        <v>SAÍDA</v>
      </c>
      <c r="C11046" t="str">
        <f t="shared" si="2077"/>
        <v>PIX</v>
      </c>
      <c r="D11046" t="str">
        <f>"25071"</f>
        <v>25071</v>
      </c>
      <c r="E11046" t="str">
        <f t="shared" ref="E11046:E11109" si="2079">"1"</f>
        <v>1</v>
      </c>
      <c r="F11046" t="str">
        <f t="shared" si="2072"/>
        <v>COM</v>
      </c>
      <c r="G11046" t="str">
        <f>"YAN FILIPUTI CORA (926)"</f>
        <v>YAN FILIPUTI CORA (926)</v>
      </c>
      <c r="H11046" t="str">
        <f>"Serv.Prest. 03/11/2025 a 09/11/2025 - PIX: CELULAR - CHAVE: (28) 98816-4170"</f>
        <v>Serv.Prest. 03/11/2025 a 09/11/2025 - PIX: CELULAR - CHAVE: (28) 98816-4170</v>
      </c>
      <c r="I11046" t="str">
        <f t="shared" si="2078"/>
        <v>13/11/2025</v>
      </c>
      <c r="J11046" t="str">
        <f t="shared" si="2074"/>
        <v>10/11/2025</v>
      </c>
      <c r="K11046" t="str">
        <f>("13/11/2025")</f>
        <v>13/11/2025</v>
      </c>
      <c r="L11046">
        <v>480</v>
      </c>
      <c r="M11046">
        <v>480</v>
      </c>
      <c r="N11046">
        <v>109</v>
      </c>
      <c r="O11046" t="str">
        <f>"PAGAMENTO DE ENTREGADORES"</f>
        <v>PAGAMENTO DE ENTREGADORES</v>
      </c>
      <c r="P11046">
        <v>480</v>
      </c>
      <c r="S11046" t="str">
        <f>"BANCO C6 (149)"</f>
        <v>BANCO C6 (149)</v>
      </c>
      <c r="T11046">
        <v>21791</v>
      </c>
      <c r="U11046">
        <v>25071</v>
      </c>
      <c r="V11046" t="s">
        <v>77</v>
      </c>
    </row>
    <row r="11047" spans="1:22">
      <c r="A11047" t="str">
        <f t="shared" si="2075"/>
        <v>13/11/2025</v>
      </c>
      <c r="B11047" t="str">
        <f t="shared" si="2076"/>
        <v>SAÍDA</v>
      </c>
      <c r="C11047" t="str">
        <f t="shared" si="2077"/>
        <v>PIX</v>
      </c>
      <c r="D11047" t="str">
        <f>"25071"</f>
        <v>25071</v>
      </c>
      <c r="E11047" t="str">
        <f t="shared" si="2079"/>
        <v>1</v>
      </c>
      <c r="F11047" t="str">
        <f t="shared" si="2072"/>
        <v>COM</v>
      </c>
      <c r="G11047" t="str">
        <f>"YAN FILIPUTI CORA (926)"</f>
        <v>YAN FILIPUTI CORA (926)</v>
      </c>
      <c r="H11047" t="s">
        <v>2912</v>
      </c>
      <c r="I11047" t="str">
        <f t="shared" si="2078"/>
        <v>13/11/2025</v>
      </c>
      <c r="J11047" t="str">
        <f t="shared" si="2074"/>
        <v>10/11/2025</v>
      </c>
      <c r="K11047">
        <v>45974</v>
      </c>
      <c r="N11047">
        <v>109</v>
      </c>
      <c r="O11047" t="s">
        <v>24</v>
      </c>
      <c r="Q11047">
        <v>480</v>
      </c>
      <c r="R11047" t="str">
        <f>"LBL FARMACIA LTDA FILIAL (10192)"</f>
        <v>LBL FARMACIA LTDA FILIAL (10192)</v>
      </c>
      <c r="S11047" t="s">
        <v>77</v>
      </c>
      <c r="T11047">
        <v>21791</v>
      </c>
      <c r="U11047">
        <v>25071</v>
      </c>
      <c r="V11047" t="s">
        <v>77</v>
      </c>
    </row>
    <row r="11048" spans="1:22">
      <c r="A11048" t="str">
        <f t="shared" si="2075"/>
        <v>13/11/2025</v>
      </c>
      <c r="B11048" t="str">
        <f t="shared" si="2076"/>
        <v>SAÍDA</v>
      </c>
      <c r="C11048" t="str">
        <f t="shared" si="2077"/>
        <v>PIX</v>
      </c>
      <c r="D11048" t="str">
        <f>"25073"</f>
        <v>25073</v>
      </c>
      <c r="E11048" t="str">
        <f t="shared" si="2079"/>
        <v>1</v>
      </c>
      <c r="F11048" t="str">
        <f t="shared" si="2072"/>
        <v>COM</v>
      </c>
      <c r="G11048" t="str">
        <f>"THALISSON NUNES (1046)"</f>
        <v>THALISSON NUNES (1046)</v>
      </c>
      <c r="H11048" t="str">
        <f>"Serv.Prest. 03/11/2025 a 09/11/2025 - PIX: CELULAR - CHAVE: (34) 99694-0926"</f>
        <v>Serv.Prest. 03/11/2025 a 09/11/2025 - PIX: CELULAR - CHAVE: (34) 99694-0926</v>
      </c>
      <c r="I11048" t="str">
        <f t="shared" si="2078"/>
        <v>13/11/2025</v>
      </c>
      <c r="J11048" t="str">
        <f t="shared" si="2074"/>
        <v>10/11/2025</v>
      </c>
      <c r="K11048" t="str">
        <f>("13/11/2025")</f>
        <v>13/11/2025</v>
      </c>
      <c r="L11048">
        <v>801</v>
      </c>
      <c r="M11048">
        <v>801</v>
      </c>
      <c r="N11048">
        <v>109</v>
      </c>
      <c r="O11048" t="str">
        <f>"PAGAMENTO DE ENTREGADORES"</f>
        <v>PAGAMENTO DE ENTREGADORES</v>
      </c>
      <c r="P11048">
        <v>801</v>
      </c>
      <c r="S11048" t="str">
        <f>"BANCO C6 (149)"</f>
        <v>BANCO C6 (149)</v>
      </c>
      <c r="T11048">
        <v>21792</v>
      </c>
      <c r="U11048">
        <v>25073</v>
      </c>
      <c r="V11048" t="s">
        <v>77</v>
      </c>
    </row>
    <row r="11049" spans="1:22">
      <c r="A11049" t="str">
        <f t="shared" si="2075"/>
        <v>13/11/2025</v>
      </c>
      <c r="B11049" t="str">
        <f t="shared" si="2076"/>
        <v>SAÍDA</v>
      </c>
      <c r="C11049" t="str">
        <f t="shared" si="2077"/>
        <v>PIX</v>
      </c>
      <c r="D11049" t="str">
        <f>"25073"</f>
        <v>25073</v>
      </c>
      <c r="E11049" t="str">
        <f t="shared" si="2079"/>
        <v>1</v>
      </c>
      <c r="F11049" t="str">
        <f t="shared" si="2072"/>
        <v>COM</v>
      </c>
      <c r="G11049" t="str">
        <f>"THALISSON NUNES (1046)"</f>
        <v>THALISSON NUNES (1046)</v>
      </c>
      <c r="H11049" t="s">
        <v>3016</v>
      </c>
      <c r="I11049" t="str">
        <f t="shared" si="2078"/>
        <v>13/11/2025</v>
      </c>
      <c r="J11049" t="str">
        <f t="shared" si="2074"/>
        <v>10/11/2025</v>
      </c>
      <c r="K11049">
        <v>45974</v>
      </c>
      <c r="N11049">
        <v>109</v>
      </c>
      <c r="O11049" t="s">
        <v>24</v>
      </c>
      <c r="Q11049">
        <v>801</v>
      </c>
      <c r="R11049" t="str">
        <f>"PAGMENOS - LJ 326 (10264)"</f>
        <v>PAGMENOS - LJ 326 (10264)</v>
      </c>
      <c r="S11049" t="s">
        <v>77</v>
      </c>
      <c r="T11049">
        <v>21792</v>
      </c>
      <c r="U11049">
        <v>25073</v>
      </c>
      <c r="V11049" t="s">
        <v>77</v>
      </c>
    </row>
    <row r="11050" spans="1:22">
      <c r="A11050" t="str">
        <f t="shared" si="2075"/>
        <v>13/11/2025</v>
      </c>
      <c r="B11050" t="str">
        <f t="shared" si="2076"/>
        <v>SAÍDA</v>
      </c>
      <c r="C11050" t="str">
        <f t="shared" si="2077"/>
        <v>PIX</v>
      </c>
      <c r="D11050" t="str">
        <f>"25075"</f>
        <v>25075</v>
      </c>
      <c r="E11050" t="str">
        <f t="shared" si="2079"/>
        <v>1</v>
      </c>
      <c r="F11050" t="str">
        <f t="shared" si="2072"/>
        <v>COM</v>
      </c>
      <c r="G11050" t="str">
        <f>"CARLOS EDUARDO LESSA ROCHA (1070)"</f>
        <v>CARLOS EDUARDO LESSA ROCHA (1070)</v>
      </c>
      <c r="H11050" t="str">
        <f>"Serv.Prest. 03/11/2025 a 09/11/2025 - PIX: CPF - CHAVE: 162.570.846-79"</f>
        <v>Serv.Prest. 03/11/2025 a 09/11/2025 - PIX: CPF - CHAVE: 162.570.846-79</v>
      </c>
      <c r="I11050" t="str">
        <f t="shared" si="2078"/>
        <v>13/11/2025</v>
      </c>
      <c r="J11050" t="str">
        <f t="shared" si="2074"/>
        <v>10/11/2025</v>
      </c>
      <c r="K11050" t="str">
        <f>("13/11/2025")</f>
        <v>13/11/2025</v>
      </c>
      <c r="L11050">
        <v>170</v>
      </c>
      <c r="M11050">
        <v>170</v>
      </c>
      <c r="N11050">
        <v>109</v>
      </c>
      <c r="O11050" t="str">
        <f>"PAGAMENTO DE ENTREGADORES"</f>
        <v>PAGAMENTO DE ENTREGADORES</v>
      </c>
      <c r="P11050">
        <v>170</v>
      </c>
      <c r="S11050" t="str">
        <f>"BANCO C6 (149)"</f>
        <v>BANCO C6 (149)</v>
      </c>
      <c r="T11050">
        <v>21793</v>
      </c>
      <c r="U11050">
        <v>25075</v>
      </c>
      <c r="V11050" t="s">
        <v>77</v>
      </c>
    </row>
    <row r="11051" spans="1:22">
      <c r="A11051" t="str">
        <f t="shared" si="2075"/>
        <v>13/11/2025</v>
      </c>
      <c r="B11051" t="str">
        <f t="shared" si="2076"/>
        <v>SAÍDA</v>
      </c>
      <c r="C11051" t="str">
        <f t="shared" si="2077"/>
        <v>PIX</v>
      </c>
      <c r="D11051" t="str">
        <f>"25075"</f>
        <v>25075</v>
      </c>
      <c r="E11051" t="str">
        <f t="shared" si="2079"/>
        <v>1</v>
      </c>
      <c r="F11051" t="str">
        <f t="shared" si="2072"/>
        <v>COM</v>
      </c>
      <c r="G11051" t="str">
        <f>"CARLOS EDUARDO LESSA ROCHA (1070)"</f>
        <v>CARLOS EDUARDO LESSA ROCHA (1070)</v>
      </c>
      <c r="H11051" t="s">
        <v>3017</v>
      </c>
      <c r="I11051" t="str">
        <f t="shared" si="2078"/>
        <v>13/11/2025</v>
      </c>
      <c r="J11051" t="str">
        <f t="shared" si="2074"/>
        <v>10/11/2025</v>
      </c>
      <c r="K11051">
        <v>45974</v>
      </c>
      <c r="N11051">
        <v>109</v>
      </c>
      <c r="O11051" t="s">
        <v>24</v>
      </c>
      <c r="Q11051">
        <v>170</v>
      </c>
      <c r="R11051" t="str">
        <f>"PAGMENOS - LJ 431 (10265)"</f>
        <v>PAGMENOS - LJ 431 (10265)</v>
      </c>
      <c r="S11051" t="s">
        <v>77</v>
      </c>
      <c r="T11051">
        <v>21793</v>
      </c>
      <c r="U11051">
        <v>25075</v>
      </c>
      <c r="V11051" t="s">
        <v>77</v>
      </c>
    </row>
    <row r="11052" spans="1:22">
      <c r="A11052" t="str">
        <f t="shared" si="2075"/>
        <v>13/11/2025</v>
      </c>
      <c r="B11052" t="str">
        <f t="shared" si="2076"/>
        <v>SAÍDA</v>
      </c>
      <c r="C11052" t="str">
        <f t="shared" si="2077"/>
        <v>PIX</v>
      </c>
      <c r="D11052" t="str">
        <f>"25077"</f>
        <v>25077</v>
      </c>
      <c r="E11052" t="str">
        <f t="shared" si="2079"/>
        <v>1</v>
      </c>
      <c r="F11052" t="str">
        <f t="shared" si="2072"/>
        <v>COM</v>
      </c>
      <c r="G11052" t="str">
        <f>"ODAIR SEBASTIAO DE ARAUJO FILHO (1061)"</f>
        <v>ODAIR SEBASTIAO DE ARAUJO FILHO (1061)</v>
      </c>
      <c r="H11052" t="str">
        <f>"Serv.Prest. 03/11/2025 a 09/11/2025 - PIX: E-MAIL - CHAVE: odair.araujo@onmail.com"</f>
        <v>Serv.Prest. 03/11/2025 a 09/11/2025 - PIX: E-MAIL - CHAVE: odair.araujo@onmail.com</v>
      </c>
      <c r="I11052" t="str">
        <f t="shared" si="2078"/>
        <v>13/11/2025</v>
      </c>
      <c r="J11052" t="str">
        <f t="shared" si="2074"/>
        <v>10/11/2025</v>
      </c>
      <c r="K11052" t="str">
        <f>("13/11/2025")</f>
        <v>13/11/2025</v>
      </c>
      <c r="L11052">
        <v>470</v>
      </c>
      <c r="M11052">
        <v>470</v>
      </c>
      <c r="N11052">
        <v>109</v>
      </c>
      <c r="O11052" t="str">
        <f>"PAGAMENTO DE ENTREGADORES"</f>
        <v>PAGAMENTO DE ENTREGADORES</v>
      </c>
      <c r="P11052">
        <v>470</v>
      </c>
      <c r="S11052" t="str">
        <f>"BANCO C6 (149)"</f>
        <v>BANCO C6 (149)</v>
      </c>
      <c r="T11052">
        <v>21794</v>
      </c>
      <c r="U11052">
        <v>25077</v>
      </c>
      <c r="V11052" t="s">
        <v>77</v>
      </c>
    </row>
    <row r="11053" spans="1:22">
      <c r="A11053" t="str">
        <f t="shared" si="2075"/>
        <v>13/11/2025</v>
      </c>
      <c r="B11053" t="str">
        <f t="shared" si="2076"/>
        <v>SAÍDA</v>
      </c>
      <c r="C11053" t="str">
        <f t="shared" si="2077"/>
        <v>PIX</v>
      </c>
      <c r="D11053" t="str">
        <f>"25077"</f>
        <v>25077</v>
      </c>
      <c r="E11053" t="str">
        <f t="shared" si="2079"/>
        <v>1</v>
      </c>
      <c r="F11053" t="str">
        <f t="shared" si="2072"/>
        <v>COM</v>
      </c>
      <c r="G11053" t="str">
        <f>"ODAIR SEBASTIAO DE ARAUJO FILHO (1061)"</f>
        <v>ODAIR SEBASTIAO DE ARAUJO FILHO (1061)</v>
      </c>
      <c r="H11053" t="s">
        <v>3018</v>
      </c>
      <c r="I11053" t="str">
        <f t="shared" si="2078"/>
        <v>13/11/2025</v>
      </c>
      <c r="J11053" t="str">
        <f t="shared" si="2074"/>
        <v>10/11/2025</v>
      </c>
      <c r="K11053">
        <v>45974</v>
      </c>
      <c r="N11053">
        <v>109</v>
      </c>
      <c r="O11053" t="s">
        <v>24</v>
      </c>
      <c r="Q11053">
        <v>470</v>
      </c>
      <c r="R11053" t="str">
        <f>"PAGMENOS - LJ 431 (10265)"</f>
        <v>PAGMENOS - LJ 431 (10265)</v>
      </c>
      <c r="S11053" t="s">
        <v>77</v>
      </c>
      <c r="T11053">
        <v>21794</v>
      </c>
      <c r="U11053">
        <v>25077</v>
      </c>
      <c r="V11053" t="s">
        <v>77</v>
      </c>
    </row>
    <row r="11054" spans="1:22">
      <c r="A11054" t="str">
        <f t="shared" si="2075"/>
        <v>13/11/2025</v>
      </c>
      <c r="B11054" t="str">
        <f t="shared" si="2076"/>
        <v>SAÍDA</v>
      </c>
      <c r="C11054" t="str">
        <f t="shared" si="2077"/>
        <v>PIX</v>
      </c>
      <c r="D11054" t="str">
        <f>"25078"</f>
        <v>25078</v>
      </c>
      <c r="E11054" t="str">
        <f t="shared" si="2079"/>
        <v>1</v>
      </c>
      <c r="F11054" t="str">
        <f t="shared" si="2072"/>
        <v>COM</v>
      </c>
      <c r="G11054" t="str">
        <f>"THAIS SILVA MAIA (1057)"</f>
        <v>THAIS SILVA MAIA (1057)</v>
      </c>
      <c r="H11054" t="str">
        <f>"Serv.Prest. 03/11/2025 a 09/11/2025 - PIX: CELULAR - CHAVE: (34) 99688-5705"</f>
        <v>Serv.Prest. 03/11/2025 a 09/11/2025 - PIX: CELULAR - CHAVE: (34) 99688-5705</v>
      </c>
      <c r="I11054" t="str">
        <f t="shared" si="2078"/>
        <v>13/11/2025</v>
      </c>
      <c r="J11054" t="str">
        <f t="shared" si="2074"/>
        <v>10/11/2025</v>
      </c>
      <c r="K11054" t="str">
        <f>("13/11/2025")</f>
        <v>13/11/2025</v>
      </c>
      <c r="L11054">
        <v>690</v>
      </c>
      <c r="M11054">
        <v>690</v>
      </c>
      <c r="N11054">
        <v>109</v>
      </c>
      <c r="O11054" t="str">
        <f>"PAGAMENTO DE ENTREGADORES"</f>
        <v>PAGAMENTO DE ENTREGADORES</v>
      </c>
      <c r="P11054">
        <v>690</v>
      </c>
      <c r="S11054" t="str">
        <f>"BANCO C6 (149)"</f>
        <v>BANCO C6 (149)</v>
      </c>
      <c r="T11054">
        <v>21795</v>
      </c>
      <c r="U11054">
        <v>25078</v>
      </c>
      <c r="V11054" t="s">
        <v>77</v>
      </c>
    </row>
    <row r="11055" spans="1:22">
      <c r="A11055" t="str">
        <f t="shared" si="2075"/>
        <v>13/11/2025</v>
      </c>
      <c r="B11055" t="str">
        <f t="shared" si="2076"/>
        <v>SAÍDA</v>
      </c>
      <c r="C11055" t="str">
        <f t="shared" si="2077"/>
        <v>PIX</v>
      </c>
      <c r="D11055" t="str">
        <f>"25078"</f>
        <v>25078</v>
      </c>
      <c r="E11055" t="str">
        <f t="shared" si="2079"/>
        <v>1</v>
      </c>
      <c r="F11055" t="str">
        <f t="shared" si="2072"/>
        <v>COM</v>
      </c>
      <c r="G11055" t="str">
        <f>"THAIS SILVA MAIA (1057)"</f>
        <v>THAIS SILVA MAIA (1057)</v>
      </c>
      <c r="H11055" t="s">
        <v>3019</v>
      </c>
      <c r="I11055" t="str">
        <f t="shared" si="2078"/>
        <v>13/11/2025</v>
      </c>
      <c r="J11055" t="str">
        <f t="shared" si="2074"/>
        <v>10/11/2025</v>
      </c>
      <c r="K11055">
        <v>45974</v>
      </c>
      <c r="N11055">
        <v>109</v>
      </c>
      <c r="O11055" t="s">
        <v>24</v>
      </c>
      <c r="Q11055">
        <v>690</v>
      </c>
      <c r="R11055" t="str">
        <f>"PAGMENOS - LJ 431 (10265)"</f>
        <v>PAGMENOS - LJ 431 (10265)</v>
      </c>
      <c r="S11055" t="s">
        <v>77</v>
      </c>
      <c r="T11055">
        <v>21795</v>
      </c>
      <c r="U11055">
        <v>25078</v>
      </c>
      <c r="V11055" t="s">
        <v>77</v>
      </c>
    </row>
    <row r="11056" spans="1:22">
      <c r="A11056" t="str">
        <f t="shared" si="2075"/>
        <v>13/11/2025</v>
      </c>
      <c r="B11056" t="str">
        <f t="shared" si="2076"/>
        <v>SAÍDA</v>
      </c>
      <c r="C11056" t="str">
        <f t="shared" si="2077"/>
        <v>PIX</v>
      </c>
      <c r="D11056" t="str">
        <f>"25080"</f>
        <v>25080</v>
      </c>
      <c r="E11056" t="str">
        <f t="shared" si="2079"/>
        <v>1</v>
      </c>
      <c r="F11056" t="str">
        <f t="shared" si="2072"/>
        <v>COM</v>
      </c>
      <c r="G11056" t="str">
        <f>"CARLOS EDUARDO LESSA ROCHA (1070)"</f>
        <v>CARLOS EDUARDO LESSA ROCHA (1070)</v>
      </c>
      <c r="H11056" t="str">
        <f>"Serv.Prest. 03/11/2025 a 09/11/2025 - PIX: CPF - CHAVE: 162.570.846-79"</f>
        <v>Serv.Prest. 03/11/2025 a 09/11/2025 - PIX: CPF - CHAVE: 162.570.846-79</v>
      </c>
      <c r="I11056" t="str">
        <f t="shared" si="2078"/>
        <v>13/11/2025</v>
      </c>
      <c r="J11056" t="str">
        <f t="shared" si="2074"/>
        <v>10/11/2025</v>
      </c>
      <c r="K11056" t="str">
        <f>("13/11/2025")</f>
        <v>13/11/2025</v>
      </c>
      <c r="L11056">
        <v>170</v>
      </c>
      <c r="M11056">
        <v>170</v>
      </c>
      <c r="N11056">
        <v>109</v>
      </c>
      <c r="O11056" t="str">
        <f>"PAGAMENTO DE ENTREGADORES"</f>
        <v>PAGAMENTO DE ENTREGADORES</v>
      </c>
      <c r="P11056">
        <v>170</v>
      </c>
      <c r="S11056" t="str">
        <f>"BANCO C6 (149)"</f>
        <v>BANCO C6 (149)</v>
      </c>
      <c r="T11056">
        <v>21796</v>
      </c>
      <c r="U11056">
        <v>25080</v>
      </c>
      <c r="V11056" t="s">
        <v>77</v>
      </c>
    </row>
    <row r="11057" spans="1:22">
      <c r="A11057" t="str">
        <f t="shared" si="2075"/>
        <v>13/11/2025</v>
      </c>
      <c r="B11057" t="str">
        <f t="shared" si="2076"/>
        <v>SAÍDA</v>
      </c>
      <c r="C11057" t="str">
        <f t="shared" si="2077"/>
        <v>PIX</v>
      </c>
      <c r="D11057" t="str">
        <f>"25080"</f>
        <v>25080</v>
      </c>
      <c r="E11057" t="str">
        <f t="shared" si="2079"/>
        <v>1</v>
      </c>
      <c r="F11057" t="str">
        <f t="shared" si="2072"/>
        <v>COM</v>
      </c>
      <c r="G11057" t="str">
        <f>"CARLOS EDUARDO LESSA ROCHA (1070)"</f>
        <v>CARLOS EDUARDO LESSA ROCHA (1070)</v>
      </c>
      <c r="H11057" t="s">
        <v>3017</v>
      </c>
      <c r="I11057" t="str">
        <f t="shared" si="2078"/>
        <v>13/11/2025</v>
      </c>
      <c r="J11057" t="str">
        <f t="shared" si="2074"/>
        <v>10/11/2025</v>
      </c>
      <c r="K11057">
        <v>45974</v>
      </c>
      <c r="N11057">
        <v>109</v>
      </c>
      <c r="O11057" t="s">
        <v>24</v>
      </c>
      <c r="Q11057">
        <v>170</v>
      </c>
      <c r="R11057" t="str">
        <f>"PAGMENOS - LJ 768 (10266)"</f>
        <v>PAGMENOS - LJ 768 (10266)</v>
      </c>
      <c r="S11057" t="s">
        <v>77</v>
      </c>
      <c r="T11057">
        <v>21796</v>
      </c>
      <c r="U11057">
        <v>25080</v>
      </c>
      <c r="V11057" t="s">
        <v>77</v>
      </c>
    </row>
    <row r="11058" spans="1:22">
      <c r="A11058" t="str">
        <f t="shared" si="2075"/>
        <v>13/11/2025</v>
      </c>
      <c r="B11058" t="str">
        <f t="shared" si="2076"/>
        <v>SAÍDA</v>
      </c>
      <c r="C11058" t="str">
        <f t="shared" si="2077"/>
        <v>PIX</v>
      </c>
      <c r="D11058" t="str">
        <f>"25082"</f>
        <v>25082</v>
      </c>
      <c r="E11058" t="str">
        <f t="shared" si="2079"/>
        <v>1</v>
      </c>
      <c r="F11058" t="str">
        <f t="shared" si="2072"/>
        <v>COM</v>
      </c>
      <c r="G11058" t="str">
        <f>"ODAIR SEBASTIAO DE ARAUJO FILHO (1061)"</f>
        <v>ODAIR SEBASTIAO DE ARAUJO FILHO (1061)</v>
      </c>
      <c r="H11058" t="str">
        <f>"Serv.Prest. 03/11/2025 a 09/11/2025 - PIX: E-MAIL - CHAVE: odair.araujo@onmail.com"</f>
        <v>Serv.Prest. 03/11/2025 a 09/11/2025 - PIX: E-MAIL - CHAVE: odair.araujo@onmail.com</v>
      </c>
      <c r="I11058" t="str">
        <f t="shared" si="2078"/>
        <v>13/11/2025</v>
      </c>
      <c r="J11058" t="str">
        <f t="shared" si="2074"/>
        <v>10/11/2025</v>
      </c>
      <c r="K11058" t="str">
        <f>("13/11/2025")</f>
        <v>13/11/2025</v>
      </c>
      <c r="L11058">
        <v>350</v>
      </c>
      <c r="M11058">
        <v>350</v>
      </c>
      <c r="N11058">
        <v>109</v>
      </c>
      <c r="O11058" t="str">
        <f>"PAGAMENTO DE ENTREGADORES"</f>
        <v>PAGAMENTO DE ENTREGADORES</v>
      </c>
      <c r="P11058">
        <v>350</v>
      </c>
      <c r="S11058" t="str">
        <f>"BANCO C6 (149)"</f>
        <v>BANCO C6 (149)</v>
      </c>
      <c r="T11058">
        <v>21797</v>
      </c>
      <c r="U11058">
        <v>25082</v>
      </c>
      <c r="V11058" t="s">
        <v>77</v>
      </c>
    </row>
    <row r="11059" spans="1:22">
      <c r="A11059" t="str">
        <f t="shared" si="2075"/>
        <v>13/11/2025</v>
      </c>
      <c r="B11059" t="str">
        <f t="shared" si="2076"/>
        <v>SAÍDA</v>
      </c>
      <c r="C11059" t="str">
        <f t="shared" si="2077"/>
        <v>PIX</v>
      </c>
      <c r="D11059" t="str">
        <f>"25082"</f>
        <v>25082</v>
      </c>
      <c r="E11059" t="str">
        <f t="shared" si="2079"/>
        <v>1</v>
      </c>
      <c r="F11059" t="str">
        <f t="shared" si="2072"/>
        <v>COM</v>
      </c>
      <c r="G11059" t="str">
        <f>"ODAIR SEBASTIAO DE ARAUJO FILHO (1061)"</f>
        <v>ODAIR SEBASTIAO DE ARAUJO FILHO (1061)</v>
      </c>
      <c r="H11059" t="s">
        <v>3018</v>
      </c>
      <c r="I11059" t="str">
        <f t="shared" si="2078"/>
        <v>13/11/2025</v>
      </c>
      <c r="J11059" t="str">
        <f t="shared" si="2074"/>
        <v>10/11/2025</v>
      </c>
      <c r="K11059">
        <v>45974</v>
      </c>
      <c r="N11059">
        <v>109</v>
      </c>
      <c r="O11059" t="s">
        <v>24</v>
      </c>
      <c r="Q11059">
        <v>350</v>
      </c>
      <c r="R11059" t="str">
        <f>"PAGMENOS - LJ 768 (10266)"</f>
        <v>PAGMENOS - LJ 768 (10266)</v>
      </c>
      <c r="S11059" t="s">
        <v>77</v>
      </c>
      <c r="T11059">
        <v>21797</v>
      </c>
      <c r="U11059">
        <v>25082</v>
      </c>
      <c r="V11059" t="s">
        <v>77</v>
      </c>
    </row>
    <row r="11060" spans="1:22">
      <c r="A11060" t="str">
        <f t="shared" si="2075"/>
        <v>13/11/2025</v>
      </c>
      <c r="B11060" t="str">
        <f t="shared" si="2076"/>
        <v>SAÍDA</v>
      </c>
      <c r="C11060" t="str">
        <f t="shared" si="2077"/>
        <v>PIX</v>
      </c>
      <c r="D11060" t="str">
        <f>"25083"</f>
        <v>25083</v>
      </c>
      <c r="E11060" t="str">
        <f t="shared" si="2079"/>
        <v>1</v>
      </c>
      <c r="F11060" t="str">
        <f t="shared" si="2072"/>
        <v>COM</v>
      </c>
      <c r="G11060" t="str">
        <f>"THAIS SILVA MAIA (1057)"</f>
        <v>THAIS SILVA MAIA (1057)</v>
      </c>
      <c r="H11060" t="str">
        <f>"Serv.Prest. 03/11/2025 a 09/11/2025 - PIX: CELULAR - CHAVE: (34) 99688-5705"</f>
        <v>Serv.Prest. 03/11/2025 a 09/11/2025 - PIX: CELULAR - CHAVE: (34) 99688-5705</v>
      </c>
      <c r="I11060" t="str">
        <f t="shared" si="2078"/>
        <v>13/11/2025</v>
      </c>
      <c r="J11060" t="str">
        <f t="shared" si="2074"/>
        <v>10/11/2025</v>
      </c>
      <c r="K11060" t="str">
        <f>("13/11/2025")</f>
        <v>13/11/2025</v>
      </c>
      <c r="L11060">
        <v>600</v>
      </c>
      <c r="M11060">
        <v>600</v>
      </c>
      <c r="N11060">
        <v>109</v>
      </c>
      <c r="O11060" t="str">
        <f>"PAGAMENTO DE ENTREGADORES"</f>
        <v>PAGAMENTO DE ENTREGADORES</v>
      </c>
      <c r="P11060">
        <v>600</v>
      </c>
      <c r="S11060" t="str">
        <f>"BANCO C6 (149)"</f>
        <v>BANCO C6 (149)</v>
      </c>
      <c r="T11060">
        <v>21798</v>
      </c>
      <c r="U11060">
        <v>25083</v>
      </c>
      <c r="V11060" t="s">
        <v>77</v>
      </c>
    </row>
    <row r="11061" spans="1:22">
      <c r="A11061" t="str">
        <f t="shared" si="2075"/>
        <v>13/11/2025</v>
      </c>
      <c r="B11061" t="str">
        <f t="shared" si="2076"/>
        <v>SAÍDA</v>
      </c>
      <c r="C11061" t="str">
        <f t="shared" si="2077"/>
        <v>PIX</v>
      </c>
      <c r="D11061" t="str">
        <f>"25083"</f>
        <v>25083</v>
      </c>
      <c r="E11061" t="str">
        <f t="shared" si="2079"/>
        <v>1</v>
      </c>
      <c r="F11061" t="str">
        <f t="shared" si="2072"/>
        <v>COM</v>
      </c>
      <c r="G11061" t="str">
        <f>"THAIS SILVA MAIA (1057)"</f>
        <v>THAIS SILVA MAIA (1057)</v>
      </c>
      <c r="H11061" t="s">
        <v>3019</v>
      </c>
      <c r="I11061" t="str">
        <f t="shared" si="2078"/>
        <v>13/11/2025</v>
      </c>
      <c r="J11061" t="str">
        <f t="shared" si="2074"/>
        <v>10/11/2025</v>
      </c>
      <c r="K11061">
        <v>45974</v>
      </c>
      <c r="N11061">
        <v>109</v>
      </c>
      <c r="O11061" t="s">
        <v>24</v>
      </c>
      <c r="Q11061">
        <v>600</v>
      </c>
      <c r="R11061" t="str">
        <f>"PAGMENOS - LJ 768 (10266)"</f>
        <v>PAGMENOS - LJ 768 (10266)</v>
      </c>
      <c r="S11061" t="s">
        <v>77</v>
      </c>
      <c r="T11061">
        <v>21798</v>
      </c>
      <c r="U11061">
        <v>25083</v>
      </c>
      <c r="V11061" t="s">
        <v>77</v>
      </c>
    </row>
    <row r="11062" spans="1:22">
      <c r="A11062" t="str">
        <f t="shared" si="2075"/>
        <v>13/11/2025</v>
      </c>
      <c r="B11062" t="str">
        <f t="shared" si="2076"/>
        <v>SAÍDA</v>
      </c>
      <c r="C11062" t="str">
        <f t="shared" si="2077"/>
        <v>PIX</v>
      </c>
      <c r="D11062" t="str">
        <f>"25085"</f>
        <v>25085</v>
      </c>
      <c r="E11062" t="str">
        <f t="shared" si="2079"/>
        <v>1</v>
      </c>
      <c r="F11062" t="str">
        <f t="shared" si="2072"/>
        <v>COM</v>
      </c>
      <c r="G11062" t="str">
        <f>"JOSÉ HENRIQUE RODRIGUES (430)"</f>
        <v>JOSÉ HENRIQUE RODRIGUES (430)</v>
      </c>
      <c r="H11062" t="str">
        <f>"Serv.Prest. 03/11/2025 a 09/11/2025 - PIX: CPF - CHAVE: 100.826.516-04"</f>
        <v>Serv.Prest. 03/11/2025 a 09/11/2025 - PIX: CPF - CHAVE: 100.826.516-04</v>
      </c>
      <c r="I11062" t="str">
        <f t="shared" si="2078"/>
        <v>13/11/2025</v>
      </c>
      <c r="J11062" t="str">
        <f t="shared" si="2074"/>
        <v>10/11/2025</v>
      </c>
      <c r="K11062" t="str">
        <f>("13/11/2025")</f>
        <v>13/11/2025</v>
      </c>
      <c r="L11062">
        <v>880</v>
      </c>
      <c r="M11062">
        <v>880</v>
      </c>
      <c r="N11062">
        <v>109</v>
      </c>
      <c r="O11062" t="str">
        <f>"PAGAMENTO DE ENTREGADORES"</f>
        <v>PAGAMENTO DE ENTREGADORES</v>
      </c>
      <c r="P11062">
        <v>880</v>
      </c>
      <c r="S11062" t="str">
        <f>"BANCO C6 (149)"</f>
        <v>BANCO C6 (149)</v>
      </c>
      <c r="T11062">
        <v>21799</v>
      </c>
      <c r="U11062">
        <v>25085</v>
      </c>
      <c r="V11062" t="s">
        <v>77</v>
      </c>
    </row>
    <row r="11063" spans="1:22">
      <c r="A11063" t="str">
        <f t="shared" si="2075"/>
        <v>13/11/2025</v>
      </c>
      <c r="B11063" t="str">
        <f t="shared" si="2076"/>
        <v>SAÍDA</v>
      </c>
      <c r="C11063" t="str">
        <f t="shared" si="2077"/>
        <v>PIX</v>
      </c>
      <c r="D11063" t="str">
        <f>"25085"</f>
        <v>25085</v>
      </c>
      <c r="E11063" t="str">
        <f t="shared" si="2079"/>
        <v>1</v>
      </c>
      <c r="F11063" t="str">
        <f t="shared" ref="F11063:F11126" si="2080">"COM"</f>
        <v>COM</v>
      </c>
      <c r="G11063" t="str">
        <f>"JOSÉ HENRIQUE RODRIGUES (430)"</f>
        <v>JOSÉ HENRIQUE RODRIGUES (430)</v>
      </c>
      <c r="H11063" t="s">
        <v>2858</v>
      </c>
      <c r="I11063" t="str">
        <f t="shared" si="2078"/>
        <v>13/11/2025</v>
      </c>
      <c r="J11063" t="str">
        <f t="shared" si="2074"/>
        <v>10/11/2025</v>
      </c>
      <c r="K11063">
        <v>45974</v>
      </c>
      <c r="N11063">
        <v>109</v>
      </c>
      <c r="O11063" t="s">
        <v>24</v>
      </c>
      <c r="Q11063">
        <v>880</v>
      </c>
      <c r="R11063" t="str">
        <f>"PAGMENOS - LJ 608 (10135)"</f>
        <v>PAGMENOS - LJ 608 (10135)</v>
      </c>
      <c r="S11063" t="s">
        <v>77</v>
      </c>
      <c r="T11063">
        <v>21799</v>
      </c>
      <c r="U11063">
        <v>25085</v>
      </c>
      <c r="V11063" t="s">
        <v>77</v>
      </c>
    </row>
    <row r="11064" spans="1:22">
      <c r="A11064" t="str">
        <f t="shared" si="2075"/>
        <v>13/11/2025</v>
      </c>
      <c r="B11064" t="str">
        <f t="shared" si="2076"/>
        <v>SAÍDA</v>
      </c>
      <c r="C11064" t="str">
        <f t="shared" si="2077"/>
        <v>PIX</v>
      </c>
      <c r="D11064" t="str">
        <f>"25086"</f>
        <v>25086</v>
      </c>
      <c r="E11064" t="str">
        <f t="shared" si="2079"/>
        <v>1</v>
      </c>
      <c r="F11064" t="str">
        <f t="shared" si="2080"/>
        <v>COM</v>
      </c>
      <c r="G11064" t="str">
        <f>"TALES SILVA MARIANO (431)"</f>
        <v>TALES SILVA MARIANO (431)</v>
      </c>
      <c r="H11064" t="str">
        <f>"Serv.Prest. 03/11/2025 a 09/11/2025 - PIX: CPF - CHAVE: 126.686.406-79"</f>
        <v>Serv.Prest. 03/11/2025 a 09/11/2025 - PIX: CPF - CHAVE: 126.686.406-79</v>
      </c>
      <c r="I11064" t="str">
        <f t="shared" si="2078"/>
        <v>13/11/2025</v>
      </c>
      <c r="J11064" t="str">
        <f t="shared" ref="J11064:J11071" si="2081">("10/11/2025")</f>
        <v>10/11/2025</v>
      </c>
      <c r="K11064" t="str">
        <f>("13/11/2025")</f>
        <v>13/11/2025</v>
      </c>
      <c r="L11064">
        <v>880</v>
      </c>
      <c r="M11064">
        <v>880</v>
      </c>
      <c r="N11064">
        <v>109</v>
      </c>
      <c r="O11064" t="str">
        <f>"PAGAMENTO DE ENTREGADORES"</f>
        <v>PAGAMENTO DE ENTREGADORES</v>
      </c>
      <c r="P11064">
        <v>880</v>
      </c>
      <c r="S11064" t="str">
        <f>"BANCO C6 (149)"</f>
        <v>BANCO C6 (149)</v>
      </c>
      <c r="T11064">
        <v>21800</v>
      </c>
      <c r="U11064">
        <v>25086</v>
      </c>
      <c r="V11064" t="s">
        <v>77</v>
      </c>
    </row>
    <row r="11065" spans="1:22">
      <c r="A11065" t="str">
        <f t="shared" si="2075"/>
        <v>13/11/2025</v>
      </c>
      <c r="B11065" t="str">
        <f t="shared" si="2076"/>
        <v>SAÍDA</v>
      </c>
      <c r="C11065" t="str">
        <f t="shared" si="2077"/>
        <v>PIX</v>
      </c>
      <c r="D11065" t="str">
        <f>"25086"</f>
        <v>25086</v>
      </c>
      <c r="E11065" t="str">
        <f t="shared" si="2079"/>
        <v>1</v>
      </c>
      <c r="F11065" t="str">
        <f t="shared" si="2080"/>
        <v>COM</v>
      </c>
      <c r="G11065" t="str">
        <f>"TALES SILVA MARIANO (431)"</f>
        <v>TALES SILVA MARIANO (431)</v>
      </c>
      <c r="H11065" t="s">
        <v>2893</v>
      </c>
      <c r="I11065" t="str">
        <f t="shared" si="2078"/>
        <v>13/11/2025</v>
      </c>
      <c r="J11065" t="str">
        <f t="shared" si="2081"/>
        <v>10/11/2025</v>
      </c>
      <c r="K11065">
        <v>45974</v>
      </c>
      <c r="N11065">
        <v>109</v>
      </c>
      <c r="O11065" t="s">
        <v>24</v>
      </c>
      <c r="Q11065">
        <v>880</v>
      </c>
      <c r="R11065" t="str">
        <f>"PAGMENOS - LJ 608 (10135)"</f>
        <v>PAGMENOS - LJ 608 (10135)</v>
      </c>
      <c r="S11065" t="s">
        <v>77</v>
      </c>
      <c r="T11065">
        <v>21800</v>
      </c>
      <c r="U11065">
        <v>25086</v>
      </c>
      <c r="V11065" t="s">
        <v>77</v>
      </c>
    </row>
    <row r="11066" spans="1:22">
      <c r="A11066" t="str">
        <f t="shared" si="2075"/>
        <v>13/11/2025</v>
      </c>
      <c r="B11066" t="str">
        <f t="shared" si="2076"/>
        <v>SAÍDA</v>
      </c>
      <c r="C11066" t="str">
        <f t="shared" si="2077"/>
        <v>PIX</v>
      </c>
      <c r="D11066" t="str">
        <f>"25088"</f>
        <v>25088</v>
      </c>
      <c r="E11066" t="str">
        <f t="shared" si="2079"/>
        <v>1</v>
      </c>
      <c r="F11066" t="str">
        <f t="shared" si="2080"/>
        <v>COM</v>
      </c>
      <c r="G11066" t="str">
        <f>"WILIANA RODRIGUES E RODRIGUES (398)"</f>
        <v>WILIANA RODRIGUES E RODRIGUES (398)</v>
      </c>
      <c r="H11066" t="str">
        <f>"Serv.Prest. 03/11/2025 a 09/11/2025 - PIX: CPF - CHAVE: 016.203.336-27"</f>
        <v>Serv.Prest. 03/11/2025 a 09/11/2025 - PIX: CPF - CHAVE: 016.203.336-27</v>
      </c>
      <c r="I11066" t="str">
        <f t="shared" si="2078"/>
        <v>13/11/2025</v>
      </c>
      <c r="J11066" t="str">
        <f t="shared" si="2081"/>
        <v>10/11/2025</v>
      </c>
      <c r="K11066" t="str">
        <f>("13/11/2025")</f>
        <v>13/11/2025</v>
      </c>
      <c r="L11066">
        <v>1180</v>
      </c>
      <c r="M11066">
        <v>1180</v>
      </c>
      <c r="N11066">
        <v>109</v>
      </c>
      <c r="O11066" t="str">
        <f>"PAGAMENTO DE ENTREGADORES"</f>
        <v>PAGAMENTO DE ENTREGADORES</v>
      </c>
      <c r="P11066">
        <v>1180</v>
      </c>
      <c r="S11066" t="str">
        <f>"BANCO C6 (149)"</f>
        <v>BANCO C6 (149)</v>
      </c>
      <c r="T11066">
        <v>21801</v>
      </c>
      <c r="U11066">
        <v>25088</v>
      </c>
      <c r="V11066" t="s">
        <v>77</v>
      </c>
    </row>
    <row r="11067" spans="1:22">
      <c r="A11067" t="str">
        <f t="shared" si="2075"/>
        <v>13/11/2025</v>
      </c>
      <c r="B11067" t="str">
        <f t="shared" si="2076"/>
        <v>SAÍDA</v>
      </c>
      <c r="C11067" t="str">
        <f t="shared" si="2077"/>
        <v>PIX</v>
      </c>
      <c r="D11067" t="str">
        <f>"25088"</f>
        <v>25088</v>
      </c>
      <c r="E11067" t="str">
        <f t="shared" si="2079"/>
        <v>1</v>
      </c>
      <c r="F11067" t="str">
        <f t="shared" si="2080"/>
        <v>COM</v>
      </c>
      <c r="G11067" t="str">
        <f>"WILIANA RODRIGUES E RODRIGUES (398)"</f>
        <v>WILIANA RODRIGUES E RODRIGUES (398)</v>
      </c>
      <c r="H11067" t="s">
        <v>2776</v>
      </c>
      <c r="I11067" t="str">
        <f t="shared" si="2078"/>
        <v>13/11/2025</v>
      </c>
      <c r="J11067" t="str">
        <f t="shared" si="2081"/>
        <v>10/11/2025</v>
      </c>
      <c r="K11067">
        <v>45974</v>
      </c>
      <c r="N11067">
        <v>109</v>
      </c>
      <c r="O11067" t="s">
        <v>24</v>
      </c>
      <c r="Q11067">
        <v>1180</v>
      </c>
      <c r="R11067" t="str">
        <f>"PAGMENOS - LJ 657 (10136)"</f>
        <v>PAGMENOS - LJ 657 (10136)</v>
      </c>
      <c r="S11067" t="s">
        <v>77</v>
      </c>
      <c r="T11067">
        <v>21801</v>
      </c>
      <c r="U11067">
        <v>25088</v>
      </c>
      <c r="V11067" t="s">
        <v>77</v>
      </c>
    </row>
    <row r="11068" spans="1:22">
      <c r="A11068" t="str">
        <f t="shared" si="2075"/>
        <v>13/11/2025</v>
      </c>
      <c r="B11068" t="str">
        <f t="shared" si="2076"/>
        <v>SAÍDA</v>
      </c>
      <c r="C11068" t="str">
        <f t="shared" si="2077"/>
        <v>PIX</v>
      </c>
      <c r="D11068" t="str">
        <f>"25091"</f>
        <v>25091</v>
      </c>
      <c r="E11068" t="str">
        <f t="shared" si="2079"/>
        <v>1</v>
      </c>
      <c r="F11068" t="str">
        <f t="shared" si="2080"/>
        <v>COM</v>
      </c>
      <c r="G11068" t="str">
        <f>"SAMUEL SOARES DA SILVA (867)"</f>
        <v>SAMUEL SOARES DA SILVA (867)</v>
      </c>
      <c r="H11068" t="str">
        <f>"Serv.Prest. 03/11/2025 a 09/11/2025 - PIX: CPF - CHAVE: 396.124.108-28"</f>
        <v>Serv.Prest. 03/11/2025 a 09/11/2025 - PIX: CPF - CHAVE: 396.124.108-28</v>
      </c>
      <c r="I11068" t="str">
        <f t="shared" si="2078"/>
        <v>13/11/2025</v>
      </c>
      <c r="J11068" t="str">
        <f t="shared" si="2081"/>
        <v>10/11/2025</v>
      </c>
      <c r="K11068" t="str">
        <f>("13/11/2025")</f>
        <v>13/11/2025</v>
      </c>
      <c r="L11068">
        <v>1380</v>
      </c>
      <c r="M11068">
        <v>1380</v>
      </c>
      <c r="N11068">
        <v>109</v>
      </c>
      <c r="O11068" t="str">
        <f>"PAGAMENTO DE ENTREGADORES"</f>
        <v>PAGAMENTO DE ENTREGADORES</v>
      </c>
      <c r="P11068">
        <v>1380</v>
      </c>
      <c r="S11068" t="str">
        <f>"BANCO C6 (149)"</f>
        <v>BANCO C6 (149)</v>
      </c>
      <c r="T11068">
        <v>21802</v>
      </c>
      <c r="U11068">
        <v>25091</v>
      </c>
      <c r="V11068" t="s">
        <v>77</v>
      </c>
    </row>
    <row r="11069" spans="1:22">
      <c r="A11069" t="str">
        <f t="shared" si="2075"/>
        <v>13/11/2025</v>
      </c>
      <c r="B11069" t="str">
        <f t="shared" si="2076"/>
        <v>SAÍDA</v>
      </c>
      <c r="C11069" t="str">
        <f t="shared" si="2077"/>
        <v>PIX</v>
      </c>
      <c r="D11069" t="str">
        <f>"25091"</f>
        <v>25091</v>
      </c>
      <c r="E11069" t="str">
        <f t="shared" si="2079"/>
        <v>1</v>
      </c>
      <c r="F11069" t="str">
        <f t="shared" si="2080"/>
        <v>COM</v>
      </c>
      <c r="G11069" t="str">
        <f>"SAMUEL SOARES DA SILVA (867)"</f>
        <v>SAMUEL SOARES DA SILVA (867)</v>
      </c>
      <c r="H11069" t="s">
        <v>2890</v>
      </c>
      <c r="I11069" t="str">
        <f t="shared" si="2078"/>
        <v>13/11/2025</v>
      </c>
      <c r="J11069" t="str">
        <f t="shared" si="2081"/>
        <v>10/11/2025</v>
      </c>
      <c r="K11069">
        <v>45974</v>
      </c>
      <c r="N11069">
        <v>109</v>
      </c>
      <c r="O11069" t="s">
        <v>24</v>
      </c>
      <c r="Q11069">
        <v>1380</v>
      </c>
      <c r="R11069" t="str">
        <f>"DROGA ELIDA (10121)"</f>
        <v>DROGA ELIDA (10121)</v>
      </c>
      <c r="S11069" t="s">
        <v>77</v>
      </c>
      <c r="T11069">
        <v>21802</v>
      </c>
      <c r="U11069">
        <v>25091</v>
      </c>
      <c r="V11069" t="s">
        <v>77</v>
      </c>
    </row>
    <row r="11070" spans="1:22">
      <c r="A11070" t="str">
        <f t="shared" si="2075"/>
        <v>13/11/2025</v>
      </c>
      <c r="B11070" t="str">
        <f t="shared" si="2076"/>
        <v>SAÍDA</v>
      </c>
      <c r="C11070" t="str">
        <f t="shared" si="2077"/>
        <v>PIX</v>
      </c>
      <c r="D11070" t="str">
        <f>"25093"</f>
        <v>25093</v>
      </c>
      <c r="E11070" t="str">
        <f t="shared" si="2079"/>
        <v>1</v>
      </c>
      <c r="F11070" t="str">
        <f t="shared" si="2080"/>
        <v>COM</v>
      </c>
      <c r="G11070" t="str">
        <f>"JOCIMAR VAZ FERREIRA (197)"</f>
        <v>JOCIMAR VAZ FERREIRA (197)</v>
      </c>
      <c r="H11070" t="str">
        <f>"Serv.Prest. 03/11/2025 a 09/11/2025 - PIX: CELULAR - CHAVE: (33) 99924-7557"</f>
        <v>Serv.Prest. 03/11/2025 a 09/11/2025 - PIX: CELULAR - CHAVE: (33) 99924-7557</v>
      </c>
      <c r="I11070" t="str">
        <f t="shared" si="2078"/>
        <v>13/11/2025</v>
      </c>
      <c r="J11070" t="str">
        <f t="shared" si="2081"/>
        <v>10/11/2025</v>
      </c>
      <c r="K11070" t="str">
        <f>("13/11/2025")</f>
        <v>13/11/2025</v>
      </c>
      <c r="L11070">
        <v>876</v>
      </c>
      <c r="M11070">
        <v>876</v>
      </c>
      <c r="N11070">
        <v>109</v>
      </c>
      <c r="O11070" t="str">
        <f>"PAGAMENTO DE ENTREGADORES"</f>
        <v>PAGAMENTO DE ENTREGADORES</v>
      </c>
      <c r="P11070">
        <v>876</v>
      </c>
      <c r="S11070" t="str">
        <f>"BANCO C6 (149)"</f>
        <v>BANCO C6 (149)</v>
      </c>
      <c r="T11070">
        <v>21803</v>
      </c>
      <c r="U11070">
        <v>25093</v>
      </c>
      <c r="V11070" t="s">
        <v>77</v>
      </c>
    </row>
    <row r="11071" spans="1:22">
      <c r="A11071" t="str">
        <f t="shared" si="2075"/>
        <v>13/11/2025</v>
      </c>
      <c r="B11071" t="str">
        <f t="shared" si="2076"/>
        <v>SAÍDA</v>
      </c>
      <c r="C11071" t="str">
        <f t="shared" si="2077"/>
        <v>PIX</v>
      </c>
      <c r="D11071" t="str">
        <f>"25093"</f>
        <v>25093</v>
      </c>
      <c r="E11071" t="str">
        <f t="shared" si="2079"/>
        <v>1</v>
      </c>
      <c r="F11071" t="str">
        <f t="shared" si="2080"/>
        <v>COM</v>
      </c>
      <c r="G11071" t="str">
        <f>"JOCIMAR VAZ FERREIRA (197)"</f>
        <v>JOCIMAR VAZ FERREIRA (197)</v>
      </c>
      <c r="H11071" t="s">
        <v>3020</v>
      </c>
      <c r="I11071" t="str">
        <f t="shared" si="2078"/>
        <v>13/11/2025</v>
      </c>
      <c r="J11071" t="str">
        <f t="shared" si="2081"/>
        <v>10/11/2025</v>
      </c>
      <c r="K11071">
        <v>45974</v>
      </c>
      <c r="N11071">
        <v>109</v>
      </c>
      <c r="O11071" t="s">
        <v>24</v>
      </c>
      <c r="Q11071">
        <v>876</v>
      </c>
      <c r="R11071" t="str">
        <f>"DROGARIA VAZ (10179)"</f>
        <v>DROGARIA VAZ (10179)</v>
      </c>
      <c r="S11071" t="s">
        <v>77</v>
      </c>
      <c r="T11071">
        <v>21803</v>
      </c>
      <c r="U11071">
        <v>25093</v>
      </c>
      <c r="V11071" t="s">
        <v>77</v>
      </c>
    </row>
    <row r="11072" spans="1:22">
      <c r="A11072" t="str">
        <f t="shared" si="2075"/>
        <v>13/11/2025</v>
      </c>
      <c r="B11072" t="str">
        <f t="shared" si="2076"/>
        <v>SAÍDA</v>
      </c>
      <c r="C11072" t="str">
        <f t="shared" si="2077"/>
        <v>PIX</v>
      </c>
      <c r="D11072" t="str">
        <f>"24732"</f>
        <v>24732</v>
      </c>
      <c r="E11072" t="str">
        <f t="shared" si="2079"/>
        <v>1</v>
      </c>
      <c r="F11072" t="str">
        <f t="shared" si="2080"/>
        <v>COM</v>
      </c>
      <c r="G11072" t="str">
        <f>"ARLINDO JOSE MARTINS (909)"</f>
        <v>ARLINDO JOSE MARTINS (909)</v>
      </c>
      <c r="H11072" t="str">
        <f>"Serv.Prest. 24/10/2025 a 02/11/2025 - PIX: CPF - CHAVE: 037.192.076-09"</f>
        <v>Serv.Prest. 24/10/2025 a 02/11/2025 - PIX: CPF - CHAVE: 037.192.076-09</v>
      </c>
      <c r="I11072" t="str">
        <f t="shared" si="2078"/>
        <v>13/11/2025</v>
      </c>
      <c r="J11072" t="str">
        <f>("04/11/2025")</f>
        <v>04/11/2025</v>
      </c>
      <c r="K11072" t="str">
        <f>("13/11/2025")</f>
        <v>13/11/2025</v>
      </c>
      <c r="L11072">
        <v>783</v>
      </c>
      <c r="M11072">
        <v>783</v>
      </c>
      <c r="N11072">
        <v>109</v>
      </c>
      <c r="O11072" t="str">
        <f>"PAGAMENTO DE ENTREGADORES"</f>
        <v>PAGAMENTO DE ENTREGADORES</v>
      </c>
      <c r="P11072">
        <v>783</v>
      </c>
      <c r="S11072" t="str">
        <f>"BANCO C6 (149)"</f>
        <v>BANCO C6 (149)</v>
      </c>
      <c r="T11072">
        <v>21804</v>
      </c>
      <c r="U11072">
        <v>25094</v>
      </c>
      <c r="V11072" t="s">
        <v>77</v>
      </c>
    </row>
    <row r="11073" spans="1:22">
      <c r="A11073" t="str">
        <f t="shared" si="2075"/>
        <v>13/11/2025</v>
      </c>
      <c r="B11073" t="str">
        <f t="shared" si="2076"/>
        <v>SAÍDA</v>
      </c>
      <c r="C11073" t="str">
        <f t="shared" si="2077"/>
        <v>PIX</v>
      </c>
      <c r="D11073" t="str">
        <f>"24732"</f>
        <v>24732</v>
      </c>
      <c r="E11073" t="str">
        <f t="shared" si="2079"/>
        <v>1</v>
      </c>
      <c r="F11073" t="str">
        <f t="shared" si="2080"/>
        <v>COM</v>
      </c>
      <c r="G11073" t="str">
        <f>"ARLINDO JOSE MARTINS (909)"</f>
        <v>ARLINDO JOSE MARTINS (909)</v>
      </c>
      <c r="H11073" t="s">
        <v>2768</v>
      </c>
      <c r="I11073" t="str">
        <f t="shared" si="2078"/>
        <v>13/11/2025</v>
      </c>
      <c r="J11073" t="str">
        <f>("04/11/2025")</f>
        <v>04/11/2025</v>
      </c>
      <c r="K11073">
        <v>45974</v>
      </c>
      <c r="N11073">
        <v>109</v>
      </c>
      <c r="O11073" t="s">
        <v>24</v>
      </c>
      <c r="Q11073">
        <v>92.08</v>
      </c>
      <c r="R11073" t="str">
        <f>"FARMÁCIA INDIANA LJ 185 (10141)"</f>
        <v>FARMÁCIA INDIANA LJ 185 (10141)</v>
      </c>
      <c r="S11073" t="s">
        <v>77</v>
      </c>
      <c r="T11073">
        <v>21804</v>
      </c>
      <c r="U11073">
        <v>25094</v>
      </c>
      <c r="V11073" t="s">
        <v>77</v>
      </c>
    </row>
    <row r="11074" spans="1:22">
      <c r="A11074" t="str">
        <f t="shared" si="2075"/>
        <v>13/11/2025</v>
      </c>
      <c r="B11074" t="str">
        <f t="shared" si="2076"/>
        <v>SAÍDA</v>
      </c>
      <c r="C11074" t="str">
        <f t="shared" si="2077"/>
        <v>PIX</v>
      </c>
      <c r="D11074" t="str">
        <f>"24732"</f>
        <v>24732</v>
      </c>
      <c r="E11074" t="str">
        <f t="shared" si="2079"/>
        <v>1</v>
      </c>
      <c r="F11074" t="str">
        <f t="shared" si="2080"/>
        <v>COM</v>
      </c>
      <c r="G11074" t="str">
        <f>"ARLINDO JOSE MARTINS (909)"</f>
        <v>ARLINDO JOSE MARTINS (909)</v>
      </c>
      <c r="H11074" t="s">
        <v>2768</v>
      </c>
      <c r="I11074" t="str">
        <f t="shared" si="2078"/>
        <v>13/11/2025</v>
      </c>
      <c r="J11074" t="str">
        <f>("04/11/2025")</f>
        <v>04/11/2025</v>
      </c>
      <c r="K11074">
        <v>45974</v>
      </c>
      <c r="N11074">
        <v>109</v>
      </c>
      <c r="O11074" t="s">
        <v>24</v>
      </c>
      <c r="Q11074">
        <v>690.92</v>
      </c>
      <c r="R11074" t="str">
        <f>"FARMÁCIA INDIANA LJ 257 (10267)"</f>
        <v>FARMÁCIA INDIANA LJ 257 (10267)</v>
      </c>
      <c r="S11074" t="s">
        <v>77</v>
      </c>
      <c r="T11074">
        <v>21804</v>
      </c>
      <c r="U11074">
        <v>25094</v>
      </c>
      <c r="V11074" t="s">
        <v>77</v>
      </c>
    </row>
    <row r="11075" spans="1:22">
      <c r="A11075" t="str">
        <f t="shared" si="2075"/>
        <v>13/11/2025</v>
      </c>
      <c r="B11075" t="str">
        <f t="shared" si="2076"/>
        <v>SAÍDA</v>
      </c>
      <c r="C11075" t="str">
        <f t="shared" si="2077"/>
        <v>PIX</v>
      </c>
      <c r="D11075" t="str">
        <f>"25193"</f>
        <v>25193</v>
      </c>
      <c r="E11075" t="str">
        <f t="shared" si="2079"/>
        <v>1</v>
      </c>
      <c r="F11075" t="str">
        <f t="shared" si="2080"/>
        <v>COM</v>
      </c>
      <c r="G11075" t="str">
        <f>"WEIGNE SENA CARDOSO (53)"</f>
        <v>WEIGNE SENA CARDOSO (53)</v>
      </c>
      <c r="H11075" t="str">
        <f>"Serv.Prest. 03/11/2025 a 09/11/2025 - PIX: CPF - CHAVE: 097.245.586-81"</f>
        <v>Serv.Prest. 03/11/2025 a 09/11/2025 - PIX: CPF - CHAVE: 097.245.586-81</v>
      </c>
      <c r="I11075" t="str">
        <f t="shared" si="2078"/>
        <v>13/11/2025</v>
      </c>
      <c r="J11075" t="str">
        <f t="shared" ref="J11075:J11096" si="2082">("11/11/2025")</f>
        <v>11/11/2025</v>
      </c>
      <c r="K11075" t="str">
        <f>("13/11/2025")</f>
        <v>13/11/2025</v>
      </c>
      <c r="L11075">
        <v>1248</v>
      </c>
      <c r="M11075">
        <v>1248</v>
      </c>
      <c r="N11075">
        <v>109</v>
      </c>
      <c r="O11075" t="str">
        <f>"PAGAMENTO DE ENTREGADORES"</f>
        <v>PAGAMENTO DE ENTREGADORES</v>
      </c>
      <c r="P11075">
        <v>1248</v>
      </c>
      <c r="S11075" t="str">
        <f>"BANCO C6 (149)"</f>
        <v>BANCO C6 (149)</v>
      </c>
      <c r="T11075">
        <v>21805</v>
      </c>
      <c r="U11075">
        <v>25193</v>
      </c>
      <c r="V11075" t="s">
        <v>77</v>
      </c>
    </row>
    <row r="11076" spans="1:22">
      <c r="A11076" t="str">
        <f t="shared" si="2075"/>
        <v>13/11/2025</v>
      </c>
      <c r="B11076" t="str">
        <f t="shared" si="2076"/>
        <v>SAÍDA</v>
      </c>
      <c r="C11076" t="str">
        <f t="shared" si="2077"/>
        <v>PIX</v>
      </c>
      <c r="D11076" t="str">
        <f>"25193"</f>
        <v>25193</v>
      </c>
      <c r="E11076" t="str">
        <f t="shared" si="2079"/>
        <v>1</v>
      </c>
      <c r="F11076" t="str">
        <f t="shared" si="2080"/>
        <v>COM</v>
      </c>
      <c r="G11076" t="str">
        <f>"WEIGNE SENA CARDOSO (53)"</f>
        <v>WEIGNE SENA CARDOSO (53)</v>
      </c>
      <c r="H11076" t="s">
        <v>2791</v>
      </c>
      <c r="I11076" t="str">
        <f t="shared" si="2078"/>
        <v>13/11/2025</v>
      </c>
      <c r="J11076" t="str">
        <f t="shared" si="2082"/>
        <v>11/11/2025</v>
      </c>
      <c r="K11076">
        <v>45974</v>
      </c>
      <c r="N11076">
        <v>109</v>
      </c>
      <c r="O11076" t="s">
        <v>24</v>
      </c>
      <c r="Q11076">
        <v>1248</v>
      </c>
      <c r="R11076" t="str">
        <f>"FARMÁCIA INDIANA LJ 07 (10007)"</f>
        <v>FARMÁCIA INDIANA LJ 07 (10007)</v>
      </c>
      <c r="S11076" t="s">
        <v>77</v>
      </c>
      <c r="T11076">
        <v>21805</v>
      </c>
      <c r="U11076">
        <v>25193</v>
      </c>
      <c r="V11076" t="s">
        <v>77</v>
      </c>
    </row>
    <row r="11077" spans="1:22">
      <c r="A11077" t="str">
        <f t="shared" si="2075"/>
        <v>13/11/2025</v>
      </c>
      <c r="B11077" t="str">
        <f t="shared" si="2076"/>
        <v>SAÍDA</v>
      </c>
      <c r="C11077" t="str">
        <f t="shared" si="2077"/>
        <v>PIX</v>
      </c>
      <c r="D11077" t="str">
        <f>"25204"</f>
        <v>25204</v>
      </c>
      <c r="E11077" t="str">
        <f t="shared" si="2079"/>
        <v>1</v>
      </c>
      <c r="F11077" t="str">
        <f t="shared" si="2080"/>
        <v>COM</v>
      </c>
      <c r="G11077" t="str">
        <f>"DANILO DE JESUS SANTOS (490)"</f>
        <v>DANILO DE JESUS SANTOS (490)</v>
      </c>
      <c r="H11077" t="str">
        <f>"Serv.Prest. 03/11/2025 a 09/11/2025 - PIX: CELULAR - CHAVE: (73) 98191-0061"</f>
        <v>Serv.Prest. 03/11/2025 a 09/11/2025 - PIX: CELULAR - CHAVE: (73) 98191-0061</v>
      </c>
      <c r="I11077" t="str">
        <f t="shared" si="2078"/>
        <v>13/11/2025</v>
      </c>
      <c r="J11077" t="str">
        <f t="shared" si="2082"/>
        <v>11/11/2025</v>
      </c>
      <c r="K11077" t="str">
        <f>("13/11/2025")</f>
        <v>13/11/2025</v>
      </c>
      <c r="L11077">
        <v>682</v>
      </c>
      <c r="M11077">
        <v>682</v>
      </c>
      <c r="N11077">
        <v>109</v>
      </c>
      <c r="O11077" t="str">
        <f>"PAGAMENTO DE ENTREGADORES"</f>
        <v>PAGAMENTO DE ENTREGADORES</v>
      </c>
      <c r="P11077">
        <v>682</v>
      </c>
      <c r="S11077" t="str">
        <f>"BANCO C6 (149)"</f>
        <v>BANCO C6 (149)</v>
      </c>
      <c r="T11077">
        <v>21806</v>
      </c>
      <c r="U11077">
        <v>25204</v>
      </c>
      <c r="V11077" t="s">
        <v>77</v>
      </c>
    </row>
    <row r="11078" spans="1:22">
      <c r="A11078" t="str">
        <f t="shared" si="2075"/>
        <v>13/11/2025</v>
      </c>
      <c r="B11078" t="str">
        <f t="shared" si="2076"/>
        <v>SAÍDA</v>
      </c>
      <c r="C11078" t="str">
        <f t="shared" si="2077"/>
        <v>PIX</v>
      </c>
      <c r="D11078" t="str">
        <f>"25204"</f>
        <v>25204</v>
      </c>
      <c r="E11078" t="str">
        <f t="shared" si="2079"/>
        <v>1</v>
      </c>
      <c r="F11078" t="str">
        <f t="shared" si="2080"/>
        <v>COM</v>
      </c>
      <c r="G11078" t="str">
        <f>"DANILO DE JESUS SANTOS (490)"</f>
        <v>DANILO DE JESUS SANTOS (490)</v>
      </c>
      <c r="H11078" t="s">
        <v>2789</v>
      </c>
      <c r="I11078" t="str">
        <f t="shared" si="2078"/>
        <v>13/11/2025</v>
      </c>
      <c r="J11078" t="str">
        <f t="shared" si="2082"/>
        <v>11/11/2025</v>
      </c>
      <c r="K11078">
        <v>45974</v>
      </c>
      <c r="N11078">
        <v>109</v>
      </c>
      <c r="O11078" t="s">
        <v>24</v>
      </c>
      <c r="Q11078">
        <v>682</v>
      </c>
      <c r="R11078" t="str">
        <f>"FARMÁCIA INDIANA LJ 145 (10068)"</f>
        <v>FARMÁCIA INDIANA LJ 145 (10068)</v>
      </c>
      <c r="S11078" t="s">
        <v>77</v>
      </c>
      <c r="T11078">
        <v>21806</v>
      </c>
      <c r="U11078">
        <v>25204</v>
      </c>
      <c r="V11078" t="s">
        <v>77</v>
      </c>
    </row>
    <row r="11079" spans="1:22">
      <c r="A11079" t="str">
        <f t="shared" si="2075"/>
        <v>13/11/2025</v>
      </c>
      <c r="B11079" t="str">
        <f t="shared" si="2076"/>
        <v>SAÍDA</v>
      </c>
      <c r="C11079" t="str">
        <f t="shared" si="2077"/>
        <v>PIX</v>
      </c>
      <c r="D11079" t="str">
        <f>"25213"</f>
        <v>25213</v>
      </c>
      <c r="E11079" t="str">
        <f t="shared" si="2079"/>
        <v>1</v>
      </c>
      <c r="F11079" t="str">
        <f t="shared" si="2080"/>
        <v>COM</v>
      </c>
      <c r="G11079" t="str">
        <f>"JARLES DE SOUZA PEREIRA (109)"</f>
        <v>JARLES DE SOUZA PEREIRA (109)</v>
      </c>
      <c r="H11079" t="str">
        <f>"Serv.Prest. 03/11/2025 a 09/11/2025 - PIX: CELULAR - CHAVE: (73) 99115-9602"</f>
        <v>Serv.Prest. 03/11/2025 a 09/11/2025 - PIX: CELULAR - CHAVE: (73) 99115-9602</v>
      </c>
      <c r="I11079" t="str">
        <f t="shared" si="2078"/>
        <v>13/11/2025</v>
      </c>
      <c r="J11079" t="str">
        <f t="shared" si="2082"/>
        <v>11/11/2025</v>
      </c>
      <c r="K11079" t="str">
        <f>("13/11/2025")</f>
        <v>13/11/2025</v>
      </c>
      <c r="L11079">
        <v>654</v>
      </c>
      <c r="M11079">
        <v>654</v>
      </c>
      <c r="N11079">
        <v>109</v>
      </c>
      <c r="O11079" t="str">
        <f>"PAGAMENTO DE ENTREGADORES"</f>
        <v>PAGAMENTO DE ENTREGADORES</v>
      </c>
      <c r="P11079">
        <v>654</v>
      </c>
      <c r="S11079" t="str">
        <f>"BANCO C6 (149)"</f>
        <v>BANCO C6 (149)</v>
      </c>
      <c r="T11079">
        <v>21807</v>
      </c>
      <c r="U11079">
        <v>25213</v>
      </c>
      <c r="V11079" t="s">
        <v>77</v>
      </c>
    </row>
    <row r="11080" spans="1:22">
      <c r="A11080" t="str">
        <f t="shared" si="2075"/>
        <v>13/11/2025</v>
      </c>
      <c r="B11080" t="str">
        <f t="shared" si="2076"/>
        <v>SAÍDA</v>
      </c>
      <c r="C11080" t="str">
        <f t="shared" si="2077"/>
        <v>PIX</v>
      </c>
      <c r="D11080" t="str">
        <f>"25213"</f>
        <v>25213</v>
      </c>
      <c r="E11080" t="str">
        <f t="shared" si="2079"/>
        <v>1</v>
      </c>
      <c r="F11080" t="str">
        <f t="shared" si="2080"/>
        <v>COM</v>
      </c>
      <c r="G11080" t="str">
        <f>"JARLES DE SOUZA PEREIRA (109)"</f>
        <v>JARLES DE SOUZA PEREIRA (109)</v>
      </c>
      <c r="H11080" t="s">
        <v>3021</v>
      </c>
      <c r="I11080" t="str">
        <f t="shared" si="2078"/>
        <v>13/11/2025</v>
      </c>
      <c r="J11080" t="str">
        <f t="shared" si="2082"/>
        <v>11/11/2025</v>
      </c>
      <c r="K11080">
        <v>45974</v>
      </c>
      <c r="N11080">
        <v>109</v>
      </c>
      <c r="O11080" t="s">
        <v>24</v>
      </c>
      <c r="Q11080">
        <v>654</v>
      </c>
      <c r="R11080" t="str">
        <f>"FARMÁCIA INDIANA LJ 173 (10075)"</f>
        <v>FARMÁCIA INDIANA LJ 173 (10075)</v>
      </c>
      <c r="S11080" t="s">
        <v>77</v>
      </c>
      <c r="T11080">
        <v>21807</v>
      </c>
      <c r="U11080">
        <v>25213</v>
      </c>
      <c r="V11080" t="s">
        <v>77</v>
      </c>
    </row>
    <row r="11081" spans="1:22">
      <c r="A11081" t="str">
        <f t="shared" si="2075"/>
        <v>13/11/2025</v>
      </c>
      <c r="B11081" t="str">
        <f t="shared" si="2076"/>
        <v>SAÍDA</v>
      </c>
      <c r="C11081" t="str">
        <f t="shared" si="2077"/>
        <v>PIX</v>
      </c>
      <c r="D11081" t="str">
        <f>"25225"</f>
        <v>25225</v>
      </c>
      <c r="E11081" t="str">
        <f t="shared" si="2079"/>
        <v>1</v>
      </c>
      <c r="F11081" t="str">
        <f t="shared" si="2080"/>
        <v>COM</v>
      </c>
      <c r="G11081" t="str">
        <f>"ROBSON OLIVEIRA DE JESUS (623)"</f>
        <v>ROBSON OLIVEIRA DE JESUS (623)</v>
      </c>
      <c r="H11081" t="str">
        <f>"Serv.Prest. 03/11/2025 a 09/11/2025 - PIX: CELULAR - CHAVE: (73) 98166-3325"</f>
        <v>Serv.Prest. 03/11/2025 a 09/11/2025 - PIX: CELULAR - CHAVE: (73) 98166-3325</v>
      </c>
      <c r="I11081" t="str">
        <f t="shared" si="2078"/>
        <v>13/11/2025</v>
      </c>
      <c r="J11081" t="str">
        <f t="shared" si="2082"/>
        <v>11/11/2025</v>
      </c>
      <c r="K11081" t="str">
        <f>("13/11/2025")</f>
        <v>13/11/2025</v>
      </c>
      <c r="L11081">
        <v>682</v>
      </c>
      <c r="M11081">
        <v>682</v>
      </c>
      <c r="N11081">
        <v>109</v>
      </c>
      <c r="O11081" t="str">
        <f>"PAGAMENTO DE ENTREGADORES"</f>
        <v>PAGAMENTO DE ENTREGADORES</v>
      </c>
      <c r="P11081">
        <v>682</v>
      </c>
      <c r="S11081" t="str">
        <f>"BANCO C6 (149)"</f>
        <v>BANCO C6 (149)</v>
      </c>
      <c r="T11081">
        <v>21808</v>
      </c>
      <c r="U11081">
        <v>25225</v>
      </c>
      <c r="V11081" t="s">
        <v>77</v>
      </c>
    </row>
    <row r="11082" spans="1:22">
      <c r="A11082" t="str">
        <f t="shared" si="2075"/>
        <v>13/11/2025</v>
      </c>
      <c r="B11082" t="str">
        <f t="shared" si="2076"/>
        <v>SAÍDA</v>
      </c>
      <c r="C11082" t="str">
        <f t="shared" si="2077"/>
        <v>PIX</v>
      </c>
      <c r="D11082" t="str">
        <f>"25225"</f>
        <v>25225</v>
      </c>
      <c r="E11082" t="str">
        <f t="shared" si="2079"/>
        <v>1</v>
      </c>
      <c r="F11082" t="str">
        <f t="shared" si="2080"/>
        <v>COM</v>
      </c>
      <c r="G11082" t="str">
        <f>"ROBSON OLIVEIRA DE JESUS (623)"</f>
        <v>ROBSON OLIVEIRA DE JESUS (623)</v>
      </c>
      <c r="H11082" t="s">
        <v>2790</v>
      </c>
      <c r="I11082" t="str">
        <f t="shared" si="2078"/>
        <v>13/11/2025</v>
      </c>
      <c r="J11082" t="str">
        <f t="shared" si="2082"/>
        <v>11/11/2025</v>
      </c>
      <c r="K11082">
        <v>45974</v>
      </c>
      <c r="N11082">
        <v>109</v>
      </c>
      <c r="O11082" t="s">
        <v>24</v>
      </c>
      <c r="Q11082">
        <v>682</v>
      </c>
      <c r="R11082" t="str">
        <f>"FARMÁCIA INDIANA LJ 145 (10068)"</f>
        <v>FARMÁCIA INDIANA LJ 145 (10068)</v>
      </c>
      <c r="S11082" t="s">
        <v>77</v>
      </c>
      <c r="T11082">
        <v>21808</v>
      </c>
      <c r="U11082">
        <v>25225</v>
      </c>
      <c r="V11082" t="s">
        <v>77</v>
      </c>
    </row>
    <row r="11083" spans="1:22">
      <c r="A11083" t="str">
        <f t="shared" si="2075"/>
        <v>13/11/2025</v>
      </c>
      <c r="B11083" t="str">
        <f t="shared" si="2076"/>
        <v>SAÍDA</v>
      </c>
      <c r="C11083" t="str">
        <f t="shared" si="2077"/>
        <v>PIX</v>
      </c>
      <c r="D11083" t="str">
        <f>"25226"</f>
        <v>25226</v>
      </c>
      <c r="E11083" t="str">
        <f t="shared" si="2079"/>
        <v>1</v>
      </c>
      <c r="F11083" t="str">
        <f t="shared" si="2080"/>
        <v>COM</v>
      </c>
      <c r="G11083" t="str">
        <f>"TALES DE JESUS OLIVEIRA (318)"</f>
        <v>TALES DE JESUS OLIVEIRA (318)</v>
      </c>
      <c r="H11083" t="str">
        <f>"Serv.Prest. 03/11/2025 a 09/11/2025 - PIX: CPF - CHAVE: 378.223.888-51"</f>
        <v>Serv.Prest. 03/11/2025 a 09/11/2025 - PIX: CPF - CHAVE: 378.223.888-51</v>
      </c>
      <c r="I11083" t="str">
        <f t="shared" si="2078"/>
        <v>13/11/2025</v>
      </c>
      <c r="J11083" t="str">
        <f t="shared" si="2082"/>
        <v>11/11/2025</v>
      </c>
      <c r="K11083" t="str">
        <f>("13/11/2025")</f>
        <v>13/11/2025</v>
      </c>
      <c r="L11083">
        <v>682</v>
      </c>
      <c r="M11083">
        <v>682</v>
      </c>
      <c r="N11083">
        <v>109</v>
      </c>
      <c r="O11083" t="str">
        <f>"PAGAMENTO DE ENTREGADORES"</f>
        <v>PAGAMENTO DE ENTREGADORES</v>
      </c>
      <c r="P11083">
        <v>682</v>
      </c>
      <c r="S11083" t="str">
        <f>"BANCO C6 (149)"</f>
        <v>BANCO C6 (149)</v>
      </c>
      <c r="T11083">
        <v>21809</v>
      </c>
      <c r="U11083">
        <v>25226</v>
      </c>
      <c r="V11083" t="s">
        <v>77</v>
      </c>
    </row>
    <row r="11084" spans="1:22">
      <c r="A11084" t="str">
        <f t="shared" si="2075"/>
        <v>13/11/2025</v>
      </c>
      <c r="B11084" t="str">
        <f t="shared" si="2076"/>
        <v>SAÍDA</v>
      </c>
      <c r="C11084" t="str">
        <f t="shared" si="2077"/>
        <v>PIX</v>
      </c>
      <c r="D11084" t="str">
        <f>"25226"</f>
        <v>25226</v>
      </c>
      <c r="E11084" t="str">
        <f t="shared" si="2079"/>
        <v>1</v>
      </c>
      <c r="F11084" t="str">
        <f t="shared" si="2080"/>
        <v>COM</v>
      </c>
      <c r="G11084" t="str">
        <f>"TALES DE JESUS OLIVEIRA (318)"</f>
        <v>TALES DE JESUS OLIVEIRA (318)</v>
      </c>
      <c r="H11084" t="s">
        <v>2788</v>
      </c>
      <c r="I11084" t="str">
        <f t="shared" si="2078"/>
        <v>13/11/2025</v>
      </c>
      <c r="J11084" t="str">
        <f t="shared" si="2082"/>
        <v>11/11/2025</v>
      </c>
      <c r="K11084">
        <v>45974</v>
      </c>
      <c r="N11084">
        <v>109</v>
      </c>
      <c r="O11084" t="s">
        <v>24</v>
      </c>
      <c r="Q11084">
        <v>682</v>
      </c>
      <c r="R11084" t="str">
        <f>"FARMÁCIA INDIANA LJ 145 (10068)"</f>
        <v>FARMÁCIA INDIANA LJ 145 (10068)</v>
      </c>
      <c r="S11084" t="s">
        <v>77</v>
      </c>
      <c r="T11084">
        <v>21809</v>
      </c>
      <c r="U11084">
        <v>25226</v>
      </c>
      <c r="V11084" t="s">
        <v>77</v>
      </c>
    </row>
    <row r="11085" spans="1:22">
      <c r="A11085" t="str">
        <f t="shared" si="2075"/>
        <v>13/11/2025</v>
      </c>
      <c r="B11085" t="str">
        <f t="shared" si="2076"/>
        <v>SAÍDA</v>
      </c>
      <c r="C11085" t="str">
        <f t="shared" si="2077"/>
        <v>PIX</v>
      </c>
      <c r="D11085" t="str">
        <f>"25248"</f>
        <v>25248</v>
      </c>
      <c r="E11085" t="str">
        <f t="shared" si="2079"/>
        <v>1</v>
      </c>
      <c r="F11085" t="str">
        <f t="shared" si="2080"/>
        <v>COM</v>
      </c>
      <c r="G11085" t="str">
        <f>"NILTON ADRIANO SILVA DE JESUS (943)"</f>
        <v>NILTON ADRIANO SILVA DE JESUS (943)</v>
      </c>
      <c r="H11085" t="str">
        <f>"Serv.Prest. 03/11/2025 a 09/11/2025 - PIX: CELULAR - CHAVE: (34) 99772-2954"</f>
        <v>Serv.Prest. 03/11/2025 a 09/11/2025 - PIX: CELULAR - CHAVE: (34) 99772-2954</v>
      </c>
      <c r="I11085" t="str">
        <f t="shared" si="2078"/>
        <v>13/11/2025</v>
      </c>
      <c r="J11085" t="str">
        <f t="shared" si="2082"/>
        <v>11/11/2025</v>
      </c>
      <c r="K11085" t="str">
        <f>("13/11/2025")</f>
        <v>13/11/2025</v>
      </c>
      <c r="L11085">
        <v>1039.5</v>
      </c>
      <c r="M11085">
        <v>1039.5</v>
      </c>
      <c r="N11085">
        <v>109</v>
      </c>
      <c r="O11085" t="str">
        <f>"PAGAMENTO DE ENTREGADORES"</f>
        <v>PAGAMENTO DE ENTREGADORES</v>
      </c>
      <c r="P11085">
        <v>1039.5</v>
      </c>
      <c r="S11085" t="str">
        <f>"BANCO C6 (149)"</f>
        <v>BANCO C6 (149)</v>
      </c>
      <c r="T11085">
        <v>21810</v>
      </c>
      <c r="U11085">
        <v>25248</v>
      </c>
      <c r="V11085" t="s">
        <v>77</v>
      </c>
    </row>
    <row r="11086" spans="1:22">
      <c r="A11086" t="str">
        <f t="shared" si="2075"/>
        <v>13/11/2025</v>
      </c>
      <c r="B11086" t="str">
        <f t="shared" si="2076"/>
        <v>SAÍDA</v>
      </c>
      <c r="C11086" t="str">
        <f t="shared" si="2077"/>
        <v>PIX</v>
      </c>
      <c r="D11086" t="str">
        <f>"25248"</f>
        <v>25248</v>
      </c>
      <c r="E11086" t="str">
        <f t="shared" si="2079"/>
        <v>1</v>
      </c>
      <c r="F11086" t="str">
        <f t="shared" si="2080"/>
        <v>COM</v>
      </c>
      <c r="G11086" t="str">
        <f>"NILTON ADRIANO SILVA DE JESUS (943)"</f>
        <v>NILTON ADRIANO SILVA DE JESUS (943)</v>
      </c>
      <c r="H11086" t="s">
        <v>3022</v>
      </c>
      <c r="I11086" t="str">
        <f t="shared" si="2078"/>
        <v>13/11/2025</v>
      </c>
      <c r="J11086" t="str">
        <f t="shared" si="2082"/>
        <v>11/11/2025</v>
      </c>
      <c r="K11086">
        <v>45974</v>
      </c>
      <c r="N11086">
        <v>109</v>
      </c>
      <c r="O11086" t="s">
        <v>24</v>
      </c>
      <c r="Q11086">
        <v>1039.5</v>
      </c>
      <c r="R11086" t="str">
        <f>"DROGA HONDA (10149)"</f>
        <v>DROGA HONDA (10149)</v>
      </c>
      <c r="S11086" t="s">
        <v>77</v>
      </c>
      <c r="T11086">
        <v>21810</v>
      </c>
      <c r="U11086">
        <v>25248</v>
      </c>
      <c r="V11086" t="s">
        <v>77</v>
      </c>
    </row>
    <row r="11087" spans="1:22">
      <c r="A11087" t="str">
        <f t="shared" si="2075"/>
        <v>13/11/2025</v>
      </c>
      <c r="B11087" t="str">
        <f t="shared" si="2076"/>
        <v>SAÍDA</v>
      </c>
      <c r="C11087" t="str">
        <f t="shared" si="2077"/>
        <v>PIX</v>
      </c>
      <c r="D11087" t="str">
        <f>"25250"</f>
        <v>25250</v>
      </c>
      <c r="E11087" t="str">
        <f t="shared" si="2079"/>
        <v>1</v>
      </c>
      <c r="F11087" t="str">
        <f t="shared" si="2080"/>
        <v>COM</v>
      </c>
      <c r="G11087" t="str">
        <f>"ALBERTO FARIAS DOS SANTOS JUNIOR (800)"</f>
        <v>ALBERTO FARIAS DOS SANTOS JUNIOR (800)</v>
      </c>
      <c r="H11087" t="str">
        <f>"Serv.Prest. 03/11/2025 a 09/11/2025 - PIX: CELULAR - CHAVE: (71) 99696-7530"</f>
        <v>Serv.Prest. 03/11/2025 a 09/11/2025 - PIX: CELULAR - CHAVE: (71) 99696-7530</v>
      </c>
      <c r="I11087" t="str">
        <f t="shared" si="2078"/>
        <v>13/11/2025</v>
      </c>
      <c r="J11087" t="str">
        <f t="shared" si="2082"/>
        <v>11/11/2025</v>
      </c>
      <c r="K11087" t="str">
        <f>("13/11/2025")</f>
        <v>13/11/2025</v>
      </c>
      <c r="L11087">
        <v>860</v>
      </c>
      <c r="M11087">
        <v>860</v>
      </c>
      <c r="N11087">
        <v>109</v>
      </c>
      <c r="O11087" t="str">
        <f>"PAGAMENTO DE ENTREGADORES"</f>
        <v>PAGAMENTO DE ENTREGADORES</v>
      </c>
      <c r="P11087">
        <v>860</v>
      </c>
      <c r="S11087" t="str">
        <f>"BANCO C6 (149)"</f>
        <v>BANCO C6 (149)</v>
      </c>
      <c r="T11087">
        <v>21811</v>
      </c>
      <c r="U11087">
        <v>25250</v>
      </c>
      <c r="V11087" t="s">
        <v>77</v>
      </c>
    </row>
    <row r="11088" spans="1:22">
      <c r="A11088" t="str">
        <f t="shared" si="2075"/>
        <v>13/11/2025</v>
      </c>
      <c r="B11088" t="str">
        <f t="shared" si="2076"/>
        <v>SAÍDA</v>
      </c>
      <c r="C11088" t="str">
        <f t="shared" si="2077"/>
        <v>PIX</v>
      </c>
      <c r="D11088" t="str">
        <f>"25250"</f>
        <v>25250</v>
      </c>
      <c r="E11088" t="str">
        <f t="shared" si="2079"/>
        <v>1</v>
      </c>
      <c r="F11088" t="str">
        <f t="shared" si="2080"/>
        <v>COM</v>
      </c>
      <c r="G11088" t="str">
        <f>"ALBERTO FARIAS DOS SANTOS JUNIOR (800)"</f>
        <v>ALBERTO FARIAS DOS SANTOS JUNIOR (800)</v>
      </c>
      <c r="H11088" t="s">
        <v>2807</v>
      </c>
      <c r="I11088" t="str">
        <f t="shared" si="2078"/>
        <v>13/11/2025</v>
      </c>
      <c r="J11088" t="str">
        <f t="shared" si="2082"/>
        <v>11/11/2025</v>
      </c>
      <c r="K11088">
        <v>45974</v>
      </c>
      <c r="N11088">
        <v>109</v>
      </c>
      <c r="O11088" t="s">
        <v>24</v>
      </c>
      <c r="Q11088">
        <v>860</v>
      </c>
      <c r="R11088" t="str">
        <f>"DELTA LOJA 2 (10123)"</f>
        <v>DELTA LOJA 2 (10123)</v>
      </c>
      <c r="S11088" t="s">
        <v>77</v>
      </c>
      <c r="T11088">
        <v>21811</v>
      </c>
      <c r="U11088">
        <v>25250</v>
      </c>
      <c r="V11088" t="s">
        <v>77</v>
      </c>
    </row>
    <row r="11089" spans="1:22">
      <c r="A11089" t="str">
        <f t="shared" si="2075"/>
        <v>13/11/2025</v>
      </c>
      <c r="B11089" t="str">
        <f t="shared" si="2076"/>
        <v>SAÍDA</v>
      </c>
      <c r="C11089" t="str">
        <f t="shared" si="2077"/>
        <v>PIX</v>
      </c>
      <c r="D11089" t="str">
        <f>"25251"</f>
        <v>25251</v>
      </c>
      <c r="E11089" t="str">
        <f t="shared" si="2079"/>
        <v>1</v>
      </c>
      <c r="F11089" t="str">
        <f t="shared" si="2080"/>
        <v>COM</v>
      </c>
      <c r="G11089" t="str">
        <f>"EDNUBIA RAMOS ALVES OLIVEIRA (899)"</f>
        <v>EDNUBIA RAMOS ALVES OLIVEIRA (899)</v>
      </c>
      <c r="H11089" t="str">
        <f>"Serv.Prest. 03/11/2025 a 09/11/2025 - PIX: CELULAR - CHAVE: (71) 99214-9256"</f>
        <v>Serv.Prest. 03/11/2025 a 09/11/2025 - PIX: CELULAR - CHAVE: (71) 99214-9256</v>
      </c>
      <c r="I11089" t="str">
        <f t="shared" si="2078"/>
        <v>13/11/2025</v>
      </c>
      <c r="J11089" t="str">
        <f t="shared" si="2082"/>
        <v>11/11/2025</v>
      </c>
      <c r="K11089" t="str">
        <f>("13/11/2025")</f>
        <v>13/11/2025</v>
      </c>
      <c r="L11089">
        <v>740</v>
      </c>
      <c r="M11089">
        <v>740</v>
      </c>
      <c r="N11089">
        <v>109</v>
      </c>
      <c r="O11089" t="str">
        <f>"PAGAMENTO DE ENTREGADORES"</f>
        <v>PAGAMENTO DE ENTREGADORES</v>
      </c>
      <c r="P11089">
        <v>740</v>
      </c>
      <c r="S11089" t="str">
        <f>"BANCO C6 (149)"</f>
        <v>BANCO C6 (149)</v>
      </c>
      <c r="T11089">
        <v>21812</v>
      </c>
      <c r="U11089">
        <v>25251</v>
      </c>
      <c r="V11089" t="s">
        <v>77</v>
      </c>
    </row>
    <row r="11090" spans="1:22">
      <c r="A11090" t="str">
        <f t="shared" si="2075"/>
        <v>13/11/2025</v>
      </c>
      <c r="B11090" t="str">
        <f t="shared" si="2076"/>
        <v>SAÍDA</v>
      </c>
      <c r="C11090" t="str">
        <f t="shared" si="2077"/>
        <v>PIX</v>
      </c>
      <c r="D11090" t="str">
        <f>"25251"</f>
        <v>25251</v>
      </c>
      <c r="E11090" t="str">
        <f t="shared" si="2079"/>
        <v>1</v>
      </c>
      <c r="F11090" t="str">
        <f t="shared" si="2080"/>
        <v>COM</v>
      </c>
      <c r="G11090" t="str">
        <f>"EDNUBIA RAMOS ALVES OLIVEIRA (899)"</f>
        <v>EDNUBIA RAMOS ALVES OLIVEIRA (899)</v>
      </c>
      <c r="H11090" t="s">
        <v>2825</v>
      </c>
      <c r="I11090" t="str">
        <f t="shared" si="2078"/>
        <v>13/11/2025</v>
      </c>
      <c r="J11090" t="str">
        <f t="shared" si="2082"/>
        <v>11/11/2025</v>
      </c>
      <c r="K11090">
        <v>45974</v>
      </c>
      <c r="N11090">
        <v>109</v>
      </c>
      <c r="O11090" t="s">
        <v>24</v>
      </c>
      <c r="Q11090">
        <v>740</v>
      </c>
      <c r="R11090" t="str">
        <f>"DELTA LOJA 2 (10123)"</f>
        <v>DELTA LOJA 2 (10123)</v>
      </c>
      <c r="S11090" t="s">
        <v>77</v>
      </c>
      <c r="T11090">
        <v>21812</v>
      </c>
      <c r="U11090">
        <v>25251</v>
      </c>
      <c r="V11090" t="s">
        <v>77</v>
      </c>
    </row>
    <row r="11091" spans="1:22">
      <c r="A11091" t="str">
        <f t="shared" si="2075"/>
        <v>13/11/2025</v>
      </c>
      <c r="B11091" t="str">
        <f t="shared" si="2076"/>
        <v>SAÍDA</v>
      </c>
      <c r="C11091" t="str">
        <f t="shared" si="2077"/>
        <v>PIX</v>
      </c>
      <c r="D11091" t="str">
        <f>"25252"</f>
        <v>25252</v>
      </c>
      <c r="E11091" t="str">
        <f t="shared" si="2079"/>
        <v>1</v>
      </c>
      <c r="F11091" t="str">
        <f t="shared" si="2080"/>
        <v>COM</v>
      </c>
      <c r="G11091" t="str">
        <f>"EDVAN DA SILVA ALVES (934)"</f>
        <v>EDVAN DA SILVA ALVES (934)</v>
      </c>
      <c r="H11091" t="str">
        <f>"Serv.Prest. 03/11/2025 a 09/11/2025 - PIX: E-MAIL - CHAVE: edvam18.alves@gmail.com"</f>
        <v>Serv.Prest. 03/11/2025 a 09/11/2025 - PIX: E-MAIL - CHAVE: edvam18.alves@gmail.com</v>
      </c>
      <c r="I11091" t="str">
        <f t="shared" si="2078"/>
        <v>13/11/2025</v>
      </c>
      <c r="J11091" t="str">
        <f t="shared" si="2082"/>
        <v>11/11/2025</v>
      </c>
      <c r="K11091" t="str">
        <f>("13/11/2025")</f>
        <v>13/11/2025</v>
      </c>
      <c r="L11091">
        <v>790</v>
      </c>
      <c r="M11091">
        <v>790</v>
      </c>
      <c r="N11091">
        <v>109</v>
      </c>
      <c r="O11091" t="str">
        <f>"PAGAMENTO DE ENTREGADORES"</f>
        <v>PAGAMENTO DE ENTREGADORES</v>
      </c>
      <c r="P11091">
        <v>790</v>
      </c>
      <c r="S11091" t="str">
        <f>"BANCO C6 (149)"</f>
        <v>BANCO C6 (149)</v>
      </c>
      <c r="T11091">
        <v>21813</v>
      </c>
      <c r="U11091">
        <v>25252</v>
      </c>
      <c r="V11091" t="s">
        <v>77</v>
      </c>
    </row>
    <row r="11092" spans="1:22">
      <c r="A11092" t="str">
        <f t="shared" si="2075"/>
        <v>13/11/2025</v>
      </c>
      <c r="B11092" t="str">
        <f t="shared" si="2076"/>
        <v>SAÍDA</v>
      </c>
      <c r="C11092" t="str">
        <f t="shared" si="2077"/>
        <v>PIX</v>
      </c>
      <c r="D11092" t="str">
        <f>"25252"</f>
        <v>25252</v>
      </c>
      <c r="E11092" t="str">
        <f t="shared" si="2079"/>
        <v>1</v>
      </c>
      <c r="F11092" t="str">
        <f t="shared" si="2080"/>
        <v>COM</v>
      </c>
      <c r="G11092" t="str">
        <f>"EDVAN DA SILVA ALVES (934)"</f>
        <v>EDVAN DA SILVA ALVES (934)</v>
      </c>
      <c r="H11092" t="s">
        <v>2830</v>
      </c>
      <c r="I11092" t="str">
        <f t="shared" si="2078"/>
        <v>13/11/2025</v>
      </c>
      <c r="J11092" t="str">
        <f t="shared" si="2082"/>
        <v>11/11/2025</v>
      </c>
      <c r="K11092">
        <v>45974</v>
      </c>
      <c r="N11092">
        <v>109</v>
      </c>
      <c r="O11092" t="s">
        <v>24</v>
      </c>
      <c r="Q11092">
        <v>790</v>
      </c>
      <c r="R11092" t="str">
        <f>"DELTA LOJA 2 (10123)"</f>
        <v>DELTA LOJA 2 (10123)</v>
      </c>
      <c r="S11092" t="s">
        <v>77</v>
      </c>
      <c r="T11092">
        <v>21813</v>
      </c>
      <c r="U11092">
        <v>25252</v>
      </c>
      <c r="V11092" t="s">
        <v>77</v>
      </c>
    </row>
    <row r="11093" spans="1:22">
      <c r="A11093" t="str">
        <f t="shared" si="2075"/>
        <v>13/11/2025</v>
      </c>
      <c r="B11093" t="str">
        <f t="shared" si="2076"/>
        <v>SAÍDA</v>
      </c>
      <c r="C11093" t="str">
        <f t="shared" si="2077"/>
        <v>PIX</v>
      </c>
      <c r="D11093" t="str">
        <f>"25253"</f>
        <v>25253</v>
      </c>
      <c r="E11093" t="str">
        <f t="shared" si="2079"/>
        <v>1</v>
      </c>
      <c r="F11093" t="str">
        <f t="shared" si="2080"/>
        <v>COM</v>
      </c>
      <c r="G11093" t="str">
        <f>"ELIENAI ROSA DO NASCIMENTO (343)"</f>
        <v>ELIENAI ROSA DO NASCIMENTO (343)</v>
      </c>
      <c r="H11093" t="str">
        <f>"Serv.Prest. 03/11/2025 a 09/11/2025 - PIX: CPF - CHAVE: 048.672.645-20"</f>
        <v>Serv.Prest. 03/11/2025 a 09/11/2025 - PIX: CPF - CHAVE: 048.672.645-20</v>
      </c>
      <c r="I11093" t="str">
        <f t="shared" si="2078"/>
        <v>13/11/2025</v>
      </c>
      <c r="J11093" t="str">
        <f t="shared" si="2082"/>
        <v>11/11/2025</v>
      </c>
      <c r="K11093" t="str">
        <f>("13/11/2025")</f>
        <v>13/11/2025</v>
      </c>
      <c r="L11093">
        <v>730</v>
      </c>
      <c r="M11093">
        <v>730</v>
      </c>
      <c r="N11093">
        <v>109</v>
      </c>
      <c r="O11093" t="str">
        <f>"PAGAMENTO DE ENTREGADORES"</f>
        <v>PAGAMENTO DE ENTREGADORES</v>
      </c>
      <c r="P11093">
        <v>730</v>
      </c>
      <c r="S11093" t="str">
        <f>"BANCO C6 (149)"</f>
        <v>BANCO C6 (149)</v>
      </c>
      <c r="T11093">
        <v>21814</v>
      </c>
      <c r="U11093">
        <v>25253</v>
      </c>
      <c r="V11093" t="s">
        <v>77</v>
      </c>
    </row>
    <row r="11094" spans="1:22">
      <c r="A11094" t="str">
        <f t="shared" si="2075"/>
        <v>13/11/2025</v>
      </c>
      <c r="B11094" t="str">
        <f t="shared" si="2076"/>
        <v>SAÍDA</v>
      </c>
      <c r="C11094" t="str">
        <f t="shared" si="2077"/>
        <v>PIX</v>
      </c>
      <c r="D11094" t="str">
        <f>"25253"</f>
        <v>25253</v>
      </c>
      <c r="E11094" t="str">
        <f t="shared" si="2079"/>
        <v>1</v>
      </c>
      <c r="F11094" t="str">
        <f t="shared" si="2080"/>
        <v>COM</v>
      </c>
      <c r="G11094" t="str">
        <f>"ELIENAI ROSA DO NASCIMENTO (343)"</f>
        <v>ELIENAI ROSA DO NASCIMENTO (343)</v>
      </c>
      <c r="H11094" t="s">
        <v>2831</v>
      </c>
      <c r="I11094" t="str">
        <f t="shared" si="2078"/>
        <v>13/11/2025</v>
      </c>
      <c r="J11094" t="str">
        <f t="shared" si="2082"/>
        <v>11/11/2025</v>
      </c>
      <c r="K11094">
        <v>45974</v>
      </c>
      <c r="N11094">
        <v>109</v>
      </c>
      <c r="O11094" t="s">
        <v>24</v>
      </c>
      <c r="Q11094">
        <v>730</v>
      </c>
      <c r="R11094" t="str">
        <f>"DELTA LOJA 2 (10123)"</f>
        <v>DELTA LOJA 2 (10123)</v>
      </c>
      <c r="S11094" t="s">
        <v>77</v>
      </c>
      <c r="T11094">
        <v>21814</v>
      </c>
      <c r="U11094">
        <v>25253</v>
      </c>
      <c r="V11094" t="s">
        <v>77</v>
      </c>
    </row>
    <row r="11095" spans="1:22">
      <c r="A11095" t="str">
        <f t="shared" si="2075"/>
        <v>13/11/2025</v>
      </c>
      <c r="B11095" t="str">
        <f t="shared" si="2076"/>
        <v>SAÍDA</v>
      </c>
      <c r="C11095" t="str">
        <f t="shared" si="2077"/>
        <v>PIX</v>
      </c>
      <c r="D11095" t="str">
        <f>"25254"</f>
        <v>25254</v>
      </c>
      <c r="E11095" t="str">
        <f t="shared" si="2079"/>
        <v>1</v>
      </c>
      <c r="F11095" t="str">
        <f t="shared" si="2080"/>
        <v>COM</v>
      </c>
      <c r="G11095" t="str">
        <f>"JHON CARLOS DOS SANTOS LIMA (995)"</f>
        <v>JHON CARLOS DOS SANTOS LIMA (995)</v>
      </c>
      <c r="H11095" t="str">
        <f>"Serv.Prest. 03/11/2025 a 09/11/2025 - PIX: CELULAR - CHAVE: (71) 98124-7946"</f>
        <v>Serv.Prest. 03/11/2025 a 09/11/2025 - PIX: CELULAR - CHAVE: (71) 98124-7946</v>
      </c>
      <c r="I11095" t="str">
        <f t="shared" si="2078"/>
        <v>13/11/2025</v>
      </c>
      <c r="J11095" t="str">
        <f t="shared" si="2082"/>
        <v>11/11/2025</v>
      </c>
      <c r="K11095" t="str">
        <f>("13/11/2025")</f>
        <v>13/11/2025</v>
      </c>
      <c r="L11095">
        <v>710</v>
      </c>
      <c r="M11095">
        <v>710</v>
      </c>
      <c r="N11095">
        <v>109</v>
      </c>
      <c r="O11095" t="str">
        <f>"PAGAMENTO DE ENTREGADORES"</f>
        <v>PAGAMENTO DE ENTREGADORES</v>
      </c>
      <c r="P11095">
        <v>710</v>
      </c>
      <c r="S11095" t="str">
        <f>"BANCO C6 (149)"</f>
        <v>BANCO C6 (149)</v>
      </c>
      <c r="T11095">
        <v>21815</v>
      </c>
      <c r="U11095">
        <v>25254</v>
      </c>
      <c r="V11095" t="s">
        <v>77</v>
      </c>
    </row>
    <row r="11096" spans="1:22">
      <c r="A11096" t="str">
        <f t="shared" si="2075"/>
        <v>13/11/2025</v>
      </c>
      <c r="B11096" t="str">
        <f t="shared" si="2076"/>
        <v>SAÍDA</v>
      </c>
      <c r="C11096" t="str">
        <f t="shared" si="2077"/>
        <v>PIX</v>
      </c>
      <c r="D11096" t="str">
        <f>"25254"</f>
        <v>25254</v>
      </c>
      <c r="E11096" t="str">
        <f t="shared" si="2079"/>
        <v>1</v>
      </c>
      <c r="F11096" t="str">
        <f t="shared" si="2080"/>
        <v>COM</v>
      </c>
      <c r="G11096" t="str">
        <f>"JHON CARLOS DOS SANTOS LIMA (995)"</f>
        <v>JHON CARLOS DOS SANTOS LIMA (995)</v>
      </c>
      <c r="H11096" t="s">
        <v>3023</v>
      </c>
      <c r="I11096" t="str">
        <f t="shared" si="2078"/>
        <v>13/11/2025</v>
      </c>
      <c r="J11096" t="str">
        <f t="shared" si="2082"/>
        <v>11/11/2025</v>
      </c>
      <c r="K11096">
        <v>45974</v>
      </c>
      <c r="N11096">
        <v>109</v>
      </c>
      <c r="O11096" t="s">
        <v>24</v>
      </c>
      <c r="Q11096">
        <v>710</v>
      </c>
      <c r="R11096" t="str">
        <f>"DELTA LOJA 2 (10123)"</f>
        <v>DELTA LOJA 2 (10123)</v>
      </c>
      <c r="S11096" t="s">
        <v>77</v>
      </c>
      <c r="T11096">
        <v>21815</v>
      </c>
      <c r="U11096">
        <v>25254</v>
      </c>
      <c r="V11096" t="s">
        <v>77</v>
      </c>
    </row>
    <row r="11097" spans="1:22">
      <c r="A11097" t="str">
        <f t="shared" si="2075"/>
        <v>13/11/2025</v>
      </c>
      <c r="B11097" t="str">
        <f t="shared" si="2076"/>
        <v>SAÍDA</v>
      </c>
      <c r="C11097" t="str">
        <f t="shared" si="2077"/>
        <v>PIX</v>
      </c>
      <c r="D11097" t="str">
        <f t="shared" ref="D11097:D11102" si="2083">"25256"</f>
        <v>25256</v>
      </c>
      <c r="E11097" t="str">
        <f t="shared" si="2079"/>
        <v>1</v>
      </c>
      <c r="F11097" t="str">
        <f t="shared" si="2080"/>
        <v>COM</v>
      </c>
      <c r="G11097" t="str">
        <f t="shared" ref="G11097:G11102" si="2084">"HANDREY RAFAEL TEODORO GEROLIM (1029)"</f>
        <v>HANDREY RAFAEL TEODORO GEROLIM (1029)</v>
      </c>
      <c r="H11097" t="str">
        <f>"Serv.Prest. 03/11/2025 a 09/11/2025 - PIX: CPF - CHAVE: 126.720.606-30"</f>
        <v>Serv.Prest. 03/11/2025 a 09/11/2025 - PIX: CPF - CHAVE: 126.720.606-30</v>
      </c>
      <c r="I11097" t="str">
        <f t="shared" si="2078"/>
        <v>13/11/2025</v>
      </c>
      <c r="J11097" t="str">
        <f t="shared" ref="J11097:J11138" si="2085">("12/11/2025")</f>
        <v>12/11/2025</v>
      </c>
      <c r="K11097" t="str">
        <f>("13/11/2025")</f>
        <v>13/11/2025</v>
      </c>
      <c r="L11097">
        <v>952</v>
      </c>
      <c r="M11097">
        <v>952</v>
      </c>
      <c r="N11097">
        <v>109</v>
      </c>
      <c r="O11097" t="str">
        <f>"PAGAMENTO DE ENTREGADORES"</f>
        <v>PAGAMENTO DE ENTREGADORES</v>
      </c>
      <c r="P11097">
        <v>952</v>
      </c>
      <c r="S11097" t="str">
        <f>"BANCO C6 (149)"</f>
        <v>BANCO C6 (149)</v>
      </c>
      <c r="T11097">
        <v>21816</v>
      </c>
      <c r="U11097">
        <v>25256</v>
      </c>
      <c r="V11097" t="s">
        <v>77</v>
      </c>
    </row>
    <row r="11098" spans="1:22">
      <c r="A11098" t="str">
        <f t="shared" si="2075"/>
        <v>13/11/2025</v>
      </c>
      <c r="B11098" t="str">
        <f t="shared" si="2076"/>
        <v>SAÍDA</v>
      </c>
      <c r="C11098" t="str">
        <f t="shared" si="2077"/>
        <v>PIX</v>
      </c>
      <c r="D11098" t="str">
        <f t="shared" si="2083"/>
        <v>25256</v>
      </c>
      <c r="E11098" t="str">
        <f t="shared" si="2079"/>
        <v>1</v>
      </c>
      <c r="F11098" t="str">
        <f t="shared" si="2080"/>
        <v>COM</v>
      </c>
      <c r="G11098" t="str">
        <f t="shared" si="2084"/>
        <v>HANDREY RAFAEL TEODORO GEROLIM (1029)</v>
      </c>
      <c r="H11098" t="s">
        <v>3024</v>
      </c>
      <c r="I11098" t="str">
        <f t="shared" si="2078"/>
        <v>13/11/2025</v>
      </c>
      <c r="J11098" t="str">
        <f t="shared" si="2085"/>
        <v>12/11/2025</v>
      </c>
      <c r="K11098">
        <v>45974</v>
      </c>
      <c r="N11098">
        <v>109</v>
      </c>
      <c r="O11098" t="s">
        <v>24</v>
      </c>
      <c r="Q11098">
        <v>335.96</v>
      </c>
      <c r="R11098" t="str">
        <f>"DROGALIDER 58 (10213)"</f>
        <v>DROGALIDER 58 (10213)</v>
      </c>
      <c r="S11098" t="s">
        <v>77</v>
      </c>
      <c r="T11098">
        <v>21816</v>
      </c>
      <c r="U11098">
        <v>25256</v>
      </c>
      <c r="V11098" t="s">
        <v>77</v>
      </c>
    </row>
    <row r="11099" spans="1:22">
      <c r="A11099" t="str">
        <f t="shared" si="2075"/>
        <v>13/11/2025</v>
      </c>
      <c r="B11099" t="str">
        <f t="shared" si="2076"/>
        <v>SAÍDA</v>
      </c>
      <c r="C11099" t="str">
        <f t="shared" si="2077"/>
        <v>PIX</v>
      </c>
      <c r="D11099" t="str">
        <f t="shared" si="2083"/>
        <v>25256</v>
      </c>
      <c r="E11099" t="str">
        <f t="shared" si="2079"/>
        <v>1</v>
      </c>
      <c r="F11099" t="str">
        <f t="shared" si="2080"/>
        <v>COM</v>
      </c>
      <c r="G11099" t="str">
        <f t="shared" si="2084"/>
        <v>HANDREY RAFAEL TEODORO GEROLIM (1029)</v>
      </c>
      <c r="H11099" t="s">
        <v>3024</v>
      </c>
      <c r="I11099" t="str">
        <f t="shared" si="2078"/>
        <v>13/11/2025</v>
      </c>
      <c r="J11099" t="str">
        <f t="shared" si="2085"/>
        <v>12/11/2025</v>
      </c>
      <c r="K11099">
        <v>45974</v>
      </c>
      <c r="N11099">
        <v>109</v>
      </c>
      <c r="O11099" t="s">
        <v>24</v>
      </c>
      <c r="Q11099">
        <v>87.96</v>
      </c>
      <c r="R11099" t="str">
        <f>"DROGALIDER 25 (10246)"</f>
        <v>DROGALIDER 25 (10246)</v>
      </c>
      <c r="S11099" t="s">
        <v>77</v>
      </c>
      <c r="T11099">
        <v>21816</v>
      </c>
      <c r="U11099">
        <v>25256</v>
      </c>
      <c r="V11099" t="s">
        <v>77</v>
      </c>
    </row>
    <row r="11100" spans="1:22">
      <c r="A11100" t="str">
        <f t="shared" si="2075"/>
        <v>13/11/2025</v>
      </c>
      <c r="B11100" t="str">
        <f t="shared" si="2076"/>
        <v>SAÍDA</v>
      </c>
      <c r="C11100" t="str">
        <f t="shared" si="2077"/>
        <v>PIX</v>
      </c>
      <c r="D11100" t="str">
        <f t="shared" si="2083"/>
        <v>25256</v>
      </c>
      <c r="E11100" t="str">
        <f t="shared" si="2079"/>
        <v>1</v>
      </c>
      <c r="F11100" t="str">
        <f t="shared" si="2080"/>
        <v>COM</v>
      </c>
      <c r="G11100" t="str">
        <f t="shared" si="2084"/>
        <v>HANDREY RAFAEL TEODORO GEROLIM (1029)</v>
      </c>
      <c r="H11100" t="s">
        <v>3024</v>
      </c>
      <c r="I11100" t="str">
        <f t="shared" si="2078"/>
        <v>13/11/2025</v>
      </c>
      <c r="J11100" t="str">
        <f t="shared" si="2085"/>
        <v>12/11/2025</v>
      </c>
      <c r="K11100">
        <v>45974</v>
      </c>
      <c r="N11100">
        <v>109</v>
      </c>
      <c r="O11100" t="s">
        <v>24</v>
      </c>
      <c r="Q11100">
        <v>384.04</v>
      </c>
      <c r="R11100" t="str">
        <f>"DROGALIDER 46 (10248)"</f>
        <v>DROGALIDER 46 (10248)</v>
      </c>
      <c r="S11100" t="s">
        <v>77</v>
      </c>
      <c r="T11100">
        <v>21816</v>
      </c>
      <c r="U11100">
        <v>25256</v>
      </c>
      <c r="V11100" t="s">
        <v>77</v>
      </c>
    </row>
    <row r="11101" spans="1:22">
      <c r="A11101" t="str">
        <f t="shared" si="2075"/>
        <v>13/11/2025</v>
      </c>
      <c r="B11101" t="str">
        <f t="shared" si="2076"/>
        <v>SAÍDA</v>
      </c>
      <c r="C11101" t="str">
        <f t="shared" si="2077"/>
        <v>PIX</v>
      </c>
      <c r="D11101" t="str">
        <f t="shared" si="2083"/>
        <v>25256</v>
      </c>
      <c r="E11101" t="str">
        <f t="shared" si="2079"/>
        <v>1</v>
      </c>
      <c r="F11101" t="str">
        <f t="shared" si="2080"/>
        <v>COM</v>
      </c>
      <c r="G11101" t="str">
        <f t="shared" si="2084"/>
        <v>HANDREY RAFAEL TEODORO GEROLIM (1029)</v>
      </c>
      <c r="H11101" t="s">
        <v>3024</v>
      </c>
      <c r="I11101" t="str">
        <f t="shared" si="2078"/>
        <v>13/11/2025</v>
      </c>
      <c r="J11101" t="str">
        <f t="shared" si="2085"/>
        <v>12/11/2025</v>
      </c>
      <c r="K11101">
        <v>45974</v>
      </c>
      <c r="N11101">
        <v>109</v>
      </c>
      <c r="O11101" t="s">
        <v>24</v>
      </c>
      <c r="Q11101">
        <v>47.98</v>
      </c>
      <c r="R11101" t="str">
        <f>"DROGALIDER 64 (10250)"</f>
        <v>DROGALIDER 64 (10250)</v>
      </c>
      <c r="S11101" t="s">
        <v>77</v>
      </c>
      <c r="T11101">
        <v>21816</v>
      </c>
      <c r="U11101">
        <v>25256</v>
      </c>
      <c r="V11101" t="s">
        <v>77</v>
      </c>
    </row>
    <row r="11102" spans="1:22">
      <c r="A11102" t="str">
        <f t="shared" si="2075"/>
        <v>13/11/2025</v>
      </c>
      <c r="B11102" t="str">
        <f t="shared" si="2076"/>
        <v>SAÍDA</v>
      </c>
      <c r="C11102" t="str">
        <f t="shared" si="2077"/>
        <v>PIX</v>
      </c>
      <c r="D11102" t="str">
        <f t="shared" si="2083"/>
        <v>25256</v>
      </c>
      <c r="E11102" t="str">
        <f t="shared" si="2079"/>
        <v>1</v>
      </c>
      <c r="F11102" t="str">
        <f t="shared" si="2080"/>
        <v>COM</v>
      </c>
      <c r="G11102" t="str">
        <f t="shared" si="2084"/>
        <v>HANDREY RAFAEL TEODORO GEROLIM (1029)</v>
      </c>
      <c r="H11102" t="s">
        <v>3024</v>
      </c>
      <c r="I11102" t="str">
        <f t="shared" si="2078"/>
        <v>13/11/2025</v>
      </c>
      <c r="J11102" t="str">
        <f t="shared" si="2085"/>
        <v>12/11/2025</v>
      </c>
      <c r="K11102">
        <v>45974</v>
      </c>
      <c r="N11102">
        <v>109</v>
      </c>
      <c r="O11102" t="s">
        <v>24</v>
      </c>
      <c r="Q11102">
        <v>96.06</v>
      </c>
      <c r="R11102" t="str">
        <f>"DROGALIDER 66 (10251)"</f>
        <v>DROGALIDER 66 (10251)</v>
      </c>
      <c r="S11102" t="s">
        <v>77</v>
      </c>
      <c r="T11102">
        <v>21816</v>
      </c>
      <c r="U11102">
        <v>25256</v>
      </c>
      <c r="V11102" t="s">
        <v>77</v>
      </c>
    </row>
    <row r="11103" spans="1:22">
      <c r="A11103" t="str">
        <f t="shared" ref="A11103:A11166" si="2086">("13/11/2025")</f>
        <v>13/11/2025</v>
      </c>
      <c r="B11103" t="str">
        <f t="shared" si="2076"/>
        <v>SAÍDA</v>
      </c>
      <c r="C11103" t="str">
        <f t="shared" si="2077"/>
        <v>PIX</v>
      </c>
      <c r="D11103" t="str">
        <f t="shared" ref="D11103:D11108" si="2087">"25257"</f>
        <v>25257</v>
      </c>
      <c r="E11103" t="str">
        <f t="shared" si="2079"/>
        <v>1</v>
      </c>
      <c r="F11103" t="str">
        <f t="shared" si="2080"/>
        <v>COM</v>
      </c>
      <c r="G11103" t="str">
        <f t="shared" ref="G11103:G11108" si="2088">"MATHEUS BLANCATO RESENDE (1030)"</f>
        <v>MATHEUS BLANCATO RESENDE (1030)</v>
      </c>
      <c r="H11103" t="str">
        <f>"Serv.Prest. 03/11/2025 a 09/11/2025 - PIX: CELULAR - CHAVE: (34) 97400-1695"</f>
        <v>Serv.Prest. 03/11/2025 a 09/11/2025 - PIX: CELULAR - CHAVE: (34) 97400-1695</v>
      </c>
      <c r="I11103" t="str">
        <f t="shared" si="2078"/>
        <v>13/11/2025</v>
      </c>
      <c r="J11103" t="str">
        <f t="shared" si="2085"/>
        <v>12/11/2025</v>
      </c>
      <c r="K11103" t="str">
        <f>("13/11/2025")</f>
        <v>13/11/2025</v>
      </c>
      <c r="L11103">
        <v>712</v>
      </c>
      <c r="M11103">
        <v>712</v>
      </c>
      <c r="N11103">
        <v>109</v>
      </c>
      <c r="O11103" t="str">
        <f>"PAGAMENTO DE ENTREGADORES"</f>
        <v>PAGAMENTO DE ENTREGADORES</v>
      </c>
      <c r="P11103">
        <v>712</v>
      </c>
      <c r="S11103" t="str">
        <f>"BANCO C6 (149)"</f>
        <v>BANCO C6 (149)</v>
      </c>
      <c r="T11103">
        <v>21817</v>
      </c>
      <c r="U11103">
        <v>25257</v>
      </c>
      <c r="V11103" t="s">
        <v>77</v>
      </c>
    </row>
    <row r="11104" spans="1:22">
      <c r="A11104" t="str">
        <f t="shared" si="2086"/>
        <v>13/11/2025</v>
      </c>
      <c r="B11104" t="str">
        <f t="shared" ref="B11104:B11143" si="2089">"SAÍDA"</f>
        <v>SAÍDA</v>
      </c>
      <c r="C11104" t="str">
        <f t="shared" ref="C11104:C11142" si="2090">"PIX"</f>
        <v>PIX</v>
      </c>
      <c r="D11104" t="str">
        <f t="shared" si="2087"/>
        <v>25257</v>
      </c>
      <c r="E11104" t="str">
        <f t="shared" si="2079"/>
        <v>1</v>
      </c>
      <c r="F11104" t="str">
        <f t="shared" si="2080"/>
        <v>COM</v>
      </c>
      <c r="G11104" t="str">
        <f t="shared" si="2088"/>
        <v>MATHEUS BLANCATO RESENDE (1030)</v>
      </c>
      <c r="H11104" t="s">
        <v>3025</v>
      </c>
      <c r="I11104" t="str">
        <f t="shared" si="2078"/>
        <v>13/11/2025</v>
      </c>
      <c r="J11104" t="str">
        <f t="shared" si="2085"/>
        <v>12/11/2025</v>
      </c>
      <c r="K11104">
        <v>45974</v>
      </c>
      <c r="N11104">
        <v>109</v>
      </c>
      <c r="O11104" t="s">
        <v>24</v>
      </c>
      <c r="Q11104">
        <v>16.02</v>
      </c>
      <c r="R11104" t="str">
        <f>"DROGALIDER 58 (10213)"</f>
        <v>DROGALIDER 58 (10213)</v>
      </c>
      <c r="S11104" t="s">
        <v>77</v>
      </c>
      <c r="T11104">
        <v>21817</v>
      </c>
      <c r="U11104">
        <v>25257</v>
      </c>
      <c r="V11104" t="s">
        <v>77</v>
      </c>
    </row>
    <row r="11105" spans="1:22">
      <c r="A11105" t="str">
        <f t="shared" si="2086"/>
        <v>13/11/2025</v>
      </c>
      <c r="B11105" t="str">
        <f t="shared" si="2089"/>
        <v>SAÍDA</v>
      </c>
      <c r="C11105" t="str">
        <f t="shared" si="2090"/>
        <v>PIX</v>
      </c>
      <c r="D11105" t="str">
        <f t="shared" si="2087"/>
        <v>25257</v>
      </c>
      <c r="E11105" t="str">
        <f t="shared" si="2079"/>
        <v>1</v>
      </c>
      <c r="F11105" t="str">
        <f t="shared" si="2080"/>
        <v>COM</v>
      </c>
      <c r="G11105" t="str">
        <f t="shared" si="2088"/>
        <v>MATHEUS BLANCATO RESENDE (1030)</v>
      </c>
      <c r="H11105" t="s">
        <v>3025</v>
      </c>
      <c r="I11105" t="str">
        <f t="shared" si="2078"/>
        <v>13/11/2025</v>
      </c>
      <c r="J11105" t="str">
        <f t="shared" si="2085"/>
        <v>12/11/2025</v>
      </c>
      <c r="K11105">
        <v>45974</v>
      </c>
      <c r="N11105">
        <v>109</v>
      </c>
      <c r="O11105" t="s">
        <v>24</v>
      </c>
      <c r="Q11105">
        <v>247.99</v>
      </c>
      <c r="R11105" t="str">
        <f>"DROGALIDER 25 (10246)"</f>
        <v>DROGALIDER 25 (10246)</v>
      </c>
      <c r="S11105" t="s">
        <v>77</v>
      </c>
      <c r="T11105">
        <v>21817</v>
      </c>
      <c r="U11105">
        <v>25257</v>
      </c>
      <c r="V11105" t="s">
        <v>77</v>
      </c>
    </row>
    <row r="11106" spans="1:22">
      <c r="A11106" t="str">
        <f t="shared" si="2086"/>
        <v>13/11/2025</v>
      </c>
      <c r="B11106" t="str">
        <f t="shared" si="2089"/>
        <v>SAÍDA</v>
      </c>
      <c r="C11106" t="str">
        <f t="shared" si="2090"/>
        <v>PIX</v>
      </c>
      <c r="D11106" t="str">
        <f t="shared" si="2087"/>
        <v>25257</v>
      </c>
      <c r="E11106" t="str">
        <f t="shared" si="2079"/>
        <v>1</v>
      </c>
      <c r="F11106" t="str">
        <f t="shared" si="2080"/>
        <v>COM</v>
      </c>
      <c r="G11106" t="str">
        <f t="shared" si="2088"/>
        <v>MATHEUS BLANCATO RESENDE (1030)</v>
      </c>
      <c r="H11106" t="s">
        <v>3025</v>
      </c>
      <c r="I11106" t="str">
        <f t="shared" si="2078"/>
        <v>13/11/2025</v>
      </c>
      <c r="J11106" t="str">
        <f t="shared" si="2085"/>
        <v>12/11/2025</v>
      </c>
      <c r="K11106">
        <v>45974</v>
      </c>
      <c r="N11106">
        <v>109</v>
      </c>
      <c r="O11106" t="s">
        <v>24</v>
      </c>
      <c r="Q11106">
        <v>183.98</v>
      </c>
      <c r="R11106" t="str">
        <f>"DROGALIDER 46 (10248)"</f>
        <v>DROGALIDER 46 (10248)</v>
      </c>
      <c r="S11106" t="s">
        <v>77</v>
      </c>
      <c r="T11106">
        <v>21817</v>
      </c>
      <c r="U11106">
        <v>25257</v>
      </c>
      <c r="V11106" t="s">
        <v>77</v>
      </c>
    </row>
    <row r="11107" spans="1:22">
      <c r="A11107" t="str">
        <f t="shared" si="2086"/>
        <v>13/11/2025</v>
      </c>
      <c r="B11107" t="str">
        <f t="shared" si="2089"/>
        <v>SAÍDA</v>
      </c>
      <c r="C11107" t="str">
        <f t="shared" si="2090"/>
        <v>PIX</v>
      </c>
      <c r="D11107" t="str">
        <f t="shared" si="2087"/>
        <v>25257</v>
      </c>
      <c r="E11107" t="str">
        <f t="shared" si="2079"/>
        <v>1</v>
      </c>
      <c r="F11107" t="str">
        <f t="shared" si="2080"/>
        <v>COM</v>
      </c>
      <c r="G11107" t="str">
        <f t="shared" si="2088"/>
        <v>MATHEUS BLANCATO RESENDE (1030)</v>
      </c>
      <c r="H11107" t="s">
        <v>3025</v>
      </c>
      <c r="I11107" t="str">
        <f t="shared" si="2078"/>
        <v>13/11/2025</v>
      </c>
      <c r="J11107" t="str">
        <f t="shared" si="2085"/>
        <v>12/11/2025</v>
      </c>
      <c r="K11107">
        <v>45974</v>
      </c>
      <c r="N11107">
        <v>109</v>
      </c>
      <c r="O11107" t="s">
        <v>24</v>
      </c>
      <c r="Q11107">
        <v>176.01</v>
      </c>
      <c r="R11107" t="str">
        <f>"DROGALIDER 64 (10250)"</f>
        <v>DROGALIDER 64 (10250)</v>
      </c>
      <c r="S11107" t="s">
        <v>77</v>
      </c>
      <c r="T11107">
        <v>21817</v>
      </c>
      <c r="U11107">
        <v>25257</v>
      </c>
      <c r="V11107" t="s">
        <v>77</v>
      </c>
    </row>
    <row r="11108" spans="1:22">
      <c r="A11108" t="str">
        <f t="shared" si="2086"/>
        <v>13/11/2025</v>
      </c>
      <c r="B11108" t="str">
        <f t="shared" si="2089"/>
        <v>SAÍDA</v>
      </c>
      <c r="C11108" t="str">
        <f t="shared" si="2090"/>
        <v>PIX</v>
      </c>
      <c r="D11108" t="str">
        <f t="shared" si="2087"/>
        <v>25257</v>
      </c>
      <c r="E11108" t="str">
        <f t="shared" si="2079"/>
        <v>1</v>
      </c>
      <c r="F11108" t="str">
        <f t="shared" si="2080"/>
        <v>COM</v>
      </c>
      <c r="G11108" t="str">
        <f t="shared" si="2088"/>
        <v>MATHEUS BLANCATO RESENDE (1030)</v>
      </c>
      <c r="H11108" t="s">
        <v>3025</v>
      </c>
      <c r="I11108" t="str">
        <f t="shared" ref="I11108:I11171" si="2091">("13/11/2025")</f>
        <v>13/11/2025</v>
      </c>
      <c r="J11108" t="str">
        <f t="shared" si="2085"/>
        <v>12/11/2025</v>
      </c>
      <c r="K11108">
        <v>45974</v>
      </c>
      <c r="N11108">
        <v>109</v>
      </c>
      <c r="O11108" t="s">
        <v>24</v>
      </c>
      <c r="Q11108">
        <v>88</v>
      </c>
      <c r="R11108" t="str">
        <f>"DROGALIDER 66 (10251)"</f>
        <v>DROGALIDER 66 (10251)</v>
      </c>
      <c r="S11108" t="s">
        <v>77</v>
      </c>
      <c r="T11108">
        <v>21817</v>
      </c>
      <c r="U11108">
        <v>25257</v>
      </c>
      <c r="V11108" t="s">
        <v>77</v>
      </c>
    </row>
    <row r="11109" spans="1:22">
      <c r="A11109" t="str">
        <f t="shared" si="2086"/>
        <v>13/11/2025</v>
      </c>
      <c r="B11109" t="str">
        <f t="shared" si="2089"/>
        <v>SAÍDA</v>
      </c>
      <c r="C11109" t="str">
        <f t="shared" si="2090"/>
        <v>PIX</v>
      </c>
      <c r="D11109" t="str">
        <f t="shared" ref="D11109:D11114" si="2092">"25258"</f>
        <v>25258</v>
      </c>
      <c r="E11109" t="str">
        <f t="shared" si="2079"/>
        <v>1</v>
      </c>
      <c r="F11109" t="str">
        <f t="shared" si="2080"/>
        <v>COM</v>
      </c>
      <c r="G11109" t="str">
        <f t="shared" ref="G11109:G11114" si="2093">"RIAN FELIPE SILVA (1060)"</f>
        <v>RIAN FELIPE SILVA (1060)</v>
      </c>
      <c r="H11109" t="str">
        <f>"Serv.Prest. 03/11/2025 a 09/11/2025 - PIX: CPF - CHAVE: 480.429.318-32"</f>
        <v>Serv.Prest. 03/11/2025 a 09/11/2025 - PIX: CPF - CHAVE: 480.429.318-32</v>
      </c>
      <c r="I11109" t="str">
        <f t="shared" si="2091"/>
        <v>13/11/2025</v>
      </c>
      <c r="J11109" t="str">
        <f t="shared" si="2085"/>
        <v>12/11/2025</v>
      </c>
      <c r="K11109" t="str">
        <f>("13/11/2025")</f>
        <v>13/11/2025</v>
      </c>
      <c r="L11109">
        <v>1480</v>
      </c>
      <c r="M11109">
        <v>1480</v>
      </c>
      <c r="N11109">
        <v>109</v>
      </c>
      <c r="O11109" t="str">
        <f>"PAGAMENTO DE ENTREGADORES"</f>
        <v>PAGAMENTO DE ENTREGADORES</v>
      </c>
      <c r="P11109">
        <v>1480</v>
      </c>
      <c r="S11109" t="str">
        <f>"BANCO C6 (149)"</f>
        <v>BANCO C6 (149)</v>
      </c>
      <c r="T11109">
        <v>21818</v>
      </c>
      <c r="U11109">
        <v>25258</v>
      </c>
      <c r="V11109" t="s">
        <v>77</v>
      </c>
    </row>
    <row r="11110" spans="1:22">
      <c r="A11110" t="str">
        <f t="shared" si="2086"/>
        <v>13/11/2025</v>
      </c>
      <c r="B11110" t="str">
        <f t="shared" si="2089"/>
        <v>SAÍDA</v>
      </c>
      <c r="C11110" t="str">
        <f t="shared" si="2090"/>
        <v>PIX</v>
      </c>
      <c r="D11110" t="str">
        <f t="shared" si="2092"/>
        <v>25258</v>
      </c>
      <c r="E11110" t="str">
        <f t="shared" ref="E11110:E11142" si="2094">"1"</f>
        <v>1</v>
      </c>
      <c r="F11110" t="str">
        <f t="shared" si="2080"/>
        <v>COM</v>
      </c>
      <c r="G11110" t="str">
        <f t="shared" si="2093"/>
        <v>RIAN FELIPE SILVA (1060)</v>
      </c>
      <c r="H11110" t="s">
        <v>3026</v>
      </c>
      <c r="I11110" t="str">
        <f t="shared" si="2091"/>
        <v>13/11/2025</v>
      </c>
      <c r="J11110" t="str">
        <f t="shared" si="2085"/>
        <v>12/11/2025</v>
      </c>
      <c r="K11110">
        <v>45974</v>
      </c>
      <c r="N11110">
        <v>109</v>
      </c>
      <c r="O11110" t="s">
        <v>24</v>
      </c>
      <c r="Q11110">
        <v>288.02</v>
      </c>
      <c r="R11110" t="str">
        <f>"DROGALIDER 58 (10213)"</f>
        <v>DROGALIDER 58 (10213)</v>
      </c>
      <c r="S11110" t="s">
        <v>77</v>
      </c>
      <c r="T11110">
        <v>21818</v>
      </c>
      <c r="U11110">
        <v>25258</v>
      </c>
      <c r="V11110" t="s">
        <v>77</v>
      </c>
    </row>
    <row r="11111" spans="1:22">
      <c r="A11111" t="str">
        <f t="shared" si="2086"/>
        <v>13/11/2025</v>
      </c>
      <c r="B11111" t="str">
        <f t="shared" si="2089"/>
        <v>SAÍDA</v>
      </c>
      <c r="C11111" t="str">
        <f t="shared" si="2090"/>
        <v>PIX</v>
      </c>
      <c r="D11111" t="str">
        <f t="shared" si="2092"/>
        <v>25258</v>
      </c>
      <c r="E11111" t="str">
        <f t="shared" si="2094"/>
        <v>1</v>
      </c>
      <c r="F11111" t="str">
        <f t="shared" si="2080"/>
        <v>COM</v>
      </c>
      <c r="G11111" t="str">
        <f t="shared" si="2093"/>
        <v>RIAN FELIPE SILVA (1060)</v>
      </c>
      <c r="H11111" t="s">
        <v>3026</v>
      </c>
      <c r="I11111" t="str">
        <f t="shared" si="2091"/>
        <v>13/11/2025</v>
      </c>
      <c r="J11111" t="str">
        <f t="shared" si="2085"/>
        <v>12/11/2025</v>
      </c>
      <c r="K11111">
        <v>45974</v>
      </c>
      <c r="N11111">
        <v>109</v>
      </c>
      <c r="O11111" t="s">
        <v>24</v>
      </c>
      <c r="Q11111">
        <v>560.03</v>
      </c>
      <c r="R11111" t="str">
        <f>"DROGALIDER 25 (10246)"</f>
        <v>DROGALIDER 25 (10246)</v>
      </c>
      <c r="S11111" t="s">
        <v>77</v>
      </c>
      <c r="T11111">
        <v>21818</v>
      </c>
      <c r="U11111">
        <v>25258</v>
      </c>
      <c r="V11111" t="s">
        <v>77</v>
      </c>
    </row>
    <row r="11112" spans="1:22">
      <c r="A11112" t="str">
        <f t="shared" si="2086"/>
        <v>13/11/2025</v>
      </c>
      <c r="B11112" t="str">
        <f t="shared" si="2089"/>
        <v>SAÍDA</v>
      </c>
      <c r="C11112" t="str">
        <f t="shared" si="2090"/>
        <v>PIX</v>
      </c>
      <c r="D11112" t="str">
        <f t="shared" si="2092"/>
        <v>25258</v>
      </c>
      <c r="E11112" t="str">
        <f t="shared" si="2094"/>
        <v>1</v>
      </c>
      <c r="F11112" t="str">
        <f t="shared" si="2080"/>
        <v>COM</v>
      </c>
      <c r="G11112" t="str">
        <f t="shared" si="2093"/>
        <v>RIAN FELIPE SILVA (1060)</v>
      </c>
      <c r="H11112" t="s">
        <v>3026</v>
      </c>
      <c r="I11112" t="str">
        <f t="shared" si="2091"/>
        <v>13/11/2025</v>
      </c>
      <c r="J11112" t="str">
        <f t="shared" si="2085"/>
        <v>12/11/2025</v>
      </c>
      <c r="K11112">
        <v>45974</v>
      </c>
      <c r="N11112">
        <v>109</v>
      </c>
      <c r="O11112" t="s">
        <v>24</v>
      </c>
      <c r="Q11112">
        <v>511.93</v>
      </c>
      <c r="R11112" t="str">
        <f>"DROGALIDER 46 (10248)"</f>
        <v>DROGALIDER 46 (10248)</v>
      </c>
      <c r="S11112" t="s">
        <v>77</v>
      </c>
      <c r="T11112">
        <v>21818</v>
      </c>
      <c r="U11112">
        <v>25258</v>
      </c>
      <c r="V11112" t="s">
        <v>77</v>
      </c>
    </row>
    <row r="11113" spans="1:22">
      <c r="A11113" t="str">
        <f t="shared" si="2086"/>
        <v>13/11/2025</v>
      </c>
      <c r="B11113" t="str">
        <f t="shared" si="2089"/>
        <v>SAÍDA</v>
      </c>
      <c r="C11113" t="str">
        <f t="shared" si="2090"/>
        <v>PIX</v>
      </c>
      <c r="D11113" t="str">
        <f t="shared" si="2092"/>
        <v>25258</v>
      </c>
      <c r="E11113" t="str">
        <f t="shared" si="2094"/>
        <v>1</v>
      </c>
      <c r="F11113" t="str">
        <f t="shared" si="2080"/>
        <v>COM</v>
      </c>
      <c r="G11113" t="str">
        <f t="shared" si="2093"/>
        <v>RIAN FELIPE SILVA (1060)</v>
      </c>
      <c r="H11113" t="s">
        <v>3026</v>
      </c>
      <c r="I11113" t="str">
        <f t="shared" si="2091"/>
        <v>13/11/2025</v>
      </c>
      <c r="J11113" t="str">
        <f t="shared" si="2085"/>
        <v>12/11/2025</v>
      </c>
      <c r="K11113">
        <v>45974</v>
      </c>
      <c r="N11113">
        <v>109</v>
      </c>
      <c r="O11113" t="s">
        <v>24</v>
      </c>
      <c r="Q11113">
        <v>55.94</v>
      </c>
      <c r="R11113" t="str">
        <f>"DROGALIDER 64 (10250)"</f>
        <v>DROGALIDER 64 (10250)</v>
      </c>
      <c r="S11113" t="s">
        <v>77</v>
      </c>
      <c r="T11113">
        <v>21818</v>
      </c>
      <c r="U11113">
        <v>25258</v>
      </c>
      <c r="V11113" t="s">
        <v>77</v>
      </c>
    </row>
    <row r="11114" spans="1:22">
      <c r="A11114" t="str">
        <f t="shared" si="2086"/>
        <v>13/11/2025</v>
      </c>
      <c r="B11114" t="str">
        <f t="shared" si="2089"/>
        <v>SAÍDA</v>
      </c>
      <c r="C11114" t="str">
        <f t="shared" si="2090"/>
        <v>PIX</v>
      </c>
      <c r="D11114" t="str">
        <f t="shared" si="2092"/>
        <v>25258</v>
      </c>
      <c r="E11114" t="str">
        <f t="shared" si="2094"/>
        <v>1</v>
      </c>
      <c r="F11114" t="str">
        <f t="shared" si="2080"/>
        <v>COM</v>
      </c>
      <c r="G11114" t="str">
        <f t="shared" si="2093"/>
        <v>RIAN FELIPE SILVA (1060)</v>
      </c>
      <c r="H11114" t="s">
        <v>3026</v>
      </c>
      <c r="I11114" t="str">
        <f t="shared" si="2091"/>
        <v>13/11/2025</v>
      </c>
      <c r="J11114" t="str">
        <f t="shared" si="2085"/>
        <v>12/11/2025</v>
      </c>
      <c r="K11114">
        <v>45974</v>
      </c>
      <c r="N11114">
        <v>109</v>
      </c>
      <c r="O11114" t="s">
        <v>24</v>
      </c>
      <c r="Q11114">
        <v>64.08</v>
      </c>
      <c r="R11114" t="str">
        <f>"DROGALIDER 66 (10251)"</f>
        <v>DROGALIDER 66 (10251)</v>
      </c>
      <c r="S11114" t="s">
        <v>77</v>
      </c>
      <c r="T11114">
        <v>21818</v>
      </c>
      <c r="U11114">
        <v>25258</v>
      </c>
      <c r="V11114" t="s">
        <v>77</v>
      </c>
    </row>
    <row r="11115" spans="1:22">
      <c r="A11115" t="str">
        <f t="shared" si="2086"/>
        <v>13/11/2025</v>
      </c>
      <c r="B11115" t="str">
        <f t="shared" si="2089"/>
        <v>SAÍDA</v>
      </c>
      <c r="C11115" t="str">
        <f t="shared" si="2090"/>
        <v>PIX</v>
      </c>
      <c r="D11115" t="str">
        <f t="shared" ref="D11115:D11120" si="2095">"25259"</f>
        <v>25259</v>
      </c>
      <c r="E11115" t="str">
        <f t="shared" si="2094"/>
        <v>1</v>
      </c>
      <c r="F11115" t="str">
        <f t="shared" si="2080"/>
        <v>COM</v>
      </c>
      <c r="G11115" t="str">
        <f t="shared" ref="G11115:G11120" si="2096">"SARA GABRIELLE SANTOS SILVA (710)"</f>
        <v>SARA GABRIELLE SANTOS SILVA (710)</v>
      </c>
      <c r="H11115" t="str">
        <f>"Serv.Prest. 03/11/2025 a 09/11/2025 - PIX: CPF - CHAVE: 023.116.166-25"</f>
        <v>Serv.Prest. 03/11/2025 a 09/11/2025 - PIX: CPF - CHAVE: 023.116.166-25</v>
      </c>
      <c r="I11115" t="str">
        <f t="shared" si="2091"/>
        <v>13/11/2025</v>
      </c>
      <c r="J11115" t="str">
        <f t="shared" si="2085"/>
        <v>12/11/2025</v>
      </c>
      <c r="K11115" t="str">
        <f>("13/11/2025")</f>
        <v>13/11/2025</v>
      </c>
      <c r="L11115">
        <v>1224</v>
      </c>
      <c r="M11115">
        <v>1224</v>
      </c>
      <c r="N11115">
        <v>109</v>
      </c>
      <c r="O11115" t="str">
        <f>"PAGAMENTO DE ENTREGADORES"</f>
        <v>PAGAMENTO DE ENTREGADORES</v>
      </c>
      <c r="P11115">
        <v>1224</v>
      </c>
      <c r="S11115" t="str">
        <f>"BANCO C6 (149)"</f>
        <v>BANCO C6 (149)</v>
      </c>
      <c r="T11115">
        <v>21819</v>
      </c>
      <c r="U11115">
        <v>25259</v>
      </c>
      <c r="V11115" t="s">
        <v>77</v>
      </c>
    </row>
    <row r="11116" spans="1:22">
      <c r="A11116" t="str">
        <f t="shared" si="2086"/>
        <v>13/11/2025</v>
      </c>
      <c r="B11116" t="str">
        <f t="shared" si="2089"/>
        <v>SAÍDA</v>
      </c>
      <c r="C11116" t="str">
        <f t="shared" si="2090"/>
        <v>PIX</v>
      </c>
      <c r="D11116" t="str">
        <f t="shared" si="2095"/>
        <v>25259</v>
      </c>
      <c r="E11116" t="str">
        <f t="shared" si="2094"/>
        <v>1</v>
      </c>
      <c r="F11116" t="str">
        <f t="shared" si="2080"/>
        <v>COM</v>
      </c>
      <c r="G11116" t="str">
        <f t="shared" si="2096"/>
        <v>SARA GABRIELLE SANTOS SILVA (710)</v>
      </c>
      <c r="H11116" t="s">
        <v>3027</v>
      </c>
      <c r="I11116" t="str">
        <f t="shared" si="2091"/>
        <v>13/11/2025</v>
      </c>
      <c r="J11116" t="str">
        <f t="shared" si="2085"/>
        <v>12/11/2025</v>
      </c>
      <c r="K11116">
        <v>45974</v>
      </c>
      <c r="N11116">
        <v>109</v>
      </c>
      <c r="O11116" t="s">
        <v>24</v>
      </c>
      <c r="Q11116">
        <v>80.05</v>
      </c>
      <c r="R11116" t="str">
        <f>"DROGALIDER 58 (10213)"</f>
        <v>DROGALIDER 58 (10213)</v>
      </c>
      <c r="S11116" t="s">
        <v>77</v>
      </c>
      <c r="T11116">
        <v>21819</v>
      </c>
      <c r="U11116">
        <v>25259</v>
      </c>
      <c r="V11116" t="s">
        <v>77</v>
      </c>
    </row>
    <row r="11117" spans="1:22">
      <c r="A11117" t="str">
        <f t="shared" si="2086"/>
        <v>13/11/2025</v>
      </c>
      <c r="B11117" t="str">
        <f t="shared" si="2089"/>
        <v>SAÍDA</v>
      </c>
      <c r="C11117" t="str">
        <f t="shared" si="2090"/>
        <v>PIX</v>
      </c>
      <c r="D11117" t="str">
        <f t="shared" si="2095"/>
        <v>25259</v>
      </c>
      <c r="E11117" t="str">
        <f t="shared" si="2094"/>
        <v>1</v>
      </c>
      <c r="F11117" t="str">
        <f t="shared" si="2080"/>
        <v>COM</v>
      </c>
      <c r="G11117" t="str">
        <f t="shared" si="2096"/>
        <v>SARA GABRIELLE SANTOS SILVA (710)</v>
      </c>
      <c r="H11117" t="s">
        <v>3027</v>
      </c>
      <c r="I11117" t="str">
        <f t="shared" si="2091"/>
        <v>13/11/2025</v>
      </c>
      <c r="J11117" t="str">
        <f t="shared" si="2085"/>
        <v>12/11/2025</v>
      </c>
      <c r="K11117">
        <v>45974</v>
      </c>
      <c r="N11117">
        <v>109</v>
      </c>
      <c r="O11117" t="s">
        <v>24</v>
      </c>
      <c r="Q11117">
        <v>680.05</v>
      </c>
      <c r="R11117" t="str">
        <f>"DROGALIDER 25 (10246)"</f>
        <v>DROGALIDER 25 (10246)</v>
      </c>
      <c r="S11117" t="s">
        <v>77</v>
      </c>
      <c r="T11117">
        <v>21819</v>
      </c>
      <c r="U11117">
        <v>25259</v>
      </c>
      <c r="V11117" t="s">
        <v>77</v>
      </c>
    </row>
    <row r="11118" spans="1:22">
      <c r="A11118" t="str">
        <f t="shared" si="2086"/>
        <v>13/11/2025</v>
      </c>
      <c r="B11118" t="str">
        <f t="shared" si="2089"/>
        <v>SAÍDA</v>
      </c>
      <c r="C11118" t="str">
        <f t="shared" si="2090"/>
        <v>PIX</v>
      </c>
      <c r="D11118" t="str">
        <f t="shared" si="2095"/>
        <v>25259</v>
      </c>
      <c r="E11118" t="str">
        <f t="shared" si="2094"/>
        <v>1</v>
      </c>
      <c r="F11118" t="str">
        <f t="shared" si="2080"/>
        <v>COM</v>
      </c>
      <c r="G11118" t="str">
        <f t="shared" si="2096"/>
        <v>SARA GABRIELLE SANTOS SILVA (710)</v>
      </c>
      <c r="H11118" t="s">
        <v>3027</v>
      </c>
      <c r="I11118" t="str">
        <f t="shared" si="2091"/>
        <v>13/11/2025</v>
      </c>
      <c r="J11118" t="str">
        <f t="shared" si="2085"/>
        <v>12/11/2025</v>
      </c>
      <c r="K11118">
        <v>45974</v>
      </c>
      <c r="N11118">
        <v>109</v>
      </c>
      <c r="O11118" t="s">
        <v>24</v>
      </c>
      <c r="Q11118">
        <v>112</v>
      </c>
      <c r="R11118" t="str">
        <f>"DROGALIDER 46 (10248)"</f>
        <v>DROGALIDER 46 (10248)</v>
      </c>
      <c r="S11118" t="s">
        <v>77</v>
      </c>
      <c r="T11118">
        <v>21819</v>
      </c>
      <c r="U11118">
        <v>25259</v>
      </c>
      <c r="V11118" t="s">
        <v>77</v>
      </c>
    </row>
    <row r="11119" spans="1:22">
      <c r="A11119" t="str">
        <f t="shared" si="2086"/>
        <v>13/11/2025</v>
      </c>
      <c r="B11119" t="str">
        <f t="shared" si="2089"/>
        <v>SAÍDA</v>
      </c>
      <c r="C11119" t="str">
        <f t="shared" si="2090"/>
        <v>PIX</v>
      </c>
      <c r="D11119" t="str">
        <f t="shared" si="2095"/>
        <v>25259</v>
      </c>
      <c r="E11119" t="str">
        <f t="shared" si="2094"/>
        <v>1</v>
      </c>
      <c r="F11119" t="str">
        <f t="shared" si="2080"/>
        <v>COM</v>
      </c>
      <c r="G11119" t="str">
        <f t="shared" si="2096"/>
        <v>SARA GABRIELLE SANTOS SILVA (710)</v>
      </c>
      <c r="H11119" t="s">
        <v>3027</v>
      </c>
      <c r="I11119" t="str">
        <f t="shared" si="2091"/>
        <v>13/11/2025</v>
      </c>
      <c r="J11119" t="str">
        <f t="shared" si="2085"/>
        <v>12/11/2025</v>
      </c>
      <c r="K11119">
        <v>45974</v>
      </c>
      <c r="N11119">
        <v>109</v>
      </c>
      <c r="O11119" t="s">
        <v>24</v>
      </c>
      <c r="Q11119">
        <v>143.94</v>
      </c>
      <c r="R11119" t="str">
        <f>"DROGALIDER 64 (10250)"</f>
        <v>DROGALIDER 64 (10250)</v>
      </c>
      <c r="S11119" t="s">
        <v>77</v>
      </c>
      <c r="T11119">
        <v>21819</v>
      </c>
      <c r="U11119">
        <v>25259</v>
      </c>
      <c r="V11119" t="s">
        <v>77</v>
      </c>
    </row>
    <row r="11120" spans="1:22">
      <c r="A11120" t="str">
        <f t="shared" si="2086"/>
        <v>13/11/2025</v>
      </c>
      <c r="B11120" t="str">
        <f t="shared" si="2089"/>
        <v>SAÍDA</v>
      </c>
      <c r="C11120" t="str">
        <f t="shared" si="2090"/>
        <v>PIX</v>
      </c>
      <c r="D11120" t="str">
        <f t="shared" si="2095"/>
        <v>25259</v>
      </c>
      <c r="E11120" t="str">
        <f t="shared" si="2094"/>
        <v>1</v>
      </c>
      <c r="F11120" t="str">
        <f t="shared" si="2080"/>
        <v>COM</v>
      </c>
      <c r="G11120" t="str">
        <f t="shared" si="2096"/>
        <v>SARA GABRIELLE SANTOS SILVA (710)</v>
      </c>
      <c r="H11120" t="s">
        <v>3027</v>
      </c>
      <c r="I11120" t="str">
        <f t="shared" si="2091"/>
        <v>13/11/2025</v>
      </c>
      <c r="J11120" t="str">
        <f t="shared" si="2085"/>
        <v>12/11/2025</v>
      </c>
      <c r="K11120">
        <v>45974</v>
      </c>
      <c r="N11120">
        <v>109</v>
      </c>
      <c r="O11120" t="s">
        <v>24</v>
      </c>
      <c r="Q11120">
        <v>207.96</v>
      </c>
      <c r="R11120" t="str">
        <f>"DROGALIDER 66 (10251)"</f>
        <v>DROGALIDER 66 (10251)</v>
      </c>
      <c r="S11120" t="s">
        <v>77</v>
      </c>
      <c r="T11120">
        <v>21819</v>
      </c>
      <c r="U11120">
        <v>25259</v>
      </c>
      <c r="V11120" t="s">
        <v>77</v>
      </c>
    </row>
    <row r="11121" spans="1:22">
      <c r="A11121" t="str">
        <f t="shared" si="2086"/>
        <v>13/11/2025</v>
      </c>
      <c r="B11121" t="str">
        <f t="shared" si="2089"/>
        <v>SAÍDA</v>
      </c>
      <c r="C11121" t="str">
        <f t="shared" si="2090"/>
        <v>PIX</v>
      </c>
      <c r="D11121" t="str">
        <f t="shared" ref="D11121:D11126" si="2097">"25262"</f>
        <v>25262</v>
      </c>
      <c r="E11121" t="str">
        <f t="shared" si="2094"/>
        <v>1</v>
      </c>
      <c r="F11121" t="str">
        <f t="shared" si="2080"/>
        <v>COM</v>
      </c>
      <c r="G11121" t="str">
        <f t="shared" ref="G11121:G11126" si="2098">"FABIANO QUIRINO FERREIRA (1050)"</f>
        <v>FABIANO QUIRINO FERREIRA (1050)</v>
      </c>
      <c r="H11121" t="str">
        <f>"Serv.Prest. 03/11/2025 a 09/11/2025 - PIX: CPF - CHAVE: 054.162.686-89"</f>
        <v>Serv.Prest. 03/11/2025 a 09/11/2025 - PIX: CPF - CHAVE: 054.162.686-89</v>
      </c>
      <c r="I11121" t="str">
        <f t="shared" si="2091"/>
        <v>13/11/2025</v>
      </c>
      <c r="J11121" t="str">
        <f t="shared" si="2085"/>
        <v>12/11/2025</v>
      </c>
      <c r="K11121" t="str">
        <f>("13/11/2025")</f>
        <v>13/11/2025</v>
      </c>
      <c r="L11121">
        <v>800</v>
      </c>
      <c r="M11121">
        <v>800</v>
      </c>
      <c r="N11121">
        <v>109</v>
      </c>
      <c r="O11121" t="str">
        <f>"PAGAMENTO DE ENTREGADORES"</f>
        <v>PAGAMENTO DE ENTREGADORES</v>
      </c>
      <c r="P11121">
        <v>800</v>
      </c>
      <c r="S11121" t="str">
        <f>"BANCO C6 (149)"</f>
        <v>BANCO C6 (149)</v>
      </c>
      <c r="T11121">
        <v>21820</v>
      </c>
      <c r="U11121">
        <v>25262</v>
      </c>
      <c r="V11121" t="s">
        <v>77</v>
      </c>
    </row>
    <row r="11122" spans="1:22">
      <c r="A11122" t="str">
        <f t="shared" si="2086"/>
        <v>13/11/2025</v>
      </c>
      <c r="B11122" t="str">
        <f t="shared" si="2089"/>
        <v>SAÍDA</v>
      </c>
      <c r="C11122" t="str">
        <f t="shared" si="2090"/>
        <v>PIX</v>
      </c>
      <c r="D11122" t="str">
        <f t="shared" si="2097"/>
        <v>25262</v>
      </c>
      <c r="E11122" t="str">
        <f t="shared" si="2094"/>
        <v>1</v>
      </c>
      <c r="F11122" t="str">
        <f t="shared" si="2080"/>
        <v>COM</v>
      </c>
      <c r="G11122" t="str">
        <f t="shared" si="2098"/>
        <v>FABIANO QUIRINO FERREIRA (1050)</v>
      </c>
      <c r="H11122" t="s">
        <v>3028</v>
      </c>
      <c r="I11122" t="str">
        <f t="shared" si="2091"/>
        <v>13/11/2025</v>
      </c>
      <c r="J11122" t="str">
        <f t="shared" si="2085"/>
        <v>12/11/2025</v>
      </c>
      <c r="K11122">
        <v>45974</v>
      </c>
      <c r="N11122">
        <v>109</v>
      </c>
      <c r="O11122" t="s">
        <v>24</v>
      </c>
      <c r="Q11122">
        <v>114.32</v>
      </c>
      <c r="R11122" t="str">
        <f>"DROGALIDER 42 (10247)"</f>
        <v>DROGALIDER 42 (10247)</v>
      </c>
      <c r="S11122" t="s">
        <v>77</v>
      </c>
      <c r="T11122">
        <v>21820</v>
      </c>
      <c r="U11122">
        <v>25262</v>
      </c>
      <c r="V11122" t="s">
        <v>77</v>
      </c>
    </row>
    <row r="11123" spans="1:22">
      <c r="A11123" t="str">
        <f t="shared" si="2086"/>
        <v>13/11/2025</v>
      </c>
      <c r="B11123" t="str">
        <f t="shared" si="2089"/>
        <v>SAÍDA</v>
      </c>
      <c r="C11123" t="str">
        <f t="shared" si="2090"/>
        <v>PIX</v>
      </c>
      <c r="D11123" t="str">
        <f t="shared" si="2097"/>
        <v>25262</v>
      </c>
      <c r="E11123" t="str">
        <f t="shared" si="2094"/>
        <v>1</v>
      </c>
      <c r="F11123" t="str">
        <f t="shared" si="2080"/>
        <v>COM</v>
      </c>
      <c r="G11123" t="str">
        <f t="shared" si="2098"/>
        <v>FABIANO QUIRINO FERREIRA (1050)</v>
      </c>
      <c r="H11123" t="s">
        <v>3028</v>
      </c>
      <c r="I11123" t="str">
        <f t="shared" si="2091"/>
        <v>13/11/2025</v>
      </c>
      <c r="J11123" t="str">
        <f t="shared" si="2085"/>
        <v>12/11/2025</v>
      </c>
      <c r="K11123">
        <v>45974</v>
      </c>
      <c r="N11123">
        <v>109</v>
      </c>
      <c r="O11123" t="s">
        <v>24</v>
      </c>
      <c r="Q11123">
        <v>219.04</v>
      </c>
      <c r="R11123" t="str">
        <f>"DROGALIDER 55 (10249)"</f>
        <v>DROGALIDER 55 (10249)</v>
      </c>
      <c r="S11123" t="s">
        <v>77</v>
      </c>
      <c r="T11123">
        <v>21820</v>
      </c>
      <c r="U11123">
        <v>25262</v>
      </c>
      <c r="V11123" t="s">
        <v>77</v>
      </c>
    </row>
    <row r="11124" spans="1:22">
      <c r="A11124" t="str">
        <f t="shared" si="2086"/>
        <v>13/11/2025</v>
      </c>
      <c r="B11124" t="str">
        <f t="shared" si="2089"/>
        <v>SAÍDA</v>
      </c>
      <c r="C11124" t="str">
        <f t="shared" si="2090"/>
        <v>PIX</v>
      </c>
      <c r="D11124" t="str">
        <f t="shared" si="2097"/>
        <v>25262</v>
      </c>
      <c r="E11124" t="str">
        <f t="shared" si="2094"/>
        <v>1</v>
      </c>
      <c r="F11124" t="str">
        <f t="shared" si="2080"/>
        <v>COM</v>
      </c>
      <c r="G11124" t="str">
        <f t="shared" si="2098"/>
        <v>FABIANO QUIRINO FERREIRA (1050)</v>
      </c>
      <c r="H11124" t="s">
        <v>3028</v>
      </c>
      <c r="I11124" t="str">
        <f t="shared" si="2091"/>
        <v>13/11/2025</v>
      </c>
      <c r="J11124" t="str">
        <f t="shared" si="2085"/>
        <v>12/11/2025</v>
      </c>
      <c r="K11124">
        <v>45974</v>
      </c>
      <c r="N11124">
        <v>109</v>
      </c>
      <c r="O11124" t="s">
        <v>24</v>
      </c>
      <c r="Q11124">
        <v>76.16</v>
      </c>
      <c r="R11124" t="str">
        <f>"DROGALIDER 67 (10252)"</f>
        <v>DROGALIDER 67 (10252)</v>
      </c>
      <c r="S11124" t="s">
        <v>77</v>
      </c>
      <c r="T11124">
        <v>21820</v>
      </c>
      <c r="U11124">
        <v>25262</v>
      </c>
      <c r="V11124" t="s">
        <v>77</v>
      </c>
    </row>
    <row r="11125" spans="1:22">
      <c r="A11125" t="str">
        <f t="shared" si="2086"/>
        <v>13/11/2025</v>
      </c>
      <c r="B11125" t="str">
        <f t="shared" si="2089"/>
        <v>SAÍDA</v>
      </c>
      <c r="C11125" t="str">
        <f t="shared" si="2090"/>
        <v>PIX</v>
      </c>
      <c r="D11125" t="str">
        <f t="shared" si="2097"/>
        <v>25262</v>
      </c>
      <c r="E11125" t="str">
        <f t="shared" si="2094"/>
        <v>1</v>
      </c>
      <c r="F11125" t="str">
        <f t="shared" si="2080"/>
        <v>COM</v>
      </c>
      <c r="G11125" t="str">
        <f t="shared" si="2098"/>
        <v>FABIANO QUIRINO FERREIRA (1050)</v>
      </c>
      <c r="H11125" t="s">
        <v>3028</v>
      </c>
      <c r="I11125" t="str">
        <f t="shared" si="2091"/>
        <v>13/11/2025</v>
      </c>
      <c r="J11125" t="str">
        <f t="shared" si="2085"/>
        <v>12/11/2025</v>
      </c>
      <c r="K11125">
        <v>45974</v>
      </c>
      <c r="N11125">
        <v>109</v>
      </c>
      <c r="O11125" t="s">
        <v>24</v>
      </c>
      <c r="Q11125">
        <v>19.04</v>
      </c>
      <c r="R11125" t="str">
        <f>"DROGALIDER 68 (10253)"</f>
        <v>DROGALIDER 68 (10253)</v>
      </c>
      <c r="S11125" t="s">
        <v>77</v>
      </c>
      <c r="T11125">
        <v>21820</v>
      </c>
      <c r="U11125">
        <v>25262</v>
      </c>
      <c r="V11125" t="s">
        <v>77</v>
      </c>
    </row>
    <row r="11126" spans="1:22">
      <c r="A11126" t="str">
        <f t="shared" si="2086"/>
        <v>13/11/2025</v>
      </c>
      <c r="B11126" t="str">
        <f t="shared" si="2089"/>
        <v>SAÍDA</v>
      </c>
      <c r="C11126" t="str">
        <f t="shared" si="2090"/>
        <v>PIX</v>
      </c>
      <c r="D11126" t="str">
        <f t="shared" si="2097"/>
        <v>25262</v>
      </c>
      <c r="E11126" t="str">
        <f t="shared" si="2094"/>
        <v>1</v>
      </c>
      <c r="F11126" t="str">
        <f t="shared" si="2080"/>
        <v>COM</v>
      </c>
      <c r="G11126" t="str">
        <f t="shared" si="2098"/>
        <v>FABIANO QUIRINO FERREIRA (1050)</v>
      </c>
      <c r="H11126" t="s">
        <v>3028</v>
      </c>
      <c r="I11126" t="str">
        <f t="shared" si="2091"/>
        <v>13/11/2025</v>
      </c>
      <c r="J11126" t="str">
        <f t="shared" si="2085"/>
        <v>12/11/2025</v>
      </c>
      <c r="K11126">
        <v>45974</v>
      </c>
      <c r="N11126">
        <v>109</v>
      </c>
      <c r="O11126" t="s">
        <v>24</v>
      </c>
      <c r="Q11126">
        <v>371.44</v>
      </c>
      <c r="R11126" t="str">
        <f>"DROGALIDER 31 (10256)"</f>
        <v>DROGALIDER 31 (10256)</v>
      </c>
      <c r="S11126" t="s">
        <v>77</v>
      </c>
      <c r="T11126">
        <v>21820</v>
      </c>
      <c r="U11126">
        <v>25262</v>
      </c>
      <c r="V11126" t="s">
        <v>77</v>
      </c>
    </row>
    <row r="11127" spans="1:22">
      <c r="A11127" t="str">
        <f t="shared" si="2086"/>
        <v>13/11/2025</v>
      </c>
      <c r="B11127" t="str">
        <f t="shared" si="2089"/>
        <v>SAÍDA</v>
      </c>
      <c r="C11127" t="str">
        <f t="shared" si="2090"/>
        <v>PIX</v>
      </c>
      <c r="D11127" t="str">
        <f t="shared" ref="D11127:D11132" si="2099">"25264"</f>
        <v>25264</v>
      </c>
      <c r="E11127" t="str">
        <f t="shared" si="2094"/>
        <v>1</v>
      </c>
      <c r="F11127" t="str">
        <f t="shared" ref="F11127:F11142" si="2100">"COM"</f>
        <v>COM</v>
      </c>
      <c r="G11127" t="str">
        <f t="shared" ref="G11127:G11132" si="2101">"LUCIANA BEATRIZ MARQUES DAVI (1043)"</f>
        <v>LUCIANA BEATRIZ MARQUES DAVI (1043)</v>
      </c>
      <c r="H11127" t="str">
        <f>"Serv.Prest. 03/11/2025 a 09/11/2025 - PIX: CELULAR - CHAVE: (34) 99889-9792"</f>
        <v>Serv.Prest. 03/11/2025 a 09/11/2025 - PIX: CELULAR - CHAVE: (34) 99889-9792</v>
      </c>
      <c r="I11127" t="str">
        <f t="shared" si="2091"/>
        <v>13/11/2025</v>
      </c>
      <c r="J11127" t="str">
        <f t="shared" si="2085"/>
        <v>12/11/2025</v>
      </c>
      <c r="K11127" t="str">
        <f>("13/11/2025")</f>
        <v>13/11/2025</v>
      </c>
      <c r="L11127">
        <v>700</v>
      </c>
      <c r="M11127">
        <v>700</v>
      </c>
      <c r="N11127">
        <v>109</v>
      </c>
      <c r="O11127" t="str">
        <f>"PAGAMENTO DE ENTREGADORES"</f>
        <v>PAGAMENTO DE ENTREGADORES</v>
      </c>
      <c r="P11127">
        <v>700</v>
      </c>
      <c r="S11127" t="str">
        <f>"BANCO C6 (149)"</f>
        <v>BANCO C6 (149)</v>
      </c>
      <c r="T11127">
        <v>21821</v>
      </c>
      <c r="U11127">
        <v>25264</v>
      </c>
      <c r="V11127" t="s">
        <v>77</v>
      </c>
    </row>
    <row r="11128" spans="1:22">
      <c r="A11128" t="str">
        <f t="shared" si="2086"/>
        <v>13/11/2025</v>
      </c>
      <c r="B11128" t="str">
        <f t="shared" si="2089"/>
        <v>SAÍDA</v>
      </c>
      <c r="C11128" t="str">
        <f t="shared" si="2090"/>
        <v>PIX</v>
      </c>
      <c r="D11128" t="str">
        <f t="shared" si="2099"/>
        <v>25264</v>
      </c>
      <c r="E11128" t="str">
        <f t="shared" si="2094"/>
        <v>1</v>
      </c>
      <c r="F11128" t="str">
        <f t="shared" si="2100"/>
        <v>COM</v>
      </c>
      <c r="G11128" t="str">
        <f t="shared" si="2101"/>
        <v>LUCIANA BEATRIZ MARQUES DAVI (1043)</v>
      </c>
      <c r="H11128" t="s">
        <v>3029</v>
      </c>
      <c r="I11128" t="str">
        <f t="shared" si="2091"/>
        <v>13/11/2025</v>
      </c>
      <c r="J11128" t="str">
        <f t="shared" si="2085"/>
        <v>12/11/2025</v>
      </c>
      <c r="K11128">
        <v>45974</v>
      </c>
      <c r="N11128">
        <v>109</v>
      </c>
      <c r="O11128" t="s">
        <v>24</v>
      </c>
      <c r="Q11128">
        <v>11.83</v>
      </c>
      <c r="R11128" t="str">
        <f>"DROGALIDER 42 (10247)"</f>
        <v>DROGALIDER 42 (10247)</v>
      </c>
      <c r="S11128" t="s">
        <v>77</v>
      </c>
      <c r="T11128">
        <v>21821</v>
      </c>
      <c r="U11128">
        <v>25264</v>
      </c>
      <c r="V11128" t="s">
        <v>77</v>
      </c>
    </row>
    <row r="11129" spans="1:22">
      <c r="A11129" t="str">
        <f t="shared" si="2086"/>
        <v>13/11/2025</v>
      </c>
      <c r="B11129" t="str">
        <f t="shared" si="2089"/>
        <v>SAÍDA</v>
      </c>
      <c r="C11129" t="str">
        <f t="shared" si="2090"/>
        <v>PIX</v>
      </c>
      <c r="D11129" t="str">
        <f t="shared" si="2099"/>
        <v>25264</v>
      </c>
      <c r="E11129" t="str">
        <f t="shared" si="2094"/>
        <v>1</v>
      </c>
      <c r="F11129" t="str">
        <f t="shared" si="2100"/>
        <v>COM</v>
      </c>
      <c r="G11129" t="str">
        <f t="shared" si="2101"/>
        <v>LUCIANA BEATRIZ MARQUES DAVI (1043)</v>
      </c>
      <c r="H11129" t="s">
        <v>3029</v>
      </c>
      <c r="I11129" t="str">
        <f t="shared" si="2091"/>
        <v>13/11/2025</v>
      </c>
      <c r="J11129" t="str">
        <f t="shared" si="2085"/>
        <v>12/11/2025</v>
      </c>
      <c r="K11129">
        <v>45974</v>
      </c>
      <c r="N11129">
        <v>109</v>
      </c>
      <c r="O11129" t="s">
        <v>24</v>
      </c>
      <c r="Q11129">
        <v>172.06</v>
      </c>
      <c r="R11129" t="str">
        <f>"DROGALIDER 55 (10249)"</f>
        <v>DROGALIDER 55 (10249)</v>
      </c>
      <c r="S11129" t="s">
        <v>77</v>
      </c>
      <c r="T11129">
        <v>21821</v>
      </c>
      <c r="U11129">
        <v>25264</v>
      </c>
      <c r="V11129" t="s">
        <v>77</v>
      </c>
    </row>
    <row r="11130" spans="1:22">
      <c r="A11130" t="str">
        <f t="shared" si="2086"/>
        <v>13/11/2025</v>
      </c>
      <c r="B11130" t="str">
        <f t="shared" si="2089"/>
        <v>SAÍDA</v>
      </c>
      <c r="C11130" t="str">
        <f t="shared" si="2090"/>
        <v>PIX</v>
      </c>
      <c r="D11130" t="str">
        <f t="shared" si="2099"/>
        <v>25264</v>
      </c>
      <c r="E11130" t="str">
        <f t="shared" si="2094"/>
        <v>1</v>
      </c>
      <c r="F11130" t="str">
        <f t="shared" si="2100"/>
        <v>COM</v>
      </c>
      <c r="G11130" t="str">
        <f t="shared" si="2101"/>
        <v>LUCIANA BEATRIZ MARQUES DAVI (1043)</v>
      </c>
      <c r="H11130" t="s">
        <v>3029</v>
      </c>
      <c r="I11130" t="str">
        <f t="shared" si="2091"/>
        <v>13/11/2025</v>
      </c>
      <c r="J11130" t="str">
        <f t="shared" si="2085"/>
        <v>12/11/2025</v>
      </c>
      <c r="K11130">
        <v>45974</v>
      </c>
      <c r="N11130">
        <v>109</v>
      </c>
      <c r="O11130" t="s">
        <v>24</v>
      </c>
      <c r="Q11130">
        <v>231.35</v>
      </c>
      <c r="R11130" t="str">
        <f>"DROGALIDER 67 (10252)"</f>
        <v>DROGALIDER 67 (10252)</v>
      </c>
      <c r="S11130" t="s">
        <v>77</v>
      </c>
      <c r="T11130">
        <v>21821</v>
      </c>
      <c r="U11130">
        <v>25264</v>
      </c>
      <c r="V11130" t="s">
        <v>77</v>
      </c>
    </row>
    <row r="11131" spans="1:22">
      <c r="A11131" t="str">
        <f t="shared" si="2086"/>
        <v>13/11/2025</v>
      </c>
      <c r="B11131" t="str">
        <f t="shared" si="2089"/>
        <v>SAÍDA</v>
      </c>
      <c r="C11131" t="str">
        <f t="shared" si="2090"/>
        <v>PIX</v>
      </c>
      <c r="D11131" t="str">
        <f t="shared" si="2099"/>
        <v>25264</v>
      </c>
      <c r="E11131" t="str">
        <f t="shared" si="2094"/>
        <v>1</v>
      </c>
      <c r="F11131" t="str">
        <f t="shared" si="2100"/>
        <v>COM</v>
      </c>
      <c r="G11131" t="str">
        <f t="shared" si="2101"/>
        <v>LUCIANA BEATRIZ MARQUES DAVI (1043)</v>
      </c>
      <c r="H11131" t="s">
        <v>3029</v>
      </c>
      <c r="I11131" t="str">
        <f t="shared" si="2091"/>
        <v>13/11/2025</v>
      </c>
      <c r="J11131" t="str">
        <f t="shared" si="2085"/>
        <v>12/11/2025</v>
      </c>
      <c r="K11131">
        <v>45974</v>
      </c>
      <c r="N11131">
        <v>109</v>
      </c>
      <c r="O11131" t="s">
        <v>24</v>
      </c>
      <c r="Q11131">
        <v>65.239999999999995</v>
      </c>
      <c r="R11131" t="str">
        <f>"DROGALIDER 68 (10253)"</f>
        <v>DROGALIDER 68 (10253)</v>
      </c>
      <c r="S11131" t="s">
        <v>77</v>
      </c>
      <c r="T11131">
        <v>21821</v>
      </c>
      <c r="U11131">
        <v>25264</v>
      </c>
      <c r="V11131" t="s">
        <v>77</v>
      </c>
    </row>
    <row r="11132" spans="1:22">
      <c r="A11132" t="str">
        <f t="shared" si="2086"/>
        <v>13/11/2025</v>
      </c>
      <c r="B11132" t="str">
        <f t="shared" si="2089"/>
        <v>SAÍDA</v>
      </c>
      <c r="C11132" t="str">
        <f t="shared" si="2090"/>
        <v>PIX</v>
      </c>
      <c r="D11132" t="str">
        <f t="shared" si="2099"/>
        <v>25264</v>
      </c>
      <c r="E11132" t="str">
        <f t="shared" si="2094"/>
        <v>1</v>
      </c>
      <c r="F11132" t="str">
        <f t="shared" si="2100"/>
        <v>COM</v>
      </c>
      <c r="G11132" t="str">
        <f t="shared" si="2101"/>
        <v>LUCIANA BEATRIZ MARQUES DAVI (1043)</v>
      </c>
      <c r="H11132" t="s">
        <v>3029</v>
      </c>
      <c r="I11132" t="str">
        <f t="shared" si="2091"/>
        <v>13/11/2025</v>
      </c>
      <c r="J11132" t="str">
        <f t="shared" si="2085"/>
        <v>12/11/2025</v>
      </c>
      <c r="K11132">
        <v>45974</v>
      </c>
      <c r="N11132">
        <v>109</v>
      </c>
      <c r="O11132" t="s">
        <v>24</v>
      </c>
      <c r="Q11132">
        <v>219.52</v>
      </c>
      <c r="R11132" t="str">
        <f>"DROGALIDER 31 (10256)"</f>
        <v>DROGALIDER 31 (10256)</v>
      </c>
      <c r="S11132" t="s">
        <v>77</v>
      </c>
      <c r="T11132">
        <v>21821</v>
      </c>
      <c r="U11132">
        <v>25264</v>
      </c>
      <c r="V11132" t="s">
        <v>77</v>
      </c>
    </row>
    <row r="11133" spans="1:22">
      <c r="A11133" t="str">
        <f t="shared" si="2086"/>
        <v>13/11/2025</v>
      </c>
      <c r="B11133" t="str">
        <f t="shared" si="2089"/>
        <v>SAÍDA</v>
      </c>
      <c r="C11133" t="str">
        <f t="shared" si="2090"/>
        <v>PIX</v>
      </c>
      <c r="D11133" t="str">
        <f t="shared" ref="D11133:D11138" si="2102">"25265"</f>
        <v>25265</v>
      </c>
      <c r="E11133" t="str">
        <f t="shared" si="2094"/>
        <v>1</v>
      </c>
      <c r="F11133" t="str">
        <f t="shared" si="2100"/>
        <v>COM</v>
      </c>
      <c r="G11133" t="str">
        <f t="shared" ref="G11133:G11138" si="2103">"MATHEUS AMORIM PEREIRA (1013)"</f>
        <v>MATHEUS AMORIM PEREIRA (1013)</v>
      </c>
      <c r="H11133" t="str">
        <f>"Serv.Prest. 03/11/2025 a 09/11/2025 - PIX: CELULAR - CHAVE: (34) 99178-2263"</f>
        <v>Serv.Prest. 03/11/2025 a 09/11/2025 - PIX: CELULAR - CHAVE: (34) 99178-2263</v>
      </c>
      <c r="I11133" t="str">
        <f t="shared" si="2091"/>
        <v>13/11/2025</v>
      </c>
      <c r="J11133" t="str">
        <f t="shared" si="2085"/>
        <v>12/11/2025</v>
      </c>
      <c r="K11133" t="str">
        <f>("13/11/2025")</f>
        <v>13/11/2025</v>
      </c>
      <c r="L11133">
        <v>800</v>
      </c>
      <c r="M11133">
        <v>800</v>
      </c>
      <c r="N11133">
        <v>109</v>
      </c>
      <c r="O11133" t="str">
        <f>"PAGAMENTO DE ENTREGADORES"</f>
        <v>PAGAMENTO DE ENTREGADORES</v>
      </c>
      <c r="P11133">
        <v>800</v>
      </c>
      <c r="S11133" t="str">
        <f>"BANCO C6 (149)"</f>
        <v>BANCO C6 (149)</v>
      </c>
      <c r="T11133">
        <v>21822</v>
      </c>
      <c r="U11133">
        <v>25265</v>
      </c>
      <c r="V11133" t="s">
        <v>77</v>
      </c>
    </row>
    <row r="11134" spans="1:22">
      <c r="A11134" t="str">
        <f t="shared" si="2086"/>
        <v>13/11/2025</v>
      </c>
      <c r="B11134" t="str">
        <f t="shared" si="2089"/>
        <v>SAÍDA</v>
      </c>
      <c r="C11134" t="str">
        <f t="shared" si="2090"/>
        <v>PIX</v>
      </c>
      <c r="D11134" t="str">
        <f t="shared" si="2102"/>
        <v>25265</v>
      </c>
      <c r="E11134" t="str">
        <f t="shared" si="2094"/>
        <v>1</v>
      </c>
      <c r="F11134" t="str">
        <f t="shared" si="2100"/>
        <v>COM</v>
      </c>
      <c r="G11134" t="str">
        <f t="shared" si="2103"/>
        <v>MATHEUS AMORIM PEREIRA (1013)</v>
      </c>
      <c r="H11134" t="s">
        <v>3030</v>
      </c>
      <c r="I11134" t="str">
        <f t="shared" si="2091"/>
        <v>13/11/2025</v>
      </c>
      <c r="J11134" t="str">
        <f t="shared" si="2085"/>
        <v>12/11/2025</v>
      </c>
      <c r="K11134">
        <v>45974</v>
      </c>
      <c r="N11134">
        <v>109</v>
      </c>
      <c r="O11134" t="s">
        <v>24</v>
      </c>
      <c r="Q11134">
        <v>100</v>
      </c>
      <c r="R11134" t="str">
        <f>"DROGALIDER 42 (10247)"</f>
        <v>DROGALIDER 42 (10247)</v>
      </c>
      <c r="S11134" t="s">
        <v>77</v>
      </c>
      <c r="T11134">
        <v>21822</v>
      </c>
      <c r="U11134">
        <v>25265</v>
      </c>
      <c r="V11134" t="s">
        <v>77</v>
      </c>
    </row>
    <row r="11135" spans="1:22">
      <c r="A11135" t="str">
        <f t="shared" si="2086"/>
        <v>13/11/2025</v>
      </c>
      <c r="B11135" t="str">
        <f t="shared" si="2089"/>
        <v>SAÍDA</v>
      </c>
      <c r="C11135" t="str">
        <f t="shared" si="2090"/>
        <v>PIX</v>
      </c>
      <c r="D11135" t="str">
        <f t="shared" si="2102"/>
        <v>25265</v>
      </c>
      <c r="E11135" t="str">
        <f t="shared" si="2094"/>
        <v>1</v>
      </c>
      <c r="F11135" t="str">
        <f t="shared" si="2100"/>
        <v>COM</v>
      </c>
      <c r="G11135" t="str">
        <f t="shared" si="2103"/>
        <v>MATHEUS AMORIM PEREIRA (1013)</v>
      </c>
      <c r="H11135" t="s">
        <v>3030</v>
      </c>
      <c r="I11135" t="str">
        <f t="shared" si="2091"/>
        <v>13/11/2025</v>
      </c>
      <c r="J11135" t="str">
        <f t="shared" si="2085"/>
        <v>12/11/2025</v>
      </c>
      <c r="K11135">
        <v>45974</v>
      </c>
      <c r="N11135">
        <v>109</v>
      </c>
      <c r="O11135" t="s">
        <v>24</v>
      </c>
      <c r="Q11135">
        <v>280</v>
      </c>
      <c r="R11135" t="str">
        <f>"DROGALIDER 55 (10249)"</f>
        <v>DROGALIDER 55 (10249)</v>
      </c>
      <c r="S11135" t="s">
        <v>77</v>
      </c>
      <c r="T11135">
        <v>21822</v>
      </c>
      <c r="U11135">
        <v>25265</v>
      </c>
      <c r="V11135" t="s">
        <v>77</v>
      </c>
    </row>
    <row r="11136" spans="1:22">
      <c r="A11136" t="str">
        <f t="shared" si="2086"/>
        <v>13/11/2025</v>
      </c>
      <c r="B11136" t="str">
        <f t="shared" si="2089"/>
        <v>SAÍDA</v>
      </c>
      <c r="C11136" t="str">
        <f t="shared" si="2090"/>
        <v>PIX</v>
      </c>
      <c r="D11136" t="str">
        <f t="shared" si="2102"/>
        <v>25265</v>
      </c>
      <c r="E11136" t="str">
        <f t="shared" si="2094"/>
        <v>1</v>
      </c>
      <c r="F11136" t="str">
        <f t="shared" si="2100"/>
        <v>COM</v>
      </c>
      <c r="G11136" t="str">
        <f t="shared" si="2103"/>
        <v>MATHEUS AMORIM PEREIRA (1013)</v>
      </c>
      <c r="H11136" t="s">
        <v>3030</v>
      </c>
      <c r="I11136" t="str">
        <f t="shared" si="2091"/>
        <v>13/11/2025</v>
      </c>
      <c r="J11136" t="str">
        <f t="shared" si="2085"/>
        <v>12/11/2025</v>
      </c>
      <c r="K11136">
        <v>45974</v>
      </c>
      <c r="N11136">
        <v>109</v>
      </c>
      <c r="O11136" t="s">
        <v>24</v>
      </c>
      <c r="Q11136">
        <v>80</v>
      </c>
      <c r="R11136" t="str">
        <f>"DROGALIDER 67 (10252)"</f>
        <v>DROGALIDER 67 (10252)</v>
      </c>
      <c r="S11136" t="s">
        <v>77</v>
      </c>
      <c r="T11136">
        <v>21822</v>
      </c>
      <c r="U11136">
        <v>25265</v>
      </c>
      <c r="V11136" t="s">
        <v>77</v>
      </c>
    </row>
    <row r="11137" spans="1:22">
      <c r="A11137" t="str">
        <f t="shared" si="2086"/>
        <v>13/11/2025</v>
      </c>
      <c r="B11137" t="str">
        <f t="shared" si="2089"/>
        <v>SAÍDA</v>
      </c>
      <c r="C11137" t="str">
        <f t="shared" si="2090"/>
        <v>PIX</v>
      </c>
      <c r="D11137" t="str">
        <f t="shared" si="2102"/>
        <v>25265</v>
      </c>
      <c r="E11137" t="str">
        <f t="shared" si="2094"/>
        <v>1</v>
      </c>
      <c r="F11137" t="str">
        <f t="shared" si="2100"/>
        <v>COM</v>
      </c>
      <c r="G11137" t="str">
        <f t="shared" si="2103"/>
        <v>MATHEUS AMORIM PEREIRA (1013)</v>
      </c>
      <c r="H11137" t="s">
        <v>3030</v>
      </c>
      <c r="I11137" t="str">
        <f t="shared" si="2091"/>
        <v>13/11/2025</v>
      </c>
      <c r="J11137" t="str">
        <f t="shared" si="2085"/>
        <v>12/11/2025</v>
      </c>
      <c r="K11137">
        <v>45974</v>
      </c>
      <c r="N11137">
        <v>109</v>
      </c>
      <c r="O11137" t="s">
        <v>24</v>
      </c>
      <c r="Q11137">
        <v>100</v>
      </c>
      <c r="R11137" t="str">
        <f>"DROGALIDER 68 (10253)"</f>
        <v>DROGALIDER 68 (10253)</v>
      </c>
      <c r="S11137" t="s">
        <v>77</v>
      </c>
      <c r="T11137">
        <v>21822</v>
      </c>
      <c r="U11137">
        <v>25265</v>
      </c>
      <c r="V11137" t="s">
        <v>77</v>
      </c>
    </row>
    <row r="11138" spans="1:22">
      <c r="A11138" t="str">
        <f t="shared" si="2086"/>
        <v>13/11/2025</v>
      </c>
      <c r="B11138" t="str">
        <f t="shared" si="2089"/>
        <v>SAÍDA</v>
      </c>
      <c r="C11138" t="str">
        <f t="shared" si="2090"/>
        <v>PIX</v>
      </c>
      <c r="D11138" t="str">
        <f t="shared" si="2102"/>
        <v>25265</v>
      </c>
      <c r="E11138" t="str">
        <f t="shared" si="2094"/>
        <v>1</v>
      </c>
      <c r="F11138" t="str">
        <f t="shared" si="2100"/>
        <v>COM</v>
      </c>
      <c r="G11138" t="str">
        <f t="shared" si="2103"/>
        <v>MATHEUS AMORIM PEREIRA (1013)</v>
      </c>
      <c r="H11138" t="s">
        <v>3030</v>
      </c>
      <c r="I11138" t="str">
        <f t="shared" si="2091"/>
        <v>13/11/2025</v>
      </c>
      <c r="J11138" t="str">
        <f t="shared" si="2085"/>
        <v>12/11/2025</v>
      </c>
      <c r="K11138">
        <v>45974</v>
      </c>
      <c r="N11138">
        <v>109</v>
      </c>
      <c r="O11138" t="s">
        <v>24</v>
      </c>
      <c r="Q11138">
        <v>240</v>
      </c>
      <c r="R11138" t="str">
        <f>"DROGALIDER 31 (10256)"</f>
        <v>DROGALIDER 31 (10256)</v>
      </c>
      <c r="S11138" t="s">
        <v>77</v>
      </c>
      <c r="T11138">
        <v>21822</v>
      </c>
      <c r="U11138">
        <v>25265</v>
      </c>
      <c r="V11138" t="s">
        <v>77</v>
      </c>
    </row>
    <row r="11139" spans="1:22">
      <c r="A11139" t="str">
        <f t="shared" si="2086"/>
        <v>13/11/2025</v>
      </c>
      <c r="B11139" t="str">
        <f t="shared" si="2089"/>
        <v>SAÍDA</v>
      </c>
      <c r="C11139" t="str">
        <f t="shared" si="2090"/>
        <v>PIX</v>
      </c>
      <c r="D11139" t="str">
        <f>"25162"</f>
        <v>25162</v>
      </c>
      <c r="E11139" t="str">
        <f t="shared" si="2094"/>
        <v>1</v>
      </c>
      <c r="F11139" t="str">
        <f t="shared" si="2100"/>
        <v>COM</v>
      </c>
      <c r="G11139" t="str">
        <f>"MARCOS RODRIGUES PENA (64)"</f>
        <v>MARCOS RODRIGUES PENA (64)</v>
      </c>
      <c r="H11139" t="str">
        <f>"Serv.Prest. 03/11/2025 a 09/11/2025 - PIX: CELULAR - CHAVE: (33) 99194-2339"</f>
        <v>Serv.Prest. 03/11/2025 a 09/11/2025 - PIX: CELULAR - CHAVE: (33) 99194-2339</v>
      </c>
      <c r="I11139" t="str">
        <f t="shared" si="2091"/>
        <v>13/11/2025</v>
      </c>
      <c r="J11139" t="str">
        <f>("11/11/2025")</f>
        <v>11/11/2025</v>
      </c>
      <c r="K11139" t="str">
        <f>("13/11/2025")</f>
        <v>13/11/2025</v>
      </c>
      <c r="L11139">
        <v>140</v>
      </c>
      <c r="M11139">
        <v>140</v>
      </c>
      <c r="N11139">
        <v>109</v>
      </c>
      <c r="O11139" t="str">
        <f>"PAGAMENTO DE ENTREGADORES"</f>
        <v>PAGAMENTO DE ENTREGADORES</v>
      </c>
      <c r="P11139">
        <v>140</v>
      </c>
      <c r="S11139" t="str">
        <f>"BANCO C6 (149)"</f>
        <v>BANCO C6 (149)</v>
      </c>
      <c r="T11139">
        <v>21823</v>
      </c>
      <c r="U11139">
        <v>25290</v>
      </c>
      <c r="V11139" t="s">
        <v>77</v>
      </c>
    </row>
    <row r="11140" spans="1:22">
      <c r="A11140" t="str">
        <f t="shared" si="2086"/>
        <v>13/11/2025</v>
      </c>
      <c r="B11140" t="str">
        <f t="shared" si="2089"/>
        <v>SAÍDA</v>
      </c>
      <c r="C11140" t="str">
        <f t="shared" si="2090"/>
        <v>PIX</v>
      </c>
      <c r="D11140" t="str">
        <f>"25162"</f>
        <v>25162</v>
      </c>
      <c r="E11140" t="str">
        <f t="shared" si="2094"/>
        <v>1</v>
      </c>
      <c r="F11140" t="str">
        <f t="shared" si="2100"/>
        <v>COM</v>
      </c>
      <c r="G11140" t="str">
        <f>"MARCOS RODRIGUES PENA (64)"</f>
        <v>MARCOS RODRIGUES PENA (64)</v>
      </c>
      <c r="H11140" t="s">
        <v>3031</v>
      </c>
      <c r="I11140" t="str">
        <f t="shared" si="2091"/>
        <v>13/11/2025</v>
      </c>
      <c r="J11140" t="str">
        <f>("11/11/2025")</f>
        <v>11/11/2025</v>
      </c>
      <c r="K11140">
        <v>45974</v>
      </c>
      <c r="N11140">
        <v>109</v>
      </c>
      <c r="O11140" t="s">
        <v>24</v>
      </c>
      <c r="Q11140">
        <v>140</v>
      </c>
      <c r="R11140" t="str">
        <f>"FARMÁCIA INDIANA LJ 62 (10028)"</f>
        <v>FARMÁCIA INDIANA LJ 62 (10028)</v>
      </c>
      <c r="S11140" t="s">
        <v>77</v>
      </c>
      <c r="T11140">
        <v>21823</v>
      </c>
      <c r="U11140">
        <v>25290</v>
      </c>
      <c r="V11140" t="s">
        <v>77</v>
      </c>
    </row>
    <row r="11141" spans="1:22">
      <c r="A11141" t="str">
        <f t="shared" si="2086"/>
        <v>13/11/2025</v>
      </c>
      <c r="B11141" t="str">
        <f t="shared" si="2089"/>
        <v>SAÍDA</v>
      </c>
      <c r="C11141" t="str">
        <f t="shared" si="2090"/>
        <v>PIX</v>
      </c>
      <c r="D11141" t="str">
        <f>"25177"</f>
        <v>25177</v>
      </c>
      <c r="E11141" t="str">
        <f t="shared" si="2094"/>
        <v>1</v>
      </c>
      <c r="F11141" t="str">
        <f t="shared" si="2100"/>
        <v>COM</v>
      </c>
      <c r="G11141" t="str">
        <f>"RAISSON VITOR MENDES DE ABREU (705)"</f>
        <v>RAISSON VITOR MENDES DE ABREU (705)</v>
      </c>
      <c r="H11141" t="str">
        <f>"Serv.Prest. 03/11/2025 a 09/11/2025 - PIX: CELULAR - CHAVE: (31) 99959-5414"</f>
        <v>Serv.Prest. 03/11/2025 a 09/11/2025 - PIX: CELULAR - CHAVE: (31) 99959-5414</v>
      </c>
      <c r="I11141" t="str">
        <f t="shared" si="2091"/>
        <v>13/11/2025</v>
      </c>
      <c r="J11141" t="str">
        <f>("11/11/2025")</f>
        <v>11/11/2025</v>
      </c>
      <c r="K11141" t="str">
        <f>("13/11/2025")</f>
        <v>13/11/2025</v>
      </c>
      <c r="L11141">
        <v>140</v>
      </c>
      <c r="M11141">
        <v>140</v>
      </c>
      <c r="N11141">
        <v>109</v>
      </c>
      <c r="O11141" t="str">
        <f>"PAGAMENTO DE ENTREGADORES"</f>
        <v>PAGAMENTO DE ENTREGADORES</v>
      </c>
      <c r="P11141">
        <v>140</v>
      </c>
      <c r="S11141" t="str">
        <f>"BANCO C6 (149)"</f>
        <v>BANCO C6 (149)</v>
      </c>
      <c r="T11141">
        <v>21824</v>
      </c>
      <c r="U11141">
        <v>25463</v>
      </c>
      <c r="V11141" t="s">
        <v>77</v>
      </c>
    </row>
    <row r="11142" spans="1:22">
      <c r="A11142" t="str">
        <f t="shared" si="2086"/>
        <v>13/11/2025</v>
      </c>
      <c r="B11142" t="str">
        <f t="shared" si="2089"/>
        <v>SAÍDA</v>
      </c>
      <c r="C11142" t="str">
        <f t="shared" si="2090"/>
        <v>PIX</v>
      </c>
      <c r="D11142" t="str">
        <f>"25177"</f>
        <v>25177</v>
      </c>
      <c r="E11142" t="str">
        <f t="shared" si="2094"/>
        <v>1</v>
      </c>
      <c r="F11142" t="str">
        <f t="shared" si="2100"/>
        <v>COM</v>
      </c>
      <c r="G11142" t="str">
        <f>"RAISSON VITOR MENDES DE ABREU (705)"</f>
        <v>RAISSON VITOR MENDES DE ABREU (705)</v>
      </c>
      <c r="H11142" t="s">
        <v>2885</v>
      </c>
      <c r="I11142" t="str">
        <f t="shared" si="2091"/>
        <v>13/11/2025</v>
      </c>
      <c r="J11142" t="str">
        <f>("11/11/2025")</f>
        <v>11/11/2025</v>
      </c>
      <c r="K11142">
        <v>45974</v>
      </c>
      <c r="N11142">
        <v>109</v>
      </c>
      <c r="O11142" t="s">
        <v>24</v>
      </c>
      <c r="Q11142">
        <v>140</v>
      </c>
      <c r="R11142" t="str">
        <f>"FARMÁCIA INDIANA LJ 178 (10077)"</f>
        <v>FARMÁCIA INDIANA LJ 178 (10077)</v>
      </c>
      <c r="S11142" t="s">
        <v>77</v>
      </c>
      <c r="T11142">
        <v>21824</v>
      </c>
      <c r="U11142">
        <v>25463</v>
      </c>
      <c r="V11142" t="s">
        <v>77</v>
      </c>
    </row>
    <row r="11143" spans="1:22">
      <c r="A11143" t="str">
        <f t="shared" si="2086"/>
        <v>13/11/2025</v>
      </c>
      <c r="B11143" t="str">
        <f t="shared" si="2089"/>
        <v>SAÍDA</v>
      </c>
      <c r="C11143" t="str">
        <f>"TRANSFERENCIA"</f>
        <v>TRANSFERENCIA</v>
      </c>
      <c r="D11143" t="str">
        <f>""</f>
        <v/>
      </c>
      <c r="F11143" t="str">
        <f>"TRF"</f>
        <v>TRF</v>
      </c>
      <c r="G11143" t="str">
        <f>""</f>
        <v/>
      </c>
      <c r="H11143" t="str">
        <f>"TRANSFERENCIA ENTRE BANCOS (102-&gt;149)"</f>
        <v>TRANSFERENCIA ENTRE BANCOS (102-&gt;149)</v>
      </c>
      <c r="I11143" t="str">
        <f t="shared" si="2091"/>
        <v>13/11/2025</v>
      </c>
      <c r="J11143" t="str">
        <f>("13/11/2025")</f>
        <v>13/11/2025</v>
      </c>
      <c r="K11143" t="str">
        <f>("13/11/2025")</f>
        <v>13/11/2025</v>
      </c>
      <c r="N11143">
        <v>102</v>
      </c>
      <c r="O11143" t="str">
        <f>"BANCO CORA"</f>
        <v>BANCO CORA</v>
      </c>
      <c r="P11143">
        <v>50484.69</v>
      </c>
      <c r="S11143" t="str">
        <f>"BANCO CORA (102)"</f>
        <v>BANCO CORA (102)</v>
      </c>
      <c r="T11143">
        <v>22811</v>
      </c>
      <c r="U11143">
        <v>0</v>
      </c>
      <c r="V11143" t="s">
        <v>22</v>
      </c>
    </row>
    <row r="11144" spans="1:22">
      <c r="A11144" t="str">
        <f t="shared" si="2086"/>
        <v>13/11/2025</v>
      </c>
      <c r="B11144" t="str">
        <f>"ENTRADA"</f>
        <v>ENTRADA</v>
      </c>
      <c r="C11144" t="str">
        <f>"TRANSFERENCIA"</f>
        <v>TRANSFERENCIA</v>
      </c>
      <c r="D11144" t="str">
        <f>""</f>
        <v/>
      </c>
      <c r="F11144" t="str">
        <f>"TRF"</f>
        <v>TRF</v>
      </c>
      <c r="G11144" t="str">
        <f>""</f>
        <v/>
      </c>
      <c r="H11144" t="str">
        <f>"TRANSFERENCIA ENTRE BANCOS (102-&gt;149)"</f>
        <v>TRANSFERENCIA ENTRE BANCOS (102-&gt;149)</v>
      </c>
      <c r="I11144" t="str">
        <f t="shared" si="2091"/>
        <v>13/11/2025</v>
      </c>
      <c r="J11144" t="str">
        <f>("13/11/2025")</f>
        <v>13/11/2025</v>
      </c>
      <c r="K11144" t="str">
        <f>("13/11/2025")</f>
        <v>13/11/2025</v>
      </c>
      <c r="N11144">
        <v>149</v>
      </c>
      <c r="O11144" t="str">
        <f>"BANCO C6"</f>
        <v>BANCO C6</v>
      </c>
      <c r="S11144" t="str">
        <f>"BANCO C6 (149)"</f>
        <v>BANCO C6 (149)</v>
      </c>
      <c r="T11144">
        <v>22811</v>
      </c>
      <c r="U11144">
        <v>0</v>
      </c>
      <c r="V11144" t="s">
        <v>77</v>
      </c>
    </row>
    <row r="11145" spans="1:22">
      <c r="A11145" t="str">
        <f t="shared" si="2086"/>
        <v>13/11/2025</v>
      </c>
      <c r="B11145" t="str">
        <f t="shared" ref="B11145:B11176" si="2104">"SAÍDA"</f>
        <v>SAÍDA</v>
      </c>
      <c r="C11145" t="str">
        <f t="shared" ref="C11145:C11176" si="2105">"CONHECIMENTO"</f>
        <v>CONHECIMENTO</v>
      </c>
      <c r="D11145" t="str">
        <f t="shared" ref="D11145:D11176" si="2106">"01092025"</f>
        <v>01092025</v>
      </c>
      <c r="E11145" t="str">
        <f>"2"</f>
        <v>2</v>
      </c>
      <c r="F11145" t="str">
        <f t="shared" ref="F11145:F11208" si="2107">"COM"</f>
        <v>COM</v>
      </c>
      <c r="G11145" t="str">
        <f t="shared" ref="G11145:G11176" si="2108">"CORA SOCIEDADE DE CREDITO, FINANCIAMENTO E INVESTIMENTO (20035)"</f>
        <v>CORA SOCIEDADE DE CREDITO, FINANCIAMENTO E INVESTIMENTO (20035)</v>
      </c>
      <c r="H11145" t="str">
        <f>"TAXA BOLETO "</f>
        <v xml:space="preserve">TAXA BOLETO </v>
      </c>
      <c r="I11145" t="str">
        <f t="shared" si="2091"/>
        <v>13/11/2025</v>
      </c>
      <c r="J11145" t="str">
        <f t="shared" ref="J11145:J11176" si="2109">("01/09/2025")</f>
        <v>01/09/2025</v>
      </c>
      <c r="K11145" t="str">
        <f>("13/11/2025")</f>
        <v>13/11/2025</v>
      </c>
      <c r="L11145">
        <v>0.5</v>
      </c>
      <c r="M11145">
        <v>0.5</v>
      </c>
      <c r="N11145">
        <v>401</v>
      </c>
      <c r="O11145" t="str">
        <f>"IOF/JUROS/DESP.FINANCEIRA"</f>
        <v>IOF/JUROS/DESP.FINANCEIRA</v>
      </c>
      <c r="P11145">
        <v>0.5</v>
      </c>
      <c r="S11145" t="str">
        <f>"BANCO CORA (102)"</f>
        <v>BANCO CORA (102)</v>
      </c>
      <c r="T11145">
        <v>22812</v>
      </c>
      <c r="U11145">
        <v>26430</v>
      </c>
      <c r="V11145" t="s">
        <v>22</v>
      </c>
    </row>
    <row r="11146" spans="1:22">
      <c r="A11146" t="str">
        <f t="shared" si="2086"/>
        <v>13/11/2025</v>
      </c>
      <c r="B11146" t="str">
        <f t="shared" si="2104"/>
        <v>SAÍDA</v>
      </c>
      <c r="C11146" t="str">
        <f t="shared" si="2105"/>
        <v>CONHECIMENTO</v>
      </c>
      <c r="D11146" t="str">
        <f t="shared" si="2106"/>
        <v>01092025</v>
      </c>
      <c r="E11146" t="str">
        <f>"2"</f>
        <v>2</v>
      </c>
      <c r="F11146" t="str">
        <f t="shared" si="2107"/>
        <v>COM</v>
      </c>
      <c r="G11146" t="str">
        <f t="shared" si="2108"/>
        <v>CORA SOCIEDADE DE CREDITO, FINANCIAMENTO E INVESTIMENTO (20035)</v>
      </c>
      <c r="H11146" t="s">
        <v>75</v>
      </c>
      <c r="I11146" t="str">
        <f t="shared" si="2091"/>
        <v>13/11/2025</v>
      </c>
      <c r="J11146" t="str">
        <f t="shared" si="2109"/>
        <v>01/09/2025</v>
      </c>
      <c r="K11146">
        <v>45974</v>
      </c>
      <c r="N11146">
        <v>401</v>
      </c>
      <c r="O11146" t="s">
        <v>76</v>
      </c>
      <c r="Q11146">
        <v>0.5</v>
      </c>
      <c r="R11146" t="str">
        <f>"CORA SOCIEDADE DE CREDITO, FINANCIAMENTO E INVESTIMENTO (20035)"</f>
        <v>CORA SOCIEDADE DE CREDITO, FINANCIAMENTO E INVESTIMENTO (20035)</v>
      </c>
      <c r="S11146" t="s">
        <v>22</v>
      </c>
      <c r="T11146">
        <v>22812</v>
      </c>
      <c r="U11146">
        <v>26430</v>
      </c>
      <c r="V11146" t="s">
        <v>22</v>
      </c>
    </row>
    <row r="11147" spans="1:22">
      <c r="A11147" t="str">
        <f t="shared" si="2086"/>
        <v>13/11/2025</v>
      </c>
      <c r="B11147" t="str">
        <f t="shared" si="2104"/>
        <v>SAÍDA</v>
      </c>
      <c r="C11147" t="str">
        <f t="shared" si="2105"/>
        <v>CONHECIMENTO</v>
      </c>
      <c r="D11147" t="str">
        <f t="shared" si="2106"/>
        <v>01092025</v>
      </c>
      <c r="E11147" t="str">
        <f>"3"</f>
        <v>3</v>
      </c>
      <c r="F11147" t="str">
        <f t="shared" si="2107"/>
        <v>COM</v>
      </c>
      <c r="G11147" t="str">
        <f t="shared" si="2108"/>
        <v>CORA SOCIEDADE DE CREDITO, FINANCIAMENTO E INVESTIMENTO (20035)</v>
      </c>
      <c r="H11147" t="str">
        <f>"TAXA BOLETO "</f>
        <v xml:space="preserve">TAXA BOLETO </v>
      </c>
      <c r="I11147" t="str">
        <f t="shared" si="2091"/>
        <v>13/11/2025</v>
      </c>
      <c r="J11147" t="str">
        <f t="shared" si="2109"/>
        <v>01/09/2025</v>
      </c>
      <c r="K11147" t="str">
        <f>("13/11/2025")</f>
        <v>13/11/2025</v>
      </c>
      <c r="L11147">
        <v>1.7</v>
      </c>
      <c r="M11147">
        <v>1.7</v>
      </c>
      <c r="N11147">
        <v>401</v>
      </c>
      <c r="O11147" t="str">
        <f>"IOF/JUROS/DESP.FINANCEIRA"</f>
        <v>IOF/JUROS/DESP.FINANCEIRA</v>
      </c>
      <c r="P11147">
        <v>1.7</v>
      </c>
      <c r="S11147" t="str">
        <f>"BANCO CORA (102)"</f>
        <v>BANCO CORA (102)</v>
      </c>
      <c r="T11147">
        <v>22813</v>
      </c>
      <c r="U11147">
        <v>26431</v>
      </c>
      <c r="V11147" t="s">
        <v>22</v>
      </c>
    </row>
    <row r="11148" spans="1:22">
      <c r="A11148" t="str">
        <f t="shared" si="2086"/>
        <v>13/11/2025</v>
      </c>
      <c r="B11148" t="str">
        <f t="shared" si="2104"/>
        <v>SAÍDA</v>
      </c>
      <c r="C11148" t="str">
        <f t="shared" si="2105"/>
        <v>CONHECIMENTO</v>
      </c>
      <c r="D11148" t="str">
        <f t="shared" si="2106"/>
        <v>01092025</v>
      </c>
      <c r="E11148" t="str">
        <f>"3"</f>
        <v>3</v>
      </c>
      <c r="F11148" t="str">
        <f t="shared" si="2107"/>
        <v>COM</v>
      </c>
      <c r="G11148" t="str">
        <f t="shared" si="2108"/>
        <v>CORA SOCIEDADE DE CREDITO, FINANCIAMENTO E INVESTIMENTO (20035)</v>
      </c>
      <c r="H11148" t="s">
        <v>75</v>
      </c>
      <c r="I11148" t="str">
        <f t="shared" si="2091"/>
        <v>13/11/2025</v>
      </c>
      <c r="J11148" t="str">
        <f t="shared" si="2109"/>
        <v>01/09/2025</v>
      </c>
      <c r="K11148">
        <v>45974</v>
      </c>
      <c r="N11148">
        <v>401</v>
      </c>
      <c r="O11148" t="s">
        <v>76</v>
      </c>
      <c r="Q11148">
        <v>1.7</v>
      </c>
      <c r="R11148" t="str">
        <f>"CORA SOCIEDADE DE CREDITO, FINANCIAMENTO E INVESTIMENTO (20035)"</f>
        <v>CORA SOCIEDADE DE CREDITO, FINANCIAMENTO E INVESTIMENTO (20035)</v>
      </c>
      <c r="S11148" t="s">
        <v>22</v>
      </c>
      <c r="T11148">
        <v>22813</v>
      </c>
      <c r="U11148">
        <v>26431</v>
      </c>
      <c r="V11148" t="s">
        <v>22</v>
      </c>
    </row>
    <row r="11149" spans="1:22">
      <c r="A11149" t="str">
        <f t="shared" si="2086"/>
        <v>13/11/2025</v>
      </c>
      <c r="B11149" t="str">
        <f t="shared" si="2104"/>
        <v>SAÍDA</v>
      </c>
      <c r="C11149" t="str">
        <f t="shared" si="2105"/>
        <v>CONHECIMENTO</v>
      </c>
      <c r="D11149" t="str">
        <f t="shared" si="2106"/>
        <v>01092025</v>
      </c>
      <c r="E11149" t="str">
        <f>"4"</f>
        <v>4</v>
      </c>
      <c r="F11149" t="str">
        <f t="shared" si="2107"/>
        <v>COM</v>
      </c>
      <c r="G11149" t="str">
        <f t="shared" si="2108"/>
        <v>CORA SOCIEDADE DE CREDITO, FINANCIAMENTO E INVESTIMENTO (20035)</v>
      </c>
      <c r="H11149" t="str">
        <f>"TAXA BOLETO "</f>
        <v xml:space="preserve">TAXA BOLETO </v>
      </c>
      <c r="I11149" t="str">
        <f t="shared" si="2091"/>
        <v>13/11/2025</v>
      </c>
      <c r="J11149" t="str">
        <f t="shared" si="2109"/>
        <v>01/09/2025</v>
      </c>
      <c r="K11149" t="str">
        <f>("13/11/2025")</f>
        <v>13/11/2025</v>
      </c>
      <c r="L11149">
        <v>1.7</v>
      </c>
      <c r="M11149">
        <v>1.7</v>
      </c>
      <c r="N11149">
        <v>401</v>
      </c>
      <c r="O11149" t="str">
        <f>"IOF/JUROS/DESP.FINANCEIRA"</f>
        <v>IOF/JUROS/DESP.FINANCEIRA</v>
      </c>
      <c r="P11149">
        <v>1.7</v>
      </c>
      <c r="S11149" t="str">
        <f>"BANCO CORA (102)"</f>
        <v>BANCO CORA (102)</v>
      </c>
      <c r="T11149">
        <v>22814</v>
      </c>
      <c r="U11149">
        <v>26432</v>
      </c>
      <c r="V11149" t="s">
        <v>22</v>
      </c>
    </row>
    <row r="11150" spans="1:22">
      <c r="A11150" t="str">
        <f t="shared" si="2086"/>
        <v>13/11/2025</v>
      </c>
      <c r="B11150" t="str">
        <f t="shared" si="2104"/>
        <v>SAÍDA</v>
      </c>
      <c r="C11150" t="str">
        <f t="shared" si="2105"/>
        <v>CONHECIMENTO</v>
      </c>
      <c r="D11150" t="str">
        <f t="shared" si="2106"/>
        <v>01092025</v>
      </c>
      <c r="E11150" t="str">
        <f>"4"</f>
        <v>4</v>
      </c>
      <c r="F11150" t="str">
        <f t="shared" si="2107"/>
        <v>COM</v>
      </c>
      <c r="G11150" t="str">
        <f t="shared" si="2108"/>
        <v>CORA SOCIEDADE DE CREDITO, FINANCIAMENTO E INVESTIMENTO (20035)</v>
      </c>
      <c r="H11150" t="s">
        <v>75</v>
      </c>
      <c r="I11150" t="str">
        <f t="shared" si="2091"/>
        <v>13/11/2025</v>
      </c>
      <c r="J11150" t="str">
        <f t="shared" si="2109"/>
        <v>01/09/2025</v>
      </c>
      <c r="K11150">
        <v>45974</v>
      </c>
      <c r="N11150">
        <v>401</v>
      </c>
      <c r="O11150" t="s">
        <v>76</v>
      </c>
      <c r="Q11150">
        <v>1.7</v>
      </c>
      <c r="R11150" t="str">
        <f>"CORA SOCIEDADE DE CREDITO, FINANCIAMENTO E INVESTIMENTO (20035)"</f>
        <v>CORA SOCIEDADE DE CREDITO, FINANCIAMENTO E INVESTIMENTO (20035)</v>
      </c>
      <c r="S11150" t="s">
        <v>22</v>
      </c>
      <c r="T11150">
        <v>22814</v>
      </c>
      <c r="U11150">
        <v>26432</v>
      </c>
      <c r="V11150" t="s">
        <v>22</v>
      </c>
    </row>
    <row r="11151" spans="1:22">
      <c r="A11151" t="str">
        <f t="shared" si="2086"/>
        <v>13/11/2025</v>
      </c>
      <c r="B11151" t="str">
        <f t="shared" si="2104"/>
        <v>SAÍDA</v>
      </c>
      <c r="C11151" t="str">
        <f t="shared" si="2105"/>
        <v>CONHECIMENTO</v>
      </c>
      <c r="D11151" t="str">
        <f t="shared" si="2106"/>
        <v>01092025</v>
      </c>
      <c r="E11151" t="str">
        <f>"5"</f>
        <v>5</v>
      </c>
      <c r="F11151" t="str">
        <f t="shared" si="2107"/>
        <v>COM</v>
      </c>
      <c r="G11151" t="str">
        <f t="shared" si="2108"/>
        <v>CORA SOCIEDADE DE CREDITO, FINANCIAMENTO E INVESTIMENTO (20035)</v>
      </c>
      <c r="H11151" t="str">
        <f>"TAXA BOLETO "</f>
        <v xml:space="preserve">TAXA BOLETO </v>
      </c>
      <c r="I11151" t="str">
        <f t="shared" si="2091"/>
        <v>13/11/2025</v>
      </c>
      <c r="J11151" t="str">
        <f t="shared" si="2109"/>
        <v>01/09/2025</v>
      </c>
      <c r="K11151" t="str">
        <f>("13/11/2025")</f>
        <v>13/11/2025</v>
      </c>
      <c r="L11151">
        <v>1.7</v>
      </c>
      <c r="M11151">
        <v>1.7</v>
      </c>
      <c r="N11151">
        <v>401</v>
      </c>
      <c r="O11151" t="str">
        <f>"IOF/JUROS/DESP.FINANCEIRA"</f>
        <v>IOF/JUROS/DESP.FINANCEIRA</v>
      </c>
      <c r="P11151">
        <v>1.7</v>
      </c>
      <c r="S11151" t="str">
        <f>"BANCO CORA (102)"</f>
        <v>BANCO CORA (102)</v>
      </c>
      <c r="T11151">
        <v>22815</v>
      </c>
      <c r="U11151">
        <v>26433</v>
      </c>
      <c r="V11151" t="s">
        <v>22</v>
      </c>
    </row>
    <row r="11152" spans="1:22">
      <c r="A11152" t="str">
        <f t="shared" si="2086"/>
        <v>13/11/2025</v>
      </c>
      <c r="B11152" t="str">
        <f t="shared" si="2104"/>
        <v>SAÍDA</v>
      </c>
      <c r="C11152" t="str">
        <f t="shared" si="2105"/>
        <v>CONHECIMENTO</v>
      </c>
      <c r="D11152" t="str">
        <f t="shared" si="2106"/>
        <v>01092025</v>
      </c>
      <c r="E11152" t="str">
        <f>"5"</f>
        <v>5</v>
      </c>
      <c r="F11152" t="str">
        <f t="shared" si="2107"/>
        <v>COM</v>
      </c>
      <c r="G11152" t="str">
        <f t="shared" si="2108"/>
        <v>CORA SOCIEDADE DE CREDITO, FINANCIAMENTO E INVESTIMENTO (20035)</v>
      </c>
      <c r="H11152" t="s">
        <v>75</v>
      </c>
      <c r="I11152" t="str">
        <f t="shared" si="2091"/>
        <v>13/11/2025</v>
      </c>
      <c r="J11152" t="str">
        <f t="shared" si="2109"/>
        <v>01/09/2025</v>
      </c>
      <c r="K11152">
        <v>45974</v>
      </c>
      <c r="N11152">
        <v>401</v>
      </c>
      <c r="O11152" t="s">
        <v>76</v>
      </c>
      <c r="Q11152">
        <v>1.7</v>
      </c>
      <c r="R11152" t="str">
        <f>"CORA SOCIEDADE DE CREDITO, FINANCIAMENTO E INVESTIMENTO (20035)"</f>
        <v>CORA SOCIEDADE DE CREDITO, FINANCIAMENTO E INVESTIMENTO (20035)</v>
      </c>
      <c r="S11152" t="s">
        <v>22</v>
      </c>
      <c r="T11152">
        <v>22815</v>
      </c>
      <c r="U11152">
        <v>26433</v>
      </c>
      <c r="V11152" t="s">
        <v>22</v>
      </c>
    </row>
    <row r="11153" spans="1:22">
      <c r="A11153" t="str">
        <f t="shared" si="2086"/>
        <v>13/11/2025</v>
      </c>
      <c r="B11153" t="str">
        <f t="shared" si="2104"/>
        <v>SAÍDA</v>
      </c>
      <c r="C11153" t="str">
        <f t="shared" si="2105"/>
        <v>CONHECIMENTO</v>
      </c>
      <c r="D11153" t="str">
        <f t="shared" si="2106"/>
        <v>01092025</v>
      </c>
      <c r="E11153" t="str">
        <f>"6"</f>
        <v>6</v>
      </c>
      <c r="F11153" t="str">
        <f t="shared" si="2107"/>
        <v>COM</v>
      </c>
      <c r="G11153" t="str">
        <f t="shared" si="2108"/>
        <v>CORA SOCIEDADE DE CREDITO, FINANCIAMENTO E INVESTIMENTO (20035)</v>
      </c>
      <c r="H11153" t="str">
        <f>"TAXA BOLETO "</f>
        <v xml:space="preserve">TAXA BOLETO </v>
      </c>
      <c r="I11153" t="str">
        <f t="shared" si="2091"/>
        <v>13/11/2025</v>
      </c>
      <c r="J11153" t="str">
        <f t="shared" si="2109"/>
        <v>01/09/2025</v>
      </c>
      <c r="K11153" t="str">
        <f>("13/11/2025")</f>
        <v>13/11/2025</v>
      </c>
      <c r="L11153">
        <v>1.7</v>
      </c>
      <c r="M11153">
        <v>1.7</v>
      </c>
      <c r="N11153">
        <v>401</v>
      </c>
      <c r="O11153" t="str">
        <f>"IOF/JUROS/DESP.FINANCEIRA"</f>
        <v>IOF/JUROS/DESP.FINANCEIRA</v>
      </c>
      <c r="P11153">
        <v>1.7</v>
      </c>
      <c r="S11153" t="str">
        <f>"BANCO CORA (102)"</f>
        <v>BANCO CORA (102)</v>
      </c>
      <c r="T11153">
        <v>22816</v>
      </c>
      <c r="U11153">
        <v>26434</v>
      </c>
      <c r="V11153" t="s">
        <v>22</v>
      </c>
    </row>
    <row r="11154" spans="1:22">
      <c r="A11154" t="str">
        <f t="shared" si="2086"/>
        <v>13/11/2025</v>
      </c>
      <c r="B11154" t="str">
        <f t="shared" si="2104"/>
        <v>SAÍDA</v>
      </c>
      <c r="C11154" t="str">
        <f t="shared" si="2105"/>
        <v>CONHECIMENTO</v>
      </c>
      <c r="D11154" t="str">
        <f t="shared" si="2106"/>
        <v>01092025</v>
      </c>
      <c r="E11154" t="str">
        <f>"6"</f>
        <v>6</v>
      </c>
      <c r="F11154" t="str">
        <f t="shared" si="2107"/>
        <v>COM</v>
      </c>
      <c r="G11154" t="str">
        <f t="shared" si="2108"/>
        <v>CORA SOCIEDADE DE CREDITO, FINANCIAMENTO E INVESTIMENTO (20035)</v>
      </c>
      <c r="H11154" t="s">
        <v>75</v>
      </c>
      <c r="I11154" t="str">
        <f t="shared" si="2091"/>
        <v>13/11/2025</v>
      </c>
      <c r="J11154" t="str">
        <f t="shared" si="2109"/>
        <v>01/09/2025</v>
      </c>
      <c r="K11154">
        <v>45974</v>
      </c>
      <c r="N11154">
        <v>401</v>
      </c>
      <c r="O11154" t="s">
        <v>76</v>
      </c>
      <c r="Q11154">
        <v>1.7</v>
      </c>
      <c r="R11154" t="str">
        <f>"CORA SOCIEDADE DE CREDITO, FINANCIAMENTO E INVESTIMENTO (20035)"</f>
        <v>CORA SOCIEDADE DE CREDITO, FINANCIAMENTO E INVESTIMENTO (20035)</v>
      </c>
      <c r="S11154" t="s">
        <v>22</v>
      </c>
      <c r="T11154">
        <v>22816</v>
      </c>
      <c r="U11154">
        <v>26434</v>
      </c>
      <c r="V11154" t="s">
        <v>22</v>
      </c>
    </row>
    <row r="11155" spans="1:22">
      <c r="A11155" t="str">
        <f t="shared" si="2086"/>
        <v>13/11/2025</v>
      </c>
      <c r="B11155" t="str">
        <f t="shared" si="2104"/>
        <v>SAÍDA</v>
      </c>
      <c r="C11155" t="str">
        <f t="shared" si="2105"/>
        <v>CONHECIMENTO</v>
      </c>
      <c r="D11155" t="str">
        <f t="shared" si="2106"/>
        <v>01092025</v>
      </c>
      <c r="E11155" t="str">
        <f>"7"</f>
        <v>7</v>
      </c>
      <c r="F11155" t="str">
        <f t="shared" si="2107"/>
        <v>COM</v>
      </c>
      <c r="G11155" t="str">
        <f t="shared" si="2108"/>
        <v>CORA SOCIEDADE DE CREDITO, FINANCIAMENTO E INVESTIMENTO (20035)</v>
      </c>
      <c r="H11155" t="str">
        <f>"TAXA BOLETO "</f>
        <v xml:space="preserve">TAXA BOLETO </v>
      </c>
      <c r="I11155" t="str">
        <f t="shared" si="2091"/>
        <v>13/11/2025</v>
      </c>
      <c r="J11155" t="str">
        <f t="shared" si="2109"/>
        <v>01/09/2025</v>
      </c>
      <c r="K11155" t="str">
        <f>("13/11/2025")</f>
        <v>13/11/2025</v>
      </c>
      <c r="L11155">
        <v>1.7</v>
      </c>
      <c r="M11155">
        <v>1.7</v>
      </c>
      <c r="N11155">
        <v>401</v>
      </c>
      <c r="O11155" t="str">
        <f>"IOF/JUROS/DESP.FINANCEIRA"</f>
        <v>IOF/JUROS/DESP.FINANCEIRA</v>
      </c>
      <c r="P11155">
        <v>1.7</v>
      </c>
      <c r="S11155" t="str">
        <f>"BANCO CORA (102)"</f>
        <v>BANCO CORA (102)</v>
      </c>
      <c r="T11155">
        <v>22817</v>
      </c>
      <c r="U11155">
        <v>26435</v>
      </c>
      <c r="V11155" t="s">
        <v>22</v>
      </c>
    </row>
    <row r="11156" spans="1:22">
      <c r="A11156" t="str">
        <f t="shared" si="2086"/>
        <v>13/11/2025</v>
      </c>
      <c r="B11156" t="str">
        <f t="shared" si="2104"/>
        <v>SAÍDA</v>
      </c>
      <c r="C11156" t="str">
        <f t="shared" si="2105"/>
        <v>CONHECIMENTO</v>
      </c>
      <c r="D11156" t="str">
        <f t="shared" si="2106"/>
        <v>01092025</v>
      </c>
      <c r="E11156" t="str">
        <f>"7"</f>
        <v>7</v>
      </c>
      <c r="F11156" t="str">
        <f t="shared" si="2107"/>
        <v>COM</v>
      </c>
      <c r="G11156" t="str">
        <f t="shared" si="2108"/>
        <v>CORA SOCIEDADE DE CREDITO, FINANCIAMENTO E INVESTIMENTO (20035)</v>
      </c>
      <c r="H11156" t="s">
        <v>75</v>
      </c>
      <c r="I11156" t="str">
        <f t="shared" si="2091"/>
        <v>13/11/2025</v>
      </c>
      <c r="J11156" t="str">
        <f t="shared" si="2109"/>
        <v>01/09/2025</v>
      </c>
      <c r="K11156">
        <v>45974</v>
      </c>
      <c r="N11156">
        <v>401</v>
      </c>
      <c r="O11156" t="s">
        <v>76</v>
      </c>
      <c r="Q11156">
        <v>1.7</v>
      </c>
      <c r="R11156" t="str">
        <f>"CORA SOCIEDADE DE CREDITO, FINANCIAMENTO E INVESTIMENTO (20035)"</f>
        <v>CORA SOCIEDADE DE CREDITO, FINANCIAMENTO E INVESTIMENTO (20035)</v>
      </c>
      <c r="S11156" t="s">
        <v>22</v>
      </c>
      <c r="T11156">
        <v>22817</v>
      </c>
      <c r="U11156">
        <v>26435</v>
      </c>
      <c r="V11156" t="s">
        <v>22</v>
      </c>
    </row>
    <row r="11157" spans="1:22">
      <c r="A11157" t="str">
        <f t="shared" si="2086"/>
        <v>13/11/2025</v>
      </c>
      <c r="B11157" t="str">
        <f t="shared" si="2104"/>
        <v>SAÍDA</v>
      </c>
      <c r="C11157" t="str">
        <f t="shared" si="2105"/>
        <v>CONHECIMENTO</v>
      </c>
      <c r="D11157" t="str">
        <f t="shared" si="2106"/>
        <v>01092025</v>
      </c>
      <c r="E11157" t="str">
        <f>"8"</f>
        <v>8</v>
      </c>
      <c r="F11157" t="str">
        <f t="shared" si="2107"/>
        <v>COM</v>
      </c>
      <c r="G11157" t="str">
        <f t="shared" si="2108"/>
        <v>CORA SOCIEDADE DE CREDITO, FINANCIAMENTO E INVESTIMENTO (20035)</v>
      </c>
      <c r="H11157" t="str">
        <f>"TAXA BOLETO "</f>
        <v xml:space="preserve">TAXA BOLETO </v>
      </c>
      <c r="I11157" t="str">
        <f t="shared" si="2091"/>
        <v>13/11/2025</v>
      </c>
      <c r="J11157" t="str">
        <f t="shared" si="2109"/>
        <v>01/09/2025</v>
      </c>
      <c r="K11157" t="str">
        <f>("13/11/2025")</f>
        <v>13/11/2025</v>
      </c>
      <c r="L11157">
        <v>1.7</v>
      </c>
      <c r="M11157">
        <v>1.7</v>
      </c>
      <c r="N11157">
        <v>401</v>
      </c>
      <c r="O11157" t="str">
        <f>"IOF/JUROS/DESP.FINANCEIRA"</f>
        <v>IOF/JUROS/DESP.FINANCEIRA</v>
      </c>
      <c r="P11157">
        <v>1.7</v>
      </c>
      <c r="S11157" t="str">
        <f>"BANCO CORA (102)"</f>
        <v>BANCO CORA (102)</v>
      </c>
      <c r="T11157">
        <v>22818</v>
      </c>
      <c r="U11157">
        <v>26436</v>
      </c>
      <c r="V11157" t="s">
        <v>22</v>
      </c>
    </row>
    <row r="11158" spans="1:22">
      <c r="A11158" t="str">
        <f t="shared" si="2086"/>
        <v>13/11/2025</v>
      </c>
      <c r="B11158" t="str">
        <f t="shared" si="2104"/>
        <v>SAÍDA</v>
      </c>
      <c r="C11158" t="str">
        <f t="shared" si="2105"/>
        <v>CONHECIMENTO</v>
      </c>
      <c r="D11158" t="str">
        <f t="shared" si="2106"/>
        <v>01092025</v>
      </c>
      <c r="E11158" t="str">
        <f>"8"</f>
        <v>8</v>
      </c>
      <c r="F11158" t="str">
        <f t="shared" si="2107"/>
        <v>COM</v>
      </c>
      <c r="G11158" t="str">
        <f t="shared" si="2108"/>
        <v>CORA SOCIEDADE DE CREDITO, FINANCIAMENTO E INVESTIMENTO (20035)</v>
      </c>
      <c r="H11158" t="s">
        <v>75</v>
      </c>
      <c r="I11158" t="str">
        <f t="shared" si="2091"/>
        <v>13/11/2025</v>
      </c>
      <c r="J11158" t="str">
        <f t="shared" si="2109"/>
        <v>01/09/2025</v>
      </c>
      <c r="K11158">
        <v>45974</v>
      </c>
      <c r="N11158">
        <v>401</v>
      </c>
      <c r="O11158" t="s">
        <v>76</v>
      </c>
      <c r="Q11158">
        <v>1.7</v>
      </c>
      <c r="R11158" t="str">
        <f>"CORA SOCIEDADE DE CREDITO, FINANCIAMENTO E INVESTIMENTO (20035)"</f>
        <v>CORA SOCIEDADE DE CREDITO, FINANCIAMENTO E INVESTIMENTO (20035)</v>
      </c>
      <c r="S11158" t="s">
        <v>22</v>
      </c>
      <c r="T11158">
        <v>22818</v>
      </c>
      <c r="U11158">
        <v>26436</v>
      </c>
      <c r="V11158" t="s">
        <v>22</v>
      </c>
    </row>
    <row r="11159" spans="1:22">
      <c r="A11159" t="str">
        <f t="shared" si="2086"/>
        <v>13/11/2025</v>
      </c>
      <c r="B11159" t="str">
        <f t="shared" si="2104"/>
        <v>SAÍDA</v>
      </c>
      <c r="C11159" t="str">
        <f t="shared" si="2105"/>
        <v>CONHECIMENTO</v>
      </c>
      <c r="D11159" t="str">
        <f t="shared" si="2106"/>
        <v>01092025</v>
      </c>
      <c r="E11159" t="str">
        <f>"9"</f>
        <v>9</v>
      </c>
      <c r="F11159" t="str">
        <f t="shared" si="2107"/>
        <v>COM</v>
      </c>
      <c r="G11159" t="str">
        <f t="shared" si="2108"/>
        <v>CORA SOCIEDADE DE CREDITO, FINANCIAMENTO E INVESTIMENTO (20035)</v>
      </c>
      <c r="H11159" t="str">
        <f>"TAXA BOLETO "</f>
        <v xml:space="preserve">TAXA BOLETO </v>
      </c>
      <c r="I11159" t="str">
        <f t="shared" si="2091"/>
        <v>13/11/2025</v>
      </c>
      <c r="J11159" t="str">
        <f t="shared" si="2109"/>
        <v>01/09/2025</v>
      </c>
      <c r="K11159" t="str">
        <f>("13/11/2025")</f>
        <v>13/11/2025</v>
      </c>
      <c r="L11159">
        <v>1.7</v>
      </c>
      <c r="M11159">
        <v>1.7</v>
      </c>
      <c r="N11159">
        <v>401</v>
      </c>
      <c r="O11159" t="str">
        <f>"IOF/JUROS/DESP.FINANCEIRA"</f>
        <v>IOF/JUROS/DESP.FINANCEIRA</v>
      </c>
      <c r="P11159">
        <v>1.7</v>
      </c>
      <c r="S11159" t="str">
        <f>"BANCO CORA (102)"</f>
        <v>BANCO CORA (102)</v>
      </c>
      <c r="T11159">
        <v>22819</v>
      </c>
      <c r="U11159">
        <v>26437</v>
      </c>
      <c r="V11159" t="s">
        <v>22</v>
      </c>
    </row>
    <row r="11160" spans="1:22">
      <c r="A11160" t="str">
        <f t="shared" si="2086"/>
        <v>13/11/2025</v>
      </c>
      <c r="B11160" t="str">
        <f t="shared" si="2104"/>
        <v>SAÍDA</v>
      </c>
      <c r="C11160" t="str">
        <f t="shared" si="2105"/>
        <v>CONHECIMENTO</v>
      </c>
      <c r="D11160" t="str">
        <f t="shared" si="2106"/>
        <v>01092025</v>
      </c>
      <c r="E11160" t="str">
        <f>"9"</f>
        <v>9</v>
      </c>
      <c r="F11160" t="str">
        <f t="shared" si="2107"/>
        <v>COM</v>
      </c>
      <c r="G11160" t="str">
        <f t="shared" si="2108"/>
        <v>CORA SOCIEDADE DE CREDITO, FINANCIAMENTO E INVESTIMENTO (20035)</v>
      </c>
      <c r="H11160" t="s">
        <v>75</v>
      </c>
      <c r="I11160" t="str">
        <f t="shared" si="2091"/>
        <v>13/11/2025</v>
      </c>
      <c r="J11160" t="str">
        <f t="shared" si="2109"/>
        <v>01/09/2025</v>
      </c>
      <c r="K11160">
        <v>45974</v>
      </c>
      <c r="N11160">
        <v>401</v>
      </c>
      <c r="O11160" t="s">
        <v>76</v>
      </c>
      <c r="Q11160">
        <v>1.7</v>
      </c>
      <c r="R11160" t="str">
        <f>"CORA SOCIEDADE DE CREDITO, FINANCIAMENTO E INVESTIMENTO (20035)"</f>
        <v>CORA SOCIEDADE DE CREDITO, FINANCIAMENTO E INVESTIMENTO (20035)</v>
      </c>
      <c r="S11160" t="s">
        <v>22</v>
      </c>
      <c r="T11160">
        <v>22819</v>
      </c>
      <c r="U11160">
        <v>26437</v>
      </c>
      <c r="V11160" t="s">
        <v>22</v>
      </c>
    </row>
    <row r="11161" spans="1:22">
      <c r="A11161" t="str">
        <f t="shared" si="2086"/>
        <v>13/11/2025</v>
      </c>
      <c r="B11161" t="str">
        <f t="shared" si="2104"/>
        <v>SAÍDA</v>
      </c>
      <c r="C11161" t="str">
        <f t="shared" si="2105"/>
        <v>CONHECIMENTO</v>
      </c>
      <c r="D11161" t="str">
        <f t="shared" si="2106"/>
        <v>01092025</v>
      </c>
      <c r="E11161" t="str">
        <f>"10"</f>
        <v>10</v>
      </c>
      <c r="F11161" t="str">
        <f t="shared" si="2107"/>
        <v>COM</v>
      </c>
      <c r="G11161" t="str">
        <f t="shared" si="2108"/>
        <v>CORA SOCIEDADE DE CREDITO, FINANCIAMENTO E INVESTIMENTO (20035)</v>
      </c>
      <c r="H11161" t="str">
        <f>"TAXA BOLETO "</f>
        <v xml:space="preserve">TAXA BOLETO </v>
      </c>
      <c r="I11161" t="str">
        <f t="shared" si="2091"/>
        <v>13/11/2025</v>
      </c>
      <c r="J11161" t="str">
        <f t="shared" si="2109"/>
        <v>01/09/2025</v>
      </c>
      <c r="K11161" t="str">
        <f>("13/11/2025")</f>
        <v>13/11/2025</v>
      </c>
      <c r="L11161">
        <v>1.7</v>
      </c>
      <c r="M11161">
        <v>1.7</v>
      </c>
      <c r="N11161">
        <v>401</v>
      </c>
      <c r="O11161" t="str">
        <f>"IOF/JUROS/DESP.FINANCEIRA"</f>
        <v>IOF/JUROS/DESP.FINANCEIRA</v>
      </c>
      <c r="P11161">
        <v>1.7</v>
      </c>
      <c r="S11161" t="str">
        <f>"BANCO CORA (102)"</f>
        <v>BANCO CORA (102)</v>
      </c>
      <c r="T11161">
        <v>22820</v>
      </c>
      <c r="U11161">
        <v>26438</v>
      </c>
      <c r="V11161" t="s">
        <v>22</v>
      </c>
    </row>
    <row r="11162" spans="1:22">
      <c r="A11162" t="str">
        <f t="shared" si="2086"/>
        <v>13/11/2025</v>
      </c>
      <c r="B11162" t="str">
        <f t="shared" si="2104"/>
        <v>SAÍDA</v>
      </c>
      <c r="C11162" t="str">
        <f t="shared" si="2105"/>
        <v>CONHECIMENTO</v>
      </c>
      <c r="D11162" t="str">
        <f t="shared" si="2106"/>
        <v>01092025</v>
      </c>
      <c r="E11162" t="str">
        <f>"10"</f>
        <v>10</v>
      </c>
      <c r="F11162" t="str">
        <f t="shared" si="2107"/>
        <v>COM</v>
      </c>
      <c r="G11162" t="str">
        <f t="shared" si="2108"/>
        <v>CORA SOCIEDADE DE CREDITO, FINANCIAMENTO E INVESTIMENTO (20035)</v>
      </c>
      <c r="H11162" t="s">
        <v>75</v>
      </c>
      <c r="I11162" t="str">
        <f t="shared" si="2091"/>
        <v>13/11/2025</v>
      </c>
      <c r="J11162" t="str">
        <f t="shared" si="2109"/>
        <v>01/09/2025</v>
      </c>
      <c r="K11162">
        <v>45974</v>
      </c>
      <c r="N11162">
        <v>401</v>
      </c>
      <c r="O11162" t="s">
        <v>76</v>
      </c>
      <c r="Q11162">
        <v>1.7</v>
      </c>
      <c r="R11162" t="str">
        <f>"CORA SOCIEDADE DE CREDITO, FINANCIAMENTO E INVESTIMENTO (20035)"</f>
        <v>CORA SOCIEDADE DE CREDITO, FINANCIAMENTO E INVESTIMENTO (20035)</v>
      </c>
      <c r="S11162" t="s">
        <v>22</v>
      </c>
      <c r="T11162">
        <v>22820</v>
      </c>
      <c r="U11162">
        <v>26438</v>
      </c>
      <c r="V11162" t="s">
        <v>22</v>
      </c>
    </row>
    <row r="11163" spans="1:22">
      <c r="A11163" t="str">
        <f t="shared" si="2086"/>
        <v>13/11/2025</v>
      </c>
      <c r="B11163" t="str">
        <f t="shared" si="2104"/>
        <v>SAÍDA</v>
      </c>
      <c r="C11163" t="str">
        <f t="shared" si="2105"/>
        <v>CONHECIMENTO</v>
      </c>
      <c r="D11163" t="str">
        <f t="shared" si="2106"/>
        <v>01092025</v>
      </c>
      <c r="E11163" t="str">
        <f>"11"</f>
        <v>11</v>
      </c>
      <c r="F11163" t="str">
        <f t="shared" si="2107"/>
        <v>COM</v>
      </c>
      <c r="G11163" t="str">
        <f t="shared" si="2108"/>
        <v>CORA SOCIEDADE DE CREDITO, FINANCIAMENTO E INVESTIMENTO (20035)</v>
      </c>
      <c r="H11163" t="str">
        <f>"TAXA BOLETO "</f>
        <v xml:space="preserve">TAXA BOLETO </v>
      </c>
      <c r="I11163" t="str">
        <f t="shared" si="2091"/>
        <v>13/11/2025</v>
      </c>
      <c r="J11163" t="str">
        <f t="shared" si="2109"/>
        <v>01/09/2025</v>
      </c>
      <c r="K11163" t="str">
        <f>("13/11/2025")</f>
        <v>13/11/2025</v>
      </c>
      <c r="L11163">
        <v>1.7</v>
      </c>
      <c r="M11163">
        <v>1.7</v>
      </c>
      <c r="N11163">
        <v>401</v>
      </c>
      <c r="O11163" t="str">
        <f>"IOF/JUROS/DESP.FINANCEIRA"</f>
        <v>IOF/JUROS/DESP.FINANCEIRA</v>
      </c>
      <c r="P11163">
        <v>1.7</v>
      </c>
      <c r="S11163" t="str">
        <f>"BANCO CORA (102)"</f>
        <v>BANCO CORA (102)</v>
      </c>
      <c r="T11163">
        <v>22821</v>
      </c>
      <c r="U11163">
        <v>26439</v>
      </c>
      <c r="V11163" t="s">
        <v>22</v>
      </c>
    </row>
    <row r="11164" spans="1:22">
      <c r="A11164" t="str">
        <f t="shared" si="2086"/>
        <v>13/11/2025</v>
      </c>
      <c r="B11164" t="str">
        <f t="shared" si="2104"/>
        <v>SAÍDA</v>
      </c>
      <c r="C11164" t="str">
        <f t="shared" si="2105"/>
        <v>CONHECIMENTO</v>
      </c>
      <c r="D11164" t="str">
        <f t="shared" si="2106"/>
        <v>01092025</v>
      </c>
      <c r="E11164" t="str">
        <f>"11"</f>
        <v>11</v>
      </c>
      <c r="F11164" t="str">
        <f t="shared" si="2107"/>
        <v>COM</v>
      </c>
      <c r="G11164" t="str">
        <f t="shared" si="2108"/>
        <v>CORA SOCIEDADE DE CREDITO, FINANCIAMENTO E INVESTIMENTO (20035)</v>
      </c>
      <c r="H11164" t="s">
        <v>75</v>
      </c>
      <c r="I11164" t="str">
        <f t="shared" si="2091"/>
        <v>13/11/2025</v>
      </c>
      <c r="J11164" t="str">
        <f t="shared" si="2109"/>
        <v>01/09/2025</v>
      </c>
      <c r="K11164">
        <v>45974</v>
      </c>
      <c r="N11164">
        <v>401</v>
      </c>
      <c r="O11164" t="s">
        <v>76</v>
      </c>
      <c r="Q11164">
        <v>1.7</v>
      </c>
      <c r="R11164" t="str">
        <f>"CORA SOCIEDADE DE CREDITO, FINANCIAMENTO E INVESTIMENTO (20035)"</f>
        <v>CORA SOCIEDADE DE CREDITO, FINANCIAMENTO E INVESTIMENTO (20035)</v>
      </c>
      <c r="S11164" t="s">
        <v>22</v>
      </c>
      <c r="T11164">
        <v>22821</v>
      </c>
      <c r="U11164">
        <v>26439</v>
      </c>
      <c r="V11164" t="s">
        <v>22</v>
      </c>
    </row>
    <row r="11165" spans="1:22">
      <c r="A11165" t="str">
        <f t="shared" si="2086"/>
        <v>13/11/2025</v>
      </c>
      <c r="B11165" t="str">
        <f t="shared" si="2104"/>
        <v>SAÍDA</v>
      </c>
      <c r="C11165" t="str">
        <f t="shared" si="2105"/>
        <v>CONHECIMENTO</v>
      </c>
      <c r="D11165" t="str">
        <f t="shared" si="2106"/>
        <v>01092025</v>
      </c>
      <c r="E11165" t="str">
        <f>"12"</f>
        <v>12</v>
      </c>
      <c r="F11165" t="str">
        <f t="shared" si="2107"/>
        <v>COM</v>
      </c>
      <c r="G11165" t="str">
        <f t="shared" si="2108"/>
        <v>CORA SOCIEDADE DE CREDITO, FINANCIAMENTO E INVESTIMENTO (20035)</v>
      </c>
      <c r="H11165" t="str">
        <f>"TAXA BOLETO "</f>
        <v xml:space="preserve">TAXA BOLETO </v>
      </c>
      <c r="I11165" t="str">
        <f t="shared" si="2091"/>
        <v>13/11/2025</v>
      </c>
      <c r="J11165" t="str">
        <f t="shared" si="2109"/>
        <v>01/09/2025</v>
      </c>
      <c r="K11165" t="str">
        <f>("13/11/2025")</f>
        <v>13/11/2025</v>
      </c>
      <c r="L11165">
        <v>1.7</v>
      </c>
      <c r="M11165">
        <v>1.7</v>
      </c>
      <c r="N11165">
        <v>401</v>
      </c>
      <c r="O11165" t="str">
        <f>"IOF/JUROS/DESP.FINANCEIRA"</f>
        <v>IOF/JUROS/DESP.FINANCEIRA</v>
      </c>
      <c r="P11165">
        <v>1.7</v>
      </c>
      <c r="S11165" t="str">
        <f>"BANCO CORA (102)"</f>
        <v>BANCO CORA (102)</v>
      </c>
      <c r="T11165">
        <v>22822</v>
      </c>
      <c r="U11165">
        <v>26440</v>
      </c>
      <c r="V11165" t="s">
        <v>22</v>
      </c>
    </row>
    <row r="11166" spans="1:22">
      <c r="A11166" t="str">
        <f t="shared" si="2086"/>
        <v>13/11/2025</v>
      </c>
      <c r="B11166" t="str">
        <f t="shared" si="2104"/>
        <v>SAÍDA</v>
      </c>
      <c r="C11166" t="str">
        <f t="shared" si="2105"/>
        <v>CONHECIMENTO</v>
      </c>
      <c r="D11166" t="str">
        <f t="shared" si="2106"/>
        <v>01092025</v>
      </c>
      <c r="E11166" t="str">
        <f>"12"</f>
        <v>12</v>
      </c>
      <c r="F11166" t="str">
        <f t="shared" si="2107"/>
        <v>COM</v>
      </c>
      <c r="G11166" t="str">
        <f t="shared" si="2108"/>
        <v>CORA SOCIEDADE DE CREDITO, FINANCIAMENTO E INVESTIMENTO (20035)</v>
      </c>
      <c r="H11166" t="s">
        <v>75</v>
      </c>
      <c r="I11166" t="str">
        <f t="shared" si="2091"/>
        <v>13/11/2025</v>
      </c>
      <c r="J11166" t="str">
        <f t="shared" si="2109"/>
        <v>01/09/2025</v>
      </c>
      <c r="K11166">
        <v>45974</v>
      </c>
      <c r="N11166">
        <v>401</v>
      </c>
      <c r="O11166" t="s">
        <v>76</v>
      </c>
      <c r="Q11166">
        <v>1.7</v>
      </c>
      <c r="R11166" t="str">
        <f>"CORA SOCIEDADE DE CREDITO, FINANCIAMENTO E INVESTIMENTO (20035)"</f>
        <v>CORA SOCIEDADE DE CREDITO, FINANCIAMENTO E INVESTIMENTO (20035)</v>
      </c>
      <c r="S11166" t="s">
        <v>22</v>
      </c>
      <c r="T11166">
        <v>22822</v>
      </c>
      <c r="U11166">
        <v>26440</v>
      </c>
      <c r="V11166" t="s">
        <v>22</v>
      </c>
    </row>
    <row r="11167" spans="1:22">
      <c r="A11167" t="str">
        <f t="shared" ref="A11167:A11204" si="2110">("13/11/2025")</f>
        <v>13/11/2025</v>
      </c>
      <c r="B11167" t="str">
        <f t="shared" si="2104"/>
        <v>SAÍDA</v>
      </c>
      <c r="C11167" t="str">
        <f t="shared" si="2105"/>
        <v>CONHECIMENTO</v>
      </c>
      <c r="D11167" t="str">
        <f t="shared" si="2106"/>
        <v>01092025</v>
      </c>
      <c r="E11167" t="str">
        <f>"13"</f>
        <v>13</v>
      </c>
      <c r="F11167" t="str">
        <f t="shared" si="2107"/>
        <v>COM</v>
      </c>
      <c r="G11167" t="str">
        <f t="shared" si="2108"/>
        <v>CORA SOCIEDADE DE CREDITO, FINANCIAMENTO E INVESTIMENTO (20035)</v>
      </c>
      <c r="H11167" t="str">
        <f>"TAXA BOLETO "</f>
        <v xml:space="preserve">TAXA BOLETO </v>
      </c>
      <c r="I11167" t="str">
        <f t="shared" si="2091"/>
        <v>13/11/2025</v>
      </c>
      <c r="J11167" t="str">
        <f t="shared" si="2109"/>
        <v>01/09/2025</v>
      </c>
      <c r="K11167" t="str">
        <f>("13/11/2025")</f>
        <v>13/11/2025</v>
      </c>
      <c r="L11167">
        <v>1.7</v>
      </c>
      <c r="M11167">
        <v>1.7</v>
      </c>
      <c r="N11167">
        <v>401</v>
      </c>
      <c r="O11167" t="str">
        <f>"IOF/JUROS/DESP.FINANCEIRA"</f>
        <v>IOF/JUROS/DESP.FINANCEIRA</v>
      </c>
      <c r="P11167">
        <v>1.7</v>
      </c>
      <c r="S11167" t="str">
        <f>"BANCO CORA (102)"</f>
        <v>BANCO CORA (102)</v>
      </c>
      <c r="T11167">
        <v>22823</v>
      </c>
      <c r="U11167">
        <v>26441</v>
      </c>
      <c r="V11167" t="s">
        <v>22</v>
      </c>
    </row>
    <row r="11168" spans="1:22">
      <c r="A11168" t="str">
        <f t="shared" si="2110"/>
        <v>13/11/2025</v>
      </c>
      <c r="B11168" t="str">
        <f t="shared" si="2104"/>
        <v>SAÍDA</v>
      </c>
      <c r="C11168" t="str">
        <f t="shared" si="2105"/>
        <v>CONHECIMENTO</v>
      </c>
      <c r="D11168" t="str">
        <f t="shared" si="2106"/>
        <v>01092025</v>
      </c>
      <c r="E11168" t="str">
        <f>"13"</f>
        <v>13</v>
      </c>
      <c r="F11168" t="str">
        <f t="shared" si="2107"/>
        <v>COM</v>
      </c>
      <c r="G11168" t="str">
        <f t="shared" si="2108"/>
        <v>CORA SOCIEDADE DE CREDITO, FINANCIAMENTO E INVESTIMENTO (20035)</v>
      </c>
      <c r="H11168" t="s">
        <v>75</v>
      </c>
      <c r="I11168" t="str">
        <f t="shared" si="2091"/>
        <v>13/11/2025</v>
      </c>
      <c r="J11168" t="str">
        <f t="shared" si="2109"/>
        <v>01/09/2025</v>
      </c>
      <c r="K11168">
        <v>45974</v>
      </c>
      <c r="N11168">
        <v>401</v>
      </c>
      <c r="O11168" t="s">
        <v>76</v>
      </c>
      <c r="Q11168">
        <v>1.7</v>
      </c>
      <c r="R11168" t="str">
        <f>"CORA SOCIEDADE DE CREDITO, FINANCIAMENTO E INVESTIMENTO (20035)"</f>
        <v>CORA SOCIEDADE DE CREDITO, FINANCIAMENTO E INVESTIMENTO (20035)</v>
      </c>
      <c r="S11168" t="s">
        <v>22</v>
      </c>
      <c r="T11168">
        <v>22823</v>
      </c>
      <c r="U11168">
        <v>26441</v>
      </c>
      <c r="V11168" t="s">
        <v>22</v>
      </c>
    </row>
    <row r="11169" spans="1:22">
      <c r="A11169" t="str">
        <f t="shared" si="2110"/>
        <v>13/11/2025</v>
      </c>
      <c r="B11169" t="str">
        <f t="shared" si="2104"/>
        <v>SAÍDA</v>
      </c>
      <c r="C11169" t="str">
        <f t="shared" si="2105"/>
        <v>CONHECIMENTO</v>
      </c>
      <c r="D11169" t="str">
        <f t="shared" si="2106"/>
        <v>01092025</v>
      </c>
      <c r="E11169" t="str">
        <f>"14"</f>
        <v>14</v>
      </c>
      <c r="F11169" t="str">
        <f t="shared" si="2107"/>
        <v>COM</v>
      </c>
      <c r="G11169" t="str">
        <f t="shared" si="2108"/>
        <v>CORA SOCIEDADE DE CREDITO, FINANCIAMENTO E INVESTIMENTO (20035)</v>
      </c>
      <c r="H11169" t="str">
        <f>"TAXA BOLETO "</f>
        <v xml:space="preserve">TAXA BOLETO </v>
      </c>
      <c r="I11169" t="str">
        <f t="shared" si="2091"/>
        <v>13/11/2025</v>
      </c>
      <c r="J11169" t="str">
        <f t="shared" si="2109"/>
        <v>01/09/2025</v>
      </c>
      <c r="K11169" t="str">
        <f>("13/11/2025")</f>
        <v>13/11/2025</v>
      </c>
      <c r="L11169">
        <v>1.7</v>
      </c>
      <c r="M11169">
        <v>1.7</v>
      </c>
      <c r="N11169">
        <v>401</v>
      </c>
      <c r="O11169" t="str">
        <f>"IOF/JUROS/DESP.FINANCEIRA"</f>
        <v>IOF/JUROS/DESP.FINANCEIRA</v>
      </c>
      <c r="P11169">
        <v>1.7</v>
      </c>
      <c r="S11169" t="str">
        <f>"BANCO CORA (102)"</f>
        <v>BANCO CORA (102)</v>
      </c>
      <c r="T11169">
        <v>22824</v>
      </c>
      <c r="U11169">
        <v>26442</v>
      </c>
      <c r="V11169" t="s">
        <v>22</v>
      </c>
    </row>
    <row r="11170" spans="1:22">
      <c r="A11170" t="str">
        <f t="shared" si="2110"/>
        <v>13/11/2025</v>
      </c>
      <c r="B11170" t="str">
        <f t="shared" si="2104"/>
        <v>SAÍDA</v>
      </c>
      <c r="C11170" t="str">
        <f t="shared" si="2105"/>
        <v>CONHECIMENTO</v>
      </c>
      <c r="D11170" t="str">
        <f t="shared" si="2106"/>
        <v>01092025</v>
      </c>
      <c r="E11170" t="str">
        <f>"14"</f>
        <v>14</v>
      </c>
      <c r="F11170" t="str">
        <f t="shared" si="2107"/>
        <v>COM</v>
      </c>
      <c r="G11170" t="str">
        <f t="shared" si="2108"/>
        <v>CORA SOCIEDADE DE CREDITO, FINANCIAMENTO E INVESTIMENTO (20035)</v>
      </c>
      <c r="H11170" t="s">
        <v>75</v>
      </c>
      <c r="I11170" t="str">
        <f t="shared" si="2091"/>
        <v>13/11/2025</v>
      </c>
      <c r="J11170" t="str">
        <f t="shared" si="2109"/>
        <v>01/09/2025</v>
      </c>
      <c r="K11170">
        <v>45974</v>
      </c>
      <c r="N11170">
        <v>401</v>
      </c>
      <c r="O11170" t="s">
        <v>76</v>
      </c>
      <c r="Q11170">
        <v>1.7</v>
      </c>
      <c r="R11170" t="str">
        <f>"CORA SOCIEDADE DE CREDITO, FINANCIAMENTO E INVESTIMENTO (20035)"</f>
        <v>CORA SOCIEDADE DE CREDITO, FINANCIAMENTO E INVESTIMENTO (20035)</v>
      </c>
      <c r="S11170" t="s">
        <v>22</v>
      </c>
      <c r="T11170">
        <v>22824</v>
      </c>
      <c r="U11170">
        <v>26442</v>
      </c>
      <c r="V11170" t="s">
        <v>22</v>
      </c>
    </row>
    <row r="11171" spans="1:22">
      <c r="A11171" t="str">
        <f t="shared" si="2110"/>
        <v>13/11/2025</v>
      </c>
      <c r="B11171" t="str">
        <f t="shared" si="2104"/>
        <v>SAÍDA</v>
      </c>
      <c r="C11171" t="str">
        <f t="shared" si="2105"/>
        <v>CONHECIMENTO</v>
      </c>
      <c r="D11171" t="str">
        <f t="shared" si="2106"/>
        <v>01092025</v>
      </c>
      <c r="E11171" t="str">
        <f>"15"</f>
        <v>15</v>
      </c>
      <c r="F11171" t="str">
        <f t="shared" si="2107"/>
        <v>COM</v>
      </c>
      <c r="G11171" t="str">
        <f t="shared" si="2108"/>
        <v>CORA SOCIEDADE DE CREDITO, FINANCIAMENTO E INVESTIMENTO (20035)</v>
      </c>
      <c r="H11171" t="str">
        <f>"TAXA BOLETO "</f>
        <v xml:space="preserve">TAXA BOLETO </v>
      </c>
      <c r="I11171" t="str">
        <f t="shared" si="2091"/>
        <v>13/11/2025</v>
      </c>
      <c r="J11171" t="str">
        <f t="shared" si="2109"/>
        <v>01/09/2025</v>
      </c>
      <c r="K11171" t="str">
        <f>("13/11/2025")</f>
        <v>13/11/2025</v>
      </c>
      <c r="L11171">
        <v>1.7</v>
      </c>
      <c r="M11171">
        <v>1.7</v>
      </c>
      <c r="N11171">
        <v>401</v>
      </c>
      <c r="O11171" t="str">
        <f>"IOF/JUROS/DESP.FINANCEIRA"</f>
        <v>IOF/JUROS/DESP.FINANCEIRA</v>
      </c>
      <c r="P11171">
        <v>1.7</v>
      </c>
      <c r="S11171" t="str">
        <f>"BANCO CORA (102)"</f>
        <v>BANCO CORA (102)</v>
      </c>
      <c r="T11171">
        <v>22825</v>
      </c>
      <c r="U11171">
        <v>26443</v>
      </c>
      <c r="V11171" t="s">
        <v>22</v>
      </c>
    </row>
    <row r="11172" spans="1:22">
      <c r="A11172" t="str">
        <f t="shared" si="2110"/>
        <v>13/11/2025</v>
      </c>
      <c r="B11172" t="str">
        <f t="shared" si="2104"/>
        <v>SAÍDA</v>
      </c>
      <c r="C11172" t="str">
        <f t="shared" si="2105"/>
        <v>CONHECIMENTO</v>
      </c>
      <c r="D11172" t="str">
        <f t="shared" si="2106"/>
        <v>01092025</v>
      </c>
      <c r="E11172" t="str">
        <f>"15"</f>
        <v>15</v>
      </c>
      <c r="F11172" t="str">
        <f t="shared" si="2107"/>
        <v>COM</v>
      </c>
      <c r="G11172" t="str">
        <f t="shared" si="2108"/>
        <v>CORA SOCIEDADE DE CREDITO, FINANCIAMENTO E INVESTIMENTO (20035)</v>
      </c>
      <c r="H11172" t="s">
        <v>75</v>
      </c>
      <c r="I11172" t="str">
        <f t="shared" ref="I11172:I11202" si="2111">("13/11/2025")</f>
        <v>13/11/2025</v>
      </c>
      <c r="J11172" t="str">
        <f t="shared" si="2109"/>
        <v>01/09/2025</v>
      </c>
      <c r="K11172">
        <v>45974</v>
      </c>
      <c r="N11172">
        <v>401</v>
      </c>
      <c r="O11172" t="s">
        <v>76</v>
      </c>
      <c r="Q11172">
        <v>1.7</v>
      </c>
      <c r="R11172" t="str">
        <f>"CORA SOCIEDADE DE CREDITO, FINANCIAMENTO E INVESTIMENTO (20035)"</f>
        <v>CORA SOCIEDADE DE CREDITO, FINANCIAMENTO E INVESTIMENTO (20035)</v>
      </c>
      <c r="S11172" t="s">
        <v>22</v>
      </c>
      <c r="T11172">
        <v>22825</v>
      </c>
      <c r="U11172">
        <v>26443</v>
      </c>
      <c r="V11172" t="s">
        <v>22</v>
      </c>
    </row>
    <row r="11173" spans="1:22">
      <c r="A11173" t="str">
        <f t="shared" si="2110"/>
        <v>13/11/2025</v>
      </c>
      <c r="B11173" t="str">
        <f t="shared" si="2104"/>
        <v>SAÍDA</v>
      </c>
      <c r="C11173" t="str">
        <f t="shared" si="2105"/>
        <v>CONHECIMENTO</v>
      </c>
      <c r="D11173" t="str">
        <f t="shared" si="2106"/>
        <v>01092025</v>
      </c>
      <c r="E11173" t="str">
        <f>"16"</f>
        <v>16</v>
      </c>
      <c r="F11173" t="str">
        <f t="shared" si="2107"/>
        <v>COM</v>
      </c>
      <c r="G11173" t="str">
        <f t="shared" si="2108"/>
        <v>CORA SOCIEDADE DE CREDITO, FINANCIAMENTO E INVESTIMENTO (20035)</v>
      </c>
      <c r="H11173" t="str">
        <f>"TAXA BOLETO "</f>
        <v xml:space="preserve">TAXA BOLETO </v>
      </c>
      <c r="I11173" t="str">
        <f t="shared" si="2111"/>
        <v>13/11/2025</v>
      </c>
      <c r="J11173" t="str">
        <f t="shared" si="2109"/>
        <v>01/09/2025</v>
      </c>
      <c r="K11173" t="str">
        <f>("13/11/2025")</f>
        <v>13/11/2025</v>
      </c>
      <c r="L11173">
        <v>1.7</v>
      </c>
      <c r="M11173">
        <v>1.7</v>
      </c>
      <c r="N11173">
        <v>401</v>
      </c>
      <c r="O11173" t="str">
        <f>"IOF/JUROS/DESP.FINANCEIRA"</f>
        <v>IOF/JUROS/DESP.FINANCEIRA</v>
      </c>
      <c r="P11173">
        <v>1.7</v>
      </c>
      <c r="S11173" t="str">
        <f>"BANCO CORA (102)"</f>
        <v>BANCO CORA (102)</v>
      </c>
      <c r="T11173">
        <v>22826</v>
      </c>
      <c r="U11173">
        <v>26444</v>
      </c>
      <c r="V11173" t="s">
        <v>22</v>
      </c>
    </row>
    <row r="11174" spans="1:22">
      <c r="A11174" t="str">
        <f t="shared" si="2110"/>
        <v>13/11/2025</v>
      </c>
      <c r="B11174" t="str">
        <f t="shared" si="2104"/>
        <v>SAÍDA</v>
      </c>
      <c r="C11174" t="str">
        <f t="shared" si="2105"/>
        <v>CONHECIMENTO</v>
      </c>
      <c r="D11174" t="str">
        <f t="shared" si="2106"/>
        <v>01092025</v>
      </c>
      <c r="E11174" t="str">
        <f>"16"</f>
        <v>16</v>
      </c>
      <c r="F11174" t="str">
        <f t="shared" si="2107"/>
        <v>COM</v>
      </c>
      <c r="G11174" t="str">
        <f t="shared" si="2108"/>
        <v>CORA SOCIEDADE DE CREDITO, FINANCIAMENTO E INVESTIMENTO (20035)</v>
      </c>
      <c r="H11174" t="s">
        <v>75</v>
      </c>
      <c r="I11174" t="str">
        <f t="shared" si="2111"/>
        <v>13/11/2025</v>
      </c>
      <c r="J11174" t="str">
        <f t="shared" si="2109"/>
        <v>01/09/2025</v>
      </c>
      <c r="K11174">
        <v>45974</v>
      </c>
      <c r="N11174">
        <v>401</v>
      </c>
      <c r="O11174" t="s">
        <v>76</v>
      </c>
      <c r="Q11174">
        <v>1.7</v>
      </c>
      <c r="R11174" t="str">
        <f>"CORA SOCIEDADE DE CREDITO, FINANCIAMENTO E INVESTIMENTO (20035)"</f>
        <v>CORA SOCIEDADE DE CREDITO, FINANCIAMENTO E INVESTIMENTO (20035)</v>
      </c>
      <c r="S11174" t="s">
        <v>22</v>
      </c>
      <c r="T11174">
        <v>22826</v>
      </c>
      <c r="U11174">
        <v>26444</v>
      </c>
      <c r="V11174" t="s">
        <v>22</v>
      </c>
    </row>
    <row r="11175" spans="1:22">
      <c r="A11175" t="str">
        <f t="shared" si="2110"/>
        <v>13/11/2025</v>
      </c>
      <c r="B11175" t="str">
        <f t="shared" si="2104"/>
        <v>SAÍDA</v>
      </c>
      <c r="C11175" t="str">
        <f t="shared" si="2105"/>
        <v>CONHECIMENTO</v>
      </c>
      <c r="D11175" t="str">
        <f t="shared" si="2106"/>
        <v>01092025</v>
      </c>
      <c r="E11175" t="str">
        <f>"17"</f>
        <v>17</v>
      </c>
      <c r="F11175" t="str">
        <f t="shared" si="2107"/>
        <v>COM</v>
      </c>
      <c r="G11175" t="str">
        <f t="shared" si="2108"/>
        <v>CORA SOCIEDADE DE CREDITO, FINANCIAMENTO E INVESTIMENTO (20035)</v>
      </c>
      <c r="H11175" t="str">
        <f>"TAXA BOLETO "</f>
        <v xml:space="preserve">TAXA BOLETO </v>
      </c>
      <c r="I11175" t="str">
        <f t="shared" si="2111"/>
        <v>13/11/2025</v>
      </c>
      <c r="J11175" t="str">
        <f t="shared" si="2109"/>
        <v>01/09/2025</v>
      </c>
      <c r="K11175" t="str">
        <f>("13/11/2025")</f>
        <v>13/11/2025</v>
      </c>
      <c r="L11175">
        <v>1.7</v>
      </c>
      <c r="M11175">
        <v>1.7</v>
      </c>
      <c r="N11175">
        <v>401</v>
      </c>
      <c r="O11175" t="str">
        <f>"IOF/JUROS/DESP.FINANCEIRA"</f>
        <v>IOF/JUROS/DESP.FINANCEIRA</v>
      </c>
      <c r="P11175">
        <v>1.7</v>
      </c>
      <c r="S11175" t="str">
        <f>"BANCO CORA (102)"</f>
        <v>BANCO CORA (102)</v>
      </c>
      <c r="T11175">
        <v>22827</v>
      </c>
      <c r="U11175">
        <v>26445</v>
      </c>
      <c r="V11175" t="s">
        <v>22</v>
      </c>
    </row>
    <row r="11176" spans="1:22">
      <c r="A11176" t="str">
        <f t="shared" si="2110"/>
        <v>13/11/2025</v>
      </c>
      <c r="B11176" t="str">
        <f t="shared" si="2104"/>
        <v>SAÍDA</v>
      </c>
      <c r="C11176" t="str">
        <f t="shared" si="2105"/>
        <v>CONHECIMENTO</v>
      </c>
      <c r="D11176" t="str">
        <f t="shared" si="2106"/>
        <v>01092025</v>
      </c>
      <c r="E11176" t="str">
        <f>"17"</f>
        <v>17</v>
      </c>
      <c r="F11176" t="str">
        <f t="shared" si="2107"/>
        <v>COM</v>
      </c>
      <c r="G11176" t="str">
        <f t="shared" si="2108"/>
        <v>CORA SOCIEDADE DE CREDITO, FINANCIAMENTO E INVESTIMENTO (20035)</v>
      </c>
      <c r="H11176" t="s">
        <v>75</v>
      </c>
      <c r="I11176" t="str">
        <f t="shared" si="2111"/>
        <v>13/11/2025</v>
      </c>
      <c r="J11176" t="str">
        <f t="shared" si="2109"/>
        <v>01/09/2025</v>
      </c>
      <c r="K11176">
        <v>45974</v>
      </c>
      <c r="N11176">
        <v>401</v>
      </c>
      <c r="O11176" t="s">
        <v>76</v>
      </c>
      <c r="Q11176">
        <v>1.7</v>
      </c>
      <c r="R11176" t="str">
        <f>"CORA SOCIEDADE DE CREDITO, FINANCIAMENTO E INVESTIMENTO (20035)"</f>
        <v>CORA SOCIEDADE DE CREDITO, FINANCIAMENTO E INVESTIMENTO (20035)</v>
      </c>
      <c r="S11176" t="s">
        <v>22</v>
      </c>
      <c r="T11176">
        <v>22827</v>
      </c>
      <c r="U11176">
        <v>26445</v>
      </c>
      <c r="V11176" t="s">
        <v>22</v>
      </c>
    </row>
    <row r="11177" spans="1:22">
      <c r="A11177" t="str">
        <f t="shared" si="2110"/>
        <v>13/11/2025</v>
      </c>
      <c r="B11177" t="str">
        <f t="shared" ref="B11177:B11202" si="2112">"SAÍDA"</f>
        <v>SAÍDA</v>
      </c>
      <c r="C11177" t="str">
        <f t="shared" ref="C11177:C11202" si="2113">"CONHECIMENTO"</f>
        <v>CONHECIMENTO</v>
      </c>
      <c r="D11177" t="str">
        <f t="shared" ref="D11177:D11202" si="2114">"01092025"</f>
        <v>01092025</v>
      </c>
      <c r="E11177" t="str">
        <f>"18"</f>
        <v>18</v>
      </c>
      <c r="F11177" t="str">
        <f t="shared" si="2107"/>
        <v>COM</v>
      </c>
      <c r="G11177" t="str">
        <f t="shared" ref="G11177:G11202" si="2115">"CORA SOCIEDADE DE CREDITO, FINANCIAMENTO E INVESTIMENTO (20035)"</f>
        <v>CORA SOCIEDADE DE CREDITO, FINANCIAMENTO E INVESTIMENTO (20035)</v>
      </c>
      <c r="H11177" t="str">
        <f>"TAXA BOLETO "</f>
        <v xml:space="preserve">TAXA BOLETO </v>
      </c>
      <c r="I11177" t="str">
        <f t="shared" si="2111"/>
        <v>13/11/2025</v>
      </c>
      <c r="J11177" t="str">
        <f t="shared" ref="J11177:J11202" si="2116">("01/09/2025")</f>
        <v>01/09/2025</v>
      </c>
      <c r="K11177" t="str">
        <f>("13/11/2025")</f>
        <v>13/11/2025</v>
      </c>
      <c r="L11177">
        <v>1.7</v>
      </c>
      <c r="M11177">
        <v>1.7</v>
      </c>
      <c r="N11177">
        <v>401</v>
      </c>
      <c r="O11177" t="str">
        <f>"IOF/JUROS/DESP.FINANCEIRA"</f>
        <v>IOF/JUROS/DESP.FINANCEIRA</v>
      </c>
      <c r="P11177">
        <v>1.7</v>
      </c>
      <c r="S11177" t="str">
        <f>"BANCO CORA (102)"</f>
        <v>BANCO CORA (102)</v>
      </c>
      <c r="T11177">
        <v>22828</v>
      </c>
      <c r="U11177">
        <v>26446</v>
      </c>
      <c r="V11177" t="s">
        <v>22</v>
      </c>
    </row>
    <row r="11178" spans="1:22">
      <c r="A11178" t="str">
        <f t="shared" si="2110"/>
        <v>13/11/2025</v>
      </c>
      <c r="B11178" t="str">
        <f t="shared" si="2112"/>
        <v>SAÍDA</v>
      </c>
      <c r="C11178" t="str">
        <f t="shared" si="2113"/>
        <v>CONHECIMENTO</v>
      </c>
      <c r="D11178" t="str">
        <f t="shared" si="2114"/>
        <v>01092025</v>
      </c>
      <c r="E11178" t="str">
        <f>"18"</f>
        <v>18</v>
      </c>
      <c r="F11178" t="str">
        <f t="shared" si="2107"/>
        <v>COM</v>
      </c>
      <c r="G11178" t="str">
        <f t="shared" si="2115"/>
        <v>CORA SOCIEDADE DE CREDITO, FINANCIAMENTO E INVESTIMENTO (20035)</v>
      </c>
      <c r="H11178" t="s">
        <v>75</v>
      </c>
      <c r="I11178" t="str">
        <f t="shared" si="2111"/>
        <v>13/11/2025</v>
      </c>
      <c r="J11178" t="str">
        <f t="shared" si="2116"/>
        <v>01/09/2025</v>
      </c>
      <c r="K11178">
        <v>45974</v>
      </c>
      <c r="N11178">
        <v>401</v>
      </c>
      <c r="O11178" t="s">
        <v>76</v>
      </c>
      <c r="Q11178">
        <v>1.7</v>
      </c>
      <c r="R11178" t="str">
        <f>"CORA SOCIEDADE DE CREDITO, FINANCIAMENTO E INVESTIMENTO (20035)"</f>
        <v>CORA SOCIEDADE DE CREDITO, FINANCIAMENTO E INVESTIMENTO (20035)</v>
      </c>
      <c r="S11178" t="s">
        <v>22</v>
      </c>
      <c r="T11178">
        <v>22828</v>
      </c>
      <c r="U11178">
        <v>26446</v>
      </c>
      <c r="V11178" t="s">
        <v>22</v>
      </c>
    </row>
    <row r="11179" spans="1:22">
      <c r="A11179" t="str">
        <f t="shared" si="2110"/>
        <v>13/11/2025</v>
      </c>
      <c r="B11179" t="str">
        <f t="shared" si="2112"/>
        <v>SAÍDA</v>
      </c>
      <c r="C11179" t="str">
        <f t="shared" si="2113"/>
        <v>CONHECIMENTO</v>
      </c>
      <c r="D11179" t="str">
        <f t="shared" si="2114"/>
        <v>01092025</v>
      </c>
      <c r="E11179" t="str">
        <f>"19"</f>
        <v>19</v>
      </c>
      <c r="F11179" t="str">
        <f t="shared" si="2107"/>
        <v>COM</v>
      </c>
      <c r="G11179" t="str">
        <f t="shared" si="2115"/>
        <v>CORA SOCIEDADE DE CREDITO, FINANCIAMENTO E INVESTIMENTO (20035)</v>
      </c>
      <c r="H11179" t="str">
        <f>"TAXA BOLETO "</f>
        <v xml:space="preserve">TAXA BOLETO </v>
      </c>
      <c r="I11179" t="str">
        <f t="shared" si="2111"/>
        <v>13/11/2025</v>
      </c>
      <c r="J11179" t="str">
        <f t="shared" si="2116"/>
        <v>01/09/2025</v>
      </c>
      <c r="K11179" t="str">
        <f>("13/11/2025")</f>
        <v>13/11/2025</v>
      </c>
      <c r="L11179">
        <v>1.7</v>
      </c>
      <c r="M11179">
        <v>1.7</v>
      </c>
      <c r="N11179">
        <v>401</v>
      </c>
      <c r="O11179" t="str">
        <f>"IOF/JUROS/DESP.FINANCEIRA"</f>
        <v>IOF/JUROS/DESP.FINANCEIRA</v>
      </c>
      <c r="P11179">
        <v>1.7</v>
      </c>
      <c r="S11179" t="str">
        <f>"BANCO CORA (102)"</f>
        <v>BANCO CORA (102)</v>
      </c>
      <c r="T11179">
        <v>22829</v>
      </c>
      <c r="U11179">
        <v>26447</v>
      </c>
      <c r="V11179" t="s">
        <v>22</v>
      </c>
    </row>
    <row r="11180" spans="1:22">
      <c r="A11180" t="str">
        <f t="shared" si="2110"/>
        <v>13/11/2025</v>
      </c>
      <c r="B11180" t="str">
        <f t="shared" si="2112"/>
        <v>SAÍDA</v>
      </c>
      <c r="C11180" t="str">
        <f t="shared" si="2113"/>
        <v>CONHECIMENTO</v>
      </c>
      <c r="D11180" t="str">
        <f t="shared" si="2114"/>
        <v>01092025</v>
      </c>
      <c r="E11180" t="str">
        <f>"19"</f>
        <v>19</v>
      </c>
      <c r="F11180" t="str">
        <f t="shared" si="2107"/>
        <v>COM</v>
      </c>
      <c r="G11180" t="str">
        <f t="shared" si="2115"/>
        <v>CORA SOCIEDADE DE CREDITO, FINANCIAMENTO E INVESTIMENTO (20035)</v>
      </c>
      <c r="H11180" t="s">
        <v>75</v>
      </c>
      <c r="I11180" t="str">
        <f t="shared" si="2111"/>
        <v>13/11/2025</v>
      </c>
      <c r="J11180" t="str">
        <f t="shared" si="2116"/>
        <v>01/09/2025</v>
      </c>
      <c r="K11180">
        <v>45974</v>
      </c>
      <c r="N11180">
        <v>401</v>
      </c>
      <c r="O11180" t="s">
        <v>76</v>
      </c>
      <c r="Q11180">
        <v>1.7</v>
      </c>
      <c r="R11180" t="str">
        <f>"CORA SOCIEDADE DE CREDITO, FINANCIAMENTO E INVESTIMENTO (20035)"</f>
        <v>CORA SOCIEDADE DE CREDITO, FINANCIAMENTO E INVESTIMENTO (20035)</v>
      </c>
      <c r="S11180" t="s">
        <v>22</v>
      </c>
      <c r="T11180">
        <v>22829</v>
      </c>
      <c r="U11180">
        <v>26447</v>
      </c>
      <c r="V11180" t="s">
        <v>22</v>
      </c>
    </row>
    <row r="11181" spans="1:22">
      <c r="A11181" t="str">
        <f t="shared" si="2110"/>
        <v>13/11/2025</v>
      </c>
      <c r="B11181" t="str">
        <f t="shared" si="2112"/>
        <v>SAÍDA</v>
      </c>
      <c r="C11181" t="str">
        <f t="shared" si="2113"/>
        <v>CONHECIMENTO</v>
      </c>
      <c r="D11181" t="str">
        <f t="shared" si="2114"/>
        <v>01092025</v>
      </c>
      <c r="E11181" t="str">
        <f>"20"</f>
        <v>20</v>
      </c>
      <c r="F11181" t="str">
        <f t="shared" si="2107"/>
        <v>COM</v>
      </c>
      <c r="G11181" t="str">
        <f t="shared" si="2115"/>
        <v>CORA SOCIEDADE DE CREDITO, FINANCIAMENTO E INVESTIMENTO (20035)</v>
      </c>
      <c r="H11181" t="str">
        <f>"TAXA BOLETO "</f>
        <v xml:space="preserve">TAXA BOLETO </v>
      </c>
      <c r="I11181" t="str">
        <f t="shared" si="2111"/>
        <v>13/11/2025</v>
      </c>
      <c r="J11181" t="str">
        <f t="shared" si="2116"/>
        <v>01/09/2025</v>
      </c>
      <c r="K11181" t="str">
        <f>("13/11/2025")</f>
        <v>13/11/2025</v>
      </c>
      <c r="L11181">
        <v>1.7</v>
      </c>
      <c r="M11181">
        <v>1.7</v>
      </c>
      <c r="N11181">
        <v>401</v>
      </c>
      <c r="O11181" t="str">
        <f>"IOF/JUROS/DESP.FINANCEIRA"</f>
        <v>IOF/JUROS/DESP.FINANCEIRA</v>
      </c>
      <c r="P11181">
        <v>1.7</v>
      </c>
      <c r="S11181" t="str">
        <f>"BANCO CORA (102)"</f>
        <v>BANCO CORA (102)</v>
      </c>
      <c r="T11181">
        <v>22830</v>
      </c>
      <c r="U11181">
        <v>26448</v>
      </c>
      <c r="V11181" t="s">
        <v>22</v>
      </c>
    </row>
    <row r="11182" spans="1:22">
      <c r="A11182" t="str">
        <f t="shared" si="2110"/>
        <v>13/11/2025</v>
      </c>
      <c r="B11182" t="str">
        <f t="shared" si="2112"/>
        <v>SAÍDA</v>
      </c>
      <c r="C11182" t="str">
        <f t="shared" si="2113"/>
        <v>CONHECIMENTO</v>
      </c>
      <c r="D11182" t="str">
        <f t="shared" si="2114"/>
        <v>01092025</v>
      </c>
      <c r="E11182" t="str">
        <f>"20"</f>
        <v>20</v>
      </c>
      <c r="F11182" t="str">
        <f t="shared" si="2107"/>
        <v>COM</v>
      </c>
      <c r="G11182" t="str">
        <f t="shared" si="2115"/>
        <v>CORA SOCIEDADE DE CREDITO, FINANCIAMENTO E INVESTIMENTO (20035)</v>
      </c>
      <c r="H11182" t="s">
        <v>75</v>
      </c>
      <c r="I11182" t="str">
        <f t="shared" si="2111"/>
        <v>13/11/2025</v>
      </c>
      <c r="J11182" t="str">
        <f t="shared" si="2116"/>
        <v>01/09/2025</v>
      </c>
      <c r="K11182">
        <v>45974</v>
      </c>
      <c r="N11182">
        <v>401</v>
      </c>
      <c r="O11182" t="s">
        <v>76</v>
      </c>
      <c r="Q11182">
        <v>1.7</v>
      </c>
      <c r="R11182" t="str">
        <f>"CORA SOCIEDADE DE CREDITO, FINANCIAMENTO E INVESTIMENTO (20035)"</f>
        <v>CORA SOCIEDADE DE CREDITO, FINANCIAMENTO E INVESTIMENTO (20035)</v>
      </c>
      <c r="S11182" t="s">
        <v>22</v>
      </c>
      <c r="T11182">
        <v>22830</v>
      </c>
      <c r="U11182">
        <v>26448</v>
      </c>
      <c r="V11182" t="s">
        <v>22</v>
      </c>
    </row>
    <row r="11183" spans="1:22">
      <c r="A11183" t="str">
        <f t="shared" si="2110"/>
        <v>13/11/2025</v>
      </c>
      <c r="B11183" t="str">
        <f t="shared" si="2112"/>
        <v>SAÍDA</v>
      </c>
      <c r="C11183" t="str">
        <f t="shared" si="2113"/>
        <v>CONHECIMENTO</v>
      </c>
      <c r="D11183" t="str">
        <f t="shared" si="2114"/>
        <v>01092025</v>
      </c>
      <c r="E11183" t="str">
        <f>"21"</f>
        <v>21</v>
      </c>
      <c r="F11183" t="str">
        <f t="shared" si="2107"/>
        <v>COM</v>
      </c>
      <c r="G11183" t="str">
        <f t="shared" si="2115"/>
        <v>CORA SOCIEDADE DE CREDITO, FINANCIAMENTO E INVESTIMENTO (20035)</v>
      </c>
      <c r="H11183" t="str">
        <f>"TAXA BOLETO "</f>
        <v xml:space="preserve">TAXA BOLETO </v>
      </c>
      <c r="I11183" t="str">
        <f t="shared" si="2111"/>
        <v>13/11/2025</v>
      </c>
      <c r="J11183" t="str">
        <f t="shared" si="2116"/>
        <v>01/09/2025</v>
      </c>
      <c r="K11183" t="str">
        <f>("13/11/2025")</f>
        <v>13/11/2025</v>
      </c>
      <c r="L11183">
        <v>1.7</v>
      </c>
      <c r="M11183">
        <v>1.7</v>
      </c>
      <c r="N11183">
        <v>401</v>
      </c>
      <c r="O11183" t="str">
        <f>"IOF/JUROS/DESP.FINANCEIRA"</f>
        <v>IOF/JUROS/DESP.FINANCEIRA</v>
      </c>
      <c r="P11183">
        <v>1.7</v>
      </c>
      <c r="S11183" t="str">
        <f>"BANCO CORA (102)"</f>
        <v>BANCO CORA (102)</v>
      </c>
      <c r="T11183">
        <v>22831</v>
      </c>
      <c r="U11183">
        <v>26449</v>
      </c>
      <c r="V11183" t="s">
        <v>22</v>
      </c>
    </row>
    <row r="11184" spans="1:22">
      <c r="A11184" t="str">
        <f t="shared" si="2110"/>
        <v>13/11/2025</v>
      </c>
      <c r="B11184" t="str">
        <f t="shared" si="2112"/>
        <v>SAÍDA</v>
      </c>
      <c r="C11184" t="str">
        <f t="shared" si="2113"/>
        <v>CONHECIMENTO</v>
      </c>
      <c r="D11184" t="str">
        <f t="shared" si="2114"/>
        <v>01092025</v>
      </c>
      <c r="E11184" t="str">
        <f>"21"</f>
        <v>21</v>
      </c>
      <c r="F11184" t="str">
        <f t="shared" si="2107"/>
        <v>COM</v>
      </c>
      <c r="G11184" t="str">
        <f t="shared" si="2115"/>
        <v>CORA SOCIEDADE DE CREDITO, FINANCIAMENTO E INVESTIMENTO (20035)</v>
      </c>
      <c r="H11184" t="s">
        <v>75</v>
      </c>
      <c r="I11184" t="str">
        <f t="shared" si="2111"/>
        <v>13/11/2025</v>
      </c>
      <c r="J11184" t="str">
        <f t="shared" si="2116"/>
        <v>01/09/2025</v>
      </c>
      <c r="K11184">
        <v>45974</v>
      </c>
      <c r="N11184">
        <v>401</v>
      </c>
      <c r="O11184" t="s">
        <v>76</v>
      </c>
      <c r="Q11184">
        <v>1.7</v>
      </c>
      <c r="R11184" t="str">
        <f>"CORA SOCIEDADE DE CREDITO, FINANCIAMENTO E INVESTIMENTO (20035)"</f>
        <v>CORA SOCIEDADE DE CREDITO, FINANCIAMENTO E INVESTIMENTO (20035)</v>
      </c>
      <c r="S11184" t="s">
        <v>22</v>
      </c>
      <c r="T11184">
        <v>22831</v>
      </c>
      <c r="U11184">
        <v>26449</v>
      </c>
      <c r="V11184" t="s">
        <v>22</v>
      </c>
    </row>
    <row r="11185" spans="1:22">
      <c r="A11185" t="str">
        <f t="shared" si="2110"/>
        <v>13/11/2025</v>
      </c>
      <c r="B11185" t="str">
        <f t="shared" si="2112"/>
        <v>SAÍDA</v>
      </c>
      <c r="C11185" t="str">
        <f t="shared" si="2113"/>
        <v>CONHECIMENTO</v>
      </c>
      <c r="D11185" t="str">
        <f t="shared" si="2114"/>
        <v>01092025</v>
      </c>
      <c r="E11185" t="str">
        <f>"22"</f>
        <v>22</v>
      </c>
      <c r="F11185" t="str">
        <f t="shared" si="2107"/>
        <v>COM</v>
      </c>
      <c r="G11185" t="str">
        <f t="shared" si="2115"/>
        <v>CORA SOCIEDADE DE CREDITO, FINANCIAMENTO E INVESTIMENTO (20035)</v>
      </c>
      <c r="H11185" t="str">
        <f>"TAXA BOLETO "</f>
        <v xml:space="preserve">TAXA BOLETO </v>
      </c>
      <c r="I11185" t="str">
        <f t="shared" si="2111"/>
        <v>13/11/2025</v>
      </c>
      <c r="J11185" t="str">
        <f t="shared" si="2116"/>
        <v>01/09/2025</v>
      </c>
      <c r="K11185" t="str">
        <f>("13/11/2025")</f>
        <v>13/11/2025</v>
      </c>
      <c r="L11185">
        <v>1.7</v>
      </c>
      <c r="M11185">
        <v>1.7</v>
      </c>
      <c r="N11185">
        <v>401</v>
      </c>
      <c r="O11185" t="str">
        <f>"IOF/JUROS/DESP.FINANCEIRA"</f>
        <v>IOF/JUROS/DESP.FINANCEIRA</v>
      </c>
      <c r="P11185">
        <v>1.7</v>
      </c>
      <c r="S11185" t="str">
        <f>"BANCO CORA (102)"</f>
        <v>BANCO CORA (102)</v>
      </c>
      <c r="T11185">
        <v>22832</v>
      </c>
      <c r="U11185">
        <v>26450</v>
      </c>
      <c r="V11185" t="s">
        <v>22</v>
      </c>
    </row>
    <row r="11186" spans="1:22">
      <c r="A11186" t="str">
        <f t="shared" si="2110"/>
        <v>13/11/2025</v>
      </c>
      <c r="B11186" t="str">
        <f t="shared" si="2112"/>
        <v>SAÍDA</v>
      </c>
      <c r="C11186" t="str">
        <f t="shared" si="2113"/>
        <v>CONHECIMENTO</v>
      </c>
      <c r="D11186" t="str">
        <f t="shared" si="2114"/>
        <v>01092025</v>
      </c>
      <c r="E11186" t="str">
        <f>"22"</f>
        <v>22</v>
      </c>
      <c r="F11186" t="str">
        <f t="shared" si="2107"/>
        <v>COM</v>
      </c>
      <c r="G11186" t="str">
        <f t="shared" si="2115"/>
        <v>CORA SOCIEDADE DE CREDITO, FINANCIAMENTO E INVESTIMENTO (20035)</v>
      </c>
      <c r="H11186" t="s">
        <v>75</v>
      </c>
      <c r="I11186" t="str">
        <f t="shared" si="2111"/>
        <v>13/11/2025</v>
      </c>
      <c r="J11186" t="str">
        <f t="shared" si="2116"/>
        <v>01/09/2025</v>
      </c>
      <c r="K11186">
        <v>45974</v>
      </c>
      <c r="N11186">
        <v>401</v>
      </c>
      <c r="O11186" t="s">
        <v>76</v>
      </c>
      <c r="Q11186">
        <v>1.7</v>
      </c>
      <c r="R11186" t="str">
        <f>"CORA SOCIEDADE DE CREDITO, FINANCIAMENTO E INVESTIMENTO (20035)"</f>
        <v>CORA SOCIEDADE DE CREDITO, FINANCIAMENTO E INVESTIMENTO (20035)</v>
      </c>
      <c r="S11186" t="s">
        <v>22</v>
      </c>
      <c r="T11186">
        <v>22832</v>
      </c>
      <c r="U11186">
        <v>26450</v>
      </c>
      <c r="V11186" t="s">
        <v>22</v>
      </c>
    </row>
    <row r="11187" spans="1:22">
      <c r="A11187" t="str">
        <f t="shared" si="2110"/>
        <v>13/11/2025</v>
      </c>
      <c r="B11187" t="str">
        <f t="shared" si="2112"/>
        <v>SAÍDA</v>
      </c>
      <c r="C11187" t="str">
        <f t="shared" si="2113"/>
        <v>CONHECIMENTO</v>
      </c>
      <c r="D11187" t="str">
        <f t="shared" si="2114"/>
        <v>01092025</v>
      </c>
      <c r="E11187" t="str">
        <f>"23"</f>
        <v>23</v>
      </c>
      <c r="F11187" t="str">
        <f t="shared" si="2107"/>
        <v>COM</v>
      </c>
      <c r="G11187" t="str">
        <f t="shared" si="2115"/>
        <v>CORA SOCIEDADE DE CREDITO, FINANCIAMENTO E INVESTIMENTO (20035)</v>
      </c>
      <c r="H11187" t="str">
        <f>"TAXA BOLETO "</f>
        <v xml:space="preserve">TAXA BOLETO </v>
      </c>
      <c r="I11187" t="str">
        <f t="shared" si="2111"/>
        <v>13/11/2025</v>
      </c>
      <c r="J11187" t="str">
        <f t="shared" si="2116"/>
        <v>01/09/2025</v>
      </c>
      <c r="K11187" t="str">
        <f>("13/11/2025")</f>
        <v>13/11/2025</v>
      </c>
      <c r="L11187">
        <v>1.7</v>
      </c>
      <c r="M11187">
        <v>1.7</v>
      </c>
      <c r="N11187">
        <v>401</v>
      </c>
      <c r="O11187" t="str">
        <f>"IOF/JUROS/DESP.FINANCEIRA"</f>
        <v>IOF/JUROS/DESP.FINANCEIRA</v>
      </c>
      <c r="P11187">
        <v>1.7</v>
      </c>
      <c r="S11187" t="str">
        <f>"BANCO CORA (102)"</f>
        <v>BANCO CORA (102)</v>
      </c>
      <c r="T11187">
        <v>22833</v>
      </c>
      <c r="U11187">
        <v>26451</v>
      </c>
      <c r="V11187" t="s">
        <v>22</v>
      </c>
    </row>
    <row r="11188" spans="1:22">
      <c r="A11188" t="str">
        <f t="shared" si="2110"/>
        <v>13/11/2025</v>
      </c>
      <c r="B11188" t="str">
        <f t="shared" si="2112"/>
        <v>SAÍDA</v>
      </c>
      <c r="C11188" t="str">
        <f t="shared" si="2113"/>
        <v>CONHECIMENTO</v>
      </c>
      <c r="D11188" t="str">
        <f t="shared" si="2114"/>
        <v>01092025</v>
      </c>
      <c r="E11188" t="str">
        <f>"23"</f>
        <v>23</v>
      </c>
      <c r="F11188" t="str">
        <f t="shared" si="2107"/>
        <v>COM</v>
      </c>
      <c r="G11188" t="str">
        <f t="shared" si="2115"/>
        <v>CORA SOCIEDADE DE CREDITO, FINANCIAMENTO E INVESTIMENTO (20035)</v>
      </c>
      <c r="H11188" t="s">
        <v>75</v>
      </c>
      <c r="I11188" t="str">
        <f t="shared" si="2111"/>
        <v>13/11/2025</v>
      </c>
      <c r="J11188" t="str">
        <f t="shared" si="2116"/>
        <v>01/09/2025</v>
      </c>
      <c r="K11188">
        <v>45974</v>
      </c>
      <c r="N11188">
        <v>401</v>
      </c>
      <c r="O11188" t="s">
        <v>76</v>
      </c>
      <c r="Q11188">
        <v>1.7</v>
      </c>
      <c r="R11188" t="str">
        <f>"CORA SOCIEDADE DE CREDITO, FINANCIAMENTO E INVESTIMENTO (20035)"</f>
        <v>CORA SOCIEDADE DE CREDITO, FINANCIAMENTO E INVESTIMENTO (20035)</v>
      </c>
      <c r="S11188" t="s">
        <v>22</v>
      </c>
      <c r="T11188">
        <v>22833</v>
      </c>
      <c r="U11188">
        <v>26451</v>
      </c>
      <c r="V11188" t="s">
        <v>22</v>
      </c>
    </row>
    <row r="11189" spans="1:22">
      <c r="A11189" t="str">
        <f t="shared" si="2110"/>
        <v>13/11/2025</v>
      </c>
      <c r="B11189" t="str">
        <f t="shared" si="2112"/>
        <v>SAÍDA</v>
      </c>
      <c r="C11189" t="str">
        <f t="shared" si="2113"/>
        <v>CONHECIMENTO</v>
      </c>
      <c r="D11189" t="str">
        <f t="shared" si="2114"/>
        <v>01092025</v>
      </c>
      <c r="E11189" t="str">
        <f>"24"</f>
        <v>24</v>
      </c>
      <c r="F11189" t="str">
        <f t="shared" si="2107"/>
        <v>COM</v>
      </c>
      <c r="G11189" t="str">
        <f t="shared" si="2115"/>
        <v>CORA SOCIEDADE DE CREDITO, FINANCIAMENTO E INVESTIMENTO (20035)</v>
      </c>
      <c r="H11189" t="str">
        <f>"TAXA BOLETO "</f>
        <v xml:space="preserve">TAXA BOLETO </v>
      </c>
      <c r="I11189" t="str">
        <f t="shared" si="2111"/>
        <v>13/11/2025</v>
      </c>
      <c r="J11189" t="str">
        <f t="shared" si="2116"/>
        <v>01/09/2025</v>
      </c>
      <c r="K11189" t="str">
        <f>("13/11/2025")</f>
        <v>13/11/2025</v>
      </c>
      <c r="L11189">
        <v>1.7</v>
      </c>
      <c r="M11189">
        <v>1.7</v>
      </c>
      <c r="N11189">
        <v>401</v>
      </c>
      <c r="O11189" t="str">
        <f>"IOF/JUROS/DESP.FINANCEIRA"</f>
        <v>IOF/JUROS/DESP.FINANCEIRA</v>
      </c>
      <c r="P11189">
        <v>1.7</v>
      </c>
      <c r="S11189" t="str">
        <f>"BANCO CORA (102)"</f>
        <v>BANCO CORA (102)</v>
      </c>
      <c r="T11189">
        <v>22834</v>
      </c>
      <c r="U11189">
        <v>26452</v>
      </c>
      <c r="V11189" t="s">
        <v>22</v>
      </c>
    </row>
    <row r="11190" spans="1:22">
      <c r="A11190" t="str">
        <f t="shared" si="2110"/>
        <v>13/11/2025</v>
      </c>
      <c r="B11190" t="str">
        <f t="shared" si="2112"/>
        <v>SAÍDA</v>
      </c>
      <c r="C11190" t="str">
        <f t="shared" si="2113"/>
        <v>CONHECIMENTO</v>
      </c>
      <c r="D11190" t="str">
        <f t="shared" si="2114"/>
        <v>01092025</v>
      </c>
      <c r="E11190" t="str">
        <f>"24"</f>
        <v>24</v>
      </c>
      <c r="F11190" t="str">
        <f t="shared" si="2107"/>
        <v>COM</v>
      </c>
      <c r="G11190" t="str">
        <f t="shared" si="2115"/>
        <v>CORA SOCIEDADE DE CREDITO, FINANCIAMENTO E INVESTIMENTO (20035)</v>
      </c>
      <c r="H11190" t="s">
        <v>75</v>
      </c>
      <c r="I11190" t="str">
        <f t="shared" si="2111"/>
        <v>13/11/2025</v>
      </c>
      <c r="J11190" t="str">
        <f t="shared" si="2116"/>
        <v>01/09/2025</v>
      </c>
      <c r="K11190">
        <v>45974</v>
      </c>
      <c r="N11190">
        <v>401</v>
      </c>
      <c r="O11190" t="s">
        <v>76</v>
      </c>
      <c r="Q11190">
        <v>1.7</v>
      </c>
      <c r="R11190" t="str">
        <f>"CORA SOCIEDADE DE CREDITO, FINANCIAMENTO E INVESTIMENTO (20035)"</f>
        <v>CORA SOCIEDADE DE CREDITO, FINANCIAMENTO E INVESTIMENTO (20035)</v>
      </c>
      <c r="S11190" t="s">
        <v>22</v>
      </c>
      <c r="T11190">
        <v>22834</v>
      </c>
      <c r="U11190">
        <v>26452</v>
      </c>
      <c r="V11190" t="s">
        <v>22</v>
      </c>
    </row>
    <row r="11191" spans="1:22">
      <c r="A11191" t="str">
        <f t="shared" si="2110"/>
        <v>13/11/2025</v>
      </c>
      <c r="B11191" t="str">
        <f t="shared" si="2112"/>
        <v>SAÍDA</v>
      </c>
      <c r="C11191" t="str">
        <f t="shared" si="2113"/>
        <v>CONHECIMENTO</v>
      </c>
      <c r="D11191" t="str">
        <f t="shared" si="2114"/>
        <v>01092025</v>
      </c>
      <c r="E11191" t="str">
        <f>"25"</f>
        <v>25</v>
      </c>
      <c r="F11191" t="str">
        <f t="shared" si="2107"/>
        <v>COM</v>
      </c>
      <c r="G11191" t="str">
        <f t="shared" si="2115"/>
        <v>CORA SOCIEDADE DE CREDITO, FINANCIAMENTO E INVESTIMENTO (20035)</v>
      </c>
      <c r="H11191" t="str">
        <f>"TAXA BOLETO "</f>
        <v xml:space="preserve">TAXA BOLETO </v>
      </c>
      <c r="I11191" t="str">
        <f t="shared" si="2111"/>
        <v>13/11/2025</v>
      </c>
      <c r="J11191" t="str">
        <f t="shared" si="2116"/>
        <v>01/09/2025</v>
      </c>
      <c r="K11191" t="str">
        <f>("13/11/2025")</f>
        <v>13/11/2025</v>
      </c>
      <c r="L11191">
        <v>1.7</v>
      </c>
      <c r="M11191">
        <v>1.7</v>
      </c>
      <c r="N11191">
        <v>401</v>
      </c>
      <c r="O11191" t="str">
        <f>"IOF/JUROS/DESP.FINANCEIRA"</f>
        <v>IOF/JUROS/DESP.FINANCEIRA</v>
      </c>
      <c r="P11191">
        <v>1.7</v>
      </c>
      <c r="S11191" t="str">
        <f>"BANCO CORA (102)"</f>
        <v>BANCO CORA (102)</v>
      </c>
      <c r="T11191">
        <v>22835</v>
      </c>
      <c r="U11191">
        <v>26453</v>
      </c>
      <c r="V11191" t="s">
        <v>22</v>
      </c>
    </row>
    <row r="11192" spans="1:22">
      <c r="A11192" t="str">
        <f t="shared" si="2110"/>
        <v>13/11/2025</v>
      </c>
      <c r="B11192" t="str">
        <f t="shared" si="2112"/>
        <v>SAÍDA</v>
      </c>
      <c r="C11192" t="str">
        <f t="shared" si="2113"/>
        <v>CONHECIMENTO</v>
      </c>
      <c r="D11192" t="str">
        <f t="shared" si="2114"/>
        <v>01092025</v>
      </c>
      <c r="E11192" t="str">
        <f>"25"</f>
        <v>25</v>
      </c>
      <c r="F11192" t="str">
        <f t="shared" si="2107"/>
        <v>COM</v>
      </c>
      <c r="G11192" t="str">
        <f t="shared" si="2115"/>
        <v>CORA SOCIEDADE DE CREDITO, FINANCIAMENTO E INVESTIMENTO (20035)</v>
      </c>
      <c r="H11192" t="s">
        <v>75</v>
      </c>
      <c r="I11192" t="str">
        <f t="shared" si="2111"/>
        <v>13/11/2025</v>
      </c>
      <c r="J11192" t="str">
        <f t="shared" si="2116"/>
        <v>01/09/2025</v>
      </c>
      <c r="K11192">
        <v>45974</v>
      </c>
      <c r="N11192">
        <v>401</v>
      </c>
      <c r="O11192" t="s">
        <v>76</v>
      </c>
      <c r="Q11192">
        <v>1.7</v>
      </c>
      <c r="R11192" t="str">
        <f>"CORA SOCIEDADE DE CREDITO, FINANCIAMENTO E INVESTIMENTO (20035)"</f>
        <v>CORA SOCIEDADE DE CREDITO, FINANCIAMENTO E INVESTIMENTO (20035)</v>
      </c>
      <c r="S11192" t="s">
        <v>22</v>
      </c>
      <c r="T11192">
        <v>22835</v>
      </c>
      <c r="U11192">
        <v>26453</v>
      </c>
      <c r="V11192" t="s">
        <v>22</v>
      </c>
    </row>
    <row r="11193" spans="1:22">
      <c r="A11193" t="str">
        <f t="shared" si="2110"/>
        <v>13/11/2025</v>
      </c>
      <c r="B11193" t="str">
        <f t="shared" si="2112"/>
        <v>SAÍDA</v>
      </c>
      <c r="C11193" t="str">
        <f t="shared" si="2113"/>
        <v>CONHECIMENTO</v>
      </c>
      <c r="D11193" t="str">
        <f t="shared" si="2114"/>
        <v>01092025</v>
      </c>
      <c r="E11193" t="str">
        <f>"26"</f>
        <v>26</v>
      </c>
      <c r="F11193" t="str">
        <f t="shared" si="2107"/>
        <v>COM</v>
      </c>
      <c r="G11193" t="str">
        <f t="shared" si="2115"/>
        <v>CORA SOCIEDADE DE CREDITO, FINANCIAMENTO E INVESTIMENTO (20035)</v>
      </c>
      <c r="H11193" t="str">
        <f>"TAXA BOLETO "</f>
        <v xml:space="preserve">TAXA BOLETO </v>
      </c>
      <c r="I11193" t="str">
        <f t="shared" si="2111"/>
        <v>13/11/2025</v>
      </c>
      <c r="J11193" t="str">
        <f t="shared" si="2116"/>
        <v>01/09/2025</v>
      </c>
      <c r="K11193" t="str">
        <f>("13/11/2025")</f>
        <v>13/11/2025</v>
      </c>
      <c r="L11193">
        <v>1.7</v>
      </c>
      <c r="M11193">
        <v>1.7</v>
      </c>
      <c r="N11193">
        <v>401</v>
      </c>
      <c r="O11193" t="str">
        <f>"IOF/JUROS/DESP.FINANCEIRA"</f>
        <v>IOF/JUROS/DESP.FINANCEIRA</v>
      </c>
      <c r="P11193">
        <v>1.7</v>
      </c>
      <c r="S11193" t="str">
        <f>"BANCO CORA (102)"</f>
        <v>BANCO CORA (102)</v>
      </c>
      <c r="T11193">
        <v>22836</v>
      </c>
      <c r="U11193">
        <v>26454</v>
      </c>
      <c r="V11193" t="s">
        <v>22</v>
      </c>
    </row>
    <row r="11194" spans="1:22">
      <c r="A11194" t="str">
        <f t="shared" si="2110"/>
        <v>13/11/2025</v>
      </c>
      <c r="B11194" t="str">
        <f t="shared" si="2112"/>
        <v>SAÍDA</v>
      </c>
      <c r="C11194" t="str">
        <f t="shared" si="2113"/>
        <v>CONHECIMENTO</v>
      </c>
      <c r="D11194" t="str">
        <f t="shared" si="2114"/>
        <v>01092025</v>
      </c>
      <c r="E11194" t="str">
        <f>"26"</f>
        <v>26</v>
      </c>
      <c r="F11194" t="str">
        <f t="shared" si="2107"/>
        <v>COM</v>
      </c>
      <c r="G11194" t="str">
        <f t="shared" si="2115"/>
        <v>CORA SOCIEDADE DE CREDITO, FINANCIAMENTO E INVESTIMENTO (20035)</v>
      </c>
      <c r="H11194" t="s">
        <v>75</v>
      </c>
      <c r="I11194" t="str">
        <f t="shared" si="2111"/>
        <v>13/11/2025</v>
      </c>
      <c r="J11194" t="str">
        <f t="shared" si="2116"/>
        <v>01/09/2025</v>
      </c>
      <c r="K11194">
        <v>45974</v>
      </c>
      <c r="N11194">
        <v>401</v>
      </c>
      <c r="O11194" t="s">
        <v>76</v>
      </c>
      <c r="Q11194">
        <v>1.7</v>
      </c>
      <c r="R11194" t="str">
        <f>"CORA SOCIEDADE DE CREDITO, FINANCIAMENTO E INVESTIMENTO (20035)"</f>
        <v>CORA SOCIEDADE DE CREDITO, FINANCIAMENTO E INVESTIMENTO (20035)</v>
      </c>
      <c r="S11194" t="s">
        <v>22</v>
      </c>
      <c r="T11194">
        <v>22836</v>
      </c>
      <c r="U11194">
        <v>26454</v>
      </c>
      <c r="V11194" t="s">
        <v>22</v>
      </c>
    </row>
    <row r="11195" spans="1:22">
      <c r="A11195" t="str">
        <f t="shared" si="2110"/>
        <v>13/11/2025</v>
      </c>
      <c r="B11195" t="str">
        <f t="shared" si="2112"/>
        <v>SAÍDA</v>
      </c>
      <c r="C11195" t="str">
        <f t="shared" si="2113"/>
        <v>CONHECIMENTO</v>
      </c>
      <c r="D11195" t="str">
        <f t="shared" si="2114"/>
        <v>01092025</v>
      </c>
      <c r="E11195" t="str">
        <f>"27"</f>
        <v>27</v>
      </c>
      <c r="F11195" t="str">
        <f t="shared" si="2107"/>
        <v>COM</v>
      </c>
      <c r="G11195" t="str">
        <f t="shared" si="2115"/>
        <v>CORA SOCIEDADE DE CREDITO, FINANCIAMENTO E INVESTIMENTO (20035)</v>
      </c>
      <c r="H11195" t="str">
        <f>"TAXA BOLETO "</f>
        <v xml:space="preserve">TAXA BOLETO </v>
      </c>
      <c r="I11195" t="str">
        <f t="shared" si="2111"/>
        <v>13/11/2025</v>
      </c>
      <c r="J11195" t="str">
        <f t="shared" si="2116"/>
        <v>01/09/2025</v>
      </c>
      <c r="K11195" t="str">
        <f>("13/11/2025")</f>
        <v>13/11/2025</v>
      </c>
      <c r="L11195">
        <v>1.7</v>
      </c>
      <c r="M11195">
        <v>1.7</v>
      </c>
      <c r="N11195">
        <v>401</v>
      </c>
      <c r="O11195" t="str">
        <f>"IOF/JUROS/DESP.FINANCEIRA"</f>
        <v>IOF/JUROS/DESP.FINANCEIRA</v>
      </c>
      <c r="P11195">
        <v>1.7</v>
      </c>
      <c r="S11195" t="str">
        <f>"BANCO CORA (102)"</f>
        <v>BANCO CORA (102)</v>
      </c>
      <c r="T11195">
        <v>22837</v>
      </c>
      <c r="U11195">
        <v>26455</v>
      </c>
      <c r="V11195" t="s">
        <v>22</v>
      </c>
    </row>
    <row r="11196" spans="1:22">
      <c r="A11196" t="str">
        <f t="shared" si="2110"/>
        <v>13/11/2025</v>
      </c>
      <c r="B11196" t="str">
        <f t="shared" si="2112"/>
        <v>SAÍDA</v>
      </c>
      <c r="C11196" t="str">
        <f t="shared" si="2113"/>
        <v>CONHECIMENTO</v>
      </c>
      <c r="D11196" t="str">
        <f t="shared" si="2114"/>
        <v>01092025</v>
      </c>
      <c r="E11196" t="str">
        <f>"27"</f>
        <v>27</v>
      </c>
      <c r="F11196" t="str">
        <f t="shared" si="2107"/>
        <v>COM</v>
      </c>
      <c r="G11196" t="str">
        <f t="shared" si="2115"/>
        <v>CORA SOCIEDADE DE CREDITO, FINANCIAMENTO E INVESTIMENTO (20035)</v>
      </c>
      <c r="H11196" t="s">
        <v>75</v>
      </c>
      <c r="I11196" t="str">
        <f t="shared" si="2111"/>
        <v>13/11/2025</v>
      </c>
      <c r="J11196" t="str">
        <f t="shared" si="2116"/>
        <v>01/09/2025</v>
      </c>
      <c r="K11196">
        <v>45974</v>
      </c>
      <c r="N11196">
        <v>401</v>
      </c>
      <c r="O11196" t="s">
        <v>76</v>
      </c>
      <c r="Q11196">
        <v>1.7</v>
      </c>
      <c r="R11196" t="str">
        <f>"CORA SOCIEDADE DE CREDITO, FINANCIAMENTO E INVESTIMENTO (20035)"</f>
        <v>CORA SOCIEDADE DE CREDITO, FINANCIAMENTO E INVESTIMENTO (20035)</v>
      </c>
      <c r="S11196" t="s">
        <v>22</v>
      </c>
      <c r="T11196">
        <v>22837</v>
      </c>
      <c r="U11196">
        <v>26455</v>
      </c>
      <c r="V11196" t="s">
        <v>22</v>
      </c>
    </row>
    <row r="11197" spans="1:22">
      <c r="A11197" t="str">
        <f t="shared" si="2110"/>
        <v>13/11/2025</v>
      </c>
      <c r="B11197" t="str">
        <f t="shared" si="2112"/>
        <v>SAÍDA</v>
      </c>
      <c r="C11197" t="str">
        <f t="shared" si="2113"/>
        <v>CONHECIMENTO</v>
      </c>
      <c r="D11197" t="str">
        <f t="shared" si="2114"/>
        <v>01092025</v>
      </c>
      <c r="E11197" t="str">
        <f>"28"</f>
        <v>28</v>
      </c>
      <c r="F11197" t="str">
        <f t="shared" si="2107"/>
        <v>COM</v>
      </c>
      <c r="G11197" t="str">
        <f t="shared" si="2115"/>
        <v>CORA SOCIEDADE DE CREDITO, FINANCIAMENTO E INVESTIMENTO (20035)</v>
      </c>
      <c r="H11197" t="str">
        <f>"TAXA BOLETO "</f>
        <v xml:space="preserve">TAXA BOLETO </v>
      </c>
      <c r="I11197" t="str">
        <f t="shared" si="2111"/>
        <v>13/11/2025</v>
      </c>
      <c r="J11197" t="str">
        <f t="shared" si="2116"/>
        <v>01/09/2025</v>
      </c>
      <c r="K11197" t="str">
        <f>("13/11/2025")</f>
        <v>13/11/2025</v>
      </c>
      <c r="L11197">
        <v>1.7</v>
      </c>
      <c r="M11197">
        <v>1.7</v>
      </c>
      <c r="N11197">
        <v>401</v>
      </c>
      <c r="O11197" t="str">
        <f>"IOF/JUROS/DESP.FINANCEIRA"</f>
        <v>IOF/JUROS/DESP.FINANCEIRA</v>
      </c>
      <c r="P11197">
        <v>1.7</v>
      </c>
      <c r="S11197" t="str">
        <f>"BANCO CORA (102)"</f>
        <v>BANCO CORA (102)</v>
      </c>
      <c r="T11197">
        <v>22838</v>
      </c>
      <c r="U11197">
        <v>26456</v>
      </c>
      <c r="V11197" t="s">
        <v>22</v>
      </c>
    </row>
    <row r="11198" spans="1:22">
      <c r="A11198" t="str">
        <f t="shared" si="2110"/>
        <v>13/11/2025</v>
      </c>
      <c r="B11198" t="str">
        <f t="shared" si="2112"/>
        <v>SAÍDA</v>
      </c>
      <c r="C11198" t="str">
        <f t="shared" si="2113"/>
        <v>CONHECIMENTO</v>
      </c>
      <c r="D11198" t="str">
        <f t="shared" si="2114"/>
        <v>01092025</v>
      </c>
      <c r="E11198" t="str">
        <f>"28"</f>
        <v>28</v>
      </c>
      <c r="F11198" t="str">
        <f t="shared" si="2107"/>
        <v>COM</v>
      </c>
      <c r="G11198" t="str">
        <f t="shared" si="2115"/>
        <v>CORA SOCIEDADE DE CREDITO, FINANCIAMENTO E INVESTIMENTO (20035)</v>
      </c>
      <c r="H11198" t="s">
        <v>75</v>
      </c>
      <c r="I11198" t="str">
        <f t="shared" si="2111"/>
        <v>13/11/2025</v>
      </c>
      <c r="J11198" t="str">
        <f t="shared" si="2116"/>
        <v>01/09/2025</v>
      </c>
      <c r="K11198">
        <v>45974</v>
      </c>
      <c r="N11198">
        <v>401</v>
      </c>
      <c r="O11198" t="s">
        <v>76</v>
      </c>
      <c r="Q11198">
        <v>1.7</v>
      </c>
      <c r="R11198" t="str">
        <f>"CORA SOCIEDADE DE CREDITO, FINANCIAMENTO E INVESTIMENTO (20035)"</f>
        <v>CORA SOCIEDADE DE CREDITO, FINANCIAMENTO E INVESTIMENTO (20035)</v>
      </c>
      <c r="S11198" t="s">
        <v>22</v>
      </c>
      <c r="T11198">
        <v>22838</v>
      </c>
      <c r="U11198">
        <v>26456</v>
      </c>
      <c r="V11198" t="s">
        <v>22</v>
      </c>
    </row>
    <row r="11199" spans="1:22">
      <c r="A11199" t="str">
        <f t="shared" si="2110"/>
        <v>13/11/2025</v>
      </c>
      <c r="B11199" t="str">
        <f t="shared" si="2112"/>
        <v>SAÍDA</v>
      </c>
      <c r="C11199" t="str">
        <f t="shared" si="2113"/>
        <v>CONHECIMENTO</v>
      </c>
      <c r="D11199" t="str">
        <f t="shared" si="2114"/>
        <v>01092025</v>
      </c>
      <c r="E11199" t="str">
        <f>"29"</f>
        <v>29</v>
      </c>
      <c r="F11199" t="str">
        <f t="shared" si="2107"/>
        <v>COM</v>
      </c>
      <c r="G11199" t="str">
        <f t="shared" si="2115"/>
        <v>CORA SOCIEDADE DE CREDITO, FINANCIAMENTO E INVESTIMENTO (20035)</v>
      </c>
      <c r="H11199" t="str">
        <f>"TAXA BOLETO "</f>
        <v xml:space="preserve">TAXA BOLETO </v>
      </c>
      <c r="I11199" t="str">
        <f t="shared" si="2111"/>
        <v>13/11/2025</v>
      </c>
      <c r="J11199" t="str">
        <f t="shared" si="2116"/>
        <v>01/09/2025</v>
      </c>
      <c r="K11199" t="str">
        <f>("13/11/2025")</f>
        <v>13/11/2025</v>
      </c>
      <c r="L11199">
        <v>1.7</v>
      </c>
      <c r="M11199">
        <v>1.7</v>
      </c>
      <c r="N11199">
        <v>401</v>
      </c>
      <c r="O11199" t="str">
        <f>"IOF/JUROS/DESP.FINANCEIRA"</f>
        <v>IOF/JUROS/DESP.FINANCEIRA</v>
      </c>
      <c r="P11199">
        <v>1.7</v>
      </c>
      <c r="S11199" t="str">
        <f>"BANCO CORA (102)"</f>
        <v>BANCO CORA (102)</v>
      </c>
      <c r="T11199">
        <v>22839</v>
      </c>
      <c r="U11199">
        <v>26457</v>
      </c>
      <c r="V11199" t="s">
        <v>22</v>
      </c>
    </row>
    <row r="11200" spans="1:22">
      <c r="A11200" t="str">
        <f t="shared" si="2110"/>
        <v>13/11/2025</v>
      </c>
      <c r="B11200" t="str">
        <f t="shared" si="2112"/>
        <v>SAÍDA</v>
      </c>
      <c r="C11200" t="str">
        <f t="shared" si="2113"/>
        <v>CONHECIMENTO</v>
      </c>
      <c r="D11200" t="str">
        <f t="shared" si="2114"/>
        <v>01092025</v>
      </c>
      <c r="E11200" t="str">
        <f>"29"</f>
        <v>29</v>
      </c>
      <c r="F11200" t="str">
        <f t="shared" si="2107"/>
        <v>COM</v>
      </c>
      <c r="G11200" t="str">
        <f t="shared" si="2115"/>
        <v>CORA SOCIEDADE DE CREDITO, FINANCIAMENTO E INVESTIMENTO (20035)</v>
      </c>
      <c r="H11200" t="s">
        <v>75</v>
      </c>
      <c r="I11200" t="str">
        <f t="shared" si="2111"/>
        <v>13/11/2025</v>
      </c>
      <c r="J11200" t="str">
        <f t="shared" si="2116"/>
        <v>01/09/2025</v>
      </c>
      <c r="K11200">
        <v>45974</v>
      </c>
      <c r="N11200">
        <v>401</v>
      </c>
      <c r="O11200" t="s">
        <v>76</v>
      </c>
      <c r="Q11200">
        <v>1.7</v>
      </c>
      <c r="R11200" t="str">
        <f>"CORA SOCIEDADE DE CREDITO, FINANCIAMENTO E INVESTIMENTO (20035)"</f>
        <v>CORA SOCIEDADE DE CREDITO, FINANCIAMENTO E INVESTIMENTO (20035)</v>
      </c>
      <c r="S11200" t="s">
        <v>22</v>
      </c>
      <c r="T11200">
        <v>22839</v>
      </c>
      <c r="U11200">
        <v>26457</v>
      </c>
      <c r="V11200" t="s">
        <v>22</v>
      </c>
    </row>
    <row r="11201" spans="1:22">
      <c r="A11201" t="str">
        <f t="shared" si="2110"/>
        <v>13/11/2025</v>
      </c>
      <c r="B11201" t="str">
        <f t="shared" si="2112"/>
        <v>SAÍDA</v>
      </c>
      <c r="C11201" t="str">
        <f t="shared" si="2113"/>
        <v>CONHECIMENTO</v>
      </c>
      <c r="D11201" t="str">
        <f t="shared" si="2114"/>
        <v>01092025</v>
      </c>
      <c r="E11201" t="str">
        <f>"30"</f>
        <v>30</v>
      </c>
      <c r="F11201" t="str">
        <f t="shared" si="2107"/>
        <v>COM</v>
      </c>
      <c r="G11201" t="str">
        <f t="shared" si="2115"/>
        <v>CORA SOCIEDADE DE CREDITO, FINANCIAMENTO E INVESTIMENTO (20035)</v>
      </c>
      <c r="H11201" t="str">
        <f>"TAXA BOLETO "</f>
        <v xml:space="preserve">TAXA BOLETO </v>
      </c>
      <c r="I11201" t="str">
        <f t="shared" si="2111"/>
        <v>13/11/2025</v>
      </c>
      <c r="J11201" t="str">
        <f t="shared" si="2116"/>
        <v>01/09/2025</v>
      </c>
      <c r="K11201" t="str">
        <f>("13/11/2025")</f>
        <v>13/11/2025</v>
      </c>
      <c r="L11201">
        <v>1.7</v>
      </c>
      <c r="M11201">
        <v>1.7</v>
      </c>
      <c r="N11201">
        <v>401</v>
      </c>
      <c r="O11201" t="str">
        <f>"IOF/JUROS/DESP.FINANCEIRA"</f>
        <v>IOF/JUROS/DESP.FINANCEIRA</v>
      </c>
      <c r="P11201">
        <v>1.7</v>
      </c>
      <c r="S11201" t="str">
        <f>"BANCO CORA (102)"</f>
        <v>BANCO CORA (102)</v>
      </c>
      <c r="T11201">
        <v>22840</v>
      </c>
      <c r="U11201">
        <v>26458</v>
      </c>
      <c r="V11201" t="s">
        <v>22</v>
      </c>
    </row>
    <row r="11202" spans="1:22">
      <c r="A11202" t="str">
        <f t="shared" si="2110"/>
        <v>13/11/2025</v>
      </c>
      <c r="B11202" t="str">
        <f t="shared" si="2112"/>
        <v>SAÍDA</v>
      </c>
      <c r="C11202" t="str">
        <f t="shared" si="2113"/>
        <v>CONHECIMENTO</v>
      </c>
      <c r="D11202" t="str">
        <f t="shared" si="2114"/>
        <v>01092025</v>
      </c>
      <c r="E11202" t="str">
        <f>"30"</f>
        <v>30</v>
      </c>
      <c r="F11202" t="str">
        <f t="shared" si="2107"/>
        <v>COM</v>
      </c>
      <c r="G11202" t="str">
        <f t="shared" si="2115"/>
        <v>CORA SOCIEDADE DE CREDITO, FINANCIAMENTO E INVESTIMENTO (20035)</v>
      </c>
      <c r="H11202" t="s">
        <v>75</v>
      </c>
      <c r="I11202" t="str">
        <f t="shared" si="2111"/>
        <v>13/11/2025</v>
      </c>
      <c r="J11202" t="str">
        <f t="shared" si="2116"/>
        <v>01/09/2025</v>
      </c>
      <c r="K11202">
        <v>45974</v>
      </c>
      <c r="N11202">
        <v>401</v>
      </c>
      <c r="O11202" t="s">
        <v>76</v>
      </c>
      <c r="Q11202">
        <v>1.7</v>
      </c>
      <c r="R11202" t="str">
        <f>"CORA SOCIEDADE DE CREDITO, FINANCIAMENTO E INVESTIMENTO (20035)"</f>
        <v>CORA SOCIEDADE DE CREDITO, FINANCIAMENTO E INVESTIMENTO (20035)</v>
      </c>
      <c r="S11202" t="s">
        <v>22</v>
      </c>
      <c r="T11202">
        <v>22840</v>
      </c>
      <c r="U11202">
        <v>26458</v>
      </c>
      <c r="V11202" t="s">
        <v>22</v>
      </c>
    </row>
    <row r="11203" spans="1:22">
      <c r="A11203" t="str">
        <f t="shared" si="2110"/>
        <v>13/11/2025</v>
      </c>
      <c r="B11203" t="str">
        <f>"ENTRADA"</f>
        <v>ENTRADA</v>
      </c>
      <c r="C11203" t="str">
        <f>"NFSE"</f>
        <v>NFSE</v>
      </c>
      <c r="D11203" t="str">
        <f>"3693"</f>
        <v>3693</v>
      </c>
      <c r="E11203" t="str">
        <f>"1"</f>
        <v>1</v>
      </c>
      <c r="F11203" t="str">
        <f t="shared" si="2107"/>
        <v>COM</v>
      </c>
      <c r="G11203" t="str">
        <f>"DROGARIA VAZ (10179)"</f>
        <v>DROGARIA VAZ (10179)</v>
      </c>
      <c r="H11203" t="str">
        <f>"Serv.Prest. 03/11/2025 a 09/11/2025 - RPS: 1569 - NFSe: 3693"</f>
        <v>Serv.Prest. 03/11/2025 a 09/11/2025 - RPS: 1569 - NFSe: 3693</v>
      </c>
      <c r="I11203" t="str">
        <f>("12/11/2025")</f>
        <v>12/11/2025</v>
      </c>
      <c r="J11203" t="str">
        <f>("10/11/2025")</f>
        <v>10/11/2025</v>
      </c>
      <c r="K11203" t="str">
        <f>("13/11/2025")</f>
        <v>13/11/2025</v>
      </c>
      <c r="L11203">
        <v>1058.57</v>
      </c>
      <c r="M11203">
        <v>1080.0899999999999</v>
      </c>
      <c r="N11203">
        <v>303</v>
      </c>
      <c r="O11203" t="str">
        <f>"RECEITAS COM ENTREGAS"</f>
        <v>RECEITAS COM ENTREGAS</v>
      </c>
      <c r="P11203">
        <v>1080.0899999999999</v>
      </c>
      <c r="S11203" t="str">
        <f>"RECEITAS COM ENTREGAS (303)"</f>
        <v>RECEITAS COM ENTREGAS (303)</v>
      </c>
      <c r="T11203">
        <v>22841</v>
      </c>
      <c r="U11203">
        <v>25092</v>
      </c>
      <c r="V11203" t="s">
        <v>22</v>
      </c>
    </row>
    <row r="11204" spans="1:22">
      <c r="A11204" t="str">
        <f t="shared" si="2110"/>
        <v>13/11/2025</v>
      </c>
      <c r="B11204" t="str">
        <f>"ENTRADA"</f>
        <v>ENTRADA</v>
      </c>
      <c r="C11204" t="str">
        <f>"NFSE"</f>
        <v>NFSE</v>
      </c>
      <c r="D11204" t="str">
        <f>"3693"</f>
        <v>3693</v>
      </c>
      <c r="E11204" t="str">
        <f>"1"</f>
        <v>1</v>
      </c>
      <c r="F11204" t="str">
        <f t="shared" si="2107"/>
        <v>COM</v>
      </c>
      <c r="G11204" t="str">
        <f>"DROGARIA VAZ (10179)"</f>
        <v>DROGARIA VAZ (10179)</v>
      </c>
      <c r="H11204" t="s">
        <v>3032</v>
      </c>
      <c r="I11204" t="str">
        <f>("12/11/2025")</f>
        <v>12/11/2025</v>
      </c>
      <c r="J11204" t="str">
        <f>("10/11/2025")</f>
        <v>10/11/2025</v>
      </c>
      <c r="K11204">
        <v>45974</v>
      </c>
      <c r="N11204">
        <v>303</v>
      </c>
      <c r="O11204" t="s">
        <v>69</v>
      </c>
      <c r="Q11204">
        <v>1080.0899999999999</v>
      </c>
      <c r="R11204" t="str">
        <f>"DROGARIA VAZ (10179)"</f>
        <v>DROGARIA VAZ (10179)</v>
      </c>
      <c r="S11204" t="s">
        <v>70</v>
      </c>
      <c r="T11204">
        <v>22841</v>
      </c>
      <c r="U11204">
        <v>25092</v>
      </c>
      <c r="V11204" t="s">
        <v>22</v>
      </c>
    </row>
    <row r="11205" spans="1:22">
      <c r="A11205" t="str">
        <f t="shared" ref="A11205:A11236" si="2117">("14/11/2025")</f>
        <v>14/11/2025</v>
      </c>
      <c r="B11205" t="str">
        <f t="shared" ref="B11205:B11214" si="2118">"SAÍDA"</f>
        <v>SAÍDA</v>
      </c>
      <c r="C11205" t="str">
        <f t="shared" ref="C11205:C11214" si="2119">"PIX"</f>
        <v>PIX</v>
      </c>
      <c r="D11205" t="str">
        <f t="shared" ref="D11205:D11216" si="2120">"1511"</f>
        <v>1511</v>
      </c>
      <c r="E11205" t="str">
        <f t="shared" ref="E11205:E11228" si="2121">"25"</f>
        <v>25</v>
      </c>
      <c r="F11205" t="str">
        <f t="shared" si="2107"/>
        <v>COM</v>
      </c>
      <c r="G11205" t="str">
        <f t="shared" ref="G11205:G11216" si="2122">"CASSIO DIAS RIBEIRO (32)"</f>
        <v>CASSIO DIAS RIBEIRO (32)</v>
      </c>
      <c r="H11205" t="str">
        <f>"PAGAMENTO LIDERANÇA REF. MES 10/2025 - PIX: CPF - CHAVE: 091.575.986-14"</f>
        <v>PAGAMENTO LIDERANÇA REF. MES 10/2025 - PIX: CPF - CHAVE: 091.575.986-14</v>
      </c>
      <c r="I11205" t="str">
        <f t="shared" ref="I11205:I11216" si="2123">("15/11/2025")</f>
        <v>15/11/2025</v>
      </c>
      <c r="J11205" t="str">
        <f t="shared" ref="J11205:J11214" si="2124">("31/10/2025")</f>
        <v>31/10/2025</v>
      </c>
      <c r="K11205" t="str">
        <f>("14/11/2025")</f>
        <v>14/11/2025</v>
      </c>
      <c r="L11205">
        <v>500</v>
      </c>
      <c r="M11205">
        <v>500</v>
      </c>
      <c r="N11205">
        <v>120</v>
      </c>
      <c r="O11205" t="str">
        <f>"PAGAMENTO COMISSAO LIDERES"</f>
        <v>PAGAMENTO COMISSAO LIDERES</v>
      </c>
      <c r="P11205">
        <v>500</v>
      </c>
      <c r="S11205" t="str">
        <f>"CAIXA MOVIMENTAÇÃO OPERACIONAL (132)"</f>
        <v>CAIXA MOVIMENTAÇÃO OPERACIONAL (132)</v>
      </c>
      <c r="T11205">
        <v>21141</v>
      </c>
      <c r="U11205">
        <v>25499</v>
      </c>
      <c r="V11205" t="s">
        <v>48</v>
      </c>
    </row>
    <row r="11206" spans="1:22">
      <c r="A11206" t="str">
        <f t="shared" si="2117"/>
        <v>14/11/2025</v>
      </c>
      <c r="B11206" t="str">
        <f t="shared" si="2118"/>
        <v>SAÍDA</v>
      </c>
      <c r="C11206" t="str">
        <f t="shared" si="2119"/>
        <v>PIX</v>
      </c>
      <c r="D11206" t="str">
        <f t="shared" si="2120"/>
        <v>1511</v>
      </c>
      <c r="E11206" t="str">
        <f t="shared" si="2121"/>
        <v>25</v>
      </c>
      <c r="F11206" t="str">
        <f t="shared" si="2107"/>
        <v>COM</v>
      </c>
      <c r="G11206" t="str">
        <f t="shared" si="2122"/>
        <v>CASSIO DIAS RIBEIRO (32)</v>
      </c>
      <c r="H11206" t="s">
        <v>3033</v>
      </c>
      <c r="I11206" t="str">
        <f t="shared" si="2123"/>
        <v>15/11/2025</v>
      </c>
      <c r="J11206" t="str">
        <f t="shared" si="2124"/>
        <v>31/10/2025</v>
      </c>
      <c r="K11206">
        <v>45975</v>
      </c>
      <c r="N11206">
        <v>120</v>
      </c>
      <c r="O11206" t="s">
        <v>306</v>
      </c>
      <c r="Q11206">
        <v>164.3</v>
      </c>
      <c r="R11206" t="str">
        <f>"FARMÁCIA INDIANA LJ 06 (10006)"</f>
        <v>FARMÁCIA INDIANA LJ 06 (10006)</v>
      </c>
      <c r="S11206" t="s">
        <v>48</v>
      </c>
      <c r="T11206">
        <v>21141</v>
      </c>
      <c r="U11206">
        <v>25499</v>
      </c>
      <c r="V11206" t="s">
        <v>48</v>
      </c>
    </row>
    <row r="11207" spans="1:22">
      <c r="A11207" t="str">
        <f t="shared" si="2117"/>
        <v>14/11/2025</v>
      </c>
      <c r="B11207" t="str">
        <f t="shared" si="2118"/>
        <v>SAÍDA</v>
      </c>
      <c r="C11207" t="str">
        <f t="shared" si="2119"/>
        <v>PIX</v>
      </c>
      <c r="D11207" t="str">
        <f t="shared" si="2120"/>
        <v>1511</v>
      </c>
      <c r="E11207" t="str">
        <f t="shared" si="2121"/>
        <v>25</v>
      </c>
      <c r="F11207" t="str">
        <f t="shared" si="2107"/>
        <v>COM</v>
      </c>
      <c r="G11207" t="str">
        <f t="shared" si="2122"/>
        <v>CASSIO DIAS RIBEIRO (32)</v>
      </c>
      <c r="H11207" t="s">
        <v>3033</v>
      </c>
      <c r="I11207" t="str">
        <f t="shared" si="2123"/>
        <v>15/11/2025</v>
      </c>
      <c r="J11207" t="str">
        <f t="shared" si="2124"/>
        <v>31/10/2025</v>
      </c>
      <c r="K11207">
        <v>45975</v>
      </c>
      <c r="N11207">
        <v>120</v>
      </c>
      <c r="O11207" t="s">
        <v>306</v>
      </c>
      <c r="Q11207">
        <v>87.3</v>
      </c>
      <c r="R11207" t="str">
        <f>"FARMÁCIA INDIANA LJ 11 (10008)"</f>
        <v>FARMÁCIA INDIANA LJ 11 (10008)</v>
      </c>
      <c r="S11207" t="s">
        <v>48</v>
      </c>
      <c r="T11207">
        <v>21141</v>
      </c>
      <c r="U11207">
        <v>25499</v>
      </c>
      <c r="V11207" t="s">
        <v>48</v>
      </c>
    </row>
    <row r="11208" spans="1:22">
      <c r="A11208" t="str">
        <f t="shared" si="2117"/>
        <v>14/11/2025</v>
      </c>
      <c r="B11208" t="str">
        <f t="shared" si="2118"/>
        <v>SAÍDA</v>
      </c>
      <c r="C11208" t="str">
        <f t="shared" si="2119"/>
        <v>PIX</v>
      </c>
      <c r="D11208" t="str">
        <f t="shared" si="2120"/>
        <v>1511</v>
      </c>
      <c r="E11208" t="str">
        <f t="shared" si="2121"/>
        <v>25</v>
      </c>
      <c r="F11208" t="str">
        <f t="shared" si="2107"/>
        <v>COM</v>
      </c>
      <c r="G11208" t="str">
        <f t="shared" si="2122"/>
        <v>CASSIO DIAS RIBEIRO (32)</v>
      </c>
      <c r="H11208" t="s">
        <v>3033</v>
      </c>
      <c r="I11208" t="str">
        <f t="shared" si="2123"/>
        <v>15/11/2025</v>
      </c>
      <c r="J11208" t="str">
        <f t="shared" si="2124"/>
        <v>31/10/2025</v>
      </c>
      <c r="K11208">
        <v>45975</v>
      </c>
      <c r="N11208">
        <v>120</v>
      </c>
      <c r="O11208" t="s">
        <v>306</v>
      </c>
      <c r="Q11208">
        <v>31</v>
      </c>
      <c r="R11208" t="str">
        <f>"FARMÁCIA INDIANA LJ 18 (10011)"</f>
        <v>FARMÁCIA INDIANA LJ 18 (10011)</v>
      </c>
      <c r="S11208" t="s">
        <v>48</v>
      </c>
      <c r="T11208">
        <v>21141</v>
      </c>
      <c r="U11208">
        <v>25499</v>
      </c>
      <c r="V11208" t="s">
        <v>48</v>
      </c>
    </row>
    <row r="11209" spans="1:22">
      <c r="A11209" t="str">
        <f t="shared" si="2117"/>
        <v>14/11/2025</v>
      </c>
      <c r="B11209" t="str">
        <f t="shared" si="2118"/>
        <v>SAÍDA</v>
      </c>
      <c r="C11209" t="str">
        <f t="shared" si="2119"/>
        <v>PIX</v>
      </c>
      <c r="D11209" t="str">
        <f t="shared" si="2120"/>
        <v>1511</v>
      </c>
      <c r="E11209" t="str">
        <f t="shared" si="2121"/>
        <v>25</v>
      </c>
      <c r="F11209" t="str">
        <f t="shared" ref="F11209:F11272" si="2125">"COM"</f>
        <v>COM</v>
      </c>
      <c r="G11209" t="str">
        <f t="shared" si="2122"/>
        <v>CASSIO DIAS RIBEIRO (32)</v>
      </c>
      <c r="H11209" t="s">
        <v>3033</v>
      </c>
      <c r="I11209" t="str">
        <f t="shared" si="2123"/>
        <v>15/11/2025</v>
      </c>
      <c r="J11209" t="str">
        <f t="shared" si="2124"/>
        <v>31/10/2025</v>
      </c>
      <c r="K11209">
        <v>45975</v>
      </c>
      <c r="N11209">
        <v>120</v>
      </c>
      <c r="O11209" t="s">
        <v>306</v>
      </c>
      <c r="Q11209">
        <v>31</v>
      </c>
      <c r="R11209" t="str">
        <f>"FARMÁCIA INDIANA LJ 19 (10012)"</f>
        <v>FARMÁCIA INDIANA LJ 19 (10012)</v>
      </c>
      <c r="S11209" t="s">
        <v>48</v>
      </c>
      <c r="T11209">
        <v>21141</v>
      </c>
      <c r="U11209">
        <v>25499</v>
      </c>
      <c r="V11209" t="s">
        <v>48</v>
      </c>
    </row>
    <row r="11210" spans="1:22">
      <c r="A11210" t="str">
        <f t="shared" si="2117"/>
        <v>14/11/2025</v>
      </c>
      <c r="B11210" t="str">
        <f t="shared" si="2118"/>
        <v>SAÍDA</v>
      </c>
      <c r="C11210" t="str">
        <f t="shared" si="2119"/>
        <v>PIX</v>
      </c>
      <c r="D11210" t="str">
        <f t="shared" si="2120"/>
        <v>1511</v>
      </c>
      <c r="E11210" t="str">
        <f t="shared" si="2121"/>
        <v>25</v>
      </c>
      <c r="F11210" t="str">
        <f t="shared" si="2125"/>
        <v>COM</v>
      </c>
      <c r="G11210" t="str">
        <f t="shared" si="2122"/>
        <v>CASSIO DIAS RIBEIRO (32)</v>
      </c>
      <c r="H11210" t="s">
        <v>3033</v>
      </c>
      <c r="I11210" t="str">
        <f t="shared" si="2123"/>
        <v>15/11/2025</v>
      </c>
      <c r="J11210" t="str">
        <f t="shared" si="2124"/>
        <v>31/10/2025</v>
      </c>
      <c r="K11210">
        <v>45975</v>
      </c>
      <c r="N11210">
        <v>120</v>
      </c>
      <c r="O11210" t="s">
        <v>306</v>
      </c>
      <c r="Q11210">
        <v>62.75</v>
      </c>
      <c r="R11210" t="str">
        <f>"FARMÁCIA INDIANA LJ 142 (10066)"</f>
        <v>FARMÁCIA INDIANA LJ 142 (10066)</v>
      </c>
      <c r="S11210" t="s">
        <v>48</v>
      </c>
      <c r="T11210">
        <v>21141</v>
      </c>
      <c r="U11210">
        <v>25499</v>
      </c>
      <c r="V11210" t="s">
        <v>48</v>
      </c>
    </row>
    <row r="11211" spans="1:22">
      <c r="A11211" t="str">
        <f t="shared" si="2117"/>
        <v>14/11/2025</v>
      </c>
      <c r="B11211" t="str">
        <f t="shared" si="2118"/>
        <v>SAÍDA</v>
      </c>
      <c r="C11211" t="str">
        <f t="shared" si="2119"/>
        <v>PIX</v>
      </c>
      <c r="D11211" t="str">
        <f t="shared" si="2120"/>
        <v>1511</v>
      </c>
      <c r="E11211" t="str">
        <f t="shared" si="2121"/>
        <v>25</v>
      </c>
      <c r="F11211" t="str">
        <f t="shared" si="2125"/>
        <v>COM</v>
      </c>
      <c r="G11211" t="str">
        <f t="shared" si="2122"/>
        <v>CASSIO DIAS RIBEIRO (32)</v>
      </c>
      <c r="H11211" t="s">
        <v>3033</v>
      </c>
      <c r="I11211" t="str">
        <f t="shared" si="2123"/>
        <v>15/11/2025</v>
      </c>
      <c r="J11211" t="str">
        <f t="shared" si="2124"/>
        <v>31/10/2025</v>
      </c>
      <c r="K11211">
        <v>45975</v>
      </c>
      <c r="N11211">
        <v>120</v>
      </c>
      <c r="O11211" t="s">
        <v>306</v>
      </c>
      <c r="Q11211">
        <v>13.8</v>
      </c>
      <c r="R11211" t="str">
        <f>"FARMÁCIA INDIANA LJ 181 (10078)"</f>
        <v>FARMÁCIA INDIANA LJ 181 (10078)</v>
      </c>
      <c r="S11211" t="s">
        <v>48</v>
      </c>
      <c r="T11211">
        <v>21141</v>
      </c>
      <c r="U11211">
        <v>25499</v>
      </c>
      <c r="V11211" t="s">
        <v>48</v>
      </c>
    </row>
    <row r="11212" spans="1:22">
      <c r="A11212" t="str">
        <f t="shared" si="2117"/>
        <v>14/11/2025</v>
      </c>
      <c r="B11212" t="str">
        <f t="shared" si="2118"/>
        <v>SAÍDA</v>
      </c>
      <c r="C11212" t="str">
        <f t="shared" si="2119"/>
        <v>PIX</v>
      </c>
      <c r="D11212" t="str">
        <f t="shared" si="2120"/>
        <v>1511</v>
      </c>
      <c r="E11212" t="str">
        <f t="shared" si="2121"/>
        <v>25</v>
      </c>
      <c r="F11212" t="str">
        <f t="shared" si="2125"/>
        <v>COM</v>
      </c>
      <c r="G11212" t="str">
        <f t="shared" si="2122"/>
        <v>CASSIO DIAS RIBEIRO (32)</v>
      </c>
      <c r="H11212" t="s">
        <v>3033</v>
      </c>
      <c r="I11212" t="str">
        <f t="shared" si="2123"/>
        <v>15/11/2025</v>
      </c>
      <c r="J11212" t="str">
        <f t="shared" si="2124"/>
        <v>31/10/2025</v>
      </c>
      <c r="K11212">
        <v>45975</v>
      </c>
      <c r="N11212">
        <v>120</v>
      </c>
      <c r="O11212" t="s">
        <v>306</v>
      </c>
      <c r="Q11212">
        <v>50.4</v>
      </c>
      <c r="R11212" t="str">
        <f>"FARMÁCIA INDIANA LJ 172 (10161)"</f>
        <v>FARMÁCIA INDIANA LJ 172 (10161)</v>
      </c>
      <c r="S11212" t="s">
        <v>48</v>
      </c>
      <c r="T11212">
        <v>21141</v>
      </c>
      <c r="U11212">
        <v>25499</v>
      </c>
      <c r="V11212" t="s">
        <v>48</v>
      </c>
    </row>
    <row r="11213" spans="1:22">
      <c r="A11213" t="str">
        <f t="shared" si="2117"/>
        <v>14/11/2025</v>
      </c>
      <c r="B11213" t="str">
        <f t="shared" si="2118"/>
        <v>SAÍDA</v>
      </c>
      <c r="C11213" t="str">
        <f t="shared" si="2119"/>
        <v>PIX</v>
      </c>
      <c r="D11213" t="str">
        <f t="shared" si="2120"/>
        <v>1511</v>
      </c>
      <c r="E11213" t="str">
        <f t="shared" si="2121"/>
        <v>25</v>
      </c>
      <c r="F11213" t="str">
        <f t="shared" si="2125"/>
        <v>COM</v>
      </c>
      <c r="G11213" t="str">
        <f t="shared" si="2122"/>
        <v>CASSIO DIAS RIBEIRO (32)</v>
      </c>
      <c r="H11213" t="s">
        <v>3033</v>
      </c>
      <c r="I11213" t="str">
        <f t="shared" si="2123"/>
        <v>15/11/2025</v>
      </c>
      <c r="J11213" t="str">
        <f t="shared" si="2124"/>
        <v>31/10/2025</v>
      </c>
      <c r="K11213">
        <v>45975</v>
      </c>
      <c r="N11213">
        <v>120</v>
      </c>
      <c r="O11213" t="s">
        <v>306</v>
      </c>
      <c r="Q11213">
        <v>44.35</v>
      </c>
      <c r="R11213" t="str">
        <f>"ENTREFARMA (10164)"</f>
        <v>ENTREFARMA (10164)</v>
      </c>
      <c r="S11213" t="s">
        <v>48</v>
      </c>
      <c r="T11213">
        <v>21141</v>
      </c>
      <c r="U11213">
        <v>25499</v>
      </c>
      <c r="V11213" t="s">
        <v>48</v>
      </c>
    </row>
    <row r="11214" spans="1:22">
      <c r="A11214" t="str">
        <f t="shared" si="2117"/>
        <v>14/11/2025</v>
      </c>
      <c r="B11214" t="str">
        <f t="shared" si="2118"/>
        <v>SAÍDA</v>
      </c>
      <c r="C11214" t="str">
        <f t="shared" si="2119"/>
        <v>PIX</v>
      </c>
      <c r="D11214" t="str">
        <f t="shared" si="2120"/>
        <v>1511</v>
      </c>
      <c r="E11214" t="str">
        <f t="shared" si="2121"/>
        <v>25</v>
      </c>
      <c r="F11214" t="str">
        <f t="shared" si="2125"/>
        <v>COM</v>
      </c>
      <c r="G11214" t="str">
        <f t="shared" si="2122"/>
        <v>CASSIO DIAS RIBEIRO (32)</v>
      </c>
      <c r="H11214" t="s">
        <v>3033</v>
      </c>
      <c r="I11214" t="str">
        <f t="shared" si="2123"/>
        <v>15/11/2025</v>
      </c>
      <c r="J11214" t="str">
        <f t="shared" si="2124"/>
        <v>31/10/2025</v>
      </c>
      <c r="K11214">
        <v>45975</v>
      </c>
      <c r="N11214">
        <v>120</v>
      </c>
      <c r="O11214" t="s">
        <v>306</v>
      </c>
      <c r="Q11214">
        <v>15.1</v>
      </c>
      <c r="R11214" t="str">
        <f>"DROGARIA VAZ (10179)"</f>
        <v>DROGARIA VAZ (10179)</v>
      </c>
      <c r="S11214" t="s">
        <v>48</v>
      </c>
      <c r="T11214">
        <v>21141</v>
      </c>
      <c r="U11214">
        <v>25499</v>
      </c>
      <c r="V11214" t="s">
        <v>48</v>
      </c>
    </row>
    <row r="11215" spans="1:22">
      <c r="A11215" t="str">
        <f t="shared" si="2117"/>
        <v>14/11/2025</v>
      </c>
      <c r="B11215" t="str">
        <f>"ENTRADA"</f>
        <v>ENTRADA</v>
      </c>
      <c r="C11215" t="str">
        <f>"DINHEIRO"</f>
        <v>DINHEIRO</v>
      </c>
      <c r="D11215" t="str">
        <f t="shared" si="2120"/>
        <v>1511</v>
      </c>
      <c r="E11215" t="str">
        <f t="shared" si="2121"/>
        <v>25</v>
      </c>
      <c r="F11215" t="str">
        <f t="shared" si="2125"/>
        <v>COM</v>
      </c>
      <c r="G11215" t="str">
        <f t="shared" si="2122"/>
        <v>CASSIO DIAS RIBEIRO (32)</v>
      </c>
      <c r="H11215" t="str">
        <f>"REEMBOLSO ADIANTAMENTO LIDERANÇA"</f>
        <v>REEMBOLSO ADIANTAMENTO LIDERANÇA</v>
      </c>
      <c r="I11215" t="str">
        <f t="shared" si="2123"/>
        <v>15/11/2025</v>
      </c>
      <c r="J11215" t="str">
        <f>("20/08/2025")</f>
        <v>20/08/2025</v>
      </c>
      <c r="K11215" t="str">
        <f>("14/11/2025")</f>
        <v>14/11/2025</v>
      </c>
      <c r="L11215">
        <v>500</v>
      </c>
      <c r="M11215">
        <v>500</v>
      </c>
      <c r="N11215">
        <v>129</v>
      </c>
      <c r="O11215" t="str">
        <f>"ENTRADA DE REEMBOLSO ADIANTAMENTO"</f>
        <v>ENTRADA DE REEMBOLSO ADIANTAMENTO</v>
      </c>
      <c r="P11215">
        <v>500</v>
      </c>
      <c r="S11215" t="str">
        <f>"ENTRADA DE REEMBOLSO ADIANTAMENTO (129)"</f>
        <v>ENTRADA DE REEMBOLSO ADIANTAMENTO (129)</v>
      </c>
      <c r="T11215">
        <v>21142</v>
      </c>
      <c r="U11215">
        <v>20691</v>
      </c>
      <c r="V11215" t="s">
        <v>48</v>
      </c>
    </row>
    <row r="11216" spans="1:22">
      <c r="A11216" t="str">
        <f t="shared" si="2117"/>
        <v>14/11/2025</v>
      </c>
      <c r="B11216" t="str">
        <f>"ENTRADA"</f>
        <v>ENTRADA</v>
      </c>
      <c r="C11216" t="str">
        <f>"DINHEIRO"</f>
        <v>DINHEIRO</v>
      </c>
      <c r="D11216" t="str">
        <f t="shared" si="2120"/>
        <v>1511</v>
      </c>
      <c r="E11216" t="str">
        <f t="shared" si="2121"/>
        <v>25</v>
      </c>
      <c r="F11216" t="str">
        <f t="shared" si="2125"/>
        <v>COM</v>
      </c>
      <c r="G11216" t="str">
        <f t="shared" si="2122"/>
        <v>CASSIO DIAS RIBEIRO (32)</v>
      </c>
      <c r="H11216" t="s">
        <v>558</v>
      </c>
      <c r="I11216" t="str">
        <f t="shared" si="2123"/>
        <v>15/11/2025</v>
      </c>
      <c r="J11216" t="str">
        <f>("20/08/2025")</f>
        <v>20/08/2025</v>
      </c>
      <c r="K11216">
        <v>45975</v>
      </c>
      <c r="N11216">
        <v>129</v>
      </c>
      <c r="O11216" t="s">
        <v>58</v>
      </c>
      <c r="Q11216">
        <v>500</v>
      </c>
      <c r="R11216" t="str">
        <f>"CASSIO DIAS RIBEIRO (32)"</f>
        <v>CASSIO DIAS RIBEIRO (32)</v>
      </c>
      <c r="S11216" t="s">
        <v>59</v>
      </c>
      <c r="T11216">
        <v>21142</v>
      </c>
      <c r="U11216">
        <v>20691</v>
      </c>
      <c r="V11216" t="s">
        <v>48</v>
      </c>
    </row>
    <row r="11217" spans="1:22">
      <c r="A11217" t="str">
        <f t="shared" si="2117"/>
        <v>14/11/2025</v>
      </c>
      <c r="B11217" t="str">
        <f t="shared" ref="B11217:B11224" si="2126">"SAÍDA"</f>
        <v>SAÍDA</v>
      </c>
      <c r="C11217" t="str">
        <f t="shared" ref="C11217:C11224" si="2127">"PIX"</f>
        <v>PIX</v>
      </c>
      <c r="D11217" t="str">
        <f t="shared" ref="D11217:D11224" si="2128">"1411"</f>
        <v>1411</v>
      </c>
      <c r="E11217" t="str">
        <f t="shared" si="2121"/>
        <v>25</v>
      </c>
      <c r="F11217" t="str">
        <f t="shared" si="2125"/>
        <v>COM</v>
      </c>
      <c r="G11217" t="str">
        <f t="shared" ref="G11217:G11226" si="2129">"BRUNO BARBOSA DE MATOS (82)"</f>
        <v>BRUNO BARBOSA DE MATOS (82)</v>
      </c>
      <c r="H11217" t="str">
        <f>"PAGAMENTO LIDERANÇA REF. MES 10/2025 - PIX: CPF - CHAVE: 137.446.146-62"</f>
        <v>PAGAMENTO LIDERANÇA REF. MES 10/2025 - PIX: CPF - CHAVE: 137.446.146-62</v>
      </c>
      <c r="I11217" t="str">
        <f t="shared" ref="I11217:I11224" si="2130">("14/11/2025")</f>
        <v>14/11/2025</v>
      </c>
      <c r="J11217" t="str">
        <f t="shared" ref="J11217:J11224" si="2131">("31/10/2025")</f>
        <v>31/10/2025</v>
      </c>
      <c r="K11217" t="str">
        <f>("14/11/2025")</f>
        <v>14/11/2025</v>
      </c>
      <c r="L11217">
        <v>702.41</v>
      </c>
      <c r="M11217">
        <v>702.41</v>
      </c>
      <c r="N11217">
        <v>120</v>
      </c>
      <c r="O11217" t="str">
        <f>"PAGAMENTO COMISSAO LIDERES"</f>
        <v>PAGAMENTO COMISSAO LIDERES</v>
      </c>
      <c r="P11217">
        <v>702.41</v>
      </c>
      <c r="S11217" t="str">
        <f>"CAIXA MOVIMENTAÇÃO OPERACIONAL (132)"</f>
        <v>CAIXA MOVIMENTAÇÃO OPERACIONAL (132)</v>
      </c>
      <c r="T11217">
        <v>21143</v>
      </c>
      <c r="U11217">
        <v>25505</v>
      </c>
      <c r="V11217" t="s">
        <v>48</v>
      </c>
    </row>
    <row r="11218" spans="1:22">
      <c r="A11218" t="str">
        <f t="shared" si="2117"/>
        <v>14/11/2025</v>
      </c>
      <c r="B11218" t="str">
        <f t="shared" si="2126"/>
        <v>SAÍDA</v>
      </c>
      <c r="C11218" t="str">
        <f t="shared" si="2127"/>
        <v>PIX</v>
      </c>
      <c r="D11218" t="str">
        <f t="shared" si="2128"/>
        <v>1411</v>
      </c>
      <c r="E11218" t="str">
        <f t="shared" si="2121"/>
        <v>25</v>
      </c>
      <c r="F11218" t="str">
        <f t="shared" si="2125"/>
        <v>COM</v>
      </c>
      <c r="G11218" t="str">
        <f t="shared" si="2129"/>
        <v>BRUNO BARBOSA DE MATOS (82)</v>
      </c>
      <c r="H11218" t="s">
        <v>3034</v>
      </c>
      <c r="I11218" t="str">
        <f t="shared" si="2130"/>
        <v>14/11/2025</v>
      </c>
      <c r="J11218" t="str">
        <f t="shared" si="2131"/>
        <v>31/10/2025</v>
      </c>
      <c r="K11218">
        <v>45975</v>
      </c>
      <c r="N11218">
        <v>120</v>
      </c>
      <c r="O11218" t="s">
        <v>306</v>
      </c>
      <c r="Q11218">
        <v>108.17</v>
      </c>
      <c r="R11218" t="str">
        <f>"FARMÁCIA INDIANA LJ 100 (10042)"</f>
        <v>FARMÁCIA INDIANA LJ 100 (10042)</v>
      </c>
      <c r="S11218" t="s">
        <v>48</v>
      </c>
      <c r="T11218">
        <v>21143</v>
      </c>
      <c r="U11218">
        <v>25505</v>
      </c>
      <c r="V11218" t="s">
        <v>48</v>
      </c>
    </row>
    <row r="11219" spans="1:22">
      <c r="A11219" t="str">
        <f t="shared" si="2117"/>
        <v>14/11/2025</v>
      </c>
      <c r="B11219" t="str">
        <f t="shared" si="2126"/>
        <v>SAÍDA</v>
      </c>
      <c r="C11219" t="str">
        <f t="shared" si="2127"/>
        <v>PIX</v>
      </c>
      <c r="D11219" t="str">
        <f t="shared" si="2128"/>
        <v>1411</v>
      </c>
      <c r="E11219" t="str">
        <f t="shared" si="2121"/>
        <v>25</v>
      </c>
      <c r="F11219" t="str">
        <f t="shared" si="2125"/>
        <v>COM</v>
      </c>
      <c r="G11219" t="str">
        <f t="shared" si="2129"/>
        <v>BRUNO BARBOSA DE MATOS (82)</v>
      </c>
      <c r="H11219" t="s">
        <v>3034</v>
      </c>
      <c r="I11219" t="str">
        <f t="shared" si="2130"/>
        <v>14/11/2025</v>
      </c>
      <c r="J11219" t="str">
        <f t="shared" si="2131"/>
        <v>31/10/2025</v>
      </c>
      <c r="K11219">
        <v>45975</v>
      </c>
      <c r="N11219">
        <v>120</v>
      </c>
      <c r="O11219" t="s">
        <v>306</v>
      </c>
      <c r="Q11219">
        <v>79.09</v>
      </c>
      <c r="R11219" t="str">
        <f>"FARMÁCIA INDIANA LJ 101 (10043)"</f>
        <v>FARMÁCIA INDIANA LJ 101 (10043)</v>
      </c>
      <c r="S11219" t="s">
        <v>48</v>
      </c>
      <c r="T11219">
        <v>21143</v>
      </c>
      <c r="U11219">
        <v>25505</v>
      </c>
      <c r="V11219" t="s">
        <v>48</v>
      </c>
    </row>
    <row r="11220" spans="1:22">
      <c r="A11220" t="str">
        <f t="shared" si="2117"/>
        <v>14/11/2025</v>
      </c>
      <c r="B11220" t="str">
        <f t="shared" si="2126"/>
        <v>SAÍDA</v>
      </c>
      <c r="C11220" t="str">
        <f t="shared" si="2127"/>
        <v>PIX</v>
      </c>
      <c r="D11220" t="str">
        <f t="shared" si="2128"/>
        <v>1411</v>
      </c>
      <c r="E11220" t="str">
        <f t="shared" si="2121"/>
        <v>25</v>
      </c>
      <c r="F11220" t="str">
        <f t="shared" si="2125"/>
        <v>COM</v>
      </c>
      <c r="G11220" t="str">
        <f t="shared" si="2129"/>
        <v>BRUNO BARBOSA DE MATOS (82)</v>
      </c>
      <c r="H11220" t="s">
        <v>3034</v>
      </c>
      <c r="I11220" t="str">
        <f t="shared" si="2130"/>
        <v>14/11/2025</v>
      </c>
      <c r="J11220" t="str">
        <f t="shared" si="2131"/>
        <v>31/10/2025</v>
      </c>
      <c r="K11220">
        <v>45975</v>
      </c>
      <c r="N11220">
        <v>120</v>
      </c>
      <c r="O11220" t="s">
        <v>306</v>
      </c>
      <c r="Q11220">
        <v>125.52</v>
      </c>
      <c r="R11220" t="str">
        <f>"FARMÁCIA INDIANA LJ 110 (10048)"</f>
        <v>FARMÁCIA INDIANA LJ 110 (10048)</v>
      </c>
      <c r="S11220" t="s">
        <v>48</v>
      </c>
      <c r="T11220">
        <v>21143</v>
      </c>
      <c r="U11220">
        <v>25505</v>
      </c>
      <c r="V11220" t="s">
        <v>48</v>
      </c>
    </row>
    <row r="11221" spans="1:22">
      <c r="A11221" t="str">
        <f t="shared" si="2117"/>
        <v>14/11/2025</v>
      </c>
      <c r="B11221" t="str">
        <f t="shared" si="2126"/>
        <v>SAÍDA</v>
      </c>
      <c r="C11221" t="str">
        <f t="shared" si="2127"/>
        <v>PIX</v>
      </c>
      <c r="D11221" t="str">
        <f t="shared" si="2128"/>
        <v>1411</v>
      </c>
      <c r="E11221" t="str">
        <f t="shared" si="2121"/>
        <v>25</v>
      </c>
      <c r="F11221" t="str">
        <f t="shared" si="2125"/>
        <v>COM</v>
      </c>
      <c r="G11221" t="str">
        <f t="shared" si="2129"/>
        <v>BRUNO BARBOSA DE MATOS (82)</v>
      </c>
      <c r="H11221" t="s">
        <v>3034</v>
      </c>
      <c r="I11221" t="str">
        <f t="shared" si="2130"/>
        <v>14/11/2025</v>
      </c>
      <c r="J11221" t="str">
        <f t="shared" si="2131"/>
        <v>31/10/2025</v>
      </c>
      <c r="K11221">
        <v>45975</v>
      </c>
      <c r="N11221">
        <v>120</v>
      </c>
      <c r="O11221" t="s">
        <v>306</v>
      </c>
      <c r="Q11221">
        <v>150.25</v>
      </c>
      <c r="R11221" t="str">
        <f>"FARMÁCIA INDIANA LJ 152 (10069)"</f>
        <v>FARMÁCIA INDIANA LJ 152 (10069)</v>
      </c>
      <c r="S11221" t="s">
        <v>48</v>
      </c>
      <c r="T11221">
        <v>21143</v>
      </c>
      <c r="U11221">
        <v>25505</v>
      </c>
      <c r="V11221" t="s">
        <v>48</v>
      </c>
    </row>
    <row r="11222" spans="1:22">
      <c r="A11222" t="str">
        <f t="shared" si="2117"/>
        <v>14/11/2025</v>
      </c>
      <c r="B11222" t="str">
        <f t="shared" si="2126"/>
        <v>SAÍDA</v>
      </c>
      <c r="C11222" t="str">
        <f t="shared" si="2127"/>
        <v>PIX</v>
      </c>
      <c r="D11222" t="str">
        <f t="shared" si="2128"/>
        <v>1411</v>
      </c>
      <c r="E11222" t="str">
        <f t="shared" si="2121"/>
        <v>25</v>
      </c>
      <c r="F11222" t="str">
        <f t="shared" si="2125"/>
        <v>COM</v>
      </c>
      <c r="G11222" t="str">
        <f t="shared" si="2129"/>
        <v>BRUNO BARBOSA DE MATOS (82)</v>
      </c>
      <c r="H11222" t="s">
        <v>3034</v>
      </c>
      <c r="I11222" t="str">
        <f t="shared" si="2130"/>
        <v>14/11/2025</v>
      </c>
      <c r="J11222" t="str">
        <f t="shared" si="2131"/>
        <v>31/10/2025</v>
      </c>
      <c r="K11222">
        <v>45975</v>
      </c>
      <c r="N11222">
        <v>120</v>
      </c>
      <c r="O11222" t="s">
        <v>306</v>
      </c>
      <c r="Q11222">
        <v>115.97</v>
      </c>
      <c r="R11222" t="str">
        <f>"FARMÁCIA INDIANA LJ 171 (10074)"</f>
        <v>FARMÁCIA INDIANA LJ 171 (10074)</v>
      </c>
      <c r="S11222" t="s">
        <v>48</v>
      </c>
      <c r="T11222">
        <v>21143</v>
      </c>
      <c r="U11222">
        <v>25505</v>
      </c>
      <c r="V11222" t="s">
        <v>48</v>
      </c>
    </row>
    <row r="11223" spans="1:22">
      <c r="A11223" t="str">
        <f t="shared" si="2117"/>
        <v>14/11/2025</v>
      </c>
      <c r="B11223" t="str">
        <f t="shared" si="2126"/>
        <v>SAÍDA</v>
      </c>
      <c r="C11223" t="str">
        <f t="shared" si="2127"/>
        <v>PIX</v>
      </c>
      <c r="D11223" t="str">
        <f t="shared" si="2128"/>
        <v>1411</v>
      </c>
      <c r="E11223" t="str">
        <f t="shared" si="2121"/>
        <v>25</v>
      </c>
      <c r="F11223" t="str">
        <f t="shared" si="2125"/>
        <v>COM</v>
      </c>
      <c r="G11223" t="str">
        <f t="shared" si="2129"/>
        <v>BRUNO BARBOSA DE MATOS (82)</v>
      </c>
      <c r="H11223" t="s">
        <v>3034</v>
      </c>
      <c r="I11223" t="str">
        <f t="shared" si="2130"/>
        <v>14/11/2025</v>
      </c>
      <c r="J11223" t="str">
        <f t="shared" si="2131"/>
        <v>31/10/2025</v>
      </c>
      <c r="K11223">
        <v>45975</v>
      </c>
      <c r="N11223">
        <v>120</v>
      </c>
      <c r="O11223" t="s">
        <v>306</v>
      </c>
      <c r="Q11223">
        <v>44.32</v>
      </c>
      <c r="R11223" t="str">
        <f>"FARMÁCIA INDIANA LJ 178 (10077)"</f>
        <v>FARMÁCIA INDIANA LJ 178 (10077)</v>
      </c>
      <c r="S11223" t="s">
        <v>48</v>
      </c>
      <c r="T11223">
        <v>21143</v>
      </c>
      <c r="U11223">
        <v>25505</v>
      </c>
      <c r="V11223" t="s">
        <v>48</v>
      </c>
    </row>
    <row r="11224" spans="1:22">
      <c r="A11224" t="str">
        <f t="shared" si="2117"/>
        <v>14/11/2025</v>
      </c>
      <c r="B11224" t="str">
        <f t="shared" si="2126"/>
        <v>SAÍDA</v>
      </c>
      <c r="C11224" t="str">
        <f t="shared" si="2127"/>
        <v>PIX</v>
      </c>
      <c r="D11224" t="str">
        <f t="shared" si="2128"/>
        <v>1411</v>
      </c>
      <c r="E11224" t="str">
        <f t="shared" si="2121"/>
        <v>25</v>
      </c>
      <c r="F11224" t="str">
        <f t="shared" si="2125"/>
        <v>COM</v>
      </c>
      <c r="G11224" t="str">
        <f t="shared" si="2129"/>
        <v>BRUNO BARBOSA DE MATOS (82)</v>
      </c>
      <c r="H11224" t="s">
        <v>3034</v>
      </c>
      <c r="I11224" t="str">
        <f t="shared" si="2130"/>
        <v>14/11/2025</v>
      </c>
      <c r="J11224" t="str">
        <f t="shared" si="2131"/>
        <v>31/10/2025</v>
      </c>
      <c r="K11224">
        <v>45975</v>
      </c>
      <c r="N11224">
        <v>120</v>
      </c>
      <c r="O11224" t="s">
        <v>306</v>
      </c>
      <c r="Q11224">
        <v>79.09</v>
      </c>
      <c r="R11224" t="str">
        <f>"FARMÁCIA INDIANA LJ 220 (10092)"</f>
        <v>FARMÁCIA INDIANA LJ 220 (10092)</v>
      </c>
      <c r="S11224" t="s">
        <v>48</v>
      </c>
      <c r="T11224">
        <v>21143</v>
      </c>
      <c r="U11224">
        <v>25505</v>
      </c>
      <c r="V11224" t="s">
        <v>48</v>
      </c>
    </row>
    <row r="11225" spans="1:22">
      <c r="A11225" t="str">
        <f t="shared" si="2117"/>
        <v>14/11/2025</v>
      </c>
      <c r="B11225" t="str">
        <f>"ENTRADA"</f>
        <v>ENTRADA</v>
      </c>
      <c r="C11225" t="str">
        <f>"DINHEIRO"</f>
        <v>DINHEIRO</v>
      </c>
      <c r="D11225" t="str">
        <f>"151020"</f>
        <v>151020</v>
      </c>
      <c r="E11225" t="str">
        <f t="shared" si="2121"/>
        <v>25</v>
      </c>
      <c r="F11225" t="str">
        <f t="shared" si="2125"/>
        <v>COM</v>
      </c>
      <c r="G11225" t="str">
        <f t="shared" si="2129"/>
        <v>BRUNO BARBOSA DE MATOS (82)</v>
      </c>
      <c r="H11225" t="str">
        <f>"REEMBOLSO ADIANTAMENTO LIDERANÇA"</f>
        <v>REEMBOLSO ADIANTAMENTO LIDERANÇA</v>
      </c>
      <c r="I11225" t="str">
        <f>("15/11/2025")</f>
        <v>15/11/2025</v>
      </c>
      <c r="J11225" t="str">
        <f>("07/08/2025")</f>
        <v>07/08/2025</v>
      </c>
      <c r="K11225" t="str">
        <f>("14/11/2025")</f>
        <v>14/11/2025</v>
      </c>
      <c r="L11225">
        <v>702.41</v>
      </c>
      <c r="M11225">
        <v>702.41</v>
      </c>
      <c r="N11225">
        <v>129</v>
      </c>
      <c r="O11225" t="str">
        <f>"ENTRADA DE REEMBOLSO ADIANTAMENTO"</f>
        <v>ENTRADA DE REEMBOLSO ADIANTAMENTO</v>
      </c>
      <c r="P11225">
        <v>702.41</v>
      </c>
      <c r="S11225" t="str">
        <f>"ENTRADA DE REEMBOLSO ADIANTAMENTO (129)"</f>
        <v>ENTRADA DE REEMBOLSO ADIANTAMENTO (129)</v>
      </c>
      <c r="T11225">
        <v>21144</v>
      </c>
      <c r="U11225">
        <v>19392</v>
      </c>
      <c r="V11225" t="s">
        <v>48</v>
      </c>
    </row>
    <row r="11226" spans="1:22">
      <c r="A11226" t="str">
        <f t="shared" si="2117"/>
        <v>14/11/2025</v>
      </c>
      <c r="B11226" t="str">
        <f>"ENTRADA"</f>
        <v>ENTRADA</v>
      </c>
      <c r="C11226" t="str">
        <f>"DINHEIRO"</f>
        <v>DINHEIRO</v>
      </c>
      <c r="D11226" t="str">
        <f>"151020"</f>
        <v>151020</v>
      </c>
      <c r="E11226" t="str">
        <f t="shared" si="2121"/>
        <v>25</v>
      </c>
      <c r="F11226" t="str">
        <f t="shared" si="2125"/>
        <v>COM</v>
      </c>
      <c r="G11226" t="str">
        <f t="shared" si="2129"/>
        <v>BRUNO BARBOSA DE MATOS (82)</v>
      </c>
      <c r="H11226" t="s">
        <v>558</v>
      </c>
      <c r="I11226" t="str">
        <f>("15/11/2025")</f>
        <v>15/11/2025</v>
      </c>
      <c r="J11226" t="str">
        <f>("07/08/2025")</f>
        <v>07/08/2025</v>
      </c>
      <c r="K11226">
        <v>45975</v>
      </c>
      <c r="N11226">
        <v>129</v>
      </c>
      <c r="O11226" t="s">
        <v>58</v>
      </c>
      <c r="Q11226">
        <v>702.41</v>
      </c>
      <c r="R11226" t="str">
        <f>"BRUNO BARBOSA DE MATOS (82)"</f>
        <v>BRUNO BARBOSA DE MATOS (82)</v>
      </c>
      <c r="S11226" t="s">
        <v>59</v>
      </c>
      <c r="T11226">
        <v>21144</v>
      </c>
      <c r="U11226">
        <v>19392</v>
      </c>
      <c r="V11226" t="s">
        <v>48</v>
      </c>
    </row>
    <row r="11227" spans="1:22">
      <c r="A11227" t="str">
        <f t="shared" si="2117"/>
        <v>14/11/2025</v>
      </c>
      <c r="B11227" t="str">
        <f t="shared" ref="B11227:B11258" si="2132">"SAÍDA"</f>
        <v>SAÍDA</v>
      </c>
      <c r="C11227" t="str">
        <f t="shared" ref="C11227:C11258" si="2133">"PIX"</f>
        <v>PIX</v>
      </c>
      <c r="D11227" t="str">
        <f>"1411"</f>
        <v>1411</v>
      </c>
      <c r="E11227" t="str">
        <f t="shared" si="2121"/>
        <v>25</v>
      </c>
      <c r="F11227" t="str">
        <f t="shared" si="2125"/>
        <v>COM</v>
      </c>
      <c r="G11227" t="str">
        <f>"GILSON OLIVEIRA CAMPINHO JUNIOR (132)"</f>
        <v>GILSON OLIVEIRA CAMPINHO JUNIOR (132)</v>
      </c>
      <c r="H11227" t="str">
        <f>"ADIANTAMENTO"</f>
        <v>ADIANTAMENTO</v>
      </c>
      <c r="I11227" t="str">
        <f>("14/11/2025")</f>
        <v>14/11/2025</v>
      </c>
      <c r="J11227" t="str">
        <f>("14/11/2025")</f>
        <v>14/11/2025</v>
      </c>
      <c r="K11227" t="str">
        <f>("14/11/2025")</f>
        <v>14/11/2025</v>
      </c>
      <c r="L11227">
        <v>2900</v>
      </c>
      <c r="M11227">
        <v>2900</v>
      </c>
      <c r="N11227">
        <v>5000</v>
      </c>
      <c r="O11227" t="str">
        <f>"SOLICITACAO DE ADIANTAMENTO"</f>
        <v>SOLICITACAO DE ADIANTAMENTO</v>
      </c>
      <c r="P11227">
        <v>2900</v>
      </c>
      <c r="S11227" t="str">
        <f>"BANCO CORA (102)"</f>
        <v>BANCO CORA (102)</v>
      </c>
      <c r="T11227">
        <v>21145</v>
      </c>
      <c r="U11227">
        <v>25511</v>
      </c>
      <c r="V11227" t="s">
        <v>22</v>
      </c>
    </row>
    <row r="11228" spans="1:22">
      <c r="A11228" t="str">
        <f t="shared" si="2117"/>
        <v>14/11/2025</v>
      </c>
      <c r="B11228" t="str">
        <f t="shared" si="2132"/>
        <v>SAÍDA</v>
      </c>
      <c r="C11228" t="str">
        <f t="shared" si="2133"/>
        <v>PIX</v>
      </c>
      <c r="D11228" t="str">
        <f>"1411"</f>
        <v>1411</v>
      </c>
      <c r="E11228" t="str">
        <f t="shared" si="2121"/>
        <v>25</v>
      </c>
      <c r="F11228" t="str">
        <f t="shared" si="2125"/>
        <v>COM</v>
      </c>
      <c r="G11228" t="str">
        <f>"GILSON OLIVEIRA CAMPINHO JUNIOR (132)"</f>
        <v>GILSON OLIVEIRA CAMPINHO JUNIOR (132)</v>
      </c>
      <c r="H11228" t="s">
        <v>85</v>
      </c>
      <c r="I11228" t="str">
        <f>("14/11/2025")</f>
        <v>14/11/2025</v>
      </c>
      <c r="J11228" t="str">
        <f>("14/11/2025")</f>
        <v>14/11/2025</v>
      </c>
      <c r="K11228">
        <v>45975</v>
      </c>
      <c r="N11228">
        <v>5000</v>
      </c>
      <c r="O11228" t="s">
        <v>86</v>
      </c>
      <c r="Q11228">
        <v>2900</v>
      </c>
      <c r="R11228" t="str">
        <f>"GILSON OLIVEIRA CAMPINHO JUNIOR (132)"</f>
        <v>GILSON OLIVEIRA CAMPINHO JUNIOR (132)</v>
      </c>
      <c r="S11228" t="s">
        <v>22</v>
      </c>
      <c r="T11228">
        <v>21145</v>
      </c>
      <c r="U11228">
        <v>25511</v>
      </c>
      <c r="V11228" t="s">
        <v>22</v>
      </c>
    </row>
    <row r="11229" spans="1:22">
      <c r="A11229" t="str">
        <f t="shared" si="2117"/>
        <v>14/11/2025</v>
      </c>
      <c r="B11229" t="str">
        <f t="shared" si="2132"/>
        <v>SAÍDA</v>
      </c>
      <c r="C11229" t="str">
        <f t="shared" si="2133"/>
        <v>PIX</v>
      </c>
      <c r="D11229" t="str">
        <f>"40"</f>
        <v>40</v>
      </c>
      <c r="E11229" t="str">
        <f>""</f>
        <v/>
      </c>
      <c r="F11229" t="str">
        <f t="shared" si="2125"/>
        <v>COM</v>
      </c>
      <c r="G11229" t="str">
        <f>"AGORA MIDIA MARKETING DIRETO LTDA (20047)"</f>
        <v>AGORA MIDIA MARKETING DIRETO LTDA (20047)</v>
      </c>
      <c r="H11229" t="str">
        <f>"ASSESSORIA MARKETING DIGITAL - 11/2025"</f>
        <v>ASSESSORIA MARKETING DIGITAL - 11/2025</v>
      </c>
      <c r="I11229" t="str">
        <f t="shared" ref="I11229:I11260" si="2134">("14/11/2025")</f>
        <v>14/11/2025</v>
      </c>
      <c r="J11229" t="str">
        <f>("03/11/2025")</f>
        <v>03/11/2025</v>
      </c>
      <c r="K11229" t="str">
        <f>("14/11/2025")</f>
        <v>14/11/2025</v>
      </c>
      <c r="L11229">
        <v>1500</v>
      </c>
      <c r="M11229">
        <v>1500</v>
      </c>
      <c r="N11229">
        <v>127</v>
      </c>
      <c r="O11229" t="str">
        <f>"PUBLICIDADE E PROPAGANDAS"</f>
        <v>PUBLICIDADE E PROPAGANDAS</v>
      </c>
      <c r="P11229">
        <v>1500</v>
      </c>
      <c r="S11229" t="str">
        <f>"BANCO CORA (102)"</f>
        <v>BANCO CORA (102)</v>
      </c>
      <c r="T11229">
        <v>21150</v>
      </c>
      <c r="U11229">
        <v>25367</v>
      </c>
      <c r="V11229" t="s">
        <v>22</v>
      </c>
    </row>
    <row r="11230" spans="1:22">
      <c r="A11230" t="str">
        <f t="shared" si="2117"/>
        <v>14/11/2025</v>
      </c>
      <c r="B11230" t="str">
        <f t="shared" si="2132"/>
        <v>SAÍDA</v>
      </c>
      <c r="C11230" t="str">
        <f t="shared" si="2133"/>
        <v>PIX</v>
      </c>
      <c r="D11230" t="str">
        <f>"40"</f>
        <v>40</v>
      </c>
      <c r="E11230" t="str">
        <f>""</f>
        <v/>
      </c>
      <c r="F11230" t="str">
        <f t="shared" si="2125"/>
        <v>COM</v>
      </c>
      <c r="G11230" t="str">
        <f>"AGORA MIDIA MARKETING DIRETO LTDA (20047)"</f>
        <v>AGORA MIDIA MARKETING DIRETO LTDA (20047)</v>
      </c>
      <c r="H11230" t="s">
        <v>3035</v>
      </c>
      <c r="I11230" t="str">
        <f t="shared" si="2134"/>
        <v>14/11/2025</v>
      </c>
      <c r="J11230" t="str">
        <f>("03/11/2025")</f>
        <v>03/11/2025</v>
      </c>
      <c r="K11230">
        <v>45975</v>
      </c>
      <c r="N11230">
        <v>127</v>
      </c>
      <c r="O11230" t="s">
        <v>865</v>
      </c>
      <c r="Q11230">
        <v>1500</v>
      </c>
      <c r="R11230" t="str">
        <f>"AGORA MIDIA MARKETING DIRETO LTDA (20047)"</f>
        <v>AGORA MIDIA MARKETING DIRETO LTDA (20047)</v>
      </c>
      <c r="S11230" t="s">
        <v>22</v>
      </c>
      <c r="T11230">
        <v>21150</v>
      </c>
      <c r="U11230">
        <v>25367</v>
      </c>
      <c r="V11230" t="s">
        <v>22</v>
      </c>
    </row>
    <row r="11231" spans="1:22">
      <c r="A11231" t="str">
        <f t="shared" si="2117"/>
        <v>14/11/2025</v>
      </c>
      <c r="B11231" t="str">
        <f t="shared" si="2132"/>
        <v>SAÍDA</v>
      </c>
      <c r="C11231" t="str">
        <f t="shared" si="2133"/>
        <v>PIX</v>
      </c>
      <c r="D11231" t="str">
        <f>"15079270"</f>
        <v>15079270</v>
      </c>
      <c r="E11231" t="str">
        <f>""</f>
        <v/>
      </c>
      <c r="F11231" t="str">
        <f t="shared" si="2125"/>
        <v>COM</v>
      </c>
      <c r="G11231" t="str">
        <f>"54.235.509 ROBERT MAGDIEL DE CARVALHO (20004)"</f>
        <v>54.235.509 ROBERT MAGDIEL DE CARVALHO (20004)</v>
      </c>
      <c r="H11231" t="str">
        <f>"SERVIDOR CLOUD BOT RECRUTAMENTO - REEMBOLSO"</f>
        <v>SERVIDOR CLOUD BOT RECRUTAMENTO - REEMBOLSO</v>
      </c>
      <c r="I11231" t="str">
        <f t="shared" si="2134"/>
        <v>14/11/2025</v>
      </c>
      <c r="J11231" t="str">
        <f>("01/11/2025")</f>
        <v>01/11/2025</v>
      </c>
      <c r="K11231" t="str">
        <f>("14/11/2025")</f>
        <v>14/11/2025</v>
      </c>
      <c r="L11231">
        <v>38.99</v>
      </c>
      <c r="M11231">
        <v>38.99</v>
      </c>
      <c r="N11231">
        <v>104</v>
      </c>
      <c r="O11231" t="str">
        <f>"SOFTWARE / LICENÇAS"</f>
        <v>SOFTWARE / LICENÇAS</v>
      </c>
      <c r="P11231">
        <v>38.99</v>
      </c>
      <c r="S11231" t="str">
        <f>"BANCO CORA (102)"</f>
        <v>BANCO CORA (102)</v>
      </c>
      <c r="T11231">
        <v>21151</v>
      </c>
      <c r="U11231">
        <v>25501</v>
      </c>
      <c r="V11231" t="s">
        <v>22</v>
      </c>
    </row>
    <row r="11232" spans="1:22">
      <c r="A11232" t="str">
        <f t="shared" si="2117"/>
        <v>14/11/2025</v>
      </c>
      <c r="B11232" t="str">
        <f t="shared" si="2132"/>
        <v>SAÍDA</v>
      </c>
      <c r="C11232" t="str">
        <f t="shared" si="2133"/>
        <v>PIX</v>
      </c>
      <c r="D11232" t="str">
        <f>"15079270"</f>
        <v>15079270</v>
      </c>
      <c r="E11232" t="str">
        <f>""</f>
        <v/>
      </c>
      <c r="F11232" t="str">
        <f t="shared" si="2125"/>
        <v>COM</v>
      </c>
      <c r="G11232" t="str">
        <f>"54.235.509 ROBERT MAGDIEL DE CARVALHO (20004)"</f>
        <v>54.235.509 ROBERT MAGDIEL DE CARVALHO (20004)</v>
      </c>
      <c r="H11232" t="s">
        <v>3036</v>
      </c>
      <c r="I11232" t="str">
        <f t="shared" si="2134"/>
        <v>14/11/2025</v>
      </c>
      <c r="J11232" t="str">
        <f>("01/11/2025")</f>
        <v>01/11/2025</v>
      </c>
      <c r="K11232">
        <v>45975</v>
      </c>
      <c r="N11232">
        <v>104</v>
      </c>
      <c r="O11232" t="s">
        <v>34</v>
      </c>
      <c r="Q11232">
        <v>38.99</v>
      </c>
      <c r="R11232" t="str">
        <f>"54.235.509 ROBERT MAGDIEL DE CARVALHO (20004)"</f>
        <v>54.235.509 ROBERT MAGDIEL DE CARVALHO (20004)</v>
      </c>
      <c r="S11232" t="s">
        <v>22</v>
      </c>
      <c r="T11232">
        <v>21151</v>
      </c>
      <c r="U11232">
        <v>25501</v>
      </c>
      <c r="V11232" t="s">
        <v>22</v>
      </c>
    </row>
    <row r="11233" spans="1:22">
      <c r="A11233" t="str">
        <f t="shared" si="2117"/>
        <v>14/11/2025</v>
      </c>
      <c r="B11233" t="str">
        <f t="shared" si="2132"/>
        <v>SAÍDA</v>
      </c>
      <c r="C11233" t="str">
        <f t="shared" si="2133"/>
        <v>PIX</v>
      </c>
      <c r="D11233" t="str">
        <f>"1411"</f>
        <v>1411</v>
      </c>
      <c r="E11233" t="str">
        <f t="shared" ref="E11233:E11274" si="2135">"25"</f>
        <v>25</v>
      </c>
      <c r="F11233" t="str">
        <f t="shared" si="2125"/>
        <v>COM</v>
      </c>
      <c r="G11233" t="str">
        <f>"WILLIAM DA SILVA COSTA (655)"</f>
        <v>WILLIAM DA SILVA COSTA (655)</v>
      </c>
      <c r="H11233" t="str">
        <f>"PAGAMENTO LIDERANÇA REF. MES 10/2025 - PIX: CELULAR - CHAVE: (64) 97400-9101"</f>
        <v>PAGAMENTO LIDERANÇA REF. MES 10/2025 - PIX: CELULAR - CHAVE: (64) 97400-9101</v>
      </c>
      <c r="I11233" t="str">
        <f t="shared" si="2134"/>
        <v>14/11/2025</v>
      </c>
      <c r="J11233" t="str">
        <f t="shared" ref="J11233:J11274" si="2136">("31/10/2025")</f>
        <v>31/10/2025</v>
      </c>
      <c r="K11233" t="str">
        <f>("14/11/2025")</f>
        <v>14/11/2025</v>
      </c>
      <c r="L11233">
        <v>200</v>
      </c>
      <c r="M11233">
        <v>200</v>
      </c>
      <c r="N11233">
        <v>120</v>
      </c>
      <c r="O11233" t="str">
        <f>"PAGAMENTO COMISSAO LIDERES"</f>
        <v>PAGAMENTO COMISSAO LIDERES</v>
      </c>
      <c r="P11233">
        <v>200</v>
      </c>
      <c r="S11233" t="str">
        <f>"BANCO CORA (102)"</f>
        <v>BANCO CORA (102)</v>
      </c>
      <c r="T11233">
        <v>21152</v>
      </c>
      <c r="U11233">
        <v>25510</v>
      </c>
      <c r="V11233" t="s">
        <v>22</v>
      </c>
    </row>
    <row r="11234" spans="1:22">
      <c r="A11234" t="str">
        <f t="shared" si="2117"/>
        <v>14/11/2025</v>
      </c>
      <c r="B11234" t="str">
        <f t="shared" si="2132"/>
        <v>SAÍDA</v>
      </c>
      <c r="C11234" t="str">
        <f t="shared" si="2133"/>
        <v>PIX</v>
      </c>
      <c r="D11234" t="str">
        <f>"1411"</f>
        <v>1411</v>
      </c>
      <c r="E11234" t="str">
        <f t="shared" si="2135"/>
        <v>25</v>
      </c>
      <c r="F11234" t="str">
        <f t="shared" si="2125"/>
        <v>COM</v>
      </c>
      <c r="G11234" t="str">
        <f>"WILLIAM DA SILVA COSTA (655)"</f>
        <v>WILLIAM DA SILVA COSTA (655)</v>
      </c>
      <c r="H11234" t="s">
        <v>3037</v>
      </c>
      <c r="I11234" t="str">
        <f t="shared" si="2134"/>
        <v>14/11/2025</v>
      </c>
      <c r="J11234" t="str">
        <f t="shared" si="2136"/>
        <v>31/10/2025</v>
      </c>
      <c r="K11234">
        <v>45975</v>
      </c>
      <c r="N11234">
        <v>120</v>
      </c>
      <c r="O11234" t="s">
        <v>306</v>
      </c>
      <c r="Q11234">
        <v>200</v>
      </c>
      <c r="R11234" t="str">
        <f>"FARMACIA ECONOMIZE (10103)"</f>
        <v>FARMACIA ECONOMIZE (10103)</v>
      </c>
      <c r="S11234" t="s">
        <v>22</v>
      </c>
      <c r="T11234">
        <v>21152</v>
      </c>
      <c r="U11234">
        <v>25510</v>
      </c>
      <c r="V11234" t="s">
        <v>22</v>
      </c>
    </row>
    <row r="11235" spans="1:22">
      <c r="A11235" t="str">
        <f t="shared" si="2117"/>
        <v>14/11/2025</v>
      </c>
      <c r="B11235" t="str">
        <f t="shared" si="2132"/>
        <v>SAÍDA</v>
      </c>
      <c r="C11235" t="str">
        <f t="shared" si="2133"/>
        <v>PIX</v>
      </c>
      <c r="D11235" t="str">
        <f t="shared" ref="D11235:D11242" si="2137">"1511"</f>
        <v>1511</v>
      </c>
      <c r="E11235" t="str">
        <f t="shared" si="2135"/>
        <v>25</v>
      </c>
      <c r="F11235" t="str">
        <f t="shared" si="2125"/>
        <v>COM</v>
      </c>
      <c r="G11235" t="str">
        <f>"WELLINGTON DOS SANTOS ALVES (438)"</f>
        <v>WELLINGTON DOS SANTOS ALVES (438)</v>
      </c>
      <c r="H11235" t="str">
        <f>"PAGAMENTO LIDERANÇA REF. MES 10/2025 - PIX: CELULAR - CHAVE: (32) 99800-1691"</f>
        <v>PAGAMENTO LIDERANÇA REF. MES 10/2025 - PIX: CELULAR - CHAVE: (32) 99800-1691</v>
      </c>
      <c r="I11235" t="str">
        <f t="shared" si="2134"/>
        <v>14/11/2025</v>
      </c>
      <c r="J11235" t="str">
        <f t="shared" si="2136"/>
        <v>31/10/2025</v>
      </c>
      <c r="K11235" t="str">
        <f>("14/11/2025")</f>
        <v>14/11/2025</v>
      </c>
      <c r="L11235">
        <v>256.81</v>
      </c>
      <c r="M11235">
        <v>256.81</v>
      </c>
      <c r="N11235">
        <v>120</v>
      </c>
      <c r="O11235" t="str">
        <f>"PAGAMENTO COMISSAO LIDERES"</f>
        <v>PAGAMENTO COMISSAO LIDERES</v>
      </c>
      <c r="P11235">
        <v>256.81</v>
      </c>
      <c r="S11235" t="str">
        <f>"BANCO CORA (102)"</f>
        <v>BANCO CORA (102)</v>
      </c>
      <c r="T11235">
        <v>21153</v>
      </c>
      <c r="U11235">
        <v>25507</v>
      </c>
      <c r="V11235" t="s">
        <v>22</v>
      </c>
    </row>
    <row r="11236" spans="1:22">
      <c r="A11236" t="str">
        <f t="shared" si="2117"/>
        <v>14/11/2025</v>
      </c>
      <c r="B11236" t="str">
        <f t="shared" si="2132"/>
        <v>SAÍDA</v>
      </c>
      <c r="C11236" t="str">
        <f t="shared" si="2133"/>
        <v>PIX</v>
      </c>
      <c r="D11236" t="str">
        <f t="shared" si="2137"/>
        <v>1511</v>
      </c>
      <c r="E11236" t="str">
        <f t="shared" si="2135"/>
        <v>25</v>
      </c>
      <c r="F11236" t="str">
        <f t="shared" si="2125"/>
        <v>COM</v>
      </c>
      <c r="G11236" t="str">
        <f>"WELLINGTON DOS SANTOS ALVES (438)"</f>
        <v>WELLINGTON DOS SANTOS ALVES (438)</v>
      </c>
      <c r="H11236" t="s">
        <v>3038</v>
      </c>
      <c r="I11236" t="str">
        <f t="shared" si="2134"/>
        <v>14/11/2025</v>
      </c>
      <c r="J11236" t="str">
        <f t="shared" si="2136"/>
        <v>31/10/2025</v>
      </c>
      <c r="K11236">
        <v>45975</v>
      </c>
      <c r="N11236">
        <v>120</v>
      </c>
      <c r="O11236" t="s">
        <v>306</v>
      </c>
      <c r="Q11236">
        <v>64.209999999999994</v>
      </c>
      <c r="R11236" t="str">
        <f>"FARMÁCIA INDIANA LJ 112 (10050)"</f>
        <v>FARMÁCIA INDIANA LJ 112 (10050)</v>
      </c>
      <c r="S11236" t="s">
        <v>22</v>
      </c>
      <c r="T11236">
        <v>21153</v>
      </c>
      <c r="U11236">
        <v>25507</v>
      </c>
      <c r="V11236" t="s">
        <v>22</v>
      </c>
    </row>
    <row r="11237" spans="1:22">
      <c r="A11237" t="str">
        <f t="shared" ref="A11237:A11268" si="2138">("14/11/2025")</f>
        <v>14/11/2025</v>
      </c>
      <c r="B11237" t="str">
        <f t="shared" si="2132"/>
        <v>SAÍDA</v>
      </c>
      <c r="C11237" t="str">
        <f t="shared" si="2133"/>
        <v>PIX</v>
      </c>
      <c r="D11237" t="str">
        <f t="shared" si="2137"/>
        <v>1511</v>
      </c>
      <c r="E11237" t="str">
        <f t="shared" si="2135"/>
        <v>25</v>
      </c>
      <c r="F11237" t="str">
        <f t="shared" si="2125"/>
        <v>COM</v>
      </c>
      <c r="G11237" t="str">
        <f>"WELLINGTON DOS SANTOS ALVES (438)"</f>
        <v>WELLINGTON DOS SANTOS ALVES (438)</v>
      </c>
      <c r="H11237" t="s">
        <v>3038</v>
      </c>
      <c r="I11237" t="str">
        <f t="shared" si="2134"/>
        <v>14/11/2025</v>
      </c>
      <c r="J11237" t="str">
        <f t="shared" si="2136"/>
        <v>31/10/2025</v>
      </c>
      <c r="K11237">
        <v>45975</v>
      </c>
      <c r="N11237">
        <v>120</v>
      </c>
      <c r="O11237" t="s">
        <v>306</v>
      </c>
      <c r="Q11237">
        <v>64.2</v>
      </c>
      <c r="R11237" t="str">
        <f>"FARMÁCIA INDIANA LJ 116 (10051)"</f>
        <v>FARMÁCIA INDIANA LJ 116 (10051)</v>
      </c>
      <c r="S11237" t="s">
        <v>22</v>
      </c>
      <c r="T11237">
        <v>21153</v>
      </c>
      <c r="U11237">
        <v>25507</v>
      </c>
      <c r="V11237" t="s">
        <v>22</v>
      </c>
    </row>
    <row r="11238" spans="1:22">
      <c r="A11238" t="str">
        <f t="shared" si="2138"/>
        <v>14/11/2025</v>
      </c>
      <c r="B11238" t="str">
        <f t="shared" si="2132"/>
        <v>SAÍDA</v>
      </c>
      <c r="C11238" t="str">
        <f t="shared" si="2133"/>
        <v>PIX</v>
      </c>
      <c r="D11238" t="str">
        <f t="shared" si="2137"/>
        <v>1511</v>
      </c>
      <c r="E11238" t="str">
        <f t="shared" si="2135"/>
        <v>25</v>
      </c>
      <c r="F11238" t="str">
        <f t="shared" si="2125"/>
        <v>COM</v>
      </c>
      <c r="G11238" t="str">
        <f>"WELLINGTON DOS SANTOS ALVES (438)"</f>
        <v>WELLINGTON DOS SANTOS ALVES (438)</v>
      </c>
      <c r="H11238" t="s">
        <v>3038</v>
      </c>
      <c r="I11238" t="str">
        <f t="shared" si="2134"/>
        <v>14/11/2025</v>
      </c>
      <c r="J11238" t="str">
        <f t="shared" si="2136"/>
        <v>31/10/2025</v>
      </c>
      <c r="K11238">
        <v>45975</v>
      </c>
      <c r="N11238">
        <v>120</v>
      </c>
      <c r="O11238" t="s">
        <v>306</v>
      </c>
      <c r="Q11238">
        <v>64.2</v>
      </c>
      <c r="R11238" t="str">
        <f>"FARMÁCIA INDIANA LJ 121 (10054)"</f>
        <v>FARMÁCIA INDIANA LJ 121 (10054)</v>
      </c>
      <c r="S11238" t="s">
        <v>22</v>
      </c>
      <c r="T11238">
        <v>21153</v>
      </c>
      <c r="U11238">
        <v>25507</v>
      </c>
      <c r="V11238" t="s">
        <v>22</v>
      </c>
    </row>
    <row r="11239" spans="1:22">
      <c r="A11239" t="str">
        <f t="shared" si="2138"/>
        <v>14/11/2025</v>
      </c>
      <c r="B11239" t="str">
        <f t="shared" si="2132"/>
        <v>SAÍDA</v>
      </c>
      <c r="C11239" t="str">
        <f t="shared" si="2133"/>
        <v>PIX</v>
      </c>
      <c r="D11239" t="str">
        <f t="shared" si="2137"/>
        <v>1511</v>
      </c>
      <c r="E11239" t="str">
        <f t="shared" si="2135"/>
        <v>25</v>
      </c>
      <c r="F11239" t="str">
        <f t="shared" si="2125"/>
        <v>COM</v>
      </c>
      <c r="G11239" t="str">
        <f>"WELLINGTON DOS SANTOS ALVES (438)"</f>
        <v>WELLINGTON DOS SANTOS ALVES (438)</v>
      </c>
      <c r="H11239" t="s">
        <v>3038</v>
      </c>
      <c r="I11239" t="str">
        <f t="shared" si="2134"/>
        <v>14/11/2025</v>
      </c>
      <c r="J11239" t="str">
        <f t="shared" si="2136"/>
        <v>31/10/2025</v>
      </c>
      <c r="K11239">
        <v>45975</v>
      </c>
      <c r="N11239">
        <v>120</v>
      </c>
      <c r="O11239" t="s">
        <v>306</v>
      </c>
      <c r="Q11239">
        <v>64.2</v>
      </c>
      <c r="R11239" t="str">
        <f>"FARMÁCIA INDIANA LJ 128 (10057)"</f>
        <v>FARMÁCIA INDIANA LJ 128 (10057)</v>
      </c>
      <c r="S11239" t="s">
        <v>22</v>
      </c>
      <c r="T11239">
        <v>21153</v>
      </c>
      <c r="U11239">
        <v>25507</v>
      </c>
      <c r="V11239" t="s">
        <v>22</v>
      </c>
    </row>
    <row r="11240" spans="1:22">
      <c r="A11240" t="str">
        <f t="shared" si="2138"/>
        <v>14/11/2025</v>
      </c>
      <c r="B11240" t="str">
        <f t="shared" si="2132"/>
        <v>SAÍDA</v>
      </c>
      <c r="C11240" t="str">
        <f t="shared" si="2133"/>
        <v>PIX</v>
      </c>
      <c r="D11240" t="str">
        <f t="shared" si="2137"/>
        <v>1511</v>
      </c>
      <c r="E11240" t="str">
        <f t="shared" si="2135"/>
        <v>25</v>
      </c>
      <c r="F11240" t="str">
        <f t="shared" si="2125"/>
        <v>COM</v>
      </c>
      <c r="G11240" t="str">
        <f>"RICHARD HENRIQUE DA SILVA (244)"</f>
        <v>RICHARD HENRIQUE DA SILVA (244)</v>
      </c>
      <c r="H11240" t="str">
        <f>"PAGAMENTO LIDERANÇA REF. MES 10/2025 - PIX: CELULAR - CHAVE: (37) 99197-6834"</f>
        <v>PAGAMENTO LIDERANÇA REF. MES 10/2025 - PIX: CELULAR - CHAVE: (37) 99197-6834</v>
      </c>
      <c r="I11240" t="str">
        <f t="shared" si="2134"/>
        <v>14/11/2025</v>
      </c>
      <c r="J11240" t="str">
        <f t="shared" si="2136"/>
        <v>31/10/2025</v>
      </c>
      <c r="K11240" t="str">
        <f>("14/11/2025")</f>
        <v>14/11/2025</v>
      </c>
      <c r="L11240">
        <v>458.8</v>
      </c>
      <c r="M11240">
        <v>458.8</v>
      </c>
      <c r="N11240">
        <v>120</v>
      </c>
      <c r="O11240" t="str">
        <f>"PAGAMENTO COMISSAO LIDERES"</f>
        <v>PAGAMENTO COMISSAO LIDERES</v>
      </c>
      <c r="P11240">
        <v>458.8</v>
      </c>
      <c r="S11240" t="str">
        <f>"BANCO CORA (102)"</f>
        <v>BANCO CORA (102)</v>
      </c>
      <c r="T11240">
        <v>21154</v>
      </c>
      <c r="U11240">
        <v>25495</v>
      </c>
      <c r="V11240" t="s">
        <v>22</v>
      </c>
    </row>
    <row r="11241" spans="1:22">
      <c r="A11241" t="str">
        <f t="shared" si="2138"/>
        <v>14/11/2025</v>
      </c>
      <c r="B11241" t="str">
        <f t="shared" si="2132"/>
        <v>SAÍDA</v>
      </c>
      <c r="C11241" t="str">
        <f t="shared" si="2133"/>
        <v>PIX</v>
      </c>
      <c r="D11241" t="str">
        <f t="shared" si="2137"/>
        <v>1511</v>
      </c>
      <c r="E11241" t="str">
        <f t="shared" si="2135"/>
        <v>25</v>
      </c>
      <c r="F11241" t="str">
        <f t="shared" si="2125"/>
        <v>COM</v>
      </c>
      <c r="G11241" t="str">
        <f>"RICHARD HENRIQUE DA SILVA (244)"</f>
        <v>RICHARD HENRIQUE DA SILVA (244)</v>
      </c>
      <c r="H11241" t="s">
        <v>3039</v>
      </c>
      <c r="I11241" t="str">
        <f t="shared" si="2134"/>
        <v>14/11/2025</v>
      </c>
      <c r="J11241" t="str">
        <f t="shared" si="2136"/>
        <v>31/10/2025</v>
      </c>
      <c r="K11241">
        <v>45975</v>
      </c>
      <c r="N11241">
        <v>120</v>
      </c>
      <c r="O11241" t="s">
        <v>306</v>
      </c>
      <c r="Q11241">
        <v>73.45</v>
      </c>
      <c r="R11241" t="str">
        <f>"DROGARIA POUPA MINAS (ULTRAMINAS) 3 (10129)"</f>
        <v>DROGARIA POUPA MINAS (ULTRAMINAS) 3 (10129)</v>
      </c>
      <c r="S11241" t="s">
        <v>22</v>
      </c>
      <c r="T11241">
        <v>21154</v>
      </c>
      <c r="U11241">
        <v>25495</v>
      </c>
      <c r="V11241" t="s">
        <v>22</v>
      </c>
    </row>
    <row r="11242" spans="1:22">
      <c r="A11242" t="str">
        <f t="shared" si="2138"/>
        <v>14/11/2025</v>
      </c>
      <c r="B11242" t="str">
        <f t="shared" si="2132"/>
        <v>SAÍDA</v>
      </c>
      <c r="C11242" t="str">
        <f t="shared" si="2133"/>
        <v>PIX</v>
      </c>
      <c r="D11242" t="str">
        <f t="shared" si="2137"/>
        <v>1511</v>
      </c>
      <c r="E11242" t="str">
        <f t="shared" si="2135"/>
        <v>25</v>
      </c>
      <c r="F11242" t="str">
        <f t="shared" si="2125"/>
        <v>COM</v>
      </c>
      <c r="G11242" t="str">
        <f>"RICHARD HENRIQUE DA SILVA (244)"</f>
        <v>RICHARD HENRIQUE DA SILVA (244)</v>
      </c>
      <c r="H11242" t="s">
        <v>3039</v>
      </c>
      <c r="I11242" t="str">
        <f t="shared" si="2134"/>
        <v>14/11/2025</v>
      </c>
      <c r="J11242" t="str">
        <f t="shared" si="2136"/>
        <v>31/10/2025</v>
      </c>
      <c r="K11242">
        <v>45975</v>
      </c>
      <c r="N11242">
        <v>120</v>
      </c>
      <c r="O11242" t="s">
        <v>306</v>
      </c>
      <c r="Q11242">
        <v>385.35</v>
      </c>
      <c r="R11242" t="str">
        <f>"DROGARIA POUPA MINAS (ULTRAMINAS) 1 (10181)"</f>
        <v>DROGARIA POUPA MINAS (ULTRAMINAS) 1 (10181)</v>
      </c>
      <c r="S11242" t="s">
        <v>22</v>
      </c>
      <c r="T11242">
        <v>21154</v>
      </c>
      <c r="U11242">
        <v>25495</v>
      </c>
      <c r="V11242" t="s">
        <v>22</v>
      </c>
    </row>
    <row r="11243" spans="1:22">
      <c r="A11243" t="str">
        <f t="shared" si="2138"/>
        <v>14/11/2025</v>
      </c>
      <c r="B11243" t="str">
        <f t="shared" si="2132"/>
        <v>SAÍDA</v>
      </c>
      <c r="C11243" t="str">
        <f t="shared" si="2133"/>
        <v>PIX</v>
      </c>
      <c r="D11243" t="str">
        <f t="shared" ref="D11243:D11260" si="2139">"1411"</f>
        <v>1411</v>
      </c>
      <c r="E11243" t="str">
        <f t="shared" si="2135"/>
        <v>25</v>
      </c>
      <c r="F11243" t="str">
        <f t="shared" si="2125"/>
        <v>COM</v>
      </c>
      <c r="G11243" t="str">
        <f t="shared" ref="G11243:G11260" si="2140">"RAFAEL PEDROSO DE C??MARA (975)"</f>
        <v>RAFAEL PEDROSO DE C??MARA (975)</v>
      </c>
      <c r="H11243" t="str">
        <f>"PAGAMENTO LIDERANÇA REF 10/2025 - PIX: CELULAR - CHAVE: (11) 99270-3082"</f>
        <v>PAGAMENTO LIDERANÇA REF 10/2025 - PIX: CELULAR - CHAVE: (11) 99270-3082</v>
      </c>
      <c r="I11243" t="str">
        <f t="shared" si="2134"/>
        <v>14/11/2025</v>
      </c>
      <c r="J11243" t="str">
        <f t="shared" si="2136"/>
        <v>31/10/2025</v>
      </c>
      <c r="K11243" t="str">
        <f>("14/11/2025")</f>
        <v>14/11/2025</v>
      </c>
      <c r="L11243">
        <v>2000</v>
      </c>
      <c r="M11243">
        <v>2000</v>
      </c>
      <c r="N11243">
        <v>120</v>
      </c>
      <c r="O11243" t="str">
        <f>"PAGAMENTO COMISSAO LIDERES"</f>
        <v>PAGAMENTO COMISSAO LIDERES</v>
      </c>
      <c r="P11243">
        <v>2000</v>
      </c>
      <c r="S11243" t="str">
        <f>"BANCO CORA (102)"</f>
        <v>BANCO CORA (102)</v>
      </c>
      <c r="T11243">
        <v>21155</v>
      </c>
      <c r="U11243">
        <v>25509</v>
      </c>
      <c r="V11243" t="s">
        <v>22</v>
      </c>
    </row>
    <row r="11244" spans="1:22">
      <c r="A11244" t="str">
        <f t="shared" si="2138"/>
        <v>14/11/2025</v>
      </c>
      <c r="B11244" t="str">
        <f t="shared" si="2132"/>
        <v>SAÍDA</v>
      </c>
      <c r="C11244" t="str">
        <f t="shared" si="2133"/>
        <v>PIX</v>
      </c>
      <c r="D11244" t="str">
        <f t="shared" si="2139"/>
        <v>1411</v>
      </c>
      <c r="E11244" t="str">
        <f t="shared" si="2135"/>
        <v>25</v>
      </c>
      <c r="F11244" t="str">
        <f t="shared" si="2125"/>
        <v>COM</v>
      </c>
      <c r="G11244" t="str">
        <f t="shared" si="2140"/>
        <v>RAFAEL PEDROSO DE C??MARA (975)</v>
      </c>
      <c r="H11244" t="s">
        <v>3040</v>
      </c>
      <c r="I11244" t="str">
        <f t="shared" si="2134"/>
        <v>14/11/2025</v>
      </c>
      <c r="J11244" t="str">
        <f t="shared" si="2136"/>
        <v>31/10/2025</v>
      </c>
      <c r="K11244">
        <v>45975</v>
      </c>
      <c r="N11244">
        <v>120</v>
      </c>
      <c r="O11244" t="s">
        <v>306</v>
      </c>
      <c r="Q11244">
        <v>118.4</v>
      </c>
      <c r="R11244" t="str">
        <f>"PENSE FARMA 46 (10194)"</f>
        <v>PENSE FARMA 46 (10194)</v>
      </c>
      <c r="S11244" t="s">
        <v>22</v>
      </c>
      <c r="T11244">
        <v>21155</v>
      </c>
      <c r="U11244">
        <v>25509</v>
      </c>
      <c r="V11244" t="s">
        <v>22</v>
      </c>
    </row>
    <row r="11245" spans="1:22">
      <c r="A11245" t="str">
        <f t="shared" si="2138"/>
        <v>14/11/2025</v>
      </c>
      <c r="B11245" t="str">
        <f t="shared" si="2132"/>
        <v>SAÍDA</v>
      </c>
      <c r="C11245" t="str">
        <f t="shared" si="2133"/>
        <v>PIX</v>
      </c>
      <c r="D11245" t="str">
        <f t="shared" si="2139"/>
        <v>1411</v>
      </c>
      <c r="E11245" t="str">
        <f t="shared" si="2135"/>
        <v>25</v>
      </c>
      <c r="F11245" t="str">
        <f t="shared" si="2125"/>
        <v>COM</v>
      </c>
      <c r="G11245" t="str">
        <f t="shared" si="2140"/>
        <v>RAFAEL PEDROSO DE C??MARA (975)</v>
      </c>
      <c r="H11245" t="s">
        <v>3040</v>
      </c>
      <c r="I11245" t="str">
        <f t="shared" si="2134"/>
        <v>14/11/2025</v>
      </c>
      <c r="J11245" t="str">
        <f t="shared" si="2136"/>
        <v>31/10/2025</v>
      </c>
      <c r="K11245">
        <v>45975</v>
      </c>
      <c r="N11245">
        <v>120</v>
      </c>
      <c r="O11245" t="s">
        <v>306</v>
      </c>
      <c r="Q11245">
        <v>117.6</v>
      </c>
      <c r="R11245" t="str">
        <f>"PENSE FARMA 15 (10195)"</f>
        <v>PENSE FARMA 15 (10195)</v>
      </c>
      <c r="S11245" t="s">
        <v>22</v>
      </c>
      <c r="T11245">
        <v>21155</v>
      </c>
      <c r="U11245">
        <v>25509</v>
      </c>
      <c r="V11245" t="s">
        <v>22</v>
      </c>
    </row>
    <row r="11246" spans="1:22">
      <c r="A11246" t="str">
        <f t="shared" si="2138"/>
        <v>14/11/2025</v>
      </c>
      <c r="B11246" t="str">
        <f t="shared" si="2132"/>
        <v>SAÍDA</v>
      </c>
      <c r="C11246" t="str">
        <f t="shared" si="2133"/>
        <v>PIX</v>
      </c>
      <c r="D11246" t="str">
        <f t="shared" si="2139"/>
        <v>1411</v>
      </c>
      <c r="E11246" t="str">
        <f t="shared" si="2135"/>
        <v>25</v>
      </c>
      <c r="F11246" t="str">
        <f t="shared" si="2125"/>
        <v>COM</v>
      </c>
      <c r="G11246" t="str">
        <f t="shared" si="2140"/>
        <v>RAFAEL PEDROSO DE C??MARA (975)</v>
      </c>
      <c r="H11246" t="s">
        <v>3040</v>
      </c>
      <c r="I11246" t="str">
        <f t="shared" si="2134"/>
        <v>14/11/2025</v>
      </c>
      <c r="J11246" t="str">
        <f t="shared" si="2136"/>
        <v>31/10/2025</v>
      </c>
      <c r="K11246">
        <v>45975</v>
      </c>
      <c r="N11246">
        <v>120</v>
      </c>
      <c r="O11246" t="s">
        <v>306</v>
      </c>
      <c r="Q11246">
        <v>117.6</v>
      </c>
      <c r="R11246" t="str">
        <f>"PENSE FARMA 22 (10198)"</f>
        <v>PENSE FARMA 22 (10198)</v>
      </c>
      <c r="S11246" t="s">
        <v>22</v>
      </c>
      <c r="T11246">
        <v>21155</v>
      </c>
      <c r="U11246">
        <v>25509</v>
      </c>
      <c r="V11246" t="s">
        <v>22</v>
      </c>
    </row>
    <row r="11247" spans="1:22">
      <c r="A11247" t="str">
        <f t="shared" si="2138"/>
        <v>14/11/2025</v>
      </c>
      <c r="B11247" t="str">
        <f t="shared" si="2132"/>
        <v>SAÍDA</v>
      </c>
      <c r="C11247" t="str">
        <f t="shared" si="2133"/>
        <v>PIX</v>
      </c>
      <c r="D11247" t="str">
        <f t="shared" si="2139"/>
        <v>1411</v>
      </c>
      <c r="E11247" t="str">
        <f t="shared" si="2135"/>
        <v>25</v>
      </c>
      <c r="F11247" t="str">
        <f t="shared" si="2125"/>
        <v>COM</v>
      </c>
      <c r="G11247" t="str">
        <f t="shared" si="2140"/>
        <v>RAFAEL PEDROSO DE C??MARA (975)</v>
      </c>
      <c r="H11247" t="s">
        <v>3040</v>
      </c>
      <c r="I11247" t="str">
        <f t="shared" si="2134"/>
        <v>14/11/2025</v>
      </c>
      <c r="J11247" t="str">
        <f t="shared" si="2136"/>
        <v>31/10/2025</v>
      </c>
      <c r="K11247">
        <v>45975</v>
      </c>
      <c r="N11247">
        <v>120</v>
      </c>
      <c r="O11247" t="s">
        <v>306</v>
      </c>
      <c r="Q11247">
        <v>117.6</v>
      </c>
      <c r="R11247" t="str">
        <f>"PENSE FARMA 07 (10201)"</f>
        <v>PENSE FARMA 07 (10201)</v>
      </c>
      <c r="S11247" t="s">
        <v>22</v>
      </c>
      <c r="T11247">
        <v>21155</v>
      </c>
      <c r="U11247">
        <v>25509</v>
      </c>
      <c r="V11247" t="s">
        <v>22</v>
      </c>
    </row>
    <row r="11248" spans="1:22">
      <c r="A11248" t="str">
        <f t="shared" si="2138"/>
        <v>14/11/2025</v>
      </c>
      <c r="B11248" t="str">
        <f t="shared" si="2132"/>
        <v>SAÍDA</v>
      </c>
      <c r="C11248" t="str">
        <f t="shared" si="2133"/>
        <v>PIX</v>
      </c>
      <c r="D11248" t="str">
        <f t="shared" si="2139"/>
        <v>1411</v>
      </c>
      <c r="E11248" t="str">
        <f t="shared" si="2135"/>
        <v>25</v>
      </c>
      <c r="F11248" t="str">
        <f t="shared" si="2125"/>
        <v>COM</v>
      </c>
      <c r="G11248" t="str">
        <f t="shared" si="2140"/>
        <v>RAFAEL PEDROSO DE C??MARA (975)</v>
      </c>
      <c r="H11248" t="s">
        <v>3040</v>
      </c>
      <c r="I11248" t="str">
        <f t="shared" si="2134"/>
        <v>14/11/2025</v>
      </c>
      <c r="J11248" t="str">
        <f t="shared" si="2136"/>
        <v>31/10/2025</v>
      </c>
      <c r="K11248">
        <v>45975</v>
      </c>
      <c r="N11248">
        <v>120</v>
      </c>
      <c r="O11248" t="s">
        <v>306</v>
      </c>
      <c r="Q11248">
        <v>117.6</v>
      </c>
      <c r="R11248" t="str">
        <f>"PENSE FARMA 27 (10204)"</f>
        <v>PENSE FARMA 27 (10204)</v>
      </c>
      <c r="S11248" t="s">
        <v>22</v>
      </c>
      <c r="T11248">
        <v>21155</v>
      </c>
      <c r="U11248">
        <v>25509</v>
      </c>
      <c r="V11248" t="s">
        <v>22</v>
      </c>
    </row>
    <row r="11249" spans="1:22">
      <c r="A11249" t="str">
        <f t="shared" si="2138"/>
        <v>14/11/2025</v>
      </c>
      <c r="B11249" t="str">
        <f t="shared" si="2132"/>
        <v>SAÍDA</v>
      </c>
      <c r="C11249" t="str">
        <f t="shared" si="2133"/>
        <v>PIX</v>
      </c>
      <c r="D11249" t="str">
        <f t="shared" si="2139"/>
        <v>1411</v>
      </c>
      <c r="E11249" t="str">
        <f t="shared" si="2135"/>
        <v>25</v>
      </c>
      <c r="F11249" t="str">
        <f t="shared" si="2125"/>
        <v>COM</v>
      </c>
      <c r="G11249" t="str">
        <f t="shared" si="2140"/>
        <v>RAFAEL PEDROSO DE C??MARA (975)</v>
      </c>
      <c r="H11249" t="s">
        <v>3040</v>
      </c>
      <c r="I11249" t="str">
        <f t="shared" si="2134"/>
        <v>14/11/2025</v>
      </c>
      <c r="J11249" t="str">
        <f t="shared" si="2136"/>
        <v>31/10/2025</v>
      </c>
      <c r="K11249">
        <v>45975</v>
      </c>
      <c r="N11249">
        <v>120</v>
      </c>
      <c r="O11249" t="s">
        <v>306</v>
      </c>
      <c r="Q11249">
        <v>117.6</v>
      </c>
      <c r="R11249" t="str">
        <f>"PENSE FARMA 31 (10205)"</f>
        <v>PENSE FARMA 31 (10205)</v>
      </c>
      <c r="S11249" t="s">
        <v>22</v>
      </c>
      <c r="T11249">
        <v>21155</v>
      </c>
      <c r="U11249">
        <v>25509</v>
      </c>
      <c r="V11249" t="s">
        <v>22</v>
      </c>
    </row>
    <row r="11250" spans="1:22">
      <c r="A11250" t="str">
        <f t="shared" si="2138"/>
        <v>14/11/2025</v>
      </c>
      <c r="B11250" t="str">
        <f t="shared" si="2132"/>
        <v>SAÍDA</v>
      </c>
      <c r="C11250" t="str">
        <f t="shared" si="2133"/>
        <v>PIX</v>
      </c>
      <c r="D11250" t="str">
        <f t="shared" si="2139"/>
        <v>1411</v>
      </c>
      <c r="E11250" t="str">
        <f t="shared" si="2135"/>
        <v>25</v>
      </c>
      <c r="F11250" t="str">
        <f t="shared" si="2125"/>
        <v>COM</v>
      </c>
      <c r="G11250" t="str">
        <f t="shared" si="2140"/>
        <v>RAFAEL PEDROSO DE C??MARA (975)</v>
      </c>
      <c r="H11250" t="s">
        <v>3040</v>
      </c>
      <c r="I11250" t="str">
        <f t="shared" si="2134"/>
        <v>14/11/2025</v>
      </c>
      <c r="J11250" t="str">
        <f t="shared" si="2136"/>
        <v>31/10/2025</v>
      </c>
      <c r="K11250">
        <v>45975</v>
      </c>
      <c r="N11250">
        <v>120</v>
      </c>
      <c r="O11250" t="s">
        <v>306</v>
      </c>
      <c r="Q11250">
        <v>117.6</v>
      </c>
      <c r="R11250" t="str">
        <f>"PENSE FARMA 36 (10206)"</f>
        <v>PENSE FARMA 36 (10206)</v>
      </c>
      <c r="S11250" t="s">
        <v>22</v>
      </c>
      <c r="T11250">
        <v>21155</v>
      </c>
      <c r="U11250">
        <v>25509</v>
      </c>
      <c r="V11250" t="s">
        <v>22</v>
      </c>
    </row>
    <row r="11251" spans="1:22">
      <c r="A11251" t="str">
        <f t="shared" si="2138"/>
        <v>14/11/2025</v>
      </c>
      <c r="B11251" t="str">
        <f t="shared" si="2132"/>
        <v>SAÍDA</v>
      </c>
      <c r="C11251" t="str">
        <f t="shared" si="2133"/>
        <v>PIX</v>
      </c>
      <c r="D11251" t="str">
        <f t="shared" si="2139"/>
        <v>1411</v>
      </c>
      <c r="E11251" t="str">
        <f t="shared" si="2135"/>
        <v>25</v>
      </c>
      <c r="F11251" t="str">
        <f t="shared" si="2125"/>
        <v>COM</v>
      </c>
      <c r="G11251" t="str">
        <f t="shared" si="2140"/>
        <v>RAFAEL PEDROSO DE C??MARA (975)</v>
      </c>
      <c r="H11251" t="s">
        <v>3040</v>
      </c>
      <c r="I11251" t="str">
        <f t="shared" si="2134"/>
        <v>14/11/2025</v>
      </c>
      <c r="J11251" t="str">
        <f t="shared" si="2136"/>
        <v>31/10/2025</v>
      </c>
      <c r="K11251">
        <v>45975</v>
      </c>
      <c r="N11251">
        <v>120</v>
      </c>
      <c r="O11251" t="s">
        <v>306</v>
      </c>
      <c r="Q11251">
        <v>117.6</v>
      </c>
      <c r="R11251" t="str">
        <f>"PENSE FARMA 08 (10217)"</f>
        <v>PENSE FARMA 08 (10217)</v>
      </c>
      <c r="S11251" t="s">
        <v>22</v>
      </c>
      <c r="T11251">
        <v>21155</v>
      </c>
      <c r="U11251">
        <v>25509</v>
      </c>
      <c r="V11251" t="s">
        <v>22</v>
      </c>
    </row>
    <row r="11252" spans="1:22">
      <c r="A11252" t="str">
        <f t="shared" si="2138"/>
        <v>14/11/2025</v>
      </c>
      <c r="B11252" t="str">
        <f t="shared" si="2132"/>
        <v>SAÍDA</v>
      </c>
      <c r="C11252" t="str">
        <f t="shared" si="2133"/>
        <v>PIX</v>
      </c>
      <c r="D11252" t="str">
        <f t="shared" si="2139"/>
        <v>1411</v>
      </c>
      <c r="E11252" t="str">
        <f t="shared" si="2135"/>
        <v>25</v>
      </c>
      <c r="F11252" t="str">
        <f t="shared" si="2125"/>
        <v>COM</v>
      </c>
      <c r="G11252" t="str">
        <f t="shared" si="2140"/>
        <v>RAFAEL PEDROSO DE C??MARA (975)</v>
      </c>
      <c r="H11252" t="s">
        <v>3040</v>
      </c>
      <c r="I11252" t="str">
        <f t="shared" si="2134"/>
        <v>14/11/2025</v>
      </c>
      <c r="J11252" t="str">
        <f t="shared" si="2136"/>
        <v>31/10/2025</v>
      </c>
      <c r="K11252">
        <v>45975</v>
      </c>
      <c r="N11252">
        <v>120</v>
      </c>
      <c r="O11252" t="s">
        <v>306</v>
      </c>
      <c r="Q11252">
        <v>117.6</v>
      </c>
      <c r="R11252" t="str">
        <f>"PENSE FARMA 09 (10218)"</f>
        <v>PENSE FARMA 09 (10218)</v>
      </c>
      <c r="S11252" t="s">
        <v>22</v>
      </c>
      <c r="T11252">
        <v>21155</v>
      </c>
      <c r="U11252">
        <v>25509</v>
      </c>
      <c r="V11252" t="s">
        <v>22</v>
      </c>
    </row>
    <row r="11253" spans="1:22">
      <c r="A11253" t="str">
        <f t="shared" si="2138"/>
        <v>14/11/2025</v>
      </c>
      <c r="B11253" t="str">
        <f t="shared" si="2132"/>
        <v>SAÍDA</v>
      </c>
      <c r="C11253" t="str">
        <f t="shared" si="2133"/>
        <v>PIX</v>
      </c>
      <c r="D11253" t="str">
        <f t="shared" si="2139"/>
        <v>1411</v>
      </c>
      <c r="E11253" t="str">
        <f t="shared" si="2135"/>
        <v>25</v>
      </c>
      <c r="F11253" t="str">
        <f t="shared" si="2125"/>
        <v>COM</v>
      </c>
      <c r="G11253" t="str">
        <f t="shared" si="2140"/>
        <v>RAFAEL PEDROSO DE C??MARA (975)</v>
      </c>
      <c r="H11253" t="s">
        <v>3040</v>
      </c>
      <c r="I11253" t="str">
        <f t="shared" si="2134"/>
        <v>14/11/2025</v>
      </c>
      <c r="J11253" t="str">
        <f t="shared" si="2136"/>
        <v>31/10/2025</v>
      </c>
      <c r="K11253">
        <v>45975</v>
      </c>
      <c r="N11253">
        <v>120</v>
      </c>
      <c r="O11253" t="s">
        <v>306</v>
      </c>
      <c r="Q11253">
        <v>117.6</v>
      </c>
      <c r="R11253" t="str">
        <f>"PENSE FARMA 19 (10223)"</f>
        <v>PENSE FARMA 19 (10223)</v>
      </c>
      <c r="S11253" t="s">
        <v>22</v>
      </c>
      <c r="T11253">
        <v>21155</v>
      </c>
      <c r="U11253">
        <v>25509</v>
      </c>
      <c r="V11253" t="s">
        <v>22</v>
      </c>
    </row>
    <row r="11254" spans="1:22">
      <c r="A11254" t="str">
        <f t="shared" si="2138"/>
        <v>14/11/2025</v>
      </c>
      <c r="B11254" t="str">
        <f t="shared" si="2132"/>
        <v>SAÍDA</v>
      </c>
      <c r="C11254" t="str">
        <f t="shared" si="2133"/>
        <v>PIX</v>
      </c>
      <c r="D11254" t="str">
        <f t="shared" si="2139"/>
        <v>1411</v>
      </c>
      <c r="E11254" t="str">
        <f t="shared" si="2135"/>
        <v>25</v>
      </c>
      <c r="F11254" t="str">
        <f t="shared" si="2125"/>
        <v>COM</v>
      </c>
      <c r="G11254" t="str">
        <f t="shared" si="2140"/>
        <v>RAFAEL PEDROSO DE C??MARA (975)</v>
      </c>
      <c r="H11254" t="s">
        <v>3040</v>
      </c>
      <c r="I11254" t="str">
        <f t="shared" si="2134"/>
        <v>14/11/2025</v>
      </c>
      <c r="J11254" t="str">
        <f t="shared" si="2136"/>
        <v>31/10/2025</v>
      </c>
      <c r="K11254">
        <v>45975</v>
      </c>
      <c r="N11254">
        <v>120</v>
      </c>
      <c r="O11254" t="s">
        <v>306</v>
      </c>
      <c r="Q11254">
        <v>117.6</v>
      </c>
      <c r="R11254" t="str">
        <f>"PENSE FARMA 25 (10224)"</f>
        <v>PENSE FARMA 25 (10224)</v>
      </c>
      <c r="S11254" t="s">
        <v>22</v>
      </c>
      <c r="T11254">
        <v>21155</v>
      </c>
      <c r="U11254">
        <v>25509</v>
      </c>
      <c r="V11254" t="s">
        <v>22</v>
      </c>
    </row>
    <row r="11255" spans="1:22">
      <c r="A11255" t="str">
        <f t="shared" si="2138"/>
        <v>14/11/2025</v>
      </c>
      <c r="B11255" t="str">
        <f t="shared" si="2132"/>
        <v>SAÍDA</v>
      </c>
      <c r="C11255" t="str">
        <f t="shared" si="2133"/>
        <v>PIX</v>
      </c>
      <c r="D11255" t="str">
        <f t="shared" si="2139"/>
        <v>1411</v>
      </c>
      <c r="E11255" t="str">
        <f t="shared" si="2135"/>
        <v>25</v>
      </c>
      <c r="F11255" t="str">
        <f t="shared" si="2125"/>
        <v>COM</v>
      </c>
      <c r="G11255" t="str">
        <f t="shared" si="2140"/>
        <v>RAFAEL PEDROSO DE C??MARA (975)</v>
      </c>
      <c r="H11255" t="s">
        <v>3040</v>
      </c>
      <c r="I11255" t="str">
        <f t="shared" si="2134"/>
        <v>14/11/2025</v>
      </c>
      <c r="J11255" t="str">
        <f t="shared" si="2136"/>
        <v>31/10/2025</v>
      </c>
      <c r="K11255">
        <v>45975</v>
      </c>
      <c r="N11255">
        <v>120</v>
      </c>
      <c r="O11255" t="s">
        <v>306</v>
      </c>
      <c r="Q11255">
        <v>117.6</v>
      </c>
      <c r="R11255" t="str">
        <f>"PENSE FARMA 35 (10227)"</f>
        <v>PENSE FARMA 35 (10227)</v>
      </c>
      <c r="S11255" t="s">
        <v>22</v>
      </c>
      <c r="T11255">
        <v>21155</v>
      </c>
      <c r="U11255">
        <v>25509</v>
      </c>
      <c r="V11255" t="s">
        <v>22</v>
      </c>
    </row>
    <row r="11256" spans="1:22">
      <c r="A11256" t="str">
        <f t="shared" si="2138"/>
        <v>14/11/2025</v>
      </c>
      <c r="B11256" t="str">
        <f t="shared" si="2132"/>
        <v>SAÍDA</v>
      </c>
      <c r="C11256" t="str">
        <f t="shared" si="2133"/>
        <v>PIX</v>
      </c>
      <c r="D11256" t="str">
        <f t="shared" si="2139"/>
        <v>1411</v>
      </c>
      <c r="E11256" t="str">
        <f t="shared" si="2135"/>
        <v>25</v>
      </c>
      <c r="F11256" t="str">
        <f t="shared" si="2125"/>
        <v>COM</v>
      </c>
      <c r="G11256" t="str">
        <f t="shared" si="2140"/>
        <v>RAFAEL PEDROSO DE C??MARA (975)</v>
      </c>
      <c r="H11256" t="s">
        <v>3040</v>
      </c>
      <c r="I11256" t="str">
        <f t="shared" si="2134"/>
        <v>14/11/2025</v>
      </c>
      <c r="J11256" t="str">
        <f t="shared" si="2136"/>
        <v>31/10/2025</v>
      </c>
      <c r="K11256">
        <v>45975</v>
      </c>
      <c r="N11256">
        <v>120</v>
      </c>
      <c r="O11256" t="s">
        <v>306</v>
      </c>
      <c r="Q11256">
        <v>117.6</v>
      </c>
      <c r="R11256" t="str">
        <f>"PENSE FARMA 39 (10228)"</f>
        <v>PENSE FARMA 39 (10228)</v>
      </c>
      <c r="S11256" t="s">
        <v>22</v>
      </c>
      <c r="T11256">
        <v>21155</v>
      </c>
      <c r="U11256">
        <v>25509</v>
      </c>
      <c r="V11256" t="s">
        <v>22</v>
      </c>
    </row>
    <row r="11257" spans="1:22">
      <c r="A11257" t="str">
        <f t="shared" si="2138"/>
        <v>14/11/2025</v>
      </c>
      <c r="B11257" t="str">
        <f t="shared" si="2132"/>
        <v>SAÍDA</v>
      </c>
      <c r="C11257" t="str">
        <f t="shared" si="2133"/>
        <v>PIX</v>
      </c>
      <c r="D11257" t="str">
        <f t="shared" si="2139"/>
        <v>1411</v>
      </c>
      <c r="E11257" t="str">
        <f t="shared" si="2135"/>
        <v>25</v>
      </c>
      <c r="F11257" t="str">
        <f t="shared" si="2125"/>
        <v>COM</v>
      </c>
      <c r="G11257" t="str">
        <f t="shared" si="2140"/>
        <v>RAFAEL PEDROSO DE C??MARA (975)</v>
      </c>
      <c r="H11257" t="s">
        <v>3040</v>
      </c>
      <c r="I11257" t="str">
        <f t="shared" si="2134"/>
        <v>14/11/2025</v>
      </c>
      <c r="J11257" t="str">
        <f t="shared" si="2136"/>
        <v>31/10/2025</v>
      </c>
      <c r="K11257">
        <v>45975</v>
      </c>
      <c r="N11257">
        <v>120</v>
      </c>
      <c r="O11257" t="s">
        <v>306</v>
      </c>
      <c r="Q11257">
        <v>117.6</v>
      </c>
      <c r="R11257" t="str">
        <f>"PENSE FARMA 44 (10231)"</f>
        <v>PENSE FARMA 44 (10231)</v>
      </c>
      <c r="S11257" t="s">
        <v>22</v>
      </c>
      <c r="T11257">
        <v>21155</v>
      </c>
      <c r="U11257">
        <v>25509</v>
      </c>
      <c r="V11257" t="s">
        <v>22</v>
      </c>
    </row>
    <row r="11258" spans="1:22">
      <c r="A11258" t="str">
        <f t="shared" si="2138"/>
        <v>14/11/2025</v>
      </c>
      <c r="B11258" t="str">
        <f t="shared" si="2132"/>
        <v>SAÍDA</v>
      </c>
      <c r="C11258" t="str">
        <f t="shared" si="2133"/>
        <v>PIX</v>
      </c>
      <c r="D11258" t="str">
        <f t="shared" si="2139"/>
        <v>1411</v>
      </c>
      <c r="E11258" t="str">
        <f t="shared" si="2135"/>
        <v>25</v>
      </c>
      <c r="F11258" t="str">
        <f t="shared" si="2125"/>
        <v>COM</v>
      </c>
      <c r="G11258" t="str">
        <f t="shared" si="2140"/>
        <v>RAFAEL PEDROSO DE C??MARA (975)</v>
      </c>
      <c r="H11258" t="s">
        <v>3040</v>
      </c>
      <c r="I11258" t="str">
        <f t="shared" si="2134"/>
        <v>14/11/2025</v>
      </c>
      <c r="J11258" t="str">
        <f t="shared" si="2136"/>
        <v>31/10/2025</v>
      </c>
      <c r="K11258">
        <v>45975</v>
      </c>
      <c r="N11258">
        <v>120</v>
      </c>
      <c r="O11258" t="s">
        <v>306</v>
      </c>
      <c r="Q11258">
        <v>117.6</v>
      </c>
      <c r="R11258" t="str">
        <f>"PENSE FARMA 47 (10232)"</f>
        <v>PENSE FARMA 47 (10232)</v>
      </c>
      <c r="S11258" t="s">
        <v>22</v>
      </c>
      <c r="T11258">
        <v>21155</v>
      </c>
      <c r="U11258">
        <v>25509</v>
      </c>
      <c r="V11258" t="s">
        <v>22</v>
      </c>
    </row>
    <row r="11259" spans="1:22">
      <c r="A11259" t="str">
        <f t="shared" si="2138"/>
        <v>14/11/2025</v>
      </c>
      <c r="B11259" t="str">
        <f t="shared" ref="B11259:B11290" si="2141">"SAÍDA"</f>
        <v>SAÍDA</v>
      </c>
      <c r="C11259" t="str">
        <f t="shared" ref="C11259:C11290" si="2142">"PIX"</f>
        <v>PIX</v>
      </c>
      <c r="D11259" t="str">
        <f t="shared" si="2139"/>
        <v>1411</v>
      </c>
      <c r="E11259" t="str">
        <f t="shared" si="2135"/>
        <v>25</v>
      </c>
      <c r="F11259" t="str">
        <f t="shared" si="2125"/>
        <v>COM</v>
      </c>
      <c r="G11259" t="str">
        <f t="shared" si="2140"/>
        <v>RAFAEL PEDROSO DE C??MARA (975)</v>
      </c>
      <c r="H11259" t="s">
        <v>3040</v>
      </c>
      <c r="I11259" t="str">
        <f t="shared" si="2134"/>
        <v>14/11/2025</v>
      </c>
      <c r="J11259" t="str">
        <f t="shared" si="2136"/>
        <v>31/10/2025</v>
      </c>
      <c r="K11259">
        <v>45975</v>
      </c>
      <c r="N11259">
        <v>120</v>
      </c>
      <c r="O11259" t="s">
        <v>306</v>
      </c>
      <c r="Q11259">
        <v>117.6</v>
      </c>
      <c r="R11259" t="str">
        <f>"PENSE FARMA 49 (10234)"</f>
        <v>PENSE FARMA 49 (10234)</v>
      </c>
      <c r="S11259" t="s">
        <v>22</v>
      </c>
      <c r="T11259">
        <v>21155</v>
      </c>
      <c r="U11259">
        <v>25509</v>
      </c>
      <c r="V11259" t="s">
        <v>22</v>
      </c>
    </row>
    <row r="11260" spans="1:22">
      <c r="A11260" t="str">
        <f t="shared" si="2138"/>
        <v>14/11/2025</v>
      </c>
      <c r="B11260" t="str">
        <f t="shared" si="2141"/>
        <v>SAÍDA</v>
      </c>
      <c r="C11260" t="str">
        <f t="shared" si="2142"/>
        <v>PIX</v>
      </c>
      <c r="D11260" t="str">
        <f t="shared" si="2139"/>
        <v>1411</v>
      </c>
      <c r="E11260" t="str">
        <f t="shared" si="2135"/>
        <v>25</v>
      </c>
      <c r="F11260" t="str">
        <f t="shared" si="2125"/>
        <v>COM</v>
      </c>
      <c r="G11260" t="str">
        <f t="shared" si="2140"/>
        <v>RAFAEL PEDROSO DE C??MARA (975)</v>
      </c>
      <c r="H11260" t="s">
        <v>3040</v>
      </c>
      <c r="I11260" t="str">
        <f t="shared" si="2134"/>
        <v>14/11/2025</v>
      </c>
      <c r="J11260" t="str">
        <f t="shared" si="2136"/>
        <v>31/10/2025</v>
      </c>
      <c r="K11260">
        <v>45975</v>
      </c>
      <c r="N11260">
        <v>120</v>
      </c>
      <c r="O11260" t="s">
        <v>306</v>
      </c>
      <c r="Q11260">
        <v>117.6</v>
      </c>
      <c r="R11260" t="str">
        <f>"PENSE FARMA 51 (10235)"</f>
        <v>PENSE FARMA 51 (10235)</v>
      </c>
      <c r="S11260" t="s">
        <v>22</v>
      </c>
      <c r="T11260">
        <v>21155</v>
      </c>
      <c r="U11260">
        <v>25509</v>
      </c>
      <c r="V11260" t="s">
        <v>22</v>
      </c>
    </row>
    <row r="11261" spans="1:22">
      <c r="A11261" t="str">
        <f t="shared" si="2138"/>
        <v>14/11/2025</v>
      </c>
      <c r="B11261" t="str">
        <f t="shared" si="2141"/>
        <v>SAÍDA</v>
      </c>
      <c r="C11261" t="str">
        <f t="shared" si="2142"/>
        <v>PIX</v>
      </c>
      <c r="D11261" t="str">
        <f t="shared" ref="D11261:D11271" si="2143">"1511"</f>
        <v>1511</v>
      </c>
      <c r="E11261" t="str">
        <f t="shared" si="2135"/>
        <v>25</v>
      </c>
      <c r="F11261" t="str">
        <f t="shared" si="2125"/>
        <v>COM</v>
      </c>
      <c r="G11261" t="str">
        <f t="shared" ref="G11261:G11271" si="2144">"PATRICK DE SOUZA CORREA (92)"</f>
        <v>PATRICK DE SOUZA CORREA (92)</v>
      </c>
      <c r="H11261" t="str">
        <f>"PAGAMENTO LIDERANÇA REF. MES 10/2025 - PIX: CELULAR - CHAVE: (31) 99216-8711"</f>
        <v>PAGAMENTO LIDERANÇA REF. MES 10/2025 - PIX: CELULAR - CHAVE: (31) 99216-8711</v>
      </c>
      <c r="I11261" t="str">
        <f t="shared" ref="I11261:I11292" si="2145">("14/11/2025")</f>
        <v>14/11/2025</v>
      </c>
      <c r="J11261" t="str">
        <f t="shared" si="2136"/>
        <v>31/10/2025</v>
      </c>
      <c r="K11261" t="str">
        <f>("14/11/2025")</f>
        <v>14/11/2025</v>
      </c>
      <c r="L11261">
        <v>402.45</v>
      </c>
      <c r="M11261">
        <v>402.45</v>
      </c>
      <c r="N11261">
        <v>120</v>
      </c>
      <c r="O11261" t="str">
        <f>"PAGAMENTO COMISSAO LIDERES"</f>
        <v>PAGAMENTO COMISSAO LIDERES</v>
      </c>
      <c r="P11261">
        <v>402.45</v>
      </c>
      <c r="S11261" t="str">
        <f>"BANCO CORA (102)"</f>
        <v>BANCO CORA (102)</v>
      </c>
      <c r="T11261">
        <v>21156</v>
      </c>
      <c r="U11261">
        <v>25508</v>
      </c>
      <c r="V11261" t="s">
        <v>22</v>
      </c>
    </row>
    <row r="11262" spans="1:22">
      <c r="A11262" t="str">
        <f t="shared" si="2138"/>
        <v>14/11/2025</v>
      </c>
      <c r="B11262" t="str">
        <f t="shared" si="2141"/>
        <v>SAÍDA</v>
      </c>
      <c r="C11262" t="str">
        <f t="shared" si="2142"/>
        <v>PIX</v>
      </c>
      <c r="D11262" t="str">
        <f t="shared" si="2143"/>
        <v>1511</v>
      </c>
      <c r="E11262" t="str">
        <f t="shared" si="2135"/>
        <v>25</v>
      </c>
      <c r="F11262" t="str">
        <f t="shared" si="2125"/>
        <v>COM</v>
      </c>
      <c r="G11262" t="str">
        <f t="shared" si="2144"/>
        <v>PATRICK DE SOUZA CORREA (92)</v>
      </c>
      <c r="H11262" t="s">
        <v>3041</v>
      </c>
      <c r="I11262" t="str">
        <f t="shared" si="2145"/>
        <v>14/11/2025</v>
      </c>
      <c r="J11262" t="str">
        <f t="shared" si="2136"/>
        <v>31/10/2025</v>
      </c>
      <c r="K11262">
        <v>45975</v>
      </c>
      <c r="N11262">
        <v>120</v>
      </c>
      <c r="O11262" t="s">
        <v>306</v>
      </c>
      <c r="Q11262">
        <v>34.200000000000003</v>
      </c>
      <c r="R11262" t="str">
        <f>"FARMÁCIA INDIANA LJ 182 (10079)"</f>
        <v>FARMÁCIA INDIANA LJ 182 (10079)</v>
      </c>
      <c r="S11262" t="s">
        <v>22</v>
      </c>
      <c r="T11262">
        <v>21156</v>
      </c>
      <c r="U11262">
        <v>25508</v>
      </c>
      <c r="V11262" t="s">
        <v>22</v>
      </c>
    </row>
    <row r="11263" spans="1:22">
      <c r="A11263" t="str">
        <f t="shared" si="2138"/>
        <v>14/11/2025</v>
      </c>
      <c r="B11263" t="str">
        <f t="shared" si="2141"/>
        <v>SAÍDA</v>
      </c>
      <c r="C11263" t="str">
        <f t="shared" si="2142"/>
        <v>PIX</v>
      </c>
      <c r="D11263" t="str">
        <f t="shared" si="2143"/>
        <v>1511</v>
      </c>
      <c r="E11263" t="str">
        <f t="shared" si="2135"/>
        <v>25</v>
      </c>
      <c r="F11263" t="str">
        <f t="shared" si="2125"/>
        <v>COM</v>
      </c>
      <c r="G11263" t="str">
        <f t="shared" si="2144"/>
        <v>PATRICK DE SOUZA CORREA (92)</v>
      </c>
      <c r="H11263" t="s">
        <v>3041</v>
      </c>
      <c r="I11263" t="str">
        <f t="shared" si="2145"/>
        <v>14/11/2025</v>
      </c>
      <c r="J11263" t="str">
        <f t="shared" si="2136"/>
        <v>31/10/2025</v>
      </c>
      <c r="K11263">
        <v>45975</v>
      </c>
      <c r="N11263">
        <v>120</v>
      </c>
      <c r="O11263" t="s">
        <v>306</v>
      </c>
      <c r="Q11263">
        <v>17.350000000000001</v>
      </c>
      <c r="R11263" t="str">
        <f>"FARMÁCIA INDIANA LJ 184 (10080)"</f>
        <v>FARMÁCIA INDIANA LJ 184 (10080)</v>
      </c>
      <c r="S11263" t="s">
        <v>22</v>
      </c>
      <c r="T11263">
        <v>21156</v>
      </c>
      <c r="U11263">
        <v>25508</v>
      </c>
      <c r="V11263" t="s">
        <v>22</v>
      </c>
    </row>
    <row r="11264" spans="1:22">
      <c r="A11264" t="str">
        <f t="shared" si="2138"/>
        <v>14/11/2025</v>
      </c>
      <c r="B11264" t="str">
        <f t="shared" si="2141"/>
        <v>SAÍDA</v>
      </c>
      <c r="C11264" t="str">
        <f t="shared" si="2142"/>
        <v>PIX</v>
      </c>
      <c r="D11264" t="str">
        <f t="shared" si="2143"/>
        <v>1511</v>
      </c>
      <c r="E11264" t="str">
        <f t="shared" si="2135"/>
        <v>25</v>
      </c>
      <c r="F11264" t="str">
        <f t="shared" si="2125"/>
        <v>COM</v>
      </c>
      <c r="G11264" t="str">
        <f t="shared" si="2144"/>
        <v>PATRICK DE SOUZA CORREA (92)</v>
      </c>
      <c r="H11264" t="s">
        <v>3041</v>
      </c>
      <c r="I11264" t="str">
        <f t="shared" si="2145"/>
        <v>14/11/2025</v>
      </c>
      <c r="J11264" t="str">
        <f t="shared" si="2136"/>
        <v>31/10/2025</v>
      </c>
      <c r="K11264">
        <v>45975</v>
      </c>
      <c r="N11264">
        <v>120</v>
      </c>
      <c r="O11264" t="s">
        <v>306</v>
      </c>
      <c r="Q11264">
        <v>34.21</v>
      </c>
      <c r="R11264" t="str">
        <f>"FARMÁCIA INDIANA LJ 186 (10081)"</f>
        <v>FARMÁCIA INDIANA LJ 186 (10081)</v>
      </c>
      <c r="S11264" t="s">
        <v>22</v>
      </c>
      <c r="T11264">
        <v>21156</v>
      </c>
      <c r="U11264">
        <v>25508</v>
      </c>
      <c r="V11264" t="s">
        <v>22</v>
      </c>
    </row>
    <row r="11265" spans="1:22">
      <c r="A11265" t="str">
        <f t="shared" si="2138"/>
        <v>14/11/2025</v>
      </c>
      <c r="B11265" t="str">
        <f t="shared" si="2141"/>
        <v>SAÍDA</v>
      </c>
      <c r="C11265" t="str">
        <f t="shared" si="2142"/>
        <v>PIX</v>
      </c>
      <c r="D11265" t="str">
        <f t="shared" si="2143"/>
        <v>1511</v>
      </c>
      <c r="E11265" t="str">
        <f t="shared" si="2135"/>
        <v>25</v>
      </c>
      <c r="F11265" t="str">
        <f t="shared" si="2125"/>
        <v>COM</v>
      </c>
      <c r="G11265" t="str">
        <f t="shared" si="2144"/>
        <v>PATRICK DE SOUZA CORREA (92)</v>
      </c>
      <c r="H11265" t="s">
        <v>3041</v>
      </c>
      <c r="I11265" t="str">
        <f t="shared" si="2145"/>
        <v>14/11/2025</v>
      </c>
      <c r="J11265" t="str">
        <f t="shared" si="2136"/>
        <v>31/10/2025</v>
      </c>
      <c r="K11265">
        <v>45975</v>
      </c>
      <c r="N11265">
        <v>120</v>
      </c>
      <c r="O11265" t="s">
        <v>306</v>
      </c>
      <c r="Q11265">
        <v>17.350000000000001</v>
      </c>
      <c r="R11265" t="str">
        <f>"FARMÁCIA INDIANA LJ 195 (10083)"</f>
        <v>FARMÁCIA INDIANA LJ 195 (10083)</v>
      </c>
      <c r="S11265" t="s">
        <v>22</v>
      </c>
      <c r="T11265">
        <v>21156</v>
      </c>
      <c r="U11265">
        <v>25508</v>
      </c>
      <c r="V11265" t="s">
        <v>22</v>
      </c>
    </row>
    <row r="11266" spans="1:22">
      <c r="A11266" t="str">
        <f t="shared" si="2138"/>
        <v>14/11/2025</v>
      </c>
      <c r="B11266" t="str">
        <f t="shared" si="2141"/>
        <v>SAÍDA</v>
      </c>
      <c r="C11266" t="str">
        <f t="shared" si="2142"/>
        <v>PIX</v>
      </c>
      <c r="D11266" t="str">
        <f t="shared" si="2143"/>
        <v>1511</v>
      </c>
      <c r="E11266" t="str">
        <f t="shared" si="2135"/>
        <v>25</v>
      </c>
      <c r="F11266" t="str">
        <f t="shared" si="2125"/>
        <v>COM</v>
      </c>
      <c r="G11266" t="str">
        <f t="shared" si="2144"/>
        <v>PATRICK DE SOUZA CORREA (92)</v>
      </c>
      <c r="H11266" t="s">
        <v>3041</v>
      </c>
      <c r="I11266" t="str">
        <f t="shared" si="2145"/>
        <v>14/11/2025</v>
      </c>
      <c r="J11266" t="str">
        <f t="shared" si="2136"/>
        <v>31/10/2025</v>
      </c>
      <c r="K11266">
        <v>45975</v>
      </c>
      <c r="N11266">
        <v>120</v>
      </c>
      <c r="O11266" t="s">
        <v>306</v>
      </c>
      <c r="Q11266">
        <v>40.729999999999997</v>
      </c>
      <c r="R11266" t="str">
        <f>"FARMÁCIA INDIANA LJ 204 (10087)"</f>
        <v>FARMÁCIA INDIANA LJ 204 (10087)</v>
      </c>
      <c r="S11266" t="s">
        <v>22</v>
      </c>
      <c r="T11266">
        <v>21156</v>
      </c>
      <c r="U11266">
        <v>25508</v>
      </c>
      <c r="V11266" t="s">
        <v>22</v>
      </c>
    </row>
    <row r="11267" spans="1:22">
      <c r="A11267" t="str">
        <f t="shared" si="2138"/>
        <v>14/11/2025</v>
      </c>
      <c r="B11267" t="str">
        <f t="shared" si="2141"/>
        <v>SAÍDA</v>
      </c>
      <c r="C11267" t="str">
        <f t="shared" si="2142"/>
        <v>PIX</v>
      </c>
      <c r="D11267" t="str">
        <f t="shared" si="2143"/>
        <v>1511</v>
      </c>
      <c r="E11267" t="str">
        <f t="shared" si="2135"/>
        <v>25</v>
      </c>
      <c r="F11267" t="str">
        <f t="shared" si="2125"/>
        <v>COM</v>
      </c>
      <c r="G11267" t="str">
        <f t="shared" si="2144"/>
        <v>PATRICK DE SOUZA CORREA (92)</v>
      </c>
      <c r="H11267" t="s">
        <v>3041</v>
      </c>
      <c r="I11267" t="str">
        <f t="shared" si="2145"/>
        <v>14/11/2025</v>
      </c>
      <c r="J11267" t="str">
        <f t="shared" si="2136"/>
        <v>31/10/2025</v>
      </c>
      <c r="K11267">
        <v>45975</v>
      </c>
      <c r="N11267">
        <v>120</v>
      </c>
      <c r="O11267" t="s">
        <v>306</v>
      </c>
      <c r="Q11267">
        <v>46.16</v>
      </c>
      <c r="R11267" t="str">
        <f>"FARMÁCIA INDIANA LJ 207 (10088)"</f>
        <v>FARMÁCIA INDIANA LJ 207 (10088)</v>
      </c>
      <c r="S11267" t="s">
        <v>22</v>
      </c>
      <c r="T11267">
        <v>21156</v>
      </c>
      <c r="U11267">
        <v>25508</v>
      </c>
      <c r="V11267" t="s">
        <v>22</v>
      </c>
    </row>
    <row r="11268" spans="1:22">
      <c r="A11268" t="str">
        <f t="shared" si="2138"/>
        <v>14/11/2025</v>
      </c>
      <c r="B11268" t="str">
        <f t="shared" si="2141"/>
        <v>SAÍDA</v>
      </c>
      <c r="C11268" t="str">
        <f t="shared" si="2142"/>
        <v>PIX</v>
      </c>
      <c r="D11268" t="str">
        <f t="shared" si="2143"/>
        <v>1511</v>
      </c>
      <c r="E11268" t="str">
        <f t="shared" si="2135"/>
        <v>25</v>
      </c>
      <c r="F11268" t="str">
        <f t="shared" si="2125"/>
        <v>COM</v>
      </c>
      <c r="G11268" t="str">
        <f t="shared" si="2144"/>
        <v>PATRICK DE SOUZA CORREA (92)</v>
      </c>
      <c r="H11268" t="s">
        <v>3041</v>
      </c>
      <c r="I11268" t="str">
        <f t="shared" si="2145"/>
        <v>14/11/2025</v>
      </c>
      <c r="J11268" t="str">
        <f t="shared" si="2136"/>
        <v>31/10/2025</v>
      </c>
      <c r="K11268">
        <v>45975</v>
      </c>
      <c r="N11268">
        <v>120</v>
      </c>
      <c r="O11268" t="s">
        <v>306</v>
      </c>
      <c r="Q11268">
        <v>54.37</v>
      </c>
      <c r="R11268" t="str">
        <f>"FARMÁCIA INDIANA LJ 209 (10089)"</f>
        <v>FARMÁCIA INDIANA LJ 209 (10089)</v>
      </c>
      <c r="S11268" t="s">
        <v>22</v>
      </c>
      <c r="T11268">
        <v>21156</v>
      </c>
      <c r="U11268">
        <v>25508</v>
      </c>
      <c r="V11268" t="s">
        <v>22</v>
      </c>
    </row>
    <row r="11269" spans="1:22">
      <c r="A11269" t="str">
        <f t="shared" ref="A11269:A11300" si="2146">("14/11/2025")</f>
        <v>14/11/2025</v>
      </c>
      <c r="B11269" t="str">
        <f t="shared" si="2141"/>
        <v>SAÍDA</v>
      </c>
      <c r="C11269" t="str">
        <f t="shared" si="2142"/>
        <v>PIX</v>
      </c>
      <c r="D11269" t="str">
        <f t="shared" si="2143"/>
        <v>1511</v>
      </c>
      <c r="E11269" t="str">
        <f t="shared" si="2135"/>
        <v>25</v>
      </c>
      <c r="F11269" t="str">
        <f t="shared" si="2125"/>
        <v>COM</v>
      </c>
      <c r="G11269" t="str">
        <f t="shared" si="2144"/>
        <v>PATRICK DE SOUZA CORREA (92)</v>
      </c>
      <c r="H11269" t="s">
        <v>3041</v>
      </c>
      <c r="I11269" t="str">
        <f t="shared" si="2145"/>
        <v>14/11/2025</v>
      </c>
      <c r="J11269" t="str">
        <f t="shared" si="2136"/>
        <v>31/10/2025</v>
      </c>
      <c r="K11269">
        <v>45975</v>
      </c>
      <c r="N11269">
        <v>120</v>
      </c>
      <c r="O11269" t="s">
        <v>306</v>
      </c>
      <c r="Q11269">
        <v>82.78</v>
      </c>
      <c r="R11269" t="str">
        <f>"FARMÁCIA INDIANA LJ 185 (10141)"</f>
        <v>FARMÁCIA INDIANA LJ 185 (10141)</v>
      </c>
      <c r="S11269" t="s">
        <v>22</v>
      </c>
      <c r="T11269">
        <v>21156</v>
      </c>
      <c r="U11269">
        <v>25508</v>
      </c>
      <c r="V11269" t="s">
        <v>22</v>
      </c>
    </row>
    <row r="11270" spans="1:22">
      <c r="A11270" t="str">
        <f t="shared" si="2146"/>
        <v>14/11/2025</v>
      </c>
      <c r="B11270" t="str">
        <f t="shared" si="2141"/>
        <v>SAÍDA</v>
      </c>
      <c r="C11270" t="str">
        <f t="shared" si="2142"/>
        <v>PIX</v>
      </c>
      <c r="D11270" t="str">
        <f t="shared" si="2143"/>
        <v>1511</v>
      </c>
      <c r="E11270" t="str">
        <f t="shared" si="2135"/>
        <v>25</v>
      </c>
      <c r="F11270" t="str">
        <f t="shared" si="2125"/>
        <v>COM</v>
      </c>
      <c r="G11270" t="str">
        <f t="shared" si="2144"/>
        <v>PATRICK DE SOUZA CORREA (92)</v>
      </c>
      <c r="H11270" t="s">
        <v>3041</v>
      </c>
      <c r="I11270" t="str">
        <f t="shared" si="2145"/>
        <v>14/11/2025</v>
      </c>
      <c r="J11270" t="str">
        <f t="shared" si="2136"/>
        <v>31/10/2025</v>
      </c>
      <c r="K11270">
        <v>45975</v>
      </c>
      <c r="N11270">
        <v>120</v>
      </c>
      <c r="O11270" t="s">
        <v>306</v>
      </c>
      <c r="Q11270">
        <v>34.57</v>
      </c>
      <c r="R11270" t="str">
        <f>"FARMÁCIA INDIANA LJ 205 (10150)"</f>
        <v>FARMÁCIA INDIANA LJ 205 (10150)</v>
      </c>
      <c r="S11270" t="s">
        <v>22</v>
      </c>
      <c r="T11270">
        <v>21156</v>
      </c>
      <c r="U11270">
        <v>25508</v>
      </c>
      <c r="V11270" t="s">
        <v>22</v>
      </c>
    </row>
    <row r="11271" spans="1:22">
      <c r="A11271" t="str">
        <f t="shared" si="2146"/>
        <v>14/11/2025</v>
      </c>
      <c r="B11271" t="str">
        <f t="shared" si="2141"/>
        <v>SAÍDA</v>
      </c>
      <c r="C11271" t="str">
        <f t="shared" si="2142"/>
        <v>PIX</v>
      </c>
      <c r="D11271" t="str">
        <f t="shared" si="2143"/>
        <v>1511</v>
      </c>
      <c r="E11271" t="str">
        <f t="shared" si="2135"/>
        <v>25</v>
      </c>
      <c r="F11271" t="str">
        <f t="shared" si="2125"/>
        <v>COM</v>
      </c>
      <c r="G11271" t="str">
        <f t="shared" si="2144"/>
        <v>PATRICK DE SOUZA CORREA (92)</v>
      </c>
      <c r="H11271" t="s">
        <v>3041</v>
      </c>
      <c r="I11271" t="str">
        <f t="shared" si="2145"/>
        <v>14/11/2025</v>
      </c>
      <c r="J11271" t="str">
        <f t="shared" si="2136"/>
        <v>31/10/2025</v>
      </c>
      <c r="K11271">
        <v>45975</v>
      </c>
      <c r="N11271">
        <v>120</v>
      </c>
      <c r="O11271" t="s">
        <v>306</v>
      </c>
      <c r="Q11271">
        <v>40.729999999999997</v>
      </c>
      <c r="R11271" t="str">
        <f>"FARMÁCIA INDIANA LJ 266 (10186)"</f>
        <v>FARMÁCIA INDIANA LJ 266 (10186)</v>
      </c>
      <c r="S11271" t="s">
        <v>22</v>
      </c>
      <c r="T11271">
        <v>21156</v>
      </c>
      <c r="U11271">
        <v>25508</v>
      </c>
      <c r="V11271" t="s">
        <v>22</v>
      </c>
    </row>
    <row r="11272" spans="1:22">
      <c r="A11272" t="str">
        <f t="shared" si="2146"/>
        <v>14/11/2025</v>
      </c>
      <c r="B11272" t="str">
        <f t="shared" si="2141"/>
        <v>SAÍDA</v>
      </c>
      <c r="C11272" t="str">
        <f t="shared" si="2142"/>
        <v>PIX</v>
      </c>
      <c r="D11272" t="str">
        <f>"1411"</f>
        <v>1411</v>
      </c>
      <c r="E11272" t="str">
        <f t="shared" si="2135"/>
        <v>25</v>
      </c>
      <c r="F11272" t="str">
        <f t="shared" si="2125"/>
        <v>COM</v>
      </c>
      <c r="G11272" t="str">
        <f>"JEFERSON ANDRADE FERREIRA (165)"</f>
        <v>JEFERSON ANDRADE FERREIRA (165)</v>
      </c>
      <c r="H11272" t="str">
        <f>"PAGAMENTO LIDERANÇA REF 10/2025 - PIX: CPF - CHAVE: 126.873.296-65"</f>
        <v>PAGAMENTO LIDERANÇA REF 10/2025 - PIX: CPF - CHAVE: 126.873.296-65</v>
      </c>
      <c r="I11272" t="str">
        <f t="shared" si="2145"/>
        <v>14/11/2025</v>
      </c>
      <c r="J11272" t="str">
        <f t="shared" si="2136"/>
        <v>31/10/2025</v>
      </c>
      <c r="K11272" t="str">
        <f>("14/11/2025")</f>
        <v>14/11/2025</v>
      </c>
      <c r="L11272">
        <v>187.69</v>
      </c>
      <c r="M11272">
        <v>187.69</v>
      </c>
      <c r="N11272">
        <v>120</v>
      </c>
      <c r="O11272" t="str">
        <f>"PAGAMENTO COMISSAO LIDERES"</f>
        <v>PAGAMENTO COMISSAO LIDERES</v>
      </c>
      <c r="P11272">
        <v>187.69</v>
      </c>
      <c r="S11272" t="str">
        <f>"BANCO CORA (102)"</f>
        <v>BANCO CORA (102)</v>
      </c>
      <c r="T11272">
        <v>21157</v>
      </c>
      <c r="U11272">
        <v>25506</v>
      </c>
      <c r="V11272" t="s">
        <v>22</v>
      </c>
    </row>
    <row r="11273" spans="1:22">
      <c r="A11273" t="str">
        <f t="shared" si="2146"/>
        <v>14/11/2025</v>
      </c>
      <c r="B11273" t="str">
        <f t="shared" si="2141"/>
        <v>SAÍDA</v>
      </c>
      <c r="C11273" t="str">
        <f t="shared" si="2142"/>
        <v>PIX</v>
      </c>
      <c r="D11273" t="str">
        <f>"1411"</f>
        <v>1411</v>
      </c>
      <c r="E11273" t="str">
        <f t="shared" si="2135"/>
        <v>25</v>
      </c>
      <c r="F11273" t="str">
        <f t="shared" ref="F11273:F11336" si="2147">"COM"</f>
        <v>COM</v>
      </c>
      <c r="G11273" t="str">
        <f>"JEFERSON ANDRADE FERREIRA (165)"</f>
        <v>JEFERSON ANDRADE FERREIRA (165)</v>
      </c>
      <c r="H11273" t="s">
        <v>3042</v>
      </c>
      <c r="I11273" t="str">
        <f t="shared" si="2145"/>
        <v>14/11/2025</v>
      </c>
      <c r="J11273" t="str">
        <f t="shared" si="2136"/>
        <v>31/10/2025</v>
      </c>
      <c r="K11273">
        <v>45975</v>
      </c>
      <c r="N11273">
        <v>120</v>
      </c>
      <c r="O11273" t="s">
        <v>306</v>
      </c>
      <c r="Q11273">
        <v>93.84</v>
      </c>
      <c r="R11273" t="str">
        <f>"FARMÁCIA INDIANA LJ 101 (10043)"</f>
        <v>FARMÁCIA INDIANA LJ 101 (10043)</v>
      </c>
      <c r="S11273" t="s">
        <v>22</v>
      </c>
      <c r="T11273">
        <v>21157</v>
      </c>
      <c r="U11273">
        <v>25506</v>
      </c>
      <c r="V11273" t="s">
        <v>22</v>
      </c>
    </row>
    <row r="11274" spans="1:22">
      <c r="A11274" t="str">
        <f t="shared" si="2146"/>
        <v>14/11/2025</v>
      </c>
      <c r="B11274" t="str">
        <f t="shared" si="2141"/>
        <v>SAÍDA</v>
      </c>
      <c r="C11274" t="str">
        <f t="shared" si="2142"/>
        <v>PIX</v>
      </c>
      <c r="D11274" t="str">
        <f>"1411"</f>
        <v>1411</v>
      </c>
      <c r="E11274" t="str">
        <f t="shared" si="2135"/>
        <v>25</v>
      </c>
      <c r="F11274" t="str">
        <f t="shared" si="2147"/>
        <v>COM</v>
      </c>
      <c r="G11274" t="str">
        <f>"JEFERSON ANDRADE FERREIRA (165)"</f>
        <v>JEFERSON ANDRADE FERREIRA (165)</v>
      </c>
      <c r="H11274" t="s">
        <v>3042</v>
      </c>
      <c r="I11274" t="str">
        <f t="shared" si="2145"/>
        <v>14/11/2025</v>
      </c>
      <c r="J11274" t="str">
        <f t="shared" si="2136"/>
        <v>31/10/2025</v>
      </c>
      <c r="K11274">
        <v>45975</v>
      </c>
      <c r="N11274">
        <v>120</v>
      </c>
      <c r="O11274" t="s">
        <v>306</v>
      </c>
      <c r="Q11274">
        <v>93.85</v>
      </c>
      <c r="R11274" t="str">
        <f>"FARMÁCIA INDIANA LJ 220 (10092)"</f>
        <v>FARMÁCIA INDIANA LJ 220 (10092)</v>
      </c>
      <c r="S11274" t="s">
        <v>22</v>
      </c>
      <c r="T11274">
        <v>21157</v>
      </c>
      <c r="U11274">
        <v>25506</v>
      </c>
      <c r="V11274" t="s">
        <v>22</v>
      </c>
    </row>
    <row r="11275" spans="1:22">
      <c r="A11275" t="str">
        <f t="shared" si="2146"/>
        <v>14/11/2025</v>
      </c>
      <c r="B11275" t="str">
        <f t="shared" si="2141"/>
        <v>SAÍDA</v>
      </c>
      <c r="C11275" t="str">
        <f t="shared" si="2142"/>
        <v>PIX</v>
      </c>
      <c r="D11275" t="str">
        <f>"1411251000"</f>
        <v>1411251000</v>
      </c>
      <c r="E11275" t="str">
        <f>""</f>
        <v/>
      </c>
      <c r="F11275" t="str">
        <f t="shared" si="2147"/>
        <v>COM</v>
      </c>
      <c r="G11275" t="str">
        <f>"GIOVANA CECCON MARTINS DE SA (20091)"</f>
        <v>GIOVANA CECCON MARTINS DE SA (20091)</v>
      </c>
      <c r="H11275" t="str">
        <f>"BOLSA ESTAGIO - TRABALHO EXTRA 07/10 A 31/10"</f>
        <v>BOLSA ESTAGIO - TRABALHO EXTRA 07/10 A 31/10</v>
      </c>
      <c r="I11275" t="str">
        <f t="shared" si="2145"/>
        <v>14/11/2025</v>
      </c>
      <c r="J11275" t="str">
        <f>("01/11/2025")</f>
        <v>01/11/2025</v>
      </c>
      <c r="K11275" t="str">
        <f>("14/11/2025")</f>
        <v>14/11/2025</v>
      </c>
      <c r="L11275">
        <v>1000</v>
      </c>
      <c r="M11275">
        <v>1000</v>
      </c>
      <c r="N11275">
        <v>103</v>
      </c>
      <c r="O11275" t="str">
        <f>"PAGAMENTO DE FUNCIONÁRIOS"</f>
        <v>PAGAMENTO DE FUNCIONÁRIOS</v>
      </c>
      <c r="P11275">
        <v>1000</v>
      </c>
      <c r="S11275" t="str">
        <f>"BANCO CORA (102)"</f>
        <v>BANCO CORA (102)</v>
      </c>
      <c r="T11275">
        <v>21158</v>
      </c>
      <c r="U11275">
        <v>25502</v>
      </c>
      <c r="V11275" t="s">
        <v>22</v>
      </c>
    </row>
    <row r="11276" spans="1:22">
      <c r="A11276" t="str">
        <f t="shared" si="2146"/>
        <v>14/11/2025</v>
      </c>
      <c r="B11276" t="str">
        <f t="shared" si="2141"/>
        <v>SAÍDA</v>
      </c>
      <c r="C11276" t="str">
        <f t="shared" si="2142"/>
        <v>PIX</v>
      </c>
      <c r="D11276" t="str">
        <f>"1411251000"</f>
        <v>1411251000</v>
      </c>
      <c r="E11276" t="str">
        <f>""</f>
        <v/>
      </c>
      <c r="F11276" t="str">
        <f t="shared" si="2147"/>
        <v>COM</v>
      </c>
      <c r="G11276" t="str">
        <f>"GIOVANA CECCON MARTINS DE SA (20091)"</f>
        <v>GIOVANA CECCON MARTINS DE SA (20091)</v>
      </c>
      <c r="H11276" t="s">
        <v>3043</v>
      </c>
      <c r="I11276" t="str">
        <f t="shared" si="2145"/>
        <v>14/11/2025</v>
      </c>
      <c r="J11276" t="str">
        <f>("01/11/2025")</f>
        <v>01/11/2025</v>
      </c>
      <c r="K11276">
        <v>45975</v>
      </c>
      <c r="N11276">
        <v>103</v>
      </c>
      <c r="O11276" t="s">
        <v>267</v>
      </c>
      <c r="Q11276">
        <v>1000</v>
      </c>
      <c r="R11276" t="str">
        <f>"GIOVANA CECCON MARTINS DE SA (20091)"</f>
        <v>GIOVANA CECCON MARTINS DE SA (20091)</v>
      </c>
      <c r="S11276" t="s">
        <v>22</v>
      </c>
      <c r="T11276">
        <v>21158</v>
      </c>
      <c r="U11276">
        <v>25502</v>
      </c>
      <c r="V11276" t="s">
        <v>22</v>
      </c>
    </row>
    <row r="11277" spans="1:22">
      <c r="A11277" t="str">
        <f t="shared" si="2146"/>
        <v>14/11/2025</v>
      </c>
      <c r="B11277" t="str">
        <f t="shared" si="2141"/>
        <v>SAÍDA</v>
      </c>
      <c r="C11277" t="str">
        <f t="shared" si="2142"/>
        <v>PIX</v>
      </c>
      <c r="D11277" t="str">
        <f t="shared" ref="D11277:D11301" si="2148">"1511"</f>
        <v>1511</v>
      </c>
      <c r="E11277" t="str">
        <f t="shared" ref="E11277:E11311" si="2149">"25"</f>
        <v>25</v>
      </c>
      <c r="F11277" t="str">
        <f t="shared" si="2147"/>
        <v>COM</v>
      </c>
      <c r="G11277" t="str">
        <f t="shared" ref="G11277:G11286" si="2150">"CASSIO DIAS RIBEIRO (32)"</f>
        <v>CASSIO DIAS RIBEIRO (32)</v>
      </c>
      <c r="H11277" t="str">
        <f>"PAGAMENTO LIDERANÇA REF. MES 10/2025 - PIX: CPF - CHAVE: 091.575.986-14"</f>
        <v>PAGAMENTO LIDERANÇA REF. MES 10/2025 - PIX: CPF - CHAVE: 091.575.986-14</v>
      </c>
      <c r="I11277" t="str">
        <f t="shared" si="2145"/>
        <v>14/11/2025</v>
      </c>
      <c r="J11277" t="str">
        <f t="shared" ref="J11277:J11311" si="2151">("31/10/2025")</f>
        <v>31/10/2025</v>
      </c>
      <c r="K11277" t="str">
        <f>("14/11/2025")</f>
        <v>14/11/2025</v>
      </c>
      <c r="L11277">
        <v>3307.96</v>
      </c>
      <c r="M11277">
        <v>3307.96</v>
      </c>
      <c r="N11277">
        <v>120</v>
      </c>
      <c r="O11277" t="str">
        <f>"PAGAMENTO COMISSAO LIDERES"</f>
        <v>PAGAMENTO COMISSAO LIDERES</v>
      </c>
      <c r="P11277">
        <v>3307.96</v>
      </c>
      <c r="S11277" t="str">
        <f>"BANCO CORA (102)"</f>
        <v>BANCO CORA (102)</v>
      </c>
      <c r="T11277">
        <v>21159</v>
      </c>
      <c r="U11277">
        <v>25498</v>
      </c>
      <c r="V11277" t="s">
        <v>22</v>
      </c>
    </row>
    <row r="11278" spans="1:22">
      <c r="A11278" t="str">
        <f t="shared" si="2146"/>
        <v>14/11/2025</v>
      </c>
      <c r="B11278" t="str">
        <f t="shared" si="2141"/>
        <v>SAÍDA</v>
      </c>
      <c r="C11278" t="str">
        <f t="shared" si="2142"/>
        <v>PIX</v>
      </c>
      <c r="D11278" t="str">
        <f t="shared" si="2148"/>
        <v>1511</v>
      </c>
      <c r="E11278" t="str">
        <f t="shared" si="2149"/>
        <v>25</v>
      </c>
      <c r="F11278" t="str">
        <f t="shared" si="2147"/>
        <v>COM</v>
      </c>
      <c r="G11278" t="str">
        <f t="shared" si="2150"/>
        <v>CASSIO DIAS RIBEIRO (32)</v>
      </c>
      <c r="H11278" t="s">
        <v>3033</v>
      </c>
      <c r="I11278" t="str">
        <f t="shared" si="2145"/>
        <v>14/11/2025</v>
      </c>
      <c r="J11278" t="str">
        <f t="shared" si="2151"/>
        <v>31/10/2025</v>
      </c>
      <c r="K11278">
        <v>45975</v>
      </c>
      <c r="N11278">
        <v>120</v>
      </c>
      <c r="O11278" t="s">
        <v>306</v>
      </c>
      <c r="Q11278">
        <v>1087</v>
      </c>
      <c r="R11278" t="str">
        <f>"FARMÁCIA INDIANA LJ 06 (10006)"</f>
        <v>FARMÁCIA INDIANA LJ 06 (10006)</v>
      </c>
      <c r="S11278" t="s">
        <v>22</v>
      </c>
      <c r="T11278">
        <v>21159</v>
      </c>
      <c r="U11278">
        <v>25498</v>
      </c>
      <c r="V11278" t="s">
        <v>22</v>
      </c>
    </row>
    <row r="11279" spans="1:22">
      <c r="A11279" t="str">
        <f t="shared" si="2146"/>
        <v>14/11/2025</v>
      </c>
      <c r="B11279" t="str">
        <f t="shared" si="2141"/>
        <v>SAÍDA</v>
      </c>
      <c r="C11279" t="str">
        <f t="shared" si="2142"/>
        <v>PIX</v>
      </c>
      <c r="D11279" t="str">
        <f t="shared" si="2148"/>
        <v>1511</v>
      </c>
      <c r="E11279" t="str">
        <f t="shared" si="2149"/>
        <v>25</v>
      </c>
      <c r="F11279" t="str">
        <f t="shared" si="2147"/>
        <v>COM</v>
      </c>
      <c r="G11279" t="str">
        <f t="shared" si="2150"/>
        <v>CASSIO DIAS RIBEIRO (32)</v>
      </c>
      <c r="H11279" t="s">
        <v>3033</v>
      </c>
      <c r="I11279" t="str">
        <f t="shared" si="2145"/>
        <v>14/11/2025</v>
      </c>
      <c r="J11279" t="str">
        <f t="shared" si="2151"/>
        <v>31/10/2025</v>
      </c>
      <c r="K11279">
        <v>45975</v>
      </c>
      <c r="N11279">
        <v>120</v>
      </c>
      <c r="O11279" t="s">
        <v>306</v>
      </c>
      <c r="Q11279">
        <v>577.57000000000005</v>
      </c>
      <c r="R11279" t="str">
        <f>"FARMÁCIA INDIANA LJ 11 (10008)"</f>
        <v>FARMÁCIA INDIANA LJ 11 (10008)</v>
      </c>
      <c r="S11279" t="s">
        <v>22</v>
      </c>
      <c r="T11279">
        <v>21159</v>
      </c>
      <c r="U11279">
        <v>25498</v>
      </c>
      <c r="V11279" t="s">
        <v>22</v>
      </c>
    </row>
    <row r="11280" spans="1:22">
      <c r="A11280" t="str">
        <f t="shared" si="2146"/>
        <v>14/11/2025</v>
      </c>
      <c r="B11280" t="str">
        <f t="shared" si="2141"/>
        <v>SAÍDA</v>
      </c>
      <c r="C11280" t="str">
        <f t="shared" si="2142"/>
        <v>PIX</v>
      </c>
      <c r="D11280" t="str">
        <f t="shared" si="2148"/>
        <v>1511</v>
      </c>
      <c r="E11280" t="str">
        <f t="shared" si="2149"/>
        <v>25</v>
      </c>
      <c r="F11280" t="str">
        <f t="shared" si="2147"/>
        <v>COM</v>
      </c>
      <c r="G11280" t="str">
        <f t="shared" si="2150"/>
        <v>CASSIO DIAS RIBEIRO (32)</v>
      </c>
      <c r="H11280" t="s">
        <v>3033</v>
      </c>
      <c r="I11280" t="str">
        <f t="shared" si="2145"/>
        <v>14/11/2025</v>
      </c>
      <c r="J11280" t="str">
        <f t="shared" si="2151"/>
        <v>31/10/2025</v>
      </c>
      <c r="K11280">
        <v>45975</v>
      </c>
      <c r="N11280">
        <v>120</v>
      </c>
      <c r="O11280" t="s">
        <v>306</v>
      </c>
      <c r="Q11280">
        <v>205.09</v>
      </c>
      <c r="R11280" t="str">
        <f>"FARMÁCIA INDIANA LJ 18 (10011)"</f>
        <v>FARMÁCIA INDIANA LJ 18 (10011)</v>
      </c>
      <c r="S11280" t="s">
        <v>22</v>
      </c>
      <c r="T11280">
        <v>21159</v>
      </c>
      <c r="U11280">
        <v>25498</v>
      </c>
      <c r="V11280" t="s">
        <v>22</v>
      </c>
    </row>
    <row r="11281" spans="1:22">
      <c r="A11281" t="str">
        <f t="shared" si="2146"/>
        <v>14/11/2025</v>
      </c>
      <c r="B11281" t="str">
        <f t="shared" si="2141"/>
        <v>SAÍDA</v>
      </c>
      <c r="C11281" t="str">
        <f t="shared" si="2142"/>
        <v>PIX</v>
      </c>
      <c r="D11281" t="str">
        <f t="shared" si="2148"/>
        <v>1511</v>
      </c>
      <c r="E11281" t="str">
        <f t="shared" si="2149"/>
        <v>25</v>
      </c>
      <c r="F11281" t="str">
        <f t="shared" si="2147"/>
        <v>COM</v>
      </c>
      <c r="G11281" t="str">
        <f t="shared" si="2150"/>
        <v>CASSIO DIAS RIBEIRO (32)</v>
      </c>
      <c r="H11281" t="s">
        <v>3033</v>
      </c>
      <c r="I11281" t="str">
        <f t="shared" si="2145"/>
        <v>14/11/2025</v>
      </c>
      <c r="J11281" t="str">
        <f t="shared" si="2151"/>
        <v>31/10/2025</v>
      </c>
      <c r="K11281">
        <v>45975</v>
      </c>
      <c r="N11281">
        <v>120</v>
      </c>
      <c r="O11281" t="s">
        <v>306</v>
      </c>
      <c r="Q11281">
        <v>205.09</v>
      </c>
      <c r="R11281" t="str">
        <f>"FARMÁCIA INDIANA LJ 19 (10012)"</f>
        <v>FARMÁCIA INDIANA LJ 19 (10012)</v>
      </c>
      <c r="S11281" t="s">
        <v>22</v>
      </c>
      <c r="T11281">
        <v>21159</v>
      </c>
      <c r="U11281">
        <v>25498</v>
      </c>
      <c r="V11281" t="s">
        <v>22</v>
      </c>
    </row>
    <row r="11282" spans="1:22">
      <c r="A11282" t="str">
        <f t="shared" si="2146"/>
        <v>14/11/2025</v>
      </c>
      <c r="B11282" t="str">
        <f t="shared" si="2141"/>
        <v>SAÍDA</v>
      </c>
      <c r="C11282" t="str">
        <f t="shared" si="2142"/>
        <v>PIX</v>
      </c>
      <c r="D11282" t="str">
        <f t="shared" si="2148"/>
        <v>1511</v>
      </c>
      <c r="E11282" t="str">
        <f t="shared" si="2149"/>
        <v>25</v>
      </c>
      <c r="F11282" t="str">
        <f t="shared" si="2147"/>
        <v>COM</v>
      </c>
      <c r="G11282" t="str">
        <f t="shared" si="2150"/>
        <v>CASSIO DIAS RIBEIRO (32)</v>
      </c>
      <c r="H11282" t="s">
        <v>3033</v>
      </c>
      <c r="I11282" t="str">
        <f t="shared" si="2145"/>
        <v>14/11/2025</v>
      </c>
      <c r="J11282" t="str">
        <f t="shared" si="2151"/>
        <v>31/10/2025</v>
      </c>
      <c r="K11282">
        <v>45975</v>
      </c>
      <c r="N11282">
        <v>120</v>
      </c>
      <c r="O11282" t="s">
        <v>306</v>
      </c>
      <c r="Q11282">
        <v>415.15</v>
      </c>
      <c r="R11282" t="str">
        <f>"FARMÁCIA INDIANA LJ 142 (10066)"</f>
        <v>FARMÁCIA INDIANA LJ 142 (10066)</v>
      </c>
      <c r="S11282" t="s">
        <v>22</v>
      </c>
      <c r="T11282">
        <v>21159</v>
      </c>
      <c r="U11282">
        <v>25498</v>
      </c>
      <c r="V11282" t="s">
        <v>22</v>
      </c>
    </row>
    <row r="11283" spans="1:22">
      <c r="A11283" t="str">
        <f t="shared" si="2146"/>
        <v>14/11/2025</v>
      </c>
      <c r="B11283" t="str">
        <f t="shared" si="2141"/>
        <v>SAÍDA</v>
      </c>
      <c r="C11283" t="str">
        <f t="shared" si="2142"/>
        <v>PIX</v>
      </c>
      <c r="D11283" t="str">
        <f t="shared" si="2148"/>
        <v>1511</v>
      </c>
      <c r="E11283" t="str">
        <f t="shared" si="2149"/>
        <v>25</v>
      </c>
      <c r="F11283" t="str">
        <f t="shared" si="2147"/>
        <v>COM</v>
      </c>
      <c r="G11283" t="str">
        <f t="shared" si="2150"/>
        <v>CASSIO DIAS RIBEIRO (32)</v>
      </c>
      <c r="H11283" t="s">
        <v>3033</v>
      </c>
      <c r="I11283" t="str">
        <f t="shared" si="2145"/>
        <v>14/11/2025</v>
      </c>
      <c r="J11283" t="str">
        <f t="shared" si="2151"/>
        <v>31/10/2025</v>
      </c>
      <c r="K11283">
        <v>45975</v>
      </c>
      <c r="N11283">
        <v>120</v>
      </c>
      <c r="O11283" t="s">
        <v>306</v>
      </c>
      <c r="Q11283">
        <v>91.3</v>
      </c>
      <c r="R11283" t="str">
        <f>"FARMÁCIA INDIANA LJ 181 (10078)"</f>
        <v>FARMÁCIA INDIANA LJ 181 (10078)</v>
      </c>
      <c r="S11283" t="s">
        <v>22</v>
      </c>
      <c r="T11283">
        <v>21159</v>
      </c>
      <c r="U11283">
        <v>25498</v>
      </c>
      <c r="V11283" t="s">
        <v>22</v>
      </c>
    </row>
    <row r="11284" spans="1:22">
      <c r="A11284" t="str">
        <f t="shared" si="2146"/>
        <v>14/11/2025</v>
      </c>
      <c r="B11284" t="str">
        <f t="shared" si="2141"/>
        <v>SAÍDA</v>
      </c>
      <c r="C11284" t="str">
        <f t="shared" si="2142"/>
        <v>PIX</v>
      </c>
      <c r="D11284" t="str">
        <f t="shared" si="2148"/>
        <v>1511</v>
      </c>
      <c r="E11284" t="str">
        <f t="shared" si="2149"/>
        <v>25</v>
      </c>
      <c r="F11284" t="str">
        <f t="shared" si="2147"/>
        <v>COM</v>
      </c>
      <c r="G11284" t="str">
        <f t="shared" si="2150"/>
        <v>CASSIO DIAS RIBEIRO (32)</v>
      </c>
      <c r="H11284" t="s">
        <v>3033</v>
      </c>
      <c r="I11284" t="str">
        <f t="shared" si="2145"/>
        <v>14/11/2025</v>
      </c>
      <c r="J11284" t="str">
        <f t="shared" si="2151"/>
        <v>31/10/2025</v>
      </c>
      <c r="K11284">
        <v>45975</v>
      </c>
      <c r="N11284">
        <v>120</v>
      </c>
      <c r="O11284" t="s">
        <v>306</v>
      </c>
      <c r="Q11284">
        <v>333.44</v>
      </c>
      <c r="R11284" t="str">
        <f>"FARMÁCIA INDIANA LJ 172 (10161)"</f>
        <v>FARMÁCIA INDIANA LJ 172 (10161)</v>
      </c>
      <c r="S11284" t="s">
        <v>22</v>
      </c>
      <c r="T11284">
        <v>21159</v>
      </c>
      <c r="U11284">
        <v>25498</v>
      </c>
      <c r="V11284" t="s">
        <v>22</v>
      </c>
    </row>
    <row r="11285" spans="1:22">
      <c r="A11285" t="str">
        <f t="shared" si="2146"/>
        <v>14/11/2025</v>
      </c>
      <c r="B11285" t="str">
        <f t="shared" si="2141"/>
        <v>SAÍDA</v>
      </c>
      <c r="C11285" t="str">
        <f t="shared" si="2142"/>
        <v>PIX</v>
      </c>
      <c r="D11285" t="str">
        <f t="shared" si="2148"/>
        <v>1511</v>
      </c>
      <c r="E11285" t="str">
        <f t="shared" si="2149"/>
        <v>25</v>
      </c>
      <c r="F11285" t="str">
        <f t="shared" si="2147"/>
        <v>COM</v>
      </c>
      <c r="G11285" t="str">
        <f t="shared" si="2150"/>
        <v>CASSIO DIAS RIBEIRO (32)</v>
      </c>
      <c r="H11285" t="s">
        <v>3033</v>
      </c>
      <c r="I11285" t="str">
        <f t="shared" si="2145"/>
        <v>14/11/2025</v>
      </c>
      <c r="J11285" t="str">
        <f t="shared" si="2151"/>
        <v>31/10/2025</v>
      </c>
      <c r="K11285">
        <v>45975</v>
      </c>
      <c r="N11285">
        <v>120</v>
      </c>
      <c r="O11285" t="s">
        <v>306</v>
      </c>
      <c r="Q11285">
        <v>293.42</v>
      </c>
      <c r="R11285" t="str">
        <f>"ENTREFARMA (10164)"</f>
        <v>ENTREFARMA (10164)</v>
      </c>
      <c r="S11285" t="s">
        <v>22</v>
      </c>
      <c r="T11285">
        <v>21159</v>
      </c>
      <c r="U11285">
        <v>25498</v>
      </c>
      <c r="V11285" t="s">
        <v>22</v>
      </c>
    </row>
    <row r="11286" spans="1:22">
      <c r="A11286" t="str">
        <f t="shared" si="2146"/>
        <v>14/11/2025</v>
      </c>
      <c r="B11286" t="str">
        <f t="shared" si="2141"/>
        <v>SAÍDA</v>
      </c>
      <c r="C11286" t="str">
        <f t="shared" si="2142"/>
        <v>PIX</v>
      </c>
      <c r="D11286" t="str">
        <f t="shared" si="2148"/>
        <v>1511</v>
      </c>
      <c r="E11286" t="str">
        <f t="shared" si="2149"/>
        <v>25</v>
      </c>
      <c r="F11286" t="str">
        <f t="shared" si="2147"/>
        <v>COM</v>
      </c>
      <c r="G11286" t="str">
        <f t="shared" si="2150"/>
        <v>CASSIO DIAS RIBEIRO (32)</v>
      </c>
      <c r="H11286" t="s">
        <v>3033</v>
      </c>
      <c r="I11286" t="str">
        <f t="shared" si="2145"/>
        <v>14/11/2025</v>
      </c>
      <c r="J11286" t="str">
        <f t="shared" si="2151"/>
        <v>31/10/2025</v>
      </c>
      <c r="K11286">
        <v>45975</v>
      </c>
      <c r="N11286">
        <v>120</v>
      </c>
      <c r="O11286" t="s">
        <v>306</v>
      </c>
      <c r="Q11286">
        <v>99.9</v>
      </c>
      <c r="R11286" t="str">
        <f>"DROGARIA VAZ (10179)"</f>
        <v>DROGARIA VAZ (10179)</v>
      </c>
      <c r="S11286" t="s">
        <v>22</v>
      </c>
      <c r="T11286">
        <v>21159</v>
      </c>
      <c r="U11286">
        <v>25498</v>
      </c>
      <c r="V11286" t="s">
        <v>22</v>
      </c>
    </row>
    <row r="11287" spans="1:22">
      <c r="A11287" t="str">
        <f t="shared" si="2146"/>
        <v>14/11/2025</v>
      </c>
      <c r="B11287" t="str">
        <f t="shared" si="2141"/>
        <v>SAÍDA</v>
      </c>
      <c r="C11287" t="str">
        <f t="shared" si="2142"/>
        <v>PIX</v>
      </c>
      <c r="D11287" t="str">
        <f t="shared" si="2148"/>
        <v>1511</v>
      </c>
      <c r="E11287" t="str">
        <f t="shared" si="2149"/>
        <v>25</v>
      </c>
      <c r="F11287" t="str">
        <f t="shared" si="2147"/>
        <v>COM</v>
      </c>
      <c r="G11287" t="str">
        <f t="shared" ref="G11287:G11301" si="2152">"CARLOS ROBERTO BADARÓ MACHADO (78)"</f>
        <v>CARLOS ROBERTO BADARÓ MACHADO (78)</v>
      </c>
      <c r="H11287" t="str">
        <f>"PAGAMENTO LIDERENÇA REF. MES 10/2025 - PIX: CELULAR - CHAVE: (32) 99166-8238"</f>
        <v>PAGAMENTO LIDERENÇA REF. MES 10/2025 - PIX: CELULAR - CHAVE: (32) 99166-8238</v>
      </c>
      <c r="I11287" t="str">
        <f t="shared" si="2145"/>
        <v>14/11/2025</v>
      </c>
      <c r="J11287" t="str">
        <f t="shared" si="2151"/>
        <v>31/10/2025</v>
      </c>
      <c r="K11287" t="str">
        <f>("14/11/2025")</f>
        <v>14/11/2025</v>
      </c>
      <c r="L11287">
        <v>1522.11</v>
      </c>
      <c r="M11287">
        <v>1522.11</v>
      </c>
      <c r="N11287">
        <v>120</v>
      </c>
      <c r="O11287" t="str">
        <f>"PAGAMENTO COMISSAO LIDERES"</f>
        <v>PAGAMENTO COMISSAO LIDERES</v>
      </c>
      <c r="P11287">
        <v>1522.11</v>
      </c>
      <c r="S11287" t="str">
        <f>"BANCO CORA (102)"</f>
        <v>BANCO CORA (102)</v>
      </c>
      <c r="T11287">
        <v>21160</v>
      </c>
      <c r="U11287">
        <v>25494</v>
      </c>
      <c r="V11287" t="s">
        <v>22</v>
      </c>
    </row>
    <row r="11288" spans="1:22">
      <c r="A11288" t="str">
        <f t="shared" si="2146"/>
        <v>14/11/2025</v>
      </c>
      <c r="B11288" t="str">
        <f t="shared" si="2141"/>
        <v>SAÍDA</v>
      </c>
      <c r="C11288" t="str">
        <f t="shared" si="2142"/>
        <v>PIX</v>
      </c>
      <c r="D11288" t="str">
        <f t="shared" si="2148"/>
        <v>1511</v>
      </c>
      <c r="E11288" t="str">
        <f t="shared" si="2149"/>
        <v>25</v>
      </c>
      <c r="F11288" t="str">
        <f t="shared" si="2147"/>
        <v>COM</v>
      </c>
      <c r="G11288" t="str">
        <f t="shared" si="2152"/>
        <v>CARLOS ROBERTO BADARÓ MACHADO (78)</v>
      </c>
      <c r="H11288" t="s">
        <v>3044</v>
      </c>
      <c r="I11288" t="str">
        <f t="shared" si="2145"/>
        <v>14/11/2025</v>
      </c>
      <c r="J11288" t="str">
        <f t="shared" si="2151"/>
        <v>31/10/2025</v>
      </c>
      <c r="K11288">
        <v>45975</v>
      </c>
      <c r="N11288">
        <v>120</v>
      </c>
      <c r="O11288" t="s">
        <v>306</v>
      </c>
      <c r="Q11288">
        <v>22.24</v>
      </c>
      <c r="R11288" t="str">
        <f>"FARMÁCIA INDIANA LJ 103 (10044)"</f>
        <v>FARMÁCIA INDIANA LJ 103 (10044)</v>
      </c>
      <c r="S11288" t="s">
        <v>22</v>
      </c>
      <c r="T11288">
        <v>21160</v>
      </c>
      <c r="U11288">
        <v>25494</v>
      </c>
      <c r="V11288" t="s">
        <v>22</v>
      </c>
    </row>
    <row r="11289" spans="1:22">
      <c r="A11289" t="str">
        <f t="shared" si="2146"/>
        <v>14/11/2025</v>
      </c>
      <c r="B11289" t="str">
        <f t="shared" si="2141"/>
        <v>SAÍDA</v>
      </c>
      <c r="C11289" t="str">
        <f t="shared" si="2142"/>
        <v>PIX</v>
      </c>
      <c r="D11289" t="str">
        <f t="shared" si="2148"/>
        <v>1511</v>
      </c>
      <c r="E11289" t="str">
        <f t="shared" si="2149"/>
        <v>25</v>
      </c>
      <c r="F11289" t="str">
        <f t="shared" si="2147"/>
        <v>COM</v>
      </c>
      <c r="G11289" t="str">
        <f t="shared" si="2152"/>
        <v>CARLOS ROBERTO BADARÓ MACHADO (78)</v>
      </c>
      <c r="H11289" t="s">
        <v>3044</v>
      </c>
      <c r="I11289" t="str">
        <f t="shared" si="2145"/>
        <v>14/11/2025</v>
      </c>
      <c r="J11289" t="str">
        <f t="shared" si="2151"/>
        <v>31/10/2025</v>
      </c>
      <c r="K11289">
        <v>45975</v>
      </c>
      <c r="N11289">
        <v>120</v>
      </c>
      <c r="O11289" t="s">
        <v>306</v>
      </c>
      <c r="Q11289">
        <v>95.28</v>
      </c>
      <c r="R11289" t="str">
        <f>"FARMÁCIA INDIANA LJ 109 (10047)"</f>
        <v>FARMÁCIA INDIANA LJ 109 (10047)</v>
      </c>
      <c r="S11289" t="s">
        <v>22</v>
      </c>
      <c r="T11289">
        <v>21160</v>
      </c>
      <c r="U11289">
        <v>25494</v>
      </c>
      <c r="V11289" t="s">
        <v>22</v>
      </c>
    </row>
    <row r="11290" spans="1:22">
      <c r="A11290" t="str">
        <f t="shared" si="2146"/>
        <v>14/11/2025</v>
      </c>
      <c r="B11290" t="str">
        <f t="shared" si="2141"/>
        <v>SAÍDA</v>
      </c>
      <c r="C11290" t="str">
        <f t="shared" si="2142"/>
        <v>PIX</v>
      </c>
      <c r="D11290" t="str">
        <f t="shared" si="2148"/>
        <v>1511</v>
      </c>
      <c r="E11290" t="str">
        <f t="shared" si="2149"/>
        <v>25</v>
      </c>
      <c r="F11290" t="str">
        <f t="shared" si="2147"/>
        <v>COM</v>
      </c>
      <c r="G11290" t="str">
        <f t="shared" si="2152"/>
        <v>CARLOS ROBERTO BADARÓ MACHADO (78)</v>
      </c>
      <c r="H11290" t="s">
        <v>3044</v>
      </c>
      <c r="I11290" t="str">
        <f t="shared" si="2145"/>
        <v>14/11/2025</v>
      </c>
      <c r="J11290" t="str">
        <f t="shared" si="2151"/>
        <v>31/10/2025</v>
      </c>
      <c r="K11290">
        <v>45975</v>
      </c>
      <c r="N11290">
        <v>120</v>
      </c>
      <c r="O11290" t="s">
        <v>306</v>
      </c>
      <c r="Q11290">
        <v>44.75</v>
      </c>
      <c r="R11290" t="str">
        <f>"FARMÁCIA INDIANA LJ 118 (10052)"</f>
        <v>FARMÁCIA INDIANA LJ 118 (10052)</v>
      </c>
      <c r="S11290" t="s">
        <v>22</v>
      </c>
      <c r="T11290">
        <v>21160</v>
      </c>
      <c r="U11290">
        <v>25494</v>
      </c>
      <c r="V11290" t="s">
        <v>22</v>
      </c>
    </row>
    <row r="11291" spans="1:22">
      <c r="A11291" t="str">
        <f t="shared" si="2146"/>
        <v>14/11/2025</v>
      </c>
      <c r="B11291" t="str">
        <f t="shared" ref="B11291:B11313" si="2153">"SAÍDA"</f>
        <v>SAÍDA</v>
      </c>
      <c r="C11291" t="str">
        <f t="shared" ref="C11291:C11313" si="2154">"PIX"</f>
        <v>PIX</v>
      </c>
      <c r="D11291" t="str">
        <f t="shared" si="2148"/>
        <v>1511</v>
      </c>
      <c r="E11291" t="str">
        <f t="shared" si="2149"/>
        <v>25</v>
      </c>
      <c r="F11291" t="str">
        <f t="shared" si="2147"/>
        <v>COM</v>
      </c>
      <c r="G11291" t="str">
        <f t="shared" si="2152"/>
        <v>CARLOS ROBERTO BADARÓ MACHADO (78)</v>
      </c>
      <c r="H11291" t="s">
        <v>3044</v>
      </c>
      <c r="I11291" t="str">
        <f t="shared" si="2145"/>
        <v>14/11/2025</v>
      </c>
      <c r="J11291" t="str">
        <f t="shared" si="2151"/>
        <v>31/10/2025</v>
      </c>
      <c r="K11291">
        <v>45975</v>
      </c>
      <c r="N11291">
        <v>120</v>
      </c>
      <c r="O11291" t="s">
        <v>306</v>
      </c>
      <c r="Q11291">
        <v>22.22</v>
      </c>
      <c r="R11291" t="str">
        <f>"FARMÁCIA INDIANA LJ 140 (10064)"</f>
        <v>FARMÁCIA INDIANA LJ 140 (10064)</v>
      </c>
      <c r="S11291" t="s">
        <v>22</v>
      </c>
      <c r="T11291">
        <v>21160</v>
      </c>
      <c r="U11291">
        <v>25494</v>
      </c>
      <c r="V11291" t="s">
        <v>22</v>
      </c>
    </row>
    <row r="11292" spans="1:22">
      <c r="A11292" t="str">
        <f t="shared" si="2146"/>
        <v>14/11/2025</v>
      </c>
      <c r="B11292" t="str">
        <f t="shared" si="2153"/>
        <v>SAÍDA</v>
      </c>
      <c r="C11292" t="str">
        <f t="shared" si="2154"/>
        <v>PIX</v>
      </c>
      <c r="D11292" t="str">
        <f t="shared" si="2148"/>
        <v>1511</v>
      </c>
      <c r="E11292" t="str">
        <f t="shared" si="2149"/>
        <v>25</v>
      </c>
      <c r="F11292" t="str">
        <f t="shared" si="2147"/>
        <v>COM</v>
      </c>
      <c r="G11292" t="str">
        <f t="shared" si="2152"/>
        <v>CARLOS ROBERTO BADARÓ MACHADO (78)</v>
      </c>
      <c r="H11292" t="s">
        <v>3044</v>
      </c>
      <c r="I11292" t="str">
        <f t="shared" si="2145"/>
        <v>14/11/2025</v>
      </c>
      <c r="J11292" t="str">
        <f t="shared" si="2151"/>
        <v>31/10/2025</v>
      </c>
      <c r="K11292">
        <v>45975</v>
      </c>
      <c r="N11292">
        <v>120</v>
      </c>
      <c r="O11292" t="s">
        <v>306</v>
      </c>
      <c r="Q11292">
        <v>22.22</v>
      </c>
      <c r="R11292" t="str">
        <f>"FARMÁCIA INDIANA LJ 141 (10065)"</f>
        <v>FARMÁCIA INDIANA LJ 141 (10065)</v>
      </c>
      <c r="S11292" t="s">
        <v>22</v>
      </c>
      <c r="T11292">
        <v>21160</v>
      </c>
      <c r="U11292">
        <v>25494</v>
      </c>
      <c r="V11292" t="s">
        <v>22</v>
      </c>
    </row>
    <row r="11293" spans="1:22">
      <c r="A11293" t="str">
        <f t="shared" si="2146"/>
        <v>14/11/2025</v>
      </c>
      <c r="B11293" t="str">
        <f t="shared" si="2153"/>
        <v>SAÍDA</v>
      </c>
      <c r="C11293" t="str">
        <f t="shared" si="2154"/>
        <v>PIX</v>
      </c>
      <c r="D11293" t="str">
        <f t="shared" si="2148"/>
        <v>1511</v>
      </c>
      <c r="E11293" t="str">
        <f t="shared" si="2149"/>
        <v>25</v>
      </c>
      <c r="F11293" t="str">
        <f t="shared" si="2147"/>
        <v>COM</v>
      </c>
      <c r="G11293" t="str">
        <f t="shared" si="2152"/>
        <v>CARLOS ROBERTO BADARÓ MACHADO (78)</v>
      </c>
      <c r="H11293" t="s">
        <v>3044</v>
      </c>
      <c r="I11293" t="str">
        <f t="shared" ref="I11293:I11313" si="2155">("14/11/2025")</f>
        <v>14/11/2025</v>
      </c>
      <c r="J11293" t="str">
        <f t="shared" si="2151"/>
        <v>31/10/2025</v>
      </c>
      <c r="K11293">
        <v>45975</v>
      </c>
      <c r="N11293">
        <v>120</v>
      </c>
      <c r="O11293" t="s">
        <v>306</v>
      </c>
      <c r="Q11293">
        <v>22.22</v>
      </c>
      <c r="R11293" t="str">
        <f>"FARMÁCIA INDIANA LJ 154 (10070)"</f>
        <v>FARMÁCIA INDIANA LJ 154 (10070)</v>
      </c>
      <c r="S11293" t="s">
        <v>22</v>
      </c>
      <c r="T11293">
        <v>21160</v>
      </c>
      <c r="U11293">
        <v>25494</v>
      </c>
      <c r="V11293" t="s">
        <v>22</v>
      </c>
    </row>
    <row r="11294" spans="1:22">
      <c r="A11294" t="str">
        <f t="shared" si="2146"/>
        <v>14/11/2025</v>
      </c>
      <c r="B11294" t="str">
        <f t="shared" si="2153"/>
        <v>SAÍDA</v>
      </c>
      <c r="C11294" t="str">
        <f t="shared" si="2154"/>
        <v>PIX</v>
      </c>
      <c r="D11294" t="str">
        <f t="shared" si="2148"/>
        <v>1511</v>
      </c>
      <c r="E11294" t="str">
        <f t="shared" si="2149"/>
        <v>25</v>
      </c>
      <c r="F11294" t="str">
        <f t="shared" si="2147"/>
        <v>COM</v>
      </c>
      <c r="G11294" t="str">
        <f t="shared" si="2152"/>
        <v>CARLOS ROBERTO BADARÓ MACHADO (78)</v>
      </c>
      <c r="H11294" t="s">
        <v>3044</v>
      </c>
      <c r="I11294" t="str">
        <f t="shared" si="2155"/>
        <v>14/11/2025</v>
      </c>
      <c r="J11294" t="str">
        <f t="shared" si="2151"/>
        <v>31/10/2025</v>
      </c>
      <c r="K11294">
        <v>45975</v>
      </c>
      <c r="N11294">
        <v>120</v>
      </c>
      <c r="O11294" t="s">
        <v>306</v>
      </c>
      <c r="Q11294">
        <v>132.72999999999999</v>
      </c>
      <c r="R11294" t="str">
        <f>"FARMÁCIA INDIANA LJ 163 (10072)"</f>
        <v>FARMÁCIA INDIANA LJ 163 (10072)</v>
      </c>
      <c r="S11294" t="s">
        <v>22</v>
      </c>
      <c r="T11294">
        <v>21160</v>
      </c>
      <c r="U11294">
        <v>25494</v>
      </c>
      <c r="V11294" t="s">
        <v>22</v>
      </c>
    </row>
    <row r="11295" spans="1:22">
      <c r="A11295" t="str">
        <f t="shared" si="2146"/>
        <v>14/11/2025</v>
      </c>
      <c r="B11295" t="str">
        <f t="shared" si="2153"/>
        <v>SAÍDA</v>
      </c>
      <c r="C11295" t="str">
        <f t="shared" si="2154"/>
        <v>PIX</v>
      </c>
      <c r="D11295" t="str">
        <f t="shared" si="2148"/>
        <v>1511</v>
      </c>
      <c r="E11295" t="str">
        <f t="shared" si="2149"/>
        <v>25</v>
      </c>
      <c r="F11295" t="str">
        <f t="shared" si="2147"/>
        <v>COM</v>
      </c>
      <c r="G11295" t="str">
        <f t="shared" si="2152"/>
        <v>CARLOS ROBERTO BADARÓ MACHADO (78)</v>
      </c>
      <c r="H11295" t="s">
        <v>3044</v>
      </c>
      <c r="I11295" t="str">
        <f t="shared" si="2155"/>
        <v>14/11/2025</v>
      </c>
      <c r="J11295" t="str">
        <f t="shared" si="2151"/>
        <v>31/10/2025</v>
      </c>
      <c r="K11295">
        <v>45975</v>
      </c>
      <c r="N11295">
        <v>120</v>
      </c>
      <c r="O11295" t="s">
        <v>306</v>
      </c>
      <c r="Q11295">
        <v>44.75</v>
      </c>
      <c r="R11295" t="str">
        <f>"FARMÁCIA INDIANA LJ 192 (10082)"</f>
        <v>FARMÁCIA INDIANA LJ 192 (10082)</v>
      </c>
      <c r="S11295" t="s">
        <v>22</v>
      </c>
      <c r="T11295">
        <v>21160</v>
      </c>
      <c r="U11295">
        <v>25494</v>
      </c>
      <c r="V11295" t="s">
        <v>22</v>
      </c>
    </row>
    <row r="11296" spans="1:22">
      <c r="A11296" t="str">
        <f t="shared" si="2146"/>
        <v>14/11/2025</v>
      </c>
      <c r="B11296" t="str">
        <f t="shared" si="2153"/>
        <v>SAÍDA</v>
      </c>
      <c r="C11296" t="str">
        <f t="shared" si="2154"/>
        <v>PIX</v>
      </c>
      <c r="D11296" t="str">
        <f t="shared" si="2148"/>
        <v>1511</v>
      </c>
      <c r="E11296" t="str">
        <f t="shared" si="2149"/>
        <v>25</v>
      </c>
      <c r="F11296" t="str">
        <f t="shared" si="2147"/>
        <v>COM</v>
      </c>
      <c r="G11296" t="str">
        <f t="shared" si="2152"/>
        <v>CARLOS ROBERTO BADARÓ MACHADO (78)</v>
      </c>
      <c r="H11296" t="s">
        <v>3044</v>
      </c>
      <c r="I11296" t="str">
        <f t="shared" si="2155"/>
        <v>14/11/2025</v>
      </c>
      <c r="J11296" t="str">
        <f t="shared" si="2151"/>
        <v>31/10/2025</v>
      </c>
      <c r="K11296">
        <v>45975</v>
      </c>
      <c r="N11296">
        <v>120</v>
      </c>
      <c r="O11296" t="s">
        <v>306</v>
      </c>
      <c r="Q11296">
        <v>78.08</v>
      </c>
      <c r="R11296" t="str">
        <f>"FARMÁCIA INDIANA LJ 219 (10091)"</f>
        <v>FARMÁCIA INDIANA LJ 219 (10091)</v>
      </c>
      <c r="S11296" t="s">
        <v>22</v>
      </c>
      <c r="T11296">
        <v>21160</v>
      </c>
      <c r="U11296">
        <v>25494</v>
      </c>
      <c r="V11296" t="s">
        <v>22</v>
      </c>
    </row>
    <row r="11297" spans="1:22">
      <c r="A11297" t="str">
        <f t="shared" si="2146"/>
        <v>14/11/2025</v>
      </c>
      <c r="B11297" t="str">
        <f t="shared" si="2153"/>
        <v>SAÍDA</v>
      </c>
      <c r="C11297" t="str">
        <f t="shared" si="2154"/>
        <v>PIX</v>
      </c>
      <c r="D11297" t="str">
        <f t="shared" si="2148"/>
        <v>1511</v>
      </c>
      <c r="E11297" t="str">
        <f t="shared" si="2149"/>
        <v>25</v>
      </c>
      <c r="F11297" t="str">
        <f t="shared" si="2147"/>
        <v>COM</v>
      </c>
      <c r="G11297" t="str">
        <f t="shared" si="2152"/>
        <v>CARLOS ROBERTO BADARÓ MACHADO (78)</v>
      </c>
      <c r="H11297" t="s">
        <v>3044</v>
      </c>
      <c r="I11297" t="str">
        <f t="shared" si="2155"/>
        <v>14/11/2025</v>
      </c>
      <c r="J11297" t="str">
        <f t="shared" si="2151"/>
        <v>31/10/2025</v>
      </c>
      <c r="K11297">
        <v>45975</v>
      </c>
      <c r="N11297">
        <v>120</v>
      </c>
      <c r="O11297" t="s">
        <v>306</v>
      </c>
      <c r="Q11297">
        <v>72.45</v>
      </c>
      <c r="R11297" t="str">
        <f>"FARMÁCIA INDIANA LJ 221 (10093)"</f>
        <v>FARMÁCIA INDIANA LJ 221 (10093)</v>
      </c>
      <c r="S11297" t="s">
        <v>22</v>
      </c>
      <c r="T11297">
        <v>21160</v>
      </c>
      <c r="U11297">
        <v>25494</v>
      </c>
      <c r="V11297" t="s">
        <v>22</v>
      </c>
    </row>
    <row r="11298" spans="1:22">
      <c r="A11298" t="str">
        <f t="shared" si="2146"/>
        <v>14/11/2025</v>
      </c>
      <c r="B11298" t="str">
        <f t="shared" si="2153"/>
        <v>SAÍDA</v>
      </c>
      <c r="C11298" t="str">
        <f t="shared" si="2154"/>
        <v>PIX</v>
      </c>
      <c r="D11298" t="str">
        <f t="shared" si="2148"/>
        <v>1511</v>
      </c>
      <c r="E11298" t="str">
        <f t="shared" si="2149"/>
        <v>25</v>
      </c>
      <c r="F11298" t="str">
        <f t="shared" si="2147"/>
        <v>COM</v>
      </c>
      <c r="G11298" t="str">
        <f t="shared" si="2152"/>
        <v>CARLOS ROBERTO BADARÓ MACHADO (78)</v>
      </c>
      <c r="H11298" t="s">
        <v>3044</v>
      </c>
      <c r="I11298" t="str">
        <f t="shared" si="2155"/>
        <v>14/11/2025</v>
      </c>
      <c r="J11298" t="str">
        <f t="shared" si="2151"/>
        <v>31/10/2025</v>
      </c>
      <c r="K11298">
        <v>45975</v>
      </c>
      <c r="N11298">
        <v>120</v>
      </c>
      <c r="O11298" t="s">
        <v>306</v>
      </c>
      <c r="Q11298">
        <v>149.47</v>
      </c>
      <c r="R11298" t="str">
        <f>"PAGMENOS - LJ 608 (10135)"</f>
        <v>PAGMENOS - LJ 608 (10135)</v>
      </c>
      <c r="S11298" t="s">
        <v>22</v>
      </c>
      <c r="T11298">
        <v>21160</v>
      </c>
      <c r="U11298">
        <v>25494</v>
      </c>
      <c r="V11298" t="s">
        <v>22</v>
      </c>
    </row>
    <row r="11299" spans="1:22">
      <c r="A11299" t="str">
        <f t="shared" si="2146"/>
        <v>14/11/2025</v>
      </c>
      <c r="B11299" t="str">
        <f t="shared" si="2153"/>
        <v>SAÍDA</v>
      </c>
      <c r="C11299" t="str">
        <f t="shared" si="2154"/>
        <v>PIX</v>
      </c>
      <c r="D11299" t="str">
        <f t="shared" si="2148"/>
        <v>1511</v>
      </c>
      <c r="E11299" t="str">
        <f t="shared" si="2149"/>
        <v>25</v>
      </c>
      <c r="F11299" t="str">
        <f t="shared" si="2147"/>
        <v>COM</v>
      </c>
      <c r="G11299" t="str">
        <f t="shared" si="2152"/>
        <v>CARLOS ROBERTO BADARÓ MACHADO (78)</v>
      </c>
      <c r="H11299" t="s">
        <v>3044</v>
      </c>
      <c r="I11299" t="str">
        <f t="shared" si="2155"/>
        <v>14/11/2025</v>
      </c>
      <c r="J11299" t="str">
        <f t="shared" si="2151"/>
        <v>31/10/2025</v>
      </c>
      <c r="K11299">
        <v>45975</v>
      </c>
      <c r="N11299">
        <v>120</v>
      </c>
      <c r="O11299" t="s">
        <v>306</v>
      </c>
      <c r="Q11299">
        <v>317.97000000000003</v>
      </c>
      <c r="R11299" t="str">
        <f>"PAGMENOS - LJ 657 (10136)"</f>
        <v>PAGMENOS - LJ 657 (10136)</v>
      </c>
      <c r="S11299" t="s">
        <v>22</v>
      </c>
      <c r="T11299">
        <v>21160</v>
      </c>
      <c r="U11299">
        <v>25494</v>
      </c>
      <c r="V11299" t="s">
        <v>22</v>
      </c>
    </row>
    <row r="11300" spans="1:22">
      <c r="A11300" t="str">
        <f t="shared" si="2146"/>
        <v>14/11/2025</v>
      </c>
      <c r="B11300" t="str">
        <f t="shared" si="2153"/>
        <v>SAÍDA</v>
      </c>
      <c r="C11300" t="str">
        <f t="shared" si="2154"/>
        <v>PIX</v>
      </c>
      <c r="D11300" t="str">
        <f t="shared" si="2148"/>
        <v>1511</v>
      </c>
      <c r="E11300" t="str">
        <f t="shared" si="2149"/>
        <v>25</v>
      </c>
      <c r="F11300" t="str">
        <f t="shared" si="2147"/>
        <v>COM</v>
      </c>
      <c r="G11300" t="str">
        <f t="shared" si="2152"/>
        <v>CARLOS ROBERTO BADARÓ MACHADO (78)</v>
      </c>
      <c r="H11300" t="s">
        <v>3044</v>
      </c>
      <c r="I11300" t="str">
        <f t="shared" si="2155"/>
        <v>14/11/2025</v>
      </c>
      <c r="J11300" t="str">
        <f t="shared" si="2151"/>
        <v>31/10/2025</v>
      </c>
      <c r="K11300">
        <v>45975</v>
      </c>
      <c r="N11300">
        <v>120</v>
      </c>
      <c r="O11300" t="s">
        <v>306</v>
      </c>
      <c r="Q11300">
        <v>137.6</v>
      </c>
      <c r="R11300" t="str">
        <f>"BRASIL FARMA (10173)"</f>
        <v>BRASIL FARMA (10173)</v>
      </c>
      <c r="S11300" t="s">
        <v>22</v>
      </c>
      <c r="T11300">
        <v>21160</v>
      </c>
      <c r="U11300">
        <v>25494</v>
      </c>
      <c r="V11300" t="s">
        <v>22</v>
      </c>
    </row>
    <row r="11301" spans="1:22">
      <c r="A11301" t="str">
        <f t="shared" ref="A11301:A11332" si="2156">("14/11/2025")</f>
        <v>14/11/2025</v>
      </c>
      <c r="B11301" t="str">
        <f t="shared" si="2153"/>
        <v>SAÍDA</v>
      </c>
      <c r="C11301" t="str">
        <f t="shared" si="2154"/>
        <v>PIX</v>
      </c>
      <c r="D11301" t="str">
        <f t="shared" si="2148"/>
        <v>1511</v>
      </c>
      <c r="E11301" t="str">
        <f t="shared" si="2149"/>
        <v>25</v>
      </c>
      <c r="F11301" t="str">
        <f t="shared" si="2147"/>
        <v>COM</v>
      </c>
      <c r="G11301" t="str">
        <f t="shared" si="2152"/>
        <v>CARLOS ROBERTO BADARÓ MACHADO (78)</v>
      </c>
      <c r="H11301" t="s">
        <v>3044</v>
      </c>
      <c r="I11301" t="str">
        <f t="shared" si="2155"/>
        <v>14/11/2025</v>
      </c>
      <c r="J11301" t="str">
        <f t="shared" si="2151"/>
        <v>31/10/2025</v>
      </c>
      <c r="K11301">
        <v>45975</v>
      </c>
      <c r="N11301">
        <v>120</v>
      </c>
      <c r="O11301" t="s">
        <v>306</v>
      </c>
      <c r="Q11301">
        <v>360.13</v>
      </c>
      <c r="R11301" t="str">
        <f>"DROGARIA ANA VISCONDE DO RIO BRANCO (10182)"</f>
        <v>DROGARIA ANA VISCONDE DO RIO BRANCO (10182)</v>
      </c>
      <c r="S11301" t="s">
        <v>22</v>
      </c>
      <c r="T11301">
        <v>21160</v>
      </c>
      <c r="U11301">
        <v>25494</v>
      </c>
      <c r="V11301" t="s">
        <v>22</v>
      </c>
    </row>
    <row r="11302" spans="1:22">
      <c r="A11302" t="str">
        <f t="shared" si="2156"/>
        <v>14/11/2025</v>
      </c>
      <c r="B11302" t="str">
        <f t="shared" si="2153"/>
        <v>SAÍDA</v>
      </c>
      <c r="C11302" t="str">
        <f t="shared" si="2154"/>
        <v>PIX</v>
      </c>
      <c r="D11302" t="str">
        <f t="shared" ref="D11302:D11309" si="2157">"1411"</f>
        <v>1411</v>
      </c>
      <c r="E11302" t="str">
        <f t="shared" si="2149"/>
        <v>25</v>
      </c>
      <c r="F11302" t="str">
        <f t="shared" si="2147"/>
        <v>COM</v>
      </c>
      <c r="G11302" t="str">
        <f t="shared" ref="G11302:G11309" si="2158">"BRUNO BARBOSA DE MATOS (82)"</f>
        <v>BRUNO BARBOSA DE MATOS (82)</v>
      </c>
      <c r="H11302" t="str">
        <f>"PAGAMENTO LIDERANÇA REF. MES 10/2025 - PIX: CPF - CHAVE: 137.446.146-62"</f>
        <v>PAGAMENTO LIDERANÇA REF. MES 10/2025 - PIX: CPF - CHAVE: 137.446.146-62</v>
      </c>
      <c r="I11302" t="str">
        <f t="shared" si="2155"/>
        <v>14/11/2025</v>
      </c>
      <c r="J11302" t="str">
        <f t="shared" si="2151"/>
        <v>31/10/2025</v>
      </c>
      <c r="K11302" t="str">
        <f>("14/11/2025")</f>
        <v>14/11/2025</v>
      </c>
      <c r="L11302">
        <v>131.27000000000001</v>
      </c>
      <c r="M11302">
        <v>131.27000000000001</v>
      </c>
      <c r="N11302">
        <v>120</v>
      </c>
      <c r="O11302" t="str">
        <f>"PAGAMENTO COMISSAO LIDERES"</f>
        <v>PAGAMENTO COMISSAO LIDERES</v>
      </c>
      <c r="P11302">
        <v>131.27000000000001</v>
      </c>
      <c r="S11302" t="str">
        <f>"BANCO CORA (102)"</f>
        <v>BANCO CORA (102)</v>
      </c>
      <c r="T11302">
        <v>21161</v>
      </c>
      <c r="U11302">
        <v>25504</v>
      </c>
      <c r="V11302" t="s">
        <v>22</v>
      </c>
    </row>
    <row r="11303" spans="1:22">
      <c r="A11303" t="str">
        <f t="shared" si="2156"/>
        <v>14/11/2025</v>
      </c>
      <c r="B11303" t="str">
        <f t="shared" si="2153"/>
        <v>SAÍDA</v>
      </c>
      <c r="C11303" t="str">
        <f t="shared" si="2154"/>
        <v>PIX</v>
      </c>
      <c r="D11303" t="str">
        <f t="shared" si="2157"/>
        <v>1411</v>
      </c>
      <c r="E11303" t="str">
        <f t="shared" si="2149"/>
        <v>25</v>
      </c>
      <c r="F11303" t="str">
        <f t="shared" si="2147"/>
        <v>COM</v>
      </c>
      <c r="G11303" t="str">
        <f t="shared" si="2158"/>
        <v>BRUNO BARBOSA DE MATOS (82)</v>
      </c>
      <c r="H11303" t="s">
        <v>3034</v>
      </c>
      <c r="I11303" t="str">
        <f t="shared" si="2155"/>
        <v>14/11/2025</v>
      </c>
      <c r="J11303" t="str">
        <f t="shared" si="2151"/>
        <v>31/10/2025</v>
      </c>
      <c r="K11303">
        <v>45975</v>
      </c>
      <c r="N11303">
        <v>120</v>
      </c>
      <c r="O11303" t="s">
        <v>306</v>
      </c>
      <c r="Q11303">
        <v>20.22</v>
      </c>
      <c r="R11303" t="str">
        <f>"FARMÁCIA INDIANA LJ 100 (10042)"</f>
        <v>FARMÁCIA INDIANA LJ 100 (10042)</v>
      </c>
      <c r="S11303" t="s">
        <v>22</v>
      </c>
      <c r="T11303">
        <v>21161</v>
      </c>
      <c r="U11303">
        <v>25504</v>
      </c>
      <c r="V11303" t="s">
        <v>22</v>
      </c>
    </row>
    <row r="11304" spans="1:22">
      <c r="A11304" t="str">
        <f t="shared" si="2156"/>
        <v>14/11/2025</v>
      </c>
      <c r="B11304" t="str">
        <f t="shared" si="2153"/>
        <v>SAÍDA</v>
      </c>
      <c r="C11304" t="str">
        <f t="shared" si="2154"/>
        <v>PIX</v>
      </c>
      <c r="D11304" t="str">
        <f t="shared" si="2157"/>
        <v>1411</v>
      </c>
      <c r="E11304" t="str">
        <f t="shared" si="2149"/>
        <v>25</v>
      </c>
      <c r="F11304" t="str">
        <f t="shared" si="2147"/>
        <v>COM</v>
      </c>
      <c r="G11304" t="str">
        <f t="shared" si="2158"/>
        <v>BRUNO BARBOSA DE MATOS (82)</v>
      </c>
      <c r="H11304" t="s">
        <v>3034</v>
      </c>
      <c r="I11304" t="str">
        <f t="shared" si="2155"/>
        <v>14/11/2025</v>
      </c>
      <c r="J11304" t="str">
        <f t="shared" si="2151"/>
        <v>31/10/2025</v>
      </c>
      <c r="K11304">
        <v>45975</v>
      </c>
      <c r="N11304">
        <v>120</v>
      </c>
      <c r="O11304" t="s">
        <v>306</v>
      </c>
      <c r="Q11304">
        <v>14.78</v>
      </c>
      <c r="R11304" t="str">
        <f>"FARMÁCIA INDIANA LJ 101 (10043)"</f>
        <v>FARMÁCIA INDIANA LJ 101 (10043)</v>
      </c>
      <c r="S11304" t="s">
        <v>22</v>
      </c>
      <c r="T11304">
        <v>21161</v>
      </c>
      <c r="U11304">
        <v>25504</v>
      </c>
      <c r="V11304" t="s">
        <v>22</v>
      </c>
    </row>
    <row r="11305" spans="1:22">
      <c r="A11305" t="str">
        <f t="shared" si="2156"/>
        <v>14/11/2025</v>
      </c>
      <c r="B11305" t="str">
        <f t="shared" si="2153"/>
        <v>SAÍDA</v>
      </c>
      <c r="C11305" t="str">
        <f t="shared" si="2154"/>
        <v>PIX</v>
      </c>
      <c r="D11305" t="str">
        <f t="shared" si="2157"/>
        <v>1411</v>
      </c>
      <c r="E11305" t="str">
        <f t="shared" si="2149"/>
        <v>25</v>
      </c>
      <c r="F11305" t="str">
        <f t="shared" si="2147"/>
        <v>COM</v>
      </c>
      <c r="G11305" t="str">
        <f t="shared" si="2158"/>
        <v>BRUNO BARBOSA DE MATOS (82)</v>
      </c>
      <c r="H11305" t="s">
        <v>3034</v>
      </c>
      <c r="I11305" t="str">
        <f t="shared" si="2155"/>
        <v>14/11/2025</v>
      </c>
      <c r="J11305" t="str">
        <f t="shared" si="2151"/>
        <v>31/10/2025</v>
      </c>
      <c r="K11305">
        <v>45975</v>
      </c>
      <c r="N11305">
        <v>120</v>
      </c>
      <c r="O11305" t="s">
        <v>306</v>
      </c>
      <c r="Q11305">
        <v>23.46</v>
      </c>
      <c r="R11305" t="str">
        <f>"FARMÁCIA INDIANA LJ 110 (10048)"</f>
        <v>FARMÁCIA INDIANA LJ 110 (10048)</v>
      </c>
      <c r="S11305" t="s">
        <v>22</v>
      </c>
      <c r="T11305">
        <v>21161</v>
      </c>
      <c r="U11305">
        <v>25504</v>
      </c>
      <c r="V11305" t="s">
        <v>22</v>
      </c>
    </row>
    <row r="11306" spans="1:22">
      <c r="A11306" t="str">
        <f t="shared" si="2156"/>
        <v>14/11/2025</v>
      </c>
      <c r="B11306" t="str">
        <f t="shared" si="2153"/>
        <v>SAÍDA</v>
      </c>
      <c r="C11306" t="str">
        <f t="shared" si="2154"/>
        <v>PIX</v>
      </c>
      <c r="D11306" t="str">
        <f t="shared" si="2157"/>
        <v>1411</v>
      </c>
      <c r="E11306" t="str">
        <f t="shared" si="2149"/>
        <v>25</v>
      </c>
      <c r="F11306" t="str">
        <f t="shared" si="2147"/>
        <v>COM</v>
      </c>
      <c r="G11306" t="str">
        <f t="shared" si="2158"/>
        <v>BRUNO BARBOSA DE MATOS (82)</v>
      </c>
      <c r="H11306" t="s">
        <v>3034</v>
      </c>
      <c r="I11306" t="str">
        <f t="shared" si="2155"/>
        <v>14/11/2025</v>
      </c>
      <c r="J11306" t="str">
        <f t="shared" si="2151"/>
        <v>31/10/2025</v>
      </c>
      <c r="K11306">
        <v>45975</v>
      </c>
      <c r="N11306">
        <v>120</v>
      </c>
      <c r="O11306" t="s">
        <v>306</v>
      </c>
      <c r="Q11306">
        <v>28.08</v>
      </c>
      <c r="R11306" t="str">
        <f>"FARMÁCIA INDIANA LJ 152 (10069)"</f>
        <v>FARMÁCIA INDIANA LJ 152 (10069)</v>
      </c>
      <c r="S11306" t="s">
        <v>22</v>
      </c>
      <c r="T11306">
        <v>21161</v>
      </c>
      <c r="U11306">
        <v>25504</v>
      </c>
      <c r="V11306" t="s">
        <v>22</v>
      </c>
    </row>
    <row r="11307" spans="1:22">
      <c r="A11307" t="str">
        <f t="shared" si="2156"/>
        <v>14/11/2025</v>
      </c>
      <c r="B11307" t="str">
        <f t="shared" si="2153"/>
        <v>SAÍDA</v>
      </c>
      <c r="C11307" t="str">
        <f t="shared" si="2154"/>
        <v>PIX</v>
      </c>
      <c r="D11307" t="str">
        <f t="shared" si="2157"/>
        <v>1411</v>
      </c>
      <c r="E11307" t="str">
        <f t="shared" si="2149"/>
        <v>25</v>
      </c>
      <c r="F11307" t="str">
        <f t="shared" si="2147"/>
        <v>COM</v>
      </c>
      <c r="G11307" t="str">
        <f t="shared" si="2158"/>
        <v>BRUNO BARBOSA DE MATOS (82)</v>
      </c>
      <c r="H11307" t="s">
        <v>3034</v>
      </c>
      <c r="I11307" t="str">
        <f t="shared" si="2155"/>
        <v>14/11/2025</v>
      </c>
      <c r="J11307" t="str">
        <f t="shared" si="2151"/>
        <v>31/10/2025</v>
      </c>
      <c r="K11307">
        <v>45975</v>
      </c>
      <c r="N11307">
        <v>120</v>
      </c>
      <c r="O11307" t="s">
        <v>306</v>
      </c>
      <c r="Q11307">
        <v>21.67</v>
      </c>
      <c r="R11307" t="str">
        <f>"FARMÁCIA INDIANA LJ 171 (10074)"</f>
        <v>FARMÁCIA INDIANA LJ 171 (10074)</v>
      </c>
      <c r="S11307" t="s">
        <v>22</v>
      </c>
      <c r="T11307">
        <v>21161</v>
      </c>
      <c r="U11307">
        <v>25504</v>
      </c>
      <c r="V11307" t="s">
        <v>22</v>
      </c>
    </row>
    <row r="11308" spans="1:22">
      <c r="A11308" t="str">
        <f t="shared" si="2156"/>
        <v>14/11/2025</v>
      </c>
      <c r="B11308" t="str">
        <f t="shared" si="2153"/>
        <v>SAÍDA</v>
      </c>
      <c r="C11308" t="str">
        <f t="shared" si="2154"/>
        <v>PIX</v>
      </c>
      <c r="D11308" t="str">
        <f t="shared" si="2157"/>
        <v>1411</v>
      </c>
      <c r="E11308" t="str">
        <f t="shared" si="2149"/>
        <v>25</v>
      </c>
      <c r="F11308" t="str">
        <f t="shared" si="2147"/>
        <v>COM</v>
      </c>
      <c r="G11308" t="str">
        <f t="shared" si="2158"/>
        <v>BRUNO BARBOSA DE MATOS (82)</v>
      </c>
      <c r="H11308" t="s">
        <v>3034</v>
      </c>
      <c r="I11308" t="str">
        <f t="shared" si="2155"/>
        <v>14/11/2025</v>
      </c>
      <c r="J11308" t="str">
        <f t="shared" si="2151"/>
        <v>31/10/2025</v>
      </c>
      <c r="K11308">
        <v>45975</v>
      </c>
      <c r="N11308">
        <v>120</v>
      </c>
      <c r="O11308" t="s">
        <v>306</v>
      </c>
      <c r="Q11308">
        <v>8.2799999999999994</v>
      </c>
      <c r="R11308" t="str">
        <f>"FARMÁCIA INDIANA LJ 178 (10077)"</f>
        <v>FARMÁCIA INDIANA LJ 178 (10077)</v>
      </c>
      <c r="S11308" t="s">
        <v>22</v>
      </c>
      <c r="T11308">
        <v>21161</v>
      </c>
      <c r="U11308">
        <v>25504</v>
      </c>
      <c r="V11308" t="s">
        <v>22</v>
      </c>
    </row>
    <row r="11309" spans="1:22">
      <c r="A11309" t="str">
        <f t="shared" si="2156"/>
        <v>14/11/2025</v>
      </c>
      <c r="B11309" t="str">
        <f t="shared" si="2153"/>
        <v>SAÍDA</v>
      </c>
      <c r="C11309" t="str">
        <f t="shared" si="2154"/>
        <v>PIX</v>
      </c>
      <c r="D11309" t="str">
        <f t="shared" si="2157"/>
        <v>1411</v>
      </c>
      <c r="E11309" t="str">
        <f t="shared" si="2149"/>
        <v>25</v>
      </c>
      <c r="F11309" t="str">
        <f t="shared" si="2147"/>
        <v>COM</v>
      </c>
      <c r="G11309" t="str">
        <f t="shared" si="2158"/>
        <v>BRUNO BARBOSA DE MATOS (82)</v>
      </c>
      <c r="H11309" t="s">
        <v>3034</v>
      </c>
      <c r="I11309" t="str">
        <f t="shared" si="2155"/>
        <v>14/11/2025</v>
      </c>
      <c r="J11309" t="str">
        <f t="shared" si="2151"/>
        <v>31/10/2025</v>
      </c>
      <c r="K11309">
        <v>45975</v>
      </c>
      <c r="N11309">
        <v>120</v>
      </c>
      <c r="O11309" t="s">
        <v>306</v>
      </c>
      <c r="Q11309">
        <v>14.78</v>
      </c>
      <c r="R11309" t="str">
        <f>"FARMÁCIA INDIANA LJ 220 (10092)"</f>
        <v>FARMÁCIA INDIANA LJ 220 (10092)</v>
      </c>
      <c r="S11309" t="s">
        <v>22</v>
      </c>
      <c r="T11309">
        <v>21161</v>
      </c>
      <c r="U11309">
        <v>25504</v>
      </c>
      <c r="V11309" t="s">
        <v>22</v>
      </c>
    </row>
    <row r="11310" spans="1:22">
      <c r="A11310" t="str">
        <f t="shared" si="2156"/>
        <v>14/11/2025</v>
      </c>
      <c r="B11310" t="str">
        <f t="shared" si="2153"/>
        <v>SAÍDA</v>
      </c>
      <c r="C11310" t="str">
        <f t="shared" si="2154"/>
        <v>PIX</v>
      </c>
      <c r="D11310" t="str">
        <f>"1511"</f>
        <v>1511</v>
      </c>
      <c r="E11310" t="str">
        <f t="shared" si="2149"/>
        <v>25</v>
      </c>
      <c r="F11310" t="str">
        <f t="shared" si="2147"/>
        <v>COM</v>
      </c>
      <c r="G11310" t="str">
        <f>"ALISSON FELIPE GODINHO (219)"</f>
        <v>ALISSON FELIPE GODINHO (219)</v>
      </c>
      <c r="H11310" t="str">
        <f>"PAGAMENTO LIDERANÇA REF. MES 10/2025 - PIX: CELULAR - CHAVE: (33) 99877-0415"</f>
        <v>PAGAMENTO LIDERANÇA REF. MES 10/2025 - PIX: CELULAR - CHAVE: (33) 99877-0415</v>
      </c>
      <c r="I11310" t="str">
        <f t="shared" si="2155"/>
        <v>14/11/2025</v>
      </c>
      <c r="J11310" t="str">
        <f t="shared" si="2151"/>
        <v>31/10/2025</v>
      </c>
      <c r="K11310" t="str">
        <f>("14/11/2025")</f>
        <v>14/11/2025</v>
      </c>
      <c r="L11310">
        <v>200.7</v>
      </c>
      <c r="M11310">
        <v>200.7</v>
      </c>
      <c r="N11310">
        <v>120</v>
      </c>
      <c r="O11310" t="str">
        <f>"PAGAMENTO COMISSAO LIDERES"</f>
        <v>PAGAMENTO COMISSAO LIDERES</v>
      </c>
      <c r="P11310">
        <v>200.7</v>
      </c>
      <c r="S11310" t="str">
        <f>"BANCO CORA (102)"</f>
        <v>BANCO CORA (102)</v>
      </c>
      <c r="T11310">
        <v>21162</v>
      </c>
      <c r="U11310">
        <v>25496</v>
      </c>
      <c r="V11310" t="s">
        <v>22</v>
      </c>
    </row>
    <row r="11311" spans="1:22">
      <c r="A11311" t="str">
        <f t="shared" si="2156"/>
        <v>14/11/2025</v>
      </c>
      <c r="B11311" t="str">
        <f t="shared" si="2153"/>
        <v>SAÍDA</v>
      </c>
      <c r="C11311" t="str">
        <f t="shared" si="2154"/>
        <v>PIX</v>
      </c>
      <c r="D11311" t="str">
        <f>"1511"</f>
        <v>1511</v>
      </c>
      <c r="E11311" t="str">
        <f t="shared" si="2149"/>
        <v>25</v>
      </c>
      <c r="F11311" t="str">
        <f t="shared" si="2147"/>
        <v>COM</v>
      </c>
      <c r="G11311" t="str">
        <f>"ALISSON FELIPE GODINHO (219)"</f>
        <v>ALISSON FELIPE GODINHO (219)</v>
      </c>
      <c r="H11311" t="s">
        <v>3045</v>
      </c>
      <c r="I11311" t="str">
        <f t="shared" si="2155"/>
        <v>14/11/2025</v>
      </c>
      <c r="J11311" t="str">
        <f t="shared" si="2151"/>
        <v>31/10/2025</v>
      </c>
      <c r="K11311">
        <v>45975</v>
      </c>
      <c r="N11311">
        <v>120</v>
      </c>
      <c r="O11311" t="s">
        <v>306</v>
      </c>
      <c r="Q11311">
        <v>200.7</v>
      </c>
      <c r="R11311" t="str">
        <f>"FARMÁCIA INDIANA LJ 14 (10009)"</f>
        <v>FARMÁCIA INDIANA LJ 14 (10009)</v>
      </c>
      <c r="S11311" t="s">
        <v>22</v>
      </c>
      <c r="T11311">
        <v>21162</v>
      </c>
      <c r="U11311">
        <v>25496</v>
      </c>
      <c r="V11311" t="s">
        <v>22</v>
      </c>
    </row>
    <row r="11312" spans="1:22">
      <c r="A11312" t="str">
        <f t="shared" si="2156"/>
        <v>14/11/2025</v>
      </c>
      <c r="B11312" t="str">
        <f t="shared" si="2153"/>
        <v>SAÍDA</v>
      </c>
      <c r="C11312" t="str">
        <f t="shared" si="2154"/>
        <v>PIX</v>
      </c>
      <c r="D11312" t="str">
        <f>"15022025"</f>
        <v>15022025</v>
      </c>
      <c r="E11312" t="str">
        <f>"34"</f>
        <v>34</v>
      </c>
      <c r="F11312" t="str">
        <f t="shared" si="2147"/>
        <v>COM</v>
      </c>
      <c r="G11312" t="str">
        <f>"ALBERTO KENNEDY ALMEIDA DE JESUS (20026)"</f>
        <v>ALBERTO KENNEDY ALMEIDA DE JESUS (20026)</v>
      </c>
      <c r="H11312" t="str">
        <f>"PAGAMENTO PRESTACAO DE SERVICO"</f>
        <v>PAGAMENTO PRESTACAO DE SERVICO</v>
      </c>
      <c r="I11312" t="str">
        <f t="shared" si="2155"/>
        <v>14/11/2025</v>
      </c>
      <c r="J11312" t="str">
        <f>("14/02/2025")</f>
        <v>14/02/2025</v>
      </c>
      <c r="K11312" t="str">
        <f>("14/11/2025")</f>
        <v>14/11/2025</v>
      </c>
      <c r="L11312">
        <v>2700</v>
      </c>
      <c r="M11312">
        <v>2700</v>
      </c>
      <c r="N11312">
        <v>103</v>
      </c>
      <c r="O11312" t="str">
        <f>"PAGAMENTO DE FUNCIONÁRIOS"</f>
        <v>PAGAMENTO DE FUNCIONÁRIOS</v>
      </c>
      <c r="P11312">
        <v>2700</v>
      </c>
      <c r="S11312" t="str">
        <f>"BANCO CORA (102)"</f>
        <v>BANCO CORA (102)</v>
      </c>
      <c r="T11312">
        <v>21163</v>
      </c>
      <c r="U11312">
        <v>9895</v>
      </c>
      <c r="V11312" t="s">
        <v>22</v>
      </c>
    </row>
    <row r="11313" spans="1:22">
      <c r="A11313" t="str">
        <f t="shared" si="2156"/>
        <v>14/11/2025</v>
      </c>
      <c r="B11313" t="str">
        <f t="shared" si="2153"/>
        <v>SAÍDA</v>
      </c>
      <c r="C11313" t="str">
        <f t="shared" si="2154"/>
        <v>PIX</v>
      </c>
      <c r="D11313" t="str">
        <f>"15022025"</f>
        <v>15022025</v>
      </c>
      <c r="E11313" t="str">
        <f>"34"</f>
        <v>34</v>
      </c>
      <c r="F11313" t="str">
        <f t="shared" si="2147"/>
        <v>COM</v>
      </c>
      <c r="G11313" t="str">
        <f>"ALBERTO KENNEDY ALMEIDA DE JESUS (20026)"</f>
        <v>ALBERTO KENNEDY ALMEIDA DE JESUS (20026)</v>
      </c>
      <c r="H11313" t="s">
        <v>587</v>
      </c>
      <c r="I11313" t="str">
        <f t="shared" si="2155"/>
        <v>14/11/2025</v>
      </c>
      <c r="J11313" t="str">
        <f>("14/02/2025")</f>
        <v>14/02/2025</v>
      </c>
      <c r="K11313">
        <v>45975</v>
      </c>
      <c r="N11313">
        <v>103</v>
      </c>
      <c r="O11313" t="s">
        <v>267</v>
      </c>
      <c r="Q11313">
        <v>2700</v>
      </c>
      <c r="R11313" t="str">
        <f>"ALBERTO KENNEDY ALMEIDA DE JESUS (20026)"</f>
        <v>ALBERTO KENNEDY ALMEIDA DE JESUS (20026)</v>
      </c>
      <c r="S11313" t="s">
        <v>22</v>
      </c>
      <c r="T11313">
        <v>21163</v>
      </c>
      <c r="U11313">
        <v>9895</v>
      </c>
      <c r="V11313" t="s">
        <v>22</v>
      </c>
    </row>
    <row r="11314" spans="1:22">
      <c r="A11314" t="str">
        <f t="shared" si="2156"/>
        <v>14/11/2025</v>
      </c>
      <c r="B11314" t="str">
        <f t="shared" ref="B11314:B11319" si="2159">"ENTRADA"</f>
        <v>ENTRADA</v>
      </c>
      <c r="C11314" t="str">
        <f t="shared" ref="C11314:C11319" si="2160">"NFSE"</f>
        <v>NFSE</v>
      </c>
      <c r="D11314" t="str">
        <f>"3698"</f>
        <v>3698</v>
      </c>
      <c r="E11314" t="str">
        <f t="shared" ref="E11314:E11319" si="2161">"1"</f>
        <v>1</v>
      </c>
      <c r="F11314" t="str">
        <f t="shared" si="2147"/>
        <v>COM</v>
      </c>
      <c r="G11314" t="str">
        <f>"DELTA LOJA 2 (10123)"</f>
        <v>DELTA LOJA 2 (10123)</v>
      </c>
      <c r="H11314" t="str">
        <f>"Serv.Prest. 03/11/2025 a 09/11/2025 - RPS: 1574 - NFSe: 3698"</f>
        <v>Serv.Prest. 03/11/2025 a 09/11/2025 - RPS: 1574 - NFSe: 3698</v>
      </c>
      <c r="I11314" t="str">
        <f t="shared" ref="I11314:I11319" si="2162">("13/11/2025")</f>
        <v>13/11/2025</v>
      </c>
      <c r="J11314" t="str">
        <f>("11/11/2025")</f>
        <v>11/11/2025</v>
      </c>
      <c r="K11314" t="str">
        <f>("14/11/2025")</f>
        <v>14/11/2025</v>
      </c>
      <c r="L11314">
        <v>4742.1499999999996</v>
      </c>
      <c r="M11314">
        <v>4742.1499999999996</v>
      </c>
      <c r="N11314">
        <v>303</v>
      </c>
      <c r="O11314" t="str">
        <f>"RECEITAS COM ENTREGAS"</f>
        <v>RECEITAS COM ENTREGAS</v>
      </c>
      <c r="P11314">
        <v>4742.1499999999996</v>
      </c>
      <c r="S11314" t="str">
        <f>"RECEITAS COM ENTREGAS (303)"</f>
        <v>RECEITAS COM ENTREGAS (303)</v>
      </c>
      <c r="T11314">
        <v>21164</v>
      </c>
      <c r="U11314">
        <v>25249</v>
      </c>
      <c r="V11314" t="s">
        <v>22</v>
      </c>
    </row>
    <row r="11315" spans="1:22">
      <c r="A11315" t="str">
        <f t="shared" si="2156"/>
        <v>14/11/2025</v>
      </c>
      <c r="B11315" t="str">
        <f t="shared" si="2159"/>
        <v>ENTRADA</v>
      </c>
      <c r="C11315" t="str">
        <f t="shared" si="2160"/>
        <v>NFSE</v>
      </c>
      <c r="D11315" t="str">
        <f>"3698"</f>
        <v>3698</v>
      </c>
      <c r="E11315" t="str">
        <f t="shared" si="2161"/>
        <v>1</v>
      </c>
      <c r="F11315" t="str">
        <f t="shared" si="2147"/>
        <v>COM</v>
      </c>
      <c r="G11315" t="str">
        <f>"DELTA LOJA 2 (10123)"</f>
        <v>DELTA LOJA 2 (10123)</v>
      </c>
      <c r="H11315" t="s">
        <v>3046</v>
      </c>
      <c r="I11315" t="str">
        <f t="shared" si="2162"/>
        <v>13/11/2025</v>
      </c>
      <c r="J11315" t="str">
        <f>("11/11/2025")</f>
        <v>11/11/2025</v>
      </c>
      <c r="K11315">
        <v>45975</v>
      </c>
      <c r="N11315">
        <v>303</v>
      </c>
      <c r="O11315" t="s">
        <v>69</v>
      </c>
      <c r="Q11315">
        <v>4742.1499999999996</v>
      </c>
      <c r="R11315" t="str">
        <f>"DELTA LOJA 2 (10123)"</f>
        <v>DELTA LOJA 2 (10123)</v>
      </c>
      <c r="S11315" t="s">
        <v>70</v>
      </c>
      <c r="T11315">
        <v>21164</v>
      </c>
      <c r="U11315">
        <v>25249</v>
      </c>
      <c r="V11315" t="s">
        <v>22</v>
      </c>
    </row>
    <row r="11316" spans="1:22">
      <c r="A11316" t="str">
        <f t="shared" si="2156"/>
        <v>14/11/2025</v>
      </c>
      <c r="B11316" t="str">
        <f t="shared" si="2159"/>
        <v>ENTRADA</v>
      </c>
      <c r="C11316" t="str">
        <f t="shared" si="2160"/>
        <v>NFSE</v>
      </c>
      <c r="D11316" t="str">
        <f>"3674"</f>
        <v>3674</v>
      </c>
      <c r="E11316" t="str">
        <f t="shared" si="2161"/>
        <v>1</v>
      </c>
      <c r="F11316" t="str">
        <f t="shared" si="2147"/>
        <v>COM</v>
      </c>
      <c r="G11316" t="str">
        <f>"DROGARIA POUPA MINAS (ULTRAMINAS) 3 (10129)"</f>
        <v>DROGARIA POUPA MINAS (ULTRAMINAS) 3 (10129)</v>
      </c>
      <c r="H11316" t="str">
        <f>"Serv.Prest. 03/11/2025 a 09/11/2025 - RPS: 1550 - NFSe: 3674"</f>
        <v>Serv.Prest. 03/11/2025 a 09/11/2025 - RPS: 1550 - NFSe: 3674</v>
      </c>
      <c r="I11316" t="str">
        <f t="shared" si="2162"/>
        <v>13/11/2025</v>
      </c>
      <c r="J11316" t="str">
        <f>("10/11/2025")</f>
        <v>10/11/2025</v>
      </c>
      <c r="K11316" t="str">
        <f>("14/11/2025")</f>
        <v>14/11/2025</v>
      </c>
      <c r="L11316">
        <v>1544.4</v>
      </c>
      <c r="M11316">
        <v>1544.4</v>
      </c>
      <c r="N11316">
        <v>303</v>
      </c>
      <c r="O11316" t="str">
        <f>"RECEITAS COM ENTREGAS"</f>
        <v>RECEITAS COM ENTREGAS</v>
      </c>
      <c r="P11316">
        <v>1544.4</v>
      </c>
      <c r="S11316" t="str">
        <f>"RECEITAS COM ENTREGAS (303)"</f>
        <v>RECEITAS COM ENTREGAS (303)</v>
      </c>
      <c r="T11316">
        <v>21165</v>
      </c>
      <c r="U11316">
        <v>25020</v>
      </c>
      <c r="V11316" t="s">
        <v>22</v>
      </c>
    </row>
    <row r="11317" spans="1:22">
      <c r="A11317" t="str">
        <f t="shared" si="2156"/>
        <v>14/11/2025</v>
      </c>
      <c r="B11317" t="str">
        <f t="shared" si="2159"/>
        <v>ENTRADA</v>
      </c>
      <c r="C11317" t="str">
        <f t="shared" si="2160"/>
        <v>NFSE</v>
      </c>
      <c r="D11317" t="str">
        <f>"3674"</f>
        <v>3674</v>
      </c>
      <c r="E11317" t="str">
        <f t="shared" si="2161"/>
        <v>1</v>
      </c>
      <c r="F11317" t="str">
        <f t="shared" si="2147"/>
        <v>COM</v>
      </c>
      <c r="G11317" t="str">
        <f>"DROGARIA POUPA MINAS (ULTRAMINAS) 3 (10129)"</f>
        <v>DROGARIA POUPA MINAS (ULTRAMINAS) 3 (10129)</v>
      </c>
      <c r="H11317" t="s">
        <v>3047</v>
      </c>
      <c r="I11317" t="str">
        <f t="shared" si="2162"/>
        <v>13/11/2025</v>
      </c>
      <c r="J11317" t="str">
        <f>("10/11/2025")</f>
        <v>10/11/2025</v>
      </c>
      <c r="K11317">
        <v>45975</v>
      </c>
      <c r="N11317">
        <v>303</v>
      </c>
      <c r="O11317" t="s">
        <v>69</v>
      </c>
      <c r="Q11317">
        <v>1544.4</v>
      </c>
      <c r="R11317" t="str">
        <f>"DROGARIA POUPA MINAS (ULTRAMINAS) 3 (10129)"</f>
        <v>DROGARIA POUPA MINAS (ULTRAMINAS) 3 (10129)</v>
      </c>
      <c r="S11317" t="s">
        <v>70</v>
      </c>
      <c r="T11317">
        <v>21165</v>
      </c>
      <c r="U11317">
        <v>25020</v>
      </c>
      <c r="V11317" t="s">
        <v>22</v>
      </c>
    </row>
    <row r="11318" spans="1:22">
      <c r="A11318" t="str">
        <f t="shared" si="2156"/>
        <v>14/11/2025</v>
      </c>
      <c r="B11318" t="str">
        <f t="shared" si="2159"/>
        <v>ENTRADA</v>
      </c>
      <c r="C11318" t="str">
        <f t="shared" si="2160"/>
        <v>NFSE</v>
      </c>
      <c r="D11318" t="str">
        <f>"3681"</f>
        <v>3681</v>
      </c>
      <c r="E11318" t="str">
        <f t="shared" si="2161"/>
        <v>1</v>
      </c>
      <c r="F11318" t="str">
        <f t="shared" si="2147"/>
        <v>COM</v>
      </c>
      <c r="G11318" t="str">
        <f>"DROGARIA POUPA MINAS (DOIS AMIGOS) 5 (10140)"</f>
        <v>DROGARIA POUPA MINAS (DOIS AMIGOS) 5 (10140)</v>
      </c>
      <c r="H11318" t="str">
        <f>"Serv.Prest. 03/11/2025 a 09/11/2025 - RPS: 1557 - NFSe: 3681"</f>
        <v>Serv.Prest. 03/11/2025 a 09/11/2025 - RPS: 1557 - NFSe: 3681</v>
      </c>
      <c r="I11318" t="str">
        <f t="shared" si="2162"/>
        <v>13/11/2025</v>
      </c>
      <c r="J11318" t="str">
        <f>("10/11/2025")</f>
        <v>10/11/2025</v>
      </c>
      <c r="K11318" t="str">
        <f>("14/11/2025")</f>
        <v>14/11/2025</v>
      </c>
      <c r="L11318">
        <v>7298.1</v>
      </c>
      <c r="M11318">
        <v>7298.1</v>
      </c>
      <c r="N11318">
        <v>303</v>
      </c>
      <c r="O11318" t="str">
        <f>"RECEITAS COM ENTREGAS"</f>
        <v>RECEITAS COM ENTREGAS</v>
      </c>
      <c r="P11318">
        <v>7298.1</v>
      </c>
      <c r="S11318" t="str">
        <f>"RECEITAS COM ENTREGAS (303)"</f>
        <v>RECEITAS COM ENTREGAS (303)</v>
      </c>
      <c r="T11318">
        <v>21166</v>
      </c>
      <c r="U11318">
        <v>25046</v>
      </c>
      <c r="V11318" t="s">
        <v>22</v>
      </c>
    </row>
    <row r="11319" spans="1:22">
      <c r="A11319" t="str">
        <f t="shared" si="2156"/>
        <v>14/11/2025</v>
      </c>
      <c r="B11319" t="str">
        <f t="shared" si="2159"/>
        <v>ENTRADA</v>
      </c>
      <c r="C11319" t="str">
        <f t="shared" si="2160"/>
        <v>NFSE</v>
      </c>
      <c r="D11319" t="str">
        <f>"3681"</f>
        <v>3681</v>
      </c>
      <c r="E11319" t="str">
        <f t="shared" si="2161"/>
        <v>1</v>
      </c>
      <c r="F11319" t="str">
        <f t="shared" si="2147"/>
        <v>COM</v>
      </c>
      <c r="G11319" t="str">
        <f>"DROGARIA POUPA MINAS (DOIS AMIGOS) 5 (10140)"</f>
        <v>DROGARIA POUPA MINAS (DOIS AMIGOS) 5 (10140)</v>
      </c>
      <c r="H11319" t="s">
        <v>3048</v>
      </c>
      <c r="I11319" t="str">
        <f t="shared" si="2162"/>
        <v>13/11/2025</v>
      </c>
      <c r="J11319" t="str">
        <f>("10/11/2025")</f>
        <v>10/11/2025</v>
      </c>
      <c r="K11319">
        <v>45975</v>
      </c>
      <c r="N11319">
        <v>303</v>
      </c>
      <c r="O11319" t="s">
        <v>69</v>
      </c>
      <c r="Q11319">
        <v>7298.1</v>
      </c>
      <c r="R11319" t="str">
        <f>"DROGARIA POUPA MINAS (ULTRAMINAS) 1 (10181)"</f>
        <v>DROGARIA POUPA MINAS (ULTRAMINAS) 1 (10181)</v>
      </c>
      <c r="S11319" t="s">
        <v>70</v>
      </c>
      <c r="T11319">
        <v>21166</v>
      </c>
      <c r="U11319">
        <v>25046</v>
      </c>
      <c r="V11319" t="s">
        <v>22</v>
      </c>
    </row>
    <row r="11320" spans="1:22">
      <c r="A11320" t="str">
        <f t="shared" si="2156"/>
        <v>14/11/2025</v>
      </c>
      <c r="B11320" t="str">
        <f t="shared" ref="B11320:B11351" si="2163">"SAÍDA"</f>
        <v>SAÍDA</v>
      </c>
      <c r="C11320" t="str">
        <f t="shared" ref="C11320:C11340" si="2164">"PIX"</f>
        <v>PIX</v>
      </c>
      <c r="D11320" t="str">
        <f>"05112532009"</f>
        <v>05112532009</v>
      </c>
      <c r="E11320" t="str">
        <f>""</f>
        <v/>
      </c>
      <c r="F11320" t="str">
        <f t="shared" si="2147"/>
        <v>COM</v>
      </c>
      <c r="G11320" t="str">
        <f t="shared" ref="G11320:G11332" si="2165">"GUSTAVO CESAR DE REZENDE (20060)"</f>
        <v>GUSTAVO CESAR DE REZENDE (20060)</v>
      </c>
      <c r="H11320" t="str">
        <f>"COMBUSTIVEL DEVOLUCAO VEICULO LOCALIZA"</f>
        <v>COMBUSTIVEL DEVOLUCAO VEICULO LOCALIZA</v>
      </c>
      <c r="I11320" t="str">
        <f t="shared" ref="I11320:I11332" si="2166">("14/11/2025")</f>
        <v>14/11/2025</v>
      </c>
      <c r="J11320" t="str">
        <f>("05/11/2025")</f>
        <v>05/11/2025</v>
      </c>
      <c r="K11320" t="str">
        <f>("14/11/2025")</f>
        <v>14/11/2025</v>
      </c>
      <c r="L11320">
        <v>320.08999999999997</v>
      </c>
      <c r="M11320">
        <v>320.08999999999997</v>
      </c>
      <c r="N11320">
        <v>117</v>
      </c>
      <c r="O11320" t="str">
        <f>"DESPESAS COM VIAGENS COMERCIAIS"</f>
        <v>DESPESAS COM VIAGENS COMERCIAIS</v>
      </c>
      <c r="P11320">
        <v>145.86000000000001</v>
      </c>
      <c r="S11320" t="str">
        <f>"BANCO CORA (102)"</f>
        <v>BANCO CORA (102)</v>
      </c>
      <c r="T11320">
        <v>21207</v>
      </c>
      <c r="U11320">
        <v>25329</v>
      </c>
      <c r="V11320" t="s">
        <v>22</v>
      </c>
    </row>
    <row r="11321" spans="1:22">
      <c r="A11321" t="str">
        <f t="shared" si="2156"/>
        <v>14/11/2025</v>
      </c>
      <c r="B11321" t="str">
        <f t="shared" si="2163"/>
        <v>SAÍDA</v>
      </c>
      <c r="C11321" t="str">
        <f t="shared" si="2164"/>
        <v>PIX</v>
      </c>
      <c r="D11321" t="str">
        <f>"05112532009"</f>
        <v>05112532009</v>
      </c>
      <c r="E11321" t="str">
        <f>""</f>
        <v/>
      </c>
      <c r="F11321" t="str">
        <f t="shared" si="2147"/>
        <v>COM</v>
      </c>
      <c r="G11321" t="str">
        <f t="shared" si="2165"/>
        <v>GUSTAVO CESAR DE REZENDE (20060)</v>
      </c>
      <c r="H11321" t="s">
        <v>3049</v>
      </c>
      <c r="I11321" t="str">
        <f t="shared" si="2166"/>
        <v>14/11/2025</v>
      </c>
      <c r="J11321" t="str">
        <f>("05/11/2025")</f>
        <v>05/11/2025</v>
      </c>
      <c r="K11321">
        <v>45975</v>
      </c>
      <c r="N11321">
        <v>117</v>
      </c>
      <c r="O11321" t="s">
        <v>822</v>
      </c>
      <c r="Q11321">
        <v>320.08999999999997</v>
      </c>
      <c r="R11321" t="str">
        <f>"GUSTAVO CESAR DE REZENDE (20060)"</f>
        <v>GUSTAVO CESAR DE REZENDE (20060)</v>
      </c>
      <c r="S11321" t="s">
        <v>22</v>
      </c>
      <c r="T11321">
        <v>21207</v>
      </c>
      <c r="U11321">
        <v>25329</v>
      </c>
      <c r="V11321" t="s">
        <v>22</v>
      </c>
    </row>
    <row r="11322" spans="1:22">
      <c r="A11322" t="str">
        <f t="shared" si="2156"/>
        <v>14/11/2025</v>
      </c>
      <c r="B11322" t="str">
        <f t="shared" si="2163"/>
        <v>SAÍDA</v>
      </c>
      <c r="C11322" t="str">
        <f t="shared" si="2164"/>
        <v>PIX</v>
      </c>
      <c r="D11322" t="str">
        <f>"10112514586"</f>
        <v>10112514586</v>
      </c>
      <c r="E11322" t="str">
        <f>""</f>
        <v/>
      </c>
      <c r="F11322" t="str">
        <f t="shared" si="2147"/>
        <v>COM</v>
      </c>
      <c r="G11322" t="str">
        <f t="shared" si="2165"/>
        <v>GUSTAVO CESAR DE REZENDE (20060)</v>
      </c>
      <c r="H11322" t="str">
        <f>"COMBUSTIVEL DEVOLUCAO VEICULO LOCALIZA"</f>
        <v>COMBUSTIVEL DEVOLUCAO VEICULO LOCALIZA</v>
      </c>
      <c r="I11322" t="str">
        <f t="shared" si="2166"/>
        <v>14/11/2025</v>
      </c>
      <c r="J11322" t="str">
        <f>("10/11/2025")</f>
        <v>10/11/2025</v>
      </c>
      <c r="K11322" t="str">
        <f>("14/11/2025")</f>
        <v>14/11/2025</v>
      </c>
      <c r="L11322">
        <v>145.86000000000001</v>
      </c>
      <c r="M11322">
        <v>145.86000000000001</v>
      </c>
      <c r="N11322">
        <v>117</v>
      </c>
      <c r="O11322" t="str">
        <f>"DESPESAS COM VIAGENS COMERCIAIS"</f>
        <v>DESPESAS COM VIAGENS COMERCIAIS</v>
      </c>
      <c r="S11322" t="str">
        <f>"BANCO CORA (102)"</f>
        <v>BANCO CORA (102)</v>
      </c>
      <c r="T11322">
        <v>21207</v>
      </c>
      <c r="U11322">
        <v>25330</v>
      </c>
      <c r="V11322" t="s">
        <v>22</v>
      </c>
    </row>
    <row r="11323" spans="1:22">
      <c r="A11323" t="str">
        <f t="shared" si="2156"/>
        <v>14/11/2025</v>
      </c>
      <c r="B11323" t="str">
        <f t="shared" si="2163"/>
        <v>SAÍDA</v>
      </c>
      <c r="C11323" t="str">
        <f t="shared" si="2164"/>
        <v>PIX</v>
      </c>
      <c r="D11323" t="str">
        <f>"10112514586"</f>
        <v>10112514586</v>
      </c>
      <c r="E11323" t="str">
        <f>""</f>
        <v/>
      </c>
      <c r="F11323" t="str">
        <f t="shared" si="2147"/>
        <v>COM</v>
      </c>
      <c r="G11323" t="str">
        <f t="shared" si="2165"/>
        <v>GUSTAVO CESAR DE REZENDE (20060)</v>
      </c>
      <c r="H11323" t="s">
        <v>3049</v>
      </c>
      <c r="I11323" t="str">
        <f t="shared" si="2166"/>
        <v>14/11/2025</v>
      </c>
      <c r="J11323" t="str">
        <f>("10/11/2025")</f>
        <v>10/11/2025</v>
      </c>
      <c r="K11323">
        <v>45975</v>
      </c>
      <c r="N11323">
        <v>117</v>
      </c>
      <c r="O11323" t="s">
        <v>822</v>
      </c>
      <c r="Q11323">
        <v>145.86000000000001</v>
      </c>
      <c r="R11323" t="str">
        <f>"GUSTAVO CESAR DE REZENDE (20060)"</f>
        <v>GUSTAVO CESAR DE REZENDE (20060)</v>
      </c>
      <c r="S11323" t="s">
        <v>22</v>
      </c>
      <c r="T11323">
        <v>21207</v>
      </c>
      <c r="U11323">
        <v>25330</v>
      </c>
      <c r="V11323" t="s">
        <v>22</v>
      </c>
    </row>
    <row r="11324" spans="1:22">
      <c r="A11324" t="str">
        <f t="shared" si="2156"/>
        <v>14/11/2025</v>
      </c>
      <c r="B11324" t="str">
        <f t="shared" si="2163"/>
        <v>SAÍDA</v>
      </c>
      <c r="C11324" t="str">
        <f t="shared" si="2164"/>
        <v>PIX</v>
      </c>
      <c r="D11324" t="str">
        <f>"2410259222"</f>
        <v>2410259222</v>
      </c>
      <c r="E11324" t="str">
        <f>""</f>
        <v/>
      </c>
      <c r="F11324" t="str">
        <f t="shared" si="2147"/>
        <v>COM</v>
      </c>
      <c r="G11324" t="str">
        <f t="shared" si="2165"/>
        <v>GUSTAVO CESAR DE REZENDE (20060)</v>
      </c>
      <c r="H11324" t="str">
        <f>"COMBUSTIVEL DEVOLUCAO VEICULO LOCALIZA"</f>
        <v>COMBUSTIVEL DEVOLUCAO VEICULO LOCALIZA</v>
      </c>
      <c r="I11324" t="str">
        <f t="shared" si="2166"/>
        <v>14/11/2025</v>
      </c>
      <c r="J11324" t="str">
        <f>("24/10/2025")</f>
        <v>24/10/2025</v>
      </c>
      <c r="K11324" t="str">
        <f>("14/11/2025")</f>
        <v>14/11/2025</v>
      </c>
      <c r="L11324">
        <v>92.22</v>
      </c>
      <c r="M11324">
        <v>92.22</v>
      </c>
      <c r="N11324">
        <v>117</v>
      </c>
      <c r="O11324" t="str">
        <f>"DESPESAS COM VIAGENS COMERCIAIS"</f>
        <v>DESPESAS COM VIAGENS COMERCIAIS</v>
      </c>
      <c r="S11324" t="str">
        <f>"BANCO CORA (102)"</f>
        <v>BANCO CORA (102)</v>
      </c>
      <c r="T11324">
        <v>21207</v>
      </c>
      <c r="U11324">
        <v>25331</v>
      </c>
      <c r="V11324" t="s">
        <v>22</v>
      </c>
    </row>
    <row r="11325" spans="1:22">
      <c r="A11325" t="str">
        <f t="shared" si="2156"/>
        <v>14/11/2025</v>
      </c>
      <c r="B11325" t="str">
        <f t="shared" si="2163"/>
        <v>SAÍDA</v>
      </c>
      <c r="C11325" t="str">
        <f t="shared" si="2164"/>
        <v>PIX</v>
      </c>
      <c r="D11325" t="str">
        <f>"2410259222"</f>
        <v>2410259222</v>
      </c>
      <c r="E11325" t="str">
        <f>""</f>
        <v/>
      </c>
      <c r="F11325" t="str">
        <f t="shared" si="2147"/>
        <v>COM</v>
      </c>
      <c r="G11325" t="str">
        <f t="shared" si="2165"/>
        <v>GUSTAVO CESAR DE REZENDE (20060)</v>
      </c>
      <c r="H11325" t="s">
        <v>3049</v>
      </c>
      <c r="I11325" t="str">
        <f t="shared" si="2166"/>
        <v>14/11/2025</v>
      </c>
      <c r="J11325" t="str">
        <f>("24/10/2025")</f>
        <v>24/10/2025</v>
      </c>
      <c r="K11325">
        <v>45975</v>
      </c>
      <c r="N11325">
        <v>117</v>
      </c>
      <c r="O11325" t="s">
        <v>822</v>
      </c>
      <c r="Q11325">
        <v>92.22</v>
      </c>
      <c r="R11325" t="str">
        <f>"GUSTAVO CESAR DE REZENDE (20060)"</f>
        <v>GUSTAVO CESAR DE REZENDE (20060)</v>
      </c>
      <c r="S11325" t="s">
        <v>22</v>
      </c>
      <c r="T11325">
        <v>21207</v>
      </c>
      <c r="U11325">
        <v>25331</v>
      </c>
      <c r="V11325" t="s">
        <v>22</v>
      </c>
    </row>
    <row r="11326" spans="1:22">
      <c r="A11326" t="str">
        <f t="shared" si="2156"/>
        <v>14/11/2025</v>
      </c>
      <c r="B11326" t="str">
        <f t="shared" si="2163"/>
        <v>SAÍDA</v>
      </c>
      <c r="C11326" t="str">
        <f t="shared" si="2164"/>
        <v>PIX</v>
      </c>
      <c r="D11326" t="str">
        <f>"08112516075"</f>
        <v>08112516075</v>
      </c>
      <c r="E11326" t="str">
        <f>""</f>
        <v/>
      </c>
      <c r="F11326" t="str">
        <f t="shared" si="2147"/>
        <v>COM</v>
      </c>
      <c r="G11326" t="str">
        <f t="shared" si="2165"/>
        <v>GUSTAVO CESAR DE REZENDE (20060)</v>
      </c>
      <c r="H11326" t="str">
        <f>"COMBUSTIVEL DEVOLUCAO VEICULO LOCALIZA"</f>
        <v>COMBUSTIVEL DEVOLUCAO VEICULO LOCALIZA</v>
      </c>
      <c r="I11326" t="str">
        <f t="shared" si="2166"/>
        <v>14/11/2025</v>
      </c>
      <c r="J11326" t="str">
        <f>("08/11/2025")</f>
        <v>08/11/2025</v>
      </c>
      <c r="K11326" t="str">
        <f>("14/11/2025")</f>
        <v>14/11/2025</v>
      </c>
      <c r="L11326">
        <v>160.75</v>
      </c>
      <c r="M11326">
        <v>160.75</v>
      </c>
      <c r="N11326">
        <v>117</v>
      </c>
      <c r="O11326" t="str">
        <f>"DESPESAS COM VIAGENS COMERCIAIS"</f>
        <v>DESPESAS COM VIAGENS COMERCIAIS</v>
      </c>
      <c r="S11326" t="str">
        <f>"BANCO CORA (102)"</f>
        <v>BANCO CORA (102)</v>
      </c>
      <c r="T11326">
        <v>21207</v>
      </c>
      <c r="U11326">
        <v>25332</v>
      </c>
      <c r="V11326" t="s">
        <v>22</v>
      </c>
    </row>
    <row r="11327" spans="1:22">
      <c r="A11327" t="str">
        <f t="shared" si="2156"/>
        <v>14/11/2025</v>
      </c>
      <c r="B11327" t="str">
        <f t="shared" si="2163"/>
        <v>SAÍDA</v>
      </c>
      <c r="C11327" t="str">
        <f t="shared" si="2164"/>
        <v>PIX</v>
      </c>
      <c r="D11327" t="str">
        <f>"241025799"</f>
        <v>241025799</v>
      </c>
      <c r="E11327" t="str">
        <f>""</f>
        <v/>
      </c>
      <c r="F11327" t="str">
        <f t="shared" si="2147"/>
        <v>COM</v>
      </c>
      <c r="G11327" t="str">
        <f t="shared" si="2165"/>
        <v>GUSTAVO CESAR DE REZENDE (20060)</v>
      </c>
      <c r="H11327" t="str">
        <f>"UBER DEVOLUCAO VEICULO LOCALIZA"</f>
        <v>UBER DEVOLUCAO VEICULO LOCALIZA</v>
      </c>
      <c r="I11327" t="str">
        <f t="shared" si="2166"/>
        <v>14/11/2025</v>
      </c>
      <c r="J11327" t="str">
        <f>("24/10/2025")</f>
        <v>24/10/2025</v>
      </c>
      <c r="K11327" t="str">
        <f>("14/11/2025")</f>
        <v>14/11/2025</v>
      </c>
      <c r="L11327">
        <v>7.99</v>
      </c>
      <c r="M11327">
        <v>7.99</v>
      </c>
      <c r="N11327">
        <v>117</v>
      </c>
      <c r="O11327" t="str">
        <f>"DESPESAS COM VIAGENS COMERCIAIS"</f>
        <v>DESPESAS COM VIAGENS COMERCIAIS</v>
      </c>
      <c r="S11327" t="str">
        <f>"BANCO CORA (102)"</f>
        <v>BANCO CORA (102)</v>
      </c>
      <c r="T11327">
        <v>21207</v>
      </c>
      <c r="U11327">
        <v>25333</v>
      </c>
      <c r="V11327" t="s">
        <v>22</v>
      </c>
    </row>
    <row r="11328" spans="1:22">
      <c r="A11328" t="str">
        <f t="shared" si="2156"/>
        <v>14/11/2025</v>
      </c>
      <c r="B11328" t="str">
        <f t="shared" si="2163"/>
        <v>SAÍDA</v>
      </c>
      <c r="C11328" t="str">
        <f t="shared" si="2164"/>
        <v>PIX</v>
      </c>
      <c r="D11328" t="str">
        <f>"241025799"</f>
        <v>241025799</v>
      </c>
      <c r="E11328" t="str">
        <f>""</f>
        <v/>
      </c>
      <c r="F11328" t="str">
        <f t="shared" si="2147"/>
        <v>COM</v>
      </c>
      <c r="G11328" t="str">
        <f t="shared" si="2165"/>
        <v>GUSTAVO CESAR DE REZENDE (20060)</v>
      </c>
      <c r="H11328" t="s">
        <v>3050</v>
      </c>
      <c r="I11328" t="str">
        <f t="shared" si="2166"/>
        <v>14/11/2025</v>
      </c>
      <c r="J11328" t="str">
        <f>("24/10/2025")</f>
        <v>24/10/2025</v>
      </c>
      <c r="K11328">
        <v>45975</v>
      </c>
      <c r="N11328">
        <v>117</v>
      </c>
      <c r="O11328" t="s">
        <v>822</v>
      </c>
      <c r="Q11328">
        <v>7.99</v>
      </c>
      <c r="R11328" t="str">
        <f>"GUSTAVO CESAR DE REZENDE (20060)"</f>
        <v>GUSTAVO CESAR DE REZENDE (20060)</v>
      </c>
      <c r="S11328" t="s">
        <v>22</v>
      </c>
      <c r="T11328">
        <v>21207</v>
      </c>
      <c r="U11328">
        <v>25333</v>
      </c>
      <c r="V11328" t="s">
        <v>22</v>
      </c>
    </row>
    <row r="11329" spans="1:22">
      <c r="A11329" t="str">
        <f t="shared" si="2156"/>
        <v>14/11/2025</v>
      </c>
      <c r="B11329" t="str">
        <f t="shared" si="2163"/>
        <v>SAÍDA</v>
      </c>
      <c r="C11329" t="str">
        <f t="shared" si="2164"/>
        <v>PIX</v>
      </c>
      <c r="D11329" t="str">
        <f>"1011251096"</f>
        <v>1011251096</v>
      </c>
      <c r="E11329" t="str">
        <f>""</f>
        <v/>
      </c>
      <c r="F11329" t="str">
        <f t="shared" si="2147"/>
        <v>COM</v>
      </c>
      <c r="G11329" t="str">
        <f t="shared" si="2165"/>
        <v>GUSTAVO CESAR DE REZENDE (20060)</v>
      </c>
      <c r="H11329" t="str">
        <f>"UBER RETIRADA/DEVOLUCAO VEICULO LOCALIZA"</f>
        <v>UBER RETIRADA/DEVOLUCAO VEICULO LOCALIZA</v>
      </c>
      <c r="I11329" t="str">
        <f t="shared" si="2166"/>
        <v>14/11/2025</v>
      </c>
      <c r="J11329" t="str">
        <f>("10/11/2025")</f>
        <v>10/11/2025</v>
      </c>
      <c r="K11329" t="str">
        <f>("14/11/2025")</f>
        <v>14/11/2025</v>
      </c>
      <c r="L11329">
        <v>19.899999999999999</v>
      </c>
      <c r="M11329">
        <v>19.899999999999999</v>
      </c>
      <c r="N11329">
        <v>117</v>
      </c>
      <c r="O11329" t="str">
        <f>"DESPESAS COM VIAGENS COMERCIAIS"</f>
        <v>DESPESAS COM VIAGENS COMERCIAIS</v>
      </c>
      <c r="S11329" t="str">
        <f>"BANCO CORA (102)"</f>
        <v>BANCO CORA (102)</v>
      </c>
      <c r="T11329">
        <v>21207</v>
      </c>
      <c r="U11329">
        <v>25334</v>
      </c>
      <c r="V11329" t="s">
        <v>22</v>
      </c>
    </row>
    <row r="11330" spans="1:22">
      <c r="A11330" t="str">
        <f t="shared" si="2156"/>
        <v>14/11/2025</v>
      </c>
      <c r="B11330" t="str">
        <f t="shared" si="2163"/>
        <v>SAÍDA</v>
      </c>
      <c r="C11330" t="str">
        <f t="shared" si="2164"/>
        <v>PIX</v>
      </c>
      <c r="D11330" t="str">
        <f>"1011251096"</f>
        <v>1011251096</v>
      </c>
      <c r="E11330" t="str">
        <f>""</f>
        <v/>
      </c>
      <c r="F11330" t="str">
        <f t="shared" si="2147"/>
        <v>COM</v>
      </c>
      <c r="G11330" t="str">
        <f t="shared" si="2165"/>
        <v>GUSTAVO CESAR DE REZENDE (20060)</v>
      </c>
      <c r="H11330" t="s">
        <v>3051</v>
      </c>
      <c r="I11330" t="str">
        <f t="shared" si="2166"/>
        <v>14/11/2025</v>
      </c>
      <c r="J11330" t="str">
        <f>("10/11/2025")</f>
        <v>10/11/2025</v>
      </c>
      <c r="K11330">
        <v>45975</v>
      </c>
      <c r="N11330">
        <v>117</v>
      </c>
      <c r="O11330" t="s">
        <v>822</v>
      </c>
      <c r="Q11330">
        <v>19.899999999999999</v>
      </c>
      <c r="R11330" t="str">
        <f>"GUSTAVO CESAR DE REZENDE (20060)"</f>
        <v>GUSTAVO CESAR DE REZENDE (20060)</v>
      </c>
      <c r="S11330" t="s">
        <v>22</v>
      </c>
      <c r="T11330">
        <v>21207</v>
      </c>
      <c r="U11330">
        <v>25334</v>
      </c>
      <c r="V11330" t="s">
        <v>22</v>
      </c>
    </row>
    <row r="11331" spans="1:22">
      <c r="A11331" t="str">
        <f t="shared" si="2156"/>
        <v>14/11/2025</v>
      </c>
      <c r="B11331" t="str">
        <f t="shared" si="2163"/>
        <v>SAÍDA</v>
      </c>
      <c r="C11331" t="str">
        <f t="shared" si="2164"/>
        <v>PIX</v>
      </c>
      <c r="D11331" t="str">
        <f>"05112532009"</f>
        <v>05112532009</v>
      </c>
      <c r="E11331" t="str">
        <f>""</f>
        <v/>
      </c>
      <c r="F11331" t="str">
        <f t="shared" si="2147"/>
        <v>COM</v>
      </c>
      <c r="G11331" t="str">
        <f t="shared" si="2165"/>
        <v>GUSTAVO CESAR DE REZENDE (20060)</v>
      </c>
      <c r="H11331" t="str">
        <f>"REEMBOLSO VIAGEM ARAGUARI - UBERLANDIA"</f>
        <v>REEMBOLSO VIAGEM ARAGUARI - UBERLANDIA</v>
      </c>
      <c r="I11331" t="str">
        <f t="shared" si="2166"/>
        <v>14/11/2025</v>
      </c>
      <c r="J11331" t="str">
        <f>("05/11/2025")</f>
        <v>05/11/2025</v>
      </c>
      <c r="K11331" t="str">
        <f>("14/11/2025")</f>
        <v>14/11/2025</v>
      </c>
      <c r="L11331">
        <v>320.08999999999997</v>
      </c>
      <c r="M11331">
        <v>320.08999999999997</v>
      </c>
      <c r="N11331">
        <v>119</v>
      </c>
      <c r="O11331" t="str">
        <f>"DESPESAS COM VIAGENS OPERACIONAIS"</f>
        <v>DESPESAS COM VIAGENS OPERACIONAIS</v>
      </c>
      <c r="P11331">
        <v>320.08999999999997</v>
      </c>
      <c r="S11331" t="str">
        <f>"BANCO CORA (102)"</f>
        <v>BANCO CORA (102)</v>
      </c>
      <c r="T11331">
        <v>21207</v>
      </c>
      <c r="U11331">
        <v>25329</v>
      </c>
      <c r="V11331" t="s">
        <v>22</v>
      </c>
    </row>
    <row r="11332" spans="1:22">
      <c r="A11332" t="str">
        <f t="shared" si="2156"/>
        <v>14/11/2025</v>
      </c>
      <c r="B11332" t="str">
        <f t="shared" si="2163"/>
        <v>SAÍDA</v>
      </c>
      <c r="C11332" t="str">
        <f t="shared" si="2164"/>
        <v>PIX</v>
      </c>
      <c r="D11332" t="str">
        <f>"05112532009"</f>
        <v>05112532009</v>
      </c>
      <c r="E11332" t="str">
        <f>""</f>
        <v/>
      </c>
      <c r="F11332" t="str">
        <f t="shared" si="2147"/>
        <v>COM</v>
      </c>
      <c r="G11332" t="str">
        <f t="shared" si="2165"/>
        <v>GUSTAVO CESAR DE REZENDE (20060)</v>
      </c>
      <c r="H11332" t="s">
        <v>3052</v>
      </c>
      <c r="I11332" t="str">
        <f t="shared" si="2166"/>
        <v>14/11/2025</v>
      </c>
      <c r="J11332" t="str">
        <f>("05/11/2025")</f>
        <v>05/11/2025</v>
      </c>
      <c r="K11332">
        <v>45975</v>
      </c>
      <c r="N11332">
        <v>119</v>
      </c>
      <c r="O11332" t="s">
        <v>262</v>
      </c>
      <c r="Q11332">
        <v>320.08999999999997</v>
      </c>
      <c r="R11332" t="str">
        <f>"GUSTAVO CESAR DE REZENDE (20060)"</f>
        <v>GUSTAVO CESAR DE REZENDE (20060)</v>
      </c>
      <c r="S11332" t="s">
        <v>22</v>
      </c>
      <c r="T11332">
        <v>21207</v>
      </c>
      <c r="U11332">
        <v>25329</v>
      </c>
      <c r="V11332" t="s">
        <v>22</v>
      </c>
    </row>
    <row r="11333" spans="1:22">
      <c r="A11333" t="str">
        <f t="shared" ref="A11333:A11361" si="2167">("14/11/2025")</f>
        <v>14/11/2025</v>
      </c>
      <c r="B11333" t="str">
        <f t="shared" si="2163"/>
        <v>SAÍDA</v>
      </c>
      <c r="C11333" t="str">
        <f t="shared" si="2164"/>
        <v>PIX</v>
      </c>
      <c r="D11333" t="str">
        <f>"25660"</f>
        <v>25660</v>
      </c>
      <c r="E11333" t="str">
        <f t="shared" ref="E11333:E11340" si="2168">"1"</f>
        <v>1</v>
      </c>
      <c r="F11333" t="str">
        <f t="shared" si="2147"/>
        <v>COM</v>
      </c>
      <c r="G11333" t="str">
        <f>"EDICARLOS OLIVEIRA BORGES (1068)"</f>
        <v>EDICARLOS OLIVEIRA BORGES (1068)</v>
      </c>
      <c r="H11333" t="str">
        <f>"Serv.Prest. 10/11/2025 a 16/11/2025 - PIX: CELULAR - CHAVE: (11) 93933-2088"</f>
        <v>Serv.Prest. 10/11/2025 a 16/11/2025 - PIX: CELULAR - CHAVE: (11) 93933-2088</v>
      </c>
      <c r="I11333" t="str">
        <f>("18/11/2025")</f>
        <v>18/11/2025</v>
      </c>
      <c r="J11333" t="str">
        <f>("18/11/2025")</f>
        <v>18/11/2025</v>
      </c>
      <c r="K11333" t="str">
        <f>("14/11/2025")</f>
        <v>14/11/2025</v>
      </c>
      <c r="L11333">
        <v>170</v>
      </c>
      <c r="M11333">
        <v>170</v>
      </c>
      <c r="N11333">
        <v>134</v>
      </c>
      <c r="O11333" t="str">
        <f>"DIARIA DE MOTOBOY"</f>
        <v>DIARIA DE MOTOBOY</v>
      </c>
      <c r="P11333">
        <v>170</v>
      </c>
      <c r="S11333" t="str">
        <f>"BANCO CORA (102)"</f>
        <v>BANCO CORA (102)</v>
      </c>
      <c r="T11333">
        <v>21212</v>
      </c>
      <c r="U11333">
        <v>25660</v>
      </c>
      <c r="V11333" t="s">
        <v>22</v>
      </c>
    </row>
    <row r="11334" spans="1:22">
      <c r="A11334" t="str">
        <f t="shared" si="2167"/>
        <v>14/11/2025</v>
      </c>
      <c r="B11334" t="str">
        <f t="shared" si="2163"/>
        <v>SAÍDA</v>
      </c>
      <c r="C11334" t="str">
        <f t="shared" si="2164"/>
        <v>PIX</v>
      </c>
      <c r="D11334" t="str">
        <f>"25660"</f>
        <v>25660</v>
      </c>
      <c r="E11334" t="str">
        <f t="shared" si="2168"/>
        <v>1</v>
      </c>
      <c r="F11334" t="str">
        <f t="shared" si="2147"/>
        <v>COM</v>
      </c>
      <c r="G11334" t="str">
        <f>"EDICARLOS OLIVEIRA BORGES (1068)"</f>
        <v>EDICARLOS OLIVEIRA BORGES (1068)</v>
      </c>
      <c r="H11334" t="s">
        <v>2765</v>
      </c>
      <c r="I11334" t="str">
        <f>("18/11/2025")</f>
        <v>18/11/2025</v>
      </c>
      <c r="J11334" t="str">
        <f>("18/11/2025")</f>
        <v>18/11/2025</v>
      </c>
      <c r="K11334">
        <v>45975</v>
      </c>
      <c r="N11334">
        <v>134</v>
      </c>
      <c r="O11334" t="s">
        <v>41</v>
      </c>
      <c r="Q11334">
        <v>170</v>
      </c>
      <c r="R11334" t="str">
        <f>"PENSE FARMA 22 (10198)"</f>
        <v>PENSE FARMA 22 (10198)</v>
      </c>
      <c r="S11334" t="s">
        <v>22</v>
      </c>
      <c r="T11334">
        <v>21212</v>
      </c>
      <c r="U11334">
        <v>25660</v>
      </c>
      <c r="V11334" t="s">
        <v>22</v>
      </c>
    </row>
    <row r="11335" spans="1:22">
      <c r="A11335" t="str">
        <f t="shared" si="2167"/>
        <v>14/11/2025</v>
      </c>
      <c r="B11335" t="str">
        <f t="shared" si="2163"/>
        <v>SAÍDA</v>
      </c>
      <c r="C11335" t="str">
        <f t="shared" si="2164"/>
        <v>PIX</v>
      </c>
      <c r="D11335" t="str">
        <f>"25578"</f>
        <v>25578</v>
      </c>
      <c r="E11335" t="str">
        <f t="shared" si="2168"/>
        <v>1</v>
      </c>
      <c r="F11335" t="str">
        <f t="shared" si="2147"/>
        <v>COM</v>
      </c>
      <c r="G11335" t="str">
        <f>"HENRIQUE VALENTIM FERREIRA (1083)"</f>
        <v>HENRIQUE VALENTIM FERREIRA (1083)</v>
      </c>
      <c r="H11335" t="str">
        <f>"Serv.Prest. 10/11/2025 a 16/11/2025 - PIX: CELULAR - CHAVE: (11) 99293-5521"</f>
        <v>Serv.Prest. 10/11/2025 a 16/11/2025 - PIX: CELULAR - CHAVE: (11) 99293-5521</v>
      </c>
      <c r="I11335" t="str">
        <f t="shared" ref="I11335:I11340" si="2169">("18/11/2025")</f>
        <v>18/11/2025</v>
      </c>
      <c r="J11335" t="str">
        <f>("17/11/2025")</f>
        <v>17/11/2025</v>
      </c>
      <c r="K11335" t="str">
        <f>("14/11/2025")</f>
        <v>14/11/2025</v>
      </c>
      <c r="L11335">
        <v>150</v>
      </c>
      <c r="M11335">
        <v>150</v>
      </c>
      <c r="N11335">
        <v>134</v>
      </c>
      <c r="O11335" t="str">
        <f>"DIARIA DE MOTOBOY"</f>
        <v>DIARIA DE MOTOBOY</v>
      </c>
      <c r="P11335">
        <v>150</v>
      </c>
      <c r="S11335" t="str">
        <f>"BANCO CORA (102)"</f>
        <v>BANCO CORA (102)</v>
      </c>
      <c r="T11335">
        <v>21213</v>
      </c>
      <c r="U11335">
        <v>25578</v>
      </c>
      <c r="V11335" t="s">
        <v>22</v>
      </c>
    </row>
    <row r="11336" spans="1:22">
      <c r="A11336" t="str">
        <f t="shared" si="2167"/>
        <v>14/11/2025</v>
      </c>
      <c r="B11336" t="str">
        <f t="shared" si="2163"/>
        <v>SAÍDA</v>
      </c>
      <c r="C11336" t="str">
        <f t="shared" si="2164"/>
        <v>PIX</v>
      </c>
      <c r="D11336" t="str">
        <f>"25578"</f>
        <v>25578</v>
      </c>
      <c r="E11336" t="str">
        <f t="shared" si="2168"/>
        <v>1</v>
      </c>
      <c r="F11336" t="str">
        <f t="shared" si="2147"/>
        <v>COM</v>
      </c>
      <c r="G11336" t="str">
        <f>"HENRIQUE VALENTIM FERREIRA (1083)"</f>
        <v>HENRIQUE VALENTIM FERREIRA (1083)</v>
      </c>
      <c r="H11336" t="s">
        <v>3053</v>
      </c>
      <c r="I11336" t="str">
        <f t="shared" si="2169"/>
        <v>18/11/2025</v>
      </c>
      <c r="J11336" t="str">
        <f>("17/11/2025")</f>
        <v>17/11/2025</v>
      </c>
      <c r="K11336">
        <v>45975</v>
      </c>
      <c r="N11336">
        <v>134</v>
      </c>
      <c r="O11336" t="s">
        <v>41</v>
      </c>
      <c r="Q11336">
        <v>150</v>
      </c>
      <c r="R11336" t="str">
        <f>"PENSE FARMA 46 (10194)"</f>
        <v>PENSE FARMA 46 (10194)</v>
      </c>
      <c r="S11336" t="s">
        <v>22</v>
      </c>
      <c r="T11336">
        <v>21213</v>
      </c>
      <c r="U11336">
        <v>25578</v>
      </c>
      <c r="V11336" t="s">
        <v>22</v>
      </c>
    </row>
    <row r="11337" spans="1:22">
      <c r="A11337" t="str">
        <f t="shared" si="2167"/>
        <v>14/11/2025</v>
      </c>
      <c r="B11337" t="str">
        <f t="shared" si="2163"/>
        <v>SAÍDA</v>
      </c>
      <c r="C11337" t="str">
        <f t="shared" si="2164"/>
        <v>PIX</v>
      </c>
      <c r="D11337" t="str">
        <f>"25612"</f>
        <v>25612</v>
      </c>
      <c r="E11337" t="str">
        <f t="shared" si="2168"/>
        <v>1</v>
      </c>
      <c r="F11337" t="str">
        <f t="shared" ref="F11337:F11400" si="2170">"COM"</f>
        <v>COM</v>
      </c>
      <c r="G11337" t="str">
        <f>"THIAGO BRUNNO CONCEICAO DE LIMA (1084)"</f>
        <v>THIAGO BRUNNO CONCEICAO DE LIMA (1084)</v>
      </c>
      <c r="H11337" t="str">
        <f>"Serv.Prest. 10/11/2025 a 16/11/2025 - PIX: CELULAR - CHAVE: (34) 99991-3450"</f>
        <v>Serv.Prest. 10/11/2025 a 16/11/2025 - PIX: CELULAR - CHAVE: (34) 99991-3450</v>
      </c>
      <c r="I11337" t="str">
        <f t="shared" si="2169"/>
        <v>18/11/2025</v>
      </c>
      <c r="J11337" t="str">
        <f>("18/11/2025")</f>
        <v>18/11/2025</v>
      </c>
      <c r="K11337" t="str">
        <f>("14/11/2025")</f>
        <v>14/11/2025</v>
      </c>
      <c r="L11337">
        <v>156</v>
      </c>
      <c r="M11337">
        <v>150</v>
      </c>
      <c r="N11337">
        <v>134</v>
      </c>
      <c r="O11337" t="str">
        <f>"DIARIA DE MOTOBOY"</f>
        <v>DIARIA DE MOTOBOY</v>
      </c>
      <c r="P11337">
        <v>150</v>
      </c>
      <c r="S11337" t="str">
        <f>"BANCO CORA (102)"</f>
        <v>BANCO CORA (102)</v>
      </c>
      <c r="T11337">
        <v>21214</v>
      </c>
      <c r="U11337">
        <v>25612</v>
      </c>
      <c r="V11337" t="s">
        <v>22</v>
      </c>
    </row>
    <row r="11338" spans="1:22">
      <c r="A11338" t="str">
        <f t="shared" si="2167"/>
        <v>14/11/2025</v>
      </c>
      <c r="B11338" t="str">
        <f t="shared" si="2163"/>
        <v>SAÍDA</v>
      </c>
      <c r="C11338" t="str">
        <f t="shared" si="2164"/>
        <v>PIX</v>
      </c>
      <c r="D11338" t="str">
        <f>"25612"</f>
        <v>25612</v>
      </c>
      <c r="E11338" t="str">
        <f t="shared" si="2168"/>
        <v>1</v>
      </c>
      <c r="F11338" t="str">
        <f t="shared" si="2170"/>
        <v>COM</v>
      </c>
      <c r="G11338" t="str">
        <f>"THIAGO BRUNNO CONCEICAO DE LIMA (1084)"</f>
        <v>THIAGO BRUNNO CONCEICAO DE LIMA (1084)</v>
      </c>
      <c r="H11338" t="s">
        <v>3054</v>
      </c>
      <c r="I11338" t="str">
        <f t="shared" si="2169"/>
        <v>18/11/2025</v>
      </c>
      <c r="J11338" t="str">
        <f>("18/11/2025")</f>
        <v>18/11/2025</v>
      </c>
      <c r="K11338">
        <v>45975</v>
      </c>
      <c r="N11338">
        <v>134</v>
      </c>
      <c r="O11338" t="s">
        <v>41</v>
      </c>
      <c r="Q11338">
        <v>150</v>
      </c>
      <c r="R11338" t="str">
        <f>"PAGMENOS - LJ 768 (10266)"</f>
        <v>PAGMENOS - LJ 768 (10266)</v>
      </c>
      <c r="S11338" t="s">
        <v>22</v>
      </c>
      <c r="T11338">
        <v>21214</v>
      </c>
      <c r="U11338">
        <v>25612</v>
      </c>
      <c r="V11338" t="s">
        <v>22</v>
      </c>
    </row>
    <row r="11339" spans="1:22">
      <c r="A11339" t="str">
        <f t="shared" si="2167"/>
        <v>14/11/2025</v>
      </c>
      <c r="B11339" t="str">
        <f t="shared" si="2163"/>
        <v>SAÍDA</v>
      </c>
      <c r="C11339" t="str">
        <f t="shared" si="2164"/>
        <v>PIX</v>
      </c>
      <c r="D11339" t="str">
        <f>"25581"</f>
        <v>25581</v>
      </c>
      <c r="E11339" t="str">
        <f t="shared" si="2168"/>
        <v>1</v>
      </c>
      <c r="F11339" t="str">
        <f t="shared" si="2170"/>
        <v>COM</v>
      </c>
      <c r="G11339" t="str">
        <f>"FRANCISCO LUCIANO DE LIMA (1062)"</f>
        <v>FRANCISCO LUCIANO DE LIMA (1062)</v>
      </c>
      <c r="H11339" t="str">
        <f>"Serv.Prest. 10/11/2025 a 16/11/2025 - PIX: CELULAR - CHAVE: (11) 94910-8689"</f>
        <v>Serv.Prest. 10/11/2025 a 16/11/2025 - PIX: CELULAR - CHAVE: (11) 94910-8689</v>
      </c>
      <c r="I11339" t="str">
        <f t="shared" si="2169"/>
        <v>18/11/2025</v>
      </c>
      <c r="J11339" t="str">
        <f>("17/11/2025")</f>
        <v>17/11/2025</v>
      </c>
      <c r="K11339" t="str">
        <f>("14/11/2025")</f>
        <v>14/11/2025</v>
      </c>
      <c r="L11339">
        <v>140</v>
      </c>
      <c r="M11339">
        <v>140</v>
      </c>
      <c r="N11339">
        <v>134</v>
      </c>
      <c r="O11339" t="str">
        <f>"DIARIA DE MOTOBOY"</f>
        <v>DIARIA DE MOTOBOY</v>
      </c>
      <c r="P11339">
        <v>140</v>
      </c>
      <c r="S11339" t="str">
        <f>"BANCO CORA (102)"</f>
        <v>BANCO CORA (102)</v>
      </c>
      <c r="T11339">
        <v>21215</v>
      </c>
      <c r="U11339">
        <v>25581</v>
      </c>
      <c r="V11339" t="s">
        <v>22</v>
      </c>
    </row>
    <row r="11340" spans="1:22">
      <c r="A11340" t="str">
        <f t="shared" si="2167"/>
        <v>14/11/2025</v>
      </c>
      <c r="B11340" t="str">
        <f t="shared" si="2163"/>
        <v>SAÍDA</v>
      </c>
      <c r="C11340" t="str">
        <f t="shared" si="2164"/>
        <v>PIX</v>
      </c>
      <c r="D11340" t="str">
        <f>"25581"</f>
        <v>25581</v>
      </c>
      <c r="E11340" t="str">
        <f t="shared" si="2168"/>
        <v>1</v>
      </c>
      <c r="F11340" t="str">
        <f t="shared" si="2170"/>
        <v>COM</v>
      </c>
      <c r="G11340" t="str">
        <f>"FRANCISCO LUCIANO DE LIMA (1062)"</f>
        <v>FRANCISCO LUCIANO DE LIMA (1062)</v>
      </c>
      <c r="H11340" t="s">
        <v>3055</v>
      </c>
      <c r="I11340" t="str">
        <f t="shared" si="2169"/>
        <v>18/11/2025</v>
      </c>
      <c r="J11340" t="str">
        <f>("17/11/2025")</f>
        <v>17/11/2025</v>
      </c>
      <c r="K11340">
        <v>45975</v>
      </c>
      <c r="N11340">
        <v>134</v>
      </c>
      <c r="O11340" t="s">
        <v>41</v>
      </c>
      <c r="Q11340">
        <v>140</v>
      </c>
      <c r="R11340" t="str">
        <f>"DROGA ELIDA (10121)"</f>
        <v>DROGA ELIDA (10121)</v>
      </c>
      <c r="S11340" t="s">
        <v>22</v>
      </c>
      <c r="T11340">
        <v>21215</v>
      </c>
      <c r="U11340">
        <v>25581</v>
      </c>
      <c r="V11340" t="s">
        <v>22</v>
      </c>
    </row>
    <row r="11341" spans="1:22">
      <c r="A11341" t="str">
        <f t="shared" si="2167"/>
        <v>14/11/2025</v>
      </c>
      <c r="B11341" t="str">
        <f t="shared" si="2163"/>
        <v>SAÍDA</v>
      </c>
      <c r="C11341" t="str">
        <f>"BOLETO"</f>
        <v>BOLETO</v>
      </c>
      <c r="D11341" t="str">
        <f>"44743042500"</f>
        <v>44743042500</v>
      </c>
      <c r="E11341" t="str">
        <f>"10"</f>
        <v>10</v>
      </c>
      <c r="F11341" t="str">
        <f t="shared" si="2170"/>
        <v>COM</v>
      </c>
      <c r="G11341" t="str">
        <f>"MUNICIPIO DE UBERLANDIA (20032)"</f>
        <v>MUNICIPIO DE UBERLANDIA (20032)</v>
      </c>
      <c r="H11341" t="str">
        <f>"ISS REF. MES 10/2025"</f>
        <v>ISS REF. MES 10/2025</v>
      </c>
      <c r="I11341" t="str">
        <f>("14/11/2025")</f>
        <v>14/11/2025</v>
      </c>
      <c r="J11341" t="str">
        <f>("11/11/2025")</f>
        <v>11/11/2025</v>
      </c>
      <c r="K11341" t="str">
        <f>("14/11/2025")</f>
        <v>14/11/2025</v>
      </c>
      <c r="L11341">
        <v>28860.73</v>
      </c>
      <c r="M11341">
        <v>28860.73</v>
      </c>
      <c r="N11341">
        <v>137</v>
      </c>
      <c r="O11341" t="str">
        <f>"ISS"</f>
        <v>ISS</v>
      </c>
      <c r="P11341">
        <v>28860.73</v>
      </c>
      <c r="S11341" t="str">
        <f>"BANCO CORA (102)"</f>
        <v>BANCO CORA (102)</v>
      </c>
      <c r="T11341">
        <v>21217</v>
      </c>
      <c r="U11341">
        <v>20365</v>
      </c>
      <c r="V11341" t="s">
        <v>22</v>
      </c>
    </row>
    <row r="11342" spans="1:22">
      <c r="A11342" t="str">
        <f t="shared" si="2167"/>
        <v>14/11/2025</v>
      </c>
      <c r="B11342" t="str">
        <f t="shared" si="2163"/>
        <v>SAÍDA</v>
      </c>
      <c r="C11342" t="str">
        <f>"BOLETO"</f>
        <v>BOLETO</v>
      </c>
      <c r="D11342" t="str">
        <f>"44743042500"</f>
        <v>44743042500</v>
      </c>
      <c r="E11342" t="str">
        <f>"10"</f>
        <v>10</v>
      </c>
      <c r="F11342" t="str">
        <f t="shared" si="2170"/>
        <v>COM</v>
      </c>
      <c r="G11342" t="str">
        <f>"MUNICIPIO DE UBERLANDIA (20032)"</f>
        <v>MUNICIPIO DE UBERLANDIA (20032)</v>
      </c>
      <c r="H11342" t="s">
        <v>3056</v>
      </c>
      <c r="I11342" t="str">
        <f>("14/11/2025")</f>
        <v>14/11/2025</v>
      </c>
      <c r="J11342" t="str">
        <f>("11/11/2025")</f>
        <v>11/11/2025</v>
      </c>
      <c r="K11342">
        <v>45975</v>
      </c>
      <c r="N11342">
        <v>137</v>
      </c>
      <c r="O11342" t="s">
        <v>295</v>
      </c>
      <c r="Q11342">
        <v>28860.73</v>
      </c>
      <c r="R11342" t="str">
        <f>"MUNICIPIO DE UBERLANDIA (20032)"</f>
        <v>MUNICIPIO DE UBERLANDIA (20032)</v>
      </c>
      <c r="S11342" t="s">
        <v>22</v>
      </c>
      <c r="T11342">
        <v>21217</v>
      </c>
      <c r="U11342">
        <v>20365</v>
      </c>
      <c r="V11342" t="s">
        <v>22</v>
      </c>
    </row>
    <row r="11343" spans="1:22">
      <c r="A11343" t="str">
        <f t="shared" si="2167"/>
        <v>14/11/2025</v>
      </c>
      <c r="B11343" t="str">
        <f t="shared" si="2163"/>
        <v>SAÍDA</v>
      </c>
      <c r="C11343" t="str">
        <f t="shared" ref="C11343:C11349" si="2171">"PIX"</f>
        <v>PIX</v>
      </c>
      <c r="D11343" t="str">
        <f>"25683"</f>
        <v>25683</v>
      </c>
      <c r="E11343" t="str">
        <f>"1"</f>
        <v>1</v>
      </c>
      <c r="F11343" t="str">
        <f t="shared" si="2170"/>
        <v>COM</v>
      </c>
      <c r="G11343" t="str">
        <f>"CARLOS DANIEL FERNANDES VIEIRA (1051)"</f>
        <v>CARLOS DANIEL FERNANDES VIEIRA (1051)</v>
      </c>
      <c r="H11343" t="str">
        <f>"Serv.Prest. 10/11/2025 a 16/11/2025 - PIX: CPF - CHAVE: 171.393.446-98"</f>
        <v>Serv.Prest. 10/11/2025 a 16/11/2025 - PIX: CPF - CHAVE: 171.393.446-98</v>
      </c>
      <c r="I11343" t="str">
        <f>("27/11/2025")</f>
        <v>27/11/2025</v>
      </c>
      <c r="J11343" t="str">
        <f>("18/11/2025")</f>
        <v>18/11/2025</v>
      </c>
      <c r="K11343" t="str">
        <f>("14/11/2025")</f>
        <v>14/11/2025</v>
      </c>
      <c r="L11343">
        <v>480</v>
      </c>
      <c r="M11343">
        <v>480</v>
      </c>
      <c r="N11343">
        <v>134</v>
      </c>
      <c r="O11343" t="str">
        <f>"DIARIA DE MOTOBOY"</f>
        <v>DIARIA DE MOTOBOY</v>
      </c>
      <c r="P11343">
        <v>480</v>
      </c>
      <c r="S11343" t="str">
        <f>"BANCO CORA (102)"</f>
        <v>BANCO CORA (102)</v>
      </c>
      <c r="T11343">
        <v>21272</v>
      </c>
      <c r="U11343">
        <v>25886</v>
      </c>
      <c r="V11343" t="s">
        <v>22</v>
      </c>
    </row>
    <row r="11344" spans="1:22">
      <c r="A11344" t="str">
        <f t="shared" si="2167"/>
        <v>14/11/2025</v>
      </c>
      <c r="B11344" t="str">
        <f t="shared" si="2163"/>
        <v>SAÍDA</v>
      </c>
      <c r="C11344" t="str">
        <f t="shared" si="2171"/>
        <v>PIX</v>
      </c>
      <c r="D11344" t="str">
        <f>"25683"</f>
        <v>25683</v>
      </c>
      <c r="E11344" t="str">
        <f>"1"</f>
        <v>1</v>
      </c>
      <c r="F11344" t="str">
        <f t="shared" si="2170"/>
        <v>COM</v>
      </c>
      <c r="G11344" t="str">
        <f>"CARLOS DANIEL FERNANDES VIEIRA (1051)"</f>
        <v>CARLOS DANIEL FERNANDES VIEIRA (1051)</v>
      </c>
      <c r="H11344" t="s">
        <v>3057</v>
      </c>
      <c r="I11344" t="str">
        <f>("27/11/2025")</f>
        <v>27/11/2025</v>
      </c>
      <c r="J11344" t="str">
        <f>("18/11/2025")</f>
        <v>18/11/2025</v>
      </c>
      <c r="K11344">
        <v>45975</v>
      </c>
      <c r="N11344">
        <v>134</v>
      </c>
      <c r="O11344" t="s">
        <v>41</v>
      </c>
      <c r="Q11344">
        <v>480</v>
      </c>
      <c r="R11344" t="str">
        <f>"FARMÁCIA INDIANA LJ 205 (10150)"</f>
        <v>FARMÁCIA INDIANA LJ 205 (10150)</v>
      </c>
      <c r="S11344" t="s">
        <v>22</v>
      </c>
      <c r="T11344">
        <v>21272</v>
      </c>
      <c r="U11344">
        <v>25886</v>
      </c>
      <c r="V11344" t="s">
        <v>22</v>
      </c>
    </row>
    <row r="11345" spans="1:22">
      <c r="A11345" t="str">
        <f t="shared" si="2167"/>
        <v>14/11/2025</v>
      </c>
      <c r="B11345" t="str">
        <f t="shared" si="2163"/>
        <v>SAÍDA</v>
      </c>
      <c r="C11345" t="str">
        <f t="shared" si="2171"/>
        <v>PIX</v>
      </c>
      <c r="D11345" t="str">
        <f>"25827"</f>
        <v>25827</v>
      </c>
      <c r="E11345" t="str">
        <f>"1"</f>
        <v>1</v>
      </c>
      <c r="F11345" t="str">
        <f t="shared" si="2170"/>
        <v>COM</v>
      </c>
      <c r="G11345" t="str">
        <f>"JAIR BRISON JUNIOR (964)"</f>
        <v>JAIR BRISON JUNIOR (964)</v>
      </c>
      <c r="H11345" t="str">
        <f>"Serv.Prest. 10/11/2025 a 16/11/2025 - PIX: CPF - CHAVE: 096.116.707-61"</f>
        <v>Serv.Prest. 10/11/2025 a 16/11/2025 - PIX: CPF - CHAVE: 096.116.707-61</v>
      </c>
      <c r="I11345" t="str">
        <f>("27/11/2025")</f>
        <v>27/11/2025</v>
      </c>
      <c r="J11345" t="str">
        <f>("18/11/2025")</f>
        <v>18/11/2025</v>
      </c>
      <c r="K11345" t="str">
        <f>("14/11/2025")</f>
        <v>14/11/2025</v>
      </c>
      <c r="L11345">
        <v>130</v>
      </c>
      <c r="M11345">
        <v>130</v>
      </c>
      <c r="N11345">
        <v>134</v>
      </c>
      <c r="O11345" t="str">
        <f>"DIARIA DE MOTOBOY"</f>
        <v>DIARIA DE MOTOBOY</v>
      </c>
      <c r="P11345">
        <v>130</v>
      </c>
      <c r="S11345" t="str">
        <f>"BANCO CORA (102)"</f>
        <v>BANCO CORA (102)</v>
      </c>
      <c r="T11345">
        <v>21275</v>
      </c>
      <c r="U11345">
        <v>25888</v>
      </c>
      <c r="V11345" t="s">
        <v>22</v>
      </c>
    </row>
    <row r="11346" spans="1:22">
      <c r="A11346" t="str">
        <f t="shared" si="2167"/>
        <v>14/11/2025</v>
      </c>
      <c r="B11346" t="str">
        <f t="shared" si="2163"/>
        <v>SAÍDA</v>
      </c>
      <c r="C11346" t="str">
        <f t="shared" si="2171"/>
        <v>PIX</v>
      </c>
      <c r="D11346" t="str">
        <f>"25827"</f>
        <v>25827</v>
      </c>
      <c r="E11346" t="str">
        <f>"1"</f>
        <v>1</v>
      </c>
      <c r="F11346" t="str">
        <f t="shared" si="2170"/>
        <v>COM</v>
      </c>
      <c r="G11346" t="str">
        <f>"JAIR BRISON JUNIOR (964)"</f>
        <v>JAIR BRISON JUNIOR (964)</v>
      </c>
      <c r="H11346" t="s">
        <v>2942</v>
      </c>
      <c r="I11346" t="str">
        <f>("27/11/2025")</f>
        <v>27/11/2025</v>
      </c>
      <c r="J11346" t="str">
        <f>("18/11/2025")</f>
        <v>18/11/2025</v>
      </c>
      <c r="K11346">
        <v>45975</v>
      </c>
      <c r="N11346">
        <v>134</v>
      </c>
      <c r="O11346" t="s">
        <v>41</v>
      </c>
      <c r="Q11346">
        <v>130</v>
      </c>
      <c r="R11346" t="str">
        <f>"FARMÁCIA INDIANA LJ 119 (10053)"</f>
        <v>FARMÁCIA INDIANA LJ 119 (10053)</v>
      </c>
      <c r="S11346" t="s">
        <v>22</v>
      </c>
      <c r="T11346">
        <v>21275</v>
      </c>
      <c r="U11346">
        <v>25888</v>
      </c>
      <c r="V11346" t="s">
        <v>22</v>
      </c>
    </row>
    <row r="11347" spans="1:22">
      <c r="A11347" t="str">
        <f t="shared" si="2167"/>
        <v>14/11/2025</v>
      </c>
      <c r="B11347" t="str">
        <f t="shared" si="2163"/>
        <v>SAÍDA</v>
      </c>
      <c r="C11347" t="str">
        <f t="shared" si="2171"/>
        <v>PIX</v>
      </c>
      <c r="D11347" t="str">
        <f>"1411"</f>
        <v>1411</v>
      </c>
      <c r="E11347" t="str">
        <f>"25"</f>
        <v>25</v>
      </c>
      <c r="F11347" t="str">
        <f t="shared" si="2170"/>
        <v>COM</v>
      </c>
      <c r="G11347" t="str">
        <f>"CARLOS ROBERTO BADARÓ MACHADO (78)"</f>
        <v>CARLOS ROBERTO BADARÓ MACHADO (78)</v>
      </c>
      <c r="H11347" t="str">
        <f>"PARA PAGAR DIARISTA NA FARMACIA DE CASTELO"</f>
        <v>PARA PAGAR DIARISTA NA FARMACIA DE CASTELO</v>
      </c>
      <c r="I11347" t="str">
        <f>("14/11/2025")</f>
        <v>14/11/2025</v>
      </c>
      <c r="J11347" t="str">
        <f>("14/11/2025")</f>
        <v>14/11/2025</v>
      </c>
      <c r="K11347" t="str">
        <f>("14/11/2025")</f>
        <v>14/11/2025</v>
      </c>
      <c r="L11347">
        <v>100</v>
      </c>
      <c r="M11347">
        <v>100</v>
      </c>
      <c r="N11347">
        <v>109</v>
      </c>
      <c r="O11347" t="str">
        <f>"PAGAMENTO DE ENTREGADORES"</f>
        <v>PAGAMENTO DE ENTREGADORES</v>
      </c>
      <c r="P11347">
        <v>100</v>
      </c>
      <c r="S11347" t="str">
        <f>"BANCO CORA (102)"</f>
        <v>BANCO CORA (102)</v>
      </c>
      <c r="T11347">
        <v>21279</v>
      </c>
      <c r="U11347">
        <v>25890</v>
      </c>
      <c r="V11347" t="s">
        <v>22</v>
      </c>
    </row>
    <row r="11348" spans="1:22">
      <c r="A11348" t="str">
        <f t="shared" si="2167"/>
        <v>14/11/2025</v>
      </c>
      <c r="B11348" t="str">
        <f t="shared" si="2163"/>
        <v>SAÍDA</v>
      </c>
      <c r="C11348" t="str">
        <f t="shared" si="2171"/>
        <v>PIX</v>
      </c>
      <c r="D11348" t="str">
        <f>"1411"</f>
        <v>1411</v>
      </c>
      <c r="E11348" t="str">
        <f>"25"</f>
        <v>25</v>
      </c>
      <c r="F11348" t="str">
        <f t="shared" si="2170"/>
        <v>COM</v>
      </c>
      <c r="G11348" t="str">
        <f>"CARLOS ROBERTO BADARÓ MACHADO (78)"</f>
        <v>CARLOS ROBERTO BADARÓ MACHADO (78)</v>
      </c>
      <c r="H11348" t="s">
        <v>3058</v>
      </c>
      <c r="I11348" t="str">
        <f>("14/11/2025")</f>
        <v>14/11/2025</v>
      </c>
      <c r="J11348" t="str">
        <f>("14/11/2025")</f>
        <v>14/11/2025</v>
      </c>
      <c r="K11348">
        <v>45975</v>
      </c>
      <c r="N11348">
        <v>109</v>
      </c>
      <c r="O11348" t="s">
        <v>24</v>
      </c>
      <c r="Q11348">
        <v>50</v>
      </c>
      <c r="R11348" t="str">
        <f>"LBL FARMACIA LTDA (10189)"</f>
        <v>LBL FARMACIA LTDA (10189)</v>
      </c>
      <c r="S11348" t="s">
        <v>22</v>
      </c>
      <c r="T11348">
        <v>21279</v>
      </c>
      <c r="U11348">
        <v>25890</v>
      </c>
      <c r="V11348" t="s">
        <v>22</v>
      </c>
    </row>
    <row r="11349" spans="1:22">
      <c r="A11349" t="str">
        <f t="shared" si="2167"/>
        <v>14/11/2025</v>
      </c>
      <c r="B11349" t="str">
        <f t="shared" si="2163"/>
        <v>SAÍDA</v>
      </c>
      <c r="C11349" t="str">
        <f t="shared" si="2171"/>
        <v>PIX</v>
      </c>
      <c r="D11349" t="str">
        <f>"1411"</f>
        <v>1411</v>
      </c>
      <c r="E11349" t="str">
        <f>"25"</f>
        <v>25</v>
      </c>
      <c r="F11349" t="str">
        <f t="shared" si="2170"/>
        <v>COM</v>
      </c>
      <c r="G11349" t="str">
        <f>"CARLOS ROBERTO BADARÓ MACHADO (78)"</f>
        <v>CARLOS ROBERTO BADARÓ MACHADO (78)</v>
      </c>
      <c r="H11349" t="s">
        <v>3058</v>
      </c>
      <c r="I11349" t="str">
        <f>("14/11/2025")</f>
        <v>14/11/2025</v>
      </c>
      <c r="J11349" t="str">
        <f>("14/11/2025")</f>
        <v>14/11/2025</v>
      </c>
      <c r="K11349">
        <v>45975</v>
      </c>
      <c r="N11349">
        <v>109</v>
      </c>
      <c r="O11349" t="s">
        <v>24</v>
      </c>
      <c r="Q11349">
        <v>50</v>
      </c>
      <c r="R11349" t="str">
        <f>"LBL FARMACIA LTDA FILIAL (10192)"</f>
        <v>LBL FARMACIA LTDA FILIAL (10192)</v>
      </c>
      <c r="S11349" t="s">
        <v>22</v>
      </c>
      <c r="T11349">
        <v>21279</v>
      </c>
      <c r="U11349">
        <v>25890</v>
      </c>
      <c r="V11349" t="s">
        <v>22</v>
      </c>
    </row>
    <row r="11350" spans="1:22">
      <c r="A11350" t="str">
        <f t="shared" si="2167"/>
        <v>14/11/2025</v>
      </c>
      <c r="B11350" t="str">
        <f t="shared" si="2163"/>
        <v>SAÍDA</v>
      </c>
      <c r="C11350" t="str">
        <f t="shared" ref="C11350:C11355" si="2172">"CONHECIMENTO"</f>
        <v>CONHECIMENTO</v>
      </c>
      <c r="D11350" t="str">
        <f t="shared" ref="D11350:D11355" si="2173">"01092025"</f>
        <v>01092025</v>
      </c>
      <c r="E11350" t="str">
        <f>"2"</f>
        <v>2</v>
      </c>
      <c r="F11350" t="str">
        <f t="shared" si="2170"/>
        <v>COM</v>
      </c>
      <c r="G11350" t="str">
        <f t="shared" ref="G11350:G11355" si="2174">"CORA SOCIEDADE DE CREDITO, FINANCIAMENTO E INVESTIMENTO (20035)"</f>
        <v>CORA SOCIEDADE DE CREDITO, FINANCIAMENTO E INVESTIMENTO (20035)</v>
      </c>
      <c r="H11350" t="str">
        <f>"TAXA BOLETO "</f>
        <v xml:space="preserve">TAXA BOLETO </v>
      </c>
      <c r="I11350" t="str">
        <f t="shared" ref="I11350:I11361" si="2175">("14/11/2025")</f>
        <v>14/11/2025</v>
      </c>
      <c r="J11350" t="str">
        <f t="shared" ref="J11350:J11355" si="2176">("01/09/2025")</f>
        <v>01/09/2025</v>
      </c>
      <c r="K11350" t="str">
        <f>("14/11/2025")</f>
        <v>14/11/2025</v>
      </c>
      <c r="L11350">
        <v>1.7</v>
      </c>
      <c r="M11350">
        <v>1.7</v>
      </c>
      <c r="N11350">
        <v>401</v>
      </c>
      <c r="O11350" t="str">
        <f>"IOF/JUROS/DESP.FINANCEIRA"</f>
        <v>IOF/JUROS/DESP.FINANCEIRA</v>
      </c>
      <c r="P11350">
        <v>1.7</v>
      </c>
      <c r="S11350" t="str">
        <f>"BANCO CORA (102)"</f>
        <v>BANCO CORA (102)</v>
      </c>
      <c r="T11350">
        <v>22842</v>
      </c>
      <c r="U11350">
        <v>26459</v>
      </c>
      <c r="V11350" t="s">
        <v>22</v>
      </c>
    </row>
    <row r="11351" spans="1:22">
      <c r="A11351" t="str">
        <f t="shared" si="2167"/>
        <v>14/11/2025</v>
      </c>
      <c r="B11351" t="str">
        <f t="shared" si="2163"/>
        <v>SAÍDA</v>
      </c>
      <c r="C11351" t="str">
        <f t="shared" si="2172"/>
        <v>CONHECIMENTO</v>
      </c>
      <c r="D11351" t="str">
        <f t="shared" si="2173"/>
        <v>01092025</v>
      </c>
      <c r="E11351" t="str">
        <f>"2"</f>
        <v>2</v>
      </c>
      <c r="F11351" t="str">
        <f t="shared" si="2170"/>
        <v>COM</v>
      </c>
      <c r="G11351" t="str">
        <f t="shared" si="2174"/>
        <v>CORA SOCIEDADE DE CREDITO, FINANCIAMENTO E INVESTIMENTO (20035)</v>
      </c>
      <c r="H11351" t="s">
        <v>75</v>
      </c>
      <c r="I11351" t="str">
        <f t="shared" si="2175"/>
        <v>14/11/2025</v>
      </c>
      <c r="J11351" t="str">
        <f t="shared" si="2176"/>
        <v>01/09/2025</v>
      </c>
      <c r="K11351">
        <v>45975</v>
      </c>
      <c r="N11351">
        <v>401</v>
      </c>
      <c r="O11351" t="s">
        <v>76</v>
      </c>
      <c r="Q11351">
        <v>1.7</v>
      </c>
      <c r="R11351" t="str">
        <f>"CORA SOCIEDADE DE CREDITO, FINANCIAMENTO E INVESTIMENTO (20035)"</f>
        <v>CORA SOCIEDADE DE CREDITO, FINANCIAMENTO E INVESTIMENTO (20035)</v>
      </c>
      <c r="S11351" t="s">
        <v>22</v>
      </c>
      <c r="T11351">
        <v>22842</v>
      </c>
      <c r="U11351">
        <v>26459</v>
      </c>
      <c r="V11351" t="s">
        <v>22</v>
      </c>
    </row>
    <row r="11352" spans="1:22">
      <c r="A11352" t="str">
        <f t="shared" si="2167"/>
        <v>14/11/2025</v>
      </c>
      <c r="B11352" t="str">
        <f t="shared" ref="B11352:B11383" si="2177">"SAÍDA"</f>
        <v>SAÍDA</v>
      </c>
      <c r="C11352" t="str">
        <f t="shared" si="2172"/>
        <v>CONHECIMENTO</v>
      </c>
      <c r="D11352" t="str">
        <f t="shared" si="2173"/>
        <v>01092025</v>
      </c>
      <c r="E11352" t="str">
        <f>"3"</f>
        <v>3</v>
      </c>
      <c r="F11352" t="str">
        <f t="shared" si="2170"/>
        <v>COM</v>
      </c>
      <c r="G11352" t="str">
        <f t="shared" si="2174"/>
        <v>CORA SOCIEDADE DE CREDITO, FINANCIAMENTO E INVESTIMENTO (20035)</v>
      </c>
      <c r="H11352" t="str">
        <f>"TAXA BOLETO "</f>
        <v xml:space="preserve">TAXA BOLETO </v>
      </c>
      <c r="I11352" t="str">
        <f t="shared" si="2175"/>
        <v>14/11/2025</v>
      </c>
      <c r="J11352" t="str">
        <f t="shared" si="2176"/>
        <v>01/09/2025</v>
      </c>
      <c r="K11352" t="str">
        <f>("14/11/2025")</f>
        <v>14/11/2025</v>
      </c>
      <c r="L11352">
        <v>1.7</v>
      </c>
      <c r="M11352">
        <v>1.7</v>
      </c>
      <c r="N11352">
        <v>401</v>
      </c>
      <c r="O11352" t="str">
        <f>"IOF/JUROS/DESP.FINANCEIRA"</f>
        <v>IOF/JUROS/DESP.FINANCEIRA</v>
      </c>
      <c r="P11352">
        <v>1.7</v>
      </c>
      <c r="S11352" t="str">
        <f>"BANCO CORA (102)"</f>
        <v>BANCO CORA (102)</v>
      </c>
      <c r="T11352">
        <v>22843</v>
      </c>
      <c r="U11352">
        <v>26460</v>
      </c>
      <c r="V11352" t="s">
        <v>22</v>
      </c>
    </row>
    <row r="11353" spans="1:22">
      <c r="A11353" t="str">
        <f t="shared" si="2167"/>
        <v>14/11/2025</v>
      </c>
      <c r="B11353" t="str">
        <f t="shared" si="2177"/>
        <v>SAÍDA</v>
      </c>
      <c r="C11353" t="str">
        <f t="shared" si="2172"/>
        <v>CONHECIMENTO</v>
      </c>
      <c r="D11353" t="str">
        <f t="shared" si="2173"/>
        <v>01092025</v>
      </c>
      <c r="E11353" t="str">
        <f>"3"</f>
        <v>3</v>
      </c>
      <c r="F11353" t="str">
        <f t="shared" si="2170"/>
        <v>COM</v>
      </c>
      <c r="G11353" t="str">
        <f t="shared" si="2174"/>
        <v>CORA SOCIEDADE DE CREDITO, FINANCIAMENTO E INVESTIMENTO (20035)</v>
      </c>
      <c r="H11353" t="s">
        <v>75</v>
      </c>
      <c r="I11353" t="str">
        <f t="shared" si="2175"/>
        <v>14/11/2025</v>
      </c>
      <c r="J11353" t="str">
        <f t="shared" si="2176"/>
        <v>01/09/2025</v>
      </c>
      <c r="K11353">
        <v>45975</v>
      </c>
      <c r="N11353">
        <v>401</v>
      </c>
      <c r="O11353" t="s">
        <v>76</v>
      </c>
      <c r="Q11353">
        <v>1.7</v>
      </c>
      <c r="R11353" t="str">
        <f>"CORA SOCIEDADE DE CREDITO, FINANCIAMENTO E INVESTIMENTO (20035)"</f>
        <v>CORA SOCIEDADE DE CREDITO, FINANCIAMENTO E INVESTIMENTO (20035)</v>
      </c>
      <c r="S11353" t="s">
        <v>22</v>
      </c>
      <c r="T11353">
        <v>22843</v>
      </c>
      <c r="U11353">
        <v>26460</v>
      </c>
      <c r="V11353" t="s">
        <v>22</v>
      </c>
    </row>
    <row r="11354" spans="1:22">
      <c r="A11354" t="str">
        <f t="shared" si="2167"/>
        <v>14/11/2025</v>
      </c>
      <c r="B11354" t="str">
        <f t="shared" si="2177"/>
        <v>SAÍDA</v>
      </c>
      <c r="C11354" t="str">
        <f t="shared" si="2172"/>
        <v>CONHECIMENTO</v>
      </c>
      <c r="D11354" t="str">
        <f t="shared" si="2173"/>
        <v>01092025</v>
      </c>
      <c r="E11354" t="str">
        <f>"4"</f>
        <v>4</v>
      </c>
      <c r="F11354" t="str">
        <f t="shared" si="2170"/>
        <v>COM</v>
      </c>
      <c r="G11354" t="str">
        <f t="shared" si="2174"/>
        <v>CORA SOCIEDADE DE CREDITO, FINANCIAMENTO E INVESTIMENTO (20035)</v>
      </c>
      <c r="H11354" t="str">
        <f>"TAXA BOLETO "</f>
        <v xml:space="preserve">TAXA BOLETO </v>
      </c>
      <c r="I11354" t="str">
        <f t="shared" si="2175"/>
        <v>14/11/2025</v>
      </c>
      <c r="J11354" t="str">
        <f t="shared" si="2176"/>
        <v>01/09/2025</v>
      </c>
      <c r="K11354" t="str">
        <f>("14/11/2025")</f>
        <v>14/11/2025</v>
      </c>
      <c r="L11354">
        <v>1.7</v>
      </c>
      <c r="M11354">
        <v>1.7</v>
      </c>
      <c r="N11354">
        <v>401</v>
      </c>
      <c r="O11354" t="str">
        <f>"IOF/JUROS/DESP.FINANCEIRA"</f>
        <v>IOF/JUROS/DESP.FINANCEIRA</v>
      </c>
      <c r="P11354">
        <v>1.7</v>
      </c>
      <c r="S11354" t="str">
        <f>"BANCO CORA (102)"</f>
        <v>BANCO CORA (102)</v>
      </c>
      <c r="T11354">
        <v>22844</v>
      </c>
      <c r="U11354">
        <v>26461</v>
      </c>
      <c r="V11354" t="s">
        <v>22</v>
      </c>
    </row>
    <row r="11355" spans="1:22">
      <c r="A11355" t="str">
        <f t="shared" si="2167"/>
        <v>14/11/2025</v>
      </c>
      <c r="B11355" t="str">
        <f t="shared" si="2177"/>
        <v>SAÍDA</v>
      </c>
      <c r="C11355" t="str">
        <f t="shared" si="2172"/>
        <v>CONHECIMENTO</v>
      </c>
      <c r="D11355" t="str">
        <f t="shared" si="2173"/>
        <v>01092025</v>
      </c>
      <c r="E11355" t="str">
        <f>"4"</f>
        <v>4</v>
      </c>
      <c r="F11355" t="str">
        <f t="shared" si="2170"/>
        <v>COM</v>
      </c>
      <c r="G11355" t="str">
        <f t="shared" si="2174"/>
        <v>CORA SOCIEDADE DE CREDITO, FINANCIAMENTO E INVESTIMENTO (20035)</v>
      </c>
      <c r="H11355" t="s">
        <v>75</v>
      </c>
      <c r="I11355" t="str">
        <f t="shared" si="2175"/>
        <v>14/11/2025</v>
      </c>
      <c r="J11355" t="str">
        <f t="shared" si="2176"/>
        <v>01/09/2025</v>
      </c>
      <c r="K11355">
        <v>45975</v>
      </c>
      <c r="N11355">
        <v>401</v>
      </c>
      <c r="O11355" t="s">
        <v>76</v>
      </c>
      <c r="Q11355">
        <v>1.7</v>
      </c>
      <c r="R11355" t="str">
        <f>"CORA SOCIEDADE DE CREDITO, FINANCIAMENTO E INVESTIMENTO (20035)"</f>
        <v>CORA SOCIEDADE DE CREDITO, FINANCIAMENTO E INVESTIMENTO (20035)</v>
      </c>
      <c r="S11355" t="s">
        <v>22</v>
      </c>
      <c r="T11355">
        <v>22844</v>
      </c>
      <c r="U11355">
        <v>26461</v>
      </c>
      <c r="V11355" t="s">
        <v>22</v>
      </c>
    </row>
    <row r="11356" spans="1:22">
      <c r="A11356" t="str">
        <f t="shared" si="2167"/>
        <v>14/11/2025</v>
      </c>
      <c r="B11356" t="str">
        <f t="shared" si="2177"/>
        <v>SAÍDA</v>
      </c>
      <c r="C11356" t="str">
        <f t="shared" ref="C11356:C11400" si="2178">"PIX"</f>
        <v>PIX</v>
      </c>
      <c r="D11356" t="str">
        <f>"1511"</f>
        <v>1511</v>
      </c>
      <c r="E11356" t="str">
        <f>"25"</f>
        <v>25</v>
      </c>
      <c r="F11356" t="str">
        <f t="shared" si="2170"/>
        <v>COM</v>
      </c>
      <c r="G11356" t="str">
        <f>"GABRIEL SOARES VIEIRA (18)"</f>
        <v>GABRIEL SOARES VIEIRA (18)</v>
      </c>
      <c r="H11356" t="str">
        <f>"PAGAMENTO LIDERANÇA REF. MES 10/2025 - PIX: CELULAR - CHAVE: (33) 9 9114-8112"</f>
        <v>PAGAMENTO LIDERANÇA REF. MES 10/2025 - PIX: CELULAR - CHAVE: (33) 9 9114-8112</v>
      </c>
      <c r="I11356" t="str">
        <f t="shared" si="2175"/>
        <v>14/11/2025</v>
      </c>
      <c r="J11356" t="str">
        <f>("31/10/2025")</f>
        <v>31/10/2025</v>
      </c>
      <c r="K11356" t="str">
        <f>("14/11/2025")</f>
        <v>14/11/2025</v>
      </c>
      <c r="L11356">
        <v>662.35</v>
      </c>
      <c r="M11356">
        <v>662.35</v>
      </c>
      <c r="N11356">
        <v>120</v>
      </c>
      <c r="O11356" t="str">
        <f>"PAGAMENTO COMISSAO LIDERES"</f>
        <v>PAGAMENTO COMISSAO LIDERES</v>
      </c>
      <c r="P11356">
        <v>662.35</v>
      </c>
      <c r="S11356" t="str">
        <f>"BANCO CORA (102)"</f>
        <v>BANCO CORA (102)</v>
      </c>
      <c r="T11356">
        <v>22878</v>
      </c>
      <c r="U11356">
        <v>25497</v>
      </c>
      <c r="V11356" t="s">
        <v>22</v>
      </c>
    </row>
    <row r="11357" spans="1:22">
      <c r="A11357" t="str">
        <f t="shared" si="2167"/>
        <v>14/11/2025</v>
      </c>
      <c r="B11357" t="str">
        <f t="shared" si="2177"/>
        <v>SAÍDA</v>
      </c>
      <c r="C11357" t="str">
        <f t="shared" si="2178"/>
        <v>PIX</v>
      </c>
      <c r="D11357" t="str">
        <f>"1511"</f>
        <v>1511</v>
      </c>
      <c r="E11357" t="str">
        <f>"25"</f>
        <v>25</v>
      </c>
      <c r="F11357" t="str">
        <f t="shared" si="2170"/>
        <v>COM</v>
      </c>
      <c r="G11357" t="str">
        <f>"GABRIEL SOARES VIEIRA (18)"</f>
        <v>GABRIEL SOARES VIEIRA (18)</v>
      </c>
      <c r="H11357" t="s">
        <v>3059</v>
      </c>
      <c r="I11357" t="str">
        <f t="shared" si="2175"/>
        <v>14/11/2025</v>
      </c>
      <c r="J11357" t="str">
        <f>("31/10/2025")</f>
        <v>31/10/2025</v>
      </c>
      <c r="K11357">
        <v>45975</v>
      </c>
      <c r="N11357">
        <v>120</v>
      </c>
      <c r="O11357" t="s">
        <v>306</v>
      </c>
      <c r="Q11357">
        <v>356.15</v>
      </c>
      <c r="R11357" t="str">
        <f>"FARMÁCIA INDIANA LJ 40 (10016)"</f>
        <v>FARMÁCIA INDIANA LJ 40 (10016)</v>
      </c>
      <c r="S11357" t="s">
        <v>22</v>
      </c>
      <c r="T11357">
        <v>22878</v>
      </c>
      <c r="U11357">
        <v>25497</v>
      </c>
      <c r="V11357" t="s">
        <v>22</v>
      </c>
    </row>
    <row r="11358" spans="1:22">
      <c r="A11358" t="str">
        <f t="shared" si="2167"/>
        <v>14/11/2025</v>
      </c>
      <c r="B11358" t="str">
        <f t="shared" si="2177"/>
        <v>SAÍDA</v>
      </c>
      <c r="C11358" t="str">
        <f t="shared" si="2178"/>
        <v>PIX</v>
      </c>
      <c r="D11358" t="str">
        <f>"1511"</f>
        <v>1511</v>
      </c>
      <c r="E11358" t="str">
        <f>"25"</f>
        <v>25</v>
      </c>
      <c r="F11358" t="str">
        <f t="shared" si="2170"/>
        <v>COM</v>
      </c>
      <c r="G11358" t="str">
        <f>"GABRIEL SOARES VIEIRA (18)"</f>
        <v>GABRIEL SOARES VIEIRA (18)</v>
      </c>
      <c r="H11358" t="s">
        <v>3059</v>
      </c>
      <c r="I11358" t="str">
        <f t="shared" si="2175"/>
        <v>14/11/2025</v>
      </c>
      <c r="J11358" t="str">
        <f>("31/10/2025")</f>
        <v>31/10/2025</v>
      </c>
      <c r="K11358">
        <v>45975</v>
      </c>
      <c r="N11358">
        <v>120</v>
      </c>
      <c r="O11358" t="s">
        <v>306</v>
      </c>
      <c r="Q11358">
        <v>187.71</v>
      </c>
      <c r="R11358" t="str">
        <f>"FARMÁCIA INDIANA LJ 61 (10027)"</f>
        <v>FARMÁCIA INDIANA LJ 61 (10027)</v>
      </c>
      <c r="S11358" t="s">
        <v>22</v>
      </c>
      <c r="T11358">
        <v>22878</v>
      </c>
      <c r="U11358">
        <v>25497</v>
      </c>
      <c r="V11358" t="s">
        <v>22</v>
      </c>
    </row>
    <row r="11359" spans="1:22">
      <c r="A11359" t="str">
        <f t="shared" si="2167"/>
        <v>14/11/2025</v>
      </c>
      <c r="B11359" t="str">
        <f t="shared" si="2177"/>
        <v>SAÍDA</v>
      </c>
      <c r="C11359" t="str">
        <f t="shared" si="2178"/>
        <v>PIX</v>
      </c>
      <c r="D11359" t="str">
        <f>"1511"</f>
        <v>1511</v>
      </c>
      <c r="E11359" t="str">
        <f>"25"</f>
        <v>25</v>
      </c>
      <c r="F11359" t="str">
        <f t="shared" si="2170"/>
        <v>COM</v>
      </c>
      <c r="G11359" t="str">
        <f>"GABRIEL SOARES VIEIRA (18)"</f>
        <v>GABRIEL SOARES VIEIRA (18)</v>
      </c>
      <c r="H11359" t="s">
        <v>3059</v>
      </c>
      <c r="I11359" t="str">
        <f t="shared" si="2175"/>
        <v>14/11/2025</v>
      </c>
      <c r="J11359" t="str">
        <f>("31/10/2025")</f>
        <v>31/10/2025</v>
      </c>
      <c r="K11359">
        <v>45975</v>
      </c>
      <c r="N11359">
        <v>120</v>
      </c>
      <c r="O11359" t="s">
        <v>306</v>
      </c>
      <c r="Q11359">
        <v>118.49</v>
      </c>
      <c r="R11359" t="str">
        <f>"FARMÁCIA INDIANA LJ 62 (10028)"</f>
        <v>FARMÁCIA INDIANA LJ 62 (10028)</v>
      </c>
      <c r="S11359" t="s">
        <v>22</v>
      </c>
      <c r="T11359">
        <v>22878</v>
      </c>
      <c r="U11359">
        <v>25497</v>
      </c>
      <c r="V11359" t="s">
        <v>22</v>
      </c>
    </row>
    <row r="11360" spans="1:22">
      <c r="A11360" t="str">
        <f t="shared" si="2167"/>
        <v>14/11/2025</v>
      </c>
      <c r="B11360" t="str">
        <f t="shared" si="2177"/>
        <v>SAÍDA</v>
      </c>
      <c r="C11360" t="str">
        <f t="shared" si="2178"/>
        <v>PIX</v>
      </c>
      <c r="D11360" t="str">
        <f>"14112025"</f>
        <v>14112025</v>
      </c>
      <c r="E11360" t="str">
        <f>""</f>
        <v/>
      </c>
      <c r="F11360" t="str">
        <f t="shared" si="2170"/>
        <v>COM</v>
      </c>
      <c r="G11360" t="str">
        <f>"MATHEUS BLANCATO RESENDE (1030)"</f>
        <v>MATHEUS BLANCATO RESENDE (1030)</v>
      </c>
      <c r="H11360" t="str">
        <f>"COMPLEMENTO PRESTAÇÃO DE SERVIÇO "</f>
        <v xml:space="preserve">COMPLEMENTO PRESTAÇÃO DE SERVIÇO </v>
      </c>
      <c r="I11360" t="str">
        <f t="shared" si="2175"/>
        <v>14/11/2025</v>
      </c>
      <c r="J11360" t="str">
        <f>("14/11/2025")</f>
        <v>14/11/2025</v>
      </c>
      <c r="K11360" t="str">
        <f>("14/11/2025")</f>
        <v>14/11/2025</v>
      </c>
      <c r="L11360">
        <v>188</v>
      </c>
      <c r="M11360">
        <v>188</v>
      </c>
      <c r="N11360">
        <v>114</v>
      </c>
      <c r="O11360" t="str">
        <f>"PRESTADORES DE SERVIÇOS"</f>
        <v>PRESTADORES DE SERVIÇOS</v>
      </c>
      <c r="P11360">
        <v>188</v>
      </c>
      <c r="S11360" t="str">
        <f>"BANCO CORA (102)"</f>
        <v>BANCO CORA (102)</v>
      </c>
      <c r="T11360">
        <v>22879</v>
      </c>
      <c r="U11360">
        <v>27023</v>
      </c>
      <c r="V11360" t="s">
        <v>22</v>
      </c>
    </row>
    <row r="11361" spans="1:22">
      <c r="A11361" t="str">
        <f t="shared" si="2167"/>
        <v>14/11/2025</v>
      </c>
      <c r="B11361" t="str">
        <f t="shared" si="2177"/>
        <v>SAÍDA</v>
      </c>
      <c r="C11361" t="str">
        <f t="shared" si="2178"/>
        <v>PIX</v>
      </c>
      <c r="D11361" t="str">
        <f>"14112025"</f>
        <v>14112025</v>
      </c>
      <c r="E11361" t="str">
        <f>""</f>
        <v/>
      </c>
      <c r="F11361" t="str">
        <f t="shared" si="2170"/>
        <v>COM</v>
      </c>
      <c r="G11361" t="str">
        <f>"MATHEUS BLANCATO RESENDE (1030)"</f>
        <v>MATHEUS BLANCATO RESENDE (1030)</v>
      </c>
      <c r="H11361" t="s">
        <v>3060</v>
      </c>
      <c r="I11361" t="str">
        <f t="shared" si="2175"/>
        <v>14/11/2025</v>
      </c>
      <c r="J11361" t="str">
        <f>("14/11/2025")</f>
        <v>14/11/2025</v>
      </c>
      <c r="K11361">
        <v>45975</v>
      </c>
      <c r="N11361">
        <v>114</v>
      </c>
      <c r="O11361" t="s">
        <v>260</v>
      </c>
      <c r="Q11361">
        <v>188</v>
      </c>
      <c r="R11361" t="str">
        <f>"MATHEUS BLANCATO RESENDE (1030)"</f>
        <v>MATHEUS BLANCATO RESENDE (1030)</v>
      </c>
      <c r="S11361" t="s">
        <v>22</v>
      </c>
      <c r="T11361">
        <v>22879</v>
      </c>
      <c r="U11361">
        <v>27023</v>
      </c>
      <c r="V11361" t="s">
        <v>22</v>
      </c>
    </row>
    <row r="11362" spans="1:22">
      <c r="A11362" t="str">
        <f t="shared" ref="A11362:A11377" si="2179">("15/11/2025")</f>
        <v>15/11/2025</v>
      </c>
      <c r="B11362" t="str">
        <f t="shared" si="2177"/>
        <v>SAÍDA</v>
      </c>
      <c r="C11362" t="str">
        <f t="shared" si="2178"/>
        <v>PIX</v>
      </c>
      <c r="D11362" t="str">
        <f>"1511"</f>
        <v>1511</v>
      </c>
      <c r="E11362" t="str">
        <f>"25"</f>
        <v>25</v>
      </c>
      <c r="F11362" t="str">
        <f t="shared" si="2170"/>
        <v>COM</v>
      </c>
      <c r="G11362" t="str">
        <f>"JARLES DE SOUZA PEREIRA (109)"</f>
        <v>JARLES DE SOUZA PEREIRA (109)</v>
      </c>
      <c r="H11362" t="str">
        <f>"PAGAMENTO LIDERANÇA REF. MES 10/2025 - PIX: CELULAR - CHAVE: (73) 99115-960"</f>
        <v>PAGAMENTO LIDERANÇA REF. MES 10/2025 - PIX: CELULAR - CHAVE: (73) 99115-960</v>
      </c>
      <c r="I11362" t="str">
        <f>("15/11/2025")</f>
        <v>15/11/2025</v>
      </c>
      <c r="J11362" t="str">
        <f>("31/10/2025")</f>
        <v>31/10/2025</v>
      </c>
      <c r="K11362" t="str">
        <f>("15/11/2025")</f>
        <v>15/11/2025</v>
      </c>
      <c r="L11362">
        <v>300</v>
      </c>
      <c r="M11362">
        <v>300</v>
      </c>
      <c r="N11362">
        <v>120</v>
      </c>
      <c r="O11362" t="str">
        <f>"PAGAMENTO COMISSAO LIDERES"</f>
        <v>PAGAMENTO COMISSAO LIDERES</v>
      </c>
      <c r="P11362">
        <v>300</v>
      </c>
      <c r="S11362" t="str">
        <f>"BANCO CORA (102)"</f>
        <v>BANCO CORA (102)</v>
      </c>
      <c r="T11362">
        <v>21149</v>
      </c>
      <c r="U11362">
        <v>25503</v>
      </c>
      <c r="V11362" t="s">
        <v>22</v>
      </c>
    </row>
    <row r="11363" spans="1:22">
      <c r="A11363" t="str">
        <f t="shared" si="2179"/>
        <v>15/11/2025</v>
      </c>
      <c r="B11363" t="str">
        <f t="shared" si="2177"/>
        <v>SAÍDA</v>
      </c>
      <c r="C11363" t="str">
        <f t="shared" si="2178"/>
        <v>PIX</v>
      </c>
      <c r="D11363" t="str">
        <f>"1511"</f>
        <v>1511</v>
      </c>
      <c r="E11363" t="str">
        <f>"25"</f>
        <v>25</v>
      </c>
      <c r="F11363" t="str">
        <f t="shared" si="2170"/>
        <v>COM</v>
      </c>
      <c r="G11363" t="str">
        <f>"JARLES DE SOUZA PEREIRA (109)"</f>
        <v>JARLES DE SOUZA PEREIRA (109)</v>
      </c>
      <c r="H11363" t="s">
        <v>3061</v>
      </c>
      <c r="I11363" t="str">
        <f>("15/11/2025")</f>
        <v>15/11/2025</v>
      </c>
      <c r="J11363" t="str">
        <f>("31/10/2025")</f>
        <v>31/10/2025</v>
      </c>
      <c r="K11363">
        <v>45976</v>
      </c>
      <c r="N11363">
        <v>120</v>
      </c>
      <c r="O11363" t="s">
        <v>306</v>
      </c>
      <c r="Q11363">
        <v>150</v>
      </c>
      <c r="R11363" t="str">
        <f>"FARMÁCIA INDIANA LJ 65 (10030)"</f>
        <v>FARMÁCIA INDIANA LJ 65 (10030)</v>
      </c>
      <c r="S11363" t="s">
        <v>22</v>
      </c>
      <c r="T11363">
        <v>21149</v>
      </c>
      <c r="U11363">
        <v>25503</v>
      </c>
      <c r="V11363" t="s">
        <v>22</v>
      </c>
    </row>
    <row r="11364" spans="1:22">
      <c r="A11364" t="str">
        <f t="shared" si="2179"/>
        <v>15/11/2025</v>
      </c>
      <c r="B11364" t="str">
        <f t="shared" si="2177"/>
        <v>SAÍDA</v>
      </c>
      <c r="C11364" t="str">
        <f t="shared" si="2178"/>
        <v>PIX</v>
      </c>
      <c r="D11364" t="str">
        <f>"1511"</f>
        <v>1511</v>
      </c>
      <c r="E11364" t="str">
        <f>"25"</f>
        <v>25</v>
      </c>
      <c r="F11364" t="str">
        <f t="shared" si="2170"/>
        <v>COM</v>
      </c>
      <c r="G11364" t="str">
        <f>"JARLES DE SOUZA PEREIRA (109)"</f>
        <v>JARLES DE SOUZA PEREIRA (109)</v>
      </c>
      <c r="H11364" t="s">
        <v>3061</v>
      </c>
      <c r="I11364" t="str">
        <f>("15/11/2025")</f>
        <v>15/11/2025</v>
      </c>
      <c r="J11364" t="str">
        <f>("31/10/2025")</f>
        <v>31/10/2025</v>
      </c>
      <c r="K11364">
        <v>45976</v>
      </c>
      <c r="N11364">
        <v>120</v>
      </c>
      <c r="O11364" t="s">
        <v>306</v>
      </c>
      <c r="Q11364">
        <v>150</v>
      </c>
      <c r="R11364" t="str">
        <f>"FARMÁCIA INDIANA LJ 173 (10075)"</f>
        <v>FARMÁCIA INDIANA LJ 173 (10075)</v>
      </c>
      <c r="S11364" t="s">
        <v>22</v>
      </c>
      <c r="T11364">
        <v>21149</v>
      </c>
      <c r="U11364">
        <v>25503</v>
      </c>
      <c r="V11364" t="s">
        <v>22</v>
      </c>
    </row>
    <row r="11365" spans="1:22">
      <c r="A11365" t="str">
        <f t="shared" si="2179"/>
        <v>15/11/2025</v>
      </c>
      <c r="B11365" t="str">
        <f t="shared" si="2177"/>
        <v>SAÍDA</v>
      </c>
      <c r="C11365" t="str">
        <f t="shared" si="2178"/>
        <v>PIX</v>
      </c>
      <c r="D11365" t="str">
        <f>"25660"</f>
        <v>25660</v>
      </c>
      <c r="E11365" t="str">
        <f t="shared" ref="E11365:E11380" si="2180">"1"</f>
        <v>1</v>
      </c>
      <c r="F11365" t="str">
        <f t="shared" si="2170"/>
        <v>COM</v>
      </c>
      <c r="G11365" t="str">
        <f>"EDICARLOS OLIVEIRA BORGES (1068)"</f>
        <v>EDICARLOS OLIVEIRA BORGES (1068)</v>
      </c>
      <c r="H11365" t="str">
        <f>"Serv.Prest. 10/11/2025 a 16/11/2025 - PIX: CELULAR - CHAVE: (11) 93933-2088"</f>
        <v>Serv.Prest. 10/11/2025 a 16/11/2025 - PIX: CELULAR - CHAVE: (11) 93933-2088</v>
      </c>
      <c r="I11365" t="str">
        <f>("18/11/2025")</f>
        <v>18/11/2025</v>
      </c>
      <c r="J11365" t="str">
        <f>("18/11/2025")</f>
        <v>18/11/2025</v>
      </c>
      <c r="K11365" t="str">
        <f>("15/11/2025")</f>
        <v>15/11/2025</v>
      </c>
      <c r="L11365">
        <v>170</v>
      </c>
      <c r="M11365">
        <v>170</v>
      </c>
      <c r="N11365">
        <v>134</v>
      </c>
      <c r="O11365" t="str">
        <f>"DIARIA DE MOTOBOY"</f>
        <v>DIARIA DE MOTOBOY</v>
      </c>
      <c r="P11365">
        <v>170</v>
      </c>
      <c r="S11365" t="str">
        <f>"BANCO CORA (102)"</f>
        <v>BANCO CORA (102)</v>
      </c>
      <c r="T11365">
        <v>21223</v>
      </c>
      <c r="U11365">
        <v>25666</v>
      </c>
      <c r="V11365" t="s">
        <v>22</v>
      </c>
    </row>
    <row r="11366" spans="1:22">
      <c r="A11366" t="str">
        <f t="shared" si="2179"/>
        <v>15/11/2025</v>
      </c>
      <c r="B11366" t="str">
        <f t="shared" si="2177"/>
        <v>SAÍDA</v>
      </c>
      <c r="C11366" t="str">
        <f t="shared" si="2178"/>
        <v>PIX</v>
      </c>
      <c r="D11366" t="str">
        <f>"25660"</f>
        <v>25660</v>
      </c>
      <c r="E11366" t="str">
        <f t="shared" si="2180"/>
        <v>1</v>
      </c>
      <c r="F11366" t="str">
        <f t="shared" si="2170"/>
        <v>COM</v>
      </c>
      <c r="G11366" t="str">
        <f>"EDICARLOS OLIVEIRA BORGES (1068)"</f>
        <v>EDICARLOS OLIVEIRA BORGES (1068)</v>
      </c>
      <c r="H11366" t="s">
        <v>2765</v>
      </c>
      <c r="I11366" t="str">
        <f>("18/11/2025")</f>
        <v>18/11/2025</v>
      </c>
      <c r="J11366" t="str">
        <f>("18/11/2025")</f>
        <v>18/11/2025</v>
      </c>
      <c r="K11366">
        <v>45976</v>
      </c>
      <c r="N11366">
        <v>134</v>
      </c>
      <c r="O11366" t="s">
        <v>41</v>
      </c>
      <c r="Q11366">
        <v>170</v>
      </c>
      <c r="R11366" t="str">
        <f>"PENSE FARMA 22 (10198)"</f>
        <v>PENSE FARMA 22 (10198)</v>
      </c>
      <c r="S11366" t="s">
        <v>22</v>
      </c>
      <c r="T11366">
        <v>21223</v>
      </c>
      <c r="U11366">
        <v>25666</v>
      </c>
      <c r="V11366" t="s">
        <v>22</v>
      </c>
    </row>
    <row r="11367" spans="1:22">
      <c r="A11367" t="str">
        <f t="shared" si="2179"/>
        <v>15/11/2025</v>
      </c>
      <c r="B11367" t="str">
        <f t="shared" si="2177"/>
        <v>SAÍDA</v>
      </c>
      <c r="C11367" t="str">
        <f t="shared" si="2178"/>
        <v>PIX</v>
      </c>
      <c r="D11367" t="str">
        <f>"25683"</f>
        <v>25683</v>
      </c>
      <c r="E11367" t="str">
        <f t="shared" si="2180"/>
        <v>1</v>
      </c>
      <c r="F11367" t="str">
        <f t="shared" si="2170"/>
        <v>COM</v>
      </c>
      <c r="G11367" t="str">
        <f>"CARLOS DANIEL FERNANDES VIEIRA (1051)"</f>
        <v>CARLOS DANIEL FERNANDES VIEIRA (1051)</v>
      </c>
      <c r="H11367" t="str">
        <f>"Serv.Prest. 10/11/2025 a 16/11/2025 - PIX: CPF - CHAVE: 171.393.446-98"</f>
        <v>Serv.Prest. 10/11/2025 a 16/11/2025 - PIX: CPF - CHAVE: 171.393.446-98</v>
      </c>
      <c r="I11367" t="str">
        <f>("27/11/2025")</f>
        <v>27/11/2025</v>
      </c>
      <c r="J11367" t="str">
        <f>("18/11/2025")</f>
        <v>18/11/2025</v>
      </c>
      <c r="K11367" t="str">
        <f>("15/11/2025")</f>
        <v>15/11/2025</v>
      </c>
      <c r="L11367">
        <v>120</v>
      </c>
      <c r="M11367">
        <v>120</v>
      </c>
      <c r="N11367">
        <v>134</v>
      </c>
      <c r="O11367" t="str">
        <f>"DIARIA DE MOTOBOY"</f>
        <v>DIARIA DE MOTOBOY</v>
      </c>
      <c r="P11367">
        <v>120</v>
      </c>
      <c r="S11367" t="str">
        <f>"BANCO CORA (102)"</f>
        <v>BANCO CORA (102)</v>
      </c>
      <c r="T11367">
        <v>21273</v>
      </c>
      <c r="U11367">
        <v>25683</v>
      </c>
      <c r="V11367" t="s">
        <v>22</v>
      </c>
    </row>
    <row r="11368" spans="1:22">
      <c r="A11368" t="str">
        <f t="shared" si="2179"/>
        <v>15/11/2025</v>
      </c>
      <c r="B11368" t="str">
        <f t="shared" si="2177"/>
        <v>SAÍDA</v>
      </c>
      <c r="C11368" t="str">
        <f t="shared" si="2178"/>
        <v>PIX</v>
      </c>
      <c r="D11368" t="str">
        <f>"25683"</f>
        <v>25683</v>
      </c>
      <c r="E11368" t="str">
        <f t="shared" si="2180"/>
        <v>1</v>
      </c>
      <c r="F11368" t="str">
        <f t="shared" si="2170"/>
        <v>COM</v>
      </c>
      <c r="G11368" t="str">
        <f>"CARLOS DANIEL FERNANDES VIEIRA (1051)"</f>
        <v>CARLOS DANIEL FERNANDES VIEIRA (1051)</v>
      </c>
      <c r="H11368" t="s">
        <v>3057</v>
      </c>
      <c r="I11368" t="str">
        <f>("27/11/2025")</f>
        <v>27/11/2025</v>
      </c>
      <c r="J11368" t="str">
        <f>("18/11/2025")</f>
        <v>18/11/2025</v>
      </c>
      <c r="K11368">
        <v>45976</v>
      </c>
      <c r="N11368">
        <v>134</v>
      </c>
      <c r="O11368" t="s">
        <v>41</v>
      </c>
      <c r="Q11368">
        <v>120</v>
      </c>
      <c r="R11368" t="str">
        <f>"FARMÁCIA INDIANA LJ 205 (10150)"</f>
        <v>FARMÁCIA INDIANA LJ 205 (10150)</v>
      </c>
      <c r="S11368" t="s">
        <v>22</v>
      </c>
      <c r="T11368">
        <v>21273</v>
      </c>
      <c r="U11368">
        <v>25683</v>
      </c>
      <c r="V11368" t="s">
        <v>22</v>
      </c>
    </row>
    <row r="11369" spans="1:22">
      <c r="A11369" t="str">
        <f t="shared" si="2179"/>
        <v>15/11/2025</v>
      </c>
      <c r="B11369" t="str">
        <f t="shared" si="2177"/>
        <v>SAÍDA</v>
      </c>
      <c r="C11369" t="str">
        <f t="shared" si="2178"/>
        <v>PIX</v>
      </c>
      <c r="D11369" t="str">
        <f>"25827"</f>
        <v>25827</v>
      </c>
      <c r="E11369" t="str">
        <f t="shared" si="2180"/>
        <v>1</v>
      </c>
      <c r="F11369" t="str">
        <f t="shared" si="2170"/>
        <v>COM</v>
      </c>
      <c r="G11369" t="str">
        <f>"JAIR BRISON JUNIOR (964)"</f>
        <v>JAIR BRISON JUNIOR (964)</v>
      </c>
      <c r="H11369" t="str">
        <f>"Serv.Prest. 10/11/2025 a 16/11/2025 - PIX: CPF - CHAVE: 096.116.707-61"</f>
        <v>Serv.Prest. 10/11/2025 a 16/11/2025 - PIX: CPF - CHAVE: 096.116.707-61</v>
      </c>
      <c r="I11369" t="str">
        <f>("27/11/2025")</f>
        <v>27/11/2025</v>
      </c>
      <c r="J11369" t="str">
        <f>("18/11/2025")</f>
        <v>18/11/2025</v>
      </c>
      <c r="K11369" t="str">
        <f>("15/11/2025")</f>
        <v>15/11/2025</v>
      </c>
      <c r="L11369">
        <v>130</v>
      </c>
      <c r="M11369">
        <v>130</v>
      </c>
      <c r="N11369">
        <v>134</v>
      </c>
      <c r="O11369" t="str">
        <f>"DIARIA DE MOTOBOY"</f>
        <v>DIARIA DE MOTOBOY</v>
      </c>
      <c r="P11369">
        <v>130</v>
      </c>
      <c r="S11369" t="str">
        <f>"BANCO CORA (102)"</f>
        <v>BANCO CORA (102)</v>
      </c>
      <c r="T11369">
        <v>21276</v>
      </c>
      <c r="U11369">
        <v>25887</v>
      </c>
      <c r="V11369" t="s">
        <v>22</v>
      </c>
    </row>
    <row r="11370" spans="1:22">
      <c r="A11370" t="str">
        <f t="shared" si="2179"/>
        <v>15/11/2025</v>
      </c>
      <c r="B11370" t="str">
        <f t="shared" si="2177"/>
        <v>SAÍDA</v>
      </c>
      <c r="C11370" t="str">
        <f t="shared" si="2178"/>
        <v>PIX</v>
      </c>
      <c r="D11370" t="str">
        <f>"25827"</f>
        <v>25827</v>
      </c>
      <c r="E11370" t="str">
        <f t="shared" si="2180"/>
        <v>1</v>
      </c>
      <c r="F11370" t="str">
        <f t="shared" si="2170"/>
        <v>COM</v>
      </c>
      <c r="G11370" t="str">
        <f>"JAIR BRISON JUNIOR (964)"</f>
        <v>JAIR BRISON JUNIOR (964)</v>
      </c>
      <c r="H11370" t="s">
        <v>2942</v>
      </c>
      <c r="I11370" t="str">
        <f>("27/11/2025")</f>
        <v>27/11/2025</v>
      </c>
      <c r="J11370" t="str">
        <f>("18/11/2025")</f>
        <v>18/11/2025</v>
      </c>
      <c r="K11370">
        <v>45976</v>
      </c>
      <c r="N11370">
        <v>134</v>
      </c>
      <c r="O11370" t="s">
        <v>41</v>
      </c>
      <c r="Q11370">
        <v>130</v>
      </c>
      <c r="R11370" t="str">
        <f>"FARMÁCIA INDIANA LJ 119 (10053)"</f>
        <v>FARMÁCIA INDIANA LJ 119 (10053)</v>
      </c>
      <c r="S11370" t="s">
        <v>22</v>
      </c>
      <c r="T11370">
        <v>21276</v>
      </c>
      <c r="U11370">
        <v>25887</v>
      </c>
      <c r="V11370" t="s">
        <v>22</v>
      </c>
    </row>
    <row r="11371" spans="1:22">
      <c r="A11371" t="str">
        <f t="shared" si="2179"/>
        <v>15/11/2025</v>
      </c>
      <c r="B11371" t="str">
        <f t="shared" si="2177"/>
        <v>SAÍDA</v>
      </c>
      <c r="C11371" t="str">
        <f t="shared" si="2178"/>
        <v>PIX</v>
      </c>
      <c r="D11371" t="str">
        <f>"25867"</f>
        <v>25867</v>
      </c>
      <c r="E11371" t="str">
        <f t="shared" si="2180"/>
        <v>1</v>
      </c>
      <c r="F11371" t="str">
        <f t="shared" si="2170"/>
        <v>COM</v>
      </c>
      <c r="G11371" t="str">
        <f>"JONAS EDUARDO SANTOS (1069)"</f>
        <v>JONAS EDUARDO SANTOS (1069)</v>
      </c>
      <c r="H11371" t="str">
        <f>"Serv.Prest. 10/11/2025 a 16/11/2025 - PIX: CPF - CHAVE: 126.935.356-03"</f>
        <v>Serv.Prest. 10/11/2025 a 16/11/2025 - PIX: CPF - CHAVE: 126.935.356-03</v>
      </c>
      <c r="I11371" t="str">
        <f>("20/11/2025")</f>
        <v>20/11/2025</v>
      </c>
      <c r="J11371" t="str">
        <f>("19/11/2025")</f>
        <v>19/11/2025</v>
      </c>
      <c r="K11371" t="str">
        <f>("15/11/2025")</f>
        <v>15/11/2025</v>
      </c>
      <c r="L11371">
        <v>340</v>
      </c>
      <c r="M11371">
        <v>340</v>
      </c>
      <c r="N11371">
        <v>134</v>
      </c>
      <c r="O11371" t="str">
        <f>"DIARIA DE MOTOBOY"</f>
        <v>DIARIA DE MOTOBOY</v>
      </c>
      <c r="P11371">
        <v>340</v>
      </c>
      <c r="S11371" t="str">
        <f>"BANCO CORA (102)"</f>
        <v>BANCO CORA (102)</v>
      </c>
      <c r="T11371">
        <v>21277</v>
      </c>
      <c r="U11371">
        <v>25867</v>
      </c>
      <c r="V11371" t="s">
        <v>22</v>
      </c>
    </row>
    <row r="11372" spans="1:22">
      <c r="A11372" t="str">
        <f t="shared" si="2179"/>
        <v>15/11/2025</v>
      </c>
      <c r="B11372" t="str">
        <f t="shared" si="2177"/>
        <v>SAÍDA</v>
      </c>
      <c r="C11372" t="str">
        <f t="shared" si="2178"/>
        <v>PIX</v>
      </c>
      <c r="D11372" t="str">
        <f>"25867"</f>
        <v>25867</v>
      </c>
      <c r="E11372" t="str">
        <f t="shared" si="2180"/>
        <v>1</v>
      </c>
      <c r="F11372" t="str">
        <f t="shared" si="2170"/>
        <v>COM</v>
      </c>
      <c r="G11372" t="str">
        <f>"JONAS EDUARDO SANTOS (1069)"</f>
        <v>JONAS EDUARDO SANTOS (1069)</v>
      </c>
      <c r="H11372" t="s">
        <v>3062</v>
      </c>
      <c r="I11372" t="str">
        <f>("20/11/2025")</f>
        <v>20/11/2025</v>
      </c>
      <c r="J11372" t="str">
        <f>("19/11/2025")</f>
        <v>19/11/2025</v>
      </c>
      <c r="K11372">
        <v>45976</v>
      </c>
      <c r="N11372">
        <v>134</v>
      </c>
      <c r="O11372" t="s">
        <v>41</v>
      </c>
      <c r="Q11372">
        <v>97.14</v>
      </c>
      <c r="R11372" t="str">
        <f>"DROGALIDER 55 (10249)"</f>
        <v>DROGALIDER 55 (10249)</v>
      </c>
      <c r="S11372" t="s">
        <v>22</v>
      </c>
      <c r="T11372">
        <v>21277</v>
      </c>
      <c r="U11372">
        <v>25867</v>
      </c>
      <c r="V11372" t="s">
        <v>22</v>
      </c>
    </row>
    <row r="11373" spans="1:22">
      <c r="A11373" t="str">
        <f t="shared" si="2179"/>
        <v>15/11/2025</v>
      </c>
      <c r="B11373" t="str">
        <f t="shared" si="2177"/>
        <v>SAÍDA</v>
      </c>
      <c r="C11373" t="str">
        <f t="shared" si="2178"/>
        <v>PIX</v>
      </c>
      <c r="D11373" t="str">
        <f>"25867"</f>
        <v>25867</v>
      </c>
      <c r="E11373" t="str">
        <f t="shared" si="2180"/>
        <v>1</v>
      </c>
      <c r="F11373" t="str">
        <f t="shared" si="2170"/>
        <v>COM</v>
      </c>
      <c r="G11373" t="str">
        <f>"JONAS EDUARDO SANTOS (1069)"</f>
        <v>JONAS EDUARDO SANTOS (1069)</v>
      </c>
      <c r="H11373" t="s">
        <v>3062</v>
      </c>
      <c r="I11373" t="str">
        <f>("20/11/2025")</f>
        <v>20/11/2025</v>
      </c>
      <c r="J11373" t="str">
        <f>("19/11/2025")</f>
        <v>19/11/2025</v>
      </c>
      <c r="K11373">
        <v>45976</v>
      </c>
      <c r="N11373">
        <v>134</v>
      </c>
      <c r="O11373" t="s">
        <v>41</v>
      </c>
      <c r="Q11373">
        <v>56.68</v>
      </c>
      <c r="R11373" t="str">
        <f>"DROGALIDER 67 (10252)"</f>
        <v>DROGALIDER 67 (10252)</v>
      </c>
      <c r="S11373" t="s">
        <v>22</v>
      </c>
      <c r="T11373">
        <v>21277</v>
      </c>
      <c r="U11373">
        <v>25867</v>
      </c>
      <c r="V11373" t="s">
        <v>22</v>
      </c>
    </row>
    <row r="11374" spans="1:22">
      <c r="A11374" t="str">
        <f t="shared" si="2179"/>
        <v>15/11/2025</v>
      </c>
      <c r="B11374" t="str">
        <f t="shared" si="2177"/>
        <v>SAÍDA</v>
      </c>
      <c r="C11374" t="str">
        <f t="shared" si="2178"/>
        <v>PIX</v>
      </c>
      <c r="D11374" t="str">
        <f>"25867"</f>
        <v>25867</v>
      </c>
      <c r="E11374" t="str">
        <f t="shared" si="2180"/>
        <v>1</v>
      </c>
      <c r="F11374" t="str">
        <f t="shared" si="2170"/>
        <v>COM</v>
      </c>
      <c r="G11374" t="str">
        <f>"JONAS EDUARDO SANTOS (1069)"</f>
        <v>JONAS EDUARDO SANTOS (1069)</v>
      </c>
      <c r="H11374" t="s">
        <v>3062</v>
      </c>
      <c r="I11374" t="str">
        <f>("20/11/2025")</f>
        <v>20/11/2025</v>
      </c>
      <c r="J11374" t="str">
        <f>("19/11/2025")</f>
        <v>19/11/2025</v>
      </c>
      <c r="K11374">
        <v>45976</v>
      </c>
      <c r="N11374">
        <v>134</v>
      </c>
      <c r="O11374" t="s">
        <v>41</v>
      </c>
      <c r="Q11374">
        <v>8.09</v>
      </c>
      <c r="R11374" t="str">
        <f>"DROGALIDER 68 (10253)"</f>
        <v>DROGALIDER 68 (10253)</v>
      </c>
      <c r="S11374" t="s">
        <v>22</v>
      </c>
      <c r="T11374">
        <v>21277</v>
      </c>
      <c r="U11374">
        <v>25867</v>
      </c>
      <c r="V11374" t="s">
        <v>22</v>
      </c>
    </row>
    <row r="11375" spans="1:22">
      <c r="A11375" t="str">
        <f t="shared" si="2179"/>
        <v>15/11/2025</v>
      </c>
      <c r="B11375" t="str">
        <f t="shared" si="2177"/>
        <v>SAÍDA</v>
      </c>
      <c r="C11375" t="str">
        <f t="shared" si="2178"/>
        <v>PIX</v>
      </c>
      <c r="D11375" t="str">
        <f>"25867"</f>
        <v>25867</v>
      </c>
      <c r="E11375" t="str">
        <f t="shared" si="2180"/>
        <v>1</v>
      </c>
      <c r="F11375" t="str">
        <f t="shared" si="2170"/>
        <v>COM</v>
      </c>
      <c r="G11375" t="str">
        <f>"JONAS EDUARDO SANTOS (1069)"</f>
        <v>JONAS EDUARDO SANTOS (1069)</v>
      </c>
      <c r="H11375" t="s">
        <v>3062</v>
      </c>
      <c r="I11375" t="str">
        <f>("20/11/2025")</f>
        <v>20/11/2025</v>
      </c>
      <c r="J11375" t="str">
        <f>("19/11/2025")</f>
        <v>19/11/2025</v>
      </c>
      <c r="K11375">
        <v>45976</v>
      </c>
      <c r="N11375">
        <v>134</v>
      </c>
      <c r="O11375" t="s">
        <v>41</v>
      </c>
      <c r="Q11375">
        <v>178.09</v>
      </c>
      <c r="R11375" t="str">
        <f>"DROGALIDER 31 (10256)"</f>
        <v>DROGALIDER 31 (10256)</v>
      </c>
      <c r="S11375" t="s">
        <v>22</v>
      </c>
      <c r="T11375">
        <v>21277</v>
      </c>
      <c r="U11375">
        <v>25867</v>
      </c>
      <c r="V11375" t="s">
        <v>22</v>
      </c>
    </row>
    <row r="11376" spans="1:22">
      <c r="A11376" t="str">
        <f t="shared" si="2179"/>
        <v>15/11/2025</v>
      </c>
      <c r="B11376" t="str">
        <f t="shared" si="2177"/>
        <v>SAÍDA</v>
      </c>
      <c r="C11376" t="str">
        <f t="shared" si="2178"/>
        <v>PIX</v>
      </c>
      <c r="D11376" t="str">
        <f>"25723"</f>
        <v>25723</v>
      </c>
      <c r="E11376" t="str">
        <f t="shared" si="2180"/>
        <v>1</v>
      </c>
      <c r="F11376" t="str">
        <f t="shared" si="2170"/>
        <v>COM</v>
      </c>
      <c r="G11376" t="str">
        <f>"JUSSARA CRISTINA FARIA (783)"</f>
        <v>JUSSARA CRISTINA FARIA (783)</v>
      </c>
      <c r="H11376" t="str">
        <f>"Serv.Prest. 10/11/2025 a 16/11/2025 - PIX: CELULAR - CHAVE: (31) 99373-5678"</f>
        <v>Serv.Prest. 10/11/2025 a 16/11/2025 - PIX: CELULAR - CHAVE: (31) 99373-5678</v>
      </c>
      <c r="I11376" t="str">
        <f>("27/11/2025")</f>
        <v>27/11/2025</v>
      </c>
      <c r="J11376" t="str">
        <f>("18/11/2025")</f>
        <v>18/11/2025</v>
      </c>
      <c r="K11376" t="str">
        <f>("15/11/2025")</f>
        <v>15/11/2025</v>
      </c>
      <c r="L11376">
        <v>150</v>
      </c>
      <c r="M11376">
        <v>150</v>
      </c>
      <c r="N11376">
        <v>134</v>
      </c>
      <c r="O11376" t="str">
        <f>"DIARIA DE MOTOBOY"</f>
        <v>DIARIA DE MOTOBOY</v>
      </c>
      <c r="P11376">
        <v>150</v>
      </c>
      <c r="S11376" t="str">
        <f>"BANCO CORA (102)"</f>
        <v>BANCO CORA (102)</v>
      </c>
      <c r="T11376">
        <v>21278</v>
      </c>
      <c r="U11376">
        <v>25723</v>
      </c>
      <c r="V11376" t="s">
        <v>22</v>
      </c>
    </row>
    <row r="11377" spans="1:22">
      <c r="A11377" t="str">
        <f t="shared" si="2179"/>
        <v>15/11/2025</v>
      </c>
      <c r="B11377" t="str">
        <f t="shared" si="2177"/>
        <v>SAÍDA</v>
      </c>
      <c r="C11377" t="str">
        <f t="shared" si="2178"/>
        <v>PIX</v>
      </c>
      <c r="D11377" t="str">
        <f>"25723"</f>
        <v>25723</v>
      </c>
      <c r="E11377" t="str">
        <f t="shared" si="2180"/>
        <v>1</v>
      </c>
      <c r="F11377" t="str">
        <f t="shared" si="2170"/>
        <v>COM</v>
      </c>
      <c r="G11377" t="str">
        <f>"JUSSARA CRISTINA FARIA (783)"</f>
        <v>JUSSARA CRISTINA FARIA (783)</v>
      </c>
      <c r="H11377" t="s">
        <v>3063</v>
      </c>
      <c r="I11377" t="str">
        <f>("27/11/2025")</f>
        <v>27/11/2025</v>
      </c>
      <c r="J11377" t="str">
        <f>("18/11/2025")</f>
        <v>18/11/2025</v>
      </c>
      <c r="K11377">
        <v>45976</v>
      </c>
      <c r="N11377">
        <v>134</v>
      </c>
      <c r="O11377" t="s">
        <v>41</v>
      </c>
      <c r="Q11377">
        <v>150</v>
      </c>
      <c r="R11377" t="str">
        <f>"FARMÁCIA INDIANA LJ 110 (10048)"</f>
        <v>FARMÁCIA INDIANA LJ 110 (10048)</v>
      </c>
      <c r="S11377" t="s">
        <v>22</v>
      </c>
      <c r="T11377">
        <v>21278</v>
      </c>
      <c r="U11377">
        <v>25723</v>
      </c>
      <c r="V11377" t="s">
        <v>22</v>
      </c>
    </row>
    <row r="11378" spans="1:22">
      <c r="A11378" t="str">
        <f>("16/11/2025")</f>
        <v>16/11/2025</v>
      </c>
      <c r="B11378" t="str">
        <f t="shared" si="2177"/>
        <v>SAÍDA</v>
      </c>
      <c r="C11378" t="str">
        <f t="shared" si="2178"/>
        <v>PIX</v>
      </c>
      <c r="D11378" t="str">
        <f>"25567"</f>
        <v>25567</v>
      </c>
      <c r="E11378" t="str">
        <f t="shared" si="2180"/>
        <v>1</v>
      </c>
      <c r="F11378" t="str">
        <f t="shared" si="2170"/>
        <v>COM</v>
      </c>
      <c r="G11378" t="str">
        <f>"WESLEY JESUS SANTOS (1020)"</f>
        <v>WESLEY JESUS SANTOS (1020)</v>
      </c>
      <c r="H11378" t="str">
        <f>"Serv.Prest. 10/11/2025 a 16/11/2025 - PIX: CELULAR - CHAVE: (11) 91767-9056"</f>
        <v>Serv.Prest. 10/11/2025 a 16/11/2025 - PIX: CELULAR - CHAVE: (11) 91767-9056</v>
      </c>
      <c r="I11378" t="str">
        <f>("18/11/2025")</f>
        <v>18/11/2025</v>
      </c>
      <c r="J11378" t="str">
        <f>("17/11/2025")</f>
        <v>17/11/2025</v>
      </c>
      <c r="K11378" t="str">
        <f>("16/11/2025")</f>
        <v>16/11/2025</v>
      </c>
      <c r="L11378">
        <v>20</v>
      </c>
      <c r="M11378">
        <v>20</v>
      </c>
      <c r="N11378">
        <v>134</v>
      </c>
      <c r="O11378" t="str">
        <f>"DIARIA DE MOTOBOY"</f>
        <v>DIARIA DE MOTOBOY</v>
      </c>
      <c r="P11378">
        <v>20</v>
      </c>
      <c r="S11378" t="str">
        <f>"BANCO CORA (102)"</f>
        <v>BANCO CORA (102)</v>
      </c>
      <c r="T11378">
        <v>21226</v>
      </c>
      <c r="U11378">
        <v>25782</v>
      </c>
      <c r="V11378" t="s">
        <v>22</v>
      </c>
    </row>
    <row r="11379" spans="1:22">
      <c r="A11379" t="str">
        <f>("16/11/2025")</f>
        <v>16/11/2025</v>
      </c>
      <c r="B11379" t="str">
        <f t="shared" si="2177"/>
        <v>SAÍDA</v>
      </c>
      <c r="C11379" t="str">
        <f t="shared" si="2178"/>
        <v>PIX</v>
      </c>
      <c r="D11379" t="str">
        <f>"25567"</f>
        <v>25567</v>
      </c>
      <c r="E11379" t="str">
        <f t="shared" si="2180"/>
        <v>1</v>
      </c>
      <c r="F11379" t="str">
        <f t="shared" si="2170"/>
        <v>COM</v>
      </c>
      <c r="G11379" t="str">
        <f>"WESLEY JESUS SANTOS (1020)"</f>
        <v>WESLEY JESUS SANTOS (1020)</v>
      </c>
      <c r="H11379" t="s">
        <v>3064</v>
      </c>
      <c r="I11379" t="str">
        <f>("18/11/2025")</f>
        <v>18/11/2025</v>
      </c>
      <c r="J11379" t="str">
        <f>("17/11/2025")</f>
        <v>17/11/2025</v>
      </c>
      <c r="K11379">
        <v>45977</v>
      </c>
      <c r="N11379">
        <v>134</v>
      </c>
      <c r="O11379" t="s">
        <v>41</v>
      </c>
      <c r="Q11379">
        <v>10</v>
      </c>
      <c r="R11379" t="str">
        <f>"PENSE FARMA 09 (10218)"</f>
        <v>PENSE FARMA 09 (10218)</v>
      </c>
      <c r="S11379" t="s">
        <v>22</v>
      </c>
      <c r="T11379">
        <v>21226</v>
      </c>
      <c r="U11379">
        <v>25782</v>
      </c>
      <c r="V11379" t="s">
        <v>22</v>
      </c>
    </row>
    <row r="11380" spans="1:22">
      <c r="A11380" t="str">
        <f>("16/11/2025")</f>
        <v>16/11/2025</v>
      </c>
      <c r="B11380" t="str">
        <f t="shared" si="2177"/>
        <v>SAÍDA</v>
      </c>
      <c r="C11380" t="str">
        <f t="shared" si="2178"/>
        <v>PIX</v>
      </c>
      <c r="D11380" t="str">
        <f>"25567"</f>
        <v>25567</v>
      </c>
      <c r="E11380" t="str">
        <f t="shared" si="2180"/>
        <v>1</v>
      </c>
      <c r="F11380" t="str">
        <f t="shared" si="2170"/>
        <v>COM</v>
      </c>
      <c r="G11380" t="str">
        <f>"WESLEY JESUS SANTOS (1020)"</f>
        <v>WESLEY JESUS SANTOS (1020)</v>
      </c>
      <c r="H11380" t="s">
        <v>3064</v>
      </c>
      <c r="I11380" t="str">
        <f>("18/11/2025")</f>
        <v>18/11/2025</v>
      </c>
      <c r="J11380" t="str">
        <f>("17/11/2025")</f>
        <v>17/11/2025</v>
      </c>
      <c r="K11380">
        <v>45977</v>
      </c>
      <c r="N11380">
        <v>134</v>
      </c>
      <c r="O11380" t="s">
        <v>41</v>
      </c>
      <c r="Q11380">
        <v>10</v>
      </c>
      <c r="R11380" t="str">
        <f>"PENSE FARMA 10 (10219)"</f>
        <v>PENSE FARMA 10 (10219)</v>
      </c>
      <c r="S11380" t="s">
        <v>22</v>
      </c>
      <c r="T11380">
        <v>21226</v>
      </c>
      <c r="U11380">
        <v>25782</v>
      </c>
      <c r="V11380" t="s">
        <v>22</v>
      </c>
    </row>
    <row r="11381" spans="1:22">
      <c r="A11381" t="str">
        <f t="shared" ref="A11381:A11426" si="2181">("17/11/2025")</f>
        <v>17/11/2025</v>
      </c>
      <c r="B11381" t="str">
        <f t="shared" si="2177"/>
        <v>SAÍDA</v>
      </c>
      <c r="C11381" t="str">
        <f t="shared" si="2178"/>
        <v>PIX</v>
      </c>
      <c r="D11381" t="str">
        <f t="shared" ref="D11381:D11400" si="2182">"1411"</f>
        <v>1411</v>
      </c>
      <c r="E11381" t="str">
        <f t="shared" ref="E11381:E11404" si="2183">"25"</f>
        <v>25</v>
      </c>
      <c r="F11381" t="str">
        <f t="shared" si="2170"/>
        <v>COM</v>
      </c>
      <c r="G11381" t="str">
        <f t="shared" ref="G11381:G11404" si="2184">"GILSON OLIVEIRA CAMPINHO JUNIOR (132)"</f>
        <v>GILSON OLIVEIRA CAMPINHO JUNIOR (132)</v>
      </c>
      <c r="H11381" t="str">
        <f>"PAGAMENTO LIDERANÇA REF. MES 10/2025 - PIX: CELULAR - CHAVE: (73) 988381077"</f>
        <v>PAGAMENTO LIDERANÇA REF. MES 10/2025 - PIX: CELULAR - CHAVE: (73) 988381077</v>
      </c>
      <c r="I11381" t="str">
        <f t="shared" ref="I11381:I11400" si="2185">("14/11/2025")</f>
        <v>14/11/2025</v>
      </c>
      <c r="J11381" t="str">
        <f t="shared" ref="J11381:J11400" si="2186">("31/10/2025")</f>
        <v>31/10/2025</v>
      </c>
      <c r="K11381" t="str">
        <f>("17/11/2025")</f>
        <v>17/11/2025</v>
      </c>
      <c r="L11381">
        <v>2586.02</v>
      </c>
      <c r="M11381">
        <v>2586.02</v>
      </c>
      <c r="N11381">
        <v>120</v>
      </c>
      <c r="O11381" t="str">
        <f>"PAGAMENTO COMISSAO LIDERES"</f>
        <v>PAGAMENTO COMISSAO LIDERES</v>
      </c>
      <c r="P11381">
        <v>2586.02</v>
      </c>
      <c r="S11381" t="str">
        <f>"CAIXA MOVIMENTAÇÃO OPERACIONAL (132)"</f>
        <v>CAIXA MOVIMENTAÇÃO OPERACIONAL (132)</v>
      </c>
      <c r="T11381">
        <v>21146</v>
      </c>
      <c r="U11381">
        <v>25513</v>
      </c>
      <c r="V11381" t="s">
        <v>48</v>
      </c>
    </row>
    <row r="11382" spans="1:22">
      <c r="A11382" t="str">
        <f t="shared" si="2181"/>
        <v>17/11/2025</v>
      </c>
      <c r="B11382" t="str">
        <f t="shared" si="2177"/>
        <v>SAÍDA</v>
      </c>
      <c r="C11382" t="str">
        <f t="shared" si="2178"/>
        <v>PIX</v>
      </c>
      <c r="D11382" t="str">
        <f t="shared" si="2182"/>
        <v>1411</v>
      </c>
      <c r="E11382" t="str">
        <f t="shared" si="2183"/>
        <v>25</v>
      </c>
      <c r="F11382" t="str">
        <f t="shared" si="2170"/>
        <v>COM</v>
      </c>
      <c r="G11382" t="str">
        <f t="shared" si="2184"/>
        <v>GILSON OLIVEIRA CAMPINHO JUNIOR (132)</v>
      </c>
      <c r="H11382" t="s">
        <v>3065</v>
      </c>
      <c r="I11382" t="str">
        <f t="shared" si="2185"/>
        <v>14/11/2025</v>
      </c>
      <c r="J11382" t="str">
        <f t="shared" si="2186"/>
        <v>31/10/2025</v>
      </c>
      <c r="K11382">
        <v>45978</v>
      </c>
      <c r="N11382">
        <v>120</v>
      </c>
      <c r="O11382" t="s">
        <v>306</v>
      </c>
      <c r="Q11382">
        <v>125.7</v>
      </c>
      <c r="R11382" t="str">
        <f>"FARMÁCIA INDIANA LJ 34 (10014)"</f>
        <v>FARMÁCIA INDIANA LJ 34 (10014)</v>
      </c>
      <c r="S11382" t="s">
        <v>48</v>
      </c>
      <c r="T11382">
        <v>21146</v>
      </c>
      <c r="U11382">
        <v>25513</v>
      </c>
      <c r="V11382" t="s">
        <v>48</v>
      </c>
    </row>
    <row r="11383" spans="1:22">
      <c r="A11383" t="str">
        <f t="shared" si="2181"/>
        <v>17/11/2025</v>
      </c>
      <c r="B11383" t="str">
        <f t="shared" si="2177"/>
        <v>SAÍDA</v>
      </c>
      <c r="C11383" t="str">
        <f t="shared" si="2178"/>
        <v>PIX</v>
      </c>
      <c r="D11383" t="str">
        <f t="shared" si="2182"/>
        <v>1411</v>
      </c>
      <c r="E11383" t="str">
        <f t="shared" si="2183"/>
        <v>25</v>
      </c>
      <c r="F11383" t="str">
        <f t="shared" si="2170"/>
        <v>COM</v>
      </c>
      <c r="G11383" t="str">
        <f t="shared" si="2184"/>
        <v>GILSON OLIVEIRA CAMPINHO JUNIOR (132)</v>
      </c>
      <c r="H11383" t="s">
        <v>3065</v>
      </c>
      <c r="I11383" t="str">
        <f t="shared" si="2185"/>
        <v>14/11/2025</v>
      </c>
      <c r="J11383" t="str">
        <f t="shared" si="2186"/>
        <v>31/10/2025</v>
      </c>
      <c r="K11383">
        <v>45978</v>
      </c>
      <c r="N11383">
        <v>120</v>
      </c>
      <c r="O11383" t="s">
        <v>306</v>
      </c>
      <c r="Q11383">
        <v>107.84</v>
      </c>
      <c r="R11383" t="str">
        <f>"FARMÁCIA INDIANA LJ 35 (10015)"</f>
        <v>FARMÁCIA INDIANA LJ 35 (10015)</v>
      </c>
      <c r="S11383" t="s">
        <v>48</v>
      </c>
      <c r="T11383">
        <v>21146</v>
      </c>
      <c r="U11383">
        <v>25513</v>
      </c>
      <c r="V11383" t="s">
        <v>48</v>
      </c>
    </row>
    <row r="11384" spans="1:22">
      <c r="A11384" t="str">
        <f t="shared" si="2181"/>
        <v>17/11/2025</v>
      </c>
      <c r="B11384" t="str">
        <f t="shared" ref="B11384:B11400" si="2187">"SAÍDA"</f>
        <v>SAÍDA</v>
      </c>
      <c r="C11384" t="str">
        <f t="shared" si="2178"/>
        <v>PIX</v>
      </c>
      <c r="D11384" t="str">
        <f t="shared" si="2182"/>
        <v>1411</v>
      </c>
      <c r="E11384" t="str">
        <f t="shared" si="2183"/>
        <v>25</v>
      </c>
      <c r="F11384" t="str">
        <f t="shared" si="2170"/>
        <v>COM</v>
      </c>
      <c r="G11384" t="str">
        <f t="shared" si="2184"/>
        <v>GILSON OLIVEIRA CAMPINHO JUNIOR (132)</v>
      </c>
      <c r="H11384" t="s">
        <v>3065</v>
      </c>
      <c r="I11384" t="str">
        <f t="shared" si="2185"/>
        <v>14/11/2025</v>
      </c>
      <c r="J11384" t="str">
        <f t="shared" si="2186"/>
        <v>31/10/2025</v>
      </c>
      <c r="K11384">
        <v>45978</v>
      </c>
      <c r="N11384">
        <v>120</v>
      </c>
      <c r="O11384" t="s">
        <v>306</v>
      </c>
      <c r="Q11384">
        <v>86.63</v>
      </c>
      <c r="R11384" t="str">
        <f>"FARMÁCIA INDIANA LJ 48 (10018)"</f>
        <v>FARMÁCIA INDIANA LJ 48 (10018)</v>
      </c>
      <c r="S11384" t="s">
        <v>48</v>
      </c>
      <c r="T11384">
        <v>21146</v>
      </c>
      <c r="U11384">
        <v>25513</v>
      </c>
      <c r="V11384" t="s">
        <v>48</v>
      </c>
    </row>
    <row r="11385" spans="1:22">
      <c r="A11385" t="str">
        <f t="shared" si="2181"/>
        <v>17/11/2025</v>
      </c>
      <c r="B11385" t="str">
        <f t="shared" si="2187"/>
        <v>SAÍDA</v>
      </c>
      <c r="C11385" t="str">
        <f t="shared" si="2178"/>
        <v>PIX</v>
      </c>
      <c r="D11385" t="str">
        <f t="shared" si="2182"/>
        <v>1411</v>
      </c>
      <c r="E11385" t="str">
        <f t="shared" si="2183"/>
        <v>25</v>
      </c>
      <c r="F11385" t="str">
        <f t="shared" si="2170"/>
        <v>COM</v>
      </c>
      <c r="G11385" t="str">
        <f t="shared" si="2184"/>
        <v>GILSON OLIVEIRA CAMPINHO JUNIOR (132)</v>
      </c>
      <c r="H11385" t="s">
        <v>3065</v>
      </c>
      <c r="I11385" t="str">
        <f t="shared" si="2185"/>
        <v>14/11/2025</v>
      </c>
      <c r="J11385" t="str">
        <f t="shared" si="2186"/>
        <v>31/10/2025</v>
      </c>
      <c r="K11385">
        <v>45978</v>
      </c>
      <c r="N11385">
        <v>120</v>
      </c>
      <c r="O11385" t="s">
        <v>306</v>
      </c>
      <c r="Q11385">
        <v>55.08</v>
      </c>
      <c r="R11385" t="str">
        <f>"FARMÁCIA INDIANA LJ 77 (10034)"</f>
        <v>FARMÁCIA INDIANA LJ 77 (10034)</v>
      </c>
      <c r="S11385" t="s">
        <v>48</v>
      </c>
      <c r="T11385">
        <v>21146</v>
      </c>
      <c r="U11385">
        <v>25513</v>
      </c>
      <c r="V11385" t="s">
        <v>48</v>
      </c>
    </row>
    <row r="11386" spans="1:22">
      <c r="A11386" t="str">
        <f t="shared" si="2181"/>
        <v>17/11/2025</v>
      </c>
      <c r="B11386" t="str">
        <f t="shared" si="2187"/>
        <v>SAÍDA</v>
      </c>
      <c r="C11386" t="str">
        <f t="shared" si="2178"/>
        <v>PIX</v>
      </c>
      <c r="D11386" t="str">
        <f t="shared" si="2182"/>
        <v>1411</v>
      </c>
      <c r="E11386" t="str">
        <f t="shared" si="2183"/>
        <v>25</v>
      </c>
      <c r="F11386" t="str">
        <f t="shared" si="2170"/>
        <v>COM</v>
      </c>
      <c r="G11386" t="str">
        <f t="shared" si="2184"/>
        <v>GILSON OLIVEIRA CAMPINHO JUNIOR (132)</v>
      </c>
      <c r="H11386" t="s">
        <v>3065</v>
      </c>
      <c r="I11386" t="str">
        <f t="shared" si="2185"/>
        <v>14/11/2025</v>
      </c>
      <c r="J11386" t="str">
        <f t="shared" si="2186"/>
        <v>31/10/2025</v>
      </c>
      <c r="K11386">
        <v>45978</v>
      </c>
      <c r="N11386">
        <v>120</v>
      </c>
      <c r="O11386" t="s">
        <v>306</v>
      </c>
      <c r="Q11386">
        <v>275.41000000000003</v>
      </c>
      <c r="R11386" t="str">
        <f>"FARMÁCIA INDIANA LJ 91 (10037)"</f>
        <v>FARMÁCIA INDIANA LJ 91 (10037)</v>
      </c>
      <c r="S11386" t="s">
        <v>48</v>
      </c>
      <c r="T11386">
        <v>21146</v>
      </c>
      <c r="U11386">
        <v>25513</v>
      </c>
      <c r="V11386" t="s">
        <v>48</v>
      </c>
    </row>
    <row r="11387" spans="1:22">
      <c r="A11387" t="str">
        <f t="shared" si="2181"/>
        <v>17/11/2025</v>
      </c>
      <c r="B11387" t="str">
        <f t="shared" si="2187"/>
        <v>SAÍDA</v>
      </c>
      <c r="C11387" t="str">
        <f t="shared" si="2178"/>
        <v>PIX</v>
      </c>
      <c r="D11387" t="str">
        <f t="shared" si="2182"/>
        <v>1411</v>
      </c>
      <c r="E11387" t="str">
        <f t="shared" si="2183"/>
        <v>25</v>
      </c>
      <c r="F11387" t="str">
        <f t="shared" si="2170"/>
        <v>COM</v>
      </c>
      <c r="G11387" t="str">
        <f t="shared" si="2184"/>
        <v>GILSON OLIVEIRA CAMPINHO JUNIOR (132)</v>
      </c>
      <c r="H11387" t="s">
        <v>3065</v>
      </c>
      <c r="I11387" t="str">
        <f t="shared" si="2185"/>
        <v>14/11/2025</v>
      </c>
      <c r="J11387" t="str">
        <f t="shared" si="2186"/>
        <v>31/10/2025</v>
      </c>
      <c r="K11387">
        <v>45978</v>
      </c>
      <c r="N11387">
        <v>120</v>
      </c>
      <c r="O11387" t="s">
        <v>306</v>
      </c>
      <c r="Q11387">
        <v>137.06</v>
      </c>
      <c r="R11387" t="str">
        <f>"FARMÁCIA INDIANA LJ 95 (10039)"</f>
        <v>FARMÁCIA INDIANA LJ 95 (10039)</v>
      </c>
      <c r="S11387" t="s">
        <v>48</v>
      </c>
      <c r="T11387">
        <v>21146</v>
      </c>
      <c r="U11387">
        <v>25513</v>
      </c>
      <c r="V11387" t="s">
        <v>48</v>
      </c>
    </row>
    <row r="11388" spans="1:22">
      <c r="A11388" t="str">
        <f t="shared" si="2181"/>
        <v>17/11/2025</v>
      </c>
      <c r="B11388" t="str">
        <f t="shared" si="2187"/>
        <v>SAÍDA</v>
      </c>
      <c r="C11388" t="str">
        <f t="shared" si="2178"/>
        <v>PIX</v>
      </c>
      <c r="D11388" t="str">
        <f t="shared" si="2182"/>
        <v>1411</v>
      </c>
      <c r="E11388" t="str">
        <f t="shared" si="2183"/>
        <v>25</v>
      </c>
      <c r="F11388" t="str">
        <f t="shared" si="2170"/>
        <v>COM</v>
      </c>
      <c r="G11388" t="str">
        <f t="shared" si="2184"/>
        <v>GILSON OLIVEIRA CAMPINHO JUNIOR (132)</v>
      </c>
      <c r="H11388" t="s">
        <v>3065</v>
      </c>
      <c r="I11388" t="str">
        <f t="shared" si="2185"/>
        <v>14/11/2025</v>
      </c>
      <c r="J11388" t="str">
        <f t="shared" si="2186"/>
        <v>31/10/2025</v>
      </c>
      <c r="K11388">
        <v>45978</v>
      </c>
      <c r="N11388">
        <v>120</v>
      </c>
      <c r="O11388" t="s">
        <v>306</v>
      </c>
      <c r="Q11388">
        <v>120.25</v>
      </c>
      <c r="R11388" t="str">
        <f>"FARMÁCIA INDIANA LJ 145 (10068)"</f>
        <v>FARMÁCIA INDIANA LJ 145 (10068)</v>
      </c>
      <c r="S11388" t="s">
        <v>48</v>
      </c>
      <c r="T11388">
        <v>21146</v>
      </c>
      <c r="U11388">
        <v>25513</v>
      </c>
      <c r="V11388" t="s">
        <v>48</v>
      </c>
    </row>
    <row r="11389" spans="1:22">
      <c r="A11389" t="str">
        <f t="shared" si="2181"/>
        <v>17/11/2025</v>
      </c>
      <c r="B11389" t="str">
        <f t="shared" si="2187"/>
        <v>SAÍDA</v>
      </c>
      <c r="C11389" t="str">
        <f t="shared" si="2178"/>
        <v>PIX</v>
      </c>
      <c r="D11389" t="str">
        <f t="shared" si="2182"/>
        <v>1411</v>
      </c>
      <c r="E11389" t="str">
        <f t="shared" si="2183"/>
        <v>25</v>
      </c>
      <c r="F11389" t="str">
        <f t="shared" si="2170"/>
        <v>COM</v>
      </c>
      <c r="G11389" t="str">
        <f t="shared" si="2184"/>
        <v>GILSON OLIVEIRA CAMPINHO JUNIOR (132)</v>
      </c>
      <c r="H11389" t="s">
        <v>3065</v>
      </c>
      <c r="I11389" t="str">
        <f t="shared" si="2185"/>
        <v>14/11/2025</v>
      </c>
      <c r="J11389" t="str">
        <f t="shared" si="2186"/>
        <v>31/10/2025</v>
      </c>
      <c r="K11389">
        <v>45978</v>
      </c>
      <c r="N11389">
        <v>120</v>
      </c>
      <c r="O11389" t="s">
        <v>306</v>
      </c>
      <c r="Q11389">
        <v>86.63</v>
      </c>
      <c r="R11389" t="str">
        <f>"FARMÁCIA INDIANA LJ 169 (10073)"</f>
        <v>FARMÁCIA INDIANA LJ 169 (10073)</v>
      </c>
      <c r="S11389" t="s">
        <v>48</v>
      </c>
      <c r="T11389">
        <v>21146</v>
      </c>
      <c r="U11389">
        <v>25513</v>
      </c>
      <c r="V11389" t="s">
        <v>48</v>
      </c>
    </row>
    <row r="11390" spans="1:22">
      <c r="A11390" t="str">
        <f t="shared" si="2181"/>
        <v>17/11/2025</v>
      </c>
      <c r="B11390" t="str">
        <f t="shared" si="2187"/>
        <v>SAÍDA</v>
      </c>
      <c r="C11390" t="str">
        <f t="shared" si="2178"/>
        <v>PIX</v>
      </c>
      <c r="D11390" t="str">
        <f t="shared" si="2182"/>
        <v>1411</v>
      </c>
      <c r="E11390" t="str">
        <f t="shared" si="2183"/>
        <v>25</v>
      </c>
      <c r="F11390" t="str">
        <f t="shared" si="2170"/>
        <v>COM</v>
      </c>
      <c r="G11390" t="str">
        <f t="shared" si="2184"/>
        <v>GILSON OLIVEIRA CAMPINHO JUNIOR (132)</v>
      </c>
      <c r="H11390" t="s">
        <v>3065</v>
      </c>
      <c r="I11390" t="str">
        <f t="shared" si="2185"/>
        <v>14/11/2025</v>
      </c>
      <c r="J11390" t="str">
        <f t="shared" si="2186"/>
        <v>31/10/2025</v>
      </c>
      <c r="K11390">
        <v>45978</v>
      </c>
      <c r="N11390">
        <v>120</v>
      </c>
      <c r="O11390" t="s">
        <v>306</v>
      </c>
      <c r="Q11390">
        <v>317.56</v>
      </c>
      <c r="R11390" t="str">
        <f>"DELTA LOJA 2 (10123)"</f>
        <v>DELTA LOJA 2 (10123)</v>
      </c>
      <c r="S11390" t="s">
        <v>48</v>
      </c>
      <c r="T11390">
        <v>21146</v>
      </c>
      <c r="U11390">
        <v>25513</v>
      </c>
      <c r="V11390" t="s">
        <v>48</v>
      </c>
    </row>
    <row r="11391" spans="1:22">
      <c r="A11391" t="str">
        <f t="shared" si="2181"/>
        <v>17/11/2025</v>
      </c>
      <c r="B11391" t="str">
        <f t="shared" si="2187"/>
        <v>SAÍDA</v>
      </c>
      <c r="C11391" t="str">
        <f t="shared" si="2178"/>
        <v>PIX</v>
      </c>
      <c r="D11391" t="str">
        <f t="shared" si="2182"/>
        <v>1411</v>
      </c>
      <c r="E11391" t="str">
        <f t="shared" si="2183"/>
        <v>25</v>
      </c>
      <c r="F11391" t="str">
        <f t="shared" si="2170"/>
        <v>COM</v>
      </c>
      <c r="G11391" t="str">
        <f t="shared" si="2184"/>
        <v>GILSON OLIVEIRA CAMPINHO JUNIOR (132)</v>
      </c>
      <c r="H11391" t="s">
        <v>3065</v>
      </c>
      <c r="I11391" t="str">
        <f t="shared" si="2185"/>
        <v>14/11/2025</v>
      </c>
      <c r="J11391" t="str">
        <f t="shared" si="2186"/>
        <v>31/10/2025</v>
      </c>
      <c r="K11391">
        <v>45978</v>
      </c>
      <c r="N11391">
        <v>120</v>
      </c>
      <c r="O11391" t="s">
        <v>306</v>
      </c>
      <c r="Q11391">
        <v>160.33000000000001</v>
      </c>
      <c r="R11391" t="str">
        <f>"JAL FARMACIA E DROGARIA LJ 1 (10137)"</f>
        <v>JAL FARMACIA E DROGARIA LJ 1 (10137)</v>
      </c>
      <c r="S11391" t="s">
        <v>48</v>
      </c>
      <c r="T11391">
        <v>21146</v>
      </c>
      <c r="U11391">
        <v>25513</v>
      </c>
      <c r="V11391" t="s">
        <v>48</v>
      </c>
    </row>
    <row r="11392" spans="1:22">
      <c r="A11392" t="str">
        <f t="shared" si="2181"/>
        <v>17/11/2025</v>
      </c>
      <c r="B11392" t="str">
        <f t="shared" si="2187"/>
        <v>SAÍDA</v>
      </c>
      <c r="C11392" t="str">
        <f t="shared" si="2178"/>
        <v>PIX</v>
      </c>
      <c r="D11392" t="str">
        <f t="shared" si="2182"/>
        <v>1411</v>
      </c>
      <c r="E11392" t="str">
        <f t="shared" si="2183"/>
        <v>25</v>
      </c>
      <c r="F11392" t="str">
        <f t="shared" si="2170"/>
        <v>COM</v>
      </c>
      <c r="G11392" t="str">
        <f t="shared" si="2184"/>
        <v>GILSON OLIVEIRA CAMPINHO JUNIOR (132)</v>
      </c>
      <c r="H11392" t="s">
        <v>3065</v>
      </c>
      <c r="I11392" t="str">
        <f t="shared" si="2185"/>
        <v>14/11/2025</v>
      </c>
      <c r="J11392" t="str">
        <f t="shared" si="2186"/>
        <v>31/10/2025</v>
      </c>
      <c r="K11392">
        <v>45978</v>
      </c>
      <c r="N11392">
        <v>120</v>
      </c>
      <c r="O11392" t="s">
        <v>306</v>
      </c>
      <c r="Q11392">
        <v>160.33000000000001</v>
      </c>
      <c r="R11392" t="str">
        <f>"JAL FARMACIA E DROGARIA LJ 2 (10138)"</f>
        <v>JAL FARMACIA E DROGARIA LJ 2 (10138)</v>
      </c>
      <c r="S11392" t="s">
        <v>48</v>
      </c>
      <c r="T11392">
        <v>21146</v>
      </c>
      <c r="U11392">
        <v>25513</v>
      </c>
      <c r="V11392" t="s">
        <v>48</v>
      </c>
    </row>
    <row r="11393" spans="1:22">
      <c r="A11393" t="str">
        <f t="shared" si="2181"/>
        <v>17/11/2025</v>
      </c>
      <c r="B11393" t="str">
        <f t="shared" si="2187"/>
        <v>SAÍDA</v>
      </c>
      <c r="C11393" t="str">
        <f t="shared" si="2178"/>
        <v>PIX</v>
      </c>
      <c r="D11393" t="str">
        <f t="shared" si="2182"/>
        <v>1411</v>
      </c>
      <c r="E11393" t="str">
        <f t="shared" si="2183"/>
        <v>25</v>
      </c>
      <c r="F11393" t="str">
        <f t="shared" si="2170"/>
        <v>COM</v>
      </c>
      <c r="G11393" t="str">
        <f t="shared" si="2184"/>
        <v>GILSON OLIVEIRA CAMPINHO JUNIOR (132)</v>
      </c>
      <c r="H11393" t="s">
        <v>3065</v>
      </c>
      <c r="I11393" t="str">
        <f t="shared" si="2185"/>
        <v>14/11/2025</v>
      </c>
      <c r="J11393" t="str">
        <f t="shared" si="2186"/>
        <v>31/10/2025</v>
      </c>
      <c r="K11393">
        <v>45978</v>
      </c>
      <c r="N11393">
        <v>120</v>
      </c>
      <c r="O11393" t="s">
        <v>306</v>
      </c>
      <c r="Q11393">
        <v>87.15</v>
      </c>
      <c r="R11393" t="str">
        <f>"FARMÁCIA INDIANA LJ 200 (10155)"</f>
        <v>FARMÁCIA INDIANA LJ 200 (10155)</v>
      </c>
      <c r="S11393" t="s">
        <v>48</v>
      </c>
      <c r="T11393">
        <v>21146</v>
      </c>
      <c r="U11393">
        <v>25513</v>
      </c>
      <c r="V11393" t="s">
        <v>48</v>
      </c>
    </row>
    <row r="11394" spans="1:22">
      <c r="A11394" t="str">
        <f t="shared" si="2181"/>
        <v>17/11/2025</v>
      </c>
      <c r="B11394" t="str">
        <f t="shared" si="2187"/>
        <v>SAÍDA</v>
      </c>
      <c r="C11394" t="str">
        <f t="shared" si="2178"/>
        <v>PIX</v>
      </c>
      <c r="D11394" t="str">
        <f t="shared" si="2182"/>
        <v>1411</v>
      </c>
      <c r="E11394" t="str">
        <f t="shared" si="2183"/>
        <v>25</v>
      </c>
      <c r="F11394" t="str">
        <f t="shared" si="2170"/>
        <v>COM</v>
      </c>
      <c r="G11394" t="str">
        <f t="shared" si="2184"/>
        <v>GILSON OLIVEIRA CAMPINHO JUNIOR (132)</v>
      </c>
      <c r="H11394" t="s">
        <v>3065</v>
      </c>
      <c r="I11394" t="str">
        <f t="shared" si="2185"/>
        <v>14/11/2025</v>
      </c>
      <c r="J11394" t="str">
        <f t="shared" si="2186"/>
        <v>31/10/2025</v>
      </c>
      <c r="K11394">
        <v>45978</v>
      </c>
      <c r="N11394">
        <v>120</v>
      </c>
      <c r="O11394" t="s">
        <v>306</v>
      </c>
      <c r="Q11394">
        <v>73.7</v>
      </c>
      <c r="R11394" t="str">
        <f>"AC FARMA -  FLEMINFARMA (10159)"</f>
        <v>AC FARMA -  FLEMINFARMA (10159)</v>
      </c>
      <c r="S11394" t="s">
        <v>48</v>
      </c>
      <c r="T11394">
        <v>21146</v>
      </c>
      <c r="U11394">
        <v>25513</v>
      </c>
      <c r="V11394" t="s">
        <v>48</v>
      </c>
    </row>
    <row r="11395" spans="1:22">
      <c r="A11395" t="str">
        <f t="shared" si="2181"/>
        <v>17/11/2025</v>
      </c>
      <c r="B11395" t="str">
        <f t="shared" si="2187"/>
        <v>SAÍDA</v>
      </c>
      <c r="C11395" t="str">
        <f t="shared" si="2178"/>
        <v>PIX</v>
      </c>
      <c r="D11395" t="str">
        <f t="shared" si="2182"/>
        <v>1411</v>
      </c>
      <c r="E11395" t="str">
        <f t="shared" si="2183"/>
        <v>25</v>
      </c>
      <c r="F11395" t="str">
        <f t="shared" si="2170"/>
        <v>COM</v>
      </c>
      <c r="G11395" t="str">
        <f t="shared" si="2184"/>
        <v>GILSON OLIVEIRA CAMPINHO JUNIOR (132)</v>
      </c>
      <c r="H11395" t="s">
        <v>3065</v>
      </c>
      <c r="I11395" t="str">
        <f t="shared" si="2185"/>
        <v>14/11/2025</v>
      </c>
      <c r="J11395" t="str">
        <f t="shared" si="2186"/>
        <v>31/10/2025</v>
      </c>
      <c r="K11395">
        <v>45978</v>
      </c>
      <c r="N11395">
        <v>120</v>
      </c>
      <c r="O11395" t="s">
        <v>306</v>
      </c>
      <c r="Q11395">
        <v>447.12</v>
      </c>
      <c r="R11395" t="str">
        <f>"AC FARMA - CID.ALTA (10166)"</f>
        <v>AC FARMA - CID.ALTA (10166)</v>
      </c>
      <c r="S11395" t="s">
        <v>48</v>
      </c>
      <c r="T11395">
        <v>21146</v>
      </c>
      <c r="U11395">
        <v>25513</v>
      </c>
      <c r="V11395" t="s">
        <v>48</v>
      </c>
    </row>
    <row r="11396" spans="1:22">
      <c r="A11396" t="str">
        <f t="shared" si="2181"/>
        <v>17/11/2025</v>
      </c>
      <c r="B11396" t="str">
        <f t="shared" si="2187"/>
        <v>SAÍDA</v>
      </c>
      <c r="C11396" t="str">
        <f t="shared" si="2178"/>
        <v>PIX</v>
      </c>
      <c r="D11396" t="str">
        <f t="shared" si="2182"/>
        <v>1411</v>
      </c>
      <c r="E11396" t="str">
        <f t="shared" si="2183"/>
        <v>25</v>
      </c>
      <c r="F11396" t="str">
        <f t="shared" si="2170"/>
        <v>COM</v>
      </c>
      <c r="G11396" t="str">
        <f t="shared" si="2184"/>
        <v>GILSON OLIVEIRA CAMPINHO JUNIOR (132)</v>
      </c>
      <c r="H11396" t="s">
        <v>3065</v>
      </c>
      <c r="I11396" t="str">
        <f t="shared" si="2185"/>
        <v>14/11/2025</v>
      </c>
      <c r="J11396" t="str">
        <f t="shared" si="2186"/>
        <v>31/10/2025</v>
      </c>
      <c r="K11396">
        <v>45978</v>
      </c>
      <c r="N11396">
        <v>120</v>
      </c>
      <c r="O11396" t="s">
        <v>306</v>
      </c>
      <c r="Q11396">
        <v>79.91</v>
      </c>
      <c r="R11396" t="str">
        <f>"DROGARIA AGAPEAMA (10167)"</f>
        <v>DROGARIA AGAPEAMA (10167)</v>
      </c>
      <c r="S11396" t="s">
        <v>48</v>
      </c>
      <c r="T11396">
        <v>21146</v>
      </c>
      <c r="U11396">
        <v>25513</v>
      </c>
      <c r="V11396" t="s">
        <v>48</v>
      </c>
    </row>
    <row r="11397" spans="1:22">
      <c r="A11397" t="str">
        <f t="shared" si="2181"/>
        <v>17/11/2025</v>
      </c>
      <c r="B11397" t="str">
        <f t="shared" si="2187"/>
        <v>SAÍDA</v>
      </c>
      <c r="C11397" t="str">
        <f t="shared" si="2178"/>
        <v>PIX</v>
      </c>
      <c r="D11397" t="str">
        <f t="shared" si="2182"/>
        <v>1411</v>
      </c>
      <c r="E11397" t="str">
        <f t="shared" si="2183"/>
        <v>25</v>
      </c>
      <c r="F11397" t="str">
        <f t="shared" si="2170"/>
        <v>COM</v>
      </c>
      <c r="G11397" t="str">
        <f t="shared" si="2184"/>
        <v>GILSON OLIVEIRA CAMPINHO JUNIOR (132)</v>
      </c>
      <c r="H11397" t="s">
        <v>3065</v>
      </c>
      <c r="I11397" t="str">
        <f t="shared" si="2185"/>
        <v>14/11/2025</v>
      </c>
      <c r="J11397" t="str">
        <f t="shared" si="2186"/>
        <v>31/10/2025</v>
      </c>
      <c r="K11397">
        <v>45978</v>
      </c>
      <c r="N11397">
        <v>120</v>
      </c>
      <c r="O11397" t="s">
        <v>306</v>
      </c>
      <c r="Q11397">
        <v>83.27</v>
      </c>
      <c r="R11397" t="str">
        <f>"DROGARIA MORENO LTDA (10171)"</f>
        <v>DROGARIA MORENO LTDA (10171)</v>
      </c>
      <c r="S11397" t="s">
        <v>48</v>
      </c>
      <c r="T11397">
        <v>21146</v>
      </c>
      <c r="U11397">
        <v>25513</v>
      </c>
      <c r="V11397" t="s">
        <v>48</v>
      </c>
    </row>
    <row r="11398" spans="1:22">
      <c r="A11398" t="str">
        <f t="shared" si="2181"/>
        <v>17/11/2025</v>
      </c>
      <c r="B11398" t="str">
        <f t="shared" si="2187"/>
        <v>SAÍDA</v>
      </c>
      <c r="C11398" t="str">
        <f t="shared" si="2178"/>
        <v>PIX</v>
      </c>
      <c r="D11398" t="str">
        <f t="shared" si="2182"/>
        <v>1411</v>
      </c>
      <c r="E11398" t="str">
        <f t="shared" si="2183"/>
        <v>25</v>
      </c>
      <c r="F11398" t="str">
        <f t="shared" si="2170"/>
        <v>COM</v>
      </c>
      <c r="G11398" t="str">
        <f t="shared" si="2184"/>
        <v>GILSON OLIVEIRA CAMPINHO JUNIOR (132)</v>
      </c>
      <c r="H11398" t="s">
        <v>3065</v>
      </c>
      <c r="I11398" t="str">
        <f t="shared" si="2185"/>
        <v>14/11/2025</v>
      </c>
      <c r="J11398" t="str">
        <f t="shared" si="2186"/>
        <v>31/10/2025</v>
      </c>
      <c r="K11398">
        <v>45978</v>
      </c>
      <c r="N11398">
        <v>120</v>
      </c>
      <c r="O11398" t="s">
        <v>306</v>
      </c>
      <c r="Q11398">
        <v>28.7</v>
      </c>
      <c r="R11398" t="str">
        <f>"DROGARIA MEDIC CENTER LTDA (10172)"</f>
        <v>DROGARIA MEDIC CENTER LTDA (10172)</v>
      </c>
      <c r="S11398" t="s">
        <v>48</v>
      </c>
      <c r="T11398">
        <v>21146</v>
      </c>
      <c r="U11398">
        <v>25513</v>
      </c>
      <c r="V11398" t="s">
        <v>48</v>
      </c>
    </row>
    <row r="11399" spans="1:22">
      <c r="A11399" t="str">
        <f t="shared" si="2181"/>
        <v>17/11/2025</v>
      </c>
      <c r="B11399" t="str">
        <f t="shared" si="2187"/>
        <v>SAÍDA</v>
      </c>
      <c r="C11399" t="str">
        <f t="shared" si="2178"/>
        <v>PIX</v>
      </c>
      <c r="D11399" t="str">
        <f t="shared" si="2182"/>
        <v>1411</v>
      </c>
      <c r="E11399" t="str">
        <f t="shared" si="2183"/>
        <v>25</v>
      </c>
      <c r="F11399" t="str">
        <f t="shared" si="2170"/>
        <v>COM</v>
      </c>
      <c r="G11399" t="str">
        <f t="shared" si="2184"/>
        <v>GILSON OLIVEIRA CAMPINHO JUNIOR (132)</v>
      </c>
      <c r="H11399" t="s">
        <v>3065</v>
      </c>
      <c r="I11399" t="str">
        <f t="shared" si="2185"/>
        <v>14/11/2025</v>
      </c>
      <c r="J11399" t="str">
        <f t="shared" si="2186"/>
        <v>31/10/2025</v>
      </c>
      <c r="K11399">
        <v>45978</v>
      </c>
      <c r="N11399">
        <v>120</v>
      </c>
      <c r="O11399" t="s">
        <v>306</v>
      </c>
      <c r="Q11399">
        <v>73.7</v>
      </c>
      <c r="R11399" t="str">
        <f>"AC FARMA - FLEMINFARMA 5 (10183)"</f>
        <v>AC FARMA - FLEMINFARMA 5 (10183)</v>
      </c>
      <c r="S11399" t="s">
        <v>48</v>
      </c>
      <c r="T11399">
        <v>21146</v>
      </c>
      <c r="U11399">
        <v>25513</v>
      </c>
      <c r="V11399" t="s">
        <v>48</v>
      </c>
    </row>
    <row r="11400" spans="1:22">
      <c r="A11400" t="str">
        <f t="shared" si="2181"/>
        <v>17/11/2025</v>
      </c>
      <c r="B11400" t="str">
        <f t="shared" si="2187"/>
        <v>SAÍDA</v>
      </c>
      <c r="C11400" t="str">
        <f t="shared" si="2178"/>
        <v>PIX</v>
      </c>
      <c r="D11400" t="str">
        <f t="shared" si="2182"/>
        <v>1411</v>
      </c>
      <c r="E11400" t="str">
        <f t="shared" si="2183"/>
        <v>25</v>
      </c>
      <c r="F11400" t="str">
        <f t="shared" si="2170"/>
        <v>COM</v>
      </c>
      <c r="G11400" t="str">
        <f t="shared" si="2184"/>
        <v>GILSON OLIVEIRA CAMPINHO JUNIOR (132)</v>
      </c>
      <c r="H11400" t="s">
        <v>3065</v>
      </c>
      <c r="I11400" t="str">
        <f t="shared" si="2185"/>
        <v>14/11/2025</v>
      </c>
      <c r="J11400" t="str">
        <f t="shared" si="2186"/>
        <v>31/10/2025</v>
      </c>
      <c r="K11400">
        <v>45978</v>
      </c>
      <c r="N11400">
        <v>120</v>
      </c>
      <c r="O11400" t="s">
        <v>306</v>
      </c>
      <c r="Q11400">
        <v>79.650000000000006</v>
      </c>
      <c r="R11400" t="str">
        <f>"FARMÁCIA INDIANA LJ 33 (10187)"</f>
        <v>FARMÁCIA INDIANA LJ 33 (10187)</v>
      </c>
      <c r="S11400" t="s">
        <v>48</v>
      </c>
      <c r="T11400">
        <v>21146</v>
      </c>
      <c r="U11400">
        <v>25513</v>
      </c>
      <c r="V11400" t="s">
        <v>48</v>
      </c>
    </row>
    <row r="11401" spans="1:22">
      <c r="A11401" t="str">
        <f t="shared" si="2181"/>
        <v>17/11/2025</v>
      </c>
      <c r="B11401" t="str">
        <f>"ENTRADA"</f>
        <v>ENTRADA</v>
      </c>
      <c r="C11401" t="str">
        <f>"DINHEIRO"</f>
        <v>DINHEIRO</v>
      </c>
      <c r="D11401" t="str">
        <f>"1511"</f>
        <v>1511</v>
      </c>
      <c r="E11401" t="str">
        <f t="shared" si="2183"/>
        <v>25</v>
      </c>
      <c r="F11401" t="str">
        <f t="shared" ref="F11401:F11464" si="2188">"COM"</f>
        <v>COM</v>
      </c>
      <c r="G11401" t="str">
        <f t="shared" si="2184"/>
        <v>GILSON OLIVEIRA CAMPINHO JUNIOR (132)</v>
      </c>
      <c r="H11401" t="str">
        <f>"REEMBOLSO ADIANTAMENTO "</f>
        <v xml:space="preserve">REEMBOLSO ADIANTAMENTO </v>
      </c>
      <c r="I11401" t="str">
        <f>("15/11/2025")</f>
        <v>15/11/2025</v>
      </c>
      <c r="J11401" t="str">
        <f>("12/08/2025")</f>
        <v>12/08/2025</v>
      </c>
      <c r="K11401" t="str">
        <f>("17/11/2025")</f>
        <v>17/11/2025</v>
      </c>
      <c r="L11401">
        <v>1950.66</v>
      </c>
      <c r="M11401">
        <v>1950.66</v>
      </c>
      <c r="N11401">
        <v>129</v>
      </c>
      <c r="O11401" t="str">
        <f>"ENTRADA DE REEMBOLSO ADIANTAMENTO"</f>
        <v>ENTRADA DE REEMBOLSO ADIANTAMENTO</v>
      </c>
      <c r="P11401">
        <v>1950.66</v>
      </c>
      <c r="S11401" t="str">
        <f>"ENTRADA DE REEMBOLSO ADIANTAMENTO (129)"</f>
        <v>ENTRADA DE REEMBOLSO ADIANTAMENTO (129)</v>
      </c>
      <c r="T11401">
        <v>21147</v>
      </c>
      <c r="U11401">
        <v>20339</v>
      </c>
      <c r="V11401" t="s">
        <v>48</v>
      </c>
    </row>
    <row r="11402" spans="1:22">
      <c r="A11402" t="str">
        <f t="shared" si="2181"/>
        <v>17/11/2025</v>
      </c>
      <c r="B11402" t="str">
        <f>"ENTRADA"</f>
        <v>ENTRADA</v>
      </c>
      <c r="C11402" t="str">
        <f>"DINHEIRO"</f>
        <v>DINHEIRO</v>
      </c>
      <c r="D11402" t="str">
        <f>"1511"</f>
        <v>1511</v>
      </c>
      <c r="E11402" t="str">
        <f t="shared" si="2183"/>
        <v>25</v>
      </c>
      <c r="F11402" t="str">
        <f t="shared" si="2188"/>
        <v>COM</v>
      </c>
      <c r="G11402" t="str">
        <f t="shared" si="2184"/>
        <v>GILSON OLIVEIRA CAMPINHO JUNIOR (132)</v>
      </c>
      <c r="H11402" t="s">
        <v>559</v>
      </c>
      <c r="I11402" t="str">
        <f>("15/11/2025")</f>
        <v>15/11/2025</v>
      </c>
      <c r="J11402" t="str">
        <f>("12/08/2025")</f>
        <v>12/08/2025</v>
      </c>
      <c r="K11402">
        <v>45978</v>
      </c>
      <c r="N11402">
        <v>129</v>
      </c>
      <c r="O11402" t="s">
        <v>58</v>
      </c>
      <c r="Q11402">
        <v>1950.66</v>
      </c>
      <c r="R11402" t="str">
        <f>"GILSON OLIVEIRA CAMPINHO JUNIOR (132)"</f>
        <v>GILSON OLIVEIRA CAMPINHO JUNIOR (132)</v>
      </c>
      <c r="S11402" t="s">
        <v>59</v>
      </c>
      <c r="T11402">
        <v>21147</v>
      </c>
      <c r="U11402">
        <v>20339</v>
      </c>
      <c r="V11402" t="s">
        <v>48</v>
      </c>
    </row>
    <row r="11403" spans="1:22">
      <c r="A11403" t="str">
        <f t="shared" si="2181"/>
        <v>17/11/2025</v>
      </c>
      <c r="B11403" t="str">
        <f>"ENTRADA"</f>
        <v>ENTRADA</v>
      </c>
      <c r="C11403" t="str">
        <f>"DINHEIRO"</f>
        <v>DINHEIRO</v>
      </c>
      <c r="D11403" t="str">
        <f>"1512"</f>
        <v>1512</v>
      </c>
      <c r="E11403" t="str">
        <f t="shared" si="2183"/>
        <v>25</v>
      </c>
      <c r="F11403" t="str">
        <f t="shared" si="2188"/>
        <v>COM</v>
      </c>
      <c r="G11403" t="str">
        <f t="shared" si="2184"/>
        <v>GILSON OLIVEIRA CAMPINHO JUNIOR (132)</v>
      </c>
      <c r="H11403" t="str">
        <f>"REEMBOLSO ADIANTAMENTO"</f>
        <v>REEMBOLSO ADIANTAMENTO</v>
      </c>
      <c r="I11403" t="str">
        <f>("15/12/2025")</f>
        <v>15/12/2025</v>
      </c>
      <c r="J11403" t="str">
        <f>("14/11/2025")</f>
        <v>14/11/2025</v>
      </c>
      <c r="K11403" t="str">
        <f>("17/11/2025")</f>
        <v>17/11/2025</v>
      </c>
      <c r="L11403">
        <v>635.36</v>
      </c>
      <c r="M11403">
        <v>635.36</v>
      </c>
      <c r="N11403">
        <v>129</v>
      </c>
      <c r="O11403" t="str">
        <f>"ENTRADA DE REEMBOLSO ADIANTAMENTO"</f>
        <v>ENTRADA DE REEMBOLSO ADIANTAMENTO</v>
      </c>
      <c r="P11403">
        <v>635.36</v>
      </c>
      <c r="S11403" t="str">
        <f>"ENTRADA DE REEMBOLSO ADIANTAMENTO (129)"</f>
        <v>ENTRADA DE REEMBOLSO ADIANTAMENTO (129)</v>
      </c>
      <c r="T11403">
        <v>21148</v>
      </c>
      <c r="U11403">
        <v>25514</v>
      </c>
      <c r="V11403" t="s">
        <v>48</v>
      </c>
    </row>
    <row r="11404" spans="1:22">
      <c r="A11404" t="str">
        <f t="shared" si="2181"/>
        <v>17/11/2025</v>
      </c>
      <c r="B11404" t="str">
        <f>"ENTRADA"</f>
        <v>ENTRADA</v>
      </c>
      <c r="C11404" t="str">
        <f>"DINHEIRO"</f>
        <v>DINHEIRO</v>
      </c>
      <c r="D11404" t="str">
        <f>"1512"</f>
        <v>1512</v>
      </c>
      <c r="E11404" t="str">
        <f t="shared" si="2183"/>
        <v>25</v>
      </c>
      <c r="F11404" t="str">
        <f t="shared" si="2188"/>
        <v>COM</v>
      </c>
      <c r="G11404" t="str">
        <f t="shared" si="2184"/>
        <v>GILSON OLIVEIRA CAMPINHO JUNIOR (132)</v>
      </c>
      <c r="H11404" t="s">
        <v>57</v>
      </c>
      <c r="I11404" t="str">
        <f>("15/12/2025")</f>
        <v>15/12/2025</v>
      </c>
      <c r="J11404" t="str">
        <f>("14/11/2025")</f>
        <v>14/11/2025</v>
      </c>
      <c r="K11404">
        <v>45978</v>
      </c>
      <c r="N11404">
        <v>129</v>
      </c>
      <c r="O11404" t="s">
        <v>58</v>
      </c>
      <c r="Q11404">
        <v>635.36</v>
      </c>
      <c r="R11404" t="str">
        <f>"GILSON OLIVEIRA CAMPINHO JUNIOR (132)"</f>
        <v>GILSON OLIVEIRA CAMPINHO JUNIOR (132)</v>
      </c>
      <c r="S11404" t="s">
        <v>59</v>
      </c>
      <c r="T11404">
        <v>21148</v>
      </c>
      <c r="U11404">
        <v>25514</v>
      </c>
      <c r="V11404" t="s">
        <v>48</v>
      </c>
    </row>
    <row r="11405" spans="1:22">
      <c r="A11405" t="str">
        <f t="shared" si="2181"/>
        <v>17/11/2025</v>
      </c>
      <c r="B11405" t="str">
        <f t="shared" ref="B11405:B11416" si="2189">"SAÍDA"</f>
        <v>SAÍDA</v>
      </c>
      <c r="C11405" t="str">
        <f t="shared" ref="C11405:C11416" si="2190">"PIX"</f>
        <v>PIX</v>
      </c>
      <c r="D11405" t="str">
        <f>"25582"</f>
        <v>25582</v>
      </c>
      <c r="E11405" t="str">
        <f t="shared" ref="E11405:E11418" si="2191">"1"</f>
        <v>1</v>
      </c>
      <c r="F11405" t="str">
        <f t="shared" si="2188"/>
        <v>COM</v>
      </c>
      <c r="G11405" t="str">
        <f>"SAMUEL SOARES DA SILVA (867)"</f>
        <v>SAMUEL SOARES DA SILVA (867)</v>
      </c>
      <c r="H11405" t="str">
        <f>"Serv.Prest. 10/11/2025 a 16/11/2025 - PIX: CPF - CHAVE: 396.124.108-28"</f>
        <v>Serv.Prest. 10/11/2025 a 16/11/2025 - PIX: CPF - CHAVE: 396.124.108-28</v>
      </c>
      <c r="I11405" t="str">
        <f>("20/11/2025")</f>
        <v>20/11/2025</v>
      </c>
      <c r="J11405" t="str">
        <f>("17/11/2025")</f>
        <v>17/11/2025</v>
      </c>
      <c r="K11405" t="str">
        <f>("17/11/2025")</f>
        <v>17/11/2025</v>
      </c>
      <c r="L11405">
        <v>100</v>
      </c>
      <c r="M11405">
        <v>100</v>
      </c>
      <c r="N11405">
        <v>109</v>
      </c>
      <c r="O11405" t="str">
        <f>"PAGAMENTO DE ENTREGADORES"</f>
        <v>PAGAMENTO DE ENTREGADORES</v>
      </c>
      <c r="P11405">
        <v>100</v>
      </c>
      <c r="S11405" t="str">
        <f>"BANCO CORA (102)"</f>
        <v>BANCO CORA (102)</v>
      </c>
      <c r="T11405">
        <v>21191</v>
      </c>
      <c r="U11405">
        <v>25583</v>
      </c>
      <c r="V11405" t="s">
        <v>22</v>
      </c>
    </row>
    <row r="11406" spans="1:22">
      <c r="A11406" t="str">
        <f t="shared" si="2181"/>
        <v>17/11/2025</v>
      </c>
      <c r="B11406" t="str">
        <f t="shared" si="2189"/>
        <v>SAÍDA</v>
      </c>
      <c r="C11406" t="str">
        <f t="shared" si="2190"/>
        <v>PIX</v>
      </c>
      <c r="D11406" t="str">
        <f>"25582"</f>
        <v>25582</v>
      </c>
      <c r="E11406" t="str">
        <f t="shared" si="2191"/>
        <v>1</v>
      </c>
      <c r="F11406" t="str">
        <f t="shared" si="2188"/>
        <v>COM</v>
      </c>
      <c r="G11406" t="str">
        <f>"SAMUEL SOARES DA SILVA (867)"</f>
        <v>SAMUEL SOARES DA SILVA (867)</v>
      </c>
      <c r="H11406" t="s">
        <v>3066</v>
      </c>
      <c r="I11406" t="str">
        <f>("20/11/2025")</f>
        <v>20/11/2025</v>
      </c>
      <c r="J11406" t="str">
        <f t="shared" ref="J11406:J11418" si="2192">("17/11/2025")</f>
        <v>17/11/2025</v>
      </c>
      <c r="K11406">
        <v>45978</v>
      </c>
      <c r="N11406">
        <v>109</v>
      </c>
      <c r="O11406" t="s">
        <v>24</v>
      </c>
      <c r="Q11406">
        <v>100</v>
      </c>
      <c r="R11406" t="str">
        <f>"DROGA ELIDA (10121)"</f>
        <v>DROGA ELIDA (10121)</v>
      </c>
      <c r="S11406" t="s">
        <v>22</v>
      </c>
      <c r="T11406">
        <v>21191</v>
      </c>
      <c r="U11406">
        <v>25583</v>
      </c>
      <c r="V11406" t="s">
        <v>22</v>
      </c>
    </row>
    <row r="11407" spans="1:22">
      <c r="A11407" t="str">
        <f t="shared" si="2181"/>
        <v>17/11/2025</v>
      </c>
      <c r="B11407" t="str">
        <f t="shared" si="2189"/>
        <v>SAÍDA</v>
      </c>
      <c r="C11407" t="str">
        <f t="shared" si="2190"/>
        <v>PIX</v>
      </c>
      <c r="D11407" t="str">
        <f>"25535"</f>
        <v>25535</v>
      </c>
      <c r="E11407" t="str">
        <f t="shared" si="2191"/>
        <v>1</v>
      </c>
      <c r="F11407" t="str">
        <f t="shared" si="2188"/>
        <v>COM</v>
      </c>
      <c r="G11407" t="str">
        <f>"DJONATAS PETERSON RODRIGUES ANDRADE (1088)"</f>
        <v>DJONATAS PETERSON RODRIGUES ANDRADE (1088)</v>
      </c>
      <c r="H11407" t="str">
        <f>"Serv.Prest. 10/11/2025 a 16/11/2025 - PIX: CELULAR - CHAVE: (11) 94878-2634"</f>
        <v>Serv.Prest. 10/11/2025 a 16/11/2025 - PIX: CELULAR - CHAVE: (11) 94878-2634</v>
      </c>
      <c r="I11407" t="str">
        <f t="shared" ref="I11407:I11416" si="2193">("18/11/2025")</f>
        <v>18/11/2025</v>
      </c>
      <c r="J11407" t="str">
        <f t="shared" si="2192"/>
        <v>17/11/2025</v>
      </c>
      <c r="K11407" t="str">
        <f>("17/11/2025")</f>
        <v>17/11/2025</v>
      </c>
      <c r="L11407">
        <v>250</v>
      </c>
      <c r="M11407">
        <v>250</v>
      </c>
      <c r="N11407">
        <v>134</v>
      </c>
      <c r="O11407" t="str">
        <f>"DIARIA DE MOTOBOY"</f>
        <v>DIARIA DE MOTOBOY</v>
      </c>
      <c r="P11407">
        <v>250</v>
      </c>
      <c r="S11407" t="str">
        <f>"BANCO CORA (102)"</f>
        <v>BANCO CORA (102)</v>
      </c>
      <c r="T11407">
        <v>21225</v>
      </c>
      <c r="U11407">
        <v>25535</v>
      </c>
      <c r="V11407" t="s">
        <v>22</v>
      </c>
    </row>
    <row r="11408" spans="1:22">
      <c r="A11408" t="str">
        <f t="shared" si="2181"/>
        <v>17/11/2025</v>
      </c>
      <c r="B11408" t="str">
        <f t="shared" si="2189"/>
        <v>SAÍDA</v>
      </c>
      <c r="C11408" t="str">
        <f t="shared" si="2190"/>
        <v>PIX</v>
      </c>
      <c r="D11408" t="str">
        <f>"25535"</f>
        <v>25535</v>
      </c>
      <c r="E11408" t="str">
        <f t="shared" si="2191"/>
        <v>1</v>
      </c>
      <c r="F11408" t="str">
        <f t="shared" si="2188"/>
        <v>COM</v>
      </c>
      <c r="G11408" t="str">
        <f>"DJONATAS PETERSON RODRIGUES ANDRADE (1088)"</f>
        <v>DJONATAS PETERSON RODRIGUES ANDRADE (1088)</v>
      </c>
      <c r="H11408" t="s">
        <v>3067</v>
      </c>
      <c r="I11408" t="str">
        <f t="shared" si="2193"/>
        <v>18/11/2025</v>
      </c>
      <c r="J11408" t="str">
        <f t="shared" si="2192"/>
        <v>17/11/2025</v>
      </c>
      <c r="K11408">
        <v>45978</v>
      </c>
      <c r="N11408">
        <v>134</v>
      </c>
      <c r="O11408" t="s">
        <v>41</v>
      </c>
      <c r="Q11408">
        <v>62.5</v>
      </c>
      <c r="R11408" t="str">
        <f>"PENSE FARMA 02 (10199)"</f>
        <v>PENSE FARMA 02 (10199)</v>
      </c>
      <c r="S11408" t="s">
        <v>22</v>
      </c>
      <c r="T11408">
        <v>21225</v>
      </c>
      <c r="U11408">
        <v>25535</v>
      </c>
      <c r="V11408" t="s">
        <v>22</v>
      </c>
    </row>
    <row r="11409" spans="1:22">
      <c r="A11409" t="str">
        <f t="shared" si="2181"/>
        <v>17/11/2025</v>
      </c>
      <c r="B11409" t="str">
        <f t="shared" si="2189"/>
        <v>SAÍDA</v>
      </c>
      <c r="C11409" t="str">
        <f t="shared" si="2190"/>
        <v>PIX</v>
      </c>
      <c r="D11409" t="str">
        <f>"25535"</f>
        <v>25535</v>
      </c>
      <c r="E11409" t="str">
        <f t="shared" si="2191"/>
        <v>1</v>
      </c>
      <c r="F11409" t="str">
        <f t="shared" si="2188"/>
        <v>COM</v>
      </c>
      <c r="G11409" t="str">
        <f>"DJONATAS PETERSON RODRIGUES ANDRADE (1088)"</f>
        <v>DJONATAS PETERSON RODRIGUES ANDRADE (1088)</v>
      </c>
      <c r="H11409" t="s">
        <v>3067</v>
      </c>
      <c r="I11409" t="str">
        <f t="shared" si="2193"/>
        <v>18/11/2025</v>
      </c>
      <c r="J11409" t="str">
        <f t="shared" si="2192"/>
        <v>17/11/2025</v>
      </c>
      <c r="K11409">
        <v>45978</v>
      </c>
      <c r="N11409">
        <v>134</v>
      </c>
      <c r="O11409" t="s">
        <v>41</v>
      </c>
      <c r="Q11409">
        <v>62.5</v>
      </c>
      <c r="R11409" t="str">
        <f>"PENSE FARMA 01 (10215)"</f>
        <v>PENSE FARMA 01 (10215)</v>
      </c>
      <c r="S11409" t="s">
        <v>22</v>
      </c>
      <c r="T11409">
        <v>21225</v>
      </c>
      <c r="U11409">
        <v>25535</v>
      </c>
      <c r="V11409" t="s">
        <v>22</v>
      </c>
    </row>
    <row r="11410" spans="1:22">
      <c r="A11410" t="str">
        <f t="shared" si="2181"/>
        <v>17/11/2025</v>
      </c>
      <c r="B11410" t="str">
        <f t="shared" si="2189"/>
        <v>SAÍDA</v>
      </c>
      <c r="C11410" t="str">
        <f t="shared" si="2190"/>
        <v>PIX</v>
      </c>
      <c r="D11410" t="str">
        <f>"25535"</f>
        <v>25535</v>
      </c>
      <c r="E11410" t="str">
        <f t="shared" si="2191"/>
        <v>1</v>
      </c>
      <c r="F11410" t="str">
        <f t="shared" si="2188"/>
        <v>COM</v>
      </c>
      <c r="G11410" t="str">
        <f>"DJONATAS PETERSON RODRIGUES ANDRADE (1088)"</f>
        <v>DJONATAS PETERSON RODRIGUES ANDRADE (1088)</v>
      </c>
      <c r="H11410" t="s">
        <v>3067</v>
      </c>
      <c r="I11410" t="str">
        <f t="shared" si="2193"/>
        <v>18/11/2025</v>
      </c>
      <c r="J11410" t="str">
        <f t="shared" si="2192"/>
        <v>17/11/2025</v>
      </c>
      <c r="K11410">
        <v>45978</v>
      </c>
      <c r="N11410">
        <v>134</v>
      </c>
      <c r="O11410" t="s">
        <v>41</v>
      </c>
      <c r="Q11410">
        <v>62.5</v>
      </c>
      <c r="R11410" t="str">
        <f>"PENSE FARMA 03 (10216)"</f>
        <v>PENSE FARMA 03 (10216)</v>
      </c>
      <c r="S11410" t="s">
        <v>22</v>
      </c>
      <c r="T11410">
        <v>21225</v>
      </c>
      <c r="U11410">
        <v>25535</v>
      </c>
      <c r="V11410" t="s">
        <v>22</v>
      </c>
    </row>
    <row r="11411" spans="1:22">
      <c r="A11411" t="str">
        <f t="shared" si="2181"/>
        <v>17/11/2025</v>
      </c>
      <c r="B11411" t="str">
        <f t="shared" si="2189"/>
        <v>SAÍDA</v>
      </c>
      <c r="C11411" t="str">
        <f t="shared" si="2190"/>
        <v>PIX</v>
      </c>
      <c r="D11411" t="str">
        <f>"25535"</f>
        <v>25535</v>
      </c>
      <c r="E11411" t="str">
        <f t="shared" si="2191"/>
        <v>1</v>
      </c>
      <c r="F11411" t="str">
        <f t="shared" si="2188"/>
        <v>COM</v>
      </c>
      <c r="G11411" t="str">
        <f>"DJONATAS PETERSON RODRIGUES ANDRADE (1088)"</f>
        <v>DJONATAS PETERSON RODRIGUES ANDRADE (1088)</v>
      </c>
      <c r="H11411" t="s">
        <v>3067</v>
      </c>
      <c r="I11411" t="str">
        <f t="shared" si="2193"/>
        <v>18/11/2025</v>
      </c>
      <c r="J11411" t="str">
        <f t="shared" si="2192"/>
        <v>17/11/2025</v>
      </c>
      <c r="K11411">
        <v>45978</v>
      </c>
      <c r="N11411">
        <v>134</v>
      </c>
      <c r="O11411" t="s">
        <v>41</v>
      </c>
      <c r="Q11411">
        <v>62.5</v>
      </c>
      <c r="R11411" t="str">
        <f>"PENSE FARMA 39 (10228)"</f>
        <v>PENSE FARMA 39 (10228)</v>
      </c>
      <c r="S11411" t="s">
        <v>22</v>
      </c>
      <c r="T11411">
        <v>21225</v>
      </c>
      <c r="U11411">
        <v>25535</v>
      </c>
      <c r="V11411" t="s">
        <v>22</v>
      </c>
    </row>
    <row r="11412" spans="1:22">
      <c r="A11412" t="str">
        <f t="shared" si="2181"/>
        <v>17/11/2025</v>
      </c>
      <c r="B11412" t="str">
        <f t="shared" si="2189"/>
        <v>SAÍDA</v>
      </c>
      <c r="C11412" t="str">
        <f t="shared" si="2190"/>
        <v>PIX</v>
      </c>
      <c r="D11412" t="str">
        <f>"25567"</f>
        <v>25567</v>
      </c>
      <c r="E11412" t="str">
        <f t="shared" si="2191"/>
        <v>1</v>
      </c>
      <c r="F11412" t="str">
        <f t="shared" si="2188"/>
        <v>COM</v>
      </c>
      <c r="G11412" t="str">
        <f>"WESLEY JESUS SANTOS (1020)"</f>
        <v>WESLEY JESUS SANTOS (1020)</v>
      </c>
      <c r="H11412" t="str">
        <f>"Serv.Prest. 10/11/2025 a 16/11/2025 - PIX: CELULAR - CHAVE: (11) 91767-9056"</f>
        <v>Serv.Prest. 10/11/2025 a 16/11/2025 - PIX: CELULAR - CHAVE: (11) 91767-9056</v>
      </c>
      <c r="I11412" t="str">
        <f t="shared" si="2193"/>
        <v>18/11/2025</v>
      </c>
      <c r="J11412" t="str">
        <f t="shared" si="2192"/>
        <v>17/11/2025</v>
      </c>
      <c r="K11412" t="str">
        <f>("17/11/2025")</f>
        <v>17/11/2025</v>
      </c>
      <c r="L11412">
        <v>230</v>
      </c>
      <c r="M11412">
        <v>230</v>
      </c>
      <c r="N11412">
        <v>134</v>
      </c>
      <c r="O11412" t="str">
        <f>"DIARIA DE MOTOBOY"</f>
        <v>DIARIA DE MOTOBOY</v>
      </c>
      <c r="P11412">
        <v>230</v>
      </c>
      <c r="S11412" t="str">
        <f>"BANCO CORA (102)"</f>
        <v>BANCO CORA (102)</v>
      </c>
      <c r="T11412">
        <v>21227</v>
      </c>
      <c r="U11412">
        <v>25567</v>
      </c>
      <c r="V11412" t="s">
        <v>22</v>
      </c>
    </row>
    <row r="11413" spans="1:22">
      <c r="A11413" t="str">
        <f t="shared" si="2181"/>
        <v>17/11/2025</v>
      </c>
      <c r="B11413" t="str">
        <f t="shared" si="2189"/>
        <v>SAÍDA</v>
      </c>
      <c r="C11413" t="str">
        <f t="shared" si="2190"/>
        <v>PIX</v>
      </c>
      <c r="D11413" t="str">
        <f>"25567"</f>
        <v>25567</v>
      </c>
      <c r="E11413" t="str">
        <f t="shared" si="2191"/>
        <v>1</v>
      </c>
      <c r="F11413" t="str">
        <f t="shared" si="2188"/>
        <v>COM</v>
      </c>
      <c r="G11413" t="str">
        <f>"WESLEY JESUS SANTOS (1020)"</f>
        <v>WESLEY JESUS SANTOS (1020)</v>
      </c>
      <c r="H11413" t="s">
        <v>3064</v>
      </c>
      <c r="I11413" t="str">
        <f t="shared" si="2193"/>
        <v>18/11/2025</v>
      </c>
      <c r="J11413" t="str">
        <f t="shared" si="2192"/>
        <v>17/11/2025</v>
      </c>
      <c r="K11413">
        <v>45978</v>
      </c>
      <c r="N11413">
        <v>134</v>
      </c>
      <c r="O11413" t="s">
        <v>41</v>
      </c>
      <c r="Q11413">
        <v>115</v>
      </c>
      <c r="R11413" t="str">
        <f>"PENSE FARMA 09 (10218)"</f>
        <v>PENSE FARMA 09 (10218)</v>
      </c>
      <c r="S11413" t="s">
        <v>22</v>
      </c>
      <c r="T11413">
        <v>21227</v>
      </c>
      <c r="U11413">
        <v>25567</v>
      </c>
      <c r="V11413" t="s">
        <v>22</v>
      </c>
    </row>
    <row r="11414" spans="1:22">
      <c r="A11414" t="str">
        <f t="shared" si="2181"/>
        <v>17/11/2025</v>
      </c>
      <c r="B11414" t="str">
        <f t="shared" si="2189"/>
        <v>SAÍDA</v>
      </c>
      <c r="C11414" t="str">
        <f t="shared" si="2190"/>
        <v>PIX</v>
      </c>
      <c r="D11414" t="str">
        <f>"25567"</f>
        <v>25567</v>
      </c>
      <c r="E11414" t="str">
        <f t="shared" si="2191"/>
        <v>1</v>
      </c>
      <c r="F11414" t="str">
        <f t="shared" si="2188"/>
        <v>COM</v>
      </c>
      <c r="G11414" t="str">
        <f>"WESLEY JESUS SANTOS (1020)"</f>
        <v>WESLEY JESUS SANTOS (1020)</v>
      </c>
      <c r="H11414" t="s">
        <v>3064</v>
      </c>
      <c r="I11414" t="str">
        <f t="shared" si="2193"/>
        <v>18/11/2025</v>
      </c>
      <c r="J11414" t="str">
        <f t="shared" si="2192"/>
        <v>17/11/2025</v>
      </c>
      <c r="K11414">
        <v>45978</v>
      </c>
      <c r="N11414">
        <v>134</v>
      </c>
      <c r="O11414" t="s">
        <v>41</v>
      </c>
      <c r="Q11414">
        <v>115</v>
      </c>
      <c r="R11414" t="str">
        <f>"PENSE FARMA 10 (10219)"</f>
        <v>PENSE FARMA 10 (10219)</v>
      </c>
      <c r="S11414" t="s">
        <v>22</v>
      </c>
      <c r="T11414">
        <v>21227</v>
      </c>
      <c r="U11414">
        <v>25567</v>
      </c>
      <c r="V11414" t="s">
        <v>22</v>
      </c>
    </row>
    <row r="11415" spans="1:22">
      <c r="A11415" t="str">
        <f t="shared" si="2181"/>
        <v>17/11/2025</v>
      </c>
      <c r="B11415" t="str">
        <f t="shared" si="2189"/>
        <v>SAÍDA</v>
      </c>
      <c r="C11415" t="str">
        <f t="shared" si="2190"/>
        <v>PIX</v>
      </c>
      <c r="D11415" t="str">
        <f>"25572"</f>
        <v>25572</v>
      </c>
      <c r="E11415" t="str">
        <f t="shared" si="2191"/>
        <v>1</v>
      </c>
      <c r="F11415" t="str">
        <f t="shared" si="2188"/>
        <v>COM</v>
      </c>
      <c r="G11415" t="str">
        <f>"DIRCEU APARECIDO FERREIRA (1073)"</f>
        <v>DIRCEU APARECIDO FERREIRA (1073)</v>
      </c>
      <c r="H11415" t="str">
        <f>"Serv.Prest. 10/11/2025 a 16/11/2025 - PIX: CPF - CHAVE: 298.747.458-00"</f>
        <v>Serv.Prest. 10/11/2025 a 16/11/2025 - PIX: CPF - CHAVE: 298.747.458-00</v>
      </c>
      <c r="I11415" t="str">
        <f t="shared" si="2193"/>
        <v>18/11/2025</v>
      </c>
      <c r="J11415" t="str">
        <f t="shared" si="2192"/>
        <v>17/11/2025</v>
      </c>
      <c r="K11415" t="str">
        <f>("17/11/2025")</f>
        <v>17/11/2025</v>
      </c>
      <c r="L11415">
        <v>250</v>
      </c>
      <c r="M11415">
        <v>250</v>
      </c>
      <c r="N11415">
        <v>134</v>
      </c>
      <c r="O11415" t="str">
        <f>"DIARIA DE MOTOBOY"</f>
        <v>DIARIA DE MOTOBOY</v>
      </c>
      <c r="P11415">
        <v>250</v>
      </c>
      <c r="S11415" t="str">
        <f>"BANCO CORA (102)"</f>
        <v>BANCO CORA (102)</v>
      </c>
      <c r="T11415">
        <v>21228</v>
      </c>
      <c r="U11415">
        <v>25572</v>
      </c>
      <c r="V11415" t="s">
        <v>22</v>
      </c>
    </row>
    <row r="11416" spans="1:22">
      <c r="A11416" t="str">
        <f t="shared" si="2181"/>
        <v>17/11/2025</v>
      </c>
      <c r="B11416" t="str">
        <f t="shared" si="2189"/>
        <v>SAÍDA</v>
      </c>
      <c r="C11416" t="str">
        <f t="shared" si="2190"/>
        <v>PIX</v>
      </c>
      <c r="D11416" t="str">
        <f>"25572"</f>
        <v>25572</v>
      </c>
      <c r="E11416" t="str">
        <f t="shared" si="2191"/>
        <v>1</v>
      </c>
      <c r="F11416" t="str">
        <f t="shared" si="2188"/>
        <v>COM</v>
      </c>
      <c r="G11416" t="str">
        <f>"DIRCEU APARECIDO FERREIRA (1073)"</f>
        <v>DIRCEU APARECIDO FERREIRA (1073)</v>
      </c>
      <c r="H11416" t="s">
        <v>3068</v>
      </c>
      <c r="I11416" t="str">
        <f t="shared" si="2193"/>
        <v>18/11/2025</v>
      </c>
      <c r="J11416" t="str">
        <f t="shared" si="2192"/>
        <v>17/11/2025</v>
      </c>
      <c r="K11416">
        <v>45978</v>
      </c>
      <c r="N11416">
        <v>134</v>
      </c>
      <c r="O11416" t="s">
        <v>41</v>
      </c>
      <c r="Q11416">
        <v>250</v>
      </c>
      <c r="R11416" t="str">
        <f>"PENSE FARMA 15 (10195)"</f>
        <v>PENSE FARMA 15 (10195)</v>
      </c>
      <c r="S11416" t="s">
        <v>22</v>
      </c>
      <c r="T11416">
        <v>21228</v>
      </c>
      <c r="U11416">
        <v>25572</v>
      </c>
      <c r="V11416" t="s">
        <v>22</v>
      </c>
    </row>
    <row r="11417" spans="1:22">
      <c r="A11417" t="str">
        <f t="shared" si="2181"/>
        <v>17/11/2025</v>
      </c>
      <c r="B11417" t="str">
        <f>"ENTRADA"</f>
        <v>ENTRADA</v>
      </c>
      <c r="C11417" t="str">
        <f>"NFSE"</f>
        <v>NFSE</v>
      </c>
      <c r="D11417" t="str">
        <f>"3714"</f>
        <v>3714</v>
      </c>
      <c r="E11417" t="str">
        <f t="shared" si="2191"/>
        <v>1</v>
      </c>
      <c r="F11417" t="str">
        <f t="shared" si="2188"/>
        <v>COM</v>
      </c>
      <c r="G11417" t="str">
        <f>"DROGARIA POUPA MINAS (ULTRAMINAS) 3 (10129)"</f>
        <v>DROGARIA POUPA MINAS (ULTRAMINAS) 3 (10129)</v>
      </c>
      <c r="H11417" t="str">
        <f>"Serv.Prest. 10/11/2025 a 16/11/2025 - RPS: 1590 - NFSe: 3714"</f>
        <v>Serv.Prest. 10/11/2025 a 16/11/2025 - RPS: 1590 - NFSe: 3714</v>
      </c>
      <c r="I11417" t="str">
        <f>("20/11/2025")</f>
        <v>20/11/2025</v>
      </c>
      <c r="J11417" t="str">
        <f t="shared" si="2192"/>
        <v>17/11/2025</v>
      </c>
      <c r="K11417" t="str">
        <f>("17/11/2025")</f>
        <v>17/11/2025</v>
      </c>
      <c r="L11417">
        <v>1544.4</v>
      </c>
      <c r="M11417">
        <v>1544.4</v>
      </c>
      <c r="N11417">
        <v>303</v>
      </c>
      <c r="O11417" t="str">
        <f>"RECEITAS COM ENTREGAS"</f>
        <v>RECEITAS COM ENTREGAS</v>
      </c>
      <c r="P11417">
        <v>1544.4</v>
      </c>
      <c r="S11417" t="str">
        <f>"RECEITAS COM ENTREGAS (303)"</f>
        <v>RECEITAS COM ENTREGAS (303)</v>
      </c>
      <c r="T11417">
        <v>22381</v>
      </c>
      <c r="U11417">
        <v>25550</v>
      </c>
      <c r="V11417" t="s">
        <v>22</v>
      </c>
    </row>
    <row r="11418" spans="1:22">
      <c r="A11418" t="str">
        <f t="shared" si="2181"/>
        <v>17/11/2025</v>
      </c>
      <c r="B11418" t="str">
        <f>"ENTRADA"</f>
        <v>ENTRADA</v>
      </c>
      <c r="C11418" t="str">
        <f>"NFSE"</f>
        <v>NFSE</v>
      </c>
      <c r="D11418" t="str">
        <f>"3714"</f>
        <v>3714</v>
      </c>
      <c r="E11418" t="str">
        <f t="shared" si="2191"/>
        <v>1</v>
      </c>
      <c r="F11418" t="str">
        <f t="shared" si="2188"/>
        <v>COM</v>
      </c>
      <c r="G11418" t="str">
        <f>"DROGARIA POUPA MINAS (ULTRAMINAS) 3 (10129)"</f>
        <v>DROGARIA POUPA MINAS (ULTRAMINAS) 3 (10129)</v>
      </c>
      <c r="H11418" t="s">
        <v>3069</v>
      </c>
      <c r="I11418" t="str">
        <f>("20/11/2025")</f>
        <v>20/11/2025</v>
      </c>
      <c r="J11418" t="str">
        <f t="shared" si="2192"/>
        <v>17/11/2025</v>
      </c>
      <c r="K11418">
        <v>45978</v>
      </c>
      <c r="N11418">
        <v>303</v>
      </c>
      <c r="O11418" t="s">
        <v>69</v>
      </c>
      <c r="Q11418">
        <v>1544.4</v>
      </c>
      <c r="R11418" t="str">
        <f>"DROGARIA POUPA MINAS (ULTRAMINAS) 3 (10129)"</f>
        <v>DROGARIA POUPA MINAS (ULTRAMINAS) 3 (10129)</v>
      </c>
      <c r="S11418" t="s">
        <v>70</v>
      </c>
      <c r="T11418">
        <v>22381</v>
      </c>
      <c r="U11418">
        <v>25550</v>
      </c>
      <c r="V11418" t="s">
        <v>22</v>
      </c>
    </row>
    <row r="11419" spans="1:22">
      <c r="A11419" t="str">
        <f t="shared" si="2181"/>
        <v>17/11/2025</v>
      </c>
      <c r="B11419" t="str">
        <f t="shared" ref="B11419:B11439" si="2194">"SAÍDA"</f>
        <v>SAÍDA</v>
      </c>
      <c r="C11419" t="str">
        <f>"BOLETO"</f>
        <v>BOLETO</v>
      </c>
      <c r="D11419" t="str">
        <f>"1018200557266"</f>
        <v>1018200557266</v>
      </c>
      <c r="E11419" t="str">
        <f>"17"</f>
        <v>17</v>
      </c>
      <c r="F11419" t="str">
        <f t="shared" si="2188"/>
        <v>COM</v>
      </c>
      <c r="G11419" t="str">
        <f>"CAPEMISA SEGURADORA DE VIDA E PREVIDENCIA SA (20038)"</f>
        <v>CAPEMISA SEGURADORA DE VIDA E PREVIDENCIA SA (20038)</v>
      </c>
      <c r="H11419" t="str">
        <f>"SEGURO DE VIDA PRESTADORES - APOLICE 1018200557266"</f>
        <v>SEGURO DE VIDA PRESTADORES - APOLICE 1018200557266</v>
      </c>
      <c r="I11419" t="str">
        <f t="shared" ref="I11419:I11424" si="2195">("15/11/2025")</f>
        <v>15/11/2025</v>
      </c>
      <c r="J11419" t="str">
        <f>("29/04/2025")</f>
        <v>29/04/2025</v>
      </c>
      <c r="K11419" t="str">
        <f>("17/11/2025")</f>
        <v>17/11/2025</v>
      </c>
      <c r="L11419">
        <v>2626.5</v>
      </c>
      <c r="M11419">
        <v>2626.5</v>
      </c>
      <c r="N11419">
        <v>192</v>
      </c>
      <c r="O11419" t="str">
        <f>"PLANOS E SEGUROS"</f>
        <v>PLANOS E SEGUROS</v>
      </c>
      <c r="P11419">
        <v>2626.5</v>
      </c>
      <c r="S11419" t="str">
        <f>"BANCO CORA (102)"</f>
        <v>BANCO CORA (102)</v>
      </c>
      <c r="T11419">
        <v>22383</v>
      </c>
      <c r="U11419">
        <v>13383</v>
      </c>
      <c r="V11419" t="s">
        <v>22</v>
      </c>
    </row>
    <row r="11420" spans="1:22">
      <c r="A11420" t="str">
        <f t="shared" si="2181"/>
        <v>17/11/2025</v>
      </c>
      <c r="B11420" t="str">
        <f t="shared" si="2194"/>
        <v>SAÍDA</v>
      </c>
      <c r="C11420" t="str">
        <f>"BOLETO"</f>
        <v>BOLETO</v>
      </c>
      <c r="D11420" t="str">
        <f>"1018200557266"</f>
        <v>1018200557266</v>
      </c>
      <c r="E11420" t="str">
        <f>"17"</f>
        <v>17</v>
      </c>
      <c r="F11420" t="str">
        <f t="shared" si="2188"/>
        <v>COM</v>
      </c>
      <c r="G11420" t="str">
        <f>"CAPEMISA SEGURADORA DE VIDA E PREVIDENCIA SA (20038)"</f>
        <v>CAPEMISA SEGURADORA DE VIDA E PREVIDENCIA SA (20038)</v>
      </c>
      <c r="H11420" t="s">
        <v>629</v>
      </c>
      <c r="I11420" t="str">
        <f t="shared" si="2195"/>
        <v>15/11/2025</v>
      </c>
      <c r="J11420" t="str">
        <f>("29/04/2025")</f>
        <v>29/04/2025</v>
      </c>
      <c r="K11420">
        <v>45978</v>
      </c>
      <c r="N11420">
        <v>192</v>
      </c>
      <c r="O11420" t="s">
        <v>38</v>
      </c>
      <c r="Q11420">
        <v>2626.5</v>
      </c>
      <c r="R11420" t="str">
        <f>"CAPEMISA SEGURADORA DE VIDA E PREVIDENCIA SA (20038)"</f>
        <v>CAPEMISA SEGURADORA DE VIDA E PREVIDENCIA SA (20038)</v>
      </c>
      <c r="S11420" t="s">
        <v>22</v>
      </c>
      <c r="T11420">
        <v>22383</v>
      </c>
      <c r="U11420">
        <v>13383</v>
      </c>
      <c r="V11420" t="s">
        <v>22</v>
      </c>
    </row>
    <row r="11421" spans="1:22">
      <c r="A11421" t="str">
        <f t="shared" si="2181"/>
        <v>17/11/2025</v>
      </c>
      <c r="B11421" t="str">
        <f t="shared" si="2194"/>
        <v>SAÍDA</v>
      </c>
      <c r="C11421" t="str">
        <f t="shared" ref="C11421:C11439" si="2196">"PIX"</f>
        <v>PIX</v>
      </c>
      <c r="D11421" t="str">
        <f>"0509"</f>
        <v>0509</v>
      </c>
      <c r="E11421" t="str">
        <f>"27"</f>
        <v>27</v>
      </c>
      <c r="F11421" t="str">
        <f t="shared" si="2188"/>
        <v>COM</v>
      </c>
      <c r="G11421" t="str">
        <f>"MG BRASIL CLUBE DE BENEFICIOS E COOPERACAO RECIPROCA (20112)"</f>
        <v>MG BRASIL CLUBE DE BENEFICIOS E COOPERACAO RECIPROCA (20112)</v>
      </c>
      <c r="H11421" t="str">
        <f>"CLUBE DE BENEFICIOS MOTOBOYS - PIX CPF 03291254600"</f>
        <v>CLUBE DE BENEFICIOS MOTOBOYS - PIX CPF 03291254600</v>
      </c>
      <c r="I11421" t="str">
        <f t="shared" si="2195"/>
        <v>15/11/2025</v>
      </c>
      <c r="J11421" t="str">
        <f>("05/11/2025")</f>
        <v>05/11/2025</v>
      </c>
      <c r="K11421" t="str">
        <f>("17/11/2025")</f>
        <v>17/11/2025</v>
      </c>
      <c r="L11421">
        <v>2369.12</v>
      </c>
      <c r="M11421">
        <v>2369.12</v>
      </c>
      <c r="N11421">
        <v>192</v>
      </c>
      <c r="O11421" t="str">
        <f>"PLANOS E SEGUROS"</f>
        <v>PLANOS E SEGUROS</v>
      </c>
      <c r="P11421">
        <v>2369.12</v>
      </c>
      <c r="S11421" t="str">
        <f>"BANCO CORA (102)"</f>
        <v>BANCO CORA (102)</v>
      </c>
      <c r="T11421">
        <v>22384</v>
      </c>
      <c r="U11421">
        <v>21372</v>
      </c>
      <c r="V11421" t="s">
        <v>22</v>
      </c>
    </row>
    <row r="11422" spans="1:22">
      <c r="A11422" t="str">
        <f t="shared" si="2181"/>
        <v>17/11/2025</v>
      </c>
      <c r="B11422" t="str">
        <f t="shared" si="2194"/>
        <v>SAÍDA</v>
      </c>
      <c r="C11422" t="str">
        <f t="shared" si="2196"/>
        <v>PIX</v>
      </c>
      <c r="D11422" t="str">
        <f>"0509"</f>
        <v>0509</v>
      </c>
      <c r="E11422" t="str">
        <f>"27"</f>
        <v>27</v>
      </c>
      <c r="F11422" t="str">
        <f t="shared" si="2188"/>
        <v>COM</v>
      </c>
      <c r="G11422" t="str">
        <f>"MG BRASIL CLUBE DE BENEFICIOS E COOPERACAO RECIPROCA (20112)"</f>
        <v>MG BRASIL CLUBE DE BENEFICIOS E COOPERACAO RECIPROCA (20112)</v>
      </c>
      <c r="H11422" t="s">
        <v>3070</v>
      </c>
      <c r="I11422" t="str">
        <f t="shared" si="2195"/>
        <v>15/11/2025</v>
      </c>
      <c r="J11422" t="str">
        <f>("05/11/2025")</f>
        <v>05/11/2025</v>
      </c>
      <c r="K11422">
        <v>45978</v>
      </c>
      <c r="N11422">
        <v>192</v>
      </c>
      <c r="O11422" t="s">
        <v>38</v>
      </c>
      <c r="Q11422">
        <v>2369.12</v>
      </c>
      <c r="R11422" t="str">
        <f>"MG BRASIL CLUBE DE BENEFICIOS E COOPERACAO RECIPROCA (20112)"</f>
        <v>MG BRASIL CLUBE DE BENEFICIOS E COOPERACAO RECIPROCA (20112)</v>
      </c>
      <c r="S11422" t="s">
        <v>22</v>
      </c>
      <c r="T11422">
        <v>22384</v>
      </c>
      <c r="U11422">
        <v>21372</v>
      </c>
      <c r="V11422" t="s">
        <v>22</v>
      </c>
    </row>
    <row r="11423" spans="1:22">
      <c r="A11423" t="str">
        <f t="shared" si="2181"/>
        <v>17/11/2025</v>
      </c>
      <c r="B11423" t="str">
        <f t="shared" si="2194"/>
        <v>SAÍDA</v>
      </c>
      <c r="C11423" t="str">
        <f t="shared" si="2196"/>
        <v>PIX</v>
      </c>
      <c r="D11423" t="str">
        <f>"1511"</f>
        <v>1511</v>
      </c>
      <c r="E11423" t="str">
        <f>"25"</f>
        <v>25</v>
      </c>
      <c r="F11423" t="str">
        <f t="shared" si="2188"/>
        <v>COM</v>
      </c>
      <c r="G11423" t="str">
        <f>"LEONICIO CORREA DA SILVA (716)"</f>
        <v>LEONICIO CORREA DA SILVA (716)</v>
      </c>
      <c r="H11423" t="str">
        <f>"PAGAMENTO LIDERANÇA REF. MES 10/2025 - PIX: CPF - CHAVE: 138.263.636-98"</f>
        <v>PAGAMENTO LIDERANÇA REF. MES 10/2025 - PIX: CPF - CHAVE: 138.263.636-98</v>
      </c>
      <c r="I11423" t="str">
        <f t="shared" si="2195"/>
        <v>15/11/2025</v>
      </c>
      <c r="J11423" t="str">
        <f>("31/10/2025")</f>
        <v>31/10/2025</v>
      </c>
      <c r="K11423" t="str">
        <f>("17/11/2025")</f>
        <v>17/11/2025</v>
      </c>
      <c r="L11423">
        <v>229.79</v>
      </c>
      <c r="M11423">
        <v>229.79</v>
      </c>
      <c r="N11423">
        <v>120</v>
      </c>
      <c r="O11423" t="str">
        <f>"PAGAMENTO COMISSAO LIDERES"</f>
        <v>PAGAMENTO COMISSAO LIDERES</v>
      </c>
      <c r="P11423">
        <v>229.79</v>
      </c>
      <c r="S11423" t="str">
        <f>"BANCO CORA (102)"</f>
        <v>BANCO CORA (102)</v>
      </c>
      <c r="T11423">
        <v>22385</v>
      </c>
      <c r="U11423">
        <v>25500</v>
      </c>
      <c r="V11423" t="s">
        <v>22</v>
      </c>
    </row>
    <row r="11424" spans="1:22">
      <c r="A11424" t="str">
        <f t="shared" si="2181"/>
        <v>17/11/2025</v>
      </c>
      <c r="B11424" t="str">
        <f t="shared" si="2194"/>
        <v>SAÍDA</v>
      </c>
      <c r="C11424" t="str">
        <f t="shared" si="2196"/>
        <v>PIX</v>
      </c>
      <c r="D11424" t="str">
        <f>"1511"</f>
        <v>1511</v>
      </c>
      <c r="E11424" t="str">
        <f>"25"</f>
        <v>25</v>
      </c>
      <c r="F11424" t="str">
        <f t="shared" si="2188"/>
        <v>COM</v>
      </c>
      <c r="G11424" t="str">
        <f>"LEONICIO CORREA DA SILVA (716)"</f>
        <v>LEONICIO CORREA DA SILVA (716)</v>
      </c>
      <c r="H11424" t="s">
        <v>3071</v>
      </c>
      <c r="I11424" t="str">
        <f t="shared" si="2195"/>
        <v>15/11/2025</v>
      </c>
      <c r="J11424" t="str">
        <f>("31/10/2025")</f>
        <v>31/10/2025</v>
      </c>
      <c r="K11424">
        <v>45978</v>
      </c>
      <c r="N11424">
        <v>120</v>
      </c>
      <c r="O11424" t="s">
        <v>306</v>
      </c>
      <c r="Q11424">
        <v>229.79</v>
      </c>
      <c r="R11424" t="str">
        <f>"ENTREFARMA (10164)"</f>
        <v>ENTREFARMA (10164)</v>
      </c>
      <c r="S11424" t="s">
        <v>22</v>
      </c>
      <c r="T11424">
        <v>22385</v>
      </c>
      <c r="U11424">
        <v>25500</v>
      </c>
      <c r="V11424" t="s">
        <v>22</v>
      </c>
    </row>
    <row r="11425" spans="1:22">
      <c r="A11425" t="str">
        <f t="shared" si="2181"/>
        <v>17/11/2025</v>
      </c>
      <c r="B11425" t="str">
        <f t="shared" si="2194"/>
        <v>SAÍDA</v>
      </c>
      <c r="C11425" t="str">
        <f t="shared" si="2196"/>
        <v>PIX</v>
      </c>
      <c r="D11425" t="str">
        <f>"17112025"</f>
        <v>17112025</v>
      </c>
      <c r="E11425" t="str">
        <f t="shared" ref="E11425:E11437" si="2197">"1"</f>
        <v>1</v>
      </c>
      <c r="F11425" t="str">
        <f t="shared" si="2188"/>
        <v>COM</v>
      </c>
      <c r="G11425" t="str">
        <f>"GILSON OLIVEIRA CAMPINHO JUNIOR (132)"</f>
        <v>GILSON OLIVEIRA CAMPINHO JUNIOR (132)</v>
      </c>
      <c r="H11425" t="str">
        <f>"DESPESAS DE VIAGEM EUNAPOLIS"</f>
        <v>DESPESAS DE VIAGEM EUNAPOLIS</v>
      </c>
      <c r="I11425" t="str">
        <f>("17/11/2025")</f>
        <v>17/11/2025</v>
      </c>
      <c r="J11425" t="str">
        <f>("17/11/2025")</f>
        <v>17/11/2025</v>
      </c>
      <c r="K11425" t="str">
        <f>("17/11/2025")</f>
        <v>17/11/2025</v>
      </c>
      <c r="L11425">
        <v>400</v>
      </c>
      <c r="M11425">
        <v>400</v>
      </c>
      <c r="N11425">
        <v>117</v>
      </c>
      <c r="O11425" t="str">
        <f>"DESPESAS COM VIAGENS COMERCIAIS"</f>
        <v>DESPESAS COM VIAGENS COMERCIAIS</v>
      </c>
      <c r="P11425">
        <v>400</v>
      </c>
      <c r="S11425" t="str">
        <f>"BANCO CORA (102)"</f>
        <v>BANCO CORA (102)</v>
      </c>
      <c r="T11425">
        <v>22386</v>
      </c>
      <c r="U11425">
        <v>26329</v>
      </c>
      <c r="V11425" t="s">
        <v>22</v>
      </c>
    </row>
    <row r="11426" spans="1:22">
      <c r="A11426" t="str">
        <f t="shared" si="2181"/>
        <v>17/11/2025</v>
      </c>
      <c r="B11426" t="str">
        <f t="shared" si="2194"/>
        <v>SAÍDA</v>
      </c>
      <c r="C11426" t="str">
        <f t="shared" si="2196"/>
        <v>PIX</v>
      </c>
      <c r="D11426" t="str">
        <f>"17112025"</f>
        <v>17112025</v>
      </c>
      <c r="E11426" t="str">
        <f t="shared" si="2197"/>
        <v>1</v>
      </c>
      <c r="F11426" t="str">
        <f t="shared" si="2188"/>
        <v>COM</v>
      </c>
      <c r="G11426" t="str">
        <f>"GILSON OLIVEIRA CAMPINHO JUNIOR (132)"</f>
        <v>GILSON OLIVEIRA CAMPINHO JUNIOR (132)</v>
      </c>
      <c r="H11426" t="s">
        <v>3072</v>
      </c>
      <c r="I11426" t="str">
        <f>("17/11/2025")</f>
        <v>17/11/2025</v>
      </c>
      <c r="J11426" t="str">
        <f>("17/11/2025")</f>
        <v>17/11/2025</v>
      </c>
      <c r="K11426">
        <v>45978</v>
      </c>
      <c r="N11426">
        <v>117</v>
      </c>
      <c r="O11426" t="s">
        <v>822</v>
      </c>
      <c r="Q11426">
        <v>400</v>
      </c>
      <c r="R11426" t="str">
        <f>"GILSON OLIVEIRA CAMPINHO JUNIOR (132)"</f>
        <v>GILSON OLIVEIRA CAMPINHO JUNIOR (132)</v>
      </c>
      <c r="S11426" t="s">
        <v>22</v>
      </c>
      <c r="T11426">
        <v>22386</v>
      </c>
      <c r="U11426">
        <v>26329</v>
      </c>
      <c r="V11426" t="s">
        <v>22</v>
      </c>
    </row>
    <row r="11427" spans="1:22">
      <c r="A11427" t="str">
        <f t="shared" ref="A11427:A11458" si="2198">("18/11/2025")</f>
        <v>18/11/2025</v>
      </c>
      <c r="B11427" t="str">
        <f t="shared" si="2194"/>
        <v>SAÍDA</v>
      </c>
      <c r="C11427" t="str">
        <f t="shared" si="2196"/>
        <v>PIX</v>
      </c>
      <c r="D11427" t="str">
        <f>"25660"</f>
        <v>25660</v>
      </c>
      <c r="E11427" t="str">
        <f t="shared" si="2197"/>
        <v>1</v>
      </c>
      <c r="F11427" t="str">
        <f t="shared" si="2188"/>
        <v>COM</v>
      </c>
      <c r="G11427" t="str">
        <f>"EDICARLOS OLIVEIRA BORGES (1068)"</f>
        <v>EDICARLOS OLIVEIRA BORGES (1068)</v>
      </c>
      <c r="H11427" t="str">
        <f>"Serv.Prest. 10/11/2025 a 16/11/2025 - PIX: CELULAR - CHAVE: (11) 93933-2088"</f>
        <v>Serv.Prest. 10/11/2025 a 16/11/2025 - PIX: CELULAR - CHAVE: (11) 93933-2088</v>
      </c>
      <c r="I11427" t="str">
        <f>("18/11/2025")</f>
        <v>18/11/2025</v>
      </c>
      <c r="J11427" t="str">
        <f>("18/11/2025")</f>
        <v>18/11/2025</v>
      </c>
      <c r="K11427" t="str">
        <f>("18/11/2025")</f>
        <v>18/11/2025</v>
      </c>
      <c r="L11427">
        <v>250</v>
      </c>
      <c r="M11427">
        <v>250</v>
      </c>
      <c r="N11427">
        <v>134</v>
      </c>
      <c r="O11427" t="str">
        <f>"DIARIA DE MOTOBOY"</f>
        <v>DIARIA DE MOTOBOY</v>
      </c>
      <c r="P11427">
        <v>250</v>
      </c>
      <c r="S11427" t="str">
        <f>"BANCO CORA (102)"</f>
        <v>BANCO CORA (102)</v>
      </c>
      <c r="T11427">
        <v>21229</v>
      </c>
      <c r="U11427">
        <v>25663</v>
      </c>
      <c r="V11427" t="s">
        <v>22</v>
      </c>
    </row>
    <row r="11428" spans="1:22">
      <c r="A11428" t="str">
        <f t="shared" si="2198"/>
        <v>18/11/2025</v>
      </c>
      <c r="B11428" t="str">
        <f t="shared" si="2194"/>
        <v>SAÍDA</v>
      </c>
      <c r="C11428" t="str">
        <f t="shared" si="2196"/>
        <v>PIX</v>
      </c>
      <c r="D11428" t="str">
        <f>"25660"</f>
        <v>25660</v>
      </c>
      <c r="E11428" t="str">
        <f t="shared" si="2197"/>
        <v>1</v>
      </c>
      <c r="F11428" t="str">
        <f t="shared" si="2188"/>
        <v>COM</v>
      </c>
      <c r="G11428" t="str">
        <f>"EDICARLOS OLIVEIRA BORGES (1068)"</f>
        <v>EDICARLOS OLIVEIRA BORGES (1068)</v>
      </c>
      <c r="H11428" t="s">
        <v>2765</v>
      </c>
      <c r="I11428" t="str">
        <f t="shared" ref="I11428:J11430" si="2199">("18/11/2025")</f>
        <v>18/11/2025</v>
      </c>
      <c r="J11428" t="str">
        <f t="shared" si="2199"/>
        <v>18/11/2025</v>
      </c>
      <c r="K11428">
        <v>45979</v>
      </c>
      <c r="N11428">
        <v>134</v>
      </c>
      <c r="O11428" t="s">
        <v>41</v>
      </c>
      <c r="Q11428">
        <v>250</v>
      </c>
      <c r="R11428" t="str">
        <f>"PENSE FARMA 22 (10198)"</f>
        <v>PENSE FARMA 22 (10198)</v>
      </c>
      <c r="S11428" t="s">
        <v>22</v>
      </c>
      <c r="T11428">
        <v>21229</v>
      </c>
      <c r="U11428">
        <v>25663</v>
      </c>
      <c r="V11428" t="s">
        <v>22</v>
      </c>
    </row>
    <row r="11429" spans="1:22">
      <c r="A11429" t="str">
        <f t="shared" si="2198"/>
        <v>18/11/2025</v>
      </c>
      <c r="B11429" t="str">
        <f t="shared" si="2194"/>
        <v>SAÍDA</v>
      </c>
      <c r="C11429" t="str">
        <f t="shared" si="2196"/>
        <v>PIX</v>
      </c>
      <c r="D11429" t="str">
        <f>"25660"</f>
        <v>25660</v>
      </c>
      <c r="E11429" t="str">
        <f t="shared" si="2197"/>
        <v>1</v>
      </c>
      <c r="F11429" t="str">
        <f t="shared" si="2188"/>
        <v>COM</v>
      </c>
      <c r="G11429" t="str">
        <f>"EDICARLOS OLIVEIRA BORGES (1068)"</f>
        <v>EDICARLOS OLIVEIRA BORGES (1068)</v>
      </c>
      <c r="H11429" t="str">
        <f>"Serv.Prest. 10/11/2025 a 16/11/2025 - PIX: CELULAR - CHAVE: (11) 93933-2088"</f>
        <v>Serv.Prest. 10/11/2025 a 16/11/2025 - PIX: CELULAR - CHAVE: (11) 93933-2088</v>
      </c>
      <c r="I11429" t="str">
        <f t="shared" si="2199"/>
        <v>18/11/2025</v>
      </c>
      <c r="J11429" t="str">
        <f t="shared" si="2199"/>
        <v>18/11/2025</v>
      </c>
      <c r="K11429" t="str">
        <f>("18/11/2025")</f>
        <v>18/11/2025</v>
      </c>
      <c r="L11429">
        <v>340</v>
      </c>
      <c r="M11429">
        <v>340</v>
      </c>
      <c r="N11429">
        <v>134</v>
      </c>
      <c r="O11429" t="str">
        <f>"DIARIA DE MOTOBOY"</f>
        <v>DIARIA DE MOTOBOY</v>
      </c>
      <c r="P11429">
        <v>340</v>
      </c>
      <c r="S11429" t="str">
        <f>"BANCO CORA (102)"</f>
        <v>BANCO CORA (102)</v>
      </c>
      <c r="T11429">
        <v>21230</v>
      </c>
      <c r="U11429">
        <v>25667</v>
      </c>
      <c r="V11429" t="s">
        <v>22</v>
      </c>
    </row>
    <row r="11430" spans="1:22">
      <c r="A11430" t="str">
        <f t="shared" si="2198"/>
        <v>18/11/2025</v>
      </c>
      <c r="B11430" t="str">
        <f t="shared" si="2194"/>
        <v>SAÍDA</v>
      </c>
      <c r="C11430" t="str">
        <f t="shared" si="2196"/>
        <v>PIX</v>
      </c>
      <c r="D11430" t="str">
        <f>"25660"</f>
        <v>25660</v>
      </c>
      <c r="E11430" t="str">
        <f t="shared" si="2197"/>
        <v>1</v>
      </c>
      <c r="F11430" t="str">
        <f t="shared" si="2188"/>
        <v>COM</v>
      </c>
      <c r="G11430" t="str">
        <f>"EDICARLOS OLIVEIRA BORGES (1068)"</f>
        <v>EDICARLOS OLIVEIRA BORGES (1068)</v>
      </c>
      <c r="H11430" t="s">
        <v>2765</v>
      </c>
      <c r="I11430" t="str">
        <f t="shared" si="2199"/>
        <v>18/11/2025</v>
      </c>
      <c r="J11430" t="str">
        <f t="shared" si="2199"/>
        <v>18/11/2025</v>
      </c>
      <c r="K11430">
        <v>45979</v>
      </c>
      <c r="N11430">
        <v>134</v>
      </c>
      <c r="O11430" t="s">
        <v>41</v>
      </c>
      <c r="Q11430">
        <v>340</v>
      </c>
      <c r="R11430" t="str">
        <f>"PENSE FARMA 22 (10198)"</f>
        <v>PENSE FARMA 22 (10198)</v>
      </c>
      <c r="S11430" t="s">
        <v>22</v>
      </c>
      <c r="T11430">
        <v>21230</v>
      </c>
      <c r="U11430">
        <v>25667</v>
      </c>
      <c r="V11430" t="s">
        <v>22</v>
      </c>
    </row>
    <row r="11431" spans="1:22">
      <c r="A11431" t="str">
        <f t="shared" si="2198"/>
        <v>18/11/2025</v>
      </c>
      <c r="B11431" t="str">
        <f t="shared" si="2194"/>
        <v>SAÍDA</v>
      </c>
      <c r="C11431" t="str">
        <f t="shared" si="2196"/>
        <v>PIX</v>
      </c>
      <c r="D11431" t="str">
        <f>"25569"</f>
        <v>25569</v>
      </c>
      <c r="E11431" t="str">
        <f t="shared" si="2197"/>
        <v>1</v>
      </c>
      <c r="F11431" t="str">
        <f t="shared" si="2188"/>
        <v>COM</v>
      </c>
      <c r="G11431" t="str">
        <f>"FABRICIO QUEIROZ DE OLIVEIRA (788)"</f>
        <v>FABRICIO QUEIROZ DE OLIVEIRA (788)</v>
      </c>
      <c r="H11431" t="str">
        <f>"Serv.Prest. 10/11/2025 a 16/11/2025 - PIX: CPF - CHAVE: 138.798.486-10"</f>
        <v>Serv.Prest. 10/11/2025 a 16/11/2025 - PIX: CPF - CHAVE: 138.798.486-10</v>
      </c>
      <c r="I11431" t="str">
        <f>("20/11/2025")</f>
        <v>20/11/2025</v>
      </c>
      <c r="J11431" t="str">
        <f>("17/11/2025")</f>
        <v>17/11/2025</v>
      </c>
      <c r="K11431" t="str">
        <f>("18/11/2025")</f>
        <v>18/11/2025</v>
      </c>
      <c r="L11431">
        <v>50</v>
      </c>
      <c r="M11431">
        <v>50</v>
      </c>
      <c r="N11431">
        <v>109</v>
      </c>
      <c r="O11431" t="str">
        <f>"PAGAMENTO DE ENTREGADORES"</f>
        <v>PAGAMENTO DE ENTREGADORES</v>
      </c>
      <c r="P11431">
        <v>50</v>
      </c>
      <c r="S11431" t="str">
        <f>"BANCO CORA (102)"</f>
        <v>BANCO CORA (102)</v>
      </c>
      <c r="T11431">
        <v>21231</v>
      </c>
      <c r="U11431">
        <v>25817</v>
      </c>
      <c r="V11431" t="s">
        <v>22</v>
      </c>
    </row>
    <row r="11432" spans="1:22">
      <c r="A11432" t="str">
        <f t="shared" si="2198"/>
        <v>18/11/2025</v>
      </c>
      <c r="B11432" t="str">
        <f t="shared" si="2194"/>
        <v>SAÍDA</v>
      </c>
      <c r="C11432" t="str">
        <f t="shared" si="2196"/>
        <v>PIX</v>
      </c>
      <c r="D11432" t="str">
        <f>"25569"</f>
        <v>25569</v>
      </c>
      <c r="E11432" t="str">
        <f t="shared" si="2197"/>
        <v>1</v>
      </c>
      <c r="F11432" t="str">
        <f t="shared" si="2188"/>
        <v>COM</v>
      </c>
      <c r="G11432" t="str">
        <f>"FABRICIO QUEIROZ DE OLIVEIRA (788)"</f>
        <v>FABRICIO QUEIROZ DE OLIVEIRA (788)</v>
      </c>
      <c r="H11432" t="s">
        <v>3073</v>
      </c>
      <c r="I11432" t="str">
        <f>("20/11/2025")</f>
        <v>20/11/2025</v>
      </c>
      <c r="J11432" t="str">
        <f>("17/11/2025")</f>
        <v>17/11/2025</v>
      </c>
      <c r="K11432">
        <v>45979</v>
      </c>
      <c r="N11432">
        <v>109</v>
      </c>
      <c r="O11432" t="s">
        <v>24</v>
      </c>
      <c r="Q11432">
        <v>47.22</v>
      </c>
      <c r="R11432" t="str">
        <f>"FRAN FARMA LJ 2 (10131)"</f>
        <v>FRAN FARMA LJ 2 (10131)</v>
      </c>
      <c r="S11432" t="s">
        <v>22</v>
      </c>
      <c r="T11432">
        <v>21231</v>
      </c>
      <c r="U11432">
        <v>25817</v>
      </c>
      <c r="V11432" t="s">
        <v>22</v>
      </c>
    </row>
    <row r="11433" spans="1:22">
      <c r="A11433" t="str">
        <f t="shared" si="2198"/>
        <v>18/11/2025</v>
      </c>
      <c r="B11433" t="str">
        <f t="shared" si="2194"/>
        <v>SAÍDA</v>
      </c>
      <c r="C11433" t="str">
        <f t="shared" si="2196"/>
        <v>PIX</v>
      </c>
      <c r="D11433" t="str">
        <f>"25569"</f>
        <v>25569</v>
      </c>
      <c r="E11433" t="str">
        <f t="shared" si="2197"/>
        <v>1</v>
      </c>
      <c r="F11433" t="str">
        <f t="shared" si="2188"/>
        <v>COM</v>
      </c>
      <c r="G11433" t="str">
        <f>"FABRICIO QUEIROZ DE OLIVEIRA (788)"</f>
        <v>FABRICIO QUEIROZ DE OLIVEIRA (788)</v>
      </c>
      <c r="H11433" t="s">
        <v>3073</v>
      </c>
      <c r="I11433" t="str">
        <f>("20/11/2025")</f>
        <v>20/11/2025</v>
      </c>
      <c r="J11433" t="str">
        <f>("17/11/2025")</f>
        <v>17/11/2025</v>
      </c>
      <c r="K11433">
        <v>45979</v>
      </c>
      <c r="N11433">
        <v>109</v>
      </c>
      <c r="O11433" t="s">
        <v>24</v>
      </c>
      <c r="Q11433">
        <v>2.78</v>
      </c>
      <c r="R11433" t="str">
        <f>"FRAN FARMA LJ 3 (10132)"</f>
        <v>FRAN FARMA LJ 3 (10132)</v>
      </c>
      <c r="S11433" t="s">
        <v>22</v>
      </c>
      <c r="T11433">
        <v>21231</v>
      </c>
      <c r="U11433">
        <v>25817</v>
      </c>
      <c r="V11433" t="s">
        <v>22</v>
      </c>
    </row>
    <row r="11434" spans="1:22">
      <c r="A11434" t="str">
        <f t="shared" si="2198"/>
        <v>18/11/2025</v>
      </c>
      <c r="B11434" t="str">
        <f t="shared" si="2194"/>
        <v>SAÍDA</v>
      </c>
      <c r="C11434" t="str">
        <f t="shared" si="2196"/>
        <v>PIX</v>
      </c>
      <c r="D11434" t="str">
        <f>"25796"</f>
        <v>25796</v>
      </c>
      <c r="E11434" t="str">
        <f t="shared" si="2197"/>
        <v>1</v>
      </c>
      <c r="F11434" t="str">
        <f t="shared" si="2188"/>
        <v>COM</v>
      </c>
      <c r="G11434" t="str">
        <f>"GILSON OLIVEIRA CAMPINHO JUNIOR (132)"</f>
        <v>GILSON OLIVEIRA CAMPINHO JUNIOR (132)</v>
      </c>
      <c r="H11434" t="str">
        <f>"Serv.Prest. 10/11/2025 a 16/11/2025 - PIX: CELULAR - CHAVE: (73) 988381077"</f>
        <v>Serv.Prest. 10/11/2025 a 16/11/2025 - PIX: CELULAR - CHAVE: (73) 988381077</v>
      </c>
      <c r="I11434" t="str">
        <f>("27/11/2025")</f>
        <v>27/11/2025</v>
      </c>
      <c r="J11434" t="str">
        <f>("18/11/2025")</f>
        <v>18/11/2025</v>
      </c>
      <c r="K11434" t="str">
        <f>("18/11/2025")</f>
        <v>18/11/2025</v>
      </c>
      <c r="L11434">
        <v>144</v>
      </c>
      <c r="M11434">
        <v>144</v>
      </c>
      <c r="N11434">
        <v>109</v>
      </c>
      <c r="O11434" t="str">
        <f>"PAGAMENTO DE ENTREGADORES"</f>
        <v>PAGAMENTO DE ENTREGADORES</v>
      </c>
      <c r="P11434">
        <v>144</v>
      </c>
      <c r="S11434" t="str">
        <f>"BANCO CORA (102)"</f>
        <v>BANCO CORA (102)</v>
      </c>
      <c r="T11434">
        <v>21232</v>
      </c>
      <c r="U11434">
        <v>25818</v>
      </c>
      <c r="V11434" t="s">
        <v>22</v>
      </c>
    </row>
    <row r="11435" spans="1:22">
      <c r="A11435" t="str">
        <f t="shared" si="2198"/>
        <v>18/11/2025</v>
      </c>
      <c r="B11435" t="str">
        <f t="shared" si="2194"/>
        <v>SAÍDA</v>
      </c>
      <c r="C11435" t="str">
        <f t="shared" si="2196"/>
        <v>PIX</v>
      </c>
      <c r="D11435" t="str">
        <f>"25796"</f>
        <v>25796</v>
      </c>
      <c r="E11435" t="str">
        <f t="shared" si="2197"/>
        <v>1</v>
      </c>
      <c r="F11435" t="str">
        <f t="shared" si="2188"/>
        <v>COM</v>
      </c>
      <c r="G11435" t="str">
        <f>"GILSON OLIVEIRA CAMPINHO JUNIOR (132)"</f>
        <v>GILSON OLIVEIRA CAMPINHO JUNIOR (132)</v>
      </c>
      <c r="H11435" t="s">
        <v>3074</v>
      </c>
      <c r="I11435" t="str">
        <f>("27/11/2025")</f>
        <v>27/11/2025</v>
      </c>
      <c r="J11435" t="str">
        <f>("18/11/2025")</f>
        <v>18/11/2025</v>
      </c>
      <c r="K11435">
        <v>45979</v>
      </c>
      <c r="N11435">
        <v>109</v>
      </c>
      <c r="O11435" t="s">
        <v>24</v>
      </c>
      <c r="Q11435">
        <v>144</v>
      </c>
      <c r="R11435" t="str">
        <f>"FARMÁCIA INDIANA LJ 91 (10037)"</f>
        <v>FARMÁCIA INDIANA LJ 91 (10037)</v>
      </c>
      <c r="S11435" t="s">
        <v>22</v>
      </c>
      <c r="T11435">
        <v>21232</v>
      </c>
      <c r="U11435">
        <v>25818</v>
      </c>
      <c r="V11435" t="s">
        <v>22</v>
      </c>
    </row>
    <row r="11436" spans="1:22">
      <c r="A11436" t="str">
        <f t="shared" si="2198"/>
        <v>18/11/2025</v>
      </c>
      <c r="B11436" t="str">
        <f t="shared" si="2194"/>
        <v>SAÍDA</v>
      </c>
      <c r="C11436" t="str">
        <f t="shared" si="2196"/>
        <v>PIX</v>
      </c>
      <c r="D11436" t="str">
        <f>"25816"</f>
        <v>25816</v>
      </c>
      <c r="E11436" t="str">
        <f t="shared" si="2197"/>
        <v>1</v>
      </c>
      <c r="F11436" t="str">
        <f t="shared" si="2188"/>
        <v>COM</v>
      </c>
      <c r="G11436" t="str">
        <f>"YAN BRENDO CORREIA VIEIRA (861)"</f>
        <v>YAN BRENDO CORREIA VIEIRA (861)</v>
      </c>
      <c r="H11436" t="str">
        <f>"Serv.Prest. 10/11/2025 a 16/11/2025 - PIX: CPF - CHAVE: 096.891.935-97"</f>
        <v>Serv.Prest. 10/11/2025 a 16/11/2025 - PIX: CPF - CHAVE: 096.891.935-97</v>
      </c>
      <c r="I11436" t="str">
        <f>("27/11/2025")</f>
        <v>27/11/2025</v>
      </c>
      <c r="J11436" t="str">
        <f>("18/11/2025")</f>
        <v>18/11/2025</v>
      </c>
      <c r="K11436" t="str">
        <f>("18/11/2025")</f>
        <v>18/11/2025</v>
      </c>
      <c r="L11436">
        <v>150</v>
      </c>
      <c r="M11436">
        <v>150</v>
      </c>
      <c r="N11436">
        <v>109</v>
      </c>
      <c r="O11436" t="str">
        <f>"PAGAMENTO DE ENTREGADORES"</f>
        <v>PAGAMENTO DE ENTREGADORES</v>
      </c>
      <c r="P11436">
        <v>150</v>
      </c>
      <c r="S11436" t="str">
        <f>"BANCO CORA (102)"</f>
        <v>BANCO CORA (102)</v>
      </c>
      <c r="T11436">
        <v>21233</v>
      </c>
      <c r="U11436">
        <v>25819</v>
      </c>
      <c r="V11436" t="s">
        <v>22</v>
      </c>
    </row>
    <row r="11437" spans="1:22">
      <c r="A11437" t="str">
        <f t="shared" si="2198"/>
        <v>18/11/2025</v>
      </c>
      <c r="B11437" t="str">
        <f t="shared" si="2194"/>
        <v>SAÍDA</v>
      </c>
      <c r="C11437" t="str">
        <f t="shared" si="2196"/>
        <v>PIX</v>
      </c>
      <c r="D11437" t="str">
        <f>"25816"</f>
        <v>25816</v>
      </c>
      <c r="E11437" t="str">
        <f t="shared" si="2197"/>
        <v>1</v>
      </c>
      <c r="F11437" t="str">
        <f t="shared" si="2188"/>
        <v>COM</v>
      </c>
      <c r="G11437" t="str">
        <f>"YAN BRENDO CORREIA VIEIRA (861)"</f>
        <v>YAN BRENDO CORREIA VIEIRA (861)</v>
      </c>
      <c r="H11437" t="s">
        <v>3075</v>
      </c>
      <c r="I11437" t="str">
        <f>("27/11/2025")</f>
        <v>27/11/2025</v>
      </c>
      <c r="J11437" t="str">
        <f>("18/11/2025")</f>
        <v>18/11/2025</v>
      </c>
      <c r="K11437">
        <v>45979</v>
      </c>
      <c r="N11437">
        <v>109</v>
      </c>
      <c r="O11437" t="s">
        <v>24</v>
      </c>
      <c r="Q11437">
        <v>150</v>
      </c>
      <c r="R11437" t="str">
        <f>"FARMÁCIA INDIANA LJ 200 (10155)"</f>
        <v>FARMÁCIA INDIANA LJ 200 (10155)</v>
      </c>
      <c r="S11437" t="s">
        <v>22</v>
      </c>
      <c r="T11437">
        <v>21233</v>
      </c>
      <c r="U11437">
        <v>25819</v>
      </c>
      <c r="V11437" t="s">
        <v>22</v>
      </c>
    </row>
    <row r="11438" spans="1:22">
      <c r="A11438" t="str">
        <f t="shared" si="2198"/>
        <v>18/11/2025</v>
      </c>
      <c r="B11438" t="str">
        <f t="shared" si="2194"/>
        <v>SAÍDA</v>
      </c>
      <c r="C11438" t="str">
        <f t="shared" si="2196"/>
        <v>PIX</v>
      </c>
      <c r="D11438" t="str">
        <f>"1811"</f>
        <v>1811</v>
      </c>
      <c r="E11438" t="str">
        <f t="shared" ref="E11438:E11443" si="2200">"25"</f>
        <v>25</v>
      </c>
      <c r="F11438" t="str">
        <f t="shared" si="2188"/>
        <v>COM</v>
      </c>
      <c r="G11438" t="str">
        <f t="shared" ref="G11438:G11443" si="2201">"RENATO DE SOUZA HADDAD (1059)"</f>
        <v>RENATO DE SOUZA HADDAD (1059)</v>
      </c>
      <c r="H11438" t="str">
        <f>"Serv.Prest. 10/11/2025 a 16/11/2025 - PIX: CELULAR - CHAVE: (32) 98703-8039"</f>
        <v>Serv.Prest. 10/11/2025 a 16/11/2025 - PIX: CELULAR - CHAVE: (32) 98703-8039</v>
      </c>
      <c r="I11438" t="str">
        <f>("18/11/2025")</f>
        <v>18/11/2025</v>
      </c>
      <c r="J11438" t="str">
        <f>("18/11/2025")</f>
        <v>18/11/2025</v>
      </c>
      <c r="K11438" t="str">
        <f>("18/11/2025")</f>
        <v>18/11/2025</v>
      </c>
      <c r="L11438">
        <v>120</v>
      </c>
      <c r="M11438">
        <v>120</v>
      </c>
      <c r="N11438">
        <v>134</v>
      </c>
      <c r="O11438" t="str">
        <f>"DIARIA DE MOTOBOY"</f>
        <v>DIARIA DE MOTOBOY</v>
      </c>
      <c r="P11438">
        <v>120</v>
      </c>
      <c r="S11438" t="str">
        <f>"CAIXA MOVIMENTAÇÃO OPERACIONAL (132)"</f>
        <v>CAIXA MOVIMENTAÇÃO OPERACIONAL (132)</v>
      </c>
      <c r="T11438">
        <v>21234</v>
      </c>
      <c r="U11438">
        <v>25821</v>
      </c>
      <c r="V11438" t="s">
        <v>48</v>
      </c>
    </row>
    <row r="11439" spans="1:22">
      <c r="A11439" t="str">
        <f t="shared" si="2198"/>
        <v>18/11/2025</v>
      </c>
      <c r="B11439" t="str">
        <f t="shared" si="2194"/>
        <v>SAÍDA</v>
      </c>
      <c r="C11439" t="str">
        <f t="shared" si="2196"/>
        <v>PIX</v>
      </c>
      <c r="D11439" t="str">
        <f>"1811"</f>
        <v>1811</v>
      </c>
      <c r="E11439" t="str">
        <f t="shared" si="2200"/>
        <v>25</v>
      </c>
      <c r="F11439" t="str">
        <f t="shared" si="2188"/>
        <v>COM</v>
      </c>
      <c r="G11439" t="str">
        <f t="shared" si="2201"/>
        <v>RENATO DE SOUZA HADDAD (1059)</v>
      </c>
      <c r="H11439" t="s">
        <v>3076</v>
      </c>
      <c r="I11439" t="str">
        <f>("18/11/2025")</f>
        <v>18/11/2025</v>
      </c>
      <c r="J11439" t="str">
        <f>("18/11/2025")</f>
        <v>18/11/2025</v>
      </c>
      <c r="K11439">
        <v>45979</v>
      </c>
      <c r="N11439">
        <v>134</v>
      </c>
      <c r="O11439" t="s">
        <v>41</v>
      </c>
      <c r="Q11439">
        <v>120</v>
      </c>
      <c r="R11439" t="str">
        <f>"FARMÁCIA INDIANA LJ 219 (10091)"</f>
        <v>FARMÁCIA INDIANA LJ 219 (10091)</v>
      </c>
      <c r="S11439" t="s">
        <v>48</v>
      </c>
      <c r="T11439">
        <v>21234</v>
      </c>
      <c r="U11439">
        <v>25821</v>
      </c>
      <c r="V11439" t="s">
        <v>48</v>
      </c>
    </row>
    <row r="11440" spans="1:22">
      <c r="A11440" t="str">
        <f t="shared" si="2198"/>
        <v>18/11/2025</v>
      </c>
      <c r="B11440" t="str">
        <f>"ENTRADA"</f>
        <v>ENTRADA</v>
      </c>
      <c r="C11440" t="str">
        <f>"DINHEIRO"</f>
        <v>DINHEIRO</v>
      </c>
      <c r="D11440" t="str">
        <f>"2011"</f>
        <v>2011</v>
      </c>
      <c r="E11440" t="str">
        <f t="shared" si="2200"/>
        <v>25</v>
      </c>
      <c r="F11440" t="str">
        <f t="shared" si="2188"/>
        <v>COM</v>
      </c>
      <c r="G11440" t="str">
        <f t="shared" si="2201"/>
        <v>RENATO DE SOUZA HADDAD (1059)</v>
      </c>
      <c r="H11440" t="str">
        <f>"REEMBOLSO ADIANTAMENTO"</f>
        <v>REEMBOLSO ADIANTAMENTO</v>
      </c>
      <c r="I11440" t="str">
        <f>("20/11/2025")</f>
        <v>20/11/2025</v>
      </c>
      <c r="J11440" t="str">
        <f>("06/11/2025")</f>
        <v>06/11/2025</v>
      </c>
      <c r="K11440" t="str">
        <f>("18/11/2025")</f>
        <v>18/11/2025</v>
      </c>
      <c r="L11440">
        <v>120</v>
      </c>
      <c r="M11440">
        <v>120</v>
      </c>
      <c r="N11440">
        <v>129</v>
      </c>
      <c r="O11440" t="str">
        <f>"ENTRADA DE REEMBOLSO ADIANTAMENTO"</f>
        <v>ENTRADA DE REEMBOLSO ADIANTAMENTO</v>
      </c>
      <c r="P11440">
        <v>120</v>
      </c>
      <c r="S11440" t="str">
        <f>"ENTRADA DE REEMBOLSO ADIANTAMENTO (129)"</f>
        <v>ENTRADA DE REEMBOLSO ADIANTAMENTO (129)</v>
      </c>
      <c r="T11440">
        <v>21235</v>
      </c>
      <c r="U11440">
        <v>24941</v>
      </c>
      <c r="V11440" t="s">
        <v>48</v>
      </c>
    </row>
    <row r="11441" spans="1:22">
      <c r="A11441" t="str">
        <f t="shared" si="2198"/>
        <v>18/11/2025</v>
      </c>
      <c r="B11441" t="str">
        <f>"ENTRADA"</f>
        <v>ENTRADA</v>
      </c>
      <c r="C11441" t="str">
        <f>"DINHEIRO"</f>
        <v>DINHEIRO</v>
      </c>
      <c r="D11441" t="str">
        <f>"2011"</f>
        <v>2011</v>
      </c>
      <c r="E11441" t="str">
        <f t="shared" si="2200"/>
        <v>25</v>
      </c>
      <c r="F11441" t="str">
        <f t="shared" si="2188"/>
        <v>COM</v>
      </c>
      <c r="G11441" t="str">
        <f t="shared" si="2201"/>
        <v>RENATO DE SOUZA HADDAD (1059)</v>
      </c>
      <c r="H11441" t="s">
        <v>57</v>
      </c>
      <c r="I11441" t="str">
        <f>("20/11/2025")</f>
        <v>20/11/2025</v>
      </c>
      <c r="J11441" t="str">
        <f>("06/11/2025")</f>
        <v>06/11/2025</v>
      </c>
      <c r="K11441">
        <v>45979</v>
      </c>
      <c r="N11441">
        <v>129</v>
      </c>
      <c r="O11441" t="s">
        <v>58</v>
      </c>
      <c r="Q11441">
        <v>120</v>
      </c>
      <c r="R11441" t="str">
        <f>"FARMÁCIA INDIANA LJ 219 (10091)"</f>
        <v>FARMÁCIA INDIANA LJ 219 (10091)</v>
      </c>
      <c r="S11441" t="s">
        <v>59</v>
      </c>
      <c r="T11441">
        <v>21235</v>
      </c>
      <c r="U11441">
        <v>24941</v>
      </c>
      <c r="V11441" t="s">
        <v>48</v>
      </c>
    </row>
    <row r="11442" spans="1:22">
      <c r="A11442" t="str">
        <f t="shared" si="2198"/>
        <v>18/11/2025</v>
      </c>
      <c r="B11442" t="str">
        <f t="shared" ref="B11442:B11473" si="2202">"SAÍDA"</f>
        <v>SAÍDA</v>
      </c>
      <c r="C11442" t="str">
        <f t="shared" ref="C11442:C11473" si="2203">"PIX"</f>
        <v>PIX</v>
      </c>
      <c r="D11442" t="str">
        <f>"1811"</f>
        <v>1811</v>
      </c>
      <c r="E11442" t="str">
        <f t="shared" si="2200"/>
        <v>25</v>
      </c>
      <c r="F11442" t="str">
        <f t="shared" si="2188"/>
        <v>COM</v>
      </c>
      <c r="G11442" t="str">
        <f t="shared" si="2201"/>
        <v>RENATO DE SOUZA HADDAD (1059)</v>
      </c>
      <c r="H11442" t="str">
        <f>"Serv.Prest. 10/11/2025 a 16/11/2025 - PIX: CELULAR - CHAVE: (32) 98703-8039"</f>
        <v>Serv.Prest. 10/11/2025 a 16/11/2025 - PIX: CELULAR - CHAVE: (32) 98703-8039</v>
      </c>
      <c r="I11442" t="str">
        <f>("18/11/2025")</f>
        <v>18/11/2025</v>
      </c>
      <c r="J11442" t="str">
        <f>("18/11/2025")</f>
        <v>18/11/2025</v>
      </c>
      <c r="K11442" t="str">
        <f>("18/11/2025")</f>
        <v>18/11/2025</v>
      </c>
      <c r="L11442">
        <v>120</v>
      </c>
      <c r="M11442">
        <v>120</v>
      </c>
      <c r="N11442">
        <v>134</v>
      </c>
      <c r="O11442" t="str">
        <f>"DIARIA DE MOTOBOY"</f>
        <v>DIARIA DE MOTOBOY</v>
      </c>
      <c r="P11442">
        <v>120</v>
      </c>
      <c r="S11442" t="str">
        <f>"BANCO CORA (102)"</f>
        <v>BANCO CORA (102)</v>
      </c>
      <c r="T11442">
        <v>21236</v>
      </c>
      <c r="U11442">
        <v>25820</v>
      </c>
      <c r="V11442" t="s">
        <v>22</v>
      </c>
    </row>
    <row r="11443" spans="1:22">
      <c r="A11443" t="str">
        <f t="shared" si="2198"/>
        <v>18/11/2025</v>
      </c>
      <c r="B11443" t="str">
        <f t="shared" si="2202"/>
        <v>SAÍDA</v>
      </c>
      <c r="C11443" t="str">
        <f t="shared" si="2203"/>
        <v>PIX</v>
      </c>
      <c r="D11443" t="str">
        <f>"1811"</f>
        <v>1811</v>
      </c>
      <c r="E11443" t="str">
        <f t="shared" si="2200"/>
        <v>25</v>
      </c>
      <c r="F11443" t="str">
        <f t="shared" si="2188"/>
        <v>COM</v>
      </c>
      <c r="G11443" t="str">
        <f t="shared" si="2201"/>
        <v>RENATO DE SOUZA HADDAD (1059)</v>
      </c>
      <c r="H11443" t="s">
        <v>3076</v>
      </c>
      <c r="I11443" t="str">
        <f>("18/11/2025")</f>
        <v>18/11/2025</v>
      </c>
      <c r="J11443" t="str">
        <f>("18/11/2025")</f>
        <v>18/11/2025</v>
      </c>
      <c r="K11443">
        <v>45979</v>
      </c>
      <c r="N11443">
        <v>134</v>
      </c>
      <c r="O11443" t="s">
        <v>41</v>
      </c>
      <c r="Q11443">
        <v>120</v>
      </c>
      <c r="R11443" t="str">
        <f>"FARMÁCIA INDIANA LJ 219 (10091)"</f>
        <v>FARMÁCIA INDIANA LJ 219 (10091)</v>
      </c>
      <c r="S11443" t="s">
        <v>22</v>
      </c>
      <c r="T11443">
        <v>21236</v>
      </c>
      <c r="U11443">
        <v>25820</v>
      </c>
      <c r="V11443" t="s">
        <v>22</v>
      </c>
    </row>
    <row r="11444" spans="1:22">
      <c r="A11444" t="str">
        <f t="shared" si="2198"/>
        <v>18/11/2025</v>
      </c>
      <c r="B11444" t="str">
        <f t="shared" si="2202"/>
        <v>SAÍDA</v>
      </c>
      <c r="C11444" t="str">
        <f t="shared" si="2203"/>
        <v>PIX</v>
      </c>
      <c r="D11444" t="str">
        <f>"25524"</f>
        <v>25524</v>
      </c>
      <c r="E11444" t="str">
        <f t="shared" ref="E11444:E11488" si="2204">"1"</f>
        <v>1</v>
      </c>
      <c r="F11444" t="str">
        <f t="shared" si="2188"/>
        <v>COM</v>
      </c>
      <c r="G11444" t="str">
        <f>"ALINE ALVES DA SILVA (1081)"</f>
        <v>ALINE ALVES DA SILVA (1081)</v>
      </c>
      <c r="H11444" t="str">
        <f>"Serv.Prest. 10/11/2025 a 16/11/2025 - PIX: CELULAR - CHAVE: (11) 98439-2238"</f>
        <v>Serv.Prest. 10/11/2025 a 16/11/2025 - PIX: CELULAR - CHAVE: (11) 98439-2238</v>
      </c>
      <c r="I11444" t="str">
        <f t="shared" ref="I11444:I11475" si="2205">("18/11/2025")</f>
        <v>18/11/2025</v>
      </c>
      <c r="J11444" t="str">
        <f t="shared" ref="J11444:J11459" si="2206">("17/11/2025")</f>
        <v>17/11/2025</v>
      </c>
      <c r="K11444" t="str">
        <f>("18/11/2025")</f>
        <v>18/11/2025</v>
      </c>
      <c r="L11444">
        <v>250</v>
      </c>
      <c r="M11444">
        <v>250</v>
      </c>
      <c r="N11444">
        <v>134</v>
      </c>
      <c r="O11444" t="str">
        <f>"DIARIA DE MOTOBOY"</f>
        <v>DIARIA DE MOTOBOY</v>
      </c>
      <c r="P11444">
        <v>250</v>
      </c>
      <c r="S11444" t="str">
        <f>"BANCO CORA (102)"</f>
        <v>BANCO CORA (102)</v>
      </c>
      <c r="T11444">
        <v>21248</v>
      </c>
      <c r="U11444">
        <v>25524</v>
      </c>
      <c r="V11444" t="s">
        <v>22</v>
      </c>
    </row>
    <row r="11445" spans="1:22">
      <c r="A11445" t="str">
        <f t="shared" si="2198"/>
        <v>18/11/2025</v>
      </c>
      <c r="B11445" t="str">
        <f t="shared" si="2202"/>
        <v>SAÍDA</v>
      </c>
      <c r="C11445" t="str">
        <f t="shared" si="2203"/>
        <v>PIX</v>
      </c>
      <c r="D11445" t="str">
        <f>"25524"</f>
        <v>25524</v>
      </c>
      <c r="E11445" t="str">
        <f t="shared" si="2204"/>
        <v>1</v>
      </c>
      <c r="F11445" t="str">
        <f t="shared" si="2188"/>
        <v>COM</v>
      </c>
      <c r="G11445" t="str">
        <f>"ALINE ALVES DA SILVA (1081)"</f>
        <v>ALINE ALVES DA SILVA (1081)</v>
      </c>
      <c r="H11445" t="s">
        <v>3077</v>
      </c>
      <c r="I11445" t="str">
        <f t="shared" si="2205"/>
        <v>18/11/2025</v>
      </c>
      <c r="J11445" t="str">
        <f t="shared" si="2206"/>
        <v>17/11/2025</v>
      </c>
      <c r="K11445">
        <v>45979</v>
      </c>
      <c r="N11445">
        <v>134</v>
      </c>
      <c r="O11445" t="s">
        <v>41</v>
      </c>
      <c r="Q11445">
        <v>83.33</v>
      </c>
      <c r="R11445" t="str">
        <f>"PENSE FARMA 31 (10205)"</f>
        <v>PENSE FARMA 31 (10205)</v>
      </c>
      <c r="S11445" t="s">
        <v>22</v>
      </c>
      <c r="T11445">
        <v>21248</v>
      </c>
      <c r="U11445">
        <v>25524</v>
      </c>
      <c r="V11445" t="s">
        <v>22</v>
      </c>
    </row>
    <row r="11446" spans="1:22">
      <c r="A11446" t="str">
        <f t="shared" si="2198"/>
        <v>18/11/2025</v>
      </c>
      <c r="B11446" t="str">
        <f t="shared" si="2202"/>
        <v>SAÍDA</v>
      </c>
      <c r="C11446" t="str">
        <f t="shared" si="2203"/>
        <v>PIX</v>
      </c>
      <c r="D11446" t="str">
        <f>"25524"</f>
        <v>25524</v>
      </c>
      <c r="E11446" t="str">
        <f t="shared" si="2204"/>
        <v>1</v>
      </c>
      <c r="F11446" t="str">
        <f t="shared" si="2188"/>
        <v>COM</v>
      </c>
      <c r="G11446" t="str">
        <f>"ALINE ALVES DA SILVA (1081)"</f>
        <v>ALINE ALVES DA SILVA (1081)</v>
      </c>
      <c r="H11446" t="s">
        <v>3077</v>
      </c>
      <c r="I11446" t="str">
        <f t="shared" si="2205"/>
        <v>18/11/2025</v>
      </c>
      <c r="J11446" t="str">
        <f t="shared" si="2206"/>
        <v>17/11/2025</v>
      </c>
      <c r="K11446">
        <v>45979</v>
      </c>
      <c r="N11446">
        <v>134</v>
      </c>
      <c r="O11446" t="s">
        <v>41</v>
      </c>
      <c r="Q11446">
        <v>83.32</v>
      </c>
      <c r="R11446" t="str">
        <f>"PENSE FARMA 16 (10221)"</f>
        <v>PENSE FARMA 16 (10221)</v>
      </c>
      <c r="S11446" t="s">
        <v>22</v>
      </c>
      <c r="T11446">
        <v>21248</v>
      </c>
      <c r="U11446">
        <v>25524</v>
      </c>
      <c r="V11446" t="s">
        <v>22</v>
      </c>
    </row>
    <row r="11447" spans="1:22">
      <c r="A11447" t="str">
        <f t="shared" si="2198"/>
        <v>18/11/2025</v>
      </c>
      <c r="B11447" t="str">
        <f t="shared" si="2202"/>
        <v>SAÍDA</v>
      </c>
      <c r="C11447" t="str">
        <f t="shared" si="2203"/>
        <v>PIX</v>
      </c>
      <c r="D11447" t="str">
        <f>"25524"</f>
        <v>25524</v>
      </c>
      <c r="E11447" t="str">
        <f t="shared" si="2204"/>
        <v>1</v>
      </c>
      <c r="F11447" t="str">
        <f t="shared" si="2188"/>
        <v>COM</v>
      </c>
      <c r="G11447" t="str">
        <f>"ALINE ALVES DA SILVA (1081)"</f>
        <v>ALINE ALVES DA SILVA (1081)</v>
      </c>
      <c r="H11447" t="s">
        <v>3077</v>
      </c>
      <c r="I11447" t="str">
        <f t="shared" si="2205"/>
        <v>18/11/2025</v>
      </c>
      <c r="J11447" t="str">
        <f t="shared" si="2206"/>
        <v>17/11/2025</v>
      </c>
      <c r="K11447">
        <v>45979</v>
      </c>
      <c r="N11447">
        <v>134</v>
      </c>
      <c r="O11447" t="s">
        <v>41</v>
      </c>
      <c r="Q11447">
        <v>83.35</v>
      </c>
      <c r="R11447" t="str">
        <f>"PENSE FARMA 17 (10222)"</f>
        <v>PENSE FARMA 17 (10222)</v>
      </c>
      <c r="S11447" t="s">
        <v>22</v>
      </c>
      <c r="T11447">
        <v>21248</v>
      </c>
      <c r="U11447">
        <v>25524</v>
      </c>
      <c r="V11447" t="s">
        <v>22</v>
      </c>
    </row>
    <row r="11448" spans="1:22">
      <c r="A11448" t="str">
        <f t="shared" si="2198"/>
        <v>18/11/2025</v>
      </c>
      <c r="B11448" t="str">
        <f t="shared" si="2202"/>
        <v>SAÍDA</v>
      </c>
      <c r="C11448" t="str">
        <f t="shared" si="2203"/>
        <v>PIX</v>
      </c>
      <c r="D11448" t="str">
        <f>"25529"</f>
        <v>25529</v>
      </c>
      <c r="E11448" t="str">
        <f t="shared" si="2204"/>
        <v>1</v>
      </c>
      <c r="F11448" t="str">
        <f t="shared" si="2188"/>
        <v>COM</v>
      </c>
      <c r="G11448" t="str">
        <f>"MARCELO YURI DE SOUZA GONCALVES (1089)"</f>
        <v>MARCELO YURI DE SOUZA GONCALVES (1089)</v>
      </c>
      <c r="H11448" t="str">
        <f>"Serv.Prest. 10/11/2025 a 16/11/2025 - PIX: CELULAR - CHAVE: (11) 93081-1308"</f>
        <v>Serv.Prest. 10/11/2025 a 16/11/2025 - PIX: CELULAR - CHAVE: (11) 93081-1308</v>
      </c>
      <c r="I11448" t="str">
        <f t="shared" si="2205"/>
        <v>18/11/2025</v>
      </c>
      <c r="J11448" t="str">
        <f t="shared" si="2206"/>
        <v>17/11/2025</v>
      </c>
      <c r="K11448" t="str">
        <f>("18/11/2025")</f>
        <v>18/11/2025</v>
      </c>
      <c r="L11448">
        <v>250</v>
      </c>
      <c r="M11448">
        <v>250</v>
      </c>
      <c r="N11448">
        <v>134</v>
      </c>
      <c r="O11448" t="str">
        <f>"DIARIA DE MOTOBOY"</f>
        <v>DIARIA DE MOTOBOY</v>
      </c>
      <c r="P11448">
        <v>250</v>
      </c>
      <c r="S11448" t="str">
        <f>"BANCO CORA (102)"</f>
        <v>BANCO CORA (102)</v>
      </c>
      <c r="T11448">
        <v>21249</v>
      </c>
      <c r="U11448">
        <v>25529</v>
      </c>
      <c r="V11448" t="s">
        <v>22</v>
      </c>
    </row>
    <row r="11449" spans="1:22">
      <c r="A11449" t="str">
        <f t="shared" si="2198"/>
        <v>18/11/2025</v>
      </c>
      <c r="B11449" t="str">
        <f t="shared" si="2202"/>
        <v>SAÍDA</v>
      </c>
      <c r="C11449" t="str">
        <f t="shared" si="2203"/>
        <v>PIX</v>
      </c>
      <c r="D11449" t="str">
        <f>"25529"</f>
        <v>25529</v>
      </c>
      <c r="E11449" t="str">
        <f t="shared" si="2204"/>
        <v>1</v>
      </c>
      <c r="F11449" t="str">
        <f t="shared" si="2188"/>
        <v>COM</v>
      </c>
      <c r="G11449" t="str">
        <f>"MARCELO YURI DE SOUZA GONCALVES (1089)"</f>
        <v>MARCELO YURI DE SOUZA GONCALVES (1089)</v>
      </c>
      <c r="H11449" t="s">
        <v>3078</v>
      </c>
      <c r="I11449" t="str">
        <f t="shared" si="2205"/>
        <v>18/11/2025</v>
      </c>
      <c r="J11449" t="str">
        <f t="shared" si="2206"/>
        <v>17/11/2025</v>
      </c>
      <c r="K11449">
        <v>45979</v>
      </c>
      <c r="N11449">
        <v>134</v>
      </c>
      <c r="O11449" t="s">
        <v>41</v>
      </c>
      <c r="Q11449">
        <v>250</v>
      </c>
      <c r="R11449" t="str">
        <f>"PENSE FARMA 19 (10223)"</f>
        <v>PENSE FARMA 19 (10223)</v>
      </c>
      <c r="S11449" t="s">
        <v>22</v>
      </c>
      <c r="T11449">
        <v>21249</v>
      </c>
      <c r="U11449">
        <v>25529</v>
      </c>
      <c r="V11449" t="s">
        <v>22</v>
      </c>
    </row>
    <row r="11450" spans="1:22">
      <c r="A11450" t="str">
        <f t="shared" si="2198"/>
        <v>18/11/2025</v>
      </c>
      <c r="B11450" t="str">
        <f t="shared" si="2202"/>
        <v>SAÍDA</v>
      </c>
      <c r="C11450" t="str">
        <f t="shared" si="2203"/>
        <v>PIX</v>
      </c>
      <c r="D11450" t="str">
        <f>"25531"</f>
        <v>25531</v>
      </c>
      <c r="E11450" t="str">
        <f t="shared" si="2204"/>
        <v>1</v>
      </c>
      <c r="F11450" t="str">
        <f t="shared" si="2188"/>
        <v>COM</v>
      </c>
      <c r="G11450" t="str">
        <f>"DOUGLAS VINICIUS DE OLIVEIRA (1086)"</f>
        <v>DOUGLAS VINICIUS DE OLIVEIRA (1086)</v>
      </c>
      <c r="H11450" t="str">
        <f>"Serv.Prest. 10/11/2025 a 16/11/2025 - PIX: CNPJ - CHAVE: 45.037.027/0001-97"</f>
        <v>Serv.Prest. 10/11/2025 a 16/11/2025 - PIX: CNPJ - CHAVE: 45.037.027/0001-97</v>
      </c>
      <c r="I11450" t="str">
        <f t="shared" si="2205"/>
        <v>18/11/2025</v>
      </c>
      <c r="J11450" t="str">
        <f t="shared" si="2206"/>
        <v>17/11/2025</v>
      </c>
      <c r="K11450" t="str">
        <f>("18/11/2025")</f>
        <v>18/11/2025</v>
      </c>
      <c r="L11450">
        <v>250</v>
      </c>
      <c r="M11450">
        <v>250</v>
      </c>
      <c r="N11450">
        <v>134</v>
      </c>
      <c r="O11450" t="str">
        <f>"DIARIA DE MOTOBOY"</f>
        <v>DIARIA DE MOTOBOY</v>
      </c>
      <c r="P11450">
        <v>250</v>
      </c>
      <c r="S11450" t="str">
        <f>"BANCO CORA (102)"</f>
        <v>BANCO CORA (102)</v>
      </c>
      <c r="T11450">
        <v>21250</v>
      </c>
      <c r="U11450">
        <v>25531</v>
      </c>
      <c r="V11450" t="s">
        <v>22</v>
      </c>
    </row>
    <row r="11451" spans="1:22">
      <c r="A11451" t="str">
        <f t="shared" si="2198"/>
        <v>18/11/2025</v>
      </c>
      <c r="B11451" t="str">
        <f t="shared" si="2202"/>
        <v>SAÍDA</v>
      </c>
      <c r="C11451" t="str">
        <f t="shared" si="2203"/>
        <v>PIX</v>
      </c>
      <c r="D11451" t="str">
        <f>"25531"</f>
        <v>25531</v>
      </c>
      <c r="E11451" t="str">
        <f t="shared" si="2204"/>
        <v>1</v>
      </c>
      <c r="F11451" t="str">
        <f t="shared" si="2188"/>
        <v>COM</v>
      </c>
      <c r="G11451" t="str">
        <f>"DOUGLAS VINICIUS DE OLIVEIRA (1086)"</f>
        <v>DOUGLAS VINICIUS DE OLIVEIRA (1086)</v>
      </c>
      <c r="H11451" t="s">
        <v>3079</v>
      </c>
      <c r="I11451" t="str">
        <f t="shared" si="2205"/>
        <v>18/11/2025</v>
      </c>
      <c r="J11451" t="str">
        <f t="shared" si="2206"/>
        <v>17/11/2025</v>
      </c>
      <c r="K11451">
        <v>45979</v>
      </c>
      <c r="N11451">
        <v>134</v>
      </c>
      <c r="O11451" t="s">
        <v>41</v>
      </c>
      <c r="Q11451">
        <v>250</v>
      </c>
      <c r="R11451" t="str">
        <f>"PENSE FARMA 49 (10234)"</f>
        <v>PENSE FARMA 49 (10234)</v>
      </c>
      <c r="S11451" t="s">
        <v>22</v>
      </c>
      <c r="T11451">
        <v>21250</v>
      </c>
      <c r="U11451">
        <v>25531</v>
      </c>
      <c r="V11451" t="s">
        <v>22</v>
      </c>
    </row>
    <row r="11452" spans="1:22">
      <c r="A11452" t="str">
        <f t="shared" si="2198"/>
        <v>18/11/2025</v>
      </c>
      <c r="B11452" t="str">
        <f t="shared" si="2202"/>
        <v>SAÍDA</v>
      </c>
      <c r="C11452" t="str">
        <f t="shared" si="2203"/>
        <v>PIX</v>
      </c>
      <c r="D11452" t="str">
        <f>"25547"</f>
        <v>25547</v>
      </c>
      <c r="E11452" t="str">
        <f t="shared" si="2204"/>
        <v>1</v>
      </c>
      <c r="F11452" t="str">
        <f t="shared" si="2188"/>
        <v>COM</v>
      </c>
      <c r="G11452" t="str">
        <f>"JOSE CARLOS ZEFERINO (1091)"</f>
        <v>JOSE CARLOS ZEFERINO (1091)</v>
      </c>
      <c r="H11452" t="str">
        <f>"Serv.Prest. 10/11/2025 a 16/11/2025 - PIX: CPF - CHAVE: 124.213.448-40"</f>
        <v>Serv.Prest. 10/11/2025 a 16/11/2025 - PIX: CPF - CHAVE: 124.213.448-40</v>
      </c>
      <c r="I11452" t="str">
        <f t="shared" si="2205"/>
        <v>18/11/2025</v>
      </c>
      <c r="J11452" t="str">
        <f t="shared" si="2206"/>
        <v>17/11/2025</v>
      </c>
      <c r="K11452" t="str">
        <f>("18/11/2025")</f>
        <v>18/11/2025</v>
      </c>
      <c r="L11452">
        <v>250</v>
      </c>
      <c r="M11452">
        <v>250</v>
      </c>
      <c r="N11452">
        <v>134</v>
      </c>
      <c r="O11452" t="str">
        <f>"DIARIA DE MOTOBOY"</f>
        <v>DIARIA DE MOTOBOY</v>
      </c>
      <c r="P11452">
        <v>250</v>
      </c>
      <c r="S11452" t="str">
        <f>"BANCO CORA (102)"</f>
        <v>BANCO CORA (102)</v>
      </c>
      <c r="T11452">
        <v>21251</v>
      </c>
      <c r="U11452">
        <v>25547</v>
      </c>
      <c r="V11452" t="s">
        <v>22</v>
      </c>
    </row>
    <row r="11453" spans="1:22">
      <c r="A11453" t="str">
        <f t="shared" si="2198"/>
        <v>18/11/2025</v>
      </c>
      <c r="B11453" t="str">
        <f t="shared" si="2202"/>
        <v>SAÍDA</v>
      </c>
      <c r="C11453" t="str">
        <f t="shared" si="2203"/>
        <v>PIX</v>
      </c>
      <c r="D11453" t="str">
        <f>"25547"</f>
        <v>25547</v>
      </c>
      <c r="E11453" t="str">
        <f t="shared" si="2204"/>
        <v>1</v>
      </c>
      <c r="F11453" t="str">
        <f t="shared" si="2188"/>
        <v>COM</v>
      </c>
      <c r="G11453" t="str">
        <f>"JOSE CARLOS ZEFERINO (1091)"</f>
        <v>JOSE CARLOS ZEFERINO (1091)</v>
      </c>
      <c r="H11453" t="s">
        <v>3080</v>
      </c>
      <c r="I11453" t="str">
        <f t="shared" si="2205"/>
        <v>18/11/2025</v>
      </c>
      <c r="J11453" t="str">
        <f t="shared" si="2206"/>
        <v>17/11/2025</v>
      </c>
      <c r="K11453">
        <v>45979</v>
      </c>
      <c r="N11453">
        <v>134</v>
      </c>
      <c r="O11453" t="s">
        <v>41</v>
      </c>
      <c r="Q11453">
        <v>250</v>
      </c>
      <c r="R11453" t="str">
        <f>"PENSE FARMA 25 (10224)"</f>
        <v>PENSE FARMA 25 (10224)</v>
      </c>
      <c r="S11453" t="s">
        <v>22</v>
      </c>
      <c r="T11453">
        <v>21251</v>
      </c>
      <c r="U11453">
        <v>25547</v>
      </c>
      <c r="V11453" t="s">
        <v>22</v>
      </c>
    </row>
    <row r="11454" spans="1:22">
      <c r="A11454" t="str">
        <f t="shared" si="2198"/>
        <v>18/11/2025</v>
      </c>
      <c r="B11454" t="str">
        <f t="shared" si="2202"/>
        <v>SAÍDA</v>
      </c>
      <c r="C11454" t="str">
        <f t="shared" si="2203"/>
        <v>PIX</v>
      </c>
      <c r="D11454" t="str">
        <f>"25588"</f>
        <v>25588</v>
      </c>
      <c r="E11454" t="str">
        <f t="shared" si="2204"/>
        <v>1</v>
      </c>
      <c r="F11454" t="str">
        <f t="shared" si="2188"/>
        <v>COM</v>
      </c>
      <c r="G11454" t="str">
        <f>"RODOLFO RAFAEL BALSI LIMA (1077)"</f>
        <v>RODOLFO RAFAEL BALSI LIMA (1077)</v>
      </c>
      <c r="H11454" t="str">
        <f>"Serv.Prest. 10/11/2025 a 16/11/2025 - PIX: CELULAR - CHAVE: (11) 99239-3232"</f>
        <v>Serv.Prest. 10/11/2025 a 16/11/2025 - PIX: CELULAR - CHAVE: (11) 99239-3232</v>
      </c>
      <c r="I11454" t="str">
        <f t="shared" si="2205"/>
        <v>18/11/2025</v>
      </c>
      <c r="J11454" t="str">
        <f t="shared" si="2206"/>
        <v>17/11/2025</v>
      </c>
      <c r="K11454" t="str">
        <f>("18/11/2025")</f>
        <v>18/11/2025</v>
      </c>
      <c r="L11454">
        <v>250</v>
      </c>
      <c r="M11454">
        <v>250</v>
      </c>
      <c r="N11454">
        <v>134</v>
      </c>
      <c r="O11454" t="str">
        <f>"DIARIA DE MOTOBOY"</f>
        <v>DIARIA DE MOTOBOY</v>
      </c>
      <c r="P11454">
        <v>250</v>
      </c>
      <c r="S11454" t="str">
        <f>"BANCO CORA (102)"</f>
        <v>BANCO CORA (102)</v>
      </c>
      <c r="T11454">
        <v>21252</v>
      </c>
      <c r="U11454">
        <v>25588</v>
      </c>
      <c r="V11454" t="s">
        <v>22</v>
      </c>
    </row>
    <row r="11455" spans="1:22">
      <c r="A11455" t="str">
        <f t="shared" si="2198"/>
        <v>18/11/2025</v>
      </c>
      <c r="B11455" t="str">
        <f t="shared" si="2202"/>
        <v>SAÍDA</v>
      </c>
      <c r="C11455" t="str">
        <f t="shared" si="2203"/>
        <v>PIX</v>
      </c>
      <c r="D11455" t="str">
        <f>"25588"</f>
        <v>25588</v>
      </c>
      <c r="E11455" t="str">
        <f t="shared" si="2204"/>
        <v>1</v>
      </c>
      <c r="F11455" t="str">
        <f t="shared" si="2188"/>
        <v>COM</v>
      </c>
      <c r="G11455" t="str">
        <f>"RODOLFO RAFAEL BALSI LIMA (1077)"</f>
        <v>RODOLFO RAFAEL BALSI LIMA (1077)</v>
      </c>
      <c r="H11455" t="s">
        <v>3081</v>
      </c>
      <c r="I11455" t="str">
        <f t="shared" si="2205"/>
        <v>18/11/2025</v>
      </c>
      <c r="J11455" t="str">
        <f t="shared" si="2206"/>
        <v>17/11/2025</v>
      </c>
      <c r="K11455">
        <v>45979</v>
      </c>
      <c r="N11455">
        <v>134</v>
      </c>
      <c r="O11455" t="s">
        <v>41</v>
      </c>
      <c r="Q11455">
        <v>250</v>
      </c>
      <c r="R11455" t="str">
        <f>"PENSE FARMA 36 (10206)"</f>
        <v>PENSE FARMA 36 (10206)</v>
      </c>
      <c r="S11455" t="s">
        <v>22</v>
      </c>
      <c r="T11455">
        <v>21252</v>
      </c>
      <c r="U11455">
        <v>25588</v>
      </c>
      <c r="V11455" t="s">
        <v>22</v>
      </c>
    </row>
    <row r="11456" spans="1:22">
      <c r="A11456" t="str">
        <f t="shared" si="2198"/>
        <v>18/11/2025</v>
      </c>
      <c r="B11456" t="str">
        <f t="shared" si="2202"/>
        <v>SAÍDA</v>
      </c>
      <c r="C11456" t="str">
        <f t="shared" si="2203"/>
        <v>PIX</v>
      </c>
      <c r="D11456" t="str">
        <f>"25594"</f>
        <v>25594</v>
      </c>
      <c r="E11456" t="str">
        <f t="shared" si="2204"/>
        <v>1</v>
      </c>
      <c r="F11456" t="str">
        <f t="shared" si="2188"/>
        <v>COM</v>
      </c>
      <c r="G11456" t="str">
        <f>"JEFFERSON DA SILVA LOPES (1037)"</f>
        <v>JEFFERSON DA SILVA LOPES (1037)</v>
      </c>
      <c r="H11456" t="str">
        <f>"Serv.Prest. 10/11/2025 a 16/11/2025 - PIX: CPF - CHAVE: 507.243.348-07"</f>
        <v>Serv.Prest. 10/11/2025 a 16/11/2025 - PIX: CPF - CHAVE: 507.243.348-07</v>
      </c>
      <c r="I11456" t="str">
        <f t="shared" si="2205"/>
        <v>18/11/2025</v>
      </c>
      <c r="J11456" t="str">
        <f t="shared" si="2206"/>
        <v>17/11/2025</v>
      </c>
      <c r="K11456" t="str">
        <f>("18/11/2025")</f>
        <v>18/11/2025</v>
      </c>
      <c r="L11456">
        <v>250</v>
      </c>
      <c r="M11456">
        <v>250</v>
      </c>
      <c r="N11456">
        <v>134</v>
      </c>
      <c r="O11456" t="str">
        <f>"DIARIA DE MOTOBOY"</f>
        <v>DIARIA DE MOTOBOY</v>
      </c>
      <c r="P11456">
        <v>250</v>
      </c>
      <c r="S11456" t="str">
        <f>"BANCO CORA (102)"</f>
        <v>BANCO CORA (102)</v>
      </c>
      <c r="T11456">
        <v>21253</v>
      </c>
      <c r="U11456">
        <v>25594</v>
      </c>
      <c r="V11456" t="s">
        <v>22</v>
      </c>
    </row>
    <row r="11457" spans="1:22">
      <c r="A11457" t="str">
        <f t="shared" si="2198"/>
        <v>18/11/2025</v>
      </c>
      <c r="B11457" t="str">
        <f t="shared" si="2202"/>
        <v>SAÍDA</v>
      </c>
      <c r="C11457" t="str">
        <f t="shared" si="2203"/>
        <v>PIX</v>
      </c>
      <c r="D11457" t="str">
        <f>"25594"</f>
        <v>25594</v>
      </c>
      <c r="E11457" t="str">
        <f t="shared" si="2204"/>
        <v>1</v>
      </c>
      <c r="F11457" t="str">
        <f t="shared" si="2188"/>
        <v>COM</v>
      </c>
      <c r="G11457" t="str">
        <f>"JEFFERSON DA SILVA LOPES (1037)"</f>
        <v>JEFFERSON DA SILVA LOPES (1037)</v>
      </c>
      <c r="H11457" t="s">
        <v>3082</v>
      </c>
      <c r="I11457" t="str">
        <f t="shared" si="2205"/>
        <v>18/11/2025</v>
      </c>
      <c r="J11457" t="str">
        <f t="shared" si="2206"/>
        <v>17/11/2025</v>
      </c>
      <c r="K11457">
        <v>45979</v>
      </c>
      <c r="N11457">
        <v>134</v>
      </c>
      <c r="O11457" t="s">
        <v>41</v>
      </c>
      <c r="Q11457">
        <v>83.33</v>
      </c>
      <c r="R11457" t="str">
        <f>"PENSE FARMA 07 (10201)"</f>
        <v>PENSE FARMA 07 (10201)</v>
      </c>
      <c r="S11457" t="s">
        <v>22</v>
      </c>
      <c r="T11457">
        <v>21253</v>
      </c>
      <c r="U11457">
        <v>25594</v>
      </c>
      <c r="V11457" t="s">
        <v>22</v>
      </c>
    </row>
    <row r="11458" spans="1:22">
      <c r="A11458" t="str">
        <f t="shared" si="2198"/>
        <v>18/11/2025</v>
      </c>
      <c r="B11458" t="str">
        <f t="shared" si="2202"/>
        <v>SAÍDA</v>
      </c>
      <c r="C11458" t="str">
        <f t="shared" si="2203"/>
        <v>PIX</v>
      </c>
      <c r="D11458" t="str">
        <f>"25594"</f>
        <v>25594</v>
      </c>
      <c r="E11458" t="str">
        <f t="shared" si="2204"/>
        <v>1</v>
      </c>
      <c r="F11458" t="str">
        <f t="shared" si="2188"/>
        <v>COM</v>
      </c>
      <c r="G11458" t="str">
        <f>"JEFFERSON DA SILVA LOPES (1037)"</f>
        <v>JEFFERSON DA SILVA LOPES (1037)</v>
      </c>
      <c r="H11458" t="s">
        <v>3082</v>
      </c>
      <c r="I11458" t="str">
        <f t="shared" si="2205"/>
        <v>18/11/2025</v>
      </c>
      <c r="J11458" t="str">
        <f t="shared" si="2206"/>
        <v>17/11/2025</v>
      </c>
      <c r="K11458">
        <v>45979</v>
      </c>
      <c r="N11458">
        <v>134</v>
      </c>
      <c r="O11458" t="s">
        <v>41</v>
      </c>
      <c r="Q11458">
        <v>83.32</v>
      </c>
      <c r="R11458" t="str">
        <f>"PENSE FARMA 45 (10209)"</f>
        <v>PENSE FARMA 45 (10209)</v>
      </c>
      <c r="S11458" t="s">
        <v>22</v>
      </c>
      <c r="T11458">
        <v>21253</v>
      </c>
      <c r="U11458">
        <v>25594</v>
      </c>
      <c r="V11458" t="s">
        <v>22</v>
      </c>
    </row>
    <row r="11459" spans="1:22">
      <c r="A11459" t="str">
        <f t="shared" ref="A11459:A11490" si="2207">("18/11/2025")</f>
        <v>18/11/2025</v>
      </c>
      <c r="B11459" t="str">
        <f t="shared" si="2202"/>
        <v>SAÍDA</v>
      </c>
      <c r="C11459" t="str">
        <f t="shared" si="2203"/>
        <v>PIX</v>
      </c>
      <c r="D11459" t="str">
        <f>"25594"</f>
        <v>25594</v>
      </c>
      <c r="E11459" t="str">
        <f t="shared" si="2204"/>
        <v>1</v>
      </c>
      <c r="F11459" t="str">
        <f t="shared" si="2188"/>
        <v>COM</v>
      </c>
      <c r="G11459" t="str">
        <f>"JEFFERSON DA SILVA LOPES (1037)"</f>
        <v>JEFFERSON DA SILVA LOPES (1037)</v>
      </c>
      <c r="H11459" t="s">
        <v>3082</v>
      </c>
      <c r="I11459" t="str">
        <f t="shared" si="2205"/>
        <v>18/11/2025</v>
      </c>
      <c r="J11459" t="str">
        <f t="shared" si="2206"/>
        <v>17/11/2025</v>
      </c>
      <c r="K11459">
        <v>45979</v>
      </c>
      <c r="N11459">
        <v>134</v>
      </c>
      <c r="O11459" t="s">
        <v>41</v>
      </c>
      <c r="Q11459">
        <v>83.35</v>
      </c>
      <c r="R11459" t="str">
        <f>"PENSE FARMA 50 (10210)"</f>
        <v>PENSE FARMA 50 (10210)</v>
      </c>
      <c r="S11459" t="s">
        <v>22</v>
      </c>
      <c r="T11459">
        <v>21253</v>
      </c>
      <c r="U11459">
        <v>25594</v>
      </c>
      <c r="V11459" t="s">
        <v>22</v>
      </c>
    </row>
    <row r="11460" spans="1:22">
      <c r="A11460" t="str">
        <f t="shared" si="2207"/>
        <v>18/11/2025</v>
      </c>
      <c r="B11460" t="str">
        <f t="shared" si="2202"/>
        <v>SAÍDA</v>
      </c>
      <c r="C11460" t="str">
        <f t="shared" si="2203"/>
        <v>PIX</v>
      </c>
      <c r="D11460" t="str">
        <f>"25600"</f>
        <v>25600</v>
      </c>
      <c r="E11460" t="str">
        <f t="shared" si="2204"/>
        <v>1</v>
      </c>
      <c r="F11460" t="str">
        <f t="shared" si="2188"/>
        <v>COM</v>
      </c>
      <c r="G11460" t="str">
        <f>"WILLIAM FERREIRA DE OLIVEIRA (900)"</f>
        <v>WILLIAM FERREIRA DE OLIVEIRA (900)</v>
      </c>
      <c r="H11460" t="str">
        <f>"Serv.Prest. 10/11/2025 a 16/11/2025 - PIX: CPF - CHAVE: 106.393.056-10"</f>
        <v>Serv.Prest. 10/11/2025 a 16/11/2025 - PIX: CPF - CHAVE: 106.393.056-10</v>
      </c>
      <c r="I11460" t="str">
        <f t="shared" si="2205"/>
        <v>18/11/2025</v>
      </c>
      <c r="J11460" t="str">
        <f>("18/11/2025")</f>
        <v>18/11/2025</v>
      </c>
      <c r="K11460" t="str">
        <f>("18/11/2025")</f>
        <v>18/11/2025</v>
      </c>
      <c r="L11460">
        <v>144</v>
      </c>
      <c r="M11460">
        <v>140</v>
      </c>
      <c r="N11460">
        <v>134</v>
      </c>
      <c r="O11460" t="str">
        <f>"DIARIA DE MOTOBOY"</f>
        <v>DIARIA DE MOTOBOY</v>
      </c>
      <c r="P11460">
        <v>140</v>
      </c>
      <c r="S11460" t="str">
        <f>"BANCO CORA (102)"</f>
        <v>BANCO CORA (102)</v>
      </c>
      <c r="T11460">
        <v>21254</v>
      </c>
      <c r="U11460">
        <v>25600</v>
      </c>
      <c r="V11460" t="s">
        <v>22</v>
      </c>
    </row>
    <row r="11461" spans="1:22">
      <c r="A11461" t="str">
        <f t="shared" si="2207"/>
        <v>18/11/2025</v>
      </c>
      <c r="B11461" t="str">
        <f t="shared" si="2202"/>
        <v>SAÍDA</v>
      </c>
      <c r="C11461" t="str">
        <f t="shared" si="2203"/>
        <v>PIX</v>
      </c>
      <c r="D11461" t="str">
        <f>"25600"</f>
        <v>25600</v>
      </c>
      <c r="E11461" t="str">
        <f t="shared" si="2204"/>
        <v>1</v>
      </c>
      <c r="F11461" t="str">
        <f t="shared" si="2188"/>
        <v>COM</v>
      </c>
      <c r="G11461" t="str">
        <f>"WILLIAM FERREIRA DE OLIVEIRA (900)"</f>
        <v>WILLIAM FERREIRA DE OLIVEIRA (900)</v>
      </c>
      <c r="H11461" t="s">
        <v>3083</v>
      </c>
      <c r="I11461" t="str">
        <f t="shared" si="2205"/>
        <v>18/11/2025</v>
      </c>
      <c r="J11461" t="str">
        <f>("18/11/2025")</f>
        <v>18/11/2025</v>
      </c>
      <c r="K11461">
        <v>45979</v>
      </c>
      <c r="N11461">
        <v>134</v>
      </c>
      <c r="O11461" t="s">
        <v>41</v>
      </c>
      <c r="Q11461">
        <v>140</v>
      </c>
      <c r="R11461" t="str">
        <f>"PAGMENOS - LJ 657 (10136)"</f>
        <v>PAGMENOS - LJ 657 (10136)</v>
      </c>
      <c r="S11461" t="s">
        <v>22</v>
      </c>
      <c r="T11461">
        <v>21254</v>
      </c>
      <c r="U11461">
        <v>25600</v>
      </c>
      <c r="V11461" t="s">
        <v>22</v>
      </c>
    </row>
    <row r="11462" spans="1:22">
      <c r="A11462" t="str">
        <f t="shared" si="2207"/>
        <v>18/11/2025</v>
      </c>
      <c r="B11462" t="str">
        <f t="shared" si="2202"/>
        <v>SAÍDA</v>
      </c>
      <c r="C11462" t="str">
        <f t="shared" si="2203"/>
        <v>PIX</v>
      </c>
      <c r="D11462" t="str">
        <f>"25627"</f>
        <v>25627</v>
      </c>
      <c r="E11462" t="str">
        <f t="shared" si="2204"/>
        <v>1</v>
      </c>
      <c r="F11462" t="str">
        <f t="shared" si="2188"/>
        <v>COM</v>
      </c>
      <c r="G11462" t="str">
        <f>"ALLAN SILVA DAMACENA (790)"</f>
        <v>ALLAN SILVA DAMACENA (790)</v>
      </c>
      <c r="H11462" t="str">
        <f>"Serv.Prest. 10/11/2025 a 16/11/2025 - PIX: CELULAR - CHAVE: (19) 98944-4977"</f>
        <v>Serv.Prest. 10/11/2025 a 16/11/2025 - PIX: CELULAR - CHAVE: (19) 98944-4977</v>
      </c>
      <c r="I11462" t="str">
        <f t="shared" si="2205"/>
        <v>18/11/2025</v>
      </c>
      <c r="J11462" t="str">
        <f>("18/11/2025")</f>
        <v>18/11/2025</v>
      </c>
      <c r="K11462" t="str">
        <f>("18/11/2025")</f>
        <v>18/11/2025</v>
      </c>
      <c r="L11462">
        <v>1183</v>
      </c>
      <c r="M11462">
        <v>1183</v>
      </c>
      <c r="N11462">
        <v>109</v>
      </c>
      <c r="O11462" t="str">
        <f>"PAGAMENTO DE ENTREGADORES"</f>
        <v>PAGAMENTO DE ENTREGADORES</v>
      </c>
      <c r="P11462">
        <v>1183</v>
      </c>
      <c r="S11462" t="str">
        <f>"BANCO CORA (102)"</f>
        <v>BANCO CORA (102)</v>
      </c>
      <c r="T11462">
        <v>21255</v>
      </c>
      <c r="U11462">
        <v>25627</v>
      </c>
      <c r="V11462" t="s">
        <v>22</v>
      </c>
    </row>
    <row r="11463" spans="1:22">
      <c r="A11463" t="str">
        <f t="shared" si="2207"/>
        <v>18/11/2025</v>
      </c>
      <c r="B11463" t="str">
        <f t="shared" si="2202"/>
        <v>SAÍDA</v>
      </c>
      <c r="C11463" t="str">
        <f t="shared" si="2203"/>
        <v>PIX</v>
      </c>
      <c r="D11463" t="str">
        <f>"25627"</f>
        <v>25627</v>
      </c>
      <c r="E11463" t="str">
        <f t="shared" si="2204"/>
        <v>1</v>
      </c>
      <c r="F11463" t="str">
        <f t="shared" si="2188"/>
        <v>COM</v>
      </c>
      <c r="G11463" t="str">
        <f>"ALLAN SILVA DAMACENA (790)"</f>
        <v>ALLAN SILVA DAMACENA (790)</v>
      </c>
      <c r="H11463" t="s">
        <v>3084</v>
      </c>
      <c r="I11463" t="str">
        <f t="shared" si="2205"/>
        <v>18/11/2025</v>
      </c>
      <c r="J11463" t="str">
        <f>("18/11/2025")</f>
        <v>18/11/2025</v>
      </c>
      <c r="K11463">
        <v>45979</v>
      </c>
      <c r="N11463">
        <v>109</v>
      </c>
      <c r="O11463" t="s">
        <v>24</v>
      </c>
      <c r="Q11463">
        <v>1183</v>
      </c>
      <c r="R11463" t="str">
        <f>"DROGARIA MORENO LTDA (10171)"</f>
        <v>DROGARIA MORENO LTDA (10171)</v>
      </c>
      <c r="S11463" t="s">
        <v>22</v>
      </c>
      <c r="T11463">
        <v>21255</v>
      </c>
      <c r="U11463">
        <v>25627</v>
      </c>
      <c r="V11463" t="s">
        <v>22</v>
      </c>
    </row>
    <row r="11464" spans="1:22">
      <c r="A11464" t="str">
        <f t="shared" si="2207"/>
        <v>18/11/2025</v>
      </c>
      <c r="B11464" t="str">
        <f t="shared" si="2202"/>
        <v>SAÍDA</v>
      </c>
      <c r="C11464" t="str">
        <f t="shared" si="2203"/>
        <v>PIX</v>
      </c>
      <c r="D11464" t="str">
        <f>"25629"</f>
        <v>25629</v>
      </c>
      <c r="E11464" t="str">
        <f t="shared" si="2204"/>
        <v>1</v>
      </c>
      <c r="F11464" t="str">
        <f t="shared" si="2188"/>
        <v>COM</v>
      </c>
      <c r="G11464" t="str">
        <f>"MATHEUS HENRIQUE DE SOUSA (907)"</f>
        <v>MATHEUS HENRIQUE DE SOUSA (907)</v>
      </c>
      <c r="H11464" t="str">
        <f>"Serv.Prest. 10/11/2025 a 16/11/2025 - PIX: E-MAIL - CHAVE: matheus100sousa123@gmail.com"</f>
        <v>Serv.Prest. 10/11/2025 a 16/11/2025 - PIX: E-MAIL - CHAVE: matheus100sousa123@gmail.com</v>
      </c>
      <c r="I11464" t="str">
        <f t="shared" si="2205"/>
        <v>18/11/2025</v>
      </c>
      <c r="J11464" t="str">
        <f>("18/11/2025")</f>
        <v>18/11/2025</v>
      </c>
      <c r="K11464" t="str">
        <f>("18/11/2025")</f>
        <v>18/11/2025</v>
      </c>
      <c r="L11464">
        <v>266</v>
      </c>
      <c r="M11464">
        <v>260</v>
      </c>
      <c r="N11464">
        <v>134</v>
      </c>
      <c r="O11464" t="str">
        <f>"DIARIA DE MOTOBOY"</f>
        <v>DIARIA DE MOTOBOY</v>
      </c>
      <c r="P11464">
        <v>260</v>
      </c>
      <c r="S11464" t="str">
        <f>"BANCO CORA (102)"</f>
        <v>BANCO CORA (102)</v>
      </c>
      <c r="T11464">
        <v>21256</v>
      </c>
      <c r="U11464">
        <v>25629</v>
      </c>
      <c r="V11464" t="s">
        <v>22</v>
      </c>
    </row>
    <row r="11465" spans="1:22">
      <c r="A11465" t="str">
        <f t="shared" si="2207"/>
        <v>18/11/2025</v>
      </c>
      <c r="B11465" t="str">
        <f t="shared" si="2202"/>
        <v>SAÍDA</v>
      </c>
      <c r="C11465" t="str">
        <f t="shared" si="2203"/>
        <v>PIX</v>
      </c>
      <c r="D11465" t="str">
        <f>"25629"</f>
        <v>25629</v>
      </c>
      <c r="E11465" t="str">
        <f t="shared" si="2204"/>
        <v>1</v>
      </c>
      <c r="F11465" t="str">
        <f t="shared" ref="F11465:F11527" si="2208">"COM"</f>
        <v>COM</v>
      </c>
      <c r="G11465" t="str">
        <f>"MATHEUS HENRIQUE DE SOUSA (907)"</f>
        <v>MATHEUS HENRIQUE DE SOUSA (907)</v>
      </c>
      <c r="H11465" t="s">
        <v>3085</v>
      </c>
      <c r="I11465" t="str">
        <f t="shared" si="2205"/>
        <v>18/11/2025</v>
      </c>
      <c r="J11465" t="str">
        <f>("18/11/2025")</f>
        <v>18/11/2025</v>
      </c>
      <c r="K11465">
        <v>45979</v>
      </c>
      <c r="N11465">
        <v>134</v>
      </c>
      <c r="O11465" t="s">
        <v>41</v>
      </c>
      <c r="Q11465">
        <v>260</v>
      </c>
      <c r="R11465" t="str">
        <f>"DROGARIA MORENO LTDA (10171)"</f>
        <v>DROGARIA MORENO LTDA (10171)</v>
      </c>
      <c r="S11465" t="s">
        <v>22</v>
      </c>
      <c r="T11465">
        <v>21256</v>
      </c>
      <c r="U11465">
        <v>25629</v>
      </c>
      <c r="V11465" t="s">
        <v>22</v>
      </c>
    </row>
    <row r="11466" spans="1:22">
      <c r="A11466" t="str">
        <f t="shared" si="2207"/>
        <v>18/11/2025</v>
      </c>
      <c r="B11466" t="str">
        <f t="shared" si="2202"/>
        <v>SAÍDA</v>
      </c>
      <c r="C11466" t="str">
        <f t="shared" si="2203"/>
        <v>PIX</v>
      </c>
      <c r="D11466" t="str">
        <f>"25578"</f>
        <v>25578</v>
      </c>
      <c r="E11466" t="str">
        <f t="shared" si="2204"/>
        <v>1</v>
      </c>
      <c r="F11466" t="str">
        <f t="shared" si="2208"/>
        <v>COM</v>
      </c>
      <c r="G11466" t="str">
        <f>"HENRIQUE VALENTIM FERREIRA (1083)"</f>
        <v>HENRIQUE VALENTIM FERREIRA (1083)</v>
      </c>
      <c r="H11466" t="str">
        <f>"Serv.Prest. 10/11/2025 a 16/11/2025 - PIX: CELULAR - CHAVE: (11) 99293-5521"</f>
        <v>Serv.Prest. 10/11/2025 a 16/11/2025 - PIX: CELULAR - CHAVE: (11) 99293-5521</v>
      </c>
      <c r="I11466" t="str">
        <f t="shared" si="2205"/>
        <v>18/11/2025</v>
      </c>
      <c r="J11466" t="str">
        <f t="shared" ref="J11466:J11476" si="2209">("17/11/2025")</f>
        <v>17/11/2025</v>
      </c>
      <c r="K11466" t="str">
        <f>("18/11/2025")</f>
        <v>18/11/2025</v>
      </c>
      <c r="L11466">
        <v>250</v>
      </c>
      <c r="M11466">
        <v>250</v>
      </c>
      <c r="N11466">
        <v>134</v>
      </c>
      <c r="O11466" t="str">
        <f>"DIARIA DE MOTOBOY"</f>
        <v>DIARIA DE MOTOBOY</v>
      </c>
      <c r="P11466">
        <v>250</v>
      </c>
      <c r="S11466" t="str">
        <f>"BANCO CORA (102)"</f>
        <v>BANCO CORA (102)</v>
      </c>
      <c r="T11466">
        <v>21257</v>
      </c>
      <c r="U11466">
        <v>25669</v>
      </c>
      <c r="V11466" t="s">
        <v>22</v>
      </c>
    </row>
    <row r="11467" spans="1:22">
      <c r="A11467" t="str">
        <f t="shared" si="2207"/>
        <v>18/11/2025</v>
      </c>
      <c r="B11467" t="str">
        <f t="shared" si="2202"/>
        <v>SAÍDA</v>
      </c>
      <c r="C11467" t="str">
        <f t="shared" si="2203"/>
        <v>PIX</v>
      </c>
      <c r="D11467" t="str">
        <f>"25578"</f>
        <v>25578</v>
      </c>
      <c r="E11467" t="str">
        <f t="shared" si="2204"/>
        <v>1</v>
      </c>
      <c r="F11467" t="str">
        <f t="shared" si="2208"/>
        <v>COM</v>
      </c>
      <c r="G11467" t="str">
        <f>"HENRIQUE VALENTIM FERREIRA (1083)"</f>
        <v>HENRIQUE VALENTIM FERREIRA (1083)</v>
      </c>
      <c r="H11467" t="s">
        <v>3053</v>
      </c>
      <c r="I11467" t="str">
        <f t="shared" si="2205"/>
        <v>18/11/2025</v>
      </c>
      <c r="J11467" t="str">
        <f t="shared" si="2209"/>
        <v>17/11/2025</v>
      </c>
      <c r="K11467">
        <v>45979</v>
      </c>
      <c r="N11467">
        <v>134</v>
      </c>
      <c r="O11467" t="s">
        <v>41</v>
      </c>
      <c r="Q11467">
        <v>250</v>
      </c>
      <c r="R11467" t="str">
        <f>"PENSE FARMA 46 (10194)"</f>
        <v>PENSE FARMA 46 (10194)</v>
      </c>
      <c r="S11467" t="s">
        <v>22</v>
      </c>
      <c r="T11467">
        <v>21257</v>
      </c>
      <c r="U11467">
        <v>25669</v>
      </c>
      <c r="V11467" t="s">
        <v>22</v>
      </c>
    </row>
    <row r="11468" spans="1:22">
      <c r="A11468" t="str">
        <f t="shared" si="2207"/>
        <v>18/11/2025</v>
      </c>
      <c r="B11468" t="str">
        <f t="shared" si="2202"/>
        <v>SAÍDA</v>
      </c>
      <c r="C11468" t="str">
        <f t="shared" si="2203"/>
        <v>PIX</v>
      </c>
      <c r="D11468" t="str">
        <f>"25590"</f>
        <v>25590</v>
      </c>
      <c r="E11468" t="str">
        <f t="shared" si="2204"/>
        <v>1</v>
      </c>
      <c r="F11468" t="str">
        <f t="shared" si="2208"/>
        <v>COM</v>
      </c>
      <c r="G11468" t="str">
        <f>"LUAN DOS REIS SILVA (954)"</f>
        <v>LUAN DOS REIS SILVA (954)</v>
      </c>
      <c r="H11468" t="str">
        <f>"Serv.Prest. 10/11/2025 a 16/11/2025 - PIX: CELULAR - CHAVE: (11) 95906-5439"</f>
        <v>Serv.Prest. 10/11/2025 a 16/11/2025 - PIX: CELULAR - CHAVE: (11) 95906-5439</v>
      </c>
      <c r="I11468" t="str">
        <f t="shared" si="2205"/>
        <v>18/11/2025</v>
      </c>
      <c r="J11468" t="str">
        <f t="shared" si="2209"/>
        <v>17/11/2025</v>
      </c>
      <c r="K11468" t="str">
        <f>("18/11/2025")</f>
        <v>18/11/2025</v>
      </c>
      <c r="L11468">
        <v>250</v>
      </c>
      <c r="M11468">
        <v>250</v>
      </c>
      <c r="N11468">
        <v>109</v>
      </c>
      <c r="O11468" t="str">
        <f>"PAGAMENTO DE ENTREGADORES"</f>
        <v>PAGAMENTO DE ENTREGADORES</v>
      </c>
      <c r="P11468">
        <v>250</v>
      </c>
      <c r="S11468" t="str">
        <f>"BANCO CORA (102)"</f>
        <v>BANCO CORA (102)</v>
      </c>
      <c r="T11468">
        <v>21258</v>
      </c>
      <c r="U11468">
        <v>25670</v>
      </c>
      <c r="V11468" t="s">
        <v>22</v>
      </c>
    </row>
    <row r="11469" spans="1:22">
      <c r="A11469" t="str">
        <f t="shared" si="2207"/>
        <v>18/11/2025</v>
      </c>
      <c r="B11469" t="str">
        <f t="shared" si="2202"/>
        <v>SAÍDA</v>
      </c>
      <c r="C11469" t="str">
        <f t="shared" si="2203"/>
        <v>PIX</v>
      </c>
      <c r="D11469" t="str">
        <f>"25590"</f>
        <v>25590</v>
      </c>
      <c r="E11469" t="str">
        <f t="shared" si="2204"/>
        <v>1</v>
      </c>
      <c r="F11469" t="str">
        <f t="shared" si="2208"/>
        <v>COM</v>
      </c>
      <c r="G11469" t="str">
        <f>"LUAN DOS REIS SILVA (954)"</f>
        <v>LUAN DOS REIS SILVA (954)</v>
      </c>
      <c r="H11469" t="s">
        <v>3086</v>
      </c>
      <c r="I11469" t="str">
        <f t="shared" si="2205"/>
        <v>18/11/2025</v>
      </c>
      <c r="J11469" t="str">
        <f t="shared" si="2209"/>
        <v>17/11/2025</v>
      </c>
      <c r="K11469">
        <v>45979</v>
      </c>
      <c r="N11469">
        <v>109</v>
      </c>
      <c r="O11469" t="s">
        <v>24</v>
      </c>
      <c r="Q11469">
        <v>83.33</v>
      </c>
      <c r="R11469" t="str">
        <f>"PENSE FARMA 05 (10200)"</f>
        <v>PENSE FARMA 05 (10200)</v>
      </c>
      <c r="S11469" t="s">
        <v>22</v>
      </c>
      <c r="T11469">
        <v>21258</v>
      </c>
      <c r="U11469">
        <v>25670</v>
      </c>
      <c r="V11469" t="s">
        <v>22</v>
      </c>
    </row>
    <row r="11470" spans="1:22">
      <c r="A11470" t="str">
        <f t="shared" si="2207"/>
        <v>18/11/2025</v>
      </c>
      <c r="B11470" t="str">
        <f t="shared" si="2202"/>
        <v>SAÍDA</v>
      </c>
      <c r="C11470" t="str">
        <f t="shared" si="2203"/>
        <v>PIX</v>
      </c>
      <c r="D11470" t="str">
        <f>"25590"</f>
        <v>25590</v>
      </c>
      <c r="E11470" t="str">
        <f t="shared" si="2204"/>
        <v>1</v>
      </c>
      <c r="F11470" t="str">
        <f t="shared" si="2208"/>
        <v>COM</v>
      </c>
      <c r="G11470" t="str">
        <f>"LUAN DOS REIS SILVA (954)"</f>
        <v>LUAN DOS REIS SILVA (954)</v>
      </c>
      <c r="H11470" t="s">
        <v>3086</v>
      </c>
      <c r="I11470" t="str">
        <f t="shared" si="2205"/>
        <v>18/11/2025</v>
      </c>
      <c r="J11470" t="str">
        <f t="shared" si="2209"/>
        <v>17/11/2025</v>
      </c>
      <c r="K11470">
        <v>45979</v>
      </c>
      <c r="N11470">
        <v>109</v>
      </c>
      <c r="O11470" t="s">
        <v>24</v>
      </c>
      <c r="Q11470">
        <v>83.32</v>
      </c>
      <c r="R11470" t="str">
        <f>"PENSE FARMA 13 (10202)"</f>
        <v>PENSE FARMA 13 (10202)</v>
      </c>
      <c r="S11470" t="s">
        <v>22</v>
      </c>
      <c r="T11470">
        <v>21258</v>
      </c>
      <c r="U11470">
        <v>25670</v>
      </c>
      <c r="V11470" t="s">
        <v>22</v>
      </c>
    </row>
    <row r="11471" spans="1:22">
      <c r="A11471" t="str">
        <f t="shared" si="2207"/>
        <v>18/11/2025</v>
      </c>
      <c r="B11471" t="str">
        <f t="shared" si="2202"/>
        <v>SAÍDA</v>
      </c>
      <c r="C11471" t="str">
        <f t="shared" si="2203"/>
        <v>PIX</v>
      </c>
      <c r="D11471" t="str">
        <f>"25590"</f>
        <v>25590</v>
      </c>
      <c r="E11471" t="str">
        <f t="shared" si="2204"/>
        <v>1</v>
      </c>
      <c r="F11471" t="str">
        <f t="shared" si="2208"/>
        <v>COM</v>
      </c>
      <c r="G11471" t="str">
        <f>"LUAN DOS REIS SILVA (954)"</f>
        <v>LUAN DOS REIS SILVA (954)</v>
      </c>
      <c r="H11471" t="s">
        <v>3086</v>
      </c>
      <c r="I11471" t="str">
        <f t="shared" si="2205"/>
        <v>18/11/2025</v>
      </c>
      <c r="J11471" t="str">
        <f t="shared" si="2209"/>
        <v>17/11/2025</v>
      </c>
      <c r="K11471">
        <v>45979</v>
      </c>
      <c r="N11471">
        <v>109</v>
      </c>
      <c r="O11471" t="s">
        <v>24</v>
      </c>
      <c r="Q11471">
        <v>83.35</v>
      </c>
      <c r="R11471" t="str">
        <f>"PENSE FARMA 27 (10204)"</f>
        <v>PENSE FARMA 27 (10204)</v>
      </c>
      <c r="S11471" t="s">
        <v>22</v>
      </c>
      <c r="T11471">
        <v>21258</v>
      </c>
      <c r="U11471">
        <v>25670</v>
      </c>
      <c r="V11471" t="s">
        <v>22</v>
      </c>
    </row>
    <row r="11472" spans="1:22">
      <c r="A11472" t="str">
        <f t="shared" si="2207"/>
        <v>18/11/2025</v>
      </c>
      <c r="B11472" t="str">
        <f t="shared" si="2202"/>
        <v>SAÍDA</v>
      </c>
      <c r="C11472" t="str">
        <f t="shared" si="2203"/>
        <v>PIX</v>
      </c>
      <c r="D11472" t="str">
        <f>"25538"</f>
        <v>25538</v>
      </c>
      <c r="E11472" t="str">
        <f t="shared" si="2204"/>
        <v>1</v>
      </c>
      <c r="F11472" t="str">
        <f t="shared" si="2208"/>
        <v>COM</v>
      </c>
      <c r="G11472" t="str">
        <f>"MATEUS VIEIRA DE SOUZA (1019)"</f>
        <v>MATEUS VIEIRA DE SOUZA (1019)</v>
      </c>
      <c r="H11472" t="str">
        <f>"Serv.Prest. 10/11/2025 a 16/11/2025 - PIX: CELULAR - CHAVE: (11) 97702-1316"</f>
        <v>Serv.Prest. 10/11/2025 a 16/11/2025 - PIX: CELULAR - CHAVE: (11) 97702-1316</v>
      </c>
      <c r="I11472" t="str">
        <f t="shared" si="2205"/>
        <v>18/11/2025</v>
      </c>
      <c r="J11472" t="str">
        <f t="shared" si="2209"/>
        <v>17/11/2025</v>
      </c>
      <c r="K11472" t="str">
        <f>("18/11/2025")</f>
        <v>18/11/2025</v>
      </c>
      <c r="L11472">
        <v>250</v>
      </c>
      <c r="M11472">
        <v>250</v>
      </c>
      <c r="N11472">
        <v>109</v>
      </c>
      <c r="O11472" t="str">
        <f>"PAGAMENTO DE ENTREGADORES"</f>
        <v>PAGAMENTO DE ENTREGADORES</v>
      </c>
      <c r="P11472">
        <v>250</v>
      </c>
      <c r="S11472" t="str">
        <f>"BANCO CORA (102)"</f>
        <v>BANCO CORA (102)</v>
      </c>
      <c r="T11472">
        <v>21259</v>
      </c>
      <c r="U11472">
        <v>25671</v>
      </c>
      <c r="V11472" t="s">
        <v>22</v>
      </c>
    </row>
    <row r="11473" spans="1:22">
      <c r="A11473" t="str">
        <f t="shared" si="2207"/>
        <v>18/11/2025</v>
      </c>
      <c r="B11473" t="str">
        <f t="shared" si="2202"/>
        <v>SAÍDA</v>
      </c>
      <c r="C11473" t="str">
        <f t="shared" si="2203"/>
        <v>PIX</v>
      </c>
      <c r="D11473" t="str">
        <f>"25538"</f>
        <v>25538</v>
      </c>
      <c r="E11473" t="str">
        <f t="shared" si="2204"/>
        <v>1</v>
      </c>
      <c r="F11473" t="str">
        <f t="shared" si="2208"/>
        <v>COM</v>
      </c>
      <c r="G11473" t="str">
        <f>"MATEUS VIEIRA DE SOUZA (1019)"</f>
        <v>MATEUS VIEIRA DE SOUZA (1019)</v>
      </c>
      <c r="H11473" t="s">
        <v>3087</v>
      </c>
      <c r="I11473" t="str">
        <f t="shared" si="2205"/>
        <v>18/11/2025</v>
      </c>
      <c r="J11473" t="str">
        <f t="shared" si="2209"/>
        <v>17/11/2025</v>
      </c>
      <c r="K11473">
        <v>45979</v>
      </c>
      <c r="N11473">
        <v>109</v>
      </c>
      <c r="O11473" t="s">
        <v>24</v>
      </c>
      <c r="Q11473">
        <v>250</v>
      </c>
      <c r="R11473" t="str">
        <f>"PENSE FARMA 47 (10232)"</f>
        <v>PENSE FARMA 47 (10232)</v>
      </c>
      <c r="S11473" t="s">
        <v>22</v>
      </c>
      <c r="T11473">
        <v>21259</v>
      </c>
      <c r="U11473">
        <v>25671</v>
      </c>
      <c r="V11473" t="s">
        <v>22</v>
      </c>
    </row>
    <row r="11474" spans="1:22">
      <c r="A11474" t="str">
        <f t="shared" si="2207"/>
        <v>18/11/2025</v>
      </c>
      <c r="B11474" t="str">
        <f t="shared" ref="B11474:B11505" si="2210">"SAÍDA"</f>
        <v>SAÍDA</v>
      </c>
      <c r="C11474" t="str">
        <f t="shared" ref="C11474:C11505" si="2211">"PIX"</f>
        <v>PIX</v>
      </c>
      <c r="D11474" t="str">
        <f>"25522"</f>
        <v>25522</v>
      </c>
      <c r="E11474" t="str">
        <f t="shared" si="2204"/>
        <v>1</v>
      </c>
      <c r="F11474" t="str">
        <f t="shared" si="2208"/>
        <v>COM</v>
      </c>
      <c r="G11474" t="str">
        <f>"VICTOR HUGO SOARES DE PAULA (1021)"</f>
        <v>VICTOR HUGO SOARES DE PAULA (1021)</v>
      </c>
      <c r="H11474" t="str">
        <f>"Serv.Prest. 10/11/2025 a 16/11/2025 - PIX: CELULAR - CHAVE: (11) 98281-4526"</f>
        <v>Serv.Prest. 10/11/2025 a 16/11/2025 - PIX: CELULAR - CHAVE: (11) 98281-4526</v>
      </c>
      <c r="I11474" t="str">
        <f t="shared" si="2205"/>
        <v>18/11/2025</v>
      </c>
      <c r="J11474" t="str">
        <f t="shared" si="2209"/>
        <v>17/11/2025</v>
      </c>
      <c r="K11474" t="str">
        <f>("18/11/2025")</f>
        <v>18/11/2025</v>
      </c>
      <c r="L11474">
        <v>250</v>
      </c>
      <c r="M11474">
        <v>250</v>
      </c>
      <c r="N11474">
        <v>109</v>
      </c>
      <c r="O11474" t="str">
        <f>"PAGAMENTO DE ENTREGADORES"</f>
        <v>PAGAMENTO DE ENTREGADORES</v>
      </c>
      <c r="P11474">
        <v>250</v>
      </c>
      <c r="S11474" t="str">
        <f>"BANCO CORA (102)"</f>
        <v>BANCO CORA (102)</v>
      </c>
      <c r="T11474">
        <v>21260</v>
      </c>
      <c r="U11474">
        <v>25672</v>
      </c>
      <c r="V11474" t="s">
        <v>22</v>
      </c>
    </row>
    <row r="11475" spans="1:22">
      <c r="A11475" t="str">
        <f t="shared" si="2207"/>
        <v>18/11/2025</v>
      </c>
      <c r="B11475" t="str">
        <f t="shared" si="2210"/>
        <v>SAÍDA</v>
      </c>
      <c r="C11475" t="str">
        <f t="shared" si="2211"/>
        <v>PIX</v>
      </c>
      <c r="D11475" t="str">
        <f>"25522"</f>
        <v>25522</v>
      </c>
      <c r="E11475" t="str">
        <f t="shared" si="2204"/>
        <v>1</v>
      </c>
      <c r="F11475" t="str">
        <f t="shared" si="2208"/>
        <v>COM</v>
      </c>
      <c r="G11475" t="str">
        <f>"VICTOR HUGO SOARES DE PAULA (1021)"</f>
        <v>VICTOR HUGO SOARES DE PAULA (1021)</v>
      </c>
      <c r="H11475" t="s">
        <v>3088</v>
      </c>
      <c r="I11475" t="str">
        <f t="shared" si="2205"/>
        <v>18/11/2025</v>
      </c>
      <c r="J11475" t="str">
        <f t="shared" si="2209"/>
        <v>17/11/2025</v>
      </c>
      <c r="K11475">
        <v>45979</v>
      </c>
      <c r="N11475">
        <v>109</v>
      </c>
      <c r="O11475" t="s">
        <v>24</v>
      </c>
      <c r="Q11475">
        <v>125</v>
      </c>
      <c r="R11475" t="str">
        <f>"PENSE FARMA 44 (10231)"</f>
        <v>PENSE FARMA 44 (10231)</v>
      </c>
      <c r="S11475" t="s">
        <v>22</v>
      </c>
      <c r="T11475">
        <v>21260</v>
      </c>
      <c r="U11475">
        <v>25672</v>
      </c>
      <c r="V11475" t="s">
        <v>22</v>
      </c>
    </row>
    <row r="11476" spans="1:22">
      <c r="A11476" t="str">
        <f t="shared" si="2207"/>
        <v>18/11/2025</v>
      </c>
      <c r="B11476" t="str">
        <f t="shared" si="2210"/>
        <v>SAÍDA</v>
      </c>
      <c r="C11476" t="str">
        <f t="shared" si="2211"/>
        <v>PIX</v>
      </c>
      <c r="D11476" t="str">
        <f>"25522"</f>
        <v>25522</v>
      </c>
      <c r="E11476" t="str">
        <f t="shared" si="2204"/>
        <v>1</v>
      </c>
      <c r="F11476" t="str">
        <f t="shared" si="2208"/>
        <v>COM</v>
      </c>
      <c r="G11476" t="str">
        <f>"VICTOR HUGO SOARES DE PAULA (1021)"</f>
        <v>VICTOR HUGO SOARES DE PAULA (1021)</v>
      </c>
      <c r="H11476" t="s">
        <v>3088</v>
      </c>
      <c r="I11476" t="str">
        <f t="shared" ref="I11476:I11497" si="2212">("18/11/2025")</f>
        <v>18/11/2025</v>
      </c>
      <c r="J11476" t="str">
        <f t="shared" si="2209"/>
        <v>17/11/2025</v>
      </c>
      <c r="K11476">
        <v>45979</v>
      </c>
      <c r="N11476">
        <v>109</v>
      </c>
      <c r="O11476" t="s">
        <v>24</v>
      </c>
      <c r="Q11476">
        <v>125</v>
      </c>
      <c r="R11476" t="str">
        <f>"PENSE FARMA 48 (10233)"</f>
        <v>PENSE FARMA 48 (10233)</v>
      </c>
      <c r="S11476" t="s">
        <v>22</v>
      </c>
      <c r="T11476">
        <v>21260</v>
      </c>
      <c r="U11476">
        <v>25672</v>
      </c>
      <c r="V11476" t="s">
        <v>22</v>
      </c>
    </row>
    <row r="11477" spans="1:22">
      <c r="A11477" t="str">
        <f t="shared" si="2207"/>
        <v>18/11/2025</v>
      </c>
      <c r="B11477" t="str">
        <f t="shared" si="2210"/>
        <v>SAÍDA</v>
      </c>
      <c r="C11477" t="str">
        <f t="shared" si="2211"/>
        <v>PIX</v>
      </c>
      <c r="D11477" t="str">
        <f>"25699"</f>
        <v>25699</v>
      </c>
      <c r="E11477" t="str">
        <f t="shared" si="2204"/>
        <v>1</v>
      </c>
      <c r="F11477" t="str">
        <f t="shared" si="2208"/>
        <v>COM</v>
      </c>
      <c r="G11477" t="str">
        <f>"EZEQUIEL MATHEUS SOUSA MAXIMIANO ROSA (931)"</f>
        <v>EZEQUIEL MATHEUS SOUSA MAXIMIANO ROSA (931)</v>
      </c>
      <c r="H11477" t="str">
        <f>"Serv.Prest. 10/11/2025 a 16/11/2025 - PIX: CPF - CHAVE: 141.994.266-20"</f>
        <v>Serv.Prest. 10/11/2025 a 16/11/2025 - PIX: CPF - CHAVE: 141.994.266-20</v>
      </c>
      <c r="I11477" t="str">
        <f t="shared" si="2212"/>
        <v>18/11/2025</v>
      </c>
      <c r="J11477" t="str">
        <f>("18/11/2025")</f>
        <v>18/11/2025</v>
      </c>
      <c r="K11477" t="str">
        <f>("18/11/2025")</f>
        <v>18/11/2025</v>
      </c>
      <c r="L11477">
        <v>168</v>
      </c>
      <c r="M11477">
        <v>170</v>
      </c>
      <c r="N11477">
        <v>134</v>
      </c>
      <c r="O11477" t="str">
        <f>"DIARIA DE MOTOBOY"</f>
        <v>DIARIA DE MOTOBOY</v>
      </c>
      <c r="P11477">
        <v>170</v>
      </c>
      <c r="S11477" t="str">
        <f>"BANCO CORA (102)"</f>
        <v>BANCO CORA (102)</v>
      </c>
      <c r="T11477">
        <v>21261</v>
      </c>
      <c r="U11477">
        <v>25699</v>
      </c>
      <c r="V11477" t="s">
        <v>22</v>
      </c>
    </row>
    <row r="11478" spans="1:22">
      <c r="A11478" t="str">
        <f t="shared" si="2207"/>
        <v>18/11/2025</v>
      </c>
      <c r="B11478" t="str">
        <f t="shared" si="2210"/>
        <v>SAÍDA</v>
      </c>
      <c r="C11478" t="str">
        <f t="shared" si="2211"/>
        <v>PIX</v>
      </c>
      <c r="D11478" t="str">
        <f>"25699"</f>
        <v>25699</v>
      </c>
      <c r="E11478" t="str">
        <f t="shared" si="2204"/>
        <v>1</v>
      </c>
      <c r="F11478" t="str">
        <f t="shared" si="2208"/>
        <v>COM</v>
      </c>
      <c r="G11478" t="str">
        <f>"EZEQUIEL MATHEUS SOUSA MAXIMIANO ROSA (931)"</f>
        <v>EZEQUIEL MATHEUS SOUSA MAXIMIANO ROSA (931)</v>
      </c>
      <c r="H11478" t="s">
        <v>3089</v>
      </c>
      <c r="I11478" t="str">
        <f t="shared" si="2212"/>
        <v>18/11/2025</v>
      </c>
      <c r="J11478" t="str">
        <f t="shared" ref="J11478:J11488" si="2213">("18/11/2025")</f>
        <v>18/11/2025</v>
      </c>
      <c r="K11478">
        <v>45979</v>
      </c>
      <c r="N11478">
        <v>134</v>
      </c>
      <c r="O11478" t="s">
        <v>41</v>
      </c>
      <c r="Q11478">
        <v>170</v>
      </c>
      <c r="R11478" t="str">
        <f>"FARMÁCIA INDIANA LJ 192 (10082)"</f>
        <v>FARMÁCIA INDIANA LJ 192 (10082)</v>
      </c>
      <c r="S11478" t="s">
        <v>22</v>
      </c>
      <c r="T11478">
        <v>21261</v>
      </c>
      <c r="U11478">
        <v>25699</v>
      </c>
      <c r="V11478" t="s">
        <v>22</v>
      </c>
    </row>
    <row r="11479" spans="1:22">
      <c r="A11479" t="str">
        <f t="shared" si="2207"/>
        <v>18/11/2025</v>
      </c>
      <c r="B11479" t="str">
        <f t="shared" si="2210"/>
        <v>SAÍDA</v>
      </c>
      <c r="C11479" t="str">
        <f t="shared" si="2211"/>
        <v>PIX</v>
      </c>
      <c r="D11479" t="str">
        <f>"25719"</f>
        <v>25719</v>
      </c>
      <c r="E11479" t="str">
        <f t="shared" si="2204"/>
        <v>1</v>
      </c>
      <c r="F11479" t="str">
        <f t="shared" si="2208"/>
        <v>COM</v>
      </c>
      <c r="G11479" t="str">
        <f>"JOSE ERIC SILVA MACENA (854)"</f>
        <v>JOSE ERIC SILVA MACENA (854)</v>
      </c>
      <c r="H11479" t="str">
        <f>"Serv.Prest. 10/11/2025 a 16/11/2025 - PIX: E-MAIL - CHAVE: ericsilva8marcena@gmail.com"</f>
        <v>Serv.Prest. 10/11/2025 a 16/11/2025 - PIX: E-MAIL - CHAVE: ericsilva8marcena@gmail.com</v>
      </c>
      <c r="I11479" t="str">
        <f t="shared" si="2212"/>
        <v>18/11/2025</v>
      </c>
      <c r="J11479" t="str">
        <f t="shared" si="2213"/>
        <v>18/11/2025</v>
      </c>
      <c r="K11479" t="str">
        <f>("18/11/2025")</f>
        <v>18/11/2025</v>
      </c>
      <c r="L11479">
        <v>180</v>
      </c>
      <c r="M11479">
        <v>180</v>
      </c>
      <c r="N11479">
        <v>134</v>
      </c>
      <c r="O11479" t="str">
        <f>"DIARIA DE MOTOBOY"</f>
        <v>DIARIA DE MOTOBOY</v>
      </c>
      <c r="P11479">
        <v>180</v>
      </c>
      <c r="S11479" t="str">
        <f>"BANCO CORA (102)"</f>
        <v>BANCO CORA (102)</v>
      </c>
      <c r="T11479">
        <v>21262</v>
      </c>
      <c r="U11479">
        <v>25719</v>
      </c>
      <c r="V11479" t="s">
        <v>22</v>
      </c>
    </row>
    <row r="11480" spans="1:22">
      <c r="A11480" t="str">
        <f t="shared" si="2207"/>
        <v>18/11/2025</v>
      </c>
      <c r="B11480" t="str">
        <f t="shared" si="2210"/>
        <v>SAÍDA</v>
      </c>
      <c r="C11480" t="str">
        <f t="shared" si="2211"/>
        <v>PIX</v>
      </c>
      <c r="D11480" t="str">
        <f>"25719"</f>
        <v>25719</v>
      </c>
      <c r="E11480" t="str">
        <f t="shared" si="2204"/>
        <v>1</v>
      </c>
      <c r="F11480" t="str">
        <f t="shared" si="2208"/>
        <v>COM</v>
      </c>
      <c r="G11480" t="str">
        <f>"JOSE ERIC SILVA MACENA (854)"</f>
        <v>JOSE ERIC SILVA MACENA (854)</v>
      </c>
      <c r="H11480" t="s">
        <v>3090</v>
      </c>
      <c r="I11480" t="str">
        <f t="shared" si="2212"/>
        <v>18/11/2025</v>
      </c>
      <c r="J11480" t="str">
        <f t="shared" si="2213"/>
        <v>18/11/2025</v>
      </c>
      <c r="K11480">
        <v>45979</v>
      </c>
      <c r="N11480">
        <v>134</v>
      </c>
      <c r="O11480" t="s">
        <v>41</v>
      </c>
      <c r="Q11480">
        <v>180</v>
      </c>
      <c r="R11480" t="str">
        <f>"FARMÁCIA INDIANA LJ 101 (10043)"</f>
        <v>FARMÁCIA INDIANA LJ 101 (10043)</v>
      </c>
      <c r="S11480" t="s">
        <v>22</v>
      </c>
      <c r="T11480">
        <v>21262</v>
      </c>
      <c r="U11480">
        <v>25719</v>
      </c>
      <c r="V11480" t="s">
        <v>22</v>
      </c>
    </row>
    <row r="11481" spans="1:22">
      <c r="A11481" t="str">
        <f t="shared" si="2207"/>
        <v>18/11/2025</v>
      </c>
      <c r="B11481" t="str">
        <f t="shared" si="2210"/>
        <v>SAÍDA</v>
      </c>
      <c r="C11481" t="str">
        <f t="shared" si="2211"/>
        <v>PIX</v>
      </c>
      <c r="D11481" t="str">
        <f>"25726"</f>
        <v>25726</v>
      </c>
      <c r="E11481" t="str">
        <f t="shared" si="2204"/>
        <v>1</v>
      </c>
      <c r="F11481" t="str">
        <f t="shared" si="2208"/>
        <v>COM</v>
      </c>
      <c r="G11481" t="str">
        <f>"LAUAN ROCHA DE MELO (914)"</f>
        <v>LAUAN ROCHA DE MELO (914)</v>
      </c>
      <c r="H11481" t="str">
        <f>"Serv.Prest. 10/11/2025 a 16/11/2025 - PIX: CELULAR - CHAVE: (32) 99913-0476"</f>
        <v>Serv.Prest. 10/11/2025 a 16/11/2025 - PIX: CELULAR - CHAVE: (32) 99913-0476</v>
      </c>
      <c r="I11481" t="str">
        <f t="shared" si="2212"/>
        <v>18/11/2025</v>
      </c>
      <c r="J11481" t="str">
        <f t="shared" si="2213"/>
        <v>18/11/2025</v>
      </c>
      <c r="K11481" t="str">
        <f>("18/11/2025")</f>
        <v>18/11/2025</v>
      </c>
      <c r="L11481">
        <v>120</v>
      </c>
      <c r="M11481">
        <v>120</v>
      </c>
      <c r="N11481">
        <v>134</v>
      </c>
      <c r="O11481" t="str">
        <f>"DIARIA DE MOTOBOY"</f>
        <v>DIARIA DE MOTOBOY</v>
      </c>
      <c r="P11481">
        <v>120</v>
      </c>
      <c r="S11481" t="str">
        <f>"BANCO CORA (102)"</f>
        <v>BANCO CORA (102)</v>
      </c>
      <c r="T11481">
        <v>21263</v>
      </c>
      <c r="U11481">
        <v>25726</v>
      </c>
      <c r="V11481" t="s">
        <v>22</v>
      </c>
    </row>
    <row r="11482" spans="1:22">
      <c r="A11482" t="str">
        <f t="shared" si="2207"/>
        <v>18/11/2025</v>
      </c>
      <c r="B11482" t="str">
        <f t="shared" si="2210"/>
        <v>SAÍDA</v>
      </c>
      <c r="C11482" t="str">
        <f t="shared" si="2211"/>
        <v>PIX</v>
      </c>
      <c r="D11482" t="str">
        <f>"25726"</f>
        <v>25726</v>
      </c>
      <c r="E11482" t="str">
        <f t="shared" si="2204"/>
        <v>1</v>
      </c>
      <c r="F11482" t="str">
        <f t="shared" si="2208"/>
        <v>COM</v>
      </c>
      <c r="G11482" t="str">
        <f>"LAUAN ROCHA DE MELO (914)"</f>
        <v>LAUAN ROCHA DE MELO (914)</v>
      </c>
      <c r="H11482" t="s">
        <v>3091</v>
      </c>
      <c r="I11482" t="str">
        <f t="shared" si="2212"/>
        <v>18/11/2025</v>
      </c>
      <c r="J11482" t="str">
        <f t="shared" si="2213"/>
        <v>18/11/2025</v>
      </c>
      <c r="K11482">
        <v>45979</v>
      </c>
      <c r="N11482">
        <v>134</v>
      </c>
      <c r="O11482" t="s">
        <v>41</v>
      </c>
      <c r="Q11482">
        <v>120</v>
      </c>
      <c r="R11482" t="str">
        <f>"FARMÁCIA INDIANA LJ 109 (10047)"</f>
        <v>FARMÁCIA INDIANA LJ 109 (10047)</v>
      </c>
      <c r="S11482" t="s">
        <v>22</v>
      </c>
      <c r="T11482">
        <v>21263</v>
      </c>
      <c r="U11482">
        <v>25726</v>
      </c>
      <c r="V11482" t="s">
        <v>22</v>
      </c>
    </row>
    <row r="11483" spans="1:22">
      <c r="A11483" t="str">
        <f t="shared" si="2207"/>
        <v>18/11/2025</v>
      </c>
      <c r="B11483" t="str">
        <f t="shared" si="2210"/>
        <v>SAÍDA</v>
      </c>
      <c r="C11483" t="str">
        <f t="shared" si="2211"/>
        <v>PIX</v>
      </c>
      <c r="D11483" t="str">
        <f>"25731"</f>
        <v>25731</v>
      </c>
      <c r="E11483" t="str">
        <f t="shared" si="2204"/>
        <v>1</v>
      </c>
      <c r="F11483" t="str">
        <f t="shared" si="2208"/>
        <v>COM</v>
      </c>
      <c r="G11483" t="str">
        <f>"LUCAS RODRIGO LAGE ARRUDA (1052)"</f>
        <v>LUCAS RODRIGO LAGE ARRUDA (1052)</v>
      </c>
      <c r="H11483" t="str">
        <f>"Serv.Prest. 10/11/2025 a 16/11/2025 - PIX: CELULAR - CHAVE: (31) 99607-6585"</f>
        <v>Serv.Prest. 10/11/2025 a 16/11/2025 - PIX: CELULAR - CHAVE: (31) 99607-6585</v>
      </c>
      <c r="I11483" t="str">
        <f t="shared" si="2212"/>
        <v>18/11/2025</v>
      </c>
      <c r="J11483" t="str">
        <f t="shared" si="2213"/>
        <v>18/11/2025</v>
      </c>
      <c r="K11483" t="str">
        <f>("18/11/2025")</f>
        <v>18/11/2025</v>
      </c>
      <c r="L11483">
        <v>360</v>
      </c>
      <c r="M11483">
        <v>360</v>
      </c>
      <c r="N11483">
        <v>134</v>
      </c>
      <c r="O11483" t="str">
        <f>"DIARIA DE MOTOBOY"</f>
        <v>DIARIA DE MOTOBOY</v>
      </c>
      <c r="P11483">
        <v>360</v>
      </c>
      <c r="S11483" t="str">
        <f>"BANCO CORA (102)"</f>
        <v>BANCO CORA (102)</v>
      </c>
      <c r="T11483">
        <v>21264</v>
      </c>
      <c r="U11483">
        <v>25731</v>
      </c>
      <c r="V11483" t="s">
        <v>22</v>
      </c>
    </row>
    <row r="11484" spans="1:22">
      <c r="A11484" t="str">
        <f t="shared" si="2207"/>
        <v>18/11/2025</v>
      </c>
      <c r="B11484" t="str">
        <f t="shared" si="2210"/>
        <v>SAÍDA</v>
      </c>
      <c r="C11484" t="str">
        <f t="shared" si="2211"/>
        <v>PIX</v>
      </c>
      <c r="D11484" t="str">
        <f>"25731"</f>
        <v>25731</v>
      </c>
      <c r="E11484" t="str">
        <f t="shared" si="2204"/>
        <v>1</v>
      </c>
      <c r="F11484" t="str">
        <f t="shared" si="2208"/>
        <v>COM</v>
      </c>
      <c r="G11484" t="str">
        <f>"LUCAS RODRIGO LAGE ARRUDA (1052)"</f>
        <v>LUCAS RODRIGO LAGE ARRUDA (1052)</v>
      </c>
      <c r="H11484" t="s">
        <v>3092</v>
      </c>
      <c r="I11484" t="str">
        <f t="shared" si="2212"/>
        <v>18/11/2025</v>
      </c>
      <c r="J11484" t="str">
        <f t="shared" si="2213"/>
        <v>18/11/2025</v>
      </c>
      <c r="K11484">
        <v>45979</v>
      </c>
      <c r="N11484">
        <v>134</v>
      </c>
      <c r="O11484" t="s">
        <v>41</v>
      </c>
      <c r="Q11484">
        <v>360</v>
      </c>
      <c r="R11484" t="str">
        <f>"FARMÁCIA INDIANA LJ 101 (10043)"</f>
        <v>FARMÁCIA INDIANA LJ 101 (10043)</v>
      </c>
      <c r="S11484" t="s">
        <v>22</v>
      </c>
      <c r="T11484">
        <v>21264</v>
      </c>
      <c r="U11484">
        <v>25731</v>
      </c>
      <c r="V11484" t="s">
        <v>22</v>
      </c>
    </row>
    <row r="11485" spans="1:22">
      <c r="A11485" t="str">
        <f t="shared" si="2207"/>
        <v>18/11/2025</v>
      </c>
      <c r="B11485" t="str">
        <f t="shared" si="2210"/>
        <v>SAÍDA</v>
      </c>
      <c r="C11485" t="str">
        <f t="shared" si="2211"/>
        <v>PIX</v>
      </c>
      <c r="D11485" t="str">
        <f>"25683"</f>
        <v>25683</v>
      </c>
      <c r="E11485" t="str">
        <f t="shared" si="2204"/>
        <v>1</v>
      </c>
      <c r="F11485" t="str">
        <f t="shared" si="2208"/>
        <v>COM</v>
      </c>
      <c r="G11485" t="str">
        <f>"CARLOS DANIEL FERNANDES VIEIRA (1051)"</f>
        <v>CARLOS DANIEL FERNANDES VIEIRA (1051)</v>
      </c>
      <c r="H11485" t="str">
        <f>"Serv.Prest. 10/11/2025 a 16/11/2025 - PIX: CPF - CHAVE: 171.393.446-98"</f>
        <v>Serv.Prest. 10/11/2025 a 16/11/2025 - PIX: CPF - CHAVE: 171.393.446-98</v>
      </c>
      <c r="I11485" t="str">
        <f t="shared" si="2212"/>
        <v>18/11/2025</v>
      </c>
      <c r="J11485" t="str">
        <f t="shared" si="2213"/>
        <v>18/11/2025</v>
      </c>
      <c r="K11485" t="str">
        <f>("18/11/2025")</f>
        <v>18/11/2025</v>
      </c>
      <c r="L11485">
        <v>120</v>
      </c>
      <c r="M11485">
        <v>120</v>
      </c>
      <c r="N11485">
        <v>134</v>
      </c>
      <c r="O11485" t="str">
        <f>"DIARIA DE MOTOBOY"</f>
        <v>DIARIA DE MOTOBOY</v>
      </c>
      <c r="P11485">
        <v>120</v>
      </c>
      <c r="S11485" t="str">
        <f>"BANCO CORA (102)"</f>
        <v>BANCO CORA (102)</v>
      </c>
      <c r="T11485">
        <v>21265</v>
      </c>
      <c r="U11485">
        <v>25780</v>
      </c>
      <c r="V11485" t="s">
        <v>22</v>
      </c>
    </row>
    <row r="11486" spans="1:22">
      <c r="A11486" t="str">
        <f t="shared" si="2207"/>
        <v>18/11/2025</v>
      </c>
      <c r="B11486" t="str">
        <f t="shared" si="2210"/>
        <v>SAÍDA</v>
      </c>
      <c r="C11486" t="str">
        <f t="shared" si="2211"/>
        <v>PIX</v>
      </c>
      <c r="D11486" t="str">
        <f>"25683"</f>
        <v>25683</v>
      </c>
      <c r="E11486" t="str">
        <f t="shared" si="2204"/>
        <v>1</v>
      </c>
      <c r="F11486" t="str">
        <f t="shared" si="2208"/>
        <v>COM</v>
      </c>
      <c r="G11486" t="str">
        <f>"CARLOS DANIEL FERNANDES VIEIRA (1051)"</f>
        <v>CARLOS DANIEL FERNANDES VIEIRA (1051)</v>
      </c>
      <c r="H11486" t="s">
        <v>3057</v>
      </c>
      <c r="I11486" t="str">
        <f t="shared" si="2212"/>
        <v>18/11/2025</v>
      </c>
      <c r="J11486" t="str">
        <f t="shared" si="2213"/>
        <v>18/11/2025</v>
      </c>
      <c r="K11486">
        <v>45979</v>
      </c>
      <c r="N11486">
        <v>134</v>
      </c>
      <c r="O11486" t="s">
        <v>41</v>
      </c>
      <c r="Q11486">
        <v>120</v>
      </c>
      <c r="R11486" t="str">
        <f>"FARMÁCIA INDIANA LJ 205 (10150)"</f>
        <v>FARMÁCIA INDIANA LJ 205 (10150)</v>
      </c>
      <c r="S11486" t="s">
        <v>22</v>
      </c>
      <c r="T11486">
        <v>21265</v>
      </c>
      <c r="U11486">
        <v>25780</v>
      </c>
      <c r="V11486" t="s">
        <v>22</v>
      </c>
    </row>
    <row r="11487" spans="1:22">
      <c r="A11487" t="str">
        <f t="shared" si="2207"/>
        <v>18/11/2025</v>
      </c>
      <c r="B11487" t="str">
        <f t="shared" si="2210"/>
        <v>SAÍDA</v>
      </c>
      <c r="C11487" t="str">
        <f t="shared" si="2211"/>
        <v>PIX</v>
      </c>
      <c r="D11487" t="str">
        <f>"25723"</f>
        <v>25723</v>
      </c>
      <c r="E11487" t="str">
        <f t="shared" si="2204"/>
        <v>1</v>
      </c>
      <c r="F11487" t="str">
        <f t="shared" si="2208"/>
        <v>COM</v>
      </c>
      <c r="G11487" t="str">
        <f>"JUSSARA CRISTINA FARIA (783)"</f>
        <v>JUSSARA CRISTINA FARIA (783)</v>
      </c>
      <c r="H11487" t="str">
        <f>"Serv.Prest. 10/11/2025 a 16/11/2025 - PIX: CELULAR - CHAVE: (31) 99373-5678"</f>
        <v>Serv.Prest. 10/11/2025 a 16/11/2025 - PIX: CELULAR - CHAVE: (31) 99373-5678</v>
      </c>
      <c r="I11487" t="str">
        <f t="shared" si="2212"/>
        <v>18/11/2025</v>
      </c>
      <c r="J11487" t="str">
        <f t="shared" si="2213"/>
        <v>18/11/2025</v>
      </c>
      <c r="K11487" t="str">
        <f>("18/11/2025")</f>
        <v>18/11/2025</v>
      </c>
      <c r="L11487">
        <v>300</v>
      </c>
      <c r="M11487">
        <v>300</v>
      </c>
      <c r="N11487">
        <v>134</v>
      </c>
      <c r="O11487" t="str">
        <f>"DIARIA DE MOTOBOY"</f>
        <v>DIARIA DE MOTOBOY</v>
      </c>
      <c r="P11487">
        <v>300</v>
      </c>
      <c r="S11487" t="str">
        <f>"BANCO CORA (102)"</f>
        <v>BANCO CORA (102)</v>
      </c>
      <c r="T11487">
        <v>21266</v>
      </c>
      <c r="U11487">
        <v>25781</v>
      </c>
      <c r="V11487" t="s">
        <v>22</v>
      </c>
    </row>
    <row r="11488" spans="1:22">
      <c r="A11488" t="str">
        <f t="shared" si="2207"/>
        <v>18/11/2025</v>
      </c>
      <c r="B11488" t="str">
        <f t="shared" si="2210"/>
        <v>SAÍDA</v>
      </c>
      <c r="C11488" t="str">
        <f t="shared" si="2211"/>
        <v>PIX</v>
      </c>
      <c r="D11488" t="str">
        <f>"25723"</f>
        <v>25723</v>
      </c>
      <c r="E11488" t="str">
        <f t="shared" si="2204"/>
        <v>1</v>
      </c>
      <c r="F11488" t="str">
        <f t="shared" si="2208"/>
        <v>COM</v>
      </c>
      <c r="G11488" t="str">
        <f>"JUSSARA CRISTINA FARIA (783)"</f>
        <v>JUSSARA CRISTINA FARIA (783)</v>
      </c>
      <c r="H11488" t="s">
        <v>3063</v>
      </c>
      <c r="I11488" t="str">
        <f t="shared" si="2212"/>
        <v>18/11/2025</v>
      </c>
      <c r="J11488" t="str">
        <f t="shared" si="2213"/>
        <v>18/11/2025</v>
      </c>
      <c r="K11488">
        <v>45979</v>
      </c>
      <c r="N11488">
        <v>134</v>
      </c>
      <c r="O11488" t="s">
        <v>41</v>
      </c>
      <c r="Q11488">
        <v>300</v>
      </c>
      <c r="R11488" t="str">
        <f>"FARMÁCIA INDIANA LJ 110 (10048)"</f>
        <v>FARMÁCIA INDIANA LJ 110 (10048)</v>
      </c>
      <c r="S11488" t="s">
        <v>22</v>
      </c>
      <c r="T11488">
        <v>21266</v>
      </c>
      <c r="U11488">
        <v>25781</v>
      </c>
      <c r="V11488" t="s">
        <v>22</v>
      </c>
    </row>
    <row r="11489" spans="1:22">
      <c r="A11489" t="str">
        <f t="shared" si="2207"/>
        <v>18/11/2025</v>
      </c>
      <c r="B11489" t="str">
        <f t="shared" si="2210"/>
        <v>SAÍDA</v>
      </c>
      <c r="C11489" t="str">
        <f t="shared" si="2211"/>
        <v>PIX</v>
      </c>
      <c r="D11489" t="str">
        <f>"1811"</f>
        <v>1811</v>
      </c>
      <c r="E11489" t="str">
        <f>"25"</f>
        <v>25</v>
      </c>
      <c r="F11489" t="str">
        <f t="shared" si="2208"/>
        <v>COM</v>
      </c>
      <c r="G11489" t="str">
        <f>"JAMERSON SOUZA LOPES (749)"</f>
        <v>JAMERSON SOUZA LOPES (749)</v>
      </c>
      <c r="H11489" t="str">
        <f>"DIARIA 17/11 JUNDIAI - PIX CPF 42309801836"</f>
        <v>DIARIA 17/11 JUNDIAI - PIX CPF 42309801836</v>
      </c>
      <c r="I11489" t="str">
        <f t="shared" si="2212"/>
        <v>18/11/2025</v>
      </c>
      <c r="J11489" t="str">
        <f>("17/11/2025")</f>
        <v>17/11/2025</v>
      </c>
      <c r="K11489" t="str">
        <f>("18/11/2025")</f>
        <v>18/11/2025</v>
      </c>
      <c r="L11489">
        <v>150</v>
      </c>
      <c r="M11489">
        <v>150</v>
      </c>
      <c r="N11489">
        <v>134</v>
      </c>
      <c r="O11489" t="str">
        <f>"DIARIA DE MOTOBOY"</f>
        <v>DIARIA DE MOTOBOY</v>
      </c>
      <c r="P11489">
        <v>150</v>
      </c>
      <c r="S11489" t="str">
        <f>"BANCO CORA (102)"</f>
        <v>BANCO CORA (102)</v>
      </c>
      <c r="T11489">
        <v>21268</v>
      </c>
      <c r="U11489">
        <v>25784</v>
      </c>
      <c r="V11489" t="s">
        <v>22</v>
      </c>
    </row>
    <row r="11490" spans="1:22">
      <c r="A11490" t="str">
        <f t="shared" si="2207"/>
        <v>18/11/2025</v>
      </c>
      <c r="B11490" t="str">
        <f t="shared" si="2210"/>
        <v>SAÍDA</v>
      </c>
      <c r="C11490" t="str">
        <f t="shared" si="2211"/>
        <v>PIX</v>
      </c>
      <c r="D11490" t="str">
        <f>"1811"</f>
        <v>1811</v>
      </c>
      <c r="E11490" t="str">
        <f>"25"</f>
        <v>25</v>
      </c>
      <c r="F11490" t="str">
        <f t="shared" si="2208"/>
        <v>COM</v>
      </c>
      <c r="G11490" t="str">
        <f>"JAMERSON SOUZA LOPES (749)"</f>
        <v>JAMERSON SOUZA LOPES (749)</v>
      </c>
      <c r="H11490" t="s">
        <v>3093</v>
      </c>
      <c r="I11490" t="str">
        <f t="shared" si="2212"/>
        <v>18/11/2025</v>
      </c>
      <c r="J11490" t="str">
        <f>("17/11/2025")</f>
        <v>17/11/2025</v>
      </c>
      <c r="K11490">
        <v>45979</v>
      </c>
      <c r="N11490">
        <v>134</v>
      </c>
      <c r="O11490" t="s">
        <v>41</v>
      </c>
      <c r="Q11490">
        <v>150</v>
      </c>
      <c r="R11490" t="str">
        <f>"JAMERSON SOUZA LOPES (749)"</f>
        <v>JAMERSON SOUZA LOPES (749)</v>
      </c>
      <c r="S11490" t="s">
        <v>22</v>
      </c>
      <c r="T11490">
        <v>21268</v>
      </c>
      <c r="U11490">
        <v>25784</v>
      </c>
      <c r="V11490" t="s">
        <v>22</v>
      </c>
    </row>
    <row r="11491" spans="1:22">
      <c r="A11491" t="str">
        <f t="shared" ref="A11491:A11522" si="2214">("18/11/2025")</f>
        <v>18/11/2025</v>
      </c>
      <c r="B11491" t="str">
        <f t="shared" si="2210"/>
        <v>SAÍDA</v>
      </c>
      <c r="C11491" t="str">
        <f t="shared" si="2211"/>
        <v>PIX</v>
      </c>
      <c r="D11491" t="str">
        <f>"1811"</f>
        <v>1811</v>
      </c>
      <c r="E11491" t="str">
        <f>"25"</f>
        <v>25</v>
      </c>
      <c r="F11491" t="str">
        <f t="shared" si="2208"/>
        <v>COM</v>
      </c>
      <c r="G11491" t="str">
        <f>"GABRIEL RODRIGO (1094)"</f>
        <v>GABRIEL RODRIGO (1094)</v>
      </c>
      <c r="H11491" t="str">
        <f>"DIARIA 17/11 JUNDIAI - PIX CPF 480.384.188.83"</f>
        <v>DIARIA 17/11 JUNDIAI - PIX CPF 480.384.188.83</v>
      </c>
      <c r="I11491" t="str">
        <f t="shared" si="2212"/>
        <v>18/11/2025</v>
      </c>
      <c r="J11491" t="str">
        <f>("17/11/2025")</f>
        <v>17/11/2025</v>
      </c>
      <c r="K11491" t="str">
        <f>("18/11/2025")</f>
        <v>18/11/2025</v>
      </c>
      <c r="L11491">
        <v>175</v>
      </c>
      <c r="M11491">
        <v>175</v>
      </c>
      <c r="N11491">
        <v>134</v>
      </c>
      <c r="O11491" t="str">
        <f>"DIARIA DE MOTOBOY"</f>
        <v>DIARIA DE MOTOBOY</v>
      </c>
      <c r="P11491">
        <v>175</v>
      </c>
      <c r="S11491" t="str">
        <f>"BANCO CORA (102)"</f>
        <v>BANCO CORA (102)</v>
      </c>
      <c r="T11491">
        <v>21269</v>
      </c>
      <c r="U11491">
        <v>25785</v>
      </c>
      <c r="V11491" t="s">
        <v>22</v>
      </c>
    </row>
    <row r="11492" spans="1:22">
      <c r="A11492" t="str">
        <f t="shared" si="2214"/>
        <v>18/11/2025</v>
      </c>
      <c r="B11492" t="str">
        <f t="shared" si="2210"/>
        <v>SAÍDA</v>
      </c>
      <c r="C11492" t="str">
        <f t="shared" si="2211"/>
        <v>PIX</v>
      </c>
      <c r="D11492" t="str">
        <f>"1811"</f>
        <v>1811</v>
      </c>
      <c r="E11492" t="str">
        <f>"25"</f>
        <v>25</v>
      </c>
      <c r="F11492" t="str">
        <f t="shared" si="2208"/>
        <v>COM</v>
      </c>
      <c r="G11492" t="str">
        <f>"GABRIEL RODRIGO (1094)"</f>
        <v>GABRIEL RODRIGO (1094)</v>
      </c>
      <c r="H11492" t="s">
        <v>3094</v>
      </c>
      <c r="I11492" t="str">
        <f t="shared" si="2212"/>
        <v>18/11/2025</v>
      </c>
      <c r="J11492" t="str">
        <f>("17/11/2025")</f>
        <v>17/11/2025</v>
      </c>
      <c r="K11492">
        <v>45979</v>
      </c>
      <c r="N11492">
        <v>134</v>
      </c>
      <c r="O11492" t="s">
        <v>41</v>
      </c>
      <c r="Q11492">
        <v>175</v>
      </c>
      <c r="R11492" t="str">
        <f>"GABRIEL RODRIGO (1094)"</f>
        <v>GABRIEL RODRIGO (1094)</v>
      </c>
      <c r="S11492" t="s">
        <v>22</v>
      </c>
      <c r="T11492">
        <v>21269</v>
      </c>
      <c r="U11492">
        <v>25785</v>
      </c>
      <c r="V11492" t="s">
        <v>22</v>
      </c>
    </row>
    <row r="11493" spans="1:22">
      <c r="A11493" t="str">
        <f t="shared" si="2214"/>
        <v>18/11/2025</v>
      </c>
      <c r="B11493" t="str">
        <f t="shared" si="2210"/>
        <v>SAÍDA</v>
      </c>
      <c r="C11493" t="str">
        <f t="shared" si="2211"/>
        <v>PIX</v>
      </c>
      <c r="D11493" t="str">
        <f>"25632"</f>
        <v>25632</v>
      </c>
      <c r="E11493" t="str">
        <f t="shared" ref="E11493:E11523" si="2215">"1"</f>
        <v>1</v>
      </c>
      <c r="F11493" t="str">
        <f t="shared" si="2208"/>
        <v>COM</v>
      </c>
      <c r="G11493" t="str">
        <f>"BRENO HENRIQUE DE SOUSA (596)"</f>
        <v>BRENO HENRIQUE DE SOUSA (596)</v>
      </c>
      <c r="H11493" t="str">
        <f>"Serv.Prest. 10/11/2025 a 16/11/2025 - PIX: CELULAR - CHAVE: (37) 99146-2630"</f>
        <v>Serv.Prest. 10/11/2025 a 16/11/2025 - PIX: CELULAR - CHAVE: (37) 99146-2630</v>
      </c>
      <c r="I11493" t="str">
        <f t="shared" si="2212"/>
        <v>18/11/2025</v>
      </c>
      <c r="J11493" t="str">
        <f>("18/11/2025")</f>
        <v>18/11/2025</v>
      </c>
      <c r="K11493" t="str">
        <f>("18/11/2025")</f>
        <v>18/11/2025</v>
      </c>
      <c r="L11493">
        <v>150</v>
      </c>
      <c r="M11493">
        <v>150</v>
      </c>
      <c r="N11493">
        <v>109</v>
      </c>
      <c r="O11493" t="str">
        <f>"PAGAMENTO DE ENTREGADORES"</f>
        <v>PAGAMENTO DE ENTREGADORES</v>
      </c>
      <c r="P11493">
        <v>150</v>
      </c>
      <c r="S11493" t="str">
        <f>"BANCO CORA (102)"</f>
        <v>BANCO CORA (102)</v>
      </c>
      <c r="T11493">
        <v>21270</v>
      </c>
      <c r="U11493">
        <v>25786</v>
      </c>
      <c r="V11493" t="s">
        <v>22</v>
      </c>
    </row>
    <row r="11494" spans="1:22">
      <c r="A11494" t="str">
        <f t="shared" si="2214"/>
        <v>18/11/2025</v>
      </c>
      <c r="B11494" t="str">
        <f t="shared" si="2210"/>
        <v>SAÍDA</v>
      </c>
      <c r="C11494" t="str">
        <f t="shared" si="2211"/>
        <v>PIX</v>
      </c>
      <c r="D11494" t="str">
        <f>"25632"</f>
        <v>25632</v>
      </c>
      <c r="E11494" t="str">
        <f t="shared" si="2215"/>
        <v>1</v>
      </c>
      <c r="F11494" t="str">
        <f t="shared" si="2208"/>
        <v>COM</v>
      </c>
      <c r="G11494" t="str">
        <f>"BRENO HENRIQUE DE SOUSA (596)"</f>
        <v>BRENO HENRIQUE DE SOUSA (596)</v>
      </c>
      <c r="H11494" t="s">
        <v>3095</v>
      </c>
      <c r="I11494" t="str">
        <f t="shared" si="2212"/>
        <v>18/11/2025</v>
      </c>
      <c r="J11494" t="str">
        <f>("18/11/2025")</f>
        <v>18/11/2025</v>
      </c>
      <c r="K11494">
        <v>45979</v>
      </c>
      <c r="N11494">
        <v>109</v>
      </c>
      <c r="O11494" t="s">
        <v>24</v>
      </c>
      <c r="Q11494">
        <v>150</v>
      </c>
      <c r="R11494" t="str">
        <f>"DROGARIA POUPA MINAS (ULTRAMINAS) 1 (10181)"</f>
        <v>DROGARIA POUPA MINAS (ULTRAMINAS) 1 (10181)</v>
      </c>
      <c r="S11494" t="s">
        <v>22</v>
      </c>
      <c r="T11494">
        <v>21270</v>
      </c>
      <c r="U11494">
        <v>25786</v>
      </c>
      <c r="V11494" t="s">
        <v>22</v>
      </c>
    </row>
    <row r="11495" spans="1:22">
      <c r="A11495" t="str">
        <f t="shared" si="2214"/>
        <v>18/11/2025</v>
      </c>
      <c r="B11495" t="str">
        <f t="shared" si="2210"/>
        <v>SAÍDA</v>
      </c>
      <c r="C11495" t="str">
        <f t="shared" si="2211"/>
        <v>PIX</v>
      </c>
      <c r="D11495" t="str">
        <f>"25125"</f>
        <v>25125</v>
      </c>
      <c r="E11495" t="str">
        <f t="shared" si="2215"/>
        <v>1</v>
      </c>
      <c r="F11495" t="str">
        <f t="shared" si="2208"/>
        <v>COM</v>
      </c>
      <c r="G11495" t="str">
        <f>"GABRIEL SOARES VIEIRA (18)"</f>
        <v>GABRIEL SOARES VIEIRA (18)</v>
      </c>
      <c r="H11495" t="str">
        <f>"Serv.Prest. 03/11/2025 a 09/11/2025 - PIX: CPF - CHAVE: 179.800.027-09"</f>
        <v>Serv.Prest. 03/11/2025 a 09/11/2025 - PIX: CPF - CHAVE: 179.800.027-09</v>
      </c>
      <c r="I11495" t="str">
        <f t="shared" si="2212"/>
        <v>18/11/2025</v>
      </c>
      <c r="J11495" t="str">
        <f>("11/11/2025")</f>
        <v>11/11/2025</v>
      </c>
      <c r="K11495" t="str">
        <f>("18/11/2025")</f>
        <v>18/11/2025</v>
      </c>
      <c r="L11495">
        <v>200</v>
      </c>
      <c r="M11495">
        <v>200</v>
      </c>
      <c r="N11495">
        <v>109</v>
      </c>
      <c r="O11495" t="str">
        <f>"PAGAMENTO DE ENTREGADORES"</f>
        <v>PAGAMENTO DE ENTREGADORES</v>
      </c>
      <c r="P11495">
        <v>200</v>
      </c>
      <c r="S11495" t="str">
        <f>"BANCO CORA (102)"</f>
        <v>BANCO CORA (102)</v>
      </c>
      <c r="T11495">
        <v>21271</v>
      </c>
      <c r="U11495">
        <v>25787</v>
      </c>
      <c r="V11495" t="s">
        <v>22</v>
      </c>
    </row>
    <row r="11496" spans="1:22">
      <c r="A11496" t="str">
        <f t="shared" si="2214"/>
        <v>18/11/2025</v>
      </c>
      <c r="B11496" t="str">
        <f t="shared" si="2210"/>
        <v>SAÍDA</v>
      </c>
      <c r="C11496" t="str">
        <f t="shared" si="2211"/>
        <v>PIX</v>
      </c>
      <c r="D11496" t="str">
        <f>"25125"</f>
        <v>25125</v>
      </c>
      <c r="E11496" t="str">
        <f t="shared" si="2215"/>
        <v>1</v>
      </c>
      <c r="F11496" t="str">
        <f t="shared" si="2208"/>
        <v>COM</v>
      </c>
      <c r="G11496" t="str">
        <f>"GABRIEL SOARES VIEIRA (18)"</f>
        <v>GABRIEL SOARES VIEIRA (18)</v>
      </c>
      <c r="H11496" t="s">
        <v>3096</v>
      </c>
      <c r="I11496" t="str">
        <f t="shared" si="2212"/>
        <v>18/11/2025</v>
      </c>
      <c r="J11496" t="str">
        <f>("11/11/2025")</f>
        <v>11/11/2025</v>
      </c>
      <c r="K11496">
        <v>45979</v>
      </c>
      <c r="N11496">
        <v>109</v>
      </c>
      <c r="O11496" t="s">
        <v>24</v>
      </c>
      <c r="Q11496">
        <v>159.58000000000001</v>
      </c>
      <c r="R11496" t="str">
        <f>"FARMÁCIA INDIANA LJ 40 (10016)"</f>
        <v>FARMÁCIA INDIANA LJ 40 (10016)</v>
      </c>
      <c r="S11496" t="s">
        <v>22</v>
      </c>
      <c r="T11496">
        <v>21271</v>
      </c>
      <c r="U11496">
        <v>25787</v>
      </c>
      <c r="V11496" t="s">
        <v>22</v>
      </c>
    </row>
    <row r="11497" spans="1:22">
      <c r="A11497" t="str">
        <f t="shared" si="2214"/>
        <v>18/11/2025</v>
      </c>
      <c r="B11497" t="str">
        <f t="shared" si="2210"/>
        <v>SAÍDA</v>
      </c>
      <c r="C11497" t="str">
        <f t="shared" si="2211"/>
        <v>PIX</v>
      </c>
      <c r="D11497" t="str">
        <f>"25125"</f>
        <v>25125</v>
      </c>
      <c r="E11497" t="str">
        <f t="shared" si="2215"/>
        <v>1</v>
      </c>
      <c r="F11497" t="str">
        <f t="shared" si="2208"/>
        <v>COM</v>
      </c>
      <c r="G11497" t="str">
        <f>"GABRIEL SOARES VIEIRA (18)"</f>
        <v>GABRIEL SOARES VIEIRA (18)</v>
      </c>
      <c r="H11497" t="s">
        <v>3096</v>
      </c>
      <c r="I11497" t="str">
        <f t="shared" si="2212"/>
        <v>18/11/2025</v>
      </c>
      <c r="J11497" t="str">
        <f>("11/11/2025")</f>
        <v>11/11/2025</v>
      </c>
      <c r="K11497">
        <v>45979</v>
      </c>
      <c r="N11497">
        <v>109</v>
      </c>
      <c r="O11497" t="s">
        <v>24</v>
      </c>
      <c r="Q11497">
        <v>40.42</v>
      </c>
      <c r="R11497" t="str">
        <f>"FARMÁCIA INDIANA LJ 61 (10027)"</f>
        <v>FARMÁCIA INDIANA LJ 61 (10027)</v>
      </c>
      <c r="S11497" t="s">
        <v>22</v>
      </c>
      <c r="T11497">
        <v>21271</v>
      </c>
      <c r="U11497">
        <v>25787</v>
      </c>
      <c r="V11497" t="s">
        <v>22</v>
      </c>
    </row>
    <row r="11498" spans="1:22">
      <c r="A11498" t="str">
        <f t="shared" si="2214"/>
        <v>18/11/2025</v>
      </c>
      <c r="B11498" t="str">
        <f t="shared" si="2210"/>
        <v>SAÍDA</v>
      </c>
      <c r="C11498" t="str">
        <f t="shared" si="2211"/>
        <v>PIX</v>
      </c>
      <c r="D11498" t="str">
        <f t="shared" ref="D11498:D11503" si="2216">"25871"</f>
        <v>25871</v>
      </c>
      <c r="E11498" t="str">
        <f t="shared" si="2215"/>
        <v>1</v>
      </c>
      <c r="F11498" t="str">
        <f t="shared" si="2208"/>
        <v>COM</v>
      </c>
      <c r="G11498" t="str">
        <f t="shared" ref="G11498:G11503" si="2217">"VALTER APARECIDO GOMES (1071)"</f>
        <v>VALTER APARECIDO GOMES (1071)</v>
      </c>
      <c r="H11498" t="str">
        <f>"Serv.Prest. 10/11/2025 a 16/11/2025 - PIX: CPF - CHAVE: 615.521.869-20"</f>
        <v>Serv.Prest. 10/11/2025 a 16/11/2025 - PIX: CPF - CHAVE: 615.521.869-20</v>
      </c>
      <c r="I11498" t="str">
        <f t="shared" ref="I11498:I11503" si="2218">("20/11/2025")</f>
        <v>20/11/2025</v>
      </c>
      <c r="J11498" t="str">
        <f t="shared" ref="J11498:J11503" si="2219">("19/11/2025")</f>
        <v>19/11/2025</v>
      </c>
      <c r="K11498" t="str">
        <f>("18/11/2025")</f>
        <v>18/11/2025</v>
      </c>
      <c r="L11498">
        <v>170</v>
      </c>
      <c r="M11498">
        <v>170</v>
      </c>
      <c r="N11498">
        <v>134</v>
      </c>
      <c r="O11498" t="str">
        <f>"DIARIA DE MOTOBOY"</f>
        <v>DIARIA DE MOTOBOY</v>
      </c>
      <c r="P11498">
        <v>170</v>
      </c>
      <c r="S11498" t="str">
        <f>"BANCO CORA (102)"</f>
        <v>BANCO CORA (102)</v>
      </c>
      <c r="T11498">
        <v>21281</v>
      </c>
      <c r="U11498">
        <v>25871</v>
      </c>
      <c r="V11498" t="s">
        <v>22</v>
      </c>
    </row>
    <row r="11499" spans="1:22">
      <c r="A11499" t="str">
        <f t="shared" si="2214"/>
        <v>18/11/2025</v>
      </c>
      <c r="B11499" t="str">
        <f t="shared" si="2210"/>
        <v>SAÍDA</v>
      </c>
      <c r="C11499" t="str">
        <f t="shared" si="2211"/>
        <v>PIX</v>
      </c>
      <c r="D11499" t="str">
        <f t="shared" si="2216"/>
        <v>25871</v>
      </c>
      <c r="E11499" t="str">
        <f t="shared" si="2215"/>
        <v>1</v>
      </c>
      <c r="F11499" t="str">
        <f t="shared" si="2208"/>
        <v>COM</v>
      </c>
      <c r="G11499" t="str">
        <f t="shared" si="2217"/>
        <v>VALTER APARECIDO GOMES (1071)</v>
      </c>
      <c r="H11499" t="s">
        <v>2802</v>
      </c>
      <c r="I11499" t="str">
        <f t="shared" si="2218"/>
        <v>20/11/2025</v>
      </c>
      <c r="J11499" t="str">
        <f t="shared" si="2219"/>
        <v>19/11/2025</v>
      </c>
      <c r="K11499">
        <v>45979</v>
      </c>
      <c r="N11499">
        <v>134</v>
      </c>
      <c r="O11499" t="s">
        <v>41</v>
      </c>
      <c r="Q11499">
        <v>13.71</v>
      </c>
      <c r="R11499" t="str">
        <f>"DROGALIDER 42 (10247)"</f>
        <v>DROGALIDER 42 (10247)</v>
      </c>
      <c r="S11499" t="s">
        <v>22</v>
      </c>
      <c r="T11499">
        <v>21281</v>
      </c>
      <c r="U11499">
        <v>25871</v>
      </c>
      <c r="V11499" t="s">
        <v>22</v>
      </c>
    </row>
    <row r="11500" spans="1:22">
      <c r="A11500" t="str">
        <f t="shared" si="2214"/>
        <v>18/11/2025</v>
      </c>
      <c r="B11500" t="str">
        <f t="shared" si="2210"/>
        <v>SAÍDA</v>
      </c>
      <c r="C11500" t="str">
        <f t="shared" si="2211"/>
        <v>PIX</v>
      </c>
      <c r="D11500" t="str">
        <f t="shared" si="2216"/>
        <v>25871</v>
      </c>
      <c r="E11500" t="str">
        <f t="shared" si="2215"/>
        <v>1</v>
      </c>
      <c r="F11500" t="str">
        <f t="shared" si="2208"/>
        <v>COM</v>
      </c>
      <c r="G11500" t="str">
        <f t="shared" si="2217"/>
        <v>VALTER APARECIDO GOMES (1071)</v>
      </c>
      <c r="H11500" t="s">
        <v>2802</v>
      </c>
      <c r="I11500" t="str">
        <f t="shared" si="2218"/>
        <v>20/11/2025</v>
      </c>
      <c r="J11500" t="str">
        <f t="shared" si="2219"/>
        <v>19/11/2025</v>
      </c>
      <c r="K11500">
        <v>45979</v>
      </c>
      <c r="N11500">
        <v>134</v>
      </c>
      <c r="O11500" t="s">
        <v>41</v>
      </c>
      <c r="Q11500">
        <v>2.74</v>
      </c>
      <c r="R11500" t="str">
        <f>"DROGALIDER 55 (10249)"</f>
        <v>DROGALIDER 55 (10249)</v>
      </c>
      <c r="S11500" t="s">
        <v>22</v>
      </c>
      <c r="T11500">
        <v>21281</v>
      </c>
      <c r="U11500">
        <v>25871</v>
      </c>
      <c r="V11500" t="s">
        <v>22</v>
      </c>
    </row>
    <row r="11501" spans="1:22">
      <c r="A11501" t="str">
        <f t="shared" si="2214"/>
        <v>18/11/2025</v>
      </c>
      <c r="B11501" t="str">
        <f t="shared" si="2210"/>
        <v>SAÍDA</v>
      </c>
      <c r="C11501" t="str">
        <f t="shared" si="2211"/>
        <v>PIX</v>
      </c>
      <c r="D11501" t="str">
        <f t="shared" si="2216"/>
        <v>25871</v>
      </c>
      <c r="E11501" t="str">
        <f t="shared" si="2215"/>
        <v>1</v>
      </c>
      <c r="F11501" t="str">
        <f t="shared" si="2208"/>
        <v>COM</v>
      </c>
      <c r="G11501" t="str">
        <f t="shared" si="2217"/>
        <v>VALTER APARECIDO GOMES (1071)</v>
      </c>
      <c r="H11501" t="s">
        <v>2802</v>
      </c>
      <c r="I11501" t="str">
        <f t="shared" si="2218"/>
        <v>20/11/2025</v>
      </c>
      <c r="J11501" t="str">
        <f t="shared" si="2219"/>
        <v>19/11/2025</v>
      </c>
      <c r="K11501">
        <v>45979</v>
      </c>
      <c r="N11501">
        <v>134</v>
      </c>
      <c r="O11501" t="s">
        <v>41</v>
      </c>
      <c r="Q11501">
        <v>24.68</v>
      </c>
      <c r="R11501" t="str">
        <f>"DROGALIDER 67 (10252)"</f>
        <v>DROGALIDER 67 (10252)</v>
      </c>
      <c r="S11501" t="s">
        <v>22</v>
      </c>
      <c r="T11501">
        <v>21281</v>
      </c>
      <c r="U11501">
        <v>25871</v>
      </c>
      <c r="V11501" t="s">
        <v>22</v>
      </c>
    </row>
    <row r="11502" spans="1:22">
      <c r="A11502" t="str">
        <f t="shared" si="2214"/>
        <v>18/11/2025</v>
      </c>
      <c r="B11502" t="str">
        <f t="shared" si="2210"/>
        <v>SAÍDA</v>
      </c>
      <c r="C11502" t="str">
        <f t="shared" si="2211"/>
        <v>PIX</v>
      </c>
      <c r="D11502" t="str">
        <f t="shared" si="2216"/>
        <v>25871</v>
      </c>
      <c r="E11502" t="str">
        <f t="shared" si="2215"/>
        <v>1</v>
      </c>
      <c r="F11502" t="str">
        <f t="shared" si="2208"/>
        <v>COM</v>
      </c>
      <c r="G11502" t="str">
        <f t="shared" si="2217"/>
        <v>VALTER APARECIDO GOMES (1071)</v>
      </c>
      <c r="H11502" t="s">
        <v>2802</v>
      </c>
      <c r="I11502" t="str">
        <f t="shared" si="2218"/>
        <v>20/11/2025</v>
      </c>
      <c r="J11502" t="str">
        <f t="shared" si="2219"/>
        <v>19/11/2025</v>
      </c>
      <c r="K11502">
        <v>45979</v>
      </c>
      <c r="N11502">
        <v>134</v>
      </c>
      <c r="O11502" t="s">
        <v>41</v>
      </c>
      <c r="Q11502">
        <v>24.68</v>
      </c>
      <c r="R11502" t="str">
        <f>"DROGALIDER 68 (10253)"</f>
        <v>DROGALIDER 68 (10253)</v>
      </c>
      <c r="S11502" t="s">
        <v>22</v>
      </c>
      <c r="T11502">
        <v>21281</v>
      </c>
      <c r="U11502">
        <v>25871</v>
      </c>
      <c r="V11502" t="s">
        <v>22</v>
      </c>
    </row>
    <row r="11503" spans="1:22">
      <c r="A11503" t="str">
        <f t="shared" si="2214"/>
        <v>18/11/2025</v>
      </c>
      <c r="B11503" t="str">
        <f t="shared" si="2210"/>
        <v>SAÍDA</v>
      </c>
      <c r="C11503" t="str">
        <f t="shared" si="2211"/>
        <v>PIX</v>
      </c>
      <c r="D11503" t="str">
        <f t="shared" si="2216"/>
        <v>25871</v>
      </c>
      <c r="E11503" t="str">
        <f t="shared" si="2215"/>
        <v>1</v>
      </c>
      <c r="F11503" t="str">
        <f t="shared" si="2208"/>
        <v>COM</v>
      </c>
      <c r="G11503" t="str">
        <f t="shared" si="2217"/>
        <v>VALTER APARECIDO GOMES (1071)</v>
      </c>
      <c r="H11503" t="s">
        <v>2802</v>
      </c>
      <c r="I11503" t="str">
        <f t="shared" si="2218"/>
        <v>20/11/2025</v>
      </c>
      <c r="J11503" t="str">
        <f t="shared" si="2219"/>
        <v>19/11/2025</v>
      </c>
      <c r="K11503">
        <v>45979</v>
      </c>
      <c r="N11503">
        <v>134</v>
      </c>
      <c r="O11503" t="s">
        <v>41</v>
      </c>
      <c r="Q11503">
        <v>104.19</v>
      </c>
      <c r="R11503" t="str">
        <f>"DROGALIDER 31 (10256)"</f>
        <v>DROGALIDER 31 (10256)</v>
      </c>
      <c r="S11503" t="s">
        <v>22</v>
      </c>
      <c r="T11503">
        <v>21281</v>
      </c>
      <c r="U11503">
        <v>25871</v>
      </c>
      <c r="V11503" t="s">
        <v>22</v>
      </c>
    </row>
    <row r="11504" spans="1:22">
      <c r="A11504" t="str">
        <f t="shared" si="2214"/>
        <v>18/11/2025</v>
      </c>
      <c r="B11504" t="str">
        <f t="shared" si="2210"/>
        <v>SAÍDA</v>
      </c>
      <c r="C11504" t="str">
        <f t="shared" si="2211"/>
        <v>PIX</v>
      </c>
      <c r="D11504" t="str">
        <f>"18112025"</f>
        <v>18112025</v>
      </c>
      <c r="E11504" t="str">
        <f t="shared" si="2215"/>
        <v>1</v>
      </c>
      <c r="F11504" t="str">
        <f t="shared" si="2208"/>
        <v>COM</v>
      </c>
      <c r="G11504" t="str">
        <f>"NUCLEO DE INFORMACAO E COORDENACAO DO PONTO BR NIC B (20125)"</f>
        <v>NUCLEO DE INFORMACAO E COORDENACAO DO PONTO BR NIC B (20125)</v>
      </c>
      <c r="H11504" t="str">
        <f>"DOMINIO DE SOFTWARE COOPERATIVA"</f>
        <v>DOMINIO DE SOFTWARE COOPERATIVA</v>
      </c>
      <c r="I11504" t="str">
        <f>("18/11/2025")</f>
        <v>18/11/2025</v>
      </c>
      <c r="J11504" t="str">
        <f>("18/11/2025")</f>
        <v>18/11/2025</v>
      </c>
      <c r="K11504" t="str">
        <f>("18/11/2025")</f>
        <v>18/11/2025</v>
      </c>
      <c r="L11504">
        <v>112</v>
      </c>
      <c r="M11504">
        <v>112</v>
      </c>
      <c r="N11504">
        <v>104</v>
      </c>
      <c r="O11504" t="str">
        <f>"SOFTWARE / LICENÇAS"</f>
        <v>SOFTWARE / LICENÇAS</v>
      </c>
      <c r="P11504">
        <v>112</v>
      </c>
      <c r="S11504" t="str">
        <f>"BANCO CORA (102)"</f>
        <v>BANCO CORA (102)</v>
      </c>
      <c r="T11504">
        <v>22387</v>
      </c>
      <c r="U11504">
        <v>26331</v>
      </c>
      <c r="V11504" t="s">
        <v>22</v>
      </c>
    </row>
    <row r="11505" spans="1:22">
      <c r="A11505" t="str">
        <f t="shared" si="2214"/>
        <v>18/11/2025</v>
      </c>
      <c r="B11505" t="str">
        <f t="shared" si="2210"/>
        <v>SAÍDA</v>
      </c>
      <c r="C11505" t="str">
        <f t="shared" si="2211"/>
        <v>PIX</v>
      </c>
      <c r="D11505" t="str">
        <f>"18112025"</f>
        <v>18112025</v>
      </c>
      <c r="E11505" t="str">
        <f t="shared" si="2215"/>
        <v>1</v>
      </c>
      <c r="F11505" t="str">
        <f t="shared" si="2208"/>
        <v>COM</v>
      </c>
      <c r="G11505" t="str">
        <f>"NUCLEO DE INFORMACAO E COORDENACAO DO PONTO BR NIC B (20125)"</f>
        <v>NUCLEO DE INFORMACAO E COORDENACAO DO PONTO BR NIC B (20125)</v>
      </c>
      <c r="H11505" t="s">
        <v>3097</v>
      </c>
      <c r="I11505" t="str">
        <f>("18/11/2025")</f>
        <v>18/11/2025</v>
      </c>
      <c r="J11505" t="str">
        <f>("18/11/2025")</f>
        <v>18/11/2025</v>
      </c>
      <c r="K11505">
        <v>45979</v>
      </c>
      <c r="N11505">
        <v>104</v>
      </c>
      <c r="O11505" t="s">
        <v>34</v>
      </c>
      <c r="Q11505">
        <v>112</v>
      </c>
      <c r="R11505" t="str">
        <f>"NUCLEO DE INFORMACAO E COORDENACAO DO PONTO BR NIC B (20125)"</f>
        <v>NUCLEO DE INFORMACAO E COORDENACAO DO PONTO BR NIC B (20125)</v>
      </c>
      <c r="S11505" t="s">
        <v>22</v>
      </c>
      <c r="T11505">
        <v>22387</v>
      </c>
      <c r="U11505">
        <v>26331</v>
      </c>
      <c r="V11505" t="s">
        <v>22</v>
      </c>
    </row>
    <row r="11506" spans="1:22">
      <c r="A11506" t="str">
        <f t="shared" si="2214"/>
        <v>18/11/2025</v>
      </c>
      <c r="B11506" t="str">
        <f t="shared" ref="B11506:B11523" si="2220">"ENTRADA"</f>
        <v>ENTRADA</v>
      </c>
      <c r="C11506" t="str">
        <f t="shared" ref="C11506:C11523" si="2221">"NFSE"</f>
        <v>NFSE</v>
      </c>
      <c r="D11506" t="str">
        <f t="shared" ref="D11506:D11511" si="2222">"3700"</f>
        <v>3700</v>
      </c>
      <c r="E11506" t="str">
        <f t="shared" si="2215"/>
        <v>1</v>
      </c>
      <c r="F11506" t="str">
        <f t="shared" si="2208"/>
        <v>COM</v>
      </c>
      <c r="G11506" t="str">
        <f t="shared" ref="G11506:G11511" si="2223">"DROGALIDER 31 (10256)"</f>
        <v>DROGALIDER 31 (10256)</v>
      </c>
      <c r="H11506" t="str">
        <f>"Serv.Prest. 03/11/2025 a 09/11/2025 - RPS: 1576 - NFSe: 3700"</f>
        <v>Serv.Prest. 03/11/2025 a 09/11/2025 - RPS: 1576 - NFSe: 3700</v>
      </c>
      <c r="I11506" t="str">
        <f t="shared" ref="I11506:I11517" si="2224">("18/11/2025")</f>
        <v>18/11/2025</v>
      </c>
      <c r="J11506" t="str">
        <f t="shared" ref="J11506:J11517" si="2225">("12/11/2025")</f>
        <v>12/11/2025</v>
      </c>
      <c r="K11506" t="str">
        <f>("18/11/2025")</f>
        <v>18/11/2025</v>
      </c>
      <c r="L11506">
        <v>2550</v>
      </c>
      <c r="M11506">
        <v>2550</v>
      </c>
      <c r="N11506">
        <v>303</v>
      </c>
      <c r="O11506" t="str">
        <f>"RECEITAS COM ENTREGAS"</f>
        <v>RECEITAS COM ENTREGAS</v>
      </c>
      <c r="P11506">
        <v>2550</v>
      </c>
      <c r="S11506" t="str">
        <f>"RECEITAS COM ENTREGAS (303)"</f>
        <v>RECEITAS COM ENTREGAS (303)</v>
      </c>
      <c r="T11506">
        <v>22388</v>
      </c>
      <c r="U11506">
        <v>25260</v>
      </c>
      <c r="V11506" t="s">
        <v>22</v>
      </c>
    </row>
    <row r="11507" spans="1:22">
      <c r="A11507" t="str">
        <f t="shared" si="2214"/>
        <v>18/11/2025</v>
      </c>
      <c r="B11507" t="str">
        <f t="shared" si="2220"/>
        <v>ENTRADA</v>
      </c>
      <c r="C11507" t="str">
        <f t="shared" si="2221"/>
        <v>NFSE</v>
      </c>
      <c r="D11507" t="str">
        <f t="shared" si="2222"/>
        <v>3700</v>
      </c>
      <c r="E11507" t="str">
        <f t="shared" si="2215"/>
        <v>1</v>
      </c>
      <c r="F11507" t="str">
        <f t="shared" si="2208"/>
        <v>COM</v>
      </c>
      <c r="G11507" t="str">
        <f t="shared" si="2223"/>
        <v>DROGALIDER 31 (10256)</v>
      </c>
      <c r="H11507" t="s">
        <v>3098</v>
      </c>
      <c r="I11507" t="str">
        <f t="shared" si="2224"/>
        <v>18/11/2025</v>
      </c>
      <c r="J11507" t="str">
        <f t="shared" si="2225"/>
        <v>12/11/2025</v>
      </c>
      <c r="K11507">
        <v>45979</v>
      </c>
      <c r="N11507">
        <v>303</v>
      </c>
      <c r="O11507" t="s">
        <v>69</v>
      </c>
      <c r="Q11507">
        <v>425.07</v>
      </c>
      <c r="R11507" t="str">
        <f>"DROGALIDER 42 (10247)"</f>
        <v>DROGALIDER 42 (10247)</v>
      </c>
      <c r="S11507" t="s">
        <v>70</v>
      </c>
      <c r="T11507">
        <v>22388</v>
      </c>
      <c r="U11507">
        <v>25260</v>
      </c>
      <c r="V11507" t="s">
        <v>22</v>
      </c>
    </row>
    <row r="11508" spans="1:22">
      <c r="A11508" t="str">
        <f t="shared" si="2214"/>
        <v>18/11/2025</v>
      </c>
      <c r="B11508" t="str">
        <f t="shared" si="2220"/>
        <v>ENTRADA</v>
      </c>
      <c r="C11508" t="str">
        <f t="shared" si="2221"/>
        <v>NFSE</v>
      </c>
      <c r="D11508" t="str">
        <f t="shared" si="2222"/>
        <v>3700</v>
      </c>
      <c r="E11508" t="str">
        <f t="shared" si="2215"/>
        <v>1</v>
      </c>
      <c r="F11508" t="str">
        <f t="shared" si="2208"/>
        <v>COM</v>
      </c>
      <c r="G11508" t="str">
        <f t="shared" si="2223"/>
        <v>DROGALIDER 31 (10256)</v>
      </c>
      <c r="H11508" t="s">
        <v>3098</v>
      </c>
      <c r="I11508" t="str">
        <f t="shared" si="2224"/>
        <v>18/11/2025</v>
      </c>
      <c r="J11508" t="str">
        <f t="shared" si="2225"/>
        <v>12/11/2025</v>
      </c>
      <c r="K11508">
        <v>45979</v>
      </c>
      <c r="N11508">
        <v>303</v>
      </c>
      <c r="O11508" t="s">
        <v>69</v>
      </c>
      <c r="Q11508">
        <v>510</v>
      </c>
      <c r="R11508" t="str">
        <f>"DROGALIDER 55 (10249)"</f>
        <v>DROGALIDER 55 (10249)</v>
      </c>
      <c r="S11508" t="s">
        <v>70</v>
      </c>
      <c r="T11508">
        <v>22388</v>
      </c>
      <c r="U11508">
        <v>25260</v>
      </c>
      <c r="V11508" t="s">
        <v>22</v>
      </c>
    </row>
    <row r="11509" spans="1:22">
      <c r="A11509" t="str">
        <f t="shared" si="2214"/>
        <v>18/11/2025</v>
      </c>
      <c r="B11509" t="str">
        <f t="shared" si="2220"/>
        <v>ENTRADA</v>
      </c>
      <c r="C11509" t="str">
        <f t="shared" si="2221"/>
        <v>NFSE</v>
      </c>
      <c r="D11509" t="str">
        <f t="shared" si="2222"/>
        <v>3700</v>
      </c>
      <c r="E11509" t="str">
        <f t="shared" si="2215"/>
        <v>1</v>
      </c>
      <c r="F11509" t="str">
        <f t="shared" si="2208"/>
        <v>COM</v>
      </c>
      <c r="G11509" t="str">
        <f t="shared" si="2223"/>
        <v>DROGALIDER 31 (10256)</v>
      </c>
      <c r="H11509" t="s">
        <v>3098</v>
      </c>
      <c r="I11509" t="str">
        <f t="shared" si="2224"/>
        <v>18/11/2025</v>
      </c>
      <c r="J11509" t="str">
        <f t="shared" si="2225"/>
        <v>12/11/2025</v>
      </c>
      <c r="K11509">
        <v>45979</v>
      </c>
      <c r="N11509">
        <v>303</v>
      </c>
      <c r="O11509" t="s">
        <v>69</v>
      </c>
      <c r="Q11509">
        <v>425.09</v>
      </c>
      <c r="R11509" t="str">
        <f>"DROGALIDER 67 (10252)"</f>
        <v>DROGALIDER 67 (10252)</v>
      </c>
      <c r="S11509" t="s">
        <v>70</v>
      </c>
      <c r="T11509">
        <v>22388</v>
      </c>
      <c r="U11509">
        <v>25260</v>
      </c>
      <c r="V11509" t="s">
        <v>22</v>
      </c>
    </row>
    <row r="11510" spans="1:22">
      <c r="A11510" t="str">
        <f t="shared" si="2214"/>
        <v>18/11/2025</v>
      </c>
      <c r="B11510" t="str">
        <f t="shared" si="2220"/>
        <v>ENTRADA</v>
      </c>
      <c r="C11510" t="str">
        <f t="shared" si="2221"/>
        <v>NFSE</v>
      </c>
      <c r="D11510" t="str">
        <f t="shared" si="2222"/>
        <v>3700</v>
      </c>
      <c r="E11510" t="str">
        <f t="shared" si="2215"/>
        <v>1</v>
      </c>
      <c r="F11510" t="str">
        <f t="shared" si="2208"/>
        <v>COM</v>
      </c>
      <c r="G11510" t="str">
        <f t="shared" si="2223"/>
        <v>DROGALIDER 31 (10256)</v>
      </c>
      <c r="H11510" t="s">
        <v>3098</v>
      </c>
      <c r="I11510" t="str">
        <f t="shared" si="2224"/>
        <v>18/11/2025</v>
      </c>
      <c r="J11510" t="str">
        <f t="shared" si="2225"/>
        <v>12/11/2025</v>
      </c>
      <c r="K11510">
        <v>45979</v>
      </c>
      <c r="N11510">
        <v>303</v>
      </c>
      <c r="O11510" t="s">
        <v>69</v>
      </c>
      <c r="Q11510">
        <v>403.67</v>
      </c>
      <c r="R11510" t="str">
        <f>"DROGALIDER 68 (10253)"</f>
        <v>DROGALIDER 68 (10253)</v>
      </c>
      <c r="S11510" t="s">
        <v>70</v>
      </c>
      <c r="T11510">
        <v>22388</v>
      </c>
      <c r="U11510">
        <v>25260</v>
      </c>
      <c r="V11510" t="s">
        <v>22</v>
      </c>
    </row>
    <row r="11511" spans="1:22">
      <c r="A11511" t="str">
        <f t="shared" si="2214"/>
        <v>18/11/2025</v>
      </c>
      <c r="B11511" t="str">
        <f t="shared" si="2220"/>
        <v>ENTRADA</v>
      </c>
      <c r="C11511" t="str">
        <f t="shared" si="2221"/>
        <v>NFSE</v>
      </c>
      <c r="D11511" t="str">
        <f t="shared" si="2222"/>
        <v>3700</v>
      </c>
      <c r="E11511" t="str">
        <f t="shared" si="2215"/>
        <v>1</v>
      </c>
      <c r="F11511" t="str">
        <f t="shared" si="2208"/>
        <v>COM</v>
      </c>
      <c r="G11511" t="str">
        <f t="shared" si="2223"/>
        <v>DROGALIDER 31 (10256)</v>
      </c>
      <c r="H11511" t="s">
        <v>3098</v>
      </c>
      <c r="I11511" t="str">
        <f t="shared" si="2224"/>
        <v>18/11/2025</v>
      </c>
      <c r="J11511" t="str">
        <f t="shared" si="2225"/>
        <v>12/11/2025</v>
      </c>
      <c r="K11511">
        <v>45979</v>
      </c>
      <c r="N11511">
        <v>303</v>
      </c>
      <c r="O11511" t="s">
        <v>69</v>
      </c>
      <c r="Q11511">
        <v>786.17</v>
      </c>
      <c r="R11511" t="str">
        <f>"DROGALIDER 31 (10256)"</f>
        <v>DROGALIDER 31 (10256)</v>
      </c>
      <c r="S11511" t="s">
        <v>70</v>
      </c>
      <c r="T11511">
        <v>22388</v>
      </c>
      <c r="U11511">
        <v>25260</v>
      </c>
      <c r="V11511" t="s">
        <v>22</v>
      </c>
    </row>
    <row r="11512" spans="1:22">
      <c r="A11512" t="str">
        <f t="shared" si="2214"/>
        <v>18/11/2025</v>
      </c>
      <c r="B11512" t="str">
        <f t="shared" si="2220"/>
        <v>ENTRADA</v>
      </c>
      <c r="C11512" t="str">
        <f t="shared" si="2221"/>
        <v>NFSE</v>
      </c>
      <c r="D11512" t="str">
        <f t="shared" ref="D11512:D11517" si="2226">"3699"</f>
        <v>3699</v>
      </c>
      <c r="E11512" t="str">
        <f t="shared" si="2215"/>
        <v>1</v>
      </c>
      <c r="F11512" t="str">
        <f t="shared" si="2208"/>
        <v>COM</v>
      </c>
      <c r="G11512" t="str">
        <f t="shared" ref="G11512:G11517" si="2227">"DROGALIDER 25 (10246)"</f>
        <v>DROGALIDER 25 (10246)</v>
      </c>
      <c r="H11512" t="str">
        <f>"Serv.Prest. 03/11/2025 a 09/11/2025 - RPS: 1575 - NFSe: 3699"</f>
        <v>Serv.Prest. 03/11/2025 a 09/11/2025 - RPS: 1575 - NFSe: 3699</v>
      </c>
      <c r="I11512" t="str">
        <f t="shared" si="2224"/>
        <v>18/11/2025</v>
      </c>
      <c r="J11512" t="str">
        <f t="shared" si="2225"/>
        <v>12/11/2025</v>
      </c>
      <c r="K11512" t="str">
        <f>("18/11/2025")</f>
        <v>18/11/2025</v>
      </c>
      <c r="L11512">
        <v>4914</v>
      </c>
      <c r="M11512">
        <v>4914</v>
      </c>
      <c r="N11512">
        <v>303</v>
      </c>
      <c r="O11512" t="str">
        <f>"RECEITAS COM ENTREGAS"</f>
        <v>RECEITAS COM ENTREGAS</v>
      </c>
      <c r="P11512">
        <v>4914</v>
      </c>
      <c r="S11512" t="str">
        <f>"RECEITAS COM ENTREGAS (303)"</f>
        <v>RECEITAS COM ENTREGAS (303)</v>
      </c>
      <c r="T11512">
        <v>22389</v>
      </c>
      <c r="U11512">
        <v>25255</v>
      </c>
      <c r="V11512" t="s">
        <v>22</v>
      </c>
    </row>
    <row r="11513" spans="1:22">
      <c r="A11513" t="str">
        <f t="shared" si="2214"/>
        <v>18/11/2025</v>
      </c>
      <c r="B11513" t="str">
        <f t="shared" si="2220"/>
        <v>ENTRADA</v>
      </c>
      <c r="C11513" t="str">
        <f t="shared" si="2221"/>
        <v>NFSE</v>
      </c>
      <c r="D11513" t="str">
        <f t="shared" si="2226"/>
        <v>3699</v>
      </c>
      <c r="E11513" t="str">
        <f t="shared" si="2215"/>
        <v>1</v>
      </c>
      <c r="F11513" t="str">
        <f t="shared" si="2208"/>
        <v>COM</v>
      </c>
      <c r="G11513" t="str">
        <f t="shared" si="2227"/>
        <v>DROGALIDER 25 (10246)</v>
      </c>
      <c r="H11513" t="s">
        <v>3099</v>
      </c>
      <c r="I11513" t="str">
        <f t="shared" si="2224"/>
        <v>18/11/2025</v>
      </c>
      <c r="J11513" t="str">
        <f t="shared" si="2225"/>
        <v>12/11/2025</v>
      </c>
      <c r="K11513">
        <v>45979</v>
      </c>
      <c r="N11513">
        <v>303</v>
      </c>
      <c r="O11513" t="s">
        <v>69</v>
      </c>
      <c r="Q11513">
        <v>809.83</v>
      </c>
      <c r="R11513" t="str">
        <f>"DROGALIDER 58 (10213)"</f>
        <v>DROGALIDER 58 (10213)</v>
      </c>
      <c r="S11513" t="s">
        <v>70</v>
      </c>
      <c r="T11513">
        <v>22389</v>
      </c>
      <c r="U11513">
        <v>25255</v>
      </c>
      <c r="V11513" t="s">
        <v>22</v>
      </c>
    </row>
    <row r="11514" spans="1:22">
      <c r="A11514" t="str">
        <f t="shared" si="2214"/>
        <v>18/11/2025</v>
      </c>
      <c r="B11514" t="str">
        <f t="shared" si="2220"/>
        <v>ENTRADA</v>
      </c>
      <c r="C11514" t="str">
        <f t="shared" si="2221"/>
        <v>NFSE</v>
      </c>
      <c r="D11514" t="str">
        <f t="shared" si="2226"/>
        <v>3699</v>
      </c>
      <c r="E11514" t="str">
        <f t="shared" si="2215"/>
        <v>1</v>
      </c>
      <c r="F11514" t="str">
        <f t="shared" si="2208"/>
        <v>COM</v>
      </c>
      <c r="G11514" t="str">
        <f t="shared" si="2227"/>
        <v>DROGALIDER 25 (10246)</v>
      </c>
      <c r="H11514" t="s">
        <v>3099</v>
      </c>
      <c r="I11514" t="str">
        <f t="shared" si="2224"/>
        <v>18/11/2025</v>
      </c>
      <c r="J11514" t="str">
        <f t="shared" si="2225"/>
        <v>12/11/2025</v>
      </c>
      <c r="K11514">
        <v>45979</v>
      </c>
      <c r="N11514">
        <v>303</v>
      </c>
      <c r="O11514" t="s">
        <v>69</v>
      </c>
      <c r="Q11514">
        <v>1772.97</v>
      </c>
      <c r="R11514" t="str">
        <f>"DROGALIDER 25 (10246)"</f>
        <v>DROGALIDER 25 (10246)</v>
      </c>
      <c r="S11514" t="s">
        <v>70</v>
      </c>
      <c r="T11514">
        <v>22389</v>
      </c>
      <c r="U11514">
        <v>25255</v>
      </c>
      <c r="V11514" t="s">
        <v>22</v>
      </c>
    </row>
    <row r="11515" spans="1:22">
      <c r="A11515" t="str">
        <f t="shared" si="2214"/>
        <v>18/11/2025</v>
      </c>
      <c r="B11515" t="str">
        <f t="shared" si="2220"/>
        <v>ENTRADA</v>
      </c>
      <c r="C11515" t="str">
        <f t="shared" si="2221"/>
        <v>NFSE</v>
      </c>
      <c r="D11515" t="str">
        <f t="shared" si="2226"/>
        <v>3699</v>
      </c>
      <c r="E11515" t="str">
        <f t="shared" si="2215"/>
        <v>1</v>
      </c>
      <c r="F11515" t="str">
        <f t="shared" si="2208"/>
        <v>COM</v>
      </c>
      <c r="G11515" t="str">
        <f t="shared" si="2227"/>
        <v>DROGALIDER 25 (10246)</v>
      </c>
      <c r="H11515" t="s">
        <v>3099</v>
      </c>
      <c r="I11515" t="str">
        <f t="shared" si="2224"/>
        <v>18/11/2025</v>
      </c>
      <c r="J11515" t="str">
        <f t="shared" si="2225"/>
        <v>12/11/2025</v>
      </c>
      <c r="K11515">
        <v>45979</v>
      </c>
      <c r="N11515">
        <v>303</v>
      </c>
      <c r="O11515" t="s">
        <v>69</v>
      </c>
      <c r="Q11515">
        <v>1341.03</v>
      </c>
      <c r="R11515" t="str">
        <f>"DROGALIDER 46 (10248)"</f>
        <v>DROGALIDER 46 (10248)</v>
      </c>
      <c r="S11515" t="s">
        <v>70</v>
      </c>
      <c r="T11515">
        <v>22389</v>
      </c>
      <c r="U11515">
        <v>25255</v>
      </c>
      <c r="V11515" t="s">
        <v>22</v>
      </c>
    </row>
    <row r="11516" spans="1:22">
      <c r="A11516" t="str">
        <f t="shared" si="2214"/>
        <v>18/11/2025</v>
      </c>
      <c r="B11516" t="str">
        <f t="shared" si="2220"/>
        <v>ENTRADA</v>
      </c>
      <c r="C11516" t="str">
        <f t="shared" si="2221"/>
        <v>NFSE</v>
      </c>
      <c r="D11516" t="str">
        <f t="shared" si="2226"/>
        <v>3699</v>
      </c>
      <c r="E11516" t="str">
        <f t="shared" si="2215"/>
        <v>1</v>
      </c>
      <c r="F11516" t="str">
        <f t="shared" si="2208"/>
        <v>COM</v>
      </c>
      <c r="G11516" t="str">
        <f t="shared" si="2227"/>
        <v>DROGALIDER 25 (10246)</v>
      </c>
      <c r="H11516" t="s">
        <v>3099</v>
      </c>
      <c r="I11516" t="str">
        <f t="shared" si="2224"/>
        <v>18/11/2025</v>
      </c>
      <c r="J11516" t="str">
        <f t="shared" si="2225"/>
        <v>12/11/2025</v>
      </c>
      <c r="K11516">
        <v>45979</v>
      </c>
      <c r="N11516">
        <v>303</v>
      </c>
      <c r="O11516" t="s">
        <v>69</v>
      </c>
      <c r="Q11516">
        <v>477.15</v>
      </c>
      <c r="R11516" t="str">
        <f>"DROGALIDER 64 (10250)"</f>
        <v>DROGALIDER 64 (10250)</v>
      </c>
      <c r="S11516" t="s">
        <v>70</v>
      </c>
      <c r="T11516">
        <v>22389</v>
      </c>
      <c r="U11516">
        <v>25255</v>
      </c>
      <c r="V11516" t="s">
        <v>22</v>
      </c>
    </row>
    <row r="11517" spans="1:22">
      <c r="A11517" t="str">
        <f t="shared" si="2214"/>
        <v>18/11/2025</v>
      </c>
      <c r="B11517" t="str">
        <f t="shared" si="2220"/>
        <v>ENTRADA</v>
      </c>
      <c r="C11517" t="str">
        <f t="shared" si="2221"/>
        <v>NFSE</v>
      </c>
      <c r="D11517" t="str">
        <f t="shared" si="2226"/>
        <v>3699</v>
      </c>
      <c r="E11517" t="str">
        <f t="shared" si="2215"/>
        <v>1</v>
      </c>
      <c r="F11517" t="str">
        <f t="shared" si="2208"/>
        <v>COM</v>
      </c>
      <c r="G11517" t="str">
        <f t="shared" si="2227"/>
        <v>DROGALIDER 25 (10246)</v>
      </c>
      <c r="H11517" t="s">
        <v>3099</v>
      </c>
      <c r="I11517" t="str">
        <f t="shared" si="2224"/>
        <v>18/11/2025</v>
      </c>
      <c r="J11517" t="str">
        <f t="shared" si="2225"/>
        <v>12/11/2025</v>
      </c>
      <c r="K11517">
        <v>45979</v>
      </c>
      <c r="N11517">
        <v>303</v>
      </c>
      <c r="O11517" t="s">
        <v>69</v>
      </c>
      <c r="Q11517">
        <v>513.02</v>
      </c>
      <c r="R11517" t="str">
        <f>"DROGALIDER 66 (10251)"</f>
        <v>DROGALIDER 66 (10251)</v>
      </c>
      <c r="S11517" t="s">
        <v>70</v>
      </c>
      <c r="T11517">
        <v>22389</v>
      </c>
      <c r="U11517">
        <v>25255</v>
      </c>
      <c r="V11517" t="s">
        <v>22</v>
      </c>
    </row>
    <row r="11518" spans="1:22">
      <c r="A11518" t="str">
        <f t="shared" si="2214"/>
        <v>18/11/2025</v>
      </c>
      <c r="B11518" t="str">
        <f t="shared" si="2220"/>
        <v>ENTRADA</v>
      </c>
      <c r="C11518" t="str">
        <f t="shared" si="2221"/>
        <v>NFSE</v>
      </c>
      <c r="D11518" t="str">
        <f>"3638"</f>
        <v>3638</v>
      </c>
      <c r="E11518" t="str">
        <f t="shared" si="2215"/>
        <v>1</v>
      </c>
      <c r="F11518" t="str">
        <f t="shared" si="2208"/>
        <v>COM</v>
      </c>
      <c r="G11518" t="str">
        <f>"PAGMENOS - LJ 657 (10136)"</f>
        <v>PAGMENOS - LJ 657 (10136)</v>
      </c>
      <c r="H11518" t="str">
        <f>"Serv.Prest. 27/10/2025 a 02/11/2025 - RPS: 1514 - NFSe: 3638"</f>
        <v>Serv.Prest. 27/10/2025 a 02/11/2025 - RPS: 1514 - NFSe: 3638</v>
      </c>
      <c r="I11518" t="str">
        <f t="shared" ref="I11518:I11523" si="2228">("14/11/2025")</f>
        <v>14/11/2025</v>
      </c>
      <c r="J11518" t="str">
        <f t="shared" ref="J11518:J11523" si="2229">("03/11/2025")</f>
        <v>03/11/2025</v>
      </c>
      <c r="K11518" t="str">
        <f>("18/11/2025")</f>
        <v>18/11/2025</v>
      </c>
      <c r="L11518">
        <v>1651.87</v>
      </c>
      <c r="M11518">
        <v>1651.87</v>
      </c>
      <c r="N11518">
        <v>303</v>
      </c>
      <c r="O11518" t="str">
        <f>"RECEITAS COM ENTREGAS"</f>
        <v>RECEITAS COM ENTREGAS</v>
      </c>
      <c r="P11518">
        <v>1651.87</v>
      </c>
      <c r="S11518" t="str">
        <f>"RECEITAS COM ENTREGAS (303)"</f>
        <v>RECEITAS COM ENTREGAS (303)</v>
      </c>
      <c r="T11518">
        <v>22490</v>
      </c>
      <c r="U11518">
        <v>24691</v>
      </c>
      <c r="V11518" t="s">
        <v>22</v>
      </c>
    </row>
    <row r="11519" spans="1:22">
      <c r="A11519" t="str">
        <f t="shared" si="2214"/>
        <v>18/11/2025</v>
      </c>
      <c r="B11519" t="str">
        <f t="shared" si="2220"/>
        <v>ENTRADA</v>
      </c>
      <c r="C11519" t="str">
        <f t="shared" si="2221"/>
        <v>NFSE</v>
      </c>
      <c r="D11519" t="str">
        <f>"3638"</f>
        <v>3638</v>
      </c>
      <c r="E11519" t="str">
        <f t="shared" si="2215"/>
        <v>1</v>
      </c>
      <c r="F11519" t="str">
        <f t="shared" si="2208"/>
        <v>COM</v>
      </c>
      <c r="G11519" t="str">
        <f>"PAGMENOS - LJ 657 (10136)"</f>
        <v>PAGMENOS - LJ 657 (10136)</v>
      </c>
      <c r="H11519" t="s">
        <v>3100</v>
      </c>
      <c r="I11519" t="str">
        <f t="shared" si="2228"/>
        <v>14/11/2025</v>
      </c>
      <c r="J11519" t="str">
        <f t="shared" si="2229"/>
        <v>03/11/2025</v>
      </c>
      <c r="K11519">
        <v>45979</v>
      </c>
      <c r="N11519">
        <v>303</v>
      </c>
      <c r="O11519" t="s">
        <v>69</v>
      </c>
      <c r="Q11519">
        <v>1651.87</v>
      </c>
      <c r="R11519" t="str">
        <f>"PAGMENOS - LJ 657 (10136)"</f>
        <v>PAGMENOS - LJ 657 (10136)</v>
      </c>
      <c r="S11519" t="s">
        <v>70</v>
      </c>
      <c r="T11519">
        <v>22490</v>
      </c>
      <c r="U11519">
        <v>24691</v>
      </c>
      <c r="V11519" t="s">
        <v>22</v>
      </c>
    </row>
    <row r="11520" spans="1:22">
      <c r="A11520" t="str">
        <f t="shared" si="2214"/>
        <v>18/11/2025</v>
      </c>
      <c r="B11520" t="str">
        <f t="shared" si="2220"/>
        <v>ENTRADA</v>
      </c>
      <c r="C11520" t="str">
        <f t="shared" si="2221"/>
        <v>NFSE</v>
      </c>
      <c r="D11520" t="str">
        <f>"3637"</f>
        <v>3637</v>
      </c>
      <c r="E11520" t="str">
        <f t="shared" si="2215"/>
        <v>1</v>
      </c>
      <c r="F11520" t="str">
        <f t="shared" si="2208"/>
        <v>COM</v>
      </c>
      <c r="G11520" t="str">
        <f>"PAGMENOS - LJ 608 (10135)"</f>
        <v>PAGMENOS - LJ 608 (10135)</v>
      </c>
      <c r="H11520" t="str">
        <f>"Serv.Prest. 27/10/2025 a 02/11/2025 - RPS: 1513 - NFSe: 3637"</f>
        <v>Serv.Prest. 27/10/2025 a 02/11/2025 - RPS: 1513 - NFSe: 3637</v>
      </c>
      <c r="I11520" t="str">
        <f t="shared" si="2228"/>
        <v>14/11/2025</v>
      </c>
      <c r="J11520" t="str">
        <f t="shared" si="2229"/>
        <v>03/11/2025</v>
      </c>
      <c r="K11520" t="str">
        <f>("18/11/2025")</f>
        <v>18/11/2025</v>
      </c>
      <c r="L11520">
        <v>1982.24</v>
      </c>
      <c r="M11520">
        <v>1982.24</v>
      </c>
      <c r="N11520">
        <v>303</v>
      </c>
      <c r="O11520" t="str">
        <f>"RECEITAS COM ENTREGAS"</f>
        <v>RECEITAS COM ENTREGAS</v>
      </c>
      <c r="P11520">
        <v>1982.24</v>
      </c>
      <c r="S11520" t="str">
        <f>"RECEITAS COM ENTREGAS (303)"</f>
        <v>RECEITAS COM ENTREGAS (303)</v>
      </c>
      <c r="T11520">
        <v>22491</v>
      </c>
      <c r="U11520">
        <v>24688</v>
      </c>
      <c r="V11520" t="s">
        <v>22</v>
      </c>
    </row>
    <row r="11521" spans="1:22">
      <c r="A11521" t="str">
        <f t="shared" si="2214"/>
        <v>18/11/2025</v>
      </c>
      <c r="B11521" t="str">
        <f t="shared" si="2220"/>
        <v>ENTRADA</v>
      </c>
      <c r="C11521" t="str">
        <f t="shared" si="2221"/>
        <v>NFSE</v>
      </c>
      <c r="D11521" t="str">
        <f>"3637"</f>
        <v>3637</v>
      </c>
      <c r="E11521" t="str">
        <f t="shared" si="2215"/>
        <v>1</v>
      </c>
      <c r="F11521" t="str">
        <f t="shared" si="2208"/>
        <v>COM</v>
      </c>
      <c r="G11521" t="str">
        <f>"PAGMENOS - LJ 608 (10135)"</f>
        <v>PAGMENOS - LJ 608 (10135)</v>
      </c>
      <c r="H11521" t="s">
        <v>3101</v>
      </c>
      <c r="I11521" t="str">
        <f t="shared" si="2228"/>
        <v>14/11/2025</v>
      </c>
      <c r="J11521" t="str">
        <f t="shared" si="2229"/>
        <v>03/11/2025</v>
      </c>
      <c r="K11521">
        <v>45979</v>
      </c>
      <c r="N11521">
        <v>303</v>
      </c>
      <c r="O11521" t="s">
        <v>69</v>
      </c>
      <c r="Q11521">
        <v>1982.24</v>
      </c>
      <c r="R11521" t="str">
        <f>"PAGMENOS - LJ 608 (10135)"</f>
        <v>PAGMENOS - LJ 608 (10135)</v>
      </c>
      <c r="S11521" t="s">
        <v>70</v>
      </c>
      <c r="T11521">
        <v>22491</v>
      </c>
      <c r="U11521">
        <v>24688</v>
      </c>
      <c r="V11521" t="s">
        <v>22</v>
      </c>
    </row>
    <row r="11522" spans="1:22">
      <c r="A11522" t="str">
        <f t="shared" si="2214"/>
        <v>18/11/2025</v>
      </c>
      <c r="B11522" t="str">
        <f t="shared" si="2220"/>
        <v>ENTRADA</v>
      </c>
      <c r="C11522" t="str">
        <f t="shared" si="2221"/>
        <v>NFSE</v>
      </c>
      <c r="D11522" t="str">
        <f>"3639"</f>
        <v>3639</v>
      </c>
      <c r="E11522" t="str">
        <f t="shared" si="2215"/>
        <v>1</v>
      </c>
      <c r="F11522" t="str">
        <f t="shared" si="2208"/>
        <v>COM</v>
      </c>
      <c r="G11522" t="str">
        <f>"PAGMENOS - LJ 326 (10264)"</f>
        <v>PAGMENOS - LJ 326 (10264)</v>
      </c>
      <c r="H11522" t="str">
        <f>"Serv.Prest. 27/10/2025 a 02/11/2025 - RPS: 1515 - NFSe: 3639"</f>
        <v>Serv.Prest. 27/10/2025 a 02/11/2025 - RPS: 1515 - NFSe: 3639</v>
      </c>
      <c r="I11522" t="str">
        <f t="shared" si="2228"/>
        <v>14/11/2025</v>
      </c>
      <c r="J11522" t="str">
        <f t="shared" si="2229"/>
        <v>03/11/2025</v>
      </c>
      <c r="K11522" t="str">
        <f>("18/11/2025")</f>
        <v>18/11/2025</v>
      </c>
      <c r="L11522">
        <v>407.49</v>
      </c>
      <c r="M11522">
        <v>407.49</v>
      </c>
      <c r="N11522">
        <v>303</v>
      </c>
      <c r="O11522" t="str">
        <f>"RECEITAS COM ENTREGAS"</f>
        <v>RECEITAS COM ENTREGAS</v>
      </c>
      <c r="P11522">
        <v>407.49</v>
      </c>
      <c r="S11522" t="str">
        <f>"RECEITAS COM ENTREGAS (303)"</f>
        <v>RECEITAS COM ENTREGAS (303)</v>
      </c>
      <c r="T11522">
        <v>22492</v>
      </c>
      <c r="U11522">
        <v>24694</v>
      </c>
      <c r="V11522" t="s">
        <v>22</v>
      </c>
    </row>
    <row r="11523" spans="1:22">
      <c r="A11523" t="str">
        <f t="shared" ref="A11523:A11528" si="2230">("18/11/2025")</f>
        <v>18/11/2025</v>
      </c>
      <c r="B11523" t="str">
        <f t="shared" si="2220"/>
        <v>ENTRADA</v>
      </c>
      <c r="C11523" t="str">
        <f t="shared" si="2221"/>
        <v>NFSE</v>
      </c>
      <c r="D11523" t="str">
        <f>"3639"</f>
        <v>3639</v>
      </c>
      <c r="E11523" t="str">
        <f t="shared" si="2215"/>
        <v>1</v>
      </c>
      <c r="F11523" t="str">
        <f t="shared" si="2208"/>
        <v>COM</v>
      </c>
      <c r="G11523" t="str">
        <f>"PAGMENOS - LJ 326 (10264)"</f>
        <v>PAGMENOS - LJ 326 (10264)</v>
      </c>
      <c r="H11523" t="s">
        <v>3102</v>
      </c>
      <c r="I11523" t="str">
        <f t="shared" si="2228"/>
        <v>14/11/2025</v>
      </c>
      <c r="J11523" t="str">
        <f t="shared" si="2229"/>
        <v>03/11/2025</v>
      </c>
      <c r="K11523">
        <v>45979</v>
      </c>
      <c r="N11523">
        <v>303</v>
      </c>
      <c r="O11523" t="s">
        <v>69</v>
      </c>
      <c r="Q11523">
        <v>407.49</v>
      </c>
      <c r="R11523" t="str">
        <f>"PAGMENOS - LJ 326 (10264)"</f>
        <v>PAGMENOS - LJ 326 (10264)</v>
      </c>
      <c r="S11523" t="s">
        <v>70</v>
      </c>
      <c r="T11523">
        <v>22492</v>
      </c>
      <c r="U11523">
        <v>24694</v>
      </c>
      <c r="V11523" t="s">
        <v>22</v>
      </c>
    </row>
    <row r="11524" spans="1:22">
      <c r="A11524" t="str">
        <f t="shared" si="2230"/>
        <v>18/11/2025</v>
      </c>
      <c r="B11524" t="str">
        <f t="shared" ref="B11524:B11531" si="2231">"SAÍDA"</f>
        <v>SAÍDA</v>
      </c>
      <c r="C11524" t="str">
        <f>"CONHECIMENTO"</f>
        <v>CONHECIMENTO</v>
      </c>
      <c r="D11524" t="str">
        <f>"01092025"</f>
        <v>01092025</v>
      </c>
      <c r="E11524" t="str">
        <f>"2"</f>
        <v>2</v>
      </c>
      <c r="F11524" t="str">
        <f t="shared" si="2208"/>
        <v>COM</v>
      </c>
      <c r="G11524" t="str">
        <f>"CORA SOCIEDADE DE CREDITO, FINANCIAMENTO E INVESTIMENTO (20035)"</f>
        <v>CORA SOCIEDADE DE CREDITO, FINANCIAMENTO E INVESTIMENTO (20035)</v>
      </c>
      <c r="H11524" t="str">
        <f>"TAXA BOLETO "</f>
        <v xml:space="preserve">TAXA BOLETO </v>
      </c>
      <c r="I11524" t="str">
        <f>("18/11/2025")</f>
        <v>18/11/2025</v>
      </c>
      <c r="J11524" t="str">
        <f>("01/09/2025")</f>
        <v>01/09/2025</v>
      </c>
      <c r="K11524" t="str">
        <f>("18/11/2025")</f>
        <v>18/11/2025</v>
      </c>
      <c r="L11524">
        <v>1.7</v>
      </c>
      <c r="M11524">
        <v>1.7</v>
      </c>
      <c r="N11524">
        <v>401</v>
      </c>
      <c r="O11524" t="str">
        <f>"IOF/JUROS/DESP.FINANCEIRA"</f>
        <v>IOF/JUROS/DESP.FINANCEIRA</v>
      </c>
      <c r="P11524">
        <v>1.7</v>
      </c>
      <c r="S11524" t="str">
        <f>"BANCO CORA (102)"</f>
        <v>BANCO CORA (102)</v>
      </c>
      <c r="T11524">
        <v>22846</v>
      </c>
      <c r="U11524">
        <v>26462</v>
      </c>
      <c r="V11524" t="s">
        <v>22</v>
      </c>
    </row>
    <row r="11525" spans="1:22">
      <c r="A11525" t="str">
        <f t="shared" si="2230"/>
        <v>18/11/2025</v>
      </c>
      <c r="B11525" t="str">
        <f t="shared" si="2231"/>
        <v>SAÍDA</v>
      </c>
      <c r="C11525" t="str">
        <f>"CONHECIMENTO"</f>
        <v>CONHECIMENTO</v>
      </c>
      <c r="D11525" t="str">
        <f>"01092025"</f>
        <v>01092025</v>
      </c>
      <c r="E11525" t="str">
        <f>"2"</f>
        <v>2</v>
      </c>
      <c r="F11525" t="str">
        <f t="shared" si="2208"/>
        <v>COM</v>
      </c>
      <c r="G11525" t="str">
        <f>"CORA SOCIEDADE DE CREDITO, FINANCIAMENTO E INVESTIMENTO (20035)"</f>
        <v>CORA SOCIEDADE DE CREDITO, FINANCIAMENTO E INVESTIMENTO (20035)</v>
      </c>
      <c r="H11525" t="s">
        <v>75</v>
      </c>
      <c r="I11525" t="str">
        <f>("18/11/2025")</f>
        <v>18/11/2025</v>
      </c>
      <c r="J11525" t="str">
        <f>("01/09/2025")</f>
        <v>01/09/2025</v>
      </c>
      <c r="K11525">
        <v>45979</v>
      </c>
      <c r="N11525">
        <v>401</v>
      </c>
      <c r="O11525" t="s">
        <v>76</v>
      </c>
      <c r="Q11525">
        <v>1.7</v>
      </c>
      <c r="R11525" t="str">
        <f>"CORA SOCIEDADE DE CREDITO, FINANCIAMENTO E INVESTIMENTO (20035)"</f>
        <v>CORA SOCIEDADE DE CREDITO, FINANCIAMENTO E INVESTIMENTO (20035)</v>
      </c>
      <c r="S11525" t="s">
        <v>22</v>
      </c>
      <c r="T11525">
        <v>22846</v>
      </c>
      <c r="U11525">
        <v>26462</v>
      </c>
      <c r="V11525" t="s">
        <v>22</v>
      </c>
    </row>
    <row r="11526" spans="1:22">
      <c r="A11526" t="str">
        <f t="shared" si="2230"/>
        <v>18/11/2025</v>
      </c>
      <c r="B11526" t="str">
        <f t="shared" si="2231"/>
        <v>SAÍDA</v>
      </c>
      <c r="C11526" t="str">
        <f>"CONHECIMENTO"</f>
        <v>CONHECIMENTO</v>
      </c>
      <c r="D11526" t="str">
        <f>"01092025"</f>
        <v>01092025</v>
      </c>
      <c r="E11526" t="str">
        <f>"3"</f>
        <v>3</v>
      </c>
      <c r="F11526" t="str">
        <f t="shared" si="2208"/>
        <v>COM</v>
      </c>
      <c r="G11526" t="str">
        <f>"CORA SOCIEDADE DE CREDITO, FINANCIAMENTO E INVESTIMENTO (20035)"</f>
        <v>CORA SOCIEDADE DE CREDITO, FINANCIAMENTO E INVESTIMENTO (20035)</v>
      </c>
      <c r="H11526" t="str">
        <f>"TAXA BOLETO "</f>
        <v xml:space="preserve">TAXA BOLETO </v>
      </c>
      <c r="I11526" t="str">
        <f>("18/11/2025")</f>
        <v>18/11/2025</v>
      </c>
      <c r="J11526" t="str">
        <f>("01/09/2025")</f>
        <v>01/09/2025</v>
      </c>
      <c r="K11526" t="str">
        <f>("18/11/2025")</f>
        <v>18/11/2025</v>
      </c>
      <c r="L11526">
        <v>1.7</v>
      </c>
      <c r="M11526">
        <v>1.7</v>
      </c>
      <c r="N11526">
        <v>401</v>
      </c>
      <c r="O11526" t="str">
        <f>"IOF/JUROS/DESP.FINANCEIRA"</f>
        <v>IOF/JUROS/DESP.FINANCEIRA</v>
      </c>
      <c r="P11526">
        <v>1.7</v>
      </c>
      <c r="S11526" t="str">
        <f>"BANCO CORA (102)"</f>
        <v>BANCO CORA (102)</v>
      </c>
      <c r="T11526">
        <v>22847</v>
      </c>
      <c r="U11526">
        <v>26463</v>
      </c>
      <c r="V11526" t="s">
        <v>22</v>
      </c>
    </row>
    <row r="11527" spans="1:22">
      <c r="A11527" t="str">
        <f t="shared" si="2230"/>
        <v>18/11/2025</v>
      </c>
      <c r="B11527" t="str">
        <f t="shared" si="2231"/>
        <v>SAÍDA</v>
      </c>
      <c r="C11527" t="str">
        <f>"CONHECIMENTO"</f>
        <v>CONHECIMENTO</v>
      </c>
      <c r="D11527" t="str">
        <f>"01092025"</f>
        <v>01092025</v>
      </c>
      <c r="E11527" t="str">
        <f>"3"</f>
        <v>3</v>
      </c>
      <c r="F11527" t="str">
        <f t="shared" si="2208"/>
        <v>COM</v>
      </c>
      <c r="G11527" t="str">
        <f>"CORA SOCIEDADE DE CREDITO, FINANCIAMENTO E INVESTIMENTO (20035)"</f>
        <v>CORA SOCIEDADE DE CREDITO, FINANCIAMENTO E INVESTIMENTO (20035)</v>
      </c>
      <c r="H11527" t="s">
        <v>75</v>
      </c>
      <c r="I11527" t="str">
        <f>("18/11/2025")</f>
        <v>18/11/2025</v>
      </c>
      <c r="J11527" t="str">
        <f>("01/09/2025")</f>
        <v>01/09/2025</v>
      </c>
      <c r="K11527">
        <v>45979</v>
      </c>
      <c r="N11527">
        <v>401</v>
      </c>
      <c r="O11527" t="s">
        <v>76</v>
      </c>
      <c r="Q11527">
        <v>1.7</v>
      </c>
      <c r="R11527" t="str">
        <f>"CORA SOCIEDADE DE CREDITO, FINANCIAMENTO E INVESTIMENTO (20035)"</f>
        <v>CORA SOCIEDADE DE CREDITO, FINANCIAMENTO E INVESTIMENTO (20035)</v>
      </c>
      <c r="S11527" t="s">
        <v>22</v>
      </c>
      <c r="T11527">
        <v>22847</v>
      </c>
      <c r="U11527">
        <v>26463</v>
      </c>
      <c r="V11527" t="s">
        <v>22</v>
      </c>
    </row>
    <row r="11528" spans="1:22">
      <c r="A11528" t="str">
        <f t="shared" si="2230"/>
        <v>18/11/2025</v>
      </c>
      <c r="B11528" t="str">
        <f t="shared" si="2231"/>
        <v>SAÍDA</v>
      </c>
      <c r="C11528" t="str">
        <f>"JUROS"</f>
        <v>JUROS</v>
      </c>
      <c r="D11528" t="str">
        <f>""</f>
        <v/>
      </c>
      <c r="F11528" t="str">
        <f>"CXA"</f>
        <v>CXA</v>
      </c>
      <c r="G11528" t="str">
        <f>""</f>
        <v/>
      </c>
      <c r="H11528" t="str">
        <f>"TARIFA SERV.COBR.TITULOS"</f>
        <v>TARIFA SERV.COBR.TITULOS</v>
      </c>
      <c r="I11528" t="str">
        <f>("18/11/2025")</f>
        <v>18/11/2025</v>
      </c>
      <c r="J11528" t="str">
        <f>("18/11/2025")</f>
        <v>18/11/2025</v>
      </c>
      <c r="K11528" t="str">
        <f>("18/11/2025")</f>
        <v>18/11/2025</v>
      </c>
      <c r="L11528">
        <v>1.39</v>
      </c>
      <c r="M11528">
        <v>1.39</v>
      </c>
      <c r="N11528">
        <v>401</v>
      </c>
      <c r="O11528" t="str">
        <f>"IOF/JUROS/DESP.FINANCEIRA"</f>
        <v>IOF/JUROS/DESP.FINANCEIRA</v>
      </c>
      <c r="P11528">
        <v>1.39</v>
      </c>
      <c r="S11528" t="str">
        <f>"BANCO SICREDI (143)"</f>
        <v>BANCO SICREDI (143)</v>
      </c>
      <c r="T11528">
        <v>23399</v>
      </c>
      <c r="U11528">
        <v>0</v>
      </c>
      <c r="V11528" t="s">
        <v>1112</v>
      </c>
    </row>
    <row r="11529" spans="1:22">
      <c r="A11529" t="str">
        <f t="shared" ref="A11529:A11592" si="2232">("19/11/2025")</f>
        <v>19/11/2025</v>
      </c>
      <c r="B11529" t="str">
        <f t="shared" si="2231"/>
        <v>SAÍDA</v>
      </c>
      <c r="C11529" t="str">
        <f>"PIX"</f>
        <v>PIX</v>
      </c>
      <c r="D11529" t="str">
        <f>"25521"</f>
        <v>25521</v>
      </c>
      <c r="E11529" t="str">
        <f>"1"</f>
        <v>1</v>
      </c>
      <c r="F11529" t="str">
        <f t="shared" ref="F11529:F11560" si="2233">"COM"</f>
        <v>COM</v>
      </c>
      <c r="G11529" t="str">
        <f>"MARCOS VINICIUS CORREIA JULI??O (1001)"</f>
        <v>MARCOS VINICIUS CORREIA JULI??O (1001)</v>
      </c>
      <c r="H11529" t="str">
        <f>"Serv.Prest. 10/11/2025 a 16/11/2025 - PIX: CELULAR - CHAVE: (11) 98144-5840"</f>
        <v>Serv.Prest. 10/11/2025 a 16/11/2025 - PIX: CELULAR - CHAVE: (11) 98144-5840</v>
      </c>
      <c r="I11529" t="str">
        <f>("20/11/2025")</f>
        <v>20/11/2025</v>
      </c>
      <c r="J11529" t="str">
        <f>("17/11/2025")</f>
        <v>17/11/2025</v>
      </c>
      <c r="K11529" t="str">
        <f>("19/11/2025")</f>
        <v>19/11/2025</v>
      </c>
      <c r="L11529">
        <v>1375</v>
      </c>
      <c r="M11529">
        <v>1375</v>
      </c>
      <c r="N11529">
        <v>109</v>
      </c>
      <c r="O11529" t="str">
        <f>"PAGAMENTO DE ENTREGADORES"</f>
        <v>PAGAMENTO DE ENTREGADORES</v>
      </c>
      <c r="P11529">
        <v>1375</v>
      </c>
      <c r="S11529" t="str">
        <f>"BANCO CORA (102)"</f>
        <v>BANCO CORA (102)</v>
      </c>
      <c r="T11529">
        <v>21237</v>
      </c>
      <c r="U11529">
        <v>25521</v>
      </c>
      <c r="V11529" t="s">
        <v>22</v>
      </c>
    </row>
    <row r="11530" spans="1:22">
      <c r="A11530" t="str">
        <f t="shared" si="2232"/>
        <v>19/11/2025</v>
      </c>
      <c r="B11530" t="str">
        <f t="shared" si="2231"/>
        <v>SAÍDA</v>
      </c>
      <c r="C11530" t="str">
        <f>"PIX"</f>
        <v>PIX</v>
      </c>
      <c r="D11530" t="str">
        <f>"25521"</f>
        <v>25521</v>
      </c>
      <c r="E11530" t="str">
        <f>"1"</f>
        <v>1</v>
      </c>
      <c r="F11530" t="str">
        <f t="shared" si="2233"/>
        <v>COM</v>
      </c>
      <c r="G11530" t="str">
        <f>"MARCOS VINICIUS CORREIA JULI??O (1001)"</f>
        <v>MARCOS VINICIUS CORREIA JULI??O (1001)</v>
      </c>
      <c r="H11530" t="s">
        <v>3103</v>
      </c>
      <c r="I11530" t="str">
        <f>("20/11/2025")</f>
        <v>20/11/2025</v>
      </c>
      <c r="J11530" t="str">
        <f>("17/11/2025")</f>
        <v>17/11/2025</v>
      </c>
      <c r="K11530">
        <v>45980</v>
      </c>
      <c r="N11530">
        <v>109</v>
      </c>
      <c r="O11530" t="s">
        <v>24</v>
      </c>
      <c r="Q11530">
        <v>687.5</v>
      </c>
      <c r="R11530" t="str">
        <f>"PENSE FARMA 44 (10231)"</f>
        <v>PENSE FARMA 44 (10231)</v>
      </c>
      <c r="S11530" t="s">
        <v>22</v>
      </c>
      <c r="T11530">
        <v>21237</v>
      </c>
      <c r="U11530">
        <v>25521</v>
      </c>
      <c r="V11530" t="s">
        <v>22</v>
      </c>
    </row>
    <row r="11531" spans="1:22">
      <c r="A11531" t="str">
        <f t="shared" si="2232"/>
        <v>19/11/2025</v>
      </c>
      <c r="B11531" t="str">
        <f t="shared" si="2231"/>
        <v>SAÍDA</v>
      </c>
      <c r="C11531" t="str">
        <f>"PIX"</f>
        <v>PIX</v>
      </c>
      <c r="D11531" t="str">
        <f>"25521"</f>
        <v>25521</v>
      </c>
      <c r="E11531" t="str">
        <f>"1"</f>
        <v>1</v>
      </c>
      <c r="F11531" t="str">
        <f t="shared" si="2233"/>
        <v>COM</v>
      </c>
      <c r="G11531" t="str">
        <f>"MARCOS VINICIUS CORREIA JULI??O (1001)"</f>
        <v>MARCOS VINICIUS CORREIA JULI??O (1001)</v>
      </c>
      <c r="H11531" t="s">
        <v>3103</v>
      </c>
      <c r="I11531" t="str">
        <f>("20/11/2025")</f>
        <v>20/11/2025</v>
      </c>
      <c r="J11531" t="str">
        <f>("17/11/2025")</f>
        <v>17/11/2025</v>
      </c>
      <c r="K11531">
        <v>45980</v>
      </c>
      <c r="N11531">
        <v>109</v>
      </c>
      <c r="O11531" t="s">
        <v>24</v>
      </c>
      <c r="Q11531">
        <v>687.5</v>
      </c>
      <c r="R11531" t="str">
        <f>"PENSE FARMA 48 (10233)"</f>
        <v>PENSE FARMA 48 (10233)</v>
      </c>
      <c r="S11531" t="s">
        <v>22</v>
      </c>
      <c r="T11531">
        <v>21237</v>
      </c>
      <c r="U11531">
        <v>25521</v>
      </c>
      <c r="V11531" t="s">
        <v>22</v>
      </c>
    </row>
    <row r="11532" spans="1:22">
      <c r="A11532" t="str">
        <f t="shared" si="2232"/>
        <v>19/11/2025</v>
      </c>
      <c r="B11532" t="str">
        <f>"ENTRADA"</f>
        <v>ENTRADA</v>
      </c>
      <c r="C11532" t="str">
        <f>"DINHEIRO"</f>
        <v>DINHEIRO</v>
      </c>
      <c r="D11532" t="str">
        <f>"637"</f>
        <v>637</v>
      </c>
      <c r="E11532" t="str">
        <f>"10"</f>
        <v>10</v>
      </c>
      <c r="F11532" t="str">
        <f t="shared" si="2233"/>
        <v>COM</v>
      </c>
      <c r="G11532" t="str">
        <f>"FABIO SOUZA DE JESUS (637)"</f>
        <v>FABIO SOUZA DE JESUS (637)</v>
      </c>
      <c r="H11532" t="str">
        <f>"COTAS COOPERATIVA"</f>
        <v>COTAS COOPERATIVA</v>
      </c>
      <c r="I11532" t="str">
        <f>("13/11/2025")</f>
        <v>13/11/2025</v>
      </c>
      <c r="J11532" t="str">
        <f>("12/02/2025")</f>
        <v>12/02/2025</v>
      </c>
      <c r="K11532" t="str">
        <f>("19/11/2025")</f>
        <v>19/11/2025</v>
      </c>
      <c r="L11532">
        <v>20</v>
      </c>
      <c r="M11532">
        <v>20</v>
      </c>
      <c r="N11532">
        <v>106</v>
      </c>
      <c r="O11532" t="str">
        <f>"ENTRADA DE CAPITAL"</f>
        <v>ENTRADA DE CAPITAL</v>
      </c>
      <c r="P11532">
        <v>20</v>
      </c>
      <c r="S11532" t="str">
        <f>"ENTRADA DE CAPITAL (106)"</f>
        <v>ENTRADA DE CAPITAL (106)</v>
      </c>
      <c r="T11532">
        <v>21240</v>
      </c>
      <c r="U11532">
        <v>9174</v>
      </c>
      <c r="V11532" t="s">
        <v>48</v>
      </c>
    </row>
    <row r="11533" spans="1:22">
      <c r="A11533" t="str">
        <f t="shared" si="2232"/>
        <v>19/11/2025</v>
      </c>
      <c r="B11533" t="str">
        <f>"ENTRADA"</f>
        <v>ENTRADA</v>
      </c>
      <c r="C11533" t="str">
        <f>"DINHEIRO"</f>
        <v>DINHEIRO</v>
      </c>
      <c r="D11533" t="str">
        <f>"637"</f>
        <v>637</v>
      </c>
      <c r="E11533" t="str">
        <f>"10"</f>
        <v>10</v>
      </c>
      <c r="F11533" t="str">
        <f t="shared" si="2233"/>
        <v>COM</v>
      </c>
      <c r="G11533" t="str">
        <f>"FABIO SOUZA DE JESUS (637)"</f>
        <v>FABIO SOUZA DE JESUS (637)</v>
      </c>
      <c r="H11533" t="s">
        <v>318</v>
      </c>
      <c r="I11533" t="str">
        <f>("13/11/2025")</f>
        <v>13/11/2025</v>
      </c>
      <c r="J11533" t="str">
        <f>("12/02/2025")</f>
        <v>12/02/2025</v>
      </c>
      <c r="K11533">
        <v>45980</v>
      </c>
      <c r="N11533">
        <v>106</v>
      </c>
      <c r="O11533" t="s">
        <v>51</v>
      </c>
      <c r="Q11533">
        <v>20</v>
      </c>
      <c r="R11533" t="str">
        <f>"FABIO SOUZA DE JESUS (637)"</f>
        <v>FABIO SOUZA DE JESUS (637)</v>
      </c>
      <c r="S11533" t="s">
        <v>52</v>
      </c>
      <c r="T11533">
        <v>21240</v>
      </c>
      <c r="U11533">
        <v>9174</v>
      </c>
      <c r="V11533" t="s">
        <v>48</v>
      </c>
    </row>
    <row r="11534" spans="1:22">
      <c r="A11534" t="str">
        <f t="shared" si="2232"/>
        <v>19/11/2025</v>
      </c>
      <c r="B11534" t="str">
        <f t="shared" ref="B11534:B11539" si="2234">"SAÍDA"</f>
        <v>SAÍDA</v>
      </c>
      <c r="C11534" t="str">
        <f>"PIX"</f>
        <v>PIX</v>
      </c>
      <c r="D11534" t="str">
        <f>"25641"</f>
        <v>25641</v>
      </c>
      <c r="E11534" t="str">
        <f>"1"</f>
        <v>1</v>
      </c>
      <c r="F11534" t="str">
        <f t="shared" si="2233"/>
        <v>COM</v>
      </c>
      <c r="G11534" t="str">
        <f>"FABIO SOUZA DE JESUS (637)"</f>
        <v>FABIO SOUZA DE JESUS (637)</v>
      </c>
      <c r="H11534" t="str">
        <f>"Serv.Prest. 10/11/2025 a 16/11/2025 - PIX: CELULAR - CHAVE: (27) 99950-3450"</f>
        <v>Serv.Prest. 10/11/2025 a 16/11/2025 - PIX: CELULAR - CHAVE: (27) 99950-3450</v>
      </c>
      <c r="I11534" t="str">
        <f>("20/11/2025")</f>
        <v>20/11/2025</v>
      </c>
      <c r="J11534" t="str">
        <f>("18/11/2025")</f>
        <v>18/11/2025</v>
      </c>
      <c r="K11534" t="str">
        <f>("19/11/2025")</f>
        <v>19/11/2025</v>
      </c>
      <c r="L11534">
        <v>20</v>
      </c>
      <c r="M11534">
        <v>20</v>
      </c>
      <c r="N11534">
        <v>109</v>
      </c>
      <c r="O11534" t="str">
        <f>"PAGAMENTO DE ENTREGADORES"</f>
        <v>PAGAMENTO DE ENTREGADORES</v>
      </c>
      <c r="P11534">
        <v>20</v>
      </c>
      <c r="S11534" t="str">
        <f>"CAIXA MOVIMENTAÇÃO OPERACIONAL (132)"</f>
        <v>CAIXA MOVIMENTAÇÃO OPERACIONAL (132)</v>
      </c>
      <c r="T11534">
        <v>21241</v>
      </c>
      <c r="U11534">
        <v>25876</v>
      </c>
      <c r="V11534" t="s">
        <v>48</v>
      </c>
    </row>
    <row r="11535" spans="1:22">
      <c r="A11535" t="str">
        <f t="shared" si="2232"/>
        <v>19/11/2025</v>
      </c>
      <c r="B11535" t="str">
        <f t="shared" si="2234"/>
        <v>SAÍDA</v>
      </c>
      <c r="C11535" t="str">
        <f>"PIX"</f>
        <v>PIX</v>
      </c>
      <c r="D11535" t="str">
        <f>"25641"</f>
        <v>25641</v>
      </c>
      <c r="E11535" t="str">
        <f>"1"</f>
        <v>1</v>
      </c>
      <c r="F11535" t="str">
        <f t="shared" si="2233"/>
        <v>COM</v>
      </c>
      <c r="G11535" t="str">
        <f>"FABIO SOUZA DE JESUS (637)"</f>
        <v>FABIO SOUZA DE JESUS (637)</v>
      </c>
      <c r="H11535" t="s">
        <v>3104</v>
      </c>
      <c r="I11535" t="str">
        <f>("20/11/2025")</f>
        <v>20/11/2025</v>
      </c>
      <c r="J11535" t="str">
        <f>("18/11/2025")</f>
        <v>18/11/2025</v>
      </c>
      <c r="K11535">
        <v>45980</v>
      </c>
      <c r="N11535">
        <v>109</v>
      </c>
      <c r="O11535" t="s">
        <v>24</v>
      </c>
      <c r="Q11535">
        <v>20</v>
      </c>
      <c r="R11535" t="str">
        <f>"FARMACIA PLANALTO (10270)"</f>
        <v>FARMACIA PLANALTO (10270)</v>
      </c>
      <c r="S11535" t="s">
        <v>48</v>
      </c>
      <c r="T11535">
        <v>21241</v>
      </c>
      <c r="U11535">
        <v>25876</v>
      </c>
      <c r="V11535" t="s">
        <v>48</v>
      </c>
    </row>
    <row r="11536" spans="1:22">
      <c r="A11536" t="str">
        <f t="shared" si="2232"/>
        <v>19/11/2025</v>
      </c>
      <c r="B11536" t="str">
        <f t="shared" si="2234"/>
        <v>SAÍDA</v>
      </c>
      <c r="C11536" t="str">
        <f>"DINHEIRO"</f>
        <v>DINHEIRO</v>
      </c>
      <c r="D11536" t="str">
        <f>"121120"</f>
        <v>121120</v>
      </c>
      <c r="E11536" t="str">
        <f>"25"</f>
        <v>25</v>
      </c>
      <c r="F11536" t="str">
        <f t="shared" si="2233"/>
        <v>COM</v>
      </c>
      <c r="G11536" t="str">
        <f>"DROGARIA ANA &amp; ANA UBA 2 LTDA (10214)"</f>
        <v>DROGARIA ANA &amp; ANA UBA 2 LTDA (10214)</v>
      </c>
      <c r="H11536" t="str">
        <f>"REEMBOLSO ADIANTAMENTO"</f>
        <v>REEMBOLSO ADIANTAMENTO</v>
      </c>
      <c r="I11536" t="str">
        <f t="shared" ref="I11536:J11539" si="2235">("12/11/2025")</f>
        <v>12/11/2025</v>
      </c>
      <c r="J11536" t="str">
        <f t="shared" si="2235"/>
        <v>12/11/2025</v>
      </c>
      <c r="K11536" t="str">
        <f>("19/11/2025")</f>
        <v>19/11/2025</v>
      </c>
      <c r="L11536">
        <v>739.56</v>
      </c>
      <c r="M11536">
        <v>739.56</v>
      </c>
      <c r="N11536">
        <v>110</v>
      </c>
      <c r="O11536" t="str">
        <f>"DESPESAS COM REEMBOLSOS"</f>
        <v>DESPESAS COM REEMBOLSOS</v>
      </c>
      <c r="P11536">
        <v>739.56</v>
      </c>
      <c r="S11536" t="str">
        <f>"CAIXA MOVIMENTAÇÃO OPERACIONAL (132)"</f>
        <v>CAIXA MOVIMENTAÇÃO OPERACIONAL (132)</v>
      </c>
      <c r="T11536">
        <v>21245</v>
      </c>
      <c r="U11536">
        <v>25883</v>
      </c>
      <c r="V11536" t="s">
        <v>48</v>
      </c>
    </row>
    <row r="11537" spans="1:22">
      <c r="A11537" t="str">
        <f t="shared" si="2232"/>
        <v>19/11/2025</v>
      </c>
      <c r="B11537" t="str">
        <f t="shared" si="2234"/>
        <v>SAÍDA</v>
      </c>
      <c r="C11537" t="str">
        <f>"DINHEIRO"</f>
        <v>DINHEIRO</v>
      </c>
      <c r="D11537" t="str">
        <f>"121120"</f>
        <v>121120</v>
      </c>
      <c r="E11537" t="str">
        <f>"25"</f>
        <v>25</v>
      </c>
      <c r="F11537" t="str">
        <f t="shared" si="2233"/>
        <v>COM</v>
      </c>
      <c r="G11537" t="str">
        <f>"DROGARIA ANA &amp; ANA UBA 2 LTDA (10214)"</f>
        <v>DROGARIA ANA &amp; ANA UBA 2 LTDA (10214)</v>
      </c>
      <c r="H11537" t="s">
        <v>57</v>
      </c>
      <c r="I11537" t="str">
        <f t="shared" si="2235"/>
        <v>12/11/2025</v>
      </c>
      <c r="J11537" t="str">
        <f t="shared" si="2235"/>
        <v>12/11/2025</v>
      </c>
      <c r="K11537">
        <v>45980</v>
      </c>
      <c r="N11537">
        <v>110</v>
      </c>
      <c r="O11537" t="s">
        <v>2439</v>
      </c>
      <c r="Q11537">
        <v>739.56</v>
      </c>
      <c r="R11537" t="str">
        <f>"DROGARIA ANA &amp; ANA UBA 2 LTDA (10214)"</f>
        <v>DROGARIA ANA &amp; ANA UBA 2 LTDA (10214)</v>
      </c>
      <c r="S11537" t="s">
        <v>48</v>
      </c>
      <c r="T11537">
        <v>21245</v>
      </c>
      <c r="U11537">
        <v>25883</v>
      </c>
      <c r="V11537" t="s">
        <v>48</v>
      </c>
    </row>
    <row r="11538" spans="1:22">
      <c r="A11538" t="str">
        <f t="shared" si="2232"/>
        <v>19/11/2025</v>
      </c>
      <c r="B11538" t="str">
        <f t="shared" si="2234"/>
        <v>SAÍDA</v>
      </c>
      <c r="C11538" t="str">
        <f>"DINHEIRO"</f>
        <v>DINHEIRO</v>
      </c>
      <c r="D11538" t="str">
        <f>"121120"</f>
        <v>121120</v>
      </c>
      <c r="E11538" t="str">
        <f>"25"</f>
        <v>25</v>
      </c>
      <c r="F11538" t="str">
        <f t="shared" si="2233"/>
        <v>COM</v>
      </c>
      <c r="G11538" t="str">
        <f>"DROGARIA ANA &amp; ANA UBA 2 LTDA (10214)"</f>
        <v>DROGARIA ANA &amp; ANA UBA 2 LTDA (10214)</v>
      </c>
      <c r="H11538" t="str">
        <f>"REEMBOLSO ADIANTAMENTO"</f>
        <v>REEMBOLSO ADIANTAMENTO</v>
      </c>
      <c r="I11538" t="str">
        <f t="shared" si="2235"/>
        <v>12/11/2025</v>
      </c>
      <c r="J11538" t="str">
        <f t="shared" si="2235"/>
        <v>12/11/2025</v>
      </c>
      <c r="K11538" t="str">
        <f>("19/11/2025")</f>
        <v>19/11/2025</v>
      </c>
      <c r="L11538">
        <v>529.29</v>
      </c>
      <c r="M11538">
        <v>529.29</v>
      </c>
      <c r="N11538">
        <v>110</v>
      </c>
      <c r="O11538" t="str">
        <f>"DESPESAS COM REEMBOLSOS"</f>
        <v>DESPESAS COM REEMBOLSOS</v>
      </c>
      <c r="S11538" t="str">
        <f>"CAIXA MOVIMENTAÇÃO OPERACIONAL (132)"</f>
        <v>CAIXA MOVIMENTAÇÃO OPERACIONAL (132)</v>
      </c>
      <c r="T11538">
        <v>21245</v>
      </c>
      <c r="U11538">
        <v>25884</v>
      </c>
      <c r="V11538" t="s">
        <v>48</v>
      </c>
    </row>
    <row r="11539" spans="1:22">
      <c r="A11539" t="str">
        <f t="shared" si="2232"/>
        <v>19/11/2025</v>
      </c>
      <c r="B11539" t="str">
        <f t="shared" si="2234"/>
        <v>SAÍDA</v>
      </c>
      <c r="C11539" t="str">
        <f>"DINHEIRO"</f>
        <v>DINHEIRO</v>
      </c>
      <c r="D11539" t="str">
        <f>"121120"</f>
        <v>121120</v>
      </c>
      <c r="E11539" t="str">
        <f>"25"</f>
        <v>25</v>
      </c>
      <c r="F11539" t="str">
        <f t="shared" si="2233"/>
        <v>COM</v>
      </c>
      <c r="G11539" t="str">
        <f>"DROGARIA ANA &amp; ANA UBA 2 LTDA (10214)"</f>
        <v>DROGARIA ANA &amp; ANA UBA 2 LTDA (10214)</v>
      </c>
      <c r="H11539" t="s">
        <v>57</v>
      </c>
      <c r="I11539" t="str">
        <f t="shared" si="2235"/>
        <v>12/11/2025</v>
      </c>
      <c r="J11539" t="str">
        <f t="shared" si="2235"/>
        <v>12/11/2025</v>
      </c>
      <c r="K11539">
        <v>45980</v>
      </c>
      <c r="N11539">
        <v>110</v>
      </c>
      <c r="O11539" t="s">
        <v>2439</v>
      </c>
      <c r="Q11539">
        <v>529.29</v>
      </c>
      <c r="R11539" t="str">
        <f>"DROGARIA ANA &amp; ANA UBA 2 LTDA (10214)"</f>
        <v>DROGARIA ANA &amp; ANA UBA 2 LTDA (10214)</v>
      </c>
      <c r="S11539" t="s">
        <v>48</v>
      </c>
      <c r="T11539">
        <v>21245</v>
      </c>
      <c r="U11539">
        <v>25884</v>
      </c>
      <c r="V11539" t="s">
        <v>48</v>
      </c>
    </row>
    <row r="11540" spans="1:22">
      <c r="A11540" t="str">
        <f t="shared" si="2232"/>
        <v>19/11/2025</v>
      </c>
      <c r="B11540" t="str">
        <f t="shared" ref="B11540:B11545" si="2236">"ENTRADA"</f>
        <v>ENTRADA</v>
      </c>
      <c r="C11540" t="str">
        <f t="shared" ref="C11540:C11545" si="2237">"NFSE"</f>
        <v>NFSE</v>
      </c>
      <c r="D11540" t="str">
        <f>"3754"</f>
        <v>3754</v>
      </c>
      <c r="E11540" t="str">
        <f t="shared" ref="E11540:E11549" si="2238">"1"</f>
        <v>1</v>
      </c>
      <c r="F11540" t="str">
        <f t="shared" si="2233"/>
        <v>COM</v>
      </c>
      <c r="G11540" t="str">
        <f t="shared" ref="G11540:G11545" si="2239">"ULTRA POPULAR  UBA 2 (10214)"</f>
        <v>ULTRA POPULAR  UBA 2 (10214)</v>
      </c>
      <c r="H11540" t="str">
        <f>"Serv.Prest. 10/11/2025 a 16/11/2025 - RPS: 1630 - NFSe: 3754"</f>
        <v>Serv.Prest. 10/11/2025 a 16/11/2025 - RPS: 1630 - NFSe: 3754</v>
      </c>
      <c r="I11540" t="str">
        <f>("31/12/2025")</f>
        <v>31/12/2025</v>
      </c>
      <c r="J11540" t="str">
        <f>("19/11/2025")</f>
        <v>19/11/2025</v>
      </c>
      <c r="K11540" t="str">
        <f>("19/11/2025")</f>
        <v>19/11/2025</v>
      </c>
      <c r="L11540">
        <v>529.29</v>
      </c>
      <c r="M11540">
        <v>529.29</v>
      </c>
      <c r="N11540">
        <v>303</v>
      </c>
      <c r="O11540" t="str">
        <f>"RECEITAS COM ENTREGAS"</f>
        <v>RECEITAS COM ENTREGAS</v>
      </c>
      <c r="P11540">
        <v>739.56</v>
      </c>
      <c r="S11540" t="str">
        <f>"RECEITAS COM ENTREGAS (303)"</f>
        <v>RECEITAS COM ENTREGAS (303)</v>
      </c>
      <c r="T11540">
        <v>21246</v>
      </c>
      <c r="U11540">
        <v>25872</v>
      </c>
      <c r="V11540" t="s">
        <v>48</v>
      </c>
    </row>
    <row r="11541" spans="1:22">
      <c r="A11541" t="str">
        <f t="shared" si="2232"/>
        <v>19/11/2025</v>
      </c>
      <c r="B11541" t="str">
        <f t="shared" si="2236"/>
        <v>ENTRADA</v>
      </c>
      <c r="C11541" t="str">
        <f t="shared" si="2237"/>
        <v>NFSE</v>
      </c>
      <c r="D11541" t="str">
        <f>"3754"</f>
        <v>3754</v>
      </c>
      <c r="E11541" t="str">
        <f t="shared" si="2238"/>
        <v>1</v>
      </c>
      <c r="F11541" t="str">
        <f t="shared" si="2233"/>
        <v>COM</v>
      </c>
      <c r="G11541" t="str">
        <f t="shared" si="2239"/>
        <v>ULTRA POPULAR  UBA 2 (10214)</v>
      </c>
      <c r="H11541" t="s">
        <v>3105</v>
      </c>
      <c r="I11541" t="str">
        <f>("31/12/2025")</f>
        <v>31/12/2025</v>
      </c>
      <c r="J11541" t="str">
        <f>("19/11/2025")</f>
        <v>19/11/2025</v>
      </c>
      <c r="K11541">
        <v>45980</v>
      </c>
      <c r="N11541">
        <v>303</v>
      </c>
      <c r="O11541" t="s">
        <v>69</v>
      </c>
      <c r="Q11541">
        <v>398.78</v>
      </c>
      <c r="R11541" t="str">
        <f>"ULTRA POPULAR  UBA 2 (10214)"</f>
        <v>ULTRA POPULAR  UBA 2 (10214)</v>
      </c>
      <c r="S11541" t="s">
        <v>70</v>
      </c>
      <c r="T11541">
        <v>21246</v>
      </c>
      <c r="U11541">
        <v>25872</v>
      </c>
      <c r="V11541" t="s">
        <v>48</v>
      </c>
    </row>
    <row r="11542" spans="1:22">
      <c r="A11542" t="str">
        <f t="shared" si="2232"/>
        <v>19/11/2025</v>
      </c>
      <c r="B11542" t="str">
        <f t="shared" si="2236"/>
        <v>ENTRADA</v>
      </c>
      <c r="C11542" t="str">
        <f t="shared" si="2237"/>
        <v>NFSE</v>
      </c>
      <c r="D11542" t="str">
        <f>"3754"</f>
        <v>3754</v>
      </c>
      <c r="E11542" t="str">
        <f t="shared" si="2238"/>
        <v>1</v>
      </c>
      <c r="F11542" t="str">
        <f t="shared" si="2233"/>
        <v>COM</v>
      </c>
      <c r="G11542" t="str">
        <f t="shared" si="2239"/>
        <v>ULTRA POPULAR  UBA 2 (10214)</v>
      </c>
      <c r="H11542" t="s">
        <v>3105</v>
      </c>
      <c r="I11542" t="str">
        <f>("31/12/2025")</f>
        <v>31/12/2025</v>
      </c>
      <c r="J11542" t="str">
        <f>("19/11/2025")</f>
        <v>19/11/2025</v>
      </c>
      <c r="K11542">
        <v>45980</v>
      </c>
      <c r="N11542">
        <v>303</v>
      </c>
      <c r="O11542" t="s">
        <v>69</v>
      </c>
      <c r="Q11542">
        <v>130.51</v>
      </c>
      <c r="R11542" t="str">
        <f>"UBA 1 (10263)"</f>
        <v>UBA 1 (10263)</v>
      </c>
      <c r="S11542" t="s">
        <v>70</v>
      </c>
      <c r="T11542">
        <v>21246</v>
      </c>
      <c r="U11542">
        <v>25872</v>
      </c>
      <c r="V11542" t="s">
        <v>48</v>
      </c>
    </row>
    <row r="11543" spans="1:22">
      <c r="A11543" t="str">
        <f t="shared" si="2232"/>
        <v>19/11/2025</v>
      </c>
      <c r="B11543" t="str">
        <f t="shared" si="2236"/>
        <v>ENTRADA</v>
      </c>
      <c r="C11543" t="str">
        <f t="shared" si="2237"/>
        <v>NFSE</v>
      </c>
      <c r="D11543" t="str">
        <f>"3755"</f>
        <v>3755</v>
      </c>
      <c r="E11543" t="str">
        <f t="shared" si="2238"/>
        <v>1</v>
      </c>
      <c r="F11543" t="str">
        <f t="shared" si="2233"/>
        <v>COM</v>
      </c>
      <c r="G11543" t="str">
        <f t="shared" si="2239"/>
        <v>ULTRA POPULAR  UBA 2 (10214)</v>
      </c>
      <c r="H11543" t="str">
        <f>"Serv.Prest. 03/11/2025 a 09/11/2025 - RPS: 1631 - NFSe: 3755"</f>
        <v>Serv.Prest. 03/11/2025 a 09/11/2025 - RPS: 1631 - NFSe: 3755</v>
      </c>
      <c r="I11543" t="str">
        <f>("19/11/2025")</f>
        <v>19/11/2025</v>
      </c>
      <c r="J11543" t="str">
        <f>("19/11/2025")</f>
        <v>19/11/2025</v>
      </c>
      <c r="K11543" t="str">
        <f>("19/11/2025")</f>
        <v>19/11/2025</v>
      </c>
      <c r="L11543">
        <v>739.56</v>
      </c>
      <c r="M11543">
        <v>739.56</v>
      </c>
      <c r="N11543">
        <v>303</v>
      </c>
      <c r="O11543" t="str">
        <f>"RECEITAS COM ENTREGAS"</f>
        <v>RECEITAS COM ENTREGAS</v>
      </c>
      <c r="S11543" t="str">
        <f>"RECEITAS COM ENTREGAS (303)"</f>
        <v>RECEITAS COM ENTREGAS (303)</v>
      </c>
      <c r="T11543">
        <v>21246</v>
      </c>
      <c r="U11543">
        <v>25880</v>
      </c>
      <c r="V11543" t="s">
        <v>48</v>
      </c>
    </row>
    <row r="11544" spans="1:22">
      <c r="A11544" t="str">
        <f t="shared" si="2232"/>
        <v>19/11/2025</v>
      </c>
      <c r="B11544" t="str">
        <f t="shared" si="2236"/>
        <v>ENTRADA</v>
      </c>
      <c r="C11544" t="str">
        <f t="shared" si="2237"/>
        <v>NFSE</v>
      </c>
      <c r="D11544" t="str">
        <f>"3755"</f>
        <v>3755</v>
      </c>
      <c r="E11544" t="str">
        <f t="shared" si="2238"/>
        <v>1</v>
      </c>
      <c r="F11544" t="str">
        <f t="shared" si="2233"/>
        <v>COM</v>
      </c>
      <c r="G11544" t="str">
        <f t="shared" si="2239"/>
        <v>ULTRA POPULAR  UBA 2 (10214)</v>
      </c>
      <c r="H11544" t="s">
        <v>3106</v>
      </c>
      <c r="I11544" t="str">
        <f>("19/11/2025")</f>
        <v>19/11/2025</v>
      </c>
      <c r="J11544" t="str">
        <f>("19/11/2025")</f>
        <v>19/11/2025</v>
      </c>
      <c r="K11544">
        <v>45980</v>
      </c>
      <c r="N11544">
        <v>303</v>
      </c>
      <c r="O11544" t="s">
        <v>69</v>
      </c>
      <c r="Q11544">
        <v>507.54</v>
      </c>
      <c r="R11544" t="str">
        <f>"ULTRA POPULAR  UBA 2 (10214)"</f>
        <v>ULTRA POPULAR  UBA 2 (10214)</v>
      </c>
      <c r="S11544" t="s">
        <v>70</v>
      </c>
      <c r="T11544">
        <v>21246</v>
      </c>
      <c r="U11544">
        <v>25880</v>
      </c>
      <c r="V11544" t="s">
        <v>48</v>
      </c>
    </row>
    <row r="11545" spans="1:22">
      <c r="A11545" t="str">
        <f t="shared" si="2232"/>
        <v>19/11/2025</v>
      </c>
      <c r="B11545" t="str">
        <f t="shared" si="2236"/>
        <v>ENTRADA</v>
      </c>
      <c r="C11545" t="str">
        <f t="shared" si="2237"/>
        <v>NFSE</v>
      </c>
      <c r="D11545" t="str">
        <f>"3755"</f>
        <v>3755</v>
      </c>
      <c r="E11545" t="str">
        <f t="shared" si="2238"/>
        <v>1</v>
      </c>
      <c r="F11545" t="str">
        <f t="shared" si="2233"/>
        <v>COM</v>
      </c>
      <c r="G11545" t="str">
        <f t="shared" si="2239"/>
        <v>ULTRA POPULAR  UBA 2 (10214)</v>
      </c>
      <c r="H11545" t="s">
        <v>3106</v>
      </c>
      <c r="I11545" t="str">
        <f>("19/11/2025")</f>
        <v>19/11/2025</v>
      </c>
      <c r="J11545" t="str">
        <f>("19/11/2025")</f>
        <v>19/11/2025</v>
      </c>
      <c r="K11545">
        <v>45980</v>
      </c>
      <c r="N11545">
        <v>303</v>
      </c>
      <c r="O11545" t="s">
        <v>69</v>
      </c>
      <c r="Q11545">
        <v>232.02</v>
      </c>
      <c r="R11545" t="str">
        <f>"UBA 1 (10263)"</f>
        <v>UBA 1 (10263)</v>
      </c>
      <c r="S11545" t="s">
        <v>70</v>
      </c>
      <c r="T11545">
        <v>21246</v>
      </c>
      <c r="U11545">
        <v>25880</v>
      </c>
      <c r="V11545" t="s">
        <v>48</v>
      </c>
    </row>
    <row r="11546" spans="1:22">
      <c r="A11546" t="str">
        <f t="shared" si="2232"/>
        <v>19/11/2025</v>
      </c>
      <c r="B11546" t="str">
        <f>"SAÍDA"</f>
        <v>SAÍDA</v>
      </c>
      <c r="C11546" t="str">
        <f>"PIX"</f>
        <v>PIX</v>
      </c>
      <c r="D11546" t="str">
        <f>"25593"</f>
        <v>25593</v>
      </c>
      <c r="E11546" t="str">
        <f t="shared" si="2238"/>
        <v>1</v>
      </c>
      <c r="F11546" t="str">
        <f t="shared" si="2233"/>
        <v>COM</v>
      </c>
      <c r="G11546" t="str">
        <f>"ERIC RODRIGUES TEIXEIRA (939)"</f>
        <v>ERIC RODRIGUES TEIXEIRA (939)</v>
      </c>
      <c r="H11546" t="str">
        <f>"Serv.Prest. 10/11/2025 a 16/11/2025 - PIX: CELULAR - CHAVE: (11) 95038-0621"</f>
        <v>Serv.Prest. 10/11/2025 a 16/11/2025 - PIX: CELULAR - CHAVE: (11) 95038-0621</v>
      </c>
      <c r="I11546" t="str">
        <f t="shared" ref="I11546:I11553" si="2240">("20/11/2025")</f>
        <v>20/11/2025</v>
      </c>
      <c r="J11546" t="str">
        <f>("17/11/2025")</f>
        <v>17/11/2025</v>
      </c>
      <c r="K11546" t="str">
        <f>("19/11/2025")</f>
        <v>19/11/2025</v>
      </c>
      <c r="L11546">
        <v>236</v>
      </c>
      <c r="M11546">
        <v>236</v>
      </c>
      <c r="N11546">
        <v>109</v>
      </c>
      <c r="O11546" t="str">
        <f>"PAGAMENTO DE ENTREGADORES"</f>
        <v>PAGAMENTO DE ENTREGADORES</v>
      </c>
      <c r="P11546">
        <v>236</v>
      </c>
      <c r="S11546" t="str">
        <f>"BANCO CORA (102)"</f>
        <v>BANCO CORA (102)</v>
      </c>
      <c r="T11546">
        <v>21247</v>
      </c>
      <c r="U11546">
        <v>25885</v>
      </c>
      <c r="V11546" t="s">
        <v>22</v>
      </c>
    </row>
    <row r="11547" spans="1:22">
      <c r="A11547" t="str">
        <f t="shared" si="2232"/>
        <v>19/11/2025</v>
      </c>
      <c r="B11547" t="str">
        <f>"SAÍDA"</f>
        <v>SAÍDA</v>
      </c>
      <c r="C11547" t="str">
        <f>"PIX"</f>
        <v>PIX</v>
      </c>
      <c r="D11547" t="str">
        <f>"25593"</f>
        <v>25593</v>
      </c>
      <c r="E11547" t="str">
        <f t="shared" si="2238"/>
        <v>1</v>
      </c>
      <c r="F11547" t="str">
        <f t="shared" si="2233"/>
        <v>COM</v>
      </c>
      <c r="G11547" t="str">
        <f>"ERIC RODRIGUES TEIXEIRA (939)"</f>
        <v>ERIC RODRIGUES TEIXEIRA (939)</v>
      </c>
      <c r="H11547" t="s">
        <v>3107</v>
      </c>
      <c r="I11547" t="str">
        <f t="shared" si="2240"/>
        <v>20/11/2025</v>
      </c>
      <c r="J11547" t="str">
        <f>("17/11/2025")</f>
        <v>17/11/2025</v>
      </c>
      <c r="K11547">
        <v>45980</v>
      </c>
      <c r="N11547">
        <v>109</v>
      </c>
      <c r="O11547" t="s">
        <v>24</v>
      </c>
      <c r="Q11547">
        <v>78.66</v>
      </c>
      <c r="R11547" t="str">
        <f>"PENSE FARMA 07 (10201)"</f>
        <v>PENSE FARMA 07 (10201)</v>
      </c>
      <c r="S11547" t="s">
        <v>22</v>
      </c>
      <c r="T11547">
        <v>21247</v>
      </c>
      <c r="U11547">
        <v>25885</v>
      </c>
      <c r="V11547" t="s">
        <v>22</v>
      </c>
    </row>
    <row r="11548" spans="1:22">
      <c r="A11548" t="str">
        <f t="shared" si="2232"/>
        <v>19/11/2025</v>
      </c>
      <c r="B11548" t="str">
        <f>"SAÍDA"</f>
        <v>SAÍDA</v>
      </c>
      <c r="C11548" t="str">
        <f>"PIX"</f>
        <v>PIX</v>
      </c>
      <c r="D11548" t="str">
        <f>"25593"</f>
        <v>25593</v>
      </c>
      <c r="E11548" t="str">
        <f t="shared" si="2238"/>
        <v>1</v>
      </c>
      <c r="F11548" t="str">
        <f t="shared" si="2233"/>
        <v>COM</v>
      </c>
      <c r="G11548" t="str">
        <f>"ERIC RODRIGUES TEIXEIRA (939)"</f>
        <v>ERIC RODRIGUES TEIXEIRA (939)</v>
      </c>
      <c r="H11548" t="s">
        <v>3107</v>
      </c>
      <c r="I11548" t="str">
        <f t="shared" si="2240"/>
        <v>20/11/2025</v>
      </c>
      <c r="J11548" t="str">
        <f>("17/11/2025")</f>
        <v>17/11/2025</v>
      </c>
      <c r="K11548">
        <v>45980</v>
      </c>
      <c r="N11548">
        <v>109</v>
      </c>
      <c r="O11548" t="s">
        <v>24</v>
      </c>
      <c r="Q11548">
        <v>78.66</v>
      </c>
      <c r="R11548" t="str">
        <f>"PENSE FARMA 45 (10209)"</f>
        <v>PENSE FARMA 45 (10209)</v>
      </c>
      <c r="S11548" t="s">
        <v>22</v>
      </c>
      <c r="T11548">
        <v>21247</v>
      </c>
      <c r="U11548">
        <v>25885</v>
      </c>
      <c r="V11548" t="s">
        <v>22</v>
      </c>
    </row>
    <row r="11549" spans="1:22">
      <c r="A11549" t="str">
        <f t="shared" si="2232"/>
        <v>19/11/2025</v>
      </c>
      <c r="B11549" t="str">
        <f>"SAÍDA"</f>
        <v>SAÍDA</v>
      </c>
      <c r="C11549" t="str">
        <f>"PIX"</f>
        <v>PIX</v>
      </c>
      <c r="D11549" t="str">
        <f>"25593"</f>
        <v>25593</v>
      </c>
      <c r="E11549" t="str">
        <f t="shared" si="2238"/>
        <v>1</v>
      </c>
      <c r="F11549" t="str">
        <f t="shared" si="2233"/>
        <v>COM</v>
      </c>
      <c r="G11549" t="str">
        <f>"ERIC RODRIGUES TEIXEIRA (939)"</f>
        <v>ERIC RODRIGUES TEIXEIRA (939)</v>
      </c>
      <c r="H11549" t="s">
        <v>3107</v>
      </c>
      <c r="I11549" t="str">
        <f t="shared" si="2240"/>
        <v>20/11/2025</v>
      </c>
      <c r="J11549" t="str">
        <f>("17/11/2025")</f>
        <v>17/11/2025</v>
      </c>
      <c r="K11549">
        <v>45980</v>
      </c>
      <c r="N11549">
        <v>109</v>
      </c>
      <c r="O11549" t="s">
        <v>24</v>
      </c>
      <c r="Q11549">
        <v>78.680000000000007</v>
      </c>
      <c r="R11549" t="str">
        <f>"PENSE FARMA 50 (10210)"</f>
        <v>PENSE FARMA 50 (10210)</v>
      </c>
      <c r="S11549" t="s">
        <v>22</v>
      </c>
      <c r="T11549">
        <v>21247</v>
      </c>
      <c r="U11549">
        <v>25885</v>
      </c>
      <c r="V11549" t="s">
        <v>22</v>
      </c>
    </row>
    <row r="11550" spans="1:22">
      <c r="A11550" t="str">
        <f t="shared" si="2232"/>
        <v>19/11/2025</v>
      </c>
      <c r="B11550" t="str">
        <f>"ENTRADA"</f>
        <v>ENTRADA</v>
      </c>
      <c r="C11550" t="str">
        <f>"DINHEIRO"</f>
        <v>DINHEIRO</v>
      </c>
      <c r="D11550" t="str">
        <f>"2011"</f>
        <v>2011</v>
      </c>
      <c r="E11550" t="str">
        <f>"25"</f>
        <v>25</v>
      </c>
      <c r="F11550" t="str">
        <f t="shared" si="2233"/>
        <v>COM</v>
      </c>
      <c r="G11550" t="str">
        <f>"WEIGNE SENA CARDOSO (53)"</f>
        <v>WEIGNE SENA CARDOSO (53)</v>
      </c>
      <c r="H11550" t="str">
        <f>"REEMBOLSO DE ADIANTAMENTO"</f>
        <v>REEMBOLSO DE ADIANTAMENTO</v>
      </c>
      <c r="I11550" t="str">
        <f t="shared" si="2240"/>
        <v>20/11/2025</v>
      </c>
      <c r="J11550" t="str">
        <f>("30/12/2024")</f>
        <v>30/12/2024</v>
      </c>
      <c r="K11550" t="str">
        <f>("19/11/2025")</f>
        <v>19/11/2025</v>
      </c>
      <c r="L11550">
        <v>100</v>
      </c>
      <c r="M11550">
        <v>100</v>
      </c>
      <c r="N11550">
        <v>129</v>
      </c>
      <c r="O11550" t="str">
        <f>"ENTRADA DE REEMBOLSO ADIANTAMENTO"</f>
        <v>ENTRADA DE REEMBOLSO ADIANTAMENTO</v>
      </c>
      <c r="P11550">
        <v>100</v>
      </c>
      <c r="S11550" t="str">
        <f>"ENTRADA DE REEMBOLSO ADIANTAMENTO (129)"</f>
        <v>ENTRADA DE REEMBOLSO ADIANTAMENTO (129)</v>
      </c>
      <c r="T11550">
        <v>21282</v>
      </c>
      <c r="U11550">
        <v>8411</v>
      </c>
      <c r="V11550" t="s">
        <v>48</v>
      </c>
    </row>
    <row r="11551" spans="1:22">
      <c r="A11551" t="str">
        <f t="shared" si="2232"/>
        <v>19/11/2025</v>
      </c>
      <c r="B11551" t="str">
        <f>"ENTRADA"</f>
        <v>ENTRADA</v>
      </c>
      <c r="C11551" t="str">
        <f>"DINHEIRO"</f>
        <v>DINHEIRO</v>
      </c>
      <c r="D11551" t="str">
        <f>"2011"</f>
        <v>2011</v>
      </c>
      <c r="E11551" t="str">
        <f>"25"</f>
        <v>25</v>
      </c>
      <c r="F11551" t="str">
        <f t="shared" si="2233"/>
        <v>COM</v>
      </c>
      <c r="G11551" t="str">
        <f>"WEIGNE SENA CARDOSO (53)"</f>
        <v>WEIGNE SENA CARDOSO (53)</v>
      </c>
      <c r="H11551" t="s">
        <v>608</v>
      </c>
      <c r="I11551" t="str">
        <f t="shared" si="2240"/>
        <v>20/11/2025</v>
      </c>
      <c r="J11551" t="str">
        <f>("30/12/2024")</f>
        <v>30/12/2024</v>
      </c>
      <c r="K11551">
        <v>45980</v>
      </c>
      <c r="N11551">
        <v>129</v>
      </c>
      <c r="O11551" t="s">
        <v>58</v>
      </c>
      <c r="Q11551">
        <v>100</v>
      </c>
      <c r="R11551" t="str">
        <f>"WEIGNE SENA CARDOSO (53)"</f>
        <v>WEIGNE SENA CARDOSO (53)</v>
      </c>
      <c r="S11551" t="s">
        <v>59</v>
      </c>
      <c r="T11551">
        <v>21282</v>
      </c>
      <c r="U11551">
        <v>8411</v>
      </c>
      <c r="V11551" t="s">
        <v>48</v>
      </c>
    </row>
    <row r="11552" spans="1:22">
      <c r="A11552" t="str">
        <f t="shared" si="2232"/>
        <v>19/11/2025</v>
      </c>
      <c r="B11552" t="str">
        <f>"SAÍDA"</f>
        <v>SAÍDA</v>
      </c>
      <c r="C11552" t="str">
        <f>"PIX"</f>
        <v>PIX</v>
      </c>
      <c r="D11552" t="str">
        <f>"25772"</f>
        <v>25772</v>
      </c>
      <c r="E11552" t="str">
        <f>"1"</f>
        <v>1</v>
      </c>
      <c r="F11552" t="str">
        <f t="shared" si="2233"/>
        <v>COM</v>
      </c>
      <c r="G11552" t="str">
        <f>"WEIGNE SENA CARDOSO (53)"</f>
        <v>WEIGNE SENA CARDOSO (53)</v>
      </c>
      <c r="H11552" t="str">
        <f>"Serv.Prest. 10/11/2025 a 16/11/2025 - PIX: CPF - CHAVE: 097.245.586-81"</f>
        <v>Serv.Prest. 10/11/2025 a 16/11/2025 - PIX: CPF - CHAVE: 097.245.586-81</v>
      </c>
      <c r="I11552" t="str">
        <f t="shared" si="2240"/>
        <v>20/11/2025</v>
      </c>
      <c r="J11552" t="str">
        <f>("18/11/2025")</f>
        <v>18/11/2025</v>
      </c>
      <c r="K11552" t="str">
        <f>("19/11/2025")</f>
        <v>19/11/2025</v>
      </c>
      <c r="L11552">
        <v>100</v>
      </c>
      <c r="M11552">
        <v>100</v>
      </c>
      <c r="N11552">
        <v>109</v>
      </c>
      <c r="O11552" t="str">
        <f>"PAGAMENTO DE ENTREGADORES"</f>
        <v>PAGAMENTO DE ENTREGADORES</v>
      </c>
      <c r="P11552">
        <v>100</v>
      </c>
      <c r="S11552" t="str">
        <f>"CAIXA MOVIMENTAÇÃO OPERACIONAL (132)"</f>
        <v>CAIXA MOVIMENTAÇÃO OPERACIONAL (132)</v>
      </c>
      <c r="T11552">
        <v>21283</v>
      </c>
      <c r="U11552">
        <v>25892</v>
      </c>
      <c r="V11552" t="s">
        <v>48</v>
      </c>
    </row>
    <row r="11553" spans="1:22">
      <c r="A11553" t="str">
        <f t="shared" si="2232"/>
        <v>19/11/2025</v>
      </c>
      <c r="B11553" t="str">
        <f>"SAÍDA"</f>
        <v>SAÍDA</v>
      </c>
      <c r="C11553" t="str">
        <f>"PIX"</f>
        <v>PIX</v>
      </c>
      <c r="D11553" t="str">
        <f>"25772"</f>
        <v>25772</v>
      </c>
      <c r="E11553" t="str">
        <f>"1"</f>
        <v>1</v>
      </c>
      <c r="F11553" t="str">
        <f t="shared" si="2233"/>
        <v>COM</v>
      </c>
      <c r="G11553" t="str">
        <f>"WEIGNE SENA CARDOSO (53)"</f>
        <v>WEIGNE SENA CARDOSO (53)</v>
      </c>
      <c r="H11553" t="s">
        <v>3108</v>
      </c>
      <c r="I11553" t="str">
        <f t="shared" si="2240"/>
        <v>20/11/2025</v>
      </c>
      <c r="J11553" t="str">
        <f>("18/11/2025")</f>
        <v>18/11/2025</v>
      </c>
      <c r="K11553">
        <v>45980</v>
      </c>
      <c r="N11553">
        <v>109</v>
      </c>
      <c r="O11553" t="s">
        <v>24</v>
      </c>
      <c r="Q11553">
        <v>100</v>
      </c>
      <c r="R11553" t="str">
        <f>"FARMÁCIA INDIANA LJ 07 (10007)"</f>
        <v>FARMÁCIA INDIANA LJ 07 (10007)</v>
      </c>
      <c r="S11553" t="s">
        <v>48</v>
      </c>
      <c r="T11553">
        <v>21283</v>
      </c>
      <c r="U11553">
        <v>25892</v>
      </c>
      <c r="V11553" t="s">
        <v>48</v>
      </c>
    </row>
    <row r="11554" spans="1:22">
      <c r="A11554" t="str">
        <f t="shared" si="2232"/>
        <v>19/11/2025</v>
      </c>
      <c r="B11554" t="str">
        <f>"SAÍDA"</f>
        <v>SAÍDA</v>
      </c>
      <c r="C11554" t="str">
        <f>"PIX"</f>
        <v>PIX</v>
      </c>
      <c r="D11554" t="str">
        <f>"25685"</f>
        <v>25685</v>
      </c>
      <c r="E11554" t="str">
        <f>"1"</f>
        <v>1</v>
      </c>
      <c r="F11554" t="str">
        <f t="shared" si="2233"/>
        <v>COM</v>
      </c>
      <c r="G11554" t="str">
        <f>"CASSIO DIAS RIBEIRO (32)"</f>
        <v>CASSIO DIAS RIBEIRO (32)</v>
      </c>
      <c r="H11554" t="str">
        <f>"Serv.Prest. 10/11/2025 a 16/11/2025 - PIX: CPF - CHAVE: 091.575.986-14"</f>
        <v>Serv.Prest. 10/11/2025 a 16/11/2025 - PIX: CPF - CHAVE: 091.575.986-14</v>
      </c>
      <c r="I11554" t="str">
        <f>("27/11/2025")</f>
        <v>27/11/2025</v>
      </c>
      <c r="J11554" t="str">
        <f>("18/11/2025")</f>
        <v>18/11/2025</v>
      </c>
      <c r="K11554" t="str">
        <f>("19/11/2025")</f>
        <v>19/11/2025</v>
      </c>
      <c r="L11554">
        <v>238</v>
      </c>
      <c r="M11554">
        <v>238</v>
      </c>
      <c r="N11554">
        <v>109</v>
      </c>
      <c r="O11554" t="str">
        <f>"PAGAMENTO DE ENTREGADORES"</f>
        <v>PAGAMENTO DE ENTREGADORES</v>
      </c>
      <c r="P11554">
        <v>238</v>
      </c>
      <c r="S11554" t="str">
        <f>"CAIXA MOVIMENTAÇÃO OPERACIONAL (132)"</f>
        <v>CAIXA MOVIMENTAÇÃO OPERACIONAL (132)</v>
      </c>
      <c r="T11554">
        <v>21284</v>
      </c>
      <c r="U11554">
        <v>25893</v>
      </c>
      <c r="V11554" t="s">
        <v>48</v>
      </c>
    </row>
    <row r="11555" spans="1:22">
      <c r="A11555" t="str">
        <f t="shared" si="2232"/>
        <v>19/11/2025</v>
      </c>
      <c r="B11555" t="str">
        <f>"SAÍDA"</f>
        <v>SAÍDA</v>
      </c>
      <c r="C11555" t="str">
        <f>"PIX"</f>
        <v>PIX</v>
      </c>
      <c r="D11555" t="str">
        <f>"25685"</f>
        <v>25685</v>
      </c>
      <c r="E11555" t="str">
        <f>"1"</f>
        <v>1</v>
      </c>
      <c r="F11555" t="str">
        <f t="shared" si="2233"/>
        <v>COM</v>
      </c>
      <c r="G11555" t="str">
        <f>"CASSIO DIAS RIBEIRO (32)"</f>
        <v>CASSIO DIAS RIBEIRO (32)</v>
      </c>
      <c r="H11555" t="s">
        <v>3109</v>
      </c>
      <c r="I11555" t="str">
        <f>("27/11/2025")</f>
        <v>27/11/2025</v>
      </c>
      <c r="J11555" t="str">
        <f>("18/11/2025")</f>
        <v>18/11/2025</v>
      </c>
      <c r="K11555">
        <v>45980</v>
      </c>
      <c r="N11555">
        <v>109</v>
      </c>
      <c r="O11555" t="s">
        <v>24</v>
      </c>
      <c r="Q11555">
        <v>233.22</v>
      </c>
      <c r="R11555" t="str">
        <f>"FARMÁCIA INDIANA LJ 11 (10008)"</f>
        <v>FARMÁCIA INDIANA LJ 11 (10008)</v>
      </c>
      <c r="S11555" t="s">
        <v>48</v>
      </c>
      <c r="T11555">
        <v>21284</v>
      </c>
      <c r="U11555">
        <v>25893</v>
      </c>
      <c r="V11555" t="s">
        <v>48</v>
      </c>
    </row>
    <row r="11556" spans="1:22">
      <c r="A11556" t="str">
        <f t="shared" si="2232"/>
        <v>19/11/2025</v>
      </c>
      <c r="B11556" t="str">
        <f>"SAÍDA"</f>
        <v>SAÍDA</v>
      </c>
      <c r="C11556" t="str">
        <f>"PIX"</f>
        <v>PIX</v>
      </c>
      <c r="D11556" t="str">
        <f>"25685"</f>
        <v>25685</v>
      </c>
      <c r="E11556" t="str">
        <f>"1"</f>
        <v>1</v>
      </c>
      <c r="F11556" t="str">
        <f t="shared" si="2233"/>
        <v>COM</v>
      </c>
      <c r="G11556" t="str">
        <f>"CASSIO DIAS RIBEIRO (32)"</f>
        <v>CASSIO DIAS RIBEIRO (32)</v>
      </c>
      <c r="H11556" t="s">
        <v>3109</v>
      </c>
      <c r="I11556" t="str">
        <f>("27/11/2025")</f>
        <v>27/11/2025</v>
      </c>
      <c r="J11556" t="str">
        <f>("18/11/2025")</f>
        <v>18/11/2025</v>
      </c>
      <c r="K11556">
        <v>45980</v>
      </c>
      <c r="N11556">
        <v>109</v>
      </c>
      <c r="O11556" t="s">
        <v>24</v>
      </c>
      <c r="Q11556">
        <v>4.78</v>
      </c>
      <c r="R11556" t="str">
        <f>"FARMÁCIA INDIANA LJ 172 (10161)"</f>
        <v>FARMÁCIA INDIANA LJ 172 (10161)</v>
      </c>
      <c r="S11556" t="s">
        <v>48</v>
      </c>
      <c r="T11556">
        <v>21284</v>
      </c>
      <c r="U11556">
        <v>25893</v>
      </c>
      <c r="V11556" t="s">
        <v>48</v>
      </c>
    </row>
    <row r="11557" spans="1:22">
      <c r="A11557" t="str">
        <f t="shared" si="2232"/>
        <v>19/11/2025</v>
      </c>
      <c r="B11557" t="str">
        <f t="shared" ref="B11557:B11588" si="2241">"ENTRADA"</f>
        <v>ENTRADA</v>
      </c>
      <c r="C11557" t="str">
        <f>"DINHEIRO"</f>
        <v>DINHEIRO</v>
      </c>
      <c r="D11557" t="str">
        <f>"0910"</f>
        <v>0910</v>
      </c>
      <c r="E11557" t="str">
        <f>"25"</f>
        <v>25</v>
      </c>
      <c r="F11557" t="str">
        <f t="shared" si="2233"/>
        <v>COM</v>
      </c>
      <c r="G11557" t="str">
        <f>"CASSIO DIAS RIBEIRO (32)"</f>
        <v>CASSIO DIAS RIBEIRO (32)</v>
      </c>
      <c r="H11557" t="str">
        <f>"REEMBOLSO ADIANTAMENTO"</f>
        <v>REEMBOLSO ADIANTAMENTO</v>
      </c>
      <c r="I11557" t="str">
        <f>("27/11/2025")</f>
        <v>27/11/2025</v>
      </c>
      <c r="J11557" t="str">
        <f>("21/08/2025")</f>
        <v>21/08/2025</v>
      </c>
      <c r="K11557" t="str">
        <f>("19/11/2025")</f>
        <v>19/11/2025</v>
      </c>
      <c r="L11557">
        <v>238</v>
      </c>
      <c r="M11557">
        <v>238</v>
      </c>
      <c r="N11557">
        <v>129</v>
      </c>
      <c r="O11557" t="str">
        <f>"ENTRADA DE REEMBOLSO ADIANTAMENTO"</f>
        <v>ENTRADA DE REEMBOLSO ADIANTAMENTO</v>
      </c>
      <c r="P11557">
        <v>238</v>
      </c>
      <c r="S11557" t="str">
        <f>"ENTRADA DE REEMBOLSO ADIANTAMENTO (129)"</f>
        <v>ENTRADA DE REEMBOLSO ADIANTAMENTO (129)</v>
      </c>
      <c r="T11557">
        <v>21285</v>
      </c>
      <c r="U11557">
        <v>20773</v>
      </c>
      <c r="V11557" t="s">
        <v>48</v>
      </c>
    </row>
    <row r="11558" spans="1:22">
      <c r="A11558" t="str">
        <f t="shared" si="2232"/>
        <v>19/11/2025</v>
      </c>
      <c r="B11558" t="str">
        <f t="shared" si="2241"/>
        <v>ENTRADA</v>
      </c>
      <c r="C11558" t="str">
        <f>"DINHEIRO"</f>
        <v>DINHEIRO</v>
      </c>
      <c r="D11558" t="str">
        <f>"0910"</f>
        <v>0910</v>
      </c>
      <c r="E11558" t="str">
        <f>"25"</f>
        <v>25</v>
      </c>
      <c r="F11558" t="str">
        <f t="shared" si="2233"/>
        <v>COM</v>
      </c>
      <c r="G11558" t="str">
        <f>"CASSIO DIAS RIBEIRO (32)"</f>
        <v>CASSIO DIAS RIBEIRO (32)</v>
      </c>
      <c r="H11558" t="s">
        <v>57</v>
      </c>
      <c r="I11558" t="str">
        <f>("27/11/2025")</f>
        <v>27/11/2025</v>
      </c>
      <c r="J11558" t="str">
        <f>("21/08/2025")</f>
        <v>21/08/2025</v>
      </c>
      <c r="K11558">
        <v>45980</v>
      </c>
      <c r="N11558">
        <v>129</v>
      </c>
      <c r="O11558" t="s">
        <v>58</v>
      </c>
      <c r="Q11558">
        <v>238</v>
      </c>
      <c r="R11558" t="str">
        <f>"CASSIO DIAS RIBEIRO (32)"</f>
        <v>CASSIO DIAS RIBEIRO (32)</v>
      </c>
      <c r="S11558" t="s">
        <v>59</v>
      </c>
      <c r="T11558">
        <v>21285</v>
      </c>
      <c r="U11558">
        <v>20773</v>
      </c>
      <c r="V11558" t="s">
        <v>48</v>
      </c>
    </row>
    <row r="11559" spans="1:22">
      <c r="A11559" t="str">
        <f t="shared" si="2232"/>
        <v>19/11/2025</v>
      </c>
      <c r="B11559" t="str">
        <f t="shared" si="2241"/>
        <v>ENTRADA</v>
      </c>
      <c r="C11559" t="str">
        <f t="shared" ref="C11559:C11590" si="2242">"NFSE"</f>
        <v>NFSE</v>
      </c>
      <c r="D11559" t="str">
        <f t="shared" ref="D11559:D11606" si="2243">"3694"</f>
        <v>3694</v>
      </c>
      <c r="E11559" t="str">
        <f t="shared" ref="E11559:E11590" si="2244">"1"</f>
        <v>1</v>
      </c>
      <c r="F11559" t="str">
        <f t="shared" si="2233"/>
        <v>COM</v>
      </c>
      <c r="G11559" t="str">
        <f t="shared" ref="G11559:G11606" si="2245">"FARMÁCIA INDIANA LJ 1 (10126)"</f>
        <v>FARMÁCIA INDIANA LJ 1 (10126)</v>
      </c>
      <c r="H11559" t="str">
        <f>"Serv.Prest. 03/11/2025 a 09/11/2025 - RPS: 1570 - NFSe: 3694"</f>
        <v>Serv.Prest. 03/11/2025 a 09/11/2025 - RPS: 1570 - NFSe: 3694</v>
      </c>
      <c r="I11559" t="str">
        <f t="shared" ref="I11559:I11590" si="2246">("19/11/2025")</f>
        <v>19/11/2025</v>
      </c>
      <c r="J11559" t="str">
        <f t="shared" ref="J11559:J11590" si="2247">("11/11/2025")</f>
        <v>11/11/2025</v>
      </c>
      <c r="K11559" t="str">
        <f>("19/11/2025")</f>
        <v>19/11/2025</v>
      </c>
      <c r="L11559">
        <v>118200.08</v>
      </c>
      <c r="M11559">
        <v>118200.08</v>
      </c>
      <c r="N11559">
        <v>303</v>
      </c>
      <c r="O11559" t="str">
        <f>"RECEITAS COM ENTREGAS"</f>
        <v>RECEITAS COM ENTREGAS</v>
      </c>
      <c r="P11559">
        <v>118200.08</v>
      </c>
      <c r="S11559" t="str">
        <f>"RECEITAS COM ENTREGAS (303)"</f>
        <v>RECEITAS COM ENTREGAS (303)</v>
      </c>
      <c r="T11559">
        <v>21841</v>
      </c>
      <c r="U11559">
        <v>25096</v>
      </c>
      <c r="V11559" t="s">
        <v>77</v>
      </c>
    </row>
    <row r="11560" spans="1:22">
      <c r="A11560" t="str">
        <f t="shared" si="2232"/>
        <v>19/11/2025</v>
      </c>
      <c r="B11560" t="str">
        <f t="shared" si="2241"/>
        <v>ENTRADA</v>
      </c>
      <c r="C11560" t="str">
        <f t="shared" si="2242"/>
        <v>NFSE</v>
      </c>
      <c r="D11560" t="str">
        <f t="shared" si="2243"/>
        <v>3694</v>
      </c>
      <c r="E11560" t="str">
        <f t="shared" si="2244"/>
        <v>1</v>
      </c>
      <c r="F11560" t="str">
        <f t="shared" si="2233"/>
        <v>COM</v>
      </c>
      <c r="G11560" t="str">
        <f t="shared" si="2245"/>
        <v>FARMÁCIA INDIANA LJ 1 (10126)</v>
      </c>
      <c r="H11560" t="s">
        <v>3110</v>
      </c>
      <c r="I11560" t="str">
        <f t="shared" si="2246"/>
        <v>19/11/2025</v>
      </c>
      <c r="J11560" t="str">
        <f t="shared" si="2247"/>
        <v>11/11/2025</v>
      </c>
      <c r="K11560">
        <v>45980</v>
      </c>
      <c r="N11560">
        <v>303</v>
      </c>
      <c r="O11560" t="s">
        <v>69</v>
      </c>
      <c r="Q11560">
        <v>17363.64</v>
      </c>
      <c r="R11560" t="str">
        <f>"FARMÁCIA INDIANA LJ 06 (10006)"</f>
        <v>FARMÁCIA INDIANA LJ 06 (10006)</v>
      </c>
      <c r="S11560" t="s">
        <v>70</v>
      </c>
      <c r="T11560">
        <v>21841</v>
      </c>
      <c r="U11560">
        <v>25096</v>
      </c>
      <c r="V11560" t="s">
        <v>77</v>
      </c>
    </row>
    <row r="11561" spans="1:22">
      <c r="A11561" t="str">
        <f t="shared" si="2232"/>
        <v>19/11/2025</v>
      </c>
      <c r="B11561" t="str">
        <f t="shared" si="2241"/>
        <v>ENTRADA</v>
      </c>
      <c r="C11561" t="str">
        <f t="shared" si="2242"/>
        <v>NFSE</v>
      </c>
      <c r="D11561" t="str">
        <f t="shared" si="2243"/>
        <v>3694</v>
      </c>
      <c r="E11561" t="str">
        <f t="shared" si="2244"/>
        <v>1</v>
      </c>
      <c r="F11561" t="str">
        <f t="shared" ref="F11561:F11592" si="2248">"COM"</f>
        <v>COM</v>
      </c>
      <c r="G11561" t="str">
        <f t="shared" si="2245"/>
        <v>FARMÁCIA INDIANA LJ 1 (10126)</v>
      </c>
      <c r="H11561" t="s">
        <v>3110</v>
      </c>
      <c r="I11561" t="str">
        <f t="shared" si="2246"/>
        <v>19/11/2025</v>
      </c>
      <c r="J11561" t="str">
        <f t="shared" si="2247"/>
        <v>11/11/2025</v>
      </c>
      <c r="K11561">
        <v>45980</v>
      </c>
      <c r="N11561">
        <v>303</v>
      </c>
      <c r="O11561" t="s">
        <v>69</v>
      </c>
      <c r="Q11561">
        <v>13238.41</v>
      </c>
      <c r="R11561" t="str">
        <f>"FARMÁCIA INDIANA LJ 07 (10007)"</f>
        <v>FARMÁCIA INDIANA LJ 07 (10007)</v>
      </c>
      <c r="S11561" t="s">
        <v>70</v>
      </c>
      <c r="T11561">
        <v>21841</v>
      </c>
      <c r="U11561">
        <v>25096</v>
      </c>
      <c r="V11561" t="s">
        <v>77</v>
      </c>
    </row>
    <row r="11562" spans="1:22">
      <c r="A11562" t="str">
        <f t="shared" si="2232"/>
        <v>19/11/2025</v>
      </c>
      <c r="B11562" t="str">
        <f t="shared" si="2241"/>
        <v>ENTRADA</v>
      </c>
      <c r="C11562" t="str">
        <f t="shared" si="2242"/>
        <v>NFSE</v>
      </c>
      <c r="D11562" t="str">
        <f t="shared" si="2243"/>
        <v>3694</v>
      </c>
      <c r="E11562" t="str">
        <f t="shared" si="2244"/>
        <v>1</v>
      </c>
      <c r="F11562" t="str">
        <f t="shared" si="2248"/>
        <v>COM</v>
      </c>
      <c r="G11562" t="str">
        <f t="shared" si="2245"/>
        <v>FARMÁCIA INDIANA LJ 1 (10126)</v>
      </c>
      <c r="H11562" t="s">
        <v>3110</v>
      </c>
      <c r="I11562" t="str">
        <f t="shared" si="2246"/>
        <v>19/11/2025</v>
      </c>
      <c r="J11562" t="str">
        <f t="shared" si="2247"/>
        <v>11/11/2025</v>
      </c>
      <c r="K11562">
        <v>45980</v>
      </c>
      <c r="N11562">
        <v>303</v>
      </c>
      <c r="O11562" t="s">
        <v>69</v>
      </c>
      <c r="Q11562">
        <v>9408.73</v>
      </c>
      <c r="R11562" t="str">
        <f>"FARMÁCIA INDIANA LJ 11 (10008)"</f>
        <v>FARMÁCIA INDIANA LJ 11 (10008)</v>
      </c>
      <c r="S11562" t="s">
        <v>70</v>
      </c>
      <c r="T11562">
        <v>21841</v>
      </c>
      <c r="U11562">
        <v>25096</v>
      </c>
      <c r="V11562" t="s">
        <v>77</v>
      </c>
    </row>
    <row r="11563" spans="1:22">
      <c r="A11563" t="str">
        <f t="shared" si="2232"/>
        <v>19/11/2025</v>
      </c>
      <c r="B11563" t="str">
        <f t="shared" si="2241"/>
        <v>ENTRADA</v>
      </c>
      <c r="C11563" t="str">
        <f t="shared" si="2242"/>
        <v>NFSE</v>
      </c>
      <c r="D11563" t="str">
        <f t="shared" si="2243"/>
        <v>3694</v>
      </c>
      <c r="E11563" t="str">
        <f t="shared" si="2244"/>
        <v>1</v>
      </c>
      <c r="F11563" t="str">
        <f t="shared" si="2248"/>
        <v>COM</v>
      </c>
      <c r="G11563" t="str">
        <f t="shared" si="2245"/>
        <v>FARMÁCIA INDIANA LJ 1 (10126)</v>
      </c>
      <c r="H11563" t="s">
        <v>3110</v>
      </c>
      <c r="I11563" t="str">
        <f t="shared" si="2246"/>
        <v>19/11/2025</v>
      </c>
      <c r="J11563" t="str">
        <f t="shared" si="2247"/>
        <v>11/11/2025</v>
      </c>
      <c r="K11563">
        <v>45980</v>
      </c>
      <c r="N11563">
        <v>303</v>
      </c>
      <c r="O11563" t="s">
        <v>69</v>
      </c>
      <c r="Q11563">
        <v>3486.9</v>
      </c>
      <c r="R11563" t="str">
        <f>"FARMÁCIA INDIANA LJ 14 (10009)"</f>
        <v>FARMÁCIA INDIANA LJ 14 (10009)</v>
      </c>
      <c r="S11563" t="s">
        <v>70</v>
      </c>
      <c r="T11563">
        <v>21841</v>
      </c>
      <c r="U11563">
        <v>25096</v>
      </c>
      <c r="V11563" t="s">
        <v>77</v>
      </c>
    </row>
    <row r="11564" spans="1:22">
      <c r="A11564" t="str">
        <f t="shared" si="2232"/>
        <v>19/11/2025</v>
      </c>
      <c r="B11564" t="str">
        <f t="shared" si="2241"/>
        <v>ENTRADA</v>
      </c>
      <c r="C11564" t="str">
        <f t="shared" si="2242"/>
        <v>NFSE</v>
      </c>
      <c r="D11564" t="str">
        <f t="shared" si="2243"/>
        <v>3694</v>
      </c>
      <c r="E11564" t="str">
        <f t="shared" si="2244"/>
        <v>1</v>
      </c>
      <c r="F11564" t="str">
        <f t="shared" si="2248"/>
        <v>COM</v>
      </c>
      <c r="G11564" t="str">
        <f t="shared" si="2245"/>
        <v>FARMÁCIA INDIANA LJ 1 (10126)</v>
      </c>
      <c r="H11564" t="s">
        <v>3110</v>
      </c>
      <c r="I11564" t="str">
        <f t="shared" si="2246"/>
        <v>19/11/2025</v>
      </c>
      <c r="J11564" t="str">
        <f t="shared" si="2247"/>
        <v>11/11/2025</v>
      </c>
      <c r="K11564">
        <v>45980</v>
      </c>
      <c r="N11564">
        <v>303</v>
      </c>
      <c r="O11564" t="s">
        <v>69</v>
      </c>
      <c r="Q11564">
        <v>2659.5</v>
      </c>
      <c r="R11564" t="str">
        <f>"FARMÁCIA INDIANA LJ 18 (10011)"</f>
        <v>FARMÁCIA INDIANA LJ 18 (10011)</v>
      </c>
      <c r="S11564" t="s">
        <v>70</v>
      </c>
      <c r="T11564">
        <v>21841</v>
      </c>
      <c r="U11564">
        <v>25096</v>
      </c>
      <c r="V11564" t="s">
        <v>77</v>
      </c>
    </row>
    <row r="11565" spans="1:22">
      <c r="A11565" t="str">
        <f t="shared" si="2232"/>
        <v>19/11/2025</v>
      </c>
      <c r="B11565" t="str">
        <f t="shared" si="2241"/>
        <v>ENTRADA</v>
      </c>
      <c r="C11565" t="str">
        <f t="shared" si="2242"/>
        <v>NFSE</v>
      </c>
      <c r="D11565" t="str">
        <f t="shared" si="2243"/>
        <v>3694</v>
      </c>
      <c r="E11565" t="str">
        <f t="shared" si="2244"/>
        <v>1</v>
      </c>
      <c r="F11565" t="str">
        <f t="shared" si="2248"/>
        <v>COM</v>
      </c>
      <c r="G11565" t="str">
        <f t="shared" si="2245"/>
        <v>FARMÁCIA INDIANA LJ 1 (10126)</v>
      </c>
      <c r="H11565" t="s">
        <v>3110</v>
      </c>
      <c r="I11565" t="str">
        <f t="shared" si="2246"/>
        <v>19/11/2025</v>
      </c>
      <c r="J11565" t="str">
        <f t="shared" si="2247"/>
        <v>11/11/2025</v>
      </c>
      <c r="K11565">
        <v>45980</v>
      </c>
      <c r="N11565">
        <v>303</v>
      </c>
      <c r="O11565" t="s">
        <v>69</v>
      </c>
      <c r="Q11565">
        <v>3073.2</v>
      </c>
      <c r="R11565" t="str">
        <f>"FARMÁCIA INDIANA LJ 19 (10012)"</f>
        <v>FARMÁCIA INDIANA LJ 19 (10012)</v>
      </c>
      <c r="S11565" t="s">
        <v>70</v>
      </c>
      <c r="T11565">
        <v>21841</v>
      </c>
      <c r="U11565">
        <v>25096</v>
      </c>
      <c r="V11565" t="s">
        <v>77</v>
      </c>
    </row>
    <row r="11566" spans="1:22">
      <c r="A11566" t="str">
        <f t="shared" si="2232"/>
        <v>19/11/2025</v>
      </c>
      <c r="B11566" t="str">
        <f t="shared" si="2241"/>
        <v>ENTRADA</v>
      </c>
      <c r="C11566" t="str">
        <f t="shared" si="2242"/>
        <v>NFSE</v>
      </c>
      <c r="D11566" t="str">
        <f t="shared" si="2243"/>
        <v>3694</v>
      </c>
      <c r="E11566" t="str">
        <f t="shared" si="2244"/>
        <v>1</v>
      </c>
      <c r="F11566" t="str">
        <f t="shared" si="2248"/>
        <v>COM</v>
      </c>
      <c r="G11566" t="str">
        <f t="shared" si="2245"/>
        <v>FARMÁCIA INDIANA LJ 1 (10126)</v>
      </c>
      <c r="H11566" t="s">
        <v>3110</v>
      </c>
      <c r="I11566" t="str">
        <f t="shared" si="2246"/>
        <v>19/11/2025</v>
      </c>
      <c r="J11566" t="str">
        <f t="shared" si="2247"/>
        <v>11/11/2025</v>
      </c>
      <c r="K11566">
        <v>45980</v>
      </c>
      <c r="N11566">
        <v>303</v>
      </c>
      <c r="O11566" t="s">
        <v>69</v>
      </c>
      <c r="Q11566">
        <v>4597.9799999999996</v>
      </c>
      <c r="R11566" t="str">
        <f>"FARMÁCIA INDIANA LJ 40 (10016)"</f>
        <v>FARMÁCIA INDIANA LJ 40 (10016)</v>
      </c>
      <c r="S11566" t="s">
        <v>70</v>
      </c>
      <c r="T11566">
        <v>21841</v>
      </c>
      <c r="U11566">
        <v>25096</v>
      </c>
      <c r="V11566" t="s">
        <v>77</v>
      </c>
    </row>
    <row r="11567" spans="1:22">
      <c r="A11567" t="str">
        <f t="shared" si="2232"/>
        <v>19/11/2025</v>
      </c>
      <c r="B11567" t="str">
        <f t="shared" si="2241"/>
        <v>ENTRADA</v>
      </c>
      <c r="C11567" t="str">
        <f t="shared" si="2242"/>
        <v>NFSE</v>
      </c>
      <c r="D11567" t="str">
        <f t="shared" si="2243"/>
        <v>3694</v>
      </c>
      <c r="E11567" t="str">
        <f t="shared" si="2244"/>
        <v>1</v>
      </c>
      <c r="F11567" t="str">
        <f t="shared" si="2248"/>
        <v>COM</v>
      </c>
      <c r="G11567" t="str">
        <f t="shared" si="2245"/>
        <v>FARMÁCIA INDIANA LJ 1 (10126)</v>
      </c>
      <c r="H11567" t="s">
        <v>3110</v>
      </c>
      <c r="I11567" t="str">
        <f t="shared" si="2246"/>
        <v>19/11/2025</v>
      </c>
      <c r="J11567" t="str">
        <f t="shared" si="2247"/>
        <v>11/11/2025</v>
      </c>
      <c r="K11567">
        <v>45980</v>
      </c>
      <c r="N11567">
        <v>303</v>
      </c>
      <c r="O11567" t="s">
        <v>69</v>
      </c>
      <c r="Q11567">
        <v>1879.38</v>
      </c>
      <c r="R11567" t="str">
        <f>"FARMÁCIA INDIANA LJ 59 (10026)"</f>
        <v>FARMÁCIA INDIANA LJ 59 (10026)</v>
      </c>
      <c r="S11567" t="s">
        <v>70</v>
      </c>
      <c r="T11567">
        <v>21841</v>
      </c>
      <c r="U11567">
        <v>25096</v>
      </c>
      <c r="V11567" t="s">
        <v>77</v>
      </c>
    </row>
    <row r="11568" spans="1:22">
      <c r="A11568" t="str">
        <f t="shared" si="2232"/>
        <v>19/11/2025</v>
      </c>
      <c r="B11568" t="str">
        <f t="shared" si="2241"/>
        <v>ENTRADA</v>
      </c>
      <c r="C11568" t="str">
        <f t="shared" si="2242"/>
        <v>NFSE</v>
      </c>
      <c r="D11568" t="str">
        <f t="shared" si="2243"/>
        <v>3694</v>
      </c>
      <c r="E11568" t="str">
        <f t="shared" si="2244"/>
        <v>1</v>
      </c>
      <c r="F11568" t="str">
        <f t="shared" si="2248"/>
        <v>COM</v>
      </c>
      <c r="G11568" t="str">
        <f t="shared" si="2245"/>
        <v>FARMÁCIA INDIANA LJ 1 (10126)</v>
      </c>
      <c r="H11568" t="s">
        <v>3110</v>
      </c>
      <c r="I11568" t="str">
        <f t="shared" si="2246"/>
        <v>19/11/2025</v>
      </c>
      <c r="J11568" t="str">
        <f t="shared" si="2247"/>
        <v>11/11/2025</v>
      </c>
      <c r="K11568">
        <v>45980</v>
      </c>
      <c r="N11568">
        <v>303</v>
      </c>
      <c r="O11568" t="s">
        <v>69</v>
      </c>
      <c r="Q11568">
        <v>4527.0600000000004</v>
      </c>
      <c r="R11568" t="str">
        <f>"FARMÁCIA INDIANA LJ 61 (10027)"</f>
        <v>FARMÁCIA INDIANA LJ 61 (10027)</v>
      </c>
      <c r="S11568" t="s">
        <v>70</v>
      </c>
      <c r="T11568">
        <v>21841</v>
      </c>
      <c r="U11568">
        <v>25096</v>
      </c>
      <c r="V11568" t="s">
        <v>77</v>
      </c>
    </row>
    <row r="11569" spans="1:22">
      <c r="A11569" t="str">
        <f t="shared" si="2232"/>
        <v>19/11/2025</v>
      </c>
      <c r="B11569" t="str">
        <f t="shared" si="2241"/>
        <v>ENTRADA</v>
      </c>
      <c r="C11569" t="str">
        <f t="shared" si="2242"/>
        <v>NFSE</v>
      </c>
      <c r="D11569" t="str">
        <f t="shared" si="2243"/>
        <v>3694</v>
      </c>
      <c r="E11569" t="str">
        <f t="shared" si="2244"/>
        <v>1</v>
      </c>
      <c r="F11569" t="str">
        <f t="shared" si="2248"/>
        <v>COM</v>
      </c>
      <c r="G11569" t="str">
        <f t="shared" si="2245"/>
        <v>FARMÁCIA INDIANA LJ 1 (10126)</v>
      </c>
      <c r="H11569" t="s">
        <v>3110</v>
      </c>
      <c r="I11569" t="str">
        <f t="shared" si="2246"/>
        <v>19/11/2025</v>
      </c>
      <c r="J11569" t="str">
        <f t="shared" si="2247"/>
        <v>11/11/2025</v>
      </c>
      <c r="K11569">
        <v>45980</v>
      </c>
      <c r="N11569">
        <v>303</v>
      </c>
      <c r="O11569" t="s">
        <v>69</v>
      </c>
      <c r="Q11569">
        <v>1642.98</v>
      </c>
      <c r="R11569" t="str">
        <f>"FARMÁCIA INDIANA LJ 62 (10028)"</f>
        <v>FARMÁCIA INDIANA LJ 62 (10028)</v>
      </c>
      <c r="S11569" t="s">
        <v>70</v>
      </c>
      <c r="T11569">
        <v>21841</v>
      </c>
      <c r="U11569">
        <v>25096</v>
      </c>
      <c r="V11569" t="s">
        <v>77</v>
      </c>
    </row>
    <row r="11570" spans="1:22">
      <c r="A11570" t="str">
        <f t="shared" si="2232"/>
        <v>19/11/2025</v>
      </c>
      <c r="B11570" t="str">
        <f t="shared" si="2241"/>
        <v>ENTRADA</v>
      </c>
      <c r="C11570" t="str">
        <f t="shared" si="2242"/>
        <v>NFSE</v>
      </c>
      <c r="D11570" t="str">
        <f t="shared" si="2243"/>
        <v>3694</v>
      </c>
      <c r="E11570" t="str">
        <f t="shared" si="2244"/>
        <v>1</v>
      </c>
      <c r="F11570" t="str">
        <f t="shared" si="2248"/>
        <v>COM</v>
      </c>
      <c r="G11570" t="str">
        <f t="shared" si="2245"/>
        <v>FARMÁCIA INDIANA LJ 1 (10126)</v>
      </c>
      <c r="H11570" t="s">
        <v>3110</v>
      </c>
      <c r="I11570" t="str">
        <f t="shared" si="2246"/>
        <v>19/11/2025</v>
      </c>
      <c r="J11570" t="str">
        <f t="shared" si="2247"/>
        <v>11/11/2025</v>
      </c>
      <c r="K11570">
        <v>45980</v>
      </c>
      <c r="N11570">
        <v>303</v>
      </c>
      <c r="O11570" t="s">
        <v>69</v>
      </c>
      <c r="Q11570">
        <v>638.28</v>
      </c>
      <c r="R11570" t="str">
        <f>"FARMÁCIA INDIANA LJ 64 (10029)"</f>
        <v>FARMÁCIA INDIANA LJ 64 (10029)</v>
      </c>
      <c r="S11570" t="s">
        <v>70</v>
      </c>
      <c r="T11570">
        <v>21841</v>
      </c>
      <c r="U11570">
        <v>25096</v>
      </c>
      <c r="V11570" t="s">
        <v>77</v>
      </c>
    </row>
    <row r="11571" spans="1:22">
      <c r="A11571" t="str">
        <f t="shared" si="2232"/>
        <v>19/11/2025</v>
      </c>
      <c r="B11571" t="str">
        <f t="shared" si="2241"/>
        <v>ENTRADA</v>
      </c>
      <c r="C11571" t="str">
        <f t="shared" si="2242"/>
        <v>NFSE</v>
      </c>
      <c r="D11571" t="str">
        <f t="shared" si="2243"/>
        <v>3694</v>
      </c>
      <c r="E11571" t="str">
        <f t="shared" si="2244"/>
        <v>1</v>
      </c>
      <c r="F11571" t="str">
        <f t="shared" si="2248"/>
        <v>COM</v>
      </c>
      <c r="G11571" t="str">
        <f t="shared" si="2245"/>
        <v>FARMÁCIA INDIANA LJ 1 (10126)</v>
      </c>
      <c r="H11571" t="s">
        <v>3110</v>
      </c>
      <c r="I11571" t="str">
        <f t="shared" si="2246"/>
        <v>19/11/2025</v>
      </c>
      <c r="J11571" t="str">
        <f t="shared" si="2247"/>
        <v>11/11/2025</v>
      </c>
      <c r="K11571">
        <v>45980</v>
      </c>
      <c r="N11571">
        <v>303</v>
      </c>
      <c r="O11571" t="s">
        <v>69</v>
      </c>
      <c r="Q11571">
        <v>602.82000000000005</v>
      </c>
      <c r="R11571" t="str">
        <f>"FARMÁCIA INDIANA LJ 97 (10040)"</f>
        <v>FARMÁCIA INDIANA LJ 97 (10040)</v>
      </c>
      <c r="S11571" t="s">
        <v>70</v>
      </c>
      <c r="T11571">
        <v>21841</v>
      </c>
      <c r="U11571">
        <v>25096</v>
      </c>
      <c r="V11571" t="s">
        <v>77</v>
      </c>
    </row>
    <row r="11572" spans="1:22">
      <c r="A11572" t="str">
        <f t="shared" si="2232"/>
        <v>19/11/2025</v>
      </c>
      <c r="B11572" t="str">
        <f t="shared" si="2241"/>
        <v>ENTRADA</v>
      </c>
      <c r="C11572" t="str">
        <f t="shared" si="2242"/>
        <v>NFSE</v>
      </c>
      <c r="D11572" t="str">
        <f t="shared" si="2243"/>
        <v>3694</v>
      </c>
      <c r="E11572" t="str">
        <f t="shared" si="2244"/>
        <v>1</v>
      </c>
      <c r="F11572" t="str">
        <f t="shared" si="2248"/>
        <v>COM</v>
      </c>
      <c r="G11572" t="str">
        <f t="shared" si="2245"/>
        <v>FARMÁCIA INDIANA LJ 1 (10126)</v>
      </c>
      <c r="H11572" t="s">
        <v>3110</v>
      </c>
      <c r="I11572" t="str">
        <f t="shared" si="2246"/>
        <v>19/11/2025</v>
      </c>
      <c r="J11572" t="str">
        <f t="shared" si="2247"/>
        <v>11/11/2025</v>
      </c>
      <c r="K11572">
        <v>45980</v>
      </c>
      <c r="N11572">
        <v>303</v>
      </c>
      <c r="O11572" t="s">
        <v>69</v>
      </c>
      <c r="Q11572">
        <v>1796.64</v>
      </c>
      <c r="R11572" t="str">
        <f>"FARMÁCIA INDIANA LJ 100 (10042)"</f>
        <v>FARMÁCIA INDIANA LJ 100 (10042)</v>
      </c>
      <c r="S11572" t="s">
        <v>70</v>
      </c>
      <c r="T11572">
        <v>21841</v>
      </c>
      <c r="U11572">
        <v>25096</v>
      </c>
      <c r="V11572" t="s">
        <v>77</v>
      </c>
    </row>
    <row r="11573" spans="1:22">
      <c r="A11573" t="str">
        <f t="shared" si="2232"/>
        <v>19/11/2025</v>
      </c>
      <c r="B11573" t="str">
        <f t="shared" si="2241"/>
        <v>ENTRADA</v>
      </c>
      <c r="C11573" t="str">
        <f t="shared" si="2242"/>
        <v>NFSE</v>
      </c>
      <c r="D11573" t="str">
        <f t="shared" si="2243"/>
        <v>3694</v>
      </c>
      <c r="E11573" t="str">
        <f t="shared" si="2244"/>
        <v>1</v>
      </c>
      <c r="F11573" t="str">
        <f t="shared" si="2248"/>
        <v>COM</v>
      </c>
      <c r="G11573" t="str">
        <f t="shared" si="2245"/>
        <v>FARMÁCIA INDIANA LJ 1 (10126)</v>
      </c>
      <c r="H11573" t="s">
        <v>3110</v>
      </c>
      <c r="I11573" t="str">
        <f t="shared" si="2246"/>
        <v>19/11/2025</v>
      </c>
      <c r="J11573" t="str">
        <f t="shared" si="2247"/>
        <v>11/11/2025</v>
      </c>
      <c r="K11573">
        <v>45980</v>
      </c>
      <c r="N11573">
        <v>303</v>
      </c>
      <c r="O11573" t="s">
        <v>69</v>
      </c>
      <c r="Q11573">
        <v>6016.38</v>
      </c>
      <c r="R11573" t="str">
        <f>"FARMÁCIA INDIANA LJ 101 (10043)"</f>
        <v>FARMÁCIA INDIANA LJ 101 (10043)</v>
      </c>
      <c r="S11573" t="s">
        <v>70</v>
      </c>
      <c r="T11573">
        <v>21841</v>
      </c>
      <c r="U11573">
        <v>25096</v>
      </c>
      <c r="V11573" t="s">
        <v>77</v>
      </c>
    </row>
    <row r="11574" spans="1:22">
      <c r="A11574" t="str">
        <f t="shared" si="2232"/>
        <v>19/11/2025</v>
      </c>
      <c r="B11574" t="str">
        <f t="shared" si="2241"/>
        <v>ENTRADA</v>
      </c>
      <c r="C11574" t="str">
        <f t="shared" si="2242"/>
        <v>NFSE</v>
      </c>
      <c r="D11574" t="str">
        <f t="shared" si="2243"/>
        <v>3694</v>
      </c>
      <c r="E11574" t="str">
        <f t="shared" si="2244"/>
        <v>1</v>
      </c>
      <c r="F11574" t="str">
        <f t="shared" si="2248"/>
        <v>COM</v>
      </c>
      <c r="G11574" t="str">
        <f t="shared" si="2245"/>
        <v>FARMÁCIA INDIANA LJ 1 (10126)</v>
      </c>
      <c r="H11574" t="s">
        <v>3110</v>
      </c>
      <c r="I11574" t="str">
        <f t="shared" si="2246"/>
        <v>19/11/2025</v>
      </c>
      <c r="J11574" t="str">
        <f t="shared" si="2247"/>
        <v>11/11/2025</v>
      </c>
      <c r="K11574">
        <v>45980</v>
      </c>
      <c r="N11574">
        <v>303</v>
      </c>
      <c r="O11574" t="s">
        <v>69</v>
      </c>
      <c r="Q11574">
        <v>768.3</v>
      </c>
      <c r="R11574" t="str">
        <f>"FARMÁCIA INDIANA LJ 103 (10044)"</f>
        <v>FARMÁCIA INDIANA LJ 103 (10044)</v>
      </c>
      <c r="S11574" t="s">
        <v>70</v>
      </c>
      <c r="T11574">
        <v>21841</v>
      </c>
      <c r="U11574">
        <v>25096</v>
      </c>
      <c r="V11574" t="s">
        <v>77</v>
      </c>
    </row>
    <row r="11575" spans="1:22">
      <c r="A11575" t="str">
        <f t="shared" si="2232"/>
        <v>19/11/2025</v>
      </c>
      <c r="B11575" t="str">
        <f t="shared" si="2241"/>
        <v>ENTRADA</v>
      </c>
      <c r="C11575" t="str">
        <f t="shared" si="2242"/>
        <v>NFSE</v>
      </c>
      <c r="D11575" t="str">
        <f t="shared" si="2243"/>
        <v>3694</v>
      </c>
      <c r="E11575" t="str">
        <f t="shared" si="2244"/>
        <v>1</v>
      </c>
      <c r="F11575" t="str">
        <f t="shared" si="2248"/>
        <v>COM</v>
      </c>
      <c r="G11575" t="str">
        <f t="shared" si="2245"/>
        <v>FARMÁCIA INDIANA LJ 1 (10126)</v>
      </c>
      <c r="H11575" t="s">
        <v>3110</v>
      </c>
      <c r="I11575" t="str">
        <f t="shared" si="2246"/>
        <v>19/11/2025</v>
      </c>
      <c r="J11575" t="str">
        <f t="shared" si="2247"/>
        <v>11/11/2025</v>
      </c>
      <c r="K11575">
        <v>45980</v>
      </c>
      <c r="N11575">
        <v>303</v>
      </c>
      <c r="O11575" t="s">
        <v>69</v>
      </c>
      <c r="Q11575">
        <v>2423.1</v>
      </c>
      <c r="R11575" t="str">
        <f>"FARMÁCIA INDIANA LJ 109 (10047)"</f>
        <v>FARMÁCIA INDIANA LJ 109 (10047)</v>
      </c>
      <c r="S11575" t="s">
        <v>70</v>
      </c>
      <c r="T11575">
        <v>21841</v>
      </c>
      <c r="U11575">
        <v>25096</v>
      </c>
      <c r="V11575" t="s">
        <v>77</v>
      </c>
    </row>
    <row r="11576" spans="1:22">
      <c r="A11576" t="str">
        <f t="shared" si="2232"/>
        <v>19/11/2025</v>
      </c>
      <c r="B11576" t="str">
        <f t="shared" si="2241"/>
        <v>ENTRADA</v>
      </c>
      <c r="C11576" t="str">
        <f t="shared" si="2242"/>
        <v>NFSE</v>
      </c>
      <c r="D11576" t="str">
        <f t="shared" si="2243"/>
        <v>3694</v>
      </c>
      <c r="E11576" t="str">
        <f t="shared" si="2244"/>
        <v>1</v>
      </c>
      <c r="F11576" t="str">
        <f t="shared" si="2248"/>
        <v>COM</v>
      </c>
      <c r="G11576" t="str">
        <f t="shared" si="2245"/>
        <v>FARMÁCIA INDIANA LJ 1 (10126)</v>
      </c>
      <c r="H11576" t="s">
        <v>3110</v>
      </c>
      <c r="I11576" t="str">
        <f t="shared" si="2246"/>
        <v>19/11/2025</v>
      </c>
      <c r="J11576" t="str">
        <f t="shared" si="2247"/>
        <v>11/11/2025</v>
      </c>
      <c r="K11576">
        <v>45980</v>
      </c>
      <c r="N11576">
        <v>303</v>
      </c>
      <c r="O11576" t="s">
        <v>69</v>
      </c>
      <c r="Q11576">
        <v>3569.64</v>
      </c>
      <c r="R11576" t="str">
        <f>"FARMÁCIA INDIANA LJ 110 (10048)"</f>
        <v>FARMÁCIA INDIANA LJ 110 (10048)</v>
      </c>
      <c r="S11576" t="s">
        <v>70</v>
      </c>
      <c r="T11576">
        <v>21841</v>
      </c>
      <c r="U11576">
        <v>25096</v>
      </c>
      <c r="V11576" t="s">
        <v>77</v>
      </c>
    </row>
    <row r="11577" spans="1:22">
      <c r="A11577" t="str">
        <f t="shared" si="2232"/>
        <v>19/11/2025</v>
      </c>
      <c r="B11577" t="str">
        <f t="shared" si="2241"/>
        <v>ENTRADA</v>
      </c>
      <c r="C11577" t="str">
        <f t="shared" si="2242"/>
        <v>NFSE</v>
      </c>
      <c r="D11577" t="str">
        <f t="shared" si="2243"/>
        <v>3694</v>
      </c>
      <c r="E11577" t="str">
        <f t="shared" si="2244"/>
        <v>1</v>
      </c>
      <c r="F11577" t="str">
        <f t="shared" si="2248"/>
        <v>COM</v>
      </c>
      <c r="G11577" t="str">
        <f t="shared" si="2245"/>
        <v>FARMÁCIA INDIANA LJ 1 (10126)</v>
      </c>
      <c r="H11577" t="s">
        <v>3110</v>
      </c>
      <c r="I11577" t="str">
        <f t="shared" si="2246"/>
        <v>19/11/2025</v>
      </c>
      <c r="J11577" t="str">
        <f t="shared" si="2247"/>
        <v>11/11/2025</v>
      </c>
      <c r="K11577">
        <v>45980</v>
      </c>
      <c r="N11577">
        <v>303</v>
      </c>
      <c r="O11577" t="s">
        <v>69</v>
      </c>
      <c r="Q11577">
        <v>591</v>
      </c>
      <c r="R11577" t="str">
        <f>"FARMÁCIA INDIANA LJ 111 (10049)"</f>
        <v>FARMÁCIA INDIANA LJ 111 (10049)</v>
      </c>
      <c r="S11577" t="s">
        <v>70</v>
      </c>
      <c r="T11577">
        <v>21841</v>
      </c>
      <c r="U11577">
        <v>25096</v>
      </c>
      <c r="V11577" t="s">
        <v>77</v>
      </c>
    </row>
    <row r="11578" spans="1:22">
      <c r="A11578" t="str">
        <f t="shared" si="2232"/>
        <v>19/11/2025</v>
      </c>
      <c r="B11578" t="str">
        <f t="shared" si="2241"/>
        <v>ENTRADA</v>
      </c>
      <c r="C11578" t="str">
        <f t="shared" si="2242"/>
        <v>NFSE</v>
      </c>
      <c r="D11578" t="str">
        <f t="shared" si="2243"/>
        <v>3694</v>
      </c>
      <c r="E11578" t="str">
        <f t="shared" si="2244"/>
        <v>1</v>
      </c>
      <c r="F11578" t="str">
        <f t="shared" si="2248"/>
        <v>COM</v>
      </c>
      <c r="G11578" t="str">
        <f t="shared" si="2245"/>
        <v>FARMÁCIA INDIANA LJ 1 (10126)</v>
      </c>
      <c r="H11578" t="s">
        <v>3110</v>
      </c>
      <c r="I11578" t="str">
        <f t="shared" si="2246"/>
        <v>19/11/2025</v>
      </c>
      <c r="J11578" t="str">
        <f t="shared" si="2247"/>
        <v>11/11/2025</v>
      </c>
      <c r="K11578">
        <v>45980</v>
      </c>
      <c r="N11578">
        <v>303</v>
      </c>
      <c r="O11578" t="s">
        <v>69</v>
      </c>
      <c r="Q11578">
        <v>898.32</v>
      </c>
      <c r="R11578" t="str">
        <f>"FARMÁCIA INDIANA LJ 112 (10050)"</f>
        <v>FARMÁCIA INDIANA LJ 112 (10050)</v>
      </c>
      <c r="S11578" t="s">
        <v>70</v>
      </c>
      <c r="T11578">
        <v>21841</v>
      </c>
      <c r="U11578">
        <v>25096</v>
      </c>
      <c r="V11578" t="s">
        <v>77</v>
      </c>
    </row>
    <row r="11579" spans="1:22">
      <c r="A11579" t="str">
        <f t="shared" si="2232"/>
        <v>19/11/2025</v>
      </c>
      <c r="B11579" t="str">
        <f t="shared" si="2241"/>
        <v>ENTRADA</v>
      </c>
      <c r="C11579" t="str">
        <f t="shared" si="2242"/>
        <v>NFSE</v>
      </c>
      <c r="D11579" t="str">
        <f t="shared" si="2243"/>
        <v>3694</v>
      </c>
      <c r="E11579" t="str">
        <f t="shared" si="2244"/>
        <v>1</v>
      </c>
      <c r="F11579" t="str">
        <f t="shared" si="2248"/>
        <v>COM</v>
      </c>
      <c r="G11579" t="str">
        <f t="shared" si="2245"/>
        <v>FARMÁCIA INDIANA LJ 1 (10126)</v>
      </c>
      <c r="H11579" t="s">
        <v>3110</v>
      </c>
      <c r="I11579" t="str">
        <f t="shared" si="2246"/>
        <v>19/11/2025</v>
      </c>
      <c r="J11579" t="str">
        <f t="shared" si="2247"/>
        <v>11/11/2025</v>
      </c>
      <c r="K11579">
        <v>45980</v>
      </c>
      <c r="N11579">
        <v>303</v>
      </c>
      <c r="O11579" t="s">
        <v>69</v>
      </c>
      <c r="Q11579">
        <v>898.32</v>
      </c>
      <c r="R11579" t="str">
        <f>"FARMÁCIA INDIANA LJ 116 (10051)"</f>
        <v>FARMÁCIA INDIANA LJ 116 (10051)</v>
      </c>
      <c r="S11579" t="s">
        <v>70</v>
      </c>
      <c r="T11579">
        <v>21841</v>
      </c>
      <c r="U11579">
        <v>25096</v>
      </c>
      <c r="V11579" t="s">
        <v>77</v>
      </c>
    </row>
    <row r="11580" spans="1:22">
      <c r="A11580" t="str">
        <f t="shared" si="2232"/>
        <v>19/11/2025</v>
      </c>
      <c r="B11580" t="str">
        <f t="shared" si="2241"/>
        <v>ENTRADA</v>
      </c>
      <c r="C11580" t="str">
        <f t="shared" si="2242"/>
        <v>NFSE</v>
      </c>
      <c r="D11580" t="str">
        <f t="shared" si="2243"/>
        <v>3694</v>
      </c>
      <c r="E11580" t="str">
        <f t="shared" si="2244"/>
        <v>1</v>
      </c>
      <c r="F11580" t="str">
        <f t="shared" si="2248"/>
        <v>COM</v>
      </c>
      <c r="G11580" t="str">
        <f t="shared" si="2245"/>
        <v>FARMÁCIA INDIANA LJ 1 (10126)</v>
      </c>
      <c r="H11580" t="s">
        <v>3110</v>
      </c>
      <c r="I11580" t="str">
        <f t="shared" si="2246"/>
        <v>19/11/2025</v>
      </c>
      <c r="J11580" t="str">
        <f t="shared" si="2247"/>
        <v>11/11/2025</v>
      </c>
      <c r="K11580">
        <v>45980</v>
      </c>
      <c r="N11580">
        <v>303</v>
      </c>
      <c r="O11580" t="s">
        <v>69</v>
      </c>
      <c r="Q11580">
        <v>1642.98</v>
      </c>
      <c r="R11580" t="str">
        <f>"FARMÁCIA INDIANA LJ 118 (10052)"</f>
        <v>FARMÁCIA INDIANA LJ 118 (10052)</v>
      </c>
      <c r="S11580" t="s">
        <v>70</v>
      </c>
      <c r="T11580">
        <v>21841</v>
      </c>
      <c r="U11580">
        <v>25096</v>
      </c>
      <c r="V11580" t="s">
        <v>77</v>
      </c>
    </row>
    <row r="11581" spans="1:22">
      <c r="A11581" t="str">
        <f t="shared" si="2232"/>
        <v>19/11/2025</v>
      </c>
      <c r="B11581" t="str">
        <f t="shared" si="2241"/>
        <v>ENTRADA</v>
      </c>
      <c r="C11581" t="str">
        <f t="shared" si="2242"/>
        <v>NFSE</v>
      </c>
      <c r="D11581" t="str">
        <f t="shared" si="2243"/>
        <v>3694</v>
      </c>
      <c r="E11581" t="str">
        <f t="shared" si="2244"/>
        <v>1</v>
      </c>
      <c r="F11581" t="str">
        <f t="shared" si="2248"/>
        <v>COM</v>
      </c>
      <c r="G11581" t="str">
        <f t="shared" si="2245"/>
        <v>FARMÁCIA INDIANA LJ 1 (10126)</v>
      </c>
      <c r="H11581" t="s">
        <v>3110</v>
      </c>
      <c r="I11581" t="str">
        <f t="shared" si="2246"/>
        <v>19/11/2025</v>
      </c>
      <c r="J11581" t="str">
        <f t="shared" si="2247"/>
        <v>11/11/2025</v>
      </c>
      <c r="K11581">
        <v>45980</v>
      </c>
      <c r="N11581">
        <v>303</v>
      </c>
      <c r="O11581" t="s">
        <v>69</v>
      </c>
      <c r="Q11581">
        <v>898.32</v>
      </c>
      <c r="R11581" t="str">
        <f>"FARMÁCIA INDIANA LJ 121 (10054)"</f>
        <v>FARMÁCIA INDIANA LJ 121 (10054)</v>
      </c>
      <c r="S11581" t="s">
        <v>70</v>
      </c>
      <c r="T11581">
        <v>21841</v>
      </c>
      <c r="U11581">
        <v>25096</v>
      </c>
      <c r="V11581" t="s">
        <v>77</v>
      </c>
    </row>
    <row r="11582" spans="1:22">
      <c r="A11582" t="str">
        <f t="shared" si="2232"/>
        <v>19/11/2025</v>
      </c>
      <c r="B11582" t="str">
        <f t="shared" si="2241"/>
        <v>ENTRADA</v>
      </c>
      <c r="C11582" t="str">
        <f t="shared" si="2242"/>
        <v>NFSE</v>
      </c>
      <c r="D11582" t="str">
        <f t="shared" si="2243"/>
        <v>3694</v>
      </c>
      <c r="E11582" t="str">
        <f t="shared" si="2244"/>
        <v>1</v>
      </c>
      <c r="F11582" t="str">
        <f t="shared" si="2248"/>
        <v>COM</v>
      </c>
      <c r="G11582" t="str">
        <f t="shared" si="2245"/>
        <v>FARMÁCIA INDIANA LJ 1 (10126)</v>
      </c>
      <c r="H11582" t="s">
        <v>3110</v>
      </c>
      <c r="I11582" t="str">
        <f t="shared" si="2246"/>
        <v>19/11/2025</v>
      </c>
      <c r="J11582" t="str">
        <f t="shared" si="2247"/>
        <v>11/11/2025</v>
      </c>
      <c r="K11582">
        <v>45980</v>
      </c>
      <c r="N11582">
        <v>303</v>
      </c>
      <c r="O11582" t="s">
        <v>69</v>
      </c>
      <c r="Q11582">
        <v>898.32</v>
      </c>
      <c r="R11582" t="str">
        <f>"FARMÁCIA INDIANA LJ 128 (10057)"</f>
        <v>FARMÁCIA INDIANA LJ 128 (10057)</v>
      </c>
      <c r="S11582" t="s">
        <v>70</v>
      </c>
      <c r="T11582">
        <v>21841</v>
      </c>
      <c r="U11582">
        <v>25096</v>
      </c>
      <c r="V11582" t="s">
        <v>77</v>
      </c>
    </row>
    <row r="11583" spans="1:22">
      <c r="A11583" t="str">
        <f t="shared" si="2232"/>
        <v>19/11/2025</v>
      </c>
      <c r="B11583" t="str">
        <f t="shared" si="2241"/>
        <v>ENTRADA</v>
      </c>
      <c r="C11583" t="str">
        <f t="shared" si="2242"/>
        <v>NFSE</v>
      </c>
      <c r="D11583" t="str">
        <f t="shared" si="2243"/>
        <v>3694</v>
      </c>
      <c r="E11583" t="str">
        <f t="shared" si="2244"/>
        <v>1</v>
      </c>
      <c r="F11583" t="str">
        <f t="shared" si="2248"/>
        <v>COM</v>
      </c>
      <c r="G11583" t="str">
        <f t="shared" si="2245"/>
        <v>FARMÁCIA INDIANA LJ 1 (10126)</v>
      </c>
      <c r="H11583" t="s">
        <v>3110</v>
      </c>
      <c r="I11583" t="str">
        <f t="shared" si="2246"/>
        <v>19/11/2025</v>
      </c>
      <c r="J11583" t="str">
        <f t="shared" si="2247"/>
        <v>11/11/2025</v>
      </c>
      <c r="K11583">
        <v>45980</v>
      </c>
      <c r="N11583">
        <v>303</v>
      </c>
      <c r="O11583" t="s">
        <v>69</v>
      </c>
      <c r="Q11583">
        <v>165.48</v>
      </c>
      <c r="R11583" t="str">
        <f>"FARMÁCIA INDIANA LJ 140 (10064)"</f>
        <v>FARMÁCIA INDIANA LJ 140 (10064)</v>
      </c>
      <c r="S11583" t="s">
        <v>70</v>
      </c>
      <c r="T11583">
        <v>21841</v>
      </c>
      <c r="U11583">
        <v>25096</v>
      </c>
      <c r="V11583" t="s">
        <v>77</v>
      </c>
    </row>
    <row r="11584" spans="1:22">
      <c r="A11584" t="str">
        <f t="shared" si="2232"/>
        <v>19/11/2025</v>
      </c>
      <c r="B11584" t="str">
        <f t="shared" si="2241"/>
        <v>ENTRADA</v>
      </c>
      <c r="C11584" t="str">
        <f t="shared" si="2242"/>
        <v>NFSE</v>
      </c>
      <c r="D11584" t="str">
        <f t="shared" si="2243"/>
        <v>3694</v>
      </c>
      <c r="E11584" t="str">
        <f t="shared" si="2244"/>
        <v>1</v>
      </c>
      <c r="F11584" t="str">
        <f t="shared" si="2248"/>
        <v>COM</v>
      </c>
      <c r="G11584" t="str">
        <f t="shared" si="2245"/>
        <v>FARMÁCIA INDIANA LJ 1 (10126)</v>
      </c>
      <c r="H11584" t="s">
        <v>3110</v>
      </c>
      <c r="I11584" t="str">
        <f t="shared" si="2246"/>
        <v>19/11/2025</v>
      </c>
      <c r="J11584" t="str">
        <f t="shared" si="2247"/>
        <v>11/11/2025</v>
      </c>
      <c r="K11584">
        <v>45980</v>
      </c>
      <c r="N11584">
        <v>303</v>
      </c>
      <c r="O11584" t="s">
        <v>69</v>
      </c>
      <c r="Q11584">
        <v>118.2</v>
      </c>
      <c r="R11584" t="str">
        <f>"FARMÁCIA INDIANA LJ 141 (10065)"</f>
        <v>FARMÁCIA INDIANA LJ 141 (10065)</v>
      </c>
      <c r="S11584" t="s">
        <v>70</v>
      </c>
      <c r="T11584">
        <v>21841</v>
      </c>
      <c r="U11584">
        <v>25096</v>
      </c>
      <c r="V11584" t="s">
        <v>77</v>
      </c>
    </row>
    <row r="11585" spans="1:22">
      <c r="A11585" t="str">
        <f t="shared" si="2232"/>
        <v>19/11/2025</v>
      </c>
      <c r="B11585" t="str">
        <f t="shared" si="2241"/>
        <v>ENTRADA</v>
      </c>
      <c r="C11585" t="str">
        <f t="shared" si="2242"/>
        <v>NFSE</v>
      </c>
      <c r="D11585" t="str">
        <f t="shared" si="2243"/>
        <v>3694</v>
      </c>
      <c r="E11585" t="str">
        <f t="shared" si="2244"/>
        <v>1</v>
      </c>
      <c r="F11585" t="str">
        <f t="shared" si="2248"/>
        <v>COM</v>
      </c>
      <c r="G11585" t="str">
        <f t="shared" si="2245"/>
        <v>FARMÁCIA INDIANA LJ 1 (10126)</v>
      </c>
      <c r="H11585" t="s">
        <v>3110</v>
      </c>
      <c r="I11585" t="str">
        <f t="shared" si="2246"/>
        <v>19/11/2025</v>
      </c>
      <c r="J11585" t="str">
        <f t="shared" si="2247"/>
        <v>11/11/2025</v>
      </c>
      <c r="K11585">
        <v>45980</v>
      </c>
      <c r="N11585">
        <v>303</v>
      </c>
      <c r="O11585" t="s">
        <v>69</v>
      </c>
      <c r="Q11585">
        <v>6477.36</v>
      </c>
      <c r="R11585" t="str">
        <f>"FARMÁCIA INDIANA LJ 142 (10066)"</f>
        <v>FARMÁCIA INDIANA LJ 142 (10066)</v>
      </c>
      <c r="S11585" t="s">
        <v>70</v>
      </c>
      <c r="T11585">
        <v>21841</v>
      </c>
      <c r="U11585">
        <v>25096</v>
      </c>
      <c r="V11585" t="s">
        <v>77</v>
      </c>
    </row>
    <row r="11586" spans="1:22">
      <c r="A11586" t="str">
        <f t="shared" si="2232"/>
        <v>19/11/2025</v>
      </c>
      <c r="B11586" t="str">
        <f t="shared" si="2241"/>
        <v>ENTRADA</v>
      </c>
      <c r="C11586" t="str">
        <f t="shared" si="2242"/>
        <v>NFSE</v>
      </c>
      <c r="D11586" t="str">
        <f t="shared" si="2243"/>
        <v>3694</v>
      </c>
      <c r="E11586" t="str">
        <f t="shared" si="2244"/>
        <v>1</v>
      </c>
      <c r="F11586" t="str">
        <f t="shared" si="2248"/>
        <v>COM</v>
      </c>
      <c r="G11586" t="str">
        <f t="shared" si="2245"/>
        <v>FARMÁCIA INDIANA LJ 1 (10126)</v>
      </c>
      <c r="H11586" t="s">
        <v>3110</v>
      </c>
      <c r="I11586" t="str">
        <f t="shared" si="2246"/>
        <v>19/11/2025</v>
      </c>
      <c r="J11586" t="str">
        <f t="shared" si="2247"/>
        <v>11/11/2025</v>
      </c>
      <c r="K11586">
        <v>45980</v>
      </c>
      <c r="N11586">
        <v>303</v>
      </c>
      <c r="O11586" t="s">
        <v>69</v>
      </c>
      <c r="Q11586">
        <v>602.82000000000005</v>
      </c>
      <c r="R11586" t="str">
        <f>"FARMÁCIA INDIANA LJ 143 (10067)"</f>
        <v>FARMÁCIA INDIANA LJ 143 (10067)</v>
      </c>
      <c r="S11586" t="s">
        <v>70</v>
      </c>
      <c r="T11586">
        <v>21841</v>
      </c>
      <c r="U11586">
        <v>25096</v>
      </c>
      <c r="V11586" t="s">
        <v>77</v>
      </c>
    </row>
    <row r="11587" spans="1:22">
      <c r="A11587" t="str">
        <f t="shared" si="2232"/>
        <v>19/11/2025</v>
      </c>
      <c r="B11587" t="str">
        <f t="shared" si="2241"/>
        <v>ENTRADA</v>
      </c>
      <c r="C11587" t="str">
        <f t="shared" si="2242"/>
        <v>NFSE</v>
      </c>
      <c r="D11587" t="str">
        <f t="shared" si="2243"/>
        <v>3694</v>
      </c>
      <c r="E11587" t="str">
        <f t="shared" si="2244"/>
        <v>1</v>
      </c>
      <c r="F11587" t="str">
        <f t="shared" si="2248"/>
        <v>COM</v>
      </c>
      <c r="G11587" t="str">
        <f t="shared" si="2245"/>
        <v>FARMÁCIA INDIANA LJ 1 (10126)</v>
      </c>
      <c r="H11587" t="s">
        <v>3110</v>
      </c>
      <c r="I11587" t="str">
        <f t="shared" si="2246"/>
        <v>19/11/2025</v>
      </c>
      <c r="J11587" t="str">
        <f t="shared" si="2247"/>
        <v>11/11/2025</v>
      </c>
      <c r="K11587">
        <v>45980</v>
      </c>
      <c r="N11587">
        <v>303</v>
      </c>
      <c r="O11587" t="s">
        <v>69</v>
      </c>
      <c r="Q11587">
        <v>3250.5</v>
      </c>
      <c r="R11587" t="str">
        <f>"FARMÁCIA INDIANA LJ 152 (10069)"</f>
        <v>FARMÁCIA INDIANA LJ 152 (10069)</v>
      </c>
      <c r="S11587" t="s">
        <v>70</v>
      </c>
      <c r="T11587">
        <v>21841</v>
      </c>
      <c r="U11587">
        <v>25096</v>
      </c>
      <c r="V11587" t="s">
        <v>77</v>
      </c>
    </row>
    <row r="11588" spans="1:22">
      <c r="A11588" t="str">
        <f t="shared" si="2232"/>
        <v>19/11/2025</v>
      </c>
      <c r="B11588" t="str">
        <f t="shared" si="2241"/>
        <v>ENTRADA</v>
      </c>
      <c r="C11588" t="str">
        <f t="shared" si="2242"/>
        <v>NFSE</v>
      </c>
      <c r="D11588" t="str">
        <f t="shared" si="2243"/>
        <v>3694</v>
      </c>
      <c r="E11588" t="str">
        <f t="shared" si="2244"/>
        <v>1</v>
      </c>
      <c r="F11588" t="str">
        <f t="shared" si="2248"/>
        <v>COM</v>
      </c>
      <c r="G11588" t="str">
        <f t="shared" si="2245"/>
        <v>FARMÁCIA INDIANA LJ 1 (10126)</v>
      </c>
      <c r="H11588" t="s">
        <v>3110</v>
      </c>
      <c r="I11588" t="str">
        <f t="shared" si="2246"/>
        <v>19/11/2025</v>
      </c>
      <c r="J11588" t="str">
        <f t="shared" si="2247"/>
        <v>11/11/2025</v>
      </c>
      <c r="K11588">
        <v>45980</v>
      </c>
      <c r="N11588">
        <v>303</v>
      </c>
      <c r="O11588" t="s">
        <v>69</v>
      </c>
      <c r="Q11588">
        <v>271.86</v>
      </c>
      <c r="R11588" t="str">
        <f>"FARMÁCIA INDIANA LJ 154 (10070)"</f>
        <v>FARMÁCIA INDIANA LJ 154 (10070)</v>
      </c>
      <c r="S11588" t="s">
        <v>70</v>
      </c>
      <c r="T11588">
        <v>21841</v>
      </c>
      <c r="U11588">
        <v>25096</v>
      </c>
      <c r="V11588" t="s">
        <v>77</v>
      </c>
    </row>
    <row r="11589" spans="1:22">
      <c r="A11589" t="str">
        <f t="shared" si="2232"/>
        <v>19/11/2025</v>
      </c>
      <c r="B11589" t="str">
        <f t="shared" ref="B11589:B11620" si="2249">"ENTRADA"</f>
        <v>ENTRADA</v>
      </c>
      <c r="C11589" t="str">
        <f t="shared" si="2242"/>
        <v>NFSE</v>
      </c>
      <c r="D11589" t="str">
        <f t="shared" si="2243"/>
        <v>3694</v>
      </c>
      <c r="E11589" t="str">
        <f t="shared" si="2244"/>
        <v>1</v>
      </c>
      <c r="F11589" t="str">
        <f t="shared" si="2248"/>
        <v>COM</v>
      </c>
      <c r="G11589" t="str">
        <f t="shared" si="2245"/>
        <v>FARMÁCIA INDIANA LJ 1 (10126)</v>
      </c>
      <c r="H11589" t="s">
        <v>3110</v>
      </c>
      <c r="I11589" t="str">
        <f t="shared" si="2246"/>
        <v>19/11/2025</v>
      </c>
      <c r="J11589" t="str">
        <f t="shared" si="2247"/>
        <v>11/11/2025</v>
      </c>
      <c r="K11589">
        <v>45980</v>
      </c>
      <c r="N11589">
        <v>303</v>
      </c>
      <c r="O11589" t="s">
        <v>69</v>
      </c>
      <c r="Q11589">
        <v>1926.66</v>
      </c>
      <c r="R11589" t="str">
        <f>"FARMÁCIA INDIANA LJ 171 (10074)"</f>
        <v>FARMÁCIA INDIANA LJ 171 (10074)</v>
      </c>
      <c r="S11589" t="s">
        <v>70</v>
      </c>
      <c r="T11589">
        <v>21841</v>
      </c>
      <c r="U11589">
        <v>25096</v>
      </c>
      <c r="V11589" t="s">
        <v>77</v>
      </c>
    </row>
    <row r="11590" spans="1:22">
      <c r="A11590" t="str">
        <f t="shared" si="2232"/>
        <v>19/11/2025</v>
      </c>
      <c r="B11590" t="str">
        <f t="shared" si="2249"/>
        <v>ENTRADA</v>
      </c>
      <c r="C11590" t="str">
        <f t="shared" si="2242"/>
        <v>NFSE</v>
      </c>
      <c r="D11590" t="str">
        <f t="shared" si="2243"/>
        <v>3694</v>
      </c>
      <c r="E11590" t="str">
        <f t="shared" si="2244"/>
        <v>1</v>
      </c>
      <c r="F11590" t="str">
        <f t="shared" si="2248"/>
        <v>COM</v>
      </c>
      <c r="G11590" t="str">
        <f t="shared" si="2245"/>
        <v>FARMÁCIA INDIANA LJ 1 (10126)</v>
      </c>
      <c r="H11590" t="s">
        <v>3110</v>
      </c>
      <c r="I11590" t="str">
        <f t="shared" si="2246"/>
        <v>19/11/2025</v>
      </c>
      <c r="J11590" t="str">
        <f t="shared" si="2247"/>
        <v>11/11/2025</v>
      </c>
      <c r="K11590">
        <v>45980</v>
      </c>
      <c r="N11590">
        <v>303</v>
      </c>
      <c r="O11590" t="s">
        <v>69</v>
      </c>
      <c r="Q11590">
        <v>744.66</v>
      </c>
      <c r="R11590" t="str">
        <f>"FARMÁCIA INDIANA LJ 175 (10076)"</f>
        <v>FARMÁCIA INDIANA LJ 175 (10076)</v>
      </c>
      <c r="S11590" t="s">
        <v>70</v>
      </c>
      <c r="T11590">
        <v>21841</v>
      </c>
      <c r="U11590">
        <v>25096</v>
      </c>
      <c r="V11590" t="s">
        <v>77</v>
      </c>
    </row>
    <row r="11591" spans="1:22">
      <c r="A11591" t="str">
        <f t="shared" si="2232"/>
        <v>19/11/2025</v>
      </c>
      <c r="B11591" t="str">
        <f t="shared" si="2249"/>
        <v>ENTRADA</v>
      </c>
      <c r="C11591" t="str">
        <f t="shared" ref="C11591:C11622" si="2250">"NFSE"</f>
        <v>NFSE</v>
      </c>
      <c r="D11591" t="str">
        <f t="shared" si="2243"/>
        <v>3694</v>
      </c>
      <c r="E11591" t="str">
        <f t="shared" ref="E11591:E11622" si="2251">"1"</f>
        <v>1</v>
      </c>
      <c r="F11591" t="str">
        <f t="shared" si="2248"/>
        <v>COM</v>
      </c>
      <c r="G11591" t="str">
        <f t="shared" si="2245"/>
        <v>FARMÁCIA INDIANA LJ 1 (10126)</v>
      </c>
      <c r="H11591" t="s">
        <v>3110</v>
      </c>
      <c r="I11591" t="str">
        <f t="shared" ref="I11591:I11622" si="2252">("19/11/2025")</f>
        <v>19/11/2025</v>
      </c>
      <c r="J11591" t="str">
        <f t="shared" ref="J11591:J11622" si="2253">("11/11/2025")</f>
        <v>11/11/2025</v>
      </c>
      <c r="K11591">
        <v>45980</v>
      </c>
      <c r="N11591">
        <v>303</v>
      </c>
      <c r="O11591" t="s">
        <v>69</v>
      </c>
      <c r="Q11591">
        <v>1394.76</v>
      </c>
      <c r="R11591" t="str">
        <f>"FARMÁCIA INDIANA LJ 178 (10077)"</f>
        <v>FARMÁCIA INDIANA LJ 178 (10077)</v>
      </c>
      <c r="S11591" t="s">
        <v>70</v>
      </c>
      <c r="T11591">
        <v>21841</v>
      </c>
      <c r="U11591">
        <v>25096</v>
      </c>
      <c r="V11591" t="s">
        <v>77</v>
      </c>
    </row>
    <row r="11592" spans="1:22">
      <c r="A11592" t="str">
        <f t="shared" si="2232"/>
        <v>19/11/2025</v>
      </c>
      <c r="B11592" t="str">
        <f t="shared" si="2249"/>
        <v>ENTRADA</v>
      </c>
      <c r="C11592" t="str">
        <f t="shared" si="2250"/>
        <v>NFSE</v>
      </c>
      <c r="D11592" t="str">
        <f t="shared" si="2243"/>
        <v>3694</v>
      </c>
      <c r="E11592" t="str">
        <f t="shared" si="2251"/>
        <v>1</v>
      </c>
      <c r="F11592" t="str">
        <f t="shared" si="2248"/>
        <v>COM</v>
      </c>
      <c r="G11592" t="str">
        <f t="shared" si="2245"/>
        <v>FARMÁCIA INDIANA LJ 1 (10126)</v>
      </c>
      <c r="H11592" t="s">
        <v>3110</v>
      </c>
      <c r="I11592" t="str">
        <f t="shared" si="2252"/>
        <v>19/11/2025</v>
      </c>
      <c r="J11592" t="str">
        <f t="shared" si="2253"/>
        <v>11/11/2025</v>
      </c>
      <c r="K11592">
        <v>45980</v>
      </c>
      <c r="N11592">
        <v>303</v>
      </c>
      <c r="O11592" t="s">
        <v>69</v>
      </c>
      <c r="Q11592">
        <v>449.16</v>
      </c>
      <c r="R11592" t="str">
        <f>"FARMÁCIA INDIANA LJ 182 (10079)"</f>
        <v>FARMÁCIA INDIANA LJ 182 (10079)</v>
      </c>
      <c r="S11592" t="s">
        <v>70</v>
      </c>
      <c r="T11592">
        <v>21841</v>
      </c>
      <c r="U11592">
        <v>25096</v>
      </c>
      <c r="V11592" t="s">
        <v>77</v>
      </c>
    </row>
    <row r="11593" spans="1:22">
      <c r="A11593" t="str">
        <f t="shared" ref="A11593:A11656" si="2254">("19/11/2025")</f>
        <v>19/11/2025</v>
      </c>
      <c r="B11593" t="str">
        <f t="shared" si="2249"/>
        <v>ENTRADA</v>
      </c>
      <c r="C11593" t="str">
        <f t="shared" si="2250"/>
        <v>NFSE</v>
      </c>
      <c r="D11593" t="str">
        <f t="shared" si="2243"/>
        <v>3694</v>
      </c>
      <c r="E11593" t="str">
        <f t="shared" si="2251"/>
        <v>1</v>
      </c>
      <c r="F11593" t="str">
        <f t="shared" ref="F11593:F11624" si="2255">"COM"</f>
        <v>COM</v>
      </c>
      <c r="G11593" t="str">
        <f t="shared" si="2245"/>
        <v>FARMÁCIA INDIANA LJ 1 (10126)</v>
      </c>
      <c r="H11593" t="s">
        <v>3110</v>
      </c>
      <c r="I11593" t="str">
        <f t="shared" si="2252"/>
        <v>19/11/2025</v>
      </c>
      <c r="J11593" t="str">
        <f t="shared" si="2253"/>
        <v>11/11/2025</v>
      </c>
      <c r="K11593">
        <v>45980</v>
      </c>
      <c r="N11593">
        <v>303</v>
      </c>
      <c r="O11593" t="s">
        <v>69</v>
      </c>
      <c r="Q11593">
        <v>354.6</v>
      </c>
      <c r="R11593" t="str">
        <f>"FARMÁCIA INDIANA LJ 184 (10080)"</f>
        <v>FARMÁCIA INDIANA LJ 184 (10080)</v>
      </c>
      <c r="S11593" t="s">
        <v>70</v>
      </c>
      <c r="T11593">
        <v>21841</v>
      </c>
      <c r="U11593">
        <v>25096</v>
      </c>
      <c r="V11593" t="s">
        <v>77</v>
      </c>
    </row>
    <row r="11594" spans="1:22">
      <c r="A11594" t="str">
        <f t="shared" si="2254"/>
        <v>19/11/2025</v>
      </c>
      <c r="B11594" t="str">
        <f t="shared" si="2249"/>
        <v>ENTRADA</v>
      </c>
      <c r="C11594" t="str">
        <f t="shared" si="2250"/>
        <v>NFSE</v>
      </c>
      <c r="D11594" t="str">
        <f t="shared" si="2243"/>
        <v>3694</v>
      </c>
      <c r="E11594" t="str">
        <f t="shared" si="2251"/>
        <v>1</v>
      </c>
      <c r="F11594" t="str">
        <f t="shared" si="2255"/>
        <v>COM</v>
      </c>
      <c r="G11594" t="str">
        <f t="shared" si="2245"/>
        <v>FARMÁCIA INDIANA LJ 1 (10126)</v>
      </c>
      <c r="H11594" t="s">
        <v>3110</v>
      </c>
      <c r="I11594" t="str">
        <f t="shared" si="2252"/>
        <v>19/11/2025</v>
      </c>
      <c r="J11594" t="str">
        <f t="shared" si="2253"/>
        <v>11/11/2025</v>
      </c>
      <c r="K11594">
        <v>45980</v>
      </c>
      <c r="N11594">
        <v>303</v>
      </c>
      <c r="O11594" t="s">
        <v>69</v>
      </c>
      <c r="Q11594">
        <v>449.16</v>
      </c>
      <c r="R11594" t="str">
        <f>"FARMÁCIA INDIANA LJ 186 (10081)"</f>
        <v>FARMÁCIA INDIANA LJ 186 (10081)</v>
      </c>
      <c r="S11594" t="s">
        <v>70</v>
      </c>
      <c r="T11594">
        <v>21841</v>
      </c>
      <c r="U11594">
        <v>25096</v>
      </c>
      <c r="V11594" t="s">
        <v>77</v>
      </c>
    </row>
    <row r="11595" spans="1:22">
      <c r="A11595" t="str">
        <f t="shared" si="2254"/>
        <v>19/11/2025</v>
      </c>
      <c r="B11595" t="str">
        <f t="shared" si="2249"/>
        <v>ENTRADA</v>
      </c>
      <c r="C11595" t="str">
        <f t="shared" si="2250"/>
        <v>NFSE</v>
      </c>
      <c r="D11595" t="str">
        <f t="shared" si="2243"/>
        <v>3694</v>
      </c>
      <c r="E11595" t="str">
        <f t="shared" si="2251"/>
        <v>1</v>
      </c>
      <c r="F11595" t="str">
        <f t="shared" si="2255"/>
        <v>COM</v>
      </c>
      <c r="G11595" t="str">
        <f t="shared" si="2245"/>
        <v>FARMÁCIA INDIANA LJ 1 (10126)</v>
      </c>
      <c r="H11595" t="s">
        <v>3110</v>
      </c>
      <c r="I11595" t="str">
        <f t="shared" si="2252"/>
        <v>19/11/2025</v>
      </c>
      <c r="J11595" t="str">
        <f t="shared" si="2253"/>
        <v>11/11/2025</v>
      </c>
      <c r="K11595">
        <v>45980</v>
      </c>
      <c r="N11595">
        <v>303</v>
      </c>
      <c r="O11595" t="s">
        <v>69</v>
      </c>
      <c r="Q11595">
        <v>1642.98</v>
      </c>
      <c r="R11595" t="str">
        <f>"FARMÁCIA INDIANA LJ 192 (10082)"</f>
        <v>FARMÁCIA INDIANA LJ 192 (10082)</v>
      </c>
      <c r="S11595" t="s">
        <v>70</v>
      </c>
      <c r="T11595">
        <v>21841</v>
      </c>
      <c r="U11595">
        <v>25096</v>
      </c>
      <c r="V11595" t="s">
        <v>77</v>
      </c>
    </row>
    <row r="11596" spans="1:22">
      <c r="A11596" t="str">
        <f t="shared" si="2254"/>
        <v>19/11/2025</v>
      </c>
      <c r="B11596" t="str">
        <f t="shared" si="2249"/>
        <v>ENTRADA</v>
      </c>
      <c r="C11596" t="str">
        <f t="shared" si="2250"/>
        <v>NFSE</v>
      </c>
      <c r="D11596" t="str">
        <f t="shared" si="2243"/>
        <v>3694</v>
      </c>
      <c r="E11596" t="str">
        <f t="shared" si="2251"/>
        <v>1</v>
      </c>
      <c r="F11596" t="str">
        <f t="shared" si="2255"/>
        <v>COM</v>
      </c>
      <c r="G11596" t="str">
        <f t="shared" si="2245"/>
        <v>FARMÁCIA INDIANA LJ 1 (10126)</v>
      </c>
      <c r="H11596" t="s">
        <v>3110</v>
      </c>
      <c r="I11596" t="str">
        <f t="shared" si="2252"/>
        <v>19/11/2025</v>
      </c>
      <c r="J11596" t="str">
        <f t="shared" si="2253"/>
        <v>11/11/2025</v>
      </c>
      <c r="K11596">
        <v>45980</v>
      </c>
      <c r="N11596">
        <v>303</v>
      </c>
      <c r="O11596" t="s">
        <v>69</v>
      </c>
      <c r="Q11596">
        <v>354.6</v>
      </c>
      <c r="R11596" t="str">
        <f>"FARMÁCIA INDIANA LJ 195 (10083)"</f>
        <v>FARMÁCIA INDIANA LJ 195 (10083)</v>
      </c>
      <c r="S11596" t="s">
        <v>70</v>
      </c>
      <c r="T11596">
        <v>21841</v>
      </c>
      <c r="U11596">
        <v>25096</v>
      </c>
      <c r="V11596" t="s">
        <v>77</v>
      </c>
    </row>
    <row r="11597" spans="1:22">
      <c r="A11597" t="str">
        <f t="shared" si="2254"/>
        <v>19/11/2025</v>
      </c>
      <c r="B11597" t="str">
        <f t="shared" si="2249"/>
        <v>ENTRADA</v>
      </c>
      <c r="C11597" t="str">
        <f t="shared" si="2250"/>
        <v>NFSE</v>
      </c>
      <c r="D11597" t="str">
        <f t="shared" si="2243"/>
        <v>3694</v>
      </c>
      <c r="E11597" t="str">
        <f t="shared" si="2251"/>
        <v>1</v>
      </c>
      <c r="F11597" t="str">
        <f t="shared" si="2255"/>
        <v>COM</v>
      </c>
      <c r="G11597" t="str">
        <f t="shared" si="2245"/>
        <v>FARMÁCIA INDIANA LJ 1 (10126)</v>
      </c>
      <c r="H11597" t="s">
        <v>3110</v>
      </c>
      <c r="I11597" t="str">
        <f t="shared" si="2252"/>
        <v>19/11/2025</v>
      </c>
      <c r="J11597" t="str">
        <f t="shared" si="2253"/>
        <v>11/11/2025</v>
      </c>
      <c r="K11597">
        <v>45980</v>
      </c>
      <c r="N11597">
        <v>303</v>
      </c>
      <c r="O11597" t="s">
        <v>69</v>
      </c>
      <c r="Q11597">
        <v>898.32</v>
      </c>
      <c r="R11597" t="str">
        <f>"FARMÁCIA INDIANA LJ 202 (10085)"</f>
        <v>FARMÁCIA INDIANA LJ 202 (10085)</v>
      </c>
      <c r="S11597" t="s">
        <v>70</v>
      </c>
      <c r="T11597">
        <v>21841</v>
      </c>
      <c r="U11597">
        <v>25096</v>
      </c>
      <c r="V11597" t="s">
        <v>77</v>
      </c>
    </row>
    <row r="11598" spans="1:22">
      <c r="A11598" t="str">
        <f t="shared" si="2254"/>
        <v>19/11/2025</v>
      </c>
      <c r="B11598" t="str">
        <f t="shared" si="2249"/>
        <v>ENTRADA</v>
      </c>
      <c r="C11598" t="str">
        <f t="shared" si="2250"/>
        <v>NFSE</v>
      </c>
      <c r="D11598" t="str">
        <f t="shared" si="2243"/>
        <v>3694</v>
      </c>
      <c r="E11598" t="str">
        <f t="shared" si="2251"/>
        <v>1</v>
      </c>
      <c r="F11598" t="str">
        <f t="shared" si="2255"/>
        <v>COM</v>
      </c>
      <c r="G11598" t="str">
        <f t="shared" si="2245"/>
        <v>FARMÁCIA INDIANA LJ 1 (10126)</v>
      </c>
      <c r="H11598" t="s">
        <v>3110</v>
      </c>
      <c r="I11598" t="str">
        <f t="shared" si="2252"/>
        <v>19/11/2025</v>
      </c>
      <c r="J11598" t="str">
        <f t="shared" si="2253"/>
        <v>11/11/2025</v>
      </c>
      <c r="K11598">
        <v>45980</v>
      </c>
      <c r="N11598">
        <v>303</v>
      </c>
      <c r="O11598" t="s">
        <v>69</v>
      </c>
      <c r="Q11598">
        <v>721.02</v>
      </c>
      <c r="R11598" t="str">
        <f>"FARMÁCIA INDIANA LJ 204 (10087)"</f>
        <v>FARMÁCIA INDIANA LJ 204 (10087)</v>
      </c>
      <c r="S11598" t="s">
        <v>70</v>
      </c>
      <c r="T11598">
        <v>21841</v>
      </c>
      <c r="U11598">
        <v>25096</v>
      </c>
      <c r="V11598" t="s">
        <v>77</v>
      </c>
    </row>
    <row r="11599" spans="1:22">
      <c r="A11599" t="str">
        <f t="shared" si="2254"/>
        <v>19/11/2025</v>
      </c>
      <c r="B11599" t="str">
        <f t="shared" si="2249"/>
        <v>ENTRADA</v>
      </c>
      <c r="C11599" t="str">
        <f t="shared" si="2250"/>
        <v>NFSE</v>
      </c>
      <c r="D11599" t="str">
        <f t="shared" si="2243"/>
        <v>3694</v>
      </c>
      <c r="E11599" t="str">
        <f t="shared" si="2251"/>
        <v>1</v>
      </c>
      <c r="F11599" t="str">
        <f t="shared" si="2255"/>
        <v>COM</v>
      </c>
      <c r="G11599" t="str">
        <f t="shared" si="2245"/>
        <v>FARMÁCIA INDIANA LJ 1 (10126)</v>
      </c>
      <c r="H11599" t="s">
        <v>3110</v>
      </c>
      <c r="I11599" t="str">
        <f t="shared" si="2252"/>
        <v>19/11/2025</v>
      </c>
      <c r="J11599" t="str">
        <f t="shared" si="2253"/>
        <v>11/11/2025</v>
      </c>
      <c r="K11599">
        <v>45980</v>
      </c>
      <c r="N11599">
        <v>303</v>
      </c>
      <c r="O11599" t="s">
        <v>69</v>
      </c>
      <c r="Q11599">
        <v>1323.84</v>
      </c>
      <c r="R11599" t="str">
        <f>"FARMÁCIA INDIANA LJ 207 (10088)"</f>
        <v>FARMÁCIA INDIANA LJ 207 (10088)</v>
      </c>
      <c r="S11599" t="s">
        <v>70</v>
      </c>
      <c r="T11599">
        <v>21841</v>
      </c>
      <c r="U11599">
        <v>25096</v>
      </c>
      <c r="V11599" t="s">
        <v>77</v>
      </c>
    </row>
    <row r="11600" spans="1:22">
      <c r="A11600" t="str">
        <f t="shared" si="2254"/>
        <v>19/11/2025</v>
      </c>
      <c r="B11600" t="str">
        <f t="shared" si="2249"/>
        <v>ENTRADA</v>
      </c>
      <c r="C11600" t="str">
        <f t="shared" si="2250"/>
        <v>NFSE</v>
      </c>
      <c r="D11600" t="str">
        <f t="shared" si="2243"/>
        <v>3694</v>
      </c>
      <c r="E11600" t="str">
        <f t="shared" si="2251"/>
        <v>1</v>
      </c>
      <c r="F11600" t="str">
        <f t="shared" si="2255"/>
        <v>COM</v>
      </c>
      <c r="G11600" t="str">
        <f t="shared" si="2245"/>
        <v>FARMÁCIA INDIANA LJ 1 (10126)</v>
      </c>
      <c r="H11600" t="s">
        <v>3110</v>
      </c>
      <c r="I11600" t="str">
        <f t="shared" si="2252"/>
        <v>19/11/2025</v>
      </c>
      <c r="J11600" t="str">
        <f t="shared" si="2253"/>
        <v>11/11/2025</v>
      </c>
      <c r="K11600">
        <v>45980</v>
      </c>
      <c r="N11600">
        <v>303</v>
      </c>
      <c r="O11600" t="s">
        <v>69</v>
      </c>
      <c r="Q11600">
        <v>1122.9000000000001</v>
      </c>
      <c r="R11600" t="str">
        <f>"FARMÁCIA INDIANA LJ 209 (10089)"</f>
        <v>FARMÁCIA INDIANA LJ 209 (10089)</v>
      </c>
      <c r="S11600" t="s">
        <v>70</v>
      </c>
      <c r="T11600">
        <v>21841</v>
      </c>
      <c r="U11600">
        <v>25096</v>
      </c>
      <c r="V11600" t="s">
        <v>77</v>
      </c>
    </row>
    <row r="11601" spans="1:22">
      <c r="A11601" t="str">
        <f t="shared" si="2254"/>
        <v>19/11/2025</v>
      </c>
      <c r="B11601" t="str">
        <f t="shared" si="2249"/>
        <v>ENTRADA</v>
      </c>
      <c r="C11601" t="str">
        <f t="shared" si="2250"/>
        <v>NFSE</v>
      </c>
      <c r="D11601" t="str">
        <f t="shared" si="2243"/>
        <v>3694</v>
      </c>
      <c r="E11601" t="str">
        <f t="shared" si="2251"/>
        <v>1</v>
      </c>
      <c r="F11601" t="str">
        <f t="shared" si="2255"/>
        <v>COM</v>
      </c>
      <c r="G11601" t="str">
        <f t="shared" si="2245"/>
        <v>FARMÁCIA INDIANA LJ 1 (10126)</v>
      </c>
      <c r="H11601" t="s">
        <v>3110</v>
      </c>
      <c r="I11601" t="str">
        <f t="shared" si="2252"/>
        <v>19/11/2025</v>
      </c>
      <c r="J11601" t="str">
        <f t="shared" si="2253"/>
        <v>11/11/2025</v>
      </c>
      <c r="K11601">
        <v>45980</v>
      </c>
      <c r="N11601">
        <v>303</v>
      </c>
      <c r="O11601" t="s">
        <v>69</v>
      </c>
      <c r="Q11601">
        <v>1950.3</v>
      </c>
      <c r="R11601" t="str">
        <f>"FARMÁCIA INDIANA LJ 219 (10091)"</f>
        <v>FARMÁCIA INDIANA LJ 219 (10091)</v>
      </c>
      <c r="S11601" t="s">
        <v>70</v>
      </c>
      <c r="T11601">
        <v>21841</v>
      </c>
      <c r="U11601">
        <v>25096</v>
      </c>
      <c r="V11601" t="s">
        <v>77</v>
      </c>
    </row>
    <row r="11602" spans="1:22">
      <c r="A11602" t="str">
        <f t="shared" si="2254"/>
        <v>19/11/2025</v>
      </c>
      <c r="B11602" t="str">
        <f t="shared" si="2249"/>
        <v>ENTRADA</v>
      </c>
      <c r="C11602" t="str">
        <f t="shared" si="2250"/>
        <v>NFSE</v>
      </c>
      <c r="D11602" t="str">
        <f t="shared" si="2243"/>
        <v>3694</v>
      </c>
      <c r="E11602" t="str">
        <f t="shared" si="2251"/>
        <v>1</v>
      </c>
      <c r="F11602" t="str">
        <f t="shared" si="2255"/>
        <v>COM</v>
      </c>
      <c r="G11602" t="str">
        <f t="shared" si="2245"/>
        <v>FARMÁCIA INDIANA LJ 1 (10126)</v>
      </c>
      <c r="H11602" t="s">
        <v>3110</v>
      </c>
      <c r="I11602" t="str">
        <f t="shared" si="2252"/>
        <v>19/11/2025</v>
      </c>
      <c r="J11602" t="str">
        <f t="shared" si="2253"/>
        <v>11/11/2025</v>
      </c>
      <c r="K11602">
        <v>45980</v>
      </c>
      <c r="N11602">
        <v>303</v>
      </c>
      <c r="O11602" t="s">
        <v>69</v>
      </c>
      <c r="Q11602">
        <v>2245.8000000000002</v>
      </c>
      <c r="R11602" t="str">
        <f>"FARMÁCIA INDIANA LJ 220 (10092)"</f>
        <v>FARMÁCIA INDIANA LJ 220 (10092)</v>
      </c>
      <c r="S11602" t="s">
        <v>70</v>
      </c>
      <c r="T11602">
        <v>21841</v>
      </c>
      <c r="U11602">
        <v>25096</v>
      </c>
      <c r="V11602" t="s">
        <v>77</v>
      </c>
    </row>
    <row r="11603" spans="1:22">
      <c r="A11603" t="str">
        <f t="shared" si="2254"/>
        <v>19/11/2025</v>
      </c>
      <c r="B11603" t="str">
        <f t="shared" si="2249"/>
        <v>ENTRADA</v>
      </c>
      <c r="C11603" t="str">
        <f t="shared" si="2250"/>
        <v>NFSE</v>
      </c>
      <c r="D11603" t="str">
        <f t="shared" si="2243"/>
        <v>3694</v>
      </c>
      <c r="E11603" t="str">
        <f t="shared" si="2251"/>
        <v>1</v>
      </c>
      <c r="F11603" t="str">
        <f t="shared" si="2255"/>
        <v>COM</v>
      </c>
      <c r="G11603" t="str">
        <f t="shared" si="2245"/>
        <v>FARMÁCIA INDIANA LJ 1 (10126)</v>
      </c>
      <c r="H11603" t="s">
        <v>3110</v>
      </c>
      <c r="I11603" t="str">
        <f t="shared" si="2252"/>
        <v>19/11/2025</v>
      </c>
      <c r="J11603" t="str">
        <f t="shared" si="2253"/>
        <v>11/11/2025</v>
      </c>
      <c r="K11603">
        <v>45980</v>
      </c>
      <c r="N11603">
        <v>303</v>
      </c>
      <c r="O11603" t="s">
        <v>69</v>
      </c>
      <c r="Q11603">
        <v>1028.3399999999999</v>
      </c>
      <c r="R11603" t="str">
        <f>"FARMÁCIA INDIANA LJ 185 (10141)"</f>
        <v>FARMÁCIA INDIANA LJ 185 (10141)</v>
      </c>
      <c r="S11603" t="s">
        <v>70</v>
      </c>
      <c r="T11603">
        <v>21841</v>
      </c>
      <c r="U11603">
        <v>25096</v>
      </c>
      <c r="V11603" t="s">
        <v>77</v>
      </c>
    </row>
    <row r="11604" spans="1:22">
      <c r="A11604" t="str">
        <f t="shared" si="2254"/>
        <v>19/11/2025</v>
      </c>
      <c r="B11604" t="str">
        <f t="shared" si="2249"/>
        <v>ENTRADA</v>
      </c>
      <c r="C11604" t="str">
        <f t="shared" si="2250"/>
        <v>NFSE</v>
      </c>
      <c r="D11604" t="str">
        <f t="shared" si="2243"/>
        <v>3694</v>
      </c>
      <c r="E11604" t="str">
        <f t="shared" si="2251"/>
        <v>1</v>
      </c>
      <c r="F11604" t="str">
        <f t="shared" si="2255"/>
        <v>COM</v>
      </c>
      <c r="G11604" t="str">
        <f t="shared" si="2245"/>
        <v>FARMÁCIA INDIANA LJ 1 (10126)</v>
      </c>
      <c r="H11604" t="s">
        <v>3110</v>
      </c>
      <c r="I11604" t="str">
        <f t="shared" si="2252"/>
        <v>19/11/2025</v>
      </c>
      <c r="J11604" t="str">
        <f t="shared" si="2253"/>
        <v>11/11/2025</v>
      </c>
      <c r="K11604">
        <v>45980</v>
      </c>
      <c r="N11604">
        <v>303</v>
      </c>
      <c r="O11604" t="s">
        <v>69</v>
      </c>
      <c r="Q11604">
        <v>957.42</v>
      </c>
      <c r="R11604" t="str">
        <f>"FARMÁCIA INDIANA LJ 205 (10150)"</f>
        <v>FARMÁCIA INDIANA LJ 205 (10150)</v>
      </c>
      <c r="S11604" t="s">
        <v>70</v>
      </c>
      <c r="T11604">
        <v>21841</v>
      </c>
      <c r="U11604">
        <v>25096</v>
      </c>
      <c r="V11604" t="s">
        <v>77</v>
      </c>
    </row>
    <row r="11605" spans="1:22">
      <c r="A11605" t="str">
        <f t="shared" si="2254"/>
        <v>19/11/2025</v>
      </c>
      <c r="B11605" t="str">
        <f t="shared" si="2249"/>
        <v>ENTRADA</v>
      </c>
      <c r="C11605" t="str">
        <f t="shared" si="2250"/>
        <v>NFSE</v>
      </c>
      <c r="D11605" t="str">
        <f t="shared" si="2243"/>
        <v>3694</v>
      </c>
      <c r="E11605" t="str">
        <f t="shared" si="2251"/>
        <v>1</v>
      </c>
      <c r="F11605" t="str">
        <f t="shared" si="2255"/>
        <v>COM</v>
      </c>
      <c r="G11605" t="str">
        <f t="shared" si="2245"/>
        <v>FARMÁCIA INDIANA LJ 1 (10126)</v>
      </c>
      <c r="H11605" t="s">
        <v>3110</v>
      </c>
      <c r="I11605" t="str">
        <f t="shared" si="2252"/>
        <v>19/11/2025</v>
      </c>
      <c r="J11605" t="str">
        <f t="shared" si="2253"/>
        <v>11/11/2025</v>
      </c>
      <c r="K11605">
        <v>45980</v>
      </c>
      <c r="N11605">
        <v>303</v>
      </c>
      <c r="O11605" t="s">
        <v>69</v>
      </c>
      <c r="Q11605">
        <v>5472.66</v>
      </c>
      <c r="R11605" t="str">
        <f>"FARMÁCIA INDIANA LJ 172 (10161)"</f>
        <v>FARMÁCIA INDIANA LJ 172 (10161)</v>
      </c>
      <c r="S11605" t="s">
        <v>70</v>
      </c>
      <c r="T11605">
        <v>21841</v>
      </c>
      <c r="U11605">
        <v>25096</v>
      </c>
      <c r="V11605" t="s">
        <v>77</v>
      </c>
    </row>
    <row r="11606" spans="1:22">
      <c r="A11606" t="str">
        <f t="shared" si="2254"/>
        <v>19/11/2025</v>
      </c>
      <c r="B11606" t="str">
        <f t="shared" si="2249"/>
        <v>ENTRADA</v>
      </c>
      <c r="C11606" t="str">
        <f t="shared" si="2250"/>
        <v>NFSE</v>
      </c>
      <c r="D11606" t="str">
        <f t="shared" si="2243"/>
        <v>3694</v>
      </c>
      <c r="E11606" t="str">
        <f t="shared" si="2251"/>
        <v>1</v>
      </c>
      <c r="F11606" t="str">
        <f t="shared" si="2255"/>
        <v>COM</v>
      </c>
      <c r="G11606" t="str">
        <f t="shared" si="2245"/>
        <v>FARMÁCIA INDIANA LJ 1 (10126)</v>
      </c>
      <c r="H11606" t="s">
        <v>3110</v>
      </c>
      <c r="I11606" t="str">
        <f t="shared" si="2252"/>
        <v>19/11/2025</v>
      </c>
      <c r="J11606" t="str">
        <f t="shared" si="2253"/>
        <v>11/11/2025</v>
      </c>
      <c r="K11606">
        <v>45980</v>
      </c>
      <c r="N11606">
        <v>303</v>
      </c>
      <c r="O11606" t="s">
        <v>69</v>
      </c>
      <c r="Q11606">
        <v>756.48</v>
      </c>
      <c r="R11606" t="str">
        <f>"FARMÁCIA INDIANA LJ 266 (10186)"</f>
        <v>FARMÁCIA INDIANA LJ 266 (10186)</v>
      </c>
      <c r="S11606" t="s">
        <v>70</v>
      </c>
      <c r="T11606">
        <v>21841</v>
      </c>
      <c r="U11606">
        <v>25096</v>
      </c>
      <c r="V11606" t="s">
        <v>77</v>
      </c>
    </row>
    <row r="11607" spans="1:22">
      <c r="A11607" t="str">
        <f t="shared" si="2254"/>
        <v>19/11/2025</v>
      </c>
      <c r="B11607" t="str">
        <f t="shared" si="2249"/>
        <v>ENTRADA</v>
      </c>
      <c r="C11607" t="str">
        <f t="shared" si="2250"/>
        <v>NFSE</v>
      </c>
      <c r="D11607" t="str">
        <f t="shared" ref="D11607:D11619" si="2256">"3695"</f>
        <v>3695</v>
      </c>
      <c r="E11607" t="str">
        <f t="shared" si="2251"/>
        <v>1</v>
      </c>
      <c r="F11607" t="str">
        <f t="shared" si="2255"/>
        <v>COM</v>
      </c>
      <c r="G11607" t="str">
        <f t="shared" ref="G11607:G11619" si="2257">"FARMÁCIA INDIANA LJ 30 (10127)"</f>
        <v>FARMÁCIA INDIANA LJ 30 (10127)</v>
      </c>
      <c r="H11607" t="str">
        <f>"Serv.Prest. 03/11/2025 a 09/11/2025 - RPS: 1571 - NFSe: 3695"</f>
        <v>Serv.Prest. 03/11/2025 a 09/11/2025 - RPS: 1571 - NFSe: 3695</v>
      </c>
      <c r="I11607" t="str">
        <f t="shared" si="2252"/>
        <v>19/11/2025</v>
      </c>
      <c r="J11607" t="str">
        <f t="shared" si="2253"/>
        <v>11/11/2025</v>
      </c>
      <c r="K11607" t="str">
        <f>("19/11/2025")</f>
        <v>19/11/2025</v>
      </c>
      <c r="L11607">
        <v>25727.45</v>
      </c>
      <c r="M11607">
        <v>25727.45</v>
      </c>
      <c r="N11607">
        <v>303</v>
      </c>
      <c r="O11607" t="str">
        <f>"RECEITAS COM ENTREGAS"</f>
        <v>RECEITAS COM ENTREGAS</v>
      </c>
      <c r="P11607">
        <v>25727.45</v>
      </c>
      <c r="S11607" t="str">
        <f>"RECEITAS COM ENTREGAS (303)"</f>
        <v>RECEITAS COM ENTREGAS (303)</v>
      </c>
      <c r="T11607">
        <v>21855</v>
      </c>
      <c r="U11607">
        <v>25202</v>
      </c>
      <c r="V11607" t="s">
        <v>77</v>
      </c>
    </row>
    <row r="11608" spans="1:22">
      <c r="A11608" t="str">
        <f t="shared" si="2254"/>
        <v>19/11/2025</v>
      </c>
      <c r="B11608" t="str">
        <f t="shared" si="2249"/>
        <v>ENTRADA</v>
      </c>
      <c r="C11608" t="str">
        <f t="shared" si="2250"/>
        <v>NFSE</v>
      </c>
      <c r="D11608" t="str">
        <f t="shared" si="2256"/>
        <v>3695</v>
      </c>
      <c r="E11608" t="str">
        <f t="shared" si="2251"/>
        <v>1</v>
      </c>
      <c r="F11608" t="str">
        <f t="shared" si="2255"/>
        <v>COM</v>
      </c>
      <c r="G11608" t="str">
        <f t="shared" si="2257"/>
        <v>FARMÁCIA INDIANA LJ 30 (10127)</v>
      </c>
      <c r="H11608" t="s">
        <v>3111</v>
      </c>
      <c r="I11608" t="str">
        <f t="shared" si="2252"/>
        <v>19/11/2025</v>
      </c>
      <c r="J11608" t="str">
        <f t="shared" si="2253"/>
        <v>11/11/2025</v>
      </c>
      <c r="K11608">
        <v>45980</v>
      </c>
      <c r="N11608">
        <v>303</v>
      </c>
      <c r="O11608" t="s">
        <v>69</v>
      </c>
      <c r="Q11608">
        <v>3051.28</v>
      </c>
      <c r="R11608" t="str">
        <f>"FARMÁCIA INDIANA LJ 34 (10014)"</f>
        <v>FARMÁCIA INDIANA LJ 34 (10014)</v>
      </c>
      <c r="S11608" t="s">
        <v>70</v>
      </c>
      <c r="T11608">
        <v>21855</v>
      </c>
      <c r="U11608">
        <v>25202</v>
      </c>
      <c r="V11608" t="s">
        <v>77</v>
      </c>
    </row>
    <row r="11609" spans="1:22">
      <c r="A11609" t="str">
        <f t="shared" si="2254"/>
        <v>19/11/2025</v>
      </c>
      <c r="B11609" t="str">
        <f t="shared" si="2249"/>
        <v>ENTRADA</v>
      </c>
      <c r="C11609" t="str">
        <f t="shared" si="2250"/>
        <v>NFSE</v>
      </c>
      <c r="D11609" t="str">
        <f t="shared" si="2256"/>
        <v>3695</v>
      </c>
      <c r="E11609" t="str">
        <f t="shared" si="2251"/>
        <v>1</v>
      </c>
      <c r="F11609" t="str">
        <f t="shared" si="2255"/>
        <v>COM</v>
      </c>
      <c r="G11609" t="str">
        <f t="shared" si="2257"/>
        <v>FARMÁCIA INDIANA LJ 30 (10127)</v>
      </c>
      <c r="H11609" t="s">
        <v>3111</v>
      </c>
      <c r="I11609" t="str">
        <f t="shared" si="2252"/>
        <v>19/11/2025</v>
      </c>
      <c r="J11609" t="str">
        <f t="shared" si="2253"/>
        <v>11/11/2025</v>
      </c>
      <c r="K11609">
        <v>45980</v>
      </c>
      <c r="N11609">
        <v>303</v>
      </c>
      <c r="O11609" t="s">
        <v>69</v>
      </c>
      <c r="Q11609">
        <v>1512.77</v>
      </c>
      <c r="R11609" t="str">
        <f>"FARMÁCIA INDIANA LJ 35 (10015)"</f>
        <v>FARMÁCIA INDIANA LJ 35 (10015)</v>
      </c>
      <c r="S11609" t="s">
        <v>70</v>
      </c>
      <c r="T11609">
        <v>21855</v>
      </c>
      <c r="U11609">
        <v>25202</v>
      </c>
      <c r="V11609" t="s">
        <v>77</v>
      </c>
    </row>
    <row r="11610" spans="1:22">
      <c r="A11610" t="str">
        <f t="shared" si="2254"/>
        <v>19/11/2025</v>
      </c>
      <c r="B11610" t="str">
        <f t="shared" si="2249"/>
        <v>ENTRADA</v>
      </c>
      <c r="C11610" t="str">
        <f t="shared" si="2250"/>
        <v>NFSE</v>
      </c>
      <c r="D11610" t="str">
        <f t="shared" si="2256"/>
        <v>3695</v>
      </c>
      <c r="E11610" t="str">
        <f t="shared" si="2251"/>
        <v>1</v>
      </c>
      <c r="F11610" t="str">
        <f t="shared" si="2255"/>
        <v>COM</v>
      </c>
      <c r="G11610" t="str">
        <f t="shared" si="2257"/>
        <v>FARMÁCIA INDIANA LJ 30 (10127)</v>
      </c>
      <c r="H11610" t="s">
        <v>3111</v>
      </c>
      <c r="I11610" t="str">
        <f t="shared" si="2252"/>
        <v>19/11/2025</v>
      </c>
      <c r="J11610" t="str">
        <f t="shared" si="2253"/>
        <v>11/11/2025</v>
      </c>
      <c r="K11610">
        <v>45980</v>
      </c>
      <c r="N11610">
        <v>303</v>
      </c>
      <c r="O11610" t="s">
        <v>69</v>
      </c>
      <c r="Q11610">
        <v>2125.09</v>
      </c>
      <c r="R11610" t="str">
        <f>"FARMÁCIA INDIANA LJ 48 (10018)"</f>
        <v>FARMÁCIA INDIANA LJ 48 (10018)</v>
      </c>
      <c r="S11610" t="s">
        <v>70</v>
      </c>
      <c r="T11610">
        <v>21855</v>
      </c>
      <c r="U11610">
        <v>25202</v>
      </c>
      <c r="V11610" t="s">
        <v>77</v>
      </c>
    </row>
    <row r="11611" spans="1:22">
      <c r="A11611" t="str">
        <f t="shared" si="2254"/>
        <v>19/11/2025</v>
      </c>
      <c r="B11611" t="str">
        <f t="shared" si="2249"/>
        <v>ENTRADA</v>
      </c>
      <c r="C11611" t="str">
        <f t="shared" si="2250"/>
        <v>NFSE</v>
      </c>
      <c r="D11611" t="str">
        <f t="shared" si="2256"/>
        <v>3695</v>
      </c>
      <c r="E11611" t="str">
        <f t="shared" si="2251"/>
        <v>1</v>
      </c>
      <c r="F11611" t="str">
        <f t="shared" si="2255"/>
        <v>COM</v>
      </c>
      <c r="G11611" t="str">
        <f t="shared" si="2257"/>
        <v>FARMÁCIA INDIANA LJ 30 (10127)</v>
      </c>
      <c r="H11611" t="s">
        <v>3111</v>
      </c>
      <c r="I11611" t="str">
        <f t="shared" si="2252"/>
        <v>19/11/2025</v>
      </c>
      <c r="J11611" t="str">
        <f t="shared" si="2253"/>
        <v>11/11/2025</v>
      </c>
      <c r="K11611">
        <v>45980</v>
      </c>
      <c r="N11611">
        <v>303</v>
      </c>
      <c r="O11611" t="s">
        <v>69</v>
      </c>
      <c r="Q11611">
        <v>3138.75</v>
      </c>
      <c r="R11611" t="str">
        <f>"FARMÁCIA INDIANA LJ 65 (10030)"</f>
        <v>FARMÁCIA INDIANA LJ 65 (10030)</v>
      </c>
      <c r="S11611" t="s">
        <v>70</v>
      </c>
      <c r="T11611">
        <v>21855</v>
      </c>
      <c r="U11611">
        <v>25202</v>
      </c>
      <c r="V11611" t="s">
        <v>77</v>
      </c>
    </row>
    <row r="11612" spans="1:22">
      <c r="A11612" t="str">
        <f t="shared" si="2254"/>
        <v>19/11/2025</v>
      </c>
      <c r="B11612" t="str">
        <f t="shared" si="2249"/>
        <v>ENTRADA</v>
      </c>
      <c r="C11612" t="str">
        <f t="shared" si="2250"/>
        <v>NFSE</v>
      </c>
      <c r="D11612" t="str">
        <f t="shared" si="2256"/>
        <v>3695</v>
      </c>
      <c r="E11612" t="str">
        <f t="shared" si="2251"/>
        <v>1</v>
      </c>
      <c r="F11612" t="str">
        <f t="shared" si="2255"/>
        <v>COM</v>
      </c>
      <c r="G11612" t="str">
        <f t="shared" si="2257"/>
        <v>FARMÁCIA INDIANA LJ 30 (10127)</v>
      </c>
      <c r="H11612" t="s">
        <v>3111</v>
      </c>
      <c r="I11612" t="str">
        <f t="shared" si="2252"/>
        <v>19/11/2025</v>
      </c>
      <c r="J11612" t="str">
        <f t="shared" si="2253"/>
        <v>11/11/2025</v>
      </c>
      <c r="K11612">
        <v>45980</v>
      </c>
      <c r="N11612">
        <v>303</v>
      </c>
      <c r="O11612" t="s">
        <v>69</v>
      </c>
      <c r="Q11612">
        <v>771.82</v>
      </c>
      <c r="R11612" t="str">
        <f>"FARMÁCIA INDIANA LJ 77 (10034)"</f>
        <v>FARMÁCIA INDIANA LJ 77 (10034)</v>
      </c>
      <c r="S11612" t="s">
        <v>70</v>
      </c>
      <c r="T11612">
        <v>21855</v>
      </c>
      <c r="U11612">
        <v>25202</v>
      </c>
      <c r="V11612" t="s">
        <v>77</v>
      </c>
    </row>
    <row r="11613" spans="1:22">
      <c r="A11613" t="str">
        <f t="shared" si="2254"/>
        <v>19/11/2025</v>
      </c>
      <c r="B11613" t="str">
        <f t="shared" si="2249"/>
        <v>ENTRADA</v>
      </c>
      <c r="C11613" t="str">
        <f t="shared" si="2250"/>
        <v>NFSE</v>
      </c>
      <c r="D11613" t="str">
        <f t="shared" si="2256"/>
        <v>3695</v>
      </c>
      <c r="E11613" t="str">
        <f t="shared" si="2251"/>
        <v>1</v>
      </c>
      <c r="F11613" t="str">
        <f t="shared" si="2255"/>
        <v>COM</v>
      </c>
      <c r="G11613" t="str">
        <f t="shared" si="2257"/>
        <v>FARMÁCIA INDIANA LJ 30 (10127)</v>
      </c>
      <c r="H11613" t="s">
        <v>3111</v>
      </c>
      <c r="I11613" t="str">
        <f t="shared" si="2252"/>
        <v>19/11/2025</v>
      </c>
      <c r="J11613" t="str">
        <f t="shared" si="2253"/>
        <v>11/11/2025</v>
      </c>
      <c r="K11613">
        <v>45980</v>
      </c>
      <c r="N11613">
        <v>303</v>
      </c>
      <c r="O11613" t="s">
        <v>69</v>
      </c>
      <c r="Q11613">
        <v>5600.87</v>
      </c>
      <c r="R11613" t="str">
        <f>"FARMÁCIA INDIANA LJ 91 (10037)"</f>
        <v>FARMÁCIA INDIANA LJ 91 (10037)</v>
      </c>
      <c r="S11613" t="s">
        <v>70</v>
      </c>
      <c r="T11613">
        <v>21855</v>
      </c>
      <c r="U11613">
        <v>25202</v>
      </c>
      <c r="V11613" t="s">
        <v>77</v>
      </c>
    </row>
    <row r="11614" spans="1:22">
      <c r="A11614" t="str">
        <f t="shared" si="2254"/>
        <v>19/11/2025</v>
      </c>
      <c r="B11614" t="str">
        <f t="shared" si="2249"/>
        <v>ENTRADA</v>
      </c>
      <c r="C11614" t="str">
        <f t="shared" si="2250"/>
        <v>NFSE</v>
      </c>
      <c r="D11614" t="str">
        <f t="shared" si="2256"/>
        <v>3695</v>
      </c>
      <c r="E11614" t="str">
        <f t="shared" si="2251"/>
        <v>1</v>
      </c>
      <c r="F11614" t="str">
        <f t="shared" si="2255"/>
        <v>COM</v>
      </c>
      <c r="G11614" t="str">
        <f t="shared" si="2257"/>
        <v>FARMÁCIA INDIANA LJ 30 (10127)</v>
      </c>
      <c r="H11614" t="s">
        <v>3111</v>
      </c>
      <c r="I11614" t="str">
        <f t="shared" si="2252"/>
        <v>19/11/2025</v>
      </c>
      <c r="J11614" t="str">
        <f t="shared" si="2253"/>
        <v>11/11/2025</v>
      </c>
      <c r="K11614">
        <v>45980</v>
      </c>
      <c r="N11614">
        <v>303</v>
      </c>
      <c r="O11614" t="s">
        <v>69</v>
      </c>
      <c r="Q11614">
        <v>1749.47</v>
      </c>
      <c r="R11614" t="str">
        <f>"FARMÁCIA INDIANA LJ 95 (10039)"</f>
        <v>FARMÁCIA INDIANA LJ 95 (10039)</v>
      </c>
      <c r="S11614" t="s">
        <v>70</v>
      </c>
      <c r="T11614">
        <v>21855</v>
      </c>
      <c r="U11614">
        <v>25202</v>
      </c>
      <c r="V11614" t="s">
        <v>77</v>
      </c>
    </row>
    <row r="11615" spans="1:22">
      <c r="A11615" t="str">
        <f t="shared" si="2254"/>
        <v>19/11/2025</v>
      </c>
      <c r="B11615" t="str">
        <f t="shared" si="2249"/>
        <v>ENTRADA</v>
      </c>
      <c r="C11615" t="str">
        <f t="shared" si="2250"/>
        <v>NFSE</v>
      </c>
      <c r="D11615" t="str">
        <f t="shared" si="2256"/>
        <v>3695</v>
      </c>
      <c r="E11615" t="str">
        <f t="shared" si="2251"/>
        <v>1</v>
      </c>
      <c r="F11615" t="str">
        <f t="shared" si="2255"/>
        <v>COM</v>
      </c>
      <c r="G11615" t="str">
        <f t="shared" si="2257"/>
        <v>FARMÁCIA INDIANA LJ 30 (10127)</v>
      </c>
      <c r="H11615" t="s">
        <v>3111</v>
      </c>
      <c r="I11615" t="str">
        <f t="shared" si="2252"/>
        <v>19/11/2025</v>
      </c>
      <c r="J11615" t="str">
        <f t="shared" si="2253"/>
        <v>11/11/2025</v>
      </c>
      <c r="K11615">
        <v>45980</v>
      </c>
      <c r="N11615">
        <v>303</v>
      </c>
      <c r="O11615" t="s">
        <v>69</v>
      </c>
      <c r="Q11615">
        <v>2526.44</v>
      </c>
      <c r="R11615" t="str">
        <f>"FARMÁCIA INDIANA LJ 145 (10068)"</f>
        <v>FARMÁCIA INDIANA LJ 145 (10068)</v>
      </c>
      <c r="S11615" t="s">
        <v>70</v>
      </c>
      <c r="T11615">
        <v>21855</v>
      </c>
      <c r="U11615">
        <v>25202</v>
      </c>
      <c r="V11615" t="s">
        <v>77</v>
      </c>
    </row>
    <row r="11616" spans="1:22">
      <c r="A11616" t="str">
        <f t="shared" si="2254"/>
        <v>19/11/2025</v>
      </c>
      <c r="B11616" t="str">
        <f t="shared" si="2249"/>
        <v>ENTRADA</v>
      </c>
      <c r="C11616" t="str">
        <f t="shared" si="2250"/>
        <v>NFSE</v>
      </c>
      <c r="D11616" t="str">
        <f t="shared" si="2256"/>
        <v>3695</v>
      </c>
      <c r="E11616" t="str">
        <f t="shared" si="2251"/>
        <v>1</v>
      </c>
      <c r="F11616" t="str">
        <f t="shared" si="2255"/>
        <v>COM</v>
      </c>
      <c r="G11616" t="str">
        <f t="shared" si="2257"/>
        <v>FARMÁCIA INDIANA LJ 30 (10127)</v>
      </c>
      <c r="H11616" t="s">
        <v>3111</v>
      </c>
      <c r="I11616" t="str">
        <f t="shared" si="2252"/>
        <v>19/11/2025</v>
      </c>
      <c r="J11616" t="str">
        <f t="shared" si="2253"/>
        <v>11/11/2025</v>
      </c>
      <c r="K11616">
        <v>45980</v>
      </c>
      <c r="N11616">
        <v>303</v>
      </c>
      <c r="O11616" t="s">
        <v>69</v>
      </c>
      <c r="Q11616">
        <v>1342.97</v>
      </c>
      <c r="R11616" t="str">
        <f>"FARMÁCIA INDIANA LJ 169 (10073)"</f>
        <v>FARMÁCIA INDIANA LJ 169 (10073)</v>
      </c>
      <c r="S11616" t="s">
        <v>70</v>
      </c>
      <c r="T11616">
        <v>21855</v>
      </c>
      <c r="U11616">
        <v>25202</v>
      </c>
      <c r="V11616" t="s">
        <v>77</v>
      </c>
    </row>
    <row r="11617" spans="1:22">
      <c r="A11617" t="str">
        <f t="shared" si="2254"/>
        <v>19/11/2025</v>
      </c>
      <c r="B11617" t="str">
        <f t="shared" si="2249"/>
        <v>ENTRADA</v>
      </c>
      <c r="C11617" t="str">
        <f t="shared" si="2250"/>
        <v>NFSE</v>
      </c>
      <c r="D11617" t="str">
        <f t="shared" si="2256"/>
        <v>3695</v>
      </c>
      <c r="E11617" t="str">
        <f t="shared" si="2251"/>
        <v>1</v>
      </c>
      <c r="F11617" t="str">
        <f t="shared" si="2255"/>
        <v>COM</v>
      </c>
      <c r="G11617" t="str">
        <f t="shared" si="2257"/>
        <v>FARMÁCIA INDIANA LJ 30 (10127)</v>
      </c>
      <c r="H11617" t="s">
        <v>3111</v>
      </c>
      <c r="I11617" t="str">
        <f t="shared" si="2252"/>
        <v>19/11/2025</v>
      </c>
      <c r="J11617" t="str">
        <f t="shared" si="2253"/>
        <v>11/11/2025</v>
      </c>
      <c r="K11617">
        <v>45980</v>
      </c>
      <c r="N11617">
        <v>303</v>
      </c>
      <c r="O11617" t="s">
        <v>69</v>
      </c>
      <c r="Q11617">
        <v>1569.37</v>
      </c>
      <c r="R11617" t="str">
        <f>"FARMÁCIA INDIANA LJ 173 (10075)"</f>
        <v>FARMÁCIA INDIANA LJ 173 (10075)</v>
      </c>
      <c r="S11617" t="s">
        <v>70</v>
      </c>
      <c r="T11617">
        <v>21855</v>
      </c>
      <c r="U11617">
        <v>25202</v>
      </c>
      <c r="V11617" t="s">
        <v>77</v>
      </c>
    </row>
    <row r="11618" spans="1:22">
      <c r="A11618" t="str">
        <f t="shared" si="2254"/>
        <v>19/11/2025</v>
      </c>
      <c r="B11618" t="str">
        <f t="shared" si="2249"/>
        <v>ENTRADA</v>
      </c>
      <c r="C11618" t="str">
        <f t="shared" si="2250"/>
        <v>NFSE</v>
      </c>
      <c r="D11618" t="str">
        <f t="shared" si="2256"/>
        <v>3695</v>
      </c>
      <c r="E11618" t="str">
        <f t="shared" si="2251"/>
        <v>1</v>
      </c>
      <c r="F11618" t="str">
        <f t="shared" si="2255"/>
        <v>COM</v>
      </c>
      <c r="G11618" t="str">
        <f t="shared" si="2257"/>
        <v>FARMÁCIA INDIANA LJ 30 (10127)</v>
      </c>
      <c r="H11618" t="s">
        <v>3111</v>
      </c>
      <c r="I11618" t="str">
        <f t="shared" si="2252"/>
        <v>19/11/2025</v>
      </c>
      <c r="J11618" t="str">
        <f t="shared" si="2253"/>
        <v>11/11/2025</v>
      </c>
      <c r="K11618">
        <v>45980</v>
      </c>
      <c r="N11618">
        <v>303</v>
      </c>
      <c r="O11618" t="s">
        <v>69</v>
      </c>
      <c r="Q11618">
        <v>1222.05</v>
      </c>
      <c r="R11618" t="str">
        <f>"FARMÁCIA INDIANA LJ 200 (10155)"</f>
        <v>FARMÁCIA INDIANA LJ 200 (10155)</v>
      </c>
      <c r="S11618" t="s">
        <v>70</v>
      </c>
      <c r="T11618">
        <v>21855</v>
      </c>
      <c r="U11618">
        <v>25202</v>
      </c>
      <c r="V11618" t="s">
        <v>77</v>
      </c>
    </row>
    <row r="11619" spans="1:22">
      <c r="A11619" t="str">
        <f t="shared" si="2254"/>
        <v>19/11/2025</v>
      </c>
      <c r="B11619" t="str">
        <f t="shared" si="2249"/>
        <v>ENTRADA</v>
      </c>
      <c r="C11619" t="str">
        <f t="shared" si="2250"/>
        <v>NFSE</v>
      </c>
      <c r="D11619" t="str">
        <f t="shared" si="2256"/>
        <v>3695</v>
      </c>
      <c r="E11619" t="str">
        <f t="shared" si="2251"/>
        <v>1</v>
      </c>
      <c r="F11619" t="str">
        <f t="shared" si="2255"/>
        <v>COM</v>
      </c>
      <c r="G11619" t="str">
        <f t="shared" si="2257"/>
        <v>FARMÁCIA INDIANA LJ 30 (10127)</v>
      </c>
      <c r="H11619" t="s">
        <v>3111</v>
      </c>
      <c r="I11619" t="str">
        <f t="shared" si="2252"/>
        <v>19/11/2025</v>
      </c>
      <c r="J11619" t="str">
        <f t="shared" si="2253"/>
        <v>11/11/2025</v>
      </c>
      <c r="K11619">
        <v>45980</v>
      </c>
      <c r="N11619">
        <v>303</v>
      </c>
      <c r="O11619" t="s">
        <v>69</v>
      </c>
      <c r="Q11619">
        <v>1116.57</v>
      </c>
      <c r="R11619" t="str">
        <f>"FARMÁCIA INDIANA LJ 33 (10187)"</f>
        <v>FARMÁCIA INDIANA LJ 33 (10187)</v>
      </c>
      <c r="S11619" t="s">
        <v>70</v>
      </c>
      <c r="T11619">
        <v>21855</v>
      </c>
      <c r="U11619">
        <v>25202</v>
      </c>
      <c r="V11619" t="s">
        <v>77</v>
      </c>
    </row>
    <row r="11620" spans="1:22">
      <c r="A11620" t="str">
        <f t="shared" si="2254"/>
        <v>19/11/2025</v>
      </c>
      <c r="B11620" t="str">
        <f t="shared" si="2249"/>
        <v>ENTRADA</v>
      </c>
      <c r="C11620" t="str">
        <f t="shared" si="2250"/>
        <v>NFSE</v>
      </c>
      <c r="D11620" t="str">
        <f t="shared" ref="D11620:D11630" si="2258">"3696"</f>
        <v>3696</v>
      </c>
      <c r="E11620" t="str">
        <f t="shared" si="2251"/>
        <v>1</v>
      </c>
      <c r="F11620" t="str">
        <f t="shared" si="2255"/>
        <v>COM</v>
      </c>
      <c r="G11620" t="str">
        <f t="shared" ref="G11620:G11630" si="2259">"FARMÁCIA INDIANA LJ 85 (10128)"</f>
        <v>FARMÁCIA INDIANA LJ 85 (10128)</v>
      </c>
      <c r="H11620" t="str">
        <f>"Serv.Prest. 03/11/2025 a 09/11/2025 - RPS: 1572 - NFSe: 3696"</f>
        <v>Serv.Prest. 03/11/2025 a 09/11/2025 - RPS: 1572 - NFSe: 3696</v>
      </c>
      <c r="I11620" t="str">
        <f t="shared" si="2252"/>
        <v>19/11/2025</v>
      </c>
      <c r="J11620" t="str">
        <f t="shared" si="2253"/>
        <v>11/11/2025</v>
      </c>
      <c r="K11620" t="str">
        <f>("19/11/2025")</f>
        <v>19/11/2025</v>
      </c>
      <c r="L11620">
        <v>9266.7199999999993</v>
      </c>
      <c r="M11620">
        <v>9266.7199999999993</v>
      </c>
      <c r="N11620">
        <v>303</v>
      </c>
      <c r="O11620" t="str">
        <f>"RECEITAS COM ENTREGAS"</f>
        <v>RECEITAS COM ENTREGAS</v>
      </c>
      <c r="P11620">
        <v>9266.7199999999993</v>
      </c>
      <c r="S11620" t="str">
        <f>"RECEITAS COM ENTREGAS (303)"</f>
        <v>RECEITAS COM ENTREGAS (303)</v>
      </c>
      <c r="T11620">
        <v>21856</v>
      </c>
      <c r="U11620">
        <v>25238</v>
      </c>
      <c r="V11620" t="s">
        <v>77</v>
      </c>
    </row>
    <row r="11621" spans="1:22">
      <c r="A11621" t="str">
        <f t="shared" si="2254"/>
        <v>19/11/2025</v>
      </c>
      <c r="B11621" t="str">
        <f t="shared" ref="B11621:B11630" si="2260">"ENTRADA"</f>
        <v>ENTRADA</v>
      </c>
      <c r="C11621" t="str">
        <f t="shared" si="2250"/>
        <v>NFSE</v>
      </c>
      <c r="D11621" t="str">
        <f t="shared" si="2258"/>
        <v>3696</v>
      </c>
      <c r="E11621" t="str">
        <f t="shared" si="2251"/>
        <v>1</v>
      </c>
      <c r="F11621" t="str">
        <f t="shared" si="2255"/>
        <v>COM</v>
      </c>
      <c r="G11621" t="str">
        <f t="shared" si="2259"/>
        <v>FARMÁCIA INDIANA LJ 85 (10128)</v>
      </c>
      <c r="H11621" t="s">
        <v>3112</v>
      </c>
      <c r="I11621" t="str">
        <f t="shared" si="2252"/>
        <v>19/11/2025</v>
      </c>
      <c r="J11621" t="str">
        <f t="shared" si="2253"/>
        <v>11/11/2025</v>
      </c>
      <c r="K11621">
        <v>45980</v>
      </c>
      <c r="N11621">
        <v>303</v>
      </c>
      <c r="O11621" t="s">
        <v>69</v>
      </c>
      <c r="Q11621">
        <v>972.07</v>
      </c>
      <c r="R11621" t="str">
        <f>"FARMÁCIA INDIANA LJ 119 (10053)"</f>
        <v>FARMÁCIA INDIANA LJ 119 (10053)</v>
      </c>
      <c r="S11621" t="s">
        <v>70</v>
      </c>
      <c r="T11621">
        <v>21856</v>
      </c>
      <c r="U11621">
        <v>25238</v>
      </c>
      <c r="V11621" t="s">
        <v>77</v>
      </c>
    </row>
    <row r="11622" spans="1:22">
      <c r="A11622" t="str">
        <f t="shared" si="2254"/>
        <v>19/11/2025</v>
      </c>
      <c r="B11622" t="str">
        <f t="shared" si="2260"/>
        <v>ENTRADA</v>
      </c>
      <c r="C11622" t="str">
        <f t="shared" si="2250"/>
        <v>NFSE</v>
      </c>
      <c r="D11622" t="str">
        <f t="shared" si="2258"/>
        <v>3696</v>
      </c>
      <c r="E11622" t="str">
        <f t="shared" si="2251"/>
        <v>1</v>
      </c>
      <c r="F11622" t="str">
        <f t="shared" si="2255"/>
        <v>COM</v>
      </c>
      <c r="G11622" t="str">
        <f t="shared" si="2259"/>
        <v>FARMÁCIA INDIANA LJ 85 (10128)</v>
      </c>
      <c r="H11622" t="s">
        <v>3112</v>
      </c>
      <c r="I11622" t="str">
        <f t="shared" si="2252"/>
        <v>19/11/2025</v>
      </c>
      <c r="J11622" t="str">
        <f t="shared" si="2253"/>
        <v>11/11/2025</v>
      </c>
      <c r="K11622">
        <v>45980</v>
      </c>
      <c r="N11622">
        <v>303</v>
      </c>
      <c r="O11622" t="s">
        <v>69</v>
      </c>
      <c r="Q11622">
        <v>1195.4100000000001</v>
      </c>
      <c r="R11622" t="str">
        <f>"FARMÁCIA INDIANA LJ 163 (10072)"</f>
        <v>FARMÁCIA INDIANA LJ 163 (10072)</v>
      </c>
      <c r="S11622" t="s">
        <v>70</v>
      </c>
      <c r="T11622">
        <v>21856</v>
      </c>
      <c r="U11622">
        <v>25238</v>
      </c>
      <c r="V11622" t="s">
        <v>77</v>
      </c>
    </row>
    <row r="11623" spans="1:22">
      <c r="A11623" t="str">
        <f t="shared" si="2254"/>
        <v>19/11/2025</v>
      </c>
      <c r="B11623" t="str">
        <f t="shared" si="2260"/>
        <v>ENTRADA</v>
      </c>
      <c r="C11623" t="str">
        <f t="shared" ref="C11623:C11630" si="2261">"NFSE"</f>
        <v>NFSE</v>
      </c>
      <c r="D11623" t="str">
        <f t="shared" si="2258"/>
        <v>3696</v>
      </c>
      <c r="E11623" t="str">
        <f t="shared" ref="E11623:E11654" si="2262">"1"</f>
        <v>1</v>
      </c>
      <c r="F11623" t="str">
        <f t="shared" si="2255"/>
        <v>COM</v>
      </c>
      <c r="G11623" t="str">
        <f t="shared" si="2259"/>
        <v>FARMÁCIA INDIANA LJ 85 (10128)</v>
      </c>
      <c r="H11623" t="s">
        <v>3112</v>
      </c>
      <c r="I11623" t="str">
        <f t="shared" ref="I11623:I11654" si="2263">("19/11/2025")</f>
        <v>19/11/2025</v>
      </c>
      <c r="J11623" t="str">
        <f t="shared" ref="J11623:J11630" si="2264">("11/11/2025")</f>
        <v>11/11/2025</v>
      </c>
      <c r="K11623">
        <v>45980</v>
      </c>
      <c r="N11623">
        <v>303</v>
      </c>
      <c r="O11623" t="s">
        <v>69</v>
      </c>
      <c r="Q11623">
        <v>1604.07</v>
      </c>
      <c r="R11623" t="str">
        <f>"FARMÁCIA INDIANA LJ 181 (10078)"</f>
        <v>FARMÁCIA INDIANA LJ 181 (10078)</v>
      </c>
      <c r="S11623" t="s">
        <v>70</v>
      </c>
      <c r="T11623">
        <v>21856</v>
      </c>
      <c r="U11623">
        <v>25238</v>
      </c>
      <c r="V11623" t="s">
        <v>77</v>
      </c>
    </row>
    <row r="11624" spans="1:22">
      <c r="A11624" t="str">
        <f t="shared" si="2254"/>
        <v>19/11/2025</v>
      </c>
      <c r="B11624" t="str">
        <f t="shared" si="2260"/>
        <v>ENTRADA</v>
      </c>
      <c r="C11624" t="str">
        <f t="shared" si="2261"/>
        <v>NFSE</v>
      </c>
      <c r="D11624" t="str">
        <f t="shared" si="2258"/>
        <v>3696</v>
      </c>
      <c r="E11624" t="str">
        <f t="shared" si="2262"/>
        <v>1</v>
      </c>
      <c r="F11624" t="str">
        <f t="shared" si="2255"/>
        <v>COM</v>
      </c>
      <c r="G11624" t="str">
        <f t="shared" si="2259"/>
        <v>FARMÁCIA INDIANA LJ 85 (10128)</v>
      </c>
      <c r="H11624" t="s">
        <v>3112</v>
      </c>
      <c r="I11624" t="str">
        <f t="shared" si="2263"/>
        <v>19/11/2025</v>
      </c>
      <c r="J11624" t="str">
        <f t="shared" si="2264"/>
        <v>11/11/2025</v>
      </c>
      <c r="K11624">
        <v>45980</v>
      </c>
      <c r="N11624">
        <v>303</v>
      </c>
      <c r="O11624" t="s">
        <v>69</v>
      </c>
      <c r="Q11624">
        <v>970.23</v>
      </c>
      <c r="R11624" t="str">
        <f>"FARMÁCIA INDIANA LJ 221 (10093)"</f>
        <v>FARMÁCIA INDIANA LJ 221 (10093)</v>
      </c>
      <c r="S11624" t="s">
        <v>70</v>
      </c>
      <c r="T11624">
        <v>21856</v>
      </c>
      <c r="U11624">
        <v>25238</v>
      </c>
      <c r="V11624" t="s">
        <v>77</v>
      </c>
    </row>
    <row r="11625" spans="1:22">
      <c r="A11625" t="str">
        <f t="shared" si="2254"/>
        <v>19/11/2025</v>
      </c>
      <c r="B11625" t="str">
        <f t="shared" si="2260"/>
        <v>ENTRADA</v>
      </c>
      <c r="C11625" t="str">
        <f t="shared" si="2261"/>
        <v>NFSE</v>
      </c>
      <c r="D11625" t="str">
        <f t="shared" si="2258"/>
        <v>3696</v>
      </c>
      <c r="E11625" t="str">
        <f t="shared" si="2262"/>
        <v>1</v>
      </c>
      <c r="F11625" t="str">
        <f t="shared" ref="F11625:F11656" si="2265">"COM"</f>
        <v>COM</v>
      </c>
      <c r="G11625" t="str">
        <f t="shared" si="2259"/>
        <v>FARMÁCIA INDIANA LJ 85 (10128)</v>
      </c>
      <c r="H11625" t="s">
        <v>3112</v>
      </c>
      <c r="I11625" t="str">
        <f t="shared" si="2263"/>
        <v>19/11/2025</v>
      </c>
      <c r="J11625" t="str">
        <f t="shared" si="2264"/>
        <v>11/11/2025</v>
      </c>
      <c r="K11625">
        <v>45980</v>
      </c>
      <c r="N11625">
        <v>303</v>
      </c>
      <c r="O11625" t="s">
        <v>69</v>
      </c>
      <c r="Q11625">
        <v>1080.5</v>
      </c>
      <c r="R11625" t="str">
        <f>"FARMÁCIA INDIANA LJ 243 (10142)"</f>
        <v>FARMÁCIA INDIANA LJ 243 (10142)</v>
      </c>
      <c r="S11625" t="s">
        <v>70</v>
      </c>
      <c r="T11625">
        <v>21856</v>
      </c>
      <c r="U11625">
        <v>25238</v>
      </c>
      <c r="V11625" t="s">
        <v>77</v>
      </c>
    </row>
    <row r="11626" spans="1:22">
      <c r="A11626" t="str">
        <f t="shared" si="2254"/>
        <v>19/11/2025</v>
      </c>
      <c r="B11626" t="str">
        <f t="shared" si="2260"/>
        <v>ENTRADA</v>
      </c>
      <c r="C11626" t="str">
        <f t="shared" si="2261"/>
        <v>NFSE</v>
      </c>
      <c r="D11626" t="str">
        <f t="shared" si="2258"/>
        <v>3696</v>
      </c>
      <c r="E11626" t="str">
        <f t="shared" si="2262"/>
        <v>1</v>
      </c>
      <c r="F11626" t="str">
        <f t="shared" si="2265"/>
        <v>COM</v>
      </c>
      <c r="G11626" t="str">
        <f t="shared" si="2259"/>
        <v>FARMÁCIA INDIANA LJ 85 (10128)</v>
      </c>
      <c r="H11626" t="s">
        <v>3112</v>
      </c>
      <c r="I11626" t="str">
        <f t="shared" si="2263"/>
        <v>19/11/2025</v>
      </c>
      <c r="J11626" t="str">
        <f t="shared" si="2264"/>
        <v>11/11/2025</v>
      </c>
      <c r="K11626">
        <v>45980</v>
      </c>
      <c r="N11626">
        <v>303</v>
      </c>
      <c r="O11626" t="s">
        <v>69</v>
      </c>
      <c r="Q11626">
        <v>517.08000000000004</v>
      </c>
      <c r="R11626" t="str">
        <f>"FARMÁCIA INDIANA LJ 211 (10168)"</f>
        <v>FARMÁCIA INDIANA LJ 211 (10168)</v>
      </c>
      <c r="S11626" t="s">
        <v>70</v>
      </c>
      <c r="T11626">
        <v>21856</v>
      </c>
      <c r="U11626">
        <v>25238</v>
      </c>
      <c r="V11626" t="s">
        <v>77</v>
      </c>
    </row>
    <row r="11627" spans="1:22">
      <c r="A11627" t="str">
        <f t="shared" si="2254"/>
        <v>19/11/2025</v>
      </c>
      <c r="B11627" t="str">
        <f t="shared" si="2260"/>
        <v>ENTRADA</v>
      </c>
      <c r="C11627" t="str">
        <f t="shared" si="2261"/>
        <v>NFSE</v>
      </c>
      <c r="D11627" t="str">
        <f t="shared" si="2258"/>
        <v>3696</v>
      </c>
      <c r="E11627" t="str">
        <f t="shared" si="2262"/>
        <v>1</v>
      </c>
      <c r="F11627" t="str">
        <f t="shared" si="2265"/>
        <v>COM</v>
      </c>
      <c r="G11627" t="str">
        <f t="shared" si="2259"/>
        <v>FARMÁCIA INDIANA LJ 85 (10128)</v>
      </c>
      <c r="H11627" t="s">
        <v>3112</v>
      </c>
      <c r="I11627" t="str">
        <f t="shared" si="2263"/>
        <v>19/11/2025</v>
      </c>
      <c r="J11627" t="str">
        <f t="shared" si="2264"/>
        <v>11/11/2025</v>
      </c>
      <c r="K11627">
        <v>45980</v>
      </c>
      <c r="N11627">
        <v>303</v>
      </c>
      <c r="O11627" t="s">
        <v>69</v>
      </c>
      <c r="Q11627">
        <v>517.08000000000004</v>
      </c>
      <c r="R11627" t="str">
        <f>"FARMÁCIA INDIANA LJ 236 (10169)"</f>
        <v>FARMÁCIA INDIANA LJ 236 (10169)</v>
      </c>
      <c r="S11627" t="s">
        <v>70</v>
      </c>
      <c r="T11627">
        <v>21856</v>
      </c>
      <c r="U11627">
        <v>25238</v>
      </c>
      <c r="V11627" t="s">
        <v>77</v>
      </c>
    </row>
    <row r="11628" spans="1:22">
      <c r="A11628" t="str">
        <f t="shared" si="2254"/>
        <v>19/11/2025</v>
      </c>
      <c r="B11628" t="str">
        <f t="shared" si="2260"/>
        <v>ENTRADA</v>
      </c>
      <c r="C11628" t="str">
        <f t="shared" si="2261"/>
        <v>NFSE</v>
      </c>
      <c r="D11628" t="str">
        <f t="shared" si="2258"/>
        <v>3696</v>
      </c>
      <c r="E11628" t="str">
        <f t="shared" si="2262"/>
        <v>1</v>
      </c>
      <c r="F11628" t="str">
        <f t="shared" si="2265"/>
        <v>COM</v>
      </c>
      <c r="G11628" t="str">
        <f t="shared" si="2259"/>
        <v>FARMÁCIA INDIANA LJ 85 (10128)</v>
      </c>
      <c r="H11628" t="s">
        <v>3112</v>
      </c>
      <c r="I11628" t="str">
        <f t="shared" si="2263"/>
        <v>19/11/2025</v>
      </c>
      <c r="J11628" t="str">
        <f t="shared" si="2264"/>
        <v>11/11/2025</v>
      </c>
      <c r="K11628">
        <v>45980</v>
      </c>
      <c r="N11628">
        <v>303</v>
      </c>
      <c r="O11628" t="s">
        <v>69</v>
      </c>
      <c r="Q11628">
        <v>1033.24</v>
      </c>
      <c r="R11628" t="str">
        <f>"FARMÁCIA INDIANA LJ 188 (10176)"</f>
        <v>FARMÁCIA INDIANA LJ 188 (10176)</v>
      </c>
      <c r="S11628" t="s">
        <v>70</v>
      </c>
      <c r="T11628">
        <v>21856</v>
      </c>
      <c r="U11628">
        <v>25238</v>
      </c>
      <c r="V11628" t="s">
        <v>77</v>
      </c>
    </row>
    <row r="11629" spans="1:22">
      <c r="A11629" t="str">
        <f t="shared" si="2254"/>
        <v>19/11/2025</v>
      </c>
      <c r="B11629" t="str">
        <f t="shared" si="2260"/>
        <v>ENTRADA</v>
      </c>
      <c r="C11629" t="str">
        <f t="shared" si="2261"/>
        <v>NFSE</v>
      </c>
      <c r="D11629" t="str">
        <f t="shared" si="2258"/>
        <v>3696</v>
      </c>
      <c r="E11629" t="str">
        <f t="shared" si="2262"/>
        <v>1</v>
      </c>
      <c r="F11629" t="str">
        <f t="shared" si="2265"/>
        <v>COM</v>
      </c>
      <c r="G11629" t="str">
        <f t="shared" si="2259"/>
        <v>FARMÁCIA INDIANA LJ 85 (10128)</v>
      </c>
      <c r="H11629" t="s">
        <v>3112</v>
      </c>
      <c r="I11629" t="str">
        <f t="shared" si="2263"/>
        <v>19/11/2025</v>
      </c>
      <c r="J11629" t="str">
        <f t="shared" si="2264"/>
        <v>11/11/2025</v>
      </c>
      <c r="K11629">
        <v>45980</v>
      </c>
      <c r="N11629">
        <v>303</v>
      </c>
      <c r="O11629" t="s">
        <v>69</v>
      </c>
      <c r="Q11629">
        <v>1214.8699999999999</v>
      </c>
      <c r="R11629" t="str">
        <f>"FARMÁCIA INDIANA LJ 273 (10188)"</f>
        <v>FARMÁCIA INDIANA LJ 273 (10188)</v>
      </c>
      <c r="S11629" t="s">
        <v>70</v>
      </c>
      <c r="T11629">
        <v>21856</v>
      </c>
      <c r="U11629">
        <v>25238</v>
      </c>
      <c r="V11629" t="s">
        <v>77</v>
      </c>
    </row>
    <row r="11630" spans="1:22">
      <c r="A11630" t="str">
        <f t="shared" si="2254"/>
        <v>19/11/2025</v>
      </c>
      <c r="B11630" t="str">
        <f t="shared" si="2260"/>
        <v>ENTRADA</v>
      </c>
      <c r="C11630" t="str">
        <f t="shared" si="2261"/>
        <v>NFSE</v>
      </c>
      <c r="D11630" t="str">
        <f t="shared" si="2258"/>
        <v>3696</v>
      </c>
      <c r="E11630" t="str">
        <f t="shared" si="2262"/>
        <v>1</v>
      </c>
      <c r="F11630" t="str">
        <f t="shared" si="2265"/>
        <v>COM</v>
      </c>
      <c r="G11630" t="str">
        <f t="shared" si="2259"/>
        <v>FARMÁCIA INDIANA LJ 85 (10128)</v>
      </c>
      <c r="H11630" t="s">
        <v>3112</v>
      </c>
      <c r="I11630" t="str">
        <f t="shared" si="2263"/>
        <v>19/11/2025</v>
      </c>
      <c r="J11630" t="str">
        <f t="shared" si="2264"/>
        <v>11/11/2025</v>
      </c>
      <c r="K11630">
        <v>45980</v>
      </c>
      <c r="N11630">
        <v>303</v>
      </c>
      <c r="O11630" t="s">
        <v>69</v>
      </c>
      <c r="Q11630">
        <v>162.16999999999999</v>
      </c>
      <c r="R11630" t="str">
        <f>"FARMÁCIA INDIANA LJ 235 (10190)"</f>
        <v>FARMÁCIA INDIANA LJ 235 (10190)</v>
      </c>
      <c r="S11630" t="s">
        <v>70</v>
      </c>
      <c r="T11630">
        <v>21856</v>
      </c>
      <c r="U11630">
        <v>25238</v>
      </c>
      <c r="V11630" t="s">
        <v>77</v>
      </c>
    </row>
    <row r="11631" spans="1:22">
      <c r="A11631" t="str">
        <f t="shared" si="2254"/>
        <v>19/11/2025</v>
      </c>
      <c r="B11631" t="str">
        <f>"SAÍDA"</f>
        <v>SAÍDA</v>
      </c>
      <c r="C11631" t="str">
        <f>"PIX"</f>
        <v>PIX</v>
      </c>
      <c r="D11631" t="str">
        <f>"26081"</f>
        <v>26081</v>
      </c>
      <c r="E11631" t="str">
        <f t="shared" si="2262"/>
        <v>1</v>
      </c>
      <c r="F11631" t="str">
        <f t="shared" si="2265"/>
        <v>COM</v>
      </c>
      <c r="G11631" t="str">
        <f>"HENDRYL SOUZA DA SILVA (1026)"</f>
        <v>HENDRYL SOUZA DA SILVA (1026)</v>
      </c>
      <c r="H11631" t="str">
        <f>"Serv.Prest. 17/11/2025 a 23/11/2025 - PIX: CPF - CHAVE: 499.814.888-52"</f>
        <v>Serv.Prest. 17/11/2025 a 23/11/2025 - PIX: CPF - CHAVE: 499.814.888-52</v>
      </c>
      <c r="I11631" t="str">
        <f t="shared" si="2263"/>
        <v>19/11/2025</v>
      </c>
      <c r="J11631" t="str">
        <f>("19/11/2025")</f>
        <v>19/11/2025</v>
      </c>
      <c r="K11631" t="str">
        <f>("19/11/2025")</f>
        <v>19/11/2025</v>
      </c>
      <c r="L11631">
        <v>200</v>
      </c>
      <c r="M11631">
        <v>200</v>
      </c>
      <c r="N11631">
        <v>134</v>
      </c>
      <c r="O11631" t="str">
        <f>"DIARIA DE MOTOBOY"</f>
        <v>DIARIA DE MOTOBOY</v>
      </c>
      <c r="P11631">
        <v>200</v>
      </c>
      <c r="S11631" t="str">
        <f>"BANCO CORA (102)"</f>
        <v>BANCO CORA (102)</v>
      </c>
      <c r="T11631">
        <v>22390</v>
      </c>
      <c r="U11631">
        <v>26081</v>
      </c>
      <c r="V11631" t="s">
        <v>22</v>
      </c>
    </row>
    <row r="11632" spans="1:22">
      <c r="A11632" t="str">
        <f t="shared" si="2254"/>
        <v>19/11/2025</v>
      </c>
      <c r="B11632" t="str">
        <f>"SAÍDA"</f>
        <v>SAÍDA</v>
      </c>
      <c r="C11632" t="str">
        <f>"PIX"</f>
        <v>PIX</v>
      </c>
      <c r="D11632" t="str">
        <f>"26081"</f>
        <v>26081</v>
      </c>
      <c r="E11632" t="str">
        <f t="shared" si="2262"/>
        <v>1</v>
      </c>
      <c r="F11632" t="str">
        <f t="shared" si="2265"/>
        <v>COM</v>
      </c>
      <c r="G11632" t="str">
        <f>"HENDRYL SOUZA DA SILVA (1026)"</f>
        <v>HENDRYL SOUZA DA SILVA (1026)</v>
      </c>
      <c r="H11632" t="s">
        <v>3113</v>
      </c>
      <c r="I11632" t="str">
        <f t="shared" si="2263"/>
        <v>19/11/2025</v>
      </c>
      <c r="J11632" t="str">
        <f>("19/11/2025")</f>
        <v>19/11/2025</v>
      </c>
      <c r="K11632">
        <v>45980</v>
      </c>
      <c r="N11632">
        <v>134</v>
      </c>
      <c r="O11632" t="s">
        <v>41</v>
      </c>
      <c r="Q11632">
        <v>200</v>
      </c>
      <c r="R11632" t="str">
        <f>"PENSE FARMA 07 (10201)"</f>
        <v>PENSE FARMA 07 (10201)</v>
      </c>
      <c r="S11632" t="s">
        <v>22</v>
      </c>
      <c r="T11632">
        <v>22390</v>
      </c>
      <c r="U11632">
        <v>26081</v>
      </c>
      <c r="V11632" t="s">
        <v>22</v>
      </c>
    </row>
    <row r="11633" spans="1:22">
      <c r="A11633" t="str">
        <f t="shared" si="2254"/>
        <v>19/11/2025</v>
      </c>
      <c r="B11633" t="str">
        <f>"SAÍDA"</f>
        <v>SAÍDA</v>
      </c>
      <c r="C11633" t="str">
        <f>"PIX"</f>
        <v>PIX</v>
      </c>
      <c r="D11633" t="str">
        <f>"26101"</f>
        <v>26101</v>
      </c>
      <c r="E11633" t="str">
        <f t="shared" si="2262"/>
        <v>1</v>
      </c>
      <c r="F11633" t="str">
        <f t="shared" si="2265"/>
        <v>COM</v>
      </c>
      <c r="G11633" t="str">
        <f>"HENRIQUE VALENTIM FERREIRA (1083)"</f>
        <v>HENRIQUE VALENTIM FERREIRA (1083)</v>
      </c>
      <c r="H11633" t="str">
        <f>"Serv.Prest. 17/11/2025 a 23/11/2025 - PIX: CELULAR - CHAVE: (11) 99293-5521"</f>
        <v>Serv.Prest. 17/11/2025 a 23/11/2025 - PIX: CELULAR - CHAVE: (11) 99293-5521</v>
      </c>
      <c r="I11633" t="str">
        <f t="shared" si="2263"/>
        <v>19/11/2025</v>
      </c>
      <c r="J11633" t="str">
        <f>("19/11/2025")</f>
        <v>19/11/2025</v>
      </c>
      <c r="K11633" t="str">
        <f>("19/11/2025")</f>
        <v>19/11/2025</v>
      </c>
      <c r="L11633">
        <v>170</v>
      </c>
      <c r="M11633">
        <v>170</v>
      </c>
      <c r="N11633">
        <v>134</v>
      </c>
      <c r="O11633" t="str">
        <f>"DIARIA DE MOTOBOY"</f>
        <v>DIARIA DE MOTOBOY</v>
      </c>
      <c r="P11633">
        <v>170</v>
      </c>
      <c r="S11633" t="str">
        <f>"BANCO CORA (102)"</f>
        <v>BANCO CORA (102)</v>
      </c>
      <c r="T11633">
        <v>22391</v>
      </c>
      <c r="U11633">
        <v>26101</v>
      </c>
      <c r="V11633" t="s">
        <v>22</v>
      </c>
    </row>
    <row r="11634" spans="1:22">
      <c r="A11634" t="str">
        <f t="shared" si="2254"/>
        <v>19/11/2025</v>
      </c>
      <c r="B11634" t="str">
        <f>"SAÍDA"</f>
        <v>SAÍDA</v>
      </c>
      <c r="C11634" t="str">
        <f>"PIX"</f>
        <v>PIX</v>
      </c>
      <c r="D11634" t="str">
        <f>"26101"</f>
        <v>26101</v>
      </c>
      <c r="E11634" t="str">
        <f t="shared" si="2262"/>
        <v>1</v>
      </c>
      <c r="F11634" t="str">
        <f t="shared" si="2265"/>
        <v>COM</v>
      </c>
      <c r="G11634" t="str">
        <f>"HENRIQUE VALENTIM FERREIRA (1083)"</f>
        <v>HENRIQUE VALENTIM FERREIRA (1083)</v>
      </c>
      <c r="H11634" t="s">
        <v>3114</v>
      </c>
      <c r="I11634" t="str">
        <f t="shared" si="2263"/>
        <v>19/11/2025</v>
      </c>
      <c r="J11634" t="str">
        <f>("19/11/2025")</f>
        <v>19/11/2025</v>
      </c>
      <c r="K11634">
        <v>45980</v>
      </c>
      <c r="N11634">
        <v>134</v>
      </c>
      <c r="O11634" t="s">
        <v>41</v>
      </c>
      <c r="Q11634">
        <v>170</v>
      </c>
      <c r="R11634" t="str">
        <f>"PENSE FARMA 15 (10195)"</f>
        <v>PENSE FARMA 15 (10195)</v>
      </c>
      <c r="S11634" t="s">
        <v>22</v>
      </c>
      <c r="T11634">
        <v>22391</v>
      </c>
      <c r="U11634">
        <v>26101</v>
      </c>
      <c r="V11634" t="s">
        <v>22</v>
      </c>
    </row>
    <row r="11635" spans="1:22">
      <c r="A11635" t="str">
        <f t="shared" si="2254"/>
        <v>19/11/2025</v>
      </c>
      <c r="B11635" t="str">
        <f t="shared" ref="B11635:B11666" si="2266">"ENTRADA"</f>
        <v>ENTRADA</v>
      </c>
      <c r="C11635" t="str">
        <f t="shared" ref="C11635:C11666" si="2267">"NFSE"</f>
        <v>NFSE</v>
      </c>
      <c r="D11635" t="str">
        <f>"3734"</f>
        <v>3734</v>
      </c>
      <c r="E11635" t="str">
        <f t="shared" si="2262"/>
        <v>1</v>
      </c>
      <c r="F11635" t="str">
        <f t="shared" si="2265"/>
        <v>COM</v>
      </c>
      <c r="G11635" t="str">
        <f>"DROGARIA MEDIC CENTER LTDA (10172)"</f>
        <v>DROGARIA MEDIC CENTER LTDA (10172)</v>
      </c>
      <c r="H11635" t="str">
        <f>"Serv.Prest. 10/11/2025 a 16/11/2025 - RPS: 1610 - NFSe: 3734"</f>
        <v>Serv.Prest. 10/11/2025 a 16/11/2025 - RPS: 1610 - NFSe: 3734</v>
      </c>
      <c r="I11635" t="str">
        <f t="shared" si="2263"/>
        <v>19/11/2025</v>
      </c>
      <c r="J11635" t="str">
        <f>("18/11/2025")</f>
        <v>18/11/2025</v>
      </c>
      <c r="K11635" t="str">
        <f>("19/11/2025")</f>
        <v>19/11/2025</v>
      </c>
      <c r="L11635">
        <v>1174.5</v>
      </c>
      <c r="M11635">
        <v>1174.5</v>
      </c>
      <c r="N11635">
        <v>303</v>
      </c>
      <c r="O11635" t="str">
        <f>"RECEITAS COM ENTREGAS"</f>
        <v>RECEITAS COM ENTREGAS</v>
      </c>
      <c r="P11635">
        <v>1174.5</v>
      </c>
      <c r="S11635" t="str">
        <f>"RECEITAS COM ENTREGAS (303)"</f>
        <v>RECEITAS COM ENTREGAS (303)</v>
      </c>
      <c r="T11635">
        <v>22392</v>
      </c>
      <c r="U11635">
        <v>25624</v>
      </c>
      <c r="V11635" t="s">
        <v>22</v>
      </c>
    </row>
    <row r="11636" spans="1:22">
      <c r="A11636" t="str">
        <f t="shared" si="2254"/>
        <v>19/11/2025</v>
      </c>
      <c r="B11636" t="str">
        <f t="shared" si="2266"/>
        <v>ENTRADA</v>
      </c>
      <c r="C11636" t="str">
        <f t="shared" si="2267"/>
        <v>NFSE</v>
      </c>
      <c r="D11636" t="str">
        <f>"3734"</f>
        <v>3734</v>
      </c>
      <c r="E11636" t="str">
        <f t="shared" si="2262"/>
        <v>1</v>
      </c>
      <c r="F11636" t="str">
        <f t="shared" si="2265"/>
        <v>COM</v>
      </c>
      <c r="G11636" t="str">
        <f>"DROGARIA MEDIC CENTER LTDA (10172)"</f>
        <v>DROGARIA MEDIC CENTER LTDA (10172)</v>
      </c>
      <c r="H11636" t="s">
        <v>3115</v>
      </c>
      <c r="I11636" t="str">
        <f t="shared" si="2263"/>
        <v>19/11/2025</v>
      </c>
      <c r="J11636" t="str">
        <f>("18/11/2025")</f>
        <v>18/11/2025</v>
      </c>
      <c r="K11636">
        <v>45980</v>
      </c>
      <c r="N11636">
        <v>303</v>
      </c>
      <c r="O11636" t="s">
        <v>69</v>
      </c>
      <c r="Q11636">
        <v>1174.5</v>
      </c>
      <c r="R11636" t="str">
        <f>"DROGARIA MEDIC CENTER LTDA (10172)"</f>
        <v>DROGARIA MEDIC CENTER LTDA (10172)</v>
      </c>
      <c r="S11636" t="s">
        <v>70</v>
      </c>
      <c r="T11636">
        <v>22392</v>
      </c>
      <c r="U11636">
        <v>25624</v>
      </c>
      <c r="V11636" t="s">
        <v>22</v>
      </c>
    </row>
    <row r="11637" spans="1:22">
      <c r="A11637" t="str">
        <f t="shared" si="2254"/>
        <v>19/11/2025</v>
      </c>
      <c r="B11637" t="str">
        <f t="shared" si="2266"/>
        <v>ENTRADA</v>
      </c>
      <c r="C11637" t="str">
        <f t="shared" si="2267"/>
        <v>NFSE</v>
      </c>
      <c r="D11637" t="str">
        <f>"3735"</f>
        <v>3735</v>
      </c>
      <c r="E11637" t="str">
        <f t="shared" si="2262"/>
        <v>1</v>
      </c>
      <c r="F11637" t="str">
        <f t="shared" si="2265"/>
        <v>COM</v>
      </c>
      <c r="G11637" t="str">
        <f>"DROGARIA MORENO LTDA (10171)"</f>
        <v>DROGARIA MORENO LTDA (10171)</v>
      </c>
      <c r="H11637" t="str">
        <f>"Serv.Prest. 10/11/2025 a 16/11/2025 - RPS: 1611 - NFSe: 3735"</f>
        <v>Serv.Prest. 10/11/2025 a 16/11/2025 - RPS: 1611 - NFSe: 3735</v>
      </c>
      <c r="I11637" t="str">
        <f t="shared" si="2263"/>
        <v>19/11/2025</v>
      </c>
      <c r="J11637" t="str">
        <f>("18/11/2025")</f>
        <v>18/11/2025</v>
      </c>
      <c r="K11637" t="str">
        <f>("19/11/2025")</f>
        <v>19/11/2025</v>
      </c>
      <c r="L11637">
        <v>3709.8</v>
      </c>
      <c r="M11637">
        <v>3709.8</v>
      </c>
      <c r="N11637">
        <v>303</v>
      </c>
      <c r="O11637" t="str">
        <f>"RECEITAS COM ENTREGAS"</f>
        <v>RECEITAS COM ENTREGAS</v>
      </c>
      <c r="P11637">
        <v>3709.8</v>
      </c>
      <c r="S11637" t="str">
        <f>"RECEITAS COM ENTREGAS (303)"</f>
        <v>RECEITAS COM ENTREGAS (303)</v>
      </c>
      <c r="T11637">
        <v>22393</v>
      </c>
      <c r="U11637">
        <v>25626</v>
      </c>
      <c r="V11637" t="s">
        <v>22</v>
      </c>
    </row>
    <row r="11638" spans="1:22">
      <c r="A11638" t="str">
        <f t="shared" si="2254"/>
        <v>19/11/2025</v>
      </c>
      <c r="B11638" t="str">
        <f t="shared" si="2266"/>
        <v>ENTRADA</v>
      </c>
      <c r="C11638" t="str">
        <f t="shared" si="2267"/>
        <v>NFSE</v>
      </c>
      <c r="D11638" t="str">
        <f>"3735"</f>
        <v>3735</v>
      </c>
      <c r="E11638" t="str">
        <f t="shared" si="2262"/>
        <v>1</v>
      </c>
      <c r="F11638" t="str">
        <f t="shared" si="2265"/>
        <v>COM</v>
      </c>
      <c r="G11638" t="str">
        <f>"DROGARIA MORENO LTDA (10171)"</f>
        <v>DROGARIA MORENO LTDA (10171)</v>
      </c>
      <c r="H11638" t="s">
        <v>3116</v>
      </c>
      <c r="I11638" t="str">
        <f t="shared" si="2263"/>
        <v>19/11/2025</v>
      </c>
      <c r="J11638" t="str">
        <f>("18/11/2025")</f>
        <v>18/11/2025</v>
      </c>
      <c r="K11638">
        <v>45980</v>
      </c>
      <c r="N11638">
        <v>303</v>
      </c>
      <c r="O11638" t="s">
        <v>69</v>
      </c>
      <c r="Q11638">
        <v>3709.8</v>
      </c>
      <c r="R11638" t="str">
        <f>"DROGARIA MORENO LTDA (10171)"</f>
        <v>DROGARIA MORENO LTDA (10171)</v>
      </c>
      <c r="S11638" t="s">
        <v>70</v>
      </c>
      <c r="T11638">
        <v>22393</v>
      </c>
      <c r="U11638">
        <v>25626</v>
      </c>
      <c r="V11638" t="s">
        <v>22</v>
      </c>
    </row>
    <row r="11639" spans="1:22">
      <c r="A11639" t="str">
        <f t="shared" si="2254"/>
        <v>19/11/2025</v>
      </c>
      <c r="B11639" t="str">
        <f t="shared" si="2266"/>
        <v>ENTRADA</v>
      </c>
      <c r="C11639" t="str">
        <f t="shared" si="2267"/>
        <v>NFSE</v>
      </c>
      <c r="D11639" t="str">
        <f>"3721"</f>
        <v>3721</v>
      </c>
      <c r="E11639" t="str">
        <f t="shared" si="2262"/>
        <v>1</v>
      </c>
      <c r="F11639" t="str">
        <f t="shared" si="2265"/>
        <v>COM</v>
      </c>
      <c r="G11639" t="str">
        <f>"PENSE FARMA 15 (10195)"</f>
        <v>PENSE FARMA 15 (10195)</v>
      </c>
      <c r="H11639" t="str">
        <f>"Serv.Prest. 10/11/2025 a 16/11/2025 - RPS: 1597 - NFSe: 3721"</f>
        <v>Serv.Prest. 10/11/2025 a 16/11/2025 - RPS: 1597 - NFSe: 3721</v>
      </c>
      <c r="I11639" t="str">
        <f t="shared" si="2263"/>
        <v>19/11/2025</v>
      </c>
      <c r="J11639" t="str">
        <f t="shared" ref="J11639:J11655" si="2268">("17/11/2025")</f>
        <v>17/11/2025</v>
      </c>
      <c r="K11639" t="str">
        <f>("19/11/2025")</f>
        <v>19/11/2025</v>
      </c>
      <c r="L11639">
        <v>3638</v>
      </c>
      <c r="M11639">
        <v>3638</v>
      </c>
      <c r="N11639">
        <v>303</v>
      </c>
      <c r="O11639" t="str">
        <f>"RECEITAS COM ENTREGAS"</f>
        <v>RECEITAS COM ENTREGAS</v>
      </c>
      <c r="P11639">
        <v>3638</v>
      </c>
      <c r="S11639" t="str">
        <f>"RECEITAS COM ENTREGAS (303)"</f>
        <v>RECEITAS COM ENTREGAS (303)</v>
      </c>
      <c r="T11639">
        <v>22394</v>
      </c>
      <c r="U11639">
        <v>25570</v>
      </c>
      <c r="V11639" t="s">
        <v>22</v>
      </c>
    </row>
    <row r="11640" spans="1:22">
      <c r="A11640" t="str">
        <f t="shared" si="2254"/>
        <v>19/11/2025</v>
      </c>
      <c r="B11640" t="str">
        <f t="shared" si="2266"/>
        <v>ENTRADA</v>
      </c>
      <c r="C11640" t="str">
        <f t="shared" si="2267"/>
        <v>NFSE</v>
      </c>
      <c r="D11640" t="str">
        <f>"3721"</f>
        <v>3721</v>
      </c>
      <c r="E11640" t="str">
        <f t="shared" si="2262"/>
        <v>1</v>
      </c>
      <c r="F11640" t="str">
        <f t="shared" si="2265"/>
        <v>COM</v>
      </c>
      <c r="G11640" t="str">
        <f>"PENSE FARMA 15 (10195)"</f>
        <v>PENSE FARMA 15 (10195)</v>
      </c>
      <c r="H11640" t="s">
        <v>3117</v>
      </c>
      <c r="I11640" t="str">
        <f t="shared" si="2263"/>
        <v>19/11/2025</v>
      </c>
      <c r="J11640" t="str">
        <f t="shared" si="2268"/>
        <v>17/11/2025</v>
      </c>
      <c r="K11640">
        <v>45980</v>
      </c>
      <c r="N11640">
        <v>303</v>
      </c>
      <c r="O11640" t="s">
        <v>69</v>
      </c>
      <c r="Q11640">
        <v>909.5</v>
      </c>
      <c r="R11640" t="str">
        <f>"PENSE FARMA 15 (10195)"</f>
        <v>PENSE FARMA 15 (10195)</v>
      </c>
      <c r="S11640" t="s">
        <v>70</v>
      </c>
      <c r="T11640">
        <v>22394</v>
      </c>
      <c r="U11640">
        <v>25570</v>
      </c>
      <c r="V11640" t="s">
        <v>22</v>
      </c>
    </row>
    <row r="11641" spans="1:22">
      <c r="A11641" t="str">
        <f t="shared" si="2254"/>
        <v>19/11/2025</v>
      </c>
      <c r="B11641" t="str">
        <f t="shared" si="2266"/>
        <v>ENTRADA</v>
      </c>
      <c r="C11641" t="str">
        <f t="shared" si="2267"/>
        <v>NFSE</v>
      </c>
      <c r="D11641" t="str">
        <f>"3721"</f>
        <v>3721</v>
      </c>
      <c r="E11641" t="str">
        <f t="shared" si="2262"/>
        <v>1</v>
      </c>
      <c r="F11641" t="str">
        <f t="shared" si="2265"/>
        <v>COM</v>
      </c>
      <c r="G11641" t="str">
        <f>"PENSE FARMA 15 (10195)"</f>
        <v>PENSE FARMA 15 (10195)</v>
      </c>
      <c r="H11641" t="s">
        <v>3117</v>
      </c>
      <c r="I11641" t="str">
        <f t="shared" si="2263"/>
        <v>19/11/2025</v>
      </c>
      <c r="J11641" t="str">
        <f t="shared" si="2268"/>
        <v>17/11/2025</v>
      </c>
      <c r="K11641">
        <v>45980</v>
      </c>
      <c r="N11641">
        <v>303</v>
      </c>
      <c r="O11641" t="s">
        <v>69</v>
      </c>
      <c r="Q11641">
        <v>909.5</v>
      </c>
      <c r="R11641" t="str">
        <f>"PENSE FARMA 26 (10196)"</f>
        <v>PENSE FARMA 26 (10196)</v>
      </c>
      <c r="S11641" t="s">
        <v>70</v>
      </c>
      <c r="T11641">
        <v>22394</v>
      </c>
      <c r="U11641">
        <v>25570</v>
      </c>
      <c r="V11641" t="s">
        <v>22</v>
      </c>
    </row>
    <row r="11642" spans="1:22">
      <c r="A11642" t="str">
        <f t="shared" si="2254"/>
        <v>19/11/2025</v>
      </c>
      <c r="B11642" t="str">
        <f t="shared" si="2266"/>
        <v>ENTRADA</v>
      </c>
      <c r="C11642" t="str">
        <f t="shared" si="2267"/>
        <v>NFSE</v>
      </c>
      <c r="D11642" t="str">
        <f>"3721"</f>
        <v>3721</v>
      </c>
      <c r="E11642" t="str">
        <f t="shared" si="2262"/>
        <v>1</v>
      </c>
      <c r="F11642" t="str">
        <f t="shared" si="2265"/>
        <v>COM</v>
      </c>
      <c r="G11642" t="str">
        <f>"PENSE FARMA 15 (10195)"</f>
        <v>PENSE FARMA 15 (10195)</v>
      </c>
      <c r="H11642" t="s">
        <v>3117</v>
      </c>
      <c r="I11642" t="str">
        <f t="shared" si="2263"/>
        <v>19/11/2025</v>
      </c>
      <c r="J11642" t="str">
        <f t="shared" si="2268"/>
        <v>17/11/2025</v>
      </c>
      <c r="K11642">
        <v>45980</v>
      </c>
      <c r="N11642">
        <v>303</v>
      </c>
      <c r="O11642" t="s">
        <v>69</v>
      </c>
      <c r="Q11642">
        <v>909.5</v>
      </c>
      <c r="R11642" t="str">
        <f>"PENSE FARMA 60 (10197)"</f>
        <v>PENSE FARMA 60 (10197)</v>
      </c>
      <c r="S11642" t="s">
        <v>70</v>
      </c>
      <c r="T11642">
        <v>22394</v>
      </c>
      <c r="U11642">
        <v>25570</v>
      </c>
      <c r="V11642" t="s">
        <v>22</v>
      </c>
    </row>
    <row r="11643" spans="1:22">
      <c r="A11643" t="str">
        <f t="shared" si="2254"/>
        <v>19/11/2025</v>
      </c>
      <c r="B11643" t="str">
        <f t="shared" si="2266"/>
        <v>ENTRADA</v>
      </c>
      <c r="C11643" t="str">
        <f t="shared" si="2267"/>
        <v>NFSE</v>
      </c>
      <c r="D11643" t="str">
        <f>"3721"</f>
        <v>3721</v>
      </c>
      <c r="E11643" t="str">
        <f t="shared" si="2262"/>
        <v>1</v>
      </c>
      <c r="F11643" t="str">
        <f t="shared" si="2265"/>
        <v>COM</v>
      </c>
      <c r="G11643" t="str">
        <f>"PENSE FARMA 15 (10195)"</f>
        <v>PENSE FARMA 15 (10195)</v>
      </c>
      <c r="H11643" t="s">
        <v>3117</v>
      </c>
      <c r="I11643" t="str">
        <f t="shared" si="2263"/>
        <v>19/11/2025</v>
      </c>
      <c r="J11643" t="str">
        <f t="shared" si="2268"/>
        <v>17/11/2025</v>
      </c>
      <c r="K11643">
        <v>45980</v>
      </c>
      <c r="N11643">
        <v>303</v>
      </c>
      <c r="O11643" t="s">
        <v>69</v>
      </c>
      <c r="Q11643">
        <v>909.5</v>
      </c>
      <c r="R11643" t="str">
        <f>"PENSE FARMA 61 (10243)"</f>
        <v>PENSE FARMA 61 (10243)</v>
      </c>
      <c r="S11643" t="s">
        <v>70</v>
      </c>
      <c r="T11643">
        <v>22394</v>
      </c>
      <c r="U11643">
        <v>25570</v>
      </c>
      <c r="V11643" t="s">
        <v>22</v>
      </c>
    </row>
    <row r="11644" spans="1:22">
      <c r="A11644" t="str">
        <f t="shared" si="2254"/>
        <v>19/11/2025</v>
      </c>
      <c r="B11644" t="str">
        <f t="shared" si="2266"/>
        <v>ENTRADA</v>
      </c>
      <c r="C11644" t="str">
        <f t="shared" si="2267"/>
        <v>NFSE</v>
      </c>
      <c r="D11644" t="str">
        <f>"3722"</f>
        <v>3722</v>
      </c>
      <c r="E11644" t="str">
        <f t="shared" si="2262"/>
        <v>1</v>
      </c>
      <c r="F11644" t="str">
        <f t="shared" si="2265"/>
        <v>COM</v>
      </c>
      <c r="G11644" t="str">
        <f>"PENSE FARMA 46 (10194)"</f>
        <v>PENSE FARMA 46 (10194)</v>
      </c>
      <c r="H11644" t="str">
        <f>"Serv.Prest. 10/11/2025 a 16/11/2025 - RPS: 1598 - NFSe: 3722"</f>
        <v>Serv.Prest. 10/11/2025 a 16/11/2025 - RPS: 1598 - NFSe: 3722</v>
      </c>
      <c r="I11644" t="str">
        <f t="shared" si="2263"/>
        <v>19/11/2025</v>
      </c>
      <c r="J11644" t="str">
        <f t="shared" si="2268"/>
        <v>17/11/2025</v>
      </c>
      <c r="K11644" t="str">
        <f>("19/11/2025")</f>
        <v>19/11/2025</v>
      </c>
      <c r="L11644">
        <v>1938</v>
      </c>
      <c r="M11644">
        <v>1938</v>
      </c>
      <c r="N11644">
        <v>303</v>
      </c>
      <c r="O11644" t="str">
        <f>"RECEITAS COM ENTREGAS"</f>
        <v>RECEITAS COM ENTREGAS</v>
      </c>
      <c r="P11644">
        <v>1938</v>
      </c>
      <c r="S11644" t="str">
        <f>"RECEITAS COM ENTREGAS (303)"</f>
        <v>RECEITAS COM ENTREGAS (303)</v>
      </c>
      <c r="T11644">
        <v>22395</v>
      </c>
      <c r="U11644">
        <v>25576</v>
      </c>
      <c r="V11644" t="s">
        <v>22</v>
      </c>
    </row>
    <row r="11645" spans="1:22">
      <c r="A11645" t="str">
        <f t="shared" si="2254"/>
        <v>19/11/2025</v>
      </c>
      <c r="B11645" t="str">
        <f t="shared" si="2266"/>
        <v>ENTRADA</v>
      </c>
      <c r="C11645" t="str">
        <f t="shared" si="2267"/>
        <v>NFSE</v>
      </c>
      <c r="D11645" t="str">
        <f>"3722"</f>
        <v>3722</v>
      </c>
      <c r="E11645" t="str">
        <f t="shared" si="2262"/>
        <v>1</v>
      </c>
      <c r="F11645" t="str">
        <f t="shared" si="2265"/>
        <v>COM</v>
      </c>
      <c r="G11645" t="str">
        <f>"PENSE FARMA 46 (10194)"</f>
        <v>PENSE FARMA 46 (10194)</v>
      </c>
      <c r="H11645" t="s">
        <v>3118</v>
      </c>
      <c r="I11645" t="str">
        <f t="shared" si="2263"/>
        <v>19/11/2025</v>
      </c>
      <c r="J11645" t="str">
        <f t="shared" si="2268"/>
        <v>17/11/2025</v>
      </c>
      <c r="K11645">
        <v>45980</v>
      </c>
      <c r="N11645">
        <v>303</v>
      </c>
      <c r="O11645" t="s">
        <v>69</v>
      </c>
      <c r="Q11645">
        <v>1938</v>
      </c>
      <c r="R11645" t="str">
        <f>"PENSE FARMA 46 (10194)"</f>
        <v>PENSE FARMA 46 (10194)</v>
      </c>
      <c r="S11645" t="s">
        <v>70</v>
      </c>
      <c r="T11645">
        <v>22395</v>
      </c>
      <c r="U11645">
        <v>25576</v>
      </c>
      <c r="V11645" t="s">
        <v>22</v>
      </c>
    </row>
    <row r="11646" spans="1:22">
      <c r="A11646" t="str">
        <f t="shared" si="2254"/>
        <v>19/11/2025</v>
      </c>
      <c r="B11646" t="str">
        <f t="shared" si="2266"/>
        <v>ENTRADA</v>
      </c>
      <c r="C11646" t="str">
        <f t="shared" si="2267"/>
        <v>NFSE</v>
      </c>
      <c r="D11646" t="str">
        <f>"3715"</f>
        <v>3715</v>
      </c>
      <c r="E11646" t="str">
        <f t="shared" si="2262"/>
        <v>1</v>
      </c>
      <c r="F11646" t="str">
        <f t="shared" si="2265"/>
        <v>COM</v>
      </c>
      <c r="G11646" t="str">
        <f>"PENSE FARMA 35 (10227)"</f>
        <v>PENSE FARMA 35 (10227)</v>
      </c>
      <c r="H11646" t="str">
        <f>"Serv.Prest. 10/11/2025 a 16/11/2025 - RPS: 1591 - NFSe: 3715"</f>
        <v>Serv.Prest. 10/11/2025 a 16/11/2025 - RPS: 1591 - NFSe: 3715</v>
      </c>
      <c r="I11646" t="str">
        <f t="shared" si="2263"/>
        <v>19/11/2025</v>
      </c>
      <c r="J11646" t="str">
        <f t="shared" si="2268"/>
        <v>17/11/2025</v>
      </c>
      <c r="K11646" t="str">
        <f>("19/11/2025")</f>
        <v>19/11/2025</v>
      </c>
      <c r="L11646">
        <v>971.55</v>
      </c>
      <c r="M11646">
        <v>971.55</v>
      </c>
      <c r="N11646">
        <v>303</v>
      </c>
      <c r="O11646" t="str">
        <f>"RECEITAS COM ENTREGAS"</f>
        <v>RECEITAS COM ENTREGAS</v>
      </c>
      <c r="P11646">
        <v>971.55</v>
      </c>
      <c r="S11646" t="str">
        <f>"RECEITAS COM ENTREGAS (303)"</f>
        <v>RECEITAS COM ENTREGAS (303)</v>
      </c>
      <c r="T11646">
        <v>22396</v>
      </c>
      <c r="U11646">
        <v>25552</v>
      </c>
      <c r="V11646" t="s">
        <v>22</v>
      </c>
    </row>
    <row r="11647" spans="1:22">
      <c r="A11647" t="str">
        <f t="shared" si="2254"/>
        <v>19/11/2025</v>
      </c>
      <c r="B11647" t="str">
        <f t="shared" si="2266"/>
        <v>ENTRADA</v>
      </c>
      <c r="C11647" t="str">
        <f t="shared" si="2267"/>
        <v>NFSE</v>
      </c>
      <c r="D11647" t="str">
        <f>"3715"</f>
        <v>3715</v>
      </c>
      <c r="E11647" t="str">
        <f t="shared" si="2262"/>
        <v>1</v>
      </c>
      <c r="F11647" t="str">
        <f t="shared" si="2265"/>
        <v>COM</v>
      </c>
      <c r="G11647" t="str">
        <f>"PENSE FARMA 35 (10227)"</f>
        <v>PENSE FARMA 35 (10227)</v>
      </c>
      <c r="H11647" t="s">
        <v>3119</v>
      </c>
      <c r="I11647" t="str">
        <f t="shared" si="2263"/>
        <v>19/11/2025</v>
      </c>
      <c r="J11647" t="str">
        <f t="shared" si="2268"/>
        <v>17/11/2025</v>
      </c>
      <c r="K11647">
        <v>45980</v>
      </c>
      <c r="N11647">
        <v>303</v>
      </c>
      <c r="O11647" t="s">
        <v>69</v>
      </c>
      <c r="Q11647">
        <v>971.55</v>
      </c>
      <c r="R11647" t="str">
        <f>"PENSE FARMA 35 (10227)"</f>
        <v>PENSE FARMA 35 (10227)</v>
      </c>
      <c r="S11647" t="s">
        <v>70</v>
      </c>
      <c r="T11647">
        <v>22396</v>
      </c>
      <c r="U11647">
        <v>25552</v>
      </c>
      <c r="V11647" t="s">
        <v>22</v>
      </c>
    </row>
    <row r="11648" spans="1:22">
      <c r="A11648" t="str">
        <f t="shared" si="2254"/>
        <v>19/11/2025</v>
      </c>
      <c r="B11648" t="str">
        <f t="shared" si="2266"/>
        <v>ENTRADA</v>
      </c>
      <c r="C11648" t="str">
        <f t="shared" si="2267"/>
        <v>NFSE</v>
      </c>
      <c r="D11648" t="str">
        <f t="shared" ref="D11648:D11653" si="2269">"3717"</f>
        <v>3717</v>
      </c>
      <c r="E11648" t="str">
        <f t="shared" si="2262"/>
        <v>1</v>
      </c>
      <c r="F11648" t="str">
        <f t="shared" si="2265"/>
        <v>COM</v>
      </c>
      <c r="G11648" t="str">
        <f t="shared" ref="G11648:G11653" si="2270">"PENSE FARMA 08 (10217)"</f>
        <v>PENSE FARMA 08 (10217)</v>
      </c>
      <c r="H11648" t="str">
        <f>"Serv.Prest. 10/11/2025 a 16/11/2025 - RPS: 1593 - NFSe: 3717"</f>
        <v>Serv.Prest. 10/11/2025 a 16/11/2025 - RPS: 1593 - NFSe: 3717</v>
      </c>
      <c r="I11648" t="str">
        <f t="shared" si="2263"/>
        <v>19/11/2025</v>
      </c>
      <c r="J11648" t="str">
        <f t="shared" si="2268"/>
        <v>17/11/2025</v>
      </c>
      <c r="K11648" t="str">
        <f>("19/11/2025")</f>
        <v>19/11/2025</v>
      </c>
      <c r="L11648">
        <v>3340.5</v>
      </c>
      <c r="M11648">
        <v>3340.5</v>
      </c>
      <c r="N11648">
        <v>303</v>
      </c>
      <c r="O11648" t="str">
        <f>"RECEITAS COM ENTREGAS"</f>
        <v>RECEITAS COM ENTREGAS</v>
      </c>
      <c r="P11648">
        <v>3340.5</v>
      </c>
      <c r="S11648" t="str">
        <f>"RECEITAS COM ENTREGAS (303)"</f>
        <v>RECEITAS COM ENTREGAS (303)</v>
      </c>
      <c r="T11648">
        <v>22397</v>
      </c>
      <c r="U11648">
        <v>25559</v>
      </c>
      <c r="V11648" t="s">
        <v>22</v>
      </c>
    </row>
    <row r="11649" spans="1:22">
      <c r="A11649" t="str">
        <f t="shared" si="2254"/>
        <v>19/11/2025</v>
      </c>
      <c r="B11649" t="str">
        <f t="shared" si="2266"/>
        <v>ENTRADA</v>
      </c>
      <c r="C11649" t="str">
        <f t="shared" si="2267"/>
        <v>NFSE</v>
      </c>
      <c r="D11649" t="str">
        <f t="shared" si="2269"/>
        <v>3717</v>
      </c>
      <c r="E11649" t="str">
        <f t="shared" si="2262"/>
        <v>1</v>
      </c>
      <c r="F11649" t="str">
        <f t="shared" si="2265"/>
        <v>COM</v>
      </c>
      <c r="G11649" t="str">
        <f t="shared" si="2270"/>
        <v>PENSE FARMA 08 (10217)</v>
      </c>
      <c r="H11649" t="s">
        <v>3120</v>
      </c>
      <c r="I11649" t="str">
        <f t="shared" si="2263"/>
        <v>19/11/2025</v>
      </c>
      <c r="J11649" t="str">
        <f t="shared" si="2268"/>
        <v>17/11/2025</v>
      </c>
      <c r="K11649">
        <v>45980</v>
      </c>
      <c r="N11649">
        <v>303</v>
      </c>
      <c r="O11649" t="s">
        <v>69</v>
      </c>
      <c r="Q11649">
        <v>668.1</v>
      </c>
      <c r="R11649" t="str">
        <f>"PENSE FARMA 08 (10217)"</f>
        <v>PENSE FARMA 08 (10217)</v>
      </c>
      <c r="S11649" t="s">
        <v>70</v>
      </c>
      <c r="T11649">
        <v>22397</v>
      </c>
      <c r="U11649">
        <v>25559</v>
      </c>
      <c r="V11649" t="s">
        <v>22</v>
      </c>
    </row>
    <row r="11650" spans="1:22">
      <c r="A11650" t="str">
        <f t="shared" si="2254"/>
        <v>19/11/2025</v>
      </c>
      <c r="B11650" t="str">
        <f t="shared" si="2266"/>
        <v>ENTRADA</v>
      </c>
      <c r="C11650" t="str">
        <f t="shared" si="2267"/>
        <v>NFSE</v>
      </c>
      <c r="D11650" t="str">
        <f t="shared" si="2269"/>
        <v>3717</v>
      </c>
      <c r="E11650" t="str">
        <f t="shared" si="2262"/>
        <v>1</v>
      </c>
      <c r="F11650" t="str">
        <f t="shared" si="2265"/>
        <v>COM</v>
      </c>
      <c r="G11650" t="str">
        <f t="shared" si="2270"/>
        <v>PENSE FARMA 08 (10217)</v>
      </c>
      <c r="H11650" t="s">
        <v>3120</v>
      </c>
      <c r="I11650" t="str">
        <f t="shared" si="2263"/>
        <v>19/11/2025</v>
      </c>
      <c r="J11650" t="str">
        <f t="shared" si="2268"/>
        <v>17/11/2025</v>
      </c>
      <c r="K11650">
        <v>45980</v>
      </c>
      <c r="N11650">
        <v>303</v>
      </c>
      <c r="O11650" t="s">
        <v>69</v>
      </c>
      <c r="Q11650">
        <v>668.1</v>
      </c>
      <c r="R11650" t="str">
        <f>"PENSE FARMA 11 (10220)"</f>
        <v>PENSE FARMA 11 (10220)</v>
      </c>
      <c r="S11650" t="s">
        <v>70</v>
      </c>
      <c r="T11650">
        <v>22397</v>
      </c>
      <c r="U11650">
        <v>25559</v>
      </c>
      <c r="V11650" t="s">
        <v>22</v>
      </c>
    </row>
    <row r="11651" spans="1:22">
      <c r="A11651" t="str">
        <f t="shared" si="2254"/>
        <v>19/11/2025</v>
      </c>
      <c r="B11651" t="str">
        <f t="shared" si="2266"/>
        <v>ENTRADA</v>
      </c>
      <c r="C11651" t="str">
        <f t="shared" si="2267"/>
        <v>NFSE</v>
      </c>
      <c r="D11651" t="str">
        <f t="shared" si="2269"/>
        <v>3717</v>
      </c>
      <c r="E11651" t="str">
        <f t="shared" si="2262"/>
        <v>1</v>
      </c>
      <c r="F11651" t="str">
        <f t="shared" si="2265"/>
        <v>COM</v>
      </c>
      <c r="G11651" t="str">
        <f t="shared" si="2270"/>
        <v>PENSE FARMA 08 (10217)</v>
      </c>
      <c r="H11651" t="s">
        <v>3120</v>
      </c>
      <c r="I11651" t="str">
        <f t="shared" si="2263"/>
        <v>19/11/2025</v>
      </c>
      <c r="J11651" t="str">
        <f t="shared" si="2268"/>
        <v>17/11/2025</v>
      </c>
      <c r="K11651">
        <v>45980</v>
      </c>
      <c r="N11651">
        <v>303</v>
      </c>
      <c r="O11651" t="s">
        <v>69</v>
      </c>
      <c r="Q11651">
        <v>668.1</v>
      </c>
      <c r="R11651" t="str">
        <f>"PENSE FARMA 41 (10229)"</f>
        <v>PENSE FARMA 41 (10229)</v>
      </c>
      <c r="S11651" t="s">
        <v>70</v>
      </c>
      <c r="T11651">
        <v>22397</v>
      </c>
      <c r="U11651">
        <v>25559</v>
      </c>
      <c r="V11651" t="s">
        <v>22</v>
      </c>
    </row>
    <row r="11652" spans="1:22">
      <c r="A11652" t="str">
        <f t="shared" si="2254"/>
        <v>19/11/2025</v>
      </c>
      <c r="B11652" t="str">
        <f t="shared" si="2266"/>
        <v>ENTRADA</v>
      </c>
      <c r="C11652" t="str">
        <f t="shared" si="2267"/>
        <v>NFSE</v>
      </c>
      <c r="D11652" t="str">
        <f t="shared" si="2269"/>
        <v>3717</v>
      </c>
      <c r="E11652" t="str">
        <f t="shared" si="2262"/>
        <v>1</v>
      </c>
      <c r="F11652" t="str">
        <f t="shared" si="2265"/>
        <v>COM</v>
      </c>
      <c r="G11652" t="str">
        <f t="shared" si="2270"/>
        <v>PENSE FARMA 08 (10217)</v>
      </c>
      <c r="H11652" t="s">
        <v>3120</v>
      </c>
      <c r="I11652" t="str">
        <f t="shared" si="2263"/>
        <v>19/11/2025</v>
      </c>
      <c r="J11652" t="str">
        <f t="shared" si="2268"/>
        <v>17/11/2025</v>
      </c>
      <c r="K11652">
        <v>45980</v>
      </c>
      <c r="N11652">
        <v>303</v>
      </c>
      <c r="O11652" t="s">
        <v>69</v>
      </c>
      <c r="Q11652">
        <v>668.1</v>
      </c>
      <c r="R11652" t="str">
        <f>"PENSE FARMA 42 (10230)"</f>
        <v>PENSE FARMA 42 (10230)</v>
      </c>
      <c r="S11652" t="s">
        <v>70</v>
      </c>
      <c r="T11652">
        <v>22397</v>
      </c>
      <c r="U11652">
        <v>25559</v>
      </c>
      <c r="V11652" t="s">
        <v>22</v>
      </c>
    </row>
    <row r="11653" spans="1:22">
      <c r="A11653" t="str">
        <f t="shared" si="2254"/>
        <v>19/11/2025</v>
      </c>
      <c r="B11653" t="str">
        <f t="shared" si="2266"/>
        <v>ENTRADA</v>
      </c>
      <c r="C11653" t="str">
        <f t="shared" si="2267"/>
        <v>NFSE</v>
      </c>
      <c r="D11653" t="str">
        <f t="shared" si="2269"/>
        <v>3717</v>
      </c>
      <c r="E11653" t="str">
        <f t="shared" si="2262"/>
        <v>1</v>
      </c>
      <c r="F11653" t="str">
        <f t="shared" si="2265"/>
        <v>COM</v>
      </c>
      <c r="G11653" t="str">
        <f t="shared" si="2270"/>
        <v>PENSE FARMA 08 (10217)</v>
      </c>
      <c r="H11653" t="s">
        <v>3120</v>
      </c>
      <c r="I11653" t="str">
        <f t="shared" si="2263"/>
        <v>19/11/2025</v>
      </c>
      <c r="J11653" t="str">
        <f t="shared" si="2268"/>
        <v>17/11/2025</v>
      </c>
      <c r="K11653">
        <v>45980</v>
      </c>
      <c r="N11653">
        <v>303</v>
      </c>
      <c r="O11653" t="s">
        <v>69</v>
      </c>
      <c r="Q11653">
        <v>668.1</v>
      </c>
      <c r="R11653" t="str">
        <f>"PENSE FARMA 52 (10236)"</f>
        <v>PENSE FARMA 52 (10236)</v>
      </c>
      <c r="S11653" t="s">
        <v>70</v>
      </c>
      <c r="T11653">
        <v>22397</v>
      </c>
      <c r="U11653">
        <v>25559</v>
      </c>
      <c r="V11653" t="s">
        <v>22</v>
      </c>
    </row>
    <row r="11654" spans="1:22">
      <c r="A11654" t="str">
        <f t="shared" si="2254"/>
        <v>19/11/2025</v>
      </c>
      <c r="B11654" t="str">
        <f t="shared" si="2266"/>
        <v>ENTRADA</v>
      </c>
      <c r="C11654" t="str">
        <f t="shared" si="2267"/>
        <v>NFSE</v>
      </c>
      <c r="D11654" t="str">
        <f>"3713"</f>
        <v>3713</v>
      </c>
      <c r="E11654" t="str">
        <f t="shared" si="2262"/>
        <v>1</v>
      </c>
      <c r="F11654" t="str">
        <f t="shared" si="2265"/>
        <v>COM</v>
      </c>
      <c r="G11654" t="str">
        <f>"PENSE FARMA 25 (10224)"</f>
        <v>PENSE FARMA 25 (10224)</v>
      </c>
      <c r="H11654" t="str">
        <f>"Serv.Prest. 10/11/2025 a 16/11/2025 - RPS: 1589 - NFSe: 3713"</f>
        <v>Serv.Prest. 10/11/2025 a 16/11/2025 - RPS: 1589 - NFSe: 3713</v>
      </c>
      <c r="I11654" t="str">
        <f t="shared" si="2263"/>
        <v>19/11/2025</v>
      </c>
      <c r="J11654" t="str">
        <f t="shared" si="2268"/>
        <v>17/11/2025</v>
      </c>
      <c r="K11654" t="str">
        <f>("19/11/2025")</f>
        <v>19/11/2025</v>
      </c>
      <c r="L11654">
        <v>3394.64</v>
      </c>
      <c r="M11654">
        <v>3394.64</v>
      </c>
      <c r="N11654">
        <v>303</v>
      </c>
      <c r="O11654" t="str">
        <f>"RECEITAS COM ENTREGAS"</f>
        <v>RECEITAS COM ENTREGAS</v>
      </c>
      <c r="P11654">
        <v>3394.64</v>
      </c>
      <c r="S11654" t="str">
        <f>"RECEITAS COM ENTREGAS (303)"</f>
        <v>RECEITAS COM ENTREGAS (303)</v>
      </c>
      <c r="T11654">
        <v>22398</v>
      </c>
      <c r="U11654">
        <v>25546</v>
      </c>
      <c r="V11654" t="s">
        <v>22</v>
      </c>
    </row>
    <row r="11655" spans="1:22">
      <c r="A11655" t="str">
        <f t="shared" si="2254"/>
        <v>19/11/2025</v>
      </c>
      <c r="B11655" t="str">
        <f t="shared" si="2266"/>
        <v>ENTRADA</v>
      </c>
      <c r="C11655" t="str">
        <f t="shared" si="2267"/>
        <v>NFSE</v>
      </c>
      <c r="D11655" t="str">
        <f>"3713"</f>
        <v>3713</v>
      </c>
      <c r="E11655" t="str">
        <f t="shared" ref="E11655:E11686" si="2271">"1"</f>
        <v>1</v>
      </c>
      <c r="F11655" t="str">
        <f t="shared" si="2265"/>
        <v>COM</v>
      </c>
      <c r="G11655" t="str">
        <f>"PENSE FARMA 25 (10224)"</f>
        <v>PENSE FARMA 25 (10224)</v>
      </c>
      <c r="H11655" t="s">
        <v>3121</v>
      </c>
      <c r="I11655" t="str">
        <f t="shared" ref="I11655:I11686" si="2272">("19/11/2025")</f>
        <v>19/11/2025</v>
      </c>
      <c r="J11655" t="str">
        <f t="shared" si="2268"/>
        <v>17/11/2025</v>
      </c>
      <c r="K11655">
        <v>45980</v>
      </c>
      <c r="N11655">
        <v>303</v>
      </c>
      <c r="O11655" t="s">
        <v>69</v>
      </c>
      <c r="Q11655">
        <v>3394.64</v>
      </c>
      <c r="R11655" t="str">
        <f>"PENSE FARMA 25 (10224)"</f>
        <v>PENSE FARMA 25 (10224)</v>
      </c>
      <c r="S11655" t="s">
        <v>70</v>
      </c>
      <c r="T11655">
        <v>22398</v>
      </c>
      <c r="U11655">
        <v>25546</v>
      </c>
      <c r="V11655" t="s">
        <v>22</v>
      </c>
    </row>
    <row r="11656" spans="1:22">
      <c r="A11656" t="str">
        <f t="shared" si="2254"/>
        <v>19/11/2025</v>
      </c>
      <c r="B11656" t="str">
        <f t="shared" si="2266"/>
        <v>ENTRADA</v>
      </c>
      <c r="C11656" t="str">
        <f t="shared" si="2267"/>
        <v>NFSE</v>
      </c>
      <c r="D11656" t="str">
        <f>"3743"</f>
        <v>3743</v>
      </c>
      <c r="E11656" t="str">
        <f t="shared" si="2271"/>
        <v>1</v>
      </c>
      <c r="F11656" t="str">
        <f t="shared" si="2265"/>
        <v>COM</v>
      </c>
      <c r="G11656" t="str">
        <f>"PENSE FARMA 22 (10198)"</f>
        <v>PENSE FARMA 22 (10198)</v>
      </c>
      <c r="H11656" t="str">
        <f>"Serv.Prest. 10/11/2025 a 16/11/2025 - RPS: 1619 - NFSe: 3743"</f>
        <v>Serv.Prest. 10/11/2025 a 16/11/2025 - RPS: 1619 - NFSe: 3743</v>
      </c>
      <c r="I11656" t="str">
        <f t="shared" si="2272"/>
        <v>19/11/2025</v>
      </c>
      <c r="J11656" t="str">
        <f>("18/11/2025")</f>
        <v>18/11/2025</v>
      </c>
      <c r="K11656" t="str">
        <f>("19/11/2025")</f>
        <v>19/11/2025</v>
      </c>
      <c r="L11656">
        <v>4367.82</v>
      </c>
      <c r="M11656">
        <v>4367.82</v>
      </c>
      <c r="N11656">
        <v>303</v>
      </c>
      <c r="O11656" t="str">
        <f>"RECEITAS COM ENTREGAS"</f>
        <v>RECEITAS COM ENTREGAS</v>
      </c>
      <c r="P11656">
        <v>4367.82</v>
      </c>
      <c r="S11656" t="str">
        <f>"RECEITAS COM ENTREGAS (303)"</f>
        <v>RECEITAS COM ENTREGAS (303)</v>
      </c>
      <c r="T11656">
        <v>22399</v>
      </c>
      <c r="U11656">
        <v>25658</v>
      </c>
      <c r="V11656" t="s">
        <v>22</v>
      </c>
    </row>
    <row r="11657" spans="1:22">
      <c r="A11657" t="str">
        <f t="shared" ref="A11657:A11720" si="2273">("19/11/2025")</f>
        <v>19/11/2025</v>
      </c>
      <c r="B11657" t="str">
        <f t="shared" si="2266"/>
        <v>ENTRADA</v>
      </c>
      <c r="C11657" t="str">
        <f t="shared" si="2267"/>
        <v>NFSE</v>
      </c>
      <c r="D11657" t="str">
        <f>"3743"</f>
        <v>3743</v>
      </c>
      <c r="E11657" t="str">
        <f t="shared" si="2271"/>
        <v>1</v>
      </c>
      <c r="F11657" t="str">
        <f t="shared" ref="F11657:F11688" si="2274">"COM"</f>
        <v>COM</v>
      </c>
      <c r="G11657" t="str">
        <f>"PENSE FARMA 22 (10198)"</f>
        <v>PENSE FARMA 22 (10198)</v>
      </c>
      <c r="H11657" t="s">
        <v>3122</v>
      </c>
      <c r="I11657" t="str">
        <f t="shared" si="2272"/>
        <v>19/11/2025</v>
      </c>
      <c r="J11657" t="str">
        <f>("18/11/2025")</f>
        <v>18/11/2025</v>
      </c>
      <c r="K11657">
        <v>45980</v>
      </c>
      <c r="N11657">
        <v>303</v>
      </c>
      <c r="O11657" t="s">
        <v>69</v>
      </c>
      <c r="Q11657">
        <v>4367.82</v>
      </c>
      <c r="R11657" t="str">
        <f>"PENSE FARMA 22 (10198)"</f>
        <v>PENSE FARMA 22 (10198)</v>
      </c>
      <c r="S11657" t="s">
        <v>70</v>
      </c>
      <c r="T11657">
        <v>22399</v>
      </c>
      <c r="U11657">
        <v>25658</v>
      </c>
      <c r="V11657" t="s">
        <v>22</v>
      </c>
    </row>
    <row r="11658" spans="1:22">
      <c r="A11658" t="str">
        <f t="shared" si="2273"/>
        <v>19/11/2025</v>
      </c>
      <c r="B11658" t="str">
        <f t="shared" si="2266"/>
        <v>ENTRADA</v>
      </c>
      <c r="C11658" t="str">
        <f t="shared" si="2267"/>
        <v>NFSE</v>
      </c>
      <c r="D11658" t="str">
        <f>"3726"</f>
        <v>3726</v>
      </c>
      <c r="E11658" t="str">
        <f t="shared" si="2271"/>
        <v>1</v>
      </c>
      <c r="F11658" t="str">
        <f t="shared" si="2274"/>
        <v>COM</v>
      </c>
      <c r="G11658" t="str">
        <f>"PENSE FARMA 07 (10201)"</f>
        <v>PENSE FARMA 07 (10201)</v>
      </c>
      <c r="H11658" t="str">
        <f>"Serv.Prest. 10/11/2025 a 16/11/2025 - RPS: 1602 - NFSe: 3726"</f>
        <v>Serv.Prest. 10/11/2025 a 16/11/2025 - RPS: 1602 - NFSe: 3726</v>
      </c>
      <c r="I11658" t="str">
        <f t="shared" si="2272"/>
        <v>19/11/2025</v>
      </c>
      <c r="J11658" t="str">
        <f t="shared" ref="J11658:J11690" si="2275">("17/11/2025")</f>
        <v>17/11/2025</v>
      </c>
      <c r="K11658" t="str">
        <f>("19/11/2025")</f>
        <v>19/11/2025</v>
      </c>
      <c r="L11658">
        <v>1755.25</v>
      </c>
      <c r="M11658">
        <v>1755.25</v>
      </c>
      <c r="N11658">
        <v>303</v>
      </c>
      <c r="O11658" t="str">
        <f>"RECEITAS COM ENTREGAS"</f>
        <v>RECEITAS COM ENTREGAS</v>
      </c>
      <c r="P11658">
        <v>1755.25</v>
      </c>
      <c r="S11658" t="str">
        <f>"RECEITAS COM ENTREGAS (303)"</f>
        <v>RECEITAS COM ENTREGAS (303)</v>
      </c>
      <c r="T11658">
        <v>22400</v>
      </c>
      <c r="U11658">
        <v>25592</v>
      </c>
      <c r="V11658" t="s">
        <v>22</v>
      </c>
    </row>
    <row r="11659" spans="1:22">
      <c r="A11659" t="str">
        <f t="shared" si="2273"/>
        <v>19/11/2025</v>
      </c>
      <c r="B11659" t="str">
        <f t="shared" si="2266"/>
        <v>ENTRADA</v>
      </c>
      <c r="C11659" t="str">
        <f t="shared" si="2267"/>
        <v>NFSE</v>
      </c>
      <c r="D11659" t="str">
        <f>"3726"</f>
        <v>3726</v>
      </c>
      <c r="E11659" t="str">
        <f t="shared" si="2271"/>
        <v>1</v>
      </c>
      <c r="F11659" t="str">
        <f t="shared" si="2274"/>
        <v>COM</v>
      </c>
      <c r="G11659" t="str">
        <f>"PENSE FARMA 07 (10201)"</f>
        <v>PENSE FARMA 07 (10201)</v>
      </c>
      <c r="H11659" t="s">
        <v>3123</v>
      </c>
      <c r="I11659" t="str">
        <f t="shared" si="2272"/>
        <v>19/11/2025</v>
      </c>
      <c r="J11659" t="str">
        <f t="shared" si="2275"/>
        <v>17/11/2025</v>
      </c>
      <c r="K11659">
        <v>45980</v>
      </c>
      <c r="N11659">
        <v>303</v>
      </c>
      <c r="O11659" t="s">
        <v>69</v>
      </c>
      <c r="Q11659">
        <v>583.1</v>
      </c>
      <c r="R11659" t="str">
        <f>"PENSE FARMA 07 (10201)"</f>
        <v>PENSE FARMA 07 (10201)</v>
      </c>
      <c r="S11659" t="s">
        <v>70</v>
      </c>
      <c r="T11659">
        <v>22400</v>
      </c>
      <c r="U11659">
        <v>25592</v>
      </c>
      <c r="V11659" t="s">
        <v>22</v>
      </c>
    </row>
    <row r="11660" spans="1:22">
      <c r="A11660" t="str">
        <f t="shared" si="2273"/>
        <v>19/11/2025</v>
      </c>
      <c r="B11660" t="str">
        <f t="shared" si="2266"/>
        <v>ENTRADA</v>
      </c>
      <c r="C11660" t="str">
        <f t="shared" si="2267"/>
        <v>NFSE</v>
      </c>
      <c r="D11660" t="str">
        <f>"3726"</f>
        <v>3726</v>
      </c>
      <c r="E11660" t="str">
        <f t="shared" si="2271"/>
        <v>1</v>
      </c>
      <c r="F11660" t="str">
        <f t="shared" si="2274"/>
        <v>COM</v>
      </c>
      <c r="G11660" t="str">
        <f>"PENSE FARMA 07 (10201)"</f>
        <v>PENSE FARMA 07 (10201)</v>
      </c>
      <c r="H11660" t="s">
        <v>3123</v>
      </c>
      <c r="I11660" t="str">
        <f t="shared" si="2272"/>
        <v>19/11/2025</v>
      </c>
      <c r="J11660" t="str">
        <f t="shared" si="2275"/>
        <v>17/11/2025</v>
      </c>
      <c r="K11660">
        <v>45980</v>
      </c>
      <c r="N11660">
        <v>303</v>
      </c>
      <c r="O11660" t="s">
        <v>69</v>
      </c>
      <c r="Q11660">
        <v>583.09</v>
      </c>
      <c r="R11660" t="str">
        <f>"PENSE FARMA 45 (10209)"</f>
        <v>PENSE FARMA 45 (10209)</v>
      </c>
      <c r="S11660" t="s">
        <v>70</v>
      </c>
      <c r="T11660">
        <v>22400</v>
      </c>
      <c r="U11660">
        <v>25592</v>
      </c>
      <c r="V11660" t="s">
        <v>22</v>
      </c>
    </row>
    <row r="11661" spans="1:22">
      <c r="A11661" t="str">
        <f t="shared" si="2273"/>
        <v>19/11/2025</v>
      </c>
      <c r="B11661" t="str">
        <f t="shared" si="2266"/>
        <v>ENTRADA</v>
      </c>
      <c r="C11661" t="str">
        <f t="shared" si="2267"/>
        <v>NFSE</v>
      </c>
      <c r="D11661" t="str">
        <f>"3726"</f>
        <v>3726</v>
      </c>
      <c r="E11661" t="str">
        <f t="shared" si="2271"/>
        <v>1</v>
      </c>
      <c r="F11661" t="str">
        <f t="shared" si="2274"/>
        <v>COM</v>
      </c>
      <c r="G11661" t="str">
        <f>"PENSE FARMA 07 (10201)"</f>
        <v>PENSE FARMA 07 (10201)</v>
      </c>
      <c r="H11661" t="s">
        <v>3123</v>
      </c>
      <c r="I11661" t="str">
        <f t="shared" si="2272"/>
        <v>19/11/2025</v>
      </c>
      <c r="J11661" t="str">
        <f t="shared" si="2275"/>
        <v>17/11/2025</v>
      </c>
      <c r="K11661">
        <v>45980</v>
      </c>
      <c r="N11661">
        <v>303</v>
      </c>
      <c r="O11661" t="s">
        <v>69</v>
      </c>
      <c r="Q11661">
        <v>589.05999999999995</v>
      </c>
      <c r="R11661" t="str">
        <f>"PENSE FARMA 50 (10210)"</f>
        <v>PENSE FARMA 50 (10210)</v>
      </c>
      <c r="S11661" t="s">
        <v>70</v>
      </c>
      <c r="T11661">
        <v>22400</v>
      </c>
      <c r="U11661">
        <v>25592</v>
      </c>
      <c r="V11661" t="s">
        <v>22</v>
      </c>
    </row>
    <row r="11662" spans="1:22">
      <c r="A11662" t="str">
        <f t="shared" si="2273"/>
        <v>19/11/2025</v>
      </c>
      <c r="B11662" t="str">
        <f t="shared" si="2266"/>
        <v>ENTRADA</v>
      </c>
      <c r="C11662" t="str">
        <f t="shared" si="2267"/>
        <v>NFSE</v>
      </c>
      <c r="D11662" t="str">
        <f>"3712"</f>
        <v>3712</v>
      </c>
      <c r="E11662" t="str">
        <f t="shared" si="2271"/>
        <v>1</v>
      </c>
      <c r="F11662" t="str">
        <f t="shared" si="2274"/>
        <v>COM</v>
      </c>
      <c r="G11662" t="str">
        <f>"DROGARIA AGAPEAMA (10167)"</f>
        <v>DROGARIA AGAPEAMA (10167)</v>
      </c>
      <c r="H11662" t="str">
        <f>"Serv.Prest. 10/11/2025 a 16/11/2025 - RPS: 1588 - NFSe: 3712"</f>
        <v>Serv.Prest. 10/11/2025 a 16/11/2025 - RPS: 1588 - NFSe: 3712</v>
      </c>
      <c r="I11662" t="str">
        <f t="shared" si="2272"/>
        <v>19/11/2025</v>
      </c>
      <c r="J11662" t="str">
        <f t="shared" si="2275"/>
        <v>17/11/2025</v>
      </c>
      <c r="K11662" t="str">
        <f>("19/11/2025")</f>
        <v>19/11/2025</v>
      </c>
      <c r="L11662">
        <v>3902.4</v>
      </c>
      <c r="M11662">
        <v>3902.4</v>
      </c>
      <c r="N11662">
        <v>303</v>
      </c>
      <c r="O11662" t="str">
        <f>"RECEITAS COM ENTREGAS"</f>
        <v>RECEITAS COM ENTREGAS</v>
      </c>
      <c r="P11662">
        <v>3902.4</v>
      </c>
      <c r="S11662" t="str">
        <f>"RECEITAS COM ENTREGAS (303)"</f>
        <v>RECEITAS COM ENTREGAS (303)</v>
      </c>
      <c r="T11662">
        <v>22401</v>
      </c>
      <c r="U11662">
        <v>25542</v>
      </c>
      <c r="V11662" t="s">
        <v>22</v>
      </c>
    </row>
    <row r="11663" spans="1:22">
      <c r="A11663" t="str">
        <f t="shared" si="2273"/>
        <v>19/11/2025</v>
      </c>
      <c r="B11663" t="str">
        <f t="shared" si="2266"/>
        <v>ENTRADA</v>
      </c>
      <c r="C11663" t="str">
        <f t="shared" si="2267"/>
        <v>NFSE</v>
      </c>
      <c r="D11663" t="str">
        <f>"3712"</f>
        <v>3712</v>
      </c>
      <c r="E11663" t="str">
        <f t="shared" si="2271"/>
        <v>1</v>
      </c>
      <c r="F11663" t="str">
        <f t="shared" si="2274"/>
        <v>COM</v>
      </c>
      <c r="G11663" t="str">
        <f>"DROGARIA AGAPEAMA (10167)"</f>
        <v>DROGARIA AGAPEAMA (10167)</v>
      </c>
      <c r="H11663" t="s">
        <v>3124</v>
      </c>
      <c r="I11663" t="str">
        <f t="shared" si="2272"/>
        <v>19/11/2025</v>
      </c>
      <c r="J11663" t="str">
        <f t="shared" si="2275"/>
        <v>17/11/2025</v>
      </c>
      <c r="K11663">
        <v>45980</v>
      </c>
      <c r="N11663">
        <v>303</v>
      </c>
      <c r="O11663" t="s">
        <v>69</v>
      </c>
      <c r="Q11663">
        <v>3902.4</v>
      </c>
      <c r="R11663" t="str">
        <f>"DROGARIA AGAPEAMA (10167)"</f>
        <v>DROGARIA AGAPEAMA (10167)</v>
      </c>
      <c r="S11663" t="s">
        <v>70</v>
      </c>
      <c r="T11663">
        <v>22401</v>
      </c>
      <c r="U11663">
        <v>25542</v>
      </c>
      <c r="V11663" t="s">
        <v>22</v>
      </c>
    </row>
    <row r="11664" spans="1:22">
      <c r="A11664" t="str">
        <f t="shared" si="2273"/>
        <v>19/11/2025</v>
      </c>
      <c r="B11664" t="str">
        <f t="shared" si="2266"/>
        <v>ENTRADA</v>
      </c>
      <c r="C11664" t="str">
        <f t="shared" si="2267"/>
        <v>NFSE</v>
      </c>
      <c r="D11664" t="str">
        <f t="shared" ref="D11664:D11670" si="2276">"3724"</f>
        <v>3724</v>
      </c>
      <c r="E11664" t="str">
        <f t="shared" si="2271"/>
        <v>1</v>
      </c>
      <c r="F11664" t="str">
        <f t="shared" si="2274"/>
        <v>COM</v>
      </c>
      <c r="G11664" t="str">
        <f t="shared" ref="G11664:G11670" si="2277">"PENSE FARMA 36 (10206)"</f>
        <v>PENSE FARMA 36 (10206)</v>
      </c>
      <c r="H11664" t="str">
        <f>"Serv.Prest. 10/11/2025 a 16/11/2025 - RPS: 1600 - NFSe: 3724"</f>
        <v>Serv.Prest. 10/11/2025 a 16/11/2025 - RPS: 1600 - NFSe: 3724</v>
      </c>
      <c r="I11664" t="str">
        <f t="shared" si="2272"/>
        <v>19/11/2025</v>
      </c>
      <c r="J11664" t="str">
        <f t="shared" si="2275"/>
        <v>17/11/2025</v>
      </c>
      <c r="K11664" t="str">
        <f>("19/11/2025")</f>
        <v>19/11/2025</v>
      </c>
      <c r="L11664">
        <v>5068.12</v>
      </c>
      <c r="M11664">
        <v>5068.12</v>
      </c>
      <c r="N11664">
        <v>303</v>
      </c>
      <c r="O11664" t="str">
        <f>"RECEITAS COM ENTREGAS"</f>
        <v>RECEITAS COM ENTREGAS</v>
      </c>
      <c r="P11664">
        <v>5068.12</v>
      </c>
      <c r="S11664" t="str">
        <f>"RECEITAS COM ENTREGAS (303)"</f>
        <v>RECEITAS COM ENTREGAS (303)</v>
      </c>
      <c r="T11664">
        <v>22402</v>
      </c>
      <c r="U11664">
        <v>25584</v>
      </c>
      <c r="V11664" t="s">
        <v>22</v>
      </c>
    </row>
    <row r="11665" spans="1:22">
      <c r="A11665" t="str">
        <f t="shared" si="2273"/>
        <v>19/11/2025</v>
      </c>
      <c r="B11665" t="str">
        <f t="shared" si="2266"/>
        <v>ENTRADA</v>
      </c>
      <c r="C11665" t="str">
        <f t="shared" si="2267"/>
        <v>NFSE</v>
      </c>
      <c r="D11665" t="str">
        <f t="shared" si="2276"/>
        <v>3724</v>
      </c>
      <c r="E11665" t="str">
        <f t="shared" si="2271"/>
        <v>1</v>
      </c>
      <c r="F11665" t="str">
        <f t="shared" si="2274"/>
        <v>COM</v>
      </c>
      <c r="G11665" t="str">
        <f t="shared" si="2277"/>
        <v>PENSE FARMA 36 (10206)</v>
      </c>
      <c r="H11665" t="s">
        <v>3125</v>
      </c>
      <c r="I11665" t="str">
        <f t="shared" si="2272"/>
        <v>19/11/2025</v>
      </c>
      <c r="J11665" t="str">
        <f t="shared" si="2275"/>
        <v>17/11/2025</v>
      </c>
      <c r="K11665">
        <v>45980</v>
      </c>
      <c r="N11665">
        <v>303</v>
      </c>
      <c r="O11665" t="s">
        <v>69</v>
      </c>
      <c r="Q11665">
        <v>840.31</v>
      </c>
      <c r="R11665" t="str">
        <f>"PENSE FARMA 20 (10203)"</f>
        <v>PENSE FARMA 20 (10203)</v>
      </c>
      <c r="S11665" t="s">
        <v>70</v>
      </c>
      <c r="T11665">
        <v>22402</v>
      </c>
      <c r="U11665">
        <v>25584</v>
      </c>
      <c r="V11665" t="s">
        <v>22</v>
      </c>
    </row>
    <row r="11666" spans="1:22">
      <c r="A11666" t="str">
        <f t="shared" si="2273"/>
        <v>19/11/2025</v>
      </c>
      <c r="B11666" t="str">
        <f t="shared" si="2266"/>
        <v>ENTRADA</v>
      </c>
      <c r="C11666" t="str">
        <f t="shared" si="2267"/>
        <v>NFSE</v>
      </c>
      <c r="D11666" t="str">
        <f t="shared" si="2276"/>
        <v>3724</v>
      </c>
      <c r="E11666" t="str">
        <f t="shared" si="2271"/>
        <v>1</v>
      </c>
      <c r="F11666" t="str">
        <f t="shared" si="2274"/>
        <v>COM</v>
      </c>
      <c r="G11666" t="str">
        <f t="shared" si="2277"/>
        <v>PENSE FARMA 36 (10206)</v>
      </c>
      <c r="H11666" t="s">
        <v>3125</v>
      </c>
      <c r="I11666" t="str">
        <f t="shared" si="2272"/>
        <v>19/11/2025</v>
      </c>
      <c r="J11666" t="str">
        <f t="shared" si="2275"/>
        <v>17/11/2025</v>
      </c>
      <c r="K11666">
        <v>45980</v>
      </c>
      <c r="N11666">
        <v>303</v>
      </c>
      <c r="O11666" t="s">
        <v>69</v>
      </c>
      <c r="Q11666">
        <v>840.29</v>
      </c>
      <c r="R11666" t="str">
        <f>"PENSE FARMA 36 (10206)"</f>
        <v>PENSE FARMA 36 (10206)</v>
      </c>
      <c r="S11666" t="s">
        <v>70</v>
      </c>
      <c r="T11666">
        <v>22402</v>
      </c>
      <c r="U11666">
        <v>25584</v>
      </c>
      <c r="V11666" t="s">
        <v>22</v>
      </c>
    </row>
    <row r="11667" spans="1:22">
      <c r="A11667" t="str">
        <f t="shared" si="2273"/>
        <v>19/11/2025</v>
      </c>
      <c r="B11667" t="str">
        <f t="shared" ref="B11667:B11701" si="2278">"ENTRADA"</f>
        <v>ENTRADA</v>
      </c>
      <c r="C11667" t="str">
        <f t="shared" ref="C11667:C11701" si="2279">"NFSE"</f>
        <v>NFSE</v>
      </c>
      <c r="D11667" t="str">
        <f t="shared" si="2276"/>
        <v>3724</v>
      </c>
      <c r="E11667" t="str">
        <f t="shared" si="2271"/>
        <v>1</v>
      </c>
      <c r="F11667" t="str">
        <f t="shared" si="2274"/>
        <v>COM</v>
      </c>
      <c r="G11667" t="str">
        <f t="shared" si="2277"/>
        <v>PENSE FARMA 36 (10206)</v>
      </c>
      <c r="H11667" t="s">
        <v>3125</v>
      </c>
      <c r="I11667" t="str">
        <f t="shared" si="2272"/>
        <v>19/11/2025</v>
      </c>
      <c r="J11667" t="str">
        <f t="shared" si="2275"/>
        <v>17/11/2025</v>
      </c>
      <c r="K11667">
        <v>45980</v>
      </c>
      <c r="N11667">
        <v>303</v>
      </c>
      <c r="O11667" t="s">
        <v>69</v>
      </c>
      <c r="Q11667">
        <v>840.29</v>
      </c>
      <c r="R11667" t="str">
        <f>"PENSE FARMA 40 (10207)"</f>
        <v>PENSE FARMA 40 (10207)</v>
      </c>
      <c r="S11667" t="s">
        <v>70</v>
      </c>
      <c r="T11667">
        <v>22402</v>
      </c>
      <c r="U11667">
        <v>25584</v>
      </c>
      <c r="V11667" t="s">
        <v>22</v>
      </c>
    </row>
    <row r="11668" spans="1:22">
      <c r="A11668" t="str">
        <f t="shared" si="2273"/>
        <v>19/11/2025</v>
      </c>
      <c r="B11668" t="str">
        <f t="shared" si="2278"/>
        <v>ENTRADA</v>
      </c>
      <c r="C11668" t="str">
        <f t="shared" si="2279"/>
        <v>NFSE</v>
      </c>
      <c r="D11668" t="str">
        <f t="shared" si="2276"/>
        <v>3724</v>
      </c>
      <c r="E11668" t="str">
        <f t="shared" si="2271"/>
        <v>1</v>
      </c>
      <c r="F11668" t="str">
        <f t="shared" si="2274"/>
        <v>COM</v>
      </c>
      <c r="G11668" t="str">
        <f t="shared" si="2277"/>
        <v>PENSE FARMA 36 (10206)</v>
      </c>
      <c r="H11668" t="s">
        <v>3125</v>
      </c>
      <c r="I11668" t="str">
        <f t="shared" si="2272"/>
        <v>19/11/2025</v>
      </c>
      <c r="J11668" t="str">
        <f t="shared" si="2275"/>
        <v>17/11/2025</v>
      </c>
      <c r="K11668">
        <v>45980</v>
      </c>
      <c r="N11668">
        <v>303</v>
      </c>
      <c r="O11668" t="s">
        <v>69</v>
      </c>
      <c r="Q11668">
        <v>840.29</v>
      </c>
      <c r="R11668" t="str">
        <f>"PENSE FARMA 43 (10208)"</f>
        <v>PENSE FARMA 43 (10208)</v>
      </c>
      <c r="S11668" t="s">
        <v>70</v>
      </c>
      <c r="T11668">
        <v>22402</v>
      </c>
      <c r="U11668">
        <v>25584</v>
      </c>
      <c r="V11668" t="s">
        <v>22</v>
      </c>
    </row>
    <row r="11669" spans="1:22">
      <c r="A11669" t="str">
        <f t="shared" si="2273"/>
        <v>19/11/2025</v>
      </c>
      <c r="B11669" t="str">
        <f t="shared" si="2278"/>
        <v>ENTRADA</v>
      </c>
      <c r="C11669" t="str">
        <f t="shared" si="2279"/>
        <v>NFSE</v>
      </c>
      <c r="D11669" t="str">
        <f t="shared" si="2276"/>
        <v>3724</v>
      </c>
      <c r="E11669" t="str">
        <f t="shared" si="2271"/>
        <v>1</v>
      </c>
      <c r="F11669" t="str">
        <f t="shared" si="2274"/>
        <v>COM</v>
      </c>
      <c r="G11669" t="str">
        <f t="shared" si="2277"/>
        <v>PENSE FARMA 36 (10206)</v>
      </c>
      <c r="H11669" t="s">
        <v>3125</v>
      </c>
      <c r="I11669" t="str">
        <f t="shared" si="2272"/>
        <v>19/11/2025</v>
      </c>
      <c r="J11669" t="str">
        <f t="shared" si="2275"/>
        <v>17/11/2025</v>
      </c>
      <c r="K11669">
        <v>45980</v>
      </c>
      <c r="N11669">
        <v>303</v>
      </c>
      <c r="O11669" t="s">
        <v>69</v>
      </c>
      <c r="Q11669">
        <v>840.29</v>
      </c>
      <c r="R11669" t="str">
        <f>"PENSE FARMA 59 (10211)"</f>
        <v>PENSE FARMA 59 (10211)</v>
      </c>
      <c r="S11669" t="s">
        <v>70</v>
      </c>
      <c r="T11669">
        <v>22402</v>
      </c>
      <c r="U11669">
        <v>25584</v>
      </c>
      <c r="V11669" t="s">
        <v>22</v>
      </c>
    </row>
    <row r="11670" spans="1:22">
      <c r="A11670" t="str">
        <f t="shared" si="2273"/>
        <v>19/11/2025</v>
      </c>
      <c r="B11670" t="str">
        <f t="shared" si="2278"/>
        <v>ENTRADA</v>
      </c>
      <c r="C11670" t="str">
        <f t="shared" si="2279"/>
        <v>NFSE</v>
      </c>
      <c r="D11670" t="str">
        <f t="shared" si="2276"/>
        <v>3724</v>
      </c>
      <c r="E11670" t="str">
        <f t="shared" si="2271"/>
        <v>1</v>
      </c>
      <c r="F11670" t="str">
        <f t="shared" si="2274"/>
        <v>COM</v>
      </c>
      <c r="G11670" t="str">
        <f t="shared" si="2277"/>
        <v>PENSE FARMA 36 (10206)</v>
      </c>
      <c r="H11670" t="s">
        <v>3125</v>
      </c>
      <c r="I11670" t="str">
        <f t="shared" si="2272"/>
        <v>19/11/2025</v>
      </c>
      <c r="J11670" t="str">
        <f t="shared" si="2275"/>
        <v>17/11/2025</v>
      </c>
      <c r="K11670">
        <v>45980</v>
      </c>
      <c r="N11670">
        <v>303</v>
      </c>
      <c r="O11670" t="s">
        <v>69</v>
      </c>
      <c r="Q11670">
        <v>866.65</v>
      </c>
      <c r="R11670" t="str">
        <f>"PENSE FARMA DARK STORE 361 (10212)"</f>
        <v>PENSE FARMA DARK STORE 361 (10212)</v>
      </c>
      <c r="S11670" t="s">
        <v>70</v>
      </c>
      <c r="T11670">
        <v>22402</v>
      </c>
      <c r="U11670">
        <v>25584</v>
      </c>
      <c r="V11670" t="s">
        <v>22</v>
      </c>
    </row>
    <row r="11671" spans="1:22">
      <c r="A11671" t="str">
        <f t="shared" si="2273"/>
        <v>19/11/2025</v>
      </c>
      <c r="B11671" t="str">
        <f t="shared" si="2278"/>
        <v>ENTRADA</v>
      </c>
      <c r="C11671" t="str">
        <f t="shared" si="2279"/>
        <v>NFSE</v>
      </c>
      <c r="D11671" t="str">
        <f>"3705"</f>
        <v>3705</v>
      </c>
      <c r="E11671" t="str">
        <f t="shared" si="2271"/>
        <v>1</v>
      </c>
      <c r="F11671" t="str">
        <f t="shared" si="2274"/>
        <v>COM</v>
      </c>
      <c r="G11671" t="str">
        <f>"PENSE FARMA 44 (10231)"</f>
        <v>PENSE FARMA 44 (10231)</v>
      </c>
      <c r="H11671" t="str">
        <f>"Serv.Prest. 10/11/2025 a 16/11/2025 - RPS: 1581 - NFSe: 3705"</f>
        <v>Serv.Prest. 10/11/2025 a 16/11/2025 - RPS: 1581 - NFSe: 3705</v>
      </c>
      <c r="I11671" t="str">
        <f t="shared" si="2272"/>
        <v>19/11/2025</v>
      </c>
      <c r="J11671" t="str">
        <f t="shared" si="2275"/>
        <v>17/11/2025</v>
      </c>
      <c r="K11671" t="str">
        <f>("19/11/2025")</f>
        <v>19/11/2025</v>
      </c>
      <c r="L11671">
        <v>3574.65</v>
      </c>
      <c r="M11671">
        <v>3574.65</v>
      </c>
      <c r="N11671">
        <v>303</v>
      </c>
      <c r="O11671" t="str">
        <f>"RECEITAS COM ENTREGAS"</f>
        <v>RECEITAS COM ENTREGAS</v>
      </c>
      <c r="P11671">
        <v>3574.65</v>
      </c>
      <c r="S11671" t="str">
        <f>"RECEITAS COM ENTREGAS (303)"</f>
        <v>RECEITAS COM ENTREGAS (303)</v>
      </c>
      <c r="T11671">
        <v>22403</v>
      </c>
      <c r="U11671">
        <v>25520</v>
      </c>
      <c r="V11671" t="s">
        <v>22</v>
      </c>
    </row>
    <row r="11672" spans="1:22">
      <c r="A11672" t="str">
        <f t="shared" si="2273"/>
        <v>19/11/2025</v>
      </c>
      <c r="B11672" t="str">
        <f t="shared" si="2278"/>
        <v>ENTRADA</v>
      </c>
      <c r="C11672" t="str">
        <f t="shared" si="2279"/>
        <v>NFSE</v>
      </c>
      <c r="D11672" t="str">
        <f>"3705"</f>
        <v>3705</v>
      </c>
      <c r="E11672" t="str">
        <f t="shared" si="2271"/>
        <v>1</v>
      </c>
      <c r="F11672" t="str">
        <f t="shared" si="2274"/>
        <v>COM</v>
      </c>
      <c r="G11672" t="str">
        <f>"PENSE FARMA 44 (10231)"</f>
        <v>PENSE FARMA 44 (10231)</v>
      </c>
      <c r="H11672" t="s">
        <v>3126</v>
      </c>
      <c r="I11672" t="str">
        <f t="shared" si="2272"/>
        <v>19/11/2025</v>
      </c>
      <c r="J11672" t="str">
        <f t="shared" si="2275"/>
        <v>17/11/2025</v>
      </c>
      <c r="K11672">
        <v>45980</v>
      </c>
      <c r="N11672">
        <v>303</v>
      </c>
      <c r="O11672" t="s">
        <v>69</v>
      </c>
      <c r="Q11672">
        <v>1784.47</v>
      </c>
      <c r="R11672" t="str">
        <f>"PENSE FARMA 44 (10231)"</f>
        <v>PENSE FARMA 44 (10231)</v>
      </c>
      <c r="S11672" t="s">
        <v>70</v>
      </c>
      <c r="T11672">
        <v>22403</v>
      </c>
      <c r="U11672">
        <v>25520</v>
      </c>
      <c r="V11672" t="s">
        <v>22</v>
      </c>
    </row>
    <row r="11673" spans="1:22">
      <c r="A11673" t="str">
        <f t="shared" si="2273"/>
        <v>19/11/2025</v>
      </c>
      <c r="B11673" t="str">
        <f t="shared" si="2278"/>
        <v>ENTRADA</v>
      </c>
      <c r="C11673" t="str">
        <f t="shared" si="2279"/>
        <v>NFSE</v>
      </c>
      <c r="D11673" t="str">
        <f>"3705"</f>
        <v>3705</v>
      </c>
      <c r="E11673" t="str">
        <f t="shared" si="2271"/>
        <v>1</v>
      </c>
      <c r="F11673" t="str">
        <f t="shared" si="2274"/>
        <v>COM</v>
      </c>
      <c r="G11673" t="str">
        <f>"PENSE FARMA 44 (10231)"</f>
        <v>PENSE FARMA 44 (10231)</v>
      </c>
      <c r="H11673" t="s">
        <v>3126</v>
      </c>
      <c r="I11673" t="str">
        <f t="shared" si="2272"/>
        <v>19/11/2025</v>
      </c>
      <c r="J11673" t="str">
        <f t="shared" si="2275"/>
        <v>17/11/2025</v>
      </c>
      <c r="K11673">
        <v>45980</v>
      </c>
      <c r="N11673">
        <v>303</v>
      </c>
      <c r="O11673" t="s">
        <v>69</v>
      </c>
      <c r="Q11673">
        <v>1790.18</v>
      </c>
      <c r="R11673" t="str">
        <f>"PENSE FARMA 48 (10233)"</f>
        <v>PENSE FARMA 48 (10233)</v>
      </c>
      <c r="S11673" t="s">
        <v>70</v>
      </c>
      <c r="T11673">
        <v>22403</v>
      </c>
      <c r="U11673">
        <v>25520</v>
      </c>
      <c r="V11673" t="s">
        <v>22</v>
      </c>
    </row>
    <row r="11674" spans="1:22">
      <c r="A11674" t="str">
        <f t="shared" si="2273"/>
        <v>19/11/2025</v>
      </c>
      <c r="B11674" t="str">
        <f t="shared" si="2278"/>
        <v>ENTRADA</v>
      </c>
      <c r="C11674" t="str">
        <f t="shared" si="2279"/>
        <v>NFSE</v>
      </c>
      <c r="D11674" t="str">
        <f>"3708"</f>
        <v>3708</v>
      </c>
      <c r="E11674" t="str">
        <f t="shared" si="2271"/>
        <v>1</v>
      </c>
      <c r="F11674" t="str">
        <f t="shared" si="2274"/>
        <v>COM</v>
      </c>
      <c r="G11674" t="str">
        <f>"PENSE FARMA 49 (10234)"</f>
        <v>PENSE FARMA 49 (10234)</v>
      </c>
      <c r="H11674" t="str">
        <f>"Serv.Prest. 10/11/2025 a 16/11/2025 - RPS: 1584 - NFSe: 3708"</f>
        <v>Serv.Prest. 10/11/2025 a 16/11/2025 - RPS: 1584 - NFSe: 3708</v>
      </c>
      <c r="I11674" t="str">
        <f t="shared" si="2272"/>
        <v>19/11/2025</v>
      </c>
      <c r="J11674" t="str">
        <f t="shared" si="2275"/>
        <v>17/11/2025</v>
      </c>
      <c r="K11674" t="str">
        <f>("19/11/2025")</f>
        <v>19/11/2025</v>
      </c>
      <c r="L11674">
        <v>1209.42</v>
      </c>
      <c r="M11674">
        <v>1209.42</v>
      </c>
      <c r="N11674">
        <v>303</v>
      </c>
      <c r="O11674" t="str">
        <f>"RECEITAS COM ENTREGAS"</f>
        <v>RECEITAS COM ENTREGAS</v>
      </c>
      <c r="P11674">
        <v>1209.42</v>
      </c>
      <c r="S11674" t="str">
        <f>"RECEITAS COM ENTREGAS (303)"</f>
        <v>RECEITAS COM ENTREGAS (303)</v>
      </c>
      <c r="T11674">
        <v>22404</v>
      </c>
      <c r="U11674">
        <v>25530</v>
      </c>
      <c r="V11674" t="s">
        <v>22</v>
      </c>
    </row>
    <row r="11675" spans="1:22">
      <c r="A11675" t="str">
        <f t="shared" si="2273"/>
        <v>19/11/2025</v>
      </c>
      <c r="B11675" t="str">
        <f t="shared" si="2278"/>
        <v>ENTRADA</v>
      </c>
      <c r="C11675" t="str">
        <f t="shared" si="2279"/>
        <v>NFSE</v>
      </c>
      <c r="D11675" t="str">
        <f>"3708"</f>
        <v>3708</v>
      </c>
      <c r="E11675" t="str">
        <f t="shared" si="2271"/>
        <v>1</v>
      </c>
      <c r="F11675" t="str">
        <f t="shared" si="2274"/>
        <v>COM</v>
      </c>
      <c r="G11675" t="str">
        <f>"PENSE FARMA 49 (10234)"</f>
        <v>PENSE FARMA 49 (10234)</v>
      </c>
      <c r="H11675" t="s">
        <v>3127</v>
      </c>
      <c r="I11675" t="str">
        <f t="shared" si="2272"/>
        <v>19/11/2025</v>
      </c>
      <c r="J11675" t="str">
        <f t="shared" si="2275"/>
        <v>17/11/2025</v>
      </c>
      <c r="K11675">
        <v>45980</v>
      </c>
      <c r="N11675">
        <v>303</v>
      </c>
      <c r="O11675" t="s">
        <v>69</v>
      </c>
      <c r="Q11675">
        <v>1209.42</v>
      </c>
      <c r="R11675" t="str">
        <f>"PENSE FARMA 49 (10234)"</f>
        <v>PENSE FARMA 49 (10234)</v>
      </c>
      <c r="S11675" t="s">
        <v>70</v>
      </c>
      <c r="T11675">
        <v>22404</v>
      </c>
      <c r="U11675">
        <v>25530</v>
      </c>
      <c r="V11675" t="s">
        <v>22</v>
      </c>
    </row>
    <row r="11676" spans="1:22">
      <c r="A11676" t="str">
        <f t="shared" si="2273"/>
        <v>19/11/2025</v>
      </c>
      <c r="B11676" t="str">
        <f t="shared" si="2278"/>
        <v>ENTRADA</v>
      </c>
      <c r="C11676" t="str">
        <f t="shared" si="2279"/>
        <v>NFSE</v>
      </c>
      <c r="D11676" t="str">
        <f>"3707"</f>
        <v>3707</v>
      </c>
      <c r="E11676" t="str">
        <f t="shared" si="2271"/>
        <v>1</v>
      </c>
      <c r="F11676" t="str">
        <f t="shared" si="2274"/>
        <v>COM</v>
      </c>
      <c r="G11676" t="str">
        <f>"PENSE FARMA 19 (10223)"</f>
        <v>PENSE FARMA 19 (10223)</v>
      </c>
      <c r="H11676" t="str">
        <f>"Serv.Prest. 10/11/2025 a 16/11/2025 - RPS: 1583 - NFSe: 3707"</f>
        <v>Serv.Prest. 10/11/2025 a 16/11/2025 - RPS: 1583 - NFSe: 3707</v>
      </c>
      <c r="I11676" t="str">
        <f t="shared" si="2272"/>
        <v>19/11/2025</v>
      </c>
      <c r="J11676" t="str">
        <f t="shared" si="2275"/>
        <v>17/11/2025</v>
      </c>
      <c r="K11676" t="str">
        <f>("19/11/2025")</f>
        <v>19/11/2025</v>
      </c>
      <c r="L11676">
        <v>2876.71</v>
      </c>
      <c r="M11676">
        <v>2876.71</v>
      </c>
      <c r="N11676">
        <v>303</v>
      </c>
      <c r="O11676" t="str">
        <f>"RECEITAS COM ENTREGAS"</f>
        <v>RECEITAS COM ENTREGAS</v>
      </c>
      <c r="P11676">
        <v>2876.71</v>
      </c>
      <c r="S11676" t="str">
        <f>"RECEITAS COM ENTREGAS (303)"</f>
        <v>RECEITAS COM ENTREGAS (303)</v>
      </c>
      <c r="T11676">
        <v>22405</v>
      </c>
      <c r="U11676">
        <v>25526</v>
      </c>
      <c r="V11676" t="s">
        <v>22</v>
      </c>
    </row>
    <row r="11677" spans="1:22">
      <c r="A11677" t="str">
        <f t="shared" si="2273"/>
        <v>19/11/2025</v>
      </c>
      <c r="B11677" t="str">
        <f t="shared" si="2278"/>
        <v>ENTRADA</v>
      </c>
      <c r="C11677" t="str">
        <f t="shared" si="2279"/>
        <v>NFSE</v>
      </c>
      <c r="D11677" t="str">
        <f>"3707"</f>
        <v>3707</v>
      </c>
      <c r="E11677" t="str">
        <f t="shared" si="2271"/>
        <v>1</v>
      </c>
      <c r="F11677" t="str">
        <f t="shared" si="2274"/>
        <v>COM</v>
      </c>
      <c r="G11677" t="str">
        <f>"PENSE FARMA 19 (10223)"</f>
        <v>PENSE FARMA 19 (10223)</v>
      </c>
      <c r="H11677" t="s">
        <v>3128</v>
      </c>
      <c r="I11677" t="str">
        <f t="shared" si="2272"/>
        <v>19/11/2025</v>
      </c>
      <c r="J11677" t="str">
        <f t="shared" si="2275"/>
        <v>17/11/2025</v>
      </c>
      <c r="K11677">
        <v>45980</v>
      </c>
      <c r="N11677">
        <v>303</v>
      </c>
      <c r="O11677" t="s">
        <v>69</v>
      </c>
      <c r="Q11677">
        <v>2876.71</v>
      </c>
      <c r="R11677" t="str">
        <f>"PENSE FARMA 19 (10223)"</f>
        <v>PENSE FARMA 19 (10223)</v>
      </c>
      <c r="S11677" t="s">
        <v>70</v>
      </c>
      <c r="T11677">
        <v>22405</v>
      </c>
      <c r="U11677">
        <v>25526</v>
      </c>
      <c r="V11677" t="s">
        <v>22</v>
      </c>
    </row>
    <row r="11678" spans="1:22">
      <c r="A11678" t="str">
        <f t="shared" si="2273"/>
        <v>19/11/2025</v>
      </c>
      <c r="B11678" t="str">
        <f t="shared" si="2278"/>
        <v>ENTRADA</v>
      </c>
      <c r="C11678" t="str">
        <f t="shared" si="2279"/>
        <v>NFSE</v>
      </c>
      <c r="D11678" t="str">
        <f>"3725"</f>
        <v>3725</v>
      </c>
      <c r="E11678" t="str">
        <f t="shared" si="2271"/>
        <v>1</v>
      </c>
      <c r="F11678" t="str">
        <f t="shared" si="2274"/>
        <v>COM</v>
      </c>
      <c r="G11678" t="str">
        <f>"PENSE FARMA 27 (10204)"</f>
        <v>PENSE FARMA 27 (10204)</v>
      </c>
      <c r="H11678" t="str">
        <f>"Serv.Prest. 10/11/2025 a 16/11/2025 - RPS: 1601 - NFSe: 3725"</f>
        <v>Serv.Prest. 10/11/2025 a 16/11/2025 - RPS: 1601 - NFSe: 3725</v>
      </c>
      <c r="I11678" t="str">
        <f t="shared" si="2272"/>
        <v>19/11/2025</v>
      </c>
      <c r="J11678" t="str">
        <f t="shared" si="2275"/>
        <v>17/11/2025</v>
      </c>
      <c r="K11678" t="str">
        <f>("19/11/2025")</f>
        <v>19/11/2025</v>
      </c>
      <c r="L11678">
        <v>3272.5</v>
      </c>
      <c r="M11678">
        <v>3272.5</v>
      </c>
      <c r="N11678">
        <v>303</v>
      </c>
      <c r="O11678" t="str">
        <f>"RECEITAS COM ENTREGAS"</f>
        <v>RECEITAS COM ENTREGAS</v>
      </c>
      <c r="P11678">
        <v>3272.5</v>
      </c>
      <c r="S11678" t="str">
        <f>"RECEITAS COM ENTREGAS (303)"</f>
        <v>RECEITAS COM ENTREGAS (303)</v>
      </c>
      <c r="T11678">
        <v>22406</v>
      </c>
      <c r="U11678">
        <v>25589</v>
      </c>
      <c r="V11678" t="s">
        <v>22</v>
      </c>
    </row>
    <row r="11679" spans="1:22">
      <c r="A11679" t="str">
        <f t="shared" si="2273"/>
        <v>19/11/2025</v>
      </c>
      <c r="B11679" t="str">
        <f t="shared" si="2278"/>
        <v>ENTRADA</v>
      </c>
      <c r="C11679" t="str">
        <f t="shared" si="2279"/>
        <v>NFSE</v>
      </c>
      <c r="D11679" t="str">
        <f>"3725"</f>
        <v>3725</v>
      </c>
      <c r="E11679" t="str">
        <f t="shared" si="2271"/>
        <v>1</v>
      </c>
      <c r="F11679" t="str">
        <f t="shared" si="2274"/>
        <v>COM</v>
      </c>
      <c r="G11679" t="str">
        <f>"PENSE FARMA 27 (10204)"</f>
        <v>PENSE FARMA 27 (10204)</v>
      </c>
      <c r="H11679" t="s">
        <v>3129</v>
      </c>
      <c r="I11679" t="str">
        <f t="shared" si="2272"/>
        <v>19/11/2025</v>
      </c>
      <c r="J11679" t="str">
        <f t="shared" si="2275"/>
        <v>17/11/2025</v>
      </c>
      <c r="K11679">
        <v>45980</v>
      </c>
      <c r="N11679">
        <v>303</v>
      </c>
      <c r="O11679" t="s">
        <v>69</v>
      </c>
      <c r="Q11679">
        <v>1088.76</v>
      </c>
      <c r="R11679" t="str">
        <f>"PENSE FARMA 05 (10200)"</f>
        <v>PENSE FARMA 05 (10200)</v>
      </c>
      <c r="S11679" t="s">
        <v>70</v>
      </c>
      <c r="T11679">
        <v>22406</v>
      </c>
      <c r="U11679">
        <v>25589</v>
      </c>
      <c r="V11679" t="s">
        <v>22</v>
      </c>
    </row>
    <row r="11680" spans="1:22">
      <c r="A11680" t="str">
        <f t="shared" si="2273"/>
        <v>19/11/2025</v>
      </c>
      <c r="B11680" t="str">
        <f t="shared" si="2278"/>
        <v>ENTRADA</v>
      </c>
      <c r="C11680" t="str">
        <f t="shared" si="2279"/>
        <v>NFSE</v>
      </c>
      <c r="D11680" t="str">
        <f>"3725"</f>
        <v>3725</v>
      </c>
      <c r="E11680" t="str">
        <f t="shared" si="2271"/>
        <v>1</v>
      </c>
      <c r="F11680" t="str">
        <f t="shared" si="2274"/>
        <v>COM</v>
      </c>
      <c r="G11680" t="str">
        <f>"PENSE FARMA 27 (10204)"</f>
        <v>PENSE FARMA 27 (10204)</v>
      </c>
      <c r="H11680" t="s">
        <v>3129</v>
      </c>
      <c r="I11680" t="str">
        <f t="shared" si="2272"/>
        <v>19/11/2025</v>
      </c>
      <c r="J11680" t="str">
        <f t="shared" si="2275"/>
        <v>17/11/2025</v>
      </c>
      <c r="K11680">
        <v>45980</v>
      </c>
      <c r="N11680">
        <v>303</v>
      </c>
      <c r="O11680" t="s">
        <v>69</v>
      </c>
      <c r="Q11680">
        <v>1088.76</v>
      </c>
      <c r="R11680" t="str">
        <f>"PENSE FARMA 13 (10202)"</f>
        <v>PENSE FARMA 13 (10202)</v>
      </c>
      <c r="S11680" t="s">
        <v>70</v>
      </c>
      <c r="T11680">
        <v>22406</v>
      </c>
      <c r="U11680">
        <v>25589</v>
      </c>
      <c r="V11680" t="s">
        <v>22</v>
      </c>
    </row>
    <row r="11681" spans="1:22">
      <c r="A11681" t="str">
        <f t="shared" si="2273"/>
        <v>19/11/2025</v>
      </c>
      <c r="B11681" t="str">
        <f t="shared" si="2278"/>
        <v>ENTRADA</v>
      </c>
      <c r="C11681" t="str">
        <f t="shared" si="2279"/>
        <v>NFSE</v>
      </c>
      <c r="D11681" t="str">
        <f>"3725"</f>
        <v>3725</v>
      </c>
      <c r="E11681" t="str">
        <f t="shared" si="2271"/>
        <v>1</v>
      </c>
      <c r="F11681" t="str">
        <f t="shared" si="2274"/>
        <v>COM</v>
      </c>
      <c r="G11681" t="str">
        <f>"PENSE FARMA 27 (10204)"</f>
        <v>PENSE FARMA 27 (10204)</v>
      </c>
      <c r="H11681" t="s">
        <v>3129</v>
      </c>
      <c r="I11681" t="str">
        <f t="shared" si="2272"/>
        <v>19/11/2025</v>
      </c>
      <c r="J11681" t="str">
        <f t="shared" si="2275"/>
        <v>17/11/2025</v>
      </c>
      <c r="K11681">
        <v>45980</v>
      </c>
      <c r="N11681">
        <v>303</v>
      </c>
      <c r="O11681" t="s">
        <v>69</v>
      </c>
      <c r="Q11681">
        <v>1094.98</v>
      </c>
      <c r="R11681" t="str">
        <f>"PENSE FARMA 27 (10204)"</f>
        <v>PENSE FARMA 27 (10204)</v>
      </c>
      <c r="S11681" t="s">
        <v>70</v>
      </c>
      <c r="T11681">
        <v>22406</v>
      </c>
      <c r="U11681">
        <v>25589</v>
      </c>
      <c r="V11681" t="s">
        <v>22</v>
      </c>
    </row>
    <row r="11682" spans="1:22">
      <c r="A11682" t="str">
        <f t="shared" si="2273"/>
        <v>19/11/2025</v>
      </c>
      <c r="B11682" t="str">
        <f t="shared" si="2278"/>
        <v>ENTRADA</v>
      </c>
      <c r="C11682" t="str">
        <f t="shared" si="2279"/>
        <v>NFSE</v>
      </c>
      <c r="D11682" t="str">
        <f>"3710"</f>
        <v>3710</v>
      </c>
      <c r="E11682" t="str">
        <f t="shared" si="2271"/>
        <v>1</v>
      </c>
      <c r="F11682" t="str">
        <f t="shared" si="2274"/>
        <v>COM</v>
      </c>
      <c r="G11682" t="str">
        <f>"PENSE FARMA 47 (10232)"</f>
        <v>PENSE FARMA 47 (10232)</v>
      </c>
      <c r="H11682" t="str">
        <f>"Serv.Prest. 10/11/2025 a 16/11/2025 - RPS: 1586 - NFSe: 3710"</f>
        <v>Serv.Prest. 10/11/2025 a 16/11/2025 - RPS: 1586 - NFSe: 3710</v>
      </c>
      <c r="I11682" t="str">
        <f t="shared" si="2272"/>
        <v>19/11/2025</v>
      </c>
      <c r="J11682" t="str">
        <f t="shared" si="2275"/>
        <v>17/11/2025</v>
      </c>
      <c r="K11682" t="str">
        <f>("19/11/2025")</f>
        <v>19/11/2025</v>
      </c>
      <c r="L11682">
        <v>1814.63</v>
      </c>
      <c r="M11682">
        <v>1814.63</v>
      </c>
      <c r="N11682">
        <v>303</v>
      </c>
      <c r="O11682" t="str">
        <f>"RECEITAS COM ENTREGAS"</f>
        <v>RECEITAS COM ENTREGAS</v>
      </c>
      <c r="P11682">
        <v>1814.63</v>
      </c>
      <c r="S11682" t="str">
        <f>"RECEITAS COM ENTREGAS (303)"</f>
        <v>RECEITAS COM ENTREGAS (303)</v>
      </c>
      <c r="T11682">
        <v>22407</v>
      </c>
      <c r="U11682">
        <v>25537</v>
      </c>
      <c r="V11682" t="s">
        <v>22</v>
      </c>
    </row>
    <row r="11683" spans="1:22">
      <c r="A11683" t="str">
        <f t="shared" si="2273"/>
        <v>19/11/2025</v>
      </c>
      <c r="B11683" t="str">
        <f t="shared" si="2278"/>
        <v>ENTRADA</v>
      </c>
      <c r="C11683" t="str">
        <f t="shared" si="2279"/>
        <v>NFSE</v>
      </c>
      <c r="D11683" t="str">
        <f>"3710"</f>
        <v>3710</v>
      </c>
      <c r="E11683" t="str">
        <f t="shared" si="2271"/>
        <v>1</v>
      </c>
      <c r="F11683" t="str">
        <f t="shared" si="2274"/>
        <v>COM</v>
      </c>
      <c r="G11683" t="str">
        <f>"PENSE FARMA 47 (10232)"</f>
        <v>PENSE FARMA 47 (10232)</v>
      </c>
      <c r="H11683" t="s">
        <v>3130</v>
      </c>
      <c r="I11683" t="str">
        <f t="shared" si="2272"/>
        <v>19/11/2025</v>
      </c>
      <c r="J11683" t="str">
        <f t="shared" si="2275"/>
        <v>17/11/2025</v>
      </c>
      <c r="K11683">
        <v>45980</v>
      </c>
      <c r="N11683">
        <v>303</v>
      </c>
      <c r="O11683" t="s">
        <v>69</v>
      </c>
      <c r="Q11683">
        <v>1814.63</v>
      </c>
      <c r="R11683" t="str">
        <f>"PENSE FARMA 47 (10232)"</f>
        <v>PENSE FARMA 47 (10232)</v>
      </c>
      <c r="S11683" t="s">
        <v>70</v>
      </c>
      <c r="T11683">
        <v>22407</v>
      </c>
      <c r="U11683">
        <v>25537</v>
      </c>
      <c r="V11683" t="s">
        <v>22</v>
      </c>
    </row>
    <row r="11684" spans="1:22">
      <c r="A11684" t="str">
        <f t="shared" si="2273"/>
        <v>19/11/2025</v>
      </c>
      <c r="B11684" t="str">
        <f t="shared" si="2278"/>
        <v>ENTRADA</v>
      </c>
      <c r="C11684" t="str">
        <f t="shared" si="2279"/>
        <v>NFSE</v>
      </c>
      <c r="D11684" t="str">
        <f>"3706"</f>
        <v>3706</v>
      </c>
      <c r="E11684" t="str">
        <f t="shared" si="2271"/>
        <v>1</v>
      </c>
      <c r="F11684" t="str">
        <f t="shared" si="2274"/>
        <v>COM</v>
      </c>
      <c r="G11684" t="str">
        <f>"PENSE FARMA 31 (10205)"</f>
        <v>PENSE FARMA 31 (10205)</v>
      </c>
      <c r="H11684" t="str">
        <f>"Serv.Prest. 10/11/2025 a 16/11/2025 - RPS: 1582 - NFSe: 3706"</f>
        <v>Serv.Prest. 10/11/2025 a 16/11/2025 - RPS: 1582 - NFSe: 3706</v>
      </c>
      <c r="I11684" t="str">
        <f t="shared" si="2272"/>
        <v>19/11/2025</v>
      </c>
      <c r="J11684" t="str">
        <f t="shared" si="2275"/>
        <v>17/11/2025</v>
      </c>
      <c r="K11684" t="str">
        <f>("19/11/2025")</f>
        <v>19/11/2025</v>
      </c>
      <c r="L11684">
        <v>1846.64</v>
      </c>
      <c r="M11684">
        <v>1846.64</v>
      </c>
      <c r="N11684">
        <v>303</v>
      </c>
      <c r="O11684" t="str">
        <f>"RECEITAS COM ENTREGAS"</f>
        <v>RECEITAS COM ENTREGAS</v>
      </c>
      <c r="P11684">
        <v>1846.64</v>
      </c>
      <c r="S11684" t="str">
        <f>"RECEITAS COM ENTREGAS (303)"</f>
        <v>RECEITAS COM ENTREGAS (303)</v>
      </c>
      <c r="T11684">
        <v>22408</v>
      </c>
      <c r="U11684">
        <v>25523</v>
      </c>
      <c r="V11684" t="s">
        <v>22</v>
      </c>
    </row>
    <row r="11685" spans="1:22">
      <c r="A11685" t="str">
        <f t="shared" si="2273"/>
        <v>19/11/2025</v>
      </c>
      <c r="B11685" t="str">
        <f t="shared" si="2278"/>
        <v>ENTRADA</v>
      </c>
      <c r="C11685" t="str">
        <f t="shared" si="2279"/>
        <v>NFSE</v>
      </c>
      <c r="D11685" t="str">
        <f>"3706"</f>
        <v>3706</v>
      </c>
      <c r="E11685" t="str">
        <f t="shared" si="2271"/>
        <v>1</v>
      </c>
      <c r="F11685" t="str">
        <f t="shared" si="2274"/>
        <v>COM</v>
      </c>
      <c r="G11685" t="str">
        <f>"PENSE FARMA 31 (10205)"</f>
        <v>PENSE FARMA 31 (10205)</v>
      </c>
      <c r="H11685" t="s">
        <v>3131</v>
      </c>
      <c r="I11685" t="str">
        <f t="shared" si="2272"/>
        <v>19/11/2025</v>
      </c>
      <c r="J11685" t="str">
        <f t="shared" si="2275"/>
        <v>17/11/2025</v>
      </c>
      <c r="K11685">
        <v>45980</v>
      </c>
      <c r="N11685">
        <v>303</v>
      </c>
      <c r="O11685" t="s">
        <v>69</v>
      </c>
      <c r="Q11685">
        <v>612.9</v>
      </c>
      <c r="R11685" t="str">
        <f>"PENSE FARMA 31 (10205)"</f>
        <v>PENSE FARMA 31 (10205)</v>
      </c>
      <c r="S11685" t="s">
        <v>70</v>
      </c>
      <c r="T11685">
        <v>22408</v>
      </c>
      <c r="U11685">
        <v>25523</v>
      </c>
      <c r="V11685" t="s">
        <v>22</v>
      </c>
    </row>
    <row r="11686" spans="1:22">
      <c r="A11686" t="str">
        <f t="shared" si="2273"/>
        <v>19/11/2025</v>
      </c>
      <c r="B11686" t="str">
        <f t="shared" si="2278"/>
        <v>ENTRADA</v>
      </c>
      <c r="C11686" t="str">
        <f t="shared" si="2279"/>
        <v>NFSE</v>
      </c>
      <c r="D11686" t="str">
        <f>"3706"</f>
        <v>3706</v>
      </c>
      <c r="E11686" t="str">
        <f t="shared" si="2271"/>
        <v>1</v>
      </c>
      <c r="F11686" t="str">
        <f t="shared" si="2274"/>
        <v>COM</v>
      </c>
      <c r="G11686" t="str">
        <f>"PENSE FARMA 31 (10205)"</f>
        <v>PENSE FARMA 31 (10205)</v>
      </c>
      <c r="H11686" t="s">
        <v>3131</v>
      </c>
      <c r="I11686" t="str">
        <f t="shared" si="2272"/>
        <v>19/11/2025</v>
      </c>
      <c r="J11686" t="str">
        <f t="shared" si="2275"/>
        <v>17/11/2025</v>
      </c>
      <c r="K11686">
        <v>45980</v>
      </c>
      <c r="N11686">
        <v>303</v>
      </c>
      <c r="O11686" t="s">
        <v>69</v>
      </c>
      <c r="Q11686">
        <v>620.66</v>
      </c>
      <c r="R11686" t="str">
        <f>"PENSE FARMA 16 (10221)"</f>
        <v>PENSE FARMA 16 (10221)</v>
      </c>
      <c r="S11686" t="s">
        <v>70</v>
      </c>
      <c r="T11686">
        <v>22408</v>
      </c>
      <c r="U11686">
        <v>25523</v>
      </c>
      <c r="V11686" t="s">
        <v>22</v>
      </c>
    </row>
    <row r="11687" spans="1:22">
      <c r="A11687" t="str">
        <f t="shared" si="2273"/>
        <v>19/11/2025</v>
      </c>
      <c r="B11687" t="str">
        <f t="shared" si="2278"/>
        <v>ENTRADA</v>
      </c>
      <c r="C11687" t="str">
        <f t="shared" si="2279"/>
        <v>NFSE</v>
      </c>
      <c r="D11687" t="str">
        <f>"3706"</f>
        <v>3706</v>
      </c>
      <c r="E11687" t="str">
        <f t="shared" ref="E11687:E11703" si="2280">"1"</f>
        <v>1</v>
      </c>
      <c r="F11687" t="str">
        <f t="shared" si="2274"/>
        <v>COM</v>
      </c>
      <c r="G11687" t="str">
        <f>"PENSE FARMA 31 (10205)"</f>
        <v>PENSE FARMA 31 (10205)</v>
      </c>
      <c r="H11687" t="s">
        <v>3131</v>
      </c>
      <c r="I11687" t="str">
        <f t="shared" ref="I11687:I11707" si="2281">("19/11/2025")</f>
        <v>19/11/2025</v>
      </c>
      <c r="J11687" t="str">
        <f t="shared" si="2275"/>
        <v>17/11/2025</v>
      </c>
      <c r="K11687">
        <v>45980</v>
      </c>
      <c r="N11687">
        <v>303</v>
      </c>
      <c r="O11687" t="s">
        <v>69</v>
      </c>
      <c r="Q11687">
        <v>613.08000000000004</v>
      </c>
      <c r="R11687" t="str">
        <f>"PENSE FARMA 17 (10222)"</f>
        <v>PENSE FARMA 17 (10222)</v>
      </c>
      <c r="S11687" t="s">
        <v>70</v>
      </c>
      <c r="T11687">
        <v>22408</v>
      </c>
      <c r="U11687">
        <v>25523</v>
      </c>
      <c r="V11687" t="s">
        <v>22</v>
      </c>
    </row>
    <row r="11688" spans="1:22">
      <c r="A11688" t="str">
        <f t="shared" si="2273"/>
        <v>19/11/2025</v>
      </c>
      <c r="B11688" t="str">
        <f t="shared" si="2278"/>
        <v>ENTRADA</v>
      </c>
      <c r="C11688" t="str">
        <f t="shared" si="2279"/>
        <v>NFSE</v>
      </c>
      <c r="D11688" t="str">
        <f>"3719"</f>
        <v>3719</v>
      </c>
      <c r="E11688" t="str">
        <f t="shared" si="2280"/>
        <v>1</v>
      </c>
      <c r="F11688" t="str">
        <f t="shared" si="2274"/>
        <v>COM</v>
      </c>
      <c r="G11688" t="str">
        <f>"PENSE FARMA 09 (10218)"</f>
        <v>PENSE FARMA 09 (10218)</v>
      </c>
      <c r="H11688" t="str">
        <f>"Serv.Prest. 10/11/2025 a 16/11/2025 - RPS: 1595 - NFSe: 3719"</f>
        <v>Serv.Prest. 10/11/2025 a 16/11/2025 - RPS: 1595 - NFSe: 3719</v>
      </c>
      <c r="I11688" t="str">
        <f t="shared" si="2281"/>
        <v>19/11/2025</v>
      </c>
      <c r="J11688" t="str">
        <f t="shared" si="2275"/>
        <v>17/11/2025</v>
      </c>
      <c r="K11688" t="str">
        <f>("19/11/2025")</f>
        <v>19/11/2025</v>
      </c>
      <c r="L11688">
        <v>1907.06</v>
      </c>
      <c r="M11688">
        <v>1907.06</v>
      </c>
      <c r="N11688">
        <v>303</v>
      </c>
      <c r="O11688" t="str">
        <f>"RECEITAS COM ENTREGAS"</f>
        <v>RECEITAS COM ENTREGAS</v>
      </c>
      <c r="P11688">
        <v>1907.06</v>
      </c>
      <c r="S11688" t="str">
        <f>"RECEITAS COM ENTREGAS (303)"</f>
        <v>RECEITAS COM ENTREGAS (303)</v>
      </c>
      <c r="T11688">
        <v>22410</v>
      </c>
      <c r="U11688">
        <v>25565</v>
      </c>
      <c r="V11688" t="s">
        <v>22</v>
      </c>
    </row>
    <row r="11689" spans="1:22">
      <c r="A11689" t="str">
        <f t="shared" si="2273"/>
        <v>19/11/2025</v>
      </c>
      <c r="B11689" t="str">
        <f t="shared" si="2278"/>
        <v>ENTRADA</v>
      </c>
      <c r="C11689" t="str">
        <f t="shared" si="2279"/>
        <v>NFSE</v>
      </c>
      <c r="D11689" t="str">
        <f>"3719"</f>
        <v>3719</v>
      </c>
      <c r="E11689" t="str">
        <f t="shared" si="2280"/>
        <v>1</v>
      </c>
      <c r="F11689" t="str">
        <f t="shared" ref="F11689:F11705" si="2282">"COM"</f>
        <v>COM</v>
      </c>
      <c r="G11689" t="str">
        <f>"PENSE FARMA 09 (10218)"</f>
        <v>PENSE FARMA 09 (10218)</v>
      </c>
      <c r="H11689" t="s">
        <v>3132</v>
      </c>
      <c r="I11689" t="str">
        <f t="shared" si="2281"/>
        <v>19/11/2025</v>
      </c>
      <c r="J11689" t="str">
        <f t="shared" si="2275"/>
        <v>17/11/2025</v>
      </c>
      <c r="K11689">
        <v>45980</v>
      </c>
      <c r="N11689">
        <v>303</v>
      </c>
      <c r="O11689" t="s">
        <v>69</v>
      </c>
      <c r="Q11689">
        <v>953.53</v>
      </c>
      <c r="R11689" t="str">
        <f>"PENSE FARMA 09 (10218)"</f>
        <v>PENSE FARMA 09 (10218)</v>
      </c>
      <c r="S11689" t="s">
        <v>70</v>
      </c>
      <c r="T11689">
        <v>22410</v>
      </c>
      <c r="U11689">
        <v>25565</v>
      </c>
      <c r="V11689" t="s">
        <v>22</v>
      </c>
    </row>
    <row r="11690" spans="1:22">
      <c r="A11690" t="str">
        <f t="shared" si="2273"/>
        <v>19/11/2025</v>
      </c>
      <c r="B11690" t="str">
        <f t="shared" si="2278"/>
        <v>ENTRADA</v>
      </c>
      <c r="C11690" t="str">
        <f t="shared" si="2279"/>
        <v>NFSE</v>
      </c>
      <c r="D11690" t="str">
        <f>"3719"</f>
        <v>3719</v>
      </c>
      <c r="E11690" t="str">
        <f t="shared" si="2280"/>
        <v>1</v>
      </c>
      <c r="F11690" t="str">
        <f t="shared" si="2282"/>
        <v>COM</v>
      </c>
      <c r="G11690" t="str">
        <f>"PENSE FARMA 09 (10218)"</f>
        <v>PENSE FARMA 09 (10218)</v>
      </c>
      <c r="H11690" t="s">
        <v>3132</v>
      </c>
      <c r="I11690" t="str">
        <f t="shared" si="2281"/>
        <v>19/11/2025</v>
      </c>
      <c r="J11690" t="str">
        <f t="shared" si="2275"/>
        <v>17/11/2025</v>
      </c>
      <c r="K11690">
        <v>45980</v>
      </c>
      <c r="N11690">
        <v>303</v>
      </c>
      <c r="O11690" t="s">
        <v>69</v>
      </c>
      <c r="Q11690">
        <v>953.53</v>
      </c>
      <c r="R11690" t="str">
        <f>"PENSE FARMA 10 (10219)"</f>
        <v>PENSE FARMA 10 (10219)</v>
      </c>
      <c r="S11690" t="s">
        <v>70</v>
      </c>
      <c r="T11690">
        <v>22410</v>
      </c>
      <c r="U11690">
        <v>25565</v>
      </c>
      <c r="V11690" t="s">
        <v>22</v>
      </c>
    </row>
    <row r="11691" spans="1:22">
      <c r="A11691" t="str">
        <f t="shared" si="2273"/>
        <v>19/11/2025</v>
      </c>
      <c r="B11691" t="str">
        <f t="shared" si="2278"/>
        <v>ENTRADA</v>
      </c>
      <c r="C11691" t="str">
        <f t="shared" si="2279"/>
        <v>NFSE</v>
      </c>
      <c r="D11691" t="str">
        <f>"3733"</f>
        <v>3733</v>
      </c>
      <c r="E11691" t="str">
        <f t="shared" si="2280"/>
        <v>1</v>
      </c>
      <c r="F11691" t="str">
        <f t="shared" si="2282"/>
        <v>COM</v>
      </c>
      <c r="G11691" t="str">
        <f>"DROGARIA ANA VISCONDE DO RIO BRANCO (10182)"</f>
        <v>DROGARIA ANA VISCONDE DO RIO BRANCO (10182)</v>
      </c>
      <c r="H11691" t="str">
        <f>"Serv.Prest. 10/11/2025 a 16/11/2025 - RPS: 1609 - NFSe: 3733"</f>
        <v>Serv.Prest. 10/11/2025 a 16/11/2025 - RPS: 1609 - NFSe: 3733</v>
      </c>
      <c r="I11691" t="str">
        <f t="shared" si="2281"/>
        <v>19/11/2025</v>
      </c>
      <c r="J11691" t="str">
        <f>("18/11/2025")</f>
        <v>18/11/2025</v>
      </c>
      <c r="K11691" t="str">
        <f>("19/11/2025")</f>
        <v>19/11/2025</v>
      </c>
      <c r="L11691">
        <v>5098.7299999999996</v>
      </c>
      <c r="M11691">
        <v>5098.7299999999996</v>
      </c>
      <c r="N11691">
        <v>303</v>
      </c>
      <c r="O11691" t="str">
        <f>"RECEITAS COM ENTREGAS"</f>
        <v>RECEITAS COM ENTREGAS</v>
      </c>
      <c r="P11691">
        <v>5098.7299999999996</v>
      </c>
      <c r="S11691" t="str">
        <f>"RECEITAS COM ENTREGAS (303)"</f>
        <v>RECEITAS COM ENTREGAS (303)</v>
      </c>
      <c r="T11691">
        <v>22411</v>
      </c>
      <c r="U11691">
        <v>25618</v>
      </c>
      <c r="V11691" t="s">
        <v>22</v>
      </c>
    </row>
    <row r="11692" spans="1:22">
      <c r="A11692" t="str">
        <f t="shared" si="2273"/>
        <v>19/11/2025</v>
      </c>
      <c r="B11692" t="str">
        <f t="shared" si="2278"/>
        <v>ENTRADA</v>
      </c>
      <c r="C11692" t="str">
        <f t="shared" si="2279"/>
        <v>NFSE</v>
      </c>
      <c r="D11692" t="str">
        <f>"3733"</f>
        <v>3733</v>
      </c>
      <c r="E11692" t="str">
        <f t="shared" si="2280"/>
        <v>1</v>
      </c>
      <c r="F11692" t="str">
        <f t="shared" si="2282"/>
        <v>COM</v>
      </c>
      <c r="G11692" t="str">
        <f>"DROGARIA ANA VISCONDE DO RIO BRANCO (10182)"</f>
        <v>DROGARIA ANA VISCONDE DO RIO BRANCO (10182)</v>
      </c>
      <c r="H11692" t="s">
        <v>3133</v>
      </c>
      <c r="I11692" t="str">
        <f t="shared" si="2281"/>
        <v>19/11/2025</v>
      </c>
      <c r="J11692" t="str">
        <f>("18/11/2025")</f>
        <v>18/11/2025</v>
      </c>
      <c r="K11692">
        <v>45980</v>
      </c>
      <c r="N11692">
        <v>303</v>
      </c>
      <c r="O11692" t="s">
        <v>69</v>
      </c>
      <c r="Q11692">
        <v>5098.7299999999996</v>
      </c>
      <c r="R11692" t="str">
        <f>"DROGARIA ANA VISCONDE DO RIO BRANCO (10182)"</f>
        <v>DROGARIA ANA VISCONDE DO RIO BRANCO (10182)</v>
      </c>
      <c r="S11692" t="s">
        <v>70</v>
      </c>
      <c r="T11692">
        <v>22411</v>
      </c>
      <c r="U11692">
        <v>25618</v>
      </c>
      <c r="V11692" t="s">
        <v>22</v>
      </c>
    </row>
    <row r="11693" spans="1:22">
      <c r="A11693" t="str">
        <f t="shared" si="2273"/>
        <v>19/11/2025</v>
      </c>
      <c r="B11693" t="str">
        <f t="shared" si="2278"/>
        <v>ENTRADA</v>
      </c>
      <c r="C11693" t="str">
        <f t="shared" si="2279"/>
        <v>NFSE</v>
      </c>
      <c r="D11693" t="str">
        <f>"3716"</f>
        <v>3716</v>
      </c>
      <c r="E11693" t="str">
        <f t="shared" si="2280"/>
        <v>1</v>
      </c>
      <c r="F11693" t="str">
        <f t="shared" si="2282"/>
        <v>COM</v>
      </c>
      <c r="G11693" t="str">
        <f>"ENTREFARMA (10164)"</f>
        <v>ENTREFARMA (10164)</v>
      </c>
      <c r="H11693" t="str">
        <f>"Serv.Prest. 10/11/2025 a 16/11/2025 - RPS: 1592 - NFSe: 3716"</f>
        <v>Serv.Prest. 10/11/2025 a 16/11/2025 - RPS: 1592 - NFSe: 3716</v>
      </c>
      <c r="I11693" t="str">
        <f t="shared" si="2281"/>
        <v>19/11/2025</v>
      </c>
      <c r="J11693" t="str">
        <f>("17/11/2025")</f>
        <v>17/11/2025</v>
      </c>
      <c r="K11693" t="str">
        <f>("19/11/2025")</f>
        <v>19/11/2025</v>
      </c>
      <c r="L11693">
        <v>6791.5</v>
      </c>
      <c r="M11693">
        <v>6791.5</v>
      </c>
      <c r="N11693">
        <v>303</v>
      </c>
      <c r="O11693" t="str">
        <f>"RECEITAS COM ENTREGAS"</f>
        <v>RECEITAS COM ENTREGAS</v>
      </c>
      <c r="P11693">
        <v>6791.5</v>
      </c>
      <c r="S11693" t="str">
        <f>"RECEITAS COM ENTREGAS (303)"</f>
        <v>RECEITAS COM ENTREGAS (303)</v>
      </c>
      <c r="T11693">
        <v>22412</v>
      </c>
      <c r="U11693">
        <v>25554</v>
      </c>
      <c r="V11693" t="s">
        <v>22</v>
      </c>
    </row>
    <row r="11694" spans="1:22">
      <c r="A11694" t="str">
        <f t="shared" si="2273"/>
        <v>19/11/2025</v>
      </c>
      <c r="B11694" t="str">
        <f t="shared" si="2278"/>
        <v>ENTRADA</v>
      </c>
      <c r="C11694" t="str">
        <f t="shared" si="2279"/>
        <v>NFSE</v>
      </c>
      <c r="D11694" t="str">
        <f>"3716"</f>
        <v>3716</v>
      </c>
      <c r="E11694" t="str">
        <f t="shared" si="2280"/>
        <v>1</v>
      </c>
      <c r="F11694" t="str">
        <f t="shared" si="2282"/>
        <v>COM</v>
      </c>
      <c r="G11694" t="str">
        <f>"ENTREFARMA (10164)"</f>
        <v>ENTREFARMA (10164)</v>
      </c>
      <c r="H11694" t="s">
        <v>3134</v>
      </c>
      <c r="I11694" t="str">
        <f t="shared" si="2281"/>
        <v>19/11/2025</v>
      </c>
      <c r="J11694" t="str">
        <f>("17/11/2025")</f>
        <v>17/11/2025</v>
      </c>
      <c r="K11694">
        <v>45980</v>
      </c>
      <c r="N11694">
        <v>303</v>
      </c>
      <c r="O11694" t="s">
        <v>69</v>
      </c>
      <c r="Q11694">
        <v>6791.5</v>
      </c>
      <c r="R11694" t="str">
        <f>"ENTREFARMA (10164)"</f>
        <v>ENTREFARMA (10164)</v>
      </c>
      <c r="S11694" t="s">
        <v>70</v>
      </c>
      <c r="T11694">
        <v>22412</v>
      </c>
      <c r="U11694">
        <v>25554</v>
      </c>
      <c r="V11694" t="s">
        <v>22</v>
      </c>
    </row>
    <row r="11695" spans="1:22">
      <c r="A11695" t="str">
        <f t="shared" si="2273"/>
        <v>19/11/2025</v>
      </c>
      <c r="B11695" t="str">
        <f t="shared" si="2278"/>
        <v>ENTRADA</v>
      </c>
      <c r="C11695" t="str">
        <f t="shared" si="2279"/>
        <v>NFSE</v>
      </c>
      <c r="D11695" t="str">
        <f>"3741"</f>
        <v>3741</v>
      </c>
      <c r="E11695" t="str">
        <f t="shared" si="2280"/>
        <v>1</v>
      </c>
      <c r="F11695" t="str">
        <f t="shared" si="2282"/>
        <v>COM</v>
      </c>
      <c r="G11695" t="str">
        <f>"LBL FARMACIA LTDA (10189)"</f>
        <v>LBL FARMACIA LTDA (10189)</v>
      </c>
      <c r="H11695" t="str">
        <f>"Serv.Prest. 10/11/2025 a 16/11/2025 - RPS: 1617 - NFSe: 3741"</f>
        <v>Serv.Prest. 10/11/2025 a 16/11/2025 - RPS: 1617 - NFSe: 3741</v>
      </c>
      <c r="I11695" t="str">
        <f t="shared" si="2281"/>
        <v>19/11/2025</v>
      </c>
      <c r="J11695" t="str">
        <f>("18/11/2025")</f>
        <v>18/11/2025</v>
      </c>
      <c r="K11695" t="str">
        <f>("19/11/2025")</f>
        <v>19/11/2025</v>
      </c>
      <c r="L11695">
        <v>928.2</v>
      </c>
      <c r="M11695">
        <v>928.2</v>
      </c>
      <c r="N11695">
        <v>303</v>
      </c>
      <c r="O11695" t="str">
        <f>"RECEITAS COM ENTREGAS"</f>
        <v>RECEITAS COM ENTREGAS</v>
      </c>
      <c r="P11695">
        <v>928.2</v>
      </c>
      <c r="S11695" t="str">
        <f>"RECEITAS COM ENTREGAS (303)"</f>
        <v>RECEITAS COM ENTREGAS (303)</v>
      </c>
      <c r="T11695">
        <v>22413</v>
      </c>
      <c r="U11695">
        <v>25650</v>
      </c>
      <c r="V11695" t="s">
        <v>22</v>
      </c>
    </row>
    <row r="11696" spans="1:22">
      <c r="A11696" t="str">
        <f t="shared" si="2273"/>
        <v>19/11/2025</v>
      </c>
      <c r="B11696" t="str">
        <f t="shared" si="2278"/>
        <v>ENTRADA</v>
      </c>
      <c r="C11696" t="str">
        <f t="shared" si="2279"/>
        <v>NFSE</v>
      </c>
      <c r="D11696" t="str">
        <f>"3741"</f>
        <v>3741</v>
      </c>
      <c r="E11696" t="str">
        <f t="shared" si="2280"/>
        <v>1</v>
      </c>
      <c r="F11696" t="str">
        <f t="shared" si="2282"/>
        <v>COM</v>
      </c>
      <c r="G11696" t="str">
        <f>"LBL FARMACIA LTDA (10189)"</f>
        <v>LBL FARMACIA LTDA (10189)</v>
      </c>
      <c r="H11696" t="s">
        <v>3135</v>
      </c>
      <c r="I11696" t="str">
        <f t="shared" si="2281"/>
        <v>19/11/2025</v>
      </c>
      <c r="J11696" t="str">
        <f>("18/11/2025")</f>
        <v>18/11/2025</v>
      </c>
      <c r="K11696">
        <v>45980</v>
      </c>
      <c r="N11696">
        <v>303</v>
      </c>
      <c r="O11696" t="s">
        <v>69</v>
      </c>
      <c r="Q11696">
        <v>928.2</v>
      </c>
      <c r="R11696" t="str">
        <f>"LBL FARMACIA LTDA (10189)"</f>
        <v>LBL FARMACIA LTDA (10189)</v>
      </c>
      <c r="S11696" t="s">
        <v>70</v>
      </c>
      <c r="T11696">
        <v>22413</v>
      </c>
      <c r="U11696">
        <v>25650</v>
      </c>
      <c r="V11696" t="s">
        <v>22</v>
      </c>
    </row>
    <row r="11697" spans="1:22">
      <c r="A11697" t="str">
        <f t="shared" si="2273"/>
        <v>19/11/2025</v>
      </c>
      <c r="B11697" t="str">
        <f t="shared" si="2278"/>
        <v>ENTRADA</v>
      </c>
      <c r="C11697" t="str">
        <f t="shared" si="2279"/>
        <v>NFSE</v>
      </c>
      <c r="D11697" t="str">
        <f>"3742"</f>
        <v>3742</v>
      </c>
      <c r="E11697" t="str">
        <f t="shared" si="2280"/>
        <v>1</v>
      </c>
      <c r="F11697" t="str">
        <f t="shared" si="2282"/>
        <v>COM</v>
      </c>
      <c r="G11697" t="str">
        <f>"LBL FARMACIA LTDA FILIAL (10192)"</f>
        <v>LBL FARMACIA LTDA FILIAL (10192)</v>
      </c>
      <c r="H11697" t="str">
        <f>"Serv.Prest. 10/11/2025 a 16/11/2025 - RPS: 1618 - NFSe: 3742"</f>
        <v>Serv.Prest. 10/11/2025 a 16/11/2025 - RPS: 1618 - NFSe: 3742</v>
      </c>
      <c r="I11697" t="str">
        <f t="shared" si="2281"/>
        <v>19/11/2025</v>
      </c>
      <c r="J11697" t="str">
        <f>("18/11/2025")</f>
        <v>18/11/2025</v>
      </c>
      <c r="K11697" t="str">
        <f>("19/11/2025")</f>
        <v>19/11/2025</v>
      </c>
      <c r="L11697">
        <v>1386.35</v>
      </c>
      <c r="M11697">
        <v>1386.35</v>
      </c>
      <c r="N11697">
        <v>303</v>
      </c>
      <c r="O11697" t="str">
        <f>"RECEITAS COM ENTREGAS"</f>
        <v>RECEITAS COM ENTREGAS</v>
      </c>
      <c r="P11697">
        <v>1386.35</v>
      </c>
      <c r="S11697" t="str">
        <f>"RECEITAS COM ENTREGAS (303)"</f>
        <v>RECEITAS COM ENTREGAS (303)</v>
      </c>
      <c r="T11697">
        <v>22414</v>
      </c>
      <c r="U11697">
        <v>25654</v>
      </c>
      <c r="V11697" t="s">
        <v>22</v>
      </c>
    </row>
    <row r="11698" spans="1:22">
      <c r="A11698" t="str">
        <f t="shared" si="2273"/>
        <v>19/11/2025</v>
      </c>
      <c r="B11698" t="str">
        <f t="shared" si="2278"/>
        <v>ENTRADA</v>
      </c>
      <c r="C11698" t="str">
        <f t="shared" si="2279"/>
        <v>NFSE</v>
      </c>
      <c r="D11698" t="str">
        <f>"3742"</f>
        <v>3742</v>
      </c>
      <c r="E11698" t="str">
        <f t="shared" si="2280"/>
        <v>1</v>
      </c>
      <c r="F11698" t="str">
        <f t="shared" si="2282"/>
        <v>COM</v>
      </c>
      <c r="G11698" t="str">
        <f>"LBL FARMACIA LTDA FILIAL (10192)"</f>
        <v>LBL FARMACIA LTDA FILIAL (10192)</v>
      </c>
      <c r="H11698" t="s">
        <v>3136</v>
      </c>
      <c r="I11698" t="str">
        <f t="shared" si="2281"/>
        <v>19/11/2025</v>
      </c>
      <c r="J11698" t="str">
        <f>("18/11/2025")</f>
        <v>18/11/2025</v>
      </c>
      <c r="K11698">
        <v>45980</v>
      </c>
      <c r="N11698">
        <v>303</v>
      </c>
      <c r="O11698" t="s">
        <v>69</v>
      </c>
      <c r="Q11698">
        <v>1386.35</v>
      </c>
      <c r="R11698" t="str">
        <f>"LBL FARMACIA LTDA FILIAL (10192)"</f>
        <v>LBL FARMACIA LTDA FILIAL (10192)</v>
      </c>
      <c r="S11698" t="s">
        <v>70</v>
      </c>
      <c r="T11698">
        <v>22414</v>
      </c>
      <c r="U11698">
        <v>25654</v>
      </c>
      <c r="V11698" t="s">
        <v>22</v>
      </c>
    </row>
    <row r="11699" spans="1:22">
      <c r="A11699" t="str">
        <f t="shared" si="2273"/>
        <v>19/11/2025</v>
      </c>
      <c r="B11699" t="str">
        <f t="shared" si="2278"/>
        <v>ENTRADA</v>
      </c>
      <c r="C11699" t="str">
        <f t="shared" si="2279"/>
        <v>NFSE</v>
      </c>
      <c r="D11699" t="str">
        <f>"3720"</f>
        <v>3720</v>
      </c>
      <c r="E11699" t="str">
        <f t="shared" si="2280"/>
        <v>1</v>
      </c>
      <c r="F11699" t="str">
        <f t="shared" si="2282"/>
        <v>COM</v>
      </c>
      <c r="G11699" t="str">
        <f>"FRAN FARMA (10124)"</f>
        <v>FRAN FARMA (10124)</v>
      </c>
      <c r="H11699" t="str">
        <f>"Serv.Prest. 10/11/2025 a 16/11/2025 - RPS: 1596 - NFSe: 3720"</f>
        <v>Serv.Prest. 10/11/2025 a 16/11/2025 - RPS: 1596 - NFSe: 3720</v>
      </c>
      <c r="I11699" t="str">
        <f t="shared" si="2281"/>
        <v>19/11/2025</v>
      </c>
      <c r="J11699" t="str">
        <f>("17/11/2025")</f>
        <v>17/11/2025</v>
      </c>
      <c r="K11699" t="str">
        <f>("19/11/2025")</f>
        <v>19/11/2025</v>
      </c>
      <c r="L11699">
        <v>840</v>
      </c>
      <c r="M11699">
        <v>840</v>
      </c>
      <c r="N11699">
        <v>303</v>
      </c>
      <c r="O11699" t="str">
        <f>"RECEITAS COM ENTREGAS"</f>
        <v>RECEITAS COM ENTREGAS</v>
      </c>
      <c r="P11699">
        <v>840</v>
      </c>
      <c r="S11699" t="str">
        <f>"RECEITAS COM ENTREGAS (303)"</f>
        <v>RECEITAS COM ENTREGAS (303)</v>
      </c>
      <c r="T11699">
        <v>22415</v>
      </c>
      <c r="U11699">
        <v>25568</v>
      </c>
      <c r="V11699" t="s">
        <v>22</v>
      </c>
    </row>
    <row r="11700" spans="1:22">
      <c r="A11700" t="str">
        <f t="shared" si="2273"/>
        <v>19/11/2025</v>
      </c>
      <c r="B11700" t="str">
        <f t="shared" si="2278"/>
        <v>ENTRADA</v>
      </c>
      <c r="C11700" t="str">
        <f t="shared" si="2279"/>
        <v>NFSE</v>
      </c>
      <c r="D11700" t="str">
        <f>"3720"</f>
        <v>3720</v>
      </c>
      <c r="E11700" t="str">
        <f t="shared" si="2280"/>
        <v>1</v>
      </c>
      <c r="F11700" t="str">
        <f t="shared" si="2282"/>
        <v>COM</v>
      </c>
      <c r="G11700" t="str">
        <f>"FRAN FARMA (10124)"</f>
        <v>FRAN FARMA (10124)</v>
      </c>
      <c r="H11700" t="s">
        <v>3137</v>
      </c>
      <c r="I11700" t="str">
        <f t="shared" si="2281"/>
        <v>19/11/2025</v>
      </c>
      <c r="J11700" t="str">
        <f>("17/11/2025")</f>
        <v>17/11/2025</v>
      </c>
      <c r="K11700">
        <v>45980</v>
      </c>
      <c r="N11700">
        <v>303</v>
      </c>
      <c r="O11700" t="s">
        <v>69</v>
      </c>
      <c r="Q11700">
        <v>504</v>
      </c>
      <c r="R11700" t="str">
        <f>"FRAN FARMA LJ 2 (10131)"</f>
        <v>FRAN FARMA LJ 2 (10131)</v>
      </c>
      <c r="S11700" t="s">
        <v>70</v>
      </c>
      <c r="T11700">
        <v>22415</v>
      </c>
      <c r="U11700">
        <v>25568</v>
      </c>
      <c r="V11700" t="s">
        <v>22</v>
      </c>
    </row>
    <row r="11701" spans="1:22">
      <c r="A11701" t="str">
        <f t="shared" si="2273"/>
        <v>19/11/2025</v>
      </c>
      <c r="B11701" t="str">
        <f t="shared" si="2278"/>
        <v>ENTRADA</v>
      </c>
      <c r="C11701" t="str">
        <f t="shared" si="2279"/>
        <v>NFSE</v>
      </c>
      <c r="D11701" t="str">
        <f>"3720"</f>
        <v>3720</v>
      </c>
      <c r="E11701" t="str">
        <f t="shared" si="2280"/>
        <v>1</v>
      </c>
      <c r="F11701" t="str">
        <f t="shared" si="2282"/>
        <v>COM</v>
      </c>
      <c r="G11701" t="str">
        <f>"FRAN FARMA (10124)"</f>
        <v>FRAN FARMA (10124)</v>
      </c>
      <c r="H11701" t="s">
        <v>3137</v>
      </c>
      <c r="I11701" t="str">
        <f t="shared" si="2281"/>
        <v>19/11/2025</v>
      </c>
      <c r="J11701" t="str">
        <f>("17/11/2025")</f>
        <v>17/11/2025</v>
      </c>
      <c r="K11701">
        <v>45980</v>
      </c>
      <c r="N11701">
        <v>303</v>
      </c>
      <c r="O11701" t="s">
        <v>69</v>
      </c>
      <c r="Q11701">
        <v>336</v>
      </c>
      <c r="R11701" t="str">
        <f>"FRAN FARMA LJ 3 (10132)"</f>
        <v>FRAN FARMA LJ 3 (10132)</v>
      </c>
      <c r="S11701" t="s">
        <v>70</v>
      </c>
      <c r="T11701">
        <v>22415</v>
      </c>
      <c r="U11701">
        <v>25568</v>
      </c>
      <c r="V11701" t="s">
        <v>22</v>
      </c>
    </row>
    <row r="11702" spans="1:22">
      <c r="A11702" t="str">
        <f t="shared" si="2273"/>
        <v>19/11/2025</v>
      </c>
      <c r="B11702" t="str">
        <f>"SAÍDA"</f>
        <v>SAÍDA</v>
      </c>
      <c r="C11702" t="str">
        <f>"PIX"</f>
        <v>PIX</v>
      </c>
      <c r="D11702" t="str">
        <f>"26082"</f>
        <v>26082</v>
      </c>
      <c r="E11702" t="str">
        <f t="shared" si="2280"/>
        <v>1</v>
      </c>
      <c r="F11702" t="str">
        <f t="shared" si="2282"/>
        <v>COM</v>
      </c>
      <c r="G11702" t="str">
        <f>"HENRIQUE VALENTIM FERREIRA (1083)"</f>
        <v>HENRIQUE VALENTIM FERREIRA (1083)</v>
      </c>
      <c r="H11702" t="str">
        <f>"Serv.Prest. 17/11/2025 a 23/11/2025 - PIX: CELULAR - CHAVE: (11) 99293-5521"</f>
        <v>Serv.Prest. 17/11/2025 a 23/11/2025 - PIX: CELULAR - CHAVE: (11) 99293-5521</v>
      </c>
      <c r="I11702" t="str">
        <f t="shared" si="2281"/>
        <v>19/11/2025</v>
      </c>
      <c r="J11702" t="str">
        <f>("19/11/2025")</f>
        <v>19/11/2025</v>
      </c>
      <c r="K11702" t="str">
        <f>("19/11/2025")</f>
        <v>19/11/2025</v>
      </c>
      <c r="L11702">
        <v>250</v>
      </c>
      <c r="M11702">
        <v>150</v>
      </c>
      <c r="N11702">
        <v>134</v>
      </c>
      <c r="O11702" t="str">
        <f>"DIARIA DE MOTOBOY"</f>
        <v>DIARIA DE MOTOBOY</v>
      </c>
      <c r="P11702">
        <v>150</v>
      </c>
      <c r="S11702" t="str">
        <f>"BANCO CORA (102)"</f>
        <v>BANCO CORA (102)</v>
      </c>
      <c r="T11702">
        <v>22417</v>
      </c>
      <c r="U11702">
        <v>26082</v>
      </c>
      <c r="V11702" t="s">
        <v>22</v>
      </c>
    </row>
    <row r="11703" spans="1:22">
      <c r="A11703" t="str">
        <f t="shared" si="2273"/>
        <v>19/11/2025</v>
      </c>
      <c r="B11703" t="str">
        <f>"SAÍDA"</f>
        <v>SAÍDA</v>
      </c>
      <c r="C11703" t="str">
        <f>"PIX"</f>
        <v>PIX</v>
      </c>
      <c r="D11703" t="str">
        <f>"26082"</f>
        <v>26082</v>
      </c>
      <c r="E11703" t="str">
        <f t="shared" si="2280"/>
        <v>1</v>
      </c>
      <c r="F11703" t="str">
        <f t="shared" si="2282"/>
        <v>COM</v>
      </c>
      <c r="G11703" t="str">
        <f>"HENRIQUE VALENTIM FERREIRA (1083)"</f>
        <v>HENRIQUE VALENTIM FERREIRA (1083)</v>
      </c>
      <c r="H11703" t="s">
        <v>3114</v>
      </c>
      <c r="I11703" t="str">
        <f t="shared" si="2281"/>
        <v>19/11/2025</v>
      </c>
      <c r="J11703" t="str">
        <f>("19/11/2025")</f>
        <v>19/11/2025</v>
      </c>
      <c r="K11703">
        <v>45980</v>
      </c>
      <c r="N11703">
        <v>134</v>
      </c>
      <c r="O11703" t="s">
        <v>41</v>
      </c>
      <c r="Q11703">
        <v>150</v>
      </c>
      <c r="R11703" t="str">
        <f>"PENSE FARMA 07 (10201)"</f>
        <v>PENSE FARMA 07 (10201)</v>
      </c>
      <c r="S11703" t="s">
        <v>22</v>
      </c>
      <c r="T11703">
        <v>22417</v>
      </c>
      <c r="U11703">
        <v>26082</v>
      </c>
      <c r="V11703" t="s">
        <v>22</v>
      </c>
    </row>
    <row r="11704" spans="1:22">
      <c r="A11704" t="str">
        <f t="shared" si="2273"/>
        <v>19/11/2025</v>
      </c>
      <c r="B11704" t="str">
        <f>"SAÍDA"</f>
        <v>SAÍDA</v>
      </c>
      <c r="C11704" t="str">
        <f>"BOLETO"</f>
        <v>BOLETO</v>
      </c>
      <c r="D11704" t="str">
        <f>"071625015605981"</f>
        <v>071625015605981</v>
      </c>
      <c r="E11704" t="str">
        <f>"68"</f>
        <v>68</v>
      </c>
      <c r="F11704" t="str">
        <f t="shared" si="2282"/>
        <v>COM</v>
      </c>
      <c r="G11704" t="str">
        <f>"MINISTERIO DA FAZENDA (20009)"</f>
        <v>MINISTERIO DA FAZENDA (20009)</v>
      </c>
      <c r="H11704" t="str">
        <f>"INSS PRESTADORES MES 10/2025"</f>
        <v>INSS PRESTADORES MES 10/2025</v>
      </c>
      <c r="I11704" t="str">
        <f t="shared" si="2281"/>
        <v>19/11/2025</v>
      </c>
      <c r="J11704" t="str">
        <f>("31/10/2025")</f>
        <v>31/10/2025</v>
      </c>
      <c r="K11704" t="str">
        <f>("19/11/2025")</f>
        <v>19/11/2025</v>
      </c>
      <c r="L11704">
        <v>34234.6</v>
      </c>
      <c r="M11704">
        <v>34234.6</v>
      </c>
      <c r="N11704">
        <v>112</v>
      </c>
      <c r="O11704" t="str">
        <f>"INSS"</f>
        <v>INSS</v>
      </c>
      <c r="P11704">
        <v>34234.6</v>
      </c>
      <c r="S11704" t="str">
        <f>"BANCO CORA (102)"</f>
        <v>BANCO CORA (102)</v>
      </c>
      <c r="T11704">
        <v>22453</v>
      </c>
      <c r="U11704">
        <v>10408</v>
      </c>
      <c r="V11704" t="s">
        <v>22</v>
      </c>
    </row>
    <row r="11705" spans="1:22">
      <c r="A11705" t="str">
        <f t="shared" si="2273"/>
        <v>19/11/2025</v>
      </c>
      <c r="B11705" t="str">
        <f>"SAÍDA"</f>
        <v>SAÍDA</v>
      </c>
      <c r="C11705" t="str">
        <f>"BOLETO"</f>
        <v>BOLETO</v>
      </c>
      <c r="D11705" t="str">
        <f>"071625015605981"</f>
        <v>071625015605981</v>
      </c>
      <c r="E11705" t="str">
        <f>"68"</f>
        <v>68</v>
      </c>
      <c r="F11705" t="str">
        <f t="shared" si="2282"/>
        <v>COM</v>
      </c>
      <c r="G11705" t="str">
        <f>"MINISTERIO DA FAZENDA (20009)"</f>
        <v>MINISTERIO DA FAZENDA (20009)</v>
      </c>
      <c r="H11705" t="s">
        <v>3138</v>
      </c>
      <c r="I11705" t="str">
        <f t="shared" si="2281"/>
        <v>19/11/2025</v>
      </c>
      <c r="J11705" t="str">
        <f>("31/10/2025")</f>
        <v>31/10/2025</v>
      </c>
      <c r="K11705">
        <v>45980</v>
      </c>
      <c r="N11705">
        <v>112</v>
      </c>
      <c r="O11705" t="s">
        <v>479</v>
      </c>
      <c r="Q11705">
        <v>34234.6</v>
      </c>
      <c r="R11705" t="str">
        <f>"MINISTERIO DA FAZENDA (20009)"</f>
        <v>MINISTERIO DA FAZENDA (20009)</v>
      </c>
      <c r="S11705" t="s">
        <v>22</v>
      </c>
      <c r="T11705">
        <v>22453</v>
      </c>
      <c r="U11705">
        <v>10408</v>
      </c>
      <c r="V11705" t="s">
        <v>22</v>
      </c>
    </row>
    <row r="11706" spans="1:22">
      <c r="A11706" t="str">
        <f t="shared" si="2273"/>
        <v>19/11/2025</v>
      </c>
      <c r="B11706" t="str">
        <f>"ENTRADA"</f>
        <v>ENTRADA</v>
      </c>
      <c r="C11706" t="str">
        <f>"TRANSFERENCIA"</f>
        <v>TRANSFERENCIA</v>
      </c>
      <c r="D11706" t="str">
        <f>""</f>
        <v/>
      </c>
      <c r="F11706" t="str">
        <f>"TRF"</f>
        <v>TRF</v>
      </c>
      <c r="G11706" t="str">
        <f>""</f>
        <v/>
      </c>
      <c r="H11706" t="str">
        <f>"TRANSFERENCIA ENTRE BANCOS  (149-&gt;102)"</f>
        <v>TRANSFERENCIA ENTRE BANCOS  (149-&gt;102)</v>
      </c>
      <c r="I11706" t="str">
        <f t="shared" si="2281"/>
        <v>19/11/2025</v>
      </c>
      <c r="J11706" t="str">
        <f>("19/11/2025")</f>
        <v>19/11/2025</v>
      </c>
      <c r="K11706" t="str">
        <f>("19/11/2025")</f>
        <v>19/11/2025</v>
      </c>
      <c r="N11706">
        <v>102</v>
      </c>
      <c r="O11706" t="str">
        <f>"BANCO CORA"</f>
        <v>BANCO CORA</v>
      </c>
      <c r="P11706">
        <v>36872.19</v>
      </c>
      <c r="S11706" t="str">
        <f>"BANCO CORA (102)"</f>
        <v>BANCO CORA (102)</v>
      </c>
      <c r="T11706">
        <v>22454</v>
      </c>
      <c r="U11706">
        <v>0</v>
      </c>
      <c r="V11706" t="s">
        <v>22</v>
      </c>
    </row>
    <row r="11707" spans="1:22">
      <c r="A11707" t="str">
        <f t="shared" si="2273"/>
        <v>19/11/2025</v>
      </c>
      <c r="B11707" t="str">
        <f>"SAÍDA"</f>
        <v>SAÍDA</v>
      </c>
      <c r="C11707" t="str">
        <f>"TRANSFERENCIA"</f>
        <v>TRANSFERENCIA</v>
      </c>
      <c r="D11707" t="str">
        <f>""</f>
        <v/>
      </c>
      <c r="F11707" t="str">
        <f>"TRF"</f>
        <v>TRF</v>
      </c>
      <c r="G11707" t="str">
        <f>""</f>
        <v/>
      </c>
      <c r="H11707" t="str">
        <f>"TRANSFERENCIA ENTRE BANCOS  (149-&gt;102)"</f>
        <v>TRANSFERENCIA ENTRE BANCOS  (149-&gt;102)</v>
      </c>
      <c r="I11707" t="str">
        <f t="shared" si="2281"/>
        <v>19/11/2025</v>
      </c>
      <c r="J11707" t="str">
        <f>("19/11/2025")</f>
        <v>19/11/2025</v>
      </c>
      <c r="K11707" t="str">
        <f>("19/11/2025")</f>
        <v>19/11/2025</v>
      </c>
      <c r="N11707">
        <v>149</v>
      </c>
      <c r="O11707" t="str">
        <f>"BANCO C6"</f>
        <v>BANCO C6</v>
      </c>
      <c r="S11707" t="str">
        <f>"BANCO C6 (149)"</f>
        <v>BANCO C6 (149)</v>
      </c>
      <c r="T11707">
        <v>22454</v>
      </c>
      <c r="U11707">
        <v>0</v>
      </c>
      <c r="V11707" t="s">
        <v>77</v>
      </c>
    </row>
    <row r="11708" spans="1:22">
      <c r="A11708" t="str">
        <f t="shared" si="2273"/>
        <v>19/11/2025</v>
      </c>
      <c r="B11708" t="str">
        <f t="shared" ref="B11708:B11716" si="2283">"ENTRADA"</f>
        <v>ENTRADA</v>
      </c>
      <c r="C11708" t="str">
        <f t="shared" ref="C11708:C11716" si="2284">"NFSE"</f>
        <v>NFSE</v>
      </c>
      <c r="D11708" t="str">
        <f>"3648"</f>
        <v>3648</v>
      </c>
      <c r="E11708" t="str">
        <f t="shared" ref="E11708:E11716" si="2285">"1"</f>
        <v>1</v>
      </c>
      <c r="F11708" t="str">
        <f t="shared" ref="F11708:F11739" si="2286">"COM"</f>
        <v>COM</v>
      </c>
      <c r="G11708" t="str">
        <f>"PAGMENOS - LJ 431 (10265)"</f>
        <v>PAGMENOS - LJ 431 (10265)</v>
      </c>
      <c r="H11708" t="str">
        <f>"Serv.Prest. 27/10/2025 a 02/11/2025 - RPS: 1524 - NFSe: 3648"</f>
        <v>Serv.Prest. 27/10/2025 a 02/11/2025 - RPS: 1524 - NFSe: 3648</v>
      </c>
      <c r="I11708" t="str">
        <f>("14/11/2025")</f>
        <v>14/11/2025</v>
      </c>
      <c r="J11708" t="str">
        <f>("04/11/2025")</f>
        <v>04/11/2025</v>
      </c>
      <c r="K11708" t="str">
        <f>("19/11/2025")</f>
        <v>19/11/2025</v>
      </c>
      <c r="L11708">
        <v>815.58</v>
      </c>
      <c r="M11708">
        <v>815.58</v>
      </c>
      <c r="N11708">
        <v>303</v>
      </c>
      <c r="O11708" t="str">
        <f>"RECEITAS COM ENTREGAS"</f>
        <v>RECEITAS COM ENTREGAS</v>
      </c>
      <c r="P11708">
        <v>815.58</v>
      </c>
      <c r="S11708" t="str">
        <f>"RECEITAS COM ENTREGAS (303)"</f>
        <v>RECEITAS COM ENTREGAS (303)</v>
      </c>
      <c r="T11708">
        <v>22493</v>
      </c>
      <c r="U11708">
        <v>24875</v>
      </c>
      <c r="V11708" t="s">
        <v>22</v>
      </c>
    </row>
    <row r="11709" spans="1:22">
      <c r="A11709" t="str">
        <f t="shared" si="2273"/>
        <v>19/11/2025</v>
      </c>
      <c r="B11709" t="str">
        <f t="shared" si="2283"/>
        <v>ENTRADA</v>
      </c>
      <c r="C11709" t="str">
        <f t="shared" si="2284"/>
        <v>NFSE</v>
      </c>
      <c r="D11709" t="str">
        <f>"3648"</f>
        <v>3648</v>
      </c>
      <c r="E11709" t="str">
        <f t="shared" si="2285"/>
        <v>1</v>
      </c>
      <c r="F11709" t="str">
        <f t="shared" si="2286"/>
        <v>COM</v>
      </c>
      <c r="G11709" t="str">
        <f>"PAGMENOS - LJ 431 (10265)"</f>
        <v>PAGMENOS - LJ 431 (10265)</v>
      </c>
      <c r="H11709" t="s">
        <v>3139</v>
      </c>
      <c r="I11709" t="str">
        <f>("14/11/2025")</f>
        <v>14/11/2025</v>
      </c>
      <c r="J11709" t="str">
        <f>("04/11/2025")</f>
        <v>04/11/2025</v>
      </c>
      <c r="K11709">
        <v>45980</v>
      </c>
      <c r="N11709">
        <v>303</v>
      </c>
      <c r="O11709" t="s">
        <v>69</v>
      </c>
      <c r="Q11709">
        <v>815.58</v>
      </c>
      <c r="R11709" t="str">
        <f>"PAGMENOS - LJ 431 (10265)"</f>
        <v>PAGMENOS - LJ 431 (10265)</v>
      </c>
      <c r="S11709" t="s">
        <v>70</v>
      </c>
      <c r="T11709">
        <v>22493</v>
      </c>
      <c r="U11709">
        <v>24875</v>
      </c>
      <c r="V11709" t="s">
        <v>22</v>
      </c>
    </row>
    <row r="11710" spans="1:22">
      <c r="A11710" t="str">
        <f t="shared" si="2273"/>
        <v>19/11/2025</v>
      </c>
      <c r="B11710" t="str">
        <f t="shared" si="2283"/>
        <v>ENTRADA</v>
      </c>
      <c r="C11710" t="str">
        <f t="shared" si="2284"/>
        <v>NFSE</v>
      </c>
      <c r="D11710" t="str">
        <f>"3647"</f>
        <v>3647</v>
      </c>
      <c r="E11710" t="str">
        <f t="shared" si="2285"/>
        <v>1</v>
      </c>
      <c r="F11710" t="str">
        <f t="shared" si="2286"/>
        <v>COM</v>
      </c>
      <c r="G11710" t="str">
        <f>"PAGMENOS - LJ 768 (10266)"</f>
        <v>PAGMENOS - LJ 768 (10266)</v>
      </c>
      <c r="H11710" t="str">
        <f>"Serv.Prest. 27/10/2025 a 02/11/2025 - RPS: 1523 - NFSe: 3647"</f>
        <v>Serv.Prest. 27/10/2025 a 02/11/2025 - RPS: 1523 - NFSe: 3647</v>
      </c>
      <c r="I11710" t="str">
        <f>("14/11/2025")</f>
        <v>14/11/2025</v>
      </c>
      <c r="J11710" t="str">
        <f>("04/11/2025")</f>
        <v>04/11/2025</v>
      </c>
      <c r="K11710" t="str">
        <f>("19/11/2025")</f>
        <v>19/11/2025</v>
      </c>
      <c r="L11710">
        <v>532.95000000000005</v>
      </c>
      <c r="M11710">
        <v>532.95000000000005</v>
      </c>
      <c r="N11710">
        <v>303</v>
      </c>
      <c r="O11710" t="str">
        <f>"RECEITAS COM ENTREGAS"</f>
        <v>RECEITAS COM ENTREGAS</v>
      </c>
      <c r="P11710">
        <v>532.95000000000005</v>
      </c>
      <c r="S11710" t="str">
        <f>"RECEITAS COM ENTREGAS (303)"</f>
        <v>RECEITAS COM ENTREGAS (303)</v>
      </c>
      <c r="T11710">
        <v>22494</v>
      </c>
      <c r="U11710">
        <v>24870</v>
      </c>
      <c r="V11710" t="s">
        <v>22</v>
      </c>
    </row>
    <row r="11711" spans="1:22">
      <c r="A11711" t="str">
        <f t="shared" si="2273"/>
        <v>19/11/2025</v>
      </c>
      <c r="B11711" t="str">
        <f t="shared" si="2283"/>
        <v>ENTRADA</v>
      </c>
      <c r="C11711" t="str">
        <f t="shared" si="2284"/>
        <v>NFSE</v>
      </c>
      <c r="D11711" t="str">
        <f>"3647"</f>
        <v>3647</v>
      </c>
      <c r="E11711" t="str">
        <f t="shared" si="2285"/>
        <v>1</v>
      </c>
      <c r="F11711" t="str">
        <f t="shared" si="2286"/>
        <v>COM</v>
      </c>
      <c r="G11711" t="str">
        <f>"PAGMENOS - LJ 768 (10266)"</f>
        <v>PAGMENOS - LJ 768 (10266)</v>
      </c>
      <c r="H11711" t="s">
        <v>3140</v>
      </c>
      <c r="I11711" t="str">
        <f>("14/11/2025")</f>
        <v>14/11/2025</v>
      </c>
      <c r="J11711" t="str">
        <f>("04/11/2025")</f>
        <v>04/11/2025</v>
      </c>
      <c r="K11711">
        <v>45980</v>
      </c>
      <c r="N11711">
        <v>303</v>
      </c>
      <c r="O11711" t="s">
        <v>69</v>
      </c>
      <c r="Q11711">
        <v>532.95000000000005</v>
      </c>
      <c r="R11711" t="str">
        <f>"PAGMENOS - LJ 768 (10266)"</f>
        <v>PAGMENOS - LJ 768 (10266)</v>
      </c>
      <c r="S11711" t="s">
        <v>70</v>
      </c>
      <c r="T11711">
        <v>22494</v>
      </c>
      <c r="U11711">
        <v>24870</v>
      </c>
      <c r="V11711" t="s">
        <v>22</v>
      </c>
    </row>
    <row r="11712" spans="1:22">
      <c r="A11712" t="str">
        <f t="shared" si="2273"/>
        <v>19/11/2025</v>
      </c>
      <c r="B11712" t="str">
        <f t="shared" si="2283"/>
        <v>ENTRADA</v>
      </c>
      <c r="C11712" t="str">
        <f t="shared" si="2284"/>
        <v>NFSE</v>
      </c>
      <c r="D11712" t="str">
        <f>"3709"</f>
        <v>3709</v>
      </c>
      <c r="E11712" t="str">
        <f t="shared" si="2285"/>
        <v>1</v>
      </c>
      <c r="F11712" t="str">
        <f t="shared" si="2286"/>
        <v>COM</v>
      </c>
      <c r="G11712" t="str">
        <f>"PENSE FARMA 39 (10228)"</f>
        <v>PENSE FARMA 39 (10228)</v>
      </c>
      <c r="H11712" t="str">
        <f>"Serv.Prest. 10/11/2025 a 16/11/2025 - RPS: 1585 - NFSe: 3709"</f>
        <v>Serv.Prest. 10/11/2025 a 16/11/2025 - RPS: 1585 - NFSe: 3709</v>
      </c>
      <c r="I11712" t="str">
        <f t="shared" ref="I11712:I11743" si="2287">("19/11/2025")</f>
        <v>19/11/2025</v>
      </c>
      <c r="J11712" t="str">
        <f>("17/11/2025")</f>
        <v>17/11/2025</v>
      </c>
      <c r="K11712" t="str">
        <f>("19/11/2025")</f>
        <v>19/11/2025</v>
      </c>
      <c r="L11712">
        <v>3399.85</v>
      </c>
      <c r="M11712">
        <v>3399.85</v>
      </c>
      <c r="N11712">
        <v>303</v>
      </c>
      <c r="O11712" t="str">
        <f>"RECEITAS COM ENTREGAS"</f>
        <v>RECEITAS COM ENTREGAS</v>
      </c>
      <c r="P11712">
        <v>3399.85</v>
      </c>
      <c r="S11712" t="str">
        <f>"RECEITAS COM ENTREGAS (303)"</f>
        <v>RECEITAS COM ENTREGAS (303)</v>
      </c>
      <c r="T11712">
        <v>22845</v>
      </c>
      <c r="U11712">
        <v>25533</v>
      </c>
      <c r="V11712" t="s">
        <v>22</v>
      </c>
    </row>
    <row r="11713" spans="1:22">
      <c r="A11713" t="str">
        <f t="shared" si="2273"/>
        <v>19/11/2025</v>
      </c>
      <c r="B11713" t="str">
        <f t="shared" si="2283"/>
        <v>ENTRADA</v>
      </c>
      <c r="C11713" t="str">
        <f t="shared" si="2284"/>
        <v>NFSE</v>
      </c>
      <c r="D11713" t="str">
        <f>"3709"</f>
        <v>3709</v>
      </c>
      <c r="E11713" t="str">
        <f t="shared" si="2285"/>
        <v>1</v>
      </c>
      <c r="F11713" t="str">
        <f t="shared" si="2286"/>
        <v>COM</v>
      </c>
      <c r="G11713" t="str">
        <f>"PENSE FARMA 39 (10228)"</f>
        <v>PENSE FARMA 39 (10228)</v>
      </c>
      <c r="H11713" t="s">
        <v>3141</v>
      </c>
      <c r="I11713" t="str">
        <f t="shared" si="2287"/>
        <v>19/11/2025</v>
      </c>
      <c r="J11713" t="str">
        <f>("17/11/2025")</f>
        <v>17/11/2025</v>
      </c>
      <c r="K11713">
        <v>45980</v>
      </c>
      <c r="N11713">
        <v>303</v>
      </c>
      <c r="O11713" t="s">
        <v>69</v>
      </c>
      <c r="Q11713">
        <v>843.51</v>
      </c>
      <c r="R11713" t="str">
        <f>"PENSE FARMA 02 (10199)"</f>
        <v>PENSE FARMA 02 (10199)</v>
      </c>
      <c r="S11713" t="s">
        <v>70</v>
      </c>
      <c r="T11713">
        <v>22845</v>
      </c>
      <c r="U11713">
        <v>25533</v>
      </c>
      <c r="V11713" t="s">
        <v>22</v>
      </c>
    </row>
    <row r="11714" spans="1:22">
      <c r="A11714" t="str">
        <f t="shared" si="2273"/>
        <v>19/11/2025</v>
      </c>
      <c r="B11714" t="str">
        <f t="shared" si="2283"/>
        <v>ENTRADA</v>
      </c>
      <c r="C11714" t="str">
        <f t="shared" si="2284"/>
        <v>NFSE</v>
      </c>
      <c r="D11714" t="str">
        <f>"3709"</f>
        <v>3709</v>
      </c>
      <c r="E11714" t="str">
        <f t="shared" si="2285"/>
        <v>1</v>
      </c>
      <c r="F11714" t="str">
        <f t="shared" si="2286"/>
        <v>COM</v>
      </c>
      <c r="G11714" t="str">
        <f>"PENSE FARMA 39 (10228)"</f>
        <v>PENSE FARMA 39 (10228)</v>
      </c>
      <c r="H11714" t="s">
        <v>3141</v>
      </c>
      <c r="I11714" t="str">
        <f t="shared" si="2287"/>
        <v>19/11/2025</v>
      </c>
      <c r="J11714" t="str">
        <f>("17/11/2025")</f>
        <v>17/11/2025</v>
      </c>
      <c r="K11714">
        <v>45980</v>
      </c>
      <c r="N11714">
        <v>303</v>
      </c>
      <c r="O11714" t="s">
        <v>69</v>
      </c>
      <c r="Q11714">
        <v>843.5</v>
      </c>
      <c r="R11714" t="str">
        <f>"PENSE FARMA 01 (10215)"</f>
        <v>PENSE FARMA 01 (10215)</v>
      </c>
      <c r="S11714" t="s">
        <v>70</v>
      </c>
      <c r="T11714">
        <v>22845</v>
      </c>
      <c r="U11714">
        <v>25533</v>
      </c>
      <c r="V11714" t="s">
        <v>22</v>
      </c>
    </row>
    <row r="11715" spans="1:22">
      <c r="A11715" t="str">
        <f t="shared" si="2273"/>
        <v>19/11/2025</v>
      </c>
      <c r="B11715" t="str">
        <f t="shared" si="2283"/>
        <v>ENTRADA</v>
      </c>
      <c r="C11715" t="str">
        <f t="shared" si="2284"/>
        <v>NFSE</v>
      </c>
      <c r="D11715" t="str">
        <f>"3709"</f>
        <v>3709</v>
      </c>
      <c r="E11715" t="str">
        <f t="shared" si="2285"/>
        <v>1</v>
      </c>
      <c r="F11715" t="str">
        <f t="shared" si="2286"/>
        <v>COM</v>
      </c>
      <c r="G11715" t="str">
        <f>"PENSE FARMA 39 (10228)"</f>
        <v>PENSE FARMA 39 (10228)</v>
      </c>
      <c r="H11715" t="s">
        <v>3141</v>
      </c>
      <c r="I11715" t="str">
        <f t="shared" si="2287"/>
        <v>19/11/2025</v>
      </c>
      <c r="J11715" t="str">
        <f>("17/11/2025")</f>
        <v>17/11/2025</v>
      </c>
      <c r="K11715">
        <v>45980</v>
      </c>
      <c r="N11715">
        <v>303</v>
      </c>
      <c r="O11715" t="s">
        <v>69</v>
      </c>
      <c r="Q11715">
        <v>843.5</v>
      </c>
      <c r="R11715" t="str">
        <f>"PENSE FARMA 03 (10216)"</f>
        <v>PENSE FARMA 03 (10216)</v>
      </c>
      <c r="S11715" t="s">
        <v>70</v>
      </c>
      <c r="T11715">
        <v>22845</v>
      </c>
      <c r="U11715">
        <v>25533</v>
      </c>
      <c r="V11715" t="s">
        <v>22</v>
      </c>
    </row>
    <row r="11716" spans="1:22">
      <c r="A11716" t="str">
        <f t="shared" si="2273"/>
        <v>19/11/2025</v>
      </c>
      <c r="B11716" t="str">
        <f t="shared" si="2283"/>
        <v>ENTRADA</v>
      </c>
      <c r="C11716" t="str">
        <f t="shared" si="2284"/>
        <v>NFSE</v>
      </c>
      <c r="D11716" t="str">
        <f>"3709"</f>
        <v>3709</v>
      </c>
      <c r="E11716" t="str">
        <f t="shared" si="2285"/>
        <v>1</v>
      </c>
      <c r="F11716" t="str">
        <f t="shared" si="2286"/>
        <v>COM</v>
      </c>
      <c r="G11716" t="str">
        <f>"PENSE FARMA 39 (10228)"</f>
        <v>PENSE FARMA 39 (10228)</v>
      </c>
      <c r="H11716" t="s">
        <v>3141</v>
      </c>
      <c r="I11716" t="str">
        <f t="shared" si="2287"/>
        <v>19/11/2025</v>
      </c>
      <c r="J11716" t="str">
        <f>("17/11/2025")</f>
        <v>17/11/2025</v>
      </c>
      <c r="K11716">
        <v>45980</v>
      </c>
      <c r="N11716">
        <v>303</v>
      </c>
      <c r="O11716" t="s">
        <v>69</v>
      </c>
      <c r="Q11716">
        <v>869.34</v>
      </c>
      <c r="R11716" t="str">
        <f>"PENSE FARMA 39 (10228)"</f>
        <v>PENSE FARMA 39 (10228)</v>
      </c>
      <c r="S11716" t="s">
        <v>70</v>
      </c>
      <c r="T11716">
        <v>22845</v>
      </c>
      <c r="U11716">
        <v>25533</v>
      </c>
      <c r="V11716" t="s">
        <v>22</v>
      </c>
    </row>
    <row r="11717" spans="1:22">
      <c r="A11717" t="str">
        <f t="shared" si="2273"/>
        <v>19/11/2025</v>
      </c>
      <c r="B11717" t="str">
        <f t="shared" ref="B11717:B11780" si="2288">"SAÍDA"</f>
        <v>SAÍDA</v>
      </c>
      <c r="C11717" t="str">
        <f>"PIX"</f>
        <v>PIX</v>
      </c>
      <c r="D11717" t="str">
        <f>"1911"</f>
        <v>1911</v>
      </c>
      <c r="E11717" t="str">
        <f>"25"</f>
        <v>25</v>
      </c>
      <c r="F11717" t="str">
        <f t="shared" si="2286"/>
        <v>COM</v>
      </c>
      <c r="G11717" t="str">
        <f>"RICARDO DE FARIA FERREIRA JUNIOR (20108)"</f>
        <v>RICARDO DE FARIA FERREIRA JUNIOR (20108)</v>
      </c>
      <c r="H11717" t="str">
        <f>"UNIFORMES MOTOBOYS - 50%"</f>
        <v>UNIFORMES MOTOBOYS - 50%</v>
      </c>
      <c r="I11717" t="str">
        <f t="shared" si="2287"/>
        <v>19/11/2025</v>
      </c>
      <c r="J11717" t="str">
        <f>("19/11/2025")</f>
        <v>19/11/2025</v>
      </c>
      <c r="K11717" t="str">
        <f>("19/11/2025")</f>
        <v>19/11/2025</v>
      </c>
      <c r="L11717">
        <v>5388</v>
      </c>
      <c r="M11717">
        <v>5388</v>
      </c>
      <c r="N11717">
        <v>139</v>
      </c>
      <c r="O11717" t="str">
        <f>"DESPESAS COM UNIFORMES"</f>
        <v>DESPESAS COM UNIFORMES</v>
      </c>
      <c r="P11717">
        <v>5388</v>
      </c>
      <c r="S11717" t="str">
        <f>"BANCO CORA (102)"</f>
        <v>BANCO CORA (102)</v>
      </c>
      <c r="T11717">
        <v>22880</v>
      </c>
      <c r="U11717">
        <v>25862</v>
      </c>
      <c r="V11717" t="s">
        <v>22</v>
      </c>
    </row>
    <row r="11718" spans="1:22">
      <c r="A11718" t="str">
        <f t="shared" si="2273"/>
        <v>19/11/2025</v>
      </c>
      <c r="B11718" t="str">
        <f t="shared" si="2288"/>
        <v>SAÍDA</v>
      </c>
      <c r="C11718" t="str">
        <f>"PIX"</f>
        <v>PIX</v>
      </c>
      <c r="D11718" t="str">
        <f>"1911"</f>
        <v>1911</v>
      </c>
      <c r="E11718" t="str">
        <f>"25"</f>
        <v>25</v>
      </c>
      <c r="F11718" t="str">
        <f t="shared" si="2286"/>
        <v>COM</v>
      </c>
      <c r="G11718" t="str">
        <f>"RICARDO DE FARIA FERREIRA JUNIOR (20108)"</f>
        <v>RICARDO DE FARIA FERREIRA JUNIOR (20108)</v>
      </c>
      <c r="H11718" t="s">
        <v>3142</v>
      </c>
      <c r="I11718" t="str">
        <f t="shared" si="2287"/>
        <v>19/11/2025</v>
      </c>
      <c r="J11718" t="str">
        <f>("19/11/2025")</f>
        <v>19/11/2025</v>
      </c>
      <c r="K11718">
        <v>45980</v>
      </c>
      <c r="N11718">
        <v>139</v>
      </c>
      <c r="O11718" t="s">
        <v>615</v>
      </c>
      <c r="Q11718">
        <v>5388</v>
      </c>
      <c r="R11718" t="str">
        <f>"RICARDO DE FARIA FERREIRA JUNIOR (20108)"</f>
        <v>RICARDO DE FARIA FERREIRA JUNIOR (20108)</v>
      </c>
      <c r="S11718" t="s">
        <v>22</v>
      </c>
      <c r="T11718">
        <v>22880</v>
      </c>
      <c r="U11718">
        <v>25862</v>
      </c>
      <c r="V11718" t="s">
        <v>22</v>
      </c>
    </row>
    <row r="11719" spans="1:22">
      <c r="A11719" t="str">
        <f t="shared" si="2273"/>
        <v>19/11/2025</v>
      </c>
      <c r="B11719" t="str">
        <f t="shared" si="2288"/>
        <v>SAÍDA</v>
      </c>
      <c r="C11719" t="str">
        <f t="shared" ref="C11719:C11766" si="2289">"CONHECIMENTO"</f>
        <v>CONHECIMENTO</v>
      </c>
      <c r="D11719" t="str">
        <f t="shared" ref="D11719:D11766" si="2290">"01092025"</f>
        <v>01092025</v>
      </c>
      <c r="E11719" t="str">
        <f>"2"</f>
        <v>2</v>
      </c>
      <c r="F11719" t="str">
        <f t="shared" si="2286"/>
        <v>COM</v>
      </c>
      <c r="G11719" t="str">
        <f t="shared" ref="G11719:G11766" si="2291">"CORA SOCIEDADE DE CREDITO, FINANCIAMENTO E INVESTIMENTO (20035)"</f>
        <v>CORA SOCIEDADE DE CREDITO, FINANCIAMENTO E INVESTIMENTO (20035)</v>
      </c>
      <c r="H11719" t="str">
        <f>"TAXA BOLETO "</f>
        <v xml:space="preserve">TAXA BOLETO </v>
      </c>
      <c r="I11719" t="str">
        <f t="shared" si="2287"/>
        <v>19/11/2025</v>
      </c>
      <c r="J11719" t="str">
        <f t="shared" ref="J11719:J11766" si="2292">("01/09/2025")</f>
        <v>01/09/2025</v>
      </c>
      <c r="K11719" t="str">
        <f>("19/11/2025")</f>
        <v>19/11/2025</v>
      </c>
      <c r="L11719">
        <v>1.7</v>
      </c>
      <c r="M11719">
        <v>1.7</v>
      </c>
      <c r="N11719">
        <v>401</v>
      </c>
      <c r="O11719" t="str">
        <f>"IOF/JUROS/DESP.FINANCEIRA"</f>
        <v>IOF/JUROS/DESP.FINANCEIRA</v>
      </c>
      <c r="P11719">
        <v>1.7</v>
      </c>
      <c r="S11719" t="str">
        <f>"BANCO CORA (102)"</f>
        <v>BANCO CORA (102)</v>
      </c>
      <c r="T11719">
        <v>22881</v>
      </c>
      <c r="U11719">
        <v>27024</v>
      </c>
      <c r="V11719" t="s">
        <v>22</v>
      </c>
    </row>
    <row r="11720" spans="1:22">
      <c r="A11720" t="str">
        <f t="shared" si="2273"/>
        <v>19/11/2025</v>
      </c>
      <c r="B11720" t="str">
        <f t="shared" si="2288"/>
        <v>SAÍDA</v>
      </c>
      <c r="C11720" t="str">
        <f t="shared" si="2289"/>
        <v>CONHECIMENTO</v>
      </c>
      <c r="D11720" t="str">
        <f t="shared" si="2290"/>
        <v>01092025</v>
      </c>
      <c r="E11720" t="str">
        <f>"2"</f>
        <v>2</v>
      </c>
      <c r="F11720" t="str">
        <f t="shared" si="2286"/>
        <v>COM</v>
      </c>
      <c r="G11720" t="str">
        <f t="shared" si="2291"/>
        <v>CORA SOCIEDADE DE CREDITO, FINANCIAMENTO E INVESTIMENTO (20035)</v>
      </c>
      <c r="H11720" t="s">
        <v>75</v>
      </c>
      <c r="I11720" t="str">
        <f t="shared" si="2287"/>
        <v>19/11/2025</v>
      </c>
      <c r="J11720" t="str">
        <f t="shared" si="2292"/>
        <v>01/09/2025</v>
      </c>
      <c r="K11720">
        <v>45980</v>
      </c>
      <c r="N11720">
        <v>401</v>
      </c>
      <c r="O11720" t="s">
        <v>76</v>
      </c>
      <c r="Q11720">
        <v>1.7</v>
      </c>
      <c r="R11720" t="str">
        <f>"CORA SOCIEDADE DE CREDITO, FINANCIAMENTO E INVESTIMENTO (20035)"</f>
        <v>CORA SOCIEDADE DE CREDITO, FINANCIAMENTO E INVESTIMENTO (20035)</v>
      </c>
      <c r="S11720" t="s">
        <v>22</v>
      </c>
      <c r="T11720">
        <v>22881</v>
      </c>
      <c r="U11720">
        <v>27024</v>
      </c>
      <c r="V11720" t="s">
        <v>22</v>
      </c>
    </row>
    <row r="11721" spans="1:22">
      <c r="A11721" t="str">
        <f t="shared" ref="A11721:A11769" si="2293">("19/11/2025")</f>
        <v>19/11/2025</v>
      </c>
      <c r="B11721" t="str">
        <f t="shared" si="2288"/>
        <v>SAÍDA</v>
      </c>
      <c r="C11721" t="str">
        <f t="shared" si="2289"/>
        <v>CONHECIMENTO</v>
      </c>
      <c r="D11721" t="str">
        <f t="shared" si="2290"/>
        <v>01092025</v>
      </c>
      <c r="E11721" t="str">
        <f>"3"</f>
        <v>3</v>
      </c>
      <c r="F11721" t="str">
        <f t="shared" si="2286"/>
        <v>COM</v>
      </c>
      <c r="G11721" t="str">
        <f t="shared" si="2291"/>
        <v>CORA SOCIEDADE DE CREDITO, FINANCIAMENTO E INVESTIMENTO (20035)</v>
      </c>
      <c r="H11721" t="str">
        <f>"TAXA BOLETO "</f>
        <v xml:space="preserve">TAXA BOLETO </v>
      </c>
      <c r="I11721" t="str">
        <f t="shared" si="2287"/>
        <v>19/11/2025</v>
      </c>
      <c r="J11721" t="str">
        <f t="shared" si="2292"/>
        <v>01/09/2025</v>
      </c>
      <c r="K11721" t="str">
        <f>("19/11/2025")</f>
        <v>19/11/2025</v>
      </c>
      <c r="L11721">
        <v>1.7</v>
      </c>
      <c r="M11721">
        <v>1.7</v>
      </c>
      <c r="N11721">
        <v>401</v>
      </c>
      <c r="O11721" t="str">
        <f>"IOF/JUROS/DESP.FINANCEIRA"</f>
        <v>IOF/JUROS/DESP.FINANCEIRA</v>
      </c>
      <c r="P11721">
        <v>1.7</v>
      </c>
      <c r="S11721" t="str">
        <f>"BANCO CORA (102)"</f>
        <v>BANCO CORA (102)</v>
      </c>
      <c r="T11721">
        <v>22882</v>
      </c>
      <c r="U11721">
        <v>27025</v>
      </c>
      <c r="V11721" t="s">
        <v>22</v>
      </c>
    </row>
    <row r="11722" spans="1:22">
      <c r="A11722" t="str">
        <f t="shared" si="2293"/>
        <v>19/11/2025</v>
      </c>
      <c r="B11722" t="str">
        <f t="shared" si="2288"/>
        <v>SAÍDA</v>
      </c>
      <c r="C11722" t="str">
        <f t="shared" si="2289"/>
        <v>CONHECIMENTO</v>
      </c>
      <c r="D11722" t="str">
        <f t="shared" si="2290"/>
        <v>01092025</v>
      </c>
      <c r="E11722" t="str">
        <f>"3"</f>
        <v>3</v>
      </c>
      <c r="F11722" t="str">
        <f t="shared" si="2286"/>
        <v>COM</v>
      </c>
      <c r="G11722" t="str">
        <f t="shared" si="2291"/>
        <v>CORA SOCIEDADE DE CREDITO, FINANCIAMENTO E INVESTIMENTO (20035)</v>
      </c>
      <c r="H11722" t="s">
        <v>75</v>
      </c>
      <c r="I11722" t="str">
        <f t="shared" si="2287"/>
        <v>19/11/2025</v>
      </c>
      <c r="J11722" t="str">
        <f t="shared" si="2292"/>
        <v>01/09/2025</v>
      </c>
      <c r="K11722">
        <v>45980</v>
      </c>
      <c r="N11722">
        <v>401</v>
      </c>
      <c r="O11722" t="s">
        <v>76</v>
      </c>
      <c r="Q11722">
        <v>1.7</v>
      </c>
      <c r="R11722" t="str">
        <f>"CORA SOCIEDADE DE CREDITO, FINANCIAMENTO E INVESTIMENTO (20035)"</f>
        <v>CORA SOCIEDADE DE CREDITO, FINANCIAMENTO E INVESTIMENTO (20035)</v>
      </c>
      <c r="S11722" t="s">
        <v>22</v>
      </c>
      <c r="T11722">
        <v>22882</v>
      </c>
      <c r="U11722">
        <v>27025</v>
      </c>
      <c r="V11722" t="s">
        <v>22</v>
      </c>
    </row>
    <row r="11723" spans="1:22">
      <c r="A11723" t="str">
        <f t="shared" si="2293"/>
        <v>19/11/2025</v>
      </c>
      <c r="B11723" t="str">
        <f t="shared" si="2288"/>
        <v>SAÍDA</v>
      </c>
      <c r="C11723" t="str">
        <f t="shared" si="2289"/>
        <v>CONHECIMENTO</v>
      </c>
      <c r="D11723" t="str">
        <f t="shared" si="2290"/>
        <v>01092025</v>
      </c>
      <c r="E11723" t="str">
        <f>"4"</f>
        <v>4</v>
      </c>
      <c r="F11723" t="str">
        <f t="shared" si="2286"/>
        <v>COM</v>
      </c>
      <c r="G11723" t="str">
        <f t="shared" si="2291"/>
        <v>CORA SOCIEDADE DE CREDITO, FINANCIAMENTO E INVESTIMENTO (20035)</v>
      </c>
      <c r="H11723" t="str">
        <f>"TAXA BOLETO "</f>
        <v xml:space="preserve">TAXA BOLETO </v>
      </c>
      <c r="I11723" t="str">
        <f t="shared" si="2287"/>
        <v>19/11/2025</v>
      </c>
      <c r="J11723" t="str">
        <f t="shared" si="2292"/>
        <v>01/09/2025</v>
      </c>
      <c r="K11723" t="str">
        <f>("19/11/2025")</f>
        <v>19/11/2025</v>
      </c>
      <c r="L11723">
        <v>1.7</v>
      </c>
      <c r="M11723">
        <v>1.7</v>
      </c>
      <c r="N11723">
        <v>401</v>
      </c>
      <c r="O11723" t="str">
        <f>"IOF/JUROS/DESP.FINANCEIRA"</f>
        <v>IOF/JUROS/DESP.FINANCEIRA</v>
      </c>
      <c r="P11723">
        <v>1.7</v>
      </c>
      <c r="S11723" t="str">
        <f>"BANCO CORA (102)"</f>
        <v>BANCO CORA (102)</v>
      </c>
      <c r="T11723">
        <v>22883</v>
      </c>
      <c r="U11723">
        <v>27026</v>
      </c>
      <c r="V11723" t="s">
        <v>22</v>
      </c>
    </row>
    <row r="11724" spans="1:22">
      <c r="A11724" t="str">
        <f t="shared" si="2293"/>
        <v>19/11/2025</v>
      </c>
      <c r="B11724" t="str">
        <f t="shared" si="2288"/>
        <v>SAÍDA</v>
      </c>
      <c r="C11724" t="str">
        <f t="shared" si="2289"/>
        <v>CONHECIMENTO</v>
      </c>
      <c r="D11724" t="str">
        <f t="shared" si="2290"/>
        <v>01092025</v>
      </c>
      <c r="E11724" t="str">
        <f>"4"</f>
        <v>4</v>
      </c>
      <c r="F11724" t="str">
        <f t="shared" si="2286"/>
        <v>COM</v>
      </c>
      <c r="G11724" t="str">
        <f t="shared" si="2291"/>
        <v>CORA SOCIEDADE DE CREDITO, FINANCIAMENTO E INVESTIMENTO (20035)</v>
      </c>
      <c r="H11724" t="s">
        <v>75</v>
      </c>
      <c r="I11724" t="str">
        <f t="shared" si="2287"/>
        <v>19/11/2025</v>
      </c>
      <c r="J11724" t="str">
        <f t="shared" si="2292"/>
        <v>01/09/2025</v>
      </c>
      <c r="K11724">
        <v>45980</v>
      </c>
      <c r="N11724">
        <v>401</v>
      </c>
      <c r="O11724" t="s">
        <v>76</v>
      </c>
      <c r="Q11724">
        <v>1.7</v>
      </c>
      <c r="R11724" t="str">
        <f>"CORA SOCIEDADE DE CREDITO, FINANCIAMENTO E INVESTIMENTO (20035)"</f>
        <v>CORA SOCIEDADE DE CREDITO, FINANCIAMENTO E INVESTIMENTO (20035)</v>
      </c>
      <c r="S11724" t="s">
        <v>22</v>
      </c>
      <c r="T11724">
        <v>22883</v>
      </c>
      <c r="U11724">
        <v>27026</v>
      </c>
      <c r="V11724" t="s">
        <v>22</v>
      </c>
    </row>
    <row r="11725" spans="1:22">
      <c r="A11725" t="str">
        <f t="shared" si="2293"/>
        <v>19/11/2025</v>
      </c>
      <c r="B11725" t="str">
        <f t="shared" si="2288"/>
        <v>SAÍDA</v>
      </c>
      <c r="C11725" t="str">
        <f t="shared" si="2289"/>
        <v>CONHECIMENTO</v>
      </c>
      <c r="D11725" t="str">
        <f t="shared" si="2290"/>
        <v>01092025</v>
      </c>
      <c r="E11725" t="str">
        <f>"5"</f>
        <v>5</v>
      </c>
      <c r="F11725" t="str">
        <f t="shared" si="2286"/>
        <v>COM</v>
      </c>
      <c r="G11725" t="str">
        <f t="shared" si="2291"/>
        <v>CORA SOCIEDADE DE CREDITO, FINANCIAMENTO E INVESTIMENTO (20035)</v>
      </c>
      <c r="H11725" t="str">
        <f>"TAXA BOLETO "</f>
        <v xml:space="preserve">TAXA BOLETO </v>
      </c>
      <c r="I11725" t="str">
        <f t="shared" si="2287"/>
        <v>19/11/2025</v>
      </c>
      <c r="J11725" t="str">
        <f t="shared" si="2292"/>
        <v>01/09/2025</v>
      </c>
      <c r="K11725" t="str">
        <f>("19/11/2025")</f>
        <v>19/11/2025</v>
      </c>
      <c r="L11725">
        <v>1.7</v>
      </c>
      <c r="M11725">
        <v>1.7</v>
      </c>
      <c r="N11725">
        <v>401</v>
      </c>
      <c r="O11725" t="str">
        <f>"IOF/JUROS/DESP.FINANCEIRA"</f>
        <v>IOF/JUROS/DESP.FINANCEIRA</v>
      </c>
      <c r="P11725">
        <v>1.7</v>
      </c>
      <c r="S11725" t="str">
        <f>"BANCO CORA (102)"</f>
        <v>BANCO CORA (102)</v>
      </c>
      <c r="T11725">
        <v>22884</v>
      </c>
      <c r="U11725">
        <v>27027</v>
      </c>
      <c r="V11725" t="s">
        <v>22</v>
      </c>
    </row>
    <row r="11726" spans="1:22">
      <c r="A11726" t="str">
        <f t="shared" si="2293"/>
        <v>19/11/2025</v>
      </c>
      <c r="B11726" t="str">
        <f t="shared" si="2288"/>
        <v>SAÍDA</v>
      </c>
      <c r="C11726" t="str">
        <f t="shared" si="2289"/>
        <v>CONHECIMENTO</v>
      </c>
      <c r="D11726" t="str">
        <f t="shared" si="2290"/>
        <v>01092025</v>
      </c>
      <c r="E11726" t="str">
        <f>"5"</f>
        <v>5</v>
      </c>
      <c r="F11726" t="str">
        <f t="shared" si="2286"/>
        <v>COM</v>
      </c>
      <c r="G11726" t="str">
        <f t="shared" si="2291"/>
        <v>CORA SOCIEDADE DE CREDITO, FINANCIAMENTO E INVESTIMENTO (20035)</v>
      </c>
      <c r="H11726" t="s">
        <v>75</v>
      </c>
      <c r="I11726" t="str">
        <f t="shared" si="2287"/>
        <v>19/11/2025</v>
      </c>
      <c r="J11726" t="str">
        <f t="shared" si="2292"/>
        <v>01/09/2025</v>
      </c>
      <c r="K11726">
        <v>45980</v>
      </c>
      <c r="N11726">
        <v>401</v>
      </c>
      <c r="O11726" t="s">
        <v>76</v>
      </c>
      <c r="Q11726">
        <v>1.7</v>
      </c>
      <c r="R11726" t="str">
        <f>"CORA SOCIEDADE DE CREDITO, FINANCIAMENTO E INVESTIMENTO (20035)"</f>
        <v>CORA SOCIEDADE DE CREDITO, FINANCIAMENTO E INVESTIMENTO (20035)</v>
      </c>
      <c r="S11726" t="s">
        <v>22</v>
      </c>
      <c r="T11726">
        <v>22884</v>
      </c>
      <c r="U11726">
        <v>27027</v>
      </c>
      <c r="V11726" t="s">
        <v>22</v>
      </c>
    </row>
    <row r="11727" spans="1:22">
      <c r="A11727" t="str">
        <f t="shared" si="2293"/>
        <v>19/11/2025</v>
      </c>
      <c r="B11727" t="str">
        <f t="shared" si="2288"/>
        <v>SAÍDA</v>
      </c>
      <c r="C11727" t="str">
        <f t="shared" si="2289"/>
        <v>CONHECIMENTO</v>
      </c>
      <c r="D11727" t="str">
        <f t="shared" si="2290"/>
        <v>01092025</v>
      </c>
      <c r="E11727" t="str">
        <f>"6"</f>
        <v>6</v>
      </c>
      <c r="F11727" t="str">
        <f t="shared" si="2286"/>
        <v>COM</v>
      </c>
      <c r="G11727" t="str">
        <f t="shared" si="2291"/>
        <v>CORA SOCIEDADE DE CREDITO, FINANCIAMENTO E INVESTIMENTO (20035)</v>
      </c>
      <c r="H11727" t="str">
        <f>"TAXA BOLETO "</f>
        <v xml:space="preserve">TAXA BOLETO </v>
      </c>
      <c r="I11727" t="str">
        <f t="shared" si="2287"/>
        <v>19/11/2025</v>
      </c>
      <c r="J11727" t="str">
        <f t="shared" si="2292"/>
        <v>01/09/2025</v>
      </c>
      <c r="K11727" t="str">
        <f>("19/11/2025")</f>
        <v>19/11/2025</v>
      </c>
      <c r="L11727">
        <v>1.7</v>
      </c>
      <c r="M11727">
        <v>1.7</v>
      </c>
      <c r="N11727">
        <v>401</v>
      </c>
      <c r="O11727" t="str">
        <f>"IOF/JUROS/DESP.FINANCEIRA"</f>
        <v>IOF/JUROS/DESP.FINANCEIRA</v>
      </c>
      <c r="P11727">
        <v>1.7</v>
      </c>
      <c r="S11727" t="str">
        <f>"BANCO CORA (102)"</f>
        <v>BANCO CORA (102)</v>
      </c>
      <c r="T11727">
        <v>22885</v>
      </c>
      <c r="U11727">
        <v>27028</v>
      </c>
      <c r="V11727" t="s">
        <v>22</v>
      </c>
    </row>
    <row r="11728" spans="1:22">
      <c r="A11728" t="str">
        <f t="shared" si="2293"/>
        <v>19/11/2025</v>
      </c>
      <c r="B11728" t="str">
        <f t="shared" si="2288"/>
        <v>SAÍDA</v>
      </c>
      <c r="C11728" t="str">
        <f t="shared" si="2289"/>
        <v>CONHECIMENTO</v>
      </c>
      <c r="D11728" t="str">
        <f t="shared" si="2290"/>
        <v>01092025</v>
      </c>
      <c r="E11728" t="str">
        <f>"6"</f>
        <v>6</v>
      </c>
      <c r="F11728" t="str">
        <f t="shared" si="2286"/>
        <v>COM</v>
      </c>
      <c r="G11728" t="str">
        <f t="shared" si="2291"/>
        <v>CORA SOCIEDADE DE CREDITO, FINANCIAMENTO E INVESTIMENTO (20035)</v>
      </c>
      <c r="H11728" t="s">
        <v>75</v>
      </c>
      <c r="I11728" t="str">
        <f t="shared" si="2287"/>
        <v>19/11/2025</v>
      </c>
      <c r="J11728" t="str">
        <f t="shared" si="2292"/>
        <v>01/09/2025</v>
      </c>
      <c r="K11728">
        <v>45980</v>
      </c>
      <c r="N11728">
        <v>401</v>
      </c>
      <c r="O11728" t="s">
        <v>76</v>
      </c>
      <c r="Q11728">
        <v>1.7</v>
      </c>
      <c r="R11728" t="str">
        <f>"CORA SOCIEDADE DE CREDITO, FINANCIAMENTO E INVESTIMENTO (20035)"</f>
        <v>CORA SOCIEDADE DE CREDITO, FINANCIAMENTO E INVESTIMENTO (20035)</v>
      </c>
      <c r="S11728" t="s">
        <v>22</v>
      </c>
      <c r="T11728">
        <v>22885</v>
      </c>
      <c r="U11728">
        <v>27028</v>
      </c>
      <c r="V11728" t="s">
        <v>22</v>
      </c>
    </row>
    <row r="11729" spans="1:22">
      <c r="A11729" t="str">
        <f t="shared" si="2293"/>
        <v>19/11/2025</v>
      </c>
      <c r="B11729" t="str">
        <f t="shared" si="2288"/>
        <v>SAÍDA</v>
      </c>
      <c r="C11729" t="str">
        <f t="shared" si="2289"/>
        <v>CONHECIMENTO</v>
      </c>
      <c r="D11729" t="str">
        <f t="shared" si="2290"/>
        <v>01092025</v>
      </c>
      <c r="E11729" t="str">
        <f>"7"</f>
        <v>7</v>
      </c>
      <c r="F11729" t="str">
        <f t="shared" si="2286"/>
        <v>COM</v>
      </c>
      <c r="G11729" t="str">
        <f t="shared" si="2291"/>
        <v>CORA SOCIEDADE DE CREDITO, FINANCIAMENTO E INVESTIMENTO (20035)</v>
      </c>
      <c r="H11729" t="str">
        <f>"TAXA BOLETO "</f>
        <v xml:space="preserve">TAXA BOLETO </v>
      </c>
      <c r="I11729" t="str">
        <f t="shared" si="2287"/>
        <v>19/11/2025</v>
      </c>
      <c r="J11729" t="str">
        <f t="shared" si="2292"/>
        <v>01/09/2025</v>
      </c>
      <c r="K11729" t="str">
        <f>("19/11/2025")</f>
        <v>19/11/2025</v>
      </c>
      <c r="L11729">
        <v>1.7</v>
      </c>
      <c r="M11729">
        <v>1.7</v>
      </c>
      <c r="N11729">
        <v>401</v>
      </c>
      <c r="O11729" t="str">
        <f>"IOF/JUROS/DESP.FINANCEIRA"</f>
        <v>IOF/JUROS/DESP.FINANCEIRA</v>
      </c>
      <c r="P11729">
        <v>1.7</v>
      </c>
      <c r="S11729" t="str">
        <f>"BANCO CORA (102)"</f>
        <v>BANCO CORA (102)</v>
      </c>
      <c r="T11729">
        <v>22886</v>
      </c>
      <c r="U11729">
        <v>27029</v>
      </c>
      <c r="V11729" t="s">
        <v>22</v>
      </c>
    </row>
    <row r="11730" spans="1:22">
      <c r="A11730" t="str">
        <f t="shared" si="2293"/>
        <v>19/11/2025</v>
      </c>
      <c r="B11730" t="str">
        <f t="shared" si="2288"/>
        <v>SAÍDA</v>
      </c>
      <c r="C11730" t="str">
        <f t="shared" si="2289"/>
        <v>CONHECIMENTO</v>
      </c>
      <c r="D11730" t="str">
        <f t="shared" si="2290"/>
        <v>01092025</v>
      </c>
      <c r="E11730" t="str">
        <f>"7"</f>
        <v>7</v>
      </c>
      <c r="F11730" t="str">
        <f t="shared" si="2286"/>
        <v>COM</v>
      </c>
      <c r="G11730" t="str">
        <f t="shared" si="2291"/>
        <v>CORA SOCIEDADE DE CREDITO, FINANCIAMENTO E INVESTIMENTO (20035)</v>
      </c>
      <c r="H11730" t="s">
        <v>75</v>
      </c>
      <c r="I11730" t="str">
        <f t="shared" si="2287"/>
        <v>19/11/2025</v>
      </c>
      <c r="J11730" t="str">
        <f t="shared" si="2292"/>
        <v>01/09/2025</v>
      </c>
      <c r="K11730">
        <v>45980</v>
      </c>
      <c r="N11730">
        <v>401</v>
      </c>
      <c r="O11730" t="s">
        <v>76</v>
      </c>
      <c r="Q11730">
        <v>1.7</v>
      </c>
      <c r="R11730" t="str">
        <f>"CORA SOCIEDADE DE CREDITO, FINANCIAMENTO E INVESTIMENTO (20035)"</f>
        <v>CORA SOCIEDADE DE CREDITO, FINANCIAMENTO E INVESTIMENTO (20035)</v>
      </c>
      <c r="S11730" t="s">
        <v>22</v>
      </c>
      <c r="T11730">
        <v>22886</v>
      </c>
      <c r="U11730">
        <v>27029</v>
      </c>
      <c r="V11730" t="s">
        <v>22</v>
      </c>
    </row>
    <row r="11731" spans="1:22">
      <c r="A11731" t="str">
        <f t="shared" si="2293"/>
        <v>19/11/2025</v>
      </c>
      <c r="B11731" t="str">
        <f t="shared" si="2288"/>
        <v>SAÍDA</v>
      </c>
      <c r="C11731" t="str">
        <f t="shared" si="2289"/>
        <v>CONHECIMENTO</v>
      </c>
      <c r="D11731" t="str">
        <f t="shared" si="2290"/>
        <v>01092025</v>
      </c>
      <c r="E11731" t="str">
        <f>"8"</f>
        <v>8</v>
      </c>
      <c r="F11731" t="str">
        <f t="shared" si="2286"/>
        <v>COM</v>
      </c>
      <c r="G11731" t="str">
        <f t="shared" si="2291"/>
        <v>CORA SOCIEDADE DE CREDITO, FINANCIAMENTO E INVESTIMENTO (20035)</v>
      </c>
      <c r="H11731" t="str">
        <f>"TAXA BOLETO "</f>
        <v xml:space="preserve">TAXA BOLETO </v>
      </c>
      <c r="I11731" t="str">
        <f t="shared" si="2287"/>
        <v>19/11/2025</v>
      </c>
      <c r="J11731" t="str">
        <f t="shared" si="2292"/>
        <v>01/09/2025</v>
      </c>
      <c r="K11731" t="str">
        <f>("19/11/2025")</f>
        <v>19/11/2025</v>
      </c>
      <c r="L11731">
        <v>1.7</v>
      </c>
      <c r="M11731">
        <v>1.7</v>
      </c>
      <c r="N11731">
        <v>401</v>
      </c>
      <c r="O11731" t="str">
        <f>"IOF/JUROS/DESP.FINANCEIRA"</f>
        <v>IOF/JUROS/DESP.FINANCEIRA</v>
      </c>
      <c r="P11731">
        <v>1.7</v>
      </c>
      <c r="S11731" t="str">
        <f>"BANCO CORA (102)"</f>
        <v>BANCO CORA (102)</v>
      </c>
      <c r="T11731">
        <v>22887</v>
      </c>
      <c r="U11731">
        <v>27030</v>
      </c>
      <c r="V11731" t="s">
        <v>22</v>
      </c>
    </row>
    <row r="11732" spans="1:22">
      <c r="A11732" t="str">
        <f t="shared" si="2293"/>
        <v>19/11/2025</v>
      </c>
      <c r="B11732" t="str">
        <f t="shared" si="2288"/>
        <v>SAÍDA</v>
      </c>
      <c r="C11732" t="str">
        <f t="shared" si="2289"/>
        <v>CONHECIMENTO</v>
      </c>
      <c r="D11732" t="str">
        <f t="shared" si="2290"/>
        <v>01092025</v>
      </c>
      <c r="E11732" t="str">
        <f>"8"</f>
        <v>8</v>
      </c>
      <c r="F11732" t="str">
        <f t="shared" si="2286"/>
        <v>COM</v>
      </c>
      <c r="G11732" t="str">
        <f t="shared" si="2291"/>
        <v>CORA SOCIEDADE DE CREDITO, FINANCIAMENTO E INVESTIMENTO (20035)</v>
      </c>
      <c r="H11732" t="s">
        <v>75</v>
      </c>
      <c r="I11732" t="str">
        <f t="shared" si="2287"/>
        <v>19/11/2025</v>
      </c>
      <c r="J11732" t="str">
        <f t="shared" si="2292"/>
        <v>01/09/2025</v>
      </c>
      <c r="K11732">
        <v>45980</v>
      </c>
      <c r="N11732">
        <v>401</v>
      </c>
      <c r="O11732" t="s">
        <v>76</v>
      </c>
      <c r="Q11732">
        <v>1.7</v>
      </c>
      <c r="R11732" t="str">
        <f>"CORA SOCIEDADE DE CREDITO, FINANCIAMENTO E INVESTIMENTO (20035)"</f>
        <v>CORA SOCIEDADE DE CREDITO, FINANCIAMENTO E INVESTIMENTO (20035)</v>
      </c>
      <c r="S11732" t="s">
        <v>22</v>
      </c>
      <c r="T11732">
        <v>22887</v>
      </c>
      <c r="U11732">
        <v>27030</v>
      </c>
      <c r="V11732" t="s">
        <v>22</v>
      </c>
    </row>
    <row r="11733" spans="1:22">
      <c r="A11733" t="str">
        <f t="shared" si="2293"/>
        <v>19/11/2025</v>
      </c>
      <c r="B11733" t="str">
        <f t="shared" si="2288"/>
        <v>SAÍDA</v>
      </c>
      <c r="C11733" t="str">
        <f t="shared" si="2289"/>
        <v>CONHECIMENTO</v>
      </c>
      <c r="D11733" t="str">
        <f t="shared" si="2290"/>
        <v>01092025</v>
      </c>
      <c r="E11733" t="str">
        <f>"9"</f>
        <v>9</v>
      </c>
      <c r="F11733" t="str">
        <f t="shared" si="2286"/>
        <v>COM</v>
      </c>
      <c r="G11733" t="str">
        <f t="shared" si="2291"/>
        <v>CORA SOCIEDADE DE CREDITO, FINANCIAMENTO E INVESTIMENTO (20035)</v>
      </c>
      <c r="H11733" t="str">
        <f>"TAXA BOLETO "</f>
        <v xml:space="preserve">TAXA BOLETO </v>
      </c>
      <c r="I11733" t="str">
        <f t="shared" si="2287"/>
        <v>19/11/2025</v>
      </c>
      <c r="J11733" t="str">
        <f t="shared" si="2292"/>
        <v>01/09/2025</v>
      </c>
      <c r="K11733" t="str">
        <f>("19/11/2025")</f>
        <v>19/11/2025</v>
      </c>
      <c r="L11733">
        <v>1.7</v>
      </c>
      <c r="M11733">
        <v>1.7</v>
      </c>
      <c r="N11733">
        <v>401</v>
      </c>
      <c r="O11733" t="str">
        <f>"IOF/JUROS/DESP.FINANCEIRA"</f>
        <v>IOF/JUROS/DESP.FINANCEIRA</v>
      </c>
      <c r="P11733">
        <v>1.7</v>
      </c>
      <c r="S11733" t="str">
        <f>"BANCO CORA (102)"</f>
        <v>BANCO CORA (102)</v>
      </c>
      <c r="T11733">
        <v>22888</v>
      </c>
      <c r="U11733">
        <v>27031</v>
      </c>
      <c r="V11733" t="s">
        <v>22</v>
      </c>
    </row>
    <row r="11734" spans="1:22">
      <c r="A11734" t="str">
        <f t="shared" si="2293"/>
        <v>19/11/2025</v>
      </c>
      <c r="B11734" t="str">
        <f t="shared" si="2288"/>
        <v>SAÍDA</v>
      </c>
      <c r="C11734" t="str">
        <f t="shared" si="2289"/>
        <v>CONHECIMENTO</v>
      </c>
      <c r="D11734" t="str">
        <f t="shared" si="2290"/>
        <v>01092025</v>
      </c>
      <c r="E11734" t="str">
        <f>"9"</f>
        <v>9</v>
      </c>
      <c r="F11734" t="str">
        <f t="shared" si="2286"/>
        <v>COM</v>
      </c>
      <c r="G11734" t="str">
        <f t="shared" si="2291"/>
        <v>CORA SOCIEDADE DE CREDITO, FINANCIAMENTO E INVESTIMENTO (20035)</v>
      </c>
      <c r="H11734" t="s">
        <v>75</v>
      </c>
      <c r="I11734" t="str">
        <f t="shared" si="2287"/>
        <v>19/11/2025</v>
      </c>
      <c r="J11734" t="str">
        <f t="shared" si="2292"/>
        <v>01/09/2025</v>
      </c>
      <c r="K11734">
        <v>45980</v>
      </c>
      <c r="N11734">
        <v>401</v>
      </c>
      <c r="O11734" t="s">
        <v>76</v>
      </c>
      <c r="Q11734">
        <v>1.7</v>
      </c>
      <c r="R11734" t="str">
        <f>"CORA SOCIEDADE DE CREDITO, FINANCIAMENTO E INVESTIMENTO (20035)"</f>
        <v>CORA SOCIEDADE DE CREDITO, FINANCIAMENTO E INVESTIMENTO (20035)</v>
      </c>
      <c r="S11734" t="s">
        <v>22</v>
      </c>
      <c r="T11734">
        <v>22888</v>
      </c>
      <c r="U11734">
        <v>27031</v>
      </c>
      <c r="V11734" t="s">
        <v>22</v>
      </c>
    </row>
    <row r="11735" spans="1:22">
      <c r="A11735" t="str">
        <f t="shared" si="2293"/>
        <v>19/11/2025</v>
      </c>
      <c r="B11735" t="str">
        <f t="shared" si="2288"/>
        <v>SAÍDA</v>
      </c>
      <c r="C11735" t="str">
        <f t="shared" si="2289"/>
        <v>CONHECIMENTO</v>
      </c>
      <c r="D11735" t="str">
        <f t="shared" si="2290"/>
        <v>01092025</v>
      </c>
      <c r="E11735" t="str">
        <f>"10"</f>
        <v>10</v>
      </c>
      <c r="F11735" t="str">
        <f t="shared" si="2286"/>
        <v>COM</v>
      </c>
      <c r="G11735" t="str">
        <f t="shared" si="2291"/>
        <v>CORA SOCIEDADE DE CREDITO, FINANCIAMENTO E INVESTIMENTO (20035)</v>
      </c>
      <c r="H11735" t="str">
        <f>"TAXA BOLETO "</f>
        <v xml:space="preserve">TAXA BOLETO </v>
      </c>
      <c r="I11735" t="str">
        <f t="shared" si="2287"/>
        <v>19/11/2025</v>
      </c>
      <c r="J11735" t="str">
        <f t="shared" si="2292"/>
        <v>01/09/2025</v>
      </c>
      <c r="K11735" t="str">
        <f>("19/11/2025")</f>
        <v>19/11/2025</v>
      </c>
      <c r="L11735">
        <v>1.7</v>
      </c>
      <c r="M11735">
        <v>1.7</v>
      </c>
      <c r="N11735">
        <v>401</v>
      </c>
      <c r="O11735" t="str">
        <f>"IOF/JUROS/DESP.FINANCEIRA"</f>
        <v>IOF/JUROS/DESP.FINANCEIRA</v>
      </c>
      <c r="P11735">
        <v>1.7</v>
      </c>
      <c r="S11735" t="str">
        <f>"BANCO CORA (102)"</f>
        <v>BANCO CORA (102)</v>
      </c>
      <c r="T11735">
        <v>22889</v>
      </c>
      <c r="U11735">
        <v>27032</v>
      </c>
      <c r="V11735" t="s">
        <v>22</v>
      </c>
    </row>
    <row r="11736" spans="1:22">
      <c r="A11736" t="str">
        <f t="shared" si="2293"/>
        <v>19/11/2025</v>
      </c>
      <c r="B11736" t="str">
        <f t="shared" si="2288"/>
        <v>SAÍDA</v>
      </c>
      <c r="C11736" t="str">
        <f t="shared" si="2289"/>
        <v>CONHECIMENTO</v>
      </c>
      <c r="D11736" t="str">
        <f t="shared" si="2290"/>
        <v>01092025</v>
      </c>
      <c r="E11736" t="str">
        <f>"10"</f>
        <v>10</v>
      </c>
      <c r="F11736" t="str">
        <f t="shared" si="2286"/>
        <v>COM</v>
      </c>
      <c r="G11736" t="str">
        <f t="shared" si="2291"/>
        <v>CORA SOCIEDADE DE CREDITO, FINANCIAMENTO E INVESTIMENTO (20035)</v>
      </c>
      <c r="H11736" t="s">
        <v>75</v>
      </c>
      <c r="I11736" t="str">
        <f t="shared" si="2287"/>
        <v>19/11/2025</v>
      </c>
      <c r="J11736" t="str">
        <f t="shared" si="2292"/>
        <v>01/09/2025</v>
      </c>
      <c r="K11736">
        <v>45980</v>
      </c>
      <c r="N11736">
        <v>401</v>
      </c>
      <c r="O11736" t="s">
        <v>76</v>
      </c>
      <c r="Q11736">
        <v>1.7</v>
      </c>
      <c r="R11736" t="str">
        <f>"CORA SOCIEDADE DE CREDITO, FINANCIAMENTO E INVESTIMENTO (20035)"</f>
        <v>CORA SOCIEDADE DE CREDITO, FINANCIAMENTO E INVESTIMENTO (20035)</v>
      </c>
      <c r="S11736" t="s">
        <v>22</v>
      </c>
      <c r="T11736">
        <v>22889</v>
      </c>
      <c r="U11736">
        <v>27032</v>
      </c>
      <c r="V11736" t="s">
        <v>22</v>
      </c>
    </row>
    <row r="11737" spans="1:22">
      <c r="A11737" t="str">
        <f t="shared" si="2293"/>
        <v>19/11/2025</v>
      </c>
      <c r="B11737" t="str">
        <f t="shared" si="2288"/>
        <v>SAÍDA</v>
      </c>
      <c r="C11737" t="str">
        <f t="shared" si="2289"/>
        <v>CONHECIMENTO</v>
      </c>
      <c r="D11737" t="str">
        <f t="shared" si="2290"/>
        <v>01092025</v>
      </c>
      <c r="E11737" t="str">
        <f>"11"</f>
        <v>11</v>
      </c>
      <c r="F11737" t="str">
        <f t="shared" si="2286"/>
        <v>COM</v>
      </c>
      <c r="G11737" t="str">
        <f t="shared" si="2291"/>
        <v>CORA SOCIEDADE DE CREDITO, FINANCIAMENTO E INVESTIMENTO (20035)</v>
      </c>
      <c r="H11737" t="str">
        <f>"TAXA BOLETO "</f>
        <v xml:space="preserve">TAXA BOLETO </v>
      </c>
      <c r="I11737" t="str">
        <f t="shared" si="2287"/>
        <v>19/11/2025</v>
      </c>
      <c r="J11737" t="str">
        <f t="shared" si="2292"/>
        <v>01/09/2025</v>
      </c>
      <c r="K11737" t="str">
        <f>("19/11/2025")</f>
        <v>19/11/2025</v>
      </c>
      <c r="L11737">
        <v>1.7</v>
      </c>
      <c r="M11737">
        <v>1.7</v>
      </c>
      <c r="N11737">
        <v>401</v>
      </c>
      <c r="O11737" t="str">
        <f>"IOF/JUROS/DESP.FINANCEIRA"</f>
        <v>IOF/JUROS/DESP.FINANCEIRA</v>
      </c>
      <c r="P11737">
        <v>1.7</v>
      </c>
      <c r="S11737" t="str">
        <f>"BANCO CORA (102)"</f>
        <v>BANCO CORA (102)</v>
      </c>
      <c r="T11737">
        <v>22890</v>
      </c>
      <c r="U11737">
        <v>27033</v>
      </c>
      <c r="V11737" t="s">
        <v>22</v>
      </c>
    </row>
    <row r="11738" spans="1:22">
      <c r="A11738" t="str">
        <f t="shared" si="2293"/>
        <v>19/11/2025</v>
      </c>
      <c r="B11738" t="str">
        <f t="shared" si="2288"/>
        <v>SAÍDA</v>
      </c>
      <c r="C11738" t="str">
        <f t="shared" si="2289"/>
        <v>CONHECIMENTO</v>
      </c>
      <c r="D11738" t="str">
        <f t="shared" si="2290"/>
        <v>01092025</v>
      </c>
      <c r="E11738" t="str">
        <f>"11"</f>
        <v>11</v>
      </c>
      <c r="F11738" t="str">
        <f t="shared" si="2286"/>
        <v>COM</v>
      </c>
      <c r="G11738" t="str">
        <f t="shared" si="2291"/>
        <v>CORA SOCIEDADE DE CREDITO, FINANCIAMENTO E INVESTIMENTO (20035)</v>
      </c>
      <c r="H11738" t="s">
        <v>75</v>
      </c>
      <c r="I11738" t="str">
        <f t="shared" si="2287"/>
        <v>19/11/2025</v>
      </c>
      <c r="J11738" t="str">
        <f t="shared" si="2292"/>
        <v>01/09/2025</v>
      </c>
      <c r="K11738">
        <v>45980</v>
      </c>
      <c r="N11738">
        <v>401</v>
      </c>
      <c r="O11738" t="s">
        <v>76</v>
      </c>
      <c r="Q11738">
        <v>1.7</v>
      </c>
      <c r="R11738" t="str">
        <f>"CORA SOCIEDADE DE CREDITO, FINANCIAMENTO E INVESTIMENTO (20035)"</f>
        <v>CORA SOCIEDADE DE CREDITO, FINANCIAMENTO E INVESTIMENTO (20035)</v>
      </c>
      <c r="S11738" t="s">
        <v>22</v>
      </c>
      <c r="T11738">
        <v>22890</v>
      </c>
      <c r="U11738">
        <v>27033</v>
      </c>
      <c r="V11738" t="s">
        <v>22</v>
      </c>
    </row>
    <row r="11739" spans="1:22">
      <c r="A11739" t="str">
        <f t="shared" si="2293"/>
        <v>19/11/2025</v>
      </c>
      <c r="B11739" t="str">
        <f t="shared" si="2288"/>
        <v>SAÍDA</v>
      </c>
      <c r="C11739" t="str">
        <f t="shared" si="2289"/>
        <v>CONHECIMENTO</v>
      </c>
      <c r="D11739" t="str">
        <f t="shared" si="2290"/>
        <v>01092025</v>
      </c>
      <c r="E11739" t="str">
        <f>"12"</f>
        <v>12</v>
      </c>
      <c r="F11739" t="str">
        <f t="shared" si="2286"/>
        <v>COM</v>
      </c>
      <c r="G11739" t="str">
        <f t="shared" si="2291"/>
        <v>CORA SOCIEDADE DE CREDITO, FINANCIAMENTO E INVESTIMENTO (20035)</v>
      </c>
      <c r="H11739" t="str">
        <f>"TAXA BOLETO "</f>
        <v xml:space="preserve">TAXA BOLETO </v>
      </c>
      <c r="I11739" t="str">
        <f t="shared" si="2287"/>
        <v>19/11/2025</v>
      </c>
      <c r="J11739" t="str">
        <f t="shared" si="2292"/>
        <v>01/09/2025</v>
      </c>
      <c r="K11739" t="str">
        <f>("19/11/2025")</f>
        <v>19/11/2025</v>
      </c>
      <c r="L11739">
        <v>1.7</v>
      </c>
      <c r="M11739">
        <v>1.7</v>
      </c>
      <c r="N11739">
        <v>401</v>
      </c>
      <c r="O11739" t="str">
        <f>"IOF/JUROS/DESP.FINANCEIRA"</f>
        <v>IOF/JUROS/DESP.FINANCEIRA</v>
      </c>
      <c r="P11739">
        <v>1.7</v>
      </c>
      <c r="S11739" t="str">
        <f>"BANCO CORA (102)"</f>
        <v>BANCO CORA (102)</v>
      </c>
      <c r="T11739">
        <v>22891</v>
      </c>
      <c r="U11739">
        <v>27034</v>
      </c>
      <c r="V11739" t="s">
        <v>22</v>
      </c>
    </row>
    <row r="11740" spans="1:22">
      <c r="A11740" t="str">
        <f t="shared" si="2293"/>
        <v>19/11/2025</v>
      </c>
      <c r="B11740" t="str">
        <f t="shared" si="2288"/>
        <v>SAÍDA</v>
      </c>
      <c r="C11740" t="str">
        <f t="shared" si="2289"/>
        <v>CONHECIMENTO</v>
      </c>
      <c r="D11740" t="str">
        <f t="shared" si="2290"/>
        <v>01092025</v>
      </c>
      <c r="E11740" t="str">
        <f>"12"</f>
        <v>12</v>
      </c>
      <c r="F11740" t="str">
        <f t="shared" ref="F11740:F11768" si="2294">"COM"</f>
        <v>COM</v>
      </c>
      <c r="G11740" t="str">
        <f t="shared" si="2291"/>
        <v>CORA SOCIEDADE DE CREDITO, FINANCIAMENTO E INVESTIMENTO (20035)</v>
      </c>
      <c r="H11740" t="s">
        <v>75</v>
      </c>
      <c r="I11740" t="str">
        <f t="shared" si="2287"/>
        <v>19/11/2025</v>
      </c>
      <c r="J11740" t="str">
        <f t="shared" si="2292"/>
        <v>01/09/2025</v>
      </c>
      <c r="K11740">
        <v>45980</v>
      </c>
      <c r="N11740">
        <v>401</v>
      </c>
      <c r="O11740" t="s">
        <v>76</v>
      </c>
      <c r="Q11740">
        <v>1.7</v>
      </c>
      <c r="R11740" t="str">
        <f>"CORA SOCIEDADE DE CREDITO, FINANCIAMENTO E INVESTIMENTO (20035)"</f>
        <v>CORA SOCIEDADE DE CREDITO, FINANCIAMENTO E INVESTIMENTO (20035)</v>
      </c>
      <c r="S11740" t="s">
        <v>22</v>
      </c>
      <c r="T11740">
        <v>22891</v>
      </c>
      <c r="U11740">
        <v>27034</v>
      </c>
      <c r="V11740" t="s">
        <v>22</v>
      </c>
    </row>
    <row r="11741" spans="1:22">
      <c r="A11741" t="str">
        <f t="shared" si="2293"/>
        <v>19/11/2025</v>
      </c>
      <c r="B11741" t="str">
        <f t="shared" si="2288"/>
        <v>SAÍDA</v>
      </c>
      <c r="C11741" t="str">
        <f t="shared" si="2289"/>
        <v>CONHECIMENTO</v>
      </c>
      <c r="D11741" t="str">
        <f t="shared" si="2290"/>
        <v>01092025</v>
      </c>
      <c r="E11741" t="str">
        <f>"13"</f>
        <v>13</v>
      </c>
      <c r="F11741" t="str">
        <f t="shared" si="2294"/>
        <v>COM</v>
      </c>
      <c r="G11741" t="str">
        <f t="shared" si="2291"/>
        <v>CORA SOCIEDADE DE CREDITO, FINANCIAMENTO E INVESTIMENTO (20035)</v>
      </c>
      <c r="H11741" t="str">
        <f>"TAXA BOLETO "</f>
        <v xml:space="preserve">TAXA BOLETO </v>
      </c>
      <c r="I11741" t="str">
        <f t="shared" si="2287"/>
        <v>19/11/2025</v>
      </c>
      <c r="J11741" t="str">
        <f t="shared" si="2292"/>
        <v>01/09/2025</v>
      </c>
      <c r="K11741" t="str">
        <f>("19/11/2025")</f>
        <v>19/11/2025</v>
      </c>
      <c r="L11741">
        <v>1.7</v>
      </c>
      <c r="M11741">
        <v>1.7</v>
      </c>
      <c r="N11741">
        <v>401</v>
      </c>
      <c r="O11741" t="str">
        <f>"IOF/JUROS/DESP.FINANCEIRA"</f>
        <v>IOF/JUROS/DESP.FINANCEIRA</v>
      </c>
      <c r="P11741">
        <v>1.7</v>
      </c>
      <c r="S11741" t="str">
        <f>"BANCO CORA (102)"</f>
        <v>BANCO CORA (102)</v>
      </c>
      <c r="T11741">
        <v>22892</v>
      </c>
      <c r="U11741">
        <v>27035</v>
      </c>
      <c r="V11741" t="s">
        <v>22</v>
      </c>
    </row>
    <row r="11742" spans="1:22">
      <c r="A11742" t="str">
        <f t="shared" si="2293"/>
        <v>19/11/2025</v>
      </c>
      <c r="B11742" t="str">
        <f t="shared" si="2288"/>
        <v>SAÍDA</v>
      </c>
      <c r="C11742" t="str">
        <f t="shared" si="2289"/>
        <v>CONHECIMENTO</v>
      </c>
      <c r="D11742" t="str">
        <f t="shared" si="2290"/>
        <v>01092025</v>
      </c>
      <c r="E11742" t="str">
        <f>"13"</f>
        <v>13</v>
      </c>
      <c r="F11742" t="str">
        <f t="shared" si="2294"/>
        <v>COM</v>
      </c>
      <c r="G11742" t="str">
        <f t="shared" si="2291"/>
        <v>CORA SOCIEDADE DE CREDITO, FINANCIAMENTO E INVESTIMENTO (20035)</v>
      </c>
      <c r="H11742" t="s">
        <v>75</v>
      </c>
      <c r="I11742" t="str">
        <f t="shared" si="2287"/>
        <v>19/11/2025</v>
      </c>
      <c r="J11742" t="str">
        <f t="shared" si="2292"/>
        <v>01/09/2025</v>
      </c>
      <c r="K11742">
        <v>45980</v>
      </c>
      <c r="N11742">
        <v>401</v>
      </c>
      <c r="O11742" t="s">
        <v>76</v>
      </c>
      <c r="Q11742">
        <v>1.7</v>
      </c>
      <c r="R11742" t="str">
        <f>"CORA SOCIEDADE DE CREDITO, FINANCIAMENTO E INVESTIMENTO (20035)"</f>
        <v>CORA SOCIEDADE DE CREDITO, FINANCIAMENTO E INVESTIMENTO (20035)</v>
      </c>
      <c r="S11742" t="s">
        <v>22</v>
      </c>
      <c r="T11742">
        <v>22892</v>
      </c>
      <c r="U11742">
        <v>27035</v>
      </c>
      <c r="V11742" t="s">
        <v>22</v>
      </c>
    </row>
    <row r="11743" spans="1:22">
      <c r="A11743" t="str">
        <f t="shared" si="2293"/>
        <v>19/11/2025</v>
      </c>
      <c r="B11743" t="str">
        <f t="shared" si="2288"/>
        <v>SAÍDA</v>
      </c>
      <c r="C11743" t="str">
        <f t="shared" si="2289"/>
        <v>CONHECIMENTO</v>
      </c>
      <c r="D11743" t="str">
        <f t="shared" si="2290"/>
        <v>01092025</v>
      </c>
      <c r="E11743" t="str">
        <f>"14"</f>
        <v>14</v>
      </c>
      <c r="F11743" t="str">
        <f t="shared" si="2294"/>
        <v>COM</v>
      </c>
      <c r="G11743" t="str">
        <f t="shared" si="2291"/>
        <v>CORA SOCIEDADE DE CREDITO, FINANCIAMENTO E INVESTIMENTO (20035)</v>
      </c>
      <c r="H11743" t="str">
        <f>"TAXA BOLETO "</f>
        <v xml:space="preserve">TAXA BOLETO </v>
      </c>
      <c r="I11743" t="str">
        <f t="shared" si="2287"/>
        <v>19/11/2025</v>
      </c>
      <c r="J11743" t="str">
        <f t="shared" si="2292"/>
        <v>01/09/2025</v>
      </c>
      <c r="K11743" t="str">
        <f>("19/11/2025")</f>
        <v>19/11/2025</v>
      </c>
      <c r="L11743">
        <v>1.7</v>
      </c>
      <c r="M11743">
        <v>1.7</v>
      </c>
      <c r="N11743">
        <v>401</v>
      </c>
      <c r="O11743" t="str">
        <f>"IOF/JUROS/DESP.FINANCEIRA"</f>
        <v>IOF/JUROS/DESP.FINANCEIRA</v>
      </c>
      <c r="P11743">
        <v>1.7</v>
      </c>
      <c r="S11743" t="str">
        <f>"BANCO CORA (102)"</f>
        <v>BANCO CORA (102)</v>
      </c>
      <c r="T11743">
        <v>22893</v>
      </c>
      <c r="U11743">
        <v>27036</v>
      </c>
      <c r="V11743" t="s">
        <v>22</v>
      </c>
    </row>
    <row r="11744" spans="1:22">
      <c r="A11744" t="str">
        <f t="shared" si="2293"/>
        <v>19/11/2025</v>
      </c>
      <c r="B11744" t="str">
        <f t="shared" si="2288"/>
        <v>SAÍDA</v>
      </c>
      <c r="C11744" t="str">
        <f t="shared" si="2289"/>
        <v>CONHECIMENTO</v>
      </c>
      <c r="D11744" t="str">
        <f t="shared" si="2290"/>
        <v>01092025</v>
      </c>
      <c r="E11744" t="str">
        <f>"14"</f>
        <v>14</v>
      </c>
      <c r="F11744" t="str">
        <f t="shared" si="2294"/>
        <v>COM</v>
      </c>
      <c r="G11744" t="str">
        <f t="shared" si="2291"/>
        <v>CORA SOCIEDADE DE CREDITO, FINANCIAMENTO E INVESTIMENTO (20035)</v>
      </c>
      <c r="H11744" t="s">
        <v>75</v>
      </c>
      <c r="I11744" t="str">
        <f t="shared" ref="I11744:I11769" si="2295">("19/11/2025")</f>
        <v>19/11/2025</v>
      </c>
      <c r="J11744" t="str">
        <f t="shared" si="2292"/>
        <v>01/09/2025</v>
      </c>
      <c r="K11744">
        <v>45980</v>
      </c>
      <c r="N11744">
        <v>401</v>
      </c>
      <c r="O11744" t="s">
        <v>76</v>
      </c>
      <c r="Q11744">
        <v>1.7</v>
      </c>
      <c r="R11744" t="str">
        <f>"CORA SOCIEDADE DE CREDITO, FINANCIAMENTO E INVESTIMENTO (20035)"</f>
        <v>CORA SOCIEDADE DE CREDITO, FINANCIAMENTO E INVESTIMENTO (20035)</v>
      </c>
      <c r="S11744" t="s">
        <v>22</v>
      </c>
      <c r="T11744">
        <v>22893</v>
      </c>
      <c r="U11744">
        <v>27036</v>
      </c>
      <c r="V11744" t="s">
        <v>22</v>
      </c>
    </row>
    <row r="11745" spans="1:22">
      <c r="A11745" t="str">
        <f t="shared" si="2293"/>
        <v>19/11/2025</v>
      </c>
      <c r="B11745" t="str">
        <f t="shared" si="2288"/>
        <v>SAÍDA</v>
      </c>
      <c r="C11745" t="str">
        <f t="shared" si="2289"/>
        <v>CONHECIMENTO</v>
      </c>
      <c r="D11745" t="str">
        <f t="shared" si="2290"/>
        <v>01092025</v>
      </c>
      <c r="E11745" t="str">
        <f>"15"</f>
        <v>15</v>
      </c>
      <c r="F11745" t="str">
        <f t="shared" si="2294"/>
        <v>COM</v>
      </c>
      <c r="G11745" t="str">
        <f t="shared" si="2291"/>
        <v>CORA SOCIEDADE DE CREDITO, FINANCIAMENTO E INVESTIMENTO (20035)</v>
      </c>
      <c r="H11745" t="str">
        <f>"TAXA BOLETO "</f>
        <v xml:space="preserve">TAXA BOLETO </v>
      </c>
      <c r="I11745" t="str">
        <f t="shared" si="2295"/>
        <v>19/11/2025</v>
      </c>
      <c r="J11745" t="str">
        <f t="shared" si="2292"/>
        <v>01/09/2025</v>
      </c>
      <c r="K11745" t="str">
        <f>("19/11/2025")</f>
        <v>19/11/2025</v>
      </c>
      <c r="L11745">
        <v>1.7</v>
      </c>
      <c r="M11745">
        <v>1.7</v>
      </c>
      <c r="N11745">
        <v>401</v>
      </c>
      <c r="O11745" t="str">
        <f>"IOF/JUROS/DESP.FINANCEIRA"</f>
        <v>IOF/JUROS/DESP.FINANCEIRA</v>
      </c>
      <c r="P11745">
        <v>1.7</v>
      </c>
      <c r="S11745" t="str">
        <f>"BANCO CORA (102)"</f>
        <v>BANCO CORA (102)</v>
      </c>
      <c r="T11745">
        <v>22894</v>
      </c>
      <c r="U11745">
        <v>27037</v>
      </c>
      <c r="V11745" t="s">
        <v>22</v>
      </c>
    </row>
    <row r="11746" spans="1:22">
      <c r="A11746" t="str">
        <f t="shared" si="2293"/>
        <v>19/11/2025</v>
      </c>
      <c r="B11746" t="str">
        <f t="shared" si="2288"/>
        <v>SAÍDA</v>
      </c>
      <c r="C11746" t="str">
        <f t="shared" si="2289"/>
        <v>CONHECIMENTO</v>
      </c>
      <c r="D11746" t="str">
        <f t="shared" si="2290"/>
        <v>01092025</v>
      </c>
      <c r="E11746" t="str">
        <f>"15"</f>
        <v>15</v>
      </c>
      <c r="F11746" t="str">
        <f t="shared" si="2294"/>
        <v>COM</v>
      </c>
      <c r="G11746" t="str">
        <f t="shared" si="2291"/>
        <v>CORA SOCIEDADE DE CREDITO, FINANCIAMENTO E INVESTIMENTO (20035)</v>
      </c>
      <c r="H11746" t="s">
        <v>75</v>
      </c>
      <c r="I11746" t="str">
        <f t="shared" si="2295"/>
        <v>19/11/2025</v>
      </c>
      <c r="J11746" t="str">
        <f t="shared" si="2292"/>
        <v>01/09/2025</v>
      </c>
      <c r="K11746">
        <v>45980</v>
      </c>
      <c r="N11746">
        <v>401</v>
      </c>
      <c r="O11746" t="s">
        <v>76</v>
      </c>
      <c r="Q11746">
        <v>1.7</v>
      </c>
      <c r="R11746" t="str">
        <f>"CORA SOCIEDADE DE CREDITO, FINANCIAMENTO E INVESTIMENTO (20035)"</f>
        <v>CORA SOCIEDADE DE CREDITO, FINANCIAMENTO E INVESTIMENTO (20035)</v>
      </c>
      <c r="S11746" t="s">
        <v>22</v>
      </c>
      <c r="T11746">
        <v>22894</v>
      </c>
      <c r="U11746">
        <v>27037</v>
      </c>
      <c r="V11746" t="s">
        <v>22</v>
      </c>
    </row>
    <row r="11747" spans="1:22">
      <c r="A11747" t="str">
        <f t="shared" si="2293"/>
        <v>19/11/2025</v>
      </c>
      <c r="B11747" t="str">
        <f t="shared" si="2288"/>
        <v>SAÍDA</v>
      </c>
      <c r="C11747" t="str">
        <f t="shared" si="2289"/>
        <v>CONHECIMENTO</v>
      </c>
      <c r="D11747" t="str">
        <f t="shared" si="2290"/>
        <v>01092025</v>
      </c>
      <c r="E11747" t="str">
        <f>"16"</f>
        <v>16</v>
      </c>
      <c r="F11747" t="str">
        <f t="shared" si="2294"/>
        <v>COM</v>
      </c>
      <c r="G11747" t="str">
        <f t="shared" si="2291"/>
        <v>CORA SOCIEDADE DE CREDITO, FINANCIAMENTO E INVESTIMENTO (20035)</v>
      </c>
      <c r="H11747" t="str">
        <f>"TAXA BOLETO "</f>
        <v xml:space="preserve">TAXA BOLETO </v>
      </c>
      <c r="I11747" t="str">
        <f t="shared" si="2295"/>
        <v>19/11/2025</v>
      </c>
      <c r="J11747" t="str">
        <f t="shared" si="2292"/>
        <v>01/09/2025</v>
      </c>
      <c r="K11747" t="str">
        <f>("19/11/2025")</f>
        <v>19/11/2025</v>
      </c>
      <c r="L11747">
        <v>1.7</v>
      </c>
      <c r="M11747">
        <v>1.7</v>
      </c>
      <c r="N11747">
        <v>401</v>
      </c>
      <c r="O11747" t="str">
        <f>"IOF/JUROS/DESP.FINANCEIRA"</f>
        <v>IOF/JUROS/DESP.FINANCEIRA</v>
      </c>
      <c r="P11747">
        <v>1.7</v>
      </c>
      <c r="S11747" t="str">
        <f>"BANCO CORA (102)"</f>
        <v>BANCO CORA (102)</v>
      </c>
      <c r="T11747">
        <v>22895</v>
      </c>
      <c r="U11747">
        <v>27038</v>
      </c>
      <c r="V11747" t="s">
        <v>22</v>
      </c>
    </row>
    <row r="11748" spans="1:22">
      <c r="A11748" t="str">
        <f t="shared" si="2293"/>
        <v>19/11/2025</v>
      </c>
      <c r="B11748" t="str">
        <f t="shared" si="2288"/>
        <v>SAÍDA</v>
      </c>
      <c r="C11748" t="str">
        <f t="shared" si="2289"/>
        <v>CONHECIMENTO</v>
      </c>
      <c r="D11748" t="str">
        <f t="shared" si="2290"/>
        <v>01092025</v>
      </c>
      <c r="E11748" t="str">
        <f>"16"</f>
        <v>16</v>
      </c>
      <c r="F11748" t="str">
        <f t="shared" si="2294"/>
        <v>COM</v>
      </c>
      <c r="G11748" t="str">
        <f t="shared" si="2291"/>
        <v>CORA SOCIEDADE DE CREDITO, FINANCIAMENTO E INVESTIMENTO (20035)</v>
      </c>
      <c r="H11748" t="s">
        <v>75</v>
      </c>
      <c r="I11748" t="str">
        <f t="shared" si="2295"/>
        <v>19/11/2025</v>
      </c>
      <c r="J11748" t="str">
        <f t="shared" si="2292"/>
        <v>01/09/2025</v>
      </c>
      <c r="K11748">
        <v>45980</v>
      </c>
      <c r="N11748">
        <v>401</v>
      </c>
      <c r="O11748" t="s">
        <v>76</v>
      </c>
      <c r="Q11748">
        <v>1.7</v>
      </c>
      <c r="R11748" t="str">
        <f>"CORA SOCIEDADE DE CREDITO, FINANCIAMENTO E INVESTIMENTO (20035)"</f>
        <v>CORA SOCIEDADE DE CREDITO, FINANCIAMENTO E INVESTIMENTO (20035)</v>
      </c>
      <c r="S11748" t="s">
        <v>22</v>
      </c>
      <c r="T11748">
        <v>22895</v>
      </c>
      <c r="U11748">
        <v>27038</v>
      </c>
      <c r="V11748" t="s">
        <v>22</v>
      </c>
    </row>
    <row r="11749" spans="1:22">
      <c r="A11749" t="str">
        <f t="shared" si="2293"/>
        <v>19/11/2025</v>
      </c>
      <c r="B11749" t="str">
        <f t="shared" si="2288"/>
        <v>SAÍDA</v>
      </c>
      <c r="C11749" t="str">
        <f t="shared" si="2289"/>
        <v>CONHECIMENTO</v>
      </c>
      <c r="D11749" t="str">
        <f t="shared" si="2290"/>
        <v>01092025</v>
      </c>
      <c r="E11749" t="str">
        <f>"17"</f>
        <v>17</v>
      </c>
      <c r="F11749" t="str">
        <f t="shared" si="2294"/>
        <v>COM</v>
      </c>
      <c r="G11749" t="str">
        <f t="shared" si="2291"/>
        <v>CORA SOCIEDADE DE CREDITO, FINANCIAMENTO E INVESTIMENTO (20035)</v>
      </c>
      <c r="H11749" t="str">
        <f>"TAXA BOLETO "</f>
        <v xml:space="preserve">TAXA BOLETO </v>
      </c>
      <c r="I11749" t="str">
        <f t="shared" si="2295"/>
        <v>19/11/2025</v>
      </c>
      <c r="J11749" t="str">
        <f t="shared" si="2292"/>
        <v>01/09/2025</v>
      </c>
      <c r="K11749" t="str">
        <f>("19/11/2025")</f>
        <v>19/11/2025</v>
      </c>
      <c r="L11749">
        <v>1.7</v>
      </c>
      <c r="M11749">
        <v>1.7</v>
      </c>
      <c r="N11749">
        <v>401</v>
      </c>
      <c r="O11749" t="str">
        <f>"IOF/JUROS/DESP.FINANCEIRA"</f>
        <v>IOF/JUROS/DESP.FINANCEIRA</v>
      </c>
      <c r="P11749">
        <v>1.7</v>
      </c>
      <c r="S11749" t="str">
        <f>"BANCO CORA (102)"</f>
        <v>BANCO CORA (102)</v>
      </c>
      <c r="T11749">
        <v>22896</v>
      </c>
      <c r="U11749">
        <v>27039</v>
      </c>
      <c r="V11749" t="s">
        <v>22</v>
      </c>
    </row>
    <row r="11750" spans="1:22">
      <c r="A11750" t="str">
        <f t="shared" si="2293"/>
        <v>19/11/2025</v>
      </c>
      <c r="B11750" t="str">
        <f t="shared" si="2288"/>
        <v>SAÍDA</v>
      </c>
      <c r="C11750" t="str">
        <f t="shared" si="2289"/>
        <v>CONHECIMENTO</v>
      </c>
      <c r="D11750" t="str">
        <f t="shared" si="2290"/>
        <v>01092025</v>
      </c>
      <c r="E11750" t="str">
        <f>"17"</f>
        <v>17</v>
      </c>
      <c r="F11750" t="str">
        <f t="shared" si="2294"/>
        <v>COM</v>
      </c>
      <c r="G11750" t="str">
        <f t="shared" si="2291"/>
        <v>CORA SOCIEDADE DE CREDITO, FINANCIAMENTO E INVESTIMENTO (20035)</v>
      </c>
      <c r="H11750" t="s">
        <v>75</v>
      </c>
      <c r="I11750" t="str">
        <f t="shared" si="2295"/>
        <v>19/11/2025</v>
      </c>
      <c r="J11750" t="str">
        <f t="shared" si="2292"/>
        <v>01/09/2025</v>
      </c>
      <c r="K11750">
        <v>45980</v>
      </c>
      <c r="N11750">
        <v>401</v>
      </c>
      <c r="O11750" t="s">
        <v>76</v>
      </c>
      <c r="Q11750">
        <v>1.7</v>
      </c>
      <c r="R11750" t="str">
        <f>"CORA SOCIEDADE DE CREDITO, FINANCIAMENTO E INVESTIMENTO (20035)"</f>
        <v>CORA SOCIEDADE DE CREDITO, FINANCIAMENTO E INVESTIMENTO (20035)</v>
      </c>
      <c r="S11750" t="s">
        <v>22</v>
      </c>
      <c r="T11750">
        <v>22896</v>
      </c>
      <c r="U11750">
        <v>27039</v>
      </c>
      <c r="V11750" t="s">
        <v>22</v>
      </c>
    </row>
    <row r="11751" spans="1:22">
      <c r="A11751" t="str">
        <f t="shared" si="2293"/>
        <v>19/11/2025</v>
      </c>
      <c r="B11751" t="str">
        <f t="shared" si="2288"/>
        <v>SAÍDA</v>
      </c>
      <c r="C11751" t="str">
        <f t="shared" si="2289"/>
        <v>CONHECIMENTO</v>
      </c>
      <c r="D11751" t="str">
        <f t="shared" si="2290"/>
        <v>01092025</v>
      </c>
      <c r="E11751" t="str">
        <f>"18"</f>
        <v>18</v>
      </c>
      <c r="F11751" t="str">
        <f t="shared" si="2294"/>
        <v>COM</v>
      </c>
      <c r="G11751" t="str">
        <f t="shared" si="2291"/>
        <v>CORA SOCIEDADE DE CREDITO, FINANCIAMENTO E INVESTIMENTO (20035)</v>
      </c>
      <c r="H11751" t="str">
        <f>"TAXA BOLETO "</f>
        <v xml:space="preserve">TAXA BOLETO </v>
      </c>
      <c r="I11751" t="str">
        <f t="shared" si="2295"/>
        <v>19/11/2025</v>
      </c>
      <c r="J11751" t="str">
        <f t="shared" si="2292"/>
        <v>01/09/2025</v>
      </c>
      <c r="K11751" t="str">
        <f>("19/11/2025")</f>
        <v>19/11/2025</v>
      </c>
      <c r="L11751">
        <v>1.7</v>
      </c>
      <c r="M11751">
        <v>1.7</v>
      </c>
      <c r="N11751">
        <v>401</v>
      </c>
      <c r="O11751" t="str">
        <f>"IOF/JUROS/DESP.FINANCEIRA"</f>
        <v>IOF/JUROS/DESP.FINANCEIRA</v>
      </c>
      <c r="P11751">
        <v>1.7</v>
      </c>
      <c r="S11751" t="str">
        <f>"BANCO CORA (102)"</f>
        <v>BANCO CORA (102)</v>
      </c>
      <c r="T11751">
        <v>22897</v>
      </c>
      <c r="U11751">
        <v>27040</v>
      </c>
      <c r="V11751" t="s">
        <v>22</v>
      </c>
    </row>
    <row r="11752" spans="1:22">
      <c r="A11752" t="str">
        <f t="shared" si="2293"/>
        <v>19/11/2025</v>
      </c>
      <c r="B11752" t="str">
        <f t="shared" si="2288"/>
        <v>SAÍDA</v>
      </c>
      <c r="C11752" t="str">
        <f t="shared" si="2289"/>
        <v>CONHECIMENTO</v>
      </c>
      <c r="D11752" t="str">
        <f t="shared" si="2290"/>
        <v>01092025</v>
      </c>
      <c r="E11752" t="str">
        <f>"18"</f>
        <v>18</v>
      </c>
      <c r="F11752" t="str">
        <f t="shared" si="2294"/>
        <v>COM</v>
      </c>
      <c r="G11752" t="str">
        <f t="shared" si="2291"/>
        <v>CORA SOCIEDADE DE CREDITO, FINANCIAMENTO E INVESTIMENTO (20035)</v>
      </c>
      <c r="H11752" t="s">
        <v>75</v>
      </c>
      <c r="I11752" t="str">
        <f t="shared" si="2295"/>
        <v>19/11/2025</v>
      </c>
      <c r="J11752" t="str">
        <f t="shared" si="2292"/>
        <v>01/09/2025</v>
      </c>
      <c r="K11752">
        <v>45980</v>
      </c>
      <c r="N11752">
        <v>401</v>
      </c>
      <c r="O11752" t="s">
        <v>76</v>
      </c>
      <c r="Q11752">
        <v>1.7</v>
      </c>
      <c r="R11752" t="str">
        <f>"CORA SOCIEDADE DE CREDITO, FINANCIAMENTO E INVESTIMENTO (20035)"</f>
        <v>CORA SOCIEDADE DE CREDITO, FINANCIAMENTO E INVESTIMENTO (20035)</v>
      </c>
      <c r="S11752" t="s">
        <v>22</v>
      </c>
      <c r="T11752">
        <v>22897</v>
      </c>
      <c r="U11752">
        <v>27040</v>
      </c>
      <c r="V11752" t="s">
        <v>22</v>
      </c>
    </row>
    <row r="11753" spans="1:22">
      <c r="A11753" t="str">
        <f t="shared" si="2293"/>
        <v>19/11/2025</v>
      </c>
      <c r="B11753" t="str">
        <f t="shared" si="2288"/>
        <v>SAÍDA</v>
      </c>
      <c r="C11753" t="str">
        <f t="shared" si="2289"/>
        <v>CONHECIMENTO</v>
      </c>
      <c r="D11753" t="str">
        <f t="shared" si="2290"/>
        <v>01092025</v>
      </c>
      <c r="E11753" t="str">
        <f>"19"</f>
        <v>19</v>
      </c>
      <c r="F11753" t="str">
        <f t="shared" si="2294"/>
        <v>COM</v>
      </c>
      <c r="G11753" t="str">
        <f t="shared" si="2291"/>
        <v>CORA SOCIEDADE DE CREDITO, FINANCIAMENTO E INVESTIMENTO (20035)</v>
      </c>
      <c r="H11753" t="str">
        <f>"TAXA BOLETO "</f>
        <v xml:space="preserve">TAXA BOLETO </v>
      </c>
      <c r="I11753" t="str">
        <f t="shared" si="2295"/>
        <v>19/11/2025</v>
      </c>
      <c r="J11753" t="str">
        <f t="shared" si="2292"/>
        <v>01/09/2025</v>
      </c>
      <c r="K11753" t="str">
        <f>("19/11/2025")</f>
        <v>19/11/2025</v>
      </c>
      <c r="L11753">
        <v>1.7</v>
      </c>
      <c r="M11753">
        <v>1.7</v>
      </c>
      <c r="N11753">
        <v>401</v>
      </c>
      <c r="O11753" t="str">
        <f>"IOF/JUROS/DESP.FINANCEIRA"</f>
        <v>IOF/JUROS/DESP.FINANCEIRA</v>
      </c>
      <c r="P11753">
        <v>1.7</v>
      </c>
      <c r="S11753" t="str">
        <f>"BANCO CORA (102)"</f>
        <v>BANCO CORA (102)</v>
      </c>
      <c r="T11753">
        <v>22898</v>
      </c>
      <c r="U11753">
        <v>27041</v>
      </c>
      <c r="V11753" t="s">
        <v>22</v>
      </c>
    </row>
    <row r="11754" spans="1:22">
      <c r="A11754" t="str">
        <f t="shared" si="2293"/>
        <v>19/11/2025</v>
      </c>
      <c r="B11754" t="str">
        <f t="shared" si="2288"/>
        <v>SAÍDA</v>
      </c>
      <c r="C11754" t="str">
        <f t="shared" si="2289"/>
        <v>CONHECIMENTO</v>
      </c>
      <c r="D11754" t="str">
        <f t="shared" si="2290"/>
        <v>01092025</v>
      </c>
      <c r="E11754" t="str">
        <f>"19"</f>
        <v>19</v>
      </c>
      <c r="F11754" t="str">
        <f t="shared" si="2294"/>
        <v>COM</v>
      </c>
      <c r="G11754" t="str">
        <f t="shared" si="2291"/>
        <v>CORA SOCIEDADE DE CREDITO, FINANCIAMENTO E INVESTIMENTO (20035)</v>
      </c>
      <c r="H11754" t="s">
        <v>75</v>
      </c>
      <c r="I11754" t="str">
        <f t="shared" si="2295"/>
        <v>19/11/2025</v>
      </c>
      <c r="J11754" t="str">
        <f t="shared" si="2292"/>
        <v>01/09/2025</v>
      </c>
      <c r="K11754">
        <v>45980</v>
      </c>
      <c r="N11754">
        <v>401</v>
      </c>
      <c r="O11754" t="s">
        <v>76</v>
      </c>
      <c r="Q11754">
        <v>1.7</v>
      </c>
      <c r="R11754" t="str">
        <f>"CORA SOCIEDADE DE CREDITO, FINANCIAMENTO E INVESTIMENTO (20035)"</f>
        <v>CORA SOCIEDADE DE CREDITO, FINANCIAMENTO E INVESTIMENTO (20035)</v>
      </c>
      <c r="S11754" t="s">
        <v>22</v>
      </c>
      <c r="T11754">
        <v>22898</v>
      </c>
      <c r="U11754">
        <v>27041</v>
      </c>
      <c r="V11754" t="s">
        <v>22</v>
      </c>
    </row>
    <row r="11755" spans="1:22">
      <c r="A11755" t="str">
        <f t="shared" si="2293"/>
        <v>19/11/2025</v>
      </c>
      <c r="B11755" t="str">
        <f t="shared" si="2288"/>
        <v>SAÍDA</v>
      </c>
      <c r="C11755" t="str">
        <f t="shared" si="2289"/>
        <v>CONHECIMENTO</v>
      </c>
      <c r="D11755" t="str">
        <f t="shared" si="2290"/>
        <v>01092025</v>
      </c>
      <c r="E11755" t="str">
        <f>"20"</f>
        <v>20</v>
      </c>
      <c r="F11755" t="str">
        <f t="shared" si="2294"/>
        <v>COM</v>
      </c>
      <c r="G11755" t="str">
        <f t="shared" si="2291"/>
        <v>CORA SOCIEDADE DE CREDITO, FINANCIAMENTO E INVESTIMENTO (20035)</v>
      </c>
      <c r="H11755" t="str">
        <f>"TAXA BOLETO "</f>
        <v xml:space="preserve">TAXA BOLETO </v>
      </c>
      <c r="I11755" t="str">
        <f t="shared" si="2295"/>
        <v>19/11/2025</v>
      </c>
      <c r="J11755" t="str">
        <f t="shared" si="2292"/>
        <v>01/09/2025</v>
      </c>
      <c r="K11755" t="str">
        <f>("19/11/2025")</f>
        <v>19/11/2025</v>
      </c>
      <c r="L11755">
        <v>1.7</v>
      </c>
      <c r="M11755">
        <v>1.7</v>
      </c>
      <c r="N11755">
        <v>401</v>
      </c>
      <c r="O11755" t="str">
        <f>"IOF/JUROS/DESP.FINANCEIRA"</f>
        <v>IOF/JUROS/DESP.FINANCEIRA</v>
      </c>
      <c r="P11755">
        <v>1.7</v>
      </c>
      <c r="S11755" t="str">
        <f>"BANCO CORA (102)"</f>
        <v>BANCO CORA (102)</v>
      </c>
      <c r="T11755">
        <v>22899</v>
      </c>
      <c r="U11755">
        <v>27042</v>
      </c>
      <c r="V11755" t="s">
        <v>22</v>
      </c>
    </row>
    <row r="11756" spans="1:22">
      <c r="A11756" t="str">
        <f t="shared" si="2293"/>
        <v>19/11/2025</v>
      </c>
      <c r="B11756" t="str">
        <f t="shared" si="2288"/>
        <v>SAÍDA</v>
      </c>
      <c r="C11756" t="str">
        <f t="shared" si="2289"/>
        <v>CONHECIMENTO</v>
      </c>
      <c r="D11756" t="str">
        <f t="shared" si="2290"/>
        <v>01092025</v>
      </c>
      <c r="E11756" t="str">
        <f>"20"</f>
        <v>20</v>
      </c>
      <c r="F11756" t="str">
        <f t="shared" si="2294"/>
        <v>COM</v>
      </c>
      <c r="G11756" t="str">
        <f t="shared" si="2291"/>
        <v>CORA SOCIEDADE DE CREDITO, FINANCIAMENTO E INVESTIMENTO (20035)</v>
      </c>
      <c r="H11756" t="s">
        <v>75</v>
      </c>
      <c r="I11756" t="str">
        <f t="shared" si="2295"/>
        <v>19/11/2025</v>
      </c>
      <c r="J11756" t="str">
        <f t="shared" si="2292"/>
        <v>01/09/2025</v>
      </c>
      <c r="K11756">
        <v>45980</v>
      </c>
      <c r="N11756">
        <v>401</v>
      </c>
      <c r="O11756" t="s">
        <v>76</v>
      </c>
      <c r="Q11756">
        <v>1.7</v>
      </c>
      <c r="R11756" t="str">
        <f>"CORA SOCIEDADE DE CREDITO, FINANCIAMENTO E INVESTIMENTO (20035)"</f>
        <v>CORA SOCIEDADE DE CREDITO, FINANCIAMENTO E INVESTIMENTO (20035)</v>
      </c>
      <c r="S11756" t="s">
        <v>22</v>
      </c>
      <c r="T11756">
        <v>22899</v>
      </c>
      <c r="U11756">
        <v>27042</v>
      </c>
      <c r="V11756" t="s">
        <v>22</v>
      </c>
    </row>
    <row r="11757" spans="1:22">
      <c r="A11757" t="str">
        <f t="shared" si="2293"/>
        <v>19/11/2025</v>
      </c>
      <c r="B11757" t="str">
        <f t="shared" si="2288"/>
        <v>SAÍDA</v>
      </c>
      <c r="C11757" t="str">
        <f t="shared" si="2289"/>
        <v>CONHECIMENTO</v>
      </c>
      <c r="D11757" t="str">
        <f t="shared" si="2290"/>
        <v>01092025</v>
      </c>
      <c r="E11757" t="str">
        <f>"21"</f>
        <v>21</v>
      </c>
      <c r="F11757" t="str">
        <f t="shared" si="2294"/>
        <v>COM</v>
      </c>
      <c r="G11757" t="str">
        <f t="shared" si="2291"/>
        <v>CORA SOCIEDADE DE CREDITO, FINANCIAMENTO E INVESTIMENTO (20035)</v>
      </c>
      <c r="H11757" t="str">
        <f>"TAXA BOLETO "</f>
        <v xml:space="preserve">TAXA BOLETO </v>
      </c>
      <c r="I11757" t="str">
        <f t="shared" si="2295"/>
        <v>19/11/2025</v>
      </c>
      <c r="J11757" t="str">
        <f t="shared" si="2292"/>
        <v>01/09/2025</v>
      </c>
      <c r="K11757" t="str">
        <f>("19/11/2025")</f>
        <v>19/11/2025</v>
      </c>
      <c r="L11757">
        <v>1.7</v>
      </c>
      <c r="M11757">
        <v>1.7</v>
      </c>
      <c r="N11757">
        <v>401</v>
      </c>
      <c r="O11757" t="str">
        <f>"IOF/JUROS/DESP.FINANCEIRA"</f>
        <v>IOF/JUROS/DESP.FINANCEIRA</v>
      </c>
      <c r="P11757">
        <v>1.7</v>
      </c>
      <c r="S11757" t="str">
        <f>"BANCO CORA (102)"</f>
        <v>BANCO CORA (102)</v>
      </c>
      <c r="T11757">
        <v>22900</v>
      </c>
      <c r="U11757">
        <v>27043</v>
      </c>
      <c r="V11757" t="s">
        <v>22</v>
      </c>
    </row>
    <row r="11758" spans="1:22">
      <c r="A11758" t="str">
        <f t="shared" si="2293"/>
        <v>19/11/2025</v>
      </c>
      <c r="B11758" t="str">
        <f t="shared" si="2288"/>
        <v>SAÍDA</v>
      </c>
      <c r="C11758" t="str">
        <f t="shared" si="2289"/>
        <v>CONHECIMENTO</v>
      </c>
      <c r="D11758" t="str">
        <f t="shared" si="2290"/>
        <v>01092025</v>
      </c>
      <c r="E11758" t="str">
        <f>"21"</f>
        <v>21</v>
      </c>
      <c r="F11758" t="str">
        <f t="shared" si="2294"/>
        <v>COM</v>
      </c>
      <c r="G11758" t="str">
        <f t="shared" si="2291"/>
        <v>CORA SOCIEDADE DE CREDITO, FINANCIAMENTO E INVESTIMENTO (20035)</v>
      </c>
      <c r="H11758" t="s">
        <v>75</v>
      </c>
      <c r="I11758" t="str">
        <f t="shared" si="2295"/>
        <v>19/11/2025</v>
      </c>
      <c r="J11758" t="str">
        <f t="shared" si="2292"/>
        <v>01/09/2025</v>
      </c>
      <c r="K11758">
        <v>45980</v>
      </c>
      <c r="N11758">
        <v>401</v>
      </c>
      <c r="O11758" t="s">
        <v>76</v>
      </c>
      <c r="Q11758">
        <v>1.7</v>
      </c>
      <c r="R11758" t="str">
        <f>"CORA SOCIEDADE DE CREDITO, FINANCIAMENTO E INVESTIMENTO (20035)"</f>
        <v>CORA SOCIEDADE DE CREDITO, FINANCIAMENTO E INVESTIMENTO (20035)</v>
      </c>
      <c r="S11758" t="s">
        <v>22</v>
      </c>
      <c r="T11758">
        <v>22900</v>
      </c>
      <c r="U11758">
        <v>27043</v>
      </c>
      <c r="V11758" t="s">
        <v>22</v>
      </c>
    </row>
    <row r="11759" spans="1:22">
      <c r="A11759" t="str">
        <f t="shared" si="2293"/>
        <v>19/11/2025</v>
      </c>
      <c r="B11759" t="str">
        <f t="shared" si="2288"/>
        <v>SAÍDA</v>
      </c>
      <c r="C11759" t="str">
        <f t="shared" si="2289"/>
        <v>CONHECIMENTO</v>
      </c>
      <c r="D11759" t="str">
        <f t="shared" si="2290"/>
        <v>01092025</v>
      </c>
      <c r="E11759" t="str">
        <f>"22"</f>
        <v>22</v>
      </c>
      <c r="F11759" t="str">
        <f t="shared" si="2294"/>
        <v>COM</v>
      </c>
      <c r="G11759" t="str">
        <f t="shared" si="2291"/>
        <v>CORA SOCIEDADE DE CREDITO, FINANCIAMENTO E INVESTIMENTO (20035)</v>
      </c>
      <c r="H11759" t="str">
        <f>"TAXA BOLETO "</f>
        <v xml:space="preserve">TAXA BOLETO </v>
      </c>
      <c r="I11759" t="str">
        <f t="shared" si="2295"/>
        <v>19/11/2025</v>
      </c>
      <c r="J11759" t="str">
        <f t="shared" si="2292"/>
        <v>01/09/2025</v>
      </c>
      <c r="K11759" t="str">
        <f>("19/11/2025")</f>
        <v>19/11/2025</v>
      </c>
      <c r="L11759">
        <v>1.7</v>
      </c>
      <c r="M11759">
        <v>1.7</v>
      </c>
      <c r="N11759">
        <v>401</v>
      </c>
      <c r="O11759" t="str">
        <f>"IOF/JUROS/DESP.FINANCEIRA"</f>
        <v>IOF/JUROS/DESP.FINANCEIRA</v>
      </c>
      <c r="P11759">
        <v>1.7</v>
      </c>
      <c r="S11759" t="str">
        <f>"BANCO CORA (102)"</f>
        <v>BANCO CORA (102)</v>
      </c>
      <c r="T11759">
        <v>22901</v>
      </c>
      <c r="U11759">
        <v>27044</v>
      </c>
      <c r="V11759" t="s">
        <v>22</v>
      </c>
    </row>
    <row r="11760" spans="1:22">
      <c r="A11760" t="str">
        <f t="shared" si="2293"/>
        <v>19/11/2025</v>
      </c>
      <c r="B11760" t="str">
        <f t="shared" si="2288"/>
        <v>SAÍDA</v>
      </c>
      <c r="C11760" t="str">
        <f t="shared" si="2289"/>
        <v>CONHECIMENTO</v>
      </c>
      <c r="D11760" t="str">
        <f t="shared" si="2290"/>
        <v>01092025</v>
      </c>
      <c r="E11760" t="str">
        <f>"22"</f>
        <v>22</v>
      </c>
      <c r="F11760" t="str">
        <f t="shared" si="2294"/>
        <v>COM</v>
      </c>
      <c r="G11760" t="str">
        <f t="shared" si="2291"/>
        <v>CORA SOCIEDADE DE CREDITO, FINANCIAMENTO E INVESTIMENTO (20035)</v>
      </c>
      <c r="H11760" t="s">
        <v>75</v>
      </c>
      <c r="I11760" t="str">
        <f t="shared" si="2295"/>
        <v>19/11/2025</v>
      </c>
      <c r="J11760" t="str">
        <f t="shared" si="2292"/>
        <v>01/09/2025</v>
      </c>
      <c r="K11760">
        <v>45980</v>
      </c>
      <c r="N11760">
        <v>401</v>
      </c>
      <c r="O11760" t="s">
        <v>76</v>
      </c>
      <c r="Q11760">
        <v>1.7</v>
      </c>
      <c r="R11760" t="str">
        <f>"CORA SOCIEDADE DE CREDITO, FINANCIAMENTO E INVESTIMENTO (20035)"</f>
        <v>CORA SOCIEDADE DE CREDITO, FINANCIAMENTO E INVESTIMENTO (20035)</v>
      </c>
      <c r="S11760" t="s">
        <v>22</v>
      </c>
      <c r="T11760">
        <v>22901</v>
      </c>
      <c r="U11760">
        <v>27044</v>
      </c>
      <c r="V11760" t="s">
        <v>22</v>
      </c>
    </row>
    <row r="11761" spans="1:22">
      <c r="A11761" t="str">
        <f t="shared" si="2293"/>
        <v>19/11/2025</v>
      </c>
      <c r="B11761" t="str">
        <f t="shared" si="2288"/>
        <v>SAÍDA</v>
      </c>
      <c r="C11761" t="str">
        <f t="shared" si="2289"/>
        <v>CONHECIMENTO</v>
      </c>
      <c r="D11761" t="str">
        <f t="shared" si="2290"/>
        <v>01092025</v>
      </c>
      <c r="E11761" t="str">
        <f>"23"</f>
        <v>23</v>
      </c>
      <c r="F11761" t="str">
        <f t="shared" si="2294"/>
        <v>COM</v>
      </c>
      <c r="G11761" t="str">
        <f t="shared" si="2291"/>
        <v>CORA SOCIEDADE DE CREDITO, FINANCIAMENTO E INVESTIMENTO (20035)</v>
      </c>
      <c r="H11761" t="str">
        <f>"TAXA BOLETO "</f>
        <v xml:space="preserve">TAXA BOLETO </v>
      </c>
      <c r="I11761" t="str">
        <f t="shared" si="2295"/>
        <v>19/11/2025</v>
      </c>
      <c r="J11761" t="str">
        <f t="shared" si="2292"/>
        <v>01/09/2025</v>
      </c>
      <c r="K11761" t="str">
        <f>("19/11/2025")</f>
        <v>19/11/2025</v>
      </c>
      <c r="L11761">
        <v>1.7</v>
      </c>
      <c r="M11761">
        <v>1.7</v>
      </c>
      <c r="N11761">
        <v>401</v>
      </c>
      <c r="O11761" t="str">
        <f>"IOF/JUROS/DESP.FINANCEIRA"</f>
        <v>IOF/JUROS/DESP.FINANCEIRA</v>
      </c>
      <c r="P11761">
        <v>1.7</v>
      </c>
      <c r="S11761" t="str">
        <f>"BANCO CORA (102)"</f>
        <v>BANCO CORA (102)</v>
      </c>
      <c r="T11761">
        <v>22902</v>
      </c>
      <c r="U11761">
        <v>27045</v>
      </c>
      <c r="V11761" t="s">
        <v>22</v>
      </c>
    </row>
    <row r="11762" spans="1:22">
      <c r="A11762" t="str">
        <f t="shared" si="2293"/>
        <v>19/11/2025</v>
      </c>
      <c r="B11762" t="str">
        <f t="shared" si="2288"/>
        <v>SAÍDA</v>
      </c>
      <c r="C11762" t="str">
        <f t="shared" si="2289"/>
        <v>CONHECIMENTO</v>
      </c>
      <c r="D11762" t="str">
        <f t="shared" si="2290"/>
        <v>01092025</v>
      </c>
      <c r="E11762" t="str">
        <f>"23"</f>
        <v>23</v>
      </c>
      <c r="F11762" t="str">
        <f t="shared" si="2294"/>
        <v>COM</v>
      </c>
      <c r="G11762" t="str">
        <f t="shared" si="2291"/>
        <v>CORA SOCIEDADE DE CREDITO, FINANCIAMENTO E INVESTIMENTO (20035)</v>
      </c>
      <c r="H11762" t="s">
        <v>75</v>
      </c>
      <c r="I11762" t="str">
        <f t="shared" si="2295"/>
        <v>19/11/2025</v>
      </c>
      <c r="J11762" t="str">
        <f t="shared" si="2292"/>
        <v>01/09/2025</v>
      </c>
      <c r="K11762">
        <v>45980</v>
      </c>
      <c r="N11762">
        <v>401</v>
      </c>
      <c r="O11762" t="s">
        <v>76</v>
      </c>
      <c r="Q11762">
        <v>1.7</v>
      </c>
      <c r="R11762" t="str">
        <f>"CORA SOCIEDADE DE CREDITO, FINANCIAMENTO E INVESTIMENTO (20035)"</f>
        <v>CORA SOCIEDADE DE CREDITO, FINANCIAMENTO E INVESTIMENTO (20035)</v>
      </c>
      <c r="S11762" t="s">
        <v>22</v>
      </c>
      <c r="T11762">
        <v>22902</v>
      </c>
      <c r="U11762">
        <v>27045</v>
      </c>
      <c r="V11762" t="s">
        <v>22</v>
      </c>
    </row>
    <row r="11763" spans="1:22">
      <c r="A11763" t="str">
        <f t="shared" si="2293"/>
        <v>19/11/2025</v>
      </c>
      <c r="B11763" t="str">
        <f t="shared" si="2288"/>
        <v>SAÍDA</v>
      </c>
      <c r="C11763" t="str">
        <f t="shared" si="2289"/>
        <v>CONHECIMENTO</v>
      </c>
      <c r="D11763" t="str">
        <f t="shared" si="2290"/>
        <v>01092025</v>
      </c>
      <c r="E11763" t="str">
        <f>"24"</f>
        <v>24</v>
      </c>
      <c r="F11763" t="str">
        <f t="shared" si="2294"/>
        <v>COM</v>
      </c>
      <c r="G11763" t="str">
        <f t="shared" si="2291"/>
        <v>CORA SOCIEDADE DE CREDITO, FINANCIAMENTO E INVESTIMENTO (20035)</v>
      </c>
      <c r="H11763" t="str">
        <f>"TAXA BOLETO "</f>
        <v xml:space="preserve">TAXA BOLETO </v>
      </c>
      <c r="I11763" t="str">
        <f t="shared" si="2295"/>
        <v>19/11/2025</v>
      </c>
      <c r="J11763" t="str">
        <f t="shared" si="2292"/>
        <v>01/09/2025</v>
      </c>
      <c r="K11763" t="str">
        <f>("19/11/2025")</f>
        <v>19/11/2025</v>
      </c>
      <c r="L11763">
        <v>1.7</v>
      </c>
      <c r="M11763">
        <v>1.7</v>
      </c>
      <c r="N11763">
        <v>401</v>
      </c>
      <c r="O11763" t="str">
        <f>"IOF/JUROS/DESP.FINANCEIRA"</f>
        <v>IOF/JUROS/DESP.FINANCEIRA</v>
      </c>
      <c r="P11763">
        <v>1.7</v>
      </c>
      <c r="S11763" t="str">
        <f>"BANCO CORA (102)"</f>
        <v>BANCO CORA (102)</v>
      </c>
      <c r="T11763">
        <v>22903</v>
      </c>
      <c r="U11763">
        <v>27046</v>
      </c>
      <c r="V11763" t="s">
        <v>22</v>
      </c>
    </row>
    <row r="11764" spans="1:22">
      <c r="A11764" t="str">
        <f t="shared" si="2293"/>
        <v>19/11/2025</v>
      </c>
      <c r="B11764" t="str">
        <f t="shared" si="2288"/>
        <v>SAÍDA</v>
      </c>
      <c r="C11764" t="str">
        <f t="shared" si="2289"/>
        <v>CONHECIMENTO</v>
      </c>
      <c r="D11764" t="str">
        <f t="shared" si="2290"/>
        <v>01092025</v>
      </c>
      <c r="E11764" t="str">
        <f>"24"</f>
        <v>24</v>
      </c>
      <c r="F11764" t="str">
        <f t="shared" si="2294"/>
        <v>COM</v>
      </c>
      <c r="G11764" t="str">
        <f t="shared" si="2291"/>
        <v>CORA SOCIEDADE DE CREDITO, FINANCIAMENTO E INVESTIMENTO (20035)</v>
      </c>
      <c r="H11764" t="s">
        <v>75</v>
      </c>
      <c r="I11764" t="str">
        <f t="shared" si="2295"/>
        <v>19/11/2025</v>
      </c>
      <c r="J11764" t="str">
        <f t="shared" si="2292"/>
        <v>01/09/2025</v>
      </c>
      <c r="K11764">
        <v>45980</v>
      </c>
      <c r="N11764">
        <v>401</v>
      </c>
      <c r="O11764" t="s">
        <v>76</v>
      </c>
      <c r="Q11764">
        <v>1.7</v>
      </c>
      <c r="R11764" t="str">
        <f>"CORA SOCIEDADE DE CREDITO, FINANCIAMENTO E INVESTIMENTO (20035)"</f>
        <v>CORA SOCIEDADE DE CREDITO, FINANCIAMENTO E INVESTIMENTO (20035)</v>
      </c>
      <c r="S11764" t="s">
        <v>22</v>
      </c>
      <c r="T11764">
        <v>22903</v>
      </c>
      <c r="U11764">
        <v>27046</v>
      </c>
      <c r="V11764" t="s">
        <v>22</v>
      </c>
    </row>
    <row r="11765" spans="1:22">
      <c r="A11765" t="str">
        <f t="shared" si="2293"/>
        <v>19/11/2025</v>
      </c>
      <c r="B11765" t="str">
        <f t="shared" si="2288"/>
        <v>SAÍDA</v>
      </c>
      <c r="C11765" t="str">
        <f t="shared" si="2289"/>
        <v>CONHECIMENTO</v>
      </c>
      <c r="D11765" t="str">
        <f t="shared" si="2290"/>
        <v>01092025</v>
      </c>
      <c r="E11765" t="str">
        <f>"25"</f>
        <v>25</v>
      </c>
      <c r="F11765" t="str">
        <f t="shared" si="2294"/>
        <v>COM</v>
      </c>
      <c r="G11765" t="str">
        <f t="shared" si="2291"/>
        <v>CORA SOCIEDADE DE CREDITO, FINANCIAMENTO E INVESTIMENTO (20035)</v>
      </c>
      <c r="H11765" t="str">
        <f>"TAXA BOLETO "</f>
        <v xml:space="preserve">TAXA BOLETO </v>
      </c>
      <c r="I11765" t="str">
        <f t="shared" si="2295"/>
        <v>19/11/2025</v>
      </c>
      <c r="J11765" t="str">
        <f t="shared" si="2292"/>
        <v>01/09/2025</v>
      </c>
      <c r="K11765" t="str">
        <f>("19/11/2025")</f>
        <v>19/11/2025</v>
      </c>
      <c r="L11765">
        <v>1.7</v>
      </c>
      <c r="M11765">
        <v>1.7</v>
      </c>
      <c r="N11765">
        <v>401</v>
      </c>
      <c r="O11765" t="str">
        <f>"IOF/JUROS/DESP.FINANCEIRA"</f>
        <v>IOF/JUROS/DESP.FINANCEIRA</v>
      </c>
      <c r="P11765">
        <v>1.7</v>
      </c>
      <c r="S11765" t="str">
        <f>"BANCO CORA (102)"</f>
        <v>BANCO CORA (102)</v>
      </c>
      <c r="T11765">
        <v>22904</v>
      </c>
      <c r="U11765">
        <v>27047</v>
      </c>
      <c r="V11765" t="s">
        <v>22</v>
      </c>
    </row>
    <row r="11766" spans="1:22">
      <c r="A11766" t="str">
        <f t="shared" si="2293"/>
        <v>19/11/2025</v>
      </c>
      <c r="B11766" t="str">
        <f t="shared" si="2288"/>
        <v>SAÍDA</v>
      </c>
      <c r="C11766" t="str">
        <f t="shared" si="2289"/>
        <v>CONHECIMENTO</v>
      </c>
      <c r="D11766" t="str">
        <f t="shared" si="2290"/>
        <v>01092025</v>
      </c>
      <c r="E11766" t="str">
        <f>"25"</f>
        <v>25</v>
      </c>
      <c r="F11766" t="str">
        <f t="shared" si="2294"/>
        <v>COM</v>
      </c>
      <c r="G11766" t="str">
        <f t="shared" si="2291"/>
        <v>CORA SOCIEDADE DE CREDITO, FINANCIAMENTO E INVESTIMENTO (20035)</v>
      </c>
      <c r="H11766" t="s">
        <v>75</v>
      </c>
      <c r="I11766" t="str">
        <f t="shared" si="2295"/>
        <v>19/11/2025</v>
      </c>
      <c r="J11766" t="str">
        <f t="shared" si="2292"/>
        <v>01/09/2025</v>
      </c>
      <c r="K11766">
        <v>45980</v>
      </c>
      <c r="N11766">
        <v>401</v>
      </c>
      <c r="O11766" t="s">
        <v>76</v>
      </c>
      <c r="Q11766">
        <v>1.7</v>
      </c>
      <c r="R11766" t="str">
        <f>"CORA SOCIEDADE DE CREDITO, FINANCIAMENTO E INVESTIMENTO (20035)"</f>
        <v>CORA SOCIEDADE DE CREDITO, FINANCIAMENTO E INVESTIMENTO (20035)</v>
      </c>
      <c r="S11766" t="s">
        <v>22</v>
      </c>
      <c r="T11766">
        <v>22904</v>
      </c>
      <c r="U11766">
        <v>27047</v>
      </c>
      <c r="V11766" t="s">
        <v>22</v>
      </c>
    </row>
    <row r="11767" spans="1:22">
      <c r="A11767" t="str">
        <f t="shared" si="2293"/>
        <v>19/11/2025</v>
      </c>
      <c r="B11767" t="str">
        <f t="shared" si="2288"/>
        <v>SAÍDA</v>
      </c>
      <c r="C11767" t="str">
        <f>"PIX"</f>
        <v>PIX</v>
      </c>
      <c r="D11767" t="str">
        <f>"68"</f>
        <v>68</v>
      </c>
      <c r="E11767" t="str">
        <f>"01"</f>
        <v>01</v>
      </c>
      <c r="F11767" t="str">
        <f t="shared" si="2294"/>
        <v>COM</v>
      </c>
      <c r="G11767" t="str">
        <f>"28.804.647 KAUE EDUARDO FIGUEIREDO GAUDINO (20003)"</f>
        <v>28.804.647 KAUE EDUARDO FIGUEIREDO GAUDINO (20003)</v>
      </c>
      <c r="H11767" t="str">
        <f>"PRESTACAO DE SERVICO MENSAL 10/2025 E DIAS AVULSOS "</f>
        <v xml:space="preserve">PRESTACAO DE SERVICO MENSAL 10/2025 E DIAS AVULSOS </v>
      </c>
      <c r="I11767" t="str">
        <f t="shared" si="2295"/>
        <v>19/11/2025</v>
      </c>
      <c r="J11767" t="str">
        <f>("13/11/2025")</f>
        <v>13/11/2025</v>
      </c>
      <c r="K11767" t="str">
        <f>("19/11/2025")</f>
        <v>19/11/2025</v>
      </c>
      <c r="L11767">
        <v>2303.33</v>
      </c>
      <c r="M11767">
        <v>2303.33</v>
      </c>
      <c r="N11767">
        <v>114</v>
      </c>
      <c r="O11767" t="str">
        <f>"PRESTADORES DE SERVIÇOS"</f>
        <v>PRESTADORES DE SERVIÇOS</v>
      </c>
      <c r="P11767">
        <v>2303.33</v>
      </c>
      <c r="S11767" t="str">
        <f>"BANCO CORA (102)"</f>
        <v>BANCO CORA (102)</v>
      </c>
      <c r="T11767">
        <v>22906</v>
      </c>
      <c r="U11767">
        <v>4081</v>
      </c>
      <c r="V11767" t="s">
        <v>22</v>
      </c>
    </row>
    <row r="11768" spans="1:22">
      <c r="A11768" t="str">
        <f t="shared" si="2293"/>
        <v>19/11/2025</v>
      </c>
      <c r="B11768" t="str">
        <f t="shared" si="2288"/>
        <v>SAÍDA</v>
      </c>
      <c r="C11768" t="str">
        <f>"PIX"</f>
        <v>PIX</v>
      </c>
      <c r="D11768" t="str">
        <f>"68"</f>
        <v>68</v>
      </c>
      <c r="E11768" t="str">
        <f>"01"</f>
        <v>01</v>
      </c>
      <c r="F11768" t="str">
        <f t="shared" si="2294"/>
        <v>COM</v>
      </c>
      <c r="G11768" t="str">
        <f>"28.804.647 KAUE EDUARDO FIGUEIREDO GAUDINO (20003)"</f>
        <v>28.804.647 KAUE EDUARDO FIGUEIREDO GAUDINO (20003)</v>
      </c>
      <c r="H11768" t="s">
        <v>2512</v>
      </c>
      <c r="I11768" t="str">
        <f t="shared" si="2295"/>
        <v>19/11/2025</v>
      </c>
      <c r="J11768" t="str">
        <f>("13/11/2025")</f>
        <v>13/11/2025</v>
      </c>
      <c r="K11768">
        <v>45980</v>
      </c>
      <c r="N11768">
        <v>114</v>
      </c>
      <c r="O11768" t="s">
        <v>260</v>
      </c>
      <c r="Q11768">
        <v>2303.33</v>
      </c>
      <c r="R11768" t="str">
        <f>"28.804.647 KAUE EDUARDO FIGUEIREDO GAUDINO (20003)"</f>
        <v>28.804.647 KAUE EDUARDO FIGUEIREDO GAUDINO (20003)</v>
      </c>
      <c r="S11768" t="s">
        <v>22</v>
      </c>
      <c r="T11768">
        <v>22906</v>
      </c>
      <c r="U11768">
        <v>4081</v>
      </c>
      <c r="V11768" t="s">
        <v>22</v>
      </c>
    </row>
    <row r="11769" spans="1:22">
      <c r="A11769" t="str">
        <f t="shared" si="2293"/>
        <v>19/11/2025</v>
      </c>
      <c r="B11769" t="str">
        <f t="shared" si="2288"/>
        <v>SAÍDA</v>
      </c>
      <c r="C11769" t="str">
        <f>"JUROS"</f>
        <v>JUROS</v>
      </c>
      <c r="D11769" t="str">
        <f>""</f>
        <v/>
      </c>
      <c r="F11769" t="str">
        <f>"CXA"</f>
        <v>CXA</v>
      </c>
      <c r="G11769" t="str">
        <f>""</f>
        <v/>
      </c>
      <c r="H11769" t="str">
        <f>"TARIFA SERV.COBR.TITULOS"</f>
        <v>TARIFA SERV.COBR.TITULOS</v>
      </c>
      <c r="I11769" t="str">
        <f t="shared" si="2295"/>
        <v>19/11/2025</v>
      </c>
      <c r="J11769" t="str">
        <f>("19/11/2025")</f>
        <v>19/11/2025</v>
      </c>
      <c r="K11769" t="str">
        <f>("19/11/2025")</f>
        <v>19/11/2025</v>
      </c>
      <c r="L11769">
        <v>12.51</v>
      </c>
      <c r="M11769">
        <v>12.51</v>
      </c>
      <c r="N11769">
        <v>401</v>
      </c>
      <c r="O11769" t="str">
        <f>"IOF/JUROS/DESP.FINANCEIRA"</f>
        <v>IOF/JUROS/DESP.FINANCEIRA</v>
      </c>
      <c r="P11769">
        <v>12.51</v>
      </c>
      <c r="S11769" t="str">
        <f>"BANCO SICREDI (143)"</f>
        <v>BANCO SICREDI (143)</v>
      </c>
      <c r="T11769">
        <v>23402</v>
      </c>
      <c r="U11769">
        <v>0</v>
      </c>
      <c r="V11769" t="s">
        <v>1112</v>
      </c>
    </row>
    <row r="11770" spans="1:22">
      <c r="A11770" t="str">
        <f t="shared" ref="A11770:A11789" si="2296">("20/11/2025")</f>
        <v>20/11/2025</v>
      </c>
      <c r="B11770" t="str">
        <f t="shared" si="2288"/>
        <v>SAÍDA</v>
      </c>
      <c r="C11770" t="str">
        <f t="shared" ref="C11770:C11797" si="2297">"PIX"</f>
        <v>PIX</v>
      </c>
      <c r="D11770" t="str">
        <f>"26081"</f>
        <v>26081</v>
      </c>
      <c r="E11770" t="str">
        <f t="shared" ref="E11770:E11793" si="2298">"1"</f>
        <v>1</v>
      </c>
      <c r="F11770" t="str">
        <f t="shared" ref="F11770:F11833" si="2299">"COM"</f>
        <v>COM</v>
      </c>
      <c r="G11770" t="str">
        <f>"HENDRYL SOUZA DA SILVA (1026)"</f>
        <v>HENDRYL SOUZA DA SILVA (1026)</v>
      </c>
      <c r="H11770" t="str">
        <f>"Serv.Prest. 17/11/2025 a 23/11/2025 - PIX: CPF - CHAVE: 499.814.888-52"</f>
        <v>Serv.Prest. 17/11/2025 a 23/11/2025 - PIX: CPF - CHAVE: 499.814.888-52</v>
      </c>
      <c r="I11770" t="str">
        <f>("20/11/2025")</f>
        <v>20/11/2025</v>
      </c>
      <c r="J11770" t="str">
        <f>("20/11/2025")</f>
        <v>20/11/2025</v>
      </c>
      <c r="K11770" t="str">
        <f>("20/11/2025")</f>
        <v>20/11/2025</v>
      </c>
      <c r="L11770">
        <v>200</v>
      </c>
      <c r="M11770">
        <v>200</v>
      </c>
      <c r="N11770">
        <v>134</v>
      </c>
      <c r="O11770" t="str">
        <f>"DIARIA DE MOTOBOY"</f>
        <v>DIARIA DE MOTOBOY</v>
      </c>
      <c r="P11770">
        <v>200</v>
      </c>
      <c r="S11770" t="str">
        <f>"BANCO CORA (102)"</f>
        <v>BANCO CORA (102)</v>
      </c>
      <c r="T11770">
        <v>22418</v>
      </c>
      <c r="U11770">
        <v>26338</v>
      </c>
      <c r="V11770" t="s">
        <v>22</v>
      </c>
    </row>
    <row r="11771" spans="1:22">
      <c r="A11771" t="str">
        <f t="shared" si="2296"/>
        <v>20/11/2025</v>
      </c>
      <c r="B11771" t="str">
        <f t="shared" si="2288"/>
        <v>SAÍDA</v>
      </c>
      <c r="C11771" t="str">
        <f t="shared" si="2297"/>
        <v>PIX</v>
      </c>
      <c r="D11771" t="str">
        <f>"26081"</f>
        <v>26081</v>
      </c>
      <c r="E11771" t="str">
        <f t="shared" si="2298"/>
        <v>1</v>
      </c>
      <c r="F11771" t="str">
        <f t="shared" si="2299"/>
        <v>COM</v>
      </c>
      <c r="G11771" t="str">
        <f>"HENDRYL SOUZA DA SILVA (1026)"</f>
        <v>HENDRYL SOUZA DA SILVA (1026)</v>
      </c>
      <c r="H11771" t="s">
        <v>3113</v>
      </c>
      <c r="I11771" t="str">
        <f t="shared" ref="I11771:J11789" si="2300">("20/11/2025")</f>
        <v>20/11/2025</v>
      </c>
      <c r="J11771" t="str">
        <f t="shared" si="2300"/>
        <v>20/11/2025</v>
      </c>
      <c r="K11771">
        <v>45981</v>
      </c>
      <c r="N11771">
        <v>134</v>
      </c>
      <c r="O11771" t="s">
        <v>41</v>
      </c>
      <c r="Q11771">
        <v>200</v>
      </c>
      <c r="R11771" t="str">
        <f>"PENSE FARMA 07 (10201)"</f>
        <v>PENSE FARMA 07 (10201)</v>
      </c>
      <c r="S11771" t="s">
        <v>22</v>
      </c>
      <c r="T11771">
        <v>22418</v>
      </c>
      <c r="U11771">
        <v>26338</v>
      </c>
      <c r="V11771" t="s">
        <v>22</v>
      </c>
    </row>
    <row r="11772" spans="1:22">
      <c r="A11772" t="str">
        <f t="shared" si="2296"/>
        <v>20/11/2025</v>
      </c>
      <c r="B11772" t="str">
        <f t="shared" si="2288"/>
        <v>SAÍDA</v>
      </c>
      <c r="C11772" t="str">
        <f t="shared" si="2297"/>
        <v>PIX</v>
      </c>
      <c r="D11772" t="str">
        <f>"26104"</f>
        <v>26104</v>
      </c>
      <c r="E11772" t="str">
        <f t="shared" si="2298"/>
        <v>1</v>
      </c>
      <c r="F11772" t="str">
        <f t="shared" si="2299"/>
        <v>COM</v>
      </c>
      <c r="G11772" t="str">
        <f>"LUCAS SANTOS PEREIRA (1101)"</f>
        <v>LUCAS SANTOS PEREIRA (1101)</v>
      </c>
      <c r="H11772" t="str">
        <f>"Serv.Prest. 17/11/2025 a 23/11/2025 - PIX: CELULAR - CHAVE: (11) 95460-2535"</f>
        <v>Serv.Prest. 17/11/2025 a 23/11/2025 - PIX: CELULAR - CHAVE: (11) 95460-2535</v>
      </c>
      <c r="I11772" t="str">
        <f t="shared" si="2300"/>
        <v>20/11/2025</v>
      </c>
      <c r="J11772" t="str">
        <f t="shared" si="2300"/>
        <v>20/11/2025</v>
      </c>
      <c r="K11772" t="str">
        <f>("20/11/2025")</f>
        <v>20/11/2025</v>
      </c>
      <c r="L11772">
        <v>250</v>
      </c>
      <c r="M11772">
        <v>250</v>
      </c>
      <c r="N11772">
        <v>134</v>
      </c>
      <c r="O11772" t="str">
        <f>"DIARIA DE MOTOBOY"</f>
        <v>DIARIA DE MOTOBOY</v>
      </c>
      <c r="P11772">
        <v>250</v>
      </c>
      <c r="S11772" t="str">
        <f>"BANCO CORA (102)"</f>
        <v>BANCO CORA (102)</v>
      </c>
      <c r="T11772">
        <v>22419</v>
      </c>
      <c r="U11772">
        <v>26335</v>
      </c>
      <c r="V11772" t="s">
        <v>22</v>
      </c>
    </row>
    <row r="11773" spans="1:22">
      <c r="A11773" t="str">
        <f t="shared" si="2296"/>
        <v>20/11/2025</v>
      </c>
      <c r="B11773" t="str">
        <f t="shared" si="2288"/>
        <v>SAÍDA</v>
      </c>
      <c r="C11773" t="str">
        <f t="shared" si="2297"/>
        <v>PIX</v>
      </c>
      <c r="D11773" t="str">
        <f>"26104"</f>
        <v>26104</v>
      </c>
      <c r="E11773" t="str">
        <f t="shared" si="2298"/>
        <v>1</v>
      </c>
      <c r="F11773" t="str">
        <f t="shared" si="2299"/>
        <v>COM</v>
      </c>
      <c r="G11773" t="str">
        <f>"LUCAS SANTOS PEREIRA (1101)"</f>
        <v>LUCAS SANTOS PEREIRA (1101)</v>
      </c>
      <c r="H11773" t="s">
        <v>3143</v>
      </c>
      <c r="I11773" t="str">
        <f t="shared" si="2300"/>
        <v>20/11/2025</v>
      </c>
      <c r="J11773" t="str">
        <f t="shared" si="2300"/>
        <v>20/11/2025</v>
      </c>
      <c r="K11773">
        <v>45981</v>
      </c>
      <c r="N11773">
        <v>134</v>
      </c>
      <c r="O11773" t="s">
        <v>41</v>
      </c>
      <c r="Q11773">
        <v>250</v>
      </c>
      <c r="R11773" t="str">
        <f>"PENSE FARMA 15 (10195)"</f>
        <v>PENSE FARMA 15 (10195)</v>
      </c>
      <c r="S11773" t="s">
        <v>22</v>
      </c>
      <c r="T11773">
        <v>22419</v>
      </c>
      <c r="U11773">
        <v>26335</v>
      </c>
      <c r="V11773" t="s">
        <v>22</v>
      </c>
    </row>
    <row r="11774" spans="1:22">
      <c r="A11774" t="str">
        <f t="shared" si="2296"/>
        <v>20/11/2025</v>
      </c>
      <c r="B11774" t="str">
        <f t="shared" si="2288"/>
        <v>SAÍDA</v>
      </c>
      <c r="C11774" t="str">
        <f t="shared" si="2297"/>
        <v>PIX</v>
      </c>
      <c r="D11774" t="str">
        <f>"26104"</f>
        <v>26104</v>
      </c>
      <c r="E11774" t="str">
        <f t="shared" si="2298"/>
        <v>1</v>
      </c>
      <c r="F11774" t="str">
        <f t="shared" si="2299"/>
        <v>COM</v>
      </c>
      <c r="G11774" t="str">
        <f>"LUCAS SANTOS PEREIRA (1101)"</f>
        <v>LUCAS SANTOS PEREIRA (1101)</v>
      </c>
      <c r="H11774" t="str">
        <f>"Serv.Prest. 17/11/2025 a 23/11/2025 - PIX: CELULAR - CHAVE: (11) 95460-2535"</f>
        <v>Serv.Prest. 17/11/2025 a 23/11/2025 - PIX: CELULAR - CHAVE: (11) 95460-2535</v>
      </c>
      <c r="I11774" t="str">
        <f t="shared" si="2300"/>
        <v>20/11/2025</v>
      </c>
      <c r="J11774" t="str">
        <f t="shared" si="2300"/>
        <v>20/11/2025</v>
      </c>
      <c r="K11774" t="str">
        <f>("20/11/2025")</f>
        <v>20/11/2025</v>
      </c>
      <c r="L11774">
        <v>200</v>
      </c>
      <c r="M11774">
        <v>200</v>
      </c>
      <c r="N11774">
        <v>134</v>
      </c>
      <c r="O11774" t="str">
        <f>"DIARIA DE MOTOBOY"</f>
        <v>DIARIA DE MOTOBOY</v>
      </c>
      <c r="P11774">
        <v>200</v>
      </c>
      <c r="S11774" t="str">
        <f>"BANCO CORA (102)"</f>
        <v>BANCO CORA (102)</v>
      </c>
      <c r="T11774">
        <v>22420</v>
      </c>
      <c r="U11774">
        <v>26337</v>
      </c>
      <c r="V11774" t="s">
        <v>22</v>
      </c>
    </row>
    <row r="11775" spans="1:22">
      <c r="A11775" t="str">
        <f t="shared" si="2296"/>
        <v>20/11/2025</v>
      </c>
      <c r="B11775" t="str">
        <f t="shared" si="2288"/>
        <v>SAÍDA</v>
      </c>
      <c r="C11775" t="str">
        <f t="shared" si="2297"/>
        <v>PIX</v>
      </c>
      <c r="D11775" t="str">
        <f>"26104"</f>
        <v>26104</v>
      </c>
      <c r="E11775" t="str">
        <f t="shared" si="2298"/>
        <v>1</v>
      </c>
      <c r="F11775" t="str">
        <f t="shared" si="2299"/>
        <v>COM</v>
      </c>
      <c r="G11775" t="str">
        <f>"LUCAS SANTOS PEREIRA (1101)"</f>
        <v>LUCAS SANTOS PEREIRA (1101)</v>
      </c>
      <c r="H11775" t="s">
        <v>3143</v>
      </c>
      <c r="I11775" t="str">
        <f t="shared" si="2300"/>
        <v>20/11/2025</v>
      </c>
      <c r="J11775" t="str">
        <f t="shared" si="2300"/>
        <v>20/11/2025</v>
      </c>
      <c r="K11775">
        <v>45981</v>
      </c>
      <c r="N11775">
        <v>134</v>
      </c>
      <c r="O11775" t="s">
        <v>41</v>
      </c>
      <c r="Q11775">
        <v>200</v>
      </c>
      <c r="R11775" t="str">
        <f>"PENSE FARMA 15 (10195)"</f>
        <v>PENSE FARMA 15 (10195)</v>
      </c>
      <c r="S11775" t="s">
        <v>22</v>
      </c>
      <c r="T11775">
        <v>22420</v>
      </c>
      <c r="U11775">
        <v>26337</v>
      </c>
      <c r="V11775" t="s">
        <v>22</v>
      </c>
    </row>
    <row r="11776" spans="1:22">
      <c r="A11776" t="str">
        <f t="shared" si="2296"/>
        <v>20/11/2025</v>
      </c>
      <c r="B11776" t="str">
        <f t="shared" si="2288"/>
        <v>SAÍDA</v>
      </c>
      <c r="C11776" t="str">
        <f t="shared" si="2297"/>
        <v>PIX</v>
      </c>
      <c r="D11776" t="str">
        <f>"25112025"</f>
        <v>25112025</v>
      </c>
      <c r="E11776" t="str">
        <f t="shared" si="2298"/>
        <v>1</v>
      </c>
      <c r="F11776" t="str">
        <f t="shared" si="2299"/>
        <v>COM</v>
      </c>
      <c r="G11776" t="str">
        <f>"FELIPE BRITO DOS SANTOS (1111)"</f>
        <v>FELIPE BRITO DOS SANTOS (1111)</v>
      </c>
      <c r="H11776" t="str">
        <f>"PRESTAÇÃO DE SERVIÇO ENTRE 19/11 A 23/11/2025 CHAVE PIX: felipebrito00009@gmail.com"</f>
        <v>PRESTAÇÃO DE SERVIÇO ENTRE 19/11 A 23/11/2025 CHAVE PIX: felipebrito00009@gmail.com</v>
      </c>
      <c r="I11776" t="str">
        <f t="shared" si="2300"/>
        <v>20/11/2025</v>
      </c>
      <c r="J11776" t="str">
        <f t="shared" si="2300"/>
        <v>20/11/2025</v>
      </c>
      <c r="K11776" t="str">
        <f>("20/11/2025")</f>
        <v>20/11/2025</v>
      </c>
      <c r="L11776">
        <v>250</v>
      </c>
      <c r="M11776">
        <v>250</v>
      </c>
      <c r="N11776">
        <v>134</v>
      </c>
      <c r="O11776" t="str">
        <f>"DIARIA DE MOTOBOY"</f>
        <v>DIARIA DE MOTOBOY</v>
      </c>
      <c r="P11776">
        <v>250</v>
      </c>
      <c r="S11776" t="str">
        <f>"BANCO CORA (102)"</f>
        <v>BANCO CORA (102)</v>
      </c>
      <c r="T11776">
        <v>22421</v>
      </c>
      <c r="U11776">
        <v>26324</v>
      </c>
      <c r="V11776" t="s">
        <v>22</v>
      </c>
    </row>
    <row r="11777" spans="1:22">
      <c r="A11777" t="str">
        <f t="shared" si="2296"/>
        <v>20/11/2025</v>
      </c>
      <c r="B11777" t="str">
        <f t="shared" si="2288"/>
        <v>SAÍDA</v>
      </c>
      <c r="C11777" t="str">
        <f t="shared" si="2297"/>
        <v>PIX</v>
      </c>
      <c r="D11777" t="str">
        <f>"25112025"</f>
        <v>25112025</v>
      </c>
      <c r="E11777" t="str">
        <f t="shared" si="2298"/>
        <v>1</v>
      </c>
      <c r="F11777" t="str">
        <f t="shared" si="2299"/>
        <v>COM</v>
      </c>
      <c r="G11777" t="str">
        <f>"FELIPE BRITO DOS SANTOS (1111)"</f>
        <v>FELIPE BRITO DOS SANTOS (1111)</v>
      </c>
      <c r="H11777" t="s">
        <v>3144</v>
      </c>
      <c r="I11777" t="str">
        <f t="shared" si="2300"/>
        <v>20/11/2025</v>
      </c>
      <c r="J11777" t="str">
        <f t="shared" si="2300"/>
        <v>20/11/2025</v>
      </c>
      <c r="K11777">
        <v>45981</v>
      </c>
      <c r="N11777">
        <v>134</v>
      </c>
      <c r="O11777" t="s">
        <v>41</v>
      </c>
      <c r="Q11777">
        <v>250</v>
      </c>
      <c r="R11777" t="str">
        <f>"PENSE FARMA 44 (10231)"</f>
        <v>PENSE FARMA 44 (10231)</v>
      </c>
      <c r="S11777" t="s">
        <v>22</v>
      </c>
      <c r="T11777">
        <v>22421</v>
      </c>
      <c r="U11777">
        <v>26324</v>
      </c>
      <c r="V11777" t="s">
        <v>22</v>
      </c>
    </row>
    <row r="11778" spans="1:22">
      <c r="A11778" t="str">
        <f t="shared" si="2296"/>
        <v>20/11/2025</v>
      </c>
      <c r="B11778" t="str">
        <f t="shared" si="2288"/>
        <v>SAÍDA</v>
      </c>
      <c r="C11778" t="str">
        <f t="shared" si="2297"/>
        <v>PIX</v>
      </c>
      <c r="D11778" t="str">
        <f>"25112025"</f>
        <v>25112025</v>
      </c>
      <c r="E11778" t="str">
        <f t="shared" si="2298"/>
        <v>1</v>
      </c>
      <c r="F11778" t="str">
        <f t="shared" si="2299"/>
        <v>COM</v>
      </c>
      <c r="G11778" t="str">
        <f>"FELIPE BRITO DOS SANTOS (1111)"</f>
        <v>FELIPE BRITO DOS SANTOS (1111)</v>
      </c>
      <c r="H11778" t="str">
        <f>"PRESTAÇÃO DE SERVIÇO ENTRE 19/11 A 23/11/2025 CHAVE PIX: felipebrito00009@gmail.com"</f>
        <v>PRESTAÇÃO DE SERVIÇO ENTRE 19/11 A 23/11/2025 CHAVE PIX: felipebrito00009@gmail.com</v>
      </c>
      <c r="I11778" t="str">
        <f t="shared" si="2300"/>
        <v>20/11/2025</v>
      </c>
      <c r="J11778" t="str">
        <f t="shared" si="2300"/>
        <v>20/11/2025</v>
      </c>
      <c r="K11778" t="str">
        <f>("20/11/2025")</f>
        <v>20/11/2025</v>
      </c>
      <c r="L11778">
        <v>250</v>
      </c>
      <c r="M11778">
        <v>250</v>
      </c>
      <c r="N11778">
        <v>134</v>
      </c>
      <c r="O11778" t="str">
        <f>"DIARIA DE MOTOBOY"</f>
        <v>DIARIA DE MOTOBOY</v>
      </c>
      <c r="P11778">
        <v>250</v>
      </c>
      <c r="S11778" t="str">
        <f>"BANCO CORA (102)"</f>
        <v>BANCO CORA (102)</v>
      </c>
      <c r="T11778">
        <v>22422</v>
      </c>
      <c r="U11778">
        <v>26325</v>
      </c>
      <c r="V11778" t="s">
        <v>22</v>
      </c>
    </row>
    <row r="11779" spans="1:22">
      <c r="A11779" t="str">
        <f t="shared" si="2296"/>
        <v>20/11/2025</v>
      </c>
      <c r="B11779" t="str">
        <f t="shared" si="2288"/>
        <v>SAÍDA</v>
      </c>
      <c r="C11779" t="str">
        <f t="shared" si="2297"/>
        <v>PIX</v>
      </c>
      <c r="D11779" t="str">
        <f>"25112025"</f>
        <v>25112025</v>
      </c>
      <c r="E11779" t="str">
        <f t="shared" si="2298"/>
        <v>1</v>
      </c>
      <c r="F11779" t="str">
        <f t="shared" si="2299"/>
        <v>COM</v>
      </c>
      <c r="G11779" t="str">
        <f>"FELIPE BRITO DOS SANTOS (1111)"</f>
        <v>FELIPE BRITO DOS SANTOS (1111)</v>
      </c>
      <c r="H11779" t="s">
        <v>3144</v>
      </c>
      <c r="I11779" t="str">
        <f t="shared" si="2300"/>
        <v>20/11/2025</v>
      </c>
      <c r="J11779" t="str">
        <f t="shared" si="2300"/>
        <v>20/11/2025</v>
      </c>
      <c r="K11779">
        <v>45981</v>
      </c>
      <c r="N11779">
        <v>134</v>
      </c>
      <c r="O11779" t="s">
        <v>41</v>
      </c>
      <c r="Q11779">
        <v>250</v>
      </c>
      <c r="R11779" t="str">
        <f>"PENSE FARMA 44 (10231)"</f>
        <v>PENSE FARMA 44 (10231)</v>
      </c>
      <c r="S11779" t="s">
        <v>22</v>
      </c>
      <c r="T11779">
        <v>22422</v>
      </c>
      <c r="U11779">
        <v>26325</v>
      </c>
      <c r="V11779" t="s">
        <v>22</v>
      </c>
    </row>
    <row r="11780" spans="1:22">
      <c r="A11780" t="str">
        <f t="shared" si="2296"/>
        <v>20/11/2025</v>
      </c>
      <c r="B11780" t="str">
        <f t="shared" si="2288"/>
        <v>SAÍDA</v>
      </c>
      <c r="C11780" t="str">
        <f t="shared" si="2297"/>
        <v>PIX</v>
      </c>
      <c r="D11780" t="str">
        <f>"26135"</f>
        <v>26135</v>
      </c>
      <c r="E11780" t="str">
        <f t="shared" si="2298"/>
        <v>1</v>
      </c>
      <c r="F11780" t="str">
        <f t="shared" si="2299"/>
        <v>COM</v>
      </c>
      <c r="G11780" t="str">
        <f>"JAMERSON SOUZA LOPES (749)"</f>
        <v>JAMERSON SOUZA LOPES (749)</v>
      </c>
      <c r="H11780" t="str">
        <f>"Serv.Prest. 17/11/2025 a 23/11/2025 - PIX: CPF - CHAVE: 423.098.018-36"</f>
        <v>Serv.Prest. 17/11/2025 a 23/11/2025 - PIX: CPF - CHAVE: 423.098.018-36</v>
      </c>
      <c r="I11780" t="str">
        <f t="shared" si="2300"/>
        <v>20/11/2025</v>
      </c>
      <c r="J11780" t="str">
        <f t="shared" si="2300"/>
        <v>20/11/2025</v>
      </c>
      <c r="K11780" t="str">
        <f>("20/11/2025")</f>
        <v>20/11/2025</v>
      </c>
      <c r="L11780">
        <v>63</v>
      </c>
      <c r="M11780">
        <v>63</v>
      </c>
      <c r="N11780">
        <v>109</v>
      </c>
      <c r="O11780" t="str">
        <f>"PAGAMENTO DE ENTREGADORES"</f>
        <v>PAGAMENTO DE ENTREGADORES</v>
      </c>
      <c r="P11780">
        <v>63</v>
      </c>
      <c r="S11780" t="str">
        <f>"BANCO CORA (102)"</f>
        <v>BANCO CORA (102)</v>
      </c>
      <c r="T11780">
        <v>22423</v>
      </c>
      <c r="U11780">
        <v>26135</v>
      </c>
      <c r="V11780" t="s">
        <v>22</v>
      </c>
    </row>
    <row r="11781" spans="1:22">
      <c r="A11781" t="str">
        <f t="shared" si="2296"/>
        <v>20/11/2025</v>
      </c>
      <c r="B11781" t="str">
        <f t="shared" ref="B11781:B11844" si="2301">"SAÍDA"</f>
        <v>SAÍDA</v>
      </c>
      <c r="C11781" t="str">
        <f t="shared" si="2297"/>
        <v>PIX</v>
      </c>
      <c r="D11781" t="str">
        <f>"26135"</f>
        <v>26135</v>
      </c>
      <c r="E11781" t="str">
        <f t="shared" si="2298"/>
        <v>1</v>
      </c>
      <c r="F11781" t="str">
        <f t="shared" si="2299"/>
        <v>COM</v>
      </c>
      <c r="G11781" t="str">
        <f>"JAMERSON SOUZA LOPES (749)"</f>
        <v>JAMERSON SOUZA LOPES (749)</v>
      </c>
      <c r="H11781" t="s">
        <v>3145</v>
      </c>
      <c r="I11781" t="str">
        <f t="shared" si="2300"/>
        <v>20/11/2025</v>
      </c>
      <c r="J11781" t="str">
        <f t="shared" si="2300"/>
        <v>20/11/2025</v>
      </c>
      <c r="K11781">
        <v>45981</v>
      </c>
      <c r="N11781">
        <v>109</v>
      </c>
      <c r="O11781" t="s">
        <v>24</v>
      </c>
      <c r="Q11781">
        <v>63</v>
      </c>
      <c r="R11781" t="str">
        <f>"DROGARIA MORENO LTDA (10171)"</f>
        <v>DROGARIA MORENO LTDA (10171)</v>
      </c>
      <c r="S11781" t="s">
        <v>22</v>
      </c>
      <c r="T11781">
        <v>22423</v>
      </c>
      <c r="U11781">
        <v>26135</v>
      </c>
      <c r="V11781" t="s">
        <v>22</v>
      </c>
    </row>
    <row r="11782" spans="1:22">
      <c r="A11782" t="str">
        <f t="shared" si="2296"/>
        <v>20/11/2025</v>
      </c>
      <c r="B11782" t="str">
        <f t="shared" si="2301"/>
        <v>SAÍDA</v>
      </c>
      <c r="C11782" t="str">
        <f t="shared" si="2297"/>
        <v>PIX</v>
      </c>
      <c r="D11782" t="str">
        <f>"26127"</f>
        <v>26127</v>
      </c>
      <c r="E11782" t="str">
        <f t="shared" si="2298"/>
        <v>1</v>
      </c>
      <c r="F11782" t="str">
        <f t="shared" si="2299"/>
        <v>COM</v>
      </c>
      <c r="G11782" t="str">
        <f>"JAMERSON SOUZA LOPES (749)"</f>
        <v>JAMERSON SOUZA LOPES (749)</v>
      </c>
      <c r="H11782" t="str">
        <f>"Serv.Prest. 17/11/2025 a 23/11/2025 - PIX: CPF - CHAVE: 423.098.018-36"</f>
        <v>Serv.Prest. 17/11/2025 a 23/11/2025 - PIX: CPF - CHAVE: 423.098.018-36</v>
      </c>
      <c r="I11782" t="str">
        <f t="shared" si="2300"/>
        <v>20/11/2025</v>
      </c>
      <c r="J11782" t="str">
        <f t="shared" si="2300"/>
        <v>20/11/2025</v>
      </c>
      <c r="K11782" t="str">
        <f>("20/11/2025")</f>
        <v>20/11/2025</v>
      </c>
      <c r="L11782">
        <v>63</v>
      </c>
      <c r="M11782">
        <v>67</v>
      </c>
      <c r="N11782">
        <v>109</v>
      </c>
      <c r="O11782" t="str">
        <f>"PAGAMENTO DE ENTREGADORES"</f>
        <v>PAGAMENTO DE ENTREGADORES</v>
      </c>
      <c r="P11782">
        <v>67</v>
      </c>
      <c r="S11782" t="str">
        <f>"BANCO CORA (102)"</f>
        <v>BANCO CORA (102)</v>
      </c>
      <c r="T11782">
        <v>22424</v>
      </c>
      <c r="U11782">
        <v>26127</v>
      </c>
      <c r="V11782" t="s">
        <v>22</v>
      </c>
    </row>
    <row r="11783" spans="1:22">
      <c r="A11783" t="str">
        <f t="shared" si="2296"/>
        <v>20/11/2025</v>
      </c>
      <c r="B11783" t="str">
        <f t="shared" si="2301"/>
        <v>SAÍDA</v>
      </c>
      <c r="C11783" t="str">
        <f t="shared" si="2297"/>
        <v>PIX</v>
      </c>
      <c r="D11783" t="str">
        <f>"26127"</f>
        <v>26127</v>
      </c>
      <c r="E11783" t="str">
        <f t="shared" si="2298"/>
        <v>1</v>
      </c>
      <c r="F11783" t="str">
        <f t="shared" si="2299"/>
        <v>COM</v>
      </c>
      <c r="G11783" t="str">
        <f>"JAMERSON SOUZA LOPES (749)"</f>
        <v>JAMERSON SOUZA LOPES (749)</v>
      </c>
      <c r="H11783" t="s">
        <v>3145</v>
      </c>
      <c r="I11783" t="str">
        <f t="shared" si="2300"/>
        <v>20/11/2025</v>
      </c>
      <c r="J11783" t="str">
        <f t="shared" si="2300"/>
        <v>20/11/2025</v>
      </c>
      <c r="K11783">
        <v>45981</v>
      </c>
      <c r="N11783">
        <v>109</v>
      </c>
      <c r="O11783" t="s">
        <v>24</v>
      </c>
      <c r="Q11783">
        <v>67</v>
      </c>
      <c r="R11783" t="str">
        <f>"DROGARIA TOTAL JUNDIAI (10177)"</f>
        <v>DROGARIA TOTAL JUNDIAI (10177)</v>
      </c>
      <c r="S11783" t="s">
        <v>22</v>
      </c>
      <c r="T11783">
        <v>22424</v>
      </c>
      <c r="U11783">
        <v>26127</v>
      </c>
      <c r="V11783" t="s">
        <v>22</v>
      </c>
    </row>
    <row r="11784" spans="1:22">
      <c r="A11784" t="str">
        <f t="shared" si="2296"/>
        <v>20/11/2025</v>
      </c>
      <c r="B11784" t="str">
        <f t="shared" si="2301"/>
        <v>SAÍDA</v>
      </c>
      <c r="C11784" t="str">
        <f t="shared" si="2297"/>
        <v>PIX</v>
      </c>
      <c r="D11784" t="str">
        <f>"26100"</f>
        <v>26100</v>
      </c>
      <c r="E11784" t="str">
        <f t="shared" si="2298"/>
        <v>1</v>
      </c>
      <c r="F11784" t="str">
        <f t="shared" si="2299"/>
        <v>COM</v>
      </c>
      <c r="G11784" t="str">
        <f>"DIRCEU APARECIDO FERREIRA (1073)"</f>
        <v>DIRCEU APARECIDO FERREIRA (1073)</v>
      </c>
      <c r="H11784" t="str">
        <f>"Serv.Prest. 17/11/2025 a 23/11/2025 - PIX: CPF - CHAVE: 298.747.458-00"</f>
        <v>Serv.Prest. 17/11/2025 a 23/11/2025 - PIX: CPF - CHAVE: 298.747.458-00</v>
      </c>
      <c r="I11784" t="str">
        <f t="shared" si="2300"/>
        <v>20/11/2025</v>
      </c>
      <c r="J11784" t="str">
        <f t="shared" si="2300"/>
        <v>20/11/2025</v>
      </c>
      <c r="K11784" t="str">
        <f>("20/11/2025")</f>
        <v>20/11/2025</v>
      </c>
      <c r="L11784">
        <v>250</v>
      </c>
      <c r="M11784">
        <v>250</v>
      </c>
      <c r="N11784">
        <v>134</v>
      </c>
      <c r="O11784" t="str">
        <f>"DIARIA DE MOTOBOY"</f>
        <v>DIARIA DE MOTOBOY</v>
      </c>
      <c r="P11784">
        <v>250</v>
      </c>
      <c r="S11784" t="str">
        <f>"BANCO CORA (102)"</f>
        <v>BANCO CORA (102)</v>
      </c>
      <c r="T11784">
        <v>22425</v>
      </c>
      <c r="U11784">
        <v>26100</v>
      </c>
      <c r="V11784" t="s">
        <v>22</v>
      </c>
    </row>
    <row r="11785" spans="1:22">
      <c r="A11785" t="str">
        <f t="shared" si="2296"/>
        <v>20/11/2025</v>
      </c>
      <c r="B11785" t="str">
        <f t="shared" si="2301"/>
        <v>SAÍDA</v>
      </c>
      <c r="C11785" t="str">
        <f t="shared" si="2297"/>
        <v>PIX</v>
      </c>
      <c r="D11785" t="str">
        <f>"26100"</f>
        <v>26100</v>
      </c>
      <c r="E11785" t="str">
        <f t="shared" si="2298"/>
        <v>1</v>
      </c>
      <c r="F11785" t="str">
        <f t="shared" si="2299"/>
        <v>COM</v>
      </c>
      <c r="G11785" t="str">
        <f>"DIRCEU APARECIDO FERREIRA (1073)"</f>
        <v>DIRCEU APARECIDO FERREIRA (1073)</v>
      </c>
      <c r="H11785" t="s">
        <v>3146</v>
      </c>
      <c r="I11785" t="str">
        <f t="shared" si="2300"/>
        <v>20/11/2025</v>
      </c>
      <c r="J11785" t="str">
        <f t="shared" si="2300"/>
        <v>20/11/2025</v>
      </c>
      <c r="K11785">
        <v>45981</v>
      </c>
      <c r="N11785">
        <v>134</v>
      </c>
      <c r="O11785" t="s">
        <v>41</v>
      </c>
      <c r="Q11785">
        <v>250</v>
      </c>
      <c r="R11785" t="str">
        <f>"PENSE FARMA 15 (10195)"</f>
        <v>PENSE FARMA 15 (10195)</v>
      </c>
      <c r="S11785" t="s">
        <v>22</v>
      </c>
      <c r="T11785">
        <v>22425</v>
      </c>
      <c r="U11785">
        <v>26100</v>
      </c>
      <c r="V11785" t="s">
        <v>22</v>
      </c>
    </row>
    <row r="11786" spans="1:22">
      <c r="A11786" t="str">
        <f t="shared" si="2296"/>
        <v>20/11/2025</v>
      </c>
      <c r="B11786" t="str">
        <f t="shared" si="2301"/>
        <v>SAÍDA</v>
      </c>
      <c r="C11786" t="str">
        <f t="shared" si="2297"/>
        <v>PIX</v>
      </c>
      <c r="D11786" t="str">
        <f>"26083"</f>
        <v>26083</v>
      </c>
      <c r="E11786" t="str">
        <f t="shared" si="2298"/>
        <v>1</v>
      </c>
      <c r="F11786" t="str">
        <f t="shared" si="2299"/>
        <v>COM</v>
      </c>
      <c r="G11786" t="str">
        <f>"JEFFERSON DA SILVA LOPES (1037)"</f>
        <v>JEFFERSON DA SILVA LOPES (1037)</v>
      </c>
      <c r="H11786" t="str">
        <f>"Serv.Prest. 17/11/2025 a 23/11/2025 - PIX: CPF - CHAVE: 507.243.348-07"</f>
        <v>Serv.Prest. 17/11/2025 a 23/11/2025 - PIX: CPF - CHAVE: 507.243.348-07</v>
      </c>
      <c r="I11786" t="str">
        <f t="shared" si="2300"/>
        <v>20/11/2025</v>
      </c>
      <c r="J11786" t="str">
        <f t="shared" si="2300"/>
        <v>20/11/2025</v>
      </c>
      <c r="K11786" t="str">
        <f>("20/11/2025")</f>
        <v>20/11/2025</v>
      </c>
      <c r="L11786">
        <v>200</v>
      </c>
      <c r="M11786">
        <v>200</v>
      </c>
      <c r="N11786">
        <v>134</v>
      </c>
      <c r="O11786" t="str">
        <f>"DIARIA DE MOTOBOY"</f>
        <v>DIARIA DE MOTOBOY</v>
      </c>
      <c r="P11786">
        <v>200</v>
      </c>
      <c r="S11786" t="str">
        <f>"BANCO CORA (102)"</f>
        <v>BANCO CORA (102)</v>
      </c>
      <c r="T11786">
        <v>22426</v>
      </c>
      <c r="U11786">
        <v>26083</v>
      </c>
      <c r="V11786" t="s">
        <v>22</v>
      </c>
    </row>
    <row r="11787" spans="1:22">
      <c r="A11787" t="str">
        <f t="shared" si="2296"/>
        <v>20/11/2025</v>
      </c>
      <c r="B11787" t="str">
        <f t="shared" si="2301"/>
        <v>SAÍDA</v>
      </c>
      <c r="C11787" t="str">
        <f t="shared" si="2297"/>
        <v>PIX</v>
      </c>
      <c r="D11787" t="str">
        <f>"26083"</f>
        <v>26083</v>
      </c>
      <c r="E11787" t="str">
        <f t="shared" si="2298"/>
        <v>1</v>
      </c>
      <c r="F11787" t="str">
        <f t="shared" si="2299"/>
        <v>COM</v>
      </c>
      <c r="G11787" t="str">
        <f>"JEFFERSON DA SILVA LOPES (1037)"</f>
        <v>JEFFERSON DA SILVA LOPES (1037)</v>
      </c>
      <c r="H11787" t="s">
        <v>3147</v>
      </c>
      <c r="I11787" t="str">
        <f t="shared" si="2300"/>
        <v>20/11/2025</v>
      </c>
      <c r="J11787" t="str">
        <f t="shared" si="2300"/>
        <v>20/11/2025</v>
      </c>
      <c r="K11787">
        <v>45981</v>
      </c>
      <c r="N11787">
        <v>134</v>
      </c>
      <c r="O11787" t="s">
        <v>41</v>
      </c>
      <c r="Q11787">
        <v>200</v>
      </c>
      <c r="R11787" t="str">
        <f>"PENSE FARMA 07 (10201)"</f>
        <v>PENSE FARMA 07 (10201)</v>
      </c>
      <c r="S11787" t="s">
        <v>22</v>
      </c>
      <c r="T11787">
        <v>22426</v>
      </c>
      <c r="U11787">
        <v>26083</v>
      </c>
      <c r="V11787" t="s">
        <v>22</v>
      </c>
    </row>
    <row r="11788" spans="1:22">
      <c r="A11788" t="str">
        <f t="shared" si="2296"/>
        <v>20/11/2025</v>
      </c>
      <c r="B11788" t="str">
        <f t="shared" si="2301"/>
        <v>SAÍDA</v>
      </c>
      <c r="C11788" t="str">
        <f t="shared" si="2297"/>
        <v>PIX</v>
      </c>
      <c r="D11788" t="str">
        <f>"26113"</f>
        <v>26113</v>
      </c>
      <c r="E11788" t="str">
        <f t="shared" si="2298"/>
        <v>1</v>
      </c>
      <c r="F11788" t="str">
        <f t="shared" si="2299"/>
        <v>COM</v>
      </c>
      <c r="G11788" t="str">
        <f>"HENRIQUE VALENTIM FERREIRA (1083)"</f>
        <v>HENRIQUE VALENTIM FERREIRA (1083)</v>
      </c>
      <c r="H11788" t="str">
        <f>"Serv.Prest. 17/11/2025 a 23/11/2025 - PIX: CELULAR - CHAVE: (11) 99293-5521"</f>
        <v>Serv.Prest. 17/11/2025 a 23/11/2025 - PIX: CELULAR - CHAVE: (11) 99293-5521</v>
      </c>
      <c r="I11788" t="str">
        <f t="shared" si="2300"/>
        <v>20/11/2025</v>
      </c>
      <c r="J11788" t="str">
        <f t="shared" si="2300"/>
        <v>20/11/2025</v>
      </c>
      <c r="K11788" t="str">
        <f>("20/11/2025")</f>
        <v>20/11/2025</v>
      </c>
      <c r="L11788">
        <v>350</v>
      </c>
      <c r="M11788">
        <v>350</v>
      </c>
      <c r="N11788">
        <v>134</v>
      </c>
      <c r="O11788" t="str">
        <f>"DIARIA DE MOTOBOY"</f>
        <v>DIARIA DE MOTOBOY</v>
      </c>
      <c r="P11788">
        <v>350</v>
      </c>
      <c r="S11788" t="str">
        <f>"BANCO CORA (102)"</f>
        <v>BANCO CORA (102)</v>
      </c>
      <c r="T11788">
        <v>22427</v>
      </c>
      <c r="U11788">
        <v>26113</v>
      </c>
      <c r="V11788" t="s">
        <v>22</v>
      </c>
    </row>
    <row r="11789" spans="1:22">
      <c r="A11789" t="str">
        <f t="shared" si="2296"/>
        <v>20/11/2025</v>
      </c>
      <c r="B11789" t="str">
        <f t="shared" si="2301"/>
        <v>SAÍDA</v>
      </c>
      <c r="C11789" t="str">
        <f t="shared" si="2297"/>
        <v>PIX</v>
      </c>
      <c r="D11789" t="str">
        <f>"26113"</f>
        <v>26113</v>
      </c>
      <c r="E11789" t="str">
        <f t="shared" si="2298"/>
        <v>1</v>
      </c>
      <c r="F11789" t="str">
        <f t="shared" si="2299"/>
        <v>COM</v>
      </c>
      <c r="G11789" t="str">
        <f>"HENRIQUE VALENTIM FERREIRA (1083)"</f>
        <v>HENRIQUE VALENTIM FERREIRA (1083)</v>
      </c>
      <c r="H11789" t="s">
        <v>3114</v>
      </c>
      <c r="I11789" t="str">
        <f t="shared" si="2300"/>
        <v>20/11/2025</v>
      </c>
      <c r="J11789" t="str">
        <f t="shared" si="2300"/>
        <v>20/11/2025</v>
      </c>
      <c r="K11789">
        <v>45981</v>
      </c>
      <c r="N11789">
        <v>134</v>
      </c>
      <c r="O11789" t="s">
        <v>41</v>
      </c>
      <c r="Q11789">
        <v>350</v>
      </c>
      <c r="R11789" t="str">
        <f>"PENSE FARMA 22 (10198)"</f>
        <v>PENSE FARMA 22 (10198)</v>
      </c>
      <c r="S11789" t="s">
        <v>22</v>
      </c>
      <c r="T11789">
        <v>22427</v>
      </c>
      <c r="U11789">
        <v>26113</v>
      </c>
      <c r="V11789" t="s">
        <v>22</v>
      </c>
    </row>
    <row r="11790" spans="1:22">
      <c r="A11790" t="str">
        <f t="shared" ref="A11790:A11853" si="2302">("21/11/2025")</f>
        <v>21/11/2025</v>
      </c>
      <c r="B11790" t="str">
        <f t="shared" si="2301"/>
        <v>SAÍDA</v>
      </c>
      <c r="C11790" t="str">
        <f t="shared" si="2297"/>
        <v>PIX</v>
      </c>
      <c r="D11790" t="str">
        <f>"25725"</f>
        <v>25725</v>
      </c>
      <c r="E11790" t="str">
        <f t="shared" si="2298"/>
        <v>1</v>
      </c>
      <c r="F11790" t="str">
        <f t="shared" si="2299"/>
        <v>COM</v>
      </c>
      <c r="G11790" t="str">
        <f>"LAMARK FERREIRA DE AMORIM (625)"</f>
        <v>LAMARK FERREIRA DE AMORIM (625)</v>
      </c>
      <c r="H11790" t="str">
        <f>"Serv.Prest. 10/11/2025 a 16/11/2025 - PIX: CPF - CHAVE: 057.893.536-81"</f>
        <v>Serv.Prest. 10/11/2025 a 16/11/2025 - PIX: CPF - CHAVE: 057.893.536-81</v>
      </c>
      <c r="I11790" t="str">
        <f>("27/11/2025")</f>
        <v>27/11/2025</v>
      </c>
      <c r="J11790" t="str">
        <f>("18/11/2025")</f>
        <v>18/11/2025</v>
      </c>
      <c r="K11790" t="str">
        <f>("21/11/2025")</f>
        <v>21/11/2025</v>
      </c>
      <c r="L11790">
        <v>294</v>
      </c>
      <c r="M11790">
        <v>294</v>
      </c>
      <c r="N11790">
        <v>109</v>
      </c>
      <c r="O11790" t="str">
        <f>"PAGAMENTO DE ENTREGADORES"</f>
        <v>PAGAMENTO DE ENTREGADORES</v>
      </c>
      <c r="P11790">
        <v>294</v>
      </c>
      <c r="S11790" t="str">
        <f>"BANCO CORA (102)"</f>
        <v>BANCO CORA (102)</v>
      </c>
      <c r="T11790">
        <v>21311</v>
      </c>
      <c r="U11790">
        <v>25725</v>
      </c>
      <c r="V11790" t="s">
        <v>22</v>
      </c>
    </row>
    <row r="11791" spans="1:22">
      <c r="A11791" t="str">
        <f t="shared" si="2302"/>
        <v>21/11/2025</v>
      </c>
      <c r="B11791" t="str">
        <f t="shared" si="2301"/>
        <v>SAÍDA</v>
      </c>
      <c r="C11791" t="str">
        <f t="shared" si="2297"/>
        <v>PIX</v>
      </c>
      <c r="D11791" t="str">
        <f>"25725"</f>
        <v>25725</v>
      </c>
      <c r="E11791" t="str">
        <f t="shared" si="2298"/>
        <v>1</v>
      </c>
      <c r="F11791" t="str">
        <f t="shared" si="2299"/>
        <v>COM</v>
      </c>
      <c r="G11791" t="str">
        <f>"LAMARK FERREIRA DE AMORIM (625)"</f>
        <v>LAMARK FERREIRA DE AMORIM (625)</v>
      </c>
      <c r="H11791" t="s">
        <v>3148</v>
      </c>
      <c r="I11791" t="str">
        <f>("27/11/2025")</f>
        <v>27/11/2025</v>
      </c>
      <c r="J11791" t="str">
        <f>("18/11/2025")</f>
        <v>18/11/2025</v>
      </c>
      <c r="K11791">
        <v>45982</v>
      </c>
      <c r="N11791">
        <v>109</v>
      </c>
      <c r="O11791" t="s">
        <v>24</v>
      </c>
      <c r="Q11791">
        <v>294</v>
      </c>
      <c r="R11791" t="str">
        <f>"FARMÁCIA INDIANA LJ 07 (10007)"</f>
        <v>FARMÁCIA INDIANA LJ 07 (10007)</v>
      </c>
      <c r="S11791" t="s">
        <v>22</v>
      </c>
      <c r="T11791">
        <v>21311</v>
      </c>
      <c r="U11791">
        <v>25725</v>
      </c>
      <c r="V11791" t="s">
        <v>22</v>
      </c>
    </row>
    <row r="11792" spans="1:22">
      <c r="A11792" t="str">
        <f t="shared" si="2302"/>
        <v>21/11/2025</v>
      </c>
      <c r="B11792" t="str">
        <f t="shared" si="2301"/>
        <v>SAÍDA</v>
      </c>
      <c r="C11792" t="str">
        <f t="shared" si="2297"/>
        <v>PIX</v>
      </c>
      <c r="D11792" t="str">
        <f>"25641"</f>
        <v>25641</v>
      </c>
      <c r="E11792" t="str">
        <f t="shared" si="2298"/>
        <v>1</v>
      </c>
      <c r="F11792" t="str">
        <f t="shared" si="2299"/>
        <v>COM</v>
      </c>
      <c r="G11792" t="str">
        <f>"FABIO SOUZA DE JESUS (637)"</f>
        <v>FABIO SOUZA DE JESUS (637)</v>
      </c>
      <c r="H11792" t="str">
        <f>"Serv.Prest. 10/11/2025 a 16/11/2025 - PIX: CELULAR - CHAVE: (27) 99950-3450"</f>
        <v>Serv.Prest. 10/11/2025 a 16/11/2025 - PIX: CELULAR - CHAVE: (27) 99950-3450</v>
      </c>
      <c r="I11792" t="str">
        <f>("19/11/2025")</f>
        <v>19/11/2025</v>
      </c>
      <c r="J11792" t="str">
        <f>("18/11/2025")</f>
        <v>18/11/2025</v>
      </c>
      <c r="K11792" t="str">
        <f>("21/11/2025")</f>
        <v>21/11/2025</v>
      </c>
      <c r="L11792">
        <v>1355</v>
      </c>
      <c r="M11792">
        <v>1355</v>
      </c>
      <c r="N11792">
        <v>109</v>
      </c>
      <c r="O11792" t="str">
        <f>"PAGAMENTO DE ENTREGADORES"</f>
        <v>PAGAMENTO DE ENTREGADORES</v>
      </c>
      <c r="P11792">
        <v>1355</v>
      </c>
      <c r="S11792" t="str">
        <f>"BANCO CORA (102)"</f>
        <v>BANCO CORA (102)</v>
      </c>
      <c r="T11792">
        <v>21316</v>
      </c>
      <c r="U11792">
        <v>25641</v>
      </c>
      <c r="V11792" t="s">
        <v>22</v>
      </c>
    </row>
    <row r="11793" spans="1:22">
      <c r="A11793" t="str">
        <f t="shared" si="2302"/>
        <v>21/11/2025</v>
      </c>
      <c r="B11793" t="str">
        <f t="shared" si="2301"/>
        <v>SAÍDA</v>
      </c>
      <c r="C11793" t="str">
        <f t="shared" si="2297"/>
        <v>PIX</v>
      </c>
      <c r="D11793" t="str">
        <f>"25641"</f>
        <v>25641</v>
      </c>
      <c r="E11793" t="str">
        <f t="shared" si="2298"/>
        <v>1</v>
      </c>
      <c r="F11793" t="str">
        <f t="shared" si="2299"/>
        <v>COM</v>
      </c>
      <c r="G11793" t="str">
        <f>"FABIO SOUZA DE JESUS (637)"</f>
        <v>FABIO SOUZA DE JESUS (637)</v>
      </c>
      <c r="H11793" t="s">
        <v>3104</v>
      </c>
      <c r="I11793" t="str">
        <f>("19/11/2025")</f>
        <v>19/11/2025</v>
      </c>
      <c r="J11793" t="str">
        <f>("18/11/2025")</f>
        <v>18/11/2025</v>
      </c>
      <c r="K11793">
        <v>45982</v>
      </c>
      <c r="N11793">
        <v>109</v>
      </c>
      <c r="O11793" t="s">
        <v>24</v>
      </c>
      <c r="Q11793">
        <v>1355</v>
      </c>
      <c r="R11793" t="str">
        <f>"FARMACIA PLANALTO (10270)"</f>
        <v>FARMACIA PLANALTO (10270)</v>
      </c>
      <c r="S11793" t="s">
        <v>22</v>
      </c>
      <c r="T11793">
        <v>21316</v>
      </c>
      <c r="U11793">
        <v>25641</v>
      </c>
      <c r="V11793" t="s">
        <v>22</v>
      </c>
    </row>
    <row r="11794" spans="1:22">
      <c r="A11794" t="str">
        <f t="shared" si="2302"/>
        <v>21/11/2025</v>
      </c>
      <c r="B11794" t="str">
        <f t="shared" si="2301"/>
        <v>SAÍDA</v>
      </c>
      <c r="C11794" t="str">
        <f t="shared" si="2297"/>
        <v>PIX</v>
      </c>
      <c r="D11794" t="str">
        <f>"25575"</f>
        <v>25575</v>
      </c>
      <c r="E11794" t="str">
        <f>"2"</f>
        <v>2</v>
      </c>
      <c r="F11794" t="str">
        <f t="shared" si="2299"/>
        <v>COM</v>
      </c>
      <c r="G11794" t="str">
        <f>"NATHAN PETRIN SOUSA DA SILVA (1049)"</f>
        <v>NATHAN PETRIN SOUSA DA SILVA (1049)</v>
      </c>
      <c r="H11794" t="str">
        <f>"Serv.Prest. 10/11/2025 a 16/11/2025 - PIX: CELULAR - CHAVE: (11) 98731-4534"</f>
        <v>Serv.Prest. 10/11/2025 a 16/11/2025 - PIX: CELULAR - CHAVE: (11) 98731-4534</v>
      </c>
      <c r="I11794" t="str">
        <f>("21/11/2025")</f>
        <v>21/11/2025</v>
      </c>
      <c r="J11794" t="str">
        <f>("17/11/2025")</f>
        <v>17/11/2025</v>
      </c>
      <c r="K11794" t="str">
        <f>("21/11/2025")</f>
        <v>21/11/2025</v>
      </c>
      <c r="L11794">
        <v>700</v>
      </c>
      <c r="M11794">
        <v>700</v>
      </c>
      <c r="N11794">
        <v>109</v>
      </c>
      <c r="O11794" t="str">
        <f>"PAGAMENTO DE ENTREGADORES"</f>
        <v>PAGAMENTO DE ENTREGADORES</v>
      </c>
      <c r="P11794">
        <v>700</v>
      </c>
      <c r="S11794" t="str">
        <f>"BANCO CORA (102)"</f>
        <v>BANCO CORA (102)</v>
      </c>
      <c r="T11794">
        <v>21319</v>
      </c>
      <c r="U11794">
        <v>25921</v>
      </c>
      <c r="V11794" t="s">
        <v>22</v>
      </c>
    </row>
    <row r="11795" spans="1:22">
      <c r="A11795" t="str">
        <f t="shared" si="2302"/>
        <v>21/11/2025</v>
      </c>
      <c r="B11795" t="str">
        <f t="shared" si="2301"/>
        <v>SAÍDA</v>
      </c>
      <c r="C11795" t="str">
        <f t="shared" si="2297"/>
        <v>PIX</v>
      </c>
      <c r="D11795" t="str">
        <f>"25575"</f>
        <v>25575</v>
      </c>
      <c r="E11795" t="str">
        <f>"2"</f>
        <v>2</v>
      </c>
      <c r="F11795" t="str">
        <f t="shared" si="2299"/>
        <v>COM</v>
      </c>
      <c r="G11795" t="str">
        <f>"NATHAN PETRIN SOUSA DA SILVA (1049)"</f>
        <v>NATHAN PETRIN SOUSA DA SILVA (1049)</v>
      </c>
      <c r="H11795" t="s">
        <v>3149</v>
      </c>
      <c r="I11795" t="str">
        <f>("21/11/2025")</f>
        <v>21/11/2025</v>
      </c>
      <c r="J11795" t="str">
        <f>("17/11/2025")</f>
        <v>17/11/2025</v>
      </c>
      <c r="K11795">
        <v>45982</v>
      </c>
      <c r="N11795">
        <v>109</v>
      </c>
      <c r="O11795" t="s">
        <v>24</v>
      </c>
      <c r="Q11795">
        <v>700</v>
      </c>
      <c r="R11795" t="str">
        <f>"PENSE FARMA 26 (10196)"</f>
        <v>PENSE FARMA 26 (10196)</v>
      </c>
      <c r="S11795" t="s">
        <v>22</v>
      </c>
      <c r="T11795">
        <v>21319</v>
      </c>
      <c r="U11795">
        <v>25921</v>
      </c>
      <c r="V11795" t="s">
        <v>22</v>
      </c>
    </row>
    <row r="11796" spans="1:22">
      <c r="A11796" t="str">
        <f t="shared" si="2302"/>
        <v>21/11/2025</v>
      </c>
      <c r="B11796" t="str">
        <f t="shared" si="2301"/>
        <v>SAÍDA</v>
      </c>
      <c r="C11796" t="str">
        <f t="shared" si="2297"/>
        <v>PIX</v>
      </c>
      <c r="D11796" t="str">
        <f>"25830"</f>
        <v>25830</v>
      </c>
      <c r="E11796" t="str">
        <f>"1"</f>
        <v>1</v>
      </c>
      <c r="F11796" t="str">
        <f t="shared" si="2299"/>
        <v>COM</v>
      </c>
      <c r="G11796" t="str">
        <f>"VANDERLEI PEREIRA CARVALHO (929)"</f>
        <v>VANDERLEI PEREIRA CARVALHO (929)</v>
      </c>
      <c r="H11796" t="str">
        <f>"Serv.Prest. 10/11/2025 a 16/11/2025 - PIX: CELULAR - CHAVE: (27) 99650-9691"</f>
        <v>Serv.Prest. 10/11/2025 a 16/11/2025 - PIX: CELULAR - CHAVE: (27) 99650-9691</v>
      </c>
      <c r="I11796" t="str">
        <f>("27/11/2025")</f>
        <v>27/11/2025</v>
      </c>
      <c r="J11796" t="str">
        <f>("18/11/2025")</f>
        <v>18/11/2025</v>
      </c>
      <c r="K11796" t="str">
        <f>("21/11/2025")</f>
        <v>21/11/2025</v>
      </c>
      <c r="L11796">
        <v>594</v>
      </c>
      <c r="M11796">
        <v>275</v>
      </c>
      <c r="N11796">
        <v>109</v>
      </c>
      <c r="O11796" t="str">
        <f>"PAGAMENTO DE ENTREGADORES"</f>
        <v>PAGAMENTO DE ENTREGADORES</v>
      </c>
      <c r="P11796">
        <v>275</v>
      </c>
      <c r="S11796" t="str">
        <f>"BANCO CORA (102)"</f>
        <v>BANCO CORA (102)</v>
      </c>
      <c r="T11796">
        <v>21330</v>
      </c>
      <c r="U11796">
        <v>25830</v>
      </c>
      <c r="V11796" t="s">
        <v>22</v>
      </c>
    </row>
    <row r="11797" spans="1:22">
      <c r="A11797" t="str">
        <f t="shared" si="2302"/>
        <v>21/11/2025</v>
      </c>
      <c r="B11797" t="str">
        <f t="shared" si="2301"/>
        <v>SAÍDA</v>
      </c>
      <c r="C11797" t="str">
        <f t="shared" si="2297"/>
        <v>PIX</v>
      </c>
      <c r="D11797" t="str">
        <f>"25830"</f>
        <v>25830</v>
      </c>
      <c r="E11797" t="str">
        <f>"1"</f>
        <v>1</v>
      </c>
      <c r="F11797" t="str">
        <f t="shared" si="2299"/>
        <v>COM</v>
      </c>
      <c r="G11797" t="str">
        <f>"VANDERLEI PEREIRA CARVALHO (929)"</f>
        <v>VANDERLEI PEREIRA CARVALHO (929)</v>
      </c>
      <c r="H11797" t="s">
        <v>3150</v>
      </c>
      <c r="I11797" t="str">
        <f>("27/11/2025")</f>
        <v>27/11/2025</v>
      </c>
      <c r="J11797" t="str">
        <f>("18/11/2025")</f>
        <v>18/11/2025</v>
      </c>
      <c r="K11797">
        <v>45982</v>
      </c>
      <c r="N11797">
        <v>109</v>
      </c>
      <c r="O11797" t="s">
        <v>24</v>
      </c>
      <c r="Q11797">
        <v>275</v>
      </c>
      <c r="R11797" t="str">
        <f>"FARMÁCIA INDIANA LJ 119 (10053)"</f>
        <v>FARMÁCIA INDIANA LJ 119 (10053)</v>
      </c>
      <c r="S11797" t="s">
        <v>22</v>
      </c>
      <c r="T11797">
        <v>21330</v>
      </c>
      <c r="U11797">
        <v>25830</v>
      </c>
      <c r="V11797" t="s">
        <v>22</v>
      </c>
    </row>
    <row r="11798" spans="1:22">
      <c r="A11798" t="str">
        <f t="shared" si="2302"/>
        <v>21/11/2025</v>
      </c>
      <c r="B11798" t="str">
        <f t="shared" si="2301"/>
        <v>SAÍDA</v>
      </c>
      <c r="C11798" t="str">
        <f>"DINHEIRO"</f>
        <v>DINHEIRO</v>
      </c>
      <c r="D11798" t="str">
        <f>"121120"</f>
        <v>121120</v>
      </c>
      <c r="E11798" t="str">
        <f>"25"</f>
        <v>25</v>
      </c>
      <c r="F11798" t="str">
        <f t="shared" si="2299"/>
        <v>COM</v>
      </c>
      <c r="G11798" t="str">
        <f>"DROGARIA ANA &amp; ANA UBA 2 LTDA (10214)"</f>
        <v>DROGARIA ANA &amp; ANA UBA 2 LTDA (10214)</v>
      </c>
      <c r="H11798" t="str">
        <f>"REEMBOLSO VALOR COBRADO A MAIS - CHAVE PIX ALEATORIA: 53e99937-7680-4d99-8085-4b2095316e1c"</f>
        <v>REEMBOLSO VALOR COBRADO A MAIS - CHAVE PIX ALEATORIA: 53e99937-7680-4d99-8085-4b2095316e1c</v>
      </c>
      <c r="I11798" t="str">
        <f>("24/11/2025")</f>
        <v>24/11/2025</v>
      </c>
      <c r="J11798" t="str">
        <f>("12/11/2025")</f>
        <v>12/11/2025</v>
      </c>
      <c r="K11798" t="str">
        <f>("21/11/2025")</f>
        <v>21/11/2025</v>
      </c>
      <c r="L11798">
        <v>4212.53</v>
      </c>
      <c r="M11798">
        <v>4212.53</v>
      </c>
      <c r="N11798">
        <v>110</v>
      </c>
      <c r="O11798" t="str">
        <f>"DESPESAS COM REEMBOLSOS"</f>
        <v>DESPESAS COM REEMBOLSOS</v>
      </c>
      <c r="P11798">
        <v>4212.53</v>
      </c>
      <c r="S11798" t="str">
        <f>"BANCO CORA (102)"</f>
        <v>BANCO CORA (102)</v>
      </c>
      <c r="T11798">
        <v>21331</v>
      </c>
      <c r="U11798">
        <v>25879</v>
      </c>
      <c r="V11798" t="s">
        <v>22</v>
      </c>
    </row>
    <row r="11799" spans="1:22">
      <c r="A11799" t="str">
        <f t="shared" si="2302"/>
        <v>21/11/2025</v>
      </c>
      <c r="B11799" t="str">
        <f t="shared" si="2301"/>
        <v>SAÍDA</v>
      </c>
      <c r="C11799" t="str">
        <f>"DINHEIRO"</f>
        <v>DINHEIRO</v>
      </c>
      <c r="D11799" t="str">
        <f>"121120"</f>
        <v>121120</v>
      </c>
      <c r="E11799" t="str">
        <f>"25"</f>
        <v>25</v>
      </c>
      <c r="F11799" t="str">
        <f t="shared" si="2299"/>
        <v>COM</v>
      </c>
      <c r="G11799" t="str">
        <f>"DROGARIA ANA &amp; ANA UBA 2 LTDA (10214)"</f>
        <v>DROGARIA ANA &amp; ANA UBA 2 LTDA (10214)</v>
      </c>
      <c r="H11799" t="s">
        <v>3151</v>
      </c>
      <c r="I11799" t="str">
        <f>("24/11/2025")</f>
        <v>24/11/2025</v>
      </c>
      <c r="J11799" t="str">
        <f>("12/11/2025")</f>
        <v>12/11/2025</v>
      </c>
      <c r="K11799">
        <v>45982</v>
      </c>
      <c r="N11799">
        <v>110</v>
      </c>
      <c r="O11799" t="s">
        <v>2439</v>
      </c>
      <c r="Q11799">
        <v>4212.53</v>
      </c>
      <c r="R11799" t="str">
        <f>"DROGARIA ANA &amp; ANA UBA 2 LTDA (10214)"</f>
        <v>DROGARIA ANA &amp; ANA UBA 2 LTDA (10214)</v>
      </c>
      <c r="S11799" t="s">
        <v>22</v>
      </c>
      <c r="T11799">
        <v>21331</v>
      </c>
      <c r="U11799">
        <v>25879</v>
      </c>
      <c r="V11799" t="s">
        <v>22</v>
      </c>
    </row>
    <row r="11800" spans="1:22">
      <c r="A11800" t="str">
        <f t="shared" si="2302"/>
        <v>21/11/2025</v>
      </c>
      <c r="B11800" t="str">
        <f t="shared" si="2301"/>
        <v>SAÍDA</v>
      </c>
      <c r="C11800" t="str">
        <f t="shared" ref="C11800:C11863" si="2303">"PIX"</f>
        <v>PIX</v>
      </c>
      <c r="D11800" t="str">
        <f>"25187"</f>
        <v>25187</v>
      </c>
      <c r="E11800" t="str">
        <f>"1"</f>
        <v>1</v>
      </c>
      <c r="F11800" t="str">
        <f t="shared" si="2299"/>
        <v>COM</v>
      </c>
      <c r="G11800" t="str">
        <f>"VICTOR RILLEY CRUZ MESQUITA (1005)"</f>
        <v>VICTOR RILLEY CRUZ MESQUITA (1005)</v>
      </c>
      <c r="H11800" t="str">
        <f>"Serv.Prest. 03/11/2025 a 09/11/2025 - PIX: CELULAR - CHAVE: (33) 99973-4407"</f>
        <v>Serv.Prest. 03/11/2025 a 09/11/2025 - PIX: CELULAR - CHAVE: (33) 99973-4407</v>
      </c>
      <c r="I11800" t="str">
        <f t="shared" ref="I11800:I11863" si="2304">("20/11/2025")</f>
        <v>20/11/2025</v>
      </c>
      <c r="J11800" t="str">
        <f>("11/11/2025")</f>
        <v>11/11/2025</v>
      </c>
      <c r="K11800" t="str">
        <f>("21/11/2025")</f>
        <v>21/11/2025</v>
      </c>
      <c r="L11800">
        <v>924</v>
      </c>
      <c r="M11800">
        <v>924</v>
      </c>
      <c r="N11800">
        <v>109</v>
      </c>
      <c r="O11800" t="str">
        <f>"PAGAMENTO DE ENTREGADORES"</f>
        <v>PAGAMENTO DE ENTREGADORES</v>
      </c>
      <c r="P11800">
        <v>924</v>
      </c>
      <c r="S11800" t="str">
        <f>"BANCO CORA (102)"</f>
        <v>BANCO CORA (102)</v>
      </c>
      <c r="T11800">
        <v>21332</v>
      </c>
      <c r="U11800">
        <v>25187</v>
      </c>
      <c r="V11800" t="s">
        <v>22</v>
      </c>
    </row>
    <row r="11801" spans="1:22">
      <c r="A11801" t="str">
        <f t="shared" si="2302"/>
        <v>21/11/2025</v>
      </c>
      <c r="B11801" t="str">
        <f t="shared" si="2301"/>
        <v>SAÍDA</v>
      </c>
      <c r="C11801" t="str">
        <f t="shared" si="2303"/>
        <v>PIX</v>
      </c>
      <c r="D11801" t="str">
        <f>"25187"</f>
        <v>25187</v>
      </c>
      <c r="E11801" t="str">
        <f>"1"</f>
        <v>1</v>
      </c>
      <c r="F11801" t="str">
        <f t="shared" si="2299"/>
        <v>COM</v>
      </c>
      <c r="G11801" t="str">
        <f>"VICTOR RILLEY CRUZ MESQUITA (1005)"</f>
        <v>VICTOR RILLEY CRUZ MESQUITA (1005)</v>
      </c>
      <c r="H11801" t="s">
        <v>3152</v>
      </c>
      <c r="I11801" t="str">
        <f t="shared" si="2304"/>
        <v>20/11/2025</v>
      </c>
      <c r="J11801" t="str">
        <f>("11/11/2025")</f>
        <v>11/11/2025</v>
      </c>
      <c r="K11801">
        <v>45982</v>
      </c>
      <c r="N11801">
        <v>109</v>
      </c>
      <c r="O11801" t="s">
        <v>24</v>
      </c>
      <c r="Q11801">
        <v>924</v>
      </c>
      <c r="R11801" t="str">
        <f>"FARMÁCIA INDIANA LJ 07 (10007)"</f>
        <v>FARMÁCIA INDIANA LJ 07 (10007)</v>
      </c>
      <c r="S11801" t="s">
        <v>22</v>
      </c>
      <c r="T11801">
        <v>21332</v>
      </c>
      <c r="U11801">
        <v>25187</v>
      </c>
      <c r="V11801" t="s">
        <v>22</v>
      </c>
    </row>
    <row r="11802" spans="1:22">
      <c r="A11802" t="str">
        <f t="shared" si="2302"/>
        <v>21/11/2025</v>
      </c>
      <c r="B11802" t="str">
        <f t="shared" si="2301"/>
        <v>SAÍDA</v>
      </c>
      <c r="C11802" t="str">
        <f t="shared" si="2303"/>
        <v>PIX</v>
      </c>
      <c r="D11802" t="str">
        <f>"2310"</f>
        <v>2310</v>
      </c>
      <c r="E11802" t="str">
        <f>"28"</f>
        <v>28</v>
      </c>
      <c r="F11802" t="str">
        <f t="shared" si="2299"/>
        <v>COM</v>
      </c>
      <c r="G11802" t="str">
        <f>"51.114.831 TANIA CRISTINA JOAQUIM (20120)"</f>
        <v>51.114.831 TANIA CRISTINA JOAQUIM (20120)</v>
      </c>
      <c r="H11802" t="str">
        <f>"PAGAMENTO PRESTACAO DE SERVICOS - PIX CELULAR (11) 99181-5502"</f>
        <v>PAGAMENTO PRESTACAO DE SERVICOS - PIX CELULAR (11) 99181-5502</v>
      </c>
      <c r="I11802" t="str">
        <f t="shared" si="2304"/>
        <v>20/11/2025</v>
      </c>
      <c r="J11802" t="str">
        <f>("13/10/2025")</f>
        <v>13/10/2025</v>
      </c>
      <c r="K11802" t="str">
        <f>("21/11/2025")</f>
        <v>21/11/2025</v>
      </c>
      <c r="L11802">
        <v>625</v>
      </c>
      <c r="M11802">
        <v>625</v>
      </c>
      <c r="N11802">
        <v>114</v>
      </c>
      <c r="O11802" t="str">
        <f>"PRESTADORES DE SERVIÇOS"</f>
        <v>PRESTADORES DE SERVIÇOS</v>
      </c>
      <c r="P11802">
        <v>625</v>
      </c>
      <c r="S11802" t="str">
        <f>"BANCO C6 (149)"</f>
        <v>BANCO C6 (149)</v>
      </c>
      <c r="T11802">
        <v>21333</v>
      </c>
      <c r="U11802">
        <v>24544</v>
      </c>
      <c r="V11802" t="s">
        <v>77</v>
      </c>
    </row>
    <row r="11803" spans="1:22">
      <c r="A11803" t="str">
        <f t="shared" si="2302"/>
        <v>21/11/2025</v>
      </c>
      <c r="B11803" t="str">
        <f t="shared" si="2301"/>
        <v>SAÍDA</v>
      </c>
      <c r="C11803" t="str">
        <f t="shared" si="2303"/>
        <v>PIX</v>
      </c>
      <c r="D11803" t="str">
        <f>"2310"</f>
        <v>2310</v>
      </c>
      <c r="E11803" t="str">
        <f>"28"</f>
        <v>28</v>
      </c>
      <c r="F11803" t="str">
        <f t="shared" si="2299"/>
        <v>COM</v>
      </c>
      <c r="G11803" t="str">
        <f>"51.114.831 TANIA CRISTINA JOAQUIM (20120)"</f>
        <v>51.114.831 TANIA CRISTINA JOAQUIM (20120)</v>
      </c>
      <c r="H11803" t="s">
        <v>2001</v>
      </c>
      <c r="I11803" t="str">
        <f t="shared" si="2304"/>
        <v>20/11/2025</v>
      </c>
      <c r="J11803" t="str">
        <f>("13/10/2025")</f>
        <v>13/10/2025</v>
      </c>
      <c r="K11803">
        <v>45982</v>
      </c>
      <c r="N11803">
        <v>114</v>
      </c>
      <c r="O11803" t="s">
        <v>260</v>
      </c>
      <c r="Q11803">
        <v>625</v>
      </c>
      <c r="R11803" t="str">
        <f>"51.114.831 TANIA CRISTINA JOAQUIM (20120)"</f>
        <v>51.114.831 TANIA CRISTINA JOAQUIM (20120)</v>
      </c>
      <c r="S11803" t="s">
        <v>77</v>
      </c>
      <c r="T11803">
        <v>21333</v>
      </c>
      <c r="U11803">
        <v>24544</v>
      </c>
      <c r="V11803" t="s">
        <v>77</v>
      </c>
    </row>
    <row r="11804" spans="1:22">
      <c r="A11804" t="str">
        <f t="shared" si="2302"/>
        <v>21/11/2025</v>
      </c>
      <c r="B11804" t="str">
        <f t="shared" si="2301"/>
        <v>SAÍDA</v>
      </c>
      <c r="C11804" t="str">
        <f t="shared" si="2303"/>
        <v>PIX</v>
      </c>
      <c r="D11804" t="str">
        <f>"25097"</f>
        <v>25097</v>
      </c>
      <c r="E11804" t="str">
        <f t="shared" ref="E11804:E11867" si="2305">"1"</f>
        <v>1</v>
      </c>
      <c r="F11804" t="str">
        <f t="shared" si="2299"/>
        <v>COM</v>
      </c>
      <c r="G11804" t="str">
        <f>"ALEXSANDER MESSIAS TEIXEIRA (382)"</f>
        <v>ALEXSANDER MESSIAS TEIXEIRA (382)</v>
      </c>
      <c r="H11804" t="str">
        <f>"Serv.Prest. 03/11/2025 a 09/11/2025 - PIX: CPF - CHAVE: 108.723.916-80"</f>
        <v>Serv.Prest. 03/11/2025 a 09/11/2025 - PIX: CPF - CHAVE: 108.723.916-80</v>
      </c>
      <c r="I11804" t="str">
        <f t="shared" si="2304"/>
        <v>20/11/2025</v>
      </c>
      <c r="J11804" t="str">
        <f t="shared" ref="J11804:J11867" si="2306">("11/11/2025")</f>
        <v>11/11/2025</v>
      </c>
      <c r="K11804" t="str">
        <f>("21/11/2025")</f>
        <v>21/11/2025</v>
      </c>
      <c r="L11804">
        <v>702</v>
      </c>
      <c r="M11804">
        <v>702</v>
      </c>
      <c r="N11804">
        <v>109</v>
      </c>
      <c r="O11804" t="str">
        <f>"PAGAMENTO DE ENTREGADORES"</f>
        <v>PAGAMENTO DE ENTREGADORES</v>
      </c>
      <c r="P11804">
        <v>702</v>
      </c>
      <c r="S11804" t="str">
        <f>"BANCO C6 (149)"</f>
        <v>BANCO C6 (149)</v>
      </c>
      <c r="T11804">
        <v>21334</v>
      </c>
      <c r="U11804">
        <v>25097</v>
      </c>
      <c r="V11804" t="s">
        <v>77</v>
      </c>
    </row>
    <row r="11805" spans="1:22">
      <c r="A11805" t="str">
        <f t="shared" si="2302"/>
        <v>21/11/2025</v>
      </c>
      <c r="B11805" t="str">
        <f t="shared" si="2301"/>
        <v>SAÍDA</v>
      </c>
      <c r="C11805" t="str">
        <f t="shared" si="2303"/>
        <v>PIX</v>
      </c>
      <c r="D11805" t="str">
        <f>"25097"</f>
        <v>25097</v>
      </c>
      <c r="E11805" t="str">
        <f t="shared" si="2305"/>
        <v>1</v>
      </c>
      <c r="F11805" t="str">
        <f t="shared" si="2299"/>
        <v>COM</v>
      </c>
      <c r="G11805" t="str">
        <f>"ALEXSANDER MESSIAS TEIXEIRA (382)"</f>
        <v>ALEXSANDER MESSIAS TEIXEIRA (382)</v>
      </c>
      <c r="H11805" t="s">
        <v>3153</v>
      </c>
      <c r="I11805" t="str">
        <f t="shared" si="2304"/>
        <v>20/11/2025</v>
      </c>
      <c r="J11805" t="str">
        <f t="shared" si="2306"/>
        <v>11/11/2025</v>
      </c>
      <c r="K11805">
        <v>45982</v>
      </c>
      <c r="N11805">
        <v>109</v>
      </c>
      <c r="O11805" t="s">
        <v>24</v>
      </c>
      <c r="Q11805">
        <v>702</v>
      </c>
      <c r="R11805" t="str">
        <f>"FARMÁCIA INDIANA LJ 110 (10048)"</f>
        <v>FARMÁCIA INDIANA LJ 110 (10048)</v>
      </c>
      <c r="S11805" t="s">
        <v>77</v>
      </c>
      <c r="T11805">
        <v>21334</v>
      </c>
      <c r="U11805">
        <v>25097</v>
      </c>
      <c r="V11805" t="s">
        <v>77</v>
      </c>
    </row>
    <row r="11806" spans="1:22">
      <c r="A11806" t="str">
        <f t="shared" si="2302"/>
        <v>21/11/2025</v>
      </c>
      <c r="B11806" t="str">
        <f t="shared" si="2301"/>
        <v>SAÍDA</v>
      </c>
      <c r="C11806" t="str">
        <f t="shared" si="2303"/>
        <v>PIX</v>
      </c>
      <c r="D11806" t="str">
        <f>"25098"</f>
        <v>25098</v>
      </c>
      <c r="E11806" t="str">
        <f t="shared" si="2305"/>
        <v>1</v>
      </c>
      <c r="F11806" t="str">
        <f t="shared" si="2299"/>
        <v>COM</v>
      </c>
      <c r="G11806" t="str">
        <f>"ALISSON FELIPE GODINHO (219)"</f>
        <v>ALISSON FELIPE GODINHO (219)</v>
      </c>
      <c r="H11806" t="str">
        <f>"Serv.Prest. 03/11/2025 a 09/11/2025 - PIX: CELULAR - CHAVE: (33) 99877-0415"</f>
        <v>Serv.Prest. 03/11/2025 a 09/11/2025 - PIX: CELULAR - CHAVE: (33) 99877-0415</v>
      </c>
      <c r="I11806" t="str">
        <f t="shared" si="2304"/>
        <v>20/11/2025</v>
      </c>
      <c r="J11806" t="str">
        <f t="shared" si="2306"/>
        <v>11/11/2025</v>
      </c>
      <c r="K11806" t="str">
        <f>("21/11/2025")</f>
        <v>21/11/2025</v>
      </c>
      <c r="L11806">
        <v>1260</v>
      </c>
      <c r="M11806">
        <v>1260</v>
      </c>
      <c r="N11806">
        <v>109</v>
      </c>
      <c r="O11806" t="str">
        <f>"PAGAMENTO DE ENTREGADORES"</f>
        <v>PAGAMENTO DE ENTREGADORES</v>
      </c>
      <c r="P11806">
        <v>1260</v>
      </c>
      <c r="S11806" t="str">
        <f>"BANCO C6 (149)"</f>
        <v>BANCO C6 (149)</v>
      </c>
      <c r="T11806">
        <v>21335</v>
      </c>
      <c r="U11806">
        <v>25098</v>
      </c>
      <c r="V11806" t="s">
        <v>77</v>
      </c>
    </row>
    <row r="11807" spans="1:22">
      <c r="A11807" t="str">
        <f t="shared" si="2302"/>
        <v>21/11/2025</v>
      </c>
      <c r="B11807" t="str">
        <f t="shared" si="2301"/>
        <v>SAÍDA</v>
      </c>
      <c r="C11807" t="str">
        <f t="shared" si="2303"/>
        <v>PIX</v>
      </c>
      <c r="D11807" t="str">
        <f>"25098"</f>
        <v>25098</v>
      </c>
      <c r="E11807" t="str">
        <f t="shared" si="2305"/>
        <v>1</v>
      </c>
      <c r="F11807" t="str">
        <f t="shared" si="2299"/>
        <v>COM</v>
      </c>
      <c r="G11807" t="str">
        <f>"ALISSON FELIPE GODINHO (219)"</f>
        <v>ALISSON FELIPE GODINHO (219)</v>
      </c>
      <c r="H11807" t="s">
        <v>3154</v>
      </c>
      <c r="I11807" t="str">
        <f t="shared" si="2304"/>
        <v>20/11/2025</v>
      </c>
      <c r="J11807" t="str">
        <f t="shared" si="2306"/>
        <v>11/11/2025</v>
      </c>
      <c r="K11807">
        <v>45982</v>
      </c>
      <c r="N11807">
        <v>109</v>
      </c>
      <c r="O11807" t="s">
        <v>24</v>
      </c>
      <c r="Q11807">
        <v>1260</v>
      </c>
      <c r="R11807" t="str">
        <f>"FARMÁCIA INDIANA LJ 14 (10009)"</f>
        <v>FARMÁCIA INDIANA LJ 14 (10009)</v>
      </c>
      <c r="S11807" t="s">
        <v>77</v>
      </c>
      <c r="T11807">
        <v>21335</v>
      </c>
      <c r="U11807">
        <v>25098</v>
      </c>
      <c r="V11807" t="s">
        <v>77</v>
      </c>
    </row>
    <row r="11808" spans="1:22">
      <c r="A11808" t="str">
        <f t="shared" si="2302"/>
        <v>21/11/2025</v>
      </c>
      <c r="B11808" t="str">
        <f t="shared" si="2301"/>
        <v>SAÍDA</v>
      </c>
      <c r="C11808" t="str">
        <f t="shared" si="2303"/>
        <v>PIX</v>
      </c>
      <c r="D11808" t="str">
        <f>"25099"</f>
        <v>25099</v>
      </c>
      <c r="E11808" t="str">
        <f t="shared" si="2305"/>
        <v>1</v>
      </c>
      <c r="F11808" t="str">
        <f t="shared" si="2299"/>
        <v>COM</v>
      </c>
      <c r="G11808" t="str">
        <f>"AMANDA VERÍSSIMO FERREIRA (794)"</f>
        <v>AMANDA VERÍSSIMO FERREIRA (794)</v>
      </c>
      <c r="H11808" t="str">
        <f>"Serv.Prest. 03/11/2025 a 09/11/2025 - PIX: CPF - CHAVE: 099.626.666-60"</f>
        <v>Serv.Prest. 03/11/2025 a 09/11/2025 - PIX: CPF - CHAVE: 099.626.666-60</v>
      </c>
      <c r="I11808" t="str">
        <f t="shared" si="2304"/>
        <v>20/11/2025</v>
      </c>
      <c r="J11808" t="str">
        <f t="shared" si="2306"/>
        <v>11/11/2025</v>
      </c>
      <c r="K11808" t="str">
        <f>("21/11/2025")</f>
        <v>21/11/2025</v>
      </c>
      <c r="L11808">
        <v>750</v>
      </c>
      <c r="M11808">
        <v>750</v>
      </c>
      <c r="N11808">
        <v>109</v>
      </c>
      <c r="O11808" t="str">
        <f>"PAGAMENTO DE ENTREGADORES"</f>
        <v>PAGAMENTO DE ENTREGADORES</v>
      </c>
      <c r="P11808">
        <v>750</v>
      </c>
      <c r="S11808" t="str">
        <f>"BANCO C6 (149)"</f>
        <v>BANCO C6 (149)</v>
      </c>
      <c r="T11808">
        <v>21336</v>
      </c>
      <c r="U11808">
        <v>25099</v>
      </c>
      <c r="V11808" t="s">
        <v>77</v>
      </c>
    </row>
    <row r="11809" spans="1:22">
      <c r="A11809" t="str">
        <f t="shared" si="2302"/>
        <v>21/11/2025</v>
      </c>
      <c r="B11809" t="str">
        <f t="shared" si="2301"/>
        <v>SAÍDA</v>
      </c>
      <c r="C11809" t="str">
        <f t="shared" si="2303"/>
        <v>PIX</v>
      </c>
      <c r="D11809" t="str">
        <f>"25099"</f>
        <v>25099</v>
      </c>
      <c r="E11809" t="str">
        <f t="shared" si="2305"/>
        <v>1</v>
      </c>
      <c r="F11809" t="str">
        <f t="shared" si="2299"/>
        <v>COM</v>
      </c>
      <c r="G11809" t="str">
        <f>"AMANDA VERÍSSIMO FERREIRA (794)"</f>
        <v>AMANDA VERÍSSIMO FERREIRA (794)</v>
      </c>
      <c r="H11809" t="s">
        <v>3155</v>
      </c>
      <c r="I11809" t="str">
        <f t="shared" si="2304"/>
        <v>20/11/2025</v>
      </c>
      <c r="J11809" t="str">
        <f t="shared" si="2306"/>
        <v>11/11/2025</v>
      </c>
      <c r="K11809">
        <v>45982</v>
      </c>
      <c r="N11809">
        <v>109</v>
      </c>
      <c r="O11809" t="s">
        <v>24</v>
      </c>
      <c r="Q11809">
        <v>103.43</v>
      </c>
      <c r="R11809" t="str">
        <f>"FARMÁCIA INDIANA LJ 97 (10040)"</f>
        <v>FARMÁCIA INDIANA LJ 97 (10040)</v>
      </c>
      <c r="S11809" t="s">
        <v>77</v>
      </c>
      <c r="T11809">
        <v>21336</v>
      </c>
      <c r="U11809">
        <v>25099</v>
      </c>
      <c r="V11809" t="s">
        <v>77</v>
      </c>
    </row>
    <row r="11810" spans="1:22">
      <c r="A11810" t="str">
        <f t="shared" si="2302"/>
        <v>21/11/2025</v>
      </c>
      <c r="B11810" t="str">
        <f t="shared" si="2301"/>
        <v>SAÍDA</v>
      </c>
      <c r="C11810" t="str">
        <f t="shared" si="2303"/>
        <v>PIX</v>
      </c>
      <c r="D11810" t="str">
        <f>"25099"</f>
        <v>25099</v>
      </c>
      <c r="E11810" t="str">
        <f t="shared" si="2305"/>
        <v>1</v>
      </c>
      <c r="F11810" t="str">
        <f t="shared" si="2299"/>
        <v>COM</v>
      </c>
      <c r="G11810" t="str">
        <f>"AMANDA VERÍSSIMO FERREIRA (794)"</f>
        <v>AMANDA VERÍSSIMO FERREIRA (794)</v>
      </c>
      <c r="H11810" t="s">
        <v>3155</v>
      </c>
      <c r="I11810" t="str">
        <f t="shared" si="2304"/>
        <v>20/11/2025</v>
      </c>
      <c r="J11810" t="str">
        <f t="shared" si="2306"/>
        <v>11/11/2025</v>
      </c>
      <c r="K11810">
        <v>45982</v>
      </c>
      <c r="N11810">
        <v>109</v>
      </c>
      <c r="O11810" t="s">
        <v>24</v>
      </c>
      <c r="Q11810">
        <v>646.57000000000005</v>
      </c>
      <c r="R11810" t="str">
        <f>"FARMÁCIA INDIANA LJ 111 (10049)"</f>
        <v>FARMÁCIA INDIANA LJ 111 (10049)</v>
      </c>
      <c r="S11810" t="s">
        <v>77</v>
      </c>
      <c r="T11810">
        <v>21336</v>
      </c>
      <c r="U11810">
        <v>25099</v>
      </c>
      <c r="V11810" t="s">
        <v>77</v>
      </c>
    </row>
    <row r="11811" spans="1:22">
      <c r="A11811" t="str">
        <f t="shared" si="2302"/>
        <v>21/11/2025</v>
      </c>
      <c r="B11811" t="str">
        <f t="shared" si="2301"/>
        <v>SAÍDA</v>
      </c>
      <c r="C11811" t="str">
        <f t="shared" si="2303"/>
        <v>PIX</v>
      </c>
      <c r="D11811" t="str">
        <f>"25100"</f>
        <v>25100</v>
      </c>
      <c r="E11811" t="str">
        <f t="shared" si="2305"/>
        <v>1</v>
      </c>
      <c r="F11811" t="str">
        <f t="shared" si="2299"/>
        <v>COM</v>
      </c>
      <c r="G11811" t="str">
        <f>"ANISSO ANIDAL DE PAULA (161)"</f>
        <v>ANISSO ANIDAL DE PAULA (161)</v>
      </c>
      <c r="H11811" t="str">
        <f>"Serv.Prest. 03/11/2025 a 09/11/2025 - PIX: E-MAIL - CHAVE: anissoanidaldepaula@gmail.com"</f>
        <v>Serv.Prest. 03/11/2025 a 09/11/2025 - PIX: E-MAIL - CHAVE: anissoanidaldepaula@gmail.com</v>
      </c>
      <c r="I11811" t="str">
        <f t="shared" si="2304"/>
        <v>20/11/2025</v>
      </c>
      <c r="J11811" t="str">
        <f t="shared" si="2306"/>
        <v>11/11/2025</v>
      </c>
      <c r="K11811" t="str">
        <f>("21/11/2025")</f>
        <v>21/11/2025</v>
      </c>
      <c r="L11811">
        <v>870</v>
      </c>
      <c r="M11811">
        <v>870</v>
      </c>
      <c r="N11811">
        <v>109</v>
      </c>
      <c r="O11811" t="str">
        <f>"PAGAMENTO DE ENTREGADORES"</f>
        <v>PAGAMENTO DE ENTREGADORES</v>
      </c>
      <c r="P11811">
        <v>870</v>
      </c>
      <c r="S11811" t="str">
        <f>"BANCO C6 (149)"</f>
        <v>BANCO C6 (149)</v>
      </c>
      <c r="T11811">
        <v>21337</v>
      </c>
      <c r="U11811">
        <v>25100</v>
      </c>
      <c r="V11811" t="s">
        <v>77</v>
      </c>
    </row>
    <row r="11812" spans="1:22">
      <c r="A11812" t="str">
        <f t="shared" si="2302"/>
        <v>21/11/2025</v>
      </c>
      <c r="B11812" t="str">
        <f t="shared" si="2301"/>
        <v>SAÍDA</v>
      </c>
      <c r="C11812" t="str">
        <f t="shared" si="2303"/>
        <v>PIX</v>
      </c>
      <c r="D11812" t="str">
        <f>"25100"</f>
        <v>25100</v>
      </c>
      <c r="E11812" t="str">
        <f t="shared" si="2305"/>
        <v>1</v>
      </c>
      <c r="F11812" t="str">
        <f t="shared" si="2299"/>
        <v>COM</v>
      </c>
      <c r="G11812" t="str">
        <f>"ANISSO ANIDAL DE PAULA (161)"</f>
        <v>ANISSO ANIDAL DE PAULA (161)</v>
      </c>
      <c r="H11812" t="s">
        <v>3156</v>
      </c>
      <c r="I11812" t="str">
        <f t="shared" si="2304"/>
        <v>20/11/2025</v>
      </c>
      <c r="J11812" t="str">
        <f t="shared" si="2306"/>
        <v>11/11/2025</v>
      </c>
      <c r="K11812">
        <v>45982</v>
      </c>
      <c r="N11812">
        <v>109</v>
      </c>
      <c r="O11812" t="s">
        <v>24</v>
      </c>
      <c r="Q11812">
        <v>750.03</v>
      </c>
      <c r="R11812" t="str">
        <f>"FARMÁCIA INDIANA LJ 18 (10011)"</f>
        <v>FARMÁCIA INDIANA LJ 18 (10011)</v>
      </c>
      <c r="S11812" t="s">
        <v>77</v>
      </c>
      <c r="T11812">
        <v>21337</v>
      </c>
      <c r="U11812">
        <v>25100</v>
      </c>
      <c r="V11812" t="s">
        <v>77</v>
      </c>
    </row>
    <row r="11813" spans="1:22">
      <c r="A11813" t="str">
        <f t="shared" si="2302"/>
        <v>21/11/2025</v>
      </c>
      <c r="B11813" t="str">
        <f t="shared" si="2301"/>
        <v>SAÍDA</v>
      </c>
      <c r="C11813" t="str">
        <f t="shared" si="2303"/>
        <v>PIX</v>
      </c>
      <c r="D11813" t="str">
        <f>"25100"</f>
        <v>25100</v>
      </c>
      <c r="E11813" t="str">
        <f t="shared" si="2305"/>
        <v>1</v>
      </c>
      <c r="F11813" t="str">
        <f t="shared" si="2299"/>
        <v>COM</v>
      </c>
      <c r="G11813" t="str">
        <f>"ANISSO ANIDAL DE PAULA (161)"</f>
        <v>ANISSO ANIDAL DE PAULA (161)</v>
      </c>
      <c r="H11813" t="s">
        <v>3156</v>
      </c>
      <c r="I11813" t="str">
        <f t="shared" si="2304"/>
        <v>20/11/2025</v>
      </c>
      <c r="J11813" t="str">
        <f t="shared" si="2306"/>
        <v>11/11/2025</v>
      </c>
      <c r="K11813">
        <v>45982</v>
      </c>
      <c r="N11813">
        <v>109</v>
      </c>
      <c r="O11813" t="s">
        <v>24</v>
      </c>
      <c r="Q11813">
        <v>119.97</v>
      </c>
      <c r="R11813" t="str">
        <f>"FARMÁCIA INDIANA LJ 19 (10012)"</f>
        <v>FARMÁCIA INDIANA LJ 19 (10012)</v>
      </c>
      <c r="S11813" t="s">
        <v>77</v>
      </c>
      <c r="T11813">
        <v>21337</v>
      </c>
      <c r="U11813">
        <v>25100</v>
      </c>
      <c r="V11813" t="s">
        <v>77</v>
      </c>
    </row>
    <row r="11814" spans="1:22">
      <c r="A11814" t="str">
        <f t="shared" si="2302"/>
        <v>21/11/2025</v>
      </c>
      <c r="B11814" t="str">
        <f t="shared" si="2301"/>
        <v>SAÍDA</v>
      </c>
      <c r="C11814" t="str">
        <f t="shared" si="2303"/>
        <v>PIX</v>
      </c>
      <c r="D11814" t="str">
        <f>"25101"</f>
        <v>25101</v>
      </c>
      <c r="E11814" t="str">
        <f t="shared" si="2305"/>
        <v>1</v>
      </c>
      <c r="F11814" t="str">
        <f t="shared" si="2299"/>
        <v>COM</v>
      </c>
      <c r="G11814" t="str">
        <f>"ARLINDO JOSE MARTINS (909)"</f>
        <v>ARLINDO JOSE MARTINS (909)</v>
      </c>
      <c r="H11814" t="str">
        <f>"Serv.Prest. 03/11/2025 a 09/11/2025 - PIX: CPF - CHAVE: 037.192.076-09"</f>
        <v>Serv.Prest. 03/11/2025 a 09/11/2025 - PIX: CPF - CHAVE: 037.192.076-09</v>
      </c>
      <c r="I11814" t="str">
        <f t="shared" si="2304"/>
        <v>20/11/2025</v>
      </c>
      <c r="J11814" t="str">
        <f t="shared" si="2306"/>
        <v>11/11/2025</v>
      </c>
      <c r="K11814" t="str">
        <f>("21/11/2025")</f>
        <v>21/11/2025</v>
      </c>
      <c r="L11814">
        <v>1133</v>
      </c>
      <c r="M11814">
        <v>1133</v>
      </c>
      <c r="N11814">
        <v>109</v>
      </c>
      <c r="O11814" t="str">
        <f>"PAGAMENTO DE ENTREGADORES"</f>
        <v>PAGAMENTO DE ENTREGADORES</v>
      </c>
      <c r="P11814">
        <v>1133</v>
      </c>
      <c r="S11814" t="str">
        <f>"BANCO C6 (149)"</f>
        <v>BANCO C6 (149)</v>
      </c>
      <c r="T11814">
        <v>21338</v>
      </c>
      <c r="U11814">
        <v>25101</v>
      </c>
      <c r="V11814" t="s">
        <v>77</v>
      </c>
    </row>
    <row r="11815" spans="1:22">
      <c r="A11815" t="str">
        <f t="shared" si="2302"/>
        <v>21/11/2025</v>
      </c>
      <c r="B11815" t="str">
        <f t="shared" si="2301"/>
        <v>SAÍDA</v>
      </c>
      <c r="C11815" t="str">
        <f t="shared" si="2303"/>
        <v>PIX</v>
      </c>
      <c r="D11815" t="str">
        <f>"25101"</f>
        <v>25101</v>
      </c>
      <c r="E11815" t="str">
        <f t="shared" si="2305"/>
        <v>1</v>
      </c>
      <c r="F11815" t="str">
        <f t="shared" si="2299"/>
        <v>COM</v>
      </c>
      <c r="G11815" t="str">
        <f>"ARLINDO JOSE MARTINS (909)"</f>
        <v>ARLINDO JOSE MARTINS (909)</v>
      </c>
      <c r="H11815" t="s">
        <v>3157</v>
      </c>
      <c r="I11815" t="str">
        <f t="shared" si="2304"/>
        <v>20/11/2025</v>
      </c>
      <c r="J11815" t="str">
        <f t="shared" si="2306"/>
        <v>11/11/2025</v>
      </c>
      <c r="K11815">
        <v>45982</v>
      </c>
      <c r="N11815">
        <v>109</v>
      </c>
      <c r="O11815" t="s">
        <v>24</v>
      </c>
      <c r="Q11815">
        <v>1133</v>
      </c>
      <c r="R11815" t="str">
        <f>"FARMÁCIA INDIANA LJ 185 (10141)"</f>
        <v>FARMÁCIA INDIANA LJ 185 (10141)</v>
      </c>
      <c r="S11815" t="s">
        <v>77</v>
      </c>
      <c r="T11815">
        <v>21338</v>
      </c>
      <c r="U11815">
        <v>25101</v>
      </c>
      <c r="V11815" t="s">
        <v>77</v>
      </c>
    </row>
    <row r="11816" spans="1:22">
      <c r="A11816" t="str">
        <f t="shared" si="2302"/>
        <v>21/11/2025</v>
      </c>
      <c r="B11816" t="str">
        <f t="shared" si="2301"/>
        <v>SAÍDA</v>
      </c>
      <c r="C11816" t="str">
        <f t="shared" si="2303"/>
        <v>PIX</v>
      </c>
      <c r="D11816" t="str">
        <f>"25102"</f>
        <v>25102</v>
      </c>
      <c r="E11816" t="str">
        <f t="shared" si="2305"/>
        <v>1</v>
      </c>
      <c r="F11816" t="str">
        <f t="shared" si="2299"/>
        <v>COM</v>
      </c>
      <c r="G11816" t="str">
        <f>"ARTHUR DANTAS PACHECO (928)"</f>
        <v>ARTHUR DANTAS PACHECO (928)</v>
      </c>
      <c r="H11816" t="str">
        <f>"Serv.Prest. 03/11/2025 a 09/11/2025 - PIX: CELULAR - CHAVE: (33) 99110-6940"</f>
        <v>Serv.Prest. 03/11/2025 a 09/11/2025 - PIX: CELULAR - CHAVE: (33) 99110-6940</v>
      </c>
      <c r="I11816" t="str">
        <f t="shared" si="2304"/>
        <v>20/11/2025</v>
      </c>
      <c r="J11816" t="str">
        <f t="shared" si="2306"/>
        <v>11/11/2025</v>
      </c>
      <c r="K11816" t="str">
        <f>("21/11/2025")</f>
        <v>21/11/2025</v>
      </c>
      <c r="L11816">
        <v>709.5</v>
      </c>
      <c r="M11816">
        <v>709.5</v>
      </c>
      <c r="N11816">
        <v>109</v>
      </c>
      <c r="O11816" t="str">
        <f>"PAGAMENTO DE ENTREGADORES"</f>
        <v>PAGAMENTO DE ENTREGADORES</v>
      </c>
      <c r="P11816">
        <v>709.5</v>
      </c>
      <c r="S11816" t="str">
        <f>"BANCO C6 (149)"</f>
        <v>BANCO C6 (149)</v>
      </c>
      <c r="T11816">
        <v>21339</v>
      </c>
      <c r="U11816">
        <v>25102</v>
      </c>
      <c r="V11816" t="s">
        <v>77</v>
      </c>
    </row>
    <row r="11817" spans="1:22">
      <c r="A11817" t="str">
        <f t="shared" si="2302"/>
        <v>21/11/2025</v>
      </c>
      <c r="B11817" t="str">
        <f t="shared" si="2301"/>
        <v>SAÍDA</v>
      </c>
      <c r="C11817" t="str">
        <f t="shared" si="2303"/>
        <v>PIX</v>
      </c>
      <c r="D11817" t="str">
        <f>"25102"</f>
        <v>25102</v>
      </c>
      <c r="E11817" t="str">
        <f t="shared" si="2305"/>
        <v>1</v>
      </c>
      <c r="F11817" t="str">
        <f t="shared" si="2299"/>
        <v>COM</v>
      </c>
      <c r="G11817" t="str">
        <f>"ARTHUR DANTAS PACHECO (928)"</f>
        <v>ARTHUR DANTAS PACHECO (928)</v>
      </c>
      <c r="H11817" t="s">
        <v>3158</v>
      </c>
      <c r="I11817" t="str">
        <f t="shared" si="2304"/>
        <v>20/11/2025</v>
      </c>
      <c r="J11817" t="str">
        <f t="shared" si="2306"/>
        <v>11/11/2025</v>
      </c>
      <c r="K11817">
        <v>45982</v>
      </c>
      <c r="N11817">
        <v>109</v>
      </c>
      <c r="O11817" t="s">
        <v>24</v>
      </c>
      <c r="Q11817">
        <v>709.5</v>
      </c>
      <c r="R11817" t="str">
        <f>"FARMÁCIA INDIANA LJ 40 (10016)"</f>
        <v>FARMÁCIA INDIANA LJ 40 (10016)</v>
      </c>
      <c r="S11817" t="s">
        <v>77</v>
      </c>
      <c r="T11817">
        <v>21339</v>
      </c>
      <c r="U11817">
        <v>25102</v>
      </c>
      <c r="V11817" t="s">
        <v>77</v>
      </c>
    </row>
    <row r="11818" spans="1:22">
      <c r="A11818" t="str">
        <f t="shared" si="2302"/>
        <v>21/11/2025</v>
      </c>
      <c r="B11818" t="str">
        <f t="shared" si="2301"/>
        <v>SAÍDA</v>
      </c>
      <c r="C11818" t="str">
        <f t="shared" si="2303"/>
        <v>PIX</v>
      </c>
      <c r="D11818" t="str">
        <f>"25103"</f>
        <v>25103</v>
      </c>
      <c r="E11818" t="str">
        <f t="shared" si="2305"/>
        <v>1</v>
      </c>
      <c r="F11818" t="str">
        <f t="shared" si="2299"/>
        <v>COM</v>
      </c>
      <c r="G11818" t="str">
        <f>"BRUNO BARBOSA DE MATOS (82)"</f>
        <v>BRUNO BARBOSA DE MATOS (82)</v>
      </c>
      <c r="H11818" t="str">
        <f>"Serv.Prest. 03/11/2025 a 09/11/2025 - PIX: CPF - CHAVE: 137.446.146-62"</f>
        <v>Serv.Prest. 03/11/2025 a 09/11/2025 - PIX: CPF - CHAVE: 137.446.146-62</v>
      </c>
      <c r="I11818" t="str">
        <f t="shared" si="2304"/>
        <v>20/11/2025</v>
      </c>
      <c r="J11818" t="str">
        <f t="shared" si="2306"/>
        <v>11/11/2025</v>
      </c>
      <c r="K11818" t="str">
        <f>("21/11/2025")</f>
        <v>21/11/2025</v>
      </c>
      <c r="L11818">
        <v>1842</v>
      </c>
      <c r="M11818">
        <v>1842</v>
      </c>
      <c r="N11818">
        <v>109</v>
      </c>
      <c r="O11818" t="str">
        <f>"PAGAMENTO DE ENTREGADORES"</f>
        <v>PAGAMENTO DE ENTREGADORES</v>
      </c>
      <c r="P11818">
        <v>1842</v>
      </c>
      <c r="S11818" t="str">
        <f>"BANCO C6 (149)"</f>
        <v>BANCO C6 (149)</v>
      </c>
      <c r="T11818">
        <v>21340</v>
      </c>
      <c r="U11818">
        <v>25103</v>
      </c>
      <c r="V11818" t="s">
        <v>77</v>
      </c>
    </row>
    <row r="11819" spans="1:22">
      <c r="A11819" t="str">
        <f t="shared" si="2302"/>
        <v>21/11/2025</v>
      </c>
      <c r="B11819" t="str">
        <f t="shared" si="2301"/>
        <v>SAÍDA</v>
      </c>
      <c r="C11819" t="str">
        <f t="shared" si="2303"/>
        <v>PIX</v>
      </c>
      <c r="D11819" t="str">
        <f>"25103"</f>
        <v>25103</v>
      </c>
      <c r="E11819" t="str">
        <f t="shared" si="2305"/>
        <v>1</v>
      </c>
      <c r="F11819" t="str">
        <f t="shared" si="2299"/>
        <v>COM</v>
      </c>
      <c r="G11819" t="str">
        <f>"BRUNO BARBOSA DE MATOS (82)"</f>
        <v>BRUNO BARBOSA DE MATOS (82)</v>
      </c>
      <c r="H11819" t="s">
        <v>3159</v>
      </c>
      <c r="I11819" t="str">
        <f t="shared" si="2304"/>
        <v>20/11/2025</v>
      </c>
      <c r="J11819" t="str">
        <f t="shared" si="2306"/>
        <v>11/11/2025</v>
      </c>
      <c r="K11819">
        <v>45982</v>
      </c>
      <c r="N11819">
        <v>109</v>
      </c>
      <c r="O11819" t="s">
        <v>24</v>
      </c>
      <c r="Q11819">
        <v>1842</v>
      </c>
      <c r="R11819" t="str">
        <f>"FARMÁCIA INDIANA LJ 152 (10069)"</f>
        <v>FARMÁCIA INDIANA LJ 152 (10069)</v>
      </c>
      <c r="S11819" t="s">
        <v>77</v>
      </c>
      <c r="T11819">
        <v>21340</v>
      </c>
      <c r="U11819">
        <v>25103</v>
      </c>
      <c r="V11819" t="s">
        <v>77</v>
      </c>
    </row>
    <row r="11820" spans="1:22">
      <c r="A11820" t="str">
        <f t="shared" si="2302"/>
        <v>21/11/2025</v>
      </c>
      <c r="B11820" t="str">
        <f t="shared" si="2301"/>
        <v>SAÍDA</v>
      </c>
      <c r="C11820" t="str">
        <f t="shared" si="2303"/>
        <v>PIX</v>
      </c>
      <c r="D11820" t="str">
        <f>"25104"</f>
        <v>25104</v>
      </c>
      <c r="E11820" t="str">
        <f t="shared" si="2305"/>
        <v>1</v>
      </c>
      <c r="F11820" t="str">
        <f t="shared" si="2299"/>
        <v>COM</v>
      </c>
      <c r="G11820" t="str">
        <f>"BRUNO DOS SANTOS MACHADO (702)"</f>
        <v>BRUNO DOS SANTOS MACHADO (702)</v>
      </c>
      <c r="H11820" t="str">
        <f>"Serv.Prest. 03/11/2025 a 09/11/2025 - PIX: CPF - CHAVE: 155.328.666-94"</f>
        <v>Serv.Prest. 03/11/2025 a 09/11/2025 - PIX: CPF - CHAVE: 155.328.666-94</v>
      </c>
      <c r="I11820" t="str">
        <f t="shared" si="2304"/>
        <v>20/11/2025</v>
      </c>
      <c r="J11820" t="str">
        <f t="shared" si="2306"/>
        <v>11/11/2025</v>
      </c>
      <c r="K11820" t="str">
        <f>("21/11/2025")</f>
        <v>21/11/2025</v>
      </c>
      <c r="L11820">
        <v>1200</v>
      </c>
      <c r="M11820">
        <v>1200</v>
      </c>
      <c r="N11820">
        <v>109</v>
      </c>
      <c r="O11820" t="str">
        <f>"PAGAMENTO DE ENTREGADORES"</f>
        <v>PAGAMENTO DE ENTREGADORES</v>
      </c>
      <c r="P11820">
        <v>1200</v>
      </c>
      <c r="S11820" t="str">
        <f>"BANCO C6 (149)"</f>
        <v>BANCO C6 (149)</v>
      </c>
      <c r="T11820">
        <v>21341</v>
      </c>
      <c r="U11820">
        <v>25104</v>
      </c>
      <c r="V11820" t="s">
        <v>77</v>
      </c>
    </row>
    <row r="11821" spans="1:22">
      <c r="A11821" t="str">
        <f t="shared" si="2302"/>
        <v>21/11/2025</v>
      </c>
      <c r="B11821" t="str">
        <f t="shared" si="2301"/>
        <v>SAÍDA</v>
      </c>
      <c r="C11821" t="str">
        <f t="shared" si="2303"/>
        <v>PIX</v>
      </c>
      <c r="D11821" t="str">
        <f>"25104"</f>
        <v>25104</v>
      </c>
      <c r="E11821" t="str">
        <f t="shared" si="2305"/>
        <v>1</v>
      </c>
      <c r="F11821" t="str">
        <f t="shared" si="2299"/>
        <v>COM</v>
      </c>
      <c r="G11821" t="str">
        <f>"BRUNO DOS SANTOS MACHADO (702)"</f>
        <v>BRUNO DOS SANTOS MACHADO (702)</v>
      </c>
      <c r="H11821" t="s">
        <v>3160</v>
      </c>
      <c r="I11821" t="str">
        <f t="shared" si="2304"/>
        <v>20/11/2025</v>
      </c>
      <c r="J11821" t="str">
        <f t="shared" si="2306"/>
        <v>11/11/2025</v>
      </c>
      <c r="K11821">
        <v>45982</v>
      </c>
      <c r="N11821">
        <v>109</v>
      </c>
      <c r="O11821" t="s">
        <v>24</v>
      </c>
      <c r="Q11821">
        <v>600</v>
      </c>
      <c r="R11821" t="str">
        <f>"FARMÁCIA INDIANA LJ 204 (10087)"</f>
        <v>FARMÁCIA INDIANA LJ 204 (10087)</v>
      </c>
      <c r="S11821" t="s">
        <v>77</v>
      </c>
      <c r="T11821">
        <v>21341</v>
      </c>
      <c r="U11821">
        <v>25104</v>
      </c>
      <c r="V11821" t="s">
        <v>77</v>
      </c>
    </row>
    <row r="11822" spans="1:22">
      <c r="A11822" t="str">
        <f t="shared" si="2302"/>
        <v>21/11/2025</v>
      </c>
      <c r="B11822" t="str">
        <f t="shared" si="2301"/>
        <v>SAÍDA</v>
      </c>
      <c r="C11822" t="str">
        <f t="shared" si="2303"/>
        <v>PIX</v>
      </c>
      <c r="D11822" t="str">
        <f>"25104"</f>
        <v>25104</v>
      </c>
      <c r="E11822" t="str">
        <f t="shared" si="2305"/>
        <v>1</v>
      </c>
      <c r="F11822" t="str">
        <f t="shared" si="2299"/>
        <v>COM</v>
      </c>
      <c r="G11822" t="str">
        <f>"BRUNO DOS SANTOS MACHADO (702)"</f>
        <v>BRUNO DOS SANTOS MACHADO (702)</v>
      </c>
      <c r="H11822" t="s">
        <v>3160</v>
      </c>
      <c r="I11822" t="str">
        <f t="shared" si="2304"/>
        <v>20/11/2025</v>
      </c>
      <c r="J11822" t="str">
        <f t="shared" si="2306"/>
        <v>11/11/2025</v>
      </c>
      <c r="K11822">
        <v>45982</v>
      </c>
      <c r="N11822">
        <v>109</v>
      </c>
      <c r="O11822" t="s">
        <v>24</v>
      </c>
      <c r="Q11822">
        <v>600</v>
      </c>
      <c r="R11822" t="str">
        <f>"FARMÁCIA INDIANA LJ 266 (10186)"</f>
        <v>FARMÁCIA INDIANA LJ 266 (10186)</v>
      </c>
      <c r="S11822" t="s">
        <v>77</v>
      </c>
      <c r="T11822">
        <v>21341</v>
      </c>
      <c r="U11822">
        <v>25104</v>
      </c>
      <c r="V11822" t="s">
        <v>77</v>
      </c>
    </row>
    <row r="11823" spans="1:22">
      <c r="A11823" t="str">
        <f t="shared" si="2302"/>
        <v>21/11/2025</v>
      </c>
      <c r="B11823" t="str">
        <f t="shared" si="2301"/>
        <v>SAÍDA</v>
      </c>
      <c r="C11823" t="str">
        <f t="shared" si="2303"/>
        <v>PIX</v>
      </c>
      <c r="D11823" t="str">
        <f>"25105"</f>
        <v>25105</v>
      </c>
      <c r="E11823" t="str">
        <f t="shared" si="2305"/>
        <v>1</v>
      </c>
      <c r="F11823" t="str">
        <f t="shared" si="2299"/>
        <v>COM</v>
      </c>
      <c r="G11823" t="str">
        <f>"BRUNO WAGNER DE CARVALHO OLIVEIRA (84)"</f>
        <v>BRUNO WAGNER DE CARVALHO OLIVEIRA (84)</v>
      </c>
      <c r="H11823" t="str">
        <f>"Serv.Prest. 03/11/2025 a 09/11/2025 - PIX: CELULAR - CHAVE: (32) 98896-0708"</f>
        <v>Serv.Prest. 03/11/2025 a 09/11/2025 - PIX: CELULAR - CHAVE: (32) 98896-0708</v>
      </c>
      <c r="I11823" t="str">
        <f t="shared" si="2304"/>
        <v>20/11/2025</v>
      </c>
      <c r="J11823" t="str">
        <f t="shared" si="2306"/>
        <v>11/11/2025</v>
      </c>
      <c r="K11823" t="str">
        <f>("21/11/2025")</f>
        <v>21/11/2025</v>
      </c>
      <c r="L11823">
        <v>700</v>
      </c>
      <c r="M11823">
        <v>700</v>
      </c>
      <c r="N11823">
        <v>109</v>
      </c>
      <c r="O11823" t="str">
        <f>"PAGAMENTO DE ENTREGADORES"</f>
        <v>PAGAMENTO DE ENTREGADORES</v>
      </c>
      <c r="P11823">
        <v>700</v>
      </c>
      <c r="S11823" t="str">
        <f>"BANCO C6 (149)"</f>
        <v>BANCO C6 (149)</v>
      </c>
      <c r="T11823">
        <v>21342</v>
      </c>
      <c r="U11823">
        <v>25105</v>
      </c>
      <c r="V11823" t="s">
        <v>77</v>
      </c>
    </row>
    <row r="11824" spans="1:22">
      <c r="A11824" t="str">
        <f t="shared" si="2302"/>
        <v>21/11/2025</v>
      </c>
      <c r="B11824" t="str">
        <f t="shared" si="2301"/>
        <v>SAÍDA</v>
      </c>
      <c r="C11824" t="str">
        <f t="shared" si="2303"/>
        <v>PIX</v>
      </c>
      <c r="D11824" t="str">
        <f>"25105"</f>
        <v>25105</v>
      </c>
      <c r="E11824" t="str">
        <f t="shared" si="2305"/>
        <v>1</v>
      </c>
      <c r="F11824" t="str">
        <f t="shared" si="2299"/>
        <v>COM</v>
      </c>
      <c r="G11824" t="str">
        <f>"BRUNO WAGNER DE CARVALHO OLIVEIRA (84)"</f>
        <v>BRUNO WAGNER DE CARVALHO OLIVEIRA (84)</v>
      </c>
      <c r="H11824" t="s">
        <v>3161</v>
      </c>
      <c r="I11824" t="str">
        <f t="shared" si="2304"/>
        <v>20/11/2025</v>
      </c>
      <c r="J11824" t="str">
        <f t="shared" si="2306"/>
        <v>11/11/2025</v>
      </c>
      <c r="K11824">
        <v>45982</v>
      </c>
      <c r="N11824">
        <v>109</v>
      </c>
      <c r="O11824" t="s">
        <v>24</v>
      </c>
      <c r="Q11824">
        <v>462</v>
      </c>
      <c r="R11824" t="str">
        <f>"FARMÁCIA INDIANA LJ 182 (10079)"</f>
        <v>FARMÁCIA INDIANA LJ 182 (10079)</v>
      </c>
      <c r="S11824" t="s">
        <v>77</v>
      </c>
      <c r="T11824">
        <v>21342</v>
      </c>
      <c r="U11824">
        <v>25105</v>
      </c>
      <c r="V11824" t="s">
        <v>77</v>
      </c>
    </row>
    <row r="11825" spans="1:22">
      <c r="A11825" t="str">
        <f t="shared" si="2302"/>
        <v>21/11/2025</v>
      </c>
      <c r="B11825" t="str">
        <f t="shared" si="2301"/>
        <v>SAÍDA</v>
      </c>
      <c r="C11825" t="str">
        <f t="shared" si="2303"/>
        <v>PIX</v>
      </c>
      <c r="D11825" t="str">
        <f>"25105"</f>
        <v>25105</v>
      </c>
      <c r="E11825" t="str">
        <f t="shared" si="2305"/>
        <v>1</v>
      </c>
      <c r="F11825" t="str">
        <f t="shared" si="2299"/>
        <v>COM</v>
      </c>
      <c r="G11825" t="str">
        <f>"BRUNO WAGNER DE CARVALHO OLIVEIRA (84)"</f>
        <v>BRUNO WAGNER DE CARVALHO OLIVEIRA (84)</v>
      </c>
      <c r="H11825" t="s">
        <v>3161</v>
      </c>
      <c r="I11825" t="str">
        <f t="shared" si="2304"/>
        <v>20/11/2025</v>
      </c>
      <c r="J11825" t="str">
        <f t="shared" si="2306"/>
        <v>11/11/2025</v>
      </c>
      <c r="K11825">
        <v>45982</v>
      </c>
      <c r="N11825">
        <v>109</v>
      </c>
      <c r="O11825" t="s">
        <v>24</v>
      </c>
      <c r="Q11825">
        <v>238</v>
      </c>
      <c r="R11825" t="str">
        <f>"FARMÁCIA INDIANA LJ 186 (10081)"</f>
        <v>FARMÁCIA INDIANA LJ 186 (10081)</v>
      </c>
      <c r="S11825" t="s">
        <v>77</v>
      </c>
      <c r="T11825">
        <v>21342</v>
      </c>
      <c r="U11825">
        <v>25105</v>
      </c>
      <c r="V11825" t="s">
        <v>77</v>
      </c>
    </row>
    <row r="11826" spans="1:22">
      <c r="A11826" t="str">
        <f t="shared" si="2302"/>
        <v>21/11/2025</v>
      </c>
      <c r="B11826" t="str">
        <f t="shared" si="2301"/>
        <v>SAÍDA</v>
      </c>
      <c r="C11826" t="str">
        <f t="shared" si="2303"/>
        <v>PIX</v>
      </c>
      <c r="D11826" t="str">
        <f>"25107"</f>
        <v>25107</v>
      </c>
      <c r="E11826" t="str">
        <f t="shared" si="2305"/>
        <v>1</v>
      </c>
      <c r="F11826" t="str">
        <f t="shared" si="2299"/>
        <v>COM</v>
      </c>
      <c r="G11826" t="str">
        <f>"CARLOS ROBERTO BADARÓ MACHADO (78)"</f>
        <v>CARLOS ROBERTO BADARÓ MACHADO (78)</v>
      </c>
      <c r="H11826" t="str">
        <f>"Serv.Prest. 03/11/2025 a 09/11/2025 - PIX: CELULAR - CHAVE: (32) 99166-8238"</f>
        <v>Serv.Prest. 03/11/2025 a 09/11/2025 - PIX: CELULAR - CHAVE: (32) 99166-8238</v>
      </c>
      <c r="I11826" t="str">
        <f t="shared" si="2304"/>
        <v>20/11/2025</v>
      </c>
      <c r="J11826" t="str">
        <f t="shared" si="2306"/>
        <v>11/11/2025</v>
      </c>
      <c r="K11826" t="str">
        <f>("21/11/2025")</f>
        <v>21/11/2025</v>
      </c>
      <c r="L11826">
        <v>1374</v>
      </c>
      <c r="M11826">
        <v>1374</v>
      </c>
      <c r="N11826">
        <v>109</v>
      </c>
      <c r="O11826" t="str">
        <f>"PAGAMENTO DE ENTREGADORES"</f>
        <v>PAGAMENTO DE ENTREGADORES</v>
      </c>
      <c r="P11826">
        <v>1374</v>
      </c>
      <c r="S11826" t="str">
        <f>"BANCO C6 (149)"</f>
        <v>BANCO C6 (149)</v>
      </c>
      <c r="T11826">
        <v>21343</v>
      </c>
      <c r="U11826">
        <v>25107</v>
      </c>
      <c r="V11826" t="s">
        <v>77</v>
      </c>
    </row>
    <row r="11827" spans="1:22">
      <c r="A11827" t="str">
        <f t="shared" si="2302"/>
        <v>21/11/2025</v>
      </c>
      <c r="B11827" t="str">
        <f t="shared" si="2301"/>
        <v>SAÍDA</v>
      </c>
      <c r="C11827" t="str">
        <f t="shared" si="2303"/>
        <v>PIX</v>
      </c>
      <c r="D11827" t="str">
        <f>"25107"</f>
        <v>25107</v>
      </c>
      <c r="E11827" t="str">
        <f t="shared" si="2305"/>
        <v>1</v>
      </c>
      <c r="F11827" t="str">
        <f t="shared" si="2299"/>
        <v>COM</v>
      </c>
      <c r="G11827" t="str">
        <f>"CARLOS ROBERTO BADARÓ MACHADO (78)"</f>
        <v>CARLOS ROBERTO BADARÓ MACHADO (78)</v>
      </c>
      <c r="H11827" t="s">
        <v>2756</v>
      </c>
      <c r="I11827" t="str">
        <f t="shared" si="2304"/>
        <v>20/11/2025</v>
      </c>
      <c r="J11827" t="str">
        <f t="shared" si="2306"/>
        <v>11/11/2025</v>
      </c>
      <c r="K11827">
        <v>45982</v>
      </c>
      <c r="N11827">
        <v>109</v>
      </c>
      <c r="O11827" t="s">
        <v>24</v>
      </c>
      <c r="Q11827">
        <v>1374</v>
      </c>
      <c r="R11827" t="str">
        <f>"FARMÁCIA INDIANA LJ 109 (10047)"</f>
        <v>FARMÁCIA INDIANA LJ 109 (10047)</v>
      </c>
      <c r="S11827" t="s">
        <v>77</v>
      </c>
      <c r="T11827">
        <v>21343</v>
      </c>
      <c r="U11827">
        <v>25107</v>
      </c>
      <c r="V11827" t="s">
        <v>77</v>
      </c>
    </row>
    <row r="11828" spans="1:22">
      <c r="A11828" t="str">
        <f t="shared" si="2302"/>
        <v>21/11/2025</v>
      </c>
      <c r="B11828" t="str">
        <f t="shared" si="2301"/>
        <v>SAÍDA</v>
      </c>
      <c r="C11828" t="str">
        <f t="shared" si="2303"/>
        <v>PIX</v>
      </c>
      <c r="D11828" t="str">
        <f>"25108"</f>
        <v>25108</v>
      </c>
      <c r="E11828" t="str">
        <f t="shared" si="2305"/>
        <v>1</v>
      </c>
      <c r="F11828" t="str">
        <f t="shared" si="2299"/>
        <v>COM</v>
      </c>
      <c r="G11828" t="str">
        <f>"CASSIO DIAS RIBEIRO (32)"</f>
        <v>CASSIO DIAS RIBEIRO (32)</v>
      </c>
      <c r="H11828" t="str">
        <f>"Serv.Prest. 03/11/2025 a 09/11/2025 - PIX: CPF - CHAVE: 091.575.986-14"</f>
        <v>Serv.Prest. 03/11/2025 a 09/11/2025 - PIX: CPF - CHAVE: 091.575.986-14</v>
      </c>
      <c r="I11828" t="str">
        <f t="shared" si="2304"/>
        <v>20/11/2025</v>
      </c>
      <c r="J11828" t="str">
        <f t="shared" si="2306"/>
        <v>11/11/2025</v>
      </c>
      <c r="K11828" t="str">
        <f>("21/11/2025")</f>
        <v>21/11/2025</v>
      </c>
      <c r="N11828">
        <v>109</v>
      </c>
      <c r="O11828" t="str">
        <f>"PAGAMENTO DE ENTREGADORES"</f>
        <v>PAGAMENTO DE ENTREGADORES</v>
      </c>
      <c r="P11828">
        <v>779.92</v>
      </c>
      <c r="S11828" t="str">
        <f>"BANCO C6 (149)"</f>
        <v>BANCO C6 (149)</v>
      </c>
      <c r="T11828">
        <v>21344</v>
      </c>
      <c r="U11828">
        <v>25108</v>
      </c>
      <c r="V11828" t="s">
        <v>77</v>
      </c>
    </row>
    <row r="11829" spans="1:22">
      <c r="A11829" t="str">
        <f t="shared" si="2302"/>
        <v>21/11/2025</v>
      </c>
      <c r="B11829" t="str">
        <f t="shared" si="2301"/>
        <v>SAÍDA</v>
      </c>
      <c r="C11829" t="str">
        <f t="shared" si="2303"/>
        <v>PIX</v>
      </c>
      <c r="D11829" t="str">
        <f>"25108"</f>
        <v>25108</v>
      </c>
      <c r="E11829" t="str">
        <f t="shared" si="2305"/>
        <v>1</v>
      </c>
      <c r="F11829" t="str">
        <f t="shared" si="2299"/>
        <v>COM</v>
      </c>
      <c r="G11829" t="str">
        <f>"CASSIO DIAS RIBEIRO (32)"</f>
        <v>CASSIO DIAS RIBEIRO (32)</v>
      </c>
      <c r="H11829" t="str">
        <f>"Serv.Prest. 03/11/2025 a 09/11/2025 - PIX: CPF - CHAVE: 091.575.986-14 - CASSIO DIAS RIBEIRO"</f>
        <v>Serv.Prest. 03/11/2025 a 09/11/2025 - PIX: CPF - CHAVE: 091.575.986-14 - CASSIO DIAS RIBEIRO</v>
      </c>
      <c r="I11829" t="str">
        <f t="shared" si="2304"/>
        <v>20/11/2025</v>
      </c>
      <c r="J11829" t="str">
        <f t="shared" si="2306"/>
        <v>11/11/2025</v>
      </c>
      <c r="K11829" t="str">
        <f>("21/11/2025")</f>
        <v>21/11/2025</v>
      </c>
      <c r="L11829">
        <v>1980</v>
      </c>
      <c r="M11829">
        <v>1980</v>
      </c>
      <c r="N11829">
        <v>5000</v>
      </c>
      <c r="O11829" t="str">
        <f>"SOLICITACAO DE ADIANTAMENTO"</f>
        <v>SOLICITACAO DE ADIANTAMENTO</v>
      </c>
      <c r="P11829">
        <v>1200.08</v>
      </c>
      <c r="S11829" t="str">
        <f>"BANCO C6 (149)"</f>
        <v>BANCO C6 (149)</v>
      </c>
      <c r="T11829">
        <v>21344</v>
      </c>
      <c r="U11829">
        <v>25108</v>
      </c>
      <c r="V11829" t="s">
        <v>77</v>
      </c>
    </row>
    <row r="11830" spans="1:22">
      <c r="A11830" t="str">
        <f t="shared" si="2302"/>
        <v>21/11/2025</v>
      </c>
      <c r="B11830" t="str">
        <f t="shared" si="2301"/>
        <v>SAÍDA</v>
      </c>
      <c r="C11830" t="str">
        <f t="shared" si="2303"/>
        <v>PIX</v>
      </c>
      <c r="D11830" t="str">
        <f>"25108"</f>
        <v>25108</v>
      </c>
      <c r="E11830" t="str">
        <f t="shared" si="2305"/>
        <v>1</v>
      </c>
      <c r="F11830" t="str">
        <f t="shared" si="2299"/>
        <v>COM</v>
      </c>
      <c r="G11830" t="str">
        <f>"CASSIO DIAS RIBEIRO (32)"</f>
        <v>CASSIO DIAS RIBEIRO (32)</v>
      </c>
      <c r="H11830" t="s">
        <v>3162</v>
      </c>
      <c r="I11830" t="str">
        <f t="shared" si="2304"/>
        <v>20/11/2025</v>
      </c>
      <c r="J11830" t="str">
        <f t="shared" si="2306"/>
        <v>11/11/2025</v>
      </c>
      <c r="K11830">
        <v>45982</v>
      </c>
      <c r="N11830">
        <v>109</v>
      </c>
      <c r="O11830" t="s">
        <v>24</v>
      </c>
      <c r="Q11830">
        <v>1980</v>
      </c>
      <c r="R11830" t="str">
        <f>"FARMÁCIA INDIANA LJ 11 (10008)"</f>
        <v>FARMÁCIA INDIANA LJ 11 (10008)</v>
      </c>
      <c r="S11830" t="s">
        <v>77</v>
      </c>
      <c r="T11830">
        <v>21344</v>
      </c>
      <c r="U11830">
        <v>25108</v>
      </c>
      <c r="V11830" t="s">
        <v>77</v>
      </c>
    </row>
    <row r="11831" spans="1:22">
      <c r="A11831" t="str">
        <f t="shared" si="2302"/>
        <v>21/11/2025</v>
      </c>
      <c r="B11831" t="str">
        <f t="shared" si="2301"/>
        <v>SAÍDA</v>
      </c>
      <c r="C11831" t="str">
        <f t="shared" si="2303"/>
        <v>PIX</v>
      </c>
      <c r="D11831" t="str">
        <f>"25109"</f>
        <v>25109</v>
      </c>
      <c r="E11831" t="str">
        <f t="shared" si="2305"/>
        <v>1</v>
      </c>
      <c r="F11831" t="str">
        <f t="shared" si="2299"/>
        <v>COM</v>
      </c>
      <c r="G11831" t="str">
        <f>"CELIO JOSÉ RIBEIRO (189)"</f>
        <v>CELIO JOSÉ RIBEIRO (189)</v>
      </c>
      <c r="H11831" t="str">
        <f>"Serv.Prest. 03/11/2025 a 09/11/2025 - PIX: CELULAR - CHAVE: (33) 98845-4528"</f>
        <v>Serv.Prest. 03/11/2025 a 09/11/2025 - PIX: CELULAR - CHAVE: (33) 98845-4528</v>
      </c>
      <c r="I11831" t="str">
        <f t="shared" si="2304"/>
        <v>20/11/2025</v>
      </c>
      <c r="J11831" t="str">
        <f t="shared" si="2306"/>
        <v>11/11/2025</v>
      </c>
      <c r="K11831" t="str">
        <f>("21/11/2025")</f>
        <v>21/11/2025</v>
      </c>
      <c r="L11831">
        <v>1092</v>
      </c>
      <c r="M11831">
        <v>1092</v>
      </c>
      <c r="N11831">
        <v>109</v>
      </c>
      <c r="O11831" t="str">
        <f>"PAGAMENTO DE ENTREGADORES"</f>
        <v>PAGAMENTO DE ENTREGADORES</v>
      </c>
      <c r="P11831">
        <v>1092</v>
      </c>
      <c r="S11831" t="str">
        <f>"BANCO C6 (149)"</f>
        <v>BANCO C6 (149)</v>
      </c>
      <c r="T11831">
        <v>21345</v>
      </c>
      <c r="U11831">
        <v>25109</v>
      </c>
      <c r="V11831" t="s">
        <v>77</v>
      </c>
    </row>
    <row r="11832" spans="1:22">
      <c r="A11832" t="str">
        <f t="shared" si="2302"/>
        <v>21/11/2025</v>
      </c>
      <c r="B11832" t="str">
        <f t="shared" si="2301"/>
        <v>SAÍDA</v>
      </c>
      <c r="C11832" t="str">
        <f t="shared" si="2303"/>
        <v>PIX</v>
      </c>
      <c r="D11832" t="str">
        <f>"25109"</f>
        <v>25109</v>
      </c>
      <c r="E11832" t="str">
        <f t="shared" si="2305"/>
        <v>1</v>
      </c>
      <c r="F11832" t="str">
        <f t="shared" si="2299"/>
        <v>COM</v>
      </c>
      <c r="G11832" t="str">
        <f>"CELIO JOSÉ RIBEIRO (189)"</f>
        <v>CELIO JOSÉ RIBEIRO (189)</v>
      </c>
      <c r="H11832" t="s">
        <v>3163</v>
      </c>
      <c r="I11832" t="str">
        <f t="shared" si="2304"/>
        <v>20/11/2025</v>
      </c>
      <c r="J11832" t="str">
        <f t="shared" si="2306"/>
        <v>11/11/2025</v>
      </c>
      <c r="K11832">
        <v>45982</v>
      </c>
      <c r="N11832">
        <v>109</v>
      </c>
      <c r="O11832" t="s">
        <v>24</v>
      </c>
      <c r="Q11832">
        <v>1092</v>
      </c>
      <c r="R11832" t="str">
        <f>"FARMÁCIA INDIANA LJ 06 (10006)"</f>
        <v>FARMÁCIA INDIANA LJ 06 (10006)</v>
      </c>
      <c r="S11832" t="s">
        <v>77</v>
      </c>
      <c r="T11832">
        <v>21345</v>
      </c>
      <c r="U11832">
        <v>25109</v>
      </c>
      <c r="V11832" t="s">
        <v>77</v>
      </c>
    </row>
    <row r="11833" spans="1:22">
      <c r="A11833" t="str">
        <f t="shared" si="2302"/>
        <v>21/11/2025</v>
      </c>
      <c r="B11833" t="str">
        <f t="shared" si="2301"/>
        <v>SAÍDA</v>
      </c>
      <c r="C11833" t="str">
        <f t="shared" si="2303"/>
        <v>PIX</v>
      </c>
      <c r="D11833" t="str">
        <f>"25110"</f>
        <v>25110</v>
      </c>
      <c r="E11833" t="str">
        <f t="shared" si="2305"/>
        <v>1</v>
      </c>
      <c r="F11833" t="str">
        <f t="shared" si="2299"/>
        <v>COM</v>
      </c>
      <c r="G11833" t="str">
        <f>"CLEIDIOMAR RIBEIRO FERREIRA (34)"</f>
        <v>CLEIDIOMAR RIBEIRO FERREIRA (34)</v>
      </c>
      <c r="H11833" t="str">
        <f>"Serv.Prest. 03/11/2025 a 09/11/2025 - PIX: CELULAR - CHAVE: (31) 98511-2851"</f>
        <v>Serv.Prest. 03/11/2025 a 09/11/2025 - PIX: CELULAR - CHAVE: (31) 98511-2851</v>
      </c>
      <c r="I11833" t="str">
        <f t="shared" si="2304"/>
        <v>20/11/2025</v>
      </c>
      <c r="J11833" t="str">
        <f t="shared" si="2306"/>
        <v>11/11/2025</v>
      </c>
      <c r="K11833" t="str">
        <f>("21/11/2025")</f>
        <v>21/11/2025</v>
      </c>
      <c r="L11833">
        <v>1476</v>
      </c>
      <c r="M11833">
        <v>1476</v>
      </c>
      <c r="N11833">
        <v>109</v>
      </c>
      <c r="O11833" t="str">
        <f>"PAGAMENTO DE ENTREGADORES"</f>
        <v>PAGAMENTO DE ENTREGADORES</v>
      </c>
      <c r="P11833">
        <v>1476</v>
      </c>
      <c r="S11833" t="str">
        <f>"BANCO C6 (149)"</f>
        <v>BANCO C6 (149)</v>
      </c>
      <c r="T11833">
        <v>21346</v>
      </c>
      <c r="U11833">
        <v>25110</v>
      </c>
      <c r="V11833" t="s">
        <v>77</v>
      </c>
    </row>
    <row r="11834" spans="1:22">
      <c r="A11834" t="str">
        <f t="shared" si="2302"/>
        <v>21/11/2025</v>
      </c>
      <c r="B11834" t="str">
        <f t="shared" si="2301"/>
        <v>SAÍDA</v>
      </c>
      <c r="C11834" t="str">
        <f t="shared" si="2303"/>
        <v>PIX</v>
      </c>
      <c r="D11834" t="str">
        <f>"25110"</f>
        <v>25110</v>
      </c>
      <c r="E11834" t="str">
        <f t="shared" si="2305"/>
        <v>1</v>
      </c>
      <c r="F11834" t="str">
        <f t="shared" ref="F11834:F11897" si="2307">"COM"</f>
        <v>COM</v>
      </c>
      <c r="G11834" t="str">
        <f>"CLEIDIOMAR RIBEIRO FERREIRA (34)"</f>
        <v>CLEIDIOMAR RIBEIRO FERREIRA (34)</v>
      </c>
      <c r="H11834" t="s">
        <v>3164</v>
      </c>
      <c r="I11834" t="str">
        <f t="shared" si="2304"/>
        <v>20/11/2025</v>
      </c>
      <c r="J11834" t="str">
        <f t="shared" si="2306"/>
        <v>11/11/2025</v>
      </c>
      <c r="K11834">
        <v>45982</v>
      </c>
      <c r="N11834">
        <v>109</v>
      </c>
      <c r="O11834" t="s">
        <v>24</v>
      </c>
      <c r="Q11834">
        <v>1476</v>
      </c>
      <c r="R11834" t="str">
        <f>"FARMÁCIA INDIANA LJ 11 (10008)"</f>
        <v>FARMÁCIA INDIANA LJ 11 (10008)</v>
      </c>
      <c r="S11834" t="s">
        <v>77</v>
      </c>
      <c r="T11834">
        <v>21346</v>
      </c>
      <c r="U11834">
        <v>25110</v>
      </c>
      <c r="V11834" t="s">
        <v>77</v>
      </c>
    </row>
    <row r="11835" spans="1:22">
      <c r="A11835" t="str">
        <f t="shared" si="2302"/>
        <v>21/11/2025</v>
      </c>
      <c r="B11835" t="str">
        <f t="shared" si="2301"/>
        <v>SAÍDA</v>
      </c>
      <c r="C11835" t="str">
        <f t="shared" si="2303"/>
        <v>PIX</v>
      </c>
      <c r="D11835" t="str">
        <f>"25111"</f>
        <v>25111</v>
      </c>
      <c r="E11835" t="str">
        <f t="shared" si="2305"/>
        <v>1</v>
      </c>
      <c r="F11835" t="str">
        <f t="shared" si="2307"/>
        <v>COM</v>
      </c>
      <c r="G11835" t="str">
        <f>"CRISTIANO XAVIER DA COSTA (269)"</f>
        <v>CRISTIANO XAVIER DA COSTA (269)</v>
      </c>
      <c r="H11835" t="str">
        <f>"Serv.Prest. 03/11/2025 a 09/11/2025 - PIX: CELULAR - CHAVE: (32) 99177-6167"</f>
        <v>Serv.Prest. 03/11/2025 a 09/11/2025 - PIX: CELULAR - CHAVE: (32) 99177-6167</v>
      </c>
      <c r="I11835" t="str">
        <f t="shared" si="2304"/>
        <v>20/11/2025</v>
      </c>
      <c r="J11835" t="str">
        <f t="shared" si="2306"/>
        <v>11/11/2025</v>
      </c>
      <c r="K11835" t="str">
        <f>("21/11/2025")</f>
        <v>21/11/2025</v>
      </c>
      <c r="L11835">
        <v>2040</v>
      </c>
      <c r="M11835">
        <v>2040</v>
      </c>
      <c r="N11835">
        <v>109</v>
      </c>
      <c r="O11835" t="str">
        <f>"PAGAMENTO DE ENTREGADORES"</f>
        <v>PAGAMENTO DE ENTREGADORES</v>
      </c>
      <c r="P11835">
        <v>2040</v>
      </c>
      <c r="S11835" t="str">
        <f>"BANCO C6 (149)"</f>
        <v>BANCO C6 (149)</v>
      </c>
      <c r="T11835">
        <v>21347</v>
      </c>
      <c r="U11835">
        <v>25111</v>
      </c>
      <c r="V11835" t="s">
        <v>77</v>
      </c>
    </row>
    <row r="11836" spans="1:22">
      <c r="A11836" t="str">
        <f t="shared" si="2302"/>
        <v>21/11/2025</v>
      </c>
      <c r="B11836" t="str">
        <f t="shared" si="2301"/>
        <v>SAÍDA</v>
      </c>
      <c r="C11836" t="str">
        <f t="shared" si="2303"/>
        <v>PIX</v>
      </c>
      <c r="D11836" t="str">
        <f>"25111"</f>
        <v>25111</v>
      </c>
      <c r="E11836" t="str">
        <f t="shared" si="2305"/>
        <v>1</v>
      </c>
      <c r="F11836" t="str">
        <f t="shared" si="2307"/>
        <v>COM</v>
      </c>
      <c r="G11836" t="str">
        <f>"CRISTIANO XAVIER DA COSTA (269)"</f>
        <v>CRISTIANO XAVIER DA COSTA (269)</v>
      </c>
      <c r="H11836" t="s">
        <v>3165</v>
      </c>
      <c r="I11836" t="str">
        <f t="shared" si="2304"/>
        <v>20/11/2025</v>
      </c>
      <c r="J11836" t="str">
        <f t="shared" si="2306"/>
        <v>11/11/2025</v>
      </c>
      <c r="K11836">
        <v>45982</v>
      </c>
      <c r="N11836">
        <v>109</v>
      </c>
      <c r="O11836" t="s">
        <v>24</v>
      </c>
      <c r="Q11836">
        <v>1198.5</v>
      </c>
      <c r="R11836" t="str">
        <f>"FARMÁCIA INDIANA LJ 207 (10088)"</f>
        <v>FARMÁCIA INDIANA LJ 207 (10088)</v>
      </c>
      <c r="S11836" t="s">
        <v>77</v>
      </c>
      <c r="T11836">
        <v>21347</v>
      </c>
      <c r="U11836">
        <v>25111</v>
      </c>
      <c r="V11836" t="s">
        <v>77</v>
      </c>
    </row>
    <row r="11837" spans="1:22">
      <c r="A11837" t="str">
        <f t="shared" si="2302"/>
        <v>21/11/2025</v>
      </c>
      <c r="B11837" t="str">
        <f t="shared" si="2301"/>
        <v>SAÍDA</v>
      </c>
      <c r="C11837" t="str">
        <f t="shared" si="2303"/>
        <v>PIX</v>
      </c>
      <c r="D11837" t="str">
        <f>"25111"</f>
        <v>25111</v>
      </c>
      <c r="E11837" t="str">
        <f t="shared" si="2305"/>
        <v>1</v>
      </c>
      <c r="F11837" t="str">
        <f t="shared" si="2307"/>
        <v>COM</v>
      </c>
      <c r="G11837" t="str">
        <f>"CRISTIANO XAVIER DA COSTA (269)"</f>
        <v>CRISTIANO XAVIER DA COSTA (269)</v>
      </c>
      <c r="H11837" t="s">
        <v>3165</v>
      </c>
      <c r="I11837" t="str">
        <f t="shared" si="2304"/>
        <v>20/11/2025</v>
      </c>
      <c r="J11837" t="str">
        <f t="shared" si="2306"/>
        <v>11/11/2025</v>
      </c>
      <c r="K11837">
        <v>45982</v>
      </c>
      <c r="N11837">
        <v>109</v>
      </c>
      <c r="O11837" t="s">
        <v>24</v>
      </c>
      <c r="Q11837">
        <v>841.5</v>
      </c>
      <c r="R11837" t="str">
        <f>"FARMÁCIA INDIANA LJ 209 (10089)"</f>
        <v>FARMÁCIA INDIANA LJ 209 (10089)</v>
      </c>
      <c r="S11837" t="s">
        <v>77</v>
      </c>
      <c r="T11837">
        <v>21347</v>
      </c>
      <c r="U11837">
        <v>25111</v>
      </c>
      <c r="V11837" t="s">
        <v>77</v>
      </c>
    </row>
    <row r="11838" spans="1:22">
      <c r="A11838" t="str">
        <f t="shared" si="2302"/>
        <v>21/11/2025</v>
      </c>
      <c r="B11838" t="str">
        <f t="shared" si="2301"/>
        <v>SAÍDA</v>
      </c>
      <c r="C11838" t="str">
        <f t="shared" si="2303"/>
        <v>PIX</v>
      </c>
      <c r="D11838" t="str">
        <f>"25112"</f>
        <v>25112</v>
      </c>
      <c r="E11838" t="str">
        <f t="shared" si="2305"/>
        <v>1</v>
      </c>
      <c r="F11838" t="str">
        <f t="shared" si="2307"/>
        <v>COM</v>
      </c>
      <c r="G11838" t="str">
        <f>"DAMÁSIO JOSÉ DO NASCIMENTO NETO (147)"</f>
        <v>DAMÁSIO JOSÉ DO NASCIMENTO NETO (147)</v>
      </c>
      <c r="H11838" t="str">
        <f>"Serv.Prest. 03/11/2025 a 09/11/2025 - PIX: CPF - CHAVE: 110.483.296-82"</f>
        <v>Serv.Prest. 03/11/2025 a 09/11/2025 - PIX: CPF - CHAVE: 110.483.296-82</v>
      </c>
      <c r="I11838" t="str">
        <f t="shared" si="2304"/>
        <v>20/11/2025</v>
      </c>
      <c r="J11838" t="str">
        <f t="shared" si="2306"/>
        <v>11/11/2025</v>
      </c>
      <c r="K11838" t="str">
        <f>("21/11/2025")</f>
        <v>21/11/2025</v>
      </c>
      <c r="L11838">
        <v>1152</v>
      </c>
      <c r="M11838">
        <v>1152</v>
      </c>
      <c r="N11838">
        <v>109</v>
      </c>
      <c r="O11838" t="str">
        <f>"PAGAMENTO DE ENTREGADORES"</f>
        <v>PAGAMENTO DE ENTREGADORES</v>
      </c>
      <c r="P11838">
        <v>1152</v>
      </c>
      <c r="S11838" t="str">
        <f>"BANCO C6 (149)"</f>
        <v>BANCO C6 (149)</v>
      </c>
      <c r="T11838">
        <v>21348</v>
      </c>
      <c r="U11838">
        <v>25112</v>
      </c>
      <c r="V11838" t="s">
        <v>77</v>
      </c>
    </row>
    <row r="11839" spans="1:22">
      <c r="A11839" t="str">
        <f t="shared" si="2302"/>
        <v>21/11/2025</v>
      </c>
      <c r="B11839" t="str">
        <f t="shared" si="2301"/>
        <v>SAÍDA</v>
      </c>
      <c r="C11839" t="str">
        <f t="shared" si="2303"/>
        <v>PIX</v>
      </c>
      <c r="D11839" t="str">
        <f>"25112"</f>
        <v>25112</v>
      </c>
      <c r="E11839" t="str">
        <f t="shared" si="2305"/>
        <v>1</v>
      </c>
      <c r="F11839" t="str">
        <f t="shared" si="2307"/>
        <v>COM</v>
      </c>
      <c r="G11839" t="str">
        <f>"DAMÁSIO JOSÉ DO NASCIMENTO NETO (147)"</f>
        <v>DAMÁSIO JOSÉ DO NASCIMENTO NETO (147)</v>
      </c>
      <c r="H11839" t="s">
        <v>3166</v>
      </c>
      <c r="I11839" t="str">
        <f t="shared" si="2304"/>
        <v>20/11/2025</v>
      </c>
      <c r="J11839" t="str">
        <f t="shared" si="2306"/>
        <v>11/11/2025</v>
      </c>
      <c r="K11839">
        <v>45982</v>
      </c>
      <c r="N11839">
        <v>109</v>
      </c>
      <c r="O11839" t="s">
        <v>24</v>
      </c>
      <c r="Q11839">
        <v>1152</v>
      </c>
      <c r="R11839" t="str">
        <f>"FARMÁCIA INDIANA LJ 142 (10066)"</f>
        <v>FARMÁCIA INDIANA LJ 142 (10066)</v>
      </c>
      <c r="S11839" t="s">
        <v>77</v>
      </c>
      <c r="T11839">
        <v>21348</v>
      </c>
      <c r="U11839">
        <v>25112</v>
      </c>
      <c r="V11839" t="s">
        <v>77</v>
      </c>
    </row>
    <row r="11840" spans="1:22">
      <c r="A11840" t="str">
        <f t="shared" si="2302"/>
        <v>21/11/2025</v>
      </c>
      <c r="B11840" t="str">
        <f t="shared" si="2301"/>
        <v>SAÍDA</v>
      </c>
      <c r="C11840" t="str">
        <f t="shared" si="2303"/>
        <v>PIX</v>
      </c>
      <c r="D11840" t="str">
        <f>"25113"</f>
        <v>25113</v>
      </c>
      <c r="E11840" t="str">
        <f t="shared" si="2305"/>
        <v>1</v>
      </c>
      <c r="F11840" t="str">
        <f t="shared" si="2307"/>
        <v>COM</v>
      </c>
      <c r="G11840" t="str">
        <f>"DANILO WASHINGTON DOS SANTOS (770)"</f>
        <v>DANILO WASHINGTON DOS SANTOS (770)</v>
      </c>
      <c r="H11840" t="str">
        <f>"Serv.Prest. 03/11/2025 a 09/11/2025 - PIX: CELULAR - CHAVE: (33) 98749-5105"</f>
        <v>Serv.Prest. 03/11/2025 a 09/11/2025 - PIX: CELULAR - CHAVE: (33) 98749-5105</v>
      </c>
      <c r="I11840" t="str">
        <f t="shared" si="2304"/>
        <v>20/11/2025</v>
      </c>
      <c r="J11840" t="str">
        <f t="shared" si="2306"/>
        <v>11/11/2025</v>
      </c>
      <c r="K11840" t="str">
        <f>("21/11/2025")</f>
        <v>21/11/2025</v>
      </c>
      <c r="L11840">
        <v>900</v>
      </c>
      <c r="M11840">
        <v>900</v>
      </c>
      <c r="N11840">
        <v>109</v>
      </c>
      <c r="O11840" t="str">
        <f>"PAGAMENTO DE ENTREGADORES"</f>
        <v>PAGAMENTO DE ENTREGADORES</v>
      </c>
      <c r="P11840">
        <v>900</v>
      </c>
      <c r="S11840" t="str">
        <f>"BANCO C6 (149)"</f>
        <v>BANCO C6 (149)</v>
      </c>
      <c r="T11840">
        <v>21349</v>
      </c>
      <c r="U11840">
        <v>25113</v>
      </c>
      <c r="V11840" t="s">
        <v>77</v>
      </c>
    </row>
    <row r="11841" spans="1:22">
      <c r="A11841" t="str">
        <f t="shared" si="2302"/>
        <v>21/11/2025</v>
      </c>
      <c r="B11841" t="str">
        <f t="shared" si="2301"/>
        <v>SAÍDA</v>
      </c>
      <c r="C11841" t="str">
        <f t="shared" si="2303"/>
        <v>PIX</v>
      </c>
      <c r="D11841" t="str">
        <f>"25113"</f>
        <v>25113</v>
      </c>
      <c r="E11841" t="str">
        <f t="shared" si="2305"/>
        <v>1</v>
      </c>
      <c r="F11841" t="str">
        <f t="shared" si="2307"/>
        <v>COM</v>
      </c>
      <c r="G11841" t="str">
        <f>"DANILO WASHINGTON DOS SANTOS (770)"</f>
        <v>DANILO WASHINGTON DOS SANTOS (770)</v>
      </c>
      <c r="H11841" t="s">
        <v>3167</v>
      </c>
      <c r="I11841" t="str">
        <f t="shared" si="2304"/>
        <v>20/11/2025</v>
      </c>
      <c r="J11841" t="str">
        <f t="shared" si="2306"/>
        <v>11/11/2025</v>
      </c>
      <c r="K11841">
        <v>45982</v>
      </c>
      <c r="N11841">
        <v>109</v>
      </c>
      <c r="O11841" t="s">
        <v>24</v>
      </c>
      <c r="Q11841">
        <v>900</v>
      </c>
      <c r="R11841" t="str">
        <f>"FARMÁCIA INDIANA LJ 07 (10007)"</f>
        <v>FARMÁCIA INDIANA LJ 07 (10007)</v>
      </c>
      <c r="S11841" t="s">
        <v>77</v>
      </c>
      <c r="T11841">
        <v>21349</v>
      </c>
      <c r="U11841">
        <v>25113</v>
      </c>
      <c r="V11841" t="s">
        <v>77</v>
      </c>
    </row>
    <row r="11842" spans="1:22">
      <c r="A11842" t="str">
        <f t="shared" si="2302"/>
        <v>21/11/2025</v>
      </c>
      <c r="B11842" t="str">
        <f t="shared" si="2301"/>
        <v>SAÍDA</v>
      </c>
      <c r="C11842" t="str">
        <f t="shared" si="2303"/>
        <v>PIX</v>
      </c>
      <c r="D11842" t="str">
        <f>"25114"</f>
        <v>25114</v>
      </c>
      <c r="E11842" t="str">
        <f t="shared" si="2305"/>
        <v>1</v>
      </c>
      <c r="F11842" t="str">
        <f t="shared" si="2307"/>
        <v>COM</v>
      </c>
      <c r="G11842" t="str">
        <f>"DANTE SOARES DA SILVA (416)"</f>
        <v>DANTE SOARES DA SILVA (416)</v>
      </c>
      <c r="H11842" t="str">
        <f>"Serv.Prest. 03/11/2025 a 09/11/2025 - PIX: CELULAR - CHAVE: (33) 99802-1883"</f>
        <v>Serv.Prest. 03/11/2025 a 09/11/2025 - PIX: CELULAR - CHAVE: (33) 99802-1883</v>
      </c>
      <c r="I11842" t="str">
        <f t="shared" si="2304"/>
        <v>20/11/2025</v>
      </c>
      <c r="J11842" t="str">
        <f t="shared" si="2306"/>
        <v>11/11/2025</v>
      </c>
      <c r="K11842" t="str">
        <f>("21/11/2025")</f>
        <v>21/11/2025</v>
      </c>
      <c r="L11842">
        <v>485.1</v>
      </c>
      <c r="M11842">
        <v>485.1</v>
      </c>
      <c r="N11842">
        <v>109</v>
      </c>
      <c r="O11842" t="str">
        <f>"PAGAMENTO DE ENTREGADORES"</f>
        <v>PAGAMENTO DE ENTREGADORES</v>
      </c>
      <c r="P11842">
        <v>485.1</v>
      </c>
      <c r="S11842" t="str">
        <f>"BANCO C6 (149)"</f>
        <v>BANCO C6 (149)</v>
      </c>
      <c r="T11842">
        <v>21350</v>
      </c>
      <c r="U11842">
        <v>25114</v>
      </c>
      <c r="V11842" t="s">
        <v>77</v>
      </c>
    </row>
    <row r="11843" spans="1:22">
      <c r="A11843" t="str">
        <f t="shared" si="2302"/>
        <v>21/11/2025</v>
      </c>
      <c r="B11843" t="str">
        <f t="shared" si="2301"/>
        <v>SAÍDA</v>
      </c>
      <c r="C11843" t="str">
        <f t="shared" si="2303"/>
        <v>PIX</v>
      </c>
      <c r="D11843" t="str">
        <f>"25114"</f>
        <v>25114</v>
      </c>
      <c r="E11843" t="str">
        <f t="shared" si="2305"/>
        <v>1</v>
      </c>
      <c r="F11843" t="str">
        <f t="shared" si="2307"/>
        <v>COM</v>
      </c>
      <c r="G11843" t="str">
        <f>"DANTE SOARES DA SILVA (416)"</f>
        <v>DANTE SOARES DA SILVA (416)</v>
      </c>
      <c r="H11843" t="s">
        <v>3168</v>
      </c>
      <c r="I11843" t="str">
        <f t="shared" si="2304"/>
        <v>20/11/2025</v>
      </c>
      <c r="J11843" t="str">
        <f t="shared" si="2306"/>
        <v>11/11/2025</v>
      </c>
      <c r="K11843">
        <v>45982</v>
      </c>
      <c r="N11843">
        <v>109</v>
      </c>
      <c r="O11843" t="s">
        <v>24</v>
      </c>
      <c r="Q11843">
        <v>485.1</v>
      </c>
      <c r="R11843" t="str">
        <f>"FARMÁCIA INDIANA LJ 59 (10026)"</f>
        <v>FARMÁCIA INDIANA LJ 59 (10026)</v>
      </c>
      <c r="S11843" t="s">
        <v>77</v>
      </c>
      <c r="T11843">
        <v>21350</v>
      </c>
      <c r="U11843">
        <v>25114</v>
      </c>
      <c r="V11843" t="s">
        <v>77</v>
      </c>
    </row>
    <row r="11844" spans="1:22">
      <c r="A11844" t="str">
        <f t="shared" si="2302"/>
        <v>21/11/2025</v>
      </c>
      <c r="B11844" t="str">
        <f t="shared" si="2301"/>
        <v>SAÍDA</v>
      </c>
      <c r="C11844" t="str">
        <f t="shared" si="2303"/>
        <v>PIX</v>
      </c>
      <c r="D11844" t="str">
        <f>"25116"</f>
        <v>25116</v>
      </c>
      <c r="E11844" t="str">
        <f t="shared" si="2305"/>
        <v>1</v>
      </c>
      <c r="F11844" t="str">
        <f t="shared" si="2307"/>
        <v>COM</v>
      </c>
      <c r="G11844" t="str">
        <f>"DEVANILDO PONTES CASAGRANDE (179)"</f>
        <v>DEVANILDO PONTES CASAGRANDE (179)</v>
      </c>
      <c r="H11844" t="str">
        <f>"Serv.Prest. 03/11/2025 a 09/11/2025 - PIX: CELULAR - CHAVE: (31) 99610-7049"</f>
        <v>Serv.Prest. 03/11/2025 a 09/11/2025 - PIX: CELULAR - CHAVE: (31) 99610-7049</v>
      </c>
      <c r="I11844" t="str">
        <f t="shared" si="2304"/>
        <v>20/11/2025</v>
      </c>
      <c r="J11844" t="str">
        <f t="shared" si="2306"/>
        <v>11/11/2025</v>
      </c>
      <c r="K11844" t="str">
        <f>("21/11/2025")</f>
        <v>21/11/2025</v>
      </c>
      <c r="L11844">
        <v>702</v>
      </c>
      <c r="M11844">
        <v>702</v>
      </c>
      <c r="N11844">
        <v>109</v>
      </c>
      <c r="O11844" t="str">
        <f>"PAGAMENTO DE ENTREGADORES"</f>
        <v>PAGAMENTO DE ENTREGADORES</v>
      </c>
      <c r="P11844">
        <v>702</v>
      </c>
      <c r="S11844" t="str">
        <f>"BANCO C6 (149)"</f>
        <v>BANCO C6 (149)</v>
      </c>
      <c r="T11844">
        <v>21351</v>
      </c>
      <c r="U11844">
        <v>25116</v>
      </c>
      <c r="V11844" t="s">
        <v>77</v>
      </c>
    </row>
    <row r="11845" spans="1:22">
      <c r="A11845" t="str">
        <f t="shared" si="2302"/>
        <v>21/11/2025</v>
      </c>
      <c r="B11845" t="str">
        <f t="shared" ref="B11845:B11908" si="2308">"SAÍDA"</f>
        <v>SAÍDA</v>
      </c>
      <c r="C11845" t="str">
        <f t="shared" si="2303"/>
        <v>PIX</v>
      </c>
      <c r="D11845" t="str">
        <f>"25116"</f>
        <v>25116</v>
      </c>
      <c r="E11845" t="str">
        <f t="shared" si="2305"/>
        <v>1</v>
      </c>
      <c r="F11845" t="str">
        <f t="shared" si="2307"/>
        <v>COM</v>
      </c>
      <c r="G11845" t="str">
        <f>"DEVANILDO PONTES CASAGRANDE (179)"</f>
        <v>DEVANILDO PONTES CASAGRANDE (179)</v>
      </c>
      <c r="H11845" t="s">
        <v>3169</v>
      </c>
      <c r="I11845" t="str">
        <f t="shared" si="2304"/>
        <v>20/11/2025</v>
      </c>
      <c r="J11845" t="str">
        <f t="shared" si="2306"/>
        <v>11/11/2025</v>
      </c>
      <c r="K11845">
        <v>45982</v>
      </c>
      <c r="N11845">
        <v>109</v>
      </c>
      <c r="O11845" t="s">
        <v>24</v>
      </c>
      <c r="Q11845">
        <v>702</v>
      </c>
      <c r="R11845" t="str">
        <f>"FARMÁCIA INDIANA LJ 142 (10066)"</f>
        <v>FARMÁCIA INDIANA LJ 142 (10066)</v>
      </c>
      <c r="S11845" t="s">
        <v>77</v>
      </c>
      <c r="T11845">
        <v>21351</v>
      </c>
      <c r="U11845">
        <v>25116</v>
      </c>
      <c r="V11845" t="s">
        <v>77</v>
      </c>
    </row>
    <row r="11846" spans="1:22">
      <c r="A11846" t="str">
        <f t="shared" si="2302"/>
        <v>21/11/2025</v>
      </c>
      <c r="B11846" t="str">
        <f t="shared" si="2308"/>
        <v>SAÍDA</v>
      </c>
      <c r="C11846" t="str">
        <f t="shared" si="2303"/>
        <v>PIX</v>
      </c>
      <c r="D11846" t="str">
        <f>"25117"</f>
        <v>25117</v>
      </c>
      <c r="E11846" t="str">
        <f t="shared" si="2305"/>
        <v>1</v>
      </c>
      <c r="F11846" t="str">
        <f t="shared" si="2307"/>
        <v>COM</v>
      </c>
      <c r="G11846" t="str">
        <f>"DIEGO DIRLEY RIBEIRO (38)"</f>
        <v>DIEGO DIRLEY RIBEIRO (38)</v>
      </c>
      <c r="H11846" t="str">
        <f>"Serv.Prest. 03/11/2025 a 09/11/2025 - PIX: CPF - CHAVE: 102.023.716-38"</f>
        <v>Serv.Prest. 03/11/2025 a 09/11/2025 - PIX: CPF - CHAVE: 102.023.716-38</v>
      </c>
      <c r="I11846" t="str">
        <f t="shared" si="2304"/>
        <v>20/11/2025</v>
      </c>
      <c r="J11846" t="str">
        <f t="shared" si="2306"/>
        <v>11/11/2025</v>
      </c>
      <c r="K11846" t="str">
        <f>("21/11/2025")</f>
        <v>21/11/2025</v>
      </c>
      <c r="L11846">
        <v>1530</v>
      </c>
      <c r="M11846">
        <v>1530</v>
      </c>
      <c r="N11846">
        <v>109</v>
      </c>
      <c r="O11846" t="str">
        <f>"PAGAMENTO DE ENTREGADORES"</f>
        <v>PAGAMENTO DE ENTREGADORES</v>
      </c>
      <c r="P11846">
        <v>1530</v>
      </c>
      <c r="S11846" t="str">
        <f>"BANCO C6 (149)"</f>
        <v>BANCO C6 (149)</v>
      </c>
      <c r="T11846">
        <v>21352</v>
      </c>
      <c r="U11846">
        <v>25117</v>
      </c>
      <c r="V11846" t="s">
        <v>77</v>
      </c>
    </row>
    <row r="11847" spans="1:22">
      <c r="A11847" t="str">
        <f t="shared" si="2302"/>
        <v>21/11/2025</v>
      </c>
      <c r="B11847" t="str">
        <f t="shared" si="2308"/>
        <v>SAÍDA</v>
      </c>
      <c r="C11847" t="str">
        <f t="shared" si="2303"/>
        <v>PIX</v>
      </c>
      <c r="D11847" t="str">
        <f>"25117"</f>
        <v>25117</v>
      </c>
      <c r="E11847" t="str">
        <f t="shared" si="2305"/>
        <v>1</v>
      </c>
      <c r="F11847" t="str">
        <f t="shared" si="2307"/>
        <v>COM</v>
      </c>
      <c r="G11847" t="str">
        <f>"DIEGO DIRLEY RIBEIRO (38)"</f>
        <v>DIEGO DIRLEY RIBEIRO (38)</v>
      </c>
      <c r="H11847" t="s">
        <v>3170</v>
      </c>
      <c r="I11847" t="str">
        <f t="shared" si="2304"/>
        <v>20/11/2025</v>
      </c>
      <c r="J11847" t="str">
        <f t="shared" si="2306"/>
        <v>11/11/2025</v>
      </c>
      <c r="K11847">
        <v>45982</v>
      </c>
      <c r="N11847">
        <v>109</v>
      </c>
      <c r="O11847" t="s">
        <v>24</v>
      </c>
      <c r="Q11847">
        <v>1530</v>
      </c>
      <c r="R11847" t="str">
        <f>"FARMÁCIA INDIANA LJ 172 (10161)"</f>
        <v>FARMÁCIA INDIANA LJ 172 (10161)</v>
      </c>
      <c r="S11847" t="s">
        <v>77</v>
      </c>
      <c r="T11847">
        <v>21352</v>
      </c>
      <c r="U11847">
        <v>25117</v>
      </c>
      <c r="V11847" t="s">
        <v>77</v>
      </c>
    </row>
    <row r="11848" spans="1:22">
      <c r="A11848" t="str">
        <f t="shared" si="2302"/>
        <v>21/11/2025</v>
      </c>
      <c r="B11848" t="str">
        <f t="shared" si="2308"/>
        <v>SAÍDA</v>
      </c>
      <c r="C11848" t="str">
        <f t="shared" si="2303"/>
        <v>PIX</v>
      </c>
      <c r="D11848" t="str">
        <f>"25118"</f>
        <v>25118</v>
      </c>
      <c r="E11848" t="str">
        <f t="shared" si="2305"/>
        <v>1</v>
      </c>
      <c r="F11848" t="str">
        <f t="shared" si="2307"/>
        <v>COM</v>
      </c>
      <c r="G11848" t="str">
        <f>"DIONE OLIVEIRA SILVA (214)"</f>
        <v>DIONE OLIVEIRA SILVA (214)</v>
      </c>
      <c r="H11848" t="str">
        <f>"Serv.Prest. 03/11/2025 a 09/11/2025 - PIX: CELULAR - CHAVE: (33) 98890-5095"</f>
        <v>Serv.Prest. 03/11/2025 a 09/11/2025 - PIX: CELULAR - CHAVE: (33) 98890-5095</v>
      </c>
      <c r="I11848" t="str">
        <f t="shared" si="2304"/>
        <v>20/11/2025</v>
      </c>
      <c r="J11848" t="str">
        <f t="shared" si="2306"/>
        <v>11/11/2025</v>
      </c>
      <c r="K11848" t="str">
        <f>("21/11/2025")</f>
        <v>21/11/2025</v>
      </c>
      <c r="L11848">
        <v>1698</v>
      </c>
      <c r="M11848">
        <v>1698</v>
      </c>
      <c r="N11848">
        <v>109</v>
      </c>
      <c r="O11848" t="str">
        <f>"PAGAMENTO DE ENTREGADORES"</f>
        <v>PAGAMENTO DE ENTREGADORES</v>
      </c>
      <c r="P11848">
        <v>1698</v>
      </c>
      <c r="S11848" t="str">
        <f>"BANCO C6 (149)"</f>
        <v>BANCO C6 (149)</v>
      </c>
      <c r="T11848">
        <v>21353</v>
      </c>
      <c r="U11848">
        <v>25118</v>
      </c>
      <c r="V11848" t="s">
        <v>77</v>
      </c>
    </row>
    <row r="11849" spans="1:22">
      <c r="A11849" t="str">
        <f t="shared" si="2302"/>
        <v>21/11/2025</v>
      </c>
      <c r="B11849" t="str">
        <f t="shared" si="2308"/>
        <v>SAÍDA</v>
      </c>
      <c r="C11849" t="str">
        <f t="shared" si="2303"/>
        <v>PIX</v>
      </c>
      <c r="D11849" t="str">
        <f>"25118"</f>
        <v>25118</v>
      </c>
      <c r="E11849" t="str">
        <f t="shared" si="2305"/>
        <v>1</v>
      </c>
      <c r="F11849" t="str">
        <f t="shared" si="2307"/>
        <v>COM</v>
      </c>
      <c r="G11849" t="str">
        <f>"DIONE OLIVEIRA SILVA (214)"</f>
        <v>DIONE OLIVEIRA SILVA (214)</v>
      </c>
      <c r="H11849" t="s">
        <v>3171</v>
      </c>
      <c r="I11849" t="str">
        <f t="shared" si="2304"/>
        <v>20/11/2025</v>
      </c>
      <c r="J11849" t="str">
        <f t="shared" si="2306"/>
        <v>11/11/2025</v>
      </c>
      <c r="K11849">
        <v>45982</v>
      </c>
      <c r="N11849">
        <v>109</v>
      </c>
      <c r="O11849" t="s">
        <v>24</v>
      </c>
      <c r="Q11849">
        <v>1698</v>
      </c>
      <c r="R11849" t="str">
        <f>"FARMÁCIA INDIANA LJ 14 (10009)"</f>
        <v>FARMÁCIA INDIANA LJ 14 (10009)</v>
      </c>
      <c r="S11849" t="s">
        <v>77</v>
      </c>
      <c r="T11849">
        <v>21353</v>
      </c>
      <c r="U11849">
        <v>25118</v>
      </c>
      <c r="V11849" t="s">
        <v>77</v>
      </c>
    </row>
    <row r="11850" spans="1:22">
      <c r="A11850" t="str">
        <f t="shared" si="2302"/>
        <v>21/11/2025</v>
      </c>
      <c r="B11850" t="str">
        <f t="shared" si="2308"/>
        <v>SAÍDA</v>
      </c>
      <c r="C11850" t="str">
        <f t="shared" si="2303"/>
        <v>PIX</v>
      </c>
      <c r="D11850" t="str">
        <f>"25119"</f>
        <v>25119</v>
      </c>
      <c r="E11850" t="str">
        <f t="shared" si="2305"/>
        <v>1</v>
      </c>
      <c r="F11850" t="str">
        <f t="shared" si="2307"/>
        <v>COM</v>
      </c>
      <c r="G11850" t="str">
        <f>"EDIONIO CARVALHO DA SILVA (920)"</f>
        <v>EDIONIO CARVALHO DA SILVA (920)</v>
      </c>
      <c r="H11850" t="str">
        <f>"Serv.Prest. 03/11/2025 a 09/11/2025 - PIX: CELULAR - CHAVE: (33) 99199-7983"</f>
        <v>Serv.Prest. 03/11/2025 a 09/11/2025 - PIX: CELULAR - CHAVE: (33) 99199-7983</v>
      </c>
      <c r="I11850" t="str">
        <f t="shared" si="2304"/>
        <v>20/11/2025</v>
      </c>
      <c r="J11850" t="str">
        <f t="shared" si="2306"/>
        <v>11/11/2025</v>
      </c>
      <c r="K11850" t="str">
        <f>("21/11/2025")</f>
        <v>21/11/2025</v>
      </c>
      <c r="L11850">
        <v>750</v>
      </c>
      <c r="M11850">
        <v>750</v>
      </c>
      <c r="N11850">
        <v>109</v>
      </c>
      <c r="O11850" t="str">
        <f>"PAGAMENTO DE ENTREGADORES"</f>
        <v>PAGAMENTO DE ENTREGADORES</v>
      </c>
      <c r="P11850">
        <v>750</v>
      </c>
      <c r="S11850" t="str">
        <f>"BANCO C6 (149)"</f>
        <v>BANCO C6 (149)</v>
      </c>
      <c r="T11850">
        <v>21354</v>
      </c>
      <c r="U11850">
        <v>25119</v>
      </c>
      <c r="V11850" t="s">
        <v>77</v>
      </c>
    </row>
    <row r="11851" spans="1:22">
      <c r="A11851" t="str">
        <f t="shared" si="2302"/>
        <v>21/11/2025</v>
      </c>
      <c r="B11851" t="str">
        <f t="shared" si="2308"/>
        <v>SAÍDA</v>
      </c>
      <c r="C11851" t="str">
        <f t="shared" si="2303"/>
        <v>PIX</v>
      </c>
      <c r="D11851" t="str">
        <f>"25119"</f>
        <v>25119</v>
      </c>
      <c r="E11851" t="str">
        <f t="shared" si="2305"/>
        <v>1</v>
      </c>
      <c r="F11851" t="str">
        <f t="shared" si="2307"/>
        <v>COM</v>
      </c>
      <c r="G11851" t="str">
        <f>"EDIONIO CARVALHO DA SILVA (920)"</f>
        <v>EDIONIO CARVALHO DA SILVA (920)</v>
      </c>
      <c r="H11851" t="s">
        <v>3172</v>
      </c>
      <c r="I11851" t="str">
        <f t="shared" si="2304"/>
        <v>20/11/2025</v>
      </c>
      <c r="J11851" t="str">
        <f t="shared" si="2306"/>
        <v>11/11/2025</v>
      </c>
      <c r="K11851">
        <v>45982</v>
      </c>
      <c r="N11851">
        <v>109</v>
      </c>
      <c r="O11851" t="s">
        <v>24</v>
      </c>
      <c r="Q11851">
        <v>750</v>
      </c>
      <c r="R11851" t="str">
        <f>"FARMÁCIA INDIANA LJ 171 (10074)"</f>
        <v>FARMÁCIA INDIANA LJ 171 (10074)</v>
      </c>
      <c r="S11851" t="s">
        <v>77</v>
      </c>
      <c r="T11851">
        <v>21354</v>
      </c>
      <c r="U11851">
        <v>25119</v>
      </c>
      <c r="V11851" t="s">
        <v>77</v>
      </c>
    </row>
    <row r="11852" spans="1:22">
      <c r="A11852" t="str">
        <f t="shared" si="2302"/>
        <v>21/11/2025</v>
      </c>
      <c r="B11852" t="str">
        <f t="shared" si="2308"/>
        <v>SAÍDA</v>
      </c>
      <c r="C11852" t="str">
        <f t="shared" si="2303"/>
        <v>PIX</v>
      </c>
      <c r="D11852" t="str">
        <f>"25120"</f>
        <v>25120</v>
      </c>
      <c r="E11852" t="str">
        <f t="shared" si="2305"/>
        <v>1</v>
      </c>
      <c r="F11852" t="str">
        <f t="shared" si="2307"/>
        <v>COM</v>
      </c>
      <c r="G11852" t="str">
        <f>"EDSON JUNIOR FERREIRA DA SILVA (99)"</f>
        <v>EDSON JUNIOR FERREIRA DA SILVA (99)</v>
      </c>
      <c r="H11852" t="str">
        <f>"Serv.Prest. 03/11/2025 a 09/11/2025 - PIX: CPF - CHAVE: 141.134.256-98"</f>
        <v>Serv.Prest. 03/11/2025 a 09/11/2025 - PIX: CPF - CHAVE: 141.134.256-98</v>
      </c>
      <c r="I11852" t="str">
        <f t="shared" si="2304"/>
        <v>20/11/2025</v>
      </c>
      <c r="J11852" t="str">
        <f t="shared" si="2306"/>
        <v>11/11/2025</v>
      </c>
      <c r="K11852" t="str">
        <f>("21/11/2025")</f>
        <v>21/11/2025</v>
      </c>
      <c r="L11852">
        <v>700.7</v>
      </c>
      <c r="M11852">
        <v>700.7</v>
      </c>
      <c r="N11852">
        <v>109</v>
      </c>
      <c r="O11852" t="str">
        <f>"PAGAMENTO DE ENTREGADORES"</f>
        <v>PAGAMENTO DE ENTREGADORES</v>
      </c>
      <c r="P11852">
        <v>700.7</v>
      </c>
      <c r="S11852" t="str">
        <f>"BANCO C6 (149)"</f>
        <v>BANCO C6 (149)</v>
      </c>
      <c r="T11852">
        <v>21355</v>
      </c>
      <c r="U11852">
        <v>25120</v>
      </c>
      <c r="V11852" t="s">
        <v>77</v>
      </c>
    </row>
    <row r="11853" spans="1:22">
      <c r="A11853" t="str">
        <f t="shared" si="2302"/>
        <v>21/11/2025</v>
      </c>
      <c r="B11853" t="str">
        <f t="shared" si="2308"/>
        <v>SAÍDA</v>
      </c>
      <c r="C11853" t="str">
        <f t="shared" si="2303"/>
        <v>PIX</v>
      </c>
      <c r="D11853" t="str">
        <f>"25120"</f>
        <v>25120</v>
      </c>
      <c r="E11853" t="str">
        <f t="shared" si="2305"/>
        <v>1</v>
      </c>
      <c r="F11853" t="str">
        <f t="shared" si="2307"/>
        <v>COM</v>
      </c>
      <c r="G11853" t="str">
        <f>"EDSON JUNIOR FERREIRA DA SILVA (99)"</f>
        <v>EDSON JUNIOR FERREIRA DA SILVA (99)</v>
      </c>
      <c r="H11853" t="s">
        <v>3173</v>
      </c>
      <c r="I11853" t="str">
        <f t="shared" si="2304"/>
        <v>20/11/2025</v>
      </c>
      <c r="J11853" t="str">
        <f t="shared" si="2306"/>
        <v>11/11/2025</v>
      </c>
      <c r="K11853">
        <v>45982</v>
      </c>
      <c r="N11853">
        <v>109</v>
      </c>
      <c r="O11853" t="s">
        <v>24</v>
      </c>
      <c r="Q11853">
        <v>700.7</v>
      </c>
      <c r="R11853" t="str">
        <f>"FARMÁCIA INDIANA LJ 100 (10042)"</f>
        <v>FARMÁCIA INDIANA LJ 100 (10042)</v>
      </c>
      <c r="S11853" t="s">
        <v>77</v>
      </c>
      <c r="T11853">
        <v>21355</v>
      </c>
      <c r="U11853">
        <v>25120</v>
      </c>
      <c r="V11853" t="s">
        <v>77</v>
      </c>
    </row>
    <row r="11854" spans="1:22">
      <c r="A11854" t="str">
        <f t="shared" ref="A11854:A11917" si="2309">("21/11/2025")</f>
        <v>21/11/2025</v>
      </c>
      <c r="B11854" t="str">
        <f t="shared" si="2308"/>
        <v>SAÍDA</v>
      </c>
      <c r="C11854" t="str">
        <f t="shared" si="2303"/>
        <v>PIX</v>
      </c>
      <c r="D11854" t="str">
        <f>"25121"</f>
        <v>25121</v>
      </c>
      <c r="E11854" t="str">
        <f t="shared" si="2305"/>
        <v>1</v>
      </c>
      <c r="F11854" t="str">
        <f t="shared" si="2307"/>
        <v>COM</v>
      </c>
      <c r="G11854" t="str">
        <f>"EUDES PIMENTA (368)"</f>
        <v>EUDES PIMENTA (368)</v>
      </c>
      <c r="H11854" t="str">
        <f>"Serv.Prest. 03/11/2025 a 09/11/2025 - PIX: CPF - CHAVE: 070.073.316-70"</f>
        <v>Serv.Prest. 03/11/2025 a 09/11/2025 - PIX: CPF - CHAVE: 070.073.316-70</v>
      </c>
      <c r="I11854" t="str">
        <f t="shared" si="2304"/>
        <v>20/11/2025</v>
      </c>
      <c r="J11854" t="str">
        <f t="shared" si="2306"/>
        <v>11/11/2025</v>
      </c>
      <c r="K11854" t="str">
        <f>("21/11/2025")</f>
        <v>21/11/2025</v>
      </c>
      <c r="L11854">
        <v>1080</v>
      </c>
      <c r="M11854">
        <v>1080</v>
      </c>
      <c r="N11854">
        <v>109</v>
      </c>
      <c r="O11854" t="str">
        <f>"PAGAMENTO DE ENTREGADORES"</f>
        <v>PAGAMENTO DE ENTREGADORES</v>
      </c>
      <c r="P11854">
        <v>1080</v>
      </c>
      <c r="S11854" t="str">
        <f>"BANCO C6 (149)"</f>
        <v>BANCO C6 (149)</v>
      </c>
      <c r="T11854">
        <v>21356</v>
      </c>
      <c r="U11854">
        <v>25121</v>
      </c>
      <c r="V11854" t="s">
        <v>77</v>
      </c>
    </row>
    <row r="11855" spans="1:22">
      <c r="A11855" t="str">
        <f t="shared" si="2309"/>
        <v>21/11/2025</v>
      </c>
      <c r="B11855" t="str">
        <f t="shared" si="2308"/>
        <v>SAÍDA</v>
      </c>
      <c r="C11855" t="str">
        <f t="shared" si="2303"/>
        <v>PIX</v>
      </c>
      <c r="D11855" t="str">
        <f>"25121"</f>
        <v>25121</v>
      </c>
      <c r="E11855" t="str">
        <f t="shared" si="2305"/>
        <v>1</v>
      </c>
      <c r="F11855" t="str">
        <f t="shared" si="2307"/>
        <v>COM</v>
      </c>
      <c r="G11855" t="str">
        <f>"EUDES PIMENTA (368)"</f>
        <v>EUDES PIMENTA (368)</v>
      </c>
      <c r="H11855" t="s">
        <v>3174</v>
      </c>
      <c r="I11855" t="str">
        <f t="shared" si="2304"/>
        <v>20/11/2025</v>
      </c>
      <c r="J11855" t="str">
        <f t="shared" si="2306"/>
        <v>11/11/2025</v>
      </c>
      <c r="K11855">
        <v>45982</v>
      </c>
      <c r="N11855">
        <v>109</v>
      </c>
      <c r="O11855" t="s">
        <v>24</v>
      </c>
      <c r="Q11855">
        <v>1080</v>
      </c>
      <c r="R11855" t="str">
        <f>"FARMÁCIA INDIANA LJ 06 (10006)"</f>
        <v>FARMÁCIA INDIANA LJ 06 (10006)</v>
      </c>
      <c r="S11855" t="s">
        <v>77</v>
      </c>
      <c r="T11855">
        <v>21356</v>
      </c>
      <c r="U11855">
        <v>25121</v>
      </c>
      <c r="V11855" t="s">
        <v>77</v>
      </c>
    </row>
    <row r="11856" spans="1:22">
      <c r="A11856" t="str">
        <f t="shared" si="2309"/>
        <v>21/11/2025</v>
      </c>
      <c r="B11856" t="str">
        <f t="shared" si="2308"/>
        <v>SAÍDA</v>
      </c>
      <c r="C11856" t="str">
        <f t="shared" si="2303"/>
        <v>PIX</v>
      </c>
      <c r="D11856" t="str">
        <f>"25123"</f>
        <v>25123</v>
      </c>
      <c r="E11856" t="str">
        <f t="shared" si="2305"/>
        <v>1</v>
      </c>
      <c r="F11856" t="str">
        <f t="shared" si="2307"/>
        <v>COM</v>
      </c>
      <c r="G11856" t="str">
        <f>"FABRICIO RAMON SOARES SANTOS (645)"</f>
        <v>FABRICIO RAMON SOARES SANTOS (645)</v>
      </c>
      <c r="H11856" t="str">
        <f>"Serv.Prest. 03/11/2025 a 09/11/2025 - PIX: CELULAR - CHAVE: (31) 98483-3242"</f>
        <v>Serv.Prest. 03/11/2025 a 09/11/2025 - PIX: CELULAR - CHAVE: (31) 98483-3242</v>
      </c>
      <c r="I11856" t="str">
        <f t="shared" si="2304"/>
        <v>20/11/2025</v>
      </c>
      <c r="J11856" t="str">
        <f t="shared" si="2306"/>
        <v>11/11/2025</v>
      </c>
      <c r="K11856" t="str">
        <f>("21/11/2025")</f>
        <v>21/11/2025</v>
      </c>
      <c r="L11856">
        <v>1392</v>
      </c>
      <c r="M11856">
        <v>1392</v>
      </c>
      <c r="N11856">
        <v>109</v>
      </c>
      <c r="O11856" t="str">
        <f>"PAGAMENTO DE ENTREGADORES"</f>
        <v>PAGAMENTO DE ENTREGADORES</v>
      </c>
      <c r="P11856">
        <v>1392</v>
      </c>
      <c r="S11856" t="str">
        <f>"BANCO C6 (149)"</f>
        <v>BANCO C6 (149)</v>
      </c>
      <c r="T11856">
        <v>21357</v>
      </c>
      <c r="U11856">
        <v>25123</v>
      </c>
      <c r="V11856" t="s">
        <v>77</v>
      </c>
    </row>
    <row r="11857" spans="1:22">
      <c r="A11857" t="str">
        <f t="shared" si="2309"/>
        <v>21/11/2025</v>
      </c>
      <c r="B11857" t="str">
        <f t="shared" si="2308"/>
        <v>SAÍDA</v>
      </c>
      <c r="C11857" t="str">
        <f t="shared" si="2303"/>
        <v>PIX</v>
      </c>
      <c r="D11857" t="str">
        <f>"25123"</f>
        <v>25123</v>
      </c>
      <c r="E11857" t="str">
        <f t="shared" si="2305"/>
        <v>1</v>
      </c>
      <c r="F11857" t="str">
        <f t="shared" si="2307"/>
        <v>COM</v>
      </c>
      <c r="G11857" t="str">
        <f>"FABRICIO RAMON SOARES SANTOS (645)"</f>
        <v>FABRICIO RAMON SOARES SANTOS (645)</v>
      </c>
      <c r="H11857" t="s">
        <v>3175</v>
      </c>
      <c r="I11857" t="str">
        <f t="shared" si="2304"/>
        <v>20/11/2025</v>
      </c>
      <c r="J11857" t="str">
        <f t="shared" si="2306"/>
        <v>11/11/2025</v>
      </c>
      <c r="K11857">
        <v>45982</v>
      </c>
      <c r="N11857">
        <v>109</v>
      </c>
      <c r="O11857" t="s">
        <v>24</v>
      </c>
      <c r="Q11857">
        <v>1392</v>
      </c>
      <c r="R11857" t="str">
        <f>"FARMÁCIA INDIANA LJ 101 (10043)"</f>
        <v>FARMÁCIA INDIANA LJ 101 (10043)</v>
      </c>
      <c r="S11857" t="s">
        <v>77</v>
      </c>
      <c r="T11857">
        <v>21357</v>
      </c>
      <c r="U11857">
        <v>25123</v>
      </c>
      <c r="V11857" t="s">
        <v>77</v>
      </c>
    </row>
    <row r="11858" spans="1:22">
      <c r="A11858" t="str">
        <f t="shared" si="2309"/>
        <v>21/11/2025</v>
      </c>
      <c r="B11858" t="str">
        <f t="shared" si="2308"/>
        <v>SAÍDA</v>
      </c>
      <c r="C11858" t="str">
        <f t="shared" si="2303"/>
        <v>PIX</v>
      </c>
      <c r="D11858" t="str">
        <f>"25124"</f>
        <v>25124</v>
      </c>
      <c r="E11858" t="str">
        <f t="shared" si="2305"/>
        <v>1</v>
      </c>
      <c r="F11858" t="str">
        <f t="shared" si="2307"/>
        <v>COM</v>
      </c>
      <c r="G11858" t="str">
        <f>"GABRIEL DA SILVA REIS (824)"</f>
        <v>GABRIEL DA SILVA REIS (824)</v>
      </c>
      <c r="H11858" t="str">
        <f>"Serv.Prest. 03/11/2025 a 09/11/2025 - PIX: CPF - CHAVE: 160.160.216-28"</f>
        <v>Serv.Prest. 03/11/2025 a 09/11/2025 - PIX: CPF - CHAVE: 160.160.216-28</v>
      </c>
      <c r="I11858" t="str">
        <f t="shared" si="2304"/>
        <v>20/11/2025</v>
      </c>
      <c r="J11858" t="str">
        <f t="shared" si="2306"/>
        <v>11/11/2025</v>
      </c>
      <c r="K11858" t="str">
        <f>("21/11/2025")</f>
        <v>21/11/2025</v>
      </c>
      <c r="L11858">
        <v>700.7</v>
      </c>
      <c r="M11858">
        <v>700.7</v>
      </c>
      <c r="N11858">
        <v>109</v>
      </c>
      <c r="O11858" t="str">
        <f>"PAGAMENTO DE ENTREGADORES"</f>
        <v>PAGAMENTO DE ENTREGADORES</v>
      </c>
      <c r="P11858">
        <v>700.7</v>
      </c>
      <c r="S11858" t="str">
        <f>"BANCO C6 (149)"</f>
        <v>BANCO C6 (149)</v>
      </c>
      <c r="T11858">
        <v>21358</v>
      </c>
      <c r="U11858">
        <v>25124</v>
      </c>
      <c r="V11858" t="s">
        <v>77</v>
      </c>
    </row>
    <row r="11859" spans="1:22">
      <c r="A11859" t="str">
        <f t="shared" si="2309"/>
        <v>21/11/2025</v>
      </c>
      <c r="B11859" t="str">
        <f t="shared" si="2308"/>
        <v>SAÍDA</v>
      </c>
      <c r="C11859" t="str">
        <f t="shared" si="2303"/>
        <v>PIX</v>
      </c>
      <c r="D11859" t="str">
        <f>"25124"</f>
        <v>25124</v>
      </c>
      <c r="E11859" t="str">
        <f t="shared" si="2305"/>
        <v>1</v>
      </c>
      <c r="F11859" t="str">
        <f t="shared" si="2307"/>
        <v>COM</v>
      </c>
      <c r="G11859" t="str">
        <f>"GABRIEL DA SILVA REIS (824)"</f>
        <v>GABRIEL DA SILVA REIS (824)</v>
      </c>
      <c r="H11859" t="s">
        <v>3176</v>
      </c>
      <c r="I11859" t="str">
        <f t="shared" si="2304"/>
        <v>20/11/2025</v>
      </c>
      <c r="J11859" t="str">
        <f t="shared" si="2306"/>
        <v>11/11/2025</v>
      </c>
      <c r="K11859">
        <v>45982</v>
      </c>
      <c r="N11859">
        <v>109</v>
      </c>
      <c r="O11859" t="s">
        <v>24</v>
      </c>
      <c r="Q11859">
        <v>700.7</v>
      </c>
      <c r="R11859" t="str">
        <f>"FARMÁCIA INDIANA LJ 100 (10042)"</f>
        <v>FARMÁCIA INDIANA LJ 100 (10042)</v>
      </c>
      <c r="S11859" t="s">
        <v>77</v>
      </c>
      <c r="T11859">
        <v>21358</v>
      </c>
      <c r="U11859">
        <v>25124</v>
      </c>
      <c r="V11859" t="s">
        <v>77</v>
      </c>
    </row>
    <row r="11860" spans="1:22">
      <c r="A11860" t="str">
        <f t="shared" si="2309"/>
        <v>21/11/2025</v>
      </c>
      <c r="B11860" t="str">
        <f t="shared" si="2308"/>
        <v>SAÍDA</v>
      </c>
      <c r="C11860" t="str">
        <f t="shared" si="2303"/>
        <v>PIX</v>
      </c>
      <c r="D11860" t="str">
        <f>"25125"</f>
        <v>25125</v>
      </c>
      <c r="E11860" t="str">
        <f t="shared" si="2305"/>
        <v>1</v>
      </c>
      <c r="F11860" t="str">
        <f t="shared" si="2307"/>
        <v>COM</v>
      </c>
      <c r="G11860" t="str">
        <f>"GABRIEL SOARES VIEIRA (18)"</f>
        <v>GABRIEL SOARES VIEIRA (18)</v>
      </c>
      <c r="H11860" t="str">
        <f>"Serv.Prest. 03/11/2025 a 09/11/2025 - PIX: CPF - CHAVE: 179.800.027-09"</f>
        <v>Serv.Prest. 03/11/2025 a 09/11/2025 - PIX: CPF - CHAVE: 179.800.027-09</v>
      </c>
      <c r="I11860" t="str">
        <f t="shared" si="2304"/>
        <v>20/11/2025</v>
      </c>
      <c r="J11860" t="str">
        <f t="shared" si="2306"/>
        <v>11/11/2025</v>
      </c>
      <c r="K11860" t="str">
        <f>("21/11/2025")</f>
        <v>21/11/2025</v>
      </c>
      <c r="L11860">
        <v>834</v>
      </c>
      <c r="M11860">
        <v>834</v>
      </c>
      <c r="N11860">
        <v>109</v>
      </c>
      <c r="O11860" t="str">
        <f>"PAGAMENTO DE ENTREGADORES"</f>
        <v>PAGAMENTO DE ENTREGADORES</v>
      </c>
      <c r="P11860">
        <v>834</v>
      </c>
      <c r="S11860" t="str">
        <f>"BANCO C6 (149)"</f>
        <v>BANCO C6 (149)</v>
      </c>
      <c r="T11860">
        <v>21359</v>
      </c>
      <c r="U11860">
        <v>25125</v>
      </c>
      <c r="V11860" t="s">
        <v>77</v>
      </c>
    </row>
    <row r="11861" spans="1:22">
      <c r="A11861" t="str">
        <f t="shared" si="2309"/>
        <v>21/11/2025</v>
      </c>
      <c r="B11861" t="str">
        <f t="shared" si="2308"/>
        <v>SAÍDA</v>
      </c>
      <c r="C11861" t="str">
        <f t="shared" si="2303"/>
        <v>PIX</v>
      </c>
      <c r="D11861" t="str">
        <f>"25125"</f>
        <v>25125</v>
      </c>
      <c r="E11861" t="str">
        <f t="shared" si="2305"/>
        <v>1</v>
      </c>
      <c r="F11861" t="str">
        <f t="shared" si="2307"/>
        <v>COM</v>
      </c>
      <c r="G11861" t="str">
        <f>"GABRIEL SOARES VIEIRA (18)"</f>
        <v>GABRIEL SOARES VIEIRA (18)</v>
      </c>
      <c r="H11861" t="s">
        <v>3096</v>
      </c>
      <c r="I11861" t="str">
        <f t="shared" si="2304"/>
        <v>20/11/2025</v>
      </c>
      <c r="J11861" t="str">
        <f t="shared" si="2306"/>
        <v>11/11/2025</v>
      </c>
      <c r="K11861">
        <v>45982</v>
      </c>
      <c r="N11861">
        <v>109</v>
      </c>
      <c r="O11861" t="s">
        <v>24</v>
      </c>
      <c r="Q11861">
        <v>665.45</v>
      </c>
      <c r="R11861" t="str">
        <f>"FARMÁCIA INDIANA LJ 40 (10016)"</f>
        <v>FARMÁCIA INDIANA LJ 40 (10016)</v>
      </c>
      <c r="S11861" t="s">
        <v>77</v>
      </c>
      <c r="T11861">
        <v>21359</v>
      </c>
      <c r="U11861">
        <v>25125</v>
      </c>
      <c r="V11861" t="s">
        <v>77</v>
      </c>
    </row>
    <row r="11862" spans="1:22">
      <c r="A11862" t="str">
        <f t="shared" si="2309"/>
        <v>21/11/2025</v>
      </c>
      <c r="B11862" t="str">
        <f t="shared" si="2308"/>
        <v>SAÍDA</v>
      </c>
      <c r="C11862" t="str">
        <f t="shared" si="2303"/>
        <v>PIX</v>
      </c>
      <c r="D11862" t="str">
        <f>"25125"</f>
        <v>25125</v>
      </c>
      <c r="E11862" t="str">
        <f t="shared" si="2305"/>
        <v>1</v>
      </c>
      <c r="F11862" t="str">
        <f t="shared" si="2307"/>
        <v>COM</v>
      </c>
      <c r="G11862" t="str">
        <f>"GABRIEL SOARES VIEIRA (18)"</f>
        <v>GABRIEL SOARES VIEIRA (18)</v>
      </c>
      <c r="H11862" t="s">
        <v>3096</v>
      </c>
      <c r="I11862" t="str">
        <f t="shared" si="2304"/>
        <v>20/11/2025</v>
      </c>
      <c r="J11862" t="str">
        <f t="shared" si="2306"/>
        <v>11/11/2025</v>
      </c>
      <c r="K11862">
        <v>45982</v>
      </c>
      <c r="N11862">
        <v>109</v>
      </c>
      <c r="O11862" t="s">
        <v>24</v>
      </c>
      <c r="Q11862">
        <v>168.55</v>
      </c>
      <c r="R11862" t="str">
        <f>"FARMÁCIA INDIANA LJ 61 (10027)"</f>
        <v>FARMÁCIA INDIANA LJ 61 (10027)</v>
      </c>
      <c r="S11862" t="s">
        <v>77</v>
      </c>
      <c r="T11862">
        <v>21359</v>
      </c>
      <c r="U11862">
        <v>25125</v>
      </c>
      <c r="V11862" t="s">
        <v>77</v>
      </c>
    </row>
    <row r="11863" spans="1:22">
      <c r="A11863" t="str">
        <f t="shared" si="2309"/>
        <v>21/11/2025</v>
      </c>
      <c r="B11863" t="str">
        <f t="shared" si="2308"/>
        <v>SAÍDA</v>
      </c>
      <c r="C11863" t="str">
        <f t="shared" si="2303"/>
        <v>PIX</v>
      </c>
      <c r="D11863" t="str">
        <f>"25126"</f>
        <v>25126</v>
      </c>
      <c r="E11863" t="str">
        <f t="shared" si="2305"/>
        <v>1</v>
      </c>
      <c r="F11863" t="str">
        <f t="shared" si="2307"/>
        <v>COM</v>
      </c>
      <c r="G11863" t="str">
        <f>"GILDASIO DOMINGOS DOS SANTOS (54)"</f>
        <v>GILDASIO DOMINGOS DOS SANTOS (54)</v>
      </c>
      <c r="H11863" t="str">
        <f>"Serv.Prest. 03/11/2025 a 09/11/2025 - PIX: CELULAR - CHAVE: (33) 98857-0494"</f>
        <v>Serv.Prest. 03/11/2025 a 09/11/2025 - PIX: CELULAR - CHAVE: (33) 98857-0494</v>
      </c>
      <c r="I11863" t="str">
        <f t="shared" si="2304"/>
        <v>20/11/2025</v>
      </c>
      <c r="J11863" t="str">
        <f t="shared" si="2306"/>
        <v>11/11/2025</v>
      </c>
      <c r="K11863" t="str">
        <f>("21/11/2025")</f>
        <v>21/11/2025</v>
      </c>
      <c r="L11863">
        <v>1140</v>
      </c>
      <c r="M11863">
        <v>1140</v>
      </c>
      <c r="N11863">
        <v>109</v>
      </c>
      <c r="O11863" t="str">
        <f>"PAGAMENTO DE ENTREGADORES"</f>
        <v>PAGAMENTO DE ENTREGADORES</v>
      </c>
      <c r="P11863">
        <v>1140</v>
      </c>
      <c r="S11863" t="str">
        <f>"BANCO C6 (149)"</f>
        <v>BANCO C6 (149)</v>
      </c>
      <c r="T11863">
        <v>21360</v>
      </c>
      <c r="U11863">
        <v>25126</v>
      </c>
      <c r="V11863" t="s">
        <v>77</v>
      </c>
    </row>
    <row r="11864" spans="1:22">
      <c r="A11864" t="str">
        <f t="shared" si="2309"/>
        <v>21/11/2025</v>
      </c>
      <c r="B11864" t="str">
        <f t="shared" si="2308"/>
        <v>SAÍDA</v>
      </c>
      <c r="C11864" t="str">
        <f t="shared" ref="C11864:C11927" si="2310">"PIX"</f>
        <v>PIX</v>
      </c>
      <c r="D11864" t="str">
        <f>"25126"</f>
        <v>25126</v>
      </c>
      <c r="E11864" t="str">
        <f t="shared" si="2305"/>
        <v>1</v>
      </c>
      <c r="F11864" t="str">
        <f t="shared" si="2307"/>
        <v>COM</v>
      </c>
      <c r="G11864" t="str">
        <f>"GILDASIO DOMINGOS DOS SANTOS (54)"</f>
        <v>GILDASIO DOMINGOS DOS SANTOS (54)</v>
      </c>
      <c r="H11864" t="s">
        <v>3177</v>
      </c>
      <c r="I11864" t="str">
        <f t="shared" ref="I11864:I11927" si="2311">("20/11/2025")</f>
        <v>20/11/2025</v>
      </c>
      <c r="J11864" t="str">
        <f t="shared" si="2306"/>
        <v>11/11/2025</v>
      </c>
      <c r="K11864">
        <v>45982</v>
      </c>
      <c r="N11864">
        <v>109</v>
      </c>
      <c r="O11864" t="s">
        <v>24</v>
      </c>
      <c r="Q11864">
        <v>1140</v>
      </c>
      <c r="R11864" t="str">
        <f>"FARMÁCIA INDIANA LJ 07 (10007)"</f>
        <v>FARMÁCIA INDIANA LJ 07 (10007)</v>
      </c>
      <c r="S11864" t="s">
        <v>77</v>
      </c>
      <c r="T11864">
        <v>21360</v>
      </c>
      <c r="U11864">
        <v>25126</v>
      </c>
      <c r="V11864" t="s">
        <v>77</v>
      </c>
    </row>
    <row r="11865" spans="1:22">
      <c r="A11865" t="str">
        <f t="shared" si="2309"/>
        <v>21/11/2025</v>
      </c>
      <c r="B11865" t="str">
        <f t="shared" si="2308"/>
        <v>SAÍDA</v>
      </c>
      <c r="C11865" t="str">
        <f t="shared" si="2310"/>
        <v>PIX</v>
      </c>
      <c r="D11865" t="str">
        <f>"25127"</f>
        <v>25127</v>
      </c>
      <c r="E11865" t="str">
        <f t="shared" si="2305"/>
        <v>1</v>
      </c>
      <c r="F11865" t="str">
        <f t="shared" si="2307"/>
        <v>COM</v>
      </c>
      <c r="G11865" t="str">
        <f>"GILNEI MENDES COELHO (195)"</f>
        <v>GILNEI MENDES COELHO (195)</v>
      </c>
      <c r="H11865" t="str">
        <f>"Serv.Prest. 03/11/2025 a 09/11/2025 - PIX: CPF - CHAVE: 386.313.426-53"</f>
        <v>Serv.Prest. 03/11/2025 a 09/11/2025 - PIX: CPF - CHAVE: 386.313.426-53</v>
      </c>
      <c r="I11865" t="str">
        <f t="shared" si="2311"/>
        <v>20/11/2025</v>
      </c>
      <c r="J11865" t="str">
        <f t="shared" si="2306"/>
        <v>11/11/2025</v>
      </c>
      <c r="K11865" t="str">
        <f>("21/11/2025")</f>
        <v>21/11/2025</v>
      </c>
      <c r="L11865">
        <v>180</v>
      </c>
      <c r="M11865">
        <v>180</v>
      </c>
      <c r="N11865">
        <v>109</v>
      </c>
      <c r="O11865" t="str">
        <f>"PAGAMENTO DE ENTREGADORES"</f>
        <v>PAGAMENTO DE ENTREGADORES</v>
      </c>
      <c r="P11865">
        <v>180</v>
      </c>
      <c r="S11865" t="str">
        <f>"BANCO C6 (149)"</f>
        <v>BANCO C6 (149)</v>
      </c>
      <c r="T11865">
        <v>21361</v>
      </c>
      <c r="U11865">
        <v>25127</v>
      </c>
      <c r="V11865" t="s">
        <v>77</v>
      </c>
    </row>
    <row r="11866" spans="1:22">
      <c r="A11866" t="str">
        <f t="shared" si="2309"/>
        <v>21/11/2025</v>
      </c>
      <c r="B11866" t="str">
        <f t="shared" si="2308"/>
        <v>SAÍDA</v>
      </c>
      <c r="C11866" t="str">
        <f t="shared" si="2310"/>
        <v>PIX</v>
      </c>
      <c r="D11866" t="str">
        <f>"25127"</f>
        <v>25127</v>
      </c>
      <c r="E11866" t="str">
        <f t="shared" si="2305"/>
        <v>1</v>
      </c>
      <c r="F11866" t="str">
        <f t="shared" si="2307"/>
        <v>COM</v>
      </c>
      <c r="G11866" t="str">
        <f>"GILNEI MENDES COELHO (195)"</f>
        <v>GILNEI MENDES COELHO (195)</v>
      </c>
      <c r="H11866" t="s">
        <v>3178</v>
      </c>
      <c r="I11866" t="str">
        <f t="shared" si="2311"/>
        <v>20/11/2025</v>
      </c>
      <c r="J11866" t="str">
        <f t="shared" si="2306"/>
        <v>11/11/2025</v>
      </c>
      <c r="K11866">
        <v>45982</v>
      </c>
      <c r="N11866">
        <v>109</v>
      </c>
      <c r="O11866" t="s">
        <v>24</v>
      </c>
      <c r="Q11866">
        <v>180</v>
      </c>
      <c r="R11866" t="str">
        <f>"FARMÁCIA INDIANA LJ 06 (10006)"</f>
        <v>FARMÁCIA INDIANA LJ 06 (10006)</v>
      </c>
      <c r="S11866" t="s">
        <v>77</v>
      </c>
      <c r="T11866">
        <v>21361</v>
      </c>
      <c r="U11866">
        <v>25127</v>
      </c>
      <c r="V11866" t="s">
        <v>77</v>
      </c>
    </row>
    <row r="11867" spans="1:22">
      <c r="A11867" t="str">
        <f t="shared" si="2309"/>
        <v>21/11/2025</v>
      </c>
      <c r="B11867" t="str">
        <f t="shared" si="2308"/>
        <v>SAÍDA</v>
      </c>
      <c r="C11867" t="str">
        <f t="shared" si="2310"/>
        <v>PIX</v>
      </c>
      <c r="D11867" t="str">
        <f>"25128"</f>
        <v>25128</v>
      </c>
      <c r="E11867" t="str">
        <f t="shared" si="2305"/>
        <v>1</v>
      </c>
      <c r="F11867" t="str">
        <f t="shared" si="2307"/>
        <v>COM</v>
      </c>
      <c r="G11867" t="str">
        <f>"GUILHERME QUINTINO DA ROCHA (199)"</f>
        <v>GUILHERME QUINTINO DA ROCHA (199)</v>
      </c>
      <c r="H11867" t="str">
        <f>"Serv.Prest. 03/11/2025 a 09/11/2025 - PIX: CELULAR - CHAVE: (33) 99706-4860"</f>
        <v>Serv.Prest. 03/11/2025 a 09/11/2025 - PIX: CELULAR - CHAVE: (33) 99706-4860</v>
      </c>
      <c r="I11867" t="str">
        <f t="shared" si="2311"/>
        <v>20/11/2025</v>
      </c>
      <c r="J11867" t="str">
        <f t="shared" si="2306"/>
        <v>11/11/2025</v>
      </c>
      <c r="K11867" t="str">
        <f>("21/11/2025")</f>
        <v>21/11/2025</v>
      </c>
      <c r="L11867">
        <v>1080</v>
      </c>
      <c r="M11867">
        <v>1080</v>
      </c>
      <c r="N11867">
        <v>109</v>
      </c>
      <c r="O11867" t="str">
        <f>"PAGAMENTO DE ENTREGADORES"</f>
        <v>PAGAMENTO DE ENTREGADORES</v>
      </c>
      <c r="P11867">
        <v>1080</v>
      </c>
      <c r="S11867" t="str">
        <f>"BANCO C6 (149)"</f>
        <v>BANCO C6 (149)</v>
      </c>
      <c r="T11867">
        <v>21362</v>
      </c>
      <c r="U11867">
        <v>25128</v>
      </c>
      <c r="V11867" t="s">
        <v>77</v>
      </c>
    </row>
    <row r="11868" spans="1:22">
      <c r="A11868" t="str">
        <f t="shared" si="2309"/>
        <v>21/11/2025</v>
      </c>
      <c r="B11868" t="str">
        <f t="shared" si="2308"/>
        <v>SAÍDA</v>
      </c>
      <c r="C11868" t="str">
        <f t="shared" si="2310"/>
        <v>PIX</v>
      </c>
      <c r="D11868" t="str">
        <f>"25128"</f>
        <v>25128</v>
      </c>
      <c r="E11868" t="str">
        <f t="shared" ref="E11868:E11931" si="2312">"1"</f>
        <v>1</v>
      </c>
      <c r="F11868" t="str">
        <f t="shared" si="2307"/>
        <v>COM</v>
      </c>
      <c r="G11868" t="str">
        <f>"GUILHERME QUINTINO DA ROCHA (199)"</f>
        <v>GUILHERME QUINTINO DA ROCHA (199)</v>
      </c>
      <c r="H11868" t="s">
        <v>3179</v>
      </c>
      <c r="I11868" t="str">
        <f t="shared" si="2311"/>
        <v>20/11/2025</v>
      </c>
      <c r="J11868" t="str">
        <f t="shared" ref="J11868:J11931" si="2313">("11/11/2025")</f>
        <v>11/11/2025</v>
      </c>
      <c r="K11868">
        <v>45982</v>
      </c>
      <c r="N11868">
        <v>109</v>
      </c>
      <c r="O11868" t="s">
        <v>24</v>
      </c>
      <c r="Q11868">
        <v>1080</v>
      </c>
      <c r="R11868" t="str">
        <f>"FARMÁCIA INDIANA LJ 06 (10006)"</f>
        <v>FARMÁCIA INDIANA LJ 06 (10006)</v>
      </c>
      <c r="S11868" t="s">
        <v>77</v>
      </c>
      <c r="T11868">
        <v>21362</v>
      </c>
      <c r="U11868">
        <v>25128</v>
      </c>
      <c r="V11868" t="s">
        <v>77</v>
      </c>
    </row>
    <row r="11869" spans="1:22">
      <c r="A11869" t="str">
        <f t="shared" si="2309"/>
        <v>21/11/2025</v>
      </c>
      <c r="B11869" t="str">
        <f t="shared" si="2308"/>
        <v>SAÍDA</v>
      </c>
      <c r="C11869" t="str">
        <f t="shared" si="2310"/>
        <v>PIX</v>
      </c>
      <c r="D11869" t="str">
        <f>"25129"</f>
        <v>25129</v>
      </c>
      <c r="E11869" t="str">
        <f t="shared" si="2312"/>
        <v>1</v>
      </c>
      <c r="F11869" t="str">
        <f t="shared" si="2307"/>
        <v>COM</v>
      </c>
      <c r="G11869" t="str">
        <f>"GUSTAVO ALVES DE ARAÚJO (298)"</f>
        <v>GUSTAVO ALVES DE ARAÚJO (298)</v>
      </c>
      <c r="H11869" t="str">
        <f>"Serv.Prest. 03/11/2025 a 09/11/2025 - PIX: CELULAR - CHAVE: (31) 99816-8965"</f>
        <v>Serv.Prest. 03/11/2025 a 09/11/2025 - PIX: CELULAR - CHAVE: (31) 99816-8965</v>
      </c>
      <c r="I11869" t="str">
        <f t="shared" si="2311"/>
        <v>20/11/2025</v>
      </c>
      <c r="J11869" t="str">
        <f t="shared" si="2313"/>
        <v>11/11/2025</v>
      </c>
      <c r="K11869" t="str">
        <f>("21/11/2025")</f>
        <v>21/11/2025</v>
      </c>
      <c r="L11869">
        <v>1218</v>
      </c>
      <c r="M11869">
        <v>1218</v>
      </c>
      <c r="N11869">
        <v>109</v>
      </c>
      <c r="O11869" t="str">
        <f>"PAGAMENTO DE ENTREGADORES"</f>
        <v>PAGAMENTO DE ENTREGADORES</v>
      </c>
      <c r="P11869">
        <v>1218</v>
      </c>
      <c r="S11869" t="str">
        <f>"BANCO C6 (149)"</f>
        <v>BANCO C6 (149)</v>
      </c>
      <c r="T11869">
        <v>21363</v>
      </c>
      <c r="U11869">
        <v>25129</v>
      </c>
      <c r="V11869" t="s">
        <v>77</v>
      </c>
    </row>
    <row r="11870" spans="1:22">
      <c r="A11870" t="str">
        <f t="shared" si="2309"/>
        <v>21/11/2025</v>
      </c>
      <c r="B11870" t="str">
        <f t="shared" si="2308"/>
        <v>SAÍDA</v>
      </c>
      <c r="C11870" t="str">
        <f t="shared" si="2310"/>
        <v>PIX</v>
      </c>
      <c r="D11870" t="str">
        <f>"25129"</f>
        <v>25129</v>
      </c>
      <c r="E11870" t="str">
        <f t="shared" si="2312"/>
        <v>1</v>
      </c>
      <c r="F11870" t="str">
        <f t="shared" si="2307"/>
        <v>COM</v>
      </c>
      <c r="G11870" t="str">
        <f>"GUSTAVO ALVES DE ARAÚJO (298)"</f>
        <v>GUSTAVO ALVES DE ARAÚJO (298)</v>
      </c>
      <c r="H11870" t="s">
        <v>3180</v>
      </c>
      <c r="I11870" t="str">
        <f t="shared" si="2311"/>
        <v>20/11/2025</v>
      </c>
      <c r="J11870" t="str">
        <f t="shared" si="2313"/>
        <v>11/11/2025</v>
      </c>
      <c r="K11870">
        <v>45982</v>
      </c>
      <c r="N11870">
        <v>109</v>
      </c>
      <c r="O11870" t="s">
        <v>24</v>
      </c>
      <c r="Q11870">
        <v>1218</v>
      </c>
      <c r="R11870" t="str">
        <f>"FARMÁCIA INDIANA LJ 172 (10161)"</f>
        <v>FARMÁCIA INDIANA LJ 172 (10161)</v>
      </c>
      <c r="S11870" t="s">
        <v>77</v>
      </c>
      <c r="T11870">
        <v>21363</v>
      </c>
      <c r="U11870">
        <v>25129</v>
      </c>
      <c r="V11870" t="s">
        <v>77</v>
      </c>
    </row>
    <row r="11871" spans="1:22">
      <c r="A11871" t="str">
        <f t="shared" si="2309"/>
        <v>21/11/2025</v>
      </c>
      <c r="B11871" t="str">
        <f t="shared" si="2308"/>
        <v>SAÍDA</v>
      </c>
      <c r="C11871" t="str">
        <f t="shared" si="2310"/>
        <v>PIX</v>
      </c>
      <c r="D11871" t="str">
        <f>"25130"</f>
        <v>25130</v>
      </c>
      <c r="E11871" t="str">
        <f t="shared" si="2312"/>
        <v>1</v>
      </c>
      <c r="F11871" t="str">
        <f t="shared" si="2307"/>
        <v>COM</v>
      </c>
      <c r="G11871" t="str">
        <f>"GUSTAVO HENRIQUE OLIVEIRA (661)"</f>
        <v>GUSTAVO HENRIQUE OLIVEIRA (661)</v>
      </c>
      <c r="H11871" t="str">
        <f>"Serv.Prest. 03/11/2025 a 09/11/2025 - PIX: CPF - CHAVE: 113.084.266-58"</f>
        <v>Serv.Prest. 03/11/2025 a 09/11/2025 - PIX: CPF - CHAVE: 113.084.266-58</v>
      </c>
      <c r="I11871" t="str">
        <f t="shared" si="2311"/>
        <v>20/11/2025</v>
      </c>
      <c r="J11871" t="str">
        <f t="shared" si="2313"/>
        <v>11/11/2025</v>
      </c>
      <c r="K11871" t="str">
        <f>("21/11/2025")</f>
        <v>21/11/2025</v>
      </c>
      <c r="L11871">
        <v>822</v>
      </c>
      <c r="M11871">
        <v>822</v>
      </c>
      <c r="N11871">
        <v>109</v>
      </c>
      <c r="O11871" t="str">
        <f>"PAGAMENTO DE ENTREGADORES"</f>
        <v>PAGAMENTO DE ENTREGADORES</v>
      </c>
      <c r="P11871">
        <v>822</v>
      </c>
      <c r="S11871" t="str">
        <f>"BANCO C6 (149)"</f>
        <v>BANCO C6 (149)</v>
      </c>
      <c r="T11871">
        <v>21364</v>
      </c>
      <c r="U11871">
        <v>25130</v>
      </c>
      <c r="V11871" t="s">
        <v>77</v>
      </c>
    </row>
    <row r="11872" spans="1:22">
      <c r="A11872" t="str">
        <f t="shared" si="2309"/>
        <v>21/11/2025</v>
      </c>
      <c r="B11872" t="str">
        <f t="shared" si="2308"/>
        <v>SAÍDA</v>
      </c>
      <c r="C11872" t="str">
        <f t="shared" si="2310"/>
        <v>PIX</v>
      </c>
      <c r="D11872" t="str">
        <f>"25130"</f>
        <v>25130</v>
      </c>
      <c r="E11872" t="str">
        <f t="shared" si="2312"/>
        <v>1</v>
      </c>
      <c r="F11872" t="str">
        <f t="shared" si="2307"/>
        <v>COM</v>
      </c>
      <c r="G11872" t="str">
        <f>"GUSTAVO HENRIQUE OLIVEIRA (661)"</f>
        <v>GUSTAVO HENRIQUE OLIVEIRA (661)</v>
      </c>
      <c r="H11872" t="s">
        <v>3181</v>
      </c>
      <c r="I11872" t="str">
        <f t="shared" si="2311"/>
        <v>20/11/2025</v>
      </c>
      <c r="J11872" t="str">
        <f t="shared" si="2313"/>
        <v>11/11/2025</v>
      </c>
      <c r="K11872">
        <v>45982</v>
      </c>
      <c r="N11872">
        <v>109</v>
      </c>
      <c r="O11872" t="s">
        <v>24</v>
      </c>
      <c r="Q11872">
        <v>822</v>
      </c>
      <c r="R11872" t="str">
        <f>"FARMÁCIA INDIANA LJ 110 (10048)"</f>
        <v>FARMÁCIA INDIANA LJ 110 (10048)</v>
      </c>
      <c r="S11872" t="s">
        <v>77</v>
      </c>
      <c r="T11872">
        <v>21364</v>
      </c>
      <c r="U11872">
        <v>25130</v>
      </c>
      <c r="V11872" t="s">
        <v>77</v>
      </c>
    </row>
    <row r="11873" spans="1:22">
      <c r="A11873" t="str">
        <f t="shared" si="2309"/>
        <v>21/11/2025</v>
      </c>
      <c r="B11873" t="str">
        <f t="shared" si="2308"/>
        <v>SAÍDA</v>
      </c>
      <c r="C11873" t="str">
        <f t="shared" si="2310"/>
        <v>PIX</v>
      </c>
      <c r="D11873" t="str">
        <f>"25131"</f>
        <v>25131</v>
      </c>
      <c r="E11873" t="str">
        <f t="shared" si="2312"/>
        <v>1</v>
      </c>
      <c r="F11873" t="str">
        <f t="shared" si="2307"/>
        <v>COM</v>
      </c>
      <c r="G11873" t="str">
        <f>"IVAN SOUZA SANTOS (101)"</f>
        <v>IVAN SOUZA SANTOS (101)</v>
      </c>
      <c r="H11873" t="str">
        <f>"Serv.Prest. 03/11/2025 a 09/11/2025 - PIX: CPF - CHAVE: 067.393.286-92"</f>
        <v>Serv.Prest. 03/11/2025 a 09/11/2025 - PIX: CPF - CHAVE: 067.393.286-92</v>
      </c>
      <c r="I11873" t="str">
        <f t="shared" si="2311"/>
        <v>20/11/2025</v>
      </c>
      <c r="J11873" t="str">
        <f t="shared" si="2313"/>
        <v>11/11/2025</v>
      </c>
      <c r="K11873" t="str">
        <f>("21/11/2025")</f>
        <v>21/11/2025</v>
      </c>
      <c r="L11873">
        <v>975.1</v>
      </c>
      <c r="M11873">
        <v>975.1</v>
      </c>
      <c r="N11873">
        <v>109</v>
      </c>
      <c r="O11873" t="str">
        <f>"PAGAMENTO DE ENTREGADORES"</f>
        <v>PAGAMENTO DE ENTREGADORES</v>
      </c>
      <c r="P11873">
        <v>975.1</v>
      </c>
      <c r="S11873" t="str">
        <f>"BANCO C6 (149)"</f>
        <v>BANCO C6 (149)</v>
      </c>
      <c r="T11873">
        <v>21365</v>
      </c>
      <c r="U11873">
        <v>25131</v>
      </c>
      <c r="V11873" t="s">
        <v>77</v>
      </c>
    </row>
    <row r="11874" spans="1:22">
      <c r="A11874" t="str">
        <f t="shared" si="2309"/>
        <v>21/11/2025</v>
      </c>
      <c r="B11874" t="str">
        <f t="shared" si="2308"/>
        <v>SAÍDA</v>
      </c>
      <c r="C11874" t="str">
        <f t="shared" si="2310"/>
        <v>PIX</v>
      </c>
      <c r="D11874" t="str">
        <f>"25131"</f>
        <v>25131</v>
      </c>
      <c r="E11874" t="str">
        <f t="shared" si="2312"/>
        <v>1</v>
      </c>
      <c r="F11874" t="str">
        <f t="shared" si="2307"/>
        <v>COM</v>
      </c>
      <c r="G11874" t="str">
        <f>"IVAN SOUZA SANTOS (101)"</f>
        <v>IVAN SOUZA SANTOS (101)</v>
      </c>
      <c r="H11874" t="s">
        <v>3182</v>
      </c>
      <c r="I11874" t="str">
        <f t="shared" si="2311"/>
        <v>20/11/2025</v>
      </c>
      <c r="J11874" t="str">
        <f t="shared" si="2313"/>
        <v>11/11/2025</v>
      </c>
      <c r="K11874">
        <v>45982</v>
      </c>
      <c r="N11874">
        <v>109</v>
      </c>
      <c r="O11874" t="s">
        <v>24</v>
      </c>
      <c r="Q11874">
        <v>975.1</v>
      </c>
      <c r="R11874" t="str">
        <f>"FARMÁCIA INDIANA LJ 59 (10026)"</f>
        <v>FARMÁCIA INDIANA LJ 59 (10026)</v>
      </c>
      <c r="S11874" t="s">
        <v>77</v>
      </c>
      <c r="T11874">
        <v>21365</v>
      </c>
      <c r="U11874">
        <v>25131</v>
      </c>
      <c r="V11874" t="s">
        <v>77</v>
      </c>
    </row>
    <row r="11875" spans="1:22">
      <c r="A11875" t="str">
        <f t="shared" si="2309"/>
        <v>21/11/2025</v>
      </c>
      <c r="B11875" t="str">
        <f t="shared" si="2308"/>
        <v>SAÍDA</v>
      </c>
      <c r="C11875" t="str">
        <f t="shared" si="2310"/>
        <v>PIX</v>
      </c>
      <c r="D11875" t="str">
        <f>"25132"</f>
        <v>25132</v>
      </c>
      <c r="E11875" t="str">
        <f t="shared" si="2312"/>
        <v>1</v>
      </c>
      <c r="F11875" t="str">
        <f t="shared" si="2307"/>
        <v>COM</v>
      </c>
      <c r="G11875" t="str">
        <f>"JANDERSON SOUZA ARCANJO (28)"</f>
        <v>JANDERSON SOUZA ARCANJO (28)</v>
      </c>
      <c r="H11875" t="str">
        <f>"Serv.Prest. 03/11/2025 a 09/11/2025 - PIX: CPF - CHAVE: 121.297.376-33"</f>
        <v>Serv.Prest. 03/11/2025 a 09/11/2025 - PIX: CPF - CHAVE: 121.297.376-33</v>
      </c>
      <c r="I11875" t="str">
        <f t="shared" si="2311"/>
        <v>20/11/2025</v>
      </c>
      <c r="J11875" t="str">
        <f t="shared" si="2313"/>
        <v>11/11/2025</v>
      </c>
      <c r="K11875" t="str">
        <f>("21/11/2025")</f>
        <v>21/11/2025</v>
      </c>
      <c r="L11875">
        <v>1177</v>
      </c>
      <c r="M11875">
        <v>1177</v>
      </c>
      <c r="N11875">
        <v>109</v>
      </c>
      <c r="O11875" t="str">
        <f>"PAGAMENTO DE ENTREGADORES"</f>
        <v>PAGAMENTO DE ENTREGADORES</v>
      </c>
      <c r="P11875">
        <v>1177</v>
      </c>
      <c r="S11875" t="str">
        <f>"BANCO C6 (149)"</f>
        <v>BANCO C6 (149)</v>
      </c>
      <c r="T11875">
        <v>21366</v>
      </c>
      <c r="U11875">
        <v>25132</v>
      </c>
      <c r="V11875" t="s">
        <v>77</v>
      </c>
    </row>
    <row r="11876" spans="1:22">
      <c r="A11876" t="str">
        <f t="shared" si="2309"/>
        <v>21/11/2025</v>
      </c>
      <c r="B11876" t="str">
        <f t="shared" si="2308"/>
        <v>SAÍDA</v>
      </c>
      <c r="C11876" t="str">
        <f t="shared" si="2310"/>
        <v>PIX</v>
      </c>
      <c r="D11876" t="str">
        <f>"25132"</f>
        <v>25132</v>
      </c>
      <c r="E11876" t="str">
        <f t="shared" si="2312"/>
        <v>1</v>
      </c>
      <c r="F11876" t="str">
        <f t="shared" si="2307"/>
        <v>COM</v>
      </c>
      <c r="G11876" t="str">
        <f>"JANDERSON SOUZA ARCANJO (28)"</f>
        <v>JANDERSON SOUZA ARCANJO (28)</v>
      </c>
      <c r="H11876" t="s">
        <v>3183</v>
      </c>
      <c r="I11876" t="str">
        <f t="shared" si="2311"/>
        <v>20/11/2025</v>
      </c>
      <c r="J11876" t="str">
        <f t="shared" si="2313"/>
        <v>11/11/2025</v>
      </c>
      <c r="K11876">
        <v>45982</v>
      </c>
      <c r="N11876">
        <v>109</v>
      </c>
      <c r="O11876" t="s">
        <v>24</v>
      </c>
      <c r="Q11876">
        <v>1177</v>
      </c>
      <c r="R11876" t="str">
        <f>"FARMÁCIA INDIANA LJ 40 (10016)"</f>
        <v>FARMÁCIA INDIANA LJ 40 (10016)</v>
      </c>
      <c r="S11876" t="s">
        <v>77</v>
      </c>
      <c r="T11876">
        <v>21366</v>
      </c>
      <c r="U11876">
        <v>25132</v>
      </c>
      <c r="V11876" t="s">
        <v>77</v>
      </c>
    </row>
    <row r="11877" spans="1:22">
      <c r="A11877" t="str">
        <f t="shared" si="2309"/>
        <v>21/11/2025</v>
      </c>
      <c r="B11877" t="str">
        <f t="shared" si="2308"/>
        <v>SAÍDA</v>
      </c>
      <c r="C11877" t="str">
        <f t="shared" si="2310"/>
        <v>PIX</v>
      </c>
      <c r="D11877" t="str">
        <f>"25133"</f>
        <v>25133</v>
      </c>
      <c r="E11877" t="str">
        <f t="shared" si="2312"/>
        <v>1</v>
      </c>
      <c r="F11877" t="str">
        <f t="shared" si="2307"/>
        <v>COM</v>
      </c>
      <c r="G11877" t="str">
        <f>"JEAN ARAÚJO SANTOS GERMANO (551)"</f>
        <v>JEAN ARAÚJO SANTOS GERMANO (551)</v>
      </c>
      <c r="H11877" t="str">
        <f>"Serv.Prest. 03/11/2025 a 09/11/2025 - PIX: CELULAR - CHAVE: (31) 99812-7173"</f>
        <v>Serv.Prest. 03/11/2025 a 09/11/2025 - PIX: CELULAR - CHAVE: (31) 99812-7173</v>
      </c>
      <c r="I11877" t="str">
        <f t="shared" si="2311"/>
        <v>20/11/2025</v>
      </c>
      <c r="J11877" t="str">
        <f t="shared" si="2313"/>
        <v>11/11/2025</v>
      </c>
      <c r="K11877" t="str">
        <f>("21/11/2025")</f>
        <v>21/11/2025</v>
      </c>
      <c r="L11877">
        <v>864</v>
      </c>
      <c r="M11877">
        <v>864</v>
      </c>
      <c r="N11877">
        <v>109</v>
      </c>
      <c r="O11877" t="str">
        <f>"PAGAMENTO DE ENTREGADORES"</f>
        <v>PAGAMENTO DE ENTREGADORES</v>
      </c>
      <c r="P11877">
        <v>864</v>
      </c>
      <c r="S11877" t="str">
        <f>"BANCO C6 (149)"</f>
        <v>BANCO C6 (149)</v>
      </c>
      <c r="T11877">
        <v>21367</v>
      </c>
      <c r="U11877">
        <v>25133</v>
      </c>
      <c r="V11877" t="s">
        <v>77</v>
      </c>
    </row>
    <row r="11878" spans="1:22">
      <c r="A11878" t="str">
        <f t="shared" si="2309"/>
        <v>21/11/2025</v>
      </c>
      <c r="B11878" t="str">
        <f t="shared" si="2308"/>
        <v>SAÍDA</v>
      </c>
      <c r="C11878" t="str">
        <f t="shared" si="2310"/>
        <v>PIX</v>
      </c>
      <c r="D11878" t="str">
        <f>"25133"</f>
        <v>25133</v>
      </c>
      <c r="E11878" t="str">
        <f t="shared" si="2312"/>
        <v>1</v>
      </c>
      <c r="F11878" t="str">
        <f t="shared" si="2307"/>
        <v>COM</v>
      </c>
      <c r="G11878" t="str">
        <f>"JEAN ARAÚJO SANTOS GERMANO (551)"</f>
        <v>JEAN ARAÚJO SANTOS GERMANO (551)</v>
      </c>
      <c r="H11878" t="s">
        <v>3184</v>
      </c>
      <c r="I11878" t="str">
        <f t="shared" si="2311"/>
        <v>20/11/2025</v>
      </c>
      <c r="J11878" t="str">
        <f t="shared" si="2313"/>
        <v>11/11/2025</v>
      </c>
      <c r="K11878">
        <v>45982</v>
      </c>
      <c r="N11878">
        <v>109</v>
      </c>
      <c r="O11878" t="s">
        <v>24</v>
      </c>
      <c r="Q11878">
        <v>864</v>
      </c>
      <c r="R11878" t="str">
        <f>"FARMÁCIA INDIANA LJ 142 (10066)"</f>
        <v>FARMÁCIA INDIANA LJ 142 (10066)</v>
      </c>
      <c r="S11878" t="s">
        <v>77</v>
      </c>
      <c r="T11878">
        <v>21367</v>
      </c>
      <c r="U11878">
        <v>25133</v>
      </c>
      <c r="V11878" t="s">
        <v>77</v>
      </c>
    </row>
    <row r="11879" spans="1:22">
      <c r="A11879" t="str">
        <f t="shared" si="2309"/>
        <v>21/11/2025</v>
      </c>
      <c r="B11879" t="str">
        <f t="shared" si="2308"/>
        <v>SAÍDA</v>
      </c>
      <c r="C11879" t="str">
        <f t="shared" si="2310"/>
        <v>PIX</v>
      </c>
      <c r="D11879" t="str">
        <f>"25134"</f>
        <v>25134</v>
      </c>
      <c r="E11879" t="str">
        <f t="shared" si="2312"/>
        <v>1</v>
      </c>
      <c r="F11879" t="str">
        <f t="shared" si="2307"/>
        <v>COM</v>
      </c>
      <c r="G11879" t="str">
        <f>"JEFERSON ANDRADE FERREIRA (165)"</f>
        <v>JEFERSON ANDRADE FERREIRA (165)</v>
      </c>
      <c r="H11879" t="str">
        <f>"Serv.Prest. 03/11/2025 a 09/11/2025 - PIX: CPF - CHAVE: 126.873.296-65"</f>
        <v>Serv.Prest. 03/11/2025 a 09/11/2025 - PIX: CPF - CHAVE: 126.873.296-65</v>
      </c>
      <c r="I11879" t="str">
        <f t="shared" si="2311"/>
        <v>20/11/2025</v>
      </c>
      <c r="J11879" t="str">
        <f t="shared" si="2313"/>
        <v>11/11/2025</v>
      </c>
      <c r="K11879" t="str">
        <f>("21/11/2025")</f>
        <v>21/11/2025</v>
      </c>
      <c r="L11879">
        <v>1920</v>
      </c>
      <c r="M11879">
        <v>1920</v>
      </c>
      <c r="N11879">
        <v>109</v>
      </c>
      <c r="O11879" t="str">
        <f>"PAGAMENTO DE ENTREGADORES"</f>
        <v>PAGAMENTO DE ENTREGADORES</v>
      </c>
      <c r="P11879">
        <v>1920</v>
      </c>
      <c r="S11879" t="str">
        <f>"BANCO C6 (149)"</f>
        <v>BANCO C6 (149)</v>
      </c>
      <c r="T11879">
        <v>21368</v>
      </c>
      <c r="U11879">
        <v>25134</v>
      </c>
      <c r="V11879" t="s">
        <v>77</v>
      </c>
    </row>
    <row r="11880" spans="1:22">
      <c r="A11880" t="str">
        <f t="shared" si="2309"/>
        <v>21/11/2025</v>
      </c>
      <c r="B11880" t="str">
        <f t="shared" si="2308"/>
        <v>SAÍDA</v>
      </c>
      <c r="C11880" t="str">
        <f t="shared" si="2310"/>
        <v>PIX</v>
      </c>
      <c r="D11880" t="str">
        <f>"25134"</f>
        <v>25134</v>
      </c>
      <c r="E11880" t="str">
        <f t="shared" si="2312"/>
        <v>1</v>
      </c>
      <c r="F11880" t="str">
        <f t="shared" si="2307"/>
        <v>COM</v>
      </c>
      <c r="G11880" t="str">
        <f>"JEFERSON ANDRADE FERREIRA (165)"</f>
        <v>JEFERSON ANDRADE FERREIRA (165)</v>
      </c>
      <c r="H11880" t="s">
        <v>3185</v>
      </c>
      <c r="I11880" t="str">
        <f t="shared" si="2311"/>
        <v>20/11/2025</v>
      </c>
      <c r="J11880" t="str">
        <f t="shared" si="2313"/>
        <v>11/11/2025</v>
      </c>
      <c r="K11880">
        <v>45982</v>
      </c>
      <c r="N11880">
        <v>109</v>
      </c>
      <c r="O11880" t="s">
        <v>24</v>
      </c>
      <c r="Q11880">
        <v>1260.0999999999999</v>
      </c>
      <c r="R11880" t="str">
        <f>"FARMÁCIA INDIANA LJ 101 (10043)"</f>
        <v>FARMÁCIA INDIANA LJ 101 (10043)</v>
      </c>
      <c r="S11880" t="s">
        <v>77</v>
      </c>
      <c r="T11880">
        <v>21368</v>
      </c>
      <c r="U11880">
        <v>25134</v>
      </c>
      <c r="V11880" t="s">
        <v>77</v>
      </c>
    </row>
    <row r="11881" spans="1:22">
      <c r="A11881" t="str">
        <f t="shared" si="2309"/>
        <v>21/11/2025</v>
      </c>
      <c r="B11881" t="str">
        <f t="shared" si="2308"/>
        <v>SAÍDA</v>
      </c>
      <c r="C11881" t="str">
        <f t="shared" si="2310"/>
        <v>PIX</v>
      </c>
      <c r="D11881" t="str">
        <f>"25134"</f>
        <v>25134</v>
      </c>
      <c r="E11881" t="str">
        <f t="shared" si="2312"/>
        <v>1</v>
      </c>
      <c r="F11881" t="str">
        <f t="shared" si="2307"/>
        <v>COM</v>
      </c>
      <c r="G11881" t="str">
        <f>"JEFERSON ANDRADE FERREIRA (165)"</f>
        <v>JEFERSON ANDRADE FERREIRA (165)</v>
      </c>
      <c r="H11881" t="s">
        <v>3185</v>
      </c>
      <c r="I11881" t="str">
        <f t="shared" si="2311"/>
        <v>20/11/2025</v>
      </c>
      <c r="J11881" t="str">
        <f t="shared" si="2313"/>
        <v>11/11/2025</v>
      </c>
      <c r="K11881">
        <v>45982</v>
      </c>
      <c r="N11881">
        <v>109</v>
      </c>
      <c r="O11881" t="s">
        <v>24</v>
      </c>
      <c r="Q11881">
        <v>659.9</v>
      </c>
      <c r="R11881" t="str">
        <f>"FARMÁCIA INDIANA LJ 220 (10092)"</f>
        <v>FARMÁCIA INDIANA LJ 220 (10092)</v>
      </c>
      <c r="S11881" t="s">
        <v>77</v>
      </c>
      <c r="T11881">
        <v>21368</v>
      </c>
      <c r="U11881">
        <v>25134</v>
      </c>
      <c r="V11881" t="s">
        <v>77</v>
      </c>
    </row>
    <row r="11882" spans="1:22">
      <c r="A11882" t="str">
        <f t="shared" si="2309"/>
        <v>21/11/2025</v>
      </c>
      <c r="B11882" t="str">
        <f t="shared" si="2308"/>
        <v>SAÍDA</v>
      </c>
      <c r="C11882" t="str">
        <f t="shared" si="2310"/>
        <v>PIX</v>
      </c>
      <c r="D11882" t="str">
        <f>"25135"</f>
        <v>25135</v>
      </c>
      <c r="E11882" t="str">
        <f t="shared" si="2312"/>
        <v>1</v>
      </c>
      <c r="F11882" t="str">
        <f t="shared" si="2307"/>
        <v>COM</v>
      </c>
      <c r="G11882" t="str">
        <f>"JEFERSON ARAÚJO SANTOS GERMANO (180)"</f>
        <v>JEFERSON ARAÚJO SANTOS GERMANO (180)</v>
      </c>
      <c r="H11882" t="str">
        <f>"Serv.Prest. 03/11/2025 a 09/11/2025 - PIX: CPF - CHAVE: 023.645.626-19"</f>
        <v>Serv.Prest. 03/11/2025 a 09/11/2025 - PIX: CPF - CHAVE: 023.645.626-19</v>
      </c>
      <c r="I11882" t="str">
        <f t="shared" si="2311"/>
        <v>20/11/2025</v>
      </c>
      <c r="J11882" t="str">
        <f t="shared" si="2313"/>
        <v>11/11/2025</v>
      </c>
      <c r="K11882" t="str">
        <f>("21/11/2025")</f>
        <v>21/11/2025</v>
      </c>
      <c r="L11882">
        <v>828</v>
      </c>
      <c r="M11882">
        <v>828</v>
      </c>
      <c r="N11882">
        <v>109</v>
      </c>
      <c r="O11882" t="str">
        <f>"PAGAMENTO DE ENTREGADORES"</f>
        <v>PAGAMENTO DE ENTREGADORES</v>
      </c>
      <c r="P11882">
        <v>828</v>
      </c>
      <c r="S11882" t="str">
        <f>"BANCO C6 (149)"</f>
        <v>BANCO C6 (149)</v>
      </c>
      <c r="T11882">
        <v>21369</v>
      </c>
      <c r="U11882">
        <v>25135</v>
      </c>
      <c r="V11882" t="s">
        <v>77</v>
      </c>
    </row>
    <row r="11883" spans="1:22">
      <c r="A11883" t="str">
        <f t="shared" si="2309"/>
        <v>21/11/2025</v>
      </c>
      <c r="B11883" t="str">
        <f t="shared" si="2308"/>
        <v>SAÍDA</v>
      </c>
      <c r="C11883" t="str">
        <f t="shared" si="2310"/>
        <v>PIX</v>
      </c>
      <c r="D11883" t="str">
        <f>"25135"</f>
        <v>25135</v>
      </c>
      <c r="E11883" t="str">
        <f t="shared" si="2312"/>
        <v>1</v>
      </c>
      <c r="F11883" t="str">
        <f t="shared" si="2307"/>
        <v>COM</v>
      </c>
      <c r="G11883" t="str">
        <f>"JEFERSON ARAÚJO SANTOS GERMANO (180)"</f>
        <v>JEFERSON ARAÚJO SANTOS GERMANO (180)</v>
      </c>
      <c r="H11883" t="s">
        <v>3186</v>
      </c>
      <c r="I11883" t="str">
        <f t="shared" si="2311"/>
        <v>20/11/2025</v>
      </c>
      <c r="J11883" t="str">
        <f t="shared" si="2313"/>
        <v>11/11/2025</v>
      </c>
      <c r="K11883">
        <v>45982</v>
      </c>
      <c r="N11883">
        <v>109</v>
      </c>
      <c r="O11883" t="s">
        <v>24</v>
      </c>
      <c r="Q11883">
        <v>828</v>
      </c>
      <c r="R11883" t="str">
        <f>"FARMÁCIA INDIANA LJ 142 (10066)"</f>
        <v>FARMÁCIA INDIANA LJ 142 (10066)</v>
      </c>
      <c r="S11883" t="s">
        <v>77</v>
      </c>
      <c r="T11883">
        <v>21369</v>
      </c>
      <c r="U11883">
        <v>25135</v>
      </c>
      <c r="V11883" t="s">
        <v>77</v>
      </c>
    </row>
    <row r="11884" spans="1:22">
      <c r="A11884" t="str">
        <f t="shared" si="2309"/>
        <v>21/11/2025</v>
      </c>
      <c r="B11884" t="str">
        <f t="shared" si="2308"/>
        <v>SAÍDA</v>
      </c>
      <c r="C11884" t="str">
        <f t="shared" si="2310"/>
        <v>PIX</v>
      </c>
      <c r="D11884" t="str">
        <f>"25136"</f>
        <v>25136</v>
      </c>
      <c r="E11884" t="str">
        <f t="shared" si="2312"/>
        <v>1</v>
      </c>
      <c r="F11884" t="str">
        <f t="shared" si="2307"/>
        <v>COM</v>
      </c>
      <c r="G11884" t="str">
        <f>"JEFERSON DE JESUS SANTOS (910)"</f>
        <v>JEFERSON DE JESUS SANTOS (910)</v>
      </c>
      <c r="H11884" t="str">
        <f>"Serv.Prest. 03/11/2025 a 09/11/2025 - PIX: CELULAR - CHAVE: (33) 98836-6015"</f>
        <v>Serv.Prest. 03/11/2025 a 09/11/2025 - PIX: CELULAR - CHAVE: (33) 98836-6015</v>
      </c>
      <c r="I11884" t="str">
        <f t="shared" si="2311"/>
        <v>20/11/2025</v>
      </c>
      <c r="J11884" t="str">
        <f t="shared" si="2313"/>
        <v>11/11/2025</v>
      </c>
      <c r="K11884" t="str">
        <f>("21/11/2025")</f>
        <v>21/11/2025</v>
      </c>
      <c r="L11884">
        <v>720</v>
      </c>
      <c r="M11884">
        <v>720</v>
      </c>
      <c r="N11884">
        <v>109</v>
      </c>
      <c r="O11884" t="str">
        <f>"PAGAMENTO DE ENTREGADORES"</f>
        <v>PAGAMENTO DE ENTREGADORES</v>
      </c>
      <c r="P11884">
        <v>720</v>
      </c>
      <c r="S11884" t="str">
        <f>"BANCO C6 (149)"</f>
        <v>BANCO C6 (149)</v>
      </c>
      <c r="T11884">
        <v>21370</v>
      </c>
      <c r="U11884">
        <v>25136</v>
      </c>
      <c r="V11884" t="s">
        <v>77</v>
      </c>
    </row>
    <row r="11885" spans="1:22">
      <c r="A11885" t="str">
        <f t="shared" si="2309"/>
        <v>21/11/2025</v>
      </c>
      <c r="B11885" t="str">
        <f t="shared" si="2308"/>
        <v>SAÍDA</v>
      </c>
      <c r="C11885" t="str">
        <f t="shared" si="2310"/>
        <v>PIX</v>
      </c>
      <c r="D11885" t="str">
        <f>"25136"</f>
        <v>25136</v>
      </c>
      <c r="E11885" t="str">
        <f t="shared" si="2312"/>
        <v>1</v>
      </c>
      <c r="F11885" t="str">
        <f t="shared" si="2307"/>
        <v>COM</v>
      </c>
      <c r="G11885" t="str">
        <f>"JEFERSON DE JESUS SANTOS (910)"</f>
        <v>JEFERSON DE JESUS SANTOS (910)</v>
      </c>
      <c r="H11885" t="s">
        <v>3187</v>
      </c>
      <c r="I11885" t="str">
        <f t="shared" si="2311"/>
        <v>20/11/2025</v>
      </c>
      <c r="J11885" t="str">
        <f t="shared" si="2313"/>
        <v>11/11/2025</v>
      </c>
      <c r="K11885">
        <v>45982</v>
      </c>
      <c r="N11885">
        <v>109</v>
      </c>
      <c r="O11885" t="s">
        <v>24</v>
      </c>
      <c r="Q11885">
        <v>720</v>
      </c>
      <c r="R11885" t="str">
        <f>"FARMÁCIA INDIANA LJ 07 (10007)"</f>
        <v>FARMÁCIA INDIANA LJ 07 (10007)</v>
      </c>
      <c r="S11885" t="s">
        <v>77</v>
      </c>
      <c r="T11885">
        <v>21370</v>
      </c>
      <c r="U11885">
        <v>25136</v>
      </c>
      <c r="V11885" t="s">
        <v>77</v>
      </c>
    </row>
    <row r="11886" spans="1:22">
      <c r="A11886" t="str">
        <f t="shared" si="2309"/>
        <v>21/11/2025</v>
      </c>
      <c r="B11886" t="str">
        <f t="shared" si="2308"/>
        <v>SAÍDA</v>
      </c>
      <c r="C11886" t="str">
        <f t="shared" si="2310"/>
        <v>PIX</v>
      </c>
      <c r="D11886" t="str">
        <f>"25137"</f>
        <v>25137</v>
      </c>
      <c r="E11886" t="str">
        <f t="shared" si="2312"/>
        <v>1</v>
      </c>
      <c r="F11886" t="str">
        <f t="shared" si="2307"/>
        <v>COM</v>
      </c>
      <c r="G11886" t="str">
        <f>"JHONANTAN LACERDA DE JESUS (142)"</f>
        <v>JHONANTAN LACERDA DE JESUS (142)</v>
      </c>
      <c r="H11886" t="str">
        <f>"Serv.Prest. 03/11/2025 a 09/11/2025 - PIX: E-MAIL - CHAVE: jhonantanlacerda@gmail.com"</f>
        <v>Serv.Prest. 03/11/2025 a 09/11/2025 - PIX: E-MAIL - CHAVE: jhonantanlacerda@gmail.com</v>
      </c>
      <c r="I11886" t="str">
        <f t="shared" si="2311"/>
        <v>20/11/2025</v>
      </c>
      <c r="J11886" t="str">
        <f t="shared" si="2313"/>
        <v>11/11/2025</v>
      </c>
      <c r="K11886" t="str">
        <f>("21/11/2025")</f>
        <v>21/11/2025</v>
      </c>
      <c r="L11886">
        <v>552</v>
      </c>
      <c r="M11886">
        <v>552</v>
      </c>
      <c r="N11886">
        <v>109</v>
      </c>
      <c r="O11886" t="str">
        <f>"PAGAMENTO DE ENTREGADORES"</f>
        <v>PAGAMENTO DE ENTREGADORES</v>
      </c>
      <c r="P11886">
        <v>552</v>
      </c>
      <c r="S11886" t="str">
        <f>"BANCO C6 (149)"</f>
        <v>BANCO C6 (149)</v>
      </c>
      <c r="T11886">
        <v>21371</v>
      </c>
      <c r="U11886">
        <v>25137</v>
      </c>
      <c r="V11886" t="s">
        <v>77</v>
      </c>
    </row>
    <row r="11887" spans="1:22">
      <c r="A11887" t="str">
        <f t="shared" si="2309"/>
        <v>21/11/2025</v>
      </c>
      <c r="B11887" t="str">
        <f t="shared" si="2308"/>
        <v>SAÍDA</v>
      </c>
      <c r="C11887" t="str">
        <f t="shared" si="2310"/>
        <v>PIX</v>
      </c>
      <c r="D11887" t="str">
        <f>"25137"</f>
        <v>25137</v>
      </c>
      <c r="E11887" t="str">
        <f t="shared" si="2312"/>
        <v>1</v>
      </c>
      <c r="F11887" t="str">
        <f t="shared" si="2307"/>
        <v>COM</v>
      </c>
      <c r="G11887" t="str">
        <f>"JHONANTAN LACERDA DE JESUS (142)"</f>
        <v>JHONANTAN LACERDA DE JESUS (142)</v>
      </c>
      <c r="H11887" t="s">
        <v>3188</v>
      </c>
      <c r="I11887" t="str">
        <f t="shared" si="2311"/>
        <v>20/11/2025</v>
      </c>
      <c r="J11887" t="str">
        <f t="shared" si="2313"/>
        <v>11/11/2025</v>
      </c>
      <c r="K11887">
        <v>45982</v>
      </c>
      <c r="N11887">
        <v>109</v>
      </c>
      <c r="O11887" t="s">
        <v>24</v>
      </c>
      <c r="Q11887">
        <v>552</v>
      </c>
      <c r="R11887" t="str">
        <f>"FARMÁCIA INDIANA LJ 142 (10066)"</f>
        <v>FARMÁCIA INDIANA LJ 142 (10066)</v>
      </c>
      <c r="S11887" t="s">
        <v>77</v>
      </c>
      <c r="T11887">
        <v>21371</v>
      </c>
      <c r="U11887">
        <v>25137</v>
      </c>
      <c r="V11887" t="s">
        <v>77</v>
      </c>
    </row>
    <row r="11888" spans="1:22">
      <c r="A11888" t="str">
        <f t="shared" si="2309"/>
        <v>21/11/2025</v>
      </c>
      <c r="B11888" t="str">
        <f t="shared" si="2308"/>
        <v>SAÍDA</v>
      </c>
      <c r="C11888" t="str">
        <f t="shared" si="2310"/>
        <v>PIX</v>
      </c>
      <c r="D11888" t="str">
        <f>"25138"</f>
        <v>25138</v>
      </c>
      <c r="E11888" t="str">
        <f t="shared" si="2312"/>
        <v>1</v>
      </c>
      <c r="F11888" t="str">
        <f t="shared" si="2307"/>
        <v>COM</v>
      </c>
      <c r="G11888" t="str">
        <f>"JOAO VITOR DE OLIVEIRA LIMA (1064)"</f>
        <v>JOAO VITOR DE OLIVEIRA LIMA (1064)</v>
      </c>
      <c r="H11888" t="str">
        <f>"Serv.Prest. 03/11/2025 a 09/11/2025 - PIX: CELULAR - CHAVE: (33) 99983-2339"</f>
        <v>Serv.Prest. 03/11/2025 a 09/11/2025 - PIX: CELULAR - CHAVE: (33) 99983-2339</v>
      </c>
      <c r="I11888" t="str">
        <f t="shared" si="2311"/>
        <v>20/11/2025</v>
      </c>
      <c r="J11888" t="str">
        <f t="shared" si="2313"/>
        <v>11/11/2025</v>
      </c>
      <c r="K11888" t="str">
        <f>("21/11/2025")</f>
        <v>21/11/2025</v>
      </c>
      <c r="L11888">
        <v>282</v>
      </c>
      <c r="M11888">
        <v>282</v>
      </c>
      <c r="N11888">
        <v>109</v>
      </c>
      <c r="O11888" t="str">
        <f>"PAGAMENTO DE ENTREGADORES"</f>
        <v>PAGAMENTO DE ENTREGADORES</v>
      </c>
      <c r="P11888">
        <v>282</v>
      </c>
      <c r="S11888" t="str">
        <f>"BANCO C6 (149)"</f>
        <v>BANCO C6 (149)</v>
      </c>
      <c r="T11888">
        <v>21372</v>
      </c>
      <c r="U11888">
        <v>25138</v>
      </c>
      <c r="V11888" t="s">
        <v>77</v>
      </c>
    </row>
    <row r="11889" spans="1:22">
      <c r="A11889" t="str">
        <f t="shared" si="2309"/>
        <v>21/11/2025</v>
      </c>
      <c r="B11889" t="str">
        <f t="shared" si="2308"/>
        <v>SAÍDA</v>
      </c>
      <c r="C11889" t="str">
        <f t="shared" si="2310"/>
        <v>PIX</v>
      </c>
      <c r="D11889" t="str">
        <f>"25138"</f>
        <v>25138</v>
      </c>
      <c r="E11889" t="str">
        <f t="shared" si="2312"/>
        <v>1</v>
      </c>
      <c r="F11889" t="str">
        <f t="shared" si="2307"/>
        <v>COM</v>
      </c>
      <c r="G11889" t="str">
        <f>"JOAO VITOR DE OLIVEIRA LIMA (1064)"</f>
        <v>JOAO VITOR DE OLIVEIRA LIMA (1064)</v>
      </c>
      <c r="H11889" t="s">
        <v>3189</v>
      </c>
      <c r="I11889" t="str">
        <f t="shared" si="2311"/>
        <v>20/11/2025</v>
      </c>
      <c r="J11889" t="str">
        <f t="shared" si="2313"/>
        <v>11/11/2025</v>
      </c>
      <c r="K11889">
        <v>45982</v>
      </c>
      <c r="N11889">
        <v>109</v>
      </c>
      <c r="O11889" t="s">
        <v>24</v>
      </c>
      <c r="Q11889">
        <v>282</v>
      </c>
      <c r="R11889" t="str">
        <f>"FARMÁCIA INDIANA LJ 07 (10007)"</f>
        <v>FARMÁCIA INDIANA LJ 07 (10007)</v>
      </c>
      <c r="S11889" t="s">
        <v>77</v>
      </c>
      <c r="T11889">
        <v>21372</v>
      </c>
      <c r="U11889">
        <v>25138</v>
      </c>
      <c r="V11889" t="s">
        <v>77</v>
      </c>
    </row>
    <row r="11890" spans="1:22">
      <c r="A11890" t="str">
        <f t="shared" si="2309"/>
        <v>21/11/2025</v>
      </c>
      <c r="B11890" t="str">
        <f t="shared" si="2308"/>
        <v>SAÍDA</v>
      </c>
      <c r="C11890" t="str">
        <f t="shared" si="2310"/>
        <v>PIX</v>
      </c>
      <c r="D11890" t="str">
        <f>"25139"</f>
        <v>25139</v>
      </c>
      <c r="E11890" t="str">
        <f t="shared" si="2312"/>
        <v>1</v>
      </c>
      <c r="F11890" t="str">
        <f t="shared" si="2307"/>
        <v>COM</v>
      </c>
      <c r="G11890" t="str">
        <f>"JOCIMAR VAZ FERREIRA (197)"</f>
        <v>JOCIMAR VAZ FERREIRA (197)</v>
      </c>
      <c r="H11890" t="str">
        <f>"Serv.Prest. 03/11/2025 a 09/11/2025 - PIX: CELULAR - CHAVE: (33) 99924-7557"</f>
        <v>Serv.Prest. 03/11/2025 a 09/11/2025 - PIX: CELULAR - CHAVE: (33) 99924-7557</v>
      </c>
      <c r="I11890" t="str">
        <f t="shared" si="2311"/>
        <v>20/11/2025</v>
      </c>
      <c r="J11890" t="str">
        <f t="shared" si="2313"/>
        <v>11/11/2025</v>
      </c>
      <c r="K11890" t="str">
        <f>("21/11/2025")</f>
        <v>21/11/2025</v>
      </c>
      <c r="L11890">
        <v>1800</v>
      </c>
      <c r="M11890">
        <v>1800</v>
      </c>
      <c r="N11890">
        <v>109</v>
      </c>
      <c r="O11890" t="str">
        <f>"PAGAMENTO DE ENTREGADORES"</f>
        <v>PAGAMENTO DE ENTREGADORES</v>
      </c>
      <c r="P11890">
        <v>1800</v>
      </c>
      <c r="S11890" t="str">
        <f>"BANCO C6 (149)"</f>
        <v>BANCO C6 (149)</v>
      </c>
      <c r="T11890">
        <v>21373</v>
      </c>
      <c r="U11890">
        <v>25139</v>
      </c>
      <c r="V11890" t="s">
        <v>77</v>
      </c>
    </row>
    <row r="11891" spans="1:22">
      <c r="A11891" t="str">
        <f t="shared" si="2309"/>
        <v>21/11/2025</v>
      </c>
      <c r="B11891" t="str">
        <f t="shared" si="2308"/>
        <v>SAÍDA</v>
      </c>
      <c r="C11891" t="str">
        <f t="shared" si="2310"/>
        <v>PIX</v>
      </c>
      <c r="D11891" t="str">
        <f>"25139"</f>
        <v>25139</v>
      </c>
      <c r="E11891" t="str">
        <f t="shared" si="2312"/>
        <v>1</v>
      </c>
      <c r="F11891" t="str">
        <f t="shared" si="2307"/>
        <v>COM</v>
      </c>
      <c r="G11891" t="str">
        <f>"JOCIMAR VAZ FERREIRA (197)"</f>
        <v>JOCIMAR VAZ FERREIRA (197)</v>
      </c>
      <c r="H11891" t="s">
        <v>3020</v>
      </c>
      <c r="I11891" t="str">
        <f t="shared" si="2311"/>
        <v>20/11/2025</v>
      </c>
      <c r="J11891" t="str">
        <f t="shared" si="2313"/>
        <v>11/11/2025</v>
      </c>
      <c r="K11891">
        <v>45982</v>
      </c>
      <c r="N11891">
        <v>109</v>
      </c>
      <c r="O11891" t="s">
        <v>24</v>
      </c>
      <c r="Q11891">
        <v>1800</v>
      </c>
      <c r="R11891" t="str">
        <f>"FARMÁCIA INDIANA LJ 06 (10006)"</f>
        <v>FARMÁCIA INDIANA LJ 06 (10006)</v>
      </c>
      <c r="S11891" t="s">
        <v>77</v>
      </c>
      <c r="T11891">
        <v>21373</v>
      </c>
      <c r="U11891">
        <v>25139</v>
      </c>
      <c r="V11891" t="s">
        <v>77</v>
      </c>
    </row>
    <row r="11892" spans="1:22">
      <c r="A11892" t="str">
        <f t="shared" si="2309"/>
        <v>21/11/2025</v>
      </c>
      <c r="B11892" t="str">
        <f t="shared" si="2308"/>
        <v>SAÍDA</v>
      </c>
      <c r="C11892" t="str">
        <f t="shared" si="2310"/>
        <v>PIX</v>
      </c>
      <c r="D11892" t="str">
        <f>"25140"</f>
        <v>25140</v>
      </c>
      <c r="E11892" t="str">
        <f t="shared" si="2312"/>
        <v>1</v>
      </c>
      <c r="F11892" t="str">
        <f t="shared" si="2307"/>
        <v>COM</v>
      </c>
      <c r="G11892" t="str">
        <f>"JOMAR GONÇALVES DIAS (16)"</f>
        <v>JOMAR GONÇALVES DIAS (16)</v>
      </c>
      <c r="H11892" t="str">
        <f>"Serv.Prest. 03/11/2025 a 09/11/2025 - PIX: CPF - CHAVE: 602.838.315-53"</f>
        <v>Serv.Prest. 03/11/2025 a 09/11/2025 - PIX: CPF - CHAVE: 602.838.315-53</v>
      </c>
      <c r="I11892" t="str">
        <f t="shared" si="2311"/>
        <v>20/11/2025</v>
      </c>
      <c r="J11892" t="str">
        <f t="shared" si="2313"/>
        <v>11/11/2025</v>
      </c>
      <c r="K11892" t="str">
        <f>("21/11/2025")</f>
        <v>21/11/2025</v>
      </c>
      <c r="L11892">
        <v>1149.5</v>
      </c>
      <c r="M11892">
        <v>1149.5</v>
      </c>
      <c r="N11892">
        <v>109</v>
      </c>
      <c r="O11892" t="str">
        <f>"PAGAMENTO DE ENTREGADORES"</f>
        <v>PAGAMENTO DE ENTREGADORES</v>
      </c>
      <c r="P11892">
        <v>1149.5</v>
      </c>
      <c r="S11892" t="str">
        <f>"BANCO C6 (149)"</f>
        <v>BANCO C6 (149)</v>
      </c>
      <c r="T11892">
        <v>21374</v>
      </c>
      <c r="U11892">
        <v>25140</v>
      </c>
      <c r="V11892" t="s">
        <v>77</v>
      </c>
    </row>
    <row r="11893" spans="1:22">
      <c r="A11893" t="str">
        <f t="shared" si="2309"/>
        <v>21/11/2025</v>
      </c>
      <c r="B11893" t="str">
        <f t="shared" si="2308"/>
        <v>SAÍDA</v>
      </c>
      <c r="C11893" t="str">
        <f t="shared" si="2310"/>
        <v>PIX</v>
      </c>
      <c r="D11893" t="str">
        <f>"25140"</f>
        <v>25140</v>
      </c>
      <c r="E11893" t="str">
        <f t="shared" si="2312"/>
        <v>1</v>
      </c>
      <c r="F11893" t="str">
        <f t="shared" si="2307"/>
        <v>COM</v>
      </c>
      <c r="G11893" t="str">
        <f>"JOMAR GONÇALVES DIAS (16)"</f>
        <v>JOMAR GONÇALVES DIAS (16)</v>
      </c>
      <c r="H11893" t="s">
        <v>3190</v>
      </c>
      <c r="I11893" t="str">
        <f t="shared" si="2311"/>
        <v>20/11/2025</v>
      </c>
      <c r="J11893" t="str">
        <f t="shared" si="2313"/>
        <v>11/11/2025</v>
      </c>
      <c r="K11893">
        <v>45982</v>
      </c>
      <c r="N11893">
        <v>109</v>
      </c>
      <c r="O11893" t="s">
        <v>24</v>
      </c>
      <c r="Q11893">
        <v>27.47</v>
      </c>
      <c r="R11893" t="str">
        <f>"FARMÁCIA INDIANA LJ 40 (10016)"</f>
        <v>FARMÁCIA INDIANA LJ 40 (10016)</v>
      </c>
      <c r="S11893" t="s">
        <v>77</v>
      </c>
      <c r="T11893">
        <v>21374</v>
      </c>
      <c r="U11893">
        <v>25140</v>
      </c>
      <c r="V11893" t="s">
        <v>77</v>
      </c>
    </row>
    <row r="11894" spans="1:22">
      <c r="A11894" t="str">
        <f t="shared" si="2309"/>
        <v>21/11/2025</v>
      </c>
      <c r="B11894" t="str">
        <f t="shared" si="2308"/>
        <v>SAÍDA</v>
      </c>
      <c r="C11894" t="str">
        <f t="shared" si="2310"/>
        <v>PIX</v>
      </c>
      <c r="D11894" t="str">
        <f>"25140"</f>
        <v>25140</v>
      </c>
      <c r="E11894" t="str">
        <f t="shared" si="2312"/>
        <v>1</v>
      </c>
      <c r="F11894" t="str">
        <f t="shared" si="2307"/>
        <v>COM</v>
      </c>
      <c r="G11894" t="str">
        <f>"JOMAR GONÇALVES DIAS (16)"</f>
        <v>JOMAR GONÇALVES DIAS (16)</v>
      </c>
      <c r="H11894" t="s">
        <v>3190</v>
      </c>
      <c r="I11894" t="str">
        <f t="shared" si="2311"/>
        <v>20/11/2025</v>
      </c>
      <c r="J11894" t="str">
        <f t="shared" si="2313"/>
        <v>11/11/2025</v>
      </c>
      <c r="K11894">
        <v>45982</v>
      </c>
      <c r="N11894">
        <v>109</v>
      </c>
      <c r="O11894" t="s">
        <v>24</v>
      </c>
      <c r="Q11894">
        <v>1122.03</v>
      </c>
      <c r="R11894" t="str">
        <f>"FARMÁCIA INDIANA LJ 61 (10027)"</f>
        <v>FARMÁCIA INDIANA LJ 61 (10027)</v>
      </c>
      <c r="S11894" t="s">
        <v>77</v>
      </c>
      <c r="T11894">
        <v>21374</v>
      </c>
      <c r="U11894">
        <v>25140</v>
      </c>
      <c r="V11894" t="s">
        <v>77</v>
      </c>
    </row>
    <row r="11895" spans="1:22">
      <c r="A11895" t="str">
        <f t="shared" si="2309"/>
        <v>21/11/2025</v>
      </c>
      <c r="B11895" t="str">
        <f t="shared" si="2308"/>
        <v>SAÍDA</v>
      </c>
      <c r="C11895" t="str">
        <f t="shared" si="2310"/>
        <v>PIX</v>
      </c>
      <c r="D11895" t="str">
        <f>"25141"</f>
        <v>25141</v>
      </c>
      <c r="E11895" t="str">
        <f t="shared" si="2312"/>
        <v>1</v>
      </c>
      <c r="F11895" t="str">
        <f t="shared" si="2307"/>
        <v>COM</v>
      </c>
      <c r="G11895" t="str">
        <f>"JOSÉ CARLOS DA COSTA (83)"</f>
        <v>JOSÉ CARLOS DA COSTA (83)</v>
      </c>
      <c r="H11895" t="str">
        <f>"Serv.Prest. 03/11/2025 a 09/11/2025 - PIX: CPF - CHAVE: 043.301.196-33"</f>
        <v>Serv.Prest. 03/11/2025 a 09/11/2025 - PIX: CPF - CHAVE: 043.301.196-33</v>
      </c>
      <c r="I11895" t="str">
        <f t="shared" si="2311"/>
        <v>20/11/2025</v>
      </c>
      <c r="J11895" t="str">
        <f t="shared" si="2313"/>
        <v>11/11/2025</v>
      </c>
      <c r="K11895" t="str">
        <f>("21/11/2025")</f>
        <v>21/11/2025</v>
      </c>
      <c r="L11895">
        <v>690</v>
      </c>
      <c r="M11895">
        <v>690</v>
      </c>
      <c r="N11895">
        <v>109</v>
      </c>
      <c r="O11895" t="str">
        <f>"PAGAMENTO DE ENTREGADORES"</f>
        <v>PAGAMENTO DE ENTREGADORES</v>
      </c>
      <c r="P11895">
        <v>690</v>
      </c>
      <c r="S11895" t="str">
        <f>"BANCO C6 (149)"</f>
        <v>BANCO C6 (149)</v>
      </c>
      <c r="T11895">
        <v>21375</v>
      </c>
      <c r="U11895">
        <v>25141</v>
      </c>
      <c r="V11895" t="s">
        <v>77</v>
      </c>
    </row>
    <row r="11896" spans="1:22">
      <c r="A11896" t="str">
        <f t="shared" si="2309"/>
        <v>21/11/2025</v>
      </c>
      <c r="B11896" t="str">
        <f t="shared" si="2308"/>
        <v>SAÍDA</v>
      </c>
      <c r="C11896" t="str">
        <f t="shared" si="2310"/>
        <v>PIX</v>
      </c>
      <c r="D11896" t="str">
        <f>"25141"</f>
        <v>25141</v>
      </c>
      <c r="E11896" t="str">
        <f t="shared" si="2312"/>
        <v>1</v>
      </c>
      <c r="F11896" t="str">
        <f t="shared" si="2307"/>
        <v>COM</v>
      </c>
      <c r="G11896" t="str">
        <f>"JOSÉ CARLOS DA COSTA (83)"</f>
        <v>JOSÉ CARLOS DA COSTA (83)</v>
      </c>
      <c r="H11896" t="s">
        <v>3191</v>
      </c>
      <c r="I11896" t="str">
        <f t="shared" si="2311"/>
        <v>20/11/2025</v>
      </c>
      <c r="J11896" t="str">
        <f t="shared" si="2313"/>
        <v>11/11/2025</v>
      </c>
      <c r="K11896">
        <v>45982</v>
      </c>
      <c r="N11896">
        <v>109</v>
      </c>
      <c r="O11896" t="s">
        <v>24</v>
      </c>
      <c r="Q11896">
        <v>690</v>
      </c>
      <c r="R11896" t="str">
        <f>"FARMÁCIA INDIANA LJ 152 (10069)"</f>
        <v>FARMÁCIA INDIANA LJ 152 (10069)</v>
      </c>
      <c r="S11896" t="s">
        <v>77</v>
      </c>
      <c r="T11896">
        <v>21375</v>
      </c>
      <c r="U11896">
        <v>25141</v>
      </c>
      <c r="V11896" t="s">
        <v>77</v>
      </c>
    </row>
    <row r="11897" spans="1:22">
      <c r="A11897" t="str">
        <f t="shared" si="2309"/>
        <v>21/11/2025</v>
      </c>
      <c r="B11897" t="str">
        <f t="shared" si="2308"/>
        <v>SAÍDA</v>
      </c>
      <c r="C11897" t="str">
        <f t="shared" si="2310"/>
        <v>PIX</v>
      </c>
      <c r="D11897" t="str">
        <f>"25143"</f>
        <v>25143</v>
      </c>
      <c r="E11897" t="str">
        <f t="shared" si="2312"/>
        <v>1</v>
      </c>
      <c r="F11897" t="str">
        <f t="shared" si="2307"/>
        <v>COM</v>
      </c>
      <c r="G11897" t="str">
        <f>"JUBER FERREIRA SILVA BASTOS (192)"</f>
        <v>JUBER FERREIRA SILVA BASTOS (192)</v>
      </c>
      <c r="H11897" t="str">
        <f>"Serv.Prest. 03/11/2025 a 09/11/2025 - PIX: CPF - CHAVE: 012.459.366-62"</f>
        <v>Serv.Prest. 03/11/2025 a 09/11/2025 - PIX: CPF - CHAVE: 012.459.366-62</v>
      </c>
      <c r="I11897" t="str">
        <f t="shared" si="2311"/>
        <v>20/11/2025</v>
      </c>
      <c r="J11897" t="str">
        <f t="shared" si="2313"/>
        <v>11/11/2025</v>
      </c>
      <c r="K11897" t="str">
        <f>("21/11/2025")</f>
        <v>21/11/2025</v>
      </c>
      <c r="L11897">
        <v>1080</v>
      </c>
      <c r="M11897">
        <v>1080</v>
      </c>
      <c r="N11897">
        <v>109</v>
      </c>
      <c r="O11897" t="str">
        <f>"PAGAMENTO DE ENTREGADORES"</f>
        <v>PAGAMENTO DE ENTREGADORES</v>
      </c>
      <c r="P11897">
        <v>1080</v>
      </c>
      <c r="S11897" t="str">
        <f>"BANCO C6 (149)"</f>
        <v>BANCO C6 (149)</v>
      </c>
      <c r="T11897">
        <v>21376</v>
      </c>
      <c r="U11897">
        <v>25143</v>
      </c>
      <c r="V11897" t="s">
        <v>77</v>
      </c>
    </row>
    <row r="11898" spans="1:22">
      <c r="A11898" t="str">
        <f t="shared" si="2309"/>
        <v>21/11/2025</v>
      </c>
      <c r="B11898" t="str">
        <f t="shared" si="2308"/>
        <v>SAÍDA</v>
      </c>
      <c r="C11898" t="str">
        <f t="shared" si="2310"/>
        <v>PIX</v>
      </c>
      <c r="D11898" t="str">
        <f>"25143"</f>
        <v>25143</v>
      </c>
      <c r="E11898" t="str">
        <f t="shared" si="2312"/>
        <v>1</v>
      </c>
      <c r="F11898" t="str">
        <f t="shared" ref="F11898:F11961" si="2314">"COM"</f>
        <v>COM</v>
      </c>
      <c r="G11898" t="str">
        <f>"JUBER FERREIRA SILVA BASTOS (192)"</f>
        <v>JUBER FERREIRA SILVA BASTOS (192)</v>
      </c>
      <c r="H11898" t="s">
        <v>3192</v>
      </c>
      <c r="I11898" t="str">
        <f t="shared" si="2311"/>
        <v>20/11/2025</v>
      </c>
      <c r="J11898" t="str">
        <f t="shared" si="2313"/>
        <v>11/11/2025</v>
      </c>
      <c r="K11898">
        <v>45982</v>
      </c>
      <c r="N11898">
        <v>109</v>
      </c>
      <c r="O11898" t="s">
        <v>24</v>
      </c>
      <c r="Q11898">
        <v>1080</v>
      </c>
      <c r="R11898" t="str">
        <f>"FARMÁCIA INDIANA LJ 06 (10006)"</f>
        <v>FARMÁCIA INDIANA LJ 06 (10006)</v>
      </c>
      <c r="S11898" t="s">
        <v>77</v>
      </c>
      <c r="T11898">
        <v>21376</v>
      </c>
      <c r="U11898">
        <v>25143</v>
      </c>
      <c r="V11898" t="s">
        <v>77</v>
      </c>
    </row>
    <row r="11899" spans="1:22">
      <c r="A11899" t="str">
        <f t="shared" si="2309"/>
        <v>21/11/2025</v>
      </c>
      <c r="B11899" t="str">
        <f t="shared" si="2308"/>
        <v>SAÍDA</v>
      </c>
      <c r="C11899" t="str">
        <f t="shared" si="2310"/>
        <v>PIX</v>
      </c>
      <c r="D11899" t="str">
        <f>"25144"</f>
        <v>25144</v>
      </c>
      <c r="E11899" t="str">
        <f t="shared" si="2312"/>
        <v>1</v>
      </c>
      <c r="F11899" t="str">
        <f t="shared" si="2314"/>
        <v>COM</v>
      </c>
      <c r="G11899" t="str">
        <f>"JUNIO DE ANDRADE ARRUDA (145)"</f>
        <v>JUNIO DE ANDRADE ARRUDA (145)</v>
      </c>
      <c r="H11899" t="str">
        <f>"Serv.Prest. 03/11/2025 a 09/11/2025 - PIX: CPF - CHAVE: 077.488.126-75"</f>
        <v>Serv.Prest. 03/11/2025 a 09/11/2025 - PIX: CPF - CHAVE: 077.488.126-75</v>
      </c>
      <c r="I11899" t="str">
        <f t="shared" si="2311"/>
        <v>20/11/2025</v>
      </c>
      <c r="J11899" t="str">
        <f t="shared" si="2313"/>
        <v>11/11/2025</v>
      </c>
      <c r="K11899" t="str">
        <f>("21/11/2025")</f>
        <v>21/11/2025</v>
      </c>
      <c r="L11899">
        <v>708</v>
      </c>
      <c r="M11899">
        <v>708</v>
      </c>
      <c r="N11899">
        <v>109</v>
      </c>
      <c r="O11899" t="str">
        <f>"PAGAMENTO DE ENTREGADORES"</f>
        <v>PAGAMENTO DE ENTREGADORES</v>
      </c>
      <c r="P11899">
        <v>708</v>
      </c>
      <c r="S11899" t="str">
        <f>"BANCO C6 (149)"</f>
        <v>BANCO C6 (149)</v>
      </c>
      <c r="T11899">
        <v>21377</v>
      </c>
      <c r="U11899">
        <v>25144</v>
      </c>
      <c r="V11899" t="s">
        <v>77</v>
      </c>
    </row>
    <row r="11900" spans="1:22">
      <c r="A11900" t="str">
        <f t="shared" si="2309"/>
        <v>21/11/2025</v>
      </c>
      <c r="B11900" t="str">
        <f t="shared" si="2308"/>
        <v>SAÍDA</v>
      </c>
      <c r="C11900" t="str">
        <f t="shared" si="2310"/>
        <v>PIX</v>
      </c>
      <c r="D11900" t="str">
        <f>"25144"</f>
        <v>25144</v>
      </c>
      <c r="E11900" t="str">
        <f t="shared" si="2312"/>
        <v>1</v>
      </c>
      <c r="F11900" t="str">
        <f t="shared" si="2314"/>
        <v>COM</v>
      </c>
      <c r="G11900" t="str">
        <f>"JUNIO DE ANDRADE ARRUDA (145)"</f>
        <v>JUNIO DE ANDRADE ARRUDA (145)</v>
      </c>
      <c r="H11900" t="s">
        <v>3193</v>
      </c>
      <c r="I11900" t="str">
        <f t="shared" si="2311"/>
        <v>20/11/2025</v>
      </c>
      <c r="J11900" t="str">
        <f t="shared" si="2313"/>
        <v>11/11/2025</v>
      </c>
      <c r="K11900">
        <v>45982</v>
      </c>
      <c r="N11900">
        <v>109</v>
      </c>
      <c r="O11900" t="s">
        <v>24</v>
      </c>
      <c r="Q11900">
        <v>708</v>
      </c>
      <c r="R11900" t="str">
        <f>"FARMÁCIA INDIANA LJ 19 (10012)"</f>
        <v>FARMÁCIA INDIANA LJ 19 (10012)</v>
      </c>
      <c r="S11900" t="s">
        <v>77</v>
      </c>
      <c r="T11900">
        <v>21377</v>
      </c>
      <c r="U11900">
        <v>25144</v>
      </c>
      <c r="V11900" t="s">
        <v>77</v>
      </c>
    </row>
    <row r="11901" spans="1:22">
      <c r="A11901" t="str">
        <f t="shared" si="2309"/>
        <v>21/11/2025</v>
      </c>
      <c r="B11901" t="str">
        <f t="shared" si="2308"/>
        <v>SAÍDA</v>
      </c>
      <c r="C11901" t="str">
        <f t="shared" si="2310"/>
        <v>PIX</v>
      </c>
      <c r="D11901" t="str">
        <f>"25145"</f>
        <v>25145</v>
      </c>
      <c r="E11901" t="str">
        <f t="shared" si="2312"/>
        <v>1</v>
      </c>
      <c r="F11901" t="str">
        <f t="shared" si="2314"/>
        <v>COM</v>
      </c>
      <c r="G11901" t="str">
        <f>"JUNIOR DOS SANTOS MACHADO (240)"</f>
        <v>JUNIOR DOS SANTOS MACHADO (240)</v>
      </c>
      <c r="H11901" t="str">
        <f>"Serv.Prest. 03/11/2025 a 09/11/2025 - PIX: CPF - CHAVE: 074.520.456-29"</f>
        <v>Serv.Prest. 03/11/2025 a 09/11/2025 - PIX: CPF - CHAVE: 074.520.456-29</v>
      </c>
      <c r="I11901" t="str">
        <f t="shared" si="2311"/>
        <v>20/11/2025</v>
      </c>
      <c r="J11901" t="str">
        <f t="shared" si="2313"/>
        <v>11/11/2025</v>
      </c>
      <c r="K11901" t="str">
        <f>("21/11/2025")</f>
        <v>21/11/2025</v>
      </c>
      <c r="L11901">
        <v>605</v>
      </c>
      <c r="M11901">
        <v>605</v>
      </c>
      <c r="N11901">
        <v>109</v>
      </c>
      <c r="O11901" t="str">
        <f>"PAGAMENTO DE ENTREGADORES"</f>
        <v>PAGAMENTO DE ENTREGADORES</v>
      </c>
      <c r="P11901">
        <v>605</v>
      </c>
      <c r="S11901" t="str">
        <f>"BANCO C6 (149)"</f>
        <v>BANCO C6 (149)</v>
      </c>
      <c r="T11901">
        <v>21378</v>
      </c>
      <c r="U11901">
        <v>25145</v>
      </c>
      <c r="V11901" t="s">
        <v>77</v>
      </c>
    </row>
    <row r="11902" spans="1:22">
      <c r="A11902" t="str">
        <f t="shared" si="2309"/>
        <v>21/11/2025</v>
      </c>
      <c r="B11902" t="str">
        <f t="shared" si="2308"/>
        <v>SAÍDA</v>
      </c>
      <c r="C11902" t="str">
        <f t="shared" si="2310"/>
        <v>PIX</v>
      </c>
      <c r="D11902" t="str">
        <f>"25145"</f>
        <v>25145</v>
      </c>
      <c r="E11902" t="str">
        <f t="shared" si="2312"/>
        <v>1</v>
      </c>
      <c r="F11902" t="str">
        <f t="shared" si="2314"/>
        <v>COM</v>
      </c>
      <c r="G11902" t="str">
        <f>"JUNIOR DOS SANTOS MACHADO (240)"</f>
        <v>JUNIOR DOS SANTOS MACHADO (240)</v>
      </c>
      <c r="H11902" t="s">
        <v>3194</v>
      </c>
      <c r="I11902" t="str">
        <f t="shared" si="2311"/>
        <v>20/11/2025</v>
      </c>
      <c r="J11902" t="str">
        <f t="shared" si="2313"/>
        <v>11/11/2025</v>
      </c>
      <c r="K11902">
        <v>45982</v>
      </c>
      <c r="N11902">
        <v>109</v>
      </c>
      <c r="O11902" t="s">
        <v>24</v>
      </c>
      <c r="Q11902">
        <v>605</v>
      </c>
      <c r="R11902" t="str">
        <f>"FARMÁCIA INDIANA LJ 62 (10028)"</f>
        <v>FARMÁCIA INDIANA LJ 62 (10028)</v>
      </c>
      <c r="S11902" t="s">
        <v>77</v>
      </c>
      <c r="T11902">
        <v>21378</v>
      </c>
      <c r="U11902">
        <v>25145</v>
      </c>
      <c r="V11902" t="s">
        <v>77</v>
      </c>
    </row>
    <row r="11903" spans="1:22">
      <c r="A11903" t="str">
        <f t="shared" si="2309"/>
        <v>21/11/2025</v>
      </c>
      <c r="B11903" t="str">
        <f t="shared" si="2308"/>
        <v>SAÍDA</v>
      </c>
      <c r="C11903" t="str">
        <f t="shared" si="2310"/>
        <v>PIX</v>
      </c>
      <c r="D11903" t="str">
        <f>"25147"</f>
        <v>25147</v>
      </c>
      <c r="E11903" t="str">
        <f t="shared" si="2312"/>
        <v>1</v>
      </c>
      <c r="F11903" t="str">
        <f t="shared" si="2314"/>
        <v>COM</v>
      </c>
      <c r="G11903" t="str">
        <f>"KALESSON BARROSO DIAS (216)"</f>
        <v>KALESSON BARROSO DIAS (216)</v>
      </c>
      <c r="H11903" t="str">
        <f>"Serv.Prest. 03/11/2025 a 09/11/2025 - PIX: CELULAR - CHAVE: (33) 99106-9330"</f>
        <v>Serv.Prest. 03/11/2025 a 09/11/2025 - PIX: CELULAR - CHAVE: (33) 99106-9330</v>
      </c>
      <c r="I11903" t="str">
        <f t="shared" si="2311"/>
        <v>20/11/2025</v>
      </c>
      <c r="J11903" t="str">
        <f t="shared" si="2313"/>
        <v>11/11/2025</v>
      </c>
      <c r="K11903" t="str">
        <f>("21/11/2025")</f>
        <v>21/11/2025</v>
      </c>
      <c r="L11903">
        <v>1080</v>
      </c>
      <c r="M11903">
        <v>1080</v>
      </c>
      <c r="N11903">
        <v>109</v>
      </c>
      <c r="O11903" t="str">
        <f>"PAGAMENTO DE ENTREGADORES"</f>
        <v>PAGAMENTO DE ENTREGADORES</v>
      </c>
      <c r="P11903">
        <v>1080</v>
      </c>
      <c r="S11903" t="str">
        <f>"BANCO C6 (149)"</f>
        <v>BANCO C6 (149)</v>
      </c>
      <c r="T11903">
        <v>21379</v>
      </c>
      <c r="U11903">
        <v>25147</v>
      </c>
      <c r="V11903" t="s">
        <v>77</v>
      </c>
    </row>
    <row r="11904" spans="1:22">
      <c r="A11904" t="str">
        <f t="shared" si="2309"/>
        <v>21/11/2025</v>
      </c>
      <c r="B11904" t="str">
        <f t="shared" si="2308"/>
        <v>SAÍDA</v>
      </c>
      <c r="C11904" t="str">
        <f t="shared" si="2310"/>
        <v>PIX</v>
      </c>
      <c r="D11904" t="str">
        <f>"25147"</f>
        <v>25147</v>
      </c>
      <c r="E11904" t="str">
        <f t="shared" si="2312"/>
        <v>1</v>
      </c>
      <c r="F11904" t="str">
        <f t="shared" si="2314"/>
        <v>COM</v>
      </c>
      <c r="G11904" t="str">
        <f>"KALESSON BARROSO DIAS (216)"</f>
        <v>KALESSON BARROSO DIAS (216)</v>
      </c>
      <c r="H11904" t="s">
        <v>3195</v>
      </c>
      <c r="I11904" t="str">
        <f t="shared" si="2311"/>
        <v>20/11/2025</v>
      </c>
      <c r="J11904" t="str">
        <f t="shared" si="2313"/>
        <v>11/11/2025</v>
      </c>
      <c r="K11904">
        <v>45982</v>
      </c>
      <c r="N11904">
        <v>109</v>
      </c>
      <c r="O11904" t="s">
        <v>24</v>
      </c>
      <c r="Q11904">
        <v>1080</v>
      </c>
      <c r="R11904" t="str">
        <f>"FARMÁCIA INDIANA LJ 06 (10006)"</f>
        <v>FARMÁCIA INDIANA LJ 06 (10006)</v>
      </c>
      <c r="S11904" t="s">
        <v>77</v>
      </c>
      <c r="T11904">
        <v>21379</v>
      </c>
      <c r="U11904">
        <v>25147</v>
      </c>
      <c r="V11904" t="s">
        <v>77</v>
      </c>
    </row>
    <row r="11905" spans="1:22">
      <c r="A11905" t="str">
        <f t="shared" si="2309"/>
        <v>21/11/2025</v>
      </c>
      <c r="B11905" t="str">
        <f t="shared" si="2308"/>
        <v>SAÍDA</v>
      </c>
      <c r="C11905" t="str">
        <f t="shared" si="2310"/>
        <v>PIX</v>
      </c>
      <c r="D11905" t="str">
        <f>"25148"</f>
        <v>25148</v>
      </c>
      <c r="E11905" t="str">
        <f t="shared" si="2312"/>
        <v>1</v>
      </c>
      <c r="F11905" t="str">
        <f t="shared" si="2314"/>
        <v>COM</v>
      </c>
      <c r="G11905" t="str">
        <f>"KELVIN NUBIO DE SOUZA TOLEDO (735)"</f>
        <v>KELVIN NUBIO DE SOUZA TOLEDO (735)</v>
      </c>
      <c r="H11905" t="str">
        <f>"Serv.Prest. 03/11/2025 a 09/11/2025 - PIX: CHAVE ALEATÓRIA - CHAVE: c489bee1-360b-4fa9-86c4-fbb0e9844cb8"</f>
        <v>Serv.Prest. 03/11/2025 a 09/11/2025 - PIX: CHAVE ALEATÓRIA - CHAVE: c489bee1-360b-4fa9-86c4-fbb0e9844cb8</v>
      </c>
      <c r="I11905" t="str">
        <f t="shared" si="2311"/>
        <v>20/11/2025</v>
      </c>
      <c r="J11905" t="str">
        <f t="shared" si="2313"/>
        <v>11/11/2025</v>
      </c>
      <c r="K11905" t="str">
        <f>("21/11/2025")</f>
        <v>21/11/2025</v>
      </c>
      <c r="L11905">
        <v>180</v>
      </c>
      <c r="M11905">
        <v>180</v>
      </c>
      <c r="N11905">
        <v>109</v>
      </c>
      <c r="O11905" t="str">
        <f>"PAGAMENTO DE ENTREGADORES"</f>
        <v>PAGAMENTO DE ENTREGADORES</v>
      </c>
      <c r="P11905">
        <v>180</v>
      </c>
      <c r="S11905" t="str">
        <f>"BANCO C6 (149)"</f>
        <v>BANCO C6 (149)</v>
      </c>
      <c r="T11905">
        <v>21380</v>
      </c>
      <c r="U11905">
        <v>25148</v>
      </c>
      <c r="V11905" t="s">
        <v>77</v>
      </c>
    </row>
    <row r="11906" spans="1:22">
      <c r="A11906" t="str">
        <f t="shared" si="2309"/>
        <v>21/11/2025</v>
      </c>
      <c r="B11906" t="str">
        <f t="shared" si="2308"/>
        <v>SAÍDA</v>
      </c>
      <c r="C11906" t="str">
        <f t="shared" si="2310"/>
        <v>PIX</v>
      </c>
      <c r="D11906" t="str">
        <f>"25148"</f>
        <v>25148</v>
      </c>
      <c r="E11906" t="str">
        <f t="shared" si="2312"/>
        <v>1</v>
      </c>
      <c r="F11906" t="str">
        <f t="shared" si="2314"/>
        <v>COM</v>
      </c>
      <c r="G11906" t="str">
        <f>"KELVIN NUBIO DE SOUZA TOLEDO (735)"</f>
        <v>KELVIN NUBIO DE SOUZA TOLEDO (735)</v>
      </c>
      <c r="H11906" t="s">
        <v>3196</v>
      </c>
      <c r="I11906" t="str">
        <f t="shared" si="2311"/>
        <v>20/11/2025</v>
      </c>
      <c r="J11906" t="str">
        <f t="shared" si="2313"/>
        <v>11/11/2025</v>
      </c>
      <c r="K11906">
        <v>45982</v>
      </c>
      <c r="N11906">
        <v>109</v>
      </c>
      <c r="O11906" t="s">
        <v>24</v>
      </c>
      <c r="Q11906">
        <v>180</v>
      </c>
      <c r="R11906" t="str">
        <f>"FARMÁCIA INDIANA LJ 152 (10069)"</f>
        <v>FARMÁCIA INDIANA LJ 152 (10069)</v>
      </c>
      <c r="S11906" t="s">
        <v>77</v>
      </c>
      <c r="T11906">
        <v>21380</v>
      </c>
      <c r="U11906">
        <v>25148</v>
      </c>
      <c r="V11906" t="s">
        <v>77</v>
      </c>
    </row>
    <row r="11907" spans="1:22">
      <c r="A11907" t="str">
        <f t="shared" si="2309"/>
        <v>21/11/2025</v>
      </c>
      <c r="B11907" t="str">
        <f t="shared" si="2308"/>
        <v>SAÍDA</v>
      </c>
      <c r="C11907" t="str">
        <f t="shared" si="2310"/>
        <v>PIX</v>
      </c>
      <c r="D11907" t="str">
        <f>"25150"</f>
        <v>25150</v>
      </c>
      <c r="E11907" t="str">
        <f t="shared" si="2312"/>
        <v>1</v>
      </c>
      <c r="F11907" t="str">
        <f t="shared" si="2314"/>
        <v>COM</v>
      </c>
      <c r="G11907" t="str">
        <f>"LEVERCI DA SILVA COURA (138)"</f>
        <v>LEVERCI DA SILVA COURA (138)</v>
      </c>
      <c r="H11907" t="str">
        <f>"Serv.Prest. 03/11/2025 a 09/11/2025 - PIX: CELULAR - CHAVE: (31) 99850-4727"</f>
        <v>Serv.Prest. 03/11/2025 a 09/11/2025 - PIX: CELULAR - CHAVE: (31) 99850-4727</v>
      </c>
      <c r="I11907" t="str">
        <f t="shared" si="2311"/>
        <v>20/11/2025</v>
      </c>
      <c r="J11907" t="str">
        <f t="shared" si="2313"/>
        <v>11/11/2025</v>
      </c>
      <c r="K11907" t="str">
        <f>("21/11/2025")</f>
        <v>21/11/2025</v>
      </c>
      <c r="L11907">
        <v>744</v>
      </c>
      <c r="M11907">
        <v>744</v>
      </c>
      <c r="N11907">
        <v>109</v>
      </c>
      <c r="O11907" t="str">
        <f>"PAGAMENTO DE ENTREGADORES"</f>
        <v>PAGAMENTO DE ENTREGADORES</v>
      </c>
      <c r="P11907">
        <v>744</v>
      </c>
      <c r="S11907" t="str">
        <f>"BANCO C6 (149)"</f>
        <v>BANCO C6 (149)</v>
      </c>
      <c r="T11907">
        <v>21381</v>
      </c>
      <c r="U11907">
        <v>25150</v>
      </c>
      <c r="V11907" t="s">
        <v>77</v>
      </c>
    </row>
    <row r="11908" spans="1:22">
      <c r="A11908" t="str">
        <f t="shared" si="2309"/>
        <v>21/11/2025</v>
      </c>
      <c r="B11908" t="str">
        <f t="shared" si="2308"/>
        <v>SAÍDA</v>
      </c>
      <c r="C11908" t="str">
        <f t="shared" si="2310"/>
        <v>PIX</v>
      </c>
      <c r="D11908" t="str">
        <f>"25150"</f>
        <v>25150</v>
      </c>
      <c r="E11908" t="str">
        <f t="shared" si="2312"/>
        <v>1</v>
      </c>
      <c r="F11908" t="str">
        <f t="shared" si="2314"/>
        <v>COM</v>
      </c>
      <c r="G11908" t="str">
        <f>"LEVERCI DA SILVA COURA (138)"</f>
        <v>LEVERCI DA SILVA COURA (138)</v>
      </c>
      <c r="H11908" t="s">
        <v>3197</v>
      </c>
      <c r="I11908" t="str">
        <f t="shared" si="2311"/>
        <v>20/11/2025</v>
      </c>
      <c r="J11908" t="str">
        <f t="shared" si="2313"/>
        <v>11/11/2025</v>
      </c>
      <c r="K11908">
        <v>45982</v>
      </c>
      <c r="N11908">
        <v>109</v>
      </c>
      <c r="O11908" t="s">
        <v>24</v>
      </c>
      <c r="Q11908">
        <v>744</v>
      </c>
      <c r="R11908" t="str">
        <f>"FARMÁCIA INDIANA LJ 18 (10011)"</f>
        <v>FARMÁCIA INDIANA LJ 18 (10011)</v>
      </c>
      <c r="S11908" t="s">
        <v>77</v>
      </c>
      <c r="T11908">
        <v>21381</v>
      </c>
      <c r="U11908">
        <v>25150</v>
      </c>
      <c r="V11908" t="s">
        <v>77</v>
      </c>
    </row>
    <row r="11909" spans="1:22">
      <c r="A11909" t="str">
        <f t="shared" si="2309"/>
        <v>21/11/2025</v>
      </c>
      <c r="B11909" t="str">
        <f t="shared" ref="B11909:B11972" si="2315">"SAÍDA"</f>
        <v>SAÍDA</v>
      </c>
      <c r="C11909" t="str">
        <f t="shared" si="2310"/>
        <v>PIX</v>
      </c>
      <c r="D11909" t="str">
        <f>"25151"</f>
        <v>25151</v>
      </c>
      <c r="E11909" t="str">
        <f t="shared" si="2312"/>
        <v>1</v>
      </c>
      <c r="F11909" t="str">
        <f t="shared" si="2314"/>
        <v>COM</v>
      </c>
      <c r="G11909" t="str">
        <f>"LUAN DOS SANTOS NUNES (719)"</f>
        <v>LUAN DOS SANTOS NUNES (719)</v>
      </c>
      <c r="H11909" t="str">
        <f>"Serv.Prest. 03/11/2025 a 09/11/2025 - PIX: CELULAR - CHAVE: (33) 98749-4693"</f>
        <v>Serv.Prest. 03/11/2025 a 09/11/2025 - PIX: CELULAR - CHAVE: (33) 98749-4693</v>
      </c>
      <c r="I11909" t="str">
        <f t="shared" si="2311"/>
        <v>20/11/2025</v>
      </c>
      <c r="J11909" t="str">
        <f t="shared" si="2313"/>
        <v>11/11/2025</v>
      </c>
      <c r="K11909" t="str">
        <f>("21/11/2025")</f>
        <v>21/11/2025</v>
      </c>
      <c r="L11909">
        <v>1567.5</v>
      </c>
      <c r="M11909">
        <v>1567.5</v>
      </c>
      <c r="N11909">
        <v>109</v>
      </c>
      <c r="O11909" t="str">
        <f>"PAGAMENTO DE ENTREGADORES"</f>
        <v>PAGAMENTO DE ENTREGADORES</v>
      </c>
      <c r="P11909">
        <v>1567.5</v>
      </c>
      <c r="S11909" t="str">
        <f>"BANCO C6 (149)"</f>
        <v>BANCO C6 (149)</v>
      </c>
      <c r="T11909">
        <v>21382</v>
      </c>
      <c r="U11909">
        <v>25151</v>
      </c>
      <c r="V11909" t="s">
        <v>77</v>
      </c>
    </row>
    <row r="11910" spans="1:22">
      <c r="A11910" t="str">
        <f t="shared" si="2309"/>
        <v>21/11/2025</v>
      </c>
      <c r="B11910" t="str">
        <f t="shared" si="2315"/>
        <v>SAÍDA</v>
      </c>
      <c r="C11910" t="str">
        <f t="shared" si="2310"/>
        <v>PIX</v>
      </c>
      <c r="D11910" t="str">
        <f>"25151"</f>
        <v>25151</v>
      </c>
      <c r="E11910" t="str">
        <f t="shared" si="2312"/>
        <v>1</v>
      </c>
      <c r="F11910" t="str">
        <f t="shared" si="2314"/>
        <v>COM</v>
      </c>
      <c r="G11910" t="str">
        <f>"LUAN DOS SANTOS NUNES (719)"</f>
        <v>LUAN DOS SANTOS NUNES (719)</v>
      </c>
      <c r="H11910" t="s">
        <v>3198</v>
      </c>
      <c r="I11910" t="str">
        <f t="shared" si="2311"/>
        <v>20/11/2025</v>
      </c>
      <c r="J11910" t="str">
        <f t="shared" si="2313"/>
        <v>11/11/2025</v>
      </c>
      <c r="K11910">
        <v>45982</v>
      </c>
      <c r="N11910">
        <v>109</v>
      </c>
      <c r="O11910" t="s">
        <v>24</v>
      </c>
      <c r="Q11910">
        <v>153.93</v>
      </c>
      <c r="R11910" t="str">
        <f>"FARMÁCIA INDIANA LJ 40 (10016)"</f>
        <v>FARMÁCIA INDIANA LJ 40 (10016)</v>
      </c>
      <c r="S11910" t="s">
        <v>77</v>
      </c>
      <c r="T11910">
        <v>21382</v>
      </c>
      <c r="U11910">
        <v>25151</v>
      </c>
      <c r="V11910" t="s">
        <v>77</v>
      </c>
    </row>
    <row r="11911" spans="1:22">
      <c r="A11911" t="str">
        <f t="shared" si="2309"/>
        <v>21/11/2025</v>
      </c>
      <c r="B11911" t="str">
        <f t="shared" si="2315"/>
        <v>SAÍDA</v>
      </c>
      <c r="C11911" t="str">
        <f t="shared" si="2310"/>
        <v>PIX</v>
      </c>
      <c r="D11911" t="str">
        <f>"25151"</f>
        <v>25151</v>
      </c>
      <c r="E11911" t="str">
        <f t="shared" si="2312"/>
        <v>1</v>
      </c>
      <c r="F11911" t="str">
        <f t="shared" si="2314"/>
        <v>COM</v>
      </c>
      <c r="G11911" t="str">
        <f>"LUAN DOS SANTOS NUNES (719)"</f>
        <v>LUAN DOS SANTOS NUNES (719)</v>
      </c>
      <c r="H11911" t="s">
        <v>3198</v>
      </c>
      <c r="I11911" t="str">
        <f t="shared" si="2311"/>
        <v>20/11/2025</v>
      </c>
      <c r="J11911" t="str">
        <f t="shared" si="2313"/>
        <v>11/11/2025</v>
      </c>
      <c r="K11911">
        <v>45982</v>
      </c>
      <c r="N11911">
        <v>109</v>
      </c>
      <c r="O11911" t="s">
        <v>24</v>
      </c>
      <c r="Q11911">
        <v>1413.57</v>
      </c>
      <c r="R11911" t="str">
        <f>"FARMÁCIA INDIANA LJ 61 (10027)"</f>
        <v>FARMÁCIA INDIANA LJ 61 (10027)</v>
      </c>
      <c r="S11911" t="s">
        <v>77</v>
      </c>
      <c r="T11911">
        <v>21382</v>
      </c>
      <c r="U11911">
        <v>25151</v>
      </c>
      <c r="V11911" t="s">
        <v>77</v>
      </c>
    </row>
    <row r="11912" spans="1:22">
      <c r="A11912" t="str">
        <f t="shared" si="2309"/>
        <v>21/11/2025</v>
      </c>
      <c r="B11912" t="str">
        <f t="shared" si="2315"/>
        <v>SAÍDA</v>
      </c>
      <c r="C11912" t="str">
        <f t="shared" si="2310"/>
        <v>PIX</v>
      </c>
      <c r="D11912" t="str">
        <f>"25152"</f>
        <v>25152</v>
      </c>
      <c r="E11912" t="str">
        <f t="shared" si="2312"/>
        <v>1</v>
      </c>
      <c r="F11912" t="str">
        <f t="shared" si="2314"/>
        <v>COM</v>
      </c>
      <c r="G11912" t="str">
        <f>"LUAN VICTOR SERQUEIRA DA SILVA (577)"</f>
        <v>LUAN VICTOR SERQUEIRA DA SILVA (577)</v>
      </c>
      <c r="H11912" t="str">
        <f>"Serv.Prest. 03/11/2025 a 09/11/2025 - PIX: CPF - CHAVE: 161.508.516-56"</f>
        <v>Serv.Prest. 03/11/2025 a 09/11/2025 - PIX: CPF - CHAVE: 161.508.516-56</v>
      </c>
      <c r="I11912" t="str">
        <f t="shared" si="2311"/>
        <v>20/11/2025</v>
      </c>
      <c r="J11912" t="str">
        <f t="shared" si="2313"/>
        <v>11/11/2025</v>
      </c>
      <c r="K11912" t="str">
        <f>("21/11/2025")</f>
        <v>21/11/2025</v>
      </c>
      <c r="L11912">
        <v>698.5</v>
      </c>
      <c r="M11912">
        <v>700</v>
      </c>
      <c r="N11912">
        <v>109</v>
      </c>
      <c r="O11912" t="str">
        <f>"PAGAMENTO DE ENTREGADORES"</f>
        <v>PAGAMENTO DE ENTREGADORES</v>
      </c>
      <c r="P11912">
        <v>700</v>
      </c>
      <c r="S11912" t="str">
        <f>"BANCO C6 (149)"</f>
        <v>BANCO C6 (149)</v>
      </c>
      <c r="T11912">
        <v>21383</v>
      </c>
      <c r="U11912">
        <v>25152</v>
      </c>
      <c r="V11912" t="s">
        <v>77</v>
      </c>
    </row>
    <row r="11913" spans="1:22">
      <c r="A11913" t="str">
        <f t="shared" si="2309"/>
        <v>21/11/2025</v>
      </c>
      <c r="B11913" t="str">
        <f t="shared" si="2315"/>
        <v>SAÍDA</v>
      </c>
      <c r="C11913" t="str">
        <f t="shared" si="2310"/>
        <v>PIX</v>
      </c>
      <c r="D11913" t="str">
        <f>"25152"</f>
        <v>25152</v>
      </c>
      <c r="E11913" t="str">
        <f t="shared" si="2312"/>
        <v>1</v>
      </c>
      <c r="F11913" t="str">
        <f t="shared" si="2314"/>
        <v>COM</v>
      </c>
      <c r="G11913" t="str">
        <f>"LUAN VICTOR SERQUEIRA DA SILVA (577)"</f>
        <v>LUAN VICTOR SERQUEIRA DA SILVA (577)</v>
      </c>
      <c r="H11913" t="s">
        <v>3199</v>
      </c>
      <c r="I11913" t="str">
        <f t="shared" si="2311"/>
        <v>20/11/2025</v>
      </c>
      <c r="J11913" t="str">
        <f t="shared" si="2313"/>
        <v>11/11/2025</v>
      </c>
      <c r="K11913">
        <v>45982</v>
      </c>
      <c r="N11913">
        <v>109</v>
      </c>
      <c r="O11913" t="s">
        <v>24</v>
      </c>
      <c r="Q11913">
        <v>700</v>
      </c>
      <c r="R11913" t="str">
        <f>"FARMÁCIA INDIANA LJ 202 (10085)"</f>
        <v>FARMÁCIA INDIANA LJ 202 (10085)</v>
      </c>
      <c r="S11913" t="s">
        <v>77</v>
      </c>
      <c r="T11913">
        <v>21383</v>
      </c>
      <c r="U11913">
        <v>25152</v>
      </c>
      <c r="V11913" t="s">
        <v>77</v>
      </c>
    </row>
    <row r="11914" spans="1:22">
      <c r="A11914" t="str">
        <f t="shared" si="2309"/>
        <v>21/11/2025</v>
      </c>
      <c r="B11914" t="str">
        <f t="shared" si="2315"/>
        <v>SAÍDA</v>
      </c>
      <c r="C11914" t="str">
        <f t="shared" si="2310"/>
        <v>PIX</v>
      </c>
      <c r="D11914" t="str">
        <f>"25153"</f>
        <v>25153</v>
      </c>
      <c r="E11914" t="str">
        <f t="shared" si="2312"/>
        <v>1</v>
      </c>
      <c r="F11914" t="str">
        <f t="shared" si="2314"/>
        <v>COM</v>
      </c>
      <c r="G11914" t="str">
        <f>"LUCAS FERREIRA DOS SANTOS (868)"</f>
        <v>LUCAS FERREIRA DOS SANTOS (868)</v>
      </c>
      <c r="H11914" t="str">
        <f>"Serv.Prest. 03/11/2025 a 09/11/2025 - PIX: CELULAR - CHAVE: (33) 99172-0627"</f>
        <v>Serv.Prest. 03/11/2025 a 09/11/2025 - PIX: CELULAR - CHAVE: (33) 99172-0627</v>
      </c>
      <c r="I11914" t="str">
        <f t="shared" si="2311"/>
        <v>20/11/2025</v>
      </c>
      <c r="J11914" t="str">
        <f t="shared" si="2313"/>
        <v>11/11/2025</v>
      </c>
      <c r="K11914" t="str">
        <f>("21/11/2025")</f>
        <v>21/11/2025</v>
      </c>
      <c r="L11914">
        <v>1080</v>
      </c>
      <c r="M11914">
        <v>1080</v>
      </c>
      <c r="N11914">
        <v>109</v>
      </c>
      <c r="O11914" t="str">
        <f>"PAGAMENTO DE ENTREGADORES"</f>
        <v>PAGAMENTO DE ENTREGADORES</v>
      </c>
      <c r="P11914">
        <v>1080</v>
      </c>
      <c r="S11914" t="str">
        <f>"BANCO C6 (149)"</f>
        <v>BANCO C6 (149)</v>
      </c>
      <c r="T11914">
        <v>21384</v>
      </c>
      <c r="U11914">
        <v>25153</v>
      </c>
      <c r="V11914" t="s">
        <v>77</v>
      </c>
    </row>
    <row r="11915" spans="1:22">
      <c r="A11915" t="str">
        <f t="shared" si="2309"/>
        <v>21/11/2025</v>
      </c>
      <c r="B11915" t="str">
        <f t="shared" si="2315"/>
        <v>SAÍDA</v>
      </c>
      <c r="C11915" t="str">
        <f t="shared" si="2310"/>
        <v>PIX</v>
      </c>
      <c r="D11915" t="str">
        <f>"25153"</f>
        <v>25153</v>
      </c>
      <c r="E11915" t="str">
        <f t="shared" si="2312"/>
        <v>1</v>
      </c>
      <c r="F11915" t="str">
        <f t="shared" si="2314"/>
        <v>COM</v>
      </c>
      <c r="G11915" t="str">
        <f>"LUCAS FERREIRA DOS SANTOS (868)"</f>
        <v>LUCAS FERREIRA DOS SANTOS (868)</v>
      </c>
      <c r="H11915" t="s">
        <v>3200</v>
      </c>
      <c r="I11915" t="str">
        <f t="shared" si="2311"/>
        <v>20/11/2025</v>
      </c>
      <c r="J11915" t="str">
        <f t="shared" si="2313"/>
        <v>11/11/2025</v>
      </c>
      <c r="K11915">
        <v>45982</v>
      </c>
      <c r="N11915">
        <v>109</v>
      </c>
      <c r="O11915" t="s">
        <v>24</v>
      </c>
      <c r="Q11915">
        <v>1080</v>
      </c>
      <c r="R11915" t="str">
        <f>"FARMÁCIA INDIANA LJ 06 (10006)"</f>
        <v>FARMÁCIA INDIANA LJ 06 (10006)</v>
      </c>
      <c r="S11915" t="s">
        <v>77</v>
      </c>
      <c r="T11915">
        <v>21384</v>
      </c>
      <c r="U11915">
        <v>25153</v>
      </c>
      <c r="V11915" t="s">
        <v>77</v>
      </c>
    </row>
    <row r="11916" spans="1:22">
      <c r="A11916" t="str">
        <f t="shared" si="2309"/>
        <v>21/11/2025</v>
      </c>
      <c r="B11916" t="str">
        <f t="shared" si="2315"/>
        <v>SAÍDA</v>
      </c>
      <c r="C11916" t="str">
        <f t="shared" si="2310"/>
        <v>PIX</v>
      </c>
      <c r="D11916" t="str">
        <f>"25155"</f>
        <v>25155</v>
      </c>
      <c r="E11916" t="str">
        <f t="shared" si="2312"/>
        <v>1</v>
      </c>
      <c r="F11916" t="str">
        <f t="shared" si="2314"/>
        <v>COM</v>
      </c>
      <c r="G11916" t="str">
        <f>"LUIZ ALVES MARTINS (40)"</f>
        <v>LUIZ ALVES MARTINS (40)</v>
      </c>
      <c r="H11916" t="str">
        <f>"Serv.Prest. 03/11/2025 a 09/11/2025 - PIX: CELULAR - CHAVE: (33) 99981-6650"</f>
        <v>Serv.Prest. 03/11/2025 a 09/11/2025 - PIX: CELULAR - CHAVE: (33) 99981-6650</v>
      </c>
      <c r="I11916" t="str">
        <f t="shared" si="2311"/>
        <v>20/11/2025</v>
      </c>
      <c r="J11916" t="str">
        <f t="shared" si="2313"/>
        <v>11/11/2025</v>
      </c>
      <c r="K11916" t="str">
        <f>("21/11/2025")</f>
        <v>21/11/2025</v>
      </c>
      <c r="L11916">
        <v>768</v>
      </c>
      <c r="M11916">
        <v>768</v>
      </c>
      <c r="N11916">
        <v>109</v>
      </c>
      <c r="O11916" t="str">
        <f>"PAGAMENTO DE ENTREGADORES"</f>
        <v>PAGAMENTO DE ENTREGADORES</v>
      </c>
      <c r="P11916">
        <v>768</v>
      </c>
      <c r="S11916" t="str">
        <f>"BANCO C6 (149)"</f>
        <v>BANCO C6 (149)</v>
      </c>
      <c r="T11916">
        <v>21385</v>
      </c>
      <c r="U11916">
        <v>25155</v>
      </c>
      <c r="V11916" t="s">
        <v>77</v>
      </c>
    </row>
    <row r="11917" spans="1:22">
      <c r="A11917" t="str">
        <f t="shared" si="2309"/>
        <v>21/11/2025</v>
      </c>
      <c r="B11917" t="str">
        <f t="shared" si="2315"/>
        <v>SAÍDA</v>
      </c>
      <c r="C11917" t="str">
        <f t="shared" si="2310"/>
        <v>PIX</v>
      </c>
      <c r="D11917" t="str">
        <f>"25155"</f>
        <v>25155</v>
      </c>
      <c r="E11917" t="str">
        <f t="shared" si="2312"/>
        <v>1</v>
      </c>
      <c r="F11917" t="str">
        <f t="shared" si="2314"/>
        <v>COM</v>
      </c>
      <c r="G11917" t="str">
        <f>"LUIZ ALVES MARTINS (40)"</f>
        <v>LUIZ ALVES MARTINS (40)</v>
      </c>
      <c r="H11917" t="s">
        <v>3201</v>
      </c>
      <c r="I11917" t="str">
        <f t="shared" si="2311"/>
        <v>20/11/2025</v>
      </c>
      <c r="J11917" t="str">
        <f t="shared" si="2313"/>
        <v>11/11/2025</v>
      </c>
      <c r="K11917">
        <v>45982</v>
      </c>
      <c r="N11917">
        <v>109</v>
      </c>
      <c r="O11917" t="s">
        <v>24</v>
      </c>
      <c r="Q11917">
        <v>648.04</v>
      </c>
      <c r="R11917" t="str">
        <f>"FARMÁCIA INDIANA LJ 11 (10008)"</f>
        <v>FARMÁCIA INDIANA LJ 11 (10008)</v>
      </c>
      <c r="S11917" t="s">
        <v>77</v>
      </c>
      <c r="T11917">
        <v>21385</v>
      </c>
      <c r="U11917">
        <v>25155</v>
      </c>
      <c r="V11917" t="s">
        <v>77</v>
      </c>
    </row>
    <row r="11918" spans="1:22">
      <c r="A11918" t="str">
        <f t="shared" ref="A11918:A11981" si="2316">("21/11/2025")</f>
        <v>21/11/2025</v>
      </c>
      <c r="B11918" t="str">
        <f t="shared" si="2315"/>
        <v>SAÍDA</v>
      </c>
      <c r="C11918" t="str">
        <f t="shared" si="2310"/>
        <v>PIX</v>
      </c>
      <c r="D11918" t="str">
        <f>"25155"</f>
        <v>25155</v>
      </c>
      <c r="E11918" t="str">
        <f t="shared" si="2312"/>
        <v>1</v>
      </c>
      <c r="F11918" t="str">
        <f t="shared" si="2314"/>
        <v>COM</v>
      </c>
      <c r="G11918" t="str">
        <f>"LUIZ ALVES MARTINS (40)"</f>
        <v>LUIZ ALVES MARTINS (40)</v>
      </c>
      <c r="H11918" t="s">
        <v>3201</v>
      </c>
      <c r="I11918" t="str">
        <f t="shared" si="2311"/>
        <v>20/11/2025</v>
      </c>
      <c r="J11918" t="str">
        <f t="shared" si="2313"/>
        <v>11/11/2025</v>
      </c>
      <c r="K11918">
        <v>45982</v>
      </c>
      <c r="N11918">
        <v>109</v>
      </c>
      <c r="O11918" t="s">
        <v>24</v>
      </c>
      <c r="Q11918">
        <v>119.96</v>
      </c>
      <c r="R11918" t="str">
        <f>"FARMÁCIA INDIANA LJ 172 (10161)"</f>
        <v>FARMÁCIA INDIANA LJ 172 (10161)</v>
      </c>
      <c r="S11918" t="s">
        <v>77</v>
      </c>
      <c r="T11918">
        <v>21385</v>
      </c>
      <c r="U11918">
        <v>25155</v>
      </c>
      <c r="V11918" t="s">
        <v>77</v>
      </c>
    </row>
    <row r="11919" spans="1:22">
      <c r="A11919" t="str">
        <f t="shared" si="2316"/>
        <v>21/11/2025</v>
      </c>
      <c r="B11919" t="str">
        <f t="shared" si="2315"/>
        <v>SAÍDA</v>
      </c>
      <c r="C11919" t="str">
        <f t="shared" si="2310"/>
        <v>PIX</v>
      </c>
      <c r="D11919" t="str">
        <f>"25156"</f>
        <v>25156</v>
      </c>
      <c r="E11919" t="str">
        <f t="shared" si="2312"/>
        <v>1</v>
      </c>
      <c r="F11919" t="str">
        <f t="shared" si="2314"/>
        <v>COM</v>
      </c>
      <c r="G11919" t="str">
        <f>"LUIZ EDUARDO VIANA BRITO (878)"</f>
        <v>LUIZ EDUARDO VIANA BRITO (878)</v>
      </c>
      <c r="H11919" t="str">
        <f>"Serv.Prest. 03/11/2025 a 09/11/2025 - PIX: CPF - CHAVE: 101.220.976-88"</f>
        <v>Serv.Prest. 03/11/2025 a 09/11/2025 - PIX: CPF - CHAVE: 101.220.976-88</v>
      </c>
      <c r="I11919" t="str">
        <f t="shared" si="2311"/>
        <v>20/11/2025</v>
      </c>
      <c r="J11919" t="str">
        <f t="shared" si="2313"/>
        <v>11/11/2025</v>
      </c>
      <c r="K11919" t="str">
        <f>("21/11/2025")</f>
        <v>21/11/2025</v>
      </c>
      <c r="L11919">
        <v>929.5</v>
      </c>
      <c r="M11919">
        <v>929.5</v>
      </c>
      <c r="N11919">
        <v>109</v>
      </c>
      <c r="O11919" t="str">
        <f>"PAGAMENTO DE ENTREGADORES"</f>
        <v>PAGAMENTO DE ENTREGADORES</v>
      </c>
      <c r="P11919">
        <v>929.5</v>
      </c>
      <c r="S11919" t="str">
        <f>"BANCO C6 (149)"</f>
        <v>BANCO C6 (149)</v>
      </c>
      <c r="T11919">
        <v>21386</v>
      </c>
      <c r="U11919">
        <v>25156</v>
      </c>
      <c r="V11919" t="s">
        <v>77</v>
      </c>
    </row>
    <row r="11920" spans="1:22">
      <c r="A11920" t="str">
        <f t="shared" si="2316"/>
        <v>21/11/2025</v>
      </c>
      <c r="B11920" t="str">
        <f t="shared" si="2315"/>
        <v>SAÍDA</v>
      </c>
      <c r="C11920" t="str">
        <f t="shared" si="2310"/>
        <v>PIX</v>
      </c>
      <c r="D11920" t="str">
        <f>"25156"</f>
        <v>25156</v>
      </c>
      <c r="E11920" t="str">
        <f t="shared" si="2312"/>
        <v>1</v>
      </c>
      <c r="F11920" t="str">
        <f t="shared" si="2314"/>
        <v>COM</v>
      </c>
      <c r="G11920" t="str">
        <f>"LUIZ EDUARDO VIANA BRITO (878)"</f>
        <v>LUIZ EDUARDO VIANA BRITO (878)</v>
      </c>
      <c r="H11920" t="s">
        <v>3202</v>
      </c>
      <c r="I11920" t="str">
        <f t="shared" si="2311"/>
        <v>20/11/2025</v>
      </c>
      <c r="J11920" t="str">
        <f t="shared" si="2313"/>
        <v>11/11/2025</v>
      </c>
      <c r="K11920">
        <v>45982</v>
      </c>
      <c r="N11920">
        <v>109</v>
      </c>
      <c r="O11920" t="s">
        <v>24</v>
      </c>
      <c r="Q11920">
        <v>929.5</v>
      </c>
      <c r="R11920" t="str">
        <f>"FARMÁCIA INDIANA LJ 40 (10016)"</f>
        <v>FARMÁCIA INDIANA LJ 40 (10016)</v>
      </c>
      <c r="S11920" t="s">
        <v>77</v>
      </c>
      <c r="T11920">
        <v>21386</v>
      </c>
      <c r="U11920">
        <v>25156</v>
      </c>
      <c r="V11920" t="s">
        <v>77</v>
      </c>
    </row>
    <row r="11921" spans="1:22">
      <c r="A11921" t="str">
        <f t="shared" si="2316"/>
        <v>21/11/2025</v>
      </c>
      <c r="B11921" t="str">
        <f t="shared" si="2315"/>
        <v>SAÍDA</v>
      </c>
      <c r="C11921" t="str">
        <f t="shared" si="2310"/>
        <v>PIX</v>
      </c>
      <c r="D11921" t="str">
        <f>"25157"</f>
        <v>25157</v>
      </c>
      <c r="E11921" t="str">
        <f t="shared" si="2312"/>
        <v>1</v>
      </c>
      <c r="F11921" t="str">
        <f t="shared" si="2314"/>
        <v>COM</v>
      </c>
      <c r="G11921" t="str">
        <f>"LUIZ EMANUEL PINHEIRO (870)"</f>
        <v>LUIZ EMANUEL PINHEIRO (870)</v>
      </c>
      <c r="H11921" t="str">
        <f>"Serv.Prest. 03/11/2025 a 09/11/2025 - PIX: CPF - CHAVE: 129.269.326-69"</f>
        <v>Serv.Prest. 03/11/2025 a 09/11/2025 - PIX: CPF - CHAVE: 129.269.326-69</v>
      </c>
      <c r="I11921" t="str">
        <f t="shared" si="2311"/>
        <v>20/11/2025</v>
      </c>
      <c r="J11921" t="str">
        <f t="shared" si="2313"/>
        <v>11/11/2025</v>
      </c>
      <c r="K11921" t="str">
        <f>("21/11/2025")</f>
        <v>21/11/2025</v>
      </c>
      <c r="L11921">
        <v>700.8</v>
      </c>
      <c r="M11921">
        <v>700.8</v>
      </c>
      <c r="N11921">
        <v>109</v>
      </c>
      <c r="O11921" t="str">
        <f>"PAGAMENTO DE ENTREGADORES"</f>
        <v>PAGAMENTO DE ENTREGADORES</v>
      </c>
      <c r="P11921">
        <v>700.8</v>
      </c>
      <c r="S11921" t="str">
        <f>"BANCO C6 (149)"</f>
        <v>BANCO C6 (149)</v>
      </c>
      <c r="T11921">
        <v>21387</v>
      </c>
      <c r="U11921">
        <v>25157</v>
      </c>
      <c r="V11921" t="s">
        <v>77</v>
      </c>
    </row>
    <row r="11922" spans="1:22">
      <c r="A11922" t="str">
        <f t="shared" si="2316"/>
        <v>21/11/2025</v>
      </c>
      <c r="B11922" t="str">
        <f t="shared" si="2315"/>
        <v>SAÍDA</v>
      </c>
      <c r="C11922" t="str">
        <f t="shared" si="2310"/>
        <v>PIX</v>
      </c>
      <c r="D11922" t="str">
        <f>"25157"</f>
        <v>25157</v>
      </c>
      <c r="E11922" t="str">
        <f t="shared" si="2312"/>
        <v>1</v>
      </c>
      <c r="F11922" t="str">
        <f t="shared" si="2314"/>
        <v>COM</v>
      </c>
      <c r="G11922" t="str">
        <f>"LUIZ EMANUEL PINHEIRO (870)"</f>
        <v>LUIZ EMANUEL PINHEIRO (870)</v>
      </c>
      <c r="H11922" t="s">
        <v>3203</v>
      </c>
      <c r="I11922" t="str">
        <f t="shared" si="2311"/>
        <v>20/11/2025</v>
      </c>
      <c r="J11922" t="str">
        <f t="shared" si="2313"/>
        <v>11/11/2025</v>
      </c>
      <c r="K11922">
        <v>45982</v>
      </c>
      <c r="N11922">
        <v>109</v>
      </c>
      <c r="O11922" t="s">
        <v>24</v>
      </c>
      <c r="Q11922">
        <v>700.8</v>
      </c>
      <c r="R11922" t="str">
        <f>"FARMÁCIA INDIANA LJ 116 (10051)"</f>
        <v>FARMÁCIA INDIANA LJ 116 (10051)</v>
      </c>
      <c r="S11922" t="s">
        <v>77</v>
      </c>
      <c r="T11922">
        <v>21387</v>
      </c>
      <c r="U11922">
        <v>25157</v>
      </c>
      <c r="V11922" t="s">
        <v>77</v>
      </c>
    </row>
    <row r="11923" spans="1:22">
      <c r="A11923" t="str">
        <f t="shared" si="2316"/>
        <v>21/11/2025</v>
      </c>
      <c r="B11923" t="str">
        <f t="shared" si="2315"/>
        <v>SAÍDA</v>
      </c>
      <c r="C11923" t="str">
        <f t="shared" si="2310"/>
        <v>PIX</v>
      </c>
      <c r="D11923" t="str">
        <f>"25158"</f>
        <v>25158</v>
      </c>
      <c r="E11923" t="str">
        <f t="shared" si="2312"/>
        <v>1</v>
      </c>
      <c r="F11923" t="str">
        <f t="shared" si="2314"/>
        <v>COM</v>
      </c>
      <c r="G11923" t="str">
        <f>"LUIZ FERNANDO CARVALHO ALVES (198)"</f>
        <v>LUIZ FERNANDO CARVALHO ALVES (198)</v>
      </c>
      <c r="H11923" t="str">
        <f>"Serv.Prest. 03/11/2025 a 09/11/2025 - PIX: CPF - CHAVE: 705.097.186-39"</f>
        <v>Serv.Prest. 03/11/2025 a 09/11/2025 - PIX: CPF - CHAVE: 705.097.186-39</v>
      </c>
      <c r="I11923" t="str">
        <f t="shared" si="2311"/>
        <v>20/11/2025</v>
      </c>
      <c r="J11923" t="str">
        <f t="shared" si="2313"/>
        <v>11/11/2025</v>
      </c>
      <c r="K11923" t="str">
        <f>("21/11/2025")</f>
        <v>21/11/2025</v>
      </c>
      <c r="L11923">
        <v>750</v>
      </c>
      <c r="M11923">
        <v>750</v>
      </c>
      <c r="N11923">
        <v>109</v>
      </c>
      <c r="O11923" t="str">
        <f>"PAGAMENTO DE ENTREGADORES"</f>
        <v>PAGAMENTO DE ENTREGADORES</v>
      </c>
      <c r="P11923">
        <v>750</v>
      </c>
      <c r="S11923" t="str">
        <f>"BANCO C6 (149)"</f>
        <v>BANCO C6 (149)</v>
      </c>
      <c r="T11923">
        <v>21388</v>
      </c>
      <c r="U11923">
        <v>25158</v>
      </c>
      <c r="V11923" t="s">
        <v>77</v>
      </c>
    </row>
    <row r="11924" spans="1:22">
      <c r="A11924" t="str">
        <f t="shared" si="2316"/>
        <v>21/11/2025</v>
      </c>
      <c r="B11924" t="str">
        <f t="shared" si="2315"/>
        <v>SAÍDA</v>
      </c>
      <c r="C11924" t="str">
        <f t="shared" si="2310"/>
        <v>PIX</v>
      </c>
      <c r="D11924" t="str">
        <f>"25158"</f>
        <v>25158</v>
      </c>
      <c r="E11924" t="str">
        <f t="shared" si="2312"/>
        <v>1</v>
      </c>
      <c r="F11924" t="str">
        <f t="shared" si="2314"/>
        <v>COM</v>
      </c>
      <c r="G11924" t="str">
        <f>"LUIZ FERNANDO CARVALHO ALVES (198)"</f>
        <v>LUIZ FERNANDO CARVALHO ALVES (198)</v>
      </c>
      <c r="H11924" t="s">
        <v>3204</v>
      </c>
      <c r="I11924" t="str">
        <f t="shared" si="2311"/>
        <v>20/11/2025</v>
      </c>
      <c r="J11924" t="str">
        <f t="shared" si="2313"/>
        <v>11/11/2025</v>
      </c>
      <c r="K11924">
        <v>45982</v>
      </c>
      <c r="N11924">
        <v>109</v>
      </c>
      <c r="O11924" t="s">
        <v>24</v>
      </c>
      <c r="Q11924">
        <v>750</v>
      </c>
      <c r="R11924" t="str">
        <f>"FARMÁCIA INDIANA LJ 171 (10074)"</f>
        <v>FARMÁCIA INDIANA LJ 171 (10074)</v>
      </c>
      <c r="S11924" t="s">
        <v>77</v>
      </c>
      <c r="T11924">
        <v>21388</v>
      </c>
      <c r="U11924">
        <v>25158</v>
      </c>
      <c r="V11924" t="s">
        <v>77</v>
      </c>
    </row>
    <row r="11925" spans="1:22">
      <c r="A11925" t="str">
        <f t="shared" si="2316"/>
        <v>21/11/2025</v>
      </c>
      <c r="B11925" t="str">
        <f t="shared" si="2315"/>
        <v>SAÍDA</v>
      </c>
      <c r="C11925" t="str">
        <f t="shared" si="2310"/>
        <v>PIX</v>
      </c>
      <c r="D11925" t="str">
        <f>"25159"</f>
        <v>25159</v>
      </c>
      <c r="E11925" t="str">
        <f t="shared" si="2312"/>
        <v>1</v>
      </c>
      <c r="F11925" t="str">
        <f t="shared" si="2314"/>
        <v>COM</v>
      </c>
      <c r="G11925" t="str">
        <f>"LUIZ PAULO LOUREIRO PRADO (475)"</f>
        <v>LUIZ PAULO LOUREIRO PRADO (475)</v>
      </c>
      <c r="H11925" t="str">
        <f>"Serv.Prest. 03/11/2025 a 09/11/2025 - PIX: CPF - CHAVE: 159.443.306-27"</f>
        <v>Serv.Prest. 03/11/2025 a 09/11/2025 - PIX: CPF - CHAVE: 159.443.306-27</v>
      </c>
      <c r="I11925" t="str">
        <f t="shared" si="2311"/>
        <v>20/11/2025</v>
      </c>
      <c r="J11925" t="str">
        <f t="shared" si="2313"/>
        <v>11/11/2025</v>
      </c>
      <c r="K11925" t="str">
        <f>("21/11/2025")</f>
        <v>21/11/2025</v>
      </c>
      <c r="L11925">
        <v>700.8</v>
      </c>
      <c r="M11925">
        <v>700.8</v>
      </c>
      <c r="N11925">
        <v>109</v>
      </c>
      <c r="O11925" t="str">
        <f>"PAGAMENTO DE ENTREGADORES"</f>
        <v>PAGAMENTO DE ENTREGADORES</v>
      </c>
      <c r="P11925">
        <v>700.8</v>
      </c>
      <c r="S11925" t="str">
        <f>"BANCO C6 (149)"</f>
        <v>BANCO C6 (149)</v>
      </c>
      <c r="T11925">
        <v>21389</v>
      </c>
      <c r="U11925">
        <v>25159</v>
      </c>
      <c r="V11925" t="s">
        <v>77</v>
      </c>
    </row>
    <row r="11926" spans="1:22">
      <c r="A11926" t="str">
        <f t="shared" si="2316"/>
        <v>21/11/2025</v>
      </c>
      <c r="B11926" t="str">
        <f t="shared" si="2315"/>
        <v>SAÍDA</v>
      </c>
      <c r="C11926" t="str">
        <f t="shared" si="2310"/>
        <v>PIX</v>
      </c>
      <c r="D11926" t="str">
        <f>"25159"</f>
        <v>25159</v>
      </c>
      <c r="E11926" t="str">
        <f t="shared" si="2312"/>
        <v>1</v>
      </c>
      <c r="F11926" t="str">
        <f t="shared" si="2314"/>
        <v>COM</v>
      </c>
      <c r="G11926" t="str">
        <f>"LUIZ PAULO LOUREIRO PRADO (475)"</f>
        <v>LUIZ PAULO LOUREIRO PRADO (475)</v>
      </c>
      <c r="H11926" t="s">
        <v>3205</v>
      </c>
      <c r="I11926" t="str">
        <f t="shared" si="2311"/>
        <v>20/11/2025</v>
      </c>
      <c r="J11926" t="str">
        <f t="shared" si="2313"/>
        <v>11/11/2025</v>
      </c>
      <c r="K11926">
        <v>45982</v>
      </c>
      <c r="N11926">
        <v>109</v>
      </c>
      <c r="O11926" t="s">
        <v>24</v>
      </c>
      <c r="Q11926">
        <v>100.14</v>
      </c>
      <c r="R11926" t="str">
        <f>"FARMÁCIA INDIANA LJ 121 (10054)"</f>
        <v>FARMÁCIA INDIANA LJ 121 (10054)</v>
      </c>
      <c r="S11926" t="s">
        <v>77</v>
      </c>
      <c r="T11926">
        <v>21389</v>
      </c>
      <c r="U11926">
        <v>25159</v>
      </c>
      <c r="V11926" t="s">
        <v>77</v>
      </c>
    </row>
    <row r="11927" spans="1:22">
      <c r="A11927" t="str">
        <f t="shared" si="2316"/>
        <v>21/11/2025</v>
      </c>
      <c r="B11927" t="str">
        <f t="shared" si="2315"/>
        <v>SAÍDA</v>
      </c>
      <c r="C11927" t="str">
        <f t="shared" si="2310"/>
        <v>PIX</v>
      </c>
      <c r="D11927" t="str">
        <f>"25159"</f>
        <v>25159</v>
      </c>
      <c r="E11927" t="str">
        <f t="shared" si="2312"/>
        <v>1</v>
      </c>
      <c r="F11927" t="str">
        <f t="shared" si="2314"/>
        <v>COM</v>
      </c>
      <c r="G11927" t="str">
        <f>"LUIZ PAULO LOUREIRO PRADO (475)"</f>
        <v>LUIZ PAULO LOUREIRO PRADO (475)</v>
      </c>
      <c r="H11927" t="s">
        <v>3205</v>
      </c>
      <c r="I11927" t="str">
        <f t="shared" si="2311"/>
        <v>20/11/2025</v>
      </c>
      <c r="J11927" t="str">
        <f t="shared" si="2313"/>
        <v>11/11/2025</v>
      </c>
      <c r="K11927">
        <v>45982</v>
      </c>
      <c r="N11927">
        <v>109</v>
      </c>
      <c r="O11927" t="s">
        <v>24</v>
      </c>
      <c r="Q11927">
        <v>600.66</v>
      </c>
      <c r="R11927" t="str">
        <f>"FARMÁCIA INDIANA LJ 128 (10057)"</f>
        <v>FARMÁCIA INDIANA LJ 128 (10057)</v>
      </c>
      <c r="S11927" t="s">
        <v>77</v>
      </c>
      <c r="T11927">
        <v>21389</v>
      </c>
      <c r="U11927">
        <v>25159</v>
      </c>
      <c r="V11927" t="s">
        <v>77</v>
      </c>
    </row>
    <row r="11928" spans="1:22">
      <c r="A11928" t="str">
        <f t="shared" si="2316"/>
        <v>21/11/2025</v>
      </c>
      <c r="B11928" t="str">
        <f t="shared" si="2315"/>
        <v>SAÍDA</v>
      </c>
      <c r="C11928" t="str">
        <f t="shared" ref="C11928:C11991" si="2317">"PIX"</f>
        <v>PIX</v>
      </c>
      <c r="D11928" t="str">
        <f>"25160"</f>
        <v>25160</v>
      </c>
      <c r="E11928" t="str">
        <f t="shared" si="2312"/>
        <v>1</v>
      </c>
      <c r="F11928" t="str">
        <f t="shared" si="2314"/>
        <v>COM</v>
      </c>
      <c r="G11928" t="str">
        <f>"MARCIO CLAUDIO DE ARAUJO (204)"</f>
        <v>MARCIO CLAUDIO DE ARAUJO (204)</v>
      </c>
      <c r="H11928" t="str">
        <f>"Serv.Prest. 03/11/2025 a 09/11/2025 - PIX: CELULAR - CHAVE: (33) 98427-3872"</f>
        <v>Serv.Prest. 03/11/2025 a 09/11/2025 - PIX: CELULAR - CHAVE: (33) 98427-3872</v>
      </c>
      <c r="I11928" t="str">
        <f t="shared" ref="I11928:I11991" si="2318">("20/11/2025")</f>
        <v>20/11/2025</v>
      </c>
      <c r="J11928" t="str">
        <f t="shared" si="2313"/>
        <v>11/11/2025</v>
      </c>
      <c r="K11928" t="str">
        <f>("21/11/2025")</f>
        <v>21/11/2025</v>
      </c>
      <c r="L11928">
        <v>1050</v>
      </c>
      <c r="M11928">
        <v>1050</v>
      </c>
      <c r="N11928">
        <v>109</v>
      </c>
      <c r="O11928" t="str">
        <f>"PAGAMENTO DE ENTREGADORES"</f>
        <v>PAGAMENTO DE ENTREGADORES</v>
      </c>
      <c r="P11928">
        <v>1050</v>
      </c>
      <c r="S11928" t="str">
        <f>"BANCO C6 (149)"</f>
        <v>BANCO C6 (149)</v>
      </c>
      <c r="T11928">
        <v>21390</v>
      </c>
      <c r="U11928">
        <v>25160</v>
      </c>
      <c r="V11928" t="s">
        <v>77</v>
      </c>
    </row>
    <row r="11929" spans="1:22">
      <c r="A11929" t="str">
        <f t="shared" si="2316"/>
        <v>21/11/2025</v>
      </c>
      <c r="B11929" t="str">
        <f t="shared" si="2315"/>
        <v>SAÍDA</v>
      </c>
      <c r="C11929" t="str">
        <f t="shared" si="2317"/>
        <v>PIX</v>
      </c>
      <c r="D11929" t="str">
        <f>"25160"</f>
        <v>25160</v>
      </c>
      <c r="E11929" t="str">
        <f t="shared" si="2312"/>
        <v>1</v>
      </c>
      <c r="F11929" t="str">
        <f t="shared" si="2314"/>
        <v>COM</v>
      </c>
      <c r="G11929" t="str">
        <f>"MARCIO CLAUDIO DE ARAUJO (204)"</f>
        <v>MARCIO CLAUDIO DE ARAUJO (204)</v>
      </c>
      <c r="H11929" t="s">
        <v>3206</v>
      </c>
      <c r="I11929" t="str">
        <f t="shared" si="2318"/>
        <v>20/11/2025</v>
      </c>
      <c r="J11929" t="str">
        <f t="shared" si="2313"/>
        <v>11/11/2025</v>
      </c>
      <c r="K11929">
        <v>45982</v>
      </c>
      <c r="N11929">
        <v>109</v>
      </c>
      <c r="O11929" t="s">
        <v>24</v>
      </c>
      <c r="Q11929">
        <v>1050</v>
      </c>
      <c r="R11929" t="str">
        <f>"FARMÁCIA INDIANA LJ 06 (10006)"</f>
        <v>FARMÁCIA INDIANA LJ 06 (10006)</v>
      </c>
      <c r="S11929" t="s">
        <v>77</v>
      </c>
      <c r="T11929">
        <v>21390</v>
      </c>
      <c r="U11929">
        <v>25160</v>
      </c>
      <c r="V11929" t="s">
        <v>77</v>
      </c>
    </row>
    <row r="11930" spans="1:22">
      <c r="A11930" t="str">
        <f t="shared" si="2316"/>
        <v>21/11/2025</v>
      </c>
      <c r="B11930" t="str">
        <f t="shared" si="2315"/>
        <v>SAÍDA</v>
      </c>
      <c r="C11930" t="str">
        <f t="shared" si="2317"/>
        <v>PIX</v>
      </c>
      <c r="D11930" t="str">
        <f>"25161"</f>
        <v>25161</v>
      </c>
      <c r="E11930" t="str">
        <f t="shared" si="2312"/>
        <v>1</v>
      </c>
      <c r="F11930" t="str">
        <f t="shared" si="2314"/>
        <v>COM</v>
      </c>
      <c r="G11930" t="str">
        <f>"MARCOS DIONI RODRIGUES GASPAR (506)"</f>
        <v>MARCOS DIONI RODRIGUES GASPAR (506)</v>
      </c>
      <c r="H11930" t="str">
        <f>"Serv.Prest. 03/11/2025 a 09/11/2025 - PIX: CELULAR - CHAVE: (33) 99815-2379"</f>
        <v>Serv.Prest. 03/11/2025 a 09/11/2025 - PIX: CELULAR - CHAVE: (33) 99815-2379</v>
      </c>
      <c r="I11930" t="str">
        <f t="shared" si="2318"/>
        <v>20/11/2025</v>
      </c>
      <c r="J11930" t="str">
        <f t="shared" si="2313"/>
        <v>11/11/2025</v>
      </c>
      <c r="K11930" t="str">
        <f>("21/11/2025")</f>
        <v>21/11/2025</v>
      </c>
      <c r="L11930">
        <v>1260</v>
      </c>
      <c r="M11930">
        <v>1260</v>
      </c>
      <c r="N11930">
        <v>109</v>
      </c>
      <c r="O11930" t="str">
        <f>"PAGAMENTO DE ENTREGADORES"</f>
        <v>PAGAMENTO DE ENTREGADORES</v>
      </c>
      <c r="P11930">
        <v>1260</v>
      </c>
      <c r="S11930" t="str">
        <f>"BANCO C6 (149)"</f>
        <v>BANCO C6 (149)</v>
      </c>
      <c r="T11930">
        <v>21391</v>
      </c>
      <c r="U11930">
        <v>25161</v>
      </c>
      <c r="V11930" t="s">
        <v>77</v>
      </c>
    </row>
    <row r="11931" spans="1:22">
      <c r="A11931" t="str">
        <f t="shared" si="2316"/>
        <v>21/11/2025</v>
      </c>
      <c r="B11931" t="str">
        <f t="shared" si="2315"/>
        <v>SAÍDA</v>
      </c>
      <c r="C11931" t="str">
        <f t="shared" si="2317"/>
        <v>PIX</v>
      </c>
      <c r="D11931" t="str">
        <f>"25161"</f>
        <v>25161</v>
      </c>
      <c r="E11931" t="str">
        <f t="shared" si="2312"/>
        <v>1</v>
      </c>
      <c r="F11931" t="str">
        <f t="shared" si="2314"/>
        <v>COM</v>
      </c>
      <c r="G11931" t="str">
        <f>"MARCOS DIONI RODRIGUES GASPAR (506)"</f>
        <v>MARCOS DIONI RODRIGUES GASPAR (506)</v>
      </c>
      <c r="H11931" t="s">
        <v>3207</v>
      </c>
      <c r="I11931" t="str">
        <f t="shared" si="2318"/>
        <v>20/11/2025</v>
      </c>
      <c r="J11931" t="str">
        <f t="shared" si="2313"/>
        <v>11/11/2025</v>
      </c>
      <c r="K11931">
        <v>45982</v>
      </c>
      <c r="N11931">
        <v>109</v>
      </c>
      <c r="O11931" t="s">
        <v>24</v>
      </c>
      <c r="Q11931">
        <v>1260</v>
      </c>
      <c r="R11931" t="str">
        <f>"FARMÁCIA INDIANA LJ 06 (10006)"</f>
        <v>FARMÁCIA INDIANA LJ 06 (10006)</v>
      </c>
      <c r="S11931" t="s">
        <v>77</v>
      </c>
      <c r="T11931">
        <v>21391</v>
      </c>
      <c r="U11931">
        <v>25161</v>
      </c>
      <c r="V11931" t="s">
        <v>77</v>
      </c>
    </row>
    <row r="11932" spans="1:22">
      <c r="A11932" t="str">
        <f t="shared" si="2316"/>
        <v>21/11/2025</v>
      </c>
      <c r="B11932" t="str">
        <f t="shared" si="2315"/>
        <v>SAÍDA</v>
      </c>
      <c r="C11932" t="str">
        <f t="shared" si="2317"/>
        <v>PIX</v>
      </c>
      <c r="D11932" t="str">
        <f>"25162"</f>
        <v>25162</v>
      </c>
      <c r="E11932" t="str">
        <f t="shared" ref="E11932:E11995" si="2319">"1"</f>
        <v>1</v>
      </c>
      <c r="F11932" t="str">
        <f t="shared" si="2314"/>
        <v>COM</v>
      </c>
      <c r="G11932" t="str">
        <f>"MARCOS RODRIGUES PENA (64)"</f>
        <v>MARCOS RODRIGUES PENA (64)</v>
      </c>
      <c r="H11932" t="str">
        <f>"Serv.Prest. 03/11/2025 a 09/11/2025 - PIX: CELULAR - CHAVE: (33) 99194-2339"</f>
        <v>Serv.Prest. 03/11/2025 a 09/11/2025 - PIX: CELULAR - CHAVE: (33) 99194-2339</v>
      </c>
      <c r="I11932" t="str">
        <f t="shared" si="2318"/>
        <v>20/11/2025</v>
      </c>
      <c r="J11932" t="str">
        <f t="shared" ref="J11932:J11995" si="2320">("11/11/2025")</f>
        <v>11/11/2025</v>
      </c>
      <c r="K11932" t="str">
        <f>("21/11/2025")</f>
        <v>21/11/2025</v>
      </c>
      <c r="L11932">
        <v>602.5</v>
      </c>
      <c r="M11932">
        <v>602.5</v>
      </c>
      <c r="N11932">
        <v>109</v>
      </c>
      <c r="O11932" t="str">
        <f>"PAGAMENTO DE ENTREGADORES"</f>
        <v>PAGAMENTO DE ENTREGADORES</v>
      </c>
      <c r="P11932">
        <v>602.5</v>
      </c>
      <c r="S11932" t="str">
        <f>"BANCO C6 (149)"</f>
        <v>BANCO C6 (149)</v>
      </c>
      <c r="T11932">
        <v>21392</v>
      </c>
      <c r="U11932">
        <v>25162</v>
      </c>
      <c r="V11932" t="s">
        <v>77</v>
      </c>
    </row>
    <row r="11933" spans="1:22">
      <c r="A11933" t="str">
        <f t="shared" si="2316"/>
        <v>21/11/2025</v>
      </c>
      <c r="B11933" t="str">
        <f t="shared" si="2315"/>
        <v>SAÍDA</v>
      </c>
      <c r="C11933" t="str">
        <f t="shared" si="2317"/>
        <v>PIX</v>
      </c>
      <c r="D11933" t="str">
        <f>"25162"</f>
        <v>25162</v>
      </c>
      <c r="E11933" t="str">
        <f t="shared" si="2319"/>
        <v>1</v>
      </c>
      <c r="F11933" t="str">
        <f t="shared" si="2314"/>
        <v>COM</v>
      </c>
      <c r="G11933" t="str">
        <f>"MARCOS RODRIGUES PENA (64)"</f>
        <v>MARCOS RODRIGUES PENA (64)</v>
      </c>
      <c r="H11933" t="s">
        <v>3031</v>
      </c>
      <c r="I11933" t="str">
        <f t="shared" si="2318"/>
        <v>20/11/2025</v>
      </c>
      <c r="J11933" t="str">
        <f t="shared" si="2320"/>
        <v>11/11/2025</v>
      </c>
      <c r="K11933">
        <v>45982</v>
      </c>
      <c r="N11933">
        <v>109</v>
      </c>
      <c r="O11933" t="s">
        <v>24</v>
      </c>
      <c r="Q11933">
        <v>602.5</v>
      </c>
      <c r="R11933" t="str">
        <f>"FARMÁCIA INDIANA LJ 62 (10028)"</f>
        <v>FARMÁCIA INDIANA LJ 62 (10028)</v>
      </c>
      <c r="S11933" t="s">
        <v>77</v>
      </c>
      <c r="T11933">
        <v>21392</v>
      </c>
      <c r="U11933">
        <v>25162</v>
      </c>
      <c r="V11933" t="s">
        <v>77</v>
      </c>
    </row>
    <row r="11934" spans="1:22">
      <c r="A11934" t="str">
        <f t="shared" si="2316"/>
        <v>21/11/2025</v>
      </c>
      <c r="B11934" t="str">
        <f t="shared" si="2315"/>
        <v>SAÍDA</v>
      </c>
      <c r="C11934" t="str">
        <f t="shared" si="2317"/>
        <v>PIX</v>
      </c>
      <c r="D11934" t="str">
        <f>"25163"</f>
        <v>25163</v>
      </c>
      <c r="E11934" t="str">
        <f t="shared" si="2319"/>
        <v>1</v>
      </c>
      <c r="F11934" t="str">
        <f t="shared" si="2314"/>
        <v>COM</v>
      </c>
      <c r="G11934" t="str">
        <f>"MATHEUS VIEIRA DA SILVA (886)"</f>
        <v>MATHEUS VIEIRA DA SILVA (886)</v>
      </c>
      <c r="H11934" t="str">
        <f>"Serv.Prest. 03/11/2025 a 09/11/2025 - PIX: E-MAIL - CHAVE: meamatheusvieira@gmail.com"</f>
        <v>Serv.Prest. 03/11/2025 a 09/11/2025 - PIX: E-MAIL - CHAVE: meamatheusvieira@gmail.com</v>
      </c>
      <c r="I11934" t="str">
        <f t="shared" si="2318"/>
        <v>20/11/2025</v>
      </c>
      <c r="J11934" t="str">
        <f t="shared" si="2320"/>
        <v>11/11/2025</v>
      </c>
      <c r="K11934" t="str">
        <f>("21/11/2025")</f>
        <v>21/11/2025</v>
      </c>
      <c r="L11934">
        <v>1188</v>
      </c>
      <c r="M11934">
        <v>1188</v>
      </c>
      <c r="N11934">
        <v>109</v>
      </c>
      <c r="O11934" t="str">
        <f>"PAGAMENTO DE ENTREGADORES"</f>
        <v>PAGAMENTO DE ENTREGADORES</v>
      </c>
      <c r="P11934">
        <v>1188</v>
      </c>
      <c r="S11934" t="str">
        <f>"BANCO C6 (149)"</f>
        <v>BANCO C6 (149)</v>
      </c>
      <c r="T11934">
        <v>21393</v>
      </c>
      <c r="U11934">
        <v>25163</v>
      </c>
      <c r="V11934" t="s">
        <v>77</v>
      </c>
    </row>
    <row r="11935" spans="1:22">
      <c r="A11935" t="str">
        <f t="shared" si="2316"/>
        <v>21/11/2025</v>
      </c>
      <c r="B11935" t="str">
        <f t="shared" si="2315"/>
        <v>SAÍDA</v>
      </c>
      <c r="C11935" t="str">
        <f t="shared" si="2317"/>
        <v>PIX</v>
      </c>
      <c r="D11935" t="str">
        <f>"25163"</f>
        <v>25163</v>
      </c>
      <c r="E11935" t="str">
        <f t="shared" si="2319"/>
        <v>1</v>
      </c>
      <c r="F11935" t="str">
        <f t="shared" si="2314"/>
        <v>COM</v>
      </c>
      <c r="G11935" t="str">
        <f>"MATHEUS VIEIRA DA SILVA (886)"</f>
        <v>MATHEUS VIEIRA DA SILVA (886)</v>
      </c>
      <c r="H11935" t="s">
        <v>3208</v>
      </c>
      <c r="I11935" t="str">
        <f t="shared" si="2318"/>
        <v>20/11/2025</v>
      </c>
      <c r="J11935" t="str">
        <f t="shared" si="2320"/>
        <v>11/11/2025</v>
      </c>
      <c r="K11935">
        <v>45982</v>
      </c>
      <c r="N11935">
        <v>109</v>
      </c>
      <c r="O11935" t="s">
        <v>24</v>
      </c>
      <c r="Q11935">
        <v>1188</v>
      </c>
      <c r="R11935" t="str">
        <f>"FARMÁCIA INDIANA LJ 07 (10007)"</f>
        <v>FARMÁCIA INDIANA LJ 07 (10007)</v>
      </c>
      <c r="S11935" t="s">
        <v>77</v>
      </c>
      <c r="T11935">
        <v>21393</v>
      </c>
      <c r="U11935">
        <v>25163</v>
      </c>
      <c r="V11935" t="s">
        <v>77</v>
      </c>
    </row>
    <row r="11936" spans="1:22">
      <c r="A11936" t="str">
        <f t="shared" si="2316"/>
        <v>21/11/2025</v>
      </c>
      <c r="B11936" t="str">
        <f t="shared" si="2315"/>
        <v>SAÍDA</v>
      </c>
      <c r="C11936" t="str">
        <f t="shared" si="2317"/>
        <v>PIX</v>
      </c>
      <c r="D11936" t="str">
        <f>"25164"</f>
        <v>25164</v>
      </c>
      <c r="E11936" t="str">
        <f t="shared" si="2319"/>
        <v>1</v>
      </c>
      <c r="F11936" t="str">
        <f t="shared" si="2314"/>
        <v>COM</v>
      </c>
      <c r="G11936" t="str">
        <f>"MAURO AUGUSTO MACHADO DE ASSIS (767)"</f>
        <v>MAURO AUGUSTO MACHADO DE ASSIS (767)</v>
      </c>
      <c r="H11936" t="str">
        <f>"Serv.Prest. 03/11/2025 a 09/11/2025 - PIX: CPF - CHAVE: 163.330.766-27"</f>
        <v>Serv.Prest. 03/11/2025 a 09/11/2025 - PIX: CPF - CHAVE: 163.330.766-27</v>
      </c>
      <c r="I11936" t="str">
        <f t="shared" si="2318"/>
        <v>20/11/2025</v>
      </c>
      <c r="J11936" t="str">
        <f t="shared" si="2320"/>
        <v>11/11/2025</v>
      </c>
      <c r="K11936" t="str">
        <f>("21/11/2025")</f>
        <v>21/11/2025</v>
      </c>
      <c r="L11936">
        <v>924</v>
      </c>
      <c r="M11936">
        <v>924</v>
      </c>
      <c r="N11936">
        <v>109</v>
      </c>
      <c r="O11936" t="str">
        <f>"PAGAMENTO DE ENTREGADORES"</f>
        <v>PAGAMENTO DE ENTREGADORES</v>
      </c>
      <c r="P11936">
        <v>924</v>
      </c>
      <c r="S11936" t="str">
        <f>"BANCO C6 (149)"</f>
        <v>BANCO C6 (149)</v>
      </c>
      <c r="T11936">
        <v>21394</v>
      </c>
      <c r="U11936">
        <v>25164</v>
      </c>
      <c r="V11936" t="s">
        <v>77</v>
      </c>
    </row>
    <row r="11937" spans="1:22">
      <c r="A11937" t="str">
        <f t="shared" si="2316"/>
        <v>21/11/2025</v>
      </c>
      <c r="B11937" t="str">
        <f t="shared" si="2315"/>
        <v>SAÍDA</v>
      </c>
      <c r="C11937" t="str">
        <f t="shared" si="2317"/>
        <v>PIX</v>
      </c>
      <c r="D11937" t="str">
        <f>"25164"</f>
        <v>25164</v>
      </c>
      <c r="E11937" t="str">
        <f t="shared" si="2319"/>
        <v>1</v>
      </c>
      <c r="F11937" t="str">
        <f t="shared" si="2314"/>
        <v>COM</v>
      </c>
      <c r="G11937" t="str">
        <f>"MAURO AUGUSTO MACHADO DE ASSIS (767)"</f>
        <v>MAURO AUGUSTO MACHADO DE ASSIS (767)</v>
      </c>
      <c r="H11937" t="s">
        <v>3209</v>
      </c>
      <c r="I11937" t="str">
        <f t="shared" si="2318"/>
        <v>20/11/2025</v>
      </c>
      <c r="J11937" t="str">
        <f t="shared" si="2320"/>
        <v>11/11/2025</v>
      </c>
      <c r="K11937">
        <v>45982</v>
      </c>
      <c r="N11937">
        <v>109</v>
      </c>
      <c r="O11937" t="s">
        <v>24</v>
      </c>
      <c r="Q11937">
        <v>498.04</v>
      </c>
      <c r="R11937" t="str">
        <f>"FARMÁCIA INDIANA LJ 11 (10008)"</f>
        <v>FARMÁCIA INDIANA LJ 11 (10008)</v>
      </c>
      <c r="S11937" t="s">
        <v>77</v>
      </c>
      <c r="T11937">
        <v>21394</v>
      </c>
      <c r="U11937">
        <v>25164</v>
      </c>
      <c r="V11937" t="s">
        <v>77</v>
      </c>
    </row>
    <row r="11938" spans="1:22">
      <c r="A11938" t="str">
        <f t="shared" si="2316"/>
        <v>21/11/2025</v>
      </c>
      <c r="B11938" t="str">
        <f t="shared" si="2315"/>
        <v>SAÍDA</v>
      </c>
      <c r="C11938" t="str">
        <f t="shared" si="2317"/>
        <v>PIX</v>
      </c>
      <c r="D11938" t="str">
        <f>"25164"</f>
        <v>25164</v>
      </c>
      <c r="E11938" t="str">
        <f t="shared" si="2319"/>
        <v>1</v>
      </c>
      <c r="F11938" t="str">
        <f t="shared" si="2314"/>
        <v>COM</v>
      </c>
      <c r="G11938" t="str">
        <f>"MAURO AUGUSTO MACHADO DE ASSIS (767)"</f>
        <v>MAURO AUGUSTO MACHADO DE ASSIS (767)</v>
      </c>
      <c r="H11938" t="s">
        <v>3209</v>
      </c>
      <c r="I11938" t="str">
        <f t="shared" si="2318"/>
        <v>20/11/2025</v>
      </c>
      <c r="J11938" t="str">
        <f t="shared" si="2320"/>
        <v>11/11/2025</v>
      </c>
      <c r="K11938">
        <v>45982</v>
      </c>
      <c r="N11938">
        <v>109</v>
      </c>
      <c r="O11938" t="s">
        <v>24</v>
      </c>
      <c r="Q11938">
        <v>425.96</v>
      </c>
      <c r="R11938" t="str">
        <f>"FARMÁCIA INDIANA LJ 172 (10161)"</f>
        <v>FARMÁCIA INDIANA LJ 172 (10161)</v>
      </c>
      <c r="S11938" t="s">
        <v>77</v>
      </c>
      <c r="T11938">
        <v>21394</v>
      </c>
      <c r="U11938">
        <v>25164</v>
      </c>
      <c r="V11938" t="s">
        <v>77</v>
      </c>
    </row>
    <row r="11939" spans="1:22">
      <c r="A11939" t="str">
        <f t="shared" si="2316"/>
        <v>21/11/2025</v>
      </c>
      <c r="B11939" t="str">
        <f t="shared" si="2315"/>
        <v>SAÍDA</v>
      </c>
      <c r="C11939" t="str">
        <f t="shared" si="2317"/>
        <v>PIX</v>
      </c>
      <c r="D11939" t="str">
        <f>"25165"</f>
        <v>25165</v>
      </c>
      <c r="E11939" t="str">
        <f t="shared" si="2319"/>
        <v>1</v>
      </c>
      <c r="F11939" t="str">
        <f t="shared" si="2314"/>
        <v>COM</v>
      </c>
      <c r="G11939" t="str">
        <f>"MAYCON GUILHERME DUARTE (541)"</f>
        <v>MAYCON GUILHERME DUARTE (541)</v>
      </c>
      <c r="H11939" t="str">
        <f>"Serv.Prest. 03/11/2025 a 09/11/2025 - PIX: CELULAR - CHAVE: (31) 99076-6539"</f>
        <v>Serv.Prest. 03/11/2025 a 09/11/2025 - PIX: CELULAR - CHAVE: (31) 99076-6539</v>
      </c>
      <c r="I11939" t="str">
        <f t="shared" si="2318"/>
        <v>20/11/2025</v>
      </c>
      <c r="J11939" t="str">
        <f t="shared" si="2320"/>
        <v>11/11/2025</v>
      </c>
      <c r="K11939" t="str">
        <f>("21/11/2025")</f>
        <v>21/11/2025</v>
      </c>
      <c r="L11939">
        <v>1212</v>
      </c>
      <c r="M11939">
        <v>1212</v>
      </c>
      <c r="N11939">
        <v>109</v>
      </c>
      <c r="O11939" t="str">
        <f>"PAGAMENTO DE ENTREGADORES"</f>
        <v>PAGAMENTO DE ENTREGADORES</v>
      </c>
      <c r="P11939">
        <v>1212</v>
      </c>
      <c r="S11939" t="str">
        <f>"BANCO C6 (149)"</f>
        <v>BANCO C6 (149)</v>
      </c>
      <c r="T11939">
        <v>21395</v>
      </c>
      <c r="U11939">
        <v>25165</v>
      </c>
      <c r="V11939" t="s">
        <v>77</v>
      </c>
    </row>
    <row r="11940" spans="1:22">
      <c r="A11940" t="str">
        <f t="shared" si="2316"/>
        <v>21/11/2025</v>
      </c>
      <c r="B11940" t="str">
        <f t="shared" si="2315"/>
        <v>SAÍDA</v>
      </c>
      <c r="C11940" t="str">
        <f t="shared" si="2317"/>
        <v>PIX</v>
      </c>
      <c r="D11940" t="str">
        <f>"25165"</f>
        <v>25165</v>
      </c>
      <c r="E11940" t="str">
        <f t="shared" si="2319"/>
        <v>1</v>
      </c>
      <c r="F11940" t="str">
        <f t="shared" si="2314"/>
        <v>COM</v>
      </c>
      <c r="G11940" t="str">
        <f>"MAYCON GUILHERME DUARTE (541)"</f>
        <v>MAYCON GUILHERME DUARTE (541)</v>
      </c>
      <c r="H11940" t="s">
        <v>3210</v>
      </c>
      <c r="I11940" t="str">
        <f t="shared" si="2318"/>
        <v>20/11/2025</v>
      </c>
      <c r="J11940" t="str">
        <f t="shared" si="2320"/>
        <v>11/11/2025</v>
      </c>
      <c r="K11940">
        <v>45982</v>
      </c>
      <c r="N11940">
        <v>109</v>
      </c>
      <c r="O11940" t="s">
        <v>24</v>
      </c>
      <c r="Q11940">
        <v>1212</v>
      </c>
      <c r="R11940" t="str">
        <f>"FARMÁCIA INDIANA LJ 220 (10092)"</f>
        <v>FARMÁCIA INDIANA LJ 220 (10092)</v>
      </c>
      <c r="S11940" t="s">
        <v>77</v>
      </c>
      <c r="T11940">
        <v>21395</v>
      </c>
      <c r="U11940">
        <v>25165</v>
      </c>
      <c r="V11940" t="s">
        <v>77</v>
      </c>
    </row>
    <row r="11941" spans="1:22">
      <c r="A11941" t="str">
        <f t="shared" si="2316"/>
        <v>21/11/2025</v>
      </c>
      <c r="B11941" t="str">
        <f t="shared" si="2315"/>
        <v>SAÍDA</v>
      </c>
      <c r="C11941" t="str">
        <f t="shared" si="2317"/>
        <v>PIX</v>
      </c>
      <c r="D11941" t="str">
        <f>"25166"</f>
        <v>25166</v>
      </c>
      <c r="E11941" t="str">
        <f t="shared" si="2319"/>
        <v>1</v>
      </c>
      <c r="F11941" t="str">
        <f t="shared" si="2314"/>
        <v>COM</v>
      </c>
      <c r="G11941" t="str">
        <f>"MIGUEL PESSOA RAMOS (68)"</f>
        <v>MIGUEL PESSOA RAMOS (68)</v>
      </c>
      <c r="H11941" t="str">
        <f>"Serv.Prest. 03/11/2025 a 09/11/2025 - PIX: CELULAR - CHAVE: (33) 99845-0493"</f>
        <v>Serv.Prest. 03/11/2025 a 09/11/2025 - PIX: CELULAR - CHAVE: (33) 99845-0493</v>
      </c>
      <c r="I11941" t="str">
        <f t="shared" si="2318"/>
        <v>20/11/2025</v>
      </c>
      <c r="J11941" t="str">
        <f t="shared" si="2320"/>
        <v>11/11/2025</v>
      </c>
      <c r="K11941" t="str">
        <f>("21/11/2025")</f>
        <v>21/11/2025</v>
      </c>
      <c r="L11941">
        <v>720</v>
      </c>
      <c r="M11941">
        <v>720</v>
      </c>
      <c r="N11941">
        <v>109</v>
      </c>
      <c r="O11941" t="str">
        <f>"PAGAMENTO DE ENTREGADORES"</f>
        <v>PAGAMENTO DE ENTREGADORES</v>
      </c>
      <c r="P11941">
        <v>720</v>
      </c>
      <c r="S11941" t="str">
        <f>"BANCO C6 (149)"</f>
        <v>BANCO C6 (149)</v>
      </c>
      <c r="T11941">
        <v>21396</v>
      </c>
      <c r="U11941">
        <v>25166</v>
      </c>
      <c r="V11941" t="s">
        <v>77</v>
      </c>
    </row>
    <row r="11942" spans="1:22">
      <c r="A11942" t="str">
        <f t="shared" si="2316"/>
        <v>21/11/2025</v>
      </c>
      <c r="B11942" t="str">
        <f t="shared" si="2315"/>
        <v>SAÍDA</v>
      </c>
      <c r="C11942" t="str">
        <f t="shared" si="2317"/>
        <v>PIX</v>
      </c>
      <c r="D11942" t="str">
        <f>"25166"</f>
        <v>25166</v>
      </c>
      <c r="E11942" t="str">
        <f t="shared" si="2319"/>
        <v>1</v>
      </c>
      <c r="F11942" t="str">
        <f t="shared" si="2314"/>
        <v>COM</v>
      </c>
      <c r="G11942" t="str">
        <f>"MIGUEL PESSOA RAMOS (68)"</f>
        <v>MIGUEL PESSOA RAMOS (68)</v>
      </c>
      <c r="H11942" t="s">
        <v>3211</v>
      </c>
      <c r="I11942" t="str">
        <f t="shared" si="2318"/>
        <v>20/11/2025</v>
      </c>
      <c r="J11942" t="str">
        <f t="shared" si="2320"/>
        <v>11/11/2025</v>
      </c>
      <c r="K11942">
        <v>45982</v>
      </c>
      <c r="N11942">
        <v>109</v>
      </c>
      <c r="O11942" t="s">
        <v>24</v>
      </c>
      <c r="Q11942">
        <v>720</v>
      </c>
      <c r="R11942" t="str">
        <f>"FARMÁCIA INDIANA LJ 07 (10007)"</f>
        <v>FARMÁCIA INDIANA LJ 07 (10007)</v>
      </c>
      <c r="S11942" t="s">
        <v>77</v>
      </c>
      <c r="T11942">
        <v>21396</v>
      </c>
      <c r="U11942">
        <v>25166</v>
      </c>
      <c r="V11942" t="s">
        <v>77</v>
      </c>
    </row>
    <row r="11943" spans="1:22">
      <c r="A11943" t="str">
        <f t="shared" si="2316"/>
        <v>21/11/2025</v>
      </c>
      <c r="B11943" t="str">
        <f t="shared" si="2315"/>
        <v>SAÍDA</v>
      </c>
      <c r="C11943" t="str">
        <f t="shared" si="2317"/>
        <v>PIX</v>
      </c>
      <c r="D11943" t="str">
        <f>"25167"</f>
        <v>25167</v>
      </c>
      <c r="E11943" t="str">
        <f t="shared" si="2319"/>
        <v>1</v>
      </c>
      <c r="F11943" t="str">
        <f t="shared" si="2314"/>
        <v>COM</v>
      </c>
      <c r="G11943" t="str">
        <f>"MURILO BARRETO AFONSO (30)"</f>
        <v>MURILO BARRETO AFONSO (30)</v>
      </c>
      <c r="H11943" t="str">
        <f>"Serv.Prest. 03/11/2025 a 09/11/2025 - PIX: CPF - CHAVE: 123.020.026-60"</f>
        <v>Serv.Prest. 03/11/2025 a 09/11/2025 - PIX: CPF - CHAVE: 123.020.026-60</v>
      </c>
      <c r="I11943" t="str">
        <f t="shared" si="2318"/>
        <v>20/11/2025</v>
      </c>
      <c r="J11943" t="str">
        <f t="shared" si="2320"/>
        <v>11/11/2025</v>
      </c>
      <c r="K11943" t="str">
        <f>("21/11/2025")</f>
        <v>21/11/2025</v>
      </c>
      <c r="L11943">
        <v>2166</v>
      </c>
      <c r="M11943">
        <v>2166</v>
      </c>
      <c r="N11943">
        <v>109</v>
      </c>
      <c r="O11943" t="str">
        <f>"PAGAMENTO DE ENTREGADORES"</f>
        <v>PAGAMENTO DE ENTREGADORES</v>
      </c>
      <c r="P11943">
        <v>2166</v>
      </c>
      <c r="S11943" t="str">
        <f>"BANCO C6 (149)"</f>
        <v>BANCO C6 (149)</v>
      </c>
      <c r="T11943">
        <v>21397</v>
      </c>
      <c r="U11943">
        <v>25167</v>
      </c>
      <c r="V11943" t="s">
        <v>77</v>
      </c>
    </row>
    <row r="11944" spans="1:22">
      <c r="A11944" t="str">
        <f t="shared" si="2316"/>
        <v>21/11/2025</v>
      </c>
      <c r="B11944" t="str">
        <f t="shared" si="2315"/>
        <v>SAÍDA</v>
      </c>
      <c r="C11944" t="str">
        <f t="shared" si="2317"/>
        <v>PIX</v>
      </c>
      <c r="D11944" t="str">
        <f>"25167"</f>
        <v>25167</v>
      </c>
      <c r="E11944" t="str">
        <f t="shared" si="2319"/>
        <v>1</v>
      </c>
      <c r="F11944" t="str">
        <f t="shared" si="2314"/>
        <v>COM</v>
      </c>
      <c r="G11944" t="str">
        <f>"MURILO BARRETO AFONSO (30)"</f>
        <v>MURILO BARRETO AFONSO (30)</v>
      </c>
      <c r="H11944" t="s">
        <v>3212</v>
      </c>
      <c r="I11944" t="str">
        <f t="shared" si="2318"/>
        <v>20/11/2025</v>
      </c>
      <c r="J11944" t="str">
        <f t="shared" si="2320"/>
        <v>11/11/2025</v>
      </c>
      <c r="K11944">
        <v>45982</v>
      </c>
      <c r="N11944">
        <v>109</v>
      </c>
      <c r="O11944" t="s">
        <v>24</v>
      </c>
      <c r="Q11944">
        <v>1206.03</v>
      </c>
      <c r="R11944" t="str">
        <f>"FARMÁCIA INDIANA LJ 118 (10052)"</f>
        <v>FARMÁCIA INDIANA LJ 118 (10052)</v>
      </c>
      <c r="S11944" t="s">
        <v>77</v>
      </c>
      <c r="T11944">
        <v>21397</v>
      </c>
      <c r="U11944">
        <v>25167</v>
      </c>
      <c r="V11944" t="s">
        <v>77</v>
      </c>
    </row>
    <row r="11945" spans="1:22">
      <c r="A11945" t="str">
        <f t="shared" si="2316"/>
        <v>21/11/2025</v>
      </c>
      <c r="B11945" t="str">
        <f t="shared" si="2315"/>
        <v>SAÍDA</v>
      </c>
      <c r="C11945" t="str">
        <f t="shared" si="2317"/>
        <v>PIX</v>
      </c>
      <c r="D11945" t="str">
        <f>"25167"</f>
        <v>25167</v>
      </c>
      <c r="E11945" t="str">
        <f t="shared" si="2319"/>
        <v>1</v>
      </c>
      <c r="F11945" t="str">
        <f t="shared" si="2314"/>
        <v>COM</v>
      </c>
      <c r="G11945" t="str">
        <f>"MURILO BARRETO AFONSO (30)"</f>
        <v>MURILO BARRETO AFONSO (30)</v>
      </c>
      <c r="H11945" t="s">
        <v>3212</v>
      </c>
      <c r="I11945" t="str">
        <f t="shared" si="2318"/>
        <v>20/11/2025</v>
      </c>
      <c r="J11945" t="str">
        <f t="shared" si="2320"/>
        <v>11/11/2025</v>
      </c>
      <c r="K11945">
        <v>45982</v>
      </c>
      <c r="N11945">
        <v>109</v>
      </c>
      <c r="O11945" t="s">
        <v>24</v>
      </c>
      <c r="Q11945">
        <v>959.97</v>
      </c>
      <c r="R11945" t="str">
        <f>"FARMÁCIA INDIANA LJ 192 (10082)"</f>
        <v>FARMÁCIA INDIANA LJ 192 (10082)</v>
      </c>
      <c r="S11945" t="s">
        <v>77</v>
      </c>
      <c r="T11945">
        <v>21397</v>
      </c>
      <c r="U11945">
        <v>25167</v>
      </c>
      <c r="V11945" t="s">
        <v>77</v>
      </c>
    </row>
    <row r="11946" spans="1:22">
      <c r="A11946" t="str">
        <f t="shared" si="2316"/>
        <v>21/11/2025</v>
      </c>
      <c r="B11946" t="str">
        <f t="shared" si="2315"/>
        <v>SAÍDA</v>
      </c>
      <c r="C11946" t="str">
        <f t="shared" si="2317"/>
        <v>PIX</v>
      </c>
      <c r="D11946" t="str">
        <f>"25168"</f>
        <v>25168</v>
      </c>
      <c r="E11946" t="str">
        <f t="shared" si="2319"/>
        <v>1</v>
      </c>
      <c r="F11946" t="str">
        <f t="shared" si="2314"/>
        <v>COM</v>
      </c>
      <c r="G11946" t="str">
        <f>"NATÁLIA KAROLAINE GOMES BATISTA (936)"</f>
        <v>NATÁLIA KAROLAINE GOMES BATISTA (936)</v>
      </c>
      <c r="H11946" t="str">
        <f>"Serv.Prest. 03/11/2025 a 09/11/2025 - PIX: CELULAR - CHAVE: (33) 98817-9868"</f>
        <v>Serv.Prest. 03/11/2025 a 09/11/2025 - PIX: CELULAR - CHAVE: (33) 98817-9868</v>
      </c>
      <c r="I11946" t="str">
        <f t="shared" si="2318"/>
        <v>20/11/2025</v>
      </c>
      <c r="J11946" t="str">
        <f t="shared" si="2320"/>
        <v>11/11/2025</v>
      </c>
      <c r="K11946" t="str">
        <f>("21/11/2025")</f>
        <v>21/11/2025</v>
      </c>
      <c r="L11946">
        <v>324</v>
      </c>
      <c r="M11946">
        <v>324</v>
      </c>
      <c r="N11946">
        <v>109</v>
      </c>
      <c r="O11946" t="str">
        <f>"PAGAMENTO DE ENTREGADORES"</f>
        <v>PAGAMENTO DE ENTREGADORES</v>
      </c>
      <c r="P11946">
        <v>324</v>
      </c>
      <c r="S11946" t="str">
        <f>"BANCO C6 (149)"</f>
        <v>BANCO C6 (149)</v>
      </c>
      <c r="T11946">
        <v>21398</v>
      </c>
      <c r="U11946">
        <v>25168</v>
      </c>
      <c r="V11946" t="s">
        <v>77</v>
      </c>
    </row>
    <row r="11947" spans="1:22">
      <c r="A11947" t="str">
        <f t="shared" si="2316"/>
        <v>21/11/2025</v>
      </c>
      <c r="B11947" t="str">
        <f t="shared" si="2315"/>
        <v>SAÍDA</v>
      </c>
      <c r="C11947" t="str">
        <f t="shared" si="2317"/>
        <v>PIX</v>
      </c>
      <c r="D11947" t="str">
        <f>"25168"</f>
        <v>25168</v>
      </c>
      <c r="E11947" t="str">
        <f t="shared" si="2319"/>
        <v>1</v>
      </c>
      <c r="F11947" t="str">
        <f t="shared" si="2314"/>
        <v>COM</v>
      </c>
      <c r="G11947" t="str">
        <f>"NATÁLIA KAROLAINE GOMES BATISTA (936)"</f>
        <v>NATÁLIA KAROLAINE GOMES BATISTA (936)</v>
      </c>
      <c r="H11947" t="s">
        <v>3213</v>
      </c>
      <c r="I11947" t="str">
        <f t="shared" si="2318"/>
        <v>20/11/2025</v>
      </c>
      <c r="J11947" t="str">
        <f t="shared" si="2320"/>
        <v>11/11/2025</v>
      </c>
      <c r="K11947">
        <v>45982</v>
      </c>
      <c r="N11947">
        <v>109</v>
      </c>
      <c r="O11947" t="s">
        <v>24</v>
      </c>
      <c r="Q11947">
        <v>324</v>
      </c>
      <c r="R11947" t="str">
        <f>"FARMÁCIA INDIANA LJ 07 (10007)"</f>
        <v>FARMÁCIA INDIANA LJ 07 (10007)</v>
      </c>
      <c r="S11947" t="s">
        <v>77</v>
      </c>
      <c r="T11947">
        <v>21398</v>
      </c>
      <c r="U11947">
        <v>25168</v>
      </c>
      <c r="V11947" t="s">
        <v>77</v>
      </c>
    </row>
    <row r="11948" spans="1:22">
      <c r="A11948" t="str">
        <f t="shared" si="2316"/>
        <v>21/11/2025</v>
      </c>
      <c r="B11948" t="str">
        <f t="shared" si="2315"/>
        <v>SAÍDA</v>
      </c>
      <c r="C11948" t="str">
        <f t="shared" si="2317"/>
        <v>PIX</v>
      </c>
      <c r="D11948" t="str">
        <f>"25169"</f>
        <v>25169</v>
      </c>
      <c r="E11948" t="str">
        <f t="shared" si="2319"/>
        <v>1</v>
      </c>
      <c r="F11948" t="str">
        <f t="shared" si="2314"/>
        <v>COM</v>
      </c>
      <c r="G11948" t="str">
        <f>"NELSON DOS SANTOS RODRIGUES (37)"</f>
        <v>NELSON DOS SANTOS RODRIGUES (37)</v>
      </c>
      <c r="H11948" t="str">
        <f>"Serv.Prest. 03/11/2025 a 09/11/2025 - PIX: CPF - CHAVE: 108.680.396-59"</f>
        <v>Serv.Prest. 03/11/2025 a 09/11/2025 - PIX: CPF - CHAVE: 108.680.396-59</v>
      </c>
      <c r="I11948" t="str">
        <f t="shared" si="2318"/>
        <v>20/11/2025</v>
      </c>
      <c r="J11948" t="str">
        <f t="shared" si="2320"/>
        <v>11/11/2025</v>
      </c>
      <c r="K11948" t="str">
        <f>("21/11/2025")</f>
        <v>21/11/2025</v>
      </c>
      <c r="L11948">
        <v>1542</v>
      </c>
      <c r="M11948">
        <v>1542</v>
      </c>
      <c r="N11948">
        <v>109</v>
      </c>
      <c r="O11948" t="str">
        <f>"PAGAMENTO DE ENTREGADORES"</f>
        <v>PAGAMENTO DE ENTREGADORES</v>
      </c>
      <c r="P11948">
        <v>1542</v>
      </c>
      <c r="S11948" t="str">
        <f>"BANCO C6 (149)"</f>
        <v>BANCO C6 (149)</v>
      </c>
      <c r="T11948">
        <v>21399</v>
      </c>
      <c r="U11948">
        <v>25169</v>
      </c>
      <c r="V11948" t="s">
        <v>77</v>
      </c>
    </row>
    <row r="11949" spans="1:22">
      <c r="A11949" t="str">
        <f t="shared" si="2316"/>
        <v>21/11/2025</v>
      </c>
      <c r="B11949" t="str">
        <f t="shared" si="2315"/>
        <v>SAÍDA</v>
      </c>
      <c r="C11949" t="str">
        <f t="shared" si="2317"/>
        <v>PIX</v>
      </c>
      <c r="D11949" t="str">
        <f>"25169"</f>
        <v>25169</v>
      </c>
      <c r="E11949" t="str">
        <f t="shared" si="2319"/>
        <v>1</v>
      </c>
      <c r="F11949" t="str">
        <f t="shared" si="2314"/>
        <v>COM</v>
      </c>
      <c r="G11949" t="str">
        <f>"NELSON DOS SANTOS RODRIGUES (37)"</f>
        <v>NELSON DOS SANTOS RODRIGUES (37)</v>
      </c>
      <c r="H11949" t="s">
        <v>3214</v>
      </c>
      <c r="I11949" t="str">
        <f t="shared" si="2318"/>
        <v>20/11/2025</v>
      </c>
      <c r="J11949" t="str">
        <f t="shared" si="2320"/>
        <v>11/11/2025</v>
      </c>
      <c r="K11949">
        <v>45982</v>
      </c>
      <c r="N11949">
        <v>109</v>
      </c>
      <c r="O11949" t="s">
        <v>24</v>
      </c>
      <c r="Q11949">
        <v>1542</v>
      </c>
      <c r="R11949" t="str">
        <f>"FARMÁCIA INDIANA LJ 11 (10008)"</f>
        <v>FARMÁCIA INDIANA LJ 11 (10008)</v>
      </c>
      <c r="S11949" t="s">
        <v>77</v>
      </c>
      <c r="T11949">
        <v>21399</v>
      </c>
      <c r="U11949">
        <v>25169</v>
      </c>
      <c r="V11949" t="s">
        <v>77</v>
      </c>
    </row>
    <row r="11950" spans="1:22">
      <c r="A11950" t="str">
        <f t="shared" si="2316"/>
        <v>21/11/2025</v>
      </c>
      <c r="B11950" t="str">
        <f t="shared" si="2315"/>
        <v>SAÍDA</v>
      </c>
      <c r="C11950" t="str">
        <f t="shared" si="2317"/>
        <v>PIX</v>
      </c>
      <c r="D11950" t="str">
        <f>"25170"</f>
        <v>25170</v>
      </c>
      <c r="E11950" t="str">
        <f t="shared" si="2319"/>
        <v>1</v>
      </c>
      <c r="F11950" t="str">
        <f t="shared" si="2314"/>
        <v>COM</v>
      </c>
      <c r="G11950" t="str">
        <f>"NILTON RODRIGUES DE SOUZA (136)"</f>
        <v>NILTON RODRIGUES DE SOUZA (136)</v>
      </c>
      <c r="H11950" t="str">
        <f>"Serv.Prest. 03/11/2025 a 09/11/2025 - PIX: CPF - CHAVE: 037.974.316-78"</f>
        <v>Serv.Prest. 03/11/2025 a 09/11/2025 - PIX: CPF - CHAVE: 037.974.316-78</v>
      </c>
      <c r="I11950" t="str">
        <f t="shared" si="2318"/>
        <v>20/11/2025</v>
      </c>
      <c r="J11950" t="str">
        <f t="shared" si="2320"/>
        <v>11/11/2025</v>
      </c>
      <c r="K11950" t="str">
        <f>("21/11/2025")</f>
        <v>21/11/2025</v>
      </c>
      <c r="L11950">
        <v>822</v>
      </c>
      <c r="M11950">
        <v>822</v>
      </c>
      <c r="N11950">
        <v>109</v>
      </c>
      <c r="O11950" t="str">
        <f>"PAGAMENTO DE ENTREGADORES"</f>
        <v>PAGAMENTO DE ENTREGADORES</v>
      </c>
      <c r="P11950">
        <v>822</v>
      </c>
      <c r="S11950" t="str">
        <f>"BANCO C6 (149)"</f>
        <v>BANCO C6 (149)</v>
      </c>
      <c r="T11950">
        <v>21400</v>
      </c>
      <c r="U11950">
        <v>25170</v>
      </c>
      <c r="V11950" t="s">
        <v>77</v>
      </c>
    </row>
    <row r="11951" spans="1:22">
      <c r="A11951" t="str">
        <f t="shared" si="2316"/>
        <v>21/11/2025</v>
      </c>
      <c r="B11951" t="str">
        <f t="shared" si="2315"/>
        <v>SAÍDA</v>
      </c>
      <c r="C11951" t="str">
        <f t="shared" si="2317"/>
        <v>PIX</v>
      </c>
      <c r="D11951" t="str">
        <f>"25170"</f>
        <v>25170</v>
      </c>
      <c r="E11951" t="str">
        <f t="shared" si="2319"/>
        <v>1</v>
      </c>
      <c r="F11951" t="str">
        <f t="shared" si="2314"/>
        <v>COM</v>
      </c>
      <c r="G11951" t="str">
        <f>"NILTON RODRIGUES DE SOUZA (136)"</f>
        <v>NILTON RODRIGUES DE SOUZA (136)</v>
      </c>
      <c r="H11951" t="s">
        <v>3215</v>
      </c>
      <c r="I11951" t="str">
        <f t="shared" si="2318"/>
        <v>20/11/2025</v>
      </c>
      <c r="J11951" t="str">
        <f t="shared" si="2320"/>
        <v>11/11/2025</v>
      </c>
      <c r="K11951">
        <v>45982</v>
      </c>
      <c r="N11951">
        <v>109</v>
      </c>
      <c r="O11951" t="s">
        <v>24</v>
      </c>
      <c r="Q11951">
        <v>701.99</v>
      </c>
      <c r="R11951" t="str">
        <f>"FARMÁCIA INDIANA LJ 18 (10011)"</f>
        <v>FARMÁCIA INDIANA LJ 18 (10011)</v>
      </c>
      <c r="S11951" t="s">
        <v>77</v>
      </c>
      <c r="T11951">
        <v>21400</v>
      </c>
      <c r="U11951">
        <v>25170</v>
      </c>
      <c r="V11951" t="s">
        <v>77</v>
      </c>
    </row>
    <row r="11952" spans="1:22">
      <c r="A11952" t="str">
        <f t="shared" si="2316"/>
        <v>21/11/2025</v>
      </c>
      <c r="B11952" t="str">
        <f t="shared" si="2315"/>
        <v>SAÍDA</v>
      </c>
      <c r="C11952" t="str">
        <f t="shared" si="2317"/>
        <v>PIX</v>
      </c>
      <c r="D11952" t="str">
        <f>"25170"</f>
        <v>25170</v>
      </c>
      <c r="E11952" t="str">
        <f t="shared" si="2319"/>
        <v>1</v>
      </c>
      <c r="F11952" t="str">
        <f t="shared" si="2314"/>
        <v>COM</v>
      </c>
      <c r="G11952" t="str">
        <f>"NILTON RODRIGUES DE SOUZA (136)"</f>
        <v>NILTON RODRIGUES DE SOUZA (136)</v>
      </c>
      <c r="H11952" t="s">
        <v>3215</v>
      </c>
      <c r="I11952" t="str">
        <f t="shared" si="2318"/>
        <v>20/11/2025</v>
      </c>
      <c r="J11952" t="str">
        <f t="shared" si="2320"/>
        <v>11/11/2025</v>
      </c>
      <c r="K11952">
        <v>45982</v>
      </c>
      <c r="N11952">
        <v>109</v>
      </c>
      <c r="O11952" t="s">
        <v>24</v>
      </c>
      <c r="Q11952">
        <v>120.01</v>
      </c>
      <c r="R11952" t="str">
        <f>"FARMÁCIA INDIANA LJ 19 (10012)"</f>
        <v>FARMÁCIA INDIANA LJ 19 (10012)</v>
      </c>
      <c r="S11952" t="s">
        <v>77</v>
      </c>
      <c r="T11952">
        <v>21400</v>
      </c>
      <c r="U11952">
        <v>25170</v>
      </c>
      <c r="V11952" t="s">
        <v>77</v>
      </c>
    </row>
    <row r="11953" spans="1:22">
      <c r="A11953" t="str">
        <f t="shared" si="2316"/>
        <v>21/11/2025</v>
      </c>
      <c r="B11953" t="str">
        <f t="shared" si="2315"/>
        <v>SAÍDA</v>
      </c>
      <c r="C11953" t="str">
        <f t="shared" si="2317"/>
        <v>PIX</v>
      </c>
      <c r="D11953" t="str">
        <f>"25171"</f>
        <v>25171</v>
      </c>
      <c r="E11953" t="str">
        <f t="shared" si="2319"/>
        <v>1</v>
      </c>
      <c r="F11953" t="str">
        <f t="shared" si="2314"/>
        <v>COM</v>
      </c>
      <c r="G11953" t="str">
        <f>"PATRICK DE SOUZA CORREA (92)"</f>
        <v>PATRICK DE SOUZA CORREA (92)</v>
      </c>
      <c r="H11953" t="str">
        <f>"Serv.Prest. 03/11/2025 a 09/11/2025 - PIX: CELULAR - CHAVE: (31) 99216-8711"</f>
        <v>Serv.Prest. 03/11/2025 a 09/11/2025 - PIX: CELULAR - CHAVE: (31) 99216-8711</v>
      </c>
      <c r="I11953" t="str">
        <f t="shared" si="2318"/>
        <v>20/11/2025</v>
      </c>
      <c r="J11953" t="str">
        <f t="shared" si="2320"/>
        <v>11/11/2025</v>
      </c>
      <c r="K11953" t="str">
        <f>("21/11/2025")</f>
        <v>21/11/2025</v>
      </c>
      <c r="L11953">
        <v>600</v>
      </c>
      <c r="M11953">
        <v>600</v>
      </c>
      <c r="N11953">
        <v>109</v>
      </c>
      <c r="O11953" t="str">
        <f>"PAGAMENTO DE ENTREGADORES"</f>
        <v>PAGAMENTO DE ENTREGADORES</v>
      </c>
      <c r="P11953">
        <v>600</v>
      </c>
      <c r="S11953" t="str">
        <f>"BANCO C6 (149)"</f>
        <v>BANCO C6 (149)</v>
      </c>
      <c r="T11953">
        <v>21401</v>
      </c>
      <c r="U11953">
        <v>25171</v>
      </c>
      <c r="V11953" t="s">
        <v>77</v>
      </c>
    </row>
    <row r="11954" spans="1:22">
      <c r="A11954" t="str">
        <f t="shared" si="2316"/>
        <v>21/11/2025</v>
      </c>
      <c r="B11954" t="str">
        <f t="shared" si="2315"/>
        <v>SAÍDA</v>
      </c>
      <c r="C11954" t="str">
        <f t="shared" si="2317"/>
        <v>PIX</v>
      </c>
      <c r="D11954" t="str">
        <f>"25171"</f>
        <v>25171</v>
      </c>
      <c r="E11954" t="str">
        <f t="shared" si="2319"/>
        <v>1</v>
      </c>
      <c r="F11954" t="str">
        <f t="shared" si="2314"/>
        <v>COM</v>
      </c>
      <c r="G11954" t="str">
        <f>"PATRICK DE SOUZA CORREA (92)"</f>
        <v>PATRICK DE SOUZA CORREA (92)</v>
      </c>
      <c r="H11954" t="s">
        <v>3216</v>
      </c>
      <c r="I11954" t="str">
        <f t="shared" si="2318"/>
        <v>20/11/2025</v>
      </c>
      <c r="J11954" t="str">
        <f t="shared" si="2320"/>
        <v>11/11/2025</v>
      </c>
      <c r="K11954">
        <v>45982</v>
      </c>
      <c r="N11954">
        <v>109</v>
      </c>
      <c r="O11954" t="s">
        <v>24</v>
      </c>
      <c r="Q11954">
        <v>300</v>
      </c>
      <c r="R11954" t="str">
        <f>"FARMÁCIA INDIANA LJ 184 (10080)"</f>
        <v>FARMÁCIA INDIANA LJ 184 (10080)</v>
      </c>
      <c r="S11954" t="s">
        <v>77</v>
      </c>
      <c r="T11954">
        <v>21401</v>
      </c>
      <c r="U11954">
        <v>25171</v>
      </c>
      <c r="V11954" t="s">
        <v>77</v>
      </c>
    </row>
    <row r="11955" spans="1:22">
      <c r="A11955" t="str">
        <f t="shared" si="2316"/>
        <v>21/11/2025</v>
      </c>
      <c r="B11955" t="str">
        <f t="shared" si="2315"/>
        <v>SAÍDA</v>
      </c>
      <c r="C11955" t="str">
        <f t="shared" si="2317"/>
        <v>PIX</v>
      </c>
      <c r="D11955" t="str">
        <f>"25171"</f>
        <v>25171</v>
      </c>
      <c r="E11955" t="str">
        <f t="shared" si="2319"/>
        <v>1</v>
      </c>
      <c r="F11955" t="str">
        <f t="shared" si="2314"/>
        <v>COM</v>
      </c>
      <c r="G11955" t="str">
        <f>"PATRICK DE SOUZA CORREA (92)"</f>
        <v>PATRICK DE SOUZA CORREA (92)</v>
      </c>
      <c r="H11955" t="s">
        <v>3216</v>
      </c>
      <c r="I11955" t="str">
        <f t="shared" si="2318"/>
        <v>20/11/2025</v>
      </c>
      <c r="J11955" t="str">
        <f t="shared" si="2320"/>
        <v>11/11/2025</v>
      </c>
      <c r="K11955">
        <v>45982</v>
      </c>
      <c r="N11955">
        <v>109</v>
      </c>
      <c r="O11955" t="s">
        <v>24</v>
      </c>
      <c r="Q11955">
        <v>300</v>
      </c>
      <c r="R11955" t="str">
        <f>"FARMÁCIA INDIANA LJ 195 (10083)"</f>
        <v>FARMÁCIA INDIANA LJ 195 (10083)</v>
      </c>
      <c r="S11955" t="s">
        <v>77</v>
      </c>
      <c r="T11955">
        <v>21401</v>
      </c>
      <c r="U11955">
        <v>25171</v>
      </c>
      <c r="V11955" t="s">
        <v>77</v>
      </c>
    </row>
    <row r="11956" spans="1:22">
      <c r="A11956" t="str">
        <f t="shared" si="2316"/>
        <v>21/11/2025</v>
      </c>
      <c r="B11956" t="str">
        <f t="shared" si="2315"/>
        <v>SAÍDA</v>
      </c>
      <c r="C11956" t="str">
        <f t="shared" si="2317"/>
        <v>PIX</v>
      </c>
      <c r="D11956" t="str">
        <f>"25172"</f>
        <v>25172</v>
      </c>
      <c r="E11956" t="str">
        <f t="shared" si="2319"/>
        <v>1</v>
      </c>
      <c r="F11956" t="str">
        <f t="shared" si="2314"/>
        <v>COM</v>
      </c>
      <c r="G11956" t="str">
        <f>"PAULO HENRIQUE OLIVEIRA SILVA (39)"</f>
        <v>PAULO HENRIQUE OLIVEIRA SILVA (39)</v>
      </c>
      <c r="H11956" t="str">
        <f>"Serv.Prest. 03/11/2025 a 09/11/2025 - PIX: CELULAR - CHAVE: (31) 97339-3761"</f>
        <v>Serv.Prest. 03/11/2025 a 09/11/2025 - PIX: CELULAR - CHAVE: (31) 97339-3761</v>
      </c>
      <c r="I11956" t="str">
        <f t="shared" si="2318"/>
        <v>20/11/2025</v>
      </c>
      <c r="J11956" t="str">
        <f t="shared" si="2320"/>
        <v>11/11/2025</v>
      </c>
      <c r="K11956" t="str">
        <f>("21/11/2025")</f>
        <v>21/11/2025</v>
      </c>
      <c r="L11956">
        <v>1434</v>
      </c>
      <c r="M11956">
        <v>1434</v>
      </c>
      <c r="N11956">
        <v>109</v>
      </c>
      <c r="O11956" t="str">
        <f>"PAGAMENTO DE ENTREGADORES"</f>
        <v>PAGAMENTO DE ENTREGADORES</v>
      </c>
      <c r="P11956">
        <v>1434</v>
      </c>
      <c r="S11956" t="str">
        <f>"BANCO C6 (149)"</f>
        <v>BANCO C6 (149)</v>
      </c>
      <c r="T11956">
        <v>21402</v>
      </c>
      <c r="U11956">
        <v>25172</v>
      </c>
      <c r="V11956" t="s">
        <v>77</v>
      </c>
    </row>
    <row r="11957" spans="1:22">
      <c r="A11957" t="str">
        <f t="shared" si="2316"/>
        <v>21/11/2025</v>
      </c>
      <c r="B11957" t="str">
        <f t="shared" si="2315"/>
        <v>SAÍDA</v>
      </c>
      <c r="C11957" t="str">
        <f t="shared" si="2317"/>
        <v>PIX</v>
      </c>
      <c r="D11957" t="str">
        <f>"25172"</f>
        <v>25172</v>
      </c>
      <c r="E11957" t="str">
        <f t="shared" si="2319"/>
        <v>1</v>
      </c>
      <c r="F11957" t="str">
        <f t="shared" si="2314"/>
        <v>COM</v>
      </c>
      <c r="G11957" t="str">
        <f>"PAULO HENRIQUE OLIVEIRA SILVA (39)"</f>
        <v>PAULO HENRIQUE OLIVEIRA SILVA (39)</v>
      </c>
      <c r="H11957" t="s">
        <v>3217</v>
      </c>
      <c r="I11957" t="str">
        <f t="shared" si="2318"/>
        <v>20/11/2025</v>
      </c>
      <c r="J11957" t="str">
        <f t="shared" si="2320"/>
        <v>11/11/2025</v>
      </c>
      <c r="K11957">
        <v>45982</v>
      </c>
      <c r="N11957">
        <v>109</v>
      </c>
      <c r="O11957" t="s">
        <v>24</v>
      </c>
      <c r="Q11957">
        <v>1434</v>
      </c>
      <c r="R11957" t="str">
        <f>"FARMÁCIA INDIANA LJ 11 (10008)"</f>
        <v>FARMÁCIA INDIANA LJ 11 (10008)</v>
      </c>
      <c r="S11957" t="s">
        <v>77</v>
      </c>
      <c r="T11957">
        <v>21402</v>
      </c>
      <c r="U11957">
        <v>25172</v>
      </c>
      <c r="V11957" t="s">
        <v>77</v>
      </c>
    </row>
    <row r="11958" spans="1:22">
      <c r="A11958" t="str">
        <f t="shared" si="2316"/>
        <v>21/11/2025</v>
      </c>
      <c r="B11958" t="str">
        <f t="shared" si="2315"/>
        <v>SAÍDA</v>
      </c>
      <c r="C11958" t="str">
        <f t="shared" si="2317"/>
        <v>PIX</v>
      </c>
      <c r="D11958" t="str">
        <f>"25173"</f>
        <v>25173</v>
      </c>
      <c r="E11958" t="str">
        <f t="shared" si="2319"/>
        <v>1</v>
      </c>
      <c r="F11958" t="str">
        <f t="shared" si="2314"/>
        <v>COM</v>
      </c>
      <c r="G11958" t="str">
        <f>"PAULO MARCOS FARIA DE SOUZA L (233)"</f>
        <v>PAULO MARCOS FARIA DE SOUZA L (233)</v>
      </c>
      <c r="H11958" t="str">
        <f>"Serv.Prest. 03/11/2025 a 09/11/2025 - PIX: CELULAR - CHAVE: (35) 99264-4504"</f>
        <v>Serv.Prest. 03/11/2025 a 09/11/2025 - PIX: CELULAR - CHAVE: (35) 99264-4504</v>
      </c>
      <c r="I11958" t="str">
        <f t="shared" si="2318"/>
        <v>20/11/2025</v>
      </c>
      <c r="J11958" t="str">
        <f t="shared" si="2320"/>
        <v>11/11/2025</v>
      </c>
      <c r="K11958" t="str">
        <f>("21/11/2025")</f>
        <v>21/11/2025</v>
      </c>
      <c r="L11958">
        <v>500</v>
      </c>
      <c r="M11958">
        <v>500</v>
      </c>
      <c r="N11958">
        <v>109</v>
      </c>
      <c r="O11958" t="str">
        <f>"PAGAMENTO DE ENTREGADORES"</f>
        <v>PAGAMENTO DE ENTREGADORES</v>
      </c>
      <c r="P11958">
        <v>500</v>
      </c>
      <c r="S11958" t="str">
        <f>"BANCO C6 (149)"</f>
        <v>BANCO C6 (149)</v>
      </c>
      <c r="T11958">
        <v>21403</v>
      </c>
      <c r="U11958">
        <v>25173</v>
      </c>
      <c r="V11958" t="s">
        <v>77</v>
      </c>
    </row>
    <row r="11959" spans="1:22">
      <c r="A11959" t="str">
        <f t="shared" si="2316"/>
        <v>21/11/2025</v>
      </c>
      <c r="B11959" t="str">
        <f t="shared" si="2315"/>
        <v>SAÍDA</v>
      </c>
      <c r="C11959" t="str">
        <f t="shared" si="2317"/>
        <v>PIX</v>
      </c>
      <c r="D11959" t="str">
        <f>"25173"</f>
        <v>25173</v>
      </c>
      <c r="E11959" t="str">
        <f t="shared" si="2319"/>
        <v>1</v>
      </c>
      <c r="F11959" t="str">
        <f t="shared" si="2314"/>
        <v>COM</v>
      </c>
      <c r="G11959" t="str">
        <f>"PAULO MARCOS FARIA DE SOUZA L (233)"</f>
        <v>PAULO MARCOS FARIA DE SOUZA L (233)</v>
      </c>
      <c r="H11959" t="s">
        <v>3218</v>
      </c>
      <c r="I11959" t="str">
        <f t="shared" si="2318"/>
        <v>20/11/2025</v>
      </c>
      <c r="J11959" t="str">
        <f t="shared" si="2320"/>
        <v>11/11/2025</v>
      </c>
      <c r="K11959">
        <v>45982</v>
      </c>
      <c r="N11959">
        <v>109</v>
      </c>
      <c r="O11959" t="s">
        <v>24</v>
      </c>
      <c r="Q11959">
        <v>500</v>
      </c>
      <c r="R11959" t="str">
        <f>"FARMÁCIA INDIANA LJ 64 (10029)"</f>
        <v>FARMÁCIA INDIANA LJ 64 (10029)</v>
      </c>
      <c r="S11959" t="s">
        <v>77</v>
      </c>
      <c r="T11959">
        <v>21403</v>
      </c>
      <c r="U11959">
        <v>25173</v>
      </c>
      <c r="V11959" t="s">
        <v>77</v>
      </c>
    </row>
    <row r="11960" spans="1:22">
      <c r="A11960" t="str">
        <f t="shared" si="2316"/>
        <v>21/11/2025</v>
      </c>
      <c r="B11960" t="str">
        <f t="shared" si="2315"/>
        <v>SAÍDA</v>
      </c>
      <c r="C11960" t="str">
        <f t="shared" si="2317"/>
        <v>PIX</v>
      </c>
      <c r="D11960" t="str">
        <f>"25174"</f>
        <v>25174</v>
      </c>
      <c r="E11960" t="str">
        <f t="shared" si="2319"/>
        <v>1</v>
      </c>
      <c r="F11960" t="str">
        <f t="shared" si="2314"/>
        <v>COM</v>
      </c>
      <c r="G11960" t="str">
        <f>"PEDRO HENRIQUE DA SILVA COSTA OLIVEIRA (852)"</f>
        <v>PEDRO HENRIQUE DA SILVA COSTA OLIVEIRA (852)</v>
      </c>
      <c r="H11960" t="str">
        <f>"Serv.Prest. 03/11/2025 a 09/11/2025 - PIX: E-MAIL - CHAVE: sypedrinho@gmail.com"</f>
        <v>Serv.Prest. 03/11/2025 a 09/11/2025 - PIX: E-MAIL - CHAVE: sypedrinho@gmail.com</v>
      </c>
      <c r="I11960" t="str">
        <f t="shared" si="2318"/>
        <v>20/11/2025</v>
      </c>
      <c r="J11960" t="str">
        <f t="shared" si="2320"/>
        <v>11/11/2025</v>
      </c>
      <c r="K11960" t="str">
        <f>("21/11/2025")</f>
        <v>21/11/2025</v>
      </c>
      <c r="L11960">
        <v>720</v>
      </c>
      <c r="M11960">
        <v>720</v>
      </c>
      <c r="N11960">
        <v>109</v>
      </c>
      <c r="O11960" t="str">
        <f>"PAGAMENTO DE ENTREGADORES"</f>
        <v>PAGAMENTO DE ENTREGADORES</v>
      </c>
      <c r="P11960">
        <v>720</v>
      </c>
      <c r="S11960" t="str">
        <f>"BANCO C6 (149)"</f>
        <v>BANCO C6 (149)</v>
      </c>
      <c r="T11960">
        <v>21404</v>
      </c>
      <c r="U11960">
        <v>25174</v>
      </c>
      <c r="V11960" t="s">
        <v>77</v>
      </c>
    </row>
    <row r="11961" spans="1:22">
      <c r="A11961" t="str">
        <f t="shared" si="2316"/>
        <v>21/11/2025</v>
      </c>
      <c r="B11961" t="str">
        <f t="shared" si="2315"/>
        <v>SAÍDA</v>
      </c>
      <c r="C11961" t="str">
        <f t="shared" si="2317"/>
        <v>PIX</v>
      </c>
      <c r="D11961" t="str">
        <f>"25174"</f>
        <v>25174</v>
      </c>
      <c r="E11961" t="str">
        <f t="shared" si="2319"/>
        <v>1</v>
      </c>
      <c r="F11961" t="str">
        <f t="shared" si="2314"/>
        <v>COM</v>
      </c>
      <c r="G11961" t="str">
        <f>"PEDRO HENRIQUE DA SILVA COSTA OLIVEIRA (852)"</f>
        <v>PEDRO HENRIQUE DA SILVA COSTA OLIVEIRA (852)</v>
      </c>
      <c r="H11961" t="s">
        <v>3219</v>
      </c>
      <c r="I11961" t="str">
        <f t="shared" si="2318"/>
        <v>20/11/2025</v>
      </c>
      <c r="J11961" t="str">
        <f t="shared" si="2320"/>
        <v>11/11/2025</v>
      </c>
      <c r="K11961">
        <v>45982</v>
      </c>
      <c r="N11961">
        <v>109</v>
      </c>
      <c r="O11961" t="s">
        <v>24</v>
      </c>
      <c r="Q11961">
        <v>720</v>
      </c>
      <c r="R11961" t="str">
        <f>"FARMÁCIA INDIANA LJ 110 (10048)"</f>
        <v>FARMÁCIA INDIANA LJ 110 (10048)</v>
      </c>
      <c r="S11961" t="s">
        <v>77</v>
      </c>
      <c r="T11961">
        <v>21404</v>
      </c>
      <c r="U11961">
        <v>25174</v>
      </c>
      <c r="V11961" t="s">
        <v>77</v>
      </c>
    </row>
    <row r="11962" spans="1:22">
      <c r="A11962" t="str">
        <f t="shared" si="2316"/>
        <v>21/11/2025</v>
      </c>
      <c r="B11962" t="str">
        <f t="shared" si="2315"/>
        <v>SAÍDA</v>
      </c>
      <c r="C11962" t="str">
        <f t="shared" si="2317"/>
        <v>PIX</v>
      </c>
      <c r="D11962" t="str">
        <f>"25175"</f>
        <v>25175</v>
      </c>
      <c r="E11962" t="str">
        <f t="shared" si="2319"/>
        <v>1</v>
      </c>
      <c r="F11962" t="str">
        <f t="shared" ref="F11962:F12025" si="2321">"COM"</f>
        <v>COM</v>
      </c>
      <c r="G11962" t="str">
        <f>"PHABLO HEINRICK VALADARES FERREIRA (989)"</f>
        <v>PHABLO HEINRICK VALADARES FERREIRA (989)</v>
      </c>
      <c r="H11962" t="str">
        <f>"Serv.Prest. 03/11/2025 a 09/11/2025 - PIX: CPF - CHAVE: 135.640.066-30"</f>
        <v>Serv.Prest. 03/11/2025 a 09/11/2025 - PIX: CPF - CHAVE: 135.640.066-30</v>
      </c>
      <c r="I11962" t="str">
        <f t="shared" si="2318"/>
        <v>20/11/2025</v>
      </c>
      <c r="J11962" t="str">
        <f t="shared" si="2320"/>
        <v>11/11/2025</v>
      </c>
      <c r="K11962" t="str">
        <f>("21/11/2025")</f>
        <v>21/11/2025</v>
      </c>
      <c r="L11962">
        <v>1818</v>
      </c>
      <c r="M11962">
        <v>1818</v>
      </c>
      <c r="N11962">
        <v>109</v>
      </c>
      <c r="O11962" t="str">
        <f>"PAGAMENTO DE ENTREGADORES"</f>
        <v>PAGAMENTO DE ENTREGADORES</v>
      </c>
      <c r="P11962">
        <v>1818</v>
      </c>
      <c r="S11962" t="str">
        <f>"BANCO C6 (149)"</f>
        <v>BANCO C6 (149)</v>
      </c>
      <c r="T11962">
        <v>21405</v>
      </c>
      <c r="U11962">
        <v>25175</v>
      </c>
      <c r="V11962" t="s">
        <v>77</v>
      </c>
    </row>
    <row r="11963" spans="1:22">
      <c r="A11963" t="str">
        <f t="shared" si="2316"/>
        <v>21/11/2025</v>
      </c>
      <c r="B11963" t="str">
        <f t="shared" si="2315"/>
        <v>SAÍDA</v>
      </c>
      <c r="C11963" t="str">
        <f t="shared" si="2317"/>
        <v>PIX</v>
      </c>
      <c r="D11963" t="str">
        <f>"25175"</f>
        <v>25175</v>
      </c>
      <c r="E11963" t="str">
        <f t="shared" si="2319"/>
        <v>1</v>
      </c>
      <c r="F11963" t="str">
        <f t="shared" si="2321"/>
        <v>COM</v>
      </c>
      <c r="G11963" t="str">
        <f>"PHABLO HEINRICK VALADARES FERREIRA (989)"</f>
        <v>PHABLO HEINRICK VALADARES FERREIRA (989)</v>
      </c>
      <c r="H11963" t="s">
        <v>3220</v>
      </c>
      <c r="I11963" t="str">
        <f t="shared" si="2318"/>
        <v>20/11/2025</v>
      </c>
      <c r="J11963" t="str">
        <f t="shared" si="2320"/>
        <v>11/11/2025</v>
      </c>
      <c r="K11963">
        <v>45982</v>
      </c>
      <c r="N11963">
        <v>109</v>
      </c>
      <c r="O11963" t="s">
        <v>24</v>
      </c>
      <c r="Q11963">
        <v>1818</v>
      </c>
      <c r="R11963" t="str">
        <f>"FARMÁCIA INDIANA LJ 101 (10043)"</f>
        <v>FARMÁCIA INDIANA LJ 101 (10043)</v>
      </c>
      <c r="S11963" t="s">
        <v>77</v>
      </c>
      <c r="T11963">
        <v>21405</v>
      </c>
      <c r="U11963">
        <v>25175</v>
      </c>
      <c r="V11963" t="s">
        <v>77</v>
      </c>
    </row>
    <row r="11964" spans="1:22">
      <c r="A11964" t="str">
        <f t="shared" si="2316"/>
        <v>21/11/2025</v>
      </c>
      <c r="B11964" t="str">
        <f t="shared" si="2315"/>
        <v>SAÍDA</v>
      </c>
      <c r="C11964" t="str">
        <f t="shared" si="2317"/>
        <v>PIX</v>
      </c>
      <c r="D11964" t="str">
        <f>"25176"</f>
        <v>25176</v>
      </c>
      <c r="E11964" t="str">
        <f t="shared" si="2319"/>
        <v>1</v>
      </c>
      <c r="F11964" t="str">
        <f t="shared" si="2321"/>
        <v>COM</v>
      </c>
      <c r="G11964" t="str">
        <f>"RAFAEL MONTEIRO DE CASTRO VITRAL (1038)"</f>
        <v>RAFAEL MONTEIRO DE CASTRO VITRAL (1038)</v>
      </c>
      <c r="H11964" t="str">
        <f>"Serv.Prest. 03/11/2025 a 09/11/2025 - PIX: CELULAR - CHAVE: (24) 99846-2202"</f>
        <v>Serv.Prest. 03/11/2025 a 09/11/2025 - PIX: CELULAR - CHAVE: (24) 99846-2202</v>
      </c>
      <c r="I11964" t="str">
        <f t="shared" si="2318"/>
        <v>20/11/2025</v>
      </c>
      <c r="J11964" t="str">
        <f t="shared" si="2320"/>
        <v>11/11/2025</v>
      </c>
      <c r="K11964" t="str">
        <f>("21/11/2025")</f>
        <v>21/11/2025</v>
      </c>
      <c r="L11964">
        <v>700</v>
      </c>
      <c r="M11964">
        <v>700</v>
      </c>
      <c r="N11964">
        <v>109</v>
      </c>
      <c r="O11964" t="str">
        <f>"PAGAMENTO DE ENTREGADORES"</f>
        <v>PAGAMENTO DE ENTREGADORES</v>
      </c>
      <c r="P11964">
        <v>700</v>
      </c>
      <c r="S11964" t="str">
        <f>"BANCO C6 (149)"</f>
        <v>BANCO C6 (149)</v>
      </c>
      <c r="T11964">
        <v>21406</v>
      </c>
      <c r="U11964">
        <v>25176</v>
      </c>
      <c r="V11964" t="s">
        <v>77</v>
      </c>
    </row>
    <row r="11965" spans="1:22">
      <c r="A11965" t="str">
        <f t="shared" si="2316"/>
        <v>21/11/2025</v>
      </c>
      <c r="B11965" t="str">
        <f t="shared" si="2315"/>
        <v>SAÍDA</v>
      </c>
      <c r="C11965" t="str">
        <f t="shared" si="2317"/>
        <v>PIX</v>
      </c>
      <c r="D11965" t="str">
        <f>"25176"</f>
        <v>25176</v>
      </c>
      <c r="E11965" t="str">
        <f t="shared" si="2319"/>
        <v>1</v>
      </c>
      <c r="F11965" t="str">
        <f t="shared" si="2321"/>
        <v>COM</v>
      </c>
      <c r="G11965" t="str">
        <f>"RAFAEL MONTEIRO DE CASTRO VITRAL (1038)"</f>
        <v>RAFAEL MONTEIRO DE CASTRO VITRAL (1038)</v>
      </c>
      <c r="H11965" t="s">
        <v>3221</v>
      </c>
      <c r="I11965" t="str">
        <f t="shared" si="2318"/>
        <v>20/11/2025</v>
      </c>
      <c r="J11965" t="str">
        <f t="shared" si="2320"/>
        <v>11/11/2025</v>
      </c>
      <c r="K11965">
        <v>45982</v>
      </c>
      <c r="N11965">
        <v>109</v>
      </c>
      <c r="O11965" t="s">
        <v>24</v>
      </c>
      <c r="Q11965">
        <v>700</v>
      </c>
      <c r="R11965" t="str">
        <f>"FARMÁCIA INDIANA LJ 219 (10091)"</f>
        <v>FARMÁCIA INDIANA LJ 219 (10091)</v>
      </c>
      <c r="S11965" t="s">
        <v>77</v>
      </c>
      <c r="T11965">
        <v>21406</v>
      </c>
      <c r="U11965">
        <v>25176</v>
      </c>
      <c r="V11965" t="s">
        <v>77</v>
      </c>
    </row>
    <row r="11966" spans="1:22">
      <c r="A11966" t="str">
        <f t="shared" si="2316"/>
        <v>21/11/2025</v>
      </c>
      <c r="B11966" t="str">
        <f t="shared" si="2315"/>
        <v>SAÍDA</v>
      </c>
      <c r="C11966" t="str">
        <f t="shared" si="2317"/>
        <v>PIX</v>
      </c>
      <c r="D11966" t="str">
        <f>"25177"</f>
        <v>25177</v>
      </c>
      <c r="E11966" t="str">
        <f t="shared" si="2319"/>
        <v>1</v>
      </c>
      <c r="F11966" t="str">
        <f t="shared" si="2321"/>
        <v>COM</v>
      </c>
      <c r="G11966" t="str">
        <f>"RAISSON VITOR MENDES DE ABREU (705)"</f>
        <v>RAISSON VITOR MENDES DE ABREU (705)</v>
      </c>
      <c r="H11966" t="str">
        <f>"Serv.Prest. 03/11/2025 a 09/11/2025 - PIX: CELULAR - CHAVE: (31) 99959-5414"</f>
        <v>Serv.Prest. 03/11/2025 a 09/11/2025 - PIX: CELULAR - CHAVE: (31) 99959-5414</v>
      </c>
      <c r="I11966" t="str">
        <f t="shared" si="2318"/>
        <v>20/11/2025</v>
      </c>
      <c r="J11966" t="str">
        <f t="shared" si="2320"/>
        <v>11/11/2025</v>
      </c>
      <c r="K11966" t="str">
        <f>("21/11/2025")</f>
        <v>21/11/2025</v>
      </c>
      <c r="L11966">
        <v>960</v>
      </c>
      <c r="M11966">
        <v>960</v>
      </c>
      <c r="N11966">
        <v>109</v>
      </c>
      <c r="O11966" t="str">
        <f>"PAGAMENTO DE ENTREGADORES"</f>
        <v>PAGAMENTO DE ENTREGADORES</v>
      </c>
      <c r="P11966">
        <v>960</v>
      </c>
      <c r="S11966" t="str">
        <f>"BANCO C6 (149)"</f>
        <v>BANCO C6 (149)</v>
      </c>
      <c r="T11966">
        <v>21407</v>
      </c>
      <c r="U11966">
        <v>25177</v>
      </c>
      <c r="V11966" t="s">
        <v>77</v>
      </c>
    </row>
    <row r="11967" spans="1:22">
      <c r="A11967" t="str">
        <f t="shared" si="2316"/>
        <v>21/11/2025</v>
      </c>
      <c r="B11967" t="str">
        <f t="shared" si="2315"/>
        <v>SAÍDA</v>
      </c>
      <c r="C11967" t="str">
        <f t="shared" si="2317"/>
        <v>PIX</v>
      </c>
      <c r="D11967" t="str">
        <f>"25177"</f>
        <v>25177</v>
      </c>
      <c r="E11967" t="str">
        <f t="shared" si="2319"/>
        <v>1</v>
      </c>
      <c r="F11967" t="str">
        <f t="shared" si="2321"/>
        <v>COM</v>
      </c>
      <c r="G11967" t="str">
        <f>"RAISSON VITOR MENDES DE ABREU (705)"</f>
        <v>RAISSON VITOR MENDES DE ABREU (705)</v>
      </c>
      <c r="H11967" t="s">
        <v>2885</v>
      </c>
      <c r="I11967" t="str">
        <f t="shared" si="2318"/>
        <v>20/11/2025</v>
      </c>
      <c r="J11967" t="str">
        <f t="shared" si="2320"/>
        <v>11/11/2025</v>
      </c>
      <c r="K11967">
        <v>45982</v>
      </c>
      <c r="N11967">
        <v>109</v>
      </c>
      <c r="O11967" t="s">
        <v>24</v>
      </c>
      <c r="Q11967">
        <v>960</v>
      </c>
      <c r="R11967" t="str">
        <f>"FARMÁCIA INDIANA LJ 178 (10077)"</f>
        <v>FARMÁCIA INDIANA LJ 178 (10077)</v>
      </c>
      <c r="S11967" t="s">
        <v>77</v>
      </c>
      <c r="T11967">
        <v>21407</v>
      </c>
      <c r="U11967">
        <v>25177</v>
      </c>
      <c r="V11967" t="s">
        <v>77</v>
      </c>
    </row>
    <row r="11968" spans="1:22">
      <c r="A11968" t="str">
        <f t="shared" si="2316"/>
        <v>21/11/2025</v>
      </c>
      <c r="B11968" t="str">
        <f t="shared" si="2315"/>
        <v>SAÍDA</v>
      </c>
      <c r="C11968" t="str">
        <f t="shared" si="2317"/>
        <v>PIX</v>
      </c>
      <c r="D11968" t="str">
        <f>"25178"</f>
        <v>25178</v>
      </c>
      <c r="E11968" t="str">
        <f t="shared" si="2319"/>
        <v>1</v>
      </c>
      <c r="F11968" t="str">
        <f t="shared" si="2321"/>
        <v>COM</v>
      </c>
      <c r="G11968" t="str">
        <f>"REGINALDO PIRES PORTES (1009)"</f>
        <v>REGINALDO PIRES PORTES (1009)</v>
      </c>
      <c r="H11968" t="str">
        <f>"Serv.Prest. 03/11/2025 a 09/11/2025 - PIX: CPF - CHAVE: 072.968.086-08"</f>
        <v>Serv.Prest. 03/11/2025 a 09/11/2025 - PIX: CPF - CHAVE: 072.968.086-08</v>
      </c>
      <c r="I11968" t="str">
        <f t="shared" si="2318"/>
        <v>20/11/2025</v>
      </c>
      <c r="J11968" t="str">
        <f t="shared" si="2320"/>
        <v>11/11/2025</v>
      </c>
      <c r="K11968" t="str">
        <f>("21/11/2025")</f>
        <v>21/11/2025</v>
      </c>
      <c r="L11968">
        <v>858</v>
      </c>
      <c r="M11968">
        <v>858</v>
      </c>
      <c r="N11968">
        <v>109</v>
      </c>
      <c r="O11968" t="str">
        <f>"PAGAMENTO DE ENTREGADORES"</f>
        <v>PAGAMENTO DE ENTREGADORES</v>
      </c>
      <c r="P11968">
        <v>858</v>
      </c>
      <c r="S11968" t="str">
        <f>"BANCO C6 (149)"</f>
        <v>BANCO C6 (149)</v>
      </c>
      <c r="T11968">
        <v>21408</v>
      </c>
      <c r="U11968">
        <v>25178</v>
      </c>
      <c r="V11968" t="s">
        <v>77</v>
      </c>
    </row>
    <row r="11969" spans="1:22">
      <c r="A11969" t="str">
        <f t="shared" si="2316"/>
        <v>21/11/2025</v>
      </c>
      <c r="B11969" t="str">
        <f t="shared" si="2315"/>
        <v>SAÍDA</v>
      </c>
      <c r="C11969" t="str">
        <f t="shared" si="2317"/>
        <v>PIX</v>
      </c>
      <c r="D11969" t="str">
        <f>"25178"</f>
        <v>25178</v>
      </c>
      <c r="E11969" t="str">
        <f t="shared" si="2319"/>
        <v>1</v>
      </c>
      <c r="F11969" t="str">
        <f t="shared" si="2321"/>
        <v>COM</v>
      </c>
      <c r="G11969" t="str">
        <f>"REGINALDO PIRES PORTES (1009)"</f>
        <v>REGINALDO PIRES PORTES (1009)</v>
      </c>
      <c r="H11969" t="s">
        <v>3222</v>
      </c>
      <c r="I11969" t="str">
        <f t="shared" si="2318"/>
        <v>20/11/2025</v>
      </c>
      <c r="J11969" t="str">
        <f t="shared" si="2320"/>
        <v>11/11/2025</v>
      </c>
      <c r="K11969">
        <v>45982</v>
      </c>
      <c r="N11969">
        <v>109</v>
      </c>
      <c r="O11969" t="s">
        <v>24</v>
      </c>
      <c r="Q11969">
        <v>858</v>
      </c>
      <c r="R11969" t="str">
        <f>"FARMÁCIA INDIANA LJ 19 (10012)"</f>
        <v>FARMÁCIA INDIANA LJ 19 (10012)</v>
      </c>
      <c r="S11969" t="s">
        <v>77</v>
      </c>
      <c r="T11969">
        <v>21408</v>
      </c>
      <c r="U11969">
        <v>25178</v>
      </c>
      <c r="V11969" t="s">
        <v>77</v>
      </c>
    </row>
    <row r="11970" spans="1:22">
      <c r="A11970" t="str">
        <f t="shared" si="2316"/>
        <v>21/11/2025</v>
      </c>
      <c r="B11970" t="str">
        <f t="shared" si="2315"/>
        <v>SAÍDA</v>
      </c>
      <c r="C11970" t="str">
        <f t="shared" si="2317"/>
        <v>PIX</v>
      </c>
      <c r="D11970" t="str">
        <f>"25180"</f>
        <v>25180</v>
      </c>
      <c r="E11970" t="str">
        <f t="shared" si="2319"/>
        <v>1</v>
      </c>
      <c r="F11970" t="str">
        <f t="shared" si="2321"/>
        <v>COM</v>
      </c>
      <c r="G11970" t="str">
        <f>"RENATO GEORGE GONÇALVES (191)"</f>
        <v>RENATO GEORGE GONÇALVES (191)</v>
      </c>
      <c r="H11970" t="str">
        <f>"Serv.Prest. 03/11/2025 a 09/11/2025 - PIX: CPF - CHAVE: 012.783.036-77"</f>
        <v>Serv.Prest. 03/11/2025 a 09/11/2025 - PIX: CPF - CHAVE: 012.783.036-77</v>
      </c>
      <c r="I11970" t="str">
        <f t="shared" si="2318"/>
        <v>20/11/2025</v>
      </c>
      <c r="J11970" t="str">
        <f t="shared" si="2320"/>
        <v>11/11/2025</v>
      </c>
      <c r="K11970" t="str">
        <f>("21/11/2025")</f>
        <v>21/11/2025</v>
      </c>
      <c r="L11970">
        <v>1080</v>
      </c>
      <c r="M11970">
        <v>1080</v>
      </c>
      <c r="N11970">
        <v>109</v>
      </c>
      <c r="O11970" t="str">
        <f>"PAGAMENTO DE ENTREGADORES"</f>
        <v>PAGAMENTO DE ENTREGADORES</v>
      </c>
      <c r="P11970">
        <v>1080</v>
      </c>
      <c r="S11970" t="str">
        <f>"BANCO C6 (149)"</f>
        <v>BANCO C6 (149)</v>
      </c>
      <c r="T11970">
        <v>21409</v>
      </c>
      <c r="U11970">
        <v>25180</v>
      </c>
      <c r="V11970" t="s">
        <v>77</v>
      </c>
    </row>
    <row r="11971" spans="1:22">
      <c r="A11971" t="str">
        <f t="shared" si="2316"/>
        <v>21/11/2025</v>
      </c>
      <c r="B11971" t="str">
        <f t="shared" si="2315"/>
        <v>SAÍDA</v>
      </c>
      <c r="C11971" t="str">
        <f t="shared" si="2317"/>
        <v>PIX</v>
      </c>
      <c r="D11971" t="str">
        <f>"25180"</f>
        <v>25180</v>
      </c>
      <c r="E11971" t="str">
        <f t="shared" si="2319"/>
        <v>1</v>
      </c>
      <c r="F11971" t="str">
        <f t="shared" si="2321"/>
        <v>COM</v>
      </c>
      <c r="G11971" t="str">
        <f>"RENATO GEORGE GONÇALVES (191)"</f>
        <v>RENATO GEORGE GONÇALVES (191)</v>
      </c>
      <c r="H11971" t="s">
        <v>3223</v>
      </c>
      <c r="I11971" t="str">
        <f t="shared" si="2318"/>
        <v>20/11/2025</v>
      </c>
      <c r="J11971" t="str">
        <f t="shared" si="2320"/>
        <v>11/11/2025</v>
      </c>
      <c r="K11971">
        <v>45982</v>
      </c>
      <c r="N11971">
        <v>109</v>
      </c>
      <c r="O11971" t="s">
        <v>24</v>
      </c>
      <c r="Q11971">
        <v>1080</v>
      </c>
      <c r="R11971" t="str">
        <f>"FARMÁCIA INDIANA LJ 06 (10006)"</f>
        <v>FARMÁCIA INDIANA LJ 06 (10006)</v>
      </c>
      <c r="S11971" t="s">
        <v>77</v>
      </c>
      <c r="T11971">
        <v>21409</v>
      </c>
      <c r="U11971">
        <v>25180</v>
      </c>
      <c r="V11971" t="s">
        <v>77</v>
      </c>
    </row>
    <row r="11972" spans="1:22">
      <c r="A11972" t="str">
        <f t="shared" si="2316"/>
        <v>21/11/2025</v>
      </c>
      <c r="B11972" t="str">
        <f t="shared" si="2315"/>
        <v>SAÍDA</v>
      </c>
      <c r="C11972" t="str">
        <f t="shared" si="2317"/>
        <v>PIX</v>
      </c>
      <c r="D11972" t="str">
        <f>"25181"</f>
        <v>25181</v>
      </c>
      <c r="E11972" t="str">
        <f t="shared" si="2319"/>
        <v>1</v>
      </c>
      <c r="F11972" t="str">
        <f t="shared" si="2321"/>
        <v>COM</v>
      </c>
      <c r="G11972" t="str">
        <f>"ROGÉRIO LAURINDO BORGES (176)"</f>
        <v>ROGÉRIO LAURINDO BORGES (176)</v>
      </c>
      <c r="H11972" t="str">
        <f>"Serv.Prest. 03/11/2025 a 09/11/2025 - PIX: E-MAIL - CHAVE: roger.l.borges04@gmail.com"</f>
        <v>Serv.Prest. 03/11/2025 a 09/11/2025 - PIX: E-MAIL - CHAVE: roger.l.borges04@gmail.com</v>
      </c>
      <c r="I11972" t="str">
        <f t="shared" si="2318"/>
        <v>20/11/2025</v>
      </c>
      <c r="J11972" t="str">
        <f t="shared" si="2320"/>
        <v>11/11/2025</v>
      </c>
      <c r="K11972" t="str">
        <f>("21/11/2025")</f>
        <v>21/11/2025</v>
      </c>
      <c r="L11972">
        <v>1302</v>
      </c>
      <c r="M11972">
        <v>1302</v>
      </c>
      <c r="N11972">
        <v>109</v>
      </c>
      <c r="O11972" t="str">
        <f>"PAGAMENTO DE ENTREGADORES"</f>
        <v>PAGAMENTO DE ENTREGADORES</v>
      </c>
      <c r="P11972">
        <v>1302</v>
      </c>
      <c r="S11972" t="str">
        <f>"BANCO C6 (149)"</f>
        <v>BANCO C6 (149)</v>
      </c>
      <c r="T11972">
        <v>21410</v>
      </c>
      <c r="U11972">
        <v>25181</v>
      </c>
      <c r="V11972" t="s">
        <v>77</v>
      </c>
    </row>
    <row r="11973" spans="1:22">
      <c r="A11973" t="str">
        <f t="shared" si="2316"/>
        <v>21/11/2025</v>
      </c>
      <c r="B11973" t="str">
        <f t="shared" ref="B11973:B12036" si="2322">"SAÍDA"</f>
        <v>SAÍDA</v>
      </c>
      <c r="C11973" t="str">
        <f t="shared" si="2317"/>
        <v>PIX</v>
      </c>
      <c r="D11973" t="str">
        <f>"25181"</f>
        <v>25181</v>
      </c>
      <c r="E11973" t="str">
        <f t="shared" si="2319"/>
        <v>1</v>
      </c>
      <c r="F11973" t="str">
        <f t="shared" si="2321"/>
        <v>COM</v>
      </c>
      <c r="G11973" t="str">
        <f>"ROGÉRIO LAURINDO BORGES (176)"</f>
        <v>ROGÉRIO LAURINDO BORGES (176)</v>
      </c>
      <c r="H11973" t="s">
        <v>3224</v>
      </c>
      <c r="I11973" t="str">
        <f t="shared" si="2318"/>
        <v>20/11/2025</v>
      </c>
      <c r="J11973" t="str">
        <f t="shared" si="2320"/>
        <v>11/11/2025</v>
      </c>
      <c r="K11973">
        <v>45982</v>
      </c>
      <c r="N11973">
        <v>109</v>
      </c>
      <c r="O11973" t="s">
        <v>24</v>
      </c>
      <c r="Q11973">
        <v>1302</v>
      </c>
      <c r="R11973" t="str">
        <f>"FARMÁCIA INDIANA LJ 142 (10066)"</f>
        <v>FARMÁCIA INDIANA LJ 142 (10066)</v>
      </c>
      <c r="S11973" t="s">
        <v>77</v>
      </c>
      <c r="T11973">
        <v>21410</v>
      </c>
      <c r="U11973">
        <v>25181</v>
      </c>
      <c r="V11973" t="s">
        <v>77</v>
      </c>
    </row>
    <row r="11974" spans="1:22">
      <c r="A11974" t="str">
        <f t="shared" si="2316"/>
        <v>21/11/2025</v>
      </c>
      <c r="B11974" t="str">
        <f t="shared" si="2322"/>
        <v>SAÍDA</v>
      </c>
      <c r="C11974" t="str">
        <f t="shared" si="2317"/>
        <v>PIX</v>
      </c>
      <c r="D11974" t="str">
        <f>"25182"</f>
        <v>25182</v>
      </c>
      <c r="E11974" t="str">
        <f t="shared" si="2319"/>
        <v>1</v>
      </c>
      <c r="F11974" t="str">
        <f t="shared" si="2321"/>
        <v>COM</v>
      </c>
      <c r="G11974" t="str">
        <f>"SAMUEL JADSON SANTANA RIBEIRO (55)"</f>
        <v>SAMUEL JADSON SANTANA RIBEIRO (55)</v>
      </c>
      <c r="H11974" t="str">
        <f>"Serv.Prest. 03/11/2025 a 09/11/2025 - PIX: CPF - CHAVE: 701.955.866-62"</f>
        <v>Serv.Prest. 03/11/2025 a 09/11/2025 - PIX: CPF - CHAVE: 701.955.866-62</v>
      </c>
      <c r="I11974" t="str">
        <f t="shared" si="2318"/>
        <v>20/11/2025</v>
      </c>
      <c r="J11974" t="str">
        <f t="shared" si="2320"/>
        <v>11/11/2025</v>
      </c>
      <c r="K11974" t="str">
        <f>("21/11/2025")</f>
        <v>21/11/2025</v>
      </c>
      <c r="L11974">
        <v>954</v>
      </c>
      <c r="M11974">
        <v>954</v>
      </c>
      <c r="N11974">
        <v>109</v>
      </c>
      <c r="O11974" t="str">
        <f>"PAGAMENTO DE ENTREGADORES"</f>
        <v>PAGAMENTO DE ENTREGADORES</v>
      </c>
      <c r="P11974">
        <v>954</v>
      </c>
      <c r="S11974" t="str">
        <f>"BANCO C6 (149)"</f>
        <v>BANCO C6 (149)</v>
      </c>
      <c r="T11974">
        <v>21411</v>
      </c>
      <c r="U11974">
        <v>25182</v>
      </c>
      <c r="V11974" t="s">
        <v>77</v>
      </c>
    </row>
    <row r="11975" spans="1:22">
      <c r="A11975" t="str">
        <f t="shared" si="2316"/>
        <v>21/11/2025</v>
      </c>
      <c r="B11975" t="str">
        <f t="shared" si="2322"/>
        <v>SAÍDA</v>
      </c>
      <c r="C11975" t="str">
        <f t="shared" si="2317"/>
        <v>PIX</v>
      </c>
      <c r="D11975" t="str">
        <f>"25182"</f>
        <v>25182</v>
      </c>
      <c r="E11975" t="str">
        <f t="shared" si="2319"/>
        <v>1</v>
      </c>
      <c r="F11975" t="str">
        <f t="shared" si="2321"/>
        <v>COM</v>
      </c>
      <c r="G11975" t="str">
        <f>"SAMUEL JADSON SANTANA RIBEIRO (55)"</f>
        <v>SAMUEL JADSON SANTANA RIBEIRO (55)</v>
      </c>
      <c r="H11975" t="s">
        <v>3225</v>
      </c>
      <c r="I11975" t="str">
        <f t="shared" si="2318"/>
        <v>20/11/2025</v>
      </c>
      <c r="J11975" t="str">
        <f t="shared" si="2320"/>
        <v>11/11/2025</v>
      </c>
      <c r="K11975">
        <v>45982</v>
      </c>
      <c r="N11975">
        <v>109</v>
      </c>
      <c r="O11975" t="s">
        <v>24</v>
      </c>
      <c r="Q11975">
        <v>954</v>
      </c>
      <c r="R11975" t="str">
        <f>"FARMÁCIA INDIANA LJ 07 (10007)"</f>
        <v>FARMÁCIA INDIANA LJ 07 (10007)</v>
      </c>
      <c r="S11975" t="s">
        <v>77</v>
      </c>
      <c r="T11975">
        <v>21411</v>
      </c>
      <c r="U11975">
        <v>25182</v>
      </c>
      <c r="V11975" t="s">
        <v>77</v>
      </c>
    </row>
    <row r="11976" spans="1:22">
      <c r="A11976" t="str">
        <f t="shared" si="2316"/>
        <v>21/11/2025</v>
      </c>
      <c r="B11976" t="str">
        <f t="shared" si="2322"/>
        <v>SAÍDA</v>
      </c>
      <c r="C11976" t="str">
        <f t="shared" si="2317"/>
        <v>PIX</v>
      </c>
      <c r="D11976" t="str">
        <f>"25183"</f>
        <v>25183</v>
      </c>
      <c r="E11976" t="str">
        <f t="shared" si="2319"/>
        <v>1</v>
      </c>
      <c r="F11976" t="str">
        <f t="shared" si="2321"/>
        <v>COM</v>
      </c>
      <c r="G11976" t="str">
        <f>"SEDNEY GOMES SOARES (87)"</f>
        <v>SEDNEY GOMES SOARES (87)</v>
      </c>
      <c r="H11976" t="str">
        <f>"Serv.Prest. 03/11/2025 a 09/11/2025 - PIX: CPF - CHAVE: 048.151.276-46"</f>
        <v>Serv.Prest. 03/11/2025 a 09/11/2025 - PIX: CPF - CHAVE: 048.151.276-46</v>
      </c>
      <c r="I11976" t="str">
        <f t="shared" si="2318"/>
        <v>20/11/2025</v>
      </c>
      <c r="J11976" t="str">
        <f t="shared" si="2320"/>
        <v>11/11/2025</v>
      </c>
      <c r="K11976" t="str">
        <f>("21/11/2025")</f>
        <v>21/11/2025</v>
      </c>
      <c r="L11976">
        <v>750</v>
      </c>
      <c r="M11976">
        <v>750</v>
      </c>
      <c r="N11976">
        <v>109</v>
      </c>
      <c r="O11976" t="str">
        <f>"PAGAMENTO DE ENTREGADORES"</f>
        <v>PAGAMENTO DE ENTREGADORES</v>
      </c>
      <c r="P11976">
        <v>750</v>
      </c>
      <c r="S11976" t="str">
        <f>"BANCO C6 (149)"</f>
        <v>BANCO C6 (149)</v>
      </c>
      <c r="T11976">
        <v>21412</v>
      </c>
      <c r="U11976">
        <v>25183</v>
      </c>
      <c r="V11976" t="s">
        <v>77</v>
      </c>
    </row>
    <row r="11977" spans="1:22">
      <c r="A11977" t="str">
        <f t="shared" si="2316"/>
        <v>21/11/2025</v>
      </c>
      <c r="B11977" t="str">
        <f t="shared" si="2322"/>
        <v>SAÍDA</v>
      </c>
      <c r="C11977" t="str">
        <f t="shared" si="2317"/>
        <v>PIX</v>
      </c>
      <c r="D11977" t="str">
        <f>"25183"</f>
        <v>25183</v>
      </c>
      <c r="E11977" t="str">
        <f t="shared" si="2319"/>
        <v>1</v>
      </c>
      <c r="F11977" t="str">
        <f t="shared" si="2321"/>
        <v>COM</v>
      </c>
      <c r="G11977" t="str">
        <f>"SEDNEY GOMES SOARES (87)"</f>
        <v>SEDNEY GOMES SOARES (87)</v>
      </c>
      <c r="H11977" t="s">
        <v>3226</v>
      </c>
      <c r="I11977" t="str">
        <f t="shared" si="2318"/>
        <v>20/11/2025</v>
      </c>
      <c r="J11977" t="str">
        <f t="shared" si="2320"/>
        <v>11/11/2025</v>
      </c>
      <c r="K11977">
        <v>45982</v>
      </c>
      <c r="N11977">
        <v>109</v>
      </c>
      <c r="O11977" t="s">
        <v>24</v>
      </c>
      <c r="Q11977">
        <v>229.2</v>
      </c>
      <c r="R11977" t="str">
        <f>"FARMÁCIA INDIANA LJ 97 (10040)"</f>
        <v>FARMÁCIA INDIANA LJ 97 (10040)</v>
      </c>
      <c r="S11977" t="s">
        <v>77</v>
      </c>
      <c r="T11977">
        <v>21412</v>
      </c>
      <c r="U11977">
        <v>25183</v>
      </c>
      <c r="V11977" t="s">
        <v>77</v>
      </c>
    </row>
    <row r="11978" spans="1:22">
      <c r="A11978" t="str">
        <f t="shared" si="2316"/>
        <v>21/11/2025</v>
      </c>
      <c r="B11978" t="str">
        <f t="shared" si="2322"/>
        <v>SAÍDA</v>
      </c>
      <c r="C11978" t="str">
        <f t="shared" si="2317"/>
        <v>PIX</v>
      </c>
      <c r="D11978" t="str">
        <f>"25183"</f>
        <v>25183</v>
      </c>
      <c r="E11978" t="str">
        <f t="shared" si="2319"/>
        <v>1</v>
      </c>
      <c r="F11978" t="str">
        <f t="shared" si="2321"/>
        <v>COM</v>
      </c>
      <c r="G11978" t="str">
        <f>"SEDNEY GOMES SOARES (87)"</f>
        <v>SEDNEY GOMES SOARES (87)</v>
      </c>
      <c r="H11978" t="s">
        <v>3226</v>
      </c>
      <c r="I11978" t="str">
        <f t="shared" si="2318"/>
        <v>20/11/2025</v>
      </c>
      <c r="J11978" t="str">
        <f t="shared" si="2320"/>
        <v>11/11/2025</v>
      </c>
      <c r="K11978">
        <v>45982</v>
      </c>
      <c r="N11978">
        <v>109</v>
      </c>
      <c r="O11978" t="s">
        <v>24</v>
      </c>
      <c r="Q11978">
        <v>145.80000000000001</v>
      </c>
      <c r="R11978" t="str">
        <f>"FARMÁCIA INDIANA LJ 111 (10049)"</f>
        <v>FARMÁCIA INDIANA LJ 111 (10049)</v>
      </c>
      <c r="S11978" t="s">
        <v>77</v>
      </c>
      <c r="T11978">
        <v>21412</v>
      </c>
      <c r="U11978">
        <v>25183</v>
      </c>
      <c r="V11978" t="s">
        <v>77</v>
      </c>
    </row>
    <row r="11979" spans="1:22">
      <c r="A11979" t="str">
        <f t="shared" si="2316"/>
        <v>21/11/2025</v>
      </c>
      <c r="B11979" t="str">
        <f t="shared" si="2322"/>
        <v>SAÍDA</v>
      </c>
      <c r="C11979" t="str">
        <f t="shared" si="2317"/>
        <v>PIX</v>
      </c>
      <c r="D11979" t="str">
        <f>"25183"</f>
        <v>25183</v>
      </c>
      <c r="E11979" t="str">
        <f t="shared" si="2319"/>
        <v>1</v>
      </c>
      <c r="F11979" t="str">
        <f t="shared" si="2321"/>
        <v>COM</v>
      </c>
      <c r="G11979" t="str">
        <f>"SEDNEY GOMES SOARES (87)"</f>
        <v>SEDNEY GOMES SOARES (87)</v>
      </c>
      <c r="H11979" t="s">
        <v>3226</v>
      </c>
      <c r="I11979" t="str">
        <f t="shared" si="2318"/>
        <v>20/11/2025</v>
      </c>
      <c r="J11979" t="str">
        <f t="shared" si="2320"/>
        <v>11/11/2025</v>
      </c>
      <c r="K11979">
        <v>45982</v>
      </c>
      <c r="N11979">
        <v>109</v>
      </c>
      <c r="O11979" t="s">
        <v>24</v>
      </c>
      <c r="Q11979">
        <v>375</v>
      </c>
      <c r="R11979" t="str">
        <f>"FARMÁCIA INDIANA LJ 143 (10067)"</f>
        <v>FARMÁCIA INDIANA LJ 143 (10067)</v>
      </c>
      <c r="S11979" t="s">
        <v>77</v>
      </c>
      <c r="T11979">
        <v>21412</v>
      </c>
      <c r="U11979">
        <v>25183</v>
      </c>
      <c r="V11979" t="s">
        <v>77</v>
      </c>
    </row>
    <row r="11980" spans="1:22">
      <c r="A11980" t="str">
        <f t="shared" si="2316"/>
        <v>21/11/2025</v>
      </c>
      <c r="B11980" t="str">
        <f t="shared" si="2322"/>
        <v>SAÍDA</v>
      </c>
      <c r="C11980" t="str">
        <f t="shared" si="2317"/>
        <v>PIX</v>
      </c>
      <c r="D11980" t="str">
        <f>"25184"</f>
        <v>25184</v>
      </c>
      <c r="E11980" t="str">
        <f t="shared" si="2319"/>
        <v>1</v>
      </c>
      <c r="F11980" t="str">
        <f t="shared" si="2321"/>
        <v>COM</v>
      </c>
      <c r="G11980" t="str">
        <f>"SILAS ALVES DE FREITAS (35)"</f>
        <v>SILAS ALVES DE FREITAS (35)</v>
      </c>
      <c r="H11980" t="str">
        <f>"Serv.Prest. 03/11/2025 a 09/11/2025 - PIX: CPF - CHAVE: 097.855.786-74"</f>
        <v>Serv.Prest. 03/11/2025 a 09/11/2025 - PIX: CPF - CHAVE: 097.855.786-74</v>
      </c>
      <c r="I11980" t="str">
        <f t="shared" si="2318"/>
        <v>20/11/2025</v>
      </c>
      <c r="J11980" t="str">
        <f t="shared" si="2320"/>
        <v>11/11/2025</v>
      </c>
      <c r="K11980" t="str">
        <f>("21/11/2025")</f>
        <v>21/11/2025</v>
      </c>
      <c r="L11980">
        <v>1266</v>
      </c>
      <c r="M11980">
        <v>1266</v>
      </c>
      <c r="N11980">
        <v>109</v>
      </c>
      <c r="O11980" t="str">
        <f>"PAGAMENTO DE ENTREGADORES"</f>
        <v>PAGAMENTO DE ENTREGADORES</v>
      </c>
      <c r="P11980">
        <v>1266</v>
      </c>
      <c r="S11980" t="str">
        <f>"BANCO C6 (149)"</f>
        <v>BANCO C6 (149)</v>
      </c>
      <c r="T11980">
        <v>21413</v>
      </c>
      <c r="U11980">
        <v>25184</v>
      </c>
      <c r="V11980" t="s">
        <v>77</v>
      </c>
    </row>
    <row r="11981" spans="1:22">
      <c r="A11981" t="str">
        <f t="shared" si="2316"/>
        <v>21/11/2025</v>
      </c>
      <c r="B11981" t="str">
        <f t="shared" si="2322"/>
        <v>SAÍDA</v>
      </c>
      <c r="C11981" t="str">
        <f t="shared" si="2317"/>
        <v>PIX</v>
      </c>
      <c r="D11981" t="str">
        <f>"25184"</f>
        <v>25184</v>
      </c>
      <c r="E11981" t="str">
        <f t="shared" si="2319"/>
        <v>1</v>
      </c>
      <c r="F11981" t="str">
        <f t="shared" si="2321"/>
        <v>COM</v>
      </c>
      <c r="G11981" t="str">
        <f>"SILAS ALVES DE FREITAS (35)"</f>
        <v>SILAS ALVES DE FREITAS (35)</v>
      </c>
      <c r="H11981" t="s">
        <v>3227</v>
      </c>
      <c r="I11981" t="str">
        <f t="shared" si="2318"/>
        <v>20/11/2025</v>
      </c>
      <c r="J11981" t="str">
        <f t="shared" si="2320"/>
        <v>11/11/2025</v>
      </c>
      <c r="K11981">
        <v>45982</v>
      </c>
      <c r="N11981">
        <v>109</v>
      </c>
      <c r="O11981" t="s">
        <v>24</v>
      </c>
      <c r="Q11981">
        <v>1266</v>
      </c>
      <c r="R11981" t="str">
        <f>"FARMÁCIA INDIANA LJ 172 (10161)"</f>
        <v>FARMÁCIA INDIANA LJ 172 (10161)</v>
      </c>
      <c r="S11981" t="s">
        <v>77</v>
      </c>
      <c r="T11981">
        <v>21413</v>
      </c>
      <c r="U11981">
        <v>25184</v>
      </c>
      <c r="V11981" t="s">
        <v>77</v>
      </c>
    </row>
    <row r="11982" spans="1:22">
      <c r="A11982" t="str">
        <f t="shared" ref="A11982:A12045" si="2323">("21/11/2025")</f>
        <v>21/11/2025</v>
      </c>
      <c r="B11982" t="str">
        <f t="shared" si="2322"/>
        <v>SAÍDA</v>
      </c>
      <c r="C11982" t="str">
        <f t="shared" si="2317"/>
        <v>PIX</v>
      </c>
      <c r="D11982" t="str">
        <f>"25185"</f>
        <v>25185</v>
      </c>
      <c r="E11982" t="str">
        <f t="shared" si="2319"/>
        <v>1</v>
      </c>
      <c r="F11982" t="str">
        <f t="shared" si="2321"/>
        <v>COM</v>
      </c>
      <c r="G11982" t="str">
        <f>"TAYSON BARBOSA SILVINO (613)"</f>
        <v>TAYSON BARBOSA SILVINO (613)</v>
      </c>
      <c r="H11982" t="str">
        <f>"Serv.Prest. 03/11/2025 a 09/11/2025 - PIX: CHAVE ALEATÓRIA - CHAVE: 1550e869-c9d7-4436-be93-6858fd0cb900"</f>
        <v>Serv.Prest. 03/11/2025 a 09/11/2025 - PIX: CHAVE ALEATÓRIA - CHAVE: 1550e869-c9d7-4436-be93-6858fd0cb900</v>
      </c>
      <c r="I11982" t="str">
        <f t="shared" si="2318"/>
        <v>20/11/2025</v>
      </c>
      <c r="J11982" t="str">
        <f t="shared" si="2320"/>
        <v>11/11/2025</v>
      </c>
      <c r="K11982" t="str">
        <f>("21/11/2025")</f>
        <v>21/11/2025</v>
      </c>
      <c r="L11982">
        <v>780</v>
      </c>
      <c r="M11982">
        <v>780</v>
      </c>
      <c r="N11982">
        <v>109</v>
      </c>
      <c r="O11982" t="str">
        <f>"PAGAMENTO DE ENTREGADORES"</f>
        <v>PAGAMENTO DE ENTREGADORES</v>
      </c>
      <c r="P11982">
        <v>780</v>
      </c>
      <c r="S11982" t="str">
        <f>"BANCO C6 (149)"</f>
        <v>BANCO C6 (149)</v>
      </c>
      <c r="T11982">
        <v>21414</v>
      </c>
      <c r="U11982">
        <v>25185</v>
      </c>
      <c r="V11982" t="s">
        <v>77</v>
      </c>
    </row>
    <row r="11983" spans="1:22">
      <c r="A11983" t="str">
        <f t="shared" si="2323"/>
        <v>21/11/2025</v>
      </c>
      <c r="B11983" t="str">
        <f t="shared" si="2322"/>
        <v>SAÍDA</v>
      </c>
      <c r="C11983" t="str">
        <f t="shared" si="2317"/>
        <v>PIX</v>
      </c>
      <c r="D11983" t="str">
        <f>"25185"</f>
        <v>25185</v>
      </c>
      <c r="E11983" t="str">
        <f t="shared" si="2319"/>
        <v>1</v>
      </c>
      <c r="F11983" t="str">
        <f t="shared" si="2321"/>
        <v>COM</v>
      </c>
      <c r="G11983" t="str">
        <f>"TAYSON BARBOSA SILVINO (613)"</f>
        <v>TAYSON BARBOSA SILVINO (613)</v>
      </c>
      <c r="H11983" t="s">
        <v>3228</v>
      </c>
      <c r="I11983" t="str">
        <f t="shared" si="2318"/>
        <v>20/11/2025</v>
      </c>
      <c r="J11983" t="str">
        <f t="shared" si="2320"/>
        <v>11/11/2025</v>
      </c>
      <c r="K11983">
        <v>45982</v>
      </c>
      <c r="N11983">
        <v>109</v>
      </c>
      <c r="O11983" t="s">
        <v>24</v>
      </c>
      <c r="Q11983">
        <v>24.02</v>
      </c>
      <c r="R11983" t="str">
        <f>"FARMÁCIA INDIANA LJ 18 (10011)"</f>
        <v>FARMÁCIA INDIANA LJ 18 (10011)</v>
      </c>
      <c r="S11983" t="s">
        <v>77</v>
      </c>
      <c r="T11983">
        <v>21414</v>
      </c>
      <c r="U11983">
        <v>25185</v>
      </c>
      <c r="V11983" t="s">
        <v>77</v>
      </c>
    </row>
    <row r="11984" spans="1:22">
      <c r="A11984" t="str">
        <f t="shared" si="2323"/>
        <v>21/11/2025</v>
      </c>
      <c r="B11984" t="str">
        <f t="shared" si="2322"/>
        <v>SAÍDA</v>
      </c>
      <c r="C11984" t="str">
        <f t="shared" si="2317"/>
        <v>PIX</v>
      </c>
      <c r="D11984" t="str">
        <f>"25185"</f>
        <v>25185</v>
      </c>
      <c r="E11984" t="str">
        <f t="shared" si="2319"/>
        <v>1</v>
      </c>
      <c r="F11984" t="str">
        <f t="shared" si="2321"/>
        <v>COM</v>
      </c>
      <c r="G11984" t="str">
        <f>"TAYSON BARBOSA SILVINO (613)"</f>
        <v>TAYSON BARBOSA SILVINO (613)</v>
      </c>
      <c r="H11984" t="s">
        <v>3228</v>
      </c>
      <c r="I11984" t="str">
        <f t="shared" si="2318"/>
        <v>20/11/2025</v>
      </c>
      <c r="J11984" t="str">
        <f t="shared" si="2320"/>
        <v>11/11/2025</v>
      </c>
      <c r="K11984">
        <v>45982</v>
      </c>
      <c r="N11984">
        <v>109</v>
      </c>
      <c r="O11984" t="s">
        <v>24</v>
      </c>
      <c r="Q11984">
        <v>755.98</v>
      </c>
      <c r="R11984" t="str">
        <f>"FARMÁCIA INDIANA LJ 19 (10012)"</f>
        <v>FARMÁCIA INDIANA LJ 19 (10012)</v>
      </c>
      <c r="S11984" t="s">
        <v>77</v>
      </c>
      <c r="T11984">
        <v>21414</v>
      </c>
      <c r="U11984">
        <v>25185</v>
      </c>
      <c r="V11984" t="s">
        <v>77</v>
      </c>
    </row>
    <row r="11985" spans="1:22">
      <c r="A11985" t="str">
        <f t="shared" si="2323"/>
        <v>21/11/2025</v>
      </c>
      <c r="B11985" t="str">
        <f t="shared" si="2322"/>
        <v>SAÍDA</v>
      </c>
      <c r="C11985" t="str">
        <f t="shared" si="2317"/>
        <v>PIX</v>
      </c>
      <c r="D11985" t="str">
        <f>"25186"</f>
        <v>25186</v>
      </c>
      <c r="E11985" t="str">
        <f t="shared" si="2319"/>
        <v>1</v>
      </c>
      <c r="F11985" t="str">
        <f t="shared" si="2321"/>
        <v>COM</v>
      </c>
      <c r="G11985" t="str">
        <f>"THALES VIANA DOS SANTOS (63)"</f>
        <v>THALES VIANA DOS SANTOS (63)</v>
      </c>
      <c r="H11985" t="str">
        <f>"Serv.Prest. 03/11/2025 a 09/11/2025 - PIX: CELULAR - CHAVE: (33) 99880-7941"</f>
        <v>Serv.Prest. 03/11/2025 a 09/11/2025 - PIX: CELULAR - CHAVE: (33) 99880-7941</v>
      </c>
      <c r="I11985" t="str">
        <f t="shared" si="2318"/>
        <v>20/11/2025</v>
      </c>
      <c r="J11985" t="str">
        <f t="shared" si="2320"/>
        <v>11/11/2025</v>
      </c>
      <c r="K11985" t="str">
        <f>("21/11/2025")</f>
        <v>21/11/2025</v>
      </c>
      <c r="L11985">
        <v>936</v>
      </c>
      <c r="M11985">
        <v>936</v>
      </c>
      <c r="N11985">
        <v>109</v>
      </c>
      <c r="O11985" t="str">
        <f>"PAGAMENTO DE ENTREGADORES"</f>
        <v>PAGAMENTO DE ENTREGADORES</v>
      </c>
      <c r="P11985">
        <v>936</v>
      </c>
      <c r="S11985" t="str">
        <f>"BANCO C6 (149)"</f>
        <v>BANCO C6 (149)</v>
      </c>
      <c r="T11985">
        <v>21415</v>
      </c>
      <c r="U11985">
        <v>25186</v>
      </c>
      <c r="V11985" t="s">
        <v>77</v>
      </c>
    </row>
    <row r="11986" spans="1:22">
      <c r="A11986" t="str">
        <f t="shared" si="2323"/>
        <v>21/11/2025</v>
      </c>
      <c r="B11986" t="str">
        <f t="shared" si="2322"/>
        <v>SAÍDA</v>
      </c>
      <c r="C11986" t="str">
        <f t="shared" si="2317"/>
        <v>PIX</v>
      </c>
      <c r="D11986" t="str">
        <f>"25186"</f>
        <v>25186</v>
      </c>
      <c r="E11986" t="str">
        <f t="shared" si="2319"/>
        <v>1</v>
      </c>
      <c r="F11986" t="str">
        <f t="shared" si="2321"/>
        <v>COM</v>
      </c>
      <c r="G11986" t="str">
        <f>"THALES VIANA DOS SANTOS (63)"</f>
        <v>THALES VIANA DOS SANTOS (63)</v>
      </c>
      <c r="H11986" t="s">
        <v>3229</v>
      </c>
      <c r="I11986" t="str">
        <f t="shared" si="2318"/>
        <v>20/11/2025</v>
      </c>
      <c r="J11986" t="str">
        <f t="shared" si="2320"/>
        <v>11/11/2025</v>
      </c>
      <c r="K11986">
        <v>45982</v>
      </c>
      <c r="N11986">
        <v>109</v>
      </c>
      <c r="O11986" t="s">
        <v>24</v>
      </c>
      <c r="Q11986">
        <v>936</v>
      </c>
      <c r="R11986" t="str">
        <f>"FARMÁCIA INDIANA LJ 07 (10007)"</f>
        <v>FARMÁCIA INDIANA LJ 07 (10007)</v>
      </c>
      <c r="S11986" t="s">
        <v>77</v>
      </c>
      <c r="T11986">
        <v>21415</v>
      </c>
      <c r="U11986">
        <v>25186</v>
      </c>
      <c r="V11986" t="s">
        <v>77</v>
      </c>
    </row>
    <row r="11987" spans="1:22">
      <c r="A11987" t="str">
        <f t="shared" si="2323"/>
        <v>21/11/2025</v>
      </c>
      <c r="B11987" t="str">
        <f t="shared" si="2322"/>
        <v>SAÍDA</v>
      </c>
      <c r="C11987" t="str">
        <f t="shared" si="2317"/>
        <v>PIX</v>
      </c>
      <c r="D11987" t="str">
        <f>"25188"</f>
        <v>25188</v>
      </c>
      <c r="E11987" t="str">
        <f t="shared" si="2319"/>
        <v>1</v>
      </c>
      <c r="F11987" t="str">
        <f t="shared" si="2321"/>
        <v>COM</v>
      </c>
      <c r="G11987" t="str">
        <f>"VINICIUS DE SOUZA ISABEL (658)"</f>
        <v>VINICIUS DE SOUZA ISABEL (658)</v>
      </c>
      <c r="H11987" t="str">
        <f>"Serv.Prest. 03/11/2025 a 09/11/2025 - PIX: CPF - CHAVE: 092.566.416-23"</f>
        <v>Serv.Prest. 03/11/2025 a 09/11/2025 - PIX: CPF - CHAVE: 092.566.416-23</v>
      </c>
      <c r="I11987" t="str">
        <f t="shared" si="2318"/>
        <v>20/11/2025</v>
      </c>
      <c r="J11987" t="str">
        <f t="shared" si="2320"/>
        <v>11/11/2025</v>
      </c>
      <c r="K11987" t="str">
        <f>("21/11/2025")</f>
        <v>21/11/2025</v>
      </c>
      <c r="L11987">
        <v>700</v>
      </c>
      <c r="M11987">
        <v>700</v>
      </c>
      <c r="N11987">
        <v>109</v>
      </c>
      <c r="O11987" t="str">
        <f>"PAGAMENTO DE ENTREGADORES"</f>
        <v>PAGAMENTO DE ENTREGADORES</v>
      </c>
      <c r="P11987">
        <v>700</v>
      </c>
      <c r="S11987" t="str">
        <f>"BANCO C6 (149)"</f>
        <v>BANCO C6 (149)</v>
      </c>
      <c r="T11987">
        <v>21416</v>
      </c>
      <c r="U11987">
        <v>25188</v>
      </c>
      <c r="V11987" t="s">
        <v>77</v>
      </c>
    </row>
    <row r="11988" spans="1:22">
      <c r="A11988" t="str">
        <f t="shared" si="2323"/>
        <v>21/11/2025</v>
      </c>
      <c r="B11988" t="str">
        <f t="shared" si="2322"/>
        <v>SAÍDA</v>
      </c>
      <c r="C11988" t="str">
        <f t="shared" si="2317"/>
        <v>PIX</v>
      </c>
      <c r="D11988" t="str">
        <f>"25188"</f>
        <v>25188</v>
      </c>
      <c r="E11988" t="str">
        <f t="shared" si="2319"/>
        <v>1</v>
      </c>
      <c r="F11988" t="str">
        <f t="shared" si="2321"/>
        <v>COM</v>
      </c>
      <c r="G11988" t="str">
        <f>"VINICIUS DE SOUZA ISABEL (658)"</f>
        <v>VINICIUS DE SOUZA ISABEL (658)</v>
      </c>
      <c r="H11988" t="s">
        <v>3230</v>
      </c>
      <c r="I11988" t="str">
        <f t="shared" si="2318"/>
        <v>20/11/2025</v>
      </c>
      <c r="J11988" t="str">
        <f t="shared" si="2320"/>
        <v>11/11/2025</v>
      </c>
      <c r="K11988">
        <v>45982</v>
      </c>
      <c r="N11988">
        <v>109</v>
      </c>
      <c r="O11988" t="s">
        <v>24</v>
      </c>
      <c r="Q11988">
        <v>700</v>
      </c>
      <c r="R11988" t="str">
        <f>"FARMÁCIA INDIANA LJ 219 (10091)"</f>
        <v>FARMÁCIA INDIANA LJ 219 (10091)</v>
      </c>
      <c r="S11988" t="s">
        <v>77</v>
      </c>
      <c r="T11988">
        <v>21416</v>
      </c>
      <c r="U11988">
        <v>25188</v>
      </c>
      <c r="V11988" t="s">
        <v>77</v>
      </c>
    </row>
    <row r="11989" spans="1:22">
      <c r="A11989" t="str">
        <f t="shared" si="2323"/>
        <v>21/11/2025</v>
      </c>
      <c r="B11989" t="str">
        <f t="shared" si="2322"/>
        <v>SAÍDA</v>
      </c>
      <c r="C11989" t="str">
        <f t="shared" si="2317"/>
        <v>PIX</v>
      </c>
      <c r="D11989" t="str">
        <f>"25189"</f>
        <v>25189</v>
      </c>
      <c r="E11989" t="str">
        <f t="shared" si="2319"/>
        <v>1</v>
      </c>
      <c r="F11989" t="str">
        <f t="shared" si="2321"/>
        <v>COM</v>
      </c>
      <c r="G11989" t="str">
        <f>"VITOR CARDOSO FAUSTINO (257)"</f>
        <v>VITOR CARDOSO FAUSTINO (257)</v>
      </c>
      <c r="H11989" t="str">
        <f>"Serv.Prest. 03/11/2025 a 09/11/2025 - PIX: CPF - CHAVE: 157.874.046-02"</f>
        <v>Serv.Prest. 03/11/2025 a 09/11/2025 - PIX: CPF - CHAVE: 157.874.046-02</v>
      </c>
      <c r="I11989" t="str">
        <f t="shared" si="2318"/>
        <v>20/11/2025</v>
      </c>
      <c r="J11989" t="str">
        <f t="shared" si="2320"/>
        <v>11/11/2025</v>
      </c>
      <c r="K11989" t="str">
        <f>("21/11/2025")</f>
        <v>21/11/2025</v>
      </c>
      <c r="L11989">
        <v>756</v>
      </c>
      <c r="M11989">
        <v>756</v>
      </c>
      <c r="N11989">
        <v>109</v>
      </c>
      <c r="O11989" t="str">
        <f>"PAGAMENTO DE ENTREGADORES"</f>
        <v>PAGAMENTO DE ENTREGADORES</v>
      </c>
      <c r="P11989">
        <v>756</v>
      </c>
      <c r="S11989" t="str">
        <f>"BANCO C6 (149)"</f>
        <v>BANCO C6 (149)</v>
      </c>
      <c r="T11989">
        <v>21417</v>
      </c>
      <c r="U11989">
        <v>25189</v>
      </c>
      <c r="V11989" t="s">
        <v>77</v>
      </c>
    </row>
    <row r="11990" spans="1:22">
      <c r="A11990" t="str">
        <f t="shared" si="2323"/>
        <v>21/11/2025</v>
      </c>
      <c r="B11990" t="str">
        <f t="shared" si="2322"/>
        <v>SAÍDA</v>
      </c>
      <c r="C11990" t="str">
        <f t="shared" si="2317"/>
        <v>PIX</v>
      </c>
      <c r="D11990" t="str">
        <f>"25189"</f>
        <v>25189</v>
      </c>
      <c r="E11990" t="str">
        <f t="shared" si="2319"/>
        <v>1</v>
      </c>
      <c r="F11990" t="str">
        <f t="shared" si="2321"/>
        <v>COM</v>
      </c>
      <c r="G11990" t="str">
        <f>"VITOR CARDOSO FAUSTINO (257)"</f>
        <v>VITOR CARDOSO FAUSTINO (257)</v>
      </c>
      <c r="H11990" t="s">
        <v>3231</v>
      </c>
      <c r="I11990" t="str">
        <f t="shared" si="2318"/>
        <v>20/11/2025</v>
      </c>
      <c r="J11990" t="str">
        <f t="shared" si="2320"/>
        <v>11/11/2025</v>
      </c>
      <c r="K11990">
        <v>45982</v>
      </c>
      <c r="N11990">
        <v>109</v>
      </c>
      <c r="O11990" t="s">
        <v>24</v>
      </c>
      <c r="Q11990">
        <v>756</v>
      </c>
      <c r="R11990" t="str">
        <f>"FARMÁCIA INDIANA LJ 07 (10007)"</f>
        <v>FARMÁCIA INDIANA LJ 07 (10007)</v>
      </c>
      <c r="S11990" t="s">
        <v>77</v>
      </c>
      <c r="T11990">
        <v>21417</v>
      </c>
      <c r="U11990">
        <v>25189</v>
      </c>
      <c r="V11990" t="s">
        <v>77</v>
      </c>
    </row>
    <row r="11991" spans="1:22">
      <c r="A11991" t="str">
        <f t="shared" si="2323"/>
        <v>21/11/2025</v>
      </c>
      <c r="B11991" t="str">
        <f t="shared" si="2322"/>
        <v>SAÍDA</v>
      </c>
      <c r="C11991" t="str">
        <f t="shared" si="2317"/>
        <v>PIX</v>
      </c>
      <c r="D11991" t="str">
        <f>"25190"</f>
        <v>25190</v>
      </c>
      <c r="E11991" t="str">
        <f t="shared" si="2319"/>
        <v>1</v>
      </c>
      <c r="F11991" t="str">
        <f t="shared" si="2321"/>
        <v>COM</v>
      </c>
      <c r="G11991" t="str">
        <f>"VITOR DE SOUZA SILVA (360)"</f>
        <v>VITOR DE SOUZA SILVA (360)</v>
      </c>
      <c r="H11991" t="str">
        <f>"Serv.Prest. 03/11/2025 a 09/11/2025 - PIX: CPF - CHAVE: 130.194.566-81"</f>
        <v>Serv.Prest. 03/11/2025 a 09/11/2025 - PIX: CPF - CHAVE: 130.194.566-81</v>
      </c>
      <c r="I11991" t="str">
        <f t="shared" si="2318"/>
        <v>20/11/2025</v>
      </c>
      <c r="J11991" t="str">
        <f t="shared" si="2320"/>
        <v>11/11/2025</v>
      </c>
      <c r="K11991" t="str">
        <f>("21/11/2025")</f>
        <v>21/11/2025</v>
      </c>
      <c r="L11991">
        <v>700.8</v>
      </c>
      <c r="M11991">
        <v>700.8</v>
      </c>
      <c r="N11991">
        <v>109</v>
      </c>
      <c r="O11991" t="str">
        <f>"PAGAMENTO DE ENTREGADORES"</f>
        <v>PAGAMENTO DE ENTREGADORES</v>
      </c>
      <c r="P11991">
        <v>700.8</v>
      </c>
      <c r="S11991" t="str">
        <f>"BANCO C6 (149)"</f>
        <v>BANCO C6 (149)</v>
      </c>
      <c r="T11991">
        <v>21418</v>
      </c>
      <c r="U11991">
        <v>25190</v>
      </c>
      <c r="V11991" t="s">
        <v>77</v>
      </c>
    </row>
    <row r="11992" spans="1:22">
      <c r="A11992" t="str">
        <f t="shared" si="2323"/>
        <v>21/11/2025</v>
      </c>
      <c r="B11992" t="str">
        <f t="shared" si="2322"/>
        <v>SAÍDA</v>
      </c>
      <c r="C11992" t="str">
        <f t="shared" ref="C11992:C12055" si="2324">"PIX"</f>
        <v>PIX</v>
      </c>
      <c r="D11992" t="str">
        <f>"25190"</f>
        <v>25190</v>
      </c>
      <c r="E11992" t="str">
        <f t="shared" si="2319"/>
        <v>1</v>
      </c>
      <c r="F11992" t="str">
        <f t="shared" si="2321"/>
        <v>COM</v>
      </c>
      <c r="G11992" t="str">
        <f>"VITOR DE SOUZA SILVA (360)"</f>
        <v>VITOR DE SOUZA SILVA (360)</v>
      </c>
      <c r="H11992" t="s">
        <v>3232</v>
      </c>
      <c r="I11992" t="str">
        <f t="shared" ref="I11992:I12055" si="2325">("20/11/2025")</f>
        <v>20/11/2025</v>
      </c>
      <c r="J11992" t="str">
        <f t="shared" si="2320"/>
        <v>11/11/2025</v>
      </c>
      <c r="K11992">
        <v>45982</v>
      </c>
      <c r="N11992">
        <v>109</v>
      </c>
      <c r="O11992" t="s">
        <v>24</v>
      </c>
      <c r="Q11992">
        <v>219</v>
      </c>
      <c r="R11992" t="str">
        <f>"FARMÁCIA INDIANA LJ 121 (10054)"</f>
        <v>FARMÁCIA INDIANA LJ 121 (10054)</v>
      </c>
      <c r="S11992" t="s">
        <v>77</v>
      </c>
      <c r="T11992">
        <v>21418</v>
      </c>
      <c r="U11992">
        <v>25190</v>
      </c>
      <c r="V11992" t="s">
        <v>77</v>
      </c>
    </row>
    <row r="11993" spans="1:22">
      <c r="A11993" t="str">
        <f t="shared" si="2323"/>
        <v>21/11/2025</v>
      </c>
      <c r="B11993" t="str">
        <f t="shared" si="2322"/>
        <v>SAÍDA</v>
      </c>
      <c r="C11993" t="str">
        <f t="shared" si="2324"/>
        <v>PIX</v>
      </c>
      <c r="D11993" t="str">
        <f>"25190"</f>
        <v>25190</v>
      </c>
      <c r="E11993" t="str">
        <f t="shared" si="2319"/>
        <v>1</v>
      </c>
      <c r="F11993" t="str">
        <f t="shared" si="2321"/>
        <v>COM</v>
      </c>
      <c r="G11993" t="str">
        <f>"VITOR DE SOUZA SILVA (360)"</f>
        <v>VITOR DE SOUZA SILVA (360)</v>
      </c>
      <c r="H11993" t="s">
        <v>3232</v>
      </c>
      <c r="I11993" t="str">
        <f t="shared" si="2325"/>
        <v>20/11/2025</v>
      </c>
      <c r="J11993" t="str">
        <f t="shared" si="2320"/>
        <v>11/11/2025</v>
      </c>
      <c r="K11993">
        <v>45982</v>
      </c>
      <c r="N11993">
        <v>109</v>
      </c>
      <c r="O11993" t="s">
        <v>24</v>
      </c>
      <c r="Q11993">
        <v>481.8</v>
      </c>
      <c r="R11993" t="str">
        <f>"FARMÁCIA INDIANA LJ 128 (10057)"</f>
        <v>FARMÁCIA INDIANA LJ 128 (10057)</v>
      </c>
      <c r="S11993" t="s">
        <v>77</v>
      </c>
      <c r="T11993">
        <v>21418</v>
      </c>
      <c r="U11993">
        <v>25190</v>
      </c>
      <c r="V11993" t="s">
        <v>77</v>
      </c>
    </row>
    <row r="11994" spans="1:22">
      <c r="A11994" t="str">
        <f t="shared" si="2323"/>
        <v>21/11/2025</v>
      </c>
      <c r="B11994" t="str">
        <f t="shared" si="2322"/>
        <v>SAÍDA</v>
      </c>
      <c r="C11994" t="str">
        <f t="shared" si="2324"/>
        <v>PIX</v>
      </c>
      <c r="D11994" t="str">
        <f>"25191"</f>
        <v>25191</v>
      </c>
      <c r="E11994" t="str">
        <f t="shared" si="2319"/>
        <v>1</v>
      </c>
      <c r="F11994" t="str">
        <f t="shared" si="2321"/>
        <v>COM</v>
      </c>
      <c r="G11994" t="str">
        <f>"WAGNER DOS SANTOS LIMA (31)"</f>
        <v>WAGNER DOS SANTOS LIMA (31)</v>
      </c>
      <c r="H11994" t="str">
        <f>"Serv.Prest. 03/11/2025 a 09/11/2025 - PIX: CELULAR - CHAVE: (33) 99118-9032"</f>
        <v>Serv.Prest. 03/11/2025 a 09/11/2025 - PIX: CELULAR - CHAVE: (33) 99118-9032</v>
      </c>
      <c r="I11994" t="str">
        <f t="shared" si="2325"/>
        <v>20/11/2025</v>
      </c>
      <c r="J11994" t="str">
        <f t="shared" si="2320"/>
        <v>11/11/2025</v>
      </c>
      <c r="K11994" t="str">
        <f>("21/11/2025")</f>
        <v>21/11/2025</v>
      </c>
      <c r="L11994">
        <v>1023</v>
      </c>
      <c r="M11994">
        <v>1023</v>
      </c>
      <c r="N11994">
        <v>109</v>
      </c>
      <c r="O11994" t="str">
        <f>"PAGAMENTO DE ENTREGADORES"</f>
        <v>PAGAMENTO DE ENTREGADORES</v>
      </c>
      <c r="P11994">
        <v>1023</v>
      </c>
      <c r="S11994" t="str">
        <f>"BANCO C6 (149)"</f>
        <v>BANCO C6 (149)</v>
      </c>
      <c r="T11994">
        <v>21419</v>
      </c>
      <c r="U11994">
        <v>25191</v>
      </c>
      <c r="V11994" t="s">
        <v>77</v>
      </c>
    </row>
    <row r="11995" spans="1:22">
      <c r="A11995" t="str">
        <f t="shared" si="2323"/>
        <v>21/11/2025</v>
      </c>
      <c r="B11995" t="str">
        <f t="shared" si="2322"/>
        <v>SAÍDA</v>
      </c>
      <c r="C11995" t="str">
        <f t="shared" si="2324"/>
        <v>PIX</v>
      </c>
      <c r="D11995" t="str">
        <f>"25191"</f>
        <v>25191</v>
      </c>
      <c r="E11995" t="str">
        <f t="shared" si="2319"/>
        <v>1</v>
      </c>
      <c r="F11995" t="str">
        <f t="shared" si="2321"/>
        <v>COM</v>
      </c>
      <c r="G11995" t="str">
        <f>"WAGNER DOS SANTOS LIMA (31)"</f>
        <v>WAGNER DOS SANTOS LIMA (31)</v>
      </c>
      <c r="H11995" t="s">
        <v>3233</v>
      </c>
      <c r="I11995" t="str">
        <f t="shared" si="2325"/>
        <v>20/11/2025</v>
      </c>
      <c r="J11995" t="str">
        <f t="shared" si="2320"/>
        <v>11/11/2025</v>
      </c>
      <c r="K11995">
        <v>45982</v>
      </c>
      <c r="N11995">
        <v>109</v>
      </c>
      <c r="O11995" t="s">
        <v>24</v>
      </c>
      <c r="Q11995">
        <v>1023</v>
      </c>
      <c r="R11995" t="str">
        <f>"FARMÁCIA INDIANA LJ 61 (10027)"</f>
        <v>FARMÁCIA INDIANA LJ 61 (10027)</v>
      </c>
      <c r="S11995" t="s">
        <v>77</v>
      </c>
      <c r="T11995">
        <v>21419</v>
      </c>
      <c r="U11995">
        <v>25191</v>
      </c>
      <c r="V11995" t="s">
        <v>77</v>
      </c>
    </row>
    <row r="11996" spans="1:22">
      <c r="A11996" t="str">
        <f t="shared" si="2323"/>
        <v>21/11/2025</v>
      </c>
      <c r="B11996" t="str">
        <f t="shared" si="2322"/>
        <v>SAÍDA</v>
      </c>
      <c r="C11996" t="str">
        <f t="shared" si="2324"/>
        <v>PIX</v>
      </c>
      <c r="D11996" t="str">
        <f>"25192"</f>
        <v>25192</v>
      </c>
      <c r="E11996" t="str">
        <f t="shared" ref="E11996:E12059" si="2326">"1"</f>
        <v>1</v>
      </c>
      <c r="F11996" t="str">
        <f t="shared" si="2321"/>
        <v>COM</v>
      </c>
      <c r="G11996" t="str">
        <f>"WARLEN JUNIO ELIAS DE OLIVEIRA (171)"</f>
        <v>WARLEN JUNIO ELIAS DE OLIVEIRA (171)</v>
      </c>
      <c r="H11996" t="str">
        <f>"Serv.Prest. 03/11/2025 a 09/11/2025 - PIX: CELULAR - CHAVE: (31) 97251-6838"</f>
        <v>Serv.Prest. 03/11/2025 a 09/11/2025 - PIX: CELULAR - CHAVE: (31) 97251-6838</v>
      </c>
      <c r="I11996" t="str">
        <f t="shared" si="2325"/>
        <v>20/11/2025</v>
      </c>
      <c r="J11996" t="str">
        <f t="shared" ref="J11996:J12059" si="2327">("11/11/2025")</f>
        <v>11/11/2025</v>
      </c>
      <c r="K11996" t="str">
        <f>("21/11/2025")</f>
        <v>21/11/2025</v>
      </c>
      <c r="L11996">
        <v>575</v>
      </c>
      <c r="M11996">
        <v>575</v>
      </c>
      <c r="N11996">
        <v>109</v>
      </c>
      <c r="O11996" t="str">
        <f>"PAGAMENTO DE ENTREGADORES"</f>
        <v>PAGAMENTO DE ENTREGADORES</v>
      </c>
      <c r="P11996">
        <v>575</v>
      </c>
      <c r="S11996" t="str">
        <f>"BANCO C6 (149)"</f>
        <v>BANCO C6 (149)</v>
      </c>
      <c r="T11996">
        <v>21420</v>
      </c>
      <c r="U11996">
        <v>25192</v>
      </c>
      <c r="V11996" t="s">
        <v>77</v>
      </c>
    </row>
    <row r="11997" spans="1:22">
      <c r="A11997" t="str">
        <f t="shared" si="2323"/>
        <v>21/11/2025</v>
      </c>
      <c r="B11997" t="str">
        <f t="shared" si="2322"/>
        <v>SAÍDA</v>
      </c>
      <c r="C11997" t="str">
        <f t="shared" si="2324"/>
        <v>PIX</v>
      </c>
      <c r="D11997" t="str">
        <f>"25192"</f>
        <v>25192</v>
      </c>
      <c r="E11997" t="str">
        <f t="shared" si="2326"/>
        <v>1</v>
      </c>
      <c r="F11997" t="str">
        <f t="shared" si="2321"/>
        <v>COM</v>
      </c>
      <c r="G11997" t="str">
        <f>"WARLEN JUNIO ELIAS DE OLIVEIRA (171)"</f>
        <v>WARLEN JUNIO ELIAS DE OLIVEIRA (171)</v>
      </c>
      <c r="H11997" t="s">
        <v>3234</v>
      </c>
      <c r="I11997" t="str">
        <f t="shared" si="2325"/>
        <v>20/11/2025</v>
      </c>
      <c r="J11997" t="str">
        <f t="shared" si="2327"/>
        <v>11/11/2025</v>
      </c>
      <c r="K11997">
        <v>45982</v>
      </c>
      <c r="N11997">
        <v>109</v>
      </c>
      <c r="O11997" t="s">
        <v>24</v>
      </c>
      <c r="Q11997">
        <v>575</v>
      </c>
      <c r="R11997" t="str">
        <f>"FARMÁCIA INDIANA LJ 175 (10076)"</f>
        <v>FARMÁCIA INDIANA LJ 175 (10076)</v>
      </c>
      <c r="S11997" t="s">
        <v>77</v>
      </c>
      <c r="T11997">
        <v>21420</v>
      </c>
      <c r="U11997">
        <v>25192</v>
      </c>
      <c r="V11997" t="s">
        <v>77</v>
      </c>
    </row>
    <row r="11998" spans="1:22">
      <c r="A11998" t="str">
        <f t="shared" si="2323"/>
        <v>21/11/2025</v>
      </c>
      <c r="B11998" t="str">
        <f t="shared" si="2322"/>
        <v>SAÍDA</v>
      </c>
      <c r="C11998" t="str">
        <f t="shared" si="2324"/>
        <v>PIX</v>
      </c>
      <c r="D11998" t="str">
        <f>"25194"</f>
        <v>25194</v>
      </c>
      <c r="E11998" t="str">
        <f t="shared" si="2326"/>
        <v>1</v>
      </c>
      <c r="F11998" t="str">
        <f t="shared" si="2321"/>
        <v>COM</v>
      </c>
      <c r="G11998" t="str">
        <f>"WELLINGTON DOS SANTOS ALVES (438)"</f>
        <v>WELLINGTON DOS SANTOS ALVES (438)</v>
      </c>
      <c r="H11998" t="str">
        <f>"Serv.Prest. 03/11/2025 a 09/11/2025 - PIX: CELULAR - CHAVE: (32) 99800-1691"</f>
        <v>Serv.Prest. 03/11/2025 a 09/11/2025 - PIX: CELULAR - CHAVE: (32) 99800-1691</v>
      </c>
      <c r="I11998" t="str">
        <f t="shared" si="2325"/>
        <v>20/11/2025</v>
      </c>
      <c r="J11998" t="str">
        <f t="shared" si="2327"/>
        <v>11/11/2025</v>
      </c>
      <c r="K11998" t="str">
        <f>("21/11/2025")</f>
        <v>21/11/2025</v>
      </c>
      <c r="L11998">
        <v>700.8</v>
      </c>
      <c r="M11998">
        <v>700.8</v>
      </c>
      <c r="N11998">
        <v>109</v>
      </c>
      <c r="O11998" t="str">
        <f>"PAGAMENTO DE ENTREGADORES"</f>
        <v>PAGAMENTO DE ENTREGADORES</v>
      </c>
      <c r="P11998">
        <v>700.8</v>
      </c>
      <c r="S11998" t="str">
        <f>"BANCO C6 (149)"</f>
        <v>BANCO C6 (149)</v>
      </c>
      <c r="T11998">
        <v>21421</v>
      </c>
      <c r="U11998">
        <v>25194</v>
      </c>
      <c r="V11998" t="s">
        <v>77</v>
      </c>
    </row>
    <row r="11999" spans="1:22">
      <c r="A11999" t="str">
        <f t="shared" si="2323"/>
        <v>21/11/2025</v>
      </c>
      <c r="B11999" t="str">
        <f t="shared" si="2322"/>
        <v>SAÍDA</v>
      </c>
      <c r="C11999" t="str">
        <f t="shared" si="2324"/>
        <v>PIX</v>
      </c>
      <c r="D11999" t="str">
        <f>"25194"</f>
        <v>25194</v>
      </c>
      <c r="E11999" t="str">
        <f t="shared" si="2326"/>
        <v>1</v>
      </c>
      <c r="F11999" t="str">
        <f t="shared" si="2321"/>
        <v>COM</v>
      </c>
      <c r="G11999" t="str">
        <f>"WELLINGTON DOS SANTOS ALVES (438)"</f>
        <v>WELLINGTON DOS SANTOS ALVES (438)</v>
      </c>
      <c r="H11999" t="s">
        <v>3235</v>
      </c>
      <c r="I11999" t="str">
        <f t="shared" si="2325"/>
        <v>20/11/2025</v>
      </c>
      <c r="J11999" t="str">
        <f t="shared" si="2327"/>
        <v>11/11/2025</v>
      </c>
      <c r="K11999">
        <v>45982</v>
      </c>
      <c r="N11999">
        <v>109</v>
      </c>
      <c r="O11999" t="s">
        <v>24</v>
      </c>
      <c r="Q11999">
        <v>533.03</v>
      </c>
      <c r="R11999" t="str">
        <f>"FARMÁCIA INDIANA LJ 112 (10050)"</f>
        <v>FARMÁCIA INDIANA LJ 112 (10050)</v>
      </c>
      <c r="S11999" t="s">
        <v>77</v>
      </c>
      <c r="T11999">
        <v>21421</v>
      </c>
      <c r="U11999">
        <v>25194</v>
      </c>
      <c r="V11999" t="s">
        <v>77</v>
      </c>
    </row>
    <row r="12000" spans="1:22">
      <c r="A12000" t="str">
        <f t="shared" si="2323"/>
        <v>21/11/2025</v>
      </c>
      <c r="B12000" t="str">
        <f t="shared" si="2322"/>
        <v>SAÍDA</v>
      </c>
      <c r="C12000" t="str">
        <f t="shared" si="2324"/>
        <v>PIX</v>
      </c>
      <c r="D12000" t="str">
        <f>"25194"</f>
        <v>25194</v>
      </c>
      <c r="E12000" t="str">
        <f t="shared" si="2326"/>
        <v>1</v>
      </c>
      <c r="F12000" t="str">
        <f t="shared" si="2321"/>
        <v>COM</v>
      </c>
      <c r="G12000" t="str">
        <f>"WELLINGTON DOS SANTOS ALVES (438)"</f>
        <v>WELLINGTON DOS SANTOS ALVES (438)</v>
      </c>
      <c r="H12000" t="s">
        <v>3235</v>
      </c>
      <c r="I12000" t="str">
        <f t="shared" si="2325"/>
        <v>20/11/2025</v>
      </c>
      <c r="J12000" t="str">
        <f t="shared" si="2327"/>
        <v>11/11/2025</v>
      </c>
      <c r="K12000">
        <v>45982</v>
      </c>
      <c r="N12000">
        <v>109</v>
      </c>
      <c r="O12000" t="s">
        <v>24</v>
      </c>
      <c r="Q12000">
        <v>108.55</v>
      </c>
      <c r="R12000" t="str">
        <f>"FARMÁCIA INDIANA LJ 116 (10051)"</f>
        <v>FARMÁCIA INDIANA LJ 116 (10051)</v>
      </c>
      <c r="S12000" t="s">
        <v>77</v>
      </c>
      <c r="T12000">
        <v>21421</v>
      </c>
      <c r="U12000">
        <v>25194</v>
      </c>
      <c r="V12000" t="s">
        <v>77</v>
      </c>
    </row>
    <row r="12001" spans="1:22">
      <c r="A12001" t="str">
        <f t="shared" si="2323"/>
        <v>21/11/2025</v>
      </c>
      <c r="B12001" t="str">
        <f t="shared" si="2322"/>
        <v>SAÍDA</v>
      </c>
      <c r="C12001" t="str">
        <f t="shared" si="2324"/>
        <v>PIX</v>
      </c>
      <c r="D12001" t="str">
        <f>"25194"</f>
        <v>25194</v>
      </c>
      <c r="E12001" t="str">
        <f t="shared" si="2326"/>
        <v>1</v>
      </c>
      <c r="F12001" t="str">
        <f t="shared" si="2321"/>
        <v>COM</v>
      </c>
      <c r="G12001" t="str">
        <f>"WELLINGTON DOS SANTOS ALVES (438)"</f>
        <v>WELLINGTON DOS SANTOS ALVES (438)</v>
      </c>
      <c r="H12001" t="s">
        <v>3235</v>
      </c>
      <c r="I12001" t="str">
        <f t="shared" si="2325"/>
        <v>20/11/2025</v>
      </c>
      <c r="J12001" t="str">
        <f t="shared" si="2327"/>
        <v>11/11/2025</v>
      </c>
      <c r="K12001">
        <v>45982</v>
      </c>
      <c r="N12001">
        <v>109</v>
      </c>
      <c r="O12001" t="s">
        <v>24</v>
      </c>
      <c r="Q12001">
        <v>59.22</v>
      </c>
      <c r="R12001" t="str">
        <f>"FARMÁCIA INDIANA LJ 121 (10054)"</f>
        <v>FARMÁCIA INDIANA LJ 121 (10054)</v>
      </c>
      <c r="S12001" t="s">
        <v>77</v>
      </c>
      <c r="T12001">
        <v>21421</v>
      </c>
      <c r="U12001">
        <v>25194</v>
      </c>
      <c r="V12001" t="s">
        <v>77</v>
      </c>
    </row>
    <row r="12002" spans="1:22">
      <c r="A12002" t="str">
        <f t="shared" si="2323"/>
        <v>21/11/2025</v>
      </c>
      <c r="B12002" t="str">
        <f t="shared" si="2322"/>
        <v>SAÍDA</v>
      </c>
      <c r="C12002" t="str">
        <f t="shared" si="2324"/>
        <v>PIX</v>
      </c>
      <c r="D12002" t="str">
        <f>"25195"</f>
        <v>25195</v>
      </c>
      <c r="E12002" t="str">
        <f t="shared" si="2326"/>
        <v>1</v>
      </c>
      <c r="F12002" t="str">
        <f t="shared" si="2321"/>
        <v>COM</v>
      </c>
      <c r="G12002" t="str">
        <f>"WELVES DA SILVA RAMOS (194)"</f>
        <v>WELVES DA SILVA RAMOS (194)</v>
      </c>
      <c r="H12002" t="str">
        <f>"Serv.Prest. 03/11/2025 a 09/11/2025 - PIX: CPF - CHAVE: 700.454.836-80"</f>
        <v>Serv.Prest. 03/11/2025 a 09/11/2025 - PIX: CPF - CHAVE: 700.454.836-80</v>
      </c>
      <c r="I12002" t="str">
        <f t="shared" si="2325"/>
        <v>20/11/2025</v>
      </c>
      <c r="J12002" t="str">
        <f t="shared" si="2327"/>
        <v>11/11/2025</v>
      </c>
      <c r="K12002" t="str">
        <f>("21/11/2025")</f>
        <v>21/11/2025</v>
      </c>
      <c r="L12002">
        <v>720</v>
      </c>
      <c r="M12002">
        <v>720</v>
      </c>
      <c r="N12002">
        <v>109</v>
      </c>
      <c r="O12002" t="str">
        <f>"PAGAMENTO DE ENTREGADORES"</f>
        <v>PAGAMENTO DE ENTREGADORES</v>
      </c>
      <c r="P12002">
        <v>720</v>
      </c>
      <c r="S12002" t="str">
        <f>"BANCO C6 (149)"</f>
        <v>BANCO C6 (149)</v>
      </c>
      <c r="T12002">
        <v>21422</v>
      </c>
      <c r="U12002">
        <v>25195</v>
      </c>
      <c r="V12002" t="s">
        <v>77</v>
      </c>
    </row>
    <row r="12003" spans="1:22">
      <c r="A12003" t="str">
        <f t="shared" si="2323"/>
        <v>21/11/2025</v>
      </c>
      <c r="B12003" t="str">
        <f t="shared" si="2322"/>
        <v>SAÍDA</v>
      </c>
      <c r="C12003" t="str">
        <f t="shared" si="2324"/>
        <v>PIX</v>
      </c>
      <c r="D12003" t="str">
        <f>"25195"</f>
        <v>25195</v>
      </c>
      <c r="E12003" t="str">
        <f t="shared" si="2326"/>
        <v>1</v>
      </c>
      <c r="F12003" t="str">
        <f t="shared" si="2321"/>
        <v>COM</v>
      </c>
      <c r="G12003" t="str">
        <f>"WELVES DA SILVA RAMOS (194)"</f>
        <v>WELVES DA SILVA RAMOS (194)</v>
      </c>
      <c r="H12003" t="s">
        <v>3236</v>
      </c>
      <c r="I12003" t="str">
        <f t="shared" si="2325"/>
        <v>20/11/2025</v>
      </c>
      <c r="J12003" t="str">
        <f t="shared" si="2327"/>
        <v>11/11/2025</v>
      </c>
      <c r="K12003">
        <v>45982</v>
      </c>
      <c r="N12003">
        <v>109</v>
      </c>
      <c r="O12003" t="s">
        <v>24</v>
      </c>
      <c r="Q12003">
        <v>720</v>
      </c>
      <c r="R12003" t="str">
        <f>"FARMÁCIA INDIANA LJ 06 (10006)"</f>
        <v>FARMÁCIA INDIANA LJ 06 (10006)</v>
      </c>
      <c r="S12003" t="s">
        <v>77</v>
      </c>
      <c r="T12003">
        <v>21422</v>
      </c>
      <c r="U12003">
        <v>25195</v>
      </c>
      <c r="V12003" t="s">
        <v>77</v>
      </c>
    </row>
    <row r="12004" spans="1:22">
      <c r="A12004" t="str">
        <f t="shared" si="2323"/>
        <v>21/11/2025</v>
      </c>
      <c r="B12004" t="str">
        <f t="shared" si="2322"/>
        <v>SAÍDA</v>
      </c>
      <c r="C12004" t="str">
        <f t="shared" si="2324"/>
        <v>PIX</v>
      </c>
      <c r="D12004" t="str">
        <f>"25196"</f>
        <v>25196</v>
      </c>
      <c r="E12004" t="str">
        <f t="shared" si="2326"/>
        <v>1</v>
      </c>
      <c r="F12004" t="str">
        <f t="shared" si="2321"/>
        <v>COM</v>
      </c>
      <c r="G12004" t="str">
        <f>"WEMERSON FELIPE LOPES (187)"</f>
        <v>WEMERSON FELIPE LOPES (187)</v>
      </c>
      <c r="H12004" t="str">
        <f>"Serv.Prest. 03/11/2025 a 09/11/2025 - PIX: CELULAR - CHAVE: (33) 98806-5772"</f>
        <v>Serv.Prest. 03/11/2025 a 09/11/2025 - PIX: CELULAR - CHAVE: (33) 98806-5772</v>
      </c>
      <c r="I12004" t="str">
        <f t="shared" si="2325"/>
        <v>20/11/2025</v>
      </c>
      <c r="J12004" t="str">
        <f t="shared" si="2327"/>
        <v>11/11/2025</v>
      </c>
      <c r="K12004" t="str">
        <f>("21/11/2025")</f>
        <v>21/11/2025</v>
      </c>
      <c r="L12004">
        <v>1080</v>
      </c>
      <c r="M12004">
        <v>1080</v>
      </c>
      <c r="N12004">
        <v>109</v>
      </c>
      <c r="O12004" t="str">
        <f>"PAGAMENTO DE ENTREGADORES"</f>
        <v>PAGAMENTO DE ENTREGADORES</v>
      </c>
      <c r="P12004">
        <v>1080</v>
      </c>
      <c r="S12004" t="str">
        <f>"BANCO C6 (149)"</f>
        <v>BANCO C6 (149)</v>
      </c>
      <c r="T12004">
        <v>21423</v>
      </c>
      <c r="U12004">
        <v>25196</v>
      </c>
      <c r="V12004" t="s">
        <v>77</v>
      </c>
    </row>
    <row r="12005" spans="1:22">
      <c r="A12005" t="str">
        <f t="shared" si="2323"/>
        <v>21/11/2025</v>
      </c>
      <c r="B12005" t="str">
        <f t="shared" si="2322"/>
        <v>SAÍDA</v>
      </c>
      <c r="C12005" t="str">
        <f t="shared" si="2324"/>
        <v>PIX</v>
      </c>
      <c r="D12005" t="str">
        <f>"25196"</f>
        <v>25196</v>
      </c>
      <c r="E12005" t="str">
        <f t="shared" si="2326"/>
        <v>1</v>
      </c>
      <c r="F12005" t="str">
        <f t="shared" si="2321"/>
        <v>COM</v>
      </c>
      <c r="G12005" t="str">
        <f>"WEMERSON FELIPE LOPES (187)"</f>
        <v>WEMERSON FELIPE LOPES (187)</v>
      </c>
      <c r="H12005" t="s">
        <v>3237</v>
      </c>
      <c r="I12005" t="str">
        <f t="shared" si="2325"/>
        <v>20/11/2025</v>
      </c>
      <c r="J12005" t="str">
        <f t="shared" si="2327"/>
        <v>11/11/2025</v>
      </c>
      <c r="K12005">
        <v>45982</v>
      </c>
      <c r="N12005">
        <v>109</v>
      </c>
      <c r="O12005" t="s">
        <v>24</v>
      </c>
      <c r="Q12005">
        <v>1080</v>
      </c>
      <c r="R12005" t="str">
        <f>"FARMÁCIA INDIANA LJ 06 (10006)"</f>
        <v>FARMÁCIA INDIANA LJ 06 (10006)</v>
      </c>
      <c r="S12005" t="s">
        <v>77</v>
      </c>
      <c r="T12005">
        <v>21423</v>
      </c>
      <c r="U12005">
        <v>25196</v>
      </c>
      <c r="V12005" t="s">
        <v>77</v>
      </c>
    </row>
    <row r="12006" spans="1:22">
      <c r="A12006" t="str">
        <f t="shared" si="2323"/>
        <v>21/11/2025</v>
      </c>
      <c r="B12006" t="str">
        <f t="shared" si="2322"/>
        <v>SAÍDA</v>
      </c>
      <c r="C12006" t="str">
        <f t="shared" si="2324"/>
        <v>PIX</v>
      </c>
      <c r="D12006" t="str">
        <f>"25197"</f>
        <v>25197</v>
      </c>
      <c r="E12006" t="str">
        <f t="shared" si="2326"/>
        <v>1</v>
      </c>
      <c r="F12006" t="str">
        <f t="shared" si="2321"/>
        <v>COM</v>
      </c>
      <c r="G12006" t="str">
        <f>"WEMERSON MOREIRA PESSOA (75)"</f>
        <v>WEMERSON MOREIRA PESSOA (75)</v>
      </c>
      <c r="H12006" t="str">
        <f>"Serv.Prest. 03/11/2025 a 09/11/2025 - PIX: CELULAR - CHAVE: (33) 99996-3668"</f>
        <v>Serv.Prest. 03/11/2025 a 09/11/2025 - PIX: CELULAR - CHAVE: (33) 99996-3668</v>
      </c>
      <c r="I12006" t="str">
        <f t="shared" si="2325"/>
        <v>20/11/2025</v>
      </c>
      <c r="J12006" t="str">
        <f t="shared" si="2327"/>
        <v>11/11/2025</v>
      </c>
      <c r="K12006" t="str">
        <f>("21/11/2025")</f>
        <v>21/11/2025</v>
      </c>
      <c r="L12006">
        <v>786</v>
      </c>
      <c r="M12006">
        <v>786</v>
      </c>
      <c r="N12006">
        <v>109</v>
      </c>
      <c r="O12006" t="str">
        <f>"PAGAMENTO DE ENTREGADORES"</f>
        <v>PAGAMENTO DE ENTREGADORES</v>
      </c>
      <c r="P12006">
        <v>786</v>
      </c>
      <c r="S12006" t="str">
        <f>"BANCO C6 (149)"</f>
        <v>BANCO C6 (149)</v>
      </c>
      <c r="T12006">
        <v>21424</v>
      </c>
      <c r="U12006">
        <v>25197</v>
      </c>
      <c r="V12006" t="s">
        <v>77</v>
      </c>
    </row>
    <row r="12007" spans="1:22">
      <c r="A12007" t="str">
        <f t="shared" si="2323"/>
        <v>21/11/2025</v>
      </c>
      <c r="B12007" t="str">
        <f t="shared" si="2322"/>
        <v>SAÍDA</v>
      </c>
      <c r="C12007" t="str">
        <f t="shared" si="2324"/>
        <v>PIX</v>
      </c>
      <c r="D12007" t="str">
        <f>"25197"</f>
        <v>25197</v>
      </c>
      <c r="E12007" t="str">
        <f t="shared" si="2326"/>
        <v>1</v>
      </c>
      <c r="F12007" t="str">
        <f t="shared" si="2321"/>
        <v>COM</v>
      </c>
      <c r="G12007" t="str">
        <f>"WEMERSON MOREIRA PESSOA (75)"</f>
        <v>WEMERSON MOREIRA PESSOA (75)</v>
      </c>
      <c r="H12007" t="s">
        <v>3238</v>
      </c>
      <c r="I12007" t="str">
        <f t="shared" si="2325"/>
        <v>20/11/2025</v>
      </c>
      <c r="J12007" t="str">
        <f t="shared" si="2327"/>
        <v>11/11/2025</v>
      </c>
      <c r="K12007">
        <v>45982</v>
      </c>
      <c r="N12007">
        <v>109</v>
      </c>
      <c r="O12007" t="s">
        <v>24</v>
      </c>
      <c r="Q12007">
        <v>786</v>
      </c>
      <c r="R12007" t="str">
        <f>"FARMÁCIA INDIANA LJ 07 (10007)"</f>
        <v>FARMÁCIA INDIANA LJ 07 (10007)</v>
      </c>
      <c r="S12007" t="s">
        <v>77</v>
      </c>
      <c r="T12007">
        <v>21424</v>
      </c>
      <c r="U12007">
        <v>25197</v>
      </c>
      <c r="V12007" t="s">
        <v>77</v>
      </c>
    </row>
    <row r="12008" spans="1:22">
      <c r="A12008" t="str">
        <f t="shared" si="2323"/>
        <v>21/11/2025</v>
      </c>
      <c r="B12008" t="str">
        <f t="shared" si="2322"/>
        <v>SAÍDA</v>
      </c>
      <c r="C12008" t="str">
        <f t="shared" si="2324"/>
        <v>PIX</v>
      </c>
      <c r="D12008" t="str">
        <f>"25198"</f>
        <v>25198</v>
      </c>
      <c r="E12008" t="str">
        <f t="shared" si="2326"/>
        <v>1</v>
      </c>
      <c r="F12008" t="str">
        <f t="shared" si="2321"/>
        <v>COM</v>
      </c>
      <c r="G12008" t="str">
        <f>"WENDEL LIMA DE SOUZA (112)"</f>
        <v>WENDEL LIMA DE SOUZA (112)</v>
      </c>
      <c r="H12008" t="str">
        <f>"Serv.Prest. 03/11/2025 a 09/11/2025 - PIX: CPF - CHAVE: 012.906.122-00"</f>
        <v>Serv.Prest. 03/11/2025 a 09/11/2025 - PIX: CPF - CHAVE: 012.906.122-00</v>
      </c>
      <c r="I12008" t="str">
        <f t="shared" si="2325"/>
        <v>20/11/2025</v>
      </c>
      <c r="J12008" t="str">
        <f t="shared" si="2327"/>
        <v>11/11/2025</v>
      </c>
      <c r="K12008" t="str">
        <f>("21/11/2025")</f>
        <v>21/11/2025</v>
      </c>
      <c r="L12008">
        <v>1458</v>
      </c>
      <c r="M12008">
        <v>1458</v>
      </c>
      <c r="N12008">
        <v>109</v>
      </c>
      <c r="O12008" t="str">
        <f>"PAGAMENTO DE ENTREGADORES"</f>
        <v>PAGAMENTO DE ENTREGADORES</v>
      </c>
      <c r="P12008">
        <v>1458</v>
      </c>
      <c r="S12008" t="str">
        <f>"BANCO C6 (149)"</f>
        <v>BANCO C6 (149)</v>
      </c>
      <c r="T12008">
        <v>21425</v>
      </c>
      <c r="U12008">
        <v>25198</v>
      </c>
      <c r="V12008" t="s">
        <v>77</v>
      </c>
    </row>
    <row r="12009" spans="1:22">
      <c r="A12009" t="str">
        <f t="shared" si="2323"/>
        <v>21/11/2025</v>
      </c>
      <c r="B12009" t="str">
        <f t="shared" si="2322"/>
        <v>SAÍDA</v>
      </c>
      <c r="C12009" t="str">
        <f t="shared" si="2324"/>
        <v>PIX</v>
      </c>
      <c r="D12009" t="str">
        <f>"25198"</f>
        <v>25198</v>
      </c>
      <c r="E12009" t="str">
        <f t="shared" si="2326"/>
        <v>1</v>
      </c>
      <c r="F12009" t="str">
        <f t="shared" si="2321"/>
        <v>COM</v>
      </c>
      <c r="G12009" t="str">
        <f>"WENDEL LIMA DE SOUZA (112)"</f>
        <v>WENDEL LIMA DE SOUZA (112)</v>
      </c>
      <c r="H12009" t="s">
        <v>3239</v>
      </c>
      <c r="I12009" t="str">
        <f t="shared" si="2325"/>
        <v>20/11/2025</v>
      </c>
      <c r="J12009" t="str">
        <f t="shared" si="2327"/>
        <v>11/11/2025</v>
      </c>
      <c r="K12009">
        <v>45982</v>
      </c>
      <c r="N12009">
        <v>109</v>
      </c>
      <c r="O12009" t="s">
        <v>24</v>
      </c>
      <c r="Q12009">
        <v>1458</v>
      </c>
      <c r="R12009" t="str">
        <f>"FARMÁCIA INDIANA LJ 11 (10008)"</f>
        <v>FARMÁCIA INDIANA LJ 11 (10008)</v>
      </c>
      <c r="S12009" t="s">
        <v>77</v>
      </c>
      <c r="T12009">
        <v>21425</v>
      </c>
      <c r="U12009">
        <v>25198</v>
      </c>
      <c r="V12009" t="s">
        <v>77</v>
      </c>
    </row>
    <row r="12010" spans="1:22">
      <c r="A12010" t="str">
        <f t="shared" si="2323"/>
        <v>21/11/2025</v>
      </c>
      <c r="B12010" t="str">
        <f t="shared" si="2322"/>
        <v>SAÍDA</v>
      </c>
      <c r="C12010" t="str">
        <f t="shared" si="2324"/>
        <v>PIX</v>
      </c>
      <c r="D12010" t="str">
        <f>"25199"</f>
        <v>25199</v>
      </c>
      <c r="E12010" t="str">
        <f t="shared" si="2326"/>
        <v>1</v>
      </c>
      <c r="F12010" t="str">
        <f t="shared" si="2321"/>
        <v>COM</v>
      </c>
      <c r="G12010" t="str">
        <f>"WILIAN ROSA VIEIRA (488)"</f>
        <v>WILIAN ROSA VIEIRA (488)</v>
      </c>
      <c r="H12010" t="str">
        <f>"Serv.Prest. 03/11/2025 a 09/11/2025 - PIX: E-MAIL - CHAVE: wilianvieirawrv3578@gmail.com"</f>
        <v>Serv.Prest. 03/11/2025 a 09/11/2025 - PIX: E-MAIL - CHAVE: wilianvieirawrv3578@gmail.com</v>
      </c>
      <c r="I12010" t="str">
        <f t="shared" si="2325"/>
        <v>20/11/2025</v>
      </c>
      <c r="J12010" t="str">
        <f t="shared" si="2327"/>
        <v>11/11/2025</v>
      </c>
      <c r="K12010" t="str">
        <f>("21/11/2025")</f>
        <v>21/11/2025</v>
      </c>
      <c r="L12010">
        <v>978</v>
      </c>
      <c r="M12010">
        <v>978</v>
      </c>
      <c r="N12010">
        <v>109</v>
      </c>
      <c r="O12010" t="str">
        <f>"PAGAMENTO DE ENTREGADORES"</f>
        <v>PAGAMENTO DE ENTREGADORES</v>
      </c>
      <c r="P12010">
        <v>978</v>
      </c>
      <c r="S12010" t="str">
        <f>"BANCO C6 (149)"</f>
        <v>BANCO C6 (149)</v>
      </c>
      <c r="T12010">
        <v>21426</v>
      </c>
      <c r="U12010">
        <v>25199</v>
      </c>
      <c r="V12010" t="s">
        <v>77</v>
      </c>
    </row>
    <row r="12011" spans="1:22">
      <c r="A12011" t="str">
        <f t="shared" si="2323"/>
        <v>21/11/2025</v>
      </c>
      <c r="B12011" t="str">
        <f t="shared" si="2322"/>
        <v>SAÍDA</v>
      </c>
      <c r="C12011" t="str">
        <f t="shared" si="2324"/>
        <v>PIX</v>
      </c>
      <c r="D12011" t="str">
        <f>"25199"</f>
        <v>25199</v>
      </c>
      <c r="E12011" t="str">
        <f t="shared" si="2326"/>
        <v>1</v>
      </c>
      <c r="F12011" t="str">
        <f t="shared" si="2321"/>
        <v>COM</v>
      </c>
      <c r="G12011" t="str">
        <f>"WILIAN ROSA VIEIRA (488)"</f>
        <v>WILIAN ROSA VIEIRA (488)</v>
      </c>
      <c r="H12011" t="s">
        <v>3240</v>
      </c>
      <c r="I12011" t="str">
        <f t="shared" si="2325"/>
        <v>20/11/2025</v>
      </c>
      <c r="J12011" t="str">
        <f t="shared" si="2327"/>
        <v>11/11/2025</v>
      </c>
      <c r="K12011">
        <v>45982</v>
      </c>
      <c r="N12011">
        <v>109</v>
      </c>
      <c r="O12011" t="s">
        <v>24</v>
      </c>
      <c r="Q12011">
        <v>594.03</v>
      </c>
      <c r="R12011" t="str">
        <f>"FARMÁCIA INDIANA LJ 103 (10044)"</f>
        <v>FARMÁCIA INDIANA LJ 103 (10044)</v>
      </c>
      <c r="S12011" t="s">
        <v>77</v>
      </c>
      <c r="T12011">
        <v>21426</v>
      </c>
      <c r="U12011">
        <v>25199</v>
      </c>
      <c r="V12011" t="s">
        <v>77</v>
      </c>
    </row>
    <row r="12012" spans="1:22">
      <c r="A12012" t="str">
        <f t="shared" si="2323"/>
        <v>21/11/2025</v>
      </c>
      <c r="B12012" t="str">
        <f t="shared" si="2322"/>
        <v>SAÍDA</v>
      </c>
      <c r="C12012" t="str">
        <f t="shared" si="2324"/>
        <v>PIX</v>
      </c>
      <c r="D12012" t="str">
        <f>"25199"</f>
        <v>25199</v>
      </c>
      <c r="E12012" t="str">
        <f t="shared" si="2326"/>
        <v>1</v>
      </c>
      <c r="F12012" t="str">
        <f t="shared" si="2321"/>
        <v>COM</v>
      </c>
      <c r="G12012" t="str">
        <f>"WILIAN ROSA VIEIRA (488)"</f>
        <v>WILIAN ROSA VIEIRA (488)</v>
      </c>
      <c r="H12012" t="s">
        <v>3240</v>
      </c>
      <c r="I12012" t="str">
        <f t="shared" si="2325"/>
        <v>20/11/2025</v>
      </c>
      <c r="J12012" t="str">
        <f t="shared" si="2327"/>
        <v>11/11/2025</v>
      </c>
      <c r="K12012">
        <v>45982</v>
      </c>
      <c r="N12012">
        <v>109</v>
      </c>
      <c r="O12012" t="s">
        <v>24</v>
      </c>
      <c r="Q12012">
        <v>132.03</v>
      </c>
      <c r="R12012" t="str">
        <f>"FARMÁCIA INDIANA LJ 140 (10064)"</f>
        <v>FARMÁCIA INDIANA LJ 140 (10064)</v>
      </c>
      <c r="S12012" t="s">
        <v>77</v>
      </c>
      <c r="T12012">
        <v>21426</v>
      </c>
      <c r="U12012">
        <v>25199</v>
      </c>
      <c r="V12012" t="s">
        <v>77</v>
      </c>
    </row>
    <row r="12013" spans="1:22">
      <c r="A12013" t="str">
        <f t="shared" si="2323"/>
        <v>21/11/2025</v>
      </c>
      <c r="B12013" t="str">
        <f t="shared" si="2322"/>
        <v>SAÍDA</v>
      </c>
      <c r="C12013" t="str">
        <f t="shared" si="2324"/>
        <v>PIX</v>
      </c>
      <c r="D12013" t="str">
        <f>"25199"</f>
        <v>25199</v>
      </c>
      <c r="E12013" t="str">
        <f t="shared" si="2326"/>
        <v>1</v>
      </c>
      <c r="F12013" t="str">
        <f t="shared" si="2321"/>
        <v>COM</v>
      </c>
      <c r="G12013" t="str">
        <f>"WILIAN ROSA VIEIRA (488)"</f>
        <v>WILIAN ROSA VIEIRA (488)</v>
      </c>
      <c r="H12013" t="s">
        <v>3240</v>
      </c>
      <c r="I12013" t="str">
        <f t="shared" si="2325"/>
        <v>20/11/2025</v>
      </c>
      <c r="J12013" t="str">
        <f t="shared" si="2327"/>
        <v>11/11/2025</v>
      </c>
      <c r="K12013">
        <v>45982</v>
      </c>
      <c r="N12013">
        <v>109</v>
      </c>
      <c r="O12013" t="s">
        <v>24</v>
      </c>
      <c r="Q12013">
        <v>41.96</v>
      </c>
      <c r="R12013" t="str">
        <f>"FARMÁCIA INDIANA LJ 141 (10065)"</f>
        <v>FARMÁCIA INDIANA LJ 141 (10065)</v>
      </c>
      <c r="S12013" t="s">
        <v>77</v>
      </c>
      <c r="T12013">
        <v>21426</v>
      </c>
      <c r="U12013">
        <v>25199</v>
      </c>
      <c r="V12013" t="s">
        <v>77</v>
      </c>
    </row>
    <row r="12014" spans="1:22">
      <c r="A12014" t="str">
        <f t="shared" si="2323"/>
        <v>21/11/2025</v>
      </c>
      <c r="B12014" t="str">
        <f t="shared" si="2322"/>
        <v>SAÍDA</v>
      </c>
      <c r="C12014" t="str">
        <f t="shared" si="2324"/>
        <v>PIX</v>
      </c>
      <c r="D12014" t="str">
        <f>"25199"</f>
        <v>25199</v>
      </c>
      <c r="E12014" t="str">
        <f t="shared" si="2326"/>
        <v>1</v>
      </c>
      <c r="F12014" t="str">
        <f t="shared" si="2321"/>
        <v>COM</v>
      </c>
      <c r="G12014" t="str">
        <f>"WILIAN ROSA VIEIRA (488)"</f>
        <v>WILIAN ROSA VIEIRA (488)</v>
      </c>
      <c r="H12014" t="s">
        <v>3240</v>
      </c>
      <c r="I12014" t="str">
        <f t="shared" si="2325"/>
        <v>20/11/2025</v>
      </c>
      <c r="J12014" t="str">
        <f t="shared" si="2327"/>
        <v>11/11/2025</v>
      </c>
      <c r="K12014">
        <v>45982</v>
      </c>
      <c r="N12014">
        <v>109</v>
      </c>
      <c r="O12014" t="s">
        <v>24</v>
      </c>
      <c r="Q12014">
        <v>209.98</v>
      </c>
      <c r="R12014" t="str">
        <f>"FARMÁCIA INDIANA LJ 154 (10070)"</f>
        <v>FARMÁCIA INDIANA LJ 154 (10070)</v>
      </c>
      <c r="S12014" t="s">
        <v>77</v>
      </c>
      <c r="T12014">
        <v>21426</v>
      </c>
      <c r="U12014">
        <v>25199</v>
      </c>
      <c r="V12014" t="s">
        <v>77</v>
      </c>
    </row>
    <row r="12015" spans="1:22">
      <c r="A12015" t="str">
        <f t="shared" si="2323"/>
        <v>21/11/2025</v>
      </c>
      <c r="B12015" t="str">
        <f t="shared" si="2322"/>
        <v>SAÍDA</v>
      </c>
      <c r="C12015" t="str">
        <f t="shared" si="2324"/>
        <v>PIX</v>
      </c>
      <c r="D12015" t="str">
        <f>"25201"</f>
        <v>25201</v>
      </c>
      <c r="E12015" t="str">
        <f t="shared" si="2326"/>
        <v>1</v>
      </c>
      <c r="F12015" t="str">
        <f t="shared" si="2321"/>
        <v>COM</v>
      </c>
      <c r="G12015" t="str">
        <f>"YAN EVERTON RODRIGUES DE LIMA (875)"</f>
        <v>YAN EVERTON RODRIGUES DE LIMA (875)</v>
      </c>
      <c r="H12015" t="str">
        <f>"Serv.Prest. 03/11/2025 a 09/11/2025 - PIX: CELULAR - CHAVE: (33) 99859-8751"</f>
        <v>Serv.Prest. 03/11/2025 a 09/11/2025 - PIX: CELULAR - CHAVE: (33) 99859-8751</v>
      </c>
      <c r="I12015" t="str">
        <f t="shared" si="2325"/>
        <v>20/11/2025</v>
      </c>
      <c r="J12015" t="str">
        <f t="shared" si="2327"/>
        <v>11/11/2025</v>
      </c>
      <c r="K12015" t="str">
        <f>("21/11/2025")</f>
        <v>21/11/2025</v>
      </c>
      <c r="L12015">
        <v>1080</v>
      </c>
      <c r="M12015">
        <v>1080</v>
      </c>
      <c r="N12015">
        <v>109</v>
      </c>
      <c r="O12015" t="str">
        <f>"PAGAMENTO DE ENTREGADORES"</f>
        <v>PAGAMENTO DE ENTREGADORES</v>
      </c>
      <c r="P12015">
        <v>1080</v>
      </c>
      <c r="S12015" t="str">
        <f>"BANCO C6 (149)"</f>
        <v>BANCO C6 (149)</v>
      </c>
      <c r="T12015">
        <v>21427</v>
      </c>
      <c r="U12015">
        <v>25201</v>
      </c>
      <c r="V12015" t="s">
        <v>77</v>
      </c>
    </row>
    <row r="12016" spans="1:22">
      <c r="A12016" t="str">
        <f t="shared" si="2323"/>
        <v>21/11/2025</v>
      </c>
      <c r="B12016" t="str">
        <f t="shared" si="2322"/>
        <v>SAÍDA</v>
      </c>
      <c r="C12016" t="str">
        <f t="shared" si="2324"/>
        <v>PIX</v>
      </c>
      <c r="D12016" t="str">
        <f>"25201"</f>
        <v>25201</v>
      </c>
      <c r="E12016" t="str">
        <f t="shared" si="2326"/>
        <v>1</v>
      </c>
      <c r="F12016" t="str">
        <f t="shared" si="2321"/>
        <v>COM</v>
      </c>
      <c r="G12016" t="str">
        <f>"YAN EVERTON RODRIGUES DE LIMA (875)"</f>
        <v>YAN EVERTON RODRIGUES DE LIMA (875)</v>
      </c>
      <c r="H12016" t="s">
        <v>3241</v>
      </c>
      <c r="I12016" t="str">
        <f t="shared" si="2325"/>
        <v>20/11/2025</v>
      </c>
      <c r="J12016" t="str">
        <f t="shared" si="2327"/>
        <v>11/11/2025</v>
      </c>
      <c r="K12016">
        <v>45982</v>
      </c>
      <c r="N12016">
        <v>109</v>
      </c>
      <c r="O12016" t="s">
        <v>24</v>
      </c>
      <c r="Q12016">
        <v>1080</v>
      </c>
      <c r="R12016" t="str">
        <f>"FARMÁCIA INDIANA LJ 06 (10006)"</f>
        <v>FARMÁCIA INDIANA LJ 06 (10006)</v>
      </c>
      <c r="S12016" t="s">
        <v>77</v>
      </c>
      <c r="T12016">
        <v>21427</v>
      </c>
      <c r="U12016">
        <v>25201</v>
      </c>
      <c r="V12016" t="s">
        <v>77</v>
      </c>
    </row>
    <row r="12017" spans="1:22">
      <c r="A12017" t="str">
        <f t="shared" si="2323"/>
        <v>21/11/2025</v>
      </c>
      <c r="B12017" t="str">
        <f t="shared" si="2322"/>
        <v>SAÍDA</v>
      </c>
      <c r="C12017" t="str">
        <f t="shared" si="2324"/>
        <v>PIX</v>
      </c>
      <c r="D12017" t="str">
        <f>"25203"</f>
        <v>25203</v>
      </c>
      <c r="E12017" t="str">
        <f t="shared" si="2326"/>
        <v>1</v>
      </c>
      <c r="F12017" t="str">
        <f t="shared" si="2321"/>
        <v>COM</v>
      </c>
      <c r="G12017" t="str">
        <f>"CARLOS ALBERTO DE JESUS SANTOS (110)"</f>
        <v>CARLOS ALBERTO DE JESUS SANTOS (110)</v>
      </c>
      <c r="H12017" t="str">
        <f>"Serv.Prest. 03/11/2025 a 09/11/2025 - PIX: CPF - CHAVE: 036.875.515-04"</f>
        <v>Serv.Prest. 03/11/2025 a 09/11/2025 - PIX: CPF - CHAVE: 036.875.515-04</v>
      </c>
      <c r="I12017" t="str">
        <f t="shared" si="2325"/>
        <v>20/11/2025</v>
      </c>
      <c r="J12017" t="str">
        <f t="shared" si="2327"/>
        <v>11/11/2025</v>
      </c>
      <c r="K12017" t="str">
        <f>("21/11/2025")</f>
        <v>21/11/2025</v>
      </c>
      <c r="L12017">
        <v>654</v>
      </c>
      <c r="M12017">
        <v>654</v>
      </c>
      <c r="N12017">
        <v>109</v>
      </c>
      <c r="O12017" t="str">
        <f>"PAGAMENTO DE ENTREGADORES"</f>
        <v>PAGAMENTO DE ENTREGADORES</v>
      </c>
      <c r="P12017">
        <v>654</v>
      </c>
      <c r="S12017" t="str">
        <f>"BANCO C6 (149)"</f>
        <v>BANCO C6 (149)</v>
      </c>
      <c r="T12017">
        <v>21428</v>
      </c>
      <c r="U12017">
        <v>25203</v>
      </c>
      <c r="V12017" t="s">
        <v>77</v>
      </c>
    </row>
    <row r="12018" spans="1:22">
      <c r="A12018" t="str">
        <f t="shared" si="2323"/>
        <v>21/11/2025</v>
      </c>
      <c r="B12018" t="str">
        <f t="shared" si="2322"/>
        <v>SAÍDA</v>
      </c>
      <c r="C12018" t="str">
        <f t="shared" si="2324"/>
        <v>PIX</v>
      </c>
      <c r="D12018" t="str">
        <f>"25203"</f>
        <v>25203</v>
      </c>
      <c r="E12018" t="str">
        <f t="shared" si="2326"/>
        <v>1</v>
      </c>
      <c r="F12018" t="str">
        <f t="shared" si="2321"/>
        <v>COM</v>
      </c>
      <c r="G12018" t="str">
        <f>"CARLOS ALBERTO DE JESUS SANTOS (110)"</f>
        <v>CARLOS ALBERTO DE JESUS SANTOS (110)</v>
      </c>
      <c r="H12018" t="s">
        <v>3242</v>
      </c>
      <c r="I12018" t="str">
        <f t="shared" si="2325"/>
        <v>20/11/2025</v>
      </c>
      <c r="J12018" t="str">
        <f t="shared" si="2327"/>
        <v>11/11/2025</v>
      </c>
      <c r="K12018">
        <v>45982</v>
      </c>
      <c r="N12018">
        <v>109</v>
      </c>
      <c r="O12018" t="s">
        <v>24</v>
      </c>
      <c r="Q12018">
        <v>137.66999999999999</v>
      </c>
      <c r="R12018" t="str">
        <f>"FARMÁCIA INDIANA LJ 65 (10030)"</f>
        <v>FARMÁCIA INDIANA LJ 65 (10030)</v>
      </c>
      <c r="S12018" t="s">
        <v>77</v>
      </c>
      <c r="T12018">
        <v>21428</v>
      </c>
      <c r="U12018">
        <v>25203</v>
      </c>
      <c r="V12018" t="s">
        <v>77</v>
      </c>
    </row>
    <row r="12019" spans="1:22">
      <c r="A12019" t="str">
        <f t="shared" si="2323"/>
        <v>21/11/2025</v>
      </c>
      <c r="B12019" t="str">
        <f t="shared" si="2322"/>
        <v>SAÍDA</v>
      </c>
      <c r="C12019" t="str">
        <f t="shared" si="2324"/>
        <v>PIX</v>
      </c>
      <c r="D12019" t="str">
        <f>"25203"</f>
        <v>25203</v>
      </c>
      <c r="E12019" t="str">
        <f t="shared" si="2326"/>
        <v>1</v>
      </c>
      <c r="F12019" t="str">
        <f t="shared" si="2321"/>
        <v>COM</v>
      </c>
      <c r="G12019" t="str">
        <f>"CARLOS ALBERTO DE JESUS SANTOS (110)"</f>
        <v>CARLOS ALBERTO DE JESUS SANTOS (110)</v>
      </c>
      <c r="H12019" t="s">
        <v>3242</v>
      </c>
      <c r="I12019" t="str">
        <f t="shared" si="2325"/>
        <v>20/11/2025</v>
      </c>
      <c r="J12019" t="str">
        <f t="shared" si="2327"/>
        <v>11/11/2025</v>
      </c>
      <c r="K12019">
        <v>45982</v>
      </c>
      <c r="N12019">
        <v>109</v>
      </c>
      <c r="O12019" t="s">
        <v>24</v>
      </c>
      <c r="Q12019">
        <v>516.33000000000004</v>
      </c>
      <c r="R12019" t="str">
        <f>"FARMÁCIA INDIANA LJ 173 (10075)"</f>
        <v>FARMÁCIA INDIANA LJ 173 (10075)</v>
      </c>
      <c r="S12019" t="s">
        <v>77</v>
      </c>
      <c r="T12019">
        <v>21428</v>
      </c>
      <c r="U12019">
        <v>25203</v>
      </c>
      <c r="V12019" t="s">
        <v>77</v>
      </c>
    </row>
    <row r="12020" spans="1:22">
      <c r="A12020" t="str">
        <f t="shared" si="2323"/>
        <v>21/11/2025</v>
      </c>
      <c r="B12020" t="str">
        <f t="shared" si="2322"/>
        <v>SAÍDA</v>
      </c>
      <c r="C12020" t="str">
        <f t="shared" si="2324"/>
        <v>PIX</v>
      </c>
      <c r="D12020" t="str">
        <f>"25205"</f>
        <v>25205</v>
      </c>
      <c r="E12020" t="str">
        <f t="shared" si="2326"/>
        <v>1</v>
      </c>
      <c r="F12020" t="str">
        <f t="shared" si="2321"/>
        <v>COM</v>
      </c>
      <c r="G12020" t="str">
        <f>"DIOCLECIO SANDES JOTA (135)"</f>
        <v>DIOCLECIO SANDES JOTA (135)</v>
      </c>
      <c r="H12020" t="str">
        <f>"Serv.Prest. 03/11/2025 a 09/11/2025 - PIX: CELULAR - CHAVE: (73) 99966-7211"</f>
        <v>Serv.Prest. 03/11/2025 a 09/11/2025 - PIX: CELULAR - CHAVE: (73) 99966-7211</v>
      </c>
      <c r="I12020" t="str">
        <f t="shared" si="2325"/>
        <v>20/11/2025</v>
      </c>
      <c r="J12020" t="str">
        <f t="shared" si="2327"/>
        <v>11/11/2025</v>
      </c>
      <c r="K12020" t="str">
        <f>("21/11/2025")</f>
        <v>21/11/2025</v>
      </c>
      <c r="L12020">
        <v>876</v>
      </c>
      <c r="M12020">
        <v>876</v>
      </c>
      <c r="N12020">
        <v>109</v>
      </c>
      <c r="O12020" t="str">
        <f>"PAGAMENTO DE ENTREGADORES"</f>
        <v>PAGAMENTO DE ENTREGADORES</v>
      </c>
      <c r="P12020">
        <v>876</v>
      </c>
      <c r="S12020" t="str">
        <f>"BANCO C6 (149)"</f>
        <v>BANCO C6 (149)</v>
      </c>
      <c r="T12020">
        <v>21429</v>
      </c>
      <c r="U12020">
        <v>25205</v>
      </c>
      <c r="V12020" t="s">
        <v>77</v>
      </c>
    </row>
    <row r="12021" spans="1:22">
      <c r="A12021" t="str">
        <f t="shared" si="2323"/>
        <v>21/11/2025</v>
      </c>
      <c r="B12021" t="str">
        <f t="shared" si="2322"/>
        <v>SAÍDA</v>
      </c>
      <c r="C12021" t="str">
        <f t="shared" si="2324"/>
        <v>PIX</v>
      </c>
      <c r="D12021" t="str">
        <f>"25205"</f>
        <v>25205</v>
      </c>
      <c r="E12021" t="str">
        <f t="shared" si="2326"/>
        <v>1</v>
      </c>
      <c r="F12021" t="str">
        <f t="shared" si="2321"/>
        <v>COM</v>
      </c>
      <c r="G12021" t="str">
        <f>"DIOCLECIO SANDES JOTA (135)"</f>
        <v>DIOCLECIO SANDES JOTA (135)</v>
      </c>
      <c r="H12021" t="s">
        <v>3243</v>
      </c>
      <c r="I12021" t="str">
        <f t="shared" si="2325"/>
        <v>20/11/2025</v>
      </c>
      <c r="J12021" t="str">
        <f t="shared" si="2327"/>
        <v>11/11/2025</v>
      </c>
      <c r="K12021">
        <v>45982</v>
      </c>
      <c r="N12021">
        <v>109</v>
      </c>
      <c r="O12021" t="s">
        <v>24</v>
      </c>
      <c r="Q12021">
        <v>876</v>
      </c>
      <c r="R12021" t="str">
        <f>"FARMÁCIA INDIANA LJ 91 (10037)"</f>
        <v>FARMÁCIA INDIANA LJ 91 (10037)</v>
      </c>
      <c r="S12021" t="s">
        <v>77</v>
      </c>
      <c r="T12021">
        <v>21429</v>
      </c>
      <c r="U12021">
        <v>25205</v>
      </c>
      <c r="V12021" t="s">
        <v>77</v>
      </c>
    </row>
    <row r="12022" spans="1:22">
      <c r="A12022" t="str">
        <f t="shared" si="2323"/>
        <v>21/11/2025</v>
      </c>
      <c r="B12022" t="str">
        <f t="shared" si="2322"/>
        <v>SAÍDA</v>
      </c>
      <c r="C12022" t="str">
        <f t="shared" si="2324"/>
        <v>PIX</v>
      </c>
      <c r="D12022" t="str">
        <f>"25206"</f>
        <v>25206</v>
      </c>
      <c r="E12022" t="str">
        <f t="shared" si="2326"/>
        <v>1</v>
      </c>
      <c r="F12022" t="str">
        <f t="shared" si="2321"/>
        <v>COM</v>
      </c>
      <c r="G12022" t="str">
        <f>"EDUARDO SILVA DE JESUS (143)"</f>
        <v>EDUARDO SILVA DE JESUS (143)</v>
      </c>
      <c r="H12022" t="str">
        <f>"Serv.Prest. 03/11/2025 a 09/11/2025 - PIX: CPF - CHAVE: 094.947.395-23"</f>
        <v>Serv.Prest. 03/11/2025 a 09/11/2025 - PIX: CPF - CHAVE: 094.947.395-23</v>
      </c>
      <c r="I12022" t="str">
        <f t="shared" si="2325"/>
        <v>20/11/2025</v>
      </c>
      <c r="J12022" t="str">
        <f t="shared" si="2327"/>
        <v>11/11/2025</v>
      </c>
      <c r="K12022" t="str">
        <f>("21/11/2025")</f>
        <v>21/11/2025</v>
      </c>
      <c r="L12022">
        <v>726</v>
      </c>
      <c r="M12022">
        <v>726</v>
      </c>
      <c r="N12022">
        <v>109</v>
      </c>
      <c r="O12022" t="str">
        <f>"PAGAMENTO DE ENTREGADORES"</f>
        <v>PAGAMENTO DE ENTREGADORES</v>
      </c>
      <c r="P12022">
        <v>726</v>
      </c>
      <c r="S12022" t="str">
        <f>"BANCO C6 (149)"</f>
        <v>BANCO C6 (149)</v>
      </c>
      <c r="T12022">
        <v>21430</v>
      </c>
      <c r="U12022">
        <v>25206</v>
      </c>
      <c r="V12022" t="s">
        <v>77</v>
      </c>
    </row>
    <row r="12023" spans="1:22">
      <c r="A12023" t="str">
        <f t="shared" si="2323"/>
        <v>21/11/2025</v>
      </c>
      <c r="B12023" t="str">
        <f t="shared" si="2322"/>
        <v>SAÍDA</v>
      </c>
      <c r="C12023" t="str">
        <f t="shared" si="2324"/>
        <v>PIX</v>
      </c>
      <c r="D12023" t="str">
        <f>"25206"</f>
        <v>25206</v>
      </c>
      <c r="E12023" t="str">
        <f t="shared" si="2326"/>
        <v>1</v>
      </c>
      <c r="F12023" t="str">
        <f t="shared" si="2321"/>
        <v>COM</v>
      </c>
      <c r="G12023" t="str">
        <f>"EDUARDO SILVA DE JESUS (143)"</f>
        <v>EDUARDO SILVA DE JESUS (143)</v>
      </c>
      <c r="H12023" t="s">
        <v>3244</v>
      </c>
      <c r="I12023" t="str">
        <f t="shared" si="2325"/>
        <v>20/11/2025</v>
      </c>
      <c r="J12023" t="str">
        <f t="shared" si="2327"/>
        <v>11/11/2025</v>
      </c>
      <c r="K12023">
        <v>45982</v>
      </c>
      <c r="N12023">
        <v>109</v>
      </c>
      <c r="O12023" t="s">
        <v>24</v>
      </c>
      <c r="Q12023">
        <v>726</v>
      </c>
      <c r="R12023" t="str">
        <f>"FARMÁCIA INDIANA LJ 91 (10037)"</f>
        <v>FARMÁCIA INDIANA LJ 91 (10037)</v>
      </c>
      <c r="S12023" t="s">
        <v>77</v>
      </c>
      <c r="T12023">
        <v>21430</v>
      </c>
      <c r="U12023">
        <v>25206</v>
      </c>
      <c r="V12023" t="s">
        <v>77</v>
      </c>
    </row>
    <row r="12024" spans="1:22">
      <c r="A12024" t="str">
        <f t="shared" si="2323"/>
        <v>21/11/2025</v>
      </c>
      <c r="B12024" t="str">
        <f t="shared" si="2322"/>
        <v>SAÍDA</v>
      </c>
      <c r="C12024" t="str">
        <f t="shared" si="2324"/>
        <v>PIX</v>
      </c>
      <c r="D12024" t="str">
        <f>"25207"</f>
        <v>25207</v>
      </c>
      <c r="E12024" t="str">
        <f t="shared" si="2326"/>
        <v>1</v>
      </c>
      <c r="F12024" t="str">
        <f t="shared" si="2321"/>
        <v>COM</v>
      </c>
      <c r="G12024" t="str">
        <f>"ERIC DE RAMOS GOMES (606)"</f>
        <v>ERIC DE RAMOS GOMES (606)</v>
      </c>
      <c r="H12024" t="str">
        <f>"Serv.Prest. 03/11/2025 a 09/11/2025 - PIX: E-MAIL - CHAVE: ericgomes508@gmail.com"</f>
        <v>Serv.Prest. 03/11/2025 a 09/11/2025 - PIX: E-MAIL - CHAVE: ericgomes508@gmail.com</v>
      </c>
      <c r="I12024" t="str">
        <f t="shared" si="2325"/>
        <v>20/11/2025</v>
      </c>
      <c r="J12024" t="str">
        <f t="shared" si="2327"/>
        <v>11/11/2025</v>
      </c>
      <c r="K12024" t="str">
        <f>("21/11/2025")</f>
        <v>21/11/2025</v>
      </c>
      <c r="L12024">
        <v>780</v>
      </c>
      <c r="M12024">
        <v>780</v>
      </c>
      <c r="N12024">
        <v>109</v>
      </c>
      <c r="O12024" t="str">
        <f>"PAGAMENTO DE ENTREGADORES"</f>
        <v>PAGAMENTO DE ENTREGADORES</v>
      </c>
      <c r="P12024">
        <v>780</v>
      </c>
      <c r="S12024" t="str">
        <f>"BANCO C6 (149)"</f>
        <v>BANCO C6 (149)</v>
      </c>
      <c r="T12024">
        <v>21431</v>
      </c>
      <c r="U12024">
        <v>25207</v>
      </c>
      <c r="V12024" t="s">
        <v>77</v>
      </c>
    </row>
    <row r="12025" spans="1:22">
      <c r="A12025" t="str">
        <f t="shared" si="2323"/>
        <v>21/11/2025</v>
      </c>
      <c r="B12025" t="str">
        <f t="shared" si="2322"/>
        <v>SAÍDA</v>
      </c>
      <c r="C12025" t="str">
        <f t="shared" si="2324"/>
        <v>PIX</v>
      </c>
      <c r="D12025" t="str">
        <f>"25207"</f>
        <v>25207</v>
      </c>
      <c r="E12025" t="str">
        <f t="shared" si="2326"/>
        <v>1</v>
      </c>
      <c r="F12025" t="str">
        <f t="shared" si="2321"/>
        <v>COM</v>
      </c>
      <c r="G12025" t="str">
        <f>"ERIC DE RAMOS GOMES (606)"</f>
        <v>ERIC DE RAMOS GOMES (606)</v>
      </c>
      <c r="H12025" t="s">
        <v>3245</v>
      </c>
      <c r="I12025" t="str">
        <f t="shared" si="2325"/>
        <v>20/11/2025</v>
      </c>
      <c r="J12025" t="str">
        <f t="shared" si="2327"/>
        <v>11/11/2025</v>
      </c>
      <c r="K12025">
        <v>45982</v>
      </c>
      <c r="N12025">
        <v>109</v>
      </c>
      <c r="O12025" t="s">
        <v>24</v>
      </c>
      <c r="Q12025">
        <v>780</v>
      </c>
      <c r="R12025" t="str">
        <f>"FARMÁCIA INDIANA LJ 91 (10037)"</f>
        <v>FARMÁCIA INDIANA LJ 91 (10037)</v>
      </c>
      <c r="S12025" t="s">
        <v>77</v>
      </c>
      <c r="T12025">
        <v>21431</v>
      </c>
      <c r="U12025">
        <v>25207</v>
      </c>
      <c r="V12025" t="s">
        <v>77</v>
      </c>
    </row>
    <row r="12026" spans="1:22">
      <c r="A12026" t="str">
        <f t="shared" si="2323"/>
        <v>21/11/2025</v>
      </c>
      <c r="B12026" t="str">
        <f t="shared" si="2322"/>
        <v>SAÍDA</v>
      </c>
      <c r="C12026" t="str">
        <f t="shared" si="2324"/>
        <v>PIX</v>
      </c>
      <c r="D12026" t="str">
        <f>"25208"</f>
        <v>25208</v>
      </c>
      <c r="E12026" t="str">
        <f t="shared" si="2326"/>
        <v>1</v>
      </c>
      <c r="F12026" t="str">
        <f t="shared" ref="F12026:F12089" si="2328">"COM"</f>
        <v>COM</v>
      </c>
      <c r="G12026" t="str">
        <f>"GABRIEL SOUZA RIBEIRO (425)"</f>
        <v>GABRIEL SOUZA RIBEIRO (425)</v>
      </c>
      <c r="H12026" t="str">
        <f>"Serv.Prest. 03/11/2025 a 09/11/2025 - PIX: CPF - CHAVE: 087.398.185-51"</f>
        <v>Serv.Prest. 03/11/2025 a 09/11/2025 - PIX: CPF - CHAVE: 087.398.185-51</v>
      </c>
      <c r="I12026" t="str">
        <f t="shared" si="2325"/>
        <v>20/11/2025</v>
      </c>
      <c r="J12026" t="str">
        <f t="shared" si="2327"/>
        <v>11/11/2025</v>
      </c>
      <c r="K12026" t="str">
        <f>("21/11/2025")</f>
        <v>21/11/2025</v>
      </c>
      <c r="L12026">
        <v>654</v>
      </c>
      <c r="M12026">
        <v>654</v>
      </c>
      <c r="N12026">
        <v>109</v>
      </c>
      <c r="O12026" t="str">
        <f>"PAGAMENTO DE ENTREGADORES"</f>
        <v>PAGAMENTO DE ENTREGADORES</v>
      </c>
      <c r="P12026">
        <v>654</v>
      </c>
      <c r="S12026" t="str">
        <f>"BANCO C6 (149)"</f>
        <v>BANCO C6 (149)</v>
      </c>
      <c r="T12026">
        <v>21432</v>
      </c>
      <c r="U12026">
        <v>25208</v>
      </c>
      <c r="V12026" t="s">
        <v>77</v>
      </c>
    </row>
    <row r="12027" spans="1:22">
      <c r="A12027" t="str">
        <f t="shared" si="2323"/>
        <v>21/11/2025</v>
      </c>
      <c r="B12027" t="str">
        <f t="shared" si="2322"/>
        <v>SAÍDA</v>
      </c>
      <c r="C12027" t="str">
        <f t="shared" si="2324"/>
        <v>PIX</v>
      </c>
      <c r="D12027" t="str">
        <f>"25208"</f>
        <v>25208</v>
      </c>
      <c r="E12027" t="str">
        <f t="shared" si="2326"/>
        <v>1</v>
      </c>
      <c r="F12027" t="str">
        <f t="shared" si="2328"/>
        <v>COM</v>
      </c>
      <c r="G12027" t="str">
        <f>"GABRIEL SOUZA RIBEIRO (425)"</f>
        <v>GABRIEL SOUZA RIBEIRO (425)</v>
      </c>
      <c r="H12027" t="s">
        <v>3246</v>
      </c>
      <c r="I12027" t="str">
        <f t="shared" si="2325"/>
        <v>20/11/2025</v>
      </c>
      <c r="J12027" t="str">
        <f t="shared" si="2327"/>
        <v>11/11/2025</v>
      </c>
      <c r="K12027">
        <v>45982</v>
      </c>
      <c r="N12027">
        <v>109</v>
      </c>
      <c r="O12027" t="s">
        <v>24</v>
      </c>
      <c r="Q12027">
        <v>654</v>
      </c>
      <c r="R12027" t="str">
        <f>"FARMÁCIA INDIANA LJ 65 (10030)"</f>
        <v>FARMÁCIA INDIANA LJ 65 (10030)</v>
      </c>
      <c r="S12027" t="s">
        <v>77</v>
      </c>
      <c r="T12027">
        <v>21432</v>
      </c>
      <c r="U12027">
        <v>25208</v>
      </c>
      <c r="V12027" t="s">
        <v>77</v>
      </c>
    </row>
    <row r="12028" spans="1:22">
      <c r="A12028" t="str">
        <f t="shared" si="2323"/>
        <v>21/11/2025</v>
      </c>
      <c r="B12028" t="str">
        <f t="shared" si="2322"/>
        <v>SAÍDA</v>
      </c>
      <c r="C12028" t="str">
        <f t="shared" si="2324"/>
        <v>PIX</v>
      </c>
      <c r="D12028" t="str">
        <f>"25209"</f>
        <v>25209</v>
      </c>
      <c r="E12028" t="str">
        <f t="shared" si="2326"/>
        <v>1</v>
      </c>
      <c r="F12028" t="str">
        <f t="shared" si="2328"/>
        <v>COM</v>
      </c>
      <c r="G12028" t="str">
        <f>"GILBERTO PINHEIRO DA ROCHA (155)"</f>
        <v>GILBERTO PINHEIRO DA ROCHA (155)</v>
      </c>
      <c r="H12028" t="str">
        <f>"Serv.Prest. 03/11/2025 a 09/11/2025 - PIX: CELULAR - CHAVE: (73) 99941-8352"</f>
        <v>Serv.Prest. 03/11/2025 a 09/11/2025 - PIX: CELULAR - CHAVE: (73) 99941-8352</v>
      </c>
      <c r="I12028" t="str">
        <f t="shared" si="2325"/>
        <v>20/11/2025</v>
      </c>
      <c r="J12028" t="str">
        <f t="shared" si="2327"/>
        <v>11/11/2025</v>
      </c>
      <c r="K12028" t="str">
        <f>("21/11/2025")</f>
        <v>21/11/2025</v>
      </c>
      <c r="L12028">
        <v>1024.25</v>
      </c>
      <c r="M12028">
        <v>1024.25</v>
      </c>
      <c r="N12028">
        <v>109</v>
      </c>
      <c r="O12028" t="str">
        <f>"PAGAMENTO DE ENTREGADORES"</f>
        <v>PAGAMENTO DE ENTREGADORES</v>
      </c>
      <c r="P12028">
        <v>1024.25</v>
      </c>
      <c r="S12028" t="str">
        <f>"BANCO C6 (149)"</f>
        <v>BANCO C6 (149)</v>
      </c>
      <c r="T12028">
        <v>21433</v>
      </c>
      <c r="U12028">
        <v>25209</v>
      </c>
      <c r="V12028" t="s">
        <v>77</v>
      </c>
    </row>
    <row r="12029" spans="1:22">
      <c r="A12029" t="str">
        <f t="shared" si="2323"/>
        <v>21/11/2025</v>
      </c>
      <c r="B12029" t="str">
        <f t="shared" si="2322"/>
        <v>SAÍDA</v>
      </c>
      <c r="C12029" t="str">
        <f t="shared" si="2324"/>
        <v>PIX</v>
      </c>
      <c r="D12029" t="str">
        <f>"25209"</f>
        <v>25209</v>
      </c>
      <c r="E12029" t="str">
        <f t="shared" si="2326"/>
        <v>1</v>
      </c>
      <c r="F12029" t="str">
        <f t="shared" si="2328"/>
        <v>COM</v>
      </c>
      <c r="G12029" t="str">
        <f>"GILBERTO PINHEIRO DA ROCHA (155)"</f>
        <v>GILBERTO PINHEIRO DA ROCHA (155)</v>
      </c>
      <c r="H12029" t="s">
        <v>3247</v>
      </c>
      <c r="I12029" t="str">
        <f t="shared" si="2325"/>
        <v>20/11/2025</v>
      </c>
      <c r="J12029" t="str">
        <f t="shared" si="2327"/>
        <v>11/11/2025</v>
      </c>
      <c r="K12029">
        <v>45982</v>
      </c>
      <c r="N12029">
        <v>109</v>
      </c>
      <c r="O12029" t="s">
        <v>24</v>
      </c>
      <c r="Q12029">
        <v>1024.25</v>
      </c>
      <c r="R12029" t="str">
        <f>"FARMÁCIA INDIANA LJ 34 (10014)"</f>
        <v>FARMÁCIA INDIANA LJ 34 (10014)</v>
      </c>
      <c r="S12029" t="s">
        <v>77</v>
      </c>
      <c r="T12029">
        <v>21433</v>
      </c>
      <c r="U12029">
        <v>25209</v>
      </c>
      <c r="V12029" t="s">
        <v>77</v>
      </c>
    </row>
    <row r="12030" spans="1:22">
      <c r="A12030" t="str">
        <f t="shared" si="2323"/>
        <v>21/11/2025</v>
      </c>
      <c r="B12030" t="str">
        <f t="shared" si="2322"/>
        <v>SAÍDA</v>
      </c>
      <c r="C12030" t="str">
        <f t="shared" si="2324"/>
        <v>PIX</v>
      </c>
      <c r="D12030" t="str">
        <f>"25211"</f>
        <v>25211</v>
      </c>
      <c r="E12030" t="str">
        <f t="shared" si="2326"/>
        <v>1</v>
      </c>
      <c r="F12030" t="str">
        <f t="shared" si="2328"/>
        <v>COM</v>
      </c>
      <c r="G12030" t="str">
        <f>"GUSTAVO SILVA LIMA (771)"</f>
        <v>GUSTAVO SILVA LIMA (771)</v>
      </c>
      <c r="H12030" t="str">
        <f>"Serv.Prest. 03/11/2025 a 09/11/2025 - PIX: CELULAR - CHAVE: (73) 98888-3793"</f>
        <v>Serv.Prest. 03/11/2025 a 09/11/2025 - PIX: CELULAR - CHAVE: (73) 98888-3793</v>
      </c>
      <c r="I12030" t="str">
        <f t="shared" si="2325"/>
        <v>20/11/2025</v>
      </c>
      <c r="J12030" t="str">
        <f t="shared" si="2327"/>
        <v>11/11/2025</v>
      </c>
      <c r="K12030" t="str">
        <f>("21/11/2025")</f>
        <v>21/11/2025</v>
      </c>
      <c r="L12030">
        <v>654</v>
      </c>
      <c r="M12030">
        <v>654</v>
      </c>
      <c r="N12030">
        <v>109</v>
      </c>
      <c r="O12030" t="str">
        <f>"PAGAMENTO DE ENTREGADORES"</f>
        <v>PAGAMENTO DE ENTREGADORES</v>
      </c>
      <c r="P12030">
        <v>654</v>
      </c>
      <c r="S12030" t="str">
        <f>"BANCO C6 (149)"</f>
        <v>BANCO C6 (149)</v>
      </c>
      <c r="T12030">
        <v>21434</v>
      </c>
      <c r="U12030">
        <v>25211</v>
      </c>
      <c r="V12030" t="s">
        <v>77</v>
      </c>
    </row>
    <row r="12031" spans="1:22">
      <c r="A12031" t="str">
        <f t="shared" si="2323"/>
        <v>21/11/2025</v>
      </c>
      <c r="B12031" t="str">
        <f t="shared" si="2322"/>
        <v>SAÍDA</v>
      </c>
      <c r="C12031" t="str">
        <f t="shared" si="2324"/>
        <v>PIX</v>
      </c>
      <c r="D12031" t="str">
        <f>"25211"</f>
        <v>25211</v>
      </c>
      <c r="E12031" t="str">
        <f t="shared" si="2326"/>
        <v>1</v>
      </c>
      <c r="F12031" t="str">
        <f t="shared" si="2328"/>
        <v>COM</v>
      </c>
      <c r="G12031" t="str">
        <f>"GUSTAVO SILVA LIMA (771)"</f>
        <v>GUSTAVO SILVA LIMA (771)</v>
      </c>
      <c r="H12031" t="s">
        <v>3248</v>
      </c>
      <c r="I12031" t="str">
        <f t="shared" si="2325"/>
        <v>20/11/2025</v>
      </c>
      <c r="J12031" t="str">
        <f t="shared" si="2327"/>
        <v>11/11/2025</v>
      </c>
      <c r="K12031">
        <v>45982</v>
      </c>
      <c r="N12031">
        <v>109</v>
      </c>
      <c r="O12031" t="s">
        <v>24</v>
      </c>
      <c r="Q12031">
        <v>624.24</v>
      </c>
      <c r="R12031" t="str">
        <f>"FARMÁCIA INDIANA LJ 65 (10030)"</f>
        <v>FARMÁCIA INDIANA LJ 65 (10030)</v>
      </c>
      <c r="S12031" t="s">
        <v>77</v>
      </c>
      <c r="T12031">
        <v>21434</v>
      </c>
      <c r="U12031">
        <v>25211</v>
      </c>
      <c r="V12031" t="s">
        <v>77</v>
      </c>
    </row>
    <row r="12032" spans="1:22">
      <c r="A12032" t="str">
        <f t="shared" si="2323"/>
        <v>21/11/2025</v>
      </c>
      <c r="B12032" t="str">
        <f t="shared" si="2322"/>
        <v>SAÍDA</v>
      </c>
      <c r="C12032" t="str">
        <f t="shared" si="2324"/>
        <v>PIX</v>
      </c>
      <c r="D12032" t="str">
        <f>"25211"</f>
        <v>25211</v>
      </c>
      <c r="E12032" t="str">
        <f t="shared" si="2326"/>
        <v>1</v>
      </c>
      <c r="F12032" t="str">
        <f t="shared" si="2328"/>
        <v>COM</v>
      </c>
      <c r="G12032" t="str">
        <f>"GUSTAVO SILVA LIMA (771)"</f>
        <v>GUSTAVO SILVA LIMA (771)</v>
      </c>
      <c r="H12032" t="s">
        <v>3248</v>
      </c>
      <c r="I12032" t="str">
        <f t="shared" si="2325"/>
        <v>20/11/2025</v>
      </c>
      <c r="J12032" t="str">
        <f t="shared" si="2327"/>
        <v>11/11/2025</v>
      </c>
      <c r="K12032">
        <v>45982</v>
      </c>
      <c r="N12032">
        <v>109</v>
      </c>
      <c r="O12032" t="s">
        <v>24</v>
      </c>
      <c r="Q12032">
        <v>29.76</v>
      </c>
      <c r="R12032" t="str">
        <f>"FARMÁCIA INDIANA LJ 173 (10075)"</f>
        <v>FARMÁCIA INDIANA LJ 173 (10075)</v>
      </c>
      <c r="S12032" t="s">
        <v>77</v>
      </c>
      <c r="T12032">
        <v>21434</v>
      </c>
      <c r="U12032">
        <v>25211</v>
      </c>
      <c r="V12032" t="s">
        <v>77</v>
      </c>
    </row>
    <row r="12033" spans="1:22">
      <c r="A12033" t="str">
        <f t="shared" si="2323"/>
        <v>21/11/2025</v>
      </c>
      <c r="B12033" t="str">
        <f t="shared" si="2322"/>
        <v>SAÍDA</v>
      </c>
      <c r="C12033" t="str">
        <f t="shared" si="2324"/>
        <v>PIX</v>
      </c>
      <c r="D12033" t="str">
        <f>"25212"</f>
        <v>25212</v>
      </c>
      <c r="E12033" t="str">
        <f t="shared" si="2326"/>
        <v>1</v>
      </c>
      <c r="F12033" t="str">
        <f t="shared" si="2328"/>
        <v>COM</v>
      </c>
      <c r="G12033" t="str">
        <f>"JALDENIR MENDES DOS SANTOS (167)"</f>
        <v>JALDENIR MENDES DOS SANTOS (167)</v>
      </c>
      <c r="H12033" t="str">
        <f>"Serv.Prest. 03/11/2025 a 09/11/2025 - PIX: CPF - CHAVE: 439.169.103-53"</f>
        <v>Serv.Prest. 03/11/2025 a 09/11/2025 - PIX: CPF - CHAVE: 439.169.103-53</v>
      </c>
      <c r="I12033" t="str">
        <f t="shared" si="2325"/>
        <v>20/11/2025</v>
      </c>
      <c r="J12033" t="str">
        <f t="shared" si="2327"/>
        <v>11/11/2025</v>
      </c>
      <c r="K12033" t="str">
        <f>("21/11/2025")</f>
        <v>21/11/2025</v>
      </c>
      <c r="L12033">
        <v>926.5</v>
      </c>
      <c r="M12033">
        <v>926.5</v>
      </c>
      <c r="N12033">
        <v>109</v>
      </c>
      <c r="O12033" t="str">
        <f>"PAGAMENTO DE ENTREGADORES"</f>
        <v>PAGAMENTO DE ENTREGADORES</v>
      </c>
      <c r="P12033">
        <v>926.5</v>
      </c>
      <c r="S12033" t="str">
        <f>"BANCO C6 (149)"</f>
        <v>BANCO C6 (149)</v>
      </c>
      <c r="T12033">
        <v>21435</v>
      </c>
      <c r="U12033">
        <v>25212</v>
      </c>
      <c r="V12033" t="s">
        <v>77</v>
      </c>
    </row>
    <row r="12034" spans="1:22">
      <c r="A12034" t="str">
        <f t="shared" si="2323"/>
        <v>21/11/2025</v>
      </c>
      <c r="B12034" t="str">
        <f t="shared" si="2322"/>
        <v>SAÍDA</v>
      </c>
      <c r="C12034" t="str">
        <f t="shared" si="2324"/>
        <v>PIX</v>
      </c>
      <c r="D12034" t="str">
        <f>"25212"</f>
        <v>25212</v>
      </c>
      <c r="E12034" t="str">
        <f t="shared" si="2326"/>
        <v>1</v>
      </c>
      <c r="F12034" t="str">
        <f t="shared" si="2328"/>
        <v>COM</v>
      </c>
      <c r="G12034" t="str">
        <f>"JALDENIR MENDES DOS SANTOS (167)"</f>
        <v>JALDENIR MENDES DOS SANTOS (167)</v>
      </c>
      <c r="H12034" t="s">
        <v>3249</v>
      </c>
      <c r="I12034" t="str">
        <f t="shared" si="2325"/>
        <v>20/11/2025</v>
      </c>
      <c r="J12034" t="str">
        <f t="shared" si="2327"/>
        <v>11/11/2025</v>
      </c>
      <c r="K12034">
        <v>45982</v>
      </c>
      <c r="N12034">
        <v>109</v>
      </c>
      <c r="O12034" t="s">
        <v>24</v>
      </c>
      <c r="Q12034">
        <v>926.5</v>
      </c>
      <c r="R12034" t="str">
        <f>"FARMÁCIA INDIANA LJ 34 (10014)"</f>
        <v>FARMÁCIA INDIANA LJ 34 (10014)</v>
      </c>
      <c r="S12034" t="s">
        <v>77</v>
      </c>
      <c r="T12034">
        <v>21435</v>
      </c>
      <c r="U12034">
        <v>25212</v>
      </c>
      <c r="V12034" t="s">
        <v>77</v>
      </c>
    </row>
    <row r="12035" spans="1:22">
      <c r="A12035" t="str">
        <f t="shared" si="2323"/>
        <v>21/11/2025</v>
      </c>
      <c r="B12035" t="str">
        <f t="shared" si="2322"/>
        <v>SAÍDA</v>
      </c>
      <c r="C12035" t="str">
        <f t="shared" si="2324"/>
        <v>PIX</v>
      </c>
      <c r="D12035" t="str">
        <f>"25214"</f>
        <v>25214</v>
      </c>
      <c r="E12035" t="str">
        <f t="shared" si="2326"/>
        <v>1</v>
      </c>
      <c r="F12035" t="str">
        <f t="shared" si="2328"/>
        <v>COM</v>
      </c>
      <c r="G12035" t="str">
        <f>"JIRLANIA RODRIGUES DOS SANTOS (152)"</f>
        <v>JIRLANIA RODRIGUES DOS SANTOS (152)</v>
      </c>
      <c r="H12035" t="str">
        <f>"Serv.Prest. 03/11/2025 a 09/11/2025 - PIX: CPF - CHAVE: 035.018.455-02"</f>
        <v>Serv.Prest. 03/11/2025 a 09/11/2025 - PIX: CPF - CHAVE: 035.018.455-02</v>
      </c>
      <c r="I12035" t="str">
        <f t="shared" si="2325"/>
        <v>20/11/2025</v>
      </c>
      <c r="J12035" t="str">
        <f t="shared" si="2327"/>
        <v>11/11/2025</v>
      </c>
      <c r="K12035" t="str">
        <f>("21/11/2025")</f>
        <v>21/11/2025</v>
      </c>
      <c r="L12035">
        <v>735.25</v>
      </c>
      <c r="M12035">
        <v>735.25</v>
      </c>
      <c r="N12035">
        <v>109</v>
      </c>
      <c r="O12035" t="str">
        <f>"PAGAMENTO DE ENTREGADORES"</f>
        <v>PAGAMENTO DE ENTREGADORES</v>
      </c>
      <c r="P12035">
        <v>735.25</v>
      </c>
      <c r="S12035" t="str">
        <f>"BANCO C6 (149)"</f>
        <v>BANCO C6 (149)</v>
      </c>
      <c r="T12035">
        <v>21436</v>
      </c>
      <c r="U12035">
        <v>25214</v>
      </c>
      <c r="V12035" t="s">
        <v>77</v>
      </c>
    </row>
    <row r="12036" spans="1:22">
      <c r="A12036" t="str">
        <f t="shared" si="2323"/>
        <v>21/11/2025</v>
      </c>
      <c r="B12036" t="str">
        <f t="shared" si="2322"/>
        <v>SAÍDA</v>
      </c>
      <c r="C12036" t="str">
        <f t="shared" si="2324"/>
        <v>PIX</v>
      </c>
      <c r="D12036" t="str">
        <f>"25214"</f>
        <v>25214</v>
      </c>
      <c r="E12036" t="str">
        <f t="shared" si="2326"/>
        <v>1</v>
      </c>
      <c r="F12036" t="str">
        <f t="shared" si="2328"/>
        <v>COM</v>
      </c>
      <c r="G12036" t="str">
        <f>"JIRLANIA RODRIGUES DOS SANTOS (152)"</f>
        <v>JIRLANIA RODRIGUES DOS SANTOS (152)</v>
      </c>
      <c r="H12036" t="s">
        <v>3250</v>
      </c>
      <c r="I12036" t="str">
        <f t="shared" si="2325"/>
        <v>20/11/2025</v>
      </c>
      <c r="J12036" t="str">
        <f t="shared" si="2327"/>
        <v>11/11/2025</v>
      </c>
      <c r="K12036">
        <v>45982</v>
      </c>
      <c r="N12036">
        <v>109</v>
      </c>
      <c r="O12036" t="s">
        <v>24</v>
      </c>
      <c r="Q12036">
        <v>735.25</v>
      </c>
      <c r="R12036" t="str">
        <f>"FARMÁCIA INDIANA LJ 95 (10039)"</f>
        <v>FARMÁCIA INDIANA LJ 95 (10039)</v>
      </c>
      <c r="S12036" t="s">
        <v>77</v>
      </c>
      <c r="T12036">
        <v>21436</v>
      </c>
      <c r="U12036">
        <v>25214</v>
      </c>
      <c r="V12036" t="s">
        <v>77</v>
      </c>
    </row>
    <row r="12037" spans="1:22">
      <c r="A12037" t="str">
        <f t="shared" si="2323"/>
        <v>21/11/2025</v>
      </c>
      <c r="B12037" t="str">
        <f t="shared" ref="B12037:B12100" si="2329">"SAÍDA"</f>
        <v>SAÍDA</v>
      </c>
      <c r="C12037" t="str">
        <f t="shared" si="2324"/>
        <v>PIX</v>
      </c>
      <c r="D12037" t="str">
        <f>"25215"</f>
        <v>25215</v>
      </c>
      <c r="E12037" t="str">
        <f t="shared" si="2326"/>
        <v>1</v>
      </c>
      <c r="F12037" t="str">
        <f t="shared" si="2328"/>
        <v>COM</v>
      </c>
      <c r="G12037" t="str">
        <f>"JOAO PEDRO BRITO DE SOUZA (876)"</f>
        <v>JOAO PEDRO BRITO DE SOUZA (876)</v>
      </c>
      <c r="H12037" t="str">
        <f>"Serv.Prest. 03/11/2025 a 09/11/2025 - PIX: CPF - CHAVE: 860.305.455-07"</f>
        <v>Serv.Prest. 03/11/2025 a 09/11/2025 - PIX: CPF - CHAVE: 860.305.455-07</v>
      </c>
      <c r="I12037" t="str">
        <f t="shared" si="2325"/>
        <v>20/11/2025</v>
      </c>
      <c r="J12037" t="str">
        <f t="shared" si="2327"/>
        <v>11/11/2025</v>
      </c>
      <c r="K12037" t="str">
        <f>("21/11/2025")</f>
        <v>21/11/2025</v>
      </c>
      <c r="L12037">
        <v>1275</v>
      </c>
      <c r="M12037">
        <v>1275</v>
      </c>
      <c r="N12037">
        <v>109</v>
      </c>
      <c r="O12037" t="str">
        <f>"PAGAMENTO DE ENTREGADORES"</f>
        <v>PAGAMENTO DE ENTREGADORES</v>
      </c>
      <c r="P12037">
        <v>1275</v>
      </c>
      <c r="S12037" t="str">
        <f>"BANCO C6 (149)"</f>
        <v>BANCO C6 (149)</v>
      </c>
      <c r="T12037">
        <v>21437</v>
      </c>
      <c r="U12037">
        <v>25215</v>
      </c>
      <c r="V12037" t="s">
        <v>77</v>
      </c>
    </row>
    <row r="12038" spans="1:22">
      <c r="A12038" t="str">
        <f t="shared" si="2323"/>
        <v>21/11/2025</v>
      </c>
      <c r="B12038" t="str">
        <f t="shared" si="2329"/>
        <v>SAÍDA</v>
      </c>
      <c r="C12038" t="str">
        <f t="shared" si="2324"/>
        <v>PIX</v>
      </c>
      <c r="D12038" t="str">
        <f>"25215"</f>
        <v>25215</v>
      </c>
      <c r="E12038" t="str">
        <f t="shared" si="2326"/>
        <v>1</v>
      </c>
      <c r="F12038" t="str">
        <f t="shared" si="2328"/>
        <v>COM</v>
      </c>
      <c r="G12038" t="str">
        <f>"JOAO PEDRO BRITO DE SOUZA (876)"</f>
        <v>JOAO PEDRO BRITO DE SOUZA (876)</v>
      </c>
      <c r="H12038" t="s">
        <v>3251</v>
      </c>
      <c r="I12038" t="str">
        <f t="shared" si="2325"/>
        <v>20/11/2025</v>
      </c>
      <c r="J12038" t="str">
        <f t="shared" si="2327"/>
        <v>11/11/2025</v>
      </c>
      <c r="K12038">
        <v>45982</v>
      </c>
      <c r="N12038">
        <v>109</v>
      </c>
      <c r="O12038" t="s">
        <v>24</v>
      </c>
      <c r="Q12038">
        <v>494.95</v>
      </c>
      <c r="R12038" t="str">
        <f>"FARMÁCIA INDIANA LJ 48 (10018)"</f>
        <v>FARMÁCIA INDIANA LJ 48 (10018)</v>
      </c>
      <c r="S12038" t="s">
        <v>77</v>
      </c>
      <c r="T12038">
        <v>21437</v>
      </c>
      <c r="U12038">
        <v>25215</v>
      </c>
      <c r="V12038" t="s">
        <v>77</v>
      </c>
    </row>
    <row r="12039" spans="1:22">
      <c r="A12039" t="str">
        <f t="shared" si="2323"/>
        <v>21/11/2025</v>
      </c>
      <c r="B12039" t="str">
        <f t="shared" si="2329"/>
        <v>SAÍDA</v>
      </c>
      <c r="C12039" t="str">
        <f t="shared" si="2324"/>
        <v>PIX</v>
      </c>
      <c r="D12039" t="str">
        <f>"25215"</f>
        <v>25215</v>
      </c>
      <c r="E12039" t="str">
        <f t="shared" si="2326"/>
        <v>1</v>
      </c>
      <c r="F12039" t="str">
        <f t="shared" si="2328"/>
        <v>COM</v>
      </c>
      <c r="G12039" t="str">
        <f>"JOAO PEDRO BRITO DE SOUZA (876)"</f>
        <v>JOAO PEDRO BRITO DE SOUZA (876)</v>
      </c>
      <c r="H12039" t="s">
        <v>3251</v>
      </c>
      <c r="I12039" t="str">
        <f t="shared" si="2325"/>
        <v>20/11/2025</v>
      </c>
      <c r="J12039" t="str">
        <f t="shared" si="2327"/>
        <v>11/11/2025</v>
      </c>
      <c r="K12039">
        <v>45982</v>
      </c>
      <c r="N12039">
        <v>109</v>
      </c>
      <c r="O12039" t="s">
        <v>24</v>
      </c>
      <c r="Q12039">
        <v>780.05</v>
      </c>
      <c r="R12039" t="str">
        <f>"FARMÁCIA INDIANA LJ 169 (10073)"</f>
        <v>FARMÁCIA INDIANA LJ 169 (10073)</v>
      </c>
      <c r="S12039" t="s">
        <v>77</v>
      </c>
      <c r="T12039">
        <v>21437</v>
      </c>
      <c r="U12039">
        <v>25215</v>
      </c>
      <c r="V12039" t="s">
        <v>77</v>
      </c>
    </row>
    <row r="12040" spans="1:22">
      <c r="A12040" t="str">
        <f t="shared" si="2323"/>
        <v>21/11/2025</v>
      </c>
      <c r="B12040" t="str">
        <f t="shared" si="2329"/>
        <v>SAÍDA</v>
      </c>
      <c r="C12040" t="str">
        <f t="shared" si="2324"/>
        <v>PIX</v>
      </c>
      <c r="D12040" t="str">
        <f>"25216"</f>
        <v>25216</v>
      </c>
      <c r="E12040" t="str">
        <f t="shared" si="2326"/>
        <v>1</v>
      </c>
      <c r="F12040" t="str">
        <f t="shared" si="2328"/>
        <v>COM</v>
      </c>
      <c r="G12040" t="str">
        <f>"JOSE MARIO MENEZES DA CRUZ (941)"</f>
        <v>JOSE MARIO MENEZES DA CRUZ (941)</v>
      </c>
      <c r="H12040" t="str">
        <f>"Serv.Prest. 03/11/2025 a 09/11/2025 - PIX: CPF - CHAVE: 009.476.175-23"</f>
        <v>Serv.Prest. 03/11/2025 a 09/11/2025 - PIX: CPF - CHAVE: 009.476.175-23</v>
      </c>
      <c r="I12040" t="str">
        <f t="shared" si="2325"/>
        <v>20/11/2025</v>
      </c>
      <c r="J12040" t="str">
        <f t="shared" si="2327"/>
        <v>11/11/2025</v>
      </c>
      <c r="K12040" t="str">
        <f>("21/11/2025")</f>
        <v>21/11/2025</v>
      </c>
      <c r="L12040">
        <v>870</v>
      </c>
      <c r="M12040">
        <v>870</v>
      </c>
      <c r="N12040">
        <v>109</v>
      </c>
      <c r="O12040" t="str">
        <f>"PAGAMENTO DE ENTREGADORES"</f>
        <v>PAGAMENTO DE ENTREGADORES</v>
      </c>
      <c r="P12040">
        <v>870</v>
      </c>
      <c r="S12040" t="str">
        <f>"BANCO C6 (149)"</f>
        <v>BANCO C6 (149)</v>
      </c>
      <c r="T12040">
        <v>21438</v>
      </c>
      <c r="U12040">
        <v>25216</v>
      </c>
      <c r="V12040" t="s">
        <v>77</v>
      </c>
    </row>
    <row r="12041" spans="1:22">
      <c r="A12041" t="str">
        <f t="shared" si="2323"/>
        <v>21/11/2025</v>
      </c>
      <c r="B12041" t="str">
        <f t="shared" si="2329"/>
        <v>SAÍDA</v>
      </c>
      <c r="C12041" t="str">
        <f t="shared" si="2324"/>
        <v>PIX</v>
      </c>
      <c r="D12041" t="str">
        <f>"25216"</f>
        <v>25216</v>
      </c>
      <c r="E12041" t="str">
        <f t="shared" si="2326"/>
        <v>1</v>
      </c>
      <c r="F12041" t="str">
        <f t="shared" si="2328"/>
        <v>COM</v>
      </c>
      <c r="G12041" t="str">
        <f>"JOSE MARIO MENEZES DA CRUZ (941)"</f>
        <v>JOSE MARIO MENEZES DA CRUZ (941)</v>
      </c>
      <c r="H12041" t="s">
        <v>3252</v>
      </c>
      <c r="I12041" t="str">
        <f t="shared" si="2325"/>
        <v>20/11/2025</v>
      </c>
      <c r="J12041" t="str">
        <f t="shared" si="2327"/>
        <v>11/11/2025</v>
      </c>
      <c r="K12041">
        <v>45982</v>
      </c>
      <c r="N12041">
        <v>109</v>
      </c>
      <c r="O12041" t="s">
        <v>24</v>
      </c>
      <c r="Q12041">
        <v>870</v>
      </c>
      <c r="R12041" t="str">
        <f>"FARMÁCIA INDIANA LJ 33 (10187)"</f>
        <v>FARMÁCIA INDIANA LJ 33 (10187)</v>
      </c>
      <c r="S12041" t="s">
        <v>77</v>
      </c>
      <c r="T12041">
        <v>21438</v>
      </c>
      <c r="U12041">
        <v>25216</v>
      </c>
      <c r="V12041" t="s">
        <v>77</v>
      </c>
    </row>
    <row r="12042" spans="1:22">
      <c r="A12042" t="str">
        <f t="shared" si="2323"/>
        <v>21/11/2025</v>
      </c>
      <c r="B12042" t="str">
        <f t="shared" si="2329"/>
        <v>SAÍDA</v>
      </c>
      <c r="C12042" t="str">
        <f t="shared" si="2324"/>
        <v>PIX</v>
      </c>
      <c r="D12042" t="str">
        <f>"25217"</f>
        <v>25217</v>
      </c>
      <c r="E12042" t="str">
        <f t="shared" si="2326"/>
        <v>1</v>
      </c>
      <c r="F12042" t="str">
        <f t="shared" si="2328"/>
        <v>COM</v>
      </c>
      <c r="G12042" t="str">
        <f>"JUNIO SOUZA SILVA (610)"</f>
        <v>JUNIO SOUZA SILVA (610)</v>
      </c>
      <c r="H12042" t="str">
        <f>"Serv.Prest. 03/11/2025 a 09/11/2025 - PIX: CELULAR - CHAVE: (73) 98105-2187"</f>
        <v>Serv.Prest. 03/11/2025 a 09/11/2025 - PIX: CELULAR - CHAVE: (73) 98105-2187</v>
      </c>
      <c r="I12042" t="str">
        <f t="shared" si="2325"/>
        <v>20/11/2025</v>
      </c>
      <c r="J12042" t="str">
        <f t="shared" si="2327"/>
        <v>11/11/2025</v>
      </c>
      <c r="K12042" t="str">
        <f>("21/11/2025")</f>
        <v>21/11/2025</v>
      </c>
      <c r="L12042">
        <v>600</v>
      </c>
      <c r="M12042">
        <v>600</v>
      </c>
      <c r="N12042">
        <v>109</v>
      </c>
      <c r="O12042" t="str">
        <f>"PAGAMENTO DE ENTREGADORES"</f>
        <v>PAGAMENTO DE ENTREGADORES</v>
      </c>
      <c r="P12042">
        <v>600</v>
      </c>
      <c r="S12042" t="str">
        <f>"BANCO C6 (149)"</f>
        <v>BANCO C6 (149)</v>
      </c>
      <c r="T12042">
        <v>21439</v>
      </c>
      <c r="U12042">
        <v>25217</v>
      </c>
      <c r="V12042" t="s">
        <v>77</v>
      </c>
    </row>
    <row r="12043" spans="1:22">
      <c r="A12043" t="str">
        <f t="shared" si="2323"/>
        <v>21/11/2025</v>
      </c>
      <c r="B12043" t="str">
        <f t="shared" si="2329"/>
        <v>SAÍDA</v>
      </c>
      <c r="C12043" t="str">
        <f t="shared" si="2324"/>
        <v>PIX</v>
      </c>
      <c r="D12043" t="str">
        <f>"25217"</f>
        <v>25217</v>
      </c>
      <c r="E12043" t="str">
        <f t="shared" si="2326"/>
        <v>1</v>
      </c>
      <c r="F12043" t="str">
        <f t="shared" si="2328"/>
        <v>COM</v>
      </c>
      <c r="G12043" t="str">
        <f>"JUNIO SOUZA SILVA (610)"</f>
        <v>JUNIO SOUZA SILVA (610)</v>
      </c>
      <c r="H12043" t="s">
        <v>3253</v>
      </c>
      <c r="I12043" t="str">
        <f t="shared" si="2325"/>
        <v>20/11/2025</v>
      </c>
      <c r="J12043" t="str">
        <f t="shared" si="2327"/>
        <v>11/11/2025</v>
      </c>
      <c r="K12043">
        <v>45982</v>
      </c>
      <c r="N12043">
        <v>109</v>
      </c>
      <c r="O12043" t="s">
        <v>24</v>
      </c>
      <c r="Q12043">
        <v>600</v>
      </c>
      <c r="R12043" t="str">
        <f>"FARMÁCIA INDIANA LJ 77 (10034)"</f>
        <v>FARMÁCIA INDIANA LJ 77 (10034)</v>
      </c>
      <c r="S12043" t="s">
        <v>77</v>
      </c>
      <c r="T12043">
        <v>21439</v>
      </c>
      <c r="U12043">
        <v>25217</v>
      </c>
      <c r="V12043" t="s">
        <v>77</v>
      </c>
    </row>
    <row r="12044" spans="1:22">
      <c r="A12044" t="str">
        <f t="shared" si="2323"/>
        <v>21/11/2025</v>
      </c>
      <c r="B12044" t="str">
        <f t="shared" si="2329"/>
        <v>SAÍDA</v>
      </c>
      <c r="C12044" t="str">
        <f t="shared" si="2324"/>
        <v>PIX</v>
      </c>
      <c r="D12044" t="str">
        <f>"25218"</f>
        <v>25218</v>
      </c>
      <c r="E12044" t="str">
        <f t="shared" si="2326"/>
        <v>1</v>
      </c>
      <c r="F12044" t="str">
        <f t="shared" si="2328"/>
        <v>COM</v>
      </c>
      <c r="G12044" t="str">
        <f>"KHENNEDY DAVY DOS SANTOS SILVA (692)"</f>
        <v>KHENNEDY DAVY DOS SANTOS SILVA (692)</v>
      </c>
      <c r="H12044" t="str">
        <f>"Serv.Prest. 03/11/2025 a 09/11/2025 - PIX: CPF - CHAVE: 094.700.685-05"</f>
        <v>Serv.Prest. 03/11/2025 a 09/11/2025 - PIX: CPF - CHAVE: 094.700.685-05</v>
      </c>
      <c r="I12044" t="str">
        <f t="shared" si="2325"/>
        <v>20/11/2025</v>
      </c>
      <c r="J12044" t="str">
        <f t="shared" si="2327"/>
        <v>11/11/2025</v>
      </c>
      <c r="K12044" t="str">
        <f>("21/11/2025")</f>
        <v>21/11/2025</v>
      </c>
      <c r="L12044">
        <v>654</v>
      </c>
      <c r="M12044">
        <v>654</v>
      </c>
      <c r="N12044">
        <v>109</v>
      </c>
      <c r="O12044" t="str">
        <f>"PAGAMENTO DE ENTREGADORES"</f>
        <v>PAGAMENTO DE ENTREGADORES</v>
      </c>
      <c r="P12044">
        <v>654</v>
      </c>
      <c r="S12044" t="str">
        <f>"BANCO C6 (149)"</f>
        <v>BANCO C6 (149)</v>
      </c>
      <c r="T12044">
        <v>21440</v>
      </c>
      <c r="U12044">
        <v>25218</v>
      </c>
      <c r="V12044" t="s">
        <v>77</v>
      </c>
    </row>
    <row r="12045" spans="1:22">
      <c r="A12045" t="str">
        <f t="shared" si="2323"/>
        <v>21/11/2025</v>
      </c>
      <c r="B12045" t="str">
        <f t="shared" si="2329"/>
        <v>SAÍDA</v>
      </c>
      <c r="C12045" t="str">
        <f t="shared" si="2324"/>
        <v>PIX</v>
      </c>
      <c r="D12045" t="str">
        <f>"25218"</f>
        <v>25218</v>
      </c>
      <c r="E12045" t="str">
        <f t="shared" si="2326"/>
        <v>1</v>
      </c>
      <c r="F12045" t="str">
        <f t="shared" si="2328"/>
        <v>COM</v>
      </c>
      <c r="G12045" t="str">
        <f>"KHENNEDY DAVY DOS SANTOS SILVA (692)"</f>
        <v>KHENNEDY DAVY DOS SANTOS SILVA (692)</v>
      </c>
      <c r="H12045" t="s">
        <v>3254</v>
      </c>
      <c r="I12045" t="str">
        <f t="shared" si="2325"/>
        <v>20/11/2025</v>
      </c>
      <c r="J12045" t="str">
        <f t="shared" si="2327"/>
        <v>11/11/2025</v>
      </c>
      <c r="K12045">
        <v>45982</v>
      </c>
      <c r="N12045">
        <v>109</v>
      </c>
      <c r="O12045" t="s">
        <v>24</v>
      </c>
      <c r="Q12045">
        <v>557.79999999999995</v>
      </c>
      <c r="R12045" t="str">
        <f>"FARMÁCIA INDIANA LJ 65 (10030)"</f>
        <v>FARMÁCIA INDIANA LJ 65 (10030)</v>
      </c>
      <c r="S12045" t="s">
        <v>77</v>
      </c>
      <c r="T12045">
        <v>21440</v>
      </c>
      <c r="U12045">
        <v>25218</v>
      </c>
      <c r="V12045" t="s">
        <v>77</v>
      </c>
    </row>
    <row r="12046" spans="1:22">
      <c r="A12046" t="str">
        <f t="shared" ref="A12046:A12109" si="2330">("21/11/2025")</f>
        <v>21/11/2025</v>
      </c>
      <c r="B12046" t="str">
        <f t="shared" si="2329"/>
        <v>SAÍDA</v>
      </c>
      <c r="C12046" t="str">
        <f t="shared" si="2324"/>
        <v>PIX</v>
      </c>
      <c r="D12046" t="str">
        <f>"25218"</f>
        <v>25218</v>
      </c>
      <c r="E12046" t="str">
        <f t="shared" si="2326"/>
        <v>1</v>
      </c>
      <c r="F12046" t="str">
        <f t="shared" si="2328"/>
        <v>COM</v>
      </c>
      <c r="G12046" t="str">
        <f>"KHENNEDY DAVY DOS SANTOS SILVA (692)"</f>
        <v>KHENNEDY DAVY DOS SANTOS SILVA (692)</v>
      </c>
      <c r="H12046" t="s">
        <v>3254</v>
      </c>
      <c r="I12046" t="str">
        <f t="shared" si="2325"/>
        <v>20/11/2025</v>
      </c>
      <c r="J12046" t="str">
        <f t="shared" si="2327"/>
        <v>11/11/2025</v>
      </c>
      <c r="K12046">
        <v>45982</v>
      </c>
      <c r="N12046">
        <v>109</v>
      </c>
      <c r="O12046" t="s">
        <v>24</v>
      </c>
      <c r="Q12046">
        <v>96.2</v>
      </c>
      <c r="R12046" t="str">
        <f>"FARMÁCIA INDIANA LJ 173 (10075)"</f>
        <v>FARMÁCIA INDIANA LJ 173 (10075)</v>
      </c>
      <c r="S12046" t="s">
        <v>77</v>
      </c>
      <c r="T12046">
        <v>21440</v>
      </c>
      <c r="U12046">
        <v>25218</v>
      </c>
      <c r="V12046" t="s">
        <v>77</v>
      </c>
    </row>
    <row r="12047" spans="1:22">
      <c r="A12047" t="str">
        <f t="shared" si="2330"/>
        <v>21/11/2025</v>
      </c>
      <c r="B12047" t="str">
        <f t="shared" si="2329"/>
        <v>SAÍDA</v>
      </c>
      <c r="C12047" t="str">
        <f t="shared" si="2324"/>
        <v>PIX</v>
      </c>
      <c r="D12047" t="str">
        <f>"25219"</f>
        <v>25219</v>
      </c>
      <c r="E12047" t="str">
        <f t="shared" si="2326"/>
        <v>1</v>
      </c>
      <c r="F12047" t="str">
        <f t="shared" si="2328"/>
        <v>COM</v>
      </c>
      <c r="G12047" t="str">
        <f>"LEONARDO MERCÊS CAJAZEIRAS (235)"</f>
        <v>LEONARDO MERCÊS CAJAZEIRAS (235)</v>
      </c>
      <c r="H12047" t="str">
        <f>"Serv.Prest. 03/11/2025 a 09/11/2025 - PIX: CELULAR - CHAVE: (73) 99803-0715"</f>
        <v>Serv.Prest. 03/11/2025 a 09/11/2025 - PIX: CELULAR - CHAVE: (73) 99803-0715</v>
      </c>
      <c r="I12047" t="str">
        <f t="shared" si="2325"/>
        <v>20/11/2025</v>
      </c>
      <c r="J12047" t="str">
        <f t="shared" si="2327"/>
        <v>11/11/2025</v>
      </c>
      <c r="K12047" t="str">
        <f>("21/11/2025")</f>
        <v>21/11/2025</v>
      </c>
      <c r="L12047">
        <v>600</v>
      </c>
      <c r="M12047">
        <v>600</v>
      </c>
      <c r="N12047">
        <v>109</v>
      </c>
      <c r="O12047" t="str">
        <f>"PAGAMENTO DE ENTREGADORES"</f>
        <v>PAGAMENTO DE ENTREGADORES</v>
      </c>
      <c r="P12047">
        <v>600</v>
      </c>
      <c r="S12047" t="str">
        <f>"BANCO C6 (149)"</f>
        <v>BANCO C6 (149)</v>
      </c>
      <c r="T12047">
        <v>21441</v>
      </c>
      <c r="U12047">
        <v>25219</v>
      </c>
      <c r="V12047" t="s">
        <v>77</v>
      </c>
    </row>
    <row r="12048" spans="1:22">
      <c r="A12048" t="str">
        <f t="shared" si="2330"/>
        <v>21/11/2025</v>
      </c>
      <c r="B12048" t="str">
        <f t="shared" si="2329"/>
        <v>SAÍDA</v>
      </c>
      <c r="C12048" t="str">
        <f t="shared" si="2324"/>
        <v>PIX</v>
      </c>
      <c r="D12048" t="str">
        <f>"25219"</f>
        <v>25219</v>
      </c>
      <c r="E12048" t="str">
        <f t="shared" si="2326"/>
        <v>1</v>
      </c>
      <c r="F12048" t="str">
        <f t="shared" si="2328"/>
        <v>COM</v>
      </c>
      <c r="G12048" t="str">
        <f>"LEONARDO MERCÊS CAJAZEIRAS (235)"</f>
        <v>LEONARDO MERCÊS CAJAZEIRAS (235)</v>
      </c>
      <c r="H12048" t="s">
        <v>3255</v>
      </c>
      <c r="I12048" t="str">
        <f t="shared" si="2325"/>
        <v>20/11/2025</v>
      </c>
      <c r="J12048" t="str">
        <f t="shared" si="2327"/>
        <v>11/11/2025</v>
      </c>
      <c r="K12048">
        <v>45982</v>
      </c>
      <c r="N12048">
        <v>109</v>
      </c>
      <c r="O12048" t="s">
        <v>24</v>
      </c>
      <c r="Q12048">
        <v>600</v>
      </c>
      <c r="R12048" t="str">
        <f>"FARMÁCIA INDIANA LJ 35 (10015)"</f>
        <v>FARMÁCIA INDIANA LJ 35 (10015)</v>
      </c>
      <c r="S12048" t="s">
        <v>77</v>
      </c>
      <c r="T12048">
        <v>21441</v>
      </c>
      <c r="U12048">
        <v>25219</v>
      </c>
      <c r="V12048" t="s">
        <v>77</v>
      </c>
    </row>
    <row r="12049" spans="1:22">
      <c r="A12049" t="str">
        <f t="shared" si="2330"/>
        <v>21/11/2025</v>
      </c>
      <c r="B12049" t="str">
        <f t="shared" si="2329"/>
        <v>SAÍDA</v>
      </c>
      <c r="C12049" t="str">
        <f t="shared" si="2324"/>
        <v>PIX</v>
      </c>
      <c r="D12049" t="str">
        <f>"25220"</f>
        <v>25220</v>
      </c>
      <c r="E12049" t="str">
        <f t="shared" si="2326"/>
        <v>1</v>
      </c>
      <c r="F12049" t="str">
        <f t="shared" si="2328"/>
        <v>COM</v>
      </c>
      <c r="G12049" t="str">
        <f>"LUCAS MOREIRA PEREIRA (153)"</f>
        <v>LUCAS MOREIRA PEREIRA (153)</v>
      </c>
      <c r="H12049" t="str">
        <f>"Serv.Prest. 03/11/2025 a 09/11/2025 - PIX: CELULAR - CHAVE: (73) 99967-3239"</f>
        <v>Serv.Prest. 03/11/2025 a 09/11/2025 - PIX: CELULAR - CHAVE: (73) 99967-3239</v>
      </c>
      <c r="I12049" t="str">
        <f t="shared" si="2325"/>
        <v>20/11/2025</v>
      </c>
      <c r="J12049" t="str">
        <f t="shared" si="2327"/>
        <v>11/11/2025</v>
      </c>
      <c r="K12049" t="str">
        <f>("21/11/2025")</f>
        <v>21/11/2025</v>
      </c>
      <c r="L12049">
        <v>1580</v>
      </c>
      <c r="M12049">
        <v>1580</v>
      </c>
      <c r="N12049">
        <v>109</v>
      </c>
      <c r="O12049" t="str">
        <f>"PAGAMENTO DE ENTREGADORES"</f>
        <v>PAGAMENTO DE ENTREGADORES</v>
      </c>
      <c r="P12049">
        <v>1580</v>
      </c>
      <c r="S12049" t="str">
        <f>"BANCO C6 (149)"</f>
        <v>BANCO C6 (149)</v>
      </c>
      <c r="T12049">
        <v>21442</v>
      </c>
      <c r="U12049">
        <v>25220</v>
      </c>
      <c r="V12049" t="s">
        <v>77</v>
      </c>
    </row>
    <row r="12050" spans="1:22">
      <c r="A12050" t="str">
        <f t="shared" si="2330"/>
        <v>21/11/2025</v>
      </c>
      <c r="B12050" t="str">
        <f t="shared" si="2329"/>
        <v>SAÍDA</v>
      </c>
      <c r="C12050" t="str">
        <f t="shared" si="2324"/>
        <v>PIX</v>
      </c>
      <c r="D12050" t="str">
        <f>"25220"</f>
        <v>25220</v>
      </c>
      <c r="E12050" t="str">
        <f t="shared" si="2326"/>
        <v>1</v>
      </c>
      <c r="F12050" t="str">
        <f t="shared" si="2328"/>
        <v>COM</v>
      </c>
      <c r="G12050" t="str">
        <f>"LUCAS MOREIRA PEREIRA (153)"</f>
        <v>LUCAS MOREIRA PEREIRA (153)</v>
      </c>
      <c r="H12050" t="s">
        <v>3256</v>
      </c>
      <c r="I12050" t="str">
        <f t="shared" si="2325"/>
        <v>20/11/2025</v>
      </c>
      <c r="J12050" t="str">
        <f t="shared" si="2327"/>
        <v>11/11/2025</v>
      </c>
      <c r="K12050">
        <v>45982</v>
      </c>
      <c r="N12050">
        <v>109</v>
      </c>
      <c r="O12050" t="s">
        <v>24</v>
      </c>
      <c r="Q12050">
        <v>1254.99</v>
      </c>
      <c r="R12050" t="str">
        <f>"FARMÁCIA INDIANA LJ 48 (10018)"</f>
        <v>FARMÁCIA INDIANA LJ 48 (10018)</v>
      </c>
      <c r="S12050" t="s">
        <v>77</v>
      </c>
      <c r="T12050">
        <v>21442</v>
      </c>
      <c r="U12050">
        <v>25220</v>
      </c>
      <c r="V12050" t="s">
        <v>77</v>
      </c>
    </row>
    <row r="12051" spans="1:22">
      <c r="A12051" t="str">
        <f t="shared" si="2330"/>
        <v>21/11/2025</v>
      </c>
      <c r="B12051" t="str">
        <f t="shared" si="2329"/>
        <v>SAÍDA</v>
      </c>
      <c r="C12051" t="str">
        <f t="shared" si="2324"/>
        <v>PIX</v>
      </c>
      <c r="D12051" t="str">
        <f>"25220"</f>
        <v>25220</v>
      </c>
      <c r="E12051" t="str">
        <f t="shared" si="2326"/>
        <v>1</v>
      </c>
      <c r="F12051" t="str">
        <f t="shared" si="2328"/>
        <v>COM</v>
      </c>
      <c r="G12051" t="str">
        <f>"LUCAS MOREIRA PEREIRA (153)"</f>
        <v>LUCAS MOREIRA PEREIRA (153)</v>
      </c>
      <c r="H12051" t="s">
        <v>3256</v>
      </c>
      <c r="I12051" t="str">
        <f t="shared" si="2325"/>
        <v>20/11/2025</v>
      </c>
      <c r="J12051" t="str">
        <f t="shared" si="2327"/>
        <v>11/11/2025</v>
      </c>
      <c r="K12051">
        <v>45982</v>
      </c>
      <c r="N12051">
        <v>109</v>
      </c>
      <c r="O12051" t="s">
        <v>24</v>
      </c>
      <c r="Q12051">
        <v>325.01</v>
      </c>
      <c r="R12051" t="str">
        <f>"FARMÁCIA INDIANA LJ 169 (10073)"</f>
        <v>FARMÁCIA INDIANA LJ 169 (10073)</v>
      </c>
      <c r="S12051" t="s">
        <v>77</v>
      </c>
      <c r="T12051">
        <v>21442</v>
      </c>
      <c r="U12051">
        <v>25220</v>
      </c>
      <c r="V12051" t="s">
        <v>77</v>
      </c>
    </row>
    <row r="12052" spans="1:22">
      <c r="A12052" t="str">
        <f t="shared" si="2330"/>
        <v>21/11/2025</v>
      </c>
      <c r="B12052" t="str">
        <f t="shared" si="2329"/>
        <v>SAÍDA</v>
      </c>
      <c r="C12052" t="str">
        <f t="shared" si="2324"/>
        <v>PIX</v>
      </c>
      <c r="D12052" t="str">
        <f>"25221"</f>
        <v>25221</v>
      </c>
      <c r="E12052" t="str">
        <f t="shared" si="2326"/>
        <v>1</v>
      </c>
      <c r="F12052" t="str">
        <f t="shared" si="2328"/>
        <v>COM</v>
      </c>
      <c r="G12052" t="str">
        <f>"MARIA ILZA PEREIRA DOS SANTOS (618)"</f>
        <v>MARIA ILZA PEREIRA DOS SANTOS (618)</v>
      </c>
      <c r="H12052" t="str">
        <f>"Serv.Prest. 03/11/2025 a 09/11/2025 - PIX: CPF - CHAVE: 003.157.195-67"</f>
        <v>Serv.Prest. 03/11/2025 a 09/11/2025 - PIX: CPF - CHAVE: 003.157.195-67</v>
      </c>
      <c r="I12052" t="str">
        <f t="shared" si="2325"/>
        <v>20/11/2025</v>
      </c>
      <c r="J12052" t="str">
        <f t="shared" si="2327"/>
        <v>11/11/2025</v>
      </c>
      <c r="K12052" t="str">
        <f>("21/11/2025")</f>
        <v>21/11/2025</v>
      </c>
      <c r="L12052">
        <v>654</v>
      </c>
      <c r="M12052">
        <v>654</v>
      </c>
      <c r="N12052">
        <v>109</v>
      </c>
      <c r="O12052" t="str">
        <f>"PAGAMENTO DE ENTREGADORES"</f>
        <v>PAGAMENTO DE ENTREGADORES</v>
      </c>
      <c r="P12052">
        <v>654</v>
      </c>
      <c r="S12052" t="str">
        <f>"BANCO C6 (149)"</f>
        <v>BANCO C6 (149)</v>
      </c>
      <c r="T12052">
        <v>21443</v>
      </c>
      <c r="U12052">
        <v>25221</v>
      </c>
      <c r="V12052" t="s">
        <v>77</v>
      </c>
    </row>
    <row r="12053" spans="1:22">
      <c r="A12053" t="str">
        <f t="shared" si="2330"/>
        <v>21/11/2025</v>
      </c>
      <c r="B12053" t="str">
        <f t="shared" si="2329"/>
        <v>SAÍDA</v>
      </c>
      <c r="C12053" t="str">
        <f t="shared" si="2324"/>
        <v>PIX</v>
      </c>
      <c r="D12053" t="str">
        <f>"25221"</f>
        <v>25221</v>
      </c>
      <c r="E12053" t="str">
        <f t="shared" si="2326"/>
        <v>1</v>
      </c>
      <c r="F12053" t="str">
        <f t="shared" si="2328"/>
        <v>COM</v>
      </c>
      <c r="G12053" t="str">
        <f>"MARIA ILZA PEREIRA DOS SANTOS (618)"</f>
        <v>MARIA ILZA PEREIRA DOS SANTOS (618)</v>
      </c>
      <c r="H12053" t="s">
        <v>3257</v>
      </c>
      <c r="I12053" t="str">
        <f t="shared" si="2325"/>
        <v>20/11/2025</v>
      </c>
      <c r="J12053" t="str">
        <f t="shared" si="2327"/>
        <v>11/11/2025</v>
      </c>
      <c r="K12053">
        <v>45982</v>
      </c>
      <c r="N12053">
        <v>109</v>
      </c>
      <c r="O12053" t="s">
        <v>24</v>
      </c>
      <c r="Q12053">
        <v>436.02</v>
      </c>
      <c r="R12053" t="str">
        <f>"FARMÁCIA INDIANA LJ 65 (10030)"</f>
        <v>FARMÁCIA INDIANA LJ 65 (10030)</v>
      </c>
      <c r="S12053" t="s">
        <v>77</v>
      </c>
      <c r="T12053">
        <v>21443</v>
      </c>
      <c r="U12053">
        <v>25221</v>
      </c>
      <c r="V12053" t="s">
        <v>77</v>
      </c>
    </row>
    <row r="12054" spans="1:22">
      <c r="A12054" t="str">
        <f t="shared" si="2330"/>
        <v>21/11/2025</v>
      </c>
      <c r="B12054" t="str">
        <f t="shared" si="2329"/>
        <v>SAÍDA</v>
      </c>
      <c r="C12054" t="str">
        <f t="shared" si="2324"/>
        <v>PIX</v>
      </c>
      <c r="D12054" t="str">
        <f>"25221"</f>
        <v>25221</v>
      </c>
      <c r="E12054" t="str">
        <f t="shared" si="2326"/>
        <v>1</v>
      </c>
      <c r="F12054" t="str">
        <f t="shared" si="2328"/>
        <v>COM</v>
      </c>
      <c r="G12054" t="str">
        <f>"MARIA ILZA PEREIRA DOS SANTOS (618)"</f>
        <v>MARIA ILZA PEREIRA DOS SANTOS (618)</v>
      </c>
      <c r="H12054" t="s">
        <v>3257</v>
      </c>
      <c r="I12054" t="str">
        <f t="shared" si="2325"/>
        <v>20/11/2025</v>
      </c>
      <c r="J12054" t="str">
        <f t="shared" si="2327"/>
        <v>11/11/2025</v>
      </c>
      <c r="K12054">
        <v>45982</v>
      </c>
      <c r="N12054">
        <v>109</v>
      </c>
      <c r="O12054" t="s">
        <v>24</v>
      </c>
      <c r="Q12054">
        <v>217.98</v>
      </c>
      <c r="R12054" t="str">
        <f>"FARMÁCIA INDIANA LJ 173 (10075)"</f>
        <v>FARMÁCIA INDIANA LJ 173 (10075)</v>
      </c>
      <c r="S12054" t="s">
        <v>77</v>
      </c>
      <c r="T12054">
        <v>21443</v>
      </c>
      <c r="U12054">
        <v>25221</v>
      </c>
      <c r="V12054" t="s">
        <v>77</v>
      </c>
    </row>
    <row r="12055" spans="1:22">
      <c r="A12055" t="str">
        <f t="shared" si="2330"/>
        <v>21/11/2025</v>
      </c>
      <c r="B12055" t="str">
        <f t="shared" si="2329"/>
        <v>SAÍDA</v>
      </c>
      <c r="C12055" t="str">
        <f t="shared" si="2324"/>
        <v>PIX</v>
      </c>
      <c r="D12055" t="str">
        <f>"25222"</f>
        <v>25222</v>
      </c>
      <c r="E12055" t="str">
        <f t="shared" si="2326"/>
        <v>1</v>
      </c>
      <c r="F12055" t="str">
        <f t="shared" si="2328"/>
        <v>COM</v>
      </c>
      <c r="G12055" t="str">
        <f>"MOABIO AZEVEDO DOS SANTOS (131)"</f>
        <v>MOABIO AZEVEDO DOS SANTOS (131)</v>
      </c>
      <c r="H12055" t="str">
        <f>"Serv.Prest. 03/11/2025 a 09/11/2025 - PIX: CNPJ - CHAVE: 33.412.676/0001-41"</f>
        <v>Serv.Prest. 03/11/2025 a 09/11/2025 - PIX: CNPJ - CHAVE: 33.412.676/0001-41</v>
      </c>
      <c r="I12055" t="str">
        <f t="shared" si="2325"/>
        <v>20/11/2025</v>
      </c>
      <c r="J12055" t="str">
        <f t="shared" si="2327"/>
        <v>11/11/2025</v>
      </c>
      <c r="K12055" t="str">
        <f>("21/11/2025")</f>
        <v>21/11/2025</v>
      </c>
      <c r="L12055">
        <v>750</v>
      </c>
      <c r="M12055">
        <v>750</v>
      </c>
      <c r="N12055">
        <v>109</v>
      </c>
      <c r="O12055" t="str">
        <f>"PAGAMENTO DE ENTREGADORES"</f>
        <v>PAGAMENTO DE ENTREGADORES</v>
      </c>
      <c r="P12055">
        <v>750</v>
      </c>
      <c r="S12055" t="str">
        <f>"BANCO C6 (149)"</f>
        <v>BANCO C6 (149)</v>
      </c>
      <c r="T12055">
        <v>21444</v>
      </c>
      <c r="U12055">
        <v>25222</v>
      </c>
      <c r="V12055" t="s">
        <v>77</v>
      </c>
    </row>
    <row r="12056" spans="1:22">
      <c r="A12056" t="str">
        <f t="shared" si="2330"/>
        <v>21/11/2025</v>
      </c>
      <c r="B12056" t="str">
        <f t="shared" si="2329"/>
        <v>SAÍDA</v>
      </c>
      <c r="C12056" t="str">
        <f t="shared" ref="C12056:C12119" si="2331">"PIX"</f>
        <v>PIX</v>
      </c>
      <c r="D12056" t="str">
        <f>"25222"</f>
        <v>25222</v>
      </c>
      <c r="E12056" t="str">
        <f t="shared" si="2326"/>
        <v>1</v>
      </c>
      <c r="F12056" t="str">
        <f t="shared" si="2328"/>
        <v>COM</v>
      </c>
      <c r="G12056" t="str">
        <f>"MOABIO AZEVEDO DOS SANTOS (131)"</f>
        <v>MOABIO AZEVEDO DOS SANTOS (131)</v>
      </c>
      <c r="H12056" t="s">
        <v>3258</v>
      </c>
      <c r="I12056" t="str">
        <f t="shared" ref="I12056:I12119" si="2332">("20/11/2025")</f>
        <v>20/11/2025</v>
      </c>
      <c r="J12056" t="str">
        <f t="shared" si="2327"/>
        <v>11/11/2025</v>
      </c>
      <c r="K12056">
        <v>45982</v>
      </c>
      <c r="N12056">
        <v>109</v>
      </c>
      <c r="O12056" t="s">
        <v>24</v>
      </c>
      <c r="Q12056">
        <v>750</v>
      </c>
      <c r="R12056" t="str">
        <f>"FARMÁCIA INDIANA LJ 91 (10037)"</f>
        <v>FARMÁCIA INDIANA LJ 91 (10037)</v>
      </c>
      <c r="S12056" t="s">
        <v>77</v>
      </c>
      <c r="T12056">
        <v>21444</v>
      </c>
      <c r="U12056">
        <v>25222</v>
      </c>
      <c r="V12056" t="s">
        <v>77</v>
      </c>
    </row>
    <row r="12057" spans="1:22">
      <c r="A12057" t="str">
        <f t="shared" si="2330"/>
        <v>21/11/2025</v>
      </c>
      <c r="B12057" t="str">
        <f t="shared" si="2329"/>
        <v>SAÍDA</v>
      </c>
      <c r="C12057" t="str">
        <f t="shared" si="2331"/>
        <v>PIX</v>
      </c>
      <c r="D12057" t="str">
        <f>"25223"</f>
        <v>25223</v>
      </c>
      <c r="E12057" t="str">
        <f t="shared" si="2326"/>
        <v>1</v>
      </c>
      <c r="F12057" t="str">
        <f t="shared" si="2328"/>
        <v>COM</v>
      </c>
      <c r="G12057" t="str">
        <f>"NATANAEL AZEVEDO DOS SANTOS (765)"</f>
        <v>NATANAEL AZEVEDO DOS SANTOS (765)</v>
      </c>
      <c r="H12057" t="str">
        <f>"Serv.Prest. 03/11/2025 a 09/11/2025 - PIX: CPF - CHAVE: 007.842.745-25"</f>
        <v>Serv.Prest. 03/11/2025 a 09/11/2025 - PIX: CPF - CHAVE: 007.842.745-25</v>
      </c>
      <c r="I12057" t="str">
        <f t="shared" si="2332"/>
        <v>20/11/2025</v>
      </c>
      <c r="J12057" t="str">
        <f t="shared" si="2327"/>
        <v>11/11/2025</v>
      </c>
      <c r="K12057" t="str">
        <f>("21/11/2025")</f>
        <v>21/11/2025</v>
      </c>
      <c r="L12057">
        <v>822</v>
      </c>
      <c r="M12057">
        <v>822</v>
      </c>
      <c r="N12057">
        <v>109</v>
      </c>
      <c r="O12057" t="str">
        <f>"PAGAMENTO DE ENTREGADORES"</f>
        <v>PAGAMENTO DE ENTREGADORES</v>
      </c>
      <c r="P12057">
        <v>822</v>
      </c>
      <c r="S12057" t="str">
        <f>"BANCO C6 (149)"</f>
        <v>BANCO C6 (149)</v>
      </c>
      <c r="T12057">
        <v>21445</v>
      </c>
      <c r="U12057">
        <v>25223</v>
      </c>
      <c r="V12057" t="s">
        <v>77</v>
      </c>
    </row>
    <row r="12058" spans="1:22">
      <c r="A12058" t="str">
        <f t="shared" si="2330"/>
        <v>21/11/2025</v>
      </c>
      <c r="B12058" t="str">
        <f t="shared" si="2329"/>
        <v>SAÍDA</v>
      </c>
      <c r="C12058" t="str">
        <f t="shared" si="2331"/>
        <v>PIX</v>
      </c>
      <c r="D12058" t="str">
        <f>"25223"</f>
        <v>25223</v>
      </c>
      <c r="E12058" t="str">
        <f t="shared" si="2326"/>
        <v>1</v>
      </c>
      <c r="F12058" t="str">
        <f t="shared" si="2328"/>
        <v>COM</v>
      </c>
      <c r="G12058" t="str">
        <f>"NATANAEL AZEVEDO DOS SANTOS (765)"</f>
        <v>NATANAEL AZEVEDO DOS SANTOS (765)</v>
      </c>
      <c r="H12058" t="s">
        <v>3259</v>
      </c>
      <c r="I12058" t="str">
        <f t="shared" si="2332"/>
        <v>20/11/2025</v>
      </c>
      <c r="J12058" t="str">
        <f t="shared" si="2327"/>
        <v>11/11/2025</v>
      </c>
      <c r="K12058">
        <v>45982</v>
      </c>
      <c r="N12058">
        <v>109</v>
      </c>
      <c r="O12058" t="s">
        <v>24</v>
      </c>
      <c r="Q12058">
        <v>822</v>
      </c>
      <c r="R12058" t="str">
        <f>"FARMÁCIA INDIANA LJ 91 (10037)"</f>
        <v>FARMÁCIA INDIANA LJ 91 (10037)</v>
      </c>
      <c r="S12058" t="s">
        <v>77</v>
      </c>
      <c r="T12058">
        <v>21445</v>
      </c>
      <c r="U12058">
        <v>25223</v>
      </c>
      <c r="V12058" t="s">
        <v>77</v>
      </c>
    </row>
    <row r="12059" spans="1:22">
      <c r="A12059" t="str">
        <f t="shared" si="2330"/>
        <v>21/11/2025</v>
      </c>
      <c r="B12059" t="str">
        <f t="shared" si="2329"/>
        <v>SAÍDA</v>
      </c>
      <c r="C12059" t="str">
        <f t="shared" si="2331"/>
        <v>PIX</v>
      </c>
      <c r="D12059" t="str">
        <f>"25224"</f>
        <v>25224</v>
      </c>
      <c r="E12059" t="str">
        <f t="shared" si="2326"/>
        <v>1</v>
      </c>
      <c r="F12059" t="str">
        <f t="shared" si="2328"/>
        <v>COM</v>
      </c>
      <c r="G12059" t="str">
        <f>"OSVALDO DOS SANTOS (163)"</f>
        <v>OSVALDO DOS SANTOS (163)</v>
      </c>
      <c r="H12059" t="str">
        <f>"Serv.Prest. 03/11/2025 a 09/11/2025 - PIX: CELULAR - CHAVE: (73) 99977-2721"</f>
        <v>Serv.Prest. 03/11/2025 a 09/11/2025 - PIX: CELULAR - CHAVE: (73) 99977-2721</v>
      </c>
      <c r="I12059" t="str">
        <f t="shared" si="2332"/>
        <v>20/11/2025</v>
      </c>
      <c r="J12059" t="str">
        <f t="shared" si="2327"/>
        <v>11/11/2025</v>
      </c>
      <c r="K12059" t="str">
        <f>("21/11/2025")</f>
        <v>21/11/2025</v>
      </c>
      <c r="L12059">
        <v>600</v>
      </c>
      <c r="M12059">
        <v>600</v>
      </c>
      <c r="N12059">
        <v>109</v>
      </c>
      <c r="O12059" t="str">
        <f>"PAGAMENTO DE ENTREGADORES"</f>
        <v>PAGAMENTO DE ENTREGADORES</v>
      </c>
      <c r="P12059">
        <v>600</v>
      </c>
      <c r="S12059" t="str">
        <f>"BANCO C6 (149)"</f>
        <v>BANCO C6 (149)</v>
      </c>
      <c r="T12059">
        <v>21446</v>
      </c>
      <c r="U12059">
        <v>25224</v>
      </c>
      <c r="V12059" t="s">
        <v>77</v>
      </c>
    </row>
    <row r="12060" spans="1:22">
      <c r="A12060" t="str">
        <f t="shared" si="2330"/>
        <v>21/11/2025</v>
      </c>
      <c r="B12060" t="str">
        <f t="shared" si="2329"/>
        <v>SAÍDA</v>
      </c>
      <c r="C12060" t="str">
        <f t="shared" si="2331"/>
        <v>PIX</v>
      </c>
      <c r="D12060" t="str">
        <f>"25224"</f>
        <v>25224</v>
      </c>
      <c r="E12060" t="str">
        <f t="shared" ref="E12060:E12123" si="2333">"1"</f>
        <v>1</v>
      </c>
      <c r="F12060" t="str">
        <f t="shared" si="2328"/>
        <v>COM</v>
      </c>
      <c r="G12060" t="str">
        <f>"OSVALDO DOS SANTOS (163)"</f>
        <v>OSVALDO DOS SANTOS (163)</v>
      </c>
      <c r="H12060" t="s">
        <v>3260</v>
      </c>
      <c r="I12060" t="str">
        <f t="shared" si="2332"/>
        <v>20/11/2025</v>
      </c>
      <c r="J12060" t="str">
        <f t="shared" ref="J12060:J12082" si="2334">("11/11/2025")</f>
        <v>11/11/2025</v>
      </c>
      <c r="K12060">
        <v>45982</v>
      </c>
      <c r="N12060">
        <v>109</v>
      </c>
      <c r="O12060" t="s">
        <v>24</v>
      </c>
      <c r="Q12060">
        <v>600</v>
      </c>
      <c r="R12060" t="str">
        <f>"FARMÁCIA INDIANA LJ 35 (10015)"</f>
        <v>FARMÁCIA INDIANA LJ 35 (10015)</v>
      </c>
      <c r="S12060" t="s">
        <v>77</v>
      </c>
      <c r="T12060">
        <v>21446</v>
      </c>
      <c r="U12060">
        <v>25224</v>
      </c>
      <c r="V12060" t="s">
        <v>77</v>
      </c>
    </row>
    <row r="12061" spans="1:22">
      <c r="A12061" t="str">
        <f t="shared" si="2330"/>
        <v>21/11/2025</v>
      </c>
      <c r="B12061" t="str">
        <f t="shared" si="2329"/>
        <v>SAÍDA</v>
      </c>
      <c r="C12061" t="str">
        <f t="shared" si="2331"/>
        <v>PIX</v>
      </c>
      <c r="D12061" t="str">
        <f>"25227"</f>
        <v>25227</v>
      </c>
      <c r="E12061" t="str">
        <f t="shared" si="2333"/>
        <v>1</v>
      </c>
      <c r="F12061" t="str">
        <f t="shared" si="2328"/>
        <v>COM</v>
      </c>
      <c r="G12061" t="str">
        <f>"VINICIUS SANTOS PEREIRA (633)"</f>
        <v>VINICIUS SANTOS PEREIRA (633)</v>
      </c>
      <c r="H12061" t="str">
        <f>"Serv.Prest. 03/11/2025 a 09/11/2025 - PIX: CELULAR - CHAVE: (73) 99818-9718"</f>
        <v>Serv.Prest. 03/11/2025 a 09/11/2025 - PIX: CELULAR - CHAVE: (73) 99818-9718</v>
      </c>
      <c r="I12061" t="str">
        <f t="shared" si="2332"/>
        <v>20/11/2025</v>
      </c>
      <c r="J12061" t="str">
        <f t="shared" si="2334"/>
        <v>11/11/2025</v>
      </c>
      <c r="K12061" t="str">
        <f>("21/11/2025")</f>
        <v>21/11/2025</v>
      </c>
      <c r="L12061">
        <v>641.75</v>
      </c>
      <c r="M12061">
        <v>641.75</v>
      </c>
      <c r="N12061">
        <v>109</v>
      </c>
      <c r="O12061" t="str">
        <f>"PAGAMENTO DE ENTREGADORES"</f>
        <v>PAGAMENTO DE ENTREGADORES</v>
      </c>
      <c r="P12061">
        <v>641.75</v>
      </c>
      <c r="S12061" t="str">
        <f>"BANCO C6 (149)"</f>
        <v>BANCO C6 (149)</v>
      </c>
      <c r="T12061">
        <v>21447</v>
      </c>
      <c r="U12061">
        <v>25227</v>
      </c>
      <c r="V12061" t="s">
        <v>77</v>
      </c>
    </row>
    <row r="12062" spans="1:22">
      <c r="A12062" t="str">
        <f t="shared" si="2330"/>
        <v>21/11/2025</v>
      </c>
      <c r="B12062" t="str">
        <f t="shared" si="2329"/>
        <v>SAÍDA</v>
      </c>
      <c r="C12062" t="str">
        <f t="shared" si="2331"/>
        <v>PIX</v>
      </c>
      <c r="D12062" t="str">
        <f>"25227"</f>
        <v>25227</v>
      </c>
      <c r="E12062" t="str">
        <f t="shared" si="2333"/>
        <v>1</v>
      </c>
      <c r="F12062" t="str">
        <f t="shared" si="2328"/>
        <v>COM</v>
      </c>
      <c r="G12062" t="str">
        <f>"VINICIUS SANTOS PEREIRA (633)"</f>
        <v>VINICIUS SANTOS PEREIRA (633)</v>
      </c>
      <c r="H12062" t="s">
        <v>3261</v>
      </c>
      <c r="I12062" t="str">
        <f t="shared" si="2332"/>
        <v>20/11/2025</v>
      </c>
      <c r="J12062" t="str">
        <f t="shared" si="2334"/>
        <v>11/11/2025</v>
      </c>
      <c r="K12062">
        <v>45982</v>
      </c>
      <c r="N12062">
        <v>109</v>
      </c>
      <c r="O12062" t="s">
        <v>24</v>
      </c>
      <c r="Q12062">
        <v>641.75</v>
      </c>
      <c r="R12062" t="str">
        <f>"FARMÁCIA INDIANA LJ 95 (10039)"</f>
        <v>FARMÁCIA INDIANA LJ 95 (10039)</v>
      </c>
      <c r="S12062" t="s">
        <v>77</v>
      </c>
      <c r="T12062">
        <v>21447</v>
      </c>
      <c r="U12062">
        <v>25227</v>
      </c>
      <c r="V12062" t="s">
        <v>77</v>
      </c>
    </row>
    <row r="12063" spans="1:22">
      <c r="A12063" t="str">
        <f t="shared" si="2330"/>
        <v>21/11/2025</v>
      </c>
      <c r="B12063" t="str">
        <f t="shared" si="2329"/>
        <v>SAÍDA</v>
      </c>
      <c r="C12063" t="str">
        <f t="shared" si="2331"/>
        <v>PIX</v>
      </c>
      <c r="D12063" t="str">
        <f>"25228"</f>
        <v>25228</v>
      </c>
      <c r="E12063" t="str">
        <f t="shared" si="2333"/>
        <v>1</v>
      </c>
      <c r="F12063" t="str">
        <f t="shared" si="2328"/>
        <v>COM</v>
      </c>
      <c r="G12063" t="str">
        <f>"WESLEI GONÇALVES SANTOS (154)"</f>
        <v>WESLEI GONÇALVES SANTOS (154)</v>
      </c>
      <c r="H12063" t="str">
        <f>"Serv.Prest. 03/11/2025 a 09/11/2025 - PIX: CPF - CHAVE: 079.068.045-97"</f>
        <v>Serv.Prest. 03/11/2025 a 09/11/2025 - PIX: CPF - CHAVE: 079.068.045-97</v>
      </c>
      <c r="I12063" t="str">
        <f t="shared" si="2332"/>
        <v>20/11/2025</v>
      </c>
      <c r="J12063" t="str">
        <f t="shared" si="2334"/>
        <v>11/11/2025</v>
      </c>
      <c r="K12063" t="str">
        <f>("21/11/2025")</f>
        <v>21/11/2025</v>
      </c>
      <c r="L12063">
        <v>600.66</v>
      </c>
      <c r="M12063">
        <v>600.66</v>
      </c>
      <c r="N12063">
        <v>109</v>
      </c>
      <c r="O12063" t="str">
        <f>"PAGAMENTO DE ENTREGADORES"</f>
        <v>PAGAMENTO DE ENTREGADORES</v>
      </c>
      <c r="P12063">
        <v>600.66</v>
      </c>
      <c r="S12063" t="str">
        <f>"BANCO C6 (149)"</f>
        <v>BANCO C6 (149)</v>
      </c>
      <c r="T12063">
        <v>21448</v>
      </c>
      <c r="U12063">
        <v>25228</v>
      </c>
      <c r="V12063" t="s">
        <v>77</v>
      </c>
    </row>
    <row r="12064" spans="1:22">
      <c r="A12064" t="str">
        <f t="shared" si="2330"/>
        <v>21/11/2025</v>
      </c>
      <c r="B12064" t="str">
        <f t="shared" si="2329"/>
        <v>SAÍDA</v>
      </c>
      <c r="C12064" t="str">
        <f t="shared" si="2331"/>
        <v>PIX</v>
      </c>
      <c r="D12064" t="str">
        <f>"25228"</f>
        <v>25228</v>
      </c>
      <c r="E12064" t="str">
        <f t="shared" si="2333"/>
        <v>1</v>
      </c>
      <c r="F12064" t="str">
        <f t="shared" si="2328"/>
        <v>COM</v>
      </c>
      <c r="G12064" t="str">
        <f>"WESLEI GONÇALVES SANTOS (154)"</f>
        <v>WESLEI GONÇALVES SANTOS (154)</v>
      </c>
      <c r="H12064" t="s">
        <v>3262</v>
      </c>
      <c r="I12064" t="str">
        <f t="shared" si="2332"/>
        <v>20/11/2025</v>
      </c>
      <c r="J12064" t="str">
        <f t="shared" si="2334"/>
        <v>11/11/2025</v>
      </c>
      <c r="K12064">
        <v>45982</v>
      </c>
      <c r="N12064">
        <v>109</v>
      </c>
      <c r="O12064" t="s">
        <v>24</v>
      </c>
      <c r="Q12064">
        <v>600.66</v>
      </c>
      <c r="R12064" t="str">
        <f>"FARMÁCIA INDIANA LJ 34 (10014)"</f>
        <v>FARMÁCIA INDIANA LJ 34 (10014)</v>
      </c>
      <c r="S12064" t="s">
        <v>77</v>
      </c>
      <c r="T12064">
        <v>21448</v>
      </c>
      <c r="U12064">
        <v>25228</v>
      </c>
      <c r="V12064" t="s">
        <v>77</v>
      </c>
    </row>
    <row r="12065" spans="1:22">
      <c r="A12065" t="str">
        <f t="shared" si="2330"/>
        <v>21/11/2025</v>
      </c>
      <c r="B12065" t="str">
        <f t="shared" si="2329"/>
        <v>SAÍDA</v>
      </c>
      <c r="C12065" t="str">
        <f t="shared" si="2331"/>
        <v>PIX</v>
      </c>
      <c r="D12065" t="str">
        <f>"25230"</f>
        <v>25230</v>
      </c>
      <c r="E12065" t="str">
        <f t="shared" si="2333"/>
        <v>1</v>
      </c>
      <c r="F12065" t="str">
        <f t="shared" si="2328"/>
        <v>COM</v>
      </c>
      <c r="G12065" t="str">
        <f>"YAN BRENDO CORREIA VIEIRA (861)"</f>
        <v>YAN BRENDO CORREIA VIEIRA (861)</v>
      </c>
      <c r="H12065" t="str">
        <f>"Serv.Prest. 03/11/2025 a 09/11/2025 - PIX: CPF - CHAVE: 096.891.935-97"</f>
        <v>Serv.Prest. 03/11/2025 a 09/11/2025 - PIX: CPF - CHAVE: 096.891.935-97</v>
      </c>
      <c r="I12065" t="str">
        <f t="shared" si="2332"/>
        <v>20/11/2025</v>
      </c>
      <c r="J12065" t="str">
        <f t="shared" si="2334"/>
        <v>11/11/2025</v>
      </c>
      <c r="K12065" t="str">
        <f>("21/11/2025")</f>
        <v>21/11/2025</v>
      </c>
      <c r="L12065">
        <v>800</v>
      </c>
      <c r="M12065">
        <v>800</v>
      </c>
      <c r="N12065">
        <v>109</v>
      </c>
      <c r="O12065" t="str">
        <f>"PAGAMENTO DE ENTREGADORES"</f>
        <v>PAGAMENTO DE ENTREGADORES</v>
      </c>
      <c r="P12065">
        <v>800</v>
      </c>
      <c r="S12065" t="str">
        <f>"BANCO C6 (149)"</f>
        <v>BANCO C6 (149)</v>
      </c>
      <c r="T12065">
        <v>21449</v>
      </c>
      <c r="U12065">
        <v>25230</v>
      </c>
      <c r="V12065" t="s">
        <v>77</v>
      </c>
    </row>
    <row r="12066" spans="1:22">
      <c r="A12066" t="str">
        <f t="shared" si="2330"/>
        <v>21/11/2025</v>
      </c>
      <c r="B12066" t="str">
        <f t="shared" si="2329"/>
        <v>SAÍDA</v>
      </c>
      <c r="C12066" t="str">
        <f t="shared" si="2331"/>
        <v>PIX</v>
      </c>
      <c r="D12066" t="str">
        <f>"25230"</f>
        <v>25230</v>
      </c>
      <c r="E12066" t="str">
        <f t="shared" si="2333"/>
        <v>1</v>
      </c>
      <c r="F12066" t="str">
        <f t="shared" si="2328"/>
        <v>COM</v>
      </c>
      <c r="G12066" t="str">
        <f>"YAN BRENDO CORREIA VIEIRA (861)"</f>
        <v>YAN BRENDO CORREIA VIEIRA (861)</v>
      </c>
      <c r="H12066" t="s">
        <v>2781</v>
      </c>
      <c r="I12066" t="str">
        <f t="shared" si="2332"/>
        <v>20/11/2025</v>
      </c>
      <c r="J12066" t="str">
        <f t="shared" si="2334"/>
        <v>11/11/2025</v>
      </c>
      <c r="K12066">
        <v>45982</v>
      </c>
      <c r="N12066">
        <v>109</v>
      </c>
      <c r="O12066" t="s">
        <v>24</v>
      </c>
      <c r="Q12066">
        <v>800</v>
      </c>
      <c r="R12066" t="str">
        <f>"FARMÁCIA INDIANA LJ 200 (10155)"</f>
        <v>FARMÁCIA INDIANA LJ 200 (10155)</v>
      </c>
      <c r="S12066" t="s">
        <v>77</v>
      </c>
      <c r="T12066">
        <v>21449</v>
      </c>
      <c r="U12066">
        <v>25230</v>
      </c>
      <c r="V12066" t="s">
        <v>77</v>
      </c>
    </row>
    <row r="12067" spans="1:22">
      <c r="A12067" t="str">
        <f t="shared" si="2330"/>
        <v>21/11/2025</v>
      </c>
      <c r="B12067" t="str">
        <f t="shared" si="2329"/>
        <v>SAÍDA</v>
      </c>
      <c r="C12067" t="str">
        <f t="shared" si="2331"/>
        <v>PIX</v>
      </c>
      <c r="D12067" t="str">
        <f>"25239"</f>
        <v>25239</v>
      </c>
      <c r="E12067" t="str">
        <f t="shared" si="2333"/>
        <v>1</v>
      </c>
      <c r="F12067" t="str">
        <f t="shared" si="2328"/>
        <v>COM</v>
      </c>
      <c r="G12067" t="str">
        <f>"ANDERSON PEREIRA DOS SANTOS (746)"</f>
        <v>ANDERSON PEREIRA DOS SANTOS (746)</v>
      </c>
      <c r="H12067" t="str">
        <f>"Serv.Prest. 03/11/2025 a 09/11/2025 - PIX: CPF - CHAVE: 079.930.865-07"</f>
        <v>Serv.Prest. 03/11/2025 a 09/11/2025 - PIX: CPF - CHAVE: 079.930.865-07</v>
      </c>
      <c r="I12067" t="str">
        <f t="shared" si="2332"/>
        <v>20/11/2025</v>
      </c>
      <c r="J12067" t="str">
        <f t="shared" si="2334"/>
        <v>11/11/2025</v>
      </c>
      <c r="K12067" t="str">
        <f>("21/11/2025")</f>
        <v>21/11/2025</v>
      </c>
      <c r="L12067">
        <v>804</v>
      </c>
      <c r="M12067">
        <v>804</v>
      </c>
      <c r="N12067">
        <v>109</v>
      </c>
      <c r="O12067" t="str">
        <f>"PAGAMENTO DE ENTREGADORES"</f>
        <v>PAGAMENTO DE ENTREGADORES</v>
      </c>
      <c r="P12067">
        <v>804</v>
      </c>
      <c r="S12067" t="str">
        <f>"BANCO C6 (149)"</f>
        <v>BANCO C6 (149)</v>
      </c>
      <c r="T12067">
        <v>21450</v>
      </c>
      <c r="U12067">
        <v>25239</v>
      </c>
      <c r="V12067" t="s">
        <v>77</v>
      </c>
    </row>
    <row r="12068" spans="1:22">
      <c r="A12068" t="str">
        <f t="shared" si="2330"/>
        <v>21/11/2025</v>
      </c>
      <c r="B12068" t="str">
        <f t="shared" si="2329"/>
        <v>SAÍDA</v>
      </c>
      <c r="C12068" t="str">
        <f t="shared" si="2331"/>
        <v>PIX</v>
      </c>
      <c r="D12068" t="str">
        <f>"25239"</f>
        <v>25239</v>
      </c>
      <c r="E12068" t="str">
        <f t="shared" si="2333"/>
        <v>1</v>
      </c>
      <c r="F12068" t="str">
        <f t="shared" si="2328"/>
        <v>COM</v>
      </c>
      <c r="G12068" t="str">
        <f>"ANDERSON PEREIRA DOS SANTOS (746)"</f>
        <v>ANDERSON PEREIRA DOS SANTOS (746)</v>
      </c>
      <c r="H12068" t="s">
        <v>3263</v>
      </c>
      <c r="I12068" t="str">
        <f t="shared" si="2332"/>
        <v>20/11/2025</v>
      </c>
      <c r="J12068" t="str">
        <f t="shared" si="2334"/>
        <v>11/11/2025</v>
      </c>
      <c r="K12068">
        <v>45982</v>
      </c>
      <c r="N12068">
        <v>109</v>
      </c>
      <c r="O12068" t="s">
        <v>24</v>
      </c>
      <c r="Q12068">
        <v>100.5</v>
      </c>
      <c r="R12068" t="str">
        <f>"FARMÁCIA INDIANA LJ 211 (10168)"</f>
        <v>FARMÁCIA INDIANA LJ 211 (10168)</v>
      </c>
      <c r="S12068" t="s">
        <v>77</v>
      </c>
      <c r="T12068">
        <v>21450</v>
      </c>
      <c r="U12068">
        <v>25239</v>
      </c>
      <c r="V12068" t="s">
        <v>77</v>
      </c>
    </row>
    <row r="12069" spans="1:22">
      <c r="A12069" t="str">
        <f t="shared" si="2330"/>
        <v>21/11/2025</v>
      </c>
      <c r="B12069" t="str">
        <f t="shared" si="2329"/>
        <v>SAÍDA</v>
      </c>
      <c r="C12069" t="str">
        <f t="shared" si="2331"/>
        <v>PIX</v>
      </c>
      <c r="D12069" t="str">
        <f>"25239"</f>
        <v>25239</v>
      </c>
      <c r="E12069" t="str">
        <f t="shared" si="2333"/>
        <v>1</v>
      </c>
      <c r="F12069" t="str">
        <f t="shared" si="2328"/>
        <v>COM</v>
      </c>
      <c r="G12069" t="str">
        <f>"ANDERSON PEREIRA DOS SANTOS (746)"</f>
        <v>ANDERSON PEREIRA DOS SANTOS (746)</v>
      </c>
      <c r="H12069" t="s">
        <v>3263</v>
      </c>
      <c r="I12069" t="str">
        <f t="shared" si="2332"/>
        <v>20/11/2025</v>
      </c>
      <c r="J12069" t="str">
        <f t="shared" si="2334"/>
        <v>11/11/2025</v>
      </c>
      <c r="K12069">
        <v>45982</v>
      </c>
      <c r="N12069">
        <v>109</v>
      </c>
      <c r="O12069" t="s">
        <v>24</v>
      </c>
      <c r="Q12069">
        <v>703.5</v>
      </c>
      <c r="R12069" t="str">
        <f>"FARMÁCIA INDIANA LJ 236 (10169)"</f>
        <v>FARMÁCIA INDIANA LJ 236 (10169)</v>
      </c>
      <c r="S12069" t="s">
        <v>77</v>
      </c>
      <c r="T12069">
        <v>21450</v>
      </c>
      <c r="U12069">
        <v>25239</v>
      </c>
      <c r="V12069" t="s">
        <v>77</v>
      </c>
    </row>
    <row r="12070" spans="1:22">
      <c r="A12070" t="str">
        <f t="shared" si="2330"/>
        <v>21/11/2025</v>
      </c>
      <c r="B12070" t="str">
        <f t="shared" si="2329"/>
        <v>SAÍDA</v>
      </c>
      <c r="C12070" t="str">
        <f t="shared" si="2331"/>
        <v>PIX</v>
      </c>
      <c r="D12070" t="str">
        <f>"25240"</f>
        <v>25240</v>
      </c>
      <c r="E12070" t="str">
        <f t="shared" si="2333"/>
        <v>1</v>
      </c>
      <c r="F12070" t="str">
        <f t="shared" si="2328"/>
        <v>COM</v>
      </c>
      <c r="G12070" t="str">
        <f>"CLEIDIVAN SALOMÃO DOS SANTOS (982)"</f>
        <v>CLEIDIVAN SALOMÃO DOS SANTOS (982)</v>
      </c>
      <c r="H12070" t="str">
        <f>"Serv.Prest. 03/11/2025 a 09/11/2025 - PIX: CPF - CHAVE: 077.317.327-70"</f>
        <v>Serv.Prest. 03/11/2025 a 09/11/2025 - PIX: CPF - CHAVE: 077.317.327-70</v>
      </c>
      <c r="I12070" t="str">
        <f t="shared" si="2332"/>
        <v>20/11/2025</v>
      </c>
      <c r="J12070" t="str">
        <f t="shared" si="2334"/>
        <v>11/11/2025</v>
      </c>
      <c r="K12070" t="str">
        <f>("21/11/2025")</f>
        <v>21/11/2025</v>
      </c>
      <c r="L12070">
        <v>968</v>
      </c>
      <c r="M12070">
        <v>968</v>
      </c>
      <c r="N12070">
        <v>109</v>
      </c>
      <c r="O12070" t="str">
        <f>"PAGAMENTO DE ENTREGADORES"</f>
        <v>PAGAMENTO DE ENTREGADORES</v>
      </c>
      <c r="P12070">
        <v>968</v>
      </c>
      <c r="S12070" t="str">
        <f>"BANCO C6 (149)"</f>
        <v>BANCO C6 (149)</v>
      </c>
      <c r="T12070">
        <v>21451</v>
      </c>
      <c r="U12070">
        <v>25240</v>
      </c>
      <c r="V12070" t="s">
        <v>77</v>
      </c>
    </row>
    <row r="12071" spans="1:22">
      <c r="A12071" t="str">
        <f t="shared" si="2330"/>
        <v>21/11/2025</v>
      </c>
      <c r="B12071" t="str">
        <f t="shared" si="2329"/>
        <v>SAÍDA</v>
      </c>
      <c r="C12071" t="str">
        <f t="shared" si="2331"/>
        <v>PIX</v>
      </c>
      <c r="D12071" t="str">
        <f>"25240"</f>
        <v>25240</v>
      </c>
      <c r="E12071" t="str">
        <f t="shared" si="2333"/>
        <v>1</v>
      </c>
      <c r="F12071" t="str">
        <f t="shared" si="2328"/>
        <v>COM</v>
      </c>
      <c r="G12071" t="str">
        <f>"CLEIDIVAN SALOMÃO DOS SANTOS (982)"</f>
        <v>CLEIDIVAN SALOMÃO DOS SANTOS (982)</v>
      </c>
      <c r="H12071" t="s">
        <v>3264</v>
      </c>
      <c r="I12071" t="str">
        <f t="shared" si="2332"/>
        <v>20/11/2025</v>
      </c>
      <c r="J12071" t="str">
        <f t="shared" si="2334"/>
        <v>11/11/2025</v>
      </c>
      <c r="K12071">
        <v>45982</v>
      </c>
      <c r="N12071">
        <v>109</v>
      </c>
      <c r="O12071" t="s">
        <v>24</v>
      </c>
      <c r="Q12071">
        <v>107.54</v>
      </c>
      <c r="R12071" t="str">
        <f>"FARMÁCIA INDIANA LJ 243 (10142)"</f>
        <v>FARMÁCIA INDIANA LJ 243 (10142)</v>
      </c>
      <c r="S12071" t="s">
        <v>77</v>
      </c>
      <c r="T12071">
        <v>21451</v>
      </c>
      <c r="U12071">
        <v>25240</v>
      </c>
      <c r="V12071" t="s">
        <v>77</v>
      </c>
    </row>
    <row r="12072" spans="1:22">
      <c r="A12072" t="str">
        <f t="shared" si="2330"/>
        <v>21/11/2025</v>
      </c>
      <c r="B12072" t="str">
        <f t="shared" si="2329"/>
        <v>SAÍDA</v>
      </c>
      <c r="C12072" t="str">
        <f t="shared" si="2331"/>
        <v>PIX</v>
      </c>
      <c r="D12072" t="str">
        <f>"25240"</f>
        <v>25240</v>
      </c>
      <c r="E12072" t="str">
        <f t="shared" si="2333"/>
        <v>1</v>
      </c>
      <c r="F12072" t="str">
        <f t="shared" si="2328"/>
        <v>COM</v>
      </c>
      <c r="G12072" t="str">
        <f>"CLEIDIVAN SALOMÃO DOS SANTOS (982)"</f>
        <v>CLEIDIVAN SALOMÃO DOS SANTOS (982)</v>
      </c>
      <c r="H12072" t="s">
        <v>3264</v>
      </c>
      <c r="I12072" t="str">
        <f t="shared" si="2332"/>
        <v>20/11/2025</v>
      </c>
      <c r="J12072" t="str">
        <f t="shared" si="2334"/>
        <v>11/11/2025</v>
      </c>
      <c r="K12072">
        <v>45982</v>
      </c>
      <c r="N12072">
        <v>109</v>
      </c>
      <c r="O12072" t="s">
        <v>24</v>
      </c>
      <c r="Q12072">
        <v>860.46</v>
      </c>
      <c r="R12072" t="str">
        <f>"FARMÁCIA INDIANA LJ 235 (10190)"</f>
        <v>FARMÁCIA INDIANA LJ 235 (10190)</v>
      </c>
      <c r="S12072" t="s">
        <v>77</v>
      </c>
      <c r="T12072">
        <v>21451</v>
      </c>
      <c r="U12072">
        <v>25240</v>
      </c>
      <c r="V12072" t="s">
        <v>77</v>
      </c>
    </row>
    <row r="12073" spans="1:22">
      <c r="A12073" t="str">
        <f t="shared" si="2330"/>
        <v>21/11/2025</v>
      </c>
      <c r="B12073" t="str">
        <f t="shared" si="2329"/>
        <v>SAÍDA</v>
      </c>
      <c r="C12073" t="str">
        <f t="shared" si="2331"/>
        <v>PIX</v>
      </c>
      <c r="D12073" t="str">
        <f>"25241"</f>
        <v>25241</v>
      </c>
      <c r="E12073" t="str">
        <f t="shared" si="2333"/>
        <v>1</v>
      </c>
      <c r="F12073" t="str">
        <f t="shared" si="2328"/>
        <v>COM</v>
      </c>
      <c r="G12073" t="str">
        <f>"DANILO ROCHA SILVA (162)"</f>
        <v>DANILO ROCHA SILVA (162)</v>
      </c>
      <c r="H12073" t="str">
        <f>"Serv.Prest. 03/11/2025 a 09/11/2025 - PIX: CELULAR - CHAVE: (27) 99811-6850"</f>
        <v>Serv.Prest. 03/11/2025 a 09/11/2025 - PIX: CELULAR - CHAVE: (27) 99811-6850</v>
      </c>
      <c r="I12073" t="str">
        <f t="shared" si="2332"/>
        <v>20/11/2025</v>
      </c>
      <c r="J12073" t="str">
        <f t="shared" si="2334"/>
        <v>11/11/2025</v>
      </c>
      <c r="K12073" t="str">
        <f>("21/11/2025")</f>
        <v>21/11/2025</v>
      </c>
      <c r="L12073">
        <v>1336.5</v>
      </c>
      <c r="M12073">
        <v>1336.5</v>
      </c>
      <c r="N12073">
        <v>109</v>
      </c>
      <c r="O12073" t="str">
        <f>"PAGAMENTO DE ENTREGADORES"</f>
        <v>PAGAMENTO DE ENTREGADORES</v>
      </c>
      <c r="P12073">
        <v>1336.5</v>
      </c>
      <c r="S12073" t="str">
        <f>"BANCO C6 (149)"</f>
        <v>BANCO C6 (149)</v>
      </c>
      <c r="T12073">
        <v>21452</v>
      </c>
      <c r="U12073">
        <v>25241</v>
      </c>
      <c r="V12073" t="s">
        <v>77</v>
      </c>
    </row>
    <row r="12074" spans="1:22">
      <c r="A12074" t="str">
        <f t="shared" si="2330"/>
        <v>21/11/2025</v>
      </c>
      <c r="B12074" t="str">
        <f t="shared" si="2329"/>
        <v>SAÍDA</v>
      </c>
      <c r="C12074" t="str">
        <f t="shared" si="2331"/>
        <v>PIX</v>
      </c>
      <c r="D12074" t="str">
        <f>"25241"</f>
        <v>25241</v>
      </c>
      <c r="E12074" t="str">
        <f t="shared" si="2333"/>
        <v>1</v>
      </c>
      <c r="F12074" t="str">
        <f t="shared" si="2328"/>
        <v>COM</v>
      </c>
      <c r="G12074" t="str">
        <f>"DANILO ROCHA SILVA (162)"</f>
        <v>DANILO ROCHA SILVA (162)</v>
      </c>
      <c r="H12074" t="s">
        <v>3265</v>
      </c>
      <c r="I12074" t="str">
        <f t="shared" si="2332"/>
        <v>20/11/2025</v>
      </c>
      <c r="J12074" t="str">
        <f t="shared" si="2334"/>
        <v>11/11/2025</v>
      </c>
      <c r="K12074">
        <v>45982</v>
      </c>
      <c r="N12074">
        <v>109</v>
      </c>
      <c r="O12074" t="s">
        <v>24</v>
      </c>
      <c r="Q12074">
        <v>1336.5</v>
      </c>
      <c r="R12074" t="str">
        <f>"FARMÁCIA INDIANA LJ 181 (10078)"</f>
        <v>FARMÁCIA INDIANA LJ 181 (10078)</v>
      </c>
      <c r="S12074" t="s">
        <v>77</v>
      </c>
      <c r="T12074">
        <v>21452</v>
      </c>
      <c r="U12074">
        <v>25241</v>
      </c>
      <c r="V12074" t="s">
        <v>77</v>
      </c>
    </row>
    <row r="12075" spans="1:22">
      <c r="A12075" t="str">
        <f t="shared" si="2330"/>
        <v>21/11/2025</v>
      </c>
      <c r="B12075" t="str">
        <f t="shared" si="2329"/>
        <v>SAÍDA</v>
      </c>
      <c r="C12075" t="str">
        <f t="shared" si="2331"/>
        <v>PIX</v>
      </c>
      <c r="D12075" t="str">
        <f>"25242"</f>
        <v>25242</v>
      </c>
      <c r="E12075" t="str">
        <f t="shared" si="2333"/>
        <v>1</v>
      </c>
      <c r="F12075" t="str">
        <f t="shared" si="2328"/>
        <v>COM</v>
      </c>
      <c r="G12075" t="str">
        <f>"GABRIEL PRATES DE OLIVEIRA (511)"</f>
        <v>GABRIEL PRATES DE OLIVEIRA (511)</v>
      </c>
      <c r="H12075" t="str">
        <f>"Serv.Prest. 03/11/2025 a 09/11/2025 - PIX: CELULAR - CHAVE: (27) 99869-8144"</f>
        <v>Serv.Prest. 03/11/2025 a 09/11/2025 - PIX: CELULAR - CHAVE: (27) 99869-8144</v>
      </c>
      <c r="I12075" t="str">
        <f t="shared" si="2332"/>
        <v>20/11/2025</v>
      </c>
      <c r="J12075" t="str">
        <f t="shared" si="2334"/>
        <v>11/11/2025</v>
      </c>
      <c r="K12075" t="str">
        <f>("21/11/2025")</f>
        <v>21/11/2025</v>
      </c>
      <c r="L12075">
        <v>996</v>
      </c>
      <c r="M12075">
        <v>996</v>
      </c>
      <c r="N12075">
        <v>109</v>
      </c>
      <c r="O12075" t="str">
        <f>"PAGAMENTO DE ENTREGADORES"</f>
        <v>PAGAMENTO DE ENTREGADORES</v>
      </c>
      <c r="P12075">
        <v>996</v>
      </c>
      <c r="S12075" t="str">
        <f>"BANCO C6 (149)"</f>
        <v>BANCO C6 (149)</v>
      </c>
      <c r="T12075">
        <v>21453</v>
      </c>
      <c r="U12075">
        <v>25242</v>
      </c>
      <c r="V12075" t="s">
        <v>77</v>
      </c>
    </row>
    <row r="12076" spans="1:22">
      <c r="A12076" t="str">
        <f t="shared" si="2330"/>
        <v>21/11/2025</v>
      </c>
      <c r="B12076" t="str">
        <f t="shared" si="2329"/>
        <v>SAÍDA</v>
      </c>
      <c r="C12076" t="str">
        <f t="shared" si="2331"/>
        <v>PIX</v>
      </c>
      <c r="D12076" t="str">
        <f>"25242"</f>
        <v>25242</v>
      </c>
      <c r="E12076" t="str">
        <f t="shared" si="2333"/>
        <v>1</v>
      </c>
      <c r="F12076" t="str">
        <f t="shared" si="2328"/>
        <v>COM</v>
      </c>
      <c r="G12076" t="str">
        <f>"GABRIEL PRATES DE OLIVEIRA (511)"</f>
        <v>GABRIEL PRATES DE OLIVEIRA (511)</v>
      </c>
      <c r="H12076" t="s">
        <v>3266</v>
      </c>
      <c r="I12076" t="str">
        <f t="shared" si="2332"/>
        <v>20/11/2025</v>
      </c>
      <c r="J12076" t="str">
        <f t="shared" si="2334"/>
        <v>11/11/2025</v>
      </c>
      <c r="K12076">
        <v>45982</v>
      </c>
      <c r="N12076">
        <v>109</v>
      </c>
      <c r="O12076" t="s">
        <v>24</v>
      </c>
      <c r="Q12076">
        <v>996</v>
      </c>
      <c r="R12076" t="str">
        <f>"FARMÁCIA INDIANA LJ 163 (10072)"</f>
        <v>FARMÁCIA INDIANA LJ 163 (10072)</v>
      </c>
      <c r="S12076" t="s">
        <v>77</v>
      </c>
      <c r="T12076">
        <v>21453</v>
      </c>
      <c r="U12076">
        <v>25242</v>
      </c>
      <c r="V12076" t="s">
        <v>77</v>
      </c>
    </row>
    <row r="12077" spans="1:22">
      <c r="A12077" t="str">
        <f t="shared" si="2330"/>
        <v>21/11/2025</v>
      </c>
      <c r="B12077" t="str">
        <f t="shared" si="2329"/>
        <v>SAÍDA</v>
      </c>
      <c r="C12077" t="str">
        <f t="shared" si="2331"/>
        <v>PIX</v>
      </c>
      <c r="D12077" t="str">
        <f>"25244"</f>
        <v>25244</v>
      </c>
      <c r="E12077" t="str">
        <f t="shared" si="2333"/>
        <v>1</v>
      </c>
      <c r="F12077" t="str">
        <f t="shared" si="2328"/>
        <v>COM</v>
      </c>
      <c r="G12077" t="str">
        <f>"MARCELO SOUZA DE MOURA (924)"</f>
        <v>MARCELO SOUZA DE MOURA (924)</v>
      </c>
      <c r="H12077" t="str">
        <f>"Serv.Prest. 03/11/2025 a 09/11/2025 - PIX: CELULAR - CHAVE: (73) 99167-5954"</f>
        <v>Serv.Prest. 03/11/2025 a 09/11/2025 - PIX: CELULAR - CHAVE: (73) 99167-5954</v>
      </c>
      <c r="I12077" t="str">
        <f t="shared" si="2332"/>
        <v>20/11/2025</v>
      </c>
      <c r="J12077" t="str">
        <f t="shared" si="2334"/>
        <v>11/11/2025</v>
      </c>
      <c r="K12077" t="str">
        <f>("21/11/2025")</f>
        <v>21/11/2025</v>
      </c>
      <c r="L12077">
        <v>1012.5</v>
      </c>
      <c r="M12077">
        <v>1012.5</v>
      </c>
      <c r="N12077">
        <v>109</v>
      </c>
      <c r="O12077" t="str">
        <f>"PAGAMENTO DE ENTREGADORES"</f>
        <v>PAGAMENTO DE ENTREGADORES</v>
      </c>
      <c r="P12077">
        <v>1012.5</v>
      </c>
      <c r="S12077" t="str">
        <f>"BANCO C6 (149)"</f>
        <v>BANCO C6 (149)</v>
      </c>
      <c r="T12077">
        <v>21454</v>
      </c>
      <c r="U12077">
        <v>25244</v>
      </c>
      <c r="V12077" t="s">
        <v>77</v>
      </c>
    </row>
    <row r="12078" spans="1:22">
      <c r="A12078" t="str">
        <f t="shared" si="2330"/>
        <v>21/11/2025</v>
      </c>
      <c r="B12078" t="str">
        <f t="shared" si="2329"/>
        <v>SAÍDA</v>
      </c>
      <c r="C12078" t="str">
        <f t="shared" si="2331"/>
        <v>PIX</v>
      </c>
      <c r="D12078" t="str">
        <f>"25244"</f>
        <v>25244</v>
      </c>
      <c r="E12078" t="str">
        <f t="shared" si="2333"/>
        <v>1</v>
      </c>
      <c r="F12078" t="str">
        <f t="shared" si="2328"/>
        <v>COM</v>
      </c>
      <c r="G12078" t="str">
        <f>"MARCELO SOUZA DE MOURA (924)"</f>
        <v>MARCELO SOUZA DE MOURA (924)</v>
      </c>
      <c r="H12078" t="s">
        <v>3267</v>
      </c>
      <c r="I12078" t="str">
        <f t="shared" si="2332"/>
        <v>20/11/2025</v>
      </c>
      <c r="J12078" t="str">
        <f t="shared" si="2334"/>
        <v>11/11/2025</v>
      </c>
      <c r="K12078">
        <v>45982</v>
      </c>
      <c r="N12078">
        <v>109</v>
      </c>
      <c r="O12078" t="s">
        <v>24</v>
      </c>
      <c r="Q12078">
        <v>1012.5</v>
      </c>
      <c r="R12078" t="str">
        <f>"FARMÁCIA INDIANA LJ 273 (10188)"</f>
        <v>FARMÁCIA INDIANA LJ 273 (10188)</v>
      </c>
      <c r="S12078" t="s">
        <v>77</v>
      </c>
      <c r="T12078">
        <v>21454</v>
      </c>
      <c r="U12078">
        <v>25244</v>
      </c>
      <c r="V12078" t="s">
        <v>77</v>
      </c>
    </row>
    <row r="12079" spans="1:22">
      <c r="A12079" t="str">
        <f t="shared" si="2330"/>
        <v>21/11/2025</v>
      </c>
      <c r="B12079" t="str">
        <f t="shared" si="2329"/>
        <v>SAÍDA</v>
      </c>
      <c r="C12079" t="str">
        <f t="shared" si="2331"/>
        <v>PIX</v>
      </c>
      <c r="D12079" t="str">
        <f>"25245"</f>
        <v>25245</v>
      </c>
      <c r="E12079" t="str">
        <f t="shared" si="2333"/>
        <v>1</v>
      </c>
      <c r="F12079" t="str">
        <f t="shared" si="2328"/>
        <v>COM</v>
      </c>
      <c r="G12079" t="str">
        <f>"VANDERLEI PEREIRA CARVALHO (929)"</f>
        <v>VANDERLEI PEREIRA CARVALHO (929)</v>
      </c>
      <c r="H12079" t="str">
        <f>"Serv.Prest. 03/11/2025 a 09/11/2025 - PIX: CELULAR - CHAVE: (27) 99650-9691"</f>
        <v>Serv.Prest. 03/11/2025 a 09/11/2025 - PIX: CELULAR - CHAVE: (27) 99650-9691</v>
      </c>
      <c r="I12079" t="str">
        <f t="shared" si="2332"/>
        <v>20/11/2025</v>
      </c>
      <c r="J12079" t="str">
        <f t="shared" si="2334"/>
        <v>11/11/2025</v>
      </c>
      <c r="K12079" t="str">
        <f>("21/11/2025")</f>
        <v>21/11/2025</v>
      </c>
      <c r="L12079">
        <v>825</v>
      </c>
      <c r="M12079">
        <v>825</v>
      </c>
      <c r="N12079">
        <v>109</v>
      </c>
      <c r="O12079" t="str">
        <f>"PAGAMENTO DE ENTREGADORES"</f>
        <v>PAGAMENTO DE ENTREGADORES</v>
      </c>
      <c r="P12079">
        <v>825</v>
      </c>
      <c r="S12079" t="str">
        <f>"BANCO C6 (149)"</f>
        <v>BANCO C6 (149)</v>
      </c>
      <c r="T12079">
        <v>21455</v>
      </c>
      <c r="U12079">
        <v>25245</v>
      </c>
      <c r="V12079" t="s">
        <v>77</v>
      </c>
    </row>
    <row r="12080" spans="1:22">
      <c r="A12080" t="str">
        <f t="shared" si="2330"/>
        <v>21/11/2025</v>
      </c>
      <c r="B12080" t="str">
        <f t="shared" si="2329"/>
        <v>SAÍDA</v>
      </c>
      <c r="C12080" t="str">
        <f t="shared" si="2331"/>
        <v>PIX</v>
      </c>
      <c r="D12080" t="str">
        <f>"25245"</f>
        <v>25245</v>
      </c>
      <c r="E12080" t="str">
        <f t="shared" si="2333"/>
        <v>1</v>
      </c>
      <c r="F12080" t="str">
        <f t="shared" si="2328"/>
        <v>COM</v>
      </c>
      <c r="G12080" t="str">
        <f>"VANDERLEI PEREIRA CARVALHO (929)"</f>
        <v>VANDERLEI PEREIRA CARVALHO (929)</v>
      </c>
      <c r="H12080" t="s">
        <v>3268</v>
      </c>
      <c r="I12080" t="str">
        <f t="shared" si="2332"/>
        <v>20/11/2025</v>
      </c>
      <c r="J12080" t="str">
        <f t="shared" si="2334"/>
        <v>11/11/2025</v>
      </c>
      <c r="K12080">
        <v>45982</v>
      </c>
      <c r="N12080">
        <v>109</v>
      </c>
      <c r="O12080" t="s">
        <v>24</v>
      </c>
      <c r="Q12080">
        <v>825</v>
      </c>
      <c r="R12080" t="str">
        <f>"FARMÁCIA INDIANA LJ 119 (10053)"</f>
        <v>FARMÁCIA INDIANA LJ 119 (10053)</v>
      </c>
      <c r="S12080" t="s">
        <v>77</v>
      </c>
      <c r="T12080">
        <v>21455</v>
      </c>
      <c r="U12080">
        <v>25245</v>
      </c>
      <c r="V12080" t="s">
        <v>77</v>
      </c>
    </row>
    <row r="12081" spans="1:22">
      <c r="A12081" t="str">
        <f t="shared" si="2330"/>
        <v>21/11/2025</v>
      </c>
      <c r="B12081" t="str">
        <f t="shared" si="2329"/>
        <v>SAÍDA</v>
      </c>
      <c r="C12081" t="str">
        <f t="shared" si="2331"/>
        <v>PIX</v>
      </c>
      <c r="D12081" t="str">
        <f>"25246"</f>
        <v>25246</v>
      </c>
      <c r="E12081" t="str">
        <f t="shared" si="2333"/>
        <v>1</v>
      </c>
      <c r="F12081" t="str">
        <f t="shared" si="2328"/>
        <v>COM</v>
      </c>
      <c r="G12081" t="str">
        <f>"VINÍCIUS NEVES PEREIRA (776)"</f>
        <v>VINÍCIUS NEVES PEREIRA (776)</v>
      </c>
      <c r="H12081" t="str">
        <f>"Serv.Prest. 03/11/2025 a 09/11/2025 - PIX: CPF - CHAVE: 121.963.507-37"</f>
        <v>Serv.Prest. 03/11/2025 a 09/11/2025 - PIX: CPF - CHAVE: 121.963.507-37</v>
      </c>
      <c r="I12081" t="str">
        <f t="shared" si="2332"/>
        <v>20/11/2025</v>
      </c>
      <c r="J12081" t="str">
        <f t="shared" si="2334"/>
        <v>11/11/2025</v>
      </c>
      <c r="K12081" t="str">
        <f>("21/11/2025")</f>
        <v>21/11/2025</v>
      </c>
      <c r="L12081">
        <v>750.75</v>
      </c>
      <c r="M12081">
        <v>750.75</v>
      </c>
      <c r="N12081">
        <v>109</v>
      </c>
      <c r="O12081" t="str">
        <f>"PAGAMENTO DE ENTREGADORES"</f>
        <v>PAGAMENTO DE ENTREGADORES</v>
      </c>
      <c r="P12081">
        <v>750.75</v>
      </c>
      <c r="S12081" t="str">
        <f>"BANCO C6 (149)"</f>
        <v>BANCO C6 (149)</v>
      </c>
      <c r="T12081">
        <v>21456</v>
      </c>
      <c r="U12081">
        <v>25246</v>
      </c>
      <c r="V12081" t="s">
        <v>77</v>
      </c>
    </row>
    <row r="12082" spans="1:22">
      <c r="A12082" t="str">
        <f t="shared" si="2330"/>
        <v>21/11/2025</v>
      </c>
      <c r="B12082" t="str">
        <f t="shared" si="2329"/>
        <v>SAÍDA</v>
      </c>
      <c r="C12082" t="str">
        <f t="shared" si="2331"/>
        <v>PIX</v>
      </c>
      <c r="D12082" t="str">
        <f>"25246"</f>
        <v>25246</v>
      </c>
      <c r="E12082" t="str">
        <f t="shared" si="2333"/>
        <v>1</v>
      </c>
      <c r="F12082" t="str">
        <f t="shared" si="2328"/>
        <v>COM</v>
      </c>
      <c r="G12082" t="str">
        <f>"VINÍCIUS NEVES PEREIRA (776)"</f>
        <v>VINÍCIUS NEVES PEREIRA (776)</v>
      </c>
      <c r="H12082" t="s">
        <v>3269</v>
      </c>
      <c r="I12082" t="str">
        <f t="shared" si="2332"/>
        <v>20/11/2025</v>
      </c>
      <c r="J12082" t="str">
        <f t="shared" si="2334"/>
        <v>11/11/2025</v>
      </c>
      <c r="K12082">
        <v>45982</v>
      </c>
      <c r="N12082">
        <v>109</v>
      </c>
      <c r="O12082" t="s">
        <v>24</v>
      </c>
      <c r="Q12082">
        <v>750.75</v>
      </c>
      <c r="R12082" t="str">
        <f>"FARMÁCIA INDIANA LJ 221 (10093)"</f>
        <v>FARMÁCIA INDIANA LJ 221 (10093)</v>
      </c>
      <c r="S12082" t="s">
        <v>77</v>
      </c>
      <c r="T12082">
        <v>21456</v>
      </c>
      <c r="U12082">
        <v>25246</v>
      </c>
      <c r="V12082" t="s">
        <v>77</v>
      </c>
    </row>
    <row r="12083" spans="1:22">
      <c r="A12083" t="str">
        <f t="shared" si="2330"/>
        <v>21/11/2025</v>
      </c>
      <c r="B12083" t="str">
        <f t="shared" si="2329"/>
        <v>SAÍDA</v>
      </c>
      <c r="C12083" t="str">
        <f t="shared" si="2331"/>
        <v>PIX</v>
      </c>
      <c r="D12083" t="str">
        <f>"25268"</f>
        <v>25268</v>
      </c>
      <c r="E12083" t="str">
        <f t="shared" si="2333"/>
        <v>1</v>
      </c>
      <c r="F12083" t="str">
        <f t="shared" si="2328"/>
        <v>COM</v>
      </c>
      <c r="G12083" t="str">
        <f>"ALAN ACOSTA (897)"</f>
        <v>ALAN ACOSTA (897)</v>
      </c>
      <c r="H12083" t="str">
        <f>"Serv.Prest. 03/11/2025 a 09/11/2025 - PIX: E-MAIL - CHAVE: alanacosta1999@gmail.com"</f>
        <v>Serv.Prest. 03/11/2025 a 09/11/2025 - PIX: E-MAIL - CHAVE: alanacosta1999@gmail.com</v>
      </c>
      <c r="I12083" t="str">
        <f t="shared" si="2332"/>
        <v>20/11/2025</v>
      </c>
      <c r="J12083" t="str">
        <f t="shared" ref="J12083:J12123" si="2335">("12/11/2025")</f>
        <v>12/11/2025</v>
      </c>
      <c r="K12083" t="str">
        <f>("21/11/2025")</f>
        <v>21/11/2025</v>
      </c>
      <c r="L12083">
        <v>466.2</v>
      </c>
      <c r="M12083">
        <v>466.2</v>
      </c>
      <c r="N12083">
        <v>109</v>
      </c>
      <c r="O12083" t="str">
        <f>"PAGAMENTO DE ENTREGADORES"</f>
        <v>PAGAMENTO DE ENTREGADORES</v>
      </c>
      <c r="P12083">
        <v>466.2</v>
      </c>
      <c r="S12083" t="str">
        <f>"BANCO C6 (149)"</f>
        <v>BANCO C6 (149)</v>
      </c>
      <c r="T12083">
        <v>21457</v>
      </c>
      <c r="U12083">
        <v>25268</v>
      </c>
      <c r="V12083" t="s">
        <v>77</v>
      </c>
    </row>
    <row r="12084" spans="1:22">
      <c r="A12084" t="str">
        <f t="shared" si="2330"/>
        <v>21/11/2025</v>
      </c>
      <c r="B12084" t="str">
        <f t="shared" si="2329"/>
        <v>SAÍDA</v>
      </c>
      <c r="C12084" t="str">
        <f t="shared" si="2331"/>
        <v>PIX</v>
      </c>
      <c r="D12084" t="str">
        <f>"25268"</f>
        <v>25268</v>
      </c>
      <c r="E12084" t="str">
        <f t="shared" si="2333"/>
        <v>1</v>
      </c>
      <c r="F12084" t="str">
        <f t="shared" si="2328"/>
        <v>COM</v>
      </c>
      <c r="G12084" t="str">
        <f>"ALAN ACOSTA (897)"</f>
        <v>ALAN ACOSTA (897)</v>
      </c>
      <c r="H12084" t="s">
        <v>3270</v>
      </c>
      <c r="I12084" t="str">
        <f t="shared" si="2332"/>
        <v>20/11/2025</v>
      </c>
      <c r="J12084" t="str">
        <f t="shared" si="2335"/>
        <v>12/11/2025</v>
      </c>
      <c r="K12084">
        <v>45982</v>
      </c>
      <c r="N12084">
        <v>109</v>
      </c>
      <c r="O12084" t="s">
        <v>24</v>
      </c>
      <c r="Q12084">
        <v>466.2</v>
      </c>
      <c r="R12084" t="str">
        <f>"AC FARMA - CID.ALTA (10166)"</f>
        <v>AC FARMA - CID.ALTA (10166)</v>
      </c>
      <c r="S12084" t="s">
        <v>77</v>
      </c>
      <c r="T12084">
        <v>21457</v>
      </c>
      <c r="U12084">
        <v>25268</v>
      </c>
      <c r="V12084" t="s">
        <v>77</v>
      </c>
    </row>
    <row r="12085" spans="1:22">
      <c r="A12085" t="str">
        <f t="shared" si="2330"/>
        <v>21/11/2025</v>
      </c>
      <c r="B12085" t="str">
        <f t="shared" si="2329"/>
        <v>SAÍDA</v>
      </c>
      <c r="C12085" t="str">
        <f t="shared" si="2331"/>
        <v>PIX</v>
      </c>
      <c r="D12085" t="str">
        <f>"25269"</f>
        <v>25269</v>
      </c>
      <c r="E12085" t="str">
        <f t="shared" si="2333"/>
        <v>1</v>
      </c>
      <c r="F12085" t="str">
        <f t="shared" si="2328"/>
        <v>COM</v>
      </c>
      <c r="G12085" t="str">
        <f>"ALEXANDRE DA CONCEICAO (714)"</f>
        <v>ALEXANDRE DA CONCEICAO (714)</v>
      </c>
      <c r="H12085" t="str">
        <f>"Serv.Prest. 03/11/2025 a 09/11/2025 - PIX: CPF - CHAVE: 975.425.989-53"</f>
        <v>Serv.Prest. 03/11/2025 a 09/11/2025 - PIX: CPF - CHAVE: 975.425.989-53</v>
      </c>
      <c r="I12085" t="str">
        <f t="shared" si="2332"/>
        <v>20/11/2025</v>
      </c>
      <c r="J12085" t="str">
        <f t="shared" si="2335"/>
        <v>12/11/2025</v>
      </c>
      <c r="K12085" t="str">
        <f>("21/11/2025")</f>
        <v>21/11/2025</v>
      </c>
      <c r="L12085">
        <v>340.2</v>
      </c>
      <c r="M12085">
        <v>340.2</v>
      </c>
      <c r="N12085">
        <v>109</v>
      </c>
      <c r="O12085" t="str">
        <f>"PAGAMENTO DE ENTREGADORES"</f>
        <v>PAGAMENTO DE ENTREGADORES</v>
      </c>
      <c r="P12085">
        <v>340.2</v>
      </c>
      <c r="S12085" t="str">
        <f>"BANCO C6 (149)"</f>
        <v>BANCO C6 (149)</v>
      </c>
      <c r="T12085">
        <v>21458</v>
      </c>
      <c r="U12085">
        <v>25269</v>
      </c>
      <c r="V12085" t="s">
        <v>77</v>
      </c>
    </row>
    <row r="12086" spans="1:22">
      <c r="A12086" t="str">
        <f t="shared" si="2330"/>
        <v>21/11/2025</v>
      </c>
      <c r="B12086" t="str">
        <f t="shared" si="2329"/>
        <v>SAÍDA</v>
      </c>
      <c r="C12086" t="str">
        <f t="shared" si="2331"/>
        <v>PIX</v>
      </c>
      <c r="D12086" t="str">
        <f>"25269"</f>
        <v>25269</v>
      </c>
      <c r="E12086" t="str">
        <f t="shared" si="2333"/>
        <v>1</v>
      </c>
      <c r="F12086" t="str">
        <f t="shared" si="2328"/>
        <v>COM</v>
      </c>
      <c r="G12086" t="str">
        <f>"ALEXANDRE DA CONCEICAO (714)"</f>
        <v>ALEXANDRE DA CONCEICAO (714)</v>
      </c>
      <c r="H12086" t="s">
        <v>3271</v>
      </c>
      <c r="I12086" t="str">
        <f t="shared" si="2332"/>
        <v>20/11/2025</v>
      </c>
      <c r="J12086" t="str">
        <f t="shared" si="2335"/>
        <v>12/11/2025</v>
      </c>
      <c r="K12086">
        <v>45982</v>
      </c>
      <c r="N12086">
        <v>109</v>
      </c>
      <c r="O12086" t="s">
        <v>24</v>
      </c>
      <c r="Q12086">
        <v>340.2</v>
      </c>
      <c r="R12086" t="str">
        <f>"AC FARMA - CID.ALTA (10166)"</f>
        <v>AC FARMA - CID.ALTA (10166)</v>
      </c>
      <c r="S12086" t="s">
        <v>77</v>
      </c>
      <c r="T12086">
        <v>21458</v>
      </c>
      <c r="U12086">
        <v>25269</v>
      </c>
      <c r="V12086" t="s">
        <v>77</v>
      </c>
    </row>
    <row r="12087" spans="1:22">
      <c r="A12087" t="str">
        <f t="shared" si="2330"/>
        <v>21/11/2025</v>
      </c>
      <c r="B12087" t="str">
        <f t="shared" si="2329"/>
        <v>SAÍDA</v>
      </c>
      <c r="C12087" t="str">
        <f t="shared" si="2331"/>
        <v>PIX</v>
      </c>
      <c r="D12087" t="str">
        <f>"25270"</f>
        <v>25270</v>
      </c>
      <c r="E12087" t="str">
        <f t="shared" si="2333"/>
        <v>1</v>
      </c>
      <c r="F12087" t="str">
        <f t="shared" si="2328"/>
        <v>COM</v>
      </c>
      <c r="G12087" t="str">
        <f>"CLAUDINEI RIBEIRO VALERIO (681)"</f>
        <v>CLAUDINEI RIBEIRO VALERIO (681)</v>
      </c>
      <c r="H12087" t="str">
        <f>"Serv.Prest. 03/11/2025 a 09/11/2025 - PIX: CELULAR - CHAVE: (43) 99630-7532"</f>
        <v>Serv.Prest. 03/11/2025 a 09/11/2025 - PIX: CELULAR - CHAVE: (43) 99630-7532</v>
      </c>
      <c r="I12087" t="str">
        <f t="shared" si="2332"/>
        <v>20/11/2025</v>
      </c>
      <c r="J12087" t="str">
        <f t="shared" si="2335"/>
        <v>12/11/2025</v>
      </c>
      <c r="K12087" t="str">
        <f>("21/11/2025")</f>
        <v>21/11/2025</v>
      </c>
      <c r="L12087">
        <v>863.1</v>
      </c>
      <c r="M12087">
        <v>863.1</v>
      </c>
      <c r="N12087">
        <v>109</v>
      </c>
      <c r="O12087" t="str">
        <f>"PAGAMENTO DE ENTREGADORES"</f>
        <v>PAGAMENTO DE ENTREGADORES</v>
      </c>
      <c r="P12087">
        <v>863.1</v>
      </c>
      <c r="S12087" t="str">
        <f>"BANCO C6 (149)"</f>
        <v>BANCO C6 (149)</v>
      </c>
      <c r="T12087">
        <v>21459</v>
      </c>
      <c r="U12087">
        <v>25270</v>
      </c>
      <c r="V12087" t="s">
        <v>77</v>
      </c>
    </row>
    <row r="12088" spans="1:22">
      <c r="A12088" t="str">
        <f t="shared" si="2330"/>
        <v>21/11/2025</v>
      </c>
      <c r="B12088" t="str">
        <f t="shared" si="2329"/>
        <v>SAÍDA</v>
      </c>
      <c r="C12088" t="str">
        <f t="shared" si="2331"/>
        <v>PIX</v>
      </c>
      <c r="D12088" t="str">
        <f>"25270"</f>
        <v>25270</v>
      </c>
      <c r="E12088" t="str">
        <f t="shared" si="2333"/>
        <v>1</v>
      </c>
      <c r="F12088" t="str">
        <f t="shared" si="2328"/>
        <v>COM</v>
      </c>
      <c r="G12088" t="str">
        <f>"CLAUDINEI RIBEIRO VALERIO (681)"</f>
        <v>CLAUDINEI RIBEIRO VALERIO (681)</v>
      </c>
      <c r="H12088" t="s">
        <v>3272</v>
      </c>
      <c r="I12088" t="str">
        <f t="shared" si="2332"/>
        <v>20/11/2025</v>
      </c>
      <c r="J12088" t="str">
        <f t="shared" si="2335"/>
        <v>12/11/2025</v>
      </c>
      <c r="K12088">
        <v>45982</v>
      </c>
      <c r="N12088">
        <v>109</v>
      </c>
      <c r="O12088" t="s">
        <v>24</v>
      </c>
      <c r="Q12088">
        <v>863.1</v>
      </c>
      <c r="R12088" t="str">
        <f>"AC FARMA - CID.ALTA (10166)"</f>
        <v>AC FARMA - CID.ALTA (10166)</v>
      </c>
      <c r="S12088" t="s">
        <v>77</v>
      </c>
      <c r="T12088">
        <v>21459</v>
      </c>
      <c r="U12088">
        <v>25270</v>
      </c>
      <c r="V12088" t="s">
        <v>77</v>
      </c>
    </row>
    <row r="12089" spans="1:22">
      <c r="A12089" t="str">
        <f t="shared" si="2330"/>
        <v>21/11/2025</v>
      </c>
      <c r="B12089" t="str">
        <f t="shared" si="2329"/>
        <v>SAÍDA</v>
      </c>
      <c r="C12089" t="str">
        <f t="shared" si="2331"/>
        <v>PIX</v>
      </c>
      <c r="D12089" t="str">
        <f>"25271"</f>
        <v>25271</v>
      </c>
      <c r="E12089" t="str">
        <f t="shared" si="2333"/>
        <v>1</v>
      </c>
      <c r="F12089" t="str">
        <f t="shared" si="2328"/>
        <v>COM</v>
      </c>
      <c r="G12089" t="str">
        <f>"FERNANDO MARTINS DA SILVA (701)"</f>
        <v>FERNANDO MARTINS DA SILVA (701)</v>
      </c>
      <c r="H12089" t="str">
        <f>"Serv.Prest. 03/11/2025 a 09/11/2025 - PIX: CPF - CHAVE: 004.682.359-06"</f>
        <v>Serv.Prest. 03/11/2025 a 09/11/2025 - PIX: CPF - CHAVE: 004.682.359-06</v>
      </c>
      <c r="I12089" t="str">
        <f t="shared" si="2332"/>
        <v>20/11/2025</v>
      </c>
      <c r="J12089" t="str">
        <f t="shared" si="2335"/>
        <v>12/11/2025</v>
      </c>
      <c r="K12089" t="str">
        <f>("21/11/2025")</f>
        <v>21/11/2025</v>
      </c>
      <c r="L12089">
        <v>850.5</v>
      </c>
      <c r="M12089">
        <v>850.5</v>
      </c>
      <c r="N12089">
        <v>109</v>
      </c>
      <c r="O12089" t="str">
        <f>"PAGAMENTO DE ENTREGADORES"</f>
        <v>PAGAMENTO DE ENTREGADORES</v>
      </c>
      <c r="P12089">
        <v>850.5</v>
      </c>
      <c r="S12089" t="str">
        <f>"BANCO C6 (149)"</f>
        <v>BANCO C6 (149)</v>
      </c>
      <c r="T12089">
        <v>21460</v>
      </c>
      <c r="U12089">
        <v>25271</v>
      </c>
      <c r="V12089" t="s">
        <v>77</v>
      </c>
    </row>
    <row r="12090" spans="1:22">
      <c r="A12090" t="str">
        <f t="shared" si="2330"/>
        <v>21/11/2025</v>
      </c>
      <c r="B12090" t="str">
        <f t="shared" si="2329"/>
        <v>SAÍDA</v>
      </c>
      <c r="C12090" t="str">
        <f t="shared" si="2331"/>
        <v>PIX</v>
      </c>
      <c r="D12090" t="str">
        <f>"25271"</f>
        <v>25271</v>
      </c>
      <c r="E12090" t="str">
        <f t="shared" si="2333"/>
        <v>1</v>
      </c>
      <c r="F12090" t="str">
        <f t="shared" ref="F12090:F12153" si="2336">"COM"</f>
        <v>COM</v>
      </c>
      <c r="G12090" t="str">
        <f>"FERNANDO MARTINS DA SILVA (701)"</f>
        <v>FERNANDO MARTINS DA SILVA (701)</v>
      </c>
      <c r="H12090" t="s">
        <v>3273</v>
      </c>
      <c r="I12090" t="str">
        <f t="shared" si="2332"/>
        <v>20/11/2025</v>
      </c>
      <c r="J12090" t="str">
        <f t="shared" si="2335"/>
        <v>12/11/2025</v>
      </c>
      <c r="K12090">
        <v>45982</v>
      </c>
      <c r="N12090">
        <v>109</v>
      </c>
      <c r="O12090" t="s">
        <v>24</v>
      </c>
      <c r="Q12090">
        <v>850.5</v>
      </c>
      <c r="R12090" t="str">
        <f>"AC FARMA - CID.ALTA (10166)"</f>
        <v>AC FARMA - CID.ALTA (10166)</v>
      </c>
      <c r="S12090" t="s">
        <v>77</v>
      </c>
      <c r="T12090">
        <v>21460</v>
      </c>
      <c r="U12090">
        <v>25271</v>
      </c>
      <c r="V12090" t="s">
        <v>77</v>
      </c>
    </row>
    <row r="12091" spans="1:22">
      <c r="A12091" t="str">
        <f t="shared" si="2330"/>
        <v>21/11/2025</v>
      </c>
      <c r="B12091" t="str">
        <f t="shared" si="2329"/>
        <v>SAÍDA</v>
      </c>
      <c r="C12091" t="str">
        <f t="shared" si="2331"/>
        <v>PIX</v>
      </c>
      <c r="D12091" t="str">
        <f>"25272"</f>
        <v>25272</v>
      </c>
      <c r="E12091" t="str">
        <f t="shared" si="2333"/>
        <v>1</v>
      </c>
      <c r="F12091" t="str">
        <f t="shared" si="2336"/>
        <v>COM</v>
      </c>
      <c r="G12091" t="str">
        <f>"GERALDO SEVERINO DE SANTANA (729)"</f>
        <v>GERALDO SEVERINO DE SANTANA (729)</v>
      </c>
      <c r="H12091" t="str">
        <f>"Serv.Prest. 03/11/2025 a 09/11/2025 - PIX: CELULAR - CHAVE: (43) 99934-1696"</f>
        <v>Serv.Prest. 03/11/2025 a 09/11/2025 - PIX: CELULAR - CHAVE: (43) 99934-1696</v>
      </c>
      <c r="I12091" t="str">
        <f t="shared" si="2332"/>
        <v>20/11/2025</v>
      </c>
      <c r="J12091" t="str">
        <f t="shared" si="2335"/>
        <v>12/11/2025</v>
      </c>
      <c r="K12091" t="str">
        <f>("21/11/2025")</f>
        <v>21/11/2025</v>
      </c>
      <c r="L12091">
        <v>705.6</v>
      </c>
      <c r="M12091">
        <v>705.6</v>
      </c>
      <c r="N12091">
        <v>109</v>
      </c>
      <c r="O12091" t="str">
        <f>"PAGAMENTO DE ENTREGADORES"</f>
        <v>PAGAMENTO DE ENTREGADORES</v>
      </c>
      <c r="P12091">
        <v>705.6</v>
      </c>
      <c r="S12091" t="str">
        <f>"BANCO C6 (149)"</f>
        <v>BANCO C6 (149)</v>
      </c>
      <c r="T12091">
        <v>21461</v>
      </c>
      <c r="U12091">
        <v>25272</v>
      </c>
      <c r="V12091" t="s">
        <v>77</v>
      </c>
    </row>
    <row r="12092" spans="1:22">
      <c r="A12092" t="str">
        <f t="shared" si="2330"/>
        <v>21/11/2025</v>
      </c>
      <c r="B12092" t="str">
        <f t="shared" si="2329"/>
        <v>SAÍDA</v>
      </c>
      <c r="C12092" t="str">
        <f t="shared" si="2331"/>
        <v>PIX</v>
      </c>
      <c r="D12092" t="str">
        <f>"25272"</f>
        <v>25272</v>
      </c>
      <c r="E12092" t="str">
        <f t="shared" si="2333"/>
        <v>1</v>
      </c>
      <c r="F12092" t="str">
        <f t="shared" si="2336"/>
        <v>COM</v>
      </c>
      <c r="G12092" t="str">
        <f>"GERALDO SEVERINO DE SANTANA (729)"</f>
        <v>GERALDO SEVERINO DE SANTANA (729)</v>
      </c>
      <c r="H12092" t="s">
        <v>3274</v>
      </c>
      <c r="I12092" t="str">
        <f t="shared" si="2332"/>
        <v>20/11/2025</v>
      </c>
      <c r="J12092" t="str">
        <f t="shared" si="2335"/>
        <v>12/11/2025</v>
      </c>
      <c r="K12092">
        <v>45982</v>
      </c>
      <c r="N12092">
        <v>109</v>
      </c>
      <c r="O12092" t="s">
        <v>24</v>
      </c>
      <c r="Q12092">
        <v>705.6</v>
      </c>
      <c r="R12092" t="str">
        <f>"AC FARMA - CID.ALTA (10166)"</f>
        <v>AC FARMA - CID.ALTA (10166)</v>
      </c>
      <c r="S12092" t="s">
        <v>77</v>
      </c>
      <c r="T12092">
        <v>21461</v>
      </c>
      <c r="U12092">
        <v>25272</v>
      </c>
      <c r="V12092" t="s">
        <v>77</v>
      </c>
    </row>
    <row r="12093" spans="1:22">
      <c r="A12093" t="str">
        <f t="shared" si="2330"/>
        <v>21/11/2025</v>
      </c>
      <c r="B12093" t="str">
        <f t="shared" si="2329"/>
        <v>SAÍDA</v>
      </c>
      <c r="C12093" t="str">
        <f t="shared" si="2331"/>
        <v>PIX</v>
      </c>
      <c r="D12093" t="str">
        <f>"25273"</f>
        <v>25273</v>
      </c>
      <c r="E12093" t="str">
        <f t="shared" si="2333"/>
        <v>1</v>
      </c>
      <c r="F12093" t="str">
        <f t="shared" si="2336"/>
        <v>COM</v>
      </c>
      <c r="G12093" t="str">
        <f>"HELITON DE OLIVEIRA RAMOS BARBOSA (724)"</f>
        <v>HELITON DE OLIVEIRA RAMOS BARBOSA (724)</v>
      </c>
      <c r="H12093" t="str">
        <f>"Serv.Prest. 03/11/2025 a 09/11/2025 - PIX: CPF - CHAVE: 074.604.219-10"</f>
        <v>Serv.Prest. 03/11/2025 a 09/11/2025 - PIX: CPF - CHAVE: 074.604.219-10</v>
      </c>
      <c r="I12093" t="str">
        <f t="shared" si="2332"/>
        <v>20/11/2025</v>
      </c>
      <c r="J12093" t="str">
        <f t="shared" si="2335"/>
        <v>12/11/2025</v>
      </c>
      <c r="K12093" t="str">
        <f>("21/11/2025")</f>
        <v>21/11/2025</v>
      </c>
      <c r="L12093">
        <v>648.9</v>
      </c>
      <c r="M12093">
        <v>648.9</v>
      </c>
      <c r="N12093">
        <v>109</v>
      </c>
      <c r="O12093" t="str">
        <f>"PAGAMENTO DE ENTREGADORES"</f>
        <v>PAGAMENTO DE ENTREGADORES</v>
      </c>
      <c r="P12093">
        <v>648.9</v>
      </c>
      <c r="S12093" t="str">
        <f>"BANCO C6 (149)"</f>
        <v>BANCO C6 (149)</v>
      </c>
      <c r="T12093">
        <v>21462</v>
      </c>
      <c r="U12093">
        <v>25273</v>
      </c>
      <c r="V12093" t="s">
        <v>77</v>
      </c>
    </row>
    <row r="12094" spans="1:22">
      <c r="A12094" t="str">
        <f t="shared" si="2330"/>
        <v>21/11/2025</v>
      </c>
      <c r="B12094" t="str">
        <f t="shared" si="2329"/>
        <v>SAÍDA</v>
      </c>
      <c r="C12094" t="str">
        <f t="shared" si="2331"/>
        <v>PIX</v>
      </c>
      <c r="D12094" t="str">
        <f>"25273"</f>
        <v>25273</v>
      </c>
      <c r="E12094" t="str">
        <f t="shared" si="2333"/>
        <v>1</v>
      </c>
      <c r="F12094" t="str">
        <f t="shared" si="2336"/>
        <v>COM</v>
      </c>
      <c r="G12094" t="str">
        <f>"HELITON DE OLIVEIRA RAMOS BARBOSA (724)"</f>
        <v>HELITON DE OLIVEIRA RAMOS BARBOSA (724)</v>
      </c>
      <c r="H12094" t="s">
        <v>3275</v>
      </c>
      <c r="I12094" t="str">
        <f t="shared" si="2332"/>
        <v>20/11/2025</v>
      </c>
      <c r="J12094" t="str">
        <f t="shared" si="2335"/>
        <v>12/11/2025</v>
      </c>
      <c r="K12094">
        <v>45982</v>
      </c>
      <c r="N12094">
        <v>109</v>
      </c>
      <c r="O12094" t="s">
        <v>24</v>
      </c>
      <c r="Q12094">
        <v>648.9</v>
      </c>
      <c r="R12094" t="str">
        <f>"AC FARMA - CID.ALTA (10166)"</f>
        <v>AC FARMA - CID.ALTA (10166)</v>
      </c>
      <c r="S12094" t="s">
        <v>77</v>
      </c>
      <c r="T12094">
        <v>21462</v>
      </c>
      <c r="U12094">
        <v>25273</v>
      </c>
      <c r="V12094" t="s">
        <v>77</v>
      </c>
    </row>
    <row r="12095" spans="1:22">
      <c r="A12095" t="str">
        <f t="shared" si="2330"/>
        <v>21/11/2025</v>
      </c>
      <c r="B12095" t="str">
        <f t="shared" si="2329"/>
        <v>SAÍDA</v>
      </c>
      <c r="C12095" t="str">
        <f t="shared" si="2331"/>
        <v>PIX</v>
      </c>
      <c r="D12095" t="str">
        <f>"25274"</f>
        <v>25274</v>
      </c>
      <c r="E12095" t="str">
        <f t="shared" si="2333"/>
        <v>1</v>
      </c>
      <c r="F12095" t="str">
        <f t="shared" si="2336"/>
        <v>COM</v>
      </c>
      <c r="G12095" t="str">
        <f>"RAUL SILVA ROMAO (727)"</f>
        <v>RAUL SILVA ROMAO (727)</v>
      </c>
      <c r="H12095" t="str">
        <f>"Serv.Prest. 03/11/2025 a 09/11/2025 - PIX: CPF - CHAVE: 878.196.869-87"</f>
        <v>Serv.Prest. 03/11/2025 a 09/11/2025 - PIX: CPF - CHAVE: 878.196.869-87</v>
      </c>
      <c r="I12095" t="str">
        <f t="shared" si="2332"/>
        <v>20/11/2025</v>
      </c>
      <c r="J12095" t="str">
        <f t="shared" si="2335"/>
        <v>12/11/2025</v>
      </c>
      <c r="K12095" t="str">
        <f>("21/11/2025")</f>
        <v>21/11/2025</v>
      </c>
      <c r="L12095">
        <v>264.60000000000002</v>
      </c>
      <c r="M12095">
        <v>264.60000000000002</v>
      </c>
      <c r="N12095">
        <v>109</v>
      </c>
      <c r="O12095" t="str">
        <f>"PAGAMENTO DE ENTREGADORES"</f>
        <v>PAGAMENTO DE ENTREGADORES</v>
      </c>
      <c r="P12095">
        <v>264.60000000000002</v>
      </c>
      <c r="S12095" t="str">
        <f>"BANCO C6 (149)"</f>
        <v>BANCO C6 (149)</v>
      </c>
      <c r="T12095">
        <v>21463</v>
      </c>
      <c r="U12095">
        <v>25274</v>
      </c>
      <c r="V12095" t="s">
        <v>77</v>
      </c>
    </row>
    <row r="12096" spans="1:22">
      <c r="A12096" t="str">
        <f t="shared" si="2330"/>
        <v>21/11/2025</v>
      </c>
      <c r="B12096" t="str">
        <f t="shared" si="2329"/>
        <v>SAÍDA</v>
      </c>
      <c r="C12096" t="str">
        <f t="shared" si="2331"/>
        <v>PIX</v>
      </c>
      <c r="D12096" t="str">
        <f>"25274"</f>
        <v>25274</v>
      </c>
      <c r="E12096" t="str">
        <f t="shared" si="2333"/>
        <v>1</v>
      </c>
      <c r="F12096" t="str">
        <f t="shared" si="2336"/>
        <v>COM</v>
      </c>
      <c r="G12096" t="str">
        <f>"RAUL SILVA ROMAO (727)"</f>
        <v>RAUL SILVA ROMAO (727)</v>
      </c>
      <c r="H12096" t="s">
        <v>3276</v>
      </c>
      <c r="I12096" t="str">
        <f t="shared" si="2332"/>
        <v>20/11/2025</v>
      </c>
      <c r="J12096" t="str">
        <f t="shared" si="2335"/>
        <v>12/11/2025</v>
      </c>
      <c r="K12096">
        <v>45982</v>
      </c>
      <c r="N12096">
        <v>109</v>
      </c>
      <c r="O12096" t="s">
        <v>24</v>
      </c>
      <c r="Q12096">
        <v>264.60000000000002</v>
      </c>
      <c r="R12096" t="str">
        <f>"AC FARMA - CID.ALTA (10166)"</f>
        <v>AC FARMA - CID.ALTA (10166)</v>
      </c>
      <c r="S12096" t="s">
        <v>77</v>
      </c>
      <c r="T12096">
        <v>21463</v>
      </c>
      <c r="U12096">
        <v>25274</v>
      </c>
      <c r="V12096" t="s">
        <v>77</v>
      </c>
    </row>
    <row r="12097" spans="1:22">
      <c r="A12097" t="str">
        <f t="shared" si="2330"/>
        <v>21/11/2025</v>
      </c>
      <c r="B12097" t="str">
        <f t="shared" si="2329"/>
        <v>SAÍDA</v>
      </c>
      <c r="C12097" t="str">
        <f t="shared" si="2331"/>
        <v>PIX</v>
      </c>
      <c r="D12097" t="str">
        <f>"25276"</f>
        <v>25276</v>
      </c>
      <c r="E12097" t="str">
        <f t="shared" si="2333"/>
        <v>1</v>
      </c>
      <c r="F12097" t="str">
        <f t="shared" si="2336"/>
        <v>COM</v>
      </c>
      <c r="G12097" t="str">
        <f>"ALAN ACOSTA (897)"</f>
        <v>ALAN ACOSTA (897)</v>
      </c>
      <c r="H12097" t="str">
        <f>"Serv.Prest. 03/11/2025 a 09/11/2025 - PIX: E-MAIL - CHAVE: alanacosta1999@gmail.com"</f>
        <v>Serv.Prest. 03/11/2025 a 09/11/2025 - PIX: E-MAIL - CHAVE: alanacosta1999@gmail.com</v>
      </c>
      <c r="I12097" t="str">
        <f t="shared" si="2332"/>
        <v>20/11/2025</v>
      </c>
      <c r="J12097" t="str">
        <f t="shared" si="2335"/>
        <v>12/11/2025</v>
      </c>
      <c r="K12097" t="str">
        <f>("21/11/2025")</f>
        <v>21/11/2025</v>
      </c>
      <c r="L12097">
        <v>170.1</v>
      </c>
      <c r="M12097">
        <v>170.1</v>
      </c>
      <c r="N12097">
        <v>109</v>
      </c>
      <c r="O12097" t="str">
        <f>"PAGAMENTO DE ENTREGADORES"</f>
        <v>PAGAMENTO DE ENTREGADORES</v>
      </c>
      <c r="P12097">
        <v>170.1</v>
      </c>
      <c r="S12097" t="str">
        <f>"BANCO C6 (149)"</f>
        <v>BANCO C6 (149)</v>
      </c>
      <c r="T12097">
        <v>21464</v>
      </c>
      <c r="U12097">
        <v>25276</v>
      </c>
      <c r="V12097" t="s">
        <v>77</v>
      </c>
    </row>
    <row r="12098" spans="1:22">
      <c r="A12098" t="str">
        <f t="shared" si="2330"/>
        <v>21/11/2025</v>
      </c>
      <c r="B12098" t="str">
        <f t="shared" si="2329"/>
        <v>SAÍDA</v>
      </c>
      <c r="C12098" t="str">
        <f t="shared" si="2331"/>
        <v>PIX</v>
      </c>
      <c r="D12098" t="str">
        <f>"25276"</f>
        <v>25276</v>
      </c>
      <c r="E12098" t="str">
        <f t="shared" si="2333"/>
        <v>1</v>
      </c>
      <c r="F12098" t="str">
        <f t="shared" si="2336"/>
        <v>COM</v>
      </c>
      <c r="G12098" t="str">
        <f>"ALAN ACOSTA (897)"</f>
        <v>ALAN ACOSTA (897)</v>
      </c>
      <c r="H12098" t="s">
        <v>3270</v>
      </c>
      <c r="I12098" t="str">
        <f t="shared" si="2332"/>
        <v>20/11/2025</v>
      </c>
      <c r="J12098" t="str">
        <f t="shared" si="2335"/>
        <v>12/11/2025</v>
      </c>
      <c r="K12098">
        <v>45982</v>
      </c>
      <c r="N12098">
        <v>109</v>
      </c>
      <c r="O12098" t="s">
        <v>24</v>
      </c>
      <c r="Q12098">
        <v>163.81</v>
      </c>
      <c r="R12098" t="str">
        <f>"AC FARMA -  FLEMINFARMA (10159)"</f>
        <v>AC FARMA -  FLEMINFARMA (10159)</v>
      </c>
      <c r="S12098" t="s">
        <v>77</v>
      </c>
      <c r="T12098">
        <v>21464</v>
      </c>
      <c r="U12098">
        <v>25276</v>
      </c>
      <c r="V12098" t="s">
        <v>77</v>
      </c>
    </row>
    <row r="12099" spans="1:22">
      <c r="A12099" t="str">
        <f t="shared" si="2330"/>
        <v>21/11/2025</v>
      </c>
      <c r="B12099" t="str">
        <f t="shared" si="2329"/>
        <v>SAÍDA</v>
      </c>
      <c r="C12099" t="str">
        <f t="shared" si="2331"/>
        <v>PIX</v>
      </c>
      <c r="D12099" t="str">
        <f>"25276"</f>
        <v>25276</v>
      </c>
      <c r="E12099" t="str">
        <f t="shared" si="2333"/>
        <v>1</v>
      </c>
      <c r="F12099" t="str">
        <f t="shared" si="2336"/>
        <v>COM</v>
      </c>
      <c r="G12099" t="str">
        <f>"ALAN ACOSTA (897)"</f>
        <v>ALAN ACOSTA (897)</v>
      </c>
      <c r="H12099" t="s">
        <v>3270</v>
      </c>
      <c r="I12099" t="str">
        <f t="shared" si="2332"/>
        <v>20/11/2025</v>
      </c>
      <c r="J12099" t="str">
        <f t="shared" si="2335"/>
        <v>12/11/2025</v>
      </c>
      <c r="K12099">
        <v>45982</v>
      </c>
      <c r="N12099">
        <v>109</v>
      </c>
      <c r="O12099" t="s">
        <v>24</v>
      </c>
      <c r="Q12099">
        <v>6.29</v>
      </c>
      <c r="R12099" t="str">
        <f>"AC FARMA - FLEMINFARMA (10160)"</f>
        <v>AC FARMA - FLEMINFARMA (10160)</v>
      </c>
      <c r="S12099" t="s">
        <v>77</v>
      </c>
      <c r="T12099">
        <v>21464</v>
      </c>
      <c r="U12099">
        <v>25276</v>
      </c>
      <c r="V12099" t="s">
        <v>77</v>
      </c>
    </row>
    <row r="12100" spans="1:22">
      <c r="A12100" t="str">
        <f t="shared" si="2330"/>
        <v>21/11/2025</v>
      </c>
      <c r="B12100" t="str">
        <f t="shared" si="2329"/>
        <v>SAÍDA</v>
      </c>
      <c r="C12100" t="str">
        <f t="shared" si="2331"/>
        <v>PIX</v>
      </c>
      <c r="D12100" t="str">
        <f>"25277"</f>
        <v>25277</v>
      </c>
      <c r="E12100" t="str">
        <f t="shared" si="2333"/>
        <v>1</v>
      </c>
      <c r="F12100" t="str">
        <f t="shared" si="2336"/>
        <v>COM</v>
      </c>
      <c r="G12100" t="str">
        <f>"ALEXANDRE DA CONCEICAO (714)"</f>
        <v>ALEXANDRE DA CONCEICAO (714)</v>
      </c>
      <c r="H12100" t="str">
        <f>"Serv.Prest. 03/11/2025 a 09/11/2025 - PIX: CPF - CHAVE: 975.425.989-53"</f>
        <v>Serv.Prest. 03/11/2025 a 09/11/2025 - PIX: CPF - CHAVE: 975.425.989-53</v>
      </c>
      <c r="I12100" t="str">
        <f t="shared" si="2332"/>
        <v>20/11/2025</v>
      </c>
      <c r="J12100" t="str">
        <f t="shared" si="2335"/>
        <v>12/11/2025</v>
      </c>
      <c r="K12100" t="str">
        <f>("21/11/2025")</f>
        <v>21/11/2025</v>
      </c>
      <c r="L12100">
        <v>25.2</v>
      </c>
      <c r="M12100">
        <v>25.2</v>
      </c>
      <c r="N12100">
        <v>109</v>
      </c>
      <c r="O12100" t="str">
        <f>"PAGAMENTO DE ENTREGADORES"</f>
        <v>PAGAMENTO DE ENTREGADORES</v>
      </c>
      <c r="P12100">
        <v>25.2</v>
      </c>
      <c r="S12100" t="str">
        <f>"BANCO C6 (149)"</f>
        <v>BANCO C6 (149)</v>
      </c>
      <c r="T12100">
        <v>21465</v>
      </c>
      <c r="U12100">
        <v>25277</v>
      </c>
      <c r="V12100" t="s">
        <v>77</v>
      </c>
    </row>
    <row r="12101" spans="1:22">
      <c r="A12101" t="str">
        <f t="shared" si="2330"/>
        <v>21/11/2025</v>
      </c>
      <c r="B12101" t="str">
        <f t="shared" ref="B12101:B12164" si="2337">"SAÍDA"</f>
        <v>SAÍDA</v>
      </c>
      <c r="C12101" t="str">
        <f t="shared" si="2331"/>
        <v>PIX</v>
      </c>
      <c r="D12101" t="str">
        <f>"25277"</f>
        <v>25277</v>
      </c>
      <c r="E12101" t="str">
        <f t="shared" si="2333"/>
        <v>1</v>
      </c>
      <c r="F12101" t="str">
        <f t="shared" si="2336"/>
        <v>COM</v>
      </c>
      <c r="G12101" t="str">
        <f>"ALEXANDRE DA CONCEICAO (714)"</f>
        <v>ALEXANDRE DA CONCEICAO (714)</v>
      </c>
      <c r="H12101" t="s">
        <v>3271</v>
      </c>
      <c r="I12101" t="str">
        <f t="shared" si="2332"/>
        <v>20/11/2025</v>
      </c>
      <c r="J12101" t="str">
        <f t="shared" si="2335"/>
        <v>12/11/2025</v>
      </c>
      <c r="K12101">
        <v>45982</v>
      </c>
      <c r="N12101">
        <v>109</v>
      </c>
      <c r="O12101" t="s">
        <v>24</v>
      </c>
      <c r="Q12101">
        <v>25.2</v>
      </c>
      <c r="R12101" t="str">
        <f>"AC FARMA -  FLEMINFARMA (10159)"</f>
        <v>AC FARMA -  FLEMINFARMA (10159)</v>
      </c>
      <c r="S12101" t="s">
        <v>77</v>
      </c>
      <c r="T12101">
        <v>21465</v>
      </c>
      <c r="U12101">
        <v>25277</v>
      </c>
      <c r="V12101" t="s">
        <v>77</v>
      </c>
    </row>
    <row r="12102" spans="1:22">
      <c r="A12102" t="str">
        <f t="shared" si="2330"/>
        <v>21/11/2025</v>
      </c>
      <c r="B12102" t="str">
        <f t="shared" si="2337"/>
        <v>SAÍDA</v>
      </c>
      <c r="C12102" t="str">
        <f t="shared" si="2331"/>
        <v>PIX</v>
      </c>
      <c r="D12102" t="str">
        <f>"25278"</f>
        <v>25278</v>
      </c>
      <c r="E12102" t="str">
        <f t="shared" si="2333"/>
        <v>1</v>
      </c>
      <c r="F12102" t="str">
        <f t="shared" si="2336"/>
        <v>COM</v>
      </c>
      <c r="G12102" t="str">
        <f>"CLAUDINEI RIBEIRO VALERIO (681)"</f>
        <v>CLAUDINEI RIBEIRO VALERIO (681)</v>
      </c>
      <c r="H12102" t="str">
        <f>"Serv.Prest. 03/11/2025 a 09/11/2025 - PIX: CELULAR - CHAVE: (43) 99630-7532"</f>
        <v>Serv.Prest. 03/11/2025 a 09/11/2025 - PIX: CELULAR - CHAVE: (43) 99630-7532</v>
      </c>
      <c r="I12102" t="str">
        <f t="shared" si="2332"/>
        <v>20/11/2025</v>
      </c>
      <c r="J12102" t="str">
        <f t="shared" si="2335"/>
        <v>12/11/2025</v>
      </c>
      <c r="K12102" t="str">
        <f>("21/11/2025")</f>
        <v>21/11/2025</v>
      </c>
      <c r="L12102">
        <v>75.599999999999994</v>
      </c>
      <c r="M12102">
        <v>75.599999999999994</v>
      </c>
      <c r="N12102">
        <v>109</v>
      </c>
      <c r="O12102" t="str">
        <f>"PAGAMENTO DE ENTREGADORES"</f>
        <v>PAGAMENTO DE ENTREGADORES</v>
      </c>
      <c r="P12102">
        <v>75.599999999999994</v>
      </c>
      <c r="S12102" t="str">
        <f>"BANCO C6 (149)"</f>
        <v>BANCO C6 (149)</v>
      </c>
      <c r="T12102">
        <v>21466</v>
      </c>
      <c r="U12102">
        <v>25278</v>
      </c>
      <c r="V12102" t="s">
        <v>77</v>
      </c>
    </row>
    <row r="12103" spans="1:22">
      <c r="A12103" t="str">
        <f t="shared" si="2330"/>
        <v>21/11/2025</v>
      </c>
      <c r="B12103" t="str">
        <f t="shared" si="2337"/>
        <v>SAÍDA</v>
      </c>
      <c r="C12103" t="str">
        <f t="shared" si="2331"/>
        <v>PIX</v>
      </c>
      <c r="D12103" t="str">
        <f>"25278"</f>
        <v>25278</v>
      </c>
      <c r="E12103" t="str">
        <f t="shared" si="2333"/>
        <v>1</v>
      </c>
      <c r="F12103" t="str">
        <f t="shared" si="2336"/>
        <v>COM</v>
      </c>
      <c r="G12103" t="str">
        <f>"CLAUDINEI RIBEIRO VALERIO (681)"</f>
        <v>CLAUDINEI RIBEIRO VALERIO (681)</v>
      </c>
      <c r="H12103" t="s">
        <v>3272</v>
      </c>
      <c r="I12103" t="str">
        <f t="shared" si="2332"/>
        <v>20/11/2025</v>
      </c>
      <c r="J12103" t="str">
        <f t="shared" si="2335"/>
        <v>12/11/2025</v>
      </c>
      <c r="K12103">
        <v>45982</v>
      </c>
      <c r="N12103">
        <v>109</v>
      </c>
      <c r="O12103" t="s">
        <v>24</v>
      </c>
      <c r="Q12103">
        <v>69.3</v>
      </c>
      <c r="R12103" t="str">
        <f>"AC FARMA -  FLEMINFARMA (10159)"</f>
        <v>AC FARMA -  FLEMINFARMA (10159)</v>
      </c>
      <c r="S12103" t="s">
        <v>77</v>
      </c>
      <c r="T12103">
        <v>21466</v>
      </c>
      <c r="U12103">
        <v>25278</v>
      </c>
      <c r="V12103" t="s">
        <v>77</v>
      </c>
    </row>
    <row r="12104" spans="1:22">
      <c r="A12104" t="str">
        <f t="shared" si="2330"/>
        <v>21/11/2025</v>
      </c>
      <c r="B12104" t="str">
        <f t="shared" si="2337"/>
        <v>SAÍDA</v>
      </c>
      <c r="C12104" t="str">
        <f t="shared" si="2331"/>
        <v>PIX</v>
      </c>
      <c r="D12104" t="str">
        <f>"25278"</f>
        <v>25278</v>
      </c>
      <c r="E12104" t="str">
        <f t="shared" si="2333"/>
        <v>1</v>
      </c>
      <c r="F12104" t="str">
        <f t="shared" si="2336"/>
        <v>COM</v>
      </c>
      <c r="G12104" t="str">
        <f>"CLAUDINEI RIBEIRO VALERIO (681)"</f>
        <v>CLAUDINEI RIBEIRO VALERIO (681)</v>
      </c>
      <c r="H12104" t="s">
        <v>3272</v>
      </c>
      <c r="I12104" t="str">
        <f t="shared" si="2332"/>
        <v>20/11/2025</v>
      </c>
      <c r="J12104" t="str">
        <f t="shared" si="2335"/>
        <v>12/11/2025</v>
      </c>
      <c r="K12104">
        <v>45982</v>
      </c>
      <c r="N12104">
        <v>109</v>
      </c>
      <c r="O12104" t="s">
        <v>24</v>
      </c>
      <c r="Q12104">
        <v>6.3</v>
      </c>
      <c r="R12104" t="str">
        <f>"AC FARMA - FLEMINFARMA (10160)"</f>
        <v>AC FARMA - FLEMINFARMA (10160)</v>
      </c>
      <c r="S12104" t="s">
        <v>77</v>
      </c>
      <c r="T12104">
        <v>21466</v>
      </c>
      <c r="U12104">
        <v>25278</v>
      </c>
      <c r="V12104" t="s">
        <v>77</v>
      </c>
    </row>
    <row r="12105" spans="1:22">
      <c r="A12105" t="str">
        <f t="shared" si="2330"/>
        <v>21/11/2025</v>
      </c>
      <c r="B12105" t="str">
        <f t="shared" si="2337"/>
        <v>SAÍDA</v>
      </c>
      <c r="C12105" t="str">
        <f t="shared" si="2331"/>
        <v>PIX</v>
      </c>
      <c r="D12105" t="str">
        <f>"25279"</f>
        <v>25279</v>
      </c>
      <c r="E12105" t="str">
        <f t="shared" si="2333"/>
        <v>1</v>
      </c>
      <c r="F12105" t="str">
        <f t="shared" si="2336"/>
        <v>COM</v>
      </c>
      <c r="G12105" t="str">
        <f>"FERNANDO MARTINS DA SILVA (701)"</f>
        <v>FERNANDO MARTINS DA SILVA (701)</v>
      </c>
      <c r="H12105" t="str">
        <f>"Serv.Prest. 03/11/2025 a 09/11/2025 - PIX: CPF - CHAVE: 004.682.359-06"</f>
        <v>Serv.Prest. 03/11/2025 a 09/11/2025 - PIX: CPF - CHAVE: 004.682.359-06</v>
      </c>
      <c r="I12105" t="str">
        <f t="shared" si="2332"/>
        <v>20/11/2025</v>
      </c>
      <c r="J12105" t="str">
        <f t="shared" si="2335"/>
        <v>12/11/2025</v>
      </c>
      <c r="K12105" t="str">
        <f>("21/11/2025")</f>
        <v>21/11/2025</v>
      </c>
      <c r="L12105">
        <v>289.8</v>
      </c>
      <c r="M12105">
        <v>289.8</v>
      </c>
      <c r="N12105">
        <v>109</v>
      </c>
      <c r="O12105" t="str">
        <f>"PAGAMENTO DE ENTREGADORES"</f>
        <v>PAGAMENTO DE ENTREGADORES</v>
      </c>
      <c r="P12105">
        <v>289.8</v>
      </c>
      <c r="S12105" t="str">
        <f>"BANCO C6 (149)"</f>
        <v>BANCO C6 (149)</v>
      </c>
      <c r="T12105">
        <v>21467</v>
      </c>
      <c r="U12105">
        <v>25279</v>
      </c>
      <c r="V12105" t="s">
        <v>77</v>
      </c>
    </row>
    <row r="12106" spans="1:22">
      <c r="A12106" t="str">
        <f t="shared" si="2330"/>
        <v>21/11/2025</v>
      </c>
      <c r="B12106" t="str">
        <f t="shared" si="2337"/>
        <v>SAÍDA</v>
      </c>
      <c r="C12106" t="str">
        <f t="shared" si="2331"/>
        <v>PIX</v>
      </c>
      <c r="D12106" t="str">
        <f>"25279"</f>
        <v>25279</v>
      </c>
      <c r="E12106" t="str">
        <f t="shared" si="2333"/>
        <v>1</v>
      </c>
      <c r="F12106" t="str">
        <f t="shared" si="2336"/>
        <v>COM</v>
      </c>
      <c r="G12106" t="str">
        <f>"FERNANDO MARTINS DA SILVA (701)"</f>
        <v>FERNANDO MARTINS DA SILVA (701)</v>
      </c>
      <c r="H12106" t="s">
        <v>3273</v>
      </c>
      <c r="I12106" t="str">
        <f t="shared" si="2332"/>
        <v>20/11/2025</v>
      </c>
      <c r="J12106" t="str">
        <f t="shared" si="2335"/>
        <v>12/11/2025</v>
      </c>
      <c r="K12106">
        <v>45982</v>
      </c>
      <c r="N12106">
        <v>109</v>
      </c>
      <c r="O12106" t="s">
        <v>24</v>
      </c>
      <c r="Q12106">
        <v>277.19</v>
      </c>
      <c r="R12106" t="str">
        <f>"AC FARMA -  FLEMINFARMA (10159)"</f>
        <v>AC FARMA -  FLEMINFARMA (10159)</v>
      </c>
      <c r="S12106" t="s">
        <v>77</v>
      </c>
      <c r="T12106">
        <v>21467</v>
      </c>
      <c r="U12106">
        <v>25279</v>
      </c>
      <c r="V12106" t="s">
        <v>77</v>
      </c>
    </row>
    <row r="12107" spans="1:22">
      <c r="A12107" t="str">
        <f t="shared" si="2330"/>
        <v>21/11/2025</v>
      </c>
      <c r="B12107" t="str">
        <f t="shared" si="2337"/>
        <v>SAÍDA</v>
      </c>
      <c r="C12107" t="str">
        <f t="shared" si="2331"/>
        <v>PIX</v>
      </c>
      <c r="D12107" t="str">
        <f>"25279"</f>
        <v>25279</v>
      </c>
      <c r="E12107" t="str">
        <f t="shared" si="2333"/>
        <v>1</v>
      </c>
      <c r="F12107" t="str">
        <f t="shared" si="2336"/>
        <v>COM</v>
      </c>
      <c r="G12107" t="str">
        <f>"FERNANDO MARTINS DA SILVA (701)"</f>
        <v>FERNANDO MARTINS DA SILVA (701)</v>
      </c>
      <c r="H12107" t="s">
        <v>3273</v>
      </c>
      <c r="I12107" t="str">
        <f t="shared" si="2332"/>
        <v>20/11/2025</v>
      </c>
      <c r="J12107" t="str">
        <f t="shared" si="2335"/>
        <v>12/11/2025</v>
      </c>
      <c r="K12107">
        <v>45982</v>
      </c>
      <c r="N12107">
        <v>109</v>
      </c>
      <c r="O12107" t="s">
        <v>24</v>
      </c>
      <c r="Q12107">
        <v>12.61</v>
      </c>
      <c r="R12107" t="str">
        <f>"AC FARMA - FLEMINFARMA (10160)"</f>
        <v>AC FARMA - FLEMINFARMA (10160)</v>
      </c>
      <c r="S12107" t="s">
        <v>77</v>
      </c>
      <c r="T12107">
        <v>21467</v>
      </c>
      <c r="U12107">
        <v>25279</v>
      </c>
      <c r="V12107" t="s">
        <v>77</v>
      </c>
    </row>
    <row r="12108" spans="1:22">
      <c r="A12108" t="str">
        <f t="shared" si="2330"/>
        <v>21/11/2025</v>
      </c>
      <c r="B12108" t="str">
        <f t="shared" si="2337"/>
        <v>SAÍDA</v>
      </c>
      <c r="C12108" t="str">
        <f t="shared" si="2331"/>
        <v>PIX</v>
      </c>
      <c r="D12108" t="str">
        <f>"25280"</f>
        <v>25280</v>
      </c>
      <c r="E12108" t="str">
        <f t="shared" si="2333"/>
        <v>1</v>
      </c>
      <c r="F12108" t="str">
        <f t="shared" si="2336"/>
        <v>COM</v>
      </c>
      <c r="G12108" t="str">
        <f>"GERALDO SEVERINO DE SANTANA (729)"</f>
        <v>GERALDO SEVERINO DE SANTANA (729)</v>
      </c>
      <c r="H12108" t="str">
        <f>"Serv.Prest. 03/11/2025 a 09/11/2025 - PIX: CELULAR - CHAVE: (43) 99934-1696"</f>
        <v>Serv.Prest. 03/11/2025 a 09/11/2025 - PIX: CELULAR - CHAVE: (43) 99934-1696</v>
      </c>
      <c r="I12108" t="str">
        <f t="shared" si="2332"/>
        <v>20/11/2025</v>
      </c>
      <c r="J12108" t="str">
        <f t="shared" si="2335"/>
        <v>12/11/2025</v>
      </c>
      <c r="K12108" t="str">
        <f>("21/11/2025")</f>
        <v>21/11/2025</v>
      </c>
      <c r="L12108">
        <v>296.10000000000002</v>
      </c>
      <c r="M12108">
        <v>296.10000000000002</v>
      </c>
      <c r="N12108">
        <v>109</v>
      </c>
      <c r="O12108" t="str">
        <f>"PAGAMENTO DE ENTREGADORES"</f>
        <v>PAGAMENTO DE ENTREGADORES</v>
      </c>
      <c r="P12108">
        <v>296.10000000000002</v>
      </c>
      <c r="S12108" t="str">
        <f>"BANCO C6 (149)"</f>
        <v>BANCO C6 (149)</v>
      </c>
      <c r="T12108">
        <v>21468</v>
      </c>
      <c r="U12108">
        <v>25280</v>
      </c>
      <c r="V12108" t="s">
        <v>77</v>
      </c>
    </row>
    <row r="12109" spans="1:22">
      <c r="A12109" t="str">
        <f t="shared" si="2330"/>
        <v>21/11/2025</v>
      </c>
      <c r="B12109" t="str">
        <f t="shared" si="2337"/>
        <v>SAÍDA</v>
      </c>
      <c r="C12109" t="str">
        <f t="shared" si="2331"/>
        <v>PIX</v>
      </c>
      <c r="D12109" t="str">
        <f>"25280"</f>
        <v>25280</v>
      </c>
      <c r="E12109" t="str">
        <f t="shared" si="2333"/>
        <v>1</v>
      </c>
      <c r="F12109" t="str">
        <f t="shared" si="2336"/>
        <v>COM</v>
      </c>
      <c r="G12109" t="str">
        <f>"GERALDO SEVERINO DE SANTANA (729)"</f>
        <v>GERALDO SEVERINO DE SANTANA (729)</v>
      </c>
      <c r="H12109" t="s">
        <v>3274</v>
      </c>
      <c r="I12109" t="str">
        <f t="shared" si="2332"/>
        <v>20/11/2025</v>
      </c>
      <c r="J12109" t="str">
        <f t="shared" si="2335"/>
        <v>12/11/2025</v>
      </c>
      <c r="K12109">
        <v>45982</v>
      </c>
      <c r="N12109">
        <v>109</v>
      </c>
      <c r="O12109" t="s">
        <v>24</v>
      </c>
      <c r="Q12109">
        <v>289.79000000000002</v>
      </c>
      <c r="R12109" t="str">
        <f>"AC FARMA -  FLEMINFARMA (10159)"</f>
        <v>AC FARMA -  FLEMINFARMA (10159)</v>
      </c>
      <c r="S12109" t="s">
        <v>77</v>
      </c>
      <c r="T12109">
        <v>21468</v>
      </c>
      <c r="U12109">
        <v>25280</v>
      </c>
      <c r="V12109" t="s">
        <v>77</v>
      </c>
    </row>
    <row r="12110" spans="1:22">
      <c r="A12110" t="str">
        <f t="shared" ref="A12110:A12173" si="2338">("21/11/2025")</f>
        <v>21/11/2025</v>
      </c>
      <c r="B12110" t="str">
        <f t="shared" si="2337"/>
        <v>SAÍDA</v>
      </c>
      <c r="C12110" t="str">
        <f t="shared" si="2331"/>
        <v>PIX</v>
      </c>
      <c r="D12110" t="str">
        <f>"25280"</f>
        <v>25280</v>
      </c>
      <c r="E12110" t="str">
        <f t="shared" si="2333"/>
        <v>1</v>
      </c>
      <c r="F12110" t="str">
        <f t="shared" si="2336"/>
        <v>COM</v>
      </c>
      <c r="G12110" t="str">
        <f>"GERALDO SEVERINO DE SANTANA (729)"</f>
        <v>GERALDO SEVERINO DE SANTANA (729)</v>
      </c>
      <c r="H12110" t="s">
        <v>3274</v>
      </c>
      <c r="I12110" t="str">
        <f t="shared" si="2332"/>
        <v>20/11/2025</v>
      </c>
      <c r="J12110" t="str">
        <f t="shared" si="2335"/>
        <v>12/11/2025</v>
      </c>
      <c r="K12110">
        <v>45982</v>
      </c>
      <c r="N12110">
        <v>109</v>
      </c>
      <c r="O12110" t="s">
        <v>24</v>
      </c>
      <c r="Q12110">
        <v>6.31</v>
      </c>
      <c r="R12110" t="str">
        <f>"AC FARMA - FLEMINFARMA (10160)"</f>
        <v>AC FARMA - FLEMINFARMA (10160)</v>
      </c>
      <c r="S12110" t="s">
        <v>77</v>
      </c>
      <c r="T12110">
        <v>21468</v>
      </c>
      <c r="U12110">
        <v>25280</v>
      </c>
      <c r="V12110" t="s">
        <v>77</v>
      </c>
    </row>
    <row r="12111" spans="1:22">
      <c r="A12111" t="str">
        <f t="shared" si="2338"/>
        <v>21/11/2025</v>
      </c>
      <c r="B12111" t="str">
        <f t="shared" si="2337"/>
        <v>SAÍDA</v>
      </c>
      <c r="C12111" t="str">
        <f t="shared" si="2331"/>
        <v>PIX</v>
      </c>
      <c r="D12111" t="str">
        <f>"25281"</f>
        <v>25281</v>
      </c>
      <c r="E12111" t="str">
        <f t="shared" si="2333"/>
        <v>1</v>
      </c>
      <c r="F12111" t="str">
        <f t="shared" si="2336"/>
        <v>COM</v>
      </c>
      <c r="G12111" t="str">
        <f>"HELITON DE OLIVEIRA RAMOS BARBOSA (724)"</f>
        <v>HELITON DE OLIVEIRA RAMOS BARBOSA (724)</v>
      </c>
      <c r="H12111" t="str">
        <f>"Serv.Prest. 03/11/2025 a 09/11/2025 - PIX: CPF - CHAVE: 074.604.219-10"</f>
        <v>Serv.Prest. 03/11/2025 a 09/11/2025 - PIX: CPF - CHAVE: 074.604.219-10</v>
      </c>
      <c r="I12111" t="str">
        <f t="shared" si="2332"/>
        <v>20/11/2025</v>
      </c>
      <c r="J12111" t="str">
        <f t="shared" si="2335"/>
        <v>12/11/2025</v>
      </c>
      <c r="K12111" t="str">
        <f>("21/11/2025")</f>
        <v>21/11/2025</v>
      </c>
      <c r="L12111">
        <v>113.4</v>
      </c>
      <c r="M12111">
        <v>113.4</v>
      </c>
      <c r="N12111">
        <v>109</v>
      </c>
      <c r="O12111" t="str">
        <f>"PAGAMENTO DE ENTREGADORES"</f>
        <v>PAGAMENTO DE ENTREGADORES</v>
      </c>
      <c r="P12111">
        <v>113.4</v>
      </c>
      <c r="S12111" t="str">
        <f>"BANCO C6 (149)"</f>
        <v>BANCO C6 (149)</v>
      </c>
      <c r="T12111">
        <v>21469</v>
      </c>
      <c r="U12111">
        <v>25281</v>
      </c>
      <c r="V12111" t="s">
        <v>77</v>
      </c>
    </row>
    <row r="12112" spans="1:22">
      <c r="A12112" t="str">
        <f t="shared" si="2338"/>
        <v>21/11/2025</v>
      </c>
      <c r="B12112" t="str">
        <f t="shared" si="2337"/>
        <v>SAÍDA</v>
      </c>
      <c r="C12112" t="str">
        <f t="shared" si="2331"/>
        <v>PIX</v>
      </c>
      <c r="D12112" t="str">
        <f>"25281"</f>
        <v>25281</v>
      </c>
      <c r="E12112" t="str">
        <f t="shared" si="2333"/>
        <v>1</v>
      </c>
      <c r="F12112" t="str">
        <f t="shared" si="2336"/>
        <v>COM</v>
      </c>
      <c r="G12112" t="str">
        <f>"HELITON DE OLIVEIRA RAMOS BARBOSA (724)"</f>
        <v>HELITON DE OLIVEIRA RAMOS BARBOSA (724)</v>
      </c>
      <c r="H12112" t="s">
        <v>3275</v>
      </c>
      <c r="I12112" t="str">
        <f t="shared" si="2332"/>
        <v>20/11/2025</v>
      </c>
      <c r="J12112" t="str">
        <f t="shared" si="2335"/>
        <v>12/11/2025</v>
      </c>
      <c r="K12112">
        <v>45982</v>
      </c>
      <c r="N12112">
        <v>109</v>
      </c>
      <c r="O12112" t="s">
        <v>24</v>
      </c>
      <c r="Q12112">
        <v>107.09</v>
      </c>
      <c r="R12112" t="str">
        <f>"AC FARMA -  FLEMINFARMA (10159)"</f>
        <v>AC FARMA -  FLEMINFARMA (10159)</v>
      </c>
      <c r="S12112" t="s">
        <v>77</v>
      </c>
      <c r="T12112">
        <v>21469</v>
      </c>
      <c r="U12112">
        <v>25281</v>
      </c>
      <c r="V12112" t="s">
        <v>77</v>
      </c>
    </row>
    <row r="12113" spans="1:22">
      <c r="A12113" t="str">
        <f t="shared" si="2338"/>
        <v>21/11/2025</v>
      </c>
      <c r="B12113" t="str">
        <f t="shared" si="2337"/>
        <v>SAÍDA</v>
      </c>
      <c r="C12113" t="str">
        <f t="shared" si="2331"/>
        <v>PIX</v>
      </c>
      <c r="D12113" t="str">
        <f>"25281"</f>
        <v>25281</v>
      </c>
      <c r="E12113" t="str">
        <f t="shared" si="2333"/>
        <v>1</v>
      </c>
      <c r="F12113" t="str">
        <f t="shared" si="2336"/>
        <v>COM</v>
      </c>
      <c r="G12113" t="str">
        <f>"HELITON DE OLIVEIRA RAMOS BARBOSA (724)"</f>
        <v>HELITON DE OLIVEIRA RAMOS BARBOSA (724)</v>
      </c>
      <c r="H12113" t="s">
        <v>3275</v>
      </c>
      <c r="I12113" t="str">
        <f t="shared" si="2332"/>
        <v>20/11/2025</v>
      </c>
      <c r="J12113" t="str">
        <f t="shared" si="2335"/>
        <v>12/11/2025</v>
      </c>
      <c r="K12113">
        <v>45982</v>
      </c>
      <c r="N12113">
        <v>109</v>
      </c>
      <c r="O12113" t="s">
        <v>24</v>
      </c>
      <c r="Q12113">
        <v>6.31</v>
      </c>
      <c r="R12113" t="str">
        <f>"AC FARMA - FLEMINFARMA (10160)"</f>
        <v>AC FARMA - FLEMINFARMA (10160)</v>
      </c>
      <c r="S12113" t="s">
        <v>77</v>
      </c>
      <c r="T12113">
        <v>21469</v>
      </c>
      <c r="U12113">
        <v>25281</v>
      </c>
      <c r="V12113" t="s">
        <v>77</v>
      </c>
    </row>
    <row r="12114" spans="1:22">
      <c r="A12114" t="str">
        <f t="shared" si="2338"/>
        <v>21/11/2025</v>
      </c>
      <c r="B12114" t="str">
        <f t="shared" si="2337"/>
        <v>SAÍDA</v>
      </c>
      <c r="C12114" t="str">
        <f t="shared" si="2331"/>
        <v>PIX</v>
      </c>
      <c r="D12114" t="str">
        <f>"25283"</f>
        <v>25283</v>
      </c>
      <c r="E12114" t="str">
        <f t="shared" si="2333"/>
        <v>1</v>
      </c>
      <c r="F12114" t="str">
        <f t="shared" si="2336"/>
        <v>COM</v>
      </c>
      <c r="G12114" t="str">
        <f>"ALAN ACOSTA (897)"</f>
        <v>ALAN ACOSTA (897)</v>
      </c>
      <c r="H12114" t="str">
        <f>"Serv.Prest. 03/11/2025 a 09/11/2025 - PIX: E-MAIL - CHAVE: alanacosta1999@gmail.com"</f>
        <v>Serv.Prest. 03/11/2025 a 09/11/2025 - PIX: E-MAIL - CHAVE: alanacosta1999@gmail.com</v>
      </c>
      <c r="I12114" t="str">
        <f t="shared" si="2332"/>
        <v>20/11/2025</v>
      </c>
      <c r="J12114" t="str">
        <f t="shared" si="2335"/>
        <v>12/11/2025</v>
      </c>
      <c r="K12114" t="str">
        <f>("21/11/2025")</f>
        <v>21/11/2025</v>
      </c>
      <c r="L12114">
        <v>94.5</v>
      </c>
      <c r="M12114">
        <v>94.5</v>
      </c>
      <c r="N12114">
        <v>109</v>
      </c>
      <c r="O12114" t="str">
        <f>"PAGAMENTO DE ENTREGADORES"</f>
        <v>PAGAMENTO DE ENTREGADORES</v>
      </c>
      <c r="P12114">
        <v>94.5</v>
      </c>
      <c r="S12114" t="str">
        <f>"BANCO C6 (149)"</f>
        <v>BANCO C6 (149)</v>
      </c>
      <c r="T12114">
        <v>21470</v>
      </c>
      <c r="U12114">
        <v>25283</v>
      </c>
      <c r="V12114" t="s">
        <v>77</v>
      </c>
    </row>
    <row r="12115" spans="1:22">
      <c r="A12115" t="str">
        <f t="shared" si="2338"/>
        <v>21/11/2025</v>
      </c>
      <c r="B12115" t="str">
        <f t="shared" si="2337"/>
        <v>SAÍDA</v>
      </c>
      <c r="C12115" t="str">
        <f t="shared" si="2331"/>
        <v>PIX</v>
      </c>
      <c r="D12115" t="str">
        <f>"25283"</f>
        <v>25283</v>
      </c>
      <c r="E12115" t="str">
        <f t="shared" si="2333"/>
        <v>1</v>
      </c>
      <c r="F12115" t="str">
        <f t="shared" si="2336"/>
        <v>COM</v>
      </c>
      <c r="G12115" t="str">
        <f>"ALAN ACOSTA (897)"</f>
        <v>ALAN ACOSTA (897)</v>
      </c>
      <c r="H12115" t="s">
        <v>3270</v>
      </c>
      <c r="I12115" t="str">
        <f t="shared" si="2332"/>
        <v>20/11/2025</v>
      </c>
      <c r="J12115" t="str">
        <f t="shared" si="2335"/>
        <v>12/11/2025</v>
      </c>
      <c r="K12115">
        <v>45982</v>
      </c>
      <c r="N12115">
        <v>109</v>
      </c>
      <c r="O12115" t="s">
        <v>24</v>
      </c>
      <c r="Q12115">
        <v>88.2</v>
      </c>
      <c r="R12115" t="str">
        <f>"AC FARMA - FLEMINFARMA 5 (10183)"</f>
        <v>AC FARMA - FLEMINFARMA 5 (10183)</v>
      </c>
      <c r="S12115" t="s">
        <v>77</v>
      </c>
      <c r="T12115">
        <v>21470</v>
      </c>
      <c r="U12115">
        <v>25283</v>
      </c>
      <c r="V12115" t="s">
        <v>77</v>
      </c>
    </row>
    <row r="12116" spans="1:22">
      <c r="A12116" t="str">
        <f t="shared" si="2338"/>
        <v>21/11/2025</v>
      </c>
      <c r="B12116" t="str">
        <f t="shared" si="2337"/>
        <v>SAÍDA</v>
      </c>
      <c r="C12116" t="str">
        <f t="shared" si="2331"/>
        <v>PIX</v>
      </c>
      <c r="D12116" t="str">
        <f>"25283"</f>
        <v>25283</v>
      </c>
      <c r="E12116" t="str">
        <f t="shared" si="2333"/>
        <v>1</v>
      </c>
      <c r="F12116" t="str">
        <f t="shared" si="2336"/>
        <v>COM</v>
      </c>
      <c r="G12116" t="str">
        <f>"ALAN ACOSTA (897)"</f>
        <v>ALAN ACOSTA (897)</v>
      </c>
      <c r="H12116" t="s">
        <v>3270</v>
      </c>
      <c r="I12116" t="str">
        <f t="shared" si="2332"/>
        <v>20/11/2025</v>
      </c>
      <c r="J12116" t="str">
        <f t="shared" si="2335"/>
        <v>12/11/2025</v>
      </c>
      <c r="K12116">
        <v>45982</v>
      </c>
      <c r="N12116">
        <v>109</v>
      </c>
      <c r="O12116" t="s">
        <v>24</v>
      </c>
      <c r="Q12116">
        <v>6.3</v>
      </c>
      <c r="R12116" t="str">
        <f>"AC FARMA - FLEMINFARMA 6 (10184)"</f>
        <v>AC FARMA - FLEMINFARMA 6 (10184)</v>
      </c>
      <c r="S12116" t="s">
        <v>77</v>
      </c>
      <c r="T12116">
        <v>21470</v>
      </c>
      <c r="U12116">
        <v>25283</v>
      </c>
      <c r="V12116" t="s">
        <v>77</v>
      </c>
    </row>
    <row r="12117" spans="1:22">
      <c r="A12117" t="str">
        <f t="shared" si="2338"/>
        <v>21/11/2025</v>
      </c>
      <c r="B12117" t="str">
        <f t="shared" si="2337"/>
        <v>SAÍDA</v>
      </c>
      <c r="C12117" t="str">
        <f t="shared" si="2331"/>
        <v>PIX</v>
      </c>
      <c r="D12117" t="str">
        <f>"25284"</f>
        <v>25284</v>
      </c>
      <c r="E12117" t="str">
        <f t="shared" si="2333"/>
        <v>1</v>
      </c>
      <c r="F12117" t="str">
        <f t="shared" si="2336"/>
        <v>COM</v>
      </c>
      <c r="G12117" t="str">
        <f>"FERNANDO MARTINS DA SILVA (701)"</f>
        <v>FERNANDO MARTINS DA SILVA (701)</v>
      </c>
      <c r="H12117" t="str">
        <f>"Serv.Prest. 03/11/2025 a 09/11/2025 - PIX: CPF - CHAVE: 004.682.359-06"</f>
        <v>Serv.Prest. 03/11/2025 a 09/11/2025 - PIX: CPF - CHAVE: 004.682.359-06</v>
      </c>
      <c r="I12117" t="str">
        <f t="shared" si="2332"/>
        <v>20/11/2025</v>
      </c>
      <c r="J12117" t="str">
        <f t="shared" si="2335"/>
        <v>12/11/2025</v>
      </c>
      <c r="K12117" t="str">
        <f>("21/11/2025")</f>
        <v>21/11/2025</v>
      </c>
      <c r="L12117">
        <v>170.1</v>
      </c>
      <c r="M12117">
        <v>170.1</v>
      </c>
      <c r="N12117">
        <v>109</v>
      </c>
      <c r="O12117" t="str">
        <f>"PAGAMENTO DE ENTREGADORES"</f>
        <v>PAGAMENTO DE ENTREGADORES</v>
      </c>
      <c r="P12117">
        <v>170.1</v>
      </c>
      <c r="S12117" t="str">
        <f>"BANCO C6 (149)"</f>
        <v>BANCO C6 (149)</v>
      </c>
      <c r="T12117">
        <v>21471</v>
      </c>
      <c r="U12117">
        <v>25284</v>
      </c>
      <c r="V12117" t="s">
        <v>77</v>
      </c>
    </row>
    <row r="12118" spans="1:22">
      <c r="A12118" t="str">
        <f t="shared" si="2338"/>
        <v>21/11/2025</v>
      </c>
      <c r="B12118" t="str">
        <f t="shared" si="2337"/>
        <v>SAÍDA</v>
      </c>
      <c r="C12118" t="str">
        <f t="shared" si="2331"/>
        <v>PIX</v>
      </c>
      <c r="D12118" t="str">
        <f>"25284"</f>
        <v>25284</v>
      </c>
      <c r="E12118" t="str">
        <f t="shared" si="2333"/>
        <v>1</v>
      </c>
      <c r="F12118" t="str">
        <f t="shared" si="2336"/>
        <v>COM</v>
      </c>
      <c r="G12118" t="str">
        <f>"FERNANDO MARTINS DA SILVA (701)"</f>
        <v>FERNANDO MARTINS DA SILVA (701)</v>
      </c>
      <c r="H12118" t="s">
        <v>3273</v>
      </c>
      <c r="I12118" t="str">
        <f t="shared" si="2332"/>
        <v>20/11/2025</v>
      </c>
      <c r="J12118" t="str">
        <f t="shared" si="2335"/>
        <v>12/11/2025</v>
      </c>
      <c r="K12118">
        <v>45982</v>
      </c>
      <c r="N12118">
        <v>109</v>
      </c>
      <c r="O12118" t="s">
        <v>24</v>
      </c>
      <c r="Q12118">
        <v>163.81</v>
      </c>
      <c r="R12118" t="str">
        <f>"AC FARMA - FLEMINFARMA 5 (10183)"</f>
        <v>AC FARMA - FLEMINFARMA 5 (10183)</v>
      </c>
      <c r="S12118" t="s">
        <v>77</v>
      </c>
      <c r="T12118">
        <v>21471</v>
      </c>
      <c r="U12118">
        <v>25284</v>
      </c>
      <c r="V12118" t="s">
        <v>77</v>
      </c>
    </row>
    <row r="12119" spans="1:22">
      <c r="A12119" t="str">
        <f t="shared" si="2338"/>
        <v>21/11/2025</v>
      </c>
      <c r="B12119" t="str">
        <f t="shared" si="2337"/>
        <v>SAÍDA</v>
      </c>
      <c r="C12119" t="str">
        <f t="shared" si="2331"/>
        <v>PIX</v>
      </c>
      <c r="D12119" t="str">
        <f>"25284"</f>
        <v>25284</v>
      </c>
      <c r="E12119" t="str">
        <f t="shared" si="2333"/>
        <v>1</v>
      </c>
      <c r="F12119" t="str">
        <f t="shared" si="2336"/>
        <v>COM</v>
      </c>
      <c r="G12119" t="str">
        <f>"FERNANDO MARTINS DA SILVA (701)"</f>
        <v>FERNANDO MARTINS DA SILVA (701)</v>
      </c>
      <c r="H12119" t="s">
        <v>3273</v>
      </c>
      <c r="I12119" t="str">
        <f t="shared" si="2332"/>
        <v>20/11/2025</v>
      </c>
      <c r="J12119" t="str">
        <f t="shared" si="2335"/>
        <v>12/11/2025</v>
      </c>
      <c r="K12119">
        <v>45982</v>
      </c>
      <c r="N12119">
        <v>109</v>
      </c>
      <c r="O12119" t="s">
        <v>24</v>
      </c>
      <c r="Q12119">
        <v>6.29</v>
      </c>
      <c r="R12119" t="str">
        <f>"AC FARMA - FLEMINFARMA 6 (10184)"</f>
        <v>AC FARMA - FLEMINFARMA 6 (10184)</v>
      </c>
      <c r="S12119" t="s">
        <v>77</v>
      </c>
      <c r="T12119">
        <v>21471</v>
      </c>
      <c r="U12119">
        <v>25284</v>
      </c>
      <c r="V12119" t="s">
        <v>77</v>
      </c>
    </row>
    <row r="12120" spans="1:22">
      <c r="A12120" t="str">
        <f t="shared" si="2338"/>
        <v>21/11/2025</v>
      </c>
      <c r="B12120" t="str">
        <f t="shared" si="2337"/>
        <v>SAÍDA</v>
      </c>
      <c r="C12120" t="str">
        <f t="shared" ref="C12120:C12183" si="2339">"PIX"</f>
        <v>PIX</v>
      </c>
      <c r="D12120" t="str">
        <f>"25285"</f>
        <v>25285</v>
      </c>
      <c r="E12120" t="str">
        <f t="shared" si="2333"/>
        <v>1</v>
      </c>
      <c r="F12120" t="str">
        <f t="shared" si="2336"/>
        <v>COM</v>
      </c>
      <c r="G12120" t="str">
        <f>"GERALDO SEVERINO DE SANTANA (729)"</f>
        <v>GERALDO SEVERINO DE SANTANA (729)</v>
      </c>
      <c r="H12120" t="str">
        <f>"Serv.Prest. 03/11/2025 a 09/11/2025 - PIX: CELULAR - CHAVE: (43) 99934-1696"</f>
        <v>Serv.Prest. 03/11/2025 a 09/11/2025 - PIX: CELULAR - CHAVE: (43) 99934-1696</v>
      </c>
      <c r="I12120" t="str">
        <f t="shared" ref="I12120:I12183" si="2340">("20/11/2025")</f>
        <v>20/11/2025</v>
      </c>
      <c r="J12120" t="str">
        <f t="shared" si="2335"/>
        <v>12/11/2025</v>
      </c>
      <c r="K12120" t="str">
        <f>("21/11/2025")</f>
        <v>21/11/2025</v>
      </c>
      <c r="L12120">
        <v>132.30000000000001</v>
      </c>
      <c r="M12120">
        <v>132.30000000000001</v>
      </c>
      <c r="N12120">
        <v>109</v>
      </c>
      <c r="O12120" t="str">
        <f>"PAGAMENTO DE ENTREGADORES"</f>
        <v>PAGAMENTO DE ENTREGADORES</v>
      </c>
      <c r="P12120">
        <v>132.30000000000001</v>
      </c>
      <c r="S12120" t="str">
        <f>"BANCO C6 (149)"</f>
        <v>BANCO C6 (149)</v>
      </c>
      <c r="T12120">
        <v>21472</v>
      </c>
      <c r="U12120">
        <v>25285</v>
      </c>
      <c r="V12120" t="s">
        <v>77</v>
      </c>
    </row>
    <row r="12121" spans="1:22">
      <c r="A12121" t="str">
        <f t="shared" si="2338"/>
        <v>21/11/2025</v>
      </c>
      <c r="B12121" t="str">
        <f t="shared" si="2337"/>
        <v>SAÍDA</v>
      </c>
      <c r="C12121" t="str">
        <f t="shared" si="2339"/>
        <v>PIX</v>
      </c>
      <c r="D12121" t="str">
        <f>"25285"</f>
        <v>25285</v>
      </c>
      <c r="E12121" t="str">
        <f t="shared" si="2333"/>
        <v>1</v>
      </c>
      <c r="F12121" t="str">
        <f t="shared" si="2336"/>
        <v>COM</v>
      </c>
      <c r="G12121" t="str">
        <f>"GERALDO SEVERINO DE SANTANA (729)"</f>
        <v>GERALDO SEVERINO DE SANTANA (729)</v>
      </c>
      <c r="H12121" t="s">
        <v>3274</v>
      </c>
      <c r="I12121" t="str">
        <f t="shared" si="2340"/>
        <v>20/11/2025</v>
      </c>
      <c r="J12121" t="str">
        <f t="shared" si="2335"/>
        <v>12/11/2025</v>
      </c>
      <c r="K12121">
        <v>45982</v>
      </c>
      <c r="N12121">
        <v>109</v>
      </c>
      <c r="O12121" t="s">
        <v>24</v>
      </c>
      <c r="Q12121">
        <v>132.30000000000001</v>
      </c>
      <c r="R12121" t="str">
        <f>"AC FARMA - FLEMINFARMA 5 (10183)"</f>
        <v>AC FARMA - FLEMINFARMA 5 (10183)</v>
      </c>
      <c r="S12121" t="s">
        <v>77</v>
      </c>
      <c r="T12121">
        <v>21472</v>
      </c>
      <c r="U12121">
        <v>25285</v>
      </c>
      <c r="V12121" t="s">
        <v>77</v>
      </c>
    </row>
    <row r="12122" spans="1:22">
      <c r="A12122" t="str">
        <f t="shared" si="2338"/>
        <v>21/11/2025</v>
      </c>
      <c r="B12122" t="str">
        <f t="shared" si="2337"/>
        <v>SAÍDA</v>
      </c>
      <c r="C12122" t="str">
        <f t="shared" si="2339"/>
        <v>PIX</v>
      </c>
      <c r="D12122" t="str">
        <f>"25286"</f>
        <v>25286</v>
      </c>
      <c r="E12122" t="str">
        <f t="shared" si="2333"/>
        <v>1</v>
      </c>
      <c r="F12122" t="str">
        <f t="shared" si="2336"/>
        <v>COM</v>
      </c>
      <c r="G12122" t="str">
        <f>"HELITON DE OLIVEIRA RAMOS BARBOSA (724)"</f>
        <v>HELITON DE OLIVEIRA RAMOS BARBOSA (724)</v>
      </c>
      <c r="H12122" t="str">
        <f>"Serv.Prest. 03/11/2025 a 09/11/2025 - PIX: CPF - CHAVE: 074.604.219-10"</f>
        <v>Serv.Prest. 03/11/2025 a 09/11/2025 - PIX: CPF - CHAVE: 074.604.219-10</v>
      </c>
      <c r="I12122" t="str">
        <f t="shared" si="2340"/>
        <v>20/11/2025</v>
      </c>
      <c r="J12122" t="str">
        <f t="shared" si="2335"/>
        <v>12/11/2025</v>
      </c>
      <c r="K12122" t="str">
        <f>("21/11/2025")</f>
        <v>21/11/2025</v>
      </c>
      <c r="L12122">
        <v>113.4</v>
      </c>
      <c r="M12122">
        <v>113.4</v>
      </c>
      <c r="N12122">
        <v>109</v>
      </c>
      <c r="O12122" t="str">
        <f>"PAGAMENTO DE ENTREGADORES"</f>
        <v>PAGAMENTO DE ENTREGADORES</v>
      </c>
      <c r="P12122">
        <v>113.4</v>
      </c>
      <c r="S12122" t="str">
        <f>"BANCO C6 (149)"</f>
        <v>BANCO C6 (149)</v>
      </c>
      <c r="T12122">
        <v>21473</v>
      </c>
      <c r="U12122">
        <v>25286</v>
      </c>
      <c r="V12122" t="s">
        <v>77</v>
      </c>
    </row>
    <row r="12123" spans="1:22">
      <c r="A12123" t="str">
        <f t="shared" si="2338"/>
        <v>21/11/2025</v>
      </c>
      <c r="B12123" t="str">
        <f t="shared" si="2337"/>
        <v>SAÍDA</v>
      </c>
      <c r="C12123" t="str">
        <f t="shared" si="2339"/>
        <v>PIX</v>
      </c>
      <c r="D12123" t="str">
        <f>"25286"</f>
        <v>25286</v>
      </c>
      <c r="E12123" t="str">
        <f t="shared" si="2333"/>
        <v>1</v>
      </c>
      <c r="F12123" t="str">
        <f t="shared" si="2336"/>
        <v>COM</v>
      </c>
      <c r="G12123" t="str">
        <f>"HELITON DE OLIVEIRA RAMOS BARBOSA (724)"</f>
        <v>HELITON DE OLIVEIRA RAMOS BARBOSA (724)</v>
      </c>
      <c r="H12123" t="s">
        <v>3275</v>
      </c>
      <c r="I12123" t="str">
        <f t="shared" si="2340"/>
        <v>20/11/2025</v>
      </c>
      <c r="J12123" t="str">
        <f t="shared" si="2335"/>
        <v>12/11/2025</v>
      </c>
      <c r="K12123">
        <v>45982</v>
      </c>
      <c r="N12123">
        <v>109</v>
      </c>
      <c r="O12123" t="s">
        <v>24</v>
      </c>
      <c r="Q12123">
        <v>113.4</v>
      </c>
      <c r="R12123" t="str">
        <f>"AC FARMA - FLEMINFARMA 5 (10183)"</f>
        <v>AC FARMA - FLEMINFARMA 5 (10183)</v>
      </c>
      <c r="S12123" t="s">
        <v>77</v>
      </c>
      <c r="T12123">
        <v>21473</v>
      </c>
      <c r="U12123">
        <v>25286</v>
      </c>
      <c r="V12123" t="s">
        <v>77</v>
      </c>
    </row>
    <row r="12124" spans="1:22">
      <c r="A12124" t="str">
        <f t="shared" si="2338"/>
        <v>21/11/2025</v>
      </c>
      <c r="B12124" t="str">
        <f t="shared" si="2337"/>
        <v>SAÍDA</v>
      </c>
      <c r="C12124" t="str">
        <f t="shared" si="2339"/>
        <v>PIX</v>
      </c>
      <c r="D12124" t="str">
        <f>"25525"</f>
        <v>25525</v>
      </c>
      <c r="E12124" t="str">
        <f t="shared" ref="E12124:E12187" si="2341">"1"</f>
        <v>1</v>
      </c>
      <c r="F12124" t="str">
        <f t="shared" si="2336"/>
        <v>COM</v>
      </c>
      <c r="G12124" t="str">
        <f>"MATHEUS DA ROCHA GOMES (1002)"</f>
        <v>MATHEUS DA ROCHA GOMES (1002)</v>
      </c>
      <c r="H12124" t="str">
        <f>"Serv.Prest. 10/11/2025 a 16/11/2025 - PIX: CPF - CHAVE: 469.543.578-04"</f>
        <v>Serv.Prest. 10/11/2025 a 16/11/2025 - PIX: CPF - CHAVE: 469.543.578-04</v>
      </c>
      <c r="I12124" t="str">
        <f t="shared" si="2340"/>
        <v>20/11/2025</v>
      </c>
      <c r="J12124" t="str">
        <f t="shared" ref="J12124:J12155" si="2342">("17/11/2025")</f>
        <v>17/11/2025</v>
      </c>
      <c r="K12124" t="str">
        <f>("21/11/2025")</f>
        <v>21/11/2025</v>
      </c>
      <c r="L12124">
        <v>1325</v>
      </c>
      <c r="M12124">
        <v>1325</v>
      </c>
      <c r="N12124">
        <v>109</v>
      </c>
      <c r="O12124" t="str">
        <f>"PAGAMENTO DE ENTREGADORES"</f>
        <v>PAGAMENTO DE ENTREGADORES</v>
      </c>
      <c r="P12124">
        <v>1325</v>
      </c>
      <c r="S12124" t="str">
        <f>"BANCO C6 (149)"</f>
        <v>BANCO C6 (149)</v>
      </c>
      <c r="T12124">
        <v>21474</v>
      </c>
      <c r="U12124">
        <v>25525</v>
      </c>
      <c r="V12124" t="s">
        <v>77</v>
      </c>
    </row>
    <row r="12125" spans="1:22">
      <c r="A12125" t="str">
        <f t="shared" si="2338"/>
        <v>21/11/2025</v>
      </c>
      <c r="B12125" t="str">
        <f t="shared" si="2337"/>
        <v>SAÍDA</v>
      </c>
      <c r="C12125" t="str">
        <f t="shared" si="2339"/>
        <v>PIX</v>
      </c>
      <c r="D12125" t="str">
        <f>"25525"</f>
        <v>25525</v>
      </c>
      <c r="E12125" t="str">
        <f t="shared" si="2341"/>
        <v>1</v>
      </c>
      <c r="F12125" t="str">
        <f t="shared" si="2336"/>
        <v>COM</v>
      </c>
      <c r="G12125" t="str">
        <f>"MATHEUS DA ROCHA GOMES (1002)"</f>
        <v>MATHEUS DA ROCHA GOMES (1002)</v>
      </c>
      <c r="H12125" t="s">
        <v>3277</v>
      </c>
      <c r="I12125" t="str">
        <f t="shared" si="2340"/>
        <v>20/11/2025</v>
      </c>
      <c r="J12125" t="str">
        <f t="shared" si="2342"/>
        <v>17/11/2025</v>
      </c>
      <c r="K12125">
        <v>45982</v>
      </c>
      <c r="N12125">
        <v>109</v>
      </c>
      <c r="O12125" t="s">
        <v>24</v>
      </c>
      <c r="Q12125">
        <v>441.62</v>
      </c>
      <c r="R12125" t="str">
        <f>"PENSE FARMA 31 (10205)"</f>
        <v>PENSE FARMA 31 (10205)</v>
      </c>
      <c r="S12125" t="s">
        <v>77</v>
      </c>
      <c r="T12125">
        <v>21474</v>
      </c>
      <c r="U12125">
        <v>25525</v>
      </c>
      <c r="V12125" t="s">
        <v>77</v>
      </c>
    </row>
    <row r="12126" spans="1:22">
      <c r="A12126" t="str">
        <f t="shared" si="2338"/>
        <v>21/11/2025</v>
      </c>
      <c r="B12126" t="str">
        <f t="shared" si="2337"/>
        <v>SAÍDA</v>
      </c>
      <c r="C12126" t="str">
        <f t="shared" si="2339"/>
        <v>PIX</v>
      </c>
      <c r="D12126" t="str">
        <f>"25525"</f>
        <v>25525</v>
      </c>
      <c r="E12126" t="str">
        <f t="shared" si="2341"/>
        <v>1</v>
      </c>
      <c r="F12126" t="str">
        <f t="shared" si="2336"/>
        <v>COM</v>
      </c>
      <c r="G12126" t="str">
        <f>"MATHEUS DA ROCHA GOMES (1002)"</f>
        <v>MATHEUS DA ROCHA GOMES (1002)</v>
      </c>
      <c r="H12126" t="s">
        <v>3277</v>
      </c>
      <c r="I12126" t="str">
        <f t="shared" si="2340"/>
        <v>20/11/2025</v>
      </c>
      <c r="J12126" t="str">
        <f t="shared" si="2342"/>
        <v>17/11/2025</v>
      </c>
      <c r="K12126">
        <v>45982</v>
      </c>
      <c r="N12126">
        <v>109</v>
      </c>
      <c r="O12126" t="s">
        <v>24</v>
      </c>
      <c r="Q12126">
        <v>441.62</v>
      </c>
      <c r="R12126" t="str">
        <f>"PENSE FARMA 16 (10221)"</f>
        <v>PENSE FARMA 16 (10221)</v>
      </c>
      <c r="S12126" t="s">
        <v>77</v>
      </c>
      <c r="T12126">
        <v>21474</v>
      </c>
      <c r="U12126">
        <v>25525</v>
      </c>
      <c r="V12126" t="s">
        <v>77</v>
      </c>
    </row>
    <row r="12127" spans="1:22">
      <c r="A12127" t="str">
        <f t="shared" si="2338"/>
        <v>21/11/2025</v>
      </c>
      <c r="B12127" t="str">
        <f t="shared" si="2337"/>
        <v>SAÍDA</v>
      </c>
      <c r="C12127" t="str">
        <f t="shared" si="2339"/>
        <v>PIX</v>
      </c>
      <c r="D12127" t="str">
        <f>"25525"</f>
        <v>25525</v>
      </c>
      <c r="E12127" t="str">
        <f t="shared" si="2341"/>
        <v>1</v>
      </c>
      <c r="F12127" t="str">
        <f t="shared" si="2336"/>
        <v>COM</v>
      </c>
      <c r="G12127" t="str">
        <f>"MATHEUS DA ROCHA GOMES (1002)"</f>
        <v>MATHEUS DA ROCHA GOMES (1002)</v>
      </c>
      <c r="H12127" t="s">
        <v>3277</v>
      </c>
      <c r="I12127" t="str">
        <f t="shared" si="2340"/>
        <v>20/11/2025</v>
      </c>
      <c r="J12127" t="str">
        <f t="shared" si="2342"/>
        <v>17/11/2025</v>
      </c>
      <c r="K12127">
        <v>45982</v>
      </c>
      <c r="N12127">
        <v>109</v>
      </c>
      <c r="O12127" t="s">
        <v>24</v>
      </c>
      <c r="Q12127">
        <v>441.76</v>
      </c>
      <c r="R12127" t="str">
        <f>"PENSE FARMA 17 (10222)"</f>
        <v>PENSE FARMA 17 (10222)</v>
      </c>
      <c r="S12127" t="s">
        <v>77</v>
      </c>
      <c r="T12127">
        <v>21474</v>
      </c>
      <c r="U12127">
        <v>25525</v>
      </c>
      <c r="V12127" t="s">
        <v>77</v>
      </c>
    </row>
    <row r="12128" spans="1:22">
      <c r="A12128" t="str">
        <f t="shared" si="2338"/>
        <v>21/11/2025</v>
      </c>
      <c r="B12128" t="str">
        <f t="shared" si="2337"/>
        <v>SAÍDA</v>
      </c>
      <c r="C12128" t="str">
        <f t="shared" si="2339"/>
        <v>PIX</v>
      </c>
      <c r="D12128" t="str">
        <f>"25522"</f>
        <v>25522</v>
      </c>
      <c r="E12128" t="str">
        <f t="shared" si="2341"/>
        <v>1</v>
      </c>
      <c r="F12128" t="str">
        <f t="shared" si="2336"/>
        <v>COM</v>
      </c>
      <c r="G12128" t="str">
        <f>"VICTOR HUGO SOARES DE PAULA (1021)"</f>
        <v>VICTOR HUGO SOARES DE PAULA (1021)</v>
      </c>
      <c r="H12128" t="str">
        <f>"Serv.Prest. 10/11/2025 a 16/11/2025 - PIX: CELULAR - CHAVE: (11) 98281-4526"</f>
        <v>Serv.Prest. 10/11/2025 a 16/11/2025 - PIX: CELULAR - CHAVE: (11) 98281-4526</v>
      </c>
      <c r="I12128" t="str">
        <f t="shared" si="2340"/>
        <v>20/11/2025</v>
      </c>
      <c r="J12128" t="str">
        <f t="shared" si="2342"/>
        <v>17/11/2025</v>
      </c>
      <c r="K12128" t="str">
        <f>("21/11/2025")</f>
        <v>21/11/2025</v>
      </c>
      <c r="L12128">
        <v>1375</v>
      </c>
      <c r="M12128">
        <v>1375</v>
      </c>
      <c r="N12128">
        <v>109</v>
      </c>
      <c r="O12128" t="str">
        <f>"PAGAMENTO DE ENTREGADORES"</f>
        <v>PAGAMENTO DE ENTREGADORES</v>
      </c>
      <c r="P12128">
        <v>1375</v>
      </c>
      <c r="S12128" t="str">
        <f>"BANCO C6 (149)"</f>
        <v>BANCO C6 (149)</v>
      </c>
      <c r="T12128">
        <v>21475</v>
      </c>
      <c r="U12128">
        <v>25522</v>
      </c>
      <c r="V12128" t="s">
        <v>77</v>
      </c>
    </row>
    <row r="12129" spans="1:22">
      <c r="A12129" t="str">
        <f t="shared" si="2338"/>
        <v>21/11/2025</v>
      </c>
      <c r="B12129" t="str">
        <f t="shared" si="2337"/>
        <v>SAÍDA</v>
      </c>
      <c r="C12129" t="str">
        <f t="shared" si="2339"/>
        <v>PIX</v>
      </c>
      <c r="D12129" t="str">
        <f>"25522"</f>
        <v>25522</v>
      </c>
      <c r="E12129" t="str">
        <f t="shared" si="2341"/>
        <v>1</v>
      </c>
      <c r="F12129" t="str">
        <f t="shared" si="2336"/>
        <v>COM</v>
      </c>
      <c r="G12129" t="str">
        <f>"VICTOR HUGO SOARES DE PAULA (1021)"</f>
        <v>VICTOR HUGO SOARES DE PAULA (1021)</v>
      </c>
      <c r="H12129" t="s">
        <v>3088</v>
      </c>
      <c r="I12129" t="str">
        <f t="shared" si="2340"/>
        <v>20/11/2025</v>
      </c>
      <c r="J12129" t="str">
        <f t="shared" si="2342"/>
        <v>17/11/2025</v>
      </c>
      <c r="K12129">
        <v>45982</v>
      </c>
      <c r="N12129">
        <v>109</v>
      </c>
      <c r="O12129" t="s">
        <v>24</v>
      </c>
      <c r="Q12129">
        <v>687.5</v>
      </c>
      <c r="R12129" t="str">
        <f>"PENSE FARMA 44 (10231)"</f>
        <v>PENSE FARMA 44 (10231)</v>
      </c>
      <c r="S12129" t="s">
        <v>77</v>
      </c>
      <c r="T12129">
        <v>21475</v>
      </c>
      <c r="U12129">
        <v>25522</v>
      </c>
      <c r="V12129" t="s">
        <v>77</v>
      </c>
    </row>
    <row r="12130" spans="1:22">
      <c r="A12130" t="str">
        <f t="shared" si="2338"/>
        <v>21/11/2025</v>
      </c>
      <c r="B12130" t="str">
        <f t="shared" si="2337"/>
        <v>SAÍDA</v>
      </c>
      <c r="C12130" t="str">
        <f t="shared" si="2339"/>
        <v>PIX</v>
      </c>
      <c r="D12130" t="str">
        <f>"25522"</f>
        <v>25522</v>
      </c>
      <c r="E12130" t="str">
        <f t="shared" si="2341"/>
        <v>1</v>
      </c>
      <c r="F12130" t="str">
        <f t="shared" si="2336"/>
        <v>COM</v>
      </c>
      <c r="G12130" t="str">
        <f>"VICTOR HUGO SOARES DE PAULA (1021)"</f>
        <v>VICTOR HUGO SOARES DE PAULA (1021)</v>
      </c>
      <c r="H12130" t="s">
        <v>3088</v>
      </c>
      <c r="I12130" t="str">
        <f t="shared" si="2340"/>
        <v>20/11/2025</v>
      </c>
      <c r="J12130" t="str">
        <f t="shared" si="2342"/>
        <v>17/11/2025</v>
      </c>
      <c r="K12130">
        <v>45982</v>
      </c>
      <c r="N12130">
        <v>109</v>
      </c>
      <c r="O12130" t="s">
        <v>24</v>
      </c>
      <c r="Q12130">
        <v>687.5</v>
      </c>
      <c r="R12130" t="str">
        <f>"PENSE FARMA 48 (10233)"</f>
        <v>PENSE FARMA 48 (10233)</v>
      </c>
      <c r="S12130" t="s">
        <v>77</v>
      </c>
      <c r="T12130">
        <v>21475</v>
      </c>
      <c r="U12130">
        <v>25522</v>
      </c>
      <c r="V12130" t="s">
        <v>77</v>
      </c>
    </row>
    <row r="12131" spans="1:22">
      <c r="A12131" t="str">
        <f t="shared" si="2338"/>
        <v>21/11/2025</v>
      </c>
      <c r="B12131" t="str">
        <f t="shared" si="2337"/>
        <v>SAÍDA</v>
      </c>
      <c r="C12131" t="str">
        <f t="shared" si="2339"/>
        <v>PIX</v>
      </c>
      <c r="D12131" t="str">
        <f>"25527"</f>
        <v>25527</v>
      </c>
      <c r="E12131" t="str">
        <f t="shared" si="2341"/>
        <v>1</v>
      </c>
      <c r="F12131" t="str">
        <f t="shared" si="2336"/>
        <v>COM</v>
      </c>
      <c r="G12131" t="str">
        <f>"ANDREA VOLPONI (1004)"</f>
        <v>ANDREA VOLPONI (1004)</v>
      </c>
      <c r="H12131" t="str">
        <f>"Serv.Prest. 10/11/2025 a 16/11/2025 - PIX: CPF - CHAVE: 361.750.258-06"</f>
        <v>Serv.Prest. 10/11/2025 a 16/11/2025 - PIX: CPF - CHAVE: 361.750.258-06</v>
      </c>
      <c r="I12131" t="str">
        <f t="shared" si="2340"/>
        <v>20/11/2025</v>
      </c>
      <c r="J12131" t="str">
        <f t="shared" si="2342"/>
        <v>17/11/2025</v>
      </c>
      <c r="K12131" t="str">
        <f>("21/11/2025")</f>
        <v>21/11/2025</v>
      </c>
      <c r="L12131">
        <v>800</v>
      </c>
      <c r="M12131">
        <v>800</v>
      </c>
      <c r="N12131">
        <v>109</v>
      </c>
      <c r="O12131" t="str">
        <f>"PAGAMENTO DE ENTREGADORES"</f>
        <v>PAGAMENTO DE ENTREGADORES</v>
      </c>
      <c r="P12131">
        <v>800</v>
      </c>
      <c r="S12131" t="str">
        <f>"BANCO C6 (149)"</f>
        <v>BANCO C6 (149)</v>
      </c>
      <c r="T12131">
        <v>21476</v>
      </c>
      <c r="U12131">
        <v>25527</v>
      </c>
      <c r="V12131" t="s">
        <v>77</v>
      </c>
    </row>
    <row r="12132" spans="1:22">
      <c r="A12132" t="str">
        <f t="shared" si="2338"/>
        <v>21/11/2025</v>
      </c>
      <c r="B12132" t="str">
        <f t="shared" si="2337"/>
        <v>SAÍDA</v>
      </c>
      <c r="C12132" t="str">
        <f t="shared" si="2339"/>
        <v>PIX</v>
      </c>
      <c r="D12132" t="str">
        <f>"25527"</f>
        <v>25527</v>
      </c>
      <c r="E12132" t="str">
        <f t="shared" si="2341"/>
        <v>1</v>
      </c>
      <c r="F12132" t="str">
        <f t="shared" si="2336"/>
        <v>COM</v>
      </c>
      <c r="G12132" t="str">
        <f>"ANDREA VOLPONI (1004)"</f>
        <v>ANDREA VOLPONI (1004)</v>
      </c>
      <c r="H12132" t="s">
        <v>3278</v>
      </c>
      <c r="I12132" t="str">
        <f t="shared" si="2340"/>
        <v>20/11/2025</v>
      </c>
      <c r="J12132" t="str">
        <f t="shared" si="2342"/>
        <v>17/11/2025</v>
      </c>
      <c r="K12132">
        <v>45982</v>
      </c>
      <c r="N12132">
        <v>109</v>
      </c>
      <c r="O12132" t="s">
        <v>24</v>
      </c>
      <c r="Q12132">
        <v>800</v>
      </c>
      <c r="R12132" t="str">
        <f>"PENSE FARMA 19 (10223)"</f>
        <v>PENSE FARMA 19 (10223)</v>
      </c>
      <c r="S12132" t="s">
        <v>77</v>
      </c>
      <c r="T12132">
        <v>21476</v>
      </c>
      <c r="U12132">
        <v>25527</v>
      </c>
      <c r="V12132" t="s">
        <v>77</v>
      </c>
    </row>
    <row r="12133" spans="1:22">
      <c r="A12133" t="str">
        <f t="shared" si="2338"/>
        <v>21/11/2025</v>
      </c>
      <c r="B12133" t="str">
        <f t="shared" si="2337"/>
        <v>SAÍDA</v>
      </c>
      <c r="C12133" t="str">
        <f t="shared" si="2339"/>
        <v>PIX</v>
      </c>
      <c r="D12133" t="str">
        <f>"25528"</f>
        <v>25528</v>
      </c>
      <c r="E12133" t="str">
        <f t="shared" si="2341"/>
        <v>1</v>
      </c>
      <c r="F12133" t="str">
        <f t="shared" si="2336"/>
        <v>COM</v>
      </c>
      <c r="G12133" t="str">
        <f>"BRUCE HENRIQUE COSTA DOS SANTOS CONCEI?? (996)"</f>
        <v>BRUCE HENRIQUE COSTA DOS SANTOS CONCEI?? (996)</v>
      </c>
      <c r="H12133" t="str">
        <f>"Serv.Prest. 10/11/2025 a 16/11/2025 - PIX: CNPJ - CHAVE: 52.606.983/0001-08"</f>
        <v>Serv.Prest. 10/11/2025 a 16/11/2025 - PIX: CNPJ - CHAVE: 52.606.983/0001-08</v>
      </c>
      <c r="I12133" t="str">
        <f t="shared" si="2340"/>
        <v>20/11/2025</v>
      </c>
      <c r="J12133" t="str">
        <f t="shared" si="2342"/>
        <v>17/11/2025</v>
      </c>
      <c r="K12133" t="str">
        <f>("21/11/2025")</f>
        <v>21/11/2025</v>
      </c>
      <c r="L12133">
        <v>1375</v>
      </c>
      <c r="M12133">
        <v>1375</v>
      </c>
      <c r="N12133">
        <v>109</v>
      </c>
      <c r="O12133" t="str">
        <f>"PAGAMENTO DE ENTREGADORES"</f>
        <v>PAGAMENTO DE ENTREGADORES</v>
      </c>
      <c r="P12133">
        <v>1375</v>
      </c>
      <c r="S12133" t="str">
        <f>"BANCO C6 (149)"</f>
        <v>BANCO C6 (149)</v>
      </c>
      <c r="T12133">
        <v>21477</v>
      </c>
      <c r="U12133">
        <v>25528</v>
      </c>
      <c r="V12133" t="s">
        <v>77</v>
      </c>
    </row>
    <row r="12134" spans="1:22">
      <c r="A12134" t="str">
        <f t="shared" si="2338"/>
        <v>21/11/2025</v>
      </c>
      <c r="B12134" t="str">
        <f t="shared" si="2337"/>
        <v>SAÍDA</v>
      </c>
      <c r="C12134" t="str">
        <f t="shared" si="2339"/>
        <v>PIX</v>
      </c>
      <c r="D12134" t="str">
        <f>"25528"</f>
        <v>25528</v>
      </c>
      <c r="E12134" t="str">
        <f t="shared" si="2341"/>
        <v>1</v>
      </c>
      <c r="F12134" t="str">
        <f t="shared" si="2336"/>
        <v>COM</v>
      </c>
      <c r="G12134" t="str">
        <f>"BRUCE HENRIQUE COSTA DOS SANTOS CONCEI?? (996)"</f>
        <v>BRUCE HENRIQUE COSTA DOS SANTOS CONCEI?? (996)</v>
      </c>
      <c r="H12134" t="s">
        <v>3279</v>
      </c>
      <c r="I12134" t="str">
        <f t="shared" si="2340"/>
        <v>20/11/2025</v>
      </c>
      <c r="J12134" t="str">
        <f t="shared" si="2342"/>
        <v>17/11/2025</v>
      </c>
      <c r="K12134">
        <v>45982</v>
      </c>
      <c r="N12134">
        <v>109</v>
      </c>
      <c r="O12134" t="s">
        <v>24</v>
      </c>
      <c r="Q12134">
        <v>1375</v>
      </c>
      <c r="R12134" t="str">
        <f>"PENSE FARMA 19 (10223)"</f>
        <v>PENSE FARMA 19 (10223)</v>
      </c>
      <c r="S12134" t="s">
        <v>77</v>
      </c>
      <c r="T12134">
        <v>21477</v>
      </c>
      <c r="U12134">
        <v>25528</v>
      </c>
      <c r="V12134" t="s">
        <v>77</v>
      </c>
    </row>
    <row r="12135" spans="1:22">
      <c r="A12135" t="str">
        <f t="shared" si="2338"/>
        <v>21/11/2025</v>
      </c>
      <c r="B12135" t="str">
        <f t="shared" si="2337"/>
        <v>SAÍDA</v>
      </c>
      <c r="C12135" t="str">
        <f t="shared" si="2339"/>
        <v>PIX</v>
      </c>
      <c r="D12135" t="str">
        <f>"25532"</f>
        <v>25532</v>
      </c>
      <c r="E12135" t="str">
        <f t="shared" si="2341"/>
        <v>1</v>
      </c>
      <c r="F12135" t="str">
        <f t="shared" si="2336"/>
        <v>COM</v>
      </c>
      <c r="G12135" t="str">
        <f>"GABRIEL SIQUEIRA DA SILVA (997)"</f>
        <v>GABRIEL SIQUEIRA DA SILVA (997)</v>
      </c>
      <c r="H12135" t="str">
        <f>"Serv.Prest. 10/11/2025 a 16/11/2025 - PIX: CPF - CHAVE: 500.480.978-02"</f>
        <v>Serv.Prest. 10/11/2025 a 16/11/2025 - PIX: CPF - CHAVE: 500.480.978-02</v>
      </c>
      <c r="I12135" t="str">
        <f t="shared" si="2340"/>
        <v>20/11/2025</v>
      </c>
      <c r="J12135" t="str">
        <f t="shared" si="2342"/>
        <v>17/11/2025</v>
      </c>
      <c r="K12135" t="str">
        <f>("21/11/2025")</f>
        <v>21/11/2025</v>
      </c>
      <c r="L12135">
        <v>800</v>
      </c>
      <c r="M12135">
        <v>800</v>
      </c>
      <c r="N12135">
        <v>109</v>
      </c>
      <c r="O12135" t="str">
        <f>"PAGAMENTO DE ENTREGADORES"</f>
        <v>PAGAMENTO DE ENTREGADORES</v>
      </c>
      <c r="P12135">
        <v>800</v>
      </c>
      <c r="S12135" t="str">
        <f>"BANCO C6 (149)"</f>
        <v>BANCO C6 (149)</v>
      </c>
      <c r="T12135">
        <v>21478</v>
      </c>
      <c r="U12135">
        <v>25532</v>
      </c>
      <c r="V12135" t="s">
        <v>77</v>
      </c>
    </row>
    <row r="12136" spans="1:22">
      <c r="A12136" t="str">
        <f t="shared" si="2338"/>
        <v>21/11/2025</v>
      </c>
      <c r="B12136" t="str">
        <f t="shared" si="2337"/>
        <v>SAÍDA</v>
      </c>
      <c r="C12136" t="str">
        <f t="shared" si="2339"/>
        <v>PIX</v>
      </c>
      <c r="D12136" t="str">
        <f>"25532"</f>
        <v>25532</v>
      </c>
      <c r="E12136" t="str">
        <f t="shared" si="2341"/>
        <v>1</v>
      </c>
      <c r="F12136" t="str">
        <f t="shared" si="2336"/>
        <v>COM</v>
      </c>
      <c r="G12136" t="str">
        <f>"GABRIEL SIQUEIRA DA SILVA (997)"</f>
        <v>GABRIEL SIQUEIRA DA SILVA (997)</v>
      </c>
      <c r="H12136" t="s">
        <v>3280</v>
      </c>
      <c r="I12136" t="str">
        <f t="shared" si="2340"/>
        <v>20/11/2025</v>
      </c>
      <c r="J12136" t="str">
        <f t="shared" si="2342"/>
        <v>17/11/2025</v>
      </c>
      <c r="K12136">
        <v>45982</v>
      </c>
      <c r="N12136">
        <v>109</v>
      </c>
      <c r="O12136" t="s">
        <v>24</v>
      </c>
      <c r="Q12136">
        <v>800</v>
      </c>
      <c r="R12136" t="str">
        <f>"PENSE FARMA 49 (10234)"</f>
        <v>PENSE FARMA 49 (10234)</v>
      </c>
      <c r="S12136" t="s">
        <v>77</v>
      </c>
      <c r="T12136">
        <v>21478</v>
      </c>
      <c r="U12136">
        <v>25532</v>
      </c>
      <c r="V12136" t="s">
        <v>77</v>
      </c>
    </row>
    <row r="12137" spans="1:22">
      <c r="A12137" t="str">
        <f t="shared" si="2338"/>
        <v>21/11/2025</v>
      </c>
      <c r="B12137" t="str">
        <f t="shared" si="2337"/>
        <v>SAÍDA</v>
      </c>
      <c r="C12137" t="str">
        <f t="shared" si="2339"/>
        <v>PIX</v>
      </c>
      <c r="D12137" t="str">
        <f>"25534"</f>
        <v>25534</v>
      </c>
      <c r="E12137" t="str">
        <f t="shared" si="2341"/>
        <v>1</v>
      </c>
      <c r="F12137" t="str">
        <f t="shared" si="2336"/>
        <v>COM</v>
      </c>
      <c r="G12137" t="str">
        <f>"ALAN COSTA SILVA (994)"</f>
        <v>ALAN COSTA SILVA (994)</v>
      </c>
      <c r="H12137" t="str">
        <f>"Serv.Prest. 10/11/2025 a 16/11/2025 - PIX: CELULAR - CHAVE: (11) 98484-6837"</f>
        <v>Serv.Prest. 10/11/2025 a 16/11/2025 - PIX: CELULAR - CHAVE: (11) 98484-6837</v>
      </c>
      <c r="I12137" t="str">
        <f t="shared" si="2340"/>
        <v>20/11/2025</v>
      </c>
      <c r="J12137" t="str">
        <f t="shared" si="2342"/>
        <v>17/11/2025</v>
      </c>
      <c r="K12137" t="str">
        <f>("21/11/2025")</f>
        <v>21/11/2025</v>
      </c>
      <c r="L12137">
        <v>1300</v>
      </c>
      <c r="M12137">
        <v>1300</v>
      </c>
      <c r="N12137">
        <v>109</v>
      </c>
      <c r="O12137" t="str">
        <f>"PAGAMENTO DE ENTREGADORES"</f>
        <v>PAGAMENTO DE ENTREGADORES</v>
      </c>
      <c r="P12137">
        <v>1300</v>
      </c>
      <c r="S12137" t="str">
        <f>"BANCO C6 (149)"</f>
        <v>BANCO C6 (149)</v>
      </c>
      <c r="T12137">
        <v>21479</v>
      </c>
      <c r="U12137">
        <v>25534</v>
      </c>
      <c r="V12137" t="s">
        <v>77</v>
      </c>
    </row>
    <row r="12138" spans="1:22">
      <c r="A12138" t="str">
        <f t="shared" si="2338"/>
        <v>21/11/2025</v>
      </c>
      <c r="B12138" t="str">
        <f t="shared" si="2337"/>
        <v>SAÍDA</v>
      </c>
      <c r="C12138" t="str">
        <f t="shared" si="2339"/>
        <v>PIX</v>
      </c>
      <c r="D12138" t="str">
        <f>"25534"</f>
        <v>25534</v>
      </c>
      <c r="E12138" t="str">
        <f t="shared" si="2341"/>
        <v>1</v>
      </c>
      <c r="F12138" t="str">
        <f t="shared" si="2336"/>
        <v>COM</v>
      </c>
      <c r="G12138" t="str">
        <f>"ALAN COSTA SILVA (994)"</f>
        <v>ALAN COSTA SILVA (994)</v>
      </c>
      <c r="H12138" t="s">
        <v>3281</v>
      </c>
      <c r="I12138" t="str">
        <f t="shared" si="2340"/>
        <v>20/11/2025</v>
      </c>
      <c r="J12138" t="str">
        <f t="shared" si="2342"/>
        <v>17/11/2025</v>
      </c>
      <c r="K12138">
        <v>45982</v>
      </c>
      <c r="N12138">
        <v>109</v>
      </c>
      <c r="O12138" t="s">
        <v>24</v>
      </c>
      <c r="Q12138">
        <v>325</v>
      </c>
      <c r="R12138" t="str">
        <f>"PENSE FARMA 02 (10199)"</f>
        <v>PENSE FARMA 02 (10199)</v>
      </c>
      <c r="S12138" t="s">
        <v>77</v>
      </c>
      <c r="T12138">
        <v>21479</v>
      </c>
      <c r="U12138">
        <v>25534</v>
      </c>
      <c r="V12138" t="s">
        <v>77</v>
      </c>
    </row>
    <row r="12139" spans="1:22">
      <c r="A12139" t="str">
        <f t="shared" si="2338"/>
        <v>21/11/2025</v>
      </c>
      <c r="B12139" t="str">
        <f t="shared" si="2337"/>
        <v>SAÍDA</v>
      </c>
      <c r="C12139" t="str">
        <f t="shared" si="2339"/>
        <v>PIX</v>
      </c>
      <c r="D12139" t="str">
        <f>"25534"</f>
        <v>25534</v>
      </c>
      <c r="E12139" t="str">
        <f t="shared" si="2341"/>
        <v>1</v>
      </c>
      <c r="F12139" t="str">
        <f t="shared" si="2336"/>
        <v>COM</v>
      </c>
      <c r="G12139" t="str">
        <f>"ALAN COSTA SILVA (994)"</f>
        <v>ALAN COSTA SILVA (994)</v>
      </c>
      <c r="H12139" t="s">
        <v>3281</v>
      </c>
      <c r="I12139" t="str">
        <f t="shared" si="2340"/>
        <v>20/11/2025</v>
      </c>
      <c r="J12139" t="str">
        <f t="shared" si="2342"/>
        <v>17/11/2025</v>
      </c>
      <c r="K12139">
        <v>45982</v>
      </c>
      <c r="N12139">
        <v>109</v>
      </c>
      <c r="O12139" t="s">
        <v>24</v>
      </c>
      <c r="Q12139">
        <v>325</v>
      </c>
      <c r="R12139" t="str">
        <f>"PENSE FARMA 01 (10215)"</f>
        <v>PENSE FARMA 01 (10215)</v>
      </c>
      <c r="S12139" t="s">
        <v>77</v>
      </c>
      <c r="T12139">
        <v>21479</v>
      </c>
      <c r="U12139">
        <v>25534</v>
      </c>
      <c r="V12139" t="s">
        <v>77</v>
      </c>
    </row>
    <row r="12140" spans="1:22">
      <c r="A12140" t="str">
        <f t="shared" si="2338"/>
        <v>21/11/2025</v>
      </c>
      <c r="B12140" t="str">
        <f t="shared" si="2337"/>
        <v>SAÍDA</v>
      </c>
      <c r="C12140" t="str">
        <f t="shared" si="2339"/>
        <v>PIX</v>
      </c>
      <c r="D12140" t="str">
        <f>"25534"</f>
        <v>25534</v>
      </c>
      <c r="E12140" t="str">
        <f t="shared" si="2341"/>
        <v>1</v>
      </c>
      <c r="F12140" t="str">
        <f t="shared" si="2336"/>
        <v>COM</v>
      </c>
      <c r="G12140" t="str">
        <f>"ALAN COSTA SILVA (994)"</f>
        <v>ALAN COSTA SILVA (994)</v>
      </c>
      <c r="H12140" t="s">
        <v>3281</v>
      </c>
      <c r="I12140" t="str">
        <f t="shared" si="2340"/>
        <v>20/11/2025</v>
      </c>
      <c r="J12140" t="str">
        <f t="shared" si="2342"/>
        <v>17/11/2025</v>
      </c>
      <c r="K12140">
        <v>45982</v>
      </c>
      <c r="N12140">
        <v>109</v>
      </c>
      <c r="O12140" t="s">
        <v>24</v>
      </c>
      <c r="Q12140">
        <v>325</v>
      </c>
      <c r="R12140" t="str">
        <f>"PENSE FARMA 03 (10216)"</f>
        <v>PENSE FARMA 03 (10216)</v>
      </c>
      <c r="S12140" t="s">
        <v>77</v>
      </c>
      <c r="T12140">
        <v>21479</v>
      </c>
      <c r="U12140">
        <v>25534</v>
      </c>
      <c r="V12140" t="s">
        <v>77</v>
      </c>
    </row>
    <row r="12141" spans="1:22">
      <c r="A12141" t="str">
        <f t="shared" si="2338"/>
        <v>21/11/2025</v>
      </c>
      <c r="B12141" t="str">
        <f t="shared" si="2337"/>
        <v>SAÍDA</v>
      </c>
      <c r="C12141" t="str">
        <f t="shared" si="2339"/>
        <v>PIX</v>
      </c>
      <c r="D12141" t="str">
        <f>"25534"</f>
        <v>25534</v>
      </c>
      <c r="E12141" t="str">
        <f t="shared" si="2341"/>
        <v>1</v>
      </c>
      <c r="F12141" t="str">
        <f t="shared" si="2336"/>
        <v>COM</v>
      </c>
      <c r="G12141" t="str">
        <f>"ALAN COSTA SILVA (994)"</f>
        <v>ALAN COSTA SILVA (994)</v>
      </c>
      <c r="H12141" t="s">
        <v>3281</v>
      </c>
      <c r="I12141" t="str">
        <f t="shared" si="2340"/>
        <v>20/11/2025</v>
      </c>
      <c r="J12141" t="str">
        <f t="shared" si="2342"/>
        <v>17/11/2025</v>
      </c>
      <c r="K12141">
        <v>45982</v>
      </c>
      <c r="N12141">
        <v>109</v>
      </c>
      <c r="O12141" t="s">
        <v>24</v>
      </c>
      <c r="Q12141">
        <v>325</v>
      </c>
      <c r="R12141" t="str">
        <f>"PENSE FARMA 39 (10228)"</f>
        <v>PENSE FARMA 39 (10228)</v>
      </c>
      <c r="S12141" t="s">
        <v>77</v>
      </c>
      <c r="T12141">
        <v>21479</v>
      </c>
      <c r="U12141">
        <v>25534</v>
      </c>
      <c r="V12141" t="s">
        <v>77</v>
      </c>
    </row>
    <row r="12142" spans="1:22">
      <c r="A12142" t="str">
        <f t="shared" si="2338"/>
        <v>21/11/2025</v>
      </c>
      <c r="B12142" t="str">
        <f t="shared" si="2337"/>
        <v>SAÍDA</v>
      </c>
      <c r="C12142" t="str">
        <f t="shared" si="2339"/>
        <v>PIX</v>
      </c>
      <c r="D12142" t="str">
        <f>"25536"</f>
        <v>25536</v>
      </c>
      <c r="E12142" t="str">
        <f t="shared" si="2341"/>
        <v>1</v>
      </c>
      <c r="F12142" t="str">
        <f t="shared" si="2336"/>
        <v>COM</v>
      </c>
      <c r="G12142" t="str">
        <f>"IGOR LOPES DA SILVA (991)"</f>
        <v>IGOR LOPES DA SILVA (991)</v>
      </c>
      <c r="H12142" t="str">
        <f>"Serv.Prest. 10/11/2025 a 16/11/2025 - PIX: CELULAR - CHAVE: (11) 95054-2206"</f>
        <v>Serv.Prest. 10/11/2025 a 16/11/2025 - PIX: CELULAR - CHAVE: (11) 95054-2206</v>
      </c>
      <c r="I12142" t="str">
        <f t="shared" si="2340"/>
        <v>20/11/2025</v>
      </c>
      <c r="J12142" t="str">
        <f t="shared" si="2342"/>
        <v>17/11/2025</v>
      </c>
      <c r="K12142" t="str">
        <f>("21/11/2025")</f>
        <v>21/11/2025</v>
      </c>
      <c r="L12142">
        <v>1300</v>
      </c>
      <c r="M12142">
        <v>1300</v>
      </c>
      <c r="N12142">
        <v>109</v>
      </c>
      <c r="O12142" t="str">
        <f>"PAGAMENTO DE ENTREGADORES"</f>
        <v>PAGAMENTO DE ENTREGADORES</v>
      </c>
      <c r="P12142">
        <v>1300</v>
      </c>
      <c r="S12142" t="str">
        <f>"BANCO C6 (149)"</f>
        <v>BANCO C6 (149)</v>
      </c>
      <c r="T12142">
        <v>21480</v>
      </c>
      <c r="U12142">
        <v>25536</v>
      </c>
      <c r="V12142" t="s">
        <v>77</v>
      </c>
    </row>
    <row r="12143" spans="1:22">
      <c r="A12143" t="str">
        <f t="shared" si="2338"/>
        <v>21/11/2025</v>
      </c>
      <c r="B12143" t="str">
        <f t="shared" si="2337"/>
        <v>SAÍDA</v>
      </c>
      <c r="C12143" t="str">
        <f t="shared" si="2339"/>
        <v>PIX</v>
      </c>
      <c r="D12143" t="str">
        <f>"25536"</f>
        <v>25536</v>
      </c>
      <c r="E12143" t="str">
        <f t="shared" si="2341"/>
        <v>1</v>
      </c>
      <c r="F12143" t="str">
        <f t="shared" si="2336"/>
        <v>COM</v>
      </c>
      <c r="G12143" t="str">
        <f>"IGOR LOPES DA SILVA (991)"</f>
        <v>IGOR LOPES DA SILVA (991)</v>
      </c>
      <c r="H12143" t="s">
        <v>3282</v>
      </c>
      <c r="I12143" t="str">
        <f t="shared" si="2340"/>
        <v>20/11/2025</v>
      </c>
      <c r="J12143" t="str">
        <f t="shared" si="2342"/>
        <v>17/11/2025</v>
      </c>
      <c r="K12143">
        <v>45982</v>
      </c>
      <c r="N12143">
        <v>109</v>
      </c>
      <c r="O12143" t="s">
        <v>24</v>
      </c>
      <c r="Q12143">
        <v>325</v>
      </c>
      <c r="R12143" t="str">
        <f>"PENSE FARMA 02 (10199)"</f>
        <v>PENSE FARMA 02 (10199)</v>
      </c>
      <c r="S12143" t="s">
        <v>77</v>
      </c>
      <c r="T12143">
        <v>21480</v>
      </c>
      <c r="U12143">
        <v>25536</v>
      </c>
      <c r="V12143" t="s">
        <v>77</v>
      </c>
    </row>
    <row r="12144" spans="1:22">
      <c r="A12144" t="str">
        <f t="shared" si="2338"/>
        <v>21/11/2025</v>
      </c>
      <c r="B12144" t="str">
        <f t="shared" si="2337"/>
        <v>SAÍDA</v>
      </c>
      <c r="C12144" t="str">
        <f t="shared" si="2339"/>
        <v>PIX</v>
      </c>
      <c r="D12144" t="str">
        <f>"25536"</f>
        <v>25536</v>
      </c>
      <c r="E12144" t="str">
        <f t="shared" si="2341"/>
        <v>1</v>
      </c>
      <c r="F12144" t="str">
        <f t="shared" si="2336"/>
        <v>COM</v>
      </c>
      <c r="G12144" t="str">
        <f>"IGOR LOPES DA SILVA (991)"</f>
        <v>IGOR LOPES DA SILVA (991)</v>
      </c>
      <c r="H12144" t="s">
        <v>3282</v>
      </c>
      <c r="I12144" t="str">
        <f t="shared" si="2340"/>
        <v>20/11/2025</v>
      </c>
      <c r="J12144" t="str">
        <f t="shared" si="2342"/>
        <v>17/11/2025</v>
      </c>
      <c r="K12144">
        <v>45982</v>
      </c>
      <c r="N12144">
        <v>109</v>
      </c>
      <c r="O12144" t="s">
        <v>24</v>
      </c>
      <c r="Q12144">
        <v>325</v>
      </c>
      <c r="R12144" t="str">
        <f>"PENSE FARMA 01 (10215)"</f>
        <v>PENSE FARMA 01 (10215)</v>
      </c>
      <c r="S12144" t="s">
        <v>77</v>
      </c>
      <c r="T12144">
        <v>21480</v>
      </c>
      <c r="U12144">
        <v>25536</v>
      </c>
      <c r="V12144" t="s">
        <v>77</v>
      </c>
    </row>
    <row r="12145" spans="1:22">
      <c r="A12145" t="str">
        <f t="shared" si="2338"/>
        <v>21/11/2025</v>
      </c>
      <c r="B12145" t="str">
        <f t="shared" si="2337"/>
        <v>SAÍDA</v>
      </c>
      <c r="C12145" t="str">
        <f t="shared" si="2339"/>
        <v>PIX</v>
      </c>
      <c r="D12145" t="str">
        <f>"25536"</f>
        <v>25536</v>
      </c>
      <c r="E12145" t="str">
        <f t="shared" si="2341"/>
        <v>1</v>
      </c>
      <c r="F12145" t="str">
        <f t="shared" si="2336"/>
        <v>COM</v>
      </c>
      <c r="G12145" t="str">
        <f>"IGOR LOPES DA SILVA (991)"</f>
        <v>IGOR LOPES DA SILVA (991)</v>
      </c>
      <c r="H12145" t="s">
        <v>3282</v>
      </c>
      <c r="I12145" t="str">
        <f t="shared" si="2340"/>
        <v>20/11/2025</v>
      </c>
      <c r="J12145" t="str">
        <f t="shared" si="2342"/>
        <v>17/11/2025</v>
      </c>
      <c r="K12145">
        <v>45982</v>
      </c>
      <c r="N12145">
        <v>109</v>
      </c>
      <c r="O12145" t="s">
        <v>24</v>
      </c>
      <c r="Q12145">
        <v>325</v>
      </c>
      <c r="R12145" t="str">
        <f>"PENSE FARMA 03 (10216)"</f>
        <v>PENSE FARMA 03 (10216)</v>
      </c>
      <c r="S12145" t="s">
        <v>77</v>
      </c>
      <c r="T12145">
        <v>21480</v>
      </c>
      <c r="U12145">
        <v>25536</v>
      </c>
      <c r="V12145" t="s">
        <v>77</v>
      </c>
    </row>
    <row r="12146" spans="1:22">
      <c r="A12146" t="str">
        <f t="shared" si="2338"/>
        <v>21/11/2025</v>
      </c>
      <c r="B12146" t="str">
        <f t="shared" si="2337"/>
        <v>SAÍDA</v>
      </c>
      <c r="C12146" t="str">
        <f t="shared" si="2339"/>
        <v>PIX</v>
      </c>
      <c r="D12146" t="str">
        <f>"25536"</f>
        <v>25536</v>
      </c>
      <c r="E12146" t="str">
        <f t="shared" si="2341"/>
        <v>1</v>
      </c>
      <c r="F12146" t="str">
        <f t="shared" si="2336"/>
        <v>COM</v>
      </c>
      <c r="G12146" t="str">
        <f>"IGOR LOPES DA SILVA (991)"</f>
        <v>IGOR LOPES DA SILVA (991)</v>
      </c>
      <c r="H12146" t="s">
        <v>3282</v>
      </c>
      <c r="I12146" t="str">
        <f t="shared" si="2340"/>
        <v>20/11/2025</v>
      </c>
      <c r="J12146" t="str">
        <f t="shared" si="2342"/>
        <v>17/11/2025</v>
      </c>
      <c r="K12146">
        <v>45982</v>
      </c>
      <c r="N12146">
        <v>109</v>
      </c>
      <c r="O12146" t="s">
        <v>24</v>
      </c>
      <c r="Q12146">
        <v>325</v>
      </c>
      <c r="R12146" t="str">
        <f>"PENSE FARMA 39 (10228)"</f>
        <v>PENSE FARMA 39 (10228)</v>
      </c>
      <c r="S12146" t="s">
        <v>77</v>
      </c>
      <c r="T12146">
        <v>21480</v>
      </c>
      <c r="U12146">
        <v>25536</v>
      </c>
      <c r="V12146" t="s">
        <v>77</v>
      </c>
    </row>
    <row r="12147" spans="1:22">
      <c r="A12147" t="str">
        <f t="shared" si="2338"/>
        <v>21/11/2025</v>
      </c>
      <c r="B12147" t="str">
        <f t="shared" si="2337"/>
        <v>SAÍDA</v>
      </c>
      <c r="C12147" t="str">
        <f t="shared" si="2339"/>
        <v>PIX</v>
      </c>
      <c r="D12147" t="str">
        <f>"25538"</f>
        <v>25538</v>
      </c>
      <c r="E12147" t="str">
        <f t="shared" si="2341"/>
        <v>1</v>
      </c>
      <c r="F12147" t="str">
        <f t="shared" si="2336"/>
        <v>COM</v>
      </c>
      <c r="G12147" t="str">
        <f>"MATEUS VIEIRA DE SOUZA (1019)"</f>
        <v>MATEUS VIEIRA DE SOUZA (1019)</v>
      </c>
      <c r="H12147" t="str">
        <f>"Serv.Prest. 10/11/2025 a 16/11/2025 - PIX: CELULAR - CHAVE: (11) 97702-1316"</f>
        <v>Serv.Prest. 10/11/2025 a 16/11/2025 - PIX: CELULAR - CHAVE: (11) 97702-1316</v>
      </c>
      <c r="I12147" t="str">
        <f t="shared" si="2340"/>
        <v>20/11/2025</v>
      </c>
      <c r="J12147" t="str">
        <f t="shared" si="2342"/>
        <v>17/11/2025</v>
      </c>
      <c r="K12147" t="str">
        <f>("21/11/2025")</f>
        <v>21/11/2025</v>
      </c>
      <c r="L12147">
        <v>1300</v>
      </c>
      <c r="M12147">
        <v>1300</v>
      </c>
      <c r="N12147">
        <v>109</v>
      </c>
      <c r="O12147" t="str">
        <f>"PAGAMENTO DE ENTREGADORES"</f>
        <v>PAGAMENTO DE ENTREGADORES</v>
      </c>
      <c r="P12147">
        <v>1300</v>
      </c>
      <c r="S12147" t="str">
        <f>"BANCO C6 (149)"</f>
        <v>BANCO C6 (149)</v>
      </c>
      <c r="T12147">
        <v>21481</v>
      </c>
      <c r="U12147">
        <v>25538</v>
      </c>
      <c r="V12147" t="s">
        <v>77</v>
      </c>
    </row>
    <row r="12148" spans="1:22">
      <c r="A12148" t="str">
        <f t="shared" si="2338"/>
        <v>21/11/2025</v>
      </c>
      <c r="B12148" t="str">
        <f t="shared" si="2337"/>
        <v>SAÍDA</v>
      </c>
      <c r="C12148" t="str">
        <f t="shared" si="2339"/>
        <v>PIX</v>
      </c>
      <c r="D12148" t="str">
        <f>"25538"</f>
        <v>25538</v>
      </c>
      <c r="E12148" t="str">
        <f t="shared" si="2341"/>
        <v>1</v>
      </c>
      <c r="F12148" t="str">
        <f t="shared" si="2336"/>
        <v>COM</v>
      </c>
      <c r="G12148" t="str">
        <f>"MATEUS VIEIRA DE SOUZA (1019)"</f>
        <v>MATEUS VIEIRA DE SOUZA (1019)</v>
      </c>
      <c r="H12148" t="s">
        <v>3087</v>
      </c>
      <c r="I12148" t="str">
        <f t="shared" si="2340"/>
        <v>20/11/2025</v>
      </c>
      <c r="J12148" t="str">
        <f t="shared" si="2342"/>
        <v>17/11/2025</v>
      </c>
      <c r="K12148">
        <v>45982</v>
      </c>
      <c r="N12148">
        <v>109</v>
      </c>
      <c r="O12148" t="s">
        <v>24</v>
      </c>
      <c r="Q12148">
        <v>1300</v>
      </c>
      <c r="R12148" t="str">
        <f>"PENSE FARMA 47 (10232)"</f>
        <v>PENSE FARMA 47 (10232)</v>
      </c>
      <c r="S12148" t="s">
        <v>77</v>
      </c>
      <c r="T12148">
        <v>21481</v>
      </c>
      <c r="U12148">
        <v>25538</v>
      </c>
      <c r="V12148" t="s">
        <v>77</v>
      </c>
    </row>
    <row r="12149" spans="1:22">
      <c r="A12149" t="str">
        <f t="shared" si="2338"/>
        <v>21/11/2025</v>
      </c>
      <c r="B12149" t="str">
        <f t="shared" si="2337"/>
        <v>SAÍDA</v>
      </c>
      <c r="C12149" t="str">
        <f t="shared" si="2339"/>
        <v>PIX</v>
      </c>
      <c r="D12149" t="str">
        <f>"25541"</f>
        <v>25541</v>
      </c>
      <c r="E12149" t="str">
        <f t="shared" si="2341"/>
        <v>1</v>
      </c>
      <c r="F12149" t="str">
        <f t="shared" si="2336"/>
        <v>COM</v>
      </c>
      <c r="G12149" t="str">
        <f>"DEIVID FERNANDES COSTA (828)"</f>
        <v>DEIVID FERNANDES COSTA (828)</v>
      </c>
      <c r="H12149" t="str">
        <f>"Serv.Prest. 10/11/2025 a 16/11/2025 - PIX: CELULAR - CHAVE: (62) 99550-3226"</f>
        <v>Serv.Prest. 10/11/2025 a 16/11/2025 - PIX: CELULAR - CHAVE: (62) 99550-3226</v>
      </c>
      <c r="I12149" t="str">
        <f t="shared" si="2340"/>
        <v>20/11/2025</v>
      </c>
      <c r="J12149" t="str">
        <f t="shared" si="2342"/>
        <v>17/11/2025</v>
      </c>
      <c r="K12149" t="str">
        <f>("21/11/2025")</f>
        <v>21/11/2025</v>
      </c>
      <c r="L12149">
        <v>1404.2</v>
      </c>
      <c r="M12149">
        <v>1404.2</v>
      </c>
      <c r="N12149">
        <v>109</v>
      </c>
      <c r="O12149" t="str">
        <f>"PAGAMENTO DE ENTREGADORES"</f>
        <v>PAGAMENTO DE ENTREGADORES</v>
      </c>
      <c r="P12149">
        <v>1404.2</v>
      </c>
      <c r="S12149" t="str">
        <f>"BANCO C6 (149)"</f>
        <v>BANCO C6 (149)</v>
      </c>
      <c r="T12149">
        <v>21482</v>
      </c>
      <c r="U12149">
        <v>25541</v>
      </c>
      <c r="V12149" t="s">
        <v>77</v>
      </c>
    </row>
    <row r="12150" spans="1:22">
      <c r="A12150" t="str">
        <f t="shared" si="2338"/>
        <v>21/11/2025</v>
      </c>
      <c r="B12150" t="str">
        <f t="shared" si="2337"/>
        <v>SAÍDA</v>
      </c>
      <c r="C12150" t="str">
        <f t="shared" si="2339"/>
        <v>PIX</v>
      </c>
      <c r="D12150" t="str">
        <f>"25541"</f>
        <v>25541</v>
      </c>
      <c r="E12150" t="str">
        <f t="shared" si="2341"/>
        <v>1</v>
      </c>
      <c r="F12150" t="str">
        <f t="shared" si="2336"/>
        <v>COM</v>
      </c>
      <c r="G12150" t="str">
        <f>"DEIVID FERNANDES COSTA (828)"</f>
        <v>DEIVID FERNANDES COSTA (828)</v>
      </c>
      <c r="H12150" t="s">
        <v>3283</v>
      </c>
      <c r="I12150" t="str">
        <f t="shared" si="2340"/>
        <v>20/11/2025</v>
      </c>
      <c r="J12150" t="str">
        <f t="shared" si="2342"/>
        <v>17/11/2025</v>
      </c>
      <c r="K12150">
        <v>45982</v>
      </c>
      <c r="N12150">
        <v>109</v>
      </c>
      <c r="O12150" t="s">
        <v>24</v>
      </c>
      <c r="Q12150">
        <v>1404.2</v>
      </c>
      <c r="R12150" t="str">
        <f>"BRASIL FARMA (10173)"</f>
        <v>BRASIL FARMA (10173)</v>
      </c>
      <c r="S12150" t="s">
        <v>77</v>
      </c>
      <c r="T12150">
        <v>21482</v>
      </c>
      <c r="U12150">
        <v>25541</v>
      </c>
      <c r="V12150" t="s">
        <v>77</v>
      </c>
    </row>
    <row r="12151" spans="1:22">
      <c r="A12151" t="str">
        <f t="shared" si="2338"/>
        <v>21/11/2025</v>
      </c>
      <c r="B12151" t="str">
        <f t="shared" si="2337"/>
        <v>SAÍDA</v>
      </c>
      <c r="C12151" t="str">
        <f t="shared" si="2339"/>
        <v>PIX</v>
      </c>
      <c r="D12151" t="str">
        <f>"25543"</f>
        <v>25543</v>
      </c>
      <c r="E12151" t="str">
        <f t="shared" si="2341"/>
        <v>1</v>
      </c>
      <c r="F12151" t="str">
        <f t="shared" si="2336"/>
        <v>COM</v>
      </c>
      <c r="G12151" t="str">
        <f>"EDUARDO COSTA DA SILVA (721)"</f>
        <v>EDUARDO COSTA DA SILVA (721)</v>
      </c>
      <c r="H12151" t="str">
        <f>"Serv.Prest. 10/11/2025 a 16/11/2025 - PIX: CELULAR - CHAVE: (11) 95552-9905"</f>
        <v>Serv.Prest. 10/11/2025 a 16/11/2025 - PIX: CELULAR - CHAVE: (11) 95552-9905</v>
      </c>
      <c r="I12151" t="str">
        <f t="shared" si="2340"/>
        <v>20/11/2025</v>
      </c>
      <c r="J12151" t="str">
        <f t="shared" si="2342"/>
        <v>17/11/2025</v>
      </c>
      <c r="K12151" t="str">
        <f>("21/11/2025")</f>
        <v>21/11/2025</v>
      </c>
      <c r="L12151">
        <v>1441.9</v>
      </c>
      <c r="M12151">
        <v>1441.9</v>
      </c>
      <c r="N12151">
        <v>109</v>
      </c>
      <c r="O12151" t="str">
        <f>"PAGAMENTO DE ENTREGADORES"</f>
        <v>PAGAMENTO DE ENTREGADORES</v>
      </c>
      <c r="P12151">
        <v>1441.9</v>
      </c>
      <c r="S12151" t="str">
        <f>"BANCO C6 (149)"</f>
        <v>BANCO C6 (149)</v>
      </c>
      <c r="T12151">
        <v>21483</v>
      </c>
      <c r="U12151">
        <v>25543</v>
      </c>
      <c r="V12151" t="s">
        <v>77</v>
      </c>
    </row>
    <row r="12152" spans="1:22">
      <c r="A12152" t="str">
        <f t="shared" si="2338"/>
        <v>21/11/2025</v>
      </c>
      <c r="B12152" t="str">
        <f t="shared" si="2337"/>
        <v>SAÍDA</v>
      </c>
      <c r="C12152" t="str">
        <f t="shared" si="2339"/>
        <v>PIX</v>
      </c>
      <c r="D12152" t="str">
        <f>"25543"</f>
        <v>25543</v>
      </c>
      <c r="E12152" t="str">
        <f t="shared" si="2341"/>
        <v>1</v>
      </c>
      <c r="F12152" t="str">
        <f t="shared" si="2336"/>
        <v>COM</v>
      </c>
      <c r="G12152" t="str">
        <f>"EDUARDO COSTA DA SILVA (721)"</f>
        <v>EDUARDO COSTA DA SILVA (721)</v>
      </c>
      <c r="H12152" t="s">
        <v>3284</v>
      </c>
      <c r="I12152" t="str">
        <f t="shared" si="2340"/>
        <v>20/11/2025</v>
      </c>
      <c r="J12152" t="str">
        <f t="shared" si="2342"/>
        <v>17/11/2025</v>
      </c>
      <c r="K12152">
        <v>45982</v>
      </c>
      <c r="N12152">
        <v>109</v>
      </c>
      <c r="O12152" t="s">
        <v>24</v>
      </c>
      <c r="Q12152">
        <v>1441.9</v>
      </c>
      <c r="R12152" t="str">
        <f>"DROGARIA AGAPEAMA (10167)"</f>
        <v>DROGARIA AGAPEAMA (10167)</v>
      </c>
      <c r="S12152" t="s">
        <v>77</v>
      </c>
      <c r="T12152">
        <v>21483</v>
      </c>
      <c r="U12152">
        <v>25543</v>
      </c>
      <c r="V12152" t="s">
        <v>77</v>
      </c>
    </row>
    <row r="12153" spans="1:22">
      <c r="A12153" t="str">
        <f t="shared" si="2338"/>
        <v>21/11/2025</v>
      </c>
      <c r="B12153" t="str">
        <f t="shared" si="2337"/>
        <v>SAÍDA</v>
      </c>
      <c r="C12153" t="str">
        <f t="shared" si="2339"/>
        <v>PIX</v>
      </c>
      <c r="D12153" t="str">
        <f>"25544"</f>
        <v>25544</v>
      </c>
      <c r="E12153" t="str">
        <f t="shared" si="2341"/>
        <v>1</v>
      </c>
      <c r="F12153" t="str">
        <f t="shared" si="2336"/>
        <v>COM</v>
      </c>
      <c r="G12153" t="str">
        <f>"GUILHERME DA SILVA GOMES (901)"</f>
        <v>GUILHERME DA SILVA GOMES (901)</v>
      </c>
      <c r="H12153" t="str">
        <f>"Serv.Prest. 10/11/2025 a 16/11/2025 - PIX: CPF - CHAVE: 505.341.528-56"</f>
        <v>Serv.Prest. 10/11/2025 a 16/11/2025 - PIX: CPF - CHAVE: 505.341.528-56</v>
      </c>
      <c r="I12153" t="str">
        <f t="shared" si="2340"/>
        <v>20/11/2025</v>
      </c>
      <c r="J12153" t="str">
        <f t="shared" si="2342"/>
        <v>17/11/2025</v>
      </c>
      <c r="K12153" t="str">
        <f>("21/11/2025")</f>
        <v>21/11/2025</v>
      </c>
      <c r="L12153">
        <v>1000.9</v>
      </c>
      <c r="M12153">
        <v>1000.9</v>
      </c>
      <c r="N12153">
        <v>109</v>
      </c>
      <c r="O12153" t="str">
        <f>"PAGAMENTO DE ENTREGADORES"</f>
        <v>PAGAMENTO DE ENTREGADORES</v>
      </c>
      <c r="P12153">
        <v>1000.9</v>
      </c>
      <c r="S12153" t="str">
        <f>"BANCO C6 (149)"</f>
        <v>BANCO C6 (149)</v>
      </c>
      <c r="T12153">
        <v>21484</v>
      </c>
      <c r="U12153">
        <v>25544</v>
      </c>
      <c r="V12153" t="s">
        <v>77</v>
      </c>
    </row>
    <row r="12154" spans="1:22">
      <c r="A12154" t="str">
        <f t="shared" si="2338"/>
        <v>21/11/2025</v>
      </c>
      <c r="B12154" t="str">
        <f t="shared" si="2337"/>
        <v>SAÍDA</v>
      </c>
      <c r="C12154" t="str">
        <f t="shared" si="2339"/>
        <v>PIX</v>
      </c>
      <c r="D12154" t="str">
        <f>"25544"</f>
        <v>25544</v>
      </c>
      <c r="E12154" t="str">
        <f t="shared" si="2341"/>
        <v>1</v>
      </c>
      <c r="F12154" t="str">
        <f t="shared" ref="F12154:F12217" si="2343">"COM"</f>
        <v>COM</v>
      </c>
      <c r="G12154" t="str">
        <f>"GUILHERME DA SILVA GOMES (901)"</f>
        <v>GUILHERME DA SILVA GOMES (901)</v>
      </c>
      <c r="H12154" t="s">
        <v>3285</v>
      </c>
      <c r="I12154" t="str">
        <f t="shared" si="2340"/>
        <v>20/11/2025</v>
      </c>
      <c r="J12154" t="str">
        <f t="shared" si="2342"/>
        <v>17/11/2025</v>
      </c>
      <c r="K12154">
        <v>45982</v>
      </c>
      <c r="N12154">
        <v>109</v>
      </c>
      <c r="O12154" t="s">
        <v>24</v>
      </c>
      <c r="Q12154">
        <v>1000.9</v>
      </c>
      <c r="R12154" t="str">
        <f>"DROGARIA AGAPEAMA (10167)"</f>
        <v>DROGARIA AGAPEAMA (10167)</v>
      </c>
      <c r="S12154" t="s">
        <v>77</v>
      </c>
      <c r="T12154">
        <v>21484</v>
      </c>
      <c r="U12154">
        <v>25544</v>
      </c>
      <c r="V12154" t="s">
        <v>77</v>
      </c>
    </row>
    <row r="12155" spans="1:22">
      <c r="A12155" t="str">
        <f t="shared" si="2338"/>
        <v>21/11/2025</v>
      </c>
      <c r="B12155" t="str">
        <f t="shared" si="2337"/>
        <v>SAÍDA</v>
      </c>
      <c r="C12155" t="str">
        <f t="shared" si="2339"/>
        <v>PIX</v>
      </c>
      <c r="D12155" t="str">
        <f>"25545"</f>
        <v>25545</v>
      </c>
      <c r="E12155" t="str">
        <f t="shared" si="2341"/>
        <v>1</v>
      </c>
      <c r="F12155" t="str">
        <f t="shared" si="2343"/>
        <v>COM</v>
      </c>
      <c r="G12155" t="str">
        <f>"WESLEY RICARDO DE OLIVEIRA (722)"</f>
        <v>WESLEY RICARDO DE OLIVEIRA (722)</v>
      </c>
      <c r="H12155" t="str">
        <f>"Serv.Prest. 10/11/2025 a 16/11/2025 - PIX: CELULAR - CHAVE: (11) 91214-6176"</f>
        <v>Serv.Prest. 10/11/2025 a 16/11/2025 - PIX: CELULAR - CHAVE: (11) 91214-6176</v>
      </c>
      <c r="I12155" t="str">
        <f t="shared" si="2340"/>
        <v>20/11/2025</v>
      </c>
      <c r="J12155" t="str">
        <f t="shared" si="2342"/>
        <v>17/11/2025</v>
      </c>
      <c r="K12155" t="str">
        <f>("21/11/2025")</f>
        <v>21/11/2025</v>
      </c>
      <c r="L12155">
        <v>988.3</v>
      </c>
      <c r="M12155">
        <v>988.3</v>
      </c>
      <c r="N12155">
        <v>109</v>
      </c>
      <c r="O12155" t="str">
        <f>"PAGAMENTO DE ENTREGADORES"</f>
        <v>PAGAMENTO DE ENTREGADORES</v>
      </c>
      <c r="P12155">
        <v>988.3</v>
      </c>
      <c r="S12155" t="str">
        <f>"BANCO C6 (149)"</f>
        <v>BANCO C6 (149)</v>
      </c>
      <c r="T12155">
        <v>21485</v>
      </c>
      <c r="U12155">
        <v>25545</v>
      </c>
      <c r="V12155" t="s">
        <v>77</v>
      </c>
    </row>
    <row r="12156" spans="1:22">
      <c r="A12156" t="str">
        <f t="shared" si="2338"/>
        <v>21/11/2025</v>
      </c>
      <c r="B12156" t="str">
        <f t="shared" si="2337"/>
        <v>SAÍDA</v>
      </c>
      <c r="C12156" t="str">
        <f t="shared" si="2339"/>
        <v>PIX</v>
      </c>
      <c r="D12156" t="str">
        <f>"25545"</f>
        <v>25545</v>
      </c>
      <c r="E12156" t="str">
        <f t="shared" si="2341"/>
        <v>1</v>
      </c>
      <c r="F12156" t="str">
        <f t="shared" si="2343"/>
        <v>COM</v>
      </c>
      <c r="G12156" t="str">
        <f>"WESLEY RICARDO DE OLIVEIRA (722)"</f>
        <v>WESLEY RICARDO DE OLIVEIRA (722)</v>
      </c>
      <c r="H12156" t="s">
        <v>3286</v>
      </c>
      <c r="I12156" t="str">
        <f t="shared" si="2340"/>
        <v>20/11/2025</v>
      </c>
      <c r="J12156" t="str">
        <f t="shared" ref="J12156:J12187" si="2344">("17/11/2025")</f>
        <v>17/11/2025</v>
      </c>
      <c r="K12156">
        <v>45982</v>
      </c>
      <c r="N12156">
        <v>109</v>
      </c>
      <c r="O12156" t="s">
        <v>24</v>
      </c>
      <c r="Q12156">
        <v>988.3</v>
      </c>
      <c r="R12156" t="str">
        <f>"DROGARIA AGAPEAMA (10167)"</f>
        <v>DROGARIA AGAPEAMA (10167)</v>
      </c>
      <c r="S12156" t="s">
        <v>77</v>
      </c>
      <c r="T12156">
        <v>21485</v>
      </c>
      <c r="U12156">
        <v>25545</v>
      </c>
      <c r="V12156" t="s">
        <v>77</v>
      </c>
    </row>
    <row r="12157" spans="1:22">
      <c r="A12157" t="str">
        <f t="shared" si="2338"/>
        <v>21/11/2025</v>
      </c>
      <c r="B12157" t="str">
        <f t="shared" si="2337"/>
        <v>SAÍDA</v>
      </c>
      <c r="C12157" t="str">
        <f t="shared" si="2339"/>
        <v>PIX</v>
      </c>
      <c r="D12157" t="str">
        <f>"25548"</f>
        <v>25548</v>
      </c>
      <c r="E12157" t="str">
        <f t="shared" si="2341"/>
        <v>1</v>
      </c>
      <c r="F12157" t="str">
        <f t="shared" si="2343"/>
        <v>COM</v>
      </c>
      <c r="G12157" t="str">
        <f>"RODRIGO TEIXEIRA ROCHA (1007)"</f>
        <v>RODRIGO TEIXEIRA ROCHA (1007)</v>
      </c>
      <c r="H12157" t="str">
        <f>"Serv.Prest. 10/11/2025 a 16/11/2025 - PIX: CPF - CHAVE: 506.934.998-85"</f>
        <v>Serv.Prest. 10/11/2025 a 16/11/2025 - PIX: CPF - CHAVE: 506.934.998-85</v>
      </c>
      <c r="I12157" t="str">
        <f t="shared" si="2340"/>
        <v>20/11/2025</v>
      </c>
      <c r="J12157" t="str">
        <f t="shared" si="2344"/>
        <v>17/11/2025</v>
      </c>
      <c r="K12157" t="str">
        <f>("21/11/2025")</f>
        <v>21/11/2025</v>
      </c>
      <c r="L12157">
        <v>1300</v>
      </c>
      <c r="M12157">
        <v>1300</v>
      </c>
      <c r="N12157">
        <v>109</v>
      </c>
      <c r="O12157" t="str">
        <f>"PAGAMENTO DE ENTREGADORES"</f>
        <v>PAGAMENTO DE ENTREGADORES</v>
      </c>
      <c r="P12157">
        <v>1300</v>
      </c>
      <c r="S12157" t="str">
        <f>"BANCO C6 (149)"</f>
        <v>BANCO C6 (149)</v>
      </c>
      <c r="T12157">
        <v>21486</v>
      </c>
      <c r="U12157">
        <v>25548</v>
      </c>
      <c r="V12157" t="s">
        <v>77</v>
      </c>
    </row>
    <row r="12158" spans="1:22">
      <c r="A12158" t="str">
        <f t="shared" si="2338"/>
        <v>21/11/2025</v>
      </c>
      <c r="B12158" t="str">
        <f t="shared" si="2337"/>
        <v>SAÍDA</v>
      </c>
      <c r="C12158" t="str">
        <f t="shared" si="2339"/>
        <v>PIX</v>
      </c>
      <c r="D12158" t="str">
        <f>"25548"</f>
        <v>25548</v>
      </c>
      <c r="E12158" t="str">
        <f t="shared" si="2341"/>
        <v>1</v>
      </c>
      <c r="F12158" t="str">
        <f t="shared" si="2343"/>
        <v>COM</v>
      </c>
      <c r="G12158" t="str">
        <f>"RODRIGO TEIXEIRA ROCHA (1007)"</f>
        <v>RODRIGO TEIXEIRA ROCHA (1007)</v>
      </c>
      <c r="H12158" t="s">
        <v>3287</v>
      </c>
      <c r="I12158" t="str">
        <f t="shared" si="2340"/>
        <v>20/11/2025</v>
      </c>
      <c r="J12158" t="str">
        <f t="shared" si="2344"/>
        <v>17/11/2025</v>
      </c>
      <c r="K12158">
        <v>45982</v>
      </c>
      <c r="N12158">
        <v>109</v>
      </c>
      <c r="O12158" t="s">
        <v>24</v>
      </c>
      <c r="Q12158">
        <v>1300</v>
      </c>
      <c r="R12158" t="str">
        <f>"PENSE FARMA 25 (10224)"</f>
        <v>PENSE FARMA 25 (10224)</v>
      </c>
      <c r="S12158" t="s">
        <v>77</v>
      </c>
      <c r="T12158">
        <v>21486</v>
      </c>
      <c r="U12158">
        <v>25548</v>
      </c>
      <c r="V12158" t="s">
        <v>77</v>
      </c>
    </row>
    <row r="12159" spans="1:22">
      <c r="A12159" t="str">
        <f t="shared" si="2338"/>
        <v>21/11/2025</v>
      </c>
      <c r="B12159" t="str">
        <f t="shared" si="2337"/>
        <v>SAÍDA</v>
      </c>
      <c r="C12159" t="str">
        <f t="shared" si="2339"/>
        <v>PIX</v>
      </c>
      <c r="D12159" t="str">
        <f>"25549"</f>
        <v>25549</v>
      </c>
      <c r="E12159" t="str">
        <f t="shared" si="2341"/>
        <v>1</v>
      </c>
      <c r="F12159" t="str">
        <f t="shared" si="2343"/>
        <v>COM</v>
      </c>
      <c r="G12159" t="str">
        <f>"VAGNER DIEGO DE OLIVEIRA MELO (990)"</f>
        <v>VAGNER DIEGO DE OLIVEIRA MELO (990)</v>
      </c>
      <c r="H12159" t="str">
        <f>"Serv.Prest. 10/11/2025 a 16/11/2025 - PIX: CPF - CHAVE: 419.678.508-52"</f>
        <v>Serv.Prest. 10/11/2025 a 16/11/2025 - PIX: CPF - CHAVE: 419.678.508-52</v>
      </c>
      <c r="I12159" t="str">
        <f t="shared" si="2340"/>
        <v>20/11/2025</v>
      </c>
      <c r="J12159" t="str">
        <f t="shared" si="2344"/>
        <v>17/11/2025</v>
      </c>
      <c r="K12159" t="str">
        <f>("21/11/2025")</f>
        <v>21/11/2025</v>
      </c>
      <c r="L12159">
        <v>1300</v>
      </c>
      <c r="M12159">
        <v>1300</v>
      </c>
      <c r="N12159">
        <v>109</v>
      </c>
      <c r="O12159" t="str">
        <f>"PAGAMENTO DE ENTREGADORES"</f>
        <v>PAGAMENTO DE ENTREGADORES</v>
      </c>
      <c r="P12159">
        <v>1300</v>
      </c>
      <c r="S12159" t="str">
        <f>"BANCO C6 (149)"</f>
        <v>BANCO C6 (149)</v>
      </c>
      <c r="T12159">
        <v>21487</v>
      </c>
      <c r="U12159">
        <v>25549</v>
      </c>
      <c r="V12159" t="s">
        <v>77</v>
      </c>
    </row>
    <row r="12160" spans="1:22">
      <c r="A12160" t="str">
        <f t="shared" si="2338"/>
        <v>21/11/2025</v>
      </c>
      <c r="B12160" t="str">
        <f t="shared" si="2337"/>
        <v>SAÍDA</v>
      </c>
      <c r="C12160" t="str">
        <f t="shared" si="2339"/>
        <v>PIX</v>
      </c>
      <c r="D12160" t="str">
        <f>"25549"</f>
        <v>25549</v>
      </c>
      <c r="E12160" t="str">
        <f t="shared" si="2341"/>
        <v>1</v>
      </c>
      <c r="F12160" t="str">
        <f t="shared" si="2343"/>
        <v>COM</v>
      </c>
      <c r="G12160" t="str">
        <f>"VAGNER DIEGO DE OLIVEIRA MELO (990)"</f>
        <v>VAGNER DIEGO DE OLIVEIRA MELO (990)</v>
      </c>
      <c r="H12160" t="s">
        <v>3288</v>
      </c>
      <c r="I12160" t="str">
        <f t="shared" si="2340"/>
        <v>20/11/2025</v>
      </c>
      <c r="J12160" t="str">
        <f t="shared" si="2344"/>
        <v>17/11/2025</v>
      </c>
      <c r="K12160">
        <v>45982</v>
      </c>
      <c r="N12160">
        <v>109</v>
      </c>
      <c r="O12160" t="s">
        <v>24</v>
      </c>
      <c r="Q12160">
        <v>1300</v>
      </c>
      <c r="R12160" t="str">
        <f>"PENSE FARMA 25 (10224)"</f>
        <v>PENSE FARMA 25 (10224)</v>
      </c>
      <c r="S12160" t="s">
        <v>77</v>
      </c>
      <c r="T12160">
        <v>21487</v>
      </c>
      <c r="U12160">
        <v>25549</v>
      </c>
      <c r="V12160" t="s">
        <v>77</v>
      </c>
    </row>
    <row r="12161" spans="1:22">
      <c r="A12161" t="str">
        <f t="shared" si="2338"/>
        <v>21/11/2025</v>
      </c>
      <c r="B12161" t="str">
        <f t="shared" si="2337"/>
        <v>SAÍDA</v>
      </c>
      <c r="C12161" t="str">
        <f t="shared" si="2339"/>
        <v>PIX</v>
      </c>
      <c r="D12161" t="str">
        <f>"25551"</f>
        <v>25551</v>
      </c>
      <c r="E12161" t="str">
        <f t="shared" si="2341"/>
        <v>1</v>
      </c>
      <c r="F12161" t="str">
        <f t="shared" si="2343"/>
        <v>COM</v>
      </c>
      <c r="G12161" t="str">
        <f>"ISAEL SANTOS ROSA (642)"</f>
        <v>ISAEL SANTOS ROSA (642)</v>
      </c>
      <c r="H12161" t="str">
        <f>"Serv.Prest. 10/11/2025 a 16/11/2025 - PIX: CELULAR - CHAVE: (31) 99376-7989"</f>
        <v>Serv.Prest. 10/11/2025 a 16/11/2025 - PIX: CELULAR - CHAVE: (31) 99376-7989</v>
      </c>
      <c r="I12161" t="str">
        <f t="shared" si="2340"/>
        <v>20/11/2025</v>
      </c>
      <c r="J12161" t="str">
        <f t="shared" si="2344"/>
        <v>17/11/2025</v>
      </c>
      <c r="K12161" t="str">
        <f>("21/11/2025")</f>
        <v>21/11/2025</v>
      </c>
      <c r="L12161">
        <v>1400</v>
      </c>
      <c r="M12161">
        <v>1400</v>
      </c>
      <c r="N12161">
        <v>109</v>
      </c>
      <c r="O12161" t="str">
        <f>"PAGAMENTO DE ENTREGADORES"</f>
        <v>PAGAMENTO DE ENTREGADORES</v>
      </c>
      <c r="P12161">
        <v>1400</v>
      </c>
      <c r="S12161" t="str">
        <f>"BANCO C6 (149)"</f>
        <v>BANCO C6 (149)</v>
      </c>
      <c r="T12161">
        <v>21488</v>
      </c>
      <c r="U12161">
        <v>25551</v>
      </c>
      <c r="V12161" t="s">
        <v>77</v>
      </c>
    </row>
    <row r="12162" spans="1:22">
      <c r="A12162" t="str">
        <f t="shared" si="2338"/>
        <v>21/11/2025</v>
      </c>
      <c r="B12162" t="str">
        <f t="shared" si="2337"/>
        <v>SAÍDA</v>
      </c>
      <c r="C12162" t="str">
        <f t="shared" si="2339"/>
        <v>PIX</v>
      </c>
      <c r="D12162" t="str">
        <f>"25551"</f>
        <v>25551</v>
      </c>
      <c r="E12162" t="str">
        <f t="shared" si="2341"/>
        <v>1</v>
      </c>
      <c r="F12162" t="str">
        <f t="shared" si="2343"/>
        <v>COM</v>
      </c>
      <c r="G12162" t="str">
        <f>"ISAEL SANTOS ROSA (642)"</f>
        <v>ISAEL SANTOS ROSA (642)</v>
      </c>
      <c r="H12162" t="s">
        <v>3289</v>
      </c>
      <c r="I12162" t="str">
        <f t="shared" si="2340"/>
        <v>20/11/2025</v>
      </c>
      <c r="J12162" t="str">
        <f t="shared" si="2344"/>
        <v>17/11/2025</v>
      </c>
      <c r="K12162">
        <v>45982</v>
      </c>
      <c r="N12162">
        <v>109</v>
      </c>
      <c r="O12162" t="s">
        <v>24</v>
      </c>
      <c r="Q12162">
        <v>1400</v>
      </c>
      <c r="R12162" t="str">
        <f>"DROGARIA POUPA MINAS (ULTRAMINAS) 3 (10129)"</f>
        <v>DROGARIA POUPA MINAS (ULTRAMINAS) 3 (10129)</v>
      </c>
      <c r="S12162" t="s">
        <v>77</v>
      </c>
      <c r="T12162">
        <v>21488</v>
      </c>
      <c r="U12162">
        <v>25551</v>
      </c>
      <c r="V12162" t="s">
        <v>77</v>
      </c>
    </row>
    <row r="12163" spans="1:22">
      <c r="A12163" t="str">
        <f t="shared" si="2338"/>
        <v>21/11/2025</v>
      </c>
      <c r="B12163" t="str">
        <f t="shared" si="2337"/>
        <v>SAÍDA</v>
      </c>
      <c r="C12163" t="str">
        <f t="shared" si="2339"/>
        <v>PIX</v>
      </c>
      <c r="D12163" t="str">
        <f>"25553"</f>
        <v>25553</v>
      </c>
      <c r="E12163" t="str">
        <f t="shared" si="2341"/>
        <v>1</v>
      </c>
      <c r="F12163" t="str">
        <f t="shared" si="2343"/>
        <v>COM</v>
      </c>
      <c r="G12163" t="str">
        <f>"PEDRO HENRIQUE XAVIER DOS SANTOS (993)"</f>
        <v>PEDRO HENRIQUE XAVIER DOS SANTOS (993)</v>
      </c>
      <c r="H12163" t="str">
        <f>"Serv.Prest. 10/11/2025 a 16/11/2025 - PIX: CPF - CHAVE: 489.237.478-40"</f>
        <v>Serv.Prest. 10/11/2025 a 16/11/2025 - PIX: CPF - CHAVE: 489.237.478-40</v>
      </c>
      <c r="I12163" t="str">
        <f t="shared" si="2340"/>
        <v>20/11/2025</v>
      </c>
      <c r="J12163" t="str">
        <f t="shared" si="2344"/>
        <v>17/11/2025</v>
      </c>
      <c r="K12163" t="str">
        <f>("21/11/2025")</f>
        <v>21/11/2025</v>
      </c>
      <c r="L12163">
        <v>800</v>
      </c>
      <c r="M12163">
        <v>800</v>
      </c>
      <c r="N12163">
        <v>109</v>
      </c>
      <c r="O12163" t="str">
        <f>"PAGAMENTO DE ENTREGADORES"</f>
        <v>PAGAMENTO DE ENTREGADORES</v>
      </c>
      <c r="P12163">
        <v>800</v>
      </c>
      <c r="S12163" t="str">
        <f>"BANCO C6 (149)"</f>
        <v>BANCO C6 (149)</v>
      </c>
      <c r="T12163">
        <v>21489</v>
      </c>
      <c r="U12163">
        <v>25553</v>
      </c>
      <c r="V12163" t="s">
        <v>77</v>
      </c>
    </row>
    <row r="12164" spans="1:22">
      <c r="A12164" t="str">
        <f t="shared" si="2338"/>
        <v>21/11/2025</v>
      </c>
      <c r="B12164" t="str">
        <f t="shared" si="2337"/>
        <v>SAÍDA</v>
      </c>
      <c r="C12164" t="str">
        <f t="shared" si="2339"/>
        <v>PIX</v>
      </c>
      <c r="D12164" t="str">
        <f>"25553"</f>
        <v>25553</v>
      </c>
      <c r="E12164" t="str">
        <f t="shared" si="2341"/>
        <v>1</v>
      </c>
      <c r="F12164" t="str">
        <f t="shared" si="2343"/>
        <v>COM</v>
      </c>
      <c r="G12164" t="str">
        <f>"PEDRO HENRIQUE XAVIER DOS SANTOS (993)"</f>
        <v>PEDRO HENRIQUE XAVIER DOS SANTOS (993)</v>
      </c>
      <c r="H12164" t="s">
        <v>3290</v>
      </c>
      <c r="I12164" t="str">
        <f t="shared" si="2340"/>
        <v>20/11/2025</v>
      </c>
      <c r="J12164" t="str">
        <f t="shared" si="2344"/>
        <v>17/11/2025</v>
      </c>
      <c r="K12164">
        <v>45982</v>
      </c>
      <c r="N12164">
        <v>109</v>
      </c>
      <c r="O12164" t="s">
        <v>24</v>
      </c>
      <c r="Q12164">
        <v>800</v>
      </c>
      <c r="R12164" t="str">
        <f>"PENSE FARMA 35 (10227)"</f>
        <v>PENSE FARMA 35 (10227)</v>
      </c>
      <c r="S12164" t="s">
        <v>77</v>
      </c>
      <c r="T12164">
        <v>21489</v>
      </c>
      <c r="U12164">
        <v>25553</v>
      </c>
      <c r="V12164" t="s">
        <v>77</v>
      </c>
    </row>
    <row r="12165" spans="1:22">
      <c r="A12165" t="str">
        <f t="shared" si="2338"/>
        <v>21/11/2025</v>
      </c>
      <c r="B12165" t="str">
        <f t="shared" ref="B12165:B12228" si="2345">"SAÍDA"</f>
        <v>SAÍDA</v>
      </c>
      <c r="C12165" t="str">
        <f t="shared" si="2339"/>
        <v>PIX</v>
      </c>
      <c r="D12165" t="str">
        <f>"25555"</f>
        <v>25555</v>
      </c>
      <c r="E12165" t="str">
        <f t="shared" si="2341"/>
        <v>1</v>
      </c>
      <c r="F12165" t="str">
        <f t="shared" si="2343"/>
        <v>COM</v>
      </c>
      <c r="G12165" t="str">
        <f>"ARLINDO COSTA FELIX (754)"</f>
        <v>ARLINDO COSTA FELIX (754)</v>
      </c>
      <c r="H12165" t="str">
        <f>"Serv.Prest. 10/11/2025 a 16/11/2025 - PIX: CPF - CHAVE: 103.983.366-79"</f>
        <v>Serv.Prest. 10/11/2025 a 16/11/2025 - PIX: CPF - CHAVE: 103.983.366-79</v>
      </c>
      <c r="I12165" t="str">
        <f t="shared" si="2340"/>
        <v>20/11/2025</v>
      </c>
      <c r="J12165" t="str">
        <f t="shared" si="2344"/>
        <v>17/11/2025</v>
      </c>
      <c r="K12165" t="str">
        <f>("21/11/2025")</f>
        <v>21/11/2025</v>
      </c>
      <c r="L12165">
        <v>1188</v>
      </c>
      <c r="M12165">
        <v>1188</v>
      </c>
      <c r="N12165">
        <v>109</v>
      </c>
      <c r="O12165" t="str">
        <f>"PAGAMENTO DE ENTREGADORES"</f>
        <v>PAGAMENTO DE ENTREGADORES</v>
      </c>
      <c r="P12165">
        <v>1188</v>
      </c>
      <c r="S12165" t="str">
        <f>"BANCO C6 (149)"</f>
        <v>BANCO C6 (149)</v>
      </c>
      <c r="T12165">
        <v>21490</v>
      </c>
      <c r="U12165">
        <v>25555</v>
      </c>
      <c r="V12165" t="s">
        <v>77</v>
      </c>
    </row>
    <row r="12166" spans="1:22">
      <c r="A12166" t="str">
        <f t="shared" si="2338"/>
        <v>21/11/2025</v>
      </c>
      <c r="B12166" t="str">
        <f t="shared" si="2345"/>
        <v>SAÍDA</v>
      </c>
      <c r="C12166" t="str">
        <f t="shared" si="2339"/>
        <v>PIX</v>
      </c>
      <c r="D12166" t="str">
        <f>"25555"</f>
        <v>25555</v>
      </c>
      <c r="E12166" t="str">
        <f t="shared" si="2341"/>
        <v>1</v>
      </c>
      <c r="F12166" t="str">
        <f t="shared" si="2343"/>
        <v>COM</v>
      </c>
      <c r="G12166" t="str">
        <f>"ARLINDO COSTA FELIX (754)"</f>
        <v>ARLINDO COSTA FELIX (754)</v>
      </c>
      <c r="H12166" t="s">
        <v>3291</v>
      </c>
      <c r="I12166" t="str">
        <f t="shared" si="2340"/>
        <v>20/11/2025</v>
      </c>
      <c r="J12166" t="str">
        <f t="shared" si="2344"/>
        <v>17/11/2025</v>
      </c>
      <c r="K12166">
        <v>45982</v>
      </c>
      <c r="N12166">
        <v>109</v>
      </c>
      <c r="O12166" t="s">
        <v>24</v>
      </c>
      <c r="Q12166">
        <v>1188</v>
      </c>
      <c r="R12166" t="str">
        <f>"ENTREFARMA (10164)"</f>
        <v>ENTREFARMA (10164)</v>
      </c>
      <c r="S12166" t="s">
        <v>77</v>
      </c>
      <c r="T12166">
        <v>21490</v>
      </c>
      <c r="U12166">
        <v>25555</v>
      </c>
      <c r="V12166" t="s">
        <v>77</v>
      </c>
    </row>
    <row r="12167" spans="1:22">
      <c r="A12167" t="str">
        <f t="shared" si="2338"/>
        <v>21/11/2025</v>
      </c>
      <c r="B12167" t="str">
        <f t="shared" si="2345"/>
        <v>SAÍDA</v>
      </c>
      <c r="C12167" t="str">
        <f t="shared" si="2339"/>
        <v>PIX</v>
      </c>
      <c r="D12167" t="str">
        <f>"25556"</f>
        <v>25556</v>
      </c>
      <c r="E12167" t="str">
        <f t="shared" si="2341"/>
        <v>1</v>
      </c>
      <c r="F12167" t="str">
        <f t="shared" si="2343"/>
        <v>COM</v>
      </c>
      <c r="G12167" t="str">
        <f>"LEONICIO CORREA DA SILVA (716)"</f>
        <v>LEONICIO CORREA DA SILVA (716)</v>
      </c>
      <c r="H12167" t="str">
        <f>"Serv.Prest. 10/11/2025 a 16/11/2025 - PIX: CPF - CHAVE: 138.263.636-98"</f>
        <v>Serv.Prest. 10/11/2025 a 16/11/2025 - PIX: CPF - CHAVE: 138.263.636-98</v>
      </c>
      <c r="I12167" t="str">
        <f t="shared" si="2340"/>
        <v>20/11/2025</v>
      </c>
      <c r="J12167" t="str">
        <f t="shared" si="2344"/>
        <v>17/11/2025</v>
      </c>
      <c r="K12167" t="str">
        <f>("21/11/2025")</f>
        <v>21/11/2025</v>
      </c>
      <c r="L12167">
        <v>1230</v>
      </c>
      <c r="M12167">
        <v>1230</v>
      </c>
      <c r="N12167">
        <v>109</v>
      </c>
      <c r="O12167" t="str">
        <f>"PAGAMENTO DE ENTREGADORES"</f>
        <v>PAGAMENTO DE ENTREGADORES</v>
      </c>
      <c r="P12167">
        <v>1230</v>
      </c>
      <c r="S12167" t="str">
        <f>"BANCO C6 (149)"</f>
        <v>BANCO C6 (149)</v>
      </c>
      <c r="T12167">
        <v>21491</v>
      </c>
      <c r="U12167">
        <v>25556</v>
      </c>
      <c r="V12167" t="s">
        <v>77</v>
      </c>
    </row>
    <row r="12168" spans="1:22">
      <c r="A12168" t="str">
        <f t="shared" si="2338"/>
        <v>21/11/2025</v>
      </c>
      <c r="B12168" t="str">
        <f t="shared" si="2345"/>
        <v>SAÍDA</v>
      </c>
      <c r="C12168" t="str">
        <f t="shared" si="2339"/>
        <v>PIX</v>
      </c>
      <c r="D12168" t="str">
        <f>"25556"</f>
        <v>25556</v>
      </c>
      <c r="E12168" t="str">
        <f t="shared" si="2341"/>
        <v>1</v>
      </c>
      <c r="F12168" t="str">
        <f t="shared" si="2343"/>
        <v>COM</v>
      </c>
      <c r="G12168" t="str">
        <f>"LEONICIO CORREA DA SILVA (716)"</f>
        <v>LEONICIO CORREA DA SILVA (716)</v>
      </c>
      <c r="H12168" t="s">
        <v>3292</v>
      </c>
      <c r="I12168" t="str">
        <f t="shared" si="2340"/>
        <v>20/11/2025</v>
      </c>
      <c r="J12168" t="str">
        <f t="shared" si="2344"/>
        <v>17/11/2025</v>
      </c>
      <c r="K12168">
        <v>45982</v>
      </c>
      <c r="N12168">
        <v>109</v>
      </c>
      <c r="O12168" t="s">
        <v>24</v>
      </c>
      <c r="Q12168">
        <v>1230</v>
      </c>
      <c r="R12168" t="str">
        <f>"ENTREFARMA (10164)"</f>
        <v>ENTREFARMA (10164)</v>
      </c>
      <c r="S12168" t="s">
        <v>77</v>
      </c>
      <c r="T12168">
        <v>21491</v>
      </c>
      <c r="U12168">
        <v>25556</v>
      </c>
      <c r="V12168" t="s">
        <v>77</v>
      </c>
    </row>
    <row r="12169" spans="1:22">
      <c r="A12169" t="str">
        <f t="shared" si="2338"/>
        <v>21/11/2025</v>
      </c>
      <c r="B12169" t="str">
        <f t="shared" si="2345"/>
        <v>SAÍDA</v>
      </c>
      <c r="C12169" t="str">
        <f t="shared" si="2339"/>
        <v>PIX</v>
      </c>
      <c r="D12169" t="str">
        <f>"25557"</f>
        <v>25557</v>
      </c>
      <c r="E12169" t="str">
        <f t="shared" si="2341"/>
        <v>1</v>
      </c>
      <c r="F12169" t="str">
        <f t="shared" si="2343"/>
        <v>COM</v>
      </c>
      <c r="G12169" t="str">
        <f>"SADRAK ENOKES BORGES (725)"</f>
        <v>SADRAK ENOKES BORGES (725)</v>
      </c>
      <c r="H12169" t="str">
        <f>"Serv.Prest. 10/11/2025 a 16/11/2025 - PIX: CPF - CHAVE: 128.367.756-37"</f>
        <v>Serv.Prest. 10/11/2025 a 16/11/2025 - PIX: CPF - CHAVE: 128.367.756-37</v>
      </c>
      <c r="I12169" t="str">
        <f t="shared" si="2340"/>
        <v>20/11/2025</v>
      </c>
      <c r="J12169" t="str">
        <f t="shared" si="2344"/>
        <v>17/11/2025</v>
      </c>
      <c r="K12169" t="str">
        <f>("21/11/2025")</f>
        <v>21/11/2025</v>
      </c>
      <c r="L12169">
        <v>1374</v>
      </c>
      <c r="M12169">
        <v>1374</v>
      </c>
      <c r="N12169">
        <v>109</v>
      </c>
      <c r="O12169" t="str">
        <f>"PAGAMENTO DE ENTREGADORES"</f>
        <v>PAGAMENTO DE ENTREGADORES</v>
      </c>
      <c r="P12169">
        <v>1374</v>
      </c>
      <c r="S12169" t="str">
        <f>"BANCO C6 (149)"</f>
        <v>BANCO C6 (149)</v>
      </c>
      <c r="T12169">
        <v>21492</v>
      </c>
      <c r="U12169">
        <v>25557</v>
      </c>
      <c r="V12169" t="s">
        <v>77</v>
      </c>
    </row>
    <row r="12170" spans="1:22">
      <c r="A12170" t="str">
        <f t="shared" si="2338"/>
        <v>21/11/2025</v>
      </c>
      <c r="B12170" t="str">
        <f t="shared" si="2345"/>
        <v>SAÍDA</v>
      </c>
      <c r="C12170" t="str">
        <f t="shared" si="2339"/>
        <v>PIX</v>
      </c>
      <c r="D12170" t="str">
        <f>"25557"</f>
        <v>25557</v>
      </c>
      <c r="E12170" t="str">
        <f t="shared" si="2341"/>
        <v>1</v>
      </c>
      <c r="F12170" t="str">
        <f t="shared" si="2343"/>
        <v>COM</v>
      </c>
      <c r="G12170" t="str">
        <f>"SADRAK ENOKES BORGES (725)"</f>
        <v>SADRAK ENOKES BORGES (725)</v>
      </c>
      <c r="H12170" t="s">
        <v>3293</v>
      </c>
      <c r="I12170" t="str">
        <f t="shared" si="2340"/>
        <v>20/11/2025</v>
      </c>
      <c r="J12170" t="str">
        <f t="shared" si="2344"/>
        <v>17/11/2025</v>
      </c>
      <c r="K12170">
        <v>45982</v>
      </c>
      <c r="N12170">
        <v>109</v>
      </c>
      <c r="O12170" t="s">
        <v>24</v>
      </c>
      <c r="Q12170">
        <v>1374</v>
      </c>
      <c r="R12170" t="str">
        <f>"ENTREFARMA (10164)"</f>
        <v>ENTREFARMA (10164)</v>
      </c>
      <c r="S12170" t="s">
        <v>77</v>
      </c>
      <c r="T12170">
        <v>21492</v>
      </c>
      <c r="U12170">
        <v>25557</v>
      </c>
      <c r="V12170" t="s">
        <v>77</v>
      </c>
    </row>
    <row r="12171" spans="1:22">
      <c r="A12171" t="str">
        <f t="shared" si="2338"/>
        <v>21/11/2025</v>
      </c>
      <c r="B12171" t="str">
        <f t="shared" si="2345"/>
        <v>SAÍDA</v>
      </c>
      <c r="C12171" t="str">
        <f t="shared" si="2339"/>
        <v>PIX</v>
      </c>
      <c r="D12171" t="str">
        <f>"25558"</f>
        <v>25558</v>
      </c>
      <c r="E12171" t="str">
        <f t="shared" si="2341"/>
        <v>1</v>
      </c>
      <c r="F12171" t="str">
        <f t="shared" si="2343"/>
        <v>COM</v>
      </c>
      <c r="G12171" t="str">
        <f>"WENDERSON GOMES (708)"</f>
        <v>WENDERSON GOMES (708)</v>
      </c>
      <c r="H12171" t="str">
        <f>"Serv.Prest. 10/11/2025 a 16/11/2025 - PIX: CPF - CHAVE: 147.592.156-03"</f>
        <v>Serv.Prest. 10/11/2025 a 16/11/2025 - PIX: CPF - CHAVE: 147.592.156-03</v>
      </c>
      <c r="I12171" t="str">
        <f t="shared" si="2340"/>
        <v>20/11/2025</v>
      </c>
      <c r="J12171" t="str">
        <f t="shared" si="2344"/>
        <v>17/11/2025</v>
      </c>
      <c r="K12171" t="str">
        <f>("21/11/2025")</f>
        <v>21/11/2025</v>
      </c>
      <c r="L12171">
        <v>1848</v>
      </c>
      <c r="M12171">
        <v>1848</v>
      </c>
      <c r="N12171">
        <v>109</v>
      </c>
      <c r="O12171" t="str">
        <f>"PAGAMENTO DE ENTREGADORES"</f>
        <v>PAGAMENTO DE ENTREGADORES</v>
      </c>
      <c r="P12171">
        <v>1848</v>
      </c>
      <c r="S12171" t="str">
        <f>"BANCO C6 (149)"</f>
        <v>BANCO C6 (149)</v>
      </c>
      <c r="T12171">
        <v>21493</v>
      </c>
      <c r="U12171">
        <v>25558</v>
      </c>
      <c r="V12171" t="s">
        <v>77</v>
      </c>
    </row>
    <row r="12172" spans="1:22">
      <c r="A12172" t="str">
        <f t="shared" si="2338"/>
        <v>21/11/2025</v>
      </c>
      <c r="B12172" t="str">
        <f t="shared" si="2345"/>
        <v>SAÍDA</v>
      </c>
      <c r="C12172" t="str">
        <f t="shared" si="2339"/>
        <v>PIX</v>
      </c>
      <c r="D12172" t="str">
        <f>"25558"</f>
        <v>25558</v>
      </c>
      <c r="E12172" t="str">
        <f t="shared" si="2341"/>
        <v>1</v>
      </c>
      <c r="F12172" t="str">
        <f t="shared" si="2343"/>
        <v>COM</v>
      </c>
      <c r="G12172" t="str">
        <f>"WENDERSON GOMES (708)"</f>
        <v>WENDERSON GOMES (708)</v>
      </c>
      <c r="H12172" t="s">
        <v>3294</v>
      </c>
      <c r="I12172" t="str">
        <f t="shared" si="2340"/>
        <v>20/11/2025</v>
      </c>
      <c r="J12172" t="str">
        <f t="shared" si="2344"/>
        <v>17/11/2025</v>
      </c>
      <c r="K12172">
        <v>45982</v>
      </c>
      <c r="N12172">
        <v>109</v>
      </c>
      <c r="O12172" t="s">
        <v>24</v>
      </c>
      <c r="Q12172">
        <v>1848</v>
      </c>
      <c r="R12172" t="str">
        <f>"ENTREFARMA (10164)"</f>
        <v>ENTREFARMA (10164)</v>
      </c>
      <c r="S12172" t="s">
        <v>77</v>
      </c>
      <c r="T12172">
        <v>21493</v>
      </c>
      <c r="U12172">
        <v>25558</v>
      </c>
      <c r="V12172" t="s">
        <v>77</v>
      </c>
    </row>
    <row r="12173" spans="1:22">
      <c r="A12173" t="str">
        <f t="shared" si="2338"/>
        <v>21/11/2025</v>
      </c>
      <c r="B12173" t="str">
        <f t="shared" si="2345"/>
        <v>SAÍDA</v>
      </c>
      <c r="C12173" t="str">
        <f t="shared" si="2339"/>
        <v>PIX</v>
      </c>
      <c r="D12173" t="str">
        <f t="shared" ref="D12173:D12178" si="2346">"25560"</f>
        <v>25560</v>
      </c>
      <c r="E12173" t="str">
        <f t="shared" si="2341"/>
        <v>1</v>
      </c>
      <c r="F12173" t="str">
        <f t="shared" si="2343"/>
        <v>COM</v>
      </c>
      <c r="G12173" t="str">
        <f t="shared" ref="G12173:G12178" si="2347">"DANILO VICENTE MARINHO SANTOS (1018)"</f>
        <v>DANILO VICENTE MARINHO SANTOS (1018)</v>
      </c>
      <c r="H12173" t="str">
        <f>"Serv.Prest. 10/11/2025 a 16/11/2025 - PIX: CELULAR - CHAVE: (11) 98768-7863"</f>
        <v>Serv.Prest. 10/11/2025 a 16/11/2025 - PIX: CELULAR - CHAVE: (11) 98768-7863</v>
      </c>
      <c r="I12173" t="str">
        <f t="shared" si="2340"/>
        <v>20/11/2025</v>
      </c>
      <c r="J12173" t="str">
        <f t="shared" si="2344"/>
        <v>17/11/2025</v>
      </c>
      <c r="K12173" t="str">
        <f>("21/11/2025")</f>
        <v>21/11/2025</v>
      </c>
      <c r="L12173">
        <v>1375</v>
      </c>
      <c r="M12173">
        <v>1375</v>
      </c>
      <c r="N12173">
        <v>109</v>
      </c>
      <c r="O12173" t="str">
        <f>"PAGAMENTO DE ENTREGADORES"</f>
        <v>PAGAMENTO DE ENTREGADORES</v>
      </c>
      <c r="P12173">
        <v>1375</v>
      </c>
      <c r="S12173" t="str">
        <f>"BANCO C6 (149)"</f>
        <v>BANCO C6 (149)</v>
      </c>
      <c r="T12173">
        <v>21494</v>
      </c>
      <c r="U12173">
        <v>25560</v>
      </c>
      <c r="V12173" t="s">
        <v>77</v>
      </c>
    </row>
    <row r="12174" spans="1:22">
      <c r="A12174" t="str">
        <f t="shared" ref="A12174:A12237" si="2348">("21/11/2025")</f>
        <v>21/11/2025</v>
      </c>
      <c r="B12174" t="str">
        <f t="shared" si="2345"/>
        <v>SAÍDA</v>
      </c>
      <c r="C12174" t="str">
        <f t="shared" si="2339"/>
        <v>PIX</v>
      </c>
      <c r="D12174" t="str">
        <f t="shared" si="2346"/>
        <v>25560</v>
      </c>
      <c r="E12174" t="str">
        <f t="shared" si="2341"/>
        <v>1</v>
      </c>
      <c r="F12174" t="str">
        <f t="shared" si="2343"/>
        <v>COM</v>
      </c>
      <c r="G12174" t="str">
        <f t="shared" si="2347"/>
        <v>DANILO VICENTE MARINHO SANTOS (1018)</v>
      </c>
      <c r="H12174" t="s">
        <v>3295</v>
      </c>
      <c r="I12174" t="str">
        <f t="shared" si="2340"/>
        <v>20/11/2025</v>
      </c>
      <c r="J12174" t="str">
        <f t="shared" si="2344"/>
        <v>17/11/2025</v>
      </c>
      <c r="K12174">
        <v>45982</v>
      </c>
      <c r="N12174">
        <v>109</v>
      </c>
      <c r="O12174" t="s">
        <v>24</v>
      </c>
      <c r="Q12174">
        <v>275</v>
      </c>
      <c r="R12174" t="str">
        <f>"PENSE FARMA 08 (10217)"</f>
        <v>PENSE FARMA 08 (10217)</v>
      </c>
      <c r="S12174" t="s">
        <v>77</v>
      </c>
      <c r="T12174">
        <v>21494</v>
      </c>
      <c r="U12174">
        <v>25560</v>
      </c>
      <c r="V12174" t="s">
        <v>77</v>
      </c>
    </row>
    <row r="12175" spans="1:22">
      <c r="A12175" t="str">
        <f t="shared" si="2348"/>
        <v>21/11/2025</v>
      </c>
      <c r="B12175" t="str">
        <f t="shared" si="2345"/>
        <v>SAÍDA</v>
      </c>
      <c r="C12175" t="str">
        <f t="shared" si="2339"/>
        <v>PIX</v>
      </c>
      <c r="D12175" t="str">
        <f t="shared" si="2346"/>
        <v>25560</v>
      </c>
      <c r="E12175" t="str">
        <f t="shared" si="2341"/>
        <v>1</v>
      </c>
      <c r="F12175" t="str">
        <f t="shared" si="2343"/>
        <v>COM</v>
      </c>
      <c r="G12175" t="str">
        <f t="shared" si="2347"/>
        <v>DANILO VICENTE MARINHO SANTOS (1018)</v>
      </c>
      <c r="H12175" t="s">
        <v>3295</v>
      </c>
      <c r="I12175" t="str">
        <f t="shared" si="2340"/>
        <v>20/11/2025</v>
      </c>
      <c r="J12175" t="str">
        <f t="shared" si="2344"/>
        <v>17/11/2025</v>
      </c>
      <c r="K12175">
        <v>45982</v>
      </c>
      <c r="N12175">
        <v>109</v>
      </c>
      <c r="O12175" t="s">
        <v>24</v>
      </c>
      <c r="Q12175">
        <v>275</v>
      </c>
      <c r="R12175" t="str">
        <f>"PENSE FARMA 11 (10220)"</f>
        <v>PENSE FARMA 11 (10220)</v>
      </c>
      <c r="S12175" t="s">
        <v>77</v>
      </c>
      <c r="T12175">
        <v>21494</v>
      </c>
      <c r="U12175">
        <v>25560</v>
      </c>
      <c r="V12175" t="s">
        <v>77</v>
      </c>
    </row>
    <row r="12176" spans="1:22">
      <c r="A12176" t="str">
        <f t="shared" si="2348"/>
        <v>21/11/2025</v>
      </c>
      <c r="B12176" t="str">
        <f t="shared" si="2345"/>
        <v>SAÍDA</v>
      </c>
      <c r="C12176" t="str">
        <f t="shared" si="2339"/>
        <v>PIX</v>
      </c>
      <c r="D12176" t="str">
        <f t="shared" si="2346"/>
        <v>25560</v>
      </c>
      <c r="E12176" t="str">
        <f t="shared" si="2341"/>
        <v>1</v>
      </c>
      <c r="F12176" t="str">
        <f t="shared" si="2343"/>
        <v>COM</v>
      </c>
      <c r="G12176" t="str">
        <f t="shared" si="2347"/>
        <v>DANILO VICENTE MARINHO SANTOS (1018)</v>
      </c>
      <c r="H12176" t="s">
        <v>3295</v>
      </c>
      <c r="I12176" t="str">
        <f t="shared" si="2340"/>
        <v>20/11/2025</v>
      </c>
      <c r="J12176" t="str">
        <f t="shared" si="2344"/>
        <v>17/11/2025</v>
      </c>
      <c r="K12176">
        <v>45982</v>
      </c>
      <c r="N12176">
        <v>109</v>
      </c>
      <c r="O12176" t="s">
        <v>24</v>
      </c>
      <c r="Q12176">
        <v>275</v>
      </c>
      <c r="R12176" t="str">
        <f>"PENSE FARMA 41 (10229)"</f>
        <v>PENSE FARMA 41 (10229)</v>
      </c>
      <c r="S12176" t="s">
        <v>77</v>
      </c>
      <c r="T12176">
        <v>21494</v>
      </c>
      <c r="U12176">
        <v>25560</v>
      </c>
      <c r="V12176" t="s">
        <v>77</v>
      </c>
    </row>
    <row r="12177" spans="1:22">
      <c r="A12177" t="str">
        <f t="shared" si="2348"/>
        <v>21/11/2025</v>
      </c>
      <c r="B12177" t="str">
        <f t="shared" si="2345"/>
        <v>SAÍDA</v>
      </c>
      <c r="C12177" t="str">
        <f t="shared" si="2339"/>
        <v>PIX</v>
      </c>
      <c r="D12177" t="str">
        <f t="shared" si="2346"/>
        <v>25560</v>
      </c>
      <c r="E12177" t="str">
        <f t="shared" si="2341"/>
        <v>1</v>
      </c>
      <c r="F12177" t="str">
        <f t="shared" si="2343"/>
        <v>COM</v>
      </c>
      <c r="G12177" t="str">
        <f t="shared" si="2347"/>
        <v>DANILO VICENTE MARINHO SANTOS (1018)</v>
      </c>
      <c r="H12177" t="s">
        <v>3295</v>
      </c>
      <c r="I12177" t="str">
        <f t="shared" si="2340"/>
        <v>20/11/2025</v>
      </c>
      <c r="J12177" t="str">
        <f t="shared" si="2344"/>
        <v>17/11/2025</v>
      </c>
      <c r="K12177">
        <v>45982</v>
      </c>
      <c r="N12177">
        <v>109</v>
      </c>
      <c r="O12177" t="s">
        <v>24</v>
      </c>
      <c r="Q12177">
        <v>275</v>
      </c>
      <c r="R12177" t="str">
        <f>"PENSE FARMA 42 (10230)"</f>
        <v>PENSE FARMA 42 (10230)</v>
      </c>
      <c r="S12177" t="s">
        <v>77</v>
      </c>
      <c r="T12177">
        <v>21494</v>
      </c>
      <c r="U12177">
        <v>25560</v>
      </c>
      <c r="V12177" t="s">
        <v>77</v>
      </c>
    </row>
    <row r="12178" spans="1:22">
      <c r="A12178" t="str">
        <f t="shared" si="2348"/>
        <v>21/11/2025</v>
      </c>
      <c r="B12178" t="str">
        <f t="shared" si="2345"/>
        <v>SAÍDA</v>
      </c>
      <c r="C12178" t="str">
        <f t="shared" si="2339"/>
        <v>PIX</v>
      </c>
      <c r="D12178" t="str">
        <f t="shared" si="2346"/>
        <v>25560</v>
      </c>
      <c r="E12178" t="str">
        <f t="shared" si="2341"/>
        <v>1</v>
      </c>
      <c r="F12178" t="str">
        <f t="shared" si="2343"/>
        <v>COM</v>
      </c>
      <c r="G12178" t="str">
        <f t="shared" si="2347"/>
        <v>DANILO VICENTE MARINHO SANTOS (1018)</v>
      </c>
      <c r="H12178" t="s">
        <v>3295</v>
      </c>
      <c r="I12178" t="str">
        <f t="shared" si="2340"/>
        <v>20/11/2025</v>
      </c>
      <c r="J12178" t="str">
        <f t="shared" si="2344"/>
        <v>17/11/2025</v>
      </c>
      <c r="K12178">
        <v>45982</v>
      </c>
      <c r="N12178">
        <v>109</v>
      </c>
      <c r="O12178" t="s">
        <v>24</v>
      </c>
      <c r="Q12178">
        <v>275</v>
      </c>
      <c r="R12178" t="str">
        <f>"PENSE FARMA 52 (10236)"</f>
        <v>PENSE FARMA 52 (10236)</v>
      </c>
      <c r="S12178" t="s">
        <v>77</v>
      </c>
      <c r="T12178">
        <v>21494</v>
      </c>
      <c r="U12178">
        <v>25560</v>
      </c>
      <c r="V12178" t="s">
        <v>77</v>
      </c>
    </row>
    <row r="12179" spans="1:22">
      <c r="A12179" t="str">
        <f t="shared" si="2348"/>
        <v>21/11/2025</v>
      </c>
      <c r="B12179" t="str">
        <f t="shared" si="2345"/>
        <v>SAÍDA</v>
      </c>
      <c r="C12179" t="str">
        <f t="shared" si="2339"/>
        <v>PIX</v>
      </c>
      <c r="D12179" t="str">
        <f t="shared" ref="D12179:D12184" si="2349">"25561"</f>
        <v>25561</v>
      </c>
      <c r="E12179" t="str">
        <f t="shared" si="2341"/>
        <v>1</v>
      </c>
      <c r="F12179" t="str">
        <f t="shared" si="2343"/>
        <v>COM</v>
      </c>
      <c r="G12179" t="str">
        <f t="shared" ref="G12179:G12184" si="2350">"EDUARDO RODRIGUES ALVES STEPHANO (999)"</f>
        <v>EDUARDO RODRIGUES ALVES STEPHANO (999)</v>
      </c>
      <c r="H12179" t="str">
        <f>"Serv.Prest. 10/11/2025 a 16/11/2025 - PIX: CPF - CHAVE: 370.849.948-40"</f>
        <v>Serv.Prest. 10/11/2025 a 16/11/2025 - PIX: CPF - CHAVE: 370.849.948-40</v>
      </c>
      <c r="I12179" t="str">
        <f t="shared" si="2340"/>
        <v>20/11/2025</v>
      </c>
      <c r="J12179" t="str">
        <f t="shared" si="2344"/>
        <v>17/11/2025</v>
      </c>
      <c r="K12179" t="str">
        <f>("21/11/2025")</f>
        <v>21/11/2025</v>
      </c>
      <c r="L12179">
        <v>1375</v>
      </c>
      <c r="M12179">
        <v>1375</v>
      </c>
      <c r="N12179">
        <v>109</v>
      </c>
      <c r="O12179" t="str">
        <f>"PAGAMENTO DE ENTREGADORES"</f>
        <v>PAGAMENTO DE ENTREGADORES</v>
      </c>
      <c r="P12179">
        <v>1375</v>
      </c>
      <c r="S12179" t="str">
        <f>"BANCO C6 (149)"</f>
        <v>BANCO C6 (149)</v>
      </c>
      <c r="T12179">
        <v>21495</v>
      </c>
      <c r="U12179">
        <v>25561</v>
      </c>
      <c r="V12179" t="s">
        <v>77</v>
      </c>
    </row>
    <row r="12180" spans="1:22">
      <c r="A12180" t="str">
        <f t="shared" si="2348"/>
        <v>21/11/2025</v>
      </c>
      <c r="B12180" t="str">
        <f t="shared" si="2345"/>
        <v>SAÍDA</v>
      </c>
      <c r="C12180" t="str">
        <f t="shared" si="2339"/>
        <v>PIX</v>
      </c>
      <c r="D12180" t="str">
        <f t="shared" si="2349"/>
        <v>25561</v>
      </c>
      <c r="E12180" t="str">
        <f t="shared" si="2341"/>
        <v>1</v>
      </c>
      <c r="F12180" t="str">
        <f t="shared" si="2343"/>
        <v>COM</v>
      </c>
      <c r="G12180" t="str">
        <f t="shared" si="2350"/>
        <v>EDUARDO RODRIGUES ALVES STEPHANO (999)</v>
      </c>
      <c r="H12180" t="s">
        <v>3296</v>
      </c>
      <c r="I12180" t="str">
        <f t="shared" si="2340"/>
        <v>20/11/2025</v>
      </c>
      <c r="J12180" t="str">
        <f t="shared" si="2344"/>
        <v>17/11/2025</v>
      </c>
      <c r="K12180">
        <v>45982</v>
      </c>
      <c r="N12180">
        <v>109</v>
      </c>
      <c r="O12180" t="s">
        <v>24</v>
      </c>
      <c r="Q12180">
        <v>275</v>
      </c>
      <c r="R12180" t="str">
        <f>"PENSE FARMA 08 (10217)"</f>
        <v>PENSE FARMA 08 (10217)</v>
      </c>
      <c r="S12180" t="s">
        <v>77</v>
      </c>
      <c r="T12180">
        <v>21495</v>
      </c>
      <c r="U12180">
        <v>25561</v>
      </c>
      <c r="V12180" t="s">
        <v>77</v>
      </c>
    </row>
    <row r="12181" spans="1:22">
      <c r="A12181" t="str">
        <f t="shared" si="2348"/>
        <v>21/11/2025</v>
      </c>
      <c r="B12181" t="str">
        <f t="shared" si="2345"/>
        <v>SAÍDA</v>
      </c>
      <c r="C12181" t="str">
        <f t="shared" si="2339"/>
        <v>PIX</v>
      </c>
      <c r="D12181" t="str">
        <f t="shared" si="2349"/>
        <v>25561</v>
      </c>
      <c r="E12181" t="str">
        <f t="shared" si="2341"/>
        <v>1</v>
      </c>
      <c r="F12181" t="str">
        <f t="shared" si="2343"/>
        <v>COM</v>
      </c>
      <c r="G12181" t="str">
        <f t="shared" si="2350"/>
        <v>EDUARDO RODRIGUES ALVES STEPHANO (999)</v>
      </c>
      <c r="H12181" t="s">
        <v>3296</v>
      </c>
      <c r="I12181" t="str">
        <f t="shared" si="2340"/>
        <v>20/11/2025</v>
      </c>
      <c r="J12181" t="str">
        <f t="shared" si="2344"/>
        <v>17/11/2025</v>
      </c>
      <c r="K12181">
        <v>45982</v>
      </c>
      <c r="N12181">
        <v>109</v>
      </c>
      <c r="O12181" t="s">
        <v>24</v>
      </c>
      <c r="Q12181">
        <v>275</v>
      </c>
      <c r="R12181" t="str">
        <f>"PENSE FARMA 11 (10220)"</f>
        <v>PENSE FARMA 11 (10220)</v>
      </c>
      <c r="S12181" t="s">
        <v>77</v>
      </c>
      <c r="T12181">
        <v>21495</v>
      </c>
      <c r="U12181">
        <v>25561</v>
      </c>
      <c r="V12181" t="s">
        <v>77</v>
      </c>
    </row>
    <row r="12182" spans="1:22">
      <c r="A12182" t="str">
        <f t="shared" si="2348"/>
        <v>21/11/2025</v>
      </c>
      <c r="B12182" t="str">
        <f t="shared" si="2345"/>
        <v>SAÍDA</v>
      </c>
      <c r="C12182" t="str">
        <f t="shared" si="2339"/>
        <v>PIX</v>
      </c>
      <c r="D12182" t="str">
        <f t="shared" si="2349"/>
        <v>25561</v>
      </c>
      <c r="E12182" t="str">
        <f t="shared" si="2341"/>
        <v>1</v>
      </c>
      <c r="F12182" t="str">
        <f t="shared" si="2343"/>
        <v>COM</v>
      </c>
      <c r="G12182" t="str">
        <f t="shared" si="2350"/>
        <v>EDUARDO RODRIGUES ALVES STEPHANO (999)</v>
      </c>
      <c r="H12182" t="s">
        <v>3296</v>
      </c>
      <c r="I12182" t="str">
        <f t="shared" si="2340"/>
        <v>20/11/2025</v>
      </c>
      <c r="J12182" t="str">
        <f t="shared" si="2344"/>
        <v>17/11/2025</v>
      </c>
      <c r="K12182">
        <v>45982</v>
      </c>
      <c r="N12182">
        <v>109</v>
      </c>
      <c r="O12182" t="s">
        <v>24</v>
      </c>
      <c r="Q12182">
        <v>275</v>
      </c>
      <c r="R12182" t="str">
        <f>"PENSE FARMA 41 (10229)"</f>
        <v>PENSE FARMA 41 (10229)</v>
      </c>
      <c r="S12182" t="s">
        <v>77</v>
      </c>
      <c r="T12182">
        <v>21495</v>
      </c>
      <c r="U12182">
        <v>25561</v>
      </c>
      <c r="V12182" t="s">
        <v>77</v>
      </c>
    </row>
    <row r="12183" spans="1:22">
      <c r="A12183" t="str">
        <f t="shared" si="2348"/>
        <v>21/11/2025</v>
      </c>
      <c r="B12183" t="str">
        <f t="shared" si="2345"/>
        <v>SAÍDA</v>
      </c>
      <c r="C12183" t="str">
        <f t="shared" si="2339"/>
        <v>PIX</v>
      </c>
      <c r="D12183" t="str">
        <f t="shared" si="2349"/>
        <v>25561</v>
      </c>
      <c r="E12183" t="str">
        <f t="shared" si="2341"/>
        <v>1</v>
      </c>
      <c r="F12183" t="str">
        <f t="shared" si="2343"/>
        <v>COM</v>
      </c>
      <c r="G12183" t="str">
        <f t="shared" si="2350"/>
        <v>EDUARDO RODRIGUES ALVES STEPHANO (999)</v>
      </c>
      <c r="H12183" t="s">
        <v>3296</v>
      </c>
      <c r="I12183" t="str">
        <f t="shared" si="2340"/>
        <v>20/11/2025</v>
      </c>
      <c r="J12183" t="str">
        <f t="shared" si="2344"/>
        <v>17/11/2025</v>
      </c>
      <c r="K12183">
        <v>45982</v>
      </c>
      <c r="N12183">
        <v>109</v>
      </c>
      <c r="O12183" t="s">
        <v>24</v>
      </c>
      <c r="Q12183">
        <v>275</v>
      </c>
      <c r="R12183" t="str">
        <f>"PENSE FARMA 42 (10230)"</f>
        <v>PENSE FARMA 42 (10230)</v>
      </c>
      <c r="S12183" t="s">
        <v>77</v>
      </c>
      <c r="T12183">
        <v>21495</v>
      </c>
      <c r="U12183">
        <v>25561</v>
      </c>
      <c r="V12183" t="s">
        <v>77</v>
      </c>
    </row>
    <row r="12184" spans="1:22">
      <c r="A12184" t="str">
        <f t="shared" si="2348"/>
        <v>21/11/2025</v>
      </c>
      <c r="B12184" t="str">
        <f t="shared" si="2345"/>
        <v>SAÍDA</v>
      </c>
      <c r="C12184" t="str">
        <f t="shared" ref="C12184:C12247" si="2351">"PIX"</f>
        <v>PIX</v>
      </c>
      <c r="D12184" t="str">
        <f t="shared" si="2349"/>
        <v>25561</v>
      </c>
      <c r="E12184" t="str">
        <f t="shared" si="2341"/>
        <v>1</v>
      </c>
      <c r="F12184" t="str">
        <f t="shared" si="2343"/>
        <v>COM</v>
      </c>
      <c r="G12184" t="str">
        <f t="shared" si="2350"/>
        <v>EDUARDO RODRIGUES ALVES STEPHANO (999)</v>
      </c>
      <c r="H12184" t="s">
        <v>3296</v>
      </c>
      <c r="I12184" t="str">
        <f t="shared" ref="I12184:I12247" si="2352">("20/11/2025")</f>
        <v>20/11/2025</v>
      </c>
      <c r="J12184" t="str">
        <f t="shared" si="2344"/>
        <v>17/11/2025</v>
      </c>
      <c r="K12184">
        <v>45982</v>
      </c>
      <c r="N12184">
        <v>109</v>
      </c>
      <c r="O12184" t="s">
        <v>24</v>
      </c>
      <c r="Q12184">
        <v>275</v>
      </c>
      <c r="R12184" t="str">
        <f>"PENSE FARMA 52 (10236)"</f>
        <v>PENSE FARMA 52 (10236)</v>
      </c>
      <c r="S12184" t="s">
        <v>77</v>
      </c>
      <c r="T12184">
        <v>21495</v>
      </c>
      <c r="U12184">
        <v>25561</v>
      </c>
      <c r="V12184" t="s">
        <v>77</v>
      </c>
    </row>
    <row r="12185" spans="1:22">
      <c r="A12185" t="str">
        <f t="shared" si="2348"/>
        <v>21/11/2025</v>
      </c>
      <c r="B12185" t="str">
        <f t="shared" si="2345"/>
        <v>SAÍDA</v>
      </c>
      <c r="C12185" t="str">
        <f t="shared" si="2351"/>
        <v>PIX</v>
      </c>
      <c r="D12185" t="str">
        <f>"25563"</f>
        <v>25563</v>
      </c>
      <c r="E12185" t="str">
        <f t="shared" si="2341"/>
        <v>1</v>
      </c>
      <c r="F12185" t="str">
        <f t="shared" si="2343"/>
        <v>COM</v>
      </c>
      <c r="G12185" t="str">
        <f>"ALEX SILVA RODRIGUES (1027)"</f>
        <v>ALEX SILVA RODRIGUES (1027)</v>
      </c>
      <c r="H12185" t="str">
        <f>"Serv.Prest. 10/11/2025 a 16/11/2025 - PIX: CELULAR - CHAVE: (64) 99952-0910"</f>
        <v>Serv.Prest. 10/11/2025 a 16/11/2025 - PIX: CELULAR - CHAVE: (64) 99952-0910</v>
      </c>
      <c r="I12185" t="str">
        <f t="shared" si="2352"/>
        <v>20/11/2025</v>
      </c>
      <c r="J12185" t="str">
        <f t="shared" si="2344"/>
        <v>17/11/2025</v>
      </c>
      <c r="K12185" t="str">
        <f>("21/11/2025")</f>
        <v>21/11/2025</v>
      </c>
      <c r="L12185">
        <v>483</v>
      </c>
      <c r="M12185">
        <v>483</v>
      </c>
      <c r="N12185">
        <v>109</v>
      </c>
      <c r="O12185" t="str">
        <f>"PAGAMENTO DE ENTREGADORES"</f>
        <v>PAGAMENTO DE ENTREGADORES</v>
      </c>
      <c r="P12185">
        <v>483</v>
      </c>
      <c r="S12185" t="str">
        <f>"BANCO C6 (149)"</f>
        <v>BANCO C6 (149)</v>
      </c>
      <c r="T12185">
        <v>21496</v>
      </c>
      <c r="U12185">
        <v>25563</v>
      </c>
      <c r="V12185" t="s">
        <v>77</v>
      </c>
    </row>
    <row r="12186" spans="1:22">
      <c r="A12186" t="str">
        <f t="shared" si="2348"/>
        <v>21/11/2025</v>
      </c>
      <c r="B12186" t="str">
        <f t="shared" si="2345"/>
        <v>SAÍDA</v>
      </c>
      <c r="C12186" t="str">
        <f t="shared" si="2351"/>
        <v>PIX</v>
      </c>
      <c r="D12186" t="str">
        <f>"25563"</f>
        <v>25563</v>
      </c>
      <c r="E12186" t="str">
        <f t="shared" si="2341"/>
        <v>1</v>
      </c>
      <c r="F12186" t="str">
        <f t="shared" si="2343"/>
        <v>COM</v>
      </c>
      <c r="G12186" t="str">
        <f>"ALEX SILVA RODRIGUES (1027)"</f>
        <v>ALEX SILVA RODRIGUES (1027)</v>
      </c>
      <c r="H12186" t="s">
        <v>3297</v>
      </c>
      <c r="I12186" t="str">
        <f t="shared" si="2352"/>
        <v>20/11/2025</v>
      </c>
      <c r="J12186" t="str">
        <f t="shared" si="2344"/>
        <v>17/11/2025</v>
      </c>
      <c r="K12186">
        <v>45982</v>
      </c>
      <c r="N12186">
        <v>109</v>
      </c>
      <c r="O12186" t="s">
        <v>24</v>
      </c>
      <c r="Q12186">
        <v>483</v>
      </c>
      <c r="R12186" t="str">
        <f>"FARMACIA ECONOMIZE (10103)"</f>
        <v>FARMACIA ECONOMIZE (10103)</v>
      </c>
      <c r="S12186" t="s">
        <v>77</v>
      </c>
      <c r="T12186">
        <v>21496</v>
      </c>
      <c r="U12186">
        <v>25563</v>
      </c>
      <c r="V12186" t="s">
        <v>77</v>
      </c>
    </row>
    <row r="12187" spans="1:22">
      <c r="A12187" t="str">
        <f t="shared" si="2348"/>
        <v>21/11/2025</v>
      </c>
      <c r="B12187" t="str">
        <f t="shared" si="2345"/>
        <v>SAÍDA</v>
      </c>
      <c r="C12187" t="str">
        <f t="shared" si="2351"/>
        <v>PIX</v>
      </c>
      <c r="D12187" t="str">
        <f>"25564"</f>
        <v>25564</v>
      </c>
      <c r="E12187" t="str">
        <f t="shared" si="2341"/>
        <v>1</v>
      </c>
      <c r="F12187" t="str">
        <f t="shared" si="2343"/>
        <v>COM</v>
      </c>
      <c r="G12187" t="str">
        <f>"WILLIAM DA SILVA COSTA (655)"</f>
        <v>WILLIAM DA SILVA COSTA (655)</v>
      </c>
      <c r="H12187" t="str">
        <f>"Serv.Prest. 10/11/2025 a 16/11/2025 - PIX: CELULAR - CHAVE: (64) 97400-9101"</f>
        <v>Serv.Prest. 10/11/2025 a 16/11/2025 - PIX: CELULAR - CHAVE: (64) 97400-9101</v>
      </c>
      <c r="I12187" t="str">
        <f t="shared" si="2352"/>
        <v>20/11/2025</v>
      </c>
      <c r="J12187" t="str">
        <f t="shared" si="2344"/>
        <v>17/11/2025</v>
      </c>
      <c r="K12187" t="str">
        <f>("21/11/2025")</f>
        <v>21/11/2025</v>
      </c>
      <c r="L12187">
        <v>1574</v>
      </c>
      <c r="M12187">
        <v>1574</v>
      </c>
      <c r="N12187">
        <v>109</v>
      </c>
      <c r="O12187" t="str">
        <f>"PAGAMENTO DE ENTREGADORES"</f>
        <v>PAGAMENTO DE ENTREGADORES</v>
      </c>
      <c r="P12187">
        <v>1574</v>
      </c>
      <c r="S12187" t="str">
        <f>"BANCO C6 (149)"</f>
        <v>BANCO C6 (149)</v>
      </c>
      <c r="T12187">
        <v>21497</v>
      </c>
      <c r="U12187">
        <v>25564</v>
      </c>
      <c r="V12187" t="s">
        <v>77</v>
      </c>
    </row>
    <row r="12188" spans="1:22">
      <c r="A12188" t="str">
        <f t="shared" si="2348"/>
        <v>21/11/2025</v>
      </c>
      <c r="B12188" t="str">
        <f t="shared" si="2345"/>
        <v>SAÍDA</v>
      </c>
      <c r="C12188" t="str">
        <f t="shared" si="2351"/>
        <v>PIX</v>
      </c>
      <c r="D12188" t="str">
        <f>"25564"</f>
        <v>25564</v>
      </c>
      <c r="E12188" t="str">
        <f t="shared" ref="E12188:E12251" si="2353">"1"</f>
        <v>1</v>
      </c>
      <c r="F12188" t="str">
        <f t="shared" si="2343"/>
        <v>COM</v>
      </c>
      <c r="G12188" t="str">
        <f>"WILLIAM DA SILVA COSTA (655)"</f>
        <v>WILLIAM DA SILVA COSTA (655)</v>
      </c>
      <c r="H12188" t="s">
        <v>3298</v>
      </c>
      <c r="I12188" t="str">
        <f t="shared" si="2352"/>
        <v>20/11/2025</v>
      </c>
      <c r="J12188" t="str">
        <f t="shared" ref="J12188:J12219" si="2354">("17/11/2025")</f>
        <v>17/11/2025</v>
      </c>
      <c r="K12188">
        <v>45982</v>
      </c>
      <c r="N12188">
        <v>109</v>
      </c>
      <c r="O12188" t="s">
        <v>24</v>
      </c>
      <c r="Q12188">
        <v>1574</v>
      </c>
      <c r="R12188" t="str">
        <f>"FARMACIA ECONOMIZE (10103)"</f>
        <v>FARMACIA ECONOMIZE (10103)</v>
      </c>
      <c r="S12188" t="s">
        <v>77</v>
      </c>
      <c r="T12188">
        <v>21497</v>
      </c>
      <c r="U12188">
        <v>25564</v>
      </c>
      <c r="V12188" t="s">
        <v>77</v>
      </c>
    </row>
    <row r="12189" spans="1:22">
      <c r="A12189" t="str">
        <f t="shared" si="2348"/>
        <v>21/11/2025</v>
      </c>
      <c r="B12189" t="str">
        <f t="shared" si="2345"/>
        <v>SAÍDA</v>
      </c>
      <c r="C12189" t="str">
        <f t="shared" si="2351"/>
        <v>PIX</v>
      </c>
      <c r="D12189" t="str">
        <f>"25566"</f>
        <v>25566</v>
      </c>
      <c r="E12189" t="str">
        <f t="shared" si="2353"/>
        <v>1</v>
      </c>
      <c r="F12189" t="str">
        <f t="shared" si="2343"/>
        <v>COM</v>
      </c>
      <c r="G12189" t="str">
        <f>"MARCOS DUARTE CARVALHO (998)"</f>
        <v>MARCOS DUARTE CARVALHO (998)</v>
      </c>
      <c r="H12189" t="str">
        <f>"Serv.Prest. 10/11/2025 a 16/11/2025 - PIX: CPF - CHAVE: 396.877.618-65"</f>
        <v>Serv.Prest. 10/11/2025 a 16/11/2025 - PIX: CPF - CHAVE: 396.877.618-65</v>
      </c>
      <c r="I12189" t="str">
        <f t="shared" si="2352"/>
        <v>20/11/2025</v>
      </c>
      <c r="J12189" t="str">
        <f t="shared" si="2354"/>
        <v>17/11/2025</v>
      </c>
      <c r="K12189" t="str">
        <f>("21/11/2025")</f>
        <v>21/11/2025</v>
      </c>
      <c r="L12189">
        <v>1375</v>
      </c>
      <c r="M12189">
        <v>1375</v>
      </c>
      <c r="N12189">
        <v>109</v>
      </c>
      <c r="O12189" t="str">
        <f>"PAGAMENTO DE ENTREGADORES"</f>
        <v>PAGAMENTO DE ENTREGADORES</v>
      </c>
      <c r="P12189">
        <v>1375</v>
      </c>
      <c r="S12189" t="str">
        <f>"BANCO C6 (149)"</f>
        <v>BANCO C6 (149)</v>
      </c>
      <c r="T12189">
        <v>21498</v>
      </c>
      <c r="U12189">
        <v>25566</v>
      </c>
      <c r="V12189" t="s">
        <v>77</v>
      </c>
    </row>
    <row r="12190" spans="1:22">
      <c r="A12190" t="str">
        <f t="shared" si="2348"/>
        <v>21/11/2025</v>
      </c>
      <c r="B12190" t="str">
        <f t="shared" si="2345"/>
        <v>SAÍDA</v>
      </c>
      <c r="C12190" t="str">
        <f t="shared" si="2351"/>
        <v>PIX</v>
      </c>
      <c r="D12190" t="str">
        <f>"25566"</f>
        <v>25566</v>
      </c>
      <c r="E12190" t="str">
        <f t="shared" si="2353"/>
        <v>1</v>
      </c>
      <c r="F12190" t="str">
        <f t="shared" si="2343"/>
        <v>COM</v>
      </c>
      <c r="G12190" t="str">
        <f>"MARCOS DUARTE CARVALHO (998)"</f>
        <v>MARCOS DUARTE CARVALHO (998)</v>
      </c>
      <c r="H12190" t="s">
        <v>3299</v>
      </c>
      <c r="I12190" t="str">
        <f t="shared" si="2352"/>
        <v>20/11/2025</v>
      </c>
      <c r="J12190" t="str">
        <f t="shared" si="2354"/>
        <v>17/11/2025</v>
      </c>
      <c r="K12190">
        <v>45982</v>
      </c>
      <c r="N12190">
        <v>109</v>
      </c>
      <c r="O12190" t="s">
        <v>24</v>
      </c>
      <c r="Q12190">
        <v>687.5</v>
      </c>
      <c r="R12190" t="str">
        <f>"PENSE FARMA 09 (10218)"</f>
        <v>PENSE FARMA 09 (10218)</v>
      </c>
      <c r="S12190" t="s">
        <v>77</v>
      </c>
      <c r="T12190">
        <v>21498</v>
      </c>
      <c r="U12190">
        <v>25566</v>
      </c>
      <c r="V12190" t="s">
        <v>77</v>
      </c>
    </row>
    <row r="12191" spans="1:22">
      <c r="A12191" t="str">
        <f t="shared" si="2348"/>
        <v>21/11/2025</v>
      </c>
      <c r="B12191" t="str">
        <f t="shared" si="2345"/>
        <v>SAÍDA</v>
      </c>
      <c r="C12191" t="str">
        <f t="shared" si="2351"/>
        <v>PIX</v>
      </c>
      <c r="D12191" t="str">
        <f>"25566"</f>
        <v>25566</v>
      </c>
      <c r="E12191" t="str">
        <f t="shared" si="2353"/>
        <v>1</v>
      </c>
      <c r="F12191" t="str">
        <f t="shared" si="2343"/>
        <v>COM</v>
      </c>
      <c r="G12191" t="str">
        <f>"MARCOS DUARTE CARVALHO (998)"</f>
        <v>MARCOS DUARTE CARVALHO (998)</v>
      </c>
      <c r="H12191" t="s">
        <v>3299</v>
      </c>
      <c r="I12191" t="str">
        <f t="shared" si="2352"/>
        <v>20/11/2025</v>
      </c>
      <c r="J12191" t="str">
        <f t="shared" si="2354"/>
        <v>17/11/2025</v>
      </c>
      <c r="K12191">
        <v>45982</v>
      </c>
      <c r="N12191">
        <v>109</v>
      </c>
      <c r="O12191" t="s">
        <v>24</v>
      </c>
      <c r="Q12191">
        <v>687.5</v>
      </c>
      <c r="R12191" t="str">
        <f>"PENSE FARMA 10 (10219)"</f>
        <v>PENSE FARMA 10 (10219)</v>
      </c>
      <c r="S12191" t="s">
        <v>77</v>
      </c>
      <c r="T12191">
        <v>21498</v>
      </c>
      <c r="U12191">
        <v>25566</v>
      </c>
      <c r="V12191" t="s">
        <v>77</v>
      </c>
    </row>
    <row r="12192" spans="1:22">
      <c r="A12192" t="str">
        <f t="shared" si="2348"/>
        <v>21/11/2025</v>
      </c>
      <c r="B12192" t="str">
        <f t="shared" si="2345"/>
        <v>SAÍDA</v>
      </c>
      <c r="C12192" t="str">
        <f t="shared" si="2351"/>
        <v>PIX</v>
      </c>
      <c r="D12192" t="str">
        <f>"25569"</f>
        <v>25569</v>
      </c>
      <c r="E12192" t="str">
        <f t="shared" si="2353"/>
        <v>1</v>
      </c>
      <c r="F12192" t="str">
        <f t="shared" si="2343"/>
        <v>COM</v>
      </c>
      <c r="G12192" t="str">
        <f>"FABRICIO QUEIROZ DE OLIVEIRA (788)"</f>
        <v>FABRICIO QUEIROZ DE OLIVEIRA (788)</v>
      </c>
      <c r="H12192" t="str">
        <f>"Serv.Prest. 10/11/2025 a 16/11/2025 - PIX: CPF - CHAVE: 138.798.486-10"</f>
        <v>Serv.Prest. 10/11/2025 a 16/11/2025 - PIX: CPF - CHAVE: 138.798.486-10</v>
      </c>
      <c r="I12192" t="str">
        <f t="shared" si="2352"/>
        <v>20/11/2025</v>
      </c>
      <c r="J12192" t="str">
        <f t="shared" si="2354"/>
        <v>17/11/2025</v>
      </c>
      <c r="K12192" t="str">
        <f>("21/11/2025")</f>
        <v>21/11/2025</v>
      </c>
      <c r="L12192">
        <v>650</v>
      </c>
      <c r="M12192">
        <v>650</v>
      </c>
      <c r="N12192">
        <v>109</v>
      </c>
      <c r="O12192" t="str">
        <f>"PAGAMENTO DE ENTREGADORES"</f>
        <v>PAGAMENTO DE ENTREGADORES</v>
      </c>
      <c r="P12192">
        <v>650</v>
      </c>
      <c r="S12192" t="str">
        <f>"BANCO C6 (149)"</f>
        <v>BANCO C6 (149)</v>
      </c>
      <c r="T12192">
        <v>21499</v>
      </c>
      <c r="U12192">
        <v>25569</v>
      </c>
      <c r="V12192" t="s">
        <v>77</v>
      </c>
    </row>
    <row r="12193" spans="1:22">
      <c r="A12193" t="str">
        <f t="shared" si="2348"/>
        <v>21/11/2025</v>
      </c>
      <c r="B12193" t="str">
        <f t="shared" si="2345"/>
        <v>SAÍDA</v>
      </c>
      <c r="C12193" t="str">
        <f t="shared" si="2351"/>
        <v>PIX</v>
      </c>
      <c r="D12193" t="str">
        <f>"25569"</f>
        <v>25569</v>
      </c>
      <c r="E12193" t="str">
        <f t="shared" si="2353"/>
        <v>1</v>
      </c>
      <c r="F12193" t="str">
        <f t="shared" si="2343"/>
        <v>COM</v>
      </c>
      <c r="G12193" t="str">
        <f>"FABRICIO QUEIROZ DE OLIVEIRA (788)"</f>
        <v>FABRICIO QUEIROZ DE OLIVEIRA (788)</v>
      </c>
      <c r="H12193" t="s">
        <v>3073</v>
      </c>
      <c r="I12193" t="str">
        <f t="shared" si="2352"/>
        <v>20/11/2025</v>
      </c>
      <c r="J12193" t="str">
        <f t="shared" si="2354"/>
        <v>17/11/2025</v>
      </c>
      <c r="K12193">
        <v>45982</v>
      </c>
      <c r="N12193">
        <v>109</v>
      </c>
      <c r="O12193" t="s">
        <v>24</v>
      </c>
      <c r="Q12193">
        <v>613.86</v>
      </c>
      <c r="R12193" t="str">
        <f>"FRAN FARMA LJ 2 (10131)"</f>
        <v>FRAN FARMA LJ 2 (10131)</v>
      </c>
      <c r="S12193" t="s">
        <v>77</v>
      </c>
      <c r="T12193">
        <v>21499</v>
      </c>
      <c r="U12193">
        <v>25569</v>
      </c>
      <c r="V12193" t="s">
        <v>77</v>
      </c>
    </row>
    <row r="12194" spans="1:22">
      <c r="A12194" t="str">
        <f t="shared" si="2348"/>
        <v>21/11/2025</v>
      </c>
      <c r="B12194" t="str">
        <f t="shared" si="2345"/>
        <v>SAÍDA</v>
      </c>
      <c r="C12194" t="str">
        <f t="shared" si="2351"/>
        <v>PIX</v>
      </c>
      <c r="D12194" t="str">
        <f>"25569"</f>
        <v>25569</v>
      </c>
      <c r="E12194" t="str">
        <f t="shared" si="2353"/>
        <v>1</v>
      </c>
      <c r="F12194" t="str">
        <f t="shared" si="2343"/>
        <v>COM</v>
      </c>
      <c r="G12194" t="str">
        <f>"FABRICIO QUEIROZ DE OLIVEIRA (788)"</f>
        <v>FABRICIO QUEIROZ DE OLIVEIRA (788)</v>
      </c>
      <c r="H12194" t="s">
        <v>3073</v>
      </c>
      <c r="I12194" t="str">
        <f t="shared" si="2352"/>
        <v>20/11/2025</v>
      </c>
      <c r="J12194" t="str">
        <f t="shared" si="2354"/>
        <v>17/11/2025</v>
      </c>
      <c r="K12194">
        <v>45982</v>
      </c>
      <c r="N12194">
        <v>109</v>
      </c>
      <c r="O12194" t="s">
        <v>24</v>
      </c>
      <c r="Q12194">
        <v>36.14</v>
      </c>
      <c r="R12194" t="str">
        <f>"FRAN FARMA LJ 3 (10132)"</f>
        <v>FRAN FARMA LJ 3 (10132)</v>
      </c>
      <c r="S12194" t="s">
        <v>77</v>
      </c>
      <c r="T12194">
        <v>21499</v>
      </c>
      <c r="U12194">
        <v>25569</v>
      </c>
      <c r="V12194" t="s">
        <v>77</v>
      </c>
    </row>
    <row r="12195" spans="1:22">
      <c r="A12195" t="str">
        <f t="shared" si="2348"/>
        <v>21/11/2025</v>
      </c>
      <c r="B12195" t="str">
        <f t="shared" si="2345"/>
        <v>SAÍDA</v>
      </c>
      <c r="C12195" t="str">
        <f t="shared" si="2351"/>
        <v>PIX</v>
      </c>
      <c r="D12195" t="str">
        <f>"25571"</f>
        <v>25571</v>
      </c>
      <c r="E12195" t="str">
        <f t="shared" si="2353"/>
        <v>1</v>
      </c>
      <c r="F12195" t="str">
        <f t="shared" si="2343"/>
        <v>COM</v>
      </c>
      <c r="G12195" t="str">
        <f>"DARIO GILIARD DE BARROS OLIVEIRA (1011)"</f>
        <v>DARIO GILIARD DE BARROS OLIVEIRA (1011)</v>
      </c>
      <c r="H12195" t="str">
        <f>"Serv.Prest. 10/11/2025 a 16/11/2025 - PIX: CELULAR - CHAVE: (11) 96409-0865"</f>
        <v>Serv.Prest. 10/11/2025 a 16/11/2025 - PIX: CELULAR - CHAVE: (11) 96409-0865</v>
      </c>
      <c r="I12195" t="str">
        <f t="shared" si="2352"/>
        <v>20/11/2025</v>
      </c>
      <c r="J12195" t="str">
        <f t="shared" si="2354"/>
        <v>17/11/2025</v>
      </c>
      <c r="K12195" t="str">
        <f>("21/11/2025")</f>
        <v>21/11/2025</v>
      </c>
      <c r="L12195">
        <v>700</v>
      </c>
      <c r="M12195">
        <v>700</v>
      </c>
      <c r="N12195">
        <v>109</v>
      </c>
      <c r="O12195" t="str">
        <f>"PAGAMENTO DE ENTREGADORES"</f>
        <v>PAGAMENTO DE ENTREGADORES</v>
      </c>
      <c r="P12195">
        <v>700</v>
      </c>
      <c r="S12195" t="str">
        <f>"BANCO C6 (149)"</f>
        <v>BANCO C6 (149)</v>
      </c>
      <c r="T12195">
        <v>21500</v>
      </c>
      <c r="U12195">
        <v>25571</v>
      </c>
      <c r="V12195" t="s">
        <v>77</v>
      </c>
    </row>
    <row r="12196" spans="1:22">
      <c r="A12196" t="str">
        <f t="shared" si="2348"/>
        <v>21/11/2025</v>
      </c>
      <c r="B12196" t="str">
        <f t="shared" si="2345"/>
        <v>SAÍDA</v>
      </c>
      <c r="C12196" t="str">
        <f t="shared" si="2351"/>
        <v>PIX</v>
      </c>
      <c r="D12196" t="str">
        <f>"25571"</f>
        <v>25571</v>
      </c>
      <c r="E12196" t="str">
        <f t="shared" si="2353"/>
        <v>1</v>
      </c>
      <c r="F12196" t="str">
        <f t="shared" si="2343"/>
        <v>COM</v>
      </c>
      <c r="G12196" t="str">
        <f>"DARIO GILIARD DE BARROS OLIVEIRA (1011)"</f>
        <v>DARIO GILIARD DE BARROS OLIVEIRA (1011)</v>
      </c>
      <c r="H12196" t="s">
        <v>3300</v>
      </c>
      <c r="I12196" t="str">
        <f t="shared" si="2352"/>
        <v>20/11/2025</v>
      </c>
      <c r="J12196" t="str">
        <f t="shared" si="2354"/>
        <v>17/11/2025</v>
      </c>
      <c r="K12196">
        <v>45982</v>
      </c>
      <c r="N12196">
        <v>109</v>
      </c>
      <c r="O12196" t="s">
        <v>24</v>
      </c>
      <c r="Q12196">
        <v>233.31</v>
      </c>
      <c r="R12196" t="str">
        <f>"PENSE FARMA 15 (10195)"</f>
        <v>PENSE FARMA 15 (10195)</v>
      </c>
      <c r="S12196" t="s">
        <v>77</v>
      </c>
      <c r="T12196">
        <v>21500</v>
      </c>
      <c r="U12196">
        <v>25571</v>
      </c>
      <c r="V12196" t="s">
        <v>77</v>
      </c>
    </row>
    <row r="12197" spans="1:22">
      <c r="A12197" t="str">
        <f t="shared" si="2348"/>
        <v>21/11/2025</v>
      </c>
      <c r="B12197" t="str">
        <f t="shared" si="2345"/>
        <v>SAÍDA</v>
      </c>
      <c r="C12197" t="str">
        <f t="shared" si="2351"/>
        <v>PIX</v>
      </c>
      <c r="D12197" t="str">
        <f>"25571"</f>
        <v>25571</v>
      </c>
      <c r="E12197" t="str">
        <f t="shared" si="2353"/>
        <v>1</v>
      </c>
      <c r="F12197" t="str">
        <f t="shared" si="2343"/>
        <v>COM</v>
      </c>
      <c r="G12197" t="str">
        <f>"DARIO GILIARD DE BARROS OLIVEIRA (1011)"</f>
        <v>DARIO GILIARD DE BARROS OLIVEIRA (1011)</v>
      </c>
      <c r="H12197" t="s">
        <v>3300</v>
      </c>
      <c r="I12197" t="str">
        <f t="shared" si="2352"/>
        <v>20/11/2025</v>
      </c>
      <c r="J12197" t="str">
        <f t="shared" si="2354"/>
        <v>17/11/2025</v>
      </c>
      <c r="K12197">
        <v>45982</v>
      </c>
      <c r="N12197">
        <v>109</v>
      </c>
      <c r="O12197" t="s">
        <v>24</v>
      </c>
      <c r="Q12197">
        <v>233.31</v>
      </c>
      <c r="R12197" t="str">
        <f>"PENSE FARMA 60 (10197)"</f>
        <v>PENSE FARMA 60 (10197)</v>
      </c>
      <c r="S12197" t="s">
        <v>77</v>
      </c>
      <c r="T12197">
        <v>21500</v>
      </c>
      <c r="U12197">
        <v>25571</v>
      </c>
      <c r="V12197" t="s">
        <v>77</v>
      </c>
    </row>
    <row r="12198" spans="1:22">
      <c r="A12198" t="str">
        <f t="shared" si="2348"/>
        <v>21/11/2025</v>
      </c>
      <c r="B12198" t="str">
        <f t="shared" si="2345"/>
        <v>SAÍDA</v>
      </c>
      <c r="C12198" t="str">
        <f t="shared" si="2351"/>
        <v>PIX</v>
      </c>
      <c r="D12198" t="str">
        <f>"25571"</f>
        <v>25571</v>
      </c>
      <c r="E12198" t="str">
        <f t="shared" si="2353"/>
        <v>1</v>
      </c>
      <c r="F12198" t="str">
        <f t="shared" si="2343"/>
        <v>COM</v>
      </c>
      <c r="G12198" t="str">
        <f>"DARIO GILIARD DE BARROS OLIVEIRA (1011)"</f>
        <v>DARIO GILIARD DE BARROS OLIVEIRA (1011)</v>
      </c>
      <c r="H12198" t="s">
        <v>3300</v>
      </c>
      <c r="I12198" t="str">
        <f t="shared" si="2352"/>
        <v>20/11/2025</v>
      </c>
      <c r="J12198" t="str">
        <f t="shared" si="2354"/>
        <v>17/11/2025</v>
      </c>
      <c r="K12198">
        <v>45982</v>
      </c>
      <c r="N12198">
        <v>109</v>
      </c>
      <c r="O12198" t="s">
        <v>24</v>
      </c>
      <c r="Q12198">
        <v>233.38</v>
      </c>
      <c r="R12198" t="str">
        <f>"PENSE FARMA 61 (10243)"</f>
        <v>PENSE FARMA 61 (10243)</v>
      </c>
      <c r="S12198" t="s">
        <v>77</v>
      </c>
      <c r="T12198">
        <v>21500</v>
      </c>
      <c r="U12198">
        <v>25571</v>
      </c>
      <c r="V12198" t="s">
        <v>77</v>
      </c>
    </row>
    <row r="12199" spans="1:22">
      <c r="A12199" t="str">
        <f t="shared" si="2348"/>
        <v>21/11/2025</v>
      </c>
      <c r="B12199" t="str">
        <f t="shared" si="2345"/>
        <v>SAÍDA</v>
      </c>
      <c r="C12199" t="str">
        <f t="shared" si="2351"/>
        <v>PIX</v>
      </c>
      <c r="D12199" t="str">
        <f>"25573"</f>
        <v>25573</v>
      </c>
      <c r="E12199" t="str">
        <f t="shared" si="2353"/>
        <v>1</v>
      </c>
      <c r="F12199" t="str">
        <f t="shared" si="2343"/>
        <v>COM</v>
      </c>
      <c r="G12199" t="str">
        <f>"JEFFERSON AMORIM DA SILVA (940)"</f>
        <v>JEFFERSON AMORIM DA SILVA (940)</v>
      </c>
      <c r="H12199" t="str">
        <f>"Serv.Prest. 10/11/2025 a 16/11/2025 - PIX: CELULAR - CHAVE: (11) 98447-6954"</f>
        <v>Serv.Prest. 10/11/2025 a 16/11/2025 - PIX: CELULAR - CHAVE: (11) 98447-6954</v>
      </c>
      <c r="I12199" t="str">
        <f t="shared" si="2352"/>
        <v>20/11/2025</v>
      </c>
      <c r="J12199" t="str">
        <f t="shared" si="2354"/>
        <v>17/11/2025</v>
      </c>
      <c r="K12199" t="str">
        <f>("21/11/2025")</f>
        <v>21/11/2025</v>
      </c>
      <c r="L12199">
        <v>700</v>
      </c>
      <c r="M12199">
        <v>700</v>
      </c>
      <c r="N12199">
        <v>109</v>
      </c>
      <c r="O12199" t="str">
        <f>"PAGAMENTO DE ENTREGADORES"</f>
        <v>PAGAMENTO DE ENTREGADORES</v>
      </c>
      <c r="P12199">
        <v>700</v>
      </c>
      <c r="S12199" t="str">
        <f>"BANCO C6 (149)"</f>
        <v>BANCO C6 (149)</v>
      </c>
      <c r="T12199">
        <v>21501</v>
      </c>
      <c r="U12199">
        <v>25573</v>
      </c>
      <c r="V12199" t="s">
        <v>77</v>
      </c>
    </row>
    <row r="12200" spans="1:22">
      <c r="A12200" t="str">
        <f t="shared" si="2348"/>
        <v>21/11/2025</v>
      </c>
      <c r="B12200" t="str">
        <f t="shared" si="2345"/>
        <v>SAÍDA</v>
      </c>
      <c r="C12200" t="str">
        <f t="shared" si="2351"/>
        <v>PIX</v>
      </c>
      <c r="D12200" t="str">
        <f>"25573"</f>
        <v>25573</v>
      </c>
      <c r="E12200" t="str">
        <f t="shared" si="2353"/>
        <v>1</v>
      </c>
      <c r="F12200" t="str">
        <f t="shared" si="2343"/>
        <v>COM</v>
      </c>
      <c r="G12200" t="str">
        <f>"JEFFERSON AMORIM DA SILVA (940)"</f>
        <v>JEFFERSON AMORIM DA SILVA (940)</v>
      </c>
      <c r="H12200" t="s">
        <v>3301</v>
      </c>
      <c r="I12200" t="str">
        <f t="shared" si="2352"/>
        <v>20/11/2025</v>
      </c>
      <c r="J12200" t="str">
        <f t="shared" si="2354"/>
        <v>17/11/2025</v>
      </c>
      <c r="K12200">
        <v>45982</v>
      </c>
      <c r="N12200">
        <v>109</v>
      </c>
      <c r="O12200" t="s">
        <v>24</v>
      </c>
      <c r="Q12200">
        <v>233.31</v>
      </c>
      <c r="R12200" t="str">
        <f>"PENSE FARMA 15 (10195)"</f>
        <v>PENSE FARMA 15 (10195)</v>
      </c>
      <c r="S12200" t="s">
        <v>77</v>
      </c>
      <c r="T12200">
        <v>21501</v>
      </c>
      <c r="U12200">
        <v>25573</v>
      </c>
      <c r="V12200" t="s">
        <v>77</v>
      </c>
    </row>
    <row r="12201" spans="1:22">
      <c r="A12201" t="str">
        <f t="shared" si="2348"/>
        <v>21/11/2025</v>
      </c>
      <c r="B12201" t="str">
        <f t="shared" si="2345"/>
        <v>SAÍDA</v>
      </c>
      <c r="C12201" t="str">
        <f t="shared" si="2351"/>
        <v>PIX</v>
      </c>
      <c r="D12201" t="str">
        <f>"25573"</f>
        <v>25573</v>
      </c>
      <c r="E12201" t="str">
        <f t="shared" si="2353"/>
        <v>1</v>
      </c>
      <c r="F12201" t="str">
        <f t="shared" si="2343"/>
        <v>COM</v>
      </c>
      <c r="G12201" t="str">
        <f>"JEFFERSON AMORIM DA SILVA (940)"</f>
        <v>JEFFERSON AMORIM DA SILVA (940)</v>
      </c>
      <c r="H12201" t="s">
        <v>3301</v>
      </c>
      <c r="I12201" t="str">
        <f t="shared" si="2352"/>
        <v>20/11/2025</v>
      </c>
      <c r="J12201" t="str">
        <f t="shared" si="2354"/>
        <v>17/11/2025</v>
      </c>
      <c r="K12201">
        <v>45982</v>
      </c>
      <c r="N12201">
        <v>109</v>
      </c>
      <c r="O12201" t="s">
        <v>24</v>
      </c>
      <c r="Q12201">
        <v>233.31</v>
      </c>
      <c r="R12201" t="str">
        <f>"PENSE FARMA 60 (10197)"</f>
        <v>PENSE FARMA 60 (10197)</v>
      </c>
      <c r="S12201" t="s">
        <v>77</v>
      </c>
      <c r="T12201">
        <v>21501</v>
      </c>
      <c r="U12201">
        <v>25573</v>
      </c>
      <c r="V12201" t="s">
        <v>77</v>
      </c>
    </row>
    <row r="12202" spans="1:22">
      <c r="A12202" t="str">
        <f t="shared" si="2348"/>
        <v>21/11/2025</v>
      </c>
      <c r="B12202" t="str">
        <f t="shared" si="2345"/>
        <v>SAÍDA</v>
      </c>
      <c r="C12202" t="str">
        <f t="shared" si="2351"/>
        <v>PIX</v>
      </c>
      <c r="D12202" t="str">
        <f>"25573"</f>
        <v>25573</v>
      </c>
      <c r="E12202" t="str">
        <f t="shared" si="2353"/>
        <v>1</v>
      </c>
      <c r="F12202" t="str">
        <f t="shared" si="2343"/>
        <v>COM</v>
      </c>
      <c r="G12202" t="str">
        <f>"JEFFERSON AMORIM DA SILVA (940)"</f>
        <v>JEFFERSON AMORIM DA SILVA (940)</v>
      </c>
      <c r="H12202" t="s">
        <v>3301</v>
      </c>
      <c r="I12202" t="str">
        <f t="shared" si="2352"/>
        <v>20/11/2025</v>
      </c>
      <c r="J12202" t="str">
        <f t="shared" si="2354"/>
        <v>17/11/2025</v>
      </c>
      <c r="K12202">
        <v>45982</v>
      </c>
      <c r="N12202">
        <v>109</v>
      </c>
      <c r="O12202" t="s">
        <v>24</v>
      </c>
      <c r="Q12202">
        <v>233.38</v>
      </c>
      <c r="R12202" t="str">
        <f>"PENSE FARMA 61 (10243)"</f>
        <v>PENSE FARMA 61 (10243)</v>
      </c>
      <c r="S12202" t="s">
        <v>77</v>
      </c>
      <c r="T12202">
        <v>21501</v>
      </c>
      <c r="U12202">
        <v>25573</v>
      </c>
      <c r="V12202" t="s">
        <v>77</v>
      </c>
    </row>
    <row r="12203" spans="1:22">
      <c r="A12203" t="str">
        <f t="shared" si="2348"/>
        <v>21/11/2025</v>
      </c>
      <c r="B12203" t="str">
        <f t="shared" si="2345"/>
        <v>SAÍDA</v>
      </c>
      <c r="C12203" t="str">
        <f t="shared" si="2351"/>
        <v>PIX</v>
      </c>
      <c r="D12203" t="str">
        <f>"25574"</f>
        <v>25574</v>
      </c>
      <c r="E12203" t="str">
        <f t="shared" si="2353"/>
        <v>1</v>
      </c>
      <c r="F12203" t="str">
        <f t="shared" si="2343"/>
        <v>COM</v>
      </c>
      <c r="G12203" t="str">
        <f>"LETÍCIA ANDRADE DE CASTRO SILVA (1067)"</f>
        <v>LETÍCIA ANDRADE DE CASTRO SILVA (1067)</v>
      </c>
      <c r="H12203" t="str">
        <f>"Serv.Prest. 10/11/2025 a 16/11/2025 - PIX: CPF - CHAVE: 439.367.298-40"</f>
        <v>Serv.Prest. 10/11/2025 a 16/11/2025 - PIX: CPF - CHAVE: 439.367.298-40</v>
      </c>
      <c r="I12203" t="str">
        <f t="shared" si="2352"/>
        <v>20/11/2025</v>
      </c>
      <c r="J12203" t="str">
        <f t="shared" si="2354"/>
        <v>17/11/2025</v>
      </c>
      <c r="K12203" t="str">
        <f>("21/11/2025")</f>
        <v>21/11/2025</v>
      </c>
      <c r="L12203">
        <v>600</v>
      </c>
      <c r="M12203">
        <v>600</v>
      </c>
      <c r="N12203">
        <v>109</v>
      </c>
      <c r="O12203" t="str">
        <f>"PAGAMENTO DE ENTREGADORES"</f>
        <v>PAGAMENTO DE ENTREGADORES</v>
      </c>
      <c r="P12203">
        <v>600</v>
      </c>
      <c r="S12203" t="str">
        <f>"BANCO C6 (149)"</f>
        <v>BANCO C6 (149)</v>
      </c>
      <c r="T12203">
        <v>21502</v>
      </c>
      <c r="U12203">
        <v>25574</v>
      </c>
      <c r="V12203" t="s">
        <v>77</v>
      </c>
    </row>
    <row r="12204" spans="1:22">
      <c r="A12204" t="str">
        <f t="shared" si="2348"/>
        <v>21/11/2025</v>
      </c>
      <c r="B12204" t="str">
        <f t="shared" si="2345"/>
        <v>SAÍDA</v>
      </c>
      <c r="C12204" t="str">
        <f t="shared" si="2351"/>
        <v>PIX</v>
      </c>
      <c r="D12204" t="str">
        <f>"25574"</f>
        <v>25574</v>
      </c>
      <c r="E12204" t="str">
        <f t="shared" si="2353"/>
        <v>1</v>
      </c>
      <c r="F12204" t="str">
        <f t="shared" si="2343"/>
        <v>COM</v>
      </c>
      <c r="G12204" t="str">
        <f>"LETÍCIA ANDRADE DE CASTRO SILVA (1067)"</f>
        <v>LETÍCIA ANDRADE DE CASTRO SILVA (1067)</v>
      </c>
      <c r="H12204" t="s">
        <v>3302</v>
      </c>
      <c r="I12204" t="str">
        <f t="shared" si="2352"/>
        <v>20/11/2025</v>
      </c>
      <c r="J12204" t="str">
        <f t="shared" si="2354"/>
        <v>17/11/2025</v>
      </c>
      <c r="K12204">
        <v>45982</v>
      </c>
      <c r="N12204">
        <v>109</v>
      </c>
      <c r="O12204" t="s">
        <v>24</v>
      </c>
      <c r="Q12204">
        <v>199.98</v>
      </c>
      <c r="R12204" t="str">
        <f>"PENSE FARMA 15 (10195)"</f>
        <v>PENSE FARMA 15 (10195)</v>
      </c>
      <c r="S12204" t="s">
        <v>77</v>
      </c>
      <c r="T12204">
        <v>21502</v>
      </c>
      <c r="U12204">
        <v>25574</v>
      </c>
      <c r="V12204" t="s">
        <v>77</v>
      </c>
    </row>
    <row r="12205" spans="1:22">
      <c r="A12205" t="str">
        <f t="shared" si="2348"/>
        <v>21/11/2025</v>
      </c>
      <c r="B12205" t="str">
        <f t="shared" si="2345"/>
        <v>SAÍDA</v>
      </c>
      <c r="C12205" t="str">
        <f t="shared" si="2351"/>
        <v>PIX</v>
      </c>
      <c r="D12205" t="str">
        <f>"25574"</f>
        <v>25574</v>
      </c>
      <c r="E12205" t="str">
        <f t="shared" si="2353"/>
        <v>1</v>
      </c>
      <c r="F12205" t="str">
        <f t="shared" si="2343"/>
        <v>COM</v>
      </c>
      <c r="G12205" t="str">
        <f>"LETÍCIA ANDRADE DE CASTRO SILVA (1067)"</f>
        <v>LETÍCIA ANDRADE DE CASTRO SILVA (1067)</v>
      </c>
      <c r="H12205" t="s">
        <v>3302</v>
      </c>
      <c r="I12205" t="str">
        <f t="shared" si="2352"/>
        <v>20/11/2025</v>
      </c>
      <c r="J12205" t="str">
        <f t="shared" si="2354"/>
        <v>17/11/2025</v>
      </c>
      <c r="K12205">
        <v>45982</v>
      </c>
      <c r="N12205">
        <v>109</v>
      </c>
      <c r="O12205" t="s">
        <v>24</v>
      </c>
      <c r="Q12205">
        <v>199.98</v>
      </c>
      <c r="R12205" t="str">
        <f>"PENSE FARMA 60 (10197)"</f>
        <v>PENSE FARMA 60 (10197)</v>
      </c>
      <c r="S12205" t="s">
        <v>77</v>
      </c>
      <c r="T12205">
        <v>21502</v>
      </c>
      <c r="U12205">
        <v>25574</v>
      </c>
      <c r="V12205" t="s">
        <v>77</v>
      </c>
    </row>
    <row r="12206" spans="1:22">
      <c r="A12206" t="str">
        <f t="shared" si="2348"/>
        <v>21/11/2025</v>
      </c>
      <c r="B12206" t="str">
        <f t="shared" si="2345"/>
        <v>SAÍDA</v>
      </c>
      <c r="C12206" t="str">
        <f t="shared" si="2351"/>
        <v>PIX</v>
      </c>
      <c r="D12206" t="str">
        <f>"25574"</f>
        <v>25574</v>
      </c>
      <c r="E12206" t="str">
        <f t="shared" si="2353"/>
        <v>1</v>
      </c>
      <c r="F12206" t="str">
        <f t="shared" si="2343"/>
        <v>COM</v>
      </c>
      <c r="G12206" t="str">
        <f>"LETÍCIA ANDRADE DE CASTRO SILVA (1067)"</f>
        <v>LETÍCIA ANDRADE DE CASTRO SILVA (1067)</v>
      </c>
      <c r="H12206" t="s">
        <v>3302</v>
      </c>
      <c r="I12206" t="str">
        <f t="shared" si="2352"/>
        <v>20/11/2025</v>
      </c>
      <c r="J12206" t="str">
        <f t="shared" si="2354"/>
        <v>17/11/2025</v>
      </c>
      <c r="K12206">
        <v>45982</v>
      </c>
      <c r="N12206">
        <v>109</v>
      </c>
      <c r="O12206" t="s">
        <v>24</v>
      </c>
      <c r="Q12206">
        <v>200.04</v>
      </c>
      <c r="R12206" t="str">
        <f>"PENSE FARMA 61 (10243)"</f>
        <v>PENSE FARMA 61 (10243)</v>
      </c>
      <c r="S12206" t="s">
        <v>77</v>
      </c>
      <c r="T12206">
        <v>21502</v>
      </c>
      <c r="U12206">
        <v>25574</v>
      </c>
      <c r="V12206" t="s">
        <v>77</v>
      </c>
    </row>
    <row r="12207" spans="1:22">
      <c r="A12207" t="str">
        <f t="shared" si="2348"/>
        <v>21/11/2025</v>
      </c>
      <c r="B12207" t="str">
        <f t="shared" si="2345"/>
        <v>SAÍDA</v>
      </c>
      <c r="C12207" t="str">
        <f t="shared" si="2351"/>
        <v>PIX</v>
      </c>
      <c r="D12207" t="str">
        <f>"25575"</f>
        <v>25575</v>
      </c>
      <c r="E12207" t="str">
        <f t="shared" si="2353"/>
        <v>1</v>
      </c>
      <c r="F12207" t="str">
        <f t="shared" si="2343"/>
        <v>COM</v>
      </c>
      <c r="G12207" t="str">
        <f>"NATHAN PETRIN SOUSA DA SILVA (1049)"</f>
        <v>NATHAN PETRIN SOUSA DA SILVA (1049)</v>
      </c>
      <c r="H12207" t="str">
        <f>"Serv.Prest. 10/11/2025 a 16/11/2025 - PIX: CELULAR - CHAVE: (11) 98731-4534"</f>
        <v>Serv.Prest. 10/11/2025 a 16/11/2025 - PIX: CELULAR - CHAVE: (11) 98731-4534</v>
      </c>
      <c r="I12207" t="str">
        <f t="shared" si="2352"/>
        <v>20/11/2025</v>
      </c>
      <c r="J12207" t="str">
        <f t="shared" si="2354"/>
        <v>17/11/2025</v>
      </c>
      <c r="K12207" t="str">
        <f>("21/11/2025")</f>
        <v>21/11/2025</v>
      </c>
      <c r="L12207">
        <v>700</v>
      </c>
      <c r="M12207">
        <v>700</v>
      </c>
      <c r="N12207">
        <v>109</v>
      </c>
      <c r="O12207" t="str">
        <f>"PAGAMENTO DE ENTREGADORES"</f>
        <v>PAGAMENTO DE ENTREGADORES</v>
      </c>
      <c r="P12207">
        <v>700</v>
      </c>
      <c r="S12207" t="str">
        <f>"BANCO C6 (149)"</f>
        <v>BANCO C6 (149)</v>
      </c>
      <c r="T12207">
        <v>21503</v>
      </c>
      <c r="U12207">
        <v>25575</v>
      </c>
      <c r="V12207" t="s">
        <v>77</v>
      </c>
    </row>
    <row r="12208" spans="1:22">
      <c r="A12208" t="str">
        <f t="shared" si="2348"/>
        <v>21/11/2025</v>
      </c>
      <c r="B12208" t="str">
        <f t="shared" si="2345"/>
        <v>SAÍDA</v>
      </c>
      <c r="C12208" t="str">
        <f t="shared" si="2351"/>
        <v>PIX</v>
      </c>
      <c r="D12208" t="str">
        <f>"25575"</f>
        <v>25575</v>
      </c>
      <c r="E12208" t="str">
        <f t="shared" si="2353"/>
        <v>1</v>
      </c>
      <c r="F12208" t="str">
        <f t="shared" si="2343"/>
        <v>COM</v>
      </c>
      <c r="G12208" t="str">
        <f>"NATHAN PETRIN SOUSA DA SILVA (1049)"</f>
        <v>NATHAN PETRIN SOUSA DA SILVA (1049)</v>
      </c>
      <c r="H12208" t="s">
        <v>3149</v>
      </c>
      <c r="I12208" t="str">
        <f t="shared" si="2352"/>
        <v>20/11/2025</v>
      </c>
      <c r="J12208" t="str">
        <f t="shared" si="2354"/>
        <v>17/11/2025</v>
      </c>
      <c r="K12208">
        <v>45982</v>
      </c>
      <c r="N12208">
        <v>109</v>
      </c>
      <c r="O12208" t="s">
        <v>24</v>
      </c>
      <c r="Q12208">
        <v>700</v>
      </c>
      <c r="R12208" t="str">
        <f>"PENSE FARMA 26 (10196)"</f>
        <v>PENSE FARMA 26 (10196)</v>
      </c>
      <c r="S12208" t="s">
        <v>77</v>
      </c>
      <c r="T12208">
        <v>21503</v>
      </c>
      <c r="U12208">
        <v>25575</v>
      </c>
      <c r="V12208" t="s">
        <v>77</v>
      </c>
    </row>
    <row r="12209" spans="1:22">
      <c r="A12209" t="str">
        <f t="shared" si="2348"/>
        <v>21/11/2025</v>
      </c>
      <c r="B12209" t="str">
        <f t="shared" si="2345"/>
        <v>SAÍDA</v>
      </c>
      <c r="C12209" t="str">
        <f t="shared" si="2351"/>
        <v>PIX</v>
      </c>
      <c r="D12209" t="str">
        <f>"25577"</f>
        <v>25577</v>
      </c>
      <c r="E12209" t="str">
        <f t="shared" si="2353"/>
        <v>1</v>
      </c>
      <c r="F12209" t="str">
        <f t="shared" si="2343"/>
        <v>COM</v>
      </c>
      <c r="G12209" t="str">
        <f>"EDSON ANDRADE PINHEIRO (1075)"</f>
        <v>EDSON ANDRADE PINHEIRO (1075)</v>
      </c>
      <c r="H12209" t="str">
        <f>"Serv.Prest. 10/11/2025 a 16/11/2025 - PIX: CPF - CHAVE: 351.063.158-75"</f>
        <v>Serv.Prest. 10/11/2025 a 16/11/2025 - PIX: CPF - CHAVE: 351.063.158-75</v>
      </c>
      <c r="I12209" t="str">
        <f t="shared" si="2352"/>
        <v>20/11/2025</v>
      </c>
      <c r="J12209" t="str">
        <f t="shared" si="2354"/>
        <v>17/11/2025</v>
      </c>
      <c r="K12209" t="str">
        <f>("21/11/2025")</f>
        <v>21/11/2025</v>
      </c>
      <c r="L12209">
        <v>600</v>
      </c>
      <c r="M12209">
        <v>600</v>
      </c>
      <c r="N12209">
        <v>109</v>
      </c>
      <c r="O12209" t="str">
        <f>"PAGAMENTO DE ENTREGADORES"</f>
        <v>PAGAMENTO DE ENTREGADORES</v>
      </c>
      <c r="P12209">
        <v>600</v>
      </c>
      <c r="S12209" t="str">
        <f>"BANCO C6 (149)"</f>
        <v>BANCO C6 (149)</v>
      </c>
      <c r="T12209">
        <v>21504</v>
      </c>
      <c r="U12209">
        <v>25577</v>
      </c>
      <c r="V12209" t="s">
        <v>77</v>
      </c>
    </row>
    <row r="12210" spans="1:22">
      <c r="A12210" t="str">
        <f t="shared" si="2348"/>
        <v>21/11/2025</v>
      </c>
      <c r="B12210" t="str">
        <f t="shared" si="2345"/>
        <v>SAÍDA</v>
      </c>
      <c r="C12210" t="str">
        <f t="shared" si="2351"/>
        <v>PIX</v>
      </c>
      <c r="D12210" t="str">
        <f>"25577"</f>
        <v>25577</v>
      </c>
      <c r="E12210" t="str">
        <f t="shared" si="2353"/>
        <v>1</v>
      </c>
      <c r="F12210" t="str">
        <f t="shared" si="2343"/>
        <v>COM</v>
      </c>
      <c r="G12210" t="str">
        <f>"EDSON ANDRADE PINHEIRO (1075)"</f>
        <v>EDSON ANDRADE PINHEIRO (1075)</v>
      </c>
      <c r="H12210" t="s">
        <v>3303</v>
      </c>
      <c r="I12210" t="str">
        <f t="shared" si="2352"/>
        <v>20/11/2025</v>
      </c>
      <c r="J12210" t="str">
        <f t="shared" si="2354"/>
        <v>17/11/2025</v>
      </c>
      <c r="K12210">
        <v>45982</v>
      </c>
      <c r="N12210">
        <v>109</v>
      </c>
      <c r="O12210" t="s">
        <v>24</v>
      </c>
      <c r="Q12210">
        <v>600</v>
      </c>
      <c r="R12210" t="str">
        <f>"PENSE FARMA 46 (10194)"</f>
        <v>PENSE FARMA 46 (10194)</v>
      </c>
      <c r="S12210" t="s">
        <v>77</v>
      </c>
      <c r="T12210">
        <v>21504</v>
      </c>
      <c r="U12210">
        <v>25577</v>
      </c>
      <c r="V12210" t="s">
        <v>77</v>
      </c>
    </row>
    <row r="12211" spans="1:22">
      <c r="A12211" t="str">
        <f t="shared" si="2348"/>
        <v>21/11/2025</v>
      </c>
      <c r="B12211" t="str">
        <f t="shared" si="2345"/>
        <v>SAÍDA</v>
      </c>
      <c r="C12211" t="str">
        <f t="shared" si="2351"/>
        <v>PIX</v>
      </c>
      <c r="D12211" t="str">
        <f>"25579"</f>
        <v>25579</v>
      </c>
      <c r="E12211" t="str">
        <f t="shared" si="2353"/>
        <v>1</v>
      </c>
      <c r="F12211" t="str">
        <f t="shared" si="2343"/>
        <v>COM</v>
      </c>
      <c r="G12211" t="str">
        <f>"HERICK KUSSYOYADA CAMARA (937)"</f>
        <v>HERICK KUSSYOYADA CAMARA (937)</v>
      </c>
      <c r="H12211" t="str">
        <f>"Serv.Prest. 10/11/2025 a 16/11/2025 - PIX: CPF - CHAVE: 427.090.718-51"</f>
        <v>Serv.Prest. 10/11/2025 a 16/11/2025 - PIX: CPF - CHAVE: 427.090.718-51</v>
      </c>
      <c r="I12211" t="str">
        <f t="shared" si="2352"/>
        <v>20/11/2025</v>
      </c>
      <c r="J12211" t="str">
        <f t="shared" si="2354"/>
        <v>17/11/2025</v>
      </c>
      <c r="K12211" t="str">
        <f>("21/11/2025")</f>
        <v>21/11/2025</v>
      </c>
      <c r="L12211">
        <v>700</v>
      </c>
      <c r="M12211">
        <v>700</v>
      </c>
      <c r="N12211">
        <v>109</v>
      </c>
      <c r="O12211" t="str">
        <f>"PAGAMENTO DE ENTREGADORES"</f>
        <v>PAGAMENTO DE ENTREGADORES</v>
      </c>
      <c r="P12211">
        <v>700</v>
      </c>
      <c r="S12211" t="str">
        <f>"BANCO C6 (149)"</f>
        <v>BANCO C6 (149)</v>
      </c>
      <c r="T12211">
        <v>21505</v>
      </c>
      <c r="U12211">
        <v>25579</v>
      </c>
      <c r="V12211" t="s">
        <v>77</v>
      </c>
    </row>
    <row r="12212" spans="1:22">
      <c r="A12212" t="str">
        <f t="shared" si="2348"/>
        <v>21/11/2025</v>
      </c>
      <c r="B12212" t="str">
        <f t="shared" si="2345"/>
        <v>SAÍDA</v>
      </c>
      <c r="C12212" t="str">
        <f t="shared" si="2351"/>
        <v>PIX</v>
      </c>
      <c r="D12212" t="str">
        <f>"25579"</f>
        <v>25579</v>
      </c>
      <c r="E12212" t="str">
        <f t="shared" si="2353"/>
        <v>1</v>
      </c>
      <c r="F12212" t="str">
        <f t="shared" si="2343"/>
        <v>COM</v>
      </c>
      <c r="G12212" t="str">
        <f>"HERICK KUSSYOYADA CAMARA (937)"</f>
        <v>HERICK KUSSYOYADA CAMARA (937)</v>
      </c>
      <c r="H12212" t="s">
        <v>3304</v>
      </c>
      <c r="I12212" t="str">
        <f t="shared" si="2352"/>
        <v>20/11/2025</v>
      </c>
      <c r="J12212" t="str">
        <f t="shared" si="2354"/>
        <v>17/11/2025</v>
      </c>
      <c r="K12212">
        <v>45982</v>
      </c>
      <c r="N12212">
        <v>109</v>
      </c>
      <c r="O12212" t="s">
        <v>24</v>
      </c>
      <c r="Q12212">
        <v>700</v>
      </c>
      <c r="R12212" t="str">
        <f>"PENSE FARMA 46 (10194)"</f>
        <v>PENSE FARMA 46 (10194)</v>
      </c>
      <c r="S12212" t="s">
        <v>77</v>
      </c>
      <c r="T12212">
        <v>21505</v>
      </c>
      <c r="U12212">
        <v>25579</v>
      </c>
      <c r="V12212" t="s">
        <v>77</v>
      </c>
    </row>
    <row r="12213" spans="1:22">
      <c r="A12213" t="str">
        <f t="shared" si="2348"/>
        <v>21/11/2025</v>
      </c>
      <c r="B12213" t="str">
        <f t="shared" si="2345"/>
        <v>SAÍDA</v>
      </c>
      <c r="C12213" t="str">
        <f t="shared" si="2351"/>
        <v>PIX</v>
      </c>
      <c r="D12213" t="str">
        <f>"25582"</f>
        <v>25582</v>
      </c>
      <c r="E12213" t="str">
        <f t="shared" si="2353"/>
        <v>1</v>
      </c>
      <c r="F12213" t="str">
        <f t="shared" si="2343"/>
        <v>COM</v>
      </c>
      <c r="G12213" t="str">
        <f>"SAMUEL SOARES DA SILVA (867)"</f>
        <v>SAMUEL SOARES DA SILVA (867)</v>
      </c>
      <c r="H12213" t="str">
        <f>"Serv.Prest. 10/11/2025 a 16/11/2025 - PIX: CPF - CHAVE: 396.124.108-28"</f>
        <v>Serv.Prest. 10/11/2025 a 16/11/2025 - PIX: CPF - CHAVE: 396.124.108-28</v>
      </c>
      <c r="I12213" t="str">
        <f t="shared" si="2352"/>
        <v>20/11/2025</v>
      </c>
      <c r="J12213" t="str">
        <f t="shared" si="2354"/>
        <v>17/11/2025</v>
      </c>
      <c r="K12213" t="str">
        <f>("21/11/2025")</f>
        <v>21/11/2025</v>
      </c>
      <c r="L12213">
        <v>1300</v>
      </c>
      <c r="M12213">
        <v>1300</v>
      </c>
      <c r="N12213">
        <v>109</v>
      </c>
      <c r="O12213" t="str">
        <f>"PAGAMENTO DE ENTREGADORES"</f>
        <v>PAGAMENTO DE ENTREGADORES</v>
      </c>
      <c r="P12213">
        <v>1300</v>
      </c>
      <c r="S12213" t="str">
        <f>"BANCO C6 (149)"</f>
        <v>BANCO C6 (149)</v>
      </c>
      <c r="T12213">
        <v>21506</v>
      </c>
      <c r="U12213">
        <v>25582</v>
      </c>
      <c r="V12213" t="s">
        <v>77</v>
      </c>
    </row>
    <row r="12214" spans="1:22">
      <c r="A12214" t="str">
        <f t="shared" si="2348"/>
        <v>21/11/2025</v>
      </c>
      <c r="B12214" t="str">
        <f t="shared" si="2345"/>
        <v>SAÍDA</v>
      </c>
      <c r="C12214" t="str">
        <f t="shared" si="2351"/>
        <v>PIX</v>
      </c>
      <c r="D12214" t="str">
        <f>"25582"</f>
        <v>25582</v>
      </c>
      <c r="E12214" t="str">
        <f t="shared" si="2353"/>
        <v>1</v>
      </c>
      <c r="F12214" t="str">
        <f t="shared" si="2343"/>
        <v>COM</v>
      </c>
      <c r="G12214" t="str">
        <f>"SAMUEL SOARES DA SILVA (867)"</f>
        <v>SAMUEL SOARES DA SILVA (867)</v>
      </c>
      <c r="H12214" t="s">
        <v>3066</v>
      </c>
      <c r="I12214" t="str">
        <f t="shared" si="2352"/>
        <v>20/11/2025</v>
      </c>
      <c r="J12214" t="str">
        <f t="shared" si="2354"/>
        <v>17/11/2025</v>
      </c>
      <c r="K12214">
        <v>45982</v>
      </c>
      <c r="N12214">
        <v>109</v>
      </c>
      <c r="O12214" t="s">
        <v>24</v>
      </c>
      <c r="Q12214">
        <v>1300</v>
      </c>
      <c r="R12214" t="str">
        <f>"DROGA ELIDA (10121)"</f>
        <v>DROGA ELIDA (10121)</v>
      </c>
      <c r="S12214" t="s">
        <v>77</v>
      </c>
      <c r="T12214">
        <v>21506</v>
      </c>
      <c r="U12214">
        <v>25582</v>
      </c>
      <c r="V12214" t="s">
        <v>77</v>
      </c>
    </row>
    <row r="12215" spans="1:22">
      <c r="A12215" t="str">
        <f t="shared" si="2348"/>
        <v>21/11/2025</v>
      </c>
      <c r="B12215" t="str">
        <f t="shared" si="2345"/>
        <v>SAÍDA</v>
      </c>
      <c r="C12215" t="str">
        <f t="shared" si="2351"/>
        <v>PIX</v>
      </c>
      <c r="D12215" t="str">
        <f t="shared" ref="D12215:D12221" si="2355">"25585"</f>
        <v>25585</v>
      </c>
      <c r="E12215" t="str">
        <f t="shared" si="2353"/>
        <v>1</v>
      </c>
      <c r="F12215" t="str">
        <f t="shared" si="2343"/>
        <v>COM</v>
      </c>
      <c r="G12215" t="str">
        <f t="shared" ref="G12215:G12221" si="2356">"FELIPE ALEXANDRE CAMA (976)"</f>
        <v>FELIPE ALEXANDRE CAMA (976)</v>
      </c>
      <c r="H12215" t="str">
        <f>"Serv.Prest. 10/11/2025 a 16/11/2025 - PIX: CPF - CHAVE: 471.142.438-55"</f>
        <v>Serv.Prest. 10/11/2025 a 16/11/2025 - PIX: CPF - CHAVE: 471.142.438-55</v>
      </c>
      <c r="I12215" t="str">
        <f t="shared" si="2352"/>
        <v>20/11/2025</v>
      </c>
      <c r="J12215" t="str">
        <f t="shared" si="2354"/>
        <v>17/11/2025</v>
      </c>
      <c r="K12215" t="str">
        <f>("21/11/2025")</f>
        <v>21/11/2025</v>
      </c>
      <c r="L12215">
        <v>1325</v>
      </c>
      <c r="M12215">
        <v>1325</v>
      </c>
      <c r="N12215">
        <v>109</v>
      </c>
      <c r="O12215" t="str">
        <f>"PAGAMENTO DE ENTREGADORES"</f>
        <v>PAGAMENTO DE ENTREGADORES</v>
      </c>
      <c r="P12215">
        <v>1325</v>
      </c>
      <c r="S12215" t="str">
        <f>"BANCO C6 (149)"</f>
        <v>BANCO C6 (149)</v>
      </c>
      <c r="T12215">
        <v>21507</v>
      </c>
      <c r="U12215">
        <v>25585</v>
      </c>
      <c r="V12215" t="s">
        <v>77</v>
      </c>
    </row>
    <row r="12216" spans="1:22">
      <c r="A12216" t="str">
        <f t="shared" si="2348"/>
        <v>21/11/2025</v>
      </c>
      <c r="B12216" t="str">
        <f t="shared" si="2345"/>
        <v>SAÍDA</v>
      </c>
      <c r="C12216" t="str">
        <f t="shared" si="2351"/>
        <v>PIX</v>
      </c>
      <c r="D12216" t="str">
        <f t="shared" si="2355"/>
        <v>25585</v>
      </c>
      <c r="E12216" t="str">
        <f t="shared" si="2353"/>
        <v>1</v>
      </c>
      <c r="F12216" t="str">
        <f t="shared" si="2343"/>
        <v>COM</v>
      </c>
      <c r="G12216" t="str">
        <f t="shared" si="2356"/>
        <v>FELIPE ALEXANDRE CAMA (976)</v>
      </c>
      <c r="H12216" t="s">
        <v>3305</v>
      </c>
      <c r="I12216" t="str">
        <f t="shared" si="2352"/>
        <v>20/11/2025</v>
      </c>
      <c r="J12216" t="str">
        <f t="shared" si="2354"/>
        <v>17/11/2025</v>
      </c>
      <c r="K12216">
        <v>45982</v>
      </c>
      <c r="N12216">
        <v>109</v>
      </c>
      <c r="O12216" t="s">
        <v>24</v>
      </c>
      <c r="Q12216">
        <v>220.87</v>
      </c>
      <c r="R12216" t="str">
        <f>"PENSE FARMA 20 (10203)"</f>
        <v>PENSE FARMA 20 (10203)</v>
      </c>
      <c r="S12216" t="s">
        <v>77</v>
      </c>
      <c r="T12216">
        <v>21507</v>
      </c>
      <c r="U12216">
        <v>25585</v>
      </c>
      <c r="V12216" t="s">
        <v>77</v>
      </c>
    </row>
    <row r="12217" spans="1:22">
      <c r="A12217" t="str">
        <f t="shared" si="2348"/>
        <v>21/11/2025</v>
      </c>
      <c r="B12217" t="str">
        <f t="shared" si="2345"/>
        <v>SAÍDA</v>
      </c>
      <c r="C12217" t="str">
        <f t="shared" si="2351"/>
        <v>PIX</v>
      </c>
      <c r="D12217" t="str">
        <f t="shared" si="2355"/>
        <v>25585</v>
      </c>
      <c r="E12217" t="str">
        <f t="shared" si="2353"/>
        <v>1</v>
      </c>
      <c r="F12217" t="str">
        <f t="shared" si="2343"/>
        <v>COM</v>
      </c>
      <c r="G12217" t="str">
        <f t="shared" si="2356"/>
        <v>FELIPE ALEXANDRE CAMA (976)</v>
      </c>
      <c r="H12217" t="s">
        <v>3305</v>
      </c>
      <c r="I12217" t="str">
        <f t="shared" si="2352"/>
        <v>20/11/2025</v>
      </c>
      <c r="J12217" t="str">
        <f t="shared" si="2354"/>
        <v>17/11/2025</v>
      </c>
      <c r="K12217">
        <v>45982</v>
      </c>
      <c r="N12217">
        <v>109</v>
      </c>
      <c r="O12217" t="s">
        <v>24</v>
      </c>
      <c r="Q12217">
        <v>220.88</v>
      </c>
      <c r="R12217" t="str">
        <f>"PENSE FARMA 36 (10206)"</f>
        <v>PENSE FARMA 36 (10206)</v>
      </c>
      <c r="S12217" t="s">
        <v>77</v>
      </c>
      <c r="T12217">
        <v>21507</v>
      </c>
      <c r="U12217">
        <v>25585</v>
      </c>
      <c r="V12217" t="s">
        <v>77</v>
      </c>
    </row>
    <row r="12218" spans="1:22">
      <c r="A12218" t="str">
        <f t="shared" si="2348"/>
        <v>21/11/2025</v>
      </c>
      <c r="B12218" t="str">
        <f t="shared" si="2345"/>
        <v>SAÍDA</v>
      </c>
      <c r="C12218" t="str">
        <f t="shared" si="2351"/>
        <v>PIX</v>
      </c>
      <c r="D12218" t="str">
        <f t="shared" si="2355"/>
        <v>25585</v>
      </c>
      <c r="E12218" t="str">
        <f t="shared" si="2353"/>
        <v>1</v>
      </c>
      <c r="F12218" t="str">
        <f t="shared" ref="F12218:F12281" si="2357">"COM"</f>
        <v>COM</v>
      </c>
      <c r="G12218" t="str">
        <f t="shared" si="2356"/>
        <v>FELIPE ALEXANDRE CAMA (976)</v>
      </c>
      <c r="H12218" t="s">
        <v>3305</v>
      </c>
      <c r="I12218" t="str">
        <f t="shared" si="2352"/>
        <v>20/11/2025</v>
      </c>
      <c r="J12218" t="str">
        <f t="shared" si="2354"/>
        <v>17/11/2025</v>
      </c>
      <c r="K12218">
        <v>45982</v>
      </c>
      <c r="N12218">
        <v>109</v>
      </c>
      <c r="O12218" t="s">
        <v>24</v>
      </c>
      <c r="Q12218">
        <v>220.88</v>
      </c>
      <c r="R12218" t="str">
        <f>"PENSE FARMA 40 (10207)"</f>
        <v>PENSE FARMA 40 (10207)</v>
      </c>
      <c r="S12218" t="s">
        <v>77</v>
      </c>
      <c r="T12218">
        <v>21507</v>
      </c>
      <c r="U12218">
        <v>25585</v>
      </c>
      <c r="V12218" t="s">
        <v>77</v>
      </c>
    </row>
    <row r="12219" spans="1:22">
      <c r="A12219" t="str">
        <f t="shared" si="2348"/>
        <v>21/11/2025</v>
      </c>
      <c r="B12219" t="str">
        <f t="shared" si="2345"/>
        <v>SAÍDA</v>
      </c>
      <c r="C12219" t="str">
        <f t="shared" si="2351"/>
        <v>PIX</v>
      </c>
      <c r="D12219" t="str">
        <f t="shared" si="2355"/>
        <v>25585</v>
      </c>
      <c r="E12219" t="str">
        <f t="shared" si="2353"/>
        <v>1</v>
      </c>
      <c r="F12219" t="str">
        <f t="shared" si="2357"/>
        <v>COM</v>
      </c>
      <c r="G12219" t="str">
        <f t="shared" si="2356"/>
        <v>FELIPE ALEXANDRE CAMA (976)</v>
      </c>
      <c r="H12219" t="s">
        <v>3305</v>
      </c>
      <c r="I12219" t="str">
        <f t="shared" si="2352"/>
        <v>20/11/2025</v>
      </c>
      <c r="J12219" t="str">
        <f t="shared" si="2354"/>
        <v>17/11/2025</v>
      </c>
      <c r="K12219">
        <v>45982</v>
      </c>
      <c r="N12219">
        <v>109</v>
      </c>
      <c r="O12219" t="s">
        <v>24</v>
      </c>
      <c r="Q12219">
        <v>220.88</v>
      </c>
      <c r="R12219" t="str">
        <f>"PENSE FARMA 43 (10208)"</f>
        <v>PENSE FARMA 43 (10208)</v>
      </c>
      <c r="S12219" t="s">
        <v>77</v>
      </c>
      <c r="T12219">
        <v>21507</v>
      </c>
      <c r="U12219">
        <v>25585</v>
      </c>
      <c r="V12219" t="s">
        <v>77</v>
      </c>
    </row>
    <row r="12220" spans="1:22">
      <c r="A12220" t="str">
        <f t="shared" si="2348"/>
        <v>21/11/2025</v>
      </c>
      <c r="B12220" t="str">
        <f t="shared" si="2345"/>
        <v>SAÍDA</v>
      </c>
      <c r="C12220" t="str">
        <f t="shared" si="2351"/>
        <v>PIX</v>
      </c>
      <c r="D12220" t="str">
        <f t="shared" si="2355"/>
        <v>25585</v>
      </c>
      <c r="E12220" t="str">
        <f t="shared" si="2353"/>
        <v>1</v>
      </c>
      <c r="F12220" t="str">
        <f t="shared" si="2357"/>
        <v>COM</v>
      </c>
      <c r="G12220" t="str">
        <f t="shared" si="2356"/>
        <v>FELIPE ALEXANDRE CAMA (976)</v>
      </c>
      <c r="H12220" t="s">
        <v>3305</v>
      </c>
      <c r="I12220" t="str">
        <f t="shared" si="2352"/>
        <v>20/11/2025</v>
      </c>
      <c r="J12220" t="str">
        <f t="shared" ref="J12220:J12247" si="2358">("17/11/2025")</f>
        <v>17/11/2025</v>
      </c>
      <c r="K12220">
        <v>45982</v>
      </c>
      <c r="N12220">
        <v>109</v>
      </c>
      <c r="O12220" t="s">
        <v>24</v>
      </c>
      <c r="Q12220">
        <v>220.88</v>
      </c>
      <c r="R12220" t="str">
        <f>"PENSE FARMA 59 (10211)"</f>
        <v>PENSE FARMA 59 (10211)</v>
      </c>
      <c r="S12220" t="s">
        <v>77</v>
      </c>
      <c r="T12220">
        <v>21507</v>
      </c>
      <c r="U12220">
        <v>25585</v>
      </c>
      <c r="V12220" t="s">
        <v>77</v>
      </c>
    </row>
    <row r="12221" spans="1:22">
      <c r="A12221" t="str">
        <f t="shared" si="2348"/>
        <v>21/11/2025</v>
      </c>
      <c r="B12221" t="str">
        <f t="shared" si="2345"/>
        <v>SAÍDA</v>
      </c>
      <c r="C12221" t="str">
        <f t="shared" si="2351"/>
        <v>PIX</v>
      </c>
      <c r="D12221" t="str">
        <f t="shared" si="2355"/>
        <v>25585</v>
      </c>
      <c r="E12221" t="str">
        <f t="shared" si="2353"/>
        <v>1</v>
      </c>
      <c r="F12221" t="str">
        <f t="shared" si="2357"/>
        <v>COM</v>
      </c>
      <c r="G12221" t="str">
        <f t="shared" si="2356"/>
        <v>FELIPE ALEXANDRE CAMA (976)</v>
      </c>
      <c r="H12221" t="s">
        <v>3305</v>
      </c>
      <c r="I12221" t="str">
        <f t="shared" si="2352"/>
        <v>20/11/2025</v>
      </c>
      <c r="J12221" t="str">
        <f t="shared" si="2358"/>
        <v>17/11/2025</v>
      </c>
      <c r="K12221">
        <v>45982</v>
      </c>
      <c r="N12221">
        <v>109</v>
      </c>
      <c r="O12221" t="s">
        <v>24</v>
      </c>
      <c r="Q12221">
        <v>220.61</v>
      </c>
      <c r="R12221" t="str">
        <f>"PENSE FARMA DARK STORE 361 (10212)"</f>
        <v>PENSE FARMA DARK STORE 361 (10212)</v>
      </c>
      <c r="S12221" t="s">
        <v>77</v>
      </c>
      <c r="T12221">
        <v>21507</v>
      </c>
      <c r="U12221">
        <v>25585</v>
      </c>
      <c r="V12221" t="s">
        <v>77</v>
      </c>
    </row>
    <row r="12222" spans="1:22">
      <c r="A12222" t="str">
        <f t="shared" si="2348"/>
        <v>21/11/2025</v>
      </c>
      <c r="B12222" t="str">
        <f t="shared" si="2345"/>
        <v>SAÍDA</v>
      </c>
      <c r="C12222" t="str">
        <f t="shared" si="2351"/>
        <v>PIX</v>
      </c>
      <c r="D12222" t="str">
        <f t="shared" ref="D12222:D12228" si="2359">"25586"</f>
        <v>25586</v>
      </c>
      <c r="E12222" t="str">
        <f t="shared" si="2353"/>
        <v>1</v>
      </c>
      <c r="F12222" t="str">
        <f t="shared" si="2357"/>
        <v>COM</v>
      </c>
      <c r="G12222" t="str">
        <f t="shared" ref="G12222:G12228" si="2360">"JULIO GUIMARAES DOS SANTOS (977)"</f>
        <v>JULIO GUIMARAES DOS SANTOS (977)</v>
      </c>
      <c r="H12222" t="str">
        <f>"Serv.Prest. 10/11/2025 a 16/11/2025 - PIX: CELULAR - CHAVE: (11) 94195-2534"</f>
        <v>Serv.Prest. 10/11/2025 a 16/11/2025 - PIX: CELULAR - CHAVE: (11) 94195-2534</v>
      </c>
      <c r="I12222" t="str">
        <f t="shared" si="2352"/>
        <v>20/11/2025</v>
      </c>
      <c r="J12222" t="str">
        <f t="shared" si="2358"/>
        <v>17/11/2025</v>
      </c>
      <c r="K12222" t="str">
        <f>("21/11/2025")</f>
        <v>21/11/2025</v>
      </c>
      <c r="L12222">
        <v>1325</v>
      </c>
      <c r="M12222">
        <v>1325</v>
      </c>
      <c r="N12222">
        <v>109</v>
      </c>
      <c r="O12222" t="str">
        <f>"PAGAMENTO DE ENTREGADORES"</f>
        <v>PAGAMENTO DE ENTREGADORES</v>
      </c>
      <c r="P12222">
        <v>1325</v>
      </c>
      <c r="S12222" t="str">
        <f>"BANCO C6 (149)"</f>
        <v>BANCO C6 (149)</v>
      </c>
      <c r="T12222">
        <v>21508</v>
      </c>
      <c r="U12222">
        <v>25586</v>
      </c>
      <c r="V12222" t="s">
        <v>77</v>
      </c>
    </row>
    <row r="12223" spans="1:22">
      <c r="A12223" t="str">
        <f t="shared" si="2348"/>
        <v>21/11/2025</v>
      </c>
      <c r="B12223" t="str">
        <f t="shared" si="2345"/>
        <v>SAÍDA</v>
      </c>
      <c r="C12223" t="str">
        <f t="shared" si="2351"/>
        <v>PIX</v>
      </c>
      <c r="D12223" t="str">
        <f t="shared" si="2359"/>
        <v>25586</v>
      </c>
      <c r="E12223" t="str">
        <f t="shared" si="2353"/>
        <v>1</v>
      </c>
      <c r="F12223" t="str">
        <f t="shared" si="2357"/>
        <v>COM</v>
      </c>
      <c r="G12223" t="str">
        <f t="shared" si="2360"/>
        <v>JULIO GUIMARAES DOS SANTOS (977)</v>
      </c>
      <c r="H12223" t="s">
        <v>3306</v>
      </c>
      <c r="I12223" t="str">
        <f t="shared" si="2352"/>
        <v>20/11/2025</v>
      </c>
      <c r="J12223" t="str">
        <f t="shared" si="2358"/>
        <v>17/11/2025</v>
      </c>
      <c r="K12223">
        <v>45982</v>
      </c>
      <c r="N12223">
        <v>109</v>
      </c>
      <c r="O12223" t="s">
        <v>24</v>
      </c>
      <c r="Q12223">
        <v>220.87</v>
      </c>
      <c r="R12223" t="str">
        <f>"PENSE FARMA 20 (10203)"</f>
        <v>PENSE FARMA 20 (10203)</v>
      </c>
      <c r="S12223" t="s">
        <v>77</v>
      </c>
      <c r="T12223">
        <v>21508</v>
      </c>
      <c r="U12223">
        <v>25586</v>
      </c>
      <c r="V12223" t="s">
        <v>77</v>
      </c>
    </row>
    <row r="12224" spans="1:22">
      <c r="A12224" t="str">
        <f t="shared" si="2348"/>
        <v>21/11/2025</v>
      </c>
      <c r="B12224" t="str">
        <f t="shared" si="2345"/>
        <v>SAÍDA</v>
      </c>
      <c r="C12224" t="str">
        <f t="shared" si="2351"/>
        <v>PIX</v>
      </c>
      <c r="D12224" t="str">
        <f t="shared" si="2359"/>
        <v>25586</v>
      </c>
      <c r="E12224" t="str">
        <f t="shared" si="2353"/>
        <v>1</v>
      </c>
      <c r="F12224" t="str">
        <f t="shared" si="2357"/>
        <v>COM</v>
      </c>
      <c r="G12224" t="str">
        <f t="shared" si="2360"/>
        <v>JULIO GUIMARAES DOS SANTOS (977)</v>
      </c>
      <c r="H12224" t="s">
        <v>3306</v>
      </c>
      <c r="I12224" t="str">
        <f t="shared" si="2352"/>
        <v>20/11/2025</v>
      </c>
      <c r="J12224" t="str">
        <f t="shared" si="2358"/>
        <v>17/11/2025</v>
      </c>
      <c r="K12224">
        <v>45982</v>
      </c>
      <c r="N12224">
        <v>109</v>
      </c>
      <c r="O12224" t="s">
        <v>24</v>
      </c>
      <c r="Q12224">
        <v>220.88</v>
      </c>
      <c r="R12224" t="str">
        <f>"PENSE FARMA 36 (10206)"</f>
        <v>PENSE FARMA 36 (10206)</v>
      </c>
      <c r="S12224" t="s">
        <v>77</v>
      </c>
      <c r="T12224">
        <v>21508</v>
      </c>
      <c r="U12224">
        <v>25586</v>
      </c>
      <c r="V12224" t="s">
        <v>77</v>
      </c>
    </row>
    <row r="12225" spans="1:22">
      <c r="A12225" t="str">
        <f t="shared" si="2348"/>
        <v>21/11/2025</v>
      </c>
      <c r="B12225" t="str">
        <f t="shared" si="2345"/>
        <v>SAÍDA</v>
      </c>
      <c r="C12225" t="str">
        <f t="shared" si="2351"/>
        <v>PIX</v>
      </c>
      <c r="D12225" t="str">
        <f t="shared" si="2359"/>
        <v>25586</v>
      </c>
      <c r="E12225" t="str">
        <f t="shared" si="2353"/>
        <v>1</v>
      </c>
      <c r="F12225" t="str">
        <f t="shared" si="2357"/>
        <v>COM</v>
      </c>
      <c r="G12225" t="str">
        <f t="shared" si="2360"/>
        <v>JULIO GUIMARAES DOS SANTOS (977)</v>
      </c>
      <c r="H12225" t="s">
        <v>3306</v>
      </c>
      <c r="I12225" t="str">
        <f t="shared" si="2352"/>
        <v>20/11/2025</v>
      </c>
      <c r="J12225" t="str">
        <f t="shared" si="2358"/>
        <v>17/11/2025</v>
      </c>
      <c r="K12225">
        <v>45982</v>
      </c>
      <c r="N12225">
        <v>109</v>
      </c>
      <c r="O12225" t="s">
        <v>24</v>
      </c>
      <c r="Q12225">
        <v>220.88</v>
      </c>
      <c r="R12225" t="str">
        <f>"PENSE FARMA 40 (10207)"</f>
        <v>PENSE FARMA 40 (10207)</v>
      </c>
      <c r="S12225" t="s">
        <v>77</v>
      </c>
      <c r="T12225">
        <v>21508</v>
      </c>
      <c r="U12225">
        <v>25586</v>
      </c>
      <c r="V12225" t="s">
        <v>77</v>
      </c>
    </row>
    <row r="12226" spans="1:22">
      <c r="A12226" t="str">
        <f t="shared" si="2348"/>
        <v>21/11/2025</v>
      </c>
      <c r="B12226" t="str">
        <f t="shared" si="2345"/>
        <v>SAÍDA</v>
      </c>
      <c r="C12226" t="str">
        <f t="shared" si="2351"/>
        <v>PIX</v>
      </c>
      <c r="D12226" t="str">
        <f t="shared" si="2359"/>
        <v>25586</v>
      </c>
      <c r="E12226" t="str">
        <f t="shared" si="2353"/>
        <v>1</v>
      </c>
      <c r="F12226" t="str">
        <f t="shared" si="2357"/>
        <v>COM</v>
      </c>
      <c r="G12226" t="str">
        <f t="shared" si="2360"/>
        <v>JULIO GUIMARAES DOS SANTOS (977)</v>
      </c>
      <c r="H12226" t="s">
        <v>3306</v>
      </c>
      <c r="I12226" t="str">
        <f t="shared" si="2352"/>
        <v>20/11/2025</v>
      </c>
      <c r="J12226" t="str">
        <f t="shared" si="2358"/>
        <v>17/11/2025</v>
      </c>
      <c r="K12226">
        <v>45982</v>
      </c>
      <c r="N12226">
        <v>109</v>
      </c>
      <c r="O12226" t="s">
        <v>24</v>
      </c>
      <c r="Q12226">
        <v>220.88</v>
      </c>
      <c r="R12226" t="str">
        <f>"PENSE FARMA 43 (10208)"</f>
        <v>PENSE FARMA 43 (10208)</v>
      </c>
      <c r="S12226" t="s">
        <v>77</v>
      </c>
      <c r="T12226">
        <v>21508</v>
      </c>
      <c r="U12226">
        <v>25586</v>
      </c>
      <c r="V12226" t="s">
        <v>77</v>
      </c>
    </row>
    <row r="12227" spans="1:22">
      <c r="A12227" t="str">
        <f t="shared" si="2348"/>
        <v>21/11/2025</v>
      </c>
      <c r="B12227" t="str">
        <f t="shared" si="2345"/>
        <v>SAÍDA</v>
      </c>
      <c r="C12227" t="str">
        <f t="shared" si="2351"/>
        <v>PIX</v>
      </c>
      <c r="D12227" t="str">
        <f t="shared" si="2359"/>
        <v>25586</v>
      </c>
      <c r="E12227" t="str">
        <f t="shared" si="2353"/>
        <v>1</v>
      </c>
      <c r="F12227" t="str">
        <f t="shared" si="2357"/>
        <v>COM</v>
      </c>
      <c r="G12227" t="str">
        <f t="shared" si="2360"/>
        <v>JULIO GUIMARAES DOS SANTOS (977)</v>
      </c>
      <c r="H12227" t="s">
        <v>3306</v>
      </c>
      <c r="I12227" t="str">
        <f t="shared" si="2352"/>
        <v>20/11/2025</v>
      </c>
      <c r="J12227" t="str">
        <f t="shared" si="2358"/>
        <v>17/11/2025</v>
      </c>
      <c r="K12227">
        <v>45982</v>
      </c>
      <c r="N12227">
        <v>109</v>
      </c>
      <c r="O12227" t="s">
        <v>24</v>
      </c>
      <c r="Q12227">
        <v>220.88</v>
      </c>
      <c r="R12227" t="str">
        <f>"PENSE FARMA 59 (10211)"</f>
        <v>PENSE FARMA 59 (10211)</v>
      </c>
      <c r="S12227" t="s">
        <v>77</v>
      </c>
      <c r="T12227">
        <v>21508</v>
      </c>
      <c r="U12227">
        <v>25586</v>
      </c>
      <c r="V12227" t="s">
        <v>77</v>
      </c>
    </row>
    <row r="12228" spans="1:22">
      <c r="A12228" t="str">
        <f t="shared" si="2348"/>
        <v>21/11/2025</v>
      </c>
      <c r="B12228" t="str">
        <f t="shared" si="2345"/>
        <v>SAÍDA</v>
      </c>
      <c r="C12228" t="str">
        <f t="shared" si="2351"/>
        <v>PIX</v>
      </c>
      <c r="D12228" t="str">
        <f t="shared" si="2359"/>
        <v>25586</v>
      </c>
      <c r="E12228" t="str">
        <f t="shared" si="2353"/>
        <v>1</v>
      </c>
      <c r="F12228" t="str">
        <f t="shared" si="2357"/>
        <v>COM</v>
      </c>
      <c r="G12228" t="str">
        <f t="shared" si="2360"/>
        <v>JULIO GUIMARAES DOS SANTOS (977)</v>
      </c>
      <c r="H12228" t="s">
        <v>3306</v>
      </c>
      <c r="I12228" t="str">
        <f t="shared" si="2352"/>
        <v>20/11/2025</v>
      </c>
      <c r="J12228" t="str">
        <f t="shared" si="2358"/>
        <v>17/11/2025</v>
      </c>
      <c r="K12228">
        <v>45982</v>
      </c>
      <c r="N12228">
        <v>109</v>
      </c>
      <c r="O12228" t="s">
        <v>24</v>
      </c>
      <c r="Q12228">
        <v>220.61</v>
      </c>
      <c r="R12228" t="str">
        <f>"PENSE FARMA DARK STORE 361 (10212)"</f>
        <v>PENSE FARMA DARK STORE 361 (10212)</v>
      </c>
      <c r="S12228" t="s">
        <v>77</v>
      </c>
      <c r="T12228">
        <v>21508</v>
      </c>
      <c r="U12228">
        <v>25586</v>
      </c>
      <c r="V12228" t="s">
        <v>77</v>
      </c>
    </row>
    <row r="12229" spans="1:22">
      <c r="A12229" t="str">
        <f t="shared" si="2348"/>
        <v>21/11/2025</v>
      </c>
      <c r="B12229" t="str">
        <f t="shared" ref="B12229:B12292" si="2361">"SAÍDA"</f>
        <v>SAÍDA</v>
      </c>
      <c r="C12229" t="str">
        <f t="shared" si="2351"/>
        <v>PIX</v>
      </c>
      <c r="D12229" t="str">
        <f t="shared" ref="D12229:D12235" si="2362">"25587"</f>
        <v>25587</v>
      </c>
      <c r="E12229" t="str">
        <f t="shared" si="2353"/>
        <v>1</v>
      </c>
      <c r="F12229" t="str">
        <f t="shared" si="2357"/>
        <v>COM</v>
      </c>
      <c r="G12229" t="str">
        <f t="shared" ref="G12229:G12235" si="2363">"RAFAEL PEDROSO DE CAMARA (975)"</f>
        <v>RAFAEL PEDROSO DE CAMARA (975)</v>
      </c>
      <c r="H12229" t="str">
        <f>"Serv.Prest. 10/11/2025 a 16/11/2025 - PIX: CELULAR - CHAVE: (11) 99270-3082"</f>
        <v>Serv.Prest. 10/11/2025 a 16/11/2025 - PIX: CELULAR - CHAVE: (11) 99270-3082</v>
      </c>
      <c r="I12229" t="str">
        <f t="shared" si="2352"/>
        <v>20/11/2025</v>
      </c>
      <c r="J12229" t="str">
        <f t="shared" si="2358"/>
        <v>17/11/2025</v>
      </c>
      <c r="K12229" t="str">
        <f>("21/11/2025")</f>
        <v>21/11/2025</v>
      </c>
      <c r="L12229">
        <v>1375</v>
      </c>
      <c r="M12229">
        <v>1375</v>
      </c>
      <c r="N12229">
        <v>109</v>
      </c>
      <c r="O12229" t="str">
        <f>"PAGAMENTO DE ENTREGADORES"</f>
        <v>PAGAMENTO DE ENTREGADORES</v>
      </c>
      <c r="P12229">
        <v>1375</v>
      </c>
      <c r="S12229" t="str">
        <f>"BANCO C6 (149)"</f>
        <v>BANCO C6 (149)</v>
      </c>
      <c r="T12229">
        <v>21509</v>
      </c>
      <c r="U12229">
        <v>25587</v>
      </c>
      <c r="V12229" t="s">
        <v>77</v>
      </c>
    </row>
    <row r="12230" spans="1:22">
      <c r="A12230" t="str">
        <f t="shared" si="2348"/>
        <v>21/11/2025</v>
      </c>
      <c r="B12230" t="str">
        <f t="shared" si="2361"/>
        <v>SAÍDA</v>
      </c>
      <c r="C12230" t="str">
        <f t="shared" si="2351"/>
        <v>PIX</v>
      </c>
      <c r="D12230" t="str">
        <f t="shared" si="2362"/>
        <v>25587</v>
      </c>
      <c r="E12230" t="str">
        <f t="shared" si="2353"/>
        <v>1</v>
      </c>
      <c r="F12230" t="str">
        <f t="shared" si="2357"/>
        <v>COM</v>
      </c>
      <c r="G12230" t="str">
        <f t="shared" si="2363"/>
        <v>RAFAEL PEDROSO DE CAMARA (975)</v>
      </c>
      <c r="H12230" t="s">
        <v>3307</v>
      </c>
      <c r="I12230" t="str">
        <f t="shared" si="2352"/>
        <v>20/11/2025</v>
      </c>
      <c r="J12230" t="str">
        <f t="shared" si="2358"/>
        <v>17/11/2025</v>
      </c>
      <c r="K12230">
        <v>45982</v>
      </c>
      <c r="N12230">
        <v>109</v>
      </c>
      <c r="O12230" t="s">
        <v>24</v>
      </c>
      <c r="Q12230">
        <v>229.22</v>
      </c>
      <c r="R12230" t="str">
        <f>"PENSE FARMA 20 (10203)"</f>
        <v>PENSE FARMA 20 (10203)</v>
      </c>
      <c r="S12230" t="s">
        <v>77</v>
      </c>
      <c r="T12230">
        <v>21509</v>
      </c>
      <c r="U12230">
        <v>25587</v>
      </c>
      <c r="V12230" t="s">
        <v>77</v>
      </c>
    </row>
    <row r="12231" spans="1:22">
      <c r="A12231" t="str">
        <f t="shared" si="2348"/>
        <v>21/11/2025</v>
      </c>
      <c r="B12231" t="str">
        <f t="shared" si="2361"/>
        <v>SAÍDA</v>
      </c>
      <c r="C12231" t="str">
        <f t="shared" si="2351"/>
        <v>PIX</v>
      </c>
      <c r="D12231" t="str">
        <f t="shared" si="2362"/>
        <v>25587</v>
      </c>
      <c r="E12231" t="str">
        <f t="shared" si="2353"/>
        <v>1</v>
      </c>
      <c r="F12231" t="str">
        <f t="shared" si="2357"/>
        <v>COM</v>
      </c>
      <c r="G12231" t="str">
        <f t="shared" si="2363"/>
        <v>RAFAEL PEDROSO DE CAMARA (975)</v>
      </c>
      <c r="H12231" t="s">
        <v>3307</v>
      </c>
      <c r="I12231" t="str">
        <f t="shared" si="2352"/>
        <v>20/11/2025</v>
      </c>
      <c r="J12231" t="str">
        <f t="shared" si="2358"/>
        <v>17/11/2025</v>
      </c>
      <c r="K12231">
        <v>45982</v>
      </c>
      <c r="N12231">
        <v>109</v>
      </c>
      <c r="O12231" t="s">
        <v>24</v>
      </c>
      <c r="Q12231">
        <v>229.21</v>
      </c>
      <c r="R12231" t="str">
        <f>"PENSE FARMA 36 (10206)"</f>
        <v>PENSE FARMA 36 (10206)</v>
      </c>
      <c r="S12231" t="s">
        <v>77</v>
      </c>
      <c r="T12231">
        <v>21509</v>
      </c>
      <c r="U12231">
        <v>25587</v>
      </c>
      <c r="V12231" t="s">
        <v>77</v>
      </c>
    </row>
    <row r="12232" spans="1:22">
      <c r="A12232" t="str">
        <f t="shared" si="2348"/>
        <v>21/11/2025</v>
      </c>
      <c r="B12232" t="str">
        <f t="shared" si="2361"/>
        <v>SAÍDA</v>
      </c>
      <c r="C12232" t="str">
        <f t="shared" si="2351"/>
        <v>PIX</v>
      </c>
      <c r="D12232" t="str">
        <f t="shared" si="2362"/>
        <v>25587</v>
      </c>
      <c r="E12232" t="str">
        <f t="shared" si="2353"/>
        <v>1</v>
      </c>
      <c r="F12232" t="str">
        <f t="shared" si="2357"/>
        <v>COM</v>
      </c>
      <c r="G12232" t="str">
        <f t="shared" si="2363"/>
        <v>RAFAEL PEDROSO DE CAMARA (975)</v>
      </c>
      <c r="H12232" t="s">
        <v>3307</v>
      </c>
      <c r="I12232" t="str">
        <f t="shared" si="2352"/>
        <v>20/11/2025</v>
      </c>
      <c r="J12232" t="str">
        <f t="shared" si="2358"/>
        <v>17/11/2025</v>
      </c>
      <c r="K12232">
        <v>45982</v>
      </c>
      <c r="N12232">
        <v>109</v>
      </c>
      <c r="O12232" t="s">
        <v>24</v>
      </c>
      <c r="Q12232">
        <v>229.21</v>
      </c>
      <c r="R12232" t="str">
        <f>"PENSE FARMA 40 (10207)"</f>
        <v>PENSE FARMA 40 (10207)</v>
      </c>
      <c r="S12232" t="s">
        <v>77</v>
      </c>
      <c r="T12232">
        <v>21509</v>
      </c>
      <c r="U12232">
        <v>25587</v>
      </c>
      <c r="V12232" t="s">
        <v>77</v>
      </c>
    </row>
    <row r="12233" spans="1:22">
      <c r="A12233" t="str">
        <f t="shared" si="2348"/>
        <v>21/11/2025</v>
      </c>
      <c r="B12233" t="str">
        <f t="shared" si="2361"/>
        <v>SAÍDA</v>
      </c>
      <c r="C12233" t="str">
        <f t="shared" si="2351"/>
        <v>PIX</v>
      </c>
      <c r="D12233" t="str">
        <f t="shared" si="2362"/>
        <v>25587</v>
      </c>
      <c r="E12233" t="str">
        <f t="shared" si="2353"/>
        <v>1</v>
      </c>
      <c r="F12233" t="str">
        <f t="shared" si="2357"/>
        <v>COM</v>
      </c>
      <c r="G12233" t="str">
        <f t="shared" si="2363"/>
        <v>RAFAEL PEDROSO DE CAMARA (975)</v>
      </c>
      <c r="H12233" t="s">
        <v>3307</v>
      </c>
      <c r="I12233" t="str">
        <f t="shared" si="2352"/>
        <v>20/11/2025</v>
      </c>
      <c r="J12233" t="str">
        <f t="shared" si="2358"/>
        <v>17/11/2025</v>
      </c>
      <c r="K12233">
        <v>45982</v>
      </c>
      <c r="N12233">
        <v>109</v>
      </c>
      <c r="O12233" t="s">
        <v>24</v>
      </c>
      <c r="Q12233">
        <v>229.21</v>
      </c>
      <c r="R12233" t="str">
        <f>"PENSE FARMA 43 (10208)"</f>
        <v>PENSE FARMA 43 (10208)</v>
      </c>
      <c r="S12233" t="s">
        <v>77</v>
      </c>
      <c r="T12233">
        <v>21509</v>
      </c>
      <c r="U12233">
        <v>25587</v>
      </c>
      <c r="V12233" t="s">
        <v>77</v>
      </c>
    </row>
    <row r="12234" spans="1:22">
      <c r="A12234" t="str">
        <f t="shared" si="2348"/>
        <v>21/11/2025</v>
      </c>
      <c r="B12234" t="str">
        <f t="shared" si="2361"/>
        <v>SAÍDA</v>
      </c>
      <c r="C12234" t="str">
        <f t="shared" si="2351"/>
        <v>PIX</v>
      </c>
      <c r="D12234" t="str">
        <f t="shared" si="2362"/>
        <v>25587</v>
      </c>
      <c r="E12234" t="str">
        <f t="shared" si="2353"/>
        <v>1</v>
      </c>
      <c r="F12234" t="str">
        <f t="shared" si="2357"/>
        <v>COM</v>
      </c>
      <c r="G12234" t="str">
        <f t="shared" si="2363"/>
        <v>RAFAEL PEDROSO DE CAMARA (975)</v>
      </c>
      <c r="H12234" t="s">
        <v>3307</v>
      </c>
      <c r="I12234" t="str">
        <f t="shared" si="2352"/>
        <v>20/11/2025</v>
      </c>
      <c r="J12234" t="str">
        <f t="shared" si="2358"/>
        <v>17/11/2025</v>
      </c>
      <c r="K12234">
        <v>45982</v>
      </c>
      <c r="N12234">
        <v>109</v>
      </c>
      <c r="O12234" t="s">
        <v>24</v>
      </c>
      <c r="Q12234">
        <v>229.21</v>
      </c>
      <c r="R12234" t="str">
        <f>"PENSE FARMA 59 (10211)"</f>
        <v>PENSE FARMA 59 (10211)</v>
      </c>
      <c r="S12234" t="s">
        <v>77</v>
      </c>
      <c r="T12234">
        <v>21509</v>
      </c>
      <c r="U12234">
        <v>25587</v>
      </c>
      <c r="V12234" t="s">
        <v>77</v>
      </c>
    </row>
    <row r="12235" spans="1:22">
      <c r="A12235" t="str">
        <f t="shared" si="2348"/>
        <v>21/11/2025</v>
      </c>
      <c r="B12235" t="str">
        <f t="shared" si="2361"/>
        <v>SAÍDA</v>
      </c>
      <c r="C12235" t="str">
        <f t="shared" si="2351"/>
        <v>PIX</v>
      </c>
      <c r="D12235" t="str">
        <f t="shared" si="2362"/>
        <v>25587</v>
      </c>
      <c r="E12235" t="str">
        <f t="shared" si="2353"/>
        <v>1</v>
      </c>
      <c r="F12235" t="str">
        <f t="shared" si="2357"/>
        <v>COM</v>
      </c>
      <c r="G12235" t="str">
        <f t="shared" si="2363"/>
        <v>RAFAEL PEDROSO DE CAMARA (975)</v>
      </c>
      <c r="H12235" t="s">
        <v>3307</v>
      </c>
      <c r="I12235" t="str">
        <f t="shared" si="2352"/>
        <v>20/11/2025</v>
      </c>
      <c r="J12235" t="str">
        <f t="shared" si="2358"/>
        <v>17/11/2025</v>
      </c>
      <c r="K12235">
        <v>45982</v>
      </c>
      <c r="N12235">
        <v>109</v>
      </c>
      <c r="O12235" t="s">
        <v>24</v>
      </c>
      <c r="Q12235">
        <v>228.94</v>
      </c>
      <c r="R12235" t="str">
        <f>"PENSE FARMA DARK STORE 361 (10212)"</f>
        <v>PENSE FARMA DARK STORE 361 (10212)</v>
      </c>
      <c r="S12235" t="s">
        <v>77</v>
      </c>
      <c r="T12235">
        <v>21509</v>
      </c>
      <c r="U12235">
        <v>25587</v>
      </c>
      <c r="V12235" t="s">
        <v>77</v>
      </c>
    </row>
    <row r="12236" spans="1:22">
      <c r="A12236" t="str">
        <f t="shared" si="2348"/>
        <v>21/11/2025</v>
      </c>
      <c r="B12236" t="str">
        <f t="shared" si="2361"/>
        <v>SAÍDA</v>
      </c>
      <c r="C12236" t="str">
        <f t="shared" si="2351"/>
        <v>PIX</v>
      </c>
      <c r="D12236" t="str">
        <f>"25590"</f>
        <v>25590</v>
      </c>
      <c r="E12236" t="str">
        <f t="shared" si="2353"/>
        <v>1</v>
      </c>
      <c r="F12236" t="str">
        <f t="shared" si="2357"/>
        <v>COM</v>
      </c>
      <c r="G12236" t="str">
        <f>"LUAN DOS REIS SILVA (954)"</f>
        <v>LUAN DOS REIS SILVA (954)</v>
      </c>
      <c r="H12236" t="str">
        <f>"Serv.Prest. 10/11/2025 a 16/11/2025 - PIX: CELULAR - CHAVE: (11) 95906-5439"</f>
        <v>Serv.Prest. 10/11/2025 a 16/11/2025 - PIX: CELULAR - CHAVE: (11) 95906-5439</v>
      </c>
      <c r="I12236" t="str">
        <f t="shared" si="2352"/>
        <v>20/11/2025</v>
      </c>
      <c r="J12236" t="str">
        <f t="shared" si="2358"/>
        <v>17/11/2025</v>
      </c>
      <c r="K12236" t="str">
        <f>("21/11/2025")</f>
        <v>21/11/2025</v>
      </c>
      <c r="L12236">
        <v>1250</v>
      </c>
      <c r="M12236">
        <v>1250</v>
      </c>
      <c r="N12236">
        <v>109</v>
      </c>
      <c r="O12236" t="str">
        <f>"PAGAMENTO DE ENTREGADORES"</f>
        <v>PAGAMENTO DE ENTREGADORES</v>
      </c>
      <c r="P12236">
        <v>1250</v>
      </c>
      <c r="S12236" t="str">
        <f>"BANCO C6 (149)"</f>
        <v>BANCO C6 (149)</v>
      </c>
      <c r="T12236">
        <v>21510</v>
      </c>
      <c r="U12236">
        <v>25590</v>
      </c>
      <c r="V12236" t="s">
        <v>77</v>
      </c>
    </row>
    <row r="12237" spans="1:22">
      <c r="A12237" t="str">
        <f t="shared" si="2348"/>
        <v>21/11/2025</v>
      </c>
      <c r="B12237" t="str">
        <f t="shared" si="2361"/>
        <v>SAÍDA</v>
      </c>
      <c r="C12237" t="str">
        <f t="shared" si="2351"/>
        <v>PIX</v>
      </c>
      <c r="D12237" t="str">
        <f>"25590"</f>
        <v>25590</v>
      </c>
      <c r="E12237" t="str">
        <f t="shared" si="2353"/>
        <v>1</v>
      </c>
      <c r="F12237" t="str">
        <f t="shared" si="2357"/>
        <v>COM</v>
      </c>
      <c r="G12237" t="str">
        <f>"LUAN DOS REIS SILVA (954)"</f>
        <v>LUAN DOS REIS SILVA (954)</v>
      </c>
      <c r="H12237" t="s">
        <v>3086</v>
      </c>
      <c r="I12237" t="str">
        <f t="shared" si="2352"/>
        <v>20/11/2025</v>
      </c>
      <c r="J12237" t="str">
        <f t="shared" si="2358"/>
        <v>17/11/2025</v>
      </c>
      <c r="K12237">
        <v>45982</v>
      </c>
      <c r="N12237">
        <v>109</v>
      </c>
      <c r="O12237" t="s">
        <v>24</v>
      </c>
      <c r="Q12237">
        <v>416.62</v>
      </c>
      <c r="R12237" t="str">
        <f>"PENSE FARMA 05 (10200)"</f>
        <v>PENSE FARMA 05 (10200)</v>
      </c>
      <c r="S12237" t="s">
        <v>77</v>
      </c>
      <c r="T12237">
        <v>21510</v>
      </c>
      <c r="U12237">
        <v>25590</v>
      </c>
      <c r="V12237" t="s">
        <v>77</v>
      </c>
    </row>
    <row r="12238" spans="1:22">
      <c r="A12238" t="str">
        <f t="shared" ref="A12238:A12301" si="2364">("21/11/2025")</f>
        <v>21/11/2025</v>
      </c>
      <c r="B12238" t="str">
        <f t="shared" si="2361"/>
        <v>SAÍDA</v>
      </c>
      <c r="C12238" t="str">
        <f t="shared" si="2351"/>
        <v>PIX</v>
      </c>
      <c r="D12238" t="str">
        <f>"25590"</f>
        <v>25590</v>
      </c>
      <c r="E12238" t="str">
        <f t="shared" si="2353"/>
        <v>1</v>
      </c>
      <c r="F12238" t="str">
        <f t="shared" si="2357"/>
        <v>COM</v>
      </c>
      <c r="G12238" t="str">
        <f>"LUAN DOS REIS SILVA (954)"</f>
        <v>LUAN DOS REIS SILVA (954)</v>
      </c>
      <c r="H12238" t="s">
        <v>3086</v>
      </c>
      <c r="I12238" t="str">
        <f t="shared" si="2352"/>
        <v>20/11/2025</v>
      </c>
      <c r="J12238" t="str">
        <f t="shared" si="2358"/>
        <v>17/11/2025</v>
      </c>
      <c r="K12238">
        <v>45982</v>
      </c>
      <c r="N12238">
        <v>109</v>
      </c>
      <c r="O12238" t="s">
        <v>24</v>
      </c>
      <c r="Q12238">
        <v>416.63</v>
      </c>
      <c r="R12238" t="str">
        <f>"PENSE FARMA 13 (10202)"</f>
        <v>PENSE FARMA 13 (10202)</v>
      </c>
      <c r="S12238" t="s">
        <v>77</v>
      </c>
      <c r="T12238">
        <v>21510</v>
      </c>
      <c r="U12238">
        <v>25590</v>
      </c>
      <c r="V12238" t="s">
        <v>77</v>
      </c>
    </row>
    <row r="12239" spans="1:22">
      <c r="A12239" t="str">
        <f t="shared" si="2364"/>
        <v>21/11/2025</v>
      </c>
      <c r="B12239" t="str">
        <f t="shared" si="2361"/>
        <v>SAÍDA</v>
      </c>
      <c r="C12239" t="str">
        <f t="shared" si="2351"/>
        <v>PIX</v>
      </c>
      <c r="D12239" t="str">
        <f>"25590"</f>
        <v>25590</v>
      </c>
      <c r="E12239" t="str">
        <f t="shared" si="2353"/>
        <v>1</v>
      </c>
      <c r="F12239" t="str">
        <f t="shared" si="2357"/>
        <v>COM</v>
      </c>
      <c r="G12239" t="str">
        <f>"LUAN DOS REIS SILVA (954)"</f>
        <v>LUAN DOS REIS SILVA (954)</v>
      </c>
      <c r="H12239" t="s">
        <v>3086</v>
      </c>
      <c r="I12239" t="str">
        <f t="shared" si="2352"/>
        <v>20/11/2025</v>
      </c>
      <c r="J12239" t="str">
        <f t="shared" si="2358"/>
        <v>17/11/2025</v>
      </c>
      <c r="K12239">
        <v>45982</v>
      </c>
      <c r="N12239">
        <v>109</v>
      </c>
      <c r="O12239" t="s">
        <v>24</v>
      </c>
      <c r="Q12239">
        <v>416.75</v>
      </c>
      <c r="R12239" t="str">
        <f>"PENSE FARMA 27 (10204)"</f>
        <v>PENSE FARMA 27 (10204)</v>
      </c>
      <c r="S12239" t="s">
        <v>77</v>
      </c>
      <c r="T12239">
        <v>21510</v>
      </c>
      <c r="U12239">
        <v>25590</v>
      </c>
      <c r="V12239" t="s">
        <v>77</v>
      </c>
    </row>
    <row r="12240" spans="1:22">
      <c r="A12240" t="str">
        <f t="shared" si="2364"/>
        <v>21/11/2025</v>
      </c>
      <c r="B12240" t="str">
        <f t="shared" si="2361"/>
        <v>SAÍDA</v>
      </c>
      <c r="C12240" t="str">
        <f t="shared" si="2351"/>
        <v>PIX</v>
      </c>
      <c r="D12240" t="str">
        <f>"25591"</f>
        <v>25591</v>
      </c>
      <c r="E12240" t="str">
        <f t="shared" si="2353"/>
        <v>1</v>
      </c>
      <c r="F12240" t="str">
        <f t="shared" si="2357"/>
        <v>COM</v>
      </c>
      <c r="G12240" t="str">
        <f>"MANOEL DE JESUS ALMEIDA (1017)"</f>
        <v>MANOEL DE JESUS ALMEIDA (1017)</v>
      </c>
      <c r="H12240" t="str">
        <f>"Serv.Prest. 10/11/2025 a 16/11/2025 - PIX: CPF - CHAVE: 026.422.254-70"</f>
        <v>Serv.Prest. 10/11/2025 a 16/11/2025 - PIX: CPF - CHAVE: 026.422.254-70</v>
      </c>
      <c r="I12240" t="str">
        <f t="shared" si="2352"/>
        <v>20/11/2025</v>
      </c>
      <c r="J12240" t="str">
        <f t="shared" si="2358"/>
        <v>17/11/2025</v>
      </c>
      <c r="K12240" t="str">
        <f>("21/11/2025")</f>
        <v>21/11/2025</v>
      </c>
      <c r="L12240">
        <v>1250</v>
      </c>
      <c r="M12240">
        <v>1250</v>
      </c>
      <c r="N12240">
        <v>109</v>
      </c>
      <c r="O12240" t="str">
        <f>"PAGAMENTO DE ENTREGADORES"</f>
        <v>PAGAMENTO DE ENTREGADORES</v>
      </c>
      <c r="P12240">
        <v>1250</v>
      </c>
      <c r="S12240" t="str">
        <f>"BANCO C6 (149)"</f>
        <v>BANCO C6 (149)</v>
      </c>
      <c r="T12240">
        <v>21511</v>
      </c>
      <c r="U12240">
        <v>25591</v>
      </c>
      <c r="V12240" t="s">
        <v>77</v>
      </c>
    </row>
    <row r="12241" spans="1:22">
      <c r="A12241" t="str">
        <f t="shared" si="2364"/>
        <v>21/11/2025</v>
      </c>
      <c r="B12241" t="str">
        <f t="shared" si="2361"/>
        <v>SAÍDA</v>
      </c>
      <c r="C12241" t="str">
        <f t="shared" si="2351"/>
        <v>PIX</v>
      </c>
      <c r="D12241" t="str">
        <f>"25591"</f>
        <v>25591</v>
      </c>
      <c r="E12241" t="str">
        <f t="shared" si="2353"/>
        <v>1</v>
      </c>
      <c r="F12241" t="str">
        <f t="shared" si="2357"/>
        <v>COM</v>
      </c>
      <c r="G12241" t="str">
        <f>"MANOEL DE JESUS ALMEIDA (1017)"</f>
        <v>MANOEL DE JESUS ALMEIDA (1017)</v>
      </c>
      <c r="H12241" t="s">
        <v>3308</v>
      </c>
      <c r="I12241" t="str">
        <f t="shared" si="2352"/>
        <v>20/11/2025</v>
      </c>
      <c r="J12241" t="str">
        <f t="shared" si="2358"/>
        <v>17/11/2025</v>
      </c>
      <c r="K12241">
        <v>45982</v>
      </c>
      <c r="N12241">
        <v>109</v>
      </c>
      <c r="O12241" t="s">
        <v>24</v>
      </c>
      <c r="Q12241">
        <v>416.62</v>
      </c>
      <c r="R12241" t="str">
        <f>"PENSE FARMA 05 (10200)"</f>
        <v>PENSE FARMA 05 (10200)</v>
      </c>
      <c r="S12241" t="s">
        <v>77</v>
      </c>
      <c r="T12241">
        <v>21511</v>
      </c>
      <c r="U12241">
        <v>25591</v>
      </c>
      <c r="V12241" t="s">
        <v>77</v>
      </c>
    </row>
    <row r="12242" spans="1:22">
      <c r="A12242" t="str">
        <f t="shared" si="2364"/>
        <v>21/11/2025</v>
      </c>
      <c r="B12242" t="str">
        <f t="shared" si="2361"/>
        <v>SAÍDA</v>
      </c>
      <c r="C12242" t="str">
        <f t="shared" si="2351"/>
        <v>PIX</v>
      </c>
      <c r="D12242" t="str">
        <f>"25591"</f>
        <v>25591</v>
      </c>
      <c r="E12242" t="str">
        <f t="shared" si="2353"/>
        <v>1</v>
      </c>
      <c r="F12242" t="str">
        <f t="shared" si="2357"/>
        <v>COM</v>
      </c>
      <c r="G12242" t="str">
        <f>"MANOEL DE JESUS ALMEIDA (1017)"</f>
        <v>MANOEL DE JESUS ALMEIDA (1017)</v>
      </c>
      <c r="H12242" t="s">
        <v>3308</v>
      </c>
      <c r="I12242" t="str">
        <f t="shared" si="2352"/>
        <v>20/11/2025</v>
      </c>
      <c r="J12242" t="str">
        <f t="shared" si="2358"/>
        <v>17/11/2025</v>
      </c>
      <c r="K12242">
        <v>45982</v>
      </c>
      <c r="N12242">
        <v>109</v>
      </c>
      <c r="O12242" t="s">
        <v>24</v>
      </c>
      <c r="Q12242">
        <v>416.63</v>
      </c>
      <c r="R12242" t="str">
        <f>"PENSE FARMA 13 (10202)"</f>
        <v>PENSE FARMA 13 (10202)</v>
      </c>
      <c r="S12242" t="s">
        <v>77</v>
      </c>
      <c r="T12242">
        <v>21511</v>
      </c>
      <c r="U12242">
        <v>25591</v>
      </c>
      <c r="V12242" t="s">
        <v>77</v>
      </c>
    </row>
    <row r="12243" spans="1:22">
      <c r="A12243" t="str">
        <f t="shared" si="2364"/>
        <v>21/11/2025</v>
      </c>
      <c r="B12243" t="str">
        <f t="shared" si="2361"/>
        <v>SAÍDA</v>
      </c>
      <c r="C12243" t="str">
        <f t="shared" si="2351"/>
        <v>PIX</v>
      </c>
      <c r="D12243" t="str">
        <f>"25591"</f>
        <v>25591</v>
      </c>
      <c r="E12243" t="str">
        <f t="shared" si="2353"/>
        <v>1</v>
      </c>
      <c r="F12243" t="str">
        <f t="shared" si="2357"/>
        <v>COM</v>
      </c>
      <c r="G12243" t="str">
        <f>"MANOEL DE JESUS ALMEIDA (1017)"</f>
        <v>MANOEL DE JESUS ALMEIDA (1017)</v>
      </c>
      <c r="H12243" t="s">
        <v>3308</v>
      </c>
      <c r="I12243" t="str">
        <f t="shared" si="2352"/>
        <v>20/11/2025</v>
      </c>
      <c r="J12243" t="str">
        <f t="shared" si="2358"/>
        <v>17/11/2025</v>
      </c>
      <c r="K12243">
        <v>45982</v>
      </c>
      <c r="N12243">
        <v>109</v>
      </c>
      <c r="O12243" t="s">
        <v>24</v>
      </c>
      <c r="Q12243">
        <v>416.75</v>
      </c>
      <c r="R12243" t="str">
        <f>"PENSE FARMA 27 (10204)"</f>
        <v>PENSE FARMA 27 (10204)</v>
      </c>
      <c r="S12243" t="s">
        <v>77</v>
      </c>
      <c r="T12243">
        <v>21511</v>
      </c>
      <c r="U12243">
        <v>25591</v>
      </c>
      <c r="V12243" t="s">
        <v>77</v>
      </c>
    </row>
    <row r="12244" spans="1:22">
      <c r="A12244" t="str">
        <f t="shared" si="2364"/>
        <v>21/11/2025</v>
      </c>
      <c r="B12244" t="str">
        <f t="shared" si="2361"/>
        <v>SAÍDA</v>
      </c>
      <c r="C12244" t="str">
        <f t="shared" si="2351"/>
        <v>PIX</v>
      </c>
      <c r="D12244" t="str">
        <f>"25593"</f>
        <v>25593</v>
      </c>
      <c r="E12244" t="str">
        <f t="shared" si="2353"/>
        <v>1</v>
      </c>
      <c r="F12244" t="str">
        <f t="shared" si="2357"/>
        <v>COM</v>
      </c>
      <c r="G12244" t="str">
        <f>"ERIC RODRIGUES TEIXEIRA (939)"</f>
        <v>ERIC RODRIGUES TEIXEIRA (939)</v>
      </c>
      <c r="H12244" t="str">
        <f>"Serv.Prest. 10/11/2025 a 16/11/2025 - PIX: CELULAR - CHAVE: (11) 95038-0621"</f>
        <v>Serv.Prest. 10/11/2025 a 16/11/2025 - PIX: CELULAR - CHAVE: (11) 95038-0621</v>
      </c>
      <c r="I12244" t="str">
        <f t="shared" si="2352"/>
        <v>20/11/2025</v>
      </c>
      <c r="J12244" t="str">
        <f t="shared" si="2358"/>
        <v>17/11/2025</v>
      </c>
      <c r="K12244" t="str">
        <f>("21/11/2025")</f>
        <v>21/11/2025</v>
      </c>
      <c r="L12244">
        <v>1014</v>
      </c>
      <c r="M12244">
        <v>1014</v>
      </c>
      <c r="N12244">
        <v>109</v>
      </c>
      <c r="O12244" t="str">
        <f>"PAGAMENTO DE ENTREGADORES"</f>
        <v>PAGAMENTO DE ENTREGADORES</v>
      </c>
      <c r="P12244">
        <v>1014</v>
      </c>
      <c r="S12244" t="str">
        <f>"BANCO C6 (149)"</f>
        <v>BANCO C6 (149)</v>
      </c>
      <c r="T12244">
        <v>21512</v>
      </c>
      <c r="U12244">
        <v>25593</v>
      </c>
      <c r="V12244" t="s">
        <v>77</v>
      </c>
    </row>
    <row r="12245" spans="1:22">
      <c r="A12245" t="str">
        <f t="shared" si="2364"/>
        <v>21/11/2025</v>
      </c>
      <c r="B12245" t="str">
        <f t="shared" si="2361"/>
        <v>SAÍDA</v>
      </c>
      <c r="C12245" t="str">
        <f t="shared" si="2351"/>
        <v>PIX</v>
      </c>
      <c r="D12245" t="str">
        <f>"25593"</f>
        <v>25593</v>
      </c>
      <c r="E12245" t="str">
        <f t="shared" si="2353"/>
        <v>1</v>
      </c>
      <c r="F12245" t="str">
        <f t="shared" si="2357"/>
        <v>COM</v>
      </c>
      <c r="G12245" t="str">
        <f>"ERIC RODRIGUES TEIXEIRA (939)"</f>
        <v>ERIC RODRIGUES TEIXEIRA (939)</v>
      </c>
      <c r="H12245" t="s">
        <v>3107</v>
      </c>
      <c r="I12245" t="str">
        <f t="shared" si="2352"/>
        <v>20/11/2025</v>
      </c>
      <c r="J12245" t="str">
        <f t="shared" si="2358"/>
        <v>17/11/2025</v>
      </c>
      <c r="K12245">
        <v>45982</v>
      </c>
      <c r="N12245">
        <v>109</v>
      </c>
      <c r="O12245" t="s">
        <v>24</v>
      </c>
      <c r="Q12245">
        <v>337.96</v>
      </c>
      <c r="R12245" t="str">
        <f>"PENSE FARMA 07 (10201)"</f>
        <v>PENSE FARMA 07 (10201)</v>
      </c>
      <c r="S12245" t="s">
        <v>77</v>
      </c>
      <c r="T12245">
        <v>21512</v>
      </c>
      <c r="U12245">
        <v>25593</v>
      </c>
      <c r="V12245" t="s">
        <v>77</v>
      </c>
    </row>
    <row r="12246" spans="1:22">
      <c r="A12246" t="str">
        <f t="shared" si="2364"/>
        <v>21/11/2025</v>
      </c>
      <c r="B12246" t="str">
        <f t="shared" si="2361"/>
        <v>SAÍDA</v>
      </c>
      <c r="C12246" t="str">
        <f t="shared" si="2351"/>
        <v>PIX</v>
      </c>
      <c r="D12246" t="str">
        <f>"25593"</f>
        <v>25593</v>
      </c>
      <c r="E12246" t="str">
        <f t="shared" si="2353"/>
        <v>1</v>
      </c>
      <c r="F12246" t="str">
        <f t="shared" si="2357"/>
        <v>COM</v>
      </c>
      <c r="G12246" t="str">
        <f>"ERIC RODRIGUES TEIXEIRA (939)"</f>
        <v>ERIC RODRIGUES TEIXEIRA (939)</v>
      </c>
      <c r="H12246" t="s">
        <v>3107</v>
      </c>
      <c r="I12246" t="str">
        <f t="shared" si="2352"/>
        <v>20/11/2025</v>
      </c>
      <c r="J12246" t="str">
        <f t="shared" si="2358"/>
        <v>17/11/2025</v>
      </c>
      <c r="K12246">
        <v>45982</v>
      </c>
      <c r="N12246">
        <v>109</v>
      </c>
      <c r="O12246" t="s">
        <v>24</v>
      </c>
      <c r="Q12246">
        <v>337.97</v>
      </c>
      <c r="R12246" t="str">
        <f>"PENSE FARMA 45 (10209)"</f>
        <v>PENSE FARMA 45 (10209)</v>
      </c>
      <c r="S12246" t="s">
        <v>77</v>
      </c>
      <c r="T12246">
        <v>21512</v>
      </c>
      <c r="U12246">
        <v>25593</v>
      </c>
      <c r="V12246" t="s">
        <v>77</v>
      </c>
    </row>
    <row r="12247" spans="1:22">
      <c r="A12247" t="str">
        <f t="shared" si="2364"/>
        <v>21/11/2025</v>
      </c>
      <c r="B12247" t="str">
        <f t="shared" si="2361"/>
        <v>SAÍDA</v>
      </c>
      <c r="C12247" t="str">
        <f t="shared" si="2351"/>
        <v>PIX</v>
      </c>
      <c r="D12247" t="str">
        <f>"25593"</f>
        <v>25593</v>
      </c>
      <c r="E12247" t="str">
        <f t="shared" si="2353"/>
        <v>1</v>
      </c>
      <c r="F12247" t="str">
        <f t="shared" si="2357"/>
        <v>COM</v>
      </c>
      <c r="G12247" t="str">
        <f>"ERIC RODRIGUES TEIXEIRA (939)"</f>
        <v>ERIC RODRIGUES TEIXEIRA (939)</v>
      </c>
      <c r="H12247" t="s">
        <v>3107</v>
      </c>
      <c r="I12247" t="str">
        <f t="shared" si="2352"/>
        <v>20/11/2025</v>
      </c>
      <c r="J12247" t="str">
        <f t="shared" si="2358"/>
        <v>17/11/2025</v>
      </c>
      <c r="K12247">
        <v>45982</v>
      </c>
      <c r="N12247">
        <v>109</v>
      </c>
      <c r="O12247" t="s">
        <v>24</v>
      </c>
      <c r="Q12247">
        <v>338.07</v>
      </c>
      <c r="R12247" t="str">
        <f>"PENSE FARMA 50 (10210)"</f>
        <v>PENSE FARMA 50 (10210)</v>
      </c>
      <c r="S12247" t="s">
        <v>77</v>
      </c>
      <c r="T12247">
        <v>21512</v>
      </c>
      <c r="U12247">
        <v>25593</v>
      </c>
      <c r="V12247" t="s">
        <v>77</v>
      </c>
    </row>
    <row r="12248" spans="1:22">
      <c r="A12248" t="str">
        <f t="shared" si="2364"/>
        <v>21/11/2025</v>
      </c>
      <c r="B12248" t="str">
        <f t="shared" si="2361"/>
        <v>SAÍDA</v>
      </c>
      <c r="C12248" t="str">
        <f t="shared" ref="C12248:C12311" si="2365">"PIX"</f>
        <v>PIX</v>
      </c>
      <c r="D12248" t="str">
        <f>"25596"</f>
        <v>25596</v>
      </c>
      <c r="E12248" t="str">
        <f t="shared" si="2353"/>
        <v>1</v>
      </c>
      <c r="F12248" t="str">
        <f t="shared" si="2357"/>
        <v>COM</v>
      </c>
      <c r="G12248" t="str">
        <f>"JOSÉ HENRIQUE RODRIGUES (430)"</f>
        <v>JOSÉ HENRIQUE RODRIGUES (430)</v>
      </c>
      <c r="H12248" t="str">
        <f>"Serv.Prest. 10/11/2025 a 16/11/2025 - PIX: CPF - CHAVE: 100.826.516-04"</f>
        <v>Serv.Prest. 10/11/2025 a 16/11/2025 - PIX: CPF - CHAVE: 100.826.516-04</v>
      </c>
      <c r="I12248" t="str">
        <f t="shared" ref="I12248:I12311" si="2366">("20/11/2025")</f>
        <v>20/11/2025</v>
      </c>
      <c r="J12248" t="str">
        <f t="shared" ref="J12248:J12279" si="2367">("18/11/2025")</f>
        <v>18/11/2025</v>
      </c>
      <c r="K12248" t="str">
        <f>("21/11/2025")</f>
        <v>21/11/2025</v>
      </c>
      <c r="L12248">
        <v>900</v>
      </c>
      <c r="M12248">
        <v>900</v>
      </c>
      <c r="N12248">
        <v>109</v>
      </c>
      <c r="O12248" t="str">
        <f>"PAGAMENTO DE ENTREGADORES"</f>
        <v>PAGAMENTO DE ENTREGADORES</v>
      </c>
      <c r="P12248">
        <v>900</v>
      </c>
      <c r="S12248" t="str">
        <f>"BANCO C6 (149)"</f>
        <v>BANCO C6 (149)</v>
      </c>
      <c r="T12248">
        <v>21513</v>
      </c>
      <c r="U12248">
        <v>25596</v>
      </c>
      <c r="V12248" t="s">
        <v>77</v>
      </c>
    </row>
    <row r="12249" spans="1:22">
      <c r="A12249" t="str">
        <f t="shared" si="2364"/>
        <v>21/11/2025</v>
      </c>
      <c r="B12249" t="str">
        <f t="shared" si="2361"/>
        <v>SAÍDA</v>
      </c>
      <c r="C12249" t="str">
        <f t="shared" si="2365"/>
        <v>PIX</v>
      </c>
      <c r="D12249" t="str">
        <f>"25596"</f>
        <v>25596</v>
      </c>
      <c r="E12249" t="str">
        <f t="shared" si="2353"/>
        <v>1</v>
      </c>
      <c r="F12249" t="str">
        <f t="shared" si="2357"/>
        <v>COM</v>
      </c>
      <c r="G12249" t="str">
        <f>"JOSÉ HENRIQUE RODRIGUES (430)"</f>
        <v>JOSÉ HENRIQUE RODRIGUES (430)</v>
      </c>
      <c r="H12249" t="s">
        <v>3309</v>
      </c>
      <c r="I12249" t="str">
        <f t="shared" si="2366"/>
        <v>20/11/2025</v>
      </c>
      <c r="J12249" t="str">
        <f t="shared" si="2367"/>
        <v>18/11/2025</v>
      </c>
      <c r="K12249">
        <v>45982</v>
      </c>
      <c r="N12249">
        <v>109</v>
      </c>
      <c r="O12249" t="s">
        <v>24</v>
      </c>
      <c r="Q12249">
        <v>900</v>
      </c>
      <c r="R12249" t="str">
        <f>"PAGMENOS - LJ 608 (10135)"</f>
        <v>PAGMENOS - LJ 608 (10135)</v>
      </c>
      <c r="S12249" t="s">
        <v>77</v>
      </c>
      <c r="T12249">
        <v>21513</v>
      </c>
      <c r="U12249">
        <v>25596</v>
      </c>
      <c r="V12249" t="s">
        <v>77</v>
      </c>
    </row>
    <row r="12250" spans="1:22">
      <c r="A12250" t="str">
        <f t="shared" si="2364"/>
        <v>21/11/2025</v>
      </c>
      <c r="B12250" t="str">
        <f t="shared" si="2361"/>
        <v>SAÍDA</v>
      </c>
      <c r="C12250" t="str">
        <f t="shared" si="2365"/>
        <v>PIX</v>
      </c>
      <c r="D12250" t="str">
        <f>"25597"</f>
        <v>25597</v>
      </c>
      <c r="E12250" t="str">
        <f t="shared" si="2353"/>
        <v>1</v>
      </c>
      <c r="F12250" t="str">
        <f t="shared" si="2357"/>
        <v>COM</v>
      </c>
      <c r="G12250" t="str">
        <f>"TALES SILVA MARIANO (431)"</f>
        <v>TALES SILVA MARIANO (431)</v>
      </c>
      <c r="H12250" t="str">
        <f>"Serv.Prest. 10/11/2025 a 16/11/2025 - PIX: CPF - CHAVE: 126.686.406-79"</f>
        <v>Serv.Prest. 10/11/2025 a 16/11/2025 - PIX: CPF - CHAVE: 126.686.406-79</v>
      </c>
      <c r="I12250" t="str">
        <f t="shared" si="2366"/>
        <v>20/11/2025</v>
      </c>
      <c r="J12250" t="str">
        <f t="shared" si="2367"/>
        <v>18/11/2025</v>
      </c>
      <c r="K12250" t="str">
        <f>("21/11/2025")</f>
        <v>21/11/2025</v>
      </c>
      <c r="L12250">
        <v>900</v>
      </c>
      <c r="M12250">
        <v>900</v>
      </c>
      <c r="N12250">
        <v>109</v>
      </c>
      <c r="O12250" t="str">
        <f>"PAGAMENTO DE ENTREGADORES"</f>
        <v>PAGAMENTO DE ENTREGADORES</v>
      </c>
      <c r="P12250">
        <v>900</v>
      </c>
      <c r="S12250" t="str">
        <f>"BANCO C6 (149)"</f>
        <v>BANCO C6 (149)</v>
      </c>
      <c r="T12250">
        <v>21514</v>
      </c>
      <c r="U12250">
        <v>25597</v>
      </c>
      <c r="V12250" t="s">
        <v>77</v>
      </c>
    </row>
    <row r="12251" spans="1:22">
      <c r="A12251" t="str">
        <f t="shared" si="2364"/>
        <v>21/11/2025</v>
      </c>
      <c r="B12251" t="str">
        <f t="shared" si="2361"/>
        <v>SAÍDA</v>
      </c>
      <c r="C12251" t="str">
        <f t="shared" si="2365"/>
        <v>PIX</v>
      </c>
      <c r="D12251" t="str">
        <f>"25597"</f>
        <v>25597</v>
      </c>
      <c r="E12251" t="str">
        <f t="shared" si="2353"/>
        <v>1</v>
      </c>
      <c r="F12251" t="str">
        <f t="shared" si="2357"/>
        <v>COM</v>
      </c>
      <c r="G12251" t="str">
        <f>"TALES SILVA MARIANO (431)"</f>
        <v>TALES SILVA MARIANO (431)</v>
      </c>
      <c r="H12251" t="s">
        <v>3310</v>
      </c>
      <c r="I12251" t="str">
        <f t="shared" si="2366"/>
        <v>20/11/2025</v>
      </c>
      <c r="J12251" t="str">
        <f t="shared" si="2367"/>
        <v>18/11/2025</v>
      </c>
      <c r="K12251">
        <v>45982</v>
      </c>
      <c r="N12251">
        <v>109</v>
      </c>
      <c r="O12251" t="s">
        <v>24</v>
      </c>
      <c r="Q12251">
        <v>900</v>
      </c>
      <c r="R12251" t="str">
        <f>"PAGMENOS - LJ 608 (10135)"</f>
        <v>PAGMENOS - LJ 608 (10135)</v>
      </c>
      <c r="S12251" t="s">
        <v>77</v>
      </c>
      <c r="T12251">
        <v>21514</v>
      </c>
      <c r="U12251">
        <v>25597</v>
      </c>
      <c r="V12251" t="s">
        <v>77</v>
      </c>
    </row>
    <row r="12252" spans="1:22">
      <c r="A12252" t="str">
        <f t="shared" si="2364"/>
        <v>21/11/2025</v>
      </c>
      <c r="B12252" t="str">
        <f t="shared" si="2361"/>
        <v>SAÍDA</v>
      </c>
      <c r="C12252" t="str">
        <f t="shared" si="2365"/>
        <v>PIX</v>
      </c>
      <c r="D12252" t="str">
        <f>"25599"</f>
        <v>25599</v>
      </c>
      <c r="E12252" t="str">
        <f t="shared" ref="E12252:E12315" si="2368">"1"</f>
        <v>1</v>
      </c>
      <c r="F12252" t="str">
        <f t="shared" si="2357"/>
        <v>COM</v>
      </c>
      <c r="G12252" t="str">
        <f>"WILIANA RODRIGUES E RODRIGUES (398)"</f>
        <v>WILIANA RODRIGUES E RODRIGUES (398)</v>
      </c>
      <c r="H12252" t="str">
        <f>"Serv.Prest. 10/11/2025 a 16/11/2025 - PIX: CPF - CHAVE: 016.203.336-27"</f>
        <v>Serv.Prest. 10/11/2025 a 16/11/2025 - PIX: CPF - CHAVE: 016.203.336-27</v>
      </c>
      <c r="I12252" t="str">
        <f t="shared" si="2366"/>
        <v>20/11/2025</v>
      </c>
      <c r="J12252" t="str">
        <f t="shared" si="2367"/>
        <v>18/11/2025</v>
      </c>
      <c r="K12252" t="str">
        <f>("21/11/2025")</f>
        <v>21/11/2025</v>
      </c>
      <c r="L12252">
        <v>1200</v>
      </c>
      <c r="M12252">
        <v>1200</v>
      </c>
      <c r="N12252">
        <v>109</v>
      </c>
      <c r="O12252" t="str">
        <f>"PAGAMENTO DE ENTREGADORES"</f>
        <v>PAGAMENTO DE ENTREGADORES</v>
      </c>
      <c r="P12252">
        <v>1200</v>
      </c>
      <c r="S12252" t="str">
        <f>"BANCO C6 (149)"</f>
        <v>BANCO C6 (149)</v>
      </c>
      <c r="T12252">
        <v>21515</v>
      </c>
      <c r="U12252">
        <v>25599</v>
      </c>
      <c r="V12252" t="s">
        <v>77</v>
      </c>
    </row>
    <row r="12253" spans="1:22">
      <c r="A12253" t="str">
        <f t="shared" si="2364"/>
        <v>21/11/2025</v>
      </c>
      <c r="B12253" t="str">
        <f t="shared" si="2361"/>
        <v>SAÍDA</v>
      </c>
      <c r="C12253" t="str">
        <f t="shared" si="2365"/>
        <v>PIX</v>
      </c>
      <c r="D12253" t="str">
        <f>"25599"</f>
        <v>25599</v>
      </c>
      <c r="E12253" t="str">
        <f t="shared" si="2368"/>
        <v>1</v>
      </c>
      <c r="F12253" t="str">
        <f t="shared" si="2357"/>
        <v>COM</v>
      </c>
      <c r="G12253" t="str">
        <f>"WILIANA RODRIGUES E RODRIGUES (398)"</f>
        <v>WILIANA RODRIGUES E RODRIGUES (398)</v>
      </c>
      <c r="H12253" t="s">
        <v>3311</v>
      </c>
      <c r="I12253" t="str">
        <f t="shared" si="2366"/>
        <v>20/11/2025</v>
      </c>
      <c r="J12253" t="str">
        <f t="shared" si="2367"/>
        <v>18/11/2025</v>
      </c>
      <c r="K12253">
        <v>45982</v>
      </c>
      <c r="N12253">
        <v>109</v>
      </c>
      <c r="O12253" t="s">
        <v>24</v>
      </c>
      <c r="Q12253">
        <v>1200</v>
      </c>
      <c r="R12253" t="str">
        <f>"PAGMENOS - LJ 657 (10136)"</f>
        <v>PAGMENOS - LJ 657 (10136)</v>
      </c>
      <c r="S12253" t="s">
        <v>77</v>
      </c>
      <c r="T12253">
        <v>21515</v>
      </c>
      <c r="U12253">
        <v>25599</v>
      </c>
      <c r="V12253" t="s">
        <v>77</v>
      </c>
    </row>
    <row r="12254" spans="1:22">
      <c r="A12254" t="str">
        <f t="shared" si="2364"/>
        <v>21/11/2025</v>
      </c>
      <c r="B12254" t="str">
        <f t="shared" si="2361"/>
        <v>SAÍDA</v>
      </c>
      <c r="C12254" t="str">
        <f t="shared" si="2365"/>
        <v>PIX</v>
      </c>
      <c r="D12254" t="str">
        <f>"25602"</f>
        <v>25602</v>
      </c>
      <c r="E12254" t="str">
        <f t="shared" si="2368"/>
        <v>1</v>
      </c>
      <c r="F12254" t="str">
        <f t="shared" si="2357"/>
        <v>COM</v>
      </c>
      <c r="G12254" t="str">
        <f>"THALISSON NUNES (1046)"</f>
        <v>THALISSON NUNES (1046)</v>
      </c>
      <c r="H12254" t="str">
        <f>"Serv.Prest. 10/11/2025 a 16/11/2025 - PIX: CELULAR - CHAVE: (34) 99694-0926"</f>
        <v>Serv.Prest. 10/11/2025 a 16/11/2025 - PIX: CELULAR - CHAVE: (34) 99694-0926</v>
      </c>
      <c r="I12254" t="str">
        <f t="shared" si="2366"/>
        <v>20/11/2025</v>
      </c>
      <c r="J12254" t="str">
        <f t="shared" si="2367"/>
        <v>18/11/2025</v>
      </c>
      <c r="K12254" t="str">
        <f>("21/11/2025")</f>
        <v>21/11/2025</v>
      </c>
      <c r="L12254">
        <v>801</v>
      </c>
      <c r="M12254">
        <v>801</v>
      </c>
      <c r="N12254">
        <v>109</v>
      </c>
      <c r="O12254" t="str">
        <f>"PAGAMENTO DE ENTREGADORES"</f>
        <v>PAGAMENTO DE ENTREGADORES</v>
      </c>
      <c r="P12254">
        <v>801</v>
      </c>
      <c r="S12254" t="str">
        <f>"BANCO C6 (149)"</f>
        <v>BANCO C6 (149)</v>
      </c>
      <c r="T12254">
        <v>21516</v>
      </c>
      <c r="U12254">
        <v>25602</v>
      </c>
      <c r="V12254" t="s">
        <v>77</v>
      </c>
    </row>
    <row r="12255" spans="1:22">
      <c r="A12255" t="str">
        <f t="shared" si="2364"/>
        <v>21/11/2025</v>
      </c>
      <c r="B12255" t="str">
        <f t="shared" si="2361"/>
        <v>SAÍDA</v>
      </c>
      <c r="C12255" t="str">
        <f t="shared" si="2365"/>
        <v>PIX</v>
      </c>
      <c r="D12255" t="str">
        <f>"25602"</f>
        <v>25602</v>
      </c>
      <c r="E12255" t="str">
        <f t="shared" si="2368"/>
        <v>1</v>
      </c>
      <c r="F12255" t="str">
        <f t="shared" si="2357"/>
        <v>COM</v>
      </c>
      <c r="G12255" t="str">
        <f>"THALISSON NUNES (1046)"</f>
        <v>THALISSON NUNES (1046)</v>
      </c>
      <c r="H12255" t="s">
        <v>3312</v>
      </c>
      <c r="I12255" t="str">
        <f t="shared" si="2366"/>
        <v>20/11/2025</v>
      </c>
      <c r="J12255" t="str">
        <f t="shared" si="2367"/>
        <v>18/11/2025</v>
      </c>
      <c r="K12255">
        <v>45982</v>
      </c>
      <c r="N12255">
        <v>109</v>
      </c>
      <c r="O12255" t="s">
        <v>24</v>
      </c>
      <c r="Q12255">
        <v>801</v>
      </c>
      <c r="R12255" t="str">
        <f>"PAGMENOS - LJ 326 (10264)"</f>
        <v>PAGMENOS - LJ 326 (10264)</v>
      </c>
      <c r="S12255" t="s">
        <v>77</v>
      </c>
      <c r="T12255">
        <v>21516</v>
      </c>
      <c r="U12255">
        <v>25602</v>
      </c>
      <c r="V12255" t="s">
        <v>77</v>
      </c>
    </row>
    <row r="12256" spans="1:22">
      <c r="A12256" t="str">
        <f t="shared" si="2364"/>
        <v>21/11/2025</v>
      </c>
      <c r="B12256" t="str">
        <f t="shared" si="2361"/>
        <v>SAÍDA</v>
      </c>
      <c r="C12256" t="str">
        <f t="shared" si="2365"/>
        <v>PIX</v>
      </c>
      <c r="D12256" t="str">
        <f>"25604"</f>
        <v>25604</v>
      </c>
      <c r="E12256" t="str">
        <f t="shared" si="2368"/>
        <v>1</v>
      </c>
      <c r="F12256" t="str">
        <f t="shared" si="2357"/>
        <v>COM</v>
      </c>
      <c r="G12256" t="str">
        <f>"CARLOS EDUARDO LESSA ROCHA (1070)"</f>
        <v>CARLOS EDUARDO LESSA ROCHA (1070)</v>
      </c>
      <c r="H12256" t="str">
        <f>"Serv.Prest. 10/11/2025 a 16/11/2025 - PIX: CPF - CHAVE: 162.570.846-79"</f>
        <v>Serv.Prest. 10/11/2025 a 16/11/2025 - PIX: CPF - CHAVE: 162.570.846-79</v>
      </c>
      <c r="I12256" t="str">
        <f t="shared" si="2366"/>
        <v>20/11/2025</v>
      </c>
      <c r="J12256" t="str">
        <f t="shared" si="2367"/>
        <v>18/11/2025</v>
      </c>
      <c r="K12256" t="str">
        <f>("21/11/2025")</f>
        <v>21/11/2025</v>
      </c>
      <c r="L12256">
        <v>426</v>
      </c>
      <c r="M12256">
        <v>426</v>
      </c>
      <c r="N12256">
        <v>109</v>
      </c>
      <c r="O12256" t="str">
        <f>"PAGAMENTO DE ENTREGADORES"</f>
        <v>PAGAMENTO DE ENTREGADORES</v>
      </c>
      <c r="P12256">
        <v>426</v>
      </c>
      <c r="S12256" t="str">
        <f>"BANCO C6 (149)"</f>
        <v>BANCO C6 (149)</v>
      </c>
      <c r="T12256">
        <v>21517</v>
      </c>
      <c r="U12256">
        <v>25604</v>
      </c>
      <c r="V12256" t="s">
        <v>77</v>
      </c>
    </row>
    <row r="12257" spans="1:22">
      <c r="A12257" t="str">
        <f t="shared" si="2364"/>
        <v>21/11/2025</v>
      </c>
      <c r="B12257" t="str">
        <f t="shared" si="2361"/>
        <v>SAÍDA</v>
      </c>
      <c r="C12257" t="str">
        <f t="shared" si="2365"/>
        <v>PIX</v>
      </c>
      <c r="D12257" t="str">
        <f>"25604"</f>
        <v>25604</v>
      </c>
      <c r="E12257" t="str">
        <f t="shared" si="2368"/>
        <v>1</v>
      </c>
      <c r="F12257" t="str">
        <f t="shared" si="2357"/>
        <v>COM</v>
      </c>
      <c r="G12257" t="str">
        <f>"CARLOS EDUARDO LESSA ROCHA (1070)"</f>
        <v>CARLOS EDUARDO LESSA ROCHA (1070)</v>
      </c>
      <c r="H12257" t="s">
        <v>3313</v>
      </c>
      <c r="I12257" t="str">
        <f t="shared" si="2366"/>
        <v>20/11/2025</v>
      </c>
      <c r="J12257" t="str">
        <f t="shared" si="2367"/>
        <v>18/11/2025</v>
      </c>
      <c r="K12257">
        <v>45982</v>
      </c>
      <c r="N12257">
        <v>109</v>
      </c>
      <c r="O12257" t="s">
        <v>24</v>
      </c>
      <c r="Q12257">
        <v>426</v>
      </c>
      <c r="R12257" t="str">
        <f>"PAGMENOS - LJ 431 (10265)"</f>
        <v>PAGMENOS - LJ 431 (10265)</v>
      </c>
      <c r="S12257" t="s">
        <v>77</v>
      </c>
      <c r="T12257">
        <v>21517</v>
      </c>
      <c r="U12257">
        <v>25604</v>
      </c>
      <c r="V12257" t="s">
        <v>77</v>
      </c>
    </row>
    <row r="12258" spans="1:22">
      <c r="A12258" t="str">
        <f t="shared" si="2364"/>
        <v>21/11/2025</v>
      </c>
      <c r="B12258" t="str">
        <f t="shared" si="2361"/>
        <v>SAÍDA</v>
      </c>
      <c r="C12258" t="str">
        <f t="shared" si="2365"/>
        <v>PIX</v>
      </c>
      <c r="D12258" t="str">
        <f>"25605"</f>
        <v>25605</v>
      </c>
      <c r="E12258" t="str">
        <f t="shared" si="2368"/>
        <v>1</v>
      </c>
      <c r="F12258" t="str">
        <f t="shared" si="2357"/>
        <v>COM</v>
      </c>
      <c r="G12258" t="str">
        <f>"ODAIR SEBASTIAO DE ARAUJO FILHO (1061)"</f>
        <v>ODAIR SEBASTIAO DE ARAUJO FILHO (1061)</v>
      </c>
      <c r="H12258" t="str">
        <f>"Serv.Prest. 10/11/2025 a 16/11/2025 - PIX: E-MAIL - CHAVE: odair.araujo@onmail.com"</f>
        <v>Serv.Prest. 10/11/2025 a 16/11/2025 - PIX: E-MAIL - CHAVE: odair.araujo@onmail.com</v>
      </c>
      <c r="I12258" t="str">
        <f t="shared" si="2366"/>
        <v>20/11/2025</v>
      </c>
      <c r="J12258" t="str">
        <f t="shared" si="2367"/>
        <v>18/11/2025</v>
      </c>
      <c r="K12258" t="str">
        <f>("21/11/2025")</f>
        <v>21/11/2025</v>
      </c>
      <c r="L12258">
        <v>564</v>
      </c>
      <c r="M12258">
        <v>564</v>
      </c>
      <c r="N12258">
        <v>109</v>
      </c>
      <c r="O12258" t="str">
        <f>"PAGAMENTO DE ENTREGADORES"</f>
        <v>PAGAMENTO DE ENTREGADORES</v>
      </c>
      <c r="P12258">
        <v>564</v>
      </c>
      <c r="S12258" t="str">
        <f>"BANCO C6 (149)"</f>
        <v>BANCO C6 (149)</v>
      </c>
      <c r="T12258">
        <v>21518</v>
      </c>
      <c r="U12258">
        <v>25605</v>
      </c>
      <c r="V12258" t="s">
        <v>77</v>
      </c>
    </row>
    <row r="12259" spans="1:22">
      <c r="A12259" t="str">
        <f t="shared" si="2364"/>
        <v>21/11/2025</v>
      </c>
      <c r="B12259" t="str">
        <f t="shared" si="2361"/>
        <v>SAÍDA</v>
      </c>
      <c r="C12259" t="str">
        <f t="shared" si="2365"/>
        <v>PIX</v>
      </c>
      <c r="D12259" t="str">
        <f>"25605"</f>
        <v>25605</v>
      </c>
      <c r="E12259" t="str">
        <f t="shared" si="2368"/>
        <v>1</v>
      </c>
      <c r="F12259" t="str">
        <f t="shared" si="2357"/>
        <v>COM</v>
      </c>
      <c r="G12259" t="str">
        <f>"ODAIR SEBASTIAO DE ARAUJO FILHO (1061)"</f>
        <v>ODAIR SEBASTIAO DE ARAUJO FILHO (1061)</v>
      </c>
      <c r="H12259" t="s">
        <v>3314</v>
      </c>
      <c r="I12259" t="str">
        <f t="shared" si="2366"/>
        <v>20/11/2025</v>
      </c>
      <c r="J12259" t="str">
        <f t="shared" si="2367"/>
        <v>18/11/2025</v>
      </c>
      <c r="K12259">
        <v>45982</v>
      </c>
      <c r="N12259">
        <v>109</v>
      </c>
      <c r="O12259" t="s">
        <v>24</v>
      </c>
      <c r="Q12259">
        <v>564</v>
      </c>
      <c r="R12259" t="str">
        <f>"PAGMENOS - LJ 431 (10265)"</f>
        <v>PAGMENOS - LJ 431 (10265)</v>
      </c>
      <c r="S12259" t="s">
        <v>77</v>
      </c>
      <c r="T12259">
        <v>21518</v>
      </c>
      <c r="U12259">
        <v>25605</v>
      </c>
      <c r="V12259" t="s">
        <v>77</v>
      </c>
    </row>
    <row r="12260" spans="1:22">
      <c r="A12260" t="str">
        <f t="shared" si="2364"/>
        <v>21/11/2025</v>
      </c>
      <c r="B12260" t="str">
        <f t="shared" si="2361"/>
        <v>SAÍDA</v>
      </c>
      <c r="C12260" t="str">
        <f t="shared" si="2365"/>
        <v>PIX</v>
      </c>
      <c r="D12260" t="str">
        <f>"25606"</f>
        <v>25606</v>
      </c>
      <c r="E12260" t="str">
        <f t="shared" si="2368"/>
        <v>1</v>
      </c>
      <c r="F12260" t="str">
        <f t="shared" si="2357"/>
        <v>COM</v>
      </c>
      <c r="G12260" t="str">
        <f>"THAIS SILVA MAIA (1057)"</f>
        <v>THAIS SILVA MAIA (1057)</v>
      </c>
      <c r="H12260" t="str">
        <f>"Serv.Prest. 10/11/2025 a 16/11/2025 - PIX: CELULAR - CHAVE: (34) 99688-5705"</f>
        <v>Serv.Prest. 10/11/2025 a 16/11/2025 - PIX: CELULAR - CHAVE: (34) 99688-5705</v>
      </c>
      <c r="I12260" t="str">
        <f t="shared" si="2366"/>
        <v>20/11/2025</v>
      </c>
      <c r="J12260" t="str">
        <f t="shared" si="2367"/>
        <v>18/11/2025</v>
      </c>
      <c r="K12260" t="str">
        <f>("21/11/2025")</f>
        <v>21/11/2025</v>
      </c>
      <c r="L12260">
        <v>450</v>
      </c>
      <c r="M12260">
        <v>450</v>
      </c>
      <c r="N12260">
        <v>109</v>
      </c>
      <c r="O12260" t="str">
        <f>"PAGAMENTO DE ENTREGADORES"</f>
        <v>PAGAMENTO DE ENTREGADORES</v>
      </c>
      <c r="P12260">
        <v>450</v>
      </c>
      <c r="S12260" t="str">
        <f>"BANCO C6 (149)"</f>
        <v>BANCO C6 (149)</v>
      </c>
      <c r="T12260">
        <v>21519</v>
      </c>
      <c r="U12260">
        <v>25606</v>
      </c>
      <c r="V12260" t="s">
        <v>77</v>
      </c>
    </row>
    <row r="12261" spans="1:22">
      <c r="A12261" t="str">
        <f t="shared" si="2364"/>
        <v>21/11/2025</v>
      </c>
      <c r="B12261" t="str">
        <f t="shared" si="2361"/>
        <v>SAÍDA</v>
      </c>
      <c r="C12261" t="str">
        <f t="shared" si="2365"/>
        <v>PIX</v>
      </c>
      <c r="D12261" t="str">
        <f>"25606"</f>
        <v>25606</v>
      </c>
      <c r="E12261" t="str">
        <f t="shared" si="2368"/>
        <v>1</v>
      </c>
      <c r="F12261" t="str">
        <f t="shared" si="2357"/>
        <v>COM</v>
      </c>
      <c r="G12261" t="str">
        <f>"THAIS SILVA MAIA (1057)"</f>
        <v>THAIS SILVA MAIA (1057)</v>
      </c>
      <c r="H12261" t="s">
        <v>3315</v>
      </c>
      <c r="I12261" t="str">
        <f t="shared" si="2366"/>
        <v>20/11/2025</v>
      </c>
      <c r="J12261" t="str">
        <f t="shared" si="2367"/>
        <v>18/11/2025</v>
      </c>
      <c r="K12261">
        <v>45982</v>
      </c>
      <c r="N12261">
        <v>109</v>
      </c>
      <c r="O12261" t="s">
        <v>24</v>
      </c>
      <c r="Q12261">
        <v>450</v>
      </c>
      <c r="R12261" t="str">
        <f>"PAGMENOS - LJ 431 (10265)"</f>
        <v>PAGMENOS - LJ 431 (10265)</v>
      </c>
      <c r="S12261" t="s">
        <v>77</v>
      </c>
      <c r="T12261">
        <v>21519</v>
      </c>
      <c r="U12261">
        <v>25606</v>
      </c>
      <c r="V12261" t="s">
        <v>77</v>
      </c>
    </row>
    <row r="12262" spans="1:22">
      <c r="A12262" t="str">
        <f t="shared" si="2364"/>
        <v>21/11/2025</v>
      </c>
      <c r="B12262" t="str">
        <f t="shared" si="2361"/>
        <v>SAÍDA</v>
      </c>
      <c r="C12262" t="str">
        <f t="shared" si="2365"/>
        <v>PIX</v>
      </c>
      <c r="D12262" t="str">
        <f>"25607"</f>
        <v>25607</v>
      </c>
      <c r="E12262" t="str">
        <f t="shared" si="2368"/>
        <v>1</v>
      </c>
      <c r="F12262" t="str">
        <f t="shared" si="2357"/>
        <v>COM</v>
      </c>
      <c r="G12262" t="str">
        <f>"THIAGO BRUNNO CONCEICAO DE LIMA (1084)"</f>
        <v>THIAGO BRUNNO CONCEICAO DE LIMA (1084)</v>
      </c>
      <c r="H12262" t="str">
        <f>"Serv.Prest. 10/11/2025 a 16/11/2025 - PIX: CELULAR - CHAVE: (34) 99991-3450"</f>
        <v>Serv.Prest. 10/11/2025 a 16/11/2025 - PIX: CELULAR - CHAVE: (34) 99991-3450</v>
      </c>
      <c r="I12262" t="str">
        <f t="shared" si="2366"/>
        <v>20/11/2025</v>
      </c>
      <c r="J12262" t="str">
        <f t="shared" si="2367"/>
        <v>18/11/2025</v>
      </c>
      <c r="K12262" t="str">
        <f>("21/11/2025")</f>
        <v>21/11/2025</v>
      </c>
      <c r="L12262">
        <v>200</v>
      </c>
      <c r="M12262">
        <v>200</v>
      </c>
      <c r="N12262">
        <v>109</v>
      </c>
      <c r="O12262" t="str">
        <f>"PAGAMENTO DE ENTREGADORES"</f>
        <v>PAGAMENTO DE ENTREGADORES</v>
      </c>
      <c r="P12262">
        <v>200</v>
      </c>
      <c r="S12262" t="str">
        <f>"BANCO C6 (149)"</f>
        <v>BANCO C6 (149)</v>
      </c>
      <c r="T12262">
        <v>21520</v>
      </c>
      <c r="U12262">
        <v>25607</v>
      </c>
      <c r="V12262" t="s">
        <v>77</v>
      </c>
    </row>
    <row r="12263" spans="1:22">
      <c r="A12263" t="str">
        <f t="shared" si="2364"/>
        <v>21/11/2025</v>
      </c>
      <c r="B12263" t="str">
        <f t="shared" si="2361"/>
        <v>SAÍDA</v>
      </c>
      <c r="C12263" t="str">
        <f t="shared" si="2365"/>
        <v>PIX</v>
      </c>
      <c r="D12263" t="str">
        <f>"25607"</f>
        <v>25607</v>
      </c>
      <c r="E12263" t="str">
        <f t="shared" si="2368"/>
        <v>1</v>
      </c>
      <c r="F12263" t="str">
        <f t="shared" si="2357"/>
        <v>COM</v>
      </c>
      <c r="G12263" t="str">
        <f>"THIAGO BRUNNO CONCEICAO DE LIMA (1084)"</f>
        <v>THIAGO BRUNNO CONCEICAO DE LIMA (1084)</v>
      </c>
      <c r="H12263" t="s">
        <v>3054</v>
      </c>
      <c r="I12263" t="str">
        <f t="shared" si="2366"/>
        <v>20/11/2025</v>
      </c>
      <c r="J12263" t="str">
        <f t="shared" si="2367"/>
        <v>18/11/2025</v>
      </c>
      <c r="K12263">
        <v>45982</v>
      </c>
      <c r="N12263">
        <v>109</v>
      </c>
      <c r="O12263" t="s">
        <v>24</v>
      </c>
      <c r="Q12263">
        <v>200</v>
      </c>
      <c r="R12263" t="str">
        <f>"PAGMENOS - LJ 431 (10265)"</f>
        <v>PAGMENOS - LJ 431 (10265)</v>
      </c>
      <c r="S12263" t="s">
        <v>77</v>
      </c>
      <c r="T12263">
        <v>21520</v>
      </c>
      <c r="U12263">
        <v>25607</v>
      </c>
      <c r="V12263" t="s">
        <v>77</v>
      </c>
    </row>
    <row r="12264" spans="1:22">
      <c r="A12264" t="str">
        <f t="shared" si="2364"/>
        <v>21/11/2025</v>
      </c>
      <c r="B12264" t="str">
        <f t="shared" si="2361"/>
        <v>SAÍDA</v>
      </c>
      <c r="C12264" t="str">
        <f t="shared" si="2365"/>
        <v>PIX</v>
      </c>
      <c r="D12264" t="str">
        <f>"25609"</f>
        <v>25609</v>
      </c>
      <c r="E12264" t="str">
        <f t="shared" si="2368"/>
        <v>1</v>
      </c>
      <c r="F12264" t="str">
        <f t="shared" si="2357"/>
        <v>COM</v>
      </c>
      <c r="G12264" t="str">
        <f>"CARLOS EDUARDO LESSA ROCHA (1070)"</f>
        <v>CARLOS EDUARDO LESSA ROCHA (1070)</v>
      </c>
      <c r="H12264" t="str">
        <f>"Serv.Prest. 10/11/2025 a 16/11/2025 - PIX: CPF - CHAVE: 162.570.846-79"</f>
        <v>Serv.Prest. 10/11/2025 a 16/11/2025 - PIX: CPF - CHAVE: 162.570.846-79</v>
      </c>
      <c r="I12264" t="str">
        <f t="shared" si="2366"/>
        <v>20/11/2025</v>
      </c>
      <c r="J12264" t="str">
        <f t="shared" si="2367"/>
        <v>18/11/2025</v>
      </c>
      <c r="K12264" t="str">
        <f>("21/11/2025")</f>
        <v>21/11/2025</v>
      </c>
      <c r="L12264">
        <v>294</v>
      </c>
      <c r="M12264">
        <v>394</v>
      </c>
      <c r="N12264">
        <v>109</v>
      </c>
      <c r="O12264" t="str">
        <f>"PAGAMENTO DE ENTREGADORES"</f>
        <v>PAGAMENTO DE ENTREGADORES</v>
      </c>
      <c r="P12264">
        <v>394</v>
      </c>
      <c r="S12264" t="str">
        <f>"BANCO C6 (149)"</f>
        <v>BANCO C6 (149)</v>
      </c>
      <c r="T12264">
        <v>21521</v>
      </c>
      <c r="U12264">
        <v>25609</v>
      </c>
      <c r="V12264" t="s">
        <v>77</v>
      </c>
    </row>
    <row r="12265" spans="1:22">
      <c r="A12265" t="str">
        <f t="shared" si="2364"/>
        <v>21/11/2025</v>
      </c>
      <c r="B12265" t="str">
        <f t="shared" si="2361"/>
        <v>SAÍDA</v>
      </c>
      <c r="C12265" t="str">
        <f t="shared" si="2365"/>
        <v>PIX</v>
      </c>
      <c r="D12265" t="str">
        <f>"25609"</f>
        <v>25609</v>
      </c>
      <c r="E12265" t="str">
        <f t="shared" si="2368"/>
        <v>1</v>
      </c>
      <c r="F12265" t="str">
        <f t="shared" si="2357"/>
        <v>COM</v>
      </c>
      <c r="G12265" t="str">
        <f>"CARLOS EDUARDO LESSA ROCHA (1070)"</f>
        <v>CARLOS EDUARDO LESSA ROCHA (1070)</v>
      </c>
      <c r="H12265" t="s">
        <v>3313</v>
      </c>
      <c r="I12265" t="str">
        <f t="shared" si="2366"/>
        <v>20/11/2025</v>
      </c>
      <c r="J12265" t="str">
        <f t="shared" si="2367"/>
        <v>18/11/2025</v>
      </c>
      <c r="K12265">
        <v>45982</v>
      </c>
      <c r="N12265">
        <v>109</v>
      </c>
      <c r="O12265" t="s">
        <v>24</v>
      </c>
      <c r="Q12265">
        <v>394</v>
      </c>
      <c r="R12265" t="str">
        <f>"PAGMENOS - LJ 768 (10266)"</f>
        <v>PAGMENOS - LJ 768 (10266)</v>
      </c>
      <c r="S12265" t="s">
        <v>77</v>
      </c>
      <c r="T12265">
        <v>21521</v>
      </c>
      <c r="U12265">
        <v>25609</v>
      </c>
      <c r="V12265" t="s">
        <v>77</v>
      </c>
    </row>
    <row r="12266" spans="1:22">
      <c r="A12266" t="str">
        <f t="shared" si="2364"/>
        <v>21/11/2025</v>
      </c>
      <c r="B12266" t="str">
        <f t="shared" si="2361"/>
        <v>SAÍDA</v>
      </c>
      <c r="C12266" t="str">
        <f t="shared" si="2365"/>
        <v>PIX</v>
      </c>
      <c r="D12266" t="str">
        <f>"25610"</f>
        <v>25610</v>
      </c>
      <c r="E12266" t="str">
        <f t="shared" si="2368"/>
        <v>1</v>
      </c>
      <c r="F12266" t="str">
        <f t="shared" si="2357"/>
        <v>COM</v>
      </c>
      <c r="G12266" t="str">
        <f>"ODAIR SEBASTIAO DE ARAUJO FILHO (1061)"</f>
        <v>ODAIR SEBASTIAO DE ARAUJO FILHO (1061)</v>
      </c>
      <c r="H12266" t="str">
        <f>"Serv.Prest. 10/11/2025 a 16/11/2025 - PIX: E-MAIL - CHAVE: odair.araujo@onmail.com"</f>
        <v>Serv.Prest. 10/11/2025 a 16/11/2025 - PIX: E-MAIL - CHAVE: odair.araujo@onmail.com</v>
      </c>
      <c r="I12266" t="str">
        <f t="shared" si="2366"/>
        <v>20/11/2025</v>
      </c>
      <c r="J12266" t="str">
        <f t="shared" si="2367"/>
        <v>18/11/2025</v>
      </c>
      <c r="K12266" t="str">
        <f>("21/11/2025")</f>
        <v>21/11/2025</v>
      </c>
      <c r="L12266">
        <v>342</v>
      </c>
      <c r="M12266">
        <v>342</v>
      </c>
      <c r="N12266">
        <v>109</v>
      </c>
      <c r="O12266" t="str">
        <f>"PAGAMENTO DE ENTREGADORES"</f>
        <v>PAGAMENTO DE ENTREGADORES</v>
      </c>
      <c r="P12266">
        <v>342</v>
      </c>
      <c r="S12266" t="str">
        <f>"BANCO C6 (149)"</f>
        <v>BANCO C6 (149)</v>
      </c>
      <c r="T12266">
        <v>21522</v>
      </c>
      <c r="U12266">
        <v>25610</v>
      </c>
      <c r="V12266" t="s">
        <v>77</v>
      </c>
    </row>
    <row r="12267" spans="1:22">
      <c r="A12267" t="str">
        <f t="shared" si="2364"/>
        <v>21/11/2025</v>
      </c>
      <c r="B12267" t="str">
        <f t="shared" si="2361"/>
        <v>SAÍDA</v>
      </c>
      <c r="C12267" t="str">
        <f t="shared" si="2365"/>
        <v>PIX</v>
      </c>
      <c r="D12267" t="str">
        <f>"25610"</f>
        <v>25610</v>
      </c>
      <c r="E12267" t="str">
        <f t="shared" si="2368"/>
        <v>1</v>
      </c>
      <c r="F12267" t="str">
        <f t="shared" si="2357"/>
        <v>COM</v>
      </c>
      <c r="G12267" t="str">
        <f>"ODAIR SEBASTIAO DE ARAUJO FILHO (1061)"</f>
        <v>ODAIR SEBASTIAO DE ARAUJO FILHO (1061)</v>
      </c>
      <c r="H12267" t="s">
        <v>3314</v>
      </c>
      <c r="I12267" t="str">
        <f t="shared" si="2366"/>
        <v>20/11/2025</v>
      </c>
      <c r="J12267" t="str">
        <f t="shared" si="2367"/>
        <v>18/11/2025</v>
      </c>
      <c r="K12267">
        <v>45982</v>
      </c>
      <c r="N12267">
        <v>109</v>
      </c>
      <c r="O12267" t="s">
        <v>24</v>
      </c>
      <c r="Q12267">
        <v>342</v>
      </c>
      <c r="R12267" t="str">
        <f>"PAGMENOS - LJ 768 (10266)"</f>
        <v>PAGMENOS - LJ 768 (10266)</v>
      </c>
      <c r="S12267" t="s">
        <v>77</v>
      </c>
      <c r="T12267">
        <v>21522</v>
      </c>
      <c r="U12267">
        <v>25610</v>
      </c>
      <c r="V12267" t="s">
        <v>77</v>
      </c>
    </row>
    <row r="12268" spans="1:22">
      <c r="A12268" t="str">
        <f t="shared" si="2364"/>
        <v>21/11/2025</v>
      </c>
      <c r="B12268" t="str">
        <f t="shared" si="2361"/>
        <v>SAÍDA</v>
      </c>
      <c r="C12268" t="str">
        <f t="shared" si="2365"/>
        <v>PIX</v>
      </c>
      <c r="D12268" t="str">
        <f>"25611"</f>
        <v>25611</v>
      </c>
      <c r="E12268" t="str">
        <f t="shared" si="2368"/>
        <v>1</v>
      </c>
      <c r="F12268" t="str">
        <f t="shared" si="2357"/>
        <v>COM</v>
      </c>
      <c r="G12268" t="str">
        <f>"THAIS SILVA MAIA (1057)"</f>
        <v>THAIS SILVA MAIA (1057)</v>
      </c>
      <c r="H12268" t="str">
        <f>"Serv.Prest. 10/11/2025 a 16/11/2025 - PIX: CELULAR - CHAVE: (34) 99688-5705"</f>
        <v>Serv.Prest. 10/11/2025 a 16/11/2025 - PIX: CELULAR - CHAVE: (34) 99688-5705</v>
      </c>
      <c r="I12268" t="str">
        <f t="shared" si="2366"/>
        <v>20/11/2025</v>
      </c>
      <c r="J12268" t="str">
        <f t="shared" si="2367"/>
        <v>18/11/2025</v>
      </c>
      <c r="K12268" t="str">
        <f>("21/11/2025")</f>
        <v>21/11/2025</v>
      </c>
      <c r="L12268">
        <v>474</v>
      </c>
      <c r="M12268">
        <v>474</v>
      </c>
      <c r="N12268">
        <v>109</v>
      </c>
      <c r="O12268" t="str">
        <f>"PAGAMENTO DE ENTREGADORES"</f>
        <v>PAGAMENTO DE ENTREGADORES</v>
      </c>
      <c r="P12268">
        <v>474</v>
      </c>
      <c r="S12268" t="str">
        <f>"BANCO C6 (149)"</f>
        <v>BANCO C6 (149)</v>
      </c>
      <c r="T12268">
        <v>21523</v>
      </c>
      <c r="U12268">
        <v>25611</v>
      </c>
      <c r="V12268" t="s">
        <v>77</v>
      </c>
    </row>
    <row r="12269" spans="1:22">
      <c r="A12269" t="str">
        <f t="shared" si="2364"/>
        <v>21/11/2025</v>
      </c>
      <c r="B12269" t="str">
        <f t="shared" si="2361"/>
        <v>SAÍDA</v>
      </c>
      <c r="C12269" t="str">
        <f t="shared" si="2365"/>
        <v>PIX</v>
      </c>
      <c r="D12269" t="str">
        <f>"25611"</f>
        <v>25611</v>
      </c>
      <c r="E12269" t="str">
        <f t="shared" si="2368"/>
        <v>1</v>
      </c>
      <c r="F12269" t="str">
        <f t="shared" si="2357"/>
        <v>COM</v>
      </c>
      <c r="G12269" t="str">
        <f>"THAIS SILVA MAIA (1057)"</f>
        <v>THAIS SILVA MAIA (1057)</v>
      </c>
      <c r="H12269" t="s">
        <v>3315</v>
      </c>
      <c r="I12269" t="str">
        <f t="shared" si="2366"/>
        <v>20/11/2025</v>
      </c>
      <c r="J12269" t="str">
        <f t="shared" si="2367"/>
        <v>18/11/2025</v>
      </c>
      <c r="K12269">
        <v>45982</v>
      </c>
      <c r="N12269">
        <v>109</v>
      </c>
      <c r="O12269" t="s">
        <v>24</v>
      </c>
      <c r="Q12269">
        <v>474</v>
      </c>
      <c r="R12269" t="str">
        <f>"PAGMENOS - LJ 768 (10266)"</f>
        <v>PAGMENOS - LJ 768 (10266)</v>
      </c>
      <c r="S12269" t="s">
        <v>77</v>
      </c>
      <c r="T12269">
        <v>21523</v>
      </c>
      <c r="U12269">
        <v>25611</v>
      </c>
      <c r="V12269" t="s">
        <v>77</v>
      </c>
    </row>
    <row r="12270" spans="1:22">
      <c r="A12270" t="str">
        <f t="shared" si="2364"/>
        <v>21/11/2025</v>
      </c>
      <c r="B12270" t="str">
        <f t="shared" si="2361"/>
        <v>SAÍDA</v>
      </c>
      <c r="C12270" t="str">
        <f t="shared" si="2365"/>
        <v>PIX</v>
      </c>
      <c r="D12270" t="str">
        <f t="shared" ref="D12270:D12275" si="2369">"25614"</f>
        <v>25614</v>
      </c>
      <c r="E12270" t="str">
        <f t="shared" si="2368"/>
        <v>1</v>
      </c>
      <c r="F12270" t="str">
        <f t="shared" si="2357"/>
        <v>COM</v>
      </c>
      <c r="G12270" t="str">
        <f t="shared" ref="G12270:G12275" si="2370">"HANDREY RAFAEL TEODORO GEROLIM (1029)"</f>
        <v>HANDREY RAFAEL TEODORO GEROLIM (1029)</v>
      </c>
      <c r="H12270" t="str">
        <f>"Serv.Prest. 10/11/2025 a 16/11/2025 - PIX: CPF - CHAVE: 126.720.606-30"</f>
        <v>Serv.Prest. 10/11/2025 a 16/11/2025 - PIX: CPF - CHAVE: 126.720.606-30</v>
      </c>
      <c r="I12270" t="str">
        <f t="shared" si="2366"/>
        <v>20/11/2025</v>
      </c>
      <c r="J12270" t="str">
        <f t="shared" si="2367"/>
        <v>18/11/2025</v>
      </c>
      <c r="K12270" t="str">
        <f>("21/11/2025")</f>
        <v>21/11/2025</v>
      </c>
      <c r="L12270">
        <v>904</v>
      </c>
      <c r="M12270">
        <v>904</v>
      </c>
      <c r="N12270">
        <v>109</v>
      </c>
      <c r="O12270" t="str">
        <f>"PAGAMENTO DE ENTREGADORES"</f>
        <v>PAGAMENTO DE ENTREGADORES</v>
      </c>
      <c r="P12270">
        <v>904</v>
      </c>
      <c r="S12270" t="str">
        <f>"BANCO C6 (149)"</f>
        <v>BANCO C6 (149)</v>
      </c>
      <c r="T12270">
        <v>21524</v>
      </c>
      <c r="U12270">
        <v>25614</v>
      </c>
      <c r="V12270" t="s">
        <v>77</v>
      </c>
    </row>
    <row r="12271" spans="1:22">
      <c r="A12271" t="str">
        <f t="shared" si="2364"/>
        <v>21/11/2025</v>
      </c>
      <c r="B12271" t="str">
        <f t="shared" si="2361"/>
        <v>SAÍDA</v>
      </c>
      <c r="C12271" t="str">
        <f t="shared" si="2365"/>
        <v>PIX</v>
      </c>
      <c r="D12271" t="str">
        <f t="shared" si="2369"/>
        <v>25614</v>
      </c>
      <c r="E12271" t="str">
        <f t="shared" si="2368"/>
        <v>1</v>
      </c>
      <c r="F12271" t="str">
        <f t="shared" si="2357"/>
        <v>COM</v>
      </c>
      <c r="G12271" t="str">
        <f t="shared" si="2370"/>
        <v>HANDREY RAFAEL TEODORO GEROLIM (1029)</v>
      </c>
      <c r="H12271" t="s">
        <v>3316</v>
      </c>
      <c r="I12271" t="str">
        <f t="shared" si="2366"/>
        <v>20/11/2025</v>
      </c>
      <c r="J12271" t="str">
        <f t="shared" si="2367"/>
        <v>18/11/2025</v>
      </c>
      <c r="K12271">
        <v>45982</v>
      </c>
      <c r="N12271">
        <v>109</v>
      </c>
      <c r="O12271" t="s">
        <v>24</v>
      </c>
      <c r="Q12271">
        <v>142.21</v>
      </c>
      <c r="R12271" t="str">
        <f>"DROGALIDER 58 (10213)"</f>
        <v>DROGALIDER 58 (10213)</v>
      </c>
      <c r="S12271" t="s">
        <v>77</v>
      </c>
      <c r="T12271">
        <v>21524</v>
      </c>
      <c r="U12271">
        <v>25614</v>
      </c>
      <c r="V12271" t="s">
        <v>77</v>
      </c>
    </row>
    <row r="12272" spans="1:22">
      <c r="A12272" t="str">
        <f t="shared" si="2364"/>
        <v>21/11/2025</v>
      </c>
      <c r="B12272" t="str">
        <f t="shared" si="2361"/>
        <v>SAÍDA</v>
      </c>
      <c r="C12272" t="str">
        <f t="shared" si="2365"/>
        <v>PIX</v>
      </c>
      <c r="D12272" t="str">
        <f t="shared" si="2369"/>
        <v>25614</v>
      </c>
      <c r="E12272" t="str">
        <f t="shared" si="2368"/>
        <v>1</v>
      </c>
      <c r="F12272" t="str">
        <f t="shared" si="2357"/>
        <v>COM</v>
      </c>
      <c r="G12272" t="str">
        <f t="shared" si="2370"/>
        <v>HANDREY RAFAEL TEODORO GEROLIM (1029)</v>
      </c>
      <c r="H12272" t="s">
        <v>3316</v>
      </c>
      <c r="I12272" t="str">
        <f t="shared" si="2366"/>
        <v>20/11/2025</v>
      </c>
      <c r="J12272" t="str">
        <f t="shared" si="2367"/>
        <v>18/11/2025</v>
      </c>
      <c r="K12272">
        <v>45982</v>
      </c>
      <c r="N12272">
        <v>109</v>
      </c>
      <c r="O12272" t="s">
        <v>24</v>
      </c>
      <c r="Q12272">
        <v>335.2</v>
      </c>
      <c r="R12272" t="str">
        <f>"DROGALIDER 25 (10246)"</f>
        <v>DROGALIDER 25 (10246)</v>
      </c>
      <c r="S12272" t="s">
        <v>77</v>
      </c>
      <c r="T12272">
        <v>21524</v>
      </c>
      <c r="U12272">
        <v>25614</v>
      </c>
      <c r="V12272" t="s">
        <v>77</v>
      </c>
    </row>
    <row r="12273" spans="1:22">
      <c r="A12273" t="str">
        <f t="shared" si="2364"/>
        <v>21/11/2025</v>
      </c>
      <c r="B12273" t="str">
        <f t="shared" si="2361"/>
        <v>SAÍDA</v>
      </c>
      <c r="C12273" t="str">
        <f t="shared" si="2365"/>
        <v>PIX</v>
      </c>
      <c r="D12273" t="str">
        <f t="shared" si="2369"/>
        <v>25614</v>
      </c>
      <c r="E12273" t="str">
        <f t="shared" si="2368"/>
        <v>1</v>
      </c>
      <c r="F12273" t="str">
        <f t="shared" si="2357"/>
        <v>COM</v>
      </c>
      <c r="G12273" t="str">
        <f t="shared" si="2370"/>
        <v>HANDREY RAFAEL TEODORO GEROLIM (1029)</v>
      </c>
      <c r="H12273" t="s">
        <v>3316</v>
      </c>
      <c r="I12273" t="str">
        <f t="shared" si="2366"/>
        <v>20/11/2025</v>
      </c>
      <c r="J12273" t="str">
        <f t="shared" si="2367"/>
        <v>18/11/2025</v>
      </c>
      <c r="K12273">
        <v>45982</v>
      </c>
      <c r="N12273">
        <v>109</v>
      </c>
      <c r="O12273" t="s">
        <v>24</v>
      </c>
      <c r="Q12273">
        <v>274.27</v>
      </c>
      <c r="R12273" t="str">
        <f>"DROGALIDER 46 (10248)"</f>
        <v>DROGALIDER 46 (10248)</v>
      </c>
      <c r="S12273" t="s">
        <v>77</v>
      </c>
      <c r="T12273">
        <v>21524</v>
      </c>
      <c r="U12273">
        <v>25614</v>
      </c>
      <c r="V12273" t="s">
        <v>77</v>
      </c>
    </row>
    <row r="12274" spans="1:22">
      <c r="A12274" t="str">
        <f t="shared" si="2364"/>
        <v>21/11/2025</v>
      </c>
      <c r="B12274" t="str">
        <f t="shared" si="2361"/>
        <v>SAÍDA</v>
      </c>
      <c r="C12274" t="str">
        <f t="shared" si="2365"/>
        <v>PIX</v>
      </c>
      <c r="D12274" t="str">
        <f t="shared" si="2369"/>
        <v>25614</v>
      </c>
      <c r="E12274" t="str">
        <f t="shared" si="2368"/>
        <v>1</v>
      </c>
      <c r="F12274" t="str">
        <f t="shared" si="2357"/>
        <v>COM</v>
      </c>
      <c r="G12274" t="str">
        <f t="shared" si="2370"/>
        <v>HANDREY RAFAEL TEODORO GEROLIM (1029)</v>
      </c>
      <c r="H12274" t="s">
        <v>3316</v>
      </c>
      <c r="I12274" t="str">
        <f t="shared" si="2366"/>
        <v>20/11/2025</v>
      </c>
      <c r="J12274" t="str">
        <f t="shared" si="2367"/>
        <v>18/11/2025</v>
      </c>
      <c r="K12274">
        <v>45982</v>
      </c>
      <c r="N12274">
        <v>109</v>
      </c>
      <c r="O12274" t="s">
        <v>24</v>
      </c>
      <c r="Q12274">
        <v>101.61</v>
      </c>
      <c r="R12274" t="str">
        <f>"DROGALIDER 64 (10250)"</f>
        <v>DROGALIDER 64 (10250)</v>
      </c>
      <c r="S12274" t="s">
        <v>77</v>
      </c>
      <c r="T12274">
        <v>21524</v>
      </c>
      <c r="U12274">
        <v>25614</v>
      </c>
      <c r="V12274" t="s">
        <v>77</v>
      </c>
    </row>
    <row r="12275" spans="1:22">
      <c r="A12275" t="str">
        <f t="shared" si="2364"/>
        <v>21/11/2025</v>
      </c>
      <c r="B12275" t="str">
        <f t="shared" si="2361"/>
        <v>SAÍDA</v>
      </c>
      <c r="C12275" t="str">
        <f t="shared" si="2365"/>
        <v>PIX</v>
      </c>
      <c r="D12275" t="str">
        <f t="shared" si="2369"/>
        <v>25614</v>
      </c>
      <c r="E12275" t="str">
        <f t="shared" si="2368"/>
        <v>1</v>
      </c>
      <c r="F12275" t="str">
        <f t="shared" si="2357"/>
        <v>COM</v>
      </c>
      <c r="G12275" t="str">
        <f t="shared" si="2370"/>
        <v>HANDREY RAFAEL TEODORO GEROLIM (1029)</v>
      </c>
      <c r="H12275" t="s">
        <v>3316</v>
      </c>
      <c r="I12275" t="str">
        <f t="shared" si="2366"/>
        <v>20/11/2025</v>
      </c>
      <c r="J12275" t="str">
        <f t="shared" si="2367"/>
        <v>18/11/2025</v>
      </c>
      <c r="K12275">
        <v>45982</v>
      </c>
      <c r="N12275">
        <v>109</v>
      </c>
      <c r="O12275" t="s">
        <v>24</v>
      </c>
      <c r="Q12275">
        <v>50.71</v>
      </c>
      <c r="R12275" t="str">
        <f>"DROGALIDER 66 (10251)"</f>
        <v>DROGALIDER 66 (10251)</v>
      </c>
      <c r="S12275" t="s">
        <v>77</v>
      </c>
      <c r="T12275">
        <v>21524</v>
      </c>
      <c r="U12275">
        <v>25614</v>
      </c>
      <c r="V12275" t="s">
        <v>77</v>
      </c>
    </row>
    <row r="12276" spans="1:22">
      <c r="A12276" t="str">
        <f t="shared" si="2364"/>
        <v>21/11/2025</v>
      </c>
      <c r="B12276" t="str">
        <f t="shared" si="2361"/>
        <v>SAÍDA</v>
      </c>
      <c r="C12276" t="str">
        <f t="shared" si="2365"/>
        <v>PIX</v>
      </c>
      <c r="D12276" t="str">
        <f>"25615"</f>
        <v>25615</v>
      </c>
      <c r="E12276" t="str">
        <f t="shared" si="2368"/>
        <v>1</v>
      </c>
      <c r="F12276" t="str">
        <f t="shared" si="2357"/>
        <v>COM</v>
      </c>
      <c r="G12276" t="str">
        <f>"MATHEUS BLANCATO RESENDE (1030)"</f>
        <v>MATHEUS BLANCATO RESENDE (1030)</v>
      </c>
      <c r="H12276" t="str">
        <f>"Serv.Prest. 10/11/2025 a 16/11/2025 - PIX: CELULAR - CHAVE: (34) 97400-1695"</f>
        <v>Serv.Prest. 10/11/2025 a 16/11/2025 - PIX: CELULAR - CHAVE: (34) 97400-1695</v>
      </c>
      <c r="I12276" t="str">
        <f t="shared" si="2366"/>
        <v>20/11/2025</v>
      </c>
      <c r="J12276" t="str">
        <f t="shared" si="2367"/>
        <v>18/11/2025</v>
      </c>
      <c r="K12276" t="str">
        <f>("21/11/2025")</f>
        <v>21/11/2025</v>
      </c>
      <c r="L12276">
        <v>904</v>
      </c>
      <c r="M12276">
        <v>904</v>
      </c>
      <c r="N12276">
        <v>109</v>
      </c>
      <c r="O12276" t="str">
        <f>"PAGAMENTO DE ENTREGADORES"</f>
        <v>PAGAMENTO DE ENTREGADORES</v>
      </c>
      <c r="P12276">
        <v>904</v>
      </c>
      <c r="S12276" t="str">
        <f>"BANCO C6 (149)"</f>
        <v>BANCO C6 (149)</v>
      </c>
      <c r="T12276">
        <v>21525</v>
      </c>
      <c r="U12276">
        <v>25615</v>
      </c>
      <c r="V12276" t="s">
        <v>77</v>
      </c>
    </row>
    <row r="12277" spans="1:22">
      <c r="A12277" t="str">
        <f t="shared" si="2364"/>
        <v>21/11/2025</v>
      </c>
      <c r="B12277" t="str">
        <f t="shared" si="2361"/>
        <v>SAÍDA</v>
      </c>
      <c r="C12277" t="str">
        <f t="shared" si="2365"/>
        <v>PIX</v>
      </c>
      <c r="D12277" t="str">
        <f>"25615"</f>
        <v>25615</v>
      </c>
      <c r="E12277" t="str">
        <f t="shared" si="2368"/>
        <v>1</v>
      </c>
      <c r="F12277" t="str">
        <f t="shared" si="2357"/>
        <v>COM</v>
      </c>
      <c r="G12277" t="str">
        <f>"MATHEUS BLANCATO RESENDE (1030)"</f>
        <v>MATHEUS BLANCATO RESENDE (1030)</v>
      </c>
      <c r="H12277" t="s">
        <v>3317</v>
      </c>
      <c r="I12277" t="str">
        <f t="shared" si="2366"/>
        <v>20/11/2025</v>
      </c>
      <c r="J12277" t="str">
        <f t="shared" si="2367"/>
        <v>18/11/2025</v>
      </c>
      <c r="K12277">
        <v>45982</v>
      </c>
      <c r="N12277">
        <v>109</v>
      </c>
      <c r="O12277" t="s">
        <v>24</v>
      </c>
      <c r="Q12277">
        <v>169.51</v>
      </c>
      <c r="R12277" t="str">
        <f>"DROGALIDER 58 (10213)"</f>
        <v>DROGALIDER 58 (10213)</v>
      </c>
      <c r="S12277" t="s">
        <v>77</v>
      </c>
      <c r="T12277">
        <v>21525</v>
      </c>
      <c r="U12277">
        <v>25615</v>
      </c>
      <c r="V12277" t="s">
        <v>77</v>
      </c>
    </row>
    <row r="12278" spans="1:22">
      <c r="A12278" t="str">
        <f t="shared" si="2364"/>
        <v>21/11/2025</v>
      </c>
      <c r="B12278" t="str">
        <f t="shared" si="2361"/>
        <v>SAÍDA</v>
      </c>
      <c r="C12278" t="str">
        <f t="shared" si="2365"/>
        <v>PIX</v>
      </c>
      <c r="D12278" t="str">
        <f>"25615"</f>
        <v>25615</v>
      </c>
      <c r="E12278" t="str">
        <f t="shared" si="2368"/>
        <v>1</v>
      </c>
      <c r="F12278" t="str">
        <f t="shared" si="2357"/>
        <v>COM</v>
      </c>
      <c r="G12278" t="str">
        <f>"MATHEUS BLANCATO RESENDE (1030)"</f>
        <v>MATHEUS BLANCATO RESENDE (1030)</v>
      </c>
      <c r="H12278" t="s">
        <v>3317</v>
      </c>
      <c r="I12278" t="str">
        <f t="shared" si="2366"/>
        <v>20/11/2025</v>
      </c>
      <c r="J12278" t="str">
        <f t="shared" si="2367"/>
        <v>18/11/2025</v>
      </c>
      <c r="K12278">
        <v>45982</v>
      </c>
      <c r="N12278">
        <v>109</v>
      </c>
      <c r="O12278" t="s">
        <v>24</v>
      </c>
      <c r="Q12278">
        <v>414.3</v>
      </c>
      <c r="R12278" t="str">
        <f>"DROGALIDER 25 (10246)"</f>
        <v>DROGALIDER 25 (10246)</v>
      </c>
      <c r="S12278" t="s">
        <v>77</v>
      </c>
      <c r="T12278">
        <v>21525</v>
      </c>
      <c r="U12278">
        <v>25615</v>
      </c>
      <c r="V12278" t="s">
        <v>77</v>
      </c>
    </row>
    <row r="12279" spans="1:22">
      <c r="A12279" t="str">
        <f t="shared" si="2364"/>
        <v>21/11/2025</v>
      </c>
      <c r="B12279" t="str">
        <f t="shared" si="2361"/>
        <v>SAÍDA</v>
      </c>
      <c r="C12279" t="str">
        <f t="shared" si="2365"/>
        <v>PIX</v>
      </c>
      <c r="D12279" t="str">
        <f>"25615"</f>
        <v>25615</v>
      </c>
      <c r="E12279" t="str">
        <f t="shared" si="2368"/>
        <v>1</v>
      </c>
      <c r="F12279" t="str">
        <f t="shared" si="2357"/>
        <v>COM</v>
      </c>
      <c r="G12279" t="str">
        <f>"MATHEUS BLANCATO RESENDE (1030)"</f>
        <v>MATHEUS BLANCATO RESENDE (1030)</v>
      </c>
      <c r="H12279" t="s">
        <v>3317</v>
      </c>
      <c r="I12279" t="str">
        <f t="shared" si="2366"/>
        <v>20/11/2025</v>
      </c>
      <c r="J12279" t="str">
        <f t="shared" si="2367"/>
        <v>18/11/2025</v>
      </c>
      <c r="K12279">
        <v>45982</v>
      </c>
      <c r="N12279">
        <v>109</v>
      </c>
      <c r="O12279" t="s">
        <v>24</v>
      </c>
      <c r="Q12279">
        <v>244.8</v>
      </c>
      <c r="R12279" t="str">
        <f>"DROGALIDER 46 (10248)"</f>
        <v>DROGALIDER 46 (10248)</v>
      </c>
      <c r="S12279" t="s">
        <v>77</v>
      </c>
      <c r="T12279">
        <v>21525</v>
      </c>
      <c r="U12279">
        <v>25615</v>
      </c>
      <c r="V12279" t="s">
        <v>77</v>
      </c>
    </row>
    <row r="12280" spans="1:22">
      <c r="A12280" t="str">
        <f t="shared" si="2364"/>
        <v>21/11/2025</v>
      </c>
      <c r="B12280" t="str">
        <f t="shared" si="2361"/>
        <v>SAÍDA</v>
      </c>
      <c r="C12280" t="str">
        <f t="shared" si="2365"/>
        <v>PIX</v>
      </c>
      <c r="D12280" t="str">
        <f>"25615"</f>
        <v>25615</v>
      </c>
      <c r="E12280" t="str">
        <f t="shared" si="2368"/>
        <v>1</v>
      </c>
      <c r="F12280" t="str">
        <f t="shared" si="2357"/>
        <v>COM</v>
      </c>
      <c r="G12280" t="str">
        <f>"MATHEUS BLANCATO RESENDE (1030)"</f>
        <v>MATHEUS BLANCATO RESENDE (1030)</v>
      </c>
      <c r="H12280" t="s">
        <v>3317</v>
      </c>
      <c r="I12280" t="str">
        <f t="shared" si="2366"/>
        <v>20/11/2025</v>
      </c>
      <c r="J12280" t="str">
        <f t="shared" ref="J12280:J12311" si="2371">("18/11/2025")</f>
        <v>18/11/2025</v>
      </c>
      <c r="K12280">
        <v>45982</v>
      </c>
      <c r="N12280">
        <v>109</v>
      </c>
      <c r="O12280" t="s">
        <v>24</v>
      </c>
      <c r="Q12280">
        <v>75.39</v>
      </c>
      <c r="R12280" t="str">
        <f>"DROGALIDER 64 (10250)"</f>
        <v>DROGALIDER 64 (10250)</v>
      </c>
      <c r="S12280" t="s">
        <v>77</v>
      </c>
      <c r="T12280">
        <v>21525</v>
      </c>
      <c r="U12280">
        <v>25615</v>
      </c>
      <c r="V12280" t="s">
        <v>77</v>
      </c>
    </row>
    <row r="12281" spans="1:22">
      <c r="A12281" t="str">
        <f t="shared" si="2364"/>
        <v>21/11/2025</v>
      </c>
      <c r="B12281" t="str">
        <f t="shared" si="2361"/>
        <v>SAÍDA</v>
      </c>
      <c r="C12281" t="str">
        <f t="shared" si="2365"/>
        <v>PIX</v>
      </c>
      <c r="D12281" t="str">
        <f t="shared" ref="D12281:D12286" si="2372">"25616"</f>
        <v>25616</v>
      </c>
      <c r="E12281" t="str">
        <f t="shared" si="2368"/>
        <v>1</v>
      </c>
      <c r="F12281" t="str">
        <f t="shared" si="2357"/>
        <v>COM</v>
      </c>
      <c r="G12281" t="str">
        <f t="shared" ref="G12281:G12286" si="2373">"RIAN FELIPE SILVA (1060)"</f>
        <v>RIAN FELIPE SILVA (1060)</v>
      </c>
      <c r="H12281" t="str">
        <f>"Serv.Prest. 10/11/2025 a 16/11/2025 - PIX: CPF - CHAVE: 480.429.318-32"</f>
        <v>Serv.Prest. 10/11/2025 a 16/11/2025 - PIX: CPF - CHAVE: 480.429.318-32</v>
      </c>
      <c r="I12281" t="str">
        <f t="shared" si="2366"/>
        <v>20/11/2025</v>
      </c>
      <c r="J12281" t="str">
        <f t="shared" si="2371"/>
        <v>18/11/2025</v>
      </c>
      <c r="K12281" t="str">
        <f>("21/11/2025")</f>
        <v>21/11/2025</v>
      </c>
      <c r="L12281">
        <v>1080</v>
      </c>
      <c r="M12281">
        <v>1080</v>
      </c>
      <c r="N12281">
        <v>109</v>
      </c>
      <c r="O12281" t="str">
        <f>"PAGAMENTO DE ENTREGADORES"</f>
        <v>PAGAMENTO DE ENTREGADORES</v>
      </c>
      <c r="P12281">
        <v>1080</v>
      </c>
      <c r="S12281" t="str">
        <f>"BANCO C6 (149)"</f>
        <v>BANCO C6 (149)</v>
      </c>
      <c r="T12281">
        <v>21526</v>
      </c>
      <c r="U12281">
        <v>25616</v>
      </c>
      <c r="V12281" t="s">
        <v>77</v>
      </c>
    </row>
    <row r="12282" spans="1:22">
      <c r="A12282" t="str">
        <f t="shared" si="2364"/>
        <v>21/11/2025</v>
      </c>
      <c r="B12282" t="str">
        <f t="shared" si="2361"/>
        <v>SAÍDA</v>
      </c>
      <c r="C12282" t="str">
        <f t="shared" si="2365"/>
        <v>PIX</v>
      </c>
      <c r="D12282" t="str">
        <f t="shared" si="2372"/>
        <v>25616</v>
      </c>
      <c r="E12282" t="str">
        <f t="shared" si="2368"/>
        <v>1</v>
      </c>
      <c r="F12282" t="str">
        <f t="shared" ref="F12282:F12345" si="2374">"COM"</f>
        <v>COM</v>
      </c>
      <c r="G12282" t="str">
        <f t="shared" si="2373"/>
        <v>RIAN FELIPE SILVA (1060)</v>
      </c>
      <c r="H12282" t="s">
        <v>3318</v>
      </c>
      <c r="I12282" t="str">
        <f t="shared" si="2366"/>
        <v>20/11/2025</v>
      </c>
      <c r="J12282" t="str">
        <f t="shared" si="2371"/>
        <v>18/11/2025</v>
      </c>
      <c r="K12282">
        <v>45982</v>
      </c>
      <c r="N12282">
        <v>109</v>
      </c>
      <c r="O12282" t="s">
        <v>24</v>
      </c>
      <c r="Q12282">
        <v>216</v>
      </c>
      <c r="R12282" t="str">
        <f>"DROGALIDER 58 (10213)"</f>
        <v>DROGALIDER 58 (10213)</v>
      </c>
      <c r="S12282" t="s">
        <v>77</v>
      </c>
      <c r="T12282">
        <v>21526</v>
      </c>
      <c r="U12282">
        <v>25616</v>
      </c>
      <c r="V12282" t="s">
        <v>77</v>
      </c>
    </row>
    <row r="12283" spans="1:22">
      <c r="A12283" t="str">
        <f t="shared" si="2364"/>
        <v>21/11/2025</v>
      </c>
      <c r="B12283" t="str">
        <f t="shared" si="2361"/>
        <v>SAÍDA</v>
      </c>
      <c r="C12283" t="str">
        <f t="shared" si="2365"/>
        <v>PIX</v>
      </c>
      <c r="D12283" t="str">
        <f t="shared" si="2372"/>
        <v>25616</v>
      </c>
      <c r="E12283" t="str">
        <f t="shared" si="2368"/>
        <v>1</v>
      </c>
      <c r="F12283" t="str">
        <f t="shared" si="2374"/>
        <v>COM</v>
      </c>
      <c r="G12283" t="str">
        <f t="shared" si="2373"/>
        <v>RIAN FELIPE SILVA (1060)</v>
      </c>
      <c r="H12283" t="s">
        <v>3318</v>
      </c>
      <c r="I12283" t="str">
        <f t="shared" si="2366"/>
        <v>20/11/2025</v>
      </c>
      <c r="J12283" t="str">
        <f t="shared" si="2371"/>
        <v>18/11/2025</v>
      </c>
      <c r="K12283">
        <v>45982</v>
      </c>
      <c r="N12283">
        <v>109</v>
      </c>
      <c r="O12283" t="s">
        <v>24</v>
      </c>
      <c r="Q12283">
        <v>335.99</v>
      </c>
      <c r="R12283" t="str">
        <f>"DROGALIDER 25 (10246)"</f>
        <v>DROGALIDER 25 (10246)</v>
      </c>
      <c r="S12283" t="s">
        <v>77</v>
      </c>
      <c r="T12283">
        <v>21526</v>
      </c>
      <c r="U12283">
        <v>25616</v>
      </c>
      <c r="V12283" t="s">
        <v>77</v>
      </c>
    </row>
    <row r="12284" spans="1:22">
      <c r="A12284" t="str">
        <f t="shared" si="2364"/>
        <v>21/11/2025</v>
      </c>
      <c r="B12284" t="str">
        <f t="shared" si="2361"/>
        <v>SAÍDA</v>
      </c>
      <c r="C12284" t="str">
        <f t="shared" si="2365"/>
        <v>PIX</v>
      </c>
      <c r="D12284" t="str">
        <f t="shared" si="2372"/>
        <v>25616</v>
      </c>
      <c r="E12284" t="str">
        <f t="shared" si="2368"/>
        <v>1</v>
      </c>
      <c r="F12284" t="str">
        <f t="shared" si="2374"/>
        <v>COM</v>
      </c>
      <c r="G12284" t="str">
        <f t="shared" si="2373"/>
        <v>RIAN FELIPE SILVA (1060)</v>
      </c>
      <c r="H12284" t="s">
        <v>3318</v>
      </c>
      <c r="I12284" t="str">
        <f t="shared" si="2366"/>
        <v>20/11/2025</v>
      </c>
      <c r="J12284" t="str">
        <f t="shared" si="2371"/>
        <v>18/11/2025</v>
      </c>
      <c r="K12284">
        <v>45982</v>
      </c>
      <c r="N12284">
        <v>109</v>
      </c>
      <c r="O12284" t="s">
        <v>24</v>
      </c>
      <c r="Q12284">
        <v>424.01</v>
      </c>
      <c r="R12284" t="str">
        <f>"DROGALIDER 46 (10248)"</f>
        <v>DROGALIDER 46 (10248)</v>
      </c>
      <c r="S12284" t="s">
        <v>77</v>
      </c>
      <c r="T12284">
        <v>21526</v>
      </c>
      <c r="U12284">
        <v>25616</v>
      </c>
      <c r="V12284" t="s">
        <v>77</v>
      </c>
    </row>
    <row r="12285" spans="1:22">
      <c r="A12285" t="str">
        <f t="shared" si="2364"/>
        <v>21/11/2025</v>
      </c>
      <c r="B12285" t="str">
        <f t="shared" si="2361"/>
        <v>SAÍDA</v>
      </c>
      <c r="C12285" t="str">
        <f t="shared" si="2365"/>
        <v>PIX</v>
      </c>
      <c r="D12285" t="str">
        <f t="shared" si="2372"/>
        <v>25616</v>
      </c>
      <c r="E12285" t="str">
        <f t="shared" si="2368"/>
        <v>1</v>
      </c>
      <c r="F12285" t="str">
        <f t="shared" si="2374"/>
        <v>COM</v>
      </c>
      <c r="G12285" t="str">
        <f t="shared" si="2373"/>
        <v>RIAN FELIPE SILVA (1060)</v>
      </c>
      <c r="H12285" t="s">
        <v>3318</v>
      </c>
      <c r="I12285" t="str">
        <f t="shared" si="2366"/>
        <v>20/11/2025</v>
      </c>
      <c r="J12285" t="str">
        <f t="shared" si="2371"/>
        <v>18/11/2025</v>
      </c>
      <c r="K12285">
        <v>45982</v>
      </c>
      <c r="N12285">
        <v>109</v>
      </c>
      <c r="O12285" t="s">
        <v>24</v>
      </c>
      <c r="Q12285">
        <v>47.95</v>
      </c>
      <c r="R12285" t="str">
        <f>"DROGALIDER 64 (10250)"</f>
        <v>DROGALIDER 64 (10250)</v>
      </c>
      <c r="S12285" t="s">
        <v>77</v>
      </c>
      <c r="T12285">
        <v>21526</v>
      </c>
      <c r="U12285">
        <v>25616</v>
      </c>
      <c r="V12285" t="s">
        <v>77</v>
      </c>
    </row>
    <row r="12286" spans="1:22">
      <c r="A12286" t="str">
        <f t="shared" si="2364"/>
        <v>21/11/2025</v>
      </c>
      <c r="B12286" t="str">
        <f t="shared" si="2361"/>
        <v>SAÍDA</v>
      </c>
      <c r="C12286" t="str">
        <f t="shared" si="2365"/>
        <v>PIX</v>
      </c>
      <c r="D12286" t="str">
        <f t="shared" si="2372"/>
        <v>25616</v>
      </c>
      <c r="E12286" t="str">
        <f t="shared" si="2368"/>
        <v>1</v>
      </c>
      <c r="F12286" t="str">
        <f t="shared" si="2374"/>
        <v>COM</v>
      </c>
      <c r="G12286" t="str">
        <f t="shared" si="2373"/>
        <v>RIAN FELIPE SILVA (1060)</v>
      </c>
      <c r="H12286" t="s">
        <v>3318</v>
      </c>
      <c r="I12286" t="str">
        <f t="shared" si="2366"/>
        <v>20/11/2025</v>
      </c>
      <c r="J12286" t="str">
        <f t="shared" si="2371"/>
        <v>18/11/2025</v>
      </c>
      <c r="K12286">
        <v>45982</v>
      </c>
      <c r="N12286">
        <v>109</v>
      </c>
      <c r="O12286" t="s">
        <v>24</v>
      </c>
      <c r="Q12286">
        <v>56.05</v>
      </c>
      <c r="R12286" t="str">
        <f>"DROGALIDER 66 (10251)"</f>
        <v>DROGALIDER 66 (10251)</v>
      </c>
      <c r="S12286" t="s">
        <v>77</v>
      </c>
      <c r="T12286">
        <v>21526</v>
      </c>
      <c r="U12286">
        <v>25616</v>
      </c>
      <c r="V12286" t="s">
        <v>77</v>
      </c>
    </row>
    <row r="12287" spans="1:22">
      <c r="A12287" t="str">
        <f t="shared" si="2364"/>
        <v>21/11/2025</v>
      </c>
      <c r="B12287" t="str">
        <f t="shared" si="2361"/>
        <v>SAÍDA</v>
      </c>
      <c r="C12287" t="str">
        <f t="shared" si="2365"/>
        <v>PIX</v>
      </c>
      <c r="D12287" t="str">
        <f t="shared" ref="D12287:D12292" si="2375">"25617"</f>
        <v>25617</v>
      </c>
      <c r="E12287" t="str">
        <f t="shared" si="2368"/>
        <v>1</v>
      </c>
      <c r="F12287" t="str">
        <f t="shared" si="2374"/>
        <v>COM</v>
      </c>
      <c r="G12287" t="str">
        <f t="shared" ref="G12287:G12292" si="2376">"SARA GABRIELLE SANTOS SILVA (710)"</f>
        <v>SARA GABRIELLE SANTOS SILVA (710)</v>
      </c>
      <c r="H12287" t="str">
        <f>"Serv.Prest. 10/11/2025 a 16/11/2025 - PIX: CPF - CHAVE: 023.116.166-25"</f>
        <v>Serv.Prest. 10/11/2025 a 16/11/2025 - PIX: CPF - CHAVE: 023.116.166-25</v>
      </c>
      <c r="I12287" t="str">
        <f t="shared" si="2366"/>
        <v>20/11/2025</v>
      </c>
      <c r="J12287" t="str">
        <f t="shared" si="2371"/>
        <v>18/11/2025</v>
      </c>
      <c r="K12287" t="str">
        <f>("21/11/2025")</f>
        <v>21/11/2025</v>
      </c>
      <c r="L12287">
        <v>1208</v>
      </c>
      <c r="M12287">
        <v>1208</v>
      </c>
      <c r="N12287">
        <v>109</v>
      </c>
      <c r="O12287" t="str">
        <f>"PAGAMENTO DE ENTREGADORES"</f>
        <v>PAGAMENTO DE ENTREGADORES</v>
      </c>
      <c r="P12287">
        <v>1208</v>
      </c>
      <c r="S12287" t="str">
        <f>"BANCO C6 (149)"</f>
        <v>BANCO C6 (149)</v>
      </c>
      <c r="T12287">
        <v>21527</v>
      </c>
      <c r="U12287">
        <v>25617</v>
      </c>
      <c r="V12287" t="s">
        <v>77</v>
      </c>
    </row>
    <row r="12288" spans="1:22">
      <c r="A12288" t="str">
        <f t="shared" si="2364"/>
        <v>21/11/2025</v>
      </c>
      <c r="B12288" t="str">
        <f t="shared" si="2361"/>
        <v>SAÍDA</v>
      </c>
      <c r="C12288" t="str">
        <f t="shared" si="2365"/>
        <v>PIX</v>
      </c>
      <c r="D12288" t="str">
        <f t="shared" si="2375"/>
        <v>25617</v>
      </c>
      <c r="E12288" t="str">
        <f t="shared" si="2368"/>
        <v>1</v>
      </c>
      <c r="F12288" t="str">
        <f t="shared" si="2374"/>
        <v>COM</v>
      </c>
      <c r="G12288" t="str">
        <f t="shared" si="2376"/>
        <v>SARA GABRIELLE SANTOS SILVA (710)</v>
      </c>
      <c r="H12288" t="s">
        <v>3319</v>
      </c>
      <c r="I12288" t="str">
        <f t="shared" si="2366"/>
        <v>20/11/2025</v>
      </c>
      <c r="J12288" t="str">
        <f t="shared" si="2371"/>
        <v>18/11/2025</v>
      </c>
      <c r="K12288">
        <v>45982</v>
      </c>
      <c r="N12288">
        <v>109</v>
      </c>
      <c r="O12288" t="s">
        <v>24</v>
      </c>
      <c r="Q12288">
        <v>312.02</v>
      </c>
      <c r="R12288" t="str">
        <f>"DROGALIDER 58 (10213)"</f>
        <v>DROGALIDER 58 (10213)</v>
      </c>
      <c r="S12288" t="s">
        <v>77</v>
      </c>
      <c r="T12288">
        <v>21527</v>
      </c>
      <c r="U12288">
        <v>25617</v>
      </c>
      <c r="V12288" t="s">
        <v>77</v>
      </c>
    </row>
    <row r="12289" spans="1:22">
      <c r="A12289" t="str">
        <f t="shared" si="2364"/>
        <v>21/11/2025</v>
      </c>
      <c r="B12289" t="str">
        <f t="shared" si="2361"/>
        <v>SAÍDA</v>
      </c>
      <c r="C12289" t="str">
        <f t="shared" si="2365"/>
        <v>PIX</v>
      </c>
      <c r="D12289" t="str">
        <f t="shared" si="2375"/>
        <v>25617</v>
      </c>
      <c r="E12289" t="str">
        <f t="shared" si="2368"/>
        <v>1</v>
      </c>
      <c r="F12289" t="str">
        <f t="shared" si="2374"/>
        <v>COM</v>
      </c>
      <c r="G12289" t="str">
        <f t="shared" si="2376"/>
        <v>SARA GABRIELLE SANTOS SILVA (710)</v>
      </c>
      <c r="H12289" t="s">
        <v>3319</v>
      </c>
      <c r="I12289" t="str">
        <f t="shared" si="2366"/>
        <v>20/11/2025</v>
      </c>
      <c r="J12289" t="str">
        <f t="shared" si="2371"/>
        <v>18/11/2025</v>
      </c>
      <c r="K12289">
        <v>45982</v>
      </c>
      <c r="N12289">
        <v>109</v>
      </c>
      <c r="O12289" t="s">
        <v>24</v>
      </c>
      <c r="Q12289">
        <v>503.98</v>
      </c>
      <c r="R12289" t="str">
        <f>"DROGALIDER 25 (10246)"</f>
        <v>DROGALIDER 25 (10246)</v>
      </c>
      <c r="S12289" t="s">
        <v>77</v>
      </c>
      <c r="T12289">
        <v>21527</v>
      </c>
      <c r="U12289">
        <v>25617</v>
      </c>
      <c r="V12289" t="s">
        <v>77</v>
      </c>
    </row>
    <row r="12290" spans="1:22">
      <c r="A12290" t="str">
        <f t="shared" si="2364"/>
        <v>21/11/2025</v>
      </c>
      <c r="B12290" t="str">
        <f t="shared" si="2361"/>
        <v>SAÍDA</v>
      </c>
      <c r="C12290" t="str">
        <f t="shared" si="2365"/>
        <v>PIX</v>
      </c>
      <c r="D12290" t="str">
        <f t="shared" si="2375"/>
        <v>25617</v>
      </c>
      <c r="E12290" t="str">
        <f t="shared" si="2368"/>
        <v>1</v>
      </c>
      <c r="F12290" t="str">
        <f t="shared" si="2374"/>
        <v>COM</v>
      </c>
      <c r="G12290" t="str">
        <f t="shared" si="2376"/>
        <v>SARA GABRIELLE SANTOS SILVA (710)</v>
      </c>
      <c r="H12290" t="s">
        <v>3319</v>
      </c>
      <c r="I12290" t="str">
        <f t="shared" si="2366"/>
        <v>20/11/2025</v>
      </c>
      <c r="J12290" t="str">
        <f t="shared" si="2371"/>
        <v>18/11/2025</v>
      </c>
      <c r="K12290">
        <v>45982</v>
      </c>
      <c r="N12290">
        <v>109</v>
      </c>
      <c r="O12290" t="s">
        <v>24</v>
      </c>
      <c r="Q12290">
        <v>255.98</v>
      </c>
      <c r="R12290" t="str">
        <f>"DROGALIDER 46 (10248)"</f>
        <v>DROGALIDER 46 (10248)</v>
      </c>
      <c r="S12290" t="s">
        <v>77</v>
      </c>
      <c r="T12290">
        <v>21527</v>
      </c>
      <c r="U12290">
        <v>25617</v>
      </c>
      <c r="V12290" t="s">
        <v>77</v>
      </c>
    </row>
    <row r="12291" spans="1:22">
      <c r="A12291" t="str">
        <f t="shared" si="2364"/>
        <v>21/11/2025</v>
      </c>
      <c r="B12291" t="str">
        <f t="shared" si="2361"/>
        <v>SAÍDA</v>
      </c>
      <c r="C12291" t="str">
        <f t="shared" si="2365"/>
        <v>PIX</v>
      </c>
      <c r="D12291" t="str">
        <f t="shared" si="2375"/>
        <v>25617</v>
      </c>
      <c r="E12291" t="str">
        <f t="shared" si="2368"/>
        <v>1</v>
      </c>
      <c r="F12291" t="str">
        <f t="shared" si="2374"/>
        <v>COM</v>
      </c>
      <c r="G12291" t="str">
        <f t="shared" si="2376"/>
        <v>SARA GABRIELLE SANTOS SILVA (710)</v>
      </c>
      <c r="H12291" t="s">
        <v>3319</v>
      </c>
      <c r="I12291" t="str">
        <f t="shared" si="2366"/>
        <v>20/11/2025</v>
      </c>
      <c r="J12291" t="str">
        <f t="shared" si="2371"/>
        <v>18/11/2025</v>
      </c>
      <c r="K12291">
        <v>45982</v>
      </c>
      <c r="N12291">
        <v>109</v>
      </c>
      <c r="O12291" t="s">
        <v>24</v>
      </c>
      <c r="Q12291">
        <v>56.05</v>
      </c>
      <c r="R12291" t="str">
        <f>"DROGALIDER 64 (10250)"</f>
        <v>DROGALIDER 64 (10250)</v>
      </c>
      <c r="S12291" t="s">
        <v>77</v>
      </c>
      <c r="T12291">
        <v>21527</v>
      </c>
      <c r="U12291">
        <v>25617</v>
      </c>
      <c r="V12291" t="s">
        <v>77</v>
      </c>
    </row>
    <row r="12292" spans="1:22">
      <c r="A12292" t="str">
        <f t="shared" si="2364"/>
        <v>21/11/2025</v>
      </c>
      <c r="B12292" t="str">
        <f t="shared" si="2361"/>
        <v>SAÍDA</v>
      </c>
      <c r="C12292" t="str">
        <f t="shared" si="2365"/>
        <v>PIX</v>
      </c>
      <c r="D12292" t="str">
        <f t="shared" si="2375"/>
        <v>25617</v>
      </c>
      <c r="E12292" t="str">
        <f t="shared" si="2368"/>
        <v>1</v>
      </c>
      <c r="F12292" t="str">
        <f t="shared" si="2374"/>
        <v>COM</v>
      </c>
      <c r="G12292" t="str">
        <f t="shared" si="2376"/>
        <v>SARA GABRIELLE SANTOS SILVA (710)</v>
      </c>
      <c r="H12292" t="s">
        <v>3319</v>
      </c>
      <c r="I12292" t="str">
        <f t="shared" si="2366"/>
        <v>20/11/2025</v>
      </c>
      <c r="J12292" t="str">
        <f t="shared" si="2371"/>
        <v>18/11/2025</v>
      </c>
      <c r="K12292">
        <v>45982</v>
      </c>
      <c r="N12292">
        <v>109</v>
      </c>
      <c r="O12292" t="s">
        <v>24</v>
      </c>
      <c r="Q12292">
        <v>79.97</v>
      </c>
      <c r="R12292" t="str">
        <f>"DROGALIDER 66 (10251)"</f>
        <v>DROGALIDER 66 (10251)</v>
      </c>
      <c r="S12292" t="s">
        <v>77</v>
      </c>
      <c r="T12292">
        <v>21527</v>
      </c>
      <c r="U12292">
        <v>25617</v>
      </c>
      <c r="V12292" t="s">
        <v>77</v>
      </c>
    </row>
    <row r="12293" spans="1:22">
      <c r="A12293" t="str">
        <f t="shared" si="2364"/>
        <v>21/11/2025</v>
      </c>
      <c r="B12293" t="str">
        <f t="shared" ref="B12293:B12356" si="2377">"SAÍDA"</f>
        <v>SAÍDA</v>
      </c>
      <c r="C12293" t="str">
        <f t="shared" si="2365"/>
        <v>PIX</v>
      </c>
      <c r="D12293" t="str">
        <f>"25619"</f>
        <v>25619</v>
      </c>
      <c r="E12293" t="str">
        <f t="shared" si="2368"/>
        <v>1</v>
      </c>
      <c r="F12293" t="str">
        <f t="shared" si="2374"/>
        <v>COM</v>
      </c>
      <c r="G12293" t="str">
        <f>"ALEXSANDRO HENRIQUE FERREIRA (808)"</f>
        <v>ALEXSANDRO HENRIQUE FERREIRA (808)</v>
      </c>
      <c r="H12293" t="str">
        <f>"Serv.Prest. 10/11/2025 a 16/11/2025 - PIX: CPF - CHAVE: 157.591.436-03"</f>
        <v>Serv.Prest. 10/11/2025 a 16/11/2025 - PIX: CPF - CHAVE: 157.591.436-03</v>
      </c>
      <c r="I12293" t="str">
        <f t="shared" si="2366"/>
        <v>20/11/2025</v>
      </c>
      <c r="J12293" t="str">
        <f t="shared" si="2371"/>
        <v>18/11/2025</v>
      </c>
      <c r="K12293" t="str">
        <f>("21/11/2025")</f>
        <v>21/11/2025</v>
      </c>
      <c r="L12293">
        <v>1004.85</v>
      </c>
      <c r="M12293">
        <v>1004.85</v>
      </c>
      <c r="N12293">
        <v>109</v>
      </c>
      <c r="O12293" t="str">
        <f>"PAGAMENTO DE ENTREGADORES"</f>
        <v>PAGAMENTO DE ENTREGADORES</v>
      </c>
      <c r="P12293">
        <v>1004.85</v>
      </c>
      <c r="S12293" t="str">
        <f>"BANCO C6 (149)"</f>
        <v>BANCO C6 (149)</v>
      </c>
      <c r="T12293">
        <v>21528</v>
      </c>
      <c r="U12293">
        <v>25619</v>
      </c>
      <c r="V12293" t="s">
        <v>77</v>
      </c>
    </row>
    <row r="12294" spans="1:22">
      <c r="A12294" t="str">
        <f t="shared" si="2364"/>
        <v>21/11/2025</v>
      </c>
      <c r="B12294" t="str">
        <f t="shared" si="2377"/>
        <v>SAÍDA</v>
      </c>
      <c r="C12294" t="str">
        <f t="shared" si="2365"/>
        <v>PIX</v>
      </c>
      <c r="D12294" t="str">
        <f>"25619"</f>
        <v>25619</v>
      </c>
      <c r="E12294" t="str">
        <f t="shared" si="2368"/>
        <v>1</v>
      </c>
      <c r="F12294" t="str">
        <f t="shared" si="2374"/>
        <v>COM</v>
      </c>
      <c r="G12294" t="str">
        <f>"ALEXSANDRO HENRIQUE FERREIRA (808)"</f>
        <v>ALEXSANDRO HENRIQUE FERREIRA (808)</v>
      </c>
      <c r="H12294" t="s">
        <v>3320</v>
      </c>
      <c r="I12294" t="str">
        <f t="shared" si="2366"/>
        <v>20/11/2025</v>
      </c>
      <c r="J12294" t="str">
        <f t="shared" si="2371"/>
        <v>18/11/2025</v>
      </c>
      <c r="K12294">
        <v>45982</v>
      </c>
      <c r="N12294">
        <v>109</v>
      </c>
      <c r="O12294" t="s">
        <v>24</v>
      </c>
      <c r="Q12294">
        <v>1004.85</v>
      </c>
      <c r="R12294" t="str">
        <f>"DROGARIA ANA VISCONDE DO RIO BRANCO (10182)"</f>
        <v>DROGARIA ANA VISCONDE DO RIO BRANCO (10182)</v>
      </c>
      <c r="S12294" t="s">
        <v>77</v>
      </c>
      <c r="T12294">
        <v>21528</v>
      </c>
      <c r="U12294">
        <v>25619</v>
      </c>
      <c r="V12294" t="s">
        <v>77</v>
      </c>
    </row>
    <row r="12295" spans="1:22">
      <c r="A12295" t="str">
        <f t="shared" si="2364"/>
        <v>21/11/2025</v>
      </c>
      <c r="B12295" t="str">
        <f t="shared" si="2377"/>
        <v>SAÍDA</v>
      </c>
      <c r="C12295" t="str">
        <f t="shared" si="2365"/>
        <v>PIX</v>
      </c>
      <c r="D12295" t="str">
        <f>"25620"</f>
        <v>25620</v>
      </c>
      <c r="E12295" t="str">
        <f t="shared" si="2368"/>
        <v>1</v>
      </c>
      <c r="F12295" t="str">
        <f t="shared" si="2374"/>
        <v>COM</v>
      </c>
      <c r="G12295" t="str">
        <f>"ANDERSON LUIZ SOARES (807)"</f>
        <v>ANDERSON LUIZ SOARES (807)</v>
      </c>
      <c r="H12295" t="str">
        <f>"Serv.Prest. 10/11/2025 a 16/11/2025 - PIX: CELULAR - CHAVE: (32) 99920-0416"</f>
        <v>Serv.Prest. 10/11/2025 a 16/11/2025 - PIX: CELULAR - CHAVE: (32) 99920-0416</v>
      </c>
      <c r="I12295" t="str">
        <f t="shared" si="2366"/>
        <v>20/11/2025</v>
      </c>
      <c r="J12295" t="str">
        <f t="shared" si="2371"/>
        <v>18/11/2025</v>
      </c>
      <c r="K12295" t="str">
        <f>("21/11/2025")</f>
        <v>21/11/2025</v>
      </c>
      <c r="L12295">
        <v>803.25</v>
      </c>
      <c r="M12295">
        <v>803.25</v>
      </c>
      <c r="N12295">
        <v>109</v>
      </c>
      <c r="O12295" t="str">
        <f>"PAGAMENTO DE ENTREGADORES"</f>
        <v>PAGAMENTO DE ENTREGADORES</v>
      </c>
      <c r="P12295">
        <v>803.25</v>
      </c>
      <c r="S12295" t="str">
        <f>"BANCO C6 (149)"</f>
        <v>BANCO C6 (149)</v>
      </c>
      <c r="T12295">
        <v>21529</v>
      </c>
      <c r="U12295">
        <v>25620</v>
      </c>
      <c r="V12295" t="s">
        <v>77</v>
      </c>
    </row>
    <row r="12296" spans="1:22">
      <c r="A12296" t="str">
        <f t="shared" si="2364"/>
        <v>21/11/2025</v>
      </c>
      <c r="B12296" t="str">
        <f t="shared" si="2377"/>
        <v>SAÍDA</v>
      </c>
      <c r="C12296" t="str">
        <f t="shared" si="2365"/>
        <v>PIX</v>
      </c>
      <c r="D12296" t="str">
        <f>"25620"</f>
        <v>25620</v>
      </c>
      <c r="E12296" t="str">
        <f t="shared" si="2368"/>
        <v>1</v>
      </c>
      <c r="F12296" t="str">
        <f t="shared" si="2374"/>
        <v>COM</v>
      </c>
      <c r="G12296" t="str">
        <f>"ANDERSON LUIZ SOARES (807)"</f>
        <v>ANDERSON LUIZ SOARES (807)</v>
      </c>
      <c r="H12296" t="s">
        <v>3321</v>
      </c>
      <c r="I12296" t="str">
        <f t="shared" si="2366"/>
        <v>20/11/2025</v>
      </c>
      <c r="J12296" t="str">
        <f t="shared" si="2371"/>
        <v>18/11/2025</v>
      </c>
      <c r="K12296">
        <v>45982</v>
      </c>
      <c r="N12296">
        <v>109</v>
      </c>
      <c r="O12296" t="s">
        <v>24</v>
      </c>
      <c r="Q12296">
        <v>803.25</v>
      </c>
      <c r="R12296" t="str">
        <f>"DROGARIA ANA VISCONDE DO RIO BRANCO (10182)"</f>
        <v>DROGARIA ANA VISCONDE DO RIO BRANCO (10182)</v>
      </c>
      <c r="S12296" t="s">
        <v>77</v>
      </c>
      <c r="T12296">
        <v>21529</v>
      </c>
      <c r="U12296">
        <v>25620</v>
      </c>
      <c r="V12296" t="s">
        <v>77</v>
      </c>
    </row>
    <row r="12297" spans="1:22">
      <c r="A12297" t="str">
        <f t="shared" si="2364"/>
        <v>21/11/2025</v>
      </c>
      <c r="B12297" t="str">
        <f t="shared" si="2377"/>
        <v>SAÍDA</v>
      </c>
      <c r="C12297" t="str">
        <f t="shared" si="2365"/>
        <v>PIX</v>
      </c>
      <c r="D12297" t="str">
        <f>"25621"</f>
        <v>25621</v>
      </c>
      <c r="E12297" t="str">
        <f t="shared" si="2368"/>
        <v>1</v>
      </c>
      <c r="F12297" t="str">
        <f t="shared" si="2374"/>
        <v>COM</v>
      </c>
      <c r="G12297" t="str">
        <f>"BRENO VIANA MONTEIRO RODRIGUES (811)"</f>
        <v>BRENO VIANA MONTEIRO RODRIGUES (811)</v>
      </c>
      <c r="H12297" t="str">
        <f>"Serv.Prest. 10/11/2025 a 16/11/2025 - PIX: CNPJ - CHAVE: 51.676.704/0001-10"</f>
        <v>Serv.Prest. 10/11/2025 a 16/11/2025 - PIX: CNPJ - CHAVE: 51.676.704/0001-10</v>
      </c>
      <c r="I12297" t="str">
        <f t="shared" si="2366"/>
        <v>20/11/2025</v>
      </c>
      <c r="J12297" t="str">
        <f t="shared" si="2371"/>
        <v>18/11/2025</v>
      </c>
      <c r="K12297" t="str">
        <f>("21/11/2025")</f>
        <v>21/11/2025</v>
      </c>
      <c r="L12297">
        <v>803.25</v>
      </c>
      <c r="M12297">
        <v>803.25</v>
      </c>
      <c r="N12297">
        <v>109</v>
      </c>
      <c r="O12297" t="str">
        <f>"PAGAMENTO DE ENTREGADORES"</f>
        <v>PAGAMENTO DE ENTREGADORES</v>
      </c>
      <c r="P12297">
        <v>803.25</v>
      </c>
      <c r="S12297" t="str">
        <f>"BANCO C6 (149)"</f>
        <v>BANCO C6 (149)</v>
      </c>
      <c r="T12297">
        <v>21530</v>
      </c>
      <c r="U12297">
        <v>25621</v>
      </c>
      <c r="V12297" t="s">
        <v>77</v>
      </c>
    </row>
    <row r="12298" spans="1:22">
      <c r="A12298" t="str">
        <f t="shared" si="2364"/>
        <v>21/11/2025</v>
      </c>
      <c r="B12298" t="str">
        <f t="shared" si="2377"/>
        <v>SAÍDA</v>
      </c>
      <c r="C12298" t="str">
        <f t="shared" si="2365"/>
        <v>PIX</v>
      </c>
      <c r="D12298" t="str">
        <f>"25621"</f>
        <v>25621</v>
      </c>
      <c r="E12298" t="str">
        <f t="shared" si="2368"/>
        <v>1</v>
      </c>
      <c r="F12298" t="str">
        <f t="shared" si="2374"/>
        <v>COM</v>
      </c>
      <c r="G12298" t="str">
        <f>"BRENO VIANA MONTEIRO RODRIGUES (811)"</f>
        <v>BRENO VIANA MONTEIRO RODRIGUES (811)</v>
      </c>
      <c r="H12298" t="s">
        <v>3322</v>
      </c>
      <c r="I12298" t="str">
        <f t="shared" si="2366"/>
        <v>20/11/2025</v>
      </c>
      <c r="J12298" t="str">
        <f t="shared" si="2371"/>
        <v>18/11/2025</v>
      </c>
      <c r="K12298">
        <v>45982</v>
      </c>
      <c r="N12298">
        <v>109</v>
      </c>
      <c r="O12298" t="s">
        <v>24</v>
      </c>
      <c r="Q12298">
        <v>803.25</v>
      </c>
      <c r="R12298" t="str">
        <f>"DROGARIA ANA VISCONDE DO RIO BRANCO (10182)"</f>
        <v>DROGARIA ANA VISCONDE DO RIO BRANCO (10182)</v>
      </c>
      <c r="S12298" t="s">
        <v>77</v>
      </c>
      <c r="T12298">
        <v>21530</v>
      </c>
      <c r="U12298">
        <v>25621</v>
      </c>
      <c r="V12298" t="s">
        <v>77</v>
      </c>
    </row>
    <row r="12299" spans="1:22">
      <c r="A12299" t="str">
        <f t="shared" si="2364"/>
        <v>21/11/2025</v>
      </c>
      <c r="B12299" t="str">
        <f t="shared" si="2377"/>
        <v>SAÍDA</v>
      </c>
      <c r="C12299" t="str">
        <f t="shared" si="2365"/>
        <v>PIX</v>
      </c>
      <c r="D12299" t="str">
        <f>"25622"</f>
        <v>25622</v>
      </c>
      <c r="E12299" t="str">
        <f t="shared" si="2368"/>
        <v>1</v>
      </c>
      <c r="F12299" t="str">
        <f t="shared" si="2374"/>
        <v>COM</v>
      </c>
      <c r="G12299" t="str">
        <f>"GABRIEL PACHECO DE QUEIROZ NARCISO (812)"</f>
        <v>GABRIEL PACHECO DE QUEIROZ NARCISO (812)</v>
      </c>
      <c r="H12299" t="str">
        <f>"Serv.Prest. 10/11/2025 a 16/11/2025 - PIX: CPF - CHAVE: 140.108.466-40"</f>
        <v>Serv.Prest. 10/11/2025 a 16/11/2025 - PIX: CPF - CHAVE: 140.108.466-40</v>
      </c>
      <c r="I12299" t="str">
        <f t="shared" si="2366"/>
        <v>20/11/2025</v>
      </c>
      <c r="J12299" t="str">
        <f t="shared" si="2371"/>
        <v>18/11/2025</v>
      </c>
      <c r="K12299" t="str">
        <f>("21/11/2025")</f>
        <v>21/11/2025</v>
      </c>
      <c r="L12299">
        <v>803.25</v>
      </c>
      <c r="M12299">
        <v>803.25</v>
      </c>
      <c r="N12299">
        <v>109</v>
      </c>
      <c r="O12299" t="str">
        <f>"PAGAMENTO DE ENTREGADORES"</f>
        <v>PAGAMENTO DE ENTREGADORES</v>
      </c>
      <c r="P12299">
        <v>803.25</v>
      </c>
      <c r="S12299" t="str">
        <f>"BANCO C6 (149)"</f>
        <v>BANCO C6 (149)</v>
      </c>
      <c r="T12299">
        <v>21531</v>
      </c>
      <c r="U12299">
        <v>25622</v>
      </c>
      <c r="V12299" t="s">
        <v>77</v>
      </c>
    </row>
    <row r="12300" spans="1:22">
      <c r="A12300" t="str">
        <f t="shared" si="2364"/>
        <v>21/11/2025</v>
      </c>
      <c r="B12300" t="str">
        <f t="shared" si="2377"/>
        <v>SAÍDA</v>
      </c>
      <c r="C12300" t="str">
        <f t="shared" si="2365"/>
        <v>PIX</v>
      </c>
      <c r="D12300" t="str">
        <f>"25622"</f>
        <v>25622</v>
      </c>
      <c r="E12300" t="str">
        <f t="shared" si="2368"/>
        <v>1</v>
      </c>
      <c r="F12300" t="str">
        <f t="shared" si="2374"/>
        <v>COM</v>
      </c>
      <c r="G12300" t="str">
        <f>"GABRIEL PACHECO DE QUEIROZ NARCISO (812)"</f>
        <v>GABRIEL PACHECO DE QUEIROZ NARCISO (812)</v>
      </c>
      <c r="H12300" t="s">
        <v>3323</v>
      </c>
      <c r="I12300" t="str">
        <f t="shared" si="2366"/>
        <v>20/11/2025</v>
      </c>
      <c r="J12300" t="str">
        <f t="shared" si="2371"/>
        <v>18/11/2025</v>
      </c>
      <c r="K12300">
        <v>45982</v>
      </c>
      <c r="N12300">
        <v>109</v>
      </c>
      <c r="O12300" t="s">
        <v>24</v>
      </c>
      <c r="Q12300">
        <v>803.25</v>
      </c>
      <c r="R12300" t="str">
        <f>"DROGARIA ANA VISCONDE DO RIO BRANCO (10182)"</f>
        <v>DROGARIA ANA VISCONDE DO RIO BRANCO (10182)</v>
      </c>
      <c r="S12300" t="s">
        <v>77</v>
      </c>
      <c r="T12300">
        <v>21531</v>
      </c>
      <c r="U12300">
        <v>25622</v>
      </c>
      <c r="V12300" t="s">
        <v>77</v>
      </c>
    </row>
    <row r="12301" spans="1:22">
      <c r="A12301" t="str">
        <f t="shared" si="2364"/>
        <v>21/11/2025</v>
      </c>
      <c r="B12301" t="str">
        <f t="shared" si="2377"/>
        <v>SAÍDA</v>
      </c>
      <c r="C12301" t="str">
        <f t="shared" si="2365"/>
        <v>PIX</v>
      </c>
      <c r="D12301" t="str">
        <f>"25623"</f>
        <v>25623</v>
      </c>
      <c r="E12301" t="str">
        <f t="shared" si="2368"/>
        <v>1</v>
      </c>
      <c r="F12301" t="str">
        <f t="shared" si="2374"/>
        <v>COM</v>
      </c>
      <c r="G12301" t="str">
        <f>"WILLIAM ANDRE SILVA COELLO (850)"</f>
        <v>WILLIAM ANDRE SILVA COELLO (850)</v>
      </c>
      <c r="H12301" t="str">
        <f>"Serv.Prest. 10/11/2025 a 16/11/2025 - PIX: CPF - CHAVE: 100.710.806-19"</f>
        <v>Serv.Prest. 10/11/2025 a 16/11/2025 - PIX: CPF - CHAVE: 100.710.806-19</v>
      </c>
      <c r="I12301" t="str">
        <f t="shared" si="2366"/>
        <v>20/11/2025</v>
      </c>
      <c r="J12301" t="str">
        <f t="shared" si="2371"/>
        <v>18/11/2025</v>
      </c>
      <c r="K12301" t="str">
        <f>("21/11/2025")</f>
        <v>21/11/2025</v>
      </c>
      <c r="L12301">
        <v>803.25</v>
      </c>
      <c r="M12301">
        <v>803.25</v>
      </c>
      <c r="N12301">
        <v>109</v>
      </c>
      <c r="O12301" t="str">
        <f>"PAGAMENTO DE ENTREGADORES"</f>
        <v>PAGAMENTO DE ENTREGADORES</v>
      </c>
      <c r="P12301">
        <v>803.25</v>
      </c>
      <c r="S12301" t="str">
        <f>"BANCO C6 (149)"</f>
        <v>BANCO C6 (149)</v>
      </c>
      <c r="T12301">
        <v>21532</v>
      </c>
      <c r="U12301">
        <v>25623</v>
      </c>
      <c r="V12301" t="s">
        <v>77</v>
      </c>
    </row>
    <row r="12302" spans="1:22">
      <c r="A12302" t="str">
        <f t="shared" ref="A12302:A12365" si="2378">("21/11/2025")</f>
        <v>21/11/2025</v>
      </c>
      <c r="B12302" t="str">
        <f t="shared" si="2377"/>
        <v>SAÍDA</v>
      </c>
      <c r="C12302" t="str">
        <f t="shared" si="2365"/>
        <v>PIX</v>
      </c>
      <c r="D12302" t="str">
        <f>"25623"</f>
        <v>25623</v>
      </c>
      <c r="E12302" t="str">
        <f t="shared" si="2368"/>
        <v>1</v>
      </c>
      <c r="F12302" t="str">
        <f t="shared" si="2374"/>
        <v>COM</v>
      </c>
      <c r="G12302" t="str">
        <f>"WILLIAM ANDRE SILVA COELLO (850)"</f>
        <v>WILLIAM ANDRE SILVA COELLO (850)</v>
      </c>
      <c r="H12302" t="s">
        <v>3324</v>
      </c>
      <c r="I12302" t="str">
        <f t="shared" si="2366"/>
        <v>20/11/2025</v>
      </c>
      <c r="J12302" t="str">
        <f t="shared" si="2371"/>
        <v>18/11/2025</v>
      </c>
      <c r="K12302">
        <v>45982</v>
      </c>
      <c r="N12302">
        <v>109</v>
      </c>
      <c r="O12302" t="s">
        <v>24</v>
      </c>
      <c r="Q12302">
        <v>803.25</v>
      </c>
      <c r="R12302" t="str">
        <f>"DROGARIA ANA VISCONDE DO RIO BRANCO (10182)"</f>
        <v>DROGARIA ANA VISCONDE DO RIO BRANCO (10182)</v>
      </c>
      <c r="S12302" t="s">
        <v>77</v>
      </c>
      <c r="T12302">
        <v>21532</v>
      </c>
      <c r="U12302">
        <v>25623</v>
      </c>
      <c r="V12302" t="s">
        <v>77</v>
      </c>
    </row>
    <row r="12303" spans="1:22">
      <c r="A12303" t="str">
        <f t="shared" si="2378"/>
        <v>21/11/2025</v>
      </c>
      <c r="B12303" t="str">
        <f t="shared" si="2377"/>
        <v>SAÍDA</v>
      </c>
      <c r="C12303" t="str">
        <f t="shared" si="2365"/>
        <v>PIX</v>
      </c>
      <c r="D12303" t="str">
        <f>"25625"</f>
        <v>25625</v>
      </c>
      <c r="E12303" t="str">
        <f t="shared" si="2368"/>
        <v>1</v>
      </c>
      <c r="F12303" t="str">
        <f t="shared" si="2374"/>
        <v>COM</v>
      </c>
      <c r="G12303" t="str">
        <f>"ELIO CALDEIRA RIBEIRO JUNIOR (840)"</f>
        <v>ELIO CALDEIRA RIBEIRO JUNIOR (840)</v>
      </c>
      <c r="H12303" t="str">
        <f>"Serv.Prest. 10/11/2025 a 16/11/2025 - PIX: CPF - CHAVE: 463.491.858-70"</f>
        <v>Serv.Prest. 10/11/2025 a 16/11/2025 - PIX: CPF - CHAVE: 463.491.858-70</v>
      </c>
      <c r="I12303" t="str">
        <f t="shared" si="2366"/>
        <v>20/11/2025</v>
      </c>
      <c r="J12303" t="str">
        <f t="shared" si="2371"/>
        <v>18/11/2025</v>
      </c>
      <c r="K12303" t="str">
        <f>("21/11/2025")</f>
        <v>21/11/2025</v>
      </c>
      <c r="L12303">
        <v>1015</v>
      </c>
      <c r="M12303">
        <v>1015</v>
      </c>
      <c r="N12303">
        <v>109</v>
      </c>
      <c r="O12303" t="str">
        <f>"PAGAMENTO DE ENTREGADORES"</f>
        <v>PAGAMENTO DE ENTREGADORES</v>
      </c>
      <c r="P12303">
        <v>1015</v>
      </c>
      <c r="S12303" t="str">
        <f>"BANCO C6 (149)"</f>
        <v>BANCO C6 (149)</v>
      </c>
      <c r="T12303">
        <v>21533</v>
      </c>
      <c r="U12303">
        <v>25625</v>
      </c>
      <c r="V12303" t="s">
        <v>77</v>
      </c>
    </row>
    <row r="12304" spans="1:22">
      <c r="A12304" t="str">
        <f t="shared" si="2378"/>
        <v>21/11/2025</v>
      </c>
      <c r="B12304" t="str">
        <f t="shared" si="2377"/>
        <v>SAÍDA</v>
      </c>
      <c r="C12304" t="str">
        <f t="shared" si="2365"/>
        <v>PIX</v>
      </c>
      <c r="D12304" t="str">
        <f>"25625"</f>
        <v>25625</v>
      </c>
      <c r="E12304" t="str">
        <f t="shared" si="2368"/>
        <v>1</v>
      </c>
      <c r="F12304" t="str">
        <f t="shared" si="2374"/>
        <v>COM</v>
      </c>
      <c r="G12304" t="str">
        <f>"ELIO CALDEIRA RIBEIRO JUNIOR (840)"</f>
        <v>ELIO CALDEIRA RIBEIRO JUNIOR (840)</v>
      </c>
      <c r="H12304" t="s">
        <v>3325</v>
      </c>
      <c r="I12304" t="str">
        <f t="shared" si="2366"/>
        <v>20/11/2025</v>
      </c>
      <c r="J12304" t="str">
        <f t="shared" si="2371"/>
        <v>18/11/2025</v>
      </c>
      <c r="K12304">
        <v>45982</v>
      </c>
      <c r="N12304">
        <v>109</v>
      </c>
      <c r="O12304" t="s">
        <v>24</v>
      </c>
      <c r="Q12304">
        <v>1015</v>
      </c>
      <c r="R12304" t="str">
        <f>"DROGARIA MEDIC CENTER LTDA (10172)"</f>
        <v>DROGARIA MEDIC CENTER LTDA (10172)</v>
      </c>
      <c r="S12304" t="s">
        <v>77</v>
      </c>
      <c r="T12304">
        <v>21533</v>
      </c>
      <c r="U12304">
        <v>25625</v>
      </c>
      <c r="V12304" t="s">
        <v>77</v>
      </c>
    </row>
    <row r="12305" spans="1:22">
      <c r="A12305" t="str">
        <f t="shared" si="2378"/>
        <v>21/11/2025</v>
      </c>
      <c r="B12305" t="str">
        <f t="shared" si="2377"/>
        <v>SAÍDA</v>
      </c>
      <c r="C12305" t="str">
        <f t="shared" si="2365"/>
        <v>PIX</v>
      </c>
      <c r="D12305" t="str">
        <f>"25628"</f>
        <v>25628</v>
      </c>
      <c r="E12305" t="str">
        <f t="shared" si="2368"/>
        <v>1</v>
      </c>
      <c r="F12305" t="str">
        <f t="shared" si="2374"/>
        <v>COM</v>
      </c>
      <c r="G12305" t="str">
        <f>"EDUARDO MARQUES DOS SANTOS (787)"</f>
        <v>EDUARDO MARQUES DOS SANTOS (787)</v>
      </c>
      <c r="H12305" t="str">
        <f>"Serv.Prest. 10/11/2025 a 16/11/2025 - PIX: CELULAR - CHAVE: (11) 97402-1586"</f>
        <v>Serv.Prest. 10/11/2025 a 16/11/2025 - PIX: CELULAR - CHAVE: (11) 97402-1586</v>
      </c>
      <c r="I12305" t="str">
        <f t="shared" si="2366"/>
        <v>20/11/2025</v>
      </c>
      <c r="J12305" t="str">
        <f t="shared" si="2371"/>
        <v>18/11/2025</v>
      </c>
      <c r="K12305" t="str">
        <f>("21/11/2025")</f>
        <v>21/11/2025</v>
      </c>
      <c r="L12305">
        <v>763</v>
      </c>
      <c r="M12305">
        <v>763</v>
      </c>
      <c r="N12305">
        <v>109</v>
      </c>
      <c r="O12305" t="str">
        <f>"PAGAMENTO DE ENTREGADORES"</f>
        <v>PAGAMENTO DE ENTREGADORES</v>
      </c>
      <c r="P12305">
        <v>763</v>
      </c>
      <c r="S12305" t="str">
        <f>"BANCO C6 (149)"</f>
        <v>BANCO C6 (149)</v>
      </c>
      <c r="T12305">
        <v>21534</v>
      </c>
      <c r="U12305">
        <v>25628</v>
      </c>
      <c r="V12305" t="s">
        <v>77</v>
      </c>
    </row>
    <row r="12306" spans="1:22">
      <c r="A12306" t="str">
        <f t="shared" si="2378"/>
        <v>21/11/2025</v>
      </c>
      <c r="B12306" t="str">
        <f t="shared" si="2377"/>
        <v>SAÍDA</v>
      </c>
      <c r="C12306" t="str">
        <f t="shared" si="2365"/>
        <v>PIX</v>
      </c>
      <c r="D12306" t="str">
        <f>"25628"</f>
        <v>25628</v>
      </c>
      <c r="E12306" t="str">
        <f t="shared" si="2368"/>
        <v>1</v>
      </c>
      <c r="F12306" t="str">
        <f t="shared" si="2374"/>
        <v>COM</v>
      </c>
      <c r="G12306" t="str">
        <f>"EDUARDO MARQUES DOS SANTOS (787)"</f>
        <v>EDUARDO MARQUES DOS SANTOS (787)</v>
      </c>
      <c r="H12306" t="s">
        <v>3326</v>
      </c>
      <c r="I12306" t="str">
        <f t="shared" si="2366"/>
        <v>20/11/2025</v>
      </c>
      <c r="J12306" t="str">
        <f t="shared" si="2371"/>
        <v>18/11/2025</v>
      </c>
      <c r="K12306">
        <v>45982</v>
      </c>
      <c r="N12306">
        <v>109</v>
      </c>
      <c r="O12306" t="s">
        <v>24</v>
      </c>
      <c r="Q12306">
        <v>763</v>
      </c>
      <c r="R12306" t="str">
        <f>"DROGARIA MORENO LTDA (10171)"</f>
        <v>DROGARIA MORENO LTDA (10171)</v>
      </c>
      <c r="S12306" t="s">
        <v>77</v>
      </c>
      <c r="T12306">
        <v>21534</v>
      </c>
      <c r="U12306">
        <v>25628</v>
      </c>
      <c r="V12306" t="s">
        <v>77</v>
      </c>
    </row>
    <row r="12307" spans="1:22">
      <c r="A12307" t="str">
        <f t="shared" si="2378"/>
        <v>21/11/2025</v>
      </c>
      <c r="B12307" t="str">
        <f t="shared" si="2377"/>
        <v>SAÍDA</v>
      </c>
      <c r="C12307" t="str">
        <f t="shared" si="2365"/>
        <v>PIX</v>
      </c>
      <c r="D12307" t="str">
        <f>"25630"</f>
        <v>25630</v>
      </c>
      <c r="E12307" t="str">
        <f t="shared" si="2368"/>
        <v>1</v>
      </c>
      <c r="F12307" t="str">
        <f t="shared" si="2374"/>
        <v>COM</v>
      </c>
      <c r="G12307" t="str">
        <f>"PAULO CESAR DE FARIA (865)"</f>
        <v>PAULO CESAR DE FARIA (865)</v>
      </c>
      <c r="H12307" t="str">
        <f>"Serv.Prest. 10/11/2025 a 16/11/2025 - PIX: CELULAR - CHAVE: (11) 99992-0816"</f>
        <v>Serv.Prest. 10/11/2025 a 16/11/2025 - PIX: CELULAR - CHAVE: (11) 99992-0816</v>
      </c>
      <c r="I12307" t="str">
        <f t="shared" si="2366"/>
        <v>20/11/2025</v>
      </c>
      <c r="J12307" t="str">
        <f t="shared" si="2371"/>
        <v>18/11/2025</v>
      </c>
      <c r="K12307" t="str">
        <f>("21/11/2025")</f>
        <v>21/11/2025</v>
      </c>
      <c r="L12307">
        <v>1176</v>
      </c>
      <c r="M12307">
        <v>1176</v>
      </c>
      <c r="N12307">
        <v>109</v>
      </c>
      <c r="O12307" t="str">
        <f>"PAGAMENTO DE ENTREGADORES"</f>
        <v>PAGAMENTO DE ENTREGADORES</v>
      </c>
      <c r="P12307">
        <v>1176</v>
      </c>
      <c r="S12307" t="str">
        <f>"BANCO C6 (149)"</f>
        <v>BANCO C6 (149)</v>
      </c>
      <c r="T12307">
        <v>21535</v>
      </c>
      <c r="U12307">
        <v>25630</v>
      </c>
      <c r="V12307" t="s">
        <v>77</v>
      </c>
    </row>
    <row r="12308" spans="1:22">
      <c r="A12308" t="str">
        <f t="shared" si="2378"/>
        <v>21/11/2025</v>
      </c>
      <c r="B12308" t="str">
        <f t="shared" si="2377"/>
        <v>SAÍDA</v>
      </c>
      <c r="C12308" t="str">
        <f t="shared" si="2365"/>
        <v>PIX</v>
      </c>
      <c r="D12308" t="str">
        <f>"25630"</f>
        <v>25630</v>
      </c>
      <c r="E12308" t="str">
        <f t="shared" si="2368"/>
        <v>1</v>
      </c>
      <c r="F12308" t="str">
        <f t="shared" si="2374"/>
        <v>COM</v>
      </c>
      <c r="G12308" t="str">
        <f>"PAULO CESAR DE FARIA (865)"</f>
        <v>PAULO CESAR DE FARIA (865)</v>
      </c>
      <c r="H12308" t="s">
        <v>3327</v>
      </c>
      <c r="I12308" t="str">
        <f t="shared" si="2366"/>
        <v>20/11/2025</v>
      </c>
      <c r="J12308" t="str">
        <f t="shared" si="2371"/>
        <v>18/11/2025</v>
      </c>
      <c r="K12308">
        <v>45982</v>
      </c>
      <c r="N12308">
        <v>109</v>
      </c>
      <c r="O12308" t="s">
        <v>24</v>
      </c>
      <c r="Q12308">
        <v>1176</v>
      </c>
      <c r="R12308" t="str">
        <f>"DROGARIA MORENO LTDA (10171)"</f>
        <v>DROGARIA MORENO LTDA (10171)</v>
      </c>
      <c r="S12308" t="s">
        <v>77</v>
      </c>
      <c r="T12308">
        <v>21535</v>
      </c>
      <c r="U12308">
        <v>25630</v>
      </c>
      <c r="V12308" t="s">
        <v>77</v>
      </c>
    </row>
    <row r="12309" spans="1:22">
      <c r="A12309" t="str">
        <f t="shared" si="2378"/>
        <v>21/11/2025</v>
      </c>
      <c r="B12309" t="str">
        <f t="shared" si="2377"/>
        <v>SAÍDA</v>
      </c>
      <c r="C12309" t="str">
        <f t="shared" si="2365"/>
        <v>PIX</v>
      </c>
      <c r="D12309" t="str">
        <f>"25632"</f>
        <v>25632</v>
      </c>
      <c r="E12309" t="str">
        <f t="shared" si="2368"/>
        <v>1</v>
      </c>
      <c r="F12309" t="str">
        <f t="shared" si="2374"/>
        <v>COM</v>
      </c>
      <c r="G12309" t="str">
        <f>"BRENO HENRIQUE DE SOUSA (596)"</f>
        <v>BRENO HENRIQUE DE SOUSA (596)</v>
      </c>
      <c r="H12309" t="str">
        <f>"Serv.Prest. 10/11/2025 a 16/11/2025 - PIX: CELULAR - CHAVE: (37) 99146-2630"</f>
        <v>Serv.Prest. 10/11/2025 a 16/11/2025 - PIX: CELULAR - CHAVE: (37) 99146-2630</v>
      </c>
      <c r="I12309" t="str">
        <f t="shared" si="2366"/>
        <v>20/11/2025</v>
      </c>
      <c r="J12309" t="str">
        <f t="shared" si="2371"/>
        <v>18/11/2025</v>
      </c>
      <c r="K12309" t="str">
        <f>("21/11/2025")</f>
        <v>21/11/2025</v>
      </c>
      <c r="L12309">
        <v>930</v>
      </c>
      <c r="M12309">
        <v>930</v>
      </c>
      <c r="N12309">
        <v>109</v>
      </c>
      <c r="O12309" t="str">
        <f>"PAGAMENTO DE ENTREGADORES"</f>
        <v>PAGAMENTO DE ENTREGADORES</v>
      </c>
      <c r="P12309">
        <v>930</v>
      </c>
      <c r="S12309" t="str">
        <f>"BANCO C6 (149)"</f>
        <v>BANCO C6 (149)</v>
      </c>
      <c r="T12309">
        <v>21536</v>
      </c>
      <c r="U12309">
        <v>25632</v>
      </c>
      <c r="V12309" t="s">
        <v>77</v>
      </c>
    </row>
    <row r="12310" spans="1:22">
      <c r="A12310" t="str">
        <f t="shared" si="2378"/>
        <v>21/11/2025</v>
      </c>
      <c r="B12310" t="str">
        <f t="shared" si="2377"/>
        <v>SAÍDA</v>
      </c>
      <c r="C12310" t="str">
        <f t="shared" si="2365"/>
        <v>PIX</v>
      </c>
      <c r="D12310" t="str">
        <f>"25632"</f>
        <v>25632</v>
      </c>
      <c r="E12310" t="str">
        <f t="shared" si="2368"/>
        <v>1</v>
      </c>
      <c r="F12310" t="str">
        <f t="shared" si="2374"/>
        <v>COM</v>
      </c>
      <c r="G12310" t="str">
        <f>"BRENO HENRIQUE DE SOUSA (596)"</f>
        <v>BRENO HENRIQUE DE SOUSA (596)</v>
      </c>
      <c r="H12310" t="s">
        <v>3095</v>
      </c>
      <c r="I12310" t="str">
        <f t="shared" si="2366"/>
        <v>20/11/2025</v>
      </c>
      <c r="J12310" t="str">
        <f t="shared" si="2371"/>
        <v>18/11/2025</v>
      </c>
      <c r="K12310">
        <v>45982</v>
      </c>
      <c r="N12310">
        <v>109</v>
      </c>
      <c r="O12310" t="s">
        <v>24</v>
      </c>
      <c r="Q12310">
        <v>930</v>
      </c>
      <c r="R12310" t="str">
        <f>"DROGARIA POUPA MINAS (ULTRAMINAS) 1 (10181)"</f>
        <v>DROGARIA POUPA MINAS (ULTRAMINAS) 1 (10181)</v>
      </c>
      <c r="S12310" t="s">
        <v>77</v>
      </c>
      <c r="T12310">
        <v>21536</v>
      </c>
      <c r="U12310">
        <v>25632</v>
      </c>
      <c r="V12310" t="s">
        <v>77</v>
      </c>
    </row>
    <row r="12311" spans="1:22">
      <c r="A12311" t="str">
        <f t="shared" si="2378"/>
        <v>21/11/2025</v>
      </c>
      <c r="B12311" t="str">
        <f t="shared" si="2377"/>
        <v>SAÍDA</v>
      </c>
      <c r="C12311" t="str">
        <f t="shared" si="2365"/>
        <v>PIX</v>
      </c>
      <c r="D12311" t="str">
        <f>"25633"</f>
        <v>25633</v>
      </c>
      <c r="E12311" t="str">
        <f t="shared" si="2368"/>
        <v>1</v>
      </c>
      <c r="F12311" t="str">
        <f t="shared" si="2374"/>
        <v>COM</v>
      </c>
      <c r="G12311" t="str">
        <f>"LUIZ PAULO DE OLIVEIRA (712)"</f>
        <v>LUIZ PAULO DE OLIVEIRA (712)</v>
      </c>
      <c r="H12311" t="str">
        <f>"Serv.Prest. 10/11/2025 a 16/11/2025 - PIX: CPF - CHAVE: 090.332.006-19"</f>
        <v>Serv.Prest. 10/11/2025 a 16/11/2025 - PIX: CPF - CHAVE: 090.332.006-19</v>
      </c>
      <c r="I12311" t="str">
        <f t="shared" si="2366"/>
        <v>20/11/2025</v>
      </c>
      <c r="J12311" t="str">
        <f t="shared" si="2371"/>
        <v>18/11/2025</v>
      </c>
      <c r="K12311" t="str">
        <f>("21/11/2025")</f>
        <v>21/11/2025</v>
      </c>
      <c r="L12311">
        <v>1350</v>
      </c>
      <c r="M12311">
        <v>1350</v>
      </c>
      <c r="N12311">
        <v>109</v>
      </c>
      <c r="O12311" t="str">
        <f>"PAGAMENTO DE ENTREGADORES"</f>
        <v>PAGAMENTO DE ENTREGADORES</v>
      </c>
      <c r="P12311">
        <v>1350</v>
      </c>
      <c r="S12311" t="str">
        <f>"BANCO C6 (149)"</f>
        <v>BANCO C6 (149)</v>
      </c>
      <c r="T12311">
        <v>21537</v>
      </c>
      <c r="U12311">
        <v>25633</v>
      </c>
      <c r="V12311" t="s">
        <v>77</v>
      </c>
    </row>
    <row r="12312" spans="1:22">
      <c r="A12312" t="str">
        <f t="shared" si="2378"/>
        <v>21/11/2025</v>
      </c>
      <c r="B12312" t="str">
        <f t="shared" si="2377"/>
        <v>SAÍDA</v>
      </c>
      <c r="C12312" t="str">
        <f t="shared" ref="C12312:C12375" si="2379">"PIX"</f>
        <v>PIX</v>
      </c>
      <c r="D12312" t="str">
        <f>"25633"</f>
        <v>25633</v>
      </c>
      <c r="E12312" t="str">
        <f t="shared" si="2368"/>
        <v>1</v>
      </c>
      <c r="F12312" t="str">
        <f t="shared" si="2374"/>
        <v>COM</v>
      </c>
      <c r="G12312" t="str">
        <f>"LUIZ PAULO DE OLIVEIRA (712)"</f>
        <v>LUIZ PAULO DE OLIVEIRA (712)</v>
      </c>
      <c r="H12312" t="s">
        <v>3328</v>
      </c>
      <c r="I12312" t="str">
        <f t="shared" ref="I12312:I12375" si="2380">("20/11/2025")</f>
        <v>20/11/2025</v>
      </c>
      <c r="J12312" t="str">
        <f t="shared" ref="J12312:J12343" si="2381">("18/11/2025")</f>
        <v>18/11/2025</v>
      </c>
      <c r="K12312">
        <v>45982</v>
      </c>
      <c r="N12312">
        <v>109</v>
      </c>
      <c r="O12312" t="s">
        <v>24</v>
      </c>
      <c r="Q12312">
        <v>1350</v>
      </c>
      <c r="R12312" t="str">
        <f>"DROGARIA POUPA MINAS (ULTRAMINAS) 1 (10181)"</f>
        <v>DROGARIA POUPA MINAS (ULTRAMINAS) 1 (10181)</v>
      </c>
      <c r="S12312" t="s">
        <v>77</v>
      </c>
      <c r="T12312">
        <v>21537</v>
      </c>
      <c r="U12312">
        <v>25633</v>
      </c>
      <c r="V12312" t="s">
        <v>77</v>
      </c>
    </row>
    <row r="12313" spans="1:22">
      <c r="A12313" t="str">
        <f t="shared" si="2378"/>
        <v>21/11/2025</v>
      </c>
      <c r="B12313" t="str">
        <f t="shared" si="2377"/>
        <v>SAÍDA</v>
      </c>
      <c r="C12313" t="str">
        <f t="shared" si="2379"/>
        <v>PIX</v>
      </c>
      <c r="D12313" t="str">
        <f>"25634"</f>
        <v>25634</v>
      </c>
      <c r="E12313" t="str">
        <f t="shared" si="2368"/>
        <v>1</v>
      </c>
      <c r="F12313" t="str">
        <f t="shared" si="2374"/>
        <v>COM</v>
      </c>
      <c r="G12313" t="str">
        <f>"RICHARD HENRIQUE DA SILVA (244)"</f>
        <v>RICHARD HENRIQUE DA SILVA (244)</v>
      </c>
      <c r="H12313" t="str">
        <f>"Serv.Prest. 10/11/2025 a 16/11/2025 - PIX: CELULAR - CHAVE: (37) 99197-6834"</f>
        <v>Serv.Prest. 10/11/2025 a 16/11/2025 - PIX: CELULAR - CHAVE: (37) 99197-6834</v>
      </c>
      <c r="I12313" t="str">
        <f t="shared" si="2380"/>
        <v>20/11/2025</v>
      </c>
      <c r="J12313" t="str">
        <f t="shared" si="2381"/>
        <v>18/11/2025</v>
      </c>
      <c r="K12313" t="str">
        <f>("21/11/2025")</f>
        <v>21/11/2025</v>
      </c>
      <c r="L12313">
        <v>1440</v>
      </c>
      <c r="M12313">
        <v>1440</v>
      </c>
      <c r="N12313">
        <v>109</v>
      </c>
      <c r="O12313" t="str">
        <f>"PAGAMENTO DE ENTREGADORES"</f>
        <v>PAGAMENTO DE ENTREGADORES</v>
      </c>
      <c r="P12313">
        <v>1440</v>
      </c>
      <c r="S12313" t="str">
        <f>"BANCO C6 (149)"</f>
        <v>BANCO C6 (149)</v>
      </c>
      <c r="T12313">
        <v>21538</v>
      </c>
      <c r="U12313">
        <v>25634</v>
      </c>
      <c r="V12313" t="s">
        <v>77</v>
      </c>
    </row>
    <row r="12314" spans="1:22">
      <c r="A12314" t="str">
        <f t="shared" si="2378"/>
        <v>21/11/2025</v>
      </c>
      <c r="B12314" t="str">
        <f t="shared" si="2377"/>
        <v>SAÍDA</v>
      </c>
      <c r="C12314" t="str">
        <f t="shared" si="2379"/>
        <v>PIX</v>
      </c>
      <c r="D12314" t="str">
        <f>"25634"</f>
        <v>25634</v>
      </c>
      <c r="E12314" t="str">
        <f t="shared" si="2368"/>
        <v>1</v>
      </c>
      <c r="F12314" t="str">
        <f t="shared" si="2374"/>
        <v>COM</v>
      </c>
      <c r="G12314" t="str">
        <f>"RICHARD HENRIQUE DA SILVA (244)"</f>
        <v>RICHARD HENRIQUE DA SILVA (244)</v>
      </c>
      <c r="H12314" t="s">
        <v>3329</v>
      </c>
      <c r="I12314" t="str">
        <f t="shared" si="2380"/>
        <v>20/11/2025</v>
      </c>
      <c r="J12314" t="str">
        <f t="shared" si="2381"/>
        <v>18/11/2025</v>
      </c>
      <c r="K12314">
        <v>45982</v>
      </c>
      <c r="N12314">
        <v>109</v>
      </c>
      <c r="O12314" t="s">
        <v>24</v>
      </c>
      <c r="Q12314">
        <v>1440</v>
      </c>
      <c r="R12314" t="str">
        <f>"DROGARIA POUPA MINAS (ULTRAMINAS) 1 (10181)"</f>
        <v>DROGARIA POUPA MINAS (ULTRAMINAS) 1 (10181)</v>
      </c>
      <c r="S12314" t="s">
        <v>77</v>
      </c>
      <c r="T12314">
        <v>21538</v>
      </c>
      <c r="U12314">
        <v>25634</v>
      </c>
      <c r="V12314" t="s">
        <v>77</v>
      </c>
    </row>
    <row r="12315" spans="1:22">
      <c r="A12315" t="str">
        <f t="shared" si="2378"/>
        <v>21/11/2025</v>
      </c>
      <c r="B12315" t="str">
        <f t="shared" si="2377"/>
        <v>SAÍDA</v>
      </c>
      <c r="C12315" t="str">
        <f t="shared" si="2379"/>
        <v>PIX</v>
      </c>
      <c r="D12315" t="str">
        <f>"25635"</f>
        <v>25635</v>
      </c>
      <c r="E12315" t="str">
        <f t="shared" si="2368"/>
        <v>1</v>
      </c>
      <c r="F12315" t="str">
        <f t="shared" si="2374"/>
        <v>COM</v>
      </c>
      <c r="G12315" t="str">
        <f>"ROGERIO AUGUSTO FERREIRA (649)"</f>
        <v>ROGERIO AUGUSTO FERREIRA (649)</v>
      </c>
      <c r="H12315" t="str">
        <f>"Serv.Prest. 10/11/2025 a 16/11/2025 - PIX: CPF - CHAVE: 950.176.406-06"</f>
        <v>Serv.Prest. 10/11/2025 a 16/11/2025 - PIX: CPF - CHAVE: 950.176.406-06</v>
      </c>
      <c r="I12315" t="str">
        <f t="shared" si="2380"/>
        <v>20/11/2025</v>
      </c>
      <c r="J12315" t="str">
        <f t="shared" si="2381"/>
        <v>18/11/2025</v>
      </c>
      <c r="K12315" t="str">
        <f>("21/11/2025")</f>
        <v>21/11/2025</v>
      </c>
      <c r="L12315">
        <v>1080</v>
      </c>
      <c r="M12315">
        <v>1080</v>
      </c>
      <c r="N12315">
        <v>109</v>
      </c>
      <c r="O12315" t="str">
        <f>"PAGAMENTO DE ENTREGADORES"</f>
        <v>PAGAMENTO DE ENTREGADORES</v>
      </c>
      <c r="P12315">
        <v>1080</v>
      </c>
      <c r="S12315" t="str">
        <f>"BANCO C6 (149)"</f>
        <v>BANCO C6 (149)</v>
      </c>
      <c r="T12315">
        <v>21539</v>
      </c>
      <c r="U12315">
        <v>25635</v>
      </c>
      <c r="V12315" t="s">
        <v>77</v>
      </c>
    </row>
    <row r="12316" spans="1:22">
      <c r="A12316" t="str">
        <f t="shared" si="2378"/>
        <v>21/11/2025</v>
      </c>
      <c r="B12316" t="str">
        <f t="shared" si="2377"/>
        <v>SAÍDA</v>
      </c>
      <c r="C12316" t="str">
        <f t="shared" si="2379"/>
        <v>PIX</v>
      </c>
      <c r="D12316" t="str">
        <f>"25635"</f>
        <v>25635</v>
      </c>
      <c r="E12316" t="str">
        <f t="shared" ref="E12316:E12379" si="2382">"1"</f>
        <v>1</v>
      </c>
      <c r="F12316" t="str">
        <f t="shared" si="2374"/>
        <v>COM</v>
      </c>
      <c r="G12316" t="str">
        <f>"ROGERIO AUGUSTO FERREIRA (649)"</f>
        <v>ROGERIO AUGUSTO FERREIRA (649)</v>
      </c>
      <c r="H12316" t="s">
        <v>3330</v>
      </c>
      <c r="I12316" t="str">
        <f t="shared" si="2380"/>
        <v>20/11/2025</v>
      </c>
      <c r="J12316" t="str">
        <f t="shared" si="2381"/>
        <v>18/11/2025</v>
      </c>
      <c r="K12316">
        <v>45982</v>
      </c>
      <c r="N12316">
        <v>109</v>
      </c>
      <c r="O12316" t="s">
        <v>24</v>
      </c>
      <c r="Q12316">
        <v>1080</v>
      </c>
      <c r="R12316" t="str">
        <f>"DROGARIA POUPA MINAS (ULTRAMINAS) 1 (10181)"</f>
        <v>DROGARIA POUPA MINAS (ULTRAMINAS) 1 (10181)</v>
      </c>
      <c r="S12316" t="s">
        <v>77</v>
      </c>
      <c r="T12316">
        <v>21539</v>
      </c>
      <c r="U12316">
        <v>25635</v>
      </c>
      <c r="V12316" t="s">
        <v>77</v>
      </c>
    </row>
    <row r="12317" spans="1:22">
      <c r="A12317" t="str">
        <f t="shared" si="2378"/>
        <v>21/11/2025</v>
      </c>
      <c r="B12317" t="str">
        <f t="shared" si="2377"/>
        <v>SAÍDA</v>
      </c>
      <c r="C12317" t="str">
        <f t="shared" si="2379"/>
        <v>PIX</v>
      </c>
      <c r="D12317" t="str">
        <f>"25636"</f>
        <v>25636</v>
      </c>
      <c r="E12317" t="str">
        <f t="shared" si="2382"/>
        <v>1</v>
      </c>
      <c r="F12317" t="str">
        <f t="shared" si="2374"/>
        <v>COM</v>
      </c>
      <c r="G12317" t="str">
        <f>"THALES VINÍCIUS RODRIGUES DE OLIVEIRA (704)"</f>
        <v>THALES VINÍCIUS RODRIGUES DE OLIVEIRA (704)</v>
      </c>
      <c r="H12317" t="str">
        <f>"Serv.Prest. 10/11/2025 a 16/11/2025 - PIX: CELULAR - CHAVE: (37) 99138-1777"</f>
        <v>Serv.Prest. 10/11/2025 a 16/11/2025 - PIX: CELULAR - CHAVE: (37) 99138-1777</v>
      </c>
      <c r="I12317" t="str">
        <f t="shared" si="2380"/>
        <v>20/11/2025</v>
      </c>
      <c r="J12317" t="str">
        <f t="shared" si="2381"/>
        <v>18/11/2025</v>
      </c>
      <c r="K12317" t="str">
        <f>("21/11/2025")</f>
        <v>21/11/2025</v>
      </c>
      <c r="L12317">
        <v>870</v>
      </c>
      <c r="M12317">
        <v>870</v>
      </c>
      <c r="N12317">
        <v>109</v>
      </c>
      <c r="O12317" t="str">
        <f>"PAGAMENTO DE ENTREGADORES"</f>
        <v>PAGAMENTO DE ENTREGADORES</v>
      </c>
      <c r="P12317">
        <v>870</v>
      </c>
      <c r="S12317" t="str">
        <f>"BANCO C6 (149)"</f>
        <v>BANCO C6 (149)</v>
      </c>
      <c r="T12317">
        <v>21540</v>
      </c>
      <c r="U12317">
        <v>25636</v>
      </c>
      <c r="V12317" t="s">
        <v>77</v>
      </c>
    </row>
    <row r="12318" spans="1:22">
      <c r="A12318" t="str">
        <f t="shared" si="2378"/>
        <v>21/11/2025</v>
      </c>
      <c r="B12318" t="str">
        <f t="shared" si="2377"/>
        <v>SAÍDA</v>
      </c>
      <c r="C12318" t="str">
        <f t="shared" si="2379"/>
        <v>PIX</v>
      </c>
      <c r="D12318" t="str">
        <f>"25636"</f>
        <v>25636</v>
      </c>
      <c r="E12318" t="str">
        <f t="shared" si="2382"/>
        <v>1</v>
      </c>
      <c r="F12318" t="str">
        <f t="shared" si="2374"/>
        <v>COM</v>
      </c>
      <c r="G12318" t="str">
        <f>"THALES VINÍCIUS RODRIGUES DE OLIVEIRA (704)"</f>
        <v>THALES VINÍCIUS RODRIGUES DE OLIVEIRA (704)</v>
      </c>
      <c r="H12318" t="s">
        <v>3331</v>
      </c>
      <c r="I12318" t="str">
        <f t="shared" si="2380"/>
        <v>20/11/2025</v>
      </c>
      <c r="J12318" t="str">
        <f t="shared" si="2381"/>
        <v>18/11/2025</v>
      </c>
      <c r="K12318">
        <v>45982</v>
      </c>
      <c r="N12318">
        <v>109</v>
      </c>
      <c r="O12318" t="s">
        <v>24</v>
      </c>
      <c r="Q12318">
        <v>870</v>
      </c>
      <c r="R12318" t="str">
        <f>"DROGARIA POUPA MINAS (ULTRAMINAS) 1 (10181)"</f>
        <v>DROGARIA POUPA MINAS (ULTRAMINAS) 1 (10181)</v>
      </c>
      <c r="S12318" t="s">
        <v>77</v>
      </c>
      <c r="T12318">
        <v>21540</v>
      </c>
      <c r="U12318">
        <v>25636</v>
      </c>
      <c r="V12318" t="s">
        <v>77</v>
      </c>
    </row>
    <row r="12319" spans="1:22">
      <c r="A12319" t="str">
        <f t="shared" si="2378"/>
        <v>21/11/2025</v>
      </c>
      <c r="B12319" t="str">
        <f t="shared" si="2377"/>
        <v>SAÍDA</v>
      </c>
      <c r="C12319" t="str">
        <f t="shared" si="2379"/>
        <v>PIX</v>
      </c>
      <c r="D12319" t="str">
        <f>"25637"</f>
        <v>25637</v>
      </c>
      <c r="E12319" t="str">
        <f t="shared" si="2382"/>
        <v>1</v>
      </c>
      <c r="F12319" t="str">
        <f t="shared" si="2374"/>
        <v>COM</v>
      </c>
      <c r="G12319" t="str">
        <f>"TIAGO VIEIRA (372)"</f>
        <v>TIAGO VIEIRA (372)</v>
      </c>
      <c r="H12319" t="str">
        <f>"Serv.Prest. 10/11/2025 a 16/11/2025 - PIX: CELULAR - CHAVE: (37) 98841-8571"</f>
        <v>Serv.Prest. 10/11/2025 a 16/11/2025 - PIX: CELULAR - CHAVE: (37) 98841-8571</v>
      </c>
      <c r="I12319" t="str">
        <f t="shared" si="2380"/>
        <v>20/11/2025</v>
      </c>
      <c r="J12319" t="str">
        <f t="shared" si="2381"/>
        <v>18/11/2025</v>
      </c>
      <c r="K12319" t="str">
        <f>("21/11/2025")</f>
        <v>21/11/2025</v>
      </c>
      <c r="L12319">
        <v>540</v>
      </c>
      <c r="M12319">
        <v>540</v>
      </c>
      <c r="N12319">
        <v>109</v>
      </c>
      <c r="O12319" t="str">
        <f>"PAGAMENTO DE ENTREGADORES"</f>
        <v>PAGAMENTO DE ENTREGADORES</v>
      </c>
      <c r="P12319">
        <v>540</v>
      </c>
      <c r="S12319" t="str">
        <f>"BANCO C6 (149)"</f>
        <v>BANCO C6 (149)</v>
      </c>
      <c r="T12319">
        <v>21541</v>
      </c>
      <c r="U12319">
        <v>25637</v>
      </c>
      <c r="V12319" t="s">
        <v>77</v>
      </c>
    </row>
    <row r="12320" spans="1:22">
      <c r="A12320" t="str">
        <f t="shared" si="2378"/>
        <v>21/11/2025</v>
      </c>
      <c r="B12320" t="str">
        <f t="shared" si="2377"/>
        <v>SAÍDA</v>
      </c>
      <c r="C12320" t="str">
        <f t="shared" si="2379"/>
        <v>PIX</v>
      </c>
      <c r="D12320" t="str">
        <f>"25637"</f>
        <v>25637</v>
      </c>
      <c r="E12320" t="str">
        <f t="shared" si="2382"/>
        <v>1</v>
      </c>
      <c r="F12320" t="str">
        <f t="shared" si="2374"/>
        <v>COM</v>
      </c>
      <c r="G12320" t="str">
        <f>"TIAGO VIEIRA (372)"</f>
        <v>TIAGO VIEIRA (372)</v>
      </c>
      <c r="H12320" t="s">
        <v>3332</v>
      </c>
      <c r="I12320" t="str">
        <f t="shared" si="2380"/>
        <v>20/11/2025</v>
      </c>
      <c r="J12320" t="str">
        <f t="shared" si="2381"/>
        <v>18/11/2025</v>
      </c>
      <c r="K12320">
        <v>45982</v>
      </c>
      <c r="N12320">
        <v>109</v>
      </c>
      <c r="O12320" t="s">
        <v>24</v>
      </c>
      <c r="Q12320">
        <v>540</v>
      </c>
      <c r="R12320" t="str">
        <f>"DROGARIA POUPA MINAS (ULTRAMINAS) 1 (10181)"</f>
        <v>DROGARIA POUPA MINAS (ULTRAMINAS) 1 (10181)</v>
      </c>
      <c r="S12320" t="s">
        <v>77</v>
      </c>
      <c r="T12320">
        <v>21541</v>
      </c>
      <c r="U12320">
        <v>25637</v>
      </c>
      <c r="V12320" t="s">
        <v>77</v>
      </c>
    </row>
    <row r="12321" spans="1:22">
      <c r="A12321" t="str">
        <f t="shared" si="2378"/>
        <v>21/11/2025</v>
      </c>
      <c r="B12321" t="str">
        <f t="shared" si="2377"/>
        <v>SAÍDA</v>
      </c>
      <c r="C12321" t="str">
        <f t="shared" si="2379"/>
        <v>PIX</v>
      </c>
      <c r="D12321" t="str">
        <f>"25639"</f>
        <v>25639</v>
      </c>
      <c r="E12321" t="str">
        <f t="shared" si="2382"/>
        <v>1</v>
      </c>
      <c r="F12321" t="str">
        <f t="shared" si="2374"/>
        <v>COM</v>
      </c>
      <c r="G12321" t="str">
        <f>"JAMERSON SOUZA LOPES (749)"</f>
        <v>JAMERSON SOUZA LOPES (749)</v>
      </c>
      <c r="H12321" t="str">
        <f>"Serv.Prest. 10/11/2025 a 16/11/2025 - PIX: CPF - CHAVE: 423.098.018-36"</f>
        <v>Serv.Prest. 10/11/2025 a 16/11/2025 - PIX: CPF - CHAVE: 423.098.018-36</v>
      </c>
      <c r="I12321" t="str">
        <f t="shared" si="2380"/>
        <v>20/11/2025</v>
      </c>
      <c r="J12321" t="str">
        <f t="shared" si="2381"/>
        <v>18/11/2025</v>
      </c>
      <c r="K12321" t="str">
        <f>("21/11/2025")</f>
        <v>21/11/2025</v>
      </c>
      <c r="L12321">
        <v>805</v>
      </c>
      <c r="M12321">
        <v>805</v>
      </c>
      <c r="N12321">
        <v>109</v>
      </c>
      <c r="O12321" t="str">
        <f>"PAGAMENTO DE ENTREGADORES"</f>
        <v>PAGAMENTO DE ENTREGADORES</v>
      </c>
      <c r="P12321">
        <v>805</v>
      </c>
      <c r="S12321" t="str">
        <f>"BANCO C6 (149)"</f>
        <v>BANCO C6 (149)</v>
      </c>
      <c r="T12321">
        <v>21542</v>
      </c>
      <c r="U12321">
        <v>25639</v>
      </c>
      <c r="V12321" t="s">
        <v>77</v>
      </c>
    </row>
    <row r="12322" spans="1:22">
      <c r="A12322" t="str">
        <f t="shared" si="2378"/>
        <v>21/11/2025</v>
      </c>
      <c r="B12322" t="str">
        <f t="shared" si="2377"/>
        <v>SAÍDA</v>
      </c>
      <c r="C12322" t="str">
        <f t="shared" si="2379"/>
        <v>PIX</v>
      </c>
      <c r="D12322" t="str">
        <f>"25639"</f>
        <v>25639</v>
      </c>
      <c r="E12322" t="str">
        <f t="shared" si="2382"/>
        <v>1</v>
      </c>
      <c r="F12322" t="str">
        <f t="shared" si="2374"/>
        <v>COM</v>
      </c>
      <c r="G12322" t="str">
        <f>"JAMERSON SOUZA LOPES (749)"</f>
        <v>JAMERSON SOUZA LOPES (749)</v>
      </c>
      <c r="H12322" t="s">
        <v>3333</v>
      </c>
      <c r="I12322" t="str">
        <f t="shared" si="2380"/>
        <v>20/11/2025</v>
      </c>
      <c r="J12322" t="str">
        <f t="shared" si="2381"/>
        <v>18/11/2025</v>
      </c>
      <c r="K12322">
        <v>45982</v>
      </c>
      <c r="N12322">
        <v>109</v>
      </c>
      <c r="O12322" t="s">
        <v>24</v>
      </c>
      <c r="Q12322">
        <v>805</v>
      </c>
      <c r="R12322" t="str">
        <f>"DROGARIA TOTAL JUNDIAI (10177)"</f>
        <v>DROGARIA TOTAL JUNDIAI (10177)</v>
      </c>
      <c r="S12322" t="s">
        <v>77</v>
      </c>
      <c r="T12322">
        <v>21542</v>
      </c>
      <c r="U12322">
        <v>25639</v>
      </c>
      <c r="V12322" t="s">
        <v>77</v>
      </c>
    </row>
    <row r="12323" spans="1:22">
      <c r="A12323" t="str">
        <f t="shared" si="2378"/>
        <v>21/11/2025</v>
      </c>
      <c r="B12323" t="str">
        <f t="shared" si="2377"/>
        <v>SAÍDA</v>
      </c>
      <c r="C12323" t="str">
        <f t="shared" si="2379"/>
        <v>PIX</v>
      </c>
      <c r="D12323" t="str">
        <f>"25643"</f>
        <v>25643</v>
      </c>
      <c r="E12323" t="str">
        <f t="shared" si="2382"/>
        <v>1</v>
      </c>
      <c r="F12323" t="str">
        <f t="shared" si="2374"/>
        <v>COM</v>
      </c>
      <c r="G12323" t="str">
        <f>"CLAUDIO DOS SANTOS (507)"</f>
        <v>CLAUDIO DOS SANTOS (507)</v>
      </c>
      <c r="H12323" t="str">
        <f>"Serv.Prest. 10/11/2025 a 16/11/2025 - PIX: E-MAIL - CHAVE: claudioverdinho2009@hotmail.com"</f>
        <v>Serv.Prest. 10/11/2025 a 16/11/2025 - PIX: E-MAIL - CHAVE: claudioverdinho2009@hotmail.com</v>
      </c>
      <c r="I12323" t="str">
        <f t="shared" si="2380"/>
        <v>20/11/2025</v>
      </c>
      <c r="J12323" t="str">
        <f t="shared" si="2381"/>
        <v>18/11/2025</v>
      </c>
      <c r="K12323" t="str">
        <f>("21/11/2025")</f>
        <v>21/11/2025</v>
      </c>
      <c r="L12323">
        <v>1036</v>
      </c>
      <c r="M12323">
        <v>1036</v>
      </c>
      <c r="N12323">
        <v>109</v>
      </c>
      <c r="O12323" t="str">
        <f>"PAGAMENTO DE ENTREGADORES"</f>
        <v>PAGAMENTO DE ENTREGADORES</v>
      </c>
      <c r="P12323">
        <v>1036</v>
      </c>
      <c r="S12323" t="str">
        <f>"BANCO C6 (149)"</f>
        <v>BANCO C6 (149)</v>
      </c>
      <c r="T12323">
        <v>21543</v>
      </c>
      <c r="U12323">
        <v>25643</v>
      </c>
      <c r="V12323" t="s">
        <v>77</v>
      </c>
    </row>
    <row r="12324" spans="1:22">
      <c r="A12324" t="str">
        <f t="shared" si="2378"/>
        <v>21/11/2025</v>
      </c>
      <c r="B12324" t="str">
        <f t="shared" si="2377"/>
        <v>SAÍDA</v>
      </c>
      <c r="C12324" t="str">
        <f t="shared" si="2379"/>
        <v>PIX</v>
      </c>
      <c r="D12324" t="str">
        <f>"25643"</f>
        <v>25643</v>
      </c>
      <c r="E12324" t="str">
        <f t="shared" si="2382"/>
        <v>1</v>
      </c>
      <c r="F12324" t="str">
        <f t="shared" si="2374"/>
        <v>COM</v>
      </c>
      <c r="G12324" t="str">
        <f>"CLAUDIO DOS SANTOS (507)"</f>
        <v>CLAUDIO DOS SANTOS (507)</v>
      </c>
      <c r="H12324" t="s">
        <v>3334</v>
      </c>
      <c r="I12324" t="str">
        <f t="shared" si="2380"/>
        <v>20/11/2025</v>
      </c>
      <c r="J12324" t="str">
        <f t="shared" si="2381"/>
        <v>18/11/2025</v>
      </c>
      <c r="K12324">
        <v>45982</v>
      </c>
      <c r="N12324">
        <v>109</v>
      </c>
      <c r="O12324" t="s">
        <v>24</v>
      </c>
      <c r="Q12324">
        <v>1036</v>
      </c>
      <c r="R12324" t="str">
        <f>"JAL FARMACIA E DROGARIA LJ 1 (10137)"</f>
        <v>JAL FARMACIA E DROGARIA LJ 1 (10137)</v>
      </c>
      <c r="S12324" t="s">
        <v>77</v>
      </c>
      <c r="T12324">
        <v>21543</v>
      </c>
      <c r="U12324">
        <v>25643</v>
      </c>
      <c r="V12324" t="s">
        <v>77</v>
      </c>
    </row>
    <row r="12325" spans="1:22">
      <c r="A12325" t="str">
        <f t="shared" si="2378"/>
        <v>21/11/2025</v>
      </c>
      <c r="B12325" t="str">
        <f t="shared" si="2377"/>
        <v>SAÍDA</v>
      </c>
      <c r="C12325" t="str">
        <f t="shared" si="2379"/>
        <v>PIX</v>
      </c>
      <c r="D12325" t="str">
        <f>"25644"</f>
        <v>25644</v>
      </c>
      <c r="E12325" t="str">
        <f t="shared" si="2382"/>
        <v>1</v>
      </c>
      <c r="F12325" t="str">
        <f t="shared" si="2374"/>
        <v>COM</v>
      </c>
      <c r="G12325" t="str">
        <f>"HECTOR LUIS YANEZ QUEZADA (718)"</f>
        <v>HECTOR LUIS YANEZ QUEZADA (718)</v>
      </c>
      <c r="H12325" t="str">
        <f>"Serv.Prest. 10/11/2025 a 16/11/2025 - PIX: CELULAR - CHAVE: (41) 98421-2278"</f>
        <v>Serv.Prest. 10/11/2025 a 16/11/2025 - PIX: CELULAR - CHAVE: (41) 98421-2278</v>
      </c>
      <c r="I12325" t="str">
        <f t="shared" si="2380"/>
        <v>20/11/2025</v>
      </c>
      <c r="J12325" t="str">
        <f t="shared" si="2381"/>
        <v>18/11/2025</v>
      </c>
      <c r="K12325" t="str">
        <f>("21/11/2025")</f>
        <v>21/11/2025</v>
      </c>
      <c r="L12325">
        <v>329</v>
      </c>
      <c r="M12325">
        <v>329</v>
      </c>
      <c r="N12325">
        <v>109</v>
      </c>
      <c r="O12325" t="str">
        <f>"PAGAMENTO DE ENTREGADORES"</f>
        <v>PAGAMENTO DE ENTREGADORES</v>
      </c>
      <c r="P12325">
        <v>329</v>
      </c>
      <c r="S12325" t="str">
        <f>"BANCO C6 (149)"</f>
        <v>BANCO C6 (149)</v>
      </c>
      <c r="T12325">
        <v>21544</v>
      </c>
      <c r="U12325">
        <v>25644</v>
      </c>
      <c r="V12325" t="s">
        <v>77</v>
      </c>
    </row>
    <row r="12326" spans="1:22">
      <c r="A12326" t="str">
        <f t="shared" si="2378"/>
        <v>21/11/2025</v>
      </c>
      <c r="B12326" t="str">
        <f t="shared" si="2377"/>
        <v>SAÍDA</v>
      </c>
      <c r="C12326" t="str">
        <f t="shared" si="2379"/>
        <v>PIX</v>
      </c>
      <c r="D12326" t="str">
        <f>"25644"</f>
        <v>25644</v>
      </c>
      <c r="E12326" t="str">
        <f t="shared" si="2382"/>
        <v>1</v>
      </c>
      <c r="F12326" t="str">
        <f t="shared" si="2374"/>
        <v>COM</v>
      </c>
      <c r="G12326" t="str">
        <f>"HECTOR LUIS YANEZ QUEZADA (718)"</f>
        <v>HECTOR LUIS YANEZ QUEZADA (718)</v>
      </c>
      <c r="H12326" t="s">
        <v>3335</v>
      </c>
      <c r="I12326" t="str">
        <f t="shared" si="2380"/>
        <v>20/11/2025</v>
      </c>
      <c r="J12326" t="str">
        <f t="shared" si="2381"/>
        <v>18/11/2025</v>
      </c>
      <c r="K12326">
        <v>45982</v>
      </c>
      <c r="N12326">
        <v>109</v>
      </c>
      <c r="O12326" t="s">
        <v>24</v>
      </c>
      <c r="Q12326">
        <v>329</v>
      </c>
      <c r="R12326" t="str">
        <f>"JAL FARMACIA E DROGARIA LJ 1 (10137)"</f>
        <v>JAL FARMACIA E DROGARIA LJ 1 (10137)</v>
      </c>
      <c r="S12326" t="s">
        <v>77</v>
      </c>
      <c r="T12326">
        <v>21544</v>
      </c>
      <c r="U12326">
        <v>25644</v>
      </c>
      <c r="V12326" t="s">
        <v>77</v>
      </c>
    </row>
    <row r="12327" spans="1:22">
      <c r="A12327" t="str">
        <f t="shared" si="2378"/>
        <v>21/11/2025</v>
      </c>
      <c r="B12327" t="str">
        <f t="shared" si="2377"/>
        <v>SAÍDA</v>
      </c>
      <c r="C12327" t="str">
        <f t="shared" si="2379"/>
        <v>PIX</v>
      </c>
      <c r="D12327" t="str">
        <f>"25645"</f>
        <v>25645</v>
      </c>
      <c r="E12327" t="str">
        <f t="shared" si="2382"/>
        <v>1</v>
      </c>
      <c r="F12327" t="str">
        <f t="shared" si="2374"/>
        <v>COM</v>
      </c>
      <c r="G12327" t="str">
        <f>"JESSICA BRAHOLKA (837)"</f>
        <v>JESSICA BRAHOLKA (837)</v>
      </c>
      <c r="H12327" t="str">
        <f>"Serv.Prest. 10/11/2025 a 16/11/2025 - PIX: CPF - CHAVE: 124.575.099-20"</f>
        <v>Serv.Prest. 10/11/2025 a 16/11/2025 - PIX: CPF - CHAVE: 124.575.099-20</v>
      </c>
      <c r="I12327" t="str">
        <f t="shared" si="2380"/>
        <v>20/11/2025</v>
      </c>
      <c r="J12327" t="str">
        <f t="shared" si="2381"/>
        <v>18/11/2025</v>
      </c>
      <c r="K12327" t="str">
        <f>("21/11/2025")</f>
        <v>21/11/2025</v>
      </c>
      <c r="L12327">
        <v>730</v>
      </c>
      <c r="M12327">
        <v>730</v>
      </c>
      <c r="N12327">
        <v>109</v>
      </c>
      <c r="O12327" t="str">
        <f>"PAGAMENTO DE ENTREGADORES"</f>
        <v>PAGAMENTO DE ENTREGADORES</v>
      </c>
      <c r="P12327">
        <v>730</v>
      </c>
      <c r="S12327" t="str">
        <f>"BANCO C6 (149)"</f>
        <v>BANCO C6 (149)</v>
      </c>
      <c r="T12327">
        <v>21545</v>
      </c>
      <c r="U12327">
        <v>25645</v>
      </c>
      <c r="V12327" t="s">
        <v>77</v>
      </c>
    </row>
    <row r="12328" spans="1:22">
      <c r="A12328" t="str">
        <f t="shared" si="2378"/>
        <v>21/11/2025</v>
      </c>
      <c r="B12328" t="str">
        <f t="shared" si="2377"/>
        <v>SAÍDA</v>
      </c>
      <c r="C12328" t="str">
        <f t="shared" si="2379"/>
        <v>PIX</v>
      </c>
      <c r="D12328" t="str">
        <f>"25645"</f>
        <v>25645</v>
      </c>
      <c r="E12328" t="str">
        <f t="shared" si="2382"/>
        <v>1</v>
      </c>
      <c r="F12328" t="str">
        <f t="shared" si="2374"/>
        <v>COM</v>
      </c>
      <c r="G12328" t="str">
        <f>"JESSICA BRAHOLKA (837)"</f>
        <v>JESSICA BRAHOLKA (837)</v>
      </c>
      <c r="H12328" t="s">
        <v>3336</v>
      </c>
      <c r="I12328" t="str">
        <f t="shared" si="2380"/>
        <v>20/11/2025</v>
      </c>
      <c r="J12328" t="str">
        <f t="shared" si="2381"/>
        <v>18/11/2025</v>
      </c>
      <c r="K12328">
        <v>45982</v>
      </c>
      <c r="N12328">
        <v>109</v>
      </c>
      <c r="O12328" t="s">
        <v>24</v>
      </c>
      <c r="Q12328">
        <v>730</v>
      </c>
      <c r="R12328" t="str">
        <f>"JAL FARMACIA E DROGARIA LJ 1 (10137)"</f>
        <v>JAL FARMACIA E DROGARIA LJ 1 (10137)</v>
      </c>
      <c r="S12328" t="s">
        <v>77</v>
      </c>
      <c r="T12328">
        <v>21545</v>
      </c>
      <c r="U12328">
        <v>25645</v>
      </c>
      <c r="V12328" t="s">
        <v>77</v>
      </c>
    </row>
    <row r="12329" spans="1:22">
      <c r="A12329" t="str">
        <f t="shared" si="2378"/>
        <v>21/11/2025</v>
      </c>
      <c r="B12329" t="str">
        <f t="shared" si="2377"/>
        <v>SAÍDA</v>
      </c>
      <c r="C12329" t="str">
        <f t="shared" si="2379"/>
        <v>PIX</v>
      </c>
      <c r="D12329" t="str">
        <f>"25647"</f>
        <v>25647</v>
      </c>
      <c r="E12329" t="str">
        <f t="shared" si="2382"/>
        <v>1</v>
      </c>
      <c r="F12329" t="str">
        <f t="shared" si="2374"/>
        <v>COM</v>
      </c>
      <c r="G12329" t="str">
        <f>"CLAUDIO DOS SANTOS (507)"</f>
        <v>CLAUDIO DOS SANTOS (507)</v>
      </c>
      <c r="H12329" t="str">
        <f>"Serv.Prest. 10/11/2025 a 16/11/2025 - PIX: E-MAIL - CHAVE: claudioverdinho2009@hotmail.com"</f>
        <v>Serv.Prest. 10/11/2025 a 16/11/2025 - PIX: E-MAIL - CHAVE: claudioverdinho2009@hotmail.com</v>
      </c>
      <c r="I12329" t="str">
        <f t="shared" si="2380"/>
        <v>20/11/2025</v>
      </c>
      <c r="J12329" t="str">
        <f t="shared" si="2381"/>
        <v>18/11/2025</v>
      </c>
      <c r="K12329" t="str">
        <f>("21/11/2025")</f>
        <v>21/11/2025</v>
      </c>
      <c r="L12329">
        <v>198</v>
      </c>
      <c r="M12329">
        <v>198</v>
      </c>
      <c r="N12329">
        <v>109</v>
      </c>
      <c r="O12329" t="str">
        <f>"PAGAMENTO DE ENTREGADORES"</f>
        <v>PAGAMENTO DE ENTREGADORES</v>
      </c>
      <c r="P12329">
        <v>198</v>
      </c>
      <c r="S12329" t="str">
        <f>"BANCO C6 (149)"</f>
        <v>BANCO C6 (149)</v>
      </c>
      <c r="T12329">
        <v>21546</v>
      </c>
      <c r="U12329">
        <v>25647</v>
      </c>
      <c r="V12329" t="s">
        <v>77</v>
      </c>
    </row>
    <row r="12330" spans="1:22">
      <c r="A12330" t="str">
        <f t="shared" si="2378"/>
        <v>21/11/2025</v>
      </c>
      <c r="B12330" t="str">
        <f t="shared" si="2377"/>
        <v>SAÍDA</v>
      </c>
      <c r="C12330" t="str">
        <f t="shared" si="2379"/>
        <v>PIX</v>
      </c>
      <c r="D12330" t="str">
        <f>"25647"</f>
        <v>25647</v>
      </c>
      <c r="E12330" t="str">
        <f t="shared" si="2382"/>
        <v>1</v>
      </c>
      <c r="F12330" t="str">
        <f t="shared" si="2374"/>
        <v>COM</v>
      </c>
      <c r="G12330" t="str">
        <f>"CLAUDIO DOS SANTOS (507)"</f>
        <v>CLAUDIO DOS SANTOS (507)</v>
      </c>
      <c r="H12330" t="s">
        <v>3334</v>
      </c>
      <c r="I12330" t="str">
        <f t="shared" si="2380"/>
        <v>20/11/2025</v>
      </c>
      <c r="J12330" t="str">
        <f t="shared" si="2381"/>
        <v>18/11/2025</v>
      </c>
      <c r="K12330">
        <v>45982</v>
      </c>
      <c r="N12330">
        <v>109</v>
      </c>
      <c r="O12330" t="s">
        <v>24</v>
      </c>
      <c r="Q12330">
        <v>198</v>
      </c>
      <c r="R12330" t="str">
        <f>"JAL FARMACIA E DROGARIA LJ 2 (10138)"</f>
        <v>JAL FARMACIA E DROGARIA LJ 2 (10138)</v>
      </c>
      <c r="S12330" t="s">
        <v>77</v>
      </c>
      <c r="T12330">
        <v>21546</v>
      </c>
      <c r="U12330">
        <v>25647</v>
      </c>
      <c r="V12330" t="s">
        <v>77</v>
      </c>
    </row>
    <row r="12331" spans="1:22">
      <c r="A12331" t="str">
        <f t="shared" si="2378"/>
        <v>21/11/2025</v>
      </c>
      <c r="B12331" t="str">
        <f t="shared" si="2377"/>
        <v>SAÍDA</v>
      </c>
      <c r="C12331" t="str">
        <f t="shared" si="2379"/>
        <v>PIX</v>
      </c>
      <c r="D12331" t="str">
        <f>"25648"</f>
        <v>25648</v>
      </c>
      <c r="E12331" t="str">
        <f t="shared" si="2382"/>
        <v>1</v>
      </c>
      <c r="F12331" t="str">
        <f t="shared" si="2374"/>
        <v>COM</v>
      </c>
      <c r="G12331" t="str">
        <f>"HECTOR LUIS YANEZ QUEZADA (718)"</f>
        <v>HECTOR LUIS YANEZ QUEZADA (718)</v>
      </c>
      <c r="H12331" t="str">
        <f>"Serv.Prest. 10/11/2025 a 16/11/2025 - PIX: CELULAR - CHAVE: (41) 98421-2278"</f>
        <v>Serv.Prest. 10/11/2025 a 16/11/2025 - PIX: CELULAR - CHAVE: (41) 98421-2278</v>
      </c>
      <c r="I12331" t="str">
        <f t="shared" si="2380"/>
        <v>20/11/2025</v>
      </c>
      <c r="J12331" t="str">
        <f t="shared" si="2381"/>
        <v>18/11/2025</v>
      </c>
      <c r="K12331" t="str">
        <f>("21/11/2025")</f>
        <v>21/11/2025</v>
      </c>
      <c r="L12331">
        <v>471</v>
      </c>
      <c r="M12331">
        <v>471</v>
      </c>
      <c r="N12331">
        <v>109</v>
      </c>
      <c r="O12331" t="str">
        <f>"PAGAMENTO DE ENTREGADORES"</f>
        <v>PAGAMENTO DE ENTREGADORES</v>
      </c>
      <c r="P12331">
        <v>471</v>
      </c>
      <c r="S12331" t="str">
        <f>"BANCO C6 (149)"</f>
        <v>BANCO C6 (149)</v>
      </c>
      <c r="T12331">
        <v>21547</v>
      </c>
      <c r="U12331">
        <v>25648</v>
      </c>
      <c r="V12331" t="s">
        <v>77</v>
      </c>
    </row>
    <row r="12332" spans="1:22">
      <c r="A12332" t="str">
        <f t="shared" si="2378"/>
        <v>21/11/2025</v>
      </c>
      <c r="B12332" t="str">
        <f t="shared" si="2377"/>
        <v>SAÍDA</v>
      </c>
      <c r="C12332" t="str">
        <f t="shared" si="2379"/>
        <v>PIX</v>
      </c>
      <c r="D12332" t="str">
        <f>"25648"</f>
        <v>25648</v>
      </c>
      <c r="E12332" t="str">
        <f t="shared" si="2382"/>
        <v>1</v>
      </c>
      <c r="F12332" t="str">
        <f t="shared" si="2374"/>
        <v>COM</v>
      </c>
      <c r="G12332" t="str">
        <f>"HECTOR LUIS YANEZ QUEZADA (718)"</f>
        <v>HECTOR LUIS YANEZ QUEZADA (718)</v>
      </c>
      <c r="H12332" t="s">
        <v>3335</v>
      </c>
      <c r="I12332" t="str">
        <f t="shared" si="2380"/>
        <v>20/11/2025</v>
      </c>
      <c r="J12332" t="str">
        <f t="shared" si="2381"/>
        <v>18/11/2025</v>
      </c>
      <c r="K12332">
        <v>45982</v>
      </c>
      <c r="N12332">
        <v>109</v>
      </c>
      <c r="O12332" t="s">
        <v>24</v>
      </c>
      <c r="Q12332">
        <v>471</v>
      </c>
      <c r="R12332" t="str">
        <f>"JAL FARMACIA E DROGARIA LJ 2 (10138)"</f>
        <v>JAL FARMACIA E DROGARIA LJ 2 (10138)</v>
      </c>
      <c r="S12332" t="s">
        <v>77</v>
      </c>
      <c r="T12332">
        <v>21547</v>
      </c>
      <c r="U12332">
        <v>25648</v>
      </c>
      <c r="V12332" t="s">
        <v>77</v>
      </c>
    </row>
    <row r="12333" spans="1:22">
      <c r="A12333" t="str">
        <f t="shared" si="2378"/>
        <v>21/11/2025</v>
      </c>
      <c r="B12333" t="str">
        <f t="shared" si="2377"/>
        <v>SAÍDA</v>
      </c>
      <c r="C12333" t="str">
        <f t="shared" si="2379"/>
        <v>PIX</v>
      </c>
      <c r="D12333" t="str">
        <f>"25649"</f>
        <v>25649</v>
      </c>
      <c r="E12333" t="str">
        <f t="shared" si="2382"/>
        <v>1</v>
      </c>
      <c r="F12333" t="str">
        <f t="shared" si="2374"/>
        <v>COM</v>
      </c>
      <c r="G12333" t="str">
        <f>"JESSICA BRAHOLKA (837)"</f>
        <v>JESSICA BRAHOLKA (837)</v>
      </c>
      <c r="H12333" t="str">
        <f>"Serv.Prest. 10/11/2025 a 16/11/2025 - PIX: CPF - CHAVE: 124.575.099-20"</f>
        <v>Serv.Prest. 10/11/2025 a 16/11/2025 - PIX: CPF - CHAVE: 124.575.099-20</v>
      </c>
      <c r="I12333" t="str">
        <f t="shared" si="2380"/>
        <v>20/11/2025</v>
      </c>
      <c r="J12333" t="str">
        <f t="shared" si="2381"/>
        <v>18/11/2025</v>
      </c>
      <c r="K12333" t="str">
        <f>("21/11/2025")</f>
        <v>21/11/2025</v>
      </c>
      <c r="L12333">
        <v>630</v>
      </c>
      <c r="M12333">
        <v>630</v>
      </c>
      <c r="N12333">
        <v>109</v>
      </c>
      <c r="O12333" t="str">
        <f>"PAGAMENTO DE ENTREGADORES"</f>
        <v>PAGAMENTO DE ENTREGADORES</v>
      </c>
      <c r="P12333">
        <v>630</v>
      </c>
      <c r="S12333" t="str">
        <f>"BANCO C6 (149)"</f>
        <v>BANCO C6 (149)</v>
      </c>
      <c r="T12333">
        <v>21548</v>
      </c>
      <c r="U12333">
        <v>25649</v>
      </c>
      <c r="V12333" t="s">
        <v>77</v>
      </c>
    </row>
    <row r="12334" spans="1:22">
      <c r="A12334" t="str">
        <f t="shared" si="2378"/>
        <v>21/11/2025</v>
      </c>
      <c r="B12334" t="str">
        <f t="shared" si="2377"/>
        <v>SAÍDA</v>
      </c>
      <c r="C12334" t="str">
        <f t="shared" si="2379"/>
        <v>PIX</v>
      </c>
      <c r="D12334" t="str">
        <f>"25649"</f>
        <v>25649</v>
      </c>
      <c r="E12334" t="str">
        <f t="shared" si="2382"/>
        <v>1</v>
      </c>
      <c r="F12334" t="str">
        <f t="shared" si="2374"/>
        <v>COM</v>
      </c>
      <c r="G12334" t="str">
        <f>"JESSICA BRAHOLKA (837)"</f>
        <v>JESSICA BRAHOLKA (837)</v>
      </c>
      <c r="H12334" t="s">
        <v>3336</v>
      </c>
      <c r="I12334" t="str">
        <f t="shared" si="2380"/>
        <v>20/11/2025</v>
      </c>
      <c r="J12334" t="str">
        <f t="shared" si="2381"/>
        <v>18/11/2025</v>
      </c>
      <c r="K12334">
        <v>45982</v>
      </c>
      <c r="N12334">
        <v>109</v>
      </c>
      <c r="O12334" t="s">
        <v>24</v>
      </c>
      <c r="Q12334">
        <v>630</v>
      </c>
      <c r="R12334" t="str">
        <f>"JAL FARMACIA E DROGARIA LJ 2 (10138)"</f>
        <v>JAL FARMACIA E DROGARIA LJ 2 (10138)</v>
      </c>
      <c r="S12334" t="s">
        <v>77</v>
      </c>
      <c r="T12334">
        <v>21548</v>
      </c>
      <c r="U12334">
        <v>25649</v>
      </c>
      <c r="V12334" t="s">
        <v>77</v>
      </c>
    </row>
    <row r="12335" spans="1:22">
      <c r="A12335" t="str">
        <f t="shared" si="2378"/>
        <v>21/11/2025</v>
      </c>
      <c r="B12335" t="str">
        <f t="shared" si="2377"/>
        <v>SAÍDA</v>
      </c>
      <c r="C12335" t="str">
        <f t="shared" si="2379"/>
        <v>PIX</v>
      </c>
      <c r="D12335" t="str">
        <f>"25651"</f>
        <v>25651</v>
      </c>
      <c r="E12335" t="str">
        <f t="shared" si="2382"/>
        <v>1</v>
      </c>
      <c r="F12335" t="str">
        <f t="shared" si="2374"/>
        <v>COM</v>
      </c>
      <c r="G12335" t="str">
        <f>"BRUNO ANDRADE LESSA (952)"</f>
        <v>BRUNO ANDRADE LESSA (952)</v>
      </c>
      <c r="H12335" t="str">
        <f>"Serv.Prest. 10/11/2025 a 16/11/2025 - PIX: CELULAR - CHAVE: (28) 99988-2177"</f>
        <v>Serv.Prest. 10/11/2025 a 16/11/2025 - PIX: CELULAR - CHAVE: (28) 99988-2177</v>
      </c>
      <c r="I12335" t="str">
        <f t="shared" si="2380"/>
        <v>20/11/2025</v>
      </c>
      <c r="J12335" t="str">
        <f t="shared" si="2381"/>
        <v>18/11/2025</v>
      </c>
      <c r="K12335" t="str">
        <f>("21/11/2025")</f>
        <v>21/11/2025</v>
      </c>
      <c r="L12335">
        <v>270</v>
      </c>
      <c r="M12335">
        <v>270</v>
      </c>
      <c r="N12335">
        <v>109</v>
      </c>
      <c r="O12335" t="str">
        <f>"PAGAMENTO DE ENTREGADORES"</f>
        <v>PAGAMENTO DE ENTREGADORES</v>
      </c>
      <c r="P12335">
        <v>270</v>
      </c>
      <c r="S12335" t="str">
        <f>"BANCO C6 (149)"</f>
        <v>BANCO C6 (149)</v>
      </c>
      <c r="T12335">
        <v>21549</v>
      </c>
      <c r="U12335">
        <v>25651</v>
      </c>
      <c r="V12335" t="s">
        <v>77</v>
      </c>
    </row>
    <row r="12336" spans="1:22">
      <c r="A12336" t="str">
        <f t="shared" si="2378"/>
        <v>21/11/2025</v>
      </c>
      <c r="B12336" t="str">
        <f t="shared" si="2377"/>
        <v>SAÍDA</v>
      </c>
      <c r="C12336" t="str">
        <f t="shared" si="2379"/>
        <v>PIX</v>
      </c>
      <c r="D12336" t="str">
        <f>"25651"</f>
        <v>25651</v>
      </c>
      <c r="E12336" t="str">
        <f t="shared" si="2382"/>
        <v>1</v>
      </c>
      <c r="F12336" t="str">
        <f t="shared" si="2374"/>
        <v>COM</v>
      </c>
      <c r="G12336" t="str">
        <f>"BRUNO ANDRADE LESSA (952)"</f>
        <v>BRUNO ANDRADE LESSA (952)</v>
      </c>
      <c r="H12336" t="s">
        <v>3337</v>
      </c>
      <c r="I12336" t="str">
        <f t="shared" si="2380"/>
        <v>20/11/2025</v>
      </c>
      <c r="J12336" t="str">
        <f t="shared" si="2381"/>
        <v>18/11/2025</v>
      </c>
      <c r="K12336">
        <v>45982</v>
      </c>
      <c r="N12336">
        <v>109</v>
      </c>
      <c r="O12336" t="s">
        <v>24</v>
      </c>
      <c r="Q12336">
        <v>270</v>
      </c>
      <c r="R12336" t="str">
        <f>"LBL FARMACIA LTDA (10189)"</f>
        <v>LBL FARMACIA LTDA (10189)</v>
      </c>
      <c r="S12336" t="s">
        <v>77</v>
      </c>
      <c r="T12336">
        <v>21549</v>
      </c>
      <c r="U12336">
        <v>25651</v>
      </c>
      <c r="V12336" t="s">
        <v>77</v>
      </c>
    </row>
    <row r="12337" spans="1:22">
      <c r="A12337" t="str">
        <f t="shared" si="2378"/>
        <v>21/11/2025</v>
      </c>
      <c r="B12337" t="str">
        <f t="shared" si="2377"/>
        <v>SAÍDA</v>
      </c>
      <c r="C12337" t="str">
        <f t="shared" si="2379"/>
        <v>PIX</v>
      </c>
      <c r="D12337" t="str">
        <f>"25652"</f>
        <v>25652</v>
      </c>
      <c r="E12337" t="str">
        <f t="shared" si="2382"/>
        <v>1</v>
      </c>
      <c r="F12337" t="str">
        <f t="shared" si="2374"/>
        <v>COM</v>
      </c>
      <c r="G12337" t="str">
        <f>"JOAO MARCOS FERREIRA (925)"</f>
        <v>JOAO MARCOS FERREIRA (925)</v>
      </c>
      <c r="H12337" t="str">
        <f>"Serv.Prest. 10/11/2025 a 16/11/2025 - PIX: CELULAR - CHAVE: (28) 99908-0831"</f>
        <v>Serv.Prest. 10/11/2025 a 16/11/2025 - PIX: CELULAR - CHAVE: (28) 99908-0831</v>
      </c>
      <c r="I12337" t="str">
        <f t="shared" si="2380"/>
        <v>20/11/2025</v>
      </c>
      <c r="J12337" t="str">
        <f t="shared" si="2381"/>
        <v>18/11/2025</v>
      </c>
      <c r="K12337" t="str">
        <f>("21/11/2025")</f>
        <v>21/11/2025</v>
      </c>
      <c r="L12337">
        <v>250</v>
      </c>
      <c r="M12337">
        <v>250</v>
      </c>
      <c r="N12337">
        <v>109</v>
      </c>
      <c r="O12337" t="str">
        <f>"PAGAMENTO DE ENTREGADORES"</f>
        <v>PAGAMENTO DE ENTREGADORES</v>
      </c>
      <c r="P12337">
        <v>250</v>
      </c>
      <c r="S12337" t="str">
        <f>"BANCO C6 (149)"</f>
        <v>BANCO C6 (149)</v>
      </c>
      <c r="T12337">
        <v>21550</v>
      </c>
      <c r="U12337">
        <v>25652</v>
      </c>
      <c r="V12337" t="s">
        <v>77</v>
      </c>
    </row>
    <row r="12338" spans="1:22">
      <c r="A12338" t="str">
        <f t="shared" si="2378"/>
        <v>21/11/2025</v>
      </c>
      <c r="B12338" t="str">
        <f t="shared" si="2377"/>
        <v>SAÍDA</v>
      </c>
      <c r="C12338" t="str">
        <f t="shared" si="2379"/>
        <v>PIX</v>
      </c>
      <c r="D12338" t="str">
        <f>"25652"</f>
        <v>25652</v>
      </c>
      <c r="E12338" t="str">
        <f t="shared" si="2382"/>
        <v>1</v>
      </c>
      <c r="F12338" t="str">
        <f t="shared" si="2374"/>
        <v>COM</v>
      </c>
      <c r="G12338" t="str">
        <f>"JOAO MARCOS FERREIRA (925)"</f>
        <v>JOAO MARCOS FERREIRA (925)</v>
      </c>
      <c r="H12338" t="s">
        <v>3338</v>
      </c>
      <c r="I12338" t="str">
        <f t="shared" si="2380"/>
        <v>20/11/2025</v>
      </c>
      <c r="J12338" t="str">
        <f t="shared" si="2381"/>
        <v>18/11/2025</v>
      </c>
      <c r="K12338">
        <v>45982</v>
      </c>
      <c r="N12338">
        <v>109</v>
      </c>
      <c r="O12338" t="s">
        <v>24</v>
      </c>
      <c r="Q12338">
        <v>250</v>
      </c>
      <c r="R12338" t="str">
        <f>"LBL FARMACIA LTDA (10189)"</f>
        <v>LBL FARMACIA LTDA (10189)</v>
      </c>
      <c r="S12338" t="s">
        <v>77</v>
      </c>
      <c r="T12338">
        <v>21550</v>
      </c>
      <c r="U12338">
        <v>25652</v>
      </c>
      <c r="V12338" t="s">
        <v>77</v>
      </c>
    </row>
    <row r="12339" spans="1:22">
      <c r="A12339" t="str">
        <f t="shared" si="2378"/>
        <v>21/11/2025</v>
      </c>
      <c r="B12339" t="str">
        <f t="shared" si="2377"/>
        <v>SAÍDA</v>
      </c>
      <c r="C12339" t="str">
        <f t="shared" si="2379"/>
        <v>PIX</v>
      </c>
      <c r="D12339" t="str">
        <f>"25653"</f>
        <v>25653</v>
      </c>
      <c r="E12339" t="str">
        <f t="shared" si="2382"/>
        <v>1</v>
      </c>
      <c r="F12339" t="str">
        <f t="shared" si="2374"/>
        <v>COM</v>
      </c>
      <c r="G12339" t="str">
        <f>"YAN FILIPUTI CORA (926)"</f>
        <v>YAN FILIPUTI CORA (926)</v>
      </c>
      <c r="H12339" t="str">
        <f>"Serv.Prest. 10/11/2025 a 16/11/2025 - PIX: CELULAR - CHAVE: (28) 98816-4170"</f>
        <v>Serv.Prest. 10/11/2025 a 16/11/2025 - PIX: CELULAR - CHAVE: (28) 98816-4170</v>
      </c>
      <c r="I12339" t="str">
        <f t="shared" si="2380"/>
        <v>20/11/2025</v>
      </c>
      <c r="J12339" t="str">
        <f t="shared" si="2381"/>
        <v>18/11/2025</v>
      </c>
      <c r="K12339" t="str">
        <f>("21/11/2025")</f>
        <v>21/11/2025</v>
      </c>
      <c r="L12339">
        <v>400</v>
      </c>
      <c r="M12339">
        <v>400</v>
      </c>
      <c r="N12339">
        <v>109</v>
      </c>
      <c r="O12339" t="str">
        <f>"PAGAMENTO DE ENTREGADORES"</f>
        <v>PAGAMENTO DE ENTREGADORES</v>
      </c>
      <c r="P12339">
        <v>400</v>
      </c>
      <c r="S12339" t="str">
        <f>"BANCO C6 (149)"</f>
        <v>BANCO C6 (149)</v>
      </c>
      <c r="T12339">
        <v>21551</v>
      </c>
      <c r="U12339">
        <v>25653</v>
      </c>
      <c r="V12339" t="s">
        <v>77</v>
      </c>
    </row>
    <row r="12340" spans="1:22">
      <c r="A12340" t="str">
        <f t="shared" si="2378"/>
        <v>21/11/2025</v>
      </c>
      <c r="B12340" t="str">
        <f t="shared" si="2377"/>
        <v>SAÍDA</v>
      </c>
      <c r="C12340" t="str">
        <f t="shared" si="2379"/>
        <v>PIX</v>
      </c>
      <c r="D12340" t="str">
        <f>"25653"</f>
        <v>25653</v>
      </c>
      <c r="E12340" t="str">
        <f t="shared" si="2382"/>
        <v>1</v>
      </c>
      <c r="F12340" t="str">
        <f t="shared" si="2374"/>
        <v>COM</v>
      </c>
      <c r="G12340" t="str">
        <f>"YAN FILIPUTI CORA (926)"</f>
        <v>YAN FILIPUTI CORA (926)</v>
      </c>
      <c r="H12340" t="s">
        <v>3339</v>
      </c>
      <c r="I12340" t="str">
        <f t="shared" si="2380"/>
        <v>20/11/2025</v>
      </c>
      <c r="J12340" t="str">
        <f t="shared" si="2381"/>
        <v>18/11/2025</v>
      </c>
      <c r="K12340">
        <v>45982</v>
      </c>
      <c r="N12340">
        <v>109</v>
      </c>
      <c r="O12340" t="s">
        <v>24</v>
      </c>
      <c r="Q12340">
        <v>400</v>
      </c>
      <c r="R12340" t="str">
        <f>"LBL FARMACIA LTDA (10189)"</f>
        <v>LBL FARMACIA LTDA (10189)</v>
      </c>
      <c r="S12340" t="s">
        <v>77</v>
      </c>
      <c r="T12340">
        <v>21551</v>
      </c>
      <c r="U12340">
        <v>25653</v>
      </c>
      <c r="V12340" t="s">
        <v>77</v>
      </c>
    </row>
    <row r="12341" spans="1:22">
      <c r="A12341" t="str">
        <f t="shared" si="2378"/>
        <v>21/11/2025</v>
      </c>
      <c r="B12341" t="str">
        <f t="shared" si="2377"/>
        <v>SAÍDA</v>
      </c>
      <c r="C12341" t="str">
        <f t="shared" si="2379"/>
        <v>PIX</v>
      </c>
      <c r="D12341" t="str">
        <f>"25655"</f>
        <v>25655</v>
      </c>
      <c r="E12341" t="str">
        <f t="shared" si="2382"/>
        <v>1</v>
      </c>
      <c r="F12341" t="str">
        <f t="shared" si="2374"/>
        <v>COM</v>
      </c>
      <c r="G12341" t="str">
        <f>"BRUNO ANDRADE LESSA (952)"</f>
        <v>BRUNO ANDRADE LESSA (952)</v>
      </c>
      <c r="H12341" t="str">
        <f>"Serv.Prest. 10/11/2025 a 16/11/2025 - PIX: CELULAR - CHAVE: (28) 99988-2177"</f>
        <v>Serv.Prest. 10/11/2025 a 16/11/2025 - PIX: CELULAR - CHAVE: (28) 99988-2177</v>
      </c>
      <c r="I12341" t="str">
        <f t="shared" si="2380"/>
        <v>20/11/2025</v>
      </c>
      <c r="J12341" t="str">
        <f t="shared" si="2381"/>
        <v>18/11/2025</v>
      </c>
      <c r="K12341" t="str">
        <f>("21/11/2025")</f>
        <v>21/11/2025</v>
      </c>
      <c r="L12341">
        <v>575</v>
      </c>
      <c r="M12341">
        <v>575</v>
      </c>
      <c r="N12341">
        <v>109</v>
      </c>
      <c r="O12341" t="str">
        <f>"PAGAMENTO DE ENTREGADORES"</f>
        <v>PAGAMENTO DE ENTREGADORES</v>
      </c>
      <c r="P12341">
        <v>575</v>
      </c>
      <c r="S12341" t="str">
        <f>"BANCO C6 (149)"</f>
        <v>BANCO C6 (149)</v>
      </c>
      <c r="T12341">
        <v>21552</v>
      </c>
      <c r="U12341">
        <v>25655</v>
      </c>
      <c r="V12341" t="s">
        <v>77</v>
      </c>
    </row>
    <row r="12342" spans="1:22">
      <c r="A12342" t="str">
        <f t="shared" si="2378"/>
        <v>21/11/2025</v>
      </c>
      <c r="B12342" t="str">
        <f t="shared" si="2377"/>
        <v>SAÍDA</v>
      </c>
      <c r="C12342" t="str">
        <f t="shared" si="2379"/>
        <v>PIX</v>
      </c>
      <c r="D12342" t="str">
        <f>"25655"</f>
        <v>25655</v>
      </c>
      <c r="E12342" t="str">
        <f t="shared" si="2382"/>
        <v>1</v>
      </c>
      <c r="F12342" t="str">
        <f t="shared" si="2374"/>
        <v>COM</v>
      </c>
      <c r="G12342" t="str">
        <f>"BRUNO ANDRADE LESSA (952)"</f>
        <v>BRUNO ANDRADE LESSA (952)</v>
      </c>
      <c r="H12342" t="s">
        <v>3337</v>
      </c>
      <c r="I12342" t="str">
        <f t="shared" si="2380"/>
        <v>20/11/2025</v>
      </c>
      <c r="J12342" t="str">
        <f t="shared" si="2381"/>
        <v>18/11/2025</v>
      </c>
      <c r="K12342">
        <v>45982</v>
      </c>
      <c r="N12342">
        <v>109</v>
      </c>
      <c r="O12342" t="s">
        <v>24</v>
      </c>
      <c r="Q12342">
        <v>575</v>
      </c>
      <c r="R12342" t="str">
        <f>"LBL FARMACIA LTDA FILIAL (10192)"</f>
        <v>LBL FARMACIA LTDA FILIAL (10192)</v>
      </c>
      <c r="S12342" t="s">
        <v>77</v>
      </c>
      <c r="T12342">
        <v>21552</v>
      </c>
      <c r="U12342">
        <v>25655</v>
      </c>
      <c r="V12342" t="s">
        <v>77</v>
      </c>
    </row>
    <row r="12343" spans="1:22">
      <c r="A12343" t="str">
        <f t="shared" si="2378"/>
        <v>21/11/2025</v>
      </c>
      <c r="B12343" t="str">
        <f t="shared" si="2377"/>
        <v>SAÍDA</v>
      </c>
      <c r="C12343" t="str">
        <f t="shared" si="2379"/>
        <v>PIX</v>
      </c>
      <c r="D12343" t="str">
        <f>"25656"</f>
        <v>25656</v>
      </c>
      <c r="E12343" t="str">
        <f t="shared" si="2382"/>
        <v>1</v>
      </c>
      <c r="F12343" t="str">
        <f t="shared" si="2374"/>
        <v>COM</v>
      </c>
      <c r="G12343" t="str">
        <f>"JOAO MARCOS FERREIRA (925)"</f>
        <v>JOAO MARCOS FERREIRA (925)</v>
      </c>
      <c r="H12343" t="str">
        <f>"Serv.Prest. 10/11/2025 a 16/11/2025 - PIX: CELULAR - CHAVE: (28) 99908-0831"</f>
        <v>Serv.Prest. 10/11/2025 a 16/11/2025 - PIX: CELULAR - CHAVE: (28) 99908-0831</v>
      </c>
      <c r="I12343" t="str">
        <f t="shared" si="2380"/>
        <v>20/11/2025</v>
      </c>
      <c r="J12343" t="str">
        <f t="shared" si="2381"/>
        <v>18/11/2025</v>
      </c>
      <c r="K12343" t="str">
        <f>("21/11/2025")</f>
        <v>21/11/2025</v>
      </c>
      <c r="L12343">
        <v>250</v>
      </c>
      <c r="M12343">
        <v>250</v>
      </c>
      <c r="N12343">
        <v>109</v>
      </c>
      <c r="O12343" t="str">
        <f>"PAGAMENTO DE ENTREGADORES"</f>
        <v>PAGAMENTO DE ENTREGADORES</v>
      </c>
      <c r="P12343">
        <v>250</v>
      </c>
      <c r="S12343" t="str">
        <f>"BANCO C6 (149)"</f>
        <v>BANCO C6 (149)</v>
      </c>
      <c r="T12343">
        <v>21553</v>
      </c>
      <c r="U12343">
        <v>25656</v>
      </c>
      <c r="V12343" t="s">
        <v>77</v>
      </c>
    </row>
    <row r="12344" spans="1:22">
      <c r="A12344" t="str">
        <f t="shared" si="2378"/>
        <v>21/11/2025</v>
      </c>
      <c r="B12344" t="str">
        <f t="shared" si="2377"/>
        <v>SAÍDA</v>
      </c>
      <c r="C12344" t="str">
        <f t="shared" si="2379"/>
        <v>PIX</v>
      </c>
      <c r="D12344" t="str">
        <f>"25656"</f>
        <v>25656</v>
      </c>
      <c r="E12344" t="str">
        <f t="shared" si="2382"/>
        <v>1</v>
      </c>
      <c r="F12344" t="str">
        <f t="shared" si="2374"/>
        <v>COM</v>
      </c>
      <c r="G12344" t="str">
        <f>"JOAO MARCOS FERREIRA (925)"</f>
        <v>JOAO MARCOS FERREIRA (925)</v>
      </c>
      <c r="H12344" t="s">
        <v>3338</v>
      </c>
      <c r="I12344" t="str">
        <f t="shared" si="2380"/>
        <v>20/11/2025</v>
      </c>
      <c r="J12344" t="str">
        <f t="shared" ref="J12344:J12376" si="2383">("18/11/2025")</f>
        <v>18/11/2025</v>
      </c>
      <c r="K12344">
        <v>45982</v>
      </c>
      <c r="N12344">
        <v>109</v>
      </c>
      <c r="O12344" t="s">
        <v>24</v>
      </c>
      <c r="Q12344">
        <v>250</v>
      </c>
      <c r="R12344" t="str">
        <f>"LBL FARMACIA LTDA FILIAL (10192)"</f>
        <v>LBL FARMACIA LTDA FILIAL (10192)</v>
      </c>
      <c r="S12344" t="s">
        <v>77</v>
      </c>
      <c r="T12344">
        <v>21553</v>
      </c>
      <c r="U12344">
        <v>25656</v>
      </c>
      <c r="V12344" t="s">
        <v>77</v>
      </c>
    </row>
    <row r="12345" spans="1:22">
      <c r="A12345" t="str">
        <f t="shared" si="2378"/>
        <v>21/11/2025</v>
      </c>
      <c r="B12345" t="str">
        <f t="shared" si="2377"/>
        <v>SAÍDA</v>
      </c>
      <c r="C12345" t="str">
        <f t="shared" si="2379"/>
        <v>PIX</v>
      </c>
      <c r="D12345" t="str">
        <f>"25657"</f>
        <v>25657</v>
      </c>
      <c r="E12345" t="str">
        <f t="shared" si="2382"/>
        <v>1</v>
      </c>
      <c r="F12345" t="str">
        <f t="shared" si="2374"/>
        <v>COM</v>
      </c>
      <c r="G12345" t="str">
        <f>"YAN FILIPUTI CORA (926)"</f>
        <v>YAN FILIPUTI CORA (926)</v>
      </c>
      <c r="H12345" t="str">
        <f>"Serv.Prest. 10/11/2025 a 16/11/2025 - PIX: CELULAR - CHAVE: (28) 98816-4170"</f>
        <v>Serv.Prest. 10/11/2025 a 16/11/2025 - PIX: CELULAR - CHAVE: (28) 98816-4170</v>
      </c>
      <c r="I12345" t="str">
        <f t="shared" si="2380"/>
        <v>20/11/2025</v>
      </c>
      <c r="J12345" t="str">
        <f t="shared" si="2383"/>
        <v>18/11/2025</v>
      </c>
      <c r="K12345" t="str">
        <f>("21/11/2025")</f>
        <v>21/11/2025</v>
      </c>
      <c r="L12345">
        <v>400</v>
      </c>
      <c r="M12345">
        <v>400</v>
      </c>
      <c r="N12345">
        <v>109</v>
      </c>
      <c r="O12345" t="str">
        <f>"PAGAMENTO DE ENTREGADORES"</f>
        <v>PAGAMENTO DE ENTREGADORES</v>
      </c>
      <c r="P12345">
        <v>400</v>
      </c>
      <c r="S12345" t="str">
        <f>"BANCO C6 (149)"</f>
        <v>BANCO C6 (149)</v>
      </c>
      <c r="T12345">
        <v>21554</v>
      </c>
      <c r="U12345">
        <v>25657</v>
      </c>
      <c r="V12345" t="s">
        <v>77</v>
      </c>
    </row>
    <row r="12346" spans="1:22">
      <c r="A12346" t="str">
        <f t="shared" si="2378"/>
        <v>21/11/2025</v>
      </c>
      <c r="B12346" t="str">
        <f t="shared" si="2377"/>
        <v>SAÍDA</v>
      </c>
      <c r="C12346" t="str">
        <f t="shared" si="2379"/>
        <v>PIX</v>
      </c>
      <c r="D12346" t="str">
        <f>"25657"</f>
        <v>25657</v>
      </c>
      <c r="E12346" t="str">
        <f t="shared" si="2382"/>
        <v>1</v>
      </c>
      <c r="F12346" t="str">
        <f t="shared" ref="F12346:F12409" si="2384">"COM"</f>
        <v>COM</v>
      </c>
      <c r="G12346" t="str">
        <f>"YAN FILIPUTI CORA (926)"</f>
        <v>YAN FILIPUTI CORA (926)</v>
      </c>
      <c r="H12346" t="s">
        <v>3339</v>
      </c>
      <c r="I12346" t="str">
        <f t="shared" si="2380"/>
        <v>20/11/2025</v>
      </c>
      <c r="J12346" t="str">
        <f t="shared" si="2383"/>
        <v>18/11/2025</v>
      </c>
      <c r="K12346">
        <v>45982</v>
      </c>
      <c r="N12346">
        <v>109</v>
      </c>
      <c r="O12346" t="s">
        <v>24</v>
      </c>
      <c r="Q12346">
        <v>400</v>
      </c>
      <c r="R12346" t="str">
        <f>"LBL FARMACIA LTDA FILIAL (10192)"</f>
        <v>LBL FARMACIA LTDA FILIAL (10192)</v>
      </c>
      <c r="S12346" t="s">
        <v>77</v>
      </c>
      <c r="T12346">
        <v>21554</v>
      </c>
      <c r="U12346">
        <v>25657</v>
      </c>
      <c r="V12346" t="s">
        <v>77</v>
      </c>
    </row>
    <row r="12347" spans="1:22">
      <c r="A12347" t="str">
        <f t="shared" si="2378"/>
        <v>21/11/2025</v>
      </c>
      <c r="B12347" t="str">
        <f t="shared" si="2377"/>
        <v>SAÍDA</v>
      </c>
      <c r="C12347" t="str">
        <f t="shared" si="2379"/>
        <v>PIX</v>
      </c>
      <c r="D12347" t="str">
        <f>"25659"</f>
        <v>25659</v>
      </c>
      <c r="E12347" t="str">
        <f t="shared" si="2382"/>
        <v>1</v>
      </c>
      <c r="F12347" t="str">
        <f t="shared" si="2384"/>
        <v>COM</v>
      </c>
      <c r="G12347" t="str">
        <f>"ALESSANDRO SILVA DOS SANTOS (966)"</f>
        <v>ALESSANDRO SILVA DOS SANTOS (966)</v>
      </c>
      <c r="H12347" t="str">
        <f>"Serv.Prest. 10/11/2025 a 16/11/2025 - PIX: E-MAIL - CHAVE: silvaalessandro3909@gmail.com"</f>
        <v>Serv.Prest. 10/11/2025 a 16/11/2025 - PIX: E-MAIL - CHAVE: silvaalessandro3909@gmail.com</v>
      </c>
      <c r="I12347" t="str">
        <f t="shared" si="2380"/>
        <v>20/11/2025</v>
      </c>
      <c r="J12347" t="str">
        <f t="shared" si="2383"/>
        <v>18/11/2025</v>
      </c>
      <c r="K12347" t="str">
        <f>("21/11/2025")</f>
        <v>21/11/2025</v>
      </c>
      <c r="L12347">
        <v>1080</v>
      </c>
      <c r="M12347">
        <v>1080</v>
      </c>
      <c r="N12347">
        <v>109</v>
      </c>
      <c r="O12347" t="str">
        <f>"PAGAMENTO DE ENTREGADORES"</f>
        <v>PAGAMENTO DE ENTREGADORES</v>
      </c>
      <c r="P12347">
        <v>1080</v>
      </c>
      <c r="S12347" t="str">
        <f>"BANCO C6 (149)"</f>
        <v>BANCO C6 (149)</v>
      </c>
      <c r="T12347">
        <v>21555</v>
      </c>
      <c r="U12347">
        <v>25659</v>
      </c>
      <c r="V12347" t="s">
        <v>77</v>
      </c>
    </row>
    <row r="12348" spans="1:22">
      <c r="A12348" t="str">
        <f t="shared" si="2378"/>
        <v>21/11/2025</v>
      </c>
      <c r="B12348" t="str">
        <f t="shared" si="2377"/>
        <v>SAÍDA</v>
      </c>
      <c r="C12348" t="str">
        <f t="shared" si="2379"/>
        <v>PIX</v>
      </c>
      <c r="D12348" t="str">
        <f>"25659"</f>
        <v>25659</v>
      </c>
      <c r="E12348" t="str">
        <f t="shared" si="2382"/>
        <v>1</v>
      </c>
      <c r="F12348" t="str">
        <f t="shared" si="2384"/>
        <v>COM</v>
      </c>
      <c r="G12348" t="str">
        <f>"ALESSANDRO SILVA DOS SANTOS (966)"</f>
        <v>ALESSANDRO SILVA DOS SANTOS (966)</v>
      </c>
      <c r="H12348" t="s">
        <v>3340</v>
      </c>
      <c r="I12348" t="str">
        <f t="shared" si="2380"/>
        <v>20/11/2025</v>
      </c>
      <c r="J12348" t="str">
        <f t="shared" si="2383"/>
        <v>18/11/2025</v>
      </c>
      <c r="K12348">
        <v>45982</v>
      </c>
      <c r="N12348">
        <v>109</v>
      </c>
      <c r="O12348" t="s">
        <v>24</v>
      </c>
      <c r="Q12348">
        <v>1080</v>
      </c>
      <c r="R12348" t="str">
        <f>"PENSE FARMA 22 (10198)"</f>
        <v>PENSE FARMA 22 (10198)</v>
      </c>
      <c r="S12348" t="s">
        <v>77</v>
      </c>
      <c r="T12348">
        <v>21555</v>
      </c>
      <c r="U12348">
        <v>25659</v>
      </c>
      <c r="V12348" t="s">
        <v>77</v>
      </c>
    </row>
    <row r="12349" spans="1:22">
      <c r="A12349" t="str">
        <f t="shared" si="2378"/>
        <v>21/11/2025</v>
      </c>
      <c r="B12349" t="str">
        <f t="shared" si="2377"/>
        <v>SAÍDA</v>
      </c>
      <c r="C12349" t="str">
        <f t="shared" si="2379"/>
        <v>PIX</v>
      </c>
      <c r="D12349" t="str">
        <f>"25661"</f>
        <v>25661</v>
      </c>
      <c r="E12349" t="str">
        <f t="shared" si="2382"/>
        <v>1</v>
      </c>
      <c r="F12349" t="str">
        <f t="shared" si="2384"/>
        <v>COM</v>
      </c>
      <c r="G12349" t="str">
        <f>"JULIEDERSON AGUIAR SANTOS (946)"</f>
        <v>JULIEDERSON AGUIAR SANTOS (946)</v>
      </c>
      <c r="H12349" t="str">
        <f>"Serv.Prest. 10/11/2025 a 16/11/2025 - PIX: CPF - CHAVE: 383.328.968-60"</f>
        <v>Serv.Prest. 10/11/2025 a 16/11/2025 - PIX: CPF - CHAVE: 383.328.968-60</v>
      </c>
      <c r="I12349" t="str">
        <f t="shared" si="2380"/>
        <v>20/11/2025</v>
      </c>
      <c r="J12349" t="str">
        <f t="shared" si="2383"/>
        <v>18/11/2025</v>
      </c>
      <c r="K12349" t="str">
        <f>("21/11/2025")</f>
        <v>21/11/2025</v>
      </c>
      <c r="L12349">
        <v>100</v>
      </c>
      <c r="M12349">
        <v>100</v>
      </c>
      <c r="N12349">
        <v>109</v>
      </c>
      <c r="O12349" t="str">
        <f>"PAGAMENTO DE ENTREGADORES"</f>
        <v>PAGAMENTO DE ENTREGADORES</v>
      </c>
      <c r="P12349">
        <v>100</v>
      </c>
      <c r="S12349" t="str">
        <f>"BANCO C6 (149)"</f>
        <v>BANCO C6 (149)</v>
      </c>
      <c r="T12349">
        <v>21556</v>
      </c>
      <c r="U12349">
        <v>25661</v>
      </c>
      <c r="V12349" t="s">
        <v>77</v>
      </c>
    </row>
    <row r="12350" spans="1:22">
      <c r="A12350" t="str">
        <f t="shared" si="2378"/>
        <v>21/11/2025</v>
      </c>
      <c r="B12350" t="str">
        <f t="shared" si="2377"/>
        <v>SAÍDA</v>
      </c>
      <c r="C12350" t="str">
        <f t="shared" si="2379"/>
        <v>PIX</v>
      </c>
      <c r="D12350" t="str">
        <f>"25661"</f>
        <v>25661</v>
      </c>
      <c r="E12350" t="str">
        <f t="shared" si="2382"/>
        <v>1</v>
      </c>
      <c r="F12350" t="str">
        <f t="shared" si="2384"/>
        <v>COM</v>
      </c>
      <c r="G12350" t="str">
        <f>"JULIEDERSON AGUIAR SANTOS (946)"</f>
        <v>JULIEDERSON AGUIAR SANTOS (946)</v>
      </c>
      <c r="H12350" t="s">
        <v>3341</v>
      </c>
      <c r="I12350" t="str">
        <f t="shared" si="2380"/>
        <v>20/11/2025</v>
      </c>
      <c r="J12350" t="str">
        <f t="shared" si="2383"/>
        <v>18/11/2025</v>
      </c>
      <c r="K12350">
        <v>45982</v>
      </c>
      <c r="N12350">
        <v>109</v>
      </c>
      <c r="O12350" t="s">
        <v>24</v>
      </c>
      <c r="Q12350">
        <v>100</v>
      </c>
      <c r="R12350" t="str">
        <f>"PENSE FARMA 22 (10198)"</f>
        <v>PENSE FARMA 22 (10198)</v>
      </c>
      <c r="S12350" t="s">
        <v>77</v>
      </c>
      <c r="T12350">
        <v>21556</v>
      </c>
      <c r="U12350">
        <v>25661</v>
      </c>
      <c r="V12350" t="s">
        <v>77</v>
      </c>
    </row>
    <row r="12351" spans="1:22">
      <c r="A12351" t="str">
        <f t="shared" si="2378"/>
        <v>21/11/2025</v>
      </c>
      <c r="B12351" t="str">
        <f t="shared" si="2377"/>
        <v>SAÍDA</v>
      </c>
      <c r="C12351" t="str">
        <f t="shared" si="2379"/>
        <v>PIX</v>
      </c>
      <c r="D12351" t="str">
        <f>"25662"</f>
        <v>25662</v>
      </c>
      <c r="E12351" t="str">
        <f t="shared" si="2382"/>
        <v>1</v>
      </c>
      <c r="F12351" t="str">
        <f t="shared" si="2384"/>
        <v>COM</v>
      </c>
      <c r="G12351" t="str">
        <f>"RICARDO DE OLIVEIRA SENA (1065)"</f>
        <v>RICARDO DE OLIVEIRA SENA (1065)</v>
      </c>
      <c r="H12351" t="str">
        <f>"Serv.Prest. 10/11/2025 a 16/11/2025 - PIX: CELULAR - CHAVE: (11) 95335-4943"</f>
        <v>Serv.Prest. 10/11/2025 a 16/11/2025 - PIX: CELULAR - CHAVE: (11) 95335-4943</v>
      </c>
      <c r="I12351" t="str">
        <f t="shared" si="2380"/>
        <v>20/11/2025</v>
      </c>
      <c r="J12351" t="str">
        <f t="shared" si="2383"/>
        <v>18/11/2025</v>
      </c>
      <c r="K12351" t="str">
        <f>("21/11/2025")</f>
        <v>21/11/2025</v>
      </c>
      <c r="L12351">
        <v>1465</v>
      </c>
      <c r="M12351">
        <v>1465</v>
      </c>
      <c r="N12351">
        <v>109</v>
      </c>
      <c r="O12351" t="str">
        <f>"PAGAMENTO DE ENTREGADORES"</f>
        <v>PAGAMENTO DE ENTREGADORES</v>
      </c>
      <c r="P12351">
        <v>1465</v>
      </c>
      <c r="S12351" t="str">
        <f>"BANCO C6 (149)"</f>
        <v>BANCO C6 (149)</v>
      </c>
      <c r="T12351">
        <v>21557</v>
      </c>
      <c r="U12351">
        <v>25662</v>
      </c>
      <c r="V12351" t="s">
        <v>77</v>
      </c>
    </row>
    <row r="12352" spans="1:22">
      <c r="A12352" t="str">
        <f t="shared" si="2378"/>
        <v>21/11/2025</v>
      </c>
      <c r="B12352" t="str">
        <f t="shared" si="2377"/>
        <v>SAÍDA</v>
      </c>
      <c r="C12352" t="str">
        <f t="shared" si="2379"/>
        <v>PIX</v>
      </c>
      <c r="D12352" t="str">
        <f>"25662"</f>
        <v>25662</v>
      </c>
      <c r="E12352" t="str">
        <f t="shared" si="2382"/>
        <v>1</v>
      </c>
      <c r="F12352" t="str">
        <f t="shared" si="2384"/>
        <v>COM</v>
      </c>
      <c r="G12352" t="str">
        <f>"RICARDO DE OLIVEIRA SENA (1065)"</f>
        <v>RICARDO DE OLIVEIRA SENA (1065)</v>
      </c>
      <c r="H12352" t="s">
        <v>3342</v>
      </c>
      <c r="I12352" t="str">
        <f t="shared" si="2380"/>
        <v>20/11/2025</v>
      </c>
      <c r="J12352" t="str">
        <f t="shared" si="2383"/>
        <v>18/11/2025</v>
      </c>
      <c r="K12352">
        <v>45982</v>
      </c>
      <c r="N12352">
        <v>109</v>
      </c>
      <c r="O12352" t="s">
        <v>24</v>
      </c>
      <c r="Q12352">
        <v>1465</v>
      </c>
      <c r="R12352" t="str">
        <f>"PENSE FARMA 22 (10198)"</f>
        <v>PENSE FARMA 22 (10198)</v>
      </c>
      <c r="S12352" t="s">
        <v>77</v>
      </c>
      <c r="T12352">
        <v>21557</v>
      </c>
      <c r="U12352">
        <v>25662</v>
      </c>
      <c r="V12352" t="s">
        <v>77</v>
      </c>
    </row>
    <row r="12353" spans="1:22">
      <c r="A12353" t="str">
        <f t="shared" si="2378"/>
        <v>21/11/2025</v>
      </c>
      <c r="B12353" t="str">
        <f t="shared" si="2377"/>
        <v>SAÍDA</v>
      </c>
      <c r="C12353" t="str">
        <f t="shared" si="2379"/>
        <v>PIX</v>
      </c>
      <c r="D12353" t="str">
        <f>"25772"</f>
        <v>25772</v>
      </c>
      <c r="E12353" t="str">
        <f t="shared" si="2382"/>
        <v>1</v>
      </c>
      <c r="F12353" t="str">
        <f t="shared" si="2384"/>
        <v>COM</v>
      </c>
      <c r="G12353" t="str">
        <f>"WEIGNE SENA CARDOSO (53)"</f>
        <v>WEIGNE SENA CARDOSO (53)</v>
      </c>
      <c r="H12353" t="str">
        <f>"Serv.Prest. 10/11/2025 a 16/11/2025 - PIX: CPF - CHAVE: 097.245.586-81"</f>
        <v>Serv.Prest. 10/11/2025 a 16/11/2025 - PIX: CPF - CHAVE: 097.245.586-81</v>
      </c>
      <c r="I12353" t="str">
        <f t="shared" si="2380"/>
        <v>20/11/2025</v>
      </c>
      <c r="J12353" t="str">
        <f t="shared" si="2383"/>
        <v>18/11/2025</v>
      </c>
      <c r="K12353" t="str">
        <f>("21/11/2025")</f>
        <v>21/11/2025</v>
      </c>
      <c r="L12353">
        <v>686</v>
      </c>
      <c r="M12353">
        <v>686</v>
      </c>
      <c r="N12353">
        <v>109</v>
      </c>
      <c r="O12353" t="str">
        <f>"PAGAMENTO DE ENTREGADORES"</f>
        <v>PAGAMENTO DE ENTREGADORES</v>
      </c>
      <c r="P12353">
        <v>686</v>
      </c>
      <c r="S12353" t="str">
        <f>"BANCO C6 (149)"</f>
        <v>BANCO C6 (149)</v>
      </c>
      <c r="T12353">
        <v>21558</v>
      </c>
      <c r="U12353">
        <v>25772</v>
      </c>
      <c r="V12353" t="s">
        <v>77</v>
      </c>
    </row>
    <row r="12354" spans="1:22">
      <c r="A12354" t="str">
        <f t="shared" si="2378"/>
        <v>21/11/2025</v>
      </c>
      <c r="B12354" t="str">
        <f t="shared" si="2377"/>
        <v>SAÍDA</v>
      </c>
      <c r="C12354" t="str">
        <f t="shared" si="2379"/>
        <v>PIX</v>
      </c>
      <c r="D12354" t="str">
        <f>"25772"</f>
        <v>25772</v>
      </c>
      <c r="E12354" t="str">
        <f t="shared" si="2382"/>
        <v>1</v>
      </c>
      <c r="F12354" t="str">
        <f t="shared" si="2384"/>
        <v>COM</v>
      </c>
      <c r="G12354" t="str">
        <f>"WEIGNE SENA CARDOSO (53)"</f>
        <v>WEIGNE SENA CARDOSO (53)</v>
      </c>
      <c r="H12354" t="s">
        <v>3108</v>
      </c>
      <c r="I12354" t="str">
        <f t="shared" si="2380"/>
        <v>20/11/2025</v>
      </c>
      <c r="J12354" t="str">
        <f t="shared" si="2383"/>
        <v>18/11/2025</v>
      </c>
      <c r="K12354">
        <v>45982</v>
      </c>
      <c r="N12354">
        <v>109</v>
      </c>
      <c r="O12354" t="s">
        <v>24</v>
      </c>
      <c r="Q12354">
        <v>686</v>
      </c>
      <c r="R12354" t="str">
        <f>"FARMÁCIA INDIANA LJ 07 (10007)"</f>
        <v>FARMÁCIA INDIANA LJ 07 (10007)</v>
      </c>
      <c r="S12354" t="s">
        <v>77</v>
      </c>
      <c r="T12354">
        <v>21558</v>
      </c>
      <c r="U12354">
        <v>25772</v>
      </c>
      <c r="V12354" t="s">
        <v>77</v>
      </c>
    </row>
    <row r="12355" spans="1:22">
      <c r="A12355" t="str">
        <f t="shared" si="2378"/>
        <v>21/11/2025</v>
      </c>
      <c r="B12355" t="str">
        <f t="shared" si="2377"/>
        <v>SAÍDA</v>
      </c>
      <c r="C12355" t="str">
        <f t="shared" si="2379"/>
        <v>PIX</v>
      </c>
      <c r="D12355" t="str">
        <f>"25790"</f>
        <v>25790</v>
      </c>
      <c r="E12355" t="str">
        <f t="shared" si="2382"/>
        <v>1</v>
      </c>
      <c r="F12355" t="str">
        <f t="shared" si="2384"/>
        <v>COM</v>
      </c>
      <c r="G12355" t="str">
        <f>"DANILO DE JESUS SANTOS (490)"</f>
        <v>DANILO DE JESUS SANTOS (490)</v>
      </c>
      <c r="H12355" t="str">
        <f>"Serv.Prest. 10/11/2025 a 16/11/2025 - PIX: CELULAR - CHAVE: (73) 98191-0061"</f>
        <v>Serv.Prest. 10/11/2025 a 16/11/2025 - PIX: CELULAR - CHAVE: (73) 98191-0061</v>
      </c>
      <c r="I12355" t="str">
        <f t="shared" si="2380"/>
        <v>20/11/2025</v>
      </c>
      <c r="J12355" t="str">
        <f t="shared" si="2383"/>
        <v>18/11/2025</v>
      </c>
      <c r="K12355" t="str">
        <f>("21/11/2025")</f>
        <v>21/11/2025</v>
      </c>
      <c r="L12355">
        <v>702</v>
      </c>
      <c r="M12355">
        <v>702</v>
      </c>
      <c r="N12355">
        <v>109</v>
      </c>
      <c r="O12355" t="str">
        <f>"PAGAMENTO DE ENTREGADORES"</f>
        <v>PAGAMENTO DE ENTREGADORES</v>
      </c>
      <c r="P12355">
        <v>702</v>
      </c>
      <c r="S12355" t="str">
        <f>"BANCO C6 (149)"</f>
        <v>BANCO C6 (149)</v>
      </c>
      <c r="T12355">
        <v>21559</v>
      </c>
      <c r="U12355">
        <v>25790</v>
      </c>
      <c r="V12355" t="s">
        <v>77</v>
      </c>
    </row>
    <row r="12356" spans="1:22">
      <c r="A12356" t="str">
        <f t="shared" si="2378"/>
        <v>21/11/2025</v>
      </c>
      <c r="B12356" t="str">
        <f t="shared" si="2377"/>
        <v>SAÍDA</v>
      </c>
      <c r="C12356" t="str">
        <f t="shared" si="2379"/>
        <v>PIX</v>
      </c>
      <c r="D12356" t="str">
        <f>"25790"</f>
        <v>25790</v>
      </c>
      <c r="E12356" t="str">
        <f t="shared" si="2382"/>
        <v>1</v>
      </c>
      <c r="F12356" t="str">
        <f t="shared" si="2384"/>
        <v>COM</v>
      </c>
      <c r="G12356" t="str">
        <f>"DANILO DE JESUS SANTOS (490)"</f>
        <v>DANILO DE JESUS SANTOS (490)</v>
      </c>
      <c r="H12356" t="s">
        <v>3343</v>
      </c>
      <c r="I12356" t="str">
        <f t="shared" si="2380"/>
        <v>20/11/2025</v>
      </c>
      <c r="J12356" t="str">
        <f t="shared" si="2383"/>
        <v>18/11/2025</v>
      </c>
      <c r="K12356">
        <v>45982</v>
      </c>
      <c r="N12356">
        <v>109</v>
      </c>
      <c r="O12356" t="s">
        <v>24</v>
      </c>
      <c r="Q12356">
        <v>702</v>
      </c>
      <c r="R12356" t="str">
        <f>"FARMÁCIA INDIANA LJ 145 (10068)"</f>
        <v>FARMÁCIA INDIANA LJ 145 (10068)</v>
      </c>
      <c r="S12356" t="s">
        <v>77</v>
      </c>
      <c r="T12356">
        <v>21559</v>
      </c>
      <c r="U12356">
        <v>25790</v>
      </c>
      <c r="V12356" t="s">
        <v>77</v>
      </c>
    </row>
    <row r="12357" spans="1:22">
      <c r="A12357" t="str">
        <f t="shared" si="2378"/>
        <v>21/11/2025</v>
      </c>
      <c r="B12357" t="str">
        <f t="shared" ref="B12357:B12412" si="2385">"SAÍDA"</f>
        <v>SAÍDA</v>
      </c>
      <c r="C12357" t="str">
        <f t="shared" si="2379"/>
        <v>PIX</v>
      </c>
      <c r="D12357" t="str">
        <f>"25796"</f>
        <v>25796</v>
      </c>
      <c r="E12357" t="str">
        <f t="shared" si="2382"/>
        <v>1</v>
      </c>
      <c r="F12357" t="str">
        <f t="shared" si="2384"/>
        <v>COM</v>
      </c>
      <c r="G12357" t="str">
        <f>"GILSON OLIVEIRA CAMPINHO JUNIOR (132)"</f>
        <v>GILSON OLIVEIRA CAMPINHO JUNIOR (132)</v>
      </c>
      <c r="H12357" t="str">
        <f>"Serv.Prest. 10/11/2025 a 16/11/2025 - PIX: CELULAR - CHAVE: (73) 988381077"</f>
        <v>Serv.Prest. 10/11/2025 a 16/11/2025 - PIX: CELULAR - CHAVE: (73) 988381077</v>
      </c>
      <c r="I12357" t="str">
        <f t="shared" si="2380"/>
        <v>20/11/2025</v>
      </c>
      <c r="J12357" t="str">
        <f t="shared" si="2383"/>
        <v>18/11/2025</v>
      </c>
      <c r="K12357" t="str">
        <f>("21/11/2025")</f>
        <v>21/11/2025</v>
      </c>
      <c r="L12357">
        <v>714</v>
      </c>
      <c r="M12357">
        <v>714</v>
      </c>
      <c r="N12357">
        <v>109</v>
      </c>
      <c r="O12357" t="str">
        <f>"PAGAMENTO DE ENTREGADORES"</f>
        <v>PAGAMENTO DE ENTREGADORES</v>
      </c>
      <c r="P12357">
        <v>714</v>
      </c>
      <c r="S12357" t="str">
        <f>"BANCO C6 (149)"</f>
        <v>BANCO C6 (149)</v>
      </c>
      <c r="T12357">
        <v>21560</v>
      </c>
      <c r="U12357">
        <v>25796</v>
      </c>
      <c r="V12357" t="s">
        <v>77</v>
      </c>
    </row>
    <row r="12358" spans="1:22">
      <c r="A12358" t="str">
        <f t="shared" si="2378"/>
        <v>21/11/2025</v>
      </c>
      <c r="B12358" t="str">
        <f t="shared" si="2385"/>
        <v>SAÍDA</v>
      </c>
      <c r="C12358" t="str">
        <f t="shared" si="2379"/>
        <v>PIX</v>
      </c>
      <c r="D12358" t="str">
        <f>"25796"</f>
        <v>25796</v>
      </c>
      <c r="E12358" t="str">
        <f t="shared" si="2382"/>
        <v>1</v>
      </c>
      <c r="F12358" t="str">
        <f t="shared" si="2384"/>
        <v>COM</v>
      </c>
      <c r="G12358" t="str">
        <f>"GILSON OLIVEIRA CAMPINHO JUNIOR (132)"</f>
        <v>GILSON OLIVEIRA CAMPINHO JUNIOR (132)</v>
      </c>
      <c r="H12358" t="s">
        <v>3074</v>
      </c>
      <c r="I12358" t="str">
        <f t="shared" si="2380"/>
        <v>20/11/2025</v>
      </c>
      <c r="J12358" t="str">
        <f t="shared" si="2383"/>
        <v>18/11/2025</v>
      </c>
      <c r="K12358">
        <v>45982</v>
      </c>
      <c r="N12358">
        <v>109</v>
      </c>
      <c r="O12358" t="s">
        <v>24</v>
      </c>
      <c r="Q12358">
        <v>714</v>
      </c>
      <c r="R12358" t="str">
        <f>"FARMÁCIA INDIANA LJ 91 (10037)"</f>
        <v>FARMÁCIA INDIANA LJ 91 (10037)</v>
      </c>
      <c r="S12358" t="s">
        <v>77</v>
      </c>
      <c r="T12358">
        <v>21560</v>
      </c>
      <c r="U12358">
        <v>25796</v>
      </c>
      <c r="V12358" t="s">
        <v>77</v>
      </c>
    </row>
    <row r="12359" spans="1:22">
      <c r="A12359" t="str">
        <f t="shared" si="2378"/>
        <v>21/11/2025</v>
      </c>
      <c r="B12359" t="str">
        <f t="shared" si="2385"/>
        <v>SAÍDA</v>
      </c>
      <c r="C12359" t="str">
        <f t="shared" si="2379"/>
        <v>PIX</v>
      </c>
      <c r="D12359" t="str">
        <f>"25812"</f>
        <v>25812</v>
      </c>
      <c r="E12359" t="str">
        <f t="shared" si="2382"/>
        <v>1</v>
      </c>
      <c r="F12359" t="str">
        <f t="shared" si="2384"/>
        <v>COM</v>
      </c>
      <c r="G12359" t="str">
        <f>"ROBSON OLIVEIRA DE JESUS (623)"</f>
        <v>ROBSON OLIVEIRA DE JESUS (623)</v>
      </c>
      <c r="H12359" t="str">
        <f>"Serv.Prest. 10/11/2025 a 16/11/2025 - PIX: CELULAR - CHAVE: (73) 98166-3325"</f>
        <v>Serv.Prest. 10/11/2025 a 16/11/2025 - PIX: CELULAR - CHAVE: (73) 98166-3325</v>
      </c>
      <c r="I12359" t="str">
        <f t="shared" si="2380"/>
        <v>20/11/2025</v>
      </c>
      <c r="J12359" t="str">
        <f t="shared" si="2383"/>
        <v>18/11/2025</v>
      </c>
      <c r="K12359" t="str">
        <f>("21/11/2025")</f>
        <v>21/11/2025</v>
      </c>
      <c r="L12359">
        <v>702</v>
      </c>
      <c r="M12359">
        <v>702</v>
      </c>
      <c r="N12359">
        <v>109</v>
      </c>
      <c r="O12359" t="str">
        <f>"PAGAMENTO DE ENTREGADORES"</f>
        <v>PAGAMENTO DE ENTREGADORES</v>
      </c>
      <c r="P12359">
        <v>702</v>
      </c>
      <c r="S12359" t="str">
        <f>"BANCO C6 (149)"</f>
        <v>BANCO C6 (149)</v>
      </c>
      <c r="T12359">
        <v>21561</v>
      </c>
      <c r="U12359">
        <v>25812</v>
      </c>
      <c r="V12359" t="s">
        <v>77</v>
      </c>
    </row>
    <row r="12360" spans="1:22">
      <c r="A12360" t="str">
        <f t="shared" si="2378"/>
        <v>21/11/2025</v>
      </c>
      <c r="B12360" t="str">
        <f t="shared" si="2385"/>
        <v>SAÍDA</v>
      </c>
      <c r="C12360" t="str">
        <f t="shared" si="2379"/>
        <v>PIX</v>
      </c>
      <c r="D12360" t="str">
        <f>"25812"</f>
        <v>25812</v>
      </c>
      <c r="E12360" t="str">
        <f t="shared" si="2382"/>
        <v>1</v>
      </c>
      <c r="F12360" t="str">
        <f t="shared" si="2384"/>
        <v>COM</v>
      </c>
      <c r="G12360" t="str">
        <f>"ROBSON OLIVEIRA DE JESUS (623)"</f>
        <v>ROBSON OLIVEIRA DE JESUS (623)</v>
      </c>
      <c r="H12360" t="s">
        <v>3344</v>
      </c>
      <c r="I12360" t="str">
        <f t="shared" si="2380"/>
        <v>20/11/2025</v>
      </c>
      <c r="J12360" t="str">
        <f t="shared" si="2383"/>
        <v>18/11/2025</v>
      </c>
      <c r="K12360">
        <v>45982</v>
      </c>
      <c r="N12360">
        <v>109</v>
      </c>
      <c r="O12360" t="s">
        <v>24</v>
      </c>
      <c r="Q12360">
        <v>702</v>
      </c>
      <c r="R12360" t="str">
        <f>"FARMÁCIA INDIANA LJ 145 (10068)"</f>
        <v>FARMÁCIA INDIANA LJ 145 (10068)</v>
      </c>
      <c r="S12360" t="s">
        <v>77</v>
      </c>
      <c r="T12360">
        <v>21561</v>
      </c>
      <c r="U12360">
        <v>25812</v>
      </c>
      <c r="V12360" t="s">
        <v>77</v>
      </c>
    </row>
    <row r="12361" spans="1:22">
      <c r="A12361" t="str">
        <f t="shared" si="2378"/>
        <v>21/11/2025</v>
      </c>
      <c r="B12361" t="str">
        <f t="shared" si="2385"/>
        <v>SAÍDA</v>
      </c>
      <c r="C12361" t="str">
        <f t="shared" si="2379"/>
        <v>PIX</v>
      </c>
      <c r="D12361" t="str">
        <f>"25813"</f>
        <v>25813</v>
      </c>
      <c r="E12361" t="str">
        <f t="shared" si="2382"/>
        <v>1</v>
      </c>
      <c r="F12361" t="str">
        <f t="shared" si="2384"/>
        <v>COM</v>
      </c>
      <c r="G12361" t="str">
        <f>"TALES DE JESUS OLIVEIRA (318)"</f>
        <v>TALES DE JESUS OLIVEIRA (318)</v>
      </c>
      <c r="H12361" t="str">
        <f>"Serv.Prest. 10/11/2025 a 16/11/2025 - PIX: CPF - CHAVE: 378.223.888-51"</f>
        <v>Serv.Prest. 10/11/2025 a 16/11/2025 - PIX: CPF - CHAVE: 378.223.888-51</v>
      </c>
      <c r="I12361" t="str">
        <f t="shared" si="2380"/>
        <v>20/11/2025</v>
      </c>
      <c r="J12361" t="str">
        <f t="shared" si="2383"/>
        <v>18/11/2025</v>
      </c>
      <c r="K12361" t="str">
        <f>("21/11/2025")</f>
        <v>21/11/2025</v>
      </c>
      <c r="L12361">
        <v>702</v>
      </c>
      <c r="M12361">
        <v>702</v>
      </c>
      <c r="N12361">
        <v>109</v>
      </c>
      <c r="O12361" t="str">
        <f>"PAGAMENTO DE ENTREGADORES"</f>
        <v>PAGAMENTO DE ENTREGADORES</v>
      </c>
      <c r="P12361">
        <v>702</v>
      </c>
      <c r="S12361" t="str">
        <f>"BANCO C6 (149)"</f>
        <v>BANCO C6 (149)</v>
      </c>
      <c r="T12361">
        <v>21562</v>
      </c>
      <c r="U12361">
        <v>25813</v>
      </c>
      <c r="V12361" t="s">
        <v>77</v>
      </c>
    </row>
    <row r="12362" spans="1:22">
      <c r="A12362" t="str">
        <f t="shared" si="2378"/>
        <v>21/11/2025</v>
      </c>
      <c r="B12362" t="str">
        <f t="shared" si="2385"/>
        <v>SAÍDA</v>
      </c>
      <c r="C12362" t="str">
        <f t="shared" si="2379"/>
        <v>PIX</v>
      </c>
      <c r="D12362" t="str">
        <f>"25813"</f>
        <v>25813</v>
      </c>
      <c r="E12362" t="str">
        <f t="shared" si="2382"/>
        <v>1</v>
      </c>
      <c r="F12362" t="str">
        <f t="shared" si="2384"/>
        <v>COM</v>
      </c>
      <c r="G12362" t="str">
        <f>"TALES DE JESUS OLIVEIRA (318)"</f>
        <v>TALES DE JESUS OLIVEIRA (318)</v>
      </c>
      <c r="H12362" t="s">
        <v>3345</v>
      </c>
      <c r="I12362" t="str">
        <f t="shared" si="2380"/>
        <v>20/11/2025</v>
      </c>
      <c r="J12362" t="str">
        <f t="shared" si="2383"/>
        <v>18/11/2025</v>
      </c>
      <c r="K12362">
        <v>45982</v>
      </c>
      <c r="N12362">
        <v>109</v>
      </c>
      <c r="O12362" t="s">
        <v>24</v>
      </c>
      <c r="Q12362">
        <v>702</v>
      </c>
      <c r="R12362" t="str">
        <f>"FARMÁCIA INDIANA LJ 145 (10068)"</f>
        <v>FARMÁCIA INDIANA LJ 145 (10068)</v>
      </c>
      <c r="S12362" t="s">
        <v>77</v>
      </c>
      <c r="T12362">
        <v>21562</v>
      </c>
      <c r="U12362">
        <v>25813</v>
      </c>
      <c r="V12362" t="s">
        <v>77</v>
      </c>
    </row>
    <row r="12363" spans="1:22">
      <c r="A12363" t="str">
        <f t="shared" si="2378"/>
        <v>21/11/2025</v>
      </c>
      <c r="B12363" t="str">
        <f t="shared" si="2385"/>
        <v>SAÍDA</v>
      </c>
      <c r="C12363" t="str">
        <f t="shared" si="2379"/>
        <v>PIX</v>
      </c>
      <c r="D12363" t="str">
        <f>"25833"</f>
        <v>25833</v>
      </c>
      <c r="E12363" t="str">
        <f t="shared" si="2382"/>
        <v>1</v>
      </c>
      <c r="F12363" t="str">
        <f t="shared" si="2384"/>
        <v>COM</v>
      </c>
      <c r="G12363" t="str">
        <f>"JOCIMAR VAZ FERREIRA (197)"</f>
        <v>JOCIMAR VAZ FERREIRA (197)</v>
      </c>
      <c r="H12363" t="str">
        <f>"Serv.Prest. 10/11/2025 a 16/11/2025 - PIX: CELULAR - CHAVE: (33) 99924-7557"</f>
        <v>Serv.Prest. 10/11/2025 a 16/11/2025 - PIX: CELULAR - CHAVE: (33) 99924-7557</v>
      </c>
      <c r="I12363" t="str">
        <f t="shared" si="2380"/>
        <v>20/11/2025</v>
      </c>
      <c r="J12363" t="str">
        <f t="shared" si="2383"/>
        <v>18/11/2025</v>
      </c>
      <c r="K12363" t="str">
        <f>("21/11/2025")</f>
        <v>21/11/2025</v>
      </c>
      <c r="L12363">
        <v>858</v>
      </c>
      <c r="M12363">
        <v>858</v>
      </c>
      <c r="N12363">
        <v>109</v>
      </c>
      <c r="O12363" t="str">
        <f>"PAGAMENTO DE ENTREGADORES"</f>
        <v>PAGAMENTO DE ENTREGADORES</v>
      </c>
      <c r="P12363">
        <v>858</v>
      </c>
      <c r="S12363" t="str">
        <f>"BANCO C6 (149)"</f>
        <v>BANCO C6 (149)</v>
      </c>
      <c r="T12363">
        <v>21563</v>
      </c>
      <c r="U12363">
        <v>25833</v>
      </c>
      <c r="V12363" t="s">
        <v>77</v>
      </c>
    </row>
    <row r="12364" spans="1:22">
      <c r="A12364" t="str">
        <f t="shared" si="2378"/>
        <v>21/11/2025</v>
      </c>
      <c r="B12364" t="str">
        <f t="shared" si="2385"/>
        <v>SAÍDA</v>
      </c>
      <c r="C12364" t="str">
        <f t="shared" si="2379"/>
        <v>PIX</v>
      </c>
      <c r="D12364" t="str">
        <f>"25833"</f>
        <v>25833</v>
      </c>
      <c r="E12364" t="str">
        <f t="shared" si="2382"/>
        <v>1</v>
      </c>
      <c r="F12364" t="str">
        <f t="shared" si="2384"/>
        <v>COM</v>
      </c>
      <c r="G12364" t="str">
        <f>"JOCIMAR VAZ FERREIRA (197)"</f>
        <v>JOCIMAR VAZ FERREIRA (197)</v>
      </c>
      <c r="H12364" t="s">
        <v>3346</v>
      </c>
      <c r="I12364" t="str">
        <f t="shared" si="2380"/>
        <v>20/11/2025</v>
      </c>
      <c r="J12364" t="str">
        <f t="shared" si="2383"/>
        <v>18/11/2025</v>
      </c>
      <c r="K12364">
        <v>45982</v>
      </c>
      <c r="N12364">
        <v>109</v>
      </c>
      <c r="O12364" t="s">
        <v>24</v>
      </c>
      <c r="Q12364">
        <v>858</v>
      </c>
      <c r="R12364" t="str">
        <f>"DROGARIA VAZ (10179)"</f>
        <v>DROGARIA VAZ (10179)</v>
      </c>
      <c r="S12364" t="s">
        <v>77</v>
      </c>
      <c r="T12364">
        <v>21563</v>
      </c>
      <c r="U12364">
        <v>25833</v>
      </c>
      <c r="V12364" t="s">
        <v>77</v>
      </c>
    </row>
    <row r="12365" spans="1:22">
      <c r="A12365" t="str">
        <f t="shared" si="2378"/>
        <v>21/11/2025</v>
      </c>
      <c r="B12365" t="str">
        <f t="shared" si="2385"/>
        <v>SAÍDA</v>
      </c>
      <c r="C12365" t="str">
        <f t="shared" si="2379"/>
        <v>PIX</v>
      </c>
      <c r="D12365" t="str">
        <f>"25835"</f>
        <v>25835</v>
      </c>
      <c r="E12365" t="str">
        <f t="shared" si="2382"/>
        <v>1</v>
      </c>
      <c r="F12365" t="str">
        <f t="shared" si="2384"/>
        <v>COM</v>
      </c>
      <c r="G12365" t="str">
        <f>"ALBERTO FARIAS DOS SANTOS JUNIOR (800)"</f>
        <v>ALBERTO FARIAS DOS SANTOS JUNIOR (800)</v>
      </c>
      <c r="H12365" t="str">
        <f>"Serv.Prest. 10/11/2025 a 16/11/2025 - PIX: CELULAR - CHAVE: (71) 99696-7530"</f>
        <v>Serv.Prest. 10/11/2025 a 16/11/2025 - PIX: CELULAR - CHAVE: (71) 99696-7530</v>
      </c>
      <c r="I12365" t="str">
        <f t="shared" si="2380"/>
        <v>20/11/2025</v>
      </c>
      <c r="J12365" t="str">
        <f t="shared" si="2383"/>
        <v>18/11/2025</v>
      </c>
      <c r="K12365" t="str">
        <f>("21/11/2025")</f>
        <v>21/11/2025</v>
      </c>
      <c r="L12365">
        <v>785</v>
      </c>
      <c r="M12365">
        <v>785</v>
      </c>
      <c r="N12365">
        <v>109</v>
      </c>
      <c r="O12365" t="str">
        <f>"PAGAMENTO DE ENTREGADORES"</f>
        <v>PAGAMENTO DE ENTREGADORES</v>
      </c>
      <c r="P12365">
        <v>785</v>
      </c>
      <c r="S12365" t="str">
        <f>"BANCO C6 (149)"</f>
        <v>BANCO C6 (149)</v>
      </c>
      <c r="T12365">
        <v>21564</v>
      </c>
      <c r="U12365">
        <v>25835</v>
      </c>
      <c r="V12365" t="s">
        <v>77</v>
      </c>
    </row>
    <row r="12366" spans="1:22">
      <c r="A12366" t="str">
        <f t="shared" ref="A12366:A12429" si="2386">("21/11/2025")</f>
        <v>21/11/2025</v>
      </c>
      <c r="B12366" t="str">
        <f t="shared" si="2385"/>
        <v>SAÍDA</v>
      </c>
      <c r="C12366" t="str">
        <f t="shared" si="2379"/>
        <v>PIX</v>
      </c>
      <c r="D12366" t="str">
        <f>"25835"</f>
        <v>25835</v>
      </c>
      <c r="E12366" t="str">
        <f t="shared" si="2382"/>
        <v>1</v>
      </c>
      <c r="F12366" t="str">
        <f t="shared" si="2384"/>
        <v>COM</v>
      </c>
      <c r="G12366" t="str">
        <f>"ALBERTO FARIAS DOS SANTOS JUNIOR (800)"</f>
        <v>ALBERTO FARIAS DOS SANTOS JUNIOR (800)</v>
      </c>
      <c r="H12366" t="s">
        <v>3347</v>
      </c>
      <c r="I12366" t="str">
        <f t="shared" si="2380"/>
        <v>20/11/2025</v>
      </c>
      <c r="J12366" t="str">
        <f t="shared" si="2383"/>
        <v>18/11/2025</v>
      </c>
      <c r="K12366">
        <v>45982</v>
      </c>
      <c r="N12366">
        <v>109</v>
      </c>
      <c r="O12366" t="s">
        <v>24</v>
      </c>
      <c r="Q12366">
        <v>785</v>
      </c>
      <c r="R12366" t="str">
        <f>"DELTA LOJA 2 (10123)"</f>
        <v>DELTA LOJA 2 (10123)</v>
      </c>
      <c r="S12366" t="s">
        <v>77</v>
      </c>
      <c r="T12366">
        <v>21564</v>
      </c>
      <c r="U12366">
        <v>25835</v>
      </c>
      <c r="V12366" t="s">
        <v>77</v>
      </c>
    </row>
    <row r="12367" spans="1:22">
      <c r="A12367" t="str">
        <f t="shared" si="2386"/>
        <v>21/11/2025</v>
      </c>
      <c r="B12367" t="str">
        <f t="shared" si="2385"/>
        <v>SAÍDA</v>
      </c>
      <c r="C12367" t="str">
        <f t="shared" si="2379"/>
        <v>PIX</v>
      </c>
      <c r="D12367" t="str">
        <f>"25836"</f>
        <v>25836</v>
      </c>
      <c r="E12367" t="str">
        <f t="shared" si="2382"/>
        <v>1</v>
      </c>
      <c r="F12367" t="str">
        <f t="shared" si="2384"/>
        <v>COM</v>
      </c>
      <c r="G12367" t="str">
        <f>"EDNUBIA RAMOS ALVES OLIVEIRA (899)"</f>
        <v>EDNUBIA RAMOS ALVES OLIVEIRA (899)</v>
      </c>
      <c r="H12367" t="str">
        <f>"Serv.Prest. 10/11/2025 a 16/11/2025 - PIX: CELULAR - CHAVE: (71) 99214-9256"</f>
        <v>Serv.Prest. 10/11/2025 a 16/11/2025 - PIX: CELULAR - CHAVE: (71) 99214-9256</v>
      </c>
      <c r="I12367" t="str">
        <f t="shared" si="2380"/>
        <v>20/11/2025</v>
      </c>
      <c r="J12367" t="str">
        <f t="shared" si="2383"/>
        <v>18/11/2025</v>
      </c>
      <c r="K12367" t="str">
        <f>("21/11/2025")</f>
        <v>21/11/2025</v>
      </c>
      <c r="L12367">
        <v>790</v>
      </c>
      <c r="M12367">
        <v>790</v>
      </c>
      <c r="N12367">
        <v>109</v>
      </c>
      <c r="O12367" t="str">
        <f>"PAGAMENTO DE ENTREGADORES"</f>
        <v>PAGAMENTO DE ENTREGADORES</v>
      </c>
      <c r="P12367">
        <v>790</v>
      </c>
      <c r="S12367" t="str">
        <f>"BANCO C6 (149)"</f>
        <v>BANCO C6 (149)</v>
      </c>
      <c r="T12367">
        <v>21565</v>
      </c>
      <c r="U12367">
        <v>25836</v>
      </c>
      <c r="V12367" t="s">
        <v>77</v>
      </c>
    </row>
    <row r="12368" spans="1:22">
      <c r="A12368" t="str">
        <f t="shared" si="2386"/>
        <v>21/11/2025</v>
      </c>
      <c r="B12368" t="str">
        <f t="shared" si="2385"/>
        <v>SAÍDA</v>
      </c>
      <c r="C12368" t="str">
        <f t="shared" si="2379"/>
        <v>PIX</v>
      </c>
      <c r="D12368" t="str">
        <f>"25836"</f>
        <v>25836</v>
      </c>
      <c r="E12368" t="str">
        <f t="shared" si="2382"/>
        <v>1</v>
      </c>
      <c r="F12368" t="str">
        <f t="shared" si="2384"/>
        <v>COM</v>
      </c>
      <c r="G12368" t="str">
        <f>"EDNUBIA RAMOS ALVES OLIVEIRA (899)"</f>
        <v>EDNUBIA RAMOS ALVES OLIVEIRA (899)</v>
      </c>
      <c r="H12368" t="s">
        <v>3348</v>
      </c>
      <c r="I12368" t="str">
        <f t="shared" si="2380"/>
        <v>20/11/2025</v>
      </c>
      <c r="J12368" t="str">
        <f t="shared" si="2383"/>
        <v>18/11/2025</v>
      </c>
      <c r="K12368">
        <v>45982</v>
      </c>
      <c r="N12368">
        <v>109</v>
      </c>
      <c r="O12368" t="s">
        <v>24</v>
      </c>
      <c r="Q12368">
        <v>790</v>
      </c>
      <c r="R12368" t="str">
        <f>"DELTA LOJA 2 (10123)"</f>
        <v>DELTA LOJA 2 (10123)</v>
      </c>
      <c r="S12368" t="s">
        <v>77</v>
      </c>
      <c r="T12368">
        <v>21565</v>
      </c>
      <c r="U12368">
        <v>25836</v>
      </c>
      <c r="V12368" t="s">
        <v>77</v>
      </c>
    </row>
    <row r="12369" spans="1:22">
      <c r="A12369" t="str">
        <f t="shared" si="2386"/>
        <v>21/11/2025</v>
      </c>
      <c r="B12369" t="str">
        <f t="shared" si="2385"/>
        <v>SAÍDA</v>
      </c>
      <c r="C12369" t="str">
        <f t="shared" si="2379"/>
        <v>PIX</v>
      </c>
      <c r="D12369" t="str">
        <f>"25837"</f>
        <v>25837</v>
      </c>
      <c r="E12369" t="str">
        <f t="shared" si="2382"/>
        <v>1</v>
      </c>
      <c r="F12369" t="str">
        <f t="shared" si="2384"/>
        <v>COM</v>
      </c>
      <c r="G12369" t="str">
        <f>"EDVAN DA SILVA ALVES (934)"</f>
        <v>EDVAN DA SILVA ALVES (934)</v>
      </c>
      <c r="H12369" t="str">
        <f>"Serv.Prest. 10/11/2025 a 16/11/2025 - PIX: E-MAIL - CHAVE: edvam18.alves@gmail.com"</f>
        <v>Serv.Prest. 10/11/2025 a 16/11/2025 - PIX: E-MAIL - CHAVE: edvam18.alves@gmail.com</v>
      </c>
      <c r="I12369" t="str">
        <f t="shared" si="2380"/>
        <v>20/11/2025</v>
      </c>
      <c r="J12369" t="str">
        <f t="shared" si="2383"/>
        <v>18/11/2025</v>
      </c>
      <c r="K12369" t="str">
        <f>("21/11/2025")</f>
        <v>21/11/2025</v>
      </c>
      <c r="L12369">
        <v>770</v>
      </c>
      <c r="M12369">
        <v>770</v>
      </c>
      <c r="N12369">
        <v>109</v>
      </c>
      <c r="O12369" t="str">
        <f>"PAGAMENTO DE ENTREGADORES"</f>
        <v>PAGAMENTO DE ENTREGADORES</v>
      </c>
      <c r="P12369">
        <v>770</v>
      </c>
      <c r="S12369" t="str">
        <f>"BANCO C6 (149)"</f>
        <v>BANCO C6 (149)</v>
      </c>
      <c r="T12369">
        <v>21566</v>
      </c>
      <c r="U12369">
        <v>25837</v>
      </c>
      <c r="V12369" t="s">
        <v>77</v>
      </c>
    </row>
    <row r="12370" spans="1:22">
      <c r="A12370" t="str">
        <f t="shared" si="2386"/>
        <v>21/11/2025</v>
      </c>
      <c r="B12370" t="str">
        <f t="shared" si="2385"/>
        <v>SAÍDA</v>
      </c>
      <c r="C12370" t="str">
        <f t="shared" si="2379"/>
        <v>PIX</v>
      </c>
      <c r="D12370" t="str">
        <f>"25837"</f>
        <v>25837</v>
      </c>
      <c r="E12370" t="str">
        <f t="shared" si="2382"/>
        <v>1</v>
      </c>
      <c r="F12370" t="str">
        <f t="shared" si="2384"/>
        <v>COM</v>
      </c>
      <c r="G12370" t="str">
        <f>"EDVAN DA SILVA ALVES (934)"</f>
        <v>EDVAN DA SILVA ALVES (934)</v>
      </c>
      <c r="H12370" t="s">
        <v>3349</v>
      </c>
      <c r="I12370" t="str">
        <f t="shared" si="2380"/>
        <v>20/11/2025</v>
      </c>
      <c r="J12370" t="str">
        <f t="shared" si="2383"/>
        <v>18/11/2025</v>
      </c>
      <c r="K12370">
        <v>45982</v>
      </c>
      <c r="N12370">
        <v>109</v>
      </c>
      <c r="O12370" t="s">
        <v>24</v>
      </c>
      <c r="Q12370">
        <v>770</v>
      </c>
      <c r="R12370" t="str">
        <f>"DELTA LOJA 2 (10123)"</f>
        <v>DELTA LOJA 2 (10123)</v>
      </c>
      <c r="S12370" t="s">
        <v>77</v>
      </c>
      <c r="T12370">
        <v>21566</v>
      </c>
      <c r="U12370">
        <v>25837</v>
      </c>
      <c r="V12370" t="s">
        <v>77</v>
      </c>
    </row>
    <row r="12371" spans="1:22">
      <c r="A12371" t="str">
        <f t="shared" si="2386"/>
        <v>21/11/2025</v>
      </c>
      <c r="B12371" t="str">
        <f t="shared" si="2385"/>
        <v>SAÍDA</v>
      </c>
      <c r="C12371" t="str">
        <f t="shared" si="2379"/>
        <v>PIX</v>
      </c>
      <c r="D12371" t="str">
        <f>"25838"</f>
        <v>25838</v>
      </c>
      <c r="E12371" t="str">
        <f t="shared" si="2382"/>
        <v>1</v>
      </c>
      <c r="F12371" t="str">
        <f t="shared" si="2384"/>
        <v>COM</v>
      </c>
      <c r="G12371" t="str">
        <f>"ELIENAI ROSA DO NASCIMENTO (343)"</f>
        <v>ELIENAI ROSA DO NASCIMENTO (343)</v>
      </c>
      <c r="H12371" t="str">
        <f>"Serv.Prest. 10/11/2025 a 16/11/2025 - PIX: CPF - CHAVE: 048.672.645-20"</f>
        <v>Serv.Prest. 10/11/2025 a 16/11/2025 - PIX: CPF - CHAVE: 048.672.645-20</v>
      </c>
      <c r="I12371" t="str">
        <f t="shared" si="2380"/>
        <v>20/11/2025</v>
      </c>
      <c r="J12371" t="str">
        <f t="shared" si="2383"/>
        <v>18/11/2025</v>
      </c>
      <c r="K12371" t="str">
        <f>("21/11/2025")</f>
        <v>21/11/2025</v>
      </c>
      <c r="L12371">
        <v>760</v>
      </c>
      <c r="M12371">
        <v>760</v>
      </c>
      <c r="N12371">
        <v>109</v>
      </c>
      <c r="O12371" t="str">
        <f>"PAGAMENTO DE ENTREGADORES"</f>
        <v>PAGAMENTO DE ENTREGADORES</v>
      </c>
      <c r="P12371">
        <v>760</v>
      </c>
      <c r="S12371" t="str">
        <f>"BANCO C6 (149)"</f>
        <v>BANCO C6 (149)</v>
      </c>
      <c r="T12371">
        <v>21567</v>
      </c>
      <c r="U12371">
        <v>25838</v>
      </c>
      <c r="V12371" t="s">
        <v>77</v>
      </c>
    </row>
    <row r="12372" spans="1:22">
      <c r="A12372" t="str">
        <f t="shared" si="2386"/>
        <v>21/11/2025</v>
      </c>
      <c r="B12372" t="str">
        <f t="shared" si="2385"/>
        <v>SAÍDA</v>
      </c>
      <c r="C12372" t="str">
        <f t="shared" si="2379"/>
        <v>PIX</v>
      </c>
      <c r="D12372" t="str">
        <f>"25838"</f>
        <v>25838</v>
      </c>
      <c r="E12372" t="str">
        <f t="shared" si="2382"/>
        <v>1</v>
      </c>
      <c r="F12372" t="str">
        <f t="shared" si="2384"/>
        <v>COM</v>
      </c>
      <c r="G12372" t="str">
        <f>"ELIENAI ROSA DO NASCIMENTO (343)"</f>
        <v>ELIENAI ROSA DO NASCIMENTO (343)</v>
      </c>
      <c r="H12372" t="s">
        <v>3350</v>
      </c>
      <c r="I12372" t="str">
        <f t="shared" si="2380"/>
        <v>20/11/2025</v>
      </c>
      <c r="J12372" t="str">
        <f t="shared" si="2383"/>
        <v>18/11/2025</v>
      </c>
      <c r="K12372">
        <v>45982</v>
      </c>
      <c r="N12372">
        <v>109</v>
      </c>
      <c r="O12372" t="s">
        <v>24</v>
      </c>
      <c r="Q12372">
        <v>760</v>
      </c>
      <c r="R12372" t="str">
        <f>"DELTA LOJA 2 (10123)"</f>
        <v>DELTA LOJA 2 (10123)</v>
      </c>
      <c r="S12372" t="s">
        <v>77</v>
      </c>
      <c r="T12372">
        <v>21567</v>
      </c>
      <c r="U12372">
        <v>25838</v>
      </c>
      <c r="V12372" t="s">
        <v>77</v>
      </c>
    </row>
    <row r="12373" spans="1:22">
      <c r="A12373" t="str">
        <f t="shared" si="2386"/>
        <v>21/11/2025</v>
      </c>
      <c r="B12373" t="str">
        <f t="shared" si="2385"/>
        <v>SAÍDA</v>
      </c>
      <c r="C12373" t="str">
        <f t="shared" si="2379"/>
        <v>PIX</v>
      </c>
      <c r="D12373" t="str">
        <f>"25839"</f>
        <v>25839</v>
      </c>
      <c r="E12373" t="str">
        <f t="shared" si="2382"/>
        <v>1</v>
      </c>
      <c r="F12373" t="str">
        <f t="shared" si="2384"/>
        <v>COM</v>
      </c>
      <c r="G12373" t="str">
        <f>"JHON CARLOS DOS SANTOS LIMA (995)"</f>
        <v>JHON CARLOS DOS SANTOS LIMA (995)</v>
      </c>
      <c r="H12373" t="str">
        <f>"Serv.Prest. 10/11/2025 a 16/11/2025 - PIX: CELULAR - CHAVE: (71) 98124-7946"</f>
        <v>Serv.Prest. 10/11/2025 a 16/11/2025 - PIX: CELULAR - CHAVE: (71) 98124-7946</v>
      </c>
      <c r="I12373" t="str">
        <f t="shared" si="2380"/>
        <v>20/11/2025</v>
      </c>
      <c r="J12373" t="str">
        <f t="shared" si="2383"/>
        <v>18/11/2025</v>
      </c>
      <c r="K12373" t="str">
        <f>("21/11/2025")</f>
        <v>21/11/2025</v>
      </c>
      <c r="L12373">
        <v>760</v>
      </c>
      <c r="M12373">
        <v>760</v>
      </c>
      <c r="N12373">
        <v>109</v>
      </c>
      <c r="O12373" t="str">
        <f>"PAGAMENTO DE ENTREGADORES"</f>
        <v>PAGAMENTO DE ENTREGADORES</v>
      </c>
      <c r="P12373">
        <v>760</v>
      </c>
      <c r="S12373" t="str">
        <f>"BANCO C6 (149)"</f>
        <v>BANCO C6 (149)</v>
      </c>
      <c r="T12373">
        <v>21568</v>
      </c>
      <c r="U12373">
        <v>25839</v>
      </c>
      <c r="V12373" t="s">
        <v>77</v>
      </c>
    </row>
    <row r="12374" spans="1:22">
      <c r="A12374" t="str">
        <f t="shared" si="2386"/>
        <v>21/11/2025</v>
      </c>
      <c r="B12374" t="str">
        <f t="shared" si="2385"/>
        <v>SAÍDA</v>
      </c>
      <c r="C12374" t="str">
        <f t="shared" si="2379"/>
        <v>PIX</v>
      </c>
      <c r="D12374" t="str">
        <f>"25839"</f>
        <v>25839</v>
      </c>
      <c r="E12374" t="str">
        <f t="shared" si="2382"/>
        <v>1</v>
      </c>
      <c r="F12374" t="str">
        <f t="shared" si="2384"/>
        <v>COM</v>
      </c>
      <c r="G12374" t="str">
        <f>"JHON CARLOS DOS SANTOS LIMA (995)"</f>
        <v>JHON CARLOS DOS SANTOS LIMA (995)</v>
      </c>
      <c r="H12374" t="s">
        <v>3351</v>
      </c>
      <c r="I12374" t="str">
        <f t="shared" si="2380"/>
        <v>20/11/2025</v>
      </c>
      <c r="J12374" t="str">
        <f t="shared" si="2383"/>
        <v>18/11/2025</v>
      </c>
      <c r="K12374">
        <v>45982</v>
      </c>
      <c r="N12374">
        <v>109</v>
      </c>
      <c r="O12374" t="s">
        <v>24</v>
      </c>
      <c r="Q12374">
        <v>760</v>
      </c>
      <c r="R12374" t="str">
        <f>"DELTA LOJA 2 (10123)"</f>
        <v>DELTA LOJA 2 (10123)</v>
      </c>
      <c r="S12374" t="s">
        <v>77</v>
      </c>
      <c r="T12374">
        <v>21568</v>
      </c>
      <c r="U12374">
        <v>25839</v>
      </c>
      <c r="V12374" t="s">
        <v>77</v>
      </c>
    </row>
    <row r="12375" spans="1:22">
      <c r="A12375" t="str">
        <f t="shared" si="2386"/>
        <v>21/11/2025</v>
      </c>
      <c r="B12375" t="str">
        <f t="shared" si="2385"/>
        <v>SAÍDA</v>
      </c>
      <c r="C12375" t="str">
        <f t="shared" si="2379"/>
        <v>PIX</v>
      </c>
      <c r="D12375" t="str">
        <f>"25841"</f>
        <v>25841</v>
      </c>
      <c r="E12375" t="str">
        <f t="shared" si="2382"/>
        <v>1</v>
      </c>
      <c r="F12375" t="str">
        <f t="shared" si="2384"/>
        <v>COM</v>
      </c>
      <c r="G12375" t="str">
        <f>"NILTON ADRIANO SILVA DE JESUS (943)"</f>
        <v>NILTON ADRIANO SILVA DE JESUS (943)</v>
      </c>
      <c r="H12375" t="str">
        <f>"Serv.Prest. 10/11/2025 a 16/11/2025 - PIX: CELULAR - CHAVE: (34) 99772-2954"</f>
        <v>Serv.Prest. 10/11/2025 a 16/11/2025 - PIX: CELULAR - CHAVE: (34) 99772-2954</v>
      </c>
      <c r="I12375" t="str">
        <f t="shared" si="2380"/>
        <v>20/11/2025</v>
      </c>
      <c r="J12375" t="str">
        <f t="shared" si="2383"/>
        <v>18/11/2025</v>
      </c>
      <c r="K12375" t="str">
        <f>("21/11/2025")</f>
        <v>21/11/2025</v>
      </c>
      <c r="L12375">
        <v>886.5</v>
      </c>
      <c r="M12375">
        <v>886.5</v>
      </c>
      <c r="N12375">
        <v>109</v>
      </c>
      <c r="O12375" t="str">
        <f>"PAGAMENTO DE ENTREGADORES"</f>
        <v>PAGAMENTO DE ENTREGADORES</v>
      </c>
      <c r="P12375">
        <v>886.5</v>
      </c>
      <c r="S12375" t="str">
        <f>"BANCO C6 (149)"</f>
        <v>BANCO C6 (149)</v>
      </c>
      <c r="T12375">
        <v>21569</v>
      </c>
      <c r="U12375">
        <v>25841</v>
      </c>
      <c r="V12375" t="s">
        <v>77</v>
      </c>
    </row>
    <row r="12376" spans="1:22">
      <c r="A12376" t="str">
        <f t="shared" si="2386"/>
        <v>21/11/2025</v>
      </c>
      <c r="B12376" t="str">
        <f t="shared" si="2385"/>
        <v>SAÍDA</v>
      </c>
      <c r="C12376" t="str">
        <f t="shared" ref="C12376:C12406" si="2387">"PIX"</f>
        <v>PIX</v>
      </c>
      <c r="D12376" t="str">
        <f>"25841"</f>
        <v>25841</v>
      </c>
      <c r="E12376" t="str">
        <f t="shared" si="2382"/>
        <v>1</v>
      </c>
      <c r="F12376" t="str">
        <f t="shared" si="2384"/>
        <v>COM</v>
      </c>
      <c r="G12376" t="str">
        <f>"NILTON ADRIANO SILVA DE JESUS (943)"</f>
        <v>NILTON ADRIANO SILVA DE JESUS (943)</v>
      </c>
      <c r="H12376" t="s">
        <v>3352</v>
      </c>
      <c r="I12376" t="str">
        <f t="shared" ref="I12376:I12406" si="2388">("20/11/2025")</f>
        <v>20/11/2025</v>
      </c>
      <c r="J12376" t="str">
        <f t="shared" si="2383"/>
        <v>18/11/2025</v>
      </c>
      <c r="K12376">
        <v>45982</v>
      </c>
      <c r="N12376">
        <v>109</v>
      </c>
      <c r="O12376" t="s">
        <v>24</v>
      </c>
      <c r="Q12376">
        <v>886.5</v>
      </c>
      <c r="R12376" t="str">
        <f>"DROGA HONDA (10149)"</f>
        <v>DROGA HONDA (10149)</v>
      </c>
      <c r="S12376" t="s">
        <v>77</v>
      </c>
      <c r="T12376">
        <v>21569</v>
      </c>
      <c r="U12376">
        <v>25841</v>
      </c>
      <c r="V12376" t="s">
        <v>77</v>
      </c>
    </row>
    <row r="12377" spans="1:22">
      <c r="A12377" t="str">
        <f t="shared" si="2386"/>
        <v>21/11/2025</v>
      </c>
      <c r="B12377" t="str">
        <f t="shared" si="2385"/>
        <v>SAÍDA</v>
      </c>
      <c r="C12377" t="str">
        <f t="shared" si="2387"/>
        <v>PIX</v>
      </c>
      <c r="D12377" t="str">
        <f t="shared" ref="D12377:D12382" si="2389">"25865"</f>
        <v>25865</v>
      </c>
      <c r="E12377" t="str">
        <f t="shared" si="2382"/>
        <v>1</v>
      </c>
      <c r="F12377" t="str">
        <f t="shared" si="2384"/>
        <v>COM</v>
      </c>
      <c r="G12377" t="str">
        <f t="shared" ref="G12377:G12382" si="2390">"ALESSANDRO DA CONCEICAO BRASILEIRO (1047)"</f>
        <v>ALESSANDRO DA CONCEICAO BRASILEIRO (1047)</v>
      </c>
      <c r="H12377" t="str">
        <f>"Serv.Prest. 10/11/2025 a 16/11/2025 - PIX: CELULAR - CHAVE: (34) 99768-4372"</f>
        <v>Serv.Prest. 10/11/2025 a 16/11/2025 - PIX: CELULAR - CHAVE: (34) 99768-4372</v>
      </c>
      <c r="I12377" t="str">
        <f t="shared" si="2388"/>
        <v>20/11/2025</v>
      </c>
      <c r="J12377" t="str">
        <f t="shared" ref="J12377:J12404" si="2391">("19/11/2025")</f>
        <v>19/11/2025</v>
      </c>
      <c r="K12377" t="str">
        <f>("21/11/2025")</f>
        <v>21/11/2025</v>
      </c>
      <c r="L12377">
        <v>575</v>
      </c>
      <c r="M12377">
        <v>575</v>
      </c>
      <c r="N12377">
        <v>109</v>
      </c>
      <c r="O12377" t="str">
        <f>"PAGAMENTO DE ENTREGADORES"</f>
        <v>PAGAMENTO DE ENTREGADORES</v>
      </c>
      <c r="P12377">
        <v>575</v>
      </c>
      <c r="S12377" t="str">
        <f>"BANCO C6 (149)"</f>
        <v>BANCO C6 (149)</v>
      </c>
      <c r="T12377">
        <v>21570</v>
      </c>
      <c r="U12377">
        <v>25865</v>
      </c>
      <c r="V12377" t="s">
        <v>77</v>
      </c>
    </row>
    <row r="12378" spans="1:22">
      <c r="A12378" t="str">
        <f t="shared" si="2386"/>
        <v>21/11/2025</v>
      </c>
      <c r="B12378" t="str">
        <f t="shared" si="2385"/>
        <v>SAÍDA</v>
      </c>
      <c r="C12378" t="str">
        <f t="shared" si="2387"/>
        <v>PIX</v>
      </c>
      <c r="D12378" t="str">
        <f t="shared" si="2389"/>
        <v>25865</v>
      </c>
      <c r="E12378" t="str">
        <f t="shared" si="2382"/>
        <v>1</v>
      </c>
      <c r="F12378" t="str">
        <f t="shared" si="2384"/>
        <v>COM</v>
      </c>
      <c r="G12378" t="str">
        <f t="shared" si="2390"/>
        <v>ALESSANDRO DA CONCEICAO BRASILEIRO (1047)</v>
      </c>
      <c r="H12378" t="s">
        <v>3353</v>
      </c>
      <c r="I12378" t="str">
        <f t="shared" si="2388"/>
        <v>20/11/2025</v>
      </c>
      <c r="J12378" t="str">
        <f t="shared" si="2391"/>
        <v>19/11/2025</v>
      </c>
      <c r="K12378">
        <v>45982</v>
      </c>
      <c r="N12378">
        <v>109</v>
      </c>
      <c r="O12378" t="s">
        <v>24</v>
      </c>
      <c r="Q12378">
        <v>34.32</v>
      </c>
      <c r="R12378" t="str">
        <f>"DROGALIDER 42 (10247)"</f>
        <v>DROGALIDER 42 (10247)</v>
      </c>
      <c r="S12378" t="s">
        <v>77</v>
      </c>
      <c r="T12378">
        <v>21570</v>
      </c>
      <c r="U12378">
        <v>25865</v>
      </c>
      <c r="V12378" t="s">
        <v>77</v>
      </c>
    </row>
    <row r="12379" spans="1:22">
      <c r="A12379" t="str">
        <f t="shared" si="2386"/>
        <v>21/11/2025</v>
      </c>
      <c r="B12379" t="str">
        <f t="shared" si="2385"/>
        <v>SAÍDA</v>
      </c>
      <c r="C12379" t="str">
        <f t="shared" si="2387"/>
        <v>PIX</v>
      </c>
      <c r="D12379" t="str">
        <f t="shared" si="2389"/>
        <v>25865</v>
      </c>
      <c r="E12379" t="str">
        <f t="shared" si="2382"/>
        <v>1</v>
      </c>
      <c r="F12379" t="str">
        <f t="shared" si="2384"/>
        <v>COM</v>
      </c>
      <c r="G12379" t="str">
        <f t="shared" si="2390"/>
        <v>ALESSANDRO DA CONCEICAO BRASILEIRO (1047)</v>
      </c>
      <c r="H12379" t="s">
        <v>3353</v>
      </c>
      <c r="I12379" t="str">
        <f t="shared" si="2388"/>
        <v>20/11/2025</v>
      </c>
      <c r="J12379" t="str">
        <f t="shared" si="2391"/>
        <v>19/11/2025</v>
      </c>
      <c r="K12379">
        <v>45982</v>
      </c>
      <c r="N12379">
        <v>109</v>
      </c>
      <c r="O12379" t="s">
        <v>24</v>
      </c>
      <c r="Q12379">
        <v>231.73</v>
      </c>
      <c r="R12379" t="str">
        <f>"DROGALIDER 55 (10249)"</f>
        <v>DROGALIDER 55 (10249)</v>
      </c>
      <c r="S12379" t="s">
        <v>77</v>
      </c>
      <c r="T12379">
        <v>21570</v>
      </c>
      <c r="U12379">
        <v>25865</v>
      </c>
      <c r="V12379" t="s">
        <v>77</v>
      </c>
    </row>
    <row r="12380" spans="1:22">
      <c r="A12380" t="str">
        <f t="shared" si="2386"/>
        <v>21/11/2025</v>
      </c>
      <c r="B12380" t="str">
        <f t="shared" si="2385"/>
        <v>SAÍDA</v>
      </c>
      <c r="C12380" t="str">
        <f t="shared" si="2387"/>
        <v>PIX</v>
      </c>
      <c r="D12380" t="str">
        <f t="shared" si="2389"/>
        <v>25865</v>
      </c>
      <c r="E12380" t="str">
        <f t="shared" ref="E12380:E12406" si="2392">"1"</f>
        <v>1</v>
      </c>
      <c r="F12380" t="str">
        <f t="shared" si="2384"/>
        <v>COM</v>
      </c>
      <c r="G12380" t="str">
        <f t="shared" si="2390"/>
        <v>ALESSANDRO DA CONCEICAO BRASILEIRO (1047)</v>
      </c>
      <c r="H12380" t="s">
        <v>3353</v>
      </c>
      <c r="I12380" t="str">
        <f t="shared" si="2388"/>
        <v>20/11/2025</v>
      </c>
      <c r="J12380" t="str">
        <f t="shared" si="2391"/>
        <v>19/11/2025</v>
      </c>
      <c r="K12380">
        <v>45982</v>
      </c>
      <c r="N12380">
        <v>109</v>
      </c>
      <c r="O12380" t="s">
        <v>24</v>
      </c>
      <c r="Q12380">
        <v>163.07</v>
      </c>
      <c r="R12380" t="str">
        <f>"DROGALIDER 67 (10252)"</f>
        <v>DROGALIDER 67 (10252)</v>
      </c>
      <c r="S12380" t="s">
        <v>77</v>
      </c>
      <c r="T12380">
        <v>21570</v>
      </c>
      <c r="U12380">
        <v>25865</v>
      </c>
      <c r="V12380" t="s">
        <v>77</v>
      </c>
    </row>
    <row r="12381" spans="1:22">
      <c r="A12381" t="str">
        <f t="shared" si="2386"/>
        <v>21/11/2025</v>
      </c>
      <c r="B12381" t="str">
        <f t="shared" si="2385"/>
        <v>SAÍDA</v>
      </c>
      <c r="C12381" t="str">
        <f t="shared" si="2387"/>
        <v>PIX</v>
      </c>
      <c r="D12381" t="str">
        <f t="shared" si="2389"/>
        <v>25865</v>
      </c>
      <c r="E12381" t="str">
        <f t="shared" si="2392"/>
        <v>1</v>
      </c>
      <c r="F12381" t="str">
        <f t="shared" si="2384"/>
        <v>COM</v>
      </c>
      <c r="G12381" t="str">
        <f t="shared" si="2390"/>
        <v>ALESSANDRO DA CONCEICAO BRASILEIRO (1047)</v>
      </c>
      <c r="H12381" t="s">
        <v>3353</v>
      </c>
      <c r="I12381" t="str">
        <f t="shared" si="2388"/>
        <v>20/11/2025</v>
      </c>
      <c r="J12381" t="str">
        <f t="shared" si="2391"/>
        <v>19/11/2025</v>
      </c>
      <c r="K12381">
        <v>45982</v>
      </c>
      <c r="N12381">
        <v>109</v>
      </c>
      <c r="O12381" t="s">
        <v>24</v>
      </c>
      <c r="Q12381">
        <v>8.57</v>
      </c>
      <c r="R12381" t="str">
        <f>"DROGALIDER 68 (10253)"</f>
        <v>DROGALIDER 68 (10253)</v>
      </c>
      <c r="S12381" t="s">
        <v>77</v>
      </c>
      <c r="T12381">
        <v>21570</v>
      </c>
      <c r="U12381">
        <v>25865</v>
      </c>
      <c r="V12381" t="s">
        <v>77</v>
      </c>
    </row>
    <row r="12382" spans="1:22">
      <c r="A12382" t="str">
        <f t="shared" si="2386"/>
        <v>21/11/2025</v>
      </c>
      <c r="B12382" t="str">
        <f t="shared" si="2385"/>
        <v>SAÍDA</v>
      </c>
      <c r="C12382" t="str">
        <f t="shared" si="2387"/>
        <v>PIX</v>
      </c>
      <c r="D12382" t="str">
        <f t="shared" si="2389"/>
        <v>25865</v>
      </c>
      <c r="E12382" t="str">
        <f t="shared" si="2392"/>
        <v>1</v>
      </c>
      <c r="F12382" t="str">
        <f t="shared" si="2384"/>
        <v>COM</v>
      </c>
      <c r="G12382" t="str">
        <f t="shared" si="2390"/>
        <v>ALESSANDRO DA CONCEICAO BRASILEIRO (1047)</v>
      </c>
      <c r="H12382" t="s">
        <v>3353</v>
      </c>
      <c r="I12382" t="str">
        <f t="shared" si="2388"/>
        <v>20/11/2025</v>
      </c>
      <c r="J12382" t="str">
        <f t="shared" si="2391"/>
        <v>19/11/2025</v>
      </c>
      <c r="K12382">
        <v>45982</v>
      </c>
      <c r="N12382">
        <v>109</v>
      </c>
      <c r="O12382" t="s">
        <v>24</v>
      </c>
      <c r="Q12382">
        <v>137.31</v>
      </c>
      <c r="R12382" t="str">
        <f>"DROGALIDER 31 (10256)"</f>
        <v>DROGALIDER 31 (10256)</v>
      </c>
      <c r="S12382" t="s">
        <v>77</v>
      </c>
      <c r="T12382">
        <v>21570</v>
      </c>
      <c r="U12382">
        <v>25865</v>
      </c>
      <c r="V12382" t="s">
        <v>77</v>
      </c>
    </row>
    <row r="12383" spans="1:22">
      <c r="A12383" t="str">
        <f t="shared" si="2386"/>
        <v>21/11/2025</v>
      </c>
      <c r="B12383" t="str">
        <f t="shared" si="2385"/>
        <v>SAÍDA</v>
      </c>
      <c r="C12383" t="str">
        <f t="shared" si="2387"/>
        <v>PIX</v>
      </c>
      <c r="D12383" t="str">
        <f>"25866"</f>
        <v>25866</v>
      </c>
      <c r="E12383" t="str">
        <f t="shared" si="2392"/>
        <v>1</v>
      </c>
      <c r="F12383" t="str">
        <f t="shared" si="2384"/>
        <v>COM</v>
      </c>
      <c r="G12383" t="str">
        <f>"FABIANO QUIRINO FERREIRA (1050)"</f>
        <v>FABIANO QUIRINO FERREIRA (1050)</v>
      </c>
      <c r="H12383" t="str">
        <f>"Serv.Prest. 10/11/2025 a 16/11/2025 - PIX: CPF - CHAVE: 054.162.686-89"</f>
        <v>Serv.Prest. 10/11/2025 a 16/11/2025 - PIX: CPF - CHAVE: 054.162.686-89</v>
      </c>
      <c r="I12383" t="str">
        <f t="shared" si="2388"/>
        <v>20/11/2025</v>
      </c>
      <c r="J12383" t="str">
        <f t="shared" si="2391"/>
        <v>19/11/2025</v>
      </c>
      <c r="K12383" t="str">
        <f>("21/11/2025")</f>
        <v>21/11/2025</v>
      </c>
      <c r="L12383">
        <v>230</v>
      </c>
      <c r="M12383">
        <v>230</v>
      </c>
      <c r="N12383">
        <v>109</v>
      </c>
      <c r="O12383" t="str">
        <f>"PAGAMENTO DE ENTREGADORES"</f>
        <v>PAGAMENTO DE ENTREGADORES</v>
      </c>
      <c r="P12383">
        <v>230</v>
      </c>
      <c r="S12383" t="str">
        <f>"BANCO C6 (149)"</f>
        <v>BANCO C6 (149)</v>
      </c>
      <c r="T12383">
        <v>21571</v>
      </c>
      <c r="U12383">
        <v>25866</v>
      </c>
      <c r="V12383" t="s">
        <v>77</v>
      </c>
    </row>
    <row r="12384" spans="1:22">
      <c r="A12384" t="str">
        <f t="shared" si="2386"/>
        <v>21/11/2025</v>
      </c>
      <c r="B12384" t="str">
        <f t="shared" si="2385"/>
        <v>SAÍDA</v>
      </c>
      <c r="C12384" t="str">
        <f t="shared" si="2387"/>
        <v>PIX</v>
      </c>
      <c r="D12384" t="str">
        <f>"25866"</f>
        <v>25866</v>
      </c>
      <c r="E12384" t="str">
        <f t="shared" si="2392"/>
        <v>1</v>
      </c>
      <c r="F12384" t="str">
        <f t="shared" si="2384"/>
        <v>COM</v>
      </c>
      <c r="G12384" t="str">
        <f>"FABIANO QUIRINO FERREIRA (1050)"</f>
        <v>FABIANO QUIRINO FERREIRA (1050)</v>
      </c>
      <c r="H12384" t="s">
        <v>3354</v>
      </c>
      <c r="I12384" t="str">
        <f t="shared" si="2388"/>
        <v>20/11/2025</v>
      </c>
      <c r="J12384" t="str">
        <f t="shared" si="2391"/>
        <v>19/11/2025</v>
      </c>
      <c r="K12384">
        <v>45982</v>
      </c>
      <c r="N12384">
        <v>109</v>
      </c>
      <c r="O12384" t="s">
        <v>24</v>
      </c>
      <c r="Q12384">
        <v>230</v>
      </c>
      <c r="R12384" t="str">
        <f>"DROGALIDER 55 (10249)"</f>
        <v>DROGALIDER 55 (10249)</v>
      </c>
      <c r="S12384" t="s">
        <v>77</v>
      </c>
      <c r="T12384">
        <v>21571</v>
      </c>
      <c r="U12384">
        <v>25866</v>
      </c>
      <c r="V12384" t="s">
        <v>77</v>
      </c>
    </row>
    <row r="12385" spans="1:22">
      <c r="A12385" t="str">
        <f t="shared" si="2386"/>
        <v>21/11/2025</v>
      </c>
      <c r="B12385" t="str">
        <f t="shared" si="2385"/>
        <v>SAÍDA</v>
      </c>
      <c r="C12385" t="str">
        <f t="shared" si="2387"/>
        <v>PIX</v>
      </c>
      <c r="D12385" t="str">
        <f t="shared" ref="D12385:D12390" si="2393">"25868"</f>
        <v>25868</v>
      </c>
      <c r="E12385" t="str">
        <f t="shared" si="2392"/>
        <v>1</v>
      </c>
      <c r="F12385" t="str">
        <f t="shared" si="2384"/>
        <v>COM</v>
      </c>
      <c r="G12385" t="str">
        <f t="shared" ref="G12385:G12390" si="2394">"LUCIANA BEATRIZ MARQUES DAVI (1043)"</f>
        <v>LUCIANA BEATRIZ MARQUES DAVI (1043)</v>
      </c>
      <c r="H12385" t="str">
        <f>"Serv.Prest. 10/11/2025 a 16/11/2025 - PIX: CELULAR - CHAVE: (34) 99889-9792"</f>
        <v>Serv.Prest. 10/11/2025 a 16/11/2025 - PIX: CELULAR - CHAVE: (34) 99889-9792</v>
      </c>
      <c r="I12385" t="str">
        <f t="shared" si="2388"/>
        <v>20/11/2025</v>
      </c>
      <c r="J12385" t="str">
        <f t="shared" si="2391"/>
        <v>19/11/2025</v>
      </c>
      <c r="K12385" t="str">
        <f>("21/11/2025")</f>
        <v>21/11/2025</v>
      </c>
      <c r="L12385">
        <v>700</v>
      </c>
      <c r="M12385">
        <v>700</v>
      </c>
      <c r="N12385">
        <v>109</v>
      </c>
      <c r="O12385" t="str">
        <f>"PAGAMENTO DE ENTREGADORES"</f>
        <v>PAGAMENTO DE ENTREGADORES</v>
      </c>
      <c r="P12385">
        <v>700</v>
      </c>
      <c r="S12385" t="str">
        <f>"BANCO C6 (149)"</f>
        <v>BANCO C6 (149)</v>
      </c>
      <c r="T12385">
        <v>21572</v>
      </c>
      <c r="U12385">
        <v>25868</v>
      </c>
      <c r="V12385" t="s">
        <v>77</v>
      </c>
    </row>
    <row r="12386" spans="1:22">
      <c r="A12386" t="str">
        <f t="shared" si="2386"/>
        <v>21/11/2025</v>
      </c>
      <c r="B12386" t="str">
        <f t="shared" si="2385"/>
        <v>SAÍDA</v>
      </c>
      <c r="C12386" t="str">
        <f t="shared" si="2387"/>
        <v>PIX</v>
      </c>
      <c r="D12386" t="str">
        <f t="shared" si="2393"/>
        <v>25868</v>
      </c>
      <c r="E12386" t="str">
        <f t="shared" si="2392"/>
        <v>1</v>
      </c>
      <c r="F12386" t="str">
        <f t="shared" si="2384"/>
        <v>COM</v>
      </c>
      <c r="G12386" t="str">
        <f t="shared" si="2394"/>
        <v>LUCIANA BEATRIZ MARQUES DAVI (1043)</v>
      </c>
      <c r="H12386" t="s">
        <v>3355</v>
      </c>
      <c r="I12386" t="str">
        <f t="shared" si="2388"/>
        <v>20/11/2025</v>
      </c>
      <c r="J12386" t="str">
        <f t="shared" si="2391"/>
        <v>19/11/2025</v>
      </c>
      <c r="K12386">
        <v>45982</v>
      </c>
      <c r="N12386">
        <v>109</v>
      </c>
      <c r="O12386" t="s">
        <v>24</v>
      </c>
      <c r="Q12386">
        <v>40.39</v>
      </c>
      <c r="R12386" t="str">
        <f>"DROGALIDER 42 (10247)"</f>
        <v>DROGALIDER 42 (10247)</v>
      </c>
      <c r="S12386" t="s">
        <v>77</v>
      </c>
      <c r="T12386">
        <v>21572</v>
      </c>
      <c r="U12386">
        <v>25868</v>
      </c>
      <c r="V12386" t="s">
        <v>77</v>
      </c>
    </row>
    <row r="12387" spans="1:22">
      <c r="A12387" t="str">
        <f t="shared" si="2386"/>
        <v>21/11/2025</v>
      </c>
      <c r="B12387" t="str">
        <f t="shared" si="2385"/>
        <v>SAÍDA</v>
      </c>
      <c r="C12387" t="str">
        <f t="shared" si="2387"/>
        <v>PIX</v>
      </c>
      <c r="D12387" t="str">
        <f t="shared" si="2393"/>
        <v>25868</v>
      </c>
      <c r="E12387" t="str">
        <f t="shared" si="2392"/>
        <v>1</v>
      </c>
      <c r="F12387" t="str">
        <f t="shared" si="2384"/>
        <v>COM</v>
      </c>
      <c r="G12387" t="str">
        <f t="shared" si="2394"/>
        <v>LUCIANA BEATRIZ MARQUES DAVI (1043)</v>
      </c>
      <c r="H12387" t="s">
        <v>3355</v>
      </c>
      <c r="I12387" t="str">
        <f t="shared" si="2388"/>
        <v>20/11/2025</v>
      </c>
      <c r="J12387" t="str">
        <f t="shared" si="2391"/>
        <v>19/11/2025</v>
      </c>
      <c r="K12387">
        <v>45982</v>
      </c>
      <c r="N12387">
        <v>109</v>
      </c>
      <c r="O12387" t="s">
        <v>24</v>
      </c>
      <c r="Q12387">
        <v>100.94</v>
      </c>
      <c r="R12387" t="str">
        <f>"DROGALIDER 55 (10249)"</f>
        <v>DROGALIDER 55 (10249)</v>
      </c>
      <c r="S12387" t="s">
        <v>77</v>
      </c>
      <c r="T12387">
        <v>21572</v>
      </c>
      <c r="U12387">
        <v>25868</v>
      </c>
      <c r="V12387" t="s">
        <v>77</v>
      </c>
    </row>
    <row r="12388" spans="1:22">
      <c r="A12388" t="str">
        <f t="shared" si="2386"/>
        <v>21/11/2025</v>
      </c>
      <c r="B12388" t="str">
        <f t="shared" si="2385"/>
        <v>SAÍDA</v>
      </c>
      <c r="C12388" t="str">
        <f t="shared" si="2387"/>
        <v>PIX</v>
      </c>
      <c r="D12388" t="str">
        <f t="shared" si="2393"/>
        <v>25868</v>
      </c>
      <c r="E12388" t="str">
        <f t="shared" si="2392"/>
        <v>1</v>
      </c>
      <c r="F12388" t="str">
        <f t="shared" si="2384"/>
        <v>COM</v>
      </c>
      <c r="G12388" t="str">
        <f t="shared" si="2394"/>
        <v>LUCIANA BEATRIZ MARQUES DAVI (1043)</v>
      </c>
      <c r="H12388" t="s">
        <v>3355</v>
      </c>
      <c r="I12388" t="str">
        <f t="shared" si="2388"/>
        <v>20/11/2025</v>
      </c>
      <c r="J12388" t="str">
        <f t="shared" si="2391"/>
        <v>19/11/2025</v>
      </c>
      <c r="K12388">
        <v>45982</v>
      </c>
      <c r="N12388">
        <v>109</v>
      </c>
      <c r="O12388" t="s">
        <v>24</v>
      </c>
      <c r="Q12388">
        <v>249.06</v>
      </c>
      <c r="R12388" t="str">
        <f>"DROGALIDER 67 (10252)"</f>
        <v>DROGALIDER 67 (10252)</v>
      </c>
      <c r="S12388" t="s">
        <v>77</v>
      </c>
      <c r="T12388">
        <v>21572</v>
      </c>
      <c r="U12388">
        <v>25868</v>
      </c>
      <c r="V12388" t="s">
        <v>77</v>
      </c>
    </row>
    <row r="12389" spans="1:22">
      <c r="A12389" t="str">
        <f t="shared" si="2386"/>
        <v>21/11/2025</v>
      </c>
      <c r="B12389" t="str">
        <f t="shared" si="2385"/>
        <v>SAÍDA</v>
      </c>
      <c r="C12389" t="str">
        <f t="shared" si="2387"/>
        <v>PIX</v>
      </c>
      <c r="D12389" t="str">
        <f t="shared" si="2393"/>
        <v>25868</v>
      </c>
      <c r="E12389" t="str">
        <f t="shared" si="2392"/>
        <v>1</v>
      </c>
      <c r="F12389" t="str">
        <f t="shared" si="2384"/>
        <v>COM</v>
      </c>
      <c r="G12389" t="str">
        <f t="shared" si="2394"/>
        <v>LUCIANA BEATRIZ MARQUES DAVI (1043)</v>
      </c>
      <c r="H12389" t="s">
        <v>3355</v>
      </c>
      <c r="I12389" t="str">
        <f t="shared" si="2388"/>
        <v>20/11/2025</v>
      </c>
      <c r="J12389" t="str">
        <f t="shared" si="2391"/>
        <v>19/11/2025</v>
      </c>
      <c r="K12389">
        <v>45982</v>
      </c>
      <c r="N12389">
        <v>109</v>
      </c>
      <c r="O12389" t="s">
        <v>24</v>
      </c>
      <c r="Q12389">
        <v>33.67</v>
      </c>
      <c r="R12389" t="str">
        <f>"DROGALIDER 68 (10253)"</f>
        <v>DROGALIDER 68 (10253)</v>
      </c>
      <c r="S12389" t="s">
        <v>77</v>
      </c>
      <c r="T12389">
        <v>21572</v>
      </c>
      <c r="U12389">
        <v>25868</v>
      </c>
      <c r="V12389" t="s">
        <v>77</v>
      </c>
    </row>
    <row r="12390" spans="1:22">
      <c r="A12390" t="str">
        <f t="shared" si="2386"/>
        <v>21/11/2025</v>
      </c>
      <c r="B12390" t="str">
        <f t="shared" si="2385"/>
        <v>SAÍDA</v>
      </c>
      <c r="C12390" t="str">
        <f t="shared" si="2387"/>
        <v>PIX</v>
      </c>
      <c r="D12390" t="str">
        <f t="shared" si="2393"/>
        <v>25868</v>
      </c>
      <c r="E12390" t="str">
        <f t="shared" si="2392"/>
        <v>1</v>
      </c>
      <c r="F12390" t="str">
        <f t="shared" si="2384"/>
        <v>COM</v>
      </c>
      <c r="G12390" t="str">
        <f t="shared" si="2394"/>
        <v>LUCIANA BEATRIZ MARQUES DAVI (1043)</v>
      </c>
      <c r="H12390" t="s">
        <v>3355</v>
      </c>
      <c r="I12390" t="str">
        <f t="shared" si="2388"/>
        <v>20/11/2025</v>
      </c>
      <c r="J12390" t="str">
        <f t="shared" si="2391"/>
        <v>19/11/2025</v>
      </c>
      <c r="K12390">
        <v>45982</v>
      </c>
      <c r="N12390">
        <v>109</v>
      </c>
      <c r="O12390" t="s">
        <v>24</v>
      </c>
      <c r="Q12390">
        <v>275.94</v>
      </c>
      <c r="R12390" t="str">
        <f>"DROGALIDER 31 (10256)"</f>
        <v>DROGALIDER 31 (10256)</v>
      </c>
      <c r="S12390" t="s">
        <v>77</v>
      </c>
      <c r="T12390">
        <v>21572</v>
      </c>
      <c r="U12390">
        <v>25868</v>
      </c>
      <c r="V12390" t="s">
        <v>77</v>
      </c>
    </row>
    <row r="12391" spans="1:22">
      <c r="A12391" t="str">
        <f t="shared" si="2386"/>
        <v>21/11/2025</v>
      </c>
      <c r="B12391" t="str">
        <f t="shared" si="2385"/>
        <v>SAÍDA</v>
      </c>
      <c r="C12391" t="str">
        <f t="shared" si="2387"/>
        <v>PIX</v>
      </c>
      <c r="D12391" t="str">
        <f t="shared" ref="D12391:D12396" si="2395">"25869"</f>
        <v>25869</v>
      </c>
      <c r="E12391" t="str">
        <f t="shared" si="2392"/>
        <v>1</v>
      </c>
      <c r="F12391" t="str">
        <f t="shared" si="2384"/>
        <v>COM</v>
      </c>
      <c r="G12391" t="str">
        <f t="shared" ref="G12391:G12396" si="2396">"MAIKI FRANCISCO XAVIER (1078)"</f>
        <v>MAIKI FRANCISCO XAVIER (1078)</v>
      </c>
      <c r="H12391" t="str">
        <f>"Serv.Prest. 10/11/2025 a 16/11/2025 - PIX: CPF - CHAVE: 384.490.518-94"</f>
        <v>Serv.Prest. 10/11/2025 a 16/11/2025 - PIX: CPF - CHAVE: 384.490.518-94</v>
      </c>
      <c r="I12391" t="str">
        <f t="shared" si="2388"/>
        <v>20/11/2025</v>
      </c>
      <c r="J12391" t="str">
        <f t="shared" si="2391"/>
        <v>19/11/2025</v>
      </c>
      <c r="K12391" t="str">
        <f>("21/11/2025")</f>
        <v>21/11/2025</v>
      </c>
      <c r="L12391">
        <v>575</v>
      </c>
      <c r="M12391">
        <v>575</v>
      </c>
      <c r="N12391">
        <v>109</v>
      </c>
      <c r="O12391" t="str">
        <f>"PAGAMENTO DE ENTREGADORES"</f>
        <v>PAGAMENTO DE ENTREGADORES</v>
      </c>
      <c r="P12391">
        <v>575</v>
      </c>
      <c r="S12391" t="str">
        <f>"BANCO C6 (149)"</f>
        <v>BANCO C6 (149)</v>
      </c>
      <c r="T12391">
        <v>21573</v>
      </c>
      <c r="U12391">
        <v>25869</v>
      </c>
      <c r="V12391" t="s">
        <v>77</v>
      </c>
    </row>
    <row r="12392" spans="1:22">
      <c r="A12392" t="str">
        <f t="shared" si="2386"/>
        <v>21/11/2025</v>
      </c>
      <c r="B12392" t="str">
        <f t="shared" si="2385"/>
        <v>SAÍDA</v>
      </c>
      <c r="C12392" t="str">
        <f t="shared" si="2387"/>
        <v>PIX</v>
      </c>
      <c r="D12392" t="str">
        <f t="shared" si="2395"/>
        <v>25869</v>
      </c>
      <c r="E12392" t="str">
        <f t="shared" si="2392"/>
        <v>1</v>
      </c>
      <c r="F12392" t="str">
        <f t="shared" si="2384"/>
        <v>COM</v>
      </c>
      <c r="G12392" t="str">
        <f t="shared" si="2396"/>
        <v>MAIKI FRANCISCO XAVIER (1078)</v>
      </c>
      <c r="H12392" t="s">
        <v>3356</v>
      </c>
      <c r="I12392" t="str">
        <f t="shared" si="2388"/>
        <v>20/11/2025</v>
      </c>
      <c r="J12392" t="str">
        <f t="shared" si="2391"/>
        <v>19/11/2025</v>
      </c>
      <c r="K12392">
        <v>45982</v>
      </c>
      <c r="N12392">
        <v>109</v>
      </c>
      <c r="O12392" t="s">
        <v>24</v>
      </c>
      <c r="Q12392">
        <v>27.36</v>
      </c>
      <c r="R12392" t="str">
        <f>"DROGALIDER 42 (10247)"</f>
        <v>DROGALIDER 42 (10247)</v>
      </c>
      <c r="S12392" t="s">
        <v>77</v>
      </c>
      <c r="T12392">
        <v>21573</v>
      </c>
      <c r="U12392">
        <v>25869</v>
      </c>
      <c r="V12392" t="s">
        <v>77</v>
      </c>
    </row>
    <row r="12393" spans="1:22">
      <c r="A12393" t="str">
        <f t="shared" si="2386"/>
        <v>21/11/2025</v>
      </c>
      <c r="B12393" t="str">
        <f t="shared" si="2385"/>
        <v>SAÍDA</v>
      </c>
      <c r="C12393" t="str">
        <f t="shared" si="2387"/>
        <v>PIX</v>
      </c>
      <c r="D12393" t="str">
        <f t="shared" si="2395"/>
        <v>25869</v>
      </c>
      <c r="E12393" t="str">
        <f t="shared" si="2392"/>
        <v>1</v>
      </c>
      <c r="F12393" t="str">
        <f t="shared" si="2384"/>
        <v>COM</v>
      </c>
      <c r="G12393" t="str">
        <f t="shared" si="2396"/>
        <v>MAIKI FRANCISCO XAVIER (1078)</v>
      </c>
      <c r="H12393" t="s">
        <v>3356</v>
      </c>
      <c r="I12393" t="str">
        <f t="shared" si="2388"/>
        <v>20/11/2025</v>
      </c>
      <c r="J12393" t="str">
        <f t="shared" si="2391"/>
        <v>19/11/2025</v>
      </c>
      <c r="K12393">
        <v>45982</v>
      </c>
      <c r="N12393">
        <v>109</v>
      </c>
      <c r="O12393" t="s">
        <v>24</v>
      </c>
      <c r="Q12393">
        <v>153.35</v>
      </c>
      <c r="R12393" t="str">
        <f>"DROGALIDER 55 (10249)"</f>
        <v>DROGALIDER 55 (10249)</v>
      </c>
      <c r="S12393" t="s">
        <v>77</v>
      </c>
      <c r="T12393">
        <v>21573</v>
      </c>
      <c r="U12393">
        <v>25869</v>
      </c>
      <c r="V12393" t="s">
        <v>77</v>
      </c>
    </row>
    <row r="12394" spans="1:22">
      <c r="A12394" t="str">
        <f t="shared" si="2386"/>
        <v>21/11/2025</v>
      </c>
      <c r="B12394" t="str">
        <f t="shared" si="2385"/>
        <v>SAÍDA</v>
      </c>
      <c r="C12394" t="str">
        <f t="shared" si="2387"/>
        <v>PIX</v>
      </c>
      <c r="D12394" t="str">
        <f t="shared" si="2395"/>
        <v>25869</v>
      </c>
      <c r="E12394" t="str">
        <f t="shared" si="2392"/>
        <v>1</v>
      </c>
      <c r="F12394" t="str">
        <f t="shared" si="2384"/>
        <v>COM</v>
      </c>
      <c r="G12394" t="str">
        <f t="shared" si="2396"/>
        <v>MAIKI FRANCISCO XAVIER (1078)</v>
      </c>
      <c r="H12394" t="s">
        <v>3356</v>
      </c>
      <c r="I12394" t="str">
        <f t="shared" si="2388"/>
        <v>20/11/2025</v>
      </c>
      <c r="J12394" t="str">
        <f t="shared" si="2391"/>
        <v>19/11/2025</v>
      </c>
      <c r="K12394">
        <v>45982</v>
      </c>
      <c r="N12394">
        <v>109</v>
      </c>
      <c r="O12394" t="s">
        <v>24</v>
      </c>
      <c r="Q12394">
        <v>98.56</v>
      </c>
      <c r="R12394" t="str">
        <f>"DROGALIDER 67 (10252)"</f>
        <v>DROGALIDER 67 (10252)</v>
      </c>
      <c r="S12394" t="s">
        <v>77</v>
      </c>
      <c r="T12394">
        <v>21573</v>
      </c>
      <c r="U12394">
        <v>25869</v>
      </c>
      <c r="V12394" t="s">
        <v>77</v>
      </c>
    </row>
    <row r="12395" spans="1:22">
      <c r="A12395" t="str">
        <f t="shared" si="2386"/>
        <v>21/11/2025</v>
      </c>
      <c r="B12395" t="str">
        <f t="shared" si="2385"/>
        <v>SAÍDA</v>
      </c>
      <c r="C12395" t="str">
        <f t="shared" si="2387"/>
        <v>PIX</v>
      </c>
      <c r="D12395" t="str">
        <f t="shared" si="2395"/>
        <v>25869</v>
      </c>
      <c r="E12395" t="str">
        <f t="shared" si="2392"/>
        <v>1</v>
      </c>
      <c r="F12395" t="str">
        <f t="shared" si="2384"/>
        <v>COM</v>
      </c>
      <c r="G12395" t="str">
        <f t="shared" si="2396"/>
        <v>MAIKI FRANCISCO XAVIER (1078)</v>
      </c>
      <c r="H12395" t="s">
        <v>3356</v>
      </c>
      <c r="I12395" t="str">
        <f t="shared" si="2388"/>
        <v>20/11/2025</v>
      </c>
      <c r="J12395" t="str">
        <f t="shared" si="2391"/>
        <v>19/11/2025</v>
      </c>
      <c r="K12395">
        <v>45982</v>
      </c>
      <c r="N12395">
        <v>109</v>
      </c>
      <c r="O12395" t="s">
        <v>24</v>
      </c>
      <c r="Q12395">
        <v>49.28</v>
      </c>
      <c r="R12395" t="str">
        <f>"DROGALIDER 68 (10253)"</f>
        <v>DROGALIDER 68 (10253)</v>
      </c>
      <c r="S12395" t="s">
        <v>77</v>
      </c>
      <c r="T12395">
        <v>21573</v>
      </c>
      <c r="U12395">
        <v>25869</v>
      </c>
      <c r="V12395" t="s">
        <v>77</v>
      </c>
    </row>
    <row r="12396" spans="1:22">
      <c r="A12396" t="str">
        <f t="shared" si="2386"/>
        <v>21/11/2025</v>
      </c>
      <c r="B12396" t="str">
        <f t="shared" si="2385"/>
        <v>SAÍDA</v>
      </c>
      <c r="C12396" t="str">
        <f t="shared" si="2387"/>
        <v>PIX</v>
      </c>
      <c r="D12396" t="str">
        <f t="shared" si="2395"/>
        <v>25869</v>
      </c>
      <c r="E12396" t="str">
        <f t="shared" si="2392"/>
        <v>1</v>
      </c>
      <c r="F12396" t="str">
        <f t="shared" si="2384"/>
        <v>COM</v>
      </c>
      <c r="G12396" t="str">
        <f t="shared" si="2396"/>
        <v>MAIKI FRANCISCO XAVIER (1078)</v>
      </c>
      <c r="H12396" t="s">
        <v>3356</v>
      </c>
      <c r="I12396" t="str">
        <f t="shared" si="2388"/>
        <v>20/11/2025</v>
      </c>
      <c r="J12396" t="str">
        <f t="shared" si="2391"/>
        <v>19/11/2025</v>
      </c>
      <c r="K12396">
        <v>45982</v>
      </c>
      <c r="N12396">
        <v>109</v>
      </c>
      <c r="O12396" t="s">
        <v>24</v>
      </c>
      <c r="Q12396">
        <v>246.45</v>
      </c>
      <c r="R12396" t="str">
        <f>"DROGALIDER 31 (10256)"</f>
        <v>DROGALIDER 31 (10256)</v>
      </c>
      <c r="S12396" t="s">
        <v>77</v>
      </c>
      <c r="T12396">
        <v>21573</v>
      </c>
      <c r="U12396">
        <v>25869</v>
      </c>
      <c r="V12396" t="s">
        <v>77</v>
      </c>
    </row>
    <row r="12397" spans="1:22">
      <c r="A12397" t="str">
        <f t="shared" si="2386"/>
        <v>21/11/2025</v>
      </c>
      <c r="B12397" t="str">
        <f t="shared" si="2385"/>
        <v>SAÍDA</v>
      </c>
      <c r="C12397" t="str">
        <f t="shared" si="2387"/>
        <v>PIX</v>
      </c>
      <c r="D12397" t="str">
        <f>"25870"</f>
        <v>25870</v>
      </c>
      <c r="E12397" t="str">
        <f t="shared" si="2392"/>
        <v>1</v>
      </c>
      <c r="F12397" t="str">
        <f t="shared" si="2384"/>
        <v>COM</v>
      </c>
      <c r="G12397" t="str">
        <f>"MATHEUS AMORIM PEREIRA (1013)"</f>
        <v>MATHEUS AMORIM PEREIRA (1013)</v>
      </c>
      <c r="H12397" t="str">
        <f>"Serv.Prest. 10/11/2025 a 16/11/2025 - PIX: CELULAR - CHAVE: (34) 99178-2263"</f>
        <v>Serv.Prest. 10/11/2025 a 16/11/2025 - PIX: CELULAR - CHAVE: (34) 99178-2263</v>
      </c>
      <c r="I12397" t="str">
        <f t="shared" si="2388"/>
        <v>20/11/2025</v>
      </c>
      <c r="J12397" t="str">
        <f t="shared" si="2391"/>
        <v>19/11/2025</v>
      </c>
      <c r="K12397" t="str">
        <f>("21/11/2025")</f>
        <v>21/11/2025</v>
      </c>
      <c r="L12397">
        <v>115</v>
      </c>
      <c r="M12397">
        <v>115</v>
      </c>
      <c r="N12397">
        <v>109</v>
      </c>
      <c r="O12397" t="str">
        <f>"PAGAMENTO DE ENTREGADORES"</f>
        <v>PAGAMENTO DE ENTREGADORES</v>
      </c>
      <c r="P12397">
        <v>115</v>
      </c>
      <c r="S12397" t="str">
        <f>"BANCO C6 (149)"</f>
        <v>BANCO C6 (149)</v>
      </c>
      <c r="T12397">
        <v>21574</v>
      </c>
      <c r="U12397">
        <v>25870</v>
      </c>
      <c r="V12397" t="s">
        <v>77</v>
      </c>
    </row>
    <row r="12398" spans="1:22">
      <c r="A12398" t="str">
        <f t="shared" si="2386"/>
        <v>21/11/2025</v>
      </c>
      <c r="B12398" t="str">
        <f t="shared" si="2385"/>
        <v>SAÍDA</v>
      </c>
      <c r="C12398" t="str">
        <f t="shared" si="2387"/>
        <v>PIX</v>
      </c>
      <c r="D12398" t="str">
        <f>"25870"</f>
        <v>25870</v>
      </c>
      <c r="E12398" t="str">
        <f t="shared" si="2392"/>
        <v>1</v>
      </c>
      <c r="F12398" t="str">
        <f t="shared" si="2384"/>
        <v>COM</v>
      </c>
      <c r="G12398" t="str">
        <f>"MATHEUS AMORIM PEREIRA (1013)"</f>
        <v>MATHEUS AMORIM PEREIRA (1013)</v>
      </c>
      <c r="H12398" t="s">
        <v>3357</v>
      </c>
      <c r="I12398" t="str">
        <f t="shared" si="2388"/>
        <v>20/11/2025</v>
      </c>
      <c r="J12398" t="str">
        <f t="shared" si="2391"/>
        <v>19/11/2025</v>
      </c>
      <c r="K12398">
        <v>45982</v>
      </c>
      <c r="N12398">
        <v>109</v>
      </c>
      <c r="O12398" t="s">
        <v>24</v>
      </c>
      <c r="Q12398">
        <v>115</v>
      </c>
      <c r="R12398" t="str">
        <f>"DROGALIDER 55 (10249)"</f>
        <v>DROGALIDER 55 (10249)</v>
      </c>
      <c r="S12398" t="s">
        <v>77</v>
      </c>
      <c r="T12398">
        <v>21574</v>
      </c>
      <c r="U12398">
        <v>25870</v>
      </c>
      <c r="V12398" t="s">
        <v>77</v>
      </c>
    </row>
    <row r="12399" spans="1:22">
      <c r="A12399" t="str">
        <f t="shared" si="2386"/>
        <v>21/11/2025</v>
      </c>
      <c r="B12399" t="str">
        <f t="shared" si="2385"/>
        <v>SAÍDA</v>
      </c>
      <c r="C12399" t="str">
        <f t="shared" si="2387"/>
        <v>PIX</v>
      </c>
      <c r="D12399" t="str">
        <f>"25873"</f>
        <v>25873</v>
      </c>
      <c r="E12399" t="str">
        <f t="shared" si="2392"/>
        <v>1</v>
      </c>
      <c r="F12399" t="str">
        <f t="shared" si="2384"/>
        <v>COM</v>
      </c>
      <c r="G12399" t="str">
        <f>"JOSÉ HENRIQUE RODRIGUES (430)"</f>
        <v>JOSÉ HENRIQUE RODRIGUES (430)</v>
      </c>
      <c r="H12399" t="str">
        <f>"Serv.Prest. 10/11/2025 a 16/11/2025 - PIX: CPF - CHAVE: 100.826.516-04"</f>
        <v>Serv.Prest. 10/11/2025 a 16/11/2025 - PIX: CPF - CHAVE: 100.826.516-04</v>
      </c>
      <c r="I12399" t="str">
        <f t="shared" si="2388"/>
        <v>20/11/2025</v>
      </c>
      <c r="J12399" t="str">
        <f t="shared" si="2391"/>
        <v>19/11/2025</v>
      </c>
      <c r="K12399" t="str">
        <f>("21/11/2025")</f>
        <v>21/11/2025</v>
      </c>
      <c r="L12399">
        <v>216</v>
      </c>
      <c r="M12399">
        <v>216</v>
      </c>
      <c r="N12399">
        <v>109</v>
      </c>
      <c r="O12399" t="str">
        <f>"PAGAMENTO DE ENTREGADORES"</f>
        <v>PAGAMENTO DE ENTREGADORES</v>
      </c>
      <c r="P12399">
        <v>216</v>
      </c>
      <c r="S12399" t="str">
        <f>"BANCO C6 (149)"</f>
        <v>BANCO C6 (149)</v>
      </c>
      <c r="T12399">
        <v>21575</v>
      </c>
      <c r="U12399">
        <v>25873</v>
      </c>
      <c r="V12399" t="s">
        <v>77</v>
      </c>
    </row>
    <row r="12400" spans="1:22">
      <c r="A12400" t="str">
        <f t="shared" si="2386"/>
        <v>21/11/2025</v>
      </c>
      <c r="B12400" t="str">
        <f t="shared" si="2385"/>
        <v>SAÍDA</v>
      </c>
      <c r="C12400" t="str">
        <f t="shared" si="2387"/>
        <v>PIX</v>
      </c>
      <c r="D12400" t="str">
        <f>"25873"</f>
        <v>25873</v>
      </c>
      <c r="E12400" t="str">
        <f t="shared" si="2392"/>
        <v>1</v>
      </c>
      <c r="F12400" t="str">
        <f t="shared" si="2384"/>
        <v>COM</v>
      </c>
      <c r="G12400" t="str">
        <f>"JOSÉ HENRIQUE RODRIGUES (430)"</f>
        <v>JOSÉ HENRIQUE RODRIGUES (430)</v>
      </c>
      <c r="H12400" t="s">
        <v>3309</v>
      </c>
      <c r="I12400" t="str">
        <f t="shared" si="2388"/>
        <v>20/11/2025</v>
      </c>
      <c r="J12400" t="str">
        <f t="shared" si="2391"/>
        <v>19/11/2025</v>
      </c>
      <c r="K12400">
        <v>45982</v>
      </c>
      <c r="N12400">
        <v>109</v>
      </c>
      <c r="O12400" t="s">
        <v>24</v>
      </c>
      <c r="Q12400">
        <v>138</v>
      </c>
      <c r="R12400" t="str">
        <f>"ULTRA POPULAR  UBA 2 (10214)"</f>
        <v>ULTRA POPULAR  UBA 2 (10214)</v>
      </c>
      <c r="S12400" t="s">
        <v>77</v>
      </c>
      <c r="T12400">
        <v>21575</v>
      </c>
      <c r="U12400">
        <v>25873</v>
      </c>
      <c r="V12400" t="s">
        <v>77</v>
      </c>
    </row>
    <row r="12401" spans="1:22">
      <c r="A12401" t="str">
        <f t="shared" si="2386"/>
        <v>21/11/2025</v>
      </c>
      <c r="B12401" t="str">
        <f t="shared" si="2385"/>
        <v>SAÍDA</v>
      </c>
      <c r="C12401" t="str">
        <f t="shared" si="2387"/>
        <v>PIX</v>
      </c>
      <c r="D12401" t="str">
        <f>"25873"</f>
        <v>25873</v>
      </c>
      <c r="E12401" t="str">
        <f t="shared" si="2392"/>
        <v>1</v>
      </c>
      <c r="F12401" t="str">
        <f t="shared" si="2384"/>
        <v>COM</v>
      </c>
      <c r="G12401" t="str">
        <f>"JOSÉ HENRIQUE RODRIGUES (430)"</f>
        <v>JOSÉ HENRIQUE RODRIGUES (430)</v>
      </c>
      <c r="H12401" t="s">
        <v>3309</v>
      </c>
      <c r="I12401" t="str">
        <f t="shared" si="2388"/>
        <v>20/11/2025</v>
      </c>
      <c r="J12401" t="str">
        <f t="shared" si="2391"/>
        <v>19/11/2025</v>
      </c>
      <c r="K12401">
        <v>45982</v>
      </c>
      <c r="N12401">
        <v>109</v>
      </c>
      <c r="O12401" t="s">
        <v>24</v>
      </c>
      <c r="Q12401">
        <v>78</v>
      </c>
      <c r="R12401" t="str">
        <f>"UBA 1 (10263)"</f>
        <v>UBA 1 (10263)</v>
      </c>
      <c r="S12401" t="s">
        <v>77</v>
      </c>
      <c r="T12401">
        <v>21575</v>
      </c>
      <c r="U12401">
        <v>25873</v>
      </c>
      <c r="V12401" t="s">
        <v>77</v>
      </c>
    </row>
    <row r="12402" spans="1:22">
      <c r="A12402" t="str">
        <f t="shared" si="2386"/>
        <v>21/11/2025</v>
      </c>
      <c r="B12402" t="str">
        <f t="shared" si="2385"/>
        <v>SAÍDA</v>
      </c>
      <c r="C12402" t="str">
        <f t="shared" si="2387"/>
        <v>PIX</v>
      </c>
      <c r="D12402" t="str">
        <f>"25874"</f>
        <v>25874</v>
      </c>
      <c r="E12402" t="str">
        <f t="shared" si="2392"/>
        <v>1</v>
      </c>
      <c r="F12402" t="str">
        <f t="shared" si="2384"/>
        <v>COM</v>
      </c>
      <c r="G12402" t="str">
        <f>"TALES SILVA MARIANO (431)"</f>
        <v>TALES SILVA MARIANO (431)</v>
      </c>
      <c r="H12402" t="str">
        <f>"Serv.Prest. 10/11/2025 a 16/11/2025 - PIX: CPF - CHAVE: 126.686.406-79"</f>
        <v>Serv.Prest. 10/11/2025 a 16/11/2025 - PIX: CPF - CHAVE: 126.686.406-79</v>
      </c>
      <c r="I12402" t="str">
        <f t="shared" si="2388"/>
        <v>20/11/2025</v>
      </c>
      <c r="J12402" t="str">
        <f t="shared" si="2391"/>
        <v>19/11/2025</v>
      </c>
      <c r="K12402" t="str">
        <f>("21/11/2025")</f>
        <v>21/11/2025</v>
      </c>
      <c r="L12402">
        <v>222</v>
      </c>
      <c r="M12402">
        <v>222</v>
      </c>
      <c r="N12402">
        <v>109</v>
      </c>
      <c r="O12402" t="str">
        <f>"PAGAMENTO DE ENTREGADORES"</f>
        <v>PAGAMENTO DE ENTREGADORES</v>
      </c>
      <c r="P12402">
        <v>222</v>
      </c>
      <c r="S12402" t="str">
        <f>"BANCO C6 (149)"</f>
        <v>BANCO C6 (149)</v>
      </c>
      <c r="T12402">
        <v>21576</v>
      </c>
      <c r="U12402">
        <v>25874</v>
      </c>
      <c r="V12402" t="s">
        <v>77</v>
      </c>
    </row>
    <row r="12403" spans="1:22">
      <c r="A12403" t="str">
        <f t="shared" si="2386"/>
        <v>21/11/2025</v>
      </c>
      <c r="B12403" t="str">
        <f t="shared" si="2385"/>
        <v>SAÍDA</v>
      </c>
      <c r="C12403" t="str">
        <f t="shared" si="2387"/>
        <v>PIX</v>
      </c>
      <c r="D12403" t="str">
        <f>"25874"</f>
        <v>25874</v>
      </c>
      <c r="E12403" t="str">
        <f t="shared" si="2392"/>
        <v>1</v>
      </c>
      <c r="F12403" t="str">
        <f t="shared" si="2384"/>
        <v>COM</v>
      </c>
      <c r="G12403" t="str">
        <f>"TALES SILVA MARIANO (431)"</f>
        <v>TALES SILVA MARIANO (431)</v>
      </c>
      <c r="H12403" t="s">
        <v>3310</v>
      </c>
      <c r="I12403" t="str">
        <f t="shared" si="2388"/>
        <v>20/11/2025</v>
      </c>
      <c r="J12403" t="str">
        <f t="shared" si="2391"/>
        <v>19/11/2025</v>
      </c>
      <c r="K12403">
        <v>45982</v>
      </c>
      <c r="N12403">
        <v>109</v>
      </c>
      <c r="O12403" t="s">
        <v>24</v>
      </c>
      <c r="Q12403">
        <v>192.01</v>
      </c>
      <c r="R12403" t="str">
        <f>"ULTRA POPULAR  UBA 2 (10214)"</f>
        <v>ULTRA POPULAR  UBA 2 (10214)</v>
      </c>
      <c r="S12403" t="s">
        <v>77</v>
      </c>
      <c r="T12403">
        <v>21576</v>
      </c>
      <c r="U12403">
        <v>25874</v>
      </c>
      <c r="V12403" t="s">
        <v>77</v>
      </c>
    </row>
    <row r="12404" spans="1:22">
      <c r="A12404" t="str">
        <f t="shared" si="2386"/>
        <v>21/11/2025</v>
      </c>
      <c r="B12404" t="str">
        <f t="shared" si="2385"/>
        <v>SAÍDA</v>
      </c>
      <c r="C12404" t="str">
        <f t="shared" si="2387"/>
        <v>PIX</v>
      </c>
      <c r="D12404" t="str">
        <f>"25874"</f>
        <v>25874</v>
      </c>
      <c r="E12404" t="str">
        <f t="shared" si="2392"/>
        <v>1</v>
      </c>
      <c r="F12404" t="str">
        <f t="shared" si="2384"/>
        <v>COM</v>
      </c>
      <c r="G12404" t="str">
        <f>"TALES SILVA MARIANO (431)"</f>
        <v>TALES SILVA MARIANO (431)</v>
      </c>
      <c r="H12404" t="s">
        <v>3310</v>
      </c>
      <c r="I12404" t="str">
        <f t="shared" si="2388"/>
        <v>20/11/2025</v>
      </c>
      <c r="J12404" t="str">
        <f t="shared" si="2391"/>
        <v>19/11/2025</v>
      </c>
      <c r="K12404">
        <v>45982</v>
      </c>
      <c r="N12404">
        <v>109</v>
      </c>
      <c r="O12404" t="s">
        <v>24</v>
      </c>
      <c r="Q12404">
        <v>29.99</v>
      </c>
      <c r="R12404" t="str">
        <f>"UBA 1 (10263)"</f>
        <v>UBA 1 (10263)</v>
      </c>
      <c r="S12404" t="s">
        <v>77</v>
      </c>
      <c r="T12404">
        <v>21576</v>
      </c>
      <c r="U12404">
        <v>25874</v>
      </c>
      <c r="V12404" t="s">
        <v>77</v>
      </c>
    </row>
    <row r="12405" spans="1:22">
      <c r="A12405" t="str">
        <f t="shared" si="2386"/>
        <v>21/11/2025</v>
      </c>
      <c r="B12405" t="str">
        <f t="shared" si="2385"/>
        <v>SAÍDA</v>
      </c>
      <c r="C12405" t="str">
        <f t="shared" si="2387"/>
        <v>PIX</v>
      </c>
      <c r="D12405" t="str">
        <f>"25722"</f>
        <v>25722</v>
      </c>
      <c r="E12405" t="str">
        <f t="shared" si="2392"/>
        <v>1</v>
      </c>
      <c r="F12405" t="str">
        <f t="shared" si="2384"/>
        <v>COM</v>
      </c>
      <c r="G12405" t="str">
        <f>"JUNIOR DOS SANTOS MACHADO (240)"</f>
        <v>JUNIOR DOS SANTOS MACHADO (240)</v>
      </c>
      <c r="H12405" t="str">
        <f>"Serv.Prest. 10/11/2025 a 16/11/2025 - PIX: CPF - CHAVE: 074.520.456-29"</f>
        <v>Serv.Prest. 10/11/2025 a 16/11/2025 - PIX: CPF - CHAVE: 074.520.456-29</v>
      </c>
      <c r="I12405" t="str">
        <f t="shared" si="2388"/>
        <v>20/11/2025</v>
      </c>
      <c r="J12405" t="str">
        <f>("18/11/2025")</f>
        <v>18/11/2025</v>
      </c>
      <c r="K12405" t="str">
        <f>("21/11/2025")</f>
        <v>21/11/2025</v>
      </c>
      <c r="L12405">
        <v>140</v>
      </c>
      <c r="M12405">
        <v>140</v>
      </c>
      <c r="N12405">
        <v>109</v>
      </c>
      <c r="O12405" t="str">
        <f>"PAGAMENTO DE ENTREGADORES"</f>
        <v>PAGAMENTO DE ENTREGADORES</v>
      </c>
      <c r="P12405">
        <v>140</v>
      </c>
      <c r="S12405" t="str">
        <f>"BANCO C6 (149)"</f>
        <v>BANCO C6 (149)</v>
      </c>
      <c r="T12405">
        <v>21577</v>
      </c>
      <c r="U12405">
        <v>25889</v>
      </c>
      <c r="V12405" t="s">
        <v>77</v>
      </c>
    </row>
    <row r="12406" spans="1:22">
      <c r="A12406" t="str">
        <f t="shared" si="2386"/>
        <v>21/11/2025</v>
      </c>
      <c r="B12406" t="str">
        <f t="shared" si="2385"/>
        <v>SAÍDA</v>
      </c>
      <c r="C12406" t="str">
        <f t="shared" si="2387"/>
        <v>PIX</v>
      </c>
      <c r="D12406" t="str">
        <f>"25722"</f>
        <v>25722</v>
      </c>
      <c r="E12406" t="str">
        <f t="shared" si="2392"/>
        <v>1</v>
      </c>
      <c r="F12406" t="str">
        <f t="shared" si="2384"/>
        <v>COM</v>
      </c>
      <c r="G12406" t="str">
        <f>"JUNIOR DOS SANTOS MACHADO (240)"</f>
        <v>JUNIOR DOS SANTOS MACHADO (240)</v>
      </c>
      <c r="H12406" t="s">
        <v>3358</v>
      </c>
      <c r="I12406" t="str">
        <f t="shared" si="2388"/>
        <v>20/11/2025</v>
      </c>
      <c r="J12406" t="str">
        <f>("18/11/2025")</f>
        <v>18/11/2025</v>
      </c>
      <c r="K12406">
        <v>45982</v>
      </c>
      <c r="N12406">
        <v>109</v>
      </c>
      <c r="O12406" t="s">
        <v>24</v>
      </c>
      <c r="Q12406">
        <v>140</v>
      </c>
      <c r="R12406" t="str">
        <f>"FARMÁCIA INDIANA LJ 62 (10028)"</f>
        <v>FARMÁCIA INDIANA LJ 62 (10028)</v>
      </c>
      <c r="S12406" t="s">
        <v>77</v>
      </c>
      <c r="T12406">
        <v>21577</v>
      </c>
      <c r="U12406">
        <v>25889</v>
      </c>
      <c r="V12406" t="s">
        <v>77</v>
      </c>
    </row>
    <row r="12407" spans="1:22">
      <c r="A12407" t="str">
        <f t="shared" si="2386"/>
        <v>21/11/2025</v>
      </c>
      <c r="B12407" t="str">
        <f t="shared" si="2385"/>
        <v>SAÍDA</v>
      </c>
      <c r="C12407" t="str">
        <f>"BOLETO"</f>
        <v>BOLETO</v>
      </c>
      <c r="D12407" t="str">
        <f>"2265786"</f>
        <v>2265786</v>
      </c>
      <c r="E12407" t="str">
        <f>"7"</f>
        <v>7</v>
      </c>
      <c r="F12407" t="str">
        <f t="shared" si="2384"/>
        <v>COM</v>
      </c>
      <c r="G12407" t="str">
        <f>"EMPRESA BRASILEIRA DE CORREIOS E TELEGRAFOS (20050)"</f>
        <v>EMPRESA BRASILEIRA DE CORREIOS E TELEGRAFOS (20050)</v>
      </c>
      <c r="H12407" t="str">
        <f>"DESPESAS COM POSTAGENS"</f>
        <v>DESPESAS COM POSTAGENS</v>
      </c>
      <c r="I12407" t="str">
        <f t="shared" ref="I12407:I12412" si="2397">("21/11/2025")</f>
        <v>21/11/2025</v>
      </c>
      <c r="J12407" t="str">
        <f>("30/10/2025")</f>
        <v>30/10/2025</v>
      </c>
      <c r="K12407" t="str">
        <f>("21/11/2025")</f>
        <v>21/11/2025</v>
      </c>
      <c r="L12407">
        <v>1269.92</v>
      </c>
      <c r="M12407">
        <v>1269.92</v>
      </c>
      <c r="N12407">
        <v>400</v>
      </c>
      <c r="O12407" t="str">
        <f>"COMPRA DE FORNECEDORES"</f>
        <v>COMPRA DE FORNECEDORES</v>
      </c>
      <c r="P12407">
        <v>1269.92</v>
      </c>
      <c r="S12407" t="str">
        <f>"BANCO CORA (102)"</f>
        <v>BANCO CORA (102)</v>
      </c>
      <c r="T12407">
        <v>22219</v>
      </c>
      <c r="U12407">
        <v>14978</v>
      </c>
      <c r="V12407" t="s">
        <v>22</v>
      </c>
    </row>
    <row r="12408" spans="1:22">
      <c r="A12408" t="str">
        <f t="shared" si="2386"/>
        <v>21/11/2025</v>
      </c>
      <c r="B12408" t="str">
        <f t="shared" si="2385"/>
        <v>SAÍDA</v>
      </c>
      <c r="C12408" t="str">
        <f>"BOLETO"</f>
        <v>BOLETO</v>
      </c>
      <c r="D12408" t="str">
        <f>"2265786"</f>
        <v>2265786</v>
      </c>
      <c r="E12408" t="str">
        <f>"7"</f>
        <v>7</v>
      </c>
      <c r="F12408" t="str">
        <f t="shared" si="2384"/>
        <v>COM</v>
      </c>
      <c r="G12408" t="str">
        <f>"EMPRESA BRASILEIRA DE CORREIOS E TELEGRAFOS (20050)"</f>
        <v>EMPRESA BRASILEIRA DE CORREIOS E TELEGRAFOS (20050)</v>
      </c>
      <c r="H12408" t="s">
        <v>860</v>
      </c>
      <c r="I12408" t="str">
        <f t="shared" si="2397"/>
        <v>21/11/2025</v>
      </c>
      <c r="J12408" t="str">
        <f>("30/10/2025")</f>
        <v>30/10/2025</v>
      </c>
      <c r="K12408">
        <v>45982</v>
      </c>
      <c r="N12408">
        <v>400</v>
      </c>
      <c r="O12408" t="s">
        <v>861</v>
      </c>
      <c r="Q12408">
        <v>1269.92</v>
      </c>
      <c r="R12408" t="str">
        <f>"EMPRESA BRASILEIRA DE CORREIOS E TELEGRAFOS (20050)"</f>
        <v>EMPRESA BRASILEIRA DE CORREIOS E TELEGRAFOS (20050)</v>
      </c>
      <c r="S12408" t="s">
        <v>22</v>
      </c>
      <c r="T12408">
        <v>22219</v>
      </c>
      <c r="U12408">
        <v>14978</v>
      </c>
      <c r="V12408" t="s">
        <v>22</v>
      </c>
    </row>
    <row r="12409" spans="1:22">
      <c r="A12409" t="str">
        <f t="shared" si="2386"/>
        <v>21/11/2025</v>
      </c>
      <c r="B12409" t="str">
        <f t="shared" si="2385"/>
        <v>SAÍDA</v>
      </c>
      <c r="C12409" t="str">
        <f>"BOLETO"</f>
        <v>BOLETO</v>
      </c>
      <c r="D12409" t="str">
        <f>"420398651"</f>
        <v>420398651</v>
      </c>
      <c r="E12409" t="str">
        <f>"16"</f>
        <v>16</v>
      </c>
      <c r="F12409" t="str">
        <f t="shared" si="2384"/>
        <v>COM</v>
      </c>
      <c r="G12409" t="str">
        <f>"GESTAO SOLUCAO EMPRESARIAL LTDA (20008)"</f>
        <v>GESTAO SOLUCAO EMPRESARIAL LTDA (20008)</v>
      </c>
      <c r="H12409" t="str">
        <f>"CONTABILIDADE 10/2025"</f>
        <v>CONTABILIDADE 10/2025</v>
      </c>
      <c r="I12409" t="str">
        <f t="shared" si="2397"/>
        <v>21/11/2025</v>
      </c>
      <c r="J12409" t="str">
        <f>("19/11/2025")</f>
        <v>19/11/2025</v>
      </c>
      <c r="K12409" t="str">
        <f>("21/11/2025")</f>
        <v>21/11/2025</v>
      </c>
      <c r="L12409">
        <v>1186.57</v>
      </c>
      <c r="M12409">
        <v>1186.57</v>
      </c>
      <c r="N12409">
        <v>115</v>
      </c>
      <c r="O12409" t="str">
        <f>"CONTABILIDADE"</f>
        <v>CONTABILIDADE</v>
      </c>
      <c r="P12409">
        <v>1186.57</v>
      </c>
      <c r="S12409" t="str">
        <f>"BANCO CORA (102)"</f>
        <v>BANCO CORA (102)</v>
      </c>
      <c r="T12409">
        <v>22220</v>
      </c>
      <c r="U12409">
        <v>15159</v>
      </c>
      <c r="V12409" t="s">
        <v>22</v>
      </c>
    </row>
    <row r="12410" spans="1:22">
      <c r="A12410" t="str">
        <f t="shared" si="2386"/>
        <v>21/11/2025</v>
      </c>
      <c r="B12410" t="str">
        <f t="shared" si="2385"/>
        <v>SAÍDA</v>
      </c>
      <c r="C12410" t="str">
        <f>"BOLETO"</f>
        <v>BOLETO</v>
      </c>
      <c r="D12410" t="str">
        <f>"420398651"</f>
        <v>420398651</v>
      </c>
      <c r="E12410" t="str">
        <f>"16"</f>
        <v>16</v>
      </c>
      <c r="F12410" t="str">
        <f t="shared" ref="F12410:F12456" si="2398">"COM"</f>
        <v>COM</v>
      </c>
      <c r="G12410" t="str">
        <f>"GESTAO SOLUCAO EMPRESARIAL LTDA (20008)"</f>
        <v>GESTAO SOLUCAO EMPRESARIAL LTDA (20008)</v>
      </c>
      <c r="H12410" t="s">
        <v>3359</v>
      </c>
      <c r="I12410" t="str">
        <f t="shared" si="2397"/>
        <v>21/11/2025</v>
      </c>
      <c r="J12410" t="str">
        <f>("19/11/2025")</f>
        <v>19/11/2025</v>
      </c>
      <c r="K12410">
        <v>45982</v>
      </c>
      <c r="N12410">
        <v>115</v>
      </c>
      <c r="O12410" t="s">
        <v>859</v>
      </c>
      <c r="Q12410">
        <v>1186.57</v>
      </c>
      <c r="R12410" t="str">
        <f>"GESTAO SOLUCAO EMPRESARIAL LTDA (20008)"</f>
        <v>GESTAO SOLUCAO EMPRESARIAL LTDA (20008)</v>
      </c>
      <c r="S12410" t="s">
        <v>22</v>
      </c>
      <c r="T12410">
        <v>22220</v>
      </c>
      <c r="U12410">
        <v>15159</v>
      </c>
      <c r="V12410" t="s">
        <v>22</v>
      </c>
    </row>
    <row r="12411" spans="1:22">
      <c r="A12411" t="str">
        <f t="shared" si="2386"/>
        <v>21/11/2025</v>
      </c>
      <c r="B12411" t="str">
        <f t="shared" si="2385"/>
        <v>SAÍDA</v>
      </c>
      <c r="C12411" t="str">
        <f>"PIX"</f>
        <v>PIX</v>
      </c>
      <c r="D12411" t="str">
        <f>"21112025"</f>
        <v>21112025</v>
      </c>
      <c r="E12411" t="str">
        <f t="shared" ref="E12411:E12456" si="2399">"1"</f>
        <v>1</v>
      </c>
      <c r="F12411" t="str">
        <f t="shared" si="2398"/>
        <v>COM</v>
      </c>
      <c r="G12411" t="str">
        <f>"63.639.885 FRANCINNE SANTOS WILLON (20123)"</f>
        <v>63.639.885 FRANCINNE SANTOS WILLON (20123)</v>
      </c>
      <c r="H12411" t="str">
        <f>"VALE TRANSPORTE REFERENTE AO MES 11/2025 "</f>
        <v xml:space="preserve">VALE TRANSPORTE REFERENTE AO MES 11/2025 </v>
      </c>
      <c r="I12411" t="str">
        <f t="shared" si="2397"/>
        <v>21/11/2025</v>
      </c>
      <c r="J12411" t="str">
        <f>("21/11/2025")</f>
        <v>21/11/2025</v>
      </c>
      <c r="K12411" t="str">
        <f>("21/11/2025")</f>
        <v>21/11/2025</v>
      </c>
      <c r="L12411">
        <v>136.80000000000001</v>
      </c>
      <c r="M12411">
        <v>136.80000000000001</v>
      </c>
      <c r="N12411">
        <v>107</v>
      </c>
      <c r="O12411" t="str">
        <f>"VALE TRANSPORTE"</f>
        <v>VALE TRANSPORTE</v>
      </c>
      <c r="P12411">
        <v>136.80000000000001</v>
      </c>
      <c r="S12411" t="str">
        <f>"BANCO CORA (102)"</f>
        <v>BANCO CORA (102)</v>
      </c>
      <c r="T12411">
        <v>22221</v>
      </c>
      <c r="U12411">
        <v>25896</v>
      </c>
      <c r="V12411" t="s">
        <v>22</v>
      </c>
    </row>
    <row r="12412" spans="1:22">
      <c r="A12412" t="str">
        <f t="shared" si="2386"/>
        <v>21/11/2025</v>
      </c>
      <c r="B12412" t="str">
        <f t="shared" si="2385"/>
        <v>SAÍDA</v>
      </c>
      <c r="C12412" t="str">
        <f>"PIX"</f>
        <v>PIX</v>
      </c>
      <c r="D12412" t="str">
        <f>"21112025"</f>
        <v>21112025</v>
      </c>
      <c r="E12412" t="str">
        <f t="shared" si="2399"/>
        <v>1</v>
      </c>
      <c r="F12412" t="str">
        <f t="shared" si="2398"/>
        <v>COM</v>
      </c>
      <c r="G12412" t="str">
        <f>"63.639.885 FRANCINNE SANTOS WILLON (20123)"</f>
        <v>63.639.885 FRANCINNE SANTOS WILLON (20123)</v>
      </c>
      <c r="H12412" t="s">
        <v>3360</v>
      </c>
      <c r="I12412" t="str">
        <f t="shared" si="2397"/>
        <v>21/11/2025</v>
      </c>
      <c r="J12412" t="str">
        <f>("21/11/2025")</f>
        <v>21/11/2025</v>
      </c>
      <c r="K12412">
        <v>45982</v>
      </c>
      <c r="N12412">
        <v>107</v>
      </c>
      <c r="O12412" t="s">
        <v>289</v>
      </c>
      <c r="Q12412">
        <v>136.80000000000001</v>
      </c>
      <c r="R12412" t="str">
        <f>"63.639.885 FRANCINNE SANTOS WILLON (20123)"</f>
        <v>63.639.885 FRANCINNE SANTOS WILLON (20123)</v>
      </c>
      <c r="S12412" t="s">
        <v>22</v>
      </c>
      <c r="T12412">
        <v>22221</v>
      </c>
      <c r="U12412">
        <v>25896</v>
      </c>
      <c r="V12412" t="s">
        <v>22</v>
      </c>
    </row>
    <row r="12413" spans="1:22">
      <c r="A12413" t="str">
        <f t="shared" si="2386"/>
        <v>21/11/2025</v>
      </c>
      <c r="B12413" t="str">
        <f t="shared" ref="B12413:B12432" si="2400">"ENTRADA"</f>
        <v>ENTRADA</v>
      </c>
      <c r="C12413" t="str">
        <f t="shared" ref="C12413:C12432" si="2401">"NFSE"</f>
        <v>NFSE</v>
      </c>
      <c r="D12413" t="str">
        <f>"3702"</f>
        <v>3702</v>
      </c>
      <c r="E12413" t="str">
        <f t="shared" si="2399"/>
        <v>1</v>
      </c>
      <c r="F12413" t="str">
        <f t="shared" si="2398"/>
        <v>COM</v>
      </c>
      <c r="G12413" t="str">
        <f>"AC FARMA - FLEMINFARMA (10160)"</f>
        <v>AC FARMA - FLEMINFARMA (10160)</v>
      </c>
      <c r="H12413" t="str">
        <f>"Serv.Prest. 03/11/2025 a 09/11/2025 - RPS: 1578 - NFSe: 3702"</f>
        <v>Serv.Prest. 03/11/2025 a 09/11/2025 - RPS: 1578 - NFSe: 3702</v>
      </c>
      <c r="I12413" t="str">
        <f t="shared" ref="I12413:I12432" si="2402">("19/11/2025")</f>
        <v>19/11/2025</v>
      </c>
      <c r="J12413" t="str">
        <f t="shared" ref="J12413:J12418" si="2403">("12/11/2025")</f>
        <v>12/11/2025</v>
      </c>
      <c r="K12413" t="str">
        <f>("21/11/2025")</f>
        <v>21/11/2025</v>
      </c>
      <c r="L12413">
        <v>1178.0999999999999</v>
      </c>
      <c r="M12413">
        <v>1178.0999999999999</v>
      </c>
      <c r="N12413">
        <v>303</v>
      </c>
      <c r="O12413" t="str">
        <f>"RECEITAS COM ENTREGAS"</f>
        <v>RECEITAS COM ENTREGAS</v>
      </c>
      <c r="P12413">
        <v>1178.0999999999999</v>
      </c>
      <c r="S12413" t="str">
        <f>"RECEITAS COM ENTREGAS (303)"</f>
        <v>RECEITAS COM ENTREGAS (303)</v>
      </c>
      <c r="T12413">
        <v>22428</v>
      </c>
      <c r="U12413">
        <v>25275</v>
      </c>
      <c r="V12413" t="s">
        <v>22</v>
      </c>
    </row>
    <row r="12414" spans="1:22">
      <c r="A12414" t="str">
        <f t="shared" si="2386"/>
        <v>21/11/2025</v>
      </c>
      <c r="B12414" t="str">
        <f t="shared" si="2400"/>
        <v>ENTRADA</v>
      </c>
      <c r="C12414" t="str">
        <f t="shared" si="2401"/>
        <v>NFSE</v>
      </c>
      <c r="D12414" t="str">
        <f>"3702"</f>
        <v>3702</v>
      </c>
      <c r="E12414" t="str">
        <f t="shared" si="2399"/>
        <v>1</v>
      </c>
      <c r="F12414" t="str">
        <f t="shared" si="2398"/>
        <v>COM</v>
      </c>
      <c r="G12414" t="str">
        <f>"AC FARMA - FLEMINFARMA (10160)"</f>
        <v>AC FARMA - FLEMINFARMA (10160)</v>
      </c>
      <c r="H12414" t="s">
        <v>3361</v>
      </c>
      <c r="I12414" t="str">
        <f t="shared" si="2402"/>
        <v>19/11/2025</v>
      </c>
      <c r="J12414" t="str">
        <f t="shared" si="2403"/>
        <v>12/11/2025</v>
      </c>
      <c r="K12414">
        <v>45982</v>
      </c>
      <c r="N12414">
        <v>303</v>
      </c>
      <c r="O12414" t="s">
        <v>69</v>
      </c>
      <c r="Q12414">
        <v>1132.1500000000001</v>
      </c>
      <c r="R12414" t="str">
        <f>"AC FARMA -  FLEMINFARMA (10159)"</f>
        <v>AC FARMA -  FLEMINFARMA (10159)</v>
      </c>
      <c r="S12414" t="s">
        <v>70</v>
      </c>
      <c r="T12414">
        <v>22428</v>
      </c>
      <c r="U12414">
        <v>25275</v>
      </c>
      <c r="V12414" t="s">
        <v>22</v>
      </c>
    </row>
    <row r="12415" spans="1:22">
      <c r="A12415" t="str">
        <f t="shared" si="2386"/>
        <v>21/11/2025</v>
      </c>
      <c r="B12415" t="str">
        <f t="shared" si="2400"/>
        <v>ENTRADA</v>
      </c>
      <c r="C12415" t="str">
        <f t="shared" si="2401"/>
        <v>NFSE</v>
      </c>
      <c r="D12415" t="str">
        <f>"3702"</f>
        <v>3702</v>
      </c>
      <c r="E12415" t="str">
        <f t="shared" si="2399"/>
        <v>1</v>
      </c>
      <c r="F12415" t="str">
        <f t="shared" si="2398"/>
        <v>COM</v>
      </c>
      <c r="G12415" t="str">
        <f>"AC FARMA - FLEMINFARMA (10160)"</f>
        <v>AC FARMA - FLEMINFARMA (10160)</v>
      </c>
      <c r="H12415" t="s">
        <v>3361</v>
      </c>
      <c r="I12415" t="str">
        <f t="shared" si="2402"/>
        <v>19/11/2025</v>
      </c>
      <c r="J12415" t="str">
        <f t="shared" si="2403"/>
        <v>12/11/2025</v>
      </c>
      <c r="K12415">
        <v>45982</v>
      </c>
      <c r="N12415">
        <v>303</v>
      </c>
      <c r="O12415" t="s">
        <v>69</v>
      </c>
      <c r="Q12415">
        <v>45.95</v>
      </c>
      <c r="R12415" t="str">
        <f>"AC FARMA - FLEMINFARMA (10160)"</f>
        <v>AC FARMA - FLEMINFARMA (10160)</v>
      </c>
      <c r="S12415" t="s">
        <v>70</v>
      </c>
      <c r="T12415">
        <v>22428</v>
      </c>
      <c r="U12415">
        <v>25275</v>
      </c>
      <c r="V12415" t="s">
        <v>22</v>
      </c>
    </row>
    <row r="12416" spans="1:22">
      <c r="A12416" t="str">
        <f t="shared" si="2386"/>
        <v>21/11/2025</v>
      </c>
      <c r="B12416" t="str">
        <f t="shared" si="2400"/>
        <v>ENTRADA</v>
      </c>
      <c r="C12416" t="str">
        <f t="shared" si="2401"/>
        <v>NFSE</v>
      </c>
      <c r="D12416" t="str">
        <f>"3703"</f>
        <v>3703</v>
      </c>
      <c r="E12416" t="str">
        <f t="shared" si="2399"/>
        <v>1</v>
      </c>
      <c r="F12416" t="str">
        <f t="shared" si="2398"/>
        <v>COM</v>
      </c>
      <c r="G12416" t="str">
        <f>"AC FARMA - FLEMINFARMA 5 (10183)"</f>
        <v>AC FARMA - FLEMINFARMA 5 (10183)</v>
      </c>
      <c r="H12416" t="str">
        <f>"Serv.Prest. 03/11/2025 a 09/11/2025 - RPS: 1579 - NFSe: 3703"</f>
        <v>Serv.Prest. 03/11/2025 a 09/11/2025 - RPS: 1579 - NFSe: 3703</v>
      </c>
      <c r="I12416" t="str">
        <f t="shared" si="2402"/>
        <v>19/11/2025</v>
      </c>
      <c r="J12416" t="str">
        <f t="shared" si="2403"/>
        <v>12/11/2025</v>
      </c>
      <c r="K12416" t="str">
        <f>("21/11/2025")</f>
        <v>21/11/2025</v>
      </c>
      <c r="L12416">
        <v>619.65</v>
      </c>
      <c r="M12416">
        <v>619.65</v>
      </c>
      <c r="N12416">
        <v>303</v>
      </c>
      <c r="O12416" t="str">
        <f>"RECEITAS COM ENTREGAS"</f>
        <v>RECEITAS COM ENTREGAS</v>
      </c>
      <c r="P12416">
        <v>619.65</v>
      </c>
      <c r="S12416" t="str">
        <f>"RECEITAS COM ENTREGAS (303)"</f>
        <v>RECEITAS COM ENTREGAS (303)</v>
      </c>
      <c r="T12416">
        <v>22429</v>
      </c>
      <c r="U12416">
        <v>25282</v>
      </c>
      <c r="V12416" t="s">
        <v>22</v>
      </c>
    </row>
    <row r="12417" spans="1:22">
      <c r="A12417" t="str">
        <f t="shared" si="2386"/>
        <v>21/11/2025</v>
      </c>
      <c r="B12417" t="str">
        <f t="shared" si="2400"/>
        <v>ENTRADA</v>
      </c>
      <c r="C12417" t="str">
        <f t="shared" si="2401"/>
        <v>NFSE</v>
      </c>
      <c r="D12417" t="str">
        <f>"3703"</f>
        <v>3703</v>
      </c>
      <c r="E12417" t="str">
        <f t="shared" si="2399"/>
        <v>1</v>
      </c>
      <c r="F12417" t="str">
        <f t="shared" si="2398"/>
        <v>COM</v>
      </c>
      <c r="G12417" t="str">
        <f>"AC FARMA - FLEMINFARMA 5 (10183)"</f>
        <v>AC FARMA - FLEMINFARMA 5 (10183)</v>
      </c>
      <c r="H12417" t="s">
        <v>3362</v>
      </c>
      <c r="I12417" t="str">
        <f t="shared" si="2402"/>
        <v>19/11/2025</v>
      </c>
      <c r="J12417" t="str">
        <f t="shared" si="2403"/>
        <v>12/11/2025</v>
      </c>
      <c r="K12417">
        <v>45982</v>
      </c>
      <c r="N12417">
        <v>303</v>
      </c>
      <c r="O12417" t="s">
        <v>69</v>
      </c>
      <c r="Q12417">
        <v>604.34</v>
      </c>
      <c r="R12417" t="str">
        <f>"AC FARMA - FLEMINFARMA 5 (10183)"</f>
        <v>AC FARMA - FLEMINFARMA 5 (10183)</v>
      </c>
      <c r="S12417" t="s">
        <v>70</v>
      </c>
      <c r="T12417">
        <v>22429</v>
      </c>
      <c r="U12417">
        <v>25282</v>
      </c>
      <c r="V12417" t="s">
        <v>22</v>
      </c>
    </row>
    <row r="12418" spans="1:22">
      <c r="A12418" t="str">
        <f t="shared" si="2386"/>
        <v>21/11/2025</v>
      </c>
      <c r="B12418" t="str">
        <f t="shared" si="2400"/>
        <v>ENTRADA</v>
      </c>
      <c r="C12418" t="str">
        <f t="shared" si="2401"/>
        <v>NFSE</v>
      </c>
      <c r="D12418" t="str">
        <f>"3703"</f>
        <v>3703</v>
      </c>
      <c r="E12418" t="str">
        <f t="shared" si="2399"/>
        <v>1</v>
      </c>
      <c r="F12418" t="str">
        <f t="shared" si="2398"/>
        <v>COM</v>
      </c>
      <c r="G12418" t="str">
        <f>"AC FARMA - FLEMINFARMA 5 (10183)"</f>
        <v>AC FARMA - FLEMINFARMA 5 (10183)</v>
      </c>
      <c r="H12418" t="s">
        <v>3362</v>
      </c>
      <c r="I12418" t="str">
        <f t="shared" si="2402"/>
        <v>19/11/2025</v>
      </c>
      <c r="J12418" t="str">
        <f t="shared" si="2403"/>
        <v>12/11/2025</v>
      </c>
      <c r="K12418">
        <v>45982</v>
      </c>
      <c r="N12418">
        <v>303</v>
      </c>
      <c r="O12418" t="s">
        <v>69</v>
      </c>
      <c r="Q12418">
        <v>15.31</v>
      </c>
      <c r="R12418" t="str">
        <f>"AC FARMA - FLEMINFARMA 6 (10184)"</f>
        <v>AC FARMA - FLEMINFARMA 6 (10184)</v>
      </c>
      <c r="S12418" t="s">
        <v>70</v>
      </c>
      <c r="T12418">
        <v>22429</v>
      </c>
      <c r="U12418">
        <v>25282</v>
      </c>
      <c r="V12418" t="s">
        <v>22</v>
      </c>
    </row>
    <row r="12419" spans="1:22">
      <c r="A12419" t="str">
        <f t="shared" si="2386"/>
        <v>21/11/2025</v>
      </c>
      <c r="B12419" t="str">
        <f t="shared" si="2400"/>
        <v>ENTRADA</v>
      </c>
      <c r="C12419" t="str">
        <f t="shared" si="2401"/>
        <v>NFSE</v>
      </c>
      <c r="D12419" t="str">
        <f>"3711"</f>
        <v>3711</v>
      </c>
      <c r="E12419" t="str">
        <f t="shared" si="2399"/>
        <v>1</v>
      </c>
      <c r="F12419" t="str">
        <f t="shared" si="2398"/>
        <v>COM</v>
      </c>
      <c r="G12419" t="str">
        <f>"BRASIL FARMA (10173)"</f>
        <v>BRASIL FARMA (10173)</v>
      </c>
      <c r="H12419" t="str">
        <f>"Serv.Prest. 10/11/2025 a 16/11/2025 - RPS: 1587 - NFSe: 3711"</f>
        <v>Serv.Prest. 10/11/2025 a 16/11/2025 - RPS: 1587 - NFSe: 3711</v>
      </c>
      <c r="I12419" t="str">
        <f t="shared" si="2402"/>
        <v>19/11/2025</v>
      </c>
      <c r="J12419" t="str">
        <f>("17/11/2025")</f>
        <v>17/11/2025</v>
      </c>
      <c r="K12419" t="str">
        <f>("21/11/2025")</f>
        <v>21/11/2025</v>
      </c>
      <c r="L12419">
        <v>1705.1</v>
      </c>
      <c r="M12419">
        <v>1705.1</v>
      </c>
      <c r="N12419">
        <v>303</v>
      </c>
      <c r="O12419" t="str">
        <f>"RECEITAS COM ENTREGAS"</f>
        <v>RECEITAS COM ENTREGAS</v>
      </c>
      <c r="P12419">
        <v>1705.1</v>
      </c>
      <c r="S12419" t="str">
        <f>"RECEITAS COM ENTREGAS (303)"</f>
        <v>RECEITAS COM ENTREGAS (303)</v>
      </c>
      <c r="T12419">
        <v>22430</v>
      </c>
      <c r="U12419">
        <v>25540</v>
      </c>
      <c r="V12419" t="s">
        <v>22</v>
      </c>
    </row>
    <row r="12420" spans="1:22">
      <c r="A12420" t="str">
        <f t="shared" si="2386"/>
        <v>21/11/2025</v>
      </c>
      <c r="B12420" t="str">
        <f t="shared" si="2400"/>
        <v>ENTRADA</v>
      </c>
      <c r="C12420" t="str">
        <f t="shared" si="2401"/>
        <v>NFSE</v>
      </c>
      <c r="D12420" t="str">
        <f>"3711"</f>
        <v>3711</v>
      </c>
      <c r="E12420" t="str">
        <f t="shared" si="2399"/>
        <v>1</v>
      </c>
      <c r="F12420" t="str">
        <f t="shared" si="2398"/>
        <v>COM</v>
      </c>
      <c r="G12420" t="str">
        <f>"BRASIL FARMA (10173)"</f>
        <v>BRASIL FARMA (10173)</v>
      </c>
      <c r="H12420" t="s">
        <v>3363</v>
      </c>
      <c r="I12420" t="str">
        <f t="shared" si="2402"/>
        <v>19/11/2025</v>
      </c>
      <c r="J12420" t="str">
        <f>("17/11/2025")</f>
        <v>17/11/2025</v>
      </c>
      <c r="K12420">
        <v>45982</v>
      </c>
      <c r="N12420">
        <v>303</v>
      </c>
      <c r="O12420" t="s">
        <v>69</v>
      </c>
      <c r="Q12420">
        <v>1705.1</v>
      </c>
      <c r="R12420" t="str">
        <f>"BRASIL FARMA (10173)"</f>
        <v>BRASIL FARMA (10173)</v>
      </c>
      <c r="S12420" t="s">
        <v>70</v>
      </c>
      <c r="T12420">
        <v>22430</v>
      </c>
      <c r="U12420">
        <v>25540</v>
      </c>
      <c r="V12420" t="s">
        <v>22</v>
      </c>
    </row>
    <row r="12421" spans="1:22">
      <c r="A12421" t="str">
        <f t="shared" si="2386"/>
        <v>21/11/2025</v>
      </c>
      <c r="B12421" t="str">
        <f t="shared" si="2400"/>
        <v>ENTRADA</v>
      </c>
      <c r="C12421" t="str">
        <f t="shared" si="2401"/>
        <v>NFSE</v>
      </c>
      <c r="D12421" t="str">
        <f>"3739"</f>
        <v>3739</v>
      </c>
      <c r="E12421" t="str">
        <f t="shared" si="2399"/>
        <v>1</v>
      </c>
      <c r="F12421" t="str">
        <f t="shared" si="2398"/>
        <v>COM</v>
      </c>
      <c r="G12421" t="str">
        <f>"JAL FARMACIA E DROGARIA LJ 1 (10137)"</f>
        <v>JAL FARMACIA E DROGARIA LJ 1 (10137)</v>
      </c>
      <c r="H12421" t="str">
        <f>"Serv.Prest. 10/11/2025 a 16/11/2025 - RPS: 1615 - NFSe: 3739"</f>
        <v>Serv.Prest. 10/11/2025 a 16/11/2025 - RPS: 1615 - NFSe: 3739</v>
      </c>
      <c r="I12421" t="str">
        <f t="shared" si="2402"/>
        <v>19/11/2025</v>
      </c>
      <c r="J12421" t="str">
        <f>("18/11/2025")</f>
        <v>18/11/2025</v>
      </c>
      <c r="K12421" t="str">
        <f>("21/11/2025")</f>
        <v>21/11/2025</v>
      </c>
      <c r="L12421">
        <v>2541.5</v>
      </c>
      <c r="M12421">
        <v>2541.5</v>
      </c>
      <c r="N12421">
        <v>303</v>
      </c>
      <c r="O12421" t="str">
        <f>"RECEITAS COM ENTREGAS"</f>
        <v>RECEITAS COM ENTREGAS</v>
      </c>
      <c r="P12421">
        <v>2541.5</v>
      </c>
      <c r="S12421" t="str">
        <f>"RECEITAS COM ENTREGAS (303)"</f>
        <v>RECEITAS COM ENTREGAS (303)</v>
      </c>
      <c r="T12421">
        <v>22431</v>
      </c>
      <c r="U12421">
        <v>25642</v>
      </c>
      <c r="V12421" t="s">
        <v>22</v>
      </c>
    </row>
    <row r="12422" spans="1:22">
      <c r="A12422" t="str">
        <f t="shared" si="2386"/>
        <v>21/11/2025</v>
      </c>
      <c r="B12422" t="str">
        <f t="shared" si="2400"/>
        <v>ENTRADA</v>
      </c>
      <c r="C12422" t="str">
        <f t="shared" si="2401"/>
        <v>NFSE</v>
      </c>
      <c r="D12422" t="str">
        <f>"3739"</f>
        <v>3739</v>
      </c>
      <c r="E12422" t="str">
        <f t="shared" si="2399"/>
        <v>1</v>
      </c>
      <c r="F12422" t="str">
        <f t="shared" si="2398"/>
        <v>COM</v>
      </c>
      <c r="G12422" t="str">
        <f>"JAL FARMACIA E DROGARIA LJ 1 (10137)"</f>
        <v>JAL FARMACIA E DROGARIA LJ 1 (10137)</v>
      </c>
      <c r="H12422" t="s">
        <v>3364</v>
      </c>
      <c r="I12422" t="str">
        <f t="shared" si="2402"/>
        <v>19/11/2025</v>
      </c>
      <c r="J12422" t="str">
        <f>("18/11/2025")</f>
        <v>18/11/2025</v>
      </c>
      <c r="K12422">
        <v>45982</v>
      </c>
      <c r="N12422">
        <v>303</v>
      </c>
      <c r="O12422" t="s">
        <v>69</v>
      </c>
      <c r="Q12422">
        <v>2541.5</v>
      </c>
      <c r="R12422" t="str">
        <f>"JAL FARMACIA E DROGARIA LJ 1 (10137)"</f>
        <v>JAL FARMACIA E DROGARIA LJ 1 (10137)</v>
      </c>
      <c r="S12422" t="s">
        <v>70</v>
      </c>
      <c r="T12422">
        <v>22431</v>
      </c>
      <c r="U12422">
        <v>25642</v>
      </c>
      <c r="V12422" t="s">
        <v>22</v>
      </c>
    </row>
    <row r="12423" spans="1:22">
      <c r="A12423" t="str">
        <f t="shared" si="2386"/>
        <v>21/11/2025</v>
      </c>
      <c r="B12423" t="str">
        <f t="shared" si="2400"/>
        <v>ENTRADA</v>
      </c>
      <c r="C12423" t="str">
        <f t="shared" si="2401"/>
        <v>NFSE</v>
      </c>
      <c r="D12423" t="str">
        <f>"3701"</f>
        <v>3701</v>
      </c>
      <c r="E12423" t="str">
        <f t="shared" si="2399"/>
        <v>1</v>
      </c>
      <c r="F12423" t="str">
        <f t="shared" si="2398"/>
        <v>COM</v>
      </c>
      <c r="G12423" t="str">
        <f>"AC FARMA - CID.ALTA (10166)"</f>
        <v>AC FARMA - CID.ALTA (10166)</v>
      </c>
      <c r="H12423" t="str">
        <f>"Serv.Prest. 03/11/2025 a 09/11/2025 - RPS: 1577 - NFSe: 3701"</f>
        <v>Serv.Prest. 03/11/2025 a 09/11/2025 - RPS: 1577 - NFSe: 3701</v>
      </c>
      <c r="I12423" t="str">
        <f t="shared" si="2402"/>
        <v>19/11/2025</v>
      </c>
      <c r="J12423" t="str">
        <f>("12/11/2025")</f>
        <v>12/11/2025</v>
      </c>
      <c r="K12423" t="str">
        <f>("21/11/2025")</f>
        <v>21/11/2025</v>
      </c>
      <c r="L12423">
        <v>5026.05</v>
      </c>
      <c r="M12423">
        <v>5026.05</v>
      </c>
      <c r="N12423">
        <v>303</v>
      </c>
      <c r="O12423" t="str">
        <f>"RECEITAS COM ENTREGAS"</f>
        <v>RECEITAS COM ENTREGAS</v>
      </c>
      <c r="P12423">
        <v>5026.05</v>
      </c>
      <c r="S12423" t="str">
        <f>"RECEITAS COM ENTREGAS (303)"</f>
        <v>RECEITAS COM ENTREGAS (303)</v>
      </c>
      <c r="T12423">
        <v>22432</v>
      </c>
      <c r="U12423">
        <v>25267</v>
      </c>
      <c r="V12423" t="s">
        <v>22</v>
      </c>
    </row>
    <row r="12424" spans="1:22">
      <c r="A12424" t="str">
        <f t="shared" si="2386"/>
        <v>21/11/2025</v>
      </c>
      <c r="B12424" t="str">
        <f t="shared" si="2400"/>
        <v>ENTRADA</v>
      </c>
      <c r="C12424" t="str">
        <f t="shared" si="2401"/>
        <v>NFSE</v>
      </c>
      <c r="D12424" t="str">
        <f>"3701"</f>
        <v>3701</v>
      </c>
      <c r="E12424" t="str">
        <f t="shared" si="2399"/>
        <v>1</v>
      </c>
      <c r="F12424" t="str">
        <f t="shared" si="2398"/>
        <v>COM</v>
      </c>
      <c r="G12424" t="str">
        <f>"AC FARMA - CID.ALTA (10166)"</f>
        <v>AC FARMA - CID.ALTA (10166)</v>
      </c>
      <c r="H12424" t="s">
        <v>3365</v>
      </c>
      <c r="I12424" t="str">
        <f t="shared" si="2402"/>
        <v>19/11/2025</v>
      </c>
      <c r="J12424" t="str">
        <f>("12/11/2025")</f>
        <v>12/11/2025</v>
      </c>
      <c r="K12424">
        <v>45982</v>
      </c>
      <c r="N12424">
        <v>303</v>
      </c>
      <c r="O12424" t="s">
        <v>69</v>
      </c>
      <c r="Q12424">
        <v>5026.05</v>
      </c>
      <c r="R12424" t="str">
        <f>"AC FARMA - CID.ALTA (10166)"</f>
        <v>AC FARMA - CID.ALTA (10166)</v>
      </c>
      <c r="S12424" t="s">
        <v>70</v>
      </c>
      <c r="T12424">
        <v>22432</v>
      </c>
      <c r="U12424">
        <v>25267</v>
      </c>
      <c r="V12424" t="s">
        <v>22</v>
      </c>
    </row>
    <row r="12425" spans="1:22">
      <c r="A12425" t="str">
        <f t="shared" si="2386"/>
        <v>21/11/2025</v>
      </c>
      <c r="B12425" t="str">
        <f t="shared" si="2400"/>
        <v>ENTRADA</v>
      </c>
      <c r="C12425" t="str">
        <f t="shared" si="2401"/>
        <v>NFSE</v>
      </c>
      <c r="D12425" t="str">
        <f>"3740"</f>
        <v>3740</v>
      </c>
      <c r="E12425" t="str">
        <f t="shared" si="2399"/>
        <v>1</v>
      </c>
      <c r="F12425" t="str">
        <f t="shared" si="2398"/>
        <v>COM</v>
      </c>
      <c r="G12425" t="str">
        <f>"JAL FARMACIA E DROGARIA LJ 2 (10138)"</f>
        <v>JAL FARMACIA E DROGARIA LJ 2 (10138)</v>
      </c>
      <c r="H12425" t="str">
        <f>"Serv.Prest. 10/11/2025 a 16/11/2025 - RPS: 1616 - NFSe: 3740"</f>
        <v>Serv.Prest. 10/11/2025 a 16/11/2025 - RPS: 1616 - NFSe: 3740</v>
      </c>
      <c r="I12425" t="str">
        <f t="shared" si="2402"/>
        <v>19/11/2025</v>
      </c>
      <c r="J12425" t="str">
        <f>("18/11/2025")</f>
        <v>18/11/2025</v>
      </c>
      <c r="K12425" t="str">
        <f>("21/11/2025")</f>
        <v>21/11/2025</v>
      </c>
      <c r="L12425">
        <v>1572.5</v>
      </c>
      <c r="M12425">
        <v>1572.5</v>
      </c>
      <c r="N12425">
        <v>303</v>
      </c>
      <c r="O12425" t="str">
        <f>"RECEITAS COM ENTREGAS"</f>
        <v>RECEITAS COM ENTREGAS</v>
      </c>
      <c r="P12425">
        <v>1572.5</v>
      </c>
      <c r="S12425" t="str">
        <f>"RECEITAS COM ENTREGAS (303)"</f>
        <v>RECEITAS COM ENTREGAS (303)</v>
      </c>
      <c r="T12425">
        <v>22433</v>
      </c>
      <c r="U12425">
        <v>25646</v>
      </c>
      <c r="V12425" t="s">
        <v>22</v>
      </c>
    </row>
    <row r="12426" spans="1:22">
      <c r="A12426" t="str">
        <f t="shared" si="2386"/>
        <v>21/11/2025</v>
      </c>
      <c r="B12426" t="str">
        <f t="shared" si="2400"/>
        <v>ENTRADA</v>
      </c>
      <c r="C12426" t="str">
        <f t="shared" si="2401"/>
        <v>NFSE</v>
      </c>
      <c r="D12426" t="str">
        <f>"3740"</f>
        <v>3740</v>
      </c>
      <c r="E12426" t="str">
        <f t="shared" si="2399"/>
        <v>1</v>
      </c>
      <c r="F12426" t="str">
        <f t="shared" si="2398"/>
        <v>COM</v>
      </c>
      <c r="G12426" t="str">
        <f>"JAL FARMACIA E DROGARIA LJ 2 (10138)"</f>
        <v>JAL FARMACIA E DROGARIA LJ 2 (10138)</v>
      </c>
      <c r="H12426" t="s">
        <v>3366</v>
      </c>
      <c r="I12426" t="str">
        <f t="shared" si="2402"/>
        <v>19/11/2025</v>
      </c>
      <c r="J12426" t="str">
        <f>("18/11/2025")</f>
        <v>18/11/2025</v>
      </c>
      <c r="K12426">
        <v>45982</v>
      </c>
      <c r="N12426">
        <v>303</v>
      </c>
      <c r="O12426" t="s">
        <v>69</v>
      </c>
      <c r="Q12426">
        <v>1572.5</v>
      </c>
      <c r="R12426" t="str">
        <f>"JAL FARMACIA E DROGARIA LJ 2 (10138)"</f>
        <v>JAL FARMACIA E DROGARIA LJ 2 (10138)</v>
      </c>
      <c r="S12426" t="s">
        <v>70</v>
      </c>
      <c r="T12426">
        <v>22433</v>
      </c>
      <c r="U12426">
        <v>25646</v>
      </c>
      <c r="V12426" t="s">
        <v>22</v>
      </c>
    </row>
    <row r="12427" spans="1:22">
      <c r="A12427" t="str">
        <f t="shared" si="2386"/>
        <v>21/11/2025</v>
      </c>
      <c r="B12427" t="str">
        <f t="shared" si="2400"/>
        <v>ENTRADA</v>
      </c>
      <c r="C12427" t="str">
        <f t="shared" si="2401"/>
        <v>NFSE</v>
      </c>
      <c r="D12427" t="str">
        <f>"3718"</f>
        <v>3718</v>
      </c>
      <c r="E12427" t="str">
        <f t="shared" si="2399"/>
        <v>1</v>
      </c>
      <c r="F12427" t="str">
        <f t="shared" si="2398"/>
        <v>COM</v>
      </c>
      <c r="G12427" t="str">
        <f>"FARMACIA ECONOMIZE (10103)"</f>
        <v>FARMACIA ECONOMIZE (10103)</v>
      </c>
      <c r="H12427" t="str">
        <f>"Serv.Prest. 10/11/2025 a 16/11/2025 - RPS: 1594 - NFSe: 3718"</f>
        <v>Serv.Prest. 10/11/2025 a 16/11/2025 - RPS: 1594 - NFSe: 3718</v>
      </c>
      <c r="I12427" t="str">
        <f t="shared" si="2402"/>
        <v>19/11/2025</v>
      </c>
      <c r="J12427" t="str">
        <f>("17/11/2025")</f>
        <v>17/11/2025</v>
      </c>
      <c r="K12427" t="str">
        <f>("21/11/2025")</f>
        <v>21/11/2025</v>
      </c>
      <c r="L12427">
        <v>2209.6799999999998</v>
      </c>
      <c r="M12427">
        <v>2209.6799999999998</v>
      </c>
      <c r="N12427">
        <v>303</v>
      </c>
      <c r="O12427" t="str">
        <f>"RECEITAS COM ENTREGAS"</f>
        <v>RECEITAS COM ENTREGAS</v>
      </c>
      <c r="P12427">
        <v>2209.6799999999998</v>
      </c>
      <c r="S12427" t="str">
        <f>"RECEITAS COM ENTREGAS (303)"</f>
        <v>RECEITAS COM ENTREGAS (303)</v>
      </c>
      <c r="T12427">
        <v>22434</v>
      </c>
      <c r="U12427">
        <v>25562</v>
      </c>
      <c r="V12427" t="s">
        <v>22</v>
      </c>
    </row>
    <row r="12428" spans="1:22">
      <c r="A12428" t="str">
        <f t="shared" si="2386"/>
        <v>21/11/2025</v>
      </c>
      <c r="B12428" t="str">
        <f t="shared" si="2400"/>
        <v>ENTRADA</v>
      </c>
      <c r="C12428" t="str">
        <f t="shared" si="2401"/>
        <v>NFSE</v>
      </c>
      <c r="D12428" t="str">
        <f>"3718"</f>
        <v>3718</v>
      </c>
      <c r="E12428" t="str">
        <f t="shared" si="2399"/>
        <v>1</v>
      </c>
      <c r="F12428" t="str">
        <f t="shared" si="2398"/>
        <v>COM</v>
      </c>
      <c r="G12428" t="str">
        <f>"FARMACIA ECONOMIZE (10103)"</f>
        <v>FARMACIA ECONOMIZE (10103)</v>
      </c>
      <c r="H12428" t="s">
        <v>3367</v>
      </c>
      <c r="I12428" t="str">
        <f t="shared" si="2402"/>
        <v>19/11/2025</v>
      </c>
      <c r="J12428" t="str">
        <f>("17/11/2025")</f>
        <v>17/11/2025</v>
      </c>
      <c r="K12428">
        <v>45982</v>
      </c>
      <c r="N12428">
        <v>303</v>
      </c>
      <c r="O12428" t="s">
        <v>69</v>
      </c>
      <c r="Q12428">
        <v>2209.6799999999998</v>
      </c>
      <c r="R12428" t="str">
        <f>"FARMACIA ECONOMIZE (10103)"</f>
        <v>FARMACIA ECONOMIZE (10103)</v>
      </c>
      <c r="S12428" t="s">
        <v>70</v>
      </c>
      <c r="T12428">
        <v>22434</v>
      </c>
      <c r="U12428">
        <v>25562</v>
      </c>
      <c r="V12428" t="s">
        <v>22</v>
      </c>
    </row>
    <row r="12429" spans="1:22">
      <c r="A12429" t="str">
        <f t="shared" si="2386"/>
        <v>21/11/2025</v>
      </c>
      <c r="B12429" t="str">
        <f t="shared" si="2400"/>
        <v>ENTRADA</v>
      </c>
      <c r="C12429" t="str">
        <f t="shared" si="2401"/>
        <v>NFSE</v>
      </c>
      <c r="D12429" t="str">
        <f>"3737"</f>
        <v>3737</v>
      </c>
      <c r="E12429" t="str">
        <f t="shared" si="2399"/>
        <v>1</v>
      </c>
      <c r="F12429" t="str">
        <f t="shared" si="2398"/>
        <v>COM</v>
      </c>
      <c r="G12429" t="str">
        <f>"DROGARIA TOTAL JUNDIAI (10177)"</f>
        <v>DROGARIA TOTAL JUNDIAI (10177)</v>
      </c>
      <c r="H12429" t="str">
        <f>"Serv.Prest. 10/11/2025 a 16/11/2025 - RPS: 1613 - NFSe: 3737"</f>
        <v>Serv.Prest. 10/11/2025 a 16/11/2025 - RPS: 1613 - NFSe: 3737</v>
      </c>
      <c r="I12429" t="str">
        <f t="shared" si="2402"/>
        <v>19/11/2025</v>
      </c>
      <c r="J12429" t="str">
        <f>("18/11/2025")</f>
        <v>18/11/2025</v>
      </c>
      <c r="K12429" t="str">
        <f>("21/11/2025")</f>
        <v>21/11/2025</v>
      </c>
      <c r="L12429">
        <v>902.42</v>
      </c>
      <c r="M12429">
        <v>902.42</v>
      </c>
      <c r="N12429">
        <v>303</v>
      </c>
      <c r="O12429" t="str">
        <f>"RECEITAS COM ENTREGAS"</f>
        <v>RECEITAS COM ENTREGAS</v>
      </c>
      <c r="P12429">
        <v>902.42</v>
      </c>
      <c r="S12429" t="str">
        <f>"RECEITAS COM ENTREGAS (303)"</f>
        <v>RECEITAS COM ENTREGAS (303)</v>
      </c>
      <c r="T12429">
        <v>22435</v>
      </c>
      <c r="U12429">
        <v>25638</v>
      </c>
      <c r="V12429" t="s">
        <v>22</v>
      </c>
    </row>
    <row r="12430" spans="1:22">
      <c r="A12430" t="str">
        <f t="shared" ref="A12430:A12488" si="2404">("21/11/2025")</f>
        <v>21/11/2025</v>
      </c>
      <c r="B12430" t="str">
        <f t="shared" si="2400"/>
        <v>ENTRADA</v>
      </c>
      <c r="C12430" t="str">
        <f t="shared" si="2401"/>
        <v>NFSE</v>
      </c>
      <c r="D12430" t="str">
        <f>"3737"</f>
        <v>3737</v>
      </c>
      <c r="E12430" t="str">
        <f t="shared" si="2399"/>
        <v>1</v>
      </c>
      <c r="F12430" t="str">
        <f t="shared" si="2398"/>
        <v>COM</v>
      </c>
      <c r="G12430" t="str">
        <f>"DROGARIA TOTAL JUNDIAI (10177)"</f>
        <v>DROGARIA TOTAL JUNDIAI (10177)</v>
      </c>
      <c r="H12430" t="s">
        <v>3368</v>
      </c>
      <c r="I12430" t="str">
        <f t="shared" si="2402"/>
        <v>19/11/2025</v>
      </c>
      <c r="J12430" t="str">
        <f>("18/11/2025")</f>
        <v>18/11/2025</v>
      </c>
      <c r="K12430">
        <v>45982</v>
      </c>
      <c r="N12430">
        <v>303</v>
      </c>
      <c r="O12430" t="s">
        <v>69</v>
      </c>
      <c r="Q12430">
        <v>902.42</v>
      </c>
      <c r="R12430" t="str">
        <f>"DROGARIA TOTAL JUNDIAI (10177)"</f>
        <v>DROGARIA TOTAL JUNDIAI (10177)</v>
      </c>
      <c r="S12430" t="s">
        <v>70</v>
      </c>
      <c r="T12430">
        <v>22435</v>
      </c>
      <c r="U12430">
        <v>25638</v>
      </c>
      <c r="V12430" t="s">
        <v>22</v>
      </c>
    </row>
    <row r="12431" spans="1:22">
      <c r="A12431" t="str">
        <f t="shared" si="2404"/>
        <v>21/11/2025</v>
      </c>
      <c r="B12431" t="str">
        <f t="shared" si="2400"/>
        <v>ENTRADA</v>
      </c>
      <c r="C12431" t="str">
        <f t="shared" si="2401"/>
        <v>NFSE</v>
      </c>
      <c r="D12431" t="str">
        <f>"3723"</f>
        <v>3723</v>
      </c>
      <c r="E12431" t="str">
        <f t="shared" si="2399"/>
        <v>1</v>
      </c>
      <c r="F12431" t="str">
        <f t="shared" si="2398"/>
        <v>COM</v>
      </c>
      <c r="G12431" t="str">
        <f>"DROGA ELIDA (10121)"</f>
        <v>DROGA ELIDA (10121)</v>
      </c>
      <c r="H12431" t="str">
        <f>"Serv.Prest. 10/11/2025 a 16/11/2025 - RPS: 1599 - NFSe: 3723"</f>
        <v>Serv.Prest. 10/11/2025 a 16/11/2025 - RPS: 1599 - NFSe: 3723</v>
      </c>
      <c r="I12431" t="str">
        <f t="shared" si="2402"/>
        <v>19/11/2025</v>
      </c>
      <c r="J12431" t="str">
        <f>("17/11/2025")</f>
        <v>17/11/2025</v>
      </c>
      <c r="K12431" t="str">
        <f>("21/11/2025")</f>
        <v>21/11/2025</v>
      </c>
      <c r="L12431">
        <v>1861.5</v>
      </c>
      <c r="M12431">
        <v>1861.5</v>
      </c>
      <c r="N12431">
        <v>303</v>
      </c>
      <c r="O12431" t="str">
        <f>"RECEITAS COM ENTREGAS"</f>
        <v>RECEITAS COM ENTREGAS</v>
      </c>
      <c r="P12431">
        <v>1861.5</v>
      </c>
      <c r="S12431" t="str">
        <f>"RECEITAS COM ENTREGAS (303)"</f>
        <v>RECEITAS COM ENTREGAS (303)</v>
      </c>
      <c r="T12431">
        <v>22436</v>
      </c>
      <c r="U12431">
        <v>25580</v>
      </c>
      <c r="V12431" t="s">
        <v>22</v>
      </c>
    </row>
    <row r="12432" spans="1:22">
      <c r="A12432" t="str">
        <f t="shared" si="2404"/>
        <v>21/11/2025</v>
      </c>
      <c r="B12432" t="str">
        <f t="shared" si="2400"/>
        <v>ENTRADA</v>
      </c>
      <c r="C12432" t="str">
        <f t="shared" si="2401"/>
        <v>NFSE</v>
      </c>
      <c r="D12432" t="str">
        <f>"3723"</f>
        <v>3723</v>
      </c>
      <c r="E12432" t="str">
        <f t="shared" si="2399"/>
        <v>1</v>
      </c>
      <c r="F12432" t="str">
        <f t="shared" si="2398"/>
        <v>COM</v>
      </c>
      <c r="G12432" t="str">
        <f>"DROGA ELIDA (10121)"</f>
        <v>DROGA ELIDA (10121)</v>
      </c>
      <c r="H12432" t="s">
        <v>3369</v>
      </c>
      <c r="I12432" t="str">
        <f t="shared" si="2402"/>
        <v>19/11/2025</v>
      </c>
      <c r="J12432" t="str">
        <f>("17/11/2025")</f>
        <v>17/11/2025</v>
      </c>
      <c r="K12432">
        <v>45982</v>
      </c>
      <c r="N12432">
        <v>303</v>
      </c>
      <c r="O12432" t="s">
        <v>69</v>
      </c>
      <c r="Q12432">
        <v>1861.5</v>
      </c>
      <c r="R12432" t="str">
        <f>"DROGA ELIDA (10121)"</f>
        <v>DROGA ELIDA (10121)</v>
      </c>
      <c r="S12432" t="s">
        <v>70</v>
      </c>
      <c r="T12432">
        <v>22436</v>
      </c>
      <c r="U12432">
        <v>25580</v>
      </c>
      <c r="V12432" t="s">
        <v>22</v>
      </c>
    </row>
    <row r="12433" spans="1:22">
      <c r="A12433" t="str">
        <f t="shared" si="2404"/>
        <v>21/11/2025</v>
      </c>
      <c r="B12433" t="str">
        <f t="shared" ref="B12433:B12438" si="2405">"SAÍDA"</f>
        <v>SAÍDA</v>
      </c>
      <c r="C12433" t="str">
        <f t="shared" ref="C12433:C12438" si="2406">"PIX"</f>
        <v>PIX</v>
      </c>
      <c r="D12433" t="str">
        <f>"26132"</f>
        <v>26132</v>
      </c>
      <c r="E12433" t="str">
        <f t="shared" si="2399"/>
        <v>1</v>
      </c>
      <c r="F12433" t="str">
        <f t="shared" si="2398"/>
        <v>COM</v>
      </c>
      <c r="G12433" t="str">
        <f>"ALLAN SILVA DAMACENA (790)"</f>
        <v>ALLAN SILVA DAMACENA (790)</v>
      </c>
      <c r="H12433" t="str">
        <f>"Serv.Prest. 17/11/2025 a 23/11/2025 - PIX: CELULAR - CHAVE: (19) 98944-4977"</f>
        <v>Serv.Prest. 17/11/2025 a 23/11/2025 - PIX: CELULAR - CHAVE: (19) 98944-4977</v>
      </c>
      <c r="I12433" t="str">
        <f>("21/11/2025")</f>
        <v>21/11/2025</v>
      </c>
      <c r="J12433" t="str">
        <f>("21/11/2025")</f>
        <v>21/11/2025</v>
      </c>
      <c r="K12433" t="str">
        <f>("21/11/2025")</f>
        <v>21/11/2025</v>
      </c>
      <c r="L12433">
        <v>280</v>
      </c>
      <c r="M12433">
        <v>280</v>
      </c>
      <c r="N12433">
        <v>109</v>
      </c>
      <c r="O12433" t="str">
        <f>"PAGAMENTO DE ENTREGADORES"</f>
        <v>PAGAMENTO DE ENTREGADORES</v>
      </c>
      <c r="P12433">
        <v>280</v>
      </c>
      <c r="S12433" t="str">
        <f>"BANCO CORA (102)"</f>
        <v>BANCO CORA (102)</v>
      </c>
      <c r="T12433">
        <v>22437</v>
      </c>
      <c r="U12433">
        <v>26330</v>
      </c>
      <c r="V12433" t="s">
        <v>22</v>
      </c>
    </row>
    <row r="12434" spans="1:22">
      <c r="A12434" t="str">
        <f t="shared" si="2404"/>
        <v>21/11/2025</v>
      </c>
      <c r="B12434" t="str">
        <f t="shared" si="2405"/>
        <v>SAÍDA</v>
      </c>
      <c r="C12434" t="str">
        <f t="shared" si="2406"/>
        <v>PIX</v>
      </c>
      <c r="D12434" t="str">
        <f>"26132"</f>
        <v>26132</v>
      </c>
      <c r="E12434" t="str">
        <f t="shared" si="2399"/>
        <v>1</v>
      </c>
      <c r="F12434" t="str">
        <f t="shared" si="2398"/>
        <v>COM</v>
      </c>
      <c r="G12434" t="str">
        <f>"ALLAN SILVA DAMACENA (790)"</f>
        <v>ALLAN SILVA DAMACENA (790)</v>
      </c>
      <c r="H12434" t="s">
        <v>3370</v>
      </c>
      <c r="I12434" t="str">
        <f t="shared" ref="I12434:J12438" si="2407">("21/11/2025")</f>
        <v>21/11/2025</v>
      </c>
      <c r="J12434" t="str">
        <f t="shared" si="2407"/>
        <v>21/11/2025</v>
      </c>
      <c r="K12434">
        <v>45982</v>
      </c>
      <c r="N12434">
        <v>109</v>
      </c>
      <c r="O12434" t="s">
        <v>24</v>
      </c>
      <c r="Q12434">
        <v>280</v>
      </c>
      <c r="R12434" t="str">
        <f>"DROGARIA MORENO LTDA (10171)"</f>
        <v>DROGARIA MORENO LTDA (10171)</v>
      </c>
      <c r="S12434" t="s">
        <v>22</v>
      </c>
      <c r="T12434">
        <v>22437</v>
      </c>
      <c r="U12434">
        <v>26330</v>
      </c>
      <c r="V12434" t="s">
        <v>22</v>
      </c>
    </row>
    <row r="12435" spans="1:22">
      <c r="A12435" t="str">
        <f t="shared" si="2404"/>
        <v>21/11/2025</v>
      </c>
      <c r="B12435" t="str">
        <f t="shared" si="2405"/>
        <v>SAÍDA</v>
      </c>
      <c r="C12435" t="str">
        <f t="shared" si="2406"/>
        <v>PIX</v>
      </c>
      <c r="D12435" t="str">
        <f>"26126"</f>
        <v>26126</v>
      </c>
      <c r="E12435" t="str">
        <f t="shared" si="2399"/>
        <v>1</v>
      </c>
      <c r="F12435" t="str">
        <f t="shared" si="2398"/>
        <v>COM</v>
      </c>
      <c r="G12435" t="str">
        <f>"ALLAN SILVA DAMACENA (790)"</f>
        <v>ALLAN SILVA DAMACENA (790)</v>
      </c>
      <c r="H12435" t="str">
        <f>"Serv.Prest. 17/11/2025 a 23/11/2025 - PIX: CELULAR - CHAVE: (19) 98944-4977"</f>
        <v>Serv.Prest. 17/11/2025 a 23/11/2025 - PIX: CELULAR - CHAVE: (19) 98944-4977</v>
      </c>
      <c r="I12435" t="str">
        <f t="shared" si="2407"/>
        <v>21/11/2025</v>
      </c>
      <c r="J12435" t="str">
        <f t="shared" si="2407"/>
        <v>21/11/2025</v>
      </c>
      <c r="K12435" t="str">
        <f>("21/11/2025")</f>
        <v>21/11/2025</v>
      </c>
      <c r="L12435">
        <v>50</v>
      </c>
      <c r="M12435">
        <v>50</v>
      </c>
      <c r="N12435">
        <v>109</v>
      </c>
      <c r="O12435" t="str">
        <f>"PAGAMENTO DE ENTREGADORES"</f>
        <v>PAGAMENTO DE ENTREGADORES</v>
      </c>
      <c r="P12435">
        <v>50</v>
      </c>
      <c r="S12435" t="str">
        <f>"BANCO CORA (102)"</f>
        <v>BANCO CORA (102)</v>
      </c>
      <c r="T12435">
        <v>22438</v>
      </c>
      <c r="U12435">
        <v>26126</v>
      </c>
      <c r="V12435" t="s">
        <v>22</v>
      </c>
    </row>
    <row r="12436" spans="1:22">
      <c r="A12436" t="str">
        <f t="shared" si="2404"/>
        <v>21/11/2025</v>
      </c>
      <c r="B12436" t="str">
        <f t="shared" si="2405"/>
        <v>SAÍDA</v>
      </c>
      <c r="C12436" t="str">
        <f t="shared" si="2406"/>
        <v>PIX</v>
      </c>
      <c r="D12436" t="str">
        <f>"26126"</f>
        <v>26126</v>
      </c>
      <c r="E12436" t="str">
        <f t="shared" si="2399"/>
        <v>1</v>
      </c>
      <c r="F12436" t="str">
        <f t="shared" si="2398"/>
        <v>COM</v>
      </c>
      <c r="G12436" t="str">
        <f>"ALLAN SILVA DAMACENA (790)"</f>
        <v>ALLAN SILVA DAMACENA (790)</v>
      </c>
      <c r="H12436" t="s">
        <v>3370</v>
      </c>
      <c r="I12436" t="str">
        <f t="shared" si="2407"/>
        <v>21/11/2025</v>
      </c>
      <c r="J12436" t="str">
        <f t="shared" si="2407"/>
        <v>21/11/2025</v>
      </c>
      <c r="K12436">
        <v>45982</v>
      </c>
      <c r="N12436">
        <v>109</v>
      </c>
      <c r="O12436" t="s">
        <v>24</v>
      </c>
      <c r="Q12436">
        <v>50</v>
      </c>
      <c r="R12436" t="str">
        <f>"DROGARIA TOTAL JUNDIAI (10177)"</f>
        <v>DROGARIA TOTAL JUNDIAI (10177)</v>
      </c>
      <c r="S12436" t="s">
        <v>22</v>
      </c>
      <c r="T12436">
        <v>22438</v>
      </c>
      <c r="U12436">
        <v>26126</v>
      </c>
      <c r="V12436" t="s">
        <v>22</v>
      </c>
    </row>
    <row r="12437" spans="1:22">
      <c r="A12437" t="str">
        <f t="shared" si="2404"/>
        <v>21/11/2025</v>
      </c>
      <c r="B12437" t="str">
        <f t="shared" si="2405"/>
        <v>SAÍDA</v>
      </c>
      <c r="C12437" t="str">
        <f t="shared" si="2406"/>
        <v>PIX</v>
      </c>
      <c r="D12437" t="str">
        <f>"26129"</f>
        <v>26129</v>
      </c>
      <c r="E12437" t="str">
        <f t="shared" si="2399"/>
        <v>1</v>
      </c>
      <c r="F12437" t="str">
        <f t="shared" si="2398"/>
        <v>COM</v>
      </c>
      <c r="G12437" t="str">
        <f>"PAULO CESAR DE FARIA (865)"</f>
        <v>PAULO CESAR DE FARIA (865)</v>
      </c>
      <c r="H12437" t="str">
        <f>"Serv.Prest. 17/11/2025 a 23/11/2025 - PIX: CELULAR - CHAVE: (11) 99992-0816"</f>
        <v>Serv.Prest. 17/11/2025 a 23/11/2025 - PIX: CELULAR - CHAVE: (11) 99992-0816</v>
      </c>
      <c r="I12437" t="str">
        <f t="shared" si="2407"/>
        <v>21/11/2025</v>
      </c>
      <c r="J12437" t="str">
        <f t="shared" si="2407"/>
        <v>21/11/2025</v>
      </c>
      <c r="K12437" t="str">
        <f>("21/11/2025")</f>
        <v>21/11/2025</v>
      </c>
      <c r="L12437">
        <v>35</v>
      </c>
      <c r="M12437">
        <v>130</v>
      </c>
      <c r="N12437">
        <v>134</v>
      </c>
      <c r="O12437" t="str">
        <f>"DIARIA DE MOTOBOY"</f>
        <v>DIARIA DE MOTOBOY</v>
      </c>
      <c r="P12437">
        <v>130</v>
      </c>
      <c r="S12437" t="str">
        <f>"BANCO CORA (102)"</f>
        <v>BANCO CORA (102)</v>
      </c>
      <c r="T12437">
        <v>22439</v>
      </c>
      <c r="U12437">
        <v>26129</v>
      </c>
      <c r="V12437" t="s">
        <v>22</v>
      </c>
    </row>
    <row r="12438" spans="1:22">
      <c r="A12438" t="str">
        <f t="shared" si="2404"/>
        <v>21/11/2025</v>
      </c>
      <c r="B12438" t="str">
        <f t="shared" si="2405"/>
        <v>SAÍDA</v>
      </c>
      <c r="C12438" t="str">
        <f t="shared" si="2406"/>
        <v>PIX</v>
      </c>
      <c r="D12438" t="str">
        <f>"26129"</f>
        <v>26129</v>
      </c>
      <c r="E12438" t="str">
        <f t="shared" si="2399"/>
        <v>1</v>
      </c>
      <c r="F12438" t="str">
        <f t="shared" si="2398"/>
        <v>COM</v>
      </c>
      <c r="G12438" t="str">
        <f>"PAULO CESAR DE FARIA (865)"</f>
        <v>PAULO CESAR DE FARIA (865)</v>
      </c>
      <c r="H12438" t="s">
        <v>3371</v>
      </c>
      <c r="I12438" t="str">
        <f t="shared" si="2407"/>
        <v>21/11/2025</v>
      </c>
      <c r="J12438" t="str">
        <f t="shared" si="2407"/>
        <v>21/11/2025</v>
      </c>
      <c r="K12438">
        <v>45982</v>
      </c>
      <c r="N12438">
        <v>134</v>
      </c>
      <c r="O12438" t="s">
        <v>41</v>
      </c>
      <c r="Q12438">
        <v>130</v>
      </c>
      <c r="R12438" t="str">
        <f>"DROGARIA TOTAL JUNDIAI (10177)"</f>
        <v>DROGARIA TOTAL JUNDIAI (10177)</v>
      </c>
      <c r="S12438" t="s">
        <v>22</v>
      </c>
      <c r="T12438">
        <v>22439</v>
      </c>
      <c r="U12438">
        <v>26129</v>
      </c>
      <c r="V12438" t="s">
        <v>22</v>
      </c>
    </row>
    <row r="12439" spans="1:22">
      <c r="A12439" t="str">
        <f t="shared" si="2404"/>
        <v>21/11/2025</v>
      </c>
      <c r="B12439" t="str">
        <f t="shared" ref="B12439:B12448" si="2408">"ENTRADA"</f>
        <v>ENTRADA</v>
      </c>
      <c r="C12439" t="str">
        <f t="shared" ref="C12439:C12448" si="2409">"NFSE"</f>
        <v>NFSE</v>
      </c>
      <c r="D12439" t="str">
        <f>"3749"</f>
        <v>3749</v>
      </c>
      <c r="E12439" t="str">
        <f t="shared" si="2399"/>
        <v>1</v>
      </c>
      <c r="F12439" t="str">
        <f t="shared" si="2398"/>
        <v>COM</v>
      </c>
      <c r="G12439" t="str">
        <f>"DROGA HONDA (10149)"</f>
        <v>DROGA HONDA (10149)</v>
      </c>
      <c r="H12439" t="str">
        <f>"Serv.Prest. 10/11/2025 a 16/11/2025 - RPS: 1625 - NFSe: 3749"</f>
        <v>Serv.Prest. 10/11/2025 a 16/11/2025 - RPS: 1625 - NFSe: 3749</v>
      </c>
      <c r="I12439" t="str">
        <f t="shared" ref="I12439:I12454" si="2410">("21/11/2025")</f>
        <v>21/11/2025</v>
      </c>
      <c r="J12439" t="str">
        <f t="shared" ref="J12439:J12448" si="2411">("18/11/2025")</f>
        <v>18/11/2025</v>
      </c>
      <c r="K12439" t="str">
        <f>("21/11/2025")</f>
        <v>21/11/2025</v>
      </c>
      <c r="L12439">
        <v>1097.82</v>
      </c>
      <c r="M12439">
        <v>1097.82</v>
      </c>
      <c r="N12439">
        <v>303</v>
      </c>
      <c r="O12439" t="str">
        <f>"RECEITAS COM ENTREGAS"</f>
        <v>RECEITAS COM ENTREGAS</v>
      </c>
      <c r="P12439">
        <v>1097.82</v>
      </c>
      <c r="S12439" t="str">
        <f>"RECEITAS COM ENTREGAS (303)"</f>
        <v>RECEITAS COM ENTREGAS (303)</v>
      </c>
      <c r="T12439">
        <v>22440</v>
      </c>
      <c r="U12439">
        <v>25840</v>
      </c>
      <c r="V12439" t="s">
        <v>22</v>
      </c>
    </row>
    <row r="12440" spans="1:22">
      <c r="A12440" t="str">
        <f t="shared" si="2404"/>
        <v>21/11/2025</v>
      </c>
      <c r="B12440" t="str">
        <f t="shared" si="2408"/>
        <v>ENTRADA</v>
      </c>
      <c r="C12440" t="str">
        <f t="shared" si="2409"/>
        <v>NFSE</v>
      </c>
      <c r="D12440" t="str">
        <f>"3749"</f>
        <v>3749</v>
      </c>
      <c r="E12440" t="str">
        <f t="shared" si="2399"/>
        <v>1</v>
      </c>
      <c r="F12440" t="str">
        <f t="shared" si="2398"/>
        <v>COM</v>
      </c>
      <c r="G12440" t="str">
        <f>"DROGA HONDA (10149)"</f>
        <v>DROGA HONDA (10149)</v>
      </c>
      <c r="H12440" t="s">
        <v>3372</v>
      </c>
      <c r="I12440" t="str">
        <f t="shared" si="2410"/>
        <v>21/11/2025</v>
      </c>
      <c r="J12440" t="str">
        <f t="shared" si="2411"/>
        <v>18/11/2025</v>
      </c>
      <c r="K12440">
        <v>45982</v>
      </c>
      <c r="N12440">
        <v>303</v>
      </c>
      <c r="O12440" t="s">
        <v>69</v>
      </c>
      <c r="Q12440">
        <v>1097.82</v>
      </c>
      <c r="R12440" t="str">
        <f>"DROGA HONDA (10149)"</f>
        <v>DROGA HONDA (10149)</v>
      </c>
      <c r="S12440" t="s">
        <v>70</v>
      </c>
      <c r="T12440">
        <v>22440</v>
      </c>
      <c r="U12440">
        <v>25840</v>
      </c>
      <c r="V12440" t="s">
        <v>22</v>
      </c>
    </row>
    <row r="12441" spans="1:22">
      <c r="A12441" t="str">
        <f t="shared" si="2404"/>
        <v>21/11/2025</v>
      </c>
      <c r="B12441" t="str">
        <f t="shared" si="2408"/>
        <v>ENTRADA</v>
      </c>
      <c r="C12441" t="str">
        <f t="shared" si="2409"/>
        <v>NFSE</v>
      </c>
      <c r="D12441" t="str">
        <f>"3748"</f>
        <v>3748</v>
      </c>
      <c r="E12441" t="str">
        <f t="shared" si="2399"/>
        <v>1</v>
      </c>
      <c r="F12441" t="str">
        <f t="shared" si="2398"/>
        <v>COM</v>
      </c>
      <c r="G12441" t="str">
        <f>"DELTA LOJA 2 (10123)"</f>
        <v>DELTA LOJA 2 (10123)</v>
      </c>
      <c r="H12441" t="str">
        <f>"Serv.Prest. 10/11/2025 a 16/11/2025 - RPS: 1624 - NFSe: 3748"</f>
        <v>Serv.Prest. 10/11/2025 a 16/11/2025 - RPS: 1624 - NFSe: 3748</v>
      </c>
      <c r="I12441" t="str">
        <f t="shared" si="2410"/>
        <v>21/11/2025</v>
      </c>
      <c r="J12441" t="str">
        <f t="shared" si="2411"/>
        <v>18/11/2025</v>
      </c>
      <c r="K12441" t="str">
        <f>("21/11/2025")</f>
        <v>21/11/2025</v>
      </c>
      <c r="L12441">
        <v>4688.6000000000004</v>
      </c>
      <c r="M12441">
        <v>4688.6000000000004</v>
      </c>
      <c r="N12441">
        <v>303</v>
      </c>
      <c r="O12441" t="str">
        <f>"RECEITAS COM ENTREGAS"</f>
        <v>RECEITAS COM ENTREGAS</v>
      </c>
      <c r="P12441">
        <v>4688.6000000000004</v>
      </c>
      <c r="S12441" t="str">
        <f>"RECEITAS COM ENTREGAS (303)"</f>
        <v>RECEITAS COM ENTREGAS (303)</v>
      </c>
      <c r="T12441">
        <v>22441</v>
      </c>
      <c r="U12441">
        <v>25834</v>
      </c>
      <c r="V12441" t="s">
        <v>22</v>
      </c>
    </row>
    <row r="12442" spans="1:22">
      <c r="A12442" t="str">
        <f t="shared" si="2404"/>
        <v>21/11/2025</v>
      </c>
      <c r="B12442" t="str">
        <f t="shared" si="2408"/>
        <v>ENTRADA</v>
      </c>
      <c r="C12442" t="str">
        <f t="shared" si="2409"/>
        <v>NFSE</v>
      </c>
      <c r="D12442" t="str">
        <f>"3748"</f>
        <v>3748</v>
      </c>
      <c r="E12442" t="str">
        <f t="shared" si="2399"/>
        <v>1</v>
      </c>
      <c r="F12442" t="str">
        <f t="shared" si="2398"/>
        <v>COM</v>
      </c>
      <c r="G12442" t="str">
        <f>"DELTA LOJA 2 (10123)"</f>
        <v>DELTA LOJA 2 (10123)</v>
      </c>
      <c r="H12442" t="s">
        <v>3373</v>
      </c>
      <c r="I12442" t="str">
        <f t="shared" si="2410"/>
        <v>21/11/2025</v>
      </c>
      <c r="J12442" t="str">
        <f t="shared" si="2411"/>
        <v>18/11/2025</v>
      </c>
      <c r="K12442">
        <v>45982</v>
      </c>
      <c r="N12442">
        <v>303</v>
      </c>
      <c r="O12442" t="s">
        <v>69</v>
      </c>
      <c r="Q12442">
        <v>4688.6000000000004</v>
      </c>
      <c r="R12442" t="str">
        <f>"DELTA LOJA 2 (10123)"</f>
        <v>DELTA LOJA 2 (10123)</v>
      </c>
      <c r="S12442" t="s">
        <v>70</v>
      </c>
      <c r="T12442">
        <v>22441</v>
      </c>
      <c r="U12442">
        <v>25834</v>
      </c>
      <c r="V12442" t="s">
        <v>22</v>
      </c>
    </row>
    <row r="12443" spans="1:22">
      <c r="A12443" t="str">
        <f t="shared" si="2404"/>
        <v>21/11/2025</v>
      </c>
      <c r="B12443" t="str">
        <f t="shared" si="2408"/>
        <v>ENTRADA</v>
      </c>
      <c r="C12443" t="str">
        <f t="shared" si="2409"/>
        <v>NFSE</v>
      </c>
      <c r="D12443" t="str">
        <f t="shared" ref="D12443:D12448" si="2412">"3732"</f>
        <v>3732</v>
      </c>
      <c r="E12443" t="str">
        <f t="shared" si="2399"/>
        <v>1</v>
      </c>
      <c r="F12443" t="str">
        <f t="shared" si="2398"/>
        <v>COM</v>
      </c>
      <c r="G12443" t="str">
        <f t="shared" ref="G12443:G12448" si="2413">"DROGALIDER 25 (10246)"</f>
        <v>DROGALIDER 25 (10246)</v>
      </c>
      <c r="H12443" t="str">
        <f>"Serv.Prest. 10/11/2025 a 16/11/2025 - RPS: 1608 - NFSe: 3732"</f>
        <v>Serv.Prest. 10/11/2025 a 16/11/2025 - RPS: 1608 - NFSe: 3732</v>
      </c>
      <c r="I12443" t="str">
        <f t="shared" si="2410"/>
        <v>21/11/2025</v>
      </c>
      <c r="J12443" t="str">
        <f t="shared" si="2411"/>
        <v>18/11/2025</v>
      </c>
      <c r="K12443" t="str">
        <f>("21/11/2025")</f>
        <v>21/11/2025</v>
      </c>
      <c r="L12443">
        <v>4608</v>
      </c>
      <c r="M12443">
        <v>4608</v>
      </c>
      <c r="N12443">
        <v>303</v>
      </c>
      <c r="O12443" t="str">
        <f>"RECEITAS COM ENTREGAS"</f>
        <v>RECEITAS COM ENTREGAS</v>
      </c>
      <c r="P12443">
        <v>4608</v>
      </c>
      <c r="S12443" t="str">
        <f>"RECEITAS COM ENTREGAS (303)"</f>
        <v>RECEITAS COM ENTREGAS (303)</v>
      </c>
      <c r="T12443">
        <v>22442</v>
      </c>
      <c r="U12443">
        <v>25613</v>
      </c>
      <c r="V12443" t="s">
        <v>22</v>
      </c>
    </row>
    <row r="12444" spans="1:22">
      <c r="A12444" t="str">
        <f t="shared" si="2404"/>
        <v>21/11/2025</v>
      </c>
      <c r="B12444" t="str">
        <f t="shared" si="2408"/>
        <v>ENTRADA</v>
      </c>
      <c r="C12444" t="str">
        <f t="shared" si="2409"/>
        <v>NFSE</v>
      </c>
      <c r="D12444" t="str">
        <f t="shared" si="2412"/>
        <v>3732</v>
      </c>
      <c r="E12444" t="str">
        <f t="shared" si="2399"/>
        <v>1</v>
      </c>
      <c r="F12444" t="str">
        <f t="shared" si="2398"/>
        <v>COM</v>
      </c>
      <c r="G12444" t="str">
        <f t="shared" si="2413"/>
        <v>DROGALIDER 25 (10246)</v>
      </c>
      <c r="H12444" t="s">
        <v>3374</v>
      </c>
      <c r="I12444" t="str">
        <f t="shared" si="2410"/>
        <v>21/11/2025</v>
      </c>
      <c r="J12444" t="str">
        <f t="shared" si="2411"/>
        <v>18/11/2025</v>
      </c>
      <c r="K12444">
        <v>45982</v>
      </c>
      <c r="N12444">
        <v>303</v>
      </c>
      <c r="O12444" t="s">
        <v>69</v>
      </c>
      <c r="Q12444">
        <v>800.87</v>
      </c>
      <c r="R12444" t="str">
        <f>"DROGALIDER 58 (10213)"</f>
        <v>DROGALIDER 58 (10213)</v>
      </c>
      <c r="S12444" t="s">
        <v>70</v>
      </c>
      <c r="T12444">
        <v>22442</v>
      </c>
      <c r="U12444">
        <v>25613</v>
      </c>
      <c r="V12444" t="s">
        <v>22</v>
      </c>
    </row>
    <row r="12445" spans="1:22">
      <c r="A12445" t="str">
        <f t="shared" si="2404"/>
        <v>21/11/2025</v>
      </c>
      <c r="B12445" t="str">
        <f t="shared" si="2408"/>
        <v>ENTRADA</v>
      </c>
      <c r="C12445" t="str">
        <f t="shared" si="2409"/>
        <v>NFSE</v>
      </c>
      <c r="D12445" t="str">
        <f t="shared" si="2412"/>
        <v>3732</v>
      </c>
      <c r="E12445" t="str">
        <f t="shared" si="2399"/>
        <v>1</v>
      </c>
      <c r="F12445" t="str">
        <f t="shared" si="2398"/>
        <v>COM</v>
      </c>
      <c r="G12445" t="str">
        <f t="shared" si="2413"/>
        <v>DROGALIDER 25 (10246)</v>
      </c>
      <c r="H12445" t="s">
        <v>3374</v>
      </c>
      <c r="I12445" t="str">
        <f t="shared" si="2410"/>
        <v>21/11/2025</v>
      </c>
      <c r="J12445" t="str">
        <f t="shared" si="2411"/>
        <v>18/11/2025</v>
      </c>
      <c r="K12445">
        <v>45982</v>
      </c>
      <c r="N12445">
        <v>303</v>
      </c>
      <c r="O12445" t="s">
        <v>69</v>
      </c>
      <c r="Q12445">
        <v>1440</v>
      </c>
      <c r="R12445" t="str">
        <f>"DROGALIDER 25 (10246)"</f>
        <v>DROGALIDER 25 (10246)</v>
      </c>
      <c r="S12445" t="s">
        <v>70</v>
      </c>
      <c r="T12445">
        <v>22442</v>
      </c>
      <c r="U12445">
        <v>25613</v>
      </c>
      <c r="V12445" t="s">
        <v>22</v>
      </c>
    </row>
    <row r="12446" spans="1:22">
      <c r="A12446" t="str">
        <f t="shared" si="2404"/>
        <v>21/11/2025</v>
      </c>
      <c r="B12446" t="str">
        <f t="shared" si="2408"/>
        <v>ENTRADA</v>
      </c>
      <c r="C12446" t="str">
        <f t="shared" si="2409"/>
        <v>NFSE</v>
      </c>
      <c r="D12446" t="str">
        <f t="shared" si="2412"/>
        <v>3732</v>
      </c>
      <c r="E12446" t="str">
        <f t="shared" si="2399"/>
        <v>1</v>
      </c>
      <c r="F12446" t="str">
        <f t="shared" si="2398"/>
        <v>COM</v>
      </c>
      <c r="G12446" t="str">
        <f t="shared" si="2413"/>
        <v>DROGALIDER 25 (10246)</v>
      </c>
      <c r="H12446" t="s">
        <v>3374</v>
      </c>
      <c r="I12446" t="str">
        <f t="shared" si="2410"/>
        <v>21/11/2025</v>
      </c>
      <c r="J12446" t="str">
        <f t="shared" si="2411"/>
        <v>18/11/2025</v>
      </c>
      <c r="K12446">
        <v>45982</v>
      </c>
      <c r="N12446">
        <v>303</v>
      </c>
      <c r="O12446" t="s">
        <v>69</v>
      </c>
      <c r="Q12446">
        <v>1124.81</v>
      </c>
      <c r="R12446" t="str">
        <f>"DROGALIDER 46 (10248)"</f>
        <v>DROGALIDER 46 (10248)</v>
      </c>
      <c r="S12446" t="s">
        <v>70</v>
      </c>
      <c r="T12446">
        <v>22442</v>
      </c>
      <c r="U12446">
        <v>25613</v>
      </c>
      <c r="V12446" t="s">
        <v>22</v>
      </c>
    </row>
    <row r="12447" spans="1:22">
      <c r="A12447" t="str">
        <f t="shared" si="2404"/>
        <v>21/11/2025</v>
      </c>
      <c r="B12447" t="str">
        <f t="shared" si="2408"/>
        <v>ENTRADA</v>
      </c>
      <c r="C12447" t="str">
        <f t="shared" si="2409"/>
        <v>NFSE</v>
      </c>
      <c r="D12447" t="str">
        <f t="shared" si="2412"/>
        <v>3732</v>
      </c>
      <c r="E12447" t="str">
        <f t="shared" si="2399"/>
        <v>1</v>
      </c>
      <c r="F12447" t="str">
        <f t="shared" si="2398"/>
        <v>COM</v>
      </c>
      <c r="G12447" t="str">
        <f t="shared" si="2413"/>
        <v>DROGALIDER 25 (10246)</v>
      </c>
      <c r="H12447" t="s">
        <v>3374</v>
      </c>
      <c r="I12447" t="str">
        <f t="shared" si="2410"/>
        <v>21/11/2025</v>
      </c>
      <c r="J12447" t="str">
        <f t="shared" si="2411"/>
        <v>18/11/2025</v>
      </c>
      <c r="K12447">
        <v>45982</v>
      </c>
      <c r="N12447">
        <v>303</v>
      </c>
      <c r="O12447" t="s">
        <v>69</v>
      </c>
      <c r="Q12447">
        <v>621.16</v>
      </c>
      <c r="R12447" t="str">
        <f>"DROGALIDER 64 (10250)"</f>
        <v>DROGALIDER 64 (10250)</v>
      </c>
      <c r="S12447" t="s">
        <v>70</v>
      </c>
      <c r="T12447">
        <v>22442</v>
      </c>
      <c r="U12447">
        <v>25613</v>
      </c>
      <c r="V12447" t="s">
        <v>22</v>
      </c>
    </row>
    <row r="12448" spans="1:22">
      <c r="A12448" t="str">
        <f t="shared" si="2404"/>
        <v>21/11/2025</v>
      </c>
      <c r="B12448" t="str">
        <f t="shared" si="2408"/>
        <v>ENTRADA</v>
      </c>
      <c r="C12448" t="str">
        <f t="shared" si="2409"/>
        <v>NFSE</v>
      </c>
      <c r="D12448" t="str">
        <f t="shared" si="2412"/>
        <v>3732</v>
      </c>
      <c r="E12448" t="str">
        <f t="shared" si="2399"/>
        <v>1</v>
      </c>
      <c r="F12448" t="str">
        <f t="shared" si="2398"/>
        <v>COM</v>
      </c>
      <c r="G12448" t="str">
        <f t="shared" si="2413"/>
        <v>DROGALIDER 25 (10246)</v>
      </c>
      <c r="H12448" t="s">
        <v>3374</v>
      </c>
      <c r="I12448" t="str">
        <f t="shared" si="2410"/>
        <v>21/11/2025</v>
      </c>
      <c r="J12448" t="str">
        <f t="shared" si="2411"/>
        <v>18/11/2025</v>
      </c>
      <c r="K12448">
        <v>45982</v>
      </c>
      <c r="N12448">
        <v>303</v>
      </c>
      <c r="O12448" t="s">
        <v>69</v>
      </c>
      <c r="Q12448">
        <v>621.16</v>
      </c>
      <c r="R12448" t="str">
        <f>"DROGALIDER 66 (10251)"</f>
        <v>DROGALIDER 66 (10251)</v>
      </c>
      <c r="S12448" t="s">
        <v>70</v>
      </c>
      <c r="T12448">
        <v>22442</v>
      </c>
      <c r="U12448">
        <v>25613</v>
      </c>
      <c r="V12448" t="s">
        <v>22</v>
      </c>
    </row>
    <row r="12449" spans="1:22">
      <c r="A12449" t="str">
        <f t="shared" si="2404"/>
        <v>21/11/2025</v>
      </c>
      <c r="B12449" t="str">
        <f t="shared" ref="B12449:B12454" si="2414">"SAÍDA"</f>
        <v>SAÍDA</v>
      </c>
      <c r="C12449" t="str">
        <f t="shared" ref="C12449:C12454" si="2415">"PIX"</f>
        <v>PIX</v>
      </c>
      <c r="D12449" t="str">
        <f>"26127"</f>
        <v>26127</v>
      </c>
      <c r="E12449" t="str">
        <f t="shared" si="2399"/>
        <v>1</v>
      </c>
      <c r="F12449" t="str">
        <f t="shared" si="2398"/>
        <v>COM</v>
      </c>
      <c r="G12449" t="str">
        <f>"JAMERSON SOUZA LOPES (749)"</f>
        <v>JAMERSON SOUZA LOPES (749)</v>
      </c>
      <c r="H12449" t="str">
        <f>"Serv.Prest. 17/11/2025 a 23/11/2025 - PIX: CPF - CHAVE: 423.098.018-36"</f>
        <v>Serv.Prest. 17/11/2025 a 23/11/2025 - PIX: CPF - CHAVE: 423.098.018-36</v>
      </c>
      <c r="I12449" t="str">
        <f t="shared" si="2410"/>
        <v>21/11/2025</v>
      </c>
      <c r="J12449" t="str">
        <f>("21/11/2025")</f>
        <v>21/11/2025</v>
      </c>
      <c r="K12449" t="str">
        <f>("21/11/2025")</f>
        <v>21/11/2025</v>
      </c>
      <c r="L12449">
        <v>150</v>
      </c>
      <c r="M12449">
        <v>150</v>
      </c>
      <c r="N12449">
        <v>109</v>
      </c>
      <c r="O12449" t="str">
        <f>"PAGAMENTO DE ENTREGADORES"</f>
        <v>PAGAMENTO DE ENTREGADORES</v>
      </c>
      <c r="P12449">
        <v>150</v>
      </c>
      <c r="S12449" t="str">
        <f>"BANCO CORA (102)"</f>
        <v>BANCO CORA (102)</v>
      </c>
      <c r="T12449">
        <v>22443</v>
      </c>
      <c r="U12449">
        <v>26332</v>
      </c>
      <c r="V12449" t="s">
        <v>22</v>
      </c>
    </row>
    <row r="12450" spans="1:22">
      <c r="A12450" t="str">
        <f t="shared" si="2404"/>
        <v>21/11/2025</v>
      </c>
      <c r="B12450" t="str">
        <f t="shared" si="2414"/>
        <v>SAÍDA</v>
      </c>
      <c r="C12450" t="str">
        <f t="shared" si="2415"/>
        <v>PIX</v>
      </c>
      <c r="D12450" t="str">
        <f>"26127"</f>
        <v>26127</v>
      </c>
      <c r="E12450" t="str">
        <f t="shared" si="2399"/>
        <v>1</v>
      </c>
      <c r="F12450" t="str">
        <f t="shared" si="2398"/>
        <v>COM</v>
      </c>
      <c r="G12450" t="str">
        <f>"JAMERSON SOUZA LOPES (749)"</f>
        <v>JAMERSON SOUZA LOPES (749)</v>
      </c>
      <c r="H12450" t="s">
        <v>3145</v>
      </c>
      <c r="I12450" t="str">
        <f t="shared" si="2410"/>
        <v>21/11/2025</v>
      </c>
      <c r="J12450" t="str">
        <f>("21/11/2025")</f>
        <v>21/11/2025</v>
      </c>
      <c r="K12450">
        <v>45982</v>
      </c>
      <c r="N12450">
        <v>109</v>
      </c>
      <c r="O12450" t="s">
        <v>24</v>
      </c>
      <c r="Q12450">
        <v>150</v>
      </c>
      <c r="R12450" t="str">
        <f>"DROGARIA TOTAL JUNDIAI (10177)"</f>
        <v>DROGARIA TOTAL JUNDIAI (10177)</v>
      </c>
      <c r="S12450" t="s">
        <v>22</v>
      </c>
      <c r="T12450">
        <v>22443</v>
      </c>
      <c r="U12450">
        <v>26332</v>
      </c>
      <c r="V12450" t="s">
        <v>22</v>
      </c>
    </row>
    <row r="12451" spans="1:22">
      <c r="A12451" t="str">
        <f t="shared" si="2404"/>
        <v>21/11/2025</v>
      </c>
      <c r="B12451" t="str">
        <f t="shared" si="2414"/>
        <v>SAÍDA</v>
      </c>
      <c r="C12451" t="str">
        <f t="shared" si="2415"/>
        <v>PIX</v>
      </c>
      <c r="D12451" t="str">
        <f>"26104"</f>
        <v>26104</v>
      </c>
      <c r="E12451" t="str">
        <f t="shared" si="2399"/>
        <v>1</v>
      </c>
      <c r="F12451" t="str">
        <f t="shared" si="2398"/>
        <v>COM</v>
      </c>
      <c r="G12451" t="str">
        <f>"LUCAS SANTOS PEREIRA (1101)"</f>
        <v>LUCAS SANTOS PEREIRA (1101)</v>
      </c>
      <c r="H12451" t="str">
        <f>"Serv.Prest. 17/11/2025 a 23/11/2025 - PIX: CELULAR - CHAVE: (11) 95460-2535"</f>
        <v>Serv.Prest. 17/11/2025 a 23/11/2025 - PIX: CELULAR - CHAVE: (11) 95460-2535</v>
      </c>
      <c r="I12451" t="str">
        <f t="shared" si="2410"/>
        <v>21/11/2025</v>
      </c>
      <c r="J12451" t="str">
        <f>("21/11/2025")</f>
        <v>21/11/2025</v>
      </c>
      <c r="K12451" t="str">
        <f>("21/11/2025")</f>
        <v>21/11/2025</v>
      </c>
      <c r="L12451">
        <v>200</v>
      </c>
      <c r="M12451">
        <v>200</v>
      </c>
      <c r="N12451">
        <v>134</v>
      </c>
      <c r="O12451" t="str">
        <f>"DIARIA DE MOTOBOY"</f>
        <v>DIARIA DE MOTOBOY</v>
      </c>
      <c r="P12451">
        <v>200</v>
      </c>
      <c r="S12451" t="str">
        <f>"BANCO CORA (102)"</f>
        <v>BANCO CORA (102)</v>
      </c>
      <c r="T12451">
        <v>22444</v>
      </c>
      <c r="U12451">
        <v>26104</v>
      </c>
      <c r="V12451" t="s">
        <v>22</v>
      </c>
    </row>
    <row r="12452" spans="1:22">
      <c r="A12452" t="str">
        <f t="shared" si="2404"/>
        <v>21/11/2025</v>
      </c>
      <c r="B12452" t="str">
        <f t="shared" si="2414"/>
        <v>SAÍDA</v>
      </c>
      <c r="C12452" t="str">
        <f t="shared" si="2415"/>
        <v>PIX</v>
      </c>
      <c r="D12452" t="str">
        <f>"26104"</f>
        <v>26104</v>
      </c>
      <c r="E12452" t="str">
        <f t="shared" si="2399"/>
        <v>1</v>
      </c>
      <c r="F12452" t="str">
        <f t="shared" si="2398"/>
        <v>COM</v>
      </c>
      <c r="G12452" t="str">
        <f>"LUCAS SANTOS PEREIRA (1101)"</f>
        <v>LUCAS SANTOS PEREIRA (1101)</v>
      </c>
      <c r="H12452" t="s">
        <v>3143</v>
      </c>
      <c r="I12452" t="str">
        <f t="shared" si="2410"/>
        <v>21/11/2025</v>
      </c>
      <c r="J12452" t="str">
        <f>("21/11/2025")</f>
        <v>21/11/2025</v>
      </c>
      <c r="K12452">
        <v>45982</v>
      </c>
      <c r="N12452">
        <v>134</v>
      </c>
      <c r="O12452" t="s">
        <v>41</v>
      </c>
      <c r="Q12452">
        <v>200</v>
      </c>
      <c r="R12452" t="str">
        <f>"PENSE FARMA 15 (10195)"</f>
        <v>PENSE FARMA 15 (10195)</v>
      </c>
      <c r="S12452" t="s">
        <v>22</v>
      </c>
      <c r="T12452">
        <v>22444</v>
      </c>
      <c r="U12452">
        <v>26104</v>
      </c>
      <c r="V12452" t="s">
        <v>22</v>
      </c>
    </row>
    <row r="12453" spans="1:22">
      <c r="A12453" t="str">
        <f t="shared" si="2404"/>
        <v>21/11/2025</v>
      </c>
      <c r="B12453" t="str">
        <f t="shared" si="2414"/>
        <v>SAÍDA</v>
      </c>
      <c r="C12453" t="str">
        <f t="shared" si="2415"/>
        <v>PIX</v>
      </c>
      <c r="D12453" t="str">
        <f>"25112025"</f>
        <v>25112025</v>
      </c>
      <c r="E12453" t="str">
        <f t="shared" si="2399"/>
        <v>1</v>
      </c>
      <c r="F12453" t="str">
        <f t="shared" si="2398"/>
        <v>COM</v>
      </c>
      <c r="G12453" t="str">
        <f>"FELIPE BRITO DOS SANTOS (1111)"</f>
        <v>FELIPE BRITO DOS SANTOS (1111)</v>
      </c>
      <c r="H12453" t="str">
        <f>"PRESTAÇÃO DE SERVIÇO ENTRE 19/11 A 23/11/2025 CHAVE PIX: felipebrito00009@gmail.com"</f>
        <v>PRESTAÇÃO DE SERVIÇO ENTRE 19/11 A 23/11/2025 CHAVE PIX: felipebrito00009@gmail.com</v>
      </c>
      <c r="I12453" t="str">
        <f t="shared" si="2410"/>
        <v>21/11/2025</v>
      </c>
      <c r="J12453" t="str">
        <f>("20/11/2025")</f>
        <v>20/11/2025</v>
      </c>
      <c r="K12453" t="str">
        <f>("21/11/2025")</f>
        <v>21/11/2025</v>
      </c>
      <c r="L12453">
        <v>250</v>
      </c>
      <c r="M12453">
        <v>250</v>
      </c>
      <c r="N12453">
        <v>134</v>
      </c>
      <c r="O12453" t="str">
        <f>"DIARIA DE MOTOBOY"</f>
        <v>DIARIA DE MOTOBOY</v>
      </c>
      <c r="P12453">
        <v>250</v>
      </c>
      <c r="S12453" t="str">
        <f>"BANCO CORA (102)"</f>
        <v>BANCO CORA (102)</v>
      </c>
      <c r="T12453">
        <v>22445</v>
      </c>
      <c r="U12453">
        <v>26326</v>
      </c>
      <c r="V12453" t="s">
        <v>22</v>
      </c>
    </row>
    <row r="12454" spans="1:22">
      <c r="A12454" t="str">
        <f t="shared" si="2404"/>
        <v>21/11/2025</v>
      </c>
      <c r="B12454" t="str">
        <f t="shared" si="2414"/>
        <v>SAÍDA</v>
      </c>
      <c r="C12454" t="str">
        <f t="shared" si="2415"/>
        <v>PIX</v>
      </c>
      <c r="D12454" t="str">
        <f>"25112025"</f>
        <v>25112025</v>
      </c>
      <c r="E12454" t="str">
        <f t="shared" si="2399"/>
        <v>1</v>
      </c>
      <c r="F12454" t="str">
        <f t="shared" si="2398"/>
        <v>COM</v>
      </c>
      <c r="G12454" t="str">
        <f>"FELIPE BRITO DOS SANTOS (1111)"</f>
        <v>FELIPE BRITO DOS SANTOS (1111)</v>
      </c>
      <c r="H12454" t="s">
        <v>3144</v>
      </c>
      <c r="I12454" t="str">
        <f t="shared" si="2410"/>
        <v>21/11/2025</v>
      </c>
      <c r="J12454" t="str">
        <f>("20/11/2025")</f>
        <v>20/11/2025</v>
      </c>
      <c r="K12454">
        <v>45982</v>
      </c>
      <c r="N12454">
        <v>134</v>
      </c>
      <c r="O12454" t="s">
        <v>41</v>
      </c>
      <c r="Q12454">
        <v>250</v>
      </c>
      <c r="R12454" t="str">
        <f>"PENSE FARMA 44 (10231)"</f>
        <v>PENSE FARMA 44 (10231)</v>
      </c>
      <c r="S12454" t="s">
        <v>22</v>
      </c>
      <c r="T12454">
        <v>22445</v>
      </c>
      <c r="U12454">
        <v>26326</v>
      </c>
      <c r="V12454" t="s">
        <v>22</v>
      </c>
    </row>
    <row r="12455" spans="1:22">
      <c r="A12455" t="str">
        <f t="shared" si="2404"/>
        <v>21/11/2025</v>
      </c>
      <c r="B12455" t="str">
        <f>"ENTRADA"</f>
        <v>ENTRADA</v>
      </c>
      <c r="C12455" t="str">
        <f>"NFSE"</f>
        <v>NFSE</v>
      </c>
      <c r="D12455" t="str">
        <f>"3738"</f>
        <v>3738</v>
      </c>
      <c r="E12455" t="str">
        <f t="shared" si="2399"/>
        <v>1</v>
      </c>
      <c r="F12455" t="str">
        <f t="shared" si="2398"/>
        <v>COM</v>
      </c>
      <c r="G12455" t="str">
        <f>"FARMACIA PLANALTO (10270)"</f>
        <v>FARMACIA PLANALTO (10270)</v>
      </c>
      <c r="H12455" t="str">
        <f>"Serv.Prest. 10/11/2025 a 16/11/2025 - RPS: 1614 - NFSe: 3738"</f>
        <v>Serv.Prest. 10/11/2025 a 16/11/2025 - RPS: 1614 - NFSe: 3738</v>
      </c>
      <c r="I12455" t="str">
        <f>("19/11/2025")</f>
        <v>19/11/2025</v>
      </c>
      <c r="J12455" t="str">
        <f>("18/11/2025")</f>
        <v>18/11/2025</v>
      </c>
      <c r="K12455" t="str">
        <f>("21/11/2025")</f>
        <v>21/11/2025</v>
      </c>
      <c r="L12455">
        <v>1200</v>
      </c>
      <c r="M12455">
        <v>1200</v>
      </c>
      <c r="N12455">
        <v>303</v>
      </c>
      <c r="O12455" t="str">
        <f>"RECEITAS COM ENTREGAS"</f>
        <v>RECEITAS COM ENTREGAS</v>
      </c>
      <c r="P12455">
        <v>1200</v>
      </c>
      <c r="S12455" t="str">
        <f>"RECEITAS COM ENTREGAS (303)"</f>
        <v>RECEITAS COM ENTREGAS (303)</v>
      </c>
      <c r="T12455">
        <v>22452</v>
      </c>
      <c r="U12455">
        <v>26362</v>
      </c>
      <c r="V12455" t="s">
        <v>22</v>
      </c>
    </row>
    <row r="12456" spans="1:22">
      <c r="A12456" t="str">
        <f t="shared" si="2404"/>
        <v>21/11/2025</v>
      </c>
      <c r="B12456" t="str">
        <f>"ENTRADA"</f>
        <v>ENTRADA</v>
      </c>
      <c r="C12456" t="str">
        <f>"NFSE"</f>
        <v>NFSE</v>
      </c>
      <c r="D12456" t="str">
        <f>"3738"</f>
        <v>3738</v>
      </c>
      <c r="E12456" t="str">
        <f t="shared" si="2399"/>
        <v>1</v>
      </c>
      <c r="F12456" t="str">
        <f t="shared" si="2398"/>
        <v>COM</v>
      </c>
      <c r="G12456" t="str">
        <f>"FARMACIA PLANALTO (10270)"</f>
        <v>FARMACIA PLANALTO (10270)</v>
      </c>
      <c r="H12456" t="s">
        <v>3375</v>
      </c>
      <c r="I12456" t="str">
        <f>("19/11/2025")</f>
        <v>19/11/2025</v>
      </c>
      <c r="J12456" t="str">
        <f>("18/11/2025")</f>
        <v>18/11/2025</v>
      </c>
      <c r="K12456">
        <v>45982</v>
      </c>
      <c r="N12456">
        <v>303</v>
      </c>
      <c r="O12456" t="s">
        <v>69</v>
      </c>
      <c r="Q12456">
        <v>1200</v>
      </c>
      <c r="R12456" t="str">
        <f>"FARMACIA PLANALTO (10270)"</f>
        <v>FARMACIA PLANALTO (10270)</v>
      </c>
      <c r="S12456" t="s">
        <v>70</v>
      </c>
      <c r="T12456">
        <v>22452</v>
      </c>
      <c r="U12456">
        <v>26362</v>
      </c>
      <c r="V12456" t="s">
        <v>22</v>
      </c>
    </row>
    <row r="12457" spans="1:22">
      <c r="A12457" t="str">
        <f t="shared" si="2404"/>
        <v>21/11/2025</v>
      </c>
      <c r="B12457" t="str">
        <f>"SAÍDA"</f>
        <v>SAÍDA</v>
      </c>
      <c r="C12457" t="str">
        <f>"TRANSFERENCIA"</f>
        <v>TRANSFERENCIA</v>
      </c>
      <c r="D12457" t="str">
        <f>""</f>
        <v/>
      </c>
      <c r="F12457" t="str">
        <f>"TRF"</f>
        <v>TRF</v>
      </c>
      <c r="G12457" t="str">
        <f>""</f>
        <v/>
      </c>
      <c r="H12457" t="str">
        <f>"TRANSFERENCIA ENTRE BANCOS (102-&gt;149)"</f>
        <v>TRANSFERENCIA ENTRE BANCOS (102-&gt;149)</v>
      </c>
      <c r="I12457" t="str">
        <f t="shared" ref="I12457:K12460" si="2416">("21/11/2025")</f>
        <v>21/11/2025</v>
      </c>
      <c r="J12457" t="str">
        <f t="shared" si="2416"/>
        <v>21/11/2025</v>
      </c>
      <c r="K12457" t="str">
        <f t="shared" si="2416"/>
        <v>21/11/2025</v>
      </c>
      <c r="N12457">
        <v>102</v>
      </c>
      <c r="O12457" t="str">
        <f>"BANCO CORA"</f>
        <v>BANCO CORA</v>
      </c>
      <c r="P12457">
        <v>97530.65</v>
      </c>
      <c r="S12457" t="str">
        <f>"BANCO CORA (102)"</f>
        <v>BANCO CORA (102)</v>
      </c>
      <c r="T12457">
        <v>22458</v>
      </c>
      <c r="U12457">
        <v>0</v>
      </c>
      <c r="V12457" t="s">
        <v>22</v>
      </c>
    </row>
    <row r="12458" spans="1:22">
      <c r="A12458" t="str">
        <f t="shared" si="2404"/>
        <v>21/11/2025</v>
      </c>
      <c r="B12458" t="str">
        <f>"ENTRADA"</f>
        <v>ENTRADA</v>
      </c>
      <c r="C12458" t="str">
        <f>"TRANSFERENCIA"</f>
        <v>TRANSFERENCIA</v>
      </c>
      <c r="D12458" t="str">
        <f>""</f>
        <v/>
      </c>
      <c r="F12458" t="str">
        <f>"TRF"</f>
        <v>TRF</v>
      </c>
      <c r="G12458" t="str">
        <f>""</f>
        <v/>
      </c>
      <c r="H12458" t="str">
        <f>"TRANSFERENCIA ENTRE BANCOS (102-&gt;149)"</f>
        <v>TRANSFERENCIA ENTRE BANCOS (102-&gt;149)</v>
      </c>
      <c r="I12458" t="str">
        <f t="shared" si="2416"/>
        <v>21/11/2025</v>
      </c>
      <c r="J12458" t="str">
        <f t="shared" si="2416"/>
        <v>21/11/2025</v>
      </c>
      <c r="K12458" t="str">
        <f t="shared" si="2416"/>
        <v>21/11/2025</v>
      </c>
      <c r="N12458">
        <v>149</v>
      </c>
      <c r="O12458" t="str">
        <f>"BANCO C6"</f>
        <v>BANCO C6</v>
      </c>
      <c r="S12458" t="str">
        <f>"BANCO C6 (149)"</f>
        <v>BANCO C6 (149)</v>
      </c>
      <c r="T12458">
        <v>22458</v>
      </c>
      <c r="U12458">
        <v>0</v>
      </c>
      <c r="V12458" t="s">
        <v>77</v>
      </c>
    </row>
    <row r="12459" spans="1:22">
      <c r="A12459" t="str">
        <f t="shared" si="2404"/>
        <v>21/11/2025</v>
      </c>
      <c r="B12459" t="str">
        <f>"ENTRADA"</f>
        <v>ENTRADA</v>
      </c>
      <c r="C12459" t="str">
        <f>"TRANSFERENCIA"</f>
        <v>TRANSFERENCIA</v>
      </c>
      <c r="D12459" t="str">
        <f>""</f>
        <v/>
      </c>
      <c r="F12459" t="str">
        <f>"TRF"</f>
        <v>TRF</v>
      </c>
      <c r="G12459" t="str">
        <f>""</f>
        <v/>
      </c>
      <c r="H12459" t="str">
        <f>"AJUDA DE CAIXA MOVIMENTAÇÃO  (131-&gt;102)"</f>
        <v>AJUDA DE CAIXA MOVIMENTAÇÃO  (131-&gt;102)</v>
      </c>
      <c r="I12459" t="str">
        <f t="shared" si="2416"/>
        <v>21/11/2025</v>
      </c>
      <c r="J12459" t="str">
        <f t="shared" si="2416"/>
        <v>21/11/2025</v>
      </c>
      <c r="K12459" t="str">
        <f t="shared" si="2416"/>
        <v>21/11/2025</v>
      </c>
      <c r="N12459">
        <v>102</v>
      </c>
      <c r="O12459" t="str">
        <f>"BANCO CORA"</f>
        <v>BANCO CORA</v>
      </c>
      <c r="P12459">
        <v>25000</v>
      </c>
      <c r="S12459" t="str">
        <f>"BANCO CORA (102)"</f>
        <v>BANCO CORA (102)</v>
      </c>
      <c r="T12459">
        <v>22459</v>
      </c>
      <c r="U12459">
        <v>0</v>
      </c>
      <c r="V12459" t="s">
        <v>22</v>
      </c>
    </row>
    <row r="12460" spans="1:22">
      <c r="A12460" t="str">
        <f t="shared" si="2404"/>
        <v>21/11/2025</v>
      </c>
      <c r="B12460" t="str">
        <f t="shared" ref="B12460:B12486" si="2417">"SAÍDA"</f>
        <v>SAÍDA</v>
      </c>
      <c r="C12460" t="str">
        <f>"TRANSFERENCIA"</f>
        <v>TRANSFERENCIA</v>
      </c>
      <c r="D12460" t="str">
        <f>""</f>
        <v/>
      </c>
      <c r="F12460" t="str">
        <f>"TRF"</f>
        <v>TRF</v>
      </c>
      <c r="G12460" t="str">
        <f>""</f>
        <v/>
      </c>
      <c r="H12460" t="str">
        <f>"AJUDA DE CAIXA MOVIMENTAÇÃO  (131-&gt;102)"</f>
        <v>AJUDA DE CAIXA MOVIMENTAÇÃO  (131-&gt;102)</v>
      </c>
      <c r="I12460" t="str">
        <f t="shared" si="2416"/>
        <v>21/11/2025</v>
      </c>
      <c r="J12460" t="str">
        <f t="shared" si="2416"/>
        <v>21/11/2025</v>
      </c>
      <c r="K12460" t="str">
        <f t="shared" si="2416"/>
        <v>21/11/2025</v>
      </c>
      <c r="N12460">
        <v>131</v>
      </c>
      <c r="O12460" t="str">
        <f>"CAIXA - FLUX"</f>
        <v>CAIXA - FLUX</v>
      </c>
      <c r="S12460" t="str">
        <f>"CAIXA - FLUX (131)"</f>
        <v>CAIXA - FLUX (131)</v>
      </c>
      <c r="T12460">
        <v>22459</v>
      </c>
      <c r="U12460">
        <v>0</v>
      </c>
      <c r="V12460" t="s">
        <v>577</v>
      </c>
    </row>
    <row r="12461" spans="1:22">
      <c r="A12461" t="str">
        <f t="shared" si="2404"/>
        <v>21/11/2025</v>
      </c>
      <c r="B12461" t="str">
        <f t="shared" si="2417"/>
        <v>SAÍDA</v>
      </c>
      <c r="C12461" t="str">
        <f>"PIX"</f>
        <v>PIX</v>
      </c>
      <c r="D12461" t="str">
        <f>"26162"</f>
        <v>26162</v>
      </c>
      <c r="E12461" t="str">
        <f>"1"</f>
        <v>1</v>
      </c>
      <c r="F12461" t="str">
        <f t="shared" ref="F12461:F12494" si="2418">"COM"</f>
        <v>COM</v>
      </c>
      <c r="G12461" t="str">
        <f>"WILLIAM DA SILVA COSTA (655)"</f>
        <v>WILLIAM DA SILVA COSTA (655)</v>
      </c>
      <c r="H12461" t="str">
        <f>"Serv.Prest. 17/11/2025 a 23/11/2025 - PIX: CELULAR - CHAVE: (64) 97400-9101"</f>
        <v>Serv.Prest. 17/11/2025 a 23/11/2025 - PIX: CELULAR - CHAVE: (64) 97400-9101</v>
      </c>
      <c r="I12461" t="str">
        <f>("27/11/2025")</f>
        <v>27/11/2025</v>
      </c>
      <c r="J12461" t="str">
        <f>("25/11/2025")</f>
        <v>25/11/2025</v>
      </c>
      <c r="K12461" t="str">
        <f>("21/11/2025")</f>
        <v>21/11/2025</v>
      </c>
      <c r="L12461">
        <v>105</v>
      </c>
      <c r="M12461">
        <v>150</v>
      </c>
      <c r="N12461">
        <v>109</v>
      </c>
      <c r="O12461" t="str">
        <f>"PAGAMENTO DE ENTREGADORES"</f>
        <v>PAGAMENTO DE ENTREGADORES</v>
      </c>
      <c r="P12461">
        <v>150</v>
      </c>
      <c r="S12461" t="str">
        <f>"BANCO CORA (102)"</f>
        <v>BANCO CORA (102)</v>
      </c>
      <c r="T12461">
        <v>22489</v>
      </c>
      <c r="U12461">
        <v>26405</v>
      </c>
      <c r="V12461" t="s">
        <v>22</v>
      </c>
    </row>
    <row r="12462" spans="1:22">
      <c r="A12462" t="str">
        <f t="shared" si="2404"/>
        <v>21/11/2025</v>
      </c>
      <c r="B12462" t="str">
        <f t="shared" si="2417"/>
        <v>SAÍDA</v>
      </c>
      <c r="C12462" t="str">
        <f>"PIX"</f>
        <v>PIX</v>
      </c>
      <c r="D12462" t="str">
        <f>"26162"</f>
        <v>26162</v>
      </c>
      <c r="E12462" t="str">
        <f>"1"</f>
        <v>1</v>
      </c>
      <c r="F12462" t="str">
        <f t="shared" si="2418"/>
        <v>COM</v>
      </c>
      <c r="G12462" t="str">
        <f>"WILLIAM DA SILVA COSTA (655)"</f>
        <v>WILLIAM DA SILVA COSTA (655)</v>
      </c>
      <c r="H12462" t="s">
        <v>3376</v>
      </c>
      <c r="I12462" t="str">
        <f>("27/11/2025")</f>
        <v>27/11/2025</v>
      </c>
      <c r="J12462" t="str">
        <f>("25/11/2025")</f>
        <v>25/11/2025</v>
      </c>
      <c r="K12462">
        <v>45982</v>
      </c>
      <c r="N12462">
        <v>109</v>
      </c>
      <c r="O12462" t="s">
        <v>24</v>
      </c>
      <c r="Q12462">
        <v>150</v>
      </c>
      <c r="R12462" t="str">
        <f>"FARMACIA ECONOMIZE (10103)"</f>
        <v>FARMACIA ECONOMIZE (10103)</v>
      </c>
      <c r="S12462" t="s">
        <v>22</v>
      </c>
      <c r="T12462">
        <v>22489</v>
      </c>
      <c r="U12462">
        <v>26405</v>
      </c>
      <c r="V12462" t="s">
        <v>22</v>
      </c>
    </row>
    <row r="12463" spans="1:22">
      <c r="A12463" t="str">
        <f t="shared" si="2404"/>
        <v>21/11/2025</v>
      </c>
      <c r="B12463" t="str">
        <f t="shared" si="2417"/>
        <v>SAÍDA</v>
      </c>
      <c r="C12463" t="str">
        <f t="shared" ref="C12463:C12486" si="2419">"CONHECIMENTO"</f>
        <v>CONHECIMENTO</v>
      </c>
      <c r="D12463" t="str">
        <f t="shared" ref="D12463:D12486" si="2420">"01092025"</f>
        <v>01092025</v>
      </c>
      <c r="E12463" t="str">
        <f>"26"</f>
        <v>26</v>
      </c>
      <c r="F12463" t="str">
        <f t="shared" si="2418"/>
        <v>COM</v>
      </c>
      <c r="G12463" t="str">
        <f t="shared" ref="G12463:G12486" si="2421">"CORA SOCIEDADE DE CREDITO, FINANCIAMENTO E INVESTIMENTO (20035)"</f>
        <v>CORA SOCIEDADE DE CREDITO, FINANCIAMENTO E INVESTIMENTO (20035)</v>
      </c>
      <c r="H12463" t="str">
        <f>"TAXA BOLETO "</f>
        <v xml:space="preserve">TAXA BOLETO </v>
      </c>
      <c r="I12463" t="str">
        <f t="shared" ref="I12463:I12488" si="2422">("21/11/2025")</f>
        <v>21/11/2025</v>
      </c>
      <c r="J12463" t="str">
        <f t="shared" ref="J12463:J12486" si="2423">("01/09/2025")</f>
        <v>01/09/2025</v>
      </c>
      <c r="K12463" t="str">
        <f>("21/11/2025")</f>
        <v>21/11/2025</v>
      </c>
      <c r="L12463">
        <v>1.7</v>
      </c>
      <c r="M12463">
        <v>1.7</v>
      </c>
      <c r="N12463">
        <v>401</v>
      </c>
      <c r="O12463" t="str">
        <f>"IOF/JUROS/DESP.FINANCEIRA"</f>
        <v>IOF/JUROS/DESP.FINANCEIRA</v>
      </c>
      <c r="P12463">
        <v>1.7</v>
      </c>
      <c r="S12463" t="str">
        <f>"BANCO CORA (102)"</f>
        <v>BANCO CORA (102)</v>
      </c>
      <c r="T12463">
        <v>22907</v>
      </c>
      <c r="U12463">
        <v>27048</v>
      </c>
      <c r="V12463" t="s">
        <v>22</v>
      </c>
    </row>
    <row r="12464" spans="1:22">
      <c r="A12464" t="str">
        <f t="shared" si="2404"/>
        <v>21/11/2025</v>
      </c>
      <c r="B12464" t="str">
        <f t="shared" si="2417"/>
        <v>SAÍDA</v>
      </c>
      <c r="C12464" t="str">
        <f t="shared" si="2419"/>
        <v>CONHECIMENTO</v>
      </c>
      <c r="D12464" t="str">
        <f t="shared" si="2420"/>
        <v>01092025</v>
      </c>
      <c r="E12464" t="str">
        <f>"26"</f>
        <v>26</v>
      </c>
      <c r="F12464" t="str">
        <f t="shared" si="2418"/>
        <v>COM</v>
      </c>
      <c r="G12464" t="str">
        <f t="shared" si="2421"/>
        <v>CORA SOCIEDADE DE CREDITO, FINANCIAMENTO E INVESTIMENTO (20035)</v>
      </c>
      <c r="H12464" t="s">
        <v>75</v>
      </c>
      <c r="I12464" t="str">
        <f t="shared" si="2422"/>
        <v>21/11/2025</v>
      </c>
      <c r="J12464" t="str">
        <f t="shared" si="2423"/>
        <v>01/09/2025</v>
      </c>
      <c r="K12464">
        <v>45982</v>
      </c>
      <c r="N12464">
        <v>401</v>
      </c>
      <c r="O12464" t="s">
        <v>76</v>
      </c>
      <c r="Q12464">
        <v>1.7</v>
      </c>
      <c r="R12464" t="str">
        <f>"CORA SOCIEDADE DE CREDITO, FINANCIAMENTO E INVESTIMENTO (20035)"</f>
        <v>CORA SOCIEDADE DE CREDITO, FINANCIAMENTO E INVESTIMENTO (20035)</v>
      </c>
      <c r="S12464" t="s">
        <v>22</v>
      </c>
      <c r="T12464">
        <v>22907</v>
      </c>
      <c r="U12464">
        <v>27048</v>
      </c>
      <c r="V12464" t="s">
        <v>22</v>
      </c>
    </row>
    <row r="12465" spans="1:22">
      <c r="A12465" t="str">
        <f t="shared" si="2404"/>
        <v>21/11/2025</v>
      </c>
      <c r="B12465" t="str">
        <f t="shared" si="2417"/>
        <v>SAÍDA</v>
      </c>
      <c r="C12465" t="str">
        <f t="shared" si="2419"/>
        <v>CONHECIMENTO</v>
      </c>
      <c r="D12465" t="str">
        <f t="shared" si="2420"/>
        <v>01092025</v>
      </c>
      <c r="E12465" t="str">
        <f>"27"</f>
        <v>27</v>
      </c>
      <c r="F12465" t="str">
        <f t="shared" si="2418"/>
        <v>COM</v>
      </c>
      <c r="G12465" t="str">
        <f t="shared" si="2421"/>
        <v>CORA SOCIEDADE DE CREDITO, FINANCIAMENTO E INVESTIMENTO (20035)</v>
      </c>
      <c r="H12465" t="str">
        <f>"TAXA BOLETO "</f>
        <v xml:space="preserve">TAXA BOLETO </v>
      </c>
      <c r="I12465" t="str">
        <f t="shared" si="2422"/>
        <v>21/11/2025</v>
      </c>
      <c r="J12465" t="str">
        <f t="shared" si="2423"/>
        <v>01/09/2025</v>
      </c>
      <c r="K12465" t="str">
        <f>("21/11/2025")</f>
        <v>21/11/2025</v>
      </c>
      <c r="L12465">
        <v>1.7</v>
      </c>
      <c r="M12465">
        <v>1.7</v>
      </c>
      <c r="N12465">
        <v>401</v>
      </c>
      <c r="O12465" t="str">
        <f>"IOF/JUROS/DESP.FINANCEIRA"</f>
        <v>IOF/JUROS/DESP.FINANCEIRA</v>
      </c>
      <c r="P12465">
        <v>1.7</v>
      </c>
      <c r="S12465" t="str">
        <f>"BANCO CORA (102)"</f>
        <v>BANCO CORA (102)</v>
      </c>
      <c r="T12465">
        <v>22908</v>
      </c>
      <c r="U12465">
        <v>27049</v>
      </c>
      <c r="V12465" t="s">
        <v>22</v>
      </c>
    </row>
    <row r="12466" spans="1:22">
      <c r="A12466" t="str">
        <f t="shared" si="2404"/>
        <v>21/11/2025</v>
      </c>
      <c r="B12466" t="str">
        <f t="shared" si="2417"/>
        <v>SAÍDA</v>
      </c>
      <c r="C12466" t="str">
        <f t="shared" si="2419"/>
        <v>CONHECIMENTO</v>
      </c>
      <c r="D12466" t="str">
        <f t="shared" si="2420"/>
        <v>01092025</v>
      </c>
      <c r="E12466" t="str">
        <f>"27"</f>
        <v>27</v>
      </c>
      <c r="F12466" t="str">
        <f t="shared" si="2418"/>
        <v>COM</v>
      </c>
      <c r="G12466" t="str">
        <f t="shared" si="2421"/>
        <v>CORA SOCIEDADE DE CREDITO, FINANCIAMENTO E INVESTIMENTO (20035)</v>
      </c>
      <c r="H12466" t="s">
        <v>75</v>
      </c>
      <c r="I12466" t="str">
        <f t="shared" si="2422"/>
        <v>21/11/2025</v>
      </c>
      <c r="J12466" t="str">
        <f t="shared" si="2423"/>
        <v>01/09/2025</v>
      </c>
      <c r="K12466">
        <v>45982</v>
      </c>
      <c r="N12466">
        <v>401</v>
      </c>
      <c r="O12466" t="s">
        <v>76</v>
      </c>
      <c r="Q12466">
        <v>1.7</v>
      </c>
      <c r="R12466" t="str">
        <f>"CORA SOCIEDADE DE CREDITO, FINANCIAMENTO E INVESTIMENTO (20035)"</f>
        <v>CORA SOCIEDADE DE CREDITO, FINANCIAMENTO E INVESTIMENTO (20035)</v>
      </c>
      <c r="S12466" t="s">
        <v>22</v>
      </c>
      <c r="T12466">
        <v>22908</v>
      </c>
      <c r="U12466">
        <v>27049</v>
      </c>
      <c r="V12466" t="s">
        <v>22</v>
      </c>
    </row>
    <row r="12467" spans="1:22">
      <c r="A12467" t="str">
        <f t="shared" si="2404"/>
        <v>21/11/2025</v>
      </c>
      <c r="B12467" t="str">
        <f t="shared" si="2417"/>
        <v>SAÍDA</v>
      </c>
      <c r="C12467" t="str">
        <f t="shared" si="2419"/>
        <v>CONHECIMENTO</v>
      </c>
      <c r="D12467" t="str">
        <f t="shared" si="2420"/>
        <v>01092025</v>
      </c>
      <c r="E12467" t="str">
        <f>"28"</f>
        <v>28</v>
      </c>
      <c r="F12467" t="str">
        <f t="shared" si="2418"/>
        <v>COM</v>
      </c>
      <c r="G12467" t="str">
        <f t="shared" si="2421"/>
        <v>CORA SOCIEDADE DE CREDITO, FINANCIAMENTO E INVESTIMENTO (20035)</v>
      </c>
      <c r="H12467" t="str">
        <f>"TAXA BOLETO "</f>
        <v xml:space="preserve">TAXA BOLETO </v>
      </c>
      <c r="I12467" t="str">
        <f t="shared" si="2422"/>
        <v>21/11/2025</v>
      </c>
      <c r="J12467" t="str">
        <f t="shared" si="2423"/>
        <v>01/09/2025</v>
      </c>
      <c r="K12467" t="str">
        <f>("21/11/2025")</f>
        <v>21/11/2025</v>
      </c>
      <c r="L12467">
        <v>1.7</v>
      </c>
      <c r="M12467">
        <v>1.7</v>
      </c>
      <c r="N12467">
        <v>401</v>
      </c>
      <c r="O12467" t="str">
        <f>"IOF/JUROS/DESP.FINANCEIRA"</f>
        <v>IOF/JUROS/DESP.FINANCEIRA</v>
      </c>
      <c r="P12467">
        <v>1.7</v>
      </c>
      <c r="S12467" t="str">
        <f>"BANCO CORA (102)"</f>
        <v>BANCO CORA (102)</v>
      </c>
      <c r="T12467">
        <v>22909</v>
      </c>
      <c r="U12467">
        <v>27050</v>
      </c>
      <c r="V12467" t="s">
        <v>22</v>
      </c>
    </row>
    <row r="12468" spans="1:22">
      <c r="A12468" t="str">
        <f t="shared" si="2404"/>
        <v>21/11/2025</v>
      </c>
      <c r="B12468" t="str">
        <f t="shared" si="2417"/>
        <v>SAÍDA</v>
      </c>
      <c r="C12468" t="str">
        <f t="shared" si="2419"/>
        <v>CONHECIMENTO</v>
      </c>
      <c r="D12468" t="str">
        <f t="shared" si="2420"/>
        <v>01092025</v>
      </c>
      <c r="E12468" t="str">
        <f>"28"</f>
        <v>28</v>
      </c>
      <c r="F12468" t="str">
        <f t="shared" si="2418"/>
        <v>COM</v>
      </c>
      <c r="G12468" t="str">
        <f t="shared" si="2421"/>
        <v>CORA SOCIEDADE DE CREDITO, FINANCIAMENTO E INVESTIMENTO (20035)</v>
      </c>
      <c r="H12468" t="s">
        <v>75</v>
      </c>
      <c r="I12468" t="str">
        <f t="shared" si="2422"/>
        <v>21/11/2025</v>
      </c>
      <c r="J12468" t="str">
        <f t="shared" si="2423"/>
        <v>01/09/2025</v>
      </c>
      <c r="K12468">
        <v>45982</v>
      </c>
      <c r="N12468">
        <v>401</v>
      </c>
      <c r="O12468" t="s">
        <v>76</v>
      </c>
      <c r="Q12468">
        <v>1.7</v>
      </c>
      <c r="R12468" t="str">
        <f>"CORA SOCIEDADE DE CREDITO, FINANCIAMENTO E INVESTIMENTO (20035)"</f>
        <v>CORA SOCIEDADE DE CREDITO, FINANCIAMENTO E INVESTIMENTO (20035)</v>
      </c>
      <c r="S12468" t="s">
        <v>22</v>
      </c>
      <c r="T12468">
        <v>22909</v>
      </c>
      <c r="U12468">
        <v>27050</v>
      </c>
      <c r="V12468" t="s">
        <v>22</v>
      </c>
    </row>
    <row r="12469" spans="1:22">
      <c r="A12469" t="str">
        <f t="shared" si="2404"/>
        <v>21/11/2025</v>
      </c>
      <c r="B12469" t="str">
        <f t="shared" si="2417"/>
        <v>SAÍDA</v>
      </c>
      <c r="C12469" t="str">
        <f t="shared" si="2419"/>
        <v>CONHECIMENTO</v>
      </c>
      <c r="D12469" t="str">
        <f t="shared" si="2420"/>
        <v>01092025</v>
      </c>
      <c r="E12469" t="str">
        <f>"29"</f>
        <v>29</v>
      </c>
      <c r="F12469" t="str">
        <f t="shared" si="2418"/>
        <v>COM</v>
      </c>
      <c r="G12469" t="str">
        <f t="shared" si="2421"/>
        <v>CORA SOCIEDADE DE CREDITO, FINANCIAMENTO E INVESTIMENTO (20035)</v>
      </c>
      <c r="H12469" t="str">
        <f>"TAXA BOLETO "</f>
        <v xml:space="preserve">TAXA BOLETO </v>
      </c>
      <c r="I12469" t="str">
        <f t="shared" si="2422"/>
        <v>21/11/2025</v>
      </c>
      <c r="J12469" t="str">
        <f t="shared" si="2423"/>
        <v>01/09/2025</v>
      </c>
      <c r="K12469" t="str">
        <f>("21/11/2025")</f>
        <v>21/11/2025</v>
      </c>
      <c r="L12469">
        <v>1.7</v>
      </c>
      <c r="M12469">
        <v>1.7</v>
      </c>
      <c r="N12469">
        <v>401</v>
      </c>
      <c r="O12469" t="str">
        <f>"IOF/JUROS/DESP.FINANCEIRA"</f>
        <v>IOF/JUROS/DESP.FINANCEIRA</v>
      </c>
      <c r="P12469">
        <v>1.7</v>
      </c>
      <c r="S12469" t="str">
        <f>"BANCO CORA (102)"</f>
        <v>BANCO CORA (102)</v>
      </c>
      <c r="T12469">
        <v>22910</v>
      </c>
      <c r="U12469">
        <v>27051</v>
      </c>
      <c r="V12469" t="s">
        <v>22</v>
      </c>
    </row>
    <row r="12470" spans="1:22">
      <c r="A12470" t="str">
        <f t="shared" si="2404"/>
        <v>21/11/2025</v>
      </c>
      <c r="B12470" t="str">
        <f t="shared" si="2417"/>
        <v>SAÍDA</v>
      </c>
      <c r="C12470" t="str">
        <f t="shared" si="2419"/>
        <v>CONHECIMENTO</v>
      </c>
      <c r="D12470" t="str">
        <f t="shared" si="2420"/>
        <v>01092025</v>
      </c>
      <c r="E12470" t="str">
        <f>"29"</f>
        <v>29</v>
      </c>
      <c r="F12470" t="str">
        <f t="shared" si="2418"/>
        <v>COM</v>
      </c>
      <c r="G12470" t="str">
        <f t="shared" si="2421"/>
        <v>CORA SOCIEDADE DE CREDITO, FINANCIAMENTO E INVESTIMENTO (20035)</v>
      </c>
      <c r="H12470" t="s">
        <v>75</v>
      </c>
      <c r="I12470" t="str">
        <f t="shared" si="2422"/>
        <v>21/11/2025</v>
      </c>
      <c r="J12470" t="str">
        <f t="shared" si="2423"/>
        <v>01/09/2025</v>
      </c>
      <c r="K12470">
        <v>45982</v>
      </c>
      <c r="N12470">
        <v>401</v>
      </c>
      <c r="O12470" t="s">
        <v>76</v>
      </c>
      <c r="Q12470">
        <v>1.7</v>
      </c>
      <c r="R12470" t="str">
        <f>"CORA SOCIEDADE DE CREDITO, FINANCIAMENTO E INVESTIMENTO (20035)"</f>
        <v>CORA SOCIEDADE DE CREDITO, FINANCIAMENTO E INVESTIMENTO (20035)</v>
      </c>
      <c r="S12470" t="s">
        <v>22</v>
      </c>
      <c r="T12470">
        <v>22910</v>
      </c>
      <c r="U12470">
        <v>27051</v>
      </c>
      <c r="V12470" t="s">
        <v>22</v>
      </c>
    </row>
    <row r="12471" spans="1:22">
      <c r="A12471" t="str">
        <f t="shared" si="2404"/>
        <v>21/11/2025</v>
      </c>
      <c r="B12471" t="str">
        <f t="shared" si="2417"/>
        <v>SAÍDA</v>
      </c>
      <c r="C12471" t="str">
        <f t="shared" si="2419"/>
        <v>CONHECIMENTO</v>
      </c>
      <c r="D12471" t="str">
        <f t="shared" si="2420"/>
        <v>01092025</v>
      </c>
      <c r="E12471" t="str">
        <f>"30"</f>
        <v>30</v>
      </c>
      <c r="F12471" t="str">
        <f t="shared" si="2418"/>
        <v>COM</v>
      </c>
      <c r="G12471" t="str">
        <f t="shared" si="2421"/>
        <v>CORA SOCIEDADE DE CREDITO, FINANCIAMENTO E INVESTIMENTO (20035)</v>
      </c>
      <c r="H12471" t="str">
        <f>"TAXA BOLETO "</f>
        <v xml:space="preserve">TAXA BOLETO </v>
      </c>
      <c r="I12471" t="str">
        <f t="shared" si="2422"/>
        <v>21/11/2025</v>
      </c>
      <c r="J12471" t="str">
        <f t="shared" si="2423"/>
        <v>01/09/2025</v>
      </c>
      <c r="K12471" t="str">
        <f>("21/11/2025")</f>
        <v>21/11/2025</v>
      </c>
      <c r="L12471">
        <v>1.7</v>
      </c>
      <c r="M12471">
        <v>1.7</v>
      </c>
      <c r="N12471">
        <v>401</v>
      </c>
      <c r="O12471" t="str">
        <f>"IOF/JUROS/DESP.FINANCEIRA"</f>
        <v>IOF/JUROS/DESP.FINANCEIRA</v>
      </c>
      <c r="P12471">
        <v>1.7</v>
      </c>
      <c r="S12471" t="str">
        <f>"BANCO CORA (102)"</f>
        <v>BANCO CORA (102)</v>
      </c>
      <c r="T12471">
        <v>22911</v>
      </c>
      <c r="U12471">
        <v>27052</v>
      </c>
      <c r="V12471" t="s">
        <v>22</v>
      </c>
    </row>
    <row r="12472" spans="1:22">
      <c r="A12472" t="str">
        <f t="shared" si="2404"/>
        <v>21/11/2025</v>
      </c>
      <c r="B12472" t="str">
        <f t="shared" si="2417"/>
        <v>SAÍDA</v>
      </c>
      <c r="C12472" t="str">
        <f t="shared" si="2419"/>
        <v>CONHECIMENTO</v>
      </c>
      <c r="D12472" t="str">
        <f t="shared" si="2420"/>
        <v>01092025</v>
      </c>
      <c r="E12472" t="str">
        <f>"30"</f>
        <v>30</v>
      </c>
      <c r="F12472" t="str">
        <f t="shared" si="2418"/>
        <v>COM</v>
      </c>
      <c r="G12472" t="str">
        <f t="shared" si="2421"/>
        <v>CORA SOCIEDADE DE CREDITO, FINANCIAMENTO E INVESTIMENTO (20035)</v>
      </c>
      <c r="H12472" t="s">
        <v>75</v>
      </c>
      <c r="I12472" t="str">
        <f t="shared" si="2422"/>
        <v>21/11/2025</v>
      </c>
      <c r="J12472" t="str">
        <f t="shared" si="2423"/>
        <v>01/09/2025</v>
      </c>
      <c r="K12472">
        <v>45982</v>
      </c>
      <c r="N12472">
        <v>401</v>
      </c>
      <c r="O12472" t="s">
        <v>76</v>
      </c>
      <c r="Q12472">
        <v>1.7</v>
      </c>
      <c r="R12472" t="str">
        <f>"CORA SOCIEDADE DE CREDITO, FINANCIAMENTO E INVESTIMENTO (20035)"</f>
        <v>CORA SOCIEDADE DE CREDITO, FINANCIAMENTO E INVESTIMENTO (20035)</v>
      </c>
      <c r="S12472" t="s">
        <v>22</v>
      </c>
      <c r="T12472">
        <v>22911</v>
      </c>
      <c r="U12472">
        <v>27052</v>
      </c>
      <c r="V12472" t="s">
        <v>22</v>
      </c>
    </row>
    <row r="12473" spans="1:22">
      <c r="A12473" t="str">
        <f t="shared" si="2404"/>
        <v>21/11/2025</v>
      </c>
      <c r="B12473" t="str">
        <f t="shared" si="2417"/>
        <v>SAÍDA</v>
      </c>
      <c r="C12473" t="str">
        <f t="shared" si="2419"/>
        <v>CONHECIMENTO</v>
      </c>
      <c r="D12473" t="str">
        <f t="shared" si="2420"/>
        <v>01092025</v>
      </c>
      <c r="E12473" t="str">
        <f>"31"</f>
        <v>31</v>
      </c>
      <c r="F12473" t="str">
        <f t="shared" si="2418"/>
        <v>COM</v>
      </c>
      <c r="G12473" t="str">
        <f t="shared" si="2421"/>
        <v>CORA SOCIEDADE DE CREDITO, FINANCIAMENTO E INVESTIMENTO (20035)</v>
      </c>
      <c r="H12473" t="str">
        <f>"TAXA BOLETO "</f>
        <v xml:space="preserve">TAXA BOLETO </v>
      </c>
      <c r="I12473" t="str">
        <f t="shared" si="2422"/>
        <v>21/11/2025</v>
      </c>
      <c r="J12473" t="str">
        <f t="shared" si="2423"/>
        <v>01/09/2025</v>
      </c>
      <c r="K12473" t="str">
        <f>("21/11/2025")</f>
        <v>21/11/2025</v>
      </c>
      <c r="L12473">
        <v>1.7</v>
      </c>
      <c r="M12473">
        <v>1.7</v>
      </c>
      <c r="N12473">
        <v>401</v>
      </c>
      <c r="O12473" t="str">
        <f>"IOF/JUROS/DESP.FINANCEIRA"</f>
        <v>IOF/JUROS/DESP.FINANCEIRA</v>
      </c>
      <c r="P12473">
        <v>1.7</v>
      </c>
      <c r="S12473" t="str">
        <f>"BANCO CORA (102)"</f>
        <v>BANCO CORA (102)</v>
      </c>
      <c r="T12473">
        <v>22912</v>
      </c>
      <c r="U12473">
        <v>27053</v>
      </c>
      <c r="V12473" t="s">
        <v>22</v>
      </c>
    </row>
    <row r="12474" spans="1:22">
      <c r="A12474" t="str">
        <f t="shared" si="2404"/>
        <v>21/11/2025</v>
      </c>
      <c r="B12474" t="str">
        <f t="shared" si="2417"/>
        <v>SAÍDA</v>
      </c>
      <c r="C12474" t="str">
        <f t="shared" si="2419"/>
        <v>CONHECIMENTO</v>
      </c>
      <c r="D12474" t="str">
        <f t="shared" si="2420"/>
        <v>01092025</v>
      </c>
      <c r="E12474" t="str">
        <f>"31"</f>
        <v>31</v>
      </c>
      <c r="F12474" t="str">
        <f t="shared" si="2418"/>
        <v>COM</v>
      </c>
      <c r="G12474" t="str">
        <f t="shared" si="2421"/>
        <v>CORA SOCIEDADE DE CREDITO, FINANCIAMENTO E INVESTIMENTO (20035)</v>
      </c>
      <c r="H12474" t="s">
        <v>75</v>
      </c>
      <c r="I12474" t="str">
        <f t="shared" si="2422"/>
        <v>21/11/2025</v>
      </c>
      <c r="J12474" t="str">
        <f t="shared" si="2423"/>
        <v>01/09/2025</v>
      </c>
      <c r="K12474">
        <v>45982</v>
      </c>
      <c r="N12474">
        <v>401</v>
      </c>
      <c r="O12474" t="s">
        <v>76</v>
      </c>
      <c r="Q12474">
        <v>1.7</v>
      </c>
      <c r="R12474" t="str">
        <f>"CORA SOCIEDADE DE CREDITO, FINANCIAMENTO E INVESTIMENTO (20035)"</f>
        <v>CORA SOCIEDADE DE CREDITO, FINANCIAMENTO E INVESTIMENTO (20035)</v>
      </c>
      <c r="S12474" t="s">
        <v>22</v>
      </c>
      <c r="T12474">
        <v>22912</v>
      </c>
      <c r="U12474">
        <v>27053</v>
      </c>
      <c r="V12474" t="s">
        <v>22</v>
      </c>
    </row>
    <row r="12475" spans="1:22">
      <c r="A12475" t="str">
        <f t="shared" si="2404"/>
        <v>21/11/2025</v>
      </c>
      <c r="B12475" t="str">
        <f t="shared" si="2417"/>
        <v>SAÍDA</v>
      </c>
      <c r="C12475" t="str">
        <f t="shared" si="2419"/>
        <v>CONHECIMENTO</v>
      </c>
      <c r="D12475" t="str">
        <f t="shared" si="2420"/>
        <v>01092025</v>
      </c>
      <c r="E12475" t="str">
        <f>"32"</f>
        <v>32</v>
      </c>
      <c r="F12475" t="str">
        <f t="shared" si="2418"/>
        <v>COM</v>
      </c>
      <c r="G12475" t="str">
        <f t="shared" si="2421"/>
        <v>CORA SOCIEDADE DE CREDITO, FINANCIAMENTO E INVESTIMENTO (20035)</v>
      </c>
      <c r="H12475" t="str">
        <f>"TAXA BOLETO "</f>
        <v xml:space="preserve">TAXA BOLETO </v>
      </c>
      <c r="I12475" t="str">
        <f t="shared" si="2422"/>
        <v>21/11/2025</v>
      </c>
      <c r="J12475" t="str">
        <f t="shared" si="2423"/>
        <v>01/09/2025</v>
      </c>
      <c r="K12475" t="str">
        <f>("21/11/2025")</f>
        <v>21/11/2025</v>
      </c>
      <c r="L12475">
        <v>1.7</v>
      </c>
      <c r="M12475">
        <v>1.7</v>
      </c>
      <c r="N12475">
        <v>401</v>
      </c>
      <c r="O12475" t="str">
        <f>"IOF/JUROS/DESP.FINANCEIRA"</f>
        <v>IOF/JUROS/DESP.FINANCEIRA</v>
      </c>
      <c r="P12475">
        <v>1.7</v>
      </c>
      <c r="S12475" t="str">
        <f>"BANCO CORA (102)"</f>
        <v>BANCO CORA (102)</v>
      </c>
      <c r="T12475">
        <v>22913</v>
      </c>
      <c r="U12475">
        <v>27054</v>
      </c>
      <c r="V12475" t="s">
        <v>22</v>
      </c>
    </row>
    <row r="12476" spans="1:22">
      <c r="A12476" t="str">
        <f t="shared" si="2404"/>
        <v>21/11/2025</v>
      </c>
      <c r="B12476" t="str">
        <f t="shared" si="2417"/>
        <v>SAÍDA</v>
      </c>
      <c r="C12476" t="str">
        <f t="shared" si="2419"/>
        <v>CONHECIMENTO</v>
      </c>
      <c r="D12476" t="str">
        <f t="shared" si="2420"/>
        <v>01092025</v>
      </c>
      <c r="E12476" t="str">
        <f>"32"</f>
        <v>32</v>
      </c>
      <c r="F12476" t="str">
        <f t="shared" si="2418"/>
        <v>COM</v>
      </c>
      <c r="G12476" t="str">
        <f t="shared" si="2421"/>
        <v>CORA SOCIEDADE DE CREDITO, FINANCIAMENTO E INVESTIMENTO (20035)</v>
      </c>
      <c r="H12476" t="s">
        <v>75</v>
      </c>
      <c r="I12476" t="str">
        <f t="shared" si="2422"/>
        <v>21/11/2025</v>
      </c>
      <c r="J12476" t="str">
        <f t="shared" si="2423"/>
        <v>01/09/2025</v>
      </c>
      <c r="K12476">
        <v>45982</v>
      </c>
      <c r="N12476">
        <v>401</v>
      </c>
      <c r="O12476" t="s">
        <v>76</v>
      </c>
      <c r="Q12476">
        <v>1.7</v>
      </c>
      <c r="R12476" t="str">
        <f>"CORA SOCIEDADE DE CREDITO, FINANCIAMENTO E INVESTIMENTO (20035)"</f>
        <v>CORA SOCIEDADE DE CREDITO, FINANCIAMENTO E INVESTIMENTO (20035)</v>
      </c>
      <c r="S12476" t="s">
        <v>22</v>
      </c>
      <c r="T12476">
        <v>22913</v>
      </c>
      <c r="U12476">
        <v>27054</v>
      </c>
      <c r="V12476" t="s">
        <v>22</v>
      </c>
    </row>
    <row r="12477" spans="1:22">
      <c r="A12477" t="str">
        <f t="shared" si="2404"/>
        <v>21/11/2025</v>
      </c>
      <c r="B12477" t="str">
        <f t="shared" si="2417"/>
        <v>SAÍDA</v>
      </c>
      <c r="C12477" t="str">
        <f t="shared" si="2419"/>
        <v>CONHECIMENTO</v>
      </c>
      <c r="D12477" t="str">
        <f t="shared" si="2420"/>
        <v>01092025</v>
      </c>
      <c r="E12477" t="str">
        <f>"33"</f>
        <v>33</v>
      </c>
      <c r="F12477" t="str">
        <f t="shared" si="2418"/>
        <v>COM</v>
      </c>
      <c r="G12477" t="str">
        <f t="shared" si="2421"/>
        <v>CORA SOCIEDADE DE CREDITO, FINANCIAMENTO E INVESTIMENTO (20035)</v>
      </c>
      <c r="H12477" t="str">
        <f>"TAXA BOLETO "</f>
        <v xml:space="preserve">TAXA BOLETO </v>
      </c>
      <c r="I12477" t="str">
        <f t="shared" si="2422"/>
        <v>21/11/2025</v>
      </c>
      <c r="J12477" t="str">
        <f t="shared" si="2423"/>
        <v>01/09/2025</v>
      </c>
      <c r="K12477" t="str">
        <f>("21/11/2025")</f>
        <v>21/11/2025</v>
      </c>
      <c r="L12477">
        <v>1.7</v>
      </c>
      <c r="M12477">
        <v>1.7</v>
      </c>
      <c r="N12477">
        <v>401</v>
      </c>
      <c r="O12477" t="str">
        <f>"IOF/JUROS/DESP.FINANCEIRA"</f>
        <v>IOF/JUROS/DESP.FINANCEIRA</v>
      </c>
      <c r="P12477">
        <v>1.7</v>
      </c>
      <c r="S12477" t="str">
        <f>"BANCO CORA (102)"</f>
        <v>BANCO CORA (102)</v>
      </c>
      <c r="T12477">
        <v>22914</v>
      </c>
      <c r="U12477">
        <v>27055</v>
      </c>
      <c r="V12477" t="s">
        <v>22</v>
      </c>
    </row>
    <row r="12478" spans="1:22">
      <c r="A12478" t="str">
        <f t="shared" si="2404"/>
        <v>21/11/2025</v>
      </c>
      <c r="B12478" t="str">
        <f t="shared" si="2417"/>
        <v>SAÍDA</v>
      </c>
      <c r="C12478" t="str">
        <f t="shared" si="2419"/>
        <v>CONHECIMENTO</v>
      </c>
      <c r="D12478" t="str">
        <f t="shared" si="2420"/>
        <v>01092025</v>
      </c>
      <c r="E12478" t="str">
        <f>"33"</f>
        <v>33</v>
      </c>
      <c r="F12478" t="str">
        <f t="shared" si="2418"/>
        <v>COM</v>
      </c>
      <c r="G12478" t="str">
        <f t="shared" si="2421"/>
        <v>CORA SOCIEDADE DE CREDITO, FINANCIAMENTO E INVESTIMENTO (20035)</v>
      </c>
      <c r="H12478" t="s">
        <v>75</v>
      </c>
      <c r="I12478" t="str">
        <f t="shared" si="2422"/>
        <v>21/11/2025</v>
      </c>
      <c r="J12478" t="str">
        <f t="shared" si="2423"/>
        <v>01/09/2025</v>
      </c>
      <c r="K12478">
        <v>45982</v>
      </c>
      <c r="N12478">
        <v>401</v>
      </c>
      <c r="O12478" t="s">
        <v>76</v>
      </c>
      <c r="Q12478">
        <v>1.7</v>
      </c>
      <c r="R12478" t="str">
        <f>"CORA SOCIEDADE DE CREDITO, FINANCIAMENTO E INVESTIMENTO (20035)"</f>
        <v>CORA SOCIEDADE DE CREDITO, FINANCIAMENTO E INVESTIMENTO (20035)</v>
      </c>
      <c r="S12478" t="s">
        <v>22</v>
      </c>
      <c r="T12478">
        <v>22914</v>
      </c>
      <c r="U12478">
        <v>27055</v>
      </c>
      <c r="V12478" t="s">
        <v>22</v>
      </c>
    </row>
    <row r="12479" spans="1:22">
      <c r="A12479" t="str">
        <f t="shared" si="2404"/>
        <v>21/11/2025</v>
      </c>
      <c r="B12479" t="str">
        <f t="shared" si="2417"/>
        <v>SAÍDA</v>
      </c>
      <c r="C12479" t="str">
        <f t="shared" si="2419"/>
        <v>CONHECIMENTO</v>
      </c>
      <c r="D12479" t="str">
        <f t="shared" si="2420"/>
        <v>01092025</v>
      </c>
      <c r="E12479" t="str">
        <f>"34"</f>
        <v>34</v>
      </c>
      <c r="F12479" t="str">
        <f t="shared" si="2418"/>
        <v>COM</v>
      </c>
      <c r="G12479" t="str">
        <f t="shared" si="2421"/>
        <v>CORA SOCIEDADE DE CREDITO, FINANCIAMENTO E INVESTIMENTO (20035)</v>
      </c>
      <c r="H12479" t="str">
        <f>"TAXA BOLETO "</f>
        <v xml:space="preserve">TAXA BOLETO </v>
      </c>
      <c r="I12479" t="str">
        <f t="shared" si="2422"/>
        <v>21/11/2025</v>
      </c>
      <c r="J12479" t="str">
        <f t="shared" si="2423"/>
        <v>01/09/2025</v>
      </c>
      <c r="K12479" t="str">
        <f>("21/11/2025")</f>
        <v>21/11/2025</v>
      </c>
      <c r="L12479">
        <v>1.7</v>
      </c>
      <c r="M12479">
        <v>1.7</v>
      </c>
      <c r="N12479">
        <v>401</v>
      </c>
      <c r="O12479" t="str">
        <f>"IOF/JUROS/DESP.FINANCEIRA"</f>
        <v>IOF/JUROS/DESP.FINANCEIRA</v>
      </c>
      <c r="P12479">
        <v>1.7</v>
      </c>
      <c r="S12479" t="str">
        <f>"BANCO CORA (102)"</f>
        <v>BANCO CORA (102)</v>
      </c>
      <c r="T12479">
        <v>22915</v>
      </c>
      <c r="U12479">
        <v>27056</v>
      </c>
      <c r="V12479" t="s">
        <v>22</v>
      </c>
    </row>
    <row r="12480" spans="1:22">
      <c r="A12480" t="str">
        <f t="shared" si="2404"/>
        <v>21/11/2025</v>
      </c>
      <c r="B12480" t="str">
        <f t="shared" si="2417"/>
        <v>SAÍDA</v>
      </c>
      <c r="C12480" t="str">
        <f t="shared" si="2419"/>
        <v>CONHECIMENTO</v>
      </c>
      <c r="D12480" t="str">
        <f t="shared" si="2420"/>
        <v>01092025</v>
      </c>
      <c r="E12480" t="str">
        <f>"34"</f>
        <v>34</v>
      </c>
      <c r="F12480" t="str">
        <f t="shared" si="2418"/>
        <v>COM</v>
      </c>
      <c r="G12480" t="str">
        <f t="shared" si="2421"/>
        <v>CORA SOCIEDADE DE CREDITO, FINANCIAMENTO E INVESTIMENTO (20035)</v>
      </c>
      <c r="H12480" t="s">
        <v>75</v>
      </c>
      <c r="I12480" t="str">
        <f t="shared" si="2422"/>
        <v>21/11/2025</v>
      </c>
      <c r="J12480" t="str">
        <f t="shared" si="2423"/>
        <v>01/09/2025</v>
      </c>
      <c r="K12480">
        <v>45982</v>
      </c>
      <c r="N12480">
        <v>401</v>
      </c>
      <c r="O12480" t="s">
        <v>76</v>
      </c>
      <c r="Q12480">
        <v>1.7</v>
      </c>
      <c r="R12480" t="str">
        <f>"CORA SOCIEDADE DE CREDITO, FINANCIAMENTO E INVESTIMENTO (20035)"</f>
        <v>CORA SOCIEDADE DE CREDITO, FINANCIAMENTO E INVESTIMENTO (20035)</v>
      </c>
      <c r="S12480" t="s">
        <v>22</v>
      </c>
      <c r="T12480">
        <v>22915</v>
      </c>
      <c r="U12480">
        <v>27056</v>
      </c>
      <c r="V12480" t="s">
        <v>22</v>
      </c>
    </row>
    <row r="12481" spans="1:22">
      <c r="A12481" t="str">
        <f t="shared" si="2404"/>
        <v>21/11/2025</v>
      </c>
      <c r="B12481" t="str">
        <f t="shared" si="2417"/>
        <v>SAÍDA</v>
      </c>
      <c r="C12481" t="str">
        <f t="shared" si="2419"/>
        <v>CONHECIMENTO</v>
      </c>
      <c r="D12481" t="str">
        <f t="shared" si="2420"/>
        <v>01092025</v>
      </c>
      <c r="E12481" t="str">
        <f>"35"</f>
        <v>35</v>
      </c>
      <c r="F12481" t="str">
        <f t="shared" si="2418"/>
        <v>COM</v>
      </c>
      <c r="G12481" t="str">
        <f t="shared" si="2421"/>
        <v>CORA SOCIEDADE DE CREDITO, FINANCIAMENTO E INVESTIMENTO (20035)</v>
      </c>
      <c r="H12481" t="str">
        <f>"TAXA BOLETO "</f>
        <v xml:space="preserve">TAXA BOLETO </v>
      </c>
      <c r="I12481" t="str">
        <f t="shared" si="2422"/>
        <v>21/11/2025</v>
      </c>
      <c r="J12481" t="str">
        <f t="shared" si="2423"/>
        <v>01/09/2025</v>
      </c>
      <c r="K12481" t="str">
        <f>("21/11/2025")</f>
        <v>21/11/2025</v>
      </c>
      <c r="L12481">
        <v>1.7</v>
      </c>
      <c r="M12481">
        <v>1.7</v>
      </c>
      <c r="N12481">
        <v>401</v>
      </c>
      <c r="O12481" t="str">
        <f>"IOF/JUROS/DESP.FINANCEIRA"</f>
        <v>IOF/JUROS/DESP.FINANCEIRA</v>
      </c>
      <c r="P12481">
        <v>1.7</v>
      </c>
      <c r="S12481" t="str">
        <f>"BANCO CORA (102)"</f>
        <v>BANCO CORA (102)</v>
      </c>
      <c r="T12481">
        <v>22916</v>
      </c>
      <c r="U12481">
        <v>27057</v>
      </c>
      <c r="V12481" t="s">
        <v>22</v>
      </c>
    </row>
    <row r="12482" spans="1:22">
      <c r="A12482" t="str">
        <f t="shared" si="2404"/>
        <v>21/11/2025</v>
      </c>
      <c r="B12482" t="str">
        <f t="shared" si="2417"/>
        <v>SAÍDA</v>
      </c>
      <c r="C12482" t="str">
        <f t="shared" si="2419"/>
        <v>CONHECIMENTO</v>
      </c>
      <c r="D12482" t="str">
        <f t="shared" si="2420"/>
        <v>01092025</v>
      </c>
      <c r="E12482" t="str">
        <f>"35"</f>
        <v>35</v>
      </c>
      <c r="F12482" t="str">
        <f t="shared" si="2418"/>
        <v>COM</v>
      </c>
      <c r="G12482" t="str">
        <f t="shared" si="2421"/>
        <v>CORA SOCIEDADE DE CREDITO, FINANCIAMENTO E INVESTIMENTO (20035)</v>
      </c>
      <c r="H12482" t="s">
        <v>75</v>
      </c>
      <c r="I12482" t="str">
        <f t="shared" si="2422"/>
        <v>21/11/2025</v>
      </c>
      <c r="J12482" t="str">
        <f t="shared" si="2423"/>
        <v>01/09/2025</v>
      </c>
      <c r="K12482">
        <v>45982</v>
      </c>
      <c r="N12482">
        <v>401</v>
      </c>
      <c r="O12482" t="s">
        <v>76</v>
      </c>
      <c r="Q12482">
        <v>1.7</v>
      </c>
      <c r="R12482" t="str">
        <f>"CORA SOCIEDADE DE CREDITO, FINANCIAMENTO E INVESTIMENTO (20035)"</f>
        <v>CORA SOCIEDADE DE CREDITO, FINANCIAMENTO E INVESTIMENTO (20035)</v>
      </c>
      <c r="S12482" t="s">
        <v>22</v>
      </c>
      <c r="T12482">
        <v>22916</v>
      </c>
      <c r="U12482">
        <v>27057</v>
      </c>
      <c r="V12482" t="s">
        <v>22</v>
      </c>
    </row>
    <row r="12483" spans="1:22">
      <c r="A12483" t="str">
        <f t="shared" si="2404"/>
        <v>21/11/2025</v>
      </c>
      <c r="B12483" t="str">
        <f t="shared" si="2417"/>
        <v>SAÍDA</v>
      </c>
      <c r="C12483" t="str">
        <f t="shared" si="2419"/>
        <v>CONHECIMENTO</v>
      </c>
      <c r="D12483" t="str">
        <f t="shared" si="2420"/>
        <v>01092025</v>
      </c>
      <c r="E12483" t="str">
        <f>"36"</f>
        <v>36</v>
      </c>
      <c r="F12483" t="str">
        <f t="shared" si="2418"/>
        <v>COM</v>
      </c>
      <c r="G12483" t="str">
        <f t="shared" si="2421"/>
        <v>CORA SOCIEDADE DE CREDITO, FINANCIAMENTO E INVESTIMENTO (20035)</v>
      </c>
      <c r="H12483" t="str">
        <f>"TAXA BOLETO "</f>
        <v xml:space="preserve">TAXA BOLETO </v>
      </c>
      <c r="I12483" t="str">
        <f t="shared" si="2422"/>
        <v>21/11/2025</v>
      </c>
      <c r="J12483" t="str">
        <f t="shared" si="2423"/>
        <v>01/09/2025</v>
      </c>
      <c r="K12483" t="str">
        <f>("21/11/2025")</f>
        <v>21/11/2025</v>
      </c>
      <c r="L12483">
        <v>1.7</v>
      </c>
      <c r="M12483">
        <v>1.7</v>
      </c>
      <c r="N12483">
        <v>401</v>
      </c>
      <c r="O12483" t="str">
        <f>"IOF/JUROS/DESP.FINANCEIRA"</f>
        <v>IOF/JUROS/DESP.FINANCEIRA</v>
      </c>
      <c r="P12483">
        <v>1.7</v>
      </c>
      <c r="S12483" t="str">
        <f>"BANCO CORA (102)"</f>
        <v>BANCO CORA (102)</v>
      </c>
      <c r="T12483">
        <v>22917</v>
      </c>
      <c r="U12483">
        <v>27058</v>
      </c>
      <c r="V12483" t="s">
        <v>22</v>
      </c>
    </row>
    <row r="12484" spans="1:22">
      <c r="A12484" t="str">
        <f t="shared" si="2404"/>
        <v>21/11/2025</v>
      </c>
      <c r="B12484" t="str">
        <f t="shared" si="2417"/>
        <v>SAÍDA</v>
      </c>
      <c r="C12484" t="str">
        <f t="shared" si="2419"/>
        <v>CONHECIMENTO</v>
      </c>
      <c r="D12484" t="str">
        <f t="shared" si="2420"/>
        <v>01092025</v>
      </c>
      <c r="E12484" t="str">
        <f>"36"</f>
        <v>36</v>
      </c>
      <c r="F12484" t="str">
        <f t="shared" si="2418"/>
        <v>COM</v>
      </c>
      <c r="G12484" t="str">
        <f t="shared" si="2421"/>
        <v>CORA SOCIEDADE DE CREDITO, FINANCIAMENTO E INVESTIMENTO (20035)</v>
      </c>
      <c r="H12484" t="s">
        <v>75</v>
      </c>
      <c r="I12484" t="str">
        <f t="shared" si="2422"/>
        <v>21/11/2025</v>
      </c>
      <c r="J12484" t="str">
        <f t="shared" si="2423"/>
        <v>01/09/2025</v>
      </c>
      <c r="K12484">
        <v>45982</v>
      </c>
      <c r="N12484">
        <v>401</v>
      </c>
      <c r="O12484" t="s">
        <v>76</v>
      </c>
      <c r="Q12484">
        <v>1.7</v>
      </c>
      <c r="R12484" t="str">
        <f>"CORA SOCIEDADE DE CREDITO, FINANCIAMENTO E INVESTIMENTO (20035)"</f>
        <v>CORA SOCIEDADE DE CREDITO, FINANCIAMENTO E INVESTIMENTO (20035)</v>
      </c>
      <c r="S12484" t="s">
        <v>22</v>
      </c>
      <c r="T12484">
        <v>22917</v>
      </c>
      <c r="U12484">
        <v>27058</v>
      </c>
      <c r="V12484" t="s">
        <v>22</v>
      </c>
    </row>
    <row r="12485" spans="1:22">
      <c r="A12485" t="str">
        <f t="shared" si="2404"/>
        <v>21/11/2025</v>
      </c>
      <c r="B12485" t="str">
        <f t="shared" si="2417"/>
        <v>SAÍDA</v>
      </c>
      <c r="C12485" t="str">
        <f t="shared" si="2419"/>
        <v>CONHECIMENTO</v>
      </c>
      <c r="D12485" t="str">
        <f t="shared" si="2420"/>
        <v>01092025</v>
      </c>
      <c r="E12485" t="str">
        <f>"37"</f>
        <v>37</v>
      </c>
      <c r="F12485" t="str">
        <f t="shared" si="2418"/>
        <v>COM</v>
      </c>
      <c r="G12485" t="str">
        <f t="shared" si="2421"/>
        <v>CORA SOCIEDADE DE CREDITO, FINANCIAMENTO E INVESTIMENTO (20035)</v>
      </c>
      <c r="H12485" t="str">
        <f>"TAXA BOLETO "</f>
        <v xml:space="preserve">TAXA BOLETO </v>
      </c>
      <c r="I12485" t="str">
        <f t="shared" si="2422"/>
        <v>21/11/2025</v>
      </c>
      <c r="J12485" t="str">
        <f t="shared" si="2423"/>
        <v>01/09/2025</v>
      </c>
      <c r="K12485" t="str">
        <f>("21/11/2025")</f>
        <v>21/11/2025</v>
      </c>
      <c r="L12485">
        <v>1.7</v>
      </c>
      <c r="M12485">
        <v>1.7</v>
      </c>
      <c r="N12485">
        <v>401</v>
      </c>
      <c r="O12485" t="str">
        <f>"IOF/JUROS/DESP.FINANCEIRA"</f>
        <v>IOF/JUROS/DESP.FINANCEIRA</v>
      </c>
      <c r="P12485">
        <v>1.7</v>
      </c>
      <c r="S12485" t="str">
        <f>"BANCO CORA (102)"</f>
        <v>BANCO CORA (102)</v>
      </c>
      <c r="T12485">
        <v>22918</v>
      </c>
      <c r="U12485">
        <v>27059</v>
      </c>
      <c r="V12485" t="s">
        <v>22</v>
      </c>
    </row>
    <row r="12486" spans="1:22">
      <c r="A12486" t="str">
        <f t="shared" si="2404"/>
        <v>21/11/2025</v>
      </c>
      <c r="B12486" t="str">
        <f t="shared" si="2417"/>
        <v>SAÍDA</v>
      </c>
      <c r="C12486" t="str">
        <f t="shared" si="2419"/>
        <v>CONHECIMENTO</v>
      </c>
      <c r="D12486" t="str">
        <f t="shared" si="2420"/>
        <v>01092025</v>
      </c>
      <c r="E12486" t="str">
        <f>"37"</f>
        <v>37</v>
      </c>
      <c r="F12486" t="str">
        <f t="shared" si="2418"/>
        <v>COM</v>
      </c>
      <c r="G12486" t="str">
        <f t="shared" si="2421"/>
        <v>CORA SOCIEDADE DE CREDITO, FINANCIAMENTO E INVESTIMENTO (20035)</v>
      </c>
      <c r="H12486" t="s">
        <v>75</v>
      </c>
      <c r="I12486" t="str">
        <f t="shared" si="2422"/>
        <v>21/11/2025</v>
      </c>
      <c r="J12486" t="str">
        <f t="shared" si="2423"/>
        <v>01/09/2025</v>
      </c>
      <c r="K12486">
        <v>45982</v>
      </c>
      <c r="N12486">
        <v>401</v>
      </c>
      <c r="O12486" t="s">
        <v>76</v>
      </c>
      <c r="Q12486">
        <v>1.7</v>
      </c>
      <c r="R12486" t="str">
        <f>"CORA SOCIEDADE DE CREDITO, FINANCIAMENTO E INVESTIMENTO (20035)"</f>
        <v>CORA SOCIEDADE DE CREDITO, FINANCIAMENTO E INVESTIMENTO (20035)</v>
      </c>
      <c r="S12486" t="s">
        <v>22</v>
      </c>
      <c r="T12486">
        <v>22918</v>
      </c>
      <c r="U12486">
        <v>27059</v>
      </c>
      <c r="V12486" t="s">
        <v>22</v>
      </c>
    </row>
    <row r="12487" spans="1:22">
      <c r="A12487" t="str">
        <f t="shared" si="2404"/>
        <v>21/11/2025</v>
      </c>
      <c r="B12487" t="str">
        <f>"ENTRADA"</f>
        <v>ENTRADA</v>
      </c>
      <c r="C12487" t="str">
        <f>"PIX"</f>
        <v>PIX</v>
      </c>
      <c r="D12487" t="str">
        <f>"21112025"</f>
        <v>21112025</v>
      </c>
      <c r="E12487" t="str">
        <f>""</f>
        <v/>
      </c>
      <c r="F12487" t="str">
        <f t="shared" si="2418"/>
        <v>COM</v>
      </c>
      <c r="G12487" t="str">
        <f>"JOAO ALEXANDRE DE SOUZA ARAUJO (698)"</f>
        <v>JOAO ALEXANDRE DE SOUZA ARAUJO (698)</v>
      </c>
      <c r="H12487" t="str">
        <f>"DEVOLUÇÃO RECEBIDA PIX "</f>
        <v xml:space="preserve">DEVOLUÇÃO RECEBIDA PIX </v>
      </c>
      <c r="I12487" t="str">
        <f t="shared" si="2422"/>
        <v>21/11/2025</v>
      </c>
      <c r="J12487" t="str">
        <f>("21/11/2025")</f>
        <v>21/11/2025</v>
      </c>
      <c r="K12487" t="str">
        <f>("21/11/2025")</f>
        <v>21/11/2025</v>
      </c>
      <c r="L12487">
        <v>840</v>
      </c>
      <c r="M12487">
        <v>840</v>
      </c>
      <c r="N12487">
        <v>141</v>
      </c>
      <c r="O12487" t="str">
        <f>"ESTORNO RECEBIDO"</f>
        <v>ESTORNO RECEBIDO</v>
      </c>
      <c r="P12487">
        <v>840</v>
      </c>
      <c r="S12487" t="str">
        <f>"ESTORNO RECEBIDO (141)"</f>
        <v>ESTORNO RECEBIDO (141)</v>
      </c>
      <c r="T12487">
        <v>24419</v>
      </c>
      <c r="U12487">
        <v>28205</v>
      </c>
      <c r="V12487" t="s">
        <v>77</v>
      </c>
    </row>
    <row r="12488" spans="1:22">
      <c r="A12488" t="str">
        <f t="shared" si="2404"/>
        <v>21/11/2025</v>
      </c>
      <c r="B12488" t="str">
        <f>"ENTRADA"</f>
        <v>ENTRADA</v>
      </c>
      <c r="C12488" t="str">
        <f>"PIX"</f>
        <v>PIX</v>
      </c>
      <c r="D12488" t="str">
        <f>"21112025"</f>
        <v>21112025</v>
      </c>
      <c r="E12488" t="str">
        <f>""</f>
        <v/>
      </c>
      <c r="F12488" t="str">
        <f t="shared" si="2418"/>
        <v>COM</v>
      </c>
      <c r="G12488" t="str">
        <f>"JOAO ALEXANDRE DE SOUZA ARAUJO (698)"</f>
        <v>JOAO ALEXANDRE DE SOUZA ARAUJO (698)</v>
      </c>
      <c r="H12488" t="s">
        <v>3377</v>
      </c>
      <c r="I12488" t="str">
        <f t="shared" si="2422"/>
        <v>21/11/2025</v>
      </c>
      <c r="J12488" t="str">
        <f>("21/11/2025")</f>
        <v>21/11/2025</v>
      </c>
      <c r="K12488">
        <v>45982</v>
      </c>
      <c r="N12488">
        <v>141</v>
      </c>
      <c r="O12488" t="s">
        <v>3378</v>
      </c>
      <c r="Q12488">
        <v>840</v>
      </c>
      <c r="R12488" t="str">
        <f>"JOAO ALEXANDRE DE SOUZA ARAUJO (698)"</f>
        <v>JOAO ALEXANDRE DE SOUZA ARAUJO (698)</v>
      </c>
      <c r="S12488" t="s">
        <v>3379</v>
      </c>
      <c r="T12488">
        <v>24419</v>
      </c>
      <c r="U12488">
        <v>28205</v>
      </c>
      <c r="V12488" t="s">
        <v>77</v>
      </c>
    </row>
    <row r="12489" spans="1:22">
      <c r="A12489" t="str">
        <f t="shared" ref="A12489:A12497" si="2424">("22/11/2025")</f>
        <v>22/11/2025</v>
      </c>
      <c r="B12489" t="str">
        <f>"SAÍDA"</f>
        <v>SAÍDA</v>
      </c>
      <c r="C12489" t="str">
        <f>"PIX"</f>
        <v>PIX</v>
      </c>
      <c r="D12489" t="str">
        <f>"25973"</f>
        <v>25973</v>
      </c>
      <c r="E12489" t="str">
        <f>"2"</f>
        <v>2</v>
      </c>
      <c r="F12489" t="str">
        <f t="shared" si="2418"/>
        <v>COM</v>
      </c>
      <c r="G12489" t="str">
        <f>"FRANCISCO LUCIANO DE LIMA (1062)"</f>
        <v>FRANCISCO LUCIANO DE LIMA (1062)</v>
      </c>
      <c r="H12489" t="str">
        <f>"Serv.Prest. 17/11/2025 a 23/11/2025 - PIX: CELULAR - CHAVE: (11) 94910-8689"</f>
        <v>Serv.Prest. 17/11/2025 a 23/11/2025 - PIX: CELULAR - CHAVE: (11) 94910-8689</v>
      </c>
      <c r="I12489" t="str">
        <f>("22/11/2025")</f>
        <v>22/11/2025</v>
      </c>
      <c r="J12489" t="str">
        <f>("24/11/2025")</f>
        <v>24/11/2025</v>
      </c>
      <c r="K12489" t="str">
        <f>("22/11/2025")</f>
        <v>22/11/2025</v>
      </c>
      <c r="L12489">
        <v>140</v>
      </c>
      <c r="M12489">
        <v>140</v>
      </c>
      <c r="N12489">
        <v>134</v>
      </c>
      <c r="O12489" t="str">
        <f>"DIARIA DE MOTOBOY"</f>
        <v>DIARIA DE MOTOBOY</v>
      </c>
      <c r="P12489">
        <v>140</v>
      </c>
      <c r="S12489" t="str">
        <f>"BANCO CORA (102)"</f>
        <v>BANCO CORA (102)</v>
      </c>
      <c r="T12489">
        <v>22382</v>
      </c>
      <c r="U12489">
        <v>26322</v>
      </c>
      <c r="V12489" t="s">
        <v>22</v>
      </c>
    </row>
    <row r="12490" spans="1:22">
      <c r="A12490" t="str">
        <f t="shared" si="2424"/>
        <v>22/11/2025</v>
      </c>
      <c r="B12490" t="str">
        <f>"SAÍDA"</f>
        <v>SAÍDA</v>
      </c>
      <c r="C12490" t="str">
        <f>"PIX"</f>
        <v>PIX</v>
      </c>
      <c r="D12490" t="str">
        <f>"25973"</f>
        <v>25973</v>
      </c>
      <c r="E12490" t="str">
        <f>"2"</f>
        <v>2</v>
      </c>
      <c r="F12490" t="str">
        <f t="shared" si="2418"/>
        <v>COM</v>
      </c>
      <c r="G12490" t="str">
        <f>"FRANCISCO LUCIANO DE LIMA (1062)"</f>
        <v>FRANCISCO LUCIANO DE LIMA (1062)</v>
      </c>
      <c r="H12490" t="s">
        <v>3380</v>
      </c>
      <c r="I12490" t="str">
        <f>("22/11/2025")</f>
        <v>22/11/2025</v>
      </c>
      <c r="J12490" t="str">
        <f>("24/11/2025")</f>
        <v>24/11/2025</v>
      </c>
      <c r="K12490">
        <v>45983</v>
      </c>
      <c r="N12490">
        <v>134</v>
      </c>
      <c r="O12490" t="s">
        <v>41</v>
      </c>
      <c r="Q12490">
        <v>140</v>
      </c>
      <c r="R12490" t="str">
        <f>"DROGA ELIDA (10121)"</f>
        <v>DROGA ELIDA (10121)</v>
      </c>
      <c r="S12490" t="s">
        <v>22</v>
      </c>
      <c r="T12490">
        <v>22382</v>
      </c>
      <c r="U12490">
        <v>26322</v>
      </c>
      <c r="V12490" t="s">
        <v>22</v>
      </c>
    </row>
    <row r="12491" spans="1:22">
      <c r="A12491" t="str">
        <f t="shared" si="2424"/>
        <v>22/11/2025</v>
      </c>
      <c r="B12491" t="str">
        <f>"ENTRADA"</f>
        <v>ENTRADA</v>
      </c>
      <c r="C12491" t="str">
        <f>"NFSE"</f>
        <v>NFSE</v>
      </c>
      <c r="D12491" t="str">
        <f>"3747"</f>
        <v>3747</v>
      </c>
      <c r="E12491" t="str">
        <f>"1"</f>
        <v>1</v>
      </c>
      <c r="F12491" t="str">
        <f t="shared" si="2418"/>
        <v>COM</v>
      </c>
      <c r="G12491" t="str">
        <f>"DROGARIA VAZ (10179)"</f>
        <v>DROGARIA VAZ (10179)</v>
      </c>
      <c r="H12491" t="str">
        <f>"Serv.Prest. 10/11/2025 a 16/11/2025 - RPS: 1623 - NFSe: 3747"</f>
        <v>Serv.Prest. 10/11/2025 a 16/11/2025 - RPS: 1623 - NFSe: 3747</v>
      </c>
      <c r="I12491" t="str">
        <f>("19/11/2025")</f>
        <v>19/11/2025</v>
      </c>
      <c r="J12491" t="str">
        <f>("18/11/2025")</f>
        <v>18/11/2025</v>
      </c>
      <c r="K12491" t="str">
        <f>("22/11/2025")</f>
        <v>22/11/2025</v>
      </c>
      <c r="L12491">
        <v>1036.82</v>
      </c>
      <c r="M12491">
        <v>1058.58</v>
      </c>
      <c r="N12491">
        <v>303</v>
      </c>
      <c r="O12491" t="str">
        <f>"RECEITAS COM ENTREGAS"</f>
        <v>RECEITAS COM ENTREGAS</v>
      </c>
      <c r="P12491">
        <v>1058.58</v>
      </c>
      <c r="S12491" t="str">
        <f>"RECEITAS COM ENTREGAS (303)"</f>
        <v>RECEITAS COM ENTREGAS (303)</v>
      </c>
      <c r="T12491">
        <v>22447</v>
      </c>
      <c r="U12491">
        <v>25832</v>
      </c>
      <c r="V12491" t="s">
        <v>22</v>
      </c>
    </row>
    <row r="12492" spans="1:22">
      <c r="A12492" t="str">
        <f t="shared" si="2424"/>
        <v>22/11/2025</v>
      </c>
      <c r="B12492" t="str">
        <f>"ENTRADA"</f>
        <v>ENTRADA</v>
      </c>
      <c r="C12492" t="str">
        <f>"NFSE"</f>
        <v>NFSE</v>
      </c>
      <c r="D12492" t="str">
        <f>"3747"</f>
        <v>3747</v>
      </c>
      <c r="E12492" t="str">
        <f>"1"</f>
        <v>1</v>
      </c>
      <c r="F12492" t="str">
        <f t="shared" si="2418"/>
        <v>COM</v>
      </c>
      <c r="G12492" t="str">
        <f>"DROGARIA VAZ (10179)"</f>
        <v>DROGARIA VAZ (10179)</v>
      </c>
      <c r="H12492" t="s">
        <v>3381</v>
      </c>
      <c r="I12492" t="str">
        <f>("19/11/2025")</f>
        <v>19/11/2025</v>
      </c>
      <c r="J12492" t="str">
        <f>("18/11/2025")</f>
        <v>18/11/2025</v>
      </c>
      <c r="K12492">
        <v>45983</v>
      </c>
      <c r="N12492">
        <v>303</v>
      </c>
      <c r="O12492" t="s">
        <v>69</v>
      </c>
      <c r="Q12492">
        <v>1058.58</v>
      </c>
      <c r="R12492" t="str">
        <f>"DROGARIA VAZ (10179)"</f>
        <v>DROGARIA VAZ (10179)</v>
      </c>
      <c r="S12492" t="s">
        <v>70</v>
      </c>
      <c r="T12492">
        <v>22447</v>
      </c>
      <c r="U12492">
        <v>25832</v>
      </c>
      <c r="V12492" t="s">
        <v>22</v>
      </c>
    </row>
    <row r="12493" spans="1:22">
      <c r="A12493" t="str">
        <f t="shared" si="2424"/>
        <v>22/11/2025</v>
      </c>
      <c r="B12493" t="str">
        <f>"SAÍDA"</f>
        <v>SAÍDA</v>
      </c>
      <c r="C12493" t="str">
        <f>"PIX"</f>
        <v>PIX</v>
      </c>
      <c r="D12493" t="str">
        <f>"26127"</f>
        <v>26127</v>
      </c>
      <c r="E12493" t="str">
        <f>"1"</f>
        <v>1</v>
      </c>
      <c r="F12493" t="str">
        <f t="shared" si="2418"/>
        <v>COM</v>
      </c>
      <c r="G12493" t="str">
        <f>"JAMERSON SOUZA LOPES (749)"</f>
        <v>JAMERSON SOUZA LOPES (749)</v>
      </c>
      <c r="H12493" t="str">
        <f>"Serv.Prest. 17/11/2025 a 23/11/2025 - PIX: CPF - CHAVE: 423.098.018-36"</f>
        <v>Serv.Prest. 17/11/2025 a 23/11/2025 - PIX: CPF - CHAVE: 423.098.018-36</v>
      </c>
      <c r="I12493" t="str">
        <f>("22/11/2025")</f>
        <v>22/11/2025</v>
      </c>
      <c r="J12493" t="str">
        <f>("22/11/2025")</f>
        <v>22/11/2025</v>
      </c>
      <c r="K12493" t="str">
        <f>("22/11/2025")</f>
        <v>22/11/2025</v>
      </c>
      <c r="L12493">
        <v>130</v>
      </c>
      <c r="M12493">
        <v>130</v>
      </c>
      <c r="N12493">
        <v>109</v>
      </c>
      <c r="O12493" t="str">
        <f>"PAGAMENTO DE ENTREGADORES"</f>
        <v>PAGAMENTO DE ENTREGADORES</v>
      </c>
      <c r="P12493">
        <v>130</v>
      </c>
      <c r="S12493" t="str">
        <f>"BANCO CORA (102)"</f>
        <v>BANCO CORA (102)</v>
      </c>
      <c r="T12493">
        <v>22448</v>
      </c>
      <c r="U12493">
        <v>26333</v>
      </c>
      <c r="V12493" t="s">
        <v>22</v>
      </c>
    </row>
    <row r="12494" spans="1:22">
      <c r="A12494" t="str">
        <f t="shared" si="2424"/>
        <v>22/11/2025</v>
      </c>
      <c r="B12494" t="str">
        <f>"SAÍDA"</f>
        <v>SAÍDA</v>
      </c>
      <c r="C12494" t="str">
        <f>"PIX"</f>
        <v>PIX</v>
      </c>
      <c r="D12494" t="str">
        <f>"26127"</f>
        <v>26127</v>
      </c>
      <c r="E12494" t="str">
        <f>"1"</f>
        <v>1</v>
      </c>
      <c r="F12494" t="str">
        <f t="shared" si="2418"/>
        <v>COM</v>
      </c>
      <c r="G12494" t="str">
        <f>"JAMERSON SOUZA LOPES (749)"</f>
        <v>JAMERSON SOUZA LOPES (749)</v>
      </c>
      <c r="H12494" t="s">
        <v>3145</v>
      </c>
      <c r="I12494" t="str">
        <f>("22/11/2025")</f>
        <v>22/11/2025</v>
      </c>
      <c r="J12494" t="str">
        <f>("22/11/2025")</f>
        <v>22/11/2025</v>
      </c>
      <c r="K12494">
        <v>45983</v>
      </c>
      <c r="N12494">
        <v>109</v>
      </c>
      <c r="O12494" t="s">
        <v>24</v>
      </c>
      <c r="Q12494">
        <v>130</v>
      </c>
      <c r="R12494" t="str">
        <f>"DROGARIA TOTAL JUNDIAI (10177)"</f>
        <v>DROGARIA TOTAL JUNDIAI (10177)</v>
      </c>
      <c r="S12494" t="s">
        <v>22</v>
      </c>
      <c r="T12494">
        <v>22448</v>
      </c>
      <c r="U12494">
        <v>26333</v>
      </c>
      <c r="V12494" t="s">
        <v>22</v>
      </c>
    </row>
    <row r="12495" spans="1:22">
      <c r="A12495" t="str">
        <f t="shared" si="2424"/>
        <v>22/11/2025</v>
      </c>
      <c r="B12495" t="str">
        <f>"SAÍDA"</f>
        <v>SAÍDA</v>
      </c>
      <c r="C12495" t="str">
        <f>""</f>
        <v/>
      </c>
      <c r="D12495" t="str">
        <f>""</f>
        <v/>
      </c>
      <c r="F12495" t="str">
        <f>"CXA"</f>
        <v>CXA</v>
      </c>
      <c r="G12495" t="str">
        <f>""</f>
        <v/>
      </c>
      <c r="H12495" t="str">
        <f>"DESPESAS COM EVENTO CONFRATERNIZAÇÃO 2025"</f>
        <v>DESPESAS COM EVENTO CONFRATERNIZAÇÃO 2025</v>
      </c>
      <c r="I12495" t="str">
        <f>("22/11/2025")</f>
        <v>22/11/2025</v>
      </c>
      <c r="J12495" t="str">
        <f>("22/11/2025")</f>
        <v>22/11/2025</v>
      </c>
      <c r="K12495" t="str">
        <f>("22/11/2025")</f>
        <v>22/11/2025</v>
      </c>
      <c r="L12495">
        <v>200</v>
      </c>
      <c r="M12495">
        <v>200</v>
      </c>
      <c r="N12495">
        <v>144</v>
      </c>
      <c r="O12495" t="str">
        <f>"DESPESAS COM EVENTOS E CONFRATERNIZAÇÕES"</f>
        <v>DESPESAS COM EVENTOS E CONFRATERNIZAÇÕES</v>
      </c>
      <c r="P12495">
        <v>200</v>
      </c>
      <c r="S12495" t="str">
        <f>"BANCO CORA (102)"</f>
        <v>BANCO CORA (102)</v>
      </c>
      <c r="T12495">
        <v>22461</v>
      </c>
      <c r="U12495">
        <v>0</v>
      </c>
      <c r="V12495" t="s">
        <v>556</v>
      </c>
    </row>
    <row r="12496" spans="1:22">
      <c r="A12496" t="str">
        <f t="shared" si="2424"/>
        <v>22/11/2025</v>
      </c>
      <c r="B12496" t="str">
        <f>"SAÍDA"</f>
        <v>SAÍDA</v>
      </c>
      <c r="C12496" t="str">
        <f>"CONHECIMENTO"</f>
        <v>CONHECIMENTO</v>
      </c>
      <c r="D12496" t="str">
        <f>"01092025"</f>
        <v>01092025</v>
      </c>
      <c r="E12496" t="str">
        <f>"2"</f>
        <v>2</v>
      </c>
      <c r="F12496" t="str">
        <f t="shared" ref="F12496:F12527" si="2425">"COM"</f>
        <v>COM</v>
      </c>
      <c r="G12496" t="str">
        <f>"CORA SOCIEDADE DE CREDITO, FINANCIAMENTO E INVESTIMENTO (20035)"</f>
        <v>CORA SOCIEDADE DE CREDITO, FINANCIAMENTO E INVESTIMENTO (20035)</v>
      </c>
      <c r="H12496" t="str">
        <f>"TAXA BOLETO "</f>
        <v xml:space="preserve">TAXA BOLETO </v>
      </c>
      <c r="I12496" t="str">
        <f>("22/11/2025")</f>
        <v>22/11/2025</v>
      </c>
      <c r="J12496" t="str">
        <f>("01/09/2025")</f>
        <v>01/09/2025</v>
      </c>
      <c r="K12496" t="str">
        <f>("22/11/2025")</f>
        <v>22/11/2025</v>
      </c>
      <c r="L12496">
        <v>0.5</v>
      </c>
      <c r="M12496">
        <v>0.5</v>
      </c>
      <c r="N12496">
        <v>401</v>
      </c>
      <c r="O12496" t="str">
        <f>"IOF/JUROS/DESP.FINANCEIRA"</f>
        <v>IOF/JUROS/DESP.FINANCEIRA</v>
      </c>
      <c r="P12496">
        <v>0.5</v>
      </c>
      <c r="S12496" t="str">
        <f>"BANCO CORA (102)"</f>
        <v>BANCO CORA (102)</v>
      </c>
      <c r="T12496">
        <v>22920</v>
      </c>
      <c r="U12496">
        <v>27060</v>
      </c>
      <c r="V12496" t="s">
        <v>22</v>
      </c>
    </row>
    <row r="12497" spans="1:22">
      <c r="A12497" t="str">
        <f t="shared" si="2424"/>
        <v>22/11/2025</v>
      </c>
      <c r="B12497" t="str">
        <f>"SAÍDA"</f>
        <v>SAÍDA</v>
      </c>
      <c r="C12497" t="str">
        <f>"CONHECIMENTO"</f>
        <v>CONHECIMENTO</v>
      </c>
      <c r="D12497" t="str">
        <f>"01092025"</f>
        <v>01092025</v>
      </c>
      <c r="E12497" t="str">
        <f>"2"</f>
        <v>2</v>
      </c>
      <c r="F12497" t="str">
        <f t="shared" si="2425"/>
        <v>COM</v>
      </c>
      <c r="G12497" t="str">
        <f>"CORA SOCIEDADE DE CREDITO, FINANCIAMENTO E INVESTIMENTO (20035)"</f>
        <v>CORA SOCIEDADE DE CREDITO, FINANCIAMENTO E INVESTIMENTO (20035)</v>
      </c>
      <c r="H12497" t="s">
        <v>75</v>
      </c>
      <c r="I12497" t="str">
        <f>("22/11/2025")</f>
        <v>22/11/2025</v>
      </c>
      <c r="J12497" t="str">
        <f>("01/09/2025")</f>
        <v>01/09/2025</v>
      </c>
      <c r="K12497">
        <v>45983</v>
      </c>
      <c r="N12497">
        <v>401</v>
      </c>
      <c r="O12497" t="s">
        <v>76</v>
      </c>
      <c r="Q12497">
        <v>0.5</v>
      </c>
      <c r="R12497" t="str">
        <f>"CORA SOCIEDADE DE CREDITO, FINANCIAMENTO E INVESTIMENTO (20035)"</f>
        <v>CORA SOCIEDADE DE CREDITO, FINANCIAMENTO E INVESTIMENTO (20035)</v>
      </c>
      <c r="S12497" t="s">
        <v>22</v>
      </c>
      <c r="T12497">
        <v>22920</v>
      </c>
      <c r="U12497">
        <v>27060</v>
      </c>
      <c r="V12497" t="s">
        <v>22</v>
      </c>
    </row>
    <row r="12498" spans="1:22">
      <c r="A12498" t="str">
        <f t="shared" ref="A12498:A12524" si="2426">("23/11/2025")</f>
        <v>23/11/2025</v>
      </c>
      <c r="B12498" t="str">
        <f>"ENTRADA"</f>
        <v>ENTRADA</v>
      </c>
      <c r="C12498" t="str">
        <f>"DINHEIRO"</f>
        <v>DINHEIRO</v>
      </c>
      <c r="D12498" t="str">
        <f>"101120"</f>
        <v>101120</v>
      </c>
      <c r="E12498" t="str">
        <f t="shared" ref="E12498:E12504" si="2427">"25"</f>
        <v>25</v>
      </c>
      <c r="F12498" t="str">
        <f t="shared" si="2425"/>
        <v>COM</v>
      </c>
      <c r="G12498" t="str">
        <f t="shared" ref="G12498:G12514" si="2428">"JAMERSON SOUZA LOPES (749)"</f>
        <v>JAMERSON SOUZA LOPES (749)</v>
      </c>
      <c r="H12498" t="str">
        <f>"REEMBOLSO ADIANTAMENTO"</f>
        <v>REEMBOLSO ADIANTAMENTO</v>
      </c>
      <c r="I12498" t="str">
        <f>("10/11/2025")</f>
        <v>10/11/2025</v>
      </c>
      <c r="J12498" t="str">
        <f>("10/11/2025")</f>
        <v>10/11/2025</v>
      </c>
      <c r="K12498" t="str">
        <f>("23/11/2025")</f>
        <v>23/11/2025</v>
      </c>
      <c r="L12498">
        <v>1800</v>
      </c>
      <c r="M12498">
        <v>1800</v>
      </c>
      <c r="N12498">
        <v>129</v>
      </c>
      <c r="O12498" t="str">
        <f>"ENTRADA DE REEMBOLSO ADIANTAMENTO"</f>
        <v>ENTRADA DE REEMBOLSO ADIANTAMENTO</v>
      </c>
      <c r="P12498">
        <v>1800</v>
      </c>
      <c r="S12498" t="str">
        <f>"ENTRADA DE REEMBOLSO ADIANTAMENTO (129)"</f>
        <v>ENTRADA DE REEMBOLSO ADIANTAMENTO (129)</v>
      </c>
      <c r="T12498">
        <v>21827</v>
      </c>
      <c r="U12498">
        <v>25932</v>
      </c>
      <c r="V12498" t="s">
        <v>48</v>
      </c>
    </row>
    <row r="12499" spans="1:22">
      <c r="A12499" t="str">
        <f t="shared" si="2426"/>
        <v>23/11/2025</v>
      </c>
      <c r="B12499" t="str">
        <f>"ENTRADA"</f>
        <v>ENTRADA</v>
      </c>
      <c r="C12499" t="str">
        <f>"DINHEIRO"</f>
        <v>DINHEIRO</v>
      </c>
      <c r="D12499" t="str">
        <f>"101120"</f>
        <v>101120</v>
      </c>
      <c r="E12499" t="str">
        <f t="shared" si="2427"/>
        <v>25</v>
      </c>
      <c r="F12499" t="str">
        <f t="shared" si="2425"/>
        <v>COM</v>
      </c>
      <c r="G12499" t="str">
        <f t="shared" si="2428"/>
        <v>JAMERSON SOUZA LOPES (749)</v>
      </c>
      <c r="H12499" t="s">
        <v>57</v>
      </c>
      <c r="I12499" t="str">
        <f>("10/11/2025")</f>
        <v>10/11/2025</v>
      </c>
      <c r="J12499" t="str">
        <f>("10/11/2025")</f>
        <v>10/11/2025</v>
      </c>
      <c r="K12499">
        <v>45984</v>
      </c>
      <c r="N12499">
        <v>129</v>
      </c>
      <c r="O12499" t="s">
        <v>58</v>
      </c>
      <c r="Q12499">
        <v>1800</v>
      </c>
      <c r="R12499" t="str">
        <f>"JAMERSON SOUZA LOPES (749)"</f>
        <v>JAMERSON SOUZA LOPES (749)</v>
      </c>
      <c r="S12499" t="s">
        <v>59</v>
      </c>
      <c r="T12499">
        <v>21827</v>
      </c>
      <c r="U12499">
        <v>25932</v>
      </c>
      <c r="V12499" t="s">
        <v>48</v>
      </c>
    </row>
    <row r="12500" spans="1:22">
      <c r="A12500" t="str">
        <f t="shared" si="2426"/>
        <v>23/11/2025</v>
      </c>
      <c r="B12500" t="str">
        <f t="shared" ref="B12500:B12506" si="2429">"SAÍDA"</f>
        <v>SAÍDA</v>
      </c>
      <c r="C12500" t="str">
        <f t="shared" ref="C12500:C12506" si="2430">"PIX"</f>
        <v>PIX</v>
      </c>
      <c r="D12500" t="str">
        <f>"1511"</f>
        <v>1511</v>
      </c>
      <c r="E12500" t="str">
        <f t="shared" si="2427"/>
        <v>25</v>
      </c>
      <c r="F12500" t="str">
        <f t="shared" si="2425"/>
        <v>COM</v>
      </c>
      <c r="G12500" t="str">
        <f t="shared" si="2428"/>
        <v>JAMERSON SOUZA LOPES (749)</v>
      </c>
      <c r="H12500" t="str">
        <f>"PAGAMENTO LIDERANÇA REF. MES 10/2025 - PIX: CPF - CHAVE: 423.098.018-36"</f>
        <v>PAGAMENTO LIDERANÇA REF. MES 10/2025 - PIX: CPF - CHAVE: 423.098.018-36</v>
      </c>
      <c r="I12500" t="str">
        <f>("15/11/2025")</f>
        <v>15/11/2025</v>
      </c>
      <c r="J12500" t="str">
        <f>("30/10/2025")</f>
        <v>30/10/2025</v>
      </c>
      <c r="K12500" t="str">
        <f>("23/11/2025")</f>
        <v>23/11/2025</v>
      </c>
      <c r="L12500">
        <v>1000</v>
      </c>
      <c r="M12500">
        <v>1000</v>
      </c>
      <c r="N12500">
        <v>120</v>
      </c>
      <c r="O12500" t="str">
        <f>"PAGAMENTO COMISSAO LIDERES"</f>
        <v>PAGAMENTO COMISSAO LIDERES</v>
      </c>
      <c r="P12500">
        <v>1000</v>
      </c>
      <c r="S12500" t="str">
        <f>"CAIXA MOVIMENTAÇÃO OPERACIONAL (132)"</f>
        <v>CAIXA MOVIMENTAÇÃO OPERACIONAL (132)</v>
      </c>
      <c r="T12500">
        <v>21828</v>
      </c>
      <c r="U12500">
        <v>25933</v>
      </c>
      <c r="V12500" t="s">
        <v>48</v>
      </c>
    </row>
    <row r="12501" spans="1:22">
      <c r="A12501" t="str">
        <f t="shared" si="2426"/>
        <v>23/11/2025</v>
      </c>
      <c r="B12501" t="str">
        <f t="shared" si="2429"/>
        <v>SAÍDA</v>
      </c>
      <c r="C12501" t="str">
        <f t="shared" si="2430"/>
        <v>PIX</v>
      </c>
      <c r="D12501" t="str">
        <f>"1511"</f>
        <v>1511</v>
      </c>
      <c r="E12501" t="str">
        <f t="shared" si="2427"/>
        <v>25</v>
      </c>
      <c r="F12501" t="str">
        <f t="shared" si="2425"/>
        <v>COM</v>
      </c>
      <c r="G12501" t="str">
        <f t="shared" si="2428"/>
        <v>JAMERSON SOUZA LOPES (749)</v>
      </c>
      <c r="H12501" t="s">
        <v>3382</v>
      </c>
      <c r="I12501" t="str">
        <f>("15/11/2025")</f>
        <v>15/11/2025</v>
      </c>
      <c r="J12501" t="str">
        <f>("30/10/2025")</f>
        <v>30/10/2025</v>
      </c>
      <c r="K12501">
        <v>45984</v>
      </c>
      <c r="N12501">
        <v>120</v>
      </c>
      <c r="O12501" t="s">
        <v>306</v>
      </c>
      <c r="Q12501">
        <v>340.3</v>
      </c>
      <c r="R12501" t="str">
        <f>"DROGARIA AGAPEAMA (10167)"</f>
        <v>DROGARIA AGAPEAMA (10167)</v>
      </c>
      <c r="S12501" t="s">
        <v>48</v>
      </c>
      <c r="T12501">
        <v>21828</v>
      </c>
      <c r="U12501">
        <v>25933</v>
      </c>
      <c r="V12501" t="s">
        <v>48</v>
      </c>
    </row>
    <row r="12502" spans="1:22">
      <c r="A12502" t="str">
        <f t="shared" si="2426"/>
        <v>23/11/2025</v>
      </c>
      <c r="B12502" t="str">
        <f t="shared" si="2429"/>
        <v>SAÍDA</v>
      </c>
      <c r="C12502" t="str">
        <f t="shared" si="2430"/>
        <v>PIX</v>
      </c>
      <c r="D12502" t="str">
        <f>"1511"</f>
        <v>1511</v>
      </c>
      <c r="E12502" t="str">
        <f t="shared" si="2427"/>
        <v>25</v>
      </c>
      <c r="F12502" t="str">
        <f t="shared" si="2425"/>
        <v>COM</v>
      </c>
      <c r="G12502" t="str">
        <f t="shared" si="2428"/>
        <v>JAMERSON SOUZA LOPES (749)</v>
      </c>
      <c r="H12502" t="s">
        <v>3382</v>
      </c>
      <c r="I12502" t="str">
        <f>("15/11/2025")</f>
        <v>15/11/2025</v>
      </c>
      <c r="J12502" t="str">
        <f>("30/10/2025")</f>
        <v>30/10/2025</v>
      </c>
      <c r="K12502">
        <v>45984</v>
      </c>
      <c r="N12502">
        <v>120</v>
      </c>
      <c r="O12502" t="s">
        <v>306</v>
      </c>
      <c r="Q12502">
        <v>354.5</v>
      </c>
      <c r="R12502" t="str">
        <f>"DROGARIA MORENO LTDA (10171)"</f>
        <v>DROGARIA MORENO LTDA (10171)</v>
      </c>
      <c r="S12502" t="s">
        <v>48</v>
      </c>
      <c r="T12502">
        <v>21828</v>
      </c>
      <c r="U12502">
        <v>25933</v>
      </c>
      <c r="V12502" t="s">
        <v>48</v>
      </c>
    </row>
    <row r="12503" spans="1:22">
      <c r="A12503" t="str">
        <f t="shared" si="2426"/>
        <v>23/11/2025</v>
      </c>
      <c r="B12503" t="str">
        <f t="shared" si="2429"/>
        <v>SAÍDA</v>
      </c>
      <c r="C12503" t="str">
        <f t="shared" si="2430"/>
        <v>PIX</v>
      </c>
      <c r="D12503" t="str">
        <f>"1511"</f>
        <v>1511</v>
      </c>
      <c r="E12503" t="str">
        <f t="shared" si="2427"/>
        <v>25</v>
      </c>
      <c r="F12503" t="str">
        <f t="shared" si="2425"/>
        <v>COM</v>
      </c>
      <c r="G12503" t="str">
        <f t="shared" si="2428"/>
        <v>JAMERSON SOUZA LOPES (749)</v>
      </c>
      <c r="H12503" t="s">
        <v>3382</v>
      </c>
      <c r="I12503" t="str">
        <f>("15/11/2025")</f>
        <v>15/11/2025</v>
      </c>
      <c r="J12503" t="str">
        <f>("30/10/2025")</f>
        <v>30/10/2025</v>
      </c>
      <c r="K12503">
        <v>45984</v>
      </c>
      <c r="N12503">
        <v>120</v>
      </c>
      <c r="O12503" t="s">
        <v>306</v>
      </c>
      <c r="Q12503">
        <v>121.8</v>
      </c>
      <c r="R12503" t="str">
        <f>"DROGARIA MEDIC CENTER LTDA (10172)"</f>
        <v>DROGARIA MEDIC CENTER LTDA (10172)</v>
      </c>
      <c r="S12503" t="s">
        <v>48</v>
      </c>
      <c r="T12503">
        <v>21828</v>
      </c>
      <c r="U12503">
        <v>25933</v>
      </c>
      <c r="V12503" t="s">
        <v>48</v>
      </c>
    </row>
    <row r="12504" spans="1:22">
      <c r="A12504" t="str">
        <f t="shared" si="2426"/>
        <v>23/11/2025</v>
      </c>
      <c r="B12504" t="str">
        <f t="shared" si="2429"/>
        <v>SAÍDA</v>
      </c>
      <c r="C12504" t="str">
        <f t="shared" si="2430"/>
        <v>PIX</v>
      </c>
      <c r="D12504" t="str">
        <f>"1511"</f>
        <v>1511</v>
      </c>
      <c r="E12504" t="str">
        <f t="shared" si="2427"/>
        <v>25</v>
      </c>
      <c r="F12504" t="str">
        <f t="shared" si="2425"/>
        <v>COM</v>
      </c>
      <c r="G12504" t="str">
        <f t="shared" si="2428"/>
        <v>JAMERSON SOUZA LOPES (749)</v>
      </c>
      <c r="H12504" t="s">
        <v>3382</v>
      </c>
      <c r="I12504" t="str">
        <f>("15/11/2025")</f>
        <v>15/11/2025</v>
      </c>
      <c r="J12504" t="str">
        <f>("30/10/2025")</f>
        <v>30/10/2025</v>
      </c>
      <c r="K12504">
        <v>45984</v>
      </c>
      <c r="N12504">
        <v>120</v>
      </c>
      <c r="O12504" t="s">
        <v>306</v>
      </c>
      <c r="Q12504">
        <v>183.4</v>
      </c>
      <c r="R12504" t="str">
        <f>"DROGARIA TOTAL JUNDIAI (10177)"</f>
        <v>DROGARIA TOTAL JUNDIAI (10177)</v>
      </c>
      <c r="S12504" t="s">
        <v>48</v>
      </c>
      <c r="T12504">
        <v>21828</v>
      </c>
      <c r="U12504">
        <v>25933</v>
      </c>
      <c r="V12504" t="s">
        <v>48</v>
      </c>
    </row>
    <row r="12505" spans="1:22">
      <c r="A12505" t="str">
        <f t="shared" si="2426"/>
        <v>23/11/2025</v>
      </c>
      <c r="B12505" t="str">
        <f t="shared" si="2429"/>
        <v>SAÍDA</v>
      </c>
      <c r="C12505" t="str">
        <f t="shared" si="2430"/>
        <v>PIX</v>
      </c>
      <c r="D12505" t="str">
        <f>"101120"</f>
        <v>101120</v>
      </c>
      <c r="E12505" t="str">
        <f>"251"</f>
        <v>251</v>
      </c>
      <c r="F12505" t="str">
        <f t="shared" si="2425"/>
        <v>COM</v>
      </c>
      <c r="G12505" t="str">
        <f t="shared" si="2428"/>
        <v>JAMERSON SOUZA LOPES (749)</v>
      </c>
      <c r="H12505" t="str">
        <f>"DIARIAS VIAGEM PARA UBERABA - PIX: CPF - CHAVE: 423.098.018-36"</f>
        <v>DIARIAS VIAGEM PARA UBERABA - PIX: CPF - CHAVE: 423.098.018-36</v>
      </c>
      <c r="I12505" t="str">
        <f>("10/11/2025")</f>
        <v>10/11/2025</v>
      </c>
      <c r="J12505" t="str">
        <f>("10/11/2025")</f>
        <v>10/11/2025</v>
      </c>
      <c r="K12505" t="str">
        <f>("23/11/2025")</f>
        <v>23/11/2025</v>
      </c>
      <c r="L12505">
        <v>800</v>
      </c>
      <c r="M12505">
        <v>800</v>
      </c>
      <c r="N12505">
        <v>109</v>
      </c>
      <c r="O12505" t="str">
        <f>"PAGAMENTO DE ENTREGADORES"</f>
        <v>PAGAMENTO DE ENTREGADORES</v>
      </c>
      <c r="P12505">
        <v>800</v>
      </c>
      <c r="S12505" t="str">
        <f>"CAIXA MOVIMENTAÇÃO OPERACIONAL (132)"</f>
        <v>CAIXA MOVIMENTAÇÃO OPERACIONAL (132)</v>
      </c>
      <c r="T12505">
        <v>21829</v>
      </c>
      <c r="U12505">
        <v>25935</v>
      </c>
      <c r="V12505" t="s">
        <v>48</v>
      </c>
    </row>
    <row r="12506" spans="1:22">
      <c r="A12506" t="str">
        <f t="shared" si="2426"/>
        <v>23/11/2025</v>
      </c>
      <c r="B12506" t="str">
        <f t="shared" si="2429"/>
        <v>SAÍDA</v>
      </c>
      <c r="C12506" t="str">
        <f t="shared" si="2430"/>
        <v>PIX</v>
      </c>
      <c r="D12506" t="str">
        <f>"101120"</f>
        <v>101120</v>
      </c>
      <c r="E12506" t="str">
        <f>"251"</f>
        <v>251</v>
      </c>
      <c r="F12506" t="str">
        <f t="shared" si="2425"/>
        <v>COM</v>
      </c>
      <c r="G12506" t="str">
        <f t="shared" si="2428"/>
        <v>JAMERSON SOUZA LOPES (749)</v>
      </c>
      <c r="H12506" t="s">
        <v>2408</v>
      </c>
      <c r="I12506" t="str">
        <f>("10/11/2025")</f>
        <v>10/11/2025</v>
      </c>
      <c r="J12506" t="str">
        <f>("10/11/2025")</f>
        <v>10/11/2025</v>
      </c>
      <c r="K12506">
        <v>45984</v>
      </c>
      <c r="N12506">
        <v>109</v>
      </c>
      <c r="O12506" t="s">
        <v>24</v>
      </c>
      <c r="Q12506">
        <v>800</v>
      </c>
      <c r="R12506" t="str">
        <f>"DROGALIDER 25 (10246)"</f>
        <v>DROGALIDER 25 (10246)</v>
      </c>
      <c r="S12506" t="s">
        <v>48</v>
      </c>
      <c r="T12506">
        <v>21829</v>
      </c>
      <c r="U12506">
        <v>25935</v>
      </c>
      <c r="V12506" t="s">
        <v>48</v>
      </c>
    </row>
    <row r="12507" spans="1:22">
      <c r="A12507" t="str">
        <f t="shared" si="2426"/>
        <v>23/11/2025</v>
      </c>
      <c r="B12507" t="str">
        <f t="shared" ref="B12507:B12512" si="2431">"ENTRADA"</f>
        <v>ENTRADA</v>
      </c>
      <c r="C12507" t="str">
        <f t="shared" ref="C12507:C12512" si="2432">"DINHEIRO"</f>
        <v>DINHEIRO</v>
      </c>
      <c r="D12507" t="str">
        <f>"2011"</f>
        <v>2011</v>
      </c>
      <c r="E12507" t="str">
        <f>"25"</f>
        <v>25</v>
      </c>
      <c r="F12507" t="str">
        <f t="shared" si="2425"/>
        <v>COM</v>
      </c>
      <c r="G12507" t="str">
        <f t="shared" si="2428"/>
        <v>JAMERSON SOUZA LOPES (749)</v>
      </c>
      <c r="H12507" t="str">
        <f>"REEMBOLSO ADIANTAMENTO"</f>
        <v>REEMBOLSO ADIANTAMENTO</v>
      </c>
      <c r="I12507" t="str">
        <f>("20/11/2025")</f>
        <v>20/11/2025</v>
      </c>
      <c r="J12507" t="str">
        <f>("10/10/2025")</f>
        <v>10/10/2025</v>
      </c>
      <c r="K12507" t="str">
        <f>("23/11/2025")</f>
        <v>23/11/2025</v>
      </c>
      <c r="L12507">
        <v>100</v>
      </c>
      <c r="M12507">
        <v>100</v>
      </c>
      <c r="N12507">
        <v>129</v>
      </c>
      <c r="O12507" t="str">
        <f>"ENTRADA DE REEMBOLSO ADIANTAMENTO"</f>
        <v>ENTRADA DE REEMBOLSO ADIANTAMENTO</v>
      </c>
      <c r="P12507">
        <v>100</v>
      </c>
      <c r="S12507" t="str">
        <f>"ENTRADA DE REEMBOLSO ADIANTAMENTO (129)"</f>
        <v>ENTRADA DE REEMBOLSO ADIANTAMENTO (129)</v>
      </c>
      <c r="T12507">
        <v>21830</v>
      </c>
      <c r="U12507">
        <v>23537</v>
      </c>
      <c r="V12507" t="s">
        <v>48</v>
      </c>
    </row>
    <row r="12508" spans="1:22">
      <c r="A12508" t="str">
        <f t="shared" si="2426"/>
        <v>23/11/2025</v>
      </c>
      <c r="B12508" t="str">
        <f t="shared" si="2431"/>
        <v>ENTRADA</v>
      </c>
      <c r="C12508" t="str">
        <f t="shared" si="2432"/>
        <v>DINHEIRO</v>
      </c>
      <c r="D12508" t="str">
        <f>"2011"</f>
        <v>2011</v>
      </c>
      <c r="E12508" t="str">
        <f>"25"</f>
        <v>25</v>
      </c>
      <c r="F12508" t="str">
        <f t="shared" si="2425"/>
        <v>COM</v>
      </c>
      <c r="G12508" t="str">
        <f t="shared" si="2428"/>
        <v>JAMERSON SOUZA LOPES (749)</v>
      </c>
      <c r="H12508" t="s">
        <v>57</v>
      </c>
      <c r="I12508" t="str">
        <f>("20/11/2025")</f>
        <v>20/11/2025</v>
      </c>
      <c r="J12508" t="str">
        <f>("10/10/2025")</f>
        <v>10/10/2025</v>
      </c>
      <c r="K12508">
        <v>45984</v>
      </c>
      <c r="N12508">
        <v>129</v>
      </c>
      <c r="O12508" t="s">
        <v>58</v>
      </c>
      <c r="Q12508">
        <v>100</v>
      </c>
      <c r="R12508" t="str">
        <f>"JAMERSON SOUZA LOPES (749)"</f>
        <v>JAMERSON SOUZA LOPES (749)</v>
      </c>
      <c r="S12508" t="s">
        <v>59</v>
      </c>
      <c r="T12508">
        <v>21830</v>
      </c>
      <c r="U12508">
        <v>23537</v>
      </c>
      <c r="V12508" t="s">
        <v>48</v>
      </c>
    </row>
    <row r="12509" spans="1:22">
      <c r="A12509" t="str">
        <f t="shared" si="2426"/>
        <v>23/11/2025</v>
      </c>
      <c r="B12509" t="str">
        <f t="shared" si="2431"/>
        <v>ENTRADA</v>
      </c>
      <c r="C12509" t="str">
        <f t="shared" si="2432"/>
        <v>DINHEIRO</v>
      </c>
      <c r="D12509" t="str">
        <f>"1311"</f>
        <v>1311</v>
      </c>
      <c r="E12509" t="str">
        <f>"25"</f>
        <v>25</v>
      </c>
      <c r="F12509" t="str">
        <f t="shared" si="2425"/>
        <v>COM</v>
      </c>
      <c r="G12509" t="str">
        <f t="shared" si="2428"/>
        <v>JAMERSON SOUZA LOPES (749)</v>
      </c>
      <c r="H12509" t="str">
        <f>"REEMBOLSO ADIANTAMENTO"</f>
        <v>REEMBOLSO ADIANTAMENTO</v>
      </c>
      <c r="I12509" t="str">
        <f>("13/11/2025")</f>
        <v>13/11/2025</v>
      </c>
      <c r="J12509" t="str">
        <f>("10/10/2025")</f>
        <v>10/10/2025</v>
      </c>
      <c r="K12509" t="str">
        <f>("23/11/2025")</f>
        <v>23/11/2025</v>
      </c>
      <c r="L12509">
        <v>100</v>
      </c>
      <c r="M12509">
        <v>100</v>
      </c>
      <c r="N12509">
        <v>129</v>
      </c>
      <c r="O12509" t="str">
        <f>"ENTRADA DE REEMBOLSO ADIANTAMENTO"</f>
        <v>ENTRADA DE REEMBOLSO ADIANTAMENTO</v>
      </c>
      <c r="P12509">
        <v>100</v>
      </c>
      <c r="S12509" t="str">
        <f>"ENTRADA DE REEMBOLSO ADIANTAMENTO (129)"</f>
        <v>ENTRADA DE REEMBOLSO ADIANTAMENTO (129)</v>
      </c>
      <c r="T12509">
        <v>21831</v>
      </c>
      <c r="U12509">
        <v>23536</v>
      </c>
      <c r="V12509" t="s">
        <v>48</v>
      </c>
    </row>
    <row r="12510" spans="1:22">
      <c r="A12510" t="str">
        <f t="shared" si="2426"/>
        <v>23/11/2025</v>
      </c>
      <c r="B12510" t="str">
        <f t="shared" si="2431"/>
        <v>ENTRADA</v>
      </c>
      <c r="C12510" t="str">
        <f t="shared" si="2432"/>
        <v>DINHEIRO</v>
      </c>
      <c r="D12510" t="str">
        <f>"1311"</f>
        <v>1311</v>
      </c>
      <c r="E12510" t="str">
        <f>"25"</f>
        <v>25</v>
      </c>
      <c r="F12510" t="str">
        <f t="shared" si="2425"/>
        <v>COM</v>
      </c>
      <c r="G12510" t="str">
        <f t="shared" si="2428"/>
        <v>JAMERSON SOUZA LOPES (749)</v>
      </c>
      <c r="H12510" t="s">
        <v>57</v>
      </c>
      <c r="I12510" t="str">
        <f>("13/11/2025")</f>
        <v>13/11/2025</v>
      </c>
      <c r="J12510" t="str">
        <f>("10/10/2025")</f>
        <v>10/10/2025</v>
      </c>
      <c r="K12510">
        <v>45984</v>
      </c>
      <c r="N12510">
        <v>129</v>
      </c>
      <c r="O12510" t="s">
        <v>58</v>
      </c>
      <c r="Q12510">
        <v>100</v>
      </c>
      <c r="R12510" t="str">
        <f>"JAMERSON SOUZA LOPES (749)"</f>
        <v>JAMERSON SOUZA LOPES (749)</v>
      </c>
      <c r="S12510" t="s">
        <v>59</v>
      </c>
      <c r="T12510">
        <v>21831</v>
      </c>
      <c r="U12510">
        <v>23536</v>
      </c>
      <c r="V12510" t="s">
        <v>48</v>
      </c>
    </row>
    <row r="12511" spans="1:22">
      <c r="A12511" t="str">
        <f t="shared" si="2426"/>
        <v>23/11/2025</v>
      </c>
      <c r="B12511" t="str">
        <f t="shared" si="2431"/>
        <v>ENTRADA</v>
      </c>
      <c r="C12511" t="str">
        <f t="shared" si="2432"/>
        <v>DINHEIRO</v>
      </c>
      <c r="D12511" t="str">
        <f>"749"</f>
        <v>749</v>
      </c>
      <c r="E12511" t="str">
        <f>"7"</f>
        <v>7</v>
      </c>
      <c r="F12511" t="str">
        <f t="shared" si="2425"/>
        <v>COM</v>
      </c>
      <c r="G12511" t="str">
        <f t="shared" si="2428"/>
        <v>JAMERSON SOUZA LOPES (749)</v>
      </c>
      <c r="H12511" t="str">
        <f>"COTA COOPERATIVA"</f>
        <v>COTA COOPERATIVA</v>
      </c>
      <c r="I12511" t="str">
        <f>("08/11/2025")</f>
        <v>08/11/2025</v>
      </c>
      <c r="J12511" t="str">
        <f>("16/04/2025")</f>
        <v>16/04/2025</v>
      </c>
      <c r="K12511" t="str">
        <f>("23/11/2025")</f>
        <v>23/11/2025</v>
      </c>
      <c r="L12511">
        <v>20</v>
      </c>
      <c r="M12511">
        <v>20</v>
      </c>
      <c r="N12511">
        <v>106</v>
      </c>
      <c r="O12511" t="str">
        <f>"ENTRADA DE CAPITAL"</f>
        <v>ENTRADA DE CAPITAL</v>
      </c>
      <c r="P12511">
        <v>20</v>
      </c>
      <c r="S12511" t="str">
        <f>"ENTRADA DE CAPITAL (106)"</f>
        <v>ENTRADA DE CAPITAL (106)</v>
      </c>
      <c r="T12511">
        <v>21832</v>
      </c>
      <c r="U12511">
        <v>14061</v>
      </c>
      <c r="V12511" t="s">
        <v>48</v>
      </c>
    </row>
    <row r="12512" spans="1:22">
      <c r="A12512" t="str">
        <f t="shared" si="2426"/>
        <v>23/11/2025</v>
      </c>
      <c r="B12512" t="str">
        <f t="shared" si="2431"/>
        <v>ENTRADA</v>
      </c>
      <c r="C12512" t="str">
        <f t="shared" si="2432"/>
        <v>DINHEIRO</v>
      </c>
      <c r="D12512" t="str">
        <f>"749"</f>
        <v>749</v>
      </c>
      <c r="E12512" t="str">
        <f>"7"</f>
        <v>7</v>
      </c>
      <c r="F12512" t="str">
        <f t="shared" si="2425"/>
        <v>COM</v>
      </c>
      <c r="G12512" t="str">
        <f t="shared" si="2428"/>
        <v>JAMERSON SOUZA LOPES (749)</v>
      </c>
      <c r="H12512" t="s">
        <v>50</v>
      </c>
      <c r="I12512" t="str">
        <f>("08/11/2025")</f>
        <v>08/11/2025</v>
      </c>
      <c r="J12512" t="str">
        <f>("16/04/2025")</f>
        <v>16/04/2025</v>
      </c>
      <c r="K12512">
        <v>45984</v>
      </c>
      <c r="N12512">
        <v>106</v>
      </c>
      <c r="O12512" t="s">
        <v>51</v>
      </c>
      <c r="Q12512">
        <v>20</v>
      </c>
      <c r="R12512" t="str">
        <f>"JAMERSON SOUZA LOPES (749)"</f>
        <v>JAMERSON SOUZA LOPES (749)</v>
      </c>
      <c r="S12512" t="s">
        <v>52</v>
      </c>
      <c r="T12512">
        <v>21832</v>
      </c>
      <c r="U12512">
        <v>14061</v>
      </c>
      <c r="V12512" t="s">
        <v>48</v>
      </c>
    </row>
    <row r="12513" spans="1:22">
      <c r="A12513" t="str">
        <f t="shared" si="2426"/>
        <v>23/11/2025</v>
      </c>
      <c r="B12513" t="str">
        <f t="shared" ref="B12513:B12536" si="2433">"SAÍDA"</f>
        <v>SAÍDA</v>
      </c>
      <c r="C12513" t="str">
        <f t="shared" ref="C12513:C12536" si="2434">"PIX"</f>
        <v>PIX</v>
      </c>
      <c r="D12513" t="str">
        <f>"101120"</f>
        <v>101120</v>
      </c>
      <c r="E12513" t="str">
        <f>"251"</f>
        <v>251</v>
      </c>
      <c r="F12513" t="str">
        <f t="shared" si="2425"/>
        <v>COM</v>
      </c>
      <c r="G12513" t="str">
        <f t="shared" si="2428"/>
        <v>JAMERSON SOUZA LOPES (749)</v>
      </c>
      <c r="H12513" t="str">
        <f>"DIARIAS VIAGEM PARA UBERABA - PIX: CPF - CHAVE: 423.098.018-36"</f>
        <v>DIARIAS VIAGEM PARA UBERABA - PIX: CPF - CHAVE: 423.098.018-36</v>
      </c>
      <c r="I12513" t="str">
        <f>("10/11/2025")</f>
        <v>10/11/2025</v>
      </c>
      <c r="J12513" t="str">
        <f>("10/11/2025")</f>
        <v>10/11/2025</v>
      </c>
      <c r="K12513" t="str">
        <f>("23/11/2025")</f>
        <v>23/11/2025</v>
      </c>
      <c r="L12513">
        <v>250</v>
      </c>
      <c r="M12513">
        <v>220</v>
      </c>
      <c r="N12513">
        <v>109</v>
      </c>
      <c r="O12513" t="str">
        <f>"PAGAMENTO DE ENTREGADORES"</f>
        <v>PAGAMENTO DE ENTREGADORES</v>
      </c>
      <c r="P12513">
        <v>220</v>
      </c>
      <c r="S12513" t="str">
        <f>"CAIXA MOVIMENTAÇÃO OPERACIONAL (132)"</f>
        <v>CAIXA MOVIMENTAÇÃO OPERACIONAL (132)</v>
      </c>
      <c r="T12513">
        <v>21833</v>
      </c>
      <c r="U12513">
        <v>25934</v>
      </c>
      <c r="V12513" t="s">
        <v>48</v>
      </c>
    </row>
    <row r="12514" spans="1:22">
      <c r="A12514" t="str">
        <f t="shared" si="2426"/>
        <v>23/11/2025</v>
      </c>
      <c r="B12514" t="str">
        <f t="shared" si="2433"/>
        <v>SAÍDA</v>
      </c>
      <c r="C12514" t="str">
        <f t="shared" si="2434"/>
        <v>PIX</v>
      </c>
      <c r="D12514" t="str">
        <f>"101120"</f>
        <v>101120</v>
      </c>
      <c r="E12514" t="str">
        <f>"251"</f>
        <v>251</v>
      </c>
      <c r="F12514" t="str">
        <f t="shared" si="2425"/>
        <v>COM</v>
      </c>
      <c r="G12514" t="str">
        <f t="shared" si="2428"/>
        <v>JAMERSON SOUZA LOPES (749)</v>
      </c>
      <c r="H12514" t="s">
        <v>2408</v>
      </c>
      <c r="I12514" t="str">
        <f>("10/11/2025")</f>
        <v>10/11/2025</v>
      </c>
      <c r="J12514" t="str">
        <f>("10/11/2025")</f>
        <v>10/11/2025</v>
      </c>
      <c r="K12514">
        <v>45984</v>
      </c>
      <c r="N12514">
        <v>109</v>
      </c>
      <c r="O12514" t="s">
        <v>24</v>
      </c>
      <c r="Q12514">
        <v>220</v>
      </c>
      <c r="R12514" t="str">
        <f>"DROGALIDER 25 (10246)"</f>
        <v>DROGALIDER 25 (10246)</v>
      </c>
      <c r="S12514" t="s">
        <v>48</v>
      </c>
      <c r="T12514">
        <v>21833</v>
      </c>
      <c r="U12514">
        <v>25934</v>
      </c>
      <c r="V12514" t="s">
        <v>48</v>
      </c>
    </row>
    <row r="12515" spans="1:22">
      <c r="A12515" t="str">
        <f t="shared" si="2426"/>
        <v>23/11/2025</v>
      </c>
      <c r="B12515" t="str">
        <f t="shared" si="2433"/>
        <v>SAÍDA</v>
      </c>
      <c r="C12515" t="str">
        <f t="shared" si="2434"/>
        <v>PIX</v>
      </c>
      <c r="D12515" t="str">
        <f>"25112025"</f>
        <v>25112025</v>
      </c>
      <c r="E12515" t="str">
        <f t="shared" ref="E12515:E12520" si="2435">"1"</f>
        <v>1</v>
      </c>
      <c r="F12515" t="str">
        <f t="shared" si="2425"/>
        <v>COM</v>
      </c>
      <c r="G12515" t="str">
        <f>"FELIPE BRITO DOS SANTOS (1111)"</f>
        <v>FELIPE BRITO DOS SANTOS (1111)</v>
      </c>
      <c r="H12515" t="str">
        <f>"PRESTAÇÃO DE SERVIÇO ENTRE 19/11 A 23/11/2025 CHAVE PIX: felipebrito00009@gmail.com"</f>
        <v>PRESTAÇÃO DE SERVIÇO ENTRE 19/11 A 23/11/2025 CHAVE PIX: felipebrito00009@gmail.com</v>
      </c>
      <c r="I12515" t="str">
        <f t="shared" ref="I12515:I12520" si="2436">("23/11/2025")</f>
        <v>23/11/2025</v>
      </c>
      <c r="J12515" t="str">
        <f>("20/11/2025")</f>
        <v>20/11/2025</v>
      </c>
      <c r="K12515" t="str">
        <f>("23/11/2025")</f>
        <v>23/11/2025</v>
      </c>
      <c r="L12515">
        <v>190</v>
      </c>
      <c r="M12515">
        <v>190</v>
      </c>
      <c r="N12515">
        <v>134</v>
      </c>
      <c r="O12515" t="str">
        <f>"DIARIA DE MOTOBOY"</f>
        <v>DIARIA DE MOTOBOY</v>
      </c>
      <c r="P12515">
        <v>190</v>
      </c>
      <c r="S12515" t="str">
        <f>"BANCO CORA (102)"</f>
        <v>BANCO CORA (102)</v>
      </c>
      <c r="T12515">
        <v>22449</v>
      </c>
      <c r="U12515">
        <v>26327</v>
      </c>
      <c r="V12515" t="s">
        <v>22</v>
      </c>
    </row>
    <row r="12516" spans="1:22">
      <c r="A12516" t="str">
        <f t="shared" si="2426"/>
        <v>23/11/2025</v>
      </c>
      <c r="B12516" t="str">
        <f t="shared" si="2433"/>
        <v>SAÍDA</v>
      </c>
      <c r="C12516" t="str">
        <f t="shared" si="2434"/>
        <v>PIX</v>
      </c>
      <c r="D12516" t="str">
        <f>"25112025"</f>
        <v>25112025</v>
      </c>
      <c r="E12516" t="str">
        <f t="shared" si="2435"/>
        <v>1</v>
      </c>
      <c r="F12516" t="str">
        <f t="shared" si="2425"/>
        <v>COM</v>
      </c>
      <c r="G12516" t="str">
        <f>"FELIPE BRITO DOS SANTOS (1111)"</f>
        <v>FELIPE BRITO DOS SANTOS (1111)</v>
      </c>
      <c r="H12516" t="s">
        <v>3144</v>
      </c>
      <c r="I12516" t="str">
        <f t="shared" si="2436"/>
        <v>23/11/2025</v>
      </c>
      <c r="J12516" t="str">
        <f>("20/11/2025")</f>
        <v>20/11/2025</v>
      </c>
      <c r="K12516">
        <v>45984</v>
      </c>
      <c r="N12516">
        <v>134</v>
      </c>
      <c r="O12516" t="s">
        <v>41</v>
      </c>
      <c r="Q12516">
        <v>190</v>
      </c>
      <c r="R12516" t="str">
        <f>"PENSE FARMA 44 (10231)"</f>
        <v>PENSE FARMA 44 (10231)</v>
      </c>
      <c r="S12516" t="s">
        <v>22</v>
      </c>
      <c r="T12516">
        <v>22449</v>
      </c>
      <c r="U12516">
        <v>26327</v>
      </c>
      <c r="V12516" t="s">
        <v>22</v>
      </c>
    </row>
    <row r="12517" spans="1:22">
      <c r="A12517" t="str">
        <f t="shared" si="2426"/>
        <v>23/11/2025</v>
      </c>
      <c r="B12517" t="str">
        <f t="shared" si="2433"/>
        <v>SAÍDA</v>
      </c>
      <c r="C12517" t="str">
        <f t="shared" si="2434"/>
        <v>PIX</v>
      </c>
      <c r="D12517" t="str">
        <f>"26104"</f>
        <v>26104</v>
      </c>
      <c r="E12517" t="str">
        <f t="shared" si="2435"/>
        <v>1</v>
      </c>
      <c r="F12517" t="str">
        <f t="shared" si="2425"/>
        <v>COM</v>
      </c>
      <c r="G12517" t="str">
        <f>"LUCAS SANTOS PEREIRA (1101)"</f>
        <v>LUCAS SANTOS PEREIRA (1101)</v>
      </c>
      <c r="H12517" t="str">
        <f>"Serv.Prest. 17/11/2025 a 23/11/2025 - PIX: CELULAR - CHAVE: (11) 95460-2535"</f>
        <v>Serv.Prest. 17/11/2025 a 23/11/2025 - PIX: CELULAR - CHAVE: (11) 95460-2535</v>
      </c>
      <c r="I12517" t="str">
        <f t="shared" si="2436"/>
        <v>23/11/2025</v>
      </c>
      <c r="J12517" t="str">
        <f>("23/11/2025")</f>
        <v>23/11/2025</v>
      </c>
      <c r="K12517" t="str">
        <f>("23/11/2025")</f>
        <v>23/11/2025</v>
      </c>
      <c r="L12517">
        <v>200</v>
      </c>
      <c r="M12517">
        <v>200</v>
      </c>
      <c r="N12517">
        <v>134</v>
      </c>
      <c r="O12517" t="str">
        <f>"DIARIA DE MOTOBOY"</f>
        <v>DIARIA DE MOTOBOY</v>
      </c>
      <c r="P12517">
        <v>200</v>
      </c>
      <c r="S12517" t="str">
        <f>"BANCO CORA (102)"</f>
        <v>BANCO CORA (102)</v>
      </c>
      <c r="T12517">
        <v>22450</v>
      </c>
      <c r="U12517">
        <v>26334</v>
      </c>
      <c r="V12517" t="s">
        <v>22</v>
      </c>
    </row>
    <row r="12518" spans="1:22">
      <c r="A12518" t="str">
        <f t="shared" si="2426"/>
        <v>23/11/2025</v>
      </c>
      <c r="B12518" t="str">
        <f t="shared" si="2433"/>
        <v>SAÍDA</v>
      </c>
      <c r="C12518" t="str">
        <f t="shared" si="2434"/>
        <v>PIX</v>
      </c>
      <c r="D12518" t="str">
        <f>"26104"</f>
        <v>26104</v>
      </c>
      <c r="E12518" t="str">
        <f t="shared" si="2435"/>
        <v>1</v>
      </c>
      <c r="F12518" t="str">
        <f t="shared" si="2425"/>
        <v>COM</v>
      </c>
      <c r="G12518" t="str">
        <f>"LUCAS SANTOS PEREIRA (1101)"</f>
        <v>LUCAS SANTOS PEREIRA (1101)</v>
      </c>
      <c r="H12518" t="s">
        <v>3143</v>
      </c>
      <c r="I12518" t="str">
        <f t="shared" si="2436"/>
        <v>23/11/2025</v>
      </c>
      <c r="J12518" t="str">
        <f>("23/11/2025")</f>
        <v>23/11/2025</v>
      </c>
      <c r="K12518">
        <v>45984</v>
      </c>
      <c r="N12518">
        <v>134</v>
      </c>
      <c r="O12518" t="s">
        <v>41</v>
      </c>
      <c r="Q12518">
        <v>200</v>
      </c>
      <c r="R12518" t="str">
        <f>"PENSE FARMA 15 (10195)"</f>
        <v>PENSE FARMA 15 (10195)</v>
      </c>
      <c r="S12518" t="s">
        <v>22</v>
      </c>
      <c r="T12518">
        <v>22450</v>
      </c>
      <c r="U12518">
        <v>26334</v>
      </c>
      <c r="V12518" t="s">
        <v>22</v>
      </c>
    </row>
    <row r="12519" spans="1:22">
      <c r="A12519" t="str">
        <f t="shared" si="2426"/>
        <v>23/11/2025</v>
      </c>
      <c r="B12519" t="str">
        <f t="shared" si="2433"/>
        <v>SAÍDA</v>
      </c>
      <c r="C12519" t="str">
        <f t="shared" si="2434"/>
        <v>PIX</v>
      </c>
      <c r="D12519" t="str">
        <f>"26256"</f>
        <v>26256</v>
      </c>
      <c r="E12519" t="str">
        <f t="shared" si="2435"/>
        <v>1</v>
      </c>
      <c r="F12519" t="str">
        <f t="shared" si="2425"/>
        <v>COM</v>
      </c>
      <c r="G12519" t="str">
        <f>"RYAN YAGHAMY ANDRADE DIAS DUARTE (1109)"</f>
        <v>RYAN YAGHAMY ANDRADE DIAS DUARTE (1109)</v>
      </c>
      <c r="H12519" t="str">
        <f>"Serv.Prest. 17/11/2025 a 23/11/2025 - PIX: CPF - CHAVE: 166.062.316-20"</f>
        <v>Serv.Prest. 17/11/2025 a 23/11/2025 - PIX: CPF - CHAVE: 166.062.316-20</v>
      </c>
      <c r="I12519" t="str">
        <f t="shared" si="2436"/>
        <v>23/11/2025</v>
      </c>
      <c r="J12519" t="str">
        <f>("23/11/2025")</f>
        <v>23/11/2025</v>
      </c>
      <c r="K12519" t="str">
        <f>("23/11/2025")</f>
        <v>23/11/2025</v>
      </c>
      <c r="L12519">
        <v>180</v>
      </c>
      <c r="M12519">
        <v>180</v>
      </c>
      <c r="N12519">
        <v>134</v>
      </c>
      <c r="O12519" t="str">
        <f>"DIARIA DE MOTOBOY"</f>
        <v>DIARIA DE MOTOBOY</v>
      </c>
      <c r="P12519">
        <v>180</v>
      </c>
      <c r="S12519" t="str">
        <f>"BANCO CORA (102)"</f>
        <v>BANCO CORA (102)</v>
      </c>
      <c r="T12519">
        <v>22451</v>
      </c>
      <c r="U12519">
        <v>26256</v>
      </c>
      <c r="V12519" t="s">
        <v>22</v>
      </c>
    </row>
    <row r="12520" spans="1:22">
      <c r="A12520" t="str">
        <f t="shared" si="2426"/>
        <v>23/11/2025</v>
      </c>
      <c r="B12520" t="str">
        <f t="shared" si="2433"/>
        <v>SAÍDA</v>
      </c>
      <c r="C12520" t="str">
        <f t="shared" si="2434"/>
        <v>PIX</v>
      </c>
      <c r="D12520" t="str">
        <f>"26256"</f>
        <v>26256</v>
      </c>
      <c r="E12520" t="str">
        <f t="shared" si="2435"/>
        <v>1</v>
      </c>
      <c r="F12520" t="str">
        <f t="shared" si="2425"/>
        <v>COM</v>
      </c>
      <c r="G12520" t="str">
        <f>"RYAN YAGHAMY ANDRADE DIAS DUARTE (1109)"</f>
        <v>RYAN YAGHAMY ANDRADE DIAS DUARTE (1109)</v>
      </c>
      <c r="H12520" t="s">
        <v>3383</v>
      </c>
      <c r="I12520" t="str">
        <f t="shared" si="2436"/>
        <v>23/11/2025</v>
      </c>
      <c r="J12520" t="str">
        <f>("23/11/2025")</f>
        <v>23/11/2025</v>
      </c>
      <c r="K12520">
        <v>45984</v>
      </c>
      <c r="N12520">
        <v>134</v>
      </c>
      <c r="O12520" t="s">
        <v>41</v>
      </c>
      <c r="Q12520">
        <v>180</v>
      </c>
      <c r="R12520" t="str">
        <f>"FARMÁCIA INDIANA LJ 101 (10043)"</f>
        <v>FARMÁCIA INDIANA LJ 101 (10043)</v>
      </c>
      <c r="S12520" t="s">
        <v>22</v>
      </c>
      <c r="T12520">
        <v>22451</v>
      </c>
      <c r="U12520">
        <v>26256</v>
      </c>
      <c r="V12520" t="s">
        <v>22</v>
      </c>
    </row>
    <row r="12521" spans="1:22">
      <c r="A12521" t="str">
        <f t="shared" si="2426"/>
        <v>23/11/2025</v>
      </c>
      <c r="B12521" t="str">
        <f t="shared" si="2433"/>
        <v>SAÍDA</v>
      </c>
      <c r="C12521" t="str">
        <f t="shared" si="2434"/>
        <v>PIX</v>
      </c>
      <c r="D12521" t="str">
        <f>"15022025"</f>
        <v>15022025</v>
      </c>
      <c r="E12521" t="str">
        <f>"36"</f>
        <v>36</v>
      </c>
      <c r="F12521" t="str">
        <f t="shared" si="2425"/>
        <v>COM</v>
      </c>
      <c r="G12521" t="str">
        <f>"ALBERTO KENNEDY ALMEIDA DE JESUS (20026)"</f>
        <v>ALBERTO KENNEDY ALMEIDA DE JESUS (20026)</v>
      </c>
      <c r="H12521" t="str">
        <f>"PAGAMENTO PRESTACAO DE SERVICO"</f>
        <v>PAGAMENTO PRESTACAO DE SERVICO</v>
      </c>
      <c r="I12521" t="str">
        <f>("15/01/2026")</f>
        <v>15/01/2026</v>
      </c>
      <c r="J12521" t="str">
        <f>("14/02/2025")</f>
        <v>14/02/2025</v>
      </c>
      <c r="K12521" t="str">
        <f>("23/11/2025")</f>
        <v>23/11/2025</v>
      </c>
      <c r="L12521">
        <v>300</v>
      </c>
      <c r="M12521">
        <v>300</v>
      </c>
      <c r="N12521">
        <v>103</v>
      </c>
      <c r="O12521" t="str">
        <f>"PAGAMENTO DE FUNCIONÁRIOS"</f>
        <v>PAGAMENTO DE FUNCIONÁRIOS</v>
      </c>
      <c r="P12521">
        <v>300</v>
      </c>
      <c r="S12521" t="str">
        <f>"BANCO CORA (102)"</f>
        <v>BANCO CORA (102)</v>
      </c>
      <c r="T12521">
        <v>22460</v>
      </c>
      <c r="U12521">
        <v>26368</v>
      </c>
      <c r="V12521" t="s">
        <v>22</v>
      </c>
    </row>
    <row r="12522" spans="1:22">
      <c r="A12522" t="str">
        <f t="shared" si="2426"/>
        <v>23/11/2025</v>
      </c>
      <c r="B12522" t="str">
        <f t="shared" si="2433"/>
        <v>SAÍDA</v>
      </c>
      <c r="C12522" t="str">
        <f t="shared" si="2434"/>
        <v>PIX</v>
      </c>
      <c r="D12522" t="str">
        <f>"15022025"</f>
        <v>15022025</v>
      </c>
      <c r="E12522" t="str">
        <f>"36"</f>
        <v>36</v>
      </c>
      <c r="F12522" t="str">
        <f t="shared" si="2425"/>
        <v>COM</v>
      </c>
      <c r="G12522" t="str">
        <f>"ALBERTO KENNEDY ALMEIDA DE JESUS (20026)"</f>
        <v>ALBERTO KENNEDY ALMEIDA DE JESUS (20026)</v>
      </c>
      <c r="H12522" t="s">
        <v>587</v>
      </c>
      <c r="I12522" t="str">
        <f>("15/01/2026")</f>
        <v>15/01/2026</v>
      </c>
      <c r="J12522" t="str">
        <f>("14/02/2025")</f>
        <v>14/02/2025</v>
      </c>
      <c r="K12522">
        <v>45984</v>
      </c>
      <c r="N12522">
        <v>103</v>
      </c>
      <c r="O12522" t="s">
        <v>267</v>
      </c>
      <c r="Q12522">
        <v>300</v>
      </c>
      <c r="R12522" t="str">
        <f>"ALBERTO KENNEDY ALMEIDA DE JESUS (20026)"</f>
        <v>ALBERTO KENNEDY ALMEIDA DE JESUS (20026)</v>
      </c>
      <c r="S12522" t="s">
        <v>22</v>
      </c>
      <c r="T12522">
        <v>22460</v>
      </c>
      <c r="U12522">
        <v>26368</v>
      </c>
      <c r="V12522" t="s">
        <v>22</v>
      </c>
    </row>
    <row r="12523" spans="1:22">
      <c r="A12523" t="str">
        <f t="shared" si="2426"/>
        <v>23/11/2025</v>
      </c>
      <c r="B12523" t="str">
        <f t="shared" si="2433"/>
        <v>SAÍDA</v>
      </c>
      <c r="C12523" t="str">
        <f t="shared" si="2434"/>
        <v>PIX</v>
      </c>
      <c r="D12523" t="str">
        <f>"15022025"</f>
        <v>15022025</v>
      </c>
      <c r="E12523" t="str">
        <f>"37"</f>
        <v>37</v>
      </c>
      <c r="F12523" t="str">
        <f t="shared" si="2425"/>
        <v>COM</v>
      </c>
      <c r="G12523" t="str">
        <f>"ALBERTO KENNEDY ALMEIDA DE JESUS (20026)"</f>
        <v>ALBERTO KENNEDY ALMEIDA DE JESUS (20026)</v>
      </c>
      <c r="H12523" t="str">
        <f>"PAGAMENTO PRESTACAO DE SERVICO"</f>
        <v>PAGAMENTO PRESTACAO DE SERVICO</v>
      </c>
      <c r="I12523" t="str">
        <f>("15/02/2026")</f>
        <v>15/02/2026</v>
      </c>
      <c r="J12523" t="str">
        <f>("14/02/2025")</f>
        <v>14/02/2025</v>
      </c>
      <c r="K12523" t="str">
        <f>("23/11/2025")</f>
        <v>23/11/2025</v>
      </c>
      <c r="L12523">
        <v>300</v>
      </c>
      <c r="M12523">
        <v>300</v>
      </c>
      <c r="N12523">
        <v>103</v>
      </c>
      <c r="O12523" t="str">
        <f>"PAGAMENTO DE FUNCIONÁRIOS"</f>
        <v>PAGAMENTO DE FUNCIONÁRIOS</v>
      </c>
      <c r="S12523" t="str">
        <f>"BANCO CORA (102)"</f>
        <v>BANCO CORA (102)</v>
      </c>
      <c r="T12523">
        <v>22460</v>
      </c>
      <c r="U12523">
        <v>26369</v>
      </c>
      <c r="V12523" t="s">
        <v>22</v>
      </c>
    </row>
    <row r="12524" spans="1:22">
      <c r="A12524" t="str">
        <f t="shared" si="2426"/>
        <v>23/11/2025</v>
      </c>
      <c r="B12524" t="str">
        <f t="shared" si="2433"/>
        <v>SAÍDA</v>
      </c>
      <c r="C12524" t="str">
        <f t="shared" si="2434"/>
        <v>PIX</v>
      </c>
      <c r="D12524" t="str">
        <f>"15022025"</f>
        <v>15022025</v>
      </c>
      <c r="E12524" t="str">
        <f>"37"</f>
        <v>37</v>
      </c>
      <c r="F12524" t="str">
        <f t="shared" si="2425"/>
        <v>COM</v>
      </c>
      <c r="G12524" t="str">
        <f>"ALBERTO KENNEDY ALMEIDA DE JESUS (20026)"</f>
        <v>ALBERTO KENNEDY ALMEIDA DE JESUS (20026)</v>
      </c>
      <c r="H12524" t="s">
        <v>587</v>
      </c>
      <c r="I12524" t="str">
        <f>("15/02/2026")</f>
        <v>15/02/2026</v>
      </c>
      <c r="J12524" t="str">
        <f>("14/02/2025")</f>
        <v>14/02/2025</v>
      </c>
      <c r="K12524">
        <v>45984</v>
      </c>
      <c r="N12524">
        <v>103</v>
      </c>
      <c r="O12524" t="s">
        <v>267</v>
      </c>
      <c r="Q12524">
        <v>300</v>
      </c>
      <c r="R12524" t="str">
        <f>"ALBERTO KENNEDY ALMEIDA DE JESUS (20026)"</f>
        <v>ALBERTO KENNEDY ALMEIDA DE JESUS (20026)</v>
      </c>
      <c r="S12524" t="s">
        <v>22</v>
      </c>
      <c r="T12524">
        <v>22460</v>
      </c>
      <c r="U12524">
        <v>26369</v>
      </c>
      <c r="V12524" t="s">
        <v>22</v>
      </c>
    </row>
    <row r="12525" spans="1:22">
      <c r="A12525" t="str">
        <f t="shared" ref="A12525:A12555" si="2437">("24/11/2025")</f>
        <v>24/11/2025</v>
      </c>
      <c r="B12525" t="str">
        <f t="shared" si="2433"/>
        <v>SAÍDA</v>
      </c>
      <c r="C12525" t="str">
        <f t="shared" si="2434"/>
        <v>PIX</v>
      </c>
      <c r="D12525" t="str">
        <f>"26112"</f>
        <v>26112</v>
      </c>
      <c r="E12525" t="str">
        <f t="shared" ref="E12525:E12532" si="2438">"1"</f>
        <v>1</v>
      </c>
      <c r="F12525" t="str">
        <f t="shared" si="2425"/>
        <v>COM</v>
      </c>
      <c r="G12525" t="str">
        <f>"EDICARLOS OLIVEIRA BORGES (1068)"</f>
        <v>EDICARLOS OLIVEIRA BORGES (1068)</v>
      </c>
      <c r="H12525" t="str">
        <f>"Serv.Prest. 17/11/2025 a 23/11/2025 - PIX: CELULAR - CHAVE: (11) 93933-2088"</f>
        <v>Serv.Prest. 17/11/2025 a 23/11/2025 - PIX: CELULAR - CHAVE: (11) 93933-2088</v>
      </c>
      <c r="I12525" t="str">
        <f>("24/11/2025")</f>
        <v>24/11/2025</v>
      </c>
      <c r="J12525" t="str">
        <f>("24/11/2025")</f>
        <v>24/11/2025</v>
      </c>
      <c r="K12525" t="str">
        <f>("24/11/2025")</f>
        <v>24/11/2025</v>
      </c>
      <c r="L12525">
        <v>250</v>
      </c>
      <c r="M12525">
        <v>250</v>
      </c>
      <c r="N12525">
        <v>134</v>
      </c>
      <c r="O12525" t="str">
        <f>"DIARIA DE MOTOBOY"</f>
        <v>DIARIA DE MOTOBOY</v>
      </c>
      <c r="P12525">
        <v>250</v>
      </c>
      <c r="S12525" t="str">
        <f>"BANCO CORA (102)"</f>
        <v>BANCO CORA (102)</v>
      </c>
      <c r="T12525">
        <v>22921</v>
      </c>
      <c r="U12525">
        <v>26112</v>
      </c>
      <c r="V12525" t="s">
        <v>22</v>
      </c>
    </row>
    <row r="12526" spans="1:22">
      <c r="A12526" t="str">
        <f t="shared" si="2437"/>
        <v>24/11/2025</v>
      </c>
      <c r="B12526" t="str">
        <f t="shared" si="2433"/>
        <v>SAÍDA</v>
      </c>
      <c r="C12526" t="str">
        <f t="shared" si="2434"/>
        <v>PIX</v>
      </c>
      <c r="D12526" t="str">
        <f>"26112"</f>
        <v>26112</v>
      </c>
      <c r="E12526" t="str">
        <f t="shared" si="2438"/>
        <v>1</v>
      </c>
      <c r="F12526" t="str">
        <f t="shared" si="2425"/>
        <v>COM</v>
      </c>
      <c r="G12526" t="str">
        <f>"EDICARLOS OLIVEIRA BORGES (1068)"</f>
        <v>EDICARLOS OLIVEIRA BORGES (1068)</v>
      </c>
      <c r="H12526" t="s">
        <v>3384</v>
      </c>
      <c r="I12526" t="str">
        <f t="shared" ref="I12526:J12530" si="2439">("24/11/2025")</f>
        <v>24/11/2025</v>
      </c>
      <c r="J12526" t="str">
        <f t="shared" si="2439"/>
        <v>24/11/2025</v>
      </c>
      <c r="K12526">
        <v>45985</v>
      </c>
      <c r="N12526">
        <v>134</v>
      </c>
      <c r="O12526" t="s">
        <v>41</v>
      </c>
      <c r="Q12526">
        <v>250</v>
      </c>
      <c r="R12526" t="str">
        <f>"PENSE FARMA 22 (10198)"</f>
        <v>PENSE FARMA 22 (10198)</v>
      </c>
      <c r="S12526" t="s">
        <v>22</v>
      </c>
      <c r="T12526">
        <v>22921</v>
      </c>
      <c r="U12526">
        <v>26112</v>
      </c>
      <c r="V12526" t="s">
        <v>22</v>
      </c>
    </row>
    <row r="12527" spans="1:22">
      <c r="A12527" t="str">
        <f t="shared" si="2437"/>
        <v>24/11/2025</v>
      </c>
      <c r="B12527" t="str">
        <f t="shared" si="2433"/>
        <v>SAÍDA</v>
      </c>
      <c r="C12527" t="str">
        <f t="shared" si="2434"/>
        <v>PIX</v>
      </c>
      <c r="D12527" t="str">
        <f>"26124"</f>
        <v>26124</v>
      </c>
      <c r="E12527" t="str">
        <f t="shared" si="2438"/>
        <v>1</v>
      </c>
      <c r="F12527" t="str">
        <f t="shared" si="2425"/>
        <v>COM</v>
      </c>
      <c r="G12527" t="str">
        <f>"JOEL ARAGAO SALES (864)"</f>
        <v>JOEL ARAGAO SALES (864)</v>
      </c>
      <c r="H12527" t="str">
        <f>"Serv.Prest. 17/11/2025 a 23/11/2025 - PIX: CPF - CHAVE: 052.353.883-99"</f>
        <v>Serv.Prest. 17/11/2025 a 23/11/2025 - PIX: CPF - CHAVE: 052.353.883-99</v>
      </c>
      <c r="I12527" t="str">
        <f t="shared" si="2439"/>
        <v>24/11/2025</v>
      </c>
      <c r="J12527" t="str">
        <f t="shared" si="2439"/>
        <v>24/11/2025</v>
      </c>
      <c r="K12527" t="str">
        <f>("24/11/2025")</f>
        <v>24/11/2025</v>
      </c>
      <c r="L12527">
        <v>133</v>
      </c>
      <c r="M12527">
        <v>130</v>
      </c>
      <c r="N12527">
        <v>109</v>
      </c>
      <c r="O12527" t="str">
        <f>"PAGAMENTO DE ENTREGADORES"</f>
        <v>PAGAMENTO DE ENTREGADORES</v>
      </c>
      <c r="P12527">
        <v>130</v>
      </c>
      <c r="S12527" t="str">
        <f>"BANCO CORA (102)"</f>
        <v>BANCO CORA (102)</v>
      </c>
      <c r="T12527">
        <v>22922</v>
      </c>
      <c r="U12527">
        <v>26124</v>
      </c>
      <c r="V12527" t="s">
        <v>22</v>
      </c>
    </row>
    <row r="12528" spans="1:22">
      <c r="A12528" t="str">
        <f t="shared" si="2437"/>
        <v>24/11/2025</v>
      </c>
      <c r="B12528" t="str">
        <f t="shared" si="2433"/>
        <v>SAÍDA</v>
      </c>
      <c r="C12528" t="str">
        <f t="shared" si="2434"/>
        <v>PIX</v>
      </c>
      <c r="D12528" t="str">
        <f>"26124"</f>
        <v>26124</v>
      </c>
      <c r="E12528" t="str">
        <f t="shared" si="2438"/>
        <v>1</v>
      </c>
      <c r="F12528" t="str">
        <f t="shared" ref="F12528:F12546" si="2440">"COM"</f>
        <v>COM</v>
      </c>
      <c r="G12528" t="str">
        <f>"JOEL ARAGAO SALES (864)"</f>
        <v>JOEL ARAGAO SALES (864)</v>
      </c>
      <c r="H12528" t="s">
        <v>3385</v>
      </c>
      <c r="I12528" t="str">
        <f t="shared" si="2439"/>
        <v>24/11/2025</v>
      </c>
      <c r="J12528" t="str">
        <f t="shared" si="2439"/>
        <v>24/11/2025</v>
      </c>
      <c r="K12528">
        <v>45985</v>
      </c>
      <c r="N12528">
        <v>109</v>
      </c>
      <c r="O12528" t="s">
        <v>24</v>
      </c>
      <c r="Q12528">
        <v>130</v>
      </c>
      <c r="R12528" t="str">
        <f>"DROGARIA MEDIC CENTER LTDA (10172)"</f>
        <v>DROGARIA MEDIC CENTER LTDA (10172)</v>
      </c>
      <c r="S12528" t="s">
        <v>22</v>
      </c>
      <c r="T12528">
        <v>22922</v>
      </c>
      <c r="U12528">
        <v>26124</v>
      </c>
      <c r="V12528" t="s">
        <v>22</v>
      </c>
    </row>
    <row r="12529" spans="1:22">
      <c r="A12529" t="str">
        <f t="shared" si="2437"/>
        <v>24/11/2025</v>
      </c>
      <c r="B12529" t="str">
        <f t="shared" si="2433"/>
        <v>SAÍDA</v>
      </c>
      <c r="C12529" t="str">
        <f t="shared" si="2434"/>
        <v>PIX</v>
      </c>
      <c r="D12529" t="str">
        <f>"26128"</f>
        <v>26128</v>
      </c>
      <c r="E12529" t="str">
        <f t="shared" si="2438"/>
        <v>1</v>
      </c>
      <c r="F12529" t="str">
        <f t="shared" si="2440"/>
        <v>COM</v>
      </c>
      <c r="G12529" t="str">
        <f>"JOEL ARAGAO SALES (864)"</f>
        <v>JOEL ARAGAO SALES (864)</v>
      </c>
      <c r="H12529" t="str">
        <f>"Serv.Prest. 17/11/2025 a 23/11/2025 - PIX: CPF - CHAVE: 052.353.883-99"</f>
        <v>Serv.Prest. 17/11/2025 a 23/11/2025 - PIX: CPF - CHAVE: 052.353.883-99</v>
      </c>
      <c r="I12529" t="str">
        <f t="shared" si="2439"/>
        <v>24/11/2025</v>
      </c>
      <c r="J12529" t="str">
        <f t="shared" si="2439"/>
        <v>24/11/2025</v>
      </c>
      <c r="K12529" t="str">
        <f>("24/11/2025")</f>
        <v>24/11/2025</v>
      </c>
      <c r="L12529">
        <v>231</v>
      </c>
      <c r="M12529">
        <v>230</v>
      </c>
      <c r="N12529">
        <v>109</v>
      </c>
      <c r="O12529" t="str">
        <f>"PAGAMENTO DE ENTREGADORES"</f>
        <v>PAGAMENTO DE ENTREGADORES</v>
      </c>
      <c r="P12529">
        <v>230</v>
      </c>
      <c r="S12529" t="str">
        <f>"BANCO CORA (102)"</f>
        <v>BANCO CORA (102)</v>
      </c>
      <c r="T12529">
        <v>22923</v>
      </c>
      <c r="U12529">
        <v>26128</v>
      </c>
      <c r="V12529" t="s">
        <v>22</v>
      </c>
    </row>
    <row r="12530" spans="1:22">
      <c r="A12530" t="str">
        <f t="shared" si="2437"/>
        <v>24/11/2025</v>
      </c>
      <c r="B12530" t="str">
        <f t="shared" si="2433"/>
        <v>SAÍDA</v>
      </c>
      <c r="C12530" t="str">
        <f t="shared" si="2434"/>
        <v>PIX</v>
      </c>
      <c r="D12530" t="str">
        <f>"26128"</f>
        <v>26128</v>
      </c>
      <c r="E12530" t="str">
        <f t="shared" si="2438"/>
        <v>1</v>
      </c>
      <c r="F12530" t="str">
        <f t="shared" si="2440"/>
        <v>COM</v>
      </c>
      <c r="G12530" t="str">
        <f>"JOEL ARAGAO SALES (864)"</f>
        <v>JOEL ARAGAO SALES (864)</v>
      </c>
      <c r="H12530" t="s">
        <v>3385</v>
      </c>
      <c r="I12530" t="str">
        <f t="shared" si="2439"/>
        <v>24/11/2025</v>
      </c>
      <c r="J12530" t="str">
        <f t="shared" si="2439"/>
        <v>24/11/2025</v>
      </c>
      <c r="K12530">
        <v>45985</v>
      </c>
      <c r="N12530">
        <v>109</v>
      </c>
      <c r="O12530" t="s">
        <v>24</v>
      </c>
      <c r="Q12530">
        <v>230</v>
      </c>
      <c r="R12530" t="str">
        <f>"DROGARIA TOTAL JUNDIAI (10177)"</f>
        <v>DROGARIA TOTAL JUNDIAI (10177)</v>
      </c>
      <c r="S12530" t="s">
        <v>22</v>
      </c>
      <c r="T12530">
        <v>22923</v>
      </c>
      <c r="U12530">
        <v>26128</v>
      </c>
      <c r="V12530" t="s">
        <v>22</v>
      </c>
    </row>
    <row r="12531" spans="1:22">
      <c r="A12531" t="str">
        <f t="shared" si="2437"/>
        <v>24/11/2025</v>
      </c>
      <c r="B12531" t="str">
        <f t="shared" si="2433"/>
        <v>SAÍDA</v>
      </c>
      <c r="C12531" t="str">
        <f t="shared" si="2434"/>
        <v>PIX</v>
      </c>
      <c r="D12531" t="str">
        <f>"25112025"</f>
        <v>25112025</v>
      </c>
      <c r="E12531" t="str">
        <f t="shared" si="2438"/>
        <v>1</v>
      </c>
      <c r="F12531" t="str">
        <f t="shared" si="2440"/>
        <v>COM</v>
      </c>
      <c r="G12531" t="str">
        <f>"FELIPE BRITO DOS SANTOS (1111)"</f>
        <v>FELIPE BRITO DOS SANTOS (1111)</v>
      </c>
      <c r="H12531" t="str">
        <f>"PRESTAÇÃO DE SERVIÇO ENTRE 19/11 A 23/11/2025 CHAVE PIX: felipebrito00009@gmail.com"</f>
        <v>PRESTAÇÃO DE SERVIÇO ENTRE 19/11 A 23/11/2025 CHAVE PIX: felipebrito00009@gmail.com</v>
      </c>
      <c r="I12531" t="str">
        <f t="shared" ref="I12531:I12542" si="2441">("24/11/2025")</f>
        <v>24/11/2025</v>
      </c>
      <c r="J12531" t="str">
        <f>("20/11/2025")</f>
        <v>20/11/2025</v>
      </c>
      <c r="K12531" t="str">
        <f>("24/11/2025")</f>
        <v>24/11/2025</v>
      </c>
      <c r="L12531">
        <v>300</v>
      </c>
      <c r="M12531">
        <v>300</v>
      </c>
      <c r="N12531">
        <v>134</v>
      </c>
      <c r="O12531" t="str">
        <f>"DIARIA DE MOTOBOY"</f>
        <v>DIARIA DE MOTOBOY</v>
      </c>
      <c r="P12531">
        <v>300</v>
      </c>
      <c r="S12531" t="str">
        <f>"BANCO CORA (102)"</f>
        <v>BANCO CORA (102)</v>
      </c>
      <c r="T12531">
        <v>22924</v>
      </c>
      <c r="U12531">
        <v>26167</v>
      </c>
      <c r="V12531" t="s">
        <v>22</v>
      </c>
    </row>
    <row r="12532" spans="1:22">
      <c r="A12532" t="str">
        <f t="shared" si="2437"/>
        <v>24/11/2025</v>
      </c>
      <c r="B12532" t="str">
        <f t="shared" si="2433"/>
        <v>SAÍDA</v>
      </c>
      <c r="C12532" t="str">
        <f t="shared" si="2434"/>
        <v>PIX</v>
      </c>
      <c r="D12532" t="str">
        <f>"25112025"</f>
        <v>25112025</v>
      </c>
      <c r="E12532" t="str">
        <f t="shared" si="2438"/>
        <v>1</v>
      </c>
      <c r="F12532" t="str">
        <f t="shared" si="2440"/>
        <v>COM</v>
      </c>
      <c r="G12532" t="str">
        <f>"FELIPE BRITO DOS SANTOS (1111)"</f>
        <v>FELIPE BRITO DOS SANTOS (1111)</v>
      </c>
      <c r="H12532" t="s">
        <v>3144</v>
      </c>
      <c r="I12532" t="str">
        <f t="shared" si="2441"/>
        <v>24/11/2025</v>
      </c>
      <c r="J12532" t="str">
        <f>("20/11/2025")</f>
        <v>20/11/2025</v>
      </c>
      <c r="K12532">
        <v>45985</v>
      </c>
      <c r="N12532">
        <v>134</v>
      </c>
      <c r="O12532" t="s">
        <v>41</v>
      </c>
      <c r="Q12532">
        <v>300</v>
      </c>
      <c r="R12532" t="str">
        <f>"PENSE FARMA 44 (10231)"</f>
        <v>PENSE FARMA 44 (10231)</v>
      </c>
      <c r="S12532" t="s">
        <v>22</v>
      </c>
      <c r="T12532">
        <v>22924</v>
      </c>
      <c r="U12532">
        <v>26167</v>
      </c>
      <c r="V12532" t="s">
        <v>22</v>
      </c>
    </row>
    <row r="12533" spans="1:22">
      <c r="A12533" t="str">
        <f t="shared" si="2437"/>
        <v>24/11/2025</v>
      </c>
      <c r="B12533" t="str">
        <f t="shared" si="2433"/>
        <v>SAÍDA</v>
      </c>
      <c r="C12533" t="str">
        <f t="shared" si="2434"/>
        <v>PIX</v>
      </c>
      <c r="D12533" t="str">
        <f>"2411"</f>
        <v>2411</v>
      </c>
      <c r="E12533" t="str">
        <f>"25"</f>
        <v>25</v>
      </c>
      <c r="F12533" t="str">
        <f t="shared" si="2440"/>
        <v>COM</v>
      </c>
      <c r="G12533" t="str">
        <f>"JOS?? EURÍPEDES ALVES (1095)"</f>
        <v>JOS?? EURÍPEDES ALVES (1095)</v>
      </c>
      <c r="H12533" t="str">
        <f>"Serv.Prest. 17/11/2025 a 23/11/2025 - PIX: CELULAR - CHAVE: (34) 98828-2438"</f>
        <v>Serv.Prest. 17/11/2025 a 23/11/2025 - PIX: CELULAR - CHAVE: (34) 98828-2438</v>
      </c>
      <c r="I12533" t="str">
        <f t="shared" si="2441"/>
        <v>24/11/2025</v>
      </c>
      <c r="J12533" t="str">
        <f>("24/11/2025")</f>
        <v>24/11/2025</v>
      </c>
      <c r="K12533" t="str">
        <f>("24/11/2025")</f>
        <v>24/11/2025</v>
      </c>
      <c r="L12533">
        <v>362</v>
      </c>
      <c r="M12533">
        <v>362</v>
      </c>
      <c r="N12533">
        <v>134</v>
      </c>
      <c r="O12533" t="str">
        <f>"DIARIA DE MOTOBOY"</f>
        <v>DIARIA DE MOTOBOY</v>
      </c>
      <c r="P12533">
        <v>362</v>
      </c>
      <c r="S12533" t="str">
        <f>"BANCO CORA (102)"</f>
        <v>BANCO CORA (102)</v>
      </c>
      <c r="T12533">
        <v>22925</v>
      </c>
      <c r="U12533">
        <v>26512</v>
      </c>
      <c r="V12533" t="s">
        <v>22</v>
      </c>
    </row>
    <row r="12534" spans="1:22">
      <c r="A12534" t="str">
        <f t="shared" si="2437"/>
        <v>24/11/2025</v>
      </c>
      <c r="B12534" t="str">
        <f t="shared" si="2433"/>
        <v>SAÍDA</v>
      </c>
      <c r="C12534" t="str">
        <f t="shared" si="2434"/>
        <v>PIX</v>
      </c>
      <c r="D12534" t="str">
        <f>"2411"</f>
        <v>2411</v>
      </c>
      <c r="E12534" t="str">
        <f>"25"</f>
        <v>25</v>
      </c>
      <c r="F12534" t="str">
        <f t="shared" si="2440"/>
        <v>COM</v>
      </c>
      <c r="G12534" t="str">
        <f>"JOS?? EURÍPEDES ALVES (1095)"</f>
        <v>JOS?? EURÍPEDES ALVES (1095)</v>
      </c>
      <c r="H12534" t="s">
        <v>3386</v>
      </c>
      <c r="I12534" t="str">
        <f t="shared" si="2441"/>
        <v>24/11/2025</v>
      </c>
      <c r="J12534" t="str">
        <f>("24/11/2025")</f>
        <v>24/11/2025</v>
      </c>
      <c r="K12534">
        <v>45985</v>
      </c>
      <c r="N12534">
        <v>134</v>
      </c>
      <c r="O12534" t="s">
        <v>41</v>
      </c>
      <c r="Q12534">
        <v>362</v>
      </c>
      <c r="R12534" t="str">
        <f>"DROGALIDER 25 (10246)"</f>
        <v>DROGALIDER 25 (10246)</v>
      </c>
      <c r="S12534" t="s">
        <v>22</v>
      </c>
      <c r="T12534">
        <v>22925</v>
      </c>
      <c r="U12534">
        <v>26512</v>
      </c>
      <c r="V12534" t="s">
        <v>22</v>
      </c>
    </row>
    <row r="12535" spans="1:22">
      <c r="A12535" t="str">
        <f t="shared" si="2437"/>
        <v>24/11/2025</v>
      </c>
      <c r="B12535" t="str">
        <f t="shared" si="2433"/>
        <v>SAÍDA</v>
      </c>
      <c r="C12535" t="str">
        <f t="shared" si="2434"/>
        <v>PIX</v>
      </c>
      <c r="D12535" t="str">
        <f>"26820"</f>
        <v>26820</v>
      </c>
      <c r="E12535" t="str">
        <f t="shared" ref="E12535:E12546" si="2442">"1"</f>
        <v>1</v>
      </c>
      <c r="F12535" t="str">
        <f t="shared" si="2440"/>
        <v>COM</v>
      </c>
      <c r="G12535" t="str">
        <f>"MAURICIO CARLOS DE OLIVEIRA (1110)"</f>
        <v>MAURICIO CARLOS DE OLIVEIRA (1110)</v>
      </c>
      <c r="H12535" t="str">
        <f>"Serv.Prest. 24/11/2025 a 30/11/2025 - PIX: CPF - CHAVE: 262.099.808-56"</f>
        <v>Serv.Prest. 24/11/2025 a 30/11/2025 - PIX: CPF - CHAVE: 262.099.808-56</v>
      </c>
      <c r="I12535" t="str">
        <f t="shared" si="2441"/>
        <v>24/11/2025</v>
      </c>
      <c r="J12535" t="str">
        <f>("24/11/2025")</f>
        <v>24/11/2025</v>
      </c>
      <c r="K12535" t="str">
        <f>("24/11/2025")</f>
        <v>24/11/2025</v>
      </c>
      <c r="L12535">
        <v>170</v>
      </c>
      <c r="M12535">
        <v>170</v>
      </c>
      <c r="N12535">
        <v>134</v>
      </c>
      <c r="O12535" t="str">
        <f>"DIARIA DE MOTOBOY"</f>
        <v>DIARIA DE MOTOBOY</v>
      </c>
      <c r="P12535">
        <v>170</v>
      </c>
      <c r="S12535" t="str">
        <f>"BANCO CORA (102)"</f>
        <v>BANCO CORA (102)</v>
      </c>
      <c r="T12535">
        <v>22926</v>
      </c>
      <c r="U12535">
        <v>26820</v>
      </c>
      <c r="V12535" t="s">
        <v>22</v>
      </c>
    </row>
    <row r="12536" spans="1:22">
      <c r="A12536" t="str">
        <f t="shared" si="2437"/>
        <v>24/11/2025</v>
      </c>
      <c r="B12536" t="str">
        <f t="shared" si="2433"/>
        <v>SAÍDA</v>
      </c>
      <c r="C12536" t="str">
        <f t="shared" si="2434"/>
        <v>PIX</v>
      </c>
      <c r="D12536" t="str">
        <f>"26820"</f>
        <v>26820</v>
      </c>
      <c r="E12536" t="str">
        <f t="shared" si="2442"/>
        <v>1</v>
      </c>
      <c r="F12536" t="str">
        <f t="shared" si="2440"/>
        <v>COM</v>
      </c>
      <c r="G12536" t="str">
        <f>"MAURICIO CARLOS DE OLIVEIRA (1110)"</f>
        <v>MAURICIO CARLOS DE OLIVEIRA (1110)</v>
      </c>
      <c r="H12536" t="s">
        <v>3387</v>
      </c>
      <c r="I12536" t="str">
        <f t="shared" si="2441"/>
        <v>24/11/2025</v>
      </c>
      <c r="J12536" t="str">
        <f>("24/11/2025")</f>
        <v>24/11/2025</v>
      </c>
      <c r="K12536">
        <v>45985</v>
      </c>
      <c r="N12536">
        <v>134</v>
      </c>
      <c r="O12536" t="s">
        <v>41</v>
      </c>
      <c r="Q12536">
        <v>170</v>
      </c>
      <c r="R12536" t="str">
        <f>"PENSE FARMA 22 (10198)"</f>
        <v>PENSE FARMA 22 (10198)</v>
      </c>
      <c r="S12536" t="s">
        <v>22</v>
      </c>
      <c r="T12536">
        <v>22926</v>
      </c>
      <c r="U12536">
        <v>26820</v>
      </c>
      <c r="V12536" t="s">
        <v>22</v>
      </c>
    </row>
    <row r="12537" spans="1:22">
      <c r="A12537" t="str">
        <f t="shared" si="2437"/>
        <v>24/11/2025</v>
      </c>
      <c r="B12537" t="str">
        <f t="shared" ref="B12537:B12546" si="2443">"ENTRADA"</f>
        <v>ENTRADA</v>
      </c>
      <c r="C12537" t="str">
        <f t="shared" ref="C12537:C12546" si="2444">"NFSE"</f>
        <v>NFSE</v>
      </c>
      <c r="D12537" t="str">
        <f t="shared" ref="D12537:D12542" si="2445">"3753"</f>
        <v>3753</v>
      </c>
      <c r="E12537" t="str">
        <f t="shared" si="2442"/>
        <v>1</v>
      </c>
      <c r="F12537" t="str">
        <f t="shared" si="2440"/>
        <v>COM</v>
      </c>
      <c r="G12537" t="str">
        <f t="shared" ref="G12537:G12542" si="2446">"DROGALIDER 31 (10256)"</f>
        <v>DROGALIDER 31 (10256)</v>
      </c>
      <c r="H12537" t="str">
        <f>"Serv.Prest. 10/11/2025 a 16/11/2025 - RPS: 1629 - NFSe: 3753"</f>
        <v>Serv.Prest. 10/11/2025 a 16/11/2025 - RPS: 1629 - NFSe: 3753</v>
      </c>
      <c r="I12537" t="str">
        <f t="shared" si="2441"/>
        <v>24/11/2025</v>
      </c>
      <c r="J12537" t="str">
        <f t="shared" ref="J12537:J12542" si="2447">("19/11/2025")</f>
        <v>19/11/2025</v>
      </c>
      <c r="K12537" t="str">
        <f>("24/11/2025")</f>
        <v>24/11/2025</v>
      </c>
      <c r="L12537">
        <v>2550</v>
      </c>
      <c r="M12537">
        <v>2550</v>
      </c>
      <c r="N12537">
        <v>303</v>
      </c>
      <c r="O12537" t="str">
        <f>"RECEITAS COM ENTREGAS"</f>
        <v>RECEITAS COM ENTREGAS</v>
      </c>
      <c r="P12537">
        <v>2550</v>
      </c>
      <c r="S12537" t="str">
        <f>"RECEITAS COM ENTREGAS (303)"</f>
        <v>RECEITAS COM ENTREGAS (303)</v>
      </c>
      <c r="T12537">
        <v>22927</v>
      </c>
      <c r="U12537">
        <v>25864</v>
      </c>
      <c r="V12537" t="s">
        <v>22</v>
      </c>
    </row>
    <row r="12538" spans="1:22">
      <c r="A12538" t="str">
        <f t="shared" si="2437"/>
        <v>24/11/2025</v>
      </c>
      <c r="B12538" t="str">
        <f t="shared" si="2443"/>
        <v>ENTRADA</v>
      </c>
      <c r="C12538" t="str">
        <f t="shared" si="2444"/>
        <v>NFSE</v>
      </c>
      <c r="D12538" t="str">
        <f t="shared" si="2445"/>
        <v>3753</v>
      </c>
      <c r="E12538" t="str">
        <f t="shared" si="2442"/>
        <v>1</v>
      </c>
      <c r="F12538" t="str">
        <f t="shared" si="2440"/>
        <v>COM</v>
      </c>
      <c r="G12538" t="str">
        <f t="shared" si="2446"/>
        <v>DROGALIDER 31 (10256)</v>
      </c>
      <c r="H12538" t="s">
        <v>3388</v>
      </c>
      <c r="I12538" t="str">
        <f t="shared" si="2441"/>
        <v>24/11/2025</v>
      </c>
      <c r="J12538" t="str">
        <f t="shared" si="2447"/>
        <v>19/11/2025</v>
      </c>
      <c r="K12538">
        <v>45985</v>
      </c>
      <c r="N12538">
        <v>303</v>
      </c>
      <c r="O12538" t="s">
        <v>69</v>
      </c>
      <c r="Q12538">
        <v>509.99</v>
      </c>
      <c r="R12538" t="str">
        <f>"DROGALIDER 42 (10247)"</f>
        <v>DROGALIDER 42 (10247)</v>
      </c>
      <c r="S12538" t="s">
        <v>70</v>
      </c>
      <c r="T12538">
        <v>22927</v>
      </c>
      <c r="U12538">
        <v>25864</v>
      </c>
      <c r="V12538" t="s">
        <v>22</v>
      </c>
    </row>
    <row r="12539" spans="1:22">
      <c r="A12539" t="str">
        <f t="shared" si="2437"/>
        <v>24/11/2025</v>
      </c>
      <c r="B12539" t="str">
        <f t="shared" si="2443"/>
        <v>ENTRADA</v>
      </c>
      <c r="C12539" t="str">
        <f t="shared" si="2444"/>
        <v>NFSE</v>
      </c>
      <c r="D12539" t="str">
        <f t="shared" si="2445"/>
        <v>3753</v>
      </c>
      <c r="E12539" t="str">
        <f t="shared" si="2442"/>
        <v>1</v>
      </c>
      <c r="F12539" t="str">
        <f t="shared" si="2440"/>
        <v>COM</v>
      </c>
      <c r="G12539" t="str">
        <f t="shared" si="2446"/>
        <v>DROGALIDER 31 (10256)</v>
      </c>
      <c r="H12539" t="s">
        <v>3388</v>
      </c>
      <c r="I12539" t="str">
        <f t="shared" si="2441"/>
        <v>24/11/2025</v>
      </c>
      <c r="J12539" t="str">
        <f t="shared" si="2447"/>
        <v>19/11/2025</v>
      </c>
      <c r="K12539">
        <v>45985</v>
      </c>
      <c r="N12539">
        <v>303</v>
      </c>
      <c r="O12539" t="s">
        <v>69</v>
      </c>
      <c r="Q12539">
        <v>510</v>
      </c>
      <c r="R12539" t="str">
        <f>"DROGALIDER 55 (10249)"</f>
        <v>DROGALIDER 55 (10249)</v>
      </c>
      <c r="S12539" t="s">
        <v>70</v>
      </c>
      <c r="T12539">
        <v>22927</v>
      </c>
      <c r="U12539">
        <v>25864</v>
      </c>
      <c r="V12539" t="s">
        <v>22</v>
      </c>
    </row>
    <row r="12540" spans="1:22">
      <c r="A12540" t="str">
        <f t="shared" si="2437"/>
        <v>24/11/2025</v>
      </c>
      <c r="B12540" t="str">
        <f t="shared" si="2443"/>
        <v>ENTRADA</v>
      </c>
      <c r="C12540" t="str">
        <f t="shared" si="2444"/>
        <v>NFSE</v>
      </c>
      <c r="D12540" t="str">
        <f t="shared" si="2445"/>
        <v>3753</v>
      </c>
      <c r="E12540" t="str">
        <f t="shared" si="2442"/>
        <v>1</v>
      </c>
      <c r="F12540" t="str">
        <f t="shared" si="2440"/>
        <v>COM</v>
      </c>
      <c r="G12540" t="str">
        <f t="shared" si="2446"/>
        <v>DROGALIDER 31 (10256)</v>
      </c>
      <c r="H12540" t="s">
        <v>3388</v>
      </c>
      <c r="I12540" t="str">
        <f t="shared" si="2441"/>
        <v>24/11/2025</v>
      </c>
      <c r="J12540" t="str">
        <f t="shared" si="2447"/>
        <v>19/11/2025</v>
      </c>
      <c r="K12540">
        <v>45985</v>
      </c>
      <c r="N12540">
        <v>303</v>
      </c>
      <c r="O12540" t="s">
        <v>69</v>
      </c>
      <c r="Q12540">
        <v>425.09</v>
      </c>
      <c r="R12540" t="str">
        <f>"DROGALIDER 67 (10252)"</f>
        <v>DROGALIDER 67 (10252)</v>
      </c>
      <c r="S12540" t="s">
        <v>70</v>
      </c>
      <c r="T12540">
        <v>22927</v>
      </c>
      <c r="U12540">
        <v>25864</v>
      </c>
      <c r="V12540" t="s">
        <v>22</v>
      </c>
    </row>
    <row r="12541" spans="1:22">
      <c r="A12541" t="str">
        <f t="shared" si="2437"/>
        <v>24/11/2025</v>
      </c>
      <c r="B12541" t="str">
        <f t="shared" si="2443"/>
        <v>ENTRADA</v>
      </c>
      <c r="C12541" t="str">
        <f t="shared" si="2444"/>
        <v>NFSE</v>
      </c>
      <c r="D12541" t="str">
        <f t="shared" si="2445"/>
        <v>3753</v>
      </c>
      <c r="E12541" t="str">
        <f t="shared" si="2442"/>
        <v>1</v>
      </c>
      <c r="F12541" t="str">
        <f t="shared" si="2440"/>
        <v>COM</v>
      </c>
      <c r="G12541" t="str">
        <f t="shared" si="2446"/>
        <v>DROGALIDER 31 (10256)</v>
      </c>
      <c r="H12541" t="s">
        <v>3388</v>
      </c>
      <c r="I12541" t="str">
        <f t="shared" si="2441"/>
        <v>24/11/2025</v>
      </c>
      <c r="J12541" t="str">
        <f t="shared" si="2447"/>
        <v>19/11/2025</v>
      </c>
      <c r="K12541">
        <v>45985</v>
      </c>
      <c r="N12541">
        <v>303</v>
      </c>
      <c r="O12541" t="s">
        <v>69</v>
      </c>
      <c r="Q12541">
        <v>416.42</v>
      </c>
      <c r="R12541" t="str">
        <f>"DROGALIDER 68 (10253)"</f>
        <v>DROGALIDER 68 (10253)</v>
      </c>
      <c r="S12541" t="s">
        <v>70</v>
      </c>
      <c r="T12541">
        <v>22927</v>
      </c>
      <c r="U12541">
        <v>25864</v>
      </c>
      <c r="V12541" t="s">
        <v>22</v>
      </c>
    </row>
    <row r="12542" spans="1:22">
      <c r="A12542" t="str">
        <f t="shared" si="2437"/>
        <v>24/11/2025</v>
      </c>
      <c r="B12542" t="str">
        <f t="shared" si="2443"/>
        <v>ENTRADA</v>
      </c>
      <c r="C12542" t="str">
        <f t="shared" si="2444"/>
        <v>NFSE</v>
      </c>
      <c r="D12542" t="str">
        <f t="shared" si="2445"/>
        <v>3753</v>
      </c>
      <c r="E12542" t="str">
        <f t="shared" si="2442"/>
        <v>1</v>
      </c>
      <c r="F12542" t="str">
        <f t="shared" si="2440"/>
        <v>COM</v>
      </c>
      <c r="G12542" t="str">
        <f t="shared" si="2446"/>
        <v>DROGALIDER 31 (10256)</v>
      </c>
      <c r="H12542" t="s">
        <v>3388</v>
      </c>
      <c r="I12542" t="str">
        <f t="shared" si="2441"/>
        <v>24/11/2025</v>
      </c>
      <c r="J12542" t="str">
        <f t="shared" si="2447"/>
        <v>19/11/2025</v>
      </c>
      <c r="K12542">
        <v>45985</v>
      </c>
      <c r="N12542">
        <v>303</v>
      </c>
      <c r="O12542" t="s">
        <v>69</v>
      </c>
      <c r="Q12542">
        <v>688.5</v>
      </c>
      <c r="R12542" t="str">
        <f>"DROGALIDER 31 (10256)"</f>
        <v>DROGALIDER 31 (10256)</v>
      </c>
      <c r="S12542" t="s">
        <v>70</v>
      </c>
      <c r="T12542">
        <v>22927</v>
      </c>
      <c r="U12542">
        <v>25864</v>
      </c>
      <c r="V12542" t="s">
        <v>22</v>
      </c>
    </row>
    <row r="12543" spans="1:22">
      <c r="A12543" t="str">
        <f t="shared" si="2437"/>
        <v>24/11/2025</v>
      </c>
      <c r="B12543" t="str">
        <f t="shared" si="2443"/>
        <v>ENTRADA</v>
      </c>
      <c r="C12543" t="str">
        <f t="shared" si="2444"/>
        <v>NFSE</v>
      </c>
      <c r="D12543" t="str">
        <f>"3736"</f>
        <v>3736</v>
      </c>
      <c r="E12543" t="str">
        <f t="shared" si="2442"/>
        <v>1</v>
      </c>
      <c r="F12543" t="str">
        <f t="shared" si="2440"/>
        <v>COM</v>
      </c>
      <c r="G12543" t="str">
        <f>"DROGARIA POUPA MINAS (DOIS AMIGOS) 5 (10140)"</f>
        <v>DROGARIA POUPA MINAS (DOIS AMIGOS) 5 (10140)</v>
      </c>
      <c r="H12543" t="str">
        <f>"Serv.Prest. 10/11/2025 a 16/11/2025 - RPS: 1612 - NFSe: 3736"</f>
        <v>Serv.Prest. 10/11/2025 a 16/11/2025 - RPS: 1612 - NFSe: 3736</v>
      </c>
      <c r="I12543" t="str">
        <f>("20/11/2025")</f>
        <v>20/11/2025</v>
      </c>
      <c r="J12543" t="str">
        <f>("18/11/2025")</f>
        <v>18/11/2025</v>
      </c>
      <c r="K12543" t="str">
        <f>("24/11/2025")</f>
        <v>24/11/2025</v>
      </c>
      <c r="L12543">
        <v>7222.36</v>
      </c>
      <c r="M12543">
        <v>7222.36</v>
      </c>
      <c r="N12543">
        <v>303</v>
      </c>
      <c r="O12543" t="str">
        <f>"RECEITAS COM ENTREGAS"</f>
        <v>RECEITAS COM ENTREGAS</v>
      </c>
      <c r="P12543">
        <v>7222.36</v>
      </c>
      <c r="S12543" t="str">
        <f>"RECEITAS COM ENTREGAS (303)"</f>
        <v>RECEITAS COM ENTREGAS (303)</v>
      </c>
      <c r="T12543">
        <v>22928</v>
      </c>
      <c r="U12543">
        <v>25631</v>
      </c>
      <c r="V12543" t="s">
        <v>22</v>
      </c>
    </row>
    <row r="12544" spans="1:22">
      <c r="A12544" t="str">
        <f t="shared" si="2437"/>
        <v>24/11/2025</v>
      </c>
      <c r="B12544" t="str">
        <f t="shared" si="2443"/>
        <v>ENTRADA</v>
      </c>
      <c r="C12544" t="str">
        <f t="shared" si="2444"/>
        <v>NFSE</v>
      </c>
      <c r="D12544" t="str">
        <f>"3736"</f>
        <v>3736</v>
      </c>
      <c r="E12544" t="str">
        <f t="shared" si="2442"/>
        <v>1</v>
      </c>
      <c r="F12544" t="str">
        <f t="shared" si="2440"/>
        <v>COM</v>
      </c>
      <c r="G12544" t="str">
        <f>"DROGARIA POUPA MINAS (DOIS AMIGOS) 5 (10140)"</f>
        <v>DROGARIA POUPA MINAS (DOIS AMIGOS) 5 (10140)</v>
      </c>
      <c r="H12544" t="s">
        <v>3389</v>
      </c>
      <c r="I12544" t="str">
        <f>("20/11/2025")</f>
        <v>20/11/2025</v>
      </c>
      <c r="J12544" t="str">
        <f>("18/11/2025")</f>
        <v>18/11/2025</v>
      </c>
      <c r="K12544">
        <v>45985</v>
      </c>
      <c r="N12544">
        <v>303</v>
      </c>
      <c r="O12544" t="s">
        <v>69</v>
      </c>
      <c r="Q12544">
        <v>7222.36</v>
      </c>
      <c r="R12544" t="str">
        <f>"DROGARIA POUPA MINAS (ULTRAMINAS) 1 (10181)"</f>
        <v>DROGARIA POUPA MINAS (ULTRAMINAS) 1 (10181)</v>
      </c>
      <c r="S12544" t="s">
        <v>70</v>
      </c>
      <c r="T12544">
        <v>22928</v>
      </c>
      <c r="U12544">
        <v>25631</v>
      </c>
      <c r="V12544" t="s">
        <v>22</v>
      </c>
    </row>
    <row r="12545" spans="1:22">
      <c r="A12545" t="str">
        <f t="shared" si="2437"/>
        <v>24/11/2025</v>
      </c>
      <c r="B12545" t="str">
        <f t="shared" si="2443"/>
        <v>ENTRADA</v>
      </c>
      <c r="C12545" t="str">
        <f t="shared" si="2444"/>
        <v>NFSE</v>
      </c>
      <c r="D12545" t="str">
        <f>"3582"</f>
        <v>3582</v>
      </c>
      <c r="E12545" t="str">
        <f t="shared" si="2442"/>
        <v>1</v>
      </c>
      <c r="F12545" t="str">
        <f t="shared" si="2440"/>
        <v>COM</v>
      </c>
      <c r="G12545" t="str">
        <f>"DROGARIA POUPA MINAS (ULTRAMINAS) 3 (10129)"</f>
        <v>DROGARIA POUPA MINAS (ULTRAMINAS) 3 (10129)</v>
      </c>
      <c r="H12545" t="str">
        <f>"Serv.Prest. 20/10/2025 a 26/10/2025 - RPS: 1458 - NFSe: 3582"</f>
        <v>Serv.Prest. 20/10/2025 a 26/10/2025 - RPS: 1458 - NFSe: 3582</v>
      </c>
      <c r="I12545" t="str">
        <f>("30/10/2025")</f>
        <v>30/10/2025</v>
      </c>
      <c r="J12545" t="str">
        <f>("27/10/2025")</f>
        <v>27/10/2025</v>
      </c>
      <c r="K12545" t="str">
        <f>("24/11/2025")</f>
        <v>24/11/2025</v>
      </c>
      <c r="L12545">
        <v>1544.4</v>
      </c>
      <c r="M12545">
        <v>1544.4</v>
      </c>
      <c r="N12545">
        <v>303</v>
      </c>
      <c r="O12545" t="str">
        <f>"RECEITAS COM ENTREGAS"</f>
        <v>RECEITAS COM ENTREGAS</v>
      </c>
      <c r="P12545">
        <v>1544.4</v>
      </c>
      <c r="S12545" t="str">
        <f>"RECEITAS COM ENTREGAS (303)"</f>
        <v>RECEITAS COM ENTREGAS (303)</v>
      </c>
      <c r="T12545">
        <v>22929</v>
      </c>
      <c r="U12545">
        <v>24419</v>
      </c>
      <c r="V12545" t="s">
        <v>22</v>
      </c>
    </row>
    <row r="12546" spans="1:22">
      <c r="A12546" t="str">
        <f t="shared" si="2437"/>
        <v>24/11/2025</v>
      </c>
      <c r="B12546" t="str">
        <f t="shared" si="2443"/>
        <v>ENTRADA</v>
      </c>
      <c r="C12546" t="str">
        <f t="shared" si="2444"/>
        <v>NFSE</v>
      </c>
      <c r="D12546" t="str">
        <f>"3582"</f>
        <v>3582</v>
      </c>
      <c r="E12546" t="str">
        <f t="shared" si="2442"/>
        <v>1</v>
      </c>
      <c r="F12546" t="str">
        <f t="shared" si="2440"/>
        <v>COM</v>
      </c>
      <c r="G12546" t="str">
        <f>"DROGARIA POUPA MINAS (ULTRAMINAS) 3 (10129)"</f>
        <v>DROGARIA POUPA MINAS (ULTRAMINAS) 3 (10129)</v>
      </c>
      <c r="H12546" t="s">
        <v>3390</v>
      </c>
      <c r="I12546" t="str">
        <f>("30/10/2025")</f>
        <v>30/10/2025</v>
      </c>
      <c r="J12546" t="str">
        <f>("27/10/2025")</f>
        <v>27/10/2025</v>
      </c>
      <c r="K12546">
        <v>45985</v>
      </c>
      <c r="N12546">
        <v>303</v>
      </c>
      <c r="O12546" t="s">
        <v>69</v>
      </c>
      <c r="Q12546">
        <v>1544.4</v>
      </c>
      <c r="R12546" t="str">
        <f>"DROGARIA POUPA MINAS (ULTRAMINAS) 3 (10129)"</f>
        <v>DROGARIA POUPA MINAS (ULTRAMINAS) 3 (10129)</v>
      </c>
      <c r="S12546" t="s">
        <v>70</v>
      </c>
      <c r="T12546">
        <v>22929</v>
      </c>
      <c r="U12546">
        <v>24419</v>
      </c>
      <c r="V12546" t="s">
        <v>22</v>
      </c>
    </row>
    <row r="12547" spans="1:22">
      <c r="A12547" t="str">
        <f t="shared" si="2437"/>
        <v>24/11/2025</v>
      </c>
      <c r="B12547" t="str">
        <f t="shared" ref="B12547:B12578" si="2448">"SAÍDA"</f>
        <v>SAÍDA</v>
      </c>
      <c r="C12547" t="str">
        <f>""</f>
        <v/>
      </c>
      <c r="D12547" t="str">
        <f>""</f>
        <v/>
      </c>
      <c r="F12547" t="str">
        <f>"CXA"</f>
        <v>CXA</v>
      </c>
      <c r="G12547" t="str">
        <f>""</f>
        <v/>
      </c>
      <c r="H12547" t="str">
        <f>"ALUGUEL ESPAÇO"</f>
        <v>ALUGUEL ESPAÇO</v>
      </c>
      <c r="I12547" t="str">
        <f t="shared" ref="I12547:K12549" si="2449">("24/11/2025")</f>
        <v>24/11/2025</v>
      </c>
      <c r="J12547" t="str">
        <f t="shared" si="2449"/>
        <v>24/11/2025</v>
      </c>
      <c r="K12547" t="str">
        <f t="shared" si="2449"/>
        <v>24/11/2025</v>
      </c>
      <c r="L12547">
        <v>250</v>
      </c>
      <c r="M12547">
        <v>250</v>
      </c>
      <c r="N12547">
        <v>144</v>
      </c>
      <c r="O12547" t="str">
        <f>"DESPESAS COM EVENTOS E CONFRATERNIZAÇÕES"</f>
        <v>DESPESAS COM EVENTOS E CONFRATERNIZAÇÕES</v>
      </c>
      <c r="P12547">
        <v>250</v>
      </c>
      <c r="S12547" t="str">
        <f>"BANCO CORA (102)"</f>
        <v>BANCO CORA (102)</v>
      </c>
      <c r="T12547">
        <v>22930</v>
      </c>
      <c r="U12547">
        <v>0</v>
      </c>
      <c r="V12547" t="s">
        <v>556</v>
      </c>
    </row>
    <row r="12548" spans="1:22">
      <c r="A12548" t="str">
        <f t="shared" si="2437"/>
        <v>24/11/2025</v>
      </c>
      <c r="B12548" t="str">
        <f t="shared" si="2448"/>
        <v>SAÍDA</v>
      </c>
      <c r="C12548" t="str">
        <f>""</f>
        <v/>
      </c>
      <c r="D12548" t="str">
        <f>""</f>
        <v/>
      </c>
      <c r="F12548" t="str">
        <f>"CXA"</f>
        <v>CXA</v>
      </c>
      <c r="G12548" t="str">
        <f>""</f>
        <v/>
      </c>
      <c r="H12548" t="str">
        <f>"ALIMENTAÇÃO CONFRATERNIZAÇÃO "</f>
        <v xml:space="preserve">ALIMENTAÇÃO CONFRATERNIZAÇÃO </v>
      </c>
      <c r="I12548" t="str">
        <f t="shared" si="2449"/>
        <v>24/11/2025</v>
      </c>
      <c r="J12548" t="str">
        <f t="shared" si="2449"/>
        <v>24/11/2025</v>
      </c>
      <c r="K12548" t="str">
        <f t="shared" si="2449"/>
        <v>24/11/2025</v>
      </c>
      <c r="L12548">
        <v>183.34</v>
      </c>
      <c r="M12548">
        <v>183.34</v>
      </c>
      <c r="N12548">
        <v>144</v>
      </c>
      <c r="O12548" t="str">
        <f>"DESPESAS COM EVENTOS E CONFRATERNIZAÇÕES"</f>
        <v>DESPESAS COM EVENTOS E CONFRATERNIZAÇÕES</v>
      </c>
      <c r="P12548">
        <v>183.34</v>
      </c>
      <c r="S12548" t="str">
        <f>"BANCO CORA (102)"</f>
        <v>BANCO CORA (102)</v>
      </c>
      <c r="T12548">
        <v>22931</v>
      </c>
      <c r="U12548">
        <v>0</v>
      </c>
      <c r="V12548" t="s">
        <v>556</v>
      </c>
    </row>
    <row r="12549" spans="1:22">
      <c r="A12549" t="str">
        <f t="shared" si="2437"/>
        <v>24/11/2025</v>
      </c>
      <c r="B12549" t="str">
        <f t="shared" si="2448"/>
        <v>SAÍDA</v>
      </c>
      <c r="C12549" t="str">
        <f>""</f>
        <v/>
      </c>
      <c r="D12549" t="str">
        <f>""</f>
        <v/>
      </c>
      <c r="F12549" t="str">
        <f>"CXA"</f>
        <v>CXA</v>
      </c>
      <c r="G12549" t="str">
        <f>""</f>
        <v/>
      </c>
      <c r="H12549" t="str">
        <f>"DESPESAS CONFRATERNIZAÇÃO"</f>
        <v>DESPESAS CONFRATERNIZAÇÃO</v>
      </c>
      <c r="I12549" t="str">
        <f t="shared" si="2449"/>
        <v>24/11/2025</v>
      </c>
      <c r="J12549" t="str">
        <f t="shared" si="2449"/>
        <v>24/11/2025</v>
      </c>
      <c r="K12549" t="str">
        <f t="shared" si="2449"/>
        <v>24/11/2025</v>
      </c>
      <c r="L12549">
        <v>800</v>
      </c>
      <c r="M12549">
        <v>800</v>
      </c>
      <c r="N12549">
        <v>144</v>
      </c>
      <c r="O12549" t="str">
        <f>"DESPESAS COM EVENTOS E CONFRATERNIZAÇÕES"</f>
        <v>DESPESAS COM EVENTOS E CONFRATERNIZAÇÕES</v>
      </c>
      <c r="P12549">
        <v>800</v>
      </c>
      <c r="S12549" t="str">
        <f>"BANCO CORA (102)"</f>
        <v>BANCO CORA (102)</v>
      </c>
      <c r="T12549">
        <v>22932</v>
      </c>
      <c r="U12549">
        <v>0</v>
      </c>
      <c r="V12549" t="s">
        <v>556</v>
      </c>
    </row>
    <row r="12550" spans="1:22">
      <c r="A12550" t="str">
        <f t="shared" si="2437"/>
        <v>24/11/2025</v>
      </c>
      <c r="B12550" t="str">
        <f t="shared" si="2448"/>
        <v>SAÍDA</v>
      </c>
      <c r="C12550" t="str">
        <f t="shared" ref="C12550:C12555" si="2450">"CONHECIMENTO"</f>
        <v>CONHECIMENTO</v>
      </c>
      <c r="D12550" t="str">
        <f t="shared" ref="D12550:D12555" si="2451">"01092025"</f>
        <v>01092025</v>
      </c>
      <c r="E12550" t="str">
        <f>"2"</f>
        <v>2</v>
      </c>
      <c r="F12550" t="str">
        <f t="shared" ref="F12550:F12581" si="2452">"COM"</f>
        <v>COM</v>
      </c>
      <c r="G12550" t="str">
        <f t="shared" ref="G12550:G12555" si="2453">"CORA SOCIEDADE DE CREDITO, FINANCIAMENTO E INVESTIMENTO (20035)"</f>
        <v>CORA SOCIEDADE DE CREDITO, FINANCIAMENTO E INVESTIMENTO (20035)</v>
      </c>
      <c r="H12550" t="str">
        <f>"TAXA BOLETO "</f>
        <v xml:space="preserve">TAXA BOLETO </v>
      </c>
      <c r="I12550" t="str">
        <f t="shared" ref="I12550:I12555" si="2454">("24/11/2025")</f>
        <v>24/11/2025</v>
      </c>
      <c r="J12550" t="str">
        <f t="shared" ref="J12550:J12555" si="2455">("01/09/2025")</f>
        <v>01/09/2025</v>
      </c>
      <c r="K12550" t="str">
        <f>("24/11/2025")</f>
        <v>24/11/2025</v>
      </c>
      <c r="L12550">
        <v>1.7</v>
      </c>
      <c r="M12550">
        <v>1.7</v>
      </c>
      <c r="N12550">
        <v>401</v>
      </c>
      <c r="O12550" t="str">
        <f>"IOF/JUROS/DESP.FINANCEIRA"</f>
        <v>IOF/JUROS/DESP.FINANCEIRA</v>
      </c>
      <c r="P12550">
        <v>1.7</v>
      </c>
      <c r="S12550" t="str">
        <f>"BANCO CORA (102)"</f>
        <v>BANCO CORA (102)</v>
      </c>
      <c r="T12550">
        <v>22933</v>
      </c>
      <c r="U12550">
        <v>27061</v>
      </c>
      <c r="V12550" t="s">
        <v>22</v>
      </c>
    </row>
    <row r="12551" spans="1:22">
      <c r="A12551" t="str">
        <f t="shared" si="2437"/>
        <v>24/11/2025</v>
      </c>
      <c r="B12551" t="str">
        <f t="shared" si="2448"/>
        <v>SAÍDA</v>
      </c>
      <c r="C12551" t="str">
        <f t="shared" si="2450"/>
        <v>CONHECIMENTO</v>
      </c>
      <c r="D12551" t="str">
        <f t="shared" si="2451"/>
        <v>01092025</v>
      </c>
      <c r="E12551" t="str">
        <f>"2"</f>
        <v>2</v>
      </c>
      <c r="F12551" t="str">
        <f t="shared" si="2452"/>
        <v>COM</v>
      </c>
      <c r="G12551" t="str">
        <f t="shared" si="2453"/>
        <v>CORA SOCIEDADE DE CREDITO, FINANCIAMENTO E INVESTIMENTO (20035)</v>
      </c>
      <c r="H12551" t="s">
        <v>75</v>
      </c>
      <c r="I12551" t="str">
        <f t="shared" si="2454"/>
        <v>24/11/2025</v>
      </c>
      <c r="J12551" t="str">
        <f t="shared" si="2455"/>
        <v>01/09/2025</v>
      </c>
      <c r="K12551">
        <v>45985</v>
      </c>
      <c r="N12551">
        <v>401</v>
      </c>
      <c r="O12551" t="s">
        <v>76</v>
      </c>
      <c r="Q12551">
        <v>1.7</v>
      </c>
      <c r="R12551" t="str">
        <f>"CORA SOCIEDADE DE CREDITO, FINANCIAMENTO E INVESTIMENTO (20035)"</f>
        <v>CORA SOCIEDADE DE CREDITO, FINANCIAMENTO E INVESTIMENTO (20035)</v>
      </c>
      <c r="S12551" t="s">
        <v>22</v>
      </c>
      <c r="T12551">
        <v>22933</v>
      </c>
      <c r="U12551">
        <v>27061</v>
      </c>
      <c r="V12551" t="s">
        <v>22</v>
      </c>
    </row>
    <row r="12552" spans="1:22">
      <c r="A12552" t="str">
        <f t="shared" si="2437"/>
        <v>24/11/2025</v>
      </c>
      <c r="B12552" t="str">
        <f t="shared" si="2448"/>
        <v>SAÍDA</v>
      </c>
      <c r="C12552" t="str">
        <f t="shared" si="2450"/>
        <v>CONHECIMENTO</v>
      </c>
      <c r="D12552" t="str">
        <f t="shared" si="2451"/>
        <v>01092025</v>
      </c>
      <c r="E12552" t="str">
        <f>"3"</f>
        <v>3</v>
      </c>
      <c r="F12552" t="str">
        <f t="shared" si="2452"/>
        <v>COM</v>
      </c>
      <c r="G12552" t="str">
        <f t="shared" si="2453"/>
        <v>CORA SOCIEDADE DE CREDITO, FINANCIAMENTO E INVESTIMENTO (20035)</v>
      </c>
      <c r="H12552" t="str">
        <f>"TAXA BOLETO "</f>
        <v xml:space="preserve">TAXA BOLETO </v>
      </c>
      <c r="I12552" t="str">
        <f t="shared" si="2454"/>
        <v>24/11/2025</v>
      </c>
      <c r="J12552" t="str">
        <f t="shared" si="2455"/>
        <v>01/09/2025</v>
      </c>
      <c r="K12552" t="str">
        <f>("24/11/2025")</f>
        <v>24/11/2025</v>
      </c>
      <c r="L12552">
        <v>1.7</v>
      </c>
      <c r="M12552">
        <v>1.7</v>
      </c>
      <c r="N12552">
        <v>401</v>
      </c>
      <c r="O12552" t="str">
        <f>"IOF/JUROS/DESP.FINANCEIRA"</f>
        <v>IOF/JUROS/DESP.FINANCEIRA</v>
      </c>
      <c r="P12552">
        <v>1.7</v>
      </c>
      <c r="S12552" t="str">
        <f>"BANCO CORA (102)"</f>
        <v>BANCO CORA (102)</v>
      </c>
      <c r="T12552">
        <v>22934</v>
      </c>
      <c r="U12552">
        <v>27062</v>
      </c>
      <c r="V12552" t="s">
        <v>22</v>
      </c>
    </row>
    <row r="12553" spans="1:22">
      <c r="A12553" t="str">
        <f t="shared" si="2437"/>
        <v>24/11/2025</v>
      </c>
      <c r="B12553" t="str">
        <f t="shared" si="2448"/>
        <v>SAÍDA</v>
      </c>
      <c r="C12553" t="str">
        <f t="shared" si="2450"/>
        <v>CONHECIMENTO</v>
      </c>
      <c r="D12553" t="str">
        <f t="shared" si="2451"/>
        <v>01092025</v>
      </c>
      <c r="E12553" t="str">
        <f>"3"</f>
        <v>3</v>
      </c>
      <c r="F12553" t="str">
        <f t="shared" si="2452"/>
        <v>COM</v>
      </c>
      <c r="G12553" t="str">
        <f t="shared" si="2453"/>
        <v>CORA SOCIEDADE DE CREDITO, FINANCIAMENTO E INVESTIMENTO (20035)</v>
      </c>
      <c r="H12553" t="s">
        <v>75</v>
      </c>
      <c r="I12553" t="str">
        <f t="shared" si="2454"/>
        <v>24/11/2025</v>
      </c>
      <c r="J12553" t="str">
        <f t="shared" si="2455"/>
        <v>01/09/2025</v>
      </c>
      <c r="K12553">
        <v>45985</v>
      </c>
      <c r="N12553">
        <v>401</v>
      </c>
      <c r="O12553" t="s">
        <v>76</v>
      </c>
      <c r="Q12553">
        <v>1.7</v>
      </c>
      <c r="R12553" t="str">
        <f>"CORA SOCIEDADE DE CREDITO, FINANCIAMENTO E INVESTIMENTO (20035)"</f>
        <v>CORA SOCIEDADE DE CREDITO, FINANCIAMENTO E INVESTIMENTO (20035)</v>
      </c>
      <c r="S12553" t="s">
        <v>22</v>
      </c>
      <c r="T12553">
        <v>22934</v>
      </c>
      <c r="U12553">
        <v>27062</v>
      </c>
      <c r="V12553" t="s">
        <v>22</v>
      </c>
    </row>
    <row r="12554" spans="1:22">
      <c r="A12554" t="str">
        <f t="shared" si="2437"/>
        <v>24/11/2025</v>
      </c>
      <c r="B12554" t="str">
        <f t="shared" si="2448"/>
        <v>SAÍDA</v>
      </c>
      <c r="C12554" t="str">
        <f t="shared" si="2450"/>
        <v>CONHECIMENTO</v>
      </c>
      <c r="D12554" t="str">
        <f t="shared" si="2451"/>
        <v>01092025</v>
      </c>
      <c r="E12554" t="str">
        <f>"4"</f>
        <v>4</v>
      </c>
      <c r="F12554" t="str">
        <f t="shared" si="2452"/>
        <v>COM</v>
      </c>
      <c r="G12554" t="str">
        <f t="shared" si="2453"/>
        <v>CORA SOCIEDADE DE CREDITO, FINANCIAMENTO E INVESTIMENTO (20035)</v>
      </c>
      <c r="H12554" t="str">
        <f>"TAXA BOLETO "</f>
        <v xml:space="preserve">TAXA BOLETO </v>
      </c>
      <c r="I12554" t="str">
        <f t="shared" si="2454"/>
        <v>24/11/2025</v>
      </c>
      <c r="J12554" t="str">
        <f t="shared" si="2455"/>
        <v>01/09/2025</v>
      </c>
      <c r="K12554" t="str">
        <f>("24/11/2025")</f>
        <v>24/11/2025</v>
      </c>
      <c r="L12554">
        <v>1.7</v>
      </c>
      <c r="M12554">
        <v>1.7</v>
      </c>
      <c r="N12554">
        <v>401</v>
      </c>
      <c r="O12554" t="str">
        <f>"IOF/JUROS/DESP.FINANCEIRA"</f>
        <v>IOF/JUROS/DESP.FINANCEIRA</v>
      </c>
      <c r="P12554">
        <v>1.7</v>
      </c>
      <c r="S12554" t="str">
        <f>"BANCO CORA (102)"</f>
        <v>BANCO CORA (102)</v>
      </c>
      <c r="T12554">
        <v>22935</v>
      </c>
      <c r="U12554">
        <v>27063</v>
      </c>
      <c r="V12554" t="s">
        <v>22</v>
      </c>
    </row>
    <row r="12555" spans="1:22">
      <c r="A12555" t="str">
        <f t="shared" si="2437"/>
        <v>24/11/2025</v>
      </c>
      <c r="B12555" t="str">
        <f t="shared" si="2448"/>
        <v>SAÍDA</v>
      </c>
      <c r="C12555" t="str">
        <f t="shared" si="2450"/>
        <v>CONHECIMENTO</v>
      </c>
      <c r="D12555" t="str">
        <f t="shared" si="2451"/>
        <v>01092025</v>
      </c>
      <c r="E12555" t="str">
        <f>"4"</f>
        <v>4</v>
      </c>
      <c r="F12555" t="str">
        <f t="shared" si="2452"/>
        <v>COM</v>
      </c>
      <c r="G12555" t="str">
        <f t="shared" si="2453"/>
        <v>CORA SOCIEDADE DE CREDITO, FINANCIAMENTO E INVESTIMENTO (20035)</v>
      </c>
      <c r="H12555" t="s">
        <v>75</v>
      </c>
      <c r="I12555" t="str">
        <f t="shared" si="2454"/>
        <v>24/11/2025</v>
      </c>
      <c r="J12555" t="str">
        <f t="shared" si="2455"/>
        <v>01/09/2025</v>
      </c>
      <c r="K12555">
        <v>45985</v>
      </c>
      <c r="N12555">
        <v>401</v>
      </c>
      <c r="O12555" t="s">
        <v>76</v>
      </c>
      <c r="Q12555">
        <v>1.7</v>
      </c>
      <c r="R12555" t="str">
        <f>"CORA SOCIEDADE DE CREDITO, FINANCIAMENTO E INVESTIMENTO (20035)"</f>
        <v>CORA SOCIEDADE DE CREDITO, FINANCIAMENTO E INVESTIMENTO (20035)</v>
      </c>
      <c r="S12555" t="s">
        <v>22</v>
      </c>
      <c r="T12555">
        <v>22935</v>
      </c>
      <c r="U12555">
        <v>27063</v>
      </c>
      <c r="V12555" t="s">
        <v>22</v>
      </c>
    </row>
    <row r="12556" spans="1:22">
      <c r="A12556" t="str">
        <f t="shared" ref="A12556:A12587" si="2456">("25/11/2025")</f>
        <v>25/11/2025</v>
      </c>
      <c r="B12556" t="str">
        <f t="shared" si="2448"/>
        <v>SAÍDA</v>
      </c>
      <c r="C12556" t="str">
        <f t="shared" ref="C12556:C12587" si="2457">"PIX"</f>
        <v>PIX</v>
      </c>
      <c r="D12556" t="str">
        <f>"26269"</f>
        <v>26269</v>
      </c>
      <c r="E12556" t="str">
        <f t="shared" ref="E12556:E12587" si="2458">"1"</f>
        <v>1</v>
      </c>
      <c r="F12556" t="str">
        <f t="shared" si="2452"/>
        <v>COM</v>
      </c>
      <c r="G12556" t="str">
        <f>"WEIGNE SENA CARDOSO (53)"</f>
        <v>WEIGNE SENA CARDOSO (53)</v>
      </c>
      <c r="H12556" t="str">
        <f>"Serv.Prest. 17/11/2025 a 23/11/2025 - PIX: CPF - CHAVE: 097.245.586-81"</f>
        <v>Serv.Prest. 17/11/2025 a 23/11/2025 - PIX: CPF - CHAVE: 097.245.586-81</v>
      </c>
      <c r="I12556" t="str">
        <f>("04/12/2025")</f>
        <v>04/12/2025</v>
      </c>
      <c r="J12556" t="str">
        <f>("25/11/2025")</f>
        <v>25/11/2025</v>
      </c>
      <c r="K12556" t="str">
        <f>("25/11/2025")</f>
        <v>25/11/2025</v>
      </c>
      <c r="L12556">
        <v>150</v>
      </c>
      <c r="M12556">
        <v>150</v>
      </c>
      <c r="N12556">
        <v>109</v>
      </c>
      <c r="O12556" t="str">
        <f>"PAGAMENTO DE ENTREGADORES"</f>
        <v>PAGAMENTO DE ENTREGADORES</v>
      </c>
      <c r="P12556">
        <v>150</v>
      </c>
      <c r="S12556" t="str">
        <f>"BANCO CORA (102)"</f>
        <v>BANCO CORA (102)</v>
      </c>
      <c r="T12556">
        <v>22455</v>
      </c>
      <c r="U12556">
        <v>26363</v>
      </c>
      <c r="V12556" t="s">
        <v>22</v>
      </c>
    </row>
    <row r="12557" spans="1:22">
      <c r="A12557" t="str">
        <f t="shared" si="2456"/>
        <v>25/11/2025</v>
      </c>
      <c r="B12557" t="str">
        <f t="shared" si="2448"/>
        <v>SAÍDA</v>
      </c>
      <c r="C12557" t="str">
        <f t="shared" si="2457"/>
        <v>PIX</v>
      </c>
      <c r="D12557" t="str">
        <f>"26269"</f>
        <v>26269</v>
      </c>
      <c r="E12557" t="str">
        <f t="shared" si="2458"/>
        <v>1</v>
      </c>
      <c r="F12557" t="str">
        <f t="shared" si="2452"/>
        <v>COM</v>
      </c>
      <c r="G12557" t="str">
        <f>"WEIGNE SENA CARDOSO (53)"</f>
        <v>WEIGNE SENA CARDOSO (53)</v>
      </c>
      <c r="H12557" t="s">
        <v>3391</v>
      </c>
      <c r="I12557" t="str">
        <f>("04/12/2025")</f>
        <v>04/12/2025</v>
      </c>
      <c r="J12557" t="str">
        <f>("25/11/2025")</f>
        <v>25/11/2025</v>
      </c>
      <c r="K12557">
        <v>45986</v>
      </c>
      <c r="N12557">
        <v>109</v>
      </c>
      <c r="O12557" t="s">
        <v>24</v>
      </c>
      <c r="Q12557">
        <v>150</v>
      </c>
      <c r="R12557" t="str">
        <f>"FARMÁCIA INDIANA LJ 07 (10007)"</f>
        <v>FARMÁCIA INDIANA LJ 07 (10007)</v>
      </c>
      <c r="S12557" t="s">
        <v>22</v>
      </c>
      <c r="T12557">
        <v>22455</v>
      </c>
      <c r="U12557">
        <v>26363</v>
      </c>
      <c r="V12557" t="s">
        <v>22</v>
      </c>
    </row>
    <row r="12558" spans="1:22">
      <c r="A12558" t="str">
        <f t="shared" si="2456"/>
        <v>25/11/2025</v>
      </c>
      <c r="B12558" t="str">
        <f t="shared" si="2448"/>
        <v>SAÍDA</v>
      </c>
      <c r="C12558" t="str">
        <f t="shared" si="2457"/>
        <v>PIX</v>
      </c>
      <c r="D12558" t="str">
        <f>"26286"</f>
        <v>26286</v>
      </c>
      <c r="E12558" t="str">
        <f t="shared" si="2458"/>
        <v>1</v>
      </c>
      <c r="F12558" t="str">
        <f t="shared" si="2452"/>
        <v>COM</v>
      </c>
      <c r="G12558" t="str">
        <f>"GILSON OLIVEIRA CAMPINHO JUNIOR (132)"</f>
        <v>GILSON OLIVEIRA CAMPINHO JUNIOR (132)</v>
      </c>
      <c r="H12558" t="str">
        <f>"Serv.Prest. 17/11/2025 a 23/11/2025 - PIX: CELULAR - CHAVE: (73) 988381077"</f>
        <v>Serv.Prest. 17/11/2025 a 23/11/2025 - PIX: CELULAR - CHAVE: (73) 988381077</v>
      </c>
      <c r="I12558" t="str">
        <f>("04/12/2025")</f>
        <v>04/12/2025</v>
      </c>
      <c r="J12558" t="str">
        <f>("25/11/2025")</f>
        <v>25/11/2025</v>
      </c>
      <c r="K12558" t="str">
        <f>("25/11/2025")</f>
        <v>25/11/2025</v>
      </c>
      <c r="L12558">
        <v>200</v>
      </c>
      <c r="M12558">
        <v>200</v>
      </c>
      <c r="N12558">
        <v>109</v>
      </c>
      <c r="O12558" t="str">
        <f>"PAGAMENTO DE ENTREGADORES"</f>
        <v>PAGAMENTO DE ENTREGADORES</v>
      </c>
      <c r="P12558">
        <v>200</v>
      </c>
      <c r="S12558" t="str">
        <f>"BANCO CORA (102)"</f>
        <v>BANCO CORA (102)</v>
      </c>
      <c r="T12558">
        <v>22456</v>
      </c>
      <c r="U12558">
        <v>26365</v>
      </c>
      <c r="V12558" t="s">
        <v>22</v>
      </c>
    </row>
    <row r="12559" spans="1:22">
      <c r="A12559" t="str">
        <f t="shared" si="2456"/>
        <v>25/11/2025</v>
      </c>
      <c r="B12559" t="str">
        <f t="shared" si="2448"/>
        <v>SAÍDA</v>
      </c>
      <c r="C12559" t="str">
        <f t="shared" si="2457"/>
        <v>PIX</v>
      </c>
      <c r="D12559" t="str">
        <f>"26286"</f>
        <v>26286</v>
      </c>
      <c r="E12559" t="str">
        <f t="shared" si="2458"/>
        <v>1</v>
      </c>
      <c r="F12559" t="str">
        <f t="shared" si="2452"/>
        <v>COM</v>
      </c>
      <c r="G12559" t="str">
        <f>"GILSON OLIVEIRA CAMPINHO JUNIOR (132)"</f>
        <v>GILSON OLIVEIRA CAMPINHO JUNIOR (132)</v>
      </c>
      <c r="H12559" t="s">
        <v>3392</v>
      </c>
      <c r="I12559" t="str">
        <f>("04/12/2025")</f>
        <v>04/12/2025</v>
      </c>
      <c r="J12559" t="str">
        <f>("25/11/2025")</f>
        <v>25/11/2025</v>
      </c>
      <c r="K12559">
        <v>45986</v>
      </c>
      <c r="N12559">
        <v>109</v>
      </c>
      <c r="O12559" t="s">
        <v>24</v>
      </c>
      <c r="Q12559">
        <v>200</v>
      </c>
      <c r="R12559" t="str">
        <f>"FARMÁCIA INDIANA LJ 91 (10037)"</f>
        <v>FARMÁCIA INDIANA LJ 91 (10037)</v>
      </c>
      <c r="S12559" t="s">
        <v>22</v>
      </c>
      <c r="T12559">
        <v>22456</v>
      </c>
      <c r="U12559">
        <v>26365</v>
      </c>
      <c r="V12559" t="s">
        <v>22</v>
      </c>
    </row>
    <row r="12560" spans="1:22">
      <c r="A12560" t="str">
        <f t="shared" si="2456"/>
        <v>25/11/2025</v>
      </c>
      <c r="B12560" t="str">
        <f t="shared" si="2448"/>
        <v>SAÍDA</v>
      </c>
      <c r="C12560" t="str">
        <f t="shared" si="2457"/>
        <v>PIX</v>
      </c>
      <c r="D12560" t="str">
        <f>"25702"</f>
        <v>25702</v>
      </c>
      <c r="E12560" t="str">
        <f t="shared" si="2458"/>
        <v>1</v>
      </c>
      <c r="F12560" t="str">
        <f t="shared" si="2452"/>
        <v>COM</v>
      </c>
      <c r="G12560" t="str">
        <f>"GABRIEL SOARES VIEIRA (18)"</f>
        <v>GABRIEL SOARES VIEIRA (18)</v>
      </c>
      <c r="H12560" t="str">
        <f>"Serv.Prest. 10/11/2025 a 16/11/2025 - PIX: CPF - CHAVE: 179.800.027-09"</f>
        <v>Serv.Prest. 10/11/2025 a 16/11/2025 - PIX: CPF - CHAVE: 179.800.027-09</v>
      </c>
      <c r="I12560" t="str">
        <f>("27/11/2025")</f>
        <v>27/11/2025</v>
      </c>
      <c r="J12560" t="str">
        <f>("18/11/2025")</f>
        <v>18/11/2025</v>
      </c>
      <c r="K12560" t="str">
        <f>("25/11/2025")</f>
        <v>25/11/2025</v>
      </c>
      <c r="L12560">
        <v>200</v>
      </c>
      <c r="M12560">
        <v>200</v>
      </c>
      <c r="N12560">
        <v>109</v>
      </c>
      <c r="O12560" t="str">
        <f>"PAGAMENTO DE ENTREGADORES"</f>
        <v>PAGAMENTO DE ENTREGADORES</v>
      </c>
      <c r="P12560">
        <v>200</v>
      </c>
      <c r="S12560" t="str">
        <f>"BANCO CORA (102)"</f>
        <v>BANCO CORA (102)</v>
      </c>
      <c r="T12560">
        <v>22457</v>
      </c>
      <c r="U12560">
        <v>26366</v>
      </c>
      <c r="V12560" t="s">
        <v>22</v>
      </c>
    </row>
    <row r="12561" spans="1:22">
      <c r="A12561" t="str">
        <f t="shared" si="2456"/>
        <v>25/11/2025</v>
      </c>
      <c r="B12561" t="str">
        <f t="shared" si="2448"/>
        <v>SAÍDA</v>
      </c>
      <c r="C12561" t="str">
        <f t="shared" si="2457"/>
        <v>PIX</v>
      </c>
      <c r="D12561" t="str">
        <f>"25702"</f>
        <v>25702</v>
      </c>
      <c r="E12561" t="str">
        <f t="shared" si="2458"/>
        <v>1</v>
      </c>
      <c r="F12561" t="str">
        <f t="shared" si="2452"/>
        <v>COM</v>
      </c>
      <c r="G12561" t="str">
        <f>"GABRIEL SOARES VIEIRA (18)"</f>
        <v>GABRIEL SOARES VIEIRA (18)</v>
      </c>
      <c r="H12561" t="s">
        <v>3393</v>
      </c>
      <c r="I12561" t="str">
        <f>("27/11/2025")</f>
        <v>27/11/2025</v>
      </c>
      <c r="J12561" t="str">
        <f>("18/11/2025")</f>
        <v>18/11/2025</v>
      </c>
      <c r="K12561">
        <v>45986</v>
      </c>
      <c r="N12561">
        <v>109</v>
      </c>
      <c r="O12561" t="s">
        <v>24</v>
      </c>
      <c r="Q12561">
        <v>189.1</v>
      </c>
      <c r="R12561" t="str">
        <f>"FARMÁCIA INDIANA LJ 40 (10016)"</f>
        <v>FARMÁCIA INDIANA LJ 40 (10016)</v>
      </c>
      <c r="S12561" t="s">
        <v>22</v>
      </c>
      <c r="T12561">
        <v>22457</v>
      </c>
      <c r="U12561">
        <v>26366</v>
      </c>
      <c r="V12561" t="s">
        <v>22</v>
      </c>
    </row>
    <row r="12562" spans="1:22">
      <c r="A12562" t="str">
        <f t="shared" si="2456"/>
        <v>25/11/2025</v>
      </c>
      <c r="B12562" t="str">
        <f t="shared" si="2448"/>
        <v>SAÍDA</v>
      </c>
      <c r="C12562" t="str">
        <f t="shared" si="2457"/>
        <v>PIX</v>
      </c>
      <c r="D12562" t="str">
        <f>"25702"</f>
        <v>25702</v>
      </c>
      <c r="E12562" t="str">
        <f t="shared" si="2458"/>
        <v>1</v>
      </c>
      <c r="F12562" t="str">
        <f t="shared" si="2452"/>
        <v>COM</v>
      </c>
      <c r="G12562" t="str">
        <f>"GABRIEL SOARES VIEIRA (18)"</f>
        <v>GABRIEL SOARES VIEIRA (18)</v>
      </c>
      <c r="H12562" t="s">
        <v>3393</v>
      </c>
      <c r="I12562" t="str">
        <f>("27/11/2025")</f>
        <v>27/11/2025</v>
      </c>
      <c r="J12562" t="str">
        <f>("18/11/2025")</f>
        <v>18/11/2025</v>
      </c>
      <c r="K12562">
        <v>45986</v>
      </c>
      <c r="N12562">
        <v>109</v>
      </c>
      <c r="O12562" t="s">
        <v>24</v>
      </c>
      <c r="Q12562">
        <v>10.9</v>
      </c>
      <c r="R12562" t="str">
        <f>"FARMÁCIA INDIANA LJ 61 (10027)"</f>
        <v>FARMÁCIA INDIANA LJ 61 (10027)</v>
      </c>
      <c r="S12562" t="s">
        <v>22</v>
      </c>
      <c r="T12562">
        <v>22457</v>
      </c>
      <c r="U12562">
        <v>26366</v>
      </c>
      <c r="V12562" t="s">
        <v>22</v>
      </c>
    </row>
    <row r="12563" spans="1:22">
      <c r="A12563" t="str">
        <f t="shared" si="2456"/>
        <v>25/11/2025</v>
      </c>
      <c r="B12563" t="str">
        <f t="shared" si="2448"/>
        <v>SAÍDA</v>
      </c>
      <c r="C12563" t="str">
        <f t="shared" si="2457"/>
        <v>PIX</v>
      </c>
      <c r="D12563" t="str">
        <f>"25828"</f>
        <v>25828</v>
      </c>
      <c r="E12563" t="str">
        <f t="shared" si="2458"/>
        <v>1</v>
      </c>
      <c r="F12563" t="str">
        <f t="shared" si="2452"/>
        <v>COM</v>
      </c>
      <c r="G12563" t="str">
        <f>"JOAO ALEXANDRE DE SOUZA ARAUJO (698)"</f>
        <v>JOAO ALEXANDRE DE SOUZA ARAUJO (698)</v>
      </c>
      <c r="H12563" t="str">
        <f>"Serv.Prest. 10/11/2025 a 16/11/2025 - PIX: CPF - CHAVE: 174.029.607-90"</f>
        <v>Serv.Prest. 10/11/2025 a 16/11/2025 - PIX: CPF - CHAVE: 174.029.607-90</v>
      </c>
      <c r="I12563" t="str">
        <f>("19/11/2025")</f>
        <v>19/11/2025</v>
      </c>
      <c r="J12563" t="str">
        <f>("18/11/2025")</f>
        <v>18/11/2025</v>
      </c>
      <c r="K12563" t="str">
        <f>("25/11/2025")</f>
        <v>25/11/2025</v>
      </c>
      <c r="L12563">
        <v>840</v>
      </c>
      <c r="M12563">
        <v>840</v>
      </c>
      <c r="N12563">
        <v>109</v>
      </c>
      <c r="O12563" t="str">
        <f>"PAGAMENTO DE ENTREGADORES"</f>
        <v>PAGAMENTO DE ENTREGADORES</v>
      </c>
      <c r="P12563">
        <v>840</v>
      </c>
      <c r="S12563" t="str">
        <f>"BANCO CORA (102)"</f>
        <v>BANCO CORA (102)</v>
      </c>
      <c r="T12563">
        <v>22462</v>
      </c>
      <c r="U12563">
        <v>25828</v>
      </c>
      <c r="V12563" t="s">
        <v>22</v>
      </c>
    </row>
    <row r="12564" spans="1:22">
      <c r="A12564" t="str">
        <f t="shared" si="2456"/>
        <v>25/11/2025</v>
      </c>
      <c r="B12564" t="str">
        <f t="shared" si="2448"/>
        <v>SAÍDA</v>
      </c>
      <c r="C12564" t="str">
        <f t="shared" si="2457"/>
        <v>PIX</v>
      </c>
      <c r="D12564" t="str">
        <f>"25828"</f>
        <v>25828</v>
      </c>
      <c r="E12564" t="str">
        <f t="shared" si="2458"/>
        <v>1</v>
      </c>
      <c r="F12564" t="str">
        <f t="shared" si="2452"/>
        <v>COM</v>
      </c>
      <c r="G12564" t="str">
        <f>"JOAO ALEXANDRE DE SOUZA ARAUJO (698)"</f>
        <v>JOAO ALEXANDRE DE SOUZA ARAUJO (698)</v>
      </c>
      <c r="H12564" t="s">
        <v>3394</v>
      </c>
      <c r="I12564" t="str">
        <f>("19/11/2025")</f>
        <v>19/11/2025</v>
      </c>
      <c r="J12564" t="str">
        <f>("18/11/2025")</f>
        <v>18/11/2025</v>
      </c>
      <c r="K12564">
        <v>45986</v>
      </c>
      <c r="N12564">
        <v>109</v>
      </c>
      <c r="O12564" t="s">
        <v>24</v>
      </c>
      <c r="Q12564">
        <v>840</v>
      </c>
      <c r="R12564" t="str">
        <f>"FARMÁCIA INDIANA LJ 188 (10176)"</f>
        <v>FARMÁCIA INDIANA LJ 188 (10176)</v>
      </c>
      <c r="S12564" t="s">
        <v>22</v>
      </c>
      <c r="T12564">
        <v>22462</v>
      </c>
      <c r="U12564">
        <v>25828</v>
      </c>
      <c r="V12564" t="s">
        <v>22</v>
      </c>
    </row>
    <row r="12565" spans="1:22">
      <c r="A12565" t="str">
        <f t="shared" si="2456"/>
        <v>25/11/2025</v>
      </c>
      <c r="B12565" t="str">
        <f t="shared" si="2448"/>
        <v>SAÍDA</v>
      </c>
      <c r="C12565" t="str">
        <f t="shared" si="2457"/>
        <v>PIX</v>
      </c>
      <c r="D12565" t="str">
        <f>"26313"</f>
        <v>26313</v>
      </c>
      <c r="E12565" t="str">
        <f t="shared" si="2458"/>
        <v>1</v>
      </c>
      <c r="F12565" t="str">
        <f t="shared" si="2452"/>
        <v>COM</v>
      </c>
      <c r="G12565" t="str">
        <f>"JOAO ALEXANDRE DE SOUZA ARAUJO (698)"</f>
        <v>JOAO ALEXANDRE DE SOUZA ARAUJO (698)</v>
      </c>
      <c r="H12565" t="str">
        <f>"Serv.Prest. 17/11/2025 a 23/11/2025 - PIX: CPF - CHAVE: 174.029.607-90"</f>
        <v>Serv.Prest. 17/11/2025 a 23/11/2025 - PIX: CPF - CHAVE: 174.029.607-90</v>
      </c>
      <c r="I12565" t="str">
        <f>("04/12/2025")</f>
        <v>04/12/2025</v>
      </c>
      <c r="J12565" t="str">
        <f>("25/11/2025")</f>
        <v>25/11/2025</v>
      </c>
      <c r="K12565" t="str">
        <f>("25/11/2025")</f>
        <v>25/11/2025</v>
      </c>
      <c r="L12565">
        <v>960</v>
      </c>
      <c r="M12565">
        <v>960</v>
      </c>
      <c r="N12565">
        <v>109</v>
      </c>
      <c r="O12565" t="str">
        <f>"PAGAMENTO DE ENTREGADORES"</f>
        <v>PAGAMENTO DE ENTREGADORES</v>
      </c>
      <c r="S12565" t="str">
        <f>"BANCO CORA (102)"</f>
        <v>BANCO CORA (102)</v>
      </c>
      <c r="T12565">
        <v>22462</v>
      </c>
      <c r="U12565">
        <v>26313</v>
      </c>
      <c r="V12565" t="s">
        <v>22</v>
      </c>
    </row>
    <row r="12566" spans="1:22">
      <c r="A12566" t="str">
        <f t="shared" si="2456"/>
        <v>25/11/2025</v>
      </c>
      <c r="B12566" t="str">
        <f t="shared" si="2448"/>
        <v>SAÍDA</v>
      </c>
      <c r="C12566" t="str">
        <f t="shared" si="2457"/>
        <v>PIX</v>
      </c>
      <c r="D12566" t="str">
        <f>"26313"</f>
        <v>26313</v>
      </c>
      <c r="E12566" t="str">
        <f t="shared" si="2458"/>
        <v>1</v>
      </c>
      <c r="F12566" t="str">
        <f t="shared" si="2452"/>
        <v>COM</v>
      </c>
      <c r="G12566" t="str">
        <f>"JOAO ALEXANDRE DE SOUZA ARAUJO (698)"</f>
        <v>JOAO ALEXANDRE DE SOUZA ARAUJO (698)</v>
      </c>
      <c r="H12566" t="s">
        <v>3395</v>
      </c>
      <c r="I12566" t="str">
        <f>("04/12/2025")</f>
        <v>04/12/2025</v>
      </c>
      <c r="J12566" t="str">
        <f>("25/11/2025")</f>
        <v>25/11/2025</v>
      </c>
      <c r="K12566">
        <v>45986</v>
      </c>
      <c r="N12566">
        <v>109</v>
      </c>
      <c r="O12566" t="s">
        <v>24</v>
      </c>
      <c r="Q12566">
        <v>960</v>
      </c>
      <c r="R12566" t="str">
        <f>"FARMÁCIA INDIANA LJ 188 (10176)"</f>
        <v>FARMÁCIA INDIANA LJ 188 (10176)</v>
      </c>
      <c r="S12566" t="s">
        <v>22</v>
      </c>
      <c r="T12566">
        <v>22462</v>
      </c>
      <c r="U12566">
        <v>26313</v>
      </c>
      <c r="V12566" t="s">
        <v>22</v>
      </c>
    </row>
    <row r="12567" spans="1:22">
      <c r="A12567" t="str">
        <f t="shared" si="2456"/>
        <v>25/11/2025</v>
      </c>
      <c r="B12567" t="str">
        <f t="shared" si="2448"/>
        <v>SAÍDA</v>
      </c>
      <c r="C12567" t="str">
        <f t="shared" si="2457"/>
        <v>PIX</v>
      </c>
      <c r="D12567" t="str">
        <f>"25998"</f>
        <v>25998</v>
      </c>
      <c r="E12567" t="str">
        <f t="shared" si="2458"/>
        <v>1</v>
      </c>
      <c r="F12567" t="str">
        <f t="shared" si="2452"/>
        <v>COM</v>
      </c>
      <c r="G12567" t="str">
        <f>"ALINE ALVES DA SILVA (1081)"</f>
        <v>ALINE ALVES DA SILVA (1081)</v>
      </c>
      <c r="H12567" t="str">
        <f>"Serv.Prest. 17/11/2025 a 23/11/2025 - PIX: CELULAR - CHAVE: (11) 98439-2238"</f>
        <v>Serv.Prest. 17/11/2025 a 23/11/2025 - PIX: CELULAR - CHAVE: (11) 98439-2238</v>
      </c>
      <c r="I12567" t="str">
        <f t="shared" ref="I12567:I12613" si="2459">("25/11/2025")</f>
        <v>25/11/2025</v>
      </c>
      <c r="J12567" t="str">
        <f t="shared" ref="J12567:J12578" si="2460">("24/11/2025")</f>
        <v>24/11/2025</v>
      </c>
      <c r="K12567" t="str">
        <f>("25/11/2025")</f>
        <v>25/11/2025</v>
      </c>
      <c r="L12567">
        <v>250</v>
      </c>
      <c r="M12567">
        <v>250</v>
      </c>
      <c r="N12567">
        <v>134</v>
      </c>
      <c r="O12567" t="str">
        <f>"DIARIA DE MOTOBOY"</f>
        <v>DIARIA DE MOTOBOY</v>
      </c>
      <c r="P12567">
        <v>250</v>
      </c>
      <c r="S12567" t="str">
        <f>"BANCO CORA (102)"</f>
        <v>BANCO CORA (102)</v>
      </c>
      <c r="T12567">
        <v>22467</v>
      </c>
      <c r="U12567">
        <v>25998</v>
      </c>
      <c r="V12567" t="s">
        <v>22</v>
      </c>
    </row>
    <row r="12568" spans="1:22">
      <c r="A12568" t="str">
        <f t="shared" si="2456"/>
        <v>25/11/2025</v>
      </c>
      <c r="B12568" t="str">
        <f t="shared" si="2448"/>
        <v>SAÍDA</v>
      </c>
      <c r="C12568" t="str">
        <f t="shared" si="2457"/>
        <v>PIX</v>
      </c>
      <c r="D12568" t="str">
        <f>"25998"</f>
        <v>25998</v>
      </c>
      <c r="E12568" t="str">
        <f t="shared" si="2458"/>
        <v>1</v>
      </c>
      <c r="F12568" t="str">
        <f t="shared" si="2452"/>
        <v>COM</v>
      </c>
      <c r="G12568" t="str">
        <f>"ALINE ALVES DA SILVA (1081)"</f>
        <v>ALINE ALVES DA SILVA (1081)</v>
      </c>
      <c r="H12568" t="s">
        <v>3396</v>
      </c>
      <c r="I12568" t="str">
        <f t="shared" si="2459"/>
        <v>25/11/2025</v>
      </c>
      <c r="J12568" t="str">
        <f t="shared" si="2460"/>
        <v>24/11/2025</v>
      </c>
      <c r="K12568">
        <v>45986</v>
      </c>
      <c r="N12568">
        <v>134</v>
      </c>
      <c r="O12568" t="s">
        <v>41</v>
      </c>
      <c r="Q12568">
        <v>250</v>
      </c>
      <c r="R12568" t="str">
        <f>"PENSE FARMA 16 (10221)"</f>
        <v>PENSE FARMA 16 (10221)</v>
      </c>
      <c r="S12568" t="s">
        <v>22</v>
      </c>
      <c r="T12568">
        <v>22467</v>
      </c>
      <c r="U12568">
        <v>25998</v>
      </c>
      <c r="V12568" t="s">
        <v>22</v>
      </c>
    </row>
    <row r="12569" spans="1:22">
      <c r="A12569" t="str">
        <f t="shared" si="2456"/>
        <v>25/11/2025</v>
      </c>
      <c r="B12569" t="str">
        <f t="shared" si="2448"/>
        <v>SAÍDA</v>
      </c>
      <c r="C12569" t="str">
        <f t="shared" si="2457"/>
        <v>PIX</v>
      </c>
      <c r="D12569" t="str">
        <f>"26020"</f>
        <v>26020</v>
      </c>
      <c r="E12569" t="str">
        <f t="shared" si="2458"/>
        <v>1</v>
      </c>
      <c r="F12569" t="str">
        <f t="shared" si="2452"/>
        <v>COM</v>
      </c>
      <c r="G12569" t="str">
        <f>"DJONATAS PETERSON RODRIGUES ANDRADE (1088)"</f>
        <v>DJONATAS PETERSON RODRIGUES ANDRADE (1088)</v>
      </c>
      <c r="H12569" t="str">
        <f>"Serv.Prest. 17/11/2025 a 23/11/2025 - PIX: CELULAR - CHAVE: (11) 94878-2634"</f>
        <v>Serv.Prest. 17/11/2025 a 23/11/2025 - PIX: CELULAR - CHAVE: (11) 94878-2634</v>
      </c>
      <c r="I12569" t="str">
        <f t="shared" si="2459"/>
        <v>25/11/2025</v>
      </c>
      <c r="J12569" t="str">
        <f t="shared" si="2460"/>
        <v>24/11/2025</v>
      </c>
      <c r="K12569" t="str">
        <f>("25/11/2025")</f>
        <v>25/11/2025</v>
      </c>
      <c r="L12569">
        <v>250</v>
      </c>
      <c r="M12569">
        <v>250</v>
      </c>
      <c r="N12569">
        <v>134</v>
      </c>
      <c r="O12569" t="str">
        <f>"DIARIA DE MOTOBOY"</f>
        <v>DIARIA DE MOTOBOY</v>
      </c>
      <c r="P12569">
        <v>250</v>
      </c>
      <c r="S12569" t="str">
        <f>"BANCO CORA (102)"</f>
        <v>BANCO CORA (102)</v>
      </c>
      <c r="T12569">
        <v>22468</v>
      </c>
      <c r="U12569">
        <v>26020</v>
      </c>
      <c r="V12569" t="s">
        <v>22</v>
      </c>
    </row>
    <row r="12570" spans="1:22">
      <c r="A12570" t="str">
        <f t="shared" si="2456"/>
        <v>25/11/2025</v>
      </c>
      <c r="B12570" t="str">
        <f t="shared" si="2448"/>
        <v>SAÍDA</v>
      </c>
      <c r="C12570" t="str">
        <f t="shared" si="2457"/>
        <v>PIX</v>
      </c>
      <c r="D12570" t="str">
        <f>"26020"</f>
        <v>26020</v>
      </c>
      <c r="E12570" t="str">
        <f t="shared" si="2458"/>
        <v>1</v>
      </c>
      <c r="F12570" t="str">
        <f t="shared" si="2452"/>
        <v>COM</v>
      </c>
      <c r="G12570" t="str">
        <f>"DJONATAS PETERSON RODRIGUES ANDRADE (1088)"</f>
        <v>DJONATAS PETERSON RODRIGUES ANDRADE (1088)</v>
      </c>
      <c r="H12570" t="s">
        <v>3397</v>
      </c>
      <c r="I12570" t="str">
        <f t="shared" si="2459"/>
        <v>25/11/2025</v>
      </c>
      <c r="J12570" t="str">
        <f t="shared" si="2460"/>
        <v>24/11/2025</v>
      </c>
      <c r="K12570">
        <v>45986</v>
      </c>
      <c r="N12570">
        <v>134</v>
      </c>
      <c r="O12570" t="s">
        <v>41</v>
      </c>
      <c r="Q12570">
        <v>250</v>
      </c>
      <c r="R12570" t="str">
        <f>"PENSE FARMA 39 (10228)"</f>
        <v>PENSE FARMA 39 (10228)</v>
      </c>
      <c r="S12570" t="s">
        <v>22</v>
      </c>
      <c r="T12570">
        <v>22468</v>
      </c>
      <c r="U12570">
        <v>26020</v>
      </c>
      <c r="V12570" t="s">
        <v>22</v>
      </c>
    </row>
    <row r="12571" spans="1:22">
      <c r="A12571" t="str">
        <f t="shared" si="2456"/>
        <v>25/11/2025</v>
      </c>
      <c r="B12571" t="str">
        <f t="shared" si="2448"/>
        <v>SAÍDA</v>
      </c>
      <c r="C12571" t="str">
        <f t="shared" si="2457"/>
        <v>PIX</v>
      </c>
      <c r="D12571" t="str">
        <f>"26016"</f>
        <v>26016</v>
      </c>
      <c r="E12571" t="str">
        <f t="shared" si="2458"/>
        <v>1</v>
      </c>
      <c r="F12571" t="str">
        <f t="shared" si="2452"/>
        <v>COM</v>
      </c>
      <c r="G12571" t="str">
        <f>"EDIVALDO LIMA DOS SANTOS (1107)"</f>
        <v>EDIVALDO LIMA DOS SANTOS (1107)</v>
      </c>
      <c r="H12571" t="str">
        <f>"Serv.Prest. 17/11/2025 a 23/11/2025 - PIX: CELULAR - CHAVE: (11) 93051-0411"</f>
        <v>Serv.Prest. 17/11/2025 a 23/11/2025 - PIX: CELULAR - CHAVE: (11) 93051-0411</v>
      </c>
      <c r="I12571" t="str">
        <f t="shared" si="2459"/>
        <v>25/11/2025</v>
      </c>
      <c r="J12571" t="str">
        <f t="shared" si="2460"/>
        <v>24/11/2025</v>
      </c>
      <c r="K12571" t="str">
        <f>("25/11/2025")</f>
        <v>25/11/2025</v>
      </c>
      <c r="L12571">
        <v>250</v>
      </c>
      <c r="M12571">
        <v>250</v>
      </c>
      <c r="N12571">
        <v>134</v>
      </c>
      <c r="O12571" t="str">
        <f>"DIARIA DE MOTOBOY"</f>
        <v>DIARIA DE MOTOBOY</v>
      </c>
      <c r="P12571">
        <v>250</v>
      </c>
      <c r="S12571" t="str">
        <f>"BANCO CORA (102)"</f>
        <v>BANCO CORA (102)</v>
      </c>
      <c r="T12571">
        <v>22469</v>
      </c>
      <c r="U12571">
        <v>26016</v>
      </c>
      <c r="V12571" t="s">
        <v>22</v>
      </c>
    </row>
    <row r="12572" spans="1:22">
      <c r="A12572" t="str">
        <f t="shared" si="2456"/>
        <v>25/11/2025</v>
      </c>
      <c r="B12572" t="str">
        <f t="shared" si="2448"/>
        <v>SAÍDA</v>
      </c>
      <c r="C12572" t="str">
        <f t="shared" si="2457"/>
        <v>PIX</v>
      </c>
      <c r="D12572" t="str">
        <f>"26016"</f>
        <v>26016</v>
      </c>
      <c r="E12572" t="str">
        <f t="shared" si="2458"/>
        <v>1</v>
      </c>
      <c r="F12572" t="str">
        <f t="shared" si="2452"/>
        <v>COM</v>
      </c>
      <c r="G12572" t="str">
        <f>"EDIVALDO LIMA DOS SANTOS (1107)"</f>
        <v>EDIVALDO LIMA DOS SANTOS (1107)</v>
      </c>
      <c r="H12572" t="s">
        <v>3398</v>
      </c>
      <c r="I12572" t="str">
        <f t="shared" si="2459"/>
        <v>25/11/2025</v>
      </c>
      <c r="J12572" t="str">
        <f t="shared" si="2460"/>
        <v>24/11/2025</v>
      </c>
      <c r="K12572">
        <v>45986</v>
      </c>
      <c r="N12572">
        <v>134</v>
      </c>
      <c r="O12572" t="s">
        <v>41</v>
      </c>
      <c r="Q12572">
        <v>250</v>
      </c>
      <c r="R12572" t="str">
        <f>"PENSE FARMA 49 (10234)"</f>
        <v>PENSE FARMA 49 (10234)</v>
      </c>
      <c r="S12572" t="s">
        <v>22</v>
      </c>
      <c r="T12572">
        <v>22469</v>
      </c>
      <c r="U12572">
        <v>26016</v>
      </c>
      <c r="V12572" t="s">
        <v>22</v>
      </c>
    </row>
    <row r="12573" spans="1:22">
      <c r="A12573" t="str">
        <f t="shared" si="2456"/>
        <v>25/11/2025</v>
      </c>
      <c r="B12573" t="str">
        <f t="shared" si="2448"/>
        <v>SAÍDA</v>
      </c>
      <c r="C12573" t="str">
        <f t="shared" si="2457"/>
        <v>PIX</v>
      </c>
      <c r="D12573" t="str">
        <f>"26080"</f>
        <v>26080</v>
      </c>
      <c r="E12573" t="str">
        <f t="shared" si="2458"/>
        <v>1</v>
      </c>
      <c r="F12573" t="str">
        <f t="shared" si="2452"/>
        <v>COM</v>
      </c>
      <c r="G12573" t="str">
        <f>"ERIC RODRIGUES TEIXEIRA (939)"</f>
        <v>ERIC RODRIGUES TEIXEIRA (939)</v>
      </c>
      <c r="H12573" t="str">
        <f>"Serv.Prest. 17/11/2025 a 23/11/2025 - PIX: CELULAR - CHAVE: (11) 95038-0621"</f>
        <v>Serv.Prest. 17/11/2025 a 23/11/2025 - PIX: CELULAR - CHAVE: (11) 95038-0621</v>
      </c>
      <c r="I12573" t="str">
        <f t="shared" si="2459"/>
        <v>25/11/2025</v>
      </c>
      <c r="J12573" t="str">
        <f t="shared" si="2460"/>
        <v>24/11/2025</v>
      </c>
      <c r="K12573" t="str">
        <f>("25/11/2025")</f>
        <v>25/11/2025</v>
      </c>
      <c r="L12573">
        <v>250</v>
      </c>
      <c r="M12573">
        <v>250</v>
      </c>
      <c r="N12573">
        <v>109</v>
      </c>
      <c r="O12573" t="str">
        <f>"PAGAMENTO DE ENTREGADORES"</f>
        <v>PAGAMENTO DE ENTREGADORES</v>
      </c>
      <c r="P12573">
        <v>250</v>
      </c>
      <c r="S12573" t="str">
        <f>"BANCO CORA (102)"</f>
        <v>BANCO CORA (102)</v>
      </c>
      <c r="T12573">
        <v>22470</v>
      </c>
      <c r="U12573">
        <v>26171</v>
      </c>
      <c r="V12573" t="s">
        <v>22</v>
      </c>
    </row>
    <row r="12574" spans="1:22">
      <c r="A12574" t="str">
        <f t="shared" si="2456"/>
        <v>25/11/2025</v>
      </c>
      <c r="B12574" t="str">
        <f t="shared" si="2448"/>
        <v>SAÍDA</v>
      </c>
      <c r="C12574" t="str">
        <f t="shared" si="2457"/>
        <v>PIX</v>
      </c>
      <c r="D12574" t="str">
        <f>"26080"</f>
        <v>26080</v>
      </c>
      <c r="E12574" t="str">
        <f t="shared" si="2458"/>
        <v>1</v>
      </c>
      <c r="F12574" t="str">
        <f t="shared" si="2452"/>
        <v>COM</v>
      </c>
      <c r="G12574" t="str">
        <f>"ERIC RODRIGUES TEIXEIRA (939)"</f>
        <v>ERIC RODRIGUES TEIXEIRA (939)</v>
      </c>
      <c r="H12574" t="s">
        <v>3399</v>
      </c>
      <c r="I12574" t="str">
        <f t="shared" si="2459"/>
        <v>25/11/2025</v>
      </c>
      <c r="J12574" t="str">
        <f t="shared" si="2460"/>
        <v>24/11/2025</v>
      </c>
      <c r="K12574">
        <v>45986</v>
      </c>
      <c r="N12574">
        <v>109</v>
      </c>
      <c r="O12574" t="s">
        <v>24</v>
      </c>
      <c r="Q12574">
        <v>83.33</v>
      </c>
      <c r="R12574" t="str">
        <f>"PENSE FARMA 07 (10201)"</f>
        <v>PENSE FARMA 07 (10201)</v>
      </c>
      <c r="S12574" t="s">
        <v>22</v>
      </c>
      <c r="T12574">
        <v>22470</v>
      </c>
      <c r="U12574">
        <v>26171</v>
      </c>
      <c r="V12574" t="s">
        <v>22</v>
      </c>
    </row>
    <row r="12575" spans="1:22">
      <c r="A12575" t="str">
        <f t="shared" si="2456"/>
        <v>25/11/2025</v>
      </c>
      <c r="B12575" t="str">
        <f t="shared" si="2448"/>
        <v>SAÍDA</v>
      </c>
      <c r="C12575" t="str">
        <f t="shared" si="2457"/>
        <v>PIX</v>
      </c>
      <c r="D12575" t="str">
        <f>"26080"</f>
        <v>26080</v>
      </c>
      <c r="E12575" t="str">
        <f t="shared" si="2458"/>
        <v>1</v>
      </c>
      <c r="F12575" t="str">
        <f t="shared" si="2452"/>
        <v>COM</v>
      </c>
      <c r="G12575" t="str">
        <f>"ERIC RODRIGUES TEIXEIRA (939)"</f>
        <v>ERIC RODRIGUES TEIXEIRA (939)</v>
      </c>
      <c r="H12575" t="s">
        <v>3399</v>
      </c>
      <c r="I12575" t="str">
        <f t="shared" si="2459"/>
        <v>25/11/2025</v>
      </c>
      <c r="J12575" t="str">
        <f t="shared" si="2460"/>
        <v>24/11/2025</v>
      </c>
      <c r="K12575">
        <v>45986</v>
      </c>
      <c r="N12575">
        <v>109</v>
      </c>
      <c r="O12575" t="s">
        <v>24</v>
      </c>
      <c r="Q12575">
        <v>83.32</v>
      </c>
      <c r="R12575" t="str">
        <f>"PENSE FARMA 45 (10209)"</f>
        <v>PENSE FARMA 45 (10209)</v>
      </c>
      <c r="S12575" t="s">
        <v>22</v>
      </c>
      <c r="T12575">
        <v>22470</v>
      </c>
      <c r="U12575">
        <v>26171</v>
      </c>
      <c r="V12575" t="s">
        <v>22</v>
      </c>
    </row>
    <row r="12576" spans="1:22">
      <c r="A12576" t="str">
        <f t="shared" si="2456"/>
        <v>25/11/2025</v>
      </c>
      <c r="B12576" t="str">
        <f t="shared" si="2448"/>
        <v>SAÍDA</v>
      </c>
      <c r="C12576" t="str">
        <f t="shared" si="2457"/>
        <v>PIX</v>
      </c>
      <c r="D12576" t="str">
        <f>"26080"</f>
        <v>26080</v>
      </c>
      <c r="E12576" t="str">
        <f t="shared" si="2458"/>
        <v>1</v>
      </c>
      <c r="F12576" t="str">
        <f t="shared" si="2452"/>
        <v>COM</v>
      </c>
      <c r="G12576" t="str">
        <f>"ERIC RODRIGUES TEIXEIRA (939)"</f>
        <v>ERIC RODRIGUES TEIXEIRA (939)</v>
      </c>
      <c r="H12576" t="s">
        <v>3399</v>
      </c>
      <c r="I12576" t="str">
        <f t="shared" si="2459"/>
        <v>25/11/2025</v>
      </c>
      <c r="J12576" t="str">
        <f t="shared" si="2460"/>
        <v>24/11/2025</v>
      </c>
      <c r="K12576">
        <v>45986</v>
      </c>
      <c r="N12576">
        <v>109</v>
      </c>
      <c r="O12576" t="s">
        <v>24</v>
      </c>
      <c r="Q12576">
        <v>83.35</v>
      </c>
      <c r="R12576" t="str">
        <f>"PENSE FARMA 50 (10210)"</f>
        <v>PENSE FARMA 50 (10210)</v>
      </c>
      <c r="S12576" t="s">
        <v>22</v>
      </c>
      <c r="T12576">
        <v>22470</v>
      </c>
      <c r="U12576">
        <v>26171</v>
      </c>
      <c r="V12576" t="s">
        <v>22</v>
      </c>
    </row>
    <row r="12577" spans="1:22">
      <c r="A12577" t="str">
        <f t="shared" si="2456"/>
        <v>25/11/2025</v>
      </c>
      <c r="B12577" t="str">
        <f t="shared" si="2448"/>
        <v>SAÍDA</v>
      </c>
      <c r="C12577" t="str">
        <f t="shared" si="2457"/>
        <v>PIX</v>
      </c>
      <c r="D12577" t="str">
        <f>"26053"</f>
        <v>26053</v>
      </c>
      <c r="E12577" t="str">
        <f t="shared" si="2458"/>
        <v>1</v>
      </c>
      <c r="F12577" t="str">
        <f t="shared" si="2452"/>
        <v>COM</v>
      </c>
      <c r="G12577" t="str">
        <f>"JEFFERSON AMORIM DA SILVA (940)"</f>
        <v>JEFFERSON AMORIM DA SILVA (940)</v>
      </c>
      <c r="H12577" t="str">
        <f>"Serv.Prest. 17/11/2025 a 23/11/2025 - PIX: CELULAR - CHAVE: (11) 98447-6954"</f>
        <v>Serv.Prest. 17/11/2025 a 23/11/2025 - PIX: CELULAR - CHAVE: (11) 98447-6954</v>
      </c>
      <c r="I12577" t="str">
        <f t="shared" si="2459"/>
        <v>25/11/2025</v>
      </c>
      <c r="J12577" t="str">
        <f t="shared" si="2460"/>
        <v>24/11/2025</v>
      </c>
      <c r="K12577" t="str">
        <f>("25/11/2025")</f>
        <v>25/11/2025</v>
      </c>
      <c r="L12577">
        <v>250</v>
      </c>
      <c r="M12577">
        <v>250</v>
      </c>
      <c r="N12577">
        <v>109</v>
      </c>
      <c r="O12577" t="str">
        <f>"PAGAMENTO DE ENTREGADORES"</f>
        <v>PAGAMENTO DE ENTREGADORES</v>
      </c>
      <c r="P12577">
        <v>250</v>
      </c>
      <c r="S12577" t="str">
        <f>"BANCO CORA (102)"</f>
        <v>BANCO CORA (102)</v>
      </c>
      <c r="T12577">
        <v>22471</v>
      </c>
      <c r="U12577">
        <v>26053</v>
      </c>
      <c r="V12577" t="s">
        <v>22</v>
      </c>
    </row>
    <row r="12578" spans="1:22">
      <c r="A12578" t="str">
        <f t="shared" si="2456"/>
        <v>25/11/2025</v>
      </c>
      <c r="B12578" t="str">
        <f t="shared" si="2448"/>
        <v>SAÍDA</v>
      </c>
      <c r="C12578" t="str">
        <f t="shared" si="2457"/>
        <v>PIX</v>
      </c>
      <c r="D12578" t="str">
        <f>"26053"</f>
        <v>26053</v>
      </c>
      <c r="E12578" t="str">
        <f t="shared" si="2458"/>
        <v>1</v>
      </c>
      <c r="F12578" t="str">
        <f t="shared" si="2452"/>
        <v>COM</v>
      </c>
      <c r="G12578" t="str">
        <f>"JEFFERSON AMORIM DA SILVA (940)"</f>
        <v>JEFFERSON AMORIM DA SILVA (940)</v>
      </c>
      <c r="H12578" t="s">
        <v>3400</v>
      </c>
      <c r="I12578" t="str">
        <f t="shared" si="2459"/>
        <v>25/11/2025</v>
      </c>
      <c r="J12578" t="str">
        <f t="shared" si="2460"/>
        <v>24/11/2025</v>
      </c>
      <c r="K12578">
        <v>45986</v>
      </c>
      <c r="N12578">
        <v>109</v>
      </c>
      <c r="O12578" t="s">
        <v>24</v>
      </c>
      <c r="Q12578">
        <v>250</v>
      </c>
      <c r="R12578" t="str">
        <f>"PENSE FARMA 46 (10194)"</f>
        <v>PENSE FARMA 46 (10194)</v>
      </c>
      <c r="S12578" t="s">
        <v>22</v>
      </c>
      <c r="T12578">
        <v>22471</v>
      </c>
      <c r="U12578">
        <v>26053</v>
      </c>
      <c r="V12578" t="s">
        <v>22</v>
      </c>
    </row>
    <row r="12579" spans="1:22">
      <c r="A12579" t="str">
        <f t="shared" si="2456"/>
        <v>25/11/2025</v>
      </c>
      <c r="B12579" t="str">
        <f t="shared" ref="B12579:B12613" si="2461">"SAÍDA"</f>
        <v>SAÍDA</v>
      </c>
      <c r="C12579" t="str">
        <f t="shared" si="2457"/>
        <v>PIX</v>
      </c>
      <c r="D12579" t="str">
        <f>"26218"</f>
        <v>26218</v>
      </c>
      <c r="E12579" t="str">
        <f t="shared" si="2458"/>
        <v>1</v>
      </c>
      <c r="F12579" t="str">
        <f t="shared" si="2452"/>
        <v>COM</v>
      </c>
      <c r="G12579" t="str">
        <f>"JOSE ERIC SILVA MACENA (854)"</f>
        <v>JOSE ERIC SILVA MACENA (854)</v>
      </c>
      <c r="H12579" t="str">
        <f>"Serv.Prest. 17/11/2025 a 23/11/2025 - PIX: E-MAIL - CHAVE: ericsilva8marcena@gmail.com"</f>
        <v>Serv.Prest. 17/11/2025 a 23/11/2025 - PIX: E-MAIL - CHAVE: ericsilva8marcena@gmail.com</v>
      </c>
      <c r="I12579" t="str">
        <f t="shared" si="2459"/>
        <v>25/11/2025</v>
      </c>
      <c r="J12579" t="str">
        <f>("25/11/2025")</f>
        <v>25/11/2025</v>
      </c>
      <c r="K12579" t="str">
        <f>("25/11/2025")</f>
        <v>25/11/2025</v>
      </c>
      <c r="L12579">
        <v>180</v>
      </c>
      <c r="M12579">
        <v>180</v>
      </c>
      <c r="N12579">
        <v>134</v>
      </c>
      <c r="O12579" t="str">
        <f>"DIARIA DE MOTOBOY"</f>
        <v>DIARIA DE MOTOBOY</v>
      </c>
      <c r="P12579">
        <v>180</v>
      </c>
      <c r="S12579" t="str">
        <f>"BANCO CORA (102)"</f>
        <v>BANCO CORA (102)</v>
      </c>
      <c r="T12579">
        <v>22472</v>
      </c>
      <c r="U12579">
        <v>26218</v>
      </c>
      <c r="V12579" t="s">
        <v>22</v>
      </c>
    </row>
    <row r="12580" spans="1:22">
      <c r="A12580" t="str">
        <f t="shared" si="2456"/>
        <v>25/11/2025</v>
      </c>
      <c r="B12580" t="str">
        <f t="shared" si="2461"/>
        <v>SAÍDA</v>
      </c>
      <c r="C12580" t="str">
        <f t="shared" si="2457"/>
        <v>PIX</v>
      </c>
      <c r="D12580" t="str">
        <f>"26218"</f>
        <v>26218</v>
      </c>
      <c r="E12580" t="str">
        <f t="shared" si="2458"/>
        <v>1</v>
      </c>
      <c r="F12580" t="str">
        <f t="shared" si="2452"/>
        <v>COM</v>
      </c>
      <c r="G12580" t="str">
        <f>"JOSE ERIC SILVA MACENA (854)"</f>
        <v>JOSE ERIC SILVA MACENA (854)</v>
      </c>
      <c r="H12580" t="s">
        <v>3401</v>
      </c>
      <c r="I12580" t="str">
        <f t="shared" si="2459"/>
        <v>25/11/2025</v>
      </c>
      <c r="J12580" t="str">
        <f>("25/11/2025")</f>
        <v>25/11/2025</v>
      </c>
      <c r="K12580">
        <v>45986</v>
      </c>
      <c r="N12580">
        <v>134</v>
      </c>
      <c r="O12580" t="s">
        <v>41</v>
      </c>
      <c r="Q12580">
        <v>180</v>
      </c>
      <c r="R12580" t="str">
        <f>"FARMÁCIA INDIANA LJ 101 (10043)"</f>
        <v>FARMÁCIA INDIANA LJ 101 (10043)</v>
      </c>
      <c r="S12580" t="s">
        <v>22</v>
      </c>
      <c r="T12580">
        <v>22472</v>
      </c>
      <c r="U12580">
        <v>26218</v>
      </c>
      <c r="V12580" t="s">
        <v>22</v>
      </c>
    </row>
    <row r="12581" spans="1:22">
      <c r="A12581" t="str">
        <f t="shared" si="2456"/>
        <v>25/11/2025</v>
      </c>
      <c r="B12581" t="str">
        <f t="shared" si="2461"/>
        <v>SAÍDA</v>
      </c>
      <c r="C12581" t="str">
        <f t="shared" si="2457"/>
        <v>PIX</v>
      </c>
      <c r="D12581" t="str">
        <f>"26222"</f>
        <v>26222</v>
      </c>
      <c r="E12581" t="str">
        <f t="shared" si="2458"/>
        <v>1</v>
      </c>
      <c r="F12581" t="str">
        <f t="shared" si="2452"/>
        <v>COM</v>
      </c>
      <c r="G12581" t="str">
        <f>"JUSSARA CRISTINA FARIA (783)"</f>
        <v>JUSSARA CRISTINA FARIA (783)</v>
      </c>
      <c r="H12581" t="str">
        <f>"Serv.Prest. 17/11/2025 a 23/11/2025 - PIX: CELULAR - CHAVE: (31) 99373-5678"</f>
        <v>Serv.Prest. 17/11/2025 a 23/11/2025 - PIX: CELULAR - CHAVE: (31) 99373-5678</v>
      </c>
      <c r="I12581" t="str">
        <f t="shared" si="2459"/>
        <v>25/11/2025</v>
      </c>
      <c r="J12581" t="str">
        <f>("25/11/2025")</f>
        <v>25/11/2025</v>
      </c>
      <c r="K12581" t="str">
        <f>("25/11/2025")</f>
        <v>25/11/2025</v>
      </c>
      <c r="L12581">
        <v>450</v>
      </c>
      <c r="M12581">
        <v>450</v>
      </c>
      <c r="N12581">
        <v>134</v>
      </c>
      <c r="O12581" t="str">
        <f>"DIARIA DE MOTOBOY"</f>
        <v>DIARIA DE MOTOBOY</v>
      </c>
      <c r="P12581">
        <v>450</v>
      </c>
      <c r="S12581" t="str">
        <f>"BANCO CORA (102)"</f>
        <v>BANCO CORA (102)</v>
      </c>
      <c r="T12581">
        <v>22473</v>
      </c>
      <c r="U12581">
        <v>26222</v>
      </c>
      <c r="V12581" t="s">
        <v>22</v>
      </c>
    </row>
    <row r="12582" spans="1:22">
      <c r="A12582" t="str">
        <f t="shared" si="2456"/>
        <v>25/11/2025</v>
      </c>
      <c r="B12582" t="str">
        <f t="shared" si="2461"/>
        <v>SAÍDA</v>
      </c>
      <c r="C12582" t="str">
        <f t="shared" si="2457"/>
        <v>PIX</v>
      </c>
      <c r="D12582" t="str">
        <f>"26222"</f>
        <v>26222</v>
      </c>
      <c r="E12582" t="str">
        <f t="shared" si="2458"/>
        <v>1</v>
      </c>
      <c r="F12582" t="str">
        <f t="shared" ref="F12582:F12613" si="2462">"COM"</f>
        <v>COM</v>
      </c>
      <c r="G12582" t="str">
        <f>"JUSSARA CRISTINA FARIA (783)"</f>
        <v>JUSSARA CRISTINA FARIA (783)</v>
      </c>
      <c r="H12582" t="s">
        <v>3402</v>
      </c>
      <c r="I12582" t="str">
        <f t="shared" si="2459"/>
        <v>25/11/2025</v>
      </c>
      <c r="J12582" t="str">
        <f>("25/11/2025")</f>
        <v>25/11/2025</v>
      </c>
      <c r="K12582">
        <v>45986</v>
      </c>
      <c r="N12582">
        <v>134</v>
      </c>
      <c r="O12582" t="s">
        <v>41</v>
      </c>
      <c r="Q12582">
        <v>450</v>
      </c>
      <c r="R12582" t="str">
        <f>"FARMÁCIA INDIANA LJ 110 (10048)"</f>
        <v>FARMÁCIA INDIANA LJ 110 (10048)</v>
      </c>
      <c r="S12582" t="s">
        <v>22</v>
      </c>
      <c r="T12582">
        <v>22473</v>
      </c>
      <c r="U12582">
        <v>26222</v>
      </c>
      <c r="V12582" t="s">
        <v>22</v>
      </c>
    </row>
    <row r="12583" spans="1:22">
      <c r="A12583" t="str">
        <f t="shared" si="2456"/>
        <v>25/11/2025</v>
      </c>
      <c r="B12583" t="str">
        <f t="shared" si="2461"/>
        <v>SAÍDA</v>
      </c>
      <c r="C12583" t="str">
        <f t="shared" si="2457"/>
        <v>PIX</v>
      </c>
      <c r="D12583" t="str">
        <f>"26225"</f>
        <v>26225</v>
      </c>
      <c r="E12583" t="str">
        <f t="shared" si="2458"/>
        <v>1</v>
      </c>
      <c r="F12583" t="str">
        <f t="shared" si="2462"/>
        <v>COM</v>
      </c>
      <c r="G12583" t="str">
        <f>"LAUAN ROCHA DE MELO (914)"</f>
        <v>LAUAN ROCHA DE MELO (914)</v>
      </c>
      <c r="H12583" t="str">
        <f>"Serv.Prest. 17/11/2025 a 23/11/2025 - PIX: CELULAR - CHAVE: (32) 99913-0476"</f>
        <v>Serv.Prest. 17/11/2025 a 23/11/2025 - PIX: CELULAR - CHAVE: (32) 99913-0476</v>
      </c>
      <c r="I12583" t="str">
        <f t="shared" si="2459"/>
        <v>25/11/2025</v>
      </c>
      <c r="J12583" t="str">
        <f>("25/11/2025")</f>
        <v>25/11/2025</v>
      </c>
      <c r="K12583" t="str">
        <f>("25/11/2025")</f>
        <v>25/11/2025</v>
      </c>
      <c r="L12583">
        <v>120</v>
      </c>
      <c r="M12583">
        <v>120</v>
      </c>
      <c r="N12583">
        <v>134</v>
      </c>
      <c r="O12583" t="str">
        <f>"DIARIA DE MOTOBOY"</f>
        <v>DIARIA DE MOTOBOY</v>
      </c>
      <c r="P12583">
        <v>120</v>
      </c>
      <c r="S12583" t="str">
        <f>"BANCO CORA (102)"</f>
        <v>BANCO CORA (102)</v>
      </c>
      <c r="T12583">
        <v>22474</v>
      </c>
      <c r="U12583">
        <v>26225</v>
      </c>
      <c r="V12583" t="s">
        <v>22</v>
      </c>
    </row>
    <row r="12584" spans="1:22">
      <c r="A12584" t="str">
        <f t="shared" si="2456"/>
        <v>25/11/2025</v>
      </c>
      <c r="B12584" t="str">
        <f t="shared" si="2461"/>
        <v>SAÍDA</v>
      </c>
      <c r="C12584" t="str">
        <f t="shared" si="2457"/>
        <v>PIX</v>
      </c>
      <c r="D12584" t="str">
        <f>"26225"</f>
        <v>26225</v>
      </c>
      <c r="E12584" t="str">
        <f t="shared" si="2458"/>
        <v>1</v>
      </c>
      <c r="F12584" t="str">
        <f t="shared" si="2462"/>
        <v>COM</v>
      </c>
      <c r="G12584" t="str">
        <f>"LAUAN ROCHA DE MELO (914)"</f>
        <v>LAUAN ROCHA DE MELO (914)</v>
      </c>
      <c r="H12584" t="s">
        <v>3403</v>
      </c>
      <c r="I12584" t="str">
        <f t="shared" si="2459"/>
        <v>25/11/2025</v>
      </c>
      <c r="J12584" t="str">
        <f>("25/11/2025")</f>
        <v>25/11/2025</v>
      </c>
      <c r="K12584">
        <v>45986</v>
      </c>
      <c r="N12584">
        <v>134</v>
      </c>
      <c r="O12584" t="s">
        <v>41</v>
      </c>
      <c r="Q12584">
        <v>120</v>
      </c>
      <c r="R12584" t="str">
        <f>"FARMÁCIA INDIANA LJ 109 (10047)"</f>
        <v>FARMÁCIA INDIANA LJ 109 (10047)</v>
      </c>
      <c r="S12584" t="s">
        <v>22</v>
      </c>
      <c r="T12584">
        <v>22474</v>
      </c>
      <c r="U12584">
        <v>26225</v>
      </c>
      <c r="V12584" t="s">
        <v>22</v>
      </c>
    </row>
    <row r="12585" spans="1:22">
      <c r="A12585" t="str">
        <f t="shared" si="2456"/>
        <v>25/11/2025</v>
      </c>
      <c r="B12585" t="str">
        <f t="shared" si="2461"/>
        <v>SAÍDA</v>
      </c>
      <c r="C12585" t="str">
        <f t="shared" si="2457"/>
        <v>PIX</v>
      </c>
      <c r="D12585" t="str">
        <f>"26062"</f>
        <v>26062</v>
      </c>
      <c r="E12585" t="str">
        <f t="shared" si="2458"/>
        <v>1</v>
      </c>
      <c r="F12585" t="str">
        <f t="shared" si="2462"/>
        <v>COM</v>
      </c>
      <c r="G12585" t="str">
        <f>"LUAN DOS REIS SILVA (954)"</f>
        <v>LUAN DOS REIS SILVA (954)</v>
      </c>
      <c r="H12585" t="str">
        <f>"Serv.Prest. 17/11/2025 a 23/11/2025 - PIX: CELULAR - CHAVE: (11) 95906-5439"</f>
        <v>Serv.Prest. 17/11/2025 a 23/11/2025 - PIX: CELULAR - CHAVE: (11) 95906-5439</v>
      </c>
      <c r="I12585" t="str">
        <f t="shared" si="2459"/>
        <v>25/11/2025</v>
      </c>
      <c r="J12585" t="str">
        <f>("24/11/2025")</f>
        <v>24/11/2025</v>
      </c>
      <c r="K12585" t="str">
        <f>("25/11/2025")</f>
        <v>25/11/2025</v>
      </c>
      <c r="L12585">
        <v>250</v>
      </c>
      <c r="M12585">
        <v>250</v>
      </c>
      <c r="N12585">
        <v>109</v>
      </c>
      <c r="O12585" t="str">
        <f>"PAGAMENTO DE ENTREGADORES"</f>
        <v>PAGAMENTO DE ENTREGADORES</v>
      </c>
      <c r="P12585">
        <v>250</v>
      </c>
      <c r="S12585" t="str">
        <f>"BANCO CORA (102)"</f>
        <v>BANCO CORA (102)</v>
      </c>
      <c r="T12585">
        <v>22475</v>
      </c>
      <c r="U12585">
        <v>26165</v>
      </c>
      <c r="V12585" t="s">
        <v>22</v>
      </c>
    </row>
    <row r="12586" spans="1:22">
      <c r="A12586" t="str">
        <f t="shared" si="2456"/>
        <v>25/11/2025</v>
      </c>
      <c r="B12586" t="str">
        <f t="shared" si="2461"/>
        <v>SAÍDA</v>
      </c>
      <c r="C12586" t="str">
        <f t="shared" si="2457"/>
        <v>PIX</v>
      </c>
      <c r="D12586" t="str">
        <f>"26062"</f>
        <v>26062</v>
      </c>
      <c r="E12586" t="str">
        <f t="shared" si="2458"/>
        <v>1</v>
      </c>
      <c r="F12586" t="str">
        <f t="shared" si="2462"/>
        <v>COM</v>
      </c>
      <c r="G12586" t="str">
        <f>"LUAN DOS REIS SILVA (954)"</f>
        <v>LUAN DOS REIS SILVA (954)</v>
      </c>
      <c r="H12586" t="s">
        <v>3404</v>
      </c>
      <c r="I12586" t="str">
        <f t="shared" si="2459"/>
        <v>25/11/2025</v>
      </c>
      <c r="J12586" t="str">
        <f>("24/11/2025")</f>
        <v>24/11/2025</v>
      </c>
      <c r="K12586">
        <v>45986</v>
      </c>
      <c r="N12586">
        <v>109</v>
      </c>
      <c r="O12586" t="s">
        <v>24</v>
      </c>
      <c r="Q12586">
        <v>83.33</v>
      </c>
      <c r="R12586" t="str">
        <f>"PENSE FARMA 05 (10200)"</f>
        <v>PENSE FARMA 05 (10200)</v>
      </c>
      <c r="S12586" t="s">
        <v>22</v>
      </c>
      <c r="T12586">
        <v>22475</v>
      </c>
      <c r="U12586">
        <v>26165</v>
      </c>
      <c r="V12586" t="s">
        <v>22</v>
      </c>
    </row>
    <row r="12587" spans="1:22">
      <c r="A12587" t="str">
        <f t="shared" si="2456"/>
        <v>25/11/2025</v>
      </c>
      <c r="B12587" t="str">
        <f t="shared" si="2461"/>
        <v>SAÍDA</v>
      </c>
      <c r="C12587" t="str">
        <f t="shared" si="2457"/>
        <v>PIX</v>
      </c>
      <c r="D12587" t="str">
        <f>"26062"</f>
        <v>26062</v>
      </c>
      <c r="E12587" t="str">
        <f t="shared" si="2458"/>
        <v>1</v>
      </c>
      <c r="F12587" t="str">
        <f t="shared" si="2462"/>
        <v>COM</v>
      </c>
      <c r="G12587" t="str">
        <f>"LUAN DOS REIS SILVA (954)"</f>
        <v>LUAN DOS REIS SILVA (954)</v>
      </c>
      <c r="H12587" t="s">
        <v>3404</v>
      </c>
      <c r="I12587" t="str">
        <f t="shared" si="2459"/>
        <v>25/11/2025</v>
      </c>
      <c r="J12587" t="str">
        <f>("24/11/2025")</f>
        <v>24/11/2025</v>
      </c>
      <c r="K12587">
        <v>45986</v>
      </c>
      <c r="N12587">
        <v>109</v>
      </c>
      <c r="O12587" t="s">
        <v>24</v>
      </c>
      <c r="Q12587">
        <v>83.32</v>
      </c>
      <c r="R12587" t="str">
        <f>"PENSE FARMA 13 (10202)"</f>
        <v>PENSE FARMA 13 (10202)</v>
      </c>
      <c r="S12587" t="s">
        <v>22</v>
      </c>
      <c r="T12587">
        <v>22475</v>
      </c>
      <c r="U12587">
        <v>26165</v>
      </c>
      <c r="V12587" t="s">
        <v>22</v>
      </c>
    </row>
    <row r="12588" spans="1:22">
      <c r="A12588" t="str">
        <f t="shared" ref="A12588:A12619" si="2463">("25/11/2025")</f>
        <v>25/11/2025</v>
      </c>
      <c r="B12588" t="str">
        <f t="shared" si="2461"/>
        <v>SAÍDA</v>
      </c>
      <c r="C12588" t="str">
        <f t="shared" ref="C12588:C12613" si="2464">"PIX"</f>
        <v>PIX</v>
      </c>
      <c r="D12588" t="str">
        <f>"26062"</f>
        <v>26062</v>
      </c>
      <c r="E12588" t="str">
        <f t="shared" ref="E12588:E12621" si="2465">"1"</f>
        <v>1</v>
      </c>
      <c r="F12588" t="str">
        <f t="shared" si="2462"/>
        <v>COM</v>
      </c>
      <c r="G12588" t="str">
        <f>"LUAN DOS REIS SILVA (954)"</f>
        <v>LUAN DOS REIS SILVA (954)</v>
      </c>
      <c r="H12588" t="s">
        <v>3404</v>
      </c>
      <c r="I12588" t="str">
        <f t="shared" si="2459"/>
        <v>25/11/2025</v>
      </c>
      <c r="J12588" t="str">
        <f>("24/11/2025")</f>
        <v>24/11/2025</v>
      </c>
      <c r="K12588">
        <v>45986</v>
      </c>
      <c r="N12588">
        <v>109</v>
      </c>
      <c r="O12588" t="s">
        <v>24</v>
      </c>
      <c r="Q12588">
        <v>83.35</v>
      </c>
      <c r="R12588" t="str">
        <f>"PENSE FARMA 27 (10204)"</f>
        <v>PENSE FARMA 27 (10204)</v>
      </c>
      <c r="S12588" t="s">
        <v>22</v>
      </c>
      <c r="T12588">
        <v>22475</v>
      </c>
      <c r="U12588">
        <v>26165</v>
      </c>
      <c r="V12588" t="s">
        <v>22</v>
      </c>
    </row>
    <row r="12589" spans="1:22">
      <c r="A12589" t="str">
        <f t="shared" si="2463"/>
        <v>25/11/2025</v>
      </c>
      <c r="B12589" t="str">
        <f t="shared" si="2461"/>
        <v>SAÍDA</v>
      </c>
      <c r="C12589" t="str">
        <f t="shared" si="2464"/>
        <v>PIX</v>
      </c>
      <c r="D12589" t="str">
        <f>"26230"</f>
        <v>26230</v>
      </c>
      <c r="E12589" t="str">
        <f t="shared" si="2465"/>
        <v>1</v>
      </c>
      <c r="F12589" t="str">
        <f t="shared" si="2462"/>
        <v>COM</v>
      </c>
      <c r="G12589" t="str">
        <f>"LUCAS RODRIGO LAGE ARRUDA (1052)"</f>
        <v>LUCAS RODRIGO LAGE ARRUDA (1052)</v>
      </c>
      <c r="H12589" t="str">
        <f>"Serv.Prest. 17/11/2025 a 23/11/2025 - PIX: CELULAR - CHAVE: (31) 99607-6585"</f>
        <v>Serv.Prest. 17/11/2025 a 23/11/2025 - PIX: CELULAR - CHAVE: (31) 99607-6585</v>
      </c>
      <c r="I12589" t="str">
        <f t="shared" si="2459"/>
        <v>25/11/2025</v>
      </c>
      <c r="J12589" t="str">
        <f>("25/11/2025")</f>
        <v>25/11/2025</v>
      </c>
      <c r="K12589" t="str">
        <f>("25/11/2025")</f>
        <v>25/11/2025</v>
      </c>
      <c r="L12589">
        <v>360</v>
      </c>
      <c r="M12589">
        <v>360</v>
      </c>
      <c r="N12589">
        <v>134</v>
      </c>
      <c r="O12589" t="str">
        <f>"DIARIA DE MOTOBOY"</f>
        <v>DIARIA DE MOTOBOY</v>
      </c>
      <c r="P12589">
        <v>360</v>
      </c>
      <c r="S12589" t="str">
        <f>"BANCO CORA (102)"</f>
        <v>BANCO CORA (102)</v>
      </c>
      <c r="T12589">
        <v>22476</v>
      </c>
      <c r="U12589">
        <v>26230</v>
      </c>
      <c r="V12589" t="s">
        <v>22</v>
      </c>
    </row>
    <row r="12590" spans="1:22">
      <c r="A12590" t="str">
        <f t="shared" si="2463"/>
        <v>25/11/2025</v>
      </c>
      <c r="B12590" t="str">
        <f t="shared" si="2461"/>
        <v>SAÍDA</v>
      </c>
      <c r="C12590" t="str">
        <f t="shared" si="2464"/>
        <v>PIX</v>
      </c>
      <c r="D12590" t="str">
        <f>"26230"</f>
        <v>26230</v>
      </c>
      <c r="E12590" t="str">
        <f t="shared" si="2465"/>
        <v>1</v>
      </c>
      <c r="F12590" t="str">
        <f t="shared" si="2462"/>
        <v>COM</v>
      </c>
      <c r="G12590" t="str">
        <f>"LUCAS RODRIGO LAGE ARRUDA (1052)"</f>
        <v>LUCAS RODRIGO LAGE ARRUDA (1052)</v>
      </c>
      <c r="H12590" t="s">
        <v>3405</v>
      </c>
      <c r="I12590" t="str">
        <f t="shared" si="2459"/>
        <v>25/11/2025</v>
      </c>
      <c r="J12590" t="str">
        <f>("25/11/2025")</f>
        <v>25/11/2025</v>
      </c>
      <c r="K12590">
        <v>45986</v>
      </c>
      <c r="N12590">
        <v>134</v>
      </c>
      <c r="O12590" t="s">
        <v>41</v>
      </c>
      <c r="Q12590">
        <v>360</v>
      </c>
      <c r="R12590" t="str">
        <f>"FARMÁCIA INDIANA LJ 101 (10043)"</f>
        <v>FARMÁCIA INDIANA LJ 101 (10043)</v>
      </c>
      <c r="S12590" t="s">
        <v>22</v>
      </c>
      <c r="T12590">
        <v>22476</v>
      </c>
      <c r="U12590">
        <v>26230</v>
      </c>
      <c r="V12590" t="s">
        <v>22</v>
      </c>
    </row>
    <row r="12591" spans="1:22">
      <c r="A12591" t="str">
        <f t="shared" si="2463"/>
        <v>25/11/2025</v>
      </c>
      <c r="B12591" t="str">
        <f t="shared" si="2461"/>
        <v>SAÍDA</v>
      </c>
      <c r="C12591" t="str">
        <f t="shared" si="2464"/>
        <v>PIX</v>
      </c>
      <c r="D12591" t="str">
        <f>"26104"</f>
        <v>26104</v>
      </c>
      <c r="E12591" t="str">
        <f t="shared" si="2465"/>
        <v>1</v>
      </c>
      <c r="F12591" t="str">
        <f t="shared" si="2462"/>
        <v>COM</v>
      </c>
      <c r="G12591" t="str">
        <f>"LUCAS SANTOS PEREIRA (1101)"</f>
        <v>LUCAS SANTOS PEREIRA (1101)</v>
      </c>
      <c r="H12591" t="str">
        <f>"Serv.Prest. 17/11/2025 a 23/11/2025 - PIX: CELULAR - CHAVE: (11) 95460-2535"</f>
        <v>Serv.Prest. 17/11/2025 a 23/11/2025 - PIX: CELULAR - CHAVE: (11) 95460-2535</v>
      </c>
      <c r="I12591" t="str">
        <f t="shared" si="2459"/>
        <v>25/11/2025</v>
      </c>
      <c r="J12591" t="str">
        <f t="shared" ref="J12591:J12596" si="2466">("24/11/2025")</f>
        <v>24/11/2025</v>
      </c>
      <c r="K12591" t="str">
        <f>("25/11/2025")</f>
        <v>25/11/2025</v>
      </c>
      <c r="L12591">
        <v>200</v>
      </c>
      <c r="M12591">
        <v>200</v>
      </c>
      <c r="N12591">
        <v>134</v>
      </c>
      <c r="O12591" t="str">
        <f>"DIARIA DE MOTOBOY"</f>
        <v>DIARIA DE MOTOBOY</v>
      </c>
      <c r="P12591">
        <v>200</v>
      </c>
      <c r="S12591" t="str">
        <f>"BANCO CORA (102)"</f>
        <v>BANCO CORA (102)</v>
      </c>
      <c r="T12591">
        <v>22477</v>
      </c>
      <c r="U12591">
        <v>26336</v>
      </c>
      <c r="V12591" t="s">
        <v>22</v>
      </c>
    </row>
    <row r="12592" spans="1:22">
      <c r="A12592" t="str">
        <f t="shared" si="2463"/>
        <v>25/11/2025</v>
      </c>
      <c r="B12592" t="str">
        <f t="shared" si="2461"/>
        <v>SAÍDA</v>
      </c>
      <c r="C12592" t="str">
        <f t="shared" si="2464"/>
        <v>PIX</v>
      </c>
      <c r="D12592" t="str">
        <f>"26104"</f>
        <v>26104</v>
      </c>
      <c r="E12592" t="str">
        <f t="shared" si="2465"/>
        <v>1</v>
      </c>
      <c r="F12592" t="str">
        <f t="shared" si="2462"/>
        <v>COM</v>
      </c>
      <c r="G12592" t="str">
        <f>"LUCAS SANTOS PEREIRA (1101)"</f>
        <v>LUCAS SANTOS PEREIRA (1101)</v>
      </c>
      <c r="H12592" t="s">
        <v>3143</v>
      </c>
      <c r="I12592" t="str">
        <f t="shared" si="2459"/>
        <v>25/11/2025</v>
      </c>
      <c r="J12592" t="str">
        <f t="shared" si="2466"/>
        <v>24/11/2025</v>
      </c>
      <c r="K12592">
        <v>45986</v>
      </c>
      <c r="N12592">
        <v>134</v>
      </c>
      <c r="O12592" t="s">
        <v>41</v>
      </c>
      <c r="Q12592">
        <v>200</v>
      </c>
      <c r="R12592" t="str">
        <f>"PENSE FARMA 15 (10195)"</f>
        <v>PENSE FARMA 15 (10195)</v>
      </c>
      <c r="S12592" t="s">
        <v>22</v>
      </c>
      <c r="T12592">
        <v>22477</v>
      </c>
      <c r="U12592">
        <v>26336</v>
      </c>
      <c r="V12592" t="s">
        <v>22</v>
      </c>
    </row>
    <row r="12593" spans="1:22">
      <c r="A12593" t="str">
        <f t="shared" si="2463"/>
        <v>25/11/2025</v>
      </c>
      <c r="B12593" t="str">
        <f t="shared" si="2461"/>
        <v>SAÍDA</v>
      </c>
      <c r="C12593" t="str">
        <f t="shared" si="2464"/>
        <v>PIX</v>
      </c>
      <c r="D12593" t="str">
        <f>"26007"</f>
        <v>26007</v>
      </c>
      <c r="E12593" t="str">
        <f t="shared" si="2465"/>
        <v>1</v>
      </c>
      <c r="F12593" t="str">
        <f t="shared" si="2462"/>
        <v>COM</v>
      </c>
      <c r="G12593" t="str">
        <f>"MARCELO YURI DE SOUZA GONCALVES (1089)"</f>
        <v>MARCELO YURI DE SOUZA GONCALVES (1089)</v>
      </c>
      <c r="H12593" t="str">
        <f>"Serv.Prest. 17/11/2025 a 23/11/2025 - PIX: CELULAR - CHAVE: (11) 93081-1308"</f>
        <v>Serv.Prest. 17/11/2025 a 23/11/2025 - PIX: CELULAR - CHAVE: (11) 93081-1308</v>
      </c>
      <c r="I12593" t="str">
        <f t="shared" si="2459"/>
        <v>25/11/2025</v>
      </c>
      <c r="J12593" t="str">
        <f t="shared" si="2466"/>
        <v>24/11/2025</v>
      </c>
      <c r="K12593" t="str">
        <f>("25/11/2025")</f>
        <v>25/11/2025</v>
      </c>
      <c r="L12593">
        <v>250</v>
      </c>
      <c r="M12593">
        <v>250</v>
      </c>
      <c r="N12593">
        <v>134</v>
      </c>
      <c r="O12593" t="str">
        <f>"DIARIA DE MOTOBOY"</f>
        <v>DIARIA DE MOTOBOY</v>
      </c>
      <c r="P12593">
        <v>250</v>
      </c>
      <c r="S12593" t="str">
        <f>"BANCO CORA (102)"</f>
        <v>BANCO CORA (102)</v>
      </c>
      <c r="T12593">
        <v>22478</v>
      </c>
      <c r="U12593">
        <v>26007</v>
      </c>
      <c r="V12593" t="s">
        <v>22</v>
      </c>
    </row>
    <row r="12594" spans="1:22">
      <c r="A12594" t="str">
        <f t="shared" si="2463"/>
        <v>25/11/2025</v>
      </c>
      <c r="B12594" t="str">
        <f t="shared" si="2461"/>
        <v>SAÍDA</v>
      </c>
      <c r="C12594" t="str">
        <f t="shared" si="2464"/>
        <v>PIX</v>
      </c>
      <c r="D12594" t="str">
        <f>"26007"</f>
        <v>26007</v>
      </c>
      <c r="E12594" t="str">
        <f t="shared" si="2465"/>
        <v>1</v>
      </c>
      <c r="F12594" t="str">
        <f t="shared" si="2462"/>
        <v>COM</v>
      </c>
      <c r="G12594" t="str">
        <f>"MARCELO YURI DE SOUZA GONCALVES (1089)"</f>
        <v>MARCELO YURI DE SOUZA GONCALVES (1089)</v>
      </c>
      <c r="H12594" t="s">
        <v>3406</v>
      </c>
      <c r="I12594" t="str">
        <f t="shared" si="2459"/>
        <v>25/11/2025</v>
      </c>
      <c r="J12594" t="str">
        <f t="shared" si="2466"/>
        <v>24/11/2025</v>
      </c>
      <c r="K12594">
        <v>45986</v>
      </c>
      <c r="N12594">
        <v>134</v>
      </c>
      <c r="O12594" t="s">
        <v>41</v>
      </c>
      <c r="Q12594">
        <v>250</v>
      </c>
      <c r="R12594" t="str">
        <f>"PENSE FARMA 19 (10223)"</f>
        <v>PENSE FARMA 19 (10223)</v>
      </c>
      <c r="S12594" t="s">
        <v>22</v>
      </c>
      <c r="T12594">
        <v>22478</v>
      </c>
      <c r="U12594">
        <v>26007</v>
      </c>
      <c r="V12594" t="s">
        <v>22</v>
      </c>
    </row>
    <row r="12595" spans="1:22">
      <c r="A12595" t="str">
        <f t="shared" si="2463"/>
        <v>25/11/2025</v>
      </c>
      <c r="B12595" t="str">
        <f t="shared" si="2461"/>
        <v>SAÍDA</v>
      </c>
      <c r="C12595" t="str">
        <f t="shared" si="2464"/>
        <v>PIX</v>
      </c>
      <c r="D12595" t="str">
        <f>"26023"</f>
        <v>26023</v>
      </c>
      <c r="E12595" t="str">
        <f t="shared" si="2465"/>
        <v>1</v>
      </c>
      <c r="F12595" t="str">
        <f t="shared" si="2462"/>
        <v>COM</v>
      </c>
      <c r="G12595" t="str">
        <f>"MATEUS VIEIRA DE SOUZA (1019)"</f>
        <v>MATEUS VIEIRA DE SOUZA (1019)</v>
      </c>
      <c r="H12595" t="str">
        <f>"Serv.Prest. 17/11/2025 a 23/11/2025 - PIX: CELULAR - CHAVE: (11) 97702-1316"</f>
        <v>Serv.Prest. 17/11/2025 a 23/11/2025 - PIX: CELULAR - CHAVE: (11) 97702-1316</v>
      </c>
      <c r="I12595" t="str">
        <f t="shared" si="2459"/>
        <v>25/11/2025</v>
      </c>
      <c r="J12595" t="str">
        <f t="shared" si="2466"/>
        <v>24/11/2025</v>
      </c>
      <c r="K12595" t="str">
        <f>("25/11/2025")</f>
        <v>25/11/2025</v>
      </c>
      <c r="L12595">
        <v>250</v>
      </c>
      <c r="M12595">
        <v>250</v>
      </c>
      <c r="N12595">
        <v>109</v>
      </c>
      <c r="O12595" t="str">
        <f>"PAGAMENTO DE ENTREGADORES"</f>
        <v>PAGAMENTO DE ENTREGADORES</v>
      </c>
      <c r="P12595">
        <v>250</v>
      </c>
      <c r="S12595" t="str">
        <f>"BANCO CORA (102)"</f>
        <v>BANCO CORA (102)</v>
      </c>
      <c r="T12595">
        <v>22479</v>
      </c>
      <c r="U12595">
        <v>26168</v>
      </c>
      <c r="V12595" t="s">
        <v>22</v>
      </c>
    </row>
    <row r="12596" spans="1:22">
      <c r="A12596" t="str">
        <f t="shared" si="2463"/>
        <v>25/11/2025</v>
      </c>
      <c r="B12596" t="str">
        <f t="shared" si="2461"/>
        <v>SAÍDA</v>
      </c>
      <c r="C12596" t="str">
        <f t="shared" si="2464"/>
        <v>PIX</v>
      </c>
      <c r="D12596" t="str">
        <f>"26023"</f>
        <v>26023</v>
      </c>
      <c r="E12596" t="str">
        <f t="shared" si="2465"/>
        <v>1</v>
      </c>
      <c r="F12596" t="str">
        <f t="shared" si="2462"/>
        <v>COM</v>
      </c>
      <c r="G12596" t="str">
        <f>"MATEUS VIEIRA DE SOUZA (1019)"</f>
        <v>MATEUS VIEIRA DE SOUZA (1019)</v>
      </c>
      <c r="H12596" t="s">
        <v>3407</v>
      </c>
      <c r="I12596" t="str">
        <f t="shared" si="2459"/>
        <v>25/11/2025</v>
      </c>
      <c r="J12596" t="str">
        <f t="shared" si="2466"/>
        <v>24/11/2025</v>
      </c>
      <c r="K12596">
        <v>45986</v>
      </c>
      <c r="N12596">
        <v>109</v>
      </c>
      <c r="O12596" t="s">
        <v>24</v>
      </c>
      <c r="Q12596">
        <v>250</v>
      </c>
      <c r="R12596" t="str">
        <f>"PENSE FARMA 47 (10232)"</f>
        <v>PENSE FARMA 47 (10232)</v>
      </c>
      <c r="S12596" t="s">
        <v>22</v>
      </c>
      <c r="T12596">
        <v>22479</v>
      </c>
      <c r="U12596">
        <v>26168</v>
      </c>
      <c r="V12596" t="s">
        <v>22</v>
      </c>
    </row>
    <row r="12597" spans="1:22">
      <c r="A12597" t="str">
        <f t="shared" si="2463"/>
        <v>25/11/2025</v>
      </c>
      <c r="B12597" t="str">
        <f t="shared" si="2461"/>
        <v>SAÍDA</v>
      </c>
      <c r="C12597" t="str">
        <f t="shared" si="2464"/>
        <v>PIX</v>
      </c>
      <c r="D12597" t="str">
        <f>"26243"</f>
        <v>26243</v>
      </c>
      <c r="E12597" t="str">
        <f t="shared" si="2465"/>
        <v>1</v>
      </c>
      <c r="F12597" t="str">
        <f t="shared" si="2462"/>
        <v>COM</v>
      </c>
      <c r="G12597" t="str">
        <f>"MURILO BARRETO AFONSO (30)"</f>
        <v>MURILO BARRETO AFONSO (30)</v>
      </c>
      <c r="H12597" t="str">
        <f>"Serv.Prest. 17/11/2025 a 23/11/2025 - PIX: CPF - CHAVE: 123.020.026-60"</f>
        <v>Serv.Prest. 17/11/2025 a 23/11/2025 - PIX: CPF - CHAVE: 123.020.026-60</v>
      </c>
      <c r="I12597" t="str">
        <f t="shared" si="2459"/>
        <v>25/11/2025</v>
      </c>
      <c r="J12597" t="str">
        <f>("25/11/2025")</f>
        <v>25/11/2025</v>
      </c>
      <c r="K12597" t="str">
        <f>("25/11/2025")</f>
        <v>25/11/2025</v>
      </c>
      <c r="L12597">
        <v>170</v>
      </c>
      <c r="M12597">
        <v>170</v>
      </c>
      <c r="N12597">
        <v>109</v>
      </c>
      <c r="O12597" t="str">
        <f>"PAGAMENTO DE ENTREGADORES"</f>
        <v>PAGAMENTO DE ENTREGADORES</v>
      </c>
      <c r="P12597">
        <v>170</v>
      </c>
      <c r="S12597" t="str">
        <f>"BANCO CORA (102)"</f>
        <v>BANCO CORA (102)</v>
      </c>
      <c r="T12597">
        <v>22480</v>
      </c>
      <c r="U12597">
        <v>26321</v>
      </c>
      <c r="V12597" t="s">
        <v>22</v>
      </c>
    </row>
    <row r="12598" spans="1:22">
      <c r="A12598" t="str">
        <f t="shared" si="2463"/>
        <v>25/11/2025</v>
      </c>
      <c r="B12598" t="str">
        <f t="shared" si="2461"/>
        <v>SAÍDA</v>
      </c>
      <c r="C12598" t="str">
        <f t="shared" si="2464"/>
        <v>PIX</v>
      </c>
      <c r="D12598" t="str">
        <f>"26243"</f>
        <v>26243</v>
      </c>
      <c r="E12598" t="str">
        <f t="shared" si="2465"/>
        <v>1</v>
      </c>
      <c r="F12598" t="str">
        <f t="shared" si="2462"/>
        <v>COM</v>
      </c>
      <c r="G12598" t="str">
        <f>"MURILO BARRETO AFONSO (30)"</f>
        <v>MURILO BARRETO AFONSO (30)</v>
      </c>
      <c r="H12598" t="s">
        <v>3408</v>
      </c>
      <c r="I12598" t="str">
        <f t="shared" si="2459"/>
        <v>25/11/2025</v>
      </c>
      <c r="J12598" t="str">
        <f>("25/11/2025")</f>
        <v>25/11/2025</v>
      </c>
      <c r="K12598">
        <v>45986</v>
      </c>
      <c r="N12598">
        <v>109</v>
      </c>
      <c r="O12598" t="s">
        <v>24</v>
      </c>
      <c r="Q12598">
        <v>86.7</v>
      </c>
      <c r="R12598" t="str">
        <f>"FARMÁCIA INDIANA LJ 118 (10052)"</f>
        <v>FARMÁCIA INDIANA LJ 118 (10052)</v>
      </c>
      <c r="S12598" t="s">
        <v>22</v>
      </c>
      <c r="T12598">
        <v>22480</v>
      </c>
      <c r="U12598">
        <v>26321</v>
      </c>
      <c r="V12598" t="s">
        <v>22</v>
      </c>
    </row>
    <row r="12599" spans="1:22">
      <c r="A12599" t="str">
        <f t="shared" si="2463"/>
        <v>25/11/2025</v>
      </c>
      <c r="B12599" t="str">
        <f t="shared" si="2461"/>
        <v>SAÍDA</v>
      </c>
      <c r="C12599" t="str">
        <f t="shared" si="2464"/>
        <v>PIX</v>
      </c>
      <c r="D12599" t="str">
        <f>"26243"</f>
        <v>26243</v>
      </c>
      <c r="E12599" t="str">
        <f t="shared" si="2465"/>
        <v>1</v>
      </c>
      <c r="F12599" t="str">
        <f t="shared" si="2462"/>
        <v>COM</v>
      </c>
      <c r="G12599" t="str">
        <f>"MURILO BARRETO AFONSO (30)"</f>
        <v>MURILO BARRETO AFONSO (30)</v>
      </c>
      <c r="H12599" t="s">
        <v>3408</v>
      </c>
      <c r="I12599" t="str">
        <f t="shared" si="2459"/>
        <v>25/11/2025</v>
      </c>
      <c r="J12599" t="str">
        <f>("25/11/2025")</f>
        <v>25/11/2025</v>
      </c>
      <c r="K12599">
        <v>45986</v>
      </c>
      <c r="N12599">
        <v>109</v>
      </c>
      <c r="O12599" t="s">
        <v>24</v>
      </c>
      <c r="Q12599">
        <v>83.3</v>
      </c>
      <c r="R12599" t="str">
        <f>"FARMÁCIA INDIANA LJ 192 (10082)"</f>
        <v>FARMÁCIA INDIANA LJ 192 (10082)</v>
      </c>
      <c r="S12599" t="s">
        <v>22</v>
      </c>
      <c r="T12599">
        <v>22480</v>
      </c>
      <c r="U12599">
        <v>26321</v>
      </c>
      <c r="V12599" t="s">
        <v>22</v>
      </c>
    </row>
    <row r="12600" spans="1:22">
      <c r="A12600" t="str">
        <f t="shared" si="2463"/>
        <v>25/11/2025</v>
      </c>
      <c r="B12600" t="str">
        <f t="shared" si="2461"/>
        <v>SAÍDA</v>
      </c>
      <c r="C12600" t="str">
        <f t="shared" si="2464"/>
        <v>PIX</v>
      </c>
      <c r="D12600" t="str">
        <f>"26253"</f>
        <v>26253</v>
      </c>
      <c r="E12600" t="str">
        <f t="shared" si="2465"/>
        <v>1</v>
      </c>
      <c r="F12600" t="str">
        <f t="shared" si="2462"/>
        <v>COM</v>
      </c>
      <c r="G12600" t="str">
        <f>"RENATO DE SOUZA HADDAD (1059)"</f>
        <v>RENATO DE SOUZA HADDAD (1059)</v>
      </c>
      <c r="H12600" t="str">
        <f>"Serv.Prest. 17/11/2025 a 23/11/2025 - PIX: CELULAR - CHAVE: (32) 98703-8039"</f>
        <v>Serv.Prest. 17/11/2025 a 23/11/2025 - PIX: CELULAR - CHAVE: (32) 98703-8039</v>
      </c>
      <c r="I12600" t="str">
        <f t="shared" si="2459"/>
        <v>25/11/2025</v>
      </c>
      <c r="J12600" t="str">
        <f>("25/11/2025")</f>
        <v>25/11/2025</v>
      </c>
      <c r="K12600" t="str">
        <f>("25/11/2025")</f>
        <v>25/11/2025</v>
      </c>
      <c r="L12600">
        <v>120.02</v>
      </c>
      <c r="M12600">
        <v>120</v>
      </c>
      <c r="N12600">
        <v>134</v>
      </c>
      <c r="O12600" t="str">
        <f>"DIARIA DE MOTOBOY"</f>
        <v>DIARIA DE MOTOBOY</v>
      </c>
      <c r="P12600">
        <v>120</v>
      </c>
      <c r="S12600" t="str">
        <f>"BANCO CORA (102)"</f>
        <v>BANCO CORA (102)</v>
      </c>
      <c r="T12600">
        <v>22481</v>
      </c>
      <c r="U12600">
        <v>26253</v>
      </c>
      <c r="V12600" t="s">
        <v>22</v>
      </c>
    </row>
    <row r="12601" spans="1:22">
      <c r="A12601" t="str">
        <f t="shared" si="2463"/>
        <v>25/11/2025</v>
      </c>
      <c r="B12601" t="str">
        <f t="shared" si="2461"/>
        <v>SAÍDA</v>
      </c>
      <c r="C12601" t="str">
        <f t="shared" si="2464"/>
        <v>PIX</v>
      </c>
      <c r="D12601" t="str">
        <f>"26253"</f>
        <v>26253</v>
      </c>
      <c r="E12601" t="str">
        <f t="shared" si="2465"/>
        <v>1</v>
      </c>
      <c r="F12601" t="str">
        <f t="shared" si="2462"/>
        <v>COM</v>
      </c>
      <c r="G12601" t="str">
        <f>"RENATO DE SOUZA HADDAD (1059)"</f>
        <v>RENATO DE SOUZA HADDAD (1059)</v>
      </c>
      <c r="H12601" t="s">
        <v>3409</v>
      </c>
      <c r="I12601" t="str">
        <f t="shared" si="2459"/>
        <v>25/11/2025</v>
      </c>
      <c r="J12601" t="str">
        <f>("25/11/2025")</f>
        <v>25/11/2025</v>
      </c>
      <c r="K12601">
        <v>45986</v>
      </c>
      <c r="N12601">
        <v>134</v>
      </c>
      <c r="O12601" t="s">
        <v>41</v>
      </c>
      <c r="Q12601">
        <v>120</v>
      </c>
      <c r="R12601" t="str">
        <f>"FARMÁCIA INDIANA LJ 219 (10091)"</f>
        <v>FARMÁCIA INDIANA LJ 219 (10091)</v>
      </c>
      <c r="S12601" t="s">
        <v>22</v>
      </c>
      <c r="T12601">
        <v>22481</v>
      </c>
      <c r="U12601">
        <v>26253</v>
      </c>
      <c r="V12601" t="s">
        <v>22</v>
      </c>
    </row>
    <row r="12602" spans="1:22">
      <c r="A12602" t="str">
        <f t="shared" si="2463"/>
        <v>25/11/2025</v>
      </c>
      <c r="B12602" t="str">
        <f t="shared" si="2461"/>
        <v>SAÍDA</v>
      </c>
      <c r="C12602" t="str">
        <f t="shared" si="2464"/>
        <v>PIX</v>
      </c>
      <c r="D12602" t="str">
        <f>"26060"</f>
        <v>26060</v>
      </c>
      <c r="E12602" t="str">
        <f t="shared" si="2465"/>
        <v>1</v>
      </c>
      <c r="F12602" t="str">
        <f t="shared" si="2462"/>
        <v>COM</v>
      </c>
      <c r="G12602" t="str">
        <f>"RODOLFO RAFAEL BALSI LIMA (1077)"</f>
        <v>RODOLFO RAFAEL BALSI LIMA (1077)</v>
      </c>
      <c r="H12602" t="str">
        <f>"Serv.Prest. 17/11/2025 a 23/11/2025 - PIX: CELULAR - CHAVE: (11) 99239-3232"</f>
        <v>Serv.Prest. 17/11/2025 a 23/11/2025 - PIX: CELULAR - CHAVE: (11) 99239-3232</v>
      </c>
      <c r="I12602" t="str">
        <f t="shared" si="2459"/>
        <v>25/11/2025</v>
      </c>
      <c r="J12602" t="str">
        <f t="shared" ref="J12602:J12609" si="2467">("24/11/2025")</f>
        <v>24/11/2025</v>
      </c>
      <c r="K12602" t="str">
        <f>("25/11/2025")</f>
        <v>25/11/2025</v>
      </c>
      <c r="L12602">
        <v>250</v>
      </c>
      <c r="M12602">
        <v>250</v>
      </c>
      <c r="N12602">
        <v>134</v>
      </c>
      <c r="O12602" t="str">
        <f>"DIARIA DE MOTOBOY"</f>
        <v>DIARIA DE MOTOBOY</v>
      </c>
      <c r="P12602">
        <v>250</v>
      </c>
      <c r="S12602" t="str">
        <f>"BANCO CORA (102)"</f>
        <v>BANCO CORA (102)</v>
      </c>
      <c r="T12602">
        <v>22482</v>
      </c>
      <c r="U12602">
        <v>26060</v>
      </c>
      <c r="V12602" t="s">
        <v>22</v>
      </c>
    </row>
    <row r="12603" spans="1:22">
      <c r="A12603" t="str">
        <f t="shared" si="2463"/>
        <v>25/11/2025</v>
      </c>
      <c r="B12603" t="str">
        <f t="shared" si="2461"/>
        <v>SAÍDA</v>
      </c>
      <c r="C12603" t="str">
        <f t="shared" si="2464"/>
        <v>PIX</v>
      </c>
      <c r="D12603" t="str">
        <f>"26060"</f>
        <v>26060</v>
      </c>
      <c r="E12603" t="str">
        <f t="shared" si="2465"/>
        <v>1</v>
      </c>
      <c r="F12603" t="str">
        <f t="shared" si="2462"/>
        <v>COM</v>
      </c>
      <c r="G12603" t="str">
        <f>"RODOLFO RAFAEL BALSI LIMA (1077)"</f>
        <v>RODOLFO RAFAEL BALSI LIMA (1077)</v>
      </c>
      <c r="H12603" t="s">
        <v>3410</v>
      </c>
      <c r="I12603" t="str">
        <f t="shared" si="2459"/>
        <v>25/11/2025</v>
      </c>
      <c r="J12603" t="str">
        <f t="shared" si="2467"/>
        <v>24/11/2025</v>
      </c>
      <c r="K12603">
        <v>45986</v>
      </c>
      <c r="N12603">
        <v>134</v>
      </c>
      <c r="O12603" t="s">
        <v>41</v>
      </c>
      <c r="Q12603">
        <v>250</v>
      </c>
      <c r="R12603" t="str">
        <f>"PENSE FARMA 36 (10206)"</f>
        <v>PENSE FARMA 36 (10206)</v>
      </c>
      <c r="S12603" t="s">
        <v>22</v>
      </c>
      <c r="T12603">
        <v>22482</v>
      </c>
      <c r="U12603">
        <v>26060</v>
      </c>
      <c r="V12603" t="s">
        <v>22</v>
      </c>
    </row>
    <row r="12604" spans="1:22">
      <c r="A12604" t="str">
        <f t="shared" si="2463"/>
        <v>25/11/2025</v>
      </c>
      <c r="B12604" t="str">
        <f t="shared" si="2461"/>
        <v>SAÍDA</v>
      </c>
      <c r="C12604" t="str">
        <f t="shared" si="2464"/>
        <v>PIX</v>
      </c>
      <c r="D12604" t="str">
        <f>"25974"</f>
        <v>25974</v>
      </c>
      <c r="E12604" t="str">
        <f t="shared" si="2465"/>
        <v>1</v>
      </c>
      <c r="F12604" t="str">
        <f t="shared" si="2462"/>
        <v>COM</v>
      </c>
      <c r="G12604" t="str">
        <f>"SAMUEL SOARES DA SILVA (867)"</f>
        <v>SAMUEL SOARES DA SILVA (867)</v>
      </c>
      <c r="H12604" t="str">
        <f>"Serv.Prest. 17/11/2025 a 23/11/2025 - PIX: CPF - CHAVE: 396.124.108-28"</f>
        <v>Serv.Prest. 17/11/2025 a 23/11/2025 - PIX: CPF - CHAVE: 396.124.108-28</v>
      </c>
      <c r="I12604" t="str">
        <f t="shared" si="2459"/>
        <v>25/11/2025</v>
      </c>
      <c r="J12604" t="str">
        <f t="shared" si="2467"/>
        <v>24/11/2025</v>
      </c>
      <c r="K12604" t="str">
        <f>("25/11/2025")</f>
        <v>25/11/2025</v>
      </c>
      <c r="L12604">
        <v>150</v>
      </c>
      <c r="M12604">
        <v>150</v>
      </c>
      <c r="N12604">
        <v>109</v>
      </c>
      <c r="O12604" t="str">
        <f>"PAGAMENTO DE ENTREGADORES"</f>
        <v>PAGAMENTO DE ENTREGADORES</v>
      </c>
      <c r="P12604">
        <v>150</v>
      </c>
      <c r="S12604" t="str">
        <f>"BANCO CORA (102)"</f>
        <v>BANCO CORA (102)</v>
      </c>
      <c r="T12604">
        <v>22483</v>
      </c>
      <c r="U12604">
        <v>26323</v>
      </c>
      <c r="V12604" t="s">
        <v>22</v>
      </c>
    </row>
    <row r="12605" spans="1:22">
      <c r="A12605" t="str">
        <f t="shared" si="2463"/>
        <v>25/11/2025</v>
      </c>
      <c r="B12605" t="str">
        <f t="shared" si="2461"/>
        <v>SAÍDA</v>
      </c>
      <c r="C12605" t="str">
        <f t="shared" si="2464"/>
        <v>PIX</v>
      </c>
      <c r="D12605" t="str">
        <f>"25974"</f>
        <v>25974</v>
      </c>
      <c r="E12605" t="str">
        <f t="shared" si="2465"/>
        <v>1</v>
      </c>
      <c r="F12605" t="str">
        <f t="shared" si="2462"/>
        <v>COM</v>
      </c>
      <c r="G12605" t="str">
        <f>"SAMUEL SOARES DA SILVA (867)"</f>
        <v>SAMUEL SOARES DA SILVA (867)</v>
      </c>
      <c r="H12605" t="s">
        <v>3411</v>
      </c>
      <c r="I12605" t="str">
        <f t="shared" si="2459"/>
        <v>25/11/2025</v>
      </c>
      <c r="J12605" t="str">
        <f t="shared" si="2467"/>
        <v>24/11/2025</v>
      </c>
      <c r="K12605">
        <v>45986</v>
      </c>
      <c r="N12605">
        <v>109</v>
      </c>
      <c r="O12605" t="s">
        <v>24</v>
      </c>
      <c r="Q12605">
        <v>150</v>
      </c>
      <c r="R12605" t="str">
        <f>"DROGA ELIDA (10121)"</f>
        <v>DROGA ELIDA (10121)</v>
      </c>
      <c r="S12605" t="s">
        <v>22</v>
      </c>
      <c r="T12605">
        <v>22483</v>
      </c>
      <c r="U12605">
        <v>26323</v>
      </c>
      <c r="V12605" t="s">
        <v>22</v>
      </c>
    </row>
    <row r="12606" spans="1:22">
      <c r="A12606" t="str">
        <f t="shared" si="2463"/>
        <v>25/11/2025</v>
      </c>
      <c r="B12606" t="str">
        <f t="shared" si="2461"/>
        <v>SAÍDA</v>
      </c>
      <c r="C12606" t="str">
        <f t="shared" si="2464"/>
        <v>PIX</v>
      </c>
      <c r="D12606" t="str">
        <f>"26034"</f>
        <v>26034</v>
      </c>
      <c r="E12606" t="str">
        <f t="shared" si="2465"/>
        <v>1</v>
      </c>
      <c r="F12606" t="str">
        <f t="shared" si="2462"/>
        <v>COM</v>
      </c>
      <c r="G12606" t="str">
        <f>"WESLEY JESUS SANTOS (1020)"</f>
        <v>WESLEY JESUS SANTOS (1020)</v>
      </c>
      <c r="H12606" t="str">
        <f>"Serv.Prest. 17/11/2025 a 23/11/2025 - PIX: CELULAR - CHAVE: (11) 91767-9056"</f>
        <v>Serv.Prest. 17/11/2025 a 23/11/2025 - PIX: CELULAR - CHAVE: (11) 91767-9056</v>
      </c>
      <c r="I12606" t="str">
        <f t="shared" si="2459"/>
        <v>25/11/2025</v>
      </c>
      <c r="J12606" t="str">
        <f t="shared" si="2467"/>
        <v>24/11/2025</v>
      </c>
      <c r="K12606" t="str">
        <f>("25/11/2025")</f>
        <v>25/11/2025</v>
      </c>
      <c r="L12606">
        <v>250</v>
      </c>
      <c r="M12606">
        <v>250</v>
      </c>
      <c r="N12606">
        <v>134</v>
      </c>
      <c r="O12606" t="str">
        <f>"DIARIA DE MOTOBOY"</f>
        <v>DIARIA DE MOTOBOY</v>
      </c>
      <c r="P12606">
        <v>250</v>
      </c>
      <c r="S12606" t="str">
        <f>"BANCO CORA (102)"</f>
        <v>BANCO CORA (102)</v>
      </c>
      <c r="T12606">
        <v>22484</v>
      </c>
      <c r="U12606">
        <v>26034</v>
      </c>
      <c r="V12606" t="s">
        <v>22</v>
      </c>
    </row>
    <row r="12607" spans="1:22">
      <c r="A12607" t="str">
        <f t="shared" si="2463"/>
        <v>25/11/2025</v>
      </c>
      <c r="B12607" t="str">
        <f t="shared" si="2461"/>
        <v>SAÍDA</v>
      </c>
      <c r="C12607" t="str">
        <f t="shared" si="2464"/>
        <v>PIX</v>
      </c>
      <c r="D12607" t="str">
        <f>"26034"</f>
        <v>26034</v>
      </c>
      <c r="E12607" t="str">
        <f t="shared" si="2465"/>
        <v>1</v>
      </c>
      <c r="F12607" t="str">
        <f t="shared" si="2462"/>
        <v>COM</v>
      </c>
      <c r="G12607" t="str">
        <f>"WESLEY JESUS SANTOS (1020)"</f>
        <v>WESLEY JESUS SANTOS (1020)</v>
      </c>
      <c r="H12607" t="s">
        <v>3412</v>
      </c>
      <c r="I12607" t="str">
        <f t="shared" si="2459"/>
        <v>25/11/2025</v>
      </c>
      <c r="J12607" t="str">
        <f t="shared" si="2467"/>
        <v>24/11/2025</v>
      </c>
      <c r="K12607">
        <v>45986</v>
      </c>
      <c r="N12607">
        <v>134</v>
      </c>
      <c r="O12607" t="s">
        <v>41</v>
      </c>
      <c r="Q12607">
        <v>250</v>
      </c>
      <c r="R12607" t="str">
        <f>"PENSE FARMA 09 (10218)"</f>
        <v>PENSE FARMA 09 (10218)</v>
      </c>
      <c r="S12607" t="s">
        <v>22</v>
      </c>
      <c r="T12607">
        <v>22484</v>
      </c>
      <c r="U12607">
        <v>26034</v>
      </c>
      <c r="V12607" t="s">
        <v>22</v>
      </c>
    </row>
    <row r="12608" spans="1:22">
      <c r="A12608" t="str">
        <f t="shared" si="2463"/>
        <v>25/11/2025</v>
      </c>
      <c r="B12608" t="str">
        <f t="shared" si="2461"/>
        <v>SAÍDA</v>
      </c>
      <c r="C12608" t="str">
        <f t="shared" si="2464"/>
        <v>PIX</v>
      </c>
      <c r="D12608" t="str">
        <f>"25112025"</f>
        <v>25112025</v>
      </c>
      <c r="E12608" t="str">
        <f t="shared" si="2465"/>
        <v>1</v>
      </c>
      <c r="F12608" t="str">
        <f t="shared" si="2462"/>
        <v>COM</v>
      </c>
      <c r="G12608" t="str">
        <f>"WILLIAM FERREIRA (900)"</f>
        <v>WILLIAM FERREIRA (900)</v>
      </c>
      <c r="H12608" t="str">
        <f>"DIARIA MOTOBOY CATAGUASES 23/11/2025 - PIX: CPF - CHAVE: 106.393.056-10"</f>
        <v>DIARIA MOTOBOY CATAGUASES 23/11/2025 - PIX: CPF - CHAVE: 106.393.056-10</v>
      </c>
      <c r="I12608" t="str">
        <f t="shared" si="2459"/>
        <v>25/11/2025</v>
      </c>
      <c r="J12608" t="str">
        <f t="shared" si="2467"/>
        <v>24/11/2025</v>
      </c>
      <c r="K12608" t="str">
        <f>("25/11/2025")</f>
        <v>25/11/2025</v>
      </c>
      <c r="L12608">
        <v>140</v>
      </c>
      <c r="M12608">
        <v>140</v>
      </c>
      <c r="N12608">
        <v>134</v>
      </c>
      <c r="O12608" t="str">
        <f>"DIARIA DE MOTOBOY"</f>
        <v>DIARIA DE MOTOBOY</v>
      </c>
      <c r="P12608">
        <v>140</v>
      </c>
      <c r="S12608" t="str">
        <f>"BANCO CORA (102)"</f>
        <v>BANCO CORA (102)</v>
      </c>
      <c r="T12608">
        <v>22485</v>
      </c>
      <c r="U12608">
        <v>26166</v>
      </c>
      <c r="V12608" t="s">
        <v>22</v>
      </c>
    </row>
    <row r="12609" spans="1:22">
      <c r="A12609" t="str">
        <f t="shared" si="2463"/>
        <v>25/11/2025</v>
      </c>
      <c r="B12609" t="str">
        <f t="shared" si="2461"/>
        <v>SAÍDA</v>
      </c>
      <c r="C12609" t="str">
        <f t="shared" si="2464"/>
        <v>PIX</v>
      </c>
      <c r="D12609" t="str">
        <f>"25112025"</f>
        <v>25112025</v>
      </c>
      <c r="E12609" t="str">
        <f t="shared" si="2465"/>
        <v>1</v>
      </c>
      <c r="F12609" t="str">
        <f t="shared" si="2462"/>
        <v>COM</v>
      </c>
      <c r="G12609" t="str">
        <f>"WILLIAM FERREIRA (900)"</f>
        <v>WILLIAM FERREIRA (900)</v>
      </c>
      <c r="H12609" t="s">
        <v>3413</v>
      </c>
      <c r="I12609" t="str">
        <f t="shared" si="2459"/>
        <v>25/11/2025</v>
      </c>
      <c r="J12609" t="str">
        <f t="shared" si="2467"/>
        <v>24/11/2025</v>
      </c>
      <c r="K12609">
        <v>45986</v>
      </c>
      <c r="N12609">
        <v>134</v>
      </c>
      <c r="O12609" t="s">
        <v>41</v>
      </c>
      <c r="Q12609">
        <v>140</v>
      </c>
      <c r="R12609" t="str">
        <f>"PAGMENOS - LJ 657 (10136)"</f>
        <v>PAGMENOS - LJ 657 (10136)</v>
      </c>
      <c r="S12609" t="s">
        <v>22</v>
      </c>
      <c r="T12609">
        <v>22485</v>
      </c>
      <c r="U12609">
        <v>26166</v>
      </c>
      <c r="V12609" t="s">
        <v>22</v>
      </c>
    </row>
    <row r="12610" spans="1:22">
      <c r="A12610" t="str">
        <f t="shared" si="2463"/>
        <v>25/11/2025</v>
      </c>
      <c r="B12610" t="str">
        <f t="shared" si="2461"/>
        <v>SAÍDA</v>
      </c>
      <c r="C12610" t="str">
        <f t="shared" si="2464"/>
        <v>PIX</v>
      </c>
      <c r="D12610" t="str">
        <f>"26306"</f>
        <v>26306</v>
      </c>
      <c r="E12610" t="str">
        <f t="shared" si="2465"/>
        <v>1</v>
      </c>
      <c r="F12610" t="str">
        <f t="shared" si="2462"/>
        <v>COM</v>
      </c>
      <c r="G12610" t="str">
        <f>"YAN BRENDO CORREIA VIEIRA (861)"</f>
        <v>YAN BRENDO CORREIA VIEIRA (861)</v>
      </c>
      <c r="H12610" t="str">
        <f>"Serv.Prest. 17/11/2025 a 23/11/2025 - PIX: CPF - CHAVE: 096.891.935-97"</f>
        <v>Serv.Prest. 17/11/2025 a 23/11/2025 - PIX: CPF - CHAVE: 096.891.935-97</v>
      </c>
      <c r="I12610" t="str">
        <f t="shared" si="2459"/>
        <v>25/11/2025</v>
      </c>
      <c r="J12610" t="str">
        <f>("25/11/2025")</f>
        <v>25/11/2025</v>
      </c>
      <c r="K12610" t="str">
        <f>("25/11/2025")</f>
        <v>25/11/2025</v>
      </c>
      <c r="L12610">
        <v>150</v>
      </c>
      <c r="M12610">
        <v>150</v>
      </c>
      <c r="N12610">
        <v>109</v>
      </c>
      <c r="O12610" t="str">
        <f>"PAGAMENTO DE ENTREGADORES"</f>
        <v>PAGAMENTO DE ENTREGADORES</v>
      </c>
      <c r="P12610">
        <v>150</v>
      </c>
      <c r="S12610" t="str">
        <f>"BANCO CORA (102)"</f>
        <v>BANCO CORA (102)</v>
      </c>
      <c r="T12610">
        <v>22486</v>
      </c>
      <c r="U12610">
        <v>26339</v>
      </c>
      <c r="V12610" t="s">
        <v>22</v>
      </c>
    </row>
    <row r="12611" spans="1:22">
      <c r="A12611" t="str">
        <f t="shared" si="2463"/>
        <v>25/11/2025</v>
      </c>
      <c r="B12611" t="str">
        <f t="shared" si="2461"/>
        <v>SAÍDA</v>
      </c>
      <c r="C12611" t="str">
        <f t="shared" si="2464"/>
        <v>PIX</v>
      </c>
      <c r="D12611" t="str">
        <f>"26306"</f>
        <v>26306</v>
      </c>
      <c r="E12611" t="str">
        <f t="shared" si="2465"/>
        <v>1</v>
      </c>
      <c r="F12611" t="str">
        <f t="shared" si="2462"/>
        <v>COM</v>
      </c>
      <c r="G12611" t="str">
        <f>"YAN BRENDO CORREIA VIEIRA (861)"</f>
        <v>YAN BRENDO CORREIA VIEIRA (861)</v>
      </c>
      <c r="H12611" t="s">
        <v>3414</v>
      </c>
      <c r="I12611" t="str">
        <f t="shared" si="2459"/>
        <v>25/11/2025</v>
      </c>
      <c r="J12611" t="str">
        <f>("25/11/2025")</f>
        <v>25/11/2025</v>
      </c>
      <c r="K12611">
        <v>45986</v>
      </c>
      <c r="N12611">
        <v>109</v>
      </c>
      <c r="O12611" t="s">
        <v>24</v>
      </c>
      <c r="Q12611">
        <v>150</v>
      </c>
      <c r="R12611" t="str">
        <f>"FARMÁCIA INDIANA LJ 200 (10155)"</f>
        <v>FARMÁCIA INDIANA LJ 200 (10155)</v>
      </c>
      <c r="S12611" t="s">
        <v>22</v>
      </c>
      <c r="T12611">
        <v>22486</v>
      </c>
      <c r="U12611">
        <v>26339</v>
      </c>
      <c r="V12611" t="s">
        <v>22</v>
      </c>
    </row>
    <row r="12612" spans="1:22">
      <c r="A12612" t="str">
        <f t="shared" si="2463"/>
        <v>25/11/2025</v>
      </c>
      <c r="B12612" t="str">
        <f t="shared" si="2461"/>
        <v>SAÍDA</v>
      </c>
      <c r="C12612" t="str">
        <f t="shared" si="2464"/>
        <v>PIX</v>
      </c>
      <c r="D12612" t="str">
        <f>"25973"</f>
        <v>25973</v>
      </c>
      <c r="E12612" t="str">
        <f t="shared" si="2465"/>
        <v>1</v>
      </c>
      <c r="F12612" t="str">
        <f t="shared" si="2462"/>
        <v>COM</v>
      </c>
      <c r="G12612" t="str">
        <f>"FRANCISCO LUCIANO DE LIMA (1062)"</f>
        <v>FRANCISCO LUCIANO DE LIMA (1062)</v>
      </c>
      <c r="H12612" t="str">
        <f>"Serv.Prest. 17/11/2025 a 23/11/2025 - PIX: CELULAR - CHAVE: (11) 94910-8689"</f>
        <v>Serv.Prest. 17/11/2025 a 23/11/2025 - PIX: CELULAR - CHAVE: (11) 94910-8689</v>
      </c>
      <c r="I12612" t="str">
        <f t="shared" si="2459"/>
        <v>25/11/2025</v>
      </c>
      <c r="J12612" t="str">
        <f>("24/11/2025")</f>
        <v>24/11/2025</v>
      </c>
      <c r="K12612" t="str">
        <f>("25/11/2025")</f>
        <v>25/11/2025</v>
      </c>
      <c r="L12612">
        <v>140</v>
      </c>
      <c r="M12612">
        <v>140</v>
      </c>
      <c r="N12612">
        <v>134</v>
      </c>
      <c r="O12612" t="str">
        <f>"DIARIA DE MOTOBOY"</f>
        <v>DIARIA DE MOTOBOY</v>
      </c>
      <c r="P12612">
        <v>140</v>
      </c>
      <c r="S12612" t="str">
        <f>"BANCO CORA (102)"</f>
        <v>BANCO CORA (102)</v>
      </c>
      <c r="T12612">
        <v>22919</v>
      </c>
      <c r="U12612">
        <v>25973</v>
      </c>
      <c r="V12612" t="s">
        <v>22</v>
      </c>
    </row>
    <row r="12613" spans="1:22">
      <c r="A12613" t="str">
        <f t="shared" si="2463"/>
        <v>25/11/2025</v>
      </c>
      <c r="B12613" t="str">
        <f t="shared" si="2461"/>
        <v>SAÍDA</v>
      </c>
      <c r="C12613" t="str">
        <f t="shared" si="2464"/>
        <v>PIX</v>
      </c>
      <c r="D12613" t="str">
        <f>"25973"</f>
        <v>25973</v>
      </c>
      <c r="E12613" t="str">
        <f t="shared" si="2465"/>
        <v>1</v>
      </c>
      <c r="F12613" t="str">
        <f t="shared" si="2462"/>
        <v>COM</v>
      </c>
      <c r="G12613" t="str">
        <f>"FRANCISCO LUCIANO DE LIMA (1062)"</f>
        <v>FRANCISCO LUCIANO DE LIMA (1062)</v>
      </c>
      <c r="H12613" t="s">
        <v>3380</v>
      </c>
      <c r="I12613" t="str">
        <f t="shared" si="2459"/>
        <v>25/11/2025</v>
      </c>
      <c r="J12613" t="str">
        <f>("24/11/2025")</f>
        <v>24/11/2025</v>
      </c>
      <c r="K12613">
        <v>45986</v>
      </c>
      <c r="N12613">
        <v>134</v>
      </c>
      <c r="O12613" t="s">
        <v>41</v>
      </c>
      <c r="Q12613">
        <v>140</v>
      </c>
      <c r="R12613" t="str">
        <f>"DROGA ELIDA (10121)"</f>
        <v>DROGA ELIDA (10121)</v>
      </c>
      <c r="S12613" t="s">
        <v>22</v>
      </c>
      <c r="T12613">
        <v>22919</v>
      </c>
      <c r="U12613">
        <v>25973</v>
      </c>
      <c r="V12613" t="s">
        <v>22</v>
      </c>
    </row>
    <row r="12614" spans="1:22">
      <c r="A12614" t="str">
        <f t="shared" si="2463"/>
        <v>25/11/2025</v>
      </c>
      <c r="B12614" t="str">
        <f t="shared" ref="B12614:B12621" si="2468">"ENTRADA"</f>
        <v>ENTRADA</v>
      </c>
      <c r="C12614" t="str">
        <f t="shared" ref="C12614:C12621" si="2469">"NFSE"</f>
        <v>NFSE</v>
      </c>
      <c r="D12614" t="str">
        <f>"3687"</f>
        <v>3687</v>
      </c>
      <c r="E12614" t="str">
        <f t="shared" si="2465"/>
        <v>1</v>
      </c>
      <c r="F12614" t="str">
        <f t="shared" ref="F12614:F12645" si="2470">"COM"</f>
        <v>COM</v>
      </c>
      <c r="G12614" t="str">
        <f>"PAGMENOS - LJ 326 (10264)"</f>
        <v>PAGMENOS - LJ 326 (10264)</v>
      </c>
      <c r="H12614" t="str">
        <f>"Serv.Prest. 03/11/2025 a 09/11/2025 - RPS: 1563 - NFSe: 3687"</f>
        <v>Serv.Prest. 03/11/2025 a 09/11/2025 - RPS: 1563 - NFSe: 3687</v>
      </c>
      <c r="I12614" t="str">
        <f>("21/11/2025")</f>
        <v>21/11/2025</v>
      </c>
      <c r="J12614" t="str">
        <f>("10/11/2025")</f>
        <v>10/11/2025</v>
      </c>
      <c r="K12614" t="str">
        <f>("25/11/2025")</f>
        <v>25/11/2025</v>
      </c>
      <c r="L12614">
        <v>607</v>
      </c>
      <c r="M12614">
        <v>607</v>
      </c>
      <c r="N12614">
        <v>303</v>
      </c>
      <c r="O12614" t="str">
        <f>"RECEITAS COM ENTREGAS"</f>
        <v>RECEITAS COM ENTREGAS</v>
      </c>
      <c r="P12614">
        <v>607</v>
      </c>
      <c r="S12614" t="str">
        <f>"RECEITAS COM ENTREGAS (303)"</f>
        <v>RECEITAS COM ENTREGAS (303)</v>
      </c>
      <c r="T12614">
        <v>22936</v>
      </c>
      <c r="U12614">
        <v>25072</v>
      </c>
      <c r="V12614" t="s">
        <v>22</v>
      </c>
    </row>
    <row r="12615" spans="1:22">
      <c r="A12615" t="str">
        <f t="shared" si="2463"/>
        <v>25/11/2025</v>
      </c>
      <c r="B12615" t="str">
        <f t="shared" si="2468"/>
        <v>ENTRADA</v>
      </c>
      <c r="C12615" t="str">
        <f t="shared" si="2469"/>
        <v>NFSE</v>
      </c>
      <c r="D12615" t="str">
        <f>"3687"</f>
        <v>3687</v>
      </c>
      <c r="E12615" t="str">
        <f t="shared" si="2465"/>
        <v>1</v>
      </c>
      <c r="F12615" t="str">
        <f t="shared" si="2470"/>
        <v>COM</v>
      </c>
      <c r="G12615" t="str">
        <f>"PAGMENOS - LJ 326 (10264)"</f>
        <v>PAGMENOS - LJ 326 (10264)</v>
      </c>
      <c r="H12615" t="s">
        <v>3415</v>
      </c>
      <c r="I12615" t="str">
        <f>("21/11/2025")</f>
        <v>21/11/2025</v>
      </c>
      <c r="J12615" t="str">
        <f>("10/11/2025")</f>
        <v>10/11/2025</v>
      </c>
      <c r="K12615">
        <v>45986</v>
      </c>
      <c r="N12615">
        <v>303</v>
      </c>
      <c r="O12615" t="s">
        <v>69</v>
      </c>
      <c r="Q12615">
        <v>607</v>
      </c>
      <c r="R12615" t="str">
        <f>"PAGMENOS - LJ 326 (10264)"</f>
        <v>PAGMENOS - LJ 326 (10264)</v>
      </c>
      <c r="S12615" t="s">
        <v>70</v>
      </c>
      <c r="T12615">
        <v>22936</v>
      </c>
      <c r="U12615">
        <v>25072</v>
      </c>
      <c r="V12615" t="s">
        <v>22</v>
      </c>
    </row>
    <row r="12616" spans="1:22">
      <c r="A12616" t="str">
        <f t="shared" si="2463"/>
        <v>25/11/2025</v>
      </c>
      <c r="B12616" t="str">
        <f t="shared" si="2468"/>
        <v>ENTRADA</v>
      </c>
      <c r="C12616" t="str">
        <f t="shared" si="2469"/>
        <v>NFSE</v>
      </c>
      <c r="D12616" t="str">
        <f>"3688"</f>
        <v>3688</v>
      </c>
      <c r="E12616" t="str">
        <f t="shared" si="2465"/>
        <v>1</v>
      </c>
      <c r="F12616" t="str">
        <f t="shared" si="2470"/>
        <v>COM</v>
      </c>
      <c r="G12616" t="str">
        <f>"PAGMENOS - LJ 431 (10265)"</f>
        <v>PAGMENOS - LJ 431 (10265)</v>
      </c>
      <c r="H12616" t="str">
        <f>"Serv.Prest. 03/11/2025 a 09/11/2025 - RPS: 1564 - NFSe: 3688"</f>
        <v>Serv.Prest. 03/11/2025 a 09/11/2025 - RPS: 1564 - NFSe: 3688</v>
      </c>
      <c r="I12616" t="str">
        <f>("21/11/2025")</f>
        <v>21/11/2025</v>
      </c>
      <c r="J12616" t="str">
        <f>("10/11/2025")</f>
        <v>10/11/2025</v>
      </c>
      <c r="K12616" t="str">
        <f>("25/11/2025")</f>
        <v>25/11/2025</v>
      </c>
      <c r="L12616">
        <v>1582.7</v>
      </c>
      <c r="M12616">
        <v>1582.7</v>
      </c>
      <c r="N12616">
        <v>303</v>
      </c>
      <c r="O12616" t="str">
        <f>"RECEITAS COM ENTREGAS"</f>
        <v>RECEITAS COM ENTREGAS</v>
      </c>
      <c r="P12616">
        <v>1582.7</v>
      </c>
      <c r="S12616" t="str">
        <f>"RECEITAS COM ENTREGAS (303)"</f>
        <v>RECEITAS COM ENTREGAS (303)</v>
      </c>
      <c r="T12616">
        <v>22937</v>
      </c>
      <c r="U12616">
        <v>25074</v>
      </c>
      <c r="V12616" t="s">
        <v>22</v>
      </c>
    </row>
    <row r="12617" spans="1:22">
      <c r="A12617" t="str">
        <f t="shared" si="2463"/>
        <v>25/11/2025</v>
      </c>
      <c r="B12617" t="str">
        <f t="shared" si="2468"/>
        <v>ENTRADA</v>
      </c>
      <c r="C12617" t="str">
        <f t="shared" si="2469"/>
        <v>NFSE</v>
      </c>
      <c r="D12617" t="str">
        <f>"3688"</f>
        <v>3688</v>
      </c>
      <c r="E12617" t="str">
        <f t="shared" si="2465"/>
        <v>1</v>
      </c>
      <c r="F12617" t="str">
        <f t="shared" si="2470"/>
        <v>COM</v>
      </c>
      <c r="G12617" t="str">
        <f>"PAGMENOS - LJ 431 (10265)"</f>
        <v>PAGMENOS - LJ 431 (10265)</v>
      </c>
      <c r="H12617" t="s">
        <v>3416</v>
      </c>
      <c r="I12617" t="str">
        <f>("21/11/2025")</f>
        <v>21/11/2025</v>
      </c>
      <c r="J12617" t="str">
        <f>("10/11/2025")</f>
        <v>10/11/2025</v>
      </c>
      <c r="K12617">
        <v>45986</v>
      </c>
      <c r="N12617">
        <v>303</v>
      </c>
      <c r="O12617" t="s">
        <v>69</v>
      </c>
      <c r="Q12617">
        <v>1582.7</v>
      </c>
      <c r="R12617" t="str">
        <f>"PAGMENOS - LJ 431 (10265)"</f>
        <v>PAGMENOS - LJ 431 (10265)</v>
      </c>
      <c r="S12617" t="s">
        <v>70</v>
      </c>
      <c r="T12617">
        <v>22937</v>
      </c>
      <c r="U12617">
        <v>25074</v>
      </c>
      <c r="V12617" t="s">
        <v>22</v>
      </c>
    </row>
    <row r="12618" spans="1:22">
      <c r="A12618" t="str">
        <f t="shared" si="2463"/>
        <v>25/11/2025</v>
      </c>
      <c r="B12618" t="str">
        <f t="shared" si="2468"/>
        <v>ENTRADA</v>
      </c>
      <c r="C12618" t="str">
        <f t="shared" si="2469"/>
        <v>NFSE</v>
      </c>
      <c r="D12618" t="str">
        <f>"3728"</f>
        <v>3728</v>
      </c>
      <c r="E12618" t="str">
        <f t="shared" si="2465"/>
        <v>1</v>
      </c>
      <c r="F12618" t="str">
        <f t="shared" si="2470"/>
        <v>COM</v>
      </c>
      <c r="G12618" t="str">
        <f>"PAGMENOS - LJ 657 (10136)"</f>
        <v>PAGMENOS - LJ 657 (10136)</v>
      </c>
      <c r="H12618" t="str">
        <f>"Serv.Prest. 10/11/2025 a 16/11/2025 - RPS: 1604 - NFSe: 3728"</f>
        <v>Serv.Prest. 10/11/2025 a 16/11/2025 - RPS: 1604 - NFSe: 3728</v>
      </c>
      <c r="I12618" t="str">
        <f>("26/11/2025")</f>
        <v>26/11/2025</v>
      </c>
      <c r="J12618" t="str">
        <f>("18/11/2025")</f>
        <v>18/11/2025</v>
      </c>
      <c r="K12618" t="str">
        <f>("25/11/2025")</f>
        <v>25/11/2025</v>
      </c>
      <c r="L12618">
        <v>1651.87</v>
      </c>
      <c r="M12618">
        <v>1651.87</v>
      </c>
      <c r="N12618">
        <v>303</v>
      </c>
      <c r="O12618" t="str">
        <f>"RECEITAS COM ENTREGAS"</f>
        <v>RECEITAS COM ENTREGAS</v>
      </c>
      <c r="P12618">
        <v>1651.87</v>
      </c>
      <c r="S12618" t="str">
        <f>"RECEITAS COM ENTREGAS (303)"</f>
        <v>RECEITAS COM ENTREGAS (303)</v>
      </c>
      <c r="T12618">
        <v>22938</v>
      </c>
      <c r="U12618">
        <v>25598</v>
      </c>
      <c r="V12618" t="s">
        <v>22</v>
      </c>
    </row>
    <row r="12619" spans="1:22">
      <c r="A12619" t="str">
        <f t="shared" si="2463"/>
        <v>25/11/2025</v>
      </c>
      <c r="B12619" t="str">
        <f t="shared" si="2468"/>
        <v>ENTRADA</v>
      </c>
      <c r="C12619" t="str">
        <f t="shared" si="2469"/>
        <v>NFSE</v>
      </c>
      <c r="D12619" t="str">
        <f>"3728"</f>
        <v>3728</v>
      </c>
      <c r="E12619" t="str">
        <f t="shared" si="2465"/>
        <v>1</v>
      </c>
      <c r="F12619" t="str">
        <f t="shared" si="2470"/>
        <v>COM</v>
      </c>
      <c r="G12619" t="str">
        <f>"PAGMENOS - LJ 657 (10136)"</f>
        <v>PAGMENOS - LJ 657 (10136)</v>
      </c>
      <c r="H12619" t="s">
        <v>3417</v>
      </c>
      <c r="I12619" t="str">
        <f>("26/11/2025")</f>
        <v>26/11/2025</v>
      </c>
      <c r="J12619" t="str">
        <f>("18/11/2025")</f>
        <v>18/11/2025</v>
      </c>
      <c r="K12619">
        <v>45986</v>
      </c>
      <c r="N12619">
        <v>303</v>
      </c>
      <c r="O12619" t="s">
        <v>69</v>
      </c>
      <c r="Q12619">
        <v>1651.87</v>
      </c>
      <c r="R12619" t="str">
        <f>"PAGMENOS - LJ 657 (10136)"</f>
        <v>PAGMENOS - LJ 657 (10136)</v>
      </c>
      <c r="S12619" t="s">
        <v>70</v>
      </c>
      <c r="T12619">
        <v>22938</v>
      </c>
      <c r="U12619">
        <v>25598</v>
      </c>
      <c r="V12619" t="s">
        <v>22</v>
      </c>
    </row>
    <row r="12620" spans="1:22">
      <c r="A12620" t="str">
        <f t="shared" ref="A12620:A12635" si="2471">("25/11/2025")</f>
        <v>25/11/2025</v>
      </c>
      <c r="B12620" t="str">
        <f t="shared" si="2468"/>
        <v>ENTRADA</v>
      </c>
      <c r="C12620" t="str">
        <f t="shared" si="2469"/>
        <v>NFSE</v>
      </c>
      <c r="D12620" t="str">
        <f>"3689"</f>
        <v>3689</v>
      </c>
      <c r="E12620" t="str">
        <f t="shared" si="2465"/>
        <v>1</v>
      </c>
      <c r="F12620" t="str">
        <f t="shared" si="2470"/>
        <v>COM</v>
      </c>
      <c r="G12620" t="str">
        <f>"PAGMENOS - LJ 768 (10266)"</f>
        <v>PAGMENOS - LJ 768 (10266)</v>
      </c>
      <c r="H12620" t="str">
        <f>"Serv.Prest. 03/11/2025 a 09/11/2025 - RPS: 1565 - NFSe: 3689"</f>
        <v>Serv.Prest. 03/11/2025 a 09/11/2025 - RPS: 1565 - NFSe: 3689</v>
      </c>
      <c r="I12620" t="str">
        <f>("21/11/2025")</f>
        <v>21/11/2025</v>
      </c>
      <c r="J12620" t="str">
        <f>("10/11/2025")</f>
        <v>10/11/2025</v>
      </c>
      <c r="K12620" t="str">
        <f>("25/11/2025")</f>
        <v>25/11/2025</v>
      </c>
      <c r="L12620">
        <v>1388.9</v>
      </c>
      <c r="M12620">
        <v>1388.9</v>
      </c>
      <c r="N12620">
        <v>303</v>
      </c>
      <c r="O12620" t="str">
        <f>"RECEITAS COM ENTREGAS"</f>
        <v>RECEITAS COM ENTREGAS</v>
      </c>
      <c r="P12620">
        <v>1388.9</v>
      </c>
      <c r="S12620" t="str">
        <f>"RECEITAS COM ENTREGAS (303)"</f>
        <v>RECEITAS COM ENTREGAS (303)</v>
      </c>
      <c r="T12620">
        <v>22939</v>
      </c>
      <c r="U12620">
        <v>25079</v>
      </c>
      <c r="V12620" t="s">
        <v>22</v>
      </c>
    </row>
    <row r="12621" spans="1:22">
      <c r="A12621" t="str">
        <f t="shared" si="2471"/>
        <v>25/11/2025</v>
      </c>
      <c r="B12621" t="str">
        <f t="shared" si="2468"/>
        <v>ENTRADA</v>
      </c>
      <c r="C12621" t="str">
        <f t="shared" si="2469"/>
        <v>NFSE</v>
      </c>
      <c r="D12621" t="str">
        <f>"3689"</f>
        <v>3689</v>
      </c>
      <c r="E12621" t="str">
        <f t="shared" si="2465"/>
        <v>1</v>
      </c>
      <c r="F12621" t="str">
        <f t="shared" si="2470"/>
        <v>COM</v>
      </c>
      <c r="G12621" t="str">
        <f>"PAGMENOS - LJ 768 (10266)"</f>
        <v>PAGMENOS - LJ 768 (10266)</v>
      </c>
      <c r="H12621" t="s">
        <v>3418</v>
      </c>
      <c r="I12621" t="str">
        <f>("21/11/2025")</f>
        <v>21/11/2025</v>
      </c>
      <c r="J12621" t="str">
        <f>("10/11/2025")</f>
        <v>10/11/2025</v>
      </c>
      <c r="K12621">
        <v>45986</v>
      </c>
      <c r="N12621">
        <v>303</v>
      </c>
      <c r="O12621" t="s">
        <v>69</v>
      </c>
      <c r="Q12621">
        <v>1388.9</v>
      </c>
      <c r="R12621" t="str">
        <f>"PAGMENOS - LJ 768 (10266)"</f>
        <v>PAGMENOS - LJ 768 (10266)</v>
      </c>
      <c r="S12621" t="s">
        <v>70</v>
      </c>
      <c r="T12621">
        <v>22939</v>
      </c>
      <c r="U12621">
        <v>25079</v>
      </c>
      <c r="V12621" t="s">
        <v>22</v>
      </c>
    </row>
    <row r="12622" spans="1:22">
      <c r="A12622" t="str">
        <f t="shared" si="2471"/>
        <v>25/11/2025</v>
      </c>
      <c r="B12622" t="str">
        <f t="shared" ref="B12622:B12637" si="2472">"SAÍDA"</f>
        <v>SAÍDA</v>
      </c>
      <c r="C12622" t="str">
        <f t="shared" ref="C12622:C12637" si="2473">"PIX"</f>
        <v>PIX</v>
      </c>
      <c r="D12622" t="str">
        <f>"25112025"</f>
        <v>25112025</v>
      </c>
      <c r="E12622" t="str">
        <f>"01"</f>
        <v>01</v>
      </c>
      <c r="F12622" t="str">
        <f t="shared" si="2470"/>
        <v>COM</v>
      </c>
      <c r="G12622" t="str">
        <f>"LOCALIZA RENT A CAR SA (20068)"</f>
        <v>LOCALIZA RENT A CAR SA (20068)</v>
      </c>
      <c r="H12622" t="str">
        <f>"DESPESA DE VIAGEM SÃO PAULO"</f>
        <v>DESPESA DE VIAGEM SÃO PAULO</v>
      </c>
      <c r="I12622" t="str">
        <f>("25/11/2025")</f>
        <v>25/11/2025</v>
      </c>
      <c r="J12622" t="str">
        <f>("25/11/2025")</f>
        <v>25/11/2025</v>
      </c>
      <c r="K12622" t="str">
        <f>("25/11/2025")</f>
        <v>25/11/2025</v>
      </c>
      <c r="L12622">
        <v>789.54</v>
      </c>
      <c r="M12622">
        <v>789.54</v>
      </c>
      <c r="N12622">
        <v>117</v>
      </c>
      <c r="O12622" t="str">
        <f>"DESPESAS COM VIAGENS COMERCIAIS"</f>
        <v>DESPESAS COM VIAGENS COMERCIAIS</v>
      </c>
      <c r="P12622">
        <v>789.54</v>
      </c>
      <c r="S12622" t="str">
        <f>"BANCO CORA (102)"</f>
        <v>BANCO CORA (102)</v>
      </c>
      <c r="T12622">
        <v>22940</v>
      </c>
      <c r="U12622">
        <v>27064</v>
      </c>
      <c r="V12622" t="s">
        <v>22</v>
      </c>
    </row>
    <row r="12623" spans="1:22">
      <c r="A12623" t="str">
        <f t="shared" si="2471"/>
        <v>25/11/2025</v>
      </c>
      <c r="B12623" t="str">
        <f t="shared" si="2472"/>
        <v>SAÍDA</v>
      </c>
      <c r="C12623" t="str">
        <f t="shared" si="2473"/>
        <v>PIX</v>
      </c>
      <c r="D12623" t="str">
        <f>"25112025"</f>
        <v>25112025</v>
      </c>
      <c r="E12623" t="str">
        <f>"01"</f>
        <v>01</v>
      </c>
      <c r="F12623" t="str">
        <f t="shared" si="2470"/>
        <v>COM</v>
      </c>
      <c r="G12623" t="str">
        <f>"LOCALIZA RENT A CAR SA (20068)"</f>
        <v>LOCALIZA RENT A CAR SA (20068)</v>
      </c>
      <c r="H12623" t="s">
        <v>3419</v>
      </c>
      <c r="I12623" t="str">
        <f t="shared" ref="I12623:J12631" si="2474">("25/11/2025")</f>
        <v>25/11/2025</v>
      </c>
      <c r="J12623" t="str">
        <f t="shared" si="2474"/>
        <v>25/11/2025</v>
      </c>
      <c r="K12623">
        <v>45986</v>
      </c>
      <c r="N12623">
        <v>117</v>
      </c>
      <c r="O12623" t="s">
        <v>822</v>
      </c>
      <c r="Q12623">
        <v>789.54</v>
      </c>
      <c r="R12623" t="str">
        <f>"LOCALIZA RENT A CAR SA (20068)"</f>
        <v>LOCALIZA RENT A CAR SA (20068)</v>
      </c>
      <c r="S12623" t="s">
        <v>22</v>
      </c>
      <c r="T12623">
        <v>22940</v>
      </c>
      <c r="U12623">
        <v>27064</v>
      </c>
      <c r="V12623" t="s">
        <v>22</v>
      </c>
    </row>
    <row r="12624" spans="1:22">
      <c r="A12624" t="str">
        <f t="shared" si="2471"/>
        <v>25/11/2025</v>
      </c>
      <c r="B12624" t="str">
        <f t="shared" si="2472"/>
        <v>SAÍDA</v>
      </c>
      <c r="C12624" t="str">
        <f t="shared" si="2473"/>
        <v>PIX</v>
      </c>
      <c r="D12624" t="str">
        <f>"26557"</f>
        <v>26557</v>
      </c>
      <c r="E12624" t="str">
        <f t="shared" ref="E12624:E12637" si="2475">"1"</f>
        <v>1</v>
      </c>
      <c r="F12624" t="str">
        <f t="shared" si="2470"/>
        <v>COM</v>
      </c>
      <c r="G12624" t="str">
        <f>"FELIPE BRITO DOS SANTOS (1111)"</f>
        <v>FELIPE BRITO DOS SANTOS (1111)</v>
      </c>
      <c r="H12624" t="str">
        <f>"Serv.Prest. 24/11/2025 a 30/11/2025 - PIX: E-MAIL - CHAVE: felipebrito00009@gmail.com"</f>
        <v>Serv.Prest. 24/11/2025 a 30/11/2025 - PIX: E-MAIL - CHAVE: felipebrito00009@gmail.com</v>
      </c>
      <c r="I12624" t="str">
        <f t="shared" si="2474"/>
        <v>25/11/2025</v>
      </c>
      <c r="J12624" t="str">
        <f t="shared" si="2474"/>
        <v>25/11/2025</v>
      </c>
      <c r="K12624" t="str">
        <f>("25/11/2025")</f>
        <v>25/11/2025</v>
      </c>
      <c r="L12624">
        <v>170</v>
      </c>
      <c r="M12624">
        <v>170</v>
      </c>
      <c r="N12624">
        <v>134</v>
      </c>
      <c r="O12624" t="str">
        <f>"DIARIA DE MOTOBOY"</f>
        <v>DIARIA DE MOTOBOY</v>
      </c>
      <c r="P12624">
        <v>170</v>
      </c>
      <c r="S12624" t="str">
        <f>"BANCO CORA (102)"</f>
        <v>BANCO CORA (102)</v>
      </c>
      <c r="T12624">
        <v>22941</v>
      </c>
      <c r="U12624">
        <v>26557</v>
      </c>
      <c r="V12624" t="s">
        <v>22</v>
      </c>
    </row>
    <row r="12625" spans="1:22">
      <c r="A12625" t="str">
        <f t="shared" si="2471"/>
        <v>25/11/2025</v>
      </c>
      <c r="B12625" t="str">
        <f t="shared" si="2472"/>
        <v>SAÍDA</v>
      </c>
      <c r="C12625" t="str">
        <f t="shared" si="2473"/>
        <v>PIX</v>
      </c>
      <c r="D12625" t="str">
        <f>"26557"</f>
        <v>26557</v>
      </c>
      <c r="E12625" t="str">
        <f t="shared" si="2475"/>
        <v>1</v>
      </c>
      <c r="F12625" t="str">
        <f t="shared" si="2470"/>
        <v>COM</v>
      </c>
      <c r="G12625" t="str">
        <f>"FELIPE BRITO DOS SANTOS (1111)"</f>
        <v>FELIPE BRITO DOS SANTOS (1111)</v>
      </c>
      <c r="H12625" t="s">
        <v>3420</v>
      </c>
      <c r="I12625" t="str">
        <f t="shared" si="2474"/>
        <v>25/11/2025</v>
      </c>
      <c r="J12625" t="str">
        <f t="shared" si="2474"/>
        <v>25/11/2025</v>
      </c>
      <c r="K12625">
        <v>45986</v>
      </c>
      <c r="N12625">
        <v>134</v>
      </c>
      <c r="O12625" t="s">
        <v>41</v>
      </c>
      <c r="Q12625">
        <v>170</v>
      </c>
      <c r="R12625" t="str">
        <f>"PENSE FARMA 44 (10231)"</f>
        <v>PENSE FARMA 44 (10231)</v>
      </c>
      <c r="S12625" t="s">
        <v>22</v>
      </c>
      <c r="T12625">
        <v>22941</v>
      </c>
      <c r="U12625">
        <v>26557</v>
      </c>
      <c r="V12625" t="s">
        <v>22</v>
      </c>
    </row>
    <row r="12626" spans="1:22">
      <c r="A12626" t="str">
        <f t="shared" si="2471"/>
        <v>25/11/2025</v>
      </c>
      <c r="B12626" t="str">
        <f t="shared" si="2472"/>
        <v>SAÍDA</v>
      </c>
      <c r="C12626" t="str">
        <f t="shared" si="2473"/>
        <v>PIX</v>
      </c>
      <c r="D12626" t="str">
        <f>"26818"</f>
        <v>26818</v>
      </c>
      <c r="E12626" t="str">
        <f t="shared" si="2475"/>
        <v>1</v>
      </c>
      <c r="F12626" t="str">
        <f t="shared" si="2470"/>
        <v>COM</v>
      </c>
      <c r="G12626" t="str">
        <f>"EDICARLOS OLIVEIRA BORGES (1068)"</f>
        <v>EDICARLOS OLIVEIRA BORGES (1068)</v>
      </c>
      <c r="H12626" t="str">
        <f>"Serv.Prest. 24/11/2025 a 30/11/2025 - PIX: CELULAR - CHAVE: (11) 93933-2088"</f>
        <v>Serv.Prest. 24/11/2025 a 30/11/2025 - PIX: CELULAR - CHAVE: (11) 93933-2088</v>
      </c>
      <c r="I12626" t="str">
        <f t="shared" si="2474"/>
        <v>25/11/2025</v>
      </c>
      <c r="J12626" t="str">
        <f t="shared" si="2474"/>
        <v>25/11/2025</v>
      </c>
      <c r="K12626" t="str">
        <f>("25/11/2025")</f>
        <v>25/11/2025</v>
      </c>
      <c r="L12626">
        <v>170</v>
      </c>
      <c r="M12626">
        <v>170</v>
      </c>
      <c r="N12626">
        <v>134</v>
      </c>
      <c r="O12626" t="str">
        <f>"DIARIA DE MOTOBOY"</f>
        <v>DIARIA DE MOTOBOY</v>
      </c>
      <c r="P12626">
        <v>170</v>
      </c>
      <c r="S12626" t="str">
        <f>"BANCO CORA (102)"</f>
        <v>BANCO CORA (102)</v>
      </c>
      <c r="T12626">
        <v>22944</v>
      </c>
      <c r="U12626">
        <v>26818</v>
      </c>
      <c r="V12626" t="s">
        <v>22</v>
      </c>
    </row>
    <row r="12627" spans="1:22">
      <c r="A12627" t="str">
        <f t="shared" si="2471"/>
        <v>25/11/2025</v>
      </c>
      <c r="B12627" t="str">
        <f t="shared" si="2472"/>
        <v>SAÍDA</v>
      </c>
      <c r="C12627" t="str">
        <f t="shared" si="2473"/>
        <v>PIX</v>
      </c>
      <c r="D12627" t="str">
        <f>"26818"</f>
        <v>26818</v>
      </c>
      <c r="E12627" t="str">
        <f t="shared" si="2475"/>
        <v>1</v>
      </c>
      <c r="F12627" t="str">
        <f t="shared" si="2470"/>
        <v>COM</v>
      </c>
      <c r="G12627" t="str">
        <f>"EDICARLOS OLIVEIRA BORGES (1068)"</f>
        <v>EDICARLOS OLIVEIRA BORGES (1068)</v>
      </c>
      <c r="H12627" t="s">
        <v>3421</v>
      </c>
      <c r="I12627" t="str">
        <f t="shared" si="2474"/>
        <v>25/11/2025</v>
      </c>
      <c r="J12627" t="str">
        <f t="shared" si="2474"/>
        <v>25/11/2025</v>
      </c>
      <c r="K12627">
        <v>45986</v>
      </c>
      <c r="N12627">
        <v>134</v>
      </c>
      <c r="O12627" t="s">
        <v>41</v>
      </c>
      <c r="Q12627">
        <v>170</v>
      </c>
      <c r="R12627" t="str">
        <f>"PENSE FARMA 22 (10198)"</f>
        <v>PENSE FARMA 22 (10198)</v>
      </c>
      <c r="S12627" t="s">
        <v>22</v>
      </c>
      <c r="T12627">
        <v>22944</v>
      </c>
      <c r="U12627">
        <v>26818</v>
      </c>
      <c r="V12627" t="s">
        <v>22</v>
      </c>
    </row>
    <row r="12628" spans="1:22">
      <c r="A12628" t="str">
        <f t="shared" si="2471"/>
        <v>25/11/2025</v>
      </c>
      <c r="B12628" t="str">
        <f t="shared" si="2472"/>
        <v>SAÍDA</v>
      </c>
      <c r="C12628" t="str">
        <f t="shared" si="2473"/>
        <v>PIX</v>
      </c>
      <c r="D12628" t="str">
        <f>"26287"</f>
        <v>26287</v>
      </c>
      <c r="E12628" t="str">
        <f t="shared" si="2475"/>
        <v>1</v>
      </c>
      <c r="F12628" t="str">
        <f t="shared" si="2470"/>
        <v>COM</v>
      </c>
      <c r="G12628" t="str">
        <f>"HELITON MELGACO PIMENTEL JUNIOR (1079)"</f>
        <v>HELITON MELGACO PIMENTEL JUNIOR (1079)</v>
      </c>
      <c r="H12628" t="str">
        <f>"Serv.Prest. 17/11/2025 a 23/11/2025 - PIX: CPF - CHAVE: 768.859.176-72"</f>
        <v>Serv.Prest. 17/11/2025 a 23/11/2025 - PIX: CPF - CHAVE: 768.859.176-72</v>
      </c>
      <c r="I12628" t="str">
        <f t="shared" si="2474"/>
        <v>25/11/2025</v>
      </c>
      <c r="J12628" t="str">
        <f t="shared" si="2474"/>
        <v>25/11/2025</v>
      </c>
      <c r="K12628" t="str">
        <f>("25/11/2025")</f>
        <v>25/11/2025</v>
      </c>
      <c r="L12628">
        <v>149.36000000000001</v>
      </c>
      <c r="M12628">
        <v>150</v>
      </c>
      <c r="N12628">
        <v>109</v>
      </c>
      <c r="O12628" t="str">
        <f>"PAGAMENTO DE ENTREGADORES"</f>
        <v>PAGAMENTO DE ENTREGADORES</v>
      </c>
      <c r="P12628">
        <v>150</v>
      </c>
      <c r="S12628" t="str">
        <f>"BANCO CORA (102)"</f>
        <v>BANCO CORA (102)</v>
      </c>
      <c r="T12628">
        <v>22945</v>
      </c>
      <c r="U12628">
        <v>27017</v>
      </c>
      <c r="V12628" t="s">
        <v>22</v>
      </c>
    </row>
    <row r="12629" spans="1:22">
      <c r="A12629" t="str">
        <f t="shared" si="2471"/>
        <v>25/11/2025</v>
      </c>
      <c r="B12629" t="str">
        <f t="shared" si="2472"/>
        <v>SAÍDA</v>
      </c>
      <c r="C12629" t="str">
        <f t="shared" si="2473"/>
        <v>PIX</v>
      </c>
      <c r="D12629" t="str">
        <f>"26287"</f>
        <v>26287</v>
      </c>
      <c r="E12629" t="str">
        <f t="shared" si="2475"/>
        <v>1</v>
      </c>
      <c r="F12629" t="str">
        <f t="shared" si="2470"/>
        <v>COM</v>
      </c>
      <c r="G12629" t="str">
        <f>"HELITON MELGACO PIMENTEL JUNIOR (1079)"</f>
        <v>HELITON MELGACO PIMENTEL JUNIOR (1079)</v>
      </c>
      <c r="H12629" t="s">
        <v>3422</v>
      </c>
      <c r="I12629" t="str">
        <f t="shared" si="2474"/>
        <v>25/11/2025</v>
      </c>
      <c r="J12629" t="str">
        <f t="shared" si="2474"/>
        <v>25/11/2025</v>
      </c>
      <c r="K12629">
        <v>45986</v>
      </c>
      <c r="N12629">
        <v>109</v>
      </c>
      <c r="O12629" t="s">
        <v>24</v>
      </c>
      <c r="Q12629">
        <v>150</v>
      </c>
      <c r="R12629" t="str">
        <f>"FARMÁCIA INDIANA LJ 283 (10268)"</f>
        <v>FARMÁCIA INDIANA LJ 283 (10268)</v>
      </c>
      <c r="S12629" t="s">
        <v>22</v>
      </c>
      <c r="T12629">
        <v>22945</v>
      </c>
      <c r="U12629">
        <v>27017</v>
      </c>
      <c r="V12629" t="s">
        <v>22</v>
      </c>
    </row>
    <row r="12630" spans="1:22">
      <c r="A12630" t="str">
        <f t="shared" si="2471"/>
        <v>25/11/2025</v>
      </c>
      <c r="B12630" t="str">
        <f t="shared" si="2472"/>
        <v>SAÍDA</v>
      </c>
      <c r="C12630" t="str">
        <f t="shared" si="2473"/>
        <v>PIX</v>
      </c>
      <c r="D12630" t="str">
        <f>"26820"</f>
        <v>26820</v>
      </c>
      <c r="E12630" t="str">
        <f t="shared" si="2475"/>
        <v>1</v>
      </c>
      <c r="F12630" t="str">
        <f t="shared" si="2470"/>
        <v>COM</v>
      </c>
      <c r="G12630" t="str">
        <f>"MAURICIO CARLOS DE OLIVEIRA (1110)"</f>
        <v>MAURICIO CARLOS DE OLIVEIRA (1110)</v>
      </c>
      <c r="H12630" t="str">
        <f>"Serv.Prest. 24/11/2025 a 30/11/2025 - PIX: CPF - CHAVE: 262.099.808-56"</f>
        <v>Serv.Prest. 24/11/2025 a 30/11/2025 - PIX: CPF - CHAVE: 262.099.808-56</v>
      </c>
      <c r="I12630" t="str">
        <f t="shared" si="2474"/>
        <v>25/11/2025</v>
      </c>
      <c r="J12630" t="str">
        <f t="shared" si="2474"/>
        <v>25/11/2025</v>
      </c>
      <c r="K12630" t="str">
        <f>("25/11/2025")</f>
        <v>25/11/2025</v>
      </c>
      <c r="L12630">
        <v>170</v>
      </c>
      <c r="M12630">
        <v>170</v>
      </c>
      <c r="N12630">
        <v>134</v>
      </c>
      <c r="O12630" t="str">
        <f>"DIARIA DE MOTOBOY"</f>
        <v>DIARIA DE MOTOBOY</v>
      </c>
      <c r="P12630">
        <v>170</v>
      </c>
      <c r="S12630" t="str">
        <f>"BANCO CORA (102)"</f>
        <v>BANCO CORA (102)</v>
      </c>
      <c r="T12630">
        <v>22946</v>
      </c>
      <c r="U12630">
        <v>27021</v>
      </c>
      <c r="V12630" t="s">
        <v>22</v>
      </c>
    </row>
    <row r="12631" spans="1:22">
      <c r="A12631" t="str">
        <f t="shared" si="2471"/>
        <v>25/11/2025</v>
      </c>
      <c r="B12631" t="str">
        <f t="shared" si="2472"/>
        <v>SAÍDA</v>
      </c>
      <c r="C12631" t="str">
        <f t="shared" si="2473"/>
        <v>PIX</v>
      </c>
      <c r="D12631" t="str">
        <f>"26820"</f>
        <v>26820</v>
      </c>
      <c r="E12631" t="str">
        <f t="shared" si="2475"/>
        <v>1</v>
      </c>
      <c r="F12631" t="str">
        <f t="shared" si="2470"/>
        <v>COM</v>
      </c>
      <c r="G12631" t="str">
        <f>"MAURICIO CARLOS DE OLIVEIRA (1110)"</f>
        <v>MAURICIO CARLOS DE OLIVEIRA (1110)</v>
      </c>
      <c r="H12631" t="s">
        <v>3387</v>
      </c>
      <c r="I12631" t="str">
        <f t="shared" si="2474"/>
        <v>25/11/2025</v>
      </c>
      <c r="J12631" t="str">
        <f t="shared" si="2474"/>
        <v>25/11/2025</v>
      </c>
      <c r="K12631">
        <v>45986</v>
      </c>
      <c r="N12631">
        <v>134</v>
      </c>
      <c r="O12631" t="s">
        <v>41</v>
      </c>
      <c r="Q12631">
        <v>170</v>
      </c>
      <c r="R12631" t="str">
        <f>"PENSE FARMA 22 (10198)"</f>
        <v>PENSE FARMA 22 (10198)</v>
      </c>
      <c r="S12631" t="s">
        <v>22</v>
      </c>
      <c r="T12631">
        <v>22946</v>
      </c>
      <c r="U12631">
        <v>27021</v>
      </c>
      <c r="V12631" t="s">
        <v>22</v>
      </c>
    </row>
    <row r="12632" spans="1:22">
      <c r="A12632" t="str">
        <f t="shared" si="2471"/>
        <v>25/11/2025</v>
      </c>
      <c r="B12632" t="str">
        <f t="shared" si="2472"/>
        <v>SAÍDA</v>
      </c>
      <c r="C12632" t="str">
        <f t="shared" si="2473"/>
        <v>PIX</v>
      </c>
      <c r="D12632" t="str">
        <f>"26531"</f>
        <v>26531</v>
      </c>
      <c r="E12632" t="str">
        <f t="shared" si="2475"/>
        <v>1</v>
      </c>
      <c r="F12632" t="str">
        <f t="shared" si="2470"/>
        <v>COM</v>
      </c>
      <c r="G12632" t="str">
        <f t="shared" ref="G12632:G12637" si="2476">"JAMERSON SOUZA LOPES (749)"</f>
        <v>JAMERSON SOUZA LOPES (749)</v>
      </c>
      <c r="H12632" t="str">
        <f>"Serv.Prest. 24/11/2025 a 30/11/2025 - PIX: CPF - CHAVE: 423.098.018-36"</f>
        <v>Serv.Prest. 24/11/2025 a 30/11/2025 - PIX: CPF - CHAVE: 423.098.018-36</v>
      </c>
      <c r="I12632" t="str">
        <f>("04/12/2025")</f>
        <v>04/12/2025</v>
      </c>
      <c r="J12632" t="str">
        <f>("01/12/2025")</f>
        <v>01/12/2025</v>
      </c>
      <c r="K12632" t="str">
        <f>("25/11/2025")</f>
        <v>25/11/2025</v>
      </c>
      <c r="L12632">
        <v>150</v>
      </c>
      <c r="M12632">
        <v>150</v>
      </c>
      <c r="N12632">
        <v>109</v>
      </c>
      <c r="O12632" t="str">
        <f>"PAGAMENTO DE ENTREGADORES"</f>
        <v>PAGAMENTO DE ENTREGADORES</v>
      </c>
      <c r="P12632">
        <v>150</v>
      </c>
      <c r="S12632" t="str">
        <f>"BANCO CORA (102)"</f>
        <v>BANCO CORA (102)</v>
      </c>
      <c r="T12632">
        <v>22948</v>
      </c>
      <c r="U12632">
        <v>27066</v>
      </c>
      <c r="V12632" t="s">
        <v>22</v>
      </c>
    </row>
    <row r="12633" spans="1:22">
      <c r="A12633" t="str">
        <f t="shared" si="2471"/>
        <v>25/11/2025</v>
      </c>
      <c r="B12633" t="str">
        <f t="shared" si="2472"/>
        <v>SAÍDA</v>
      </c>
      <c r="C12633" t="str">
        <f t="shared" si="2473"/>
        <v>PIX</v>
      </c>
      <c r="D12633" t="str">
        <f>"26531"</f>
        <v>26531</v>
      </c>
      <c r="E12633" t="str">
        <f t="shared" si="2475"/>
        <v>1</v>
      </c>
      <c r="F12633" t="str">
        <f t="shared" si="2470"/>
        <v>COM</v>
      </c>
      <c r="G12633" t="str">
        <f t="shared" si="2476"/>
        <v>JAMERSON SOUZA LOPES (749)</v>
      </c>
      <c r="H12633" t="s">
        <v>3423</v>
      </c>
      <c r="I12633" t="str">
        <f>("04/12/2025")</f>
        <v>04/12/2025</v>
      </c>
      <c r="J12633" t="str">
        <f>("01/12/2025")</f>
        <v>01/12/2025</v>
      </c>
      <c r="K12633">
        <v>45986</v>
      </c>
      <c r="N12633">
        <v>109</v>
      </c>
      <c r="O12633" t="s">
        <v>24</v>
      </c>
      <c r="Q12633">
        <v>150</v>
      </c>
      <c r="R12633" t="str">
        <f>"DROGARIA TOTAL JUNDIAI (10177)"</f>
        <v>DROGARIA TOTAL JUNDIAI (10177)</v>
      </c>
      <c r="S12633" t="s">
        <v>22</v>
      </c>
      <c r="T12633">
        <v>22948</v>
      </c>
      <c r="U12633">
        <v>27066</v>
      </c>
      <c r="V12633" t="s">
        <v>22</v>
      </c>
    </row>
    <row r="12634" spans="1:22">
      <c r="A12634" t="str">
        <f t="shared" si="2471"/>
        <v>25/11/2025</v>
      </c>
      <c r="B12634" t="str">
        <f t="shared" si="2472"/>
        <v>SAÍDA</v>
      </c>
      <c r="C12634" t="str">
        <f t="shared" si="2473"/>
        <v>PIX</v>
      </c>
      <c r="D12634" t="str">
        <f>"26531"</f>
        <v>26531</v>
      </c>
      <c r="E12634" t="str">
        <f t="shared" si="2475"/>
        <v>1</v>
      </c>
      <c r="F12634" t="str">
        <f t="shared" si="2470"/>
        <v>COM</v>
      </c>
      <c r="G12634" t="str">
        <f t="shared" si="2476"/>
        <v>JAMERSON SOUZA LOPES (749)</v>
      </c>
      <c r="H12634" t="str">
        <f>"Serv.Prest. 24/11/2025 a 30/11/2025 - PIX: CPF - CHAVE: 423.098.018-36"</f>
        <v>Serv.Prest. 24/11/2025 a 30/11/2025 - PIX: CPF - CHAVE: 423.098.018-36</v>
      </c>
      <c r="I12634" t="str">
        <f>("04/12/2025")</f>
        <v>04/12/2025</v>
      </c>
      <c r="J12634" t="str">
        <f>("01/12/2025")</f>
        <v>01/12/2025</v>
      </c>
      <c r="K12634" t="str">
        <f>("25/11/2025")</f>
        <v>25/11/2025</v>
      </c>
      <c r="L12634">
        <v>70</v>
      </c>
      <c r="M12634">
        <v>70</v>
      </c>
      <c r="N12634">
        <v>109</v>
      </c>
      <c r="O12634" t="str">
        <f>"PAGAMENTO DE ENTREGADORES"</f>
        <v>PAGAMENTO DE ENTREGADORES</v>
      </c>
      <c r="P12634">
        <v>70</v>
      </c>
      <c r="S12634" t="str">
        <f>"BANCO CORA (102)"</f>
        <v>BANCO CORA (102)</v>
      </c>
      <c r="T12634">
        <v>22949</v>
      </c>
      <c r="U12634">
        <v>27067</v>
      </c>
      <c r="V12634" t="s">
        <v>22</v>
      </c>
    </row>
    <row r="12635" spans="1:22">
      <c r="A12635" t="str">
        <f t="shared" si="2471"/>
        <v>25/11/2025</v>
      </c>
      <c r="B12635" t="str">
        <f t="shared" si="2472"/>
        <v>SAÍDA</v>
      </c>
      <c r="C12635" t="str">
        <f t="shared" si="2473"/>
        <v>PIX</v>
      </c>
      <c r="D12635" t="str">
        <f>"26531"</f>
        <v>26531</v>
      </c>
      <c r="E12635" t="str">
        <f t="shared" si="2475"/>
        <v>1</v>
      </c>
      <c r="F12635" t="str">
        <f t="shared" si="2470"/>
        <v>COM</v>
      </c>
      <c r="G12635" t="str">
        <f t="shared" si="2476"/>
        <v>JAMERSON SOUZA LOPES (749)</v>
      </c>
      <c r="H12635" t="s">
        <v>3423</v>
      </c>
      <c r="I12635" t="str">
        <f>("04/12/2025")</f>
        <v>04/12/2025</v>
      </c>
      <c r="J12635" t="str">
        <f>("01/12/2025")</f>
        <v>01/12/2025</v>
      </c>
      <c r="K12635">
        <v>45986</v>
      </c>
      <c r="N12635">
        <v>109</v>
      </c>
      <c r="O12635" t="s">
        <v>24</v>
      </c>
      <c r="Q12635">
        <v>70</v>
      </c>
      <c r="R12635" t="str">
        <f>"DROGARIA TOTAL JUNDIAI (10177)"</f>
        <v>DROGARIA TOTAL JUNDIAI (10177)</v>
      </c>
      <c r="S12635" t="s">
        <v>22</v>
      </c>
      <c r="T12635">
        <v>22949</v>
      </c>
      <c r="U12635">
        <v>27067</v>
      </c>
      <c r="V12635" t="s">
        <v>22</v>
      </c>
    </row>
    <row r="12636" spans="1:22">
      <c r="A12636" t="str">
        <f t="shared" ref="A12636:A12667" si="2477">("26/11/2025")</f>
        <v>26/11/2025</v>
      </c>
      <c r="B12636" t="str">
        <f t="shared" si="2472"/>
        <v>SAÍDA</v>
      </c>
      <c r="C12636" t="str">
        <f t="shared" si="2473"/>
        <v>PIX</v>
      </c>
      <c r="D12636" t="str">
        <f>"26123"</f>
        <v>26123</v>
      </c>
      <c r="E12636" t="str">
        <f t="shared" si="2475"/>
        <v>1</v>
      </c>
      <c r="F12636" t="str">
        <f t="shared" si="2470"/>
        <v>COM</v>
      </c>
      <c r="G12636" t="str">
        <f t="shared" si="2476"/>
        <v>JAMERSON SOUZA LOPES (749)</v>
      </c>
      <c r="H12636" t="str">
        <f>"Serv.Prest. 17/11/2025 a 23/11/2025 - PIX: CPF - CHAVE: 423.098.018-36"</f>
        <v>Serv.Prest. 17/11/2025 a 23/11/2025 - PIX: CPF - CHAVE: 423.098.018-36</v>
      </c>
      <c r="I12636" t="str">
        <f t="shared" ref="I12636:I12641" si="2478">("27/11/2025")</f>
        <v>27/11/2025</v>
      </c>
      <c r="J12636" t="str">
        <f>("24/11/2025")</f>
        <v>24/11/2025</v>
      </c>
      <c r="K12636" t="str">
        <f>("26/11/2025")</f>
        <v>26/11/2025</v>
      </c>
      <c r="L12636">
        <v>100</v>
      </c>
      <c r="M12636">
        <v>100</v>
      </c>
      <c r="N12636">
        <v>109</v>
      </c>
      <c r="O12636" t="str">
        <f>"PAGAMENTO DE ENTREGADORES"</f>
        <v>PAGAMENTO DE ENTREGADORES</v>
      </c>
      <c r="P12636">
        <v>100</v>
      </c>
      <c r="S12636" t="str">
        <f>"BANCO CORA (102)"</f>
        <v>BANCO CORA (102)</v>
      </c>
      <c r="T12636">
        <v>22463</v>
      </c>
      <c r="U12636">
        <v>26390</v>
      </c>
      <c r="V12636" t="s">
        <v>22</v>
      </c>
    </row>
    <row r="12637" spans="1:22">
      <c r="A12637" t="str">
        <f t="shared" si="2477"/>
        <v>26/11/2025</v>
      </c>
      <c r="B12637" t="str">
        <f t="shared" si="2472"/>
        <v>SAÍDA</v>
      </c>
      <c r="C12637" t="str">
        <f t="shared" si="2473"/>
        <v>PIX</v>
      </c>
      <c r="D12637" t="str">
        <f>"26123"</f>
        <v>26123</v>
      </c>
      <c r="E12637" t="str">
        <f t="shared" si="2475"/>
        <v>1</v>
      </c>
      <c r="F12637" t="str">
        <f t="shared" si="2470"/>
        <v>COM</v>
      </c>
      <c r="G12637" t="str">
        <f t="shared" si="2476"/>
        <v>JAMERSON SOUZA LOPES (749)</v>
      </c>
      <c r="H12637" t="s">
        <v>3145</v>
      </c>
      <c r="I12637" t="str">
        <f t="shared" si="2478"/>
        <v>27/11/2025</v>
      </c>
      <c r="J12637" t="str">
        <f>("24/11/2025")</f>
        <v>24/11/2025</v>
      </c>
      <c r="K12637">
        <v>45987</v>
      </c>
      <c r="N12637">
        <v>109</v>
      </c>
      <c r="O12637" t="s">
        <v>24</v>
      </c>
      <c r="Q12637">
        <v>100</v>
      </c>
      <c r="R12637" t="str">
        <f>"DROGARIA MEDIC CENTER LTDA (10172)"</f>
        <v>DROGARIA MEDIC CENTER LTDA (10172)</v>
      </c>
      <c r="S12637" t="s">
        <v>22</v>
      </c>
      <c r="T12637">
        <v>22463</v>
      </c>
      <c r="U12637">
        <v>26390</v>
      </c>
      <c r="V12637" t="s">
        <v>22</v>
      </c>
    </row>
    <row r="12638" spans="1:22">
      <c r="A12638" t="str">
        <f t="shared" si="2477"/>
        <v>26/11/2025</v>
      </c>
      <c r="B12638" t="str">
        <f>"ENTRADA"</f>
        <v>ENTRADA</v>
      </c>
      <c r="C12638" t="str">
        <f>"DINHEIRO"</f>
        <v>DINHEIRO</v>
      </c>
      <c r="D12638" t="str">
        <f>"2711"</f>
        <v>2711</v>
      </c>
      <c r="E12638" t="str">
        <f>"25"</f>
        <v>25</v>
      </c>
      <c r="F12638" t="str">
        <f t="shared" si="2470"/>
        <v>COM</v>
      </c>
      <c r="G12638" t="str">
        <f>"WEIGNE SENA CARDOSO (53)"</f>
        <v>WEIGNE SENA CARDOSO (53)</v>
      </c>
      <c r="H12638" t="str">
        <f>"REEMBOLSO ADIANTAMENTO"</f>
        <v>REEMBOLSO ADIANTAMENTO</v>
      </c>
      <c r="I12638" t="str">
        <f t="shared" si="2478"/>
        <v>27/11/2025</v>
      </c>
      <c r="J12638" t="str">
        <f>("06/10/2025")</f>
        <v>06/10/2025</v>
      </c>
      <c r="K12638" t="str">
        <f>("26/11/2025")</f>
        <v>26/11/2025</v>
      </c>
      <c r="L12638">
        <v>100</v>
      </c>
      <c r="M12638">
        <v>100</v>
      </c>
      <c r="N12638">
        <v>129</v>
      </c>
      <c r="O12638" t="str">
        <f>"ENTRADA DE REEMBOLSO ADIANTAMENTO"</f>
        <v>ENTRADA DE REEMBOLSO ADIANTAMENTO</v>
      </c>
      <c r="P12638">
        <v>100</v>
      </c>
      <c r="S12638" t="str">
        <f>"ENTRADA DE REEMBOLSO ADIANTAMENTO (129)"</f>
        <v>ENTRADA DE REEMBOLSO ADIANTAMENTO (129)</v>
      </c>
      <c r="T12638">
        <v>22464</v>
      </c>
      <c r="U12638">
        <v>8708</v>
      </c>
      <c r="V12638" t="s">
        <v>48</v>
      </c>
    </row>
    <row r="12639" spans="1:22">
      <c r="A12639" t="str">
        <f t="shared" si="2477"/>
        <v>26/11/2025</v>
      </c>
      <c r="B12639" t="str">
        <f>"ENTRADA"</f>
        <v>ENTRADA</v>
      </c>
      <c r="C12639" t="str">
        <f>"DINHEIRO"</f>
        <v>DINHEIRO</v>
      </c>
      <c r="D12639" t="str">
        <f>"2711"</f>
        <v>2711</v>
      </c>
      <c r="E12639" t="str">
        <f>"25"</f>
        <v>25</v>
      </c>
      <c r="F12639" t="str">
        <f t="shared" si="2470"/>
        <v>COM</v>
      </c>
      <c r="G12639" t="str">
        <f>"WEIGNE SENA CARDOSO (53)"</f>
        <v>WEIGNE SENA CARDOSO (53)</v>
      </c>
      <c r="H12639" t="s">
        <v>57</v>
      </c>
      <c r="I12639" t="str">
        <f t="shared" si="2478"/>
        <v>27/11/2025</v>
      </c>
      <c r="J12639" t="str">
        <f>("06/10/2025")</f>
        <v>06/10/2025</v>
      </c>
      <c r="K12639">
        <v>45987</v>
      </c>
      <c r="N12639">
        <v>129</v>
      </c>
      <c r="O12639" t="s">
        <v>58</v>
      </c>
      <c r="Q12639">
        <v>100</v>
      </c>
      <c r="R12639" t="str">
        <f>"WEIGNE SENA CARDOSO (53)"</f>
        <v>WEIGNE SENA CARDOSO (53)</v>
      </c>
      <c r="S12639" t="s">
        <v>59</v>
      </c>
      <c r="T12639">
        <v>22464</v>
      </c>
      <c r="U12639">
        <v>8708</v>
      </c>
      <c r="V12639" t="s">
        <v>48</v>
      </c>
    </row>
    <row r="12640" spans="1:22">
      <c r="A12640" t="str">
        <f t="shared" si="2477"/>
        <v>26/11/2025</v>
      </c>
      <c r="B12640" t="str">
        <f>"ENTRADA"</f>
        <v>ENTRADA</v>
      </c>
      <c r="C12640" t="str">
        <f>"DINHEIRO"</f>
        <v>DINHEIRO</v>
      </c>
      <c r="D12640" t="str">
        <f>"2711"</f>
        <v>2711</v>
      </c>
      <c r="E12640" t="str">
        <f>"25"</f>
        <v>25</v>
      </c>
      <c r="F12640" t="str">
        <f t="shared" si="2470"/>
        <v>COM</v>
      </c>
      <c r="G12640" t="str">
        <f>"JAMERSON SOUZA LOPES (749)"</f>
        <v>JAMERSON SOUZA LOPES (749)</v>
      </c>
      <c r="H12640" t="str">
        <f>"REEMBOLSO ADIANTAMENTO"</f>
        <v>REEMBOLSO ADIANTAMENTO</v>
      </c>
      <c r="I12640" t="str">
        <f t="shared" si="2478"/>
        <v>27/11/2025</v>
      </c>
      <c r="J12640" t="str">
        <f>("10/10/2025")</f>
        <v>10/10/2025</v>
      </c>
      <c r="K12640" t="str">
        <f>("26/11/2025")</f>
        <v>26/11/2025</v>
      </c>
      <c r="L12640">
        <v>100</v>
      </c>
      <c r="M12640">
        <v>100</v>
      </c>
      <c r="N12640">
        <v>129</v>
      </c>
      <c r="O12640" t="str">
        <f>"ENTRADA DE REEMBOLSO ADIANTAMENTO"</f>
        <v>ENTRADA DE REEMBOLSO ADIANTAMENTO</v>
      </c>
      <c r="P12640">
        <v>100</v>
      </c>
      <c r="S12640" t="str">
        <f>"ENTRADA DE REEMBOLSO ADIANTAMENTO (129)"</f>
        <v>ENTRADA DE REEMBOLSO ADIANTAMENTO (129)</v>
      </c>
      <c r="T12640">
        <v>22465</v>
      </c>
      <c r="U12640">
        <v>23538</v>
      </c>
      <c r="V12640" t="s">
        <v>22</v>
      </c>
    </row>
    <row r="12641" spans="1:22">
      <c r="A12641" t="str">
        <f t="shared" si="2477"/>
        <v>26/11/2025</v>
      </c>
      <c r="B12641" t="str">
        <f>"ENTRADA"</f>
        <v>ENTRADA</v>
      </c>
      <c r="C12641" t="str">
        <f>"DINHEIRO"</f>
        <v>DINHEIRO</v>
      </c>
      <c r="D12641" t="str">
        <f>"2711"</f>
        <v>2711</v>
      </c>
      <c r="E12641" t="str">
        <f>"25"</f>
        <v>25</v>
      </c>
      <c r="F12641" t="str">
        <f t="shared" si="2470"/>
        <v>COM</v>
      </c>
      <c r="G12641" t="str">
        <f>"JAMERSON SOUZA LOPES (749)"</f>
        <v>JAMERSON SOUZA LOPES (749)</v>
      </c>
      <c r="H12641" t="s">
        <v>57</v>
      </c>
      <c r="I12641" t="str">
        <f t="shared" si="2478"/>
        <v>27/11/2025</v>
      </c>
      <c r="J12641" t="str">
        <f>("10/10/2025")</f>
        <v>10/10/2025</v>
      </c>
      <c r="K12641">
        <v>45987</v>
      </c>
      <c r="N12641">
        <v>129</v>
      </c>
      <c r="O12641" t="s">
        <v>58</v>
      </c>
      <c r="Q12641">
        <v>100</v>
      </c>
      <c r="R12641" t="str">
        <f>"JAMERSON SOUZA LOPES (749)"</f>
        <v>JAMERSON SOUZA LOPES (749)</v>
      </c>
      <c r="S12641" t="s">
        <v>59</v>
      </c>
      <c r="T12641">
        <v>22465</v>
      </c>
      <c r="U12641">
        <v>23538</v>
      </c>
      <c r="V12641" t="s">
        <v>22</v>
      </c>
    </row>
    <row r="12642" spans="1:22">
      <c r="A12642" t="str">
        <f t="shared" si="2477"/>
        <v>26/11/2025</v>
      </c>
      <c r="B12642" t="str">
        <f t="shared" ref="B12642:B12647" si="2479">"SAÍDA"</f>
        <v>SAÍDA</v>
      </c>
      <c r="C12642" t="str">
        <f>"PIX"</f>
        <v>PIX</v>
      </c>
      <c r="D12642" t="str">
        <f>"26269"</f>
        <v>26269</v>
      </c>
      <c r="E12642" t="str">
        <f>"1"</f>
        <v>1</v>
      </c>
      <c r="F12642" t="str">
        <f t="shared" si="2470"/>
        <v>COM</v>
      </c>
      <c r="G12642" t="str">
        <f>"WEIGNE SENA CARDOSO (53)"</f>
        <v>WEIGNE SENA CARDOSO (53)</v>
      </c>
      <c r="H12642" t="str">
        <f>"Serv.Prest. 17/11/2025 a 23/11/2025 - PIX: CPF - CHAVE: 097.245.586-81"</f>
        <v>Serv.Prest. 17/11/2025 a 23/11/2025 - PIX: CPF - CHAVE: 097.245.586-81</v>
      </c>
      <c r="I12642" t="str">
        <f>("04/12/2025")</f>
        <v>04/12/2025</v>
      </c>
      <c r="J12642" t="str">
        <f>("25/11/2025")</f>
        <v>25/11/2025</v>
      </c>
      <c r="K12642" t="str">
        <f>("26/11/2025")</f>
        <v>26/11/2025</v>
      </c>
      <c r="L12642">
        <v>100</v>
      </c>
      <c r="M12642">
        <v>100</v>
      </c>
      <c r="N12642">
        <v>109</v>
      </c>
      <c r="O12642" t="str">
        <f>"PAGAMENTO DE ENTREGADORES"</f>
        <v>PAGAMENTO DE ENTREGADORES</v>
      </c>
      <c r="P12642">
        <v>100</v>
      </c>
      <c r="S12642" t="str">
        <f>"CAIXA MOVIMENTAÇÃO OPERACIONAL (132)"</f>
        <v>CAIXA MOVIMENTAÇÃO OPERACIONAL (132)</v>
      </c>
      <c r="T12642">
        <v>22466</v>
      </c>
      <c r="U12642">
        <v>26391</v>
      </c>
      <c r="V12642" t="s">
        <v>48</v>
      </c>
    </row>
    <row r="12643" spans="1:22">
      <c r="A12643" t="str">
        <f t="shared" si="2477"/>
        <v>26/11/2025</v>
      </c>
      <c r="B12643" t="str">
        <f t="shared" si="2479"/>
        <v>SAÍDA</v>
      </c>
      <c r="C12643" t="str">
        <f>"PIX"</f>
        <v>PIX</v>
      </c>
      <c r="D12643" t="str">
        <f>"26269"</f>
        <v>26269</v>
      </c>
      <c r="E12643" t="str">
        <f>"1"</f>
        <v>1</v>
      </c>
      <c r="F12643" t="str">
        <f t="shared" si="2470"/>
        <v>COM</v>
      </c>
      <c r="G12643" t="str">
        <f>"WEIGNE SENA CARDOSO (53)"</f>
        <v>WEIGNE SENA CARDOSO (53)</v>
      </c>
      <c r="H12643" t="s">
        <v>3391</v>
      </c>
      <c r="I12643" t="str">
        <f>("04/12/2025")</f>
        <v>04/12/2025</v>
      </c>
      <c r="J12643" t="str">
        <f>("25/11/2025")</f>
        <v>25/11/2025</v>
      </c>
      <c r="K12643">
        <v>45987</v>
      </c>
      <c r="N12643">
        <v>109</v>
      </c>
      <c r="O12643" t="s">
        <v>24</v>
      </c>
      <c r="Q12643">
        <v>100</v>
      </c>
      <c r="R12643" t="str">
        <f>"FARMÁCIA INDIANA LJ 07 (10007)"</f>
        <v>FARMÁCIA INDIANA LJ 07 (10007)</v>
      </c>
      <c r="S12643" t="s">
        <v>48</v>
      </c>
      <c r="T12643">
        <v>22466</v>
      </c>
      <c r="U12643">
        <v>26391</v>
      </c>
      <c r="V12643" t="s">
        <v>48</v>
      </c>
    </row>
    <row r="12644" spans="1:22">
      <c r="A12644" t="str">
        <f t="shared" si="2477"/>
        <v>26/11/2025</v>
      </c>
      <c r="B12644" t="str">
        <f t="shared" si="2479"/>
        <v>SAÍDA</v>
      </c>
      <c r="C12644" t="str">
        <f>"BOLETO"</f>
        <v>BOLETO</v>
      </c>
      <c r="D12644" t="str">
        <f>"13854"</f>
        <v>13854</v>
      </c>
      <c r="E12644" t="str">
        <f>"1"</f>
        <v>1</v>
      </c>
      <c r="F12644" t="str">
        <f t="shared" si="2470"/>
        <v>COM</v>
      </c>
      <c r="G12644" t="str">
        <f>"FLUX TELEMEDICINA (20076)"</f>
        <v>FLUX TELEMEDICINA (20076)</v>
      </c>
      <c r="H12644" t="str">
        <f>"PLANO TELEMEDICINA COOPERADOS"</f>
        <v>PLANO TELEMEDICINA COOPERADOS</v>
      </c>
      <c r="I12644" t="str">
        <f t="shared" ref="I12644:I12675" si="2480">("26/11/2025")</f>
        <v>26/11/2025</v>
      </c>
      <c r="J12644" t="str">
        <f>("07/11/2025")</f>
        <v>07/11/2025</v>
      </c>
      <c r="K12644" t="str">
        <f>("26/11/2025")</f>
        <v>26/11/2025</v>
      </c>
      <c r="L12644">
        <v>3413.01</v>
      </c>
      <c r="M12644">
        <v>3413.01</v>
      </c>
      <c r="N12644">
        <v>192</v>
      </c>
      <c r="O12644" t="str">
        <f>"PLANOS E SEGUROS"</f>
        <v>PLANOS E SEGUROS</v>
      </c>
      <c r="P12644">
        <v>3413.01</v>
      </c>
      <c r="S12644" t="str">
        <f>"BANCO CORA (102)"</f>
        <v>BANCO CORA (102)</v>
      </c>
      <c r="T12644">
        <v>22487</v>
      </c>
      <c r="U12644">
        <v>15466</v>
      </c>
      <c r="V12644" t="s">
        <v>22</v>
      </c>
    </row>
    <row r="12645" spans="1:22">
      <c r="A12645" t="str">
        <f t="shared" si="2477"/>
        <v>26/11/2025</v>
      </c>
      <c r="B12645" t="str">
        <f t="shared" si="2479"/>
        <v>SAÍDA</v>
      </c>
      <c r="C12645" t="str">
        <f>"BOLETO"</f>
        <v>BOLETO</v>
      </c>
      <c r="D12645" t="str">
        <f>"13854"</f>
        <v>13854</v>
      </c>
      <c r="E12645" t="str">
        <f>"1"</f>
        <v>1</v>
      </c>
      <c r="F12645" t="str">
        <f t="shared" si="2470"/>
        <v>COM</v>
      </c>
      <c r="G12645" t="str">
        <f>"FLUX TELEMEDICINA (20076)"</f>
        <v>FLUX TELEMEDICINA (20076)</v>
      </c>
      <c r="H12645" t="s">
        <v>1068</v>
      </c>
      <c r="I12645" t="str">
        <f t="shared" si="2480"/>
        <v>26/11/2025</v>
      </c>
      <c r="J12645" t="str">
        <f>("07/11/2025")</f>
        <v>07/11/2025</v>
      </c>
      <c r="K12645">
        <v>45987</v>
      </c>
      <c r="N12645">
        <v>192</v>
      </c>
      <c r="O12645" t="s">
        <v>38</v>
      </c>
      <c r="Q12645">
        <v>3413.01</v>
      </c>
      <c r="R12645" t="str">
        <f>"FLUX TELEMEDICINA (20076)"</f>
        <v>FLUX TELEMEDICINA (20076)</v>
      </c>
      <c r="S12645" t="s">
        <v>22</v>
      </c>
      <c r="T12645">
        <v>22487</v>
      </c>
      <c r="U12645">
        <v>15466</v>
      </c>
      <c r="V12645" t="s">
        <v>22</v>
      </c>
    </row>
    <row r="12646" spans="1:22">
      <c r="A12646" t="str">
        <f t="shared" si="2477"/>
        <v>26/11/2025</v>
      </c>
      <c r="B12646" t="str">
        <f t="shared" si="2479"/>
        <v>SAÍDA</v>
      </c>
      <c r="C12646" t="str">
        <f>"PIX"</f>
        <v>PIX</v>
      </c>
      <c r="D12646" t="str">
        <f>"26012025"</f>
        <v>26012025</v>
      </c>
      <c r="E12646" t="str">
        <f>"35"</f>
        <v>35</v>
      </c>
      <c r="F12646" t="str">
        <f t="shared" ref="F12646:F12677" si="2481">"COM"</f>
        <v>COM</v>
      </c>
      <c r="G12646" t="str">
        <f>"SARAH RODRIGUES DE JESUS CAETANO (20043)"</f>
        <v>SARAH RODRIGUES DE JESUS CAETANO (20043)</v>
      </c>
      <c r="H12646" t="str">
        <f>"ASSESSORIA JURIDICA"</f>
        <v>ASSESSORIA JURIDICA</v>
      </c>
      <c r="I12646" t="str">
        <f t="shared" si="2480"/>
        <v>26/11/2025</v>
      </c>
      <c r="J12646" t="str">
        <f>("01/01/2025")</f>
        <v>01/01/2025</v>
      </c>
      <c r="K12646" t="str">
        <f>("26/11/2025")</f>
        <v>26/11/2025</v>
      </c>
      <c r="L12646">
        <v>3000</v>
      </c>
      <c r="M12646">
        <v>3000</v>
      </c>
      <c r="N12646">
        <v>122</v>
      </c>
      <c r="O12646" t="str">
        <f>"HONORARIOS ADVOCATICIOS"</f>
        <v>HONORARIOS ADVOCATICIOS</v>
      </c>
      <c r="P12646">
        <v>3000</v>
      </c>
      <c r="S12646" t="str">
        <f>"BANCO CORA (102)"</f>
        <v>BANCO CORA (102)</v>
      </c>
      <c r="T12646">
        <v>22488</v>
      </c>
      <c r="U12646">
        <v>8315</v>
      </c>
      <c r="V12646" t="s">
        <v>22</v>
      </c>
    </row>
    <row r="12647" spans="1:22">
      <c r="A12647" t="str">
        <f t="shared" si="2477"/>
        <v>26/11/2025</v>
      </c>
      <c r="B12647" t="str">
        <f t="shared" si="2479"/>
        <v>SAÍDA</v>
      </c>
      <c r="C12647" t="str">
        <f>"PIX"</f>
        <v>PIX</v>
      </c>
      <c r="D12647" t="str">
        <f>"26012025"</f>
        <v>26012025</v>
      </c>
      <c r="E12647" t="str">
        <f>"35"</f>
        <v>35</v>
      </c>
      <c r="F12647" t="str">
        <f t="shared" si="2481"/>
        <v>COM</v>
      </c>
      <c r="G12647" t="str">
        <f>"SARAH RODRIGUES DE JESUS CAETANO (20043)"</f>
        <v>SARAH RODRIGUES DE JESUS CAETANO (20043)</v>
      </c>
      <c r="H12647" t="s">
        <v>2142</v>
      </c>
      <c r="I12647" t="str">
        <f t="shared" si="2480"/>
        <v>26/11/2025</v>
      </c>
      <c r="J12647" t="str">
        <f>("01/01/2025")</f>
        <v>01/01/2025</v>
      </c>
      <c r="K12647">
        <v>45987</v>
      </c>
      <c r="N12647">
        <v>122</v>
      </c>
      <c r="O12647" t="s">
        <v>857</v>
      </c>
      <c r="Q12647">
        <v>3000</v>
      </c>
      <c r="R12647" t="str">
        <f>"SARAH RODRIGUES DE JESUS CAETANO (20043)"</f>
        <v>SARAH RODRIGUES DE JESUS CAETANO (20043)</v>
      </c>
      <c r="S12647" t="s">
        <v>22</v>
      </c>
      <c r="T12647">
        <v>22488</v>
      </c>
      <c r="U12647">
        <v>8315</v>
      </c>
      <c r="V12647" t="s">
        <v>22</v>
      </c>
    </row>
    <row r="12648" spans="1:22">
      <c r="A12648" t="str">
        <f t="shared" si="2477"/>
        <v>26/11/2025</v>
      </c>
      <c r="B12648" t="str">
        <f t="shared" ref="B12648:B12681" si="2482">"ENTRADA"</f>
        <v>ENTRADA</v>
      </c>
      <c r="C12648" t="str">
        <f t="shared" ref="C12648:C12681" si="2483">"NFSE"</f>
        <v>NFSE</v>
      </c>
      <c r="D12648" t="str">
        <f>"3727"</f>
        <v>3727</v>
      </c>
      <c r="E12648" t="str">
        <f t="shared" ref="E12648:E12681" si="2484">"1"</f>
        <v>1</v>
      </c>
      <c r="F12648" t="str">
        <f t="shared" si="2481"/>
        <v>COM</v>
      </c>
      <c r="G12648" t="str">
        <f>"PAGMENOS - LJ 608 (10135)"</f>
        <v>PAGMENOS - LJ 608 (10135)</v>
      </c>
      <c r="H12648" t="str">
        <f>"Serv.Prest. 10/11/2025 a 16/11/2025 - RPS: 1603 - NFSe: 3727"</f>
        <v>Serv.Prest. 10/11/2025 a 16/11/2025 - RPS: 1603 - NFSe: 3727</v>
      </c>
      <c r="I12648" t="str">
        <f t="shared" si="2480"/>
        <v>26/11/2025</v>
      </c>
      <c r="J12648" t="str">
        <f>("18/11/2025")</f>
        <v>18/11/2025</v>
      </c>
      <c r="K12648" t="str">
        <f>("26/11/2025")</f>
        <v>26/11/2025</v>
      </c>
      <c r="L12648">
        <v>1982.24</v>
      </c>
      <c r="M12648">
        <v>1982.24</v>
      </c>
      <c r="N12648">
        <v>303</v>
      </c>
      <c r="O12648" t="str">
        <f>"RECEITAS COM ENTREGAS"</f>
        <v>RECEITAS COM ENTREGAS</v>
      </c>
      <c r="P12648">
        <v>1982.24</v>
      </c>
      <c r="S12648" t="str">
        <f>"RECEITAS COM ENTREGAS (303)"</f>
        <v>RECEITAS COM ENTREGAS (303)</v>
      </c>
      <c r="T12648">
        <v>22953</v>
      </c>
      <c r="U12648">
        <v>25595</v>
      </c>
      <c r="V12648" t="s">
        <v>22</v>
      </c>
    </row>
    <row r="12649" spans="1:22">
      <c r="A12649" t="str">
        <f t="shared" si="2477"/>
        <v>26/11/2025</v>
      </c>
      <c r="B12649" t="str">
        <f t="shared" si="2482"/>
        <v>ENTRADA</v>
      </c>
      <c r="C12649" t="str">
        <f t="shared" si="2483"/>
        <v>NFSE</v>
      </c>
      <c r="D12649" t="str">
        <f>"3727"</f>
        <v>3727</v>
      </c>
      <c r="E12649" t="str">
        <f t="shared" si="2484"/>
        <v>1</v>
      </c>
      <c r="F12649" t="str">
        <f t="shared" si="2481"/>
        <v>COM</v>
      </c>
      <c r="G12649" t="str">
        <f>"PAGMENOS - LJ 608 (10135)"</f>
        <v>PAGMENOS - LJ 608 (10135)</v>
      </c>
      <c r="H12649" t="s">
        <v>3424</v>
      </c>
      <c r="I12649" t="str">
        <f t="shared" si="2480"/>
        <v>26/11/2025</v>
      </c>
      <c r="J12649" t="str">
        <f>("18/11/2025")</f>
        <v>18/11/2025</v>
      </c>
      <c r="K12649">
        <v>45987</v>
      </c>
      <c r="N12649">
        <v>303</v>
      </c>
      <c r="O12649" t="s">
        <v>69</v>
      </c>
      <c r="Q12649">
        <v>1982.24</v>
      </c>
      <c r="R12649" t="str">
        <f>"PAGMENOS - LJ 608 (10135)"</f>
        <v>PAGMENOS - LJ 608 (10135)</v>
      </c>
      <c r="S12649" t="s">
        <v>70</v>
      </c>
      <c r="T12649">
        <v>22953</v>
      </c>
      <c r="U12649">
        <v>25595</v>
      </c>
      <c r="V12649" t="s">
        <v>22</v>
      </c>
    </row>
    <row r="12650" spans="1:22">
      <c r="A12650" t="str">
        <f t="shared" si="2477"/>
        <v>26/11/2025</v>
      </c>
      <c r="B12650" t="str">
        <f t="shared" si="2482"/>
        <v>ENTRADA</v>
      </c>
      <c r="C12650" t="str">
        <f t="shared" si="2483"/>
        <v>NFSE</v>
      </c>
      <c r="D12650" t="str">
        <f>"3762"</f>
        <v>3762</v>
      </c>
      <c r="E12650" t="str">
        <f t="shared" si="2484"/>
        <v>1</v>
      </c>
      <c r="F12650" t="str">
        <f t="shared" si="2481"/>
        <v>COM</v>
      </c>
      <c r="G12650" t="str">
        <f>"ULTRA POPULAR  UBA 2 (10214)"</f>
        <v>ULTRA POPULAR  UBA 2 (10214)</v>
      </c>
      <c r="H12650" t="str">
        <f>"Serv.Prest. 17/11/2025 a 23/11/2025 - RPS: 1638 - NFSe: 3762"</f>
        <v>Serv.Prest. 17/11/2025 a 23/11/2025 - RPS: 1638 - NFSe: 3762</v>
      </c>
      <c r="I12650" t="str">
        <f t="shared" si="2480"/>
        <v>26/11/2025</v>
      </c>
      <c r="J12650" t="str">
        <f t="shared" ref="J12650:J12675" si="2485">("24/11/2025")</f>
        <v>24/11/2025</v>
      </c>
      <c r="K12650" t="str">
        <f>("26/11/2025")</f>
        <v>26/11/2025</v>
      </c>
      <c r="L12650">
        <v>688.8</v>
      </c>
      <c r="M12650">
        <v>688.8</v>
      </c>
      <c r="N12650">
        <v>303</v>
      </c>
      <c r="O12650" t="str">
        <f>"RECEITAS COM ENTREGAS"</f>
        <v>RECEITAS COM ENTREGAS</v>
      </c>
      <c r="P12650">
        <v>688.8</v>
      </c>
      <c r="S12650" t="str">
        <f>"RECEITAS COM ENTREGAS (303)"</f>
        <v>RECEITAS COM ENTREGAS (303)</v>
      </c>
      <c r="T12650">
        <v>22954</v>
      </c>
      <c r="U12650">
        <v>25969</v>
      </c>
      <c r="V12650" t="s">
        <v>22</v>
      </c>
    </row>
    <row r="12651" spans="1:22">
      <c r="A12651" t="str">
        <f t="shared" si="2477"/>
        <v>26/11/2025</v>
      </c>
      <c r="B12651" t="str">
        <f t="shared" si="2482"/>
        <v>ENTRADA</v>
      </c>
      <c r="C12651" t="str">
        <f t="shared" si="2483"/>
        <v>NFSE</v>
      </c>
      <c r="D12651" t="str">
        <f>"3762"</f>
        <v>3762</v>
      </c>
      <c r="E12651" t="str">
        <f t="shared" si="2484"/>
        <v>1</v>
      </c>
      <c r="F12651" t="str">
        <f t="shared" si="2481"/>
        <v>COM</v>
      </c>
      <c r="G12651" t="str">
        <f>"ULTRA POPULAR  UBA 2 (10214)"</f>
        <v>ULTRA POPULAR  UBA 2 (10214)</v>
      </c>
      <c r="H12651" t="s">
        <v>3425</v>
      </c>
      <c r="I12651" t="str">
        <f t="shared" si="2480"/>
        <v>26/11/2025</v>
      </c>
      <c r="J12651" t="str">
        <f t="shared" si="2485"/>
        <v>24/11/2025</v>
      </c>
      <c r="K12651">
        <v>45987</v>
      </c>
      <c r="N12651">
        <v>303</v>
      </c>
      <c r="O12651" t="s">
        <v>69</v>
      </c>
      <c r="Q12651">
        <v>442.28</v>
      </c>
      <c r="R12651" t="str">
        <f>"ULTRA POPULAR  UBA 2 (10214)"</f>
        <v>ULTRA POPULAR  UBA 2 (10214)</v>
      </c>
      <c r="S12651" t="s">
        <v>70</v>
      </c>
      <c r="T12651">
        <v>22954</v>
      </c>
      <c r="U12651">
        <v>25969</v>
      </c>
      <c r="V12651" t="s">
        <v>22</v>
      </c>
    </row>
    <row r="12652" spans="1:22">
      <c r="A12652" t="str">
        <f t="shared" si="2477"/>
        <v>26/11/2025</v>
      </c>
      <c r="B12652" t="str">
        <f t="shared" si="2482"/>
        <v>ENTRADA</v>
      </c>
      <c r="C12652" t="str">
        <f t="shared" si="2483"/>
        <v>NFSE</v>
      </c>
      <c r="D12652" t="str">
        <f>"3762"</f>
        <v>3762</v>
      </c>
      <c r="E12652" t="str">
        <f t="shared" si="2484"/>
        <v>1</v>
      </c>
      <c r="F12652" t="str">
        <f t="shared" si="2481"/>
        <v>COM</v>
      </c>
      <c r="G12652" t="str">
        <f>"ULTRA POPULAR  UBA 2 (10214)"</f>
        <v>ULTRA POPULAR  UBA 2 (10214)</v>
      </c>
      <c r="H12652" t="s">
        <v>3425</v>
      </c>
      <c r="I12652" t="str">
        <f t="shared" si="2480"/>
        <v>26/11/2025</v>
      </c>
      <c r="J12652" t="str">
        <f t="shared" si="2485"/>
        <v>24/11/2025</v>
      </c>
      <c r="K12652">
        <v>45987</v>
      </c>
      <c r="N12652">
        <v>303</v>
      </c>
      <c r="O12652" t="s">
        <v>69</v>
      </c>
      <c r="Q12652">
        <v>246.52</v>
      </c>
      <c r="R12652" t="str">
        <f>"UBA 1 (10263)"</f>
        <v>UBA 1 (10263)</v>
      </c>
      <c r="S12652" t="s">
        <v>70</v>
      </c>
      <c r="T12652">
        <v>22954</v>
      </c>
      <c r="U12652">
        <v>25969</v>
      </c>
      <c r="V12652" t="s">
        <v>22</v>
      </c>
    </row>
    <row r="12653" spans="1:22">
      <c r="A12653" t="str">
        <f t="shared" si="2477"/>
        <v>26/11/2025</v>
      </c>
      <c r="B12653" t="str">
        <f t="shared" si="2482"/>
        <v>ENTRADA</v>
      </c>
      <c r="C12653" t="str">
        <f t="shared" si="2483"/>
        <v>NFSE</v>
      </c>
      <c r="D12653" t="str">
        <f>"3764"</f>
        <v>3764</v>
      </c>
      <c r="E12653" t="str">
        <f t="shared" si="2484"/>
        <v>1</v>
      </c>
      <c r="F12653" t="str">
        <f t="shared" si="2481"/>
        <v>COM</v>
      </c>
      <c r="G12653" t="str">
        <f>"DROGARIA AGAPEAMA (10167)"</f>
        <v>DROGARIA AGAPEAMA (10167)</v>
      </c>
      <c r="H12653" t="str">
        <f>"Serv.Prest. 17/11/2025 a 23/11/2025 - RPS: 1640 - NFSe: 3764"</f>
        <v>Serv.Prest. 17/11/2025 a 23/11/2025 - RPS: 1640 - NFSe: 3764</v>
      </c>
      <c r="I12653" t="str">
        <f t="shared" si="2480"/>
        <v>26/11/2025</v>
      </c>
      <c r="J12653" t="str">
        <f t="shared" si="2485"/>
        <v>24/11/2025</v>
      </c>
      <c r="K12653" t="str">
        <f>("26/11/2025")</f>
        <v>26/11/2025</v>
      </c>
      <c r="L12653">
        <v>3758.4</v>
      </c>
      <c r="M12653">
        <v>3758.4</v>
      </c>
      <c r="N12653">
        <v>303</v>
      </c>
      <c r="O12653" t="str">
        <f>"RECEITAS COM ENTREGAS"</f>
        <v>RECEITAS COM ENTREGAS</v>
      </c>
      <c r="P12653">
        <v>3758.4</v>
      </c>
      <c r="S12653" t="str">
        <f>"RECEITAS COM ENTREGAS (303)"</f>
        <v>RECEITAS COM ENTREGAS (303)</v>
      </c>
      <c r="T12653">
        <v>22955</v>
      </c>
      <c r="U12653">
        <v>25975</v>
      </c>
      <c r="V12653" t="s">
        <v>22</v>
      </c>
    </row>
    <row r="12654" spans="1:22">
      <c r="A12654" t="str">
        <f t="shared" si="2477"/>
        <v>26/11/2025</v>
      </c>
      <c r="B12654" t="str">
        <f t="shared" si="2482"/>
        <v>ENTRADA</v>
      </c>
      <c r="C12654" t="str">
        <f t="shared" si="2483"/>
        <v>NFSE</v>
      </c>
      <c r="D12654" t="str">
        <f>"3764"</f>
        <v>3764</v>
      </c>
      <c r="E12654" t="str">
        <f t="shared" si="2484"/>
        <v>1</v>
      </c>
      <c r="F12654" t="str">
        <f t="shared" si="2481"/>
        <v>COM</v>
      </c>
      <c r="G12654" t="str">
        <f>"DROGARIA AGAPEAMA (10167)"</f>
        <v>DROGARIA AGAPEAMA (10167)</v>
      </c>
      <c r="H12654" t="s">
        <v>3426</v>
      </c>
      <c r="I12654" t="str">
        <f t="shared" si="2480"/>
        <v>26/11/2025</v>
      </c>
      <c r="J12654" t="str">
        <f t="shared" si="2485"/>
        <v>24/11/2025</v>
      </c>
      <c r="K12654">
        <v>45987</v>
      </c>
      <c r="N12654">
        <v>303</v>
      </c>
      <c r="O12654" t="s">
        <v>69</v>
      </c>
      <c r="Q12654">
        <v>3758.4</v>
      </c>
      <c r="R12654" t="str">
        <f>"DROGARIA AGAPEAMA (10167)"</f>
        <v>DROGARIA AGAPEAMA (10167)</v>
      </c>
      <c r="S12654" t="s">
        <v>70</v>
      </c>
      <c r="T12654">
        <v>22955</v>
      </c>
      <c r="U12654">
        <v>25975</v>
      </c>
      <c r="V12654" t="s">
        <v>22</v>
      </c>
    </row>
    <row r="12655" spans="1:22">
      <c r="A12655" t="str">
        <f t="shared" si="2477"/>
        <v>26/11/2025</v>
      </c>
      <c r="B12655" t="str">
        <f t="shared" si="2482"/>
        <v>ENTRADA</v>
      </c>
      <c r="C12655" t="str">
        <f t="shared" si="2483"/>
        <v>NFSE</v>
      </c>
      <c r="D12655" t="str">
        <f>"3765"</f>
        <v>3765</v>
      </c>
      <c r="E12655" t="str">
        <f t="shared" si="2484"/>
        <v>1</v>
      </c>
      <c r="F12655" t="str">
        <f t="shared" si="2481"/>
        <v>COM</v>
      </c>
      <c r="G12655" t="str">
        <f>"DROGARIA ANA VISCONDE DO RIO BRANCO (10182)"</f>
        <v>DROGARIA ANA VISCONDE DO RIO BRANCO (10182)</v>
      </c>
      <c r="H12655" t="str">
        <f>"Serv.Prest. 17/11/2025 a 23/11/2025 - RPS: 1641 - NFSe: 3765"</f>
        <v>Serv.Prest. 17/11/2025 a 23/11/2025 - RPS: 1641 - NFSe: 3765</v>
      </c>
      <c r="I12655" t="str">
        <f t="shared" si="2480"/>
        <v>26/11/2025</v>
      </c>
      <c r="J12655" t="str">
        <f t="shared" si="2485"/>
        <v>24/11/2025</v>
      </c>
      <c r="K12655" t="str">
        <f>("26/11/2025")</f>
        <v>26/11/2025</v>
      </c>
      <c r="L12655">
        <v>5098.7299999999996</v>
      </c>
      <c r="M12655">
        <v>5098.7299999999996</v>
      </c>
      <c r="N12655">
        <v>303</v>
      </c>
      <c r="O12655" t="str">
        <f>"RECEITAS COM ENTREGAS"</f>
        <v>RECEITAS COM ENTREGAS</v>
      </c>
      <c r="P12655">
        <v>5098.7299999999996</v>
      </c>
      <c r="S12655" t="str">
        <f>"RECEITAS COM ENTREGAS (303)"</f>
        <v>RECEITAS COM ENTREGAS (303)</v>
      </c>
      <c r="T12655">
        <v>22956</v>
      </c>
      <c r="U12655">
        <v>25979</v>
      </c>
      <c r="V12655" t="s">
        <v>22</v>
      </c>
    </row>
    <row r="12656" spans="1:22">
      <c r="A12656" t="str">
        <f t="shared" si="2477"/>
        <v>26/11/2025</v>
      </c>
      <c r="B12656" t="str">
        <f t="shared" si="2482"/>
        <v>ENTRADA</v>
      </c>
      <c r="C12656" t="str">
        <f t="shared" si="2483"/>
        <v>NFSE</v>
      </c>
      <c r="D12656" t="str">
        <f>"3765"</f>
        <v>3765</v>
      </c>
      <c r="E12656" t="str">
        <f t="shared" si="2484"/>
        <v>1</v>
      </c>
      <c r="F12656" t="str">
        <f t="shared" si="2481"/>
        <v>COM</v>
      </c>
      <c r="G12656" t="str">
        <f>"DROGARIA ANA VISCONDE DO RIO BRANCO (10182)"</f>
        <v>DROGARIA ANA VISCONDE DO RIO BRANCO (10182)</v>
      </c>
      <c r="H12656" t="s">
        <v>3427</v>
      </c>
      <c r="I12656" t="str">
        <f t="shared" si="2480"/>
        <v>26/11/2025</v>
      </c>
      <c r="J12656" t="str">
        <f t="shared" si="2485"/>
        <v>24/11/2025</v>
      </c>
      <c r="K12656">
        <v>45987</v>
      </c>
      <c r="N12656">
        <v>303</v>
      </c>
      <c r="O12656" t="s">
        <v>69</v>
      </c>
      <c r="Q12656">
        <v>5098.7299999999996</v>
      </c>
      <c r="R12656" t="str">
        <f>"DROGARIA ANA VISCONDE DO RIO BRANCO (10182)"</f>
        <v>DROGARIA ANA VISCONDE DO RIO BRANCO (10182)</v>
      </c>
      <c r="S12656" t="s">
        <v>70</v>
      </c>
      <c r="T12656">
        <v>22956</v>
      </c>
      <c r="U12656">
        <v>25979</v>
      </c>
      <c r="V12656" t="s">
        <v>22</v>
      </c>
    </row>
    <row r="12657" spans="1:22">
      <c r="A12657" t="str">
        <f t="shared" si="2477"/>
        <v>26/11/2025</v>
      </c>
      <c r="B12657" t="str">
        <f t="shared" si="2482"/>
        <v>ENTRADA</v>
      </c>
      <c r="C12657" t="str">
        <f t="shared" si="2483"/>
        <v>NFSE</v>
      </c>
      <c r="D12657" t="str">
        <f>"3768"</f>
        <v>3768</v>
      </c>
      <c r="E12657" t="str">
        <f t="shared" si="2484"/>
        <v>1</v>
      </c>
      <c r="F12657" t="str">
        <f t="shared" si="2481"/>
        <v>COM</v>
      </c>
      <c r="G12657" t="str">
        <f>"ENTREFARMA (10164)"</f>
        <v>ENTREFARMA (10164)</v>
      </c>
      <c r="H12657" t="str">
        <f>"Serv.Prest. 17/11/2025 a 23/11/2025 - RPS: 1644 - NFSe: 3768"</f>
        <v>Serv.Prest. 17/11/2025 a 23/11/2025 - RPS: 1644 - NFSe: 3768</v>
      </c>
      <c r="I12657" t="str">
        <f t="shared" si="2480"/>
        <v>26/11/2025</v>
      </c>
      <c r="J12657" t="str">
        <f t="shared" si="2485"/>
        <v>24/11/2025</v>
      </c>
      <c r="K12657" t="str">
        <f>("26/11/2025")</f>
        <v>26/11/2025</v>
      </c>
      <c r="L12657">
        <v>5592.15</v>
      </c>
      <c r="M12657">
        <v>5592.15</v>
      </c>
      <c r="N12657">
        <v>303</v>
      </c>
      <c r="O12657" t="str">
        <f>"RECEITAS COM ENTREGAS"</f>
        <v>RECEITAS COM ENTREGAS</v>
      </c>
      <c r="P12657">
        <v>5592.15</v>
      </c>
      <c r="S12657" t="str">
        <f>"RECEITAS COM ENTREGAS (303)"</f>
        <v>RECEITAS COM ENTREGAS (303)</v>
      </c>
      <c r="T12657">
        <v>22957</v>
      </c>
      <c r="U12657">
        <v>25990</v>
      </c>
      <c r="V12657" t="s">
        <v>22</v>
      </c>
    </row>
    <row r="12658" spans="1:22">
      <c r="A12658" t="str">
        <f t="shared" si="2477"/>
        <v>26/11/2025</v>
      </c>
      <c r="B12658" t="str">
        <f t="shared" si="2482"/>
        <v>ENTRADA</v>
      </c>
      <c r="C12658" t="str">
        <f t="shared" si="2483"/>
        <v>NFSE</v>
      </c>
      <c r="D12658" t="str">
        <f>"3768"</f>
        <v>3768</v>
      </c>
      <c r="E12658" t="str">
        <f t="shared" si="2484"/>
        <v>1</v>
      </c>
      <c r="F12658" t="str">
        <f t="shared" si="2481"/>
        <v>COM</v>
      </c>
      <c r="G12658" t="str">
        <f>"ENTREFARMA (10164)"</f>
        <v>ENTREFARMA (10164)</v>
      </c>
      <c r="H12658" t="s">
        <v>3428</v>
      </c>
      <c r="I12658" t="str">
        <f t="shared" si="2480"/>
        <v>26/11/2025</v>
      </c>
      <c r="J12658" t="str">
        <f t="shared" si="2485"/>
        <v>24/11/2025</v>
      </c>
      <c r="K12658">
        <v>45987</v>
      </c>
      <c r="N12658">
        <v>303</v>
      </c>
      <c r="O12658" t="s">
        <v>69</v>
      </c>
      <c r="Q12658">
        <v>5592.15</v>
      </c>
      <c r="R12658" t="str">
        <f>"ENTREFARMA (10164)"</f>
        <v>ENTREFARMA (10164)</v>
      </c>
      <c r="S12658" t="s">
        <v>70</v>
      </c>
      <c r="T12658">
        <v>22957</v>
      </c>
      <c r="U12658">
        <v>25990</v>
      </c>
      <c r="V12658" t="s">
        <v>22</v>
      </c>
    </row>
    <row r="12659" spans="1:22">
      <c r="A12659" t="str">
        <f t="shared" si="2477"/>
        <v>26/11/2025</v>
      </c>
      <c r="B12659" t="str">
        <f t="shared" si="2482"/>
        <v>ENTRADA</v>
      </c>
      <c r="C12659" t="str">
        <f t="shared" si="2483"/>
        <v>NFSE</v>
      </c>
      <c r="D12659" t="str">
        <f>"3769"</f>
        <v>3769</v>
      </c>
      <c r="E12659" t="str">
        <f t="shared" si="2484"/>
        <v>1</v>
      </c>
      <c r="F12659" t="str">
        <f t="shared" si="2481"/>
        <v>COM</v>
      </c>
      <c r="G12659" t="str">
        <f>"FRAN FARMA (10124)"</f>
        <v>FRAN FARMA (10124)</v>
      </c>
      <c r="H12659" t="str">
        <f>"Serv.Prest. 17/11/2025 a 23/11/2025 - RPS: 1645 - NFSe: 3769"</f>
        <v>Serv.Prest. 17/11/2025 a 23/11/2025 - RPS: 1645 - NFSe: 3769</v>
      </c>
      <c r="I12659" t="str">
        <f t="shared" si="2480"/>
        <v>26/11/2025</v>
      </c>
      <c r="J12659" t="str">
        <f t="shared" si="2485"/>
        <v>24/11/2025</v>
      </c>
      <c r="K12659" t="str">
        <f>("26/11/2025")</f>
        <v>26/11/2025</v>
      </c>
      <c r="L12659">
        <v>840</v>
      </c>
      <c r="M12659">
        <v>840</v>
      </c>
      <c r="N12659">
        <v>303</v>
      </c>
      <c r="O12659" t="str">
        <f>"RECEITAS COM ENTREGAS"</f>
        <v>RECEITAS COM ENTREGAS</v>
      </c>
      <c r="P12659">
        <v>840</v>
      </c>
      <c r="S12659" t="str">
        <f>"RECEITAS COM ENTREGAS (303)"</f>
        <v>RECEITAS COM ENTREGAS (303)</v>
      </c>
      <c r="T12659">
        <v>22958</v>
      </c>
      <c r="U12659">
        <v>25995</v>
      </c>
      <c r="V12659" t="s">
        <v>22</v>
      </c>
    </row>
    <row r="12660" spans="1:22">
      <c r="A12660" t="str">
        <f t="shared" si="2477"/>
        <v>26/11/2025</v>
      </c>
      <c r="B12660" t="str">
        <f t="shared" si="2482"/>
        <v>ENTRADA</v>
      </c>
      <c r="C12660" t="str">
        <f t="shared" si="2483"/>
        <v>NFSE</v>
      </c>
      <c r="D12660" t="str">
        <f>"3769"</f>
        <v>3769</v>
      </c>
      <c r="E12660" t="str">
        <f t="shared" si="2484"/>
        <v>1</v>
      </c>
      <c r="F12660" t="str">
        <f t="shared" si="2481"/>
        <v>COM</v>
      </c>
      <c r="G12660" t="str">
        <f>"FRAN FARMA (10124)"</f>
        <v>FRAN FARMA (10124)</v>
      </c>
      <c r="H12660" t="s">
        <v>3429</v>
      </c>
      <c r="I12660" t="str">
        <f t="shared" si="2480"/>
        <v>26/11/2025</v>
      </c>
      <c r="J12660" t="str">
        <f t="shared" si="2485"/>
        <v>24/11/2025</v>
      </c>
      <c r="K12660">
        <v>45987</v>
      </c>
      <c r="N12660">
        <v>303</v>
      </c>
      <c r="O12660" t="s">
        <v>69</v>
      </c>
      <c r="Q12660">
        <v>504</v>
      </c>
      <c r="R12660" t="str">
        <f>"FRAN FARMA LJ 2 (10131)"</f>
        <v>FRAN FARMA LJ 2 (10131)</v>
      </c>
      <c r="S12660" t="s">
        <v>70</v>
      </c>
      <c r="T12660">
        <v>22958</v>
      </c>
      <c r="U12660">
        <v>25995</v>
      </c>
      <c r="V12660" t="s">
        <v>22</v>
      </c>
    </row>
    <row r="12661" spans="1:22">
      <c r="A12661" t="str">
        <f t="shared" si="2477"/>
        <v>26/11/2025</v>
      </c>
      <c r="B12661" t="str">
        <f t="shared" si="2482"/>
        <v>ENTRADA</v>
      </c>
      <c r="C12661" t="str">
        <f t="shared" si="2483"/>
        <v>NFSE</v>
      </c>
      <c r="D12661" t="str">
        <f>"3769"</f>
        <v>3769</v>
      </c>
      <c r="E12661" t="str">
        <f t="shared" si="2484"/>
        <v>1</v>
      </c>
      <c r="F12661" t="str">
        <f t="shared" si="2481"/>
        <v>COM</v>
      </c>
      <c r="G12661" t="str">
        <f>"FRAN FARMA (10124)"</f>
        <v>FRAN FARMA (10124)</v>
      </c>
      <c r="H12661" t="s">
        <v>3429</v>
      </c>
      <c r="I12661" t="str">
        <f t="shared" si="2480"/>
        <v>26/11/2025</v>
      </c>
      <c r="J12661" t="str">
        <f t="shared" si="2485"/>
        <v>24/11/2025</v>
      </c>
      <c r="K12661">
        <v>45987</v>
      </c>
      <c r="N12661">
        <v>303</v>
      </c>
      <c r="O12661" t="s">
        <v>69</v>
      </c>
      <c r="Q12661">
        <v>336</v>
      </c>
      <c r="R12661" t="str">
        <f>"FRAN FARMA LJ 3 (10132)"</f>
        <v>FRAN FARMA LJ 3 (10132)</v>
      </c>
      <c r="S12661" t="s">
        <v>70</v>
      </c>
      <c r="T12661">
        <v>22958</v>
      </c>
      <c r="U12661">
        <v>25995</v>
      </c>
      <c r="V12661" t="s">
        <v>22</v>
      </c>
    </row>
    <row r="12662" spans="1:22">
      <c r="A12662" t="str">
        <f t="shared" si="2477"/>
        <v>26/11/2025</v>
      </c>
      <c r="B12662" t="str">
        <f t="shared" si="2482"/>
        <v>ENTRADA</v>
      </c>
      <c r="C12662" t="str">
        <f t="shared" si="2483"/>
        <v>NFSE</v>
      </c>
      <c r="D12662" t="str">
        <f t="shared" ref="D12662:D12667" si="2486">"3783"</f>
        <v>3783</v>
      </c>
      <c r="E12662" t="str">
        <f t="shared" si="2484"/>
        <v>1</v>
      </c>
      <c r="F12662" t="str">
        <f t="shared" si="2481"/>
        <v>COM</v>
      </c>
      <c r="G12662" t="str">
        <f t="shared" ref="G12662:G12667" si="2487">"DROGALIDER 25 (10246)"</f>
        <v>DROGALIDER 25 (10246)</v>
      </c>
      <c r="H12662" t="str">
        <f>"Serv.Prest. 17/11/2025 a 23/11/2025 - RPS: 1659 - NFSe: 3783"</f>
        <v>Serv.Prest. 17/11/2025 a 23/11/2025 - RPS: 1659 - NFSe: 3783</v>
      </c>
      <c r="I12662" t="str">
        <f t="shared" si="2480"/>
        <v>26/11/2025</v>
      </c>
      <c r="J12662" t="str">
        <f t="shared" si="2485"/>
        <v>24/11/2025</v>
      </c>
      <c r="K12662" t="str">
        <f>("26/11/2025")</f>
        <v>26/11/2025</v>
      </c>
      <c r="L12662">
        <v>4275</v>
      </c>
      <c r="M12662">
        <v>4275</v>
      </c>
      <c r="N12662">
        <v>303</v>
      </c>
      <c r="O12662" t="str">
        <f>"RECEITAS COM ENTREGAS"</f>
        <v>RECEITAS COM ENTREGAS</v>
      </c>
      <c r="P12662">
        <v>4275</v>
      </c>
      <c r="S12662" t="str">
        <f>"RECEITAS COM ENTREGAS (303)"</f>
        <v>RECEITAS COM ENTREGAS (303)</v>
      </c>
      <c r="T12662">
        <v>22959</v>
      </c>
      <c r="U12662">
        <v>26065</v>
      </c>
      <c r="V12662" t="s">
        <v>22</v>
      </c>
    </row>
    <row r="12663" spans="1:22">
      <c r="A12663" t="str">
        <f t="shared" si="2477"/>
        <v>26/11/2025</v>
      </c>
      <c r="B12663" t="str">
        <f t="shared" si="2482"/>
        <v>ENTRADA</v>
      </c>
      <c r="C12663" t="str">
        <f t="shared" si="2483"/>
        <v>NFSE</v>
      </c>
      <c r="D12663" t="str">
        <f t="shared" si="2486"/>
        <v>3783</v>
      </c>
      <c r="E12663" t="str">
        <f t="shared" si="2484"/>
        <v>1</v>
      </c>
      <c r="F12663" t="str">
        <f t="shared" si="2481"/>
        <v>COM</v>
      </c>
      <c r="G12663" t="str">
        <f t="shared" si="2487"/>
        <v>DROGALIDER 25 (10246)</v>
      </c>
      <c r="H12663" t="s">
        <v>3430</v>
      </c>
      <c r="I12663" t="str">
        <f t="shared" si="2480"/>
        <v>26/11/2025</v>
      </c>
      <c r="J12663" t="str">
        <f t="shared" si="2485"/>
        <v>24/11/2025</v>
      </c>
      <c r="K12663">
        <v>45987</v>
      </c>
      <c r="N12663">
        <v>303</v>
      </c>
      <c r="O12663" t="s">
        <v>69</v>
      </c>
      <c r="Q12663">
        <v>855</v>
      </c>
      <c r="R12663" t="str">
        <f>"DROGALIDER 58 (10213)"</f>
        <v>DROGALIDER 58 (10213)</v>
      </c>
      <c r="S12663" t="s">
        <v>70</v>
      </c>
      <c r="T12663">
        <v>22959</v>
      </c>
      <c r="U12663">
        <v>26065</v>
      </c>
      <c r="V12663" t="s">
        <v>22</v>
      </c>
    </row>
    <row r="12664" spans="1:22">
      <c r="A12664" t="str">
        <f t="shared" si="2477"/>
        <v>26/11/2025</v>
      </c>
      <c r="B12664" t="str">
        <f t="shared" si="2482"/>
        <v>ENTRADA</v>
      </c>
      <c r="C12664" t="str">
        <f t="shared" si="2483"/>
        <v>NFSE</v>
      </c>
      <c r="D12664" t="str">
        <f t="shared" si="2486"/>
        <v>3783</v>
      </c>
      <c r="E12664" t="str">
        <f t="shared" si="2484"/>
        <v>1</v>
      </c>
      <c r="F12664" t="str">
        <f t="shared" si="2481"/>
        <v>COM</v>
      </c>
      <c r="G12664" t="str">
        <f t="shared" si="2487"/>
        <v>DROGALIDER 25 (10246)</v>
      </c>
      <c r="H12664" t="s">
        <v>3430</v>
      </c>
      <c r="I12664" t="str">
        <f t="shared" si="2480"/>
        <v>26/11/2025</v>
      </c>
      <c r="J12664" t="str">
        <f t="shared" si="2485"/>
        <v>24/11/2025</v>
      </c>
      <c r="K12664">
        <v>45987</v>
      </c>
      <c r="N12664">
        <v>303</v>
      </c>
      <c r="O12664" t="s">
        <v>69</v>
      </c>
      <c r="Q12664">
        <v>1439.82</v>
      </c>
      <c r="R12664" t="str">
        <f>"DROGALIDER 25 (10246)"</f>
        <v>DROGALIDER 25 (10246)</v>
      </c>
      <c r="S12664" t="s">
        <v>70</v>
      </c>
      <c r="T12664">
        <v>22959</v>
      </c>
      <c r="U12664">
        <v>26065</v>
      </c>
      <c r="V12664" t="s">
        <v>22</v>
      </c>
    </row>
    <row r="12665" spans="1:22">
      <c r="A12665" t="str">
        <f t="shared" si="2477"/>
        <v>26/11/2025</v>
      </c>
      <c r="B12665" t="str">
        <f t="shared" si="2482"/>
        <v>ENTRADA</v>
      </c>
      <c r="C12665" t="str">
        <f t="shared" si="2483"/>
        <v>NFSE</v>
      </c>
      <c r="D12665" t="str">
        <f t="shared" si="2486"/>
        <v>3783</v>
      </c>
      <c r="E12665" t="str">
        <f t="shared" si="2484"/>
        <v>1</v>
      </c>
      <c r="F12665" t="str">
        <f t="shared" si="2481"/>
        <v>COM</v>
      </c>
      <c r="G12665" t="str">
        <f t="shared" si="2487"/>
        <v>DROGALIDER 25 (10246)</v>
      </c>
      <c r="H12665" t="s">
        <v>3430</v>
      </c>
      <c r="I12665" t="str">
        <f t="shared" si="2480"/>
        <v>26/11/2025</v>
      </c>
      <c r="J12665" t="str">
        <f t="shared" si="2485"/>
        <v>24/11/2025</v>
      </c>
      <c r="K12665">
        <v>45987</v>
      </c>
      <c r="N12665">
        <v>303</v>
      </c>
      <c r="O12665" t="s">
        <v>69</v>
      </c>
      <c r="Q12665">
        <v>855</v>
      </c>
      <c r="R12665" t="str">
        <f>"DROGALIDER 46 (10248)"</f>
        <v>DROGALIDER 46 (10248)</v>
      </c>
      <c r="S12665" t="s">
        <v>70</v>
      </c>
      <c r="T12665">
        <v>22959</v>
      </c>
      <c r="U12665">
        <v>26065</v>
      </c>
      <c r="V12665" t="s">
        <v>22</v>
      </c>
    </row>
    <row r="12666" spans="1:22">
      <c r="A12666" t="str">
        <f t="shared" si="2477"/>
        <v>26/11/2025</v>
      </c>
      <c r="B12666" t="str">
        <f t="shared" si="2482"/>
        <v>ENTRADA</v>
      </c>
      <c r="C12666" t="str">
        <f t="shared" si="2483"/>
        <v>NFSE</v>
      </c>
      <c r="D12666" t="str">
        <f t="shared" si="2486"/>
        <v>3783</v>
      </c>
      <c r="E12666" t="str">
        <f t="shared" si="2484"/>
        <v>1</v>
      </c>
      <c r="F12666" t="str">
        <f t="shared" si="2481"/>
        <v>COM</v>
      </c>
      <c r="G12666" t="str">
        <f t="shared" si="2487"/>
        <v>DROGALIDER 25 (10246)</v>
      </c>
      <c r="H12666" t="s">
        <v>3430</v>
      </c>
      <c r="I12666" t="str">
        <f t="shared" si="2480"/>
        <v>26/11/2025</v>
      </c>
      <c r="J12666" t="str">
        <f t="shared" si="2485"/>
        <v>24/11/2025</v>
      </c>
      <c r="K12666">
        <v>45987</v>
      </c>
      <c r="N12666">
        <v>303</v>
      </c>
      <c r="O12666" t="s">
        <v>69</v>
      </c>
      <c r="Q12666">
        <v>279.16000000000003</v>
      </c>
      <c r="R12666" t="str">
        <f>"DROGALIDER 64 (10250)"</f>
        <v>DROGALIDER 64 (10250)</v>
      </c>
      <c r="S12666" t="s">
        <v>70</v>
      </c>
      <c r="T12666">
        <v>22959</v>
      </c>
      <c r="U12666">
        <v>26065</v>
      </c>
      <c r="V12666" t="s">
        <v>22</v>
      </c>
    </row>
    <row r="12667" spans="1:22">
      <c r="A12667" t="str">
        <f t="shared" si="2477"/>
        <v>26/11/2025</v>
      </c>
      <c r="B12667" t="str">
        <f t="shared" si="2482"/>
        <v>ENTRADA</v>
      </c>
      <c r="C12667" t="str">
        <f t="shared" si="2483"/>
        <v>NFSE</v>
      </c>
      <c r="D12667" t="str">
        <f t="shared" si="2486"/>
        <v>3783</v>
      </c>
      <c r="E12667" t="str">
        <f t="shared" si="2484"/>
        <v>1</v>
      </c>
      <c r="F12667" t="str">
        <f t="shared" si="2481"/>
        <v>COM</v>
      </c>
      <c r="G12667" t="str">
        <f t="shared" si="2487"/>
        <v>DROGALIDER 25 (10246)</v>
      </c>
      <c r="H12667" t="s">
        <v>3430</v>
      </c>
      <c r="I12667" t="str">
        <f t="shared" si="2480"/>
        <v>26/11/2025</v>
      </c>
      <c r="J12667" t="str">
        <f t="shared" si="2485"/>
        <v>24/11/2025</v>
      </c>
      <c r="K12667">
        <v>45987</v>
      </c>
      <c r="N12667">
        <v>303</v>
      </c>
      <c r="O12667" t="s">
        <v>69</v>
      </c>
      <c r="Q12667">
        <v>846.02</v>
      </c>
      <c r="R12667" t="str">
        <f>"DROGALIDER 66 (10251)"</f>
        <v>DROGALIDER 66 (10251)</v>
      </c>
      <c r="S12667" t="s">
        <v>70</v>
      </c>
      <c r="T12667">
        <v>22959</v>
      </c>
      <c r="U12667">
        <v>26065</v>
      </c>
      <c r="V12667" t="s">
        <v>22</v>
      </c>
    </row>
    <row r="12668" spans="1:22">
      <c r="A12668" t="str">
        <f t="shared" ref="A12668:A12699" si="2488">("26/11/2025")</f>
        <v>26/11/2025</v>
      </c>
      <c r="B12668" t="str">
        <f t="shared" si="2482"/>
        <v>ENTRADA</v>
      </c>
      <c r="C12668" t="str">
        <f t="shared" si="2483"/>
        <v>NFSE</v>
      </c>
      <c r="D12668" t="str">
        <f t="shared" ref="D12668:D12673" si="2489">"3787"</f>
        <v>3787</v>
      </c>
      <c r="E12668" t="str">
        <f t="shared" si="2484"/>
        <v>1</v>
      </c>
      <c r="F12668" t="str">
        <f t="shared" si="2481"/>
        <v>COM</v>
      </c>
      <c r="G12668" t="str">
        <f t="shared" ref="G12668:G12673" si="2490">"DROGALIDER 31 (10256)"</f>
        <v>DROGALIDER 31 (10256)</v>
      </c>
      <c r="H12668" t="str">
        <f>"Serv.Prest. 17/11/2025 a 23/11/2025 - RPS: 1663 - NFSe: 3787"</f>
        <v>Serv.Prest. 17/11/2025 a 23/11/2025 - RPS: 1663 - NFSe: 3787</v>
      </c>
      <c r="I12668" t="str">
        <f t="shared" si="2480"/>
        <v>26/11/2025</v>
      </c>
      <c r="J12668" t="str">
        <f t="shared" si="2485"/>
        <v>24/11/2025</v>
      </c>
      <c r="K12668" t="str">
        <f>("26/11/2025")</f>
        <v>26/11/2025</v>
      </c>
      <c r="L12668">
        <v>2550</v>
      </c>
      <c r="M12668">
        <v>2550</v>
      </c>
      <c r="N12668">
        <v>303</v>
      </c>
      <c r="O12668" t="str">
        <f>"RECEITAS COM ENTREGAS"</f>
        <v>RECEITAS COM ENTREGAS</v>
      </c>
      <c r="P12668">
        <v>2550</v>
      </c>
      <c r="S12668" t="str">
        <f>"RECEITAS COM ENTREGAS (303)"</f>
        <v>RECEITAS COM ENTREGAS (303)</v>
      </c>
      <c r="T12668">
        <v>22960</v>
      </c>
      <c r="U12668">
        <v>26118</v>
      </c>
      <c r="V12668" t="s">
        <v>22</v>
      </c>
    </row>
    <row r="12669" spans="1:22">
      <c r="A12669" t="str">
        <f t="shared" si="2488"/>
        <v>26/11/2025</v>
      </c>
      <c r="B12669" t="str">
        <f t="shared" si="2482"/>
        <v>ENTRADA</v>
      </c>
      <c r="C12669" t="str">
        <f t="shared" si="2483"/>
        <v>NFSE</v>
      </c>
      <c r="D12669" t="str">
        <f t="shared" si="2489"/>
        <v>3787</v>
      </c>
      <c r="E12669" t="str">
        <f t="shared" si="2484"/>
        <v>1</v>
      </c>
      <c r="F12669" t="str">
        <f t="shared" si="2481"/>
        <v>COM</v>
      </c>
      <c r="G12669" t="str">
        <f t="shared" si="2490"/>
        <v>DROGALIDER 31 (10256)</v>
      </c>
      <c r="H12669" t="s">
        <v>3431</v>
      </c>
      <c r="I12669" t="str">
        <f t="shared" si="2480"/>
        <v>26/11/2025</v>
      </c>
      <c r="J12669" t="str">
        <f t="shared" si="2485"/>
        <v>24/11/2025</v>
      </c>
      <c r="K12669">
        <v>45987</v>
      </c>
      <c r="N12669">
        <v>303</v>
      </c>
      <c r="O12669" t="s">
        <v>69</v>
      </c>
      <c r="Q12669">
        <v>509.99</v>
      </c>
      <c r="R12669" t="str">
        <f>"DROGALIDER 42 (10247)"</f>
        <v>DROGALIDER 42 (10247)</v>
      </c>
      <c r="S12669" t="s">
        <v>70</v>
      </c>
      <c r="T12669">
        <v>22960</v>
      </c>
      <c r="U12669">
        <v>26118</v>
      </c>
      <c r="V12669" t="s">
        <v>22</v>
      </c>
    </row>
    <row r="12670" spans="1:22">
      <c r="A12670" t="str">
        <f t="shared" si="2488"/>
        <v>26/11/2025</v>
      </c>
      <c r="B12670" t="str">
        <f t="shared" si="2482"/>
        <v>ENTRADA</v>
      </c>
      <c r="C12670" t="str">
        <f t="shared" si="2483"/>
        <v>NFSE</v>
      </c>
      <c r="D12670" t="str">
        <f t="shared" si="2489"/>
        <v>3787</v>
      </c>
      <c r="E12670" t="str">
        <f t="shared" si="2484"/>
        <v>1</v>
      </c>
      <c r="F12670" t="str">
        <f t="shared" si="2481"/>
        <v>COM</v>
      </c>
      <c r="G12670" t="str">
        <f t="shared" si="2490"/>
        <v>DROGALIDER 31 (10256)</v>
      </c>
      <c r="H12670" t="s">
        <v>3431</v>
      </c>
      <c r="I12670" t="str">
        <f t="shared" si="2480"/>
        <v>26/11/2025</v>
      </c>
      <c r="J12670" t="str">
        <f t="shared" si="2485"/>
        <v>24/11/2025</v>
      </c>
      <c r="K12670">
        <v>45987</v>
      </c>
      <c r="N12670">
        <v>303</v>
      </c>
      <c r="O12670" t="s">
        <v>69</v>
      </c>
      <c r="Q12670">
        <v>510</v>
      </c>
      <c r="R12670" t="str">
        <f>"DROGALIDER 55 (10249)"</f>
        <v>DROGALIDER 55 (10249)</v>
      </c>
      <c r="S12670" t="s">
        <v>70</v>
      </c>
      <c r="T12670">
        <v>22960</v>
      </c>
      <c r="U12670">
        <v>26118</v>
      </c>
      <c r="V12670" t="s">
        <v>22</v>
      </c>
    </row>
    <row r="12671" spans="1:22">
      <c r="A12671" t="str">
        <f t="shared" si="2488"/>
        <v>26/11/2025</v>
      </c>
      <c r="B12671" t="str">
        <f t="shared" si="2482"/>
        <v>ENTRADA</v>
      </c>
      <c r="C12671" t="str">
        <f t="shared" si="2483"/>
        <v>NFSE</v>
      </c>
      <c r="D12671" t="str">
        <f t="shared" si="2489"/>
        <v>3787</v>
      </c>
      <c r="E12671" t="str">
        <f t="shared" si="2484"/>
        <v>1</v>
      </c>
      <c r="F12671" t="str">
        <f t="shared" si="2481"/>
        <v>COM</v>
      </c>
      <c r="G12671" t="str">
        <f t="shared" si="2490"/>
        <v>DROGALIDER 31 (10256)</v>
      </c>
      <c r="H12671" t="s">
        <v>3431</v>
      </c>
      <c r="I12671" t="str">
        <f t="shared" si="2480"/>
        <v>26/11/2025</v>
      </c>
      <c r="J12671" t="str">
        <f t="shared" si="2485"/>
        <v>24/11/2025</v>
      </c>
      <c r="K12671">
        <v>45987</v>
      </c>
      <c r="N12671">
        <v>303</v>
      </c>
      <c r="O12671" t="s">
        <v>69</v>
      </c>
      <c r="Q12671">
        <v>425.09</v>
      </c>
      <c r="R12671" t="str">
        <f>"DROGALIDER 67 (10252)"</f>
        <v>DROGALIDER 67 (10252)</v>
      </c>
      <c r="S12671" t="s">
        <v>70</v>
      </c>
      <c r="T12671">
        <v>22960</v>
      </c>
      <c r="U12671">
        <v>26118</v>
      </c>
      <c r="V12671" t="s">
        <v>22</v>
      </c>
    </row>
    <row r="12672" spans="1:22">
      <c r="A12672" t="str">
        <f t="shared" si="2488"/>
        <v>26/11/2025</v>
      </c>
      <c r="B12672" t="str">
        <f t="shared" si="2482"/>
        <v>ENTRADA</v>
      </c>
      <c r="C12672" t="str">
        <f t="shared" si="2483"/>
        <v>NFSE</v>
      </c>
      <c r="D12672" t="str">
        <f t="shared" si="2489"/>
        <v>3787</v>
      </c>
      <c r="E12672" t="str">
        <f t="shared" si="2484"/>
        <v>1</v>
      </c>
      <c r="F12672" t="str">
        <f t="shared" si="2481"/>
        <v>COM</v>
      </c>
      <c r="G12672" t="str">
        <f t="shared" si="2490"/>
        <v>DROGALIDER 31 (10256)</v>
      </c>
      <c r="H12672" t="s">
        <v>3431</v>
      </c>
      <c r="I12672" t="str">
        <f t="shared" si="2480"/>
        <v>26/11/2025</v>
      </c>
      <c r="J12672" t="str">
        <f t="shared" si="2485"/>
        <v>24/11/2025</v>
      </c>
      <c r="K12672">
        <v>45987</v>
      </c>
      <c r="N12672">
        <v>303</v>
      </c>
      <c r="O12672" t="s">
        <v>69</v>
      </c>
      <c r="Q12672">
        <v>476.09</v>
      </c>
      <c r="R12672" t="str">
        <f>"DROGALIDER 68 (10253)"</f>
        <v>DROGALIDER 68 (10253)</v>
      </c>
      <c r="S12672" t="s">
        <v>70</v>
      </c>
      <c r="T12672">
        <v>22960</v>
      </c>
      <c r="U12672">
        <v>26118</v>
      </c>
      <c r="V12672" t="s">
        <v>22</v>
      </c>
    </row>
    <row r="12673" spans="1:22">
      <c r="A12673" t="str">
        <f t="shared" si="2488"/>
        <v>26/11/2025</v>
      </c>
      <c r="B12673" t="str">
        <f t="shared" si="2482"/>
        <v>ENTRADA</v>
      </c>
      <c r="C12673" t="str">
        <f t="shared" si="2483"/>
        <v>NFSE</v>
      </c>
      <c r="D12673" t="str">
        <f t="shared" si="2489"/>
        <v>3787</v>
      </c>
      <c r="E12673" t="str">
        <f t="shared" si="2484"/>
        <v>1</v>
      </c>
      <c r="F12673" t="str">
        <f t="shared" si="2481"/>
        <v>COM</v>
      </c>
      <c r="G12673" t="str">
        <f t="shared" si="2490"/>
        <v>DROGALIDER 31 (10256)</v>
      </c>
      <c r="H12673" t="s">
        <v>3431</v>
      </c>
      <c r="I12673" t="str">
        <f t="shared" si="2480"/>
        <v>26/11/2025</v>
      </c>
      <c r="J12673" t="str">
        <f t="shared" si="2485"/>
        <v>24/11/2025</v>
      </c>
      <c r="K12673">
        <v>45987</v>
      </c>
      <c r="N12673">
        <v>303</v>
      </c>
      <c r="O12673" t="s">
        <v>69</v>
      </c>
      <c r="Q12673">
        <v>628.83000000000004</v>
      </c>
      <c r="R12673" t="str">
        <f>"DROGALIDER 31 (10256)"</f>
        <v>DROGALIDER 31 (10256)</v>
      </c>
      <c r="S12673" t="s">
        <v>70</v>
      </c>
      <c r="T12673">
        <v>22960</v>
      </c>
      <c r="U12673">
        <v>26118</v>
      </c>
      <c r="V12673" t="s">
        <v>22</v>
      </c>
    </row>
    <row r="12674" spans="1:22">
      <c r="A12674" t="str">
        <f t="shared" si="2488"/>
        <v>26/11/2025</v>
      </c>
      <c r="B12674" t="str">
        <f t="shared" si="2482"/>
        <v>ENTRADA</v>
      </c>
      <c r="C12674" t="str">
        <f t="shared" si="2483"/>
        <v>NFSE</v>
      </c>
      <c r="D12674" t="str">
        <f>"3790"</f>
        <v>3790</v>
      </c>
      <c r="E12674" t="str">
        <f t="shared" si="2484"/>
        <v>1</v>
      </c>
      <c r="F12674" t="str">
        <f t="shared" si="2481"/>
        <v>COM</v>
      </c>
      <c r="G12674" t="str">
        <f>"DROGARIA MORENO LTDA (10171)"</f>
        <v>DROGARIA MORENO LTDA (10171)</v>
      </c>
      <c r="H12674" t="str">
        <f>"Serv.Prest. 17/11/2025 a 23/11/2025 - RPS: 1666 - NFSe: 3790"</f>
        <v>Serv.Prest. 17/11/2025 a 23/11/2025 - RPS: 1666 - NFSe: 3790</v>
      </c>
      <c r="I12674" t="str">
        <f t="shared" si="2480"/>
        <v>26/11/2025</v>
      </c>
      <c r="J12674" t="str">
        <f t="shared" si="2485"/>
        <v>24/11/2025</v>
      </c>
      <c r="K12674" t="str">
        <f>("26/11/2025")</f>
        <v>26/11/2025</v>
      </c>
      <c r="L12674">
        <v>3782.7</v>
      </c>
      <c r="M12674">
        <v>3782.7</v>
      </c>
      <c r="N12674">
        <v>303</v>
      </c>
      <c r="O12674" t="str">
        <f>"RECEITAS COM ENTREGAS"</f>
        <v>RECEITAS COM ENTREGAS</v>
      </c>
      <c r="P12674">
        <v>3782.7</v>
      </c>
      <c r="S12674" t="str">
        <f>"RECEITAS COM ENTREGAS (303)"</f>
        <v>RECEITAS COM ENTREGAS (303)</v>
      </c>
      <c r="T12674">
        <v>22961</v>
      </c>
      <c r="U12674">
        <v>26131</v>
      </c>
      <c r="V12674" t="s">
        <v>22</v>
      </c>
    </row>
    <row r="12675" spans="1:22">
      <c r="A12675" t="str">
        <f t="shared" si="2488"/>
        <v>26/11/2025</v>
      </c>
      <c r="B12675" t="str">
        <f t="shared" si="2482"/>
        <v>ENTRADA</v>
      </c>
      <c r="C12675" t="str">
        <f t="shared" si="2483"/>
        <v>NFSE</v>
      </c>
      <c r="D12675" t="str">
        <f>"3790"</f>
        <v>3790</v>
      </c>
      <c r="E12675" t="str">
        <f t="shared" si="2484"/>
        <v>1</v>
      </c>
      <c r="F12675" t="str">
        <f t="shared" si="2481"/>
        <v>COM</v>
      </c>
      <c r="G12675" t="str">
        <f>"DROGARIA MORENO LTDA (10171)"</f>
        <v>DROGARIA MORENO LTDA (10171)</v>
      </c>
      <c r="H12675" t="s">
        <v>3432</v>
      </c>
      <c r="I12675" t="str">
        <f t="shared" si="2480"/>
        <v>26/11/2025</v>
      </c>
      <c r="J12675" t="str">
        <f t="shared" si="2485"/>
        <v>24/11/2025</v>
      </c>
      <c r="K12675">
        <v>45987</v>
      </c>
      <c r="N12675">
        <v>303</v>
      </c>
      <c r="O12675" t="s">
        <v>69</v>
      </c>
      <c r="Q12675">
        <v>3782.7</v>
      </c>
      <c r="R12675" t="str">
        <f>"DROGARIA MORENO LTDA (10171)"</f>
        <v>DROGARIA MORENO LTDA (10171)</v>
      </c>
      <c r="S12675" t="s">
        <v>70</v>
      </c>
      <c r="T12675">
        <v>22961</v>
      </c>
      <c r="U12675">
        <v>26131</v>
      </c>
      <c r="V12675" t="s">
        <v>22</v>
      </c>
    </row>
    <row r="12676" spans="1:22">
      <c r="A12676" t="str">
        <f t="shared" si="2488"/>
        <v>26/11/2025</v>
      </c>
      <c r="B12676" t="str">
        <f t="shared" si="2482"/>
        <v>ENTRADA</v>
      </c>
      <c r="C12676" t="str">
        <f t="shared" si="2483"/>
        <v>NFSE</v>
      </c>
      <c r="D12676" t="str">
        <f>"3793"</f>
        <v>3793</v>
      </c>
      <c r="E12676" t="str">
        <f t="shared" si="2484"/>
        <v>1</v>
      </c>
      <c r="F12676" t="str">
        <f t="shared" si="2481"/>
        <v>COM</v>
      </c>
      <c r="G12676" t="str">
        <f>"JAL FARMACIA E DROGARIA LJ 2 (10138)"</f>
        <v>JAL FARMACIA E DROGARIA LJ 2 (10138)</v>
      </c>
      <c r="H12676" t="str">
        <f>"Serv.Prest. 17/11/2025 a 23/11/2025 - RPS: 1669 - NFSe: 3793"</f>
        <v>Serv.Prest. 17/11/2025 a 23/11/2025 - RPS: 1669 - NFSe: 3793</v>
      </c>
      <c r="I12676" t="str">
        <f t="shared" ref="I12676:I12707" si="2491">("26/11/2025")</f>
        <v>26/11/2025</v>
      </c>
      <c r="J12676" t="str">
        <f t="shared" ref="J12676:J12681" si="2492">("25/11/2025")</f>
        <v>25/11/2025</v>
      </c>
      <c r="K12676" t="str">
        <f>("26/11/2025")</f>
        <v>26/11/2025</v>
      </c>
      <c r="L12676">
        <v>1640.5</v>
      </c>
      <c r="M12676">
        <v>1640.5</v>
      </c>
      <c r="N12676">
        <v>303</v>
      </c>
      <c r="O12676" t="str">
        <f>"RECEITAS COM ENTREGAS"</f>
        <v>RECEITAS COM ENTREGAS</v>
      </c>
      <c r="P12676">
        <v>1640.5</v>
      </c>
      <c r="S12676" t="str">
        <f>"RECEITAS COM ENTREGAS (303)"</f>
        <v>RECEITAS COM ENTREGAS (303)</v>
      </c>
      <c r="T12676">
        <v>22962</v>
      </c>
      <c r="U12676">
        <v>26148</v>
      </c>
      <c r="V12676" t="s">
        <v>22</v>
      </c>
    </row>
    <row r="12677" spans="1:22">
      <c r="A12677" t="str">
        <f t="shared" si="2488"/>
        <v>26/11/2025</v>
      </c>
      <c r="B12677" t="str">
        <f t="shared" si="2482"/>
        <v>ENTRADA</v>
      </c>
      <c r="C12677" t="str">
        <f t="shared" si="2483"/>
        <v>NFSE</v>
      </c>
      <c r="D12677" t="str">
        <f>"3793"</f>
        <v>3793</v>
      </c>
      <c r="E12677" t="str">
        <f t="shared" si="2484"/>
        <v>1</v>
      </c>
      <c r="F12677" t="str">
        <f t="shared" si="2481"/>
        <v>COM</v>
      </c>
      <c r="G12677" t="str">
        <f>"JAL FARMACIA E DROGARIA LJ 2 (10138)"</f>
        <v>JAL FARMACIA E DROGARIA LJ 2 (10138)</v>
      </c>
      <c r="H12677" t="s">
        <v>3433</v>
      </c>
      <c r="I12677" t="str">
        <f t="shared" si="2491"/>
        <v>26/11/2025</v>
      </c>
      <c r="J12677" t="str">
        <f t="shared" si="2492"/>
        <v>25/11/2025</v>
      </c>
      <c r="K12677">
        <v>45987</v>
      </c>
      <c r="N12677">
        <v>303</v>
      </c>
      <c r="O12677" t="s">
        <v>69</v>
      </c>
      <c r="Q12677">
        <v>1640.5</v>
      </c>
      <c r="R12677" t="str">
        <f>"JAL FARMACIA E DROGARIA LJ 2 (10138)"</f>
        <v>JAL FARMACIA E DROGARIA LJ 2 (10138)</v>
      </c>
      <c r="S12677" t="s">
        <v>70</v>
      </c>
      <c r="T12677">
        <v>22962</v>
      </c>
      <c r="U12677">
        <v>26148</v>
      </c>
      <c r="V12677" t="s">
        <v>22</v>
      </c>
    </row>
    <row r="12678" spans="1:22">
      <c r="A12678" t="str">
        <f t="shared" si="2488"/>
        <v>26/11/2025</v>
      </c>
      <c r="B12678" t="str">
        <f t="shared" si="2482"/>
        <v>ENTRADA</v>
      </c>
      <c r="C12678" t="str">
        <f t="shared" si="2483"/>
        <v>NFSE</v>
      </c>
      <c r="D12678" t="str">
        <f>"3800"</f>
        <v>3800</v>
      </c>
      <c r="E12678" t="str">
        <f t="shared" si="2484"/>
        <v>1</v>
      </c>
      <c r="F12678" t="str">
        <f t="shared" ref="F12678:F12689" si="2493">"COM"</f>
        <v>COM</v>
      </c>
      <c r="G12678" t="str">
        <f>"DELTA LOJA 2 (10123)"</f>
        <v>DELTA LOJA 2 (10123)</v>
      </c>
      <c r="H12678" t="str">
        <f>"Serv.Prest. 17/11/2025 a 23/11/2025 - RPS: 1676 - NFSe: 3800"</f>
        <v>Serv.Prest. 17/11/2025 a 23/11/2025 - RPS: 1676 - NFSe: 3800</v>
      </c>
      <c r="I12678" t="str">
        <f t="shared" si="2491"/>
        <v>26/11/2025</v>
      </c>
      <c r="J12678" t="str">
        <f t="shared" si="2492"/>
        <v>25/11/2025</v>
      </c>
      <c r="K12678" t="str">
        <f>("26/11/2025")</f>
        <v>26/11/2025</v>
      </c>
      <c r="L12678">
        <v>4896.8500000000004</v>
      </c>
      <c r="M12678">
        <v>4896.8500000000004</v>
      </c>
      <c r="N12678">
        <v>303</v>
      </c>
      <c r="O12678" t="str">
        <f>"RECEITAS COM ENTREGAS"</f>
        <v>RECEITAS COM ENTREGAS</v>
      </c>
      <c r="P12678">
        <v>4896.8500000000004</v>
      </c>
      <c r="S12678" t="str">
        <f>"RECEITAS COM ENTREGAS (303)"</f>
        <v>RECEITAS COM ENTREGAS (303)</v>
      </c>
      <c r="T12678">
        <v>22963</v>
      </c>
      <c r="U12678">
        <v>26340</v>
      </c>
      <c r="V12678" t="s">
        <v>22</v>
      </c>
    </row>
    <row r="12679" spans="1:22">
      <c r="A12679" t="str">
        <f t="shared" si="2488"/>
        <v>26/11/2025</v>
      </c>
      <c r="B12679" t="str">
        <f t="shared" si="2482"/>
        <v>ENTRADA</v>
      </c>
      <c r="C12679" t="str">
        <f t="shared" si="2483"/>
        <v>NFSE</v>
      </c>
      <c r="D12679" t="str">
        <f>"3800"</f>
        <v>3800</v>
      </c>
      <c r="E12679" t="str">
        <f t="shared" si="2484"/>
        <v>1</v>
      </c>
      <c r="F12679" t="str">
        <f t="shared" si="2493"/>
        <v>COM</v>
      </c>
      <c r="G12679" t="str">
        <f>"DELTA LOJA 2 (10123)"</f>
        <v>DELTA LOJA 2 (10123)</v>
      </c>
      <c r="H12679" t="s">
        <v>3434</v>
      </c>
      <c r="I12679" t="str">
        <f t="shared" si="2491"/>
        <v>26/11/2025</v>
      </c>
      <c r="J12679" t="str">
        <f t="shared" si="2492"/>
        <v>25/11/2025</v>
      </c>
      <c r="K12679">
        <v>45987</v>
      </c>
      <c r="N12679">
        <v>303</v>
      </c>
      <c r="O12679" t="s">
        <v>69</v>
      </c>
      <c r="Q12679">
        <v>4896.8500000000004</v>
      </c>
      <c r="R12679" t="str">
        <f>"DELTA LOJA 2 (10123)"</f>
        <v>DELTA LOJA 2 (10123)</v>
      </c>
      <c r="S12679" t="s">
        <v>70</v>
      </c>
      <c r="T12679">
        <v>22963</v>
      </c>
      <c r="U12679">
        <v>26340</v>
      </c>
      <c r="V12679" t="s">
        <v>22</v>
      </c>
    </row>
    <row r="12680" spans="1:22">
      <c r="A12680" t="str">
        <f t="shared" si="2488"/>
        <v>26/11/2025</v>
      </c>
      <c r="B12680" t="str">
        <f t="shared" si="2482"/>
        <v>ENTRADA</v>
      </c>
      <c r="C12680" t="str">
        <f t="shared" si="2483"/>
        <v>NFSE</v>
      </c>
      <c r="D12680" t="str">
        <f>"3801"</f>
        <v>3801</v>
      </c>
      <c r="E12680" t="str">
        <f t="shared" si="2484"/>
        <v>1</v>
      </c>
      <c r="F12680" t="str">
        <f t="shared" si="2493"/>
        <v>COM</v>
      </c>
      <c r="G12680" t="str">
        <f>"DROGA HONDA (10149)"</f>
        <v>DROGA HONDA (10149)</v>
      </c>
      <c r="H12680" t="str">
        <f>"Serv.Prest. 17/11/2025 a 23/11/2025 - RPS: 1677 - NFSe: 3801"</f>
        <v>Serv.Prest. 17/11/2025 a 23/11/2025 - RPS: 1677 - NFSe: 3801</v>
      </c>
      <c r="I12680" t="str">
        <f t="shared" si="2491"/>
        <v>26/11/2025</v>
      </c>
      <c r="J12680" t="str">
        <f t="shared" si="2492"/>
        <v>25/11/2025</v>
      </c>
      <c r="K12680" t="str">
        <f>("26/11/2025")</f>
        <v>26/11/2025</v>
      </c>
      <c r="L12680">
        <v>895.59</v>
      </c>
      <c r="M12680">
        <v>895.59</v>
      </c>
      <c r="N12680">
        <v>303</v>
      </c>
      <c r="O12680" t="str">
        <f>"RECEITAS COM ENTREGAS"</f>
        <v>RECEITAS COM ENTREGAS</v>
      </c>
      <c r="P12680">
        <v>895.59</v>
      </c>
      <c r="S12680" t="str">
        <f>"RECEITAS COM ENTREGAS (303)"</f>
        <v>RECEITAS COM ENTREGAS (303)</v>
      </c>
      <c r="T12680">
        <v>22964</v>
      </c>
      <c r="U12680">
        <v>26346</v>
      </c>
      <c r="V12680" t="s">
        <v>22</v>
      </c>
    </row>
    <row r="12681" spans="1:22">
      <c r="A12681" t="str">
        <f t="shared" si="2488"/>
        <v>26/11/2025</v>
      </c>
      <c r="B12681" t="str">
        <f t="shared" si="2482"/>
        <v>ENTRADA</v>
      </c>
      <c r="C12681" t="str">
        <f t="shared" si="2483"/>
        <v>NFSE</v>
      </c>
      <c r="D12681" t="str">
        <f>"3801"</f>
        <v>3801</v>
      </c>
      <c r="E12681" t="str">
        <f t="shared" si="2484"/>
        <v>1</v>
      </c>
      <c r="F12681" t="str">
        <f t="shared" si="2493"/>
        <v>COM</v>
      </c>
      <c r="G12681" t="str">
        <f>"DROGA HONDA (10149)"</f>
        <v>DROGA HONDA (10149)</v>
      </c>
      <c r="H12681" t="s">
        <v>3435</v>
      </c>
      <c r="I12681" t="str">
        <f t="shared" si="2491"/>
        <v>26/11/2025</v>
      </c>
      <c r="J12681" t="str">
        <f t="shared" si="2492"/>
        <v>25/11/2025</v>
      </c>
      <c r="K12681">
        <v>45987</v>
      </c>
      <c r="N12681">
        <v>303</v>
      </c>
      <c r="O12681" t="s">
        <v>69</v>
      </c>
      <c r="Q12681">
        <v>895.59</v>
      </c>
      <c r="R12681" t="str">
        <f>"DROGA HONDA (10149)"</f>
        <v>DROGA HONDA (10149)</v>
      </c>
      <c r="S12681" t="s">
        <v>70</v>
      </c>
      <c r="T12681">
        <v>22964</v>
      </c>
      <c r="U12681">
        <v>26346</v>
      </c>
      <c r="V12681" t="s">
        <v>22</v>
      </c>
    </row>
    <row r="12682" spans="1:22">
      <c r="A12682" t="str">
        <f t="shared" si="2488"/>
        <v>26/11/2025</v>
      </c>
      <c r="B12682" t="str">
        <f t="shared" ref="B12682:B12712" si="2494">"SAÍDA"</f>
        <v>SAÍDA</v>
      </c>
      <c r="C12682" t="str">
        <f t="shared" ref="C12682:C12689" si="2495">"PIX"</f>
        <v>PIX</v>
      </c>
      <c r="D12682" t="str">
        <f>"2611"</f>
        <v>2611</v>
      </c>
      <c r="E12682" t="str">
        <f t="shared" ref="E12682:E12687" si="2496">"25"</f>
        <v>25</v>
      </c>
      <c r="F12682" t="str">
        <f t="shared" si="2493"/>
        <v>COM</v>
      </c>
      <c r="G12682" t="str">
        <f>"LIDER ORGANIZACAO COMERCIAL LTDA (10251)"</f>
        <v>LIDER ORGANIZACAO COMERCIAL LTDA (10251)</v>
      </c>
      <c r="H12682" t="str">
        <f>"REEMBOLSO VALOR NAO COBRADO - drogalider.pix@drogalider.com.br"</f>
        <v>REEMBOLSO VALOR NAO COBRADO - drogalider.pix@drogalider.com.br</v>
      </c>
      <c r="I12682" t="str">
        <f t="shared" si="2491"/>
        <v>26/11/2025</v>
      </c>
      <c r="J12682" t="str">
        <f>("03/11/2025")</f>
        <v>03/11/2025</v>
      </c>
      <c r="K12682" t="str">
        <f>("26/11/2025")</f>
        <v>26/11/2025</v>
      </c>
      <c r="L12682">
        <v>42.56</v>
      </c>
      <c r="M12682">
        <v>42.56</v>
      </c>
      <c r="N12682">
        <v>110</v>
      </c>
      <c r="O12682" t="str">
        <f>"DESPESAS COM REEMBOLSOS"</f>
        <v>DESPESAS COM REEMBOLSOS</v>
      </c>
      <c r="P12682">
        <v>42.56</v>
      </c>
      <c r="S12682" t="str">
        <f>"BANCO CORA (102)"</f>
        <v>BANCO CORA (102)</v>
      </c>
      <c r="T12682">
        <v>22965</v>
      </c>
      <c r="U12682">
        <v>26406</v>
      </c>
      <c r="V12682" t="s">
        <v>22</v>
      </c>
    </row>
    <row r="12683" spans="1:22">
      <c r="A12683" t="str">
        <f t="shared" si="2488"/>
        <v>26/11/2025</v>
      </c>
      <c r="B12683" t="str">
        <f t="shared" si="2494"/>
        <v>SAÍDA</v>
      </c>
      <c r="C12683" t="str">
        <f t="shared" si="2495"/>
        <v>PIX</v>
      </c>
      <c r="D12683" t="str">
        <f>"2611"</f>
        <v>2611</v>
      </c>
      <c r="E12683" t="str">
        <f t="shared" si="2496"/>
        <v>25</v>
      </c>
      <c r="F12683" t="str">
        <f t="shared" si="2493"/>
        <v>COM</v>
      </c>
      <c r="G12683" t="str">
        <f>"LIDER ORGANIZACAO COMERCIAL LTDA (10251)"</f>
        <v>LIDER ORGANIZACAO COMERCIAL LTDA (10251)</v>
      </c>
      <c r="H12683" t="s">
        <v>3436</v>
      </c>
      <c r="I12683" t="str">
        <f t="shared" si="2491"/>
        <v>26/11/2025</v>
      </c>
      <c r="J12683" t="str">
        <f>("03/11/2025")</f>
        <v>03/11/2025</v>
      </c>
      <c r="K12683">
        <v>45987</v>
      </c>
      <c r="N12683">
        <v>110</v>
      </c>
      <c r="O12683" t="s">
        <v>2439</v>
      </c>
      <c r="Q12683">
        <v>42.56</v>
      </c>
      <c r="R12683" t="str">
        <f>"DROGALIDER 66 (10251)"</f>
        <v>DROGALIDER 66 (10251)</v>
      </c>
      <c r="S12683" t="s">
        <v>22</v>
      </c>
      <c r="T12683">
        <v>22965</v>
      </c>
      <c r="U12683">
        <v>26406</v>
      </c>
      <c r="V12683" t="s">
        <v>22</v>
      </c>
    </row>
    <row r="12684" spans="1:22">
      <c r="A12684" t="str">
        <f t="shared" si="2488"/>
        <v>26/11/2025</v>
      </c>
      <c r="B12684" t="str">
        <f t="shared" si="2494"/>
        <v>SAÍDA</v>
      </c>
      <c r="C12684" t="str">
        <f t="shared" si="2495"/>
        <v>PIX</v>
      </c>
      <c r="D12684" t="str">
        <f>"261120"</f>
        <v>261120</v>
      </c>
      <c r="E12684" t="str">
        <f t="shared" si="2496"/>
        <v>25</v>
      </c>
      <c r="F12684" t="str">
        <f t="shared" si="2493"/>
        <v>COM</v>
      </c>
      <c r="G12684" t="str">
        <f>"LIDER ORGANIZACAO COMERCIAL LTDA (10251)"</f>
        <v>LIDER ORGANIZACAO COMERCIAL LTDA (10251)</v>
      </c>
      <c r="H12684" t="str">
        <f>"REEMBOLSO VALOR NAO COBRADO - drogalider.pix@drogalider.com.br"</f>
        <v>REEMBOLSO VALOR NAO COBRADO - drogalider.pix@drogalider.com.br</v>
      </c>
      <c r="I12684" t="str">
        <f t="shared" si="2491"/>
        <v>26/11/2025</v>
      </c>
      <c r="J12684" t="str">
        <f>("03/11/2025")</f>
        <v>03/11/2025</v>
      </c>
      <c r="K12684" t="str">
        <f>("26/11/2025")</f>
        <v>26/11/2025</v>
      </c>
      <c r="L12684">
        <v>227.75</v>
      </c>
      <c r="M12684">
        <v>227.75</v>
      </c>
      <c r="N12684">
        <v>110</v>
      </c>
      <c r="O12684" t="str">
        <f>"DESPESAS COM REEMBOLSOS"</f>
        <v>DESPESAS COM REEMBOLSOS</v>
      </c>
      <c r="P12684">
        <v>227.75</v>
      </c>
      <c r="S12684" t="str">
        <f>"BANCO CORA (102)"</f>
        <v>BANCO CORA (102)</v>
      </c>
      <c r="T12684">
        <v>22966</v>
      </c>
      <c r="U12684">
        <v>26407</v>
      </c>
      <c r="V12684" t="s">
        <v>22</v>
      </c>
    </row>
    <row r="12685" spans="1:22">
      <c r="A12685" t="str">
        <f t="shared" si="2488"/>
        <v>26/11/2025</v>
      </c>
      <c r="B12685" t="str">
        <f t="shared" si="2494"/>
        <v>SAÍDA</v>
      </c>
      <c r="C12685" t="str">
        <f t="shared" si="2495"/>
        <v>PIX</v>
      </c>
      <c r="D12685" t="str">
        <f>"261120"</f>
        <v>261120</v>
      </c>
      <c r="E12685" t="str">
        <f t="shared" si="2496"/>
        <v>25</v>
      </c>
      <c r="F12685" t="str">
        <f t="shared" si="2493"/>
        <v>COM</v>
      </c>
      <c r="G12685" t="str">
        <f>"LIDER ORGANIZACAO COMERCIAL LTDA (10251)"</f>
        <v>LIDER ORGANIZACAO COMERCIAL LTDA (10251)</v>
      </c>
      <c r="H12685" t="s">
        <v>3436</v>
      </c>
      <c r="I12685" t="str">
        <f t="shared" si="2491"/>
        <v>26/11/2025</v>
      </c>
      <c r="J12685" t="str">
        <f>("03/11/2025")</f>
        <v>03/11/2025</v>
      </c>
      <c r="K12685">
        <v>45987</v>
      </c>
      <c r="N12685">
        <v>110</v>
      </c>
      <c r="O12685" t="s">
        <v>2439</v>
      </c>
      <c r="Q12685">
        <v>227.75</v>
      </c>
      <c r="R12685" t="str">
        <f>"DROGALIDER 66 (10251)"</f>
        <v>DROGALIDER 66 (10251)</v>
      </c>
      <c r="S12685" t="s">
        <v>22</v>
      </c>
      <c r="T12685">
        <v>22966</v>
      </c>
      <c r="U12685">
        <v>26407</v>
      </c>
      <c r="V12685" t="s">
        <v>22</v>
      </c>
    </row>
    <row r="12686" spans="1:22">
      <c r="A12686" t="str">
        <f t="shared" si="2488"/>
        <v>26/11/2025</v>
      </c>
      <c r="B12686" t="str">
        <f t="shared" si="2494"/>
        <v>SAÍDA</v>
      </c>
      <c r="C12686" t="str">
        <f t="shared" si="2495"/>
        <v>PIX</v>
      </c>
      <c r="D12686" t="str">
        <f>"2611"</f>
        <v>2611</v>
      </c>
      <c r="E12686" t="str">
        <f t="shared" si="2496"/>
        <v>25</v>
      </c>
      <c r="F12686" t="str">
        <f t="shared" si="2493"/>
        <v>COM</v>
      </c>
      <c r="G12686" t="str">
        <f>"JIRLANIA RODRIGUES DOS SANTOS (152)"</f>
        <v>JIRLANIA RODRIGUES DOS SANTOS (152)</v>
      </c>
      <c r="H12686" t="str">
        <f>"ADIANTAMENTO - PIX: CPF - CHAVE: 035.018.455-02"</f>
        <v>ADIANTAMENTO - PIX: CPF - CHAVE: 035.018.455-02</v>
      </c>
      <c r="I12686" t="str">
        <f t="shared" si="2491"/>
        <v>26/11/2025</v>
      </c>
      <c r="J12686" t="str">
        <f>("26/11/2025")</f>
        <v>26/11/2025</v>
      </c>
      <c r="K12686" t="str">
        <f>("26/11/2025")</f>
        <v>26/11/2025</v>
      </c>
      <c r="L12686">
        <v>500</v>
      </c>
      <c r="M12686">
        <v>500</v>
      </c>
      <c r="N12686">
        <v>5000</v>
      </c>
      <c r="O12686" t="str">
        <f>"SOLICITACAO DE ADIANTAMENTO"</f>
        <v>SOLICITACAO DE ADIANTAMENTO</v>
      </c>
      <c r="P12686">
        <v>500</v>
      </c>
      <c r="S12686" t="str">
        <f>"BANCO CORA (102)"</f>
        <v>BANCO CORA (102)</v>
      </c>
      <c r="T12686">
        <v>22967</v>
      </c>
      <c r="U12686">
        <v>26402</v>
      </c>
      <c r="V12686" t="s">
        <v>22</v>
      </c>
    </row>
    <row r="12687" spans="1:22">
      <c r="A12687" t="str">
        <f t="shared" si="2488"/>
        <v>26/11/2025</v>
      </c>
      <c r="B12687" t="str">
        <f t="shared" si="2494"/>
        <v>SAÍDA</v>
      </c>
      <c r="C12687" t="str">
        <f t="shared" si="2495"/>
        <v>PIX</v>
      </c>
      <c r="D12687" t="str">
        <f>"2611"</f>
        <v>2611</v>
      </c>
      <c r="E12687" t="str">
        <f t="shared" si="2496"/>
        <v>25</v>
      </c>
      <c r="F12687" t="str">
        <f t="shared" si="2493"/>
        <v>COM</v>
      </c>
      <c r="G12687" t="str">
        <f>"JIRLANIA RODRIGUES DOS SANTOS (152)"</f>
        <v>JIRLANIA RODRIGUES DOS SANTOS (152)</v>
      </c>
      <c r="H12687" t="s">
        <v>3437</v>
      </c>
      <c r="I12687" t="str">
        <f t="shared" si="2491"/>
        <v>26/11/2025</v>
      </c>
      <c r="J12687" t="str">
        <f>("26/11/2025")</f>
        <v>26/11/2025</v>
      </c>
      <c r="K12687">
        <v>45987</v>
      </c>
      <c r="N12687">
        <v>5000</v>
      </c>
      <c r="O12687" t="s">
        <v>86</v>
      </c>
      <c r="Q12687">
        <v>500</v>
      </c>
      <c r="R12687" t="str">
        <f>"FARMÁCIA INDIANA LJ 95 (10039)"</f>
        <v>FARMÁCIA INDIANA LJ 95 (10039)</v>
      </c>
      <c r="S12687" t="s">
        <v>22</v>
      </c>
      <c r="T12687">
        <v>22967</v>
      </c>
      <c r="U12687">
        <v>26402</v>
      </c>
      <c r="V12687" t="s">
        <v>22</v>
      </c>
    </row>
    <row r="12688" spans="1:22">
      <c r="A12688" t="str">
        <f t="shared" si="2488"/>
        <v>26/11/2025</v>
      </c>
      <c r="B12688" t="str">
        <f t="shared" si="2494"/>
        <v>SAÍDA</v>
      </c>
      <c r="C12688" t="str">
        <f t="shared" si="2495"/>
        <v>PIX</v>
      </c>
      <c r="D12688" t="str">
        <f>"26797"</f>
        <v>26797</v>
      </c>
      <c r="E12688" t="str">
        <f>"1"</f>
        <v>1</v>
      </c>
      <c r="F12688" t="str">
        <f t="shared" si="2493"/>
        <v>COM</v>
      </c>
      <c r="G12688" t="str">
        <f>"CLEBER GARCIA DA SILVA (1113)"</f>
        <v>CLEBER GARCIA DA SILVA (1113)</v>
      </c>
      <c r="H12688" t="str">
        <f>"Serv.Prest. 24/11/2025 a 30/11/2025 - PIX: CELULAR - CHAVE: (11) 94848-0368"</f>
        <v>Serv.Prest. 24/11/2025 a 30/11/2025 - PIX: CELULAR - CHAVE: (11) 94848-0368</v>
      </c>
      <c r="I12688" t="str">
        <f t="shared" si="2491"/>
        <v>26/11/2025</v>
      </c>
      <c r="J12688" t="str">
        <f>("26/11/2025")</f>
        <v>26/11/2025</v>
      </c>
      <c r="K12688" t="str">
        <f>("26/11/2025")</f>
        <v>26/11/2025</v>
      </c>
      <c r="L12688">
        <v>170</v>
      </c>
      <c r="M12688">
        <v>170</v>
      </c>
      <c r="N12688">
        <v>134</v>
      </c>
      <c r="O12688" t="str">
        <f>"DIARIA DE MOTOBOY"</f>
        <v>DIARIA DE MOTOBOY</v>
      </c>
      <c r="P12688">
        <v>170</v>
      </c>
      <c r="S12688" t="str">
        <f>"BANCO CORA (102)"</f>
        <v>BANCO CORA (102)</v>
      </c>
      <c r="T12688">
        <v>22968</v>
      </c>
      <c r="U12688">
        <v>27010</v>
      </c>
      <c r="V12688" t="s">
        <v>22</v>
      </c>
    </row>
    <row r="12689" spans="1:22">
      <c r="A12689" t="str">
        <f t="shared" si="2488"/>
        <v>26/11/2025</v>
      </c>
      <c r="B12689" t="str">
        <f t="shared" si="2494"/>
        <v>SAÍDA</v>
      </c>
      <c r="C12689" t="str">
        <f t="shared" si="2495"/>
        <v>PIX</v>
      </c>
      <c r="D12689" t="str">
        <f>"26797"</f>
        <v>26797</v>
      </c>
      <c r="E12689" t="str">
        <f>"1"</f>
        <v>1</v>
      </c>
      <c r="F12689" t="str">
        <f t="shared" si="2493"/>
        <v>COM</v>
      </c>
      <c r="G12689" t="str">
        <f>"CLEBER GARCIA DA SILVA (1113)"</f>
        <v>CLEBER GARCIA DA SILVA (1113)</v>
      </c>
      <c r="H12689" t="s">
        <v>3438</v>
      </c>
      <c r="I12689" t="str">
        <f t="shared" si="2491"/>
        <v>26/11/2025</v>
      </c>
      <c r="J12689" t="str">
        <f>("26/11/2025")</f>
        <v>26/11/2025</v>
      </c>
      <c r="K12689">
        <v>45987</v>
      </c>
      <c r="N12689">
        <v>134</v>
      </c>
      <c r="O12689" t="s">
        <v>41</v>
      </c>
      <c r="Q12689">
        <v>170</v>
      </c>
      <c r="R12689" t="str">
        <f>"PENSE FARMA 46 (10194)"</f>
        <v>PENSE FARMA 46 (10194)</v>
      </c>
      <c r="S12689" t="s">
        <v>22</v>
      </c>
      <c r="T12689">
        <v>22968</v>
      </c>
      <c r="U12689">
        <v>27010</v>
      </c>
      <c r="V12689" t="s">
        <v>22</v>
      </c>
    </row>
    <row r="12690" spans="1:22">
      <c r="A12690" t="str">
        <f t="shared" si="2488"/>
        <v>26/11/2025</v>
      </c>
      <c r="B12690" t="str">
        <f t="shared" si="2494"/>
        <v>SAÍDA</v>
      </c>
      <c r="C12690" t="str">
        <f>""</f>
        <v/>
      </c>
      <c r="D12690" t="str">
        <f>""</f>
        <v/>
      </c>
      <c r="F12690" t="str">
        <f>"CXA"</f>
        <v>CXA</v>
      </c>
      <c r="G12690" t="str">
        <f>""</f>
        <v/>
      </c>
      <c r="H12690" t="str">
        <f>"PAGAMENTO FATURA CARTÃO DE CREDITO CORA"</f>
        <v>PAGAMENTO FATURA CARTÃO DE CREDITO CORA</v>
      </c>
      <c r="I12690" t="str">
        <f t="shared" si="2491"/>
        <v>26/11/2025</v>
      </c>
      <c r="J12690" t="str">
        <f>("26/11/2025")</f>
        <v>26/11/2025</v>
      </c>
      <c r="K12690" t="str">
        <f>("26/11/2025")</f>
        <v>26/11/2025</v>
      </c>
      <c r="L12690">
        <v>3699.17</v>
      </c>
      <c r="M12690">
        <v>3699.17</v>
      </c>
      <c r="N12690">
        <v>119</v>
      </c>
      <c r="O12690" t="str">
        <f>"DESPESAS COM VIAGENS OPERACIONAIS"</f>
        <v>DESPESAS COM VIAGENS OPERACIONAIS</v>
      </c>
      <c r="P12690">
        <v>3699.17</v>
      </c>
      <c r="S12690" t="str">
        <f>"BANCO CORA (102)"</f>
        <v>BANCO CORA (102)</v>
      </c>
      <c r="T12690">
        <v>22969</v>
      </c>
      <c r="U12690">
        <v>0</v>
      </c>
      <c r="V12690" t="s">
        <v>3439</v>
      </c>
    </row>
    <row r="12691" spans="1:22">
      <c r="A12691" t="str">
        <f t="shared" si="2488"/>
        <v>26/11/2025</v>
      </c>
      <c r="B12691" t="str">
        <f t="shared" si="2494"/>
        <v>SAÍDA</v>
      </c>
      <c r="C12691" t="str">
        <f t="shared" ref="C12691:C12712" si="2497">"CONHECIMENTO"</f>
        <v>CONHECIMENTO</v>
      </c>
      <c r="D12691" t="str">
        <f t="shared" ref="D12691:D12712" si="2498">"01092025"</f>
        <v>01092025</v>
      </c>
      <c r="E12691" t="str">
        <f>"2"</f>
        <v>2</v>
      </c>
      <c r="F12691" t="str">
        <f t="shared" ref="F12691:F12754" si="2499">"COM"</f>
        <v>COM</v>
      </c>
      <c r="G12691" t="str">
        <f t="shared" ref="G12691:G12712" si="2500">"CORA SOCIEDADE DE CREDITO, FINANCIAMENTO E INVESTIMENTO (20035)"</f>
        <v>CORA SOCIEDADE DE CREDITO, FINANCIAMENTO E INVESTIMENTO (20035)</v>
      </c>
      <c r="H12691" t="str">
        <f>"TAXA BOLETO "</f>
        <v xml:space="preserve">TAXA BOLETO </v>
      </c>
      <c r="I12691" t="str">
        <f t="shared" si="2491"/>
        <v>26/11/2025</v>
      </c>
      <c r="J12691" t="str">
        <f t="shared" ref="J12691:J12712" si="2501">("01/09/2025")</f>
        <v>01/09/2025</v>
      </c>
      <c r="K12691" t="str">
        <f>("26/11/2025")</f>
        <v>26/11/2025</v>
      </c>
      <c r="L12691">
        <v>1.7</v>
      </c>
      <c r="M12691">
        <v>1.7</v>
      </c>
      <c r="N12691">
        <v>401</v>
      </c>
      <c r="O12691" t="str">
        <f>"IOF/JUROS/DESP.FINANCEIRA"</f>
        <v>IOF/JUROS/DESP.FINANCEIRA</v>
      </c>
      <c r="P12691">
        <v>1.7</v>
      </c>
      <c r="S12691" t="str">
        <f>"BANCO CORA (102)"</f>
        <v>BANCO CORA (102)</v>
      </c>
      <c r="T12691">
        <v>22970</v>
      </c>
      <c r="U12691">
        <v>27070</v>
      </c>
      <c r="V12691" t="s">
        <v>22</v>
      </c>
    </row>
    <row r="12692" spans="1:22">
      <c r="A12692" t="str">
        <f t="shared" si="2488"/>
        <v>26/11/2025</v>
      </c>
      <c r="B12692" t="str">
        <f t="shared" si="2494"/>
        <v>SAÍDA</v>
      </c>
      <c r="C12692" t="str">
        <f t="shared" si="2497"/>
        <v>CONHECIMENTO</v>
      </c>
      <c r="D12692" t="str">
        <f t="shared" si="2498"/>
        <v>01092025</v>
      </c>
      <c r="E12692" t="str">
        <f>"2"</f>
        <v>2</v>
      </c>
      <c r="F12692" t="str">
        <f t="shared" si="2499"/>
        <v>COM</v>
      </c>
      <c r="G12692" t="str">
        <f t="shared" si="2500"/>
        <v>CORA SOCIEDADE DE CREDITO, FINANCIAMENTO E INVESTIMENTO (20035)</v>
      </c>
      <c r="H12692" t="s">
        <v>75</v>
      </c>
      <c r="I12692" t="str">
        <f t="shared" si="2491"/>
        <v>26/11/2025</v>
      </c>
      <c r="J12692" t="str">
        <f t="shared" si="2501"/>
        <v>01/09/2025</v>
      </c>
      <c r="K12692">
        <v>45987</v>
      </c>
      <c r="N12692">
        <v>401</v>
      </c>
      <c r="O12692" t="s">
        <v>76</v>
      </c>
      <c r="Q12692">
        <v>1.7</v>
      </c>
      <c r="R12692" t="str">
        <f>"CORA SOCIEDADE DE CREDITO, FINANCIAMENTO E INVESTIMENTO (20035)"</f>
        <v>CORA SOCIEDADE DE CREDITO, FINANCIAMENTO E INVESTIMENTO (20035)</v>
      </c>
      <c r="S12692" t="s">
        <v>22</v>
      </c>
      <c r="T12692">
        <v>22970</v>
      </c>
      <c r="U12692">
        <v>27070</v>
      </c>
      <c r="V12692" t="s">
        <v>22</v>
      </c>
    </row>
    <row r="12693" spans="1:22">
      <c r="A12693" t="str">
        <f t="shared" si="2488"/>
        <v>26/11/2025</v>
      </c>
      <c r="B12693" t="str">
        <f t="shared" si="2494"/>
        <v>SAÍDA</v>
      </c>
      <c r="C12693" t="str">
        <f t="shared" si="2497"/>
        <v>CONHECIMENTO</v>
      </c>
      <c r="D12693" t="str">
        <f t="shared" si="2498"/>
        <v>01092025</v>
      </c>
      <c r="E12693" t="str">
        <f>"3"</f>
        <v>3</v>
      </c>
      <c r="F12693" t="str">
        <f t="shared" si="2499"/>
        <v>COM</v>
      </c>
      <c r="G12693" t="str">
        <f t="shared" si="2500"/>
        <v>CORA SOCIEDADE DE CREDITO, FINANCIAMENTO E INVESTIMENTO (20035)</v>
      </c>
      <c r="H12693" t="str">
        <f>"TAXA BOLETO "</f>
        <v xml:space="preserve">TAXA BOLETO </v>
      </c>
      <c r="I12693" t="str">
        <f t="shared" si="2491"/>
        <v>26/11/2025</v>
      </c>
      <c r="J12693" t="str">
        <f t="shared" si="2501"/>
        <v>01/09/2025</v>
      </c>
      <c r="K12693" t="str">
        <f>("26/11/2025")</f>
        <v>26/11/2025</v>
      </c>
      <c r="L12693">
        <v>1.7</v>
      </c>
      <c r="M12693">
        <v>1.7</v>
      </c>
      <c r="N12693">
        <v>401</v>
      </c>
      <c r="O12693" t="str">
        <f>"IOF/JUROS/DESP.FINANCEIRA"</f>
        <v>IOF/JUROS/DESP.FINANCEIRA</v>
      </c>
      <c r="P12693">
        <v>1.7</v>
      </c>
      <c r="S12693" t="str">
        <f>"BANCO CORA (102)"</f>
        <v>BANCO CORA (102)</v>
      </c>
      <c r="T12693">
        <v>22971</v>
      </c>
      <c r="U12693">
        <v>27071</v>
      </c>
      <c r="V12693" t="s">
        <v>22</v>
      </c>
    </row>
    <row r="12694" spans="1:22">
      <c r="A12694" t="str">
        <f t="shared" si="2488"/>
        <v>26/11/2025</v>
      </c>
      <c r="B12694" t="str">
        <f t="shared" si="2494"/>
        <v>SAÍDA</v>
      </c>
      <c r="C12694" t="str">
        <f t="shared" si="2497"/>
        <v>CONHECIMENTO</v>
      </c>
      <c r="D12694" t="str">
        <f t="shared" si="2498"/>
        <v>01092025</v>
      </c>
      <c r="E12694" t="str">
        <f>"3"</f>
        <v>3</v>
      </c>
      <c r="F12694" t="str">
        <f t="shared" si="2499"/>
        <v>COM</v>
      </c>
      <c r="G12694" t="str">
        <f t="shared" si="2500"/>
        <v>CORA SOCIEDADE DE CREDITO, FINANCIAMENTO E INVESTIMENTO (20035)</v>
      </c>
      <c r="H12694" t="s">
        <v>75</v>
      </c>
      <c r="I12694" t="str">
        <f t="shared" si="2491"/>
        <v>26/11/2025</v>
      </c>
      <c r="J12694" t="str">
        <f t="shared" si="2501"/>
        <v>01/09/2025</v>
      </c>
      <c r="K12694">
        <v>45987</v>
      </c>
      <c r="N12694">
        <v>401</v>
      </c>
      <c r="O12694" t="s">
        <v>76</v>
      </c>
      <c r="Q12694">
        <v>1.7</v>
      </c>
      <c r="R12694" t="str">
        <f>"CORA SOCIEDADE DE CREDITO, FINANCIAMENTO E INVESTIMENTO (20035)"</f>
        <v>CORA SOCIEDADE DE CREDITO, FINANCIAMENTO E INVESTIMENTO (20035)</v>
      </c>
      <c r="S12694" t="s">
        <v>22</v>
      </c>
      <c r="T12694">
        <v>22971</v>
      </c>
      <c r="U12694">
        <v>27071</v>
      </c>
      <c r="V12694" t="s">
        <v>22</v>
      </c>
    </row>
    <row r="12695" spans="1:22">
      <c r="A12695" t="str">
        <f t="shared" si="2488"/>
        <v>26/11/2025</v>
      </c>
      <c r="B12695" t="str">
        <f t="shared" si="2494"/>
        <v>SAÍDA</v>
      </c>
      <c r="C12695" t="str">
        <f t="shared" si="2497"/>
        <v>CONHECIMENTO</v>
      </c>
      <c r="D12695" t="str">
        <f t="shared" si="2498"/>
        <v>01092025</v>
      </c>
      <c r="E12695" t="str">
        <f>"4"</f>
        <v>4</v>
      </c>
      <c r="F12695" t="str">
        <f t="shared" si="2499"/>
        <v>COM</v>
      </c>
      <c r="G12695" t="str">
        <f t="shared" si="2500"/>
        <v>CORA SOCIEDADE DE CREDITO, FINANCIAMENTO E INVESTIMENTO (20035)</v>
      </c>
      <c r="H12695" t="str">
        <f>"TAXA BOLETO "</f>
        <v xml:space="preserve">TAXA BOLETO </v>
      </c>
      <c r="I12695" t="str">
        <f t="shared" si="2491"/>
        <v>26/11/2025</v>
      </c>
      <c r="J12695" t="str">
        <f t="shared" si="2501"/>
        <v>01/09/2025</v>
      </c>
      <c r="K12695" t="str">
        <f>("26/11/2025")</f>
        <v>26/11/2025</v>
      </c>
      <c r="L12695">
        <v>1.7</v>
      </c>
      <c r="M12695">
        <v>1.7</v>
      </c>
      <c r="N12695">
        <v>401</v>
      </c>
      <c r="O12695" t="str">
        <f>"IOF/JUROS/DESP.FINANCEIRA"</f>
        <v>IOF/JUROS/DESP.FINANCEIRA</v>
      </c>
      <c r="P12695">
        <v>1.7</v>
      </c>
      <c r="S12695" t="str">
        <f>"BANCO CORA (102)"</f>
        <v>BANCO CORA (102)</v>
      </c>
      <c r="T12695">
        <v>22972</v>
      </c>
      <c r="U12695">
        <v>27072</v>
      </c>
      <c r="V12695" t="s">
        <v>22</v>
      </c>
    </row>
    <row r="12696" spans="1:22">
      <c r="A12696" t="str">
        <f t="shared" si="2488"/>
        <v>26/11/2025</v>
      </c>
      <c r="B12696" t="str">
        <f t="shared" si="2494"/>
        <v>SAÍDA</v>
      </c>
      <c r="C12696" t="str">
        <f t="shared" si="2497"/>
        <v>CONHECIMENTO</v>
      </c>
      <c r="D12696" t="str">
        <f t="shared" si="2498"/>
        <v>01092025</v>
      </c>
      <c r="E12696" t="str">
        <f>"4"</f>
        <v>4</v>
      </c>
      <c r="F12696" t="str">
        <f t="shared" si="2499"/>
        <v>COM</v>
      </c>
      <c r="G12696" t="str">
        <f t="shared" si="2500"/>
        <v>CORA SOCIEDADE DE CREDITO, FINANCIAMENTO E INVESTIMENTO (20035)</v>
      </c>
      <c r="H12696" t="s">
        <v>75</v>
      </c>
      <c r="I12696" t="str">
        <f t="shared" si="2491"/>
        <v>26/11/2025</v>
      </c>
      <c r="J12696" t="str">
        <f t="shared" si="2501"/>
        <v>01/09/2025</v>
      </c>
      <c r="K12696">
        <v>45987</v>
      </c>
      <c r="N12696">
        <v>401</v>
      </c>
      <c r="O12696" t="s">
        <v>76</v>
      </c>
      <c r="Q12696">
        <v>1.7</v>
      </c>
      <c r="R12696" t="str">
        <f>"CORA SOCIEDADE DE CREDITO, FINANCIAMENTO E INVESTIMENTO (20035)"</f>
        <v>CORA SOCIEDADE DE CREDITO, FINANCIAMENTO E INVESTIMENTO (20035)</v>
      </c>
      <c r="S12696" t="s">
        <v>22</v>
      </c>
      <c r="T12696">
        <v>22972</v>
      </c>
      <c r="U12696">
        <v>27072</v>
      </c>
      <c r="V12696" t="s">
        <v>22</v>
      </c>
    </row>
    <row r="12697" spans="1:22">
      <c r="A12697" t="str">
        <f t="shared" si="2488"/>
        <v>26/11/2025</v>
      </c>
      <c r="B12697" t="str">
        <f t="shared" si="2494"/>
        <v>SAÍDA</v>
      </c>
      <c r="C12697" t="str">
        <f t="shared" si="2497"/>
        <v>CONHECIMENTO</v>
      </c>
      <c r="D12697" t="str">
        <f t="shared" si="2498"/>
        <v>01092025</v>
      </c>
      <c r="E12697" t="str">
        <f>"5"</f>
        <v>5</v>
      </c>
      <c r="F12697" t="str">
        <f t="shared" si="2499"/>
        <v>COM</v>
      </c>
      <c r="G12697" t="str">
        <f t="shared" si="2500"/>
        <v>CORA SOCIEDADE DE CREDITO, FINANCIAMENTO E INVESTIMENTO (20035)</v>
      </c>
      <c r="H12697" t="str">
        <f>"TAXA BOLETO "</f>
        <v xml:space="preserve">TAXA BOLETO </v>
      </c>
      <c r="I12697" t="str">
        <f t="shared" si="2491"/>
        <v>26/11/2025</v>
      </c>
      <c r="J12697" t="str">
        <f t="shared" si="2501"/>
        <v>01/09/2025</v>
      </c>
      <c r="K12697" t="str">
        <f>("26/11/2025")</f>
        <v>26/11/2025</v>
      </c>
      <c r="L12697">
        <v>1.7</v>
      </c>
      <c r="M12697">
        <v>1.7</v>
      </c>
      <c r="N12697">
        <v>401</v>
      </c>
      <c r="O12697" t="str">
        <f>"IOF/JUROS/DESP.FINANCEIRA"</f>
        <v>IOF/JUROS/DESP.FINANCEIRA</v>
      </c>
      <c r="P12697">
        <v>1.7</v>
      </c>
      <c r="S12697" t="str">
        <f>"BANCO CORA (102)"</f>
        <v>BANCO CORA (102)</v>
      </c>
      <c r="T12697">
        <v>22973</v>
      </c>
      <c r="U12697">
        <v>27073</v>
      </c>
      <c r="V12697" t="s">
        <v>22</v>
      </c>
    </row>
    <row r="12698" spans="1:22">
      <c r="A12698" t="str">
        <f t="shared" si="2488"/>
        <v>26/11/2025</v>
      </c>
      <c r="B12698" t="str">
        <f t="shared" si="2494"/>
        <v>SAÍDA</v>
      </c>
      <c r="C12698" t="str">
        <f t="shared" si="2497"/>
        <v>CONHECIMENTO</v>
      </c>
      <c r="D12698" t="str">
        <f t="shared" si="2498"/>
        <v>01092025</v>
      </c>
      <c r="E12698" t="str">
        <f>"5"</f>
        <v>5</v>
      </c>
      <c r="F12698" t="str">
        <f t="shared" si="2499"/>
        <v>COM</v>
      </c>
      <c r="G12698" t="str">
        <f t="shared" si="2500"/>
        <v>CORA SOCIEDADE DE CREDITO, FINANCIAMENTO E INVESTIMENTO (20035)</v>
      </c>
      <c r="H12698" t="s">
        <v>75</v>
      </c>
      <c r="I12698" t="str">
        <f t="shared" si="2491"/>
        <v>26/11/2025</v>
      </c>
      <c r="J12698" t="str">
        <f t="shared" si="2501"/>
        <v>01/09/2025</v>
      </c>
      <c r="K12698">
        <v>45987</v>
      </c>
      <c r="N12698">
        <v>401</v>
      </c>
      <c r="O12698" t="s">
        <v>76</v>
      </c>
      <c r="Q12698">
        <v>1.7</v>
      </c>
      <c r="R12698" t="str">
        <f>"CORA SOCIEDADE DE CREDITO, FINANCIAMENTO E INVESTIMENTO (20035)"</f>
        <v>CORA SOCIEDADE DE CREDITO, FINANCIAMENTO E INVESTIMENTO (20035)</v>
      </c>
      <c r="S12698" t="s">
        <v>22</v>
      </c>
      <c r="T12698">
        <v>22973</v>
      </c>
      <c r="U12698">
        <v>27073</v>
      </c>
      <c r="V12698" t="s">
        <v>22</v>
      </c>
    </row>
    <row r="12699" spans="1:22">
      <c r="A12699" t="str">
        <f t="shared" si="2488"/>
        <v>26/11/2025</v>
      </c>
      <c r="B12699" t="str">
        <f t="shared" si="2494"/>
        <v>SAÍDA</v>
      </c>
      <c r="C12699" t="str">
        <f t="shared" si="2497"/>
        <v>CONHECIMENTO</v>
      </c>
      <c r="D12699" t="str">
        <f t="shared" si="2498"/>
        <v>01092025</v>
      </c>
      <c r="E12699" t="str">
        <f>"6"</f>
        <v>6</v>
      </c>
      <c r="F12699" t="str">
        <f t="shared" si="2499"/>
        <v>COM</v>
      </c>
      <c r="G12699" t="str">
        <f t="shared" si="2500"/>
        <v>CORA SOCIEDADE DE CREDITO, FINANCIAMENTO E INVESTIMENTO (20035)</v>
      </c>
      <c r="H12699" t="str">
        <f>"TAXA BOLETO "</f>
        <v xml:space="preserve">TAXA BOLETO </v>
      </c>
      <c r="I12699" t="str">
        <f t="shared" si="2491"/>
        <v>26/11/2025</v>
      </c>
      <c r="J12699" t="str">
        <f t="shared" si="2501"/>
        <v>01/09/2025</v>
      </c>
      <c r="K12699" t="str">
        <f>("26/11/2025")</f>
        <v>26/11/2025</v>
      </c>
      <c r="L12699">
        <v>1.7</v>
      </c>
      <c r="M12699">
        <v>1.7</v>
      </c>
      <c r="N12699">
        <v>401</v>
      </c>
      <c r="O12699" t="str">
        <f>"IOF/JUROS/DESP.FINANCEIRA"</f>
        <v>IOF/JUROS/DESP.FINANCEIRA</v>
      </c>
      <c r="P12699">
        <v>1.7</v>
      </c>
      <c r="S12699" t="str">
        <f>"BANCO CORA (102)"</f>
        <v>BANCO CORA (102)</v>
      </c>
      <c r="T12699">
        <v>22974</v>
      </c>
      <c r="U12699">
        <v>27074</v>
      </c>
      <c r="V12699" t="s">
        <v>22</v>
      </c>
    </row>
    <row r="12700" spans="1:22">
      <c r="A12700" t="str">
        <f t="shared" ref="A12700:A12731" si="2502">("26/11/2025")</f>
        <v>26/11/2025</v>
      </c>
      <c r="B12700" t="str">
        <f t="shared" si="2494"/>
        <v>SAÍDA</v>
      </c>
      <c r="C12700" t="str">
        <f t="shared" si="2497"/>
        <v>CONHECIMENTO</v>
      </c>
      <c r="D12700" t="str">
        <f t="shared" si="2498"/>
        <v>01092025</v>
      </c>
      <c r="E12700" t="str">
        <f>"6"</f>
        <v>6</v>
      </c>
      <c r="F12700" t="str">
        <f t="shared" si="2499"/>
        <v>COM</v>
      </c>
      <c r="G12700" t="str">
        <f t="shared" si="2500"/>
        <v>CORA SOCIEDADE DE CREDITO, FINANCIAMENTO E INVESTIMENTO (20035)</v>
      </c>
      <c r="H12700" t="s">
        <v>75</v>
      </c>
      <c r="I12700" t="str">
        <f t="shared" si="2491"/>
        <v>26/11/2025</v>
      </c>
      <c r="J12700" t="str">
        <f t="shared" si="2501"/>
        <v>01/09/2025</v>
      </c>
      <c r="K12700">
        <v>45987</v>
      </c>
      <c r="N12700">
        <v>401</v>
      </c>
      <c r="O12700" t="s">
        <v>76</v>
      </c>
      <c r="Q12700">
        <v>1.7</v>
      </c>
      <c r="R12700" t="str">
        <f>"CORA SOCIEDADE DE CREDITO, FINANCIAMENTO E INVESTIMENTO (20035)"</f>
        <v>CORA SOCIEDADE DE CREDITO, FINANCIAMENTO E INVESTIMENTO (20035)</v>
      </c>
      <c r="S12700" t="s">
        <v>22</v>
      </c>
      <c r="T12700">
        <v>22974</v>
      </c>
      <c r="U12700">
        <v>27074</v>
      </c>
      <c r="V12700" t="s">
        <v>22</v>
      </c>
    </row>
    <row r="12701" spans="1:22">
      <c r="A12701" t="str">
        <f t="shared" si="2502"/>
        <v>26/11/2025</v>
      </c>
      <c r="B12701" t="str">
        <f t="shared" si="2494"/>
        <v>SAÍDA</v>
      </c>
      <c r="C12701" t="str">
        <f t="shared" si="2497"/>
        <v>CONHECIMENTO</v>
      </c>
      <c r="D12701" t="str">
        <f t="shared" si="2498"/>
        <v>01092025</v>
      </c>
      <c r="E12701" t="str">
        <f>"7"</f>
        <v>7</v>
      </c>
      <c r="F12701" t="str">
        <f t="shared" si="2499"/>
        <v>COM</v>
      </c>
      <c r="G12701" t="str">
        <f t="shared" si="2500"/>
        <v>CORA SOCIEDADE DE CREDITO, FINANCIAMENTO E INVESTIMENTO (20035)</v>
      </c>
      <c r="H12701" t="str">
        <f>"TAXA BOLETO "</f>
        <v xml:space="preserve">TAXA BOLETO </v>
      </c>
      <c r="I12701" t="str">
        <f t="shared" si="2491"/>
        <v>26/11/2025</v>
      </c>
      <c r="J12701" t="str">
        <f t="shared" si="2501"/>
        <v>01/09/2025</v>
      </c>
      <c r="K12701" t="str">
        <f>("26/11/2025")</f>
        <v>26/11/2025</v>
      </c>
      <c r="L12701">
        <v>1.7</v>
      </c>
      <c r="M12701">
        <v>1.7</v>
      </c>
      <c r="N12701">
        <v>401</v>
      </c>
      <c r="O12701" t="str">
        <f>"IOF/JUROS/DESP.FINANCEIRA"</f>
        <v>IOF/JUROS/DESP.FINANCEIRA</v>
      </c>
      <c r="P12701">
        <v>1.7</v>
      </c>
      <c r="S12701" t="str">
        <f>"BANCO CORA (102)"</f>
        <v>BANCO CORA (102)</v>
      </c>
      <c r="T12701">
        <v>22975</v>
      </c>
      <c r="U12701">
        <v>27075</v>
      </c>
      <c r="V12701" t="s">
        <v>22</v>
      </c>
    </row>
    <row r="12702" spans="1:22">
      <c r="A12702" t="str">
        <f t="shared" si="2502"/>
        <v>26/11/2025</v>
      </c>
      <c r="B12702" t="str">
        <f t="shared" si="2494"/>
        <v>SAÍDA</v>
      </c>
      <c r="C12702" t="str">
        <f t="shared" si="2497"/>
        <v>CONHECIMENTO</v>
      </c>
      <c r="D12702" t="str">
        <f t="shared" si="2498"/>
        <v>01092025</v>
      </c>
      <c r="E12702" t="str">
        <f>"7"</f>
        <v>7</v>
      </c>
      <c r="F12702" t="str">
        <f t="shared" si="2499"/>
        <v>COM</v>
      </c>
      <c r="G12702" t="str">
        <f t="shared" si="2500"/>
        <v>CORA SOCIEDADE DE CREDITO, FINANCIAMENTO E INVESTIMENTO (20035)</v>
      </c>
      <c r="H12702" t="s">
        <v>75</v>
      </c>
      <c r="I12702" t="str">
        <f t="shared" si="2491"/>
        <v>26/11/2025</v>
      </c>
      <c r="J12702" t="str">
        <f t="shared" si="2501"/>
        <v>01/09/2025</v>
      </c>
      <c r="K12702">
        <v>45987</v>
      </c>
      <c r="N12702">
        <v>401</v>
      </c>
      <c r="O12702" t="s">
        <v>76</v>
      </c>
      <c r="Q12702">
        <v>1.7</v>
      </c>
      <c r="R12702" t="str">
        <f>"CORA SOCIEDADE DE CREDITO, FINANCIAMENTO E INVESTIMENTO (20035)"</f>
        <v>CORA SOCIEDADE DE CREDITO, FINANCIAMENTO E INVESTIMENTO (20035)</v>
      </c>
      <c r="S12702" t="s">
        <v>22</v>
      </c>
      <c r="T12702">
        <v>22975</v>
      </c>
      <c r="U12702">
        <v>27075</v>
      </c>
      <c r="V12702" t="s">
        <v>22</v>
      </c>
    </row>
    <row r="12703" spans="1:22">
      <c r="A12703" t="str">
        <f t="shared" si="2502"/>
        <v>26/11/2025</v>
      </c>
      <c r="B12703" t="str">
        <f t="shared" si="2494"/>
        <v>SAÍDA</v>
      </c>
      <c r="C12703" t="str">
        <f t="shared" si="2497"/>
        <v>CONHECIMENTO</v>
      </c>
      <c r="D12703" t="str">
        <f t="shared" si="2498"/>
        <v>01092025</v>
      </c>
      <c r="E12703" t="str">
        <f>"8"</f>
        <v>8</v>
      </c>
      <c r="F12703" t="str">
        <f t="shared" si="2499"/>
        <v>COM</v>
      </c>
      <c r="G12703" t="str">
        <f t="shared" si="2500"/>
        <v>CORA SOCIEDADE DE CREDITO, FINANCIAMENTO E INVESTIMENTO (20035)</v>
      </c>
      <c r="H12703" t="str">
        <f>"TAXA BOLETO "</f>
        <v xml:space="preserve">TAXA BOLETO </v>
      </c>
      <c r="I12703" t="str">
        <f t="shared" si="2491"/>
        <v>26/11/2025</v>
      </c>
      <c r="J12703" t="str">
        <f t="shared" si="2501"/>
        <v>01/09/2025</v>
      </c>
      <c r="K12703" t="str">
        <f>("26/11/2025")</f>
        <v>26/11/2025</v>
      </c>
      <c r="L12703">
        <v>1.7</v>
      </c>
      <c r="M12703">
        <v>1.7</v>
      </c>
      <c r="N12703">
        <v>401</v>
      </c>
      <c r="O12703" t="str">
        <f>"IOF/JUROS/DESP.FINANCEIRA"</f>
        <v>IOF/JUROS/DESP.FINANCEIRA</v>
      </c>
      <c r="P12703">
        <v>1.7</v>
      </c>
      <c r="S12703" t="str">
        <f>"BANCO CORA (102)"</f>
        <v>BANCO CORA (102)</v>
      </c>
      <c r="T12703">
        <v>22976</v>
      </c>
      <c r="U12703">
        <v>27076</v>
      </c>
      <c r="V12703" t="s">
        <v>22</v>
      </c>
    </row>
    <row r="12704" spans="1:22">
      <c r="A12704" t="str">
        <f t="shared" si="2502"/>
        <v>26/11/2025</v>
      </c>
      <c r="B12704" t="str">
        <f t="shared" si="2494"/>
        <v>SAÍDA</v>
      </c>
      <c r="C12704" t="str">
        <f t="shared" si="2497"/>
        <v>CONHECIMENTO</v>
      </c>
      <c r="D12704" t="str">
        <f t="shared" si="2498"/>
        <v>01092025</v>
      </c>
      <c r="E12704" t="str">
        <f>"8"</f>
        <v>8</v>
      </c>
      <c r="F12704" t="str">
        <f t="shared" si="2499"/>
        <v>COM</v>
      </c>
      <c r="G12704" t="str">
        <f t="shared" si="2500"/>
        <v>CORA SOCIEDADE DE CREDITO, FINANCIAMENTO E INVESTIMENTO (20035)</v>
      </c>
      <c r="H12704" t="s">
        <v>75</v>
      </c>
      <c r="I12704" t="str">
        <f t="shared" si="2491"/>
        <v>26/11/2025</v>
      </c>
      <c r="J12704" t="str">
        <f t="shared" si="2501"/>
        <v>01/09/2025</v>
      </c>
      <c r="K12704">
        <v>45987</v>
      </c>
      <c r="N12704">
        <v>401</v>
      </c>
      <c r="O12704" t="s">
        <v>76</v>
      </c>
      <c r="Q12704">
        <v>1.7</v>
      </c>
      <c r="R12704" t="str">
        <f>"CORA SOCIEDADE DE CREDITO, FINANCIAMENTO E INVESTIMENTO (20035)"</f>
        <v>CORA SOCIEDADE DE CREDITO, FINANCIAMENTO E INVESTIMENTO (20035)</v>
      </c>
      <c r="S12704" t="s">
        <v>22</v>
      </c>
      <c r="T12704">
        <v>22976</v>
      </c>
      <c r="U12704">
        <v>27076</v>
      </c>
      <c r="V12704" t="s">
        <v>22</v>
      </c>
    </row>
    <row r="12705" spans="1:22">
      <c r="A12705" t="str">
        <f t="shared" si="2502"/>
        <v>26/11/2025</v>
      </c>
      <c r="B12705" t="str">
        <f t="shared" si="2494"/>
        <v>SAÍDA</v>
      </c>
      <c r="C12705" t="str">
        <f t="shared" si="2497"/>
        <v>CONHECIMENTO</v>
      </c>
      <c r="D12705" t="str">
        <f t="shared" si="2498"/>
        <v>01092025</v>
      </c>
      <c r="E12705" t="str">
        <f>"9"</f>
        <v>9</v>
      </c>
      <c r="F12705" t="str">
        <f t="shared" si="2499"/>
        <v>COM</v>
      </c>
      <c r="G12705" t="str">
        <f t="shared" si="2500"/>
        <v>CORA SOCIEDADE DE CREDITO, FINANCIAMENTO E INVESTIMENTO (20035)</v>
      </c>
      <c r="H12705" t="str">
        <f>"TAXA BOLETO "</f>
        <v xml:space="preserve">TAXA BOLETO </v>
      </c>
      <c r="I12705" t="str">
        <f t="shared" si="2491"/>
        <v>26/11/2025</v>
      </c>
      <c r="J12705" t="str">
        <f t="shared" si="2501"/>
        <v>01/09/2025</v>
      </c>
      <c r="K12705" t="str">
        <f>("26/11/2025")</f>
        <v>26/11/2025</v>
      </c>
      <c r="L12705">
        <v>1.7</v>
      </c>
      <c r="M12705">
        <v>1.7</v>
      </c>
      <c r="N12705">
        <v>401</v>
      </c>
      <c r="O12705" t="str">
        <f>"IOF/JUROS/DESP.FINANCEIRA"</f>
        <v>IOF/JUROS/DESP.FINANCEIRA</v>
      </c>
      <c r="P12705">
        <v>1.7</v>
      </c>
      <c r="S12705" t="str">
        <f>"BANCO CORA (102)"</f>
        <v>BANCO CORA (102)</v>
      </c>
      <c r="T12705">
        <v>22977</v>
      </c>
      <c r="U12705">
        <v>27077</v>
      </c>
      <c r="V12705" t="s">
        <v>22</v>
      </c>
    </row>
    <row r="12706" spans="1:22">
      <c r="A12706" t="str">
        <f t="shared" si="2502"/>
        <v>26/11/2025</v>
      </c>
      <c r="B12706" t="str">
        <f t="shared" si="2494"/>
        <v>SAÍDA</v>
      </c>
      <c r="C12706" t="str">
        <f t="shared" si="2497"/>
        <v>CONHECIMENTO</v>
      </c>
      <c r="D12706" t="str">
        <f t="shared" si="2498"/>
        <v>01092025</v>
      </c>
      <c r="E12706" t="str">
        <f>"9"</f>
        <v>9</v>
      </c>
      <c r="F12706" t="str">
        <f t="shared" si="2499"/>
        <v>COM</v>
      </c>
      <c r="G12706" t="str">
        <f t="shared" si="2500"/>
        <v>CORA SOCIEDADE DE CREDITO, FINANCIAMENTO E INVESTIMENTO (20035)</v>
      </c>
      <c r="H12706" t="s">
        <v>75</v>
      </c>
      <c r="I12706" t="str">
        <f t="shared" si="2491"/>
        <v>26/11/2025</v>
      </c>
      <c r="J12706" t="str">
        <f t="shared" si="2501"/>
        <v>01/09/2025</v>
      </c>
      <c r="K12706">
        <v>45987</v>
      </c>
      <c r="N12706">
        <v>401</v>
      </c>
      <c r="O12706" t="s">
        <v>76</v>
      </c>
      <c r="Q12706">
        <v>1.7</v>
      </c>
      <c r="R12706" t="str">
        <f>"CORA SOCIEDADE DE CREDITO, FINANCIAMENTO E INVESTIMENTO (20035)"</f>
        <v>CORA SOCIEDADE DE CREDITO, FINANCIAMENTO E INVESTIMENTO (20035)</v>
      </c>
      <c r="S12706" t="s">
        <v>22</v>
      </c>
      <c r="T12706">
        <v>22977</v>
      </c>
      <c r="U12706">
        <v>27077</v>
      </c>
      <c r="V12706" t="s">
        <v>22</v>
      </c>
    </row>
    <row r="12707" spans="1:22">
      <c r="A12707" t="str">
        <f t="shared" si="2502"/>
        <v>26/11/2025</v>
      </c>
      <c r="B12707" t="str">
        <f t="shared" si="2494"/>
        <v>SAÍDA</v>
      </c>
      <c r="C12707" t="str">
        <f t="shared" si="2497"/>
        <v>CONHECIMENTO</v>
      </c>
      <c r="D12707" t="str">
        <f t="shared" si="2498"/>
        <v>01092025</v>
      </c>
      <c r="E12707" t="str">
        <f>"10"</f>
        <v>10</v>
      </c>
      <c r="F12707" t="str">
        <f t="shared" si="2499"/>
        <v>COM</v>
      </c>
      <c r="G12707" t="str">
        <f t="shared" si="2500"/>
        <v>CORA SOCIEDADE DE CREDITO, FINANCIAMENTO E INVESTIMENTO (20035)</v>
      </c>
      <c r="H12707" t="str">
        <f>"TAXA BOLETO "</f>
        <v xml:space="preserve">TAXA BOLETO </v>
      </c>
      <c r="I12707" t="str">
        <f t="shared" si="2491"/>
        <v>26/11/2025</v>
      </c>
      <c r="J12707" t="str">
        <f t="shared" si="2501"/>
        <v>01/09/2025</v>
      </c>
      <c r="K12707" t="str">
        <f>("26/11/2025")</f>
        <v>26/11/2025</v>
      </c>
      <c r="L12707">
        <v>1.7</v>
      </c>
      <c r="M12707">
        <v>1.7</v>
      </c>
      <c r="N12707">
        <v>401</v>
      </c>
      <c r="O12707" t="str">
        <f>"IOF/JUROS/DESP.FINANCEIRA"</f>
        <v>IOF/JUROS/DESP.FINANCEIRA</v>
      </c>
      <c r="P12707">
        <v>1.7</v>
      </c>
      <c r="S12707" t="str">
        <f>"BANCO CORA (102)"</f>
        <v>BANCO CORA (102)</v>
      </c>
      <c r="T12707">
        <v>22978</v>
      </c>
      <c r="U12707">
        <v>27078</v>
      </c>
      <c r="V12707" t="s">
        <v>22</v>
      </c>
    </row>
    <row r="12708" spans="1:22">
      <c r="A12708" t="str">
        <f t="shared" si="2502"/>
        <v>26/11/2025</v>
      </c>
      <c r="B12708" t="str">
        <f t="shared" si="2494"/>
        <v>SAÍDA</v>
      </c>
      <c r="C12708" t="str">
        <f t="shared" si="2497"/>
        <v>CONHECIMENTO</v>
      </c>
      <c r="D12708" t="str">
        <f t="shared" si="2498"/>
        <v>01092025</v>
      </c>
      <c r="E12708" t="str">
        <f>"10"</f>
        <v>10</v>
      </c>
      <c r="F12708" t="str">
        <f t="shared" si="2499"/>
        <v>COM</v>
      </c>
      <c r="G12708" t="str">
        <f t="shared" si="2500"/>
        <v>CORA SOCIEDADE DE CREDITO, FINANCIAMENTO E INVESTIMENTO (20035)</v>
      </c>
      <c r="H12708" t="s">
        <v>75</v>
      </c>
      <c r="I12708" t="str">
        <f t="shared" ref="I12708:I12739" si="2503">("26/11/2025")</f>
        <v>26/11/2025</v>
      </c>
      <c r="J12708" t="str">
        <f t="shared" si="2501"/>
        <v>01/09/2025</v>
      </c>
      <c r="K12708">
        <v>45987</v>
      </c>
      <c r="N12708">
        <v>401</v>
      </c>
      <c r="O12708" t="s">
        <v>76</v>
      </c>
      <c r="Q12708">
        <v>1.7</v>
      </c>
      <c r="R12708" t="str">
        <f>"CORA SOCIEDADE DE CREDITO, FINANCIAMENTO E INVESTIMENTO (20035)"</f>
        <v>CORA SOCIEDADE DE CREDITO, FINANCIAMENTO E INVESTIMENTO (20035)</v>
      </c>
      <c r="S12708" t="s">
        <v>22</v>
      </c>
      <c r="T12708">
        <v>22978</v>
      </c>
      <c r="U12708">
        <v>27078</v>
      </c>
      <c r="V12708" t="s">
        <v>22</v>
      </c>
    </row>
    <row r="12709" spans="1:22">
      <c r="A12709" t="str">
        <f t="shared" si="2502"/>
        <v>26/11/2025</v>
      </c>
      <c r="B12709" t="str">
        <f t="shared" si="2494"/>
        <v>SAÍDA</v>
      </c>
      <c r="C12709" t="str">
        <f t="shared" si="2497"/>
        <v>CONHECIMENTO</v>
      </c>
      <c r="D12709" t="str">
        <f t="shared" si="2498"/>
        <v>01092025</v>
      </c>
      <c r="E12709" t="str">
        <f>"11"</f>
        <v>11</v>
      </c>
      <c r="F12709" t="str">
        <f t="shared" si="2499"/>
        <v>COM</v>
      </c>
      <c r="G12709" t="str">
        <f t="shared" si="2500"/>
        <v>CORA SOCIEDADE DE CREDITO, FINANCIAMENTO E INVESTIMENTO (20035)</v>
      </c>
      <c r="H12709" t="str">
        <f>"TAXA BOLETO "</f>
        <v xml:space="preserve">TAXA BOLETO </v>
      </c>
      <c r="I12709" t="str">
        <f t="shared" si="2503"/>
        <v>26/11/2025</v>
      </c>
      <c r="J12709" t="str">
        <f t="shared" si="2501"/>
        <v>01/09/2025</v>
      </c>
      <c r="K12709" t="str">
        <f>("26/11/2025")</f>
        <v>26/11/2025</v>
      </c>
      <c r="L12709">
        <v>1.7</v>
      </c>
      <c r="M12709">
        <v>1.7</v>
      </c>
      <c r="N12709">
        <v>401</v>
      </c>
      <c r="O12709" t="str">
        <f>"IOF/JUROS/DESP.FINANCEIRA"</f>
        <v>IOF/JUROS/DESP.FINANCEIRA</v>
      </c>
      <c r="P12709">
        <v>1.7</v>
      </c>
      <c r="S12709" t="str">
        <f>"BANCO CORA (102)"</f>
        <v>BANCO CORA (102)</v>
      </c>
      <c r="T12709">
        <v>22979</v>
      </c>
      <c r="U12709">
        <v>27079</v>
      </c>
      <c r="V12709" t="s">
        <v>22</v>
      </c>
    </row>
    <row r="12710" spans="1:22">
      <c r="A12710" t="str">
        <f t="shared" si="2502"/>
        <v>26/11/2025</v>
      </c>
      <c r="B12710" t="str">
        <f t="shared" si="2494"/>
        <v>SAÍDA</v>
      </c>
      <c r="C12710" t="str">
        <f t="shared" si="2497"/>
        <v>CONHECIMENTO</v>
      </c>
      <c r="D12710" t="str">
        <f t="shared" si="2498"/>
        <v>01092025</v>
      </c>
      <c r="E12710" t="str">
        <f>"11"</f>
        <v>11</v>
      </c>
      <c r="F12710" t="str">
        <f t="shared" si="2499"/>
        <v>COM</v>
      </c>
      <c r="G12710" t="str">
        <f t="shared" si="2500"/>
        <v>CORA SOCIEDADE DE CREDITO, FINANCIAMENTO E INVESTIMENTO (20035)</v>
      </c>
      <c r="H12710" t="s">
        <v>75</v>
      </c>
      <c r="I12710" t="str">
        <f t="shared" si="2503"/>
        <v>26/11/2025</v>
      </c>
      <c r="J12710" t="str">
        <f t="shared" si="2501"/>
        <v>01/09/2025</v>
      </c>
      <c r="K12710">
        <v>45987</v>
      </c>
      <c r="N12710">
        <v>401</v>
      </c>
      <c r="O12710" t="s">
        <v>76</v>
      </c>
      <c r="Q12710">
        <v>1.7</v>
      </c>
      <c r="R12710" t="str">
        <f>"CORA SOCIEDADE DE CREDITO, FINANCIAMENTO E INVESTIMENTO (20035)"</f>
        <v>CORA SOCIEDADE DE CREDITO, FINANCIAMENTO E INVESTIMENTO (20035)</v>
      </c>
      <c r="S12710" t="s">
        <v>22</v>
      </c>
      <c r="T12710">
        <v>22979</v>
      </c>
      <c r="U12710">
        <v>27079</v>
      </c>
      <c r="V12710" t="s">
        <v>22</v>
      </c>
    </row>
    <row r="12711" spans="1:22">
      <c r="A12711" t="str">
        <f t="shared" si="2502"/>
        <v>26/11/2025</v>
      </c>
      <c r="B12711" t="str">
        <f t="shared" si="2494"/>
        <v>SAÍDA</v>
      </c>
      <c r="C12711" t="str">
        <f t="shared" si="2497"/>
        <v>CONHECIMENTO</v>
      </c>
      <c r="D12711" t="str">
        <f t="shared" si="2498"/>
        <v>01092025</v>
      </c>
      <c r="E12711" t="str">
        <f>"12"</f>
        <v>12</v>
      </c>
      <c r="F12711" t="str">
        <f t="shared" si="2499"/>
        <v>COM</v>
      </c>
      <c r="G12711" t="str">
        <f t="shared" si="2500"/>
        <v>CORA SOCIEDADE DE CREDITO, FINANCIAMENTO E INVESTIMENTO (20035)</v>
      </c>
      <c r="H12711" t="str">
        <f>"TAXA BOLETO "</f>
        <v xml:space="preserve">TAXA BOLETO </v>
      </c>
      <c r="I12711" t="str">
        <f t="shared" si="2503"/>
        <v>26/11/2025</v>
      </c>
      <c r="J12711" t="str">
        <f t="shared" si="2501"/>
        <v>01/09/2025</v>
      </c>
      <c r="K12711" t="str">
        <f>("26/11/2025")</f>
        <v>26/11/2025</v>
      </c>
      <c r="L12711">
        <v>1.7</v>
      </c>
      <c r="M12711">
        <v>1.7</v>
      </c>
      <c r="N12711">
        <v>401</v>
      </c>
      <c r="O12711" t="str">
        <f>"IOF/JUROS/DESP.FINANCEIRA"</f>
        <v>IOF/JUROS/DESP.FINANCEIRA</v>
      </c>
      <c r="P12711">
        <v>1.7</v>
      </c>
      <c r="S12711" t="str">
        <f>"BANCO CORA (102)"</f>
        <v>BANCO CORA (102)</v>
      </c>
      <c r="T12711">
        <v>22980</v>
      </c>
      <c r="U12711">
        <v>27080</v>
      </c>
      <c r="V12711" t="s">
        <v>22</v>
      </c>
    </row>
    <row r="12712" spans="1:22">
      <c r="A12712" t="str">
        <f t="shared" si="2502"/>
        <v>26/11/2025</v>
      </c>
      <c r="B12712" t="str">
        <f t="shared" si="2494"/>
        <v>SAÍDA</v>
      </c>
      <c r="C12712" t="str">
        <f t="shared" si="2497"/>
        <v>CONHECIMENTO</v>
      </c>
      <c r="D12712" t="str">
        <f t="shared" si="2498"/>
        <v>01092025</v>
      </c>
      <c r="E12712" t="str">
        <f>"12"</f>
        <v>12</v>
      </c>
      <c r="F12712" t="str">
        <f t="shared" si="2499"/>
        <v>COM</v>
      </c>
      <c r="G12712" t="str">
        <f t="shared" si="2500"/>
        <v>CORA SOCIEDADE DE CREDITO, FINANCIAMENTO E INVESTIMENTO (20035)</v>
      </c>
      <c r="H12712" t="s">
        <v>75</v>
      </c>
      <c r="I12712" t="str">
        <f t="shared" si="2503"/>
        <v>26/11/2025</v>
      </c>
      <c r="J12712" t="str">
        <f t="shared" si="2501"/>
        <v>01/09/2025</v>
      </c>
      <c r="K12712">
        <v>45987</v>
      </c>
      <c r="N12712">
        <v>401</v>
      </c>
      <c r="O12712" t="s">
        <v>76</v>
      </c>
      <c r="Q12712">
        <v>1.7</v>
      </c>
      <c r="R12712" t="str">
        <f>"CORA SOCIEDADE DE CREDITO, FINANCIAMENTO E INVESTIMENTO (20035)"</f>
        <v>CORA SOCIEDADE DE CREDITO, FINANCIAMENTO E INVESTIMENTO (20035)</v>
      </c>
      <c r="S12712" t="s">
        <v>22</v>
      </c>
      <c r="T12712">
        <v>22980</v>
      </c>
      <c r="U12712">
        <v>27080</v>
      </c>
      <c r="V12712" t="s">
        <v>22</v>
      </c>
    </row>
    <row r="12713" spans="1:22">
      <c r="A12713" t="str">
        <f t="shared" si="2502"/>
        <v>26/11/2025</v>
      </c>
      <c r="B12713" t="str">
        <f t="shared" ref="B12713:B12744" si="2504">"ENTRADA"</f>
        <v>ENTRADA</v>
      </c>
      <c r="C12713" t="str">
        <f t="shared" ref="C12713:C12744" si="2505">"NFSE"</f>
        <v>NFSE</v>
      </c>
      <c r="D12713" t="str">
        <f t="shared" ref="D12713:D12744" si="2506">"3744"</f>
        <v>3744</v>
      </c>
      <c r="E12713" t="str">
        <f t="shared" ref="E12713:E12744" si="2507">"1"</f>
        <v>1</v>
      </c>
      <c r="F12713" t="str">
        <f t="shared" si="2499"/>
        <v>COM</v>
      </c>
      <c r="G12713" t="str">
        <f t="shared" ref="G12713:G12744" si="2508">"FARMÁCIA INDIANA LJ 1 (10126)"</f>
        <v>FARMÁCIA INDIANA LJ 1 (10126)</v>
      </c>
      <c r="H12713" t="str">
        <f>"Serv.Prest. 10/11/2025 a 16/11/2025 - RPS: 1620 - NFSe: 3744"</f>
        <v>Serv.Prest. 10/11/2025 a 16/11/2025 - RPS: 1620 - NFSe: 3744</v>
      </c>
      <c r="I12713" t="str">
        <f t="shared" si="2503"/>
        <v>26/11/2025</v>
      </c>
      <c r="J12713" t="str">
        <f t="shared" ref="J12713:J12744" si="2509">("18/11/2025")</f>
        <v>18/11/2025</v>
      </c>
      <c r="K12713" t="str">
        <f>("26/11/2025")</f>
        <v>26/11/2025</v>
      </c>
      <c r="L12713">
        <v>116675.52</v>
      </c>
      <c r="M12713">
        <v>116675.52</v>
      </c>
      <c r="N12713">
        <v>303</v>
      </c>
      <c r="O12713" t="str">
        <f>"RECEITAS COM ENTREGAS"</f>
        <v>RECEITAS COM ENTREGAS</v>
      </c>
      <c r="P12713">
        <v>116675.52</v>
      </c>
      <c r="S12713" t="str">
        <f>"RECEITAS COM ENTREGAS (303)"</f>
        <v>RECEITAS COM ENTREGAS (303)</v>
      </c>
      <c r="T12713">
        <v>23431</v>
      </c>
      <c r="U12713">
        <v>25674</v>
      </c>
      <c r="V12713" t="s">
        <v>77</v>
      </c>
    </row>
    <row r="12714" spans="1:22">
      <c r="A12714" t="str">
        <f t="shared" si="2502"/>
        <v>26/11/2025</v>
      </c>
      <c r="B12714" t="str">
        <f t="shared" si="2504"/>
        <v>ENTRADA</v>
      </c>
      <c r="C12714" t="str">
        <f t="shared" si="2505"/>
        <v>NFSE</v>
      </c>
      <c r="D12714" t="str">
        <f t="shared" si="2506"/>
        <v>3744</v>
      </c>
      <c r="E12714" t="str">
        <f t="shared" si="2507"/>
        <v>1</v>
      </c>
      <c r="F12714" t="str">
        <f t="shared" si="2499"/>
        <v>COM</v>
      </c>
      <c r="G12714" t="str">
        <f t="shared" si="2508"/>
        <v>FARMÁCIA INDIANA LJ 1 (10126)</v>
      </c>
      <c r="H12714" t="s">
        <v>3440</v>
      </c>
      <c r="I12714" t="str">
        <f t="shared" si="2503"/>
        <v>26/11/2025</v>
      </c>
      <c r="J12714" t="str">
        <f t="shared" si="2509"/>
        <v>18/11/2025</v>
      </c>
      <c r="K12714">
        <v>45987</v>
      </c>
      <c r="N12714">
        <v>303</v>
      </c>
      <c r="O12714" t="s">
        <v>69</v>
      </c>
      <c r="Q12714">
        <v>17769.72</v>
      </c>
      <c r="R12714" t="str">
        <f>"FARMÁCIA INDIANA LJ 06 (10006)"</f>
        <v>FARMÁCIA INDIANA LJ 06 (10006)</v>
      </c>
      <c r="S12714" t="s">
        <v>70</v>
      </c>
      <c r="T12714">
        <v>23431</v>
      </c>
      <c r="U12714">
        <v>25674</v>
      </c>
      <c r="V12714" t="s">
        <v>77</v>
      </c>
    </row>
    <row r="12715" spans="1:22">
      <c r="A12715" t="str">
        <f t="shared" si="2502"/>
        <v>26/11/2025</v>
      </c>
      <c r="B12715" t="str">
        <f t="shared" si="2504"/>
        <v>ENTRADA</v>
      </c>
      <c r="C12715" t="str">
        <f t="shared" si="2505"/>
        <v>NFSE</v>
      </c>
      <c r="D12715" t="str">
        <f t="shared" si="2506"/>
        <v>3744</v>
      </c>
      <c r="E12715" t="str">
        <f t="shared" si="2507"/>
        <v>1</v>
      </c>
      <c r="F12715" t="str">
        <f t="shared" si="2499"/>
        <v>COM</v>
      </c>
      <c r="G12715" t="str">
        <f t="shared" si="2508"/>
        <v>FARMÁCIA INDIANA LJ 1 (10126)</v>
      </c>
      <c r="H12715" t="s">
        <v>3440</v>
      </c>
      <c r="I12715" t="str">
        <f t="shared" si="2503"/>
        <v>26/11/2025</v>
      </c>
      <c r="J12715" t="str">
        <f t="shared" si="2509"/>
        <v>18/11/2025</v>
      </c>
      <c r="K12715">
        <v>45987</v>
      </c>
      <c r="N12715">
        <v>303</v>
      </c>
      <c r="O12715" t="s">
        <v>69</v>
      </c>
      <c r="Q12715">
        <v>13242.67</v>
      </c>
      <c r="R12715" t="str">
        <f>"FARMÁCIA INDIANA LJ 07 (10007)"</f>
        <v>FARMÁCIA INDIANA LJ 07 (10007)</v>
      </c>
      <c r="S12715" t="s">
        <v>70</v>
      </c>
      <c r="T12715">
        <v>23431</v>
      </c>
      <c r="U12715">
        <v>25674</v>
      </c>
      <c r="V12715" t="s">
        <v>77</v>
      </c>
    </row>
    <row r="12716" spans="1:22">
      <c r="A12716" t="str">
        <f t="shared" si="2502"/>
        <v>26/11/2025</v>
      </c>
      <c r="B12716" t="str">
        <f t="shared" si="2504"/>
        <v>ENTRADA</v>
      </c>
      <c r="C12716" t="str">
        <f t="shared" si="2505"/>
        <v>NFSE</v>
      </c>
      <c r="D12716" t="str">
        <f t="shared" si="2506"/>
        <v>3744</v>
      </c>
      <c r="E12716" t="str">
        <f t="shared" si="2507"/>
        <v>1</v>
      </c>
      <c r="F12716" t="str">
        <f t="shared" si="2499"/>
        <v>COM</v>
      </c>
      <c r="G12716" t="str">
        <f t="shared" si="2508"/>
        <v>FARMÁCIA INDIANA LJ 1 (10126)</v>
      </c>
      <c r="H12716" t="s">
        <v>3440</v>
      </c>
      <c r="I12716" t="str">
        <f t="shared" si="2503"/>
        <v>26/11/2025</v>
      </c>
      <c r="J12716" t="str">
        <f t="shared" si="2509"/>
        <v>18/11/2025</v>
      </c>
      <c r="K12716">
        <v>45987</v>
      </c>
      <c r="N12716">
        <v>303</v>
      </c>
      <c r="O12716" t="s">
        <v>69</v>
      </c>
      <c r="Q12716">
        <v>8727.33</v>
      </c>
      <c r="R12716" t="str">
        <f>"FARMÁCIA INDIANA LJ 11 (10008)"</f>
        <v>FARMÁCIA INDIANA LJ 11 (10008)</v>
      </c>
      <c r="S12716" t="s">
        <v>70</v>
      </c>
      <c r="T12716">
        <v>23431</v>
      </c>
      <c r="U12716">
        <v>25674</v>
      </c>
      <c r="V12716" t="s">
        <v>77</v>
      </c>
    </row>
    <row r="12717" spans="1:22">
      <c r="A12717" t="str">
        <f t="shared" si="2502"/>
        <v>26/11/2025</v>
      </c>
      <c r="B12717" t="str">
        <f t="shared" si="2504"/>
        <v>ENTRADA</v>
      </c>
      <c r="C12717" t="str">
        <f t="shared" si="2505"/>
        <v>NFSE</v>
      </c>
      <c r="D12717" t="str">
        <f t="shared" si="2506"/>
        <v>3744</v>
      </c>
      <c r="E12717" t="str">
        <f t="shared" si="2507"/>
        <v>1</v>
      </c>
      <c r="F12717" t="str">
        <f t="shared" si="2499"/>
        <v>COM</v>
      </c>
      <c r="G12717" t="str">
        <f t="shared" si="2508"/>
        <v>FARMÁCIA INDIANA LJ 1 (10126)</v>
      </c>
      <c r="H12717" t="s">
        <v>3440</v>
      </c>
      <c r="I12717" t="str">
        <f t="shared" si="2503"/>
        <v>26/11/2025</v>
      </c>
      <c r="J12717" t="str">
        <f t="shared" si="2509"/>
        <v>18/11/2025</v>
      </c>
      <c r="K12717">
        <v>45987</v>
      </c>
      <c r="N12717">
        <v>303</v>
      </c>
      <c r="O12717" t="s">
        <v>69</v>
      </c>
      <c r="Q12717">
        <v>4457</v>
      </c>
      <c r="R12717" t="str">
        <f>"FARMÁCIA INDIANA LJ 14 (10009)"</f>
        <v>FARMÁCIA INDIANA LJ 14 (10009)</v>
      </c>
      <c r="S12717" t="s">
        <v>70</v>
      </c>
      <c r="T12717">
        <v>23431</v>
      </c>
      <c r="U12717">
        <v>25674</v>
      </c>
      <c r="V12717" t="s">
        <v>77</v>
      </c>
    </row>
    <row r="12718" spans="1:22">
      <c r="A12718" t="str">
        <f t="shared" si="2502"/>
        <v>26/11/2025</v>
      </c>
      <c r="B12718" t="str">
        <f t="shared" si="2504"/>
        <v>ENTRADA</v>
      </c>
      <c r="C12718" t="str">
        <f t="shared" si="2505"/>
        <v>NFSE</v>
      </c>
      <c r="D12718" t="str">
        <f t="shared" si="2506"/>
        <v>3744</v>
      </c>
      <c r="E12718" t="str">
        <f t="shared" si="2507"/>
        <v>1</v>
      </c>
      <c r="F12718" t="str">
        <f t="shared" si="2499"/>
        <v>COM</v>
      </c>
      <c r="G12718" t="str">
        <f t="shared" si="2508"/>
        <v>FARMÁCIA INDIANA LJ 1 (10126)</v>
      </c>
      <c r="H12718" t="s">
        <v>3440</v>
      </c>
      <c r="I12718" t="str">
        <f t="shared" si="2503"/>
        <v>26/11/2025</v>
      </c>
      <c r="J12718" t="str">
        <f t="shared" si="2509"/>
        <v>18/11/2025</v>
      </c>
      <c r="K12718">
        <v>45987</v>
      </c>
      <c r="N12718">
        <v>303</v>
      </c>
      <c r="O12718" t="s">
        <v>69</v>
      </c>
      <c r="Q12718">
        <v>2590.1999999999998</v>
      </c>
      <c r="R12718" t="str">
        <f>"FARMÁCIA INDIANA LJ 18 (10011)"</f>
        <v>FARMÁCIA INDIANA LJ 18 (10011)</v>
      </c>
      <c r="S12718" t="s">
        <v>70</v>
      </c>
      <c r="T12718">
        <v>23431</v>
      </c>
      <c r="U12718">
        <v>25674</v>
      </c>
      <c r="V12718" t="s">
        <v>77</v>
      </c>
    </row>
    <row r="12719" spans="1:22">
      <c r="A12719" t="str">
        <f t="shared" si="2502"/>
        <v>26/11/2025</v>
      </c>
      <c r="B12719" t="str">
        <f t="shared" si="2504"/>
        <v>ENTRADA</v>
      </c>
      <c r="C12719" t="str">
        <f t="shared" si="2505"/>
        <v>NFSE</v>
      </c>
      <c r="D12719" t="str">
        <f t="shared" si="2506"/>
        <v>3744</v>
      </c>
      <c r="E12719" t="str">
        <f t="shared" si="2507"/>
        <v>1</v>
      </c>
      <c r="F12719" t="str">
        <f t="shared" si="2499"/>
        <v>COM</v>
      </c>
      <c r="G12719" t="str">
        <f t="shared" si="2508"/>
        <v>FARMÁCIA INDIANA LJ 1 (10126)</v>
      </c>
      <c r="H12719" t="s">
        <v>3440</v>
      </c>
      <c r="I12719" t="str">
        <f t="shared" si="2503"/>
        <v>26/11/2025</v>
      </c>
      <c r="J12719" t="str">
        <f t="shared" si="2509"/>
        <v>18/11/2025</v>
      </c>
      <c r="K12719">
        <v>45987</v>
      </c>
      <c r="N12719">
        <v>303</v>
      </c>
      <c r="O12719" t="s">
        <v>69</v>
      </c>
      <c r="Q12719">
        <v>3418.59</v>
      </c>
      <c r="R12719" t="str">
        <f>"FARMÁCIA INDIANA LJ 19 (10012)"</f>
        <v>FARMÁCIA INDIANA LJ 19 (10012)</v>
      </c>
      <c r="S12719" t="s">
        <v>70</v>
      </c>
      <c r="T12719">
        <v>23431</v>
      </c>
      <c r="U12719">
        <v>25674</v>
      </c>
      <c r="V12719" t="s">
        <v>77</v>
      </c>
    </row>
    <row r="12720" spans="1:22">
      <c r="A12720" t="str">
        <f t="shared" si="2502"/>
        <v>26/11/2025</v>
      </c>
      <c r="B12720" t="str">
        <f t="shared" si="2504"/>
        <v>ENTRADA</v>
      </c>
      <c r="C12720" t="str">
        <f t="shared" si="2505"/>
        <v>NFSE</v>
      </c>
      <c r="D12720" t="str">
        <f t="shared" si="2506"/>
        <v>3744</v>
      </c>
      <c r="E12720" t="str">
        <f t="shared" si="2507"/>
        <v>1</v>
      </c>
      <c r="F12720" t="str">
        <f t="shared" si="2499"/>
        <v>COM</v>
      </c>
      <c r="G12720" t="str">
        <f t="shared" si="2508"/>
        <v>FARMÁCIA INDIANA LJ 1 (10126)</v>
      </c>
      <c r="H12720" t="s">
        <v>3440</v>
      </c>
      <c r="I12720" t="str">
        <f t="shared" si="2503"/>
        <v>26/11/2025</v>
      </c>
      <c r="J12720" t="str">
        <f t="shared" si="2509"/>
        <v>18/11/2025</v>
      </c>
      <c r="K12720">
        <v>45987</v>
      </c>
      <c r="N12720">
        <v>303</v>
      </c>
      <c r="O12720" t="s">
        <v>69</v>
      </c>
      <c r="Q12720">
        <v>4048.64</v>
      </c>
      <c r="R12720" t="str">
        <f>"FARMÁCIA INDIANA LJ 40 (10016)"</f>
        <v>FARMÁCIA INDIANA LJ 40 (10016)</v>
      </c>
      <c r="S12720" t="s">
        <v>70</v>
      </c>
      <c r="T12720">
        <v>23431</v>
      </c>
      <c r="U12720">
        <v>25674</v>
      </c>
      <c r="V12720" t="s">
        <v>77</v>
      </c>
    </row>
    <row r="12721" spans="1:22">
      <c r="A12721" t="str">
        <f t="shared" si="2502"/>
        <v>26/11/2025</v>
      </c>
      <c r="B12721" t="str">
        <f t="shared" si="2504"/>
        <v>ENTRADA</v>
      </c>
      <c r="C12721" t="str">
        <f t="shared" si="2505"/>
        <v>NFSE</v>
      </c>
      <c r="D12721" t="str">
        <f t="shared" si="2506"/>
        <v>3744</v>
      </c>
      <c r="E12721" t="str">
        <f t="shared" si="2507"/>
        <v>1</v>
      </c>
      <c r="F12721" t="str">
        <f t="shared" si="2499"/>
        <v>COM</v>
      </c>
      <c r="G12721" t="str">
        <f t="shared" si="2508"/>
        <v>FARMÁCIA INDIANA LJ 1 (10126)</v>
      </c>
      <c r="H12721" t="s">
        <v>3440</v>
      </c>
      <c r="I12721" t="str">
        <f t="shared" si="2503"/>
        <v>26/11/2025</v>
      </c>
      <c r="J12721" t="str">
        <f t="shared" si="2509"/>
        <v>18/11/2025</v>
      </c>
      <c r="K12721">
        <v>45987</v>
      </c>
      <c r="N12721">
        <v>303</v>
      </c>
      <c r="O12721" t="s">
        <v>69</v>
      </c>
      <c r="Q12721">
        <v>2205.17</v>
      </c>
      <c r="R12721" t="str">
        <f>"FARMÁCIA INDIANA LJ 59 (10026)"</f>
        <v>FARMÁCIA INDIANA LJ 59 (10026)</v>
      </c>
      <c r="S12721" t="s">
        <v>70</v>
      </c>
      <c r="T12721">
        <v>23431</v>
      </c>
      <c r="U12721">
        <v>25674</v>
      </c>
      <c r="V12721" t="s">
        <v>77</v>
      </c>
    </row>
    <row r="12722" spans="1:22">
      <c r="A12722" t="str">
        <f t="shared" si="2502"/>
        <v>26/11/2025</v>
      </c>
      <c r="B12722" t="str">
        <f t="shared" si="2504"/>
        <v>ENTRADA</v>
      </c>
      <c r="C12722" t="str">
        <f t="shared" si="2505"/>
        <v>NFSE</v>
      </c>
      <c r="D12722" t="str">
        <f t="shared" si="2506"/>
        <v>3744</v>
      </c>
      <c r="E12722" t="str">
        <f t="shared" si="2507"/>
        <v>1</v>
      </c>
      <c r="F12722" t="str">
        <f t="shared" si="2499"/>
        <v>COM</v>
      </c>
      <c r="G12722" t="str">
        <f t="shared" si="2508"/>
        <v>FARMÁCIA INDIANA LJ 1 (10126)</v>
      </c>
      <c r="H12722" t="s">
        <v>3440</v>
      </c>
      <c r="I12722" t="str">
        <f t="shared" si="2503"/>
        <v>26/11/2025</v>
      </c>
      <c r="J12722" t="str">
        <f t="shared" si="2509"/>
        <v>18/11/2025</v>
      </c>
      <c r="K12722">
        <v>45987</v>
      </c>
      <c r="N12722">
        <v>303</v>
      </c>
      <c r="O12722" t="s">
        <v>69</v>
      </c>
      <c r="Q12722">
        <v>4281.99</v>
      </c>
      <c r="R12722" t="str">
        <f>"FARMÁCIA INDIANA LJ 61 (10027)"</f>
        <v>FARMÁCIA INDIANA LJ 61 (10027)</v>
      </c>
      <c r="S12722" t="s">
        <v>70</v>
      </c>
      <c r="T12722">
        <v>23431</v>
      </c>
      <c r="U12722">
        <v>25674</v>
      </c>
      <c r="V12722" t="s">
        <v>77</v>
      </c>
    </row>
    <row r="12723" spans="1:22">
      <c r="A12723" t="str">
        <f t="shared" si="2502"/>
        <v>26/11/2025</v>
      </c>
      <c r="B12723" t="str">
        <f t="shared" si="2504"/>
        <v>ENTRADA</v>
      </c>
      <c r="C12723" t="str">
        <f t="shared" si="2505"/>
        <v>NFSE</v>
      </c>
      <c r="D12723" t="str">
        <f t="shared" si="2506"/>
        <v>3744</v>
      </c>
      <c r="E12723" t="str">
        <f t="shared" si="2507"/>
        <v>1</v>
      </c>
      <c r="F12723" t="str">
        <f t="shared" si="2499"/>
        <v>COM</v>
      </c>
      <c r="G12723" t="str">
        <f t="shared" si="2508"/>
        <v>FARMÁCIA INDIANA LJ 1 (10126)</v>
      </c>
      <c r="H12723" t="s">
        <v>3440</v>
      </c>
      <c r="I12723" t="str">
        <f t="shared" si="2503"/>
        <v>26/11/2025</v>
      </c>
      <c r="J12723" t="str">
        <f t="shared" si="2509"/>
        <v>18/11/2025</v>
      </c>
      <c r="K12723">
        <v>45987</v>
      </c>
      <c r="N12723">
        <v>303</v>
      </c>
      <c r="O12723" t="s">
        <v>69</v>
      </c>
      <c r="Q12723">
        <v>1715.13</v>
      </c>
      <c r="R12723" t="str">
        <f>"FARMÁCIA INDIANA LJ 62 (10028)"</f>
        <v>FARMÁCIA INDIANA LJ 62 (10028)</v>
      </c>
      <c r="S12723" t="s">
        <v>70</v>
      </c>
      <c r="T12723">
        <v>23431</v>
      </c>
      <c r="U12723">
        <v>25674</v>
      </c>
      <c r="V12723" t="s">
        <v>77</v>
      </c>
    </row>
    <row r="12724" spans="1:22">
      <c r="A12724" t="str">
        <f t="shared" si="2502"/>
        <v>26/11/2025</v>
      </c>
      <c r="B12724" t="str">
        <f t="shared" si="2504"/>
        <v>ENTRADA</v>
      </c>
      <c r="C12724" t="str">
        <f t="shared" si="2505"/>
        <v>NFSE</v>
      </c>
      <c r="D12724" t="str">
        <f t="shared" si="2506"/>
        <v>3744</v>
      </c>
      <c r="E12724" t="str">
        <f t="shared" si="2507"/>
        <v>1</v>
      </c>
      <c r="F12724" t="str">
        <f t="shared" si="2499"/>
        <v>COM</v>
      </c>
      <c r="G12724" t="str">
        <f t="shared" si="2508"/>
        <v>FARMÁCIA INDIANA LJ 1 (10126)</v>
      </c>
      <c r="H12724" t="s">
        <v>3440</v>
      </c>
      <c r="I12724" t="str">
        <f t="shared" si="2503"/>
        <v>26/11/2025</v>
      </c>
      <c r="J12724" t="str">
        <f t="shared" si="2509"/>
        <v>18/11/2025</v>
      </c>
      <c r="K12724">
        <v>45987</v>
      </c>
      <c r="N12724">
        <v>303</v>
      </c>
      <c r="O12724" t="s">
        <v>69</v>
      </c>
      <c r="Q12724">
        <v>641.72</v>
      </c>
      <c r="R12724" t="str">
        <f>"FARMÁCIA INDIANA LJ 64 (10029)"</f>
        <v>FARMÁCIA INDIANA LJ 64 (10029)</v>
      </c>
      <c r="S12724" t="s">
        <v>70</v>
      </c>
      <c r="T12724">
        <v>23431</v>
      </c>
      <c r="U12724">
        <v>25674</v>
      </c>
      <c r="V12724" t="s">
        <v>77</v>
      </c>
    </row>
    <row r="12725" spans="1:22">
      <c r="A12725" t="str">
        <f t="shared" si="2502"/>
        <v>26/11/2025</v>
      </c>
      <c r="B12725" t="str">
        <f t="shared" si="2504"/>
        <v>ENTRADA</v>
      </c>
      <c r="C12725" t="str">
        <f t="shared" si="2505"/>
        <v>NFSE</v>
      </c>
      <c r="D12725" t="str">
        <f t="shared" si="2506"/>
        <v>3744</v>
      </c>
      <c r="E12725" t="str">
        <f t="shared" si="2507"/>
        <v>1</v>
      </c>
      <c r="F12725" t="str">
        <f t="shared" si="2499"/>
        <v>COM</v>
      </c>
      <c r="G12725" t="str">
        <f t="shared" si="2508"/>
        <v>FARMÁCIA INDIANA LJ 1 (10126)</v>
      </c>
      <c r="H12725" t="s">
        <v>3440</v>
      </c>
      <c r="I12725" t="str">
        <f t="shared" si="2503"/>
        <v>26/11/2025</v>
      </c>
      <c r="J12725" t="str">
        <f t="shared" si="2509"/>
        <v>18/11/2025</v>
      </c>
      <c r="K12725">
        <v>45987</v>
      </c>
      <c r="N12725">
        <v>303</v>
      </c>
      <c r="O12725" t="s">
        <v>69</v>
      </c>
      <c r="Q12725">
        <v>606.71</v>
      </c>
      <c r="R12725" t="str">
        <f>"FARMÁCIA INDIANA LJ 97 (10040)"</f>
        <v>FARMÁCIA INDIANA LJ 97 (10040)</v>
      </c>
      <c r="S12725" t="s">
        <v>70</v>
      </c>
      <c r="T12725">
        <v>23431</v>
      </c>
      <c r="U12725">
        <v>25674</v>
      </c>
      <c r="V12725" t="s">
        <v>77</v>
      </c>
    </row>
    <row r="12726" spans="1:22">
      <c r="A12726" t="str">
        <f t="shared" si="2502"/>
        <v>26/11/2025</v>
      </c>
      <c r="B12726" t="str">
        <f t="shared" si="2504"/>
        <v>ENTRADA</v>
      </c>
      <c r="C12726" t="str">
        <f t="shared" si="2505"/>
        <v>NFSE</v>
      </c>
      <c r="D12726" t="str">
        <f t="shared" si="2506"/>
        <v>3744</v>
      </c>
      <c r="E12726" t="str">
        <f t="shared" si="2507"/>
        <v>1</v>
      </c>
      <c r="F12726" t="str">
        <f t="shared" si="2499"/>
        <v>COM</v>
      </c>
      <c r="G12726" t="str">
        <f t="shared" si="2508"/>
        <v>FARMÁCIA INDIANA LJ 1 (10126)</v>
      </c>
      <c r="H12726" t="s">
        <v>3440</v>
      </c>
      <c r="I12726" t="str">
        <f t="shared" si="2503"/>
        <v>26/11/2025</v>
      </c>
      <c r="J12726" t="str">
        <f t="shared" si="2509"/>
        <v>18/11/2025</v>
      </c>
      <c r="K12726">
        <v>45987</v>
      </c>
      <c r="N12726">
        <v>303</v>
      </c>
      <c r="O12726" t="s">
        <v>69</v>
      </c>
      <c r="Q12726">
        <v>1796.8</v>
      </c>
      <c r="R12726" t="str">
        <f>"FARMÁCIA INDIANA LJ 100 (10042)"</f>
        <v>FARMÁCIA INDIANA LJ 100 (10042)</v>
      </c>
      <c r="S12726" t="s">
        <v>70</v>
      </c>
      <c r="T12726">
        <v>23431</v>
      </c>
      <c r="U12726">
        <v>25674</v>
      </c>
      <c r="V12726" t="s">
        <v>77</v>
      </c>
    </row>
    <row r="12727" spans="1:22">
      <c r="A12727" t="str">
        <f t="shared" si="2502"/>
        <v>26/11/2025</v>
      </c>
      <c r="B12727" t="str">
        <f t="shared" si="2504"/>
        <v>ENTRADA</v>
      </c>
      <c r="C12727" t="str">
        <f t="shared" si="2505"/>
        <v>NFSE</v>
      </c>
      <c r="D12727" t="str">
        <f t="shared" si="2506"/>
        <v>3744</v>
      </c>
      <c r="E12727" t="str">
        <f t="shared" si="2507"/>
        <v>1</v>
      </c>
      <c r="F12727" t="str">
        <f t="shared" si="2499"/>
        <v>COM</v>
      </c>
      <c r="G12727" t="str">
        <f t="shared" si="2508"/>
        <v>FARMÁCIA INDIANA LJ 1 (10126)</v>
      </c>
      <c r="H12727" t="s">
        <v>3440</v>
      </c>
      <c r="I12727" t="str">
        <f t="shared" si="2503"/>
        <v>26/11/2025</v>
      </c>
      <c r="J12727" t="str">
        <f t="shared" si="2509"/>
        <v>18/11/2025</v>
      </c>
      <c r="K12727">
        <v>45987</v>
      </c>
      <c r="N12727">
        <v>303</v>
      </c>
      <c r="O12727" t="s">
        <v>69</v>
      </c>
      <c r="Q12727">
        <v>6125.46</v>
      </c>
      <c r="R12727" t="str">
        <f>"FARMÁCIA INDIANA LJ 101 (10043)"</f>
        <v>FARMÁCIA INDIANA LJ 101 (10043)</v>
      </c>
      <c r="S12727" t="s">
        <v>70</v>
      </c>
      <c r="T12727">
        <v>23431</v>
      </c>
      <c r="U12727">
        <v>25674</v>
      </c>
      <c r="V12727" t="s">
        <v>77</v>
      </c>
    </row>
    <row r="12728" spans="1:22">
      <c r="A12728" t="str">
        <f t="shared" si="2502"/>
        <v>26/11/2025</v>
      </c>
      <c r="B12728" t="str">
        <f t="shared" si="2504"/>
        <v>ENTRADA</v>
      </c>
      <c r="C12728" t="str">
        <f t="shared" si="2505"/>
        <v>NFSE</v>
      </c>
      <c r="D12728" t="str">
        <f t="shared" si="2506"/>
        <v>3744</v>
      </c>
      <c r="E12728" t="str">
        <f t="shared" si="2507"/>
        <v>1</v>
      </c>
      <c r="F12728" t="str">
        <f t="shared" si="2499"/>
        <v>COM</v>
      </c>
      <c r="G12728" t="str">
        <f t="shared" si="2508"/>
        <v>FARMÁCIA INDIANA LJ 1 (10126)</v>
      </c>
      <c r="H12728" t="s">
        <v>3440</v>
      </c>
      <c r="I12728" t="str">
        <f t="shared" si="2503"/>
        <v>26/11/2025</v>
      </c>
      <c r="J12728" t="str">
        <f t="shared" si="2509"/>
        <v>18/11/2025</v>
      </c>
      <c r="K12728">
        <v>45987</v>
      </c>
      <c r="N12728">
        <v>303</v>
      </c>
      <c r="O12728" t="s">
        <v>69</v>
      </c>
      <c r="Q12728">
        <v>501.7</v>
      </c>
      <c r="R12728" t="str">
        <f>"FARMÁCIA INDIANA LJ 103 (10044)"</f>
        <v>FARMÁCIA INDIANA LJ 103 (10044)</v>
      </c>
      <c r="S12728" t="s">
        <v>70</v>
      </c>
      <c r="T12728">
        <v>23431</v>
      </c>
      <c r="U12728">
        <v>25674</v>
      </c>
      <c r="V12728" t="s">
        <v>77</v>
      </c>
    </row>
    <row r="12729" spans="1:22">
      <c r="A12729" t="str">
        <f t="shared" si="2502"/>
        <v>26/11/2025</v>
      </c>
      <c r="B12729" t="str">
        <f t="shared" si="2504"/>
        <v>ENTRADA</v>
      </c>
      <c r="C12729" t="str">
        <f t="shared" si="2505"/>
        <v>NFSE</v>
      </c>
      <c r="D12729" t="str">
        <f t="shared" si="2506"/>
        <v>3744</v>
      </c>
      <c r="E12729" t="str">
        <f t="shared" si="2507"/>
        <v>1</v>
      </c>
      <c r="F12729" t="str">
        <f t="shared" si="2499"/>
        <v>COM</v>
      </c>
      <c r="G12729" t="str">
        <f t="shared" si="2508"/>
        <v>FARMÁCIA INDIANA LJ 1 (10126)</v>
      </c>
      <c r="H12729" t="s">
        <v>3440</v>
      </c>
      <c r="I12729" t="str">
        <f t="shared" si="2503"/>
        <v>26/11/2025</v>
      </c>
      <c r="J12729" t="str">
        <f t="shared" si="2509"/>
        <v>18/11/2025</v>
      </c>
      <c r="K12729">
        <v>45987</v>
      </c>
      <c r="N12729">
        <v>303</v>
      </c>
      <c r="O12729" t="s">
        <v>69</v>
      </c>
      <c r="Q12729">
        <v>2216.83</v>
      </c>
      <c r="R12729" t="str">
        <f>"FARMÁCIA INDIANA LJ 109 (10047)"</f>
        <v>FARMÁCIA INDIANA LJ 109 (10047)</v>
      </c>
      <c r="S12729" t="s">
        <v>70</v>
      </c>
      <c r="T12729">
        <v>23431</v>
      </c>
      <c r="U12729">
        <v>25674</v>
      </c>
      <c r="V12729" t="s">
        <v>77</v>
      </c>
    </row>
    <row r="12730" spans="1:22">
      <c r="A12730" t="str">
        <f t="shared" si="2502"/>
        <v>26/11/2025</v>
      </c>
      <c r="B12730" t="str">
        <f t="shared" si="2504"/>
        <v>ENTRADA</v>
      </c>
      <c r="C12730" t="str">
        <f t="shared" si="2505"/>
        <v>NFSE</v>
      </c>
      <c r="D12730" t="str">
        <f t="shared" si="2506"/>
        <v>3744</v>
      </c>
      <c r="E12730" t="str">
        <f t="shared" si="2507"/>
        <v>1</v>
      </c>
      <c r="F12730" t="str">
        <f t="shared" si="2499"/>
        <v>COM</v>
      </c>
      <c r="G12730" t="str">
        <f t="shared" si="2508"/>
        <v>FARMÁCIA INDIANA LJ 1 (10126)</v>
      </c>
      <c r="H12730" t="s">
        <v>3440</v>
      </c>
      <c r="I12730" t="str">
        <f t="shared" si="2503"/>
        <v>26/11/2025</v>
      </c>
      <c r="J12730" t="str">
        <f t="shared" si="2509"/>
        <v>18/11/2025</v>
      </c>
      <c r="K12730">
        <v>45987</v>
      </c>
      <c r="N12730">
        <v>303</v>
      </c>
      <c r="O12730" t="s">
        <v>69</v>
      </c>
      <c r="Q12730">
        <v>3068.57</v>
      </c>
      <c r="R12730" t="str">
        <f>"FARMÁCIA INDIANA LJ 110 (10048)"</f>
        <v>FARMÁCIA INDIANA LJ 110 (10048)</v>
      </c>
      <c r="S12730" t="s">
        <v>70</v>
      </c>
      <c r="T12730">
        <v>23431</v>
      </c>
      <c r="U12730">
        <v>25674</v>
      </c>
      <c r="V12730" t="s">
        <v>77</v>
      </c>
    </row>
    <row r="12731" spans="1:22">
      <c r="A12731" t="str">
        <f t="shared" si="2502"/>
        <v>26/11/2025</v>
      </c>
      <c r="B12731" t="str">
        <f t="shared" si="2504"/>
        <v>ENTRADA</v>
      </c>
      <c r="C12731" t="str">
        <f t="shared" si="2505"/>
        <v>NFSE</v>
      </c>
      <c r="D12731" t="str">
        <f t="shared" si="2506"/>
        <v>3744</v>
      </c>
      <c r="E12731" t="str">
        <f t="shared" si="2507"/>
        <v>1</v>
      </c>
      <c r="F12731" t="str">
        <f t="shared" si="2499"/>
        <v>COM</v>
      </c>
      <c r="G12731" t="str">
        <f t="shared" si="2508"/>
        <v>FARMÁCIA INDIANA LJ 1 (10126)</v>
      </c>
      <c r="H12731" t="s">
        <v>3440</v>
      </c>
      <c r="I12731" t="str">
        <f t="shared" si="2503"/>
        <v>26/11/2025</v>
      </c>
      <c r="J12731" t="str">
        <f t="shared" si="2509"/>
        <v>18/11/2025</v>
      </c>
      <c r="K12731">
        <v>45987</v>
      </c>
      <c r="N12731">
        <v>303</v>
      </c>
      <c r="O12731" t="s">
        <v>69</v>
      </c>
      <c r="Q12731">
        <v>595.04999999999995</v>
      </c>
      <c r="R12731" t="str">
        <f>"FARMÁCIA INDIANA LJ 111 (10049)"</f>
        <v>FARMÁCIA INDIANA LJ 111 (10049)</v>
      </c>
      <c r="S12731" t="s">
        <v>70</v>
      </c>
      <c r="T12731">
        <v>23431</v>
      </c>
      <c r="U12731">
        <v>25674</v>
      </c>
      <c r="V12731" t="s">
        <v>77</v>
      </c>
    </row>
    <row r="12732" spans="1:22">
      <c r="A12732" t="str">
        <f t="shared" ref="A12732:A12763" si="2510">("26/11/2025")</f>
        <v>26/11/2025</v>
      </c>
      <c r="B12732" t="str">
        <f t="shared" si="2504"/>
        <v>ENTRADA</v>
      </c>
      <c r="C12732" t="str">
        <f t="shared" si="2505"/>
        <v>NFSE</v>
      </c>
      <c r="D12732" t="str">
        <f t="shared" si="2506"/>
        <v>3744</v>
      </c>
      <c r="E12732" t="str">
        <f t="shared" si="2507"/>
        <v>1</v>
      </c>
      <c r="F12732" t="str">
        <f t="shared" si="2499"/>
        <v>COM</v>
      </c>
      <c r="G12732" t="str">
        <f t="shared" si="2508"/>
        <v>FARMÁCIA INDIANA LJ 1 (10126)</v>
      </c>
      <c r="H12732" t="s">
        <v>3440</v>
      </c>
      <c r="I12732" t="str">
        <f t="shared" si="2503"/>
        <v>26/11/2025</v>
      </c>
      <c r="J12732" t="str">
        <f t="shared" si="2509"/>
        <v>18/11/2025</v>
      </c>
      <c r="K12732">
        <v>45987</v>
      </c>
      <c r="N12732">
        <v>303</v>
      </c>
      <c r="O12732" t="s">
        <v>69</v>
      </c>
      <c r="Q12732">
        <v>898.4</v>
      </c>
      <c r="R12732" t="str">
        <f>"FARMÁCIA INDIANA LJ 112 (10050)"</f>
        <v>FARMÁCIA INDIANA LJ 112 (10050)</v>
      </c>
      <c r="S12732" t="s">
        <v>70</v>
      </c>
      <c r="T12732">
        <v>23431</v>
      </c>
      <c r="U12732">
        <v>25674</v>
      </c>
      <c r="V12732" t="s">
        <v>77</v>
      </c>
    </row>
    <row r="12733" spans="1:22">
      <c r="A12733" t="str">
        <f t="shared" si="2510"/>
        <v>26/11/2025</v>
      </c>
      <c r="B12733" t="str">
        <f t="shared" si="2504"/>
        <v>ENTRADA</v>
      </c>
      <c r="C12733" t="str">
        <f t="shared" si="2505"/>
        <v>NFSE</v>
      </c>
      <c r="D12733" t="str">
        <f t="shared" si="2506"/>
        <v>3744</v>
      </c>
      <c r="E12733" t="str">
        <f t="shared" si="2507"/>
        <v>1</v>
      </c>
      <c r="F12733" t="str">
        <f t="shared" si="2499"/>
        <v>COM</v>
      </c>
      <c r="G12733" t="str">
        <f t="shared" si="2508"/>
        <v>FARMÁCIA INDIANA LJ 1 (10126)</v>
      </c>
      <c r="H12733" t="s">
        <v>3440</v>
      </c>
      <c r="I12733" t="str">
        <f t="shared" si="2503"/>
        <v>26/11/2025</v>
      </c>
      <c r="J12733" t="str">
        <f t="shared" si="2509"/>
        <v>18/11/2025</v>
      </c>
      <c r="K12733">
        <v>45987</v>
      </c>
      <c r="N12733">
        <v>303</v>
      </c>
      <c r="O12733" t="s">
        <v>69</v>
      </c>
      <c r="Q12733">
        <v>898.4</v>
      </c>
      <c r="R12733" t="str">
        <f>"FARMÁCIA INDIANA LJ 116 (10051)"</f>
        <v>FARMÁCIA INDIANA LJ 116 (10051)</v>
      </c>
      <c r="S12733" t="s">
        <v>70</v>
      </c>
      <c r="T12733">
        <v>23431</v>
      </c>
      <c r="U12733">
        <v>25674</v>
      </c>
      <c r="V12733" t="s">
        <v>77</v>
      </c>
    </row>
    <row r="12734" spans="1:22">
      <c r="A12734" t="str">
        <f t="shared" si="2510"/>
        <v>26/11/2025</v>
      </c>
      <c r="B12734" t="str">
        <f t="shared" si="2504"/>
        <v>ENTRADA</v>
      </c>
      <c r="C12734" t="str">
        <f t="shared" si="2505"/>
        <v>NFSE</v>
      </c>
      <c r="D12734" t="str">
        <f t="shared" si="2506"/>
        <v>3744</v>
      </c>
      <c r="E12734" t="str">
        <f t="shared" si="2507"/>
        <v>1</v>
      </c>
      <c r="F12734" t="str">
        <f t="shared" si="2499"/>
        <v>COM</v>
      </c>
      <c r="G12734" t="str">
        <f t="shared" si="2508"/>
        <v>FARMÁCIA INDIANA LJ 1 (10126)</v>
      </c>
      <c r="H12734" t="s">
        <v>3440</v>
      </c>
      <c r="I12734" t="str">
        <f t="shared" si="2503"/>
        <v>26/11/2025</v>
      </c>
      <c r="J12734" t="str">
        <f t="shared" si="2509"/>
        <v>18/11/2025</v>
      </c>
      <c r="K12734">
        <v>45987</v>
      </c>
      <c r="N12734">
        <v>303</v>
      </c>
      <c r="O12734" t="s">
        <v>69</v>
      </c>
      <c r="Q12734">
        <v>805.06</v>
      </c>
      <c r="R12734" t="str">
        <f>"FARMÁCIA INDIANA LJ 118 (10052)"</f>
        <v>FARMÁCIA INDIANA LJ 118 (10052)</v>
      </c>
      <c r="S12734" t="s">
        <v>70</v>
      </c>
      <c r="T12734">
        <v>23431</v>
      </c>
      <c r="U12734">
        <v>25674</v>
      </c>
      <c r="V12734" t="s">
        <v>77</v>
      </c>
    </row>
    <row r="12735" spans="1:22">
      <c r="A12735" t="str">
        <f t="shared" si="2510"/>
        <v>26/11/2025</v>
      </c>
      <c r="B12735" t="str">
        <f t="shared" si="2504"/>
        <v>ENTRADA</v>
      </c>
      <c r="C12735" t="str">
        <f t="shared" si="2505"/>
        <v>NFSE</v>
      </c>
      <c r="D12735" t="str">
        <f t="shared" si="2506"/>
        <v>3744</v>
      </c>
      <c r="E12735" t="str">
        <f t="shared" si="2507"/>
        <v>1</v>
      </c>
      <c r="F12735" t="str">
        <f t="shared" si="2499"/>
        <v>COM</v>
      </c>
      <c r="G12735" t="str">
        <f t="shared" si="2508"/>
        <v>FARMÁCIA INDIANA LJ 1 (10126)</v>
      </c>
      <c r="H12735" t="s">
        <v>3440</v>
      </c>
      <c r="I12735" t="str">
        <f t="shared" si="2503"/>
        <v>26/11/2025</v>
      </c>
      <c r="J12735" t="str">
        <f t="shared" si="2509"/>
        <v>18/11/2025</v>
      </c>
      <c r="K12735">
        <v>45987</v>
      </c>
      <c r="N12735">
        <v>303</v>
      </c>
      <c r="O12735" t="s">
        <v>69</v>
      </c>
      <c r="Q12735">
        <v>898.4</v>
      </c>
      <c r="R12735" t="str">
        <f>"FARMÁCIA INDIANA LJ 121 (10054)"</f>
        <v>FARMÁCIA INDIANA LJ 121 (10054)</v>
      </c>
      <c r="S12735" t="s">
        <v>70</v>
      </c>
      <c r="T12735">
        <v>23431</v>
      </c>
      <c r="U12735">
        <v>25674</v>
      </c>
      <c r="V12735" t="s">
        <v>77</v>
      </c>
    </row>
    <row r="12736" spans="1:22">
      <c r="A12736" t="str">
        <f t="shared" si="2510"/>
        <v>26/11/2025</v>
      </c>
      <c r="B12736" t="str">
        <f t="shared" si="2504"/>
        <v>ENTRADA</v>
      </c>
      <c r="C12736" t="str">
        <f t="shared" si="2505"/>
        <v>NFSE</v>
      </c>
      <c r="D12736" t="str">
        <f t="shared" si="2506"/>
        <v>3744</v>
      </c>
      <c r="E12736" t="str">
        <f t="shared" si="2507"/>
        <v>1</v>
      </c>
      <c r="F12736" t="str">
        <f t="shared" si="2499"/>
        <v>COM</v>
      </c>
      <c r="G12736" t="str">
        <f t="shared" si="2508"/>
        <v>FARMÁCIA INDIANA LJ 1 (10126)</v>
      </c>
      <c r="H12736" t="s">
        <v>3440</v>
      </c>
      <c r="I12736" t="str">
        <f t="shared" si="2503"/>
        <v>26/11/2025</v>
      </c>
      <c r="J12736" t="str">
        <f t="shared" si="2509"/>
        <v>18/11/2025</v>
      </c>
      <c r="K12736">
        <v>45987</v>
      </c>
      <c r="N12736">
        <v>303</v>
      </c>
      <c r="O12736" t="s">
        <v>69</v>
      </c>
      <c r="Q12736">
        <v>898.4</v>
      </c>
      <c r="R12736" t="str">
        <f>"FARMÁCIA INDIANA LJ 128 (10057)"</f>
        <v>FARMÁCIA INDIANA LJ 128 (10057)</v>
      </c>
      <c r="S12736" t="s">
        <v>70</v>
      </c>
      <c r="T12736">
        <v>23431</v>
      </c>
      <c r="U12736">
        <v>25674</v>
      </c>
      <c r="V12736" t="s">
        <v>77</v>
      </c>
    </row>
    <row r="12737" spans="1:22">
      <c r="A12737" t="str">
        <f t="shared" si="2510"/>
        <v>26/11/2025</v>
      </c>
      <c r="B12737" t="str">
        <f t="shared" si="2504"/>
        <v>ENTRADA</v>
      </c>
      <c r="C12737" t="str">
        <f t="shared" si="2505"/>
        <v>NFSE</v>
      </c>
      <c r="D12737" t="str">
        <f t="shared" si="2506"/>
        <v>3744</v>
      </c>
      <c r="E12737" t="str">
        <f t="shared" si="2507"/>
        <v>1</v>
      </c>
      <c r="F12737" t="str">
        <f t="shared" si="2499"/>
        <v>COM</v>
      </c>
      <c r="G12737" t="str">
        <f t="shared" si="2508"/>
        <v>FARMÁCIA INDIANA LJ 1 (10126)</v>
      </c>
      <c r="H12737" t="s">
        <v>3440</v>
      </c>
      <c r="I12737" t="str">
        <f t="shared" si="2503"/>
        <v>26/11/2025</v>
      </c>
      <c r="J12737" t="str">
        <f t="shared" si="2509"/>
        <v>18/11/2025</v>
      </c>
      <c r="K12737">
        <v>45987</v>
      </c>
      <c r="N12737">
        <v>303</v>
      </c>
      <c r="O12737" t="s">
        <v>69</v>
      </c>
      <c r="Q12737">
        <v>221.68</v>
      </c>
      <c r="R12737" t="str">
        <f>"FARMÁCIA INDIANA LJ 140 (10064)"</f>
        <v>FARMÁCIA INDIANA LJ 140 (10064)</v>
      </c>
      <c r="S12737" t="s">
        <v>70</v>
      </c>
      <c r="T12737">
        <v>23431</v>
      </c>
      <c r="U12737">
        <v>25674</v>
      </c>
      <c r="V12737" t="s">
        <v>77</v>
      </c>
    </row>
    <row r="12738" spans="1:22">
      <c r="A12738" t="str">
        <f t="shared" si="2510"/>
        <v>26/11/2025</v>
      </c>
      <c r="B12738" t="str">
        <f t="shared" si="2504"/>
        <v>ENTRADA</v>
      </c>
      <c r="C12738" t="str">
        <f t="shared" si="2505"/>
        <v>NFSE</v>
      </c>
      <c r="D12738" t="str">
        <f t="shared" si="2506"/>
        <v>3744</v>
      </c>
      <c r="E12738" t="str">
        <f t="shared" si="2507"/>
        <v>1</v>
      </c>
      <c r="F12738" t="str">
        <f t="shared" si="2499"/>
        <v>COM</v>
      </c>
      <c r="G12738" t="str">
        <f t="shared" si="2508"/>
        <v>FARMÁCIA INDIANA LJ 1 (10126)</v>
      </c>
      <c r="H12738" t="s">
        <v>3440</v>
      </c>
      <c r="I12738" t="str">
        <f t="shared" si="2503"/>
        <v>26/11/2025</v>
      </c>
      <c r="J12738" t="str">
        <f t="shared" si="2509"/>
        <v>18/11/2025</v>
      </c>
      <c r="K12738">
        <v>45987</v>
      </c>
      <c r="N12738">
        <v>303</v>
      </c>
      <c r="O12738" t="s">
        <v>69</v>
      </c>
      <c r="Q12738">
        <v>116.68</v>
      </c>
      <c r="R12738" t="str">
        <f>"FARMÁCIA INDIANA LJ 141 (10065)"</f>
        <v>FARMÁCIA INDIANA LJ 141 (10065)</v>
      </c>
      <c r="S12738" t="s">
        <v>70</v>
      </c>
      <c r="T12738">
        <v>23431</v>
      </c>
      <c r="U12738">
        <v>25674</v>
      </c>
      <c r="V12738" t="s">
        <v>77</v>
      </c>
    </row>
    <row r="12739" spans="1:22">
      <c r="A12739" t="str">
        <f t="shared" si="2510"/>
        <v>26/11/2025</v>
      </c>
      <c r="B12739" t="str">
        <f t="shared" si="2504"/>
        <v>ENTRADA</v>
      </c>
      <c r="C12739" t="str">
        <f t="shared" si="2505"/>
        <v>NFSE</v>
      </c>
      <c r="D12739" t="str">
        <f t="shared" si="2506"/>
        <v>3744</v>
      </c>
      <c r="E12739" t="str">
        <f t="shared" si="2507"/>
        <v>1</v>
      </c>
      <c r="F12739" t="str">
        <f t="shared" si="2499"/>
        <v>COM</v>
      </c>
      <c r="G12739" t="str">
        <f t="shared" si="2508"/>
        <v>FARMÁCIA INDIANA LJ 1 (10126)</v>
      </c>
      <c r="H12739" t="s">
        <v>3440</v>
      </c>
      <c r="I12739" t="str">
        <f t="shared" si="2503"/>
        <v>26/11/2025</v>
      </c>
      <c r="J12739" t="str">
        <f t="shared" si="2509"/>
        <v>18/11/2025</v>
      </c>
      <c r="K12739">
        <v>45987</v>
      </c>
      <c r="N12739">
        <v>303</v>
      </c>
      <c r="O12739" t="s">
        <v>69</v>
      </c>
      <c r="Q12739">
        <v>6522.16</v>
      </c>
      <c r="R12739" t="str">
        <f>"FARMÁCIA INDIANA LJ 142 (10066)"</f>
        <v>FARMÁCIA INDIANA LJ 142 (10066)</v>
      </c>
      <c r="S12739" t="s">
        <v>70</v>
      </c>
      <c r="T12739">
        <v>23431</v>
      </c>
      <c r="U12739">
        <v>25674</v>
      </c>
      <c r="V12739" t="s">
        <v>77</v>
      </c>
    </row>
    <row r="12740" spans="1:22">
      <c r="A12740" t="str">
        <f t="shared" si="2510"/>
        <v>26/11/2025</v>
      </c>
      <c r="B12740" t="str">
        <f t="shared" si="2504"/>
        <v>ENTRADA</v>
      </c>
      <c r="C12740" t="str">
        <f t="shared" si="2505"/>
        <v>NFSE</v>
      </c>
      <c r="D12740" t="str">
        <f t="shared" si="2506"/>
        <v>3744</v>
      </c>
      <c r="E12740" t="str">
        <f t="shared" si="2507"/>
        <v>1</v>
      </c>
      <c r="F12740" t="str">
        <f t="shared" si="2499"/>
        <v>COM</v>
      </c>
      <c r="G12740" t="str">
        <f t="shared" si="2508"/>
        <v>FARMÁCIA INDIANA LJ 1 (10126)</v>
      </c>
      <c r="H12740" t="s">
        <v>3440</v>
      </c>
      <c r="I12740" t="str">
        <f t="shared" ref="I12740:I12771" si="2511">("26/11/2025")</f>
        <v>26/11/2025</v>
      </c>
      <c r="J12740" t="str">
        <f t="shared" si="2509"/>
        <v>18/11/2025</v>
      </c>
      <c r="K12740">
        <v>45987</v>
      </c>
      <c r="N12740">
        <v>303</v>
      </c>
      <c r="O12740" t="s">
        <v>69</v>
      </c>
      <c r="Q12740">
        <v>606.71</v>
      </c>
      <c r="R12740" t="str">
        <f>"FARMÁCIA INDIANA LJ 143 (10067)"</f>
        <v>FARMÁCIA INDIANA LJ 143 (10067)</v>
      </c>
      <c r="S12740" t="s">
        <v>70</v>
      </c>
      <c r="T12740">
        <v>23431</v>
      </c>
      <c r="U12740">
        <v>25674</v>
      </c>
      <c r="V12740" t="s">
        <v>77</v>
      </c>
    </row>
    <row r="12741" spans="1:22">
      <c r="A12741" t="str">
        <f t="shared" si="2510"/>
        <v>26/11/2025</v>
      </c>
      <c r="B12741" t="str">
        <f t="shared" si="2504"/>
        <v>ENTRADA</v>
      </c>
      <c r="C12741" t="str">
        <f t="shared" si="2505"/>
        <v>NFSE</v>
      </c>
      <c r="D12741" t="str">
        <f t="shared" si="2506"/>
        <v>3744</v>
      </c>
      <c r="E12741" t="str">
        <f t="shared" si="2507"/>
        <v>1</v>
      </c>
      <c r="F12741" t="str">
        <f t="shared" si="2499"/>
        <v>COM</v>
      </c>
      <c r="G12741" t="str">
        <f t="shared" si="2508"/>
        <v>FARMÁCIA INDIANA LJ 1 (10126)</v>
      </c>
      <c r="H12741" t="s">
        <v>3440</v>
      </c>
      <c r="I12741" t="str">
        <f t="shared" si="2511"/>
        <v>26/11/2025</v>
      </c>
      <c r="J12741" t="str">
        <f t="shared" si="2509"/>
        <v>18/11/2025</v>
      </c>
      <c r="K12741">
        <v>45987</v>
      </c>
      <c r="N12741">
        <v>303</v>
      </c>
      <c r="O12741" t="s">
        <v>69</v>
      </c>
      <c r="Q12741">
        <v>3266.91</v>
      </c>
      <c r="R12741" t="str">
        <f>"FARMÁCIA INDIANA LJ 152 (10069)"</f>
        <v>FARMÁCIA INDIANA LJ 152 (10069)</v>
      </c>
      <c r="S12741" t="s">
        <v>70</v>
      </c>
      <c r="T12741">
        <v>23431</v>
      </c>
      <c r="U12741">
        <v>25674</v>
      </c>
      <c r="V12741" t="s">
        <v>77</v>
      </c>
    </row>
    <row r="12742" spans="1:22">
      <c r="A12742" t="str">
        <f t="shared" si="2510"/>
        <v>26/11/2025</v>
      </c>
      <c r="B12742" t="str">
        <f t="shared" si="2504"/>
        <v>ENTRADA</v>
      </c>
      <c r="C12742" t="str">
        <f t="shared" si="2505"/>
        <v>NFSE</v>
      </c>
      <c r="D12742" t="str">
        <f t="shared" si="2506"/>
        <v>3744</v>
      </c>
      <c r="E12742" t="str">
        <f t="shared" si="2507"/>
        <v>1</v>
      </c>
      <c r="F12742" t="str">
        <f t="shared" si="2499"/>
        <v>COM</v>
      </c>
      <c r="G12742" t="str">
        <f t="shared" si="2508"/>
        <v>FARMÁCIA INDIANA LJ 1 (10126)</v>
      </c>
      <c r="H12742" t="s">
        <v>3440</v>
      </c>
      <c r="I12742" t="str">
        <f t="shared" si="2511"/>
        <v>26/11/2025</v>
      </c>
      <c r="J12742" t="str">
        <f t="shared" si="2509"/>
        <v>18/11/2025</v>
      </c>
      <c r="K12742">
        <v>45987</v>
      </c>
      <c r="N12742">
        <v>303</v>
      </c>
      <c r="O12742" t="s">
        <v>69</v>
      </c>
      <c r="Q12742">
        <v>221.68</v>
      </c>
      <c r="R12742" t="str">
        <f>"FARMÁCIA INDIANA LJ 154 (10070)"</f>
        <v>FARMÁCIA INDIANA LJ 154 (10070)</v>
      </c>
      <c r="S12742" t="s">
        <v>70</v>
      </c>
      <c r="T12742">
        <v>23431</v>
      </c>
      <c r="U12742">
        <v>25674</v>
      </c>
      <c r="V12742" t="s">
        <v>77</v>
      </c>
    </row>
    <row r="12743" spans="1:22">
      <c r="A12743" t="str">
        <f t="shared" si="2510"/>
        <v>26/11/2025</v>
      </c>
      <c r="B12743" t="str">
        <f t="shared" si="2504"/>
        <v>ENTRADA</v>
      </c>
      <c r="C12743" t="str">
        <f t="shared" si="2505"/>
        <v>NFSE</v>
      </c>
      <c r="D12743" t="str">
        <f t="shared" si="2506"/>
        <v>3744</v>
      </c>
      <c r="E12743" t="str">
        <f t="shared" si="2507"/>
        <v>1</v>
      </c>
      <c r="F12743" t="str">
        <f t="shared" si="2499"/>
        <v>COM</v>
      </c>
      <c r="G12743" t="str">
        <f t="shared" si="2508"/>
        <v>FARMÁCIA INDIANA LJ 1 (10126)</v>
      </c>
      <c r="H12743" t="s">
        <v>3440</v>
      </c>
      <c r="I12743" t="str">
        <f t="shared" si="2511"/>
        <v>26/11/2025</v>
      </c>
      <c r="J12743" t="str">
        <f t="shared" si="2509"/>
        <v>18/11/2025</v>
      </c>
      <c r="K12743">
        <v>45987</v>
      </c>
      <c r="N12743">
        <v>303</v>
      </c>
      <c r="O12743" t="s">
        <v>69</v>
      </c>
      <c r="Q12743">
        <v>1925.15</v>
      </c>
      <c r="R12743" t="str">
        <f>"FARMÁCIA INDIANA LJ 171 (10074)"</f>
        <v>FARMÁCIA INDIANA LJ 171 (10074)</v>
      </c>
      <c r="S12743" t="s">
        <v>70</v>
      </c>
      <c r="T12743">
        <v>23431</v>
      </c>
      <c r="U12743">
        <v>25674</v>
      </c>
      <c r="V12743" t="s">
        <v>77</v>
      </c>
    </row>
    <row r="12744" spans="1:22">
      <c r="A12744" t="str">
        <f t="shared" si="2510"/>
        <v>26/11/2025</v>
      </c>
      <c r="B12744" t="str">
        <f t="shared" si="2504"/>
        <v>ENTRADA</v>
      </c>
      <c r="C12744" t="str">
        <f t="shared" si="2505"/>
        <v>NFSE</v>
      </c>
      <c r="D12744" t="str">
        <f t="shared" si="2506"/>
        <v>3744</v>
      </c>
      <c r="E12744" t="str">
        <f t="shared" si="2507"/>
        <v>1</v>
      </c>
      <c r="F12744" t="str">
        <f t="shared" si="2499"/>
        <v>COM</v>
      </c>
      <c r="G12744" t="str">
        <f t="shared" si="2508"/>
        <v>FARMÁCIA INDIANA LJ 1 (10126)</v>
      </c>
      <c r="H12744" t="s">
        <v>3440</v>
      </c>
      <c r="I12744" t="str">
        <f t="shared" si="2511"/>
        <v>26/11/2025</v>
      </c>
      <c r="J12744" t="str">
        <f t="shared" si="2509"/>
        <v>18/11/2025</v>
      </c>
      <c r="K12744">
        <v>45987</v>
      </c>
      <c r="N12744">
        <v>303</v>
      </c>
      <c r="O12744" t="s">
        <v>69</v>
      </c>
      <c r="Q12744">
        <v>735.06</v>
      </c>
      <c r="R12744" t="str">
        <f>"FARMÁCIA INDIANA LJ 175 (10076)"</f>
        <v>FARMÁCIA INDIANA LJ 175 (10076)</v>
      </c>
      <c r="S12744" t="s">
        <v>70</v>
      </c>
      <c r="T12744">
        <v>23431</v>
      </c>
      <c r="U12744">
        <v>25674</v>
      </c>
      <c r="V12744" t="s">
        <v>77</v>
      </c>
    </row>
    <row r="12745" spans="1:22">
      <c r="A12745" t="str">
        <f t="shared" si="2510"/>
        <v>26/11/2025</v>
      </c>
      <c r="B12745" t="str">
        <f t="shared" ref="B12745:B12776" si="2512">"ENTRADA"</f>
        <v>ENTRADA</v>
      </c>
      <c r="C12745" t="str">
        <f t="shared" ref="C12745:C12776" si="2513">"NFSE"</f>
        <v>NFSE</v>
      </c>
      <c r="D12745" t="str">
        <f t="shared" ref="D12745:D12761" si="2514">"3744"</f>
        <v>3744</v>
      </c>
      <c r="E12745" t="str">
        <f t="shared" ref="E12745:E12776" si="2515">"1"</f>
        <v>1</v>
      </c>
      <c r="F12745" t="str">
        <f t="shared" si="2499"/>
        <v>COM</v>
      </c>
      <c r="G12745" t="str">
        <f t="shared" ref="G12745:G12761" si="2516">"FARMÁCIA INDIANA LJ 1 (10126)"</f>
        <v>FARMÁCIA INDIANA LJ 1 (10126)</v>
      </c>
      <c r="H12745" t="s">
        <v>3440</v>
      </c>
      <c r="I12745" t="str">
        <f t="shared" si="2511"/>
        <v>26/11/2025</v>
      </c>
      <c r="J12745" t="str">
        <f t="shared" ref="J12745:J12776" si="2517">("18/11/2025")</f>
        <v>18/11/2025</v>
      </c>
      <c r="K12745">
        <v>45987</v>
      </c>
      <c r="N12745">
        <v>303</v>
      </c>
      <c r="O12745" t="s">
        <v>69</v>
      </c>
      <c r="Q12745">
        <v>1155.0899999999999</v>
      </c>
      <c r="R12745" t="str">
        <f>"FARMÁCIA INDIANA LJ 178 (10077)"</f>
        <v>FARMÁCIA INDIANA LJ 178 (10077)</v>
      </c>
      <c r="S12745" t="s">
        <v>70</v>
      </c>
      <c r="T12745">
        <v>23431</v>
      </c>
      <c r="U12745">
        <v>25674</v>
      </c>
      <c r="V12745" t="s">
        <v>77</v>
      </c>
    </row>
    <row r="12746" spans="1:22">
      <c r="A12746" t="str">
        <f t="shared" si="2510"/>
        <v>26/11/2025</v>
      </c>
      <c r="B12746" t="str">
        <f t="shared" si="2512"/>
        <v>ENTRADA</v>
      </c>
      <c r="C12746" t="str">
        <f t="shared" si="2513"/>
        <v>NFSE</v>
      </c>
      <c r="D12746" t="str">
        <f t="shared" si="2514"/>
        <v>3744</v>
      </c>
      <c r="E12746" t="str">
        <f t="shared" si="2515"/>
        <v>1</v>
      </c>
      <c r="F12746" t="str">
        <f t="shared" si="2499"/>
        <v>COM</v>
      </c>
      <c r="G12746" t="str">
        <f t="shared" si="2516"/>
        <v>FARMÁCIA INDIANA LJ 1 (10126)</v>
      </c>
      <c r="H12746" t="s">
        <v>3440</v>
      </c>
      <c r="I12746" t="str">
        <f t="shared" si="2511"/>
        <v>26/11/2025</v>
      </c>
      <c r="J12746" t="str">
        <f t="shared" si="2517"/>
        <v>18/11/2025</v>
      </c>
      <c r="K12746">
        <v>45987</v>
      </c>
      <c r="N12746">
        <v>303</v>
      </c>
      <c r="O12746" t="s">
        <v>69</v>
      </c>
      <c r="Q12746">
        <v>455.03</v>
      </c>
      <c r="R12746" t="str">
        <f>"FARMÁCIA INDIANA LJ 182 (10079)"</f>
        <v>FARMÁCIA INDIANA LJ 182 (10079)</v>
      </c>
      <c r="S12746" t="s">
        <v>70</v>
      </c>
      <c r="T12746">
        <v>23431</v>
      </c>
      <c r="U12746">
        <v>25674</v>
      </c>
      <c r="V12746" t="s">
        <v>77</v>
      </c>
    </row>
    <row r="12747" spans="1:22">
      <c r="A12747" t="str">
        <f t="shared" si="2510"/>
        <v>26/11/2025</v>
      </c>
      <c r="B12747" t="str">
        <f t="shared" si="2512"/>
        <v>ENTRADA</v>
      </c>
      <c r="C12747" t="str">
        <f t="shared" si="2513"/>
        <v>NFSE</v>
      </c>
      <c r="D12747" t="str">
        <f t="shared" si="2514"/>
        <v>3744</v>
      </c>
      <c r="E12747" t="str">
        <f t="shared" si="2515"/>
        <v>1</v>
      </c>
      <c r="F12747" t="str">
        <f t="shared" si="2499"/>
        <v>COM</v>
      </c>
      <c r="G12747" t="str">
        <f t="shared" si="2516"/>
        <v>FARMÁCIA INDIANA LJ 1 (10126)</v>
      </c>
      <c r="H12747" t="s">
        <v>3440</v>
      </c>
      <c r="I12747" t="str">
        <f t="shared" si="2511"/>
        <v>26/11/2025</v>
      </c>
      <c r="J12747" t="str">
        <f t="shared" si="2517"/>
        <v>18/11/2025</v>
      </c>
      <c r="K12747">
        <v>45987</v>
      </c>
      <c r="N12747">
        <v>303</v>
      </c>
      <c r="O12747" t="s">
        <v>69</v>
      </c>
      <c r="Q12747">
        <v>361.69</v>
      </c>
      <c r="R12747" t="str">
        <f>"FARMÁCIA INDIANA LJ 184 (10080)"</f>
        <v>FARMÁCIA INDIANA LJ 184 (10080)</v>
      </c>
      <c r="S12747" t="s">
        <v>70</v>
      </c>
      <c r="T12747">
        <v>23431</v>
      </c>
      <c r="U12747">
        <v>25674</v>
      </c>
      <c r="V12747" t="s">
        <v>77</v>
      </c>
    </row>
    <row r="12748" spans="1:22">
      <c r="A12748" t="str">
        <f t="shared" si="2510"/>
        <v>26/11/2025</v>
      </c>
      <c r="B12748" t="str">
        <f t="shared" si="2512"/>
        <v>ENTRADA</v>
      </c>
      <c r="C12748" t="str">
        <f t="shared" si="2513"/>
        <v>NFSE</v>
      </c>
      <c r="D12748" t="str">
        <f t="shared" si="2514"/>
        <v>3744</v>
      </c>
      <c r="E12748" t="str">
        <f t="shared" si="2515"/>
        <v>1</v>
      </c>
      <c r="F12748" t="str">
        <f t="shared" si="2499"/>
        <v>COM</v>
      </c>
      <c r="G12748" t="str">
        <f t="shared" si="2516"/>
        <v>FARMÁCIA INDIANA LJ 1 (10126)</v>
      </c>
      <c r="H12748" t="s">
        <v>3440</v>
      </c>
      <c r="I12748" t="str">
        <f t="shared" si="2511"/>
        <v>26/11/2025</v>
      </c>
      <c r="J12748" t="str">
        <f t="shared" si="2517"/>
        <v>18/11/2025</v>
      </c>
      <c r="K12748">
        <v>45987</v>
      </c>
      <c r="N12748">
        <v>303</v>
      </c>
      <c r="O12748" t="s">
        <v>69</v>
      </c>
      <c r="Q12748">
        <v>455.03</v>
      </c>
      <c r="R12748" t="str">
        <f>"FARMÁCIA INDIANA LJ 186 (10081)"</f>
        <v>FARMÁCIA INDIANA LJ 186 (10081)</v>
      </c>
      <c r="S12748" t="s">
        <v>70</v>
      </c>
      <c r="T12748">
        <v>23431</v>
      </c>
      <c r="U12748">
        <v>25674</v>
      </c>
      <c r="V12748" t="s">
        <v>77</v>
      </c>
    </row>
    <row r="12749" spans="1:22">
      <c r="A12749" t="str">
        <f t="shared" si="2510"/>
        <v>26/11/2025</v>
      </c>
      <c r="B12749" t="str">
        <f t="shared" si="2512"/>
        <v>ENTRADA</v>
      </c>
      <c r="C12749" t="str">
        <f t="shared" si="2513"/>
        <v>NFSE</v>
      </c>
      <c r="D12749" t="str">
        <f t="shared" si="2514"/>
        <v>3744</v>
      </c>
      <c r="E12749" t="str">
        <f t="shared" si="2515"/>
        <v>1</v>
      </c>
      <c r="F12749" t="str">
        <f t="shared" si="2499"/>
        <v>COM</v>
      </c>
      <c r="G12749" t="str">
        <f t="shared" si="2516"/>
        <v>FARMÁCIA INDIANA LJ 1 (10126)</v>
      </c>
      <c r="H12749" t="s">
        <v>3440</v>
      </c>
      <c r="I12749" t="str">
        <f t="shared" si="2511"/>
        <v>26/11/2025</v>
      </c>
      <c r="J12749" t="str">
        <f t="shared" si="2517"/>
        <v>18/11/2025</v>
      </c>
      <c r="K12749">
        <v>45987</v>
      </c>
      <c r="N12749">
        <v>303</v>
      </c>
      <c r="O12749" t="s">
        <v>69</v>
      </c>
      <c r="Q12749">
        <v>805.06</v>
      </c>
      <c r="R12749" t="str">
        <f>"FARMÁCIA INDIANA LJ 192 (10082)"</f>
        <v>FARMÁCIA INDIANA LJ 192 (10082)</v>
      </c>
      <c r="S12749" t="s">
        <v>70</v>
      </c>
      <c r="T12749">
        <v>23431</v>
      </c>
      <c r="U12749">
        <v>25674</v>
      </c>
      <c r="V12749" t="s">
        <v>77</v>
      </c>
    </row>
    <row r="12750" spans="1:22">
      <c r="A12750" t="str">
        <f t="shared" si="2510"/>
        <v>26/11/2025</v>
      </c>
      <c r="B12750" t="str">
        <f t="shared" si="2512"/>
        <v>ENTRADA</v>
      </c>
      <c r="C12750" t="str">
        <f t="shared" si="2513"/>
        <v>NFSE</v>
      </c>
      <c r="D12750" t="str">
        <f t="shared" si="2514"/>
        <v>3744</v>
      </c>
      <c r="E12750" t="str">
        <f t="shared" si="2515"/>
        <v>1</v>
      </c>
      <c r="F12750" t="str">
        <f t="shared" si="2499"/>
        <v>COM</v>
      </c>
      <c r="G12750" t="str">
        <f t="shared" si="2516"/>
        <v>FARMÁCIA INDIANA LJ 1 (10126)</v>
      </c>
      <c r="H12750" t="s">
        <v>3440</v>
      </c>
      <c r="I12750" t="str">
        <f t="shared" si="2511"/>
        <v>26/11/2025</v>
      </c>
      <c r="J12750" t="str">
        <f t="shared" si="2517"/>
        <v>18/11/2025</v>
      </c>
      <c r="K12750">
        <v>45987</v>
      </c>
      <c r="N12750">
        <v>303</v>
      </c>
      <c r="O12750" t="s">
        <v>69</v>
      </c>
      <c r="Q12750">
        <v>361.69</v>
      </c>
      <c r="R12750" t="str">
        <f>"FARMÁCIA INDIANA LJ 195 (10083)"</f>
        <v>FARMÁCIA INDIANA LJ 195 (10083)</v>
      </c>
      <c r="S12750" t="s">
        <v>70</v>
      </c>
      <c r="T12750">
        <v>23431</v>
      </c>
      <c r="U12750">
        <v>25674</v>
      </c>
      <c r="V12750" t="s">
        <v>77</v>
      </c>
    </row>
    <row r="12751" spans="1:22">
      <c r="A12751" t="str">
        <f t="shared" si="2510"/>
        <v>26/11/2025</v>
      </c>
      <c r="B12751" t="str">
        <f t="shared" si="2512"/>
        <v>ENTRADA</v>
      </c>
      <c r="C12751" t="str">
        <f t="shared" si="2513"/>
        <v>NFSE</v>
      </c>
      <c r="D12751" t="str">
        <f t="shared" si="2514"/>
        <v>3744</v>
      </c>
      <c r="E12751" t="str">
        <f t="shared" si="2515"/>
        <v>1</v>
      </c>
      <c r="F12751" t="str">
        <f t="shared" si="2499"/>
        <v>COM</v>
      </c>
      <c r="G12751" t="str">
        <f t="shared" si="2516"/>
        <v>FARMÁCIA INDIANA LJ 1 (10126)</v>
      </c>
      <c r="H12751" t="s">
        <v>3440</v>
      </c>
      <c r="I12751" t="str">
        <f t="shared" si="2511"/>
        <v>26/11/2025</v>
      </c>
      <c r="J12751" t="str">
        <f t="shared" si="2517"/>
        <v>18/11/2025</v>
      </c>
      <c r="K12751">
        <v>45987</v>
      </c>
      <c r="N12751">
        <v>303</v>
      </c>
      <c r="O12751" t="s">
        <v>69</v>
      </c>
      <c r="Q12751">
        <v>898.4</v>
      </c>
      <c r="R12751" t="str">
        <f>"FARMÁCIA INDIANA LJ 202 (10085)"</f>
        <v>FARMÁCIA INDIANA LJ 202 (10085)</v>
      </c>
      <c r="S12751" t="s">
        <v>70</v>
      </c>
      <c r="T12751">
        <v>23431</v>
      </c>
      <c r="U12751">
        <v>25674</v>
      </c>
      <c r="V12751" t="s">
        <v>77</v>
      </c>
    </row>
    <row r="12752" spans="1:22">
      <c r="A12752" t="str">
        <f t="shared" si="2510"/>
        <v>26/11/2025</v>
      </c>
      <c r="B12752" t="str">
        <f t="shared" si="2512"/>
        <v>ENTRADA</v>
      </c>
      <c r="C12752" t="str">
        <f t="shared" si="2513"/>
        <v>NFSE</v>
      </c>
      <c r="D12752" t="str">
        <f t="shared" si="2514"/>
        <v>3744</v>
      </c>
      <c r="E12752" t="str">
        <f t="shared" si="2515"/>
        <v>1</v>
      </c>
      <c r="F12752" t="str">
        <f t="shared" si="2499"/>
        <v>COM</v>
      </c>
      <c r="G12752" t="str">
        <f t="shared" si="2516"/>
        <v>FARMÁCIA INDIANA LJ 1 (10126)</v>
      </c>
      <c r="H12752" t="s">
        <v>3440</v>
      </c>
      <c r="I12752" t="str">
        <f t="shared" si="2511"/>
        <v>26/11/2025</v>
      </c>
      <c r="J12752" t="str">
        <f t="shared" si="2517"/>
        <v>18/11/2025</v>
      </c>
      <c r="K12752">
        <v>45987</v>
      </c>
      <c r="N12752">
        <v>303</v>
      </c>
      <c r="O12752" t="s">
        <v>69</v>
      </c>
      <c r="Q12752">
        <v>723.39</v>
      </c>
      <c r="R12752" t="str">
        <f>"FARMÁCIA INDIANA LJ 204 (10087)"</f>
        <v>FARMÁCIA INDIANA LJ 204 (10087)</v>
      </c>
      <c r="S12752" t="s">
        <v>70</v>
      </c>
      <c r="T12752">
        <v>23431</v>
      </c>
      <c r="U12752">
        <v>25674</v>
      </c>
      <c r="V12752" t="s">
        <v>77</v>
      </c>
    </row>
    <row r="12753" spans="1:22">
      <c r="A12753" t="str">
        <f t="shared" si="2510"/>
        <v>26/11/2025</v>
      </c>
      <c r="B12753" t="str">
        <f t="shared" si="2512"/>
        <v>ENTRADA</v>
      </c>
      <c r="C12753" t="str">
        <f t="shared" si="2513"/>
        <v>NFSE</v>
      </c>
      <c r="D12753" t="str">
        <f t="shared" si="2514"/>
        <v>3744</v>
      </c>
      <c r="E12753" t="str">
        <f t="shared" si="2515"/>
        <v>1</v>
      </c>
      <c r="F12753" t="str">
        <f t="shared" si="2499"/>
        <v>COM</v>
      </c>
      <c r="G12753" t="str">
        <f t="shared" si="2516"/>
        <v>FARMÁCIA INDIANA LJ 1 (10126)</v>
      </c>
      <c r="H12753" t="s">
        <v>3440</v>
      </c>
      <c r="I12753" t="str">
        <f t="shared" si="2511"/>
        <v>26/11/2025</v>
      </c>
      <c r="J12753" t="str">
        <f t="shared" si="2517"/>
        <v>18/11/2025</v>
      </c>
      <c r="K12753">
        <v>45987</v>
      </c>
      <c r="N12753">
        <v>303</v>
      </c>
      <c r="O12753" t="s">
        <v>69</v>
      </c>
      <c r="Q12753">
        <v>1318.43</v>
      </c>
      <c r="R12753" t="str">
        <f>"FARMÁCIA INDIANA LJ 207 (10088)"</f>
        <v>FARMÁCIA INDIANA LJ 207 (10088)</v>
      </c>
      <c r="S12753" t="s">
        <v>70</v>
      </c>
      <c r="T12753">
        <v>23431</v>
      </c>
      <c r="U12753">
        <v>25674</v>
      </c>
      <c r="V12753" t="s">
        <v>77</v>
      </c>
    </row>
    <row r="12754" spans="1:22">
      <c r="A12754" t="str">
        <f t="shared" si="2510"/>
        <v>26/11/2025</v>
      </c>
      <c r="B12754" t="str">
        <f t="shared" si="2512"/>
        <v>ENTRADA</v>
      </c>
      <c r="C12754" t="str">
        <f t="shared" si="2513"/>
        <v>NFSE</v>
      </c>
      <c r="D12754" t="str">
        <f t="shared" si="2514"/>
        <v>3744</v>
      </c>
      <c r="E12754" t="str">
        <f t="shared" si="2515"/>
        <v>1</v>
      </c>
      <c r="F12754" t="str">
        <f t="shared" si="2499"/>
        <v>COM</v>
      </c>
      <c r="G12754" t="str">
        <f t="shared" si="2516"/>
        <v>FARMÁCIA INDIANA LJ 1 (10126)</v>
      </c>
      <c r="H12754" t="s">
        <v>3440</v>
      </c>
      <c r="I12754" t="str">
        <f t="shared" si="2511"/>
        <v>26/11/2025</v>
      </c>
      <c r="J12754" t="str">
        <f t="shared" si="2517"/>
        <v>18/11/2025</v>
      </c>
      <c r="K12754">
        <v>45987</v>
      </c>
      <c r="N12754">
        <v>303</v>
      </c>
      <c r="O12754" t="s">
        <v>69</v>
      </c>
      <c r="Q12754">
        <v>1131.75</v>
      </c>
      <c r="R12754" t="str">
        <f>"FARMÁCIA INDIANA LJ 209 (10089)"</f>
        <v>FARMÁCIA INDIANA LJ 209 (10089)</v>
      </c>
      <c r="S12754" t="s">
        <v>70</v>
      </c>
      <c r="T12754">
        <v>23431</v>
      </c>
      <c r="U12754">
        <v>25674</v>
      </c>
      <c r="V12754" t="s">
        <v>77</v>
      </c>
    </row>
    <row r="12755" spans="1:22">
      <c r="A12755" t="str">
        <f t="shared" si="2510"/>
        <v>26/11/2025</v>
      </c>
      <c r="B12755" t="str">
        <f t="shared" si="2512"/>
        <v>ENTRADA</v>
      </c>
      <c r="C12755" t="str">
        <f t="shared" si="2513"/>
        <v>NFSE</v>
      </c>
      <c r="D12755" t="str">
        <f t="shared" si="2514"/>
        <v>3744</v>
      </c>
      <c r="E12755" t="str">
        <f t="shared" si="2515"/>
        <v>1</v>
      </c>
      <c r="F12755" t="str">
        <f t="shared" ref="F12755:F12818" si="2518">"COM"</f>
        <v>COM</v>
      </c>
      <c r="G12755" t="str">
        <f t="shared" si="2516"/>
        <v>FARMÁCIA INDIANA LJ 1 (10126)</v>
      </c>
      <c r="H12755" t="s">
        <v>3440</v>
      </c>
      <c r="I12755" t="str">
        <f t="shared" si="2511"/>
        <v>26/11/2025</v>
      </c>
      <c r="J12755" t="str">
        <f t="shared" si="2517"/>
        <v>18/11/2025</v>
      </c>
      <c r="K12755">
        <v>45987</v>
      </c>
      <c r="N12755">
        <v>303</v>
      </c>
      <c r="O12755" t="s">
        <v>69</v>
      </c>
      <c r="Q12755">
        <v>1948.48</v>
      </c>
      <c r="R12755" t="str">
        <f>"FARMÁCIA INDIANA LJ 219 (10091)"</f>
        <v>FARMÁCIA INDIANA LJ 219 (10091)</v>
      </c>
      <c r="S12755" t="s">
        <v>70</v>
      </c>
      <c r="T12755">
        <v>23431</v>
      </c>
      <c r="U12755">
        <v>25674</v>
      </c>
      <c r="V12755" t="s">
        <v>77</v>
      </c>
    </row>
    <row r="12756" spans="1:22">
      <c r="A12756" t="str">
        <f t="shared" si="2510"/>
        <v>26/11/2025</v>
      </c>
      <c r="B12756" t="str">
        <f t="shared" si="2512"/>
        <v>ENTRADA</v>
      </c>
      <c r="C12756" t="str">
        <f t="shared" si="2513"/>
        <v>NFSE</v>
      </c>
      <c r="D12756" t="str">
        <f t="shared" si="2514"/>
        <v>3744</v>
      </c>
      <c r="E12756" t="str">
        <f t="shared" si="2515"/>
        <v>1</v>
      </c>
      <c r="F12756" t="str">
        <f t="shared" si="2518"/>
        <v>COM</v>
      </c>
      <c r="G12756" t="str">
        <f t="shared" si="2516"/>
        <v>FARMÁCIA INDIANA LJ 1 (10126)</v>
      </c>
      <c r="H12756" t="s">
        <v>3440</v>
      </c>
      <c r="I12756" t="str">
        <f t="shared" si="2511"/>
        <v>26/11/2025</v>
      </c>
      <c r="J12756" t="str">
        <f t="shared" si="2517"/>
        <v>18/11/2025</v>
      </c>
      <c r="K12756">
        <v>45987</v>
      </c>
      <c r="N12756">
        <v>303</v>
      </c>
      <c r="O12756" t="s">
        <v>69</v>
      </c>
      <c r="Q12756">
        <v>2531.86</v>
      </c>
      <c r="R12756" t="str">
        <f>"FARMÁCIA INDIANA LJ 220 (10092)"</f>
        <v>FARMÁCIA INDIANA LJ 220 (10092)</v>
      </c>
      <c r="S12756" t="s">
        <v>70</v>
      </c>
      <c r="T12756">
        <v>23431</v>
      </c>
      <c r="U12756">
        <v>25674</v>
      </c>
      <c r="V12756" t="s">
        <v>77</v>
      </c>
    </row>
    <row r="12757" spans="1:22">
      <c r="A12757" t="str">
        <f t="shared" si="2510"/>
        <v>26/11/2025</v>
      </c>
      <c r="B12757" t="str">
        <f t="shared" si="2512"/>
        <v>ENTRADA</v>
      </c>
      <c r="C12757" t="str">
        <f t="shared" si="2513"/>
        <v>NFSE</v>
      </c>
      <c r="D12757" t="str">
        <f t="shared" si="2514"/>
        <v>3744</v>
      </c>
      <c r="E12757" t="str">
        <f t="shared" si="2515"/>
        <v>1</v>
      </c>
      <c r="F12757" t="str">
        <f t="shared" si="2518"/>
        <v>COM</v>
      </c>
      <c r="G12757" t="str">
        <f t="shared" si="2516"/>
        <v>FARMÁCIA INDIANA LJ 1 (10126)</v>
      </c>
      <c r="H12757" t="s">
        <v>3440</v>
      </c>
      <c r="I12757" t="str">
        <f t="shared" si="2511"/>
        <v>26/11/2025</v>
      </c>
      <c r="J12757" t="str">
        <f t="shared" si="2517"/>
        <v>18/11/2025</v>
      </c>
      <c r="K12757">
        <v>45987</v>
      </c>
      <c r="N12757">
        <v>303</v>
      </c>
      <c r="O12757" t="s">
        <v>69</v>
      </c>
      <c r="Q12757">
        <v>1026.74</v>
      </c>
      <c r="R12757" t="str">
        <f>"FARMÁCIA INDIANA LJ 185 (10141)"</f>
        <v>FARMÁCIA INDIANA LJ 185 (10141)</v>
      </c>
      <c r="S12757" t="s">
        <v>70</v>
      </c>
      <c r="T12757">
        <v>23431</v>
      </c>
      <c r="U12757">
        <v>25674</v>
      </c>
      <c r="V12757" t="s">
        <v>77</v>
      </c>
    </row>
    <row r="12758" spans="1:22">
      <c r="A12758" t="str">
        <f t="shared" si="2510"/>
        <v>26/11/2025</v>
      </c>
      <c r="B12758" t="str">
        <f t="shared" si="2512"/>
        <v>ENTRADA</v>
      </c>
      <c r="C12758" t="str">
        <f t="shared" si="2513"/>
        <v>NFSE</v>
      </c>
      <c r="D12758" t="str">
        <f t="shared" si="2514"/>
        <v>3744</v>
      </c>
      <c r="E12758" t="str">
        <f t="shared" si="2515"/>
        <v>1</v>
      </c>
      <c r="F12758" t="str">
        <f t="shared" si="2518"/>
        <v>COM</v>
      </c>
      <c r="G12758" t="str">
        <f t="shared" si="2516"/>
        <v>FARMÁCIA INDIANA LJ 1 (10126)</v>
      </c>
      <c r="H12758" t="s">
        <v>3440</v>
      </c>
      <c r="I12758" t="str">
        <f t="shared" si="2511"/>
        <v>26/11/2025</v>
      </c>
      <c r="J12758" t="str">
        <f t="shared" si="2517"/>
        <v>18/11/2025</v>
      </c>
      <c r="K12758">
        <v>45987</v>
      </c>
      <c r="N12758">
        <v>303</v>
      </c>
      <c r="O12758" t="s">
        <v>69</v>
      </c>
      <c r="Q12758">
        <v>956.74</v>
      </c>
      <c r="R12758" t="str">
        <f>"FARMÁCIA INDIANA LJ 205 (10150)"</f>
        <v>FARMÁCIA INDIANA LJ 205 (10150)</v>
      </c>
      <c r="S12758" t="s">
        <v>70</v>
      </c>
      <c r="T12758">
        <v>23431</v>
      </c>
      <c r="U12758">
        <v>25674</v>
      </c>
      <c r="V12758" t="s">
        <v>77</v>
      </c>
    </row>
    <row r="12759" spans="1:22">
      <c r="A12759" t="str">
        <f t="shared" si="2510"/>
        <v>26/11/2025</v>
      </c>
      <c r="B12759" t="str">
        <f t="shared" si="2512"/>
        <v>ENTRADA</v>
      </c>
      <c r="C12759" t="str">
        <f t="shared" si="2513"/>
        <v>NFSE</v>
      </c>
      <c r="D12759" t="str">
        <f t="shared" si="2514"/>
        <v>3744</v>
      </c>
      <c r="E12759" t="str">
        <f t="shared" si="2515"/>
        <v>1</v>
      </c>
      <c r="F12759" t="str">
        <f t="shared" si="2518"/>
        <v>COM</v>
      </c>
      <c r="G12759" t="str">
        <f t="shared" si="2516"/>
        <v>FARMÁCIA INDIANA LJ 1 (10126)</v>
      </c>
      <c r="H12759" t="s">
        <v>3440</v>
      </c>
      <c r="I12759" t="str">
        <f t="shared" si="2511"/>
        <v>26/11/2025</v>
      </c>
      <c r="J12759" t="str">
        <f t="shared" si="2517"/>
        <v>18/11/2025</v>
      </c>
      <c r="K12759">
        <v>45987</v>
      </c>
      <c r="N12759">
        <v>303</v>
      </c>
      <c r="O12759" t="s">
        <v>69</v>
      </c>
      <c r="Q12759">
        <v>5682.1</v>
      </c>
      <c r="R12759" t="str">
        <f>"FARMÁCIA INDIANA LJ 172 (10161)"</f>
        <v>FARMÁCIA INDIANA LJ 172 (10161)</v>
      </c>
      <c r="S12759" t="s">
        <v>70</v>
      </c>
      <c r="T12759">
        <v>23431</v>
      </c>
      <c r="U12759">
        <v>25674</v>
      </c>
      <c r="V12759" t="s">
        <v>77</v>
      </c>
    </row>
    <row r="12760" spans="1:22">
      <c r="A12760" t="str">
        <f t="shared" si="2510"/>
        <v>26/11/2025</v>
      </c>
      <c r="B12760" t="str">
        <f t="shared" si="2512"/>
        <v>ENTRADA</v>
      </c>
      <c r="C12760" t="str">
        <f t="shared" si="2513"/>
        <v>NFSE</v>
      </c>
      <c r="D12760" t="str">
        <f t="shared" si="2514"/>
        <v>3744</v>
      </c>
      <c r="E12760" t="str">
        <f t="shared" si="2515"/>
        <v>1</v>
      </c>
      <c r="F12760" t="str">
        <f t="shared" si="2518"/>
        <v>COM</v>
      </c>
      <c r="G12760" t="str">
        <f t="shared" si="2516"/>
        <v>FARMÁCIA INDIANA LJ 1 (10126)</v>
      </c>
      <c r="H12760" t="s">
        <v>3440</v>
      </c>
      <c r="I12760" t="str">
        <f t="shared" si="2511"/>
        <v>26/11/2025</v>
      </c>
      <c r="J12760" t="str">
        <f t="shared" si="2517"/>
        <v>18/11/2025</v>
      </c>
      <c r="K12760">
        <v>45987</v>
      </c>
      <c r="N12760">
        <v>303</v>
      </c>
      <c r="O12760" t="s">
        <v>69</v>
      </c>
      <c r="Q12760">
        <v>723.39</v>
      </c>
      <c r="R12760" t="str">
        <f>"FARMÁCIA INDIANA LJ 266 (10186)"</f>
        <v>FARMÁCIA INDIANA LJ 266 (10186)</v>
      </c>
      <c r="S12760" t="s">
        <v>70</v>
      </c>
      <c r="T12760">
        <v>23431</v>
      </c>
      <c r="U12760">
        <v>25674</v>
      </c>
      <c r="V12760" t="s">
        <v>77</v>
      </c>
    </row>
    <row r="12761" spans="1:22">
      <c r="A12761" t="str">
        <f t="shared" si="2510"/>
        <v>26/11/2025</v>
      </c>
      <c r="B12761" t="str">
        <f t="shared" si="2512"/>
        <v>ENTRADA</v>
      </c>
      <c r="C12761" t="str">
        <f t="shared" si="2513"/>
        <v>NFSE</v>
      </c>
      <c r="D12761" t="str">
        <f t="shared" si="2514"/>
        <v>3744</v>
      </c>
      <c r="E12761" t="str">
        <f t="shared" si="2515"/>
        <v>1</v>
      </c>
      <c r="F12761" t="str">
        <f t="shared" si="2518"/>
        <v>COM</v>
      </c>
      <c r="G12761" t="str">
        <f t="shared" si="2516"/>
        <v>FARMÁCIA INDIANA LJ 1 (10126)</v>
      </c>
      <c r="H12761" t="s">
        <v>3440</v>
      </c>
      <c r="I12761" t="str">
        <f t="shared" si="2511"/>
        <v>26/11/2025</v>
      </c>
      <c r="J12761" t="str">
        <f t="shared" si="2517"/>
        <v>18/11/2025</v>
      </c>
      <c r="K12761">
        <v>45987</v>
      </c>
      <c r="N12761">
        <v>303</v>
      </c>
      <c r="O12761" t="s">
        <v>69</v>
      </c>
      <c r="Q12761">
        <v>116.68</v>
      </c>
      <c r="R12761" t="str">
        <f>"FARMÁCIA INDIANA LJ 257 (10267)"</f>
        <v>FARMÁCIA INDIANA LJ 257 (10267)</v>
      </c>
      <c r="S12761" t="s">
        <v>70</v>
      </c>
      <c r="T12761">
        <v>23431</v>
      </c>
      <c r="U12761">
        <v>25674</v>
      </c>
      <c r="V12761" t="s">
        <v>77</v>
      </c>
    </row>
    <row r="12762" spans="1:22">
      <c r="A12762" t="str">
        <f t="shared" si="2510"/>
        <v>26/11/2025</v>
      </c>
      <c r="B12762" t="str">
        <f t="shared" si="2512"/>
        <v>ENTRADA</v>
      </c>
      <c r="C12762" t="str">
        <f t="shared" si="2513"/>
        <v>NFSE</v>
      </c>
      <c r="D12762" t="str">
        <f t="shared" ref="D12762:D12775" si="2519">"3745"</f>
        <v>3745</v>
      </c>
      <c r="E12762" t="str">
        <f t="shared" si="2515"/>
        <v>1</v>
      </c>
      <c r="F12762" t="str">
        <f t="shared" si="2518"/>
        <v>COM</v>
      </c>
      <c r="G12762" t="str">
        <f t="shared" ref="G12762:G12775" si="2520">"FARMÁCIA INDIANA LJ 30 (10127)"</f>
        <v>FARMÁCIA INDIANA LJ 30 (10127)</v>
      </c>
      <c r="H12762" t="str">
        <f>"Serv.Prest. 10/11/2025 a 16/11/2025 - RPS: 1621 - NFSe: 3745"</f>
        <v>Serv.Prest. 10/11/2025 a 16/11/2025 - RPS: 1621 - NFSe: 3745</v>
      </c>
      <c r="I12762" t="str">
        <f t="shared" si="2511"/>
        <v>26/11/2025</v>
      </c>
      <c r="J12762" t="str">
        <f t="shared" si="2517"/>
        <v>18/11/2025</v>
      </c>
      <c r="K12762" t="str">
        <f>("26/11/2025")</f>
        <v>26/11/2025</v>
      </c>
      <c r="L12762">
        <v>26327.47</v>
      </c>
      <c r="M12762">
        <v>26327.47</v>
      </c>
      <c r="N12762">
        <v>303</v>
      </c>
      <c r="O12762" t="str">
        <f>"RECEITAS COM ENTREGAS"</f>
        <v>RECEITAS COM ENTREGAS</v>
      </c>
      <c r="P12762">
        <v>26327.47</v>
      </c>
      <c r="S12762" t="str">
        <f>"RECEITAS COM ENTREGAS (303)"</f>
        <v>RECEITAS COM ENTREGAS (303)</v>
      </c>
      <c r="T12762">
        <v>23432</v>
      </c>
      <c r="U12762">
        <v>25788</v>
      </c>
      <c r="V12762" t="s">
        <v>77</v>
      </c>
    </row>
    <row r="12763" spans="1:22">
      <c r="A12763" t="str">
        <f t="shared" si="2510"/>
        <v>26/11/2025</v>
      </c>
      <c r="B12763" t="str">
        <f t="shared" si="2512"/>
        <v>ENTRADA</v>
      </c>
      <c r="C12763" t="str">
        <f t="shared" si="2513"/>
        <v>NFSE</v>
      </c>
      <c r="D12763" t="str">
        <f t="shared" si="2519"/>
        <v>3745</v>
      </c>
      <c r="E12763" t="str">
        <f t="shared" si="2515"/>
        <v>1</v>
      </c>
      <c r="F12763" t="str">
        <f t="shared" si="2518"/>
        <v>COM</v>
      </c>
      <c r="G12763" t="str">
        <f t="shared" si="2520"/>
        <v>FARMÁCIA INDIANA LJ 30 (10127)</v>
      </c>
      <c r="H12763" t="s">
        <v>3441</v>
      </c>
      <c r="I12763" t="str">
        <f t="shared" si="2511"/>
        <v>26/11/2025</v>
      </c>
      <c r="J12763" t="str">
        <f t="shared" si="2517"/>
        <v>18/11/2025</v>
      </c>
      <c r="K12763">
        <v>45987</v>
      </c>
      <c r="N12763">
        <v>303</v>
      </c>
      <c r="O12763" t="s">
        <v>69</v>
      </c>
      <c r="Q12763">
        <v>2648.54</v>
      </c>
      <c r="R12763" t="str">
        <f>"FARMÁCIA INDIANA LJ 34 (10014)"</f>
        <v>FARMÁCIA INDIANA LJ 34 (10014)</v>
      </c>
      <c r="S12763" t="s">
        <v>70</v>
      </c>
      <c r="T12763">
        <v>23432</v>
      </c>
      <c r="U12763">
        <v>25788</v>
      </c>
      <c r="V12763" t="s">
        <v>77</v>
      </c>
    </row>
    <row r="12764" spans="1:22">
      <c r="A12764" t="str">
        <f t="shared" ref="A12764:A12786" si="2521">("26/11/2025")</f>
        <v>26/11/2025</v>
      </c>
      <c r="B12764" t="str">
        <f t="shared" si="2512"/>
        <v>ENTRADA</v>
      </c>
      <c r="C12764" t="str">
        <f t="shared" si="2513"/>
        <v>NFSE</v>
      </c>
      <c r="D12764" t="str">
        <f t="shared" si="2519"/>
        <v>3745</v>
      </c>
      <c r="E12764" t="str">
        <f t="shared" si="2515"/>
        <v>1</v>
      </c>
      <c r="F12764" t="str">
        <f t="shared" si="2518"/>
        <v>COM</v>
      </c>
      <c r="G12764" t="str">
        <f t="shared" si="2520"/>
        <v>FARMÁCIA INDIANA LJ 30 (10127)</v>
      </c>
      <c r="H12764" t="s">
        <v>3441</v>
      </c>
      <c r="I12764" t="str">
        <f t="shared" si="2511"/>
        <v>26/11/2025</v>
      </c>
      <c r="J12764" t="str">
        <f t="shared" si="2517"/>
        <v>18/11/2025</v>
      </c>
      <c r="K12764">
        <v>45987</v>
      </c>
      <c r="N12764">
        <v>303</v>
      </c>
      <c r="O12764" t="s">
        <v>69</v>
      </c>
      <c r="Q12764">
        <v>1511.2</v>
      </c>
      <c r="R12764" t="str">
        <f>"FARMÁCIA INDIANA LJ 35 (10015)"</f>
        <v>FARMÁCIA INDIANA LJ 35 (10015)</v>
      </c>
      <c r="S12764" t="s">
        <v>70</v>
      </c>
      <c r="T12764">
        <v>23432</v>
      </c>
      <c r="U12764">
        <v>25788</v>
      </c>
      <c r="V12764" t="s">
        <v>77</v>
      </c>
    </row>
    <row r="12765" spans="1:22">
      <c r="A12765" t="str">
        <f t="shared" si="2521"/>
        <v>26/11/2025</v>
      </c>
      <c r="B12765" t="str">
        <f t="shared" si="2512"/>
        <v>ENTRADA</v>
      </c>
      <c r="C12765" t="str">
        <f t="shared" si="2513"/>
        <v>NFSE</v>
      </c>
      <c r="D12765" t="str">
        <f t="shared" si="2519"/>
        <v>3745</v>
      </c>
      <c r="E12765" t="str">
        <f t="shared" si="2515"/>
        <v>1</v>
      </c>
      <c r="F12765" t="str">
        <f t="shared" si="2518"/>
        <v>COM</v>
      </c>
      <c r="G12765" t="str">
        <f t="shared" si="2520"/>
        <v>FARMÁCIA INDIANA LJ 30 (10127)</v>
      </c>
      <c r="H12765" t="s">
        <v>3441</v>
      </c>
      <c r="I12765" t="str">
        <f t="shared" si="2511"/>
        <v>26/11/2025</v>
      </c>
      <c r="J12765" t="str">
        <f t="shared" si="2517"/>
        <v>18/11/2025</v>
      </c>
      <c r="K12765">
        <v>45987</v>
      </c>
      <c r="N12765">
        <v>303</v>
      </c>
      <c r="O12765" t="s">
        <v>69</v>
      </c>
      <c r="Q12765">
        <v>2698.57</v>
      </c>
      <c r="R12765" t="str">
        <f>"FARMÁCIA INDIANA LJ 48 (10018)"</f>
        <v>FARMÁCIA INDIANA LJ 48 (10018)</v>
      </c>
      <c r="S12765" t="s">
        <v>70</v>
      </c>
      <c r="T12765">
        <v>23432</v>
      </c>
      <c r="U12765">
        <v>25788</v>
      </c>
      <c r="V12765" t="s">
        <v>77</v>
      </c>
    </row>
    <row r="12766" spans="1:22">
      <c r="A12766" t="str">
        <f t="shared" si="2521"/>
        <v>26/11/2025</v>
      </c>
      <c r="B12766" t="str">
        <f t="shared" si="2512"/>
        <v>ENTRADA</v>
      </c>
      <c r="C12766" t="str">
        <f t="shared" si="2513"/>
        <v>NFSE</v>
      </c>
      <c r="D12766" t="str">
        <f t="shared" si="2519"/>
        <v>3745</v>
      </c>
      <c r="E12766" t="str">
        <f t="shared" si="2515"/>
        <v>1</v>
      </c>
      <c r="F12766" t="str">
        <f t="shared" si="2518"/>
        <v>COM</v>
      </c>
      <c r="G12766" t="str">
        <f t="shared" si="2520"/>
        <v>FARMÁCIA INDIANA LJ 30 (10127)</v>
      </c>
      <c r="H12766" t="s">
        <v>3441</v>
      </c>
      <c r="I12766" t="str">
        <f t="shared" si="2511"/>
        <v>26/11/2025</v>
      </c>
      <c r="J12766" t="str">
        <f t="shared" si="2517"/>
        <v>18/11/2025</v>
      </c>
      <c r="K12766">
        <v>45987</v>
      </c>
      <c r="N12766">
        <v>303</v>
      </c>
      <c r="O12766" t="s">
        <v>69</v>
      </c>
      <c r="Q12766">
        <v>3138.23</v>
      </c>
      <c r="R12766" t="str">
        <f>"FARMÁCIA INDIANA LJ 65 (10030)"</f>
        <v>FARMÁCIA INDIANA LJ 65 (10030)</v>
      </c>
      <c r="S12766" t="s">
        <v>70</v>
      </c>
      <c r="T12766">
        <v>23432</v>
      </c>
      <c r="U12766">
        <v>25788</v>
      </c>
      <c r="V12766" t="s">
        <v>77</v>
      </c>
    </row>
    <row r="12767" spans="1:22">
      <c r="A12767" t="str">
        <f t="shared" si="2521"/>
        <v>26/11/2025</v>
      </c>
      <c r="B12767" t="str">
        <f t="shared" si="2512"/>
        <v>ENTRADA</v>
      </c>
      <c r="C12767" t="str">
        <f t="shared" si="2513"/>
        <v>NFSE</v>
      </c>
      <c r="D12767" t="str">
        <f t="shared" si="2519"/>
        <v>3745</v>
      </c>
      <c r="E12767" t="str">
        <f t="shared" si="2515"/>
        <v>1</v>
      </c>
      <c r="F12767" t="str">
        <f t="shared" si="2518"/>
        <v>COM</v>
      </c>
      <c r="G12767" t="str">
        <f t="shared" si="2520"/>
        <v>FARMÁCIA INDIANA LJ 30 (10127)</v>
      </c>
      <c r="H12767" t="s">
        <v>3441</v>
      </c>
      <c r="I12767" t="str">
        <f t="shared" si="2511"/>
        <v>26/11/2025</v>
      </c>
      <c r="J12767" t="str">
        <f t="shared" si="2517"/>
        <v>18/11/2025</v>
      </c>
      <c r="K12767">
        <v>45987</v>
      </c>
      <c r="N12767">
        <v>303</v>
      </c>
      <c r="O12767" t="s">
        <v>69</v>
      </c>
      <c r="Q12767">
        <v>771.39</v>
      </c>
      <c r="R12767" t="str">
        <f>"FARMÁCIA INDIANA LJ 77 (10034)"</f>
        <v>FARMÁCIA INDIANA LJ 77 (10034)</v>
      </c>
      <c r="S12767" t="s">
        <v>70</v>
      </c>
      <c r="T12767">
        <v>23432</v>
      </c>
      <c r="U12767">
        <v>25788</v>
      </c>
      <c r="V12767" t="s">
        <v>77</v>
      </c>
    </row>
    <row r="12768" spans="1:22">
      <c r="A12768" t="str">
        <f t="shared" si="2521"/>
        <v>26/11/2025</v>
      </c>
      <c r="B12768" t="str">
        <f t="shared" si="2512"/>
        <v>ENTRADA</v>
      </c>
      <c r="C12768" t="str">
        <f t="shared" si="2513"/>
        <v>NFSE</v>
      </c>
      <c r="D12768" t="str">
        <f t="shared" si="2519"/>
        <v>3745</v>
      </c>
      <c r="E12768" t="str">
        <f t="shared" si="2515"/>
        <v>1</v>
      </c>
      <c r="F12768" t="str">
        <f t="shared" si="2518"/>
        <v>COM</v>
      </c>
      <c r="G12768" t="str">
        <f t="shared" si="2520"/>
        <v>FARMÁCIA INDIANA LJ 30 (10127)</v>
      </c>
      <c r="H12768" t="s">
        <v>3441</v>
      </c>
      <c r="I12768" t="str">
        <f t="shared" si="2511"/>
        <v>26/11/2025</v>
      </c>
      <c r="J12768" t="str">
        <f t="shared" si="2517"/>
        <v>18/11/2025</v>
      </c>
      <c r="K12768">
        <v>45987</v>
      </c>
      <c r="N12768">
        <v>303</v>
      </c>
      <c r="O12768" t="s">
        <v>69</v>
      </c>
      <c r="Q12768">
        <v>5441.89</v>
      </c>
      <c r="R12768" t="str">
        <f>"FARMÁCIA INDIANA LJ 91 (10037)"</f>
        <v>FARMÁCIA INDIANA LJ 91 (10037)</v>
      </c>
      <c r="S12768" t="s">
        <v>70</v>
      </c>
      <c r="T12768">
        <v>23432</v>
      </c>
      <c r="U12768">
        <v>25788</v>
      </c>
      <c r="V12768" t="s">
        <v>77</v>
      </c>
    </row>
    <row r="12769" spans="1:22">
      <c r="A12769" t="str">
        <f t="shared" si="2521"/>
        <v>26/11/2025</v>
      </c>
      <c r="B12769" t="str">
        <f t="shared" si="2512"/>
        <v>ENTRADA</v>
      </c>
      <c r="C12769" t="str">
        <f t="shared" si="2513"/>
        <v>NFSE</v>
      </c>
      <c r="D12769" t="str">
        <f t="shared" si="2519"/>
        <v>3745</v>
      </c>
      <c r="E12769" t="str">
        <f t="shared" si="2515"/>
        <v>1</v>
      </c>
      <c r="F12769" t="str">
        <f t="shared" si="2518"/>
        <v>COM</v>
      </c>
      <c r="G12769" t="str">
        <f t="shared" si="2520"/>
        <v>FARMÁCIA INDIANA LJ 30 (10127)</v>
      </c>
      <c r="H12769" t="s">
        <v>3441</v>
      </c>
      <c r="I12769" t="str">
        <f t="shared" si="2511"/>
        <v>26/11/2025</v>
      </c>
      <c r="J12769" t="str">
        <f t="shared" si="2517"/>
        <v>18/11/2025</v>
      </c>
      <c r="K12769">
        <v>45987</v>
      </c>
      <c r="N12769">
        <v>303</v>
      </c>
      <c r="O12769" t="s">
        <v>69</v>
      </c>
      <c r="Q12769">
        <v>1727.08</v>
      </c>
      <c r="R12769" t="str">
        <f>"FARMÁCIA INDIANA LJ 95 (10039)"</f>
        <v>FARMÁCIA INDIANA LJ 95 (10039)</v>
      </c>
      <c r="S12769" t="s">
        <v>70</v>
      </c>
      <c r="T12769">
        <v>23432</v>
      </c>
      <c r="U12769">
        <v>25788</v>
      </c>
      <c r="V12769" t="s">
        <v>77</v>
      </c>
    </row>
    <row r="12770" spans="1:22">
      <c r="A12770" t="str">
        <f t="shared" si="2521"/>
        <v>26/11/2025</v>
      </c>
      <c r="B12770" t="str">
        <f t="shared" si="2512"/>
        <v>ENTRADA</v>
      </c>
      <c r="C12770" t="str">
        <f t="shared" si="2513"/>
        <v>NFSE</v>
      </c>
      <c r="D12770" t="str">
        <f t="shared" si="2519"/>
        <v>3745</v>
      </c>
      <c r="E12770" t="str">
        <f t="shared" si="2515"/>
        <v>1</v>
      </c>
      <c r="F12770" t="str">
        <f t="shared" si="2518"/>
        <v>COM</v>
      </c>
      <c r="G12770" t="str">
        <f t="shared" si="2520"/>
        <v>FARMÁCIA INDIANA LJ 30 (10127)</v>
      </c>
      <c r="H12770" t="s">
        <v>3441</v>
      </c>
      <c r="I12770" t="str">
        <f t="shared" si="2511"/>
        <v>26/11/2025</v>
      </c>
      <c r="J12770" t="str">
        <f t="shared" si="2517"/>
        <v>18/11/2025</v>
      </c>
      <c r="K12770">
        <v>45987</v>
      </c>
      <c r="N12770">
        <v>303</v>
      </c>
      <c r="O12770" t="s">
        <v>69</v>
      </c>
      <c r="Q12770">
        <v>2527.44</v>
      </c>
      <c r="R12770" t="str">
        <f>"FARMÁCIA INDIANA LJ 145 (10068)"</f>
        <v>FARMÁCIA INDIANA LJ 145 (10068)</v>
      </c>
      <c r="S12770" t="s">
        <v>70</v>
      </c>
      <c r="T12770">
        <v>23432</v>
      </c>
      <c r="U12770">
        <v>25788</v>
      </c>
      <c r="V12770" t="s">
        <v>77</v>
      </c>
    </row>
    <row r="12771" spans="1:22">
      <c r="A12771" t="str">
        <f t="shared" si="2521"/>
        <v>26/11/2025</v>
      </c>
      <c r="B12771" t="str">
        <f t="shared" si="2512"/>
        <v>ENTRADA</v>
      </c>
      <c r="C12771" t="str">
        <f t="shared" si="2513"/>
        <v>NFSE</v>
      </c>
      <c r="D12771" t="str">
        <f t="shared" si="2519"/>
        <v>3745</v>
      </c>
      <c r="E12771" t="str">
        <f t="shared" si="2515"/>
        <v>1</v>
      </c>
      <c r="F12771" t="str">
        <f t="shared" si="2518"/>
        <v>COM</v>
      </c>
      <c r="G12771" t="str">
        <f t="shared" si="2520"/>
        <v>FARMÁCIA INDIANA LJ 30 (10127)</v>
      </c>
      <c r="H12771" t="s">
        <v>3441</v>
      </c>
      <c r="I12771" t="str">
        <f t="shared" si="2511"/>
        <v>26/11/2025</v>
      </c>
      <c r="J12771" t="str">
        <f t="shared" si="2517"/>
        <v>18/11/2025</v>
      </c>
      <c r="K12771">
        <v>45987</v>
      </c>
      <c r="N12771">
        <v>303</v>
      </c>
      <c r="O12771" t="s">
        <v>69</v>
      </c>
      <c r="Q12771">
        <v>1232.1300000000001</v>
      </c>
      <c r="R12771" t="str">
        <f>"FARMÁCIA INDIANA LJ 169 (10073)"</f>
        <v>FARMÁCIA INDIANA LJ 169 (10073)</v>
      </c>
      <c r="S12771" t="s">
        <v>70</v>
      </c>
      <c r="T12771">
        <v>23432</v>
      </c>
      <c r="U12771">
        <v>25788</v>
      </c>
      <c r="V12771" t="s">
        <v>77</v>
      </c>
    </row>
    <row r="12772" spans="1:22">
      <c r="A12772" t="str">
        <f t="shared" si="2521"/>
        <v>26/11/2025</v>
      </c>
      <c r="B12772" t="str">
        <f t="shared" si="2512"/>
        <v>ENTRADA</v>
      </c>
      <c r="C12772" t="str">
        <f t="shared" si="2513"/>
        <v>NFSE</v>
      </c>
      <c r="D12772" t="str">
        <f t="shared" si="2519"/>
        <v>3745</v>
      </c>
      <c r="E12772" t="str">
        <f t="shared" si="2515"/>
        <v>1</v>
      </c>
      <c r="F12772" t="str">
        <f t="shared" si="2518"/>
        <v>COM</v>
      </c>
      <c r="G12772" t="str">
        <f t="shared" si="2520"/>
        <v>FARMÁCIA INDIANA LJ 30 (10127)</v>
      </c>
      <c r="H12772" t="s">
        <v>3441</v>
      </c>
      <c r="I12772" t="str">
        <f t="shared" ref="I12772:I12786" si="2522">("26/11/2025")</f>
        <v>26/11/2025</v>
      </c>
      <c r="J12772" t="str">
        <f t="shared" si="2517"/>
        <v>18/11/2025</v>
      </c>
      <c r="K12772">
        <v>45987</v>
      </c>
      <c r="N12772">
        <v>303</v>
      </c>
      <c r="O12772" t="s">
        <v>69</v>
      </c>
      <c r="Q12772">
        <v>1569.12</v>
      </c>
      <c r="R12772" t="str">
        <f>"FARMÁCIA INDIANA LJ 173 (10075)"</f>
        <v>FARMÁCIA INDIANA LJ 173 (10075)</v>
      </c>
      <c r="S12772" t="s">
        <v>70</v>
      </c>
      <c r="T12772">
        <v>23432</v>
      </c>
      <c r="U12772">
        <v>25788</v>
      </c>
      <c r="V12772" t="s">
        <v>77</v>
      </c>
    </row>
    <row r="12773" spans="1:22">
      <c r="A12773" t="str">
        <f t="shared" si="2521"/>
        <v>26/11/2025</v>
      </c>
      <c r="B12773" t="str">
        <f t="shared" si="2512"/>
        <v>ENTRADA</v>
      </c>
      <c r="C12773" t="str">
        <f t="shared" si="2513"/>
        <v>NFSE</v>
      </c>
      <c r="D12773" t="str">
        <f t="shared" si="2519"/>
        <v>3745</v>
      </c>
      <c r="E12773" t="str">
        <f t="shared" si="2515"/>
        <v>1</v>
      </c>
      <c r="F12773" t="str">
        <f t="shared" si="2518"/>
        <v>COM</v>
      </c>
      <c r="G12773" t="str">
        <f t="shared" si="2520"/>
        <v>FARMÁCIA INDIANA LJ 30 (10127)</v>
      </c>
      <c r="H12773" t="s">
        <v>3441</v>
      </c>
      <c r="I12773" t="str">
        <f t="shared" si="2522"/>
        <v>26/11/2025</v>
      </c>
      <c r="J12773" t="str">
        <f t="shared" si="2517"/>
        <v>18/11/2025</v>
      </c>
      <c r="K12773">
        <v>45987</v>
      </c>
      <c r="N12773">
        <v>303</v>
      </c>
      <c r="O12773" t="s">
        <v>69</v>
      </c>
      <c r="Q12773">
        <v>1221.5899999999999</v>
      </c>
      <c r="R12773" t="str">
        <f>"FARMÁCIA INDIANA LJ 200 (10155)"</f>
        <v>FARMÁCIA INDIANA LJ 200 (10155)</v>
      </c>
      <c r="S12773" t="s">
        <v>70</v>
      </c>
      <c r="T12773">
        <v>23432</v>
      </c>
      <c r="U12773">
        <v>25788</v>
      </c>
      <c r="V12773" t="s">
        <v>77</v>
      </c>
    </row>
    <row r="12774" spans="1:22">
      <c r="A12774" t="str">
        <f t="shared" si="2521"/>
        <v>26/11/2025</v>
      </c>
      <c r="B12774" t="str">
        <f t="shared" si="2512"/>
        <v>ENTRADA</v>
      </c>
      <c r="C12774" t="str">
        <f t="shared" si="2513"/>
        <v>NFSE</v>
      </c>
      <c r="D12774" t="str">
        <f t="shared" si="2519"/>
        <v>3745</v>
      </c>
      <c r="E12774" t="str">
        <f t="shared" si="2515"/>
        <v>1</v>
      </c>
      <c r="F12774" t="str">
        <f t="shared" si="2518"/>
        <v>COM</v>
      </c>
      <c r="G12774" t="str">
        <f t="shared" si="2520"/>
        <v>FARMÁCIA INDIANA LJ 30 (10127)</v>
      </c>
      <c r="H12774" t="s">
        <v>3441</v>
      </c>
      <c r="I12774" t="str">
        <f t="shared" si="2522"/>
        <v>26/11/2025</v>
      </c>
      <c r="J12774" t="str">
        <f t="shared" si="2517"/>
        <v>18/11/2025</v>
      </c>
      <c r="K12774">
        <v>45987</v>
      </c>
      <c r="N12774">
        <v>303</v>
      </c>
      <c r="O12774" t="s">
        <v>69</v>
      </c>
      <c r="Q12774">
        <v>1113.6500000000001</v>
      </c>
      <c r="R12774" t="str">
        <f>"FARMÁCIA INDIANA LJ 33 (10187)"</f>
        <v>FARMÁCIA INDIANA LJ 33 (10187)</v>
      </c>
      <c r="S12774" t="s">
        <v>70</v>
      </c>
      <c r="T12774">
        <v>23432</v>
      </c>
      <c r="U12774">
        <v>25788</v>
      </c>
      <c r="V12774" t="s">
        <v>77</v>
      </c>
    </row>
    <row r="12775" spans="1:22">
      <c r="A12775" t="str">
        <f t="shared" si="2521"/>
        <v>26/11/2025</v>
      </c>
      <c r="B12775" t="str">
        <f t="shared" si="2512"/>
        <v>ENTRADA</v>
      </c>
      <c r="C12775" t="str">
        <f t="shared" si="2513"/>
        <v>NFSE</v>
      </c>
      <c r="D12775" t="str">
        <f t="shared" si="2519"/>
        <v>3745</v>
      </c>
      <c r="E12775" t="str">
        <f t="shared" si="2515"/>
        <v>1</v>
      </c>
      <c r="F12775" t="str">
        <f t="shared" si="2518"/>
        <v>COM</v>
      </c>
      <c r="G12775" t="str">
        <f t="shared" si="2520"/>
        <v>FARMÁCIA INDIANA LJ 30 (10127)</v>
      </c>
      <c r="H12775" t="s">
        <v>3441</v>
      </c>
      <c r="I12775" t="str">
        <f t="shared" si="2522"/>
        <v>26/11/2025</v>
      </c>
      <c r="J12775" t="str">
        <f t="shared" si="2517"/>
        <v>18/11/2025</v>
      </c>
      <c r="K12775">
        <v>45987</v>
      </c>
      <c r="N12775">
        <v>303</v>
      </c>
      <c r="O12775" t="s">
        <v>69</v>
      </c>
      <c r="Q12775">
        <v>726.64</v>
      </c>
      <c r="R12775" t="str">
        <f>"FARMÁCIA INDIANA LJ 283 (10268)"</f>
        <v>FARMÁCIA INDIANA LJ 283 (10268)</v>
      </c>
      <c r="S12775" t="s">
        <v>70</v>
      </c>
      <c r="T12775">
        <v>23432</v>
      </c>
      <c r="U12775">
        <v>25788</v>
      </c>
      <c r="V12775" t="s">
        <v>77</v>
      </c>
    </row>
    <row r="12776" spans="1:22">
      <c r="A12776" t="str">
        <f t="shared" si="2521"/>
        <v>26/11/2025</v>
      </c>
      <c r="B12776" t="str">
        <f t="shared" si="2512"/>
        <v>ENTRADA</v>
      </c>
      <c r="C12776" t="str">
        <f t="shared" si="2513"/>
        <v>NFSE</v>
      </c>
      <c r="D12776" t="str">
        <f t="shared" ref="D12776:D12786" si="2523">"3746"</f>
        <v>3746</v>
      </c>
      <c r="E12776" t="str">
        <f t="shared" si="2515"/>
        <v>1</v>
      </c>
      <c r="F12776" t="str">
        <f t="shared" si="2518"/>
        <v>COM</v>
      </c>
      <c r="G12776" t="str">
        <f t="shared" ref="G12776:G12786" si="2524">"FARMÁCIA INDIANA LJ 85 (10128)"</f>
        <v>FARMÁCIA INDIANA LJ 85 (10128)</v>
      </c>
      <c r="H12776" t="str">
        <f>"Serv.Prest. 10/11/2025 a 16/11/2025 - RPS: 1622 - NFSe: 3746"</f>
        <v>Serv.Prest. 10/11/2025 a 16/11/2025 - RPS: 1622 - NFSe: 3746</v>
      </c>
      <c r="I12776" t="str">
        <f t="shared" si="2522"/>
        <v>26/11/2025</v>
      </c>
      <c r="J12776" t="str">
        <f t="shared" si="2517"/>
        <v>18/11/2025</v>
      </c>
      <c r="K12776" t="str">
        <f>("26/11/2025")</f>
        <v>26/11/2025</v>
      </c>
      <c r="L12776">
        <v>9077.7199999999993</v>
      </c>
      <c r="M12776">
        <v>9077.7199999999993</v>
      </c>
      <c r="N12776">
        <v>303</v>
      </c>
      <c r="O12776" t="str">
        <f>"RECEITAS COM ENTREGAS"</f>
        <v>RECEITAS COM ENTREGAS</v>
      </c>
      <c r="P12776">
        <v>9077.7199999999993</v>
      </c>
      <c r="S12776" t="str">
        <f>"RECEITAS COM ENTREGAS (303)"</f>
        <v>RECEITAS COM ENTREGAS (303)</v>
      </c>
      <c r="T12776">
        <v>23433</v>
      </c>
      <c r="U12776">
        <v>25822</v>
      </c>
      <c r="V12776" t="s">
        <v>77</v>
      </c>
    </row>
    <row r="12777" spans="1:22">
      <c r="A12777" t="str">
        <f t="shared" si="2521"/>
        <v>26/11/2025</v>
      </c>
      <c r="B12777" t="str">
        <f t="shared" ref="B12777:B12786" si="2525">"ENTRADA"</f>
        <v>ENTRADA</v>
      </c>
      <c r="C12777" t="str">
        <f t="shared" ref="C12777:C12786" si="2526">"NFSE"</f>
        <v>NFSE</v>
      </c>
      <c r="D12777" t="str">
        <f t="shared" si="2523"/>
        <v>3746</v>
      </c>
      <c r="E12777" t="str">
        <f t="shared" ref="E12777:E12786" si="2527">"1"</f>
        <v>1</v>
      </c>
      <c r="F12777" t="str">
        <f t="shared" si="2518"/>
        <v>COM</v>
      </c>
      <c r="G12777" t="str">
        <f t="shared" si="2524"/>
        <v>FARMÁCIA INDIANA LJ 85 (10128)</v>
      </c>
      <c r="H12777" t="s">
        <v>3442</v>
      </c>
      <c r="I12777" t="str">
        <f t="shared" si="2522"/>
        <v>26/11/2025</v>
      </c>
      <c r="J12777" t="str">
        <f t="shared" ref="J12777:J12786" si="2528">("18/11/2025")</f>
        <v>18/11/2025</v>
      </c>
      <c r="K12777">
        <v>45987</v>
      </c>
      <c r="N12777">
        <v>303</v>
      </c>
      <c r="O12777" t="s">
        <v>69</v>
      </c>
      <c r="Q12777">
        <v>972.23</v>
      </c>
      <c r="R12777" t="str">
        <f>"FARMÁCIA INDIANA LJ 119 (10053)"</f>
        <v>FARMÁCIA INDIANA LJ 119 (10053)</v>
      </c>
      <c r="S12777" t="s">
        <v>70</v>
      </c>
      <c r="T12777">
        <v>23433</v>
      </c>
      <c r="U12777">
        <v>25822</v>
      </c>
      <c r="V12777" t="s">
        <v>77</v>
      </c>
    </row>
    <row r="12778" spans="1:22">
      <c r="A12778" t="str">
        <f t="shared" si="2521"/>
        <v>26/11/2025</v>
      </c>
      <c r="B12778" t="str">
        <f t="shared" si="2525"/>
        <v>ENTRADA</v>
      </c>
      <c r="C12778" t="str">
        <f t="shared" si="2526"/>
        <v>NFSE</v>
      </c>
      <c r="D12778" t="str">
        <f t="shared" si="2523"/>
        <v>3746</v>
      </c>
      <c r="E12778" t="str">
        <f t="shared" si="2527"/>
        <v>1</v>
      </c>
      <c r="F12778" t="str">
        <f t="shared" si="2518"/>
        <v>COM</v>
      </c>
      <c r="G12778" t="str">
        <f t="shared" si="2524"/>
        <v>FARMÁCIA INDIANA LJ 85 (10128)</v>
      </c>
      <c r="H12778" t="s">
        <v>3442</v>
      </c>
      <c r="I12778" t="str">
        <f t="shared" si="2522"/>
        <v>26/11/2025</v>
      </c>
      <c r="J12778" t="str">
        <f t="shared" si="2528"/>
        <v>18/11/2025</v>
      </c>
      <c r="K12778">
        <v>45987</v>
      </c>
      <c r="N12778">
        <v>303</v>
      </c>
      <c r="O12778" t="s">
        <v>69</v>
      </c>
      <c r="Q12778">
        <v>849.67</v>
      </c>
      <c r="R12778" t="str">
        <f>"FARMÁCIA INDIANA LJ 163 (10072)"</f>
        <v>FARMÁCIA INDIANA LJ 163 (10072)</v>
      </c>
      <c r="S12778" t="s">
        <v>70</v>
      </c>
      <c r="T12778">
        <v>23433</v>
      </c>
      <c r="U12778">
        <v>25822</v>
      </c>
      <c r="V12778" t="s">
        <v>77</v>
      </c>
    </row>
    <row r="12779" spans="1:22">
      <c r="A12779" t="str">
        <f t="shared" si="2521"/>
        <v>26/11/2025</v>
      </c>
      <c r="B12779" t="str">
        <f t="shared" si="2525"/>
        <v>ENTRADA</v>
      </c>
      <c r="C12779" t="str">
        <f t="shared" si="2526"/>
        <v>NFSE</v>
      </c>
      <c r="D12779" t="str">
        <f t="shared" si="2523"/>
        <v>3746</v>
      </c>
      <c r="E12779" t="str">
        <f t="shared" si="2527"/>
        <v>1</v>
      </c>
      <c r="F12779" t="str">
        <f t="shared" si="2518"/>
        <v>COM</v>
      </c>
      <c r="G12779" t="str">
        <f t="shared" si="2524"/>
        <v>FARMÁCIA INDIANA LJ 85 (10128)</v>
      </c>
      <c r="H12779" t="s">
        <v>3442</v>
      </c>
      <c r="I12779" t="str">
        <f t="shared" si="2522"/>
        <v>26/11/2025</v>
      </c>
      <c r="J12779" t="str">
        <f t="shared" si="2528"/>
        <v>18/11/2025</v>
      </c>
      <c r="K12779">
        <v>45987</v>
      </c>
      <c r="N12779">
        <v>303</v>
      </c>
      <c r="O12779" t="s">
        <v>69</v>
      </c>
      <c r="Q12779">
        <v>1760.17</v>
      </c>
      <c r="R12779" t="str">
        <f>"FARMÁCIA INDIANA LJ 181 (10078)"</f>
        <v>FARMÁCIA INDIANA LJ 181 (10078)</v>
      </c>
      <c r="S12779" t="s">
        <v>70</v>
      </c>
      <c r="T12779">
        <v>23433</v>
      </c>
      <c r="U12779">
        <v>25822</v>
      </c>
      <c r="V12779" t="s">
        <v>77</v>
      </c>
    </row>
    <row r="12780" spans="1:22">
      <c r="A12780" t="str">
        <f t="shared" si="2521"/>
        <v>26/11/2025</v>
      </c>
      <c r="B12780" t="str">
        <f t="shared" si="2525"/>
        <v>ENTRADA</v>
      </c>
      <c r="C12780" t="str">
        <f t="shared" si="2526"/>
        <v>NFSE</v>
      </c>
      <c r="D12780" t="str">
        <f t="shared" si="2523"/>
        <v>3746</v>
      </c>
      <c r="E12780" t="str">
        <f t="shared" si="2527"/>
        <v>1</v>
      </c>
      <c r="F12780" t="str">
        <f t="shared" si="2518"/>
        <v>COM</v>
      </c>
      <c r="G12780" t="str">
        <f t="shared" si="2524"/>
        <v>FARMÁCIA INDIANA LJ 85 (10128)</v>
      </c>
      <c r="H12780" t="s">
        <v>3442</v>
      </c>
      <c r="I12780" t="str">
        <f t="shared" si="2522"/>
        <v>26/11/2025</v>
      </c>
      <c r="J12780" t="str">
        <f t="shared" si="2528"/>
        <v>18/11/2025</v>
      </c>
      <c r="K12780">
        <v>45987</v>
      </c>
      <c r="N12780">
        <v>303</v>
      </c>
      <c r="O12780" t="s">
        <v>69</v>
      </c>
      <c r="Q12780">
        <v>970.41</v>
      </c>
      <c r="R12780" t="str">
        <f>"FARMÁCIA INDIANA LJ 221 (10093)"</f>
        <v>FARMÁCIA INDIANA LJ 221 (10093)</v>
      </c>
      <c r="S12780" t="s">
        <v>70</v>
      </c>
      <c r="T12780">
        <v>23433</v>
      </c>
      <c r="U12780">
        <v>25822</v>
      </c>
      <c r="V12780" t="s">
        <v>77</v>
      </c>
    </row>
    <row r="12781" spans="1:22">
      <c r="A12781" t="str">
        <f t="shared" si="2521"/>
        <v>26/11/2025</v>
      </c>
      <c r="B12781" t="str">
        <f t="shared" si="2525"/>
        <v>ENTRADA</v>
      </c>
      <c r="C12781" t="str">
        <f t="shared" si="2526"/>
        <v>NFSE</v>
      </c>
      <c r="D12781" t="str">
        <f t="shared" si="2523"/>
        <v>3746</v>
      </c>
      <c r="E12781" t="str">
        <f t="shared" si="2527"/>
        <v>1</v>
      </c>
      <c r="F12781" t="str">
        <f t="shared" si="2518"/>
        <v>COM</v>
      </c>
      <c r="G12781" t="str">
        <f t="shared" si="2524"/>
        <v>FARMÁCIA INDIANA LJ 85 (10128)</v>
      </c>
      <c r="H12781" t="s">
        <v>3442</v>
      </c>
      <c r="I12781" t="str">
        <f t="shared" si="2522"/>
        <v>26/11/2025</v>
      </c>
      <c r="J12781" t="str">
        <f t="shared" si="2528"/>
        <v>18/11/2025</v>
      </c>
      <c r="K12781">
        <v>45987</v>
      </c>
      <c r="N12781">
        <v>303</v>
      </c>
      <c r="O12781" t="s">
        <v>69</v>
      </c>
      <c r="Q12781">
        <v>1081.1600000000001</v>
      </c>
      <c r="R12781" t="str">
        <f>"FARMÁCIA INDIANA LJ 243 (10142)"</f>
        <v>FARMÁCIA INDIANA LJ 243 (10142)</v>
      </c>
      <c r="S12781" t="s">
        <v>70</v>
      </c>
      <c r="T12781">
        <v>23433</v>
      </c>
      <c r="U12781">
        <v>25822</v>
      </c>
      <c r="V12781" t="s">
        <v>77</v>
      </c>
    </row>
    <row r="12782" spans="1:22">
      <c r="A12782" t="str">
        <f t="shared" si="2521"/>
        <v>26/11/2025</v>
      </c>
      <c r="B12782" t="str">
        <f t="shared" si="2525"/>
        <v>ENTRADA</v>
      </c>
      <c r="C12782" t="str">
        <f t="shared" si="2526"/>
        <v>NFSE</v>
      </c>
      <c r="D12782" t="str">
        <f t="shared" si="2523"/>
        <v>3746</v>
      </c>
      <c r="E12782" t="str">
        <f t="shared" si="2527"/>
        <v>1</v>
      </c>
      <c r="F12782" t="str">
        <f t="shared" si="2518"/>
        <v>COM</v>
      </c>
      <c r="G12782" t="str">
        <f t="shared" si="2524"/>
        <v>FARMÁCIA INDIANA LJ 85 (10128)</v>
      </c>
      <c r="H12782" t="s">
        <v>3442</v>
      </c>
      <c r="I12782" t="str">
        <f t="shared" si="2522"/>
        <v>26/11/2025</v>
      </c>
      <c r="J12782" t="str">
        <f t="shared" si="2528"/>
        <v>18/11/2025</v>
      </c>
      <c r="K12782">
        <v>45987</v>
      </c>
      <c r="N12782">
        <v>303</v>
      </c>
      <c r="O12782" t="s">
        <v>69</v>
      </c>
      <c r="Q12782">
        <v>516.52</v>
      </c>
      <c r="R12782" t="str">
        <f>"FARMÁCIA INDIANA LJ 211 (10168)"</f>
        <v>FARMÁCIA INDIANA LJ 211 (10168)</v>
      </c>
      <c r="S12782" t="s">
        <v>70</v>
      </c>
      <c r="T12782">
        <v>23433</v>
      </c>
      <c r="U12782">
        <v>25822</v>
      </c>
      <c r="V12782" t="s">
        <v>77</v>
      </c>
    </row>
    <row r="12783" spans="1:22">
      <c r="A12783" t="str">
        <f t="shared" si="2521"/>
        <v>26/11/2025</v>
      </c>
      <c r="B12783" t="str">
        <f t="shared" si="2525"/>
        <v>ENTRADA</v>
      </c>
      <c r="C12783" t="str">
        <f t="shared" si="2526"/>
        <v>NFSE</v>
      </c>
      <c r="D12783" t="str">
        <f t="shared" si="2523"/>
        <v>3746</v>
      </c>
      <c r="E12783" t="str">
        <f t="shared" si="2527"/>
        <v>1</v>
      </c>
      <c r="F12783" t="str">
        <f t="shared" si="2518"/>
        <v>COM</v>
      </c>
      <c r="G12783" t="str">
        <f t="shared" si="2524"/>
        <v>FARMÁCIA INDIANA LJ 85 (10128)</v>
      </c>
      <c r="H12783" t="s">
        <v>3442</v>
      </c>
      <c r="I12783" t="str">
        <f t="shared" si="2522"/>
        <v>26/11/2025</v>
      </c>
      <c r="J12783" t="str">
        <f t="shared" si="2528"/>
        <v>18/11/2025</v>
      </c>
      <c r="K12783">
        <v>45987</v>
      </c>
      <c r="N12783">
        <v>303</v>
      </c>
      <c r="O12783" t="s">
        <v>69</v>
      </c>
      <c r="Q12783">
        <v>516.52</v>
      </c>
      <c r="R12783" t="str">
        <f>"FARMÁCIA INDIANA LJ 236 (10169)"</f>
        <v>FARMÁCIA INDIANA LJ 236 (10169)</v>
      </c>
      <c r="S12783" t="s">
        <v>70</v>
      </c>
      <c r="T12783">
        <v>23433</v>
      </c>
      <c r="U12783">
        <v>25822</v>
      </c>
      <c r="V12783" t="s">
        <v>77</v>
      </c>
    </row>
    <row r="12784" spans="1:22">
      <c r="A12784" t="str">
        <f t="shared" si="2521"/>
        <v>26/11/2025</v>
      </c>
      <c r="B12784" t="str">
        <f t="shared" si="2525"/>
        <v>ENTRADA</v>
      </c>
      <c r="C12784" t="str">
        <f t="shared" si="2526"/>
        <v>NFSE</v>
      </c>
      <c r="D12784" t="str">
        <f t="shared" si="2523"/>
        <v>3746</v>
      </c>
      <c r="E12784" t="str">
        <f t="shared" si="2527"/>
        <v>1</v>
      </c>
      <c r="F12784" t="str">
        <f t="shared" si="2518"/>
        <v>COM</v>
      </c>
      <c r="G12784" t="str">
        <f t="shared" si="2524"/>
        <v>FARMÁCIA INDIANA LJ 85 (10128)</v>
      </c>
      <c r="H12784" t="s">
        <v>3442</v>
      </c>
      <c r="I12784" t="str">
        <f t="shared" si="2522"/>
        <v>26/11/2025</v>
      </c>
      <c r="J12784" t="str">
        <f t="shared" si="2528"/>
        <v>18/11/2025</v>
      </c>
      <c r="K12784">
        <v>45987</v>
      </c>
      <c r="N12784">
        <v>303</v>
      </c>
      <c r="O12784" t="s">
        <v>69</v>
      </c>
      <c r="Q12784">
        <v>1033.95</v>
      </c>
      <c r="R12784" t="str">
        <f>"FARMÁCIA INDIANA LJ 188 (10176)"</f>
        <v>FARMÁCIA INDIANA LJ 188 (10176)</v>
      </c>
      <c r="S12784" t="s">
        <v>70</v>
      </c>
      <c r="T12784">
        <v>23433</v>
      </c>
      <c r="U12784">
        <v>25822</v>
      </c>
      <c r="V12784" t="s">
        <v>77</v>
      </c>
    </row>
    <row r="12785" spans="1:22">
      <c r="A12785" t="str">
        <f t="shared" si="2521"/>
        <v>26/11/2025</v>
      </c>
      <c r="B12785" t="str">
        <f t="shared" si="2525"/>
        <v>ENTRADA</v>
      </c>
      <c r="C12785" t="str">
        <f t="shared" si="2526"/>
        <v>NFSE</v>
      </c>
      <c r="D12785" t="str">
        <f t="shared" si="2523"/>
        <v>3746</v>
      </c>
      <c r="E12785" t="str">
        <f t="shared" si="2527"/>
        <v>1</v>
      </c>
      <c r="F12785" t="str">
        <f t="shared" si="2518"/>
        <v>COM</v>
      </c>
      <c r="G12785" t="str">
        <f t="shared" si="2524"/>
        <v>FARMÁCIA INDIANA LJ 85 (10128)</v>
      </c>
      <c r="H12785" t="s">
        <v>3442</v>
      </c>
      <c r="I12785" t="str">
        <f t="shared" si="2522"/>
        <v>26/11/2025</v>
      </c>
      <c r="J12785" t="str">
        <f t="shared" si="2528"/>
        <v>18/11/2025</v>
      </c>
      <c r="K12785">
        <v>45987</v>
      </c>
      <c r="N12785">
        <v>303</v>
      </c>
      <c r="O12785" t="s">
        <v>69</v>
      </c>
      <c r="Q12785">
        <v>1214.5999999999999</v>
      </c>
      <c r="R12785" t="str">
        <f>"FARMÁCIA INDIANA LJ 273 (10188)"</f>
        <v>FARMÁCIA INDIANA LJ 273 (10188)</v>
      </c>
      <c r="S12785" t="s">
        <v>70</v>
      </c>
      <c r="T12785">
        <v>23433</v>
      </c>
      <c r="U12785">
        <v>25822</v>
      </c>
      <c r="V12785" t="s">
        <v>77</v>
      </c>
    </row>
    <row r="12786" spans="1:22">
      <c r="A12786" t="str">
        <f t="shared" si="2521"/>
        <v>26/11/2025</v>
      </c>
      <c r="B12786" t="str">
        <f t="shared" si="2525"/>
        <v>ENTRADA</v>
      </c>
      <c r="C12786" t="str">
        <f t="shared" si="2526"/>
        <v>NFSE</v>
      </c>
      <c r="D12786" t="str">
        <f t="shared" si="2523"/>
        <v>3746</v>
      </c>
      <c r="E12786" t="str">
        <f t="shared" si="2527"/>
        <v>1</v>
      </c>
      <c r="F12786" t="str">
        <f t="shared" si="2518"/>
        <v>COM</v>
      </c>
      <c r="G12786" t="str">
        <f t="shared" si="2524"/>
        <v>FARMÁCIA INDIANA LJ 85 (10128)</v>
      </c>
      <c r="H12786" t="s">
        <v>3442</v>
      </c>
      <c r="I12786" t="str">
        <f t="shared" si="2522"/>
        <v>26/11/2025</v>
      </c>
      <c r="J12786" t="str">
        <f t="shared" si="2528"/>
        <v>18/11/2025</v>
      </c>
      <c r="K12786">
        <v>45987</v>
      </c>
      <c r="N12786">
        <v>303</v>
      </c>
      <c r="O12786" t="s">
        <v>69</v>
      </c>
      <c r="Q12786">
        <v>162.49</v>
      </c>
      <c r="R12786" t="str">
        <f>"FARMÁCIA INDIANA LJ 235 (10190)"</f>
        <v>FARMÁCIA INDIANA LJ 235 (10190)</v>
      </c>
      <c r="S12786" t="s">
        <v>70</v>
      </c>
      <c r="T12786">
        <v>23433</v>
      </c>
      <c r="U12786">
        <v>25822</v>
      </c>
      <c r="V12786" t="s">
        <v>77</v>
      </c>
    </row>
    <row r="12787" spans="1:22">
      <c r="A12787" t="str">
        <f t="shared" ref="A12787:A12850" si="2529">("27/11/2025")</f>
        <v>27/11/2025</v>
      </c>
      <c r="B12787" t="str">
        <f t="shared" ref="B12787:B12850" si="2530">"SAÍDA"</f>
        <v>SAÍDA</v>
      </c>
      <c r="C12787" t="str">
        <f t="shared" ref="C12787:C12850" si="2531">"PIX"</f>
        <v>PIX</v>
      </c>
      <c r="D12787" t="str">
        <f>"2310"</f>
        <v>2310</v>
      </c>
      <c r="E12787" t="str">
        <f>"29"</f>
        <v>29</v>
      </c>
      <c r="F12787" t="str">
        <f t="shared" si="2518"/>
        <v>COM</v>
      </c>
      <c r="G12787" t="str">
        <f>"51.114.831 TANIA CRISTINA JOAQUIM (20120)"</f>
        <v>51.114.831 TANIA CRISTINA JOAQUIM (20120)</v>
      </c>
      <c r="H12787" t="str">
        <f>"PAGAMENTO PRESTACAO DE SERVICOS - PIX CELULAR (11) 99181-5502"</f>
        <v>PAGAMENTO PRESTACAO DE SERVICOS - PIX CELULAR (11) 99181-5502</v>
      </c>
      <c r="I12787" t="str">
        <f t="shared" ref="I12787:I12850" si="2532">("27/11/2025")</f>
        <v>27/11/2025</v>
      </c>
      <c r="J12787" t="str">
        <f>("13/10/2025")</f>
        <v>13/10/2025</v>
      </c>
      <c r="K12787" t="str">
        <f>("27/11/2025")</f>
        <v>27/11/2025</v>
      </c>
      <c r="L12787">
        <v>625</v>
      </c>
      <c r="M12787">
        <v>625</v>
      </c>
      <c r="N12787">
        <v>114</v>
      </c>
      <c r="O12787" t="str">
        <f>"PRESTADORES DE SERVIÇOS"</f>
        <v>PRESTADORES DE SERVIÇOS</v>
      </c>
      <c r="P12787">
        <v>625</v>
      </c>
      <c r="S12787" t="str">
        <f>"BANCO C6 (149)"</f>
        <v>BANCO C6 (149)</v>
      </c>
      <c r="T12787">
        <v>22534</v>
      </c>
      <c r="U12787">
        <v>24545</v>
      </c>
      <c r="V12787" t="s">
        <v>77</v>
      </c>
    </row>
    <row r="12788" spans="1:22">
      <c r="A12788" t="str">
        <f t="shared" si="2529"/>
        <v>27/11/2025</v>
      </c>
      <c r="B12788" t="str">
        <f t="shared" si="2530"/>
        <v>SAÍDA</v>
      </c>
      <c r="C12788" t="str">
        <f t="shared" si="2531"/>
        <v>PIX</v>
      </c>
      <c r="D12788" t="str">
        <f>"2310"</f>
        <v>2310</v>
      </c>
      <c r="E12788" t="str">
        <f>"29"</f>
        <v>29</v>
      </c>
      <c r="F12788" t="str">
        <f t="shared" si="2518"/>
        <v>COM</v>
      </c>
      <c r="G12788" t="str">
        <f>"51.114.831 TANIA CRISTINA JOAQUIM (20120)"</f>
        <v>51.114.831 TANIA CRISTINA JOAQUIM (20120)</v>
      </c>
      <c r="H12788" t="s">
        <v>2001</v>
      </c>
      <c r="I12788" t="str">
        <f t="shared" si="2532"/>
        <v>27/11/2025</v>
      </c>
      <c r="J12788" t="str">
        <f>("13/10/2025")</f>
        <v>13/10/2025</v>
      </c>
      <c r="K12788">
        <v>45988</v>
      </c>
      <c r="N12788">
        <v>114</v>
      </c>
      <c r="O12788" t="s">
        <v>260</v>
      </c>
      <c r="Q12788">
        <v>625</v>
      </c>
      <c r="R12788" t="str">
        <f>"51.114.831 TANIA CRISTINA JOAQUIM (20120)"</f>
        <v>51.114.831 TANIA CRISTINA JOAQUIM (20120)</v>
      </c>
      <c r="S12788" t="s">
        <v>77</v>
      </c>
      <c r="T12788">
        <v>22534</v>
      </c>
      <c r="U12788">
        <v>24545</v>
      </c>
      <c r="V12788" t="s">
        <v>77</v>
      </c>
    </row>
    <row r="12789" spans="1:22">
      <c r="A12789" t="str">
        <f t="shared" si="2529"/>
        <v>27/11/2025</v>
      </c>
      <c r="B12789" t="str">
        <f t="shared" si="2530"/>
        <v>SAÍDA</v>
      </c>
      <c r="C12789" t="str">
        <f t="shared" si="2531"/>
        <v>PIX</v>
      </c>
      <c r="D12789" t="str">
        <f>"25675"</f>
        <v>25675</v>
      </c>
      <c r="E12789" t="str">
        <f t="shared" ref="E12789:E12820" si="2533">"1"</f>
        <v>1</v>
      </c>
      <c r="F12789" t="str">
        <f t="shared" si="2518"/>
        <v>COM</v>
      </c>
      <c r="G12789" t="str">
        <f>"ALISSON FELIPE GODINHO (219)"</f>
        <v>ALISSON FELIPE GODINHO (219)</v>
      </c>
      <c r="H12789" t="str">
        <f>"Serv.Prest. 10/11/2025 a 16/11/2025 - PIX: CELULAR - CHAVE: (33) 99877-0415"</f>
        <v>Serv.Prest. 10/11/2025 a 16/11/2025 - PIX: CELULAR - CHAVE: (33) 99877-0415</v>
      </c>
      <c r="I12789" t="str">
        <f t="shared" si="2532"/>
        <v>27/11/2025</v>
      </c>
      <c r="J12789" t="str">
        <f t="shared" ref="J12789:J12820" si="2534">("18/11/2025")</f>
        <v>18/11/2025</v>
      </c>
      <c r="K12789" t="str">
        <f>("27/11/2025")</f>
        <v>27/11/2025</v>
      </c>
      <c r="L12789">
        <v>2286</v>
      </c>
      <c r="M12789">
        <v>2286</v>
      </c>
      <c r="N12789">
        <v>109</v>
      </c>
      <c r="O12789" t="str">
        <f>"PAGAMENTO DE ENTREGADORES"</f>
        <v>PAGAMENTO DE ENTREGADORES</v>
      </c>
      <c r="P12789">
        <v>2286</v>
      </c>
      <c r="S12789" t="str">
        <f>"BANCO C6 (149)"</f>
        <v>BANCO C6 (149)</v>
      </c>
      <c r="T12789">
        <v>22535</v>
      </c>
      <c r="U12789">
        <v>25675</v>
      </c>
      <c r="V12789" t="s">
        <v>77</v>
      </c>
    </row>
    <row r="12790" spans="1:22">
      <c r="A12790" t="str">
        <f t="shared" si="2529"/>
        <v>27/11/2025</v>
      </c>
      <c r="B12790" t="str">
        <f t="shared" si="2530"/>
        <v>SAÍDA</v>
      </c>
      <c r="C12790" t="str">
        <f t="shared" si="2531"/>
        <v>PIX</v>
      </c>
      <c r="D12790" t="str">
        <f>"25675"</f>
        <v>25675</v>
      </c>
      <c r="E12790" t="str">
        <f t="shared" si="2533"/>
        <v>1</v>
      </c>
      <c r="F12790" t="str">
        <f t="shared" si="2518"/>
        <v>COM</v>
      </c>
      <c r="G12790" t="str">
        <f>"ALISSON FELIPE GODINHO (219)"</f>
        <v>ALISSON FELIPE GODINHO (219)</v>
      </c>
      <c r="H12790" t="s">
        <v>3443</v>
      </c>
      <c r="I12790" t="str">
        <f t="shared" si="2532"/>
        <v>27/11/2025</v>
      </c>
      <c r="J12790" t="str">
        <f t="shared" si="2534"/>
        <v>18/11/2025</v>
      </c>
      <c r="K12790">
        <v>45988</v>
      </c>
      <c r="N12790">
        <v>109</v>
      </c>
      <c r="O12790" t="s">
        <v>24</v>
      </c>
      <c r="Q12790">
        <v>2286</v>
      </c>
      <c r="R12790" t="str">
        <f>"FARMÁCIA INDIANA LJ 14 (10009)"</f>
        <v>FARMÁCIA INDIANA LJ 14 (10009)</v>
      </c>
      <c r="S12790" t="s">
        <v>77</v>
      </c>
      <c r="T12790">
        <v>22535</v>
      </c>
      <c r="U12790">
        <v>25675</v>
      </c>
      <c r="V12790" t="s">
        <v>77</v>
      </c>
    </row>
    <row r="12791" spans="1:22">
      <c r="A12791" t="str">
        <f t="shared" si="2529"/>
        <v>27/11/2025</v>
      </c>
      <c r="B12791" t="str">
        <f t="shared" si="2530"/>
        <v>SAÍDA</v>
      </c>
      <c r="C12791" t="str">
        <f t="shared" si="2531"/>
        <v>PIX</v>
      </c>
      <c r="D12791" t="str">
        <f>"25676"</f>
        <v>25676</v>
      </c>
      <c r="E12791" t="str">
        <f t="shared" si="2533"/>
        <v>1</v>
      </c>
      <c r="F12791" t="str">
        <f t="shared" si="2518"/>
        <v>COM</v>
      </c>
      <c r="G12791" t="str">
        <f>"AMANDA VERÍSSIMO FERREIRA (794)"</f>
        <v>AMANDA VERÍSSIMO FERREIRA (794)</v>
      </c>
      <c r="H12791" t="str">
        <f>"Serv.Prest. 10/11/2025 a 16/11/2025 - PIX: CPF - CHAVE: 099.626.666-60"</f>
        <v>Serv.Prest. 10/11/2025 a 16/11/2025 - PIX: CPF - CHAVE: 099.626.666-60</v>
      </c>
      <c r="I12791" t="str">
        <f t="shared" si="2532"/>
        <v>27/11/2025</v>
      </c>
      <c r="J12791" t="str">
        <f t="shared" si="2534"/>
        <v>18/11/2025</v>
      </c>
      <c r="K12791" t="str">
        <f>("27/11/2025")</f>
        <v>27/11/2025</v>
      </c>
      <c r="L12791">
        <v>750</v>
      </c>
      <c r="M12791">
        <v>750</v>
      </c>
      <c r="N12791">
        <v>109</v>
      </c>
      <c r="O12791" t="str">
        <f>"PAGAMENTO DE ENTREGADORES"</f>
        <v>PAGAMENTO DE ENTREGADORES</v>
      </c>
      <c r="P12791">
        <v>750</v>
      </c>
      <c r="S12791" t="str">
        <f>"BANCO C6 (149)"</f>
        <v>BANCO C6 (149)</v>
      </c>
      <c r="T12791">
        <v>22536</v>
      </c>
      <c r="U12791">
        <v>25676</v>
      </c>
      <c r="V12791" t="s">
        <v>77</v>
      </c>
    </row>
    <row r="12792" spans="1:22">
      <c r="A12792" t="str">
        <f t="shared" si="2529"/>
        <v>27/11/2025</v>
      </c>
      <c r="B12792" t="str">
        <f t="shared" si="2530"/>
        <v>SAÍDA</v>
      </c>
      <c r="C12792" t="str">
        <f t="shared" si="2531"/>
        <v>PIX</v>
      </c>
      <c r="D12792" t="str">
        <f>"25676"</f>
        <v>25676</v>
      </c>
      <c r="E12792" t="str">
        <f t="shared" si="2533"/>
        <v>1</v>
      </c>
      <c r="F12792" t="str">
        <f t="shared" si="2518"/>
        <v>COM</v>
      </c>
      <c r="G12792" t="str">
        <f>"AMANDA VERÍSSIMO FERREIRA (794)"</f>
        <v>AMANDA VERÍSSIMO FERREIRA (794)</v>
      </c>
      <c r="H12792" t="s">
        <v>3444</v>
      </c>
      <c r="I12792" t="str">
        <f t="shared" si="2532"/>
        <v>27/11/2025</v>
      </c>
      <c r="J12792" t="str">
        <f t="shared" si="2534"/>
        <v>18/11/2025</v>
      </c>
      <c r="K12792">
        <v>45988</v>
      </c>
      <c r="N12792">
        <v>109</v>
      </c>
      <c r="O12792" t="s">
        <v>24</v>
      </c>
      <c r="Q12792">
        <v>300</v>
      </c>
      <c r="R12792" t="str">
        <f>"FARMÁCIA INDIANA LJ 111 (10049)"</f>
        <v>FARMÁCIA INDIANA LJ 111 (10049)</v>
      </c>
      <c r="S12792" t="s">
        <v>77</v>
      </c>
      <c r="T12792">
        <v>22536</v>
      </c>
      <c r="U12792">
        <v>25676</v>
      </c>
      <c r="V12792" t="s">
        <v>77</v>
      </c>
    </row>
    <row r="12793" spans="1:22">
      <c r="A12793" t="str">
        <f t="shared" si="2529"/>
        <v>27/11/2025</v>
      </c>
      <c r="B12793" t="str">
        <f t="shared" si="2530"/>
        <v>SAÍDA</v>
      </c>
      <c r="C12793" t="str">
        <f t="shared" si="2531"/>
        <v>PIX</v>
      </c>
      <c r="D12793" t="str">
        <f>"25676"</f>
        <v>25676</v>
      </c>
      <c r="E12793" t="str">
        <f t="shared" si="2533"/>
        <v>1</v>
      </c>
      <c r="F12793" t="str">
        <f t="shared" si="2518"/>
        <v>COM</v>
      </c>
      <c r="G12793" t="str">
        <f>"AMANDA VERÍSSIMO FERREIRA (794)"</f>
        <v>AMANDA VERÍSSIMO FERREIRA (794)</v>
      </c>
      <c r="H12793" t="s">
        <v>3444</v>
      </c>
      <c r="I12793" t="str">
        <f t="shared" si="2532"/>
        <v>27/11/2025</v>
      </c>
      <c r="J12793" t="str">
        <f t="shared" si="2534"/>
        <v>18/11/2025</v>
      </c>
      <c r="K12793">
        <v>45988</v>
      </c>
      <c r="N12793">
        <v>109</v>
      </c>
      <c r="O12793" t="s">
        <v>24</v>
      </c>
      <c r="Q12793">
        <v>450</v>
      </c>
      <c r="R12793" t="str">
        <f>"FARMÁCIA INDIANA LJ 143 (10067)"</f>
        <v>FARMÁCIA INDIANA LJ 143 (10067)</v>
      </c>
      <c r="S12793" t="s">
        <v>77</v>
      </c>
      <c r="T12793">
        <v>22536</v>
      </c>
      <c r="U12793">
        <v>25676</v>
      </c>
      <c r="V12793" t="s">
        <v>77</v>
      </c>
    </row>
    <row r="12794" spans="1:22">
      <c r="A12794" t="str">
        <f t="shared" si="2529"/>
        <v>27/11/2025</v>
      </c>
      <c r="B12794" t="str">
        <f t="shared" si="2530"/>
        <v>SAÍDA</v>
      </c>
      <c r="C12794" t="str">
        <f t="shared" si="2531"/>
        <v>PIX</v>
      </c>
      <c r="D12794" t="str">
        <f>"25677"</f>
        <v>25677</v>
      </c>
      <c r="E12794" t="str">
        <f t="shared" si="2533"/>
        <v>1</v>
      </c>
      <c r="F12794" t="str">
        <f t="shared" si="2518"/>
        <v>COM</v>
      </c>
      <c r="G12794" t="str">
        <f>"ANISSO ANIDAL DE PAULA (161)"</f>
        <v>ANISSO ANIDAL DE PAULA (161)</v>
      </c>
      <c r="H12794" t="str">
        <f>"Serv.Prest. 10/11/2025 a 16/11/2025 - PIX: E-MAIL - CHAVE: anissoanidaldepaula@gmail.com"</f>
        <v>Serv.Prest. 10/11/2025 a 16/11/2025 - PIX: E-MAIL - CHAVE: anissoanidaldepaula@gmail.com</v>
      </c>
      <c r="I12794" t="str">
        <f t="shared" si="2532"/>
        <v>27/11/2025</v>
      </c>
      <c r="J12794" t="str">
        <f t="shared" si="2534"/>
        <v>18/11/2025</v>
      </c>
      <c r="K12794" t="str">
        <f>("27/11/2025")</f>
        <v>27/11/2025</v>
      </c>
      <c r="L12794">
        <v>720</v>
      </c>
      <c r="M12794">
        <v>720</v>
      </c>
      <c r="N12794">
        <v>109</v>
      </c>
      <c r="O12794" t="str">
        <f>"PAGAMENTO DE ENTREGADORES"</f>
        <v>PAGAMENTO DE ENTREGADORES</v>
      </c>
      <c r="P12794">
        <v>720</v>
      </c>
      <c r="S12794" t="str">
        <f>"BANCO C6 (149)"</f>
        <v>BANCO C6 (149)</v>
      </c>
      <c r="T12794">
        <v>22537</v>
      </c>
      <c r="U12794">
        <v>25677</v>
      </c>
      <c r="V12794" t="s">
        <v>77</v>
      </c>
    </row>
    <row r="12795" spans="1:22">
      <c r="A12795" t="str">
        <f t="shared" si="2529"/>
        <v>27/11/2025</v>
      </c>
      <c r="B12795" t="str">
        <f t="shared" si="2530"/>
        <v>SAÍDA</v>
      </c>
      <c r="C12795" t="str">
        <f t="shared" si="2531"/>
        <v>PIX</v>
      </c>
      <c r="D12795" t="str">
        <f>"25677"</f>
        <v>25677</v>
      </c>
      <c r="E12795" t="str">
        <f t="shared" si="2533"/>
        <v>1</v>
      </c>
      <c r="F12795" t="str">
        <f t="shared" si="2518"/>
        <v>COM</v>
      </c>
      <c r="G12795" t="str">
        <f>"ANISSO ANIDAL DE PAULA (161)"</f>
        <v>ANISSO ANIDAL DE PAULA (161)</v>
      </c>
      <c r="H12795" t="s">
        <v>3445</v>
      </c>
      <c r="I12795" t="str">
        <f t="shared" si="2532"/>
        <v>27/11/2025</v>
      </c>
      <c r="J12795" t="str">
        <f t="shared" si="2534"/>
        <v>18/11/2025</v>
      </c>
      <c r="K12795">
        <v>45988</v>
      </c>
      <c r="N12795">
        <v>109</v>
      </c>
      <c r="O12795" t="s">
        <v>24</v>
      </c>
      <c r="Q12795">
        <v>720</v>
      </c>
      <c r="R12795" t="str">
        <f>"FARMÁCIA INDIANA LJ 18 (10011)"</f>
        <v>FARMÁCIA INDIANA LJ 18 (10011)</v>
      </c>
      <c r="S12795" t="s">
        <v>77</v>
      </c>
      <c r="T12795">
        <v>22537</v>
      </c>
      <c r="U12795">
        <v>25677</v>
      </c>
      <c r="V12795" t="s">
        <v>77</v>
      </c>
    </row>
    <row r="12796" spans="1:22">
      <c r="A12796" t="str">
        <f t="shared" si="2529"/>
        <v>27/11/2025</v>
      </c>
      <c r="B12796" t="str">
        <f t="shared" si="2530"/>
        <v>SAÍDA</v>
      </c>
      <c r="C12796" t="str">
        <f t="shared" si="2531"/>
        <v>PIX</v>
      </c>
      <c r="D12796" t="str">
        <f>"25678"</f>
        <v>25678</v>
      </c>
      <c r="E12796" t="str">
        <f t="shared" si="2533"/>
        <v>1</v>
      </c>
      <c r="F12796" t="str">
        <f t="shared" si="2518"/>
        <v>COM</v>
      </c>
      <c r="G12796" t="str">
        <f>"ARLINDO JOSE MARTINS (909)"</f>
        <v>ARLINDO JOSE MARTINS (909)</v>
      </c>
      <c r="H12796" t="str">
        <f>"Serv.Prest. 10/11/2025 a 16/11/2025 - PIX: CPF - CHAVE: 037.192.076-09"</f>
        <v>Serv.Prest. 10/11/2025 a 16/11/2025 - PIX: CPF - CHAVE: 037.192.076-09</v>
      </c>
      <c r="I12796" t="str">
        <f t="shared" si="2532"/>
        <v>27/11/2025</v>
      </c>
      <c r="J12796" t="str">
        <f t="shared" si="2534"/>
        <v>18/11/2025</v>
      </c>
      <c r="K12796" t="str">
        <f>("27/11/2025")</f>
        <v>27/11/2025</v>
      </c>
      <c r="L12796">
        <v>891</v>
      </c>
      <c r="M12796">
        <v>891</v>
      </c>
      <c r="N12796">
        <v>109</v>
      </c>
      <c r="O12796" t="str">
        <f>"PAGAMENTO DE ENTREGADORES"</f>
        <v>PAGAMENTO DE ENTREGADORES</v>
      </c>
      <c r="P12796">
        <v>891</v>
      </c>
      <c r="S12796" t="str">
        <f>"BANCO C6 (149)"</f>
        <v>BANCO C6 (149)</v>
      </c>
      <c r="T12796">
        <v>22538</v>
      </c>
      <c r="U12796">
        <v>25678</v>
      </c>
      <c r="V12796" t="s">
        <v>77</v>
      </c>
    </row>
    <row r="12797" spans="1:22">
      <c r="A12797" t="str">
        <f t="shared" si="2529"/>
        <v>27/11/2025</v>
      </c>
      <c r="B12797" t="str">
        <f t="shared" si="2530"/>
        <v>SAÍDA</v>
      </c>
      <c r="C12797" t="str">
        <f t="shared" si="2531"/>
        <v>PIX</v>
      </c>
      <c r="D12797" t="str">
        <f>"25678"</f>
        <v>25678</v>
      </c>
      <c r="E12797" t="str">
        <f t="shared" si="2533"/>
        <v>1</v>
      </c>
      <c r="F12797" t="str">
        <f t="shared" si="2518"/>
        <v>COM</v>
      </c>
      <c r="G12797" t="str">
        <f>"ARLINDO JOSE MARTINS (909)"</f>
        <v>ARLINDO JOSE MARTINS (909)</v>
      </c>
      <c r="H12797" t="s">
        <v>3446</v>
      </c>
      <c r="I12797" t="str">
        <f t="shared" si="2532"/>
        <v>27/11/2025</v>
      </c>
      <c r="J12797" t="str">
        <f t="shared" si="2534"/>
        <v>18/11/2025</v>
      </c>
      <c r="K12797">
        <v>45988</v>
      </c>
      <c r="N12797">
        <v>109</v>
      </c>
      <c r="O12797" t="s">
        <v>24</v>
      </c>
      <c r="Q12797">
        <v>431.15</v>
      </c>
      <c r="R12797" t="str">
        <f>"FARMÁCIA INDIANA LJ 185 (10141)"</f>
        <v>FARMÁCIA INDIANA LJ 185 (10141)</v>
      </c>
      <c r="S12797" t="s">
        <v>77</v>
      </c>
      <c r="T12797">
        <v>22538</v>
      </c>
      <c r="U12797">
        <v>25678</v>
      </c>
      <c r="V12797" t="s">
        <v>77</v>
      </c>
    </row>
    <row r="12798" spans="1:22">
      <c r="A12798" t="str">
        <f t="shared" si="2529"/>
        <v>27/11/2025</v>
      </c>
      <c r="B12798" t="str">
        <f t="shared" si="2530"/>
        <v>SAÍDA</v>
      </c>
      <c r="C12798" t="str">
        <f t="shared" si="2531"/>
        <v>PIX</v>
      </c>
      <c r="D12798" t="str">
        <f>"25678"</f>
        <v>25678</v>
      </c>
      <c r="E12798" t="str">
        <f t="shared" si="2533"/>
        <v>1</v>
      </c>
      <c r="F12798" t="str">
        <f t="shared" si="2518"/>
        <v>COM</v>
      </c>
      <c r="G12798" t="str">
        <f>"ARLINDO JOSE MARTINS (909)"</f>
        <v>ARLINDO JOSE MARTINS (909)</v>
      </c>
      <c r="H12798" t="s">
        <v>3446</v>
      </c>
      <c r="I12798" t="str">
        <f t="shared" si="2532"/>
        <v>27/11/2025</v>
      </c>
      <c r="J12798" t="str">
        <f t="shared" si="2534"/>
        <v>18/11/2025</v>
      </c>
      <c r="K12798">
        <v>45988</v>
      </c>
      <c r="N12798">
        <v>109</v>
      </c>
      <c r="O12798" t="s">
        <v>24</v>
      </c>
      <c r="Q12798">
        <v>459.85</v>
      </c>
      <c r="R12798" t="str">
        <f>"FARMÁCIA INDIANA LJ 257 (10267)"</f>
        <v>FARMÁCIA INDIANA LJ 257 (10267)</v>
      </c>
      <c r="S12798" t="s">
        <v>77</v>
      </c>
      <c r="T12798">
        <v>22538</v>
      </c>
      <c r="U12798">
        <v>25678</v>
      </c>
      <c r="V12798" t="s">
        <v>77</v>
      </c>
    </row>
    <row r="12799" spans="1:22">
      <c r="A12799" t="str">
        <f t="shared" si="2529"/>
        <v>27/11/2025</v>
      </c>
      <c r="B12799" t="str">
        <f t="shared" si="2530"/>
        <v>SAÍDA</v>
      </c>
      <c r="C12799" t="str">
        <f t="shared" si="2531"/>
        <v>PIX</v>
      </c>
      <c r="D12799" t="str">
        <f>"25679"</f>
        <v>25679</v>
      </c>
      <c r="E12799" t="str">
        <f t="shared" si="2533"/>
        <v>1</v>
      </c>
      <c r="F12799" t="str">
        <f t="shared" si="2518"/>
        <v>COM</v>
      </c>
      <c r="G12799" t="str">
        <f>"ARTHUR DANTAS PACHECO (928)"</f>
        <v>ARTHUR DANTAS PACHECO (928)</v>
      </c>
      <c r="H12799" t="str">
        <f>"Serv.Prest. 10/11/2025 a 16/11/2025 - PIX: CELULAR - CHAVE: (33) 99110-6940"</f>
        <v>Serv.Prest. 10/11/2025 a 16/11/2025 - PIX: CELULAR - CHAVE: (33) 99110-6940</v>
      </c>
      <c r="I12799" t="str">
        <f t="shared" si="2532"/>
        <v>27/11/2025</v>
      </c>
      <c r="J12799" t="str">
        <f t="shared" si="2534"/>
        <v>18/11/2025</v>
      </c>
      <c r="K12799" t="str">
        <f>("27/11/2025")</f>
        <v>27/11/2025</v>
      </c>
      <c r="L12799">
        <v>753.5</v>
      </c>
      <c r="M12799">
        <v>753.5</v>
      </c>
      <c r="N12799">
        <v>109</v>
      </c>
      <c r="O12799" t="str">
        <f>"PAGAMENTO DE ENTREGADORES"</f>
        <v>PAGAMENTO DE ENTREGADORES</v>
      </c>
      <c r="P12799">
        <v>753.5</v>
      </c>
      <c r="S12799" t="str">
        <f>"BANCO C6 (149)"</f>
        <v>BANCO C6 (149)</v>
      </c>
      <c r="T12799">
        <v>22539</v>
      </c>
      <c r="U12799">
        <v>25679</v>
      </c>
      <c r="V12799" t="s">
        <v>77</v>
      </c>
    </row>
    <row r="12800" spans="1:22">
      <c r="A12800" t="str">
        <f t="shared" si="2529"/>
        <v>27/11/2025</v>
      </c>
      <c r="B12800" t="str">
        <f t="shared" si="2530"/>
        <v>SAÍDA</v>
      </c>
      <c r="C12800" t="str">
        <f t="shared" si="2531"/>
        <v>PIX</v>
      </c>
      <c r="D12800" t="str">
        <f>"25679"</f>
        <v>25679</v>
      </c>
      <c r="E12800" t="str">
        <f t="shared" si="2533"/>
        <v>1</v>
      </c>
      <c r="F12800" t="str">
        <f t="shared" si="2518"/>
        <v>COM</v>
      </c>
      <c r="G12800" t="str">
        <f>"ARTHUR DANTAS PACHECO (928)"</f>
        <v>ARTHUR DANTAS PACHECO (928)</v>
      </c>
      <c r="H12800" t="s">
        <v>3447</v>
      </c>
      <c r="I12800" t="str">
        <f t="shared" si="2532"/>
        <v>27/11/2025</v>
      </c>
      <c r="J12800" t="str">
        <f t="shared" si="2534"/>
        <v>18/11/2025</v>
      </c>
      <c r="K12800">
        <v>45988</v>
      </c>
      <c r="N12800">
        <v>109</v>
      </c>
      <c r="O12800" t="s">
        <v>24</v>
      </c>
      <c r="Q12800">
        <v>753.5</v>
      </c>
      <c r="R12800" t="str">
        <f>"FARMÁCIA INDIANA LJ 40 (10016)"</f>
        <v>FARMÁCIA INDIANA LJ 40 (10016)</v>
      </c>
      <c r="S12800" t="s">
        <v>77</v>
      </c>
      <c r="T12800">
        <v>22539</v>
      </c>
      <c r="U12800">
        <v>25679</v>
      </c>
      <c r="V12800" t="s">
        <v>77</v>
      </c>
    </row>
    <row r="12801" spans="1:22">
      <c r="A12801" t="str">
        <f t="shared" si="2529"/>
        <v>27/11/2025</v>
      </c>
      <c r="B12801" t="str">
        <f t="shared" si="2530"/>
        <v>SAÍDA</v>
      </c>
      <c r="C12801" t="str">
        <f t="shared" si="2531"/>
        <v>PIX</v>
      </c>
      <c r="D12801" t="str">
        <f>"25680"</f>
        <v>25680</v>
      </c>
      <c r="E12801" t="str">
        <f t="shared" si="2533"/>
        <v>1</v>
      </c>
      <c r="F12801" t="str">
        <f t="shared" si="2518"/>
        <v>COM</v>
      </c>
      <c r="G12801" t="str">
        <f>"BRUNO BARBOSA DE MATOS (82)"</f>
        <v>BRUNO BARBOSA DE MATOS (82)</v>
      </c>
      <c r="H12801" t="str">
        <f>"Serv.Prest. 10/11/2025 a 16/11/2025 - PIX: CPF - CHAVE: 137.446.146-62"</f>
        <v>Serv.Prest. 10/11/2025 a 16/11/2025 - PIX: CPF - CHAVE: 137.446.146-62</v>
      </c>
      <c r="I12801" t="str">
        <f t="shared" si="2532"/>
        <v>27/11/2025</v>
      </c>
      <c r="J12801" t="str">
        <f t="shared" si="2534"/>
        <v>18/11/2025</v>
      </c>
      <c r="K12801" t="str">
        <f>("27/11/2025")</f>
        <v>27/11/2025</v>
      </c>
      <c r="L12801">
        <v>1368</v>
      </c>
      <c r="M12801">
        <v>1368</v>
      </c>
      <c r="N12801">
        <v>109</v>
      </c>
      <c r="O12801" t="str">
        <f>"PAGAMENTO DE ENTREGADORES"</f>
        <v>PAGAMENTO DE ENTREGADORES</v>
      </c>
      <c r="P12801">
        <v>1368</v>
      </c>
      <c r="S12801" t="str">
        <f>"BANCO C6 (149)"</f>
        <v>BANCO C6 (149)</v>
      </c>
      <c r="T12801">
        <v>22540</v>
      </c>
      <c r="U12801">
        <v>25680</v>
      </c>
      <c r="V12801" t="s">
        <v>77</v>
      </c>
    </row>
    <row r="12802" spans="1:22">
      <c r="A12802" t="str">
        <f t="shared" si="2529"/>
        <v>27/11/2025</v>
      </c>
      <c r="B12802" t="str">
        <f t="shared" si="2530"/>
        <v>SAÍDA</v>
      </c>
      <c r="C12802" t="str">
        <f t="shared" si="2531"/>
        <v>PIX</v>
      </c>
      <c r="D12802" t="str">
        <f>"25680"</f>
        <v>25680</v>
      </c>
      <c r="E12802" t="str">
        <f t="shared" si="2533"/>
        <v>1</v>
      </c>
      <c r="F12802" t="str">
        <f t="shared" si="2518"/>
        <v>COM</v>
      </c>
      <c r="G12802" t="str">
        <f>"BRUNO BARBOSA DE MATOS (82)"</f>
        <v>BRUNO BARBOSA DE MATOS (82)</v>
      </c>
      <c r="H12802" t="s">
        <v>3448</v>
      </c>
      <c r="I12802" t="str">
        <f t="shared" si="2532"/>
        <v>27/11/2025</v>
      </c>
      <c r="J12802" t="str">
        <f t="shared" si="2534"/>
        <v>18/11/2025</v>
      </c>
      <c r="K12802">
        <v>45988</v>
      </c>
      <c r="N12802">
        <v>109</v>
      </c>
      <c r="O12802" t="s">
        <v>24</v>
      </c>
      <c r="Q12802">
        <v>1368</v>
      </c>
      <c r="R12802" t="str">
        <f>"FARMÁCIA INDIANA LJ 152 (10069)"</f>
        <v>FARMÁCIA INDIANA LJ 152 (10069)</v>
      </c>
      <c r="S12802" t="s">
        <v>77</v>
      </c>
      <c r="T12802">
        <v>22540</v>
      </c>
      <c r="U12802">
        <v>25680</v>
      </c>
      <c r="V12802" t="s">
        <v>77</v>
      </c>
    </row>
    <row r="12803" spans="1:22">
      <c r="A12803" t="str">
        <f t="shared" si="2529"/>
        <v>27/11/2025</v>
      </c>
      <c r="B12803" t="str">
        <f t="shared" si="2530"/>
        <v>SAÍDA</v>
      </c>
      <c r="C12803" t="str">
        <f t="shared" si="2531"/>
        <v>PIX</v>
      </c>
      <c r="D12803" t="str">
        <f>"25681"</f>
        <v>25681</v>
      </c>
      <c r="E12803" t="str">
        <f t="shared" si="2533"/>
        <v>1</v>
      </c>
      <c r="F12803" t="str">
        <f t="shared" si="2518"/>
        <v>COM</v>
      </c>
      <c r="G12803" t="str">
        <f>"BRUNO DOS SANTOS MACHADO (702)"</f>
        <v>BRUNO DOS SANTOS MACHADO (702)</v>
      </c>
      <c r="H12803" t="str">
        <f>"Serv.Prest. 10/11/2025 a 16/11/2025 - PIX: CPF - CHAVE: 155.328.666-94"</f>
        <v>Serv.Prest. 10/11/2025 a 16/11/2025 - PIX: CPF - CHAVE: 155.328.666-94</v>
      </c>
      <c r="I12803" t="str">
        <f t="shared" si="2532"/>
        <v>27/11/2025</v>
      </c>
      <c r="J12803" t="str">
        <f t="shared" si="2534"/>
        <v>18/11/2025</v>
      </c>
      <c r="K12803" t="str">
        <f>("27/11/2025")</f>
        <v>27/11/2025</v>
      </c>
      <c r="L12803">
        <v>1200</v>
      </c>
      <c r="M12803">
        <v>1200</v>
      </c>
      <c r="N12803">
        <v>109</v>
      </c>
      <c r="O12803" t="str">
        <f>"PAGAMENTO DE ENTREGADORES"</f>
        <v>PAGAMENTO DE ENTREGADORES</v>
      </c>
      <c r="P12803">
        <v>1200</v>
      </c>
      <c r="S12803" t="str">
        <f>"BANCO C6 (149)"</f>
        <v>BANCO C6 (149)</v>
      </c>
      <c r="T12803">
        <v>22541</v>
      </c>
      <c r="U12803">
        <v>25681</v>
      </c>
      <c r="V12803" t="s">
        <v>77</v>
      </c>
    </row>
    <row r="12804" spans="1:22">
      <c r="A12804" t="str">
        <f t="shared" si="2529"/>
        <v>27/11/2025</v>
      </c>
      <c r="B12804" t="str">
        <f t="shared" si="2530"/>
        <v>SAÍDA</v>
      </c>
      <c r="C12804" t="str">
        <f t="shared" si="2531"/>
        <v>PIX</v>
      </c>
      <c r="D12804" t="str">
        <f>"25681"</f>
        <v>25681</v>
      </c>
      <c r="E12804" t="str">
        <f t="shared" si="2533"/>
        <v>1</v>
      </c>
      <c r="F12804" t="str">
        <f t="shared" si="2518"/>
        <v>COM</v>
      </c>
      <c r="G12804" t="str">
        <f>"BRUNO DOS SANTOS MACHADO (702)"</f>
        <v>BRUNO DOS SANTOS MACHADO (702)</v>
      </c>
      <c r="H12804" t="s">
        <v>3449</v>
      </c>
      <c r="I12804" t="str">
        <f t="shared" si="2532"/>
        <v>27/11/2025</v>
      </c>
      <c r="J12804" t="str">
        <f t="shared" si="2534"/>
        <v>18/11/2025</v>
      </c>
      <c r="K12804">
        <v>45988</v>
      </c>
      <c r="N12804">
        <v>109</v>
      </c>
      <c r="O12804" t="s">
        <v>24</v>
      </c>
      <c r="Q12804">
        <v>600</v>
      </c>
      <c r="R12804" t="str">
        <f>"FARMÁCIA INDIANA LJ 204 (10087)"</f>
        <v>FARMÁCIA INDIANA LJ 204 (10087)</v>
      </c>
      <c r="S12804" t="s">
        <v>77</v>
      </c>
      <c r="T12804">
        <v>22541</v>
      </c>
      <c r="U12804">
        <v>25681</v>
      </c>
      <c r="V12804" t="s">
        <v>77</v>
      </c>
    </row>
    <row r="12805" spans="1:22">
      <c r="A12805" t="str">
        <f t="shared" si="2529"/>
        <v>27/11/2025</v>
      </c>
      <c r="B12805" t="str">
        <f t="shared" si="2530"/>
        <v>SAÍDA</v>
      </c>
      <c r="C12805" t="str">
        <f t="shared" si="2531"/>
        <v>PIX</v>
      </c>
      <c r="D12805" t="str">
        <f>"25681"</f>
        <v>25681</v>
      </c>
      <c r="E12805" t="str">
        <f t="shared" si="2533"/>
        <v>1</v>
      </c>
      <c r="F12805" t="str">
        <f t="shared" si="2518"/>
        <v>COM</v>
      </c>
      <c r="G12805" t="str">
        <f>"BRUNO DOS SANTOS MACHADO (702)"</f>
        <v>BRUNO DOS SANTOS MACHADO (702)</v>
      </c>
      <c r="H12805" t="s">
        <v>3449</v>
      </c>
      <c r="I12805" t="str">
        <f t="shared" si="2532"/>
        <v>27/11/2025</v>
      </c>
      <c r="J12805" t="str">
        <f t="shared" si="2534"/>
        <v>18/11/2025</v>
      </c>
      <c r="K12805">
        <v>45988</v>
      </c>
      <c r="N12805">
        <v>109</v>
      </c>
      <c r="O12805" t="s">
        <v>24</v>
      </c>
      <c r="Q12805">
        <v>600</v>
      </c>
      <c r="R12805" t="str">
        <f>"FARMÁCIA INDIANA LJ 266 (10186)"</f>
        <v>FARMÁCIA INDIANA LJ 266 (10186)</v>
      </c>
      <c r="S12805" t="s">
        <v>77</v>
      </c>
      <c r="T12805">
        <v>22541</v>
      </c>
      <c r="U12805">
        <v>25681</v>
      </c>
      <c r="V12805" t="s">
        <v>77</v>
      </c>
    </row>
    <row r="12806" spans="1:22">
      <c r="A12806" t="str">
        <f t="shared" si="2529"/>
        <v>27/11/2025</v>
      </c>
      <c r="B12806" t="str">
        <f t="shared" si="2530"/>
        <v>SAÍDA</v>
      </c>
      <c r="C12806" t="str">
        <f t="shared" si="2531"/>
        <v>PIX</v>
      </c>
      <c r="D12806" t="str">
        <f>"25682"</f>
        <v>25682</v>
      </c>
      <c r="E12806" t="str">
        <f t="shared" si="2533"/>
        <v>1</v>
      </c>
      <c r="F12806" t="str">
        <f t="shared" si="2518"/>
        <v>COM</v>
      </c>
      <c r="G12806" t="str">
        <f>"BRUNO WAGNER DE CARVALHO OLIVEIRA (84)"</f>
        <v>BRUNO WAGNER DE CARVALHO OLIVEIRA (84)</v>
      </c>
      <c r="H12806" t="str">
        <f>"Serv.Prest. 10/11/2025 a 16/11/2025 - PIX: CELULAR - CHAVE: (32) 98896-0708"</f>
        <v>Serv.Prest. 10/11/2025 a 16/11/2025 - PIX: CELULAR - CHAVE: (32) 98896-0708</v>
      </c>
      <c r="I12806" t="str">
        <f t="shared" si="2532"/>
        <v>27/11/2025</v>
      </c>
      <c r="J12806" t="str">
        <f t="shared" si="2534"/>
        <v>18/11/2025</v>
      </c>
      <c r="K12806" t="str">
        <f>("27/11/2025")</f>
        <v>27/11/2025</v>
      </c>
      <c r="L12806">
        <v>700</v>
      </c>
      <c r="M12806">
        <v>700</v>
      </c>
      <c r="N12806">
        <v>109</v>
      </c>
      <c r="O12806" t="str">
        <f>"PAGAMENTO DE ENTREGADORES"</f>
        <v>PAGAMENTO DE ENTREGADORES</v>
      </c>
      <c r="P12806">
        <v>700</v>
      </c>
      <c r="S12806" t="str">
        <f>"BANCO C6 (149)"</f>
        <v>BANCO C6 (149)</v>
      </c>
      <c r="T12806">
        <v>22542</v>
      </c>
      <c r="U12806">
        <v>25682</v>
      </c>
      <c r="V12806" t="s">
        <v>77</v>
      </c>
    </row>
    <row r="12807" spans="1:22">
      <c r="A12807" t="str">
        <f t="shared" si="2529"/>
        <v>27/11/2025</v>
      </c>
      <c r="B12807" t="str">
        <f t="shared" si="2530"/>
        <v>SAÍDA</v>
      </c>
      <c r="C12807" t="str">
        <f t="shared" si="2531"/>
        <v>PIX</v>
      </c>
      <c r="D12807" t="str">
        <f>"25682"</f>
        <v>25682</v>
      </c>
      <c r="E12807" t="str">
        <f t="shared" si="2533"/>
        <v>1</v>
      </c>
      <c r="F12807" t="str">
        <f t="shared" si="2518"/>
        <v>COM</v>
      </c>
      <c r="G12807" t="str">
        <f>"BRUNO WAGNER DE CARVALHO OLIVEIRA (84)"</f>
        <v>BRUNO WAGNER DE CARVALHO OLIVEIRA (84)</v>
      </c>
      <c r="H12807" t="s">
        <v>3450</v>
      </c>
      <c r="I12807" t="str">
        <f t="shared" si="2532"/>
        <v>27/11/2025</v>
      </c>
      <c r="J12807" t="str">
        <f t="shared" si="2534"/>
        <v>18/11/2025</v>
      </c>
      <c r="K12807">
        <v>45988</v>
      </c>
      <c r="N12807">
        <v>109</v>
      </c>
      <c r="O12807" t="s">
        <v>24</v>
      </c>
      <c r="Q12807">
        <v>395.64</v>
      </c>
      <c r="R12807" t="str">
        <f>"FARMÁCIA INDIANA LJ 182 (10079)"</f>
        <v>FARMÁCIA INDIANA LJ 182 (10079)</v>
      </c>
      <c r="S12807" t="s">
        <v>77</v>
      </c>
      <c r="T12807">
        <v>22542</v>
      </c>
      <c r="U12807">
        <v>25682</v>
      </c>
      <c r="V12807" t="s">
        <v>77</v>
      </c>
    </row>
    <row r="12808" spans="1:22">
      <c r="A12808" t="str">
        <f t="shared" si="2529"/>
        <v>27/11/2025</v>
      </c>
      <c r="B12808" t="str">
        <f t="shared" si="2530"/>
        <v>SAÍDA</v>
      </c>
      <c r="C12808" t="str">
        <f t="shared" si="2531"/>
        <v>PIX</v>
      </c>
      <c r="D12808" t="str">
        <f>"25682"</f>
        <v>25682</v>
      </c>
      <c r="E12808" t="str">
        <f t="shared" si="2533"/>
        <v>1</v>
      </c>
      <c r="F12808" t="str">
        <f t="shared" si="2518"/>
        <v>COM</v>
      </c>
      <c r="G12808" t="str">
        <f>"BRUNO WAGNER DE CARVALHO OLIVEIRA (84)"</f>
        <v>BRUNO WAGNER DE CARVALHO OLIVEIRA (84)</v>
      </c>
      <c r="H12808" t="s">
        <v>3450</v>
      </c>
      <c r="I12808" t="str">
        <f t="shared" si="2532"/>
        <v>27/11/2025</v>
      </c>
      <c r="J12808" t="str">
        <f t="shared" si="2534"/>
        <v>18/11/2025</v>
      </c>
      <c r="K12808">
        <v>45988</v>
      </c>
      <c r="N12808">
        <v>109</v>
      </c>
      <c r="O12808" t="s">
        <v>24</v>
      </c>
      <c r="Q12808">
        <v>304.36</v>
      </c>
      <c r="R12808" t="str">
        <f>"FARMÁCIA INDIANA LJ 186 (10081)"</f>
        <v>FARMÁCIA INDIANA LJ 186 (10081)</v>
      </c>
      <c r="S12808" t="s">
        <v>77</v>
      </c>
      <c r="T12808">
        <v>22542</v>
      </c>
      <c r="U12808">
        <v>25682</v>
      </c>
      <c r="V12808" t="s">
        <v>77</v>
      </c>
    </row>
    <row r="12809" spans="1:22">
      <c r="A12809" t="str">
        <f t="shared" si="2529"/>
        <v>27/11/2025</v>
      </c>
      <c r="B12809" t="str">
        <f t="shared" si="2530"/>
        <v>SAÍDA</v>
      </c>
      <c r="C12809" t="str">
        <f t="shared" si="2531"/>
        <v>PIX</v>
      </c>
      <c r="D12809" t="str">
        <f>"25684"</f>
        <v>25684</v>
      </c>
      <c r="E12809" t="str">
        <f t="shared" si="2533"/>
        <v>1</v>
      </c>
      <c r="F12809" t="str">
        <f t="shared" si="2518"/>
        <v>COM</v>
      </c>
      <c r="G12809" t="str">
        <f>"CARLOS ROBERTO BADARÓ MACHADO (78)"</f>
        <v>CARLOS ROBERTO BADARÓ MACHADO (78)</v>
      </c>
      <c r="H12809" t="str">
        <f>"Serv.Prest. 10/11/2025 a 16/11/2025 - PIX: CELULAR - CHAVE: (32) 99166-8238"</f>
        <v>Serv.Prest. 10/11/2025 a 16/11/2025 - PIX: CELULAR - CHAVE: (32) 99166-8238</v>
      </c>
      <c r="I12809" t="str">
        <f t="shared" si="2532"/>
        <v>27/11/2025</v>
      </c>
      <c r="J12809" t="str">
        <f t="shared" si="2534"/>
        <v>18/11/2025</v>
      </c>
      <c r="K12809" t="str">
        <f>("27/11/2025")</f>
        <v>27/11/2025</v>
      </c>
      <c r="L12809">
        <v>1728</v>
      </c>
      <c r="M12809">
        <v>1728</v>
      </c>
      <c r="N12809">
        <v>109</v>
      </c>
      <c r="O12809" t="str">
        <f>"PAGAMENTO DE ENTREGADORES"</f>
        <v>PAGAMENTO DE ENTREGADORES</v>
      </c>
      <c r="P12809">
        <v>1728</v>
      </c>
      <c r="S12809" t="str">
        <f>"BANCO C6 (149)"</f>
        <v>BANCO C6 (149)</v>
      </c>
      <c r="T12809">
        <v>22543</v>
      </c>
      <c r="U12809">
        <v>25684</v>
      </c>
      <c r="V12809" t="s">
        <v>77</v>
      </c>
    </row>
    <row r="12810" spans="1:22">
      <c r="A12810" t="str">
        <f t="shared" si="2529"/>
        <v>27/11/2025</v>
      </c>
      <c r="B12810" t="str">
        <f t="shared" si="2530"/>
        <v>SAÍDA</v>
      </c>
      <c r="C12810" t="str">
        <f t="shared" si="2531"/>
        <v>PIX</v>
      </c>
      <c r="D12810" t="str">
        <f>"25684"</f>
        <v>25684</v>
      </c>
      <c r="E12810" t="str">
        <f t="shared" si="2533"/>
        <v>1</v>
      </c>
      <c r="F12810" t="str">
        <f t="shared" si="2518"/>
        <v>COM</v>
      </c>
      <c r="G12810" t="str">
        <f>"CARLOS ROBERTO BADARÓ MACHADO (78)"</f>
        <v>CARLOS ROBERTO BADARÓ MACHADO (78)</v>
      </c>
      <c r="H12810" t="s">
        <v>3451</v>
      </c>
      <c r="I12810" t="str">
        <f t="shared" si="2532"/>
        <v>27/11/2025</v>
      </c>
      <c r="J12810" t="str">
        <f t="shared" si="2534"/>
        <v>18/11/2025</v>
      </c>
      <c r="K12810">
        <v>45988</v>
      </c>
      <c r="N12810">
        <v>109</v>
      </c>
      <c r="O12810" t="s">
        <v>24</v>
      </c>
      <c r="Q12810">
        <v>1728</v>
      </c>
      <c r="R12810" t="str">
        <f>"FARMÁCIA INDIANA LJ 109 (10047)"</f>
        <v>FARMÁCIA INDIANA LJ 109 (10047)</v>
      </c>
      <c r="S12810" t="s">
        <v>77</v>
      </c>
      <c r="T12810">
        <v>22543</v>
      </c>
      <c r="U12810">
        <v>25684</v>
      </c>
      <c r="V12810" t="s">
        <v>77</v>
      </c>
    </row>
    <row r="12811" spans="1:22">
      <c r="A12811" t="str">
        <f t="shared" si="2529"/>
        <v>27/11/2025</v>
      </c>
      <c r="B12811" t="str">
        <f t="shared" si="2530"/>
        <v>SAÍDA</v>
      </c>
      <c r="C12811" t="str">
        <f t="shared" si="2531"/>
        <v>PIX</v>
      </c>
      <c r="D12811" t="str">
        <f>"25685"</f>
        <v>25685</v>
      </c>
      <c r="E12811" t="str">
        <f t="shared" si="2533"/>
        <v>1</v>
      </c>
      <c r="F12811" t="str">
        <f t="shared" si="2518"/>
        <v>COM</v>
      </c>
      <c r="G12811" t="str">
        <f>"CASSIO DIAS RIBEIRO (32)"</f>
        <v>CASSIO DIAS RIBEIRO (32)</v>
      </c>
      <c r="H12811" t="str">
        <f>"Serv.Prest. 10/11/2025 a 16/11/2025 - PIX: CPF - CHAVE: 091.575.986-14"</f>
        <v>Serv.Prest. 10/11/2025 a 16/11/2025 - PIX: CPF - CHAVE: 091.575.986-14</v>
      </c>
      <c r="I12811" t="str">
        <f t="shared" si="2532"/>
        <v>27/11/2025</v>
      </c>
      <c r="J12811" t="str">
        <f t="shared" si="2534"/>
        <v>18/11/2025</v>
      </c>
      <c r="K12811" t="str">
        <f>("27/11/2025")</f>
        <v>27/11/2025</v>
      </c>
      <c r="L12811">
        <v>956</v>
      </c>
      <c r="M12811">
        <v>956</v>
      </c>
      <c r="N12811">
        <v>109</v>
      </c>
      <c r="O12811" t="str">
        <f>"PAGAMENTO DE ENTREGADORES"</f>
        <v>PAGAMENTO DE ENTREGADORES</v>
      </c>
      <c r="P12811">
        <v>956</v>
      </c>
      <c r="S12811" t="str">
        <f>"BANCO C6 (149)"</f>
        <v>BANCO C6 (149)</v>
      </c>
      <c r="T12811">
        <v>22544</v>
      </c>
      <c r="U12811">
        <v>25685</v>
      </c>
      <c r="V12811" t="s">
        <v>77</v>
      </c>
    </row>
    <row r="12812" spans="1:22">
      <c r="A12812" t="str">
        <f t="shared" si="2529"/>
        <v>27/11/2025</v>
      </c>
      <c r="B12812" t="str">
        <f t="shared" si="2530"/>
        <v>SAÍDA</v>
      </c>
      <c r="C12812" t="str">
        <f t="shared" si="2531"/>
        <v>PIX</v>
      </c>
      <c r="D12812" t="str">
        <f>"25685"</f>
        <v>25685</v>
      </c>
      <c r="E12812" t="str">
        <f t="shared" si="2533"/>
        <v>1</v>
      </c>
      <c r="F12812" t="str">
        <f t="shared" si="2518"/>
        <v>COM</v>
      </c>
      <c r="G12812" t="str">
        <f>"CASSIO DIAS RIBEIRO (32)"</f>
        <v>CASSIO DIAS RIBEIRO (32)</v>
      </c>
      <c r="H12812" t="s">
        <v>3109</v>
      </c>
      <c r="I12812" t="str">
        <f t="shared" si="2532"/>
        <v>27/11/2025</v>
      </c>
      <c r="J12812" t="str">
        <f t="shared" si="2534"/>
        <v>18/11/2025</v>
      </c>
      <c r="K12812">
        <v>45988</v>
      </c>
      <c r="N12812">
        <v>109</v>
      </c>
      <c r="O12812" t="s">
        <v>24</v>
      </c>
      <c r="Q12812">
        <v>936.78</v>
      </c>
      <c r="R12812" t="str">
        <f>"FARMÁCIA INDIANA LJ 11 (10008)"</f>
        <v>FARMÁCIA INDIANA LJ 11 (10008)</v>
      </c>
      <c r="S12812" t="s">
        <v>77</v>
      </c>
      <c r="T12812">
        <v>22544</v>
      </c>
      <c r="U12812">
        <v>25685</v>
      </c>
      <c r="V12812" t="s">
        <v>77</v>
      </c>
    </row>
    <row r="12813" spans="1:22">
      <c r="A12813" t="str">
        <f t="shared" si="2529"/>
        <v>27/11/2025</v>
      </c>
      <c r="B12813" t="str">
        <f t="shared" si="2530"/>
        <v>SAÍDA</v>
      </c>
      <c r="C12813" t="str">
        <f t="shared" si="2531"/>
        <v>PIX</v>
      </c>
      <c r="D12813" t="str">
        <f>"25685"</f>
        <v>25685</v>
      </c>
      <c r="E12813" t="str">
        <f t="shared" si="2533"/>
        <v>1</v>
      </c>
      <c r="F12813" t="str">
        <f t="shared" si="2518"/>
        <v>COM</v>
      </c>
      <c r="G12813" t="str">
        <f>"CASSIO DIAS RIBEIRO (32)"</f>
        <v>CASSIO DIAS RIBEIRO (32)</v>
      </c>
      <c r="H12813" t="s">
        <v>3109</v>
      </c>
      <c r="I12813" t="str">
        <f t="shared" si="2532"/>
        <v>27/11/2025</v>
      </c>
      <c r="J12813" t="str">
        <f t="shared" si="2534"/>
        <v>18/11/2025</v>
      </c>
      <c r="K12813">
        <v>45988</v>
      </c>
      <c r="N12813">
        <v>109</v>
      </c>
      <c r="O12813" t="s">
        <v>24</v>
      </c>
      <c r="Q12813">
        <v>19.22</v>
      </c>
      <c r="R12813" t="str">
        <f>"FARMÁCIA INDIANA LJ 172 (10161)"</f>
        <v>FARMÁCIA INDIANA LJ 172 (10161)</v>
      </c>
      <c r="S12813" t="s">
        <v>77</v>
      </c>
      <c r="T12813">
        <v>22544</v>
      </c>
      <c r="U12813">
        <v>25685</v>
      </c>
      <c r="V12813" t="s">
        <v>77</v>
      </c>
    </row>
    <row r="12814" spans="1:22">
      <c r="A12814" t="str">
        <f t="shared" si="2529"/>
        <v>27/11/2025</v>
      </c>
      <c r="B12814" t="str">
        <f t="shared" si="2530"/>
        <v>SAÍDA</v>
      </c>
      <c r="C12814" t="str">
        <f t="shared" si="2531"/>
        <v>PIX</v>
      </c>
      <c r="D12814" t="str">
        <f>"25686"</f>
        <v>25686</v>
      </c>
      <c r="E12814" t="str">
        <f t="shared" si="2533"/>
        <v>1</v>
      </c>
      <c r="F12814" t="str">
        <f t="shared" si="2518"/>
        <v>COM</v>
      </c>
      <c r="G12814" t="str">
        <f>"CELIO JOSÉ RIBEIRO (189)"</f>
        <v>CELIO JOSÉ RIBEIRO (189)</v>
      </c>
      <c r="H12814" t="str">
        <f>"Serv.Prest. 10/11/2025 a 16/11/2025 - PIX: CELULAR - CHAVE: (33) 98845-4528"</f>
        <v>Serv.Prest. 10/11/2025 a 16/11/2025 - PIX: CELULAR - CHAVE: (33) 98845-4528</v>
      </c>
      <c r="I12814" t="str">
        <f t="shared" si="2532"/>
        <v>27/11/2025</v>
      </c>
      <c r="J12814" t="str">
        <f t="shared" si="2534"/>
        <v>18/11/2025</v>
      </c>
      <c r="K12814" t="str">
        <f>("27/11/2025")</f>
        <v>27/11/2025</v>
      </c>
      <c r="L12814">
        <v>1080</v>
      </c>
      <c r="M12814">
        <v>1080</v>
      </c>
      <c r="N12814">
        <v>109</v>
      </c>
      <c r="O12814" t="str">
        <f>"PAGAMENTO DE ENTREGADORES"</f>
        <v>PAGAMENTO DE ENTREGADORES</v>
      </c>
      <c r="P12814">
        <v>1080</v>
      </c>
      <c r="S12814" t="str">
        <f>"BANCO C6 (149)"</f>
        <v>BANCO C6 (149)</v>
      </c>
      <c r="T12814">
        <v>22545</v>
      </c>
      <c r="U12814">
        <v>25686</v>
      </c>
      <c r="V12814" t="s">
        <v>77</v>
      </c>
    </row>
    <row r="12815" spans="1:22">
      <c r="A12815" t="str">
        <f t="shared" si="2529"/>
        <v>27/11/2025</v>
      </c>
      <c r="B12815" t="str">
        <f t="shared" si="2530"/>
        <v>SAÍDA</v>
      </c>
      <c r="C12815" t="str">
        <f t="shared" si="2531"/>
        <v>PIX</v>
      </c>
      <c r="D12815" t="str">
        <f>"25686"</f>
        <v>25686</v>
      </c>
      <c r="E12815" t="str">
        <f t="shared" si="2533"/>
        <v>1</v>
      </c>
      <c r="F12815" t="str">
        <f t="shared" si="2518"/>
        <v>COM</v>
      </c>
      <c r="G12815" t="str">
        <f>"CELIO JOSÉ RIBEIRO (189)"</f>
        <v>CELIO JOSÉ RIBEIRO (189)</v>
      </c>
      <c r="H12815" t="s">
        <v>3452</v>
      </c>
      <c r="I12815" t="str">
        <f t="shared" si="2532"/>
        <v>27/11/2025</v>
      </c>
      <c r="J12815" t="str">
        <f t="shared" si="2534"/>
        <v>18/11/2025</v>
      </c>
      <c r="K12815">
        <v>45988</v>
      </c>
      <c r="N12815">
        <v>109</v>
      </c>
      <c r="O12815" t="s">
        <v>24</v>
      </c>
      <c r="Q12815">
        <v>1080</v>
      </c>
      <c r="R12815" t="str">
        <f>"FARMÁCIA INDIANA LJ 06 (10006)"</f>
        <v>FARMÁCIA INDIANA LJ 06 (10006)</v>
      </c>
      <c r="S12815" t="s">
        <v>77</v>
      </c>
      <c r="T12815">
        <v>22545</v>
      </c>
      <c r="U12815">
        <v>25686</v>
      </c>
      <c r="V12815" t="s">
        <v>77</v>
      </c>
    </row>
    <row r="12816" spans="1:22">
      <c r="A12816" t="str">
        <f t="shared" si="2529"/>
        <v>27/11/2025</v>
      </c>
      <c r="B12816" t="str">
        <f t="shared" si="2530"/>
        <v>SAÍDA</v>
      </c>
      <c r="C12816" t="str">
        <f t="shared" si="2531"/>
        <v>PIX</v>
      </c>
      <c r="D12816" t="str">
        <f>"25687"</f>
        <v>25687</v>
      </c>
      <c r="E12816" t="str">
        <f t="shared" si="2533"/>
        <v>1</v>
      </c>
      <c r="F12816" t="str">
        <f t="shared" si="2518"/>
        <v>COM</v>
      </c>
      <c r="G12816" t="str">
        <f>"CLEIDIOMAR RIBEIRO FERREIRA (34)"</f>
        <v>CLEIDIOMAR RIBEIRO FERREIRA (34)</v>
      </c>
      <c r="H12816" t="str">
        <f>"Serv.Prest. 10/11/2025 a 16/11/2025 - PIX: CELULAR - CHAVE: (31) 98511-2851"</f>
        <v>Serv.Prest. 10/11/2025 a 16/11/2025 - PIX: CELULAR - CHAVE: (31) 98511-2851</v>
      </c>
      <c r="I12816" t="str">
        <f t="shared" si="2532"/>
        <v>27/11/2025</v>
      </c>
      <c r="J12816" t="str">
        <f t="shared" si="2534"/>
        <v>18/11/2025</v>
      </c>
      <c r="K12816" t="str">
        <f>("27/11/2025")</f>
        <v>27/11/2025</v>
      </c>
      <c r="L12816">
        <v>1332</v>
      </c>
      <c r="M12816">
        <v>1332</v>
      </c>
      <c r="N12816">
        <v>109</v>
      </c>
      <c r="O12816" t="str">
        <f>"PAGAMENTO DE ENTREGADORES"</f>
        <v>PAGAMENTO DE ENTREGADORES</v>
      </c>
      <c r="P12816">
        <v>1332</v>
      </c>
      <c r="S12816" t="str">
        <f>"BANCO C6 (149)"</f>
        <v>BANCO C6 (149)</v>
      </c>
      <c r="T12816">
        <v>22546</v>
      </c>
      <c r="U12816">
        <v>25687</v>
      </c>
      <c r="V12816" t="s">
        <v>77</v>
      </c>
    </row>
    <row r="12817" spans="1:22">
      <c r="A12817" t="str">
        <f t="shared" si="2529"/>
        <v>27/11/2025</v>
      </c>
      <c r="B12817" t="str">
        <f t="shared" si="2530"/>
        <v>SAÍDA</v>
      </c>
      <c r="C12817" t="str">
        <f t="shared" si="2531"/>
        <v>PIX</v>
      </c>
      <c r="D12817" t="str">
        <f>"25687"</f>
        <v>25687</v>
      </c>
      <c r="E12817" t="str">
        <f t="shared" si="2533"/>
        <v>1</v>
      </c>
      <c r="F12817" t="str">
        <f t="shared" si="2518"/>
        <v>COM</v>
      </c>
      <c r="G12817" t="str">
        <f>"CLEIDIOMAR RIBEIRO FERREIRA (34)"</f>
        <v>CLEIDIOMAR RIBEIRO FERREIRA (34)</v>
      </c>
      <c r="H12817" t="s">
        <v>3453</v>
      </c>
      <c r="I12817" t="str">
        <f t="shared" si="2532"/>
        <v>27/11/2025</v>
      </c>
      <c r="J12817" t="str">
        <f t="shared" si="2534"/>
        <v>18/11/2025</v>
      </c>
      <c r="K12817">
        <v>45988</v>
      </c>
      <c r="N12817">
        <v>109</v>
      </c>
      <c r="O12817" t="s">
        <v>24</v>
      </c>
      <c r="Q12817">
        <v>1332</v>
      </c>
      <c r="R12817" t="str">
        <f>"FARMÁCIA INDIANA LJ 11 (10008)"</f>
        <v>FARMÁCIA INDIANA LJ 11 (10008)</v>
      </c>
      <c r="S12817" t="s">
        <v>77</v>
      </c>
      <c r="T12817">
        <v>22546</v>
      </c>
      <c r="U12817">
        <v>25687</v>
      </c>
      <c r="V12817" t="s">
        <v>77</v>
      </c>
    </row>
    <row r="12818" spans="1:22">
      <c r="A12818" t="str">
        <f t="shared" si="2529"/>
        <v>27/11/2025</v>
      </c>
      <c r="B12818" t="str">
        <f t="shared" si="2530"/>
        <v>SAÍDA</v>
      </c>
      <c r="C12818" t="str">
        <f t="shared" si="2531"/>
        <v>PIX</v>
      </c>
      <c r="D12818" t="str">
        <f>"25688"</f>
        <v>25688</v>
      </c>
      <c r="E12818" t="str">
        <f t="shared" si="2533"/>
        <v>1</v>
      </c>
      <c r="F12818" t="str">
        <f t="shared" si="2518"/>
        <v>COM</v>
      </c>
      <c r="G12818" t="str">
        <f>"CRISTIANO XAVIER DA COSTA (269)"</f>
        <v>CRISTIANO XAVIER DA COSTA (269)</v>
      </c>
      <c r="H12818" t="str">
        <f>"Serv.Prest. 10/11/2025 a 16/11/2025 - PIX: CELULAR - CHAVE: (32) 99177-6167"</f>
        <v>Serv.Prest. 10/11/2025 a 16/11/2025 - PIX: CELULAR - CHAVE: (32) 99177-6167</v>
      </c>
      <c r="I12818" t="str">
        <f t="shared" si="2532"/>
        <v>27/11/2025</v>
      </c>
      <c r="J12818" t="str">
        <f t="shared" si="2534"/>
        <v>18/11/2025</v>
      </c>
      <c r="K12818" t="str">
        <f>("27/11/2025")</f>
        <v>27/11/2025</v>
      </c>
      <c r="L12818">
        <v>2040</v>
      </c>
      <c r="M12818">
        <v>2040</v>
      </c>
      <c r="N12818">
        <v>109</v>
      </c>
      <c r="O12818" t="str">
        <f>"PAGAMENTO DE ENTREGADORES"</f>
        <v>PAGAMENTO DE ENTREGADORES</v>
      </c>
      <c r="P12818">
        <v>2040</v>
      </c>
      <c r="S12818" t="str">
        <f>"BANCO C6 (149)"</f>
        <v>BANCO C6 (149)</v>
      </c>
      <c r="T12818">
        <v>22547</v>
      </c>
      <c r="U12818">
        <v>25688</v>
      </c>
      <c r="V12818" t="s">
        <v>77</v>
      </c>
    </row>
    <row r="12819" spans="1:22">
      <c r="A12819" t="str">
        <f t="shared" si="2529"/>
        <v>27/11/2025</v>
      </c>
      <c r="B12819" t="str">
        <f t="shared" si="2530"/>
        <v>SAÍDA</v>
      </c>
      <c r="C12819" t="str">
        <f t="shared" si="2531"/>
        <v>PIX</v>
      </c>
      <c r="D12819" t="str">
        <f>"25688"</f>
        <v>25688</v>
      </c>
      <c r="E12819" t="str">
        <f t="shared" si="2533"/>
        <v>1</v>
      </c>
      <c r="F12819" t="str">
        <f t="shared" ref="F12819:F12882" si="2535">"COM"</f>
        <v>COM</v>
      </c>
      <c r="G12819" t="str">
        <f>"CRISTIANO XAVIER DA COSTA (269)"</f>
        <v>CRISTIANO XAVIER DA COSTA (269)</v>
      </c>
      <c r="H12819" t="s">
        <v>3454</v>
      </c>
      <c r="I12819" t="str">
        <f t="shared" si="2532"/>
        <v>27/11/2025</v>
      </c>
      <c r="J12819" t="str">
        <f t="shared" si="2534"/>
        <v>18/11/2025</v>
      </c>
      <c r="K12819">
        <v>45988</v>
      </c>
      <c r="N12819">
        <v>109</v>
      </c>
      <c r="O12819" t="s">
        <v>24</v>
      </c>
      <c r="Q12819">
        <v>644.23</v>
      </c>
      <c r="R12819" t="str">
        <f>"FARMÁCIA INDIANA LJ 207 (10088)"</f>
        <v>FARMÁCIA INDIANA LJ 207 (10088)</v>
      </c>
      <c r="S12819" t="s">
        <v>77</v>
      </c>
      <c r="T12819">
        <v>22547</v>
      </c>
      <c r="U12819">
        <v>25688</v>
      </c>
      <c r="V12819" t="s">
        <v>77</v>
      </c>
    </row>
    <row r="12820" spans="1:22">
      <c r="A12820" t="str">
        <f t="shared" si="2529"/>
        <v>27/11/2025</v>
      </c>
      <c r="B12820" t="str">
        <f t="shared" si="2530"/>
        <v>SAÍDA</v>
      </c>
      <c r="C12820" t="str">
        <f t="shared" si="2531"/>
        <v>PIX</v>
      </c>
      <c r="D12820" t="str">
        <f>"25688"</f>
        <v>25688</v>
      </c>
      <c r="E12820" t="str">
        <f t="shared" si="2533"/>
        <v>1</v>
      </c>
      <c r="F12820" t="str">
        <f t="shared" si="2535"/>
        <v>COM</v>
      </c>
      <c r="G12820" t="str">
        <f>"CRISTIANO XAVIER DA COSTA (269)"</f>
        <v>CRISTIANO XAVIER DA COSTA (269)</v>
      </c>
      <c r="H12820" t="s">
        <v>3454</v>
      </c>
      <c r="I12820" t="str">
        <f t="shared" si="2532"/>
        <v>27/11/2025</v>
      </c>
      <c r="J12820" t="str">
        <f t="shared" si="2534"/>
        <v>18/11/2025</v>
      </c>
      <c r="K12820">
        <v>45988</v>
      </c>
      <c r="N12820">
        <v>109</v>
      </c>
      <c r="O12820" t="s">
        <v>24</v>
      </c>
      <c r="Q12820">
        <v>1395.77</v>
      </c>
      <c r="R12820" t="str">
        <f>"FARMÁCIA INDIANA LJ 209 (10089)"</f>
        <v>FARMÁCIA INDIANA LJ 209 (10089)</v>
      </c>
      <c r="S12820" t="s">
        <v>77</v>
      </c>
      <c r="T12820">
        <v>22547</v>
      </c>
      <c r="U12820">
        <v>25688</v>
      </c>
      <c r="V12820" t="s">
        <v>77</v>
      </c>
    </row>
    <row r="12821" spans="1:22">
      <c r="A12821" t="str">
        <f t="shared" si="2529"/>
        <v>27/11/2025</v>
      </c>
      <c r="B12821" t="str">
        <f t="shared" si="2530"/>
        <v>SAÍDA</v>
      </c>
      <c r="C12821" t="str">
        <f t="shared" si="2531"/>
        <v>PIX</v>
      </c>
      <c r="D12821" t="str">
        <f>"25689"</f>
        <v>25689</v>
      </c>
      <c r="E12821" t="str">
        <f t="shared" ref="E12821:E12852" si="2536">"1"</f>
        <v>1</v>
      </c>
      <c r="F12821" t="str">
        <f t="shared" si="2535"/>
        <v>COM</v>
      </c>
      <c r="G12821" t="str">
        <f>"DAMÁSIO JOSÉ DO NASCIMENTO NETO (147)"</f>
        <v>DAMÁSIO JOSÉ DO NASCIMENTO NETO (147)</v>
      </c>
      <c r="H12821" t="str">
        <f>"Serv.Prest. 10/11/2025 a 16/11/2025 - PIX: CPF - CHAVE: 110.483.296-82"</f>
        <v>Serv.Prest. 10/11/2025 a 16/11/2025 - PIX: CPF - CHAVE: 110.483.296-82</v>
      </c>
      <c r="I12821" t="str">
        <f t="shared" si="2532"/>
        <v>27/11/2025</v>
      </c>
      <c r="J12821" t="str">
        <f t="shared" ref="J12821:J12842" si="2537">("18/11/2025")</f>
        <v>18/11/2025</v>
      </c>
      <c r="K12821" t="str">
        <f>("27/11/2025")</f>
        <v>27/11/2025</v>
      </c>
      <c r="L12821">
        <v>1272</v>
      </c>
      <c r="M12821">
        <v>1272</v>
      </c>
      <c r="N12821">
        <v>109</v>
      </c>
      <c r="O12821" t="str">
        <f>"PAGAMENTO DE ENTREGADORES"</f>
        <v>PAGAMENTO DE ENTREGADORES</v>
      </c>
      <c r="P12821">
        <v>1272</v>
      </c>
      <c r="S12821" t="str">
        <f>"BANCO C6 (149)"</f>
        <v>BANCO C6 (149)</v>
      </c>
      <c r="T12821">
        <v>22548</v>
      </c>
      <c r="U12821">
        <v>25689</v>
      </c>
      <c r="V12821" t="s">
        <v>77</v>
      </c>
    </row>
    <row r="12822" spans="1:22">
      <c r="A12822" t="str">
        <f t="shared" si="2529"/>
        <v>27/11/2025</v>
      </c>
      <c r="B12822" t="str">
        <f t="shared" si="2530"/>
        <v>SAÍDA</v>
      </c>
      <c r="C12822" t="str">
        <f t="shared" si="2531"/>
        <v>PIX</v>
      </c>
      <c r="D12822" t="str">
        <f>"25689"</f>
        <v>25689</v>
      </c>
      <c r="E12822" t="str">
        <f t="shared" si="2536"/>
        <v>1</v>
      </c>
      <c r="F12822" t="str">
        <f t="shared" si="2535"/>
        <v>COM</v>
      </c>
      <c r="G12822" t="str">
        <f>"DAMÁSIO JOSÉ DO NASCIMENTO NETO (147)"</f>
        <v>DAMÁSIO JOSÉ DO NASCIMENTO NETO (147)</v>
      </c>
      <c r="H12822" t="s">
        <v>3455</v>
      </c>
      <c r="I12822" t="str">
        <f t="shared" si="2532"/>
        <v>27/11/2025</v>
      </c>
      <c r="J12822" t="str">
        <f t="shared" si="2537"/>
        <v>18/11/2025</v>
      </c>
      <c r="K12822">
        <v>45988</v>
      </c>
      <c r="N12822">
        <v>109</v>
      </c>
      <c r="O12822" t="s">
        <v>24</v>
      </c>
      <c r="Q12822">
        <v>1272</v>
      </c>
      <c r="R12822" t="str">
        <f>"FARMÁCIA INDIANA LJ 142 (10066)"</f>
        <v>FARMÁCIA INDIANA LJ 142 (10066)</v>
      </c>
      <c r="S12822" t="s">
        <v>77</v>
      </c>
      <c r="T12822">
        <v>22548</v>
      </c>
      <c r="U12822">
        <v>25689</v>
      </c>
      <c r="V12822" t="s">
        <v>77</v>
      </c>
    </row>
    <row r="12823" spans="1:22">
      <c r="A12823" t="str">
        <f t="shared" si="2529"/>
        <v>27/11/2025</v>
      </c>
      <c r="B12823" t="str">
        <f t="shared" si="2530"/>
        <v>SAÍDA</v>
      </c>
      <c r="C12823" t="str">
        <f t="shared" si="2531"/>
        <v>PIX</v>
      </c>
      <c r="D12823" t="str">
        <f>"25690"</f>
        <v>25690</v>
      </c>
      <c r="E12823" t="str">
        <f t="shared" si="2536"/>
        <v>1</v>
      </c>
      <c r="F12823" t="str">
        <f t="shared" si="2535"/>
        <v>COM</v>
      </c>
      <c r="G12823" t="str">
        <f>"DANILO WASHINGTON DOS SANTOS (770)"</f>
        <v>DANILO WASHINGTON DOS SANTOS (770)</v>
      </c>
      <c r="H12823" t="str">
        <f>"Serv.Prest. 10/11/2025 a 16/11/2025 - PIX: CELULAR - CHAVE: (33) 98749-5105"</f>
        <v>Serv.Prest. 10/11/2025 a 16/11/2025 - PIX: CELULAR - CHAVE: (33) 98749-5105</v>
      </c>
      <c r="I12823" t="str">
        <f t="shared" si="2532"/>
        <v>27/11/2025</v>
      </c>
      <c r="J12823" t="str">
        <f t="shared" si="2537"/>
        <v>18/11/2025</v>
      </c>
      <c r="K12823" t="str">
        <f>("27/11/2025")</f>
        <v>27/11/2025</v>
      </c>
      <c r="L12823">
        <v>1344</v>
      </c>
      <c r="M12823">
        <v>1344</v>
      </c>
      <c r="N12823">
        <v>109</v>
      </c>
      <c r="O12823" t="str">
        <f>"PAGAMENTO DE ENTREGADORES"</f>
        <v>PAGAMENTO DE ENTREGADORES</v>
      </c>
      <c r="P12823">
        <v>1344</v>
      </c>
      <c r="S12823" t="str">
        <f>"BANCO C6 (149)"</f>
        <v>BANCO C6 (149)</v>
      </c>
      <c r="T12823">
        <v>22549</v>
      </c>
      <c r="U12823">
        <v>25690</v>
      </c>
      <c r="V12823" t="s">
        <v>77</v>
      </c>
    </row>
    <row r="12824" spans="1:22">
      <c r="A12824" t="str">
        <f t="shared" si="2529"/>
        <v>27/11/2025</v>
      </c>
      <c r="B12824" t="str">
        <f t="shared" si="2530"/>
        <v>SAÍDA</v>
      </c>
      <c r="C12824" t="str">
        <f t="shared" si="2531"/>
        <v>PIX</v>
      </c>
      <c r="D12824" t="str">
        <f>"25690"</f>
        <v>25690</v>
      </c>
      <c r="E12824" t="str">
        <f t="shared" si="2536"/>
        <v>1</v>
      </c>
      <c r="F12824" t="str">
        <f t="shared" si="2535"/>
        <v>COM</v>
      </c>
      <c r="G12824" t="str">
        <f>"DANILO WASHINGTON DOS SANTOS (770)"</f>
        <v>DANILO WASHINGTON DOS SANTOS (770)</v>
      </c>
      <c r="H12824" t="s">
        <v>3456</v>
      </c>
      <c r="I12824" t="str">
        <f t="shared" si="2532"/>
        <v>27/11/2025</v>
      </c>
      <c r="J12824" t="str">
        <f t="shared" si="2537"/>
        <v>18/11/2025</v>
      </c>
      <c r="K12824">
        <v>45988</v>
      </c>
      <c r="N12824">
        <v>109</v>
      </c>
      <c r="O12824" t="s">
        <v>24</v>
      </c>
      <c r="Q12824">
        <v>1344</v>
      </c>
      <c r="R12824" t="str">
        <f>"FARMÁCIA INDIANA LJ 07 (10007)"</f>
        <v>FARMÁCIA INDIANA LJ 07 (10007)</v>
      </c>
      <c r="S12824" t="s">
        <v>77</v>
      </c>
      <c r="T12824">
        <v>22549</v>
      </c>
      <c r="U12824">
        <v>25690</v>
      </c>
      <c r="V12824" t="s">
        <v>77</v>
      </c>
    </row>
    <row r="12825" spans="1:22">
      <c r="A12825" t="str">
        <f t="shared" si="2529"/>
        <v>27/11/2025</v>
      </c>
      <c r="B12825" t="str">
        <f t="shared" si="2530"/>
        <v>SAÍDA</v>
      </c>
      <c r="C12825" t="str">
        <f t="shared" si="2531"/>
        <v>PIX</v>
      </c>
      <c r="D12825" t="str">
        <f>"25691"</f>
        <v>25691</v>
      </c>
      <c r="E12825" t="str">
        <f t="shared" si="2536"/>
        <v>1</v>
      </c>
      <c r="F12825" t="str">
        <f t="shared" si="2535"/>
        <v>COM</v>
      </c>
      <c r="G12825" t="str">
        <f>"DANTE SOARES DA SILVA (416)"</f>
        <v>DANTE SOARES DA SILVA (416)</v>
      </c>
      <c r="H12825" t="str">
        <f>"Serv.Prest. 10/11/2025 a 16/11/2025 - PIX: CELULAR - CHAVE: (33) 99802-1883"</f>
        <v>Serv.Prest. 10/11/2025 a 16/11/2025 - PIX: CELULAR - CHAVE: (33) 99802-1883</v>
      </c>
      <c r="I12825" t="str">
        <f t="shared" si="2532"/>
        <v>27/11/2025</v>
      </c>
      <c r="J12825" t="str">
        <f t="shared" si="2537"/>
        <v>18/11/2025</v>
      </c>
      <c r="K12825" t="str">
        <f>("27/11/2025")</f>
        <v>27/11/2025</v>
      </c>
      <c r="L12825">
        <v>730.1</v>
      </c>
      <c r="M12825">
        <v>730.1</v>
      </c>
      <c r="N12825">
        <v>109</v>
      </c>
      <c r="O12825" t="str">
        <f>"PAGAMENTO DE ENTREGADORES"</f>
        <v>PAGAMENTO DE ENTREGADORES</v>
      </c>
      <c r="P12825">
        <v>730.1</v>
      </c>
      <c r="S12825" t="str">
        <f>"BANCO C6 (149)"</f>
        <v>BANCO C6 (149)</v>
      </c>
      <c r="T12825">
        <v>22550</v>
      </c>
      <c r="U12825">
        <v>25691</v>
      </c>
      <c r="V12825" t="s">
        <v>77</v>
      </c>
    </row>
    <row r="12826" spans="1:22">
      <c r="A12826" t="str">
        <f t="shared" si="2529"/>
        <v>27/11/2025</v>
      </c>
      <c r="B12826" t="str">
        <f t="shared" si="2530"/>
        <v>SAÍDA</v>
      </c>
      <c r="C12826" t="str">
        <f t="shared" si="2531"/>
        <v>PIX</v>
      </c>
      <c r="D12826" t="str">
        <f>"25691"</f>
        <v>25691</v>
      </c>
      <c r="E12826" t="str">
        <f t="shared" si="2536"/>
        <v>1</v>
      </c>
      <c r="F12826" t="str">
        <f t="shared" si="2535"/>
        <v>COM</v>
      </c>
      <c r="G12826" t="str">
        <f>"DANTE SOARES DA SILVA (416)"</f>
        <v>DANTE SOARES DA SILVA (416)</v>
      </c>
      <c r="H12826" t="s">
        <v>3457</v>
      </c>
      <c r="I12826" t="str">
        <f t="shared" si="2532"/>
        <v>27/11/2025</v>
      </c>
      <c r="J12826" t="str">
        <f t="shared" si="2537"/>
        <v>18/11/2025</v>
      </c>
      <c r="K12826">
        <v>45988</v>
      </c>
      <c r="N12826">
        <v>109</v>
      </c>
      <c r="O12826" t="s">
        <v>24</v>
      </c>
      <c r="Q12826">
        <v>730.1</v>
      </c>
      <c r="R12826" t="str">
        <f>"FARMÁCIA INDIANA LJ 59 (10026)"</f>
        <v>FARMÁCIA INDIANA LJ 59 (10026)</v>
      </c>
      <c r="S12826" t="s">
        <v>77</v>
      </c>
      <c r="T12826">
        <v>22550</v>
      </c>
      <c r="U12826">
        <v>25691</v>
      </c>
      <c r="V12826" t="s">
        <v>77</v>
      </c>
    </row>
    <row r="12827" spans="1:22">
      <c r="A12827" t="str">
        <f t="shared" si="2529"/>
        <v>27/11/2025</v>
      </c>
      <c r="B12827" t="str">
        <f t="shared" si="2530"/>
        <v>SAÍDA</v>
      </c>
      <c r="C12827" t="str">
        <f t="shared" si="2531"/>
        <v>PIX</v>
      </c>
      <c r="D12827" t="str">
        <f>"25692"</f>
        <v>25692</v>
      </c>
      <c r="E12827" t="str">
        <f t="shared" si="2536"/>
        <v>1</v>
      </c>
      <c r="F12827" t="str">
        <f t="shared" si="2535"/>
        <v>COM</v>
      </c>
      <c r="G12827" t="str">
        <f>"DEVANILDO PONTES CASAGRANDE (179)"</f>
        <v>DEVANILDO PONTES CASAGRANDE (179)</v>
      </c>
      <c r="H12827" t="str">
        <f>"Serv.Prest. 10/11/2025 a 16/11/2025 - PIX: CELULAR - CHAVE: (31) 99610-7049"</f>
        <v>Serv.Prest. 10/11/2025 a 16/11/2025 - PIX: CELULAR - CHAVE: (31) 99610-7049</v>
      </c>
      <c r="I12827" t="str">
        <f t="shared" si="2532"/>
        <v>27/11/2025</v>
      </c>
      <c r="J12827" t="str">
        <f t="shared" si="2537"/>
        <v>18/11/2025</v>
      </c>
      <c r="K12827" t="str">
        <f>("27/11/2025")</f>
        <v>27/11/2025</v>
      </c>
      <c r="L12827">
        <v>924</v>
      </c>
      <c r="M12827">
        <v>924</v>
      </c>
      <c r="N12827">
        <v>109</v>
      </c>
      <c r="O12827" t="str">
        <f>"PAGAMENTO DE ENTREGADORES"</f>
        <v>PAGAMENTO DE ENTREGADORES</v>
      </c>
      <c r="P12827">
        <v>924</v>
      </c>
      <c r="S12827" t="str">
        <f>"BANCO C6 (149)"</f>
        <v>BANCO C6 (149)</v>
      </c>
      <c r="T12827">
        <v>22551</v>
      </c>
      <c r="U12827">
        <v>25692</v>
      </c>
      <c r="V12827" t="s">
        <v>77</v>
      </c>
    </row>
    <row r="12828" spans="1:22">
      <c r="A12828" t="str">
        <f t="shared" si="2529"/>
        <v>27/11/2025</v>
      </c>
      <c r="B12828" t="str">
        <f t="shared" si="2530"/>
        <v>SAÍDA</v>
      </c>
      <c r="C12828" t="str">
        <f t="shared" si="2531"/>
        <v>PIX</v>
      </c>
      <c r="D12828" t="str">
        <f>"25692"</f>
        <v>25692</v>
      </c>
      <c r="E12828" t="str">
        <f t="shared" si="2536"/>
        <v>1</v>
      </c>
      <c r="F12828" t="str">
        <f t="shared" si="2535"/>
        <v>COM</v>
      </c>
      <c r="G12828" t="str">
        <f>"DEVANILDO PONTES CASAGRANDE (179)"</f>
        <v>DEVANILDO PONTES CASAGRANDE (179)</v>
      </c>
      <c r="H12828" t="s">
        <v>3458</v>
      </c>
      <c r="I12828" t="str">
        <f t="shared" si="2532"/>
        <v>27/11/2025</v>
      </c>
      <c r="J12828" t="str">
        <f t="shared" si="2537"/>
        <v>18/11/2025</v>
      </c>
      <c r="K12828">
        <v>45988</v>
      </c>
      <c r="N12828">
        <v>109</v>
      </c>
      <c r="O12828" t="s">
        <v>24</v>
      </c>
      <c r="Q12828">
        <v>924</v>
      </c>
      <c r="R12828" t="str">
        <f>"FARMÁCIA INDIANA LJ 142 (10066)"</f>
        <v>FARMÁCIA INDIANA LJ 142 (10066)</v>
      </c>
      <c r="S12828" t="s">
        <v>77</v>
      </c>
      <c r="T12828">
        <v>22551</v>
      </c>
      <c r="U12828">
        <v>25692</v>
      </c>
      <c r="V12828" t="s">
        <v>77</v>
      </c>
    </row>
    <row r="12829" spans="1:22">
      <c r="A12829" t="str">
        <f t="shared" si="2529"/>
        <v>27/11/2025</v>
      </c>
      <c r="B12829" t="str">
        <f t="shared" si="2530"/>
        <v>SAÍDA</v>
      </c>
      <c r="C12829" t="str">
        <f t="shared" si="2531"/>
        <v>PIX</v>
      </c>
      <c r="D12829" t="str">
        <f>"25693"</f>
        <v>25693</v>
      </c>
      <c r="E12829" t="str">
        <f t="shared" si="2536"/>
        <v>1</v>
      </c>
      <c r="F12829" t="str">
        <f t="shared" si="2535"/>
        <v>COM</v>
      </c>
      <c r="G12829" t="str">
        <f>"DIEGO DIRLEY RIBEIRO (38)"</f>
        <v>DIEGO DIRLEY RIBEIRO (38)</v>
      </c>
      <c r="H12829" t="str">
        <f>"Serv.Prest. 10/11/2025 a 16/11/2025 - PIX: CPF - CHAVE: 102.023.716-38"</f>
        <v>Serv.Prest. 10/11/2025 a 16/11/2025 - PIX: CPF - CHAVE: 102.023.716-38</v>
      </c>
      <c r="I12829" t="str">
        <f t="shared" si="2532"/>
        <v>27/11/2025</v>
      </c>
      <c r="J12829" t="str">
        <f t="shared" si="2537"/>
        <v>18/11/2025</v>
      </c>
      <c r="K12829" t="str">
        <f>("27/11/2025")</f>
        <v>27/11/2025</v>
      </c>
      <c r="L12829">
        <v>1680</v>
      </c>
      <c r="M12829">
        <v>1680</v>
      </c>
      <c r="N12829">
        <v>109</v>
      </c>
      <c r="O12829" t="str">
        <f>"PAGAMENTO DE ENTREGADORES"</f>
        <v>PAGAMENTO DE ENTREGADORES</v>
      </c>
      <c r="P12829">
        <v>1680</v>
      </c>
      <c r="S12829" t="str">
        <f>"BANCO C6 (149)"</f>
        <v>BANCO C6 (149)</v>
      </c>
      <c r="T12829">
        <v>22552</v>
      </c>
      <c r="U12829">
        <v>25693</v>
      </c>
      <c r="V12829" t="s">
        <v>77</v>
      </c>
    </row>
    <row r="12830" spans="1:22">
      <c r="A12830" t="str">
        <f t="shared" si="2529"/>
        <v>27/11/2025</v>
      </c>
      <c r="B12830" t="str">
        <f t="shared" si="2530"/>
        <v>SAÍDA</v>
      </c>
      <c r="C12830" t="str">
        <f t="shared" si="2531"/>
        <v>PIX</v>
      </c>
      <c r="D12830" t="str">
        <f>"25693"</f>
        <v>25693</v>
      </c>
      <c r="E12830" t="str">
        <f t="shared" si="2536"/>
        <v>1</v>
      </c>
      <c r="F12830" t="str">
        <f t="shared" si="2535"/>
        <v>COM</v>
      </c>
      <c r="G12830" t="str">
        <f>"DIEGO DIRLEY RIBEIRO (38)"</f>
        <v>DIEGO DIRLEY RIBEIRO (38)</v>
      </c>
      <c r="H12830" t="s">
        <v>3459</v>
      </c>
      <c r="I12830" t="str">
        <f t="shared" si="2532"/>
        <v>27/11/2025</v>
      </c>
      <c r="J12830" t="str">
        <f t="shared" si="2537"/>
        <v>18/11/2025</v>
      </c>
      <c r="K12830">
        <v>45988</v>
      </c>
      <c r="N12830">
        <v>109</v>
      </c>
      <c r="O12830" t="s">
        <v>24</v>
      </c>
      <c r="Q12830">
        <v>1680</v>
      </c>
      <c r="R12830" t="str">
        <f>"FARMÁCIA INDIANA LJ 172 (10161)"</f>
        <v>FARMÁCIA INDIANA LJ 172 (10161)</v>
      </c>
      <c r="S12830" t="s">
        <v>77</v>
      </c>
      <c r="T12830">
        <v>22552</v>
      </c>
      <c r="U12830">
        <v>25693</v>
      </c>
      <c r="V12830" t="s">
        <v>77</v>
      </c>
    </row>
    <row r="12831" spans="1:22">
      <c r="A12831" t="str">
        <f t="shared" si="2529"/>
        <v>27/11/2025</v>
      </c>
      <c r="B12831" t="str">
        <f t="shared" si="2530"/>
        <v>SAÍDA</v>
      </c>
      <c r="C12831" t="str">
        <f t="shared" si="2531"/>
        <v>PIX</v>
      </c>
      <c r="D12831" t="str">
        <f>"25694"</f>
        <v>25694</v>
      </c>
      <c r="E12831" t="str">
        <f t="shared" si="2536"/>
        <v>1</v>
      </c>
      <c r="F12831" t="str">
        <f t="shared" si="2535"/>
        <v>COM</v>
      </c>
      <c r="G12831" t="str">
        <f>"DIEGO FAUSTINO DA SILVA (1076)"</f>
        <v>DIEGO FAUSTINO DA SILVA (1076)</v>
      </c>
      <c r="H12831" t="str">
        <f>"Serv.Prest. 10/11/2025 a 16/11/2025 - PIX: CELULAR - CHAVE: (33) 99874-0376"</f>
        <v>Serv.Prest. 10/11/2025 a 16/11/2025 - PIX: CELULAR - CHAVE: (33) 99874-0376</v>
      </c>
      <c r="I12831" t="str">
        <f t="shared" si="2532"/>
        <v>27/11/2025</v>
      </c>
      <c r="J12831" t="str">
        <f t="shared" si="2537"/>
        <v>18/11/2025</v>
      </c>
      <c r="K12831" t="str">
        <f>("27/11/2025")</f>
        <v>27/11/2025</v>
      </c>
      <c r="L12831">
        <v>720</v>
      </c>
      <c r="M12831">
        <v>720</v>
      </c>
      <c r="N12831">
        <v>109</v>
      </c>
      <c r="O12831" t="str">
        <f>"PAGAMENTO DE ENTREGADORES"</f>
        <v>PAGAMENTO DE ENTREGADORES</v>
      </c>
      <c r="P12831">
        <v>720</v>
      </c>
      <c r="S12831" t="str">
        <f>"BANCO C6 (149)"</f>
        <v>BANCO C6 (149)</v>
      </c>
      <c r="T12831">
        <v>22553</v>
      </c>
      <c r="U12831">
        <v>25694</v>
      </c>
      <c r="V12831" t="s">
        <v>77</v>
      </c>
    </row>
    <row r="12832" spans="1:22">
      <c r="A12832" t="str">
        <f t="shared" si="2529"/>
        <v>27/11/2025</v>
      </c>
      <c r="B12832" t="str">
        <f t="shared" si="2530"/>
        <v>SAÍDA</v>
      </c>
      <c r="C12832" t="str">
        <f t="shared" si="2531"/>
        <v>PIX</v>
      </c>
      <c r="D12832" t="str">
        <f>"25694"</f>
        <v>25694</v>
      </c>
      <c r="E12832" t="str">
        <f t="shared" si="2536"/>
        <v>1</v>
      </c>
      <c r="F12832" t="str">
        <f t="shared" si="2535"/>
        <v>COM</v>
      </c>
      <c r="G12832" t="str">
        <f>"DIEGO FAUSTINO DA SILVA (1076)"</f>
        <v>DIEGO FAUSTINO DA SILVA (1076)</v>
      </c>
      <c r="H12832" t="s">
        <v>3460</v>
      </c>
      <c r="I12832" t="str">
        <f t="shared" si="2532"/>
        <v>27/11/2025</v>
      </c>
      <c r="J12832" t="str">
        <f t="shared" si="2537"/>
        <v>18/11/2025</v>
      </c>
      <c r="K12832">
        <v>45988</v>
      </c>
      <c r="N12832">
        <v>109</v>
      </c>
      <c r="O12832" t="s">
        <v>24</v>
      </c>
      <c r="Q12832">
        <v>720</v>
      </c>
      <c r="R12832" t="str">
        <f>"FARMÁCIA INDIANA LJ 152 (10069)"</f>
        <v>FARMÁCIA INDIANA LJ 152 (10069)</v>
      </c>
      <c r="S12832" t="s">
        <v>77</v>
      </c>
      <c r="T12832">
        <v>22553</v>
      </c>
      <c r="U12832">
        <v>25694</v>
      </c>
      <c r="V12832" t="s">
        <v>77</v>
      </c>
    </row>
    <row r="12833" spans="1:22">
      <c r="A12833" t="str">
        <f t="shared" si="2529"/>
        <v>27/11/2025</v>
      </c>
      <c r="B12833" t="str">
        <f t="shared" si="2530"/>
        <v>SAÍDA</v>
      </c>
      <c r="C12833" t="str">
        <f t="shared" si="2531"/>
        <v>PIX</v>
      </c>
      <c r="D12833" t="str">
        <f>"25695"</f>
        <v>25695</v>
      </c>
      <c r="E12833" t="str">
        <f t="shared" si="2536"/>
        <v>1</v>
      </c>
      <c r="F12833" t="str">
        <f t="shared" si="2535"/>
        <v>COM</v>
      </c>
      <c r="G12833" t="str">
        <f>"DIONE OLIVEIRA SILVA (214)"</f>
        <v>DIONE OLIVEIRA SILVA (214)</v>
      </c>
      <c r="H12833" t="str">
        <f>"Serv.Prest. 10/11/2025 a 16/11/2025 - PIX: CELULAR - CHAVE: (33) 98890-5095"</f>
        <v>Serv.Prest. 10/11/2025 a 16/11/2025 - PIX: CELULAR - CHAVE: (33) 98890-5095</v>
      </c>
      <c r="I12833" t="str">
        <f t="shared" si="2532"/>
        <v>27/11/2025</v>
      </c>
      <c r="J12833" t="str">
        <f t="shared" si="2537"/>
        <v>18/11/2025</v>
      </c>
      <c r="K12833" t="str">
        <f>("27/11/2025")</f>
        <v>27/11/2025</v>
      </c>
      <c r="L12833">
        <v>1500</v>
      </c>
      <c r="M12833">
        <v>1500</v>
      </c>
      <c r="N12833">
        <v>109</v>
      </c>
      <c r="O12833" t="str">
        <f>"PAGAMENTO DE ENTREGADORES"</f>
        <v>PAGAMENTO DE ENTREGADORES</v>
      </c>
      <c r="P12833">
        <v>1500</v>
      </c>
      <c r="S12833" t="str">
        <f>"BANCO C6 (149)"</f>
        <v>BANCO C6 (149)</v>
      </c>
      <c r="T12833">
        <v>22554</v>
      </c>
      <c r="U12833">
        <v>25695</v>
      </c>
      <c r="V12833" t="s">
        <v>77</v>
      </c>
    </row>
    <row r="12834" spans="1:22">
      <c r="A12834" t="str">
        <f t="shared" si="2529"/>
        <v>27/11/2025</v>
      </c>
      <c r="B12834" t="str">
        <f t="shared" si="2530"/>
        <v>SAÍDA</v>
      </c>
      <c r="C12834" t="str">
        <f t="shared" si="2531"/>
        <v>PIX</v>
      </c>
      <c r="D12834" t="str">
        <f>"25695"</f>
        <v>25695</v>
      </c>
      <c r="E12834" t="str">
        <f t="shared" si="2536"/>
        <v>1</v>
      </c>
      <c r="F12834" t="str">
        <f t="shared" si="2535"/>
        <v>COM</v>
      </c>
      <c r="G12834" t="str">
        <f>"DIONE OLIVEIRA SILVA (214)"</f>
        <v>DIONE OLIVEIRA SILVA (214)</v>
      </c>
      <c r="H12834" t="s">
        <v>3461</v>
      </c>
      <c r="I12834" t="str">
        <f t="shared" si="2532"/>
        <v>27/11/2025</v>
      </c>
      <c r="J12834" t="str">
        <f t="shared" si="2537"/>
        <v>18/11/2025</v>
      </c>
      <c r="K12834">
        <v>45988</v>
      </c>
      <c r="N12834">
        <v>109</v>
      </c>
      <c r="O12834" t="s">
        <v>24</v>
      </c>
      <c r="Q12834">
        <v>1500</v>
      </c>
      <c r="R12834" t="str">
        <f>"FARMÁCIA INDIANA LJ 14 (10009)"</f>
        <v>FARMÁCIA INDIANA LJ 14 (10009)</v>
      </c>
      <c r="S12834" t="s">
        <v>77</v>
      </c>
      <c r="T12834">
        <v>22554</v>
      </c>
      <c r="U12834">
        <v>25695</v>
      </c>
      <c r="V12834" t="s">
        <v>77</v>
      </c>
    </row>
    <row r="12835" spans="1:22">
      <c r="A12835" t="str">
        <f t="shared" si="2529"/>
        <v>27/11/2025</v>
      </c>
      <c r="B12835" t="str">
        <f t="shared" si="2530"/>
        <v>SAÍDA</v>
      </c>
      <c r="C12835" t="str">
        <f t="shared" si="2531"/>
        <v>PIX</v>
      </c>
      <c r="D12835" t="str">
        <f>"25696"</f>
        <v>25696</v>
      </c>
      <c r="E12835" t="str">
        <f t="shared" si="2536"/>
        <v>1</v>
      </c>
      <c r="F12835" t="str">
        <f t="shared" si="2535"/>
        <v>COM</v>
      </c>
      <c r="G12835" t="str">
        <f>"EDIONIO CARVALHO DA SILVA (920)"</f>
        <v>EDIONIO CARVALHO DA SILVA (920)</v>
      </c>
      <c r="H12835" t="str">
        <f>"Serv.Prest. 10/11/2025 a 16/11/2025 - PIX: CELULAR - CHAVE: (33) 99199-7983"</f>
        <v>Serv.Prest. 10/11/2025 a 16/11/2025 - PIX: CELULAR - CHAVE: (33) 99199-7983</v>
      </c>
      <c r="I12835" t="str">
        <f t="shared" si="2532"/>
        <v>27/11/2025</v>
      </c>
      <c r="J12835" t="str">
        <f t="shared" si="2537"/>
        <v>18/11/2025</v>
      </c>
      <c r="K12835" t="str">
        <f>("27/11/2025")</f>
        <v>27/11/2025</v>
      </c>
      <c r="L12835">
        <v>750</v>
      </c>
      <c r="M12835">
        <v>750</v>
      </c>
      <c r="N12835">
        <v>109</v>
      </c>
      <c r="O12835" t="str">
        <f>"PAGAMENTO DE ENTREGADORES"</f>
        <v>PAGAMENTO DE ENTREGADORES</v>
      </c>
      <c r="P12835">
        <v>750</v>
      </c>
      <c r="S12835" t="str">
        <f>"BANCO C6 (149)"</f>
        <v>BANCO C6 (149)</v>
      </c>
      <c r="T12835">
        <v>22555</v>
      </c>
      <c r="U12835">
        <v>25696</v>
      </c>
      <c r="V12835" t="s">
        <v>77</v>
      </c>
    </row>
    <row r="12836" spans="1:22">
      <c r="A12836" t="str">
        <f t="shared" si="2529"/>
        <v>27/11/2025</v>
      </c>
      <c r="B12836" t="str">
        <f t="shared" si="2530"/>
        <v>SAÍDA</v>
      </c>
      <c r="C12836" t="str">
        <f t="shared" si="2531"/>
        <v>PIX</v>
      </c>
      <c r="D12836" t="str">
        <f>"25696"</f>
        <v>25696</v>
      </c>
      <c r="E12836" t="str">
        <f t="shared" si="2536"/>
        <v>1</v>
      </c>
      <c r="F12836" t="str">
        <f t="shared" si="2535"/>
        <v>COM</v>
      </c>
      <c r="G12836" t="str">
        <f>"EDIONIO CARVALHO DA SILVA (920)"</f>
        <v>EDIONIO CARVALHO DA SILVA (920)</v>
      </c>
      <c r="H12836" t="s">
        <v>3462</v>
      </c>
      <c r="I12836" t="str">
        <f t="shared" si="2532"/>
        <v>27/11/2025</v>
      </c>
      <c r="J12836" t="str">
        <f t="shared" si="2537"/>
        <v>18/11/2025</v>
      </c>
      <c r="K12836">
        <v>45988</v>
      </c>
      <c r="N12836">
        <v>109</v>
      </c>
      <c r="O12836" t="s">
        <v>24</v>
      </c>
      <c r="Q12836">
        <v>750</v>
      </c>
      <c r="R12836" t="str">
        <f>"FARMÁCIA INDIANA LJ 171 (10074)"</f>
        <v>FARMÁCIA INDIANA LJ 171 (10074)</v>
      </c>
      <c r="S12836" t="s">
        <v>77</v>
      </c>
      <c r="T12836">
        <v>22555</v>
      </c>
      <c r="U12836">
        <v>25696</v>
      </c>
      <c r="V12836" t="s">
        <v>77</v>
      </c>
    </row>
    <row r="12837" spans="1:22">
      <c r="A12837" t="str">
        <f t="shared" si="2529"/>
        <v>27/11/2025</v>
      </c>
      <c r="B12837" t="str">
        <f t="shared" si="2530"/>
        <v>SAÍDA</v>
      </c>
      <c r="C12837" t="str">
        <f t="shared" si="2531"/>
        <v>PIX</v>
      </c>
      <c r="D12837" t="str">
        <f>"25697"</f>
        <v>25697</v>
      </c>
      <c r="E12837" t="str">
        <f t="shared" si="2536"/>
        <v>1</v>
      </c>
      <c r="F12837" t="str">
        <f t="shared" si="2535"/>
        <v>COM</v>
      </c>
      <c r="G12837" t="str">
        <f>"EDSON JUNIOR FERREIRA DA SILVA (99)"</f>
        <v>EDSON JUNIOR FERREIRA DA SILVA (99)</v>
      </c>
      <c r="H12837" t="str">
        <f>"Serv.Prest. 10/11/2025 a 16/11/2025 - PIX: CPF - CHAVE: 141.134.256-98"</f>
        <v>Serv.Prest. 10/11/2025 a 16/11/2025 - PIX: CPF - CHAVE: 141.134.256-98</v>
      </c>
      <c r="I12837" t="str">
        <f t="shared" si="2532"/>
        <v>27/11/2025</v>
      </c>
      <c r="J12837" t="str">
        <f t="shared" si="2537"/>
        <v>18/11/2025</v>
      </c>
      <c r="K12837" t="str">
        <f>("27/11/2025")</f>
        <v>27/11/2025</v>
      </c>
      <c r="L12837">
        <v>700.7</v>
      </c>
      <c r="M12837">
        <v>700.7</v>
      </c>
      <c r="N12837">
        <v>109</v>
      </c>
      <c r="O12837" t="str">
        <f>"PAGAMENTO DE ENTREGADORES"</f>
        <v>PAGAMENTO DE ENTREGADORES</v>
      </c>
      <c r="P12837">
        <v>700.7</v>
      </c>
      <c r="S12837" t="str">
        <f>"BANCO C6 (149)"</f>
        <v>BANCO C6 (149)</v>
      </c>
      <c r="T12837">
        <v>22556</v>
      </c>
      <c r="U12837">
        <v>25697</v>
      </c>
      <c r="V12837" t="s">
        <v>77</v>
      </c>
    </row>
    <row r="12838" spans="1:22">
      <c r="A12838" t="str">
        <f t="shared" si="2529"/>
        <v>27/11/2025</v>
      </c>
      <c r="B12838" t="str">
        <f t="shared" si="2530"/>
        <v>SAÍDA</v>
      </c>
      <c r="C12838" t="str">
        <f t="shared" si="2531"/>
        <v>PIX</v>
      </c>
      <c r="D12838" t="str">
        <f>"25697"</f>
        <v>25697</v>
      </c>
      <c r="E12838" t="str">
        <f t="shared" si="2536"/>
        <v>1</v>
      </c>
      <c r="F12838" t="str">
        <f t="shared" si="2535"/>
        <v>COM</v>
      </c>
      <c r="G12838" t="str">
        <f>"EDSON JUNIOR FERREIRA DA SILVA (99)"</f>
        <v>EDSON JUNIOR FERREIRA DA SILVA (99)</v>
      </c>
      <c r="H12838" t="s">
        <v>3463</v>
      </c>
      <c r="I12838" t="str">
        <f t="shared" si="2532"/>
        <v>27/11/2025</v>
      </c>
      <c r="J12838" t="str">
        <f t="shared" si="2537"/>
        <v>18/11/2025</v>
      </c>
      <c r="K12838">
        <v>45988</v>
      </c>
      <c r="N12838">
        <v>109</v>
      </c>
      <c r="O12838" t="s">
        <v>24</v>
      </c>
      <c r="Q12838">
        <v>700.7</v>
      </c>
      <c r="R12838" t="str">
        <f>"FARMÁCIA INDIANA LJ 100 (10042)"</f>
        <v>FARMÁCIA INDIANA LJ 100 (10042)</v>
      </c>
      <c r="S12838" t="s">
        <v>77</v>
      </c>
      <c r="T12838">
        <v>22556</v>
      </c>
      <c r="U12838">
        <v>25697</v>
      </c>
      <c r="V12838" t="s">
        <v>77</v>
      </c>
    </row>
    <row r="12839" spans="1:22">
      <c r="A12839" t="str">
        <f t="shared" si="2529"/>
        <v>27/11/2025</v>
      </c>
      <c r="B12839" t="str">
        <f t="shared" si="2530"/>
        <v>SAÍDA</v>
      </c>
      <c r="C12839" t="str">
        <f t="shared" si="2531"/>
        <v>PIX</v>
      </c>
      <c r="D12839" t="str">
        <f>"25698"</f>
        <v>25698</v>
      </c>
      <c r="E12839" t="str">
        <f t="shared" si="2536"/>
        <v>1</v>
      </c>
      <c r="F12839" t="str">
        <f t="shared" si="2535"/>
        <v>COM</v>
      </c>
      <c r="G12839" t="str">
        <f>"EUDES PIMENTA (368)"</f>
        <v>EUDES PIMENTA (368)</v>
      </c>
      <c r="H12839" t="str">
        <f>"Serv.Prest. 10/11/2025 a 16/11/2025 - PIX: CPF - CHAVE: 070.073.316-70"</f>
        <v>Serv.Prest. 10/11/2025 a 16/11/2025 - PIX: CPF - CHAVE: 070.073.316-70</v>
      </c>
      <c r="I12839" t="str">
        <f t="shared" si="2532"/>
        <v>27/11/2025</v>
      </c>
      <c r="J12839" t="str">
        <f t="shared" si="2537"/>
        <v>18/11/2025</v>
      </c>
      <c r="K12839" t="str">
        <f>("27/11/2025")</f>
        <v>27/11/2025</v>
      </c>
      <c r="L12839">
        <v>1080</v>
      </c>
      <c r="M12839">
        <v>1080</v>
      </c>
      <c r="N12839">
        <v>109</v>
      </c>
      <c r="O12839" t="str">
        <f>"PAGAMENTO DE ENTREGADORES"</f>
        <v>PAGAMENTO DE ENTREGADORES</v>
      </c>
      <c r="P12839">
        <v>1080</v>
      </c>
      <c r="S12839" t="str">
        <f>"BANCO C6 (149)"</f>
        <v>BANCO C6 (149)</v>
      </c>
      <c r="T12839">
        <v>22557</v>
      </c>
      <c r="U12839">
        <v>25698</v>
      </c>
      <c r="V12839" t="s">
        <v>77</v>
      </c>
    </row>
    <row r="12840" spans="1:22">
      <c r="A12840" t="str">
        <f t="shared" si="2529"/>
        <v>27/11/2025</v>
      </c>
      <c r="B12840" t="str">
        <f t="shared" si="2530"/>
        <v>SAÍDA</v>
      </c>
      <c r="C12840" t="str">
        <f t="shared" si="2531"/>
        <v>PIX</v>
      </c>
      <c r="D12840" t="str">
        <f>"25698"</f>
        <v>25698</v>
      </c>
      <c r="E12840" t="str">
        <f t="shared" si="2536"/>
        <v>1</v>
      </c>
      <c r="F12840" t="str">
        <f t="shared" si="2535"/>
        <v>COM</v>
      </c>
      <c r="G12840" t="str">
        <f>"EUDES PIMENTA (368)"</f>
        <v>EUDES PIMENTA (368)</v>
      </c>
      <c r="H12840" t="s">
        <v>3464</v>
      </c>
      <c r="I12840" t="str">
        <f t="shared" si="2532"/>
        <v>27/11/2025</v>
      </c>
      <c r="J12840" t="str">
        <f t="shared" si="2537"/>
        <v>18/11/2025</v>
      </c>
      <c r="K12840">
        <v>45988</v>
      </c>
      <c r="N12840">
        <v>109</v>
      </c>
      <c r="O12840" t="s">
        <v>24</v>
      </c>
      <c r="Q12840">
        <v>1080</v>
      </c>
      <c r="R12840" t="str">
        <f>"FARMÁCIA INDIANA LJ 06 (10006)"</f>
        <v>FARMÁCIA INDIANA LJ 06 (10006)</v>
      </c>
      <c r="S12840" t="s">
        <v>77</v>
      </c>
      <c r="T12840">
        <v>22557</v>
      </c>
      <c r="U12840">
        <v>25698</v>
      </c>
      <c r="V12840" t="s">
        <v>77</v>
      </c>
    </row>
    <row r="12841" spans="1:22">
      <c r="A12841" t="str">
        <f t="shared" si="2529"/>
        <v>27/11/2025</v>
      </c>
      <c r="B12841" t="str">
        <f t="shared" si="2530"/>
        <v>SAÍDA</v>
      </c>
      <c r="C12841" t="str">
        <f t="shared" si="2531"/>
        <v>PIX</v>
      </c>
      <c r="D12841" t="str">
        <f>"25700"</f>
        <v>25700</v>
      </c>
      <c r="E12841" t="str">
        <f t="shared" si="2536"/>
        <v>1</v>
      </c>
      <c r="F12841" t="str">
        <f t="shared" si="2535"/>
        <v>COM</v>
      </c>
      <c r="G12841" t="str">
        <f>"FABRICIO RAMON SOARES SANTOS (645)"</f>
        <v>FABRICIO RAMON SOARES SANTOS (645)</v>
      </c>
      <c r="H12841" t="str">
        <f>"Serv.Prest. 10/11/2025 a 16/11/2025 - PIX: CELULAR - CHAVE: (31) 98483-3242"</f>
        <v>Serv.Prest. 10/11/2025 a 16/11/2025 - PIX: CELULAR - CHAVE: (31) 98483-3242</v>
      </c>
      <c r="I12841" t="str">
        <f t="shared" si="2532"/>
        <v>27/11/2025</v>
      </c>
      <c r="J12841" t="str">
        <f t="shared" si="2537"/>
        <v>18/11/2025</v>
      </c>
      <c r="K12841" t="str">
        <f>("27/11/2025")</f>
        <v>27/11/2025</v>
      </c>
      <c r="L12841">
        <v>1500</v>
      </c>
      <c r="M12841">
        <v>1500</v>
      </c>
      <c r="N12841">
        <v>109</v>
      </c>
      <c r="O12841" t="str">
        <f>"PAGAMENTO DE ENTREGADORES"</f>
        <v>PAGAMENTO DE ENTREGADORES</v>
      </c>
      <c r="P12841">
        <v>1500</v>
      </c>
      <c r="S12841" t="str">
        <f>"BANCO C6 (149)"</f>
        <v>BANCO C6 (149)</v>
      </c>
      <c r="T12841">
        <v>22558</v>
      </c>
      <c r="U12841">
        <v>25700</v>
      </c>
      <c r="V12841" t="s">
        <v>77</v>
      </c>
    </row>
    <row r="12842" spans="1:22">
      <c r="A12842" t="str">
        <f t="shared" si="2529"/>
        <v>27/11/2025</v>
      </c>
      <c r="B12842" t="str">
        <f t="shared" si="2530"/>
        <v>SAÍDA</v>
      </c>
      <c r="C12842" t="str">
        <f t="shared" si="2531"/>
        <v>PIX</v>
      </c>
      <c r="D12842" t="str">
        <f>"25700"</f>
        <v>25700</v>
      </c>
      <c r="E12842" t="str">
        <f t="shared" si="2536"/>
        <v>1</v>
      </c>
      <c r="F12842" t="str">
        <f t="shared" si="2535"/>
        <v>COM</v>
      </c>
      <c r="G12842" t="str">
        <f>"FABRICIO RAMON SOARES SANTOS (645)"</f>
        <v>FABRICIO RAMON SOARES SANTOS (645)</v>
      </c>
      <c r="H12842" t="s">
        <v>3465</v>
      </c>
      <c r="I12842" t="str">
        <f t="shared" si="2532"/>
        <v>27/11/2025</v>
      </c>
      <c r="J12842" t="str">
        <f t="shared" si="2537"/>
        <v>18/11/2025</v>
      </c>
      <c r="K12842">
        <v>45988</v>
      </c>
      <c r="N12842">
        <v>109</v>
      </c>
      <c r="O12842" t="s">
        <v>24</v>
      </c>
      <c r="Q12842">
        <v>1500</v>
      </c>
      <c r="R12842" t="str">
        <f>"FARMÁCIA INDIANA LJ 101 (10043)"</f>
        <v>FARMÁCIA INDIANA LJ 101 (10043)</v>
      </c>
      <c r="S12842" t="s">
        <v>77</v>
      </c>
      <c r="T12842">
        <v>22558</v>
      </c>
      <c r="U12842">
        <v>25700</v>
      </c>
      <c r="V12842" t="s">
        <v>77</v>
      </c>
    </row>
    <row r="12843" spans="1:22">
      <c r="A12843" t="str">
        <f t="shared" si="2529"/>
        <v>27/11/2025</v>
      </c>
      <c r="B12843" t="str">
        <f t="shared" si="2530"/>
        <v>SAÍDA</v>
      </c>
      <c r="C12843" t="str">
        <f t="shared" si="2531"/>
        <v>PIX</v>
      </c>
      <c r="D12843" t="str">
        <f>"26289"</f>
        <v>26289</v>
      </c>
      <c r="E12843" t="str">
        <f t="shared" si="2536"/>
        <v>1</v>
      </c>
      <c r="F12843" t="str">
        <f t="shared" si="2535"/>
        <v>COM</v>
      </c>
      <c r="G12843" t="str">
        <f>"JARLES DE SOUZA PEREIRA (109)"</f>
        <v>JARLES DE SOUZA PEREIRA (109)</v>
      </c>
      <c r="H12843" t="str">
        <f>"Serv.Prest. 17/11/2025 a 23/11/2025 - PIX: CELULAR - CHAVE: (73) 99115-9602"</f>
        <v>Serv.Prest. 17/11/2025 a 23/11/2025 - PIX: CELULAR - CHAVE: (73) 99115-9602</v>
      </c>
      <c r="I12843" t="str">
        <f t="shared" si="2532"/>
        <v>27/11/2025</v>
      </c>
      <c r="J12843" t="str">
        <f>("25/11/2025")</f>
        <v>25/11/2025</v>
      </c>
      <c r="K12843" t="str">
        <f>("27/11/2025")</f>
        <v>27/11/2025</v>
      </c>
      <c r="L12843">
        <v>960</v>
      </c>
      <c r="M12843">
        <v>960</v>
      </c>
      <c r="N12843">
        <v>109</v>
      </c>
      <c r="O12843" t="str">
        <f>"PAGAMENTO DE ENTREGADORES"</f>
        <v>PAGAMENTO DE ENTREGADORES</v>
      </c>
      <c r="P12843">
        <v>960</v>
      </c>
      <c r="S12843" t="str">
        <f>"BANCO C6 (149)"</f>
        <v>BANCO C6 (149)</v>
      </c>
      <c r="T12843">
        <v>22559</v>
      </c>
      <c r="U12843">
        <v>26317</v>
      </c>
      <c r="V12843" t="s">
        <v>77</v>
      </c>
    </row>
    <row r="12844" spans="1:22">
      <c r="A12844" t="str">
        <f t="shared" si="2529"/>
        <v>27/11/2025</v>
      </c>
      <c r="B12844" t="str">
        <f t="shared" si="2530"/>
        <v>SAÍDA</v>
      </c>
      <c r="C12844" t="str">
        <f t="shared" si="2531"/>
        <v>PIX</v>
      </c>
      <c r="D12844" t="str">
        <f>"26289"</f>
        <v>26289</v>
      </c>
      <c r="E12844" t="str">
        <f t="shared" si="2536"/>
        <v>1</v>
      </c>
      <c r="F12844" t="str">
        <f t="shared" si="2535"/>
        <v>COM</v>
      </c>
      <c r="G12844" t="str">
        <f>"JARLES DE SOUZA PEREIRA (109)"</f>
        <v>JARLES DE SOUZA PEREIRA (109)</v>
      </c>
      <c r="H12844" t="s">
        <v>3466</v>
      </c>
      <c r="I12844" t="str">
        <f t="shared" si="2532"/>
        <v>27/11/2025</v>
      </c>
      <c r="J12844" t="str">
        <f>("25/11/2025")</f>
        <v>25/11/2025</v>
      </c>
      <c r="K12844">
        <v>45988</v>
      </c>
      <c r="N12844">
        <v>109</v>
      </c>
      <c r="O12844" t="s">
        <v>24</v>
      </c>
      <c r="Q12844">
        <v>640.03</v>
      </c>
      <c r="R12844" t="str">
        <f>"FARMÁCIA INDIANA LJ 65 (10030)"</f>
        <v>FARMÁCIA INDIANA LJ 65 (10030)</v>
      </c>
      <c r="S12844" t="s">
        <v>77</v>
      </c>
      <c r="T12844">
        <v>22559</v>
      </c>
      <c r="U12844">
        <v>26317</v>
      </c>
      <c r="V12844" t="s">
        <v>77</v>
      </c>
    </row>
    <row r="12845" spans="1:22">
      <c r="A12845" t="str">
        <f t="shared" si="2529"/>
        <v>27/11/2025</v>
      </c>
      <c r="B12845" t="str">
        <f t="shared" si="2530"/>
        <v>SAÍDA</v>
      </c>
      <c r="C12845" t="str">
        <f t="shared" si="2531"/>
        <v>PIX</v>
      </c>
      <c r="D12845" t="str">
        <f>"26289"</f>
        <v>26289</v>
      </c>
      <c r="E12845" t="str">
        <f t="shared" si="2536"/>
        <v>1</v>
      </c>
      <c r="F12845" t="str">
        <f t="shared" si="2535"/>
        <v>COM</v>
      </c>
      <c r="G12845" t="str">
        <f>"JARLES DE SOUZA PEREIRA (109)"</f>
        <v>JARLES DE SOUZA PEREIRA (109)</v>
      </c>
      <c r="H12845" t="s">
        <v>3466</v>
      </c>
      <c r="I12845" t="str">
        <f t="shared" si="2532"/>
        <v>27/11/2025</v>
      </c>
      <c r="J12845" t="str">
        <f>("25/11/2025")</f>
        <v>25/11/2025</v>
      </c>
      <c r="K12845">
        <v>45988</v>
      </c>
      <c r="N12845">
        <v>109</v>
      </c>
      <c r="O12845" t="s">
        <v>24</v>
      </c>
      <c r="Q12845">
        <v>319.97000000000003</v>
      </c>
      <c r="R12845" t="str">
        <f>"FARMÁCIA INDIANA LJ 173 (10075)"</f>
        <v>FARMÁCIA INDIANA LJ 173 (10075)</v>
      </c>
      <c r="S12845" t="s">
        <v>77</v>
      </c>
      <c r="T12845">
        <v>22559</v>
      </c>
      <c r="U12845">
        <v>26317</v>
      </c>
      <c r="V12845" t="s">
        <v>77</v>
      </c>
    </row>
    <row r="12846" spans="1:22">
      <c r="A12846" t="str">
        <f t="shared" si="2529"/>
        <v>27/11/2025</v>
      </c>
      <c r="B12846" t="str">
        <f t="shared" si="2530"/>
        <v>SAÍDA</v>
      </c>
      <c r="C12846" t="str">
        <f t="shared" si="2531"/>
        <v>PIX</v>
      </c>
      <c r="D12846" t="str">
        <f>"25701"</f>
        <v>25701</v>
      </c>
      <c r="E12846" t="str">
        <f t="shared" si="2536"/>
        <v>1</v>
      </c>
      <c r="F12846" t="str">
        <f t="shared" si="2535"/>
        <v>COM</v>
      </c>
      <c r="G12846" t="str">
        <f>"GABRIEL DA SILVA REIS (824)"</f>
        <v>GABRIEL DA SILVA REIS (824)</v>
      </c>
      <c r="H12846" t="str">
        <f>"Serv.Prest. 10/11/2025 a 16/11/2025 - PIX: CPF - CHAVE: 160.160.216-28"</f>
        <v>Serv.Prest. 10/11/2025 a 16/11/2025 - PIX: CPF - CHAVE: 160.160.216-28</v>
      </c>
      <c r="I12846" t="str">
        <f t="shared" si="2532"/>
        <v>27/11/2025</v>
      </c>
      <c r="J12846" t="str">
        <f t="shared" ref="J12846:J12877" si="2538">("18/11/2025")</f>
        <v>18/11/2025</v>
      </c>
      <c r="K12846" t="str">
        <f>("27/11/2025")</f>
        <v>27/11/2025</v>
      </c>
      <c r="L12846">
        <v>700.7</v>
      </c>
      <c r="M12846">
        <v>700.7</v>
      </c>
      <c r="N12846">
        <v>109</v>
      </c>
      <c r="O12846" t="str">
        <f>"PAGAMENTO DE ENTREGADORES"</f>
        <v>PAGAMENTO DE ENTREGADORES</v>
      </c>
      <c r="P12846">
        <v>700.7</v>
      </c>
      <c r="S12846" t="str">
        <f>"BANCO C6 (149)"</f>
        <v>BANCO C6 (149)</v>
      </c>
      <c r="T12846">
        <v>22560</v>
      </c>
      <c r="U12846">
        <v>25701</v>
      </c>
      <c r="V12846" t="s">
        <v>77</v>
      </c>
    </row>
    <row r="12847" spans="1:22">
      <c r="A12847" t="str">
        <f t="shared" si="2529"/>
        <v>27/11/2025</v>
      </c>
      <c r="B12847" t="str">
        <f t="shared" si="2530"/>
        <v>SAÍDA</v>
      </c>
      <c r="C12847" t="str">
        <f t="shared" si="2531"/>
        <v>PIX</v>
      </c>
      <c r="D12847" t="str">
        <f>"25701"</f>
        <v>25701</v>
      </c>
      <c r="E12847" t="str">
        <f t="shared" si="2536"/>
        <v>1</v>
      </c>
      <c r="F12847" t="str">
        <f t="shared" si="2535"/>
        <v>COM</v>
      </c>
      <c r="G12847" t="str">
        <f>"GABRIEL DA SILVA REIS (824)"</f>
        <v>GABRIEL DA SILVA REIS (824)</v>
      </c>
      <c r="H12847" t="s">
        <v>3467</v>
      </c>
      <c r="I12847" t="str">
        <f t="shared" si="2532"/>
        <v>27/11/2025</v>
      </c>
      <c r="J12847" t="str">
        <f t="shared" si="2538"/>
        <v>18/11/2025</v>
      </c>
      <c r="K12847">
        <v>45988</v>
      </c>
      <c r="N12847">
        <v>109</v>
      </c>
      <c r="O12847" t="s">
        <v>24</v>
      </c>
      <c r="Q12847">
        <v>700.7</v>
      </c>
      <c r="R12847" t="str">
        <f>"FARMÁCIA INDIANA LJ 100 (10042)"</f>
        <v>FARMÁCIA INDIANA LJ 100 (10042)</v>
      </c>
      <c r="S12847" t="s">
        <v>77</v>
      </c>
      <c r="T12847">
        <v>22560</v>
      </c>
      <c r="U12847">
        <v>25701</v>
      </c>
      <c r="V12847" t="s">
        <v>77</v>
      </c>
    </row>
    <row r="12848" spans="1:22">
      <c r="A12848" t="str">
        <f t="shared" si="2529"/>
        <v>27/11/2025</v>
      </c>
      <c r="B12848" t="str">
        <f t="shared" si="2530"/>
        <v>SAÍDA</v>
      </c>
      <c r="C12848" t="str">
        <f t="shared" si="2531"/>
        <v>PIX</v>
      </c>
      <c r="D12848" t="str">
        <f>"25702"</f>
        <v>25702</v>
      </c>
      <c r="E12848" t="str">
        <f t="shared" si="2536"/>
        <v>1</v>
      </c>
      <c r="F12848" t="str">
        <f t="shared" si="2535"/>
        <v>COM</v>
      </c>
      <c r="G12848" t="str">
        <f>"GABRIEL SOARES VIEIRA (18)"</f>
        <v>GABRIEL SOARES VIEIRA (18)</v>
      </c>
      <c r="H12848" t="str">
        <f>"Serv.Prest. 10/11/2025 a 16/11/2025 - PIX: CPF - CHAVE: 179.800.027-09"</f>
        <v>Serv.Prest. 10/11/2025 a 16/11/2025 - PIX: CPF - CHAVE: 179.800.027-09</v>
      </c>
      <c r="I12848" t="str">
        <f t="shared" si="2532"/>
        <v>27/11/2025</v>
      </c>
      <c r="J12848" t="str">
        <f t="shared" si="2538"/>
        <v>18/11/2025</v>
      </c>
      <c r="K12848" t="str">
        <f>("27/11/2025")</f>
        <v>27/11/2025</v>
      </c>
      <c r="L12848">
        <v>707.5</v>
      </c>
      <c r="M12848">
        <v>707.5</v>
      </c>
      <c r="N12848">
        <v>109</v>
      </c>
      <c r="O12848" t="str">
        <f>"PAGAMENTO DE ENTREGADORES"</f>
        <v>PAGAMENTO DE ENTREGADORES</v>
      </c>
      <c r="P12848">
        <v>707.5</v>
      </c>
      <c r="S12848" t="str">
        <f>"BANCO C6 (149)"</f>
        <v>BANCO C6 (149)</v>
      </c>
      <c r="T12848">
        <v>22561</v>
      </c>
      <c r="U12848">
        <v>25702</v>
      </c>
      <c r="V12848" t="s">
        <v>77</v>
      </c>
    </row>
    <row r="12849" spans="1:22">
      <c r="A12849" t="str">
        <f t="shared" si="2529"/>
        <v>27/11/2025</v>
      </c>
      <c r="B12849" t="str">
        <f t="shared" si="2530"/>
        <v>SAÍDA</v>
      </c>
      <c r="C12849" t="str">
        <f t="shared" si="2531"/>
        <v>PIX</v>
      </c>
      <c r="D12849" t="str">
        <f>"25702"</f>
        <v>25702</v>
      </c>
      <c r="E12849" t="str">
        <f t="shared" si="2536"/>
        <v>1</v>
      </c>
      <c r="F12849" t="str">
        <f t="shared" si="2535"/>
        <v>COM</v>
      </c>
      <c r="G12849" t="str">
        <f>"GABRIEL SOARES VIEIRA (18)"</f>
        <v>GABRIEL SOARES VIEIRA (18)</v>
      </c>
      <c r="H12849" t="s">
        <v>3393</v>
      </c>
      <c r="I12849" t="str">
        <f t="shared" si="2532"/>
        <v>27/11/2025</v>
      </c>
      <c r="J12849" t="str">
        <f t="shared" si="2538"/>
        <v>18/11/2025</v>
      </c>
      <c r="K12849">
        <v>45988</v>
      </c>
      <c r="N12849">
        <v>109</v>
      </c>
      <c r="O12849" t="s">
        <v>24</v>
      </c>
      <c r="Q12849">
        <v>668.94</v>
      </c>
      <c r="R12849" t="str">
        <f>"FARMÁCIA INDIANA LJ 40 (10016)"</f>
        <v>FARMÁCIA INDIANA LJ 40 (10016)</v>
      </c>
      <c r="S12849" t="s">
        <v>77</v>
      </c>
      <c r="T12849">
        <v>22561</v>
      </c>
      <c r="U12849">
        <v>25702</v>
      </c>
      <c r="V12849" t="s">
        <v>77</v>
      </c>
    </row>
    <row r="12850" spans="1:22">
      <c r="A12850" t="str">
        <f t="shared" si="2529"/>
        <v>27/11/2025</v>
      </c>
      <c r="B12850" t="str">
        <f t="shared" si="2530"/>
        <v>SAÍDA</v>
      </c>
      <c r="C12850" t="str">
        <f t="shared" si="2531"/>
        <v>PIX</v>
      </c>
      <c r="D12850" t="str">
        <f>"25702"</f>
        <v>25702</v>
      </c>
      <c r="E12850" t="str">
        <f t="shared" si="2536"/>
        <v>1</v>
      </c>
      <c r="F12850" t="str">
        <f t="shared" si="2535"/>
        <v>COM</v>
      </c>
      <c r="G12850" t="str">
        <f>"GABRIEL SOARES VIEIRA (18)"</f>
        <v>GABRIEL SOARES VIEIRA (18)</v>
      </c>
      <c r="H12850" t="s">
        <v>3393</v>
      </c>
      <c r="I12850" t="str">
        <f t="shared" si="2532"/>
        <v>27/11/2025</v>
      </c>
      <c r="J12850" t="str">
        <f t="shared" si="2538"/>
        <v>18/11/2025</v>
      </c>
      <c r="K12850">
        <v>45988</v>
      </c>
      <c r="N12850">
        <v>109</v>
      </c>
      <c r="O12850" t="s">
        <v>24</v>
      </c>
      <c r="Q12850">
        <v>38.56</v>
      </c>
      <c r="R12850" t="str">
        <f>"FARMÁCIA INDIANA LJ 61 (10027)"</f>
        <v>FARMÁCIA INDIANA LJ 61 (10027)</v>
      </c>
      <c r="S12850" t="s">
        <v>77</v>
      </c>
      <c r="T12850">
        <v>22561</v>
      </c>
      <c r="U12850">
        <v>25702</v>
      </c>
      <c r="V12850" t="s">
        <v>77</v>
      </c>
    </row>
    <row r="12851" spans="1:22">
      <c r="A12851" t="str">
        <f t="shared" ref="A12851:A12914" si="2539">("27/11/2025")</f>
        <v>27/11/2025</v>
      </c>
      <c r="B12851" t="str">
        <f t="shared" ref="B12851:B12914" si="2540">"SAÍDA"</f>
        <v>SAÍDA</v>
      </c>
      <c r="C12851" t="str">
        <f t="shared" ref="C12851:C12914" si="2541">"PIX"</f>
        <v>PIX</v>
      </c>
      <c r="D12851" t="str">
        <f>"25703"</f>
        <v>25703</v>
      </c>
      <c r="E12851" t="str">
        <f t="shared" si="2536"/>
        <v>1</v>
      </c>
      <c r="F12851" t="str">
        <f t="shared" si="2535"/>
        <v>COM</v>
      </c>
      <c r="G12851" t="str">
        <f>"GILDASIO DOMINGOS DOS SANTOS (54)"</f>
        <v>GILDASIO DOMINGOS DOS SANTOS (54)</v>
      </c>
      <c r="H12851" t="str">
        <f>"Serv.Prest. 10/11/2025 a 16/11/2025 - PIX: CELULAR - CHAVE: (33) 98857-0494"</f>
        <v>Serv.Prest. 10/11/2025 a 16/11/2025 - PIX: CELULAR - CHAVE: (33) 98857-0494</v>
      </c>
      <c r="I12851" t="str">
        <f t="shared" ref="I12851:I12914" si="2542">("27/11/2025")</f>
        <v>27/11/2025</v>
      </c>
      <c r="J12851" t="str">
        <f t="shared" si="2538"/>
        <v>18/11/2025</v>
      </c>
      <c r="K12851" t="str">
        <f>("27/11/2025")</f>
        <v>27/11/2025</v>
      </c>
      <c r="L12851">
        <v>1218</v>
      </c>
      <c r="M12851">
        <v>1218</v>
      </c>
      <c r="N12851">
        <v>109</v>
      </c>
      <c r="O12851" t="str">
        <f>"PAGAMENTO DE ENTREGADORES"</f>
        <v>PAGAMENTO DE ENTREGADORES</v>
      </c>
      <c r="P12851">
        <v>1218</v>
      </c>
      <c r="S12851" t="str">
        <f>"BANCO C6 (149)"</f>
        <v>BANCO C6 (149)</v>
      </c>
      <c r="T12851">
        <v>22562</v>
      </c>
      <c r="U12851">
        <v>25703</v>
      </c>
      <c r="V12851" t="s">
        <v>77</v>
      </c>
    </row>
    <row r="12852" spans="1:22">
      <c r="A12852" t="str">
        <f t="shared" si="2539"/>
        <v>27/11/2025</v>
      </c>
      <c r="B12852" t="str">
        <f t="shared" si="2540"/>
        <v>SAÍDA</v>
      </c>
      <c r="C12852" t="str">
        <f t="shared" si="2541"/>
        <v>PIX</v>
      </c>
      <c r="D12852" t="str">
        <f>"25703"</f>
        <v>25703</v>
      </c>
      <c r="E12852" t="str">
        <f t="shared" si="2536"/>
        <v>1</v>
      </c>
      <c r="F12852" t="str">
        <f t="shared" si="2535"/>
        <v>COM</v>
      </c>
      <c r="G12852" t="str">
        <f>"GILDASIO DOMINGOS DOS SANTOS (54)"</f>
        <v>GILDASIO DOMINGOS DOS SANTOS (54)</v>
      </c>
      <c r="H12852" t="s">
        <v>3468</v>
      </c>
      <c r="I12852" t="str">
        <f t="shared" si="2542"/>
        <v>27/11/2025</v>
      </c>
      <c r="J12852" t="str">
        <f t="shared" si="2538"/>
        <v>18/11/2025</v>
      </c>
      <c r="K12852">
        <v>45988</v>
      </c>
      <c r="N12852">
        <v>109</v>
      </c>
      <c r="O12852" t="s">
        <v>24</v>
      </c>
      <c r="Q12852">
        <v>1218</v>
      </c>
      <c r="R12852" t="str">
        <f>"FARMÁCIA INDIANA LJ 07 (10007)"</f>
        <v>FARMÁCIA INDIANA LJ 07 (10007)</v>
      </c>
      <c r="S12852" t="s">
        <v>77</v>
      </c>
      <c r="T12852">
        <v>22562</v>
      </c>
      <c r="U12852">
        <v>25703</v>
      </c>
      <c r="V12852" t="s">
        <v>77</v>
      </c>
    </row>
    <row r="12853" spans="1:22">
      <c r="A12853" t="str">
        <f t="shared" si="2539"/>
        <v>27/11/2025</v>
      </c>
      <c r="B12853" t="str">
        <f t="shared" si="2540"/>
        <v>SAÍDA</v>
      </c>
      <c r="C12853" t="str">
        <f t="shared" si="2541"/>
        <v>PIX</v>
      </c>
      <c r="D12853" t="str">
        <f>"25704"</f>
        <v>25704</v>
      </c>
      <c r="E12853" t="str">
        <f t="shared" ref="E12853:E12884" si="2543">"1"</f>
        <v>1</v>
      </c>
      <c r="F12853" t="str">
        <f t="shared" si="2535"/>
        <v>COM</v>
      </c>
      <c r="G12853" t="str">
        <f>"GILNEI MENDES COELHO (195)"</f>
        <v>GILNEI MENDES COELHO (195)</v>
      </c>
      <c r="H12853" t="str">
        <f>"Serv.Prest. 10/11/2025 a 16/11/2025 - PIX: CPF - CHAVE: 386.313.426-53"</f>
        <v>Serv.Prest. 10/11/2025 a 16/11/2025 - PIX: CPF - CHAVE: 386.313.426-53</v>
      </c>
      <c r="I12853" t="str">
        <f t="shared" si="2542"/>
        <v>27/11/2025</v>
      </c>
      <c r="J12853" t="str">
        <f t="shared" si="2538"/>
        <v>18/11/2025</v>
      </c>
      <c r="K12853" t="str">
        <f>("27/11/2025")</f>
        <v>27/11/2025</v>
      </c>
      <c r="L12853">
        <v>360</v>
      </c>
      <c r="M12853">
        <v>360</v>
      </c>
      <c r="N12853">
        <v>109</v>
      </c>
      <c r="O12853" t="str">
        <f>"PAGAMENTO DE ENTREGADORES"</f>
        <v>PAGAMENTO DE ENTREGADORES</v>
      </c>
      <c r="P12853">
        <v>360</v>
      </c>
      <c r="S12853" t="str">
        <f>"BANCO C6 (149)"</f>
        <v>BANCO C6 (149)</v>
      </c>
      <c r="T12853">
        <v>22563</v>
      </c>
      <c r="U12853">
        <v>25704</v>
      </c>
      <c r="V12853" t="s">
        <v>77</v>
      </c>
    </row>
    <row r="12854" spans="1:22">
      <c r="A12854" t="str">
        <f t="shared" si="2539"/>
        <v>27/11/2025</v>
      </c>
      <c r="B12854" t="str">
        <f t="shared" si="2540"/>
        <v>SAÍDA</v>
      </c>
      <c r="C12854" t="str">
        <f t="shared" si="2541"/>
        <v>PIX</v>
      </c>
      <c r="D12854" t="str">
        <f>"25704"</f>
        <v>25704</v>
      </c>
      <c r="E12854" t="str">
        <f t="shared" si="2543"/>
        <v>1</v>
      </c>
      <c r="F12854" t="str">
        <f t="shared" si="2535"/>
        <v>COM</v>
      </c>
      <c r="G12854" t="str">
        <f>"GILNEI MENDES COELHO (195)"</f>
        <v>GILNEI MENDES COELHO (195)</v>
      </c>
      <c r="H12854" t="s">
        <v>3469</v>
      </c>
      <c r="I12854" t="str">
        <f t="shared" si="2542"/>
        <v>27/11/2025</v>
      </c>
      <c r="J12854" t="str">
        <f t="shared" si="2538"/>
        <v>18/11/2025</v>
      </c>
      <c r="K12854">
        <v>45988</v>
      </c>
      <c r="N12854">
        <v>109</v>
      </c>
      <c r="O12854" t="s">
        <v>24</v>
      </c>
      <c r="Q12854">
        <v>360</v>
      </c>
      <c r="R12854" t="str">
        <f>"FARMÁCIA INDIANA LJ 06 (10006)"</f>
        <v>FARMÁCIA INDIANA LJ 06 (10006)</v>
      </c>
      <c r="S12854" t="s">
        <v>77</v>
      </c>
      <c r="T12854">
        <v>22563</v>
      </c>
      <c r="U12854">
        <v>25704</v>
      </c>
      <c r="V12854" t="s">
        <v>77</v>
      </c>
    </row>
    <row r="12855" spans="1:22">
      <c r="A12855" t="str">
        <f t="shared" si="2539"/>
        <v>27/11/2025</v>
      </c>
      <c r="B12855" t="str">
        <f t="shared" si="2540"/>
        <v>SAÍDA</v>
      </c>
      <c r="C12855" t="str">
        <f t="shared" si="2541"/>
        <v>PIX</v>
      </c>
      <c r="D12855" t="str">
        <f>"25705"</f>
        <v>25705</v>
      </c>
      <c r="E12855" t="str">
        <f t="shared" si="2543"/>
        <v>1</v>
      </c>
      <c r="F12855" t="str">
        <f t="shared" si="2535"/>
        <v>COM</v>
      </c>
      <c r="G12855" t="str">
        <f>"GUILHERME QUINTINO DA ROCHA (199)"</f>
        <v>GUILHERME QUINTINO DA ROCHA (199)</v>
      </c>
      <c r="H12855" t="str">
        <f>"Serv.Prest. 10/11/2025 a 16/11/2025 - PIX: CELULAR - CHAVE: (33) 99706-4860"</f>
        <v>Serv.Prest. 10/11/2025 a 16/11/2025 - PIX: CELULAR - CHAVE: (33) 99706-4860</v>
      </c>
      <c r="I12855" t="str">
        <f t="shared" si="2542"/>
        <v>27/11/2025</v>
      </c>
      <c r="J12855" t="str">
        <f t="shared" si="2538"/>
        <v>18/11/2025</v>
      </c>
      <c r="K12855" t="str">
        <f>("27/11/2025")</f>
        <v>27/11/2025</v>
      </c>
      <c r="L12855">
        <v>1080</v>
      </c>
      <c r="M12855">
        <v>1080</v>
      </c>
      <c r="N12855">
        <v>109</v>
      </c>
      <c r="O12855" t="str">
        <f>"PAGAMENTO DE ENTREGADORES"</f>
        <v>PAGAMENTO DE ENTREGADORES</v>
      </c>
      <c r="P12855">
        <v>1080</v>
      </c>
      <c r="S12855" t="str">
        <f>"BANCO C6 (149)"</f>
        <v>BANCO C6 (149)</v>
      </c>
      <c r="T12855">
        <v>22564</v>
      </c>
      <c r="U12855">
        <v>25705</v>
      </c>
      <c r="V12855" t="s">
        <v>77</v>
      </c>
    </row>
    <row r="12856" spans="1:22">
      <c r="A12856" t="str">
        <f t="shared" si="2539"/>
        <v>27/11/2025</v>
      </c>
      <c r="B12856" t="str">
        <f t="shared" si="2540"/>
        <v>SAÍDA</v>
      </c>
      <c r="C12856" t="str">
        <f t="shared" si="2541"/>
        <v>PIX</v>
      </c>
      <c r="D12856" t="str">
        <f>"25705"</f>
        <v>25705</v>
      </c>
      <c r="E12856" t="str">
        <f t="shared" si="2543"/>
        <v>1</v>
      </c>
      <c r="F12856" t="str">
        <f t="shared" si="2535"/>
        <v>COM</v>
      </c>
      <c r="G12856" t="str">
        <f>"GUILHERME QUINTINO DA ROCHA (199)"</f>
        <v>GUILHERME QUINTINO DA ROCHA (199)</v>
      </c>
      <c r="H12856" t="s">
        <v>3470</v>
      </c>
      <c r="I12856" t="str">
        <f t="shared" si="2542"/>
        <v>27/11/2025</v>
      </c>
      <c r="J12856" t="str">
        <f t="shared" si="2538"/>
        <v>18/11/2025</v>
      </c>
      <c r="K12856">
        <v>45988</v>
      </c>
      <c r="N12856">
        <v>109</v>
      </c>
      <c r="O12856" t="s">
        <v>24</v>
      </c>
      <c r="Q12856">
        <v>1080</v>
      </c>
      <c r="R12856" t="str">
        <f>"FARMÁCIA INDIANA LJ 06 (10006)"</f>
        <v>FARMÁCIA INDIANA LJ 06 (10006)</v>
      </c>
      <c r="S12856" t="s">
        <v>77</v>
      </c>
      <c r="T12856">
        <v>22564</v>
      </c>
      <c r="U12856">
        <v>25705</v>
      </c>
      <c r="V12856" t="s">
        <v>77</v>
      </c>
    </row>
    <row r="12857" spans="1:22">
      <c r="A12857" t="str">
        <f t="shared" si="2539"/>
        <v>27/11/2025</v>
      </c>
      <c r="B12857" t="str">
        <f t="shared" si="2540"/>
        <v>SAÍDA</v>
      </c>
      <c r="C12857" t="str">
        <f t="shared" si="2541"/>
        <v>PIX</v>
      </c>
      <c r="D12857" t="str">
        <f>"25706"</f>
        <v>25706</v>
      </c>
      <c r="E12857" t="str">
        <f t="shared" si="2543"/>
        <v>1</v>
      </c>
      <c r="F12857" t="str">
        <f t="shared" si="2535"/>
        <v>COM</v>
      </c>
      <c r="G12857" t="str">
        <f>"GUSTAVO ALVES DE ARAÚJO (298)"</f>
        <v>GUSTAVO ALVES DE ARAÚJO (298)</v>
      </c>
      <c r="H12857" t="str">
        <f>"Serv.Prest. 10/11/2025 a 16/11/2025 - PIX: CELULAR - CHAVE: (31) 99816-8965"</f>
        <v>Serv.Prest. 10/11/2025 a 16/11/2025 - PIX: CELULAR - CHAVE: (31) 99816-8965</v>
      </c>
      <c r="I12857" t="str">
        <f t="shared" si="2542"/>
        <v>27/11/2025</v>
      </c>
      <c r="J12857" t="str">
        <f t="shared" si="2538"/>
        <v>18/11/2025</v>
      </c>
      <c r="K12857" t="str">
        <f>("27/11/2025")</f>
        <v>27/11/2025</v>
      </c>
      <c r="L12857">
        <v>1044</v>
      </c>
      <c r="M12857">
        <v>1044</v>
      </c>
      <c r="N12857">
        <v>109</v>
      </c>
      <c r="O12857" t="str">
        <f>"PAGAMENTO DE ENTREGADORES"</f>
        <v>PAGAMENTO DE ENTREGADORES</v>
      </c>
      <c r="P12857">
        <v>1044</v>
      </c>
      <c r="S12857" t="str">
        <f>"BANCO C6 (149)"</f>
        <v>BANCO C6 (149)</v>
      </c>
      <c r="T12857">
        <v>22565</v>
      </c>
      <c r="U12857">
        <v>25706</v>
      </c>
      <c r="V12857" t="s">
        <v>77</v>
      </c>
    </row>
    <row r="12858" spans="1:22">
      <c r="A12858" t="str">
        <f t="shared" si="2539"/>
        <v>27/11/2025</v>
      </c>
      <c r="B12858" t="str">
        <f t="shared" si="2540"/>
        <v>SAÍDA</v>
      </c>
      <c r="C12858" t="str">
        <f t="shared" si="2541"/>
        <v>PIX</v>
      </c>
      <c r="D12858" t="str">
        <f>"25706"</f>
        <v>25706</v>
      </c>
      <c r="E12858" t="str">
        <f t="shared" si="2543"/>
        <v>1</v>
      </c>
      <c r="F12858" t="str">
        <f t="shared" si="2535"/>
        <v>COM</v>
      </c>
      <c r="G12858" t="str">
        <f>"GUSTAVO ALVES DE ARAÚJO (298)"</f>
        <v>GUSTAVO ALVES DE ARAÚJO (298)</v>
      </c>
      <c r="H12858" t="s">
        <v>3471</v>
      </c>
      <c r="I12858" t="str">
        <f t="shared" si="2542"/>
        <v>27/11/2025</v>
      </c>
      <c r="J12858" t="str">
        <f t="shared" si="2538"/>
        <v>18/11/2025</v>
      </c>
      <c r="K12858">
        <v>45988</v>
      </c>
      <c r="N12858">
        <v>109</v>
      </c>
      <c r="O12858" t="s">
        <v>24</v>
      </c>
      <c r="Q12858">
        <v>1044</v>
      </c>
      <c r="R12858" t="str">
        <f>"FARMÁCIA INDIANA LJ 172 (10161)"</f>
        <v>FARMÁCIA INDIANA LJ 172 (10161)</v>
      </c>
      <c r="S12858" t="s">
        <v>77</v>
      </c>
      <c r="T12858">
        <v>22565</v>
      </c>
      <c r="U12858">
        <v>25706</v>
      </c>
      <c r="V12858" t="s">
        <v>77</v>
      </c>
    </row>
    <row r="12859" spans="1:22">
      <c r="A12859" t="str">
        <f t="shared" si="2539"/>
        <v>27/11/2025</v>
      </c>
      <c r="B12859" t="str">
        <f t="shared" si="2540"/>
        <v>SAÍDA</v>
      </c>
      <c r="C12859" t="str">
        <f t="shared" si="2541"/>
        <v>PIX</v>
      </c>
      <c r="D12859" t="str">
        <f>"25707"</f>
        <v>25707</v>
      </c>
      <c r="E12859" t="str">
        <f t="shared" si="2543"/>
        <v>1</v>
      </c>
      <c r="F12859" t="str">
        <f t="shared" si="2535"/>
        <v>COM</v>
      </c>
      <c r="G12859" t="str">
        <f>"GUSTAVO HENRIQUE OLIVEIRA (661)"</f>
        <v>GUSTAVO HENRIQUE OLIVEIRA (661)</v>
      </c>
      <c r="H12859" t="str">
        <f>"Serv.Prest. 10/11/2025 a 16/11/2025 - PIX: CPF - CHAVE: 113.084.266-58"</f>
        <v>Serv.Prest. 10/11/2025 a 16/11/2025 - PIX: CPF - CHAVE: 113.084.266-58</v>
      </c>
      <c r="I12859" t="str">
        <f t="shared" si="2542"/>
        <v>27/11/2025</v>
      </c>
      <c r="J12859" t="str">
        <f t="shared" si="2538"/>
        <v>18/11/2025</v>
      </c>
      <c r="K12859" t="str">
        <f>("27/11/2025")</f>
        <v>27/11/2025</v>
      </c>
      <c r="L12859">
        <v>822</v>
      </c>
      <c r="M12859">
        <v>822</v>
      </c>
      <c r="N12859">
        <v>109</v>
      </c>
      <c r="O12859" t="str">
        <f>"PAGAMENTO DE ENTREGADORES"</f>
        <v>PAGAMENTO DE ENTREGADORES</v>
      </c>
      <c r="P12859">
        <v>822</v>
      </c>
      <c r="S12859" t="str">
        <f>"BANCO C6 (149)"</f>
        <v>BANCO C6 (149)</v>
      </c>
      <c r="T12859">
        <v>22566</v>
      </c>
      <c r="U12859">
        <v>25707</v>
      </c>
      <c r="V12859" t="s">
        <v>77</v>
      </c>
    </row>
    <row r="12860" spans="1:22">
      <c r="A12860" t="str">
        <f t="shared" si="2539"/>
        <v>27/11/2025</v>
      </c>
      <c r="B12860" t="str">
        <f t="shared" si="2540"/>
        <v>SAÍDA</v>
      </c>
      <c r="C12860" t="str">
        <f t="shared" si="2541"/>
        <v>PIX</v>
      </c>
      <c r="D12860" t="str">
        <f>"25707"</f>
        <v>25707</v>
      </c>
      <c r="E12860" t="str">
        <f t="shared" si="2543"/>
        <v>1</v>
      </c>
      <c r="F12860" t="str">
        <f t="shared" si="2535"/>
        <v>COM</v>
      </c>
      <c r="G12860" t="str">
        <f>"GUSTAVO HENRIQUE OLIVEIRA (661)"</f>
        <v>GUSTAVO HENRIQUE OLIVEIRA (661)</v>
      </c>
      <c r="H12860" t="s">
        <v>3472</v>
      </c>
      <c r="I12860" t="str">
        <f t="shared" si="2542"/>
        <v>27/11/2025</v>
      </c>
      <c r="J12860" t="str">
        <f t="shared" si="2538"/>
        <v>18/11/2025</v>
      </c>
      <c r="K12860">
        <v>45988</v>
      </c>
      <c r="N12860">
        <v>109</v>
      </c>
      <c r="O12860" t="s">
        <v>24</v>
      </c>
      <c r="Q12860">
        <v>822</v>
      </c>
      <c r="R12860" t="str">
        <f>"FARMÁCIA INDIANA LJ 110 (10048)"</f>
        <v>FARMÁCIA INDIANA LJ 110 (10048)</v>
      </c>
      <c r="S12860" t="s">
        <v>77</v>
      </c>
      <c r="T12860">
        <v>22566</v>
      </c>
      <c r="U12860">
        <v>25707</v>
      </c>
      <c r="V12860" t="s">
        <v>77</v>
      </c>
    </row>
    <row r="12861" spans="1:22">
      <c r="A12861" t="str">
        <f t="shared" si="2539"/>
        <v>27/11/2025</v>
      </c>
      <c r="B12861" t="str">
        <f t="shared" si="2540"/>
        <v>SAÍDA</v>
      </c>
      <c r="C12861" t="str">
        <f t="shared" si="2541"/>
        <v>PIX</v>
      </c>
      <c r="D12861" t="str">
        <f>"25708"</f>
        <v>25708</v>
      </c>
      <c r="E12861" t="str">
        <f t="shared" si="2543"/>
        <v>1</v>
      </c>
      <c r="F12861" t="str">
        <f t="shared" si="2535"/>
        <v>COM</v>
      </c>
      <c r="G12861" t="str">
        <f>"IVAN SOUZA SANTOS (101)"</f>
        <v>IVAN SOUZA SANTOS (101)</v>
      </c>
      <c r="H12861" t="str">
        <f>"Serv.Prest. 10/11/2025 a 16/11/2025 - PIX: CPF - CHAVE: 067.393.286-92"</f>
        <v>Serv.Prest. 10/11/2025 a 16/11/2025 - PIX: CPF - CHAVE: 067.393.286-92</v>
      </c>
      <c r="I12861" t="str">
        <f t="shared" si="2542"/>
        <v>27/11/2025</v>
      </c>
      <c r="J12861" t="str">
        <f t="shared" si="2538"/>
        <v>18/11/2025</v>
      </c>
      <c r="K12861" t="str">
        <f>("27/11/2025")</f>
        <v>27/11/2025</v>
      </c>
      <c r="L12861">
        <v>984.9</v>
      </c>
      <c r="M12861">
        <v>984.9</v>
      </c>
      <c r="N12861">
        <v>109</v>
      </c>
      <c r="O12861" t="str">
        <f>"PAGAMENTO DE ENTREGADORES"</f>
        <v>PAGAMENTO DE ENTREGADORES</v>
      </c>
      <c r="P12861">
        <v>984.9</v>
      </c>
      <c r="S12861" t="str">
        <f>"BANCO C6 (149)"</f>
        <v>BANCO C6 (149)</v>
      </c>
      <c r="T12861">
        <v>22567</v>
      </c>
      <c r="U12861">
        <v>25708</v>
      </c>
      <c r="V12861" t="s">
        <v>77</v>
      </c>
    </row>
    <row r="12862" spans="1:22">
      <c r="A12862" t="str">
        <f t="shared" si="2539"/>
        <v>27/11/2025</v>
      </c>
      <c r="B12862" t="str">
        <f t="shared" si="2540"/>
        <v>SAÍDA</v>
      </c>
      <c r="C12862" t="str">
        <f t="shared" si="2541"/>
        <v>PIX</v>
      </c>
      <c r="D12862" t="str">
        <f>"25708"</f>
        <v>25708</v>
      </c>
      <c r="E12862" t="str">
        <f t="shared" si="2543"/>
        <v>1</v>
      </c>
      <c r="F12862" t="str">
        <f t="shared" si="2535"/>
        <v>COM</v>
      </c>
      <c r="G12862" t="str">
        <f>"IVAN SOUZA SANTOS (101)"</f>
        <v>IVAN SOUZA SANTOS (101)</v>
      </c>
      <c r="H12862" t="s">
        <v>3473</v>
      </c>
      <c r="I12862" t="str">
        <f t="shared" si="2542"/>
        <v>27/11/2025</v>
      </c>
      <c r="J12862" t="str">
        <f t="shared" si="2538"/>
        <v>18/11/2025</v>
      </c>
      <c r="K12862">
        <v>45988</v>
      </c>
      <c r="N12862">
        <v>109</v>
      </c>
      <c r="O12862" t="s">
        <v>24</v>
      </c>
      <c r="Q12862">
        <v>984.9</v>
      </c>
      <c r="R12862" t="str">
        <f>"FARMÁCIA INDIANA LJ 59 (10026)"</f>
        <v>FARMÁCIA INDIANA LJ 59 (10026)</v>
      </c>
      <c r="S12862" t="s">
        <v>77</v>
      </c>
      <c r="T12862">
        <v>22567</v>
      </c>
      <c r="U12862">
        <v>25708</v>
      </c>
      <c r="V12862" t="s">
        <v>77</v>
      </c>
    </row>
    <row r="12863" spans="1:22">
      <c r="A12863" t="str">
        <f t="shared" si="2539"/>
        <v>27/11/2025</v>
      </c>
      <c r="B12863" t="str">
        <f t="shared" si="2540"/>
        <v>SAÍDA</v>
      </c>
      <c r="C12863" t="str">
        <f t="shared" si="2541"/>
        <v>PIX</v>
      </c>
      <c r="D12863" t="str">
        <f>"25709"</f>
        <v>25709</v>
      </c>
      <c r="E12863" t="str">
        <f t="shared" si="2543"/>
        <v>1</v>
      </c>
      <c r="F12863" t="str">
        <f t="shared" si="2535"/>
        <v>COM</v>
      </c>
      <c r="G12863" t="str">
        <f>"JANDERSON SOUZA ARCANJO (28)"</f>
        <v>JANDERSON SOUZA ARCANJO (28)</v>
      </c>
      <c r="H12863" t="str">
        <f>"Serv.Prest. 10/11/2025 a 16/11/2025 - PIX: CPF - CHAVE: 121.297.376-33"</f>
        <v>Serv.Prest. 10/11/2025 a 16/11/2025 - PIX: CPF - CHAVE: 121.297.376-33</v>
      </c>
      <c r="I12863" t="str">
        <f t="shared" si="2542"/>
        <v>27/11/2025</v>
      </c>
      <c r="J12863" t="str">
        <f t="shared" si="2538"/>
        <v>18/11/2025</v>
      </c>
      <c r="K12863" t="str">
        <f>("27/11/2025")</f>
        <v>27/11/2025</v>
      </c>
      <c r="L12863">
        <v>885.5</v>
      </c>
      <c r="M12863">
        <v>885.5</v>
      </c>
      <c r="N12863">
        <v>109</v>
      </c>
      <c r="O12863" t="str">
        <f>"PAGAMENTO DE ENTREGADORES"</f>
        <v>PAGAMENTO DE ENTREGADORES</v>
      </c>
      <c r="P12863">
        <v>885.5</v>
      </c>
      <c r="S12863" t="str">
        <f>"BANCO C6 (149)"</f>
        <v>BANCO C6 (149)</v>
      </c>
      <c r="T12863">
        <v>22568</v>
      </c>
      <c r="U12863">
        <v>25709</v>
      </c>
      <c r="V12863" t="s">
        <v>77</v>
      </c>
    </row>
    <row r="12864" spans="1:22">
      <c r="A12864" t="str">
        <f t="shared" si="2539"/>
        <v>27/11/2025</v>
      </c>
      <c r="B12864" t="str">
        <f t="shared" si="2540"/>
        <v>SAÍDA</v>
      </c>
      <c r="C12864" t="str">
        <f t="shared" si="2541"/>
        <v>PIX</v>
      </c>
      <c r="D12864" t="str">
        <f>"25709"</f>
        <v>25709</v>
      </c>
      <c r="E12864" t="str">
        <f t="shared" si="2543"/>
        <v>1</v>
      </c>
      <c r="F12864" t="str">
        <f t="shared" si="2535"/>
        <v>COM</v>
      </c>
      <c r="G12864" t="str">
        <f>"JANDERSON SOUZA ARCANJO (28)"</f>
        <v>JANDERSON SOUZA ARCANJO (28)</v>
      </c>
      <c r="H12864" t="s">
        <v>3474</v>
      </c>
      <c r="I12864" t="str">
        <f t="shared" si="2542"/>
        <v>27/11/2025</v>
      </c>
      <c r="J12864" t="str">
        <f t="shared" si="2538"/>
        <v>18/11/2025</v>
      </c>
      <c r="K12864">
        <v>45988</v>
      </c>
      <c r="N12864">
        <v>109</v>
      </c>
      <c r="O12864" t="s">
        <v>24</v>
      </c>
      <c r="Q12864">
        <v>885.5</v>
      </c>
      <c r="R12864" t="str">
        <f>"FARMÁCIA INDIANA LJ 40 (10016)"</f>
        <v>FARMÁCIA INDIANA LJ 40 (10016)</v>
      </c>
      <c r="S12864" t="s">
        <v>77</v>
      </c>
      <c r="T12864">
        <v>22568</v>
      </c>
      <c r="U12864">
        <v>25709</v>
      </c>
      <c r="V12864" t="s">
        <v>77</v>
      </c>
    </row>
    <row r="12865" spans="1:22">
      <c r="A12865" t="str">
        <f t="shared" si="2539"/>
        <v>27/11/2025</v>
      </c>
      <c r="B12865" t="str">
        <f t="shared" si="2540"/>
        <v>SAÍDA</v>
      </c>
      <c r="C12865" t="str">
        <f t="shared" si="2541"/>
        <v>PIX</v>
      </c>
      <c r="D12865" t="str">
        <f>"25710"</f>
        <v>25710</v>
      </c>
      <c r="E12865" t="str">
        <f t="shared" si="2543"/>
        <v>1</v>
      </c>
      <c r="F12865" t="str">
        <f t="shared" si="2535"/>
        <v>COM</v>
      </c>
      <c r="G12865" t="str">
        <f>"JEAN ARAÚJO SANTOS GERMANO (551)"</f>
        <v>JEAN ARAÚJO SANTOS GERMANO (551)</v>
      </c>
      <c r="H12865" t="str">
        <f>"Serv.Prest. 10/11/2025 a 16/11/2025 - PIX: CELULAR - CHAVE: (31) 99812-7173"</f>
        <v>Serv.Prest. 10/11/2025 a 16/11/2025 - PIX: CELULAR - CHAVE: (31) 99812-7173</v>
      </c>
      <c r="I12865" t="str">
        <f t="shared" si="2542"/>
        <v>27/11/2025</v>
      </c>
      <c r="J12865" t="str">
        <f t="shared" si="2538"/>
        <v>18/11/2025</v>
      </c>
      <c r="K12865" t="str">
        <f>("27/11/2025")</f>
        <v>27/11/2025</v>
      </c>
      <c r="L12865">
        <v>840</v>
      </c>
      <c r="M12865">
        <v>840</v>
      </c>
      <c r="N12865">
        <v>109</v>
      </c>
      <c r="O12865" t="str">
        <f>"PAGAMENTO DE ENTREGADORES"</f>
        <v>PAGAMENTO DE ENTREGADORES</v>
      </c>
      <c r="P12865">
        <v>840</v>
      </c>
      <c r="S12865" t="str">
        <f>"BANCO C6 (149)"</f>
        <v>BANCO C6 (149)</v>
      </c>
      <c r="T12865">
        <v>22569</v>
      </c>
      <c r="U12865">
        <v>25710</v>
      </c>
      <c r="V12865" t="s">
        <v>77</v>
      </c>
    </row>
    <row r="12866" spans="1:22">
      <c r="A12866" t="str">
        <f t="shared" si="2539"/>
        <v>27/11/2025</v>
      </c>
      <c r="B12866" t="str">
        <f t="shared" si="2540"/>
        <v>SAÍDA</v>
      </c>
      <c r="C12866" t="str">
        <f t="shared" si="2541"/>
        <v>PIX</v>
      </c>
      <c r="D12866" t="str">
        <f>"25710"</f>
        <v>25710</v>
      </c>
      <c r="E12866" t="str">
        <f t="shared" si="2543"/>
        <v>1</v>
      </c>
      <c r="F12866" t="str">
        <f t="shared" si="2535"/>
        <v>COM</v>
      </c>
      <c r="G12866" t="str">
        <f>"JEAN ARAÚJO SANTOS GERMANO (551)"</f>
        <v>JEAN ARAÚJO SANTOS GERMANO (551)</v>
      </c>
      <c r="H12866" t="s">
        <v>3475</v>
      </c>
      <c r="I12866" t="str">
        <f t="shared" si="2542"/>
        <v>27/11/2025</v>
      </c>
      <c r="J12866" t="str">
        <f t="shared" si="2538"/>
        <v>18/11/2025</v>
      </c>
      <c r="K12866">
        <v>45988</v>
      </c>
      <c r="N12866">
        <v>109</v>
      </c>
      <c r="O12866" t="s">
        <v>24</v>
      </c>
      <c r="Q12866">
        <v>840</v>
      </c>
      <c r="R12866" t="str">
        <f>"FARMÁCIA INDIANA LJ 142 (10066)"</f>
        <v>FARMÁCIA INDIANA LJ 142 (10066)</v>
      </c>
      <c r="S12866" t="s">
        <v>77</v>
      </c>
      <c r="T12866">
        <v>22569</v>
      </c>
      <c r="U12866">
        <v>25710</v>
      </c>
      <c r="V12866" t="s">
        <v>77</v>
      </c>
    </row>
    <row r="12867" spans="1:22">
      <c r="A12867" t="str">
        <f t="shared" si="2539"/>
        <v>27/11/2025</v>
      </c>
      <c r="B12867" t="str">
        <f t="shared" si="2540"/>
        <v>SAÍDA</v>
      </c>
      <c r="C12867" t="str">
        <f t="shared" si="2541"/>
        <v>PIX</v>
      </c>
      <c r="D12867" t="str">
        <f>"25711"</f>
        <v>25711</v>
      </c>
      <c r="E12867" t="str">
        <f t="shared" si="2543"/>
        <v>1</v>
      </c>
      <c r="F12867" t="str">
        <f t="shared" si="2535"/>
        <v>COM</v>
      </c>
      <c r="G12867" t="str">
        <f>"JEFERSON ANDRADE FERREIRA (165)"</f>
        <v>JEFERSON ANDRADE FERREIRA (165)</v>
      </c>
      <c r="H12867" t="str">
        <f>"Serv.Prest. 10/11/2025 a 16/11/2025 - PIX: CPF - CHAVE: 126.873.296-65"</f>
        <v>Serv.Prest. 10/11/2025 a 16/11/2025 - PIX: CPF - CHAVE: 126.873.296-65</v>
      </c>
      <c r="I12867" t="str">
        <f t="shared" si="2542"/>
        <v>27/11/2025</v>
      </c>
      <c r="J12867" t="str">
        <f t="shared" si="2538"/>
        <v>18/11/2025</v>
      </c>
      <c r="K12867" t="str">
        <f>("27/11/2025")</f>
        <v>27/11/2025</v>
      </c>
      <c r="L12867">
        <v>2028</v>
      </c>
      <c r="M12867">
        <v>2028</v>
      </c>
      <c r="N12867">
        <v>109</v>
      </c>
      <c r="O12867" t="str">
        <f>"PAGAMENTO DE ENTREGADORES"</f>
        <v>PAGAMENTO DE ENTREGADORES</v>
      </c>
      <c r="P12867">
        <v>2028</v>
      </c>
      <c r="S12867" t="str">
        <f>"BANCO C6 (149)"</f>
        <v>BANCO C6 (149)</v>
      </c>
      <c r="T12867">
        <v>22570</v>
      </c>
      <c r="U12867">
        <v>25711</v>
      </c>
      <c r="V12867" t="s">
        <v>77</v>
      </c>
    </row>
    <row r="12868" spans="1:22">
      <c r="A12868" t="str">
        <f t="shared" si="2539"/>
        <v>27/11/2025</v>
      </c>
      <c r="B12868" t="str">
        <f t="shared" si="2540"/>
        <v>SAÍDA</v>
      </c>
      <c r="C12868" t="str">
        <f t="shared" si="2541"/>
        <v>PIX</v>
      </c>
      <c r="D12868" t="str">
        <f>"25711"</f>
        <v>25711</v>
      </c>
      <c r="E12868" t="str">
        <f t="shared" si="2543"/>
        <v>1</v>
      </c>
      <c r="F12868" t="str">
        <f t="shared" si="2535"/>
        <v>COM</v>
      </c>
      <c r="G12868" t="str">
        <f>"JEFERSON ANDRADE FERREIRA (165)"</f>
        <v>JEFERSON ANDRADE FERREIRA (165)</v>
      </c>
      <c r="H12868" t="s">
        <v>3476</v>
      </c>
      <c r="I12868" t="str">
        <f t="shared" si="2542"/>
        <v>27/11/2025</v>
      </c>
      <c r="J12868" t="str">
        <f t="shared" si="2538"/>
        <v>18/11/2025</v>
      </c>
      <c r="K12868">
        <v>45988</v>
      </c>
      <c r="N12868">
        <v>109</v>
      </c>
      <c r="O12868" t="s">
        <v>24</v>
      </c>
      <c r="Q12868">
        <v>1368.09</v>
      </c>
      <c r="R12868" t="str">
        <f>"FARMÁCIA INDIANA LJ 101 (10043)"</f>
        <v>FARMÁCIA INDIANA LJ 101 (10043)</v>
      </c>
      <c r="S12868" t="s">
        <v>77</v>
      </c>
      <c r="T12868">
        <v>22570</v>
      </c>
      <c r="U12868">
        <v>25711</v>
      </c>
      <c r="V12868" t="s">
        <v>77</v>
      </c>
    </row>
    <row r="12869" spans="1:22">
      <c r="A12869" t="str">
        <f t="shared" si="2539"/>
        <v>27/11/2025</v>
      </c>
      <c r="B12869" t="str">
        <f t="shared" si="2540"/>
        <v>SAÍDA</v>
      </c>
      <c r="C12869" t="str">
        <f t="shared" si="2541"/>
        <v>PIX</v>
      </c>
      <c r="D12869" t="str">
        <f>"25711"</f>
        <v>25711</v>
      </c>
      <c r="E12869" t="str">
        <f t="shared" si="2543"/>
        <v>1</v>
      </c>
      <c r="F12869" t="str">
        <f t="shared" si="2535"/>
        <v>COM</v>
      </c>
      <c r="G12869" t="str">
        <f>"JEFERSON ANDRADE FERREIRA (165)"</f>
        <v>JEFERSON ANDRADE FERREIRA (165)</v>
      </c>
      <c r="H12869" t="s">
        <v>3476</v>
      </c>
      <c r="I12869" t="str">
        <f t="shared" si="2542"/>
        <v>27/11/2025</v>
      </c>
      <c r="J12869" t="str">
        <f t="shared" si="2538"/>
        <v>18/11/2025</v>
      </c>
      <c r="K12869">
        <v>45988</v>
      </c>
      <c r="N12869">
        <v>109</v>
      </c>
      <c r="O12869" t="s">
        <v>24</v>
      </c>
      <c r="Q12869">
        <v>659.91</v>
      </c>
      <c r="R12869" t="str">
        <f>"FARMÁCIA INDIANA LJ 220 (10092)"</f>
        <v>FARMÁCIA INDIANA LJ 220 (10092)</v>
      </c>
      <c r="S12869" t="s">
        <v>77</v>
      </c>
      <c r="T12869">
        <v>22570</v>
      </c>
      <c r="U12869">
        <v>25711</v>
      </c>
      <c r="V12869" t="s">
        <v>77</v>
      </c>
    </row>
    <row r="12870" spans="1:22">
      <c r="A12870" t="str">
        <f t="shared" si="2539"/>
        <v>27/11/2025</v>
      </c>
      <c r="B12870" t="str">
        <f t="shared" si="2540"/>
        <v>SAÍDA</v>
      </c>
      <c r="C12870" t="str">
        <f t="shared" si="2541"/>
        <v>PIX</v>
      </c>
      <c r="D12870" t="str">
        <f>"25712"</f>
        <v>25712</v>
      </c>
      <c r="E12870" t="str">
        <f t="shared" si="2543"/>
        <v>1</v>
      </c>
      <c r="F12870" t="str">
        <f t="shared" si="2535"/>
        <v>COM</v>
      </c>
      <c r="G12870" t="str">
        <f>"JEFERSON ARAÚJO SANTOS GERMANO (180)"</f>
        <v>JEFERSON ARAÚJO SANTOS GERMANO (180)</v>
      </c>
      <c r="H12870" t="str">
        <f>"Serv.Prest. 10/11/2025 a 16/11/2025 - PIX: CPF - CHAVE: 023.645.626-19"</f>
        <v>Serv.Prest. 10/11/2025 a 16/11/2025 - PIX: CPF - CHAVE: 023.645.626-19</v>
      </c>
      <c r="I12870" t="str">
        <f t="shared" si="2542"/>
        <v>27/11/2025</v>
      </c>
      <c r="J12870" t="str">
        <f t="shared" si="2538"/>
        <v>18/11/2025</v>
      </c>
      <c r="K12870" t="str">
        <f>("27/11/2025")</f>
        <v>27/11/2025</v>
      </c>
      <c r="L12870">
        <v>840</v>
      </c>
      <c r="M12870">
        <v>840</v>
      </c>
      <c r="N12870">
        <v>109</v>
      </c>
      <c r="O12870" t="str">
        <f>"PAGAMENTO DE ENTREGADORES"</f>
        <v>PAGAMENTO DE ENTREGADORES</v>
      </c>
      <c r="P12870">
        <v>840</v>
      </c>
      <c r="S12870" t="str">
        <f>"BANCO C6 (149)"</f>
        <v>BANCO C6 (149)</v>
      </c>
      <c r="T12870">
        <v>22571</v>
      </c>
      <c r="U12870">
        <v>25712</v>
      </c>
      <c r="V12870" t="s">
        <v>77</v>
      </c>
    </row>
    <row r="12871" spans="1:22">
      <c r="A12871" t="str">
        <f t="shared" si="2539"/>
        <v>27/11/2025</v>
      </c>
      <c r="B12871" t="str">
        <f t="shared" si="2540"/>
        <v>SAÍDA</v>
      </c>
      <c r="C12871" t="str">
        <f t="shared" si="2541"/>
        <v>PIX</v>
      </c>
      <c r="D12871" t="str">
        <f>"25712"</f>
        <v>25712</v>
      </c>
      <c r="E12871" t="str">
        <f t="shared" si="2543"/>
        <v>1</v>
      </c>
      <c r="F12871" t="str">
        <f t="shared" si="2535"/>
        <v>COM</v>
      </c>
      <c r="G12871" t="str">
        <f>"JEFERSON ARAÚJO SANTOS GERMANO (180)"</f>
        <v>JEFERSON ARAÚJO SANTOS GERMANO (180)</v>
      </c>
      <c r="H12871" t="s">
        <v>3477</v>
      </c>
      <c r="I12871" t="str">
        <f t="shared" si="2542"/>
        <v>27/11/2025</v>
      </c>
      <c r="J12871" t="str">
        <f t="shared" si="2538"/>
        <v>18/11/2025</v>
      </c>
      <c r="K12871">
        <v>45988</v>
      </c>
      <c r="N12871">
        <v>109</v>
      </c>
      <c r="O12871" t="s">
        <v>24</v>
      </c>
      <c r="Q12871">
        <v>840</v>
      </c>
      <c r="R12871" t="str">
        <f>"FARMÁCIA INDIANA LJ 142 (10066)"</f>
        <v>FARMÁCIA INDIANA LJ 142 (10066)</v>
      </c>
      <c r="S12871" t="s">
        <v>77</v>
      </c>
      <c r="T12871">
        <v>22571</v>
      </c>
      <c r="U12871">
        <v>25712</v>
      </c>
      <c r="V12871" t="s">
        <v>77</v>
      </c>
    </row>
    <row r="12872" spans="1:22">
      <c r="A12872" t="str">
        <f t="shared" si="2539"/>
        <v>27/11/2025</v>
      </c>
      <c r="B12872" t="str">
        <f t="shared" si="2540"/>
        <v>SAÍDA</v>
      </c>
      <c r="C12872" t="str">
        <f t="shared" si="2541"/>
        <v>PIX</v>
      </c>
      <c r="D12872" t="str">
        <f>"25713"</f>
        <v>25713</v>
      </c>
      <c r="E12872" t="str">
        <f t="shared" si="2543"/>
        <v>1</v>
      </c>
      <c r="F12872" t="str">
        <f t="shared" si="2535"/>
        <v>COM</v>
      </c>
      <c r="G12872" t="str">
        <f>"JEFERSON DE JESUS SANTOS (910)"</f>
        <v>JEFERSON DE JESUS SANTOS (910)</v>
      </c>
      <c r="H12872" t="str">
        <f>"Serv.Prest. 10/11/2025 a 16/11/2025 - PIX: CELULAR - CHAVE: (33) 98836-6015"</f>
        <v>Serv.Prest. 10/11/2025 a 16/11/2025 - PIX: CELULAR - CHAVE: (33) 98836-6015</v>
      </c>
      <c r="I12872" t="str">
        <f t="shared" si="2542"/>
        <v>27/11/2025</v>
      </c>
      <c r="J12872" t="str">
        <f t="shared" si="2538"/>
        <v>18/11/2025</v>
      </c>
      <c r="K12872" t="str">
        <f>("27/11/2025")</f>
        <v>27/11/2025</v>
      </c>
      <c r="L12872">
        <v>468</v>
      </c>
      <c r="M12872">
        <v>468</v>
      </c>
      <c r="N12872">
        <v>109</v>
      </c>
      <c r="O12872" t="str">
        <f>"PAGAMENTO DE ENTREGADORES"</f>
        <v>PAGAMENTO DE ENTREGADORES</v>
      </c>
      <c r="P12872">
        <v>468</v>
      </c>
      <c r="S12872" t="str">
        <f>"BANCO C6 (149)"</f>
        <v>BANCO C6 (149)</v>
      </c>
      <c r="T12872">
        <v>22572</v>
      </c>
      <c r="U12872">
        <v>25713</v>
      </c>
      <c r="V12872" t="s">
        <v>77</v>
      </c>
    </row>
    <row r="12873" spans="1:22">
      <c r="A12873" t="str">
        <f t="shared" si="2539"/>
        <v>27/11/2025</v>
      </c>
      <c r="B12873" t="str">
        <f t="shared" si="2540"/>
        <v>SAÍDA</v>
      </c>
      <c r="C12873" t="str">
        <f t="shared" si="2541"/>
        <v>PIX</v>
      </c>
      <c r="D12873" t="str">
        <f>"25713"</f>
        <v>25713</v>
      </c>
      <c r="E12873" t="str">
        <f t="shared" si="2543"/>
        <v>1</v>
      </c>
      <c r="F12873" t="str">
        <f t="shared" si="2535"/>
        <v>COM</v>
      </c>
      <c r="G12873" t="str">
        <f>"JEFERSON DE JESUS SANTOS (910)"</f>
        <v>JEFERSON DE JESUS SANTOS (910)</v>
      </c>
      <c r="H12873" t="s">
        <v>3478</v>
      </c>
      <c r="I12873" t="str">
        <f t="shared" si="2542"/>
        <v>27/11/2025</v>
      </c>
      <c r="J12873" t="str">
        <f t="shared" si="2538"/>
        <v>18/11/2025</v>
      </c>
      <c r="K12873">
        <v>45988</v>
      </c>
      <c r="N12873">
        <v>109</v>
      </c>
      <c r="O12873" t="s">
        <v>24</v>
      </c>
      <c r="Q12873">
        <v>468</v>
      </c>
      <c r="R12873" t="str">
        <f>"FARMÁCIA INDIANA LJ 07 (10007)"</f>
        <v>FARMÁCIA INDIANA LJ 07 (10007)</v>
      </c>
      <c r="S12873" t="s">
        <v>77</v>
      </c>
      <c r="T12873">
        <v>22572</v>
      </c>
      <c r="U12873">
        <v>25713</v>
      </c>
      <c r="V12873" t="s">
        <v>77</v>
      </c>
    </row>
    <row r="12874" spans="1:22">
      <c r="A12874" t="str">
        <f t="shared" si="2539"/>
        <v>27/11/2025</v>
      </c>
      <c r="B12874" t="str">
        <f t="shared" si="2540"/>
        <v>SAÍDA</v>
      </c>
      <c r="C12874" t="str">
        <f t="shared" si="2541"/>
        <v>PIX</v>
      </c>
      <c r="D12874" t="str">
        <f>"25714"</f>
        <v>25714</v>
      </c>
      <c r="E12874" t="str">
        <f t="shared" si="2543"/>
        <v>1</v>
      </c>
      <c r="F12874" t="str">
        <f t="shared" si="2535"/>
        <v>COM</v>
      </c>
      <c r="G12874" t="str">
        <f>"JHONANTAN LACERDA DE JESUS (142)"</f>
        <v>JHONANTAN LACERDA DE JESUS (142)</v>
      </c>
      <c r="H12874" t="str">
        <f>"Serv.Prest. 10/11/2025 a 16/11/2025 - PIX: E-MAIL - CHAVE: jhonantanlacerda@gmail.com"</f>
        <v>Serv.Prest. 10/11/2025 a 16/11/2025 - PIX: E-MAIL - CHAVE: jhonantanlacerda@gmail.com</v>
      </c>
      <c r="I12874" t="str">
        <f t="shared" si="2542"/>
        <v>27/11/2025</v>
      </c>
      <c r="J12874" t="str">
        <f t="shared" si="2538"/>
        <v>18/11/2025</v>
      </c>
      <c r="K12874" t="str">
        <f>("27/11/2025")</f>
        <v>27/11/2025</v>
      </c>
      <c r="L12874">
        <v>816</v>
      </c>
      <c r="M12874">
        <v>816</v>
      </c>
      <c r="N12874">
        <v>109</v>
      </c>
      <c r="O12874" t="str">
        <f>"PAGAMENTO DE ENTREGADORES"</f>
        <v>PAGAMENTO DE ENTREGADORES</v>
      </c>
      <c r="P12874">
        <v>816</v>
      </c>
      <c r="S12874" t="str">
        <f>"BANCO C6 (149)"</f>
        <v>BANCO C6 (149)</v>
      </c>
      <c r="T12874">
        <v>22573</v>
      </c>
      <c r="U12874">
        <v>25714</v>
      </c>
      <c r="V12874" t="s">
        <v>77</v>
      </c>
    </row>
    <row r="12875" spans="1:22">
      <c r="A12875" t="str">
        <f t="shared" si="2539"/>
        <v>27/11/2025</v>
      </c>
      <c r="B12875" t="str">
        <f t="shared" si="2540"/>
        <v>SAÍDA</v>
      </c>
      <c r="C12875" t="str">
        <f t="shared" si="2541"/>
        <v>PIX</v>
      </c>
      <c r="D12875" t="str">
        <f>"25714"</f>
        <v>25714</v>
      </c>
      <c r="E12875" t="str">
        <f t="shared" si="2543"/>
        <v>1</v>
      </c>
      <c r="F12875" t="str">
        <f t="shared" si="2535"/>
        <v>COM</v>
      </c>
      <c r="G12875" t="str">
        <f>"JHONANTAN LACERDA DE JESUS (142)"</f>
        <v>JHONANTAN LACERDA DE JESUS (142)</v>
      </c>
      <c r="H12875" t="s">
        <v>3479</v>
      </c>
      <c r="I12875" t="str">
        <f t="shared" si="2542"/>
        <v>27/11/2025</v>
      </c>
      <c r="J12875" t="str">
        <f t="shared" si="2538"/>
        <v>18/11/2025</v>
      </c>
      <c r="K12875">
        <v>45988</v>
      </c>
      <c r="N12875">
        <v>109</v>
      </c>
      <c r="O12875" t="s">
        <v>24</v>
      </c>
      <c r="Q12875">
        <v>816</v>
      </c>
      <c r="R12875" t="str">
        <f>"FARMÁCIA INDIANA LJ 142 (10066)"</f>
        <v>FARMÁCIA INDIANA LJ 142 (10066)</v>
      </c>
      <c r="S12875" t="s">
        <v>77</v>
      </c>
      <c r="T12875">
        <v>22573</v>
      </c>
      <c r="U12875">
        <v>25714</v>
      </c>
      <c r="V12875" t="s">
        <v>77</v>
      </c>
    </row>
    <row r="12876" spans="1:22">
      <c r="A12876" t="str">
        <f t="shared" si="2539"/>
        <v>27/11/2025</v>
      </c>
      <c r="B12876" t="str">
        <f t="shared" si="2540"/>
        <v>SAÍDA</v>
      </c>
      <c r="C12876" t="str">
        <f t="shared" si="2541"/>
        <v>PIX</v>
      </c>
      <c r="D12876" t="str">
        <f>"25715"</f>
        <v>25715</v>
      </c>
      <c r="E12876" t="str">
        <f t="shared" si="2543"/>
        <v>1</v>
      </c>
      <c r="F12876" t="str">
        <f t="shared" si="2535"/>
        <v>COM</v>
      </c>
      <c r="G12876" t="str">
        <f>"JOAO VITOR DE OLIVEIRA LIMA (1064)"</f>
        <v>JOAO VITOR DE OLIVEIRA LIMA (1064)</v>
      </c>
      <c r="H12876" t="str">
        <f>"Serv.Prest. 10/11/2025 a 16/11/2025 - PIX: CELULAR - CHAVE: (33) 99983-2339"</f>
        <v>Serv.Prest. 10/11/2025 a 16/11/2025 - PIX: CELULAR - CHAVE: (33) 99983-2339</v>
      </c>
      <c r="I12876" t="str">
        <f t="shared" si="2542"/>
        <v>27/11/2025</v>
      </c>
      <c r="J12876" t="str">
        <f t="shared" si="2538"/>
        <v>18/11/2025</v>
      </c>
      <c r="K12876" t="str">
        <f>("27/11/2025")</f>
        <v>27/11/2025</v>
      </c>
      <c r="L12876">
        <v>456</v>
      </c>
      <c r="M12876">
        <v>456</v>
      </c>
      <c r="N12876">
        <v>109</v>
      </c>
      <c r="O12876" t="str">
        <f>"PAGAMENTO DE ENTREGADORES"</f>
        <v>PAGAMENTO DE ENTREGADORES</v>
      </c>
      <c r="P12876">
        <v>456</v>
      </c>
      <c r="S12876" t="str">
        <f>"BANCO C6 (149)"</f>
        <v>BANCO C6 (149)</v>
      </c>
      <c r="T12876">
        <v>22574</v>
      </c>
      <c r="U12876">
        <v>25715</v>
      </c>
      <c r="V12876" t="s">
        <v>77</v>
      </c>
    </row>
    <row r="12877" spans="1:22">
      <c r="A12877" t="str">
        <f t="shared" si="2539"/>
        <v>27/11/2025</v>
      </c>
      <c r="B12877" t="str">
        <f t="shared" si="2540"/>
        <v>SAÍDA</v>
      </c>
      <c r="C12877" t="str">
        <f t="shared" si="2541"/>
        <v>PIX</v>
      </c>
      <c r="D12877" t="str">
        <f>"25715"</f>
        <v>25715</v>
      </c>
      <c r="E12877" t="str">
        <f t="shared" si="2543"/>
        <v>1</v>
      </c>
      <c r="F12877" t="str">
        <f t="shared" si="2535"/>
        <v>COM</v>
      </c>
      <c r="G12877" t="str">
        <f>"JOAO VITOR DE OLIVEIRA LIMA (1064)"</f>
        <v>JOAO VITOR DE OLIVEIRA LIMA (1064)</v>
      </c>
      <c r="H12877" t="s">
        <v>3480</v>
      </c>
      <c r="I12877" t="str">
        <f t="shared" si="2542"/>
        <v>27/11/2025</v>
      </c>
      <c r="J12877" t="str">
        <f t="shared" si="2538"/>
        <v>18/11/2025</v>
      </c>
      <c r="K12877">
        <v>45988</v>
      </c>
      <c r="N12877">
        <v>109</v>
      </c>
      <c r="O12877" t="s">
        <v>24</v>
      </c>
      <c r="Q12877">
        <v>456</v>
      </c>
      <c r="R12877" t="str">
        <f>"FARMÁCIA INDIANA LJ 07 (10007)"</f>
        <v>FARMÁCIA INDIANA LJ 07 (10007)</v>
      </c>
      <c r="S12877" t="s">
        <v>77</v>
      </c>
      <c r="T12877">
        <v>22574</v>
      </c>
      <c r="U12877">
        <v>25715</v>
      </c>
      <c r="V12877" t="s">
        <v>77</v>
      </c>
    </row>
    <row r="12878" spans="1:22">
      <c r="A12878" t="str">
        <f t="shared" si="2539"/>
        <v>27/11/2025</v>
      </c>
      <c r="B12878" t="str">
        <f t="shared" si="2540"/>
        <v>SAÍDA</v>
      </c>
      <c r="C12878" t="str">
        <f t="shared" si="2541"/>
        <v>PIX</v>
      </c>
      <c r="D12878" t="str">
        <f>"25716"</f>
        <v>25716</v>
      </c>
      <c r="E12878" t="str">
        <f t="shared" si="2543"/>
        <v>1</v>
      </c>
      <c r="F12878" t="str">
        <f t="shared" si="2535"/>
        <v>COM</v>
      </c>
      <c r="G12878" t="str">
        <f>"JOCIMAR VAZ FERREIRA (197)"</f>
        <v>JOCIMAR VAZ FERREIRA (197)</v>
      </c>
      <c r="H12878" t="str">
        <f>"Serv.Prest. 10/11/2025 a 16/11/2025 - PIX: CELULAR - CHAVE: (33) 99924-7557"</f>
        <v>Serv.Prest. 10/11/2025 a 16/11/2025 - PIX: CELULAR - CHAVE: (33) 99924-7557</v>
      </c>
      <c r="I12878" t="str">
        <f t="shared" si="2542"/>
        <v>27/11/2025</v>
      </c>
      <c r="J12878" t="str">
        <f t="shared" ref="J12878:J12909" si="2544">("18/11/2025")</f>
        <v>18/11/2025</v>
      </c>
      <c r="K12878" t="str">
        <f>("27/11/2025")</f>
        <v>27/11/2025</v>
      </c>
      <c r="L12878">
        <v>1260</v>
      </c>
      <c r="M12878">
        <v>1260</v>
      </c>
      <c r="N12878">
        <v>109</v>
      </c>
      <c r="O12878" t="str">
        <f>"PAGAMENTO DE ENTREGADORES"</f>
        <v>PAGAMENTO DE ENTREGADORES</v>
      </c>
      <c r="P12878">
        <v>1260</v>
      </c>
      <c r="S12878" t="str">
        <f>"BANCO C6 (149)"</f>
        <v>BANCO C6 (149)</v>
      </c>
      <c r="T12878">
        <v>22575</v>
      </c>
      <c r="U12878">
        <v>25716</v>
      </c>
      <c r="V12878" t="s">
        <v>77</v>
      </c>
    </row>
    <row r="12879" spans="1:22">
      <c r="A12879" t="str">
        <f t="shared" si="2539"/>
        <v>27/11/2025</v>
      </c>
      <c r="B12879" t="str">
        <f t="shared" si="2540"/>
        <v>SAÍDA</v>
      </c>
      <c r="C12879" t="str">
        <f t="shared" si="2541"/>
        <v>PIX</v>
      </c>
      <c r="D12879" t="str">
        <f>"25716"</f>
        <v>25716</v>
      </c>
      <c r="E12879" t="str">
        <f t="shared" si="2543"/>
        <v>1</v>
      </c>
      <c r="F12879" t="str">
        <f t="shared" si="2535"/>
        <v>COM</v>
      </c>
      <c r="G12879" t="str">
        <f>"JOCIMAR VAZ FERREIRA (197)"</f>
        <v>JOCIMAR VAZ FERREIRA (197)</v>
      </c>
      <c r="H12879" t="s">
        <v>3346</v>
      </c>
      <c r="I12879" t="str">
        <f t="shared" si="2542"/>
        <v>27/11/2025</v>
      </c>
      <c r="J12879" t="str">
        <f t="shared" si="2544"/>
        <v>18/11/2025</v>
      </c>
      <c r="K12879">
        <v>45988</v>
      </c>
      <c r="N12879">
        <v>109</v>
      </c>
      <c r="O12879" t="s">
        <v>24</v>
      </c>
      <c r="Q12879">
        <v>1260</v>
      </c>
      <c r="R12879" t="str">
        <f>"FARMÁCIA INDIANA LJ 06 (10006)"</f>
        <v>FARMÁCIA INDIANA LJ 06 (10006)</v>
      </c>
      <c r="S12879" t="s">
        <v>77</v>
      </c>
      <c r="T12879">
        <v>22575</v>
      </c>
      <c r="U12879">
        <v>25716</v>
      </c>
      <c r="V12879" t="s">
        <v>77</v>
      </c>
    </row>
    <row r="12880" spans="1:22">
      <c r="A12880" t="str">
        <f t="shared" si="2539"/>
        <v>27/11/2025</v>
      </c>
      <c r="B12880" t="str">
        <f t="shared" si="2540"/>
        <v>SAÍDA</v>
      </c>
      <c r="C12880" t="str">
        <f t="shared" si="2541"/>
        <v>PIX</v>
      </c>
      <c r="D12880" t="str">
        <f>"25717"</f>
        <v>25717</v>
      </c>
      <c r="E12880" t="str">
        <f t="shared" si="2543"/>
        <v>1</v>
      </c>
      <c r="F12880" t="str">
        <f t="shared" si="2535"/>
        <v>COM</v>
      </c>
      <c r="G12880" t="str">
        <f>"JOMAR GONÇALVES DIAS (16)"</f>
        <v>JOMAR GONÇALVES DIAS (16)</v>
      </c>
      <c r="H12880" t="str">
        <f>"Serv.Prest. 10/11/2025 a 16/11/2025 - PIX: CPF - CHAVE: 602.838.315-53"</f>
        <v>Serv.Prest. 10/11/2025 a 16/11/2025 - PIX: CPF - CHAVE: 602.838.315-53</v>
      </c>
      <c r="I12880" t="str">
        <f t="shared" si="2542"/>
        <v>27/11/2025</v>
      </c>
      <c r="J12880" t="str">
        <f t="shared" si="2544"/>
        <v>18/11/2025</v>
      </c>
      <c r="K12880" t="str">
        <f>("27/11/2025")</f>
        <v>27/11/2025</v>
      </c>
      <c r="L12880">
        <v>968</v>
      </c>
      <c r="M12880">
        <v>968</v>
      </c>
      <c r="N12880">
        <v>109</v>
      </c>
      <c r="O12880" t="str">
        <f>"PAGAMENTO DE ENTREGADORES"</f>
        <v>PAGAMENTO DE ENTREGADORES</v>
      </c>
      <c r="P12880">
        <v>968</v>
      </c>
      <c r="S12880" t="str">
        <f>"BANCO C6 (149)"</f>
        <v>BANCO C6 (149)</v>
      </c>
      <c r="T12880">
        <v>22576</v>
      </c>
      <c r="U12880">
        <v>25717</v>
      </c>
      <c r="V12880" t="s">
        <v>77</v>
      </c>
    </row>
    <row r="12881" spans="1:22">
      <c r="A12881" t="str">
        <f t="shared" si="2539"/>
        <v>27/11/2025</v>
      </c>
      <c r="B12881" t="str">
        <f t="shared" si="2540"/>
        <v>SAÍDA</v>
      </c>
      <c r="C12881" t="str">
        <f t="shared" si="2541"/>
        <v>PIX</v>
      </c>
      <c r="D12881" t="str">
        <f>"25717"</f>
        <v>25717</v>
      </c>
      <c r="E12881" t="str">
        <f t="shared" si="2543"/>
        <v>1</v>
      </c>
      <c r="F12881" t="str">
        <f t="shared" si="2535"/>
        <v>COM</v>
      </c>
      <c r="G12881" t="str">
        <f>"JOMAR GONÇALVES DIAS (16)"</f>
        <v>JOMAR GONÇALVES DIAS (16)</v>
      </c>
      <c r="H12881" t="s">
        <v>3481</v>
      </c>
      <c r="I12881" t="str">
        <f t="shared" si="2542"/>
        <v>27/11/2025</v>
      </c>
      <c r="J12881" t="str">
        <f t="shared" si="2544"/>
        <v>18/11/2025</v>
      </c>
      <c r="K12881">
        <v>45988</v>
      </c>
      <c r="N12881">
        <v>109</v>
      </c>
      <c r="O12881" t="s">
        <v>24</v>
      </c>
      <c r="Q12881">
        <v>968</v>
      </c>
      <c r="R12881" t="str">
        <f>"FARMÁCIA INDIANA LJ 61 (10027)"</f>
        <v>FARMÁCIA INDIANA LJ 61 (10027)</v>
      </c>
      <c r="S12881" t="s">
        <v>77</v>
      </c>
      <c r="T12881">
        <v>22576</v>
      </c>
      <c r="U12881">
        <v>25717</v>
      </c>
      <c r="V12881" t="s">
        <v>77</v>
      </c>
    </row>
    <row r="12882" spans="1:22">
      <c r="A12882" t="str">
        <f t="shared" si="2539"/>
        <v>27/11/2025</v>
      </c>
      <c r="B12882" t="str">
        <f t="shared" si="2540"/>
        <v>SAÍDA</v>
      </c>
      <c r="C12882" t="str">
        <f t="shared" si="2541"/>
        <v>PIX</v>
      </c>
      <c r="D12882" t="str">
        <f>"25718"</f>
        <v>25718</v>
      </c>
      <c r="E12882" t="str">
        <f t="shared" si="2543"/>
        <v>1</v>
      </c>
      <c r="F12882" t="str">
        <f t="shared" si="2535"/>
        <v>COM</v>
      </c>
      <c r="G12882" t="str">
        <f>"JOSÉ CARLOS DA COSTA (83)"</f>
        <v>JOSÉ CARLOS DA COSTA (83)</v>
      </c>
      <c r="H12882" t="str">
        <f>"Serv.Prest. 10/11/2025 a 16/11/2025 - PIX: CPF - CHAVE: 043.301.196-33"</f>
        <v>Serv.Prest. 10/11/2025 a 16/11/2025 - PIX: CPF - CHAVE: 043.301.196-33</v>
      </c>
      <c r="I12882" t="str">
        <f t="shared" si="2542"/>
        <v>27/11/2025</v>
      </c>
      <c r="J12882" t="str">
        <f t="shared" si="2544"/>
        <v>18/11/2025</v>
      </c>
      <c r="K12882" t="str">
        <f>("27/11/2025")</f>
        <v>27/11/2025</v>
      </c>
      <c r="L12882">
        <v>636</v>
      </c>
      <c r="M12882">
        <v>636</v>
      </c>
      <c r="N12882">
        <v>109</v>
      </c>
      <c r="O12882" t="str">
        <f>"PAGAMENTO DE ENTREGADORES"</f>
        <v>PAGAMENTO DE ENTREGADORES</v>
      </c>
      <c r="P12882">
        <v>636</v>
      </c>
      <c r="S12882" t="str">
        <f>"BANCO C6 (149)"</f>
        <v>BANCO C6 (149)</v>
      </c>
      <c r="T12882">
        <v>22577</v>
      </c>
      <c r="U12882">
        <v>25718</v>
      </c>
      <c r="V12882" t="s">
        <v>77</v>
      </c>
    </row>
    <row r="12883" spans="1:22">
      <c r="A12883" t="str">
        <f t="shared" si="2539"/>
        <v>27/11/2025</v>
      </c>
      <c r="B12883" t="str">
        <f t="shared" si="2540"/>
        <v>SAÍDA</v>
      </c>
      <c r="C12883" t="str">
        <f t="shared" si="2541"/>
        <v>PIX</v>
      </c>
      <c r="D12883" t="str">
        <f>"25718"</f>
        <v>25718</v>
      </c>
      <c r="E12883" t="str">
        <f t="shared" si="2543"/>
        <v>1</v>
      </c>
      <c r="F12883" t="str">
        <f t="shared" ref="F12883:F12946" si="2545">"COM"</f>
        <v>COM</v>
      </c>
      <c r="G12883" t="str">
        <f>"JOSÉ CARLOS DA COSTA (83)"</f>
        <v>JOSÉ CARLOS DA COSTA (83)</v>
      </c>
      <c r="H12883" t="s">
        <v>3482</v>
      </c>
      <c r="I12883" t="str">
        <f t="shared" si="2542"/>
        <v>27/11/2025</v>
      </c>
      <c r="J12883" t="str">
        <f t="shared" si="2544"/>
        <v>18/11/2025</v>
      </c>
      <c r="K12883">
        <v>45988</v>
      </c>
      <c r="N12883">
        <v>109</v>
      </c>
      <c r="O12883" t="s">
        <v>24</v>
      </c>
      <c r="Q12883">
        <v>636</v>
      </c>
      <c r="R12883" t="str">
        <f>"FARMÁCIA INDIANA LJ 152 (10069)"</f>
        <v>FARMÁCIA INDIANA LJ 152 (10069)</v>
      </c>
      <c r="S12883" t="s">
        <v>77</v>
      </c>
      <c r="T12883">
        <v>22577</v>
      </c>
      <c r="U12883">
        <v>25718</v>
      </c>
      <c r="V12883" t="s">
        <v>77</v>
      </c>
    </row>
    <row r="12884" spans="1:22">
      <c r="A12884" t="str">
        <f t="shared" si="2539"/>
        <v>27/11/2025</v>
      </c>
      <c r="B12884" t="str">
        <f t="shared" si="2540"/>
        <v>SAÍDA</v>
      </c>
      <c r="C12884" t="str">
        <f t="shared" si="2541"/>
        <v>PIX</v>
      </c>
      <c r="D12884" t="str">
        <f>"25720"</f>
        <v>25720</v>
      </c>
      <c r="E12884" t="str">
        <f t="shared" si="2543"/>
        <v>1</v>
      </c>
      <c r="F12884" t="str">
        <f t="shared" si="2545"/>
        <v>COM</v>
      </c>
      <c r="G12884" t="str">
        <f>"JUBER FERREIRA SILVA BASTOS (192)"</f>
        <v>JUBER FERREIRA SILVA BASTOS (192)</v>
      </c>
      <c r="H12884" t="str">
        <f>"Serv.Prest. 10/11/2025 a 16/11/2025 - PIX: CPF - CHAVE: 012.459.366-62"</f>
        <v>Serv.Prest. 10/11/2025 a 16/11/2025 - PIX: CPF - CHAVE: 012.459.366-62</v>
      </c>
      <c r="I12884" t="str">
        <f t="shared" si="2542"/>
        <v>27/11/2025</v>
      </c>
      <c r="J12884" t="str">
        <f t="shared" si="2544"/>
        <v>18/11/2025</v>
      </c>
      <c r="K12884" t="str">
        <f>("27/11/2025")</f>
        <v>27/11/2025</v>
      </c>
      <c r="L12884">
        <v>1080</v>
      </c>
      <c r="M12884">
        <v>1080</v>
      </c>
      <c r="N12884">
        <v>109</v>
      </c>
      <c r="O12884" t="str">
        <f>"PAGAMENTO DE ENTREGADORES"</f>
        <v>PAGAMENTO DE ENTREGADORES</v>
      </c>
      <c r="P12884">
        <v>1080</v>
      </c>
      <c r="S12884" t="str">
        <f>"BANCO C6 (149)"</f>
        <v>BANCO C6 (149)</v>
      </c>
      <c r="T12884">
        <v>22578</v>
      </c>
      <c r="U12884">
        <v>25720</v>
      </c>
      <c r="V12884" t="s">
        <v>77</v>
      </c>
    </row>
    <row r="12885" spans="1:22">
      <c r="A12885" t="str">
        <f t="shared" si="2539"/>
        <v>27/11/2025</v>
      </c>
      <c r="B12885" t="str">
        <f t="shared" si="2540"/>
        <v>SAÍDA</v>
      </c>
      <c r="C12885" t="str">
        <f t="shared" si="2541"/>
        <v>PIX</v>
      </c>
      <c r="D12885" t="str">
        <f>"25720"</f>
        <v>25720</v>
      </c>
      <c r="E12885" t="str">
        <f t="shared" ref="E12885:E12916" si="2546">"1"</f>
        <v>1</v>
      </c>
      <c r="F12885" t="str">
        <f t="shared" si="2545"/>
        <v>COM</v>
      </c>
      <c r="G12885" t="str">
        <f>"JUBER FERREIRA SILVA BASTOS (192)"</f>
        <v>JUBER FERREIRA SILVA BASTOS (192)</v>
      </c>
      <c r="H12885" t="s">
        <v>3483</v>
      </c>
      <c r="I12885" t="str">
        <f t="shared" si="2542"/>
        <v>27/11/2025</v>
      </c>
      <c r="J12885" t="str">
        <f t="shared" si="2544"/>
        <v>18/11/2025</v>
      </c>
      <c r="K12885">
        <v>45988</v>
      </c>
      <c r="N12885">
        <v>109</v>
      </c>
      <c r="O12885" t="s">
        <v>24</v>
      </c>
      <c r="Q12885">
        <v>1080</v>
      </c>
      <c r="R12885" t="str">
        <f>"FARMÁCIA INDIANA LJ 06 (10006)"</f>
        <v>FARMÁCIA INDIANA LJ 06 (10006)</v>
      </c>
      <c r="S12885" t="s">
        <v>77</v>
      </c>
      <c r="T12885">
        <v>22578</v>
      </c>
      <c r="U12885">
        <v>25720</v>
      </c>
      <c r="V12885" t="s">
        <v>77</v>
      </c>
    </row>
    <row r="12886" spans="1:22">
      <c r="A12886" t="str">
        <f t="shared" si="2539"/>
        <v>27/11/2025</v>
      </c>
      <c r="B12886" t="str">
        <f t="shared" si="2540"/>
        <v>SAÍDA</v>
      </c>
      <c r="C12886" t="str">
        <f t="shared" si="2541"/>
        <v>PIX</v>
      </c>
      <c r="D12886" t="str">
        <f>"25721"</f>
        <v>25721</v>
      </c>
      <c r="E12886" t="str">
        <f t="shared" si="2546"/>
        <v>1</v>
      </c>
      <c r="F12886" t="str">
        <f t="shared" si="2545"/>
        <v>COM</v>
      </c>
      <c r="G12886" t="str">
        <f>"JUNIO DE ANDRADE ARRUDA (145)"</f>
        <v>JUNIO DE ANDRADE ARRUDA (145)</v>
      </c>
      <c r="H12886" t="str">
        <f>"Serv.Prest. 10/11/2025 a 16/11/2025 - PIX: CPF - CHAVE: 077.488.126-75"</f>
        <v>Serv.Prest. 10/11/2025 a 16/11/2025 - PIX: CPF - CHAVE: 077.488.126-75</v>
      </c>
      <c r="I12886" t="str">
        <f t="shared" si="2542"/>
        <v>27/11/2025</v>
      </c>
      <c r="J12886" t="str">
        <f t="shared" si="2544"/>
        <v>18/11/2025</v>
      </c>
      <c r="K12886" t="str">
        <f>("27/11/2025")</f>
        <v>27/11/2025</v>
      </c>
      <c r="L12886">
        <v>900</v>
      </c>
      <c r="M12886">
        <v>900</v>
      </c>
      <c r="N12886">
        <v>109</v>
      </c>
      <c r="O12886" t="str">
        <f>"PAGAMENTO DE ENTREGADORES"</f>
        <v>PAGAMENTO DE ENTREGADORES</v>
      </c>
      <c r="P12886">
        <v>900</v>
      </c>
      <c r="S12886" t="str">
        <f>"BANCO C6 (149)"</f>
        <v>BANCO C6 (149)</v>
      </c>
      <c r="T12886">
        <v>22579</v>
      </c>
      <c r="U12886">
        <v>25721</v>
      </c>
      <c r="V12886" t="s">
        <v>77</v>
      </c>
    </row>
    <row r="12887" spans="1:22">
      <c r="A12887" t="str">
        <f t="shared" si="2539"/>
        <v>27/11/2025</v>
      </c>
      <c r="B12887" t="str">
        <f t="shared" si="2540"/>
        <v>SAÍDA</v>
      </c>
      <c r="C12887" t="str">
        <f t="shared" si="2541"/>
        <v>PIX</v>
      </c>
      <c r="D12887" t="str">
        <f>"25721"</f>
        <v>25721</v>
      </c>
      <c r="E12887" t="str">
        <f t="shared" si="2546"/>
        <v>1</v>
      </c>
      <c r="F12887" t="str">
        <f t="shared" si="2545"/>
        <v>COM</v>
      </c>
      <c r="G12887" t="str">
        <f>"JUNIO DE ANDRADE ARRUDA (145)"</f>
        <v>JUNIO DE ANDRADE ARRUDA (145)</v>
      </c>
      <c r="H12887" t="s">
        <v>3484</v>
      </c>
      <c r="I12887" t="str">
        <f t="shared" si="2542"/>
        <v>27/11/2025</v>
      </c>
      <c r="J12887" t="str">
        <f t="shared" si="2544"/>
        <v>18/11/2025</v>
      </c>
      <c r="K12887">
        <v>45988</v>
      </c>
      <c r="N12887">
        <v>109</v>
      </c>
      <c r="O12887" t="s">
        <v>24</v>
      </c>
      <c r="Q12887">
        <v>900</v>
      </c>
      <c r="R12887" t="str">
        <f>"FARMÁCIA INDIANA LJ 19 (10012)"</f>
        <v>FARMÁCIA INDIANA LJ 19 (10012)</v>
      </c>
      <c r="S12887" t="s">
        <v>77</v>
      </c>
      <c r="T12887">
        <v>22579</v>
      </c>
      <c r="U12887">
        <v>25721</v>
      </c>
      <c r="V12887" t="s">
        <v>77</v>
      </c>
    </row>
    <row r="12888" spans="1:22">
      <c r="A12888" t="str">
        <f t="shared" si="2539"/>
        <v>27/11/2025</v>
      </c>
      <c r="B12888" t="str">
        <f t="shared" si="2540"/>
        <v>SAÍDA</v>
      </c>
      <c r="C12888" t="str">
        <f t="shared" si="2541"/>
        <v>PIX</v>
      </c>
      <c r="D12888" t="str">
        <f>"25722"</f>
        <v>25722</v>
      </c>
      <c r="E12888" t="str">
        <f t="shared" si="2546"/>
        <v>1</v>
      </c>
      <c r="F12888" t="str">
        <f t="shared" si="2545"/>
        <v>COM</v>
      </c>
      <c r="G12888" t="str">
        <f>"JUNIOR DOS SANTOS MACHADO (240)"</f>
        <v>JUNIOR DOS SANTOS MACHADO (240)</v>
      </c>
      <c r="H12888" t="str">
        <f>"Serv.Prest. 10/11/2025 a 16/11/2025 - PIX: CPF - CHAVE: 074.520.456-29"</f>
        <v>Serv.Prest. 10/11/2025 a 16/11/2025 - PIX: CPF - CHAVE: 074.520.456-29</v>
      </c>
      <c r="I12888" t="str">
        <f t="shared" si="2542"/>
        <v>27/11/2025</v>
      </c>
      <c r="J12888" t="str">
        <f t="shared" si="2544"/>
        <v>18/11/2025</v>
      </c>
      <c r="K12888" t="str">
        <f>("27/11/2025")</f>
        <v>27/11/2025</v>
      </c>
      <c r="L12888">
        <v>602.5</v>
      </c>
      <c r="M12888">
        <v>602.5</v>
      </c>
      <c r="N12888">
        <v>109</v>
      </c>
      <c r="O12888" t="str">
        <f>"PAGAMENTO DE ENTREGADORES"</f>
        <v>PAGAMENTO DE ENTREGADORES</v>
      </c>
      <c r="P12888">
        <v>602.5</v>
      </c>
      <c r="S12888" t="str">
        <f>"BANCO C6 (149)"</f>
        <v>BANCO C6 (149)</v>
      </c>
      <c r="T12888">
        <v>22580</v>
      </c>
      <c r="U12888">
        <v>25722</v>
      </c>
      <c r="V12888" t="s">
        <v>77</v>
      </c>
    </row>
    <row r="12889" spans="1:22">
      <c r="A12889" t="str">
        <f t="shared" si="2539"/>
        <v>27/11/2025</v>
      </c>
      <c r="B12889" t="str">
        <f t="shared" si="2540"/>
        <v>SAÍDA</v>
      </c>
      <c r="C12889" t="str">
        <f t="shared" si="2541"/>
        <v>PIX</v>
      </c>
      <c r="D12889" t="str">
        <f>"25722"</f>
        <v>25722</v>
      </c>
      <c r="E12889" t="str">
        <f t="shared" si="2546"/>
        <v>1</v>
      </c>
      <c r="F12889" t="str">
        <f t="shared" si="2545"/>
        <v>COM</v>
      </c>
      <c r="G12889" t="str">
        <f>"JUNIOR DOS SANTOS MACHADO (240)"</f>
        <v>JUNIOR DOS SANTOS MACHADO (240)</v>
      </c>
      <c r="H12889" t="s">
        <v>3358</v>
      </c>
      <c r="I12889" t="str">
        <f t="shared" si="2542"/>
        <v>27/11/2025</v>
      </c>
      <c r="J12889" t="str">
        <f t="shared" si="2544"/>
        <v>18/11/2025</v>
      </c>
      <c r="K12889">
        <v>45988</v>
      </c>
      <c r="N12889">
        <v>109</v>
      </c>
      <c r="O12889" t="s">
        <v>24</v>
      </c>
      <c r="Q12889">
        <v>602.5</v>
      </c>
      <c r="R12889" t="str">
        <f>"FARMÁCIA INDIANA LJ 62 (10028)"</f>
        <v>FARMÁCIA INDIANA LJ 62 (10028)</v>
      </c>
      <c r="S12889" t="s">
        <v>77</v>
      </c>
      <c r="T12889">
        <v>22580</v>
      </c>
      <c r="U12889">
        <v>25722</v>
      </c>
      <c r="V12889" t="s">
        <v>77</v>
      </c>
    </row>
    <row r="12890" spans="1:22">
      <c r="A12890" t="str">
        <f t="shared" si="2539"/>
        <v>27/11/2025</v>
      </c>
      <c r="B12890" t="str">
        <f t="shared" si="2540"/>
        <v>SAÍDA</v>
      </c>
      <c r="C12890" t="str">
        <f t="shared" si="2541"/>
        <v>PIX</v>
      </c>
      <c r="D12890" t="str">
        <f>"25724"</f>
        <v>25724</v>
      </c>
      <c r="E12890" t="str">
        <f t="shared" si="2546"/>
        <v>1</v>
      </c>
      <c r="F12890" t="str">
        <f t="shared" si="2545"/>
        <v>COM</v>
      </c>
      <c r="G12890" t="str">
        <f>"KALESSON BARROSO DIAS (216)"</f>
        <v>KALESSON BARROSO DIAS (216)</v>
      </c>
      <c r="H12890" t="str">
        <f>"Serv.Prest. 10/11/2025 a 16/11/2025 - PIX: CELULAR - CHAVE: (33) 99106-9330"</f>
        <v>Serv.Prest. 10/11/2025 a 16/11/2025 - PIX: CELULAR - CHAVE: (33) 99106-9330</v>
      </c>
      <c r="I12890" t="str">
        <f t="shared" si="2542"/>
        <v>27/11/2025</v>
      </c>
      <c r="J12890" t="str">
        <f t="shared" si="2544"/>
        <v>18/11/2025</v>
      </c>
      <c r="K12890" t="str">
        <f>("27/11/2025")</f>
        <v>27/11/2025</v>
      </c>
      <c r="L12890">
        <v>1020</v>
      </c>
      <c r="M12890">
        <v>1020</v>
      </c>
      <c r="N12890">
        <v>109</v>
      </c>
      <c r="O12890" t="str">
        <f>"PAGAMENTO DE ENTREGADORES"</f>
        <v>PAGAMENTO DE ENTREGADORES</v>
      </c>
      <c r="P12890">
        <v>1020</v>
      </c>
      <c r="S12890" t="str">
        <f>"BANCO C6 (149)"</f>
        <v>BANCO C6 (149)</v>
      </c>
      <c r="T12890">
        <v>22581</v>
      </c>
      <c r="U12890">
        <v>25724</v>
      </c>
      <c r="V12890" t="s">
        <v>77</v>
      </c>
    </row>
    <row r="12891" spans="1:22">
      <c r="A12891" t="str">
        <f t="shared" si="2539"/>
        <v>27/11/2025</v>
      </c>
      <c r="B12891" t="str">
        <f t="shared" si="2540"/>
        <v>SAÍDA</v>
      </c>
      <c r="C12891" t="str">
        <f t="shared" si="2541"/>
        <v>PIX</v>
      </c>
      <c r="D12891" t="str">
        <f>"25724"</f>
        <v>25724</v>
      </c>
      <c r="E12891" t="str">
        <f t="shared" si="2546"/>
        <v>1</v>
      </c>
      <c r="F12891" t="str">
        <f t="shared" si="2545"/>
        <v>COM</v>
      </c>
      <c r="G12891" t="str">
        <f>"KALESSON BARROSO DIAS (216)"</f>
        <v>KALESSON BARROSO DIAS (216)</v>
      </c>
      <c r="H12891" t="s">
        <v>3485</v>
      </c>
      <c r="I12891" t="str">
        <f t="shared" si="2542"/>
        <v>27/11/2025</v>
      </c>
      <c r="J12891" t="str">
        <f t="shared" si="2544"/>
        <v>18/11/2025</v>
      </c>
      <c r="K12891">
        <v>45988</v>
      </c>
      <c r="N12891">
        <v>109</v>
      </c>
      <c r="O12891" t="s">
        <v>24</v>
      </c>
      <c r="Q12891">
        <v>1020</v>
      </c>
      <c r="R12891" t="str">
        <f>"FARMÁCIA INDIANA LJ 06 (10006)"</f>
        <v>FARMÁCIA INDIANA LJ 06 (10006)</v>
      </c>
      <c r="S12891" t="s">
        <v>77</v>
      </c>
      <c r="T12891">
        <v>22581</v>
      </c>
      <c r="U12891">
        <v>25724</v>
      </c>
      <c r="V12891" t="s">
        <v>77</v>
      </c>
    </row>
    <row r="12892" spans="1:22">
      <c r="A12892" t="str">
        <f t="shared" si="2539"/>
        <v>27/11/2025</v>
      </c>
      <c r="B12892" t="str">
        <f t="shared" si="2540"/>
        <v>SAÍDA</v>
      </c>
      <c r="C12892" t="str">
        <f t="shared" si="2541"/>
        <v>PIX</v>
      </c>
      <c r="D12892" t="str">
        <f>"25727"</f>
        <v>25727</v>
      </c>
      <c r="E12892" t="str">
        <f t="shared" si="2546"/>
        <v>1</v>
      </c>
      <c r="F12892" t="str">
        <f t="shared" si="2545"/>
        <v>COM</v>
      </c>
      <c r="G12892" t="str">
        <f>"LEVERCI DA SILVA COURA (138)"</f>
        <v>LEVERCI DA SILVA COURA (138)</v>
      </c>
      <c r="H12892" t="str">
        <f>"Serv.Prest. 10/11/2025 a 16/11/2025 - PIX: CELULAR - CHAVE: (31) 99850-4727"</f>
        <v>Serv.Prest. 10/11/2025 a 16/11/2025 - PIX: CELULAR - CHAVE: (31) 99850-4727</v>
      </c>
      <c r="I12892" t="str">
        <f t="shared" si="2542"/>
        <v>27/11/2025</v>
      </c>
      <c r="J12892" t="str">
        <f t="shared" si="2544"/>
        <v>18/11/2025</v>
      </c>
      <c r="K12892" t="str">
        <f>("27/11/2025")</f>
        <v>27/11/2025</v>
      </c>
      <c r="L12892">
        <v>792</v>
      </c>
      <c r="M12892">
        <v>792</v>
      </c>
      <c r="N12892">
        <v>109</v>
      </c>
      <c r="O12892" t="str">
        <f>"PAGAMENTO DE ENTREGADORES"</f>
        <v>PAGAMENTO DE ENTREGADORES</v>
      </c>
      <c r="P12892">
        <v>792</v>
      </c>
      <c r="S12892" t="str">
        <f>"BANCO C6 (149)"</f>
        <v>BANCO C6 (149)</v>
      </c>
      <c r="T12892">
        <v>22582</v>
      </c>
      <c r="U12892">
        <v>25727</v>
      </c>
      <c r="V12892" t="s">
        <v>77</v>
      </c>
    </row>
    <row r="12893" spans="1:22">
      <c r="A12893" t="str">
        <f t="shared" si="2539"/>
        <v>27/11/2025</v>
      </c>
      <c r="B12893" t="str">
        <f t="shared" si="2540"/>
        <v>SAÍDA</v>
      </c>
      <c r="C12893" t="str">
        <f t="shared" si="2541"/>
        <v>PIX</v>
      </c>
      <c r="D12893" t="str">
        <f>"25727"</f>
        <v>25727</v>
      </c>
      <c r="E12893" t="str">
        <f t="shared" si="2546"/>
        <v>1</v>
      </c>
      <c r="F12893" t="str">
        <f t="shared" si="2545"/>
        <v>COM</v>
      </c>
      <c r="G12893" t="str">
        <f>"LEVERCI DA SILVA COURA (138)"</f>
        <v>LEVERCI DA SILVA COURA (138)</v>
      </c>
      <c r="H12893" t="s">
        <v>3486</v>
      </c>
      <c r="I12893" t="str">
        <f t="shared" si="2542"/>
        <v>27/11/2025</v>
      </c>
      <c r="J12893" t="str">
        <f t="shared" si="2544"/>
        <v>18/11/2025</v>
      </c>
      <c r="K12893">
        <v>45988</v>
      </c>
      <c r="N12893">
        <v>109</v>
      </c>
      <c r="O12893" t="s">
        <v>24</v>
      </c>
      <c r="Q12893">
        <v>792</v>
      </c>
      <c r="R12893" t="str">
        <f>"FARMÁCIA INDIANA LJ 18 (10011)"</f>
        <v>FARMÁCIA INDIANA LJ 18 (10011)</v>
      </c>
      <c r="S12893" t="s">
        <v>77</v>
      </c>
      <c r="T12893">
        <v>22582</v>
      </c>
      <c r="U12893">
        <v>25727</v>
      </c>
      <c r="V12893" t="s">
        <v>77</v>
      </c>
    </row>
    <row r="12894" spans="1:22">
      <c r="A12894" t="str">
        <f t="shared" si="2539"/>
        <v>27/11/2025</v>
      </c>
      <c r="B12894" t="str">
        <f t="shared" si="2540"/>
        <v>SAÍDA</v>
      </c>
      <c r="C12894" t="str">
        <f t="shared" si="2541"/>
        <v>PIX</v>
      </c>
      <c r="D12894" t="str">
        <f>"25728"</f>
        <v>25728</v>
      </c>
      <c r="E12894" t="str">
        <f t="shared" si="2546"/>
        <v>1</v>
      </c>
      <c r="F12894" t="str">
        <f t="shared" si="2545"/>
        <v>COM</v>
      </c>
      <c r="G12894" t="str">
        <f>"LUAN DOS SANTOS NUNES (719)"</f>
        <v>LUAN DOS SANTOS NUNES (719)</v>
      </c>
      <c r="H12894" t="str">
        <f>"Serv.Prest. 10/11/2025 a 16/11/2025 - PIX: CELULAR - CHAVE: (33) 98749-4693"</f>
        <v>Serv.Prest. 10/11/2025 a 16/11/2025 - PIX: CELULAR - CHAVE: (33) 98749-4693</v>
      </c>
      <c r="I12894" t="str">
        <f t="shared" si="2542"/>
        <v>27/11/2025</v>
      </c>
      <c r="J12894" t="str">
        <f t="shared" si="2544"/>
        <v>18/11/2025</v>
      </c>
      <c r="K12894" t="str">
        <f>("27/11/2025")</f>
        <v>27/11/2025</v>
      </c>
      <c r="L12894">
        <v>1716</v>
      </c>
      <c r="M12894">
        <v>1716</v>
      </c>
      <c r="N12894">
        <v>109</v>
      </c>
      <c r="O12894" t="str">
        <f>"PAGAMENTO DE ENTREGADORES"</f>
        <v>PAGAMENTO DE ENTREGADORES</v>
      </c>
      <c r="P12894">
        <v>1716</v>
      </c>
      <c r="S12894" t="str">
        <f>"BANCO C6 (149)"</f>
        <v>BANCO C6 (149)</v>
      </c>
      <c r="T12894">
        <v>22583</v>
      </c>
      <c r="U12894">
        <v>25728</v>
      </c>
      <c r="V12894" t="s">
        <v>77</v>
      </c>
    </row>
    <row r="12895" spans="1:22">
      <c r="A12895" t="str">
        <f t="shared" si="2539"/>
        <v>27/11/2025</v>
      </c>
      <c r="B12895" t="str">
        <f t="shared" si="2540"/>
        <v>SAÍDA</v>
      </c>
      <c r="C12895" t="str">
        <f t="shared" si="2541"/>
        <v>PIX</v>
      </c>
      <c r="D12895" t="str">
        <f>"25728"</f>
        <v>25728</v>
      </c>
      <c r="E12895" t="str">
        <f t="shared" si="2546"/>
        <v>1</v>
      </c>
      <c r="F12895" t="str">
        <f t="shared" si="2545"/>
        <v>COM</v>
      </c>
      <c r="G12895" t="str">
        <f>"LUAN DOS SANTOS NUNES (719)"</f>
        <v>LUAN DOS SANTOS NUNES (719)</v>
      </c>
      <c r="H12895" t="s">
        <v>3487</v>
      </c>
      <c r="I12895" t="str">
        <f t="shared" si="2542"/>
        <v>27/11/2025</v>
      </c>
      <c r="J12895" t="str">
        <f t="shared" si="2544"/>
        <v>18/11/2025</v>
      </c>
      <c r="K12895">
        <v>45988</v>
      </c>
      <c r="N12895">
        <v>109</v>
      </c>
      <c r="O12895" t="s">
        <v>24</v>
      </c>
      <c r="Q12895">
        <v>55.08</v>
      </c>
      <c r="R12895" t="str">
        <f>"FARMÁCIA INDIANA LJ 40 (10016)"</f>
        <v>FARMÁCIA INDIANA LJ 40 (10016)</v>
      </c>
      <c r="S12895" t="s">
        <v>77</v>
      </c>
      <c r="T12895">
        <v>22583</v>
      </c>
      <c r="U12895">
        <v>25728</v>
      </c>
      <c r="V12895" t="s">
        <v>77</v>
      </c>
    </row>
    <row r="12896" spans="1:22">
      <c r="A12896" t="str">
        <f t="shared" si="2539"/>
        <v>27/11/2025</v>
      </c>
      <c r="B12896" t="str">
        <f t="shared" si="2540"/>
        <v>SAÍDA</v>
      </c>
      <c r="C12896" t="str">
        <f t="shared" si="2541"/>
        <v>PIX</v>
      </c>
      <c r="D12896" t="str">
        <f>"25728"</f>
        <v>25728</v>
      </c>
      <c r="E12896" t="str">
        <f t="shared" si="2546"/>
        <v>1</v>
      </c>
      <c r="F12896" t="str">
        <f t="shared" si="2545"/>
        <v>COM</v>
      </c>
      <c r="G12896" t="str">
        <f>"LUAN DOS SANTOS NUNES (719)"</f>
        <v>LUAN DOS SANTOS NUNES (719)</v>
      </c>
      <c r="H12896" t="s">
        <v>3487</v>
      </c>
      <c r="I12896" t="str">
        <f t="shared" si="2542"/>
        <v>27/11/2025</v>
      </c>
      <c r="J12896" t="str">
        <f t="shared" si="2544"/>
        <v>18/11/2025</v>
      </c>
      <c r="K12896">
        <v>45988</v>
      </c>
      <c r="N12896">
        <v>109</v>
      </c>
      <c r="O12896" t="s">
        <v>24</v>
      </c>
      <c r="Q12896">
        <v>1660.92</v>
      </c>
      <c r="R12896" t="str">
        <f>"FARMÁCIA INDIANA LJ 61 (10027)"</f>
        <v>FARMÁCIA INDIANA LJ 61 (10027)</v>
      </c>
      <c r="S12896" t="s">
        <v>77</v>
      </c>
      <c r="T12896">
        <v>22583</v>
      </c>
      <c r="U12896">
        <v>25728</v>
      </c>
      <c r="V12896" t="s">
        <v>77</v>
      </c>
    </row>
    <row r="12897" spans="1:22">
      <c r="A12897" t="str">
        <f t="shared" si="2539"/>
        <v>27/11/2025</v>
      </c>
      <c r="B12897" t="str">
        <f t="shared" si="2540"/>
        <v>SAÍDA</v>
      </c>
      <c r="C12897" t="str">
        <f t="shared" si="2541"/>
        <v>PIX</v>
      </c>
      <c r="D12897" t="str">
        <f>"25729"</f>
        <v>25729</v>
      </c>
      <c r="E12897" t="str">
        <f t="shared" si="2546"/>
        <v>1</v>
      </c>
      <c r="F12897" t="str">
        <f t="shared" si="2545"/>
        <v>COM</v>
      </c>
      <c r="G12897" t="str">
        <f>"LUAN VICTOR SERQUEIRA DA SILVA (577)"</f>
        <v>LUAN VICTOR SERQUEIRA DA SILVA (577)</v>
      </c>
      <c r="H12897" t="str">
        <f>"Serv.Prest. 10/11/2025 a 16/11/2025 - PIX: CPF - CHAVE: 161.508.516-56"</f>
        <v>Serv.Prest. 10/11/2025 a 16/11/2025 - PIX: CPF - CHAVE: 161.508.516-56</v>
      </c>
      <c r="I12897" t="str">
        <f t="shared" si="2542"/>
        <v>27/11/2025</v>
      </c>
      <c r="J12897" t="str">
        <f t="shared" si="2544"/>
        <v>18/11/2025</v>
      </c>
      <c r="K12897" t="str">
        <f>("27/11/2025")</f>
        <v>27/11/2025</v>
      </c>
      <c r="L12897">
        <v>698.5</v>
      </c>
      <c r="M12897">
        <v>698.5</v>
      </c>
      <c r="N12897">
        <v>109</v>
      </c>
      <c r="O12897" t="str">
        <f>"PAGAMENTO DE ENTREGADORES"</f>
        <v>PAGAMENTO DE ENTREGADORES</v>
      </c>
      <c r="P12897">
        <v>698.5</v>
      </c>
      <c r="S12897" t="str">
        <f>"BANCO C6 (149)"</f>
        <v>BANCO C6 (149)</v>
      </c>
      <c r="T12897">
        <v>22584</v>
      </c>
      <c r="U12897">
        <v>25729</v>
      </c>
      <c r="V12897" t="s">
        <v>77</v>
      </c>
    </row>
    <row r="12898" spans="1:22">
      <c r="A12898" t="str">
        <f t="shared" si="2539"/>
        <v>27/11/2025</v>
      </c>
      <c r="B12898" t="str">
        <f t="shared" si="2540"/>
        <v>SAÍDA</v>
      </c>
      <c r="C12898" t="str">
        <f t="shared" si="2541"/>
        <v>PIX</v>
      </c>
      <c r="D12898" t="str">
        <f>"25729"</f>
        <v>25729</v>
      </c>
      <c r="E12898" t="str">
        <f t="shared" si="2546"/>
        <v>1</v>
      </c>
      <c r="F12898" t="str">
        <f t="shared" si="2545"/>
        <v>COM</v>
      </c>
      <c r="G12898" t="str">
        <f>"LUAN VICTOR SERQUEIRA DA SILVA (577)"</f>
        <v>LUAN VICTOR SERQUEIRA DA SILVA (577)</v>
      </c>
      <c r="H12898" t="s">
        <v>3488</v>
      </c>
      <c r="I12898" t="str">
        <f t="shared" si="2542"/>
        <v>27/11/2025</v>
      </c>
      <c r="J12898" t="str">
        <f t="shared" si="2544"/>
        <v>18/11/2025</v>
      </c>
      <c r="K12898">
        <v>45988</v>
      </c>
      <c r="N12898">
        <v>109</v>
      </c>
      <c r="O12898" t="s">
        <v>24</v>
      </c>
      <c r="Q12898">
        <v>698.5</v>
      </c>
      <c r="R12898" t="str">
        <f>"FARMÁCIA INDIANA LJ 202 (10085)"</f>
        <v>FARMÁCIA INDIANA LJ 202 (10085)</v>
      </c>
      <c r="S12898" t="s">
        <v>77</v>
      </c>
      <c r="T12898">
        <v>22584</v>
      </c>
      <c r="U12898">
        <v>25729</v>
      </c>
      <c r="V12898" t="s">
        <v>77</v>
      </c>
    </row>
    <row r="12899" spans="1:22">
      <c r="A12899" t="str">
        <f t="shared" si="2539"/>
        <v>27/11/2025</v>
      </c>
      <c r="B12899" t="str">
        <f t="shared" si="2540"/>
        <v>SAÍDA</v>
      </c>
      <c r="C12899" t="str">
        <f t="shared" si="2541"/>
        <v>PIX</v>
      </c>
      <c r="D12899" t="str">
        <f>"25730"</f>
        <v>25730</v>
      </c>
      <c r="E12899" t="str">
        <f t="shared" si="2546"/>
        <v>1</v>
      </c>
      <c r="F12899" t="str">
        <f t="shared" si="2545"/>
        <v>COM</v>
      </c>
      <c r="G12899" t="str">
        <f>"LUCAS FERREIRA DOS SANTOS (868)"</f>
        <v>LUCAS FERREIRA DOS SANTOS (868)</v>
      </c>
      <c r="H12899" t="str">
        <f>"Serv.Prest. 10/11/2025 a 16/11/2025 - PIX: CELULAR - CHAVE: (33) 99172-0627"</f>
        <v>Serv.Prest. 10/11/2025 a 16/11/2025 - PIX: CELULAR - CHAVE: (33) 99172-0627</v>
      </c>
      <c r="I12899" t="str">
        <f t="shared" si="2542"/>
        <v>27/11/2025</v>
      </c>
      <c r="J12899" t="str">
        <f t="shared" si="2544"/>
        <v>18/11/2025</v>
      </c>
      <c r="K12899" t="str">
        <f>("27/11/2025")</f>
        <v>27/11/2025</v>
      </c>
      <c r="L12899">
        <v>1080</v>
      </c>
      <c r="M12899">
        <v>1080</v>
      </c>
      <c r="N12899">
        <v>109</v>
      </c>
      <c r="O12899" t="str">
        <f>"PAGAMENTO DE ENTREGADORES"</f>
        <v>PAGAMENTO DE ENTREGADORES</v>
      </c>
      <c r="P12899">
        <v>1080</v>
      </c>
      <c r="S12899" t="str">
        <f>"BANCO C6 (149)"</f>
        <v>BANCO C6 (149)</v>
      </c>
      <c r="T12899">
        <v>22585</v>
      </c>
      <c r="U12899">
        <v>25730</v>
      </c>
      <c r="V12899" t="s">
        <v>77</v>
      </c>
    </row>
    <row r="12900" spans="1:22">
      <c r="A12900" t="str">
        <f t="shared" si="2539"/>
        <v>27/11/2025</v>
      </c>
      <c r="B12900" t="str">
        <f t="shared" si="2540"/>
        <v>SAÍDA</v>
      </c>
      <c r="C12900" t="str">
        <f t="shared" si="2541"/>
        <v>PIX</v>
      </c>
      <c r="D12900" t="str">
        <f>"25730"</f>
        <v>25730</v>
      </c>
      <c r="E12900" t="str">
        <f t="shared" si="2546"/>
        <v>1</v>
      </c>
      <c r="F12900" t="str">
        <f t="shared" si="2545"/>
        <v>COM</v>
      </c>
      <c r="G12900" t="str">
        <f>"LUCAS FERREIRA DOS SANTOS (868)"</f>
        <v>LUCAS FERREIRA DOS SANTOS (868)</v>
      </c>
      <c r="H12900" t="s">
        <v>3489</v>
      </c>
      <c r="I12900" t="str">
        <f t="shared" si="2542"/>
        <v>27/11/2025</v>
      </c>
      <c r="J12900" t="str">
        <f t="shared" si="2544"/>
        <v>18/11/2025</v>
      </c>
      <c r="K12900">
        <v>45988</v>
      </c>
      <c r="N12900">
        <v>109</v>
      </c>
      <c r="O12900" t="s">
        <v>24</v>
      </c>
      <c r="Q12900">
        <v>1080</v>
      </c>
      <c r="R12900" t="str">
        <f>"FARMÁCIA INDIANA LJ 06 (10006)"</f>
        <v>FARMÁCIA INDIANA LJ 06 (10006)</v>
      </c>
      <c r="S12900" t="s">
        <v>77</v>
      </c>
      <c r="T12900">
        <v>22585</v>
      </c>
      <c r="U12900">
        <v>25730</v>
      </c>
      <c r="V12900" t="s">
        <v>77</v>
      </c>
    </row>
    <row r="12901" spans="1:22">
      <c r="A12901" t="str">
        <f t="shared" si="2539"/>
        <v>27/11/2025</v>
      </c>
      <c r="B12901" t="str">
        <f t="shared" si="2540"/>
        <v>SAÍDA</v>
      </c>
      <c r="C12901" t="str">
        <f t="shared" si="2541"/>
        <v>PIX</v>
      </c>
      <c r="D12901" t="str">
        <f>"25732"</f>
        <v>25732</v>
      </c>
      <c r="E12901" t="str">
        <f t="shared" si="2546"/>
        <v>1</v>
      </c>
      <c r="F12901" t="str">
        <f t="shared" si="2545"/>
        <v>COM</v>
      </c>
      <c r="G12901" t="str">
        <f>"LUIZ ALVES MARTINS (40)"</f>
        <v>LUIZ ALVES MARTINS (40)</v>
      </c>
      <c r="H12901" t="str">
        <f>"Serv.Prest. 10/11/2025 a 16/11/2025 - PIX: CELULAR - CHAVE: (33) 99981-6650"</f>
        <v>Serv.Prest. 10/11/2025 a 16/11/2025 - PIX: CELULAR - CHAVE: (33) 99981-6650</v>
      </c>
      <c r="I12901" t="str">
        <f t="shared" si="2542"/>
        <v>27/11/2025</v>
      </c>
      <c r="J12901" t="str">
        <f t="shared" si="2544"/>
        <v>18/11/2025</v>
      </c>
      <c r="K12901" t="str">
        <f>("27/11/2025")</f>
        <v>27/11/2025</v>
      </c>
      <c r="L12901">
        <v>990</v>
      </c>
      <c r="M12901">
        <v>990</v>
      </c>
      <c r="N12901">
        <v>109</v>
      </c>
      <c r="O12901" t="str">
        <f>"PAGAMENTO DE ENTREGADORES"</f>
        <v>PAGAMENTO DE ENTREGADORES</v>
      </c>
      <c r="P12901">
        <v>990</v>
      </c>
      <c r="S12901" t="str">
        <f>"BANCO C6 (149)"</f>
        <v>BANCO C6 (149)</v>
      </c>
      <c r="T12901">
        <v>22586</v>
      </c>
      <c r="U12901">
        <v>25732</v>
      </c>
      <c r="V12901" t="s">
        <v>77</v>
      </c>
    </row>
    <row r="12902" spans="1:22">
      <c r="A12902" t="str">
        <f t="shared" si="2539"/>
        <v>27/11/2025</v>
      </c>
      <c r="B12902" t="str">
        <f t="shared" si="2540"/>
        <v>SAÍDA</v>
      </c>
      <c r="C12902" t="str">
        <f t="shared" si="2541"/>
        <v>PIX</v>
      </c>
      <c r="D12902" t="str">
        <f>"25732"</f>
        <v>25732</v>
      </c>
      <c r="E12902" t="str">
        <f t="shared" si="2546"/>
        <v>1</v>
      </c>
      <c r="F12902" t="str">
        <f t="shared" si="2545"/>
        <v>COM</v>
      </c>
      <c r="G12902" t="str">
        <f>"LUIZ ALVES MARTINS (40)"</f>
        <v>LUIZ ALVES MARTINS (40)</v>
      </c>
      <c r="H12902" t="s">
        <v>3490</v>
      </c>
      <c r="I12902" t="str">
        <f t="shared" si="2542"/>
        <v>27/11/2025</v>
      </c>
      <c r="J12902" t="str">
        <f t="shared" si="2544"/>
        <v>18/11/2025</v>
      </c>
      <c r="K12902">
        <v>45988</v>
      </c>
      <c r="N12902">
        <v>109</v>
      </c>
      <c r="O12902" t="s">
        <v>24</v>
      </c>
      <c r="Q12902">
        <v>893.97</v>
      </c>
      <c r="R12902" t="str">
        <f>"FARMÁCIA INDIANA LJ 11 (10008)"</f>
        <v>FARMÁCIA INDIANA LJ 11 (10008)</v>
      </c>
      <c r="S12902" t="s">
        <v>77</v>
      </c>
      <c r="T12902">
        <v>22586</v>
      </c>
      <c r="U12902">
        <v>25732</v>
      </c>
      <c r="V12902" t="s">
        <v>77</v>
      </c>
    </row>
    <row r="12903" spans="1:22">
      <c r="A12903" t="str">
        <f t="shared" si="2539"/>
        <v>27/11/2025</v>
      </c>
      <c r="B12903" t="str">
        <f t="shared" si="2540"/>
        <v>SAÍDA</v>
      </c>
      <c r="C12903" t="str">
        <f t="shared" si="2541"/>
        <v>PIX</v>
      </c>
      <c r="D12903" t="str">
        <f>"25732"</f>
        <v>25732</v>
      </c>
      <c r="E12903" t="str">
        <f t="shared" si="2546"/>
        <v>1</v>
      </c>
      <c r="F12903" t="str">
        <f t="shared" si="2545"/>
        <v>COM</v>
      </c>
      <c r="G12903" t="str">
        <f>"LUIZ ALVES MARTINS (40)"</f>
        <v>LUIZ ALVES MARTINS (40)</v>
      </c>
      <c r="H12903" t="s">
        <v>3490</v>
      </c>
      <c r="I12903" t="str">
        <f t="shared" si="2542"/>
        <v>27/11/2025</v>
      </c>
      <c r="J12903" t="str">
        <f t="shared" si="2544"/>
        <v>18/11/2025</v>
      </c>
      <c r="K12903">
        <v>45988</v>
      </c>
      <c r="N12903">
        <v>109</v>
      </c>
      <c r="O12903" t="s">
        <v>24</v>
      </c>
      <c r="Q12903">
        <v>96.03</v>
      </c>
      <c r="R12903" t="str">
        <f>"FARMÁCIA INDIANA LJ 172 (10161)"</f>
        <v>FARMÁCIA INDIANA LJ 172 (10161)</v>
      </c>
      <c r="S12903" t="s">
        <v>77</v>
      </c>
      <c r="T12903">
        <v>22586</v>
      </c>
      <c r="U12903">
        <v>25732</v>
      </c>
      <c r="V12903" t="s">
        <v>77</v>
      </c>
    </row>
    <row r="12904" spans="1:22">
      <c r="A12904" t="str">
        <f t="shared" si="2539"/>
        <v>27/11/2025</v>
      </c>
      <c r="B12904" t="str">
        <f t="shared" si="2540"/>
        <v>SAÍDA</v>
      </c>
      <c r="C12904" t="str">
        <f t="shared" si="2541"/>
        <v>PIX</v>
      </c>
      <c r="D12904" t="str">
        <f>"25733"</f>
        <v>25733</v>
      </c>
      <c r="E12904" t="str">
        <f t="shared" si="2546"/>
        <v>1</v>
      </c>
      <c r="F12904" t="str">
        <f t="shared" si="2545"/>
        <v>COM</v>
      </c>
      <c r="G12904" t="str">
        <f>"LUIZ EDUARDO VIANA BRITO (878)"</f>
        <v>LUIZ EDUARDO VIANA BRITO (878)</v>
      </c>
      <c r="H12904" t="str">
        <f>"Serv.Prest. 10/11/2025 a 16/11/2025 - PIX: CPF - CHAVE: 101.220.976-88"</f>
        <v>Serv.Prest. 10/11/2025 a 16/11/2025 - PIX: CPF - CHAVE: 101.220.976-88</v>
      </c>
      <c r="I12904" t="str">
        <f t="shared" si="2542"/>
        <v>27/11/2025</v>
      </c>
      <c r="J12904" t="str">
        <f t="shared" si="2544"/>
        <v>18/11/2025</v>
      </c>
      <c r="K12904" t="str">
        <f>("27/11/2025")</f>
        <v>27/11/2025</v>
      </c>
      <c r="L12904">
        <v>814</v>
      </c>
      <c r="M12904">
        <v>814</v>
      </c>
      <c r="N12904">
        <v>109</v>
      </c>
      <c r="O12904" t="str">
        <f>"PAGAMENTO DE ENTREGADORES"</f>
        <v>PAGAMENTO DE ENTREGADORES</v>
      </c>
      <c r="P12904">
        <v>814</v>
      </c>
      <c r="S12904" t="str">
        <f>"BANCO C6 (149)"</f>
        <v>BANCO C6 (149)</v>
      </c>
      <c r="T12904">
        <v>22587</v>
      </c>
      <c r="U12904">
        <v>25733</v>
      </c>
      <c r="V12904" t="s">
        <v>77</v>
      </c>
    </row>
    <row r="12905" spans="1:22">
      <c r="A12905" t="str">
        <f t="shared" si="2539"/>
        <v>27/11/2025</v>
      </c>
      <c r="B12905" t="str">
        <f t="shared" si="2540"/>
        <v>SAÍDA</v>
      </c>
      <c r="C12905" t="str">
        <f t="shared" si="2541"/>
        <v>PIX</v>
      </c>
      <c r="D12905" t="str">
        <f>"25733"</f>
        <v>25733</v>
      </c>
      <c r="E12905" t="str">
        <f t="shared" si="2546"/>
        <v>1</v>
      </c>
      <c r="F12905" t="str">
        <f t="shared" si="2545"/>
        <v>COM</v>
      </c>
      <c r="G12905" t="str">
        <f>"LUIZ EDUARDO VIANA BRITO (878)"</f>
        <v>LUIZ EDUARDO VIANA BRITO (878)</v>
      </c>
      <c r="H12905" t="s">
        <v>3491</v>
      </c>
      <c r="I12905" t="str">
        <f t="shared" si="2542"/>
        <v>27/11/2025</v>
      </c>
      <c r="J12905" t="str">
        <f t="shared" si="2544"/>
        <v>18/11/2025</v>
      </c>
      <c r="K12905">
        <v>45988</v>
      </c>
      <c r="N12905">
        <v>109</v>
      </c>
      <c r="O12905" t="s">
        <v>24</v>
      </c>
      <c r="Q12905">
        <v>814</v>
      </c>
      <c r="R12905" t="str">
        <f>"FARMÁCIA INDIANA LJ 40 (10016)"</f>
        <v>FARMÁCIA INDIANA LJ 40 (10016)</v>
      </c>
      <c r="S12905" t="s">
        <v>77</v>
      </c>
      <c r="T12905">
        <v>22587</v>
      </c>
      <c r="U12905">
        <v>25733</v>
      </c>
      <c r="V12905" t="s">
        <v>77</v>
      </c>
    </row>
    <row r="12906" spans="1:22">
      <c r="A12906" t="str">
        <f t="shared" si="2539"/>
        <v>27/11/2025</v>
      </c>
      <c r="B12906" t="str">
        <f t="shared" si="2540"/>
        <v>SAÍDA</v>
      </c>
      <c r="C12906" t="str">
        <f t="shared" si="2541"/>
        <v>PIX</v>
      </c>
      <c r="D12906" t="str">
        <f>"25734"</f>
        <v>25734</v>
      </c>
      <c r="E12906" t="str">
        <f t="shared" si="2546"/>
        <v>1</v>
      </c>
      <c r="F12906" t="str">
        <f t="shared" si="2545"/>
        <v>COM</v>
      </c>
      <c r="G12906" t="str">
        <f>"LUIZ EMANUEL PINHEIRO (870)"</f>
        <v>LUIZ EMANUEL PINHEIRO (870)</v>
      </c>
      <c r="H12906" t="str">
        <f>"Serv.Prest. 10/11/2025 a 16/11/2025 - PIX: CPF - CHAVE: 129.269.326-69"</f>
        <v>Serv.Prest. 10/11/2025 a 16/11/2025 - PIX: CPF - CHAVE: 129.269.326-69</v>
      </c>
      <c r="I12906" t="str">
        <f t="shared" si="2542"/>
        <v>27/11/2025</v>
      </c>
      <c r="J12906" t="str">
        <f t="shared" si="2544"/>
        <v>18/11/2025</v>
      </c>
      <c r="K12906" t="str">
        <f>("27/11/2025")</f>
        <v>27/11/2025</v>
      </c>
      <c r="L12906">
        <v>700.8</v>
      </c>
      <c r="M12906">
        <v>700.8</v>
      </c>
      <c r="N12906">
        <v>109</v>
      </c>
      <c r="O12906" t="str">
        <f>"PAGAMENTO DE ENTREGADORES"</f>
        <v>PAGAMENTO DE ENTREGADORES</v>
      </c>
      <c r="P12906">
        <v>700.8</v>
      </c>
      <c r="S12906" t="str">
        <f>"BANCO C6 (149)"</f>
        <v>BANCO C6 (149)</v>
      </c>
      <c r="T12906">
        <v>22588</v>
      </c>
      <c r="U12906">
        <v>25734</v>
      </c>
      <c r="V12906" t="s">
        <v>77</v>
      </c>
    </row>
    <row r="12907" spans="1:22">
      <c r="A12907" t="str">
        <f t="shared" si="2539"/>
        <v>27/11/2025</v>
      </c>
      <c r="B12907" t="str">
        <f t="shared" si="2540"/>
        <v>SAÍDA</v>
      </c>
      <c r="C12907" t="str">
        <f t="shared" si="2541"/>
        <v>PIX</v>
      </c>
      <c r="D12907" t="str">
        <f>"25734"</f>
        <v>25734</v>
      </c>
      <c r="E12907" t="str">
        <f t="shared" si="2546"/>
        <v>1</v>
      </c>
      <c r="F12907" t="str">
        <f t="shared" si="2545"/>
        <v>COM</v>
      </c>
      <c r="G12907" t="str">
        <f>"LUIZ EMANUEL PINHEIRO (870)"</f>
        <v>LUIZ EMANUEL PINHEIRO (870)</v>
      </c>
      <c r="H12907" t="s">
        <v>3492</v>
      </c>
      <c r="I12907" t="str">
        <f t="shared" si="2542"/>
        <v>27/11/2025</v>
      </c>
      <c r="J12907" t="str">
        <f t="shared" si="2544"/>
        <v>18/11/2025</v>
      </c>
      <c r="K12907">
        <v>45988</v>
      </c>
      <c r="N12907">
        <v>109</v>
      </c>
      <c r="O12907" t="s">
        <v>24</v>
      </c>
      <c r="Q12907">
        <v>700.8</v>
      </c>
      <c r="R12907" t="str">
        <f>"FARMÁCIA INDIANA LJ 121 (10054)"</f>
        <v>FARMÁCIA INDIANA LJ 121 (10054)</v>
      </c>
      <c r="S12907" t="s">
        <v>77</v>
      </c>
      <c r="T12907">
        <v>22588</v>
      </c>
      <c r="U12907">
        <v>25734</v>
      </c>
      <c r="V12907" t="s">
        <v>77</v>
      </c>
    </row>
    <row r="12908" spans="1:22">
      <c r="A12908" t="str">
        <f t="shared" si="2539"/>
        <v>27/11/2025</v>
      </c>
      <c r="B12908" t="str">
        <f t="shared" si="2540"/>
        <v>SAÍDA</v>
      </c>
      <c r="C12908" t="str">
        <f t="shared" si="2541"/>
        <v>PIX</v>
      </c>
      <c r="D12908" t="str">
        <f>"25735"</f>
        <v>25735</v>
      </c>
      <c r="E12908" t="str">
        <f t="shared" si="2546"/>
        <v>1</v>
      </c>
      <c r="F12908" t="str">
        <f t="shared" si="2545"/>
        <v>COM</v>
      </c>
      <c r="G12908" t="str">
        <f>"LUIZ FERNANDO CARVALHO ALVES (198)"</f>
        <v>LUIZ FERNANDO CARVALHO ALVES (198)</v>
      </c>
      <c r="H12908" t="str">
        <f>"Serv.Prest. 10/11/2025 a 16/11/2025 - PIX: CPF - CHAVE: 705.097.186-39"</f>
        <v>Serv.Prest. 10/11/2025 a 16/11/2025 - PIX: CPF - CHAVE: 705.097.186-39</v>
      </c>
      <c r="I12908" t="str">
        <f t="shared" si="2542"/>
        <v>27/11/2025</v>
      </c>
      <c r="J12908" t="str">
        <f t="shared" si="2544"/>
        <v>18/11/2025</v>
      </c>
      <c r="K12908" t="str">
        <f>("27/11/2025")</f>
        <v>27/11/2025</v>
      </c>
      <c r="L12908">
        <v>750</v>
      </c>
      <c r="M12908">
        <v>750</v>
      </c>
      <c r="N12908">
        <v>109</v>
      </c>
      <c r="O12908" t="str">
        <f>"PAGAMENTO DE ENTREGADORES"</f>
        <v>PAGAMENTO DE ENTREGADORES</v>
      </c>
      <c r="P12908">
        <v>750</v>
      </c>
      <c r="S12908" t="str">
        <f>"BANCO C6 (149)"</f>
        <v>BANCO C6 (149)</v>
      </c>
      <c r="T12908">
        <v>22589</v>
      </c>
      <c r="U12908">
        <v>25735</v>
      </c>
      <c r="V12908" t="s">
        <v>77</v>
      </c>
    </row>
    <row r="12909" spans="1:22">
      <c r="A12909" t="str">
        <f t="shared" si="2539"/>
        <v>27/11/2025</v>
      </c>
      <c r="B12909" t="str">
        <f t="shared" si="2540"/>
        <v>SAÍDA</v>
      </c>
      <c r="C12909" t="str">
        <f t="shared" si="2541"/>
        <v>PIX</v>
      </c>
      <c r="D12909" t="str">
        <f>"25735"</f>
        <v>25735</v>
      </c>
      <c r="E12909" t="str">
        <f t="shared" si="2546"/>
        <v>1</v>
      </c>
      <c r="F12909" t="str">
        <f t="shared" si="2545"/>
        <v>COM</v>
      </c>
      <c r="G12909" t="str">
        <f>"LUIZ FERNANDO CARVALHO ALVES (198)"</f>
        <v>LUIZ FERNANDO CARVALHO ALVES (198)</v>
      </c>
      <c r="H12909" t="s">
        <v>3493</v>
      </c>
      <c r="I12909" t="str">
        <f t="shared" si="2542"/>
        <v>27/11/2025</v>
      </c>
      <c r="J12909" t="str">
        <f t="shared" si="2544"/>
        <v>18/11/2025</v>
      </c>
      <c r="K12909">
        <v>45988</v>
      </c>
      <c r="N12909">
        <v>109</v>
      </c>
      <c r="O12909" t="s">
        <v>24</v>
      </c>
      <c r="Q12909">
        <v>750</v>
      </c>
      <c r="R12909" t="str">
        <f>"FARMÁCIA INDIANA LJ 171 (10074)"</f>
        <v>FARMÁCIA INDIANA LJ 171 (10074)</v>
      </c>
      <c r="S12909" t="s">
        <v>77</v>
      </c>
      <c r="T12909">
        <v>22589</v>
      </c>
      <c r="U12909">
        <v>25735</v>
      </c>
      <c r="V12909" t="s">
        <v>77</v>
      </c>
    </row>
    <row r="12910" spans="1:22">
      <c r="A12910" t="str">
        <f t="shared" si="2539"/>
        <v>27/11/2025</v>
      </c>
      <c r="B12910" t="str">
        <f t="shared" si="2540"/>
        <v>SAÍDA</v>
      </c>
      <c r="C12910" t="str">
        <f t="shared" si="2541"/>
        <v>PIX</v>
      </c>
      <c r="D12910" t="str">
        <f>"25736"</f>
        <v>25736</v>
      </c>
      <c r="E12910" t="str">
        <f t="shared" si="2546"/>
        <v>1</v>
      </c>
      <c r="F12910" t="str">
        <f t="shared" si="2545"/>
        <v>COM</v>
      </c>
      <c r="G12910" t="str">
        <f>"LUIZ PAULO LOUREIRO PRADO (475)"</f>
        <v>LUIZ PAULO LOUREIRO PRADO (475)</v>
      </c>
      <c r="H12910" t="str">
        <f>"Serv.Prest. 10/11/2025 a 16/11/2025 - PIX: CPF - CHAVE: 159.443.306-27"</f>
        <v>Serv.Prest. 10/11/2025 a 16/11/2025 - PIX: CPF - CHAVE: 159.443.306-27</v>
      </c>
      <c r="I12910" t="str">
        <f t="shared" si="2542"/>
        <v>27/11/2025</v>
      </c>
      <c r="J12910" t="str">
        <f t="shared" ref="J12910:J12929" si="2547">("18/11/2025")</f>
        <v>18/11/2025</v>
      </c>
      <c r="K12910" t="str">
        <f>("27/11/2025")</f>
        <v>27/11/2025</v>
      </c>
      <c r="L12910">
        <v>700.8</v>
      </c>
      <c r="M12910">
        <v>700.8</v>
      </c>
      <c r="N12910">
        <v>109</v>
      </c>
      <c r="O12910" t="str">
        <f>"PAGAMENTO DE ENTREGADORES"</f>
        <v>PAGAMENTO DE ENTREGADORES</v>
      </c>
      <c r="P12910">
        <v>700.8</v>
      </c>
      <c r="S12910" t="str">
        <f>"BANCO C6 (149)"</f>
        <v>BANCO C6 (149)</v>
      </c>
      <c r="T12910">
        <v>22590</v>
      </c>
      <c r="U12910">
        <v>25736</v>
      </c>
      <c r="V12910" t="s">
        <v>77</v>
      </c>
    </row>
    <row r="12911" spans="1:22">
      <c r="A12911" t="str">
        <f t="shared" si="2539"/>
        <v>27/11/2025</v>
      </c>
      <c r="B12911" t="str">
        <f t="shared" si="2540"/>
        <v>SAÍDA</v>
      </c>
      <c r="C12911" t="str">
        <f t="shared" si="2541"/>
        <v>PIX</v>
      </c>
      <c r="D12911" t="str">
        <f>"25736"</f>
        <v>25736</v>
      </c>
      <c r="E12911" t="str">
        <f t="shared" si="2546"/>
        <v>1</v>
      </c>
      <c r="F12911" t="str">
        <f t="shared" si="2545"/>
        <v>COM</v>
      </c>
      <c r="G12911" t="str">
        <f>"LUIZ PAULO LOUREIRO PRADO (475)"</f>
        <v>LUIZ PAULO LOUREIRO PRADO (475)</v>
      </c>
      <c r="H12911" t="s">
        <v>3494</v>
      </c>
      <c r="I12911" t="str">
        <f t="shared" si="2542"/>
        <v>27/11/2025</v>
      </c>
      <c r="J12911" t="str">
        <f t="shared" si="2547"/>
        <v>18/11/2025</v>
      </c>
      <c r="K12911">
        <v>45988</v>
      </c>
      <c r="N12911">
        <v>109</v>
      </c>
      <c r="O12911" t="s">
        <v>24</v>
      </c>
      <c r="Q12911">
        <v>700.8</v>
      </c>
      <c r="R12911" t="str">
        <f>"FARMÁCIA INDIANA LJ 121 (10054)"</f>
        <v>FARMÁCIA INDIANA LJ 121 (10054)</v>
      </c>
      <c r="S12911" t="s">
        <v>77</v>
      </c>
      <c r="T12911">
        <v>22590</v>
      </c>
      <c r="U12911">
        <v>25736</v>
      </c>
      <c r="V12911" t="s">
        <v>77</v>
      </c>
    </row>
    <row r="12912" spans="1:22">
      <c r="A12912" t="str">
        <f t="shared" si="2539"/>
        <v>27/11/2025</v>
      </c>
      <c r="B12912" t="str">
        <f t="shared" si="2540"/>
        <v>SAÍDA</v>
      </c>
      <c r="C12912" t="str">
        <f t="shared" si="2541"/>
        <v>PIX</v>
      </c>
      <c r="D12912" t="str">
        <f>"25737"</f>
        <v>25737</v>
      </c>
      <c r="E12912" t="str">
        <f t="shared" si="2546"/>
        <v>1</v>
      </c>
      <c r="F12912" t="str">
        <f t="shared" si="2545"/>
        <v>COM</v>
      </c>
      <c r="G12912" t="str">
        <f>"MARCIO CLAUDIO DE ARAUJO (204)"</f>
        <v>MARCIO CLAUDIO DE ARAUJO (204)</v>
      </c>
      <c r="H12912" t="str">
        <f>"Serv.Prest. 10/11/2025 a 16/11/2025 - PIX: CELULAR - CHAVE: (33) 98427-3872"</f>
        <v>Serv.Prest. 10/11/2025 a 16/11/2025 - PIX: CELULAR - CHAVE: (33) 98427-3872</v>
      </c>
      <c r="I12912" t="str">
        <f t="shared" si="2542"/>
        <v>27/11/2025</v>
      </c>
      <c r="J12912" t="str">
        <f t="shared" si="2547"/>
        <v>18/11/2025</v>
      </c>
      <c r="K12912" t="str">
        <f>("27/11/2025")</f>
        <v>27/11/2025</v>
      </c>
      <c r="L12912">
        <v>1110</v>
      </c>
      <c r="M12912">
        <v>1110</v>
      </c>
      <c r="N12912">
        <v>109</v>
      </c>
      <c r="O12912" t="str">
        <f>"PAGAMENTO DE ENTREGADORES"</f>
        <v>PAGAMENTO DE ENTREGADORES</v>
      </c>
      <c r="P12912">
        <v>1110</v>
      </c>
      <c r="S12912" t="str">
        <f>"BANCO C6 (149)"</f>
        <v>BANCO C6 (149)</v>
      </c>
      <c r="T12912">
        <v>22591</v>
      </c>
      <c r="U12912">
        <v>25737</v>
      </c>
      <c r="V12912" t="s">
        <v>77</v>
      </c>
    </row>
    <row r="12913" spans="1:22">
      <c r="A12913" t="str">
        <f t="shared" si="2539"/>
        <v>27/11/2025</v>
      </c>
      <c r="B12913" t="str">
        <f t="shared" si="2540"/>
        <v>SAÍDA</v>
      </c>
      <c r="C12913" t="str">
        <f t="shared" si="2541"/>
        <v>PIX</v>
      </c>
      <c r="D12913" t="str">
        <f>"25737"</f>
        <v>25737</v>
      </c>
      <c r="E12913" t="str">
        <f t="shared" si="2546"/>
        <v>1</v>
      </c>
      <c r="F12913" t="str">
        <f t="shared" si="2545"/>
        <v>COM</v>
      </c>
      <c r="G12913" t="str">
        <f>"MARCIO CLAUDIO DE ARAUJO (204)"</f>
        <v>MARCIO CLAUDIO DE ARAUJO (204)</v>
      </c>
      <c r="H12913" t="s">
        <v>3495</v>
      </c>
      <c r="I12913" t="str">
        <f t="shared" si="2542"/>
        <v>27/11/2025</v>
      </c>
      <c r="J12913" t="str">
        <f t="shared" si="2547"/>
        <v>18/11/2025</v>
      </c>
      <c r="K12913">
        <v>45988</v>
      </c>
      <c r="N12913">
        <v>109</v>
      </c>
      <c r="O12913" t="s">
        <v>24</v>
      </c>
      <c r="Q12913">
        <v>1110</v>
      </c>
      <c r="R12913" t="str">
        <f>"FARMÁCIA INDIANA LJ 06 (10006)"</f>
        <v>FARMÁCIA INDIANA LJ 06 (10006)</v>
      </c>
      <c r="S12913" t="s">
        <v>77</v>
      </c>
      <c r="T12913">
        <v>22591</v>
      </c>
      <c r="U12913">
        <v>25737</v>
      </c>
      <c r="V12913" t="s">
        <v>77</v>
      </c>
    </row>
    <row r="12914" spans="1:22">
      <c r="A12914" t="str">
        <f t="shared" si="2539"/>
        <v>27/11/2025</v>
      </c>
      <c r="B12914" t="str">
        <f t="shared" si="2540"/>
        <v>SAÍDA</v>
      </c>
      <c r="C12914" t="str">
        <f t="shared" si="2541"/>
        <v>PIX</v>
      </c>
      <c r="D12914" t="str">
        <f>"25738"</f>
        <v>25738</v>
      </c>
      <c r="E12914" t="str">
        <f t="shared" si="2546"/>
        <v>1</v>
      </c>
      <c r="F12914" t="str">
        <f t="shared" si="2545"/>
        <v>COM</v>
      </c>
      <c r="G12914" t="str">
        <f>"MARCOS DIONI RODRIGUES GASPAR (506)"</f>
        <v>MARCOS DIONI RODRIGUES GASPAR (506)</v>
      </c>
      <c r="H12914" t="str">
        <f>"Serv.Prest. 10/11/2025 a 16/11/2025 - PIX: CELULAR - CHAVE: (33) 99815-2379"</f>
        <v>Serv.Prest. 10/11/2025 a 16/11/2025 - PIX: CELULAR - CHAVE: (33) 99815-2379</v>
      </c>
      <c r="I12914" t="str">
        <f t="shared" si="2542"/>
        <v>27/11/2025</v>
      </c>
      <c r="J12914" t="str">
        <f t="shared" si="2547"/>
        <v>18/11/2025</v>
      </c>
      <c r="K12914" t="str">
        <f>("27/11/2025")</f>
        <v>27/11/2025</v>
      </c>
      <c r="L12914">
        <v>1080</v>
      </c>
      <c r="M12914">
        <v>1080</v>
      </c>
      <c r="N12914">
        <v>109</v>
      </c>
      <c r="O12914" t="str">
        <f>"PAGAMENTO DE ENTREGADORES"</f>
        <v>PAGAMENTO DE ENTREGADORES</v>
      </c>
      <c r="P12914">
        <v>1080</v>
      </c>
      <c r="S12914" t="str">
        <f>"BANCO C6 (149)"</f>
        <v>BANCO C6 (149)</v>
      </c>
      <c r="T12914">
        <v>22592</v>
      </c>
      <c r="U12914">
        <v>25738</v>
      </c>
      <c r="V12914" t="s">
        <v>77</v>
      </c>
    </row>
    <row r="12915" spans="1:22">
      <c r="A12915" t="str">
        <f t="shared" ref="A12915:A12978" si="2548">("27/11/2025")</f>
        <v>27/11/2025</v>
      </c>
      <c r="B12915" t="str">
        <f t="shared" ref="B12915:B12978" si="2549">"SAÍDA"</f>
        <v>SAÍDA</v>
      </c>
      <c r="C12915" t="str">
        <f t="shared" ref="C12915:C12978" si="2550">"PIX"</f>
        <v>PIX</v>
      </c>
      <c r="D12915" t="str">
        <f>"25738"</f>
        <v>25738</v>
      </c>
      <c r="E12915" t="str">
        <f t="shared" si="2546"/>
        <v>1</v>
      </c>
      <c r="F12915" t="str">
        <f t="shared" si="2545"/>
        <v>COM</v>
      </c>
      <c r="G12915" t="str">
        <f>"MARCOS DIONI RODRIGUES GASPAR (506)"</f>
        <v>MARCOS DIONI RODRIGUES GASPAR (506)</v>
      </c>
      <c r="H12915" t="s">
        <v>3496</v>
      </c>
      <c r="I12915" t="str">
        <f t="shared" ref="I12915:I12978" si="2551">("27/11/2025")</f>
        <v>27/11/2025</v>
      </c>
      <c r="J12915" t="str">
        <f t="shared" si="2547"/>
        <v>18/11/2025</v>
      </c>
      <c r="K12915">
        <v>45988</v>
      </c>
      <c r="N12915">
        <v>109</v>
      </c>
      <c r="O12915" t="s">
        <v>24</v>
      </c>
      <c r="Q12915">
        <v>1080</v>
      </c>
      <c r="R12915" t="str">
        <f>"FARMÁCIA INDIANA LJ 06 (10006)"</f>
        <v>FARMÁCIA INDIANA LJ 06 (10006)</v>
      </c>
      <c r="S12915" t="s">
        <v>77</v>
      </c>
      <c r="T12915">
        <v>22592</v>
      </c>
      <c r="U12915">
        <v>25738</v>
      </c>
      <c r="V12915" t="s">
        <v>77</v>
      </c>
    </row>
    <row r="12916" spans="1:22">
      <c r="A12916" t="str">
        <f t="shared" si="2548"/>
        <v>27/11/2025</v>
      </c>
      <c r="B12916" t="str">
        <f t="shared" si="2549"/>
        <v>SAÍDA</v>
      </c>
      <c r="C12916" t="str">
        <f t="shared" si="2550"/>
        <v>PIX</v>
      </c>
      <c r="D12916" t="str">
        <f>"25739"</f>
        <v>25739</v>
      </c>
      <c r="E12916" t="str">
        <f t="shared" si="2546"/>
        <v>1</v>
      </c>
      <c r="F12916" t="str">
        <f t="shared" si="2545"/>
        <v>COM</v>
      </c>
      <c r="G12916" t="str">
        <f>"MARCOS RODRIGUES PENA (64)"</f>
        <v>MARCOS RODRIGUES PENA (64)</v>
      </c>
      <c r="H12916" t="str">
        <f>"Serv.Prest. 10/11/2025 a 16/11/2025 - PIX: CELULAR - CHAVE: (33) 99194-2339"</f>
        <v>Serv.Prest. 10/11/2025 a 16/11/2025 - PIX: CELULAR - CHAVE: (33) 99194-2339</v>
      </c>
      <c r="I12916" t="str">
        <f t="shared" si="2551"/>
        <v>27/11/2025</v>
      </c>
      <c r="J12916" t="str">
        <f t="shared" si="2547"/>
        <v>18/11/2025</v>
      </c>
      <c r="K12916" t="str">
        <f>("27/11/2025")</f>
        <v>27/11/2025</v>
      </c>
      <c r="L12916">
        <v>605</v>
      </c>
      <c r="M12916">
        <v>605</v>
      </c>
      <c r="N12916">
        <v>109</v>
      </c>
      <c r="O12916" t="str">
        <f>"PAGAMENTO DE ENTREGADORES"</f>
        <v>PAGAMENTO DE ENTREGADORES</v>
      </c>
      <c r="P12916">
        <v>605</v>
      </c>
      <c r="S12916" t="str">
        <f>"BANCO C6 (149)"</f>
        <v>BANCO C6 (149)</v>
      </c>
      <c r="T12916">
        <v>22593</v>
      </c>
      <c r="U12916">
        <v>25739</v>
      </c>
      <c r="V12916" t="s">
        <v>77</v>
      </c>
    </row>
    <row r="12917" spans="1:22">
      <c r="A12917" t="str">
        <f t="shared" si="2548"/>
        <v>27/11/2025</v>
      </c>
      <c r="B12917" t="str">
        <f t="shared" si="2549"/>
        <v>SAÍDA</v>
      </c>
      <c r="C12917" t="str">
        <f t="shared" si="2550"/>
        <v>PIX</v>
      </c>
      <c r="D12917" t="str">
        <f>"25739"</f>
        <v>25739</v>
      </c>
      <c r="E12917" t="str">
        <f t="shared" ref="E12917:E12929" si="2552">"1"</f>
        <v>1</v>
      </c>
      <c r="F12917" t="str">
        <f t="shared" si="2545"/>
        <v>COM</v>
      </c>
      <c r="G12917" t="str">
        <f>"MARCOS RODRIGUES PENA (64)"</f>
        <v>MARCOS RODRIGUES PENA (64)</v>
      </c>
      <c r="H12917" t="s">
        <v>3497</v>
      </c>
      <c r="I12917" t="str">
        <f t="shared" si="2551"/>
        <v>27/11/2025</v>
      </c>
      <c r="J12917" t="str">
        <f t="shared" si="2547"/>
        <v>18/11/2025</v>
      </c>
      <c r="K12917">
        <v>45988</v>
      </c>
      <c r="N12917">
        <v>109</v>
      </c>
      <c r="O12917" t="s">
        <v>24</v>
      </c>
      <c r="Q12917">
        <v>605</v>
      </c>
      <c r="R12917" t="str">
        <f>"FARMÁCIA INDIANA LJ 62 (10028)"</f>
        <v>FARMÁCIA INDIANA LJ 62 (10028)</v>
      </c>
      <c r="S12917" t="s">
        <v>77</v>
      </c>
      <c r="T12917">
        <v>22593</v>
      </c>
      <c r="U12917">
        <v>25739</v>
      </c>
      <c r="V12917" t="s">
        <v>77</v>
      </c>
    </row>
    <row r="12918" spans="1:22">
      <c r="A12918" t="str">
        <f t="shared" si="2548"/>
        <v>27/11/2025</v>
      </c>
      <c r="B12918" t="str">
        <f t="shared" si="2549"/>
        <v>SAÍDA</v>
      </c>
      <c r="C12918" t="str">
        <f t="shared" si="2550"/>
        <v>PIX</v>
      </c>
      <c r="D12918" t="str">
        <f>"25740"</f>
        <v>25740</v>
      </c>
      <c r="E12918" t="str">
        <f t="shared" si="2552"/>
        <v>1</v>
      </c>
      <c r="F12918" t="str">
        <f t="shared" si="2545"/>
        <v>COM</v>
      </c>
      <c r="G12918" t="str">
        <f>"MATHEUS VIEIRA DA SILVA (886)"</f>
        <v>MATHEUS VIEIRA DA SILVA (886)</v>
      </c>
      <c r="H12918" t="str">
        <f>"Serv.Prest. 10/11/2025 a 16/11/2025 - PIX: CPF - CHAVE: 142.716.106-23"</f>
        <v>Serv.Prest. 10/11/2025 a 16/11/2025 - PIX: CPF - CHAVE: 142.716.106-23</v>
      </c>
      <c r="I12918" t="str">
        <f t="shared" si="2551"/>
        <v>27/11/2025</v>
      </c>
      <c r="J12918" t="str">
        <f t="shared" si="2547"/>
        <v>18/11/2025</v>
      </c>
      <c r="K12918" t="str">
        <f>("27/11/2025")</f>
        <v>27/11/2025</v>
      </c>
      <c r="L12918">
        <v>840</v>
      </c>
      <c r="M12918">
        <v>840</v>
      </c>
      <c r="N12918">
        <v>109</v>
      </c>
      <c r="O12918" t="str">
        <f>"PAGAMENTO DE ENTREGADORES"</f>
        <v>PAGAMENTO DE ENTREGADORES</v>
      </c>
      <c r="P12918">
        <v>840</v>
      </c>
      <c r="S12918" t="str">
        <f>"BANCO C6 (149)"</f>
        <v>BANCO C6 (149)</v>
      </c>
      <c r="T12918">
        <v>22594</v>
      </c>
      <c r="U12918">
        <v>25740</v>
      </c>
      <c r="V12918" t="s">
        <v>77</v>
      </c>
    </row>
    <row r="12919" spans="1:22">
      <c r="A12919" t="str">
        <f t="shared" si="2548"/>
        <v>27/11/2025</v>
      </c>
      <c r="B12919" t="str">
        <f t="shared" si="2549"/>
        <v>SAÍDA</v>
      </c>
      <c r="C12919" t="str">
        <f t="shared" si="2550"/>
        <v>PIX</v>
      </c>
      <c r="D12919" t="str">
        <f>"25740"</f>
        <v>25740</v>
      </c>
      <c r="E12919" t="str">
        <f t="shared" si="2552"/>
        <v>1</v>
      </c>
      <c r="F12919" t="str">
        <f t="shared" si="2545"/>
        <v>COM</v>
      </c>
      <c r="G12919" t="str">
        <f>"MATHEUS VIEIRA DA SILVA (886)"</f>
        <v>MATHEUS VIEIRA DA SILVA (886)</v>
      </c>
      <c r="H12919" t="s">
        <v>3498</v>
      </c>
      <c r="I12919" t="str">
        <f t="shared" si="2551"/>
        <v>27/11/2025</v>
      </c>
      <c r="J12919" t="str">
        <f t="shared" si="2547"/>
        <v>18/11/2025</v>
      </c>
      <c r="K12919">
        <v>45988</v>
      </c>
      <c r="N12919">
        <v>109</v>
      </c>
      <c r="O12919" t="s">
        <v>24</v>
      </c>
      <c r="Q12919">
        <v>840</v>
      </c>
      <c r="R12919" t="str">
        <f>"FARMÁCIA INDIANA LJ 07 (10007)"</f>
        <v>FARMÁCIA INDIANA LJ 07 (10007)</v>
      </c>
      <c r="S12919" t="s">
        <v>77</v>
      </c>
      <c r="T12919">
        <v>22594</v>
      </c>
      <c r="U12919">
        <v>25740</v>
      </c>
      <c r="V12919" t="s">
        <v>77</v>
      </c>
    </row>
    <row r="12920" spans="1:22">
      <c r="A12920" t="str">
        <f t="shared" si="2548"/>
        <v>27/11/2025</v>
      </c>
      <c r="B12920" t="str">
        <f t="shared" si="2549"/>
        <v>SAÍDA</v>
      </c>
      <c r="C12920" t="str">
        <f t="shared" si="2550"/>
        <v>PIX</v>
      </c>
      <c r="D12920" t="str">
        <f>"25742"</f>
        <v>25742</v>
      </c>
      <c r="E12920" t="str">
        <f t="shared" si="2552"/>
        <v>1</v>
      </c>
      <c r="F12920" t="str">
        <f t="shared" si="2545"/>
        <v>COM</v>
      </c>
      <c r="G12920" t="str">
        <f>"MAURO AUGUSTO MACHADO DE ASSIS (767)"</f>
        <v>MAURO AUGUSTO MACHADO DE ASSIS (767)</v>
      </c>
      <c r="H12920" t="str">
        <f>"Serv.Prest. 10/11/2025 a 16/11/2025 - PIX: CPF - CHAVE: 163.330.766-27"</f>
        <v>Serv.Prest. 10/11/2025 a 16/11/2025 - PIX: CPF - CHAVE: 163.330.766-27</v>
      </c>
      <c r="I12920" t="str">
        <f t="shared" si="2551"/>
        <v>27/11/2025</v>
      </c>
      <c r="J12920" t="str">
        <f t="shared" si="2547"/>
        <v>18/11/2025</v>
      </c>
      <c r="K12920" t="str">
        <f>("27/11/2025")</f>
        <v>27/11/2025</v>
      </c>
      <c r="L12920">
        <v>1014</v>
      </c>
      <c r="M12920">
        <v>1014</v>
      </c>
      <c r="N12920">
        <v>109</v>
      </c>
      <c r="O12920" t="str">
        <f>"PAGAMENTO DE ENTREGADORES"</f>
        <v>PAGAMENTO DE ENTREGADORES</v>
      </c>
      <c r="P12920">
        <v>1014</v>
      </c>
      <c r="S12920" t="str">
        <f>"BANCO C6 (149)"</f>
        <v>BANCO C6 (149)</v>
      </c>
      <c r="T12920">
        <v>22595</v>
      </c>
      <c r="U12920">
        <v>25742</v>
      </c>
      <c r="V12920" t="s">
        <v>77</v>
      </c>
    </row>
    <row r="12921" spans="1:22">
      <c r="A12921" t="str">
        <f t="shared" si="2548"/>
        <v>27/11/2025</v>
      </c>
      <c r="B12921" t="str">
        <f t="shared" si="2549"/>
        <v>SAÍDA</v>
      </c>
      <c r="C12921" t="str">
        <f t="shared" si="2550"/>
        <v>PIX</v>
      </c>
      <c r="D12921" t="str">
        <f>"25742"</f>
        <v>25742</v>
      </c>
      <c r="E12921" t="str">
        <f t="shared" si="2552"/>
        <v>1</v>
      </c>
      <c r="F12921" t="str">
        <f t="shared" si="2545"/>
        <v>COM</v>
      </c>
      <c r="G12921" t="str">
        <f>"MAURO AUGUSTO MACHADO DE ASSIS (767)"</f>
        <v>MAURO AUGUSTO MACHADO DE ASSIS (767)</v>
      </c>
      <c r="H12921" t="s">
        <v>3499</v>
      </c>
      <c r="I12921" t="str">
        <f t="shared" si="2551"/>
        <v>27/11/2025</v>
      </c>
      <c r="J12921" t="str">
        <f t="shared" si="2547"/>
        <v>18/11/2025</v>
      </c>
      <c r="K12921">
        <v>45988</v>
      </c>
      <c r="N12921">
        <v>109</v>
      </c>
      <c r="O12921" t="s">
        <v>24</v>
      </c>
      <c r="Q12921">
        <v>378.02</v>
      </c>
      <c r="R12921" t="str">
        <f>"FARMÁCIA INDIANA LJ 11 (10008)"</f>
        <v>FARMÁCIA INDIANA LJ 11 (10008)</v>
      </c>
      <c r="S12921" t="s">
        <v>77</v>
      </c>
      <c r="T12921">
        <v>22595</v>
      </c>
      <c r="U12921">
        <v>25742</v>
      </c>
      <c r="V12921" t="s">
        <v>77</v>
      </c>
    </row>
    <row r="12922" spans="1:22">
      <c r="A12922" t="str">
        <f t="shared" si="2548"/>
        <v>27/11/2025</v>
      </c>
      <c r="B12922" t="str">
        <f t="shared" si="2549"/>
        <v>SAÍDA</v>
      </c>
      <c r="C12922" t="str">
        <f t="shared" si="2550"/>
        <v>PIX</v>
      </c>
      <c r="D12922" t="str">
        <f>"25742"</f>
        <v>25742</v>
      </c>
      <c r="E12922" t="str">
        <f t="shared" si="2552"/>
        <v>1</v>
      </c>
      <c r="F12922" t="str">
        <f t="shared" si="2545"/>
        <v>COM</v>
      </c>
      <c r="G12922" t="str">
        <f>"MAURO AUGUSTO MACHADO DE ASSIS (767)"</f>
        <v>MAURO AUGUSTO MACHADO DE ASSIS (767)</v>
      </c>
      <c r="H12922" t="s">
        <v>3499</v>
      </c>
      <c r="I12922" t="str">
        <f t="shared" si="2551"/>
        <v>27/11/2025</v>
      </c>
      <c r="J12922" t="str">
        <f t="shared" si="2547"/>
        <v>18/11/2025</v>
      </c>
      <c r="K12922">
        <v>45988</v>
      </c>
      <c r="N12922">
        <v>109</v>
      </c>
      <c r="O12922" t="s">
        <v>24</v>
      </c>
      <c r="Q12922">
        <v>635.98</v>
      </c>
      <c r="R12922" t="str">
        <f>"FARMÁCIA INDIANA LJ 172 (10161)"</f>
        <v>FARMÁCIA INDIANA LJ 172 (10161)</v>
      </c>
      <c r="S12922" t="s">
        <v>77</v>
      </c>
      <c r="T12922">
        <v>22595</v>
      </c>
      <c r="U12922">
        <v>25742</v>
      </c>
      <c r="V12922" t="s">
        <v>77</v>
      </c>
    </row>
    <row r="12923" spans="1:22">
      <c r="A12923" t="str">
        <f t="shared" si="2548"/>
        <v>27/11/2025</v>
      </c>
      <c r="B12923" t="str">
        <f t="shared" si="2549"/>
        <v>SAÍDA</v>
      </c>
      <c r="C12923" t="str">
        <f t="shared" si="2550"/>
        <v>PIX</v>
      </c>
      <c r="D12923" t="str">
        <f>"25743"</f>
        <v>25743</v>
      </c>
      <c r="E12923" t="str">
        <f t="shared" si="2552"/>
        <v>1</v>
      </c>
      <c r="F12923" t="str">
        <f t="shared" si="2545"/>
        <v>COM</v>
      </c>
      <c r="G12923" t="str">
        <f>"MAYCON GUILHERME DUARTE (541)"</f>
        <v>MAYCON GUILHERME DUARTE (541)</v>
      </c>
      <c r="H12923" t="str">
        <f>"Serv.Prest. 10/11/2025 a 16/11/2025 - PIX: CELULAR - CHAVE: (31) 99076-6539"</f>
        <v>Serv.Prest. 10/11/2025 a 16/11/2025 - PIX: CELULAR - CHAVE: (31) 99076-6539</v>
      </c>
      <c r="I12923" t="str">
        <f t="shared" si="2551"/>
        <v>27/11/2025</v>
      </c>
      <c r="J12923" t="str">
        <f t="shared" si="2547"/>
        <v>18/11/2025</v>
      </c>
      <c r="K12923" t="str">
        <f>("27/11/2025")</f>
        <v>27/11/2025</v>
      </c>
      <c r="L12923">
        <v>1452</v>
      </c>
      <c r="M12923">
        <v>1452</v>
      </c>
      <c r="N12923">
        <v>109</v>
      </c>
      <c r="O12923" t="str">
        <f>"PAGAMENTO DE ENTREGADORES"</f>
        <v>PAGAMENTO DE ENTREGADORES</v>
      </c>
      <c r="P12923">
        <v>1452</v>
      </c>
      <c r="S12923" t="str">
        <f>"BANCO C6 (149)"</f>
        <v>BANCO C6 (149)</v>
      </c>
      <c r="T12923">
        <v>22596</v>
      </c>
      <c r="U12923">
        <v>25743</v>
      </c>
      <c r="V12923" t="s">
        <v>77</v>
      </c>
    </row>
    <row r="12924" spans="1:22">
      <c r="A12924" t="str">
        <f t="shared" si="2548"/>
        <v>27/11/2025</v>
      </c>
      <c r="B12924" t="str">
        <f t="shared" si="2549"/>
        <v>SAÍDA</v>
      </c>
      <c r="C12924" t="str">
        <f t="shared" si="2550"/>
        <v>PIX</v>
      </c>
      <c r="D12924" t="str">
        <f>"25743"</f>
        <v>25743</v>
      </c>
      <c r="E12924" t="str">
        <f t="shared" si="2552"/>
        <v>1</v>
      </c>
      <c r="F12924" t="str">
        <f t="shared" si="2545"/>
        <v>COM</v>
      </c>
      <c r="G12924" t="str">
        <f>"MAYCON GUILHERME DUARTE (541)"</f>
        <v>MAYCON GUILHERME DUARTE (541)</v>
      </c>
      <c r="H12924" t="s">
        <v>3500</v>
      </c>
      <c r="I12924" t="str">
        <f t="shared" si="2551"/>
        <v>27/11/2025</v>
      </c>
      <c r="J12924" t="str">
        <f t="shared" si="2547"/>
        <v>18/11/2025</v>
      </c>
      <c r="K12924">
        <v>45988</v>
      </c>
      <c r="N12924">
        <v>109</v>
      </c>
      <c r="O12924" t="s">
        <v>24</v>
      </c>
      <c r="Q12924">
        <v>1452</v>
      </c>
      <c r="R12924" t="str">
        <f>"FARMÁCIA INDIANA LJ 220 (10092)"</f>
        <v>FARMÁCIA INDIANA LJ 220 (10092)</v>
      </c>
      <c r="S12924" t="s">
        <v>77</v>
      </c>
      <c r="T12924">
        <v>22596</v>
      </c>
      <c r="U12924">
        <v>25743</v>
      </c>
      <c r="V12924" t="s">
        <v>77</v>
      </c>
    </row>
    <row r="12925" spans="1:22">
      <c r="A12925" t="str">
        <f t="shared" si="2548"/>
        <v>27/11/2025</v>
      </c>
      <c r="B12925" t="str">
        <f t="shared" si="2549"/>
        <v>SAÍDA</v>
      </c>
      <c r="C12925" t="str">
        <f t="shared" si="2550"/>
        <v>PIX</v>
      </c>
      <c r="D12925" t="str">
        <f>"25744"</f>
        <v>25744</v>
      </c>
      <c r="E12925" t="str">
        <f t="shared" si="2552"/>
        <v>1</v>
      </c>
      <c r="F12925" t="str">
        <f t="shared" si="2545"/>
        <v>COM</v>
      </c>
      <c r="G12925" t="str">
        <f>"MIGUEL PESSOA RAMOS (68)"</f>
        <v>MIGUEL PESSOA RAMOS (68)</v>
      </c>
      <c r="H12925" t="str">
        <f>"Serv.Prest. 10/11/2025 a 16/11/2025 - PIX: CELULAR - CHAVE: (33) 99845-0493"</f>
        <v>Serv.Prest. 10/11/2025 a 16/11/2025 - PIX: CELULAR - CHAVE: (33) 99845-0493</v>
      </c>
      <c r="I12925" t="str">
        <f t="shared" si="2551"/>
        <v>27/11/2025</v>
      </c>
      <c r="J12925" t="str">
        <f t="shared" si="2547"/>
        <v>18/11/2025</v>
      </c>
      <c r="K12925" t="str">
        <f>("27/11/2025")</f>
        <v>27/11/2025</v>
      </c>
      <c r="L12925">
        <v>1104</v>
      </c>
      <c r="M12925">
        <v>1104</v>
      </c>
      <c r="N12925">
        <v>109</v>
      </c>
      <c r="O12925" t="str">
        <f>"PAGAMENTO DE ENTREGADORES"</f>
        <v>PAGAMENTO DE ENTREGADORES</v>
      </c>
      <c r="P12925">
        <v>1104</v>
      </c>
      <c r="S12925" t="str">
        <f>"BANCO C6 (149)"</f>
        <v>BANCO C6 (149)</v>
      </c>
      <c r="T12925">
        <v>22597</v>
      </c>
      <c r="U12925">
        <v>25744</v>
      </c>
      <c r="V12925" t="s">
        <v>77</v>
      </c>
    </row>
    <row r="12926" spans="1:22">
      <c r="A12926" t="str">
        <f t="shared" si="2548"/>
        <v>27/11/2025</v>
      </c>
      <c r="B12926" t="str">
        <f t="shared" si="2549"/>
        <v>SAÍDA</v>
      </c>
      <c r="C12926" t="str">
        <f t="shared" si="2550"/>
        <v>PIX</v>
      </c>
      <c r="D12926" t="str">
        <f>"25744"</f>
        <v>25744</v>
      </c>
      <c r="E12926" t="str">
        <f t="shared" si="2552"/>
        <v>1</v>
      </c>
      <c r="F12926" t="str">
        <f t="shared" si="2545"/>
        <v>COM</v>
      </c>
      <c r="G12926" t="str">
        <f>"MIGUEL PESSOA RAMOS (68)"</f>
        <v>MIGUEL PESSOA RAMOS (68)</v>
      </c>
      <c r="H12926" t="s">
        <v>3501</v>
      </c>
      <c r="I12926" t="str">
        <f t="shared" si="2551"/>
        <v>27/11/2025</v>
      </c>
      <c r="J12926" t="str">
        <f t="shared" si="2547"/>
        <v>18/11/2025</v>
      </c>
      <c r="K12926">
        <v>45988</v>
      </c>
      <c r="N12926">
        <v>109</v>
      </c>
      <c r="O12926" t="s">
        <v>24</v>
      </c>
      <c r="Q12926">
        <v>1104</v>
      </c>
      <c r="R12926" t="str">
        <f>"FARMÁCIA INDIANA LJ 07 (10007)"</f>
        <v>FARMÁCIA INDIANA LJ 07 (10007)</v>
      </c>
      <c r="S12926" t="s">
        <v>77</v>
      </c>
      <c r="T12926">
        <v>22597</v>
      </c>
      <c r="U12926">
        <v>25744</v>
      </c>
      <c r="V12926" t="s">
        <v>77</v>
      </c>
    </row>
    <row r="12927" spans="1:22">
      <c r="A12927" t="str">
        <f t="shared" si="2548"/>
        <v>27/11/2025</v>
      </c>
      <c r="B12927" t="str">
        <f t="shared" si="2549"/>
        <v>SAÍDA</v>
      </c>
      <c r="C12927" t="str">
        <f t="shared" si="2550"/>
        <v>PIX</v>
      </c>
      <c r="D12927" t="str">
        <f>"25745"</f>
        <v>25745</v>
      </c>
      <c r="E12927" t="str">
        <f t="shared" si="2552"/>
        <v>1</v>
      </c>
      <c r="F12927" t="str">
        <f t="shared" si="2545"/>
        <v>COM</v>
      </c>
      <c r="G12927" t="str">
        <f>"MURILO BARRETO AFONSO (30)"</f>
        <v>MURILO BARRETO AFONSO (30)</v>
      </c>
      <c r="H12927" t="str">
        <f>"Serv.Prest. 10/11/2025 a 16/11/2025 - PIX: CPF - CHAVE: 123.020.026-60"</f>
        <v>Serv.Prest. 10/11/2025 a 16/11/2025 - PIX: CPF - CHAVE: 123.020.026-60</v>
      </c>
      <c r="I12927" t="str">
        <f t="shared" si="2551"/>
        <v>27/11/2025</v>
      </c>
      <c r="J12927" t="str">
        <f t="shared" si="2547"/>
        <v>18/11/2025</v>
      </c>
      <c r="K12927" t="str">
        <f>("27/11/2025")</f>
        <v>27/11/2025</v>
      </c>
      <c r="L12927">
        <v>1200</v>
      </c>
      <c r="M12927">
        <v>1200</v>
      </c>
      <c r="N12927">
        <v>109</v>
      </c>
      <c r="O12927" t="str">
        <f>"PAGAMENTO DE ENTREGADORES"</f>
        <v>PAGAMENTO DE ENTREGADORES</v>
      </c>
      <c r="P12927">
        <v>1200</v>
      </c>
      <c r="S12927" t="str">
        <f>"BANCO C6 (149)"</f>
        <v>BANCO C6 (149)</v>
      </c>
      <c r="T12927">
        <v>22598</v>
      </c>
      <c r="U12927">
        <v>25745</v>
      </c>
      <c r="V12927" t="s">
        <v>77</v>
      </c>
    </row>
    <row r="12928" spans="1:22">
      <c r="A12928" t="str">
        <f t="shared" si="2548"/>
        <v>27/11/2025</v>
      </c>
      <c r="B12928" t="str">
        <f t="shared" si="2549"/>
        <v>SAÍDA</v>
      </c>
      <c r="C12928" t="str">
        <f t="shared" si="2550"/>
        <v>PIX</v>
      </c>
      <c r="D12928" t="str">
        <f>"25745"</f>
        <v>25745</v>
      </c>
      <c r="E12928" t="str">
        <f t="shared" si="2552"/>
        <v>1</v>
      </c>
      <c r="F12928" t="str">
        <f t="shared" si="2545"/>
        <v>COM</v>
      </c>
      <c r="G12928" t="str">
        <f>"MURILO BARRETO AFONSO (30)"</f>
        <v>MURILO BARRETO AFONSO (30)</v>
      </c>
      <c r="H12928" t="s">
        <v>3502</v>
      </c>
      <c r="I12928" t="str">
        <f t="shared" si="2551"/>
        <v>27/11/2025</v>
      </c>
      <c r="J12928" t="str">
        <f t="shared" si="2547"/>
        <v>18/11/2025</v>
      </c>
      <c r="K12928">
        <v>45988</v>
      </c>
      <c r="N12928">
        <v>109</v>
      </c>
      <c r="O12928" t="s">
        <v>24</v>
      </c>
      <c r="Q12928">
        <v>995.16</v>
      </c>
      <c r="R12928" t="str">
        <f>"FARMÁCIA INDIANA LJ 118 (10052)"</f>
        <v>FARMÁCIA INDIANA LJ 118 (10052)</v>
      </c>
      <c r="S12928" t="s">
        <v>77</v>
      </c>
      <c r="T12928">
        <v>22598</v>
      </c>
      <c r="U12928">
        <v>25745</v>
      </c>
      <c r="V12928" t="s">
        <v>77</v>
      </c>
    </row>
    <row r="12929" spans="1:22">
      <c r="A12929" t="str">
        <f t="shared" si="2548"/>
        <v>27/11/2025</v>
      </c>
      <c r="B12929" t="str">
        <f t="shared" si="2549"/>
        <v>SAÍDA</v>
      </c>
      <c r="C12929" t="str">
        <f t="shared" si="2550"/>
        <v>PIX</v>
      </c>
      <c r="D12929" t="str">
        <f>"25745"</f>
        <v>25745</v>
      </c>
      <c r="E12929" t="str">
        <f t="shared" si="2552"/>
        <v>1</v>
      </c>
      <c r="F12929" t="str">
        <f t="shared" si="2545"/>
        <v>COM</v>
      </c>
      <c r="G12929" t="str">
        <f>"MURILO BARRETO AFONSO (30)"</f>
        <v>MURILO BARRETO AFONSO (30)</v>
      </c>
      <c r="H12929" t="s">
        <v>3502</v>
      </c>
      <c r="I12929" t="str">
        <f t="shared" si="2551"/>
        <v>27/11/2025</v>
      </c>
      <c r="J12929" t="str">
        <f t="shared" si="2547"/>
        <v>18/11/2025</v>
      </c>
      <c r="K12929">
        <v>45988</v>
      </c>
      <c r="N12929">
        <v>109</v>
      </c>
      <c r="O12929" t="s">
        <v>24</v>
      </c>
      <c r="Q12929">
        <v>204.84</v>
      </c>
      <c r="R12929" t="str">
        <f>"FARMÁCIA INDIANA LJ 192 (10082)"</f>
        <v>FARMÁCIA INDIANA LJ 192 (10082)</v>
      </c>
      <c r="S12929" t="s">
        <v>77</v>
      </c>
      <c r="T12929">
        <v>22598</v>
      </c>
      <c r="U12929">
        <v>25745</v>
      </c>
      <c r="V12929" t="s">
        <v>77</v>
      </c>
    </row>
    <row r="12930" spans="1:22">
      <c r="A12930" t="str">
        <f t="shared" si="2548"/>
        <v>27/11/2025</v>
      </c>
      <c r="B12930" t="str">
        <f t="shared" si="2549"/>
        <v>SAÍDA</v>
      </c>
      <c r="C12930" t="str">
        <f t="shared" si="2550"/>
        <v>PIX</v>
      </c>
      <c r="D12930" t="str">
        <f>"2711"</f>
        <v>2711</v>
      </c>
      <c r="E12930" t="str">
        <f>"25"</f>
        <v>25</v>
      </c>
      <c r="F12930" t="str">
        <f t="shared" si="2545"/>
        <v>COM</v>
      </c>
      <c r="G12930" t="str">
        <f>"GABRIEL VIANA PEREIRA (1097)"</f>
        <v>GABRIEL VIANA PEREIRA (1097)</v>
      </c>
      <c r="H12930" t="str">
        <f>"ENTREGAS TEOFIO OTONI  PIX: CELULAR - CHAVE: (33) 98408-4618"</f>
        <v>ENTREGAS TEOFIO OTONI  PIX: CELULAR - CHAVE: (33) 98408-4618</v>
      </c>
      <c r="I12930" t="str">
        <f t="shared" si="2551"/>
        <v>27/11/2025</v>
      </c>
      <c r="J12930" t="str">
        <f>("17/11/2025")</f>
        <v>17/11/2025</v>
      </c>
      <c r="K12930" t="str">
        <f>("27/11/2025")</f>
        <v>27/11/2025</v>
      </c>
      <c r="L12930">
        <v>1278</v>
      </c>
      <c r="M12930">
        <v>1278</v>
      </c>
      <c r="N12930">
        <v>109</v>
      </c>
      <c r="O12930" t="str">
        <f>"PAGAMENTO DE ENTREGADORES"</f>
        <v>PAGAMENTO DE ENTREGADORES</v>
      </c>
      <c r="P12930">
        <v>1278</v>
      </c>
      <c r="S12930" t="str">
        <f>"BANCO C6 (149)"</f>
        <v>BANCO C6 (149)</v>
      </c>
      <c r="T12930">
        <v>22599</v>
      </c>
      <c r="U12930">
        <v>26172</v>
      </c>
      <c r="V12930" t="s">
        <v>77</v>
      </c>
    </row>
    <row r="12931" spans="1:22">
      <c r="A12931" t="str">
        <f t="shared" si="2548"/>
        <v>27/11/2025</v>
      </c>
      <c r="B12931" t="str">
        <f t="shared" si="2549"/>
        <v>SAÍDA</v>
      </c>
      <c r="C12931" t="str">
        <f t="shared" si="2550"/>
        <v>PIX</v>
      </c>
      <c r="D12931" t="str">
        <f>"2711"</f>
        <v>2711</v>
      </c>
      <c r="E12931" t="str">
        <f>"25"</f>
        <v>25</v>
      </c>
      <c r="F12931" t="str">
        <f t="shared" si="2545"/>
        <v>COM</v>
      </c>
      <c r="G12931" t="str">
        <f>"GABRIEL VIANA PEREIRA (1097)"</f>
        <v>GABRIEL VIANA PEREIRA (1097)</v>
      </c>
      <c r="H12931" t="s">
        <v>3503</v>
      </c>
      <c r="I12931" t="str">
        <f t="shared" si="2551"/>
        <v>27/11/2025</v>
      </c>
      <c r="J12931" t="str">
        <f>("17/11/2025")</f>
        <v>17/11/2025</v>
      </c>
      <c r="K12931">
        <v>45988</v>
      </c>
      <c r="N12931">
        <v>109</v>
      </c>
      <c r="O12931" t="s">
        <v>24</v>
      </c>
      <c r="Q12931">
        <v>1278</v>
      </c>
      <c r="R12931" t="str">
        <f>"GABRIEL VIANA PEREIRA (1097)"</f>
        <v>GABRIEL VIANA PEREIRA (1097)</v>
      </c>
      <c r="S12931" t="s">
        <v>77</v>
      </c>
      <c r="T12931">
        <v>22599</v>
      </c>
      <c r="U12931">
        <v>26172</v>
      </c>
      <c r="V12931" t="s">
        <v>77</v>
      </c>
    </row>
    <row r="12932" spans="1:22">
      <c r="A12932" t="str">
        <f t="shared" si="2548"/>
        <v>27/11/2025</v>
      </c>
      <c r="B12932" t="str">
        <f t="shared" si="2549"/>
        <v>SAÍDA</v>
      </c>
      <c r="C12932" t="str">
        <f t="shared" si="2550"/>
        <v>PIX</v>
      </c>
      <c r="D12932" t="str">
        <f>"25747"</f>
        <v>25747</v>
      </c>
      <c r="E12932" t="str">
        <f t="shared" ref="E12932:E12995" si="2553">"1"</f>
        <v>1</v>
      </c>
      <c r="F12932" t="str">
        <f t="shared" si="2545"/>
        <v>COM</v>
      </c>
      <c r="G12932" t="str">
        <f>"NELSON DOS SANTOS RODRIGUES (37)"</f>
        <v>NELSON DOS SANTOS RODRIGUES (37)</v>
      </c>
      <c r="H12932" t="str">
        <f>"Serv.Prest. 10/11/2025 a 16/11/2025 - PIX: CPF - CHAVE: 108.680.396-59"</f>
        <v>Serv.Prest. 10/11/2025 a 16/11/2025 - PIX: CPF - CHAVE: 108.680.396-59</v>
      </c>
      <c r="I12932" t="str">
        <f t="shared" si="2551"/>
        <v>27/11/2025</v>
      </c>
      <c r="J12932" t="str">
        <f t="shared" ref="J12932:J12963" si="2554">("18/11/2025")</f>
        <v>18/11/2025</v>
      </c>
      <c r="K12932" t="str">
        <f>("27/11/2025")</f>
        <v>27/11/2025</v>
      </c>
      <c r="L12932">
        <v>1224</v>
      </c>
      <c r="M12932">
        <v>1224</v>
      </c>
      <c r="N12932">
        <v>109</v>
      </c>
      <c r="O12932" t="str">
        <f>"PAGAMENTO DE ENTREGADORES"</f>
        <v>PAGAMENTO DE ENTREGADORES</v>
      </c>
      <c r="P12932">
        <v>1224</v>
      </c>
      <c r="S12932" t="str">
        <f>"BANCO C6 (149)"</f>
        <v>BANCO C6 (149)</v>
      </c>
      <c r="T12932">
        <v>22600</v>
      </c>
      <c r="U12932">
        <v>25747</v>
      </c>
      <c r="V12932" t="s">
        <v>77</v>
      </c>
    </row>
    <row r="12933" spans="1:22">
      <c r="A12933" t="str">
        <f t="shared" si="2548"/>
        <v>27/11/2025</v>
      </c>
      <c r="B12933" t="str">
        <f t="shared" si="2549"/>
        <v>SAÍDA</v>
      </c>
      <c r="C12933" t="str">
        <f t="shared" si="2550"/>
        <v>PIX</v>
      </c>
      <c r="D12933" t="str">
        <f>"25747"</f>
        <v>25747</v>
      </c>
      <c r="E12933" t="str">
        <f t="shared" si="2553"/>
        <v>1</v>
      </c>
      <c r="F12933" t="str">
        <f t="shared" si="2545"/>
        <v>COM</v>
      </c>
      <c r="G12933" t="str">
        <f>"NELSON DOS SANTOS RODRIGUES (37)"</f>
        <v>NELSON DOS SANTOS RODRIGUES (37)</v>
      </c>
      <c r="H12933" t="s">
        <v>3504</v>
      </c>
      <c r="I12933" t="str">
        <f t="shared" si="2551"/>
        <v>27/11/2025</v>
      </c>
      <c r="J12933" t="str">
        <f t="shared" si="2554"/>
        <v>18/11/2025</v>
      </c>
      <c r="K12933">
        <v>45988</v>
      </c>
      <c r="N12933">
        <v>109</v>
      </c>
      <c r="O12933" t="s">
        <v>24</v>
      </c>
      <c r="Q12933">
        <v>1224</v>
      </c>
      <c r="R12933" t="str">
        <f>"FARMÁCIA INDIANA LJ 11 (10008)"</f>
        <v>FARMÁCIA INDIANA LJ 11 (10008)</v>
      </c>
      <c r="S12933" t="s">
        <v>77</v>
      </c>
      <c r="T12933">
        <v>22600</v>
      </c>
      <c r="U12933">
        <v>25747</v>
      </c>
      <c r="V12933" t="s">
        <v>77</v>
      </c>
    </row>
    <row r="12934" spans="1:22">
      <c r="A12934" t="str">
        <f t="shared" si="2548"/>
        <v>27/11/2025</v>
      </c>
      <c r="B12934" t="str">
        <f t="shared" si="2549"/>
        <v>SAÍDA</v>
      </c>
      <c r="C12934" t="str">
        <f t="shared" si="2550"/>
        <v>PIX</v>
      </c>
      <c r="D12934" t="str">
        <f>"25748"</f>
        <v>25748</v>
      </c>
      <c r="E12934" t="str">
        <f t="shared" si="2553"/>
        <v>1</v>
      </c>
      <c r="F12934" t="str">
        <f t="shared" si="2545"/>
        <v>COM</v>
      </c>
      <c r="G12934" t="str">
        <f>"NILTON RODRIGUES DE SOUZA (136)"</f>
        <v>NILTON RODRIGUES DE SOUZA (136)</v>
      </c>
      <c r="H12934" t="str">
        <f>"Serv.Prest. 10/11/2025 a 16/11/2025 - PIX: CPF - CHAVE: 037.974.316-78"</f>
        <v>Serv.Prest. 10/11/2025 a 16/11/2025 - PIX: CPF - CHAVE: 037.974.316-78</v>
      </c>
      <c r="I12934" t="str">
        <f t="shared" si="2551"/>
        <v>27/11/2025</v>
      </c>
      <c r="J12934" t="str">
        <f t="shared" si="2554"/>
        <v>18/11/2025</v>
      </c>
      <c r="K12934" t="str">
        <f>("27/11/2025")</f>
        <v>27/11/2025</v>
      </c>
      <c r="L12934">
        <v>768</v>
      </c>
      <c r="M12934">
        <v>768</v>
      </c>
      <c r="N12934">
        <v>109</v>
      </c>
      <c r="O12934" t="str">
        <f>"PAGAMENTO DE ENTREGADORES"</f>
        <v>PAGAMENTO DE ENTREGADORES</v>
      </c>
      <c r="P12934">
        <v>768</v>
      </c>
      <c r="S12934" t="str">
        <f>"BANCO C6 (149)"</f>
        <v>BANCO C6 (149)</v>
      </c>
      <c r="T12934">
        <v>22601</v>
      </c>
      <c r="U12934">
        <v>25748</v>
      </c>
      <c r="V12934" t="s">
        <v>77</v>
      </c>
    </row>
    <row r="12935" spans="1:22">
      <c r="A12935" t="str">
        <f t="shared" si="2548"/>
        <v>27/11/2025</v>
      </c>
      <c r="B12935" t="str">
        <f t="shared" si="2549"/>
        <v>SAÍDA</v>
      </c>
      <c r="C12935" t="str">
        <f t="shared" si="2550"/>
        <v>PIX</v>
      </c>
      <c r="D12935" t="str">
        <f>"25748"</f>
        <v>25748</v>
      </c>
      <c r="E12935" t="str">
        <f t="shared" si="2553"/>
        <v>1</v>
      </c>
      <c r="F12935" t="str">
        <f t="shared" si="2545"/>
        <v>COM</v>
      </c>
      <c r="G12935" t="str">
        <f>"NILTON RODRIGUES DE SOUZA (136)"</f>
        <v>NILTON RODRIGUES DE SOUZA (136)</v>
      </c>
      <c r="H12935" t="s">
        <v>3505</v>
      </c>
      <c r="I12935" t="str">
        <f t="shared" si="2551"/>
        <v>27/11/2025</v>
      </c>
      <c r="J12935" t="str">
        <f t="shared" si="2554"/>
        <v>18/11/2025</v>
      </c>
      <c r="K12935">
        <v>45988</v>
      </c>
      <c r="N12935">
        <v>109</v>
      </c>
      <c r="O12935" t="s">
        <v>24</v>
      </c>
      <c r="Q12935">
        <v>648.04</v>
      </c>
      <c r="R12935" t="str">
        <f>"FARMÁCIA INDIANA LJ 18 (10011)"</f>
        <v>FARMÁCIA INDIANA LJ 18 (10011)</v>
      </c>
      <c r="S12935" t="s">
        <v>77</v>
      </c>
      <c r="T12935">
        <v>22601</v>
      </c>
      <c r="U12935">
        <v>25748</v>
      </c>
      <c r="V12935" t="s">
        <v>77</v>
      </c>
    </row>
    <row r="12936" spans="1:22">
      <c r="A12936" t="str">
        <f t="shared" si="2548"/>
        <v>27/11/2025</v>
      </c>
      <c r="B12936" t="str">
        <f t="shared" si="2549"/>
        <v>SAÍDA</v>
      </c>
      <c r="C12936" t="str">
        <f t="shared" si="2550"/>
        <v>PIX</v>
      </c>
      <c r="D12936" t="str">
        <f>"25748"</f>
        <v>25748</v>
      </c>
      <c r="E12936" t="str">
        <f t="shared" si="2553"/>
        <v>1</v>
      </c>
      <c r="F12936" t="str">
        <f t="shared" si="2545"/>
        <v>COM</v>
      </c>
      <c r="G12936" t="str">
        <f>"NILTON RODRIGUES DE SOUZA (136)"</f>
        <v>NILTON RODRIGUES DE SOUZA (136)</v>
      </c>
      <c r="H12936" t="s">
        <v>3505</v>
      </c>
      <c r="I12936" t="str">
        <f t="shared" si="2551"/>
        <v>27/11/2025</v>
      </c>
      <c r="J12936" t="str">
        <f t="shared" si="2554"/>
        <v>18/11/2025</v>
      </c>
      <c r="K12936">
        <v>45988</v>
      </c>
      <c r="N12936">
        <v>109</v>
      </c>
      <c r="O12936" t="s">
        <v>24</v>
      </c>
      <c r="Q12936">
        <v>119.96</v>
      </c>
      <c r="R12936" t="str">
        <f>"FARMÁCIA INDIANA LJ 19 (10012)"</f>
        <v>FARMÁCIA INDIANA LJ 19 (10012)</v>
      </c>
      <c r="S12936" t="s">
        <v>77</v>
      </c>
      <c r="T12936">
        <v>22601</v>
      </c>
      <c r="U12936">
        <v>25748</v>
      </c>
      <c r="V12936" t="s">
        <v>77</v>
      </c>
    </row>
    <row r="12937" spans="1:22">
      <c r="A12937" t="str">
        <f t="shared" si="2548"/>
        <v>27/11/2025</v>
      </c>
      <c r="B12937" t="str">
        <f t="shared" si="2549"/>
        <v>SAÍDA</v>
      </c>
      <c r="C12937" t="str">
        <f t="shared" si="2550"/>
        <v>PIX</v>
      </c>
      <c r="D12937" t="str">
        <f>"25749"</f>
        <v>25749</v>
      </c>
      <c r="E12937" t="str">
        <f t="shared" si="2553"/>
        <v>1</v>
      </c>
      <c r="F12937" t="str">
        <f t="shared" si="2545"/>
        <v>COM</v>
      </c>
      <c r="G12937" t="str">
        <f>"PATRICK DE SOUZA CORREA (92)"</f>
        <v>PATRICK DE SOUZA CORREA (92)</v>
      </c>
      <c r="H12937" t="str">
        <f>"Serv.Prest. 10/11/2025 a 16/11/2025 - PIX: CELULAR - CHAVE: (31) 99216-8711"</f>
        <v>Serv.Prest. 10/11/2025 a 16/11/2025 - PIX: CELULAR - CHAVE: (31) 99216-8711</v>
      </c>
      <c r="I12937" t="str">
        <f t="shared" si="2551"/>
        <v>27/11/2025</v>
      </c>
      <c r="J12937" t="str">
        <f t="shared" si="2554"/>
        <v>18/11/2025</v>
      </c>
      <c r="K12937" t="str">
        <f>("27/11/2025")</f>
        <v>27/11/2025</v>
      </c>
      <c r="L12937">
        <v>600</v>
      </c>
      <c r="M12937">
        <v>600</v>
      </c>
      <c r="N12937">
        <v>109</v>
      </c>
      <c r="O12937" t="str">
        <f>"PAGAMENTO DE ENTREGADORES"</f>
        <v>PAGAMENTO DE ENTREGADORES</v>
      </c>
      <c r="P12937">
        <v>600</v>
      </c>
      <c r="S12937" t="str">
        <f>"BANCO C6 (149)"</f>
        <v>BANCO C6 (149)</v>
      </c>
      <c r="T12937">
        <v>22602</v>
      </c>
      <c r="U12937">
        <v>25749</v>
      </c>
      <c r="V12937" t="s">
        <v>77</v>
      </c>
    </row>
    <row r="12938" spans="1:22">
      <c r="A12938" t="str">
        <f t="shared" si="2548"/>
        <v>27/11/2025</v>
      </c>
      <c r="B12938" t="str">
        <f t="shared" si="2549"/>
        <v>SAÍDA</v>
      </c>
      <c r="C12938" t="str">
        <f t="shared" si="2550"/>
        <v>PIX</v>
      </c>
      <c r="D12938" t="str">
        <f>"25749"</f>
        <v>25749</v>
      </c>
      <c r="E12938" t="str">
        <f t="shared" si="2553"/>
        <v>1</v>
      </c>
      <c r="F12938" t="str">
        <f t="shared" si="2545"/>
        <v>COM</v>
      </c>
      <c r="G12938" t="str">
        <f>"PATRICK DE SOUZA CORREA (92)"</f>
        <v>PATRICK DE SOUZA CORREA (92)</v>
      </c>
      <c r="H12938" t="s">
        <v>3506</v>
      </c>
      <c r="I12938" t="str">
        <f t="shared" si="2551"/>
        <v>27/11/2025</v>
      </c>
      <c r="J12938" t="str">
        <f t="shared" si="2554"/>
        <v>18/11/2025</v>
      </c>
      <c r="K12938">
        <v>45988</v>
      </c>
      <c r="N12938">
        <v>109</v>
      </c>
      <c r="O12938" t="s">
        <v>24</v>
      </c>
      <c r="Q12938">
        <v>300</v>
      </c>
      <c r="R12938" t="str">
        <f>"FARMÁCIA INDIANA LJ 184 (10080)"</f>
        <v>FARMÁCIA INDIANA LJ 184 (10080)</v>
      </c>
      <c r="S12938" t="s">
        <v>77</v>
      </c>
      <c r="T12938">
        <v>22602</v>
      </c>
      <c r="U12938">
        <v>25749</v>
      </c>
      <c r="V12938" t="s">
        <v>77</v>
      </c>
    </row>
    <row r="12939" spans="1:22">
      <c r="A12939" t="str">
        <f t="shared" si="2548"/>
        <v>27/11/2025</v>
      </c>
      <c r="B12939" t="str">
        <f t="shared" si="2549"/>
        <v>SAÍDA</v>
      </c>
      <c r="C12939" t="str">
        <f t="shared" si="2550"/>
        <v>PIX</v>
      </c>
      <c r="D12939" t="str">
        <f>"25749"</f>
        <v>25749</v>
      </c>
      <c r="E12939" t="str">
        <f t="shared" si="2553"/>
        <v>1</v>
      </c>
      <c r="F12939" t="str">
        <f t="shared" si="2545"/>
        <v>COM</v>
      </c>
      <c r="G12939" t="str">
        <f>"PATRICK DE SOUZA CORREA (92)"</f>
        <v>PATRICK DE SOUZA CORREA (92)</v>
      </c>
      <c r="H12939" t="s">
        <v>3506</v>
      </c>
      <c r="I12939" t="str">
        <f t="shared" si="2551"/>
        <v>27/11/2025</v>
      </c>
      <c r="J12939" t="str">
        <f t="shared" si="2554"/>
        <v>18/11/2025</v>
      </c>
      <c r="K12939">
        <v>45988</v>
      </c>
      <c r="N12939">
        <v>109</v>
      </c>
      <c r="O12939" t="s">
        <v>24</v>
      </c>
      <c r="Q12939">
        <v>300</v>
      </c>
      <c r="R12939" t="str">
        <f>"FARMÁCIA INDIANA LJ 195 (10083)"</f>
        <v>FARMÁCIA INDIANA LJ 195 (10083)</v>
      </c>
      <c r="S12939" t="s">
        <v>77</v>
      </c>
      <c r="T12939">
        <v>22602</v>
      </c>
      <c r="U12939">
        <v>25749</v>
      </c>
      <c r="V12939" t="s">
        <v>77</v>
      </c>
    </row>
    <row r="12940" spans="1:22">
      <c r="A12940" t="str">
        <f t="shared" si="2548"/>
        <v>27/11/2025</v>
      </c>
      <c r="B12940" t="str">
        <f t="shared" si="2549"/>
        <v>SAÍDA</v>
      </c>
      <c r="C12940" t="str">
        <f t="shared" si="2550"/>
        <v>PIX</v>
      </c>
      <c r="D12940" t="str">
        <f>"25750"</f>
        <v>25750</v>
      </c>
      <c r="E12940" t="str">
        <f t="shared" si="2553"/>
        <v>1</v>
      </c>
      <c r="F12940" t="str">
        <f t="shared" si="2545"/>
        <v>COM</v>
      </c>
      <c r="G12940" t="str">
        <f>"PAULO HENRIQUE OLIVEIRA SILVA (39)"</f>
        <v>PAULO HENRIQUE OLIVEIRA SILVA (39)</v>
      </c>
      <c r="H12940" t="str">
        <f>"Serv.Prest. 10/11/2025 a 16/11/2025 - PIX: CELULAR - CHAVE: (31) 97339-3761"</f>
        <v>Serv.Prest. 10/11/2025 a 16/11/2025 - PIX: CELULAR - CHAVE: (31) 97339-3761</v>
      </c>
      <c r="I12940" t="str">
        <f t="shared" si="2551"/>
        <v>27/11/2025</v>
      </c>
      <c r="J12940" t="str">
        <f t="shared" si="2554"/>
        <v>18/11/2025</v>
      </c>
      <c r="K12940" t="str">
        <f>("27/11/2025")</f>
        <v>27/11/2025</v>
      </c>
      <c r="L12940">
        <v>1224</v>
      </c>
      <c r="M12940">
        <v>1224</v>
      </c>
      <c r="N12940">
        <v>109</v>
      </c>
      <c r="O12940" t="str">
        <f>"PAGAMENTO DE ENTREGADORES"</f>
        <v>PAGAMENTO DE ENTREGADORES</v>
      </c>
      <c r="P12940">
        <v>1224</v>
      </c>
      <c r="S12940" t="str">
        <f>"BANCO C6 (149)"</f>
        <v>BANCO C6 (149)</v>
      </c>
      <c r="T12940">
        <v>22603</v>
      </c>
      <c r="U12940">
        <v>25750</v>
      </c>
      <c r="V12940" t="s">
        <v>77</v>
      </c>
    </row>
    <row r="12941" spans="1:22">
      <c r="A12941" t="str">
        <f t="shared" si="2548"/>
        <v>27/11/2025</v>
      </c>
      <c r="B12941" t="str">
        <f t="shared" si="2549"/>
        <v>SAÍDA</v>
      </c>
      <c r="C12941" t="str">
        <f t="shared" si="2550"/>
        <v>PIX</v>
      </c>
      <c r="D12941" t="str">
        <f>"25750"</f>
        <v>25750</v>
      </c>
      <c r="E12941" t="str">
        <f t="shared" si="2553"/>
        <v>1</v>
      </c>
      <c r="F12941" t="str">
        <f t="shared" si="2545"/>
        <v>COM</v>
      </c>
      <c r="G12941" t="str">
        <f>"PAULO HENRIQUE OLIVEIRA SILVA (39)"</f>
        <v>PAULO HENRIQUE OLIVEIRA SILVA (39)</v>
      </c>
      <c r="H12941" t="s">
        <v>3507</v>
      </c>
      <c r="I12941" t="str">
        <f t="shared" si="2551"/>
        <v>27/11/2025</v>
      </c>
      <c r="J12941" t="str">
        <f t="shared" si="2554"/>
        <v>18/11/2025</v>
      </c>
      <c r="K12941">
        <v>45988</v>
      </c>
      <c r="N12941">
        <v>109</v>
      </c>
      <c r="O12941" t="s">
        <v>24</v>
      </c>
      <c r="Q12941">
        <v>1224</v>
      </c>
      <c r="R12941" t="str">
        <f>"FARMÁCIA INDIANA LJ 11 (10008)"</f>
        <v>FARMÁCIA INDIANA LJ 11 (10008)</v>
      </c>
      <c r="S12941" t="s">
        <v>77</v>
      </c>
      <c r="T12941">
        <v>22603</v>
      </c>
      <c r="U12941">
        <v>25750</v>
      </c>
      <c r="V12941" t="s">
        <v>77</v>
      </c>
    </row>
    <row r="12942" spans="1:22">
      <c r="A12942" t="str">
        <f t="shared" si="2548"/>
        <v>27/11/2025</v>
      </c>
      <c r="B12942" t="str">
        <f t="shared" si="2549"/>
        <v>SAÍDA</v>
      </c>
      <c r="C12942" t="str">
        <f t="shared" si="2550"/>
        <v>PIX</v>
      </c>
      <c r="D12942" t="str">
        <f>"25751"</f>
        <v>25751</v>
      </c>
      <c r="E12942" t="str">
        <f t="shared" si="2553"/>
        <v>1</v>
      </c>
      <c r="F12942" t="str">
        <f t="shared" si="2545"/>
        <v>COM</v>
      </c>
      <c r="G12942" t="str">
        <f>"PAULO MARCOS FARIA DE SOUZA L (233)"</f>
        <v>PAULO MARCOS FARIA DE SOUZA L (233)</v>
      </c>
      <c r="H12942" t="str">
        <f>"Serv.Prest. 10/11/2025 a 16/11/2025 - PIX: CELULAR - CHAVE: (35) 99264-4504"</f>
        <v>Serv.Prest. 10/11/2025 a 16/11/2025 - PIX: CELULAR - CHAVE: (35) 99264-4504</v>
      </c>
      <c r="I12942" t="str">
        <f t="shared" si="2551"/>
        <v>27/11/2025</v>
      </c>
      <c r="J12942" t="str">
        <f t="shared" si="2554"/>
        <v>18/11/2025</v>
      </c>
      <c r="K12942" t="str">
        <f>("27/11/2025")</f>
        <v>27/11/2025</v>
      </c>
      <c r="L12942">
        <v>500</v>
      </c>
      <c r="M12942">
        <v>500</v>
      </c>
      <c r="N12942">
        <v>109</v>
      </c>
      <c r="O12942" t="str">
        <f>"PAGAMENTO DE ENTREGADORES"</f>
        <v>PAGAMENTO DE ENTREGADORES</v>
      </c>
      <c r="P12942">
        <v>500</v>
      </c>
      <c r="S12942" t="str">
        <f>"BANCO C6 (149)"</f>
        <v>BANCO C6 (149)</v>
      </c>
      <c r="T12942">
        <v>22604</v>
      </c>
      <c r="U12942">
        <v>25751</v>
      </c>
      <c r="V12942" t="s">
        <v>77</v>
      </c>
    </row>
    <row r="12943" spans="1:22">
      <c r="A12943" t="str">
        <f t="shared" si="2548"/>
        <v>27/11/2025</v>
      </c>
      <c r="B12943" t="str">
        <f t="shared" si="2549"/>
        <v>SAÍDA</v>
      </c>
      <c r="C12943" t="str">
        <f t="shared" si="2550"/>
        <v>PIX</v>
      </c>
      <c r="D12943" t="str">
        <f>"25751"</f>
        <v>25751</v>
      </c>
      <c r="E12943" t="str">
        <f t="shared" si="2553"/>
        <v>1</v>
      </c>
      <c r="F12943" t="str">
        <f t="shared" si="2545"/>
        <v>COM</v>
      </c>
      <c r="G12943" t="str">
        <f>"PAULO MARCOS FARIA DE SOUZA L (233)"</f>
        <v>PAULO MARCOS FARIA DE SOUZA L (233)</v>
      </c>
      <c r="H12943" t="s">
        <v>3508</v>
      </c>
      <c r="I12943" t="str">
        <f t="shared" si="2551"/>
        <v>27/11/2025</v>
      </c>
      <c r="J12943" t="str">
        <f t="shared" si="2554"/>
        <v>18/11/2025</v>
      </c>
      <c r="K12943">
        <v>45988</v>
      </c>
      <c r="N12943">
        <v>109</v>
      </c>
      <c r="O12943" t="s">
        <v>24</v>
      </c>
      <c r="Q12943">
        <v>500</v>
      </c>
      <c r="R12943" t="str">
        <f>"FARMÁCIA INDIANA LJ 64 (10029)"</f>
        <v>FARMÁCIA INDIANA LJ 64 (10029)</v>
      </c>
      <c r="S12943" t="s">
        <v>77</v>
      </c>
      <c r="T12943">
        <v>22604</v>
      </c>
      <c r="U12943">
        <v>25751</v>
      </c>
      <c r="V12943" t="s">
        <v>77</v>
      </c>
    </row>
    <row r="12944" spans="1:22">
      <c r="A12944" t="str">
        <f t="shared" si="2548"/>
        <v>27/11/2025</v>
      </c>
      <c r="B12944" t="str">
        <f t="shared" si="2549"/>
        <v>SAÍDA</v>
      </c>
      <c r="C12944" t="str">
        <f t="shared" si="2550"/>
        <v>PIX</v>
      </c>
      <c r="D12944" t="str">
        <f>"25752"</f>
        <v>25752</v>
      </c>
      <c r="E12944" t="str">
        <f t="shared" si="2553"/>
        <v>1</v>
      </c>
      <c r="F12944" t="str">
        <f t="shared" si="2545"/>
        <v>COM</v>
      </c>
      <c r="G12944" t="str">
        <f>"PEDRO HENRIQUE DA SILVA COSTA OLIVEIRA (852)"</f>
        <v>PEDRO HENRIQUE DA SILVA COSTA OLIVEIRA (852)</v>
      </c>
      <c r="H12944" t="str">
        <f>"Serv.Prest. 10/11/2025 a 16/11/2025 - PIX: E-MAIL - CHAVE: sypedrinho@gmail.com"</f>
        <v>Serv.Prest. 10/11/2025 a 16/11/2025 - PIX: E-MAIL - CHAVE: sypedrinho@gmail.com</v>
      </c>
      <c r="I12944" t="str">
        <f t="shared" si="2551"/>
        <v>27/11/2025</v>
      </c>
      <c r="J12944" t="str">
        <f t="shared" si="2554"/>
        <v>18/11/2025</v>
      </c>
      <c r="K12944" t="str">
        <f>("27/11/2025")</f>
        <v>27/11/2025</v>
      </c>
      <c r="L12944">
        <v>720</v>
      </c>
      <c r="M12944">
        <v>720</v>
      </c>
      <c r="N12944">
        <v>109</v>
      </c>
      <c r="O12944" t="str">
        <f>"PAGAMENTO DE ENTREGADORES"</f>
        <v>PAGAMENTO DE ENTREGADORES</v>
      </c>
      <c r="P12944">
        <v>720</v>
      </c>
      <c r="S12944" t="str">
        <f>"BANCO C6 (149)"</f>
        <v>BANCO C6 (149)</v>
      </c>
      <c r="T12944">
        <v>22605</v>
      </c>
      <c r="U12944">
        <v>25752</v>
      </c>
      <c r="V12944" t="s">
        <v>77</v>
      </c>
    </row>
    <row r="12945" spans="1:22">
      <c r="A12945" t="str">
        <f t="shared" si="2548"/>
        <v>27/11/2025</v>
      </c>
      <c r="B12945" t="str">
        <f t="shared" si="2549"/>
        <v>SAÍDA</v>
      </c>
      <c r="C12945" t="str">
        <f t="shared" si="2550"/>
        <v>PIX</v>
      </c>
      <c r="D12945" t="str">
        <f>"25752"</f>
        <v>25752</v>
      </c>
      <c r="E12945" t="str">
        <f t="shared" si="2553"/>
        <v>1</v>
      </c>
      <c r="F12945" t="str">
        <f t="shared" si="2545"/>
        <v>COM</v>
      </c>
      <c r="G12945" t="str">
        <f>"PEDRO HENRIQUE DA SILVA COSTA OLIVEIRA (852)"</f>
        <v>PEDRO HENRIQUE DA SILVA COSTA OLIVEIRA (852)</v>
      </c>
      <c r="H12945" t="s">
        <v>3509</v>
      </c>
      <c r="I12945" t="str">
        <f t="shared" si="2551"/>
        <v>27/11/2025</v>
      </c>
      <c r="J12945" t="str">
        <f t="shared" si="2554"/>
        <v>18/11/2025</v>
      </c>
      <c r="K12945">
        <v>45988</v>
      </c>
      <c r="N12945">
        <v>109</v>
      </c>
      <c r="O12945" t="s">
        <v>24</v>
      </c>
      <c r="Q12945">
        <v>720</v>
      </c>
      <c r="R12945" t="str">
        <f>"FARMÁCIA INDIANA LJ 110 (10048)"</f>
        <v>FARMÁCIA INDIANA LJ 110 (10048)</v>
      </c>
      <c r="S12945" t="s">
        <v>77</v>
      </c>
      <c r="T12945">
        <v>22605</v>
      </c>
      <c r="U12945">
        <v>25752</v>
      </c>
      <c r="V12945" t="s">
        <v>77</v>
      </c>
    </row>
    <row r="12946" spans="1:22">
      <c r="A12946" t="str">
        <f t="shared" si="2548"/>
        <v>27/11/2025</v>
      </c>
      <c r="B12946" t="str">
        <f t="shared" si="2549"/>
        <v>SAÍDA</v>
      </c>
      <c r="C12946" t="str">
        <f t="shared" si="2550"/>
        <v>PIX</v>
      </c>
      <c r="D12946" t="str">
        <f>"25753"</f>
        <v>25753</v>
      </c>
      <c r="E12946" t="str">
        <f t="shared" si="2553"/>
        <v>1</v>
      </c>
      <c r="F12946" t="str">
        <f t="shared" si="2545"/>
        <v>COM</v>
      </c>
      <c r="G12946" t="str">
        <f>"PHABLO HEINRICK VALADARES FERREIRA (989)"</f>
        <v>PHABLO HEINRICK VALADARES FERREIRA (989)</v>
      </c>
      <c r="H12946" t="str">
        <f>"Serv.Prest. 10/11/2025 a 16/11/2025 - PIX: CPF - CHAVE: 135.640.066-30"</f>
        <v>Serv.Prest. 10/11/2025 a 16/11/2025 - PIX: CPF - CHAVE: 135.640.066-30</v>
      </c>
      <c r="I12946" t="str">
        <f t="shared" si="2551"/>
        <v>27/11/2025</v>
      </c>
      <c r="J12946" t="str">
        <f t="shared" si="2554"/>
        <v>18/11/2025</v>
      </c>
      <c r="K12946" t="str">
        <f>("27/11/2025")</f>
        <v>27/11/2025</v>
      </c>
      <c r="L12946">
        <v>1692</v>
      </c>
      <c r="M12946">
        <v>1692</v>
      </c>
      <c r="N12946">
        <v>109</v>
      </c>
      <c r="O12946" t="str">
        <f>"PAGAMENTO DE ENTREGADORES"</f>
        <v>PAGAMENTO DE ENTREGADORES</v>
      </c>
      <c r="P12946">
        <v>1692</v>
      </c>
      <c r="S12946" t="str">
        <f>"BANCO C6 (149)"</f>
        <v>BANCO C6 (149)</v>
      </c>
      <c r="T12946">
        <v>22606</v>
      </c>
      <c r="U12946">
        <v>25753</v>
      </c>
      <c r="V12946" t="s">
        <v>77</v>
      </c>
    </row>
    <row r="12947" spans="1:22">
      <c r="A12947" t="str">
        <f t="shared" si="2548"/>
        <v>27/11/2025</v>
      </c>
      <c r="B12947" t="str">
        <f t="shared" si="2549"/>
        <v>SAÍDA</v>
      </c>
      <c r="C12947" t="str">
        <f t="shared" si="2550"/>
        <v>PIX</v>
      </c>
      <c r="D12947" t="str">
        <f>"25753"</f>
        <v>25753</v>
      </c>
      <c r="E12947" t="str">
        <f t="shared" si="2553"/>
        <v>1</v>
      </c>
      <c r="F12947" t="str">
        <f t="shared" ref="F12947:F13010" si="2555">"COM"</f>
        <v>COM</v>
      </c>
      <c r="G12947" t="str">
        <f>"PHABLO HEINRICK VALADARES FERREIRA (989)"</f>
        <v>PHABLO HEINRICK VALADARES FERREIRA (989)</v>
      </c>
      <c r="H12947" t="s">
        <v>3510</v>
      </c>
      <c r="I12947" t="str">
        <f t="shared" si="2551"/>
        <v>27/11/2025</v>
      </c>
      <c r="J12947" t="str">
        <f t="shared" si="2554"/>
        <v>18/11/2025</v>
      </c>
      <c r="K12947">
        <v>45988</v>
      </c>
      <c r="N12947">
        <v>109</v>
      </c>
      <c r="O12947" t="s">
        <v>24</v>
      </c>
      <c r="Q12947">
        <v>1692</v>
      </c>
      <c r="R12947" t="str">
        <f>"FARMÁCIA INDIANA LJ 101 (10043)"</f>
        <v>FARMÁCIA INDIANA LJ 101 (10043)</v>
      </c>
      <c r="S12947" t="s">
        <v>77</v>
      </c>
      <c r="T12947">
        <v>22606</v>
      </c>
      <c r="U12947">
        <v>25753</v>
      </c>
      <c r="V12947" t="s">
        <v>77</v>
      </c>
    </row>
    <row r="12948" spans="1:22">
      <c r="A12948" t="str">
        <f t="shared" si="2548"/>
        <v>27/11/2025</v>
      </c>
      <c r="B12948" t="str">
        <f t="shared" si="2549"/>
        <v>SAÍDA</v>
      </c>
      <c r="C12948" t="str">
        <f t="shared" si="2550"/>
        <v>PIX</v>
      </c>
      <c r="D12948" t="str">
        <f>"25754"</f>
        <v>25754</v>
      </c>
      <c r="E12948" t="str">
        <f t="shared" si="2553"/>
        <v>1</v>
      </c>
      <c r="F12948" t="str">
        <f t="shared" si="2555"/>
        <v>COM</v>
      </c>
      <c r="G12948" t="str">
        <f>"RAFAEL MONTEIRO DE CASTRO VITRAL (1038)"</f>
        <v>RAFAEL MONTEIRO DE CASTRO VITRAL (1038)</v>
      </c>
      <c r="H12948" t="str">
        <f>"Serv.Prest. 10/11/2025 a 16/11/2025 - PIX: CELULAR - CHAVE: (24) 99846-2202"</f>
        <v>Serv.Prest. 10/11/2025 a 16/11/2025 - PIX: CELULAR - CHAVE: (24) 99846-2202</v>
      </c>
      <c r="I12948" t="str">
        <f t="shared" si="2551"/>
        <v>27/11/2025</v>
      </c>
      <c r="J12948" t="str">
        <f t="shared" si="2554"/>
        <v>18/11/2025</v>
      </c>
      <c r="K12948" t="str">
        <f>("27/11/2025")</f>
        <v>27/11/2025</v>
      </c>
      <c r="L12948">
        <v>700</v>
      </c>
      <c r="M12948">
        <v>700</v>
      </c>
      <c r="N12948">
        <v>109</v>
      </c>
      <c r="O12948" t="str">
        <f>"PAGAMENTO DE ENTREGADORES"</f>
        <v>PAGAMENTO DE ENTREGADORES</v>
      </c>
      <c r="P12948">
        <v>700</v>
      </c>
      <c r="S12948" t="str">
        <f>"BANCO C6 (149)"</f>
        <v>BANCO C6 (149)</v>
      </c>
      <c r="T12948">
        <v>22607</v>
      </c>
      <c r="U12948">
        <v>25754</v>
      </c>
      <c r="V12948" t="s">
        <v>77</v>
      </c>
    </row>
    <row r="12949" spans="1:22">
      <c r="A12949" t="str">
        <f t="shared" si="2548"/>
        <v>27/11/2025</v>
      </c>
      <c r="B12949" t="str">
        <f t="shared" si="2549"/>
        <v>SAÍDA</v>
      </c>
      <c r="C12949" t="str">
        <f t="shared" si="2550"/>
        <v>PIX</v>
      </c>
      <c r="D12949" t="str">
        <f>"25754"</f>
        <v>25754</v>
      </c>
      <c r="E12949" t="str">
        <f t="shared" si="2553"/>
        <v>1</v>
      </c>
      <c r="F12949" t="str">
        <f t="shared" si="2555"/>
        <v>COM</v>
      </c>
      <c r="G12949" t="str">
        <f>"RAFAEL MONTEIRO DE CASTRO VITRAL (1038)"</f>
        <v>RAFAEL MONTEIRO DE CASTRO VITRAL (1038)</v>
      </c>
      <c r="H12949" t="s">
        <v>3511</v>
      </c>
      <c r="I12949" t="str">
        <f t="shared" si="2551"/>
        <v>27/11/2025</v>
      </c>
      <c r="J12949" t="str">
        <f t="shared" si="2554"/>
        <v>18/11/2025</v>
      </c>
      <c r="K12949">
        <v>45988</v>
      </c>
      <c r="N12949">
        <v>109</v>
      </c>
      <c r="O12949" t="s">
        <v>24</v>
      </c>
      <c r="Q12949">
        <v>700</v>
      </c>
      <c r="R12949" t="str">
        <f>"FARMÁCIA INDIANA LJ 219 (10091)"</f>
        <v>FARMÁCIA INDIANA LJ 219 (10091)</v>
      </c>
      <c r="S12949" t="s">
        <v>77</v>
      </c>
      <c r="T12949">
        <v>22607</v>
      </c>
      <c r="U12949">
        <v>25754</v>
      </c>
      <c r="V12949" t="s">
        <v>77</v>
      </c>
    </row>
    <row r="12950" spans="1:22">
      <c r="A12950" t="str">
        <f t="shared" si="2548"/>
        <v>27/11/2025</v>
      </c>
      <c r="B12950" t="str">
        <f t="shared" si="2549"/>
        <v>SAÍDA</v>
      </c>
      <c r="C12950" t="str">
        <f t="shared" si="2550"/>
        <v>PIX</v>
      </c>
      <c r="D12950" t="str">
        <f>"25755"</f>
        <v>25755</v>
      </c>
      <c r="E12950" t="str">
        <f t="shared" si="2553"/>
        <v>1</v>
      </c>
      <c r="F12950" t="str">
        <f t="shared" si="2555"/>
        <v>COM</v>
      </c>
      <c r="G12950" t="str">
        <f>"RAISSON VITOR MENDES DE ABREU (705)"</f>
        <v>RAISSON VITOR MENDES DE ABREU (705)</v>
      </c>
      <c r="H12950" t="str">
        <f>"Serv.Prest. 10/11/2025 a 16/11/2025 - PIX: CELULAR - CHAVE: (31) 99959-5414"</f>
        <v>Serv.Prest. 10/11/2025 a 16/11/2025 - PIX: CELULAR - CHAVE: (31) 99959-5414</v>
      </c>
      <c r="I12950" t="str">
        <f t="shared" si="2551"/>
        <v>27/11/2025</v>
      </c>
      <c r="J12950" t="str">
        <f t="shared" si="2554"/>
        <v>18/11/2025</v>
      </c>
      <c r="K12950" t="str">
        <f>("27/11/2025")</f>
        <v>27/11/2025</v>
      </c>
      <c r="L12950">
        <v>960</v>
      </c>
      <c r="M12950">
        <v>960</v>
      </c>
      <c r="N12950">
        <v>109</v>
      </c>
      <c r="O12950" t="str">
        <f>"PAGAMENTO DE ENTREGADORES"</f>
        <v>PAGAMENTO DE ENTREGADORES</v>
      </c>
      <c r="P12950">
        <v>960</v>
      </c>
      <c r="S12950" t="str">
        <f>"BANCO C6 (149)"</f>
        <v>BANCO C6 (149)</v>
      </c>
      <c r="T12950">
        <v>22608</v>
      </c>
      <c r="U12950">
        <v>25755</v>
      </c>
      <c r="V12950" t="s">
        <v>77</v>
      </c>
    </row>
    <row r="12951" spans="1:22">
      <c r="A12951" t="str">
        <f t="shared" si="2548"/>
        <v>27/11/2025</v>
      </c>
      <c r="B12951" t="str">
        <f t="shared" si="2549"/>
        <v>SAÍDA</v>
      </c>
      <c r="C12951" t="str">
        <f t="shared" si="2550"/>
        <v>PIX</v>
      </c>
      <c r="D12951" t="str">
        <f>"25755"</f>
        <v>25755</v>
      </c>
      <c r="E12951" t="str">
        <f t="shared" si="2553"/>
        <v>1</v>
      </c>
      <c r="F12951" t="str">
        <f t="shared" si="2555"/>
        <v>COM</v>
      </c>
      <c r="G12951" t="str">
        <f>"RAISSON VITOR MENDES DE ABREU (705)"</f>
        <v>RAISSON VITOR MENDES DE ABREU (705)</v>
      </c>
      <c r="H12951" t="s">
        <v>3512</v>
      </c>
      <c r="I12951" t="str">
        <f t="shared" si="2551"/>
        <v>27/11/2025</v>
      </c>
      <c r="J12951" t="str">
        <f t="shared" si="2554"/>
        <v>18/11/2025</v>
      </c>
      <c r="K12951">
        <v>45988</v>
      </c>
      <c r="N12951">
        <v>109</v>
      </c>
      <c r="O12951" t="s">
        <v>24</v>
      </c>
      <c r="Q12951">
        <v>960</v>
      </c>
      <c r="R12951" t="str">
        <f>"FARMÁCIA INDIANA LJ 178 (10077)"</f>
        <v>FARMÁCIA INDIANA LJ 178 (10077)</v>
      </c>
      <c r="S12951" t="s">
        <v>77</v>
      </c>
      <c r="T12951">
        <v>22608</v>
      </c>
      <c r="U12951">
        <v>25755</v>
      </c>
      <c r="V12951" t="s">
        <v>77</v>
      </c>
    </row>
    <row r="12952" spans="1:22">
      <c r="A12952" t="str">
        <f t="shared" si="2548"/>
        <v>27/11/2025</v>
      </c>
      <c r="B12952" t="str">
        <f t="shared" si="2549"/>
        <v>SAÍDA</v>
      </c>
      <c r="C12952" t="str">
        <f t="shared" si="2550"/>
        <v>PIX</v>
      </c>
      <c r="D12952" t="str">
        <f>"25756"</f>
        <v>25756</v>
      </c>
      <c r="E12952" t="str">
        <f t="shared" si="2553"/>
        <v>1</v>
      </c>
      <c r="F12952" t="str">
        <f t="shared" si="2555"/>
        <v>COM</v>
      </c>
      <c r="G12952" t="str">
        <f>"REGINALDO PIRES PORTES (1009)"</f>
        <v>REGINALDO PIRES PORTES (1009)</v>
      </c>
      <c r="H12952" t="str">
        <f>"Serv.Prest. 10/11/2025 a 16/11/2025 - PIX: CPF - CHAVE: 072.968.086-08"</f>
        <v>Serv.Prest. 10/11/2025 a 16/11/2025 - PIX: CPF - CHAVE: 072.968.086-08</v>
      </c>
      <c r="I12952" t="str">
        <f t="shared" si="2551"/>
        <v>27/11/2025</v>
      </c>
      <c r="J12952" t="str">
        <f t="shared" si="2554"/>
        <v>18/11/2025</v>
      </c>
      <c r="K12952" t="str">
        <f>("27/11/2025")</f>
        <v>27/11/2025</v>
      </c>
      <c r="L12952">
        <v>954</v>
      </c>
      <c r="M12952">
        <v>954</v>
      </c>
      <c r="N12952">
        <v>109</v>
      </c>
      <c r="O12952" t="str">
        <f>"PAGAMENTO DE ENTREGADORES"</f>
        <v>PAGAMENTO DE ENTREGADORES</v>
      </c>
      <c r="P12952">
        <v>954</v>
      </c>
      <c r="S12952" t="str">
        <f>"BANCO C6 (149)"</f>
        <v>BANCO C6 (149)</v>
      </c>
      <c r="T12952">
        <v>22609</v>
      </c>
      <c r="U12952">
        <v>25756</v>
      </c>
      <c r="V12952" t="s">
        <v>77</v>
      </c>
    </row>
    <row r="12953" spans="1:22">
      <c r="A12953" t="str">
        <f t="shared" si="2548"/>
        <v>27/11/2025</v>
      </c>
      <c r="B12953" t="str">
        <f t="shared" si="2549"/>
        <v>SAÍDA</v>
      </c>
      <c r="C12953" t="str">
        <f t="shared" si="2550"/>
        <v>PIX</v>
      </c>
      <c r="D12953" t="str">
        <f>"25756"</f>
        <v>25756</v>
      </c>
      <c r="E12953" t="str">
        <f t="shared" si="2553"/>
        <v>1</v>
      </c>
      <c r="F12953" t="str">
        <f t="shared" si="2555"/>
        <v>COM</v>
      </c>
      <c r="G12953" t="str">
        <f>"REGINALDO PIRES PORTES (1009)"</f>
        <v>REGINALDO PIRES PORTES (1009)</v>
      </c>
      <c r="H12953" t="s">
        <v>3513</v>
      </c>
      <c r="I12953" t="str">
        <f t="shared" si="2551"/>
        <v>27/11/2025</v>
      </c>
      <c r="J12953" t="str">
        <f t="shared" si="2554"/>
        <v>18/11/2025</v>
      </c>
      <c r="K12953">
        <v>45988</v>
      </c>
      <c r="N12953">
        <v>109</v>
      </c>
      <c r="O12953" t="s">
        <v>24</v>
      </c>
      <c r="Q12953">
        <v>954</v>
      </c>
      <c r="R12953" t="str">
        <f>"FARMÁCIA INDIANA LJ 19 (10012)"</f>
        <v>FARMÁCIA INDIANA LJ 19 (10012)</v>
      </c>
      <c r="S12953" t="s">
        <v>77</v>
      </c>
      <c r="T12953">
        <v>22609</v>
      </c>
      <c r="U12953">
        <v>25756</v>
      </c>
      <c r="V12953" t="s">
        <v>77</v>
      </c>
    </row>
    <row r="12954" spans="1:22">
      <c r="A12954" t="str">
        <f t="shared" si="2548"/>
        <v>27/11/2025</v>
      </c>
      <c r="B12954" t="str">
        <f t="shared" si="2549"/>
        <v>SAÍDA</v>
      </c>
      <c r="C12954" t="str">
        <f t="shared" si="2550"/>
        <v>PIX</v>
      </c>
      <c r="D12954" t="str">
        <f>"25757"</f>
        <v>25757</v>
      </c>
      <c r="E12954" t="str">
        <f t="shared" si="2553"/>
        <v>1</v>
      </c>
      <c r="F12954" t="str">
        <f t="shared" si="2555"/>
        <v>COM</v>
      </c>
      <c r="G12954" t="str">
        <f>"RENATO GEORGE GONÇALVES (191)"</f>
        <v>RENATO GEORGE GONÇALVES (191)</v>
      </c>
      <c r="H12954" t="str">
        <f>"Serv.Prest. 10/11/2025 a 16/11/2025 - PIX: CPF - CHAVE: 012.783.036-77"</f>
        <v>Serv.Prest. 10/11/2025 a 16/11/2025 - PIX: CPF - CHAVE: 012.783.036-77</v>
      </c>
      <c r="I12954" t="str">
        <f t="shared" si="2551"/>
        <v>27/11/2025</v>
      </c>
      <c r="J12954" t="str">
        <f t="shared" si="2554"/>
        <v>18/11/2025</v>
      </c>
      <c r="K12954" t="str">
        <f>("27/11/2025")</f>
        <v>27/11/2025</v>
      </c>
      <c r="L12954">
        <v>1080</v>
      </c>
      <c r="M12954">
        <v>1080</v>
      </c>
      <c r="N12954">
        <v>109</v>
      </c>
      <c r="O12954" t="str">
        <f>"PAGAMENTO DE ENTREGADORES"</f>
        <v>PAGAMENTO DE ENTREGADORES</v>
      </c>
      <c r="P12954">
        <v>1080</v>
      </c>
      <c r="S12954" t="str">
        <f>"BANCO C6 (149)"</f>
        <v>BANCO C6 (149)</v>
      </c>
      <c r="T12954">
        <v>22610</v>
      </c>
      <c r="U12954">
        <v>25757</v>
      </c>
      <c r="V12954" t="s">
        <v>77</v>
      </c>
    </row>
    <row r="12955" spans="1:22">
      <c r="A12955" t="str">
        <f t="shared" si="2548"/>
        <v>27/11/2025</v>
      </c>
      <c r="B12955" t="str">
        <f t="shared" si="2549"/>
        <v>SAÍDA</v>
      </c>
      <c r="C12955" t="str">
        <f t="shared" si="2550"/>
        <v>PIX</v>
      </c>
      <c r="D12955" t="str">
        <f>"25757"</f>
        <v>25757</v>
      </c>
      <c r="E12955" t="str">
        <f t="shared" si="2553"/>
        <v>1</v>
      </c>
      <c r="F12955" t="str">
        <f t="shared" si="2555"/>
        <v>COM</v>
      </c>
      <c r="G12955" t="str">
        <f>"RENATO GEORGE GONÇALVES (191)"</f>
        <v>RENATO GEORGE GONÇALVES (191)</v>
      </c>
      <c r="H12955" t="s">
        <v>3514</v>
      </c>
      <c r="I12955" t="str">
        <f t="shared" si="2551"/>
        <v>27/11/2025</v>
      </c>
      <c r="J12955" t="str">
        <f t="shared" si="2554"/>
        <v>18/11/2025</v>
      </c>
      <c r="K12955">
        <v>45988</v>
      </c>
      <c r="N12955">
        <v>109</v>
      </c>
      <c r="O12955" t="s">
        <v>24</v>
      </c>
      <c r="Q12955">
        <v>1080</v>
      </c>
      <c r="R12955" t="str">
        <f>"FARMÁCIA INDIANA LJ 06 (10006)"</f>
        <v>FARMÁCIA INDIANA LJ 06 (10006)</v>
      </c>
      <c r="S12955" t="s">
        <v>77</v>
      </c>
      <c r="T12955">
        <v>22610</v>
      </c>
      <c r="U12955">
        <v>25757</v>
      </c>
      <c r="V12955" t="s">
        <v>77</v>
      </c>
    </row>
    <row r="12956" spans="1:22">
      <c r="A12956" t="str">
        <f t="shared" si="2548"/>
        <v>27/11/2025</v>
      </c>
      <c r="B12956" t="str">
        <f t="shared" si="2549"/>
        <v>SAÍDA</v>
      </c>
      <c r="C12956" t="str">
        <f t="shared" si="2550"/>
        <v>PIX</v>
      </c>
      <c r="D12956" t="str">
        <f>"25758"</f>
        <v>25758</v>
      </c>
      <c r="E12956" t="str">
        <f t="shared" si="2553"/>
        <v>1</v>
      </c>
      <c r="F12956" t="str">
        <f t="shared" si="2555"/>
        <v>COM</v>
      </c>
      <c r="G12956" t="str">
        <f>"ROGÉRIO LAURINDO BORGES (176)"</f>
        <v>ROGÉRIO LAURINDO BORGES (176)</v>
      </c>
      <c r="H12956" t="str">
        <f>"Serv.Prest. 10/11/2025 a 16/11/2025 - PIX: E-MAIL - CHAVE: roger.l.borges04@gmail.com"</f>
        <v>Serv.Prest. 10/11/2025 a 16/11/2025 - PIX: E-MAIL - CHAVE: roger.l.borges04@gmail.com</v>
      </c>
      <c r="I12956" t="str">
        <f t="shared" si="2551"/>
        <v>27/11/2025</v>
      </c>
      <c r="J12956" t="str">
        <f t="shared" si="2554"/>
        <v>18/11/2025</v>
      </c>
      <c r="K12956" t="str">
        <f>("27/11/2025")</f>
        <v>27/11/2025</v>
      </c>
      <c r="L12956">
        <v>744</v>
      </c>
      <c r="M12956">
        <v>744</v>
      </c>
      <c r="N12956">
        <v>109</v>
      </c>
      <c r="O12956" t="str">
        <f>"PAGAMENTO DE ENTREGADORES"</f>
        <v>PAGAMENTO DE ENTREGADORES</v>
      </c>
      <c r="P12956">
        <v>744</v>
      </c>
      <c r="S12956" t="str">
        <f>"BANCO C6 (149)"</f>
        <v>BANCO C6 (149)</v>
      </c>
      <c r="T12956">
        <v>22611</v>
      </c>
      <c r="U12956">
        <v>25758</v>
      </c>
      <c r="V12956" t="s">
        <v>77</v>
      </c>
    </row>
    <row r="12957" spans="1:22">
      <c r="A12957" t="str">
        <f t="shared" si="2548"/>
        <v>27/11/2025</v>
      </c>
      <c r="B12957" t="str">
        <f t="shared" si="2549"/>
        <v>SAÍDA</v>
      </c>
      <c r="C12957" t="str">
        <f t="shared" si="2550"/>
        <v>PIX</v>
      </c>
      <c r="D12957" t="str">
        <f>"25758"</f>
        <v>25758</v>
      </c>
      <c r="E12957" t="str">
        <f t="shared" si="2553"/>
        <v>1</v>
      </c>
      <c r="F12957" t="str">
        <f t="shared" si="2555"/>
        <v>COM</v>
      </c>
      <c r="G12957" t="str">
        <f>"ROGÉRIO LAURINDO BORGES (176)"</f>
        <v>ROGÉRIO LAURINDO BORGES (176)</v>
      </c>
      <c r="H12957" t="s">
        <v>3515</v>
      </c>
      <c r="I12957" t="str">
        <f t="shared" si="2551"/>
        <v>27/11/2025</v>
      </c>
      <c r="J12957" t="str">
        <f t="shared" si="2554"/>
        <v>18/11/2025</v>
      </c>
      <c r="K12957">
        <v>45988</v>
      </c>
      <c r="N12957">
        <v>109</v>
      </c>
      <c r="O12957" t="s">
        <v>24</v>
      </c>
      <c r="Q12957">
        <v>744</v>
      </c>
      <c r="R12957" t="str">
        <f>"FARMÁCIA INDIANA LJ 142 (10066)"</f>
        <v>FARMÁCIA INDIANA LJ 142 (10066)</v>
      </c>
      <c r="S12957" t="s">
        <v>77</v>
      </c>
      <c r="T12957">
        <v>22611</v>
      </c>
      <c r="U12957">
        <v>25758</v>
      </c>
      <c r="V12957" t="s">
        <v>77</v>
      </c>
    </row>
    <row r="12958" spans="1:22">
      <c r="A12958" t="str">
        <f t="shared" si="2548"/>
        <v>27/11/2025</v>
      </c>
      <c r="B12958" t="str">
        <f t="shared" si="2549"/>
        <v>SAÍDA</v>
      </c>
      <c r="C12958" t="str">
        <f t="shared" si="2550"/>
        <v>PIX</v>
      </c>
      <c r="D12958" t="str">
        <f>"25759"</f>
        <v>25759</v>
      </c>
      <c r="E12958" t="str">
        <f t="shared" si="2553"/>
        <v>1</v>
      </c>
      <c r="F12958" t="str">
        <f t="shared" si="2555"/>
        <v>COM</v>
      </c>
      <c r="G12958" t="str">
        <f>"SAMUEL JADSON SANTANA RIBEIRO (55)"</f>
        <v>SAMUEL JADSON SANTANA RIBEIRO (55)</v>
      </c>
      <c r="H12958" t="str">
        <f>"Serv.Prest. 10/11/2025 a 16/11/2025 - PIX: CPF - CHAVE: 701.955.866-62"</f>
        <v>Serv.Prest. 10/11/2025 a 16/11/2025 - PIX: CPF - CHAVE: 701.955.866-62</v>
      </c>
      <c r="I12958" t="str">
        <f t="shared" si="2551"/>
        <v>27/11/2025</v>
      </c>
      <c r="J12958" t="str">
        <f t="shared" si="2554"/>
        <v>18/11/2025</v>
      </c>
      <c r="K12958" t="str">
        <f>("27/11/2025")</f>
        <v>27/11/2025</v>
      </c>
      <c r="L12958">
        <v>798</v>
      </c>
      <c r="M12958">
        <v>798</v>
      </c>
      <c r="N12958">
        <v>109</v>
      </c>
      <c r="O12958" t="str">
        <f>"PAGAMENTO DE ENTREGADORES"</f>
        <v>PAGAMENTO DE ENTREGADORES</v>
      </c>
      <c r="P12958">
        <v>798</v>
      </c>
      <c r="S12958" t="str">
        <f>"BANCO C6 (149)"</f>
        <v>BANCO C6 (149)</v>
      </c>
      <c r="T12958">
        <v>22612</v>
      </c>
      <c r="U12958">
        <v>25759</v>
      </c>
      <c r="V12958" t="s">
        <v>77</v>
      </c>
    </row>
    <row r="12959" spans="1:22">
      <c r="A12959" t="str">
        <f t="shared" si="2548"/>
        <v>27/11/2025</v>
      </c>
      <c r="B12959" t="str">
        <f t="shared" si="2549"/>
        <v>SAÍDA</v>
      </c>
      <c r="C12959" t="str">
        <f t="shared" si="2550"/>
        <v>PIX</v>
      </c>
      <c r="D12959" t="str">
        <f>"25759"</f>
        <v>25759</v>
      </c>
      <c r="E12959" t="str">
        <f t="shared" si="2553"/>
        <v>1</v>
      </c>
      <c r="F12959" t="str">
        <f t="shared" si="2555"/>
        <v>COM</v>
      </c>
      <c r="G12959" t="str">
        <f>"SAMUEL JADSON SANTANA RIBEIRO (55)"</f>
        <v>SAMUEL JADSON SANTANA RIBEIRO (55)</v>
      </c>
      <c r="H12959" t="s">
        <v>3516</v>
      </c>
      <c r="I12959" t="str">
        <f t="shared" si="2551"/>
        <v>27/11/2025</v>
      </c>
      <c r="J12959" t="str">
        <f t="shared" si="2554"/>
        <v>18/11/2025</v>
      </c>
      <c r="K12959">
        <v>45988</v>
      </c>
      <c r="N12959">
        <v>109</v>
      </c>
      <c r="O12959" t="s">
        <v>24</v>
      </c>
      <c r="Q12959">
        <v>798</v>
      </c>
      <c r="R12959" t="str">
        <f>"FARMÁCIA INDIANA LJ 07 (10007)"</f>
        <v>FARMÁCIA INDIANA LJ 07 (10007)</v>
      </c>
      <c r="S12959" t="s">
        <v>77</v>
      </c>
      <c r="T12959">
        <v>22612</v>
      </c>
      <c r="U12959">
        <v>25759</v>
      </c>
      <c r="V12959" t="s">
        <v>77</v>
      </c>
    </row>
    <row r="12960" spans="1:22">
      <c r="A12960" t="str">
        <f t="shared" si="2548"/>
        <v>27/11/2025</v>
      </c>
      <c r="B12960" t="str">
        <f t="shared" si="2549"/>
        <v>SAÍDA</v>
      </c>
      <c r="C12960" t="str">
        <f t="shared" si="2550"/>
        <v>PIX</v>
      </c>
      <c r="D12960" t="str">
        <f>"25760"</f>
        <v>25760</v>
      </c>
      <c r="E12960" t="str">
        <f t="shared" si="2553"/>
        <v>1</v>
      </c>
      <c r="F12960" t="str">
        <f t="shared" si="2555"/>
        <v>COM</v>
      </c>
      <c r="G12960" t="str">
        <f>"SEDNEY GOMES SOARES (87)"</f>
        <v>SEDNEY GOMES SOARES (87)</v>
      </c>
      <c r="H12960" t="str">
        <f>"Serv.Prest. 10/11/2025 a 16/11/2025 - PIX: CPF - CHAVE: 048.151.276-46"</f>
        <v>Serv.Prest. 10/11/2025 a 16/11/2025 - PIX: CPF - CHAVE: 048.151.276-46</v>
      </c>
      <c r="I12960" t="str">
        <f t="shared" si="2551"/>
        <v>27/11/2025</v>
      </c>
      <c r="J12960" t="str">
        <f t="shared" si="2554"/>
        <v>18/11/2025</v>
      </c>
      <c r="K12960" t="str">
        <f>("27/11/2025")</f>
        <v>27/11/2025</v>
      </c>
      <c r="L12960">
        <v>750</v>
      </c>
      <c r="M12960">
        <v>750</v>
      </c>
      <c r="N12960">
        <v>109</v>
      </c>
      <c r="O12960" t="str">
        <f>"PAGAMENTO DE ENTREGADORES"</f>
        <v>PAGAMENTO DE ENTREGADORES</v>
      </c>
      <c r="P12960">
        <v>750</v>
      </c>
      <c r="S12960" t="str">
        <f>"BANCO C6 (149)"</f>
        <v>BANCO C6 (149)</v>
      </c>
      <c r="T12960">
        <v>22613</v>
      </c>
      <c r="U12960">
        <v>25760</v>
      </c>
      <c r="V12960" t="s">
        <v>77</v>
      </c>
    </row>
    <row r="12961" spans="1:22">
      <c r="A12961" t="str">
        <f t="shared" si="2548"/>
        <v>27/11/2025</v>
      </c>
      <c r="B12961" t="str">
        <f t="shared" si="2549"/>
        <v>SAÍDA</v>
      </c>
      <c r="C12961" t="str">
        <f t="shared" si="2550"/>
        <v>PIX</v>
      </c>
      <c r="D12961" t="str">
        <f>"25760"</f>
        <v>25760</v>
      </c>
      <c r="E12961" t="str">
        <f t="shared" si="2553"/>
        <v>1</v>
      </c>
      <c r="F12961" t="str">
        <f t="shared" si="2555"/>
        <v>COM</v>
      </c>
      <c r="G12961" t="str">
        <f>"SEDNEY GOMES SOARES (87)"</f>
        <v>SEDNEY GOMES SOARES (87)</v>
      </c>
      <c r="H12961" t="s">
        <v>3517</v>
      </c>
      <c r="I12961" t="str">
        <f t="shared" si="2551"/>
        <v>27/11/2025</v>
      </c>
      <c r="J12961" t="str">
        <f t="shared" si="2554"/>
        <v>18/11/2025</v>
      </c>
      <c r="K12961">
        <v>45988</v>
      </c>
      <c r="N12961">
        <v>109</v>
      </c>
      <c r="O12961" t="s">
        <v>24</v>
      </c>
      <c r="Q12961">
        <v>222.97</v>
      </c>
      <c r="R12961" t="str">
        <f>"FARMÁCIA INDIANA LJ 97 (10040)"</f>
        <v>FARMÁCIA INDIANA LJ 97 (10040)</v>
      </c>
      <c r="S12961" t="s">
        <v>77</v>
      </c>
      <c r="T12961">
        <v>22613</v>
      </c>
      <c r="U12961">
        <v>25760</v>
      </c>
      <c r="V12961" t="s">
        <v>77</v>
      </c>
    </row>
    <row r="12962" spans="1:22">
      <c r="A12962" t="str">
        <f t="shared" si="2548"/>
        <v>27/11/2025</v>
      </c>
      <c r="B12962" t="str">
        <f t="shared" si="2549"/>
        <v>SAÍDA</v>
      </c>
      <c r="C12962" t="str">
        <f t="shared" si="2550"/>
        <v>PIX</v>
      </c>
      <c r="D12962" t="str">
        <f>"25760"</f>
        <v>25760</v>
      </c>
      <c r="E12962" t="str">
        <f t="shared" si="2553"/>
        <v>1</v>
      </c>
      <c r="F12962" t="str">
        <f t="shared" si="2555"/>
        <v>COM</v>
      </c>
      <c r="G12962" t="str">
        <f>"SEDNEY GOMES SOARES (87)"</f>
        <v>SEDNEY GOMES SOARES (87)</v>
      </c>
      <c r="H12962" t="s">
        <v>3517</v>
      </c>
      <c r="I12962" t="str">
        <f t="shared" si="2551"/>
        <v>27/11/2025</v>
      </c>
      <c r="J12962" t="str">
        <f t="shared" si="2554"/>
        <v>18/11/2025</v>
      </c>
      <c r="K12962">
        <v>45988</v>
      </c>
      <c r="N12962">
        <v>109</v>
      </c>
      <c r="O12962" t="s">
        <v>24</v>
      </c>
      <c r="Q12962">
        <v>304.05</v>
      </c>
      <c r="R12962" t="str">
        <f>"FARMÁCIA INDIANA LJ 111 (10049)"</f>
        <v>FARMÁCIA INDIANA LJ 111 (10049)</v>
      </c>
      <c r="S12962" t="s">
        <v>77</v>
      </c>
      <c r="T12962">
        <v>22613</v>
      </c>
      <c r="U12962">
        <v>25760</v>
      </c>
      <c r="V12962" t="s">
        <v>77</v>
      </c>
    </row>
    <row r="12963" spans="1:22">
      <c r="A12963" t="str">
        <f t="shared" si="2548"/>
        <v>27/11/2025</v>
      </c>
      <c r="B12963" t="str">
        <f t="shared" si="2549"/>
        <v>SAÍDA</v>
      </c>
      <c r="C12963" t="str">
        <f t="shared" si="2550"/>
        <v>PIX</v>
      </c>
      <c r="D12963" t="str">
        <f>"25760"</f>
        <v>25760</v>
      </c>
      <c r="E12963" t="str">
        <f t="shared" si="2553"/>
        <v>1</v>
      </c>
      <c r="F12963" t="str">
        <f t="shared" si="2555"/>
        <v>COM</v>
      </c>
      <c r="G12963" t="str">
        <f>"SEDNEY GOMES SOARES (87)"</f>
        <v>SEDNEY GOMES SOARES (87)</v>
      </c>
      <c r="H12963" t="s">
        <v>3517</v>
      </c>
      <c r="I12963" t="str">
        <f t="shared" si="2551"/>
        <v>27/11/2025</v>
      </c>
      <c r="J12963" t="str">
        <f t="shared" si="2554"/>
        <v>18/11/2025</v>
      </c>
      <c r="K12963">
        <v>45988</v>
      </c>
      <c r="N12963">
        <v>109</v>
      </c>
      <c r="O12963" t="s">
        <v>24</v>
      </c>
      <c r="Q12963">
        <v>222.98</v>
      </c>
      <c r="R12963" t="str">
        <f>"FARMÁCIA INDIANA LJ 143 (10067)"</f>
        <v>FARMÁCIA INDIANA LJ 143 (10067)</v>
      </c>
      <c r="S12963" t="s">
        <v>77</v>
      </c>
      <c r="T12963">
        <v>22613</v>
      </c>
      <c r="U12963">
        <v>25760</v>
      </c>
      <c r="V12963" t="s">
        <v>77</v>
      </c>
    </row>
    <row r="12964" spans="1:22">
      <c r="A12964" t="str">
        <f t="shared" si="2548"/>
        <v>27/11/2025</v>
      </c>
      <c r="B12964" t="str">
        <f t="shared" si="2549"/>
        <v>SAÍDA</v>
      </c>
      <c r="C12964" t="str">
        <f t="shared" si="2550"/>
        <v>PIX</v>
      </c>
      <c r="D12964" t="str">
        <f>"25761"</f>
        <v>25761</v>
      </c>
      <c r="E12964" t="str">
        <f t="shared" si="2553"/>
        <v>1</v>
      </c>
      <c r="F12964" t="str">
        <f t="shared" si="2555"/>
        <v>COM</v>
      </c>
      <c r="G12964" t="str">
        <f>"SILAS ALVES DE FREITAS (35)"</f>
        <v>SILAS ALVES DE FREITAS (35)</v>
      </c>
      <c r="H12964" t="str">
        <f>"Serv.Prest. 10/11/2025 a 16/11/2025 - PIX: CPF - CHAVE: 097.855.786-74"</f>
        <v>Serv.Prest. 10/11/2025 a 16/11/2025 - PIX: CPF - CHAVE: 097.855.786-74</v>
      </c>
      <c r="I12964" t="str">
        <f t="shared" si="2551"/>
        <v>27/11/2025</v>
      </c>
      <c r="J12964" t="str">
        <f t="shared" ref="J12964:J12995" si="2556">("18/11/2025")</f>
        <v>18/11/2025</v>
      </c>
      <c r="K12964" t="str">
        <f>("27/11/2025")</f>
        <v>27/11/2025</v>
      </c>
      <c r="L12964">
        <v>1206</v>
      </c>
      <c r="M12964">
        <v>1206</v>
      </c>
      <c r="N12964">
        <v>109</v>
      </c>
      <c r="O12964" t="str">
        <f>"PAGAMENTO DE ENTREGADORES"</f>
        <v>PAGAMENTO DE ENTREGADORES</v>
      </c>
      <c r="P12964">
        <v>1206</v>
      </c>
      <c r="S12964" t="str">
        <f>"BANCO C6 (149)"</f>
        <v>BANCO C6 (149)</v>
      </c>
      <c r="T12964">
        <v>22614</v>
      </c>
      <c r="U12964">
        <v>25761</v>
      </c>
      <c r="V12964" t="s">
        <v>77</v>
      </c>
    </row>
    <row r="12965" spans="1:22">
      <c r="A12965" t="str">
        <f t="shared" si="2548"/>
        <v>27/11/2025</v>
      </c>
      <c r="B12965" t="str">
        <f t="shared" si="2549"/>
        <v>SAÍDA</v>
      </c>
      <c r="C12965" t="str">
        <f t="shared" si="2550"/>
        <v>PIX</v>
      </c>
      <c r="D12965" t="str">
        <f>"25761"</f>
        <v>25761</v>
      </c>
      <c r="E12965" t="str">
        <f t="shared" si="2553"/>
        <v>1</v>
      </c>
      <c r="F12965" t="str">
        <f t="shared" si="2555"/>
        <v>COM</v>
      </c>
      <c r="G12965" t="str">
        <f>"SILAS ALVES DE FREITAS (35)"</f>
        <v>SILAS ALVES DE FREITAS (35)</v>
      </c>
      <c r="H12965" t="s">
        <v>3518</v>
      </c>
      <c r="I12965" t="str">
        <f t="shared" si="2551"/>
        <v>27/11/2025</v>
      </c>
      <c r="J12965" t="str">
        <f t="shared" si="2556"/>
        <v>18/11/2025</v>
      </c>
      <c r="K12965">
        <v>45988</v>
      </c>
      <c r="N12965">
        <v>109</v>
      </c>
      <c r="O12965" t="s">
        <v>24</v>
      </c>
      <c r="Q12965">
        <v>1206</v>
      </c>
      <c r="R12965" t="str">
        <f>"FARMÁCIA INDIANA LJ 172 (10161)"</f>
        <v>FARMÁCIA INDIANA LJ 172 (10161)</v>
      </c>
      <c r="S12965" t="s">
        <v>77</v>
      </c>
      <c r="T12965">
        <v>22614</v>
      </c>
      <c r="U12965">
        <v>25761</v>
      </c>
      <c r="V12965" t="s">
        <v>77</v>
      </c>
    </row>
    <row r="12966" spans="1:22">
      <c r="A12966" t="str">
        <f t="shared" si="2548"/>
        <v>27/11/2025</v>
      </c>
      <c r="B12966" t="str">
        <f t="shared" si="2549"/>
        <v>SAÍDA</v>
      </c>
      <c r="C12966" t="str">
        <f t="shared" si="2550"/>
        <v>PIX</v>
      </c>
      <c r="D12966" t="str">
        <f>"25762"</f>
        <v>25762</v>
      </c>
      <c r="E12966" t="str">
        <f t="shared" si="2553"/>
        <v>1</v>
      </c>
      <c r="F12966" t="str">
        <f t="shared" si="2555"/>
        <v>COM</v>
      </c>
      <c r="G12966" t="str">
        <f>"TAYSON BARBOSA SILVINO (613)"</f>
        <v>TAYSON BARBOSA SILVINO (613)</v>
      </c>
      <c r="H12966" t="str">
        <f>"Serv.Prest. 10/11/2025 a 16/11/2025 - PIX: CHAVE CPF - CHAVE: 016.516.596-05"</f>
        <v>Serv.Prest. 10/11/2025 a 16/11/2025 - PIX: CHAVE CPF - CHAVE: 016.516.596-05</v>
      </c>
      <c r="I12966" t="str">
        <f t="shared" si="2551"/>
        <v>27/11/2025</v>
      </c>
      <c r="J12966" t="str">
        <f t="shared" si="2556"/>
        <v>18/11/2025</v>
      </c>
      <c r="K12966" t="str">
        <f>("27/11/2025")</f>
        <v>27/11/2025</v>
      </c>
      <c r="L12966">
        <v>870</v>
      </c>
      <c r="M12966">
        <v>870</v>
      </c>
      <c r="N12966">
        <v>109</v>
      </c>
      <c r="O12966" t="str">
        <f>"PAGAMENTO DE ENTREGADORES"</f>
        <v>PAGAMENTO DE ENTREGADORES</v>
      </c>
      <c r="P12966">
        <v>870</v>
      </c>
      <c r="S12966" t="str">
        <f>"BANCO C6 (149)"</f>
        <v>BANCO C6 (149)</v>
      </c>
      <c r="T12966">
        <v>22615</v>
      </c>
      <c r="U12966">
        <v>25762</v>
      </c>
      <c r="V12966" t="s">
        <v>77</v>
      </c>
    </row>
    <row r="12967" spans="1:22">
      <c r="A12967" t="str">
        <f t="shared" si="2548"/>
        <v>27/11/2025</v>
      </c>
      <c r="B12967" t="str">
        <f t="shared" si="2549"/>
        <v>SAÍDA</v>
      </c>
      <c r="C12967" t="str">
        <f t="shared" si="2550"/>
        <v>PIX</v>
      </c>
      <c r="D12967" t="str">
        <f>"25762"</f>
        <v>25762</v>
      </c>
      <c r="E12967" t="str">
        <f t="shared" si="2553"/>
        <v>1</v>
      </c>
      <c r="F12967" t="str">
        <f t="shared" si="2555"/>
        <v>COM</v>
      </c>
      <c r="G12967" t="str">
        <f>"TAYSON BARBOSA SILVINO (613)"</f>
        <v>TAYSON BARBOSA SILVINO (613)</v>
      </c>
      <c r="H12967" t="s">
        <v>3519</v>
      </c>
      <c r="I12967" t="str">
        <f t="shared" si="2551"/>
        <v>27/11/2025</v>
      </c>
      <c r="J12967" t="str">
        <f t="shared" si="2556"/>
        <v>18/11/2025</v>
      </c>
      <c r="K12967">
        <v>45988</v>
      </c>
      <c r="N12967">
        <v>109</v>
      </c>
      <c r="O12967" t="s">
        <v>24</v>
      </c>
      <c r="Q12967">
        <v>870</v>
      </c>
      <c r="R12967" t="str">
        <f>"FARMÁCIA INDIANA LJ 19 (10012)"</f>
        <v>FARMÁCIA INDIANA LJ 19 (10012)</v>
      </c>
      <c r="S12967" t="s">
        <v>77</v>
      </c>
      <c r="T12967">
        <v>22615</v>
      </c>
      <c r="U12967">
        <v>25762</v>
      </c>
      <c r="V12967" t="s">
        <v>77</v>
      </c>
    </row>
    <row r="12968" spans="1:22">
      <c r="A12968" t="str">
        <f t="shared" si="2548"/>
        <v>27/11/2025</v>
      </c>
      <c r="B12968" t="str">
        <f t="shared" si="2549"/>
        <v>SAÍDA</v>
      </c>
      <c r="C12968" t="str">
        <f t="shared" si="2550"/>
        <v>PIX</v>
      </c>
      <c r="D12968" t="str">
        <f>"25763"</f>
        <v>25763</v>
      </c>
      <c r="E12968" t="str">
        <f t="shared" si="2553"/>
        <v>1</v>
      </c>
      <c r="F12968" t="str">
        <f t="shared" si="2555"/>
        <v>COM</v>
      </c>
      <c r="G12968" t="str">
        <f>"THALES VIANA DOS SANTOS (63)"</f>
        <v>THALES VIANA DOS SANTOS (63)</v>
      </c>
      <c r="H12968" t="str">
        <f>"Serv.Prest. 10/11/2025 a 16/11/2025 - PIX: CELULAR - CHAVE: (33) 99880-7941"</f>
        <v>Serv.Prest. 10/11/2025 a 16/11/2025 - PIX: CELULAR - CHAVE: (33) 99880-7941</v>
      </c>
      <c r="I12968" t="str">
        <f t="shared" si="2551"/>
        <v>27/11/2025</v>
      </c>
      <c r="J12968" t="str">
        <f t="shared" si="2556"/>
        <v>18/11/2025</v>
      </c>
      <c r="K12968" t="str">
        <f>("27/11/2025")</f>
        <v>27/11/2025</v>
      </c>
      <c r="L12968">
        <v>1020</v>
      </c>
      <c r="M12968">
        <v>1020</v>
      </c>
      <c r="N12968">
        <v>109</v>
      </c>
      <c r="O12968" t="str">
        <f>"PAGAMENTO DE ENTREGADORES"</f>
        <v>PAGAMENTO DE ENTREGADORES</v>
      </c>
      <c r="P12968">
        <v>1020</v>
      </c>
      <c r="S12968" t="str">
        <f>"BANCO C6 (149)"</f>
        <v>BANCO C6 (149)</v>
      </c>
      <c r="T12968">
        <v>22616</v>
      </c>
      <c r="U12968">
        <v>25763</v>
      </c>
      <c r="V12968" t="s">
        <v>77</v>
      </c>
    </row>
    <row r="12969" spans="1:22">
      <c r="A12969" t="str">
        <f t="shared" si="2548"/>
        <v>27/11/2025</v>
      </c>
      <c r="B12969" t="str">
        <f t="shared" si="2549"/>
        <v>SAÍDA</v>
      </c>
      <c r="C12969" t="str">
        <f t="shared" si="2550"/>
        <v>PIX</v>
      </c>
      <c r="D12969" t="str">
        <f>"25763"</f>
        <v>25763</v>
      </c>
      <c r="E12969" t="str">
        <f t="shared" si="2553"/>
        <v>1</v>
      </c>
      <c r="F12969" t="str">
        <f t="shared" si="2555"/>
        <v>COM</v>
      </c>
      <c r="G12969" t="str">
        <f>"THALES VIANA DOS SANTOS (63)"</f>
        <v>THALES VIANA DOS SANTOS (63)</v>
      </c>
      <c r="H12969" t="s">
        <v>3520</v>
      </c>
      <c r="I12969" t="str">
        <f t="shared" si="2551"/>
        <v>27/11/2025</v>
      </c>
      <c r="J12969" t="str">
        <f t="shared" si="2556"/>
        <v>18/11/2025</v>
      </c>
      <c r="K12969">
        <v>45988</v>
      </c>
      <c r="N12969">
        <v>109</v>
      </c>
      <c r="O12969" t="s">
        <v>24</v>
      </c>
      <c r="Q12969">
        <v>1020</v>
      </c>
      <c r="R12969" t="str">
        <f>"FARMÁCIA INDIANA LJ 07 (10007)"</f>
        <v>FARMÁCIA INDIANA LJ 07 (10007)</v>
      </c>
      <c r="S12969" t="s">
        <v>77</v>
      </c>
      <c r="T12969">
        <v>22616</v>
      </c>
      <c r="U12969">
        <v>25763</v>
      </c>
      <c r="V12969" t="s">
        <v>77</v>
      </c>
    </row>
    <row r="12970" spans="1:22">
      <c r="A12970" t="str">
        <f t="shared" si="2548"/>
        <v>27/11/2025</v>
      </c>
      <c r="B12970" t="str">
        <f t="shared" si="2549"/>
        <v>SAÍDA</v>
      </c>
      <c r="C12970" t="str">
        <f t="shared" si="2550"/>
        <v>PIX</v>
      </c>
      <c r="D12970" t="str">
        <f>"25765"</f>
        <v>25765</v>
      </c>
      <c r="E12970" t="str">
        <f t="shared" si="2553"/>
        <v>1</v>
      </c>
      <c r="F12970" t="str">
        <f t="shared" si="2555"/>
        <v>COM</v>
      </c>
      <c r="G12970" t="str">
        <f>"VICTOR RILLEY CRUZ MESQUITA (1005)"</f>
        <v>VICTOR RILLEY CRUZ MESQUITA (1005)</v>
      </c>
      <c r="H12970" t="str">
        <f>"Serv.Prest. 10/11/2025 a 16/11/2025 - PIX: CELULAR - CHAVE: (33) 99973-4407"</f>
        <v>Serv.Prest. 10/11/2025 a 16/11/2025 - PIX: CELULAR - CHAVE: (33) 99973-4407</v>
      </c>
      <c r="I12970" t="str">
        <f t="shared" si="2551"/>
        <v>27/11/2025</v>
      </c>
      <c r="J12970" t="str">
        <f t="shared" si="2556"/>
        <v>18/11/2025</v>
      </c>
      <c r="K12970" t="str">
        <f>("27/11/2025")</f>
        <v>27/11/2025</v>
      </c>
      <c r="L12970">
        <v>630</v>
      </c>
      <c r="M12970">
        <v>630</v>
      </c>
      <c r="N12970">
        <v>109</v>
      </c>
      <c r="O12970" t="str">
        <f>"PAGAMENTO DE ENTREGADORES"</f>
        <v>PAGAMENTO DE ENTREGADORES</v>
      </c>
      <c r="P12970">
        <v>630</v>
      </c>
      <c r="S12970" t="str">
        <f>"BANCO C6 (149)"</f>
        <v>BANCO C6 (149)</v>
      </c>
      <c r="T12970">
        <v>22617</v>
      </c>
      <c r="U12970">
        <v>25765</v>
      </c>
      <c r="V12970" t="s">
        <v>77</v>
      </c>
    </row>
    <row r="12971" spans="1:22">
      <c r="A12971" t="str">
        <f t="shared" si="2548"/>
        <v>27/11/2025</v>
      </c>
      <c r="B12971" t="str">
        <f t="shared" si="2549"/>
        <v>SAÍDA</v>
      </c>
      <c r="C12971" t="str">
        <f t="shared" si="2550"/>
        <v>PIX</v>
      </c>
      <c r="D12971" t="str">
        <f>"25765"</f>
        <v>25765</v>
      </c>
      <c r="E12971" t="str">
        <f t="shared" si="2553"/>
        <v>1</v>
      </c>
      <c r="F12971" t="str">
        <f t="shared" si="2555"/>
        <v>COM</v>
      </c>
      <c r="G12971" t="str">
        <f>"VICTOR RILLEY CRUZ MESQUITA (1005)"</f>
        <v>VICTOR RILLEY CRUZ MESQUITA (1005)</v>
      </c>
      <c r="H12971" t="s">
        <v>3521</v>
      </c>
      <c r="I12971" t="str">
        <f t="shared" si="2551"/>
        <v>27/11/2025</v>
      </c>
      <c r="J12971" t="str">
        <f t="shared" si="2556"/>
        <v>18/11/2025</v>
      </c>
      <c r="K12971">
        <v>45988</v>
      </c>
      <c r="N12971">
        <v>109</v>
      </c>
      <c r="O12971" t="s">
        <v>24</v>
      </c>
      <c r="Q12971">
        <v>630</v>
      </c>
      <c r="R12971" t="str">
        <f>"FARMÁCIA INDIANA LJ 07 (10007)"</f>
        <v>FARMÁCIA INDIANA LJ 07 (10007)</v>
      </c>
      <c r="S12971" t="s">
        <v>77</v>
      </c>
      <c r="T12971">
        <v>22617</v>
      </c>
      <c r="U12971">
        <v>25765</v>
      </c>
      <c r="V12971" t="s">
        <v>77</v>
      </c>
    </row>
    <row r="12972" spans="1:22">
      <c r="A12972" t="str">
        <f t="shared" si="2548"/>
        <v>27/11/2025</v>
      </c>
      <c r="B12972" t="str">
        <f t="shared" si="2549"/>
        <v>SAÍDA</v>
      </c>
      <c r="C12972" t="str">
        <f t="shared" si="2550"/>
        <v>PIX</v>
      </c>
      <c r="D12972" t="str">
        <f>"25766"</f>
        <v>25766</v>
      </c>
      <c r="E12972" t="str">
        <f t="shared" si="2553"/>
        <v>1</v>
      </c>
      <c r="F12972" t="str">
        <f t="shared" si="2555"/>
        <v>COM</v>
      </c>
      <c r="G12972" t="str">
        <f>"VINICIUS DE SOUZA ISABEL (658)"</f>
        <v>VINICIUS DE SOUZA ISABEL (658)</v>
      </c>
      <c r="H12972" t="str">
        <f>"Serv.Prest. 10/11/2025 a 16/11/2025 - PIX: CPF - CHAVE: 092.566.416-23"</f>
        <v>Serv.Prest. 10/11/2025 a 16/11/2025 - PIX: CPF - CHAVE: 092.566.416-23</v>
      </c>
      <c r="I12972" t="str">
        <f t="shared" si="2551"/>
        <v>27/11/2025</v>
      </c>
      <c r="J12972" t="str">
        <f t="shared" si="2556"/>
        <v>18/11/2025</v>
      </c>
      <c r="K12972" t="str">
        <f>("27/11/2025")</f>
        <v>27/11/2025</v>
      </c>
      <c r="L12972">
        <v>700</v>
      </c>
      <c r="M12972">
        <v>700</v>
      </c>
      <c r="N12972">
        <v>109</v>
      </c>
      <c r="O12972" t="str">
        <f>"PAGAMENTO DE ENTREGADORES"</f>
        <v>PAGAMENTO DE ENTREGADORES</v>
      </c>
      <c r="P12972">
        <v>700</v>
      </c>
      <c r="S12972" t="str">
        <f>"BANCO C6 (149)"</f>
        <v>BANCO C6 (149)</v>
      </c>
      <c r="T12972">
        <v>22618</v>
      </c>
      <c r="U12972">
        <v>25766</v>
      </c>
      <c r="V12972" t="s">
        <v>77</v>
      </c>
    </row>
    <row r="12973" spans="1:22">
      <c r="A12973" t="str">
        <f t="shared" si="2548"/>
        <v>27/11/2025</v>
      </c>
      <c r="B12973" t="str">
        <f t="shared" si="2549"/>
        <v>SAÍDA</v>
      </c>
      <c r="C12973" t="str">
        <f t="shared" si="2550"/>
        <v>PIX</v>
      </c>
      <c r="D12973" t="str">
        <f>"25766"</f>
        <v>25766</v>
      </c>
      <c r="E12973" t="str">
        <f t="shared" si="2553"/>
        <v>1</v>
      </c>
      <c r="F12973" t="str">
        <f t="shared" si="2555"/>
        <v>COM</v>
      </c>
      <c r="G12973" t="str">
        <f>"VINICIUS DE SOUZA ISABEL (658)"</f>
        <v>VINICIUS DE SOUZA ISABEL (658)</v>
      </c>
      <c r="H12973" t="s">
        <v>3522</v>
      </c>
      <c r="I12973" t="str">
        <f t="shared" si="2551"/>
        <v>27/11/2025</v>
      </c>
      <c r="J12973" t="str">
        <f t="shared" si="2556"/>
        <v>18/11/2025</v>
      </c>
      <c r="K12973">
        <v>45988</v>
      </c>
      <c r="N12973">
        <v>109</v>
      </c>
      <c r="O12973" t="s">
        <v>24</v>
      </c>
      <c r="Q12973">
        <v>700</v>
      </c>
      <c r="R12973" t="str">
        <f>"FARMÁCIA INDIANA LJ 219 (10091)"</f>
        <v>FARMÁCIA INDIANA LJ 219 (10091)</v>
      </c>
      <c r="S12973" t="s">
        <v>77</v>
      </c>
      <c r="T12973">
        <v>22618</v>
      </c>
      <c r="U12973">
        <v>25766</v>
      </c>
      <c r="V12973" t="s">
        <v>77</v>
      </c>
    </row>
    <row r="12974" spans="1:22">
      <c r="A12974" t="str">
        <f t="shared" si="2548"/>
        <v>27/11/2025</v>
      </c>
      <c r="B12974" t="str">
        <f t="shared" si="2549"/>
        <v>SAÍDA</v>
      </c>
      <c r="C12974" t="str">
        <f t="shared" si="2550"/>
        <v>PIX</v>
      </c>
      <c r="D12974" t="str">
        <f>"25767"</f>
        <v>25767</v>
      </c>
      <c r="E12974" t="str">
        <f t="shared" si="2553"/>
        <v>1</v>
      </c>
      <c r="F12974" t="str">
        <f t="shared" si="2555"/>
        <v>COM</v>
      </c>
      <c r="G12974" t="str">
        <f>"VITOR CARDOSO FAUSTINO (257)"</f>
        <v>VITOR CARDOSO FAUSTINO (257)</v>
      </c>
      <c r="H12974" t="str">
        <f>"Serv.Prest. 10/11/2025 a 16/11/2025 - PIX: CPF - CHAVE: 157.874.046-02"</f>
        <v>Serv.Prest. 10/11/2025 a 16/11/2025 - PIX: CPF - CHAVE: 157.874.046-02</v>
      </c>
      <c r="I12974" t="str">
        <f t="shared" si="2551"/>
        <v>27/11/2025</v>
      </c>
      <c r="J12974" t="str">
        <f t="shared" si="2556"/>
        <v>18/11/2025</v>
      </c>
      <c r="K12974" t="str">
        <f>("27/11/2025")</f>
        <v>27/11/2025</v>
      </c>
      <c r="L12974">
        <v>240</v>
      </c>
      <c r="M12974">
        <v>240</v>
      </c>
      <c r="N12974">
        <v>109</v>
      </c>
      <c r="O12974" t="str">
        <f>"PAGAMENTO DE ENTREGADORES"</f>
        <v>PAGAMENTO DE ENTREGADORES</v>
      </c>
      <c r="P12974">
        <v>240</v>
      </c>
      <c r="S12974" t="str">
        <f>"BANCO C6 (149)"</f>
        <v>BANCO C6 (149)</v>
      </c>
      <c r="T12974">
        <v>22619</v>
      </c>
      <c r="U12974">
        <v>25767</v>
      </c>
      <c r="V12974" t="s">
        <v>77</v>
      </c>
    </row>
    <row r="12975" spans="1:22">
      <c r="A12975" t="str">
        <f t="shared" si="2548"/>
        <v>27/11/2025</v>
      </c>
      <c r="B12975" t="str">
        <f t="shared" si="2549"/>
        <v>SAÍDA</v>
      </c>
      <c r="C12975" t="str">
        <f t="shared" si="2550"/>
        <v>PIX</v>
      </c>
      <c r="D12975" t="str">
        <f>"25767"</f>
        <v>25767</v>
      </c>
      <c r="E12975" t="str">
        <f t="shared" si="2553"/>
        <v>1</v>
      </c>
      <c r="F12975" t="str">
        <f t="shared" si="2555"/>
        <v>COM</v>
      </c>
      <c r="G12975" t="str">
        <f>"VITOR CARDOSO FAUSTINO (257)"</f>
        <v>VITOR CARDOSO FAUSTINO (257)</v>
      </c>
      <c r="H12975" t="s">
        <v>3523</v>
      </c>
      <c r="I12975" t="str">
        <f t="shared" si="2551"/>
        <v>27/11/2025</v>
      </c>
      <c r="J12975" t="str">
        <f t="shared" si="2556"/>
        <v>18/11/2025</v>
      </c>
      <c r="K12975">
        <v>45988</v>
      </c>
      <c r="N12975">
        <v>109</v>
      </c>
      <c r="O12975" t="s">
        <v>24</v>
      </c>
      <c r="Q12975">
        <v>240</v>
      </c>
      <c r="R12975" t="str">
        <f>"FARMÁCIA INDIANA LJ 07 (10007)"</f>
        <v>FARMÁCIA INDIANA LJ 07 (10007)</v>
      </c>
      <c r="S12975" t="s">
        <v>77</v>
      </c>
      <c r="T12975">
        <v>22619</v>
      </c>
      <c r="U12975">
        <v>25767</v>
      </c>
      <c r="V12975" t="s">
        <v>77</v>
      </c>
    </row>
    <row r="12976" spans="1:22">
      <c r="A12976" t="str">
        <f t="shared" si="2548"/>
        <v>27/11/2025</v>
      </c>
      <c r="B12976" t="str">
        <f t="shared" si="2549"/>
        <v>SAÍDA</v>
      </c>
      <c r="C12976" t="str">
        <f t="shared" si="2550"/>
        <v>PIX</v>
      </c>
      <c r="D12976" t="str">
        <f>"25768"</f>
        <v>25768</v>
      </c>
      <c r="E12976" t="str">
        <f t="shared" si="2553"/>
        <v>1</v>
      </c>
      <c r="F12976" t="str">
        <f t="shared" si="2555"/>
        <v>COM</v>
      </c>
      <c r="G12976" t="str">
        <f>"VITOR DE SOUZA SILVA (360)"</f>
        <v>VITOR DE SOUZA SILVA (360)</v>
      </c>
      <c r="H12976" t="str">
        <f>"Serv.Prest. 10/11/2025 a 16/11/2025 - PIX: CPF - CHAVE: 130.194.566-81"</f>
        <v>Serv.Prest. 10/11/2025 a 16/11/2025 - PIX: CPF - CHAVE: 130.194.566-81</v>
      </c>
      <c r="I12976" t="str">
        <f t="shared" si="2551"/>
        <v>27/11/2025</v>
      </c>
      <c r="J12976" t="str">
        <f t="shared" si="2556"/>
        <v>18/11/2025</v>
      </c>
      <c r="K12976" t="str">
        <f>("27/11/2025")</f>
        <v>27/11/2025</v>
      </c>
      <c r="L12976">
        <v>700.8</v>
      </c>
      <c r="M12976">
        <v>700.8</v>
      </c>
      <c r="N12976">
        <v>109</v>
      </c>
      <c r="O12976" t="str">
        <f>"PAGAMENTO DE ENTREGADORES"</f>
        <v>PAGAMENTO DE ENTREGADORES</v>
      </c>
      <c r="P12976">
        <v>700.8</v>
      </c>
      <c r="S12976" t="str">
        <f>"BANCO C6 (149)"</f>
        <v>BANCO C6 (149)</v>
      </c>
      <c r="T12976">
        <v>22620</v>
      </c>
      <c r="U12976">
        <v>25768</v>
      </c>
      <c r="V12976" t="s">
        <v>77</v>
      </c>
    </row>
    <row r="12977" spans="1:22">
      <c r="A12977" t="str">
        <f t="shared" si="2548"/>
        <v>27/11/2025</v>
      </c>
      <c r="B12977" t="str">
        <f t="shared" si="2549"/>
        <v>SAÍDA</v>
      </c>
      <c r="C12977" t="str">
        <f t="shared" si="2550"/>
        <v>PIX</v>
      </c>
      <c r="D12977" t="str">
        <f>"25768"</f>
        <v>25768</v>
      </c>
      <c r="E12977" t="str">
        <f t="shared" si="2553"/>
        <v>1</v>
      </c>
      <c r="F12977" t="str">
        <f t="shared" si="2555"/>
        <v>COM</v>
      </c>
      <c r="G12977" t="str">
        <f>"VITOR DE SOUZA SILVA (360)"</f>
        <v>VITOR DE SOUZA SILVA (360)</v>
      </c>
      <c r="H12977" t="s">
        <v>3524</v>
      </c>
      <c r="I12977" t="str">
        <f t="shared" si="2551"/>
        <v>27/11/2025</v>
      </c>
      <c r="J12977" t="str">
        <f t="shared" si="2556"/>
        <v>18/11/2025</v>
      </c>
      <c r="K12977">
        <v>45988</v>
      </c>
      <c r="N12977">
        <v>109</v>
      </c>
      <c r="O12977" t="s">
        <v>24</v>
      </c>
      <c r="Q12977">
        <v>233.57</v>
      </c>
      <c r="R12977" t="str">
        <f>"FARMÁCIA INDIANA LJ 116 (10051)"</f>
        <v>FARMÁCIA INDIANA LJ 116 (10051)</v>
      </c>
      <c r="S12977" t="s">
        <v>77</v>
      </c>
      <c r="T12977">
        <v>22620</v>
      </c>
      <c r="U12977">
        <v>25768</v>
      </c>
      <c r="V12977" t="s">
        <v>77</v>
      </c>
    </row>
    <row r="12978" spans="1:22">
      <c r="A12978" t="str">
        <f t="shared" si="2548"/>
        <v>27/11/2025</v>
      </c>
      <c r="B12978" t="str">
        <f t="shared" si="2549"/>
        <v>SAÍDA</v>
      </c>
      <c r="C12978" t="str">
        <f t="shared" si="2550"/>
        <v>PIX</v>
      </c>
      <c r="D12978" t="str">
        <f>"25768"</f>
        <v>25768</v>
      </c>
      <c r="E12978" t="str">
        <f t="shared" si="2553"/>
        <v>1</v>
      </c>
      <c r="F12978" t="str">
        <f t="shared" si="2555"/>
        <v>COM</v>
      </c>
      <c r="G12978" t="str">
        <f>"VITOR DE SOUZA SILVA (360)"</f>
        <v>VITOR DE SOUZA SILVA (360)</v>
      </c>
      <c r="H12978" t="s">
        <v>3524</v>
      </c>
      <c r="I12978" t="str">
        <f t="shared" si="2551"/>
        <v>27/11/2025</v>
      </c>
      <c r="J12978" t="str">
        <f t="shared" si="2556"/>
        <v>18/11/2025</v>
      </c>
      <c r="K12978">
        <v>45988</v>
      </c>
      <c r="N12978">
        <v>109</v>
      </c>
      <c r="O12978" t="s">
        <v>24</v>
      </c>
      <c r="Q12978">
        <v>233.58</v>
      </c>
      <c r="R12978" t="str">
        <f>"FARMÁCIA INDIANA LJ 121 (10054)"</f>
        <v>FARMÁCIA INDIANA LJ 121 (10054)</v>
      </c>
      <c r="S12978" t="s">
        <v>77</v>
      </c>
      <c r="T12978">
        <v>22620</v>
      </c>
      <c r="U12978">
        <v>25768</v>
      </c>
      <c r="V12978" t="s">
        <v>77</v>
      </c>
    </row>
    <row r="12979" spans="1:22">
      <c r="A12979" t="str">
        <f t="shared" ref="A12979:A13042" si="2557">("27/11/2025")</f>
        <v>27/11/2025</v>
      </c>
      <c r="B12979" t="str">
        <f t="shared" ref="B12979:B13042" si="2558">"SAÍDA"</f>
        <v>SAÍDA</v>
      </c>
      <c r="C12979" t="str">
        <f t="shared" ref="C12979:C13042" si="2559">"PIX"</f>
        <v>PIX</v>
      </c>
      <c r="D12979" t="str">
        <f>"25768"</f>
        <v>25768</v>
      </c>
      <c r="E12979" t="str">
        <f t="shared" si="2553"/>
        <v>1</v>
      </c>
      <c r="F12979" t="str">
        <f t="shared" si="2555"/>
        <v>COM</v>
      </c>
      <c r="G12979" t="str">
        <f>"VITOR DE SOUZA SILVA (360)"</f>
        <v>VITOR DE SOUZA SILVA (360)</v>
      </c>
      <c r="H12979" t="s">
        <v>3524</v>
      </c>
      <c r="I12979" t="str">
        <f t="shared" ref="I12979:I13042" si="2560">("27/11/2025")</f>
        <v>27/11/2025</v>
      </c>
      <c r="J12979" t="str">
        <f t="shared" si="2556"/>
        <v>18/11/2025</v>
      </c>
      <c r="K12979">
        <v>45988</v>
      </c>
      <c r="N12979">
        <v>109</v>
      </c>
      <c r="O12979" t="s">
        <v>24</v>
      </c>
      <c r="Q12979">
        <v>233.65</v>
      </c>
      <c r="R12979" t="str">
        <f>"FARMÁCIA INDIANA LJ 128 (10057)"</f>
        <v>FARMÁCIA INDIANA LJ 128 (10057)</v>
      </c>
      <c r="S12979" t="s">
        <v>77</v>
      </c>
      <c r="T12979">
        <v>22620</v>
      </c>
      <c r="U12979">
        <v>25768</v>
      </c>
      <c r="V12979" t="s">
        <v>77</v>
      </c>
    </row>
    <row r="12980" spans="1:22">
      <c r="A12980" t="str">
        <f t="shared" si="2557"/>
        <v>27/11/2025</v>
      </c>
      <c r="B12980" t="str">
        <f t="shared" si="2558"/>
        <v>SAÍDA</v>
      </c>
      <c r="C12980" t="str">
        <f t="shared" si="2559"/>
        <v>PIX</v>
      </c>
      <c r="D12980" t="str">
        <f>"25769"</f>
        <v>25769</v>
      </c>
      <c r="E12980" t="str">
        <f t="shared" si="2553"/>
        <v>1</v>
      </c>
      <c r="F12980" t="str">
        <f t="shared" si="2555"/>
        <v>COM</v>
      </c>
      <c r="G12980" t="str">
        <f>"WAGNER DOS SANTOS LIMA (31)"</f>
        <v>WAGNER DOS SANTOS LIMA (31)</v>
      </c>
      <c r="H12980" t="str">
        <f>"Serv.Prest. 10/11/2025 a 16/11/2025 - PIX: CELULAR - CHAVE: (33) 99118-9032"</f>
        <v>Serv.Prest. 10/11/2025 a 16/11/2025 - PIX: CELULAR - CHAVE: (33) 99118-9032</v>
      </c>
      <c r="I12980" t="str">
        <f t="shared" si="2560"/>
        <v>27/11/2025</v>
      </c>
      <c r="J12980" t="str">
        <f t="shared" si="2556"/>
        <v>18/11/2025</v>
      </c>
      <c r="K12980" t="str">
        <f>("27/11/2025")</f>
        <v>27/11/2025</v>
      </c>
      <c r="L12980">
        <v>874.5</v>
      </c>
      <c r="M12980">
        <v>874.5</v>
      </c>
      <c r="N12980">
        <v>109</v>
      </c>
      <c r="O12980" t="str">
        <f>"PAGAMENTO DE ENTREGADORES"</f>
        <v>PAGAMENTO DE ENTREGADORES</v>
      </c>
      <c r="P12980">
        <v>874.5</v>
      </c>
      <c r="S12980" t="str">
        <f>"BANCO C6 (149)"</f>
        <v>BANCO C6 (149)</v>
      </c>
      <c r="T12980">
        <v>22621</v>
      </c>
      <c r="U12980">
        <v>25769</v>
      </c>
      <c r="V12980" t="s">
        <v>77</v>
      </c>
    </row>
    <row r="12981" spans="1:22">
      <c r="A12981" t="str">
        <f t="shared" si="2557"/>
        <v>27/11/2025</v>
      </c>
      <c r="B12981" t="str">
        <f t="shared" si="2558"/>
        <v>SAÍDA</v>
      </c>
      <c r="C12981" t="str">
        <f t="shared" si="2559"/>
        <v>PIX</v>
      </c>
      <c r="D12981" t="str">
        <f>"25769"</f>
        <v>25769</v>
      </c>
      <c r="E12981" t="str">
        <f t="shared" si="2553"/>
        <v>1</v>
      </c>
      <c r="F12981" t="str">
        <f t="shared" si="2555"/>
        <v>COM</v>
      </c>
      <c r="G12981" t="str">
        <f>"WAGNER DOS SANTOS LIMA (31)"</f>
        <v>WAGNER DOS SANTOS LIMA (31)</v>
      </c>
      <c r="H12981" t="s">
        <v>3525</v>
      </c>
      <c r="I12981" t="str">
        <f t="shared" si="2560"/>
        <v>27/11/2025</v>
      </c>
      <c r="J12981" t="str">
        <f t="shared" si="2556"/>
        <v>18/11/2025</v>
      </c>
      <c r="K12981">
        <v>45988</v>
      </c>
      <c r="N12981">
        <v>109</v>
      </c>
      <c r="O12981" t="s">
        <v>24</v>
      </c>
      <c r="Q12981">
        <v>874.5</v>
      </c>
      <c r="R12981" t="str">
        <f>"FARMÁCIA INDIANA LJ 61 (10027)"</f>
        <v>FARMÁCIA INDIANA LJ 61 (10027)</v>
      </c>
      <c r="S12981" t="s">
        <v>77</v>
      </c>
      <c r="T12981">
        <v>22621</v>
      </c>
      <c r="U12981">
        <v>25769</v>
      </c>
      <c r="V12981" t="s">
        <v>77</v>
      </c>
    </row>
    <row r="12982" spans="1:22">
      <c r="A12982" t="str">
        <f t="shared" si="2557"/>
        <v>27/11/2025</v>
      </c>
      <c r="B12982" t="str">
        <f t="shared" si="2558"/>
        <v>SAÍDA</v>
      </c>
      <c r="C12982" t="str">
        <f t="shared" si="2559"/>
        <v>PIX</v>
      </c>
      <c r="D12982" t="str">
        <f>"25771"</f>
        <v>25771</v>
      </c>
      <c r="E12982" t="str">
        <f t="shared" si="2553"/>
        <v>1</v>
      </c>
      <c r="F12982" t="str">
        <f t="shared" si="2555"/>
        <v>COM</v>
      </c>
      <c r="G12982" t="str">
        <f>"WARLEN JUNIO ELIAS DE OLIVEIRA (171)"</f>
        <v>WARLEN JUNIO ELIAS DE OLIVEIRA (171)</v>
      </c>
      <c r="H12982" t="str">
        <f>"Serv.Prest. 10/11/2025 a 16/11/2025 - PIX: CELULAR - CHAVE: (31) 97251-6838"</f>
        <v>Serv.Prest. 10/11/2025 a 16/11/2025 - PIX: CELULAR - CHAVE: (31) 97251-6838</v>
      </c>
      <c r="I12982" t="str">
        <f t="shared" si="2560"/>
        <v>27/11/2025</v>
      </c>
      <c r="J12982" t="str">
        <f t="shared" si="2556"/>
        <v>18/11/2025</v>
      </c>
      <c r="K12982" t="str">
        <f>("27/11/2025")</f>
        <v>27/11/2025</v>
      </c>
      <c r="L12982">
        <v>575</v>
      </c>
      <c r="M12982">
        <v>575</v>
      </c>
      <c r="N12982">
        <v>109</v>
      </c>
      <c r="O12982" t="str">
        <f>"PAGAMENTO DE ENTREGADORES"</f>
        <v>PAGAMENTO DE ENTREGADORES</v>
      </c>
      <c r="P12982">
        <v>575</v>
      </c>
      <c r="S12982" t="str">
        <f>"BANCO C6 (149)"</f>
        <v>BANCO C6 (149)</v>
      </c>
      <c r="T12982">
        <v>22622</v>
      </c>
      <c r="U12982">
        <v>25771</v>
      </c>
      <c r="V12982" t="s">
        <v>77</v>
      </c>
    </row>
    <row r="12983" spans="1:22">
      <c r="A12983" t="str">
        <f t="shared" si="2557"/>
        <v>27/11/2025</v>
      </c>
      <c r="B12983" t="str">
        <f t="shared" si="2558"/>
        <v>SAÍDA</v>
      </c>
      <c r="C12983" t="str">
        <f t="shared" si="2559"/>
        <v>PIX</v>
      </c>
      <c r="D12983" t="str">
        <f>"25771"</f>
        <v>25771</v>
      </c>
      <c r="E12983" t="str">
        <f t="shared" si="2553"/>
        <v>1</v>
      </c>
      <c r="F12983" t="str">
        <f t="shared" si="2555"/>
        <v>COM</v>
      </c>
      <c r="G12983" t="str">
        <f>"WARLEN JUNIO ELIAS DE OLIVEIRA (171)"</f>
        <v>WARLEN JUNIO ELIAS DE OLIVEIRA (171)</v>
      </c>
      <c r="H12983" t="s">
        <v>3526</v>
      </c>
      <c r="I12983" t="str">
        <f t="shared" si="2560"/>
        <v>27/11/2025</v>
      </c>
      <c r="J12983" t="str">
        <f t="shared" si="2556"/>
        <v>18/11/2025</v>
      </c>
      <c r="K12983">
        <v>45988</v>
      </c>
      <c r="N12983">
        <v>109</v>
      </c>
      <c r="O12983" t="s">
        <v>24</v>
      </c>
      <c r="Q12983">
        <v>575</v>
      </c>
      <c r="R12983" t="str">
        <f>"FARMÁCIA INDIANA LJ 175 (10076)"</f>
        <v>FARMÁCIA INDIANA LJ 175 (10076)</v>
      </c>
      <c r="S12983" t="s">
        <v>77</v>
      </c>
      <c r="T12983">
        <v>22622</v>
      </c>
      <c r="U12983">
        <v>25771</v>
      </c>
      <c r="V12983" t="s">
        <v>77</v>
      </c>
    </row>
    <row r="12984" spans="1:22">
      <c r="A12984" t="str">
        <f t="shared" si="2557"/>
        <v>27/11/2025</v>
      </c>
      <c r="B12984" t="str">
        <f t="shared" si="2558"/>
        <v>SAÍDA</v>
      </c>
      <c r="C12984" t="str">
        <f t="shared" si="2559"/>
        <v>PIX</v>
      </c>
      <c r="D12984" t="str">
        <f>"25773"</f>
        <v>25773</v>
      </c>
      <c r="E12984" t="str">
        <f t="shared" si="2553"/>
        <v>1</v>
      </c>
      <c r="F12984" t="str">
        <f t="shared" si="2555"/>
        <v>COM</v>
      </c>
      <c r="G12984" t="str">
        <f>"WELLINGTON DOS SANTOS ALVES (438)"</f>
        <v>WELLINGTON DOS SANTOS ALVES (438)</v>
      </c>
      <c r="H12984" t="str">
        <f>"Serv.Prest. 10/11/2025 a 16/11/2025 - PIX: CELULAR - CHAVE: (32) 99800-1691"</f>
        <v>Serv.Prest. 10/11/2025 a 16/11/2025 - PIX: CELULAR - CHAVE: (32) 99800-1691</v>
      </c>
      <c r="I12984" t="str">
        <f t="shared" si="2560"/>
        <v>27/11/2025</v>
      </c>
      <c r="J12984" t="str">
        <f t="shared" si="2556"/>
        <v>18/11/2025</v>
      </c>
      <c r="K12984" t="str">
        <f>("27/11/2025")</f>
        <v>27/11/2025</v>
      </c>
      <c r="L12984">
        <v>700.8</v>
      </c>
      <c r="M12984">
        <v>700.8</v>
      </c>
      <c r="N12984">
        <v>109</v>
      </c>
      <c r="O12984" t="str">
        <f>"PAGAMENTO DE ENTREGADORES"</f>
        <v>PAGAMENTO DE ENTREGADORES</v>
      </c>
      <c r="P12984">
        <v>700.8</v>
      </c>
      <c r="S12984" t="str">
        <f>"BANCO C6 (149)"</f>
        <v>BANCO C6 (149)</v>
      </c>
      <c r="T12984">
        <v>22623</v>
      </c>
      <c r="U12984">
        <v>25773</v>
      </c>
      <c r="V12984" t="s">
        <v>77</v>
      </c>
    </row>
    <row r="12985" spans="1:22">
      <c r="A12985" t="str">
        <f t="shared" si="2557"/>
        <v>27/11/2025</v>
      </c>
      <c r="B12985" t="str">
        <f t="shared" si="2558"/>
        <v>SAÍDA</v>
      </c>
      <c r="C12985" t="str">
        <f t="shared" si="2559"/>
        <v>PIX</v>
      </c>
      <c r="D12985" t="str">
        <f>"25773"</f>
        <v>25773</v>
      </c>
      <c r="E12985" t="str">
        <f t="shared" si="2553"/>
        <v>1</v>
      </c>
      <c r="F12985" t="str">
        <f t="shared" si="2555"/>
        <v>COM</v>
      </c>
      <c r="G12985" t="str">
        <f>"WELLINGTON DOS SANTOS ALVES (438)"</f>
        <v>WELLINGTON DOS SANTOS ALVES (438)</v>
      </c>
      <c r="H12985" t="s">
        <v>3527</v>
      </c>
      <c r="I12985" t="str">
        <f t="shared" si="2560"/>
        <v>27/11/2025</v>
      </c>
      <c r="J12985" t="str">
        <f t="shared" si="2556"/>
        <v>18/11/2025</v>
      </c>
      <c r="K12985">
        <v>45988</v>
      </c>
      <c r="N12985">
        <v>109</v>
      </c>
      <c r="O12985" t="s">
        <v>24</v>
      </c>
      <c r="Q12985">
        <v>700.8</v>
      </c>
      <c r="R12985" t="str">
        <f>"FARMÁCIA INDIANA LJ 112 (10050)"</f>
        <v>FARMÁCIA INDIANA LJ 112 (10050)</v>
      </c>
      <c r="S12985" t="s">
        <v>77</v>
      </c>
      <c r="T12985">
        <v>22623</v>
      </c>
      <c r="U12985">
        <v>25773</v>
      </c>
      <c r="V12985" t="s">
        <v>77</v>
      </c>
    </row>
    <row r="12986" spans="1:22">
      <c r="A12986" t="str">
        <f t="shared" si="2557"/>
        <v>27/11/2025</v>
      </c>
      <c r="B12986" t="str">
        <f t="shared" si="2558"/>
        <v>SAÍDA</v>
      </c>
      <c r="C12986" t="str">
        <f t="shared" si="2559"/>
        <v>PIX</v>
      </c>
      <c r="D12986" t="str">
        <f>"25774"</f>
        <v>25774</v>
      </c>
      <c r="E12986" t="str">
        <f t="shared" si="2553"/>
        <v>1</v>
      </c>
      <c r="F12986" t="str">
        <f t="shared" si="2555"/>
        <v>COM</v>
      </c>
      <c r="G12986" t="str">
        <f>"WELVES DA SILVA RAMOS (194)"</f>
        <v>WELVES DA SILVA RAMOS (194)</v>
      </c>
      <c r="H12986" t="str">
        <f>"Serv.Prest. 10/11/2025 a 16/11/2025 - PIX: CPF - CHAVE: 700.454.836-80"</f>
        <v>Serv.Prest. 10/11/2025 a 16/11/2025 - PIX: CPF - CHAVE: 700.454.836-80</v>
      </c>
      <c r="I12986" t="str">
        <f t="shared" si="2560"/>
        <v>27/11/2025</v>
      </c>
      <c r="J12986" t="str">
        <f t="shared" si="2556"/>
        <v>18/11/2025</v>
      </c>
      <c r="K12986" t="str">
        <f>("27/11/2025")</f>
        <v>27/11/2025</v>
      </c>
      <c r="L12986">
        <v>1620</v>
      </c>
      <c r="M12986">
        <v>1620</v>
      </c>
      <c r="N12986">
        <v>109</v>
      </c>
      <c r="O12986" t="str">
        <f>"PAGAMENTO DE ENTREGADORES"</f>
        <v>PAGAMENTO DE ENTREGADORES</v>
      </c>
      <c r="P12986">
        <v>1620</v>
      </c>
      <c r="S12986" t="str">
        <f>"BANCO C6 (149)"</f>
        <v>BANCO C6 (149)</v>
      </c>
      <c r="T12986">
        <v>22624</v>
      </c>
      <c r="U12986">
        <v>25774</v>
      </c>
      <c r="V12986" t="s">
        <v>77</v>
      </c>
    </row>
    <row r="12987" spans="1:22">
      <c r="A12987" t="str">
        <f t="shared" si="2557"/>
        <v>27/11/2025</v>
      </c>
      <c r="B12987" t="str">
        <f t="shared" si="2558"/>
        <v>SAÍDA</v>
      </c>
      <c r="C12987" t="str">
        <f t="shared" si="2559"/>
        <v>PIX</v>
      </c>
      <c r="D12987" t="str">
        <f>"25774"</f>
        <v>25774</v>
      </c>
      <c r="E12987" t="str">
        <f t="shared" si="2553"/>
        <v>1</v>
      </c>
      <c r="F12987" t="str">
        <f t="shared" si="2555"/>
        <v>COM</v>
      </c>
      <c r="G12987" t="str">
        <f>"WELVES DA SILVA RAMOS (194)"</f>
        <v>WELVES DA SILVA RAMOS (194)</v>
      </c>
      <c r="H12987" t="s">
        <v>3528</v>
      </c>
      <c r="I12987" t="str">
        <f t="shared" si="2560"/>
        <v>27/11/2025</v>
      </c>
      <c r="J12987" t="str">
        <f t="shared" si="2556"/>
        <v>18/11/2025</v>
      </c>
      <c r="K12987">
        <v>45988</v>
      </c>
      <c r="N12987">
        <v>109</v>
      </c>
      <c r="O12987" t="s">
        <v>24</v>
      </c>
      <c r="Q12987">
        <v>1620</v>
      </c>
      <c r="R12987" t="str">
        <f>"FARMÁCIA INDIANA LJ 06 (10006)"</f>
        <v>FARMÁCIA INDIANA LJ 06 (10006)</v>
      </c>
      <c r="S12987" t="s">
        <v>77</v>
      </c>
      <c r="T12987">
        <v>22624</v>
      </c>
      <c r="U12987">
        <v>25774</v>
      </c>
      <c r="V12987" t="s">
        <v>77</v>
      </c>
    </row>
    <row r="12988" spans="1:22">
      <c r="A12988" t="str">
        <f t="shared" si="2557"/>
        <v>27/11/2025</v>
      </c>
      <c r="B12988" t="str">
        <f t="shared" si="2558"/>
        <v>SAÍDA</v>
      </c>
      <c r="C12988" t="str">
        <f t="shared" si="2559"/>
        <v>PIX</v>
      </c>
      <c r="D12988" t="str">
        <f>"25775"</f>
        <v>25775</v>
      </c>
      <c r="E12988" t="str">
        <f t="shared" si="2553"/>
        <v>1</v>
      </c>
      <c r="F12988" t="str">
        <f t="shared" si="2555"/>
        <v>COM</v>
      </c>
      <c r="G12988" t="str">
        <f>"WEMERSON FELIPE LOPES (187)"</f>
        <v>WEMERSON FELIPE LOPES (187)</v>
      </c>
      <c r="H12988" t="str">
        <f>"Serv.Prest. 10/11/2025 a 16/11/2025 - PIX: CELULAR - CHAVE: (33) 98806-5772"</f>
        <v>Serv.Prest. 10/11/2025 a 16/11/2025 - PIX: CELULAR - CHAVE: (33) 98806-5772</v>
      </c>
      <c r="I12988" t="str">
        <f t="shared" si="2560"/>
        <v>27/11/2025</v>
      </c>
      <c r="J12988" t="str">
        <f t="shared" si="2556"/>
        <v>18/11/2025</v>
      </c>
      <c r="K12988" t="str">
        <f>("27/11/2025")</f>
        <v>27/11/2025</v>
      </c>
      <c r="L12988">
        <v>1080</v>
      </c>
      <c r="M12988">
        <v>1080</v>
      </c>
      <c r="N12988">
        <v>109</v>
      </c>
      <c r="O12988" t="str">
        <f>"PAGAMENTO DE ENTREGADORES"</f>
        <v>PAGAMENTO DE ENTREGADORES</v>
      </c>
      <c r="P12988">
        <v>1080</v>
      </c>
      <c r="S12988" t="str">
        <f>"BANCO C6 (149)"</f>
        <v>BANCO C6 (149)</v>
      </c>
      <c r="T12988">
        <v>22625</v>
      </c>
      <c r="U12988">
        <v>25775</v>
      </c>
      <c r="V12988" t="s">
        <v>77</v>
      </c>
    </row>
    <row r="12989" spans="1:22">
      <c r="A12989" t="str">
        <f t="shared" si="2557"/>
        <v>27/11/2025</v>
      </c>
      <c r="B12989" t="str">
        <f t="shared" si="2558"/>
        <v>SAÍDA</v>
      </c>
      <c r="C12989" t="str">
        <f t="shared" si="2559"/>
        <v>PIX</v>
      </c>
      <c r="D12989" t="str">
        <f>"25775"</f>
        <v>25775</v>
      </c>
      <c r="E12989" t="str">
        <f t="shared" si="2553"/>
        <v>1</v>
      </c>
      <c r="F12989" t="str">
        <f t="shared" si="2555"/>
        <v>COM</v>
      </c>
      <c r="G12989" t="str">
        <f>"WEMERSON FELIPE LOPES (187)"</f>
        <v>WEMERSON FELIPE LOPES (187)</v>
      </c>
      <c r="H12989" t="s">
        <v>3529</v>
      </c>
      <c r="I12989" t="str">
        <f t="shared" si="2560"/>
        <v>27/11/2025</v>
      </c>
      <c r="J12989" t="str">
        <f t="shared" si="2556"/>
        <v>18/11/2025</v>
      </c>
      <c r="K12989">
        <v>45988</v>
      </c>
      <c r="N12989">
        <v>109</v>
      </c>
      <c r="O12989" t="s">
        <v>24</v>
      </c>
      <c r="Q12989">
        <v>1080</v>
      </c>
      <c r="R12989" t="str">
        <f>"FARMÁCIA INDIANA LJ 06 (10006)"</f>
        <v>FARMÁCIA INDIANA LJ 06 (10006)</v>
      </c>
      <c r="S12989" t="s">
        <v>77</v>
      </c>
      <c r="T12989">
        <v>22625</v>
      </c>
      <c r="U12989">
        <v>25775</v>
      </c>
      <c r="V12989" t="s">
        <v>77</v>
      </c>
    </row>
    <row r="12990" spans="1:22">
      <c r="A12990" t="str">
        <f t="shared" si="2557"/>
        <v>27/11/2025</v>
      </c>
      <c r="B12990" t="str">
        <f t="shared" si="2558"/>
        <v>SAÍDA</v>
      </c>
      <c r="C12990" t="str">
        <f t="shared" si="2559"/>
        <v>PIX</v>
      </c>
      <c r="D12990" t="str">
        <f>"25776"</f>
        <v>25776</v>
      </c>
      <c r="E12990" t="str">
        <f t="shared" si="2553"/>
        <v>1</v>
      </c>
      <c r="F12990" t="str">
        <f t="shared" si="2555"/>
        <v>COM</v>
      </c>
      <c r="G12990" t="str">
        <f>"WEMERSON MOREIRA PESSOA (75)"</f>
        <v>WEMERSON MOREIRA PESSOA (75)</v>
      </c>
      <c r="H12990" t="str">
        <f>"Serv.Prest. 10/11/2025 a 16/11/2025 - PIX: CELULAR - CHAVE: (33) 99996-3668"</f>
        <v>Serv.Prest. 10/11/2025 a 16/11/2025 - PIX: CELULAR - CHAVE: (33) 99996-3668</v>
      </c>
      <c r="I12990" t="str">
        <f t="shared" si="2560"/>
        <v>27/11/2025</v>
      </c>
      <c r="J12990" t="str">
        <f t="shared" si="2556"/>
        <v>18/11/2025</v>
      </c>
      <c r="K12990" t="str">
        <f>("27/11/2025")</f>
        <v>27/11/2025</v>
      </c>
      <c r="L12990">
        <v>528</v>
      </c>
      <c r="M12990">
        <v>528</v>
      </c>
      <c r="N12990">
        <v>109</v>
      </c>
      <c r="O12990" t="str">
        <f>"PAGAMENTO DE ENTREGADORES"</f>
        <v>PAGAMENTO DE ENTREGADORES</v>
      </c>
      <c r="P12990">
        <v>528</v>
      </c>
      <c r="S12990" t="str">
        <f>"BANCO C6 (149)"</f>
        <v>BANCO C6 (149)</v>
      </c>
      <c r="T12990">
        <v>22626</v>
      </c>
      <c r="U12990">
        <v>25776</v>
      </c>
      <c r="V12990" t="s">
        <v>77</v>
      </c>
    </row>
    <row r="12991" spans="1:22">
      <c r="A12991" t="str">
        <f t="shared" si="2557"/>
        <v>27/11/2025</v>
      </c>
      <c r="B12991" t="str">
        <f t="shared" si="2558"/>
        <v>SAÍDA</v>
      </c>
      <c r="C12991" t="str">
        <f t="shared" si="2559"/>
        <v>PIX</v>
      </c>
      <c r="D12991" t="str">
        <f>"25776"</f>
        <v>25776</v>
      </c>
      <c r="E12991" t="str">
        <f t="shared" si="2553"/>
        <v>1</v>
      </c>
      <c r="F12991" t="str">
        <f t="shared" si="2555"/>
        <v>COM</v>
      </c>
      <c r="G12991" t="str">
        <f>"WEMERSON MOREIRA PESSOA (75)"</f>
        <v>WEMERSON MOREIRA PESSOA (75)</v>
      </c>
      <c r="H12991" t="s">
        <v>3530</v>
      </c>
      <c r="I12991" t="str">
        <f t="shared" si="2560"/>
        <v>27/11/2025</v>
      </c>
      <c r="J12991" t="str">
        <f t="shared" si="2556"/>
        <v>18/11/2025</v>
      </c>
      <c r="K12991">
        <v>45988</v>
      </c>
      <c r="N12991">
        <v>109</v>
      </c>
      <c r="O12991" t="s">
        <v>24</v>
      </c>
      <c r="Q12991">
        <v>528</v>
      </c>
      <c r="R12991" t="str">
        <f>"FARMÁCIA INDIANA LJ 07 (10007)"</f>
        <v>FARMÁCIA INDIANA LJ 07 (10007)</v>
      </c>
      <c r="S12991" t="s">
        <v>77</v>
      </c>
      <c r="T12991">
        <v>22626</v>
      </c>
      <c r="U12991">
        <v>25776</v>
      </c>
      <c r="V12991" t="s">
        <v>77</v>
      </c>
    </row>
    <row r="12992" spans="1:22">
      <c r="A12992" t="str">
        <f t="shared" si="2557"/>
        <v>27/11/2025</v>
      </c>
      <c r="B12992" t="str">
        <f t="shared" si="2558"/>
        <v>SAÍDA</v>
      </c>
      <c r="C12992" t="str">
        <f t="shared" si="2559"/>
        <v>PIX</v>
      </c>
      <c r="D12992" t="str">
        <f>"25777"</f>
        <v>25777</v>
      </c>
      <c r="E12992" t="str">
        <f t="shared" si="2553"/>
        <v>1</v>
      </c>
      <c r="F12992" t="str">
        <f t="shared" si="2555"/>
        <v>COM</v>
      </c>
      <c r="G12992" t="str">
        <f>"WENDEL LIMA DE SOUZA (112)"</f>
        <v>WENDEL LIMA DE SOUZA (112)</v>
      </c>
      <c r="H12992" t="str">
        <f>"Serv.Prest. 10/11/2025 a 16/11/2025 - PIX: CPF - CHAVE: 012.906.122-00"</f>
        <v>Serv.Prest. 10/11/2025 a 16/11/2025 - PIX: CPF - CHAVE: 012.906.122-00</v>
      </c>
      <c r="I12992" t="str">
        <f t="shared" si="2560"/>
        <v>27/11/2025</v>
      </c>
      <c r="J12992" t="str">
        <f t="shared" si="2556"/>
        <v>18/11/2025</v>
      </c>
      <c r="K12992" t="str">
        <f>("27/11/2025")</f>
        <v>27/11/2025</v>
      </c>
      <c r="L12992">
        <v>1098</v>
      </c>
      <c r="M12992">
        <v>1098</v>
      </c>
      <c r="N12992">
        <v>109</v>
      </c>
      <c r="O12992" t="str">
        <f>"PAGAMENTO DE ENTREGADORES"</f>
        <v>PAGAMENTO DE ENTREGADORES</v>
      </c>
      <c r="P12992">
        <v>1098</v>
      </c>
      <c r="S12992" t="str">
        <f>"BANCO C6 (149)"</f>
        <v>BANCO C6 (149)</v>
      </c>
      <c r="T12992">
        <v>22627</v>
      </c>
      <c r="U12992">
        <v>25777</v>
      </c>
      <c r="V12992" t="s">
        <v>77</v>
      </c>
    </row>
    <row r="12993" spans="1:22">
      <c r="A12993" t="str">
        <f t="shared" si="2557"/>
        <v>27/11/2025</v>
      </c>
      <c r="B12993" t="str">
        <f t="shared" si="2558"/>
        <v>SAÍDA</v>
      </c>
      <c r="C12993" t="str">
        <f t="shared" si="2559"/>
        <v>PIX</v>
      </c>
      <c r="D12993" t="str">
        <f>"25777"</f>
        <v>25777</v>
      </c>
      <c r="E12993" t="str">
        <f t="shared" si="2553"/>
        <v>1</v>
      </c>
      <c r="F12993" t="str">
        <f t="shared" si="2555"/>
        <v>COM</v>
      </c>
      <c r="G12993" t="str">
        <f>"WENDEL LIMA DE SOUZA (112)"</f>
        <v>WENDEL LIMA DE SOUZA (112)</v>
      </c>
      <c r="H12993" t="s">
        <v>3531</v>
      </c>
      <c r="I12993" t="str">
        <f t="shared" si="2560"/>
        <v>27/11/2025</v>
      </c>
      <c r="J12993" t="str">
        <f t="shared" si="2556"/>
        <v>18/11/2025</v>
      </c>
      <c r="K12993">
        <v>45988</v>
      </c>
      <c r="N12993">
        <v>109</v>
      </c>
      <c r="O12993" t="s">
        <v>24</v>
      </c>
      <c r="Q12993">
        <v>1050.02</v>
      </c>
      <c r="R12993" t="str">
        <f>"FARMÁCIA INDIANA LJ 11 (10008)"</f>
        <v>FARMÁCIA INDIANA LJ 11 (10008)</v>
      </c>
      <c r="S12993" t="s">
        <v>77</v>
      </c>
      <c r="T12993">
        <v>22627</v>
      </c>
      <c r="U12993">
        <v>25777</v>
      </c>
      <c r="V12993" t="s">
        <v>77</v>
      </c>
    </row>
    <row r="12994" spans="1:22">
      <c r="A12994" t="str">
        <f t="shared" si="2557"/>
        <v>27/11/2025</v>
      </c>
      <c r="B12994" t="str">
        <f t="shared" si="2558"/>
        <v>SAÍDA</v>
      </c>
      <c r="C12994" t="str">
        <f t="shared" si="2559"/>
        <v>PIX</v>
      </c>
      <c r="D12994" t="str">
        <f>"25777"</f>
        <v>25777</v>
      </c>
      <c r="E12994" t="str">
        <f t="shared" si="2553"/>
        <v>1</v>
      </c>
      <c r="F12994" t="str">
        <f t="shared" si="2555"/>
        <v>COM</v>
      </c>
      <c r="G12994" t="str">
        <f>"WENDEL LIMA DE SOUZA (112)"</f>
        <v>WENDEL LIMA DE SOUZA (112)</v>
      </c>
      <c r="H12994" t="s">
        <v>3531</v>
      </c>
      <c r="I12994" t="str">
        <f t="shared" si="2560"/>
        <v>27/11/2025</v>
      </c>
      <c r="J12994" t="str">
        <f t="shared" si="2556"/>
        <v>18/11/2025</v>
      </c>
      <c r="K12994">
        <v>45988</v>
      </c>
      <c r="N12994">
        <v>109</v>
      </c>
      <c r="O12994" t="s">
        <v>24</v>
      </c>
      <c r="Q12994">
        <v>47.98</v>
      </c>
      <c r="R12994" t="str">
        <f>"FARMÁCIA INDIANA LJ 172 (10161)"</f>
        <v>FARMÁCIA INDIANA LJ 172 (10161)</v>
      </c>
      <c r="S12994" t="s">
        <v>77</v>
      </c>
      <c r="T12994">
        <v>22627</v>
      </c>
      <c r="U12994">
        <v>25777</v>
      </c>
      <c r="V12994" t="s">
        <v>77</v>
      </c>
    </row>
    <row r="12995" spans="1:22">
      <c r="A12995" t="str">
        <f t="shared" si="2557"/>
        <v>27/11/2025</v>
      </c>
      <c r="B12995" t="str">
        <f t="shared" si="2558"/>
        <v>SAÍDA</v>
      </c>
      <c r="C12995" t="str">
        <f t="shared" si="2559"/>
        <v>PIX</v>
      </c>
      <c r="D12995" t="str">
        <f>"25778"</f>
        <v>25778</v>
      </c>
      <c r="E12995" t="str">
        <f t="shared" si="2553"/>
        <v>1</v>
      </c>
      <c r="F12995" t="str">
        <f t="shared" si="2555"/>
        <v>COM</v>
      </c>
      <c r="G12995" t="str">
        <f>"WILIAN ROSA VIEIRA (488)"</f>
        <v>WILIAN ROSA VIEIRA (488)</v>
      </c>
      <c r="H12995" t="str">
        <f>"Serv.Prest. 10/11/2025 a 16/11/2025 - PIX: E-MAIL - CHAVE: wilianvieirawrv3578@gmail.com"</f>
        <v>Serv.Prest. 10/11/2025 a 16/11/2025 - PIX: E-MAIL - CHAVE: wilianvieirawrv3578@gmail.com</v>
      </c>
      <c r="I12995" t="str">
        <f t="shared" si="2560"/>
        <v>27/11/2025</v>
      </c>
      <c r="J12995" t="str">
        <f t="shared" si="2556"/>
        <v>18/11/2025</v>
      </c>
      <c r="K12995" t="str">
        <f>("27/11/2025")</f>
        <v>27/11/2025</v>
      </c>
      <c r="L12995">
        <v>708</v>
      </c>
      <c r="M12995">
        <v>708</v>
      </c>
      <c r="N12995">
        <v>109</v>
      </c>
      <c r="O12995" t="str">
        <f>"PAGAMENTO DE ENTREGADORES"</f>
        <v>PAGAMENTO DE ENTREGADORES</v>
      </c>
      <c r="P12995">
        <v>708</v>
      </c>
      <c r="S12995" t="str">
        <f>"BANCO C6 (149)"</f>
        <v>BANCO C6 (149)</v>
      </c>
      <c r="T12995">
        <v>22628</v>
      </c>
      <c r="U12995">
        <v>25778</v>
      </c>
      <c r="V12995" t="s">
        <v>77</v>
      </c>
    </row>
    <row r="12996" spans="1:22">
      <c r="A12996" t="str">
        <f t="shared" si="2557"/>
        <v>27/11/2025</v>
      </c>
      <c r="B12996" t="str">
        <f t="shared" si="2558"/>
        <v>SAÍDA</v>
      </c>
      <c r="C12996" t="str">
        <f t="shared" si="2559"/>
        <v>PIX</v>
      </c>
      <c r="D12996" t="str">
        <f>"25778"</f>
        <v>25778</v>
      </c>
      <c r="E12996" t="str">
        <f t="shared" ref="E12996:E13059" si="2561">"1"</f>
        <v>1</v>
      </c>
      <c r="F12996" t="str">
        <f t="shared" si="2555"/>
        <v>COM</v>
      </c>
      <c r="G12996" t="str">
        <f>"WILIAN ROSA VIEIRA (488)"</f>
        <v>WILIAN ROSA VIEIRA (488)</v>
      </c>
      <c r="H12996" t="s">
        <v>3532</v>
      </c>
      <c r="I12996" t="str">
        <f t="shared" si="2560"/>
        <v>27/11/2025</v>
      </c>
      <c r="J12996" t="str">
        <f t="shared" ref="J12996:J13027" si="2562">("18/11/2025")</f>
        <v>18/11/2025</v>
      </c>
      <c r="K12996">
        <v>45988</v>
      </c>
      <c r="N12996">
        <v>109</v>
      </c>
      <c r="O12996" t="s">
        <v>24</v>
      </c>
      <c r="Q12996">
        <v>389.96</v>
      </c>
      <c r="R12996" t="str">
        <f>"FARMÁCIA INDIANA LJ 103 (10044)"</f>
        <v>FARMÁCIA INDIANA LJ 103 (10044)</v>
      </c>
      <c r="S12996" t="s">
        <v>77</v>
      </c>
      <c r="T12996">
        <v>22628</v>
      </c>
      <c r="U12996">
        <v>25778</v>
      </c>
      <c r="V12996" t="s">
        <v>77</v>
      </c>
    </row>
    <row r="12997" spans="1:22">
      <c r="A12997" t="str">
        <f t="shared" si="2557"/>
        <v>27/11/2025</v>
      </c>
      <c r="B12997" t="str">
        <f t="shared" si="2558"/>
        <v>SAÍDA</v>
      </c>
      <c r="C12997" t="str">
        <f t="shared" si="2559"/>
        <v>PIX</v>
      </c>
      <c r="D12997" t="str">
        <f>"25778"</f>
        <v>25778</v>
      </c>
      <c r="E12997" t="str">
        <f t="shared" si="2561"/>
        <v>1</v>
      </c>
      <c r="F12997" t="str">
        <f t="shared" si="2555"/>
        <v>COM</v>
      </c>
      <c r="G12997" t="str">
        <f>"WILIAN ROSA VIEIRA (488)"</f>
        <v>WILIAN ROSA VIEIRA (488)</v>
      </c>
      <c r="H12997" t="s">
        <v>3532</v>
      </c>
      <c r="I12997" t="str">
        <f t="shared" si="2560"/>
        <v>27/11/2025</v>
      </c>
      <c r="J12997" t="str">
        <f t="shared" si="2562"/>
        <v>18/11/2025</v>
      </c>
      <c r="K12997">
        <v>45988</v>
      </c>
      <c r="N12997">
        <v>109</v>
      </c>
      <c r="O12997" t="s">
        <v>24</v>
      </c>
      <c r="Q12997">
        <v>174.03</v>
      </c>
      <c r="R12997" t="str">
        <f>"FARMÁCIA INDIANA LJ 140 (10064)"</f>
        <v>FARMÁCIA INDIANA LJ 140 (10064)</v>
      </c>
      <c r="S12997" t="s">
        <v>77</v>
      </c>
      <c r="T12997">
        <v>22628</v>
      </c>
      <c r="U12997">
        <v>25778</v>
      </c>
      <c r="V12997" t="s">
        <v>77</v>
      </c>
    </row>
    <row r="12998" spans="1:22">
      <c r="A12998" t="str">
        <f t="shared" si="2557"/>
        <v>27/11/2025</v>
      </c>
      <c r="B12998" t="str">
        <f t="shared" si="2558"/>
        <v>SAÍDA</v>
      </c>
      <c r="C12998" t="str">
        <f t="shared" si="2559"/>
        <v>PIX</v>
      </c>
      <c r="D12998" t="str">
        <f>"25778"</f>
        <v>25778</v>
      </c>
      <c r="E12998" t="str">
        <f t="shared" si="2561"/>
        <v>1</v>
      </c>
      <c r="F12998" t="str">
        <f t="shared" si="2555"/>
        <v>COM</v>
      </c>
      <c r="G12998" t="str">
        <f>"WILIAN ROSA VIEIRA (488)"</f>
        <v>WILIAN ROSA VIEIRA (488)</v>
      </c>
      <c r="H12998" t="s">
        <v>3532</v>
      </c>
      <c r="I12998" t="str">
        <f t="shared" si="2560"/>
        <v>27/11/2025</v>
      </c>
      <c r="J12998" t="str">
        <f t="shared" si="2562"/>
        <v>18/11/2025</v>
      </c>
      <c r="K12998">
        <v>45988</v>
      </c>
      <c r="N12998">
        <v>109</v>
      </c>
      <c r="O12998" t="s">
        <v>24</v>
      </c>
      <c r="Q12998">
        <v>54.02</v>
      </c>
      <c r="R12998" t="str">
        <f>"FARMÁCIA INDIANA LJ 141 (10065)"</f>
        <v>FARMÁCIA INDIANA LJ 141 (10065)</v>
      </c>
      <c r="S12998" t="s">
        <v>77</v>
      </c>
      <c r="T12998">
        <v>22628</v>
      </c>
      <c r="U12998">
        <v>25778</v>
      </c>
      <c r="V12998" t="s">
        <v>77</v>
      </c>
    </row>
    <row r="12999" spans="1:22">
      <c r="A12999" t="str">
        <f t="shared" si="2557"/>
        <v>27/11/2025</v>
      </c>
      <c r="B12999" t="str">
        <f t="shared" si="2558"/>
        <v>SAÍDA</v>
      </c>
      <c r="C12999" t="str">
        <f t="shared" si="2559"/>
        <v>PIX</v>
      </c>
      <c r="D12999" t="str">
        <f>"25778"</f>
        <v>25778</v>
      </c>
      <c r="E12999" t="str">
        <f t="shared" si="2561"/>
        <v>1</v>
      </c>
      <c r="F12999" t="str">
        <f t="shared" si="2555"/>
        <v>COM</v>
      </c>
      <c r="G12999" t="str">
        <f>"WILIAN ROSA VIEIRA (488)"</f>
        <v>WILIAN ROSA VIEIRA (488)</v>
      </c>
      <c r="H12999" t="s">
        <v>3532</v>
      </c>
      <c r="I12999" t="str">
        <f t="shared" si="2560"/>
        <v>27/11/2025</v>
      </c>
      <c r="J12999" t="str">
        <f t="shared" si="2562"/>
        <v>18/11/2025</v>
      </c>
      <c r="K12999">
        <v>45988</v>
      </c>
      <c r="N12999">
        <v>109</v>
      </c>
      <c r="O12999" t="s">
        <v>24</v>
      </c>
      <c r="Q12999">
        <v>89.99</v>
      </c>
      <c r="R12999" t="str">
        <f>"FARMÁCIA INDIANA LJ 154 (10070)"</f>
        <v>FARMÁCIA INDIANA LJ 154 (10070)</v>
      </c>
      <c r="S12999" t="s">
        <v>77</v>
      </c>
      <c r="T12999">
        <v>22628</v>
      </c>
      <c r="U12999">
        <v>25778</v>
      </c>
      <c r="V12999" t="s">
        <v>77</v>
      </c>
    </row>
    <row r="13000" spans="1:22">
      <c r="A13000" t="str">
        <f t="shared" si="2557"/>
        <v>27/11/2025</v>
      </c>
      <c r="B13000" t="str">
        <f t="shared" si="2558"/>
        <v>SAÍDA</v>
      </c>
      <c r="C13000" t="str">
        <f t="shared" si="2559"/>
        <v>PIX</v>
      </c>
      <c r="D13000" t="str">
        <f>"25779"</f>
        <v>25779</v>
      </c>
      <c r="E13000" t="str">
        <f t="shared" si="2561"/>
        <v>1</v>
      </c>
      <c r="F13000" t="str">
        <f t="shared" si="2555"/>
        <v>COM</v>
      </c>
      <c r="G13000" t="str">
        <f>"YAN EVERTON RODRIGUES DE LIMA (875)"</f>
        <v>YAN EVERTON RODRIGUES DE LIMA (875)</v>
      </c>
      <c r="H13000" t="str">
        <f>"Serv.Prest. 10/11/2025 a 16/11/2025 - PIX: CELULAR - CHAVE: (33) 99859-8751"</f>
        <v>Serv.Prest. 10/11/2025 a 16/11/2025 - PIX: CELULAR - CHAVE: (33) 99859-8751</v>
      </c>
      <c r="I13000" t="str">
        <f t="shared" si="2560"/>
        <v>27/11/2025</v>
      </c>
      <c r="J13000" t="str">
        <f t="shared" si="2562"/>
        <v>18/11/2025</v>
      </c>
      <c r="K13000" t="str">
        <f>("27/11/2025")</f>
        <v>27/11/2025</v>
      </c>
      <c r="L13000">
        <v>1080</v>
      </c>
      <c r="M13000">
        <v>1080</v>
      </c>
      <c r="N13000">
        <v>109</v>
      </c>
      <c r="O13000" t="str">
        <f>"PAGAMENTO DE ENTREGADORES"</f>
        <v>PAGAMENTO DE ENTREGADORES</v>
      </c>
      <c r="P13000">
        <v>1080</v>
      </c>
      <c r="S13000" t="str">
        <f>"BANCO C6 (149)"</f>
        <v>BANCO C6 (149)</v>
      </c>
      <c r="T13000">
        <v>22629</v>
      </c>
      <c r="U13000">
        <v>25779</v>
      </c>
      <c r="V13000" t="s">
        <v>77</v>
      </c>
    </row>
    <row r="13001" spans="1:22">
      <c r="A13001" t="str">
        <f t="shared" si="2557"/>
        <v>27/11/2025</v>
      </c>
      <c r="B13001" t="str">
        <f t="shared" si="2558"/>
        <v>SAÍDA</v>
      </c>
      <c r="C13001" t="str">
        <f t="shared" si="2559"/>
        <v>PIX</v>
      </c>
      <c r="D13001" t="str">
        <f>"25779"</f>
        <v>25779</v>
      </c>
      <c r="E13001" t="str">
        <f t="shared" si="2561"/>
        <v>1</v>
      </c>
      <c r="F13001" t="str">
        <f t="shared" si="2555"/>
        <v>COM</v>
      </c>
      <c r="G13001" t="str">
        <f>"YAN EVERTON RODRIGUES DE LIMA (875)"</f>
        <v>YAN EVERTON RODRIGUES DE LIMA (875)</v>
      </c>
      <c r="H13001" t="s">
        <v>3533</v>
      </c>
      <c r="I13001" t="str">
        <f t="shared" si="2560"/>
        <v>27/11/2025</v>
      </c>
      <c r="J13001" t="str">
        <f t="shared" si="2562"/>
        <v>18/11/2025</v>
      </c>
      <c r="K13001">
        <v>45988</v>
      </c>
      <c r="N13001">
        <v>109</v>
      </c>
      <c r="O13001" t="s">
        <v>24</v>
      </c>
      <c r="Q13001">
        <v>1080</v>
      </c>
      <c r="R13001" t="str">
        <f>"FARMÁCIA INDIANA LJ 06 (10006)"</f>
        <v>FARMÁCIA INDIANA LJ 06 (10006)</v>
      </c>
      <c r="S13001" t="s">
        <v>77</v>
      </c>
      <c r="T13001">
        <v>22629</v>
      </c>
      <c r="U13001">
        <v>25779</v>
      </c>
      <c r="V13001" t="s">
        <v>77</v>
      </c>
    </row>
    <row r="13002" spans="1:22">
      <c r="A13002" t="str">
        <f t="shared" si="2557"/>
        <v>27/11/2025</v>
      </c>
      <c r="B13002" t="str">
        <f t="shared" si="2558"/>
        <v>SAÍDA</v>
      </c>
      <c r="C13002" t="str">
        <f t="shared" si="2559"/>
        <v>PIX</v>
      </c>
      <c r="D13002" t="str">
        <f>"25789"</f>
        <v>25789</v>
      </c>
      <c r="E13002" t="str">
        <f t="shared" si="2561"/>
        <v>1</v>
      </c>
      <c r="F13002" t="str">
        <f t="shared" si="2555"/>
        <v>COM</v>
      </c>
      <c r="G13002" t="str">
        <f>"CARLOS ALBERTO DE JESUS SANTOS (110)"</f>
        <v>CARLOS ALBERTO DE JESUS SANTOS (110)</v>
      </c>
      <c r="H13002" t="str">
        <f>"Serv.Prest. 10/11/2025 a 16/11/2025 - PIX: CPF - CHAVE: 036.875.515-04"</f>
        <v>Serv.Prest. 10/11/2025 a 16/11/2025 - PIX: CPF - CHAVE: 036.875.515-04</v>
      </c>
      <c r="I13002" t="str">
        <f t="shared" si="2560"/>
        <v>27/11/2025</v>
      </c>
      <c r="J13002" t="str">
        <f t="shared" si="2562"/>
        <v>18/11/2025</v>
      </c>
      <c r="K13002" t="str">
        <f>("27/11/2025")</f>
        <v>27/11/2025</v>
      </c>
      <c r="L13002">
        <v>654</v>
      </c>
      <c r="M13002">
        <v>654</v>
      </c>
      <c r="N13002">
        <v>109</v>
      </c>
      <c r="O13002" t="str">
        <f>"PAGAMENTO DE ENTREGADORES"</f>
        <v>PAGAMENTO DE ENTREGADORES</v>
      </c>
      <c r="P13002">
        <v>654</v>
      </c>
      <c r="S13002" t="str">
        <f>"BANCO C6 (149)"</f>
        <v>BANCO C6 (149)</v>
      </c>
      <c r="T13002">
        <v>22630</v>
      </c>
      <c r="U13002">
        <v>25789</v>
      </c>
      <c r="V13002" t="s">
        <v>77</v>
      </c>
    </row>
    <row r="13003" spans="1:22">
      <c r="A13003" t="str">
        <f t="shared" si="2557"/>
        <v>27/11/2025</v>
      </c>
      <c r="B13003" t="str">
        <f t="shared" si="2558"/>
        <v>SAÍDA</v>
      </c>
      <c r="C13003" t="str">
        <f t="shared" si="2559"/>
        <v>PIX</v>
      </c>
      <c r="D13003" t="str">
        <f>"25789"</f>
        <v>25789</v>
      </c>
      <c r="E13003" t="str">
        <f t="shared" si="2561"/>
        <v>1</v>
      </c>
      <c r="F13003" t="str">
        <f t="shared" si="2555"/>
        <v>COM</v>
      </c>
      <c r="G13003" t="str">
        <f>"CARLOS ALBERTO DE JESUS SANTOS (110)"</f>
        <v>CARLOS ALBERTO DE JESUS SANTOS (110)</v>
      </c>
      <c r="H13003" t="s">
        <v>3534</v>
      </c>
      <c r="I13003" t="str">
        <f t="shared" si="2560"/>
        <v>27/11/2025</v>
      </c>
      <c r="J13003" t="str">
        <f t="shared" si="2562"/>
        <v>18/11/2025</v>
      </c>
      <c r="K13003">
        <v>45988</v>
      </c>
      <c r="N13003">
        <v>109</v>
      </c>
      <c r="O13003" t="s">
        <v>24</v>
      </c>
      <c r="Q13003">
        <v>145.32</v>
      </c>
      <c r="R13003" t="str">
        <f>"FARMÁCIA INDIANA LJ 65 (10030)"</f>
        <v>FARMÁCIA INDIANA LJ 65 (10030)</v>
      </c>
      <c r="S13003" t="s">
        <v>77</v>
      </c>
      <c r="T13003">
        <v>22630</v>
      </c>
      <c r="U13003">
        <v>25789</v>
      </c>
      <c r="V13003" t="s">
        <v>77</v>
      </c>
    </row>
    <row r="13004" spans="1:22">
      <c r="A13004" t="str">
        <f t="shared" si="2557"/>
        <v>27/11/2025</v>
      </c>
      <c r="B13004" t="str">
        <f t="shared" si="2558"/>
        <v>SAÍDA</v>
      </c>
      <c r="C13004" t="str">
        <f t="shared" si="2559"/>
        <v>PIX</v>
      </c>
      <c r="D13004" t="str">
        <f>"25789"</f>
        <v>25789</v>
      </c>
      <c r="E13004" t="str">
        <f t="shared" si="2561"/>
        <v>1</v>
      </c>
      <c r="F13004" t="str">
        <f t="shared" si="2555"/>
        <v>COM</v>
      </c>
      <c r="G13004" t="str">
        <f>"CARLOS ALBERTO DE JESUS SANTOS (110)"</f>
        <v>CARLOS ALBERTO DE JESUS SANTOS (110)</v>
      </c>
      <c r="H13004" t="s">
        <v>3534</v>
      </c>
      <c r="I13004" t="str">
        <f t="shared" si="2560"/>
        <v>27/11/2025</v>
      </c>
      <c r="J13004" t="str">
        <f t="shared" si="2562"/>
        <v>18/11/2025</v>
      </c>
      <c r="K13004">
        <v>45988</v>
      </c>
      <c r="N13004">
        <v>109</v>
      </c>
      <c r="O13004" t="s">
        <v>24</v>
      </c>
      <c r="Q13004">
        <v>508.68</v>
      </c>
      <c r="R13004" t="str">
        <f>"FARMÁCIA INDIANA LJ 173 (10075)"</f>
        <v>FARMÁCIA INDIANA LJ 173 (10075)</v>
      </c>
      <c r="S13004" t="s">
        <v>77</v>
      </c>
      <c r="T13004">
        <v>22630</v>
      </c>
      <c r="U13004">
        <v>25789</v>
      </c>
      <c r="V13004" t="s">
        <v>77</v>
      </c>
    </row>
    <row r="13005" spans="1:22">
      <c r="A13005" t="str">
        <f t="shared" si="2557"/>
        <v>27/11/2025</v>
      </c>
      <c r="B13005" t="str">
        <f t="shared" si="2558"/>
        <v>SAÍDA</v>
      </c>
      <c r="C13005" t="str">
        <f t="shared" si="2559"/>
        <v>PIX</v>
      </c>
      <c r="D13005" t="str">
        <f>"25791"</f>
        <v>25791</v>
      </c>
      <c r="E13005" t="str">
        <f t="shared" si="2561"/>
        <v>1</v>
      </c>
      <c r="F13005" t="str">
        <f t="shared" si="2555"/>
        <v>COM</v>
      </c>
      <c r="G13005" t="str">
        <f>"DIOCLECIO SANDES JOTA (135)"</f>
        <v>DIOCLECIO SANDES JOTA (135)</v>
      </c>
      <c r="H13005" t="str">
        <f>"Serv.Prest. 10/11/2025 a 16/11/2025 - PIX: CELULAR - CHAVE: (73) 99966-7211"</f>
        <v>Serv.Prest. 10/11/2025 a 16/11/2025 - PIX: CELULAR - CHAVE: (73) 99966-7211</v>
      </c>
      <c r="I13005" t="str">
        <f t="shared" si="2560"/>
        <v>27/11/2025</v>
      </c>
      <c r="J13005" t="str">
        <f t="shared" si="2562"/>
        <v>18/11/2025</v>
      </c>
      <c r="K13005" t="str">
        <f>("27/11/2025")</f>
        <v>27/11/2025</v>
      </c>
      <c r="L13005">
        <v>708</v>
      </c>
      <c r="M13005">
        <v>708</v>
      </c>
      <c r="N13005">
        <v>109</v>
      </c>
      <c r="O13005" t="str">
        <f>"PAGAMENTO DE ENTREGADORES"</f>
        <v>PAGAMENTO DE ENTREGADORES</v>
      </c>
      <c r="P13005">
        <v>708</v>
      </c>
      <c r="S13005" t="str">
        <f>"BANCO C6 (149)"</f>
        <v>BANCO C6 (149)</v>
      </c>
      <c r="T13005">
        <v>22631</v>
      </c>
      <c r="U13005">
        <v>25791</v>
      </c>
      <c r="V13005" t="s">
        <v>77</v>
      </c>
    </row>
    <row r="13006" spans="1:22">
      <c r="A13006" t="str">
        <f t="shared" si="2557"/>
        <v>27/11/2025</v>
      </c>
      <c r="B13006" t="str">
        <f t="shared" si="2558"/>
        <v>SAÍDA</v>
      </c>
      <c r="C13006" t="str">
        <f t="shared" si="2559"/>
        <v>PIX</v>
      </c>
      <c r="D13006" t="str">
        <f>"25791"</f>
        <v>25791</v>
      </c>
      <c r="E13006" t="str">
        <f t="shared" si="2561"/>
        <v>1</v>
      </c>
      <c r="F13006" t="str">
        <f t="shared" si="2555"/>
        <v>COM</v>
      </c>
      <c r="G13006" t="str">
        <f>"DIOCLECIO SANDES JOTA (135)"</f>
        <v>DIOCLECIO SANDES JOTA (135)</v>
      </c>
      <c r="H13006" t="s">
        <v>3535</v>
      </c>
      <c r="I13006" t="str">
        <f t="shared" si="2560"/>
        <v>27/11/2025</v>
      </c>
      <c r="J13006" t="str">
        <f t="shared" si="2562"/>
        <v>18/11/2025</v>
      </c>
      <c r="K13006">
        <v>45988</v>
      </c>
      <c r="N13006">
        <v>109</v>
      </c>
      <c r="O13006" t="s">
        <v>24</v>
      </c>
      <c r="Q13006">
        <v>708</v>
      </c>
      <c r="R13006" t="str">
        <f>"FARMÁCIA INDIANA LJ 91 (10037)"</f>
        <v>FARMÁCIA INDIANA LJ 91 (10037)</v>
      </c>
      <c r="S13006" t="s">
        <v>77</v>
      </c>
      <c r="T13006">
        <v>22631</v>
      </c>
      <c r="U13006">
        <v>25791</v>
      </c>
      <c r="V13006" t="s">
        <v>77</v>
      </c>
    </row>
    <row r="13007" spans="1:22">
      <c r="A13007" t="str">
        <f t="shared" si="2557"/>
        <v>27/11/2025</v>
      </c>
      <c r="B13007" t="str">
        <f t="shared" si="2558"/>
        <v>SAÍDA</v>
      </c>
      <c r="C13007" t="str">
        <f t="shared" si="2559"/>
        <v>PIX</v>
      </c>
      <c r="D13007" t="str">
        <f>"25792"</f>
        <v>25792</v>
      </c>
      <c r="E13007" t="str">
        <f t="shared" si="2561"/>
        <v>1</v>
      </c>
      <c r="F13007" t="str">
        <f t="shared" si="2555"/>
        <v>COM</v>
      </c>
      <c r="G13007" t="str">
        <f>"EDUARDO SILVA DE JESUS (143)"</f>
        <v>EDUARDO SILVA DE JESUS (143)</v>
      </c>
      <c r="H13007" t="str">
        <f>"Serv.Prest. 10/11/2025 a 16/11/2025 - PIX: CPF - CHAVE: 094.947.395-23"</f>
        <v>Serv.Prest. 10/11/2025 a 16/11/2025 - PIX: CPF - CHAVE: 094.947.395-23</v>
      </c>
      <c r="I13007" t="str">
        <f t="shared" si="2560"/>
        <v>27/11/2025</v>
      </c>
      <c r="J13007" t="str">
        <f t="shared" si="2562"/>
        <v>18/11/2025</v>
      </c>
      <c r="K13007" t="str">
        <f>("27/11/2025")</f>
        <v>27/11/2025</v>
      </c>
      <c r="L13007">
        <v>726</v>
      </c>
      <c r="M13007">
        <v>726</v>
      </c>
      <c r="N13007">
        <v>109</v>
      </c>
      <c r="O13007" t="str">
        <f>"PAGAMENTO DE ENTREGADORES"</f>
        <v>PAGAMENTO DE ENTREGADORES</v>
      </c>
      <c r="P13007">
        <v>726</v>
      </c>
      <c r="S13007" t="str">
        <f>"BANCO C6 (149)"</f>
        <v>BANCO C6 (149)</v>
      </c>
      <c r="T13007">
        <v>22632</v>
      </c>
      <c r="U13007">
        <v>25792</v>
      </c>
      <c r="V13007" t="s">
        <v>77</v>
      </c>
    </row>
    <row r="13008" spans="1:22">
      <c r="A13008" t="str">
        <f t="shared" si="2557"/>
        <v>27/11/2025</v>
      </c>
      <c r="B13008" t="str">
        <f t="shared" si="2558"/>
        <v>SAÍDA</v>
      </c>
      <c r="C13008" t="str">
        <f t="shared" si="2559"/>
        <v>PIX</v>
      </c>
      <c r="D13008" t="str">
        <f>"25792"</f>
        <v>25792</v>
      </c>
      <c r="E13008" t="str">
        <f t="shared" si="2561"/>
        <v>1</v>
      </c>
      <c r="F13008" t="str">
        <f t="shared" si="2555"/>
        <v>COM</v>
      </c>
      <c r="G13008" t="str">
        <f>"EDUARDO SILVA DE JESUS (143)"</f>
        <v>EDUARDO SILVA DE JESUS (143)</v>
      </c>
      <c r="H13008" t="s">
        <v>3536</v>
      </c>
      <c r="I13008" t="str">
        <f t="shared" si="2560"/>
        <v>27/11/2025</v>
      </c>
      <c r="J13008" t="str">
        <f t="shared" si="2562"/>
        <v>18/11/2025</v>
      </c>
      <c r="K13008">
        <v>45988</v>
      </c>
      <c r="N13008">
        <v>109</v>
      </c>
      <c r="O13008" t="s">
        <v>24</v>
      </c>
      <c r="Q13008">
        <v>726</v>
      </c>
      <c r="R13008" t="str">
        <f>"FARMÁCIA INDIANA LJ 91 (10037)"</f>
        <v>FARMÁCIA INDIANA LJ 91 (10037)</v>
      </c>
      <c r="S13008" t="s">
        <v>77</v>
      </c>
      <c r="T13008">
        <v>22632</v>
      </c>
      <c r="U13008">
        <v>25792</v>
      </c>
      <c r="V13008" t="s">
        <v>77</v>
      </c>
    </row>
    <row r="13009" spans="1:22">
      <c r="A13009" t="str">
        <f t="shared" si="2557"/>
        <v>27/11/2025</v>
      </c>
      <c r="B13009" t="str">
        <f t="shared" si="2558"/>
        <v>SAÍDA</v>
      </c>
      <c r="C13009" t="str">
        <f t="shared" si="2559"/>
        <v>PIX</v>
      </c>
      <c r="D13009" t="str">
        <f>"25793"</f>
        <v>25793</v>
      </c>
      <c r="E13009" t="str">
        <f t="shared" si="2561"/>
        <v>1</v>
      </c>
      <c r="F13009" t="str">
        <f t="shared" si="2555"/>
        <v>COM</v>
      </c>
      <c r="G13009" t="str">
        <f>"ERIC DE RAMOS GOMES (606)"</f>
        <v>ERIC DE RAMOS GOMES (606)</v>
      </c>
      <c r="H13009" t="str">
        <f>"Serv.Prest. 10/11/2025 a 16/11/2025 - PIX: E-MAIL - CHAVE: ericgomes508@gmail.com"</f>
        <v>Serv.Prest. 10/11/2025 a 16/11/2025 - PIX: E-MAIL - CHAVE: ericgomes508@gmail.com</v>
      </c>
      <c r="I13009" t="str">
        <f t="shared" si="2560"/>
        <v>27/11/2025</v>
      </c>
      <c r="J13009" t="str">
        <f t="shared" si="2562"/>
        <v>18/11/2025</v>
      </c>
      <c r="K13009" t="str">
        <f>("27/11/2025")</f>
        <v>27/11/2025</v>
      </c>
      <c r="L13009">
        <v>666</v>
      </c>
      <c r="M13009">
        <v>666</v>
      </c>
      <c r="N13009">
        <v>109</v>
      </c>
      <c r="O13009" t="str">
        <f>"PAGAMENTO DE ENTREGADORES"</f>
        <v>PAGAMENTO DE ENTREGADORES</v>
      </c>
      <c r="P13009">
        <v>666</v>
      </c>
      <c r="S13009" t="str">
        <f>"BANCO C6 (149)"</f>
        <v>BANCO C6 (149)</v>
      </c>
      <c r="T13009">
        <v>22633</v>
      </c>
      <c r="U13009">
        <v>25793</v>
      </c>
      <c r="V13009" t="s">
        <v>77</v>
      </c>
    </row>
    <row r="13010" spans="1:22">
      <c r="A13010" t="str">
        <f t="shared" si="2557"/>
        <v>27/11/2025</v>
      </c>
      <c r="B13010" t="str">
        <f t="shared" si="2558"/>
        <v>SAÍDA</v>
      </c>
      <c r="C13010" t="str">
        <f t="shared" si="2559"/>
        <v>PIX</v>
      </c>
      <c r="D13010" t="str">
        <f>"25793"</f>
        <v>25793</v>
      </c>
      <c r="E13010" t="str">
        <f t="shared" si="2561"/>
        <v>1</v>
      </c>
      <c r="F13010" t="str">
        <f t="shared" si="2555"/>
        <v>COM</v>
      </c>
      <c r="G13010" t="str">
        <f>"ERIC DE RAMOS GOMES (606)"</f>
        <v>ERIC DE RAMOS GOMES (606)</v>
      </c>
      <c r="H13010" t="s">
        <v>3537</v>
      </c>
      <c r="I13010" t="str">
        <f t="shared" si="2560"/>
        <v>27/11/2025</v>
      </c>
      <c r="J13010" t="str">
        <f t="shared" si="2562"/>
        <v>18/11/2025</v>
      </c>
      <c r="K13010">
        <v>45988</v>
      </c>
      <c r="N13010">
        <v>109</v>
      </c>
      <c r="O13010" t="s">
        <v>24</v>
      </c>
      <c r="Q13010">
        <v>666</v>
      </c>
      <c r="R13010" t="str">
        <f>"FARMÁCIA INDIANA LJ 91 (10037)"</f>
        <v>FARMÁCIA INDIANA LJ 91 (10037)</v>
      </c>
      <c r="S13010" t="s">
        <v>77</v>
      </c>
      <c r="T13010">
        <v>22633</v>
      </c>
      <c r="U13010">
        <v>25793</v>
      </c>
      <c r="V13010" t="s">
        <v>77</v>
      </c>
    </row>
    <row r="13011" spans="1:22">
      <c r="A13011" t="str">
        <f t="shared" si="2557"/>
        <v>27/11/2025</v>
      </c>
      <c r="B13011" t="str">
        <f t="shared" si="2558"/>
        <v>SAÍDA</v>
      </c>
      <c r="C13011" t="str">
        <f t="shared" si="2559"/>
        <v>PIX</v>
      </c>
      <c r="D13011" t="str">
        <f>"25794"</f>
        <v>25794</v>
      </c>
      <c r="E13011" t="str">
        <f t="shared" si="2561"/>
        <v>1</v>
      </c>
      <c r="F13011" t="str">
        <f t="shared" ref="F13011:F13074" si="2563">"COM"</f>
        <v>COM</v>
      </c>
      <c r="G13011" t="str">
        <f>"GABRIEL SOUZA RIBEIRO (425)"</f>
        <v>GABRIEL SOUZA RIBEIRO (425)</v>
      </c>
      <c r="H13011" t="str">
        <f>"Serv.Prest. 10/11/2025 a 16/11/2025 - PIX: CPF - CHAVE: 087.398.185-51"</f>
        <v>Serv.Prest. 10/11/2025 a 16/11/2025 - PIX: CPF - CHAVE: 087.398.185-51</v>
      </c>
      <c r="I13011" t="str">
        <f t="shared" si="2560"/>
        <v>27/11/2025</v>
      </c>
      <c r="J13011" t="str">
        <f t="shared" si="2562"/>
        <v>18/11/2025</v>
      </c>
      <c r="K13011" t="str">
        <f>("27/11/2025")</f>
        <v>27/11/2025</v>
      </c>
      <c r="L13011">
        <v>654</v>
      </c>
      <c r="M13011">
        <v>654</v>
      </c>
      <c r="N13011">
        <v>109</v>
      </c>
      <c r="O13011" t="str">
        <f>"PAGAMENTO DE ENTREGADORES"</f>
        <v>PAGAMENTO DE ENTREGADORES</v>
      </c>
      <c r="P13011">
        <v>654</v>
      </c>
      <c r="S13011" t="str">
        <f>"BANCO C6 (149)"</f>
        <v>BANCO C6 (149)</v>
      </c>
      <c r="T13011">
        <v>22634</v>
      </c>
      <c r="U13011">
        <v>25794</v>
      </c>
      <c r="V13011" t="s">
        <v>77</v>
      </c>
    </row>
    <row r="13012" spans="1:22">
      <c r="A13012" t="str">
        <f t="shared" si="2557"/>
        <v>27/11/2025</v>
      </c>
      <c r="B13012" t="str">
        <f t="shared" si="2558"/>
        <v>SAÍDA</v>
      </c>
      <c r="C13012" t="str">
        <f t="shared" si="2559"/>
        <v>PIX</v>
      </c>
      <c r="D13012" t="str">
        <f>"25794"</f>
        <v>25794</v>
      </c>
      <c r="E13012" t="str">
        <f t="shared" si="2561"/>
        <v>1</v>
      </c>
      <c r="F13012" t="str">
        <f t="shared" si="2563"/>
        <v>COM</v>
      </c>
      <c r="G13012" t="str">
        <f>"GABRIEL SOUZA RIBEIRO (425)"</f>
        <v>GABRIEL SOUZA RIBEIRO (425)</v>
      </c>
      <c r="H13012" t="s">
        <v>3538</v>
      </c>
      <c r="I13012" t="str">
        <f t="shared" si="2560"/>
        <v>27/11/2025</v>
      </c>
      <c r="J13012" t="str">
        <f t="shared" si="2562"/>
        <v>18/11/2025</v>
      </c>
      <c r="K13012">
        <v>45988</v>
      </c>
      <c r="N13012">
        <v>109</v>
      </c>
      <c r="O13012" t="s">
        <v>24</v>
      </c>
      <c r="Q13012">
        <v>603.71</v>
      </c>
      <c r="R13012" t="str">
        <f>"FARMÁCIA INDIANA LJ 65 (10030)"</f>
        <v>FARMÁCIA INDIANA LJ 65 (10030)</v>
      </c>
      <c r="S13012" t="s">
        <v>77</v>
      </c>
      <c r="T13012">
        <v>22634</v>
      </c>
      <c r="U13012">
        <v>25794</v>
      </c>
      <c r="V13012" t="s">
        <v>77</v>
      </c>
    </row>
    <row r="13013" spans="1:22">
      <c r="A13013" t="str">
        <f t="shared" si="2557"/>
        <v>27/11/2025</v>
      </c>
      <c r="B13013" t="str">
        <f t="shared" si="2558"/>
        <v>SAÍDA</v>
      </c>
      <c r="C13013" t="str">
        <f t="shared" si="2559"/>
        <v>PIX</v>
      </c>
      <c r="D13013" t="str">
        <f>"25794"</f>
        <v>25794</v>
      </c>
      <c r="E13013" t="str">
        <f t="shared" si="2561"/>
        <v>1</v>
      </c>
      <c r="F13013" t="str">
        <f t="shared" si="2563"/>
        <v>COM</v>
      </c>
      <c r="G13013" t="str">
        <f>"GABRIEL SOUZA RIBEIRO (425)"</f>
        <v>GABRIEL SOUZA RIBEIRO (425)</v>
      </c>
      <c r="H13013" t="s">
        <v>3538</v>
      </c>
      <c r="I13013" t="str">
        <f t="shared" si="2560"/>
        <v>27/11/2025</v>
      </c>
      <c r="J13013" t="str">
        <f t="shared" si="2562"/>
        <v>18/11/2025</v>
      </c>
      <c r="K13013">
        <v>45988</v>
      </c>
      <c r="N13013">
        <v>109</v>
      </c>
      <c r="O13013" t="s">
        <v>24</v>
      </c>
      <c r="Q13013">
        <v>50.29</v>
      </c>
      <c r="R13013" t="str">
        <f>"FARMÁCIA INDIANA LJ 173 (10075)"</f>
        <v>FARMÁCIA INDIANA LJ 173 (10075)</v>
      </c>
      <c r="S13013" t="s">
        <v>77</v>
      </c>
      <c r="T13013">
        <v>22634</v>
      </c>
      <c r="U13013">
        <v>25794</v>
      </c>
      <c r="V13013" t="s">
        <v>77</v>
      </c>
    </row>
    <row r="13014" spans="1:22">
      <c r="A13014" t="str">
        <f t="shared" si="2557"/>
        <v>27/11/2025</v>
      </c>
      <c r="B13014" t="str">
        <f t="shared" si="2558"/>
        <v>SAÍDA</v>
      </c>
      <c r="C13014" t="str">
        <f t="shared" si="2559"/>
        <v>PIX</v>
      </c>
      <c r="D13014" t="str">
        <f>"25795"</f>
        <v>25795</v>
      </c>
      <c r="E13014" t="str">
        <f t="shared" si="2561"/>
        <v>1</v>
      </c>
      <c r="F13014" t="str">
        <f t="shared" si="2563"/>
        <v>COM</v>
      </c>
      <c r="G13014" t="str">
        <f>"GILBERTO PINHEIRO DA ROCHA (155)"</f>
        <v>GILBERTO PINHEIRO DA ROCHA (155)</v>
      </c>
      <c r="H13014" t="str">
        <f>"Serv.Prest. 10/11/2025 a 16/11/2025 - PIX: CELULAR - CHAVE: (73) 99941-8352"</f>
        <v>Serv.Prest. 10/11/2025 a 16/11/2025 - PIX: CELULAR - CHAVE: (73) 99941-8352</v>
      </c>
      <c r="I13014" t="str">
        <f t="shared" si="2560"/>
        <v>27/11/2025</v>
      </c>
      <c r="J13014" t="str">
        <f t="shared" si="2562"/>
        <v>18/11/2025</v>
      </c>
      <c r="K13014" t="str">
        <f>("27/11/2025")</f>
        <v>27/11/2025</v>
      </c>
      <c r="L13014">
        <v>998.75</v>
      </c>
      <c r="M13014">
        <v>998.75</v>
      </c>
      <c r="N13014">
        <v>109</v>
      </c>
      <c r="O13014" t="str">
        <f>"PAGAMENTO DE ENTREGADORES"</f>
        <v>PAGAMENTO DE ENTREGADORES</v>
      </c>
      <c r="P13014">
        <v>998.75</v>
      </c>
      <c r="S13014" t="str">
        <f>"BANCO C6 (149)"</f>
        <v>BANCO C6 (149)</v>
      </c>
      <c r="T13014">
        <v>22635</v>
      </c>
      <c r="U13014">
        <v>25795</v>
      </c>
      <c r="V13014" t="s">
        <v>77</v>
      </c>
    </row>
    <row r="13015" spans="1:22">
      <c r="A13015" t="str">
        <f t="shared" si="2557"/>
        <v>27/11/2025</v>
      </c>
      <c r="B13015" t="str">
        <f t="shared" si="2558"/>
        <v>SAÍDA</v>
      </c>
      <c r="C13015" t="str">
        <f t="shared" si="2559"/>
        <v>PIX</v>
      </c>
      <c r="D13015" t="str">
        <f>"25795"</f>
        <v>25795</v>
      </c>
      <c r="E13015" t="str">
        <f t="shared" si="2561"/>
        <v>1</v>
      </c>
      <c r="F13015" t="str">
        <f t="shared" si="2563"/>
        <v>COM</v>
      </c>
      <c r="G13015" t="str">
        <f>"GILBERTO PINHEIRO DA ROCHA (155)"</f>
        <v>GILBERTO PINHEIRO DA ROCHA (155)</v>
      </c>
      <c r="H13015" t="s">
        <v>3539</v>
      </c>
      <c r="I13015" t="str">
        <f t="shared" si="2560"/>
        <v>27/11/2025</v>
      </c>
      <c r="J13015" t="str">
        <f t="shared" si="2562"/>
        <v>18/11/2025</v>
      </c>
      <c r="K13015">
        <v>45988</v>
      </c>
      <c r="N13015">
        <v>109</v>
      </c>
      <c r="O13015" t="s">
        <v>24</v>
      </c>
      <c r="Q13015">
        <v>998.75</v>
      </c>
      <c r="R13015" t="str">
        <f>"FARMÁCIA INDIANA LJ 34 (10014)"</f>
        <v>FARMÁCIA INDIANA LJ 34 (10014)</v>
      </c>
      <c r="S13015" t="s">
        <v>77</v>
      </c>
      <c r="T13015">
        <v>22635</v>
      </c>
      <c r="U13015">
        <v>25795</v>
      </c>
      <c r="V13015" t="s">
        <v>77</v>
      </c>
    </row>
    <row r="13016" spans="1:22">
      <c r="A13016" t="str">
        <f t="shared" si="2557"/>
        <v>27/11/2025</v>
      </c>
      <c r="B13016" t="str">
        <f t="shared" si="2558"/>
        <v>SAÍDA</v>
      </c>
      <c r="C13016" t="str">
        <f t="shared" si="2559"/>
        <v>PIX</v>
      </c>
      <c r="D13016" t="str">
        <f>"25797"</f>
        <v>25797</v>
      </c>
      <c r="E13016" t="str">
        <f t="shared" si="2561"/>
        <v>1</v>
      </c>
      <c r="F13016" t="str">
        <f t="shared" si="2563"/>
        <v>COM</v>
      </c>
      <c r="G13016" t="str">
        <f>"GUSTAVO SILVA LIMA (771)"</f>
        <v>GUSTAVO SILVA LIMA (771)</v>
      </c>
      <c r="H13016" t="str">
        <f>"Serv.Prest. 10/11/2025 a 16/11/2025 - PIX: CELULAR - CHAVE: (73) 98888-3793"</f>
        <v>Serv.Prest. 10/11/2025 a 16/11/2025 - PIX: CELULAR - CHAVE: (73) 98888-3793</v>
      </c>
      <c r="I13016" t="str">
        <f t="shared" si="2560"/>
        <v>27/11/2025</v>
      </c>
      <c r="J13016" t="str">
        <f t="shared" si="2562"/>
        <v>18/11/2025</v>
      </c>
      <c r="K13016" t="str">
        <f>("27/11/2025")</f>
        <v>27/11/2025</v>
      </c>
      <c r="L13016">
        <v>654</v>
      </c>
      <c r="M13016">
        <v>561</v>
      </c>
      <c r="N13016">
        <v>109</v>
      </c>
      <c r="O13016" t="str">
        <f>"PAGAMENTO DE ENTREGADORES"</f>
        <v>PAGAMENTO DE ENTREGADORES</v>
      </c>
      <c r="P13016">
        <v>561</v>
      </c>
      <c r="S13016" t="str">
        <f>"BANCO C6 (149)"</f>
        <v>BANCO C6 (149)</v>
      </c>
      <c r="T13016">
        <v>22636</v>
      </c>
      <c r="U13016">
        <v>25797</v>
      </c>
      <c r="V13016" t="s">
        <v>77</v>
      </c>
    </row>
    <row r="13017" spans="1:22">
      <c r="A13017" t="str">
        <f t="shared" si="2557"/>
        <v>27/11/2025</v>
      </c>
      <c r="B13017" t="str">
        <f t="shared" si="2558"/>
        <v>SAÍDA</v>
      </c>
      <c r="C13017" t="str">
        <f t="shared" si="2559"/>
        <v>PIX</v>
      </c>
      <c r="D13017" t="str">
        <f>"25797"</f>
        <v>25797</v>
      </c>
      <c r="E13017" t="str">
        <f t="shared" si="2561"/>
        <v>1</v>
      </c>
      <c r="F13017" t="str">
        <f t="shared" si="2563"/>
        <v>COM</v>
      </c>
      <c r="G13017" t="str">
        <f>"GUSTAVO SILVA LIMA (771)"</f>
        <v>GUSTAVO SILVA LIMA (771)</v>
      </c>
      <c r="H13017" t="s">
        <v>3540</v>
      </c>
      <c r="I13017" t="str">
        <f t="shared" si="2560"/>
        <v>27/11/2025</v>
      </c>
      <c r="J13017" t="str">
        <f t="shared" si="2562"/>
        <v>18/11/2025</v>
      </c>
      <c r="K13017">
        <v>45988</v>
      </c>
      <c r="N13017">
        <v>109</v>
      </c>
      <c r="O13017" t="s">
        <v>24</v>
      </c>
      <c r="Q13017">
        <v>561</v>
      </c>
      <c r="R13017" t="str">
        <f>"FARMÁCIA INDIANA LJ 65 (10030)"</f>
        <v>FARMÁCIA INDIANA LJ 65 (10030)</v>
      </c>
      <c r="S13017" t="s">
        <v>77</v>
      </c>
      <c r="T13017">
        <v>22636</v>
      </c>
      <c r="U13017">
        <v>25797</v>
      </c>
      <c r="V13017" t="s">
        <v>77</v>
      </c>
    </row>
    <row r="13018" spans="1:22">
      <c r="A13018" t="str">
        <f t="shared" si="2557"/>
        <v>27/11/2025</v>
      </c>
      <c r="B13018" t="str">
        <f t="shared" si="2558"/>
        <v>SAÍDA</v>
      </c>
      <c r="C13018" t="str">
        <f t="shared" si="2559"/>
        <v>PIX</v>
      </c>
      <c r="D13018" t="str">
        <f>"25798"</f>
        <v>25798</v>
      </c>
      <c r="E13018" t="str">
        <f t="shared" si="2561"/>
        <v>1</v>
      </c>
      <c r="F13018" t="str">
        <f t="shared" si="2563"/>
        <v>COM</v>
      </c>
      <c r="G13018" t="str">
        <f>"HELITON MELGACO PIMENTEL JUNIOR (1079)"</f>
        <v>HELITON MELGACO PIMENTEL JUNIOR (1079)</v>
      </c>
      <c r="H13018" t="str">
        <f>"Serv.Prest. 10/11/2025 a 16/11/2025 - PIX: CPF - CHAVE: 768.859.176-72"</f>
        <v>Serv.Prest. 10/11/2025 a 16/11/2025 - PIX: CPF - CHAVE: 768.859.176-72</v>
      </c>
      <c r="I13018" t="str">
        <f t="shared" si="2560"/>
        <v>27/11/2025</v>
      </c>
      <c r="J13018" t="str">
        <f t="shared" si="2562"/>
        <v>18/11/2025</v>
      </c>
      <c r="K13018" t="str">
        <f>("27/11/2025")</f>
        <v>27/11/2025</v>
      </c>
      <c r="L13018">
        <v>600.59</v>
      </c>
      <c r="M13018">
        <v>600.59</v>
      </c>
      <c r="N13018">
        <v>109</v>
      </c>
      <c r="O13018" t="str">
        <f>"PAGAMENTO DE ENTREGADORES"</f>
        <v>PAGAMENTO DE ENTREGADORES</v>
      </c>
      <c r="P13018">
        <v>600.59</v>
      </c>
      <c r="S13018" t="str">
        <f>"BANCO C6 (149)"</f>
        <v>BANCO C6 (149)</v>
      </c>
      <c r="T13018">
        <v>22637</v>
      </c>
      <c r="U13018">
        <v>25798</v>
      </c>
      <c r="V13018" t="s">
        <v>77</v>
      </c>
    </row>
    <row r="13019" spans="1:22">
      <c r="A13019" t="str">
        <f t="shared" si="2557"/>
        <v>27/11/2025</v>
      </c>
      <c r="B13019" t="str">
        <f t="shared" si="2558"/>
        <v>SAÍDA</v>
      </c>
      <c r="C13019" t="str">
        <f t="shared" si="2559"/>
        <v>PIX</v>
      </c>
      <c r="D13019" t="str">
        <f>"25798"</f>
        <v>25798</v>
      </c>
      <c r="E13019" t="str">
        <f t="shared" si="2561"/>
        <v>1</v>
      </c>
      <c r="F13019" t="str">
        <f t="shared" si="2563"/>
        <v>COM</v>
      </c>
      <c r="G13019" t="str">
        <f>"HELITON MELGACO PIMENTEL JUNIOR (1079)"</f>
        <v>HELITON MELGACO PIMENTEL JUNIOR (1079)</v>
      </c>
      <c r="H13019" t="s">
        <v>3541</v>
      </c>
      <c r="I13019" t="str">
        <f t="shared" si="2560"/>
        <v>27/11/2025</v>
      </c>
      <c r="J13019" t="str">
        <f t="shared" si="2562"/>
        <v>18/11/2025</v>
      </c>
      <c r="K13019">
        <v>45988</v>
      </c>
      <c r="N13019">
        <v>109</v>
      </c>
      <c r="O13019" t="s">
        <v>24</v>
      </c>
      <c r="Q13019">
        <v>600.59</v>
      </c>
      <c r="R13019" t="str">
        <f>"FARMÁCIA INDIANA LJ 283 (10268)"</f>
        <v>FARMÁCIA INDIANA LJ 283 (10268)</v>
      </c>
      <c r="S13019" t="s">
        <v>77</v>
      </c>
      <c r="T13019">
        <v>22637</v>
      </c>
      <c r="U13019">
        <v>25798</v>
      </c>
      <c r="V13019" t="s">
        <v>77</v>
      </c>
    </row>
    <row r="13020" spans="1:22">
      <c r="A13020" t="str">
        <f t="shared" si="2557"/>
        <v>27/11/2025</v>
      </c>
      <c r="B13020" t="str">
        <f t="shared" si="2558"/>
        <v>SAÍDA</v>
      </c>
      <c r="C13020" t="str">
        <f t="shared" si="2559"/>
        <v>PIX</v>
      </c>
      <c r="D13020" t="str">
        <f>"25799"</f>
        <v>25799</v>
      </c>
      <c r="E13020" t="str">
        <f t="shared" si="2561"/>
        <v>1</v>
      </c>
      <c r="F13020" t="str">
        <f t="shared" si="2563"/>
        <v>COM</v>
      </c>
      <c r="G13020" t="str">
        <f>"JALDENIR MENDES DOS SANTOS (167)"</f>
        <v>JALDENIR MENDES DOS SANTOS (167)</v>
      </c>
      <c r="H13020" t="str">
        <f>"Serv.Prest. 10/11/2025 a 16/11/2025 - PIX: CPF - CHAVE: 439.169.103-53"</f>
        <v>Serv.Prest. 10/11/2025 a 16/11/2025 - PIX: CPF - CHAVE: 439.169.103-53</v>
      </c>
      <c r="I13020" t="str">
        <f t="shared" si="2560"/>
        <v>27/11/2025</v>
      </c>
      <c r="J13020" t="str">
        <f t="shared" si="2562"/>
        <v>18/11/2025</v>
      </c>
      <c r="K13020" t="str">
        <f>("27/11/2025")</f>
        <v>27/11/2025</v>
      </c>
      <c r="L13020">
        <v>616.25</v>
      </c>
      <c r="M13020">
        <v>616.25</v>
      </c>
      <c r="N13020">
        <v>109</v>
      </c>
      <c r="O13020" t="str">
        <f>"PAGAMENTO DE ENTREGADORES"</f>
        <v>PAGAMENTO DE ENTREGADORES</v>
      </c>
      <c r="P13020">
        <v>616.25</v>
      </c>
      <c r="S13020" t="str">
        <f>"BANCO C6 (149)"</f>
        <v>BANCO C6 (149)</v>
      </c>
      <c r="T13020">
        <v>22638</v>
      </c>
      <c r="U13020">
        <v>25799</v>
      </c>
      <c r="V13020" t="s">
        <v>77</v>
      </c>
    </row>
    <row r="13021" spans="1:22">
      <c r="A13021" t="str">
        <f t="shared" si="2557"/>
        <v>27/11/2025</v>
      </c>
      <c r="B13021" t="str">
        <f t="shared" si="2558"/>
        <v>SAÍDA</v>
      </c>
      <c r="C13021" t="str">
        <f t="shared" si="2559"/>
        <v>PIX</v>
      </c>
      <c r="D13021" t="str">
        <f>"25799"</f>
        <v>25799</v>
      </c>
      <c r="E13021" t="str">
        <f t="shared" si="2561"/>
        <v>1</v>
      </c>
      <c r="F13021" t="str">
        <f t="shared" si="2563"/>
        <v>COM</v>
      </c>
      <c r="G13021" t="str">
        <f>"JALDENIR MENDES DOS SANTOS (167)"</f>
        <v>JALDENIR MENDES DOS SANTOS (167)</v>
      </c>
      <c r="H13021" t="s">
        <v>3542</v>
      </c>
      <c r="I13021" t="str">
        <f t="shared" si="2560"/>
        <v>27/11/2025</v>
      </c>
      <c r="J13021" t="str">
        <f t="shared" si="2562"/>
        <v>18/11/2025</v>
      </c>
      <c r="K13021">
        <v>45988</v>
      </c>
      <c r="N13021">
        <v>109</v>
      </c>
      <c r="O13021" t="s">
        <v>24</v>
      </c>
      <c r="Q13021">
        <v>616.25</v>
      </c>
      <c r="R13021" t="str">
        <f>"FARMÁCIA INDIANA LJ 34 (10014)"</f>
        <v>FARMÁCIA INDIANA LJ 34 (10014)</v>
      </c>
      <c r="S13021" t="s">
        <v>77</v>
      </c>
      <c r="T13021">
        <v>22638</v>
      </c>
      <c r="U13021">
        <v>25799</v>
      </c>
      <c r="V13021" t="s">
        <v>77</v>
      </c>
    </row>
    <row r="13022" spans="1:22">
      <c r="A13022" t="str">
        <f t="shared" si="2557"/>
        <v>27/11/2025</v>
      </c>
      <c r="B13022" t="str">
        <f t="shared" si="2558"/>
        <v>SAÍDA</v>
      </c>
      <c r="C13022" t="str">
        <f t="shared" si="2559"/>
        <v>PIX</v>
      </c>
      <c r="D13022" t="str">
        <f>"25800"</f>
        <v>25800</v>
      </c>
      <c r="E13022" t="str">
        <f t="shared" si="2561"/>
        <v>1</v>
      </c>
      <c r="F13022" t="str">
        <f t="shared" si="2563"/>
        <v>COM</v>
      </c>
      <c r="G13022" t="str">
        <f>"JARLES DE SOUZA PEREIRA (109)"</f>
        <v>JARLES DE SOUZA PEREIRA (109)</v>
      </c>
      <c r="H13022" t="str">
        <f>"Serv.Prest. 10/11/2025 a 16/11/2025 - PIX: CELULAR - CHAVE: (73) 99115-9602"</f>
        <v>Serv.Prest. 10/11/2025 a 16/11/2025 - PIX: CELULAR - CHAVE: (73) 99115-9602</v>
      </c>
      <c r="I13022" t="str">
        <f t="shared" si="2560"/>
        <v>27/11/2025</v>
      </c>
      <c r="J13022" t="str">
        <f t="shared" si="2562"/>
        <v>18/11/2025</v>
      </c>
      <c r="K13022" t="str">
        <f>("27/11/2025")</f>
        <v>27/11/2025</v>
      </c>
      <c r="L13022">
        <v>654</v>
      </c>
      <c r="M13022">
        <v>654</v>
      </c>
      <c r="N13022">
        <v>109</v>
      </c>
      <c r="O13022" t="str">
        <f>"PAGAMENTO DE ENTREGADORES"</f>
        <v>PAGAMENTO DE ENTREGADORES</v>
      </c>
      <c r="P13022">
        <v>654</v>
      </c>
      <c r="S13022" t="str">
        <f>"BANCO C6 (149)"</f>
        <v>BANCO C6 (149)</v>
      </c>
      <c r="T13022">
        <v>22639</v>
      </c>
      <c r="U13022">
        <v>25800</v>
      </c>
      <c r="V13022" t="s">
        <v>77</v>
      </c>
    </row>
    <row r="13023" spans="1:22">
      <c r="A13023" t="str">
        <f t="shared" si="2557"/>
        <v>27/11/2025</v>
      </c>
      <c r="B13023" t="str">
        <f t="shared" si="2558"/>
        <v>SAÍDA</v>
      </c>
      <c r="C13023" t="str">
        <f t="shared" si="2559"/>
        <v>PIX</v>
      </c>
      <c r="D13023" t="str">
        <f>"25800"</f>
        <v>25800</v>
      </c>
      <c r="E13023" t="str">
        <f t="shared" si="2561"/>
        <v>1</v>
      </c>
      <c r="F13023" t="str">
        <f t="shared" si="2563"/>
        <v>COM</v>
      </c>
      <c r="G13023" t="str">
        <f>"JARLES DE SOUZA PEREIRA (109)"</f>
        <v>JARLES DE SOUZA PEREIRA (109)</v>
      </c>
      <c r="H13023" t="s">
        <v>3543</v>
      </c>
      <c r="I13023" t="str">
        <f t="shared" si="2560"/>
        <v>27/11/2025</v>
      </c>
      <c r="J13023" t="str">
        <f t="shared" si="2562"/>
        <v>18/11/2025</v>
      </c>
      <c r="K13023">
        <v>45988</v>
      </c>
      <c r="N13023">
        <v>109</v>
      </c>
      <c r="O13023" t="s">
        <v>24</v>
      </c>
      <c r="Q13023">
        <v>266.44</v>
      </c>
      <c r="R13023" t="str">
        <f>"FARMÁCIA INDIANA LJ 65 (10030)"</f>
        <v>FARMÁCIA INDIANA LJ 65 (10030)</v>
      </c>
      <c r="S13023" t="s">
        <v>77</v>
      </c>
      <c r="T13023">
        <v>22639</v>
      </c>
      <c r="U13023">
        <v>25800</v>
      </c>
      <c r="V13023" t="s">
        <v>77</v>
      </c>
    </row>
    <row r="13024" spans="1:22">
      <c r="A13024" t="str">
        <f t="shared" si="2557"/>
        <v>27/11/2025</v>
      </c>
      <c r="B13024" t="str">
        <f t="shared" si="2558"/>
        <v>SAÍDA</v>
      </c>
      <c r="C13024" t="str">
        <f t="shared" si="2559"/>
        <v>PIX</v>
      </c>
      <c r="D13024" t="str">
        <f>"25800"</f>
        <v>25800</v>
      </c>
      <c r="E13024" t="str">
        <f t="shared" si="2561"/>
        <v>1</v>
      </c>
      <c r="F13024" t="str">
        <f t="shared" si="2563"/>
        <v>COM</v>
      </c>
      <c r="G13024" t="str">
        <f>"JARLES DE SOUZA PEREIRA (109)"</f>
        <v>JARLES DE SOUZA PEREIRA (109)</v>
      </c>
      <c r="H13024" t="s">
        <v>3543</v>
      </c>
      <c r="I13024" t="str">
        <f t="shared" si="2560"/>
        <v>27/11/2025</v>
      </c>
      <c r="J13024" t="str">
        <f t="shared" si="2562"/>
        <v>18/11/2025</v>
      </c>
      <c r="K13024">
        <v>45988</v>
      </c>
      <c r="N13024">
        <v>109</v>
      </c>
      <c r="O13024" t="s">
        <v>24</v>
      </c>
      <c r="Q13024">
        <v>387.56</v>
      </c>
      <c r="R13024" t="str">
        <f>"FARMÁCIA INDIANA LJ 173 (10075)"</f>
        <v>FARMÁCIA INDIANA LJ 173 (10075)</v>
      </c>
      <c r="S13024" t="s">
        <v>77</v>
      </c>
      <c r="T13024">
        <v>22639</v>
      </c>
      <c r="U13024">
        <v>25800</v>
      </c>
      <c r="V13024" t="s">
        <v>77</v>
      </c>
    </row>
    <row r="13025" spans="1:22">
      <c r="A13025" t="str">
        <f t="shared" si="2557"/>
        <v>27/11/2025</v>
      </c>
      <c r="B13025" t="str">
        <f t="shared" si="2558"/>
        <v>SAÍDA</v>
      </c>
      <c r="C13025" t="str">
        <f t="shared" si="2559"/>
        <v>PIX</v>
      </c>
      <c r="D13025" t="str">
        <f>"25801"</f>
        <v>25801</v>
      </c>
      <c r="E13025" t="str">
        <f t="shared" si="2561"/>
        <v>1</v>
      </c>
      <c r="F13025" t="str">
        <f t="shared" si="2563"/>
        <v>COM</v>
      </c>
      <c r="G13025" t="str">
        <f>"JIRLANIA RODRIGUES DOS SANTOS (152)"</f>
        <v>JIRLANIA RODRIGUES DOS SANTOS (152)</v>
      </c>
      <c r="H13025" t="str">
        <f>"Serv.Prest. 10/11/2025 a 16/11/2025 - PIX: CPF - CHAVE: 035.018.455-02"</f>
        <v>Serv.Prest. 10/11/2025 a 16/11/2025 - PIX: CPF - CHAVE: 035.018.455-02</v>
      </c>
      <c r="I13025" t="str">
        <f t="shared" si="2560"/>
        <v>27/11/2025</v>
      </c>
      <c r="J13025" t="str">
        <f t="shared" si="2562"/>
        <v>18/11/2025</v>
      </c>
      <c r="K13025" t="str">
        <f>("27/11/2025")</f>
        <v>27/11/2025</v>
      </c>
      <c r="L13025">
        <v>752.25</v>
      </c>
      <c r="M13025">
        <v>752.25</v>
      </c>
      <c r="N13025">
        <v>109</v>
      </c>
      <c r="O13025" t="str">
        <f>"PAGAMENTO DE ENTREGADORES"</f>
        <v>PAGAMENTO DE ENTREGADORES</v>
      </c>
      <c r="P13025">
        <v>752.25</v>
      </c>
      <c r="S13025" t="str">
        <f>"BANCO C6 (149)"</f>
        <v>BANCO C6 (149)</v>
      </c>
      <c r="T13025">
        <v>22640</v>
      </c>
      <c r="U13025">
        <v>25801</v>
      </c>
      <c r="V13025" t="s">
        <v>77</v>
      </c>
    </row>
    <row r="13026" spans="1:22">
      <c r="A13026" t="str">
        <f t="shared" si="2557"/>
        <v>27/11/2025</v>
      </c>
      <c r="B13026" t="str">
        <f t="shared" si="2558"/>
        <v>SAÍDA</v>
      </c>
      <c r="C13026" t="str">
        <f t="shared" si="2559"/>
        <v>PIX</v>
      </c>
      <c r="D13026" t="str">
        <f>"25801"</f>
        <v>25801</v>
      </c>
      <c r="E13026" t="str">
        <f t="shared" si="2561"/>
        <v>1</v>
      </c>
      <c r="F13026" t="str">
        <f t="shared" si="2563"/>
        <v>COM</v>
      </c>
      <c r="G13026" t="str">
        <f>"JIRLANIA RODRIGUES DOS SANTOS (152)"</f>
        <v>JIRLANIA RODRIGUES DOS SANTOS (152)</v>
      </c>
      <c r="H13026" t="s">
        <v>3544</v>
      </c>
      <c r="I13026" t="str">
        <f t="shared" si="2560"/>
        <v>27/11/2025</v>
      </c>
      <c r="J13026" t="str">
        <f t="shared" si="2562"/>
        <v>18/11/2025</v>
      </c>
      <c r="K13026">
        <v>45988</v>
      </c>
      <c r="N13026">
        <v>109</v>
      </c>
      <c r="O13026" t="s">
        <v>24</v>
      </c>
      <c r="Q13026">
        <v>752.25</v>
      </c>
      <c r="R13026" t="str">
        <f>"FARMÁCIA INDIANA LJ 95 (10039)"</f>
        <v>FARMÁCIA INDIANA LJ 95 (10039)</v>
      </c>
      <c r="S13026" t="s">
        <v>77</v>
      </c>
      <c r="T13026">
        <v>22640</v>
      </c>
      <c r="U13026">
        <v>25801</v>
      </c>
      <c r="V13026" t="s">
        <v>77</v>
      </c>
    </row>
    <row r="13027" spans="1:22">
      <c r="A13027" t="str">
        <f t="shared" si="2557"/>
        <v>27/11/2025</v>
      </c>
      <c r="B13027" t="str">
        <f t="shared" si="2558"/>
        <v>SAÍDA</v>
      </c>
      <c r="C13027" t="str">
        <f t="shared" si="2559"/>
        <v>PIX</v>
      </c>
      <c r="D13027" t="str">
        <f>"25802"</f>
        <v>25802</v>
      </c>
      <c r="E13027" t="str">
        <f t="shared" si="2561"/>
        <v>1</v>
      </c>
      <c r="F13027" t="str">
        <f t="shared" si="2563"/>
        <v>COM</v>
      </c>
      <c r="G13027" t="str">
        <f>"JOAO PEDRO BRITO DE SOUZA (876)"</f>
        <v>JOAO PEDRO BRITO DE SOUZA (876)</v>
      </c>
      <c r="H13027" t="str">
        <f>"Serv.Prest. 10/11/2025 a 16/11/2025 - PIX: CPF - CHAVE: 860.305.455-07"</f>
        <v>Serv.Prest. 10/11/2025 a 16/11/2025 - PIX: CPF - CHAVE: 860.305.455-07</v>
      </c>
      <c r="I13027" t="str">
        <f t="shared" si="2560"/>
        <v>27/11/2025</v>
      </c>
      <c r="J13027" t="str">
        <f t="shared" si="2562"/>
        <v>18/11/2025</v>
      </c>
      <c r="K13027" t="str">
        <f>("27/11/2025")</f>
        <v>27/11/2025</v>
      </c>
      <c r="L13027">
        <v>1045</v>
      </c>
      <c r="M13027">
        <v>1045</v>
      </c>
      <c r="N13027">
        <v>109</v>
      </c>
      <c r="O13027" t="str">
        <f>"PAGAMENTO DE ENTREGADORES"</f>
        <v>PAGAMENTO DE ENTREGADORES</v>
      </c>
      <c r="P13027">
        <v>1045</v>
      </c>
      <c r="S13027" t="str">
        <f>"BANCO C6 (149)"</f>
        <v>BANCO C6 (149)</v>
      </c>
      <c r="T13027">
        <v>22641</v>
      </c>
      <c r="U13027">
        <v>25802</v>
      </c>
      <c r="V13027" t="s">
        <v>77</v>
      </c>
    </row>
    <row r="13028" spans="1:22">
      <c r="A13028" t="str">
        <f t="shared" si="2557"/>
        <v>27/11/2025</v>
      </c>
      <c r="B13028" t="str">
        <f t="shared" si="2558"/>
        <v>SAÍDA</v>
      </c>
      <c r="C13028" t="str">
        <f t="shared" si="2559"/>
        <v>PIX</v>
      </c>
      <c r="D13028" t="str">
        <f>"25802"</f>
        <v>25802</v>
      </c>
      <c r="E13028" t="str">
        <f t="shared" si="2561"/>
        <v>1</v>
      </c>
      <c r="F13028" t="str">
        <f t="shared" si="2563"/>
        <v>COM</v>
      </c>
      <c r="G13028" t="str">
        <f>"JOAO PEDRO BRITO DE SOUZA (876)"</f>
        <v>JOAO PEDRO BRITO DE SOUZA (876)</v>
      </c>
      <c r="H13028" t="s">
        <v>3545</v>
      </c>
      <c r="I13028" t="str">
        <f t="shared" si="2560"/>
        <v>27/11/2025</v>
      </c>
      <c r="J13028" t="str">
        <f t="shared" ref="J13028:J13059" si="2564">("18/11/2025")</f>
        <v>18/11/2025</v>
      </c>
      <c r="K13028">
        <v>45988</v>
      </c>
      <c r="N13028">
        <v>109</v>
      </c>
      <c r="O13028" t="s">
        <v>24</v>
      </c>
      <c r="Q13028">
        <v>734.95</v>
      </c>
      <c r="R13028" t="str">
        <f>"FARMÁCIA INDIANA LJ 48 (10018)"</f>
        <v>FARMÁCIA INDIANA LJ 48 (10018)</v>
      </c>
      <c r="S13028" t="s">
        <v>77</v>
      </c>
      <c r="T13028">
        <v>22641</v>
      </c>
      <c r="U13028">
        <v>25802</v>
      </c>
      <c r="V13028" t="s">
        <v>77</v>
      </c>
    </row>
    <row r="13029" spans="1:22">
      <c r="A13029" t="str">
        <f t="shared" si="2557"/>
        <v>27/11/2025</v>
      </c>
      <c r="B13029" t="str">
        <f t="shared" si="2558"/>
        <v>SAÍDA</v>
      </c>
      <c r="C13029" t="str">
        <f t="shared" si="2559"/>
        <v>PIX</v>
      </c>
      <c r="D13029" t="str">
        <f>"25802"</f>
        <v>25802</v>
      </c>
      <c r="E13029" t="str">
        <f t="shared" si="2561"/>
        <v>1</v>
      </c>
      <c r="F13029" t="str">
        <f t="shared" si="2563"/>
        <v>COM</v>
      </c>
      <c r="G13029" t="str">
        <f>"JOAO PEDRO BRITO DE SOUZA (876)"</f>
        <v>JOAO PEDRO BRITO DE SOUZA (876)</v>
      </c>
      <c r="H13029" t="s">
        <v>3545</v>
      </c>
      <c r="I13029" t="str">
        <f t="shared" si="2560"/>
        <v>27/11/2025</v>
      </c>
      <c r="J13029" t="str">
        <f t="shared" si="2564"/>
        <v>18/11/2025</v>
      </c>
      <c r="K13029">
        <v>45988</v>
      </c>
      <c r="N13029">
        <v>109</v>
      </c>
      <c r="O13029" t="s">
        <v>24</v>
      </c>
      <c r="Q13029">
        <v>310.05</v>
      </c>
      <c r="R13029" t="str">
        <f>"FARMÁCIA INDIANA LJ 169 (10073)"</f>
        <v>FARMÁCIA INDIANA LJ 169 (10073)</v>
      </c>
      <c r="S13029" t="s">
        <v>77</v>
      </c>
      <c r="T13029">
        <v>22641</v>
      </c>
      <c r="U13029">
        <v>25802</v>
      </c>
      <c r="V13029" t="s">
        <v>77</v>
      </c>
    </row>
    <row r="13030" spans="1:22">
      <c r="A13030" t="str">
        <f t="shared" si="2557"/>
        <v>27/11/2025</v>
      </c>
      <c r="B13030" t="str">
        <f t="shared" si="2558"/>
        <v>SAÍDA</v>
      </c>
      <c r="C13030" t="str">
        <f t="shared" si="2559"/>
        <v>PIX</v>
      </c>
      <c r="D13030" t="str">
        <f>"25803"</f>
        <v>25803</v>
      </c>
      <c r="E13030" t="str">
        <f t="shared" si="2561"/>
        <v>1</v>
      </c>
      <c r="F13030" t="str">
        <f t="shared" si="2563"/>
        <v>COM</v>
      </c>
      <c r="G13030" t="str">
        <f>"JOSE MARIO MENEZES DA CRUZ (941)"</f>
        <v>JOSE MARIO MENEZES DA CRUZ (941)</v>
      </c>
      <c r="H13030" t="str">
        <f>"Serv.Prest. 10/11/2025 a 16/11/2025 - PIX: CPF - CHAVE: 009.476.175-23"</f>
        <v>Serv.Prest. 10/11/2025 a 16/11/2025 - PIX: CPF - CHAVE: 009.476.175-23</v>
      </c>
      <c r="I13030" t="str">
        <f t="shared" si="2560"/>
        <v>27/11/2025</v>
      </c>
      <c r="J13030" t="str">
        <f t="shared" si="2564"/>
        <v>18/11/2025</v>
      </c>
      <c r="K13030" t="str">
        <f>("27/11/2025")</f>
        <v>27/11/2025</v>
      </c>
      <c r="L13030">
        <v>870</v>
      </c>
      <c r="M13030">
        <v>870</v>
      </c>
      <c r="N13030">
        <v>109</v>
      </c>
      <c r="O13030" t="str">
        <f>"PAGAMENTO DE ENTREGADORES"</f>
        <v>PAGAMENTO DE ENTREGADORES</v>
      </c>
      <c r="P13030">
        <v>870</v>
      </c>
      <c r="S13030" t="str">
        <f>"BANCO C6 (149)"</f>
        <v>BANCO C6 (149)</v>
      </c>
      <c r="T13030">
        <v>22642</v>
      </c>
      <c r="U13030">
        <v>25803</v>
      </c>
      <c r="V13030" t="s">
        <v>77</v>
      </c>
    </row>
    <row r="13031" spans="1:22">
      <c r="A13031" t="str">
        <f t="shared" si="2557"/>
        <v>27/11/2025</v>
      </c>
      <c r="B13031" t="str">
        <f t="shared" si="2558"/>
        <v>SAÍDA</v>
      </c>
      <c r="C13031" t="str">
        <f t="shared" si="2559"/>
        <v>PIX</v>
      </c>
      <c r="D13031" t="str">
        <f>"25803"</f>
        <v>25803</v>
      </c>
      <c r="E13031" t="str">
        <f t="shared" si="2561"/>
        <v>1</v>
      </c>
      <c r="F13031" t="str">
        <f t="shared" si="2563"/>
        <v>COM</v>
      </c>
      <c r="G13031" t="str">
        <f>"JOSE MARIO MENEZES DA CRUZ (941)"</f>
        <v>JOSE MARIO MENEZES DA CRUZ (941)</v>
      </c>
      <c r="H13031" t="s">
        <v>3546</v>
      </c>
      <c r="I13031" t="str">
        <f t="shared" si="2560"/>
        <v>27/11/2025</v>
      </c>
      <c r="J13031" t="str">
        <f t="shared" si="2564"/>
        <v>18/11/2025</v>
      </c>
      <c r="K13031">
        <v>45988</v>
      </c>
      <c r="N13031">
        <v>109</v>
      </c>
      <c r="O13031" t="s">
        <v>24</v>
      </c>
      <c r="Q13031">
        <v>870</v>
      </c>
      <c r="R13031" t="str">
        <f>"FARMÁCIA INDIANA LJ 33 (10187)"</f>
        <v>FARMÁCIA INDIANA LJ 33 (10187)</v>
      </c>
      <c r="S13031" t="s">
        <v>77</v>
      </c>
      <c r="T13031">
        <v>22642</v>
      </c>
      <c r="U13031">
        <v>25803</v>
      </c>
      <c r="V13031" t="s">
        <v>77</v>
      </c>
    </row>
    <row r="13032" spans="1:22">
      <c r="A13032" t="str">
        <f t="shared" si="2557"/>
        <v>27/11/2025</v>
      </c>
      <c r="B13032" t="str">
        <f t="shared" si="2558"/>
        <v>SAÍDA</v>
      </c>
      <c r="C13032" t="str">
        <f t="shared" si="2559"/>
        <v>PIX</v>
      </c>
      <c r="D13032" t="str">
        <f>"25804"</f>
        <v>25804</v>
      </c>
      <c r="E13032" t="str">
        <f t="shared" si="2561"/>
        <v>1</v>
      </c>
      <c r="F13032" t="str">
        <f t="shared" si="2563"/>
        <v>COM</v>
      </c>
      <c r="G13032" t="str">
        <f>"JUNIO SOUZA SILVA (610)"</f>
        <v>JUNIO SOUZA SILVA (610)</v>
      </c>
      <c r="H13032" t="str">
        <f>"Serv.Prest. 10/11/2025 a 16/11/2025 - PIX: CELULAR - CHAVE: (73) 98105-2187"</f>
        <v>Serv.Prest. 10/11/2025 a 16/11/2025 - PIX: CELULAR - CHAVE: (73) 98105-2187</v>
      </c>
      <c r="I13032" t="str">
        <f t="shared" si="2560"/>
        <v>27/11/2025</v>
      </c>
      <c r="J13032" t="str">
        <f t="shared" si="2564"/>
        <v>18/11/2025</v>
      </c>
      <c r="K13032" t="str">
        <f>("27/11/2025")</f>
        <v>27/11/2025</v>
      </c>
      <c r="L13032">
        <v>600</v>
      </c>
      <c r="M13032">
        <v>600</v>
      </c>
      <c r="N13032">
        <v>109</v>
      </c>
      <c r="O13032" t="str">
        <f>"PAGAMENTO DE ENTREGADORES"</f>
        <v>PAGAMENTO DE ENTREGADORES</v>
      </c>
      <c r="P13032">
        <v>600</v>
      </c>
      <c r="S13032" t="str">
        <f>"BANCO C6 (149)"</f>
        <v>BANCO C6 (149)</v>
      </c>
      <c r="T13032">
        <v>22643</v>
      </c>
      <c r="U13032">
        <v>25804</v>
      </c>
      <c r="V13032" t="s">
        <v>77</v>
      </c>
    </row>
    <row r="13033" spans="1:22">
      <c r="A13033" t="str">
        <f t="shared" si="2557"/>
        <v>27/11/2025</v>
      </c>
      <c r="B13033" t="str">
        <f t="shared" si="2558"/>
        <v>SAÍDA</v>
      </c>
      <c r="C13033" t="str">
        <f t="shared" si="2559"/>
        <v>PIX</v>
      </c>
      <c r="D13033" t="str">
        <f>"25804"</f>
        <v>25804</v>
      </c>
      <c r="E13033" t="str">
        <f t="shared" si="2561"/>
        <v>1</v>
      </c>
      <c r="F13033" t="str">
        <f t="shared" si="2563"/>
        <v>COM</v>
      </c>
      <c r="G13033" t="str">
        <f>"JUNIO SOUZA SILVA (610)"</f>
        <v>JUNIO SOUZA SILVA (610)</v>
      </c>
      <c r="H13033" t="s">
        <v>3547</v>
      </c>
      <c r="I13033" t="str">
        <f t="shared" si="2560"/>
        <v>27/11/2025</v>
      </c>
      <c r="J13033" t="str">
        <f t="shared" si="2564"/>
        <v>18/11/2025</v>
      </c>
      <c r="K13033">
        <v>45988</v>
      </c>
      <c r="N13033">
        <v>109</v>
      </c>
      <c r="O13033" t="s">
        <v>24</v>
      </c>
      <c r="Q13033">
        <v>600</v>
      </c>
      <c r="R13033" t="str">
        <f>"FARMÁCIA INDIANA LJ 77 (10034)"</f>
        <v>FARMÁCIA INDIANA LJ 77 (10034)</v>
      </c>
      <c r="S13033" t="s">
        <v>77</v>
      </c>
      <c r="T13033">
        <v>22643</v>
      </c>
      <c r="U13033">
        <v>25804</v>
      </c>
      <c r="V13033" t="s">
        <v>77</v>
      </c>
    </row>
    <row r="13034" spans="1:22">
      <c r="A13034" t="str">
        <f t="shared" si="2557"/>
        <v>27/11/2025</v>
      </c>
      <c r="B13034" t="str">
        <f t="shared" si="2558"/>
        <v>SAÍDA</v>
      </c>
      <c r="C13034" t="str">
        <f t="shared" si="2559"/>
        <v>PIX</v>
      </c>
      <c r="D13034" t="str">
        <f>"25805"</f>
        <v>25805</v>
      </c>
      <c r="E13034" t="str">
        <f t="shared" si="2561"/>
        <v>1</v>
      </c>
      <c r="F13034" t="str">
        <f t="shared" si="2563"/>
        <v>COM</v>
      </c>
      <c r="G13034" t="str">
        <f>"KHENNEDY DAVY DOS SANTOS SILVA (692)"</f>
        <v>KHENNEDY DAVY DOS SANTOS SILVA (692)</v>
      </c>
      <c r="H13034" t="str">
        <f>"Serv.Prest. 10/11/2025 a 16/11/2025 - PIX: CPF - CHAVE: 094.700.685-05"</f>
        <v>Serv.Prest. 10/11/2025 a 16/11/2025 - PIX: CPF - CHAVE: 094.700.685-05</v>
      </c>
      <c r="I13034" t="str">
        <f t="shared" si="2560"/>
        <v>27/11/2025</v>
      </c>
      <c r="J13034" t="str">
        <f t="shared" si="2564"/>
        <v>18/11/2025</v>
      </c>
      <c r="K13034" t="str">
        <f>("27/11/2025")</f>
        <v>27/11/2025</v>
      </c>
      <c r="L13034">
        <v>654</v>
      </c>
      <c r="M13034">
        <v>654</v>
      </c>
      <c r="N13034">
        <v>109</v>
      </c>
      <c r="O13034" t="str">
        <f>"PAGAMENTO DE ENTREGADORES"</f>
        <v>PAGAMENTO DE ENTREGADORES</v>
      </c>
      <c r="P13034">
        <v>654</v>
      </c>
      <c r="S13034" t="str">
        <f>"BANCO C6 (149)"</f>
        <v>BANCO C6 (149)</v>
      </c>
      <c r="T13034">
        <v>22644</v>
      </c>
      <c r="U13034">
        <v>25805</v>
      </c>
      <c r="V13034" t="s">
        <v>77</v>
      </c>
    </row>
    <row r="13035" spans="1:22">
      <c r="A13035" t="str">
        <f t="shared" si="2557"/>
        <v>27/11/2025</v>
      </c>
      <c r="B13035" t="str">
        <f t="shared" si="2558"/>
        <v>SAÍDA</v>
      </c>
      <c r="C13035" t="str">
        <f t="shared" si="2559"/>
        <v>PIX</v>
      </c>
      <c r="D13035" t="str">
        <f>"25805"</f>
        <v>25805</v>
      </c>
      <c r="E13035" t="str">
        <f t="shared" si="2561"/>
        <v>1</v>
      </c>
      <c r="F13035" t="str">
        <f t="shared" si="2563"/>
        <v>COM</v>
      </c>
      <c r="G13035" t="str">
        <f>"KHENNEDY DAVY DOS SANTOS SILVA (692)"</f>
        <v>KHENNEDY DAVY DOS SANTOS SILVA (692)</v>
      </c>
      <c r="H13035" t="s">
        <v>3548</v>
      </c>
      <c r="I13035" t="str">
        <f t="shared" si="2560"/>
        <v>27/11/2025</v>
      </c>
      <c r="J13035" t="str">
        <f t="shared" si="2564"/>
        <v>18/11/2025</v>
      </c>
      <c r="K13035">
        <v>45988</v>
      </c>
      <c r="N13035">
        <v>109</v>
      </c>
      <c r="O13035" t="s">
        <v>24</v>
      </c>
      <c r="Q13035">
        <v>550.73</v>
      </c>
      <c r="R13035" t="str">
        <f>"FARMÁCIA INDIANA LJ 65 (10030)"</f>
        <v>FARMÁCIA INDIANA LJ 65 (10030)</v>
      </c>
      <c r="S13035" t="s">
        <v>77</v>
      </c>
      <c r="T13035">
        <v>22644</v>
      </c>
      <c r="U13035">
        <v>25805</v>
      </c>
      <c r="V13035" t="s">
        <v>77</v>
      </c>
    </row>
    <row r="13036" spans="1:22">
      <c r="A13036" t="str">
        <f t="shared" si="2557"/>
        <v>27/11/2025</v>
      </c>
      <c r="B13036" t="str">
        <f t="shared" si="2558"/>
        <v>SAÍDA</v>
      </c>
      <c r="C13036" t="str">
        <f t="shared" si="2559"/>
        <v>PIX</v>
      </c>
      <c r="D13036" t="str">
        <f>"25805"</f>
        <v>25805</v>
      </c>
      <c r="E13036" t="str">
        <f t="shared" si="2561"/>
        <v>1</v>
      </c>
      <c r="F13036" t="str">
        <f t="shared" si="2563"/>
        <v>COM</v>
      </c>
      <c r="G13036" t="str">
        <f>"KHENNEDY DAVY DOS SANTOS SILVA (692)"</f>
        <v>KHENNEDY DAVY DOS SANTOS SILVA (692)</v>
      </c>
      <c r="H13036" t="s">
        <v>3548</v>
      </c>
      <c r="I13036" t="str">
        <f t="shared" si="2560"/>
        <v>27/11/2025</v>
      </c>
      <c r="J13036" t="str">
        <f t="shared" si="2564"/>
        <v>18/11/2025</v>
      </c>
      <c r="K13036">
        <v>45988</v>
      </c>
      <c r="N13036">
        <v>109</v>
      </c>
      <c r="O13036" t="s">
        <v>24</v>
      </c>
      <c r="Q13036">
        <v>103.27</v>
      </c>
      <c r="R13036" t="str">
        <f>"FARMÁCIA INDIANA LJ 173 (10075)"</f>
        <v>FARMÁCIA INDIANA LJ 173 (10075)</v>
      </c>
      <c r="S13036" t="s">
        <v>77</v>
      </c>
      <c r="T13036">
        <v>22644</v>
      </c>
      <c r="U13036">
        <v>25805</v>
      </c>
      <c r="V13036" t="s">
        <v>77</v>
      </c>
    </row>
    <row r="13037" spans="1:22">
      <c r="A13037" t="str">
        <f t="shared" si="2557"/>
        <v>27/11/2025</v>
      </c>
      <c r="B13037" t="str">
        <f t="shared" si="2558"/>
        <v>SAÍDA</v>
      </c>
      <c r="C13037" t="str">
        <f t="shared" si="2559"/>
        <v>PIX</v>
      </c>
      <c r="D13037" t="str">
        <f>"25806"</f>
        <v>25806</v>
      </c>
      <c r="E13037" t="str">
        <f t="shared" si="2561"/>
        <v>1</v>
      </c>
      <c r="F13037" t="str">
        <f t="shared" si="2563"/>
        <v>COM</v>
      </c>
      <c r="G13037" t="str">
        <f>"LEONARDO MERCÊS CAJAZEIRAS (235)"</f>
        <v>LEONARDO MERCÊS CAJAZEIRAS (235)</v>
      </c>
      <c r="H13037" t="str">
        <f>"Serv.Prest. 10/11/2025 a 16/11/2025 - PIX: CELULAR - CHAVE: (73) 99803-0715"</f>
        <v>Serv.Prest. 10/11/2025 a 16/11/2025 - PIX: CELULAR - CHAVE: (73) 99803-0715</v>
      </c>
      <c r="I13037" t="str">
        <f t="shared" si="2560"/>
        <v>27/11/2025</v>
      </c>
      <c r="J13037" t="str">
        <f t="shared" si="2564"/>
        <v>18/11/2025</v>
      </c>
      <c r="K13037" t="str">
        <f>("27/11/2025")</f>
        <v>27/11/2025</v>
      </c>
      <c r="L13037">
        <v>600</v>
      </c>
      <c r="M13037">
        <v>600</v>
      </c>
      <c r="N13037">
        <v>109</v>
      </c>
      <c r="O13037" t="str">
        <f>"PAGAMENTO DE ENTREGADORES"</f>
        <v>PAGAMENTO DE ENTREGADORES</v>
      </c>
      <c r="P13037">
        <v>600</v>
      </c>
      <c r="S13037" t="str">
        <f>"BANCO C6 (149)"</f>
        <v>BANCO C6 (149)</v>
      </c>
      <c r="T13037">
        <v>22645</v>
      </c>
      <c r="U13037">
        <v>25806</v>
      </c>
      <c r="V13037" t="s">
        <v>77</v>
      </c>
    </row>
    <row r="13038" spans="1:22">
      <c r="A13038" t="str">
        <f t="shared" si="2557"/>
        <v>27/11/2025</v>
      </c>
      <c r="B13038" t="str">
        <f t="shared" si="2558"/>
        <v>SAÍDA</v>
      </c>
      <c r="C13038" t="str">
        <f t="shared" si="2559"/>
        <v>PIX</v>
      </c>
      <c r="D13038" t="str">
        <f>"25806"</f>
        <v>25806</v>
      </c>
      <c r="E13038" t="str">
        <f t="shared" si="2561"/>
        <v>1</v>
      </c>
      <c r="F13038" t="str">
        <f t="shared" si="2563"/>
        <v>COM</v>
      </c>
      <c r="G13038" t="str">
        <f>"LEONARDO MERCÊS CAJAZEIRAS (235)"</f>
        <v>LEONARDO MERCÊS CAJAZEIRAS (235)</v>
      </c>
      <c r="H13038" t="s">
        <v>3549</v>
      </c>
      <c r="I13038" t="str">
        <f t="shared" si="2560"/>
        <v>27/11/2025</v>
      </c>
      <c r="J13038" t="str">
        <f t="shared" si="2564"/>
        <v>18/11/2025</v>
      </c>
      <c r="K13038">
        <v>45988</v>
      </c>
      <c r="N13038">
        <v>109</v>
      </c>
      <c r="O13038" t="s">
        <v>24</v>
      </c>
      <c r="Q13038">
        <v>600</v>
      </c>
      <c r="R13038" t="str">
        <f>"FARMÁCIA INDIANA LJ 35 (10015)"</f>
        <v>FARMÁCIA INDIANA LJ 35 (10015)</v>
      </c>
      <c r="S13038" t="s">
        <v>77</v>
      </c>
      <c r="T13038">
        <v>22645</v>
      </c>
      <c r="U13038">
        <v>25806</v>
      </c>
      <c r="V13038" t="s">
        <v>77</v>
      </c>
    </row>
    <row r="13039" spans="1:22">
      <c r="A13039" t="str">
        <f t="shared" si="2557"/>
        <v>27/11/2025</v>
      </c>
      <c r="B13039" t="str">
        <f t="shared" si="2558"/>
        <v>SAÍDA</v>
      </c>
      <c r="C13039" t="str">
        <f t="shared" si="2559"/>
        <v>PIX</v>
      </c>
      <c r="D13039" t="str">
        <f>"25807"</f>
        <v>25807</v>
      </c>
      <c r="E13039" t="str">
        <f t="shared" si="2561"/>
        <v>1</v>
      </c>
      <c r="F13039" t="str">
        <f t="shared" si="2563"/>
        <v>COM</v>
      </c>
      <c r="G13039" t="str">
        <f>"LUCAS MOREIRA PEREIRA (153)"</f>
        <v>LUCAS MOREIRA PEREIRA (153)</v>
      </c>
      <c r="H13039" t="str">
        <f>"Serv.Prest. 10/11/2025 a 16/11/2025 - PIX: CELULAR - CHAVE: (73) 99967-3239"</f>
        <v>Serv.Prest. 10/11/2025 a 16/11/2025 - PIX: CELULAR - CHAVE: (73) 99967-3239</v>
      </c>
      <c r="I13039" t="str">
        <f t="shared" si="2560"/>
        <v>27/11/2025</v>
      </c>
      <c r="J13039" t="str">
        <f t="shared" si="2564"/>
        <v>18/11/2025</v>
      </c>
      <c r="K13039" t="str">
        <f>("27/11/2025")</f>
        <v>27/11/2025</v>
      </c>
      <c r="L13039">
        <v>2190</v>
      </c>
      <c r="M13039">
        <v>2190</v>
      </c>
      <c r="N13039">
        <v>109</v>
      </c>
      <c r="O13039" t="str">
        <f>"PAGAMENTO DE ENTREGADORES"</f>
        <v>PAGAMENTO DE ENTREGADORES</v>
      </c>
      <c r="P13039">
        <v>2190</v>
      </c>
      <c r="S13039" t="str">
        <f>"BANCO C6 (149)"</f>
        <v>BANCO C6 (149)</v>
      </c>
      <c r="T13039">
        <v>22646</v>
      </c>
      <c r="U13039">
        <v>25807</v>
      </c>
      <c r="V13039" t="s">
        <v>77</v>
      </c>
    </row>
    <row r="13040" spans="1:22">
      <c r="A13040" t="str">
        <f t="shared" si="2557"/>
        <v>27/11/2025</v>
      </c>
      <c r="B13040" t="str">
        <f t="shared" si="2558"/>
        <v>SAÍDA</v>
      </c>
      <c r="C13040" t="str">
        <f t="shared" si="2559"/>
        <v>PIX</v>
      </c>
      <c r="D13040" t="str">
        <f>"25807"</f>
        <v>25807</v>
      </c>
      <c r="E13040" t="str">
        <f t="shared" si="2561"/>
        <v>1</v>
      </c>
      <c r="F13040" t="str">
        <f t="shared" si="2563"/>
        <v>COM</v>
      </c>
      <c r="G13040" t="str">
        <f>"LUCAS MOREIRA PEREIRA (153)"</f>
        <v>LUCAS MOREIRA PEREIRA (153)</v>
      </c>
      <c r="H13040" t="s">
        <v>3550</v>
      </c>
      <c r="I13040" t="str">
        <f t="shared" si="2560"/>
        <v>27/11/2025</v>
      </c>
      <c r="J13040" t="str">
        <f t="shared" si="2564"/>
        <v>18/11/2025</v>
      </c>
      <c r="K13040">
        <v>45988</v>
      </c>
      <c r="N13040">
        <v>109</v>
      </c>
      <c r="O13040" t="s">
        <v>24</v>
      </c>
      <c r="Q13040">
        <v>1485.04</v>
      </c>
      <c r="R13040" t="str">
        <f>"FARMÁCIA INDIANA LJ 48 (10018)"</f>
        <v>FARMÁCIA INDIANA LJ 48 (10018)</v>
      </c>
      <c r="S13040" t="s">
        <v>77</v>
      </c>
      <c r="T13040">
        <v>22646</v>
      </c>
      <c r="U13040">
        <v>25807</v>
      </c>
      <c r="V13040" t="s">
        <v>77</v>
      </c>
    </row>
    <row r="13041" spans="1:22">
      <c r="A13041" t="str">
        <f t="shared" si="2557"/>
        <v>27/11/2025</v>
      </c>
      <c r="B13041" t="str">
        <f t="shared" si="2558"/>
        <v>SAÍDA</v>
      </c>
      <c r="C13041" t="str">
        <f t="shared" si="2559"/>
        <v>PIX</v>
      </c>
      <c r="D13041" t="str">
        <f>"25807"</f>
        <v>25807</v>
      </c>
      <c r="E13041" t="str">
        <f t="shared" si="2561"/>
        <v>1</v>
      </c>
      <c r="F13041" t="str">
        <f t="shared" si="2563"/>
        <v>COM</v>
      </c>
      <c r="G13041" t="str">
        <f>"LUCAS MOREIRA PEREIRA (153)"</f>
        <v>LUCAS MOREIRA PEREIRA (153)</v>
      </c>
      <c r="H13041" t="s">
        <v>3550</v>
      </c>
      <c r="I13041" t="str">
        <f t="shared" si="2560"/>
        <v>27/11/2025</v>
      </c>
      <c r="J13041" t="str">
        <f t="shared" si="2564"/>
        <v>18/11/2025</v>
      </c>
      <c r="K13041">
        <v>45988</v>
      </c>
      <c r="N13041">
        <v>109</v>
      </c>
      <c r="O13041" t="s">
        <v>24</v>
      </c>
      <c r="Q13041">
        <v>704.96</v>
      </c>
      <c r="R13041" t="str">
        <f>"FARMÁCIA INDIANA LJ 169 (10073)"</f>
        <v>FARMÁCIA INDIANA LJ 169 (10073)</v>
      </c>
      <c r="S13041" t="s">
        <v>77</v>
      </c>
      <c r="T13041">
        <v>22646</v>
      </c>
      <c r="U13041">
        <v>25807</v>
      </c>
      <c r="V13041" t="s">
        <v>77</v>
      </c>
    </row>
    <row r="13042" spans="1:22">
      <c r="A13042" t="str">
        <f t="shared" si="2557"/>
        <v>27/11/2025</v>
      </c>
      <c r="B13042" t="str">
        <f t="shared" si="2558"/>
        <v>SAÍDA</v>
      </c>
      <c r="C13042" t="str">
        <f t="shared" si="2559"/>
        <v>PIX</v>
      </c>
      <c r="D13042" t="str">
        <f>"25808"</f>
        <v>25808</v>
      </c>
      <c r="E13042" t="str">
        <f t="shared" si="2561"/>
        <v>1</v>
      </c>
      <c r="F13042" t="str">
        <f t="shared" si="2563"/>
        <v>COM</v>
      </c>
      <c r="G13042" t="str">
        <f>"MARIA ILZA PEREIRA DOS SANTOS (618)"</f>
        <v>MARIA ILZA PEREIRA DOS SANTOS (618)</v>
      </c>
      <c r="H13042" t="str">
        <f>"Serv.Prest. 10/11/2025 a 16/11/2025 - PIX: CPF - CHAVE: 003.157.195-67"</f>
        <v>Serv.Prest. 10/11/2025 a 16/11/2025 - PIX: CPF - CHAVE: 003.157.195-67</v>
      </c>
      <c r="I13042" t="str">
        <f t="shared" si="2560"/>
        <v>27/11/2025</v>
      </c>
      <c r="J13042" t="str">
        <f t="shared" si="2564"/>
        <v>18/11/2025</v>
      </c>
      <c r="K13042" t="str">
        <f>("27/11/2025")</f>
        <v>27/11/2025</v>
      </c>
      <c r="L13042">
        <v>654</v>
      </c>
      <c r="M13042">
        <v>654</v>
      </c>
      <c r="N13042">
        <v>109</v>
      </c>
      <c r="O13042" t="str">
        <f>"PAGAMENTO DE ENTREGADORES"</f>
        <v>PAGAMENTO DE ENTREGADORES</v>
      </c>
      <c r="P13042">
        <v>654</v>
      </c>
      <c r="S13042" t="str">
        <f>"BANCO C6 (149)"</f>
        <v>BANCO C6 (149)</v>
      </c>
      <c r="T13042">
        <v>22647</v>
      </c>
      <c r="U13042">
        <v>25808</v>
      </c>
      <c r="V13042" t="s">
        <v>77</v>
      </c>
    </row>
    <row r="13043" spans="1:22">
      <c r="A13043" t="str">
        <f t="shared" ref="A13043:A13106" si="2565">("27/11/2025")</f>
        <v>27/11/2025</v>
      </c>
      <c r="B13043" t="str">
        <f t="shared" ref="B13043:B13106" si="2566">"SAÍDA"</f>
        <v>SAÍDA</v>
      </c>
      <c r="C13043" t="str">
        <f t="shared" ref="C13043:C13106" si="2567">"PIX"</f>
        <v>PIX</v>
      </c>
      <c r="D13043" t="str">
        <f>"25808"</f>
        <v>25808</v>
      </c>
      <c r="E13043" t="str">
        <f t="shared" si="2561"/>
        <v>1</v>
      </c>
      <c r="F13043" t="str">
        <f t="shared" si="2563"/>
        <v>COM</v>
      </c>
      <c r="G13043" t="str">
        <f>"MARIA ILZA PEREIRA DOS SANTOS (618)"</f>
        <v>MARIA ILZA PEREIRA DOS SANTOS (618)</v>
      </c>
      <c r="H13043" t="s">
        <v>3551</v>
      </c>
      <c r="I13043" t="str">
        <f t="shared" ref="I13043:I13106" si="2568">("27/11/2025")</f>
        <v>27/11/2025</v>
      </c>
      <c r="J13043" t="str">
        <f t="shared" si="2564"/>
        <v>18/11/2025</v>
      </c>
      <c r="K13043">
        <v>45988</v>
      </c>
      <c r="N13043">
        <v>109</v>
      </c>
      <c r="O13043" t="s">
        <v>24</v>
      </c>
      <c r="Q13043">
        <v>560.54</v>
      </c>
      <c r="R13043" t="str">
        <f>"FARMÁCIA INDIANA LJ 65 (10030)"</f>
        <v>FARMÁCIA INDIANA LJ 65 (10030)</v>
      </c>
      <c r="S13043" t="s">
        <v>77</v>
      </c>
      <c r="T13043">
        <v>22647</v>
      </c>
      <c r="U13043">
        <v>25808</v>
      </c>
      <c r="V13043" t="s">
        <v>77</v>
      </c>
    </row>
    <row r="13044" spans="1:22">
      <c r="A13044" t="str">
        <f t="shared" si="2565"/>
        <v>27/11/2025</v>
      </c>
      <c r="B13044" t="str">
        <f t="shared" si="2566"/>
        <v>SAÍDA</v>
      </c>
      <c r="C13044" t="str">
        <f t="shared" si="2567"/>
        <v>PIX</v>
      </c>
      <c r="D13044" t="str">
        <f>"25808"</f>
        <v>25808</v>
      </c>
      <c r="E13044" t="str">
        <f t="shared" si="2561"/>
        <v>1</v>
      </c>
      <c r="F13044" t="str">
        <f t="shared" si="2563"/>
        <v>COM</v>
      </c>
      <c r="G13044" t="str">
        <f>"MARIA ILZA PEREIRA DOS SANTOS (618)"</f>
        <v>MARIA ILZA PEREIRA DOS SANTOS (618)</v>
      </c>
      <c r="H13044" t="s">
        <v>3551</v>
      </c>
      <c r="I13044" t="str">
        <f t="shared" si="2568"/>
        <v>27/11/2025</v>
      </c>
      <c r="J13044" t="str">
        <f t="shared" si="2564"/>
        <v>18/11/2025</v>
      </c>
      <c r="K13044">
        <v>45988</v>
      </c>
      <c r="N13044">
        <v>109</v>
      </c>
      <c r="O13044" t="s">
        <v>24</v>
      </c>
      <c r="Q13044">
        <v>93.46</v>
      </c>
      <c r="R13044" t="str">
        <f>"FARMÁCIA INDIANA LJ 173 (10075)"</f>
        <v>FARMÁCIA INDIANA LJ 173 (10075)</v>
      </c>
      <c r="S13044" t="s">
        <v>77</v>
      </c>
      <c r="T13044">
        <v>22647</v>
      </c>
      <c r="U13044">
        <v>25808</v>
      </c>
      <c r="V13044" t="s">
        <v>77</v>
      </c>
    </row>
    <row r="13045" spans="1:22">
      <c r="A13045" t="str">
        <f t="shared" si="2565"/>
        <v>27/11/2025</v>
      </c>
      <c r="B13045" t="str">
        <f t="shared" si="2566"/>
        <v>SAÍDA</v>
      </c>
      <c r="C13045" t="str">
        <f t="shared" si="2567"/>
        <v>PIX</v>
      </c>
      <c r="D13045" t="str">
        <f>"25809"</f>
        <v>25809</v>
      </c>
      <c r="E13045" t="str">
        <f t="shared" si="2561"/>
        <v>1</v>
      </c>
      <c r="F13045" t="str">
        <f t="shared" si="2563"/>
        <v>COM</v>
      </c>
      <c r="G13045" t="str">
        <f>"MOABIO AZEVEDO DOS SANTOS (131)"</f>
        <v>MOABIO AZEVEDO DOS SANTOS (131)</v>
      </c>
      <c r="H13045" t="str">
        <f>"Serv.Prest. 10/11/2025 a 16/11/2025 - PIX: CNPJ - CHAVE: 33.412.676/0001-41"</f>
        <v>Serv.Prest. 10/11/2025 a 16/11/2025 - PIX: CNPJ - CHAVE: 33.412.676/0001-41</v>
      </c>
      <c r="I13045" t="str">
        <f t="shared" si="2568"/>
        <v>27/11/2025</v>
      </c>
      <c r="J13045" t="str">
        <f t="shared" si="2564"/>
        <v>18/11/2025</v>
      </c>
      <c r="K13045" t="str">
        <f>("27/11/2025")</f>
        <v>27/11/2025</v>
      </c>
      <c r="L13045">
        <v>1008</v>
      </c>
      <c r="M13045">
        <v>1008</v>
      </c>
      <c r="N13045">
        <v>109</v>
      </c>
      <c r="O13045" t="str">
        <f>"PAGAMENTO DE ENTREGADORES"</f>
        <v>PAGAMENTO DE ENTREGADORES</v>
      </c>
      <c r="P13045">
        <v>1008</v>
      </c>
      <c r="S13045" t="str">
        <f>"BANCO C6 (149)"</f>
        <v>BANCO C6 (149)</v>
      </c>
      <c r="T13045">
        <v>22648</v>
      </c>
      <c r="U13045">
        <v>25809</v>
      </c>
      <c r="V13045" t="s">
        <v>77</v>
      </c>
    </row>
    <row r="13046" spans="1:22">
      <c r="A13046" t="str">
        <f t="shared" si="2565"/>
        <v>27/11/2025</v>
      </c>
      <c r="B13046" t="str">
        <f t="shared" si="2566"/>
        <v>SAÍDA</v>
      </c>
      <c r="C13046" t="str">
        <f t="shared" si="2567"/>
        <v>PIX</v>
      </c>
      <c r="D13046" t="str">
        <f>"25809"</f>
        <v>25809</v>
      </c>
      <c r="E13046" t="str">
        <f t="shared" si="2561"/>
        <v>1</v>
      </c>
      <c r="F13046" t="str">
        <f t="shared" si="2563"/>
        <v>COM</v>
      </c>
      <c r="G13046" t="str">
        <f>"MOABIO AZEVEDO DOS SANTOS (131)"</f>
        <v>MOABIO AZEVEDO DOS SANTOS (131)</v>
      </c>
      <c r="H13046" t="s">
        <v>3552</v>
      </c>
      <c r="I13046" t="str">
        <f t="shared" si="2568"/>
        <v>27/11/2025</v>
      </c>
      <c r="J13046" t="str">
        <f t="shared" si="2564"/>
        <v>18/11/2025</v>
      </c>
      <c r="K13046">
        <v>45988</v>
      </c>
      <c r="N13046">
        <v>109</v>
      </c>
      <c r="O13046" t="s">
        <v>24</v>
      </c>
      <c r="Q13046">
        <v>1008</v>
      </c>
      <c r="R13046" t="str">
        <f>"FARMÁCIA INDIANA LJ 91 (10037)"</f>
        <v>FARMÁCIA INDIANA LJ 91 (10037)</v>
      </c>
      <c r="S13046" t="s">
        <v>77</v>
      </c>
      <c r="T13046">
        <v>22648</v>
      </c>
      <c r="U13046">
        <v>25809</v>
      </c>
      <c r="V13046" t="s">
        <v>77</v>
      </c>
    </row>
    <row r="13047" spans="1:22">
      <c r="A13047" t="str">
        <f t="shared" si="2565"/>
        <v>27/11/2025</v>
      </c>
      <c r="B13047" t="str">
        <f t="shared" si="2566"/>
        <v>SAÍDA</v>
      </c>
      <c r="C13047" t="str">
        <f t="shared" si="2567"/>
        <v>PIX</v>
      </c>
      <c r="D13047" t="str">
        <f>"25810"</f>
        <v>25810</v>
      </c>
      <c r="E13047" t="str">
        <f t="shared" si="2561"/>
        <v>1</v>
      </c>
      <c r="F13047" t="str">
        <f t="shared" si="2563"/>
        <v>COM</v>
      </c>
      <c r="G13047" t="str">
        <f>"NATANAEL AZEVEDO DOS SANTOS (765)"</f>
        <v>NATANAEL AZEVEDO DOS SANTOS (765)</v>
      </c>
      <c r="H13047" t="str">
        <f>"Serv.Prest. 10/11/2025 a 16/11/2025 - PIX: CPF - CHAVE: 007.842.745-25"</f>
        <v>Serv.Prest. 10/11/2025 a 16/11/2025 - PIX: CPF - CHAVE: 007.842.745-25</v>
      </c>
      <c r="I13047" t="str">
        <f t="shared" si="2568"/>
        <v>27/11/2025</v>
      </c>
      <c r="J13047" t="str">
        <f t="shared" si="2564"/>
        <v>18/11/2025</v>
      </c>
      <c r="K13047" t="str">
        <f>("27/11/2025")</f>
        <v>27/11/2025</v>
      </c>
      <c r="L13047">
        <v>570</v>
      </c>
      <c r="M13047">
        <v>570</v>
      </c>
      <c r="N13047">
        <v>109</v>
      </c>
      <c r="O13047" t="str">
        <f>"PAGAMENTO DE ENTREGADORES"</f>
        <v>PAGAMENTO DE ENTREGADORES</v>
      </c>
      <c r="P13047">
        <v>570</v>
      </c>
      <c r="S13047" t="str">
        <f>"BANCO C6 (149)"</f>
        <v>BANCO C6 (149)</v>
      </c>
      <c r="T13047">
        <v>22649</v>
      </c>
      <c r="U13047">
        <v>25810</v>
      </c>
      <c r="V13047" t="s">
        <v>77</v>
      </c>
    </row>
    <row r="13048" spans="1:22">
      <c r="A13048" t="str">
        <f t="shared" si="2565"/>
        <v>27/11/2025</v>
      </c>
      <c r="B13048" t="str">
        <f t="shared" si="2566"/>
        <v>SAÍDA</v>
      </c>
      <c r="C13048" t="str">
        <f t="shared" si="2567"/>
        <v>PIX</v>
      </c>
      <c r="D13048" t="str">
        <f>"25810"</f>
        <v>25810</v>
      </c>
      <c r="E13048" t="str">
        <f t="shared" si="2561"/>
        <v>1</v>
      </c>
      <c r="F13048" t="str">
        <f t="shared" si="2563"/>
        <v>COM</v>
      </c>
      <c r="G13048" t="str">
        <f>"NATANAEL AZEVEDO DOS SANTOS (765)"</f>
        <v>NATANAEL AZEVEDO DOS SANTOS (765)</v>
      </c>
      <c r="H13048" t="s">
        <v>3553</v>
      </c>
      <c r="I13048" t="str">
        <f t="shared" si="2568"/>
        <v>27/11/2025</v>
      </c>
      <c r="J13048" t="str">
        <f t="shared" si="2564"/>
        <v>18/11/2025</v>
      </c>
      <c r="K13048">
        <v>45988</v>
      </c>
      <c r="N13048">
        <v>109</v>
      </c>
      <c r="O13048" t="s">
        <v>24</v>
      </c>
      <c r="Q13048">
        <v>570</v>
      </c>
      <c r="R13048" t="str">
        <f>"FARMÁCIA INDIANA LJ 91 (10037)"</f>
        <v>FARMÁCIA INDIANA LJ 91 (10037)</v>
      </c>
      <c r="S13048" t="s">
        <v>77</v>
      </c>
      <c r="T13048">
        <v>22649</v>
      </c>
      <c r="U13048">
        <v>25810</v>
      </c>
      <c r="V13048" t="s">
        <v>77</v>
      </c>
    </row>
    <row r="13049" spans="1:22">
      <c r="A13049" t="str">
        <f t="shared" si="2565"/>
        <v>27/11/2025</v>
      </c>
      <c r="B13049" t="str">
        <f t="shared" si="2566"/>
        <v>SAÍDA</v>
      </c>
      <c r="C13049" t="str">
        <f t="shared" si="2567"/>
        <v>PIX</v>
      </c>
      <c r="D13049" t="str">
        <f>"25811"</f>
        <v>25811</v>
      </c>
      <c r="E13049" t="str">
        <f t="shared" si="2561"/>
        <v>1</v>
      </c>
      <c r="F13049" t="str">
        <f t="shared" si="2563"/>
        <v>COM</v>
      </c>
      <c r="G13049" t="str">
        <f>"OSVALDO DOS SANTOS (163)"</f>
        <v>OSVALDO DOS SANTOS (163)</v>
      </c>
      <c r="H13049" t="str">
        <f>"Serv.Prest. 10/11/2025 a 16/11/2025 - PIX: CELULAR - CHAVE: (73) 99977-2721"</f>
        <v>Serv.Prest. 10/11/2025 a 16/11/2025 - PIX: CELULAR - CHAVE: (73) 99977-2721</v>
      </c>
      <c r="I13049" t="str">
        <f t="shared" si="2568"/>
        <v>27/11/2025</v>
      </c>
      <c r="J13049" t="str">
        <f t="shared" si="2564"/>
        <v>18/11/2025</v>
      </c>
      <c r="K13049" t="str">
        <f>("27/11/2025")</f>
        <v>27/11/2025</v>
      </c>
      <c r="L13049">
        <v>600</v>
      </c>
      <c r="M13049">
        <v>600</v>
      </c>
      <c r="N13049">
        <v>109</v>
      </c>
      <c r="O13049" t="str">
        <f>"PAGAMENTO DE ENTREGADORES"</f>
        <v>PAGAMENTO DE ENTREGADORES</v>
      </c>
      <c r="P13049">
        <v>600</v>
      </c>
      <c r="S13049" t="str">
        <f>"BANCO C6 (149)"</f>
        <v>BANCO C6 (149)</v>
      </c>
      <c r="T13049">
        <v>22650</v>
      </c>
      <c r="U13049">
        <v>25811</v>
      </c>
      <c r="V13049" t="s">
        <v>77</v>
      </c>
    </row>
    <row r="13050" spans="1:22">
      <c r="A13050" t="str">
        <f t="shared" si="2565"/>
        <v>27/11/2025</v>
      </c>
      <c r="B13050" t="str">
        <f t="shared" si="2566"/>
        <v>SAÍDA</v>
      </c>
      <c r="C13050" t="str">
        <f t="shared" si="2567"/>
        <v>PIX</v>
      </c>
      <c r="D13050" t="str">
        <f>"25811"</f>
        <v>25811</v>
      </c>
      <c r="E13050" t="str">
        <f t="shared" si="2561"/>
        <v>1</v>
      </c>
      <c r="F13050" t="str">
        <f t="shared" si="2563"/>
        <v>COM</v>
      </c>
      <c r="G13050" t="str">
        <f>"OSVALDO DOS SANTOS (163)"</f>
        <v>OSVALDO DOS SANTOS (163)</v>
      </c>
      <c r="H13050" t="s">
        <v>3554</v>
      </c>
      <c r="I13050" t="str">
        <f t="shared" si="2568"/>
        <v>27/11/2025</v>
      </c>
      <c r="J13050" t="str">
        <f t="shared" si="2564"/>
        <v>18/11/2025</v>
      </c>
      <c r="K13050">
        <v>45988</v>
      </c>
      <c r="N13050">
        <v>109</v>
      </c>
      <c r="O13050" t="s">
        <v>24</v>
      </c>
      <c r="Q13050">
        <v>600</v>
      </c>
      <c r="R13050" t="str">
        <f>"FARMÁCIA INDIANA LJ 35 (10015)"</f>
        <v>FARMÁCIA INDIANA LJ 35 (10015)</v>
      </c>
      <c r="S13050" t="s">
        <v>77</v>
      </c>
      <c r="T13050">
        <v>22650</v>
      </c>
      <c r="U13050">
        <v>25811</v>
      </c>
      <c r="V13050" t="s">
        <v>77</v>
      </c>
    </row>
    <row r="13051" spans="1:22">
      <c r="A13051" t="str">
        <f t="shared" si="2565"/>
        <v>27/11/2025</v>
      </c>
      <c r="B13051" t="str">
        <f t="shared" si="2566"/>
        <v>SAÍDA</v>
      </c>
      <c r="C13051" t="str">
        <f t="shared" si="2567"/>
        <v>PIX</v>
      </c>
      <c r="D13051" t="str">
        <f>"25814"</f>
        <v>25814</v>
      </c>
      <c r="E13051" t="str">
        <f t="shared" si="2561"/>
        <v>1</v>
      </c>
      <c r="F13051" t="str">
        <f t="shared" si="2563"/>
        <v>COM</v>
      </c>
      <c r="G13051" t="str">
        <f>"VINICIUS SANTOS PEREIRA (633)"</f>
        <v>VINICIUS SANTOS PEREIRA (633)</v>
      </c>
      <c r="H13051" t="str">
        <f>"Serv.Prest. 10/11/2025 a 16/11/2025 - PIX: CELULAR - CHAVE: (73) 99818-9718"</f>
        <v>Serv.Prest. 10/11/2025 a 16/11/2025 - PIX: CELULAR - CHAVE: (73) 99818-9718</v>
      </c>
      <c r="I13051" t="str">
        <f t="shared" si="2568"/>
        <v>27/11/2025</v>
      </c>
      <c r="J13051" t="str">
        <f t="shared" si="2564"/>
        <v>18/11/2025</v>
      </c>
      <c r="K13051" t="str">
        <f>("27/11/2025")</f>
        <v>27/11/2025</v>
      </c>
      <c r="L13051">
        <v>607.75</v>
      </c>
      <c r="M13051">
        <v>607.75</v>
      </c>
      <c r="N13051">
        <v>109</v>
      </c>
      <c r="O13051" t="str">
        <f>"PAGAMENTO DE ENTREGADORES"</f>
        <v>PAGAMENTO DE ENTREGADORES</v>
      </c>
      <c r="P13051">
        <v>607.75</v>
      </c>
      <c r="S13051" t="str">
        <f>"BANCO C6 (149)"</f>
        <v>BANCO C6 (149)</v>
      </c>
      <c r="T13051">
        <v>22651</v>
      </c>
      <c r="U13051">
        <v>25814</v>
      </c>
      <c r="V13051" t="s">
        <v>77</v>
      </c>
    </row>
    <row r="13052" spans="1:22">
      <c r="A13052" t="str">
        <f t="shared" si="2565"/>
        <v>27/11/2025</v>
      </c>
      <c r="B13052" t="str">
        <f t="shared" si="2566"/>
        <v>SAÍDA</v>
      </c>
      <c r="C13052" t="str">
        <f t="shared" si="2567"/>
        <v>PIX</v>
      </c>
      <c r="D13052" t="str">
        <f>"25814"</f>
        <v>25814</v>
      </c>
      <c r="E13052" t="str">
        <f t="shared" si="2561"/>
        <v>1</v>
      </c>
      <c r="F13052" t="str">
        <f t="shared" si="2563"/>
        <v>COM</v>
      </c>
      <c r="G13052" t="str">
        <f>"VINICIUS SANTOS PEREIRA (633)"</f>
        <v>VINICIUS SANTOS PEREIRA (633)</v>
      </c>
      <c r="H13052" t="s">
        <v>3555</v>
      </c>
      <c r="I13052" t="str">
        <f t="shared" si="2568"/>
        <v>27/11/2025</v>
      </c>
      <c r="J13052" t="str">
        <f t="shared" si="2564"/>
        <v>18/11/2025</v>
      </c>
      <c r="K13052">
        <v>45988</v>
      </c>
      <c r="N13052">
        <v>109</v>
      </c>
      <c r="O13052" t="s">
        <v>24</v>
      </c>
      <c r="Q13052">
        <v>607.75</v>
      </c>
      <c r="R13052" t="str">
        <f>"FARMÁCIA INDIANA LJ 95 (10039)"</f>
        <v>FARMÁCIA INDIANA LJ 95 (10039)</v>
      </c>
      <c r="S13052" t="s">
        <v>77</v>
      </c>
      <c r="T13052">
        <v>22651</v>
      </c>
      <c r="U13052">
        <v>25814</v>
      </c>
      <c r="V13052" t="s">
        <v>77</v>
      </c>
    </row>
    <row r="13053" spans="1:22">
      <c r="A13053" t="str">
        <f t="shared" si="2565"/>
        <v>27/11/2025</v>
      </c>
      <c r="B13053" t="str">
        <f t="shared" si="2566"/>
        <v>SAÍDA</v>
      </c>
      <c r="C13053" t="str">
        <f t="shared" si="2567"/>
        <v>PIX</v>
      </c>
      <c r="D13053" t="str">
        <f>"25815"</f>
        <v>25815</v>
      </c>
      <c r="E13053" t="str">
        <f t="shared" si="2561"/>
        <v>1</v>
      </c>
      <c r="F13053" t="str">
        <f t="shared" si="2563"/>
        <v>COM</v>
      </c>
      <c r="G13053" t="str">
        <f>"WESLEI GONÇALVES SANTOS (154)"</f>
        <v>WESLEI GONÇALVES SANTOS (154)</v>
      </c>
      <c r="H13053" t="str">
        <f>"Serv.Prest. 10/11/2025 a 16/11/2025 - PIX: CPF - CHAVE: 079.068.045-97"</f>
        <v>Serv.Prest. 10/11/2025 a 16/11/2025 - PIX: CPF - CHAVE: 079.068.045-97</v>
      </c>
      <c r="I13053" t="str">
        <f t="shared" si="2568"/>
        <v>27/11/2025</v>
      </c>
      <c r="J13053" t="str">
        <f t="shared" si="2564"/>
        <v>18/11/2025</v>
      </c>
      <c r="K13053" t="str">
        <f>("27/11/2025")</f>
        <v>27/11/2025</v>
      </c>
      <c r="L13053">
        <v>600.66</v>
      </c>
      <c r="M13053">
        <v>600.66</v>
      </c>
      <c r="N13053">
        <v>109</v>
      </c>
      <c r="O13053" t="str">
        <f>"PAGAMENTO DE ENTREGADORES"</f>
        <v>PAGAMENTO DE ENTREGADORES</v>
      </c>
      <c r="P13053">
        <v>600.66</v>
      </c>
      <c r="S13053" t="str">
        <f>"BANCO C6 (149)"</f>
        <v>BANCO C6 (149)</v>
      </c>
      <c r="T13053">
        <v>22652</v>
      </c>
      <c r="U13053">
        <v>25815</v>
      </c>
      <c r="V13053" t="s">
        <v>77</v>
      </c>
    </row>
    <row r="13054" spans="1:22">
      <c r="A13054" t="str">
        <f t="shared" si="2565"/>
        <v>27/11/2025</v>
      </c>
      <c r="B13054" t="str">
        <f t="shared" si="2566"/>
        <v>SAÍDA</v>
      </c>
      <c r="C13054" t="str">
        <f t="shared" si="2567"/>
        <v>PIX</v>
      </c>
      <c r="D13054" t="str">
        <f>"25815"</f>
        <v>25815</v>
      </c>
      <c r="E13054" t="str">
        <f t="shared" si="2561"/>
        <v>1</v>
      </c>
      <c r="F13054" t="str">
        <f t="shared" si="2563"/>
        <v>COM</v>
      </c>
      <c r="G13054" t="str">
        <f>"WESLEI GONÇALVES SANTOS (154)"</f>
        <v>WESLEI GONÇALVES SANTOS (154)</v>
      </c>
      <c r="H13054" t="s">
        <v>3556</v>
      </c>
      <c r="I13054" t="str">
        <f t="shared" si="2568"/>
        <v>27/11/2025</v>
      </c>
      <c r="J13054" t="str">
        <f t="shared" si="2564"/>
        <v>18/11/2025</v>
      </c>
      <c r="K13054">
        <v>45988</v>
      </c>
      <c r="N13054">
        <v>109</v>
      </c>
      <c r="O13054" t="s">
        <v>24</v>
      </c>
      <c r="Q13054">
        <v>600.66</v>
      </c>
      <c r="R13054" t="str">
        <f>"FARMÁCIA INDIANA LJ 34 (10014)"</f>
        <v>FARMÁCIA INDIANA LJ 34 (10014)</v>
      </c>
      <c r="S13054" t="s">
        <v>77</v>
      </c>
      <c r="T13054">
        <v>22652</v>
      </c>
      <c r="U13054">
        <v>25815</v>
      </c>
      <c r="V13054" t="s">
        <v>77</v>
      </c>
    </row>
    <row r="13055" spans="1:22">
      <c r="A13055" t="str">
        <f t="shared" si="2565"/>
        <v>27/11/2025</v>
      </c>
      <c r="B13055" t="str">
        <f t="shared" si="2566"/>
        <v>SAÍDA</v>
      </c>
      <c r="C13055" t="str">
        <f t="shared" si="2567"/>
        <v>PIX</v>
      </c>
      <c r="D13055" t="str">
        <f>"25816"</f>
        <v>25816</v>
      </c>
      <c r="E13055" t="str">
        <f t="shared" si="2561"/>
        <v>1</v>
      </c>
      <c r="F13055" t="str">
        <f t="shared" si="2563"/>
        <v>COM</v>
      </c>
      <c r="G13055" t="str">
        <f>"YAN BRENDO CORREIA VIEIRA (861)"</f>
        <v>YAN BRENDO CORREIA VIEIRA (861)</v>
      </c>
      <c r="H13055" t="str">
        <f>"Serv.Prest. 10/11/2025 a 16/11/2025 - PIX: CPF - CHAVE: 096.891.935-97"</f>
        <v>Serv.Prest. 10/11/2025 a 16/11/2025 - PIX: CPF - CHAVE: 096.891.935-97</v>
      </c>
      <c r="I13055" t="str">
        <f t="shared" si="2568"/>
        <v>27/11/2025</v>
      </c>
      <c r="J13055" t="str">
        <f t="shared" si="2564"/>
        <v>18/11/2025</v>
      </c>
      <c r="K13055" t="str">
        <f>("27/11/2025")</f>
        <v>27/11/2025</v>
      </c>
      <c r="L13055">
        <v>800</v>
      </c>
      <c r="M13055">
        <v>800</v>
      </c>
      <c r="N13055">
        <v>109</v>
      </c>
      <c r="O13055" t="str">
        <f>"PAGAMENTO DE ENTREGADORES"</f>
        <v>PAGAMENTO DE ENTREGADORES</v>
      </c>
      <c r="P13055">
        <v>800</v>
      </c>
      <c r="S13055" t="str">
        <f>"BANCO C6 (149)"</f>
        <v>BANCO C6 (149)</v>
      </c>
      <c r="T13055">
        <v>22653</v>
      </c>
      <c r="U13055">
        <v>25816</v>
      </c>
      <c r="V13055" t="s">
        <v>77</v>
      </c>
    </row>
    <row r="13056" spans="1:22">
      <c r="A13056" t="str">
        <f t="shared" si="2565"/>
        <v>27/11/2025</v>
      </c>
      <c r="B13056" t="str">
        <f t="shared" si="2566"/>
        <v>SAÍDA</v>
      </c>
      <c r="C13056" t="str">
        <f t="shared" si="2567"/>
        <v>PIX</v>
      </c>
      <c r="D13056" t="str">
        <f>"25816"</f>
        <v>25816</v>
      </c>
      <c r="E13056" t="str">
        <f t="shared" si="2561"/>
        <v>1</v>
      </c>
      <c r="F13056" t="str">
        <f t="shared" si="2563"/>
        <v>COM</v>
      </c>
      <c r="G13056" t="str">
        <f>"YAN BRENDO CORREIA VIEIRA (861)"</f>
        <v>YAN BRENDO CORREIA VIEIRA (861)</v>
      </c>
      <c r="H13056" t="s">
        <v>3075</v>
      </c>
      <c r="I13056" t="str">
        <f t="shared" si="2568"/>
        <v>27/11/2025</v>
      </c>
      <c r="J13056" t="str">
        <f t="shared" si="2564"/>
        <v>18/11/2025</v>
      </c>
      <c r="K13056">
        <v>45988</v>
      </c>
      <c r="N13056">
        <v>109</v>
      </c>
      <c r="O13056" t="s">
        <v>24</v>
      </c>
      <c r="Q13056">
        <v>800</v>
      </c>
      <c r="R13056" t="str">
        <f>"FARMÁCIA INDIANA LJ 200 (10155)"</f>
        <v>FARMÁCIA INDIANA LJ 200 (10155)</v>
      </c>
      <c r="S13056" t="s">
        <v>77</v>
      </c>
      <c r="T13056">
        <v>22653</v>
      </c>
      <c r="U13056">
        <v>25816</v>
      </c>
      <c r="V13056" t="s">
        <v>77</v>
      </c>
    </row>
    <row r="13057" spans="1:22">
      <c r="A13057" t="str">
        <f t="shared" si="2565"/>
        <v>27/11/2025</v>
      </c>
      <c r="B13057" t="str">
        <f t="shared" si="2566"/>
        <v>SAÍDA</v>
      </c>
      <c r="C13057" t="str">
        <f t="shared" si="2567"/>
        <v>PIX</v>
      </c>
      <c r="D13057" t="str">
        <f>"25823"</f>
        <v>25823</v>
      </c>
      <c r="E13057" t="str">
        <f t="shared" si="2561"/>
        <v>1</v>
      </c>
      <c r="F13057" t="str">
        <f t="shared" si="2563"/>
        <v>COM</v>
      </c>
      <c r="G13057" t="str">
        <f>"ANDERSON PEREIRA DOS SANTOS (746)"</f>
        <v>ANDERSON PEREIRA DOS SANTOS (746)</v>
      </c>
      <c r="H13057" t="str">
        <f>"Serv.Prest. 10/11/2025 a 16/11/2025 - PIX: CPF - CHAVE: 079.930.865-07"</f>
        <v>Serv.Prest. 10/11/2025 a 16/11/2025 - PIX: CPF - CHAVE: 079.930.865-07</v>
      </c>
      <c r="I13057" t="str">
        <f t="shared" si="2568"/>
        <v>27/11/2025</v>
      </c>
      <c r="J13057" t="str">
        <f t="shared" si="2564"/>
        <v>18/11/2025</v>
      </c>
      <c r="K13057" t="str">
        <f>("27/11/2025")</f>
        <v>27/11/2025</v>
      </c>
      <c r="L13057">
        <v>804</v>
      </c>
      <c r="M13057">
        <v>804</v>
      </c>
      <c r="N13057">
        <v>109</v>
      </c>
      <c r="O13057" t="str">
        <f>"PAGAMENTO DE ENTREGADORES"</f>
        <v>PAGAMENTO DE ENTREGADORES</v>
      </c>
      <c r="P13057">
        <v>804</v>
      </c>
      <c r="S13057" t="str">
        <f>"BANCO C6 (149)"</f>
        <v>BANCO C6 (149)</v>
      </c>
      <c r="T13057">
        <v>22654</v>
      </c>
      <c r="U13057">
        <v>25823</v>
      </c>
      <c r="V13057" t="s">
        <v>77</v>
      </c>
    </row>
    <row r="13058" spans="1:22">
      <c r="A13058" t="str">
        <f t="shared" si="2565"/>
        <v>27/11/2025</v>
      </c>
      <c r="B13058" t="str">
        <f t="shared" si="2566"/>
        <v>SAÍDA</v>
      </c>
      <c r="C13058" t="str">
        <f t="shared" si="2567"/>
        <v>PIX</v>
      </c>
      <c r="D13058" t="str">
        <f>"25823"</f>
        <v>25823</v>
      </c>
      <c r="E13058" t="str">
        <f t="shared" si="2561"/>
        <v>1</v>
      </c>
      <c r="F13058" t="str">
        <f t="shared" si="2563"/>
        <v>COM</v>
      </c>
      <c r="G13058" t="str">
        <f>"ANDERSON PEREIRA DOS SANTOS (746)"</f>
        <v>ANDERSON PEREIRA DOS SANTOS (746)</v>
      </c>
      <c r="H13058" t="s">
        <v>3557</v>
      </c>
      <c r="I13058" t="str">
        <f t="shared" si="2568"/>
        <v>27/11/2025</v>
      </c>
      <c r="J13058" t="str">
        <f t="shared" si="2564"/>
        <v>18/11/2025</v>
      </c>
      <c r="K13058">
        <v>45988</v>
      </c>
      <c r="N13058">
        <v>109</v>
      </c>
      <c r="O13058" t="s">
        <v>24</v>
      </c>
      <c r="Q13058">
        <v>42.29</v>
      </c>
      <c r="R13058" t="str">
        <f>"FARMÁCIA INDIANA LJ 211 (10168)"</f>
        <v>FARMÁCIA INDIANA LJ 211 (10168)</v>
      </c>
      <c r="S13058" t="s">
        <v>77</v>
      </c>
      <c r="T13058">
        <v>22654</v>
      </c>
      <c r="U13058">
        <v>25823</v>
      </c>
      <c r="V13058" t="s">
        <v>77</v>
      </c>
    </row>
    <row r="13059" spans="1:22">
      <c r="A13059" t="str">
        <f t="shared" si="2565"/>
        <v>27/11/2025</v>
      </c>
      <c r="B13059" t="str">
        <f t="shared" si="2566"/>
        <v>SAÍDA</v>
      </c>
      <c r="C13059" t="str">
        <f t="shared" si="2567"/>
        <v>PIX</v>
      </c>
      <c r="D13059" t="str">
        <f>"25823"</f>
        <v>25823</v>
      </c>
      <c r="E13059" t="str">
        <f t="shared" si="2561"/>
        <v>1</v>
      </c>
      <c r="F13059" t="str">
        <f t="shared" si="2563"/>
        <v>COM</v>
      </c>
      <c r="G13059" t="str">
        <f>"ANDERSON PEREIRA DOS SANTOS (746)"</f>
        <v>ANDERSON PEREIRA DOS SANTOS (746)</v>
      </c>
      <c r="H13059" t="s">
        <v>3557</v>
      </c>
      <c r="I13059" t="str">
        <f t="shared" si="2568"/>
        <v>27/11/2025</v>
      </c>
      <c r="J13059" t="str">
        <f t="shared" si="2564"/>
        <v>18/11/2025</v>
      </c>
      <c r="K13059">
        <v>45988</v>
      </c>
      <c r="N13059">
        <v>109</v>
      </c>
      <c r="O13059" t="s">
        <v>24</v>
      </c>
      <c r="Q13059">
        <v>761.71</v>
      </c>
      <c r="R13059" t="str">
        <f>"FARMÁCIA INDIANA LJ 236 (10169)"</f>
        <v>FARMÁCIA INDIANA LJ 236 (10169)</v>
      </c>
      <c r="S13059" t="s">
        <v>77</v>
      </c>
      <c r="T13059">
        <v>22654</v>
      </c>
      <c r="U13059">
        <v>25823</v>
      </c>
      <c r="V13059" t="s">
        <v>77</v>
      </c>
    </row>
    <row r="13060" spans="1:22">
      <c r="A13060" t="str">
        <f t="shared" si="2565"/>
        <v>27/11/2025</v>
      </c>
      <c r="B13060" t="str">
        <f t="shared" si="2566"/>
        <v>SAÍDA</v>
      </c>
      <c r="C13060" t="str">
        <f t="shared" si="2567"/>
        <v>PIX</v>
      </c>
      <c r="D13060" t="str">
        <f>"25824"</f>
        <v>25824</v>
      </c>
      <c r="E13060" t="str">
        <f t="shared" ref="E13060:E13123" si="2569">"1"</f>
        <v>1</v>
      </c>
      <c r="F13060" t="str">
        <f t="shared" si="2563"/>
        <v>COM</v>
      </c>
      <c r="G13060" t="str">
        <f>"CLEIDIVAN SALOMÃO DOS SANTOS (982)"</f>
        <v>CLEIDIVAN SALOMÃO DOS SANTOS (982)</v>
      </c>
      <c r="H13060" t="str">
        <f>"Serv.Prest. 10/11/2025 a 16/11/2025 - PIX: CPF - CHAVE: 077.317.327-70"</f>
        <v>Serv.Prest. 10/11/2025 a 16/11/2025 - PIX: CPF - CHAVE: 077.317.327-70</v>
      </c>
      <c r="I13060" t="str">
        <f t="shared" si="2568"/>
        <v>27/11/2025</v>
      </c>
      <c r="J13060" t="str">
        <f t="shared" ref="J13060:J13091" si="2570">("18/11/2025")</f>
        <v>18/11/2025</v>
      </c>
      <c r="K13060" t="str">
        <f>("27/11/2025")</f>
        <v>27/11/2025</v>
      </c>
      <c r="L13060">
        <v>968</v>
      </c>
      <c r="M13060">
        <v>968</v>
      </c>
      <c r="N13060">
        <v>109</v>
      </c>
      <c r="O13060" t="str">
        <f>"PAGAMENTO DE ENTREGADORES"</f>
        <v>PAGAMENTO DE ENTREGADORES</v>
      </c>
      <c r="P13060">
        <v>968</v>
      </c>
      <c r="S13060" t="str">
        <f>"BANCO C6 (149)"</f>
        <v>BANCO C6 (149)</v>
      </c>
      <c r="T13060">
        <v>22655</v>
      </c>
      <c r="U13060">
        <v>25824</v>
      </c>
      <c r="V13060" t="s">
        <v>77</v>
      </c>
    </row>
    <row r="13061" spans="1:22">
      <c r="A13061" t="str">
        <f t="shared" si="2565"/>
        <v>27/11/2025</v>
      </c>
      <c r="B13061" t="str">
        <f t="shared" si="2566"/>
        <v>SAÍDA</v>
      </c>
      <c r="C13061" t="str">
        <f t="shared" si="2567"/>
        <v>PIX</v>
      </c>
      <c r="D13061" t="str">
        <f>"25824"</f>
        <v>25824</v>
      </c>
      <c r="E13061" t="str">
        <f t="shared" si="2569"/>
        <v>1</v>
      </c>
      <c r="F13061" t="str">
        <f t="shared" si="2563"/>
        <v>COM</v>
      </c>
      <c r="G13061" t="str">
        <f>"CLEIDIVAN SALOMÃO DOS SANTOS (982)"</f>
        <v>CLEIDIVAN SALOMÃO DOS SANTOS (982)</v>
      </c>
      <c r="H13061" t="s">
        <v>3558</v>
      </c>
      <c r="I13061" t="str">
        <f t="shared" si="2568"/>
        <v>27/11/2025</v>
      </c>
      <c r="J13061" t="str">
        <f t="shared" si="2570"/>
        <v>18/11/2025</v>
      </c>
      <c r="K13061">
        <v>45988</v>
      </c>
      <c r="N13061">
        <v>109</v>
      </c>
      <c r="O13061" t="s">
        <v>24</v>
      </c>
      <c r="Q13061">
        <v>193.6</v>
      </c>
      <c r="R13061" t="str">
        <f>"FARMÁCIA INDIANA LJ 243 (10142)"</f>
        <v>FARMÁCIA INDIANA LJ 243 (10142)</v>
      </c>
      <c r="S13061" t="s">
        <v>77</v>
      </c>
      <c r="T13061">
        <v>22655</v>
      </c>
      <c r="U13061">
        <v>25824</v>
      </c>
      <c r="V13061" t="s">
        <v>77</v>
      </c>
    </row>
    <row r="13062" spans="1:22">
      <c r="A13062" t="str">
        <f t="shared" si="2565"/>
        <v>27/11/2025</v>
      </c>
      <c r="B13062" t="str">
        <f t="shared" si="2566"/>
        <v>SAÍDA</v>
      </c>
      <c r="C13062" t="str">
        <f t="shared" si="2567"/>
        <v>PIX</v>
      </c>
      <c r="D13062" t="str">
        <f>"25824"</f>
        <v>25824</v>
      </c>
      <c r="E13062" t="str">
        <f t="shared" si="2569"/>
        <v>1</v>
      </c>
      <c r="F13062" t="str">
        <f t="shared" si="2563"/>
        <v>COM</v>
      </c>
      <c r="G13062" t="str">
        <f>"CLEIDIVAN SALOMÃO DOS SANTOS (982)"</f>
        <v>CLEIDIVAN SALOMÃO DOS SANTOS (982)</v>
      </c>
      <c r="H13062" t="s">
        <v>3558</v>
      </c>
      <c r="I13062" t="str">
        <f t="shared" si="2568"/>
        <v>27/11/2025</v>
      </c>
      <c r="J13062" t="str">
        <f t="shared" si="2570"/>
        <v>18/11/2025</v>
      </c>
      <c r="K13062">
        <v>45988</v>
      </c>
      <c r="N13062">
        <v>109</v>
      </c>
      <c r="O13062" t="s">
        <v>24</v>
      </c>
      <c r="Q13062">
        <v>774.4</v>
      </c>
      <c r="R13062" t="str">
        <f>"FARMÁCIA INDIANA LJ 235 (10190)"</f>
        <v>FARMÁCIA INDIANA LJ 235 (10190)</v>
      </c>
      <c r="S13062" t="s">
        <v>77</v>
      </c>
      <c r="T13062">
        <v>22655</v>
      </c>
      <c r="U13062">
        <v>25824</v>
      </c>
      <c r="V13062" t="s">
        <v>77</v>
      </c>
    </row>
    <row r="13063" spans="1:22">
      <c r="A13063" t="str">
        <f t="shared" si="2565"/>
        <v>27/11/2025</v>
      </c>
      <c r="B13063" t="str">
        <f t="shared" si="2566"/>
        <v>SAÍDA</v>
      </c>
      <c r="C13063" t="str">
        <f t="shared" si="2567"/>
        <v>PIX</v>
      </c>
      <c r="D13063" t="str">
        <f>"25825"</f>
        <v>25825</v>
      </c>
      <c r="E13063" t="str">
        <f t="shared" si="2569"/>
        <v>1</v>
      </c>
      <c r="F13063" t="str">
        <f t="shared" si="2563"/>
        <v>COM</v>
      </c>
      <c r="G13063" t="str">
        <f>"DANILO ROCHA SILVA (162)"</f>
        <v>DANILO ROCHA SILVA (162)</v>
      </c>
      <c r="H13063" t="str">
        <f>"Serv.Prest. 10/11/2025 a 16/11/2025 - PIX: CELULAR - CHAVE: (27) 99811-6850"</f>
        <v>Serv.Prest. 10/11/2025 a 16/11/2025 - PIX: CELULAR - CHAVE: (27) 99811-6850</v>
      </c>
      <c r="I13063" t="str">
        <f t="shared" si="2568"/>
        <v>27/11/2025</v>
      </c>
      <c r="J13063" t="str">
        <f t="shared" si="2570"/>
        <v>18/11/2025</v>
      </c>
      <c r="K13063" t="str">
        <f>("27/11/2025")</f>
        <v>27/11/2025</v>
      </c>
      <c r="L13063">
        <v>1467</v>
      </c>
      <c r="M13063">
        <v>1467</v>
      </c>
      <c r="N13063">
        <v>109</v>
      </c>
      <c r="O13063" t="str">
        <f>"PAGAMENTO DE ENTREGADORES"</f>
        <v>PAGAMENTO DE ENTREGADORES</v>
      </c>
      <c r="P13063">
        <v>1467</v>
      </c>
      <c r="S13063" t="str">
        <f>"BANCO C6 (149)"</f>
        <v>BANCO C6 (149)</v>
      </c>
      <c r="T13063">
        <v>22656</v>
      </c>
      <c r="U13063">
        <v>25825</v>
      </c>
      <c r="V13063" t="s">
        <v>77</v>
      </c>
    </row>
    <row r="13064" spans="1:22">
      <c r="A13064" t="str">
        <f t="shared" si="2565"/>
        <v>27/11/2025</v>
      </c>
      <c r="B13064" t="str">
        <f t="shared" si="2566"/>
        <v>SAÍDA</v>
      </c>
      <c r="C13064" t="str">
        <f t="shared" si="2567"/>
        <v>PIX</v>
      </c>
      <c r="D13064" t="str">
        <f>"25825"</f>
        <v>25825</v>
      </c>
      <c r="E13064" t="str">
        <f t="shared" si="2569"/>
        <v>1</v>
      </c>
      <c r="F13064" t="str">
        <f t="shared" si="2563"/>
        <v>COM</v>
      </c>
      <c r="G13064" t="str">
        <f>"DANILO ROCHA SILVA (162)"</f>
        <v>DANILO ROCHA SILVA (162)</v>
      </c>
      <c r="H13064" t="s">
        <v>3559</v>
      </c>
      <c r="I13064" t="str">
        <f t="shared" si="2568"/>
        <v>27/11/2025</v>
      </c>
      <c r="J13064" t="str">
        <f t="shared" si="2570"/>
        <v>18/11/2025</v>
      </c>
      <c r="K13064">
        <v>45988</v>
      </c>
      <c r="N13064">
        <v>109</v>
      </c>
      <c r="O13064" t="s">
        <v>24</v>
      </c>
      <c r="Q13064">
        <v>1467</v>
      </c>
      <c r="R13064" t="str">
        <f>"FARMÁCIA INDIANA LJ 181 (10078)"</f>
        <v>FARMÁCIA INDIANA LJ 181 (10078)</v>
      </c>
      <c r="S13064" t="s">
        <v>77</v>
      </c>
      <c r="T13064">
        <v>22656</v>
      </c>
      <c r="U13064">
        <v>25825</v>
      </c>
      <c r="V13064" t="s">
        <v>77</v>
      </c>
    </row>
    <row r="13065" spans="1:22">
      <c r="A13065" t="str">
        <f t="shared" si="2565"/>
        <v>27/11/2025</v>
      </c>
      <c r="B13065" t="str">
        <f t="shared" si="2566"/>
        <v>SAÍDA</v>
      </c>
      <c r="C13065" t="str">
        <f t="shared" si="2567"/>
        <v>PIX</v>
      </c>
      <c r="D13065" t="str">
        <f>"25826"</f>
        <v>25826</v>
      </c>
      <c r="E13065" t="str">
        <f t="shared" si="2569"/>
        <v>1</v>
      </c>
      <c r="F13065" t="str">
        <f t="shared" si="2563"/>
        <v>COM</v>
      </c>
      <c r="G13065" t="str">
        <f>"GABRIEL PRATES DE OLIVEIRA (511)"</f>
        <v>GABRIEL PRATES DE OLIVEIRA (511)</v>
      </c>
      <c r="H13065" t="str">
        <f>"Serv.Prest. 10/11/2025 a 16/11/2025 - PIX: CELULAR - CHAVE: (27) 99869-8144"</f>
        <v>Serv.Prest. 10/11/2025 a 16/11/2025 - PIX: CELULAR - CHAVE: (27) 99869-8144</v>
      </c>
      <c r="I13065" t="str">
        <f t="shared" si="2568"/>
        <v>27/11/2025</v>
      </c>
      <c r="J13065" t="str">
        <f t="shared" si="2570"/>
        <v>18/11/2025</v>
      </c>
      <c r="K13065" t="str">
        <f>("27/11/2025")</f>
        <v>27/11/2025</v>
      </c>
      <c r="L13065">
        <v>708</v>
      </c>
      <c r="M13065">
        <v>708</v>
      </c>
      <c r="N13065">
        <v>109</v>
      </c>
      <c r="O13065" t="str">
        <f>"PAGAMENTO DE ENTREGADORES"</f>
        <v>PAGAMENTO DE ENTREGADORES</v>
      </c>
      <c r="P13065">
        <v>708</v>
      </c>
      <c r="S13065" t="str">
        <f>"BANCO C6 (149)"</f>
        <v>BANCO C6 (149)</v>
      </c>
      <c r="T13065">
        <v>22657</v>
      </c>
      <c r="U13065">
        <v>25826</v>
      </c>
      <c r="V13065" t="s">
        <v>77</v>
      </c>
    </row>
    <row r="13066" spans="1:22">
      <c r="A13066" t="str">
        <f t="shared" si="2565"/>
        <v>27/11/2025</v>
      </c>
      <c r="B13066" t="str">
        <f t="shared" si="2566"/>
        <v>SAÍDA</v>
      </c>
      <c r="C13066" t="str">
        <f t="shared" si="2567"/>
        <v>PIX</v>
      </c>
      <c r="D13066" t="str">
        <f>"25826"</f>
        <v>25826</v>
      </c>
      <c r="E13066" t="str">
        <f t="shared" si="2569"/>
        <v>1</v>
      </c>
      <c r="F13066" t="str">
        <f t="shared" si="2563"/>
        <v>COM</v>
      </c>
      <c r="G13066" t="str">
        <f>"GABRIEL PRATES DE OLIVEIRA (511)"</f>
        <v>GABRIEL PRATES DE OLIVEIRA (511)</v>
      </c>
      <c r="H13066" t="s">
        <v>3560</v>
      </c>
      <c r="I13066" t="str">
        <f t="shared" si="2568"/>
        <v>27/11/2025</v>
      </c>
      <c r="J13066" t="str">
        <f t="shared" si="2570"/>
        <v>18/11/2025</v>
      </c>
      <c r="K13066">
        <v>45988</v>
      </c>
      <c r="N13066">
        <v>109</v>
      </c>
      <c r="O13066" t="s">
        <v>24</v>
      </c>
      <c r="Q13066">
        <v>708</v>
      </c>
      <c r="R13066" t="str">
        <f>"FARMÁCIA INDIANA LJ 163 (10072)"</f>
        <v>FARMÁCIA INDIANA LJ 163 (10072)</v>
      </c>
      <c r="S13066" t="s">
        <v>77</v>
      </c>
      <c r="T13066">
        <v>22657</v>
      </c>
      <c r="U13066">
        <v>25826</v>
      </c>
      <c r="V13066" t="s">
        <v>77</v>
      </c>
    </row>
    <row r="13067" spans="1:22">
      <c r="A13067" t="str">
        <f t="shared" si="2565"/>
        <v>27/11/2025</v>
      </c>
      <c r="B13067" t="str">
        <f t="shared" si="2566"/>
        <v>SAÍDA</v>
      </c>
      <c r="C13067" t="str">
        <f t="shared" si="2567"/>
        <v>PIX</v>
      </c>
      <c r="D13067" t="str">
        <f>"25829"</f>
        <v>25829</v>
      </c>
      <c r="E13067" t="str">
        <f t="shared" si="2569"/>
        <v>1</v>
      </c>
      <c r="F13067" t="str">
        <f t="shared" si="2563"/>
        <v>COM</v>
      </c>
      <c r="G13067" t="str">
        <f>"MARCELO SOUZA DE MOURA (924)"</f>
        <v>MARCELO SOUZA DE MOURA (924)</v>
      </c>
      <c r="H13067" t="str">
        <f>"Serv.Prest. 10/11/2025 a 16/11/2025 - PIX: CELULAR - CHAVE: (73) 99167-5954"</f>
        <v>Serv.Prest. 10/11/2025 a 16/11/2025 - PIX: CELULAR - CHAVE: (73) 99167-5954</v>
      </c>
      <c r="I13067" t="str">
        <f t="shared" si="2568"/>
        <v>27/11/2025</v>
      </c>
      <c r="J13067" t="str">
        <f t="shared" si="2570"/>
        <v>18/11/2025</v>
      </c>
      <c r="K13067" t="str">
        <f>("27/11/2025")</f>
        <v>27/11/2025</v>
      </c>
      <c r="L13067">
        <v>1012.5</v>
      </c>
      <c r="M13067">
        <v>1012.5</v>
      </c>
      <c r="N13067">
        <v>109</v>
      </c>
      <c r="O13067" t="str">
        <f>"PAGAMENTO DE ENTREGADORES"</f>
        <v>PAGAMENTO DE ENTREGADORES</v>
      </c>
      <c r="P13067">
        <v>1012.5</v>
      </c>
      <c r="S13067" t="str">
        <f>"BANCO C6 (149)"</f>
        <v>BANCO C6 (149)</v>
      </c>
      <c r="T13067">
        <v>22658</v>
      </c>
      <c r="U13067">
        <v>25829</v>
      </c>
      <c r="V13067" t="s">
        <v>77</v>
      </c>
    </row>
    <row r="13068" spans="1:22">
      <c r="A13068" t="str">
        <f t="shared" si="2565"/>
        <v>27/11/2025</v>
      </c>
      <c r="B13068" t="str">
        <f t="shared" si="2566"/>
        <v>SAÍDA</v>
      </c>
      <c r="C13068" t="str">
        <f t="shared" si="2567"/>
        <v>PIX</v>
      </c>
      <c r="D13068" t="str">
        <f>"25829"</f>
        <v>25829</v>
      </c>
      <c r="E13068" t="str">
        <f t="shared" si="2569"/>
        <v>1</v>
      </c>
      <c r="F13068" t="str">
        <f t="shared" si="2563"/>
        <v>COM</v>
      </c>
      <c r="G13068" t="str">
        <f>"MARCELO SOUZA DE MOURA (924)"</f>
        <v>MARCELO SOUZA DE MOURA (924)</v>
      </c>
      <c r="H13068" t="s">
        <v>3561</v>
      </c>
      <c r="I13068" t="str">
        <f t="shared" si="2568"/>
        <v>27/11/2025</v>
      </c>
      <c r="J13068" t="str">
        <f t="shared" si="2570"/>
        <v>18/11/2025</v>
      </c>
      <c r="K13068">
        <v>45988</v>
      </c>
      <c r="N13068">
        <v>109</v>
      </c>
      <c r="O13068" t="s">
        <v>24</v>
      </c>
      <c r="Q13068">
        <v>1012.5</v>
      </c>
      <c r="R13068" t="str">
        <f>"FARMÁCIA INDIANA LJ 273 (10188)"</f>
        <v>FARMÁCIA INDIANA LJ 273 (10188)</v>
      </c>
      <c r="S13068" t="s">
        <v>77</v>
      </c>
      <c r="T13068">
        <v>22658</v>
      </c>
      <c r="U13068">
        <v>25829</v>
      </c>
      <c r="V13068" t="s">
        <v>77</v>
      </c>
    </row>
    <row r="13069" spans="1:22">
      <c r="A13069" t="str">
        <f t="shared" si="2565"/>
        <v>27/11/2025</v>
      </c>
      <c r="B13069" t="str">
        <f t="shared" si="2566"/>
        <v>SAÍDA</v>
      </c>
      <c r="C13069" t="str">
        <f t="shared" si="2567"/>
        <v>PIX</v>
      </c>
      <c r="D13069" t="str">
        <f>"25831"</f>
        <v>25831</v>
      </c>
      <c r="E13069" t="str">
        <f t="shared" si="2569"/>
        <v>1</v>
      </c>
      <c r="F13069" t="str">
        <f t="shared" si="2563"/>
        <v>COM</v>
      </c>
      <c r="G13069" t="str">
        <f>"VINÍCIUS NEVES PEREIRA (776)"</f>
        <v>VINÍCIUS NEVES PEREIRA (776)</v>
      </c>
      <c r="H13069" t="str">
        <f>"Serv.Prest. 10/11/2025 a 16/11/2025 - PIX: CPF - CHAVE: 121.963.507-37"</f>
        <v>Serv.Prest. 10/11/2025 a 16/11/2025 - PIX: CPF - CHAVE: 121.963.507-37</v>
      </c>
      <c r="I13069" t="str">
        <f t="shared" si="2568"/>
        <v>27/11/2025</v>
      </c>
      <c r="J13069" t="str">
        <f t="shared" si="2570"/>
        <v>18/11/2025</v>
      </c>
      <c r="K13069" t="str">
        <f>("27/11/2025")</f>
        <v>27/11/2025</v>
      </c>
      <c r="L13069">
        <v>750.75</v>
      </c>
      <c r="M13069">
        <v>750.75</v>
      </c>
      <c r="N13069">
        <v>109</v>
      </c>
      <c r="O13069" t="str">
        <f>"PAGAMENTO DE ENTREGADORES"</f>
        <v>PAGAMENTO DE ENTREGADORES</v>
      </c>
      <c r="P13069">
        <v>750.75</v>
      </c>
      <c r="S13069" t="str">
        <f>"BANCO C6 (149)"</f>
        <v>BANCO C6 (149)</v>
      </c>
      <c r="T13069">
        <v>22659</v>
      </c>
      <c r="U13069">
        <v>25831</v>
      </c>
      <c r="V13069" t="s">
        <v>77</v>
      </c>
    </row>
    <row r="13070" spans="1:22">
      <c r="A13070" t="str">
        <f t="shared" si="2565"/>
        <v>27/11/2025</v>
      </c>
      <c r="B13070" t="str">
        <f t="shared" si="2566"/>
        <v>SAÍDA</v>
      </c>
      <c r="C13070" t="str">
        <f t="shared" si="2567"/>
        <v>PIX</v>
      </c>
      <c r="D13070" t="str">
        <f>"25831"</f>
        <v>25831</v>
      </c>
      <c r="E13070" t="str">
        <f t="shared" si="2569"/>
        <v>1</v>
      </c>
      <c r="F13070" t="str">
        <f t="shared" si="2563"/>
        <v>COM</v>
      </c>
      <c r="G13070" t="str">
        <f>"VINÍCIUS NEVES PEREIRA (776)"</f>
        <v>VINÍCIUS NEVES PEREIRA (776)</v>
      </c>
      <c r="H13070" t="s">
        <v>3562</v>
      </c>
      <c r="I13070" t="str">
        <f t="shared" si="2568"/>
        <v>27/11/2025</v>
      </c>
      <c r="J13070" t="str">
        <f t="shared" si="2570"/>
        <v>18/11/2025</v>
      </c>
      <c r="K13070">
        <v>45988</v>
      </c>
      <c r="N13070">
        <v>109</v>
      </c>
      <c r="O13070" t="s">
        <v>24</v>
      </c>
      <c r="Q13070">
        <v>750.75</v>
      </c>
      <c r="R13070" t="str">
        <f>"FARMÁCIA INDIANA LJ 221 (10093)"</f>
        <v>FARMÁCIA INDIANA LJ 221 (10093)</v>
      </c>
      <c r="S13070" t="s">
        <v>77</v>
      </c>
      <c r="T13070">
        <v>22659</v>
      </c>
      <c r="U13070">
        <v>25831</v>
      </c>
      <c r="V13070" t="s">
        <v>77</v>
      </c>
    </row>
    <row r="13071" spans="1:22">
      <c r="A13071" t="str">
        <f t="shared" si="2565"/>
        <v>27/11/2025</v>
      </c>
      <c r="B13071" t="str">
        <f t="shared" si="2566"/>
        <v>SAÍDA</v>
      </c>
      <c r="C13071" t="str">
        <f t="shared" si="2567"/>
        <v>PIX</v>
      </c>
      <c r="D13071" t="str">
        <f>"25843"</f>
        <v>25843</v>
      </c>
      <c r="E13071" t="str">
        <f t="shared" si="2569"/>
        <v>1</v>
      </c>
      <c r="F13071" t="str">
        <f t="shared" si="2563"/>
        <v>COM</v>
      </c>
      <c r="G13071" t="str">
        <f>"ALAN ACOSTA (897)"</f>
        <v>ALAN ACOSTA (897)</v>
      </c>
      <c r="H13071" t="str">
        <f>"Serv.Prest. 10/11/2025 a 16/11/2025 - PIX: E-MAIL - CHAVE: alanacosta1999@gmail.com"</f>
        <v>Serv.Prest. 10/11/2025 a 16/11/2025 - PIX: E-MAIL - CHAVE: alanacosta1999@gmail.com</v>
      </c>
      <c r="I13071" t="str">
        <f t="shared" si="2568"/>
        <v>27/11/2025</v>
      </c>
      <c r="J13071" t="str">
        <f t="shared" si="2570"/>
        <v>18/11/2025</v>
      </c>
      <c r="K13071" t="str">
        <f>("27/11/2025")</f>
        <v>27/11/2025</v>
      </c>
      <c r="L13071">
        <v>258.3</v>
      </c>
      <c r="M13071">
        <v>258.3</v>
      </c>
      <c r="N13071">
        <v>109</v>
      </c>
      <c r="O13071" t="str">
        <f>"PAGAMENTO DE ENTREGADORES"</f>
        <v>PAGAMENTO DE ENTREGADORES</v>
      </c>
      <c r="P13071">
        <v>258.3</v>
      </c>
      <c r="S13071" t="str">
        <f>"BANCO C6 (149)"</f>
        <v>BANCO C6 (149)</v>
      </c>
      <c r="T13071">
        <v>22660</v>
      </c>
      <c r="U13071">
        <v>25843</v>
      </c>
      <c r="V13071" t="s">
        <v>77</v>
      </c>
    </row>
    <row r="13072" spans="1:22">
      <c r="A13072" t="str">
        <f t="shared" si="2565"/>
        <v>27/11/2025</v>
      </c>
      <c r="B13072" t="str">
        <f t="shared" si="2566"/>
        <v>SAÍDA</v>
      </c>
      <c r="C13072" t="str">
        <f t="shared" si="2567"/>
        <v>PIX</v>
      </c>
      <c r="D13072" t="str">
        <f>"25843"</f>
        <v>25843</v>
      </c>
      <c r="E13072" t="str">
        <f t="shared" si="2569"/>
        <v>1</v>
      </c>
      <c r="F13072" t="str">
        <f t="shared" si="2563"/>
        <v>COM</v>
      </c>
      <c r="G13072" t="str">
        <f>"ALAN ACOSTA (897)"</f>
        <v>ALAN ACOSTA (897)</v>
      </c>
      <c r="H13072" t="s">
        <v>3563</v>
      </c>
      <c r="I13072" t="str">
        <f t="shared" si="2568"/>
        <v>27/11/2025</v>
      </c>
      <c r="J13072" t="str">
        <f t="shared" si="2570"/>
        <v>18/11/2025</v>
      </c>
      <c r="K13072">
        <v>45988</v>
      </c>
      <c r="N13072">
        <v>109</v>
      </c>
      <c r="O13072" t="s">
        <v>24</v>
      </c>
      <c r="Q13072">
        <v>258.3</v>
      </c>
      <c r="R13072" t="str">
        <f>"AC FARMA - CID.ALTA (10166)"</f>
        <v>AC FARMA - CID.ALTA (10166)</v>
      </c>
      <c r="S13072" t="s">
        <v>77</v>
      </c>
      <c r="T13072">
        <v>22660</v>
      </c>
      <c r="U13072">
        <v>25843</v>
      </c>
      <c r="V13072" t="s">
        <v>77</v>
      </c>
    </row>
    <row r="13073" spans="1:22">
      <c r="A13073" t="str">
        <f t="shared" si="2565"/>
        <v>27/11/2025</v>
      </c>
      <c r="B13073" t="str">
        <f t="shared" si="2566"/>
        <v>SAÍDA</v>
      </c>
      <c r="C13073" t="str">
        <f t="shared" si="2567"/>
        <v>PIX</v>
      </c>
      <c r="D13073" t="str">
        <f>"25844"</f>
        <v>25844</v>
      </c>
      <c r="E13073" t="str">
        <f t="shared" si="2569"/>
        <v>1</v>
      </c>
      <c r="F13073" t="str">
        <f t="shared" si="2563"/>
        <v>COM</v>
      </c>
      <c r="G13073" t="str">
        <f>"ALEXANDRE DA CONCEICAO (714)"</f>
        <v>ALEXANDRE DA CONCEICAO (714)</v>
      </c>
      <c r="H13073" t="str">
        <f>"Serv.Prest. 10/11/2025 a 16/11/2025 - PIX: CPF - CHAVE: 975.425.989-53"</f>
        <v>Serv.Prest. 10/11/2025 a 16/11/2025 - PIX: CPF - CHAVE: 975.425.989-53</v>
      </c>
      <c r="I13073" t="str">
        <f t="shared" si="2568"/>
        <v>27/11/2025</v>
      </c>
      <c r="J13073" t="str">
        <f t="shared" si="2570"/>
        <v>18/11/2025</v>
      </c>
      <c r="K13073" t="str">
        <f>("27/11/2025")</f>
        <v>27/11/2025</v>
      </c>
      <c r="L13073">
        <v>422.1</v>
      </c>
      <c r="M13073">
        <v>422.1</v>
      </c>
      <c r="N13073">
        <v>109</v>
      </c>
      <c r="O13073" t="str">
        <f>"PAGAMENTO DE ENTREGADORES"</f>
        <v>PAGAMENTO DE ENTREGADORES</v>
      </c>
      <c r="P13073">
        <v>422.1</v>
      </c>
      <c r="S13073" t="str">
        <f>"BANCO C6 (149)"</f>
        <v>BANCO C6 (149)</v>
      </c>
      <c r="T13073">
        <v>22661</v>
      </c>
      <c r="U13073">
        <v>25844</v>
      </c>
      <c r="V13073" t="s">
        <v>77</v>
      </c>
    </row>
    <row r="13074" spans="1:22">
      <c r="A13074" t="str">
        <f t="shared" si="2565"/>
        <v>27/11/2025</v>
      </c>
      <c r="B13074" t="str">
        <f t="shared" si="2566"/>
        <v>SAÍDA</v>
      </c>
      <c r="C13074" t="str">
        <f t="shared" si="2567"/>
        <v>PIX</v>
      </c>
      <c r="D13074" t="str">
        <f>"25844"</f>
        <v>25844</v>
      </c>
      <c r="E13074" t="str">
        <f t="shared" si="2569"/>
        <v>1</v>
      </c>
      <c r="F13074" t="str">
        <f t="shared" si="2563"/>
        <v>COM</v>
      </c>
      <c r="G13074" t="str">
        <f>"ALEXANDRE DA CONCEICAO (714)"</f>
        <v>ALEXANDRE DA CONCEICAO (714)</v>
      </c>
      <c r="H13074" t="s">
        <v>3564</v>
      </c>
      <c r="I13074" t="str">
        <f t="shared" si="2568"/>
        <v>27/11/2025</v>
      </c>
      <c r="J13074" t="str">
        <f t="shared" si="2570"/>
        <v>18/11/2025</v>
      </c>
      <c r="K13074">
        <v>45988</v>
      </c>
      <c r="N13074">
        <v>109</v>
      </c>
      <c r="O13074" t="s">
        <v>24</v>
      </c>
      <c r="Q13074">
        <v>422.1</v>
      </c>
      <c r="R13074" t="str">
        <f>"AC FARMA - CID.ALTA (10166)"</f>
        <v>AC FARMA - CID.ALTA (10166)</v>
      </c>
      <c r="S13074" t="s">
        <v>77</v>
      </c>
      <c r="T13074">
        <v>22661</v>
      </c>
      <c r="U13074">
        <v>25844</v>
      </c>
      <c r="V13074" t="s">
        <v>77</v>
      </c>
    </row>
    <row r="13075" spans="1:22">
      <c r="A13075" t="str">
        <f t="shared" si="2565"/>
        <v>27/11/2025</v>
      </c>
      <c r="B13075" t="str">
        <f t="shared" si="2566"/>
        <v>SAÍDA</v>
      </c>
      <c r="C13075" t="str">
        <f t="shared" si="2567"/>
        <v>PIX</v>
      </c>
      <c r="D13075" t="str">
        <f>"25845"</f>
        <v>25845</v>
      </c>
      <c r="E13075" t="str">
        <f t="shared" si="2569"/>
        <v>1</v>
      </c>
      <c r="F13075" t="str">
        <f t="shared" ref="F13075:F13138" si="2571">"COM"</f>
        <v>COM</v>
      </c>
      <c r="G13075" t="str">
        <f>"CLAUDINEI RIBEIRO VALERIO (681)"</f>
        <v>CLAUDINEI RIBEIRO VALERIO (681)</v>
      </c>
      <c r="H13075" t="str">
        <f>"Serv.Prest. 10/11/2025 a 16/11/2025 - PIX: CELULAR - CHAVE: (43) 99630-7532"</f>
        <v>Serv.Prest. 10/11/2025 a 16/11/2025 - PIX: CELULAR - CHAVE: (43) 99630-7532</v>
      </c>
      <c r="I13075" t="str">
        <f t="shared" si="2568"/>
        <v>27/11/2025</v>
      </c>
      <c r="J13075" t="str">
        <f t="shared" si="2570"/>
        <v>18/11/2025</v>
      </c>
      <c r="K13075" t="str">
        <f>("27/11/2025")</f>
        <v>27/11/2025</v>
      </c>
      <c r="L13075">
        <v>837.9</v>
      </c>
      <c r="M13075">
        <v>837.9</v>
      </c>
      <c r="N13075">
        <v>109</v>
      </c>
      <c r="O13075" t="str">
        <f>"PAGAMENTO DE ENTREGADORES"</f>
        <v>PAGAMENTO DE ENTREGADORES</v>
      </c>
      <c r="P13075">
        <v>837.9</v>
      </c>
      <c r="S13075" t="str">
        <f>"BANCO C6 (149)"</f>
        <v>BANCO C6 (149)</v>
      </c>
      <c r="T13075">
        <v>22662</v>
      </c>
      <c r="U13075">
        <v>25845</v>
      </c>
      <c r="V13075" t="s">
        <v>77</v>
      </c>
    </row>
    <row r="13076" spans="1:22">
      <c r="A13076" t="str">
        <f t="shared" si="2565"/>
        <v>27/11/2025</v>
      </c>
      <c r="B13076" t="str">
        <f t="shared" si="2566"/>
        <v>SAÍDA</v>
      </c>
      <c r="C13076" t="str">
        <f t="shared" si="2567"/>
        <v>PIX</v>
      </c>
      <c r="D13076" t="str">
        <f>"25845"</f>
        <v>25845</v>
      </c>
      <c r="E13076" t="str">
        <f t="shared" si="2569"/>
        <v>1</v>
      </c>
      <c r="F13076" t="str">
        <f t="shared" si="2571"/>
        <v>COM</v>
      </c>
      <c r="G13076" t="str">
        <f>"CLAUDINEI RIBEIRO VALERIO (681)"</f>
        <v>CLAUDINEI RIBEIRO VALERIO (681)</v>
      </c>
      <c r="H13076" t="s">
        <v>3565</v>
      </c>
      <c r="I13076" t="str">
        <f t="shared" si="2568"/>
        <v>27/11/2025</v>
      </c>
      <c r="J13076" t="str">
        <f t="shared" si="2570"/>
        <v>18/11/2025</v>
      </c>
      <c r="K13076">
        <v>45988</v>
      </c>
      <c r="N13076">
        <v>109</v>
      </c>
      <c r="O13076" t="s">
        <v>24</v>
      </c>
      <c r="Q13076">
        <v>837.9</v>
      </c>
      <c r="R13076" t="str">
        <f>"AC FARMA - CID.ALTA (10166)"</f>
        <v>AC FARMA - CID.ALTA (10166)</v>
      </c>
      <c r="S13076" t="s">
        <v>77</v>
      </c>
      <c r="T13076">
        <v>22662</v>
      </c>
      <c r="U13076">
        <v>25845</v>
      </c>
      <c r="V13076" t="s">
        <v>77</v>
      </c>
    </row>
    <row r="13077" spans="1:22">
      <c r="A13077" t="str">
        <f t="shared" si="2565"/>
        <v>27/11/2025</v>
      </c>
      <c r="B13077" t="str">
        <f t="shared" si="2566"/>
        <v>SAÍDA</v>
      </c>
      <c r="C13077" t="str">
        <f t="shared" si="2567"/>
        <v>PIX</v>
      </c>
      <c r="D13077" t="str">
        <f>"25846"</f>
        <v>25846</v>
      </c>
      <c r="E13077" t="str">
        <f t="shared" si="2569"/>
        <v>1</v>
      </c>
      <c r="F13077" t="str">
        <f t="shared" si="2571"/>
        <v>COM</v>
      </c>
      <c r="G13077" t="str">
        <f>"FERNANDO MARTINS DA SILVA (701)"</f>
        <v>FERNANDO MARTINS DA SILVA (701)</v>
      </c>
      <c r="H13077" t="str">
        <f>"Serv.Prest. 10/11/2025 a 16/11/2025 - PIX: CPF - CHAVE: 004.682.359-06"</f>
        <v>Serv.Prest. 10/11/2025 a 16/11/2025 - PIX: CPF - CHAVE: 004.682.359-06</v>
      </c>
      <c r="I13077" t="str">
        <f t="shared" si="2568"/>
        <v>27/11/2025</v>
      </c>
      <c r="J13077" t="str">
        <f t="shared" si="2570"/>
        <v>18/11/2025</v>
      </c>
      <c r="K13077" t="str">
        <f>("27/11/2025")</f>
        <v>27/11/2025</v>
      </c>
      <c r="L13077">
        <v>900.9</v>
      </c>
      <c r="M13077">
        <v>900.9</v>
      </c>
      <c r="N13077">
        <v>109</v>
      </c>
      <c r="O13077" t="str">
        <f>"PAGAMENTO DE ENTREGADORES"</f>
        <v>PAGAMENTO DE ENTREGADORES</v>
      </c>
      <c r="P13077">
        <v>900.9</v>
      </c>
      <c r="S13077" t="str">
        <f>"BANCO C6 (149)"</f>
        <v>BANCO C6 (149)</v>
      </c>
      <c r="T13077">
        <v>22663</v>
      </c>
      <c r="U13077">
        <v>25846</v>
      </c>
      <c r="V13077" t="s">
        <v>77</v>
      </c>
    </row>
    <row r="13078" spans="1:22">
      <c r="A13078" t="str">
        <f t="shared" si="2565"/>
        <v>27/11/2025</v>
      </c>
      <c r="B13078" t="str">
        <f t="shared" si="2566"/>
        <v>SAÍDA</v>
      </c>
      <c r="C13078" t="str">
        <f t="shared" si="2567"/>
        <v>PIX</v>
      </c>
      <c r="D13078" t="str">
        <f>"25846"</f>
        <v>25846</v>
      </c>
      <c r="E13078" t="str">
        <f t="shared" si="2569"/>
        <v>1</v>
      </c>
      <c r="F13078" t="str">
        <f t="shared" si="2571"/>
        <v>COM</v>
      </c>
      <c r="G13078" t="str">
        <f>"FERNANDO MARTINS DA SILVA (701)"</f>
        <v>FERNANDO MARTINS DA SILVA (701)</v>
      </c>
      <c r="H13078" t="s">
        <v>3566</v>
      </c>
      <c r="I13078" t="str">
        <f t="shared" si="2568"/>
        <v>27/11/2025</v>
      </c>
      <c r="J13078" t="str">
        <f t="shared" si="2570"/>
        <v>18/11/2025</v>
      </c>
      <c r="K13078">
        <v>45988</v>
      </c>
      <c r="N13078">
        <v>109</v>
      </c>
      <c r="O13078" t="s">
        <v>24</v>
      </c>
      <c r="Q13078">
        <v>900.9</v>
      </c>
      <c r="R13078" t="str">
        <f>"AC FARMA - CID.ALTA (10166)"</f>
        <v>AC FARMA - CID.ALTA (10166)</v>
      </c>
      <c r="S13078" t="s">
        <v>77</v>
      </c>
      <c r="T13078">
        <v>22663</v>
      </c>
      <c r="U13078">
        <v>25846</v>
      </c>
      <c r="V13078" t="s">
        <v>77</v>
      </c>
    </row>
    <row r="13079" spans="1:22">
      <c r="A13079" t="str">
        <f t="shared" si="2565"/>
        <v>27/11/2025</v>
      </c>
      <c r="B13079" t="str">
        <f t="shared" si="2566"/>
        <v>SAÍDA</v>
      </c>
      <c r="C13079" t="str">
        <f t="shared" si="2567"/>
        <v>PIX</v>
      </c>
      <c r="D13079" t="str">
        <f>"25847"</f>
        <v>25847</v>
      </c>
      <c r="E13079" t="str">
        <f t="shared" si="2569"/>
        <v>1</v>
      </c>
      <c r="F13079" t="str">
        <f t="shared" si="2571"/>
        <v>COM</v>
      </c>
      <c r="G13079" t="str">
        <f>"GERALDO SEVERINO DE SANTANA (729)"</f>
        <v>GERALDO SEVERINO DE SANTANA (729)</v>
      </c>
      <c r="H13079" t="str">
        <f>"Serv.Prest. 10/11/2025 a 16/11/2025 - PIX: CELULAR - CHAVE: (43) 99934-1696"</f>
        <v>Serv.Prest. 10/11/2025 a 16/11/2025 - PIX: CELULAR - CHAVE: (43) 99934-1696</v>
      </c>
      <c r="I13079" t="str">
        <f t="shared" si="2568"/>
        <v>27/11/2025</v>
      </c>
      <c r="J13079" t="str">
        <f t="shared" si="2570"/>
        <v>18/11/2025</v>
      </c>
      <c r="K13079" t="str">
        <f>("27/11/2025")</f>
        <v>27/11/2025</v>
      </c>
      <c r="L13079">
        <v>636.29999999999995</v>
      </c>
      <c r="M13079">
        <v>636.29999999999995</v>
      </c>
      <c r="N13079">
        <v>109</v>
      </c>
      <c r="O13079" t="str">
        <f>"PAGAMENTO DE ENTREGADORES"</f>
        <v>PAGAMENTO DE ENTREGADORES</v>
      </c>
      <c r="P13079">
        <v>636.29999999999995</v>
      </c>
      <c r="S13079" t="str">
        <f>"BANCO C6 (149)"</f>
        <v>BANCO C6 (149)</v>
      </c>
      <c r="T13079">
        <v>22664</v>
      </c>
      <c r="U13079">
        <v>25847</v>
      </c>
      <c r="V13079" t="s">
        <v>77</v>
      </c>
    </row>
    <row r="13080" spans="1:22">
      <c r="A13080" t="str">
        <f t="shared" si="2565"/>
        <v>27/11/2025</v>
      </c>
      <c r="B13080" t="str">
        <f t="shared" si="2566"/>
        <v>SAÍDA</v>
      </c>
      <c r="C13080" t="str">
        <f t="shared" si="2567"/>
        <v>PIX</v>
      </c>
      <c r="D13080" t="str">
        <f>"25847"</f>
        <v>25847</v>
      </c>
      <c r="E13080" t="str">
        <f t="shared" si="2569"/>
        <v>1</v>
      </c>
      <c r="F13080" t="str">
        <f t="shared" si="2571"/>
        <v>COM</v>
      </c>
      <c r="G13080" t="str">
        <f>"GERALDO SEVERINO DE SANTANA (729)"</f>
        <v>GERALDO SEVERINO DE SANTANA (729)</v>
      </c>
      <c r="H13080" t="s">
        <v>3567</v>
      </c>
      <c r="I13080" t="str">
        <f t="shared" si="2568"/>
        <v>27/11/2025</v>
      </c>
      <c r="J13080" t="str">
        <f t="shared" si="2570"/>
        <v>18/11/2025</v>
      </c>
      <c r="K13080">
        <v>45988</v>
      </c>
      <c r="N13080">
        <v>109</v>
      </c>
      <c r="O13080" t="s">
        <v>24</v>
      </c>
      <c r="Q13080">
        <v>636.29999999999995</v>
      </c>
      <c r="R13080" t="str">
        <f>"AC FARMA - CID.ALTA (10166)"</f>
        <v>AC FARMA - CID.ALTA (10166)</v>
      </c>
      <c r="S13080" t="s">
        <v>77</v>
      </c>
      <c r="T13080">
        <v>22664</v>
      </c>
      <c r="U13080">
        <v>25847</v>
      </c>
      <c r="V13080" t="s">
        <v>77</v>
      </c>
    </row>
    <row r="13081" spans="1:22">
      <c r="A13081" t="str">
        <f t="shared" si="2565"/>
        <v>27/11/2025</v>
      </c>
      <c r="B13081" t="str">
        <f t="shared" si="2566"/>
        <v>SAÍDA</v>
      </c>
      <c r="C13081" t="str">
        <f t="shared" si="2567"/>
        <v>PIX</v>
      </c>
      <c r="D13081" t="str">
        <f>"25848"</f>
        <v>25848</v>
      </c>
      <c r="E13081" t="str">
        <f t="shared" si="2569"/>
        <v>1</v>
      </c>
      <c r="F13081" t="str">
        <f t="shared" si="2571"/>
        <v>COM</v>
      </c>
      <c r="G13081" t="str">
        <f>"HELITON DE OLIVEIRA RAMOS BARBOSA (724)"</f>
        <v>HELITON DE OLIVEIRA RAMOS BARBOSA (724)</v>
      </c>
      <c r="H13081" t="str">
        <f>"Serv.Prest. 10/11/2025 a 16/11/2025 - PIX: CPF - CHAVE: 074.604.219-10"</f>
        <v>Serv.Prest. 10/11/2025 a 16/11/2025 - PIX: CPF - CHAVE: 074.604.219-10</v>
      </c>
      <c r="I13081" t="str">
        <f t="shared" si="2568"/>
        <v>27/11/2025</v>
      </c>
      <c r="J13081" t="str">
        <f t="shared" si="2570"/>
        <v>18/11/2025</v>
      </c>
      <c r="K13081" t="str">
        <f>("27/11/2025")</f>
        <v>27/11/2025</v>
      </c>
      <c r="L13081">
        <v>919.8</v>
      </c>
      <c r="M13081">
        <v>919.8</v>
      </c>
      <c r="N13081">
        <v>109</v>
      </c>
      <c r="O13081" t="str">
        <f>"PAGAMENTO DE ENTREGADORES"</f>
        <v>PAGAMENTO DE ENTREGADORES</v>
      </c>
      <c r="P13081">
        <v>919.8</v>
      </c>
      <c r="S13081" t="str">
        <f>"BANCO C6 (149)"</f>
        <v>BANCO C6 (149)</v>
      </c>
      <c r="T13081">
        <v>22665</v>
      </c>
      <c r="U13081">
        <v>25848</v>
      </c>
      <c r="V13081" t="s">
        <v>77</v>
      </c>
    </row>
    <row r="13082" spans="1:22">
      <c r="A13082" t="str">
        <f t="shared" si="2565"/>
        <v>27/11/2025</v>
      </c>
      <c r="B13082" t="str">
        <f t="shared" si="2566"/>
        <v>SAÍDA</v>
      </c>
      <c r="C13082" t="str">
        <f t="shared" si="2567"/>
        <v>PIX</v>
      </c>
      <c r="D13082" t="str">
        <f>"25848"</f>
        <v>25848</v>
      </c>
      <c r="E13082" t="str">
        <f t="shared" si="2569"/>
        <v>1</v>
      </c>
      <c r="F13082" t="str">
        <f t="shared" si="2571"/>
        <v>COM</v>
      </c>
      <c r="G13082" t="str">
        <f>"HELITON DE OLIVEIRA RAMOS BARBOSA (724)"</f>
        <v>HELITON DE OLIVEIRA RAMOS BARBOSA (724)</v>
      </c>
      <c r="H13082" t="s">
        <v>3568</v>
      </c>
      <c r="I13082" t="str">
        <f t="shared" si="2568"/>
        <v>27/11/2025</v>
      </c>
      <c r="J13082" t="str">
        <f t="shared" si="2570"/>
        <v>18/11/2025</v>
      </c>
      <c r="K13082">
        <v>45988</v>
      </c>
      <c r="N13082">
        <v>109</v>
      </c>
      <c r="O13082" t="s">
        <v>24</v>
      </c>
      <c r="Q13082">
        <v>919.8</v>
      </c>
      <c r="R13082" t="str">
        <f>"AC FARMA - CID.ALTA (10166)"</f>
        <v>AC FARMA - CID.ALTA (10166)</v>
      </c>
      <c r="S13082" t="s">
        <v>77</v>
      </c>
      <c r="T13082">
        <v>22665</v>
      </c>
      <c r="U13082">
        <v>25848</v>
      </c>
      <c r="V13082" t="s">
        <v>77</v>
      </c>
    </row>
    <row r="13083" spans="1:22">
      <c r="A13083" t="str">
        <f t="shared" si="2565"/>
        <v>27/11/2025</v>
      </c>
      <c r="B13083" t="str">
        <f t="shared" si="2566"/>
        <v>SAÍDA</v>
      </c>
      <c r="C13083" t="str">
        <f t="shared" si="2567"/>
        <v>PIX</v>
      </c>
      <c r="D13083" t="str">
        <f>"25849"</f>
        <v>25849</v>
      </c>
      <c r="E13083" t="str">
        <f t="shared" si="2569"/>
        <v>1</v>
      </c>
      <c r="F13083" t="str">
        <f t="shared" si="2571"/>
        <v>COM</v>
      </c>
      <c r="G13083" t="str">
        <f>"RAUL SILVA ROMAO (727)"</f>
        <v>RAUL SILVA ROMAO (727)</v>
      </c>
      <c r="H13083" t="str">
        <f>"Serv.Prest. 10/11/2025 a 16/11/2025 - PIX: CPF - CHAVE: 878.196.869-87"</f>
        <v>Serv.Prest. 10/11/2025 a 16/11/2025 - PIX: CPF - CHAVE: 878.196.869-87</v>
      </c>
      <c r="I13083" t="str">
        <f t="shared" si="2568"/>
        <v>27/11/2025</v>
      </c>
      <c r="J13083" t="str">
        <f t="shared" si="2570"/>
        <v>18/11/2025</v>
      </c>
      <c r="K13083" t="str">
        <f>("27/11/2025")</f>
        <v>27/11/2025</v>
      </c>
      <c r="L13083">
        <v>346.5</v>
      </c>
      <c r="M13083">
        <v>346.5</v>
      </c>
      <c r="N13083">
        <v>109</v>
      </c>
      <c r="O13083" t="str">
        <f>"PAGAMENTO DE ENTREGADORES"</f>
        <v>PAGAMENTO DE ENTREGADORES</v>
      </c>
      <c r="P13083">
        <v>346.5</v>
      </c>
      <c r="S13083" t="str">
        <f>"BANCO C6 (149)"</f>
        <v>BANCO C6 (149)</v>
      </c>
      <c r="T13083">
        <v>22666</v>
      </c>
      <c r="U13083">
        <v>25849</v>
      </c>
      <c r="V13083" t="s">
        <v>77</v>
      </c>
    </row>
    <row r="13084" spans="1:22">
      <c r="A13084" t="str">
        <f t="shared" si="2565"/>
        <v>27/11/2025</v>
      </c>
      <c r="B13084" t="str">
        <f t="shared" si="2566"/>
        <v>SAÍDA</v>
      </c>
      <c r="C13084" t="str">
        <f t="shared" si="2567"/>
        <v>PIX</v>
      </c>
      <c r="D13084" t="str">
        <f>"25849"</f>
        <v>25849</v>
      </c>
      <c r="E13084" t="str">
        <f t="shared" si="2569"/>
        <v>1</v>
      </c>
      <c r="F13084" t="str">
        <f t="shared" si="2571"/>
        <v>COM</v>
      </c>
      <c r="G13084" t="str">
        <f>"RAUL SILVA ROMAO (727)"</f>
        <v>RAUL SILVA ROMAO (727)</v>
      </c>
      <c r="H13084" t="s">
        <v>3569</v>
      </c>
      <c r="I13084" t="str">
        <f t="shared" si="2568"/>
        <v>27/11/2025</v>
      </c>
      <c r="J13084" t="str">
        <f t="shared" si="2570"/>
        <v>18/11/2025</v>
      </c>
      <c r="K13084">
        <v>45988</v>
      </c>
      <c r="N13084">
        <v>109</v>
      </c>
      <c r="O13084" t="s">
        <v>24</v>
      </c>
      <c r="Q13084">
        <v>346.5</v>
      </c>
      <c r="R13084" t="str">
        <f>"AC FARMA - CID.ALTA (10166)"</f>
        <v>AC FARMA - CID.ALTA (10166)</v>
      </c>
      <c r="S13084" t="s">
        <v>77</v>
      </c>
      <c r="T13084">
        <v>22666</v>
      </c>
      <c r="U13084">
        <v>25849</v>
      </c>
      <c r="V13084" t="s">
        <v>77</v>
      </c>
    </row>
    <row r="13085" spans="1:22">
      <c r="A13085" t="str">
        <f t="shared" si="2565"/>
        <v>27/11/2025</v>
      </c>
      <c r="B13085" t="str">
        <f t="shared" si="2566"/>
        <v>SAÍDA</v>
      </c>
      <c r="C13085" t="str">
        <f t="shared" si="2567"/>
        <v>PIX</v>
      </c>
      <c r="D13085" t="str">
        <f>"25851"</f>
        <v>25851</v>
      </c>
      <c r="E13085" t="str">
        <f t="shared" si="2569"/>
        <v>1</v>
      </c>
      <c r="F13085" t="str">
        <f t="shared" si="2571"/>
        <v>COM</v>
      </c>
      <c r="G13085" t="str">
        <f>"ALAN ACOSTA (897)"</f>
        <v>ALAN ACOSTA (897)</v>
      </c>
      <c r="H13085" t="str">
        <f>"Serv.Prest. 10/11/2025 a 16/11/2025 - PIX: E-MAIL - CHAVE: alanacosta1999@gmail.com"</f>
        <v>Serv.Prest. 10/11/2025 a 16/11/2025 - PIX: E-MAIL - CHAVE: alanacosta1999@gmail.com</v>
      </c>
      <c r="I13085" t="str">
        <f t="shared" si="2568"/>
        <v>27/11/2025</v>
      </c>
      <c r="J13085" t="str">
        <f t="shared" si="2570"/>
        <v>18/11/2025</v>
      </c>
      <c r="K13085" t="str">
        <f>("27/11/2025")</f>
        <v>27/11/2025</v>
      </c>
      <c r="L13085">
        <v>163.80000000000001</v>
      </c>
      <c r="M13085">
        <v>163.80000000000001</v>
      </c>
      <c r="N13085">
        <v>109</v>
      </c>
      <c r="O13085" t="str">
        <f>"PAGAMENTO DE ENTREGADORES"</f>
        <v>PAGAMENTO DE ENTREGADORES</v>
      </c>
      <c r="P13085">
        <v>163.80000000000001</v>
      </c>
      <c r="S13085" t="str">
        <f>"BANCO C6 (149)"</f>
        <v>BANCO C6 (149)</v>
      </c>
      <c r="T13085">
        <v>22667</v>
      </c>
      <c r="U13085">
        <v>25851</v>
      </c>
      <c r="V13085" t="s">
        <v>77</v>
      </c>
    </row>
    <row r="13086" spans="1:22">
      <c r="A13086" t="str">
        <f t="shared" si="2565"/>
        <v>27/11/2025</v>
      </c>
      <c r="B13086" t="str">
        <f t="shared" si="2566"/>
        <v>SAÍDA</v>
      </c>
      <c r="C13086" t="str">
        <f t="shared" si="2567"/>
        <v>PIX</v>
      </c>
      <c r="D13086" t="str">
        <f>"25851"</f>
        <v>25851</v>
      </c>
      <c r="E13086" t="str">
        <f t="shared" si="2569"/>
        <v>1</v>
      </c>
      <c r="F13086" t="str">
        <f t="shared" si="2571"/>
        <v>COM</v>
      </c>
      <c r="G13086" t="str">
        <f>"ALAN ACOSTA (897)"</f>
        <v>ALAN ACOSTA (897)</v>
      </c>
      <c r="H13086" t="s">
        <v>3563</v>
      </c>
      <c r="I13086" t="str">
        <f t="shared" si="2568"/>
        <v>27/11/2025</v>
      </c>
      <c r="J13086" t="str">
        <f t="shared" si="2570"/>
        <v>18/11/2025</v>
      </c>
      <c r="K13086">
        <v>45988</v>
      </c>
      <c r="N13086">
        <v>109</v>
      </c>
      <c r="O13086" t="s">
        <v>24</v>
      </c>
      <c r="Q13086">
        <v>157.49</v>
      </c>
      <c r="R13086" t="str">
        <f>"AC FARMA -  FLEMINFARMA (10159)"</f>
        <v>AC FARMA -  FLEMINFARMA (10159)</v>
      </c>
      <c r="S13086" t="s">
        <v>77</v>
      </c>
      <c r="T13086">
        <v>22667</v>
      </c>
      <c r="U13086">
        <v>25851</v>
      </c>
      <c r="V13086" t="s">
        <v>77</v>
      </c>
    </row>
    <row r="13087" spans="1:22">
      <c r="A13087" t="str">
        <f t="shared" si="2565"/>
        <v>27/11/2025</v>
      </c>
      <c r="B13087" t="str">
        <f t="shared" si="2566"/>
        <v>SAÍDA</v>
      </c>
      <c r="C13087" t="str">
        <f t="shared" si="2567"/>
        <v>PIX</v>
      </c>
      <c r="D13087" t="str">
        <f>"25851"</f>
        <v>25851</v>
      </c>
      <c r="E13087" t="str">
        <f t="shared" si="2569"/>
        <v>1</v>
      </c>
      <c r="F13087" t="str">
        <f t="shared" si="2571"/>
        <v>COM</v>
      </c>
      <c r="G13087" t="str">
        <f>"ALAN ACOSTA (897)"</f>
        <v>ALAN ACOSTA (897)</v>
      </c>
      <c r="H13087" t="s">
        <v>3563</v>
      </c>
      <c r="I13087" t="str">
        <f t="shared" si="2568"/>
        <v>27/11/2025</v>
      </c>
      <c r="J13087" t="str">
        <f t="shared" si="2570"/>
        <v>18/11/2025</v>
      </c>
      <c r="K13087">
        <v>45988</v>
      </c>
      <c r="N13087">
        <v>109</v>
      </c>
      <c r="O13087" t="s">
        <v>24</v>
      </c>
      <c r="Q13087">
        <v>6.31</v>
      </c>
      <c r="R13087" t="str">
        <f>"AC FARMA - FLEMINFARMA (10160)"</f>
        <v>AC FARMA - FLEMINFARMA (10160)</v>
      </c>
      <c r="S13087" t="s">
        <v>77</v>
      </c>
      <c r="T13087">
        <v>22667</v>
      </c>
      <c r="U13087">
        <v>25851</v>
      </c>
      <c r="V13087" t="s">
        <v>77</v>
      </c>
    </row>
    <row r="13088" spans="1:22">
      <c r="A13088" t="str">
        <f t="shared" si="2565"/>
        <v>27/11/2025</v>
      </c>
      <c r="B13088" t="str">
        <f t="shared" si="2566"/>
        <v>SAÍDA</v>
      </c>
      <c r="C13088" t="str">
        <f t="shared" si="2567"/>
        <v>PIX</v>
      </c>
      <c r="D13088" t="str">
        <f>"25852"</f>
        <v>25852</v>
      </c>
      <c r="E13088" t="str">
        <f t="shared" si="2569"/>
        <v>1</v>
      </c>
      <c r="F13088" t="str">
        <f t="shared" si="2571"/>
        <v>COM</v>
      </c>
      <c r="G13088" t="str">
        <f>"ALEXANDRE DA CONCEICAO (714)"</f>
        <v>ALEXANDRE DA CONCEICAO (714)</v>
      </c>
      <c r="H13088" t="str">
        <f>"Serv.Prest. 10/11/2025 a 16/11/2025 - PIX: CPF - CHAVE: 975.425.989-53"</f>
        <v>Serv.Prest. 10/11/2025 a 16/11/2025 - PIX: CPF - CHAVE: 975.425.989-53</v>
      </c>
      <c r="I13088" t="str">
        <f t="shared" si="2568"/>
        <v>27/11/2025</v>
      </c>
      <c r="J13088" t="str">
        <f t="shared" si="2570"/>
        <v>18/11/2025</v>
      </c>
      <c r="K13088" t="str">
        <f>("27/11/2025")</f>
        <v>27/11/2025</v>
      </c>
      <c r="L13088">
        <v>18.899999999999999</v>
      </c>
      <c r="M13088">
        <v>18.899999999999999</v>
      </c>
      <c r="N13088">
        <v>109</v>
      </c>
      <c r="O13088" t="str">
        <f>"PAGAMENTO DE ENTREGADORES"</f>
        <v>PAGAMENTO DE ENTREGADORES</v>
      </c>
      <c r="P13088">
        <v>18.899999999999999</v>
      </c>
      <c r="S13088" t="str">
        <f>"BANCO C6 (149)"</f>
        <v>BANCO C6 (149)</v>
      </c>
      <c r="T13088">
        <v>22668</v>
      </c>
      <c r="U13088">
        <v>25852</v>
      </c>
      <c r="V13088" t="s">
        <v>77</v>
      </c>
    </row>
    <row r="13089" spans="1:22">
      <c r="A13089" t="str">
        <f t="shared" si="2565"/>
        <v>27/11/2025</v>
      </c>
      <c r="B13089" t="str">
        <f t="shared" si="2566"/>
        <v>SAÍDA</v>
      </c>
      <c r="C13089" t="str">
        <f t="shared" si="2567"/>
        <v>PIX</v>
      </c>
      <c r="D13089" t="str">
        <f>"25852"</f>
        <v>25852</v>
      </c>
      <c r="E13089" t="str">
        <f t="shared" si="2569"/>
        <v>1</v>
      </c>
      <c r="F13089" t="str">
        <f t="shared" si="2571"/>
        <v>COM</v>
      </c>
      <c r="G13089" t="str">
        <f>"ALEXANDRE DA CONCEICAO (714)"</f>
        <v>ALEXANDRE DA CONCEICAO (714)</v>
      </c>
      <c r="H13089" t="s">
        <v>3564</v>
      </c>
      <c r="I13089" t="str">
        <f t="shared" si="2568"/>
        <v>27/11/2025</v>
      </c>
      <c r="J13089" t="str">
        <f t="shared" si="2570"/>
        <v>18/11/2025</v>
      </c>
      <c r="K13089">
        <v>45988</v>
      </c>
      <c r="N13089">
        <v>109</v>
      </c>
      <c r="O13089" t="s">
        <v>24</v>
      </c>
      <c r="Q13089">
        <v>18.899999999999999</v>
      </c>
      <c r="R13089" t="str">
        <f>"AC FARMA -  FLEMINFARMA (10159)"</f>
        <v>AC FARMA -  FLEMINFARMA (10159)</v>
      </c>
      <c r="S13089" t="s">
        <v>77</v>
      </c>
      <c r="T13089">
        <v>22668</v>
      </c>
      <c r="U13089">
        <v>25852</v>
      </c>
      <c r="V13089" t="s">
        <v>77</v>
      </c>
    </row>
    <row r="13090" spans="1:22">
      <c r="A13090" t="str">
        <f t="shared" si="2565"/>
        <v>27/11/2025</v>
      </c>
      <c r="B13090" t="str">
        <f t="shared" si="2566"/>
        <v>SAÍDA</v>
      </c>
      <c r="C13090" t="str">
        <f t="shared" si="2567"/>
        <v>PIX</v>
      </c>
      <c r="D13090" t="str">
        <f>"25853"</f>
        <v>25853</v>
      </c>
      <c r="E13090" t="str">
        <f t="shared" si="2569"/>
        <v>1</v>
      </c>
      <c r="F13090" t="str">
        <f t="shared" si="2571"/>
        <v>COM</v>
      </c>
      <c r="G13090" t="str">
        <f>"CLAUDINEI RIBEIRO VALERIO (681)"</f>
        <v>CLAUDINEI RIBEIRO VALERIO (681)</v>
      </c>
      <c r="H13090" t="str">
        <f>"Serv.Prest. 10/11/2025 a 16/11/2025 - PIX: CELULAR - CHAVE: (43) 99630-7532"</f>
        <v>Serv.Prest. 10/11/2025 a 16/11/2025 - PIX: CELULAR - CHAVE: (43) 99630-7532</v>
      </c>
      <c r="I13090" t="str">
        <f t="shared" si="2568"/>
        <v>27/11/2025</v>
      </c>
      <c r="J13090" t="str">
        <f t="shared" si="2570"/>
        <v>18/11/2025</v>
      </c>
      <c r="K13090" t="str">
        <f>("27/11/2025")</f>
        <v>27/11/2025</v>
      </c>
      <c r="L13090">
        <v>81.900000000000006</v>
      </c>
      <c r="M13090">
        <v>81.900000000000006</v>
      </c>
      <c r="N13090">
        <v>109</v>
      </c>
      <c r="O13090" t="str">
        <f>"PAGAMENTO DE ENTREGADORES"</f>
        <v>PAGAMENTO DE ENTREGADORES</v>
      </c>
      <c r="P13090">
        <v>81.900000000000006</v>
      </c>
      <c r="S13090" t="str">
        <f>"BANCO C6 (149)"</f>
        <v>BANCO C6 (149)</v>
      </c>
      <c r="T13090">
        <v>22669</v>
      </c>
      <c r="U13090">
        <v>25853</v>
      </c>
      <c r="V13090" t="s">
        <v>77</v>
      </c>
    </row>
    <row r="13091" spans="1:22">
      <c r="A13091" t="str">
        <f t="shared" si="2565"/>
        <v>27/11/2025</v>
      </c>
      <c r="B13091" t="str">
        <f t="shared" si="2566"/>
        <v>SAÍDA</v>
      </c>
      <c r="C13091" t="str">
        <f t="shared" si="2567"/>
        <v>PIX</v>
      </c>
      <c r="D13091" t="str">
        <f>"25853"</f>
        <v>25853</v>
      </c>
      <c r="E13091" t="str">
        <f t="shared" si="2569"/>
        <v>1</v>
      </c>
      <c r="F13091" t="str">
        <f t="shared" si="2571"/>
        <v>COM</v>
      </c>
      <c r="G13091" t="str">
        <f>"CLAUDINEI RIBEIRO VALERIO (681)"</f>
        <v>CLAUDINEI RIBEIRO VALERIO (681)</v>
      </c>
      <c r="H13091" t="s">
        <v>3565</v>
      </c>
      <c r="I13091" t="str">
        <f t="shared" si="2568"/>
        <v>27/11/2025</v>
      </c>
      <c r="J13091" t="str">
        <f t="shared" si="2570"/>
        <v>18/11/2025</v>
      </c>
      <c r="K13091">
        <v>45988</v>
      </c>
      <c r="N13091">
        <v>109</v>
      </c>
      <c r="O13091" t="s">
        <v>24</v>
      </c>
      <c r="Q13091">
        <v>75.599999999999994</v>
      </c>
      <c r="R13091" t="str">
        <f>"AC FARMA -  FLEMINFARMA (10159)"</f>
        <v>AC FARMA -  FLEMINFARMA (10159)</v>
      </c>
      <c r="S13091" t="s">
        <v>77</v>
      </c>
      <c r="T13091">
        <v>22669</v>
      </c>
      <c r="U13091">
        <v>25853</v>
      </c>
      <c r="V13091" t="s">
        <v>77</v>
      </c>
    </row>
    <row r="13092" spans="1:22">
      <c r="A13092" t="str">
        <f t="shared" si="2565"/>
        <v>27/11/2025</v>
      </c>
      <c r="B13092" t="str">
        <f t="shared" si="2566"/>
        <v>SAÍDA</v>
      </c>
      <c r="C13092" t="str">
        <f t="shared" si="2567"/>
        <v>PIX</v>
      </c>
      <c r="D13092" t="str">
        <f>"25853"</f>
        <v>25853</v>
      </c>
      <c r="E13092" t="str">
        <f t="shared" si="2569"/>
        <v>1</v>
      </c>
      <c r="F13092" t="str">
        <f t="shared" si="2571"/>
        <v>COM</v>
      </c>
      <c r="G13092" t="str">
        <f>"CLAUDINEI RIBEIRO VALERIO (681)"</f>
        <v>CLAUDINEI RIBEIRO VALERIO (681)</v>
      </c>
      <c r="H13092" t="s">
        <v>3565</v>
      </c>
      <c r="I13092" t="str">
        <f t="shared" si="2568"/>
        <v>27/11/2025</v>
      </c>
      <c r="J13092" t="str">
        <f t="shared" ref="J13092:J13108" si="2572">("18/11/2025")</f>
        <v>18/11/2025</v>
      </c>
      <c r="K13092">
        <v>45988</v>
      </c>
      <c r="N13092">
        <v>109</v>
      </c>
      <c r="O13092" t="s">
        <v>24</v>
      </c>
      <c r="Q13092">
        <v>6.3</v>
      </c>
      <c r="R13092" t="str">
        <f>"AC FARMA - FLEMINFARMA (10160)"</f>
        <v>AC FARMA - FLEMINFARMA (10160)</v>
      </c>
      <c r="S13092" t="s">
        <v>77</v>
      </c>
      <c r="T13092">
        <v>22669</v>
      </c>
      <c r="U13092">
        <v>25853</v>
      </c>
      <c r="V13092" t="s">
        <v>77</v>
      </c>
    </row>
    <row r="13093" spans="1:22">
      <c r="A13093" t="str">
        <f t="shared" si="2565"/>
        <v>27/11/2025</v>
      </c>
      <c r="B13093" t="str">
        <f t="shared" si="2566"/>
        <v>SAÍDA</v>
      </c>
      <c r="C13093" t="str">
        <f t="shared" si="2567"/>
        <v>PIX</v>
      </c>
      <c r="D13093" t="str">
        <f>"25854"</f>
        <v>25854</v>
      </c>
      <c r="E13093" t="str">
        <f t="shared" si="2569"/>
        <v>1</v>
      </c>
      <c r="F13093" t="str">
        <f t="shared" si="2571"/>
        <v>COM</v>
      </c>
      <c r="G13093" t="str">
        <f>"FERNANDO MARTINS DA SILVA (701)"</f>
        <v>FERNANDO MARTINS DA SILVA (701)</v>
      </c>
      <c r="H13093" t="str">
        <f>"Serv.Prest. 10/11/2025 a 16/11/2025 - PIX: CPF - CHAVE: 004.682.359-06"</f>
        <v>Serv.Prest. 10/11/2025 a 16/11/2025 - PIX: CPF - CHAVE: 004.682.359-06</v>
      </c>
      <c r="I13093" t="str">
        <f t="shared" si="2568"/>
        <v>27/11/2025</v>
      </c>
      <c r="J13093" t="str">
        <f t="shared" si="2572"/>
        <v>18/11/2025</v>
      </c>
      <c r="K13093" t="str">
        <f>("27/11/2025")</f>
        <v>27/11/2025</v>
      </c>
      <c r="L13093">
        <v>384.3</v>
      </c>
      <c r="M13093">
        <v>384.3</v>
      </c>
      <c r="N13093">
        <v>109</v>
      </c>
      <c r="O13093" t="str">
        <f>"PAGAMENTO DE ENTREGADORES"</f>
        <v>PAGAMENTO DE ENTREGADORES</v>
      </c>
      <c r="P13093">
        <v>384.3</v>
      </c>
      <c r="S13093" t="str">
        <f>"BANCO C6 (149)"</f>
        <v>BANCO C6 (149)</v>
      </c>
      <c r="T13093">
        <v>22670</v>
      </c>
      <c r="U13093">
        <v>25854</v>
      </c>
      <c r="V13093" t="s">
        <v>77</v>
      </c>
    </row>
    <row r="13094" spans="1:22">
      <c r="A13094" t="str">
        <f t="shared" si="2565"/>
        <v>27/11/2025</v>
      </c>
      <c r="B13094" t="str">
        <f t="shared" si="2566"/>
        <v>SAÍDA</v>
      </c>
      <c r="C13094" t="str">
        <f t="shared" si="2567"/>
        <v>PIX</v>
      </c>
      <c r="D13094" t="str">
        <f>"25854"</f>
        <v>25854</v>
      </c>
      <c r="E13094" t="str">
        <f t="shared" si="2569"/>
        <v>1</v>
      </c>
      <c r="F13094" t="str">
        <f t="shared" si="2571"/>
        <v>COM</v>
      </c>
      <c r="G13094" t="str">
        <f>"FERNANDO MARTINS DA SILVA (701)"</f>
        <v>FERNANDO MARTINS DA SILVA (701)</v>
      </c>
      <c r="H13094" t="s">
        <v>3566</v>
      </c>
      <c r="I13094" t="str">
        <f t="shared" si="2568"/>
        <v>27/11/2025</v>
      </c>
      <c r="J13094" t="str">
        <f t="shared" si="2572"/>
        <v>18/11/2025</v>
      </c>
      <c r="K13094">
        <v>45988</v>
      </c>
      <c r="N13094">
        <v>109</v>
      </c>
      <c r="O13094" t="s">
        <v>24</v>
      </c>
      <c r="Q13094">
        <v>371.69</v>
      </c>
      <c r="R13094" t="str">
        <f>"AC FARMA -  FLEMINFARMA (10159)"</f>
        <v>AC FARMA -  FLEMINFARMA (10159)</v>
      </c>
      <c r="S13094" t="s">
        <v>77</v>
      </c>
      <c r="T13094">
        <v>22670</v>
      </c>
      <c r="U13094">
        <v>25854</v>
      </c>
      <c r="V13094" t="s">
        <v>77</v>
      </c>
    </row>
    <row r="13095" spans="1:22">
      <c r="A13095" t="str">
        <f t="shared" si="2565"/>
        <v>27/11/2025</v>
      </c>
      <c r="B13095" t="str">
        <f t="shared" si="2566"/>
        <v>SAÍDA</v>
      </c>
      <c r="C13095" t="str">
        <f t="shared" si="2567"/>
        <v>PIX</v>
      </c>
      <c r="D13095" t="str">
        <f>"25854"</f>
        <v>25854</v>
      </c>
      <c r="E13095" t="str">
        <f t="shared" si="2569"/>
        <v>1</v>
      </c>
      <c r="F13095" t="str">
        <f t="shared" si="2571"/>
        <v>COM</v>
      </c>
      <c r="G13095" t="str">
        <f>"FERNANDO MARTINS DA SILVA (701)"</f>
        <v>FERNANDO MARTINS DA SILVA (701)</v>
      </c>
      <c r="H13095" t="s">
        <v>3566</v>
      </c>
      <c r="I13095" t="str">
        <f t="shared" si="2568"/>
        <v>27/11/2025</v>
      </c>
      <c r="J13095" t="str">
        <f t="shared" si="2572"/>
        <v>18/11/2025</v>
      </c>
      <c r="K13095">
        <v>45988</v>
      </c>
      <c r="N13095">
        <v>109</v>
      </c>
      <c r="O13095" t="s">
        <v>24</v>
      </c>
      <c r="Q13095">
        <v>12.61</v>
      </c>
      <c r="R13095" t="str">
        <f>"AC FARMA - FLEMINFARMA (10160)"</f>
        <v>AC FARMA - FLEMINFARMA (10160)</v>
      </c>
      <c r="S13095" t="s">
        <v>77</v>
      </c>
      <c r="T13095">
        <v>22670</v>
      </c>
      <c r="U13095">
        <v>25854</v>
      </c>
      <c r="V13095" t="s">
        <v>77</v>
      </c>
    </row>
    <row r="13096" spans="1:22">
      <c r="A13096" t="str">
        <f t="shared" si="2565"/>
        <v>27/11/2025</v>
      </c>
      <c r="B13096" t="str">
        <f t="shared" si="2566"/>
        <v>SAÍDA</v>
      </c>
      <c r="C13096" t="str">
        <f t="shared" si="2567"/>
        <v>PIX</v>
      </c>
      <c r="D13096" t="str">
        <f>"25855"</f>
        <v>25855</v>
      </c>
      <c r="E13096" t="str">
        <f t="shared" si="2569"/>
        <v>1</v>
      </c>
      <c r="F13096" t="str">
        <f t="shared" si="2571"/>
        <v>COM</v>
      </c>
      <c r="G13096" t="str">
        <f>"GERALDO SEVERINO DE SANTANA (729)"</f>
        <v>GERALDO SEVERINO DE SANTANA (729)</v>
      </c>
      <c r="H13096" t="str">
        <f>"Serv.Prest. 10/11/2025 a 16/11/2025 - PIX: CELULAR - CHAVE: (43) 99934-1696"</f>
        <v>Serv.Prest. 10/11/2025 a 16/11/2025 - PIX: CELULAR - CHAVE: (43) 99934-1696</v>
      </c>
      <c r="I13096" t="str">
        <f t="shared" si="2568"/>
        <v>27/11/2025</v>
      </c>
      <c r="J13096" t="str">
        <f t="shared" si="2572"/>
        <v>18/11/2025</v>
      </c>
      <c r="K13096" t="str">
        <f>("27/11/2025")</f>
        <v>27/11/2025</v>
      </c>
      <c r="L13096">
        <v>157.5</v>
      </c>
      <c r="M13096">
        <v>157.5</v>
      </c>
      <c r="N13096">
        <v>109</v>
      </c>
      <c r="O13096" t="str">
        <f>"PAGAMENTO DE ENTREGADORES"</f>
        <v>PAGAMENTO DE ENTREGADORES</v>
      </c>
      <c r="P13096">
        <v>157.5</v>
      </c>
      <c r="S13096" t="str">
        <f>"BANCO C6 (149)"</f>
        <v>BANCO C6 (149)</v>
      </c>
      <c r="T13096">
        <v>22671</v>
      </c>
      <c r="U13096">
        <v>25855</v>
      </c>
      <c r="V13096" t="s">
        <v>77</v>
      </c>
    </row>
    <row r="13097" spans="1:22">
      <c r="A13097" t="str">
        <f t="shared" si="2565"/>
        <v>27/11/2025</v>
      </c>
      <c r="B13097" t="str">
        <f t="shared" si="2566"/>
        <v>SAÍDA</v>
      </c>
      <c r="C13097" t="str">
        <f t="shared" si="2567"/>
        <v>PIX</v>
      </c>
      <c r="D13097" t="str">
        <f>"25855"</f>
        <v>25855</v>
      </c>
      <c r="E13097" t="str">
        <f t="shared" si="2569"/>
        <v>1</v>
      </c>
      <c r="F13097" t="str">
        <f t="shared" si="2571"/>
        <v>COM</v>
      </c>
      <c r="G13097" t="str">
        <f>"GERALDO SEVERINO DE SANTANA (729)"</f>
        <v>GERALDO SEVERINO DE SANTANA (729)</v>
      </c>
      <c r="H13097" t="s">
        <v>3567</v>
      </c>
      <c r="I13097" t="str">
        <f t="shared" si="2568"/>
        <v>27/11/2025</v>
      </c>
      <c r="J13097" t="str">
        <f t="shared" si="2572"/>
        <v>18/11/2025</v>
      </c>
      <c r="K13097">
        <v>45988</v>
      </c>
      <c r="N13097">
        <v>109</v>
      </c>
      <c r="O13097" t="s">
        <v>24</v>
      </c>
      <c r="Q13097">
        <v>151.19999999999999</v>
      </c>
      <c r="R13097" t="str">
        <f>"AC FARMA -  FLEMINFARMA (10159)"</f>
        <v>AC FARMA -  FLEMINFARMA (10159)</v>
      </c>
      <c r="S13097" t="s">
        <v>77</v>
      </c>
      <c r="T13097">
        <v>22671</v>
      </c>
      <c r="U13097">
        <v>25855</v>
      </c>
      <c r="V13097" t="s">
        <v>77</v>
      </c>
    </row>
    <row r="13098" spans="1:22">
      <c r="A13098" t="str">
        <f t="shared" si="2565"/>
        <v>27/11/2025</v>
      </c>
      <c r="B13098" t="str">
        <f t="shared" si="2566"/>
        <v>SAÍDA</v>
      </c>
      <c r="C13098" t="str">
        <f t="shared" si="2567"/>
        <v>PIX</v>
      </c>
      <c r="D13098" t="str">
        <f>"25855"</f>
        <v>25855</v>
      </c>
      <c r="E13098" t="str">
        <f t="shared" si="2569"/>
        <v>1</v>
      </c>
      <c r="F13098" t="str">
        <f t="shared" si="2571"/>
        <v>COM</v>
      </c>
      <c r="G13098" t="str">
        <f>"GERALDO SEVERINO DE SANTANA (729)"</f>
        <v>GERALDO SEVERINO DE SANTANA (729)</v>
      </c>
      <c r="H13098" t="s">
        <v>3567</v>
      </c>
      <c r="I13098" t="str">
        <f t="shared" si="2568"/>
        <v>27/11/2025</v>
      </c>
      <c r="J13098" t="str">
        <f t="shared" si="2572"/>
        <v>18/11/2025</v>
      </c>
      <c r="K13098">
        <v>45988</v>
      </c>
      <c r="N13098">
        <v>109</v>
      </c>
      <c r="O13098" t="s">
        <v>24</v>
      </c>
      <c r="Q13098">
        <v>6.3</v>
      </c>
      <c r="R13098" t="str">
        <f>"AC FARMA - FLEMINFARMA (10160)"</f>
        <v>AC FARMA - FLEMINFARMA (10160)</v>
      </c>
      <c r="S13098" t="s">
        <v>77</v>
      </c>
      <c r="T13098">
        <v>22671</v>
      </c>
      <c r="U13098">
        <v>25855</v>
      </c>
      <c r="V13098" t="s">
        <v>77</v>
      </c>
    </row>
    <row r="13099" spans="1:22">
      <c r="A13099" t="str">
        <f t="shared" si="2565"/>
        <v>27/11/2025</v>
      </c>
      <c r="B13099" t="str">
        <f t="shared" si="2566"/>
        <v>SAÍDA</v>
      </c>
      <c r="C13099" t="str">
        <f t="shared" si="2567"/>
        <v>PIX</v>
      </c>
      <c r="D13099" t="str">
        <f>"25856"</f>
        <v>25856</v>
      </c>
      <c r="E13099" t="str">
        <f t="shared" si="2569"/>
        <v>1</v>
      </c>
      <c r="F13099" t="str">
        <f t="shared" si="2571"/>
        <v>COM</v>
      </c>
      <c r="G13099" t="str">
        <f>"HELITON DE OLIVEIRA RAMOS BARBOSA (724)"</f>
        <v>HELITON DE OLIVEIRA RAMOS BARBOSA (724)</v>
      </c>
      <c r="H13099" t="str">
        <f>"Serv.Prest. 10/11/2025 a 16/11/2025 - PIX: CPF - CHAVE: 074.604.219-10"</f>
        <v>Serv.Prest. 10/11/2025 a 16/11/2025 - PIX: CPF - CHAVE: 074.604.219-10</v>
      </c>
      <c r="I13099" t="str">
        <f t="shared" si="2568"/>
        <v>27/11/2025</v>
      </c>
      <c r="J13099" t="str">
        <f t="shared" si="2572"/>
        <v>18/11/2025</v>
      </c>
      <c r="K13099" t="str">
        <f>("27/11/2025")</f>
        <v>27/11/2025</v>
      </c>
      <c r="L13099">
        <v>163.80000000000001</v>
      </c>
      <c r="M13099">
        <v>163.80000000000001</v>
      </c>
      <c r="N13099">
        <v>109</v>
      </c>
      <c r="O13099" t="str">
        <f>"PAGAMENTO DE ENTREGADORES"</f>
        <v>PAGAMENTO DE ENTREGADORES</v>
      </c>
      <c r="P13099">
        <v>163.80000000000001</v>
      </c>
      <c r="S13099" t="str">
        <f>"BANCO C6 (149)"</f>
        <v>BANCO C6 (149)</v>
      </c>
      <c r="T13099">
        <v>22672</v>
      </c>
      <c r="U13099">
        <v>25856</v>
      </c>
      <c r="V13099" t="s">
        <v>77</v>
      </c>
    </row>
    <row r="13100" spans="1:22">
      <c r="A13100" t="str">
        <f t="shared" si="2565"/>
        <v>27/11/2025</v>
      </c>
      <c r="B13100" t="str">
        <f t="shared" si="2566"/>
        <v>SAÍDA</v>
      </c>
      <c r="C13100" t="str">
        <f t="shared" si="2567"/>
        <v>PIX</v>
      </c>
      <c r="D13100" t="str">
        <f>"25856"</f>
        <v>25856</v>
      </c>
      <c r="E13100" t="str">
        <f t="shared" si="2569"/>
        <v>1</v>
      </c>
      <c r="F13100" t="str">
        <f t="shared" si="2571"/>
        <v>COM</v>
      </c>
      <c r="G13100" t="str">
        <f>"HELITON DE OLIVEIRA RAMOS BARBOSA (724)"</f>
        <v>HELITON DE OLIVEIRA RAMOS BARBOSA (724)</v>
      </c>
      <c r="H13100" t="s">
        <v>3568</v>
      </c>
      <c r="I13100" t="str">
        <f t="shared" si="2568"/>
        <v>27/11/2025</v>
      </c>
      <c r="J13100" t="str">
        <f t="shared" si="2572"/>
        <v>18/11/2025</v>
      </c>
      <c r="K13100">
        <v>45988</v>
      </c>
      <c r="N13100">
        <v>109</v>
      </c>
      <c r="O13100" t="s">
        <v>24</v>
      </c>
      <c r="Q13100">
        <v>163.80000000000001</v>
      </c>
      <c r="R13100" t="str">
        <f>"AC FARMA -  FLEMINFARMA (10159)"</f>
        <v>AC FARMA -  FLEMINFARMA (10159)</v>
      </c>
      <c r="S13100" t="s">
        <v>77</v>
      </c>
      <c r="T13100">
        <v>22672</v>
      </c>
      <c r="U13100">
        <v>25856</v>
      </c>
      <c r="V13100" t="s">
        <v>77</v>
      </c>
    </row>
    <row r="13101" spans="1:22">
      <c r="A13101" t="str">
        <f t="shared" si="2565"/>
        <v>27/11/2025</v>
      </c>
      <c r="B13101" t="str">
        <f t="shared" si="2566"/>
        <v>SAÍDA</v>
      </c>
      <c r="C13101" t="str">
        <f t="shared" si="2567"/>
        <v>PIX</v>
      </c>
      <c r="D13101" t="str">
        <f>"25858"</f>
        <v>25858</v>
      </c>
      <c r="E13101" t="str">
        <f t="shared" si="2569"/>
        <v>1</v>
      </c>
      <c r="F13101" t="str">
        <f t="shared" si="2571"/>
        <v>COM</v>
      </c>
      <c r="G13101" t="str">
        <f>"ALAN ACOSTA (897)"</f>
        <v>ALAN ACOSTA (897)</v>
      </c>
      <c r="H13101" t="str">
        <f>"Serv.Prest. 10/11/2025 a 16/11/2025 - PIX: E-MAIL - CHAVE: alanacosta1999@gmail.com"</f>
        <v>Serv.Prest. 10/11/2025 a 16/11/2025 - PIX: E-MAIL - CHAVE: alanacosta1999@gmail.com</v>
      </c>
      <c r="I13101" t="str">
        <f t="shared" si="2568"/>
        <v>27/11/2025</v>
      </c>
      <c r="J13101" t="str">
        <f t="shared" si="2572"/>
        <v>18/11/2025</v>
      </c>
      <c r="K13101" t="str">
        <f>("27/11/2025")</f>
        <v>27/11/2025</v>
      </c>
      <c r="L13101">
        <v>25.2</v>
      </c>
      <c r="M13101">
        <v>25.2</v>
      </c>
      <c r="N13101">
        <v>109</v>
      </c>
      <c r="O13101" t="str">
        <f>"PAGAMENTO DE ENTREGADORES"</f>
        <v>PAGAMENTO DE ENTREGADORES</v>
      </c>
      <c r="P13101">
        <v>25.2</v>
      </c>
      <c r="S13101" t="str">
        <f>"BANCO C6 (149)"</f>
        <v>BANCO C6 (149)</v>
      </c>
      <c r="T13101">
        <v>22673</v>
      </c>
      <c r="U13101">
        <v>25858</v>
      </c>
      <c r="V13101" t="s">
        <v>77</v>
      </c>
    </row>
    <row r="13102" spans="1:22">
      <c r="A13102" t="str">
        <f t="shared" si="2565"/>
        <v>27/11/2025</v>
      </c>
      <c r="B13102" t="str">
        <f t="shared" si="2566"/>
        <v>SAÍDA</v>
      </c>
      <c r="C13102" t="str">
        <f t="shared" si="2567"/>
        <v>PIX</v>
      </c>
      <c r="D13102" t="str">
        <f>"25858"</f>
        <v>25858</v>
      </c>
      <c r="E13102" t="str">
        <f t="shared" si="2569"/>
        <v>1</v>
      </c>
      <c r="F13102" t="str">
        <f t="shared" si="2571"/>
        <v>COM</v>
      </c>
      <c r="G13102" t="str">
        <f>"ALAN ACOSTA (897)"</f>
        <v>ALAN ACOSTA (897)</v>
      </c>
      <c r="H13102" t="s">
        <v>3563</v>
      </c>
      <c r="I13102" t="str">
        <f t="shared" si="2568"/>
        <v>27/11/2025</v>
      </c>
      <c r="J13102" t="str">
        <f t="shared" si="2572"/>
        <v>18/11/2025</v>
      </c>
      <c r="K13102">
        <v>45988</v>
      </c>
      <c r="N13102">
        <v>109</v>
      </c>
      <c r="O13102" t="s">
        <v>24</v>
      </c>
      <c r="Q13102">
        <v>25.2</v>
      </c>
      <c r="R13102" t="str">
        <f>"AC FARMA - FLEMINFARMA 5 (10183)"</f>
        <v>AC FARMA - FLEMINFARMA 5 (10183)</v>
      </c>
      <c r="S13102" t="s">
        <v>77</v>
      </c>
      <c r="T13102">
        <v>22673</v>
      </c>
      <c r="U13102">
        <v>25858</v>
      </c>
      <c r="V13102" t="s">
        <v>77</v>
      </c>
    </row>
    <row r="13103" spans="1:22">
      <c r="A13103" t="str">
        <f t="shared" si="2565"/>
        <v>27/11/2025</v>
      </c>
      <c r="B13103" t="str">
        <f t="shared" si="2566"/>
        <v>SAÍDA</v>
      </c>
      <c r="C13103" t="str">
        <f t="shared" si="2567"/>
        <v>PIX</v>
      </c>
      <c r="D13103" t="str">
        <f>"25859"</f>
        <v>25859</v>
      </c>
      <c r="E13103" t="str">
        <f t="shared" si="2569"/>
        <v>1</v>
      </c>
      <c r="F13103" t="str">
        <f t="shared" si="2571"/>
        <v>COM</v>
      </c>
      <c r="G13103" t="str">
        <f>"FERNANDO MARTINS DA SILVA (701)"</f>
        <v>FERNANDO MARTINS DA SILVA (701)</v>
      </c>
      <c r="H13103" t="str">
        <f>"Serv.Prest. 10/11/2025 a 16/11/2025 - PIX: CPF - CHAVE: 004.682.359-06"</f>
        <v>Serv.Prest. 10/11/2025 a 16/11/2025 - PIX: CPF - CHAVE: 004.682.359-06</v>
      </c>
      <c r="I13103" t="str">
        <f t="shared" si="2568"/>
        <v>27/11/2025</v>
      </c>
      <c r="J13103" t="str">
        <f t="shared" si="2572"/>
        <v>18/11/2025</v>
      </c>
      <c r="K13103" t="str">
        <f>("27/11/2025")</f>
        <v>27/11/2025</v>
      </c>
      <c r="L13103">
        <v>144.9</v>
      </c>
      <c r="M13103">
        <v>144.9</v>
      </c>
      <c r="N13103">
        <v>109</v>
      </c>
      <c r="O13103" t="str">
        <f>"PAGAMENTO DE ENTREGADORES"</f>
        <v>PAGAMENTO DE ENTREGADORES</v>
      </c>
      <c r="P13103">
        <v>144.9</v>
      </c>
      <c r="S13103" t="str">
        <f>"BANCO C6 (149)"</f>
        <v>BANCO C6 (149)</v>
      </c>
      <c r="T13103">
        <v>22674</v>
      </c>
      <c r="U13103">
        <v>25859</v>
      </c>
      <c r="V13103" t="s">
        <v>77</v>
      </c>
    </row>
    <row r="13104" spans="1:22">
      <c r="A13104" t="str">
        <f t="shared" si="2565"/>
        <v>27/11/2025</v>
      </c>
      <c r="B13104" t="str">
        <f t="shared" si="2566"/>
        <v>SAÍDA</v>
      </c>
      <c r="C13104" t="str">
        <f t="shared" si="2567"/>
        <v>PIX</v>
      </c>
      <c r="D13104" t="str">
        <f>"25859"</f>
        <v>25859</v>
      </c>
      <c r="E13104" t="str">
        <f t="shared" si="2569"/>
        <v>1</v>
      </c>
      <c r="F13104" t="str">
        <f t="shared" si="2571"/>
        <v>COM</v>
      </c>
      <c r="G13104" t="str">
        <f>"FERNANDO MARTINS DA SILVA (701)"</f>
        <v>FERNANDO MARTINS DA SILVA (701)</v>
      </c>
      <c r="H13104" t="s">
        <v>3566</v>
      </c>
      <c r="I13104" t="str">
        <f t="shared" si="2568"/>
        <v>27/11/2025</v>
      </c>
      <c r="J13104" t="str">
        <f t="shared" si="2572"/>
        <v>18/11/2025</v>
      </c>
      <c r="K13104">
        <v>45988</v>
      </c>
      <c r="N13104">
        <v>109</v>
      </c>
      <c r="O13104" t="s">
        <v>24</v>
      </c>
      <c r="Q13104">
        <v>144.9</v>
      </c>
      <c r="R13104" t="str">
        <f>"AC FARMA - FLEMINFARMA 5 (10183)"</f>
        <v>AC FARMA - FLEMINFARMA 5 (10183)</v>
      </c>
      <c r="S13104" t="s">
        <v>77</v>
      </c>
      <c r="T13104">
        <v>22674</v>
      </c>
      <c r="U13104">
        <v>25859</v>
      </c>
      <c r="V13104" t="s">
        <v>77</v>
      </c>
    </row>
    <row r="13105" spans="1:22">
      <c r="A13105" t="str">
        <f t="shared" si="2565"/>
        <v>27/11/2025</v>
      </c>
      <c r="B13105" t="str">
        <f t="shared" si="2566"/>
        <v>SAÍDA</v>
      </c>
      <c r="C13105" t="str">
        <f t="shared" si="2567"/>
        <v>PIX</v>
      </c>
      <c r="D13105" t="str">
        <f>"25860"</f>
        <v>25860</v>
      </c>
      <c r="E13105" t="str">
        <f t="shared" si="2569"/>
        <v>1</v>
      </c>
      <c r="F13105" t="str">
        <f t="shared" si="2571"/>
        <v>COM</v>
      </c>
      <c r="G13105" t="str">
        <f>"GERALDO SEVERINO DE SANTANA (729)"</f>
        <v>GERALDO SEVERINO DE SANTANA (729)</v>
      </c>
      <c r="H13105" t="str">
        <f>"Serv.Prest. 10/11/2025 a 16/11/2025 - PIX: CELULAR - CHAVE: (43) 99934-1696"</f>
        <v>Serv.Prest. 10/11/2025 a 16/11/2025 - PIX: CELULAR - CHAVE: (43) 99934-1696</v>
      </c>
      <c r="I13105" t="str">
        <f t="shared" si="2568"/>
        <v>27/11/2025</v>
      </c>
      <c r="J13105" t="str">
        <f t="shared" si="2572"/>
        <v>18/11/2025</v>
      </c>
      <c r="K13105" t="str">
        <f>("27/11/2025")</f>
        <v>27/11/2025</v>
      </c>
      <c r="L13105">
        <v>113.4</v>
      </c>
      <c r="M13105">
        <v>113.4</v>
      </c>
      <c r="N13105">
        <v>109</v>
      </c>
      <c r="O13105" t="str">
        <f>"PAGAMENTO DE ENTREGADORES"</f>
        <v>PAGAMENTO DE ENTREGADORES</v>
      </c>
      <c r="P13105">
        <v>113.4</v>
      </c>
      <c r="S13105" t="str">
        <f>"BANCO C6 (149)"</f>
        <v>BANCO C6 (149)</v>
      </c>
      <c r="T13105">
        <v>22675</v>
      </c>
      <c r="U13105">
        <v>25860</v>
      </c>
      <c r="V13105" t="s">
        <v>77</v>
      </c>
    </row>
    <row r="13106" spans="1:22">
      <c r="A13106" t="str">
        <f t="shared" si="2565"/>
        <v>27/11/2025</v>
      </c>
      <c r="B13106" t="str">
        <f t="shared" si="2566"/>
        <v>SAÍDA</v>
      </c>
      <c r="C13106" t="str">
        <f t="shared" si="2567"/>
        <v>PIX</v>
      </c>
      <c r="D13106" t="str">
        <f>"25860"</f>
        <v>25860</v>
      </c>
      <c r="E13106" t="str">
        <f t="shared" si="2569"/>
        <v>1</v>
      </c>
      <c r="F13106" t="str">
        <f t="shared" si="2571"/>
        <v>COM</v>
      </c>
      <c r="G13106" t="str">
        <f>"GERALDO SEVERINO DE SANTANA (729)"</f>
        <v>GERALDO SEVERINO DE SANTANA (729)</v>
      </c>
      <c r="H13106" t="s">
        <v>3567</v>
      </c>
      <c r="I13106" t="str">
        <f t="shared" si="2568"/>
        <v>27/11/2025</v>
      </c>
      <c r="J13106" t="str">
        <f t="shared" si="2572"/>
        <v>18/11/2025</v>
      </c>
      <c r="K13106">
        <v>45988</v>
      </c>
      <c r="N13106">
        <v>109</v>
      </c>
      <c r="O13106" t="s">
        <v>24</v>
      </c>
      <c r="Q13106">
        <v>113.4</v>
      </c>
      <c r="R13106" t="str">
        <f>"AC FARMA - FLEMINFARMA 5 (10183)"</f>
        <v>AC FARMA - FLEMINFARMA 5 (10183)</v>
      </c>
      <c r="S13106" t="s">
        <v>77</v>
      </c>
      <c r="T13106">
        <v>22675</v>
      </c>
      <c r="U13106">
        <v>25860</v>
      </c>
      <c r="V13106" t="s">
        <v>77</v>
      </c>
    </row>
    <row r="13107" spans="1:22">
      <c r="A13107" t="str">
        <f t="shared" ref="A13107:A13170" si="2573">("27/11/2025")</f>
        <v>27/11/2025</v>
      </c>
      <c r="B13107" t="str">
        <f t="shared" ref="B13107:B13170" si="2574">"SAÍDA"</f>
        <v>SAÍDA</v>
      </c>
      <c r="C13107" t="str">
        <f t="shared" ref="C13107:C13170" si="2575">"PIX"</f>
        <v>PIX</v>
      </c>
      <c r="D13107" t="str">
        <f>"25861"</f>
        <v>25861</v>
      </c>
      <c r="E13107" t="str">
        <f t="shared" si="2569"/>
        <v>1</v>
      </c>
      <c r="F13107" t="str">
        <f t="shared" si="2571"/>
        <v>COM</v>
      </c>
      <c r="G13107" t="str">
        <f>"HELITON DE OLIVEIRA RAMOS BARBOSA (724)"</f>
        <v>HELITON DE OLIVEIRA RAMOS BARBOSA (724)</v>
      </c>
      <c r="H13107" t="str">
        <f>"Serv.Prest. 10/11/2025 a 16/11/2025 - PIX: CPF - CHAVE: 074.604.219-10"</f>
        <v>Serv.Prest. 10/11/2025 a 16/11/2025 - PIX: CPF - CHAVE: 074.604.219-10</v>
      </c>
      <c r="I13107" t="str">
        <f t="shared" ref="I13107:I13170" si="2576">("27/11/2025")</f>
        <v>27/11/2025</v>
      </c>
      <c r="J13107" t="str">
        <f t="shared" si="2572"/>
        <v>18/11/2025</v>
      </c>
      <c r="K13107" t="str">
        <f>("27/11/2025")</f>
        <v>27/11/2025</v>
      </c>
      <c r="L13107">
        <v>107.1</v>
      </c>
      <c r="M13107">
        <v>107.1</v>
      </c>
      <c r="N13107">
        <v>109</v>
      </c>
      <c r="O13107" t="str">
        <f>"PAGAMENTO DE ENTREGADORES"</f>
        <v>PAGAMENTO DE ENTREGADORES</v>
      </c>
      <c r="P13107">
        <v>107.1</v>
      </c>
      <c r="S13107" t="str">
        <f>"BANCO C6 (149)"</f>
        <v>BANCO C6 (149)</v>
      </c>
      <c r="T13107">
        <v>22676</v>
      </c>
      <c r="U13107">
        <v>25861</v>
      </c>
      <c r="V13107" t="s">
        <v>77</v>
      </c>
    </row>
    <row r="13108" spans="1:22">
      <c r="A13108" t="str">
        <f t="shared" si="2573"/>
        <v>27/11/2025</v>
      </c>
      <c r="B13108" t="str">
        <f t="shared" si="2574"/>
        <v>SAÍDA</v>
      </c>
      <c r="C13108" t="str">
        <f t="shared" si="2575"/>
        <v>PIX</v>
      </c>
      <c r="D13108" t="str">
        <f>"25861"</f>
        <v>25861</v>
      </c>
      <c r="E13108" t="str">
        <f t="shared" si="2569"/>
        <v>1</v>
      </c>
      <c r="F13108" t="str">
        <f t="shared" si="2571"/>
        <v>COM</v>
      </c>
      <c r="G13108" t="str">
        <f>"HELITON DE OLIVEIRA RAMOS BARBOSA (724)"</f>
        <v>HELITON DE OLIVEIRA RAMOS BARBOSA (724)</v>
      </c>
      <c r="H13108" t="s">
        <v>3568</v>
      </c>
      <c r="I13108" t="str">
        <f t="shared" si="2576"/>
        <v>27/11/2025</v>
      </c>
      <c r="J13108" t="str">
        <f t="shared" si="2572"/>
        <v>18/11/2025</v>
      </c>
      <c r="K13108">
        <v>45988</v>
      </c>
      <c r="N13108">
        <v>109</v>
      </c>
      <c r="O13108" t="s">
        <v>24</v>
      </c>
      <c r="Q13108">
        <v>107.1</v>
      </c>
      <c r="R13108" t="str">
        <f>"AC FARMA - FLEMINFARMA 5 (10183)"</f>
        <v>AC FARMA - FLEMINFARMA 5 (10183)</v>
      </c>
      <c r="S13108" t="s">
        <v>77</v>
      </c>
      <c r="T13108">
        <v>22676</v>
      </c>
      <c r="U13108">
        <v>25861</v>
      </c>
      <c r="V13108" t="s">
        <v>77</v>
      </c>
    </row>
    <row r="13109" spans="1:22">
      <c r="A13109" t="str">
        <f t="shared" si="2573"/>
        <v>27/11/2025</v>
      </c>
      <c r="B13109" t="str">
        <f t="shared" si="2574"/>
        <v>SAÍDA</v>
      </c>
      <c r="C13109" t="str">
        <f t="shared" si="2575"/>
        <v>PIX</v>
      </c>
      <c r="D13109" t="str">
        <f>"25950"</f>
        <v>25950</v>
      </c>
      <c r="E13109" t="str">
        <f t="shared" si="2569"/>
        <v>1</v>
      </c>
      <c r="F13109" t="str">
        <f t="shared" si="2571"/>
        <v>COM</v>
      </c>
      <c r="G13109" t="str">
        <f>"JOSÉ HENRIQUE RODRIGUES (430)"</f>
        <v>JOSÉ HENRIQUE RODRIGUES (430)</v>
      </c>
      <c r="H13109" t="str">
        <f>"Serv.Prest. 17/11/2025 a 23/11/2025 - PIX: CPF - CHAVE: 100.826.516-04"</f>
        <v>Serv.Prest. 17/11/2025 a 23/11/2025 - PIX: CPF - CHAVE: 100.826.516-04</v>
      </c>
      <c r="I13109" t="str">
        <f t="shared" si="2576"/>
        <v>27/11/2025</v>
      </c>
      <c r="J13109" t="str">
        <f t="shared" ref="J13109:J13172" si="2577">("24/11/2025")</f>
        <v>24/11/2025</v>
      </c>
      <c r="K13109" t="str">
        <f>("27/11/2025")</f>
        <v>27/11/2025</v>
      </c>
      <c r="L13109">
        <v>900</v>
      </c>
      <c r="M13109">
        <v>900</v>
      </c>
      <c r="N13109">
        <v>109</v>
      </c>
      <c r="O13109" t="str">
        <f>"PAGAMENTO DE ENTREGADORES"</f>
        <v>PAGAMENTO DE ENTREGADORES</v>
      </c>
      <c r="P13109">
        <v>900</v>
      </c>
      <c r="S13109" t="str">
        <f>"BANCO C6 (149)"</f>
        <v>BANCO C6 (149)</v>
      </c>
      <c r="T13109">
        <v>22677</v>
      </c>
      <c r="U13109">
        <v>25950</v>
      </c>
      <c r="V13109" t="s">
        <v>77</v>
      </c>
    </row>
    <row r="13110" spans="1:22">
      <c r="A13110" t="str">
        <f t="shared" si="2573"/>
        <v>27/11/2025</v>
      </c>
      <c r="B13110" t="str">
        <f t="shared" si="2574"/>
        <v>SAÍDA</v>
      </c>
      <c r="C13110" t="str">
        <f t="shared" si="2575"/>
        <v>PIX</v>
      </c>
      <c r="D13110" t="str">
        <f>"25950"</f>
        <v>25950</v>
      </c>
      <c r="E13110" t="str">
        <f t="shared" si="2569"/>
        <v>1</v>
      </c>
      <c r="F13110" t="str">
        <f t="shared" si="2571"/>
        <v>COM</v>
      </c>
      <c r="G13110" t="str">
        <f>"JOSÉ HENRIQUE RODRIGUES (430)"</f>
        <v>JOSÉ HENRIQUE RODRIGUES (430)</v>
      </c>
      <c r="H13110" t="s">
        <v>3570</v>
      </c>
      <c r="I13110" t="str">
        <f t="shared" si="2576"/>
        <v>27/11/2025</v>
      </c>
      <c r="J13110" t="str">
        <f t="shared" si="2577"/>
        <v>24/11/2025</v>
      </c>
      <c r="K13110">
        <v>45988</v>
      </c>
      <c r="N13110">
        <v>109</v>
      </c>
      <c r="O13110" t="s">
        <v>24</v>
      </c>
      <c r="Q13110">
        <v>900</v>
      </c>
      <c r="R13110" t="str">
        <f>"PAGMENOS - LJ 608 (10135)"</f>
        <v>PAGMENOS - LJ 608 (10135)</v>
      </c>
      <c r="S13110" t="s">
        <v>77</v>
      </c>
      <c r="T13110">
        <v>22677</v>
      </c>
      <c r="U13110">
        <v>25950</v>
      </c>
      <c r="V13110" t="s">
        <v>77</v>
      </c>
    </row>
    <row r="13111" spans="1:22">
      <c r="A13111" t="str">
        <f t="shared" si="2573"/>
        <v>27/11/2025</v>
      </c>
      <c r="B13111" t="str">
        <f t="shared" si="2574"/>
        <v>SAÍDA</v>
      </c>
      <c r="C13111" t="str">
        <f t="shared" si="2575"/>
        <v>PIX</v>
      </c>
      <c r="D13111" t="str">
        <f>"25951"</f>
        <v>25951</v>
      </c>
      <c r="E13111" t="str">
        <f t="shared" si="2569"/>
        <v>1</v>
      </c>
      <c r="F13111" t="str">
        <f t="shared" si="2571"/>
        <v>COM</v>
      </c>
      <c r="G13111" t="str">
        <f>"TALES SILVA MARIANO (431)"</f>
        <v>TALES SILVA MARIANO (431)</v>
      </c>
      <c r="H13111" t="str">
        <f>"Serv.Prest. 17/11/2025 a 23/11/2025 - PIX: CPF - CHAVE: 126.686.406-79"</f>
        <v>Serv.Prest. 17/11/2025 a 23/11/2025 - PIX: CPF - CHAVE: 126.686.406-79</v>
      </c>
      <c r="I13111" t="str">
        <f t="shared" si="2576"/>
        <v>27/11/2025</v>
      </c>
      <c r="J13111" t="str">
        <f t="shared" si="2577"/>
        <v>24/11/2025</v>
      </c>
      <c r="K13111" t="str">
        <f>("27/11/2025")</f>
        <v>27/11/2025</v>
      </c>
      <c r="L13111">
        <v>900</v>
      </c>
      <c r="M13111">
        <v>900</v>
      </c>
      <c r="N13111">
        <v>109</v>
      </c>
      <c r="O13111" t="str">
        <f>"PAGAMENTO DE ENTREGADORES"</f>
        <v>PAGAMENTO DE ENTREGADORES</v>
      </c>
      <c r="P13111">
        <v>900</v>
      </c>
      <c r="S13111" t="str">
        <f>"BANCO C6 (149)"</f>
        <v>BANCO C6 (149)</v>
      </c>
      <c r="T13111">
        <v>22678</v>
      </c>
      <c r="U13111">
        <v>25951</v>
      </c>
      <c r="V13111" t="s">
        <v>77</v>
      </c>
    </row>
    <row r="13112" spans="1:22">
      <c r="A13112" t="str">
        <f t="shared" si="2573"/>
        <v>27/11/2025</v>
      </c>
      <c r="B13112" t="str">
        <f t="shared" si="2574"/>
        <v>SAÍDA</v>
      </c>
      <c r="C13112" t="str">
        <f t="shared" si="2575"/>
        <v>PIX</v>
      </c>
      <c r="D13112" t="str">
        <f>"25951"</f>
        <v>25951</v>
      </c>
      <c r="E13112" t="str">
        <f t="shared" si="2569"/>
        <v>1</v>
      </c>
      <c r="F13112" t="str">
        <f t="shared" si="2571"/>
        <v>COM</v>
      </c>
      <c r="G13112" t="str">
        <f>"TALES SILVA MARIANO (431)"</f>
        <v>TALES SILVA MARIANO (431)</v>
      </c>
      <c r="H13112" t="s">
        <v>3571</v>
      </c>
      <c r="I13112" t="str">
        <f t="shared" si="2576"/>
        <v>27/11/2025</v>
      </c>
      <c r="J13112" t="str">
        <f t="shared" si="2577"/>
        <v>24/11/2025</v>
      </c>
      <c r="K13112">
        <v>45988</v>
      </c>
      <c r="N13112">
        <v>109</v>
      </c>
      <c r="O13112" t="s">
        <v>24</v>
      </c>
      <c r="Q13112">
        <v>900</v>
      </c>
      <c r="R13112" t="str">
        <f>"PAGMENOS - LJ 608 (10135)"</f>
        <v>PAGMENOS - LJ 608 (10135)</v>
      </c>
      <c r="S13112" t="s">
        <v>77</v>
      </c>
      <c r="T13112">
        <v>22678</v>
      </c>
      <c r="U13112">
        <v>25951</v>
      </c>
      <c r="V13112" t="s">
        <v>77</v>
      </c>
    </row>
    <row r="13113" spans="1:22">
      <c r="A13113" t="str">
        <f t="shared" si="2573"/>
        <v>27/11/2025</v>
      </c>
      <c r="B13113" t="str">
        <f t="shared" si="2574"/>
        <v>SAÍDA</v>
      </c>
      <c r="C13113" t="str">
        <f t="shared" si="2575"/>
        <v>PIX</v>
      </c>
      <c r="D13113" t="str">
        <f>"25953"</f>
        <v>25953</v>
      </c>
      <c r="E13113" t="str">
        <f t="shared" si="2569"/>
        <v>1</v>
      </c>
      <c r="F13113" t="str">
        <f t="shared" si="2571"/>
        <v>COM</v>
      </c>
      <c r="G13113" t="str">
        <f>"WILIANA RODRIGUES E RODRIGUES (398)"</f>
        <v>WILIANA RODRIGUES E RODRIGUES (398)</v>
      </c>
      <c r="H13113" t="str">
        <f>"Serv.Prest. 17/11/2025 a 23/11/2025 - PIX: CPF - CHAVE: 016.203.336-27"</f>
        <v>Serv.Prest. 17/11/2025 a 23/11/2025 - PIX: CPF - CHAVE: 016.203.336-27</v>
      </c>
      <c r="I13113" t="str">
        <f t="shared" si="2576"/>
        <v>27/11/2025</v>
      </c>
      <c r="J13113" t="str">
        <f t="shared" si="2577"/>
        <v>24/11/2025</v>
      </c>
      <c r="K13113" t="str">
        <f>("27/11/2025")</f>
        <v>27/11/2025</v>
      </c>
      <c r="L13113">
        <v>1200</v>
      </c>
      <c r="M13113">
        <v>1200</v>
      </c>
      <c r="N13113">
        <v>109</v>
      </c>
      <c r="O13113" t="str">
        <f>"PAGAMENTO DE ENTREGADORES"</f>
        <v>PAGAMENTO DE ENTREGADORES</v>
      </c>
      <c r="P13113">
        <v>1200</v>
      </c>
      <c r="S13113" t="str">
        <f>"BANCO C6 (149)"</f>
        <v>BANCO C6 (149)</v>
      </c>
      <c r="T13113">
        <v>22679</v>
      </c>
      <c r="U13113">
        <v>25953</v>
      </c>
      <c r="V13113" t="s">
        <v>77</v>
      </c>
    </row>
    <row r="13114" spans="1:22">
      <c r="A13114" t="str">
        <f t="shared" si="2573"/>
        <v>27/11/2025</v>
      </c>
      <c r="B13114" t="str">
        <f t="shared" si="2574"/>
        <v>SAÍDA</v>
      </c>
      <c r="C13114" t="str">
        <f t="shared" si="2575"/>
        <v>PIX</v>
      </c>
      <c r="D13114" t="str">
        <f>"25953"</f>
        <v>25953</v>
      </c>
      <c r="E13114" t="str">
        <f t="shared" si="2569"/>
        <v>1</v>
      </c>
      <c r="F13114" t="str">
        <f t="shared" si="2571"/>
        <v>COM</v>
      </c>
      <c r="G13114" t="str">
        <f>"WILIANA RODRIGUES E RODRIGUES (398)"</f>
        <v>WILIANA RODRIGUES E RODRIGUES (398)</v>
      </c>
      <c r="H13114" t="s">
        <v>3572</v>
      </c>
      <c r="I13114" t="str">
        <f t="shared" si="2576"/>
        <v>27/11/2025</v>
      </c>
      <c r="J13114" t="str">
        <f t="shared" si="2577"/>
        <v>24/11/2025</v>
      </c>
      <c r="K13114">
        <v>45988</v>
      </c>
      <c r="N13114">
        <v>109</v>
      </c>
      <c r="O13114" t="s">
        <v>24</v>
      </c>
      <c r="Q13114">
        <v>1200</v>
      </c>
      <c r="R13114" t="str">
        <f>"PAGMENOS - LJ 657 (10136)"</f>
        <v>PAGMENOS - LJ 657 (10136)</v>
      </c>
      <c r="S13114" t="s">
        <v>77</v>
      </c>
      <c r="T13114">
        <v>22679</v>
      </c>
      <c r="U13114">
        <v>25953</v>
      </c>
      <c r="V13114" t="s">
        <v>77</v>
      </c>
    </row>
    <row r="13115" spans="1:22">
      <c r="A13115" t="str">
        <f t="shared" si="2573"/>
        <v>27/11/2025</v>
      </c>
      <c r="B13115" t="str">
        <f t="shared" si="2574"/>
        <v>SAÍDA</v>
      </c>
      <c r="C13115" t="str">
        <f t="shared" si="2575"/>
        <v>PIX</v>
      </c>
      <c r="D13115" t="str">
        <f>"25956"</f>
        <v>25956</v>
      </c>
      <c r="E13115" t="str">
        <f t="shared" si="2569"/>
        <v>1</v>
      </c>
      <c r="F13115" t="str">
        <f t="shared" si="2571"/>
        <v>COM</v>
      </c>
      <c r="G13115" t="str">
        <f>"THALISSON NUNES (1046)"</f>
        <v>THALISSON NUNES (1046)</v>
      </c>
      <c r="H13115" t="str">
        <f>"Serv.Prest. 17/11/2025 a 23/11/2025 - PIX: CELULAR - CHAVE: (34) 99694-0926"</f>
        <v>Serv.Prest. 17/11/2025 a 23/11/2025 - PIX: CELULAR - CHAVE: (34) 99694-0926</v>
      </c>
      <c r="I13115" t="str">
        <f t="shared" si="2576"/>
        <v>27/11/2025</v>
      </c>
      <c r="J13115" t="str">
        <f t="shared" si="2577"/>
        <v>24/11/2025</v>
      </c>
      <c r="K13115" t="str">
        <f>("27/11/2025")</f>
        <v>27/11/2025</v>
      </c>
      <c r="L13115">
        <v>801</v>
      </c>
      <c r="M13115">
        <v>801</v>
      </c>
      <c r="N13115">
        <v>109</v>
      </c>
      <c r="O13115" t="str">
        <f>"PAGAMENTO DE ENTREGADORES"</f>
        <v>PAGAMENTO DE ENTREGADORES</v>
      </c>
      <c r="P13115">
        <v>801</v>
      </c>
      <c r="S13115" t="str">
        <f>"BANCO C6 (149)"</f>
        <v>BANCO C6 (149)</v>
      </c>
      <c r="T13115">
        <v>22680</v>
      </c>
      <c r="U13115">
        <v>25956</v>
      </c>
      <c r="V13115" t="s">
        <v>77</v>
      </c>
    </row>
    <row r="13116" spans="1:22">
      <c r="A13116" t="str">
        <f t="shared" si="2573"/>
        <v>27/11/2025</v>
      </c>
      <c r="B13116" t="str">
        <f t="shared" si="2574"/>
        <v>SAÍDA</v>
      </c>
      <c r="C13116" t="str">
        <f t="shared" si="2575"/>
        <v>PIX</v>
      </c>
      <c r="D13116" t="str">
        <f>"25956"</f>
        <v>25956</v>
      </c>
      <c r="E13116" t="str">
        <f t="shared" si="2569"/>
        <v>1</v>
      </c>
      <c r="F13116" t="str">
        <f t="shared" si="2571"/>
        <v>COM</v>
      </c>
      <c r="G13116" t="str">
        <f>"THALISSON NUNES (1046)"</f>
        <v>THALISSON NUNES (1046)</v>
      </c>
      <c r="H13116" t="s">
        <v>3573</v>
      </c>
      <c r="I13116" t="str">
        <f t="shared" si="2576"/>
        <v>27/11/2025</v>
      </c>
      <c r="J13116" t="str">
        <f t="shared" si="2577"/>
        <v>24/11/2025</v>
      </c>
      <c r="K13116">
        <v>45988</v>
      </c>
      <c r="N13116">
        <v>109</v>
      </c>
      <c r="O13116" t="s">
        <v>24</v>
      </c>
      <c r="Q13116">
        <v>801</v>
      </c>
      <c r="R13116" t="str">
        <f>"PAGMENOS - LJ 326 (10264)"</f>
        <v>PAGMENOS - LJ 326 (10264)</v>
      </c>
      <c r="S13116" t="s">
        <v>77</v>
      </c>
      <c r="T13116">
        <v>22680</v>
      </c>
      <c r="U13116">
        <v>25956</v>
      </c>
      <c r="V13116" t="s">
        <v>77</v>
      </c>
    </row>
    <row r="13117" spans="1:22">
      <c r="A13117" t="str">
        <f t="shared" si="2573"/>
        <v>27/11/2025</v>
      </c>
      <c r="B13117" t="str">
        <f t="shared" si="2574"/>
        <v>SAÍDA</v>
      </c>
      <c r="C13117" t="str">
        <f t="shared" si="2575"/>
        <v>PIX</v>
      </c>
      <c r="D13117" t="str">
        <f>"25958"</f>
        <v>25958</v>
      </c>
      <c r="E13117" t="str">
        <f t="shared" si="2569"/>
        <v>1</v>
      </c>
      <c r="F13117" t="str">
        <f t="shared" si="2571"/>
        <v>COM</v>
      </c>
      <c r="G13117" t="str">
        <f>"CARLOS EDUARDO LESSA ROCHA (1070)"</f>
        <v>CARLOS EDUARDO LESSA ROCHA (1070)</v>
      </c>
      <c r="H13117" t="str">
        <f>"Serv.Prest. 17/11/2025 a 23/11/2025 - PIX: CPF - CHAVE: 162.570.846-79"</f>
        <v>Serv.Prest. 17/11/2025 a 23/11/2025 - PIX: CPF - CHAVE: 162.570.846-79</v>
      </c>
      <c r="I13117" t="str">
        <f t="shared" si="2576"/>
        <v>27/11/2025</v>
      </c>
      <c r="J13117" t="str">
        <f t="shared" si="2577"/>
        <v>24/11/2025</v>
      </c>
      <c r="K13117" t="str">
        <f>("27/11/2025")</f>
        <v>27/11/2025</v>
      </c>
      <c r="L13117">
        <v>344</v>
      </c>
      <c r="M13117">
        <v>344</v>
      </c>
      <c r="N13117">
        <v>109</v>
      </c>
      <c r="O13117" t="str">
        <f>"PAGAMENTO DE ENTREGADORES"</f>
        <v>PAGAMENTO DE ENTREGADORES</v>
      </c>
      <c r="P13117">
        <v>344</v>
      </c>
      <c r="S13117" t="str">
        <f>"BANCO C6 (149)"</f>
        <v>BANCO C6 (149)</v>
      </c>
      <c r="T13117">
        <v>22681</v>
      </c>
      <c r="U13117">
        <v>25958</v>
      </c>
      <c r="V13117" t="s">
        <v>77</v>
      </c>
    </row>
    <row r="13118" spans="1:22">
      <c r="A13118" t="str">
        <f t="shared" si="2573"/>
        <v>27/11/2025</v>
      </c>
      <c r="B13118" t="str">
        <f t="shared" si="2574"/>
        <v>SAÍDA</v>
      </c>
      <c r="C13118" t="str">
        <f t="shared" si="2575"/>
        <v>PIX</v>
      </c>
      <c r="D13118" t="str">
        <f>"25958"</f>
        <v>25958</v>
      </c>
      <c r="E13118" t="str">
        <f t="shared" si="2569"/>
        <v>1</v>
      </c>
      <c r="F13118" t="str">
        <f t="shared" si="2571"/>
        <v>COM</v>
      </c>
      <c r="G13118" t="str">
        <f>"CARLOS EDUARDO LESSA ROCHA (1070)"</f>
        <v>CARLOS EDUARDO LESSA ROCHA (1070)</v>
      </c>
      <c r="H13118" t="s">
        <v>3574</v>
      </c>
      <c r="I13118" t="str">
        <f t="shared" si="2576"/>
        <v>27/11/2025</v>
      </c>
      <c r="J13118" t="str">
        <f t="shared" si="2577"/>
        <v>24/11/2025</v>
      </c>
      <c r="K13118">
        <v>45988</v>
      </c>
      <c r="N13118">
        <v>109</v>
      </c>
      <c r="O13118" t="s">
        <v>24</v>
      </c>
      <c r="Q13118">
        <v>344</v>
      </c>
      <c r="R13118" t="str">
        <f>"PAGMENOS - LJ 431 (10265)"</f>
        <v>PAGMENOS - LJ 431 (10265)</v>
      </c>
      <c r="S13118" t="s">
        <v>77</v>
      </c>
      <c r="T13118">
        <v>22681</v>
      </c>
      <c r="U13118">
        <v>25958</v>
      </c>
      <c r="V13118" t="s">
        <v>77</v>
      </c>
    </row>
    <row r="13119" spans="1:22">
      <c r="A13119" t="str">
        <f t="shared" si="2573"/>
        <v>27/11/2025</v>
      </c>
      <c r="B13119" t="str">
        <f t="shared" si="2574"/>
        <v>SAÍDA</v>
      </c>
      <c r="C13119" t="str">
        <f t="shared" si="2575"/>
        <v>PIX</v>
      </c>
      <c r="D13119" t="str">
        <f>"25959"</f>
        <v>25959</v>
      </c>
      <c r="E13119" t="str">
        <f t="shared" si="2569"/>
        <v>1</v>
      </c>
      <c r="F13119" t="str">
        <f t="shared" si="2571"/>
        <v>COM</v>
      </c>
      <c r="G13119" t="str">
        <f>"ODAIR SEBASTIAO DE ARAUJO FILHO (1061)"</f>
        <v>ODAIR SEBASTIAO DE ARAUJO FILHO (1061)</v>
      </c>
      <c r="H13119" t="str">
        <f>"Serv.Prest. 17/11/2025 a 23/11/2025 - PIX: E-MAIL - CHAVE: odair.araujo@onmail.com"</f>
        <v>Serv.Prest. 17/11/2025 a 23/11/2025 - PIX: E-MAIL - CHAVE: odair.araujo@onmail.com</v>
      </c>
      <c r="I13119" t="str">
        <f t="shared" si="2576"/>
        <v>27/11/2025</v>
      </c>
      <c r="J13119" t="str">
        <f t="shared" si="2577"/>
        <v>24/11/2025</v>
      </c>
      <c r="K13119" t="str">
        <f>("27/11/2025")</f>
        <v>27/11/2025</v>
      </c>
      <c r="L13119">
        <v>503</v>
      </c>
      <c r="M13119">
        <v>503</v>
      </c>
      <c r="N13119">
        <v>109</v>
      </c>
      <c r="O13119" t="str">
        <f>"PAGAMENTO DE ENTREGADORES"</f>
        <v>PAGAMENTO DE ENTREGADORES</v>
      </c>
      <c r="P13119">
        <v>503</v>
      </c>
      <c r="S13119" t="str">
        <f>"BANCO C6 (149)"</f>
        <v>BANCO C6 (149)</v>
      </c>
      <c r="T13119">
        <v>22682</v>
      </c>
      <c r="U13119">
        <v>25959</v>
      </c>
      <c r="V13119" t="s">
        <v>77</v>
      </c>
    </row>
    <row r="13120" spans="1:22">
      <c r="A13120" t="str">
        <f t="shared" si="2573"/>
        <v>27/11/2025</v>
      </c>
      <c r="B13120" t="str">
        <f t="shared" si="2574"/>
        <v>SAÍDA</v>
      </c>
      <c r="C13120" t="str">
        <f t="shared" si="2575"/>
        <v>PIX</v>
      </c>
      <c r="D13120" t="str">
        <f>"25959"</f>
        <v>25959</v>
      </c>
      <c r="E13120" t="str">
        <f t="shared" si="2569"/>
        <v>1</v>
      </c>
      <c r="F13120" t="str">
        <f t="shared" si="2571"/>
        <v>COM</v>
      </c>
      <c r="G13120" t="str">
        <f>"ODAIR SEBASTIAO DE ARAUJO FILHO (1061)"</f>
        <v>ODAIR SEBASTIAO DE ARAUJO FILHO (1061)</v>
      </c>
      <c r="H13120" t="s">
        <v>3575</v>
      </c>
      <c r="I13120" t="str">
        <f t="shared" si="2576"/>
        <v>27/11/2025</v>
      </c>
      <c r="J13120" t="str">
        <f t="shared" si="2577"/>
        <v>24/11/2025</v>
      </c>
      <c r="K13120">
        <v>45988</v>
      </c>
      <c r="N13120">
        <v>109</v>
      </c>
      <c r="O13120" t="s">
        <v>24</v>
      </c>
      <c r="Q13120">
        <v>503</v>
      </c>
      <c r="R13120" t="str">
        <f>"PAGMENOS - LJ 431 (10265)"</f>
        <v>PAGMENOS - LJ 431 (10265)</v>
      </c>
      <c r="S13120" t="s">
        <v>77</v>
      </c>
      <c r="T13120">
        <v>22682</v>
      </c>
      <c r="U13120">
        <v>25959</v>
      </c>
      <c r="V13120" t="s">
        <v>77</v>
      </c>
    </row>
    <row r="13121" spans="1:22">
      <c r="A13121" t="str">
        <f t="shared" si="2573"/>
        <v>27/11/2025</v>
      </c>
      <c r="B13121" t="str">
        <f t="shared" si="2574"/>
        <v>SAÍDA</v>
      </c>
      <c r="C13121" t="str">
        <f t="shared" si="2575"/>
        <v>PIX</v>
      </c>
      <c r="D13121" t="str">
        <f>"25960"</f>
        <v>25960</v>
      </c>
      <c r="E13121" t="str">
        <f t="shared" si="2569"/>
        <v>1</v>
      </c>
      <c r="F13121" t="str">
        <f t="shared" si="2571"/>
        <v>COM</v>
      </c>
      <c r="G13121" t="str">
        <f>"THAIS SILVA MAIA (1057)"</f>
        <v>THAIS SILVA MAIA (1057)</v>
      </c>
      <c r="H13121" t="str">
        <f>"Serv.Prest. 17/11/2025 a 23/11/2025 - PIX: CELULAR - CHAVE: (34) 99688-5705"</f>
        <v>Serv.Prest. 17/11/2025 a 23/11/2025 - PIX: CELULAR - CHAVE: (34) 99688-5705</v>
      </c>
      <c r="I13121" t="str">
        <f t="shared" si="2576"/>
        <v>27/11/2025</v>
      </c>
      <c r="J13121" t="str">
        <f t="shared" si="2577"/>
        <v>24/11/2025</v>
      </c>
      <c r="K13121" t="str">
        <f>("27/11/2025")</f>
        <v>27/11/2025</v>
      </c>
      <c r="L13121">
        <v>396</v>
      </c>
      <c r="M13121">
        <v>396</v>
      </c>
      <c r="N13121">
        <v>109</v>
      </c>
      <c r="O13121" t="str">
        <f>"PAGAMENTO DE ENTREGADORES"</f>
        <v>PAGAMENTO DE ENTREGADORES</v>
      </c>
      <c r="P13121">
        <v>396</v>
      </c>
      <c r="S13121" t="str">
        <f>"BANCO C6 (149)"</f>
        <v>BANCO C6 (149)</v>
      </c>
      <c r="T13121">
        <v>22683</v>
      </c>
      <c r="U13121">
        <v>25960</v>
      </c>
      <c r="V13121" t="s">
        <v>77</v>
      </c>
    </row>
    <row r="13122" spans="1:22">
      <c r="A13122" t="str">
        <f t="shared" si="2573"/>
        <v>27/11/2025</v>
      </c>
      <c r="B13122" t="str">
        <f t="shared" si="2574"/>
        <v>SAÍDA</v>
      </c>
      <c r="C13122" t="str">
        <f t="shared" si="2575"/>
        <v>PIX</v>
      </c>
      <c r="D13122" t="str">
        <f>"25960"</f>
        <v>25960</v>
      </c>
      <c r="E13122" t="str">
        <f t="shared" si="2569"/>
        <v>1</v>
      </c>
      <c r="F13122" t="str">
        <f t="shared" si="2571"/>
        <v>COM</v>
      </c>
      <c r="G13122" t="str">
        <f>"THAIS SILVA MAIA (1057)"</f>
        <v>THAIS SILVA MAIA (1057)</v>
      </c>
      <c r="H13122" t="s">
        <v>3576</v>
      </c>
      <c r="I13122" t="str">
        <f t="shared" si="2576"/>
        <v>27/11/2025</v>
      </c>
      <c r="J13122" t="str">
        <f t="shared" si="2577"/>
        <v>24/11/2025</v>
      </c>
      <c r="K13122">
        <v>45988</v>
      </c>
      <c r="N13122">
        <v>109</v>
      </c>
      <c r="O13122" t="s">
        <v>24</v>
      </c>
      <c r="Q13122">
        <v>396</v>
      </c>
      <c r="R13122" t="str">
        <f>"PAGMENOS - LJ 431 (10265)"</f>
        <v>PAGMENOS - LJ 431 (10265)</v>
      </c>
      <c r="S13122" t="s">
        <v>77</v>
      </c>
      <c r="T13122">
        <v>22683</v>
      </c>
      <c r="U13122">
        <v>25960</v>
      </c>
      <c r="V13122" t="s">
        <v>77</v>
      </c>
    </row>
    <row r="13123" spans="1:22">
      <c r="A13123" t="str">
        <f t="shared" si="2573"/>
        <v>27/11/2025</v>
      </c>
      <c r="B13123" t="str">
        <f t="shared" si="2574"/>
        <v>SAÍDA</v>
      </c>
      <c r="C13123" t="str">
        <f t="shared" si="2575"/>
        <v>PIX</v>
      </c>
      <c r="D13123" t="str">
        <f>"25961"</f>
        <v>25961</v>
      </c>
      <c r="E13123" t="str">
        <f t="shared" si="2569"/>
        <v>1</v>
      </c>
      <c r="F13123" t="str">
        <f t="shared" si="2571"/>
        <v>COM</v>
      </c>
      <c r="G13123" t="str">
        <f>"THIAGO BRUNNO CONCEICAO DE LIMA (1084)"</f>
        <v>THIAGO BRUNNO CONCEICAO DE LIMA (1084)</v>
      </c>
      <c r="H13123" t="str">
        <f>"Serv.Prest. 17/11/2025 a 23/11/2025 - PIX: CELULAR - CHAVE: (34) 99991-3450"</f>
        <v>Serv.Prest. 17/11/2025 a 23/11/2025 - PIX: CELULAR - CHAVE: (34) 99991-3450</v>
      </c>
      <c r="I13123" t="str">
        <f t="shared" si="2576"/>
        <v>27/11/2025</v>
      </c>
      <c r="J13123" t="str">
        <f t="shared" si="2577"/>
        <v>24/11/2025</v>
      </c>
      <c r="K13123" t="str">
        <f>("27/11/2025")</f>
        <v>27/11/2025</v>
      </c>
      <c r="L13123">
        <v>221</v>
      </c>
      <c r="M13123">
        <v>221</v>
      </c>
      <c r="N13123">
        <v>109</v>
      </c>
      <c r="O13123" t="str">
        <f>"PAGAMENTO DE ENTREGADORES"</f>
        <v>PAGAMENTO DE ENTREGADORES</v>
      </c>
      <c r="P13123">
        <v>221</v>
      </c>
      <c r="S13123" t="str">
        <f>"BANCO C6 (149)"</f>
        <v>BANCO C6 (149)</v>
      </c>
      <c r="T13123">
        <v>22684</v>
      </c>
      <c r="U13123">
        <v>25961</v>
      </c>
      <c r="V13123" t="s">
        <v>77</v>
      </c>
    </row>
    <row r="13124" spans="1:22">
      <c r="A13124" t="str">
        <f t="shared" si="2573"/>
        <v>27/11/2025</v>
      </c>
      <c r="B13124" t="str">
        <f t="shared" si="2574"/>
        <v>SAÍDA</v>
      </c>
      <c r="C13124" t="str">
        <f t="shared" si="2575"/>
        <v>PIX</v>
      </c>
      <c r="D13124" t="str">
        <f>"25961"</f>
        <v>25961</v>
      </c>
      <c r="E13124" t="str">
        <f t="shared" ref="E13124:E13187" si="2578">"1"</f>
        <v>1</v>
      </c>
      <c r="F13124" t="str">
        <f t="shared" si="2571"/>
        <v>COM</v>
      </c>
      <c r="G13124" t="str">
        <f>"THIAGO BRUNNO CONCEICAO DE LIMA (1084)"</f>
        <v>THIAGO BRUNNO CONCEICAO DE LIMA (1084)</v>
      </c>
      <c r="H13124" t="s">
        <v>3577</v>
      </c>
      <c r="I13124" t="str">
        <f t="shared" si="2576"/>
        <v>27/11/2025</v>
      </c>
      <c r="J13124" t="str">
        <f t="shared" si="2577"/>
        <v>24/11/2025</v>
      </c>
      <c r="K13124">
        <v>45988</v>
      </c>
      <c r="N13124">
        <v>109</v>
      </c>
      <c r="O13124" t="s">
        <v>24</v>
      </c>
      <c r="Q13124">
        <v>221</v>
      </c>
      <c r="R13124" t="str">
        <f>"PAGMENOS - LJ 431 (10265)"</f>
        <v>PAGMENOS - LJ 431 (10265)</v>
      </c>
      <c r="S13124" t="s">
        <v>77</v>
      </c>
      <c r="T13124">
        <v>22684</v>
      </c>
      <c r="U13124">
        <v>25961</v>
      </c>
      <c r="V13124" t="s">
        <v>77</v>
      </c>
    </row>
    <row r="13125" spans="1:22">
      <c r="A13125" t="str">
        <f t="shared" si="2573"/>
        <v>27/11/2025</v>
      </c>
      <c r="B13125" t="str">
        <f t="shared" si="2574"/>
        <v>SAÍDA</v>
      </c>
      <c r="C13125" t="str">
        <f t="shared" si="2575"/>
        <v>PIX</v>
      </c>
      <c r="D13125" t="str">
        <f>"25963"</f>
        <v>25963</v>
      </c>
      <c r="E13125" t="str">
        <f t="shared" si="2578"/>
        <v>1</v>
      </c>
      <c r="F13125" t="str">
        <f t="shared" si="2571"/>
        <v>COM</v>
      </c>
      <c r="G13125" t="str">
        <f>"CARLOS EDUARDO LESSA ROCHA (1070)"</f>
        <v>CARLOS EDUARDO LESSA ROCHA (1070)</v>
      </c>
      <c r="H13125" t="str">
        <f>"Serv.Prest. 17/11/2025 a 23/11/2025 - PIX: CPF - CHAVE: 162.570.846-79"</f>
        <v>Serv.Prest. 17/11/2025 a 23/11/2025 - PIX: CPF - CHAVE: 162.570.846-79</v>
      </c>
      <c r="I13125" t="str">
        <f t="shared" si="2576"/>
        <v>27/11/2025</v>
      </c>
      <c r="J13125" t="str">
        <f t="shared" si="2577"/>
        <v>24/11/2025</v>
      </c>
      <c r="K13125" t="str">
        <f>("27/11/2025")</f>
        <v>27/11/2025</v>
      </c>
      <c r="L13125">
        <v>356</v>
      </c>
      <c r="M13125">
        <v>356</v>
      </c>
      <c r="N13125">
        <v>109</v>
      </c>
      <c r="O13125" t="str">
        <f>"PAGAMENTO DE ENTREGADORES"</f>
        <v>PAGAMENTO DE ENTREGADORES</v>
      </c>
      <c r="P13125">
        <v>356</v>
      </c>
      <c r="S13125" t="str">
        <f>"BANCO C6 (149)"</f>
        <v>BANCO C6 (149)</v>
      </c>
      <c r="T13125">
        <v>22685</v>
      </c>
      <c r="U13125">
        <v>25963</v>
      </c>
      <c r="V13125" t="s">
        <v>77</v>
      </c>
    </row>
    <row r="13126" spans="1:22">
      <c r="A13126" t="str">
        <f t="shared" si="2573"/>
        <v>27/11/2025</v>
      </c>
      <c r="B13126" t="str">
        <f t="shared" si="2574"/>
        <v>SAÍDA</v>
      </c>
      <c r="C13126" t="str">
        <f t="shared" si="2575"/>
        <v>PIX</v>
      </c>
      <c r="D13126" t="str">
        <f>"25963"</f>
        <v>25963</v>
      </c>
      <c r="E13126" t="str">
        <f t="shared" si="2578"/>
        <v>1</v>
      </c>
      <c r="F13126" t="str">
        <f t="shared" si="2571"/>
        <v>COM</v>
      </c>
      <c r="G13126" t="str">
        <f>"CARLOS EDUARDO LESSA ROCHA (1070)"</f>
        <v>CARLOS EDUARDO LESSA ROCHA (1070)</v>
      </c>
      <c r="H13126" t="s">
        <v>3574</v>
      </c>
      <c r="I13126" t="str">
        <f t="shared" si="2576"/>
        <v>27/11/2025</v>
      </c>
      <c r="J13126" t="str">
        <f t="shared" si="2577"/>
        <v>24/11/2025</v>
      </c>
      <c r="K13126">
        <v>45988</v>
      </c>
      <c r="N13126">
        <v>109</v>
      </c>
      <c r="O13126" t="s">
        <v>24</v>
      </c>
      <c r="Q13126">
        <v>356</v>
      </c>
      <c r="R13126" t="str">
        <f>"PAGMENOS - LJ 768 (10266)"</f>
        <v>PAGMENOS - LJ 768 (10266)</v>
      </c>
      <c r="S13126" t="s">
        <v>77</v>
      </c>
      <c r="T13126">
        <v>22685</v>
      </c>
      <c r="U13126">
        <v>25963</v>
      </c>
      <c r="V13126" t="s">
        <v>77</v>
      </c>
    </row>
    <row r="13127" spans="1:22">
      <c r="A13127" t="str">
        <f t="shared" si="2573"/>
        <v>27/11/2025</v>
      </c>
      <c r="B13127" t="str">
        <f t="shared" si="2574"/>
        <v>SAÍDA</v>
      </c>
      <c r="C13127" t="str">
        <f t="shared" si="2575"/>
        <v>PIX</v>
      </c>
      <c r="D13127" t="str">
        <f>"25964"</f>
        <v>25964</v>
      </c>
      <c r="E13127" t="str">
        <f t="shared" si="2578"/>
        <v>1</v>
      </c>
      <c r="F13127" t="str">
        <f t="shared" si="2571"/>
        <v>COM</v>
      </c>
      <c r="G13127" t="str">
        <f>"ODAIR SEBASTIAO DE ARAUJO FILHO (1061)"</f>
        <v>ODAIR SEBASTIAO DE ARAUJO FILHO (1061)</v>
      </c>
      <c r="H13127" t="str">
        <f>"Serv.Prest. 17/11/2025 a 23/11/2025 - PIX: E-MAIL - CHAVE: odair.araujo@onmail.com"</f>
        <v>Serv.Prest. 17/11/2025 a 23/11/2025 - PIX: E-MAIL - CHAVE: odair.araujo@onmail.com</v>
      </c>
      <c r="I13127" t="str">
        <f t="shared" si="2576"/>
        <v>27/11/2025</v>
      </c>
      <c r="J13127" t="str">
        <f t="shared" si="2577"/>
        <v>24/11/2025</v>
      </c>
      <c r="K13127" t="str">
        <f>("27/11/2025")</f>
        <v>27/11/2025</v>
      </c>
      <c r="L13127">
        <v>197</v>
      </c>
      <c r="M13127">
        <v>197</v>
      </c>
      <c r="N13127">
        <v>109</v>
      </c>
      <c r="O13127" t="str">
        <f>"PAGAMENTO DE ENTREGADORES"</f>
        <v>PAGAMENTO DE ENTREGADORES</v>
      </c>
      <c r="P13127">
        <v>197</v>
      </c>
      <c r="S13127" t="str">
        <f>"BANCO C6 (149)"</f>
        <v>BANCO C6 (149)</v>
      </c>
      <c r="T13127">
        <v>22686</v>
      </c>
      <c r="U13127">
        <v>25964</v>
      </c>
      <c r="V13127" t="s">
        <v>77</v>
      </c>
    </row>
    <row r="13128" spans="1:22">
      <c r="A13128" t="str">
        <f t="shared" si="2573"/>
        <v>27/11/2025</v>
      </c>
      <c r="B13128" t="str">
        <f t="shared" si="2574"/>
        <v>SAÍDA</v>
      </c>
      <c r="C13128" t="str">
        <f t="shared" si="2575"/>
        <v>PIX</v>
      </c>
      <c r="D13128" t="str">
        <f>"25964"</f>
        <v>25964</v>
      </c>
      <c r="E13128" t="str">
        <f t="shared" si="2578"/>
        <v>1</v>
      </c>
      <c r="F13128" t="str">
        <f t="shared" si="2571"/>
        <v>COM</v>
      </c>
      <c r="G13128" t="str">
        <f>"ODAIR SEBASTIAO DE ARAUJO FILHO (1061)"</f>
        <v>ODAIR SEBASTIAO DE ARAUJO FILHO (1061)</v>
      </c>
      <c r="H13128" t="s">
        <v>3575</v>
      </c>
      <c r="I13128" t="str">
        <f t="shared" si="2576"/>
        <v>27/11/2025</v>
      </c>
      <c r="J13128" t="str">
        <f t="shared" si="2577"/>
        <v>24/11/2025</v>
      </c>
      <c r="K13128">
        <v>45988</v>
      </c>
      <c r="N13128">
        <v>109</v>
      </c>
      <c r="O13128" t="s">
        <v>24</v>
      </c>
      <c r="Q13128">
        <v>197</v>
      </c>
      <c r="R13128" t="str">
        <f>"PAGMENOS - LJ 768 (10266)"</f>
        <v>PAGMENOS - LJ 768 (10266)</v>
      </c>
      <c r="S13128" t="s">
        <v>77</v>
      </c>
      <c r="T13128">
        <v>22686</v>
      </c>
      <c r="U13128">
        <v>25964</v>
      </c>
      <c r="V13128" t="s">
        <v>77</v>
      </c>
    </row>
    <row r="13129" spans="1:22">
      <c r="A13129" t="str">
        <f t="shared" si="2573"/>
        <v>27/11/2025</v>
      </c>
      <c r="B13129" t="str">
        <f t="shared" si="2574"/>
        <v>SAÍDA</v>
      </c>
      <c r="C13129" t="str">
        <f t="shared" si="2575"/>
        <v>PIX</v>
      </c>
      <c r="D13129" t="str">
        <f>"25965"</f>
        <v>25965</v>
      </c>
      <c r="E13129" t="str">
        <f t="shared" si="2578"/>
        <v>1</v>
      </c>
      <c r="F13129" t="str">
        <f t="shared" si="2571"/>
        <v>COM</v>
      </c>
      <c r="G13129" t="str">
        <f>"THAIS SILVA MAIA (1057)"</f>
        <v>THAIS SILVA MAIA (1057)</v>
      </c>
      <c r="H13129" t="str">
        <f>"Serv.Prest. 17/11/2025 a 23/11/2025 - PIX: CELULAR - CHAVE: (34) 99688-5705"</f>
        <v>Serv.Prest. 17/11/2025 a 23/11/2025 - PIX: CELULAR - CHAVE: (34) 99688-5705</v>
      </c>
      <c r="I13129" t="str">
        <f t="shared" si="2576"/>
        <v>27/11/2025</v>
      </c>
      <c r="J13129" t="str">
        <f t="shared" si="2577"/>
        <v>24/11/2025</v>
      </c>
      <c r="K13129" t="str">
        <f>("27/11/2025")</f>
        <v>27/11/2025</v>
      </c>
      <c r="L13129">
        <v>402</v>
      </c>
      <c r="M13129">
        <v>402</v>
      </c>
      <c r="N13129">
        <v>109</v>
      </c>
      <c r="O13129" t="str">
        <f>"PAGAMENTO DE ENTREGADORES"</f>
        <v>PAGAMENTO DE ENTREGADORES</v>
      </c>
      <c r="P13129">
        <v>402</v>
      </c>
      <c r="S13129" t="str">
        <f>"BANCO C6 (149)"</f>
        <v>BANCO C6 (149)</v>
      </c>
      <c r="T13129">
        <v>22687</v>
      </c>
      <c r="U13129">
        <v>25965</v>
      </c>
      <c r="V13129" t="s">
        <v>77</v>
      </c>
    </row>
    <row r="13130" spans="1:22">
      <c r="A13130" t="str">
        <f t="shared" si="2573"/>
        <v>27/11/2025</v>
      </c>
      <c r="B13130" t="str">
        <f t="shared" si="2574"/>
        <v>SAÍDA</v>
      </c>
      <c r="C13130" t="str">
        <f t="shared" si="2575"/>
        <v>PIX</v>
      </c>
      <c r="D13130" t="str">
        <f>"25965"</f>
        <v>25965</v>
      </c>
      <c r="E13130" t="str">
        <f t="shared" si="2578"/>
        <v>1</v>
      </c>
      <c r="F13130" t="str">
        <f t="shared" si="2571"/>
        <v>COM</v>
      </c>
      <c r="G13130" t="str">
        <f>"THAIS SILVA MAIA (1057)"</f>
        <v>THAIS SILVA MAIA (1057)</v>
      </c>
      <c r="H13130" t="s">
        <v>3576</v>
      </c>
      <c r="I13130" t="str">
        <f t="shared" si="2576"/>
        <v>27/11/2025</v>
      </c>
      <c r="J13130" t="str">
        <f t="shared" si="2577"/>
        <v>24/11/2025</v>
      </c>
      <c r="K13130">
        <v>45988</v>
      </c>
      <c r="N13130">
        <v>109</v>
      </c>
      <c r="O13130" t="s">
        <v>24</v>
      </c>
      <c r="Q13130">
        <v>402</v>
      </c>
      <c r="R13130" t="str">
        <f>"PAGMENOS - LJ 768 (10266)"</f>
        <v>PAGMENOS - LJ 768 (10266)</v>
      </c>
      <c r="S13130" t="s">
        <v>77</v>
      </c>
      <c r="T13130">
        <v>22687</v>
      </c>
      <c r="U13130">
        <v>25965</v>
      </c>
      <c r="V13130" t="s">
        <v>77</v>
      </c>
    </row>
    <row r="13131" spans="1:22">
      <c r="A13131" t="str">
        <f t="shared" si="2573"/>
        <v>27/11/2025</v>
      </c>
      <c r="B13131" t="str">
        <f t="shared" si="2574"/>
        <v>SAÍDA</v>
      </c>
      <c r="C13131" t="str">
        <f t="shared" si="2575"/>
        <v>PIX</v>
      </c>
      <c r="D13131" t="str">
        <f>"25966"</f>
        <v>25966</v>
      </c>
      <c r="E13131" t="str">
        <f t="shared" si="2578"/>
        <v>1</v>
      </c>
      <c r="F13131" t="str">
        <f t="shared" si="2571"/>
        <v>COM</v>
      </c>
      <c r="G13131" t="str">
        <f>"THIAGO BRUNNO CONCEICAO DE LIMA (1084)"</f>
        <v>THIAGO BRUNNO CONCEICAO DE LIMA (1084)</v>
      </c>
      <c r="H13131" t="str">
        <f>"Serv.Prest. 17/11/2025 a 23/11/2025 - PIX: CELULAR - CHAVE: (34) 99991-3450"</f>
        <v>Serv.Prest. 17/11/2025 a 23/11/2025 - PIX: CELULAR - CHAVE: (34) 99991-3450</v>
      </c>
      <c r="I13131" t="str">
        <f t="shared" si="2576"/>
        <v>27/11/2025</v>
      </c>
      <c r="J13131" t="str">
        <f t="shared" si="2577"/>
        <v>24/11/2025</v>
      </c>
      <c r="K13131" t="str">
        <f>("27/11/2025")</f>
        <v>27/11/2025</v>
      </c>
      <c r="L13131">
        <v>479</v>
      </c>
      <c r="M13131">
        <v>479</v>
      </c>
      <c r="N13131">
        <v>109</v>
      </c>
      <c r="O13131" t="str">
        <f>"PAGAMENTO DE ENTREGADORES"</f>
        <v>PAGAMENTO DE ENTREGADORES</v>
      </c>
      <c r="P13131">
        <v>479</v>
      </c>
      <c r="S13131" t="str">
        <f>"BANCO C6 (149)"</f>
        <v>BANCO C6 (149)</v>
      </c>
      <c r="T13131">
        <v>22688</v>
      </c>
      <c r="U13131">
        <v>25966</v>
      </c>
      <c r="V13131" t="s">
        <v>77</v>
      </c>
    </row>
    <row r="13132" spans="1:22">
      <c r="A13132" t="str">
        <f t="shared" si="2573"/>
        <v>27/11/2025</v>
      </c>
      <c r="B13132" t="str">
        <f t="shared" si="2574"/>
        <v>SAÍDA</v>
      </c>
      <c r="C13132" t="str">
        <f t="shared" si="2575"/>
        <v>PIX</v>
      </c>
      <c r="D13132" t="str">
        <f>"25966"</f>
        <v>25966</v>
      </c>
      <c r="E13132" t="str">
        <f t="shared" si="2578"/>
        <v>1</v>
      </c>
      <c r="F13132" t="str">
        <f t="shared" si="2571"/>
        <v>COM</v>
      </c>
      <c r="G13132" t="str">
        <f>"THIAGO BRUNNO CONCEICAO DE LIMA (1084)"</f>
        <v>THIAGO BRUNNO CONCEICAO DE LIMA (1084)</v>
      </c>
      <c r="H13132" t="s">
        <v>3577</v>
      </c>
      <c r="I13132" t="str">
        <f t="shared" si="2576"/>
        <v>27/11/2025</v>
      </c>
      <c r="J13132" t="str">
        <f t="shared" si="2577"/>
        <v>24/11/2025</v>
      </c>
      <c r="K13132">
        <v>45988</v>
      </c>
      <c r="N13132">
        <v>109</v>
      </c>
      <c r="O13132" t="s">
        <v>24</v>
      </c>
      <c r="Q13132">
        <v>479</v>
      </c>
      <c r="R13132" t="str">
        <f>"PAGMENOS - LJ 768 (10266)"</f>
        <v>PAGMENOS - LJ 768 (10266)</v>
      </c>
      <c r="S13132" t="s">
        <v>77</v>
      </c>
      <c r="T13132">
        <v>22688</v>
      </c>
      <c r="U13132">
        <v>25966</v>
      </c>
      <c r="V13132" t="s">
        <v>77</v>
      </c>
    </row>
    <row r="13133" spans="1:22">
      <c r="A13133" t="str">
        <f t="shared" si="2573"/>
        <v>27/11/2025</v>
      </c>
      <c r="B13133" t="str">
        <f t="shared" si="2574"/>
        <v>SAÍDA</v>
      </c>
      <c r="C13133" t="str">
        <f t="shared" si="2575"/>
        <v>PIX</v>
      </c>
      <c r="D13133" t="str">
        <f>"25968"</f>
        <v>25968</v>
      </c>
      <c r="E13133" t="str">
        <f t="shared" si="2578"/>
        <v>1</v>
      </c>
      <c r="F13133" t="str">
        <f t="shared" si="2571"/>
        <v>COM</v>
      </c>
      <c r="G13133" t="str">
        <f>"DEIVID FERNANDES COSTA (828)"</f>
        <v>DEIVID FERNANDES COSTA (828)</v>
      </c>
      <c r="H13133" t="str">
        <f>"Serv.Prest. 17/11/2025 a 23/11/2025 - PIX: CELULAR - CHAVE: (62) 99550-3226"</f>
        <v>Serv.Prest. 17/11/2025 a 23/11/2025 - PIX: CELULAR - CHAVE: (62) 99550-3226</v>
      </c>
      <c r="I13133" t="str">
        <f t="shared" si="2576"/>
        <v>27/11/2025</v>
      </c>
      <c r="J13133" t="str">
        <f t="shared" si="2577"/>
        <v>24/11/2025</v>
      </c>
      <c r="K13133" t="str">
        <f>("27/11/2025")</f>
        <v>27/11/2025</v>
      </c>
      <c r="L13133">
        <v>1404.2</v>
      </c>
      <c r="M13133">
        <v>1404.2</v>
      </c>
      <c r="N13133">
        <v>109</v>
      </c>
      <c r="O13133" t="str">
        <f>"PAGAMENTO DE ENTREGADORES"</f>
        <v>PAGAMENTO DE ENTREGADORES</v>
      </c>
      <c r="P13133">
        <v>1404.2</v>
      </c>
      <c r="S13133" t="str">
        <f>"BANCO C6 (149)"</f>
        <v>BANCO C6 (149)</v>
      </c>
      <c r="T13133">
        <v>22689</v>
      </c>
      <c r="U13133">
        <v>25968</v>
      </c>
      <c r="V13133" t="s">
        <v>77</v>
      </c>
    </row>
    <row r="13134" spans="1:22">
      <c r="A13134" t="str">
        <f t="shared" si="2573"/>
        <v>27/11/2025</v>
      </c>
      <c r="B13134" t="str">
        <f t="shared" si="2574"/>
        <v>SAÍDA</v>
      </c>
      <c r="C13134" t="str">
        <f t="shared" si="2575"/>
        <v>PIX</v>
      </c>
      <c r="D13134" t="str">
        <f>"25968"</f>
        <v>25968</v>
      </c>
      <c r="E13134" t="str">
        <f t="shared" si="2578"/>
        <v>1</v>
      </c>
      <c r="F13134" t="str">
        <f t="shared" si="2571"/>
        <v>COM</v>
      </c>
      <c r="G13134" t="str">
        <f>"DEIVID FERNANDES COSTA (828)"</f>
        <v>DEIVID FERNANDES COSTA (828)</v>
      </c>
      <c r="H13134" t="s">
        <v>3578</v>
      </c>
      <c r="I13134" t="str">
        <f t="shared" si="2576"/>
        <v>27/11/2025</v>
      </c>
      <c r="J13134" t="str">
        <f t="shared" si="2577"/>
        <v>24/11/2025</v>
      </c>
      <c r="K13134">
        <v>45988</v>
      </c>
      <c r="N13134">
        <v>109</v>
      </c>
      <c r="O13134" t="s">
        <v>24</v>
      </c>
      <c r="Q13134">
        <v>1404.2</v>
      </c>
      <c r="R13134" t="str">
        <f>"BRASIL FARMA (10173)"</f>
        <v>BRASIL FARMA (10173)</v>
      </c>
      <c r="S13134" t="s">
        <v>77</v>
      </c>
      <c r="T13134">
        <v>22689</v>
      </c>
      <c r="U13134">
        <v>25968</v>
      </c>
      <c r="V13134" t="s">
        <v>77</v>
      </c>
    </row>
    <row r="13135" spans="1:22">
      <c r="A13135" t="str">
        <f t="shared" si="2573"/>
        <v>27/11/2025</v>
      </c>
      <c r="B13135" t="str">
        <f t="shared" si="2574"/>
        <v>SAÍDA</v>
      </c>
      <c r="C13135" t="str">
        <f t="shared" si="2575"/>
        <v>PIX</v>
      </c>
      <c r="D13135" t="str">
        <f>"25970"</f>
        <v>25970</v>
      </c>
      <c r="E13135" t="str">
        <f t="shared" si="2578"/>
        <v>1</v>
      </c>
      <c r="F13135" t="str">
        <f t="shared" si="2571"/>
        <v>COM</v>
      </c>
      <c r="G13135" t="str">
        <f>"JOSÉ HENRIQUE RODRIGUES (430)"</f>
        <v>JOSÉ HENRIQUE RODRIGUES (430)</v>
      </c>
      <c r="H13135" t="str">
        <f>"Serv.Prest. 17/11/2025 a 23/11/2025 - PIX: CPF - CHAVE: 100.826.516-04"</f>
        <v>Serv.Prest. 17/11/2025 a 23/11/2025 - PIX: CPF - CHAVE: 100.826.516-04</v>
      </c>
      <c r="I13135" t="str">
        <f t="shared" si="2576"/>
        <v>27/11/2025</v>
      </c>
      <c r="J13135" t="str">
        <f t="shared" si="2577"/>
        <v>24/11/2025</v>
      </c>
      <c r="K13135" t="str">
        <f>("27/11/2025")</f>
        <v>27/11/2025</v>
      </c>
      <c r="L13135">
        <v>210</v>
      </c>
      <c r="M13135">
        <v>210</v>
      </c>
      <c r="N13135">
        <v>109</v>
      </c>
      <c r="O13135" t="str">
        <f>"PAGAMENTO DE ENTREGADORES"</f>
        <v>PAGAMENTO DE ENTREGADORES</v>
      </c>
      <c r="P13135">
        <v>210</v>
      </c>
      <c r="S13135" t="str">
        <f>"BANCO C6 (149)"</f>
        <v>BANCO C6 (149)</v>
      </c>
      <c r="T13135">
        <v>22690</v>
      </c>
      <c r="U13135">
        <v>25970</v>
      </c>
      <c r="V13135" t="s">
        <v>77</v>
      </c>
    </row>
    <row r="13136" spans="1:22">
      <c r="A13136" t="str">
        <f t="shared" si="2573"/>
        <v>27/11/2025</v>
      </c>
      <c r="B13136" t="str">
        <f t="shared" si="2574"/>
        <v>SAÍDA</v>
      </c>
      <c r="C13136" t="str">
        <f t="shared" si="2575"/>
        <v>PIX</v>
      </c>
      <c r="D13136" t="str">
        <f>"25970"</f>
        <v>25970</v>
      </c>
      <c r="E13136" t="str">
        <f t="shared" si="2578"/>
        <v>1</v>
      </c>
      <c r="F13136" t="str">
        <f t="shared" si="2571"/>
        <v>COM</v>
      </c>
      <c r="G13136" t="str">
        <f>"JOSÉ HENRIQUE RODRIGUES (430)"</f>
        <v>JOSÉ HENRIQUE RODRIGUES (430)</v>
      </c>
      <c r="H13136" t="s">
        <v>3570</v>
      </c>
      <c r="I13136" t="str">
        <f t="shared" si="2576"/>
        <v>27/11/2025</v>
      </c>
      <c r="J13136" t="str">
        <f t="shared" si="2577"/>
        <v>24/11/2025</v>
      </c>
      <c r="K13136">
        <v>45988</v>
      </c>
      <c r="N13136">
        <v>109</v>
      </c>
      <c r="O13136" t="s">
        <v>24</v>
      </c>
      <c r="Q13136">
        <v>150</v>
      </c>
      <c r="R13136" t="str">
        <f>"ULTRA POPULAR  UBA 2 (10214)"</f>
        <v>ULTRA POPULAR  UBA 2 (10214)</v>
      </c>
      <c r="S13136" t="s">
        <v>77</v>
      </c>
      <c r="T13136">
        <v>22690</v>
      </c>
      <c r="U13136">
        <v>25970</v>
      </c>
      <c r="V13136" t="s">
        <v>77</v>
      </c>
    </row>
    <row r="13137" spans="1:22">
      <c r="A13137" t="str">
        <f t="shared" si="2573"/>
        <v>27/11/2025</v>
      </c>
      <c r="B13137" t="str">
        <f t="shared" si="2574"/>
        <v>SAÍDA</v>
      </c>
      <c r="C13137" t="str">
        <f t="shared" si="2575"/>
        <v>PIX</v>
      </c>
      <c r="D13137" t="str">
        <f>"25970"</f>
        <v>25970</v>
      </c>
      <c r="E13137" t="str">
        <f t="shared" si="2578"/>
        <v>1</v>
      </c>
      <c r="F13137" t="str">
        <f t="shared" si="2571"/>
        <v>COM</v>
      </c>
      <c r="G13137" t="str">
        <f>"JOSÉ HENRIQUE RODRIGUES (430)"</f>
        <v>JOSÉ HENRIQUE RODRIGUES (430)</v>
      </c>
      <c r="H13137" t="s">
        <v>3570</v>
      </c>
      <c r="I13137" t="str">
        <f t="shared" si="2576"/>
        <v>27/11/2025</v>
      </c>
      <c r="J13137" t="str">
        <f t="shared" si="2577"/>
        <v>24/11/2025</v>
      </c>
      <c r="K13137">
        <v>45988</v>
      </c>
      <c r="N13137">
        <v>109</v>
      </c>
      <c r="O13137" t="s">
        <v>24</v>
      </c>
      <c r="Q13137">
        <v>60</v>
      </c>
      <c r="R13137" t="str">
        <f>"UBA 1 (10263)"</f>
        <v>UBA 1 (10263)</v>
      </c>
      <c r="S13137" t="s">
        <v>77</v>
      </c>
      <c r="T13137">
        <v>22690</v>
      </c>
      <c r="U13137">
        <v>25970</v>
      </c>
      <c r="V13137" t="s">
        <v>77</v>
      </c>
    </row>
    <row r="13138" spans="1:22">
      <c r="A13138" t="str">
        <f t="shared" si="2573"/>
        <v>27/11/2025</v>
      </c>
      <c r="B13138" t="str">
        <f t="shared" si="2574"/>
        <v>SAÍDA</v>
      </c>
      <c r="C13138" t="str">
        <f t="shared" si="2575"/>
        <v>PIX</v>
      </c>
      <c r="D13138" t="str">
        <f>"25971"</f>
        <v>25971</v>
      </c>
      <c r="E13138" t="str">
        <f t="shared" si="2578"/>
        <v>1</v>
      </c>
      <c r="F13138" t="str">
        <f t="shared" si="2571"/>
        <v>COM</v>
      </c>
      <c r="G13138" t="str">
        <f>"TALES SILVA MARIANO (431)"</f>
        <v>TALES SILVA MARIANO (431)</v>
      </c>
      <c r="H13138" t="str">
        <f>"Serv.Prest. 17/11/2025 a 23/11/2025 - PIX: CPF - CHAVE: 126.686.406-79"</f>
        <v>Serv.Prest. 17/11/2025 a 23/11/2025 - PIX: CPF - CHAVE: 126.686.406-79</v>
      </c>
      <c r="I13138" t="str">
        <f t="shared" si="2576"/>
        <v>27/11/2025</v>
      </c>
      <c r="J13138" t="str">
        <f t="shared" si="2577"/>
        <v>24/11/2025</v>
      </c>
      <c r="K13138" t="str">
        <f>("27/11/2025")</f>
        <v>27/11/2025</v>
      </c>
      <c r="L13138">
        <v>360</v>
      </c>
      <c r="M13138">
        <v>360</v>
      </c>
      <c r="N13138">
        <v>109</v>
      </c>
      <c r="O13138" t="str">
        <f>"PAGAMENTO DE ENTREGADORES"</f>
        <v>PAGAMENTO DE ENTREGADORES</v>
      </c>
      <c r="P13138">
        <v>360</v>
      </c>
      <c r="S13138" t="str">
        <f>"BANCO C6 (149)"</f>
        <v>BANCO C6 (149)</v>
      </c>
      <c r="T13138">
        <v>22691</v>
      </c>
      <c r="U13138">
        <v>25971</v>
      </c>
      <c r="V13138" t="s">
        <v>77</v>
      </c>
    </row>
    <row r="13139" spans="1:22">
      <c r="A13139" t="str">
        <f t="shared" si="2573"/>
        <v>27/11/2025</v>
      </c>
      <c r="B13139" t="str">
        <f t="shared" si="2574"/>
        <v>SAÍDA</v>
      </c>
      <c r="C13139" t="str">
        <f t="shared" si="2575"/>
        <v>PIX</v>
      </c>
      <c r="D13139" t="str">
        <f>"25971"</f>
        <v>25971</v>
      </c>
      <c r="E13139" t="str">
        <f t="shared" si="2578"/>
        <v>1</v>
      </c>
      <c r="F13139" t="str">
        <f t="shared" ref="F13139:F13202" si="2579">"COM"</f>
        <v>COM</v>
      </c>
      <c r="G13139" t="str">
        <f>"TALES SILVA MARIANO (431)"</f>
        <v>TALES SILVA MARIANO (431)</v>
      </c>
      <c r="H13139" t="s">
        <v>3571</v>
      </c>
      <c r="I13139" t="str">
        <f t="shared" si="2576"/>
        <v>27/11/2025</v>
      </c>
      <c r="J13139" t="str">
        <f t="shared" si="2577"/>
        <v>24/11/2025</v>
      </c>
      <c r="K13139">
        <v>45988</v>
      </c>
      <c r="N13139">
        <v>109</v>
      </c>
      <c r="O13139" t="s">
        <v>24</v>
      </c>
      <c r="Q13139">
        <v>216</v>
      </c>
      <c r="R13139" t="str">
        <f>"ULTRA POPULAR  UBA 2 (10214)"</f>
        <v>ULTRA POPULAR  UBA 2 (10214)</v>
      </c>
      <c r="S13139" t="s">
        <v>77</v>
      </c>
      <c r="T13139">
        <v>22691</v>
      </c>
      <c r="U13139">
        <v>25971</v>
      </c>
      <c r="V13139" t="s">
        <v>77</v>
      </c>
    </row>
    <row r="13140" spans="1:22">
      <c r="A13140" t="str">
        <f t="shared" si="2573"/>
        <v>27/11/2025</v>
      </c>
      <c r="B13140" t="str">
        <f t="shared" si="2574"/>
        <v>SAÍDA</v>
      </c>
      <c r="C13140" t="str">
        <f t="shared" si="2575"/>
        <v>PIX</v>
      </c>
      <c r="D13140" t="str">
        <f>"25971"</f>
        <v>25971</v>
      </c>
      <c r="E13140" t="str">
        <f t="shared" si="2578"/>
        <v>1</v>
      </c>
      <c r="F13140" t="str">
        <f t="shared" si="2579"/>
        <v>COM</v>
      </c>
      <c r="G13140" t="str">
        <f>"TALES SILVA MARIANO (431)"</f>
        <v>TALES SILVA MARIANO (431)</v>
      </c>
      <c r="H13140" t="s">
        <v>3571</v>
      </c>
      <c r="I13140" t="str">
        <f t="shared" si="2576"/>
        <v>27/11/2025</v>
      </c>
      <c r="J13140" t="str">
        <f t="shared" si="2577"/>
        <v>24/11/2025</v>
      </c>
      <c r="K13140">
        <v>45988</v>
      </c>
      <c r="N13140">
        <v>109</v>
      </c>
      <c r="O13140" t="s">
        <v>24</v>
      </c>
      <c r="Q13140">
        <v>144</v>
      </c>
      <c r="R13140" t="str">
        <f>"UBA 1 (10263)"</f>
        <v>UBA 1 (10263)</v>
      </c>
      <c r="S13140" t="s">
        <v>77</v>
      </c>
      <c r="T13140">
        <v>22691</v>
      </c>
      <c r="U13140">
        <v>25971</v>
      </c>
      <c r="V13140" t="s">
        <v>77</v>
      </c>
    </row>
    <row r="13141" spans="1:22">
      <c r="A13141" t="str">
        <f t="shared" si="2573"/>
        <v>27/11/2025</v>
      </c>
      <c r="B13141" t="str">
        <f t="shared" si="2574"/>
        <v>SAÍDA</v>
      </c>
      <c r="C13141" t="str">
        <f t="shared" si="2575"/>
        <v>PIX</v>
      </c>
      <c r="D13141" t="str">
        <f>"25974"</f>
        <v>25974</v>
      </c>
      <c r="E13141" t="str">
        <f t="shared" si="2578"/>
        <v>1</v>
      </c>
      <c r="F13141" t="str">
        <f t="shared" si="2579"/>
        <v>COM</v>
      </c>
      <c r="G13141" t="str">
        <f>"SAMUEL SOARES DA SILVA (867)"</f>
        <v>SAMUEL SOARES DA SILVA (867)</v>
      </c>
      <c r="H13141" t="str">
        <f>"Serv.Prest. 17/11/2025 a 23/11/2025 - PIX: CPF - CHAVE: 396.124.108-28"</f>
        <v>Serv.Prest. 17/11/2025 a 23/11/2025 - PIX: CPF - CHAVE: 396.124.108-28</v>
      </c>
      <c r="I13141" t="str">
        <f t="shared" si="2576"/>
        <v>27/11/2025</v>
      </c>
      <c r="J13141" t="str">
        <f t="shared" si="2577"/>
        <v>24/11/2025</v>
      </c>
      <c r="K13141" t="str">
        <f>("27/11/2025")</f>
        <v>27/11/2025</v>
      </c>
      <c r="L13141">
        <v>1250</v>
      </c>
      <c r="M13141">
        <v>1250</v>
      </c>
      <c r="N13141">
        <v>109</v>
      </c>
      <c r="O13141" t="str">
        <f>"PAGAMENTO DE ENTREGADORES"</f>
        <v>PAGAMENTO DE ENTREGADORES</v>
      </c>
      <c r="P13141">
        <v>1250</v>
      </c>
      <c r="S13141" t="str">
        <f>"BANCO C6 (149)"</f>
        <v>BANCO C6 (149)</v>
      </c>
      <c r="T13141">
        <v>22692</v>
      </c>
      <c r="U13141">
        <v>25974</v>
      </c>
      <c r="V13141" t="s">
        <v>77</v>
      </c>
    </row>
    <row r="13142" spans="1:22">
      <c r="A13142" t="str">
        <f t="shared" si="2573"/>
        <v>27/11/2025</v>
      </c>
      <c r="B13142" t="str">
        <f t="shared" si="2574"/>
        <v>SAÍDA</v>
      </c>
      <c r="C13142" t="str">
        <f t="shared" si="2575"/>
        <v>PIX</v>
      </c>
      <c r="D13142" t="str">
        <f>"25974"</f>
        <v>25974</v>
      </c>
      <c r="E13142" t="str">
        <f t="shared" si="2578"/>
        <v>1</v>
      </c>
      <c r="F13142" t="str">
        <f t="shared" si="2579"/>
        <v>COM</v>
      </c>
      <c r="G13142" t="str">
        <f>"SAMUEL SOARES DA SILVA (867)"</f>
        <v>SAMUEL SOARES DA SILVA (867)</v>
      </c>
      <c r="H13142" t="s">
        <v>3411</v>
      </c>
      <c r="I13142" t="str">
        <f t="shared" si="2576"/>
        <v>27/11/2025</v>
      </c>
      <c r="J13142" t="str">
        <f t="shared" si="2577"/>
        <v>24/11/2025</v>
      </c>
      <c r="K13142">
        <v>45988</v>
      </c>
      <c r="N13142">
        <v>109</v>
      </c>
      <c r="O13142" t="s">
        <v>24</v>
      </c>
      <c r="Q13142">
        <v>1250</v>
      </c>
      <c r="R13142" t="str">
        <f>"DROGA ELIDA (10121)"</f>
        <v>DROGA ELIDA (10121)</v>
      </c>
      <c r="S13142" t="s">
        <v>77</v>
      </c>
      <c r="T13142">
        <v>22692</v>
      </c>
      <c r="U13142">
        <v>25974</v>
      </c>
      <c r="V13142" t="s">
        <v>77</v>
      </c>
    </row>
    <row r="13143" spans="1:22">
      <c r="A13143" t="str">
        <f t="shared" si="2573"/>
        <v>27/11/2025</v>
      </c>
      <c r="B13143" t="str">
        <f t="shared" si="2574"/>
        <v>SAÍDA</v>
      </c>
      <c r="C13143" t="str">
        <f t="shared" si="2575"/>
        <v>PIX</v>
      </c>
      <c r="D13143" t="str">
        <f>"25976"</f>
        <v>25976</v>
      </c>
      <c r="E13143" t="str">
        <f t="shared" si="2578"/>
        <v>1</v>
      </c>
      <c r="F13143" t="str">
        <f t="shared" si="2579"/>
        <v>COM</v>
      </c>
      <c r="G13143" t="str">
        <f>"EDUARDO COSTA DA SILVA (721)"</f>
        <v>EDUARDO COSTA DA SILVA (721)</v>
      </c>
      <c r="H13143" t="str">
        <f>"Serv.Prest. 17/11/2025 a 23/11/2025 - PIX: CELULAR - CHAVE: (11) 95552-9905"</f>
        <v>Serv.Prest. 17/11/2025 a 23/11/2025 - PIX: CELULAR - CHAVE: (11) 95552-9905</v>
      </c>
      <c r="I13143" t="str">
        <f t="shared" si="2576"/>
        <v>27/11/2025</v>
      </c>
      <c r="J13143" t="str">
        <f t="shared" si="2577"/>
        <v>24/11/2025</v>
      </c>
      <c r="K13143" t="str">
        <f>("27/11/2025")</f>
        <v>27/11/2025</v>
      </c>
      <c r="L13143">
        <v>1334.8</v>
      </c>
      <c r="M13143">
        <v>1334.8</v>
      </c>
      <c r="N13143">
        <v>109</v>
      </c>
      <c r="O13143" t="str">
        <f>"PAGAMENTO DE ENTREGADORES"</f>
        <v>PAGAMENTO DE ENTREGADORES</v>
      </c>
      <c r="P13143">
        <v>1334.8</v>
      </c>
      <c r="S13143" t="str">
        <f>"BANCO C6 (149)"</f>
        <v>BANCO C6 (149)</v>
      </c>
      <c r="T13143">
        <v>22693</v>
      </c>
      <c r="U13143">
        <v>25976</v>
      </c>
      <c r="V13143" t="s">
        <v>77</v>
      </c>
    </row>
    <row r="13144" spans="1:22">
      <c r="A13144" t="str">
        <f t="shared" si="2573"/>
        <v>27/11/2025</v>
      </c>
      <c r="B13144" t="str">
        <f t="shared" si="2574"/>
        <v>SAÍDA</v>
      </c>
      <c r="C13144" t="str">
        <f t="shared" si="2575"/>
        <v>PIX</v>
      </c>
      <c r="D13144" t="str">
        <f>"25976"</f>
        <v>25976</v>
      </c>
      <c r="E13144" t="str">
        <f t="shared" si="2578"/>
        <v>1</v>
      </c>
      <c r="F13144" t="str">
        <f t="shared" si="2579"/>
        <v>COM</v>
      </c>
      <c r="G13144" t="str">
        <f>"EDUARDO COSTA DA SILVA (721)"</f>
        <v>EDUARDO COSTA DA SILVA (721)</v>
      </c>
      <c r="H13144" t="s">
        <v>3579</v>
      </c>
      <c r="I13144" t="str">
        <f t="shared" si="2576"/>
        <v>27/11/2025</v>
      </c>
      <c r="J13144" t="str">
        <f t="shared" si="2577"/>
        <v>24/11/2025</v>
      </c>
      <c r="K13144">
        <v>45988</v>
      </c>
      <c r="N13144">
        <v>109</v>
      </c>
      <c r="O13144" t="s">
        <v>24</v>
      </c>
      <c r="Q13144">
        <v>1334.8</v>
      </c>
      <c r="R13144" t="str">
        <f>"DROGARIA AGAPEAMA (10167)"</f>
        <v>DROGARIA AGAPEAMA (10167)</v>
      </c>
      <c r="S13144" t="s">
        <v>77</v>
      </c>
      <c r="T13144">
        <v>22693</v>
      </c>
      <c r="U13144">
        <v>25976</v>
      </c>
      <c r="V13144" t="s">
        <v>77</v>
      </c>
    </row>
    <row r="13145" spans="1:22">
      <c r="A13145" t="str">
        <f t="shared" si="2573"/>
        <v>27/11/2025</v>
      </c>
      <c r="B13145" t="str">
        <f t="shared" si="2574"/>
        <v>SAÍDA</v>
      </c>
      <c r="C13145" t="str">
        <f t="shared" si="2575"/>
        <v>PIX</v>
      </c>
      <c r="D13145" t="str">
        <f>"25977"</f>
        <v>25977</v>
      </c>
      <c r="E13145" t="str">
        <f t="shared" si="2578"/>
        <v>1</v>
      </c>
      <c r="F13145" t="str">
        <f t="shared" si="2579"/>
        <v>COM</v>
      </c>
      <c r="G13145" t="str">
        <f>"GUILHERME DA SILVA GOMES (901)"</f>
        <v>GUILHERME DA SILVA GOMES (901)</v>
      </c>
      <c r="H13145" t="str">
        <f>"Serv.Prest. 17/11/2025 a 23/11/2025 - PIX: CPF - CHAVE: 505.341.528-56"</f>
        <v>Serv.Prest. 17/11/2025 a 23/11/2025 - PIX: CPF - CHAVE: 505.341.528-56</v>
      </c>
      <c r="I13145" t="str">
        <f t="shared" si="2576"/>
        <v>27/11/2025</v>
      </c>
      <c r="J13145" t="str">
        <f t="shared" si="2577"/>
        <v>24/11/2025</v>
      </c>
      <c r="K13145" t="str">
        <f>("27/11/2025")</f>
        <v>27/11/2025</v>
      </c>
      <c r="L13145">
        <v>723.7</v>
      </c>
      <c r="M13145">
        <v>723.7</v>
      </c>
      <c r="N13145">
        <v>109</v>
      </c>
      <c r="O13145" t="str">
        <f>"PAGAMENTO DE ENTREGADORES"</f>
        <v>PAGAMENTO DE ENTREGADORES</v>
      </c>
      <c r="P13145">
        <v>723.7</v>
      </c>
      <c r="S13145" t="str">
        <f>"BANCO C6 (149)"</f>
        <v>BANCO C6 (149)</v>
      </c>
      <c r="T13145">
        <v>22694</v>
      </c>
      <c r="U13145">
        <v>25977</v>
      </c>
      <c r="V13145" t="s">
        <v>77</v>
      </c>
    </row>
    <row r="13146" spans="1:22">
      <c r="A13146" t="str">
        <f t="shared" si="2573"/>
        <v>27/11/2025</v>
      </c>
      <c r="B13146" t="str">
        <f t="shared" si="2574"/>
        <v>SAÍDA</v>
      </c>
      <c r="C13146" t="str">
        <f t="shared" si="2575"/>
        <v>PIX</v>
      </c>
      <c r="D13146" t="str">
        <f>"25977"</f>
        <v>25977</v>
      </c>
      <c r="E13146" t="str">
        <f t="shared" si="2578"/>
        <v>1</v>
      </c>
      <c r="F13146" t="str">
        <f t="shared" si="2579"/>
        <v>COM</v>
      </c>
      <c r="G13146" t="str">
        <f>"GUILHERME DA SILVA GOMES (901)"</f>
        <v>GUILHERME DA SILVA GOMES (901)</v>
      </c>
      <c r="H13146" t="s">
        <v>3580</v>
      </c>
      <c r="I13146" t="str">
        <f t="shared" si="2576"/>
        <v>27/11/2025</v>
      </c>
      <c r="J13146" t="str">
        <f t="shared" si="2577"/>
        <v>24/11/2025</v>
      </c>
      <c r="K13146">
        <v>45988</v>
      </c>
      <c r="N13146">
        <v>109</v>
      </c>
      <c r="O13146" t="s">
        <v>24</v>
      </c>
      <c r="Q13146">
        <v>723.7</v>
      </c>
      <c r="R13146" t="str">
        <f>"DROGARIA AGAPEAMA (10167)"</f>
        <v>DROGARIA AGAPEAMA (10167)</v>
      </c>
      <c r="S13146" t="s">
        <v>77</v>
      </c>
      <c r="T13146">
        <v>22694</v>
      </c>
      <c r="U13146">
        <v>25977</v>
      </c>
      <c r="V13146" t="s">
        <v>77</v>
      </c>
    </row>
    <row r="13147" spans="1:22">
      <c r="A13147" t="str">
        <f t="shared" si="2573"/>
        <v>27/11/2025</v>
      </c>
      <c r="B13147" t="str">
        <f t="shared" si="2574"/>
        <v>SAÍDA</v>
      </c>
      <c r="C13147" t="str">
        <f t="shared" si="2575"/>
        <v>PIX</v>
      </c>
      <c r="D13147" t="str">
        <f>"25978"</f>
        <v>25978</v>
      </c>
      <c r="E13147" t="str">
        <f t="shared" si="2578"/>
        <v>1</v>
      </c>
      <c r="F13147" t="str">
        <f t="shared" si="2579"/>
        <v>COM</v>
      </c>
      <c r="G13147" t="str">
        <f>"WESLEY RICARDO DE OLIVEIRA (722)"</f>
        <v>WESLEY RICARDO DE OLIVEIRA (722)</v>
      </c>
      <c r="H13147" t="str">
        <f>"Serv.Prest. 17/11/2025 a 23/11/2025 - PIX: CELULAR - CHAVE: (11) 91214-6176"</f>
        <v>Serv.Prest. 17/11/2025 a 23/11/2025 - PIX: CELULAR - CHAVE: (11) 91214-6176</v>
      </c>
      <c r="I13147" t="str">
        <f t="shared" si="2576"/>
        <v>27/11/2025</v>
      </c>
      <c r="J13147" t="str">
        <f t="shared" si="2577"/>
        <v>24/11/2025</v>
      </c>
      <c r="K13147" t="str">
        <f>("27/11/2025")</f>
        <v>27/11/2025</v>
      </c>
      <c r="L13147">
        <v>1246.5999999999999</v>
      </c>
      <c r="M13147">
        <v>1246.5999999999999</v>
      </c>
      <c r="N13147">
        <v>109</v>
      </c>
      <c r="O13147" t="str">
        <f>"PAGAMENTO DE ENTREGADORES"</f>
        <v>PAGAMENTO DE ENTREGADORES</v>
      </c>
      <c r="P13147">
        <v>1246.5999999999999</v>
      </c>
      <c r="S13147" t="str">
        <f>"BANCO C6 (149)"</f>
        <v>BANCO C6 (149)</v>
      </c>
      <c r="T13147">
        <v>22695</v>
      </c>
      <c r="U13147">
        <v>25978</v>
      </c>
      <c r="V13147" t="s">
        <v>77</v>
      </c>
    </row>
    <row r="13148" spans="1:22">
      <c r="A13148" t="str">
        <f t="shared" si="2573"/>
        <v>27/11/2025</v>
      </c>
      <c r="B13148" t="str">
        <f t="shared" si="2574"/>
        <v>SAÍDA</v>
      </c>
      <c r="C13148" t="str">
        <f t="shared" si="2575"/>
        <v>PIX</v>
      </c>
      <c r="D13148" t="str">
        <f>"25978"</f>
        <v>25978</v>
      </c>
      <c r="E13148" t="str">
        <f t="shared" si="2578"/>
        <v>1</v>
      </c>
      <c r="F13148" t="str">
        <f t="shared" si="2579"/>
        <v>COM</v>
      </c>
      <c r="G13148" t="str">
        <f>"WESLEY RICARDO DE OLIVEIRA (722)"</f>
        <v>WESLEY RICARDO DE OLIVEIRA (722)</v>
      </c>
      <c r="H13148" t="s">
        <v>3581</v>
      </c>
      <c r="I13148" t="str">
        <f t="shared" si="2576"/>
        <v>27/11/2025</v>
      </c>
      <c r="J13148" t="str">
        <f t="shared" si="2577"/>
        <v>24/11/2025</v>
      </c>
      <c r="K13148">
        <v>45988</v>
      </c>
      <c r="N13148">
        <v>109</v>
      </c>
      <c r="O13148" t="s">
        <v>24</v>
      </c>
      <c r="Q13148">
        <v>1246.5999999999999</v>
      </c>
      <c r="R13148" t="str">
        <f>"DROGARIA AGAPEAMA (10167)"</f>
        <v>DROGARIA AGAPEAMA (10167)</v>
      </c>
      <c r="S13148" t="s">
        <v>77</v>
      </c>
      <c r="T13148">
        <v>22695</v>
      </c>
      <c r="U13148">
        <v>25978</v>
      </c>
      <c r="V13148" t="s">
        <v>77</v>
      </c>
    </row>
    <row r="13149" spans="1:22">
      <c r="A13149" t="str">
        <f t="shared" si="2573"/>
        <v>27/11/2025</v>
      </c>
      <c r="B13149" t="str">
        <f t="shared" si="2574"/>
        <v>SAÍDA</v>
      </c>
      <c r="C13149" t="str">
        <f t="shared" si="2575"/>
        <v>PIX</v>
      </c>
      <c r="D13149" t="str">
        <f>"25980"</f>
        <v>25980</v>
      </c>
      <c r="E13149" t="str">
        <f t="shared" si="2578"/>
        <v>1</v>
      </c>
      <c r="F13149" t="str">
        <f t="shared" si="2579"/>
        <v>COM</v>
      </c>
      <c r="G13149" t="str">
        <f>"ALEXSANDRO HENRIQUE FERREIRA (808)"</f>
        <v>ALEXSANDRO HENRIQUE FERREIRA (808)</v>
      </c>
      <c r="H13149" t="str">
        <f>"Serv.Prest. 17/11/2025 a 23/11/2025 - PIX: CPF - CHAVE: 157.591.436-03"</f>
        <v>Serv.Prest. 17/11/2025 a 23/11/2025 - PIX: CPF - CHAVE: 157.591.436-03</v>
      </c>
      <c r="I13149" t="str">
        <f t="shared" si="2576"/>
        <v>27/11/2025</v>
      </c>
      <c r="J13149" t="str">
        <f t="shared" si="2577"/>
        <v>24/11/2025</v>
      </c>
      <c r="K13149" t="str">
        <f>("27/11/2025")</f>
        <v>27/11/2025</v>
      </c>
      <c r="L13149">
        <v>1004.85</v>
      </c>
      <c r="M13149">
        <v>1004.85</v>
      </c>
      <c r="N13149">
        <v>109</v>
      </c>
      <c r="O13149" t="str">
        <f>"PAGAMENTO DE ENTREGADORES"</f>
        <v>PAGAMENTO DE ENTREGADORES</v>
      </c>
      <c r="P13149">
        <v>1004.85</v>
      </c>
      <c r="S13149" t="str">
        <f>"BANCO C6 (149)"</f>
        <v>BANCO C6 (149)</v>
      </c>
      <c r="T13149">
        <v>22696</v>
      </c>
      <c r="U13149">
        <v>25980</v>
      </c>
      <c r="V13149" t="s">
        <v>77</v>
      </c>
    </row>
    <row r="13150" spans="1:22">
      <c r="A13150" t="str">
        <f t="shared" si="2573"/>
        <v>27/11/2025</v>
      </c>
      <c r="B13150" t="str">
        <f t="shared" si="2574"/>
        <v>SAÍDA</v>
      </c>
      <c r="C13150" t="str">
        <f t="shared" si="2575"/>
        <v>PIX</v>
      </c>
      <c r="D13150" t="str">
        <f>"25980"</f>
        <v>25980</v>
      </c>
      <c r="E13150" t="str">
        <f t="shared" si="2578"/>
        <v>1</v>
      </c>
      <c r="F13150" t="str">
        <f t="shared" si="2579"/>
        <v>COM</v>
      </c>
      <c r="G13150" t="str">
        <f>"ALEXSANDRO HENRIQUE FERREIRA (808)"</f>
        <v>ALEXSANDRO HENRIQUE FERREIRA (808)</v>
      </c>
      <c r="H13150" t="s">
        <v>3582</v>
      </c>
      <c r="I13150" t="str">
        <f t="shared" si="2576"/>
        <v>27/11/2025</v>
      </c>
      <c r="J13150" t="str">
        <f t="shared" si="2577"/>
        <v>24/11/2025</v>
      </c>
      <c r="K13150">
        <v>45988</v>
      </c>
      <c r="N13150">
        <v>109</v>
      </c>
      <c r="O13150" t="s">
        <v>24</v>
      </c>
      <c r="Q13150">
        <v>1004.85</v>
      </c>
      <c r="R13150" t="str">
        <f>"DROGARIA ANA VISCONDE DO RIO BRANCO (10182)"</f>
        <v>DROGARIA ANA VISCONDE DO RIO BRANCO (10182)</v>
      </c>
      <c r="S13150" t="s">
        <v>77</v>
      </c>
      <c r="T13150">
        <v>22696</v>
      </c>
      <c r="U13150">
        <v>25980</v>
      </c>
      <c r="V13150" t="s">
        <v>77</v>
      </c>
    </row>
    <row r="13151" spans="1:22">
      <c r="A13151" t="str">
        <f t="shared" si="2573"/>
        <v>27/11/2025</v>
      </c>
      <c r="B13151" t="str">
        <f t="shared" si="2574"/>
        <v>SAÍDA</v>
      </c>
      <c r="C13151" t="str">
        <f t="shared" si="2575"/>
        <v>PIX</v>
      </c>
      <c r="D13151" t="str">
        <f>"25981"</f>
        <v>25981</v>
      </c>
      <c r="E13151" t="str">
        <f t="shared" si="2578"/>
        <v>1</v>
      </c>
      <c r="F13151" t="str">
        <f t="shared" si="2579"/>
        <v>COM</v>
      </c>
      <c r="G13151" t="str">
        <f>"ANDERSON LUIZ SOARES (807)"</f>
        <v>ANDERSON LUIZ SOARES (807)</v>
      </c>
      <c r="H13151" t="str">
        <f>"Serv.Prest. 17/11/2025 a 23/11/2025 - PIX: CELULAR - CHAVE: (32) 99920-0416"</f>
        <v>Serv.Prest. 17/11/2025 a 23/11/2025 - PIX: CELULAR - CHAVE: (32) 99920-0416</v>
      </c>
      <c r="I13151" t="str">
        <f t="shared" si="2576"/>
        <v>27/11/2025</v>
      </c>
      <c r="J13151" t="str">
        <f t="shared" si="2577"/>
        <v>24/11/2025</v>
      </c>
      <c r="K13151" t="str">
        <f>("27/11/2025")</f>
        <v>27/11/2025</v>
      </c>
      <c r="L13151">
        <v>803.25</v>
      </c>
      <c r="M13151">
        <v>803.25</v>
      </c>
      <c r="N13151">
        <v>109</v>
      </c>
      <c r="O13151" t="str">
        <f>"PAGAMENTO DE ENTREGADORES"</f>
        <v>PAGAMENTO DE ENTREGADORES</v>
      </c>
      <c r="P13151">
        <v>803.25</v>
      </c>
      <c r="S13151" t="str">
        <f>"BANCO C6 (149)"</f>
        <v>BANCO C6 (149)</v>
      </c>
      <c r="T13151">
        <v>22697</v>
      </c>
      <c r="U13151">
        <v>25981</v>
      </c>
      <c r="V13151" t="s">
        <v>77</v>
      </c>
    </row>
    <row r="13152" spans="1:22">
      <c r="A13152" t="str">
        <f t="shared" si="2573"/>
        <v>27/11/2025</v>
      </c>
      <c r="B13152" t="str">
        <f t="shared" si="2574"/>
        <v>SAÍDA</v>
      </c>
      <c r="C13152" t="str">
        <f t="shared" si="2575"/>
        <v>PIX</v>
      </c>
      <c r="D13152" t="str">
        <f>"25981"</f>
        <v>25981</v>
      </c>
      <c r="E13152" t="str">
        <f t="shared" si="2578"/>
        <v>1</v>
      </c>
      <c r="F13152" t="str">
        <f t="shared" si="2579"/>
        <v>COM</v>
      </c>
      <c r="G13152" t="str">
        <f>"ANDERSON LUIZ SOARES (807)"</f>
        <v>ANDERSON LUIZ SOARES (807)</v>
      </c>
      <c r="H13152" t="s">
        <v>3583</v>
      </c>
      <c r="I13152" t="str">
        <f t="shared" si="2576"/>
        <v>27/11/2025</v>
      </c>
      <c r="J13152" t="str">
        <f t="shared" si="2577"/>
        <v>24/11/2025</v>
      </c>
      <c r="K13152">
        <v>45988</v>
      </c>
      <c r="N13152">
        <v>109</v>
      </c>
      <c r="O13152" t="s">
        <v>24</v>
      </c>
      <c r="Q13152">
        <v>803.25</v>
      </c>
      <c r="R13152" t="str">
        <f>"DROGARIA ANA VISCONDE DO RIO BRANCO (10182)"</f>
        <v>DROGARIA ANA VISCONDE DO RIO BRANCO (10182)</v>
      </c>
      <c r="S13152" t="s">
        <v>77</v>
      </c>
      <c r="T13152">
        <v>22697</v>
      </c>
      <c r="U13152">
        <v>25981</v>
      </c>
      <c r="V13152" t="s">
        <v>77</v>
      </c>
    </row>
    <row r="13153" spans="1:22">
      <c r="A13153" t="str">
        <f t="shared" si="2573"/>
        <v>27/11/2025</v>
      </c>
      <c r="B13153" t="str">
        <f t="shared" si="2574"/>
        <v>SAÍDA</v>
      </c>
      <c r="C13153" t="str">
        <f t="shared" si="2575"/>
        <v>PIX</v>
      </c>
      <c r="D13153" t="str">
        <f>"25982"</f>
        <v>25982</v>
      </c>
      <c r="E13153" t="str">
        <f t="shared" si="2578"/>
        <v>1</v>
      </c>
      <c r="F13153" t="str">
        <f t="shared" si="2579"/>
        <v>COM</v>
      </c>
      <c r="G13153" t="str">
        <f>"BRENO VIANA MONTEIRO RODRIGUES (811)"</f>
        <v>BRENO VIANA MONTEIRO RODRIGUES (811)</v>
      </c>
      <c r="H13153" t="str">
        <f>"Serv.Prest. 17/11/2025 a 23/11/2025 - PIX: CNPJ - CHAVE: 51.676.704/0001-10"</f>
        <v>Serv.Prest. 17/11/2025 a 23/11/2025 - PIX: CNPJ - CHAVE: 51.676.704/0001-10</v>
      </c>
      <c r="I13153" t="str">
        <f t="shared" si="2576"/>
        <v>27/11/2025</v>
      </c>
      <c r="J13153" t="str">
        <f t="shared" si="2577"/>
        <v>24/11/2025</v>
      </c>
      <c r="K13153" t="str">
        <f>("27/11/2025")</f>
        <v>27/11/2025</v>
      </c>
      <c r="L13153">
        <v>803.25</v>
      </c>
      <c r="M13153">
        <v>803.25</v>
      </c>
      <c r="N13153">
        <v>109</v>
      </c>
      <c r="O13153" t="str">
        <f>"PAGAMENTO DE ENTREGADORES"</f>
        <v>PAGAMENTO DE ENTREGADORES</v>
      </c>
      <c r="P13153">
        <v>803.25</v>
      </c>
      <c r="S13153" t="str">
        <f>"BANCO C6 (149)"</f>
        <v>BANCO C6 (149)</v>
      </c>
      <c r="T13153">
        <v>22698</v>
      </c>
      <c r="U13153">
        <v>25982</v>
      </c>
      <c r="V13153" t="s">
        <v>77</v>
      </c>
    </row>
    <row r="13154" spans="1:22">
      <c r="A13154" t="str">
        <f t="shared" si="2573"/>
        <v>27/11/2025</v>
      </c>
      <c r="B13154" t="str">
        <f t="shared" si="2574"/>
        <v>SAÍDA</v>
      </c>
      <c r="C13154" t="str">
        <f t="shared" si="2575"/>
        <v>PIX</v>
      </c>
      <c r="D13154" t="str">
        <f>"25982"</f>
        <v>25982</v>
      </c>
      <c r="E13154" t="str">
        <f t="shared" si="2578"/>
        <v>1</v>
      </c>
      <c r="F13154" t="str">
        <f t="shared" si="2579"/>
        <v>COM</v>
      </c>
      <c r="G13154" t="str">
        <f>"BRENO VIANA MONTEIRO RODRIGUES (811)"</f>
        <v>BRENO VIANA MONTEIRO RODRIGUES (811)</v>
      </c>
      <c r="H13154" t="s">
        <v>3584</v>
      </c>
      <c r="I13154" t="str">
        <f t="shared" si="2576"/>
        <v>27/11/2025</v>
      </c>
      <c r="J13154" t="str">
        <f t="shared" si="2577"/>
        <v>24/11/2025</v>
      </c>
      <c r="K13154">
        <v>45988</v>
      </c>
      <c r="N13154">
        <v>109</v>
      </c>
      <c r="O13154" t="s">
        <v>24</v>
      </c>
      <c r="Q13154">
        <v>803.25</v>
      </c>
      <c r="R13154" t="str">
        <f>"DROGARIA ANA VISCONDE DO RIO BRANCO (10182)"</f>
        <v>DROGARIA ANA VISCONDE DO RIO BRANCO (10182)</v>
      </c>
      <c r="S13154" t="s">
        <v>77</v>
      </c>
      <c r="T13154">
        <v>22698</v>
      </c>
      <c r="U13154">
        <v>25982</v>
      </c>
      <c r="V13154" t="s">
        <v>77</v>
      </c>
    </row>
    <row r="13155" spans="1:22">
      <c r="A13155" t="str">
        <f t="shared" si="2573"/>
        <v>27/11/2025</v>
      </c>
      <c r="B13155" t="str">
        <f t="shared" si="2574"/>
        <v>SAÍDA</v>
      </c>
      <c r="C13155" t="str">
        <f t="shared" si="2575"/>
        <v>PIX</v>
      </c>
      <c r="D13155" t="str">
        <f>"25983"</f>
        <v>25983</v>
      </c>
      <c r="E13155" t="str">
        <f t="shared" si="2578"/>
        <v>1</v>
      </c>
      <c r="F13155" t="str">
        <f t="shared" si="2579"/>
        <v>COM</v>
      </c>
      <c r="G13155" t="str">
        <f>"GABRIEL PACHECO DE QUEIROZ NARCISO (812)"</f>
        <v>GABRIEL PACHECO DE QUEIROZ NARCISO (812)</v>
      </c>
      <c r="H13155" t="str">
        <f>"Serv.Prest. 17/11/2025 a 23/11/2025 - PIX: CPF - CHAVE: 140.108.466-40"</f>
        <v>Serv.Prest. 17/11/2025 a 23/11/2025 - PIX: CPF - CHAVE: 140.108.466-40</v>
      </c>
      <c r="I13155" t="str">
        <f t="shared" si="2576"/>
        <v>27/11/2025</v>
      </c>
      <c r="J13155" t="str">
        <f t="shared" si="2577"/>
        <v>24/11/2025</v>
      </c>
      <c r="K13155" t="str">
        <f>("27/11/2025")</f>
        <v>27/11/2025</v>
      </c>
      <c r="L13155">
        <v>803.25</v>
      </c>
      <c r="M13155">
        <v>803.25</v>
      </c>
      <c r="N13155">
        <v>109</v>
      </c>
      <c r="O13155" t="str">
        <f>"PAGAMENTO DE ENTREGADORES"</f>
        <v>PAGAMENTO DE ENTREGADORES</v>
      </c>
      <c r="P13155">
        <v>803.25</v>
      </c>
      <c r="S13155" t="str">
        <f>"BANCO C6 (149)"</f>
        <v>BANCO C6 (149)</v>
      </c>
      <c r="T13155">
        <v>22699</v>
      </c>
      <c r="U13155">
        <v>25983</v>
      </c>
      <c r="V13155" t="s">
        <v>77</v>
      </c>
    </row>
    <row r="13156" spans="1:22">
      <c r="A13156" t="str">
        <f t="shared" si="2573"/>
        <v>27/11/2025</v>
      </c>
      <c r="B13156" t="str">
        <f t="shared" si="2574"/>
        <v>SAÍDA</v>
      </c>
      <c r="C13156" t="str">
        <f t="shared" si="2575"/>
        <v>PIX</v>
      </c>
      <c r="D13156" t="str">
        <f>"25983"</f>
        <v>25983</v>
      </c>
      <c r="E13156" t="str">
        <f t="shared" si="2578"/>
        <v>1</v>
      </c>
      <c r="F13156" t="str">
        <f t="shared" si="2579"/>
        <v>COM</v>
      </c>
      <c r="G13156" t="str">
        <f>"GABRIEL PACHECO DE QUEIROZ NARCISO (812)"</f>
        <v>GABRIEL PACHECO DE QUEIROZ NARCISO (812)</v>
      </c>
      <c r="H13156" t="s">
        <v>3585</v>
      </c>
      <c r="I13156" t="str">
        <f t="shared" si="2576"/>
        <v>27/11/2025</v>
      </c>
      <c r="J13156" t="str">
        <f t="shared" si="2577"/>
        <v>24/11/2025</v>
      </c>
      <c r="K13156">
        <v>45988</v>
      </c>
      <c r="N13156">
        <v>109</v>
      </c>
      <c r="O13156" t="s">
        <v>24</v>
      </c>
      <c r="Q13156">
        <v>803.25</v>
      </c>
      <c r="R13156" t="str">
        <f>"DROGARIA ANA VISCONDE DO RIO BRANCO (10182)"</f>
        <v>DROGARIA ANA VISCONDE DO RIO BRANCO (10182)</v>
      </c>
      <c r="S13156" t="s">
        <v>77</v>
      </c>
      <c r="T13156">
        <v>22699</v>
      </c>
      <c r="U13156">
        <v>25983</v>
      </c>
      <c r="V13156" t="s">
        <v>77</v>
      </c>
    </row>
    <row r="13157" spans="1:22">
      <c r="A13157" t="str">
        <f t="shared" si="2573"/>
        <v>27/11/2025</v>
      </c>
      <c r="B13157" t="str">
        <f t="shared" si="2574"/>
        <v>SAÍDA</v>
      </c>
      <c r="C13157" t="str">
        <f t="shared" si="2575"/>
        <v>PIX</v>
      </c>
      <c r="D13157" t="str">
        <f>"25984"</f>
        <v>25984</v>
      </c>
      <c r="E13157" t="str">
        <f t="shared" si="2578"/>
        <v>1</v>
      </c>
      <c r="F13157" t="str">
        <f t="shared" si="2579"/>
        <v>COM</v>
      </c>
      <c r="G13157" t="str">
        <f>"WILLIAM ANDRE SILVA COELLO (850)"</f>
        <v>WILLIAM ANDRE SILVA COELLO (850)</v>
      </c>
      <c r="H13157" t="str">
        <f>"Serv.Prest. 17/11/2025 a 23/11/2025 - PIX: CPF - CHAVE: 100.710.806-19"</f>
        <v>Serv.Prest. 17/11/2025 a 23/11/2025 - PIX: CPF - CHAVE: 100.710.806-19</v>
      </c>
      <c r="I13157" t="str">
        <f t="shared" si="2576"/>
        <v>27/11/2025</v>
      </c>
      <c r="J13157" t="str">
        <f t="shared" si="2577"/>
        <v>24/11/2025</v>
      </c>
      <c r="K13157" t="str">
        <f>("27/11/2025")</f>
        <v>27/11/2025</v>
      </c>
      <c r="L13157">
        <v>803.25</v>
      </c>
      <c r="M13157">
        <v>803.25</v>
      </c>
      <c r="N13157">
        <v>109</v>
      </c>
      <c r="O13157" t="str">
        <f>"PAGAMENTO DE ENTREGADORES"</f>
        <v>PAGAMENTO DE ENTREGADORES</v>
      </c>
      <c r="P13157">
        <v>803.25</v>
      </c>
      <c r="S13157" t="str">
        <f>"BANCO C6 (149)"</f>
        <v>BANCO C6 (149)</v>
      </c>
      <c r="T13157">
        <v>22700</v>
      </c>
      <c r="U13157">
        <v>25984</v>
      </c>
      <c r="V13157" t="s">
        <v>77</v>
      </c>
    </row>
    <row r="13158" spans="1:22">
      <c r="A13158" t="str">
        <f t="shared" si="2573"/>
        <v>27/11/2025</v>
      </c>
      <c r="B13158" t="str">
        <f t="shared" si="2574"/>
        <v>SAÍDA</v>
      </c>
      <c r="C13158" t="str">
        <f t="shared" si="2575"/>
        <v>PIX</v>
      </c>
      <c r="D13158" t="str">
        <f>"25984"</f>
        <v>25984</v>
      </c>
      <c r="E13158" t="str">
        <f t="shared" si="2578"/>
        <v>1</v>
      </c>
      <c r="F13158" t="str">
        <f t="shared" si="2579"/>
        <v>COM</v>
      </c>
      <c r="G13158" t="str">
        <f>"WILLIAM ANDRE SILVA COELLO (850)"</f>
        <v>WILLIAM ANDRE SILVA COELLO (850)</v>
      </c>
      <c r="H13158" t="s">
        <v>3586</v>
      </c>
      <c r="I13158" t="str">
        <f t="shared" si="2576"/>
        <v>27/11/2025</v>
      </c>
      <c r="J13158" t="str">
        <f t="shared" si="2577"/>
        <v>24/11/2025</v>
      </c>
      <c r="K13158">
        <v>45988</v>
      </c>
      <c r="N13158">
        <v>109</v>
      </c>
      <c r="O13158" t="s">
        <v>24</v>
      </c>
      <c r="Q13158">
        <v>803.25</v>
      </c>
      <c r="R13158" t="str">
        <f>"DROGARIA ANA VISCONDE DO RIO BRANCO (10182)"</f>
        <v>DROGARIA ANA VISCONDE DO RIO BRANCO (10182)</v>
      </c>
      <c r="S13158" t="s">
        <v>77</v>
      </c>
      <c r="T13158">
        <v>22700</v>
      </c>
      <c r="U13158">
        <v>25984</v>
      </c>
      <c r="V13158" t="s">
        <v>77</v>
      </c>
    </row>
    <row r="13159" spans="1:22">
      <c r="A13159" t="str">
        <f t="shared" si="2573"/>
        <v>27/11/2025</v>
      </c>
      <c r="B13159" t="str">
        <f t="shared" si="2574"/>
        <v>SAÍDA</v>
      </c>
      <c r="C13159" t="str">
        <f t="shared" si="2575"/>
        <v>PIX</v>
      </c>
      <c r="D13159" t="str">
        <f>"25986"</f>
        <v>25986</v>
      </c>
      <c r="E13159" t="str">
        <f t="shared" si="2578"/>
        <v>1</v>
      </c>
      <c r="F13159" t="str">
        <f t="shared" si="2579"/>
        <v>COM</v>
      </c>
      <c r="G13159" t="str">
        <f>"ISAEL SANTOS ROSA (642)"</f>
        <v>ISAEL SANTOS ROSA (642)</v>
      </c>
      <c r="H13159" t="str">
        <f>"Serv.Prest. 17/11/2025 a 23/11/2025 - PIX: CELULAR - CHAVE: (31) 99376-7989"</f>
        <v>Serv.Prest. 17/11/2025 a 23/11/2025 - PIX: CELULAR - CHAVE: (31) 99376-7989</v>
      </c>
      <c r="I13159" t="str">
        <f t="shared" si="2576"/>
        <v>27/11/2025</v>
      </c>
      <c r="J13159" t="str">
        <f t="shared" si="2577"/>
        <v>24/11/2025</v>
      </c>
      <c r="K13159" t="str">
        <f>("27/11/2025")</f>
        <v>27/11/2025</v>
      </c>
      <c r="L13159">
        <v>1400</v>
      </c>
      <c r="M13159">
        <v>1400</v>
      </c>
      <c r="N13159">
        <v>109</v>
      </c>
      <c r="O13159" t="str">
        <f>"PAGAMENTO DE ENTREGADORES"</f>
        <v>PAGAMENTO DE ENTREGADORES</v>
      </c>
      <c r="P13159">
        <v>1400</v>
      </c>
      <c r="S13159" t="str">
        <f>"BANCO C6 (149)"</f>
        <v>BANCO C6 (149)</v>
      </c>
      <c r="T13159">
        <v>22701</v>
      </c>
      <c r="U13159">
        <v>25986</v>
      </c>
      <c r="V13159" t="s">
        <v>77</v>
      </c>
    </row>
    <row r="13160" spans="1:22">
      <c r="A13160" t="str">
        <f t="shared" si="2573"/>
        <v>27/11/2025</v>
      </c>
      <c r="B13160" t="str">
        <f t="shared" si="2574"/>
        <v>SAÍDA</v>
      </c>
      <c r="C13160" t="str">
        <f t="shared" si="2575"/>
        <v>PIX</v>
      </c>
      <c r="D13160" t="str">
        <f>"25986"</f>
        <v>25986</v>
      </c>
      <c r="E13160" t="str">
        <f t="shared" si="2578"/>
        <v>1</v>
      </c>
      <c r="F13160" t="str">
        <f t="shared" si="2579"/>
        <v>COM</v>
      </c>
      <c r="G13160" t="str">
        <f>"ISAEL SANTOS ROSA (642)"</f>
        <v>ISAEL SANTOS ROSA (642)</v>
      </c>
      <c r="H13160" t="s">
        <v>3587</v>
      </c>
      <c r="I13160" t="str">
        <f t="shared" si="2576"/>
        <v>27/11/2025</v>
      </c>
      <c r="J13160" t="str">
        <f t="shared" si="2577"/>
        <v>24/11/2025</v>
      </c>
      <c r="K13160">
        <v>45988</v>
      </c>
      <c r="N13160">
        <v>109</v>
      </c>
      <c r="O13160" t="s">
        <v>24</v>
      </c>
      <c r="Q13160">
        <v>1400</v>
      </c>
      <c r="R13160" t="str">
        <f>"DROGARIA POUPA MINAS (ULTRAMINAS) 3 (10129)"</f>
        <v>DROGARIA POUPA MINAS (ULTRAMINAS) 3 (10129)</v>
      </c>
      <c r="S13160" t="s">
        <v>77</v>
      </c>
      <c r="T13160">
        <v>22701</v>
      </c>
      <c r="U13160">
        <v>25986</v>
      </c>
      <c r="V13160" t="s">
        <v>77</v>
      </c>
    </row>
    <row r="13161" spans="1:22">
      <c r="A13161" t="str">
        <f t="shared" si="2573"/>
        <v>27/11/2025</v>
      </c>
      <c r="B13161" t="str">
        <f t="shared" si="2574"/>
        <v>SAÍDA</v>
      </c>
      <c r="C13161" t="str">
        <f t="shared" si="2575"/>
        <v>PIX</v>
      </c>
      <c r="D13161" t="str">
        <f>"25989"</f>
        <v>25989</v>
      </c>
      <c r="E13161" t="str">
        <f t="shared" si="2578"/>
        <v>1</v>
      </c>
      <c r="F13161" t="str">
        <f t="shared" si="2579"/>
        <v>COM</v>
      </c>
      <c r="G13161" t="str">
        <f>"JOCIMAR VAZ FERREIRA (197)"</f>
        <v>JOCIMAR VAZ FERREIRA (197)</v>
      </c>
      <c r="H13161" t="str">
        <f>"Serv.Prest. 17/11/2025 a 23/11/2025 - PIX: CELULAR - CHAVE: (33) 99924-7557"</f>
        <v>Serv.Prest. 17/11/2025 a 23/11/2025 - PIX: CELULAR - CHAVE: (33) 99924-7557</v>
      </c>
      <c r="I13161" t="str">
        <f t="shared" si="2576"/>
        <v>27/11/2025</v>
      </c>
      <c r="J13161" t="str">
        <f t="shared" si="2577"/>
        <v>24/11/2025</v>
      </c>
      <c r="K13161" t="str">
        <f>("27/11/2025")</f>
        <v>27/11/2025</v>
      </c>
      <c r="L13161">
        <v>1038</v>
      </c>
      <c r="M13161">
        <v>1038</v>
      </c>
      <c r="N13161">
        <v>109</v>
      </c>
      <c r="O13161" t="str">
        <f>"PAGAMENTO DE ENTREGADORES"</f>
        <v>PAGAMENTO DE ENTREGADORES</v>
      </c>
      <c r="P13161">
        <v>1038</v>
      </c>
      <c r="S13161" t="str">
        <f>"BANCO C6 (149)"</f>
        <v>BANCO C6 (149)</v>
      </c>
      <c r="T13161">
        <v>22702</v>
      </c>
      <c r="U13161">
        <v>25989</v>
      </c>
      <c r="V13161" t="s">
        <v>77</v>
      </c>
    </row>
    <row r="13162" spans="1:22">
      <c r="A13162" t="str">
        <f t="shared" si="2573"/>
        <v>27/11/2025</v>
      </c>
      <c r="B13162" t="str">
        <f t="shared" si="2574"/>
        <v>SAÍDA</v>
      </c>
      <c r="C13162" t="str">
        <f t="shared" si="2575"/>
        <v>PIX</v>
      </c>
      <c r="D13162" t="str">
        <f>"25989"</f>
        <v>25989</v>
      </c>
      <c r="E13162" t="str">
        <f t="shared" si="2578"/>
        <v>1</v>
      </c>
      <c r="F13162" t="str">
        <f t="shared" si="2579"/>
        <v>COM</v>
      </c>
      <c r="G13162" t="str">
        <f>"JOCIMAR VAZ FERREIRA (197)"</f>
        <v>JOCIMAR VAZ FERREIRA (197)</v>
      </c>
      <c r="H13162" t="s">
        <v>3588</v>
      </c>
      <c r="I13162" t="str">
        <f t="shared" si="2576"/>
        <v>27/11/2025</v>
      </c>
      <c r="J13162" t="str">
        <f t="shared" si="2577"/>
        <v>24/11/2025</v>
      </c>
      <c r="K13162">
        <v>45988</v>
      </c>
      <c r="N13162">
        <v>109</v>
      </c>
      <c r="O13162" t="s">
        <v>24</v>
      </c>
      <c r="Q13162">
        <v>1038</v>
      </c>
      <c r="R13162" t="str">
        <f>"DROGARIA VAZ (10179)"</f>
        <v>DROGARIA VAZ (10179)</v>
      </c>
      <c r="S13162" t="s">
        <v>77</v>
      </c>
      <c r="T13162">
        <v>22702</v>
      </c>
      <c r="U13162">
        <v>25989</v>
      </c>
      <c r="V13162" t="s">
        <v>77</v>
      </c>
    </row>
    <row r="13163" spans="1:22">
      <c r="A13163" t="str">
        <f t="shared" si="2573"/>
        <v>27/11/2025</v>
      </c>
      <c r="B13163" t="str">
        <f t="shared" si="2574"/>
        <v>SAÍDA</v>
      </c>
      <c r="C13163" t="str">
        <f t="shared" si="2575"/>
        <v>PIX</v>
      </c>
      <c r="D13163" t="str">
        <f>"25991"</f>
        <v>25991</v>
      </c>
      <c r="E13163" t="str">
        <f t="shared" si="2578"/>
        <v>1</v>
      </c>
      <c r="F13163" t="str">
        <f t="shared" si="2579"/>
        <v>COM</v>
      </c>
      <c r="G13163" t="str">
        <f>"ARLINDO COSTA FELIX (754)"</f>
        <v>ARLINDO COSTA FELIX (754)</v>
      </c>
      <c r="H13163" t="str">
        <f>"Serv.Prest. 17/11/2025 a 23/11/2025 - PIX: CPF - CHAVE: 103.983.366-79"</f>
        <v>Serv.Prest. 17/11/2025 a 23/11/2025 - PIX: CPF - CHAVE: 103.983.366-79</v>
      </c>
      <c r="I13163" t="str">
        <f t="shared" si="2576"/>
        <v>27/11/2025</v>
      </c>
      <c r="J13163" t="str">
        <f t="shared" si="2577"/>
        <v>24/11/2025</v>
      </c>
      <c r="K13163" t="str">
        <f>("27/11/2025")</f>
        <v>27/11/2025</v>
      </c>
      <c r="L13163">
        <v>1104</v>
      </c>
      <c r="M13163">
        <v>1104</v>
      </c>
      <c r="N13163">
        <v>109</v>
      </c>
      <c r="O13163" t="str">
        <f>"PAGAMENTO DE ENTREGADORES"</f>
        <v>PAGAMENTO DE ENTREGADORES</v>
      </c>
      <c r="P13163">
        <v>1104</v>
      </c>
      <c r="S13163" t="str">
        <f>"BANCO C6 (149)"</f>
        <v>BANCO C6 (149)</v>
      </c>
      <c r="T13163">
        <v>22703</v>
      </c>
      <c r="U13163">
        <v>25991</v>
      </c>
      <c r="V13163" t="s">
        <v>77</v>
      </c>
    </row>
    <row r="13164" spans="1:22">
      <c r="A13164" t="str">
        <f t="shared" si="2573"/>
        <v>27/11/2025</v>
      </c>
      <c r="B13164" t="str">
        <f t="shared" si="2574"/>
        <v>SAÍDA</v>
      </c>
      <c r="C13164" t="str">
        <f t="shared" si="2575"/>
        <v>PIX</v>
      </c>
      <c r="D13164" t="str">
        <f>"25991"</f>
        <v>25991</v>
      </c>
      <c r="E13164" t="str">
        <f t="shared" si="2578"/>
        <v>1</v>
      </c>
      <c r="F13164" t="str">
        <f t="shared" si="2579"/>
        <v>COM</v>
      </c>
      <c r="G13164" t="str">
        <f>"ARLINDO COSTA FELIX (754)"</f>
        <v>ARLINDO COSTA FELIX (754)</v>
      </c>
      <c r="H13164" t="s">
        <v>3589</v>
      </c>
      <c r="I13164" t="str">
        <f t="shared" si="2576"/>
        <v>27/11/2025</v>
      </c>
      <c r="J13164" t="str">
        <f t="shared" si="2577"/>
        <v>24/11/2025</v>
      </c>
      <c r="K13164">
        <v>45988</v>
      </c>
      <c r="N13164">
        <v>109</v>
      </c>
      <c r="O13164" t="s">
        <v>24</v>
      </c>
      <c r="Q13164">
        <v>1104</v>
      </c>
      <c r="R13164" t="str">
        <f>"ENTREFARMA (10164)"</f>
        <v>ENTREFARMA (10164)</v>
      </c>
      <c r="S13164" t="s">
        <v>77</v>
      </c>
      <c r="T13164">
        <v>22703</v>
      </c>
      <c r="U13164">
        <v>25991</v>
      </c>
      <c r="V13164" t="s">
        <v>77</v>
      </c>
    </row>
    <row r="13165" spans="1:22">
      <c r="A13165" t="str">
        <f t="shared" si="2573"/>
        <v>27/11/2025</v>
      </c>
      <c r="B13165" t="str">
        <f t="shared" si="2574"/>
        <v>SAÍDA</v>
      </c>
      <c r="C13165" t="str">
        <f t="shared" si="2575"/>
        <v>PIX</v>
      </c>
      <c r="D13165" t="str">
        <f>"25992"</f>
        <v>25992</v>
      </c>
      <c r="E13165" t="str">
        <f t="shared" si="2578"/>
        <v>1</v>
      </c>
      <c r="F13165" t="str">
        <f t="shared" si="2579"/>
        <v>COM</v>
      </c>
      <c r="G13165" t="str">
        <f>"LEONICIO CORREA DA SILVA (716)"</f>
        <v>LEONICIO CORREA DA SILVA (716)</v>
      </c>
      <c r="H13165" t="str">
        <f>"Serv.Prest. 17/11/2025 a 23/11/2025 - PIX: CPF - CHAVE: 138.263.636-98"</f>
        <v>Serv.Prest. 17/11/2025 a 23/11/2025 - PIX: CPF - CHAVE: 138.263.636-98</v>
      </c>
      <c r="I13165" t="str">
        <f t="shared" si="2576"/>
        <v>27/11/2025</v>
      </c>
      <c r="J13165" t="str">
        <f t="shared" si="2577"/>
        <v>24/11/2025</v>
      </c>
      <c r="K13165" t="str">
        <f>("27/11/2025")</f>
        <v>27/11/2025</v>
      </c>
      <c r="L13165">
        <v>1230</v>
      </c>
      <c r="M13165">
        <v>1230</v>
      </c>
      <c r="N13165">
        <v>109</v>
      </c>
      <c r="O13165" t="str">
        <f>"PAGAMENTO DE ENTREGADORES"</f>
        <v>PAGAMENTO DE ENTREGADORES</v>
      </c>
      <c r="P13165">
        <v>1230</v>
      </c>
      <c r="S13165" t="str">
        <f>"BANCO C6 (149)"</f>
        <v>BANCO C6 (149)</v>
      </c>
      <c r="T13165">
        <v>22704</v>
      </c>
      <c r="U13165">
        <v>25992</v>
      </c>
      <c r="V13165" t="s">
        <v>77</v>
      </c>
    </row>
    <row r="13166" spans="1:22">
      <c r="A13166" t="str">
        <f t="shared" si="2573"/>
        <v>27/11/2025</v>
      </c>
      <c r="B13166" t="str">
        <f t="shared" si="2574"/>
        <v>SAÍDA</v>
      </c>
      <c r="C13166" t="str">
        <f t="shared" si="2575"/>
        <v>PIX</v>
      </c>
      <c r="D13166" t="str">
        <f>"25992"</f>
        <v>25992</v>
      </c>
      <c r="E13166" t="str">
        <f t="shared" si="2578"/>
        <v>1</v>
      </c>
      <c r="F13166" t="str">
        <f t="shared" si="2579"/>
        <v>COM</v>
      </c>
      <c r="G13166" t="str">
        <f>"LEONICIO CORREA DA SILVA (716)"</f>
        <v>LEONICIO CORREA DA SILVA (716)</v>
      </c>
      <c r="H13166" t="s">
        <v>3590</v>
      </c>
      <c r="I13166" t="str">
        <f t="shared" si="2576"/>
        <v>27/11/2025</v>
      </c>
      <c r="J13166" t="str">
        <f t="shared" si="2577"/>
        <v>24/11/2025</v>
      </c>
      <c r="K13166">
        <v>45988</v>
      </c>
      <c r="N13166">
        <v>109</v>
      </c>
      <c r="O13166" t="s">
        <v>24</v>
      </c>
      <c r="Q13166">
        <v>1230</v>
      </c>
      <c r="R13166" t="str">
        <f>"ENTREFARMA (10164)"</f>
        <v>ENTREFARMA (10164)</v>
      </c>
      <c r="S13166" t="s">
        <v>77</v>
      </c>
      <c r="T13166">
        <v>22704</v>
      </c>
      <c r="U13166">
        <v>25992</v>
      </c>
      <c r="V13166" t="s">
        <v>77</v>
      </c>
    </row>
    <row r="13167" spans="1:22">
      <c r="A13167" t="str">
        <f t="shared" si="2573"/>
        <v>27/11/2025</v>
      </c>
      <c r="B13167" t="str">
        <f t="shared" si="2574"/>
        <v>SAÍDA</v>
      </c>
      <c r="C13167" t="str">
        <f t="shared" si="2575"/>
        <v>PIX</v>
      </c>
      <c r="D13167" t="str">
        <f>"25993"</f>
        <v>25993</v>
      </c>
      <c r="E13167" t="str">
        <f t="shared" si="2578"/>
        <v>1</v>
      </c>
      <c r="F13167" t="str">
        <f t="shared" si="2579"/>
        <v>COM</v>
      </c>
      <c r="G13167" t="str">
        <f>"SADRAK ENOKES BORGES (725)"</f>
        <v>SADRAK ENOKES BORGES (725)</v>
      </c>
      <c r="H13167" t="str">
        <f>"Serv.Prest. 17/11/2025 a 23/11/2025 - PIX: CPF - CHAVE: 128.367.756-37"</f>
        <v>Serv.Prest. 17/11/2025 a 23/11/2025 - PIX: CPF - CHAVE: 128.367.756-37</v>
      </c>
      <c r="I13167" t="str">
        <f t="shared" si="2576"/>
        <v>27/11/2025</v>
      </c>
      <c r="J13167" t="str">
        <f t="shared" si="2577"/>
        <v>24/11/2025</v>
      </c>
      <c r="K13167" t="str">
        <f>("27/11/2025")</f>
        <v>27/11/2025</v>
      </c>
      <c r="L13167">
        <v>1062</v>
      </c>
      <c r="M13167">
        <v>1062</v>
      </c>
      <c r="N13167">
        <v>109</v>
      </c>
      <c r="O13167" t="str">
        <f>"PAGAMENTO DE ENTREGADORES"</f>
        <v>PAGAMENTO DE ENTREGADORES</v>
      </c>
      <c r="P13167">
        <v>1062</v>
      </c>
      <c r="S13167" t="str">
        <f>"BANCO C6 (149)"</f>
        <v>BANCO C6 (149)</v>
      </c>
      <c r="T13167">
        <v>22705</v>
      </c>
      <c r="U13167">
        <v>25993</v>
      </c>
      <c r="V13167" t="s">
        <v>77</v>
      </c>
    </row>
    <row r="13168" spans="1:22">
      <c r="A13168" t="str">
        <f t="shared" si="2573"/>
        <v>27/11/2025</v>
      </c>
      <c r="B13168" t="str">
        <f t="shared" si="2574"/>
        <v>SAÍDA</v>
      </c>
      <c r="C13168" t="str">
        <f t="shared" si="2575"/>
        <v>PIX</v>
      </c>
      <c r="D13168" t="str">
        <f>"25993"</f>
        <v>25993</v>
      </c>
      <c r="E13168" t="str">
        <f t="shared" si="2578"/>
        <v>1</v>
      </c>
      <c r="F13168" t="str">
        <f t="shared" si="2579"/>
        <v>COM</v>
      </c>
      <c r="G13168" t="str">
        <f>"SADRAK ENOKES BORGES (725)"</f>
        <v>SADRAK ENOKES BORGES (725)</v>
      </c>
      <c r="H13168" t="s">
        <v>3591</v>
      </c>
      <c r="I13168" t="str">
        <f t="shared" si="2576"/>
        <v>27/11/2025</v>
      </c>
      <c r="J13168" t="str">
        <f t="shared" si="2577"/>
        <v>24/11/2025</v>
      </c>
      <c r="K13168">
        <v>45988</v>
      </c>
      <c r="N13168">
        <v>109</v>
      </c>
      <c r="O13168" t="s">
        <v>24</v>
      </c>
      <c r="Q13168">
        <v>1062</v>
      </c>
      <c r="R13168" t="str">
        <f>"ENTREFARMA (10164)"</f>
        <v>ENTREFARMA (10164)</v>
      </c>
      <c r="S13168" t="s">
        <v>77</v>
      </c>
      <c r="T13168">
        <v>22705</v>
      </c>
      <c r="U13168">
        <v>25993</v>
      </c>
      <c r="V13168" t="s">
        <v>77</v>
      </c>
    </row>
    <row r="13169" spans="1:22">
      <c r="A13169" t="str">
        <f t="shared" si="2573"/>
        <v>27/11/2025</v>
      </c>
      <c r="B13169" t="str">
        <f t="shared" si="2574"/>
        <v>SAÍDA</v>
      </c>
      <c r="C13169" t="str">
        <f t="shared" si="2575"/>
        <v>PIX</v>
      </c>
      <c r="D13169" t="str">
        <f>"25994"</f>
        <v>25994</v>
      </c>
      <c r="E13169" t="str">
        <f t="shared" si="2578"/>
        <v>1</v>
      </c>
      <c r="F13169" t="str">
        <f t="shared" si="2579"/>
        <v>COM</v>
      </c>
      <c r="G13169" t="str">
        <f>"WENDERSON GOMES (708)"</f>
        <v>WENDERSON GOMES (708)</v>
      </c>
      <c r="H13169" t="str">
        <f>"Serv.Prest. 17/11/2025 a 23/11/2025 - PIX: CPF - CHAVE: 147.592.156-03"</f>
        <v>Serv.Prest. 17/11/2025 a 23/11/2025 - PIX: CPF - CHAVE: 147.592.156-03</v>
      </c>
      <c r="I13169" t="str">
        <f t="shared" si="2576"/>
        <v>27/11/2025</v>
      </c>
      <c r="J13169" t="str">
        <f t="shared" si="2577"/>
        <v>24/11/2025</v>
      </c>
      <c r="K13169" t="str">
        <f>("27/11/2025")</f>
        <v>27/11/2025</v>
      </c>
      <c r="L13169">
        <v>1248</v>
      </c>
      <c r="M13169">
        <v>1248</v>
      </c>
      <c r="N13169">
        <v>109</v>
      </c>
      <c r="O13169" t="str">
        <f>"PAGAMENTO DE ENTREGADORES"</f>
        <v>PAGAMENTO DE ENTREGADORES</v>
      </c>
      <c r="P13169">
        <v>1248</v>
      </c>
      <c r="S13169" t="str">
        <f>"BANCO C6 (149)"</f>
        <v>BANCO C6 (149)</v>
      </c>
      <c r="T13169">
        <v>22706</v>
      </c>
      <c r="U13169">
        <v>25994</v>
      </c>
      <c r="V13169" t="s">
        <v>77</v>
      </c>
    </row>
    <row r="13170" spans="1:22">
      <c r="A13170" t="str">
        <f t="shared" si="2573"/>
        <v>27/11/2025</v>
      </c>
      <c r="B13170" t="str">
        <f t="shared" si="2574"/>
        <v>SAÍDA</v>
      </c>
      <c r="C13170" t="str">
        <f t="shared" si="2575"/>
        <v>PIX</v>
      </c>
      <c r="D13170" t="str">
        <f>"25994"</f>
        <v>25994</v>
      </c>
      <c r="E13170" t="str">
        <f t="shared" si="2578"/>
        <v>1</v>
      </c>
      <c r="F13170" t="str">
        <f t="shared" si="2579"/>
        <v>COM</v>
      </c>
      <c r="G13170" t="str">
        <f>"WENDERSON GOMES (708)"</f>
        <v>WENDERSON GOMES (708)</v>
      </c>
      <c r="H13170" t="s">
        <v>3592</v>
      </c>
      <c r="I13170" t="str">
        <f t="shared" si="2576"/>
        <v>27/11/2025</v>
      </c>
      <c r="J13170" t="str">
        <f t="shared" si="2577"/>
        <v>24/11/2025</v>
      </c>
      <c r="K13170">
        <v>45988</v>
      </c>
      <c r="N13170">
        <v>109</v>
      </c>
      <c r="O13170" t="s">
        <v>24</v>
      </c>
      <c r="Q13170">
        <v>1248</v>
      </c>
      <c r="R13170" t="str">
        <f>"ENTREFARMA (10164)"</f>
        <v>ENTREFARMA (10164)</v>
      </c>
      <c r="S13170" t="s">
        <v>77</v>
      </c>
      <c r="T13170">
        <v>22706</v>
      </c>
      <c r="U13170">
        <v>25994</v>
      </c>
      <c r="V13170" t="s">
        <v>77</v>
      </c>
    </row>
    <row r="13171" spans="1:22">
      <c r="A13171" t="str">
        <f t="shared" ref="A13171:A13234" si="2580">("27/11/2025")</f>
        <v>27/11/2025</v>
      </c>
      <c r="B13171" t="str">
        <f t="shared" ref="B13171:B13234" si="2581">"SAÍDA"</f>
        <v>SAÍDA</v>
      </c>
      <c r="C13171" t="str">
        <f t="shared" ref="C13171:C13234" si="2582">"PIX"</f>
        <v>PIX</v>
      </c>
      <c r="D13171" t="str">
        <f>"25996"</f>
        <v>25996</v>
      </c>
      <c r="E13171" t="str">
        <f t="shared" si="2578"/>
        <v>1</v>
      </c>
      <c r="F13171" t="str">
        <f t="shared" si="2579"/>
        <v>COM</v>
      </c>
      <c r="G13171" t="str">
        <f>"FABRICIO QUEIROZ DE OLIVEIRA (788)"</f>
        <v>FABRICIO QUEIROZ DE OLIVEIRA (788)</v>
      </c>
      <c r="H13171" t="str">
        <f>"Serv.Prest. 17/11/2025 a 23/11/2025 - PIX: CPF - CHAVE: 138.798.486-10"</f>
        <v>Serv.Prest. 17/11/2025 a 23/11/2025 - PIX: CPF - CHAVE: 138.798.486-10</v>
      </c>
      <c r="I13171" t="str">
        <f t="shared" ref="I13171:I13234" si="2583">("27/11/2025")</f>
        <v>27/11/2025</v>
      </c>
      <c r="J13171" t="str">
        <f t="shared" si="2577"/>
        <v>24/11/2025</v>
      </c>
      <c r="K13171" t="str">
        <f>("27/11/2025")</f>
        <v>27/11/2025</v>
      </c>
      <c r="L13171">
        <v>700</v>
      </c>
      <c r="M13171">
        <v>700</v>
      </c>
      <c r="N13171">
        <v>109</v>
      </c>
      <c r="O13171" t="str">
        <f>"PAGAMENTO DE ENTREGADORES"</f>
        <v>PAGAMENTO DE ENTREGADORES</v>
      </c>
      <c r="P13171">
        <v>700</v>
      </c>
      <c r="S13171" t="str">
        <f>"BANCO C6 (149)"</f>
        <v>BANCO C6 (149)</v>
      </c>
      <c r="T13171">
        <v>22707</v>
      </c>
      <c r="U13171">
        <v>25996</v>
      </c>
      <c r="V13171" t="s">
        <v>77</v>
      </c>
    </row>
    <row r="13172" spans="1:22">
      <c r="A13172" t="str">
        <f t="shared" si="2580"/>
        <v>27/11/2025</v>
      </c>
      <c r="B13172" t="str">
        <f t="shared" si="2581"/>
        <v>SAÍDA</v>
      </c>
      <c r="C13172" t="str">
        <f t="shared" si="2582"/>
        <v>PIX</v>
      </c>
      <c r="D13172" t="str">
        <f>"25996"</f>
        <v>25996</v>
      </c>
      <c r="E13172" t="str">
        <f t="shared" si="2578"/>
        <v>1</v>
      </c>
      <c r="F13172" t="str">
        <f t="shared" si="2579"/>
        <v>COM</v>
      </c>
      <c r="G13172" t="str">
        <f>"FABRICIO QUEIROZ DE OLIVEIRA (788)"</f>
        <v>FABRICIO QUEIROZ DE OLIVEIRA (788)</v>
      </c>
      <c r="H13172" t="s">
        <v>3593</v>
      </c>
      <c r="I13172" t="str">
        <f t="shared" si="2583"/>
        <v>27/11/2025</v>
      </c>
      <c r="J13172" t="str">
        <f t="shared" si="2577"/>
        <v>24/11/2025</v>
      </c>
      <c r="K13172">
        <v>45988</v>
      </c>
      <c r="N13172">
        <v>109</v>
      </c>
      <c r="O13172" t="s">
        <v>24</v>
      </c>
      <c r="Q13172">
        <v>592.34</v>
      </c>
      <c r="R13172" t="str">
        <f>"FRAN FARMA LJ 2 (10131)"</f>
        <v>FRAN FARMA LJ 2 (10131)</v>
      </c>
      <c r="S13172" t="s">
        <v>77</v>
      </c>
      <c r="T13172">
        <v>22707</v>
      </c>
      <c r="U13172">
        <v>25996</v>
      </c>
      <c r="V13172" t="s">
        <v>77</v>
      </c>
    </row>
    <row r="13173" spans="1:22">
      <c r="A13173" t="str">
        <f t="shared" si="2580"/>
        <v>27/11/2025</v>
      </c>
      <c r="B13173" t="str">
        <f t="shared" si="2581"/>
        <v>SAÍDA</v>
      </c>
      <c r="C13173" t="str">
        <f t="shared" si="2582"/>
        <v>PIX</v>
      </c>
      <c r="D13173" t="str">
        <f>"25996"</f>
        <v>25996</v>
      </c>
      <c r="E13173" t="str">
        <f t="shared" si="2578"/>
        <v>1</v>
      </c>
      <c r="F13173" t="str">
        <f t="shared" si="2579"/>
        <v>COM</v>
      </c>
      <c r="G13173" t="str">
        <f>"FABRICIO QUEIROZ DE OLIVEIRA (788)"</f>
        <v>FABRICIO QUEIROZ DE OLIVEIRA (788)</v>
      </c>
      <c r="H13173" t="s">
        <v>3593</v>
      </c>
      <c r="I13173" t="str">
        <f t="shared" si="2583"/>
        <v>27/11/2025</v>
      </c>
      <c r="J13173" t="str">
        <f t="shared" ref="J13173:J13236" si="2584">("24/11/2025")</f>
        <v>24/11/2025</v>
      </c>
      <c r="K13173">
        <v>45988</v>
      </c>
      <c r="N13173">
        <v>109</v>
      </c>
      <c r="O13173" t="s">
        <v>24</v>
      </c>
      <c r="Q13173">
        <v>107.66</v>
      </c>
      <c r="R13173" t="str">
        <f>"FRAN FARMA LJ 3 (10132)"</f>
        <v>FRAN FARMA LJ 3 (10132)</v>
      </c>
      <c r="S13173" t="s">
        <v>77</v>
      </c>
      <c r="T13173">
        <v>22707</v>
      </c>
      <c r="U13173">
        <v>25996</v>
      </c>
      <c r="V13173" t="s">
        <v>77</v>
      </c>
    </row>
    <row r="13174" spans="1:22">
      <c r="A13174" t="str">
        <f t="shared" si="2580"/>
        <v>27/11/2025</v>
      </c>
      <c r="B13174" t="str">
        <f t="shared" si="2581"/>
        <v>SAÍDA</v>
      </c>
      <c r="C13174" t="str">
        <f t="shared" si="2582"/>
        <v>PIX</v>
      </c>
      <c r="D13174" t="str">
        <f>"25999"</f>
        <v>25999</v>
      </c>
      <c r="E13174" t="str">
        <f t="shared" si="2578"/>
        <v>1</v>
      </c>
      <c r="F13174" t="str">
        <f t="shared" si="2579"/>
        <v>COM</v>
      </c>
      <c r="G13174" t="str">
        <f>"MATHEUS DA ROCHA GOMES (1002)"</f>
        <v>MATHEUS DA ROCHA GOMES (1002)</v>
      </c>
      <c r="H13174" t="str">
        <f>"Serv.Prest. 17/11/2025 a 23/11/2025 - PIX: CPF - CHAVE: 469.543.578-04"</f>
        <v>Serv.Prest. 17/11/2025 a 23/11/2025 - PIX: CPF - CHAVE: 469.543.578-04</v>
      </c>
      <c r="I13174" t="str">
        <f t="shared" si="2583"/>
        <v>27/11/2025</v>
      </c>
      <c r="J13174" t="str">
        <f t="shared" si="2584"/>
        <v>24/11/2025</v>
      </c>
      <c r="K13174" t="str">
        <f>("27/11/2025")</f>
        <v>27/11/2025</v>
      </c>
      <c r="L13174">
        <v>1325</v>
      </c>
      <c r="M13174">
        <v>1325</v>
      </c>
      <c r="N13174">
        <v>109</v>
      </c>
      <c r="O13174" t="str">
        <f>"PAGAMENTO DE ENTREGADORES"</f>
        <v>PAGAMENTO DE ENTREGADORES</v>
      </c>
      <c r="P13174">
        <v>1325</v>
      </c>
      <c r="S13174" t="str">
        <f>"BANCO C6 (149)"</f>
        <v>BANCO C6 (149)</v>
      </c>
      <c r="T13174">
        <v>22708</v>
      </c>
      <c r="U13174">
        <v>25999</v>
      </c>
      <c r="V13174" t="s">
        <v>77</v>
      </c>
    </row>
    <row r="13175" spans="1:22">
      <c r="A13175" t="str">
        <f t="shared" si="2580"/>
        <v>27/11/2025</v>
      </c>
      <c r="B13175" t="str">
        <f t="shared" si="2581"/>
        <v>SAÍDA</v>
      </c>
      <c r="C13175" t="str">
        <f t="shared" si="2582"/>
        <v>PIX</v>
      </c>
      <c r="D13175" t="str">
        <f>"25999"</f>
        <v>25999</v>
      </c>
      <c r="E13175" t="str">
        <f t="shared" si="2578"/>
        <v>1</v>
      </c>
      <c r="F13175" t="str">
        <f t="shared" si="2579"/>
        <v>COM</v>
      </c>
      <c r="G13175" t="str">
        <f>"MATHEUS DA ROCHA GOMES (1002)"</f>
        <v>MATHEUS DA ROCHA GOMES (1002)</v>
      </c>
      <c r="H13175" t="s">
        <v>3594</v>
      </c>
      <c r="I13175" t="str">
        <f t="shared" si="2583"/>
        <v>27/11/2025</v>
      </c>
      <c r="J13175" t="str">
        <f t="shared" si="2584"/>
        <v>24/11/2025</v>
      </c>
      <c r="K13175">
        <v>45988</v>
      </c>
      <c r="N13175">
        <v>109</v>
      </c>
      <c r="O13175" t="s">
        <v>24</v>
      </c>
      <c r="Q13175">
        <v>441.62</v>
      </c>
      <c r="R13175" t="str">
        <f>"PENSE FARMA 31 (10205)"</f>
        <v>PENSE FARMA 31 (10205)</v>
      </c>
      <c r="S13175" t="s">
        <v>77</v>
      </c>
      <c r="T13175">
        <v>22708</v>
      </c>
      <c r="U13175">
        <v>25999</v>
      </c>
      <c r="V13175" t="s">
        <v>77</v>
      </c>
    </row>
    <row r="13176" spans="1:22">
      <c r="A13176" t="str">
        <f t="shared" si="2580"/>
        <v>27/11/2025</v>
      </c>
      <c r="B13176" t="str">
        <f t="shared" si="2581"/>
        <v>SAÍDA</v>
      </c>
      <c r="C13176" t="str">
        <f t="shared" si="2582"/>
        <v>PIX</v>
      </c>
      <c r="D13176" t="str">
        <f>"25999"</f>
        <v>25999</v>
      </c>
      <c r="E13176" t="str">
        <f t="shared" si="2578"/>
        <v>1</v>
      </c>
      <c r="F13176" t="str">
        <f t="shared" si="2579"/>
        <v>COM</v>
      </c>
      <c r="G13176" t="str">
        <f>"MATHEUS DA ROCHA GOMES (1002)"</f>
        <v>MATHEUS DA ROCHA GOMES (1002)</v>
      </c>
      <c r="H13176" t="s">
        <v>3594</v>
      </c>
      <c r="I13176" t="str">
        <f t="shared" si="2583"/>
        <v>27/11/2025</v>
      </c>
      <c r="J13176" t="str">
        <f t="shared" si="2584"/>
        <v>24/11/2025</v>
      </c>
      <c r="K13176">
        <v>45988</v>
      </c>
      <c r="N13176">
        <v>109</v>
      </c>
      <c r="O13176" t="s">
        <v>24</v>
      </c>
      <c r="Q13176">
        <v>441.62</v>
      </c>
      <c r="R13176" t="str">
        <f>"PENSE FARMA 16 (10221)"</f>
        <v>PENSE FARMA 16 (10221)</v>
      </c>
      <c r="S13176" t="s">
        <v>77</v>
      </c>
      <c r="T13176">
        <v>22708</v>
      </c>
      <c r="U13176">
        <v>25999</v>
      </c>
      <c r="V13176" t="s">
        <v>77</v>
      </c>
    </row>
    <row r="13177" spans="1:22">
      <c r="A13177" t="str">
        <f t="shared" si="2580"/>
        <v>27/11/2025</v>
      </c>
      <c r="B13177" t="str">
        <f t="shared" si="2581"/>
        <v>SAÍDA</v>
      </c>
      <c r="C13177" t="str">
        <f t="shared" si="2582"/>
        <v>PIX</v>
      </c>
      <c r="D13177" t="str">
        <f>"25999"</f>
        <v>25999</v>
      </c>
      <c r="E13177" t="str">
        <f t="shared" si="2578"/>
        <v>1</v>
      </c>
      <c r="F13177" t="str">
        <f t="shared" si="2579"/>
        <v>COM</v>
      </c>
      <c r="G13177" t="str">
        <f>"MATHEUS DA ROCHA GOMES (1002)"</f>
        <v>MATHEUS DA ROCHA GOMES (1002)</v>
      </c>
      <c r="H13177" t="s">
        <v>3594</v>
      </c>
      <c r="I13177" t="str">
        <f t="shared" si="2583"/>
        <v>27/11/2025</v>
      </c>
      <c r="J13177" t="str">
        <f t="shared" si="2584"/>
        <v>24/11/2025</v>
      </c>
      <c r="K13177">
        <v>45988</v>
      </c>
      <c r="N13177">
        <v>109</v>
      </c>
      <c r="O13177" t="s">
        <v>24</v>
      </c>
      <c r="Q13177">
        <v>441.76</v>
      </c>
      <c r="R13177" t="str">
        <f>"PENSE FARMA 17 (10222)"</f>
        <v>PENSE FARMA 17 (10222)</v>
      </c>
      <c r="S13177" t="s">
        <v>77</v>
      </c>
      <c r="T13177">
        <v>22708</v>
      </c>
      <c r="U13177">
        <v>25999</v>
      </c>
      <c r="V13177" t="s">
        <v>77</v>
      </c>
    </row>
    <row r="13178" spans="1:22">
      <c r="A13178" t="str">
        <f t="shared" si="2580"/>
        <v>27/11/2025</v>
      </c>
      <c r="B13178" t="str">
        <f t="shared" si="2581"/>
        <v>SAÍDA</v>
      </c>
      <c r="C13178" t="str">
        <f t="shared" si="2582"/>
        <v>PIX</v>
      </c>
      <c r="D13178" t="str">
        <f>"26001"</f>
        <v>26001</v>
      </c>
      <c r="E13178" t="str">
        <f t="shared" si="2578"/>
        <v>1</v>
      </c>
      <c r="F13178" t="str">
        <f t="shared" si="2579"/>
        <v>COM</v>
      </c>
      <c r="G13178" t="str">
        <f>"MARCOS VINICIUS CORREIA JULI??O (1001)"</f>
        <v>MARCOS VINICIUS CORREIA JULI??O (1001)</v>
      </c>
      <c r="H13178" t="str">
        <f>"Serv.Prest. 17/11/2025 a 23/11/2025 - PIX: CELULAR - CHAVE: (11) 98144-5840"</f>
        <v>Serv.Prest. 17/11/2025 a 23/11/2025 - PIX: CELULAR - CHAVE: (11) 98144-5840</v>
      </c>
      <c r="I13178" t="str">
        <f t="shared" si="2583"/>
        <v>27/11/2025</v>
      </c>
      <c r="J13178" t="str">
        <f t="shared" si="2584"/>
        <v>24/11/2025</v>
      </c>
      <c r="K13178" t="str">
        <f>("27/11/2025")</f>
        <v>27/11/2025</v>
      </c>
      <c r="L13178">
        <v>982.15</v>
      </c>
      <c r="M13178">
        <v>982.15</v>
      </c>
      <c r="N13178">
        <v>109</v>
      </c>
      <c r="O13178" t="str">
        <f>"PAGAMENTO DE ENTREGADORES"</f>
        <v>PAGAMENTO DE ENTREGADORES</v>
      </c>
      <c r="P13178">
        <v>982.15</v>
      </c>
      <c r="S13178" t="str">
        <f>"BANCO C6 (149)"</f>
        <v>BANCO C6 (149)</v>
      </c>
      <c r="T13178">
        <v>22709</v>
      </c>
      <c r="U13178">
        <v>26001</v>
      </c>
      <c r="V13178" t="s">
        <v>77</v>
      </c>
    </row>
    <row r="13179" spans="1:22">
      <c r="A13179" t="str">
        <f t="shared" si="2580"/>
        <v>27/11/2025</v>
      </c>
      <c r="B13179" t="str">
        <f t="shared" si="2581"/>
        <v>SAÍDA</v>
      </c>
      <c r="C13179" t="str">
        <f t="shared" si="2582"/>
        <v>PIX</v>
      </c>
      <c r="D13179" t="str">
        <f>"26001"</f>
        <v>26001</v>
      </c>
      <c r="E13179" t="str">
        <f t="shared" si="2578"/>
        <v>1</v>
      </c>
      <c r="F13179" t="str">
        <f t="shared" si="2579"/>
        <v>COM</v>
      </c>
      <c r="G13179" t="str">
        <f>"MARCOS VINICIUS CORREIA JULI??O (1001)"</f>
        <v>MARCOS VINICIUS CORREIA JULI??O (1001)</v>
      </c>
      <c r="H13179" t="s">
        <v>3595</v>
      </c>
      <c r="I13179" t="str">
        <f t="shared" si="2583"/>
        <v>27/11/2025</v>
      </c>
      <c r="J13179" t="str">
        <f t="shared" si="2584"/>
        <v>24/11/2025</v>
      </c>
      <c r="K13179">
        <v>45988</v>
      </c>
      <c r="N13179">
        <v>109</v>
      </c>
      <c r="O13179" t="s">
        <v>24</v>
      </c>
      <c r="Q13179">
        <v>491.07</v>
      </c>
      <c r="R13179" t="str">
        <f>"PENSE FARMA 44 (10231)"</f>
        <v>PENSE FARMA 44 (10231)</v>
      </c>
      <c r="S13179" t="s">
        <v>77</v>
      </c>
      <c r="T13179">
        <v>22709</v>
      </c>
      <c r="U13179">
        <v>26001</v>
      </c>
      <c r="V13179" t="s">
        <v>77</v>
      </c>
    </row>
    <row r="13180" spans="1:22">
      <c r="A13180" t="str">
        <f t="shared" si="2580"/>
        <v>27/11/2025</v>
      </c>
      <c r="B13180" t="str">
        <f t="shared" si="2581"/>
        <v>SAÍDA</v>
      </c>
      <c r="C13180" t="str">
        <f t="shared" si="2582"/>
        <v>PIX</v>
      </c>
      <c r="D13180" t="str">
        <f>"26001"</f>
        <v>26001</v>
      </c>
      <c r="E13180" t="str">
        <f t="shared" si="2578"/>
        <v>1</v>
      </c>
      <c r="F13180" t="str">
        <f t="shared" si="2579"/>
        <v>COM</v>
      </c>
      <c r="G13180" t="str">
        <f>"MARCOS VINICIUS CORREIA JULI??O (1001)"</f>
        <v>MARCOS VINICIUS CORREIA JULI??O (1001)</v>
      </c>
      <c r="H13180" t="s">
        <v>3595</v>
      </c>
      <c r="I13180" t="str">
        <f t="shared" si="2583"/>
        <v>27/11/2025</v>
      </c>
      <c r="J13180" t="str">
        <f t="shared" si="2584"/>
        <v>24/11/2025</v>
      </c>
      <c r="K13180">
        <v>45988</v>
      </c>
      <c r="N13180">
        <v>109</v>
      </c>
      <c r="O13180" t="s">
        <v>24</v>
      </c>
      <c r="Q13180">
        <v>491.08</v>
      </c>
      <c r="R13180" t="str">
        <f>"PENSE FARMA 48 (10233)"</f>
        <v>PENSE FARMA 48 (10233)</v>
      </c>
      <c r="S13180" t="s">
        <v>77</v>
      </c>
      <c r="T13180">
        <v>22709</v>
      </c>
      <c r="U13180">
        <v>26001</v>
      </c>
      <c r="V13180" t="s">
        <v>77</v>
      </c>
    </row>
    <row r="13181" spans="1:22">
      <c r="A13181" t="str">
        <f t="shared" si="2580"/>
        <v>27/11/2025</v>
      </c>
      <c r="B13181" t="str">
        <f t="shared" si="2581"/>
        <v>SAÍDA</v>
      </c>
      <c r="C13181" t="str">
        <f t="shared" si="2582"/>
        <v>PIX</v>
      </c>
      <c r="D13181" t="str">
        <f>"26003"</f>
        <v>26003</v>
      </c>
      <c r="E13181" t="str">
        <f t="shared" si="2578"/>
        <v>1</v>
      </c>
      <c r="F13181" t="str">
        <f t="shared" si="2579"/>
        <v>COM</v>
      </c>
      <c r="G13181" t="str">
        <f>"VICTOR HUGO SOARES DE PAULA (1021)"</f>
        <v>VICTOR HUGO SOARES DE PAULA (1021)</v>
      </c>
      <c r="H13181" t="str">
        <f>"Serv.Prest. 17/11/2025 a 23/11/2025 - PIX: CELULAR - CHAVE: (11) 98281-4526"</f>
        <v>Serv.Prest. 17/11/2025 a 23/11/2025 - PIX: CELULAR - CHAVE: (11) 98281-4526</v>
      </c>
      <c r="I13181" t="str">
        <f t="shared" si="2583"/>
        <v>27/11/2025</v>
      </c>
      <c r="J13181" t="str">
        <f t="shared" si="2584"/>
        <v>24/11/2025</v>
      </c>
      <c r="K13181" t="str">
        <f>("27/11/2025")</f>
        <v>27/11/2025</v>
      </c>
      <c r="L13181">
        <v>1375</v>
      </c>
      <c r="M13181">
        <v>1375</v>
      </c>
      <c r="N13181">
        <v>109</v>
      </c>
      <c r="O13181" t="str">
        <f>"PAGAMENTO DE ENTREGADORES"</f>
        <v>PAGAMENTO DE ENTREGADORES</v>
      </c>
      <c r="P13181">
        <v>1375</v>
      </c>
      <c r="S13181" t="str">
        <f>"BANCO C6 (149)"</f>
        <v>BANCO C6 (149)</v>
      </c>
      <c r="T13181">
        <v>22710</v>
      </c>
      <c r="U13181">
        <v>26003</v>
      </c>
      <c r="V13181" t="s">
        <v>77</v>
      </c>
    </row>
    <row r="13182" spans="1:22">
      <c r="A13182" t="str">
        <f t="shared" si="2580"/>
        <v>27/11/2025</v>
      </c>
      <c r="B13182" t="str">
        <f t="shared" si="2581"/>
        <v>SAÍDA</v>
      </c>
      <c r="C13182" t="str">
        <f t="shared" si="2582"/>
        <v>PIX</v>
      </c>
      <c r="D13182" t="str">
        <f>"26003"</f>
        <v>26003</v>
      </c>
      <c r="E13182" t="str">
        <f t="shared" si="2578"/>
        <v>1</v>
      </c>
      <c r="F13182" t="str">
        <f t="shared" si="2579"/>
        <v>COM</v>
      </c>
      <c r="G13182" t="str">
        <f>"VICTOR HUGO SOARES DE PAULA (1021)"</f>
        <v>VICTOR HUGO SOARES DE PAULA (1021)</v>
      </c>
      <c r="H13182" t="s">
        <v>3596</v>
      </c>
      <c r="I13182" t="str">
        <f t="shared" si="2583"/>
        <v>27/11/2025</v>
      </c>
      <c r="J13182" t="str">
        <f t="shared" si="2584"/>
        <v>24/11/2025</v>
      </c>
      <c r="K13182">
        <v>45988</v>
      </c>
      <c r="N13182">
        <v>109</v>
      </c>
      <c r="O13182" t="s">
        <v>24</v>
      </c>
      <c r="Q13182">
        <v>687.5</v>
      </c>
      <c r="R13182" t="str">
        <f>"PENSE FARMA 44 (10231)"</f>
        <v>PENSE FARMA 44 (10231)</v>
      </c>
      <c r="S13182" t="s">
        <v>77</v>
      </c>
      <c r="T13182">
        <v>22710</v>
      </c>
      <c r="U13182">
        <v>26003</v>
      </c>
      <c r="V13182" t="s">
        <v>77</v>
      </c>
    </row>
    <row r="13183" spans="1:22">
      <c r="A13183" t="str">
        <f t="shared" si="2580"/>
        <v>27/11/2025</v>
      </c>
      <c r="B13183" t="str">
        <f t="shared" si="2581"/>
        <v>SAÍDA</v>
      </c>
      <c r="C13183" t="str">
        <f t="shared" si="2582"/>
        <v>PIX</v>
      </c>
      <c r="D13183" t="str">
        <f>"26003"</f>
        <v>26003</v>
      </c>
      <c r="E13183" t="str">
        <f t="shared" si="2578"/>
        <v>1</v>
      </c>
      <c r="F13183" t="str">
        <f t="shared" si="2579"/>
        <v>COM</v>
      </c>
      <c r="G13183" t="str">
        <f>"VICTOR HUGO SOARES DE PAULA (1021)"</f>
        <v>VICTOR HUGO SOARES DE PAULA (1021)</v>
      </c>
      <c r="H13183" t="s">
        <v>3596</v>
      </c>
      <c r="I13183" t="str">
        <f t="shared" si="2583"/>
        <v>27/11/2025</v>
      </c>
      <c r="J13183" t="str">
        <f t="shared" si="2584"/>
        <v>24/11/2025</v>
      </c>
      <c r="K13183">
        <v>45988</v>
      </c>
      <c r="N13183">
        <v>109</v>
      </c>
      <c r="O13183" t="s">
        <v>24</v>
      </c>
      <c r="Q13183">
        <v>687.5</v>
      </c>
      <c r="R13183" t="str">
        <f>"PENSE FARMA 48 (10233)"</f>
        <v>PENSE FARMA 48 (10233)</v>
      </c>
      <c r="S13183" t="s">
        <v>77</v>
      </c>
      <c r="T13183">
        <v>22710</v>
      </c>
      <c r="U13183">
        <v>26003</v>
      </c>
      <c r="V13183" t="s">
        <v>77</v>
      </c>
    </row>
    <row r="13184" spans="1:22">
      <c r="A13184" t="str">
        <f t="shared" si="2580"/>
        <v>27/11/2025</v>
      </c>
      <c r="B13184" t="str">
        <f t="shared" si="2581"/>
        <v>SAÍDA</v>
      </c>
      <c r="C13184" t="str">
        <f t="shared" si="2582"/>
        <v>PIX</v>
      </c>
      <c r="D13184" t="str">
        <f>"26005"</f>
        <v>26005</v>
      </c>
      <c r="E13184" t="str">
        <f t="shared" si="2578"/>
        <v>1</v>
      </c>
      <c r="F13184" t="str">
        <f t="shared" si="2579"/>
        <v>COM</v>
      </c>
      <c r="G13184" t="str">
        <f>"ANDREA VOLPONI (1004)"</f>
        <v>ANDREA VOLPONI (1004)</v>
      </c>
      <c r="H13184" t="str">
        <f>"Serv.Prest. 17/11/2025 a 23/11/2025 - PIX: CPF - CHAVE: 361.750.258-06"</f>
        <v>Serv.Prest. 17/11/2025 a 23/11/2025 - PIX: CPF - CHAVE: 361.750.258-06</v>
      </c>
      <c r="I13184" t="str">
        <f t="shared" si="2583"/>
        <v>27/11/2025</v>
      </c>
      <c r="J13184" t="str">
        <f t="shared" si="2584"/>
        <v>24/11/2025</v>
      </c>
      <c r="K13184" t="str">
        <f>("27/11/2025")</f>
        <v>27/11/2025</v>
      </c>
      <c r="L13184">
        <v>800</v>
      </c>
      <c r="M13184">
        <v>800</v>
      </c>
      <c r="N13184">
        <v>109</v>
      </c>
      <c r="O13184" t="str">
        <f>"PAGAMENTO DE ENTREGADORES"</f>
        <v>PAGAMENTO DE ENTREGADORES</v>
      </c>
      <c r="P13184">
        <v>800</v>
      </c>
      <c r="S13184" t="str">
        <f>"BANCO C6 (149)"</f>
        <v>BANCO C6 (149)</v>
      </c>
      <c r="T13184">
        <v>22711</v>
      </c>
      <c r="U13184">
        <v>26005</v>
      </c>
      <c r="V13184" t="s">
        <v>77</v>
      </c>
    </row>
    <row r="13185" spans="1:22">
      <c r="A13185" t="str">
        <f t="shared" si="2580"/>
        <v>27/11/2025</v>
      </c>
      <c r="B13185" t="str">
        <f t="shared" si="2581"/>
        <v>SAÍDA</v>
      </c>
      <c r="C13185" t="str">
        <f t="shared" si="2582"/>
        <v>PIX</v>
      </c>
      <c r="D13185" t="str">
        <f>"26005"</f>
        <v>26005</v>
      </c>
      <c r="E13185" t="str">
        <f t="shared" si="2578"/>
        <v>1</v>
      </c>
      <c r="F13185" t="str">
        <f t="shared" si="2579"/>
        <v>COM</v>
      </c>
      <c r="G13185" t="str">
        <f>"ANDREA VOLPONI (1004)"</f>
        <v>ANDREA VOLPONI (1004)</v>
      </c>
      <c r="H13185" t="s">
        <v>3597</v>
      </c>
      <c r="I13185" t="str">
        <f t="shared" si="2583"/>
        <v>27/11/2025</v>
      </c>
      <c r="J13185" t="str">
        <f t="shared" si="2584"/>
        <v>24/11/2025</v>
      </c>
      <c r="K13185">
        <v>45988</v>
      </c>
      <c r="N13185">
        <v>109</v>
      </c>
      <c r="O13185" t="s">
        <v>24</v>
      </c>
      <c r="Q13185">
        <v>800</v>
      </c>
      <c r="R13185" t="str">
        <f>"PENSE FARMA 19 (10223)"</f>
        <v>PENSE FARMA 19 (10223)</v>
      </c>
      <c r="S13185" t="s">
        <v>77</v>
      </c>
      <c r="T13185">
        <v>22711</v>
      </c>
      <c r="U13185">
        <v>26005</v>
      </c>
      <c r="V13185" t="s">
        <v>77</v>
      </c>
    </row>
    <row r="13186" spans="1:22">
      <c r="A13186" t="str">
        <f t="shared" si="2580"/>
        <v>27/11/2025</v>
      </c>
      <c r="B13186" t="str">
        <f t="shared" si="2581"/>
        <v>SAÍDA</v>
      </c>
      <c r="C13186" t="str">
        <f t="shared" si="2582"/>
        <v>PIX</v>
      </c>
      <c r="D13186" t="str">
        <f>"26006"</f>
        <v>26006</v>
      </c>
      <c r="E13186" t="str">
        <f t="shared" si="2578"/>
        <v>1</v>
      </c>
      <c r="F13186" t="str">
        <f t="shared" si="2579"/>
        <v>COM</v>
      </c>
      <c r="G13186" t="str">
        <f>"BRUCE HENRIQUE COSTA DOS SANTOS CONCEI?? (996)"</f>
        <v>BRUCE HENRIQUE COSTA DOS SANTOS CONCEI?? (996)</v>
      </c>
      <c r="H13186" t="str">
        <f>"Serv.Prest. 17/11/2025 a 23/11/2025 - PIX: CNPJ - CHAVE: 52.606.983/0001-08"</f>
        <v>Serv.Prest. 17/11/2025 a 23/11/2025 - PIX: CNPJ - CHAVE: 52.606.983/0001-08</v>
      </c>
      <c r="I13186" t="str">
        <f t="shared" si="2583"/>
        <v>27/11/2025</v>
      </c>
      <c r="J13186" t="str">
        <f t="shared" si="2584"/>
        <v>24/11/2025</v>
      </c>
      <c r="K13186" t="str">
        <f>("27/11/2025")</f>
        <v>27/11/2025</v>
      </c>
      <c r="L13186">
        <v>1375</v>
      </c>
      <c r="M13186">
        <v>1375</v>
      </c>
      <c r="N13186">
        <v>109</v>
      </c>
      <c r="O13186" t="str">
        <f>"PAGAMENTO DE ENTREGADORES"</f>
        <v>PAGAMENTO DE ENTREGADORES</v>
      </c>
      <c r="P13186">
        <v>1375</v>
      </c>
      <c r="S13186" t="str">
        <f>"BANCO C6 (149)"</f>
        <v>BANCO C6 (149)</v>
      </c>
      <c r="T13186">
        <v>22712</v>
      </c>
      <c r="U13186">
        <v>26006</v>
      </c>
      <c r="V13186" t="s">
        <v>77</v>
      </c>
    </row>
    <row r="13187" spans="1:22">
      <c r="A13187" t="str">
        <f t="shared" si="2580"/>
        <v>27/11/2025</v>
      </c>
      <c r="B13187" t="str">
        <f t="shared" si="2581"/>
        <v>SAÍDA</v>
      </c>
      <c r="C13187" t="str">
        <f t="shared" si="2582"/>
        <v>PIX</v>
      </c>
      <c r="D13187" t="str">
        <f>"26006"</f>
        <v>26006</v>
      </c>
      <c r="E13187" t="str">
        <f t="shared" si="2578"/>
        <v>1</v>
      </c>
      <c r="F13187" t="str">
        <f t="shared" si="2579"/>
        <v>COM</v>
      </c>
      <c r="G13187" t="str">
        <f>"BRUCE HENRIQUE COSTA DOS SANTOS CONCEI?? (996)"</f>
        <v>BRUCE HENRIQUE COSTA DOS SANTOS CONCEI?? (996)</v>
      </c>
      <c r="H13187" t="s">
        <v>3598</v>
      </c>
      <c r="I13187" t="str">
        <f t="shared" si="2583"/>
        <v>27/11/2025</v>
      </c>
      <c r="J13187" t="str">
        <f t="shared" si="2584"/>
        <v>24/11/2025</v>
      </c>
      <c r="K13187">
        <v>45988</v>
      </c>
      <c r="N13187">
        <v>109</v>
      </c>
      <c r="O13187" t="s">
        <v>24</v>
      </c>
      <c r="Q13187">
        <v>1375</v>
      </c>
      <c r="R13187" t="str">
        <f>"PENSE FARMA 19 (10223)"</f>
        <v>PENSE FARMA 19 (10223)</v>
      </c>
      <c r="S13187" t="s">
        <v>77</v>
      </c>
      <c r="T13187">
        <v>22712</v>
      </c>
      <c r="U13187">
        <v>26006</v>
      </c>
      <c r="V13187" t="s">
        <v>77</v>
      </c>
    </row>
    <row r="13188" spans="1:22">
      <c r="A13188" t="str">
        <f t="shared" si="2580"/>
        <v>27/11/2025</v>
      </c>
      <c r="B13188" t="str">
        <f t="shared" si="2581"/>
        <v>SAÍDA</v>
      </c>
      <c r="C13188" t="str">
        <f t="shared" si="2582"/>
        <v>PIX</v>
      </c>
      <c r="D13188" t="str">
        <f>"26017"</f>
        <v>26017</v>
      </c>
      <c r="E13188" t="str">
        <f t="shared" ref="E13188:E13251" si="2585">"1"</f>
        <v>1</v>
      </c>
      <c r="F13188" t="str">
        <f t="shared" si="2579"/>
        <v>COM</v>
      </c>
      <c r="G13188" t="str">
        <f>"GABRIEL SIQUEIRA DA SILVA (997)"</f>
        <v>GABRIEL SIQUEIRA DA SILVA (997)</v>
      </c>
      <c r="H13188" t="str">
        <f>"Serv.Prest. 17/11/2025 a 23/11/2025 - PIX: CPF - CHAVE: 500.480.978-02"</f>
        <v>Serv.Prest. 17/11/2025 a 23/11/2025 - PIX: CPF - CHAVE: 500.480.978-02</v>
      </c>
      <c r="I13188" t="str">
        <f t="shared" si="2583"/>
        <v>27/11/2025</v>
      </c>
      <c r="J13188" t="str">
        <f t="shared" si="2584"/>
        <v>24/11/2025</v>
      </c>
      <c r="K13188" t="str">
        <f>("27/11/2025")</f>
        <v>27/11/2025</v>
      </c>
      <c r="L13188">
        <v>800</v>
      </c>
      <c r="M13188">
        <v>800</v>
      </c>
      <c r="N13188">
        <v>109</v>
      </c>
      <c r="O13188" t="str">
        <f>"PAGAMENTO DE ENTREGADORES"</f>
        <v>PAGAMENTO DE ENTREGADORES</v>
      </c>
      <c r="P13188">
        <v>800</v>
      </c>
      <c r="S13188" t="str">
        <f>"BANCO C6 (149)"</f>
        <v>BANCO C6 (149)</v>
      </c>
      <c r="T13188">
        <v>22713</v>
      </c>
      <c r="U13188">
        <v>26017</v>
      </c>
      <c r="V13188" t="s">
        <v>77</v>
      </c>
    </row>
    <row r="13189" spans="1:22">
      <c r="A13189" t="str">
        <f t="shared" si="2580"/>
        <v>27/11/2025</v>
      </c>
      <c r="B13189" t="str">
        <f t="shared" si="2581"/>
        <v>SAÍDA</v>
      </c>
      <c r="C13189" t="str">
        <f t="shared" si="2582"/>
        <v>PIX</v>
      </c>
      <c r="D13189" t="str">
        <f>"26017"</f>
        <v>26017</v>
      </c>
      <c r="E13189" t="str">
        <f t="shared" si="2585"/>
        <v>1</v>
      </c>
      <c r="F13189" t="str">
        <f t="shared" si="2579"/>
        <v>COM</v>
      </c>
      <c r="G13189" t="str">
        <f>"GABRIEL SIQUEIRA DA SILVA (997)"</f>
        <v>GABRIEL SIQUEIRA DA SILVA (997)</v>
      </c>
      <c r="H13189" t="s">
        <v>3599</v>
      </c>
      <c r="I13189" t="str">
        <f t="shared" si="2583"/>
        <v>27/11/2025</v>
      </c>
      <c r="J13189" t="str">
        <f t="shared" si="2584"/>
        <v>24/11/2025</v>
      </c>
      <c r="K13189">
        <v>45988</v>
      </c>
      <c r="N13189">
        <v>109</v>
      </c>
      <c r="O13189" t="s">
        <v>24</v>
      </c>
      <c r="Q13189">
        <v>800</v>
      </c>
      <c r="R13189" t="str">
        <f>"PENSE FARMA 49 (10234)"</f>
        <v>PENSE FARMA 49 (10234)</v>
      </c>
      <c r="S13189" t="s">
        <v>77</v>
      </c>
      <c r="T13189">
        <v>22713</v>
      </c>
      <c r="U13189">
        <v>26017</v>
      </c>
      <c r="V13189" t="s">
        <v>77</v>
      </c>
    </row>
    <row r="13190" spans="1:22">
      <c r="A13190" t="str">
        <f t="shared" si="2580"/>
        <v>27/11/2025</v>
      </c>
      <c r="B13190" t="str">
        <f t="shared" si="2581"/>
        <v>SAÍDA</v>
      </c>
      <c r="C13190" t="str">
        <f t="shared" si="2582"/>
        <v>PIX</v>
      </c>
      <c r="D13190" t="str">
        <f>"26019"</f>
        <v>26019</v>
      </c>
      <c r="E13190" t="str">
        <f t="shared" si="2585"/>
        <v>1</v>
      </c>
      <c r="F13190" t="str">
        <f t="shared" si="2579"/>
        <v>COM</v>
      </c>
      <c r="G13190" t="str">
        <f>"ALAN COSTA SILVA (994)"</f>
        <v>ALAN COSTA SILVA (994)</v>
      </c>
      <c r="H13190" t="str">
        <f>"Serv.Prest. 17/11/2025 a 23/11/2025 - PIX: CELULAR - CHAVE: (11) 98484-6837"</f>
        <v>Serv.Prest. 17/11/2025 a 23/11/2025 - PIX: CELULAR - CHAVE: (11) 98484-6837</v>
      </c>
      <c r="I13190" t="str">
        <f t="shared" si="2583"/>
        <v>27/11/2025</v>
      </c>
      <c r="J13190" t="str">
        <f t="shared" si="2584"/>
        <v>24/11/2025</v>
      </c>
      <c r="K13190" t="str">
        <f>("27/11/2025")</f>
        <v>27/11/2025</v>
      </c>
      <c r="L13190">
        <v>1300</v>
      </c>
      <c r="M13190">
        <v>1300</v>
      </c>
      <c r="N13190">
        <v>109</v>
      </c>
      <c r="O13190" t="str">
        <f>"PAGAMENTO DE ENTREGADORES"</f>
        <v>PAGAMENTO DE ENTREGADORES</v>
      </c>
      <c r="P13190">
        <v>1300</v>
      </c>
      <c r="S13190" t="str">
        <f>"BANCO C6 (149)"</f>
        <v>BANCO C6 (149)</v>
      </c>
      <c r="T13190">
        <v>22714</v>
      </c>
      <c r="U13190">
        <v>26019</v>
      </c>
      <c r="V13190" t="s">
        <v>77</v>
      </c>
    </row>
    <row r="13191" spans="1:22">
      <c r="A13191" t="str">
        <f t="shared" si="2580"/>
        <v>27/11/2025</v>
      </c>
      <c r="B13191" t="str">
        <f t="shared" si="2581"/>
        <v>SAÍDA</v>
      </c>
      <c r="C13191" t="str">
        <f t="shared" si="2582"/>
        <v>PIX</v>
      </c>
      <c r="D13191" t="str">
        <f>"26019"</f>
        <v>26019</v>
      </c>
      <c r="E13191" t="str">
        <f t="shared" si="2585"/>
        <v>1</v>
      </c>
      <c r="F13191" t="str">
        <f t="shared" si="2579"/>
        <v>COM</v>
      </c>
      <c r="G13191" t="str">
        <f>"ALAN COSTA SILVA (994)"</f>
        <v>ALAN COSTA SILVA (994)</v>
      </c>
      <c r="H13191" t="s">
        <v>3600</v>
      </c>
      <c r="I13191" t="str">
        <f t="shared" si="2583"/>
        <v>27/11/2025</v>
      </c>
      <c r="J13191" t="str">
        <f t="shared" si="2584"/>
        <v>24/11/2025</v>
      </c>
      <c r="K13191">
        <v>45988</v>
      </c>
      <c r="N13191">
        <v>109</v>
      </c>
      <c r="O13191" t="s">
        <v>24</v>
      </c>
      <c r="Q13191">
        <v>325</v>
      </c>
      <c r="R13191" t="str">
        <f>"PENSE FARMA 02 (10199)"</f>
        <v>PENSE FARMA 02 (10199)</v>
      </c>
      <c r="S13191" t="s">
        <v>77</v>
      </c>
      <c r="T13191">
        <v>22714</v>
      </c>
      <c r="U13191">
        <v>26019</v>
      </c>
      <c r="V13191" t="s">
        <v>77</v>
      </c>
    </row>
    <row r="13192" spans="1:22">
      <c r="A13192" t="str">
        <f t="shared" si="2580"/>
        <v>27/11/2025</v>
      </c>
      <c r="B13192" t="str">
        <f t="shared" si="2581"/>
        <v>SAÍDA</v>
      </c>
      <c r="C13192" t="str">
        <f t="shared" si="2582"/>
        <v>PIX</v>
      </c>
      <c r="D13192" t="str">
        <f>"26019"</f>
        <v>26019</v>
      </c>
      <c r="E13192" t="str">
        <f t="shared" si="2585"/>
        <v>1</v>
      </c>
      <c r="F13192" t="str">
        <f t="shared" si="2579"/>
        <v>COM</v>
      </c>
      <c r="G13192" t="str">
        <f>"ALAN COSTA SILVA (994)"</f>
        <v>ALAN COSTA SILVA (994)</v>
      </c>
      <c r="H13192" t="s">
        <v>3600</v>
      </c>
      <c r="I13192" t="str">
        <f t="shared" si="2583"/>
        <v>27/11/2025</v>
      </c>
      <c r="J13192" t="str">
        <f t="shared" si="2584"/>
        <v>24/11/2025</v>
      </c>
      <c r="K13192">
        <v>45988</v>
      </c>
      <c r="N13192">
        <v>109</v>
      </c>
      <c r="O13192" t="s">
        <v>24</v>
      </c>
      <c r="Q13192">
        <v>325</v>
      </c>
      <c r="R13192" t="str">
        <f>"PENSE FARMA 01 (10215)"</f>
        <v>PENSE FARMA 01 (10215)</v>
      </c>
      <c r="S13192" t="s">
        <v>77</v>
      </c>
      <c r="T13192">
        <v>22714</v>
      </c>
      <c r="U13192">
        <v>26019</v>
      </c>
      <c r="V13192" t="s">
        <v>77</v>
      </c>
    </row>
    <row r="13193" spans="1:22">
      <c r="A13193" t="str">
        <f t="shared" si="2580"/>
        <v>27/11/2025</v>
      </c>
      <c r="B13193" t="str">
        <f t="shared" si="2581"/>
        <v>SAÍDA</v>
      </c>
      <c r="C13193" t="str">
        <f t="shared" si="2582"/>
        <v>PIX</v>
      </c>
      <c r="D13193" t="str">
        <f>"26019"</f>
        <v>26019</v>
      </c>
      <c r="E13193" t="str">
        <f t="shared" si="2585"/>
        <v>1</v>
      </c>
      <c r="F13193" t="str">
        <f t="shared" si="2579"/>
        <v>COM</v>
      </c>
      <c r="G13193" t="str">
        <f>"ALAN COSTA SILVA (994)"</f>
        <v>ALAN COSTA SILVA (994)</v>
      </c>
      <c r="H13193" t="s">
        <v>3600</v>
      </c>
      <c r="I13193" t="str">
        <f t="shared" si="2583"/>
        <v>27/11/2025</v>
      </c>
      <c r="J13193" t="str">
        <f t="shared" si="2584"/>
        <v>24/11/2025</v>
      </c>
      <c r="K13193">
        <v>45988</v>
      </c>
      <c r="N13193">
        <v>109</v>
      </c>
      <c r="O13193" t="s">
        <v>24</v>
      </c>
      <c r="Q13193">
        <v>325</v>
      </c>
      <c r="R13193" t="str">
        <f>"PENSE FARMA 03 (10216)"</f>
        <v>PENSE FARMA 03 (10216)</v>
      </c>
      <c r="S13193" t="s">
        <v>77</v>
      </c>
      <c r="T13193">
        <v>22714</v>
      </c>
      <c r="U13193">
        <v>26019</v>
      </c>
      <c r="V13193" t="s">
        <v>77</v>
      </c>
    </row>
    <row r="13194" spans="1:22">
      <c r="A13194" t="str">
        <f t="shared" si="2580"/>
        <v>27/11/2025</v>
      </c>
      <c r="B13194" t="str">
        <f t="shared" si="2581"/>
        <v>SAÍDA</v>
      </c>
      <c r="C13194" t="str">
        <f t="shared" si="2582"/>
        <v>PIX</v>
      </c>
      <c r="D13194" t="str">
        <f>"26019"</f>
        <v>26019</v>
      </c>
      <c r="E13194" t="str">
        <f t="shared" si="2585"/>
        <v>1</v>
      </c>
      <c r="F13194" t="str">
        <f t="shared" si="2579"/>
        <v>COM</v>
      </c>
      <c r="G13194" t="str">
        <f>"ALAN COSTA SILVA (994)"</f>
        <v>ALAN COSTA SILVA (994)</v>
      </c>
      <c r="H13194" t="s">
        <v>3600</v>
      </c>
      <c r="I13194" t="str">
        <f t="shared" si="2583"/>
        <v>27/11/2025</v>
      </c>
      <c r="J13194" t="str">
        <f t="shared" si="2584"/>
        <v>24/11/2025</v>
      </c>
      <c r="K13194">
        <v>45988</v>
      </c>
      <c r="N13194">
        <v>109</v>
      </c>
      <c r="O13194" t="s">
        <v>24</v>
      </c>
      <c r="Q13194">
        <v>325</v>
      </c>
      <c r="R13194" t="str">
        <f>"PENSE FARMA 39 (10228)"</f>
        <v>PENSE FARMA 39 (10228)</v>
      </c>
      <c r="S13194" t="s">
        <v>77</v>
      </c>
      <c r="T13194">
        <v>22714</v>
      </c>
      <c r="U13194">
        <v>26019</v>
      </c>
      <c r="V13194" t="s">
        <v>77</v>
      </c>
    </row>
    <row r="13195" spans="1:22">
      <c r="A13195" t="str">
        <f t="shared" si="2580"/>
        <v>27/11/2025</v>
      </c>
      <c r="B13195" t="str">
        <f t="shared" si="2581"/>
        <v>SAÍDA</v>
      </c>
      <c r="C13195" t="str">
        <f t="shared" si="2582"/>
        <v>PIX</v>
      </c>
      <c r="D13195" t="str">
        <f>"26021"</f>
        <v>26021</v>
      </c>
      <c r="E13195" t="str">
        <f t="shared" si="2585"/>
        <v>1</v>
      </c>
      <c r="F13195" t="str">
        <f t="shared" si="2579"/>
        <v>COM</v>
      </c>
      <c r="G13195" t="str">
        <f>"IGOR LOPES DA SILVA (991)"</f>
        <v>IGOR LOPES DA SILVA (991)</v>
      </c>
      <c r="H13195" t="str">
        <f>"Serv.Prest. 17/11/2025 a 23/11/2025 - PIX: CELULAR - CHAVE: (11) 95054-2206"</f>
        <v>Serv.Prest. 17/11/2025 a 23/11/2025 - PIX: CELULAR - CHAVE: (11) 95054-2206</v>
      </c>
      <c r="I13195" t="str">
        <f t="shared" si="2583"/>
        <v>27/11/2025</v>
      </c>
      <c r="J13195" t="str">
        <f t="shared" si="2584"/>
        <v>24/11/2025</v>
      </c>
      <c r="K13195" t="str">
        <f>("27/11/2025")</f>
        <v>27/11/2025</v>
      </c>
      <c r="L13195">
        <v>1300</v>
      </c>
      <c r="M13195">
        <v>1300</v>
      </c>
      <c r="N13195">
        <v>109</v>
      </c>
      <c r="O13195" t="str">
        <f>"PAGAMENTO DE ENTREGADORES"</f>
        <v>PAGAMENTO DE ENTREGADORES</v>
      </c>
      <c r="P13195">
        <v>1300</v>
      </c>
      <c r="S13195" t="str">
        <f>"BANCO C6 (149)"</f>
        <v>BANCO C6 (149)</v>
      </c>
      <c r="T13195">
        <v>22715</v>
      </c>
      <c r="U13195">
        <v>26021</v>
      </c>
      <c r="V13195" t="s">
        <v>77</v>
      </c>
    </row>
    <row r="13196" spans="1:22">
      <c r="A13196" t="str">
        <f t="shared" si="2580"/>
        <v>27/11/2025</v>
      </c>
      <c r="B13196" t="str">
        <f t="shared" si="2581"/>
        <v>SAÍDA</v>
      </c>
      <c r="C13196" t="str">
        <f t="shared" si="2582"/>
        <v>PIX</v>
      </c>
      <c r="D13196" t="str">
        <f>"26021"</f>
        <v>26021</v>
      </c>
      <c r="E13196" t="str">
        <f t="shared" si="2585"/>
        <v>1</v>
      </c>
      <c r="F13196" t="str">
        <f t="shared" si="2579"/>
        <v>COM</v>
      </c>
      <c r="G13196" t="str">
        <f>"IGOR LOPES DA SILVA (991)"</f>
        <v>IGOR LOPES DA SILVA (991)</v>
      </c>
      <c r="H13196" t="s">
        <v>3601</v>
      </c>
      <c r="I13196" t="str">
        <f t="shared" si="2583"/>
        <v>27/11/2025</v>
      </c>
      <c r="J13196" t="str">
        <f t="shared" si="2584"/>
        <v>24/11/2025</v>
      </c>
      <c r="K13196">
        <v>45988</v>
      </c>
      <c r="N13196">
        <v>109</v>
      </c>
      <c r="O13196" t="s">
        <v>24</v>
      </c>
      <c r="Q13196">
        <v>325</v>
      </c>
      <c r="R13196" t="str">
        <f>"PENSE FARMA 02 (10199)"</f>
        <v>PENSE FARMA 02 (10199)</v>
      </c>
      <c r="S13196" t="s">
        <v>77</v>
      </c>
      <c r="T13196">
        <v>22715</v>
      </c>
      <c r="U13196">
        <v>26021</v>
      </c>
      <c r="V13196" t="s">
        <v>77</v>
      </c>
    </row>
    <row r="13197" spans="1:22">
      <c r="A13197" t="str">
        <f t="shared" si="2580"/>
        <v>27/11/2025</v>
      </c>
      <c r="B13197" t="str">
        <f t="shared" si="2581"/>
        <v>SAÍDA</v>
      </c>
      <c r="C13197" t="str">
        <f t="shared" si="2582"/>
        <v>PIX</v>
      </c>
      <c r="D13197" t="str">
        <f>"26021"</f>
        <v>26021</v>
      </c>
      <c r="E13197" t="str">
        <f t="shared" si="2585"/>
        <v>1</v>
      </c>
      <c r="F13197" t="str">
        <f t="shared" si="2579"/>
        <v>COM</v>
      </c>
      <c r="G13197" t="str">
        <f>"IGOR LOPES DA SILVA (991)"</f>
        <v>IGOR LOPES DA SILVA (991)</v>
      </c>
      <c r="H13197" t="s">
        <v>3601</v>
      </c>
      <c r="I13197" t="str">
        <f t="shared" si="2583"/>
        <v>27/11/2025</v>
      </c>
      <c r="J13197" t="str">
        <f t="shared" si="2584"/>
        <v>24/11/2025</v>
      </c>
      <c r="K13197">
        <v>45988</v>
      </c>
      <c r="N13197">
        <v>109</v>
      </c>
      <c r="O13197" t="s">
        <v>24</v>
      </c>
      <c r="Q13197">
        <v>325</v>
      </c>
      <c r="R13197" t="str">
        <f>"PENSE FARMA 01 (10215)"</f>
        <v>PENSE FARMA 01 (10215)</v>
      </c>
      <c r="S13197" t="s">
        <v>77</v>
      </c>
      <c r="T13197">
        <v>22715</v>
      </c>
      <c r="U13197">
        <v>26021</v>
      </c>
      <c r="V13197" t="s">
        <v>77</v>
      </c>
    </row>
    <row r="13198" spans="1:22">
      <c r="A13198" t="str">
        <f t="shared" si="2580"/>
        <v>27/11/2025</v>
      </c>
      <c r="B13198" t="str">
        <f t="shared" si="2581"/>
        <v>SAÍDA</v>
      </c>
      <c r="C13198" t="str">
        <f t="shared" si="2582"/>
        <v>PIX</v>
      </c>
      <c r="D13198" t="str">
        <f>"26021"</f>
        <v>26021</v>
      </c>
      <c r="E13198" t="str">
        <f t="shared" si="2585"/>
        <v>1</v>
      </c>
      <c r="F13198" t="str">
        <f t="shared" si="2579"/>
        <v>COM</v>
      </c>
      <c r="G13198" t="str">
        <f>"IGOR LOPES DA SILVA (991)"</f>
        <v>IGOR LOPES DA SILVA (991)</v>
      </c>
      <c r="H13198" t="s">
        <v>3601</v>
      </c>
      <c r="I13198" t="str">
        <f t="shared" si="2583"/>
        <v>27/11/2025</v>
      </c>
      <c r="J13198" t="str">
        <f t="shared" si="2584"/>
        <v>24/11/2025</v>
      </c>
      <c r="K13198">
        <v>45988</v>
      </c>
      <c r="N13198">
        <v>109</v>
      </c>
      <c r="O13198" t="s">
        <v>24</v>
      </c>
      <c r="Q13198">
        <v>325</v>
      </c>
      <c r="R13198" t="str">
        <f>"PENSE FARMA 03 (10216)"</f>
        <v>PENSE FARMA 03 (10216)</v>
      </c>
      <c r="S13198" t="s">
        <v>77</v>
      </c>
      <c r="T13198">
        <v>22715</v>
      </c>
      <c r="U13198">
        <v>26021</v>
      </c>
      <c r="V13198" t="s">
        <v>77</v>
      </c>
    </row>
    <row r="13199" spans="1:22">
      <c r="A13199" t="str">
        <f t="shared" si="2580"/>
        <v>27/11/2025</v>
      </c>
      <c r="B13199" t="str">
        <f t="shared" si="2581"/>
        <v>SAÍDA</v>
      </c>
      <c r="C13199" t="str">
        <f t="shared" si="2582"/>
        <v>PIX</v>
      </c>
      <c r="D13199" t="str">
        <f>"26021"</f>
        <v>26021</v>
      </c>
      <c r="E13199" t="str">
        <f t="shared" si="2585"/>
        <v>1</v>
      </c>
      <c r="F13199" t="str">
        <f t="shared" si="2579"/>
        <v>COM</v>
      </c>
      <c r="G13199" t="str">
        <f>"IGOR LOPES DA SILVA (991)"</f>
        <v>IGOR LOPES DA SILVA (991)</v>
      </c>
      <c r="H13199" t="s">
        <v>3601</v>
      </c>
      <c r="I13199" t="str">
        <f t="shared" si="2583"/>
        <v>27/11/2025</v>
      </c>
      <c r="J13199" t="str">
        <f t="shared" si="2584"/>
        <v>24/11/2025</v>
      </c>
      <c r="K13199">
        <v>45988</v>
      </c>
      <c r="N13199">
        <v>109</v>
      </c>
      <c r="O13199" t="s">
        <v>24</v>
      </c>
      <c r="Q13199">
        <v>325</v>
      </c>
      <c r="R13199" t="str">
        <f>"PENSE FARMA 39 (10228)"</f>
        <v>PENSE FARMA 39 (10228)</v>
      </c>
      <c r="S13199" t="s">
        <v>77</v>
      </c>
      <c r="T13199">
        <v>22715</v>
      </c>
      <c r="U13199">
        <v>26021</v>
      </c>
      <c r="V13199" t="s">
        <v>77</v>
      </c>
    </row>
    <row r="13200" spans="1:22">
      <c r="A13200" t="str">
        <f t="shared" si="2580"/>
        <v>27/11/2025</v>
      </c>
      <c r="B13200" t="str">
        <f t="shared" si="2581"/>
        <v>SAÍDA</v>
      </c>
      <c r="C13200" t="str">
        <f t="shared" si="2582"/>
        <v>PIX</v>
      </c>
      <c r="D13200" t="str">
        <f>"26023"</f>
        <v>26023</v>
      </c>
      <c r="E13200" t="str">
        <f t="shared" si="2585"/>
        <v>1</v>
      </c>
      <c r="F13200" t="str">
        <f t="shared" si="2579"/>
        <v>COM</v>
      </c>
      <c r="G13200" t="str">
        <f>"MATEUS VIEIRA DE SOUZA (1019)"</f>
        <v>MATEUS VIEIRA DE SOUZA (1019)</v>
      </c>
      <c r="H13200" t="str">
        <f>"Serv.Prest. 17/11/2025 a 23/11/2025 - PIX: CELULAR - CHAVE: (11) 97702-1316"</f>
        <v>Serv.Prest. 17/11/2025 a 23/11/2025 - PIX: CELULAR - CHAVE: (11) 97702-1316</v>
      </c>
      <c r="I13200" t="str">
        <f t="shared" si="2583"/>
        <v>27/11/2025</v>
      </c>
      <c r="J13200" t="str">
        <f t="shared" si="2584"/>
        <v>24/11/2025</v>
      </c>
      <c r="K13200" t="str">
        <f>("27/11/2025")</f>
        <v>27/11/2025</v>
      </c>
      <c r="L13200">
        <v>1300</v>
      </c>
      <c r="M13200">
        <v>1300</v>
      </c>
      <c r="N13200">
        <v>109</v>
      </c>
      <c r="O13200" t="str">
        <f>"PAGAMENTO DE ENTREGADORES"</f>
        <v>PAGAMENTO DE ENTREGADORES</v>
      </c>
      <c r="P13200">
        <v>1300</v>
      </c>
      <c r="S13200" t="str">
        <f>"BANCO C6 (149)"</f>
        <v>BANCO C6 (149)</v>
      </c>
      <c r="T13200">
        <v>22716</v>
      </c>
      <c r="U13200">
        <v>26023</v>
      </c>
      <c r="V13200" t="s">
        <v>77</v>
      </c>
    </row>
    <row r="13201" spans="1:22">
      <c r="A13201" t="str">
        <f t="shared" si="2580"/>
        <v>27/11/2025</v>
      </c>
      <c r="B13201" t="str">
        <f t="shared" si="2581"/>
        <v>SAÍDA</v>
      </c>
      <c r="C13201" t="str">
        <f t="shared" si="2582"/>
        <v>PIX</v>
      </c>
      <c r="D13201" t="str">
        <f>"26023"</f>
        <v>26023</v>
      </c>
      <c r="E13201" t="str">
        <f t="shared" si="2585"/>
        <v>1</v>
      </c>
      <c r="F13201" t="str">
        <f t="shared" si="2579"/>
        <v>COM</v>
      </c>
      <c r="G13201" t="str">
        <f>"MATEUS VIEIRA DE SOUZA (1019)"</f>
        <v>MATEUS VIEIRA DE SOUZA (1019)</v>
      </c>
      <c r="H13201" t="s">
        <v>3407</v>
      </c>
      <c r="I13201" t="str">
        <f t="shared" si="2583"/>
        <v>27/11/2025</v>
      </c>
      <c r="J13201" t="str">
        <f t="shared" si="2584"/>
        <v>24/11/2025</v>
      </c>
      <c r="K13201">
        <v>45988</v>
      </c>
      <c r="N13201">
        <v>109</v>
      </c>
      <c r="O13201" t="s">
        <v>24</v>
      </c>
      <c r="Q13201">
        <v>1300</v>
      </c>
      <c r="R13201" t="str">
        <f>"PENSE FARMA 47 (10232)"</f>
        <v>PENSE FARMA 47 (10232)</v>
      </c>
      <c r="S13201" t="s">
        <v>77</v>
      </c>
      <c r="T13201">
        <v>22716</v>
      </c>
      <c r="U13201">
        <v>26023</v>
      </c>
      <c r="V13201" t="s">
        <v>77</v>
      </c>
    </row>
    <row r="13202" spans="1:22">
      <c r="A13202" t="str">
        <f t="shared" si="2580"/>
        <v>27/11/2025</v>
      </c>
      <c r="B13202" t="str">
        <f t="shared" si="2581"/>
        <v>SAÍDA</v>
      </c>
      <c r="C13202" t="str">
        <f t="shared" si="2582"/>
        <v>PIX</v>
      </c>
      <c r="D13202" t="str">
        <f>"26025"</f>
        <v>26025</v>
      </c>
      <c r="E13202" t="str">
        <f t="shared" si="2585"/>
        <v>1</v>
      </c>
      <c r="F13202" t="str">
        <f t="shared" si="2579"/>
        <v>COM</v>
      </c>
      <c r="G13202" t="str">
        <f>"RODRIGO TEIXEIRA ROCHA (1007)"</f>
        <v>RODRIGO TEIXEIRA ROCHA (1007)</v>
      </c>
      <c r="H13202" t="str">
        <f>"Serv.Prest. 17/11/2025 a 23/11/2025 - PIX: CPF - CHAVE: 506.934.998-85"</f>
        <v>Serv.Prest. 17/11/2025 a 23/11/2025 - PIX: CPF - CHAVE: 506.934.998-85</v>
      </c>
      <c r="I13202" t="str">
        <f t="shared" si="2583"/>
        <v>27/11/2025</v>
      </c>
      <c r="J13202" t="str">
        <f t="shared" si="2584"/>
        <v>24/11/2025</v>
      </c>
      <c r="K13202" t="str">
        <f>("27/11/2025")</f>
        <v>27/11/2025</v>
      </c>
      <c r="L13202">
        <v>1300</v>
      </c>
      <c r="M13202">
        <v>1300</v>
      </c>
      <c r="N13202">
        <v>109</v>
      </c>
      <c r="O13202" t="str">
        <f>"PAGAMENTO DE ENTREGADORES"</f>
        <v>PAGAMENTO DE ENTREGADORES</v>
      </c>
      <c r="P13202">
        <v>1300</v>
      </c>
      <c r="S13202" t="str">
        <f>"BANCO C6 (149)"</f>
        <v>BANCO C6 (149)</v>
      </c>
      <c r="T13202">
        <v>22717</v>
      </c>
      <c r="U13202">
        <v>26025</v>
      </c>
      <c r="V13202" t="s">
        <v>77</v>
      </c>
    </row>
    <row r="13203" spans="1:22">
      <c r="A13203" t="str">
        <f t="shared" si="2580"/>
        <v>27/11/2025</v>
      </c>
      <c r="B13203" t="str">
        <f t="shared" si="2581"/>
        <v>SAÍDA</v>
      </c>
      <c r="C13203" t="str">
        <f t="shared" si="2582"/>
        <v>PIX</v>
      </c>
      <c r="D13203" t="str">
        <f>"26025"</f>
        <v>26025</v>
      </c>
      <c r="E13203" t="str">
        <f t="shared" si="2585"/>
        <v>1</v>
      </c>
      <c r="F13203" t="str">
        <f t="shared" ref="F13203:F13266" si="2586">"COM"</f>
        <v>COM</v>
      </c>
      <c r="G13203" t="str">
        <f>"RODRIGO TEIXEIRA ROCHA (1007)"</f>
        <v>RODRIGO TEIXEIRA ROCHA (1007)</v>
      </c>
      <c r="H13203" t="s">
        <v>3602</v>
      </c>
      <c r="I13203" t="str">
        <f t="shared" si="2583"/>
        <v>27/11/2025</v>
      </c>
      <c r="J13203" t="str">
        <f t="shared" si="2584"/>
        <v>24/11/2025</v>
      </c>
      <c r="K13203">
        <v>45988</v>
      </c>
      <c r="N13203">
        <v>109</v>
      </c>
      <c r="O13203" t="s">
        <v>24</v>
      </c>
      <c r="Q13203">
        <v>1300</v>
      </c>
      <c r="R13203" t="str">
        <f>"PENSE FARMA 25 (10224)"</f>
        <v>PENSE FARMA 25 (10224)</v>
      </c>
      <c r="S13203" t="s">
        <v>77</v>
      </c>
      <c r="T13203">
        <v>22717</v>
      </c>
      <c r="U13203">
        <v>26025</v>
      </c>
      <c r="V13203" t="s">
        <v>77</v>
      </c>
    </row>
    <row r="13204" spans="1:22">
      <c r="A13204" t="str">
        <f t="shared" si="2580"/>
        <v>27/11/2025</v>
      </c>
      <c r="B13204" t="str">
        <f t="shared" si="2581"/>
        <v>SAÍDA</v>
      </c>
      <c r="C13204" t="str">
        <f t="shared" si="2582"/>
        <v>PIX</v>
      </c>
      <c r="D13204" t="str">
        <f>"26026"</f>
        <v>26026</v>
      </c>
      <c r="E13204" t="str">
        <f t="shared" si="2585"/>
        <v>1</v>
      </c>
      <c r="F13204" t="str">
        <f t="shared" si="2586"/>
        <v>COM</v>
      </c>
      <c r="G13204" t="str">
        <f>"VAGNER DIEGO DE OLIVEIRA MELO (990)"</f>
        <v>VAGNER DIEGO DE OLIVEIRA MELO (990)</v>
      </c>
      <c r="H13204" t="str">
        <f>"Serv.Prest. 17/11/2025 a 23/11/2025 - PIX: CPF - CHAVE: 419.678.508-52"</f>
        <v>Serv.Prest. 17/11/2025 a 23/11/2025 - PIX: CPF - CHAVE: 419.678.508-52</v>
      </c>
      <c r="I13204" t="str">
        <f t="shared" si="2583"/>
        <v>27/11/2025</v>
      </c>
      <c r="J13204" t="str">
        <f t="shared" si="2584"/>
        <v>24/11/2025</v>
      </c>
      <c r="K13204" t="str">
        <f>("27/11/2025")</f>
        <v>27/11/2025</v>
      </c>
      <c r="L13204">
        <v>1300</v>
      </c>
      <c r="M13204">
        <v>1300</v>
      </c>
      <c r="N13204">
        <v>109</v>
      </c>
      <c r="O13204" t="str">
        <f>"PAGAMENTO DE ENTREGADORES"</f>
        <v>PAGAMENTO DE ENTREGADORES</v>
      </c>
      <c r="P13204">
        <v>1300</v>
      </c>
      <c r="S13204" t="str">
        <f>"BANCO C6 (149)"</f>
        <v>BANCO C6 (149)</v>
      </c>
      <c r="T13204">
        <v>22718</v>
      </c>
      <c r="U13204">
        <v>26026</v>
      </c>
      <c r="V13204" t="s">
        <v>77</v>
      </c>
    </row>
    <row r="13205" spans="1:22">
      <c r="A13205" t="str">
        <f t="shared" si="2580"/>
        <v>27/11/2025</v>
      </c>
      <c r="B13205" t="str">
        <f t="shared" si="2581"/>
        <v>SAÍDA</v>
      </c>
      <c r="C13205" t="str">
        <f t="shared" si="2582"/>
        <v>PIX</v>
      </c>
      <c r="D13205" t="str">
        <f>"26026"</f>
        <v>26026</v>
      </c>
      <c r="E13205" t="str">
        <f t="shared" si="2585"/>
        <v>1</v>
      </c>
      <c r="F13205" t="str">
        <f t="shared" si="2586"/>
        <v>COM</v>
      </c>
      <c r="G13205" t="str">
        <f>"VAGNER DIEGO DE OLIVEIRA MELO (990)"</f>
        <v>VAGNER DIEGO DE OLIVEIRA MELO (990)</v>
      </c>
      <c r="H13205" t="s">
        <v>3603</v>
      </c>
      <c r="I13205" t="str">
        <f t="shared" si="2583"/>
        <v>27/11/2025</v>
      </c>
      <c r="J13205" t="str">
        <f t="shared" si="2584"/>
        <v>24/11/2025</v>
      </c>
      <c r="K13205">
        <v>45988</v>
      </c>
      <c r="N13205">
        <v>109</v>
      </c>
      <c r="O13205" t="s">
        <v>24</v>
      </c>
      <c r="Q13205">
        <v>1300</v>
      </c>
      <c r="R13205" t="str">
        <f>"PENSE FARMA 25 (10224)"</f>
        <v>PENSE FARMA 25 (10224)</v>
      </c>
      <c r="S13205" t="s">
        <v>77</v>
      </c>
      <c r="T13205">
        <v>22718</v>
      </c>
      <c r="U13205">
        <v>26026</v>
      </c>
      <c r="V13205" t="s">
        <v>77</v>
      </c>
    </row>
    <row r="13206" spans="1:22">
      <c r="A13206" t="str">
        <f t="shared" si="2580"/>
        <v>27/11/2025</v>
      </c>
      <c r="B13206" t="str">
        <f t="shared" si="2581"/>
        <v>SAÍDA</v>
      </c>
      <c r="C13206" t="str">
        <f t="shared" si="2582"/>
        <v>PIX</v>
      </c>
      <c r="D13206" t="str">
        <f>"26028"</f>
        <v>26028</v>
      </c>
      <c r="E13206" t="str">
        <f t="shared" si="2585"/>
        <v>1</v>
      </c>
      <c r="F13206" t="str">
        <f t="shared" si="2586"/>
        <v>COM</v>
      </c>
      <c r="G13206" t="str">
        <f>"PEDRO HENRIQUE XAVIER DOS SANTOS (993)"</f>
        <v>PEDRO HENRIQUE XAVIER DOS SANTOS (993)</v>
      </c>
      <c r="H13206" t="str">
        <f>"Serv.Prest. 17/11/2025 a 23/11/2025 - PIX: CPF - CHAVE: 489.237.478-40"</f>
        <v>Serv.Prest. 17/11/2025 a 23/11/2025 - PIX: CPF - CHAVE: 489.237.478-40</v>
      </c>
      <c r="I13206" t="str">
        <f t="shared" si="2583"/>
        <v>27/11/2025</v>
      </c>
      <c r="J13206" t="str">
        <f t="shared" si="2584"/>
        <v>24/11/2025</v>
      </c>
      <c r="K13206" t="str">
        <f>("27/11/2025")</f>
        <v>27/11/2025</v>
      </c>
      <c r="L13206">
        <v>800</v>
      </c>
      <c r="M13206">
        <v>800</v>
      </c>
      <c r="N13206">
        <v>109</v>
      </c>
      <c r="O13206" t="str">
        <f>"PAGAMENTO DE ENTREGADORES"</f>
        <v>PAGAMENTO DE ENTREGADORES</v>
      </c>
      <c r="P13206">
        <v>800</v>
      </c>
      <c r="S13206" t="str">
        <f>"BANCO C6 (149)"</f>
        <v>BANCO C6 (149)</v>
      </c>
      <c r="T13206">
        <v>22719</v>
      </c>
      <c r="U13206">
        <v>26028</v>
      </c>
      <c r="V13206" t="s">
        <v>77</v>
      </c>
    </row>
    <row r="13207" spans="1:22">
      <c r="A13207" t="str">
        <f t="shared" si="2580"/>
        <v>27/11/2025</v>
      </c>
      <c r="B13207" t="str">
        <f t="shared" si="2581"/>
        <v>SAÍDA</v>
      </c>
      <c r="C13207" t="str">
        <f t="shared" si="2582"/>
        <v>PIX</v>
      </c>
      <c r="D13207" t="str">
        <f>"26028"</f>
        <v>26028</v>
      </c>
      <c r="E13207" t="str">
        <f t="shared" si="2585"/>
        <v>1</v>
      </c>
      <c r="F13207" t="str">
        <f t="shared" si="2586"/>
        <v>COM</v>
      </c>
      <c r="G13207" t="str">
        <f>"PEDRO HENRIQUE XAVIER DOS SANTOS (993)"</f>
        <v>PEDRO HENRIQUE XAVIER DOS SANTOS (993)</v>
      </c>
      <c r="H13207" t="s">
        <v>3604</v>
      </c>
      <c r="I13207" t="str">
        <f t="shared" si="2583"/>
        <v>27/11/2025</v>
      </c>
      <c r="J13207" t="str">
        <f t="shared" si="2584"/>
        <v>24/11/2025</v>
      </c>
      <c r="K13207">
        <v>45988</v>
      </c>
      <c r="N13207">
        <v>109</v>
      </c>
      <c r="O13207" t="s">
        <v>24</v>
      </c>
      <c r="Q13207">
        <v>800</v>
      </c>
      <c r="R13207" t="str">
        <f>"PENSE FARMA 35 (10227)"</f>
        <v>PENSE FARMA 35 (10227)</v>
      </c>
      <c r="S13207" t="s">
        <v>77</v>
      </c>
      <c r="T13207">
        <v>22719</v>
      </c>
      <c r="U13207">
        <v>26028</v>
      </c>
      <c r="V13207" t="s">
        <v>77</v>
      </c>
    </row>
    <row r="13208" spans="1:22">
      <c r="A13208" t="str">
        <f t="shared" si="2580"/>
        <v>27/11/2025</v>
      </c>
      <c r="B13208" t="str">
        <f t="shared" si="2581"/>
        <v>SAÍDA</v>
      </c>
      <c r="C13208" t="str">
        <f t="shared" si="2582"/>
        <v>PIX</v>
      </c>
      <c r="D13208" t="str">
        <f t="shared" ref="D13208:D13213" si="2587">"26030"</f>
        <v>26030</v>
      </c>
      <c r="E13208" t="str">
        <f t="shared" si="2585"/>
        <v>1</v>
      </c>
      <c r="F13208" t="str">
        <f t="shared" si="2586"/>
        <v>COM</v>
      </c>
      <c r="G13208" t="str">
        <f t="shared" ref="G13208:G13213" si="2588">"DANILO VICENTE MARINHO SANTOS (1018)"</f>
        <v>DANILO VICENTE MARINHO SANTOS (1018)</v>
      </c>
      <c r="H13208" t="str">
        <f>"Serv.Prest. 17/11/2025 a 23/11/2025 - PIX: CELULAR - CHAVE: (11) 98768-7863"</f>
        <v>Serv.Prest. 17/11/2025 a 23/11/2025 - PIX: CELULAR - CHAVE: (11) 98768-7863</v>
      </c>
      <c r="I13208" t="str">
        <f t="shared" si="2583"/>
        <v>27/11/2025</v>
      </c>
      <c r="J13208" t="str">
        <f t="shared" si="2584"/>
        <v>24/11/2025</v>
      </c>
      <c r="K13208" t="str">
        <f>("27/11/2025")</f>
        <v>27/11/2025</v>
      </c>
      <c r="L13208">
        <v>1375</v>
      </c>
      <c r="M13208">
        <v>1375</v>
      </c>
      <c r="N13208">
        <v>109</v>
      </c>
      <c r="O13208" t="str">
        <f>"PAGAMENTO DE ENTREGADORES"</f>
        <v>PAGAMENTO DE ENTREGADORES</v>
      </c>
      <c r="P13208">
        <v>1375</v>
      </c>
      <c r="S13208" t="str">
        <f>"BANCO C6 (149)"</f>
        <v>BANCO C6 (149)</v>
      </c>
      <c r="T13208">
        <v>22720</v>
      </c>
      <c r="U13208">
        <v>26030</v>
      </c>
      <c r="V13208" t="s">
        <v>77</v>
      </c>
    </row>
    <row r="13209" spans="1:22">
      <c r="A13209" t="str">
        <f t="shared" si="2580"/>
        <v>27/11/2025</v>
      </c>
      <c r="B13209" t="str">
        <f t="shared" si="2581"/>
        <v>SAÍDA</v>
      </c>
      <c r="C13209" t="str">
        <f t="shared" si="2582"/>
        <v>PIX</v>
      </c>
      <c r="D13209" t="str">
        <f t="shared" si="2587"/>
        <v>26030</v>
      </c>
      <c r="E13209" t="str">
        <f t="shared" si="2585"/>
        <v>1</v>
      </c>
      <c r="F13209" t="str">
        <f t="shared" si="2586"/>
        <v>COM</v>
      </c>
      <c r="G13209" t="str">
        <f t="shared" si="2588"/>
        <v>DANILO VICENTE MARINHO SANTOS (1018)</v>
      </c>
      <c r="H13209" t="s">
        <v>3605</v>
      </c>
      <c r="I13209" t="str">
        <f t="shared" si="2583"/>
        <v>27/11/2025</v>
      </c>
      <c r="J13209" t="str">
        <f t="shared" si="2584"/>
        <v>24/11/2025</v>
      </c>
      <c r="K13209">
        <v>45988</v>
      </c>
      <c r="N13209">
        <v>109</v>
      </c>
      <c r="O13209" t="s">
        <v>24</v>
      </c>
      <c r="Q13209">
        <v>275</v>
      </c>
      <c r="R13209" t="str">
        <f>"PENSE FARMA 08 (10217)"</f>
        <v>PENSE FARMA 08 (10217)</v>
      </c>
      <c r="S13209" t="s">
        <v>77</v>
      </c>
      <c r="T13209">
        <v>22720</v>
      </c>
      <c r="U13209">
        <v>26030</v>
      </c>
      <c r="V13209" t="s">
        <v>77</v>
      </c>
    </row>
    <row r="13210" spans="1:22">
      <c r="A13210" t="str">
        <f t="shared" si="2580"/>
        <v>27/11/2025</v>
      </c>
      <c r="B13210" t="str">
        <f t="shared" si="2581"/>
        <v>SAÍDA</v>
      </c>
      <c r="C13210" t="str">
        <f t="shared" si="2582"/>
        <v>PIX</v>
      </c>
      <c r="D13210" t="str">
        <f t="shared" si="2587"/>
        <v>26030</v>
      </c>
      <c r="E13210" t="str">
        <f t="shared" si="2585"/>
        <v>1</v>
      </c>
      <c r="F13210" t="str">
        <f t="shared" si="2586"/>
        <v>COM</v>
      </c>
      <c r="G13210" t="str">
        <f t="shared" si="2588"/>
        <v>DANILO VICENTE MARINHO SANTOS (1018)</v>
      </c>
      <c r="H13210" t="s">
        <v>3605</v>
      </c>
      <c r="I13210" t="str">
        <f t="shared" si="2583"/>
        <v>27/11/2025</v>
      </c>
      <c r="J13210" t="str">
        <f t="shared" si="2584"/>
        <v>24/11/2025</v>
      </c>
      <c r="K13210">
        <v>45988</v>
      </c>
      <c r="N13210">
        <v>109</v>
      </c>
      <c r="O13210" t="s">
        <v>24</v>
      </c>
      <c r="Q13210">
        <v>275</v>
      </c>
      <c r="R13210" t="str">
        <f>"PENSE FARMA 11 (10220)"</f>
        <v>PENSE FARMA 11 (10220)</v>
      </c>
      <c r="S13210" t="s">
        <v>77</v>
      </c>
      <c r="T13210">
        <v>22720</v>
      </c>
      <c r="U13210">
        <v>26030</v>
      </c>
      <c r="V13210" t="s">
        <v>77</v>
      </c>
    </row>
    <row r="13211" spans="1:22">
      <c r="A13211" t="str">
        <f t="shared" si="2580"/>
        <v>27/11/2025</v>
      </c>
      <c r="B13211" t="str">
        <f t="shared" si="2581"/>
        <v>SAÍDA</v>
      </c>
      <c r="C13211" t="str">
        <f t="shared" si="2582"/>
        <v>PIX</v>
      </c>
      <c r="D13211" t="str">
        <f t="shared" si="2587"/>
        <v>26030</v>
      </c>
      <c r="E13211" t="str">
        <f t="shared" si="2585"/>
        <v>1</v>
      </c>
      <c r="F13211" t="str">
        <f t="shared" si="2586"/>
        <v>COM</v>
      </c>
      <c r="G13211" t="str">
        <f t="shared" si="2588"/>
        <v>DANILO VICENTE MARINHO SANTOS (1018)</v>
      </c>
      <c r="H13211" t="s">
        <v>3605</v>
      </c>
      <c r="I13211" t="str">
        <f t="shared" si="2583"/>
        <v>27/11/2025</v>
      </c>
      <c r="J13211" t="str">
        <f t="shared" si="2584"/>
        <v>24/11/2025</v>
      </c>
      <c r="K13211">
        <v>45988</v>
      </c>
      <c r="N13211">
        <v>109</v>
      </c>
      <c r="O13211" t="s">
        <v>24</v>
      </c>
      <c r="Q13211">
        <v>275</v>
      </c>
      <c r="R13211" t="str">
        <f>"PENSE FARMA 41 (10229)"</f>
        <v>PENSE FARMA 41 (10229)</v>
      </c>
      <c r="S13211" t="s">
        <v>77</v>
      </c>
      <c r="T13211">
        <v>22720</v>
      </c>
      <c r="U13211">
        <v>26030</v>
      </c>
      <c r="V13211" t="s">
        <v>77</v>
      </c>
    </row>
    <row r="13212" spans="1:22">
      <c r="A13212" t="str">
        <f t="shared" si="2580"/>
        <v>27/11/2025</v>
      </c>
      <c r="B13212" t="str">
        <f t="shared" si="2581"/>
        <v>SAÍDA</v>
      </c>
      <c r="C13212" t="str">
        <f t="shared" si="2582"/>
        <v>PIX</v>
      </c>
      <c r="D13212" t="str">
        <f t="shared" si="2587"/>
        <v>26030</v>
      </c>
      <c r="E13212" t="str">
        <f t="shared" si="2585"/>
        <v>1</v>
      </c>
      <c r="F13212" t="str">
        <f t="shared" si="2586"/>
        <v>COM</v>
      </c>
      <c r="G13212" t="str">
        <f t="shared" si="2588"/>
        <v>DANILO VICENTE MARINHO SANTOS (1018)</v>
      </c>
      <c r="H13212" t="s">
        <v>3605</v>
      </c>
      <c r="I13212" t="str">
        <f t="shared" si="2583"/>
        <v>27/11/2025</v>
      </c>
      <c r="J13212" t="str">
        <f t="shared" si="2584"/>
        <v>24/11/2025</v>
      </c>
      <c r="K13212">
        <v>45988</v>
      </c>
      <c r="N13212">
        <v>109</v>
      </c>
      <c r="O13212" t="s">
        <v>24</v>
      </c>
      <c r="Q13212">
        <v>275</v>
      </c>
      <c r="R13212" t="str">
        <f>"PENSE FARMA 42 (10230)"</f>
        <v>PENSE FARMA 42 (10230)</v>
      </c>
      <c r="S13212" t="s">
        <v>77</v>
      </c>
      <c r="T13212">
        <v>22720</v>
      </c>
      <c r="U13212">
        <v>26030</v>
      </c>
      <c r="V13212" t="s">
        <v>77</v>
      </c>
    </row>
    <row r="13213" spans="1:22">
      <c r="A13213" t="str">
        <f t="shared" si="2580"/>
        <v>27/11/2025</v>
      </c>
      <c r="B13213" t="str">
        <f t="shared" si="2581"/>
        <v>SAÍDA</v>
      </c>
      <c r="C13213" t="str">
        <f t="shared" si="2582"/>
        <v>PIX</v>
      </c>
      <c r="D13213" t="str">
        <f t="shared" si="2587"/>
        <v>26030</v>
      </c>
      <c r="E13213" t="str">
        <f t="shared" si="2585"/>
        <v>1</v>
      </c>
      <c r="F13213" t="str">
        <f t="shared" si="2586"/>
        <v>COM</v>
      </c>
      <c r="G13213" t="str">
        <f t="shared" si="2588"/>
        <v>DANILO VICENTE MARINHO SANTOS (1018)</v>
      </c>
      <c r="H13213" t="s">
        <v>3605</v>
      </c>
      <c r="I13213" t="str">
        <f t="shared" si="2583"/>
        <v>27/11/2025</v>
      </c>
      <c r="J13213" t="str">
        <f t="shared" si="2584"/>
        <v>24/11/2025</v>
      </c>
      <c r="K13213">
        <v>45988</v>
      </c>
      <c r="N13213">
        <v>109</v>
      </c>
      <c r="O13213" t="s">
        <v>24</v>
      </c>
      <c r="Q13213">
        <v>275</v>
      </c>
      <c r="R13213" t="str">
        <f>"PENSE FARMA 52 (10236)"</f>
        <v>PENSE FARMA 52 (10236)</v>
      </c>
      <c r="S13213" t="s">
        <v>77</v>
      </c>
      <c r="T13213">
        <v>22720</v>
      </c>
      <c r="U13213">
        <v>26030</v>
      </c>
      <c r="V13213" t="s">
        <v>77</v>
      </c>
    </row>
    <row r="13214" spans="1:22">
      <c r="A13214" t="str">
        <f t="shared" si="2580"/>
        <v>27/11/2025</v>
      </c>
      <c r="B13214" t="str">
        <f t="shared" si="2581"/>
        <v>SAÍDA</v>
      </c>
      <c r="C13214" t="str">
        <f t="shared" si="2582"/>
        <v>PIX</v>
      </c>
      <c r="D13214" t="str">
        <f t="shared" ref="D13214:D13219" si="2589">"26031"</f>
        <v>26031</v>
      </c>
      <c r="E13214" t="str">
        <f t="shared" si="2585"/>
        <v>1</v>
      </c>
      <c r="F13214" t="str">
        <f t="shared" si="2586"/>
        <v>COM</v>
      </c>
      <c r="G13214" t="str">
        <f t="shared" ref="G13214:G13219" si="2590">"EDUARDO RODRIGUES ALVES STEPHANO (999)"</f>
        <v>EDUARDO RODRIGUES ALVES STEPHANO (999)</v>
      </c>
      <c r="H13214" t="str">
        <f>"Serv.Prest. 17/11/2025 a 23/11/2025 - PIX: CPF - CHAVE: 370.849.948-40"</f>
        <v>Serv.Prest. 17/11/2025 a 23/11/2025 - PIX: CPF - CHAVE: 370.849.948-40</v>
      </c>
      <c r="I13214" t="str">
        <f t="shared" si="2583"/>
        <v>27/11/2025</v>
      </c>
      <c r="J13214" t="str">
        <f t="shared" si="2584"/>
        <v>24/11/2025</v>
      </c>
      <c r="K13214" t="str">
        <f>("27/11/2025")</f>
        <v>27/11/2025</v>
      </c>
      <c r="L13214">
        <v>1375</v>
      </c>
      <c r="M13214">
        <v>1375</v>
      </c>
      <c r="N13214">
        <v>109</v>
      </c>
      <c r="O13214" t="str">
        <f>"PAGAMENTO DE ENTREGADORES"</f>
        <v>PAGAMENTO DE ENTREGADORES</v>
      </c>
      <c r="P13214">
        <v>1375</v>
      </c>
      <c r="S13214" t="str">
        <f>"BANCO C6 (149)"</f>
        <v>BANCO C6 (149)</v>
      </c>
      <c r="T13214">
        <v>22721</v>
      </c>
      <c r="U13214">
        <v>26031</v>
      </c>
      <c r="V13214" t="s">
        <v>77</v>
      </c>
    </row>
    <row r="13215" spans="1:22">
      <c r="A13215" t="str">
        <f t="shared" si="2580"/>
        <v>27/11/2025</v>
      </c>
      <c r="B13215" t="str">
        <f t="shared" si="2581"/>
        <v>SAÍDA</v>
      </c>
      <c r="C13215" t="str">
        <f t="shared" si="2582"/>
        <v>PIX</v>
      </c>
      <c r="D13215" t="str">
        <f t="shared" si="2589"/>
        <v>26031</v>
      </c>
      <c r="E13215" t="str">
        <f t="shared" si="2585"/>
        <v>1</v>
      </c>
      <c r="F13215" t="str">
        <f t="shared" si="2586"/>
        <v>COM</v>
      </c>
      <c r="G13215" t="str">
        <f t="shared" si="2590"/>
        <v>EDUARDO RODRIGUES ALVES STEPHANO (999)</v>
      </c>
      <c r="H13215" t="s">
        <v>3606</v>
      </c>
      <c r="I13215" t="str">
        <f t="shared" si="2583"/>
        <v>27/11/2025</v>
      </c>
      <c r="J13215" t="str">
        <f t="shared" si="2584"/>
        <v>24/11/2025</v>
      </c>
      <c r="K13215">
        <v>45988</v>
      </c>
      <c r="N13215">
        <v>109</v>
      </c>
      <c r="O13215" t="s">
        <v>24</v>
      </c>
      <c r="Q13215">
        <v>275</v>
      </c>
      <c r="R13215" t="str">
        <f>"PENSE FARMA 08 (10217)"</f>
        <v>PENSE FARMA 08 (10217)</v>
      </c>
      <c r="S13215" t="s">
        <v>77</v>
      </c>
      <c r="T13215">
        <v>22721</v>
      </c>
      <c r="U13215">
        <v>26031</v>
      </c>
      <c r="V13215" t="s">
        <v>77</v>
      </c>
    </row>
    <row r="13216" spans="1:22">
      <c r="A13216" t="str">
        <f t="shared" si="2580"/>
        <v>27/11/2025</v>
      </c>
      <c r="B13216" t="str">
        <f t="shared" si="2581"/>
        <v>SAÍDA</v>
      </c>
      <c r="C13216" t="str">
        <f t="shared" si="2582"/>
        <v>PIX</v>
      </c>
      <c r="D13216" t="str">
        <f t="shared" si="2589"/>
        <v>26031</v>
      </c>
      <c r="E13216" t="str">
        <f t="shared" si="2585"/>
        <v>1</v>
      </c>
      <c r="F13216" t="str">
        <f t="shared" si="2586"/>
        <v>COM</v>
      </c>
      <c r="G13216" t="str">
        <f t="shared" si="2590"/>
        <v>EDUARDO RODRIGUES ALVES STEPHANO (999)</v>
      </c>
      <c r="H13216" t="s">
        <v>3606</v>
      </c>
      <c r="I13216" t="str">
        <f t="shared" si="2583"/>
        <v>27/11/2025</v>
      </c>
      <c r="J13216" t="str">
        <f t="shared" si="2584"/>
        <v>24/11/2025</v>
      </c>
      <c r="K13216">
        <v>45988</v>
      </c>
      <c r="N13216">
        <v>109</v>
      </c>
      <c r="O13216" t="s">
        <v>24</v>
      </c>
      <c r="Q13216">
        <v>275</v>
      </c>
      <c r="R13216" t="str">
        <f>"PENSE FARMA 11 (10220)"</f>
        <v>PENSE FARMA 11 (10220)</v>
      </c>
      <c r="S13216" t="s">
        <v>77</v>
      </c>
      <c r="T13216">
        <v>22721</v>
      </c>
      <c r="U13216">
        <v>26031</v>
      </c>
      <c r="V13216" t="s">
        <v>77</v>
      </c>
    </row>
    <row r="13217" spans="1:22">
      <c r="A13217" t="str">
        <f t="shared" si="2580"/>
        <v>27/11/2025</v>
      </c>
      <c r="B13217" t="str">
        <f t="shared" si="2581"/>
        <v>SAÍDA</v>
      </c>
      <c r="C13217" t="str">
        <f t="shared" si="2582"/>
        <v>PIX</v>
      </c>
      <c r="D13217" t="str">
        <f t="shared" si="2589"/>
        <v>26031</v>
      </c>
      <c r="E13217" t="str">
        <f t="shared" si="2585"/>
        <v>1</v>
      </c>
      <c r="F13217" t="str">
        <f t="shared" si="2586"/>
        <v>COM</v>
      </c>
      <c r="G13217" t="str">
        <f t="shared" si="2590"/>
        <v>EDUARDO RODRIGUES ALVES STEPHANO (999)</v>
      </c>
      <c r="H13217" t="s">
        <v>3606</v>
      </c>
      <c r="I13217" t="str">
        <f t="shared" si="2583"/>
        <v>27/11/2025</v>
      </c>
      <c r="J13217" t="str">
        <f t="shared" si="2584"/>
        <v>24/11/2025</v>
      </c>
      <c r="K13217">
        <v>45988</v>
      </c>
      <c r="N13217">
        <v>109</v>
      </c>
      <c r="O13217" t="s">
        <v>24</v>
      </c>
      <c r="Q13217">
        <v>275</v>
      </c>
      <c r="R13217" t="str">
        <f>"PENSE FARMA 41 (10229)"</f>
        <v>PENSE FARMA 41 (10229)</v>
      </c>
      <c r="S13217" t="s">
        <v>77</v>
      </c>
      <c r="T13217">
        <v>22721</v>
      </c>
      <c r="U13217">
        <v>26031</v>
      </c>
      <c r="V13217" t="s">
        <v>77</v>
      </c>
    </row>
    <row r="13218" spans="1:22">
      <c r="A13218" t="str">
        <f t="shared" si="2580"/>
        <v>27/11/2025</v>
      </c>
      <c r="B13218" t="str">
        <f t="shared" si="2581"/>
        <v>SAÍDA</v>
      </c>
      <c r="C13218" t="str">
        <f t="shared" si="2582"/>
        <v>PIX</v>
      </c>
      <c r="D13218" t="str">
        <f t="shared" si="2589"/>
        <v>26031</v>
      </c>
      <c r="E13218" t="str">
        <f t="shared" si="2585"/>
        <v>1</v>
      </c>
      <c r="F13218" t="str">
        <f t="shared" si="2586"/>
        <v>COM</v>
      </c>
      <c r="G13218" t="str">
        <f t="shared" si="2590"/>
        <v>EDUARDO RODRIGUES ALVES STEPHANO (999)</v>
      </c>
      <c r="H13218" t="s">
        <v>3606</v>
      </c>
      <c r="I13218" t="str">
        <f t="shared" si="2583"/>
        <v>27/11/2025</v>
      </c>
      <c r="J13218" t="str">
        <f t="shared" si="2584"/>
        <v>24/11/2025</v>
      </c>
      <c r="K13218">
        <v>45988</v>
      </c>
      <c r="N13218">
        <v>109</v>
      </c>
      <c r="O13218" t="s">
        <v>24</v>
      </c>
      <c r="Q13218">
        <v>275</v>
      </c>
      <c r="R13218" t="str">
        <f>"PENSE FARMA 42 (10230)"</f>
        <v>PENSE FARMA 42 (10230)</v>
      </c>
      <c r="S13218" t="s">
        <v>77</v>
      </c>
      <c r="T13218">
        <v>22721</v>
      </c>
      <c r="U13218">
        <v>26031</v>
      </c>
      <c r="V13218" t="s">
        <v>77</v>
      </c>
    </row>
    <row r="13219" spans="1:22">
      <c r="A13219" t="str">
        <f t="shared" si="2580"/>
        <v>27/11/2025</v>
      </c>
      <c r="B13219" t="str">
        <f t="shared" si="2581"/>
        <v>SAÍDA</v>
      </c>
      <c r="C13219" t="str">
        <f t="shared" si="2582"/>
        <v>PIX</v>
      </c>
      <c r="D13219" t="str">
        <f t="shared" si="2589"/>
        <v>26031</v>
      </c>
      <c r="E13219" t="str">
        <f t="shared" si="2585"/>
        <v>1</v>
      </c>
      <c r="F13219" t="str">
        <f t="shared" si="2586"/>
        <v>COM</v>
      </c>
      <c r="G13219" t="str">
        <f t="shared" si="2590"/>
        <v>EDUARDO RODRIGUES ALVES STEPHANO (999)</v>
      </c>
      <c r="H13219" t="s">
        <v>3606</v>
      </c>
      <c r="I13219" t="str">
        <f t="shared" si="2583"/>
        <v>27/11/2025</v>
      </c>
      <c r="J13219" t="str">
        <f t="shared" si="2584"/>
        <v>24/11/2025</v>
      </c>
      <c r="K13219">
        <v>45988</v>
      </c>
      <c r="N13219">
        <v>109</v>
      </c>
      <c r="O13219" t="s">
        <v>24</v>
      </c>
      <c r="Q13219">
        <v>275</v>
      </c>
      <c r="R13219" t="str">
        <f>"PENSE FARMA 52 (10236)"</f>
        <v>PENSE FARMA 52 (10236)</v>
      </c>
      <c r="S13219" t="s">
        <v>77</v>
      </c>
      <c r="T13219">
        <v>22721</v>
      </c>
      <c r="U13219">
        <v>26031</v>
      </c>
      <c r="V13219" t="s">
        <v>77</v>
      </c>
    </row>
    <row r="13220" spans="1:22">
      <c r="A13220" t="str">
        <f t="shared" si="2580"/>
        <v>27/11/2025</v>
      </c>
      <c r="B13220" t="str">
        <f t="shared" si="2581"/>
        <v>SAÍDA</v>
      </c>
      <c r="C13220" t="str">
        <f t="shared" si="2582"/>
        <v>PIX</v>
      </c>
      <c r="D13220" t="str">
        <f>"26033"</f>
        <v>26033</v>
      </c>
      <c r="E13220" t="str">
        <f t="shared" si="2585"/>
        <v>1</v>
      </c>
      <c r="F13220" t="str">
        <f t="shared" si="2586"/>
        <v>COM</v>
      </c>
      <c r="G13220" t="str">
        <f>"MARCOS DUARTE CARVALHO (998)"</f>
        <v>MARCOS DUARTE CARVALHO (998)</v>
      </c>
      <c r="H13220" t="str">
        <f>"Serv.Prest. 17/11/2025 a 23/11/2025 - PIX: CPF - CHAVE: 396.877.618-65"</f>
        <v>Serv.Prest. 17/11/2025 a 23/11/2025 - PIX: CPF - CHAVE: 396.877.618-65</v>
      </c>
      <c r="I13220" t="str">
        <f t="shared" si="2583"/>
        <v>27/11/2025</v>
      </c>
      <c r="J13220" t="str">
        <f t="shared" si="2584"/>
        <v>24/11/2025</v>
      </c>
      <c r="K13220" t="str">
        <f>("27/11/2025")</f>
        <v>27/11/2025</v>
      </c>
      <c r="L13220">
        <v>1375</v>
      </c>
      <c r="M13220">
        <v>1375</v>
      </c>
      <c r="N13220">
        <v>109</v>
      </c>
      <c r="O13220" t="str">
        <f>"PAGAMENTO DE ENTREGADORES"</f>
        <v>PAGAMENTO DE ENTREGADORES</v>
      </c>
      <c r="P13220">
        <v>1375</v>
      </c>
      <c r="S13220" t="str">
        <f>"BANCO C6 (149)"</f>
        <v>BANCO C6 (149)</v>
      </c>
      <c r="T13220">
        <v>22722</v>
      </c>
      <c r="U13220">
        <v>26033</v>
      </c>
      <c r="V13220" t="s">
        <v>77</v>
      </c>
    </row>
    <row r="13221" spans="1:22">
      <c r="A13221" t="str">
        <f t="shared" si="2580"/>
        <v>27/11/2025</v>
      </c>
      <c r="B13221" t="str">
        <f t="shared" si="2581"/>
        <v>SAÍDA</v>
      </c>
      <c r="C13221" t="str">
        <f t="shared" si="2582"/>
        <v>PIX</v>
      </c>
      <c r="D13221" t="str">
        <f>"26033"</f>
        <v>26033</v>
      </c>
      <c r="E13221" t="str">
        <f t="shared" si="2585"/>
        <v>1</v>
      </c>
      <c r="F13221" t="str">
        <f t="shared" si="2586"/>
        <v>COM</v>
      </c>
      <c r="G13221" t="str">
        <f>"MARCOS DUARTE CARVALHO (998)"</f>
        <v>MARCOS DUARTE CARVALHO (998)</v>
      </c>
      <c r="H13221" t="s">
        <v>3607</v>
      </c>
      <c r="I13221" t="str">
        <f t="shared" si="2583"/>
        <v>27/11/2025</v>
      </c>
      <c r="J13221" t="str">
        <f t="shared" si="2584"/>
        <v>24/11/2025</v>
      </c>
      <c r="K13221">
        <v>45988</v>
      </c>
      <c r="N13221">
        <v>109</v>
      </c>
      <c r="O13221" t="s">
        <v>24</v>
      </c>
      <c r="Q13221">
        <v>687.5</v>
      </c>
      <c r="R13221" t="str">
        <f>"PENSE FARMA 09 (10218)"</f>
        <v>PENSE FARMA 09 (10218)</v>
      </c>
      <c r="S13221" t="s">
        <v>77</v>
      </c>
      <c r="T13221">
        <v>22722</v>
      </c>
      <c r="U13221">
        <v>26033</v>
      </c>
      <c r="V13221" t="s">
        <v>77</v>
      </c>
    </row>
    <row r="13222" spans="1:22">
      <c r="A13222" t="str">
        <f t="shared" si="2580"/>
        <v>27/11/2025</v>
      </c>
      <c r="B13222" t="str">
        <f t="shared" si="2581"/>
        <v>SAÍDA</v>
      </c>
      <c r="C13222" t="str">
        <f t="shared" si="2582"/>
        <v>PIX</v>
      </c>
      <c r="D13222" t="str">
        <f>"26033"</f>
        <v>26033</v>
      </c>
      <c r="E13222" t="str">
        <f t="shared" si="2585"/>
        <v>1</v>
      </c>
      <c r="F13222" t="str">
        <f t="shared" si="2586"/>
        <v>COM</v>
      </c>
      <c r="G13222" t="str">
        <f>"MARCOS DUARTE CARVALHO (998)"</f>
        <v>MARCOS DUARTE CARVALHO (998)</v>
      </c>
      <c r="H13222" t="s">
        <v>3607</v>
      </c>
      <c r="I13222" t="str">
        <f t="shared" si="2583"/>
        <v>27/11/2025</v>
      </c>
      <c r="J13222" t="str">
        <f t="shared" si="2584"/>
        <v>24/11/2025</v>
      </c>
      <c r="K13222">
        <v>45988</v>
      </c>
      <c r="N13222">
        <v>109</v>
      </c>
      <c r="O13222" t="s">
        <v>24</v>
      </c>
      <c r="Q13222">
        <v>687.5</v>
      </c>
      <c r="R13222" t="str">
        <f>"PENSE FARMA 10 (10219)"</f>
        <v>PENSE FARMA 10 (10219)</v>
      </c>
      <c r="S13222" t="s">
        <v>77</v>
      </c>
      <c r="T13222">
        <v>22722</v>
      </c>
      <c r="U13222">
        <v>26033</v>
      </c>
      <c r="V13222" t="s">
        <v>77</v>
      </c>
    </row>
    <row r="13223" spans="1:22">
      <c r="A13223" t="str">
        <f t="shared" si="2580"/>
        <v>27/11/2025</v>
      </c>
      <c r="B13223" t="str">
        <f t="shared" si="2581"/>
        <v>SAÍDA</v>
      </c>
      <c r="C13223" t="str">
        <f t="shared" si="2582"/>
        <v>PIX</v>
      </c>
      <c r="D13223" t="str">
        <f>"26051"</f>
        <v>26051</v>
      </c>
      <c r="E13223" t="str">
        <f t="shared" si="2585"/>
        <v>1</v>
      </c>
      <c r="F13223" t="str">
        <f t="shared" si="2586"/>
        <v>COM</v>
      </c>
      <c r="G13223" t="str">
        <f>"EDSON ANDRADE PINHEIRO (1075)"</f>
        <v>EDSON ANDRADE PINHEIRO (1075)</v>
      </c>
      <c r="H13223" t="str">
        <f>"Serv.Prest. 17/11/2025 a 23/11/2025 - PIX: CPF - CHAVE: 351.063.158-75"</f>
        <v>Serv.Prest. 17/11/2025 a 23/11/2025 - PIX: CPF - CHAVE: 351.063.158-75</v>
      </c>
      <c r="I13223" t="str">
        <f t="shared" si="2583"/>
        <v>27/11/2025</v>
      </c>
      <c r="J13223" t="str">
        <f t="shared" si="2584"/>
        <v>24/11/2025</v>
      </c>
      <c r="K13223" t="str">
        <f>("27/11/2025")</f>
        <v>27/11/2025</v>
      </c>
      <c r="L13223">
        <v>700</v>
      </c>
      <c r="M13223">
        <v>700</v>
      </c>
      <c r="N13223">
        <v>109</v>
      </c>
      <c r="O13223" t="str">
        <f>"PAGAMENTO DE ENTREGADORES"</f>
        <v>PAGAMENTO DE ENTREGADORES</v>
      </c>
      <c r="P13223">
        <v>700</v>
      </c>
      <c r="S13223" t="str">
        <f>"BANCO C6 (149)"</f>
        <v>BANCO C6 (149)</v>
      </c>
      <c r="T13223">
        <v>22723</v>
      </c>
      <c r="U13223">
        <v>26051</v>
      </c>
      <c r="V13223" t="s">
        <v>77</v>
      </c>
    </row>
    <row r="13224" spans="1:22">
      <c r="A13224" t="str">
        <f t="shared" si="2580"/>
        <v>27/11/2025</v>
      </c>
      <c r="B13224" t="str">
        <f t="shared" si="2581"/>
        <v>SAÍDA</v>
      </c>
      <c r="C13224" t="str">
        <f t="shared" si="2582"/>
        <v>PIX</v>
      </c>
      <c r="D13224" t="str">
        <f>"26051"</f>
        <v>26051</v>
      </c>
      <c r="E13224" t="str">
        <f t="shared" si="2585"/>
        <v>1</v>
      </c>
      <c r="F13224" t="str">
        <f t="shared" si="2586"/>
        <v>COM</v>
      </c>
      <c r="G13224" t="str">
        <f>"EDSON ANDRADE PINHEIRO (1075)"</f>
        <v>EDSON ANDRADE PINHEIRO (1075)</v>
      </c>
      <c r="H13224" t="s">
        <v>3608</v>
      </c>
      <c r="I13224" t="str">
        <f t="shared" si="2583"/>
        <v>27/11/2025</v>
      </c>
      <c r="J13224" t="str">
        <f t="shared" si="2584"/>
        <v>24/11/2025</v>
      </c>
      <c r="K13224">
        <v>45988</v>
      </c>
      <c r="N13224">
        <v>109</v>
      </c>
      <c r="O13224" t="s">
        <v>24</v>
      </c>
      <c r="Q13224">
        <v>700</v>
      </c>
      <c r="R13224" t="str">
        <f>"PENSE FARMA 46 (10194)"</f>
        <v>PENSE FARMA 46 (10194)</v>
      </c>
      <c r="S13224" t="s">
        <v>77</v>
      </c>
      <c r="T13224">
        <v>22723</v>
      </c>
      <c r="U13224">
        <v>26051</v>
      </c>
      <c r="V13224" t="s">
        <v>77</v>
      </c>
    </row>
    <row r="13225" spans="1:22">
      <c r="A13225" t="str">
        <f t="shared" si="2580"/>
        <v>27/11/2025</v>
      </c>
      <c r="B13225" t="str">
        <f t="shared" si="2581"/>
        <v>SAÍDA</v>
      </c>
      <c r="C13225" t="str">
        <f t="shared" si="2582"/>
        <v>PIX</v>
      </c>
      <c r="D13225" t="str">
        <f>"26052"</f>
        <v>26052</v>
      </c>
      <c r="E13225" t="str">
        <f t="shared" si="2585"/>
        <v>1</v>
      </c>
      <c r="F13225" t="str">
        <f t="shared" si="2586"/>
        <v>COM</v>
      </c>
      <c r="G13225" t="str">
        <f>"HERICK KUSSYOYADA CAMARA (937)"</f>
        <v>HERICK KUSSYOYADA CAMARA (937)</v>
      </c>
      <c r="H13225" t="str">
        <f>"Serv.Prest. 17/11/2025 a 23/11/2025 - PIX: CPF - CHAVE: 427.090.718-51"</f>
        <v>Serv.Prest. 17/11/2025 a 23/11/2025 - PIX: CPF - CHAVE: 427.090.718-51</v>
      </c>
      <c r="I13225" t="str">
        <f t="shared" si="2583"/>
        <v>27/11/2025</v>
      </c>
      <c r="J13225" t="str">
        <f t="shared" si="2584"/>
        <v>24/11/2025</v>
      </c>
      <c r="K13225" t="str">
        <f>("27/11/2025")</f>
        <v>27/11/2025</v>
      </c>
      <c r="L13225">
        <v>700</v>
      </c>
      <c r="M13225">
        <v>700</v>
      </c>
      <c r="N13225">
        <v>109</v>
      </c>
      <c r="O13225" t="str">
        <f>"PAGAMENTO DE ENTREGADORES"</f>
        <v>PAGAMENTO DE ENTREGADORES</v>
      </c>
      <c r="P13225">
        <v>700</v>
      </c>
      <c r="S13225" t="str">
        <f>"BANCO C6 (149)"</f>
        <v>BANCO C6 (149)</v>
      </c>
      <c r="T13225">
        <v>22724</v>
      </c>
      <c r="U13225">
        <v>26052</v>
      </c>
      <c r="V13225" t="s">
        <v>77</v>
      </c>
    </row>
    <row r="13226" spans="1:22">
      <c r="A13226" t="str">
        <f t="shared" si="2580"/>
        <v>27/11/2025</v>
      </c>
      <c r="B13226" t="str">
        <f t="shared" si="2581"/>
        <v>SAÍDA</v>
      </c>
      <c r="C13226" t="str">
        <f t="shared" si="2582"/>
        <v>PIX</v>
      </c>
      <c r="D13226" t="str">
        <f>"26052"</f>
        <v>26052</v>
      </c>
      <c r="E13226" t="str">
        <f t="shared" si="2585"/>
        <v>1</v>
      </c>
      <c r="F13226" t="str">
        <f t="shared" si="2586"/>
        <v>COM</v>
      </c>
      <c r="G13226" t="str">
        <f>"HERICK KUSSYOYADA CAMARA (937)"</f>
        <v>HERICK KUSSYOYADA CAMARA (937)</v>
      </c>
      <c r="H13226" t="s">
        <v>3609</v>
      </c>
      <c r="I13226" t="str">
        <f t="shared" si="2583"/>
        <v>27/11/2025</v>
      </c>
      <c r="J13226" t="str">
        <f t="shared" si="2584"/>
        <v>24/11/2025</v>
      </c>
      <c r="K13226">
        <v>45988</v>
      </c>
      <c r="N13226">
        <v>109</v>
      </c>
      <c r="O13226" t="s">
        <v>24</v>
      </c>
      <c r="Q13226">
        <v>700</v>
      </c>
      <c r="R13226" t="str">
        <f>"PENSE FARMA 46 (10194)"</f>
        <v>PENSE FARMA 46 (10194)</v>
      </c>
      <c r="S13226" t="s">
        <v>77</v>
      </c>
      <c r="T13226">
        <v>22724</v>
      </c>
      <c r="U13226">
        <v>26052</v>
      </c>
      <c r="V13226" t="s">
        <v>77</v>
      </c>
    </row>
    <row r="13227" spans="1:22">
      <c r="A13227" t="str">
        <f t="shared" si="2580"/>
        <v>27/11/2025</v>
      </c>
      <c r="B13227" t="str">
        <f t="shared" si="2581"/>
        <v>SAÍDA</v>
      </c>
      <c r="C13227" t="str">
        <f t="shared" si="2582"/>
        <v>PIX</v>
      </c>
      <c r="D13227" t="str">
        <f t="shared" ref="D13227:D13233" si="2591">"26057"</f>
        <v>26057</v>
      </c>
      <c r="E13227" t="str">
        <f t="shared" si="2585"/>
        <v>1</v>
      </c>
      <c r="F13227" t="str">
        <f t="shared" si="2586"/>
        <v>COM</v>
      </c>
      <c r="G13227" t="str">
        <f t="shared" ref="G13227:G13233" si="2592">"FELIPE ALEXANDRE CAMA (976)"</f>
        <v>FELIPE ALEXANDRE CAMA (976)</v>
      </c>
      <c r="H13227" t="str">
        <f>"Serv.Prest. 17/11/2025 a 23/11/2025 - PIX: CPF - CHAVE: 471.142.438-55"</f>
        <v>Serv.Prest. 17/11/2025 a 23/11/2025 - PIX: CPF - CHAVE: 471.142.438-55</v>
      </c>
      <c r="I13227" t="str">
        <f t="shared" si="2583"/>
        <v>27/11/2025</v>
      </c>
      <c r="J13227" t="str">
        <f t="shared" si="2584"/>
        <v>24/11/2025</v>
      </c>
      <c r="K13227" t="str">
        <f>("27/11/2025")</f>
        <v>27/11/2025</v>
      </c>
      <c r="L13227">
        <v>1325</v>
      </c>
      <c r="M13227">
        <v>1325</v>
      </c>
      <c r="N13227">
        <v>109</v>
      </c>
      <c r="O13227" t="str">
        <f>"PAGAMENTO DE ENTREGADORES"</f>
        <v>PAGAMENTO DE ENTREGADORES</v>
      </c>
      <c r="P13227">
        <v>1325</v>
      </c>
      <c r="S13227" t="str">
        <f>"BANCO C6 (149)"</f>
        <v>BANCO C6 (149)</v>
      </c>
      <c r="T13227">
        <v>22725</v>
      </c>
      <c r="U13227">
        <v>26057</v>
      </c>
      <c r="V13227" t="s">
        <v>77</v>
      </c>
    </row>
    <row r="13228" spans="1:22">
      <c r="A13228" t="str">
        <f t="shared" si="2580"/>
        <v>27/11/2025</v>
      </c>
      <c r="B13228" t="str">
        <f t="shared" si="2581"/>
        <v>SAÍDA</v>
      </c>
      <c r="C13228" t="str">
        <f t="shared" si="2582"/>
        <v>PIX</v>
      </c>
      <c r="D13228" t="str">
        <f t="shared" si="2591"/>
        <v>26057</v>
      </c>
      <c r="E13228" t="str">
        <f t="shared" si="2585"/>
        <v>1</v>
      </c>
      <c r="F13228" t="str">
        <f t="shared" si="2586"/>
        <v>COM</v>
      </c>
      <c r="G13228" t="str">
        <f t="shared" si="2592"/>
        <v>FELIPE ALEXANDRE CAMA (976)</v>
      </c>
      <c r="H13228" t="s">
        <v>3610</v>
      </c>
      <c r="I13228" t="str">
        <f t="shared" si="2583"/>
        <v>27/11/2025</v>
      </c>
      <c r="J13228" t="str">
        <f t="shared" si="2584"/>
        <v>24/11/2025</v>
      </c>
      <c r="K13228">
        <v>45988</v>
      </c>
      <c r="N13228">
        <v>109</v>
      </c>
      <c r="O13228" t="s">
        <v>24</v>
      </c>
      <c r="Q13228">
        <v>220.87</v>
      </c>
      <c r="R13228" t="str">
        <f>"PENSE FARMA 20 (10203)"</f>
        <v>PENSE FARMA 20 (10203)</v>
      </c>
      <c r="S13228" t="s">
        <v>77</v>
      </c>
      <c r="T13228">
        <v>22725</v>
      </c>
      <c r="U13228">
        <v>26057</v>
      </c>
      <c r="V13228" t="s">
        <v>77</v>
      </c>
    </row>
    <row r="13229" spans="1:22">
      <c r="A13229" t="str">
        <f t="shared" si="2580"/>
        <v>27/11/2025</v>
      </c>
      <c r="B13229" t="str">
        <f t="shared" si="2581"/>
        <v>SAÍDA</v>
      </c>
      <c r="C13229" t="str">
        <f t="shared" si="2582"/>
        <v>PIX</v>
      </c>
      <c r="D13229" t="str">
        <f t="shared" si="2591"/>
        <v>26057</v>
      </c>
      <c r="E13229" t="str">
        <f t="shared" si="2585"/>
        <v>1</v>
      </c>
      <c r="F13229" t="str">
        <f t="shared" si="2586"/>
        <v>COM</v>
      </c>
      <c r="G13229" t="str">
        <f t="shared" si="2592"/>
        <v>FELIPE ALEXANDRE CAMA (976)</v>
      </c>
      <c r="H13229" t="s">
        <v>3610</v>
      </c>
      <c r="I13229" t="str">
        <f t="shared" si="2583"/>
        <v>27/11/2025</v>
      </c>
      <c r="J13229" t="str">
        <f t="shared" si="2584"/>
        <v>24/11/2025</v>
      </c>
      <c r="K13229">
        <v>45988</v>
      </c>
      <c r="N13229">
        <v>109</v>
      </c>
      <c r="O13229" t="s">
        <v>24</v>
      </c>
      <c r="Q13229">
        <v>220.88</v>
      </c>
      <c r="R13229" t="str">
        <f>"PENSE FARMA 36 (10206)"</f>
        <v>PENSE FARMA 36 (10206)</v>
      </c>
      <c r="S13229" t="s">
        <v>77</v>
      </c>
      <c r="T13229">
        <v>22725</v>
      </c>
      <c r="U13229">
        <v>26057</v>
      </c>
      <c r="V13229" t="s">
        <v>77</v>
      </c>
    </row>
    <row r="13230" spans="1:22">
      <c r="A13230" t="str">
        <f t="shared" si="2580"/>
        <v>27/11/2025</v>
      </c>
      <c r="B13230" t="str">
        <f t="shared" si="2581"/>
        <v>SAÍDA</v>
      </c>
      <c r="C13230" t="str">
        <f t="shared" si="2582"/>
        <v>PIX</v>
      </c>
      <c r="D13230" t="str">
        <f t="shared" si="2591"/>
        <v>26057</v>
      </c>
      <c r="E13230" t="str">
        <f t="shared" si="2585"/>
        <v>1</v>
      </c>
      <c r="F13230" t="str">
        <f t="shared" si="2586"/>
        <v>COM</v>
      </c>
      <c r="G13230" t="str">
        <f t="shared" si="2592"/>
        <v>FELIPE ALEXANDRE CAMA (976)</v>
      </c>
      <c r="H13230" t="s">
        <v>3610</v>
      </c>
      <c r="I13230" t="str">
        <f t="shared" si="2583"/>
        <v>27/11/2025</v>
      </c>
      <c r="J13230" t="str">
        <f t="shared" si="2584"/>
        <v>24/11/2025</v>
      </c>
      <c r="K13230">
        <v>45988</v>
      </c>
      <c r="N13230">
        <v>109</v>
      </c>
      <c r="O13230" t="s">
        <v>24</v>
      </c>
      <c r="Q13230">
        <v>220.88</v>
      </c>
      <c r="R13230" t="str">
        <f>"PENSE FARMA 40 (10207)"</f>
        <v>PENSE FARMA 40 (10207)</v>
      </c>
      <c r="S13230" t="s">
        <v>77</v>
      </c>
      <c r="T13230">
        <v>22725</v>
      </c>
      <c r="U13230">
        <v>26057</v>
      </c>
      <c r="V13230" t="s">
        <v>77</v>
      </c>
    </row>
    <row r="13231" spans="1:22">
      <c r="A13231" t="str">
        <f t="shared" si="2580"/>
        <v>27/11/2025</v>
      </c>
      <c r="B13231" t="str">
        <f t="shared" si="2581"/>
        <v>SAÍDA</v>
      </c>
      <c r="C13231" t="str">
        <f t="shared" si="2582"/>
        <v>PIX</v>
      </c>
      <c r="D13231" t="str">
        <f t="shared" si="2591"/>
        <v>26057</v>
      </c>
      <c r="E13231" t="str">
        <f t="shared" si="2585"/>
        <v>1</v>
      </c>
      <c r="F13231" t="str">
        <f t="shared" si="2586"/>
        <v>COM</v>
      </c>
      <c r="G13231" t="str">
        <f t="shared" si="2592"/>
        <v>FELIPE ALEXANDRE CAMA (976)</v>
      </c>
      <c r="H13231" t="s">
        <v>3610</v>
      </c>
      <c r="I13231" t="str">
        <f t="shared" si="2583"/>
        <v>27/11/2025</v>
      </c>
      <c r="J13231" t="str">
        <f t="shared" si="2584"/>
        <v>24/11/2025</v>
      </c>
      <c r="K13231">
        <v>45988</v>
      </c>
      <c r="N13231">
        <v>109</v>
      </c>
      <c r="O13231" t="s">
        <v>24</v>
      </c>
      <c r="Q13231">
        <v>220.88</v>
      </c>
      <c r="R13231" t="str">
        <f>"PENSE FARMA 43 (10208)"</f>
        <v>PENSE FARMA 43 (10208)</v>
      </c>
      <c r="S13231" t="s">
        <v>77</v>
      </c>
      <c r="T13231">
        <v>22725</v>
      </c>
      <c r="U13231">
        <v>26057</v>
      </c>
      <c r="V13231" t="s">
        <v>77</v>
      </c>
    </row>
    <row r="13232" spans="1:22">
      <c r="A13232" t="str">
        <f t="shared" si="2580"/>
        <v>27/11/2025</v>
      </c>
      <c r="B13232" t="str">
        <f t="shared" si="2581"/>
        <v>SAÍDA</v>
      </c>
      <c r="C13232" t="str">
        <f t="shared" si="2582"/>
        <v>PIX</v>
      </c>
      <c r="D13232" t="str">
        <f t="shared" si="2591"/>
        <v>26057</v>
      </c>
      <c r="E13232" t="str">
        <f t="shared" si="2585"/>
        <v>1</v>
      </c>
      <c r="F13232" t="str">
        <f t="shared" si="2586"/>
        <v>COM</v>
      </c>
      <c r="G13232" t="str">
        <f t="shared" si="2592"/>
        <v>FELIPE ALEXANDRE CAMA (976)</v>
      </c>
      <c r="H13232" t="s">
        <v>3610</v>
      </c>
      <c r="I13232" t="str">
        <f t="shared" si="2583"/>
        <v>27/11/2025</v>
      </c>
      <c r="J13232" t="str">
        <f t="shared" si="2584"/>
        <v>24/11/2025</v>
      </c>
      <c r="K13232">
        <v>45988</v>
      </c>
      <c r="N13232">
        <v>109</v>
      </c>
      <c r="O13232" t="s">
        <v>24</v>
      </c>
      <c r="Q13232">
        <v>220.88</v>
      </c>
      <c r="R13232" t="str">
        <f>"PENSE FARMA 59 (10211)"</f>
        <v>PENSE FARMA 59 (10211)</v>
      </c>
      <c r="S13232" t="s">
        <v>77</v>
      </c>
      <c r="T13232">
        <v>22725</v>
      </c>
      <c r="U13232">
        <v>26057</v>
      </c>
      <c r="V13232" t="s">
        <v>77</v>
      </c>
    </row>
    <row r="13233" spans="1:22">
      <c r="A13233" t="str">
        <f t="shared" si="2580"/>
        <v>27/11/2025</v>
      </c>
      <c r="B13233" t="str">
        <f t="shared" si="2581"/>
        <v>SAÍDA</v>
      </c>
      <c r="C13233" t="str">
        <f t="shared" si="2582"/>
        <v>PIX</v>
      </c>
      <c r="D13233" t="str">
        <f t="shared" si="2591"/>
        <v>26057</v>
      </c>
      <c r="E13233" t="str">
        <f t="shared" si="2585"/>
        <v>1</v>
      </c>
      <c r="F13233" t="str">
        <f t="shared" si="2586"/>
        <v>COM</v>
      </c>
      <c r="G13233" t="str">
        <f t="shared" si="2592"/>
        <v>FELIPE ALEXANDRE CAMA (976)</v>
      </c>
      <c r="H13233" t="s">
        <v>3610</v>
      </c>
      <c r="I13233" t="str">
        <f t="shared" si="2583"/>
        <v>27/11/2025</v>
      </c>
      <c r="J13233" t="str">
        <f t="shared" si="2584"/>
        <v>24/11/2025</v>
      </c>
      <c r="K13233">
        <v>45988</v>
      </c>
      <c r="N13233">
        <v>109</v>
      </c>
      <c r="O13233" t="s">
        <v>24</v>
      </c>
      <c r="Q13233">
        <v>220.61</v>
      </c>
      <c r="R13233" t="str">
        <f>"PENSE FARMA DARK STORE 361 (10212)"</f>
        <v>PENSE FARMA DARK STORE 361 (10212)</v>
      </c>
      <c r="S13233" t="s">
        <v>77</v>
      </c>
      <c r="T13233">
        <v>22725</v>
      </c>
      <c r="U13233">
        <v>26057</v>
      </c>
      <c r="V13233" t="s">
        <v>77</v>
      </c>
    </row>
    <row r="13234" spans="1:22">
      <c r="A13234" t="str">
        <f t="shared" si="2580"/>
        <v>27/11/2025</v>
      </c>
      <c r="B13234" t="str">
        <f t="shared" si="2581"/>
        <v>SAÍDA</v>
      </c>
      <c r="C13234" t="str">
        <f t="shared" si="2582"/>
        <v>PIX</v>
      </c>
      <c r="D13234" t="str">
        <f t="shared" ref="D13234:D13240" si="2593">"26058"</f>
        <v>26058</v>
      </c>
      <c r="E13234" t="str">
        <f t="shared" si="2585"/>
        <v>1</v>
      </c>
      <c r="F13234" t="str">
        <f t="shared" si="2586"/>
        <v>COM</v>
      </c>
      <c r="G13234" t="str">
        <f t="shared" ref="G13234:G13240" si="2594">"JULIO GUIMARAES DOS SANTOS (977)"</f>
        <v>JULIO GUIMARAES DOS SANTOS (977)</v>
      </c>
      <c r="H13234" t="str">
        <f>"Serv.Prest. 17/11/2025 a 23/11/2025 - PIX: CELULAR - CHAVE: (11) 94195-2534"</f>
        <v>Serv.Prest. 17/11/2025 a 23/11/2025 - PIX: CELULAR - CHAVE: (11) 94195-2534</v>
      </c>
      <c r="I13234" t="str">
        <f t="shared" si="2583"/>
        <v>27/11/2025</v>
      </c>
      <c r="J13234" t="str">
        <f t="shared" si="2584"/>
        <v>24/11/2025</v>
      </c>
      <c r="K13234" t="str">
        <f>("27/11/2025")</f>
        <v>27/11/2025</v>
      </c>
      <c r="L13234">
        <v>1325</v>
      </c>
      <c r="M13234">
        <v>1325</v>
      </c>
      <c r="N13234">
        <v>109</v>
      </c>
      <c r="O13234" t="str">
        <f>"PAGAMENTO DE ENTREGADORES"</f>
        <v>PAGAMENTO DE ENTREGADORES</v>
      </c>
      <c r="P13234">
        <v>1325</v>
      </c>
      <c r="S13234" t="str">
        <f>"BANCO C6 (149)"</f>
        <v>BANCO C6 (149)</v>
      </c>
      <c r="T13234">
        <v>22726</v>
      </c>
      <c r="U13234">
        <v>26058</v>
      </c>
      <c r="V13234" t="s">
        <v>77</v>
      </c>
    </row>
    <row r="13235" spans="1:22">
      <c r="A13235" t="str">
        <f t="shared" ref="A13235:A13298" si="2595">("27/11/2025")</f>
        <v>27/11/2025</v>
      </c>
      <c r="B13235" t="str">
        <f t="shared" ref="B13235:B13298" si="2596">"SAÍDA"</f>
        <v>SAÍDA</v>
      </c>
      <c r="C13235" t="str">
        <f t="shared" ref="C13235:C13298" si="2597">"PIX"</f>
        <v>PIX</v>
      </c>
      <c r="D13235" t="str">
        <f t="shared" si="2593"/>
        <v>26058</v>
      </c>
      <c r="E13235" t="str">
        <f t="shared" si="2585"/>
        <v>1</v>
      </c>
      <c r="F13235" t="str">
        <f t="shared" si="2586"/>
        <v>COM</v>
      </c>
      <c r="G13235" t="str">
        <f t="shared" si="2594"/>
        <v>JULIO GUIMARAES DOS SANTOS (977)</v>
      </c>
      <c r="H13235" t="s">
        <v>3611</v>
      </c>
      <c r="I13235" t="str">
        <f t="shared" ref="I13235:I13298" si="2598">("27/11/2025")</f>
        <v>27/11/2025</v>
      </c>
      <c r="J13235" t="str">
        <f t="shared" si="2584"/>
        <v>24/11/2025</v>
      </c>
      <c r="K13235">
        <v>45988</v>
      </c>
      <c r="N13235">
        <v>109</v>
      </c>
      <c r="O13235" t="s">
        <v>24</v>
      </c>
      <c r="Q13235">
        <v>220.87</v>
      </c>
      <c r="R13235" t="str">
        <f>"PENSE FARMA 20 (10203)"</f>
        <v>PENSE FARMA 20 (10203)</v>
      </c>
      <c r="S13235" t="s">
        <v>77</v>
      </c>
      <c r="T13235">
        <v>22726</v>
      </c>
      <c r="U13235">
        <v>26058</v>
      </c>
      <c r="V13235" t="s">
        <v>77</v>
      </c>
    </row>
    <row r="13236" spans="1:22">
      <c r="A13236" t="str">
        <f t="shared" si="2595"/>
        <v>27/11/2025</v>
      </c>
      <c r="B13236" t="str">
        <f t="shared" si="2596"/>
        <v>SAÍDA</v>
      </c>
      <c r="C13236" t="str">
        <f t="shared" si="2597"/>
        <v>PIX</v>
      </c>
      <c r="D13236" t="str">
        <f t="shared" si="2593"/>
        <v>26058</v>
      </c>
      <c r="E13236" t="str">
        <f t="shared" si="2585"/>
        <v>1</v>
      </c>
      <c r="F13236" t="str">
        <f t="shared" si="2586"/>
        <v>COM</v>
      </c>
      <c r="G13236" t="str">
        <f t="shared" si="2594"/>
        <v>JULIO GUIMARAES DOS SANTOS (977)</v>
      </c>
      <c r="H13236" t="s">
        <v>3611</v>
      </c>
      <c r="I13236" t="str">
        <f t="shared" si="2598"/>
        <v>27/11/2025</v>
      </c>
      <c r="J13236" t="str">
        <f t="shared" si="2584"/>
        <v>24/11/2025</v>
      </c>
      <c r="K13236">
        <v>45988</v>
      </c>
      <c r="N13236">
        <v>109</v>
      </c>
      <c r="O13236" t="s">
        <v>24</v>
      </c>
      <c r="Q13236">
        <v>220.88</v>
      </c>
      <c r="R13236" t="str">
        <f>"PENSE FARMA 36 (10206)"</f>
        <v>PENSE FARMA 36 (10206)</v>
      </c>
      <c r="S13236" t="s">
        <v>77</v>
      </c>
      <c r="T13236">
        <v>22726</v>
      </c>
      <c r="U13236">
        <v>26058</v>
      </c>
      <c r="V13236" t="s">
        <v>77</v>
      </c>
    </row>
    <row r="13237" spans="1:22">
      <c r="A13237" t="str">
        <f t="shared" si="2595"/>
        <v>27/11/2025</v>
      </c>
      <c r="B13237" t="str">
        <f t="shared" si="2596"/>
        <v>SAÍDA</v>
      </c>
      <c r="C13237" t="str">
        <f t="shared" si="2597"/>
        <v>PIX</v>
      </c>
      <c r="D13237" t="str">
        <f t="shared" si="2593"/>
        <v>26058</v>
      </c>
      <c r="E13237" t="str">
        <f t="shared" si="2585"/>
        <v>1</v>
      </c>
      <c r="F13237" t="str">
        <f t="shared" si="2586"/>
        <v>COM</v>
      </c>
      <c r="G13237" t="str">
        <f t="shared" si="2594"/>
        <v>JULIO GUIMARAES DOS SANTOS (977)</v>
      </c>
      <c r="H13237" t="s">
        <v>3611</v>
      </c>
      <c r="I13237" t="str">
        <f t="shared" si="2598"/>
        <v>27/11/2025</v>
      </c>
      <c r="J13237" t="str">
        <f t="shared" ref="J13237:J13300" si="2599">("24/11/2025")</f>
        <v>24/11/2025</v>
      </c>
      <c r="K13237">
        <v>45988</v>
      </c>
      <c r="N13237">
        <v>109</v>
      </c>
      <c r="O13237" t="s">
        <v>24</v>
      </c>
      <c r="Q13237">
        <v>220.88</v>
      </c>
      <c r="R13237" t="str">
        <f>"PENSE FARMA 40 (10207)"</f>
        <v>PENSE FARMA 40 (10207)</v>
      </c>
      <c r="S13237" t="s">
        <v>77</v>
      </c>
      <c r="T13237">
        <v>22726</v>
      </c>
      <c r="U13237">
        <v>26058</v>
      </c>
      <c r="V13237" t="s">
        <v>77</v>
      </c>
    </row>
    <row r="13238" spans="1:22">
      <c r="A13238" t="str">
        <f t="shared" si="2595"/>
        <v>27/11/2025</v>
      </c>
      <c r="B13238" t="str">
        <f t="shared" si="2596"/>
        <v>SAÍDA</v>
      </c>
      <c r="C13238" t="str">
        <f t="shared" si="2597"/>
        <v>PIX</v>
      </c>
      <c r="D13238" t="str">
        <f t="shared" si="2593"/>
        <v>26058</v>
      </c>
      <c r="E13238" t="str">
        <f t="shared" si="2585"/>
        <v>1</v>
      </c>
      <c r="F13238" t="str">
        <f t="shared" si="2586"/>
        <v>COM</v>
      </c>
      <c r="G13238" t="str">
        <f t="shared" si="2594"/>
        <v>JULIO GUIMARAES DOS SANTOS (977)</v>
      </c>
      <c r="H13238" t="s">
        <v>3611</v>
      </c>
      <c r="I13238" t="str">
        <f t="shared" si="2598"/>
        <v>27/11/2025</v>
      </c>
      <c r="J13238" t="str">
        <f t="shared" si="2599"/>
        <v>24/11/2025</v>
      </c>
      <c r="K13238">
        <v>45988</v>
      </c>
      <c r="N13238">
        <v>109</v>
      </c>
      <c r="O13238" t="s">
        <v>24</v>
      </c>
      <c r="Q13238">
        <v>220.88</v>
      </c>
      <c r="R13238" t="str">
        <f>"PENSE FARMA 43 (10208)"</f>
        <v>PENSE FARMA 43 (10208)</v>
      </c>
      <c r="S13238" t="s">
        <v>77</v>
      </c>
      <c r="T13238">
        <v>22726</v>
      </c>
      <c r="U13238">
        <v>26058</v>
      </c>
      <c r="V13238" t="s">
        <v>77</v>
      </c>
    </row>
    <row r="13239" spans="1:22">
      <c r="A13239" t="str">
        <f t="shared" si="2595"/>
        <v>27/11/2025</v>
      </c>
      <c r="B13239" t="str">
        <f t="shared" si="2596"/>
        <v>SAÍDA</v>
      </c>
      <c r="C13239" t="str">
        <f t="shared" si="2597"/>
        <v>PIX</v>
      </c>
      <c r="D13239" t="str">
        <f t="shared" si="2593"/>
        <v>26058</v>
      </c>
      <c r="E13239" t="str">
        <f t="shared" si="2585"/>
        <v>1</v>
      </c>
      <c r="F13239" t="str">
        <f t="shared" si="2586"/>
        <v>COM</v>
      </c>
      <c r="G13239" t="str">
        <f t="shared" si="2594"/>
        <v>JULIO GUIMARAES DOS SANTOS (977)</v>
      </c>
      <c r="H13239" t="s">
        <v>3611</v>
      </c>
      <c r="I13239" t="str">
        <f t="shared" si="2598"/>
        <v>27/11/2025</v>
      </c>
      <c r="J13239" t="str">
        <f t="shared" si="2599"/>
        <v>24/11/2025</v>
      </c>
      <c r="K13239">
        <v>45988</v>
      </c>
      <c r="N13239">
        <v>109</v>
      </c>
      <c r="O13239" t="s">
        <v>24</v>
      </c>
      <c r="Q13239">
        <v>220.88</v>
      </c>
      <c r="R13239" t="str">
        <f>"PENSE FARMA 59 (10211)"</f>
        <v>PENSE FARMA 59 (10211)</v>
      </c>
      <c r="S13239" t="s">
        <v>77</v>
      </c>
      <c r="T13239">
        <v>22726</v>
      </c>
      <c r="U13239">
        <v>26058</v>
      </c>
      <c r="V13239" t="s">
        <v>77</v>
      </c>
    </row>
    <row r="13240" spans="1:22">
      <c r="A13240" t="str">
        <f t="shared" si="2595"/>
        <v>27/11/2025</v>
      </c>
      <c r="B13240" t="str">
        <f t="shared" si="2596"/>
        <v>SAÍDA</v>
      </c>
      <c r="C13240" t="str">
        <f t="shared" si="2597"/>
        <v>PIX</v>
      </c>
      <c r="D13240" t="str">
        <f t="shared" si="2593"/>
        <v>26058</v>
      </c>
      <c r="E13240" t="str">
        <f t="shared" si="2585"/>
        <v>1</v>
      </c>
      <c r="F13240" t="str">
        <f t="shared" si="2586"/>
        <v>COM</v>
      </c>
      <c r="G13240" t="str">
        <f t="shared" si="2594"/>
        <v>JULIO GUIMARAES DOS SANTOS (977)</v>
      </c>
      <c r="H13240" t="s">
        <v>3611</v>
      </c>
      <c r="I13240" t="str">
        <f t="shared" si="2598"/>
        <v>27/11/2025</v>
      </c>
      <c r="J13240" t="str">
        <f t="shared" si="2599"/>
        <v>24/11/2025</v>
      </c>
      <c r="K13240">
        <v>45988</v>
      </c>
      <c r="N13240">
        <v>109</v>
      </c>
      <c r="O13240" t="s">
        <v>24</v>
      </c>
      <c r="Q13240">
        <v>220.61</v>
      </c>
      <c r="R13240" t="str">
        <f>"PENSE FARMA DARK STORE 361 (10212)"</f>
        <v>PENSE FARMA DARK STORE 361 (10212)</v>
      </c>
      <c r="S13240" t="s">
        <v>77</v>
      </c>
      <c r="T13240">
        <v>22726</v>
      </c>
      <c r="U13240">
        <v>26058</v>
      </c>
      <c r="V13240" t="s">
        <v>77</v>
      </c>
    </row>
    <row r="13241" spans="1:22">
      <c r="A13241" t="str">
        <f t="shared" si="2595"/>
        <v>27/11/2025</v>
      </c>
      <c r="B13241" t="str">
        <f t="shared" si="2596"/>
        <v>SAÍDA</v>
      </c>
      <c r="C13241" t="str">
        <f t="shared" si="2597"/>
        <v>PIX</v>
      </c>
      <c r="D13241" t="str">
        <f t="shared" ref="D13241:D13247" si="2600">"26059"</f>
        <v>26059</v>
      </c>
      <c r="E13241" t="str">
        <f t="shared" si="2585"/>
        <v>1</v>
      </c>
      <c r="F13241" t="str">
        <f t="shared" si="2586"/>
        <v>COM</v>
      </c>
      <c r="G13241" t="str">
        <f t="shared" ref="G13241:G13247" si="2601">"RAFAEL PEDROSO DE CAMARA (975)"</f>
        <v>RAFAEL PEDROSO DE CAMARA (975)</v>
      </c>
      <c r="H13241" t="str">
        <f>"Serv.Prest. 17/11/2025 a 23/11/2025 - PIX: CELULAR - CHAVE: (11) 99270-3082"</f>
        <v>Serv.Prest. 17/11/2025 a 23/11/2025 - PIX: CELULAR - CHAVE: (11) 99270-3082</v>
      </c>
      <c r="I13241" t="str">
        <f t="shared" si="2598"/>
        <v>27/11/2025</v>
      </c>
      <c r="J13241" t="str">
        <f t="shared" si="2599"/>
        <v>24/11/2025</v>
      </c>
      <c r="K13241" t="str">
        <f>("27/11/2025")</f>
        <v>27/11/2025</v>
      </c>
      <c r="L13241">
        <v>1375</v>
      </c>
      <c r="M13241">
        <v>1375</v>
      </c>
      <c r="N13241">
        <v>109</v>
      </c>
      <c r="O13241" t="str">
        <f>"PAGAMENTO DE ENTREGADORES"</f>
        <v>PAGAMENTO DE ENTREGADORES</v>
      </c>
      <c r="P13241">
        <v>1375</v>
      </c>
      <c r="S13241" t="str">
        <f>"BANCO C6 (149)"</f>
        <v>BANCO C6 (149)</v>
      </c>
      <c r="T13241">
        <v>22727</v>
      </c>
      <c r="U13241">
        <v>26059</v>
      </c>
      <c r="V13241" t="s">
        <v>77</v>
      </c>
    </row>
    <row r="13242" spans="1:22">
      <c r="A13242" t="str">
        <f t="shared" si="2595"/>
        <v>27/11/2025</v>
      </c>
      <c r="B13242" t="str">
        <f t="shared" si="2596"/>
        <v>SAÍDA</v>
      </c>
      <c r="C13242" t="str">
        <f t="shared" si="2597"/>
        <v>PIX</v>
      </c>
      <c r="D13242" t="str">
        <f t="shared" si="2600"/>
        <v>26059</v>
      </c>
      <c r="E13242" t="str">
        <f t="shared" si="2585"/>
        <v>1</v>
      </c>
      <c r="F13242" t="str">
        <f t="shared" si="2586"/>
        <v>COM</v>
      </c>
      <c r="G13242" t="str">
        <f t="shared" si="2601"/>
        <v>RAFAEL PEDROSO DE CAMARA (975)</v>
      </c>
      <c r="H13242" t="s">
        <v>3612</v>
      </c>
      <c r="I13242" t="str">
        <f t="shared" si="2598"/>
        <v>27/11/2025</v>
      </c>
      <c r="J13242" t="str">
        <f t="shared" si="2599"/>
        <v>24/11/2025</v>
      </c>
      <c r="K13242">
        <v>45988</v>
      </c>
      <c r="N13242">
        <v>109</v>
      </c>
      <c r="O13242" t="s">
        <v>24</v>
      </c>
      <c r="Q13242">
        <v>229.22</v>
      </c>
      <c r="R13242" t="str">
        <f>"PENSE FARMA 20 (10203)"</f>
        <v>PENSE FARMA 20 (10203)</v>
      </c>
      <c r="S13242" t="s">
        <v>77</v>
      </c>
      <c r="T13242">
        <v>22727</v>
      </c>
      <c r="U13242">
        <v>26059</v>
      </c>
      <c r="V13242" t="s">
        <v>77</v>
      </c>
    </row>
    <row r="13243" spans="1:22">
      <c r="A13243" t="str">
        <f t="shared" si="2595"/>
        <v>27/11/2025</v>
      </c>
      <c r="B13243" t="str">
        <f t="shared" si="2596"/>
        <v>SAÍDA</v>
      </c>
      <c r="C13243" t="str">
        <f t="shared" si="2597"/>
        <v>PIX</v>
      </c>
      <c r="D13243" t="str">
        <f t="shared" si="2600"/>
        <v>26059</v>
      </c>
      <c r="E13243" t="str">
        <f t="shared" si="2585"/>
        <v>1</v>
      </c>
      <c r="F13243" t="str">
        <f t="shared" si="2586"/>
        <v>COM</v>
      </c>
      <c r="G13243" t="str">
        <f t="shared" si="2601"/>
        <v>RAFAEL PEDROSO DE CAMARA (975)</v>
      </c>
      <c r="H13243" t="s">
        <v>3612</v>
      </c>
      <c r="I13243" t="str">
        <f t="shared" si="2598"/>
        <v>27/11/2025</v>
      </c>
      <c r="J13243" t="str">
        <f t="shared" si="2599"/>
        <v>24/11/2025</v>
      </c>
      <c r="K13243">
        <v>45988</v>
      </c>
      <c r="N13243">
        <v>109</v>
      </c>
      <c r="O13243" t="s">
        <v>24</v>
      </c>
      <c r="Q13243">
        <v>229.21</v>
      </c>
      <c r="R13243" t="str">
        <f>"PENSE FARMA 36 (10206)"</f>
        <v>PENSE FARMA 36 (10206)</v>
      </c>
      <c r="S13243" t="s">
        <v>77</v>
      </c>
      <c r="T13243">
        <v>22727</v>
      </c>
      <c r="U13243">
        <v>26059</v>
      </c>
      <c r="V13243" t="s">
        <v>77</v>
      </c>
    </row>
    <row r="13244" spans="1:22">
      <c r="A13244" t="str">
        <f t="shared" si="2595"/>
        <v>27/11/2025</v>
      </c>
      <c r="B13244" t="str">
        <f t="shared" si="2596"/>
        <v>SAÍDA</v>
      </c>
      <c r="C13244" t="str">
        <f t="shared" si="2597"/>
        <v>PIX</v>
      </c>
      <c r="D13244" t="str">
        <f t="shared" si="2600"/>
        <v>26059</v>
      </c>
      <c r="E13244" t="str">
        <f t="shared" si="2585"/>
        <v>1</v>
      </c>
      <c r="F13244" t="str">
        <f t="shared" si="2586"/>
        <v>COM</v>
      </c>
      <c r="G13244" t="str">
        <f t="shared" si="2601"/>
        <v>RAFAEL PEDROSO DE CAMARA (975)</v>
      </c>
      <c r="H13244" t="s">
        <v>3612</v>
      </c>
      <c r="I13244" t="str">
        <f t="shared" si="2598"/>
        <v>27/11/2025</v>
      </c>
      <c r="J13244" t="str">
        <f t="shared" si="2599"/>
        <v>24/11/2025</v>
      </c>
      <c r="K13244">
        <v>45988</v>
      </c>
      <c r="N13244">
        <v>109</v>
      </c>
      <c r="O13244" t="s">
        <v>24</v>
      </c>
      <c r="Q13244">
        <v>229.21</v>
      </c>
      <c r="R13244" t="str">
        <f>"PENSE FARMA 40 (10207)"</f>
        <v>PENSE FARMA 40 (10207)</v>
      </c>
      <c r="S13244" t="s">
        <v>77</v>
      </c>
      <c r="T13244">
        <v>22727</v>
      </c>
      <c r="U13244">
        <v>26059</v>
      </c>
      <c r="V13244" t="s">
        <v>77</v>
      </c>
    </row>
    <row r="13245" spans="1:22">
      <c r="A13245" t="str">
        <f t="shared" si="2595"/>
        <v>27/11/2025</v>
      </c>
      <c r="B13245" t="str">
        <f t="shared" si="2596"/>
        <v>SAÍDA</v>
      </c>
      <c r="C13245" t="str">
        <f t="shared" si="2597"/>
        <v>PIX</v>
      </c>
      <c r="D13245" t="str">
        <f t="shared" si="2600"/>
        <v>26059</v>
      </c>
      <c r="E13245" t="str">
        <f t="shared" si="2585"/>
        <v>1</v>
      </c>
      <c r="F13245" t="str">
        <f t="shared" si="2586"/>
        <v>COM</v>
      </c>
      <c r="G13245" t="str">
        <f t="shared" si="2601"/>
        <v>RAFAEL PEDROSO DE CAMARA (975)</v>
      </c>
      <c r="H13245" t="s">
        <v>3612</v>
      </c>
      <c r="I13245" t="str">
        <f t="shared" si="2598"/>
        <v>27/11/2025</v>
      </c>
      <c r="J13245" t="str">
        <f t="shared" si="2599"/>
        <v>24/11/2025</v>
      </c>
      <c r="K13245">
        <v>45988</v>
      </c>
      <c r="N13245">
        <v>109</v>
      </c>
      <c r="O13245" t="s">
        <v>24</v>
      </c>
      <c r="Q13245">
        <v>229.21</v>
      </c>
      <c r="R13245" t="str">
        <f>"PENSE FARMA 43 (10208)"</f>
        <v>PENSE FARMA 43 (10208)</v>
      </c>
      <c r="S13245" t="s">
        <v>77</v>
      </c>
      <c r="T13245">
        <v>22727</v>
      </c>
      <c r="U13245">
        <v>26059</v>
      </c>
      <c r="V13245" t="s">
        <v>77</v>
      </c>
    </row>
    <row r="13246" spans="1:22">
      <c r="A13246" t="str">
        <f t="shared" si="2595"/>
        <v>27/11/2025</v>
      </c>
      <c r="B13246" t="str">
        <f t="shared" si="2596"/>
        <v>SAÍDA</v>
      </c>
      <c r="C13246" t="str">
        <f t="shared" si="2597"/>
        <v>PIX</v>
      </c>
      <c r="D13246" t="str">
        <f t="shared" si="2600"/>
        <v>26059</v>
      </c>
      <c r="E13246" t="str">
        <f t="shared" si="2585"/>
        <v>1</v>
      </c>
      <c r="F13246" t="str">
        <f t="shared" si="2586"/>
        <v>COM</v>
      </c>
      <c r="G13246" t="str">
        <f t="shared" si="2601"/>
        <v>RAFAEL PEDROSO DE CAMARA (975)</v>
      </c>
      <c r="H13246" t="s">
        <v>3612</v>
      </c>
      <c r="I13246" t="str">
        <f t="shared" si="2598"/>
        <v>27/11/2025</v>
      </c>
      <c r="J13246" t="str">
        <f t="shared" si="2599"/>
        <v>24/11/2025</v>
      </c>
      <c r="K13246">
        <v>45988</v>
      </c>
      <c r="N13246">
        <v>109</v>
      </c>
      <c r="O13246" t="s">
        <v>24</v>
      </c>
      <c r="Q13246">
        <v>229.21</v>
      </c>
      <c r="R13246" t="str">
        <f>"PENSE FARMA 59 (10211)"</f>
        <v>PENSE FARMA 59 (10211)</v>
      </c>
      <c r="S13246" t="s">
        <v>77</v>
      </c>
      <c r="T13246">
        <v>22727</v>
      </c>
      <c r="U13246">
        <v>26059</v>
      </c>
      <c r="V13246" t="s">
        <v>77</v>
      </c>
    </row>
    <row r="13247" spans="1:22">
      <c r="A13247" t="str">
        <f t="shared" si="2595"/>
        <v>27/11/2025</v>
      </c>
      <c r="B13247" t="str">
        <f t="shared" si="2596"/>
        <v>SAÍDA</v>
      </c>
      <c r="C13247" t="str">
        <f t="shared" si="2597"/>
        <v>PIX</v>
      </c>
      <c r="D13247" t="str">
        <f t="shared" si="2600"/>
        <v>26059</v>
      </c>
      <c r="E13247" t="str">
        <f t="shared" si="2585"/>
        <v>1</v>
      </c>
      <c r="F13247" t="str">
        <f t="shared" si="2586"/>
        <v>COM</v>
      </c>
      <c r="G13247" t="str">
        <f t="shared" si="2601"/>
        <v>RAFAEL PEDROSO DE CAMARA (975)</v>
      </c>
      <c r="H13247" t="s">
        <v>3612</v>
      </c>
      <c r="I13247" t="str">
        <f t="shared" si="2598"/>
        <v>27/11/2025</v>
      </c>
      <c r="J13247" t="str">
        <f t="shared" si="2599"/>
        <v>24/11/2025</v>
      </c>
      <c r="K13247">
        <v>45988</v>
      </c>
      <c r="N13247">
        <v>109</v>
      </c>
      <c r="O13247" t="s">
        <v>24</v>
      </c>
      <c r="Q13247">
        <v>228.94</v>
      </c>
      <c r="R13247" t="str">
        <f>"PENSE FARMA DARK STORE 361 (10212)"</f>
        <v>PENSE FARMA DARK STORE 361 (10212)</v>
      </c>
      <c r="S13247" t="s">
        <v>77</v>
      </c>
      <c r="T13247">
        <v>22727</v>
      </c>
      <c r="U13247">
        <v>26059</v>
      </c>
      <c r="V13247" t="s">
        <v>77</v>
      </c>
    </row>
    <row r="13248" spans="1:22">
      <c r="A13248" t="str">
        <f t="shared" si="2595"/>
        <v>27/11/2025</v>
      </c>
      <c r="B13248" t="str">
        <f t="shared" si="2596"/>
        <v>SAÍDA</v>
      </c>
      <c r="C13248" t="str">
        <f t="shared" si="2597"/>
        <v>PIX</v>
      </c>
      <c r="D13248" t="str">
        <f>"26062"</f>
        <v>26062</v>
      </c>
      <c r="E13248" t="str">
        <f t="shared" si="2585"/>
        <v>1</v>
      </c>
      <c r="F13248" t="str">
        <f t="shared" si="2586"/>
        <v>COM</v>
      </c>
      <c r="G13248" t="str">
        <f>"LUAN DOS REIS SILVA (954)"</f>
        <v>LUAN DOS REIS SILVA (954)</v>
      </c>
      <c r="H13248" t="str">
        <f>"Serv.Prest. 17/11/2025 a 23/11/2025 - PIX: CELULAR - CHAVE: (11) 95906-5439"</f>
        <v>Serv.Prest. 17/11/2025 a 23/11/2025 - PIX: CELULAR - CHAVE: (11) 95906-5439</v>
      </c>
      <c r="I13248" t="str">
        <f t="shared" si="2598"/>
        <v>27/11/2025</v>
      </c>
      <c r="J13248" t="str">
        <f t="shared" si="2599"/>
        <v>24/11/2025</v>
      </c>
      <c r="K13248" t="str">
        <f>("27/11/2025")</f>
        <v>27/11/2025</v>
      </c>
      <c r="L13248">
        <v>1250</v>
      </c>
      <c r="M13248">
        <v>1250</v>
      </c>
      <c r="N13248">
        <v>109</v>
      </c>
      <c r="O13248" t="str">
        <f>"PAGAMENTO DE ENTREGADORES"</f>
        <v>PAGAMENTO DE ENTREGADORES</v>
      </c>
      <c r="P13248">
        <v>1250</v>
      </c>
      <c r="S13248" t="str">
        <f>"BANCO C6 (149)"</f>
        <v>BANCO C6 (149)</v>
      </c>
      <c r="T13248">
        <v>22728</v>
      </c>
      <c r="U13248">
        <v>26062</v>
      </c>
      <c r="V13248" t="s">
        <v>77</v>
      </c>
    </row>
    <row r="13249" spans="1:22">
      <c r="A13249" t="str">
        <f t="shared" si="2595"/>
        <v>27/11/2025</v>
      </c>
      <c r="B13249" t="str">
        <f t="shared" si="2596"/>
        <v>SAÍDA</v>
      </c>
      <c r="C13249" t="str">
        <f t="shared" si="2597"/>
        <v>PIX</v>
      </c>
      <c r="D13249" t="str">
        <f>"26062"</f>
        <v>26062</v>
      </c>
      <c r="E13249" t="str">
        <f t="shared" si="2585"/>
        <v>1</v>
      </c>
      <c r="F13249" t="str">
        <f t="shared" si="2586"/>
        <v>COM</v>
      </c>
      <c r="G13249" t="str">
        <f>"LUAN DOS REIS SILVA (954)"</f>
        <v>LUAN DOS REIS SILVA (954)</v>
      </c>
      <c r="H13249" t="s">
        <v>3404</v>
      </c>
      <c r="I13249" t="str">
        <f t="shared" si="2598"/>
        <v>27/11/2025</v>
      </c>
      <c r="J13249" t="str">
        <f t="shared" si="2599"/>
        <v>24/11/2025</v>
      </c>
      <c r="K13249">
        <v>45988</v>
      </c>
      <c r="N13249">
        <v>109</v>
      </c>
      <c r="O13249" t="s">
        <v>24</v>
      </c>
      <c r="Q13249">
        <v>416.62</v>
      </c>
      <c r="R13249" t="str">
        <f>"PENSE FARMA 05 (10200)"</f>
        <v>PENSE FARMA 05 (10200)</v>
      </c>
      <c r="S13249" t="s">
        <v>77</v>
      </c>
      <c r="T13249">
        <v>22728</v>
      </c>
      <c r="U13249">
        <v>26062</v>
      </c>
      <c r="V13249" t="s">
        <v>77</v>
      </c>
    </row>
    <row r="13250" spans="1:22">
      <c r="A13250" t="str">
        <f t="shared" si="2595"/>
        <v>27/11/2025</v>
      </c>
      <c r="B13250" t="str">
        <f t="shared" si="2596"/>
        <v>SAÍDA</v>
      </c>
      <c r="C13250" t="str">
        <f t="shared" si="2597"/>
        <v>PIX</v>
      </c>
      <c r="D13250" t="str">
        <f>"26062"</f>
        <v>26062</v>
      </c>
      <c r="E13250" t="str">
        <f t="shared" si="2585"/>
        <v>1</v>
      </c>
      <c r="F13250" t="str">
        <f t="shared" si="2586"/>
        <v>COM</v>
      </c>
      <c r="G13250" t="str">
        <f>"LUAN DOS REIS SILVA (954)"</f>
        <v>LUAN DOS REIS SILVA (954)</v>
      </c>
      <c r="H13250" t="s">
        <v>3404</v>
      </c>
      <c r="I13250" t="str">
        <f t="shared" si="2598"/>
        <v>27/11/2025</v>
      </c>
      <c r="J13250" t="str">
        <f t="shared" si="2599"/>
        <v>24/11/2025</v>
      </c>
      <c r="K13250">
        <v>45988</v>
      </c>
      <c r="N13250">
        <v>109</v>
      </c>
      <c r="O13250" t="s">
        <v>24</v>
      </c>
      <c r="Q13250">
        <v>416.63</v>
      </c>
      <c r="R13250" t="str">
        <f>"PENSE FARMA 13 (10202)"</f>
        <v>PENSE FARMA 13 (10202)</v>
      </c>
      <c r="S13250" t="s">
        <v>77</v>
      </c>
      <c r="T13250">
        <v>22728</v>
      </c>
      <c r="U13250">
        <v>26062</v>
      </c>
      <c r="V13250" t="s">
        <v>77</v>
      </c>
    </row>
    <row r="13251" spans="1:22">
      <c r="A13251" t="str">
        <f t="shared" si="2595"/>
        <v>27/11/2025</v>
      </c>
      <c r="B13251" t="str">
        <f t="shared" si="2596"/>
        <v>SAÍDA</v>
      </c>
      <c r="C13251" t="str">
        <f t="shared" si="2597"/>
        <v>PIX</v>
      </c>
      <c r="D13251" t="str">
        <f>"26062"</f>
        <v>26062</v>
      </c>
      <c r="E13251" t="str">
        <f t="shared" si="2585"/>
        <v>1</v>
      </c>
      <c r="F13251" t="str">
        <f t="shared" si="2586"/>
        <v>COM</v>
      </c>
      <c r="G13251" t="str">
        <f>"LUAN DOS REIS SILVA (954)"</f>
        <v>LUAN DOS REIS SILVA (954)</v>
      </c>
      <c r="H13251" t="s">
        <v>3404</v>
      </c>
      <c r="I13251" t="str">
        <f t="shared" si="2598"/>
        <v>27/11/2025</v>
      </c>
      <c r="J13251" t="str">
        <f t="shared" si="2599"/>
        <v>24/11/2025</v>
      </c>
      <c r="K13251">
        <v>45988</v>
      </c>
      <c r="N13251">
        <v>109</v>
      </c>
      <c r="O13251" t="s">
        <v>24</v>
      </c>
      <c r="Q13251">
        <v>416.75</v>
      </c>
      <c r="R13251" t="str">
        <f>"PENSE FARMA 27 (10204)"</f>
        <v>PENSE FARMA 27 (10204)</v>
      </c>
      <c r="S13251" t="s">
        <v>77</v>
      </c>
      <c r="T13251">
        <v>22728</v>
      </c>
      <c r="U13251">
        <v>26062</v>
      </c>
      <c r="V13251" t="s">
        <v>77</v>
      </c>
    </row>
    <row r="13252" spans="1:22">
      <c r="A13252" t="str">
        <f t="shared" si="2595"/>
        <v>27/11/2025</v>
      </c>
      <c r="B13252" t="str">
        <f t="shared" si="2596"/>
        <v>SAÍDA</v>
      </c>
      <c r="C13252" t="str">
        <f t="shared" si="2597"/>
        <v>PIX</v>
      </c>
      <c r="D13252" t="str">
        <f>"26063"</f>
        <v>26063</v>
      </c>
      <c r="E13252" t="str">
        <f t="shared" ref="E13252:E13315" si="2602">"1"</f>
        <v>1</v>
      </c>
      <c r="F13252" t="str">
        <f t="shared" si="2586"/>
        <v>COM</v>
      </c>
      <c r="G13252" t="str">
        <f>"MANOEL DE JESUS ALMEIDA (1017)"</f>
        <v>MANOEL DE JESUS ALMEIDA (1017)</v>
      </c>
      <c r="H13252" t="str">
        <f>"Serv.Prest. 17/11/2025 a 23/11/2025 - PIX: CPF - CHAVE: 026.422.254-70"</f>
        <v>Serv.Prest. 17/11/2025 a 23/11/2025 - PIX: CPF - CHAVE: 026.422.254-70</v>
      </c>
      <c r="I13252" t="str">
        <f t="shared" si="2598"/>
        <v>27/11/2025</v>
      </c>
      <c r="J13252" t="str">
        <f t="shared" si="2599"/>
        <v>24/11/2025</v>
      </c>
      <c r="K13252" t="str">
        <f>("27/11/2025")</f>
        <v>27/11/2025</v>
      </c>
      <c r="L13252">
        <v>1250</v>
      </c>
      <c r="M13252">
        <v>1250</v>
      </c>
      <c r="N13252">
        <v>109</v>
      </c>
      <c r="O13252" t="str">
        <f>"PAGAMENTO DE ENTREGADORES"</f>
        <v>PAGAMENTO DE ENTREGADORES</v>
      </c>
      <c r="P13252">
        <v>1250</v>
      </c>
      <c r="S13252" t="str">
        <f>"BANCO C6 (149)"</f>
        <v>BANCO C6 (149)</v>
      </c>
      <c r="T13252">
        <v>22729</v>
      </c>
      <c r="U13252">
        <v>26063</v>
      </c>
      <c r="V13252" t="s">
        <v>77</v>
      </c>
    </row>
    <row r="13253" spans="1:22">
      <c r="A13253" t="str">
        <f t="shared" si="2595"/>
        <v>27/11/2025</v>
      </c>
      <c r="B13253" t="str">
        <f t="shared" si="2596"/>
        <v>SAÍDA</v>
      </c>
      <c r="C13253" t="str">
        <f t="shared" si="2597"/>
        <v>PIX</v>
      </c>
      <c r="D13253" t="str">
        <f>"26063"</f>
        <v>26063</v>
      </c>
      <c r="E13253" t="str">
        <f t="shared" si="2602"/>
        <v>1</v>
      </c>
      <c r="F13253" t="str">
        <f t="shared" si="2586"/>
        <v>COM</v>
      </c>
      <c r="G13253" t="str">
        <f>"MANOEL DE JESUS ALMEIDA (1017)"</f>
        <v>MANOEL DE JESUS ALMEIDA (1017)</v>
      </c>
      <c r="H13253" t="s">
        <v>3613</v>
      </c>
      <c r="I13253" t="str">
        <f t="shared" si="2598"/>
        <v>27/11/2025</v>
      </c>
      <c r="J13253" t="str">
        <f t="shared" si="2599"/>
        <v>24/11/2025</v>
      </c>
      <c r="K13253">
        <v>45988</v>
      </c>
      <c r="N13253">
        <v>109</v>
      </c>
      <c r="O13253" t="s">
        <v>24</v>
      </c>
      <c r="Q13253">
        <v>416.62</v>
      </c>
      <c r="R13253" t="str">
        <f>"PENSE FARMA 05 (10200)"</f>
        <v>PENSE FARMA 05 (10200)</v>
      </c>
      <c r="S13253" t="s">
        <v>77</v>
      </c>
      <c r="T13253">
        <v>22729</v>
      </c>
      <c r="U13253">
        <v>26063</v>
      </c>
      <c r="V13253" t="s">
        <v>77</v>
      </c>
    </row>
    <row r="13254" spans="1:22">
      <c r="A13254" t="str">
        <f t="shared" si="2595"/>
        <v>27/11/2025</v>
      </c>
      <c r="B13254" t="str">
        <f t="shared" si="2596"/>
        <v>SAÍDA</v>
      </c>
      <c r="C13254" t="str">
        <f t="shared" si="2597"/>
        <v>PIX</v>
      </c>
      <c r="D13254" t="str">
        <f>"26063"</f>
        <v>26063</v>
      </c>
      <c r="E13254" t="str">
        <f t="shared" si="2602"/>
        <v>1</v>
      </c>
      <c r="F13254" t="str">
        <f t="shared" si="2586"/>
        <v>COM</v>
      </c>
      <c r="G13254" t="str">
        <f>"MANOEL DE JESUS ALMEIDA (1017)"</f>
        <v>MANOEL DE JESUS ALMEIDA (1017)</v>
      </c>
      <c r="H13254" t="s">
        <v>3613</v>
      </c>
      <c r="I13254" t="str">
        <f t="shared" si="2598"/>
        <v>27/11/2025</v>
      </c>
      <c r="J13254" t="str">
        <f t="shared" si="2599"/>
        <v>24/11/2025</v>
      </c>
      <c r="K13254">
        <v>45988</v>
      </c>
      <c r="N13254">
        <v>109</v>
      </c>
      <c r="O13254" t="s">
        <v>24</v>
      </c>
      <c r="Q13254">
        <v>416.63</v>
      </c>
      <c r="R13254" t="str">
        <f>"PENSE FARMA 13 (10202)"</f>
        <v>PENSE FARMA 13 (10202)</v>
      </c>
      <c r="S13254" t="s">
        <v>77</v>
      </c>
      <c r="T13254">
        <v>22729</v>
      </c>
      <c r="U13254">
        <v>26063</v>
      </c>
      <c r="V13254" t="s">
        <v>77</v>
      </c>
    </row>
    <row r="13255" spans="1:22">
      <c r="A13255" t="str">
        <f t="shared" si="2595"/>
        <v>27/11/2025</v>
      </c>
      <c r="B13255" t="str">
        <f t="shared" si="2596"/>
        <v>SAÍDA</v>
      </c>
      <c r="C13255" t="str">
        <f t="shared" si="2597"/>
        <v>PIX</v>
      </c>
      <c r="D13255" t="str">
        <f>"26063"</f>
        <v>26063</v>
      </c>
      <c r="E13255" t="str">
        <f t="shared" si="2602"/>
        <v>1</v>
      </c>
      <c r="F13255" t="str">
        <f t="shared" si="2586"/>
        <v>COM</v>
      </c>
      <c r="G13255" t="str">
        <f>"MANOEL DE JESUS ALMEIDA (1017)"</f>
        <v>MANOEL DE JESUS ALMEIDA (1017)</v>
      </c>
      <c r="H13255" t="s">
        <v>3613</v>
      </c>
      <c r="I13255" t="str">
        <f t="shared" si="2598"/>
        <v>27/11/2025</v>
      </c>
      <c r="J13255" t="str">
        <f t="shared" si="2599"/>
        <v>24/11/2025</v>
      </c>
      <c r="K13255">
        <v>45988</v>
      </c>
      <c r="N13255">
        <v>109</v>
      </c>
      <c r="O13255" t="s">
        <v>24</v>
      </c>
      <c r="Q13255">
        <v>416.75</v>
      </c>
      <c r="R13255" t="str">
        <f>"PENSE FARMA 27 (10204)"</f>
        <v>PENSE FARMA 27 (10204)</v>
      </c>
      <c r="S13255" t="s">
        <v>77</v>
      </c>
      <c r="T13255">
        <v>22729</v>
      </c>
      <c r="U13255">
        <v>26063</v>
      </c>
      <c r="V13255" t="s">
        <v>77</v>
      </c>
    </row>
    <row r="13256" spans="1:22">
      <c r="A13256" t="str">
        <f t="shared" si="2595"/>
        <v>27/11/2025</v>
      </c>
      <c r="B13256" t="str">
        <f t="shared" si="2596"/>
        <v>SAÍDA</v>
      </c>
      <c r="C13256" t="str">
        <f t="shared" si="2597"/>
        <v>PIX</v>
      </c>
      <c r="D13256" t="str">
        <f t="shared" ref="D13256:D13261" si="2603">"26066"</f>
        <v>26066</v>
      </c>
      <c r="E13256" t="str">
        <f t="shared" si="2602"/>
        <v>1</v>
      </c>
      <c r="F13256" t="str">
        <f t="shared" si="2586"/>
        <v>COM</v>
      </c>
      <c r="G13256" t="str">
        <f t="shared" ref="G13256:G13261" si="2604">"HANDREY RAFAEL TEODORO GEROLIM (1029)"</f>
        <v>HANDREY RAFAEL TEODORO GEROLIM (1029)</v>
      </c>
      <c r="H13256" t="str">
        <f>"Serv.Prest. 17/11/2025 a 23/11/2025 - PIX: CPF - CHAVE: 126.720.606-30"</f>
        <v>Serv.Prest. 17/11/2025 a 23/11/2025 - PIX: CPF - CHAVE: 126.720.606-30</v>
      </c>
      <c r="I13256" t="str">
        <f t="shared" si="2598"/>
        <v>27/11/2025</v>
      </c>
      <c r="J13256" t="str">
        <f t="shared" si="2599"/>
        <v>24/11/2025</v>
      </c>
      <c r="K13256" t="str">
        <f>("27/11/2025")</f>
        <v>27/11/2025</v>
      </c>
      <c r="L13256">
        <v>904</v>
      </c>
      <c r="M13256">
        <v>904</v>
      </c>
      <c r="N13256">
        <v>109</v>
      </c>
      <c r="O13256" t="str">
        <f>"PAGAMENTO DE ENTREGADORES"</f>
        <v>PAGAMENTO DE ENTREGADORES</v>
      </c>
      <c r="P13256">
        <v>904</v>
      </c>
      <c r="S13256" t="str">
        <f>"BANCO C6 (149)"</f>
        <v>BANCO C6 (149)</v>
      </c>
      <c r="T13256">
        <v>22730</v>
      </c>
      <c r="U13256">
        <v>26066</v>
      </c>
      <c r="V13256" t="s">
        <v>77</v>
      </c>
    </row>
    <row r="13257" spans="1:22">
      <c r="A13257" t="str">
        <f t="shared" si="2595"/>
        <v>27/11/2025</v>
      </c>
      <c r="B13257" t="str">
        <f t="shared" si="2596"/>
        <v>SAÍDA</v>
      </c>
      <c r="C13257" t="str">
        <f t="shared" si="2597"/>
        <v>PIX</v>
      </c>
      <c r="D13257" t="str">
        <f t="shared" si="2603"/>
        <v>26066</v>
      </c>
      <c r="E13257" t="str">
        <f t="shared" si="2602"/>
        <v>1</v>
      </c>
      <c r="F13257" t="str">
        <f t="shared" si="2586"/>
        <v>COM</v>
      </c>
      <c r="G13257" t="str">
        <f t="shared" si="2604"/>
        <v>HANDREY RAFAEL TEODORO GEROLIM (1029)</v>
      </c>
      <c r="H13257" t="s">
        <v>3614</v>
      </c>
      <c r="I13257" t="str">
        <f t="shared" si="2598"/>
        <v>27/11/2025</v>
      </c>
      <c r="J13257" t="str">
        <f t="shared" si="2599"/>
        <v>24/11/2025</v>
      </c>
      <c r="K13257">
        <v>45988</v>
      </c>
      <c r="N13257">
        <v>109</v>
      </c>
      <c r="O13257" t="s">
        <v>24</v>
      </c>
      <c r="Q13257">
        <v>156.84</v>
      </c>
      <c r="R13257" t="str">
        <f>"DROGALIDER 58 (10213)"</f>
        <v>DROGALIDER 58 (10213)</v>
      </c>
      <c r="S13257" t="s">
        <v>77</v>
      </c>
      <c r="T13257">
        <v>22730</v>
      </c>
      <c r="U13257">
        <v>26066</v>
      </c>
      <c r="V13257" t="s">
        <v>77</v>
      </c>
    </row>
    <row r="13258" spans="1:22">
      <c r="A13258" t="str">
        <f t="shared" si="2595"/>
        <v>27/11/2025</v>
      </c>
      <c r="B13258" t="str">
        <f t="shared" si="2596"/>
        <v>SAÍDA</v>
      </c>
      <c r="C13258" t="str">
        <f t="shared" si="2597"/>
        <v>PIX</v>
      </c>
      <c r="D13258" t="str">
        <f t="shared" si="2603"/>
        <v>26066</v>
      </c>
      <c r="E13258" t="str">
        <f t="shared" si="2602"/>
        <v>1</v>
      </c>
      <c r="F13258" t="str">
        <f t="shared" si="2586"/>
        <v>COM</v>
      </c>
      <c r="G13258" t="str">
        <f t="shared" si="2604"/>
        <v>HANDREY RAFAEL TEODORO GEROLIM (1029)</v>
      </c>
      <c r="H13258" t="s">
        <v>3614</v>
      </c>
      <c r="I13258" t="str">
        <f t="shared" si="2598"/>
        <v>27/11/2025</v>
      </c>
      <c r="J13258" t="str">
        <f t="shared" si="2599"/>
        <v>24/11/2025</v>
      </c>
      <c r="K13258">
        <v>45988</v>
      </c>
      <c r="N13258">
        <v>109</v>
      </c>
      <c r="O13258" t="s">
        <v>24</v>
      </c>
      <c r="Q13258">
        <v>322.82</v>
      </c>
      <c r="R13258" t="str">
        <f>"DROGALIDER 25 (10246)"</f>
        <v>DROGALIDER 25 (10246)</v>
      </c>
      <c r="S13258" t="s">
        <v>77</v>
      </c>
      <c r="T13258">
        <v>22730</v>
      </c>
      <c r="U13258">
        <v>26066</v>
      </c>
      <c r="V13258" t="s">
        <v>77</v>
      </c>
    </row>
    <row r="13259" spans="1:22">
      <c r="A13259" t="str">
        <f t="shared" si="2595"/>
        <v>27/11/2025</v>
      </c>
      <c r="B13259" t="str">
        <f t="shared" si="2596"/>
        <v>SAÍDA</v>
      </c>
      <c r="C13259" t="str">
        <f t="shared" si="2597"/>
        <v>PIX</v>
      </c>
      <c r="D13259" t="str">
        <f t="shared" si="2603"/>
        <v>26066</v>
      </c>
      <c r="E13259" t="str">
        <f t="shared" si="2602"/>
        <v>1</v>
      </c>
      <c r="F13259" t="str">
        <f t="shared" si="2586"/>
        <v>COM</v>
      </c>
      <c r="G13259" t="str">
        <f t="shared" si="2604"/>
        <v>HANDREY RAFAEL TEODORO GEROLIM (1029)</v>
      </c>
      <c r="H13259" t="s">
        <v>3614</v>
      </c>
      <c r="I13259" t="str">
        <f t="shared" si="2598"/>
        <v>27/11/2025</v>
      </c>
      <c r="J13259" t="str">
        <f t="shared" si="2599"/>
        <v>24/11/2025</v>
      </c>
      <c r="K13259">
        <v>45988</v>
      </c>
      <c r="N13259">
        <v>109</v>
      </c>
      <c r="O13259" t="s">
        <v>24</v>
      </c>
      <c r="Q13259">
        <v>304.38</v>
      </c>
      <c r="R13259" t="str">
        <f>"DROGALIDER 46 (10248)"</f>
        <v>DROGALIDER 46 (10248)</v>
      </c>
      <c r="S13259" t="s">
        <v>77</v>
      </c>
      <c r="T13259">
        <v>22730</v>
      </c>
      <c r="U13259">
        <v>26066</v>
      </c>
      <c r="V13259" t="s">
        <v>77</v>
      </c>
    </row>
    <row r="13260" spans="1:22">
      <c r="A13260" t="str">
        <f t="shared" si="2595"/>
        <v>27/11/2025</v>
      </c>
      <c r="B13260" t="str">
        <f t="shared" si="2596"/>
        <v>SAÍDA</v>
      </c>
      <c r="C13260" t="str">
        <f t="shared" si="2597"/>
        <v>PIX</v>
      </c>
      <c r="D13260" t="str">
        <f t="shared" si="2603"/>
        <v>26066</v>
      </c>
      <c r="E13260" t="str">
        <f t="shared" si="2602"/>
        <v>1</v>
      </c>
      <c r="F13260" t="str">
        <f t="shared" si="2586"/>
        <v>COM</v>
      </c>
      <c r="G13260" t="str">
        <f t="shared" si="2604"/>
        <v>HANDREY RAFAEL TEODORO GEROLIM (1029)</v>
      </c>
      <c r="H13260" t="s">
        <v>3614</v>
      </c>
      <c r="I13260" t="str">
        <f t="shared" si="2598"/>
        <v>27/11/2025</v>
      </c>
      <c r="J13260" t="str">
        <f t="shared" si="2599"/>
        <v>24/11/2025</v>
      </c>
      <c r="K13260">
        <v>45988</v>
      </c>
      <c r="N13260">
        <v>109</v>
      </c>
      <c r="O13260" t="s">
        <v>24</v>
      </c>
      <c r="Q13260">
        <v>55.32</v>
      </c>
      <c r="R13260" t="str">
        <f>"DROGALIDER 64 (10250)"</f>
        <v>DROGALIDER 64 (10250)</v>
      </c>
      <c r="S13260" t="s">
        <v>77</v>
      </c>
      <c r="T13260">
        <v>22730</v>
      </c>
      <c r="U13260">
        <v>26066</v>
      </c>
      <c r="V13260" t="s">
        <v>77</v>
      </c>
    </row>
    <row r="13261" spans="1:22">
      <c r="A13261" t="str">
        <f t="shared" si="2595"/>
        <v>27/11/2025</v>
      </c>
      <c r="B13261" t="str">
        <f t="shared" si="2596"/>
        <v>SAÍDA</v>
      </c>
      <c r="C13261" t="str">
        <f t="shared" si="2597"/>
        <v>PIX</v>
      </c>
      <c r="D13261" t="str">
        <f t="shared" si="2603"/>
        <v>26066</v>
      </c>
      <c r="E13261" t="str">
        <f t="shared" si="2602"/>
        <v>1</v>
      </c>
      <c r="F13261" t="str">
        <f t="shared" si="2586"/>
        <v>COM</v>
      </c>
      <c r="G13261" t="str">
        <f t="shared" si="2604"/>
        <v>HANDREY RAFAEL TEODORO GEROLIM (1029)</v>
      </c>
      <c r="H13261" t="s">
        <v>3614</v>
      </c>
      <c r="I13261" t="str">
        <f t="shared" si="2598"/>
        <v>27/11/2025</v>
      </c>
      <c r="J13261" t="str">
        <f t="shared" si="2599"/>
        <v>24/11/2025</v>
      </c>
      <c r="K13261">
        <v>45988</v>
      </c>
      <c r="N13261">
        <v>109</v>
      </c>
      <c r="O13261" t="s">
        <v>24</v>
      </c>
      <c r="Q13261">
        <v>64.64</v>
      </c>
      <c r="R13261" t="str">
        <f>"DROGALIDER 66 (10251)"</f>
        <v>DROGALIDER 66 (10251)</v>
      </c>
      <c r="S13261" t="s">
        <v>77</v>
      </c>
      <c r="T13261">
        <v>22730</v>
      </c>
      <c r="U13261">
        <v>26066</v>
      </c>
      <c r="V13261" t="s">
        <v>77</v>
      </c>
    </row>
    <row r="13262" spans="1:22">
      <c r="A13262" t="str">
        <f t="shared" si="2595"/>
        <v>27/11/2025</v>
      </c>
      <c r="B13262" t="str">
        <f t="shared" si="2596"/>
        <v>SAÍDA</v>
      </c>
      <c r="C13262" t="str">
        <f t="shared" si="2597"/>
        <v>PIX</v>
      </c>
      <c r="D13262" t="str">
        <f t="shared" ref="D13262:D13267" si="2605">"26067"</f>
        <v>26067</v>
      </c>
      <c r="E13262" t="str">
        <f t="shared" si="2602"/>
        <v>1</v>
      </c>
      <c r="F13262" t="str">
        <f t="shared" si="2586"/>
        <v>COM</v>
      </c>
      <c r="G13262" t="str">
        <f t="shared" ref="G13262:G13267" si="2606">"JOSE EURIPEDES ALVES (1095)"</f>
        <v>JOSE EURIPEDES ALVES (1095)</v>
      </c>
      <c r="H13262" t="str">
        <f>"Serv.Prest. 17/11/2025 a 23/11/2025 - PIX: CELULAR - CHAVE: (34) 98828-2438"</f>
        <v>Serv.Prest. 17/11/2025 a 23/11/2025 - PIX: CELULAR - CHAVE: (34) 98828-2438</v>
      </c>
      <c r="I13262" t="str">
        <f t="shared" si="2598"/>
        <v>27/11/2025</v>
      </c>
      <c r="J13262" t="str">
        <f t="shared" si="2599"/>
        <v>24/11/2025</v>
      </c>
      <c r="K13262" t="str">
        <f>("27/11/2025")</f>
        <v>27/11/2025</v>
      </c>
      <c r="L13262">
        <v>368</v>
      </c>
      <c r="M13262">
        <v>368</v>
      </c>
      <c r="N13262">
        <v>109</v>
      </c>
      <c r="O13262" t="str">
        <f>"PAGAMENTO DE ENTREGADORES"</f>
        <v>PAGAMENTO DE ENTREGADORES</v>
      </c>
      <c r="P13262">
        <v>368</v>
      </c>
      <c r="S13262" t="str">
        <f>"BANCO C6 (149)"</f>
        <v>BANCO C6 (149)</v>
      </c>
      <c r="T13262">
        <v>22731</v>
      </c>
      <c r="U13262">
        <v>26067</v>
      </c>
      <c r="V13262" t="s">
        <v>77</v>
      </c>
    </row>
    <row r="13263" spans="1:22">
      <c r="A13263" t="str">
        <f t="shared" si="2595"/>
        <v>27/11/2025</v>
      </c>
      <c r="B13263" t="str">
        <f t="shared" si="2596"/>
        <v>SAÍDA</v>
      </c>
      <c r="C13263" t="str">
        <f t="shared" si="2597"/>
        <v>PIX</v>
      </c>
      <c r="D13263" t="str">
        <f t="shared" si="2605"/>
        <v>26067</v>
      </c>
      <c r="E13263" t="str">
        <f t="shared" si="2602"/>
        <v>1</v>
      </c>
      <c r="F13263" t="str">
        <f t="shared" si="2586"/>
        <v>COM</v>
      </c>
      <c r="G13263" t="str">
        <f t="shared" si="2606"/>
        <v>JOSE EURIPEDES ALVES (1095)</v>
      </c>
      <c r="H13263" t="s">
        <v>3386</v>
      </c>
      <c r="I13263" t="str">
        <f t="shared" si="2598"/>
        <v>27/11/2025</v>
      </c>
      <c r="J13263" t="str">
        <f t="shared" si="2599"/>
        <v>24/11/2025</v>
      </c>
      <c r="K13263">
        <v>45988</v>
      </c>
      <c r="N13263">
        <v>109</v>
      </c>
      <c r="O13263" t="s">
        <v>24</v>
      </c>
      <c r="Q13263">
        <v>37.75</v>
      </c>
      <c r="R13263" t="str">
        <f>"DROGALIDER 58 (10213)"</f>
        <v>DROGALIDER 58 (10213)</v>
      </c>
      <c r="S13263" t="s">
        <v>77</v>
      </c>
      <c r="T13263">
        <v>22731</v>
      </c>
      <c r="U13263">
        <v>26067</v>
      </c>
      <c r="V13263" t="s">
        <v>77</v>
      </c>
    </row>
    <row r="13264" spans="1:22">
      <c r="A13264" t="str">
        <f t="shared" si="2595"/>
        <v>27/11/2025</v>
      </c>
      <c r="B13264" t="str">
        <f t="shared" si="2596"/>
        <v>SAÍDA</v>
      </c>
      <c r="C13264" t="str">
        <f t="shared" si="2597"/>
        <v>PIX</v>
      </c>
      <c r="D13264" t="str">
        <f t="shared" si="2605"/>
        <v>26067</v>
      </c>
      <c r="E13264" t="str">
        <f t="shared" si="2602"/>
        <v>1</v>
      </c>
      <c r="F13264" t="str">
        <f t="shared" si="2586"/>
        <v>COM</v>
      </c>
      <c r="G13264" t="str">
        <f t="shared" si="2606"/>
        <v>JOSE EURIPEDES ALVES (1095)</v>
      </c>
      <c r="H13264" t="s">
        <v>3386</v>
      </c>
      <c r="I13264" t="str">
        <f t="shared" si="2598"/>
        <v>27/11/2025</v>
      </c>
      <c r="J13264" t="str">
        <f t="shared" si="2599"/>
        <v>24/11/2025</v>
      </c>
      <c r="K13264">
        <v>45988</v>
      </c>
      <c r="N13264">
        <v>109</v>
      </c>
      <c r="O13264" t="s">
        <v>24</v>
      </c>
      <c r="Q13264">
        <v>188.71</v>
      </c>
      <c r="R13264" t="str">
        <f>"DROGALIDER 25 (10246)"</f>
        <v>DROGALIDER 25 (10246)</v>
      </c>
      <c r="S13264" t="s">
        <v>77</v>
      </c>
      <c r="T13264">
        <v>22731</v>
      </c>
      <c r="U13264">
        <v>26067</v>
      </c>
      <c r="V13264" t="s">
        <v>77</v>
      </c>
    </row>
    <row r="13265" spans="1:22">
      <c r="A13265" t="str">
        <f t="shared" si="2595"/>
        <v>27/11/2025</v>
      </c>
      <c r="B13265" t="str">
        <f t="shared" si="2596"/>
        <v>SAÍDA</v>
      </c>
      <c r="C13265" t="str">
        <f t="shared" si="2597"/>
        <v>PIX</v>
      </c>
      <c r="D13265" t="str">
        <f t="shared" si="2605"/>
        <v>26067</v>
      </c>
      <c r="E13265" t="str">
        <f t="shared" si="2602"/>
        <v>1</v>
      </c>
      <c r="F13265" t="str">
        <f t="shared" si="2586"/>
        <v>COM</v>
      </c>
      <c r="G13265" t="str">
        <f t="shared" si="2606"/>
        <v>JOSE EURIPEDES ALVES (1095)</v>
      </c>
      <c r="H13265" t="s">
        <v>3386</v>
      </c>
      <c r="I13265" t="str">
        <f t="shared" si="2598"/>
        <v>27/11/2025</v>
      </c>
      <c r="J13265" t="str">
        <f t="shared" si="2599"/>
        <v>24/11/2025</v>
      </c>
      <c r="K13265">
        <v>45988</v>
      </c>
      <c r="N13265">
        <v>109</v>
      </c>
      <c r="O13265" t="s">
        <v>24</v>
      </c>
      <c r="Q13265">
        <v>37.76</v>
      </c>
      <c r="R13265" t="str">
        <f>"DROGALIDER 46 (10248)"</f>
        <v>DROGALIDER 46 (10248)</v>
      </c>
      <c r="S13265" t="s">
        <v>77</v>
      </c>
      <c r="T13265">
        <v>22731</v>
      </c>
      <c r="U13265">
        <v>26067</v>
      </c>
      <c r="V13265" t="s">
        <v>77</v>
      </c>
    </row>
    <row r="13266" spans="1:22">
      <c r="A13266" t="str">
        <f t="shared" si="2595"/>
        <v>27/11/2025</v>
      </c>
      <c r="B13266" t="str">
        <f t="shared" si="2596"/>
        <v>SAÍDA</v>
      </c>
      <c r="C13266" t="str">
        <f t="shared" si="2597"/>
        <v>PIX</v>
      </c>
      <c r="D13266" t="str">
        <f t="shared" si="2605"/>
        <v>26067</v>
      </c>
      <c r="E13266" t="str">
        <f t="shared" si="2602"/>
        <v>1</v>
      </c>
      <c r="F13266" t="str">
        <f t="shared" si="2586"/>
        <v>COM</v>
      </c>
      <c r="G13266" t="str">
        <f t="shared" si="2606"/>
        <v>JOSE EURIPEDES ALVES (1095)</v>
      </c>
      <c r="H13266" t="s">
        <v>3386</v>
      </c>
      <c r="I13266" t="str">
        <f t="shared" si="2598"/>
        <v>27/11/2025</v>
      </c>
      <c r="J13266" t="str">
        <f t="shared" si="2599"/>
        <v>24/11/2025</v>
      </c>
      <c r="K13266">
        <v>45988</v>
      </c>
      <c r="N13266">
        <v>109</v>
      </c>
      <c r="O13266" t="s">
        <v>24</v>
      </c>
      <c r="Q13266">
        <v>37.76</v>
      </c>
      <c r="R13266" t="str">
        <f>"DROGALIDER 64 (10250)"</f>
        <v>DROGALIDER 64 (10250)</v>
      </c>
      <c r="S13266" t="s">
        <v>77</v>
      </c>
      <c r="T13266">
        <v>22731</v>
      </c>
      <c r="U13266">
        <v>26067</v>
      </c>
      <c r="V13266" t="s">
        <v>77</v>
      </c>
    </row>
    <row r="13267" spans="1:22">
      <c r="A13267" t="str">
        <f t="shared" si="2595"/>
        <v>27/11/2025</v>
      </c>
      <c r="B13267" t="str">
        <f t="shared" si="2596"/>
        <v>SAÍDA</v>
      </c>
      <c r="C13267" t="str">
        <f t="shared" si="2597"/>
        <v>PIX</v>
      </c>
      <c r="D13267" t="str">
        <f t="shared" si="2605"/>
        <v>26067</v>
      </c>
      <c r="E13267" t="str">
        <f t="shared" si="2602"/>
        <v>1</v>
      </c>
      <c r="F13267" t="str">
        <f t="shared" ref="F13267:F13330" si="2607">"COM"</f>
        <v>COM</v>
      </c>
      <c r="G13267" t="str">
        <f t="shared" si="2606"/>
        <v>JOSE EURIPEDES ALVES (1095)</v>
      </c>
      <c r="H13267" t="s">
        <v>3386</v>
      </c>
      <c r="I13267" t="str">
        <f t="shared" si="2598"/>
        <v>27/11/2025</v>
      </c>
      <c r="J13267" t="str">
        <f t="shared" si="2599"/>
        <v>24/11/2025</v>
      </c>
      <c r="K13267">
        <v>45988</v>
      </c>
      <c r="N13267">
        <v>109</v>
      </c>
      <c r="O13267" t="s">
        <v>24</v>
      </c>
      <c r="Q13267">
        <v>66.02</v>
      </c>
      <c r="R13267" t="str">
        <f>"DROGALIDER 66 (10251)"</f>
        <v>DROGALIDER 66 (10251)</v>
      </c>
      <c r="S13267" t="s">
        <v>77</v>
      </c>
      <c r="T13267">
        <v>22731</v>
      </c>
      <c r="U13267">
        <v>26067</v>
      </c>
      <c r="V13267" t="s">
        <v>77</v>
      </c>
    </row>
    <row r="13268" spans="1:22">
      <c r="A13268" t="str">
        <f t="shared" si="2595"/>
        <v>27/11/2025</v>
      </c>
      <c r="B13268" t="str">
        <f t="shared" si="2596"/>
        <v>SAÍDA</v>
      </c>
      <c r="C13268" t="str">
        <f t="shared" si="2597"/>
        <v>PIX</v>
      </c>
      <c r="D13268" t="str">
        <f t="shared" ref="D13268:D13273" si="2608">"26068"</f>
        <v>26068</v>
      </c>
      <c r="E13268" t="str">
        <f t="shared" si="2602"/>
        <v>1</v>
      </c>
      <c r="F13268" t="str">
        <f t="shared" si="2607"/>
        <v>COM</v>
      </c>
      <c r="G13268" t="str">
        <f t="shared" ref="G13268:G13273" si="2609">"MATHEUS BLANCATO RESENDE (1030)"</f>
        <v>MATHEUS BLANCATO RESENDE (1030)</v>
      </c>
      <c r="H13268" t="str">
        <f>"Serv.Prest. 17/11/2025 a 23/11/2025 - PIX: CELULAR - CHAVE: (34) 97400-1695"</f>
        <v>Serv.Prest. 17/11/2025 a 23/11/2025 - PIX: CELULAR - CHAVE: (34) 97400-1695</v>
      </c>
      <c r="I13268" t="str">
        <f t="shared" si="2598"/>
        <v>27/11/2025</v>
      </c>
      <c r="J13268" t="str">
        <f t="shared" si="2599"/>
        <v>24/11/2025</v>
      </c>
      <c r="K13268" t="str">
        <f>("27/11/2025")</f>
        <v>27/11/2025</v>
      </c>
      <c r="L13268">
        <v>904</v>
      </c>
      <c r="M13268">
        <v>904</v>
      </c>
      <c r="N13268">
        <v>109</v>
      </c>
      <c r="O13268" t="str">
        <f>"PAGAMENTO DE ENTREGADORES"</f>
        <v>PAGAMENTO DE ENTREGADORES</v>
      </c>
      <c r="P13268">
        <v>904</v>
      </c>
      <c r="S13268" t="str">
        <f>"BANCO C6 (149)"</f>
        <v>BANCO C6 (149)</v>
      </c>
      <c r="T13268">
        <v>22732</v>
      </c>
      <c r="U13268">
        <v>26068</v>
      </c>
      <c r="V13268" t="s">
        <v>77</v>
      </c>
    </row>
    <row r="13269" spans="1:22">
      <c r="A13269" t="str">
        <f t="shared" si="2595"/>
        <v>27/11/2025</v>
      </c>
      <c r="B13269" t="str">
        <f t="shared" si="2596"/>
        <v>SAÍDA</v>
      </c>
      <c r="C13269" t="str">
        <f t="shared" si="2597"/>
        <v>PIX</v>
      </c>
      <c r="D13269" t="str">
        <f t="shared" si="2608"/>
        <v>26068</v>
      </c>
      <c r="E13269" t="str">
        <f t="shared" si="2602"/>
        <v>1</v>
      </c>
      <c r="F13269" t="str">
        <f t="shared" si="2607"/>
        <v>COM</v>
      </c>
      <c r="G13269" t="str">
        <f t="shared" si="2609"/>
        <v>MATHEUS BLANCATO RESENDE (1030)</v>
      </c>
      <c r="H13269" t="s">
        <v>3615</v>
      </c>
      <c r="I13269" t="str">
        <f t="shared" si="2598"/>
        <v>27/11/2025</v>
      </c>
      <c r="J13269" t="str">
        <f t="shared" si="2599"/>
        <v>24/11/2025</v>
      </c>
      <c r="K13269">
        <v>45988</v>
      </c>
      <c r="N13269">
        <v>109</v>
      </c>
      <c r="O13269" t="s">
        <v>24</v>
      </c>
      <c r="Q13269">
        <v>28.66</v>
      </c>
      <c r="R13269" t="str">
        <f>"DROGALIDER 58 (10213)"</f>
        <v>DROGALIDER 58 (10213)</v>
      </c>
      <c r="S13269" t="s">
        <v>77</v>
      </c>
      <c r="T13269">
        <v>22732</v>
      </c>
      <c r="U13269">
        <v>26068</v>
      </c>
      <c r="V13269" t="s">
        <v>77</v>
      </c>
    </row>
    <row r="13270" spans="1:22">
      <c r="A13270" t="str">
        <f t="shared" si="2595"/>
        <v>27/11/2025</v>
      </c>
      <c r="B13270" t="str">
        <f t="shared" si="2596"/>
        <v>SAÍDA</v>
      </c>
      <c r="C13270" t="str">
        <f t="shared" si="2597"/>
        <v>PIX</v>
      </c>
      <c r="D13270" t="str">
        <f t="shared" si="2608"/>
        <v>26068</v>
      </c>
      <c r="E13270" t="str">
        <f t="shared" si="2602"/>
        <v>1</v>
      </c>
      <c r="F13270" t="str">
        <f t="shared" si="2607"/>
        <v>COM</v>
      </c>
      <c r="G13270" t="str">
        <f t="shared" si="2609"/>
        <v>MATHEUS BLANCATO RESENDE (1030)</v>
      </c>
      <c r="H13270" t="s">
        <v>3615</v>
      </c>
      <c r="I13270" t="str">
        <f t="shared" si="2598"/>
        <v>27/11/2025</v>
      </c>
      <c r="J13270" t="str">
        <f t="shared" si="2599"/>
        <v>24/11/2025</v>
      </c>
      <c r="K13270">
        <v>45988</v>
      </c>
      <c r="N13270">
        <v>109</v>
      </c>
      <c r="O13270" t="s">
        <v>24</v>
      </c>
      <c r="Q13270">
        <v>444.86</v>
      </c>
      <c r="R13270" t="str">
        <f>"DROGALIDER 25 (10246)"</f>
        <v>DROGALIDER 25 (10246)</v>
      </c>
      <c r="S13270" t="s">
        <v>77</v>
      </c>
      <c r="T13270">
        <v>22732</v>
      </c>
      <c r="U13270">
        <v>26068</v>
      </c>
      <c r="V13270" t="s">
        <v>77</v>
      </c>
    </row>
    <row r="13271" spans="1:22">
      <c r="A13271" t="str">
        <f t="shared" si="2595"/>
        <v>27/11/2025</v>
      </c>
      <c r="B13271" t="str">
        <f t="shared" si="2596"/>
        <v>SAÍDA</v>
      </c>
      <c r="C13271" t="str">
        <f t="shared" si="2597"/>
        <v>PIX</v>
      </c>
      <c r="D13271" t="str">
        <f t="shared" si="2608"/>
        <v>26068</v>
      </c>
      <c r="E13271" t="str">
        <f t="shared" si="2602"/>
        <v>1</v>
      </c>
      <c r="F13271" t="str">
        <f t="shared" si="2607"/>
        <v>COM</v>
      </c>
      <c r="G13271" t="str">
        <f t="shared" si="2609"/>
        <v>MATHEUS BLANCATO RESENDE (1030)</v>
      </c>
      <c r="H13271" t="s">
        <v>3615</v>
      </c>
      <c r="I13271" t="str">
        <f t="shared" si="2598"/>
        <v>27/11/2025</v>
      </c>
      <c r="J13271" t="str">
        <f t="shared" si="2599"/>
        <v>24/11/2025</v>
      </c>
      <c r="K13271">
        <v>45988</v>
      </c>
      <c r="N13271">
        <v>109</v>
      </c>
      <c r="O13271" t="s">
        <v>24</v>
      </c>
      <c r="Q13271">
        <v>100.43</v>
      </c>
      <c r="R13271" t="str">
        <f>"DROGALIDER 46 (10248)"</f>
        <v>DROGALIDER 46 (10248)</v>
      </c>
      <c r="S13271" t="s">
        <v>77</v>
      </c>
      <c r="T13271">
        <v>22732</v>
      </c>
      <c r="U13271">
        <v>26068</v>
      </c>
      <c r="V13271" t="s">
        <v>77</v>
      </c>
    </row>
    <row r="13272" spans="1:22">
      <c r="A13272" t="str">
        <f t="shared" si="2595"/>
        <v>27/11/2025</v>
      </c>
      <c r="B13272" t="str">
        <f t="shared" si="2596"/>
        <v>SAÍDA</v>
      </c>
      <c r="C13272" t="str">
        <f t="shared" si="2597"/>
        <v>PIX</v>
      </c>
      <c r="D13272" t="str">
        <f t="shared" si="2608"/>
        <v>26068</v>
      </c>
      <c r="E13272" t="str">
        <f t="shared" si="2602"/>
        <v>1</v>
      </c>
      <c r="F13272" t="str">
        <f t="shared" si="2607"/>
        <v>COM</v>
      </c>
      <c r="G13272" t="str">
        <f t="shared" si="2609"/>
        <v>MATHEUS BLANCATO RESENDE (1030)</v>
      </c>
      <c r="H13272" t="s">
        <v>3615</v>
      </c>
      <c r="I13272" t="str">
        <f t="shared" si="2598"/>
        <v>27/11/2025</v>
      </c>
      <c r="J13272" t="str">
        <f t="shared" si="2599"/>
        <v>24/11/2025</v>
      </c>
      <c r="K13272">
        <v>45988</v>
      </c>
      <c r="N13272">
        <v>109</v>
      </c>
      <c r="O13272" t="s">
        <v>24</v>
      </c>
      <c r="Q13272">
        <v>114.81</v>
      </c>
      <c r="R13272" t="str">
        <f>"DROGALIDER 64 (10250)"</f>
        <v>DROGALIDER 64 (10250)</v>
      </c>
      <c r="S13272" t="s">
        <v>77</v>
      </c>
      <c r="T13272">
        <v>22732</v>
      </c>
      <c r="U13272">
        <v>26068</v>
      </c>
      <c r="V13272" t="s">
        <v>77</v>
      </c>
    </row>
    <row r="13273" spans="1:22">
      <c r="A13273" t="str">
        <f t="shared" si="2595"/>
        <v>27/11/2025</v>
      </c>
      <c r="B13273" t="str">
        <f t="shared" si="2596"/>
        <v>SAÍDA</v>
      </c>
      <c r="C13273" t="str">
        <f t="shared" si="2597"/>
        <v>PIX</v>
      </c>
      <c r="D13273" t="str">
        <f t="shared" si="2608"/>
        <v>26068</v>
      </c>
      <c r="E13273" t="str">
        <f t="shared" si="2602"/>
        <v>1</v>
      </c>
      <c r="F13273" t="str">
        <f t="shared" si="2607"/>
        <v>COM</v>
      </c>
      <c r="G13273" t="str">
        <f t="shared" si="2609"/>
        <v>MATHEUS BLANCATO RESENDE (1030)</v>
      </c>
      <c r="H13273" t="s">
        <v>3615</v>
      </c>
      <c r="I13273" t="str">
        <f t="shared" si="2598"/>
        <v>27/11/2025</v>
      </c>
      <c r="J13273" t="str">
        <f t="shared" si="2599"/>
        <v>24/11/2025</v>
      </c>
      <c r="K13273">
        <v>45988</v>
      </c>
      <c r="N13273">
        <v>109</v>
      </c>
      <c r="O13273" t="s">
        <v>24</v>
      </c>
      <c r="Q13273">
        <v>215.24</v>
      </c>
      <c r="R13273" t="str">
        <f>"DROGALIDER 66 (10251)"</f>
        <v>DROGALIDER 66 (10251)</v>
      </c>
      <c r="S13273" t="s">
        <v>77</v>
      </c>
      <c r="T13273">
        <v>22732</v>
      </c>
      <c r="U13273">
        <v>26068</v>
      </c>
      <c r="V13273" t="s">
        <v>77</v>
      </c>
    </row>
    <row r="13274" spans="1:22">
      <c r="A13274" t="str">
        <f t="shared" si="2595"/>
        <v>27/11/2025</v>
      </c>
      <c r="B13274" t="str">
        <f t="shared" si="2596"/>
        <v>SAÍDA</v>
      </c>
      <c r="C13274" t="str">
        <f t="shared" si="2597"/>
        <v>PIX</v>
      </c>
      <c r="D13274" t="str">
        <f>"26069"</f>
        <v>26069</v>
      </c>
      <c r="E13274" t="str">
        <f t="shared" si="2602"/>
        <v>1</v>
      </c>
      <c r="F13274" t="str">
        <f t="shared" si="2607"/>
        <v>COM</v>
      </c>
      <c r="G13274" t="str">
        <f>"RIAN FELIPE SILVA (1060)"</f>
        <v>RIAN FELIPE SILVA (1060)</v>
      </c>
      <c r="H13274" t="str">
        <f>"Serv.Prest. 17/11/2025 a 23/11/2025 - PIX: CPF - CHAVE: 480.429.318-32"</f>
        <v>Serv.Prest. 17/11/2025 a 23/11/2025 - PIX: CPF - CHAVE: 480.429.318-32</v>
      </c>
      <c r="I13274" t="str">
        <f t="shared" si="2598"/>
        <v>27/11/2025</v>
      </c>
      <c r="J13274" t="str">
        <f t="shared" si="2599"/>
        <v>24/11/2025</v>
      </c>
      <c r="K13274" t="str">
        <f>("27/11/2025")</f>
        <v>27/11/2025</v>
      </c>
      <c r="L13274">
        <v>776</v>
      </c>
      <c r="M13274">
        <v>776</v>
      </c>
      <c r="N13274">
        <v>109</v>
      </c>
      <c r="O13274" t="str">
        <f>"PAGAMENTO DE ENTREGADORES"</f>
        <v>PAGAMENTO DE ENTREGADORES</v>
      </c>
      <c r="P13274">
        <v>776</v>
      </c>
      <c r="S13274" t="str">
        <f>"BANCO C6 (149)"</f>
        <v>BANCO C6 (149)</v>
      </c>
      <c r="T13274">
        <v>22733</v>
      </c>
      <c r="U13274">
        <v>26069</v>
      </c>
      <c r="V13274" t="s">
        <v>77</v>
      </c>
    </row>
    <row r="13275" spans="1:22">
      <c r="A13275" t="str">
        <f t="shared" si="2595"/>
        <v>27/11/2025</v>
      </c>
      <c r="B13275" t="str">
        <f t="shared" si="2596"/>
        <v>SAÍDA</v>
      </c>
      <c r="C13275" t="str">
        <f t="shared" si="2597"/>
        <v>PIX</v>
      </c>
      <c r="D13275" t="str">
        <f>"26069"</f>
        <v>26069</v>
      </c>
      <c r="E13275" t="str">
        <f t="shared" si="2602"/>
        <v>1</v>
      </c>
      <c r="F13275" t="str">
        <f t="shared" si="2607"/>
        <v>COM</v>
      </c>
      <c r="G13275" t="str">
        <f>"RIAN FELIPE SILVA (1060)"</f>
        <v>RIAN FELIPE SILVA (1060)</v>
      </c>
      <c r="H13275" t="s">
        <v>3616</v>
      </c>
      <c r="I13275" t="str">
        <f t="shared" si="2598"/>
        <v>27/11/2025</v>
      </c>
      <c r="J13275" t="str">
        <f t="shared" si="2599"/>
        <v>24/11/2025</v>
      </c>
      <c r="K13275">
        <v>45988</v>
      </c>
      <c r="N13275">
        <v>109</v>
      </c>
      <c r="O13275" t="s">
        <v>24</v>
      </c>
      <c r="Q13275">
        <v>160.16999999999999</v>
      </c>
      <c r="R13275" t="str">
        <f>"DROGALIDER 58 (10213)"</f>
        <v>DROGALIDER 58 (10213)</v>
      </c>
      <c r="S13275" t="s">
        <v>77</v>
      </c>
      <c r="T13275">
        <v>22733</v>
      </c>
      <c r="U13275">
        <v>26069</v>
      </c>
      <c r="V13275" t="s">
        <v>77</v>
      </c>
    </row>
    <row r="13276" spans="1:22">
      <c r="A13276" t="str">
        <f t="shared" si="2595"/>
        <v>27/11/2025</v>
      </c>
      <c r="B13276" t="str">
        <f t="shared" si="2596"/>
        <v>SAÍDA</v>
      </c>
      <c r="C13276" t="str">
        <f t="shared" si="2597"/>
        <v>PIX</v>
      </c>
      <c r="D13276" t="str">
        <f>"26069"</f>
        <v>26069</v>
      </c>
      <c r="E13276" t="str">
        <f t="shared" si="2602"/>
        <v>1</v>
      </c>
      <c r="F13276" t="str">
        <f t="shared" si="2607"/>
        <v>COM</v>
      </c>
      <c r="G13276" t="str">
        <f>"RIAN FELIPE SILVA (1060)"</f>
        <v>RIAN FELIPE SILVA (1060)</v>
      </c>
      <c r="H13276" t="s">
        <v>3616</v>
      </c>
      <c r="I13276" t="str">
        <f t="shared" si="2598"/>
        <v>27/11/2025</v>
      </c>
      <c r="J13276" t="str">
        <f t="shared" si="2599"/>
        <v>24/11/2025</v>
      </c>
      <c r="K13276">
        <v>45988</v>
      </c>
      <c r="N13276">
        <v>109</v>
      </c>
      <c r="O13276" t="s">
        <v>24</v>
      </c>
      <c r="Q13276">
        <v>357.19</v>
      </c>
      <c r="R13276" t="str">
        <f>"DROGALIDER 25 (10246)"</f>
        <v>DROGALIDER 25 (10246)</v>
      </c>
      <c r="S13276" t="s">
        <v>77</v>
      </c>
      <c r="T13276">
        <v>22733</v>
      </c>
      <c r="U13276">
        <v>26069</v>
      </c>
      <c r="V13276" t="s">
        <v>77</v>
      </c>
    </row>
    <row r="13277" spans="1:22">
      <c r="A13277" t="str">
        <f t="shared" si="2595"/>
        <v>27/11/2025</v>
      </c>
      <c r="B13277" t="str">
        <f t="shared" si="2596"/>
        <v>SAÍDA</v>
      </c>
      <c r="C13277" t="str">
        <f t="shared" si="2597"/>
        <v>PIX</v>
      </c>
      <c r="D13277" t="str">
        <f>"26069"</f>
        <v>26069</v>
      </c>
      <c r="E13277" t="str">
        <f t="shared" si="2602"/>
        <v>1</v>
      </c>
      <c r="F13277" t="str">
        <f t="shared" si="2607"/>
        <v>COM</v>
      </c>
      <c r="G13277" t="str">
        <f>"RIAN FELIPE SILVA (1060)"</f>
        <v>RIAN FELIPE SILVA (1060)</v>
      </c>
      <c r="H13277" t="s">
        <v>3616</v>
      </c>
      <c r="I13277" t="str">
        <f t="shared" si="2598"/>
        <v>27/11/2025</v>
      </c>
      <c r="J13277" t="str">
        <f t="shared" si="2599"/>
        <v>24/11/2025</v>
      </c>
      <c r="K13277">
        <v>45988</v>
      </c>
      <c r="N13277">
        <v>109</v>
      </c>
      <c r="O13277" t="s">
        <v>24</v>
      </c>
      <c r="Q13277">
        <v>234.04</v>
      </c>
      <c r="R13277" t="str">
        <f>"DROGALIDER 46 (10248)"</f>
        <v>DROGALIDER 46 (10248)</v>
      </c>
      <c r="S13277" t="s">
        <v>77</v>
      </c>
      <c r="T13277">
        <v>22733</v>
      </c>
      <c r="U13277">
        <v>26069</v>
      </c>
      <c r="V13277" t="s">
        <v>77</v>
      </c>
    </row>
    <row r="13278" spans="1:22">
      <c r="A13278" t="str">
        <f t="shared" si="2595"/>
        <v>27/11/2025</v>
      </c>
      <c r="B13278" t="str">
        <f t="shared" si="2596"/>
        <v>SAÍDA</v>
      </c>
      <c r="C13278" t="str">
        <f t="shared" si="2597"/>
        <v>PIX</v>
      </c>
      <c r="D13278" t="str">
        <f>"26069"</f>
        <v>26069</v>
      </c>
      <c r="E13278" t="str">
        <f t="shared" si="2602"/>
        <v>1</v>
      </c>
      <c r="F13278" t="str">
        <f t="shared" si="2607"/>
        <v>COM</v>
      </c>
      <c r="G13278" t="str">
        <f>"RIAN FELIPE SILVA (1060)"</f>
        <v>RIAN FELIPE SILVA (1060)</v>
      </c>
      <c r="H13278" t="s">
        <v>3616</v>
      </c>
      <c r="I13278" t="str">
        <f t="shared" si="2598"/>
        <v>27/11/2025</v>
      </c>
      <c r="J13278" t="str">
        <f t="shared" si="2599"/>
        <v>24/11/2025</v>
      </c>
      <c r="K13278">
        <v>45988</v>
      </c>
      <c r="N13278">
        <v>109</v>
      </c>
      <c r="O13278" t="s">
        <v>24</v>
      </c>
      <c r="Q13278">
        <v>24.6</v>
      </c>
      <c r="R13278" t="str">
        <f>"DROGALIDER 64 (10250)"</f>
        <v>DROGALIDER 64 (10250)</v>
      </c>
      <c r="S13278" t="s">
        <v>77</v>
      </c>
      <c r="T13278">
        <v>22733</v>
      </c>
      <c r="U13278">
        <v>26069</v>
      </c>
      <c r="V13278" t="s">
        <v>77</v>
      </c>
    </row>
    <row r="13279" spans="1:22">
      <c r="A13279" t="str">
        <f t="shared" si="2595"/>
        <v>27/11/2025</v>
      </c>
      <c r="B13279" t="str">
        <f t="shared" si="2596"/>
        <v>SAÍDA</v>
      </c>
      <c r="C13279" t="str">
        <f t="shared" si="2597"/>
        <v>PIX</v>
      </c>
      <c r="D13279" t="str">
        <f t="shared" ref="D13279:D13284" si="2610">"26070"</f>
        <v>26070</v>
      </c>
      <c r="E13279" t="str">
        <f t="shared" si="2602"/>
        <v>1</v>
      </c>
      <c r="F13279" t="str">
        <f t="shared" si="2607"/>
        <v>COM</v>
      </c>
      <c r="G13279" t="str">
        <f t="shared" ref="G13279:G13284" si="2611">"SARA GABRIELLE SANTOS SILVA (710)"</f>
        <v>SARA GABRIELLE SANTOS SILVA (710)</v>
      </c>
      <c r="H13279" t="str">
        <f>"Serv.Prest. 17/11/2025 a 23/11/2025 - PIX: CPF - CHAVE: 023.116.166-25"</f>
        <v>Serv.Prest. 17/11/2025 a 23/11/2025 - PIX: CPF - CHAVE: 023.116.166-25</v>
      </c>
      <c r="I13279" t="str">
        <f t="shared" si="2598"/>
        <v>27/11/2025</v>
      </c>
      <c r="J13279" t="str">
        <f t="shared" si="2599"/>
        <v>24/11/2025</v>
      </c>
      <c r="K13279" t="str">
        <f>("27/11/2025")</f>
        <v>27/11/2025</v>
      </c>
      <c r="L13279">
        <v>1088</v>
      </c>
      <c r="M13279">
        <v>1088</v>
      </c>
      <c r="N13279">
        <v>109</v>
      </c>
      <c r="O13279" t="str">
        <f>"PAGAMENTO DE ENTREGADORES"</f>
        <v>PAGAMENTO DE ENTREGADORES</v>
      </c>
      <c r="P13279">
        <v>1088</v>
      </c>
      <c r="S13279" t="str">
        <f>"BANCO C6 (149)"</f>
        <v>BANCO C6 (149)</v>
      </c>
      <c r="T13279">
        <v>22734</v>
      </c>
      <c r="U13279">
        <v>26070</v>
      </c>
      <c r="V13279" t="s">
        <v>77</v>
      </c>
    </row>
    <row r="13280" spans="1:22">
      <c r="A13280" t="str">
        <f t="shared" si="2595"/>
        <v>27/11/2025</v>
      </c>
      <c r="B13280" t="str">
        <f t="shared" si="2596"/>
        <v>SAÍDA</v>
      </c>
      <c r="C13280" t="str">
        <f t="shared" si="2597"/>
        <v>PIX</v>
      </c>
      <c r="D13280" t="str">
        <f t="shared" si="2610"/>
        <v>26070</v>
      </c>
      <c r="E13280" t="str">
        <f t="shared" si="2602"/>
        <v>1</v>
      </c>
      <c r="F13280" t="str">
        <f t="shared" si="2607"/>
        <v>COM</v>
      </c>
      <c r="G13280" t="str">
        <f t="shared" si="2611"/>
        <v>SARA GABRIELLE SANTOS SILVA (710)</v>
      </c>
      <c r="H13280" t="s">
        <v>3617</v>
      </c>
      <c r="I13280" t="str">
        <f t="shared" si="2598"/>
        <v>27/11/2025</v>
      </c>
      <c r="J13280" t="str">
        <f t="shared" si="2599"/>
        <v>24/11/2025</v>
      </c>
      <c r="K13280">
        <v>45988</v>
      </c>
      <c r="N13280">
        <v>109</v>
      </c>
      <c r="O13280" t="s">
        <v>24</v>
      </c>
      <c r="Q13280">
        <v>287.99</v>
      </c>
      <c r="R13280" t="str">
        <f>"DROGALIDER 58 (10213)"</f>
        <v>DROGALIDER 58 (10213)</v>
      </c>
      <c r="S13280" t="s">
        <v>77</v>
      </c>
      <c r="T13280">
        <v>22734</v>
      </c>
      <c r="U13280">
        <v>26070</v>
      </c>
      <c r="V13280" t="s">
        <v>77</v>
      </c>
    </row>
    <row r="13281" spans="1:22">
      <c r="A13281" t="str">
        <f t="shared" si="2595"/>
        <v>27/11/2025</v>
      </c>
      <c r="B13281" t="str">
        <f t="shared" si="2596"/>
        <v>SAÍDA</v>
      </c>
      <c r="C13281" t="str">
        <f t="shared" si="2597"/>
        <v>PIX</v>
      </c>
      <c r="D13281" t="str">
        <f t="shared" si="2610"/>
        <v>26070</v>
      </c>
      <c r="E13281" t="str">
        <f t="shared" si="2602"/>
        <v>1</v>
      </c>
      <c r="F13281" t="str">
        <f t="shared" si="2607"/>
        <v>COM</v>
      </c>
      <c r="G13281" t="str">
        <f t="shared" si="2611"/>
        <v>SARA GABRIELLE SANTOS SILVA (710)</v>
      </c>
      <c r="H13281" t="s">
        <v>3617</v>
      </c>
      <c r="I13281" t="str">
        <f t="shared" si="2598"/>
        <v>27/11/2025</v>
      </c>
      <c r="J13281" t="str">
        <f t="shared" si="2599"/>
        <v>24/11/2025</v>
      </c>
      <c r="K13281">
        <v>45988</v>
      </c>
      <c r="N13281">
        <v>109</v>
      </c>
      <c r="O13281" t="s">
        <v>24</v>
      </c>
      <c r="Q13281">
        <v>360.02</v>
      </c>
      <c r="R13281" t="str">
        <f>"DROGALIDER 25 (10246)"</f>
        <v>DROGALIDER 25 (10246)</v>
      </c>
      <c r="S13281" t="s">
        <v>77</v>
      </c>
      <c r="T13281">
        <v>22734</v>
      </c>
      <c r="U13281">
        <v>26070</v>
      </c>
      <c r="V13281" t="s">
        <v>77</v>
      </c>
    </row>
    <row r="13282" spans="1:22">
      <c r="A13282" t="str">
        <f t="shared" si="2595"/>
        <v>27/11/2025</v>
      </c>
      <c r="B13282" t="str">
        <f t="shared" si="2596"/>
        <v>SAÍDA</v>
      </c>
      <c r="C13282" t="str">
        <f t="shared" si="2597"/>
        <v>PIX</v>
      </c>
      <c r="D13282" t="str">
        <f t="shared" si="2610"/>
        <v>26070</v>
      </c>
      <c r="E13282" t="str">
        <f t="shared" si="2602"/>
        <v>1</v>
      </c>
      <c r="F13282" t="str">
        <f t="shared" si="2607"/>
        <v>COM</v>
      </c>
      <c r="G13282" t="str">
        <f t="shared" si="2611"/>
        <v>SARA GABRIELLE SANTOS SILVA (710)</v>
      </c>
      <c r="H13282" t="s">
        <v>3617</v>
      </c>
      <c r="I13282" t="str">
        <f t="shared" si="2598"/>
        <v>27/11/2025</v>
      </c>
      <c r="J13282" t="str">
        <f t="shared" si="2599"/>
        <v>24/11/2025</v>
      </c>
      <c r="K13282">
        <v>45988</v>
      </c>
      <c r="N13282">
        <v>109</v>
      </c>
      <c r="O13282" t="s">
        <v>24</v>
      </c>
      <c r="Q13282">
        <v>208.03</v>
      </c>
      <c r="R13282" t="str">
        <f>"DROGALIDER 46 (10248)"</f>
        <v>DROGALIDER 46 (10248)</v>
      </c>
      <c r="S13282" t="s">
        <v>77</v>
      </c>
      <c r="T13282">
        <v>22734</v>
      </c>
      <c r="U13282">
        <v>26070</v>
      </c>
      <c r="V13282" t="s">
        <v>77</v>
      </c>
    </row>
    <row r="13283" spans="1:22">
      <c r="A13283" t="str">
        <f t="shared" si="2595"/>
        <v>27/11/2025</v>
      </c>
      <c r="B13283" t="str">
        <f t="shared" si="2596"/>
        <v>SAÍDA</v>
      </c>
      <c r="C13283" t="str">
        <f t="shared" si="2597"/>
        <v>PIX</v>
      </c>
      <c r="D13283" t="str">
        <f t="shared" si="2610"/>
        <v>26070</v>
      </c>
      <c r="E13283" t="str">
        <f t="shared" si="2602"/>
        <v>1</v>
      </c>
      <c r="F13283" t="str">
        <f t="shared" si="2607"/>
        <v>COM</v>
      </c>
      <c r="G13283" t="str">
        <f t="shared" si="2611"/>
        <v>SARA GABRIELLE SANTOS SILVA (710)</v>
      </c>
      <c r="H13283" t="s">
        <v>3617</v>
      </c>
      <c r="I13283" t="str">
        <f t="shared" si="2598"/>
        <v>27/11/2025</v>
      </c>
      <c r="J13283" t="str">
        <f t="shared" si="2599"/>
        <v>24/11/2025</v>
      </c>
      <c r="K13283">
        <v>45988</v>
      </c>
      <c r="N13283">
        <v>109</v>
      </c>
      <c r="O13283" t="s">
        <v>24</v>
      </c>
      <c r="Q13283">
        <v>88.02</v>
      </c>
      <c r="R13283" t="str">
        <f>"DROGALIDER 64 (10250)"</f>
        <v>DROGALIDER 64 (10250)</v>
      </c>
      <c r="S13283" t="s">
        <v>77</v>
      </c>
      <c r="T13283">
        <v>22734</v>
      </c>
      <c r="U13283">
        <v>26070</v>
      </c>
      <c r="V13283" t="s">
        <v>77</v>
      </c>
    </row>
    <row r="13284" spans="1:22">
      <c r="A13284" t="str">
        <f t="shared" si="2595"/>
        <v>27/11/2025</v>
      </c>
      <c r="B13284" t="str">
        <f t="shared" si="2596"/>
        <v>SAÍDA</v>
      </c>
      <c r="C13284" t="str">
        <f t="shared" si="2597"/>
        <v>PIX</v>
      </c>
      <c r="D13284" t="str">
        <f t="shared" si="2610"/>
        <v>26070</v>
      </c>
      <c r="E13284" t="str">
        <f t="shared" si="2602"/>
        <v>1</v>
      </c>
      <c r="F13284" t="str">
        <f t="shared" si="2607"/>
        <v>COM</v>
      </c>
      <c r="G13284" t="str">
        <f t="shared" si="2611"/>
        <v>SARA GABRIELLE SANTOS SILVA (710)</v>
      </c>
      <c r="H13284" t="s">
        <v>3617</v>
      </c>
      <c r="I13284" t="str">
        <f t="shared" si="2598"/>
        <v>27/11/2025</v>
      </c>
      <c r="J13284" t="str">
        <f t="shared" si="2599"/>
        <v>24/11/2025</v>
      </c>
      <c r="K13284">
        <v>45988</v>
      </c>
      <c r="N13284">
        <v>109</v>
      </c>
      <c r="O13284" t="s">
        <v>24</v>
      </c>
      <c r="Q13284">
        <v>143.94</v>
      </c>
      <c r="R13284" t="str">
        <f>"DROGALIDER 66 (10251)"</f>
        <v>DROGALIDER 66 (10251)</v>
      </c>
      <c r="S13284" t="s">
        <v>77</v>
      </c>
      <c r="T13284">
        <v>22734</v>
      </c>
      <c r="U13284">
        <v>26070</v>
      </c>
      <c r="V13284" t="s">
        <v>77</v>
      </c>
    </row>
    <row r="13285" spans="1:22">
      <c r="A13285" t="str">
        <f t="shared" si="2595"/>
        <v>27/11/2025</v>
      </c>
      <c r="B13285" t="str">
        <f t="shared" si="2596"/>
        <v>SAÍDA</v>
      </c>
      <c r="C13285" t="str">
        <f t="shared" si="2597"/>
        <v>PIX</v>
      </c>
      <c r="D13285" t="str">
        <f>"26080"</f>
        <v>26080</v>
      </c>
      <c r="E13285" t="str">
        <f t="shared" si="2602"/>
        <v>1</v>
      </c>
      <c r="F13285" t="str">
        <f t="shared" si="2607"/>
        <v>COM</v>
      </c>
      <c r="G13285" t="str">
        <f>"ERIC RODRIGUES TEIXEIRA (939)"</f>
        <v>ERIC RODRIGUES TEIXEIRA (939)</v>
      </c>
      <c r="H13285" t="str">
        <f>"Serv.Prest. 17/11/2025 a 23/11/2025 - PIX: CELULAR - CHAVE: (11) 95038-0621"</f>
        <v>Serv.Prest. 17/11/2025 a 23/11/2025 - PIX: CELULAR - CHAVE: (11) 95038-0621</v>
      </c>
      <c r="I13285" t="str">
        <f t="shared" si="2598"/>
        <v>27/11/2025</v>
      </c>
      <c r="J13285" t="str">
        <f t="shared" si="2599"/>
        <v>24/11/2025</v>
      </c>
      <c r="K13285" t="str">
        <f>("27/11/2025")</f>
        <v>27/11/2025</v>
      </c>
      <c r="L13285">
        <v>895</v>
      </c>
      <c r="M13285">
        <v>895</v>
      </c>
      <c r="N13285">
        <v>109</v>
      </c>
      <c r="O13285" t="str">
        <f>"PAGAMENTO DE ENTREGADORES"</f>
        <v>PAGAMENTO DE ENTREGADORES</v>
      </c>
      <c r="P13285">
        <v>895</v>
      </c>
      <c r="S13285" t="str">
        <f>"BANCO C6 (149)"</f>
        <v>BANCO C6 (149)</v>
      </c>
      <c r="T13285">
        <v>22735</v>
      </c>
      <c r="U13285">
        <v>26080</v>
      </c>
      <c r="V13285" t="s">
        <v>77</v>
      </c>
    </row>
    <row r="13286" spans="1:22">
      <c r="A13286" t="str">
        <f t="shared" si="2595"/>
        <v>27/11/2025</v>
      </c>
      <c r="B13286" t="str">
        <f t="shared" si="2596"/>
        <v>SAÍDA</v>
      </c>
      <c r="C13286" t="str">
        <f t="shared" si="2597"/>
        <v>PIX</v>
      </c>
      <c r="D13286" t="str">
        <f>"26080"</f>
        <v>26080</v>
      </c>
      <c r="E13286" t="str">
        <f t="shared" si="2602"/>
        <v>1</v>
      </c>
      <c r="F13286" t="str">
        <f t="shared" si="2607"/>
        <v>COM</v>
      </c>
      <c r="G13286" t="str">
        <f>"ERIC RODRIGUES TEIXEIRA (939)"</f>
        <v>ERIC RODRIGUES TEIXEIRA (939)</v>
      </c>
      <c r="H13286" t="s">
        <v>3399</v>
      </c>
      <c r="I13286" t="str">
        <f t="shared" si="2598"/>
        <v>27/11/2025</v>
      </c>
      <c r="J13286" t="str">
        <f t="shared" si="2599"/>
        <v>24/11/2025</v>
      </c>
      <c r="K13286">
        <v>45988</v>
      </c>
      <c r="N13286">
        <v>109</v>
      </c>
      <c r="O13286" t="s">
        <v>24</v>
      </c>
      <c r="Q13286">
        <v>298.31</v>
      </c>
      <c r="R13286" t="str">
        <f>"PENSE FARMA 07 (10201)"</f>
        <v>PENSE FARMA 07 (10201)</v>
      </c>
      <c r="S13286" t="s">
        <v>77</v>
      </c>
      <c r="T13286">
        <v>22735</v>
      </c>
      <c r="U13286">
        <v>26080</v>
      </c>
      <c r="V13286" t="s">
        <v>77</v>
      </c>
    </row>
    <row r="13287" spans="1:22">
      <c r="A13287" t="str">
        <f t="shared" si="2595"/>
        <v>27/11/2025</v>
      </c>
      <c r="B13287" t="str">
        <f t="shared" si="2596"/>
        <v>SAÍDA</v>
      </c>
      <c r="C13287" t="str">
        <f t="shared" si="2597"/>
        <v>PIX</v>
      </c>
      <c r="D13287" t="str">
        <f>"26080"</f>
        <v>26080</v>
      </c>
      <c r="E13287" t="str">
        <f t="shared" si="2602"/>
        <v>1</v>
      </c>
      <c r="F13287" t="str">
        <f t="shared" si="2607"/>
        <v>COM</v>
      </c>
      <c r="G13287" t="str">
        <f>"ERIC RODRIGUES TEIXEIRA (939)"</f>
        <v>ERIC RODRIGUES TEIXEIRA (939)</v>
      </c>
      <c r="H13287" t="s">
        <v>3399</v>
      </c>
      <c r="I13287" t="str">
        <f t="shared" si="2598"/>
        <v>27/11/2025</v>
      </c>
      <c r="J13287" t="str">
        <f t="shared" si="2599"/>
        <v>24/11/2025</v>
      </c>
      <c r="K13287">
        <v>45988</v>
      </c>
      <c r="N13287">
        <v>109</v>
      </c>
      <c r="O13287" t="s">
        <v>24</v>
      </c>
      <c r="Q13287">
        <v>298.3</v>
      </c>
      <c r="R13287" t="str">
        <f>"PENSE FARMA 45 (10209)"</f>
        <v>PENSE FARMA 45 (10209)</v>
      </c>
      <c r="S13287" t="s">
        <v>77</v>
      </c>
      <c r="T13287">
        <v>22735</v>
      </c>
      <c r="U13287">
        <v>26080</v>
      </c>
      <c r="V13287" t="s">
        <v>77</v>
      </c>
    </row>
    <row r="13288" spans="1:22">
      <c r="A13288" t="str">
        <f t="shared" si="2595"/>
        <v>27/11/2025</v>
      </c>
      <c r="B13288" t="str">
        <f t="shared" si="2596"/>
        <v>SAÍDA</v>
      </c>
      <c r="C13288" t="str">
        <f t="shared" si="2597"/>
        <v>PIX</v>
      </c>
      <c r="D13288" t="str">
        <f>"26080"</f>
        <v>26080</v>
      </c>
      <c r="E13288" t="str">
        <f t="shared" si="2602"/>
        <v>1</v>
      </c>
      <c r="F13288" t="str">
        <f t="shared" si="2607"/>
        <v>COM</v>
      </c>
      <c r="G13288" t="str">
        <f>"ERIC RODRIGUES TEIXEIRA (939)"</f>
        <v>ERIC RODRIGUES TEIXEIRA (939)</v>
      </c>
      <c r="H13288" t="s">
        <v>3399</v>
      </c>
      <c r="I13288" t="str">
        <f t="shared" si="2598"/>
        <v>27/11/2025</v>
      </c>
      <c r="J13288" t="str">
        <f t="shared" si="2599"/>
        <v>24/11/2025</v>
      </c>
      <c r="K13288">
        <v>45988</v>
      </c>
      <c r="N13288">
        <v>109</v>
      </c>
      <c r="O13288" t="s">
        <v>24</v>
      </c>
      <c r="Q13288">
        <v>298.39</v>
      </c>
      <c r="R13288" t="str">
        <f>"PENSE FARMA 50 (10210)"</f>
        <v>PENSE FARMA 50 (10210)</v>
      </c>
      <c r="S13288" t="s">
        <v>77</v>
      </c>
      <c r="T13288">
        <v>22735</v>
      </c>
      <c r="U13288">
        <v>26080</v>
      </c>
      <c r="V13288" t="s">
        <v>77</v>
      </c>
    </row>
    <row r="13289" spans="1:22">
      <c r="A13289" t="str">
        <f t="shared" si="2595"/>
        <v>27/11/2025</v>
      </c>
      <c r="B13289" t="str">
        <f t="shared" si="2596"/>
        <v>SAÍDA</v>
      </c>
      <c r="C13289" t="str">
        <f t="shared" si="2597"/>
        <v>PIX</v>
      </c>
      <c r="D13289" t="str">
        <f>"26102"</f>
        <v>26102</v>
      </c>
      <c r="E13289" t="str">
        <f t="shared" si="2602"/>
        <v>1</v>
      </c>
      <c r="F13289" t="str">
        <f t="shared" si="2607"/>
        <v>COM</v>
      </c>
      <c r="G13289" t="str">
        <f>"JEFFERSON AMORIM DA SILVA (940)"</f>
        <v>JEFFERSON AMORIM DA SILVA (940)</v>
      </c>
      <c r="H13289" t="str">
        <f>"Serv.Prest. 17/11/2025 a 23/11/2025 - PIX: CELULAR - CHAVE: (11) 98447-6954"</f>
        <v>Serv.Prest. 17/11/2025 a 23/11/2025 - PIX: CELULAR - CHAVE: (11) 98447-6954</v>
      </c>
      <c r="I13289" t="str">
        <f t="shared" si="2598"/>
        <v>27/11/2025</v>
      </c>
      <c r="J13289" t="str">
        <f t="shared" si="2599"/>
        <v>24/11/2025</v>
      </c>
      <c r="K13289" t="str">
        <f>("27/11/2025")</f>
        <v>27/11/2025</v>
      </c>
      <c r="L13289">
        <v>700</v>
      </c>
      <c r="M13289">
        <v>700</v>
      </c>
      <c r="N13289">
        <v>109</v>
      </c>
      <c r="O13289" t="str">
        <f>"PAGAMENTO DE ENTREGADORES"</f>
        <v>PAGAMENTO DE ENTREGADORES</v>
      </c>
      <c r="P13289">
        <v>700</v>
      </c>
      <c r="S13289" t="str">
        <f>"BANCO C6 (149)"</f>
        <v>BANCO C6 (149)</v>
      </c>
      <c r="T13289">
        <v>22736</v>
      </c>
      <c r="U13289">
        <v>26102</v>
      </c>
      <c r="V13289" t="s">
        <v>77</v>
      </c>
    </row>
    <row r="13290" spans="1:22">
      <c r="A13290" t="str">
        <f t="shared" si="2595"/>
        <v>27/11/2025</v>
      </c>
      <c r="B13290" t="str">
        <f t="shared" si="2596"/>
        <v>SAÍDA</v>
      </c>
      <c r="C13290" t="str">
        <f t="shared" si="2597"/>
        <v>PIX</v>
      </c>
      <c r="D13290" t="str">
        <f>"26102"</f>
        <v>26102</v>
      </c>
      <c r="E13290" t="str">
        <f t="shared" si="2602"/>
        <v>1</v>
      </c>
      <c r="F13290" t="str">
        <f t="shared" si="2607"/>
        <v>COM</v>
      </c>
      <c r="G13290" t="str">
        <f>"JEFFERSON AMORIM DA SILVA (940)"</f>
        <v>JEFFERSON AMORIM DA SILVA (940)</v>
      </c>
      <c r="H13290" t="s">
        <v>3400</v>
      </c>
      <c r="I13290" t="str">
        <f t="shared" si="2598"/>
        <v>27/11/2025</v>
      </c>
      <c r="J13290" t="str">
        <f t="shared" si="2599"/>
        <v>24/11/2025</v>
      </c>
      <c r="K13290">
        <v>45988</v>
      </c>
      <c r="N13290">
        <v>109</v>
      </c>
      <c r="O13290" t="s">
        <v>24</v>
      </c>
      <c r="Q13290">
        <v>233.31</v>
      </c>
      <c r="R13290" t="str">
        <f>"PENSE FARMA 15 (10195)"</f>
        <v>PENSE FARMA 15 (10195)</v>
      </c>
      <c r="S13290" t="s">
        <v>77</v>
      </c>
      <c r="T13290">
        <v>22736</v>
      </c>
      <c r="U13290">
        <v>26102</v>
      </c>
      <c r="V13290" t="s">
        <v>77</v>
      </c>
    </row>
    <row r="13291" spans="1:22">
      <c r="A13291" t="str">
        <f t="shared" si="2595"/>
        <v>27/11/2025</v>
      </c>
      <c r="B13291" t="str">
        <f t="shared" si="2596"/>
        <v>SAÍDA</v>
      </c>
      <c r="C13291" t="str">
        <f t="shared" si="2597"/>
        <v>PIX</v>
      </c>
      <c r="D13291" t="str">
        <f>"26102"</f>
        <v>26102</v>
      </c>
      <c r="E13291" t="str">
        <f t="shared" si="2602"/>
        <v>1</v>
      </c>
      <c r="F13291" t="str">
        <f t="shared" si="2607"/>
        <v>COM</v>
      </c>
      <c r="G13291" t="str">
        <f>"JEFFERSON AMORIM DA SILVA (940)"</f>
        <v>JEFFERSON AMORIM DA SILVA (940)</v>
      </c>
      <c r="H13291" t="s">
        <v>3400</v>
      </c>
      <c r="I13291" t="str">
        <f t="shared" si="2598"/>
        <v>27/11/2025</v>
      </c>
      <c r="J13291" t="str">
        <f t="shared" si="2599"/>
        <v>24/11/2025</v>
      </c>
      <c r="K13291">
        <v>45988</v>
      </c>
      <c r="N13291">
        <v>109</v>
      </c>
      <c r="O13291" t="s">
        <v>24</v>
      </c>
      <c r="Q13291">
        <v>233.31</v>
      </c>
      <c r="R13291" t="str">
        <f>"PENSE FARMA 60 (10197)"</f>
        <v>PENSE FARMA 60 (10197)</v>
      </c>
      <c r="S13291" t="s">
        <v>77</v>
      </c>
      <c r="T13291">
        <v>22736</v>
      </c>
      <c r="U13291">
        <v>26102</v>
      </c>
      <c r="V13291" t="s">
        <v>77</v>
      </c>
    </row>
    <row r="13292" spans="1:22">
      <c r="A13292" t="str">
        <f t="shared" si="2595"/>
        <v>27/11/2025</v>
      </c>
      <c r="B13292" t="str">
        <f t="shared" si="2596"/>
        <v>SAÍDA</v>
      </c>
      <c r="C13292" t="str">
        <f t="shared" si="2597"/>
        <v>PIX</v>
      </c>
      <c r="D13292" t="str">
        <f>"26102"</f>
        <v>26102</v>
      </c>
      <c r="E13292" t="str">
        <f t="shared" si="2602"/>
        <v>1</v>
      </c>
      <c r="F13292" t="str">
        <f t="shared" si="2607"/>
        <v>COM</v>
      </c>
      <c r="G13292" t="str">
        <f>"JEFFERSON AMORIM DA SILVA (940)"</f>
        <v>JEFFERSON AMORIM DA SILVA (940)</v>
      </c>
      <c r="H13292" t="s">
        <v>3400</v>
      </c>
      <c r="I13292" t="str">
        <f t="shared" si="2598"/>
        <v>27/11/2025</v>
      </c>
      <c r="J13292" t="str">
        <f t="shared" si="2599"/>
        <v>24/11/2025</v>
      </c>
      <c r="K13292">
        <v>45988</v>
      </c>
      <c r="N13292">
        <v>109</v>
      </c>
      <c r="O13292" t="s">
        <v>24</v>
      </c>
      <c r="Q13292">
        <v>233.38</v>
      </c>
      <c r="R13292" t="str">
        <f>"PENSE FARMA 61 (10243)"</f>
        <v>PENSE FARMA 61 (10243)</v>
      </c>
      <c r="S13292" t="s">
        <v>77</v>
      </c>
      <c r="T13292">
        <v>22736</v>
      </c>
      <c r="U13292">
        <v>26102</v>
      </c>
      <c r="V13292" t="s">
        <v>77</v>
      </c>
    </row>
    <row r="13293" spans="1:22">
      <c r="A13293" t="str">
        <f t="shared" si="2595"/>
        <v>27/11/2025</v>
      </c>
      <c r="B13293" t="str">
        <f t="shared" si="2596"/>
        <v>SAÍDA</v>
      </c>
      <c r="C13293" t="str">
        <f t="shared" si="2597"/>
        <v>PIX</v>
      </c>
      <c r="D13293" t="str">
        <f>"26103"</f>
        <v>26103</v>
      </c>
      <c r="E13293" t="str">
        <f t="shared" si="2602"/>
        <v>1</v>
      </c>
      <c r="F13293" t="str">
        <f t="shared" si="2607"/>
        <v>COM</v>
      </c>
      <c r="G13293" t="str">
        <f>"LETÍCIA ANDRADE DE CASTRO SILVA (1067)"</f>
        <v>LETÍCIA ANDRADE DE CASTRO SILVA (1067)</v>
      </c>
      <c r="H13293" t="str">
        <f>"Serv.Prest. 17/11/2025 a 23/11/2025 - PIX: CPF - CHAVE: 439.367.298-40"</f>
        <v>Serv.Prest. 17/11/2025 a 23/11/2025 - PIX: CPF - CHAVE: 439.367.298-40</v>
      </c>
      <c r="I13293" t="str">
        <f t="shared" si="2598"/>
        <v>27/11/2025</v>
      </c>
      <c r="J13293" t="str">
        <f t="shared" si="2599"/>
        <v>24/11/2025</v>
      </c>
      <c r="K13293" t="str">
        <f>("27/11/2025")</f>
        <v>27/11/2025</v>
      </c>
      <c r="L13293">
        <v>100</v>
      </c>
      <c r="M13293">
        <v>100</v>
      </c>
      <c r="N13293">
        <v>109</v>
      </c>
      <c r="O13293" t="str">
        <f>"PAGAMENTO DE ENTREGADORES"</f>
        <v>PAGAMENTO DE ENTREGADORES</v>
      </c>
      <c r="P13293">
        <v>100</v>
      </c>
      <c r="S13293" t="str">
        <f>"BANCO C6 (149)"</f>
        <v>BANCO C6 (149)</v>
      </c>
      <c r="T13293">
        <v>22737</v>
      </c>
      <c r="U13293">
        <v>26103</v>
      </c>
      <c r="V13293" t="s">
        <v>77</v>
      </c>
    </row>
    <row r="13294" spans="1:22">
      <c r="A13294" t="str">
        <f t="shared" si="2595"/>
        <v>27/11/2025</v>
      </c>
      <c r="B13294" t="str">
        <f t="shared" si="2596"/>
        <v>SAÍDA</v>
      </c>
      <c r="C13294" t="str">
        <f t="shared" si="2597"/>
        <v>PIX</v>
      </c>
      <c r="D13294" t="str">
        <f>"26103"</f>
        <v>26103</v>
      </c>
      <c r="E13294" t="str">
        <f t="shared" si="2602"/>
        <v>1</v>
      </c>
      <c r="F13294" t="str">
        <f t="shared" si="2607"/>
        <v>COM</v>
      </c>
      <c r="G13294" t="str">
        <f>"LETÍCIA ANDRADE DE CASTRO SILVA (1067)"</f>
        <v>LETÍCIA ANDRADE DE CASTRO SILVA (1067)</v>
      </c>
      <c r="H13294" t="s">
        <v>3618</v>
      </c>
      <c r="I13294" t="str">
        <f t="shared" si="2598"/>
        <v>27/11/2025</v>
      </c>
      <c r="J13294" t="str">
        <f t="shared" si="2599"/>
        <v>24/11/2025</v>
      </c>
      <c r="K13294">
        <v>45988</v>
      </c>
      <c r="N13294">
        <v>109</v>
      </c>
      <c r="O13294" t="s">
        <v>24</v>
      </c>
      <c r="Q13294">
        <v>33.33</v>
      </c>
      <c r="R13294" t="str">
        <f>"PENSE FARMA 15 (10195)"</f>
        <v>PENSE FARMA 15 (10195)</v>
      </c>
      <c r="S13294" t="s">
        <v>77</v>
      </c>
      <c r="T13294">
        <v>22737</v>
      </c>
      <c r="U13294">
        <v>26103</v>
      </c>
      <c r="V13294" t="s">
        <v>77</v>
      </c>
    </row>
    <row r="13295" spans="1:22">
      <c r="A13295" t="str">
        <f t="shared" si="2595"/>
        <v>27/11/2025</v>
      </c>
      <c r="B13295" t="str">
        <f t="shared" si="2596"/>
        <v>SAÍDA</v>
      </c>
      <c r="C13295" t="str">
        <f t="shared" si="2597"/>
        <v>PIX</v>
      </c>
      <c r="D13295" t="str">
        <f>"26103"</f>
        <v>26103</v>
      </c>
      <c r="E13295" t="str">
        <f t="shared" si="2602"/>
        <v>1</v>
      </c>
      <c r="F13295" t="str">
        <f t="shared" si="2607"/>
        <v>COM</v>
      </c>
      <c r="G13295" t="str">
        <f>"LETÍCIA ANDRADE DE CASTRO SILVA (1067)"</f>
        <v>LETÍCIA ANDRADE DE CASTRO SILVA (1067)</v>
      </c>
      <c r="H13295" t="s">
        <v>3618</v>
      </c>
      <c r="I13295" t="str">
        <f t="shared" si="2598"/>
        <v>27/11/2025</v>
      </c>
      <c r="J13295" t="str">
        <f t="shared" si="2599"/>
        <v>24/11/2025</v>
      </c>
      <c r="K13295">
        <v>45988</v>
      </c>
      <c r="N13295">
        <v>109</v>
      </c>
      <c r="O13295" t="s">
        <v>24</v>
      </c>
      <c r="Q13295">
        <v>33.33</v>
      </c>
      <c r="R13295" t="str">
        <f>"PENSE FARMA 60 (10197)"</f>
        <v>PENSE FARMA 60 (10197)</v>
      </c>
      <c r="S13295" t="s">
        <v>77</v>
      </c>
      <c r="T13295">
        <v>22737</v>
      </c>
      <c r="U13295">
        <v>26103</v>
      </c>
      <c r="V13295" t="s">
        <v>77</v>
      </c>
    </row>
    <row r="13296" spans="1:22">
      <c r="A13296" t="str">
        <f t="shared" si="2595"/>
        <v>27/11/2025</v>
      </c>
      <c r="B13296" t="str">
        <f t="shared" si="2596"/>
        <v>SAÍDA</v>
      </c>
      <c r="C13296" t="str">
        <f t="shared" si="2597"/>
        <v>PIX</v>
      </c>
      <c r="D13296" t="str">
        <f>"26103"</f>
        <v>26103</v>
      </c>
      <c r="E13296" t="str">
        <f t="shared" si="2602"/>
        <v>1</v>
      </c>
      <c r="F13296" t="str">
        <f t="shared" si="2607"/>
        <v>COM</v>
      </c>
      <c r="G13296" t="str">
        <f>"LETÍCIA ANDRADE DE CASTRO SILVA (1067)"</f>
        <v>LETÍCIA ANDRADE DE CASTRO SILVA (1067)</v>
      </c>
      <c r="H13296" t="s">
        <v>3618</v>
      </c>
      <c r="I13296" t="str">
        <f t="shared" si="2598"/>
        <v>27/11/2025</v>
      </c>
      <c r="J13296" t="str">
        <f t="shared" si="2599"/>
        <v>24/11/2025</v>
      </c>
      <c r="K13296">
        <v>45988</v>
      </c>
      <c r="N13296">
        <v>109</v>
      </c>
      <c r="O13296" t="s">
        <v>24</v>
      </c>
      <c r="Q13296">
        <v>33.340000000000003</v>
      </c>
      <c r="R13296" t="str">
        <f>"PENSE FARMA 61 (10243)"</f>
        <v>PENSE FARMA 61 (10243)</v>
      </c>
      <c r="S13296" t="s">
        <v>77</v>
      </c>
      <c r="T13296">
        <v>22737</v>
      </c>
      <c r="U13296">
        <v>26103</v>
      </c>
      <c r="V13296" t="s">
        <v>77</v>
      </c>
    </row>
    <row r="13297" spans="1:22">
      <c r="A13297" t="str">
        <f t="shared" si="2595"/>
        <v>27/11/2025</v>
      </c>
      <c r="B13297" t="str">
        <f t="shared" si="2596"/>
        <v>SAÍDA</v>
      </c>
      <c r="C13297" t="str">
        <f t="shared" si="2597"/>
        <v>PIX</v>
      </c>
      <c r="D13297" t="str">
        <f>"26105"</f>
        <v>26105</v>
      </c>
      <c r="E13297" t="str">
        <f t="shared" si="2602"/>
        <v>1</v>
      </c>
      <c r="F13297" t="str">
        <f t="shared" si="2607"/>
        <v>COM</v>
      </c>
      <c r="G13297" t="str">
        <f>"NATHAN PETRIN SOUSA DA SILVA (1049)"</f>
        <v>NATHAN PETRIN SOUSA DA SILVA (1049)</v>
      </c>
      <c r="H13297" t="str">
        <f>"Serv.Prest. 17/11/2025 a 23/11/2025 - PIX: CELULAR - CHAVE: (11) 98731-4534"</f>
        <v>Serv.Prest. 17/11/2025 a 23/11/2025 - PIX: CELULAR - CHAVE: (11) 98731-4534</v>
      </c>
      <c r="I13297" t="str">
        <f t="shared" si="2598"/>
        <v>27/11/2025</v>
      </c>
      <c r="J13297" t="str">
        <f t="shared" si="2599"/>
        <v>24/11/2025</v>
      </c>
      <c r="K13297" t="str">
        <f>("27/11/2025")</f>
        <v>27/11/2025</v>
      </c>
      <c r="L13297">
        <v>1400</v>
      </c>
      <c r="M13297">
        <v>1400</v>
      </c>
      <c r="N13297">
        <v>109</v>
      </c>
      <c r="O13297" t="str">
        <f>"PAGAMENTO DE ENTREGADORES"</f>
        <v>PAGAMENTO DE ENTREGADORES</v>
      </c>
      <c r="P13297">
        <v>1400</v>
      </c>
      <c r="S13297" t="str">
        <f>"BANCO C6 (149)"</f>
        <v>BANCO C6 (149)</v>
      </c>
      <c r="T13297">
        <v>22738</v>
      </c>
      <c r="U13297">
        <v>26105</v>
      </c>
      <c r="V13297" t="s">
        <v>77</v>
      </c>
    </row>
    <row r="13298" spans="1:22">
      <c r="A13298" t="str">
        <f t="shared" si="2595"/>
        <v>27/11/2025</v>
      </c>
      <c r="B13298" t="str">
        <f t="shared" si="2596"/>
        <v>SAÍDA</v>
      </c>
      <c r="C13298" t="str">
        <f t="shared" si="2597"/>
        <v>PIX</v>
      </c>
      <c r="D13298" t="str">
        <f>"26105"</f>
        <v>26105</v>
      </c>
      <c r="E13298" t="str">
        <f t="shared" si="2602"/>
        <v>1</v>
      </c>
      <c r="F13298" t="str">
        <f t="shared" si="2607"/>
        <v>COM</v>
      </c>
      <c r="G13298" t="str">
        <f>"NATHAN PETRIN SOUSA DA SILVA (1049)"</f>
        <v>NATHAN PETRIN SOUSA DA SILVA (1049)</v>
      </c>
      <c r="H13298" t="s">
        <v>3619</v>
      </c>
      <c r="I13298" t="str">
        <f t="shared" si="2598"/>
        <v>27/11/2025</v>
      </c>
      <c r="J13298" t="str">
        <f t="shared" si="2599"/>
        <v>24/11/2025</v>
      </c>
      <c r="K13298">
        <v>45988</v>
      </c>
      <c r="N13298">
        <v>109</v>
      </c>
      <c r="O13298" t="s">
        <v>24</v>
      </c>
      <c r="Q13298">
        <v>1400</v>
      </c>
      <c r="R13298" t="str">
        <f>"PENSE FARMA 26 (10196)"</f>
        <v>PENSE FARMA 26 (10196)</v>
      </c>
      <c r="S13298" t="s">
        <v>77</v>
      </c>
      <c r="T13298">
        <v>22738</v>
      </c>
      <c r="U13298">
        <v>26105</v>
      </c>
      <c r="V13298" t="s">
        <v>77</v>
      </c>
    </row>
    <row r="13299" spans="1:22">
      <c r="A13299" t="str">
        <f t="shared" ref="A13299:A13362" si="2612">("27/11/2025")</f>
        <v>27/11/2025</v>
      </c>
      <c r="B13299" t="str">
        <f t="shared" ref="B13299:B13362" si="2613">"SAÍDA"</f>
        <v>SAÍDA</v>
      </c>
      <c r="C13299" t="str">
        <f t="shared" ref="C13299:C13362" si="2614">"PIX"</f>
        <v>PIX</v>
      </c>
      <c r="D13299" t="str">
        <f>"26111"</f>
        <v>26111</v>
      </c>
      <c r="E13299" t="str">
        <f t="shared" si="2602"/>
        <v>1</v>
      </c>
      <c r="F13299" t="str">
        <f t="shared" si="2607"/>
        <v>COM</v>
      </c>
      <c r="G13299" t="str">
        <f>"ALESSANDRO SILVA DOS SANTOS (966)"</f>
        <v>ALESSANDRO SILVA DOS SANTOS (966)</v>
      </c>
      <c r="H13299" t="str">
        <f>"Serv.Prest. 17/11/2025 a 23/11/2025 - PIX: E-MAIL - CHAVE: silvaalessandro3909@gmail.com"</f>
        <v>Serv.Prest. 17/11/2025 a 23/11/2025 - PIX: E-MAIL - CHAVE: silvaalessandro3909@gmail.com</v>
      </c>
      <c r="I13299" t="str">
        <f t="shared" ref="I13299:I13362" si="2615">("27/11/2025")</f>
        <v>27/11/2025</v>
      </c>
      <c r="J13299" t="str">
        <f t="shared" si="2599"/>
        <v>24/11/2025</v>
      </c>
      <c r="K13299" t="str">
        <f>("27/11/2025")</f>
        <v>27/11/2025</v>
      </c>
      <c r="L13299">
        <v>1000</v>
      </c>
      <c r="M13299">
        <v>1000</v>
      </c>
      <c r="N13299">
        <v>109</v>
      </c>
      <c r="O13299" t="str">
        <f>"PAGAMENTO DE ENTREGADORES"</f>
        <v>PAGAMENTO DE ENTREGADORES</v>
      </c>
      <c r="P13299">
        <v>1000</v>
      </c>
      <c r="S13299" t="str">
        <f>"BANCO C6 (149)"</f>
        <v>BANCO C6 (149)</v>
      </c>
      <c r="T13299">
        <v>22739</v>
      </c>
      <c r="U13299">
        <v>26111</v>
      </c>
      <c r="V13299" t="s">
        <v>77</v>
      </c>
    </row>
    <row r="13300" spans="1:22">
      <c r="A13300" t="str">
        <f t="shared" si="2612"/>
        <v>27/11/2025</v>
      </c>
      <c r="B13300" t="str">
        <f t="shared" si="2613"/>
        <v>SAÍDA</v>
      </c>
      <c r="C13300" t="str">
        <f t="shared" si="2614"/>
        <v>PIX</v>
      </c>
      <c r="D13300" t="str">
        <f>"26111"</f>
        <v>26111</v>
      </c>
      <c r="E13300" t="str">
        <f t="shared" si="2602"/>
        <v>1</v>
      </c>
      <c r="F13300" t="str">
        <f t="shared" si="2607"/>
        <v>COM</v>
      </c>
      <c r="G13300" t="str">
        <f>"ALESSANDRO SILVA DOS SANTOS (966)"</f>
        <v>ALESSANDRO SILVA DOS SANTOS (966)</v>
      </c>
      <c r="H13300" t="s">
        <v>3620</v>
      </c>
      <c r="I13300" t="str">
        <f t="shared" si="2615"/>
        <v>27/11/2025</v>
      </c>
      <c r="J13300" t="str">
        <f t="shared" si="2599"/>
        <v>24/11/2025</v>
      </c>
      <c r="K13300">
        <v>45988</v>
      </c>
      <c r="N13300">
        <v>109</v>
      </c>
      <c r="O13300" t="s">
        <v>24</v>
      </c>
      <c r="Q13300">
        <v>1000</v>
      </c>
      <c r="R13300" t="str">
        <f>"PENSE FARMA 22 (10198)"</f>
        <v>PENSE FARMA 22 (10198)</v>
      </c>
      <c r="S13300" t="s">
        <v>77</v>
      </c>
      <c r="T13300">
        <v>22739</v>
      </c>
      <c r="U13300">
        <v>26111</v>
      </c>
      <c r="V13300" t="s">
        <v>77</v>
      </c>
    </row>
    <row r="13301" spans="1:22">
      <c r="A13301" t="str">
        <f t="shared" si="2612"/>
        <v>27/11/2025</v>
      </c>
      <c r="B13301" t="str">
        <f t="shared" si="2613"/>
        <v>SAÍDA</v>
      </c>
      <c r="C13301" t="str">
        <f t="shared" si="2614"/>
        <v>PIX</v>
      </c>
      <c r="D13301" t="str">
        <f>"26114"</f>
        <v>26114</v>
      </c>
      <c r="E13301" t="str">
        <f t="shared" si="2602"/>
        <v>1</v>
      </c>
      <c r="F13301" t="str">
        <f t="shared" si="2607"/>
        <v>COM</v>
      </c>
      <c r="G13301" t="str">
        <f>"JULIEDERSON AGUIAR SANTOS (946)"</f>
        <v>JULIEDERSON AGUIAR SANTOS (946)</v>
      </c>
      <c r="H13301" t="str">
        <f>"Serv.Prest. 17/11/2025 a 23/11/2025 - PIX: CPF - CHAVE: 383.328.968-60"</f>
        <v>Serv.Prest. 17/11/2025 a 23/11/2025 - PIX: CPF - CHAVE: 383.328.968-60</v>
      </c>
      <c r="I13301" t="str">
        <f t="shared" si="2615"/>
        <v>27/11/2025</v>
      </c>
      <c r="J13301" t="str">
        <f t="shared" ref="J13301:J13332" si="2616">("24/11/2025")</f>
        <v>24/11/2025</v>
      </c>
      <c r="K13301" t="str">
        <f>("27/11/2025")</f>
        <v>27/11/2025</v>
      </c>
      <c r="L13301">
        <v>1040</v>
      </c>
      <c r="M13301">
        <v>1040</v>
      </c>
      <c r="N13301">
        <v>109</v>
      </c>
      <c r="O13301" t="str">
        <f>"PAGAMENTO DE ENTREGADORES"</f>
        <v>PAGAMENTO DE ENTREGADORES</v>
      </c>
      <c r="P13301">
        <v>1040</v>
      </c>
      <c r="S13301" t="str">
        <f>"BANCO C6 (149)"</f>
        <v>BANCO C6 (149)</v>
      </c>
      <c r="T13301">
        <v>22740</v>
      </c>
      <c r="U13301">
        <v>26114</v>
      </c>
      <c r="V13301" t="s">
        <v>77</v>
      </c>
    </row>
    <row r="13302" spans="1:22">
      <c r="A13302" t="str">
        <f t="shared" si="2612"/>
        <v>27/11/2025</v>
      </c>
      <c r="B13302" t="str">
        <f t="shared" si="2613"/>
        <v>SAÍDA</v>
      </c>
      <c r="C13302" t="str">
        <f t="shared" si="2614"/>
        <v>PIX</v>
      </c>
      <c r="D13302" t="str">
        <f>"26114"</f>
        <v>26114</v>
      </c>
      <c r="E13302" t="str">
        <f t="shared" si="2602"/>
        <v>1</v>
      </c>
      <c r="F13302" t="str">
        <f t="shared" si="2607"/>
        <v>COM</v>
      </c>
      <c r="G13302" t="str">
        <f>"JULIEDERSON AGUIAR SANTOS (946)"</f>
        <v>JULIEDERSON AGUIAR SANTOS (946)</v>
      </c>
      <c r="H13302" t="s">
        <v>3621</v>
      </c>
      <c r="I13302" t="str">
        <f t="shared" si="2615"/>
        <v>27/11/2025</v>
      </c>
      <c r="J13302" t="str">
        <f t="shared" si="2616"/>
        <v>24/11/2025</v>
      </c>
      <c r="K13302">
        <v>45988</v>
      </c>
      <c r="N13302">
        <v>109</v>
      </c>
      <c r="O13302" t="s">
        <v>24</v>
      </c>
      <c r="Q13302">
        <v>1040</v>
      </c>
      <c r="R13302" t="str">
        <f>"PENSE FARMA 22 (10198)"</f>
        <v>PENSE FARMA 22 (10198)</v>
      </c>
      <c r="S13302" t="s">
        <v>77</v>
      </c>
      <c r="T13302">
        <v>22740</v>
      </c>
      <c r="U13302">
        <v>26114</v>
      </c>
      <c r="V13302" t="s">
        <v>77</v>
      </c>
    </row>
    <row r="13303" spans="1:22">
      <c r="A13303" t="str">
        <f t="shared" si="2612"/>
        <v>27/11/2025</v>
      </c>
      <c r="B13303" t="str">
        <f t="shared" si="2613"/>
        <v>SAÍDA</v>
      </c>
      <c r="C13303" t="str">
        <f t="shared" si="2614"/>
        <v>PIX</v>
      </c>
      <c r="D13303" t="str">
        <f>"26115"</f>
        <v>26115</v>
      </c>
      <c r="E13303" t="str">
        <f t="shared" si="2602"/>
        <v>1</v>
      </c>
      <c r="F13303" t="str">
        <f t="shared" si="2607"/>
        <v>COM</v>
      </c>
      <c r="G13303" t="str">
        <f>"RICARDO DE OLIVEIRA SENA (1065)"</f>
        <v>RICARDO DE OLIVEIRA SENA (1065)</v>
      </c>
      <c r="H13303" t="str">
        <f>"Serv.Prest. 17/11/2025 a 23/11/2025 - PIX: CELULAR - CHAVE: (11) 95335-4943"</f>
        <v>Serv.Prest. 17/11/2025 a 23/11/2025 - PIX: CELULAR - CHAVE: (11) 95335-4943</v>
      </c>
      <c r="I13303" t="str">
        <f t="shared" si="2615"/>
        <v>27/11/2025</v>
      </c>
      <c r="J13303" t="str">
        <f t="shared" si="2616"/>
        <v>24/11/2025</v>
      </c>
      <c r="K13303" t="str">
        <f>("27/11/2025")</f>
        <v>27/11/2025</v>
      </c>
      <c r="L13303">
        <v>1207.5</v>
      </c>
      <c r="M13303">
        <v>1207.5</v>
      </c>
      <c r="N13303">
        <v>109</v>
      </c>
      <c r="O13303" t="str">
        <f>"PAGAMENTO DE ENTREGADORES"</f>
        <v>PAGAMENTO DE ENTREGADORES</v>
      </c>
      <c r="P13303">
        <v>1207.5</v>
      </c>
      <c r="S13303" t="str">
        <f>"BANCO C6 (149)"</f>
        <v>BANCO C6 (149)</v>
      </c>
      <c r="T13303">
        <v>22741</v>
      </c>
      <c r="U13303">
        <v>26115</v>
      </c>
      <c r="V13303" t="s">
        <v>77</v>
      </c>
    </row>
    <row r="13304" spans="1:22">
      <c r="A13304" t="str">
        <f t="shared" si="2612"/>
        <v>27/11/2025</v>
      </c>
      <c r="B13304" t="str">
        <f t="shared" si="2613"/>
        <v>SAÍDA</v>
      </c>
      <c r="C13304" t="str">
        <f t="shared" si="2614"/>
        <v>PIX</v>
      </c>
      <c r="D13304" t="str">
        <f>"26115"</f>
        <v>26115</v>
      </c>
      <c r="E13304" t="str">
        <f t="shared" si="2602"/>
        <v>1</v>
      </c>
      <c r="F13304" t="str">
        <f t="shared" si="2607"/>
        <v>COM</v>
      </c>
      <c r="G13304" t="str">
        <f>"RICARDO DE OLIVEIRA SENA (1065)"</f>
        <v>RICARDO DE OLIVEIRA SENA (1065)</v>
      </c>
      <c r="H13304" t="s">
        <v>3622</v>
      </c>
      <c r="I13304" t="str">
        <f t="shared" si="2615"/>
        <v>27/11/2025</v>
      </c>
      <c r="J13304" t="str">
        <f t="shared" si="2616"/>
        <v>24/11/2025</v>
      </c>
      <c r="K13304">
        <v>45988</v>
      </c>
      <c r="N13304">
        <v>109</v>
      </c>
      <c r="O13304" t="s">
        <v>24</v>
      </c>
      <c r="Q13304">
        <v>1207.5</v>
      </c>
      <c r="R13304" t="str">
        <f>"PENSE FARMA 22 (10198)"</f>
        <v>PENSE FARMA 22 (10198)</v>
      </c>
      <c r="S13304" t="s">
        <v>77</v>
      </c>
      <c r="T13304">
        <v>22741</v>
      </c>
      <c r="U13304">
        <v>26115</v>
      </c>
      <c r="V13304" t="s">
        <v>77</v>
      </c>
    </row>
    <row r="13305" spans="1:22">
      <c r="A13305" t="str">
        <f t="shared" si="2612"/>
        <v>27/11/2025</v>
      </c>
      <c r="B13305" t="str">
        <f t="shared" si="2613"/>
        <v>SAÍDA</v>
      </c>
      <c r="C13305" t="str">
        <f t="shared" si="2614"/>
        <v>PIX</v>
      </c>
      <c r="D13305" t="str">
        <f t="shared" ref="D13305:D13310" si="2617">"26119"</f>
        <v>26119</v>
      </c>
      <c r="E13305" t="str">
        <f t="shared" si="2602"/>
        <v>1</v>
      </c>
      <c r="F13305" t="str">
        <f t="shared" si="2607"/>
        <v>COM</v>
      </c>
      <c r="G13305" t="str">
        <f t="shared" ref="G13305:G13310" si="2618">"LUCIANA BEATRIZ MARQUES DAVI (1043)"</f>
        <v>LUCIANA BEATRIZ MARQUES DAVI (1043)</v>
      </c>
      <c r="H13305" t="str">
        <f>"Serv.Prest. 17/11/2025 a 23/11/2025 - PIX: CELULAR - CHAVE: (34) 99889-9792"</f>
        <v>Serv.Prest. 17/11/2025 a 23/11/2025 - PIX: CELULAR - CHAVE: (34) 99889-9792</v>
      </c>
      <c r="I13305" t="str">
        <f t="shared" si="2615"/>
        <v>27/11/2025</v>
      </c>
      <c r="J13305" t="str">
        <f t="shared" si="2616"/>
        <v>24/11/2025</v>
      </c>
      <c r="K13305" t="str">
        <f>("27/11/2025")</f>
        <v>27/11/2025</v>
      </c>
      <c r="L13305">
        <v>700</v>
      </c>
      <c r="M13305">
        <v>700</v>
      </c>
      <c r="N13305">
        <v>109</v>
      </c>
      <c r="O13305" t="str">
        <f>"PAGAMENTO DE ENTREGADORES"</f>
        <v>PAGAMENTO DE ENTREGADORES</v>
      </c>
      <c r="P13305">
        <v>700</v>
      </c>
      <c r="S13305" t="str">
        <f>"BANCO C6 (149)"</f>
        <v>BANCO C6 (149)</v>
      </c>
      <c r="T13305">
        <v>22742</v>
      </c>
      <c r="U13305">
        <v>26119</v>
      </c>
      <c r="V13305" t="s">
        <v>77</v>
      </c>
    </row>
    <row r="13306" spans="1:22">
      <c r="A13306" t="str">
        <f t="shared" si="2612"/>
        <v>27/11/2025</v>
      </c>
      <c r="B13306" t="str">
        <f t="shared" si="2613"/>
        <v>SAÍDA</v>
      </c>
      <c r="C13306" t="str">
        <f t="shared" si="2614"/>
        <v>PIX</v>
      </c>
      <c r="D13306" t="str">
        <f t="shared" si="2617"/>
        <v>26119</v>
      </c>
      <c r="E13306" t="str">
        <f t="shared" si="2602"/>
        <v>1</v>
      </c>
      <c r="F13306" t="str">
        <f t="shared" si="2607"/>
        <v>COM</v>
      </c>
      <c r="G13306" t="str">
        <f t="shared" si="2618"/>
        <v>LUCIANA BEATRIZ MARQUES DAVI (1043)</v>
      </c>
      <c r="H13306" t="s">
        <v>3623</v>
      </c>
      <c r="I13306" t="str">
        <f t="shared" si="2615"/>
        <v>27/11/2025</v>
      </c>
      <c r="J13306" t="str">
        <f t="shared" si="2616"/>
        <v>24/11/2025</v>
      </c>
      <c r="K13306">
        <v>45988</v>
      </c>
      <c r="N13306">
        <v>109</v>
      </c>
      <c r="O13306" t="s">
        <v>24</v>
      </c>
      <c r="Q13306">
        <v>42</v>
      </c>
      <c r="R13306" t="str">
        <f>"DROGALIDER 42 (10247)"</f>
        <v>DROGALIDER 42 (10247)</v>
      </c>
      <c r="S13306" t="s">
        <v>77</v>
      </c>
      <c r="T13306">
        <v>22742</v>
      </c>
      <c r="U13306">
        <v>26119</v>
      </c>
      <c r="V13306" t="s">
        <v>77</v>
      </c>
    </row>
    <row r="13307" spans="1:22">
      <c r="A13307" t="str">
        <f t="shared" si="2612"/>
        <v>27/11/2025</v>
      </c>
      <c r="B13307" t="str">
        <f t="shared" si="2613"/>
        <v>SAÍDA</v>
      </c>
      <c r="C13307" t="str">
        <f t="shared" si="2614"/>
        <v>PIX</v>
      </c>
      <c r="D13307" t="str">
        <f t="shared" si="2617"/>
        <v>26119</v>
      </c>
      <c r="E13307" t="str">
        <f t="shared" si="2602"/>
        <v>1</v>
      </c>
      <c r="F13307" t="str">
        <f t="shared" si="2607"/>
        <v>COM</v>
      </c>
      <c r="G13307" t="str">
        <f t="shared" si="2618"/>
        <v>LUCIANA BEATRIZ MARQUES DAVI (1043)</v>
      </c>
      <c r="H13307" t="s">
        <v>3623</v>
      </c>
      <c r="I13307" t="str">
        <f t="shared" si="2615"/>
        <v>27/11/2025</v>
      </c>
      <c r="J13307" t="str">
        <f t="shared" si="2616"/>
        <v>24/11/2025</v>
      </c>
      <c r="K13307">
        <v>45988</v>
      </c>
      <c r="N13307">
        <v>109</v>
      </c>
      <c r="O13307" t="s">
        <v>24</v>
      </c>
      <c r="Q13307">
        <v>14</v>
      </c>
      <c r="R13307" t="str">
        <f>"DROGALIDER 55 (10249)"</f>
        <v>DROGALIDER 55 (10249)</v>
      </c>
      <c r="S13307" t="s">
        <v>77</v>
      </c>
      <c r="T13307">
        <v>22742</v>
      </c>
      <c r="U13307">
        <v>26119</v>
      </c>
      <c r="V13307" t="s">
        <v>77</v>
      </c>
    </row>
    <row r="13308" spans="1:22">
      <c r="A13308" t="str">
        <f t="shared" si="2612"/>
        <v>27/11/2025</v>
      </c>
      <c r="B13308" t="str">
        <f t="shared" si="2613"/>
        <v>SAÍDA</v>
      </c>
      <c r="C13308" t="str">
        <f t="shared" si="2614"/>
        <v>PIX</v>
      </c>
      <c r="D13308" t="str">
        <f t="shared" si="2617"/>
        <v>26119</v>
      </c>
      <c r="E13308" t="str">
        <f t="shared" si="2602"/>
        <v>1</v>
      </c>
      <c r="F13308" t="str">
        <f t="shared" si="2607"/>
        <v>COM</v>
      </c>
      <c r="G13308" t="str">
        <f t="shared" si="2618"/>
        <v>LUCIANA BEATRIZ MARQUES DAVI (1043)</v>
      </c>
      <c r="H13308" t="s">
        <v>3623</v>
      </c>
      <c r="I13308" t="str">
        <f t="shared" si="2615"/>
        <v>27/11/2025</v>
      </c>
      <c r="J13308" t="str">
        <f t="shared" si="2616"/>
        <v>24/11/2025</v>
      </c>
      <c r="K13308">
        <v>45988</v>
      </c>
      <c r="N13308">
        <v>109</v>
      </c>
      <c r="O13308" t="s">
        <v>24</v>
      </c>
      <c r="Q13308">
        <v>336</v>
      </c>
      <c r="R13308" t="str">
        <f>"DROGALIDER 67 (10252)"</f>
        <v>DROGALIDER 67 (10252)</v>
      </c>
      <c r="S13308" t="s">
        <v>77</v>
      </c>
      <c r="T13308">
        <v>22742</v>
      </c>
      <c r="U13308">
        <v>26119</v>
      </c>
      <c r="V13308" t="s">
        <v>77</v>
      </c>
    </row>
    <row r="13309" spans="1:22">
      <c r="A13309" t="str">
        <f t="shared" si="2612"/>
        <v>27/11/2025</v>
      </c>
      <c r="B13309" t="str">
        <f t="shared" si="2613"/>
        <v>SAÍDA</v>
      </c>
      <c r="C13309" t="str">
        <f t="shared" si="2614"/>
        <v>PIX</v>
      </c>
      <c r="D13309" t="str">
        <f t="shared" si="2617"/>
        <v>26119</v>
      </c>
      <c r="E13309" t="str">
        <f t="shared" si="2602"/>
        <v>1</v>
      </c>
      <c r="F13309" t="str">
        <f t="shared" si="2607"/>
        <v>COM</v>
      </c>
      <c r="G13309" t="str">
        <f t="shared" si="2618"/>
        <v>LUCIANA BEATRIZ MARQUES DAVI (1043)</v>
      </c>
      <c r="H13309" t="s">
        <v>3623</v>
      </c>
      <c r="I13309" t="str">
        <f t="shared" si="2615"/>
        <v>27/11/2025</v>
      </c>
      <c r="J13309" t="str">
        <f t="shared" si="2616"/>
        <v>24/11/2025</v>
      </c>
      <c r="K13309">
        <v>45988</v>
      </c>
      <c r="N13309">
        <v>109</v>
      </c>
      <c r="O13309" t="s">
        <v>24</v>
      </c>
      <c r="Q13309">
        <v>98</v>
      </c>
      <c r="R13309" t="str">
        <f>"DROGALIDER 68 (10253)"</f>
        <v>DROGALIDER 68 (10253)</v>
      </c>
      <c r="S13309" t="s">
        <v>77</v>
      </c>
      <c r="T13309">
        <v>22742</v>
      </c>
      <c r="U13309">
        <v>26119</v>
      </c>
      <c r="V13309" t="s">
        <v>77</v>
      </c>
    </row>
    <row r="13310" spans="1:22">
      <c r="A13310" t="str">
        <f t="shared" si="2612"/>
        <v>27/11/2025</v>
      </c>
      <c r="B13310" t="str">
        <f t="shared" si="2613"/>
        <v>SAÍDA</v>
      </c>
      <c r="C13310" t="str">
        <f t="shared" si="2614"/>
        <v>PIX</v>
      </c>
      <c r="D13310" t="str">
        <f t="shared" si="2617"/>
        <v>26119</v>
      </c>
      <c r="E13310" t="str">
        <f t="shared" si="2602"/>
        <v>1</v>
      </c>
      <c r="F13310" t="str">
        <f t="shared" si="2607"/>
        <v>COM</v>
      </c>
      <c r="G13310" t="str">
        <f t="shared" si="2618"/>
        <v>LUCIANA BEATRIZ MARQUES DAVI (1043)</v>
      </c>
      <c r="H13310" t="s">
        <v>3623</v>
      </c>
      <c r="I13310" t="str">
        <f t="shared" si="2615"/>
        <v>27/11/2025</v>
      </c>
      <c r="J13310" t="str">
        <f t="shared" si="2616"/>
        <v>24/11/2025</v>
      </c>
      <c r="K13310">
        <v>45988</v>
      </c>
      <c r="N13310">
        <v>109</v>
      </c>
      <c r="O13310" t="s">
        <v>24</v>
      </c>
      <c r="Q13310">
        <v>210</v>
      </c>
      <c r="R13310" t="str">
        <f>"DROGALIDER 31 (10256)"</f>
        <v>DROGALIDER 31 (10256)</v>
      </c>
      <c r="S13310" t="s">
        <v>77</v>
      </c>
      <c r="T13310">
        <v>22742</v>
      </c>
      <c r="U13310">
        <v>26119</v>
      </c>
      <c r="V13310" t="s">
        <v>77</v>
      </c>
    </row>
    <row r="13311" spans="1:22">
      <c r="A13311" t="str">
        <f t="shared" si="2612"/>
        <v>27/11/2025</v>
      </c>
      <c r="B13311" t="str">
        <f t="shared" si="2613"/>
        <v>SAÍDA</v>
      </c>
      <c r="C13311" t="str">
        <f t="shared" si="2614"/>
        <v>PIX</v>
      </c>
      <c r="D13311" t="str">
        <f t="shared" ref="D13311:D13316" si="2619">"26120"</f>
        <v>26120</v>
      </c>
      <c r="E13311" t="str">
        <f t="shared" si="2602"/>
        <v>1</v>
      </c>
      <c r="F13311" t="str">
        <f t="shared" si="2607"/>
        <v>COM</v>
      </c>
      <c r="G13311" t="str">
        <f t="shared" ref="G13311:G13316" si="2620">"MAIKI FRANCISCO XAVIER (1078)"</f>
        <v>MAIKI FRANCISCO XAVIER (1078)</v>
      </c>
      <c r="H13311" t="str">
        <f>"Serv.Prest. 17/11/2025 a 23/11/2025 - PIX: CPF - CHAVE: 384.490.518-94"</f>
        <v>Serv.Prest. 17/11/2025 a 23/11/2025 - PIX: CPF - CHAVE: 384.490.518-94</v>
      </c>
      <c r="I13311" t="str">
        <f t="shared" si="2615"/>
        <v>27/11/2025</v>
      </c>
      <c r="J13311" t="str">
        <f t="shared" si="2616"/>
        <v>24/11/2025</v>
      </c>
      <c r="K13311" t="str">
        <f>("27/11/2025")</f>
        <v>27/11/2025</v>
      </c>
      <c r="L13311">
        <v>800</v>
      </c>
      <c r="M13311">
        <v>800</v>
      </c>
      <c r="N13311">
        <v>109</v>
      </c>
      <c r="O13311" t="str">
        <f>"PAGAMENTO DE ENTREGADORES"</f>
        <v>PAGAMENTO DE ENTREGADORES</v>
      </c>
      <c r="P13311">
        <v>800</v>
      </c>
      <c r="S13311" t="str">
        <f>"BANCO C6 (149)"</f>
        <v>BANCO C6 (149)</v>
      </c>
      <c r="T13311">
        <v>22743</v>
      </c>
      <c r="U13311">
        <v>26120</v>
      </c>
      <c r="V13311" t="s">
        <v>77</v>
      </c>
    </row>
    <row r="13312" spans="1:22">
      <c r="A13312" t="str">
        <f t="shared" si="2612"/>
        <v>27/11/2025</v>
      </c>
      <c r="B13312" t="str">
        <f t="shared" si="2613"/>
        <v>SAÍDA</v>
      </c>
      <c r="C13312" t="str">
        <f t="shared" si="2614"/>
        <v>PIX</v>
      </c>
      <c r="D13312" t="str">
        <f t="shared" si="2619"/>
        <v>26120</v>
      </c>
      <c r="E13312" t="str">
        <f t="shared" si="2602"/>
        <v>1</v>
      </c>
      <c r="F13312" t="str">
        <f t="shared" si="2607"/>
        <v>COM</v>
      </c>
      <c r="G13312" t="str">
        <f t="shared" si="2620"/>
        <v>MAIKI FRANCISCO XAVIER (1078)</v>
      </c>
      <c r="H13312" t="s">
        <v>3624</v>
      </c>
      <c r="I13312" t="str">
        <f t="shared" si="2615"/>
        <v>27/11/2025</v>
      </c>
      <c r="J13312" t="str">
        <f t="shared" si="2616"/>
        <v>24/11/2025</v>
      </c>
      <c r="K13312">
        <v>45988</v>
      </c>
      <c r="N13312">
        <v>109</v>
      </c>
      <c r="O13312" t="s">
        <v>24</v>
      </c>
      <c r="Q13312">
        <v>29.2</v>
      </c>
      <c r="R13312" t="str">
        <f>"DROGALIDER 42 (10247)"</f>
        <v>DROGALIDER 42 (10247)</v>
      </c>
      <c r="S13312" t="s">
        <v>77</v>
      </c>
      <c r="T13312">
        <v>22743</v>
      </c>
      <c r="U13312">
        <v>26120</v>
      </c>
      <c r="V13312" t="s">
        <v>77</v>
      </c>
    </row>
    <row r="13313" spans="1:22">
      <c r="A13313" t="str">
        <f t="shared" si="2612"/>
        <v>27/11/2025</v>
      </c>
      <c r="B13313" t="str">
        <f t="shared" si="2613"/>
        <v>SAÍDA</v>
      </c>
      <c r="C13313" t="str">
        <f t="shared" si="2614"/>
        <v>PIX</v>
      </c>
      <c r="D13313" t="str">
        <f t="shared" si="2619"/>
        <v>26120</v>
      </c>
      <c r="E13313" t="str">
        <f t="shared" si="2602"/>
        <v>1</v>
      </c>
      <c r="F13313" t="str">
        <f t="shared" si="2607"/>
        <v>COM</v>
      </c>
      <c r="G13313" t="str">
        <f t="shared" si="2620"/>
        <v>MAIKI FRANCISCO XAVIER (1078)</v>
      </c>
      <c r="H13313" t="s">
        <v>3624</v>
      </c>
      <c r="I13313" t="str">
        <f t="shared" si="2615"/>
        <v>27/11/2025</v>
      </c>
      <c r="J13313" t="str">
        <f t="shared" si="2616"/>
        <v>24/11/2025</v>
      </c>
      <c r="K13313">
        <v>45988</v>
      </c>
      <c r="N13313">
        <v>109</v>
      </c>
      <c r="O13313" t="s">
        <v>24</v>
      </c>
      <c r="Q13313">
        <v>204.4</v>
      </c>
      <c r="R13313" t="str">
        <f>"DROGALIDER 55 (10249)"</f>
        <v>DROGALIDER 55 (10249)</v>
      </c>
      <c r="S13313" t="s">
        <v>77</v>
      </c>
      <c r="T13313">
        <v>22743</v>
      </c>
      <c r="U13313">
        <v>26120</v>
      </c>
      <c r="V13313" t="s">
        <v>77</v>
      </c>
    </row>
    <row r="13314" spans="1:22">
      <c r="A13314" t="str">
        <f t="shared" si="2612"/>
        <v>27/11/2025</v>
      </c>
      <c r="B13314" t="str">
        <f t="shared" si="2613"/>
        <v>SAÍDA</v>
      </c>
      <c r="C13314" t="str">
        <f t="shared" si="2614"/>
        <v>PIX</v>
      </c>
      <c r="D13314" t="str">
        <f t="shared" si="2619"/>
        <v>26120</v>
      </c>
      <c r="E13314" t="str">
        <f t="shared" si="2602"/>
        <v>1</v>
      </c>
      <c r="F13314" t="str">
        <f t="shared" si="2607"/>
        <v>COM</v>
      </c>
      <c r="G13314" t="str">
        <f t="shared" si="2620"/>
        <v>MAIKI FRANCISCO XAVIER (1078)</v>
      </c>
      <c r="H13314" t="s">
        <v>3624</v>
      </c>
      <c r="I13314" t="str">
        <f t="shared" si="2615"/>
        <v>27/11/2025</v>
      </c>
      <c r="J13314" t="str">
        <f t="shared" si="2616"/>
        <v>24/11/2025</v>
      </c>
      <c r="K13314">
        <v>45988</v>
      </c>
      <c r="N13314">
        <v>109</v>
      </c>
      <c r="O13314" t="s">
        <v>24</v>
      </c>
      <c r="Q13314">
        <v>221.92</v>
      </c>
      <c r="R13314" t="str">
        <f>"DROGALIDER 67 (10252)"</f>
        <v>DROGALIDER 67 (10252)</v>
      </c>
      <c r="S13314" t="s">
        <v>77</v>
      </c>
      <c r="T13314">
        <v>22743</v>
      </c>
      <c r="U13314">
        <v>26120</v>
      </c>
      <c r="V13314" t="s">
        <v>77</v>
      </c>
    </row>
    <row r="13315" spans="1:22">
      <c r="A13315" t="str">
        <f t="shared" si="2612"/>
        <v>27/11/2025</v>
      </c>
      <c r="B13315" t="str">
        <f t="shared" si="2613"/>
        <v>SAÍDA</v>
      </c>
      <c r="C13315" t="str">
        <f t="shared" si="2614"/>
        <v>PIX</v>
      </c>
      <c r="D13315" t="str">
        <f t="shared" si="2619"/>
        <v>26120</v>
      </c>
      <c r="E13315" t="str">
        <f t="shared" si="2602"/>
        <v>1</v>
      </c>
      <c r="F13315" t="str">
        <f t="shared" si="2607"/>
        <v>COM</v>
      </c>
      <c r="G13315" t="str">
        <f t="shared" si="2620"/>
        <v>MAIKI FRANCISCO XAVIER (1078)</v>
      </c>
      <c r="H13315" t="s">
        <v>3624</v>
      </c>
      <c r="I13315" t="str">
        <f t="shared" si="2615"/>
        <v>27/11/2025</v>
      </c>
      <c r="J13315" t="str">
        <f t="shared" si="2616"/>
        <v>24/11/2025</v>
      </c>
      <c r="K13315">
        <v>45988</v>
      </c>
      <c r="N13315">
        <v>109</v>
      </c>
      <c r="O13315" t="s">
        <v>24</v>
      </c>
      <c r="Q13315">
        <v>46.72</v>
      </c>
      <c r="R13315" t="str">
        <f>"DROGALIDER 68 (10253)"</f>
        <v>DROGALIDER 68 (10253)</v>
      </c>
      <c r="S13315" t="s">
        <v>77</v>
      </c>
      <c r="T13315">
        <v>22743</v>
      </c>
      <c r="U13315">
        <v>26120</v>
      </c>
      <c r="V13315" t="s">
        <v>77</v>
      </c>
    </row>
    <row r="13316" spans="1:22">
      <c r="A13316" t="str">
        <f t="shared" si="2612"/>
        <v>27/11/2025</v>
      </c>
      <c r="B13316" t="str">
        <f t="shared" si="2613"/>
        <v>SAÍDA</v>
      </c>
      <c r="C13316" t="str">
        <f t="shared" si="2614"/>
        <v>PIX</v>
      </c>
      <c r="D13316" t="str">
        <f t="shared" si="2619"/>
        <v>26120</v>
      </c>
      <c r="E13316" t="str">
        <f t="shared" ref="E13316:E13379" si="2621">"1"</f>
        <v>1</v>
      </c>
      <c r="F13316" t="str">
        <f t="shared" si="2607"/>
        <v>COM</v>
      </c>
      <c r="G13316" t="str">
        <f t="shared" si="2620"/>
        <v>MAIKI FRANCISCO XAVIER (1078)</v>
      </c>
      <c r="H13316" t="s">
        <v>3624</v>
      </c>
      <c r="I13316" t="str">
        <f t="shared" si="2615"/>
        <v>27/11/2025</v>
      </c>
      <c r="J13316" t="str">
        <f t="shared" si="2616"/>
        <v>24/11/2025</v>
      </c>
      <c r="K13316">
        <v>45988</v>
      </c>
      <c r="N13316">
        <v>109</v>
      </c>
      <c r="O13316" t="s">
        <v>24</v>
      </c>
      <c r="Q13316">
        <v>297.76</v>
      </c>
      <c r="R13316" t="str">
        <f>"DROGALIDER 31 (10256)"</f>
        <v>DROGALIDER 31 (10256)</v>
      </c>
      <c r="S13316" t="s">
        <v>77</v>
      </c>
      <c r="T13316">
        <v>22743</v>
      </c>
      <c r="U13316">
        <v>26120</v>
      </c>
      <c r="V13316" t="s">
        <v>77</v>
      </c>
    </row>
    <row r="13317" spans="1:22">
      <c r="A13317" t="str">
        <f t="shared" si="2612"/>
        <v>27/11/2025</v>
      </c>
      <c r="B13317" t="str">
        <f t="shared" si="2613"/>
        <v>SAÍDA</v>
      </c>
      <c r="C13317" t="str">
        <f t="shared" si="2614"/>
        <v>PIX</v>
      </c>
      <c r="D13317" t="str">
        <f t="shared" ref="D13317:D13322" si="2622">"26121"</f>
        <v>26121</v>
      </c>
      <c r="E13317" t="str">
        <f t="shared" si="2621"/>
        <v>1</v>
      </c>
      <c r="F13317" t="str">
        <f t="shared" si="2607"/>
        <v>COM</v>
      </c>
      <c r="G13317" t="str">
        <f t="shared" ref="G13317:G13322" si="2623">"MURILO DANTAS CABRAL (1090)"</f>
        <v>MURILO DANTAS CABRAL (1090)</v>
      </c>
      <c r="H13317" t="str">
        <f>"Serv.Prest. 17/11/2025 a 23/11/2025 - PIX: CELULAR - CHAVE: (34) 98830-1317"</f>
        <v>Serv.Prest. 17/11/2025 a 23/11/2025 - PIX: CELULAR - CHAVE: (34) 98830-1317</v>
      </c>
      <c r="I13317" t="str">
        <f t="shared" si="2615"/>
        <v>27/11/2025</v>
      </c>
      <c r="J13317" t="str">
        <f t="shared" si="2616"/>
        <v>24/11/2025</v>
      </c>
      <c r="K13317" t="str">
        <f>("27/11/2025")</f>
        <v>27/11/2025</v>
      </c>
      <c r="L13317">
        <v>799.68</v>
      </c>
      <c r="M13317">
        <v>799.68</v>
      </c>
      <c r="N13317">
        <v>109</v>
      </c>
      <c r="O13317" t="str">
        <f>"PAGAMENTO DE ENTREGADORES"</f>
        <v>PAGAMENTO DE ENTREGADORES</v>
      </c>
      <c r="P13317">
        <v>799.68</v>
      </c>
      <c r="S13317" t="str">
        <f>"BANCO C6 (149)"</f>
        <v>BANCO C6 (149)</v>
      </c>
      <c r="T13317">
        <v>22744</v>
      </c>
      <c r="U13317">
        <v>26121</v>
      </c>
      <c r="V13317" t="s">
        <v>77</v>
      </c>
    </row>
    <row r="13318" spans="1:22">
      <c r="A13318" t="str">
        <f t="shared" si="2612"/>
        <v>27/11/2025</v>
      </c>
      <c r="B13318" t="str">
        <f t="shared" si="2613"/>
        <v>SAÍDA</v>
      </c>
      <c r="C13318" t="str">
        <f t="shared" si="2614"/>
        <v>PIX</v>
      </c>
      <c r="D13318" t="str">
        <f t="shared" si="2622"/>
        <v>26121</v>
      </c>
      <c r="E13318" t="str">
        <f t="shared" si="2621"/>
        <v>1</v>
      </c>
      <c r="F13318" t="str">
        <f t="shared" si="2607"/>
        <v>COM</v>
      </c>
      <c r="G13318" t="str">
        <f t="shared" si="2623"/>
        <v>MURILO DANTAS CABRAL (1090)</v>
      </c>
      <c r="H13318" t="s">
        <v>3625</v>
      </c>
      <c r="I13318" t="str">
        <f t="shared" si="2615"/>
        <v>27/11/2025</v>
      </c>
      <c r="J13318" t="str">
        <f t="shared" si="2616"/>
        <v>24/11/2025</v>
      </c>
      <c r="K13318">
        <v>45988</v>
      </c>
      <c r="N13318">
        <v>109</v>
      </c>
      <c r="O13318" t="s">
        <v>24</v>
      </c>
      <c r="Q13318">
        <v>23.84</v>
      </c>
      <c r="R13318" t="str">
        <f>"DROGALIDER 42 (10247)"</f>
        <v>DROGALIDER 42 (10247)</v>
      </c>
      <c r="S13318" t="s">
        <v>77</v>
      </c>
      <c r="T13318">
        <v>22744</v>
      </c>
      <c r="U13318">
        <v>26121</v>
      </c>
      <c r="V13318" t="s">
        <v>77</v>
      </c>
    </row>
    <row r="13319" spans="1:22">
      <c r="A13319" t="str">
        <f t="shared" si="2612"/>
        <v>27/11/2025</v>
      </c>
      <c r="B13319" t="str">
        <f t="shared" si="2613"/>
        <v>SAÍDA</v>
      </c>
      <c r="C13319" t="str">
        <f t="shared" si="2614"/>
        <v>PIX</v>
      </c>
      <c r="D13319" t="str">
        <f t="shared" si="2622"/>
        <v>26121</v>
      </c>
      <c r="E13319" t="str">
        <f t="shared" si="2621"/>
        <v>1</v>
      </c>
      <c r="F13319" t="str">
        <f t="shared" si="2607"/>
        <v>COM</v>
      </c>
      <c r="G13319" t="str">
        <f t="shared" si="2623"/>
        <v>MURILO DANTAS CABRAL (1090)</v>
      </c>
      <c r="H13319" t="s">
        <v>3625</v>
      </c>
      <c r="I13319" t="str">
        <f t="shared" si="2615"/>
        <v>27/11/2025</v>
      </c>
      <c r="J13319" t="str">
        <f t="shared" si="2616"/>
        <v>24/11/2025</v>
      </c>
      <c r="K13319">
        <v>45988</v>
      </c>
      <c r="N13319">
        <v>109</v>
      </c>
      <c r="O13319" t="s">
        <v>24</v>
      </c>
      <c r="Q13319">
        <v>214.23</v>
      </c>
      <c r="R13319" t="str">
        <f>"DROGALIDER 55 (10249)"</f>
        <v>DROGALIDER 55 (10249)</v>
      </c>
      <c r="S13319" t="s">
        <v>77</v>
      </c>
      <c r="T13319">
        <v>22744</v>
      </c>
      <c r="U13319">
        <v>26121</v>
      </c>
      <c r="V13319" t="s">
        <v>77</v>
      </c>
    </row>
    <row r="13320" spans="1:22">
      <c r="A13320" t="str">
        <f t="shared" si="2612"/>
        <v>27/11/2025</v>
      </c>
      <c r="B13320" t="str">
        <f t="shared" si="2613"/>
        <v>SAÍDA</v>
      </c>
      <c r="C13320" t="str">
        <f t="shared" si="2614"/>
        <v>PIX</v>
      </c>
      <c r="D13320" t="str">
        <f t="shared" si="2622"/>
        <v>26121</v>
      </c>
      <c r="E13320" t="str">
        <f t="shared" si="2621"/>
        <v>1</v>
      </c>
      <c r="F13320" t="str">
        <f t="shared" si="2607"/>
        <v>COM</v>
      </c>
      <c r="G13320" t="str">
        <f t="shared" si="2623"/>
        <v>MURILO DANTAS CABRAL (1090)</v>
      </c>
      <c r="H13320" t="s">
        <v>3625</v>
      </c>
      <c r="I13320" t="str">
        <f t="shared" si="2615"/>
        <v>27/11/2025</v>
      </c>
      <c r="J13320" t="str">
        <f t="shared" si="2616"/>
        <v>24/11/2025</v>
      </c>
      <c r="K13320">
        <v>45988</v>
      </c>
      <c r="N13320">
        <v>109</v>
      </c>
      <c r="O13320" t="s">
        <v>24</v>
      </c>
      <c r="Q13320">
        <v>142.82</v>
      </c>
      <c r="R13320" t="str">
        <f>"DROGALIDER 67 (10252)"</f>
        <v>DROGALIDER 67 (10252)</v>
      </c>
      <c r="S13320" t="s">
        <v>77</v>
      </c>
      <c r="T13320">
        <v>22744</v>
      </c>
      <c r="U13320">
        <v>26121</v>
      </c>
      <c r="V13320" t="s">
        <v>77</v>
      </c>
    </row>
    <row r="13321" spans="1:22">
      <c r="A13321" t="str">
        <f t="shared" si="2612"/>
        <v>27/11/2025</v>
      </c>
      <c r="B13321" t="str">
        <f t="shared" si="2613"/>
        <v>SAÍDA</v>
      </c>
      <c r="C13321" t="str">
        <f t="shared" si="2614"/>
        <v>PIX</v>
      </c>
      <c r="D13321" t="str">
        <f t="shared" si="2622"/>
        <v>26121</v>
      </c>
      <c r="E13321" t="str">
        <f t="shared" si="2621"/>
        <v>1</v>
      </c>
      <c r="F13321" t="str">
        <f t="shared" si="2607"/>
        <v>COM</v>
      </c>
      <c r="G13321" t="str">
        <f t="shared" si="2623"/>
        <v>MURILO DANTAS CABRAL (1090)</v>
      </c>
      <c r="H13321" t="s">
        <v>3625</v>
      </c>
      <c r="I13321" t="str">
        <f t="shared" si="2615"/>
        <v>27/11/2025</v>
      </c>
      <c r="J13321" t="str">
        <f t="shared" si="2616"/>
        <v>24/11/2025</v>
      </c>
      <c r="K13321">
        <v>45988</v>
      </c>
      <c r="N13321">
        <v>109</v>
      </c>
      <c r="O13321" t="s">
        <v>24</v>
      </c>
      <c r="Q13321">
        <v>28.55</v>
      </c>
      <c r="R13321" t="str">
        <f>"DROGALIDER 68 (10253)"</f>
        <v>DROGALIDER 68 (10253)</v>
      </c>
      <c r="S13321" t="s">
        <v>77</v>
      </c>
      <c r="T13321">
        <v>22744</v>
      </c>
      <c r="U13321">
        <v>26121</v>
      </c>
      <c r="V13321" t="s">
        <v>77</v>
      </c>
    </row>
    <row r="13322" spans="1:22">
      <c r="A13322" t="str">
        <f t="shared" si="2612"/>
        <v>27/11/2025</v>
      </c>
      <c r="B13322" t="str">
        <f t="shared" si="2613"/>
        <v>SAÍDA</v>
      </c>
      <c r="C13322" t="str">
        <f t="shared" si="2614"/>
        <v>PIX</v>
      </c>
      <c r="D13322" t="str">
        <f t="shared" si="2622"/>
        <v>26121</v>
      </c>
      <c r="E13322" t="str">
        <f t="shared" si="2621"/>
        <v>1</v>
      </c>
      <c r="F13322" t="str">
        <f t="shared" si="2607"/>
        <v>COM</v>
      </c>
      <c r="G13322" t="str">
        <f t="shared" si="2623"/>
        <v>MURILO DANTAS CABRAL (1090)</v>
      </c>
      <c r="H13322" t="s">
        <v>3625</v>
      </c>
      <c r="I13322" t="str">
        <f t="shared" si="2615"/>
        <v>27/11/2025</v>
      </c>
      <c r="J13322" t="str">
        <f t="shared" si="2616"/>
        <v>24/11/2025</v>
      </c>
      <c r="K13322">
        <v>45988</v>
      </c>
      <c r="N13322">
        <v>109</v>
      </c>
      <c r="O13322" t="s">
        <v>24</v>
      </c>
      <c r="Q13322">
        <v>390.24</v>
      </c>
      <c r="R13322" t="str">
        <f>"DROGALIDER 31 (10256)"</f>
        <v>DROGALIDER 31 (10256)</v>
      </c>
      <c r="S13322" t="s">
        <v>77</v>
      </c>
      <c r="T13322">
        <v>22744</v>
      </c>
      <c r="U13322">
        <v>26121</v>
      </c>
      <c r="V13322" t="s">
        <v>77</v>
      </c>
    </row>
    <row r="13323" spans="1:22">
      <c r="A13323" t="str">
        <f t="shared" si="2612"/>
        <v>27/11/2025</v>
      </c>
      <c r="B13323" t="str">
        <f t="shared" si="2613"/>
        <v>SAÍDA</v>
      </c>
      <c r="C13323" t="str">
        <f t="shared" si="2614"/>
        <v>PIX</v>
      </c>
      <c r="D13323" t="str">
        <f>"26123"</f>
        <v>26123</v>
      </c>
      <c r="E13323" t="str">
        <f t="shared" si="2621"/>
        <v>1</v>
      </c>
      <c r="F13323" t="str">
        <f t="shared" si="2607"/>
        <v>COM</v>
      </c>
      <c r="G13323" t="str">
        <f>"JAMERSON SOUZA LOPES (749)"</f>
        <v>JAMERSON SOUZA LOPES (749)</v>
      </c>
      <c r="H13323" t="str">
        <f>"Serv.Prest. 17/11/2025 a 23/11/2025 - PIX: CPF - CHAVE: 423.098.018-36"</f>
        <v>Serv.Prest. 17/11/2025 a 23/11/2025 - PIX: CPF - CHAVE: 423.098.018-36</v>
      </c>
      <c r="I13323" t="str">
        <f t="shared" si="2615"/>
        <v>27/11/2025</v>
      </c>
      <c r="J13323" t="str">
        <f t="shared" si="2616"/>
        <v>24/11/2025</v>
      </c>
      <c r="K13323" t="str">
        <f>("27/11/2025")</f>
        <v>27/11/2025</v>
      </c>
      <c r="L13323">
        <v>670</v>
      </c>
      <c r="M13323">
        <v>670</v>
      </c>
      <c r="N13323">
        <v>109</v>
      </c>
      <c r="O13323" t="str">
        <f>"PAGAMENTO DE ENTREGADORES"</f>
        <v>PAGAMENTO DE ENTREGADORES</v>
      </c>
      <c r="P13323">
        <v>670</v>
      </c>
      <c r="S13323" t="str">
        <f>"BANCO C6 (149)"</f>
        <v>BANCO C6 (149)</v>
      </c>
      <c r="T13323">
        <v>22745</v>
      </c>
      <c r="U13323">
        <v>26123</v>
      </c>
      <c r="V13323" t="s">
        <v>77</v>
      </c>
    </row>
    <row r="13324" spans="1:22">
      <c r="A13324" t="str">
        <f t="shared" si="2612"/>
        <v>27/11/2025</v>
      </c>
      <c r="B13324" t="str">
        <f t="shared" si="2613"/>
        <v>SAÍDA</v>
      </c>
      <c r="C13324" t="str">
        <f t="shared" si="2614"/>
        <v>PIX</v>
      </c>
      <c r="D13324" t="str">
        <f>"26123"</f>
        <v>26123</v>
      </c>
      <c r="E13324" t="str">
        <f t="shared" si="2621"/>
        <v>1</v>
      </c>
      <c r="F13324" t="str">
        <f t="shared" si="2607"/>
        <v>COM</v>
      </c>
      <c r="G13324" t="str">
        <f>"JAMERSON SOUZA LOPES (749)"</f>
        <v>JAMERSON SOUZA LOPES (749)</v>
      </c>
      <c r="H13324" t="s">
        <v>3145</v>
      </c>
      <c r="I13324" t="str">
        <f t="shared" si="2615"/>
        <v>27/11/2025</v>
      </c>
      <c r="J13324" t="str">
        <f t="shared" si="2616"/>
        <v>24/11/2025</v>
      </c>
      <c r="K13324">
        <v>45988</v>
      </c>
      <c r="N13324">
        <v>109</v>
      </c>
      <c r="O13324" t="s">
        <v>24</v>
      </c>
      <c r="Q13324">
        <v>670</v>
      </c>
      <c r="R13324" t="str">
        <f>"DROGARIA MEDIC CENTER LTDA (10172)"</f>
        <v>DROGARIA MEDIC CENTER LTDA (10172)</v>
      </c>
      <c r="S13324" t="s">
        <v>77</v>
      </c>
      <c r="T13324">
        <v>22745</v>
      </c>
      <c r="U13324">
        <v>26123</v>
      </c>
      <c r="V13324" t="s">
        <v>77</v>
      </c>
    </row>
    <row r="13325" spans="1:22">
      <c r="A13325" t="str">
        <f t="shared" si="2612"/>
        <v>27/11/2025</v>
      </c>
      <c r="B13325" t="str">
        <f t="shared" si="2613"/>
        <v>SAÍDA</v>
      </c>
      <c r="C13325" t="str">
        <f t="shared" si="2614"/>
        <v>PIX</v>
      </c>
      <c r="D13325" t="str">
        <f>"26130"</f>
        <v>26130</v>
      </c>
      <c r="E13325" t="str">
        <f t="shared" si="2621"/>
        <v>1</v>
      </c>
      <c r="F13325" t="str">
        <f t="shared" si="2607"/>
        <v>COM</v>
      </c>
      <c r="G13325" t="str">
        <f>"REGINALDO ANDRE BORTOLETTO (802)"</f>
        <v>REGINALDO ANDRE BORTOLETTO (802)</v>
      </c>
      <c r="H13325" t="str">
        <f>"Serv.Prest. 17/11/2025 a 23/11/2025 - PIX: CELULAR - CHAVE: (11) 94281-7123"</f>
        <v>Serv.Prest. 17/11/2025 a 23/11/2025 - PIX: CELULAR - CHAVE: (11) 94281-7123</v>
      </c>
      <c r="I13325" t="str">
        <f t="shared" si="2615"/>
        <v>27/11/2025</v>
      </c>
      <c r="J13325" t="str">
        <f t="shared" si="2616"/>
        <v>24/11/2025</v>
      </c>
      <c r="K13325" t="str">
        <f>("27/11/2025")</f>
        <v>27/11/2025</v>
      </c>
      <c r="L13325">
        <v>133</v>
      </c>
      <c r="M13325">
        <v>133</v>
      </c>
      <c r="N13325">
        <v>109</v>
      </c>
      <c r="O13325" t="str">
        <f>"PAGAMENTO DE ENTREGADORES"</f>
        <v>PAGAMENTO DE ENTREGADORES</v>
      </c>
      <c r="P13325">
        <v>133</v>
      </c>
      <c r="S13325" t="str">
        <f>"BANCO C6 (149)"</f>
        <v>BANCO C6 (149)</v>
      </c>
      <c r="T13325">
        <v>22746</v>
      </c>
      <c r="U13325">
        <v>26130</v>
      </c>
      <c r="V13325" t="s">
        <v>77</v>
      </c>
    </row>
    <row r="13326" spans="1:22">
      <c r="A13326" t="str">
        <f t="shared" si="2612"/>
        <v>27/11/2025</v>
      </c>
      <c r="B13326" t="str">
        <f t="shared" si="2613"/>
        <v>SAÍDA</v>
      </c>
      <c r="C13326" t="str">
        <f t="shared" si="2614"/>
        <v>PIX</v>
      </c>
      <c r="D13326" t="str">
        <f>"26130"</f>
        <v>26130</v>
      </c>
      <c r="E13326" t="str">
        <f t="shared" si="2621"/>
        <v>1</v>
      </c>
      <c r="F13326" t="str">
        <f t="shared" si="2607"/>
        <v>COM</v>
      </c>
      <c r="G13326" t="str">
        <f>"REGINALDO ANDRE BORTOLETTO (802)"</f>
        <v>REGINALDO ANDRE BORTOLETTO (802)</v>
      </c>
      <c r="H13326" t="s">
        <v>3626</v>
      </c>
      <c r="I13326" t="str">
        <f t="shared" si="2615"/>
        <v>27/11/2025</v>
      </c>
      <c r="J13326" t="str">
        <f t="shared" si="2616"/>
        <v>24/11/2025</v>
      </c>
      <c r="K13326">
        <v>45988</v>
      </c>
      <c r="N13326">
        <v>109</v>
      </c>
      <c r="O13326" t="s">
        <v>24</v>
      </c>
      <c r="Q13326">
        <v>133</v>
      </c>
      <c r="R13326" t="str">
        <f>"DROGARIA TOTAL JUNDIAI (10177)"</f>
        <v>DROGARIA TOTAL JUNDIAI (10177)</v>
      </c>
      <c r="S13326" t="s">
        <v>77</v>
      </c>
      <c r="T13326">
        <v>22746</v>
      </c>
      <c r="U13326">
        <v>26130</v>
      </c>
      <c r="V13326" t="s">
        <v>77</v>
      </c>
    </row>
    <row r="13327" spans="1:22">
      <c r="A13327" t="str">
        <f t="shared" si="2612"/>
        <v>27/11/2025</v>
      </c>
      <c r="B13327" t="str">
        <f t="shared" si="2613"/>
        <v>SAÍDA</v>
      </c>
      <c r="C13327" t="str">
        <f t="shared" si="2614"/>
        <v>PIX</v>
      </c>
      <c r="D13327" t="str">
        <f>"26132"</f>
        <v>26132</v>
      </c>
      <c r="E13327" t="str">
        <f t="shared" si="2621"/>
        <v>1</v>
      </c>
      <c r="F13327" t="str">
        <f t="shared" si="2607"/>
        <v>COM</v>
      </c>
      <c r="G13327" t="str">
        <f>"ALLAN SILVA DAMACENA (790)"</f>
        <v>ALLAN SILVA DAMACENA (790)</v>
      </c>
      <c r="H13327" t="str">
        <f>"Serv.Prest. 17/11/2025 a 23/11/2025 - PIX: CELULAR - CHAVE: (19) 98944-4977"</f>
        <v>Serv.Prest. 17/11/2025 a 23/11/2025 - PIX: CELULAR - CHAVE: (19) 98944-4977</v>
      </c>
      <c r="I13327" t="str">
        <f t="shared" si="2615"/>
        <v>27/11/2025</v>
      </c>
      <c r="J13327" t="str">
        <f t="shared" si="2616"/>
        <v>24/11/2025</v>
      </c>
      <c r="K13327" t="str">
        <f>("27/11/2025")</f>
        <v>27/11/2025</v>
      </c>
      <c r="L13327">
        <v>924</v>
      </c>
      <c r="M13327">
        <v>924</v>
      </c>
      <c r="N13327">
        <v>109</v>
      </c>
      <c r="O13327" t="str">
        <f>"PAGAMENTO DE ENTREGADORES"</f>
        <v>PAGAMENTO DE ENTREGADORES</v>
      </c>
      <c r="P13327">
        <v>924</v>
      </c>
      <c r="S13327" t="str">
        <f>"BANCO C6 (149)"</f>
        <v>BANCO C6 (149)</v>
      </c>
      <c r="T13327">
        <v>22747</v>
      </c>
      <c r="U13327">
        <v>26132</v>
      </c>
      <c r="V13327" t="s">
        <v>77</v>
      </c>
    </row>
    <row r="13328" spans="1:22">
      <c r="A13328" t="str">
        <f t="shared" si="2612"/>
        <v>27/11/2025</v>
      </c>
      <c r="B13328" t="str">
        <f t="shared" si="2613"/>
        <v>SAÍDA</v>
      </c>
      <c r="C13328" t="str">
        <f t="shared" si="2614"/>
        <v>PIX</v>
      </c>
      <c r="D13328" t="str">
        <f>"26132"</f>
        <v>26132</v>
      </c>
      <c r="E13328" t="str">
        <f t="shared" si="2621"/>
        <v>1</v>
      </c>
      <c r="F13328" t="str">
        <f t="shared" si="2607"/>
        <v>COM</v>
      </c>
      <c r="G13328" t="str">
        <f>"ALLAN SILVA DAMACENA (790)"</f>
        <v>ALLAN SILVA DAMACENA (790)</v>
      </c>
      <c r="H13328" t="s">
        <v>3370</v>
      </c>
      <c r="I13328" t="str">
        <f t="shared" si="2615"/>
        <v>27/11/2025</v>
      </c>
      <c r="J13328" t="str">
        <f t="shared" si="2616"/>
        <v>24/11/2025</v>
      </c>
      <c r="K13328">
        <v>45988</v>
      </c>
      <c r="N13328">
        <v>109</v>
      </c>
      <c r="O13328" t="s">
        <v>24</v>
      </c>
      <c r="Q13328">
        <v>924</v>
      </c>
      <c r="R13328" t="str">
        <f>"DROGARIA MORENO LTDA (10171)"</f>
        <v>DROGARIA MORENO LTDA (10171)</v>
      </c>
      <c r="S13328" t="s">
        <v>77</v>
      </c>
      <c r="T13328">
        <v>22747</v>
      </c>
      <c r="U13328">
        <v>26132</v>
      </c>
      <c r="V13328" t="s">
        <v>77</v>
      </c>
    </row>
    <row r="13329" spans="1:22">
      <c r="A13329" t="str">
        <f t="shared" si="2612"/>
        <v>27/11/2025</v>
      </c>
      <c r="B13329" t="str">
        <f t="shared" si="2613"/>
        <v>SAÍDA</v>
      </c>
      <c r="C13329" t="str">
        <f t="shared" si="2614"/>
        <v>PIX</v>
      </c>
      <c r="D13329" t="str">
        <f>"26133"</f>
        <v>26133</v>
      </c>
      <c r="E13329" t="str">
        <f t="shared" si="2621"/>
        <v>1</v>
      </c>
      <c r="F13329" t="str">
        <f t="shared" si="2607"/>
        <v>COM</v>
      </c>
      <c r="G13329" t="str">
        <f>"EDUARDO MARQUES DOS SANTOS (787)"</f>
        <v>EDUARDO MARQUES DOS SANTOS (787)</v>
      </c>
      <c r="H13329" t="str">
        <f>"Serv.Prest. 17/11/2025 a 23/11/2025 - PIX: CELULAR - CHAVE: (11) 97402-1586"</f>
        <v>Serv.Prest. 17/11/2025 a 23/11/2025 - PIX: CELULAR - CHAVE: (11) 97402-1586</v>
      </c>
      <c r="I13329" t="str">
        <f t="shared" si="2615"/>
        <v>27/11/2025</v>
      </c>
      <c r="J13329" t="str">
        <f t="shared" si="2616"/>
        <v>24/11/2025</v>
      </c>
      <c r="K13329" t="str">
        <f>("27/11/2025")</f>
        <v>27/11/2025</v>
      </c>
      <c r="L13329">
        <v>952</v>
      </c>
      <c r="M13329">
        <v>952</v>
      </c>
      <c r="N13329">
        <v>109</v>
      </c>
      <c r="O13329" t="str">
        <f>"PAGAMENTO DE ENTREGADORES"</f>
        <v>PAGAMENTO DE ENTREGADORES</v>
      </c>
      <c r="P13329">
        <v>952</v>
      </c>
      <c r="S13329" t="str">
        <f>"BANCO C6 (149)"</f>
        <v>BANCO C6 (149)</v>
      </c>
      <c r="T13329">
        <v>22748</v>
      </c>
      <c r="U13329">
        <v>26133</v>
      </c>
      <c r="V13329" t="s">
        <v>77</v>
      </c>
    </row>
    <row r="13330" spans="1:22">
      <c r="A13330" t="str">
        <f t="shared" si="2612"/>
        <v>27/11/2025</v>
      </c>
      <c r="B13330" t="str">
        <f t="shared" si="2613"/>
        <v>SAÍDA</v>
      </c>
      <c r="C13330" t="str">
        <f t="shared" si="2614"/>
        <v>PIX</v>
      </c>
      <c r="D13330" t="str">
        <f>"26133"</f>
        <v>26133</v>
      </c>
      <c r="E13330" t="str">
        <f t="shared" si="2621"/>
        <v>1</v>
      </c>
      <c r="F13330" t="str">
        <f t="shared" si="2607"/>
        <v>COM</v>
      </c>
      <c r="G13330" t="str">
        <f>"EDUARDO MARQUES DOS SANTOS (787)"</f>
        <v>EDUARDO MARQUES DOS SANTOS (787)</v>
      </c>
      <c r="H13330" t="s">
        <v>3627</v>
      </c>
      <c r="I13330" t="str">
        <f t="shared" si="2615"/>
        <v>27/11/2025</v>
      </c>
      <c r="J13330" t="str">
        <f t="shared" si="2616"/>
        <v>24/11/2025</v>
      </c>
      <c r="K13330">
        <v>45988</v>
      </c>
      <c r="N13330">
        <v>109</v>
      </c>
      <c r="O13330" t="s">
        <v>24</v>
      </c>
      <c r="Q13330">
        <v>952</v>
      </c>
      <c r="R13330" t="str">
        <f>"DROGARIA MORENO LTDA (10171)"</f>
        <v>DROGARIA MORENO LTDA (10171)</v>
      </c>
      <c r="S13330" t="s">
        <v>77</v>
      </c>
      <c r="T13330">
        <v>22748</v>
      </c>
      <c r="U13330">
        <v>26133</v>
      </c>
      <c r="V13330" t="s">
        <v>77</v>
      </c>
    </row>
    <row r="13331" spans="1:22">
      <c r="A13331" t="str">
        <f t="shared" si="2612"/>
        <v>27/11/2025</v>
      </c>
      <c r="B13331" t="str">
        <f t="shared" si="2613"/>
        <v>SAÍDA</v>
      </c>
      <c r="C13331" t="str">
        <f t="shared" si="2614"/>
        <v>PIX</v>
      </c>
      <c r="D13331" t="str">
        <f>"26136"</f>
        <v>26136</v>
      </c>
      <c r="E13331" t="str">
        <f t="shared" si="2621"/>
        <v>1</v>
      </c>
      <c r="F13331" t="str">
        <f t="shared" ref="F13331:F13394" si="2624">"COM"</f>
        <v>COM</v>
      </c>
      <c r="G13331" t="str">
        <f>"PAULO CESAR DE FARIA (865)"</f>
        <v>PAULO CESAR DE FARIA (865)</v>
      </c>
      <c r="H13331" t="str">
        <f>"Serv.Prest. 17/11/2025 a 23/11/2025 - PIX: CELULAR - CHAVE: (11) 99992-0816"</f>
        <v>Serv.Prest. 17/11/2025 a 23/11/2025 - PIX: CELULAR - CHAVE: (11) 99992-0816</v>
      </c>
      <c r="I13331" t="str">
        <f t="shared" si="2615"/>
        <v>27/11/2025</v>
      </c>
      <c r="J13331" t="str">
        <f t="shared" si="2616"/>
        <v>24/11/2025</v>
      </c>
      <c r="K13331" t="str">
        <f>("27/11/2025")</f>
        <v>27/11/2025</v>
      </c>
      <c r="L13331">
        <v>875</v>
      </c>
      <c r="M13331">
        <v>875</v>
      </c>
      <c r="N13331">
        <v>109</v>
      </c>
      <c r="O13331" t="str">
        <f>"PAGAMENTO DE ENTREGADORES"</f>
        <v>PAGAMENTO DE ENTREGADORES</v>
      </c>
      <c r="P13331">
        <v>875</v>
      </c>
      <c r="S13331" t="str">
        <f>"BANCO C6 (149)"</f>
        <v>BANCO C6 (149)</v>
      </c>
      <c r="T13331">
        <v>22749</v>
      </c>
      <c r="U13331">
        <v>26136</v>
      </c>
      <c r="V13331" t="s">
        <v>77</v>
      </c>
    </row>
    <row r="13332" spans="1:22">
      <c r="A13332" t="str">
        <f t="shared" si="2612"/>
        <v>27/11/2025</v>
      </c>
      <c r="B13332" t="str">
        <f t="shared" si="2613"/>
        <v>SAÍDA</v>
      </c>
      <c r="C13332" t="str">
        <f t="shared" si="2614"/>
        <v>PIX</v>
      </c>
      <c r="D13332" t="str">
        <f>"26136"</f>
        <v>26136</v>
      </c>
      <c r="E13332" t="str">
        <f t="shared" si="2621"/>
        <v>1</v>
      </c>
      <c r="F13332" t="str">
        <f t="shared" si="2624"/>
        <v>COM</v>
      </c>
      <c r="G13332" t="str">
        <f>"PAULO CESAR DE FARIA (865)"</f>
        <v>PAULO CESAR DE FARIA (865)</v>
      </c>
      <c r="H13332" t="s">
        <v>3371</v>
      </c>
      <c r="I13332" t="str">
        <f t="shared" si="2615"/>
        <v>27/11/2025</v>
      </c>
      <c r="J13332" t="str">
        <f t="shared" si="2616"/>
        <v>24/11/2025</v>
      </c>
      <c r="K13332">
        <v>45988</v>
      </c>
      <c r="N13332">
        <v>109</v>
      </c>
      <c r="O13332" t="s">
        <v>24</v>
      </c>
      <c r="Q13332">
        <v>875</v>
      </c>
      <c r="R13332" t="str">
        <f>"DROGARIA MORENO LTDA (10171)"</f>
        <v>DROGARIA MORENO LTDA (10171)</v>
      </c>
      <c r="S13332" t="s">
        <v>77</v>
      </c>
      <c r="T13332">
        <v>22749</v>
      </c>
      <c r="U13332">
        <v>26136</v>
      </c>
      <c r="V13332" t="s">
        <v>77</v>
      </c>
    </row>
    <row r="13333" spans="1:22">
      <c r="A13333" t="str">
        <f t="shared" si="2612"/>
        <v>27/11/2025</v>
      </c>
      <c r="B13333" t="str">
        <f t="shared" si="2613"/>
        <v>SAÍDA</v>
      </c>
      <c r="C13333" t="str">
        <f t="shared" si="2614"/>
        <v>PIX</v>
      </c>
      <c r="D13333" t="str">
        <f>"26138"</f>
        <v>26138</v>
      </c>
      <c r="E13333" t="str">
        <f t="shared" si="2621"/>
        <v>1</v>
      </c>
      <c r="F13333" t="str">
        <f t="shared" si="2624"/>
        <v>COM</v>
      </c>
      <c r="G13333" t="str">
        <f>"BRENO HENRIQUE DE SOUSA (596)"</f>
        <v>BRENO HENRIQUE DE SOUSA (596)</v>
      </c>
      <c r="H13333" t="str">
        <f>"Serv.Prest. 17/11/2025 a 23/11/2025 - PIX: CELULAR - CHAVE: (37) 99146-2630"</f>
        <v>Serv.Prest. 17/11/2025 a 23/11/2025 - PIX: CELULAR - CHAVE: (37) 99146-2630</v>
      </c>
      <c r="I13333" t="str">
        <f t="shared" si="2615"/>
        <v>27/11/2025</v>
      </c>
      <c r="J13333" t="str">
        <f t="shared" ref="J13333:J13364" si="2625">("25/11/2025")</f>
        <v>25/11/2025</v>
      </c>
      <c r="K13333" t="str">
        <f>("27/11/2025")</f>
        <v>27/11/2025</v>
      </c>
      <c r="L13333">
        <v>1080</v>
      </c>
      <c r="M13333">
        <v>1080</v>
      </c>
      <c r="N13333">
        <v>109</v>
      </c>
      <c r="O13333" t="str">
        <f>"PAGAMENTO DE ENTREGADORES"</f>
        <v>PAGAMENTO DE ENTREGADORES</v>
      </c>
      <c r="P13333">
        <v>1080</v>
      </c>
      <c r="S13333" t="str">
        <f>"BANCO C6 (149)"</f>
        <v>BANCO C6 (149)</v>
      </c>
      <c r="T13333">
        <v>22750</v>
      </c>
      <c r="U13333">
        <v>26138</v>
      </c>
      <c r="V13333" t="s">
        <v>77</v>
      </c>
    </row>
    <row r="13334" spans="1:22">
      <c r="A13334" t="str">
        <f t="shared" si="2612"/>
        <v>27/11/2025</v>
      </c>
      <c r="B13334" t="str">
        <f t="shared" si="2613"/>
        <v>SAÍDA</v>
      </c>
      <c r="C13334" t="str">
        <f t="shared" si="2614"/>
        <v>PIX</v>
      </c>
      <c r="D13334" t="str">
        <f>"26138"</f>
        <v>26138</v>
      </c>
      <c r="E13334" t="str">
        <f t="shared" si="2621"/>
        <v>1</v>
      </c>
      <c r="F13334" t="str">
        <f t="shared" si="2624"/>
        <v>COM</v>
      </c>
      <c r="G13334" t="str">
        <f>"BRENO HENRIQUE DE SOUSA (596)"</f>
        <v>BRENO HENRIQUE DE SOUSA (596)</v>
      </c>
      <c r="H13334" t="s">
        <v>3628</v>
      </c>
      <c r="I13334" t="str">
        <f t="shared" si="2615"/>
        <v>27/11/2025</v>
      </c>
      <c r="J13334" t="str">
        <f t="shared" si="2625"/>
        <v>25/11/2025</v>
      </c>
      <c r="K13334">
        <v>45988</v>
      </c>
      <c r="N13334">
        <v>109</v>
      </c>
      <c r="O13334" t="s">
        <v>24</v>
      </c>
      <c r="Q13334">
        <v>1080</v>
      </c>
      <c r="R13334" t="str">
        <f>"DROGARIA POUPA MINAS (ULTRAMINAS) 1 (10181)"</f>
        <v>DROGARIA POUPA MINAS (ULTRAMINAS) 1 (10181)</v>
      </c>
      <c r="S13334" t="s">
        <v>77</v>
      </c>
      <c r="T13334">
        <v>22750</v>
      </c>
      <c r="U13334">
        <v>26138</v>
      </c>
      <c r="V13334" t="s">
        <v>77</v>
      </c>
    </row>
    <row r="13335" spans="1:22">
      <c r="A13335" t="str">
        <f t="shared" si="2612"/>
        <v>27/11/2025</v>
      </c>
      <c r="B13335" t="str">
        <f t="shared" si="2613"/>
        <v>SAÍDA</v>
      </c>
      <c r="C13335" t="str">
        <f t="shared" si="2614"/>
        <v>PIX</v>
      </c>
      <c r="D13335" t="str">
        <f>"26139"</f>
        <v>26139</v>
      </c>
      <c r="E13335" t="str">
        <f t="shared" si="2621"/>
        <v>1</v>
      </c>
      <c r="F13335" t="str">
        <f t="shared" si="2624"/>
        <v>COM</v>
      </c>
      <c r="G13335" t="str">
        <f>"LUIZ PAULO DE OLIVEIRA (712)"</f>
        <v>LUIZ PAULO DE OLIVEIRA (712)</v>
      </c>
      <c r="H13335" t="str">
        <f>"Serv.Prest. 17/11/2025 a 23/11/2025 - PIX: CPF - CHAVE: 090.332.006-19"</f>
        <v>Serv.Prest. 17/11/2025 a 23/11/2025 - PIX: CPF - CHAVE: 090.332.006-19</v>
      </c>
      <c r="I13335" t="str">
        <f t="shared" si="2615"/>
        <v>27/11/2025</v>
      </c>
      <c r="J13335" t="str">
        <f t="shared" si="2625"/>
        <v>25/11/2025</v>
      </c>
      <c r="K13335" t="str">
        <f>("27/11/2025")</f>
        <v>27/11/2025</v>
      </c>
      <c r="L13335">
        <v>1020</v>
      </c>
      <c r="M13335">
        <v>1020</v>
      </c>
      <c r="N13335">
        <v>109</v>
      </c>
      <c r="O13335" t="str">
        <f>"PAGAMENTO DE ENTREGADORES"</f>
        <v>PAGAMENTO DE ENTREGADORES</v>
      </c>
      <c r="P13335">
        <v>1020</v>
      </c>
      <c r="S13335" t="str">
        <f>"BANCO C6 (149)"</f>
        <v>BANCO C6 (149)</v>
      </c>
      <c r="T13335">
        <v>22751</v>
      </c>
      <c r="U13335">
        <v>26139</v>
      </c>
      <c r="V13335" t="s">
        <v>77</v>
      </c>
    </row>
    <row r="13336" spans="1:22">
      <c r="A13336" t="str">
        <f t="shared" si="2612"/>
        <v>27/11/2025</v>
      </c>
      <c r="B13336" t="str">
        <f t="shared" si="2613"/>
        <v>SAÍDA</v>
      </c>
      <c r="C13336" t="str">
        <f t="shared" si="2614"/>
        <v>PIX</v>
      </c>
      <c r="D13336" t="str">
        <f>"26139"</f>
        <v>26139</v>
      </c>
      <c r="E13336" t="str">
        <f t="shared" si="2621"/>
        <v>1</v>
      </c>
      <c r="F13336" t="str">
        <f t="shared" si="2624"/>
        <v>COM</v>
      </c>
      <c r="G13336" t="str">
        <f>"LUIZ PAULO DE OLIVEIRA (712)"</f>
        <v>LUIZ PAULO DE OLIVEIRA (712)</v>
      </c>
      <c r="H13336" t="s">
        <v>3629</v>
      </c>
      <c r="I13336" t="str">
        <f t="shared" si="2615"/>
        <v>27/11/2025</v>
      </c>
      <c r="J13336" t="str">
        <f t="shared" si="2625"/>
        <v>25/11/2025</v>
      </c>
      <c r="K13336">
        <v>45988</v>
      </c>
      <c r="N13336">
        <v>109</v>
      </c>
      <c r="O13336" t="s">
        <v>24</v>
      </c>
      <c r="Q13336">
        <v>1020</v>
      </c>
      <c r="R13336" t="str">
        <f>"DROGARIA POUPA MINAS (ULTRAMINAS) 1 (10181)"</f>
        <v>DROGARIA POUPA MINAS (ULTRAMINAS) 1 (10181)</v>
      </c>
      <c r="S13336" t="s">
        <v>77</v>
      </c>
      <c r="T13336">
        <v>22751</v>
      </c>
      <c r="U13336">
        <v>26139</v>
      </c>
      <c r="V13336" t="s">
        <v>77</v>
      </c>
    </row>
    <row r="13337" spans="1:22">
      <c r="A13337" t="str">
        <f t="shared" si="2612"/>
        <v>27/11/2025</v>
      </c>
      <c r="B13337" t="str">
        <f t="shared" si="2613"/>
        <v>SAÍDA</v>
      </c>
      <c r="C13337" t="str">
        <f t="shared" si="2614"/>
        <v>PIX</v>
      </c>
      <c r="D13337" t="str">
        <f>"26140"</f>
        <v>26140</v>
      </c>
      <c r="E13337" t="str">
        <f t="shared" si="2621"/>
        <v>1</v>
      </c>
      <c r="F13337" t="str">
        <f t="shared" si="2624"/>
        <v>COM</v>
      </c>
      <c r="G13337" t="str">
        <f>"RICHARD HENRIQUE DA SILVA (244)"</f>
        <v>RICHARD HENRIQUE DA SILVA (244)</v>
      </c>
      <c r="H13337" t="str">
        <f>"Serv.Prest. 17/11/2025 a 23/11/2025 - PIX: CELULAR - CHAVE: (37) 99197-6834"</f>
        <v>Serv.Prest. 17/11/2025 a 23/11/2025 - PIX: CELULAR - CHAVE: (37) 99197-6834</v>
      </c>
      <c r="I13337" t="str">
        <f t="shared" si="2615"/>
        <v>27/11/2025</v>
      </c>
      <c r="J13337" t="str">
        <f t="shared" si="2625"/>
        <v>25/11/2025</v>
      </c>
      <c r="K13337" t="str">
        <f>("27/11/2025")</f>
        <v>27/11/2025</v>
      </c>
      <c r="L13337">
        <v>1740</v>
      </c>
      <c r="M13337">
        <v>1740</v>
      </c>
      <c r="N13337">
        <v>109</v>
      </c>
      <c r="O13337" t="str">
        <f>"PAGAMENTO DE ENTREGADORES"</f>
        <v>PAGAMENTO DE ENTREGADORES</v>
      </c>
      <c r="P13337">
        <v>1740</v>
      </c>
      <c r="S13337" t="str">
        <f>"BANCO C6 (149)"</f>
        <v>BANCO C6 (149)</v>
      </c>
      <c r="T13337">
        <v>22752</v>
      </c>
      <c r="U13337">
        <v>26140</v>
      </c>
      <c r="V13337" t="s">
        <v>77</v>
      </c>
    </row>
    <row r="13338" spans="1:22">
      <c r="A13338" t="str">
        <f t="shared" si="2612"/>
        <v>27/11/2025</v>
      </c>
      <c r="B13338" t="str">
        <f t="shared" si="2613"/>
        <v>SAÍDA</v>
      </c>
      <c r="C13338" t="str">
        <f t="shared" si="2614"/>
        <v>PIX</v>
      </c>
      <c r="D13338" t="str">
        <f>"26140"</f>
        <v>26140</v>
      </c>
      <c r="E13338" t="str">
        <f t="shared" si="2621"/>
        <v>1</v>
      </c>
      <c r="F13338" t="str">
        <f t="shared" si="2624"/>
        <v>COM</v>
      </c>
      <c r="G13338" t="str">
        <f>"RICHARD HENRIQUE DA SILVA (244)"</f>
        <v>RICHARD HENRIQUE DA SILVA (244)</v>
      </c>
      <c r="H13338" t="s">
        <v>3630</v>
      </c>
      <c r="I13338" t="str">
        <f t="shared" si="2615"/>
        <v>27/11/2025</v>
      </c>
      <c r="J13338" t="str">
        <f t="shared" si="2625"/>
        <v>25/11/2025</v>
      </c>
      <c r="K13338">
        <v>45988</v>
      </c>
      <c r="N13338">
        <v>109</v>
      </c>
      <c r="O13338" t="s">
        <v>24</v>
      </c>
      <c r="Q13338">
        <v>1740</v>
      </c>
      <c r="R13338" t="str">
        <f>"DROGARIA POUPA MINAS (ULTRAMINAS) 1 (10181)"</f>
        <v>DROGARIA POUPA MINAS (ULTRAMINAS) 1 (10181)</v>
      </c>
      <c r="S13338" t="s">
        <v>77</v>
      </c>
      <c r="T13338">
        <v>22752</v>
      </c>
      <c r="U13338">
        <v>26140</v>
      </c>
      <c r="V13338" t="s">
        <v>77</v>
      </c>
    </row>
    <row r="13339" spans="1:22">
      <c r="A13339" t="str">
        <f t="shared" si="2612"/>
        <v>27/11/2025</v>
      </c>
      <c r="B13339" t="str">
        <f t="shared" si="2613"/>
        <v>SAÍDA</v>
      </c>
      <c r="C13339" t="str">
        <f t="shared" si="2614"/>
        <v>PIX</v>
      </c>
      <c r="D13339" t="str">
        <f>"26141"</f>
        <v>26141</v>
      </c>
      <c r="E13339" t="str">
        <f t="shared" si="2621"/>
        <v>1</v>
      </c>
      <c r="F13339" t="str">
        <f t="shared" si="2624"/>
        <v>COM</v>
      </c>
      <c r="G13339" t="str">
        <f>"ROGERIO AUGUSTO FERREIRA (649)"</f>
        <v>ROGERIO AUGUSTO FERREIRA (649)</v>
      </c>
      <c r="H13339" t="str">
        <f>"Serv.Prest. 17/11/2025 a 23/11/2025 - PIX: CPF - CHAVE: 950.176.406-06"</f>
        <v>Serv.Prest. 17/11/2025 a 23/11/2025 - PIX: CPF - CHAVE: 950.176.406-06</v>
      </c>
      <c r="I13339" t="str">
        <f t="shared" si="2615"/>
        <v>27/11/2025</v>
      </c>
      <c r="J13339" t="str">
        <f t="shared" si="2625"/>
        <v>25/11/2025</v>
      </c>
      <c r="K13339" t="str">
        <f>("27/11/2025")</f>
        <v>27/11/2025</v>
      </c>
      <c r="L13339">
        <v>1080</v>
      </c>
      <c r="M13339">
        <v>1080</v>
      </c>
      <c r="N13339">
        <v>109</v>
      </c>
      <c r="O13339" t="str">
        <f>"PAGAMENTO DE ENTREGADORES"</f>
        <v>PAGAMENTO DE ENTREGADORES</v>
      </c>
      <c r="P13339">
        <v>1080</v>
      </c>
      <c r="S13339" t="str">
        <f>"BANCO C6 (149)"</f>
        <v>BANCO C6 (149)</v>
      </c>
      <c r="T13339">
        <v>22753</v>
      </c>
      <c r="U13339">
        <v>26141</v>
      </c>
      <c r="V13339" t="s">
        <v>77</v>
      </c>
    </row>
    <row r="13340" spans="1:22">
      <c r="A13340" t="str">
        <f t="shared" si="2612"/>
        <v>27/11/2025</v>
      </c>
      <c r="B13340" t="str">
        <f t="shared" si="2613"/>
        <v>SAÍDA</v>
      </c>
      <c r="C13340" t="str">
        <f t="shared" si="2614"/>
        <v>PIX</v>
      </c>
      <c r="D13340" t="str">
        <f>"26141"</f>
        <v>26141</v>
      </c>
      <c r="E13340" t="str">
        <f t="shared" si="2621"/>
        <v>1</v>
      </c>
      <c r="F13340" t="str">
        <f t="shared" si="2624"/>
        <v>COM</v>
      </c>
      <c r="G13340" t="str">
        <f>"ROGERIO AUGUSTO FERREIRA (649)"</f>
        <v>ROGERIO AUGUSTO FERREIRA (649)</v>
      </c>
      <c r="H13340" t="s">
        <v>3631</v>
      </c>
      <c r="I13340" t="str">
        <f t="shared" si="2615"/>
        <v>27/11/2025</v>
      </c>
      <c r="J13340" t="str">
        <f t="shared" si="2625"/>
        <v>25/11/2025</v>
      </c>
      <c r="K13340">
        <v>45988</v>
      </c>
      <c r="N13340">
        <v>109</v>
      </c>
      <c r="O13340" t="s">
        <v>24</v>
      </c>
      <c r="Q13340">
        <v>1080</v>
      </c>
      <c r="R13340" t="str">
        <f>"DROGARIA POUPA MINAS (ULTRAMINAS) 1 (10181)"</f>
        <v>DROGARIA POUPA MINAS (ULTRAMINAS) 1 (10181)</v>
      </c>
      <c r="S13340" t="s">
        <v>77</v>
      </c>
      <c r="T13340">
        <v>22753</v>
      </c>
      <c r="U13340">
        <v>26141</v>
      </c>
      <c r="V13340" t="s">
        <v>77</v>
      </c>
    </row>
    <row r="13341" spans="1:22">
      <c r="A13341" t="str">
        <f t="shared" si="2612"/>
        <v>27/11/2025</v>
      </c>
      <c r="B13341" t="str">
        <f t="shared" si="2613"/>
        <v>SAÍDA</v>
      </c>
      <c r="C13341" t="str">
        <f t="shared" si="2614"/>
        <v>PIX</v>
      </c>
      <c r="D13341" t="str">
        <f>"26142"</f>
        <v>26142</v>
      </c>
      <c r="E13341" t="str">
        <f t="shared" si="2621"/>
        <v>1</v>
      </c>
      <c r="F13341" t="str">
        <f t="shared" si="2624"/>
        <v>COM</v>
      </c>
      <c r="G13341" t="str">
        <f>"THALES VINÍCIUS RODRIGUES DE OLIVEIRA (704)"</f>
        <v>THALES VINÍCIUS RODRIGUES DE OLIVEIRA (704)</v>
      </c>
      <c r="H13341" t="str">
        <f>"Serv.Prest. 17/11/2025 a 23/11/2025 - PIX: CELULAR - CHAVE: (37) 99138-1777"</f>
        <v>Serv.Prest. 17/11/2025 a 23/11/2025 - PIX: CELULAR - CHAVE: (37) 99138-1777</v>
      </c>
      <c r="I13341" t="str">
        <f t="shared" si="2615"/>
        <v>27/11/2025</v>
      </c>
      <c r="J13341" t="str">
        <f t="shared" si="2625"/>
        <v>25/11/2025</v>
      </c>
      <c r="K13341" t="str">
        <f>("27/11/2025")</f>
        <v>27/11/2025</v>
      </c>
      <c r="L13341">
        <v>1200</v>
      </c>
      <c r="M13341">
        <v>1200</v>
      </c>
      <c r="N13341">
        <v>109</v>
      </c>
      <c r="O13341" t="str">
        <f>"PAGAMENTO DE ENTREGADORES"</f>
        <v>PAGAMENTO DE ENTREGADORES</v>
      </c>
      <c r="P13341">
        <v>1200</v>
      </c>
      <c r="S13341" t="str">
        <f>"BANCO C6 (149)"</f>
        <v>BANCO C6 (149)</v>
      </c>
      <c r="T13341">
        <v>22754</v>
      </c>
      <c r="U13341">
        <v>26142</v>
      </c>
      <c r="V13341" t="s">
        <v>77</v>
      </c>
    </row>
    <row r="13342" spans="1:22">
      <c r="A13342" t="str">
        <f t="shared" si="2612"/>
        <v>27/11/2025</v>
      </c>
      <c r="B13342" t="str">
        <f t="shared" si="2613"/>
        <v>SAÍDA</v>
      </c>
      <c r="C13342" t="str">
        <f t="shared" si="2614"/>
        <v>PIX</v>
      </c>
      <c r="D13342" t="str">
        <f>"26142"</f>
        <v>26142</v>
      </c>
      <c r="E13342" t="str">
        <f t="shared" si="2621"/>
        <v>1</v>
      </c>
      <c r="F13342" t="str">
        <f t="shared" si="2624"/>
        <v>COM</v>
      </c>
      <c r="G13342" t="str">
        <f>"THALES VINÍCIUS RODRIGUES DE OLIVEIRA (704)"</f>
        <v>THALES VINÍCIUS RODRIGUES DE OLIVEIRA (704)</v>
      </c>
      <c r="H13342" t="s">
        <v>3632</v>
      </c>
      <c r="I13342" t="str">
        <f t="shared" si="2615"/>
        <v>27/11/2025</v>
      </c>
      <c r="J13342" t="str">
        <f t="shared" si="2625"/>
        <v>25/11/2025</v>
      </c>
      <c r="K13342">
        <v>45988</v>
      </c>
      <c r="N13342">
        <v>109</v>
      </c>
      <c r="O13342" t="s">
        <v>24</v>
      </c>
      <c r="Q13342">
        <v>1200</v>
      </c>
      <c r="R13342" t="str">
        <f>"DROGARIA POUPA MINAS (ULTRAMINAS) 1 (10181)"</f>
        <v>DROGARIA POUPA MINAS (ULTRAMINAS) 1 (10181)</v>
      </c>
      <c r="S13342" t="s">
        <v>77</v>
      </c>
      <c r="T13342">
        <v>22754</v>
      </c>
      <c r="U13342">
        <v>26142</v>
      </c>
      <c r="V13342" t="s">
        <v>77</v>
      </c>
    </row>
    <row r="13343" spans="1:22">
      <c r="A13343" t="str">
        <f t="shared" si="2612"/>
        <v>27/11/2025</v>
      </c>
      <c r="B13343" t="str">
        <f t="shared" si="2613"/>
        <v>SAÍDA</v>
      </c>
      <c r="C13343" t="str">
        <f t="shared" si="2614"/>
        <v>PIX</v>
      </c>
      <c r="D13343" t="str">
        <f>"26143"</f>
        <v>26143</v>
      </c>
      <c r="E13343" t="str">
        <f t="shared" si="2621"/>
        <v>1</v>
      </c>
      <c r="F13343" t="str">
        <f t="shared" si="2624"/>
        <v>COM</v>
      </c>
      <c r="G13343" t="str">
        <f>"TIAGO VIEIRA (372)"</f>
        <v>TIAGO VIEIRA (372)</v>
      </c>
      <c r="H13343" t="str">
        <f>"Serv.Prest. 17/11/2025 a 23/11/2025 - PIX: CELULAR - CHAVE: (37) 98841-8571"</f>
        <v>Serv.Prest. 17/11/2025 a 23/11/2025 - PIX: CELULAR - CHAVE: (37) 98841-8571</v>
      </c>
      <c r="I13343" t="str">
        <f t="shared" si="2615"/>
        <v>27/11/2025</v>
      </c>
      <c r="J13343" t="str">
        <f t="shared" si="2625"/>
        <v>25/11/2025</v>
      </c>
      <c r="K13343" t="str">
        <f>("27/11/2025")</f>
        <v>27/11/2025</v>
      </c>
      <c r="L13343">
        <v>540</v>
      </c>
      <c r="M13343">
        <v>540</v>
      </c>
      <c r="N13343">
        <v>109</v>
      </c>
      <c r="O13343" t="str">
        <f>"PAGAMENTO DE ENTREGADORES"</f>
        <v>PAGAMENTO DE ENTREGADORES</v>
      </c>
      <c r="P13343">
        <v>540</v>
      </c>
      <c r="S13343" t="str">
        <f>"BANCO C6 (149)"</f>
        <v>BANCO C6 (149)</v>
      </c>
      <c r="T13343">
        <v>22755</v>
      </c>
      <c r="U13343">
        <v>26143</v>
      </c>
      <c r="V13343" t="s">
        <v>77</v>
      </c>
    </row>
    <row r="13344" spans="1:22">
      <c r="A13344" t="str">
        <f t="shared" si="2612"/>
        <v>27/11/2025</v>
      </c>
      <c r="B13344" t="str">
        <f t="shared" si="2613"/>
        <v>SAÍDA</v>
      </c>
      <c r="C13344" t="str">
        <f t="shared" si="2614"/>
        <v>PIX</v>
      </c>
      <c r="D13344" t="str">
        <f>"26143"</f>
        <v>26143</v>
      </c>
      <c r="E13344" t="str">
        <f t="shared" si="2621"/>
        <v>1</v>
      </c>
      <c r="F13344" t="str">
        <f t="shared" si="2624"/>
        <v>COM</v>
      </c>
      <c r="G13344" t="str">
        <f>"TIAGO VIEIRA (372)"</f>
        <v>TIAGO VIEIRA (372)</v>
      </c>
      <c r="H13344" t="s">
        <v>3633</v>
      </c>
      <c r="I13344" t="str">
        <f t="shared" si="2615"/>
        <v>27/11/2025</v>
      </c>
      <c r="J13344" t="str">
        <f t="shared" si="2625"/>
        <v>25/11/2025</v>
      </c>
      <c r="K13344">
        <v>45988</v>
      </c>
      <c r="N13344">
        <v>109</v>
      </c>
      <c r="O13344" t="s">
        <v>24</v>
      </c>
      <c r="Q13344">
        <v>540</v>
      </c>
      <c r="R13344" t="str">
        <f>"DROGARIA POUPA MINAS (ULTRAMINAS) 1 (10181)"</f>
        <v>DROGARIA POUPA MINAS (ULTRAMINAS) 1 (10181)</v>
      </c>
      <c r="S13344" t="s">
        <v>77</v>
      </c>
      <c r="T13344">
        <v>22755</v>
      </c>
      <c r="U13344">
        <v>26143</v>
      </c>
      <c r="V13344" t="s">
        <v>77</v>
      </c>
    </row>
    <row r="13345" spans="1:22">
      <c r="A13345" t="str">
        <f t="shared" si="2612"/>
        <v>27/11/2025</v>
      </c>
      <c r="B13345" t="str">
        <f t="shared" si="2613"/>
        <v>SAÍDA</v>
      </c>
      <c r="C13345" t="str">
        <f t="shared" si="2614"/>
        <v>PIX</v>
      </c>
      <c r="D13345" t="str">
        <f>"26145"</f>
        <v>26145</v>
      </c>
      <c r="E13345" t="str">
        <f t="shared" si="2621"/>
        <v>1</v>
      </c>
      <c r="F13345" t="str">
        <f t="shared" si="2624"/>
        <v>COM</v>
      </c>
      <c r="G13345" t="str">
        <f>"CLAUDIO DOS SANTOS (507)"</f>
        <v>CLAUDIO DOS SANTOS (507)</v>
      </c>
      <c r="H13345" t="str">
        <f>"Serv.Prest. 17/11/2025 a 23/11/2025 - PIX: E-MAIL - CHAVE: claudioverdinho2009@hotmail.com"</f>
        <v>Serv.Prest. 17/11/2025 a 23/11/2025 - PIX: E-MAIL - CHAVE: claudioverdinho2009@hotmail.com</v>
      </c>
      <c r="I13345" t="str">
        <f t="shared" si="2615"/>
        <v>27/11/2025</v>
      </c>
      <c r="J13345" t="str">
        <f t="shared" si="2625"/>
        <v>25/11/2025</v>
      </c>
      <c r="K13345" t="str">
        <f>("27/11/2025")</f>
        <v>27/11/2025</v>
      </c>
      <c r="L13345">
        <v>1274</v>
      </c>
      <c r="M13345">
        <v>1274</v>
      </c>
      <c r="N13345">
        <v>109</v>
      </c>
      <c r="O13345" t="str">
        <f>"PAGAMENTO DE ENTREGADORES"</f>
        <v>PAGAMENTO DE ENTREGADORES</v>
      </c>
      <c r="P13345">
        <v>1274</v>
      </c>
      <c r="S13345" t="str">
        <f>"BANCO C6 (149)"</f>
        <v>BANCO C6 (149)</v>
      </c>
      <c r="T13345">
        <v>22756</v>
      </c>
      <c r="U13345">
        <v>26145</v>
      </c>
      <c r="V13345" t="s">
        <v>77</v>
      </c>
    </row>
    <row r="13346" spans="1:22">
      <c r="A13346" t="str">
        <f t="shared" si="2612"/>
        <v>27/11/2025</v>
      </c>
      <c r="B13346" t="str">
        <f t="shared" si="2613"/>
        <v>SAÍDA</v>
      </c>
      <c r="C13346" t="str">
        <f t="shared" si="2614"/>
        <v>PIX</v>
      </c>
      <c r="D13346" t="str">
        <f>"26145"</f>
        <v>26145</v>
      </c>
      <c r="E13346" t="str">
        <f t="shared" si="2621"/>
        <v>1</v>
      </c>
      <c r="F13346" t="str">
        <f t="shared" si="2624"/>
        <v>COM</v>
      </c>
      <c r="G13346" t="str">
        <f>"CLAUDIO DOS SANTOS (507)"</f>
        <v>CLAUDIO DOS SANTOS (507)</v>
      </c>
      <c r="H13346" t="s">
        <v>3634</v>
      </c>
      <c r="I13346" t="str">
        <f t="shared" si="2615"/>
        <v>27/11/2025</v>
      </c>
      <c r="J13346" t="str">
        <f t="shared" si="2625"/>
        <v>25/11/2025</v>
      </c>
      <c r="K13346">
        <v>45988</v>
      </c>
      <c r="N13346">
        <v>109</v>
      </c>
      <c r="O13346" t="s">
        <v>24</v>
      </c>
      <c r="Q13346">
        <v>1274</v>
      </c>
      <c r="R13346" t="str">
        <f>"JAL FARMACIA E DROGARIA LJ 1 (10137)"</f>
        <v>JAL FARMACIA E DROGARIA LJ 1 (10137)</v>
      </c>
      <c r="S13346" t="s">
        <v>77</v>
      </c>
      <c r="T13346">
        <v>22756</v>
      </c>
      <c r="U13346">
        <v>26145</v>
      </c>
      <c r="V13346" t="s">
        <v>77</v>
      </c>
    </row>
    <row r="13347" spans="1:22">
      <c r="A13347" t="str">
        <f t="shared" si="2612"/>
        <v>27/11/2025</v>
      </c>
      <c r="B13347" t="str">
        <f t="shared" si="2613"/>
        <v>SAÍDA</v>
      </c>
      <c r="C13347" t="str">
        <f t="shared" si="2614"/>
        <v>PIX</v>
      </c>
      <c r="D13347" t="str">
        <f>"26146"</f>
        <v>26146</v>
      </c>
      <c r="E13347" t="str">
        <f t="shared" si="2621"/>
        <v>1</v>
      </c>
      <c r="F13347" t="str">
        <f t="shared" si="2624"/>
        <v>COM</v>
      </c>
      <c r="G13347" t="str">
        <f>"HECTOR LUIS YANEZ QUEZADA (718)"</f>
        <v>HECTOR LUIS YANEZ QUEZADA (718)</v>
      </c>
      <c r="H13347" t="str">
        <f>"Serv.Prest. 17/11/2025 a 23/11/2025 - PIX: CELULAR - CHAVE: (41) 98421-2278"</f>
        <v>Serv.Prest. 17/11/2025 a 23/11/2025 - PIX: CELULAR - CHAVE: (41) 98421-2278</v>
      </c>
      <c r="I13347" t="str">
        <f t="shared" si="2615"/>
        <v>27/11/2025</v>
      </c>
      <c r="J13347" t="str">
        <f t="shared" si="2625"/>
        <v>25/11/2025</v>
      </c>
      <c r="K13347" t="str">
        <f>("27/11/2025")</f>
        <v>27/11/2025</v>
      </c>
      <c r="L13347">
        <v>329</v>
      </c>
      <c r="M13347">
        <v>329</v>
      </c>
      <c r="N13347">
        <v>109</v>
      </c>
      <c r="O13347" t="str">
        <f>"PAGAMENTO DE ENTREGADORES"</f>
        <v>PAGAMENTO DE ENTREGADORES</v>
      </c>
      <c r="P13347">
        <v>329</v>
      </c>
      <c r="S13347" t="str">
        <f>"BANCO C6 (149)"</f>
        <v>BANCO C6 (149)</v>
      </c>
      <c r="T13347">
        <v>22757</v>
      </c>
      <c r="U13347">
        <v>26146</v>
      </c>
      <c r="V13347" t="s">
        <v>77</v>
      </c>
    </row>
    <row r="13348" spans="1:22">
      <c r="A13348" t="str">
        <f t="shared" si="2612"/>
        <v>27/11/2025</v>
      </c>
      <c r="B13348" t="str">
        <f t="shared" si="2613"/>
        <v>SAÍDA</v>
      </c>
      <c r="C13348" t="str">
        <f t="shared" si="2614"/>
        <v>PIX</v>
      </c>
      <c r="D13348" t="str">
        <f>"26146"</f>
        <v>26146</v>
      </c>
      <c r="E13348" t="str">
        <f t="shared" si="2621"/>
        <v>1</v>
      </c>
      <c r="F13348" t="str">
        <f t="shared" si="2624"/>
        <v>COM</v>
      </c>
      <c r="G13348" t="str">
        <f>"HECTOR LUIS YANEZ QUEZADA (718)"</f>
        <v>HECTOR LUIS YANEZ QUEZADA (718)</v>
      </c>
      <c r="H13348" t="s">
        <v>3635</v>
      </c>
      <c r="I13348" t="str">
        <f t="shared" si="2615"/>
        <v>27/11/2025</v>
      </c>
      <c r="J13348" t="str">
        <f t="shared" si="2625"/>
        <v>25/11/2025</v>
      </c>
      <c r="K13348">
        <v>45988</v>
      </c>
      <c r="N13348">
        <v>109</v>
      </c>
      <c r="O13348" t="s">
        <v>24</v>
      </c>
      <c r="Q13348">
        <v>329</v>
      </c>
      <c r="R13348" t="str">
        <f>"JAL FARMACIA E DROGARIA LJ 1 (10137)"</f>
        <v>JAL FARMACIA E DROGARIA LJ 1 (10137)</v>
      </c>
      <c r="S13348" t="s">
        <v>77</v>
      </c>
      <c r="T13348">
        <v>22757</v>
      </c>
      <c r="U13348">
        <v>26146</v>
      </c>
      <c r="V13348" t="s">
        <v>77</v>
      </c>
    </row>
    <row r="13349" spans="1:22">
      <c r="A13349" t="str">
        <f t="shared" si="2612"/>
        <v>27/11/2025</v>
      </c>
      <c r="B13349" t="str">
        <f t="shared" si="2613"/>
        <v>SAÍDA</v>
      </c>
      <c r="C13349" t="str">
        <f t="shared" si="2614"/>
        <v>PIX</v>
      </c>
      <c r="D13349" t="str">
        <f>"26147"</f>
        <v>26147</v>
      </c>
      <c r="E13349" t="str">
        <f t="shared" si="2621"/>
        <v>1</v>
      </c>
      <c r="F13349" t="str">
        <f t="shared" si="2624"/>
        <v>COM</v>
      </c>
      <c r="G13349" t="str">
        <f>"JESSICA BRAHOLKA (837)"</f>
        <v>JESSICA BRAHOLKA (837)</v>
      </c>
      <c r="H13349" t="str">
        <f>"Serv.Prest. 17/11/2025 a 23/11/2025 - PIX: CPF - CHAVE: 124.575.099-20"</f>
        <v>Serv.Prest. 17/11/2025 a 23/11/2025 - PIX: CPF - CHAVE: 124.575.099-20</v>
      </c>
      <c r="I13349" t="str">
        <f t="shared" si="2615"/>
        <v>27/11/2025</v>
      </c>
      <c r="J13349" t="str">
        <f t="shared" si="2625"/>
        <v>25/11/2025</v>
      </c>
      <c r="K13349" t="str">
        <f>("27/11/2025")</f>
        <v>27/11/2025</v>
      </c>
      <c r="L13349">
        <v>539</v>
      </c>
      <c r="M13349">
        <v>539</v>
      </c>
      <c r="N13349">
        <v>109</v>
      </c>
      <c r="O13349" t="str">
        <f>"PAGAMENTO DE ENTREGADORES"</f>
        <v>PAGAMENTO DE ENTREGADORES</v>
      </c>
      <c r="P13349">
        <v>539</v>
      </c>
      <c r="S13349" t="str">
        <f>"BANCO C6 (149)"</f>
        <v>BANCO C6 (149)</v>
      </c>
      <c r="T13349">
        <v>22758</v>
      </c>
      <c r="U13349">
        <v>26147</v>
      </c>
      <c r="V13349" t="s">
        <v>77</v>
      </c>
    </row>
    <row r="13350" spans="1:22">
      <c r="A13350" t="str">
        <f t="shared" si="2612"/>
        <v>27/11/2025</v>
      </c>
      <c r="B13350" t="str">
        <f t="shared" si="2613"/>
        <v>SAÍDA</v>
      </c>
      <c r="C13350" t="str">
        <f t="shared" si="2614"/>
        <v>PIX</v>
      </c>
      <c r="D13350" t="str">
        <f>"26147"</f>
        <v>26147</v>
      </c>
      <c r="E13350" t="str">
        <f t="shared" si="2621"/>
        <v>1</v>
      </c>
      <c r="F13350" t="str">
        <f t="shared" si="2624"/>
        <v>COM</v>
      </c>
      <c r="G13350" t="str">
        <f>"JESSICA BRAHOLKA (837)"</f>
        <v>JESSICA BRAHOLKA (837)</v>
      </c>
      <c r="H13350" t="s">
        <v>3636</v>
      </c>
      <c r="I13350" t="str">
        <f t="shared" si="2615"/>
        <v>27/11/2025</v>
      </c>
      <c r="J13350" t="str">
        <f t="shared" si="2625"/>
        <v>25/11/2025</v>
      </c>
      <c r="K13350">
        <v>45988</v>
      </c>
      <c r="N13350">
        <v>109</v>
      </c>
      <c r="O13350" t="s">
        <v>24</v>
      </c>
      <c r="Q13350">
        <v>539</v>
      </c>
      <c r="R13350" t="str">
        <f>"JAL FARMACIA E DROGARIA LJ 1 (10137)"</f>
        <v>JAL FARMACIA E DROGARIA LJ 1 (10137)</v>
      </c>
      <c r="S13350" t="s">
        <v>77</v>
      </c>
      <c r="T13350">
        <v>22758</v>
      </c>
      <c r="U13350">
        <v>26147</v>
      </c>
      <c r="V13350" t="s">
        <v>77</v>
      </c>
    </row>
    <row r="13351" spans="1:22">
      <c r="A13351" t="str">
        <f t="shared" si="2612"/>
        <v>27/11/2025</v>
      </c>
      <c r="B13351" t="str">
        <f t="shared" si="2613"/>
        <v>SAÍDA</v>
      </c>
      <c r="C13351" t="str">
        <f t="shared" si="2614"/>
        <v>PIX</v>
      </c>
      <c r="D13351" t="str">
        <f>"26149"</f>
        <v>26149</v>
      </c>
      <c r="E13351" t="str">
        <f t="shared" si="2621"/>
        <v>1</v>
      </c>
      <c r="F13351" t="str">
        <f t="shared" si="2624"/>
        <v>COM</v>
      </c>
      <c r="G13351" t="str">
        <f>"CLAUDIO DOS SANTOS (507)"</f>
        <v>CLAUDIO DOS SANTOS (507)</v>
      </c>
      <c r="H13351" t="str">
        <f>"Serv.Prest. 17/11/2025 a 23/11/2025 - PIX: E-MAIL - CHAVE: claudioverdinho2009@hotmail.com"</f>
        <v>Serv.Prest. 17/11/2025 a 23/11/2025 - PIX: E-MAIL - CHAVE: claudioverdinho2009@hotmail.com</v>
      </c>
      <c r="I13351" t="str">
        <f t="shared" si="2615"/>
        <v>27/11/2025</v>
      </c>
      <c r="J13351" t="str">
        <f t="shared" si="2625"/>
        <v>25/11/2025</v>
      </c>
      <c r="K13351" t="str">
        <f>("27/11/2025")</f>
        <v>27/11/2025</v>
      </c>
      <c r="L13351">
        <v>163</v>
      </c>
      <c r="M13351">
        <v>163</v>
      </c>
      <c r="N13351">
        <v>109</v>
      </c>
      <c r="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351">
        <v>22759</v>
      </c>
      <c r="U13351">
        <v>26149</v>
      </c>
      <c r="V13351" t="s">
        <v>77</v>
      </c>
    </row>
    <row r="13352" spans="1:22">
      <c r="A13352" t="str">
        <f t="shared" si="2612"/>
        <v>27/11/2025</v>
      </c>
      <c r="B13352" t="str">
        <f t="shared" si="2613"/>
        <v>SAÍDA</v>
      </c>
      <c r="C13352" t="str">
        <f t="shared" si="2614"/>
        <v>PIX</v>
      </c>
      <c r="D13352" t="str">
        <f>"26149"</f>
        <v>26149</v>
      </c>
      <c r="E13352" t="str">
        <f t="shared" si="2621"/>
        <v>1</v>
      </c>
      <c r="F13352" t="str">
        <f t="shared" si="2624"/>
        <v>COM</v>
      </c>
      <c r="G13352" t="str">
        <f>"CLAUDIO DOS SANTOS (507)"</f>
        <v>CLAUDIO DOS SANTOS (507)</v>
      </c>
      <c r="H13352" t="s">
        <v>3634</v>
      </c>
      <c r="I13352" t="str">
        <f t="shared" si="2615"/>
        <v>27/11/2025</v>
      </c>
      <c r="J13352" t="str">
        <f t="shared" si="2625"/>
        <v>25/11/2025</v>
      </c>
      <c r="K13352">
        <v>45988</v>
      </c>
      <c r="N13352">
        <v>109</v>
      </c>
      <c r="O13352" t="s">
        <v>24</v>
      </c>
      <c r="Q13352">
        <v>163</v>
      </c>
      <c r="R13352" t="str">
        <f>"JAL FARMACIA E DROGARIA LJ 2 (10138)"</f>
        <v>JAL FARMACIA E DROGARIA LJ 2 (10138)</v>
      </c>
      <c r="S13352" t="s">
        <v>77</v>
      </c>
      <c r="T13352">
        <v>22759</v>
      </c>
      <c r="U13352">
        <v>26149</v>
      </c>
      <c r="V13352" t="s">
        <v>77</v>
      </c>
    </row>
    <row r="13353" spans="1:22">
      <c r="A13353" t="str">
        <f t="shared" si="2612"/>
        <v>27/11/2025</v>
      </c>
      <c r="B13353" t="str">
        <f t="shared" si="2613"/>
        <v>SAÍDA</v>
      </c>
      <c r="C13353" t="str">
        <f t="shared" si="2614"/>
        <v>PIX</v>
      </c>
      <c r="D13353" t="str">
        <f>"26150"</f>
        <v>26150</v>
      </c>
      <c r="E13353" t="str">
        <f t="shared" si="2621"/>
        <v>1</v>
      </c>
      <c r="F13353" t="str">
        <f t="shared" si="2624"/>
        <v>COM</v>
      </c>
      <c r="G13353" t="str">
        <f>"HECTOR LUIS YANEZ QUEZADA (718)"</f>
        <v>HECTOR LUIS YANEZ QUEZADA (718)</v>
      </c>
      <c r="H13353" t="str">
        <f>"Serv.Prest. 17/11/2025 a 23/11/2025 - PIX: CELULAR - CHAVE: (41) 98421-2278"</f>
        <v>Serv.Prest. 17/11/2025 a 23/11/2025 - PIX: CELULAR - CHAVE: (41) 98421-2278</v>
      </c>
      <c r="I13353" t="str">
        <f t="shared" si="2615"/>
        <v>27/11/2025</v>
      </c>
      <c r="J13353" t="str">
        <f t="shared" si="2625"/>
        <v>25/11/2025</v>
      </c>
      <c r="K13353" t="str">
        <f>("27/11/2025")</f>
        <v>27/11/2025</v>
      </c>
      <c r="L13353">
        <v>471</v>
      </c>
      <c r="M13353">
        <v>471</v>
      </c>
      <c r="N13353">
        <v>109</v>
      </c>
      <c r="O13353" t="str">
        <f>"PAGAMENTO DE ENTREGADORES"</f>
        <v>PAGAMENTO DE ENTREGADORES</v>
      </c>
      <c r="P13353">
        <v>471</v>
      </c>
      <c r="S13353" t="str">
        <f>"BANCO C6 (149)"</f>
        <v>BANCO C6 (149)</v>
      </c>
      <c r="T13353">
        <v>22760</v>
      </c>
      <c r="U13353">
        <v>26150</v>
      </c>
      <c r="V13353" t="s">
        <v>77</v>
      </c>
    </row>
    <row r="13354" spans="1:22">
      <c r="A13354" t="str">
        <f t="shared" si="2612"/>
        <v>27/11/2025</v>
      </c>
      <c r="B13354" t="str">
        <f t="shared" si="2613"/>
        <v>SAÍDA</v>
      </c>
      <c r="C13354" t="str">
        <f t="shared" si="2614"/>
        <v>PIX</v>
      </c>
      <c r="D13354" t="str">
        <f>"26150"</f>
        <v>26150</v>
      </c>
      <c r="E13354" t="str">
        <f t="shared" si="2621"/>
        <v>1</v>
      </c>
      <c r="F13354" t="str">
        <f t="shared" si="2624"/>
        <v>COM</v>
      </c>
      <c r="G13354" t="str">
        <f>"HECTOR LUIS YANEZ QUEZADA (718)"</f>
        <v>HECTOR LUIS YANEZ QUEZADA (718)</v>
      </c>
      <c r="H13354" t="s">
        <v>3635</v>
      </c>
      <c r="I13354" t="str">
        <f t="shared" si="2615"/>
        <v>27/11/2025</v>
      </c>
      <c r="J13354" t="str">
        <f t="shared" si="2625"/>
        <v>25/11/2025</v>
      </c>
      <c r="K13354">
        <v>45988</v>
      </c>
      <c r="N13354">
        <v>109</v>
      </c>
      <c r="O13354" t="s">
        <v>24</v>
      </c>
      <c r="Q13354">
        <v>471</v>
      </c>
      <c r="R13354" t="str">
        <f>"JAL FARMACIA E DROGARIA LJ 2 (10138)"</f>
        <v>JAL FARMACIA E DROGARIA LJ 2 (10138)</v>
      </c>
      <c r="S13354" t="s">
        <v>77</v>
      </c>
      <c r="T13354">
        <v>22760</v>
      </c>
      <c r="U13354">
        <v>26150</v>
      </c>
      <c r="V13354" t="s">
        <v>77</v>
      </c>
    </row>
    <row r="13355" spans="1:22">
      <c r="A13355" t="str">
        <f t="shared" si="2612"/>
        <v>27/11/2025</v>
      </c>
      <c r="B13355" t="str">
        <f t="shared" si="2613"/>
        <v>SAÍDA</v>
      </c>
      <c r="C13355" t="str">
        <f t="shared" si="2614"/>
        <v>PIX</v>
      </c>
      <c r="D13355" t="str">
        <f>"26151"</f>
        <v>26151</v>
      </c>
      <c r="E13355" t="str">
        <f t="shared" si="2621"/>
        <v>1</v>
      </c>
      <c r="F13355" t="str">
        <f t="shared" si="2624"/>
        <v>COM</v>
      </c>
      <c r="G13355" t="str">
        <f>"JESSICA BRAHOLKA (837)"</f>
        <v>JESSICA BRAHOLKA (837)</v>
      </c>
      <c r="H13355" t="str">
        <f>"Serv.Prest. 17/11/2025 a 23/11/2025 - PIX: CPF - CHAVE: 124.575.099-20"</f>
        <v>Serv.Prest. 17/11/2025 a 23/11/2025 - PIX: CPF - CHAVE: 124.575.099-20</v>
      </c>
      <c r="I13355" t="str">
        <f t="shared" si="2615"/>
        <v>27/11/2025</v>
      </c>
      <c r="J13355" t="str">
        <f t="shared" si="2625"/>
        <v>25/11/2025</v>
      </c>
      <c r="K13355" t="str">
        <f>("27/11/2025")</f>
        <v>27/11/2025</v>
      </c>
      <c r="L13355">
        <v>723</v>
      </c>
      <c r="M13355">
        <v>723</v>
      </c>
      <c r="N13355">
        <v>109</v>
      </c>
      <c r="O13355" t="str">
        <f>"PAGAMENTO DE ENTREGADORES"</f>
        <v>PAGAMENTO DE ENTREGADORES</v>
      </c>
      <c r="P13355">
        <v>723</v>
      </c>
      <c r="S13355" t="str">
        <f>"BANCO C6 (149)"</f>
        <v>BANCO C6 (149)</v>
      </c>
      <c r="T13355">
        <v>22761</v>
      </c>
      <c r="U13355">
        <v>26151</v>
      </c>
      <c r="V13355" t="s">
        <v>77</v>
      </c>
    </row>
    <row r="13356" spans="1:22">
      <c r="A13356" t="str">
        <f t="shared" si="2612"/>
        <v>27/11/2025</v>
      </c>
      <c r="B13356" t="str">
        <f t="shared" si="2613"/>
        <v>SAÍDA</v>
      </c>
      <c r="C13356" t="str">
        <f t="shared" si="2614"/>
        <v>PIX</v>
      </c>
      <c r="D13356" t="str">
        <f>"26151"</f>
        <v>26151</v>
      </c>
      <c r="E13356" t="str">
        <f t="shared" si="2621"/>
        <v>1</v>
      </c>
      <c r="F13356" t="str">
        <f t="shared" si="2624"/>
        <v>COM</v>
      </c>
      <c r="G13356" t="str">
        <f>"JESSICA BRAHOLKA (837)"</f>
        <v>JESSICA BRAHOLKA (837)</v>
      </c>
      <c r="H13356" t="s">
        <v>3636</v>
      </c>
      <c r="I13356" t="str">
        <f t="shared" si="2615"/>
        <v>27/11/2025</v>
      </c>
      <c r="J13356" t="str">
        <f t="shared" si="2625"/>
        <v>25/11/2025</v>
      </c>
      <c r="K13356">
        <v>45988</v>
      </c>
      <c r="N13356">
        <v>109</v>
      </c>
      <c r="O13356" t="s">
        <v>24</v>
      </c>
      <c r="Q13356">
        <v>723</v>
      </c>
      <c r="R13356" t="str">
        <f>"JAL FARMACIA E DROGARIA LJ 2 (10138)"</f>
        <v>JAL FARMACIA E DROGARIA LJ 2 (10138)</v>
      </c>
      <c r="S13356" t="s">
        <v>77</v>
      </c>
      <c r="T13356">
        <v>22761</v>
      </c>
      <c r="U13356">
        <v>26151</v>
      </c>
      <c r="V13356" t="s">
        <v>77</v>
      </c>
    </row>
    <row r="13357" spans="1:22">
      <c r="A13357" t="str">
        <f t="shared" si="2612"/>
        <v>27/11/2025</v>
      </c>
      <c r="B13357" t="str">
        <f t="shared" si="2613"/>
        <v>SAÍDA</v>
      </c>
      <c r="C13357" t="str">
        <f t="shared" si="2614"/>
        <v>PIX</v>
      </c>
      <c r="D13357" t="str">
        <f>"26153"</f>
        <v>26153</v>
      </c>
      <c r="E13357" t="str">
        <f t="shared" si="2621"/>
        <v>1</v>
      </c>
      <c r="F13357" t="str">
        <f t="shared" si="2624"/>
        <v>COM</v>
      </c>
      <c r="G13357" t="str">
        <f>"BRUNO ANDRADE LESSA (952)"</f>
        <v>BRUNO ANDRADE LESSA (952)</v>
      </c>
      <c r="H13357" t="str">
        <f>"Serv.Prest. 17/11/2025 a 23/11/2025 - PIX: CELULAR - CHAVE: (28) 99988-2177"</f>
        <v>Serv.Prest. 17/11/2025 a 23/11/2025 - PIX: CELULAR - CHAVE: (28) 99988-2177</v>
      </c>
      <c r="I13357" t="str">
        <f t="shared" si="2615"/>
        <v>27/11/2025</v>
      </c>
      <c r="J13357" t="str">
        <f t="shared" si="2625"/>
        <v>25/11/2025</v>
      </c>
      <c r="K13357" t="str">
        <f>("27/11/2025")</f>
        <v>27/11/2025</v>
      </c>
      <c r="L13357">
        <v>310</v>
      </c>
      <c r="M13357">
        <v>310</v>
      </c>
      <c r="N13357">
        <v>109</v>
      </c>
      <c r="O13357" t="str">
        <f>"PAGAMENTO DE ENTREGADORES"</f>
        <v>PAGAMENTO DE ENTREGADORES</v>
      </c>
      <c r="P13357">
        <v>310</v>
      </c>
      <c r="S13357" t="str">
        <f>"BANCO C6 (149)"</f>
        <v>BANCO C6 (149)</v>
      </c>
      <c r="T13357">
        <v>22762</v>
      </c>
      <c r="U13357">
        <v>26153</v>
      </c>
      <c r="V13357" t="s">
        <v>77</v>
      </c>
    </row>
    <row r="13358" spans="1:22">
      <c r="A13358" t="str">
        <f t="shared" si="2612"/>
        <v>27/11/2025</v>
      </c>
      <c r="B13358" t="str">
        <f t="shared" si="2613"/>
        <v>SAÍDA</v>
      </c>
      <c r="C13358" t="str">
        <f t="shared" si="2614"/>
        <v>PIX</v>
      </c>
      <c r="D13358" t="str">
        <f>"26153"</f>
        <v>26153</v>
      </c>
      <c r="E13358" t="str">
        <f t="shared" si="2621"/>
        <v>1</v>
      </c>
      <c r="F13358" t="str">
        <f t="shared" si="2624"/>
        <v>COM</v>
      </c>
      <c r="G13358" t="str">
        <f>"BRUNO ANDRADE LESSA (952)"</f>
        <v>BRUNO ANDRADE LESSA (952)</v>
      </c>
      <c r="H13358" t="s">
        <v>3637</v>
      </c>
      <c r="I13358" t="str">
        <f t="shared" si="2615"/>
        <v>27/11/2025</v>
      </c>
      <c r="J13358" t="str">
        <f t="shared" si="2625"/>
        <v>25/11/2025</v>
      </c>
      <c r="K13358">
        <v>45988</v>
      </c>
      <c r="N13358">
        <v>109</v>
      </c>
      <c r="O13358" t="s">
        <v>24</v>
      </c>
      <c r="Q13358">
        <v>310</v>
      </c>
      <c r="R13358" t="str">
        <f>"LBL FARMACIA LTDA (10189)"</f>
        <v>LBL FARMACIA LTDA (10189)</v>
      </c>
      <c r="S13358" t="s">
        <v>77</v>
      </c>
      <c r="T13358">
        <v>22762</v>
      </c>
      <c r="U13358">
        <v>26153</v>
      </c>
      <c r="V13358" t="s">
        <v>77</v>
      </c>
    </row>
    <row r="13359" spans="1:22">
      <c r="A13359" t="str">
        <f t="shared" si="2612"/>
        <v>27/11/2025</v>
      </c>
      <c r="B13359" t="str">
        <f t="shared" si="2613"/>
        <v>SAÍDA</v>
      </c>
      <c r="C13359" t="str">
        <f t="shared" si="2614"/>
        <v>PIX</v>
      </c>
      <c r="D13359" t="str">
        <f>"26154"</f>
        <v>26154</v>
      </c>
      <c r="E13359" t="str">
        <f t="shared" si="2621"/>
        <v>1</v>
      </c>
      <c r="F13359" t="str">
        <f t="shared" si="2624"/>
        <v>COM</v>
      </c>
      <c r="G13359" t="str">
        <f>"JOAO MARCOS FERREIRA (925)"</f>
        <v>JOAO MARCOS FERREIRA (925)</v>
      </c>
      <c r="H13359" t="str">
        <f>"Serv.Prest. 17/11/2025 a 23/11/2025 - PIX: CELULAR - CHAVE: (28) 99908-0831"</f>
        <v>Serv.Prest. 17/11/2025 a 23/11/2025 - PIX: CELULAR - CHAVE: (28) 99908-0831</v>
      </c>
      <c r="I13359" t="str">
        <f t="shared" si="2615"/>
        <v>27/11/2025</v>
      </c>
      <c r="J13359" t="str">
        <f t="shared" si="2625"/>
        <v>25/11/2025</v>
      </c>
      <c r="K13359" t="str">
        <f>("27/11/2025")</f>
        <v>27/11/2025</v>
      </c>
      <c r="L13359">
        <v>250</v>
      </c>
      <c r="M13359">
        <v>250</v>
      </c>
      <c r="N13359">
        <v>109</v>
      </c>
      <c r="O13359" t="str">
        <f>"PAGAMENTO DE ENTREGADORES"</f>
        <v>PAGAMENTO DE ENTREGADORES</v>
      </c>
      <c r="P13359">
        <v>250</v>
      </c>
      <c r="S13359" t="str">
        <f>"BANCO C6 (149)"</f>
        <v>BANCO C6 (149)</v>
      </c>
      <c r="T13359">
        <v>22763</v>
      </c>
      <c r="U13359">
        <v>26154</v>
      </c>
      <c r="V13359" t="s">
        <v>77</v>
      </c>
    </row>
    <row r="13360" spans="1:22">
      <c r="A13360" t="str">
        <f t="shared" si="2612"/>
        <v>27/11/2025</v>
      </c>
      <c r="B13360" t="str">
        <f t="shared" si="2613"/>
        <v>SAÍDA</v>
      </c>
      <c r="C13360" t="str">
        <f t="shared" si="2614"/>
        <v>PIX</v>
      </c>
      <c r="D13360" t="str">
        <f>"26154"</f>
        <v>26154</v>
      </c>
      <c r="E13360" t="str">
        <f t="shared" si="2621"/>
        <v>1</v>
      </c>
      <c r="F13360" t="str">
        <f t="shared" si="2624"/>
        <v>COM</v>
      </c>
      <c r="G13360" t="str">
        <f>"JOAO MARCOS FERREIRA (925)"</f>
        <v>JOAO MARCOS FERREIRA (925)</v>
      </c>
      <c r="H13360" t="s">
        <v>3638</v>
      </c>
      <c r="I13360" t="str">
        <f t="shared" si="2615"/>
        <v>27/11/2025</v>
      </c>
      <c r="J13360" t="str">
        <f t="shared" si="2625"/>
        <v>25/11/2025</v>
      </c>
      <c r="K13360">
        <v>45988</v>
      </c>
      <c r="N13360">
        <v>109</v>
      </c>
      <c r="O13360" t="s">
        <v>24</v>
      </c>
      <c r="Q13360">
        <v>250</v>
      </c>
      <c r="R13360" t="str">
        <f>"LBL FARMACIA LTDA (10189)"</f>
        <v>LBL FARMACIA LTDA (10189)</v>
      </c>
      <c r="S13360" t="s">
        <v>77</v>
      </c>
      <c r="T13360">
        <v>22763</v>
      </c>
      <c r="U13360">
        <v>26154</v>
      </c>
      <c r="V13360" t="s">
        <v>77</v>
      </c>
    </row>
    <row r="13361" spans="1:22">
      <c r="A13361" t="str">
        <f t="shared" si="2612"/>
        <v>27/11/2025</v>
      </c>
      <c r="B13361" t="str">
        <f t="shared" si="2613"/>
        <v>SAÍDA</v>
      </c>
      <c r="C13361" t="str">
        <f t="shared" si="2614"/>
        <v>PIX</v>
      </c>
      <c r="D13361" t="str">
        <f>"26155"</f>
        <v>26155</v>
      </c>
      <c r="E13361" t="str">
        <f t="shared" si="2621"/>
        <v>1</v>
      </c>
      <c r="F13361" t="str">
        <f t="shared" si="2624"/>
        <v>COM</v>
      </c>
      <c r="G13361" t="str">
        <f>"YAN FILIPUTI CORA (926)"</f>
        <v>YAN FILIPUTI CORA (926)</v>
      </c>
      <c r="H13361" t="str">
        <f>"Serv.Prest. 17/11/2025 a 23/11/2025 - PIX: CELULAR - CHAVE: (28) 98816-4170"</f>
        <v>Serv.Prest. 17/11/2025 a 23/11/2025 - PIX: CELULAR - CHAVE: (28) 98816-4170</v>
      </c>
      <c r="I13361" t="str">
        <f t="shared" si="2615"/>
        <v>27/11/2025</v>
      </c>
      <c r="J13361" t="str">
        <f t="shared" si="2625"/>
        <v>25/11/2025</v>
      </c>
      <c r="K13361" t="str">
        <f>("27/11/2025")</f>
        <v>27/11/2025</v>
      </c>
      <c r="L13361">
        <v>400</v>
      </c>
      <c r="M13361">
        <v>400</v>
      </c>
      <c r="N13361">
        <v>109</v>
      </c>
      <c r="O13361" t="str">
        <f>"PAGAMENTO DE ENTREGADORES"</f>
        <v>PAGAMENTO DE ENTREGADORES</v>
      </c>
      <c r="P13361">
        <v>400</v>
      </c>
      <c r="S13361" t="str">
        <f>"BANCO C6 (149)"</f>
        <v>BANCO C6 (149)</v>
      </c>
      <c r="T13361">
        <v>22764</v>
      </c>
      <c r="U13361">
        <v>26155</v>
      </c>
      <c r="V13361" t="s">
        <v>77</v>
      </c>
    </row>
    <row r="13362" spans="1:22">
      <c r="A13362" t="str">
        <f t="shared" si="2612"/>
        <v>27/11/2025</v>
      </c>
      <c r="B13362" t="str">
        <f t="shared" si="2613"/>
        <v>SAÍDA</v>
      </c>
      <c r="C13362" t="str">
        <f t="shared" si="2614"/>
        <v>PIX</v>
      </c>
      <c r="D13362" t="str">
        <f>"26155"</f>
        <v>26155</v>
      </c>
      <c r="E13362" t="str">
        <f t="shared" si="2621"/>
        <v>1</v>
      </c>
      <c r="F13362" t="str">
        <f t="shared" si="2624"/>
        <v>COM</v>
      </c>
      <c r="G13362" t="str">
        <f>"YAN FILIPUTI CORA (926)"</f>
        <v>YAN FILIPUTI CORA (926)</v>
      </c>
      <c r="H13362" t="s">
        <v>3639</v>
      </c>
      <c r="I13362" t="str">
        <f t="shared" si="2615"/>
        <v>27/11/2025</v>
      </c>
      <c r="J13362" t="str">
        <f t="shared" si="2625"/>
        <v>25/11/2025</v>
      </c>
      <c r="K13362">
        <v>45988</v>
      </c>
      <c r="N13362">
        <v>109</v>
      </c>
      <c r="O13362" t="s">
        <v>24</v>
      </c>
      <c r="Q13362">
        <v>400</v>
      </c>
      <c r="R13362" t="str">
        <f>"LBL FARMACIA LTDA (10189)"</f>
        <v>LBL FARMACIA LTDA (10189)</v>
      </c>
      <c r="S13362" t="s">
        <v>77</v>
      </c>
      <c r="T13362">
        <v>22764</v>
      </c>
      <c r="U13362">
        <v>26155</v>
      </c>
      <c r="V13362" t="s">
        <v>77</v>
      </c>
    </row>
    <row r="13363" spans="1:22">
      <c r="A13363" t="str">
        <f t="shared" ref="A13363:A13426" si="2626">("27/11/2025")</f>
        <v>27/11/2025</v>
      </c>
      <c r="B13363" t="str">
        <f t="shared" ref="B13363:B13419" si="2627">"SAÍDA"</f>
        <v>SAÍDA</v>
      </c>
      <c r="C13363" t="str">
        <f t="shared" ref="C13363:C13419" si="2628">"PIX"</f>
        <v>PIX</v>
      </c>
      <c r="D13363" t="str">
        <f>"26157"</f>
        <v>26157</v>
      </c>
      <c r="E13363" t="str">
        <f t="shared" si="2621"/>
        <v>1</v>
      </c>
      <c r="F13363" t="str">
        <f t="shared" si="2624"/>
        <v>COM</v>
      </c>
      <c r="G13363" t="str">
        <f>"BRUNO ANDRADE LESSA (952)"</f>
        <v>BRUNO ANDRADE LESSA (952)</v>
      </c>
      <c r="H13363" t="str">
        <f>"Serv.Prest. 17/11/2025 a 23/11/2025 - PIX: CELULAR - CHAVE: (28) 99988-2177"</f>
        <v>Serv.Prest. 17/11/2025 a 23/11/2025 - PIX: CELULAR - CHAVE: (28) 99988-2177</v>
      </c>
      <c r="I13363" t="str">
        <f t="shared" ref="I13363:I13411" si="2629">("27/11/2025")</f>
        <v>27/11/2025</v>
      </c>
      <c r="J13363" t="str">
        <f t="shared" si="2625"/>
        <v>25/11/2025</v>
      </c>
      <c r="K13363" t="str">
        <f>("27/11/2025")</f>
        <v>27/11/2025</v>
      </c>
      <c r="L13363">
        <v>490</v>
      </c>
      <c r="M13363">
        <v>490</v>
      </c>
      <c r="N13363">
        <v>109</v>
      </c>
      <c r="O13363" t="str">
        <f>"PAGAMENTO DE ENTREGADORES"</f>
        <v>PAGAMENTO DE ENTREGADORES</v>
      </c>
      <c r="P13363">
        <v>490</v>
      </c>
      <c r="S13363" t="str">
        <f>"BANCO C6 (149)"</f>
        <v>BANCO C6 (149)</v>
      </c>
      <c r="T13363">
        <v>22765</v>
      </c>
      <c r="U13363">
        <v>26157</v>
      </c>
      <c r="V13363" t="s">
        <v>77</v>
      </c>
    </row>
    <row r="13364" spans="1:22">
      <c r="A13364" t="str">
        <f t="shared" si="2626"/>
        <v>27/11/2025</v>
      </c>
      <c r="B13364" t="str">
        <f t="shared" si="2627"/>
        <v>SAÍDA</v>
      </c>
      <c r="C13364" t="str">
        <f t="shared" si="2628"/>
        <v>PIX</v>
      </c>
      <c r="D13364" t="str">
        <f>"26157"</f>
        <v>26157</v>
      </c>
      <c r="E13364" t="str">
        <f t="shared" si="2621"/>
        <v>1</v>
      </c>
      <c r="F13364" t="str">
        <f t="shared" si="2624"/>
        <v>COM</v>
      </c>
      <c r="G13364" t="str">
        <f>"BRUNO ANDRADE LESSA (952)"</f>
        <v>BRUNO ANDRADE LESSA (952)</v>
      </c>
      <c r="H13364" t="s">
        <v>3637</v>
      </c>
      <c r="I13364" t="str">
        <f t="shared" si="2629"/>
        <v>27/11/2025</v>
      </c>
      <c r="J13364" t="str">
        <f t="shared" si="2625"/>
        <v>25/11/2025</v>
      </c>
      <c r="K13364">
        <v>45988</v>
      </c>
      <c r="N13364">
        <v>109</v>
      </c>
      <c r="O13364" t="s">
        <v>24</v>
      </c>
      <c r="Q13364">
        <v>490</v>
      </c>
      <c r="R13364" t="str">
        <f>"LBL FARMACIA LTDA FILIAL (10192)"</f>
        <v>LBL FARMACIA LTDA FILIAL (10192)</v>
      </c>
      <c r="S13364" t="s">
        <v>77</v>
      </c>
      <c r="T13364">
        <v>22765</v>
      </c>
      <c r="U13364">
        <v>26157</v>
      </c>
      <c r="V13364" t="s">
        <v>77</v>
      </c>
    </row>
    <row r="13365" spans="1:22">
      <c r="A13365" t="str">
        <f t="shared" si="2626"/>
        <v>27/11/2025</v>
      </c>
      <c r="B13365" t="str">
        <f t="shared" si="2627"/>
        <v>SAÍDA</v>
      </c>
      <c r="C13365" t="str">
        <f t="shared" si="2628"/>
        <v>PIX</v>
      </c>
      <c r="D13365" t="str">
        <f>"26158"</f>
        <v>26158</v>
      </c>
      <c r="E13365" t="str">
        <f t="shared" si="2621"/>
        <v>1</v>
      </c>
      <c r="F13365" t="str">
        <f t="shared" si="2624"/>
        <v>COM</v>
      </c>
      <c r="G13365" t="str">
        <f>"JOAO MARCOS FERREIRA (925)"</f>
        <v>JOAO MARCOS FERREIRA (925)</v>
      </c>
      <c r="H13365" t="str">
        <f>"Serv.Prest. 17/11/2025 a 23/11/2025 - PIX: CELULAR - CHAVE: (28) 99908-0831"</f>
        <v>Serv.Prest. 17/11/2025 a 23/11/2025 - PIX: CELULAR - CHAVE: (28) 99908-0831</v>
      </c>
      <c r="I13365" t="str">
        <f t="shared" si="2629"/>
        <v>27/11/2025</v>
      </c>
      <c r="J13365" t="str">
        <f t="shared" ref="J13365:J13396" si="2630">("25/11/2025")</f>
        <v>25/11/2025</v>
      </c>
      <c r="K13365" t="str">
        <f>("27/11/2025")</f>
        <v>27/11/2025</v>
      </c>
      <c r="L13365">
        <v>250</v>
      </c>
      <c r="M13365">
        <v>250</v>
      </c>
      <c r="N13365">
        <v>109</v>
      </c>
      <c r="O13365" t="str">
        <f>"PAGAMENTO DE ENTREGADORES"</f>
        <v>PAGAMENTO DE ENTREGADORES</v>
      </c>
      <c r="P13365">
        <v>250</v>
      </c>
      <c r="S13365" t="str">
        <f>"BANCO C6 (149)"</f>
        <v>BANCO C6 (149)</v>
      </c>
      <c r="T13365">
        <v>22766</v>
      </c>
      <c r="U13365">
        <v>26158</v>
      </c>
      <c r="V13365" t="s">
        <v>77</v>
      </c>
    </row>
    <row r="13366" spans="1:22">
      <c r="A13366" t="str">
        <f t="shared" si="2626"/>
        <v>27/11/2025</v>
      </c>
      <c r="B13366" t="str">
        <f t="shared" si="2627"/>
        <v>SAÍDA</v>
      </c>
      <c r="C13366" t="str">
        <f t="shared" si="2628"/>
        <v>PIX</v>
      </c>
      <c r="D13366" t="str">
        <f>"26158"</f>
        <v>26158</v>
      </c>
      <c r="E13366" t="str">
        <f t="shared" si="2621"/>
        <v>1</v>
      </c>
      <c r="F13366" t="str">
        <f t="shared" si="2624"/>
        <v>COM</v>
      </c>
      <c r="G13366" t="str">
        <f>"JOAO MARCOS FERREIRA (925)"</f>
        <v>JOAO MARCOS FERREIRA (925)</v>
      </c>
      <c r="H13366" t="s">
        <v>3638</v>
      </c>
      <c r="I13366" t="str">
        <f t="shared" si="2629"/>
        <v>27/11/2025</v>
      </c>
      <c r="J13366" t="str">
        <f t="shared" si="2630"/>
        <v>25/11/2025</v>
      </c>
      <c r="K13366">
        <v>45988</v>
      </c>
      <c r="N13366">
        <v>109</v>
      </c>
      <c r="O13366" t="s">
        <v>24</v>
      </c>
      <c r="Q13366">
        <v>250</v>
      </c>
      <c r="R13366" t="str">
        <f>"LBL FARMACIA LTDA FILIAL (10192)"</f>
        <v>LBL FARMACIA LTDA FILIAL (10192)</v>
      </c>
      <c r="S13366" t="s">
        <v>77</v>
      </c>
      <c r="T13366">
        <v>22766</v>
      </c>
      <c r="U13366">
        <v>26158</v>
      </c>
      <c r="V13366" t="s">
        <v>77</v>
      </c>
    </row>
    <row r="13367" spans="1:22">
      <c r="A13367" t="str">
        <f t="shared" si="2626"/>
        <v>27/11/2025</v>
      </c>
      <c r="B13367" t="str">
        <f t="shared" si="2627"/>
        <v>SAÍDA</v>
      </c>
      <c r="C13367" t="str">
        <f t="shared" si="2628"/>
        <v>PIX</v>
      </c>
      <c r="D13367" t="str">
        <f>"26159"</f>
        <v>26159</v>
      </c>
      <c r="E13367" t="str">
        <f t="shared" si="2621"/>
        <v>1</v>
      </c>
      <c r="F13367" t="str">
        <f t="shared" si="2624"/>
        <v>COM</v>
      </c>
      <c r="G13367" t="str">
        <f>"YAN FILIPUTI CORA (926)"</f>
        <v>YAN FILIPUTI CORA (926)</v>
      </c>
      <c r="H13367" t="str">
        <f>"Serv.Prest. 17/11/2025 a 23/11/2025 - PIX: CELULAR - CHAVE: (28) 98816-4170"</f>
        <v>Serv.Prest. 17/11/2025 a 23/11/2025 - PIX: CELULAR - CHAVE: (28) 98816-4170</v>
      </c>
      <c r="I13367" t="str">
        <f t="shared" si="2629"/>
        <v>27/11/2025</v>
      </c>
      <c r="J13367" t="str">
        <f t="shared" si="2630"/>
        <v>25/11/2025</v>
      </c>
      <c r="K13367" t="str">
        <f>("27/11/2025")</f>
        <v>27/11/2025</v>
      </c>
      <c r="L13367">
        <v>400</v>
      </c>
      <c r="M13367">
        <v>400</v>
      </c>
      <c r="N13367">
        <v>109</v>
      </c>
      <c r="O13367" t="str">
        <f>"PAGAMENTO DE ENTREGADORES"</f>
        <v>PAGAMENTO DE ENTREGADORES</v>
      </c>
      <c r="P13367">
        <v>400</v>
      </c>
      <c r="S13367" t="str">
        <f>"BANCO C6 (149)"</f>
        <v>BANCO C6 (149)</v>
      </c>
      <c r="T13367">
        <v>22767</v>
      </c>
      <c r="U13367">
        <v>26159</v>
      </c>
      <c r="V13367" t="s">
        <v>77</v>
      </c>
    </row>
    <row r="13368" spans="1:22">
      <c r="A13368" t="str">
        <f t="shared" si="2626"/>
        <v>27/11/2025</v>
      </c>
      <c r="B13368" t="str">
        <f t="shared" si="2627"/>
        <v>SAÍDA</v>
      </c>
      <c r="C13368" t="str">
        <f t="shared" si="2628"/>
        <v>PIX</v>
      </c>
      <c r="D13368" t="str">
        <f>"26159"</f>
        <v>26159</v>
      </c>
      <c r="E13368" t="str">
        <f t="shared" si="2621"/>
        <v>1</v>
      </c>
      <c r="F13368" t="str">
        <f t="shared" si="2624"/>
        <v>COM</v>
      </c>
      <c r="G13368" t="str">
        <f>"YAN FILIPUTI CORA (926)"</f>
        <v>YAN FILIPUTI CORA (926)</v>
      </c>
      <c r="H13368" t="s">
        <v>3639</v>
      </c>
      <c r="I13368" t="str">
        <f t="shared" si="2629"/>
        <v>27/11/2025</v>
      </c>
      <c r="J13368" t="str">
        <f t="shared" si="2630"/>
        <v>25/11/2025</v>
      </c>
      <c r="K13368">
        <v>45988</v>
      </c>
      <c r="N13368">
        <v>109</v>
      </c>
      <c r="O13368" t="s">
        <v>24</v>
      </c>
      <c r="Q13368">
        <v>400</v>
      </c>
      <c r="R13368" t="str">
        <f>"LBL FARMACIA LTDA FILIAL (10192)"</f>
        <v>LBL FARMACIA LTDA FILIAL (10192)</v>
      </c>
      <c r="S13368" t="s">
        <v>77</v>
      </c>
      <c r="T13368">
        <v>22767</v>
      </c>
      <c r="U13368">
        <v>26159</v>
      </c>
      <c r="V13368" t="s">
        <v>77</v>
      </c>
    </row>
    <row r="13369" spans="1:22">
      <c r="A13369" t="str">
        <f t="shared" si="2626"/>
        <v>27/11/2025</v>
      </c>
      <c r="B13369" t="str">
        <f t="shared" si="2627"/>
        <v>SAÍDA</v>
      </c>
      <c r="C13369" t="str">
        <f t="shared" si="2628"/>
        <v>PIX</v>
      </c>
      <c r="D13369" t="str">
        <f>"26161"</f>
        <v>26161</v>
      </c>
      <c r="E13369" t="str">
        <f t="shared" si="2621"/>
        <v>1</v>
      </c>
      <c r="F13369" t="str">
        <f t="shared" si="2624"/>
        <v>COM</v>
      </c>
      <c r="G13369" t="str">
        <f>"ALEX SILVA RODRIGUES (1027)"</f>
        <v>ALEX SILVA RODRIGUES (1027)</v>
      </c>
      <c r="H13369" t="str">
        <f>"Serv.Prest. 17/11/2025 a 23/11/2025 - PIX: CELULAR - CHAVE: (64) 99952-0910"</f>
        <v>Serv.Prest. 17/11/2025 a 23/11/2025 - PIX: CELULAR - CHAVE: (64) 99952-0910</v>
      </c>
      <c r="I13369" t="str">
        <f t="shared" si="2629"/>
        <v>27/11/2025</v>
      </c>
      <c r="J13369" t="str">
        <f t="shared" si="2630"/>
        <v>25/11/2025</v>
      </c>
      <c r="K13369" t="str">
        <f>("27/11/2025")</f>
        <v>27/11/2025</v>
      </c>
      <c r="L13369">
        <v>595</v>
      </c>
      <c r="M13369">
        <v>595</v>
      </c>
      <c r="N13369">
        <v>109</v>
      </c>
      <c r="O13369" t="str">
        <f>"PAGAMENTO DE ENTREGADORES"</f>
        <v>PAGAMENTO DE ENTREGADORES</v>
      </c>
      <c r="P13369">
        <v>595</v>
      </c>
      <c r="S13369" t="str">
        <f>"BANCO C6 (149)"</f>
        <v>BANCO C6 (149)</v>
      </c>
      <c r="T13369">
        <v>22768</v>
      </c>
      <c r="U13369">
        <v>26161</v>
      </c>
      <c r="V13369" t="s">
        <v>77</v>
      </c>
    </row>
    <row r="13370" spans="1:22">
      <c r="A13370" t="str">
        <f t="shared" si="2626"/>
        <v>27/11/2025</v>
      </c>
      <c r="B13370" t="str">
        <f t="shared" si="2627"/>
        <v>SAÍDA</v>
      </c>
      <c r="C13370" t="str">
        <f t="shared" si="2628"/>
        <v>PIX</v>
      </c>
      <c r="D13370" t="str">
        <f>"26161"</f>
        <v>26161</v>
      </c>
      <c r="E13370" t="str">
        <f t="shared" si="2621"/>
        <v>1</v>
      </c>
      <c r="F13370" t="str">
        <f t="shared" si="2624"/>
        <v>COM</v>
      </c>
      <c r="G13370" t="str">
        <f>"ALEX SILVA RODRIGUES (1027)"</f>
        <v>ALEX SILVA RODRIGUES (1027)</v>
      </c>
      <c r="H13370" t="s">
        <v>3640</v>
      </c>
      <c r="I13370" t="str">
        <f t="shared" si="2629"/>
        <v>27/11/2025</v>
      </c>
      <c r="J13370" t="str">
        <f t="shared" si="2630"/>
        <v>25/11/2025</v>
      </c>
      <c r="K13370">
        <v>45988</v>
      </c>
      <c r="N13370">
        <v>109</v>
      </c>
      <c r="O13370" t="s">
        <v>24</v>
      </c>
      <c r="Q13370">
        <v>595</v>
      </c>
      <c r="R13370" t="str">
        <f>"FARMACIA ECONOMIZE (10103)"</f>
        <v>FARMACIA ECONOMIZE (10103)</v>
      </c>
      <c r="S13370" t="s">
        <v>77</v>
      </c>
      <c r="T13370">
        <v>22768</v>
      </c>
      <c r="U13370">
        <v>26161</v>
      </c>
      <c r="V13370" t="s">
        <v>77</v>
      </c>
    </row>
    <row r="13371" spans="1:22">
      <c r="A13371" t="str">
        <f t="shared" si="2626"/>
        <v>27/11/2025</v>
      </c>
      <c r="B13371" t="str">
        <f t="shared" si="2627"/>
        <v>SAÍDA</v>
      </c>
      <c r="C13371" t="str">
        <f t="shared" si="2628"/>
        <v>PIX</v>
      </c>
      <c r="D13371" t="str">
        <f>"26162"</f>
        <v>26162</v>
      </c>
      <c r="E13371" t="str">
        <f t="shared" si="2621"/>
        <v>1</v>
      </c>
      <c r="F13371" t="str">
        <f t="shared" si="2624"/>
        <v>COM</v>
      </c>
      <c r="G13371" t="str">
        <f>"WILLIAM DA SILVA COSTA (655)"</f>
        <v>WILLIAM DA SILVA COSTA (655)</v>
      </c>
      <c r="H13371" t="str">
        <f>"Serv.Prest. 17/11/2025 a 23/11/2025 - PIX: CELULAR - CHAVE: (64) 97400-9101"</f>
        <v>Serv.Prest. 17/11/2025 a 23/11/2025 - PIX: CELULAR - CHAVE: (64) 97400-9101</v>
      </c>
      <c r="I13371" t="str">
        <f t="shared" si="2629"/>
        <v>27/11/2025</v>
      </c>
      <c r="J13371" t="str">
        <f t="shared" si="2630"/>
        <v>25/11/2025</v>
      </c>
      <c r="K13371" t="str">
        <f>("27/11/2025")</f>
        <v>27/11/2025</v>
      </c>
      <c r="L13371">
        <v>1393</v>
      </c>
      <c r="M13371">
        <v>1480</v>
      </c>
      <c r="N13371">
        <v>109</v>
      </c>
      <c r="O13371" t="str">
        <f>"PAGAMENTO DE ENTREGADORES"</f>
        <v>PAGAMENTO DE ENTREGADORES</v>
      </c>
      <c r="P13371">
        <v>1480</v>
      </c>
      <c r="S13371" t="str">
        <f>"BANCO C6 (149)"</f>
        <v>BANCO C6 (149)</v>
      </c>
      <c r="T13371">
        <v>22769</v>
      </c>
      <c r="U13371">
        <v>26162</v>
      </c>
      <c r="V13371" t="s">
        <v>77</v>
      </c>
    </row>
    <row r="13372" spans="1:22">
      <c r="A13372" t="str">
        <f t="shared" si="2626"/>
        <v>27/11/2025</v>
      </c>
      <c r="B13372" t="str">
        <f t="shared" si="2627"/>
        <v>SAÍDA</v>
      </c>
      <c r="C13372" t="str">
        <f t="shared" si="2628"/>
        <v>PIX</v>
      </c>
      <c r="D13372" t="str">
        <f>"26162"</f>
        <v>26162</v>
      </c>
      <c r="E13372" t="str">
        <f t="shared" si="2621"/>
        <v>1</v>
      </c>
      <c r="F13372" t="str">
        <f t="shared" si="2624"/>
        <v>COM</v>
      </c>
      <c r="G13372" t="str">
        <f>"WILLIAM DA SILVA COSTA (655)"</f>
        <v>WILLIAM DA SILVA COSTA (655)</v>
      </c>
      <c r="H13372" t="s">
        <v>3376</v>
      </c>
      <c r="I13372" t="str">
        <f t="shared" si="2629"/>
        <v>27/11/2025</v>
      </c>
      <c r="J13372" t="str">
        <f t="shared" si="2630"/>
        <v>25/11/2025</v>
      </c>
      <c r="K13372">
        <v>45988</v>
      </c>
      <c r="N13372">
        <v>109</v>
      </c>
      <c r="O13372" t="s">
        <v>24</v>
      </c>
      <c r="Q13372">
        <v>1480</v>
      </c>
      <c r="R13372" t="str">
        <f>"FARMACIA ECONOMIZE (10103)"</f>
        <v>FARMACIA ECONOMIZE (10103)</v>
      </c>
      <c r="S13372" t="s">
        <v>77</v>
      </c>
      <c r="T13372">
        <v>22769</v>
      </c>
      <c r="U13372">
        <v>26162</v>
      </c>
      <c r="V13372" t="s">
        <v>77</v>
      </c>
    </row>
    <row r="13373" spans="1:22">
      <c r="A13373" t="str">
        <f t="shared" si="2626"/>
        <v>27/11/2025</v>
      </c>
      <c r="B13373" t="str">
        <f t="shared" si="2627"/>
        <v>SAÍDA</v>
      </c>
      <c r="C13373" t="str">
        <f t="shared" si="2628"/>
        <v>PIX</v>
      </c>
      <c r="D13373" t="str">
        <f>"26221"</f>
        <v>26221</v>
      </c>
      <c r="E13373" t="str">
        <f t="shared" si="2621"/>
        <v>1</v>
      </c>
      <c r="F13373" t="str">
        <f t="shared" si="2624"/>
        <v>COM</v>
      </c>
      <c r="G13373" t="str">
        <f>"JUNIOR DOS SANTOS MACHADO (240)"</f>
        <v>JUNIOR DOS SANTOS MACHADO (240)</v>
      </c>
      <c r="H13373" t="str">
        <f>"Serv.Prest. 17/11/2025 a 23/11/2025 - PIX: CPF - CHAVE: 074.520.456-29"</f>
        <v>Serv.Prest. 17/11/2025 a 23/11/2025 - PIX: CPF - CHAVE: 074.520.456-29</v>
      </c>
      <c r="I13373" t="str">
        <f t="shared" si="2629"/>
        <v>27/11/2025</v>
      </c>
      <c r="J13373" t="str">
        <f t="shared" si="2630"/>
        <v>25/11/2025</v>
      </c>
      <c r="K13373" t="str">
        <f>("27/11/2025")</f>
        <v>27/11/2025</v>
      </c>
      <c r="L13373">
        <v>280</v>
      </c>
      <c r="M13373">
        <v>280</v>
      </c>
      <c r="N13373">
        <v>109</v>
      </c>
      <c r="O13373" t="str">
        <f>"PAGAMENTO DE ENTREGADORES"</f>
        <v>PAGAMENTO DE ENTREGADORES</v>
      </c>
      <c r="P13373">
        <v>280</v>
      </c>
      <c r="S13373" t="str">
        <f>"BANCO C6 (149)"</f>
        <v>BANCO C6 (149)</v>
      </c>
      <c r="T13373">
        <v>22770</v>
      </c>
      <c r="U13373">
        <v>26221</v>
      </c>
      <c r="V13373" t="s">
        <v>77</v>
      </c>
    </row>
    <row r="13374" spans="1:22">
      <c r="A13374" t="str">
        <f t="shared" si="2626"/>
        <v>27/11/2025</v>
      </c>
      <c r="B13374" t="str">
        <f t="shared" si="2627"/>
        <v>SAÍDA</v>
      </c>
      <c r="C13374" t="str">
        <f t="shared" si="2628"/>
        <v>PIX</v>
      </c>
      <c r="D13374" t="str">
        <f>"26221"</f>
        <v>26221</v>
      </c>
      <c r="E13374" t="str">
        <f t="shared" si="2621"/>
        <v>1</v>
      </c>
      <c r="F13374" t="str">
        <f t="shared" si="2624"/>
        <v>COM</v>
      </c>
      <c r="G13374" t="str">
        <f>"JUNIOR DOS SANTOS MACHADO (240)"</f>
        <v>JUNIOR DOS SANTOS MACHADO (240)</v>
      </c>
      <c r="H13374" t="s">
        <v>3641</v>
      </c>
      <c r="I13374" t="str">
        <f t="shared" si="2629"/>
        <v>27/11/2025</v>
      </c>
      <c r="J13374" t="str">
        <f t="shared" si="2630"/>
        <v>25/11/2025</v>
      </c>
      <c r="K13374">
        <v>45988</v>
      </c>
      <c r="N13374">
        <v>109</v>
      </c>
      <c r="O13374" t="s">
        <v>24</v>
      </c>
      <c r="Q13374">
        <v>280</v>
      </c>
      <c r="R13374" t="str">
        <f>"FARMÁCIA INDIANA LJ 62 (10028)"</f>
        <v>FARMÁCIA INDIANA LJ 62 (10028)</v>
      </c>
      <c r="S13374" t="s">
        <v>77</v>
      </c>
      <c r="T13374">
        <v>22770</v>
      </c>
      <c r="U13374">
        <v>26221</v>
      </c>
      <c r="V13374" t="s">
        <v>77</v>
      </c>
    </row>
    <row r="13375" spans="1:22">
      <c r="A13375" t="str">
        <f t="shared" si="2626"/>
        <v>27/11/2025</v>
      </c>
      <c r="B13375" t="str">
        <f t="shared" si="2627"/>
        <v>SAÍDA</v>
      </c>
      <c r="C13375" t="str">
        <f t="shared" si="2628"/>
        <v>PIX</v>
      </c>
      <c r="D13375" t="str">
        <f>"26238"</f>
        <v>26238</v>
      </c>
      <c r="E13375" t="str">
        <f t="shared" si="2621"/>
        <v>1</v>
      </c>
      <c r="F13375" t="str">
        <f t="shared" si="2624"/>
        <v>COM</v>
      </c>
      <c r="G13375" t="str">
        <f>"MARCOS RODRIGUES PENA (64)"</f>
        <v>MARCOS RODRIGUES PENA (64)</v>
      </c>
      <c r="H13375" t="str">
        <f>"Serv.Prest. 17/11/2025 a 23/11/2025 - PIX: CELULAR - CHAVE: (33) 99194-2339"</f>
        <v>Serv.Prest. 17/11/2025 a 23/11/2025 - PIX: CELULAR - CHAVE: (33) 99194-2339</v>
      </c>
      <c r="I13375" t="str">
        <f t="shared" si="2629"/>
        <v>27/11/2025</v>
      </c>
      <c r="J13375" t="str">
        <f t="shared" si="2630"/>
        <v>25/11/2025</v>
      </c>
      <c r="K13375" t="str">
        <f>("27/11/2025")</f>
        <v>27/11/2025</v>
      </c>
      <c r="L13375">
        <v>280</v>
      </c>
      <c r="M13375">
        <v>280</v>
      </c>
      <c r="N13375">
        <v>109</v>
      </c>
      <c r="O13375" t="str">
        <f>"PAGAMENTO DE ENTREGADORES"</f>
        <v>PAGAMENTO DE ENTREGADORES</v>
      </c>
      <c r="P13375">
        <v>280</v>
      </c>
      <c r="S13375" t="str">
        <f>"BANCO C6 (149)"</f>
        <v>BANCO C6 (149)</v>
      </c>
      <c r="T13375">
        <v>22771</v>
      </c>
      <c r="U13375">
        <v>26238</v>
      </c>
      <c r="V13375" t="s">
        <v>77</v>
      </c>
    </row>
    <row r="13376" spans="1:22">
      <c r="A13376" t="str">
        <f t="shared" si="2626"/>
        <v>27/11/2025</v>
      </c>
      <c r="B13376" t="str">
        <f t="shared" si="2627"/>
        <v>SAÍDA</v>
      </c>
      <c r="C13376" t="str">
        <f t="shared" si="2628"/>
        <v>PIX</v>
      </c>
      <c r="D13376" t="str">
        <f>"26238"</f>
        <v>26238</v>
      </c>
      <c r="E13376" t="str">
        <f t="shared" si="2621"/>
        <v>1</v>
      </c>
      <c r="F13376" t="str">
        <f t="shared" si="2624"/>
        <v>COM</v>
      </c>
      <c r="G13376" t="str">
        <f>"MARCOS RODRIGUES PENA (64)"</f>
        <v>MARCOS RODRIGUES PENA (64)</v>
      </c>
      <c r="H13376" t="s">
        <v>3642</v>
      </c>
      <c r="I13376" t="str">
        <f t="shared" si="2629"/>
        <v>27/11/2025</v>
      </c>
      <c r="J13376" t="str">
        <f t="shared" si="2630"/>
        <v>25/11/2025</v>
      </c>
      <c r="K13376">
        <v>45988</v>
      </c>
      <c r="N13376">
        <v>109</v>
      </c>
      <c r="O13376" t="s">
        <v>24</v>
      </c>
      <c r="Q13376">
        <v>227.36</v>
      </c>
      <c r="R13376" t="str">
        <f>"FARMÁCIA INDIANA LJ 62 (10028)"</f>
        <v>FARMÁCIA INDIANA LJ 62 (10028)</v>
      </c>
      <c r="S13376" t="s">
        <v>77</v>
      </c>
      <c r="T13376">
        <v>22771</v>
      </c>
      <c r="U13376">
        <v>26238</v>
      </c>
      <c r="V13376" t="s">
        <v>77</v>
      </c>
    </row>
    <row r="13377" spans="1:22">
      <c r="A13377" t="str">
        <f t="shared" si="2626"/>
        <v>27/11/2025</v>
      </c>
      <c r="B13377" t="str">
        <f t="shared" si="2627"/>
        <v>SAÍDA</v>
      </c>
      <c r="C13377" t="str">
        <f t="shared" si="2628"/>
        <v>PIX</v>
      </c>
      <c r="D13377" t="str">
        <f>"26238"</f>
        <v>26238</v>
      </c>
      <c r="E13377" t="str">
        <f t="shared" si="2621"/>
        <v>1</v>
      </c>
      <c r="F13377" t="str">
        <f t="shared" si="2624"/>
        <v>COM</v>
      </c>
      <c r="G13377" t="str">
        <f>"MARCOS RODRIGUES PENA (64)"</f>
        <v>MARCOS RODRIGUES PENA (64)</v>
      </c>
      <c r="H13377" t="s">
        <v>3642</v>
      </c>
      <c r="I13377" t="str">
        <f t="shared" si="2629"/>
        <v>27/11/2025</v>
      </c>
      <c r="J13377" t="str">
        <f t="shared" si="2630"/>
        <v>25/11/2025</v>
      </c>
      <c r="K13377">
        <v>45988</v>
      </c>
      <c r="N13377">
        <v>109</v>
      </c>
      <c r="O13377" t="s">
        <v>24</v>
      </c>
      <c r="Q13377">
        <v>52.64</v>
      </c>
      <c r="R13377" t="str">
        <f>"FARMÁCIA INDIANA LJ 64 (10029)"</f>
        <v>FARMÁCIA INDIANA LJ 64 (10029)</v>
      </c>
      <c r="S13377" t="s">
        <v>77</v>
      </c>
      <c r="T13377">
        <v>22771</v>
      </c>
      <c r="U13377">
        <v>26238</v>
      </c>
      <c r="V13377" t="s">
        <v>77</v>
      </c>
    </row>
    <row r="13378" spans="1:22">
      <c r="A13378" t="str">
        <f t="shared" si="2626"/>
        <v>27/11/2025</v>
      </c>
      <c r="B13378" t="str">
        <f t="shared" si="2627"/>
        <v>SAÍDA</v>
      </c>
      <c r="C13378" t="str">
        <f t="shared" si="2628"/>
        <v>PIX</v>
      </c>
      <c r="D13378" t="str">
        <f>"26261"</f>
        <v>26261</v>
      </c>
      <c r="E13378" t="str">
        <f t="shared" si="2621"/>
        <v>1</v>
      </c>
      <c r="F13378" t="str">
        <f t="shared" si="2624"/>
        <v>COM</v>
      </c>
      <c r="G13378" t="str">
        <f>"THALES VIANA DOS SANTOS (63)"</f>
        <v>THALES VIANA DOS SANTOS (63)</v>
      </c>
      <c r="H13378" t="str">
        <f>"Serv.Prest. 17/11/2025 a 23/11/2025 - PIX: CELULAR - CHAVE: (33) 99880-7941"</f>
        <v>Serv.Prest. 17/11/2025 a 23/11/2025 - PIX: CELULAR - CHAVE: (33) 99880-7941</v>
      </c>
      <c r="I13378" t="str">
        <f t="shared" si="2629"/>
        <v>27/11/2025</v>
      </c>
      <c r="J13378" t="str">
        <f t="shared" si="2630"/>
        <v>25/11/2025</v>
      </c>
      <c r="K13378" t="str">
        <f>("27/11/2025")</f>
        <v>27/11/2025</v>
      </c>
      <c r="L13378">
        <v>1008</v>
      </c>
      <c r="M13378">
        <v>1008</v>
      </c>
      <c r="N13378">
        <v>109</v>
      </c>
      <c r="O13378" t="str">
        <f>"PAGAMENTO DE ENTREGADORES"</f>
        <v>PAGAMENTO DE ENTREGADORES</v>
      </c>
      <c r="P13378">
        <v>1008</v>
      </c>
      <c r="S13378" t="str">
        <f>"BANCO C6 (149)"</f>
        <v>BANCO C6 (149)</v>
      </c>
      <c r="T13378">
        <v>22772</v>
      </c>
      <c r="U13378">
        <v>26261</v>
      </c>
      <c r="V13378" t="s">
        <v>77</v>
      </c>
    </row>
    <row r="13379" spans="1:22">
      <c r="A13379" t="str">
        <f t="shared" si="2626"/>
        <v>27/11/2025</v>
      </c>
      <c r="B13379" t="str">
        <f t="shared" si="2627"/>
        <v>SAÍDA</v>
      </c>
      <c r="C13379" t="str">
        <f t="shared" si="2628"/>
        <v>PIX</v>
      </c>
      <c r="D13379" t="str">
        <f>"26261"</f>
        <v>26261</v>
      </c>
      <c r="E13379" t="str">
        <f t="shared" si="2621"/>
        <v>1</v>
      </c>
      <c r="F13379" t="str">
        <f t="shared" si="2624"/>
        <v>COM</v>
      </c>
      <c r="G13379" t="str">
        <f>"THALES VIANA DOS SANTOS (63)"</f>
        <v>THALES VIANA DOS SANTOS (63)</v>
      </c>
      <c r="H13379" t="s">
        <v>3643</v>
      </c>
      <c r="I13379" t="str">
        <f t="shared" si="2629"/>
        <v>27/11/2025</v>
      </c>
      <c r="J13379" t="str">
        <f t="shared" si="2630"/>
        <v>25/11/2025</v>
      </c>
      <c r="K13379">
        <v>45988</v>
      </c>
      <c r="N13379">
        <v>109</v>
      </c>
      <c r="O13379" t="s">
        <v>24</v>
      </c>
      <c r="Q13379">
        <v>1008</v>
      </c>
      <c r="R13379" t="str">
        <f>"FARMÁCIA INDIANA LJ 07 (10007)"</f>
        <v>FARMÁCIA INDIANA LJ 07 (10007)</v>
      </c>
      <c r="S13379" t="s">
        <v>77</v>
      </c>
      <c r="T13379">
        <v>22772</v>
      </c>
      <c r="U13379">
        <v>26261</v>
      </c>
      <c r="V13379" t="s">
        <v>77</v>
      </c>
    </row>
    <row r="13380" spans="1:22">
      <c r="A13380" t="str">
        <f t="shared" si="2626"/>
        <v>27/11/2025</v>
      </c>
      <c r="B13380" t="str">
        <f t="shared" si="2627"/>
        <v>SAÍDA</v>
      </c>
      <c r="C13380" t="str">
        <f t="shared" si="2628"/>
        <v>PIX</v>
      </c>
      <c r="D13380" t="str">
        <f>"26269"</f>
        <v>26269</v>
      </c>
      <c r="E13380" t="str">
        <f t="shared" ref="E13380:E13405" si="2631">"1"</f>
        <v>1</v>
      </c>
      <c r="F13380" t="str">
        <f t="shared" si="2624"/>
        <v>COM</v>
      </c>
      <c r="G13380" t="str">
        <f>"WEIGNE SENA CARDOSO (53)"</f>
        <v>WEIGNE SENA CARDOSO (53)</v>
      </c>
      <c r="H13380" t="str">
        <f>"Serv.Prest. 17/11/2025 a 23/11/2025 - PIX: CPF - CHAVE: 097.245.586-81"</f>
        <v>Serv.Prest. 17/11/2025 a 23/11/2025 - PIX: CPF - CHAVE: 097.245.586-81</v>
      </c>
      <c r="I13380" t="str">
        <f t="shared" si="2629"/>
        <v>27/11/2025</v>
      </c>
      <c r="J13380" t="str">
        <f t="shared" si="2630"/>
        <v>25/11/2025</v>
      </c>
      <c r="K13380" t="str">
        <f>("27/11/2025")</f>
        <v>27/11/2025</v>
      </c>
      <c r="L13380">
        <v>500</v>
      </c>
      <c r="M13380">
        <v>500</v>
      </c>
      <c r="N13380">
        <v>109</v>
      </c>
      <c r="O13380" t="str">
        <f>"PAGAMENTO DE ENTREGADORES"</f>
        <v>PAGAMENTO DE ENTREGADORES</v>
      </c>
      <c r="P13380">
        <v>500</v>
      </c>
      <c r="S13380" t="str">
        <f>"BANCO C6 (149)"</f>
        <v>BANCO C6 (149)</v>
      </c>
      <c r="T13380">
        <v>22773</v>
      </c>
      <c r="U13380">
        <v>26269</v>
      </c>
      <c r="V13380" t="s">
        <v>77</v>
      </c>
    </row>
    <row r="13381" spans="1:22">
      <c r="A13381" t="str">
        <f t="shared" si="2626"/>
        <v>27/11/2025</v>
      </c>
      <c r="B13381" t="str">
        <f t="shared" si="2627"/>
        <v>SAÍDA</v>
      </c>
      <c r="C13381" t="str">
        <f t="shared" si="2628"/>
        <v>PIX</v>
      </c>
      <c r="D13381" t="str">
        <f>"26269"</f>
        <v>26269</v>
      </c>
      <c r="E13381" t="str">
        <f t="shared" si="2631"/>
        <v>1</v>
      </c>
      <c r="F13381" t="str">
        <f t="shared" si="2624"/>
        <v>COM</v>
      </c>
      <c r="G13381" t="str">
        <f>"WEIGNE SENA CARDOSO (53)"</f>
        <v>WEIGNE SENA CARDOSO (53)</v>
      </c>
      <c r="H13381" t="s">
        <v>3391</v>
      </c>
      <c r="I13381" t="str">
        <f t="shared" si="2629"/>
        <v>27/11/2025</v>
      </c>
      <c r="J13381" t="str">
        <f t="shared" si="2630"/>
        <v>25/11/2025</v>
      </c>
      <c r="K13381">
        <v>45988</v>
      </c>
      <c r="N13381">
        <v>109</v>
      </c>
      <c r="O13381" t="s">
        <v>24</v>
      </c>
      <c r="Q13381">
        <v>500</v>
      </c>
      <c r="R13381" t="str">
        <f>"FARMÁCIA INDIANA LJ 07 (10007)"</f>
        <v>FARMÁCIA INDIANA LJ 07 (10007)</v>
      </c>
      <c r="S13381" t="s">
        <v>77</v>
      </c>
      <c r="T13381">
        <v>22773</v>
      </c>
      <c r="U13381">
        <v>26269</v>
      </c>
      <c r="V13381" t="s">
        <v>77</v>
      </c>
    </row>
    <row r="13382" spans="1:22">
      <c r="A13382" t="str">
        <f t="shared" si="2626"/>
        <v>27/11/2025</v>
      </c>
      <c r="B13382" t="str">
        <f t="shared" si="2627"/>
        <v>SAÍDA</v>
      </c>
      <c r="C13382" t="str">
        <f t="shared" si="2628"/>
        <v>PIX</v>
      </c>
      <c r="D13382" t="str">
        <f>"26280"</f>
        <v>26280</v>
      </c>
      <c r="E13382" t="str">
        <f t="shared" si="2631"/>
        <v>1</v>
      </c>
      <c r="F13382" t="str">
        <f t="shared" si="2624"/>
        <v>COM</v>
      </c>
      <c r="G13382" t="str">
        <f>"DANILO DE JESUS SANTOS (490)"</f>
        <v>DANILO DE JESUS SANTOS (490)</v>
      </c>
      <c r="H13382" t="str">
        <f>"Serv.Prest. 17/11/2025 a 23/11/2025 - PIX: CELULAR - CHAVE: (73) 98191-0061"</f>
        <v>Serv.Prest. 17/11/2025 a 23/11/2025 - PIX: CELULAR - CHAVE: (73) 98191-0061</v>
      </c>
      <c r="I13382" t="str">
        <f t="shared" si="2629"/>
        <v>27/11/2025</v>
      </c>
      <c r="J13382" t="str">
        <f t="shared" si="2630"/>
        <v>25/11/2025</v>
      </c>
      <c r="K13382" t="str">
        <f>("27/11/2025")</f>
        <v>27/11/2025</v>
      </c>
      <c r="L13382">
        <v>702</v>
      </c>
      <c r="M13382">
        <v>702</v>
      </c>
      <c r="N13382">
        <v>109</v>
      </c>
      <c r="O13382" t="str">
        <f>"PAGAMENTO DE ENTREGADORES"</f>
        <v>PAGAMENTO DE ENTREGADORES</v>
      </c>
      <c r="P13382">
        <v>702</v>
      </c>
      <c r="S13382" t="str">
        <f>"BANCO C6 (149)"</f>
        <v>BANCO C6 (149)</v>
      </c>
      <c r="T13382">
        <v>22774</v>
      </c>
      <c r="U13382">
        <v>26280</v>
      </c>
      <c r="V13382" t="s">
        <v>77</v>
      </c>
    </row>
    <row r="13383" spans="1:22">
      <c r="A13383" t="str">
        <f t="shared" si="2626"/>
        <v>27/11/2025</v>
      </c>
      <c r="B13383" t="str">
        <f t="shared" si="2627"/>
        <v>SAÍDA</v>
      </c>
      <c r="C13383" t="str">
        <f t="shared" si="2628"/>
        <v>PIX</v>
      </c>
      <c r="D13383" t="str">
        <f>"26280"</f>
        <v>26280</v>
      </c>
      <c r="E13383" t="str">
        <f t="shared" si="2631"/>
        <v>1</v>
      </c>
      <c r="F13383" t="str">
        <f t="shared" si="2624"/>
        <v>COM</v>
      </c>
      <c r="G13383" t="str">
        <f>"DANILO DE JESUS SANTOS (490)"</f>
        <v>DANILO DE JESUS SANTOS (490)</v>
      </c>
      <c r="H13383" t="s">
        <v>3644</v>
      </c>
      <c r="I13383" t="str">
        <f t="shared" si="2629"/>
        <v>27/11/2025</v>
      </c>
      <c r="J13383" t="str">
        <f t="shared" si="2630"/>
        <v>25/11/2025</v>
      </c>
      <c r="K13383">
        <v>45988</v>
      </c>
      <c r="N13383">
        <v>109</v>
      </c>
      <c r="O13383" t="s">
        <v>24</v>
      </c>
      <c r="Q13383">
        <v>702</v>
      </c>
      <c r="R13383" t="str">
        <f>"FARMÁCIA INDIANA LJ 145 (10068)"</f>
        <v>FARMÁCIA INDIANA LJ 145 (10068)</v>
      </c>
      <c r="S13383" t="s">
        <v>77</v>
      </c>
      <c r="T13383">
        <v>22774</v>
      </c>
      <c r="U13383">
        <v>26280</v>
      </c>
      <c r="V13383" t="s">
        <v>77</v>
      </c>
    </row>
    <row r="13384" spans="1:22">
      <c r="A13384" t="str">
        <f t="shared" si="2626"/>
        <v>27/11/2025</v>
      </c>
      <c r="B13384" t="str">
        <f t="shared" si="2627"/>
        <v>SAÍDA</v>
      </c>
      <c r="C13384" t="str">
        <f t="shared" si="2628"/>
        <v>PIX</v>
      </c>
      <c r="D13384" t="str">
        <f>"26286"</f>
        <v>26286</v>
      </c>
      <c r="E13384" t="str">
        <f t="shared" si="2631"/>
        <v>1</v>
      </c>
      <c r="F13384" t="str">
        <f t="shared" si="2624"/>
        <v>COM</v>
      </c>
      <c r="G13384" t="str">
        <f>"GILSON OLIVEIRA CAMPINHO JUNIOR (132)"</f>
        <v>GILSON OLIVEIRA CAMPINHO JUNIOR (132)</v>
      </c>
      <c r="H13384" t="str">
        <f>"Serv.Prest. 17/11/2025 a 23/11/2025 - PIX: CELULAR - CHAVE: (73) 988381077"</f>
        <v>Serv.Prest. 17/11/2025 a 23/11/2025 - PIX: CELULAR - CHAVE: (73) 988381077</v>
      </c>
      <c r="I13384" t="str">
        <f t="shared" si="2629"/>
        <v>27/11/2025</v>
      </c>
      <c r="J13384" t="str">
        <f t="shared" si="2630"/>
        <v>25/11/2025</v>
      </c>
      <c r="K13384" t="str">
        <f>("27/11/2025")</f>
        <v>27/11/2025</v>
      </c>
      <c r="L13384">
        <v>514</v>
      </c>
      <c r="M13384">
        <v>514</v>
      </c>
      <c r="N13384">
        <v>109</v>
      </c>
      <c r="O13384" t="str">
        <f>"PAGAMENTO DE ENTREGADORES"</f>
        <v>PAGAMENTO DE ENTREGADORES</v>
      </c>
      <c r="P13384">
        <v>514</v>
      </c>
      <c r="S13384" t="str">
        <f>"BANCO C6 (149)"</f>
        <v>BANCO C6 (149)</v>
      </c>
      <c r="T13384">
        <v>22775</v>
      </c>
      <c r="U13384">
        <v>26286</v>
      </c>
      <c r="V13384" t="s">
        <v>77</v>
      </c>
    </row>
    <row r="13385" spans="1:22">
      <c r="A13385" t="str">
        <f t="shared" si="2626"/>
        <v>27/11/2025</v>
      </c>
      <c r="B13385" t="str">
        <f t="shared" si="2627"/>
        <v>SAÍDA</v>
      </c>
      <c r="C13385" t="str">
        <f t="shared" si="2628"/>
        <v>PIX</v>
      </c>
      <c r="D13385" t="str">
        <f>"26286"</f>
        <v>26286</v>
      </c>
      <c r="E13385" t="str">
        <f t="shared" si="2631"/>
        <v>1</v>
      </c>
      <c r="F13385" t="str">
        <f t="shared" si="2624"/>
        <v>COM</v>
      </c>
      <c r="G13385" t="str">
        <f>"GILSON OLIVEIRA CAMPINHO JUNIOR (132)"</f>
        <v>GILSON OLIVEIRA CAMPINHO JUNIOR (132)</v>
      </c>
      <c r="H13385" t="s">
        <v>3392</v>
      </c>
      <c r="I13385" t="str">
        <f t="shared" si="2629"/>
        <v>27/11/2025</v>
      </c>
      <c r="J13385" t="str">
        <f t="shared" si="2630"/>
        <v>25/11/2025</v>
      </c>
      <c r="K13385">
        <v>45988</v>
      </c>
      <c r="N13385">
        <v>109</v>
      </c>
      <c r="O13385" t="s">
        <v>24</v>
      </c>
      <c r="Q13385">
        <v>514</v>
      </c>
      <c r="R13385" t="str">
        <f>"FARMÁCIA INDIANA LJ 91 (10037)"</f>
        <v>FARMÁCIA INDIANA LJ 91 (10037)</v>
      </c>
      <c r="S13385" t="s">
        <v>77</v>
      </c>
      <c r="T13385">
        <v>22775</v>
      </c>
      <c r="U13385">
        <v>26286</v>
      </c>
      <c r="V13385" t="s">
        <v>77</v>
      </c>
    </row>
    <row r="13386" spans="1:22">
      <c r="A13386" t="str">
        <f t="shared" si="2626"/>
        <v>27/11/2025</v>
      </c>
      <c r="B13386" t="str">
        <f t="shared" si="2627"/>
        <v>SAÍDA</v>
      </c>
      <c r="C13386" t="str">
        <f t="shared" si="2628"/>
        <v>PIX</v>
      </c>
      <c r="D13386" t="str">
        <f>"26301"</f>
        <v>26301</v>
      </c>
      <c r="E13386" t="str">
        <f t="shared" si="2631"/>
        <v>1</v>
      </c>
      <c r="F13386" t="str">
        <f t="shared" si="2624"/>
        <v>COM</v>
      </c>
      <c r="G13386" t="str">
        <f>"ROBSON OLIVEIRA DE JESUS (623)"</f>
        <v>ROBSON OLIVEIRA DE JESUS (623)</v>
      </c>
      <c r="H13386" t="str">
        <f>"Serv.Prest. 17/11/2025 a 23/11/2025 - PIX: CELULAR - CHAVE: (73) 98166-3325"</f>
        <v>Serv.Prest. 17/11/2025 a 23/11/2025 - PIX: CELULAR - CHAVE: (73) 98166-3325</v>
      </c>
      <c r="I13386" t="str">
        <f t="shared" si="2629"/>
        <v>27/11/2025</v>
      </c>
      <c r="J13386" t="str">
        <f t="shared" si="2630"/>
        <v>25/11/2025</v>
      </c>
      <c r="K13386" t="str">
        <f>("27/11/2025")</f>
        <v>27/11/2025</v>
      </c>
      <c r="L13386">
        <v>702</v>
      </c>
      <c r="M13386">
        <v>702</v>
      </c>
      <c r="N13386">
        <v>109</v>
      </c>
      <c r="O13386" t="str">
        <f>"PAGAMENTO DE ENTREGADORES"</f>
        <v>PAGAMENTO DE ENTREGADORES</v>
      </c>
      <c r="P13386">
        <v>702</v>
      </c>
      <c r="S13386" t="str">
        <f>"BANCO C6 (149)"</f>
        <v>BANCO C6 (149)</v>
      </c>
      <c r="T13386">
        <v>22776</v>
      </c>
      <c r="U13386">
        <v>26301</v>
      </c>
      <c r="V13386" t="s">
        <v>77</v>
      </c>
    </row>
    <row r="13387" spans="1:22">
      <c r="A13387" t="str">
        <f t="shared" si="2626"/>
        <v>27/11/2025</v>
      </c>
      <c r="B13387" t="str">
        <f t="shared" si="2627"/>
        <v>SAÍDA</v>
      </c>
      <c r="C13387" t="str">
        <f t="shared" si="2628"/>
        <v>PIX</v>
      </c>
      <c r="D13387" t="str">
        <f>"26301"</f>
        <v>26301</v>
      </c>
      <c r="E13387" t="str">
        <f t="shared" si="2631"/>
        <v>1</v>
      </c>
      <c r="F13387" t="str">
        <f t="shared" si="2624"/>
        <v>COM</v>
      </c>
      <c r="G13387" t="str">
        <f>"ROBSON OLIVEIRA DE JESUS (623)"</f>
        <v>ROBSON OLIVEIRA DE JESUS (623)</v>
      </c>
      <c r="H13387" t="s">
        <v>3645</v>
      </c>
      <c r="I13387" t="str">
        <f t="shared" si="2629"/>
        <v>27/11/2025</v>
      </c>
      <c r="J13387" t="str">
        <f t="shared" si="2630"/>
        <v>25/11/2025</v>
      </c>
      <c r="K13387">
        <v>45988</v>
      </c>
      <c r="N13387">
        <v>109</v>
      </c>
      <c r="O13387" t="s">
        <v>24</v>
      </c>
      <c r="Q13387">
        <v>702</v>
      </c>
      <c r="R13387" t="str">
        <f>"FARMÁCIA INDIANA LJ 145 (10068)"</f>
        <v>FARMÁCIA INDIANA LJ 145 (10068)</v>
      </c>
      <c r="S13387" t="s">
        <v>77</v>
      </c>
      <c r="T13387">
        <v>22776</v>
      </c>
      <c r="U13387">
        <v>26301</v>
      </c>
      <c r="V13387" t="s">
        <v>77</v>
      </c>
    </row>
    <row r="13388" spans="1:22">
      <c r="A13388" t="str">
        <f t="shared" si="2626"/>
        <v>27/11/2025</v>
      </c>
      <c r="B13388" t="str">
        <f t="shared" si="2627"/>
        <v>SAÍDA</v>
      </c>
      <c r="C13388" t="str">
        <f t="shared" si="2628"/>
        <v>PIX</v>
      </c>
      <c r="D13388" t="str">
        <f>"26302"</f>
        <v>26302</v>
      </c>
      <c r="E13388" t="str">
        <f t="shared" si="2631"/>
        <v>1</v>
      </c>
      <c r="F13388" t="str">
        <f t="shared" si="2624"/>
        <v>COM</v>
      </c>
      <c r="G13388" t="str">
        <f>"TALES DE JESUS OLIVEIRA (318)"</f>
        <v>TALES DE JESUS OLIVEIRA (318)</v>
      </c>
      <c r="H13388" t="str">
        <f>"Serv.Prest. 17/11/2025 a 23/11/2025 - PIX: CPF - CHAVE: 378.223.888-51"</f>
        <v>Serv.Prest. 17/11/2025 a 23/11/2025 - PIX: CPF - CHAVE: 378.223.888-51</v>
      </c>
      <c r="I13388" t="str">
        <f t="shared" si="2629"/>
        <v>27/11/2025</v>
      </c>
      <c r="J13388" t="str">
        <f t="shared" si="2630"/>
        <v>25/11/2025</v>
      </c>
      <c r="K13388" t="str">
        <f>("27/11/2025")</f>
        <v>27/11/2025</v>
      </c>
      <c r="L13388">
        <v>702</v>
      </c>
      <c r="M13388">
        <v>702</v>
      </c>
      <c r="N13388">
        <v>109</v>
      </c>
      <c r="O13388" t="str">
        <f>"PAGAMENTO DE ENTREGADORES"</f>
        <v>PAGAMENTO DE ENTREGADORES</v>
      </c>
      <c r="P13388">
        <v>702</v>
      </c>
      <c r="S13388" t="str">
        <f>"BANCO C6 (149)"</f>
        <v>BANCO C6 (149)</v>
      </c>
      <c r="T13388">
        <v>22777</v>
      </c>
      <c r="U13388">
        <v>26302</v>
      </c>
      <c r="V13388" t="s">
        <v>77</v>
      </c>
    </row>
    <row r="13389" spans="1:22">
      <c r="A13389" t="str">
        <f t="shared" si="2626"/>
        <v>27/11/2025</v>
      </c>
      <c r="B13389" t="str">
        <f t="shared" si="2627"/>
        <v>SAÍDA</v>
      </c>
      <c r="C13389" t="str">
        <f t="shared" si="2628"/>
        <v>PIX</v>
      </c>
      <c r="D13389" t="str">
        <f>"26302"</f>
        <v>26302</v>
      </c>
      <c r="E13389" t="str">
        <f t="shared" si="2631"/>
        <v>1</v>
      </c>
      <c r="F13389" t="str">
        <f t="shared" si="2624"/>
        <v>COM</v>
      </c>
      <c r="G13389" t="str">
        <f>"TALES DE JESUS OLIVEIRA (318)"</f>
        <v>TALES DE JESUS OLIVEIRA (318)</v>
      </c>
      <c r="H13389" t="s">
        <v>3646</v>
      </c>
      <c r="I13389" t="str">
        <f t="shared" si="2629"/>
        <v>27/11/2025</v>
      </c>
      <c r="J13389" t="str">
        <f t="shared" si="2630"/>
        <v>25/11/2025</v>
      </c>
      <c r="K13389">
        <v>45988</v>
      </c>
      <c r="N13389">
        <v>109</v>
      </c>
      <c r="O13389" t="s">
        <v>24</v>
      </c>
      <c r="Q13389">
        <v>702</v>
      </c>
      <c r="R13389" t="str">
        <f>"FARMÁCIA INDIANA LJ 145 (10068)"</f>
        <v>FARMÁCIA INDIANA LJ 145 (10068)</v>
      </c>
      <c r="S13389" t="s">
        <v>77</v>
      </c>
      <c r="T13389">
        <v>22777</v>
      </c>
      <c r="U13389">
        <v>26302</v>
      </c>
      <c r="V13389" t="s">
        <v>77</v>
      </c>
    </row>
    <row r="13390" spans="1:22">
      <c r="A13390" t="str">
        <f t="shared" si="2626"/>
        <v>27/11/2025</v>
      </c>
      <c r="B13390" t="str">
        <f t="shared" si="2627"/>
        <v>SAÍDA</v>
      </c>
      <c r="C13390" t="str">
        <f t="shared" si="2628"/>
        <v>PIX</v>
      </c>
      <c r="D13390" t="str">
        <f>"26199"</f>
        <v>26199</v>
      </c>
      <c r="E13390" t="str">
        <f t="shared" si="2631"/>
        <v>1</v>
      </c>
      <c r="F13390" t="str">
        <f t="shared" si="2624"/>
        <v>COM</v>
      </c>
      <c r="G13390" t="str">
        <f>"FABRICIO RAMON SOARES SANTOS (645)"</f>
        <v>FABRICIO RAMON SOARES SANTOS (645)</v>
      </c>
      <c r="H13390" t="str">
        <f>"Serv.Prest. 17/11/2025 a 23/11/2025 - PIX: CELULAR - CHAVE: (31) 98483-3242"</f>
        <v>Serv.Prest. 17/11/2025 a 23/11/2025 - PIX: CELULAR - CHAVE: (31) 98483-3242</v>
      </c>
      <c r="I13390" t="str">
        <f t="shared" si="2629"/>
        <v>27/11/2025</v>
      </c>
      <c r="J13390" t="str">
        <f t="shared" si="2630"/>
        <v>25/11/2025</v>
      </c>
      <c r="K13390" t="str">
        <f>("27/11/2025")</f>
        <v>27/11/2025</v>
      </c>
      <c r="L13390">
        <v>180</v>
      </c>
      <c r="M13390">
        <v>180</v>
      </c>
      <c r="N13390">
        <v>109</v>
      </c>
      <c r="O13390" t="str">
        <f>"PAGAMENTO DE ENTREGADORES"</f>
        <v>PAGAMENTO DE ENTREGADORES</v>
      </c>
      <c r="P13390">
        <v>180</v>
      </c>
      <c r="S13390" t="str">
        <f>"BANCO C6 (149)"</f>
        <v>BANCO C6 (149)</v>
      </c>
      <c r="T13390">
        <v>22778</v>
      </c>
      <c r="U13390">
        <v>26328</v>
      </c>
      <c r="V13390" t="s">
        <v>77</v>
      </c>
    </row>
    <row r="13391" spans="1:22">
      <c r="A13391" t="str">
        <f t="shared" si="2626"/>
        <v>27/11/2025</v>
      </c>
      <c r="B13391" t="str">
        <f t="shared" si="2627"/>
        <v>SAÍDA</v>
      </c>
      <c r="C13391" t="str">
        <f t="shared" si="2628"/>
        <v>PIX</v>
      </c>
      <c r="D13391" t="str">
        <f>"26199"</f>
        <v>26199</v>
      </c>
      <c r="E13391" t="str">
        <f t="shared" si="2631"/>
        <v>1</v>
      </c>
      <c r="F13391" t="str">
        <f t="shared" si="2624"/>
        <v>COM</v>
      </c>
      <c r="G13391" t="str">
        <f>"FABRICIO RAMON SOARES SANTOS (645)"</f>
        <v>FABRICIO RAMON SOARES SANTOS (645)</v>
      </c>
      <c r="H13391" t="s">
        <v>3647</v>
      </c>
      <c r="I13391" t="str">
        <f t="shared" si="2629"/>
        <v>27/11/2025</v>
      </c>
      <c r="J13391" t="str">
        <f t="shared" si="2630"/>
        <v>25/11/2025</v>
      </c>
      <c r="K13391">
        <v>45988</v>
      </c>
      <c r="N13391">
        <v>109</v>
      </c>
      <c r="O13391" t="s">
        <v>24</v>
      </c>
      <c r="Q13391">
        <v>180</v>
      </c>
      <c r="R13391" t="str">
        <f>"FARMÁCIA INDIANA LJ 101 (10043)"</f>
        <v>FARMÁCIA INDIANA LJ 101 (10043)</v>
      </c>
      <c r="S13391" t="s">
        <v>77</v>
      </c>
      <c r="T13391">
        <v>22778</v>
      </c>
      <c r="U13391">
        <v>26328</v>
      </c>
      <c r="V13391" t="s">
        <v>77</v>
      </c>
    </row>
    <row r="13392" spans="1:22">
      <c r="A13392" t="str">
        <f t="shared" si="2626"/>
        <v>27/11/2025</v>
      </c>
      <c r="B13392" t="str">
        <f t="shared" si="2627"/>
        <v>SAÍDA</v>
      </c>
      <c r="C13392" t="str">
        <f t="shared" si="2628"/>
        <v>PIX</v>
      </c>
      <c r="D13392" t="str">
        <f>"26341"</f>
        <v>26341</v>
      </c>
      <c r="E13392" t="str">
        <f t="shared" si="2631"/>
        <v>1</v>
      </c>
      <c r="F13392" t="str">
        <f t="shared" si="2624"/>
        <v>COM</v>
      </c>
      <c r="G13392" t="str">
        <f>"ALBERTO FARIAS DOS SANTOS JUNIOR (800)"</f>
        <v>ALBERTO FARIAS DOS SANTOS JUNIOR (800)</v>
      </c>
      <c r="H13392" t="str">
        <f>"Serv.Prest. 17/11/2025 a 23/11/2025 - PIX: CELULAR - CHAVE: (71) 99696-7530"</f>
        <v>Serv.Prest. 17/11/2025 a 23/11/2025 - PIX: CELULAR - CHAVE: (71) 99696-7530</v>
      </c>
      <c r="I13392" t="str">
        <f t="shared" si="2629"/>
        <v>27/11/2025</v>
      </c>
      <c r="J13392" t="str">
        <f t="shared" si="2630"/>
        <v>25/11/2025</v>
      </c>
      <c r="K13392" t="str">
        <f>("27/11/2025")</f>
        <v>27/11/2025</v>
      </c>
      <c r="L13392">
        <v>810</v>
      </c>
      <c r="M13392">
        <v>810</v>
      </c>
      <c r="N13392">
        <v>109</v>
      </c>
      <c r="O13392" t="str">
        <f>"PAGAMENTO DE ENTREGADORES"</f>
        <v>PAGAMENTO DE ENTREGADORES</v>
      </c>
      <c r="P13392">
        <v>810</v>
      </c>
      <c r="S13392" t="str">
        <f>"BANCO C6 (149)"</f>
        <v>BANCO C6 (149)</v>
      </c>
      <c r="T13392">
        <v>22779</v>
      </c>
      <c r="U13392">
        <v>26341</v>
      </c>
      <c r="V13392" t="s">
        <v>77</v>
      </c>
    </row>
    <row r="13393" spans="1:22">
      <c r="A13393" t="str">
        <f t="shared" si="2626"/>
        <v>27/11/2025</v>
      </c>
      <c r="B13393" t="str">
        <f t="shared" si="2627"/>
        <v>SAÍDA</v>
      </c>
      <c r="C13393" t="str">
        <f t="shared" si="2628"/>
        <v>PIX</v>
      </c>
      <c r="D13393" t="str">
        <f>"26341"</f>
        <v>26341</v>
      </c>
      <c r="E13393" t="str">
        <f t="shared" si="2631"/>
        <v>1</v>
      </c>
      <c r="F13393" t="str">
        <f t="shared" si="2624"/>
        <v>COM</v>
      </c>
      <c r="G13393" t="str">
        <f>"ALBERTO FARIAS DOS SANTOS JUNIOR (800)"</f>
        <v>ALBERTO FARIAS DOS SANTOS JUNIOR (800)</v>
      </c>
      <c r="H13393" t="s">
        <v>3648</v>
      </c>
      <c r="I13393" t="str">
        <f t="shared" si="2629"/>
        <v>27/11/2025</v>
      </c>
      <c r="J13393" t="str">
        <f t="shared" si="2630"/>
        <v>25/11/2025</v>
      </c>
      <c r="K13393">
        <v>45988</v>
      </c>
      <c r="N13393">
        <v>109</v>
      </c>
      <c r="O13393" t="s">
        <v>24</v>
      </c>
      <c r="Q13393">
        <v>810</v>
      </c>
      <c r="R13393" t="str">
        <f>"DELTA LOJA 2 (10123)"</f>
        <v>DELTA LOJA 2 (10123)</v>
      </c>
      <c r="S13393" t="s">
        <v>77</v>
      </c>
      <c r="T13393">
        <v>22779</v>
      </c>
      <c r="U13393">
        <v>26341</v>
      </c>
      <c r="V13393" t="s">
        <v>77</v>
      </c>
    </row>
    <row r="13394" spans="1:22">
      <c r="A13394" t="str">
        <f t="shared" si="2626"/>
        <v>27/11/2025</v>
      </c>
      <c r="B13394" t="str">
        <f t="shared" si="2627"/>
        <v>SAÍDA</v>
      </c>
      <c r="C13394" t="str">
        <f t="shared" si="2628"/>
        <v>PIX</v>
      </c>
      <c r="D13394" t="str">
        <f>"26342"</f>
        <v>26342</v>
      </c>
      <c r="E13394" t="str">
        <f t="shared" si="2631"/>
        <v>1</v>
      </c>
      <c r="F13394" t="str">
        <f t="shared" si="2624"/>
        <v>COM</v>
      </c>
      <c r="G13394" t="str">
        <f>"EDNUBIA RAMOS ALVES OLIVEIRA (899)"</f>
        <v>EDNUBIA RAMOS ALVES OLIVEIRA (899)</v>
      </c>
      <c r="H13394" t="str">
        <f>"Serv.Prest. 17/11/2025 a 23/11/2025 - PIX: CELULAR - CHAVE: (71) 99214-9256"</f>
        <v>Serv.Prest. 17/11/2025 a 23/11/2025 - PIX: CELULAR - CHAVE: (71) 99214-9256</v>
      </c>
      <c r="I13394" t="str">
        <f t="shared" si="2629"/>
        <v>27/11/2025</v>
      </c>
      <c r="J13394" t="str">
        <f t="shared" si="2630"/>
        <v>25/11/2025</v>
      </c>
      <c r="K13394" t="str">
        <f>("27/11/2025")</f>
        <v>27/11/2025</v>
      </c>
      <c r="L13394">
        <v>830</v>
      </c>
      <c r="M13394">
        <v>830</v>
      </c>
      <c r="N13394">
        <v>109</v>
      </c>
      <c r="O13394" t="str">
        <f>"PAGAMENTO DE ENTREGADORES"</f>
        <v>PAGAMENTO DE ENTREGADORES</v>
      </c>
      <c r="P13394">
        <v>830</v>
      </c>
      <c r="S13394" t="str">
        <f>"BANCO C6 (149)"</f>
        <v>BANCO C6 (149)</v>
      </c>
      <c r="T13394">
        <v>22780</v>
      </c>
      <c r="U13394">
        <v>26342</v>
      </c>
      <c r="V13394" t="s">
        <v>77</v>
      </c>
    </row>
    <row r="13395" spans="1:22">
      <c r="A13395" t="str">
        <f t="shared" si="2626"/>
        <v>27/11/2025</v>
      </c>
      <c r="B13395" t="str">
        <f t="shared" si="2627"/>
        <v>SAÍDA</v>
      </c>
      <c r="C13395" t="str">
        <f t="shared" si="2628"/>
        <v>PIX</v>
      </c>
      <c r="D13395" t="str">
        <f>"26342"</f>
        <v>26342</v>
      </c>
      <c r="E13395" t="str">
        <f t="shared" si="2631"/>
        <v>1</v>
      </c>
      <c r="F13395" t="str">
        <f t="shared" ref="F13395:F13458" si="2632">"COM"</f>
        <v>COM</v>
      </c>
      <c r="G13395" t="str">
        <f>"EDNUBIA RAMOS ALVES OLIVEIRA (899)"</f>
        <v>EDNUBIA RAMOS ALVES OLIVEIRA (899)</v>
      </c>
      <c r="H13395" t="s">
        <v>3649</v>
      </c>
      <c r="I13395" t="str">
        <f t="shared" si="2629"/>
        <v>27/11/2025</v>
      </c>
      <c r="J13395" t="str">
        <f t="shared" si="2630"/>
        <v>25/11/2025</v>
      </c>
      <c r="K13395">
        <v>45988</v>
      </c>
      <c r="N13395">
        <v>109</v>
      </c>
      <c r="O13395" t="s">
        <v>24</v>
      </c>
      <c r="Q13395">
        <v>830</v>
      </c>
      <c r="R13395" t="str">
        <f>"DELTA LOJA 2 (10123)"</f>
        <v>DELTA LOJA 2 (10123)</v>
      </c>
      <c r="S13395" t="s">
        <v>77</v>
      </c>
      <c r="T13395">
        <v>22780</v>
      </c>
      <c r="U13395">
        <v>26342</v>
      </c>
      <c r="V13395" t="s">
        <v>77</v>
      </c>
    </row>
    <row r="13396" spans="1:22">
      <c r="A13396" t="str">
        <f t="shared" si="2626"/>
        <v>27/11/2025</v>
      </c>
      <c r="B13396" t="str">
        <f t="shared" si="2627"/>
        <v>SAÍDA</v>
      </c>
      <c r="C13396" t="str">
        <f t="shared" si="2628"/>
        <v>PIX</v>
      </c>
      <c r="D13396" t="str">
        <f>"26343"</f>
        <v>26343</v>
      </c>
      <c r="E13396" t="str">
        <f t="shared" si="2631"/>
        <v>1</v>
      </c>
      <c r="F13396" t="str">
        <f t="shared" si="2632"/>
        <v>COM</v>
      </c>
      <c r="G13396" t="str">
        <f>"EDVAN DA SILVA ALVES (934)"</f>
        <v>EDVAN DA SILVA ALVES (934)</v>
      </c>
      <c r="H13396" t="str">
        <f>"Serv.Prest. 17/11/2025 a 23/11/2025 - PIX: E-MAIL - CHAVE: edvam18.alves@gmail.com"</f>
        <v>Serv.Prest. 17/11/2025 a 23/11/2025 - PIX: E-MAIL - CHAVE: edvam18.alves@gmail.com</v>
      </c>
      <c r="I13396" t="str">
        <f t="shared" si="2629"/>
        <v>27/11/2025</v>
      </c>
      <c r="J13396" t="str">
        <f t="shared" si="2630"/>
        <v>25/11/2025</v>
      </c>
      <c r="K13396" t="str">
        <f>("27/11/2025")</f>
        <v>27/11/2025</v>
      </c>
      <c r="L13396">
        <v>810</v>
      </c>
      <c r="M13396">
        <v>810</v>
      </c>
      <c r="N13396">
        <v>109</v>
      </c>
      <c r="O13396" t="str">
        <f>"PAGAMENTO DE ENTREGADORES"</f>
        <v>PAGAMENTO DE ENTREGADORES</v>
      </c>
      <c r="P13396">
        <v>810</v>
      </c>
      <c r="S13396" t="str">
        <f>"BANCO C6 (149)"</f>
        <v>BANCO C6 (149)</v>
      </c>
      <c r="T13396">
        <v>22781</v>
      </c>
      <c r="U13396">
        <v>26343</v>
      </c>
      <c r="V13396" t="s">
        <v>77</v>
      </c>
    </row>
    <row r="13397" spans="1:22">
      <c r="A13397" t="str">
        <f t="shared" si="2626"/>
        <v>27/11/2025</v>
      </c>
      <c r="B13397" t="str">
        <f t="shared" si="2627"/>
        <v>SAÍDA</v>
      </c>
      <c r="C13397" t="str">
        <f t="shared" si="2628"/>
        <v>PIX</v>
      </c>
      <c r="D13397" t="str">
        <f>"26343"</f>
        <v>26343</v>
      </c>
      <c r="E13397" t="str">
        <f t="shared" si="2631"/>
        <v>1</v>
      </c>
      <c r="F13397" t="str">
        <f t="shared" si="2632"/>
        <v>COM</v>
      </c>
      <c r="G13397" t="str">
        <f>"EDVAN DA SILVA ALVES (934)"</f>
        <v>EDVAN DA SILVA ALVES (934)</v>
      </c>
      <c r="H13397" t="s">
        <v>3650</v>
      </c>
      <c r="I13397" t="str">
        <f t="shared" si="2629"/>
        <v>27/11/2025</v>
      </c>
      <c r="J13397" t="str">
        <f t="shared" ref="J13397:J13405" si="2633">("25/11/2025")</f>
        <v>25/11/2025</v>
      </c>
      <c r="K13397">
        <v>45988</v>
      </c>
      <c r="N13397">
        <v>109</v>
      </c>
      <c r="O13397" t="s">
        <v>24</v>
      </c>
      <c r="Q13397">
        <v>810</v>
      </c>
      <c r="R13397" t="str">
        <f>"DELTA LOJA 2 (10123)"</f>
        <v>DELTA LOJA 2 (10123)</v>
      </c>
      <c r="S13397" t="s">
        <v>77</v>
      </c>
      <c r="T13397">
        <v>22781</v>
      </c>
      <c r="U13397">
        <v>26343</v>
      </c>
      <c r="V13397" t="s">
        <v>77</v>
      </c>
    </row>
    <row r="13398" spans="1:22">
      <c r="A13398" t="str">
        <f t="shared" si="2626"/>
        <v>27/11/2025</v>
      </c>
      <c r="B13398" t="str">
        <f t="shared" si="2627"/>
        <v>SAÍDA</v>
      </c>
      <c r="C13398" t="str">
        <f t="shared" si="2628"/>
        <v>PIX</v>
      </c>
      <c r="D13398" t="str">
        <f>"26344"</f>
        <v>26344</v>
      </c>
      <c r="E13398" t="str">
        <f t="shared" si="2631"/>
        <v>1</v>
      </c>
      <c r="F13398" t="str">
        <f t="shared" si="2632"/>
        <v>COM</v>
      </c>
      <c r="G13398" t="str">
        <f>"ELIENAI ROSA DO NASCIMENTO (343)"</f>
        <v>ELIENAI ROSA DO NASCIMENTO (343)</v>
      </c>
      <c r="H13398" t="str">
        <f>"Serv.Prest. 17/11/2025 a 23/11/2025 - PIX: CPF - CHAVE: 048.672.645-20"</f>
        <v>Serv.Prest. 17/11/2025 a 23/11/2025 - PIX: CPF - CHAVE: 048.672.645-20</v>
      </c>
      <c r="I13398" t="str">
        <f t="shared" si="2629"/>
        <v>27/11/2025</v>
      </c>
      <c r="J13398" t="str">
        <f t="shared" si="2633"/>
        <v>25/11/2025</v>
      </c>
      <c r="K13398" t="str">
        <f>("27/11/2025")</f>
        <v>27/11/2025</v>
      </c>
      <c r="L13398">
        <v>790</v>
      </c>
      <c r="M13398">
        <v>790</v>
      </c>
      <c r="N13398">
        <v>109</v>
      </c>
      <c r="O13398" t="str">
        <f>"PAGAMENTO DE ENTREGADORES"</f>
        <v>PAGAMENTO DE ENTREGADORES</v>
      </c>
      <c r="P13398">
        <v>790</v>
      </c>
      <c r="S13398" t="str">
        <f>"BANCO C6 (149)"</f>
        <v>BANCO C6 (149)</v>
      </c>
      <c r="T13398">
        <v>22782</v>
      </c>
      <c r="U13398">
        <v>26344</v>
      </c>
      <c r="V13398" t="s">
        <v>77</v>
      </c>
    </row>
    <row r="13399" spans="1:22">
      <c r="A13399" t="str">
        <f t="shared" si="2626"/>
        <v>27/11/2025</v>
      </c>
      <c r="B13399" t="str">
        <f t="shared" si="2627"/>
        <v>SAÍDA</v>
      </c>
      <c r="C13399" t="str">
        <f t="shared" si="2628"/>
        <v>PIX</v>
      </c>
      <c r="D13399" t="str">
        <f>"26344"</f>
        <v>26344</v>
      </c>
      <c r="E13399" t="str">
        <f t="shared" si="2631"/>
        <v>1</v>
      </c>
      <c r="F13399" t="str">
        <f t="shared" si="2632"/>
        <v>COM</v>
      </c>
      <c r="G13399" t="str">
        <f>"ELIENAI ROSA DO NASCIMENTO (343)"</f>
        <v>ELIENAI ROSA DO NASCIMENTO (343)</v>
      </c>
      <c r="H13399" t="s">
        <v>3651</v>
      </c>
      <c r="I13399" t="str">
        <f t="shared" si="2629"/>
        <v>27/11/2025</v>
      </c>
      <c r="J13399" t="str">
        <f t="shared" si="2633"/>
        <v>25/11/2025</v>
      </c>
      <c r="K13399">
        <v>45988</v>
      </c>
      <c r="N13399">
        <v>109</v>
      </c>
      <c r="O13399" t="s">
        <v>24</v>
      </c>
      <c r="Q13399">
        <v>790</v>
      </c>
      <c r="R13399" t="str">
        <f>"DELTA LOJA 2 (10123)"</f>
        <v>DELTA LOJA 2 (10123)</v>
      </c>
      <c r="S13399" t="s">
        <v>77</v>
      </c>
      <c r="T13399">
        <v>22782</v>
      </c>
      <c r="U13399">
        <v>26344</v>
      </c>
      <c r="V13399" t="s">
        <v>77</v>
      </c>
    </row>
    <row r="13400" spans="1:22">
      <c r="A13400" t="str">
        <f t="shared" si="2626"/>
        <v>27/11/2025</v>
      </c>
      <c r="B13400" t="str">
        <f t="shared" si="2627"/>
        <v>SAÍDA</v>
      </c>
      <c r="C13400" t="str">
        <f t="shared" si="2628"/>
        <v>PIX</v>
      </c>
      <c r="D13400" t="str">
        <f>"26345"</f>
        <v>26345</v>
      </c>
      <c r="E13400" t="str">
        <f t="shared" si="2631"/>
        <v>1</v>
      </c>
      <c r="F13400" t="str">
        <f t="shared" si="2632"/>
        <v>COM</v>
      </c>
      <c r="G13400" t="str">
        <f>"JHON CARLOS DOS SANTOS LIMA (995)"</f>
        <v>JHON CARLOS DOS SANTOS LIMA (995)</v>
      </c>
      <c r="H13400" t="str">
        <f>"Serv.Prest. 17/11/2025 a 23/11/2025 - PIX: CELULAR - CHAVE: (71) 98124-7946"</f>
        <v>Serv.Prest. 17/11/2025 a 23/11/2025 - PIX: CELULAR - CHAVE: (71) 98124-7946</v>
      </c>
      <c r="I13400" t="str">
        <f t="shared" si="2629"/>
        <v>27/11/2025</v>
      </c>
      <c r="J13400" t="str">
        <f t="shared" si="2633"/>
        <v>25/11/2025</v>
      </c>
      <c r="K13400" t="str">
        <f>("27/11/2025")</f>
        <v>27/11/2025</v>
      </c>
      <c r="L13400">
        <v>800</v>
      </c>
      <c r="M13400">
        <v>800</v>
      </c>
      <c r="N13400">
        <v>109</v>
      </c>
      <c r="O13400" t="str">
        <f>"PAGAMENTO DE ENTREGADORES"</f>
        <v>PAGAMENTO DE ENTREGADORES</v>
      </c>
      <c r="P13400">
        <v>800</v>
      </c>
      <c r="S13400" t="str">
        <f>"BANCO C6 (149)"</f>
        <v>BANCO C6 (149)</v>
      </c>
      <c r="T13400">
        <v>22783</v>
      </c>
      <c r="U13400">
        <v>26345</v>
      </c>
      <c r="V13400" t="s">
        <v>77</v>
      </c>
    </row>
    <row r="13401" spans="1:22">
      <c r="A13401" t="str">
        <f t="shared" si="2626"/>
        <v>27/11/2025</v>
      </c>
      <c r="B13401" t="str">
        <f t="shared" si="2627"/>
        <v>SAÍDA</v>
      </c>
      <c r="C13401" t="str">
        <f t="shared" si="2628"/>
        <v>PIX</v>
      </c>
      <c r="D13401" t="str">
        <f>"26345"</f>
        <v>26345</v>
      </c>
      <c r="E13401" t="str">
        <f t="shared" si="2631"/>
        <v>1</v>
      </c>
      <c r="F13401" t="str">
        <f t="shared" si="2632"/>
        <v>COM</v>
      </c>
      <c r="G13401" t="str">
        <f>"JHON CARLOS DOS SANTOS LIMA (995)"</f>
        <v>JHON CARLOS DOS SANTOS LIMA (995)</v>
      </c>
      <c r="H13401" t="s">
        <v>3652</v>
      </c>
      <c r="I13401" t="str">
        <f t="shared" si="2629"/>
        <v>27/11/2025</v>
      </c>
      <c r="J13401" t="str">
        <f t="shared" si="2633"/>
        <v>25/11/2025</v>
      </c>
      <c r="K13401">
        <v>45988</v>
      </c>
      <c r="N13401">
        <v>109</v>
      </c>
      <c r="O13401" t="s">
        <v>24</v>
      </c>
      <c r="Q13401">
        <v>800</v>
      </c>
      <c r="R13401" t="str">
        <f>"DELTA LOJA 2 (10123)"</f>
        <v>DELTA LOJA 2 (10123)</v>
      </c>
      <c r="S13401" t="s">
        <v>77</v>
      </c>
      <c r="T13401">
        <v>22783</v>
      </c>
      <c r="U13401">
        <v>26345</v>
      </c>
      <c r="V13401" t="s">
        <v>77</v>
      </c>
    </row>
    <row r="13402" spans="1:22">
      <c r="A13402" t="str">
        <f t="shared" si="2626"/>
        <v>27/11/2025</v>
      </c>
      <c r="B13402" t="str">
        <f t="shared" si="2627"/>
        <v>SAÍDA</v>
      </c>
      <c r="C13402" t="str">
        <f t="shared" si="2628"/>
        <v>PIX</v>
      </c>
      <c r="D13402" t="str">
        <f>"26347"</f>
        <v>26347</v>
      </c>
      <c r="E13402" t="str">
        <f t="shared" si="2631"/>
        <v>1</v>
      </c>
      <c r="F13402" t="str">
        <f t="shared" si="2632"/>
        <v>COM</v>
      </c>
      <c r="G13402" t="str">
        <f>"NILTON ADRIANO SILVA DE JESUS (943)"</f>
        <v>NILTON ADRIANO SILVA DE JESUS (943)</v>
      </c>
      <c r="H13402" t="str">
        <f>"Serv.Prest. 17/11/2025 a 23/11/2025 - PIX: CELULAR - CHAVE: (34) 99772-2954"</f>
        <v>Serv.Prest. 17/11/2025 a 23/11/2025 - PIX: CELULAR - CHAVE: (34) 99772-2954</v>
      </c>
      <c r="I13402" t="str">
        <f t="shared" si="2629"/>
        <v>27/11/2025</v>
      </c>
      <c r="J13402" t="str">
        <f t="shared" si="2633"/>
        <v>25/11/2025</v>
      </c>
      <c r="K13402" t="str">
        <f>("27/11/2025")</f>
        <v>27/11/2025</v>
      </c>
      <c r="L13402">
        <v>702</v>
      </c>
      <c r="M13402">
        <v>702</v>
      </c>
      <c r="N13402">
        <v>109</v>
      </c>
      <c r="O13402" t="str">
        <f>"PAGAMENTO DE ENTREGADORES"</f>
        <v>PAGAMENTO DE ENTREGADORES</v>
      </c>
      <c r="P13402">
        <v>702</v>
      </c>
      <c r="S13402" t="str">
        <f>"BANCO C6 (149)"</f>
        <v>BANCO C6 (149)</v>
      </c>
      <c r="T13402">
        <v>22784</v>
      </c>
      <c r="U13402">
        <v>26347</v>
      </c>
      <c r="V13402" t="s">
        <v>77</v>
      </c>
    </row>
    <row r="13403" spans="1:22">
      <c r="A13403" t="str">
        <f t="shared" si="2626"/>
        <v>27/11/2025</v>
      </c>
      <c r="B13403" t="str">
        <f t="shared" si="2627"/>
        <v>SAÍDA</v>
      </c>
      <c r="C13403" t="str">
        <f t="shared" si="2628"/>
        <v>PIX</v>
      </c>
      <c r="D13403" t="str">
        <f>"26347"</f>
        <v>26347</v>
      </c>
      <c r="E13403" t="str">
        <f t="shared" si="2631"/>
        <v>1</v>
      </c>
      <c r="F13403" t="str">
        <f t="shared" si="2632"/>
        <v>COM</v>
      </c>
      <c r="G13403" t="str">
        <f>"NILTON ADRIANO SILVA DE JESUS (943)"</f>
        <v>NILTON ADRIANO SILVA DE JESUS (943)</v>
      </c>
      <c r="H13403" t="s">
        <v>3653</v>
      </c>
      <c r="I13403" t="str">
        <f t="shared" si="2629"/>
        <v>27/11/2025</v>
      </c>
      <c r="J13403" t="str">
        <f t="shared" si="2633"/>
        <v>25/11/2025</v>
      </c>
      <c r="K13403">
        <v>45988</v>
      </c>
      <c r="N13403">
        <v>109</v>
      </c>
      <c r="O13403" t="s">
        <v>24</v>
      </c>
      <c r="Q13403">
        <v>702</v>
      </c>
      <c r="R13403" t="str">
        <f>"DROGA HONDA (10149)"</f>
        <v>DROGA HONDA (10149)</v>
      </c>
      <c r="S13403" t="s">
        <v>77</v>
      </c>
      <c r="T13403">
        <v>22784</v>
      </c>
      <c r="U13403">
        <v>26347</v>
      </c>
      <c r="V13403" t="s">
        <v>77</v>
      </c>
    </row>
    <row r="13404" spans="1:22">
      <c r="A13404" t="str">
        <f t="shared" si="2626"/>
        <v>27/11/2025</v>
      </c>
      <c r="B13404" t="str">
        <f t="shared" si="2627"/>
        <v>SAÍDA</v>
      </c>
      <c r="C13404" t="str">
        <f t="shared" si="2628"/>
        <v>PIX</v>
      </c>
      <c r="D13404" t="str">
        <f>"26349"</f>
        <v>26349</v>
      </c>
      <c r="E13404" t="str">
        <f t="shared" si="2631"/>
        <v>1</v>
      </c>
      <c r="F13404" t="str">
        <f t="shared" si="2632"/>
        <v>COM</v>
      </c>
      <c r="G13404" t="str">
        <f>"ROBERTO RUELA DE OLIVEIRA (1082)"</f>
        <v>ROBERTO RUELA DE OLIVEIRA (1082)</v>
      </c>
      <c r="H13404" t="str">
        <f>"Serv.Prest. 17/11/2025 a 23/11/2025 - PIX: CPF - CHAVE: 568.250.486-00"</f>
        <v>Serv.Prest. 17/11/2025 a 23/11/2025 - PIX: CPF - CHAVE: 568.250.486-00</v>
      </c>
      <c r="I13404" t="str">
        <f t="shared" si="2629"/>
        <v>27/11/2025</v>
      </c>
      <c r="J13404" t="str">
        <f t="shared" si="2633"/>
        <v>25/11/2025</v>
      </c>
      <c r="K13404" t="str">
        <f>("27/11/2025")</f>
        <v>27/11/2025</v>
      </c>
      <c r="L13404">
        <v>810</v>
      </c>
      <c r="M13404">
        <v>810</v>
      </c>
      <c r="N13404">
        <v>109</v>
      </c>
      <c r="O13404" t="str">
        <f>"PAGAMENTO DE ENTREGADORES"</f>
        <v>PAGAMENTO DE ENTREGADORES</v>
      </c>
      <c r="P13404">
        <v>810</v>
      </c>
      <c r="S13404" t="str">
        <f>"BANCO C6 (149)"</f>
        <v>BANCO C6 (149)</v>
      </c>
      <c r="T13404">
        <v>22785</v>
      </c>
      <c r="U13404">
        <v>26349</v>
      </c>
      <c r="V13404" t="s">
        <v>77</v>
      </c>
    </row>
    <row r="13405" spans="1:22">
      <c r="A13405" t="str">
        <f t="shared" si="2626"/>
        <v>27/11/2025</v>
      </c>
      <c r="B13405" t="str">
        <f t="shared" si="2627"/>
        <v>SAÍDA</v>
      </c>
      <c r="C13405" t="str">
        <f t="shared" si="2628"/>
        <v>PIX</v>
      </c>
      <c r="D13405" t="str">
        <f>"26349"</f>
        <v>26349</v>
      </c>
      <c r="E13405" t="str">
        <f t="shared" si="2631"/>
        <v>1</v>
      </c>
      <c r="F13405" t="str">
        <f t="shared" si="2632"/>
        <v>COM</v>
      </c>
      <c r="G13405" t="str">
        <f>"ROBERTO RUELA DE OLIVEIRA (1082)"</f>
        <v>ROBERTO RUELA DE OLIVEIRA (1082)</v>
      </c>
      <c r="H13405" t="s">
        <v>3654</v>
      </c>
      <c r="I13405" t="str">
        <f t="shared" si="2629"/>
        <v>27/11/2025</v>
      </c>
      <c r="J13405" t="str">
        <f t="shared" si="2633"/>
        <v>25/11/2025</v>
      </c>
      <c r="K13405">
        <v>45988</v>
      </c>
      <c r="N13405">
        <v>109</v>
      </c>
      <c r="O13405" t="s">
        <v>24</v>
      </c>
      <c r="Q13405">
        <v>810</v>
      </c>
      <c r="R13405" t="str">
        <f>"DROGARIA NIQUINHO (10257)"</f>
        <v>DROGARIA NIQUINHO (10257)</v>
      </c>
      <c r="S13405" t="s">
        <v>77</v>
      </c>
      <c r="T13405">
        <v>22785</v>
      </c>
      <c r="U13405">
        <v>26349</v>
      </c>
      <c r="V13405" t="s">
        <v>77</v>
      </c>
    </row>
    <row r="13406" spans="1:22">
      <c r="A13406" t="str">
        <f t="shared" si="2626"/>
        <v>27/11/2025</v>
      </c>
      <c r="B13406" t="str">
        <f t="shared" si="2627"/>
        <v>SAÍDA</v>
      </c>
      <c r="C13406" t="str">
        <f t="shared" si="2628"/>
        <v>PIX</v>
      </c>
      <c r="D13406" t="str">
        <f>"2711"</f>
        <v>2711</v>
      </c>
      <c r="E13406" t="str">
        <f>"25"</f>
        <v>25</v>
      </c>
      <c r="F13406" t="str">
        <f t="shared" si="2632"/>
        <v>COM</v>
      </c>
      <c r="G13406" t="str">
        <f>"HICHARD CAUÃ ALVES COSTA (140)"</f>
        <v>HICHARD CAUÃ ALVES COSTA (140)</v>
      </c>
      <c r="H13406" t="str">
        <f>"DEVOLUCAO 25 COTAS COOPERATIVA - PIX: CPF - CHAVE: 147.664.706-21"</f>
        <v>DEVOLUCAO 25 COTAS COOPERATIVA - PIX: CPF - CHAVE: 147.664.706-21</v>
      </c>
      <c r="I13406" t="str">
        <f t="shared" si="2629"/>
        <v>27/11/2025</v>
      </c>
      <c r="J13406" t="str">
        <f>("26/11/2025")</f>
        <v>26/11/2025</v>
      </c>
      <c r="K13406" t="str">
        <f>("27/11/2025")</f>
        <v>27/11/2025</v>
      </c>
      <c r="L13406">
        <v>500</v>
      </c>
      <c r="M13406">
        <v>500</v>
      </c>
      <c r="N13406">
        <v>130</v>
      </c>
      <c r="O13406" t="str">
        <f>"DEVOLUÇÃO COTA COOPERATIVA"</f>
        <v>DEVOLUÇÃO COTA COOPERATIVA</v>
      </c>
      <c r="P13406">
        <v>500</v>
      </c>
      <c r="S13406" t="str">
        <f>"BANCO C6 (149)"</f>
        <v>BANCO C6 (149)</v>
      </c>
      <c r="T13406">
        <v>22786</v>
      </c>
      <c r="U13406">
        <v>26389</v>
      </c>
      <c r="V13406" t="s">
        <v>77</v>
      </c>
    </row>
    <row r="13407" spans="1:22">
      <c r="A13407" t="str">
        <f t="shared" si="2626"/>
        <v>27/11/2025</v>
      </c>
      <c r="B13407" t="str">
        <f t="shared" si="2627"/>
        <v>SAÍDA</v>
      </c>
      <c r="C13407" t="str">
        <f t="shared" si="2628"/>
        <v>PIX</v>
      </c>
      <c r="D13407" t="str">
        <f>"2711"</f>
        <v>2711</v>
      </c>
      <c r="E13407" t="str">
        <f>"25"</f>
        <v>25</v>
      </c>
      <c r="F13407" t="str">
        <f t="shared" si="2632"/>
        <v>COM</v>
      </c>
      <c r="G13407" t="str">
        <f>"HICHARD CAUÃ ALVES COSTA (140)"</f>
        <v>HICHARD CAUÃ ALVES COSTA (140)</v>
      </c>
      <c r="H13407" t="s">
        <v>3655</v>
      </c>
      <c r="I13407" t="str">
        <f t="shared" si="2629"/>
        <v>27/11/2025</v>
      </c>
      <c r="J13407" t="str">
        <f>("26/11/2025")</f>
        <v>26/11/2025</v>
      </c>
      <c r="K13407">
        <v>45988</v>
      </c>
      <c r="N13407">
        <v>130</v>
      </c>
      <c r="O13407" t="s">
        <v>291</v>
      </c>
      <c r="Q13407">
        <v>500</v>
      </c>
      <c r="R13407" t="str">
        <f>"HICHARD CAUÃ ALVES COSTA (140)"</f>
        <v>HICHARD CAUÃ ALVES COSTA (140)</v>
      </c>
      <c r="S13407" t="s">
        <v>77</v>
      </c>
      <c r="T13407">
        <v>22786</v>
      </c>
      <c r="U13407">
        <v>26389</v>
      </c>
      <c r="V13407" t="s">
        <v>77</v>
      </c>
    </row>
    <row r="13408" spans="1:22">
      <c r="A13408" t="str">
        <f t="shared" si="2626"/>
        <v>27/11/2025</v>
      </c>
      <c r="B13408" t="str">
        <f t="shared" si="2627"/>
        <v>SAÍDA</v>
      </c>
      <c r="C13408" t="str">
        <f t="shared" si="2628"/>
        <v>PIX</v>
      </c>
      <c r="D13408" t="str">
        <f>"26303"</f>
        <v>26303</v>
      </c>
      <c r="E13408" t="str">
        <f t="shared" ref="E13408:E13413" si="2634">"1"</f>
        <v>1</v>
      </c>
      <c r="F13408" t="str">
        <f t="shared" si="2632"/>
        <v>COM</v>
      </c>
      <c r="G13408" t="str">
        <f>"TALLES SILVA GUIMARAES (1098)"</f>
        <v>TALLES SILVA GUIMARAES (1098)</v>
      </c>
      <c r="H13408" t="str">
        <f>"Serv.Prest. 17/11/2025 a 23/11/2025 - PIX: CPF - CHAVE: 072.209.985-11"</f>
        <v>Serv.Prest. 17/11/2025 a 23/11/2025 - PIX: CPF - CHAVE: 072.209.985-11</v>
      </c>
      <c r="I13408" t="str">
        <f t="shared" si="2629"/>
        <v>27/11/2025</v>
      </c>
      <c r="J13408" t="str">
        <f>("25/11/2025")</f>
        <v>25/11/2025</v>
      </c>
      <c r="K13408" t="str">
        <f>("27/11/2025")</f>
        <v>27/11/2025</v>
      </c>
      <c r="L13408">
        <v>432</v>
      </c>
      <c r="M13408">
        <v>432</v>
      </c>
      <c r="N13408">
        <v>109</v>
      </c>
      <c r="O13408" t="str">
        <f>"PAGAMENTO DE ENTREGADORES"</f>
        <v>PAGAMENTO DE ENTREGADORES</v>
      </c>
      <c r="P13408">
        <v>432</v>
      </c>
      <c r="S13408" t="str">
        <f>"BANCO CORA (102)"</f>
        <v>BANCO CORA (102)</v>
      </c>
      <c r="T13408">
        <v>22848</v>
      </c>
      <c r="U13408">
        <v>26303</v>
      </c>
      <c r="V13408" t="s">
        <v>22</v>
      </c>
    </row>
    <row r="13409" spans="1:22">
      <c r="A13409" t="str">
        <f t="shared" si="2626"/>
        <v>27/11/2025</v>
      </c>
      <c r="B13409" t="str">
        <f t="shared" si="2627"/>
        <v>SAÍDA</v>
      </c>
      <c r="C13409" t="str">
        <f t="shared" si="2628"/>
        <v>PIX</v>
      </c>
      <c r="D13409" t="str">
        <f>"26303"</f>
        <v>26303</v>
      </c>
      <c r="E13409" t="str">
        <f t="shared" si="2634"/>
        <v>1</v>
      </c>
      <c r="F13409" t="str">
        <f t="shared" si="2632"/>
        <v>COM</v>
      </c>
      <c r="G13409" t="str">
        <f>"TALLES SILVA GUIMARAES (1098)"</f>
        <v>TALLES SILVA GUIMARAES (1098)</v>
      </c>
      <c r="H13409" t="s">
        <v>3656</v>
      </c>
      <c r="I13409" t="str">
        <f t="shared" si="2629"/>
        <v>27/11/2025</v>
      </c>
      <c r="J13409" t="str">
        <f>("25/11/2025")</f>
        <v>25/11/2025</v>
      </c>
      <c r="K13409">
        <v>45988</v>
      </c>
      <c r="N13409">
        <v>109</v>
      </c>
      <c r="O13409" t="s">
        <v>24</v>
      </c>
      <c r="Q13409">
        <v>432</v>
      </c>
      <c r="R13409" t="str">
        <f>"FARMÁCIA INDIANA LJ 213 (10090)"</f>
        <v>FARMÁCIA INDIANA LJ 213 (10090)</v>
      </c>
      <c r="S13409" t="s">
        <v>22</v>
      </c>
      <c r="T13409">
        <v>22848</v>
      </c>
      <c r="U13409">
        <v>26303</v>
      </c>
      <c r="V13409" t="s">
        <v>22</v>
      </c>
    </row>
    <row r="13410" spans="1:22">
      <c r="A13410" t="str">
        <f t="shared" si="2626"/>
        <v>27/11/2025</v>
      </c>
      <c r="B13410" t="str">
        <f t="shared" si="2627"/>
        <v>SAÍDA</v>
      </c>
      <c r="C13410" t="str">
        <f t="shared" si="2628"/>
        <v>PIX</v>
      </c>
      <c r="D13410" t="str">
        <f>"26466"</f>
        <v>26466</v>
      </c>
      <c r="E13410" t="str">
        <f t="shared" si="2634"/>
        <v>1</v>
      </c>
      <c r="F13410" t="str">
        <f t="shared" si="2632"/>
        <v>COM</v>
      </c>
      <c r="G13410" t="str">
        <f>"FABIO SOUZA DE JESUS (637)"</f>
        <v>FABIO SOUZA DE JESUS (637)</v>
      </c>
      <c r="H13410" t="str">
        <f>"Serv.Prest. 17/11/2025 a 23/11/2025 - PIX: CELULAR - CHAVE: (27) 99950-3450"</f>
        <v>Serv.Prest. 17/11/2025 a 23/11/2025 - PIX: CELULAR - CHAVE: (27) 99950-3450</v>
      </c>
      <c r="I13410" t="str">
        <f t="shared" si="2629"/>
        <v>27/11/2025</v>
      </c>
      <c r="J13410" t="str">
        <f>("27/11/2025")</f>
        <v>27/11/2025</v>
      </c>
      <c r="K13410" t="str">
        <f>("27/11/2025")</f>
        <v>27/11/2025</v>
      </c>
      <c r="L13410">
        <v>1595</v>
      </c>
      <c r="M13410">
        <v>1600</v>
      </c>
      <c r="N13410">
        <v>109</v>
      </c>
      <c r="O13410" t="str">
        <f>"PAGAMENTO DE ENTREGADORES"</f>
        <v>PAGAMENTO DE ENTREGADORES</v>
      </c>
      <c r="P13410">
        <v>1600</v>
      </c>
      <c r="S13410" t="str">
        <f>"BANCO CORA (102)"</f>
        <v>BANCO CORA (102)</v>
      </c>
      <c r="T13410">
        <v>22849</v>
      </c>
      <c r="U13410">
        <v>26466</v>
      </c>
      <c r="V13410" t="s">
        <v>22</v>
      </c>
    </row>
    <row r="13411" spans="1:22">
      <c r="A13411" t="str">
        <f t="shared" si="2626"/>
        <v>27/11/2025</v>
      </c>
      <c r="B13411" t="str">
        <f t="shared" si="2627"/>
        <v>SAÍDA</v>
      </c>
      <c r="C13411" t="str">
        <f t="shared" si="2628"/>
        <v>PIX</v>
      </c>
      <c r="D13411" t="str">
        <f>"26466"</f>
        <v>26466</v>
      </c>
      <c r="E13411" t="str">
        <f t="shared" si="2634"/>
        <v>1</v>
      </c>
      <c r="F13411" t="str">
        <f t="shared" si="2632"/>
        <v>COM</v>
      </c>
      <c r="G13411" t="str">
        <f>"FABIO SOUZA DE JESUS (637)"</f>
        <v>FABIO SOUZA DE JESUS (637)</v>
      </c>
      <c r="H13411" t="s">
        <v>3657</v>
      </c>
      <c r="I13411" t="str">
        <f t="shared" si="2629"/>
        <v>27/11/2025</v>
      </c>
      <c r="J13411" t="str">
        <f>("27/11/2025")</f>
        <v>27/11/2025</v>
      </c>
      <c r="K13411">
        <v>45988</v>
      </c>
      <c r="N13411">
        <v>109</v>
      </c>
      <c r="O13411" t="s">
        <v>24</v>
      </c>
      <c r="Q13411">
        <v>1600</v>
      </c>
      <c r="R13411" t="str">
        <f>"FARMACIA PLANALTO (10270)"</f>
        <v>FARMACIA PLANALTO (10270)</v>
      </c>
      <c r="S13411" t="s">
        <v>22</v>
      </c>
      <c r="T13411">
        <v>22849</v>
      </c>
      <c r="U13411">
        <v>26466</v>
      </c>
      <c r="V13411" t="s">
        <v>22</v>
      </c>
    </row>
    <row r="13412" spans="1:22">
      <c r="A13412" t="str">
        <f t="shared" si="2626"/>
        <v>27/11/2025</v>
      </c>
      <c r="B13412" t="str">
        <f t="shared" si="2627"/>
        <v>SAÍDA</v>
      </c>
      <c r="C13412" t="str">
        <f t="shared" si="2628"/>
        <v>PIX</v>
      </c>
      <c r="D13412" t="str">
        <f>"26224"</f>
        <v>26224</v>
      </c>
      <c r="E13412" t="str">
        <f t="shared" si="2634"/>
        <v>1</v>
      </c>
      <c r="F13412" t="str">
        <f t="shared" si="2632"/>
        <v>COM</v>
      </c>
      <c r="G13412" t="str">
        <f>"LAMARK FERREIRA DE AMORIM (625)"</f>
        <v>LAMARK FERREIRA DE AMORIM (625)</v>
      </c>
      <c r="H13412" t="str">
        <f>"Serv.Prest. 17/11/2025 a 23/11/2025 - PIX: CPF - CHAVE: 057.893.536-81"</f>
        <v>Serv.Prest. 17/11/2025 a 23/11/2025 - PIX: CPF - CHAVE: 057.893.536-81</v>
      </c>
      <c r="I13412" t="str">
        <f>("04/12/2025")</f>
        <v>04/12/2025</v>
      </c>
      <c r="J13412" t="str">
        <f>("25/11/2025")</f>
        <v>25/11/2025</v>
      </c>
      <c r="K13412" t="str">
        <f>("27/11/2025")</f>
        <v>27/11/2025</v>
      </c>
      <c r="L13412">
        <v>366</v>
      </c>
      <c r="M13412">
        <v>366</v>
      </c>
      <c r="N13412">
        <v>109</v>
      </c>
      <c r="O13412" t="str">
        <f>"PAGAMENTO DE ENTREGADORES"</f>
        <v>PAGAMENTO DE ENTREGADORES</v>
      </c>
      <c r="P13412">
        <v>366</v>
      </c>
      <c r="S13412" t="str">
        <f>"BANCO CORA (102)"</f>
        <v>BANCO CORA (102)</v>
      </c>
      <c r="T13412">
        <v>22850</v>
      </c>
      <c r="U13412">
        <v>26224</v>
      </c>
      <c r="V13412" t="s">
        <v>22</v>
      </c>
    </row>
    <row r="13413" spans="1:22">
      <c r="A13413" t="str">
        <f t="shared" si="2626"/>
        <v>27/11/2025</v>
      </c>
      <c r="B13413" t="str">
        <f t="shared" si="2627"/>
        <v>SAÍDA</v>
      </c>
      <c r="C13413" t="str">
        <f t="shared" si="2628"/>
        <v>PIX</v>
      </c>
      <c r="D13413" t="str">
        <f>"26224"</f>
        <v>26224</v>
      </c>
      <c r="E13413" t="str">
        <f t="shared" si="2634"/>
        <v>1</v>
      </c>
      <c r="F13413" t="str">
        <f t="shared" si="2632"/>
        <v>COM</v>
      </c>
      <c r="G13413" t="str">
        <f>"LAMARK FERREIRA DE AMORIM (625)"</f>
        <v>LAMARK FERREIRA DE AMORIM (625)</v>
      </c>
      <c r="H13413" t="s">
        <v>3658</v>
      </c>
      <c r="I13413" t="str">
        <f>("04/12/2025")</f>
        <v>04/12/2025</v>
      </c>
      <c r="J13413" t="str">
        <f>("25/11/2025")</f>
        <v>25/11/2025</v>
      </c>
      <c r="K13413">
        <v>45988</v>
      </c>
      <c r="N13413">
        <v>109</v>
      </c>
      <c r="O13413" t="s">
        <v>24</v>
      </c>
      <c r="Q13413">
        <v>366</v>
      </c>
      <c r="R13413" t="str">
        <f>"FARMÁCIA INDIANA LJ 07 (10007)"</f>
        <v>FARMÁCIA INDIANA LJ 07 (10007)</v>
      </c>
      <c r="S13413" t="s">
        <v>22</v>
      </c>
      <c r="T13413">
        <v>22850</v>
      </c>
      <c r="U13413">
        <v>26224</v>
      </c>
      <c r="V13413" t="s">
        <v>22</v>
      </c>
    </row>
    <row r="13414" spans="1:22">
      <c r="A13414" t="str">
        <f t="shared" si="2626"/>
        <v>27/11/2025</v>
      </c>
      <c r="B13414" t="str">
        <f t="shared" si="2627"/>
        <v>SAÍDA</v>
      </c>
      <c r="C13414" t="str">
        <f t="shared" si="2628"/>
        <v>PIX</v>
      </c>
      <c r="D13414" t="str">
        <f>"2711"</f>
        <v>2711</v>
      </c>
      <c r="E13414" t="str">
        <f>"25"</f>
        <v>25</v>
      </c>
      <c r="F13414" t="str">
        <f t="shared" si="2632"/>
        <v>COM</v>
      </c>
      <c r="G13414" t="str">
        <f>"ALEXSANDER MESSIAS TEIXEIRA (382)"</f>
        <v>ALEXSANDER MESSIAS TEIXEIRA (382)</v>
      </c>
      <c r="H13414" t="str">
        <f>"Serv.Prest. 10/11/2025 a 16/11/2025 - PIX: CPF - CHAVE: 108.723.916-80"</f>
        <v>Serv.Prest. 10/11/2025 a 16/11/2025 - PIX: CPF - CHAVE: 108.723.916-80</v>
      </c>
      <c r="I13414" t="str">
        <f t="shared" ref="I13414:I13419" si="2635">("27/11/2025")</f>
        <v>27/11/2025</v>
      </c>
      <c r="J13414" t="str">
        <f>("17/11/2025")</f>
        <v>17/11/2025</v>
      </c>
      <c r="K13414" t="str">
        <f>("27/11/2025")</f>
        <v>27/11/2025</v>
      </c>
      <c r="L13414">
        <v>700</v>
      </c>
      <c r="M13414">
        <v>700</v>
      </c>
      <c r="N13414">
        <v>109</v>
      </c>
      <c r="O13414" t="str">
        <f>"PAGAMENTO DE ENTREGADORES"</f>
        <v>PAGAMENTO DE ENTREGADORES</v>
      </c>
      <c r="P13414">
        <v>700</v>
      </c>
      <c r="S13414" t="str">
        <f>"BANCO CORA (102)"</f>
        <v>BANCO CORA (102)</v>
      </c>
      <c r="T13414">
        <v>22851</v>
      </c>
      <c r="U13414">
        <v>26468</v>
      </c>
      <c r="V13414" t="s">
        <v>22</v>
      </c>
    </row>
    <row r="13415" spans="1:22">
      <c r="A13415" t="str">
        <f t="shared" si="2626"/>
        <v>27/11/2025</v>
      </c>
      <c r="B13415" t="str">
        <f t="shared" si="2627"/>
        <v>SAÍDA</v>
      </c>
      <c r="C13415" t="str">
        <f t="shared" si="2628"/>
        <v>PIX</v>
      </c>
      <c r="D13415" t="str">
        <f>"2711"</f>
        <v>2711</v>
      </c>
      <c r="E13415" t="str">
        <f>"25"</f>
        <v>25</v>
      </c>
      <c r="F13415" t="str">
        <f t="shared" si="2632"/>
        <v>COM</v>
      </c>
      <c r="G13415" t="str">
        <f>"ALEXSANDER MESSIAS TEIXEIRA (382)"</f>
        <v>ALEXSANDER MESSIAS TEIXEIRA (382)</v>
      </c>
      <c r="H13415" t="s">
        <v>3659</v>
      </c>
      <c r="I13415" t="str">
        <f t="shared" si="2635"/>
        <v>27/11/2025</v>
      </c>
      <c r="J13415" t="str">
        <f>("17/11/2025")</f>
        <v>17/11/2025</v>
      </c>
      <c r="K13415">
        <v>45988</v>
      </c>
      <c r="N13415">
        <v>109</v>
      </c>
      <c r="O13415" t="s">
        <v>24</v>
      </c>
      <c r="Q13415">
        <v>700</v>
      </c>
      <c r="R13415" t="str">
        <f>"FARMÁCIA INDIANA LJ 110 (10048)"</f>
        <v>FARMÁCIA INDIANA LJ 110 (10048)</v>
      </c>
      <c r="S13415" t="s">
        <v>22</v>
      </c>
      <c r="T13415">
        <v>22851</v>
      </c>
      <c r="U13415">
        <v>26468</v>
      </c>
      <c r="V13415" t="s">
        <v>22</v>
      </c>
    </row>
    <row r="13416" spans="1:22">
      <c r="A13416" t="str">
        <f t="shared" si="2626"/>
        <v>27/11/2025</v>
      </c>
      <c r="B13416" t="str">
        <f t="shared" si="2627"/>
        <v>SAÍDA</v>
      </c>
      <c r="C13416" t="str">
        <f t="shared" si="2628"/>
        <v>PIX</v>
      </c>
      <c r="D13416" t="str">
        <f>"26823"</f>
        <v>26823</v>
      </c>
      <c r="E13416" t="str">
        <f t="shared" ref="E13416:E13447" si="2636">"1"</f>
        <v>1</v>
      </c>
      <c r="F13416" t="str">
        <f t="shared" si="2632"/>
        <v>COM</v>
      </c>
      <c r="G13416" t="str">
        <f>"FELIPE BRITO DOS SANTOS (1111)"</f>
        <v>FELIPE BRITO DOS SANTOS (1111)</v>
      </c>
      <c r="H13416" t="str">
        <f>"Serv.Prest. 24/11/2025 a 30/11/2025 - PIX: E-MAIL - CHAVE: felipebrito00009@gmail.com"</f>
        <v>Serv.Prest. 24/11/2025 a 30/11/2025 - PIX: E-MAIL - CHAVE: felipebrito00009@gmail.com</v>
      </c>
      <c r="I13416" t="str">
        <f t="shared" si="2635"/>
        <v>27/11/2025</v>
      </c>
      <c r="J13416" t="str">
        <f>("27/11/2025")</f>
        <v>27/11/2025</v>
      </c>
      <c r="K13416" t="str">
        <f>("27/11/2025")</f>
        <v>27/11/2025</v>
      </c>
      <c r="L13416">
        <v>170</v>
      </c>
      <c r="M13416">
        <v>170</v>
      </c>
      <c r="N13416">
        <v>134</v>
      </c>
      <c r="O13416" t="str">
        <f>"DIARIA DE MOTOBOY"</f>
        <v>DIARIA DE MOTOBOY</v>
      </c>
      <c r="P13416">
        <v>170</v>
      </c>
      <c r="S13416" t="str">
        <f>"BANCO CORA (102)"</f>
        <v>BANCO CORA (102)</v>
      </c>
      <c r="T13416">
        <v>22942</v>
      </c>
      <c r="U13416">
        <v>27013</v>
      </c>
      <c r="V13416" t="s">
        <v>22</v>
      </c>
    </row>
    <row r="13417" spans="1:22">
      <c r="A13417" t="str">
        <f t="shared" si="2626"/>
        <v>27/11/2025</v>
      </c>
      <c r="B13417" t="str">
        <f t="shared" si="2627"/>
        <v>SAÍDA</v>
      </c>
      <c r="C13417" t="str">
        <f t="shared" si="2628"/>
        <v>PIX</v>
      </c>
      <c r="D13417" t="str">
        <f>"26823"</f>
        <v>26823</v>
      </c>
      <c r="E13417" t="str">
        <f t="shared" si="2636"/>
        <v>1</v>
      </c>
      <c r="F13417" t="str">
        <f t="shared" si="2632"/>
        <v>COM</v>
      </c>
      <c r="G13417" t="str">
        <f>"FELIPE BRITO DOS SANTOS (1111)"</f>
        <v>FELIPE BRITO DOS SANTOS (1111)</v>
      </c>
      <c r="H13417" t="s">
        <v>3420</v>
      </c>
      <c r="I13417" t="str">
        <f t="shared" si="2635"/>
        <v>27/11/2025</v>
      </c>
      <c r="J13417" t="str">
        <f>("27/11/2025")</f>
        <v>27/11/2025</v>
      </c>
      <c r="K13417">
        <v>45988</v>
      </c>
      <c r="N13417">
        <v>134</v>
      </c>
      <c r="O13417" t="s">
        <v>41</v>
      </c>
      <c r="Q13417">
        <v>170</v>
      </c>
      <c r="R13417" t="str">
        <f>"PENSE FARMA 15 (10195)"</f>
        <v>PENSE FARMA 15 (10195)</v>
      </c>
      <c r="S13417" t="s">
        <v>22</v>
      </c>
      <c r="T13417">
        <v>22942</v>
      </c>
      <c r="U13417">
        <v>27013</v>
      </c>
      <c r="V13417" t="s">
        <v>22</v>
      </c>
    </row>
    <row r="13418" spans="1:22">
      <c r="A13418" t="str">
        <f t="shared" si="2626"/>
        <v>27/11/2025</v>
      </c>
      <c r="B13418" t="str">
        <f t="shared" si="2627"/>
        <v>SAÍDA</v>
      </c>
      <c r="C13418" t="str">
        <f t="shared" si="2628"/>
        <v>PIX</v>
      </c>
      <c r="D13418" t="str">
        <f>"26823"</f>
        <v>26823</v>
      </c>
      <c r="E13418" t="str">
        <f t="shared" si="2636"/>
        <v>1</v>
      </c>
      <c r="F13418" t="str">
        <f t="shared" si="2632"/>
        <v>COM</v>
      </c>
      <c r="G13418" t="str">
        <f>"FELIPE BRITO DOS SANTOS (1111)"</f>
        <v>FELIPE BRITO DOS SANTOS (1111)</v>
      </c>
      <c r="H13418" t="str">
        <f>"Serv.Prest. 24/11/2025 a 30/11/2025 - PIX: E-MAIL - CHAVE: felipebrito00009@gmail.com"</f>
        <v>Serv.Prest. 24/11/2025 a 30/11/2025 - PIX: E-MAIL - CHAVE: felipebrito00009@gmail.com</v>
      </c>
      <c r="I13418" t="str">
        <f t="shared" si="2635"/>
        <v>27/11/2025</v>
      </c>
      <c r="J13418" t="str">
        <f>("27/11/2025")</f>
        <v>27/11/2025</v>
      </c>
      <c r="K13418" t="str">
        <f>("27/11/2025")</f>
        <v>27/11/2025</v>
      </c>
      <c r="L13418">
        <v>200</v>
      </c>
      <c r="M13418">
        <v>200</v>
      </c>
      <c r="N13418">
        <v>134</v>
      </c>
      <c r="O13418" t="str">
        <f>"DIARIA DE MOTOBOY"</f>
        <v>DIARIA DE MOTOBOY</v>
      </c>
      <c r="P13418">
        <v>200</v>
      </c>
      <c r="S13418" t="str">
        <f>"BANCO CORA (102)"</f>
        <v>BANCO CORA (102)</v>
      </c>
      <c r="T13418">
        <v>22943</v>
      </c>
      <c r="U13418">
        <v>27014</v>
      </c>
      <c r="V13418" t="s">
        <v>22</v>
      </c>
    </row>
    <row r="13419" spans="1:22">
      <c r="A13419" t="str">
        <f t="shared" si="2626"/>
        <v>27/11/2025</v>
      </c>
      <c r="B13419" t="str">
        <f t="shared" si="2627"/>
        <v>SAÍDA</v>
      </c>
      <c r="C13419" t="str">
        <f t="shared" si="2628"/>
        <v>PIX</v>
      </c>
      <c r="D13419" t="str">
        <f>"26823"</f>
        <v>26823</v>
      </c>
      <c r="E13419" t="str">
        <f t="shared" si="2636"/>
        <v>1</v>
      </c>
      <c r="F13419" t="str">
        <f t="shared" si="2632"/>
        <v>COM</v>
      </c>
      <c r="G13419" t="str">
        <f>"FELIPE BRITO DOS SANTOS (1111)"</f>
        <v>FELIPE BRITO DOS SANTOS (1111)</v>
      </c>
      <c r="H13419" t="s">
        <v>3420</v>
      </c>
      <c r="I13419" t="str">
        <f t="shared" si="2635"/>
        <v>27/11/2025</v>
      </c>
      <c r="J13419" t="str">
        <f>("27/11/2025")</f>
        <v>27/11/2025</v>
      </c>
      <c r="K13419">
        <v>45988</v>
      </c>
      <c r="N13419">
        <v>134</v>
      </c>
      <c r="O13419" t="s">
        <v>41</v>
      </c>
      <c r="Q13419">
        <v>200</v>
      </c>
      <c r="R13419" t="str">
        <f>"PENSE FARMA 15 (10195)"</f>
        <v>PENSE FARMA 15 (10195)</v>
      </c>
      <c r="S13419" t="s">
        <v>22</v>
      </c>
      <c r="T13419">
        <v>22943</v>
      </c>
      <c r="U13419">
        <v>27014</v>
      </c>
      <c r="V13419" t="s">
        <v>22</v>
      </c>
    </row>
    <row r="13420" spans="1:22">
      <c r="A13420" t="str">
        <f t="shared" si="2626"/>
        <v>27/11/2025</v>
      </c>
      <c r="B13420" t="str">
        <f t="shared" ref="B13420:B13451" si="2637">"ENTRADA"</f>
        <v>ENTRADA</v>
      </c>
      <c r="C13420" t="str">
        <f t="shared" ref="C13420:C13451" si="2638">"NFSE"</f>
        <v>NFSE</v>
      </c>
      <c r="D13420" t="str">
        <f>"3750"</f>
        <v>3750</v>
      </c>
      <c r="E13420" t="str">
        <f t="shared" si="2636"/>
        <v>1</v>
      </c>
      <c r="F13420" t="str">
        <f t="shared" si="2632"/>
        <v>COM</v>
      </c>
      <c r="G13420" t="str">
        <f>"AC FARMA - CID.ALTA (10166)"</f>
        <v>AC FARMA - CID.ALTA (10166)</v>
      </c>
      <c r="H13420" t="str">
        <f>"Serv.Prest. 10/11/2025 a 16/11/2025 - RPS: 1626 - NFSe: 3750"</f>
        <v>Serv.Prest. 10/11/2025 a 16/11/2025 - RPS: 1626 - NFSe: 3750</v>
      </c>
      <c r="I13420" t="str">
        <f t="shared" ref="I13420:I13451" si="2639">("26/11/2025")</f>
        <v>26/11/2025</v>
      </c>
      <c r="J13420" t="str">
        <f t="shared" ref="J13420:J13426" si="2640">("18/11/2025")</f>
        <v>18/11/2025</v>
      </c>
      <c r="K13420" t="str">
        <f>("27/11/2025")</f>
        <v>27/11/2025</v>
      </c>
      <c r="L13420">
        <v>5247.9</v>
      </c>
      <c r="M13420">
        <v>5247.9</v>
      </c>
      <c r="N13420">
        <v>303</v>
      </c>
      <c r="O13420" t="str">
        <f>"RECEITAS COM ENTREGAS"</f>
        <v>RECEITAS COM ENTREGAS</v>
      </c>
      <c r="P13420">
        <v>5247.9</v>
      </c>
      <c r="S13420" t="str">
        <f>"RECEITAS COM ENTREGAS (303)"</f>
        <v>RECEITAS COM ENTREGAS (303)</v>
      </c>
      <c r="T13420">
        <v>22981</v>
      </c>
      <c r="U13420">
        <v>25842</v>
      </c>
      <c r="V13420" t="s">
        <v>22</v>
      </c>
    </row>
    <row r="13421" spans="1:22">
      <c r="A13421" t="str">
        <f t="shared" si="2626"/>
        <v>27/11/2025</v>
      </c>
      <c r="B13421" t="str">
        <f t="shared" si="2637"/>
        <v>ENTRADA</v>
      </c>
      <c r="C13421" t="str">
        <f t="shared" si="2638"/>
        <v>NFSE</v>
      </c>
      <c r="D13421" t="str">
        <f>"3750"</f>
        <v>3750</v>
      </c>
      <c r="E13421" t="str">
        <f t="shared" si="2636"/>
        <v>1</v>
      </c>
      <c r="F13421" t="str">
        <f t="shared" si="2632"/>
        <v>COM</v>
      </c>
      <c r="G13421" t="str">
        <f>"AC FARMA - CID.ALTA (10166)"</f>
        <v>AC FARMA - CID.ALTA (10166)</v>
      </c>
      <c r="H13421" t="s">
        <v>3660</v>
      </c>
      <c r="I13421" t="str">
        <f t="shared" si="2639"/>
        <v>26/11/2025</v>
      </c>
      <c r="J13421" t="str">
        <f t="shared" si="2640"/>
        <v>18/11/2025</v>
      </c>
      <c r="K13421">
        <v>45988</v>
      </c>
      <c r="N13421">
        <v>303</v>
      </c>
      <c r="O13421" t="s">
        <v>69</v>
      </c>
      <c r="Q13421">
        <v>5247.9</v>
      </c>
      <c r="R13421" t="str">
        <f>"AC FARMA - CID.ALTA (10166)"</f>
        <v>AC FARMA - CID.ALTA (10166)</v>
      </c>
      <c r="S13421" t="s">
        <v>70</v>
      </c>
      <c r="T13421">
        <v>22981</v>
      </c>
      <c r="U13421">
        <v>25842</v>
      </c>
      <c r="V13421" t="s">
        <v>22</v>
      </c>
    </row>
    <row r="13422" spans="1:22">
      <c r="A13422" t="str">
        <f t="shared" si="2626"/>
        <v>27/11/2025</v>
      </c>
      <c r="B13422" t="str">
        <f t="shared" si="2637"/>
        <v>ENTRADA</v>
      </c>
      <c r="C13422" t="str">
        <f t="shared" si="2638"/>
        <v>NFSE</v>
      </c>
      <c r="D13422" t="str">
        <f>"3751"</f>
        <v>3751</v>
      </c>
      <c r="E13422" t="str">
        <f t="shared" si="2636"/>
        <v>1</v>
      </c>
      <c r="F13422" t="str">
        <f t="shared" si="2632"/>
        <v>COM</v>
      </c>
      <c r="G13422" t="str">
        <f>"AC FARMA - FLEMINFARMA (10160)"</f>
        <v>AC FARMA - FLEMINFARMA (10160)</v>
      </c>
      <c r="H13422" t="str">
        <f>"Serv.Prest. 10/11/2025 a 16/11/2025 - RPS: 1627 - NFSe: 3751"</f>
        <v>Serv.Prest. 10/11/2025 a 16/11/2025 - RPS: 1627 - NFSe: 3751</v>
      </c>
      <c r="I13422" t="str">
        <f t="shared" si="2639"/>
        <v>26/11/2025</v>
      </c>
      <c r="J13422" t="str">
        <f t="shared" si="2640"/>
        <v>18/11/2025</v>
      </c>
      <c r="K13422" t="str">
        <f>("27/11/2025")</f>
        <v>27/11/2025</v>
      </c>
      <c r="L13422">
        <v>1178.0999999999999</v>
      </c>
      <c r="M13422">
        <v>1178.0999999999999</v>
      </c>
      <c r="N13422">
        <v>303</v>
      </c>
      <c r="O13422" t="str">
        <f>"RECEITAS COM ENTREGAS"</f>
        <v>RECEITAS COM ENTREGAS</v>
      </c>
      <c r="P13422">
        <v>1178.0999999999999</v>
      </c>
      <c r="S13422" t="str">
        <f>"RECEITAS COM ENTREGAS (303)"</f>
        <v>RECEITAS COM ENTREGAS (303)</v>
      </c>
      <c r="T13422">
        <v>22982</v>
      </c>
      <c r="U13422">
        <v>25850</v>
      </c>
      <c r="V13422" t="s">
        <v>22</v>
      </c>
    </row>
    <row r="13423" spans="1:22">
      <c r="A13423" t="str">
        <f t="shared" si="2626"/>
        <v>27/11/2025</v>
      </c>
      <c r="B13423" t="str">
        <f t="shared" si="2637"/>
        <v>ENTRADA</v>
      </c>
      <c r="C13423" t="str">
        <f t="shared" si="2638"/>
        <v>NFSE</v>
      </c>
      <c r="D13423" t="str">
        <f>"3751"</f>
        <v>3751</v>
      </c>
      <c r="E13423" t="str">
        <f t="shared" si="2636"/>
        <v>1</v>
      </c>
      <c r="F13423" t="str">
        <f t="shared" si="2632"/>
        <v>COM</v>
      </c>
      <c r="G13423" t="str">
        <f>"AC FARMA - FLEMINFARMA (10160)"</f>
        <v>AC FARMA - FLEMINFARMA (10160)</v>
      </c>
      <c r="H13423" t="s">
        <v>3661</v>
      </c>
      <c r="I13423" t="str">
        <f t="shared" si="2639"/>
        <v>26/11/2025</v>
      </c>
      <c r="J13423" t="str">
        <f t="shared" si="2640"/>
        <v>18/11/2025</v>
      </c>
      <c r="K13423">
        <v>45988</v>
      </c>
      <c r="N13423">
        <v>303</v>
      </c>
      <c r="O13423" t="s">
        <v>69</v>
      </c>
      <c r="Q13423">
        <v>1139.81</v>
      </c>
      <c r="R13423" t="str">
        <f>"AC FARMA -  FLEMINFARMA (10159)"</f>
        <v>AC FARMA -  FLEMINFARMA (10159)</v>
      </c>
      <c r="S13423" t="s">
        <v>70</v>
      </c>
      <c r="T13423">
        <v>22982</v>
      </c>
      <c r="U13423">
        <v>25850</v>
      </c>
      <c r="V13423" t="s">
        <v>22</v>
      </c>
    </row>
    <row r="13424" spans="1:22">
      <c r="A13424" t="str">
        <f t="shared" si="2626"/>
        <v>27/11/2025</v>
      </c>
      <c r="B13424" t="str">
        <f t="shared" si="2637"/>
        <v>ENTRADA</v>
      </c>
      <c r="C13424" t="str">
        <f t="shared" si="2638"/>
        <v>NFSE</v>
      </c>
      <c r="D13424" t="str">
        <f>"3751"</f>
        <v>3751</v>
      </c>
      <c r="E13424" t="str">
        <f t="shared" si="2636"/>
        <v>1</v>
      </c>
      <c r="F13424" t="str">
        <f t="shared" si="2632"/>
        <v>COM</v>
      </c>
      <c r="G13424" t="str">
        <f>"AC FARMA - FLEMINFARMA (10160)"</f>
        <v>AC FARMA - FLEMINFARMA (10160)</v>
      </c>
      <c r="H13424" t="s">
        <v>3661</v>
      </c>
      <c r="I13424" t="str">
        <f t="shared" si="2639"/>
        <v>26/11/2025</v>
      </c>
      <c r="J13424" t="str">
        <f t="shared" si="2640"/>
        <v>18/11/2025</v>
      </c>
      <c r="K13424">
        <v>45988</v>
      </c>
      <c r="N13424">
        <v>303</v>
      </c>
      <c r="O13424" t="s">
        <v>69</v>
      </c>
      <c r="Q13424">
        <v>38.29</v>
      </c>
      <c r="R13424" t="str">
        <f>"AC FARMA - FLEMINFARMA (10160)"</f>
        <v>AC FARMA - FLEMINFARMA (10160)</v>
      </c>
      <c r="S13424" t="s">
        <v>70</v>
      </c>
      <c r="T13424">
        <v>22982</v>
      </c>
      <c r="U13424">
        <v>25850</v>
      </c>
      <c r="V13424" t="s">
        <v>22</v>
      </c>
    </row>
    <row r="13425" spans="1:22">
      <c r="A13425" t="str">
        <f t="shared" si="2626"/>
        <v>27/11/2025</v>
      </c>
      <c r="B13425" t="str">
        <f t="shared" si="2637"/>
        <v>ENTRADA</v>
      </c>
      <c r="C13425" t="str">
        <f t="shared" si="2638"/>
        <v>NFSE</v>
      </c>
      <c r="D13425" t="str">
        <f>"3752"</f>
        <v>3752</v>
      </c>
      <c r="E13425" t="str">
        <f t="shared" si="2636"/>
        <v>1</v>
      </c>
      <c r="F13425" t="str">
        <f t="shared" si="2632"/>
        <v>COM</v>
      </c>
      <c r="G13425" t="str">
        <f>"AC FARMA - FLEMINFARMA 5 (10183)"</f>
        <v>AC FARMA - FLEMINFARMA 5 (10183)</v>
      </c>
      <c r="H13425" t="str">
        <f>"Serv.Prest. 10/11/2025 a 16/11/2025 - RPS: 1628 - NFSe: 3752"</f>
        <v>Serv.Prest. 10/11/2025 a 16/11/2025 - RPS: 1628 - NFSe: 3752</v>
      </c>
      <c r="I13425" t="str">
        <f t="shared" si="2639"/>
        <v>26/11/2025</v>
      </c>
      <c r="J13425" t="str">
        <f t="shared" si="2640"/>
        <v>18/11/2025</v>
      </c>
      <c r="K13425" t="str">
        <f>("27/11/2025")</f>
        <v>27/11/2025</v>
      </c>
      <c r="L13425">
        <v>474.3</v>
      </c>
      <c r="M13425">
        <v>474.3</v>
      </c>
      <c r="N13425">
        <v>303</v>
      </c>
      <c r="O13425" t="str">
        <f>"RECEITAS COM ENTREGAS"</f>
        <v>RECEITAS COM ENTREGAS</v>
      </c>
      <c r="P13425">
        <v>474.3</v>
      </c>
      <c r="S13425" t="str">
        <f>"RECEITAS COM ENTREGAS (303)"</f>
        <v>RECEITAS COM ENTREGAS (303)</v>
      </c>
      <c r="T13425">
        <v>22983</v>
      </c>
      <c r="U13425">
        <v>25857</v>
      </c>
      <c r="V13425" t="s">
        <v>22</v>
      </c>
    </row>
    <row r="13426" spans="1:22">
      <c r="A13426" t="str">
        <f t="shared" si="2626"/>
        <v>27/11/2025</v>
      </c>
      <c r="B13426" t="str">
        <f t="shared" si="2637"/>
        <v>ENTRADA</v>
      </c>
      <c r="C13426" t="str">
        <f t="shared" si="2638"/>
        <v>NFSE</v>
      </c>
      <c r="D13426" t="str">
        <f>"3752"</f>
        <v>3752</v>
      </c>
      <c r="E13426" t="str">
        <f t="shared" si="2636"/>
        <v>1</v>
      </c>
      <c r="F13426" t="str">
        <f t="shared" si="2632"/>
        <v>COM</v>
      </c>
      <c r="G13426" t="str">
        <f>"AC FARMA - FLEMINFARMA 5 (10183)"</f>
        <v>AC FARMA - FLEMINFARMA 5 (10183)</v>
      </c>
      <c r="H13426" t="s">
        <v>3662</v>
      </c>
      <c r="I13426" t="str">
        <f t="shared" si="2639"/>
        <v>26/11/2025</v>
      </c>
      <c r="J13426" t="str">
        <f t="shared" si="2640"/>
        <v>18/11/2025</v>
      </c>
      <c r="K13426">
        <v>45988</v>
      </c>
      <c r="N13426">
        <v>303</v>
      </c>
      <c r="O13426" t="s">
        <v>69</v>
      </c>
      <c r="Q13426">
        <v>474.3</v>
      </c>
      <c r="R13426" t="str">
        <f>"AC FARMA - FLEMINFARMA 5 (10183)"</f>
        <v>AC FARMA - FLEMINFARMA 5 (10183)</v>
      </c>
      <c r="S13426" t="s">
        <v>70</v>
      </c>
      <c r="T13426">
        <v>22983</v>
      </c>
      <c r="U13426">
        <v>25857</v>
      </c>
      <c r="V13426" t="s">
        <v>22</v>
      </c>
    </row>
    <row r="13427" spans="1:22">
      <c r="A13427" t="str">
        <f t="shared" ref="A13427:A13490" si="2641">("27/11/2025")</f>
        <v>27/11/2025</v>
      </c>
      <c r="B13427" t="str">
        <f t="shared" si="2637"/>
        <v>ENTRADA</v>
      </c>
      <c r="C13427" t="str">
        <f t="shared" si="2638"/>
        <v>NFSE</v>
      </c>
      <c r="D13427" t="str">
        <f>"3761"</f>
        <v>3761</v>
      </c>
      <c r="E13427" t="str">
        <f t="shared" si="2636"/>
        <v>1</v>
      </c>
      <c r="F13427" t="str">
        <f t="shared" si="2632"/>
        <v>COM</v>
      </c>
      <c r="G13427" t="str">
        <f>"BRASIL FARMA (10173)"</f>
        <v>BRASIL FARMA (10173)</v>
      </c>
      <c r="H13427" t="str">
        <f>"Serv.Prest. 17/11/2025 a 23/11/2025 - RPS: 1637 - NFSe: 3761"</f>
        <v>Serv.Prest. 17/11/2025 a 23/11/2025 - RPS: 1637 - NFSe: 3761</v>
      </c>
      <c r="I13427" t="str">
        <f t="shared" si="2639"/>
        <v>26/11/2025</v>
      </c>
      <c r="J13427" t="str">
        <f t="shared" ref="J13427:J13458" si="2642">("24/11/2025")</f>
        <v>24/11/2025</v>
      </c>
      <c r="K13427" t="str">
        <f>("27/11/2025")</f>
        <v>27/11/2025</v>
      </c>
      <c r="L13427">
        <v>1705.1</v>
      </c>
      <c r="M13427">
        <v>1705.1</v>
      </c>
      <c r="N13427">
        <v>303</v>
      </c>
      <c r="O13427" t="str">
        <f>"RECEITAS COM ENTREGAS"</f>
        <v>RECEITAS COM ENTREGAS</v>
      </c>
      <c r="P13427">
        <v>1705.1</v>
      </c>
      <c r="S13427" t="str">
        <f>"RECEITAS COM ENTREGAS (303)"</f>
        <v>RECEITAS COM ENTREGAS (303)</v>
      </c>
      <c r="T13427">
        <v>22984</v>
      </c>
      <c r="U13427">
        <v>25967</v>
      </c>
      <c r="V13427" t="s">
        <v>22</v>
      </c>
    </row>
    <row r="13428" spans="1:22">
      <c r="A13428" t="str">
        <f t="shared" si="2641"/>
        <v>27/11/2025</v>
      </c>
      <c r="B13428" t="str">
        <f t="shared" si="2637"/>
        <v>ENTRADA</v>
      </c>
      <c r="C13428" t="str">
        <f t="shared" si="2638"/>
        <v>NFSE</v>
      </c>
      <c r="D13428" t="str">
        <f>"3761"</f>
        <v>3761</v>
      </c>
      <c r="E13428" t="str">
        <f t="shared" si="2636"/>
        <v>1</v>
      </c>
      <c r="F13428" t="str">
        <f t="shared" si="2632"/>
        <v>COM</v>
      </c>
      <c r="G13428" t="str">
        <f>"BRASIL FARMA (10173)"</f>
        <v>BRASIL FARMA (10173)</v>
      </c>
      <c r="H13428" t="s">
        <v>3663</v>
      </c>
      <c r="I13428" t="str">
        <f t="shared" si="2639"/>
        <v>26/11/2025</v>
      </c>
      <c r="J13428" t="str">
        <f t="shared" si="2642"/>
        <v>24/11/2025</v>
      </c>
      <c r="K13428">
        <v>45988</v>
      </c>
      <c r="N13428">
        <v>303</v>
      </c>
      <c r="O13428" t="s">
        <v>69</v>
      </c>
      <c r="Q13428">
        <v>1705.1</v>
      </c>
      <c r="R13428" t="str">
        <f>"BRASIL FARMA (10173)"</f>
        <v>BRASIL FARMA (10173)</v>
      </c>
      <c r="S13428" t="s">
        <v>70</v>
      </c>
      <c r="T13428">
        <v>22984</v>
      </c>
      <c r="U13428">
        <v>25967</v>
      </c>
      <c r="V13428" t="s">
        <v>22</v>
      </c>
    </row>
    <row r="13429" spans="1:22">
      <c r="A13429" t="str">
        <f t="shared" si="2641"/>
        <v>27/11/2025</v>
      </c>
      <c r="B13429" t="str">
        <f t="shared" si="2637"/>
        <v>ENTRADA</v>
      </c>
      <c r="C13429" t="str">
        <f t="shared" si="2638"/>
        <v>NFSE</v>
      </c>
      <c r="D13429" t="str">
        <f>"3763"</f>
        <v>3763</v>
      </c>
      <c r="E13429" t="str">
        <f t="shared" si="2636"/>
        <v>1</v>
      </c>
      <c r="F13429" t="str">
        <f t="shared" si="2632"/>
        <v>COM</v>
      </c>
      <c r="G13429" t="str">
        <f>"DROGA ELIDA (10121)"</f>
        <v>DROGA ELIDA (10121)</v>
      </c>
      <c r="H13429" t="str">
        <f>"Serv.Prest. 17/11/2025 a 23/11/2025 - RPS: 1639 - NFSe: 3763"</f>
        <v>Serv.Prest. 17/11/2025 a 23/11/2025 - RPS: 1639 - NFSe: 3763</v>
      </c>
      <c r="I13429" t="str">
        <f t="shared" si="2639"/>
        <v>26/11/2025</v>
      </c>
      <c r="J13429" t="str">
        <f t="shared" si="2642"/>
        <v>24/11/2025</v>
      </c>
      <c r="K13429" t="str">
        <f>("27/11/2025")</f>
        <v>27/11/2025</v>
      </c>
      <c r="L13429">
        <v>1861.5</v>
      </c>
      <c r="M13429">
        <v>1861.5</v>
      </c>
      <c r="N13429">
        <v>303</v>
      </c>
      <c r="O13429" t="str">
        <f>"RECEITAS COM ENTREGAS"</f>
        <v>RECEITAS COM ENTREGAS</v>
      </c>
      <c r="P13429">
        <v>1861.5</v>
      </c>
      <c r="S13429" t="str">
        <f>"RECEITAS COM ENTREGAS (303)"</f>
        <v>RECEITAS COM ENTREGAS (303)</v>
      </c>
      <c r="T13429">
        <v>22985</v>
      </c>
      <c r="U13429">
        <v>25972</v>
      </c>
      <c r="V13429" t="s">
        <v>22</v>
      </c>
    </row>
    <row r="13430" spans="1:22">
      <c r="A13430" t="str">
        <f t="shared" si="2641"/>
        <v>27/11/2025</v>
      </c>
      <c r="B13430" t="str">
        <f t="shared" si="2637"/>
        <v>ENTRADA</v>
      </c>
      <c r="C13430" t="str">
        <f t="shared" si="2638"/>
        <v>NFSE</v>
      </c>
      <c r="D13430" t="str">
        <f>"3763"</f>
        <v>3763</v>
      </c>
      <c r="E13430" t="str">
        <f t="shared" si="2636"/>
        <v>1</v>
      </c>
      <c r="F13430" t="str">
        <f t="shared" si="2632"/>
        <v>COM</v>
      </c>
      <c r="G13430" t="str">
        <f>"DROGA ELIDA (10121)"</f>
        <v>DROGA ELIDA (10121)</v>
      </c>
      <c r="H13430" t="s">
        <v>3664</v>
      </c>
      <c r="I13430" t="str">
        <f t="shared" si="2639"/>
        <v>26/11/2025</v>
      </c>
      <c r="J13430" t="str">
        <f t="shared" si="2642"/>
        <v>24/11/2025</v>
      </c>
      <c r="K13430">
        <v>45988</v>
      </c>
      <c r="N13430">
        <v>303</v>
      </c>
      <c r="O13430" t="s">
        <v>69</v>
      </c>
      <c r="Q13430">
        <v>1861.5</v>
      </c>
      <c r="R13430" t="str">
        <f>"DROGA ELIDA (10121)"</f>
        <v>DROGA ELIDA (10121)</v>
      </c>
      <c r="S13430" t="s">
        <v>70</v>
      </c>
      <c r="T13430">
        <v>22985</v>
      </c>
      <c r="U13430">
        <v>25972</v>
      </c>
      <c r="V13430" t="s">
        <v>22</v>
      </c>
    </row>
    <row r="13431" spans="1:22">
      <c r="A13431" t="str">
        <f t="shared" si="2641"/>
        <v>27/11/2025</v>
      </c>
      <c r="B13431" t="str">
        <f t="shared" si="2637"/>
        <v>ENTRADA</v>
      </c>
      <c r="C13431" t="str">
        <f t="shared" si="2638"/>
        <v>NFSE</v>
      </c>
      <c r="D13431" t="str">
        <f>"3770"</f>
        <v>3770</v>
      </c>
      <c r="E13431" t="str">
        <f t="shared" si="2636"/>
        <v>1</v>
      </c>
      <c r="F13431" t="str">
        <f t="shared" si="2632"/>
        <v>COM</v>
      </c>
      <c r="G13431" t="str">
        <f>"PENSE FARMA 31 (10205)"</f>
        <v>PENSE FARMA 31 (10205)</v>
      </c>
      <c r="H13431" t="str">
        <f>"Serv.Prest. 17/11/2025 a 23/11/2025 - RPS: 1646 - NFSe: 3770"</f>
        <v>Serv.Prest. 17/11/2025 a 23/11/2025 - RPS: 1646 - NFSe: 3770</v>
      </c>
      <c r="I13431" t="str">
        <f t="shared" si="2639"/>
        <v>26/11/2025</v>
      </c>
      <c r="J13431" t="str">
        <f t="shared" si="2642"/>
        <v>24/11/2025</v>
      </c>
      <c r="K13431" t="str">
        <f>("27/11/2025")</f>
        <v>27/11/2025</v>
      </c>
      <c r="L13431">
        <v>1846.64</v>
      </c>
      <c r="M13431">
        <v>1846.64</v>
      </c>
      <c r="N13431">
        <v>303</v>
      </c>
      <c r="O13431" t="str">
        <f>"RECEITAS COM ENTREGAS"</f>
        <v>RECEITAS COM ENTREGAS</v>
      </c>
      <c r="P13431">
        <v>1846.64</v>
      </c>
      <c r="S13431" t="str">
        <f>"RECEITAS COM ENTREGAS (303)"</f>
        <v>RECEITAS COM ENTREGAS (303)</v>
      </c>
      <c r="T13431">
        <v>22986</v>
      </c>
      <c r="U13431">
        <v>25997</v>
      </c>
      <c r="V13431" t="s">
        <v>22</v>
      </c>
    </row>
    <row r="13432" spans="1:22">
      <c r="A13432" t="str">
        <f t="shared" si="2641"/>
        <v>27/11/2025</v>
      </c>
      <c r="B13432" t="str">
        <f t="shared" si="2637"/>
        <v>ENTRADA</v>
      </c>
      <c r="C13432" t="str">
        <f t="shared" si="2638"/>
        <v>NFSE</v>
      </c>
      <c r="D13432" t="str">
        <f>"3770"</f>
        <v>3770</v>
      </c>
      <c r="E13432" t="str">
        <f t="shared" si="2636"/>
        <v>1</v>
      </c>
      <c r="F13432" t="str">
        <f t="shared" si="2632"/>
        <v>COM</v>
      </c>
      <c r="G13432" t="str">
        <f>"PENSE FARMA 31 (10205)"</f>
        <v>PENSE FARMA 31 (10205)</v>
      </c>
      <c r="H13432" t="s">
        <v>3665</v>
      </c>
      <c r="I13432" t="str">
        <f t="shared" si="2639"/>
        <v>26/11/2025</v>
      </c>
      <c r="J13432" t="str">
        <f t="shared" si="2642"/>
        <v>24/11/2025</v>
      </c>
      <c r="K13432">
        <v>45988</v>
      </c>
      <c r="N13432">
        <v>303</v>
      </c>
      <c r="O13432" t="s">
        <v>69</v>
      </c>
      <c r="Q13432">
        <v>612.9</v>
      </c>
      <c r="R13432" t="str">
        <f>"PENSE FARMA 31 (10205)"</f>
        <v>PENSE FARMA 31 (10205)</v>
      </c>
      <c r="S13432" t="s">
        <v>70</v>
      </c>
      <c r="T13432">
        <v>22986</v>
      </c>
      <c r="U13432">
        <v>25997</v>
      </c>
      <c r="V13432" t="s">
        <v>22</v>
      </c>
    </row>
    <row r="13433" spans="1:22">
      <c r="A13433" t="str">
        <f t="shared" si="2641"/>
        <v>27/11/2025</v>
      </c>
      <c r="B13433" t="str">
        <f t="shared" si="2637"/>
        <v>ENTRADA</v>
      </c>
      <c r="C13433" t="str">
        <f t="shared" si="2638"/>
        <v>NFSE</v>
      </c>
      <c r="D13433" t="str">
        <f>"3770"</f>
        <v>3770</v>
      </c>
      <c r="E13433" t="str">
        <f t="shared" si="2636"/>
        <v>1</v>
      </c>
      <c r="F13433" t="str">
        <f t="shared" si="2632"/>
        <v>COM</v>
      </c>
      <c r="G13433" t="str">
        <f>"PENSE FARMA 31 (10205)"</f>
        <v>PENSE FARMA 31 (10205)</v>
      </c>
      <c r="H13433" t="s">
        <v>3665</v>
      </c>
      <c r="I13433" t="str">
        <f t="shared" si="2639"/>
        <v>26/11/2025</v>
      </c>
      <c r="J13433" t="str">
        <f t="shared" si="2642"/>
        <v>24/11/2025</v>
      </c>
      <c r="K13433">
        <v>45988</v>
      </c>
      <c r="N13433">
        <v>303</v>
      </c>
      <c r="O13433" t="s">
        <v>69</v>
      </c>
      <c r="Q13433">
        <v>620.66</v>
      </c>
      <c r="R13433" t="str">
        <f>"PENSE FARMA 16 (10221)"</f>
        <v>PENSE FARMA 16 (10221)</v>
      </c>
      <c r="S13433" t="s">
        <v>70</v>
      </c>
      <c r="T13433">
        <v>22986</v>
      </c>
      <c r="U13433">
        <v>25997</v>
      </c>
      <c r="V13433" t="s">
        <v>22</v>
      </c>
    </row>
    <row r="13434" spans="1:22">
      <c r="A13434" t="str">
        <f t="shared" si="2641"/>
        <v>27/11/2025</v>
      </c>
      <c r="B13434" t="str">
        <f t="shared" si="2637"/>
        <v>ENTRADA</v>
      </c>
      <c r="C13434" t="str">
        <f t="shared" si="2638"/>
        <v>NFSE</v>
      </c>
      <c r="D13434" t="str">
        <f>"3770"</f>
        <v>3770</v>
      </c>
      <c r="E13434" t="str">
        <f t="shared" si="2636"/>
        <v>1</v>
      </c>
      <c r="F13434" t="str">
        <f t="shared" si="2632"/>
        <v>COM</v>
      </c>
      <c r="G13434" t="str">
        <f>"PENSE FARMA 31 (10205)"</f>
        <v>PENSE FARMA 31 (10205)</v>
      </c>
      <c r="H13434" t="s">
        <v>3665</v>
      </c>
      <c r="I13434" t="str">
        <f t="shared" si="2639"/>
        <v>26/11/2025</v>
      </c>
      <c r="J13434" t="str">
        <f t="shared" si="2642"/>
        <v>24/11/2025</v>
      </c>
      <c r="K13434">
        <v>45988</v>
      </c>
      <c r="N13434">
        <v>303</v>
      </c>
      <c r="O13434" t="s">
        <v>69</v>
      </c>
      <c r="Q13434">
        <v>613.08000000000004</v>
      </c>
      <c r="R13434" t="str">
        <f>"PENSE FARMA 17 (10222)"</f>
        <v>PENSE FARMA 17 (10222)</v>
      </c>
      <c r="S13434" t="s">
        <v>70</v>
      </c>
      <c r="T13434">
        <v>22986</v>
      </c>
      <c r="U13434">
        <v>25997</v>
      </c>
      <c r="V13434" t="s">
        <v>22</v>
      </c>
    </row>
    <row r="13435" spans="1:22">
      <c r="A13435" t="str">
        <f t="shared" si="2641"/>
        <v>27/11/2025</v>
      </c>
      <c r="B13435" t="str">
        <f t="shared" si="2637"/>
        <v>ENTRADA</v>
      </c>
      <c r="C13435" t="str">
        <f t="shared" si="2638"/>
        <v>NFSE</v>
      </c>
      <c r="D13435" t="str">
        <f>"3771"</f>
        <v>3771</v>
      </c>
      <c r="E13435" t="str">
        <f t="shared" si="2636"/>
        <v>1</v>
      </c>
      <c r="F13435" t="str">
        <f t="shared" si="2632"/>
        <v>COM</v>
      </c>
      <c r="G13435" t="str">
        <f>"PENSE FARMA 44 (10231)"</f>
        <v>PENSE FARMA 44 (10231)</v>
      </c>
      <c r="H13435" t="str">
        <f>"Serv.Prest. 17/11/2025 a 23/11/2025 - RPS: 1647 - NFSe: 3771"</f>
        <v>Serv.Prest. 17/11/2025 a 23/11/2025 - RPS: 1647 - NFSe: 3771</v>
      </c>
      <c r="I13435" t="str">
        <f t="shared" si="2639"/>
        <v>26/11/2025</v>
      </c>
      <c r="J13435" t="str">
        <f t="shared" si="2642"/>
        <v>24/11/2025</v>
      </c>
      <c r="K13435" t="str">
        <f>("27/11/2025")</f>
        <v>27/11/2025</v>
      </c>
      <c r="L13435">
        <v>3574.65</v>
      </c>
      <c r="M13435">
        <v>3574.65</v>
      </c>
      <c r="N13435">
        <v>303</v>
      </c>
      <c r="O13435" t="str">
        <f>"RECEITAS COM ENTREGAS"</f>
        <v>RECEITAS COM ENTREGAS</v>
      </c>
      <c r="P13435">
        <v>3574.65</v>
      </c>
      <c r="S13435" t="str">
        <f>"RECEITAS COM ENTREGAS (303)"</f>
        <v>RECEITAS COM ENTREGAS (303)</v>
      </c>
      <c r="T13435">
        <v>22987</v>
      </c>
      <c r="U13435">
        <v>26000</v>
      </c>
      <c r="V13435" t="s">
        <v>22</v>
      </c>
    </row>
    <row r="13436" spans="1:22">
      <c r="A13436" t="str">
        <f t="shared" si="2641"/>
        <v>27/11/2025</v>
      </c>
      <c r="B13436" t="str">
        <f t="shared" si="2637"/>
        <v>ENTRADA</v>
      </c>
      <c r="C13436" t="str">
        <f t="shared" si="2638"/>
        <v>NFSE</v>
      </c>
      <c r="D13436" t="str">
        <f>"3771"</f>
        <v>3771</v>
      </c>
      <c r="E13436" t="str">
        <f t="shared" si="2636"/>
        <v>1</v>
      </c>
      <c r="F13436" t="str">
        <f t="shared" si="2632"/>
        <v>COM</v>
      </c>
      <c r="G13436" t="str">
        <f>"PENSE FARMA 44 (10231)"</f>
        <v>PENSE FARMA 44 (10231)</v>
      </c>
      <c r="H13436" t="s">
        <v>3666</v>
      </c>
      <c r="I13436" t="str">
        <f t="shared" si="2639"/>
        <v>26/11/2025</v>
      </c>
      <c r="J13436" t="str">
        <f t="shared" si="2642"/>
        <v>24/11/2025</v>
      </c>
      <c r="K13436">
        <v>45988</v>
      </c>
      <c r="N13436">
        <v>303</v>
      </c>
      <c r="O13436" t="s">
        <v>69</v>
      </c>
      <c r="Q13436">
        <v>1784.47</v>
      </c>
      <c r="R13436" t="str">
        <f>"PENSE FARMA 44 (10231)"</f>
        <v>PENSE FARMA 44 (10231)</v>
      </c>
      <c r="S13436" t="s">
        <v>70</v>
      </c>
      <c r="T13436">
        <v>22987</v>
      </c>
      <c r="U13436">
        <v>26000</v>
      </c>
      <c r="V13436" t="s">
        <v>22</v>
      </c>
    </row>
    <row r="13437" spans="1:22">
      <c r="A13437" t="str">
        <f t="shared" si="2641"/>
        <v>27/11/2025</v>
      </c>
      <c r="B13437" t="str">
        <f t="shared" si="2637"/>
        <v>ENTRADA</v>
      </c>
      <c r="C13437" t="str">
        <f t="shared" si="2638"/>
        <v>NFSE</v>
      </c>
      <c r="D13437" t="str">
        <f>"3771"</f>
        <v>3771</v>
      </c>
      <c r="E13437" t="str">
        <f t="shared" si="2636"/>
        <v>1</v>
      </c>
      <c r="F13437" t="str">
        <f t="shared" si="2632"/>
        <v>COM</v>
      </c>
      <c r="G13437" t="str">
        <f>"PENSE FARMA 44 (10231)"</f>
        <v>PENSE FARMA 44 (10231)</v>
      </c>
      <c r="H13437" t="s">
        <v>3666</v>
      </c>
      <c r="I13437" t="str">
        <f t="shared" si="2639"/>
        <v>26/11/2025</v>
      </c>
      <c r="J13437" t="str">
        <f t="shared" si="2642"/>
        <v>24/11/2025</v>
      </c>
      <c r="K13437">
        <v>45988</v>
      </c>
      <c r="N13437">
        <v>303</v>
      </c>
      <c r="O13437" t="s">
        <v>69</v>
      </c>
      <c r="Q13437">
        <v>1790.18</v>
      </c>
      <c r="R13437" t="str">
        <f>"PENSE FARMA 48 (10233)"</f>
        <v>PENSE FARMA 48 (10233)</v>
      </c>
      <c r="S13437" t="s">
        <v>70</v>
      </c>
      <c r="T13437">
        <v>22987</v>
      </c>
      <c r="U13437">
        <v>26000</v>
      </c>
      <c r="V13437" t="s">
        <v>22</v>
      </c>
    </row>
    <row r="13438" spans="1:22">
      <c r="A13438" t="str">
        <f t="shared" si="2641"/>
        <v>27/11/2025</v>
      </c>
      <c r="B13438" t="str">
        <f t="shared" si="2637"/>
        <v>ENTRADA</v>
      </c>
      <c r="C13438" t="str">
        <f t="shared" si="2638"/>
        <v>NFSE</v>
      </c>
      <c r="D13438" t="str">
        <f>"3772"</f>
        <v>3772</v>
      </c>
      <c r="E13438" t="str">
        <f t="shared" si="2636"/>
        <v>1</v>
      </c>
      <c r="F13438" t="str">
        <f t="shared" si="2632"/>
        <v>COM</v>
      </c>
      <c r="G13438" t="str">
        <f>"PENSE FARMA 19 (10223)"</f>
        <v>PENSE FARMA 19 (10223)</v>
      </c>
      <c r="H13438" t="str">
        <f>"Serv.Prest. 17/11/2025 a 23/11/2025 - RPS: 1648 - NFSe: 3772"</f>
        <v>Serv.Prest. 17/11/2025 a 23/11/2025 - RPS: 1648 - NFSe: 3772</v>
      </c>
      <c r="I13438" t="str">
        <f t="shared" si="2639"/>
        <v>26/11/2025</v>
      </c>
      <c r="J13438" t="str">
        <f t="shared" si="2642"/>
        <v>24/11/2025</v>
      </c>
      <c r="K13438" t="str">
        <f>("27/11/2025")</f>
        <v>27/11/2025</v>
      </c>
      <c r="L13438">
        <v>2876.71</v>
      </c>
      <c r="M13438">
        <v>2876.71</v>
      </c>
      <c r="N13438">
        <v>303</v>
      </c>
      <c r="O13438" t="str">
        <f>"RECEITAS COM ENTREGAS"</f>
        <v>RECEITAS COM ENTREGAS</v>
      </c>
      <c r="P13438">
        <v>2876.71</v>
      </c>
      <c r="S13438" t="str">
        <f>"RECEITAS COM ENTREGAS (303)"</f>
        <v>RECEITAS COM ENTREGAS (303)</v>
      </c>
      <c r="T13438">
        <v>22988</v>
      </c>
      <c r="U13438">
        <v>26004</v>
      </c>
      <c r="V13438" t="s">
        <v>22</v>
      </c>
    </row>
    <row r="13439" spans="1:22">
      <c r="A13439" t="str">
        <f t="shared" si="2641"/>
        <v>27/11/2025</v>
      </c>
      <c r="B13439" t="str">
        <f t="shared" si="2637"/>
        <v>ENTRADA</v>
      </c>
      <c r="C13439" t="str">
        <f t="shared" si="2638"/>
        <v>NFSE</v>
      </c>
      <c r="D13439" t="str">
        <f>"3772"</f>
        <v>3772</v>
      </c>
      <c r="E13439" t="str">
        <f t="shared" si="2636"/>
        <v>1</v>
      </c>
      <c r="F13439" t="str">
        <f t="shared" si="2632"/>
        <v>COM</v>
      </c>
      <c r="G13439" t="str">
        <f>"PENSE FARMA 19 (10223)"</f>
        <v>PENSE FARMA 19 (10223)</v>
      </c>
      <c r="H13439" t="s">
        <v>3667</v>
      </c>
      <c r="I13439" t="str">
        <f t="shared" si="2639"/>
        <v>26/11/2025</v>
      </c>
      <c r="J13439" t="str">
        <f t="shared" si="2642"/>
        <v>24/11/2025</v>
      </c>
      <c r="K13439">
        <v>45988</v>
      </c>
      <c r="N13439">
        <v>303</v>
      </c>
      <c r="O13439" t="s">
        <v>69</v>
      </c>
      <c r="Q13439">
        <v>2876.71</v>
      </c>
      <c r="R13439" t="str">
        <f>"PENSE FARMA 19 (10223)"</f>
        <v>PENSE FARMA 19 (10223)</v>
      </c>
      <c r="S13439" t="s">
        <v>70</v>
      </c>
      <c r="T13439">
        <v>22988</v>
      </c>
      <c r="U13439">
        <v>26004</v>
      </c>
      <c r="V13439" t="s">
        <v>22</v>
      </c>
    </row>
    <row r="13440" spans="1:22">
      <c r="A13440" t="str">
        <f t="shared" si="2641"/>
        <v>27/11/2025</v>
      </c>
      <c r="B13440" t="str">
        <f t="shared" si="2637"/>
        <v>ENTRADA</v>
      </c>
      <c r="C13440" t="str">
        <f t="shared" si="2638"/>
        <v>NFSE</v>
      </c>
      <c r="D13440" t="str">
        <f>"3773"</f>
        <v>3773</v>
      </c>
      <c r="E13440" t="str">
        <f t="shared" si="2636"/>
        <v>1</v>
      </c>
      <c r="F13440" t="str">
        <f t="shared" si="2632"/>
        <v>COM</v>
      </c>
      <c r="G13440" t="str">
        <f>"PENSE FARMA 49 (10234)"</f>
        <v>PENSE FARMA 49 (10234)</v>
      </c>
      <c r="H13440" t="str">
        <f>"Serv.Prest. 17/11/2025 a 23/11/2025 - RPS: 1649 - NFSe: 3773"</f>
        <v>Serv.Prest. 17/11/2025 a 23/11/2025 - RPS: 1649 - NFSe: 3773</v>
      </c>
      <c r="I13440" t="str">
        <f t="shared" si="2639"/>
        <v>26/11/2025</v>
      </c>
      <c r="J13440" t="str">
        <f t="shared" si="2642"/>
        <v>24/11/2025</v>
      </c>
      <c r="K13440" t="str">
        <f>("27/11/2025")</f>
        <v>27/11/2025</v>
      </c>
      <c r="L13440">
        <v>1209.42</v>
      </c>
      <c r="M13440">
        <v>1209.42</v>
      </c>
      <c r="N13440">
        <v>303</v>
      </c>
      <c r="O13440" t="str">
        <f>"RECEITAS COM ENTREGAS"</f>
        <v>RECEITAS COM ENTREGAS</v>
      </c>
      <c r="P13440">
        <v>1209.42</v>
      </c>
      <c r="S13440" t="str">
        <f>"RECEITAS COM ENTREGAS (303)"</f>
        <v>RECEITAS COM ENTREGAS (303)</v>
      </c>
      <c r="T13440">
        <v>22989</v>
      </c>
      <c r="U13440">
        <v>26015</v>
      </c>
      <c r="V13440" t="s">
        <v>22</v>
      </c>
    </row>
    <row r="13441" spans="1:22">
      <c r="A13441" t="str">
        <f t="shared" si="2641"/>
        <v>27/11/2025</v>
      </c>
      <c r="B13441" t="str">
        <f t="shared" si="2637"/>
        <v>ENTRADA</v>
      </c>
      <c r="C13441" t="str">
        <f t="shared" si="2638"/>
        <v>NFSE</v>
      </c>
      <c r="D13441" t="str">
        <f>"3773"</f>
        <v>3773</v>
      </c>
      <c r="E13441" t="str">
        <f t="shared" si="2636"/>
        <v>1</v>
      </c>
      <c r="F13441" t="str">
        <f t="shared" si="2632"/>
        <v>COM</v>
      </c>
      <c r="G13441" t="str">
        <f>"PENSE FARMA 49 (10234)"</f>
        <v>PENSE FARMA 49 (10234)</v>
      </c>
      <c r="H13441" t="s">
        <v>3668</v>
      </c>
      <c r="I13441" t="str">
        <f t="shared" si="2639"/>
        <v>26/11/2025</v>
      </c>
      <c r="J13441" t="str">
        <f t="shared" si="2642"/>
        <v>24/11/2025</v>
      </c>
      <c r="K13441">
        <v>45988</v>
      </c>
      <c r="N13441">
        <v>303</v>
      </c>
      <c r="O13441" t="s">
        <v>69</v>
      </c>
      <c r="Q13441">
        <v>1209.42</v>
      </c>
      <c r="R13441" t="str">
        <f>"PENSE FARMA 49 (10234)"</f>
        <v>PENSE FARMA 49 (10234)</v>
      </c>
      <c r="S13441" t="s">
        <v>70</v>
      </c>
      <c r="T13441">
        <v>22989</v>
      </c>
      <c r="U13441">
        <v>26015</v>
      </c>
      <c r="V13441" t="s">
        <v>22</v>
      </c>
    </row>
    <row r="13442" spans="1:22">
      <c r="A13442" t="str">
        <f t="shared" si="2641"/>
        <v>27/11/2025</v>
      </c>
      <c r="B13442" t="str">
        <f t="shared" si="2637"/>
        <v>ENTRADA</v>
      </c>
      <c r="C13442" t="str">
        <f t="shared" si="2638"/>
        <v>NFSE</v>
      </c>
      <c r="D13442" t="str">
        <f>"3774"</f>
        <v>3774</v>
      </c>
      <c r="E13442" t="str">
        <f t="shared" si="2636"/>
        <v>1</v>
      </c>
      <c r="F13442" t="str">
        <f t="shared" si="2632"/>
        <v>COM</v>
      </c>
      <c r="G13442" t="str">
        <f>"PENSE FARMA 39 (10228)"</f>
        <v>PENSE FARMA 39 (10228)</v>
      </c>
      <c r="H13442" t="str">
        <f>"Serv.Prest. 17/11/2025 a 23/11/2025 - RPS: 1650 - NFSe: 3774"</f>
        <v>Serv.Prest. 17/11/2025 a 23/11/2025 - RPS: 1650 - NFSe: 3774</v>
      </c>
      <c r="I13442" t="str">
        <f t="shared" si="2639"/>
        <v>26/11/2025</v>
      </c>
      <c r="J13442" t="str">
        <f t="shared" si="2642"/>
        <v>24/11/2025</v>
      </c>
      <c r="K13442" t="str">
        <f>("27/11/2025")</f>
        <v>27/11/2025</v>
      </c>
      <c r="L13442">
        <v>3399.85</v>
      </c>
      <c r="M13442">
        <v>3399.85</v>
      </c>
      <c r="N13442">
        <v>303</v>
      </c>
      <c r="O13442" t="str">
        <f>"RECEITAS COM ENTREGAS"</f>
        <v>RECEITAS COM ENTREGAS</v>
      </c>
      <c r="P13442">
        <v>3399.85</v>
      </c>
      <c r="S13442" t="str">
        <f>"RECEITAS COM ENTREGAS (303)"</f>
        <v>RECEITAS COM ENTREGAS (303)</v>
      </c>
      <c r="T13442">
        <v>22990</v>
      </c>
      <c r="U13442">
        <v>26018</v>
      </c>
      <c r="V13442" t="s">
        <v>22</v>
      </c>
    </row>
    <row r="13443" spans="1:22">
      <c r="A13443" t="str">
        <f t="shared" si="2641"/>
        <v>27/11/2025</v>
      </c>
      <c r="B13443" t="str">
        <f t="shared" si="2637"/>
        <v>ENTRADA</v>
      </c>
      <c r="C13443" t="str">
        <f t="shared" si="2638"/>
        <v>NFSE</v>
      </c>
      <c r="D13443" t="str">
        <f>"3774"</f>
        <v>3774</v>
      </c>
      <c r="E13443" t="str">
        <f t="shared" si="2636"/>
        <v>1</v>
      </c>
      <c r="F13443" t="str">
        <f t="shared" si="2632"/>
        <v>COM</v>
      </c>
      <c r="G13443" t="str">
        <f>"PENSE FARMA 39 (10228)"</f>
        <v>PENSE FARMA 39 (10228)</v>
      </c>
      <c r="H13443" t="s">
        <v>3669</v>
      </c>
      <c r="I13443" t="str">
        <f t="shared" si="2639"/>
        <v>26/11/2025</v>
      </c>
      <c r="J13443" t="str">
        <f t="shared" si="2642"/>
        <v>24/11/2025</v>
      </c>
      <c r="K13443">
        <v>45988</v>
      </c>
      <c r="N13443">
        <v>303</v>
      </c>
      <c r="O13443" t="s">
        <v>69</v>
      </c>
      <c r="Q13443">
        <v>843.51</v>
      </c>
      <c r="R13443" t="str">
        <f>"PENSE FARMA 02 (10199)"</f>
        <v>PENSE FARMA 02 (10199)</v>
      </c>
      <c r="S13443" t="s">
        <v>70</v>
      </c>
      <c r="T13443">
        <v>22990</v>
      </c>
      <c r="U13443">
        <v>26018</v>
      </c>
      <c r="V13443" t="s">
        <v>22</v>
      </c>
    </row>
    <row r="13444" spans="1:22">
      <c r="A13444" t="str">
        <f t="shared" si="2641"/>
        <v>27/11/2025</v>
      </c>
      <c r="B13444" t="str">
        <f t="shared" si="2637"/>
        <v>ENTRADA</v>
      </c>
      <c r="C13444" t="str">
        <f t="shared" si="2638"/>
        <v>NFSE</v>
      </c>
      <c r="D13444" t="str">
        <f>"3774"</f>
        <v>3774</v>
      </c>
      <c r="E13444" t="str">
        <f t="shared" si="2636"/>
        <v>1</v>
      </c>
      <c r="F13444" t="str">
        <f t="shared" si="2632"/>
        <v>COM</v>
      </c>
      <c r="G13444" t="str">
        <f>"PENSE FARMA 39 (10228)"</f>
        <v>PENSE FARMA 39 (10228)</v>
      </c>
      <c r="H13444" t="s">
        <v>3669</v>
      </c>
      <c r="I13444" t="str">
        <f t="shared" si="2639"/>
        <v>26/11/2025</v>
      </c>
      <c r="J13444" t="str">
        <f t="shared" si="2642"/>
        <v>24/11/2025</v>
      </c>
      <c r="K13444">
        <v>45988</v>
      </c>
      <c r="N13444">
        <v>303</v>
      </c>
      <c r="O13444" t="s">
        <v>69</v>
      </c>
      <c r="Q13444">
        <v>843.5</v>
      </c>
      <c r="R13444" t="str">
        <f>"PENSE FARMA 01 (10215)"</f>
        <v>PENSE FARMA 01 (10215)</v>
      </c>
      <c r="S13444" t="s">
        <v>70</v>
      </c>
      <c r="T13444">
        <v>22990</v>
      </c>
      <c r="U13444">
        <v>26018</v>
      </c>
      <c r="V13444" t="s">
        <v>22</v>
      </c>
    </row>
    <row r="13445" spans="1:22">
      <c r="A13445" t="str">
        <f t="shared" si="2641"/>
        <v>27/11/2025</v>
      </c>
      <c r="B13445" t="str">
        <f t="shared" si="2637"/>
        <v>ENTRADA</v>
      </c>
      <c r="C13445" t="str">
        <f t="shared" si="2638"/>
        <v>NFSE</v>
      </c>
      <c r="D13445" t="str">
        <f>"3774"</f>
        <v>3774</v>
      </c>
      <c r="E13445" t="str">
        <f t="shared" si="2636"/>
        <v>1</v>
      </c>
      <c r="F13445" t="str">
        <f t="shared" si="2632"/>
        <v>COM</v>
      </c>
      <c r="G13445" t="str">
        <f>"PENSE FARMA 39 (10228)"</f>
        <v>PENSE FARMA 39 (10228)</v>
      </c>
      <c r="H13445" t="s">
        <v>3669</v>
      </c>
      <c r="I13445" t="str">
        <f t="shared" si="2639"/>
        <v>26/11/2025</v>
      </c>
      <c r="J13445" t="str">
        <f t="shared" si="2642"/>
        <v>24/11/2025</v>
      </c>
      <c r="K13445">
        <v>45988</v>
      </c>
      <c r="N13445">
        <v>303</v>
      </c>
      <c r="O13445" t="s">
        <v>69</v>
      </c>
      <c r="Q13445">
        <v>843.5</v>
      </c>
      <c r="R13445" t="str">
        <f>"PENSE FARMA 03 (10216)"</f>
        <v>PENSE FARMA 03 (10216)</v>
      </c>
      <c r="S13445" t="s">
        <v>70</v>
      </c>
      <c r="T13445">
        <v>22990</v>
      </c>
      <c r="U13445">
        <v>26018</v>
      </c>
      <c r="V13445" t="s">
        <v>22</v>
      </c>
    </row>
    <row r="13446" spans="1:22">
      <c r="A13446" t="str">
        <f t="shared" si="2641"/>
        <v>27/11/2025</v>
      </c>
      <c r="B13446" t="str">
        <f t="shared" si="2637"/>
        <v>ENTRADA</v>
      </c>
      <c r="C13446" t="str">
        <f t="shared" si="2638"/>
        <v>NFSE</v>
      </c>
      <c r="D13446" t="str">
        <f>"3774"</f>
        <v>3774</v>
      </c>
      <c r="E13446" t="str">
        <f t="shared" si="2636"/>
        <v>1</v>
      </c>
      <c r="F13446" t="str">
        <f t="shared" si="2632"/>
        <v>COM</v>
      </c>
      <c r="G13446" t="str">
        <f>"PENSE FARMA 39 (10228)"</f>
        <v>PENSE FARMA 39 (10228)</v>
      </c>
      <c r="H13446" t="s">
        <v>3669</v>
      </c>
      <c r="I13446" t="str">
        <f t="shared" si="2639"/>
        <v>26/11/2025</v>
      </c>
      <c r="J13446" t="str">
        <f t="shared" si="2642"/>
        <v>24/11/2025</v>
      </c>
      <c r="K13446">
        <v>45988</v>
      </c>
      <c r="N13446">
        <v>303</v>
      </c>
      <c r="O13446" t="s">
        <v>69</v>
      </c>
      <c r="Q13446">
        <v>869.34</v>
      </c>
      <c r="R13446" t="str">
        <f>"PENSE FARMA 39 (10228)"</f>
        <v>PENSE FARMA 39 (10228)</v>
      </c>
      <c r="S13446" t="s">
        <v>70</v>
      </c>
      <c r="T13446">
        <v>22990</v>
      </c>
      <c r="U13446">
        <v>26018</v>
      </c>
      <c r="V13446" t="s">
        <v>22</v>
      </c>
    </row>
    <row r="13447" spans="1:22">
      <c r="A13447" t="str">
        <f t="shared" si="2641"/>
        <v>27/11/2025</v>
      </c>
      <c r="B13447" t="str">
        <f t="shared" si="2637"/>
        <v>ENTRADA</v>
      </c>
      <c r="C13447" t="str">
        <f t="shared" si="2638"/>
        <v>NFSE</v>
      </c>
      <c r="D13447" t="str">
        <f>"3775"</f>
        <v>3775</v>
      </c>
      <c r="E13447" t="str">
        <f t="shared" si="2636"/>
        <v>1</v>
      </c>
      <c r="F13447" t="str">
        <f t="shared" si="2632"/>
        <v>COM</v>
      </c>
      <c r="G13447" t="str">
        <f>"PENSE FARMA 47 (10232)"</f>
        <v>PENSE FARMA 47 (10232)</v>
      </c>
      <c r="H13447" t="str">
        <f>"Serv.Prest. 17/11/2025 a 23/11/2025 - RPS: 1651 - NFSe: 3775"</f>
        <v>Serv.Prest. 17/11/2025 a 23/11/2025 - RPS: 1651 - NFSe: 3775</v>
      </c>
      <c r="I13447" t="str">
        <f t="shared" si="2639"/>
        <v>26/11/2025</v>
      </c>
      <c r="J13447" t="str">
        <f t="shared" si="2642"/>
        <v>24/11/2025</v>
      </c>
      <c r="K13447" t="str">
        <f>("27/11/2025")</f>
        <v>27/11/2025</v>
      </c>
      <c r="L13447">
        <v>1814.63</v>
      </c>
      <c r="M13447">
        <v>1814.63</v>
      </c>
      <c r="N13447">
        <v>303</v>
      </c>
      <c r="O13447" t="str">
        <f>"RECEITAS COM ENTREGAS"</f>
        <v>RECEITAS COM ENTREGAS</v>
      </c>
      <c r="P13447">
        <v>1814.63</v>
      </c>
      <c r="S13447" t="str">
        <f>"RECEITAS COM ENTREGAS (303)"</f>
        <v>RECEITAS COM ENTREGAS (303)</v>
      </c>
      <c r="T13447">
        <v>22991</v>
      </c>
      <c r="U13447">
        <v>26022</v>
      </c>
      <c r="V13447" t="s">
        <v>22</v>
      </c>
    </row>
    <row r="13448" spans="1:22">
      <c r="A13448" t="str">
        <f t="shared" si="2641"/>
        <v>27/11/2025</v>
      </c>
      <c r="B13448" t="str">
        <f t="shared" si="2637"/>
        <v>ENTRADA</v>
      </c>
      <c r="C13448" t="str">
        <f t="shared" si="2638"/>
        <v>NFSE</v>
      </c>
      <c r="D13448" t="str">
        <f>"3775"</f>
        <v>3775</v>
      </c>
      <c r="E13448" t="str">
        <f t="shared" ref="E13448:E13479" si="2643">"1"</f>
        <v>1</v>
      </c>
      <c r="F13448" t="str">
        <f t="shared" si="2632"/>
        <v>COM</v>
      </c>
      <c r="G13448" t="str">
        <f>"PENSE FARMA 47 (10232)"</f>
        <v>PENSE FARMA 47 (10232)</v>
      </c>
      <c r="H13448" t="s">
        <v>3670</v>
      </c>
      <c r="I13448" t="str">
        <f t="shared" si="2639"/>
        <v>26/11/2025</v>
      </c>
      <c r="J13448" t="str">
        <f t="shared" si="2642"/>
        <v>24/11/2025</v>
      </c>
      <c r="K13448">
        <v>45988</v>
      </c>
      <c r="N13448">
        <v>303</v>
      </c>
      <c r="O13448" t="s">
        <v>69</v>
      </c>
      <c r="Q13448">
        <v>1814.63</v>
      </c>
      <c r="R13448" t="str">
        <f>"PENSE FARMA 47 (10232)"</f>
        <v>PENSE FARMA 47 (10232)</v>
      </c>
      <c r="S13448" t="s">
        <v>70</v>
      </c>
      <c r="T13448">
        <v>22991</v>
      </c>
      <c r="U13448">
        <v>26022</v>
      </c>
      <c r="V13448" t="s">
        <v>22</v>
      </c>
    </row>
    <row r="13449" spans="1:22">
      <c r="A13449" t="str">
        <f t="shared" si="2641"/>
        <v>27/11/2025</v>
      </c>
      <c r="B13449" t="str">
        <f t="shared" si="2637"/>
        <v>ENTRADA</v>
      </c>
      <c r="C13449" t="str">
        <f t="shared" si="2638"/>
        <v>NFSE</v>
      </c>
      <c r="D13449" t="str">
        <f>"3776"</f>
        <v>3776</v>
      </c>
      <c r="E13449" t="str">
        <f t="shared" si="2643"/>
        <v>1</v>
      </c>
      <c r="F13449" t="str">
        <f t="shared" si="2632"/>
        <v>COM</v>
      </c>
      <c r="G13449" t="str">
        <f>"PENSE FARMA 25 (10224)"</f>
        <v>PENSE FARMA 25 (10224)</v>
      </c>
      <c r="H13449" t="str">
        <f>"Serv.Prest. 17/11/2025 a 23/11/2025 - RPS: 1652 - NFSe: 3776"</f>
        <v>Serv.Prest. 17/11/2025 a 23/11/2025 - RPS: 1652 - NFSe: 3776</v>
      </c>
      <c r="I13449" t="str">
        <f t="shared" si="2639"/>
        <v>26/11/2025</v>
      </c>
      <c r="J13449" t="str">
        <f t="shared" si="2642"/>
        <v>24/11/2025</v>
      </c>
      <c r="K13449" t="str">
        <f>("27/11/2025")</f>
        <v>27/11/2025</v>
      </c>
      <c r="L13449">
        <v>3156.95</v>
      </c>
      <c r="M13449">
        <v>3156.95</v>
      </c>
      <c r="N13449">
        <v>303</v>
      </c>
      <c r="O13449" t="str">
        <f>"RECEITAS COM ENTREGAS"</f>
        <v>RECEITAS COM ENTREGAS</v>
      </c>
      <c r="P13449">
        <v>3156.95</v>
      </c>
      <c r="S13449" t="str">
        <f>"RECEITAS COM ENTREGAS (303)"</f>
        <v>RECEITAS COM ENTREGAS (303)</v>
      </c>
      <c r="T13449">
        <v>22992</v>
      </c>
      <c r="U13449">
        <v>26024</v>
      </c>
      <c r="V13449" t="s">
        <v>22</v>
      </c>
    </row>
    <row r="13450" spans="1:22">
      <c r="A13450" t="str">
        <f t="shared" si="2641"/>
        <v>27/11/2025</v>
      </c>
      <c r="B13450" t="str">
        <f t="shared" si="2637"/>
        <v>ENTRADA</v>
      </c>
      <c r="C13450" t="str">
        <f t="shared" si="2638"/>
        <v>NFSE</v>
      </c>
      <c r="D13450" t="str">
        <f>"3776"</f>
        <v>3776</v>
      </c>
      <c r="E13450" t="str">
        <f t="shared" si="2643"/>
        <v>1</v>
      </c>
      <c r="F13450" t="str">
        <f t="shared" si="2632"/>
        <v>COM</v>
      </c>
      <c r="G13450" t="str">
        <f>"PENSE FARMA 25 (10224)"</f>
        <v>PENSE FARMA 25 (10224)</v>
      </c>
      <c r="H13450" t="s">
        <v>3671</v>
      </c>
      <c r="I13450" t="str">
        <f t="shared" si="2639"/>
        <v>26/11/2025</v>
      </c>
      <c r="J13450" t="str">
        <f t="shared" si="2642"/>
        <v>24/11/2025</v>
      </c>
      <c r="K13450">
        <v>45988</v>
      </c>
      <c r="N13450">
        <v>303</v>
      </c>
      <c r="O13450" t="s">
        <v>69</v>
      </c>
      <c r="Q13450">
        <v>3156.95</v>
      </c>
      <c r="R13450" t="str">
        <f>"PENSE FARMA 25 (10224)"</f>
        <v>PENSE FARMA 25 (10224)</v>
      </c>
      <c r="S13450" t="s">
        <v>70</v>
      </c>
      <c r="T13450">
        <v>22992</v>
      </c>
      <c r="U13450">
        <v>26024</v>
      </c>
      <c r="V13450" t="s">
        <v>22</v>
      </c>
    </row>
    <row r="13451" spans="1:22">
      <c r="A13451" t="str">
        <f t="shared" si="2641"/>
        <v>27/11/2025</v>
      </c>
      <c r="B13451" t="str">
        <f t="shared" si="2637"/>
        <v>ENTRADA</v>
      </c>
      <c r="C13451" t="str">
        <f t="shared" si="2638"/>
        <v>NFSE</v>
      </c>
      <c r="D13451" t="str">
        <f>"3777"</f>
        <v>3777</v>
      </c>
      <c r="E13451" t="str">
        <f t="shared" si="2643"/>
        <v>1</v>
      </c>
      <c r="F13451" t="str">
        <f t="shared" si="2632"/>
        <v>COM</v>
      </c>
      <c r="G13451" t="str">
        <f>"PENSE FARMA 35 (10227)"</f>
        <v>PENSE FARMA 35 (10227)</v>
      </c>
      <c r="H13451" t="str">
        <f>"Serv.Prest. 17/11/2025 a 23/11/2025 - RPS: 1653 - NFSe: 3777"</f>
        <v>Serv.Prest. 17/11/2025 a 23/11/2025 - RPS: 1653 - NFSe: 3777</v>
      </c>
      <c r="I13451" t="str">
        <f t="shared" si="2639"/>
        <v>26/11/2025</v>
      </c>
      <c r="J13451" t="str">
        <f t="shared" si="2642"/>
        <v>24/11/2025</v>
      </c>
      <c r="K13451" t="str">
        <f>("27/11/2025")</f>
        <v>27/11/2025</v>
      </c>
      <c r="L13451">
        <v>971.55</v>
      </c>
      <c r="M13451">
        <v>971.55</v>
      </c>
      <c r="N13451">
        <v>303</v>
      </c>
      <c r="O13451" t="str">
        <f>"RECEITAS COM ENTREGAS"</f>
        <v>RECEITAS COM ENTREGAS</v>
      </c>
      <c r="P13451">
        <v>971.55</v>
      </c>
      <c r="S13451" t="str">
        <f>"RECEITAS COM ENTREGAS (303)"</f>
        <v>RECEITAS COM ENTREGAS (303)</v>
      </c>
      <c r="T13451">
        <v>22993</v>
      </c>
      <c r="U13451">
        <v>26027</v>
      </c>
      <c r="V13451" t="s">
        <v>22</v>
      </c>
    </row>
    <row r="13452" spans="1:22">
      <c r="A13452" t="str">
        <f t="shared" si="2641"/>
        <v>27/11/2025</v>
      </c>
      <c r="B13452" t="str">
        <f t="shared" ref="B13452:B13483" si="2644">"ENTRADA"</f>
        <v>ENTRADA</v>
      </c>
      <c r="C13452" t="str">
        <f t="shared" ref="C13452:C13483" si="2645">"NFSE"</f>
        <v>NFSE</v>
      </c>
      <c r="D13452" t="str">
        <f>"3777"</f>
        <v>3777</v>
      </c>
      <c r="E13452" t="str">
        <f t="shared" si="2643"/>
        <v>1</v>
      </c>
      <c r="F13452" t="str">
        <f t="shared" si="2632"/>
        <v>COM</v>
      </c>
      <c r="G13452" t="str">
        <f>"PENSE FARMA 35 (10227)"</f>
        <v>PENSE FARMA 35 (10227)</v>
      </c>
      <c r="H13452" t="s">
        <v>3672</v>
      </c>
      <c r="I13452" t="str">
        <f t="shared" ref="I13452:I13483" si="2646">("26/11/2025")</f>
        <v>26/11/2025</v>
      </c>
      <c r="J13452" t="str">
        <f t="shared" si="2642"/>
        <v>24/11/2025</v>
      </c>
      <c r="K13452">
        <v>45988</v>
      </c>
      <c r="N13452">
        <v>303</v>
      </c>
      <c r="O13452" t="s">
        <v>69</v>
      </c>
      <c r="Q13452">
        <v>971.55</v>
      </c>
      <c r="R13452" t="str">
        <f>"PENSE FARMA 35 (10227)"</f>
        <v>PENSE FARMA 35 (10227)</v>
      </c>
      <c r="S13452" t="s">
        <v>70</v>
      </c>
      <c r="T13452">
        <v>22993</v>
      </c>
      <c r="U13452">
        <v>26027</v>
      </c>
      <c r="V13452" t="s">
        <v>22</v>
      </c>
    </row>
    <row r="13453" spans="1:22">
      <c r="A13453" t="str">
        <f t="shared" si="2641"/>
        <v>27/11/2025</v>
      </c>
      <c r="B13453" t="str">
        <f t="shared" si="2644"/>
        <v>ENTRADA</v>
      </c>
      <c r="C13453" t="str">
        <f t="shared" si="2645"/>
        <v>NFSE</v>
      </c>
      <c r="D13453" t="str">
        <f t="shared" ref="D13453:D13458" si="2647">"3778"</f>
        <v>3778</v>
      </c>
      <c r="E13453" t="str">
        <f t="shared" si="2643"/>
        <v>1</v>
      </c>
      <c r="F13453" t="str">
        <f t="shared" si="2632"/>
        <v>COM</v>
      </c>
      <c r="G13453" t="str">
        <f t="shared" ref="G13453:G13458" si="2648">"PENSE FARMA 08 (10217)"</f>
        <v>PENSE FARMA 08 (10217)</v>
      </c>
      <c r="H13453" t="str">
        <f>"Serv.Prest. 17/11/2025 a 23/11/2025 - RPS: 1654 - NFSe: 3778"</f>
        <v>Serv.Prest. 17/11/2025 a 23/11/2025 - RPS: 1654 - NFSe: 3778</v>
      </c>
      <c r="I13453" t="str">
        <f t="shared" si="2646"/>
        <v>26/11/2025</v>
      </c>
      <c r="J13453" t="str">
        <f t="shared" si="2642"/>
        <v>24/11/2025</v>
      </c>
      <c r="K13453" t="str">
        <f>("27/11/2025")</f>
        <v>27/11/2025</v>
      </c>
      <c r="L13453">
        <v>3340.5</v>
      </c>
      <c r="M13453">
        <v>3340.5</v>
      </c>
      <c r="N13453">
        <v>303</v>
      </c>
      <c r="O13453" t="str">
        <f>"RECEITAS COM ENTREGAS"</f>
        <v>RECEITAS COM ENTREGAS</v>
      </c>
      <c r="P13453">
        <v>3340.5</v>
      </c>
      <c r="S13453" t="str">
        <f>"RECEITAS COM ENTREGAS (303)"</f>
        <v>RECEITAS COM ENTREGAS (303)</v>
      </c>
      <c r="T13453">
        <v>22994</v>
      </c>
      <c r="U13453">
        <v>26029</v>
      </c>
      <c r="V13453" t="s">
        <v>22</v>
      </c>
    </row>
    <row r="13454" spans="1:22">
      <c r="A13454" t="str">
        <f t="shared" si="2641"/>
        <v>27/11/2025</v>
      </c>
      <c r="B13454" t="str">
        <f t="shared" si="2644"/>
        <v>ENTRADA</v>
      </c>
      <c r="C13454" t="str">
        <f t="shared" si="2645"/>
        <v>NFSE</v>
      </c>
      <c r="D13454" t="str">
        <f t="shared" si="2647"/>
        <v>3778</v>
      </c>
      <c r="E13454" t="str">
        <f t="shared" si="2643"/>
        <v>1</v>
      </c>
      <c r="F13454" t="str">
        <f t="shared" si="2632"/>
        <v>COM</v>
      </c>
      <c r="G13454" t="str">
        <f t="shared" si="2648"/>
        <v>PENSE FARMA 08 (10217)</v>
      </c>
      <c r="H13454" t="s">
        <v>3673</v>
      </c>
      <c r="I13454" t="str">
        <f t="shared" si="2646"/>
        <v>26/11/2025</v>
      </c>
      <c r="J13454" t="str">
        <f t="shared" si="2642"/>
        <v>24/11/2025</v>
      </c>
      <c r="K13454">
        <v>45988</v>
      </c>
      <c r="N13454">
        <v>303</v>
      </c>
      <c r="O13454" t="s">
        <v>69</v>
      </c>
      <c r="Q13454">
        <v>668.1</v>
      </c>
      <c r="R13454" t="str">
        <f>"PENSE FARMA 08 (10217)"</f>
        <v>PENSE FARMA 08 (10217)</v>
      </c>
      <c r="S13454" t="s">
        <v>70</v>
      </c>
      <c r="T13454">
        <v>22994</v>
      </c>
      <c r="U13454">
        <v>26029</v>
      </c>
      <c r="V13454" t="s">
        <v>22</v>
      </c>
    </row>
    <row r="13455" spans="1:22">
      <c r="A13455" t="str">
        <f t="shared" si="2641"/>
        <v>27/11/2025</v>
      </c>
      <c r="B13455" t="str">
        <f t="shared" si="2644"/>
        <v>ENTRADA</v>
      </c>
      <c r="C13455" t="str">
        <f t="shared" si="2645"/>
        <v>NFSE</v>
      </c>
      <c r="D13455" t="str">
        <f t="shared" si="2647"/>
        <v>3778</v>
      </c>
      <c r="E13455" t="str">
        <f t="shared" si="2643"/>
        <v>1</v>
      </c>
      <c r="F13455" t="str">
        <f t="shared" si="2632"/>
        <v>COM</v>
      </c>
      <c r="G13455" t="str">
        <f t="shared" si="2648"/>
        <v>PENSE FARMA 08 (10217)</v>
      </c>
      <c r="H13455" t="s">
        <v>3673</v>
      </c>
      <c r="I13455" t="str">
        <f t="shared" si="2646"/>
        <v>26/11/2025</v>
      </c>
      <c r="J13455" t="str">
        <f t="shared" si="2642"/>
        <v>24/11/2025</v>
      </c>
      <c r="K13455">
        <v>45988</v>
      </c>
      <c r="N13455">
        <v>303</v>
      </c>
      <c r="O13455" t="s">
        <v>69</v>
      </c>
      <c r="Q13455">
        <v>668.1</v>
      </c>
      <c r="R13455" t="str">
        <f>"PENSE FARMA 11 (10220)"</f>
        <v>PENSE FARMA 11 (10220)</v>
      </c>
      <c r="S13455" t="s">
        <v>70</v>
      </c>
      <c r="T13455">
        <v>22994</v>
      </c>
      <c r="U13455">
        <v>26029</v>
      </c>
      <c r="V13455" t="s">
        <v>22</v>
      </c>
    </row>
    <row r="13456" spans="1:22">
      <c r="A13456" t="str">
        <f t="shared" si="2641"/>
        <v>27/11/2025</v>
      </c>
      <c r="B13456" t="str">
        <f t="shared" si="2644"/>
        <v>ENTRADA</v>
      </c>
      <c r="C13456" t="str">
        <f t="shared" si="2645"/>
        <v>NFSE</v>
      </c>
      <c r="D13456" t="str">
        <f t="shared" si="2647"/>
        <v>3778</v>
      </c>
      <c r="E13456" t="str">
        <f t="shared" si="2643"/>
        <v>1</v>
      </c>
      <c r="F13456" t="str">
        <f t="shared" si="2632"/>
        <v>COM</v>
      </c>
      <c r="G13456" t="str">
        <f t="shared" si="2648"/>
        <v>PENSE FARMA 08 (10217)</v>
      </c>
      <c r="H13456" t="s">
        <v>3673</v>
      </c>
      <c r="I13456" t="str">
        <f t="shared" si="2646"/>
        <v>26/11/2025</v>
      </c>
      <c r="J13456" t="str">
        <f t="shared" si="2642"/>
        <v>24/11/2025</v>
      </c>
      <c r="K13456">
        <v>45988</v>
      </c>
      <c r="N13456">
        <v>303</v>
      </c>
      <c r="O13456" t="s">
        <v>69</v>
      </c>
      <c r="Q13456">
        <v>668.1</v>
      </c>
      <c r="R13456" t="str">
        <f>"PENSE FARMA 41 (10229)"</f>
        <v>PENSE FARMA 41 (10229)</v>
      </c>
      <c r="S13456" t="s">
        <v>70</v>
      </c>
      <c r="T13456">
        <v>22994</v>
      </c>
      <c r="U13456">
        <v>26029</v>
      </c>
      <c r="V13456" t="s">
        <v>22</v>
      </c>
    </row>
    <row r="13457" spans="1:22">
      <c r="A13457" t="str">
        <f t="shared" si="2641"/>
        <v>27/11/2025</v>
      </c>
      <c r="B13457" t="str">
        <f t="shared" si="2644"/>
        <v>ENTRADA</v>
      </c>
      <c r="C13457" t="str">
        <f t="shared" si="2645"/>
        <v>NFSE</v>
      </c>
      <c r="D13457" t="str">
        <f t="shared" si="2647"/>
        <v>3778</v>
      </c>
      <c r="E13457" t="str">
        <f t="shared" si="2643"/>
        <v>1</v>
      </c>
      <c r="F13457" t="str">
        <f t="shared" si="2632"/>
        <v>COM</v>
      </c>
      <c r="G13457" t="str">
        <f t="shared" si="2648"/>
        <v>PENSE FARMA 08 (10217)</v>
      </c>
      <c r="H13457" t="s">
        <v>3673</v>
      </c>
      <c r="I13457" t="str">
        <f t="shared" si="2646"/>
        <v>26/11/2025</v>
      </c>
      <c r="J13457" t="str">
        <f t="shared" si="2642"/>
        <v>24/11/2025</v>
      </c>
      <c r="K13457">
        <v>45988</v>
      </c>
      <c r="N13457">
        <v>303</v>
      </c>
      <c r="O13457" t="s">
        <v>69</v>
      </c>
      <c r="Q13457">
        <v>668.1</v>
      </c>
      <c r="R13457" t="str">
        <f>"PENSE FARMA 42 (10230)"</f>
        <v>PENSE FARMA 42 (10230)</v>
      </c>
      <c r="S13457" t="s">
        <v>70</v>
      </c>
      <c r="T13457">
        <v>22994</v>
      </c>
      <c r="U13457">
        <v>26029</v>
      </c>
      <c r="V13457" t="s">
        <v>22</v>
      </c>
    </row>
    <row r="13458" spans="1:22">
      <c r="A13458" t="str">
        <f t="shared" si="2641"/>
        <v>27/11/2025</v>
      </c>
      <c r="B13458" t="str">
        <f t="shared" si="2644"/>
        <v>ENTRADA</v>
      </c>
      <c r="C13458" t="str">
        <f t="shared" si="2645"/>
        <v>NFSE</v>
      </c>
      <c r="D13458" t="str">
        <f t="shared" si="2647"/>
        <v>3778</v>
      </c>
      <c r="E13458" t="str">
        <f t="shared" si="2643"/>
        <v>1</v>
      </c>
      <c r="F13458" t="str">
        <f t="shared" si="2632"/>
        <v>COM</v>
      </c>
      <c r="G13458" t="str">
        <f t="shared" si="2648"/>
        <v>PENSE FARMA 08 (10217)</v>
      </c>
      <c r="H13458" t="s">
        <v>3673</v>
      </c>
      <c r="I13458" t="str">
        <f t="shared" si="2646"/>
        <v>26/11/2025</v>
      </c>
      <c r="J13458" t="str">
        <f t="shared" si="2642"/>
        <v>24/11/2025</v>
      </c>
      <c r="K13458">
        <v>45988</v>
      </c>
      <c r="N13458">
        <v>303</v>
      </c>
      <c r="O13458" t="s">
        <v>69</v>
      </c>
      <c r="Q13458">
        <v>668.1</v>
      </c>
      <c r="R13458" t="str">
        <f>"PENSE FARMA 52 (10236)"</f>
        <v>PENSE FARMA 52 (10236)</v>
      </c>
      <c r="S13458" t="s">
        <v>70</v>
      </c>
      <c r="T13458">
        <v>22994</v>
      </c>
      <c r="U13458">
        <v>26029</v>
      </c>
      <c r="V13458" t="s">
        <v>22</v>
      </c>
    </row>
    <row r="13459" spans="1:22">
      <c r="A13459" t="str">
        <f t="shared" si="2641"/>
        <v>27/11/2025</v>
      </c>
      <c r="B13459" t="str">
        <f t="shared" si="2644"/>
        <v>ENTRADA</v>
      </c>
      <c r="C13459" t="str">
        <f t="shared" si="2645"/>
        <v>NFSE</v>
      </c>
      <c r="D13459" t="str">
        <f>"3779"</f>
        <v>3779</v>
      </c>
      <c r="E13459" t="str">
        <f t="shared" si="2643"/>
        <v>1</v>
      </c>
      <c r="F13459" t="str">
        <f t="shared" ref="F13459:F13522" si="2649">"COM"</f>
        <v>COM</v>
      </c>
      <c r="G13459" t="str">
        <f>"PENSE FARMA 09 (10218)"</f>
        <v>PENSE FARMA 09 (10218)</v>
      </c>
      <c r="H13459" t="str">
        <f>"Serv.Prest. 17/11/2025 a 23/11/2025 - RPS: 1655 - NFSe: 3779"</f>
        <v>Serv.Prest. 17/11/2025 a 23/11/2025 - RPS: 1655 - NFSe: 3779</v>
      </c>
      <c r="I13459" t="str">
        <f t="shared" si="2646"/>
        <v>26/11/2025</v>
      </c>
      <c r="J13459" t="str">
        <f t="shared" ref="J13459:J13489" si="2650">("24/11/2025")</f>
        <v>24/11/2025</v>
      </c>
      <c r="K13459" t="str">
        <f>("27/11/2025")</f>
        <v>27/11/2025</v>
      </c>
      <c r="L13459">
        <v>1907.06</v>
      </c>
      <c r="M13459">
        <v>1907.06</v>
      </c>
      <c r="N13459">
        <v>303</v>
      </c>
      <c r="O13459" t="str">
        <f>"RECEITAS COM ENTREGAS"</f>
        <v>RECEITAS COM ENTREGAS</v>
      </c>
      <c r="P13459">
        <v>1907.06</v>
      </c>
      <c r="S13459" t="str">
        <f>"RECEITAS COM ENTREGAS (303)"</f>
        <v>RECEITAS COM ENTREGAS (303)</v>
      </c>
      <c r="T13459">
        <v>22995</v>
      </c>
      <c r="U13459">
        <v>26032</v>
      </c>
      <c r="V13459" t="s">
        <v>22</v>
      </c>
    </row>
    <row r="13460" spans="1:22">
      <c r="A13460" t="str">
        <f t="shared" si="2641"/>
        <v>27/11/2025</v>
      </c>
      <c r="B13460" t="str">
        <f t="shared" si="2644"/>
        <v>ENTRADA</v>
      </c>
      <c r="C13460" t="str">
        <f t="shared" si="2645"/>
        <v>NFSE</v>
      </c>
      <c r="D13460" t="str">
        <f>"3779"</f>
        <v>3779</v>
      </c>
      <c r="E13460" t="str">
        <f t="shared" si="2643"/>
        <v>1</v>
      </c>
      <c r="F13460" t="str">
        <f t="shared" si="2649"/>
        <v>COM</v>
      </c>
      <c r="G13460" t="str">
        <f>"PENSE FARMA 09 (10218)"</f>
        <v>PENSE FARMA 09 (10218)</v>
      </c>
      <c r="H13460" t="s">
        <v>3674</v>
      </c>
      <c r="I13460" t="str">
        <f t="shared" si="2646"/>
        <v>26/11/2025</v>
      </c>
      <c r="J13460" t="str">
        <f t="shared" si="2650"/>
        <v>24/11/2025</v>
      </c>
      <c r="K13460">
        <v>45988</v>
      </c>
      <c r="N13460">
        <v>303</v>
      </c>
      <c r="O13460" t="s">
        <v>69</v>
      </c>
      <c r="Q13460">
        <v>953.53</v>
      </c>
      <c r="R13460" t="str">
        <f>"PENSE FARMA 09 (10218)"</f>
        <v>PENSE FARMA 09 (10218)</v>
      </c>
      <c r="S13460" t="s">
        <v>70</v>
      </c>
      <c r="T13460">
        <v>22995</v>
      </c>
      <c r="U13460">
        <v>26032</v>
      </c>
      <c r="V13460" t="s">
        <v>22</v>
      </c>
    </row>
    <row r="13461" spans="1:22">
      <c r="A13461" t="str">
        <f t="shared" si="2641"/>
        <v>27/11/2025</v>
      </c>
      <c r="B13461" t="str">
        <f t="shared" si="2644"/>
        <v>ENTRADA</v>
      </c>
      <c r="C13461" t="str">
        <f t="shared" si="2645"/>
        <v>NFSE</v>
      </c>
      <c r="D13461" t="str">
        <f>"3779"</f>
        <v>3779</v>
      </c>
      <c r="E13461" t="str">
        <f t="shared" si="2643"/>
        <v>1</v>
      </c>
      <c r="F13461" t="str">
        <f t="shared" si="2649"/>
        <v>COM</v>
      </c>
      <c r="G13461" t="str">
        <f>"PENSE FARMA 09 (10218)"</f>
        <v>PENSE FARMA 09 (10218)</v>
      </c>
      <c r="H13461" t="s">
        <v>3674</v>
      </c>
      <c r="I13461" t="str">
        <f t="shared" si="2646"/>
        <v>26/11/2025</v>
      </c>
      <c r="J13461" t="str">
        <f t="shared" si="2650"/>
        <v>24/11/2025</v>
      </c>
      <c r="K13461">
        <v>45988</v>
      </c>
      <c r="N13461">
        <v>303</v>
      </c>
      <c r="O13461" t="s">
        <v>69</v>
      </c>
      <c r="Q13461">
        <v>953.53</v>
      </c>
      <c r="R13461" t="str">
        <f>"PENSE FARMA 10 (10219)"</f>
        <v>PENSE FARMA 10 (10219)</v>
      </c>
      <c r="S13461" t="s">
        <v>70</v>
      </c>
      <c r="T13461">
        <v>22995</v>
      </c>
      <c r="U13461">
        <v>26032</v>
      </c>
      <c r="V13461" t="s">
        <v>22</v>
      </c>
    </row>
    <row r="13462" spans="1:22">
      <c r="A13462" t="str">
        <f t="shared" si="2641"/>
        <v>27/11/2025</v>
      </c>
      <c r="B13462" t="str">
        <f t="shared" si="2644"/>
        <v>ENTRADA</v>
      </c>
      <c r="C13462" t="str">
        <f t="shared" si="2645"/>
        <v>NFSE</v>
      </c>
      <c r="D13462" t="str">
        <f>"3780"</f>
        <v>3780</v>
      </c>
      <c r="E13462" t="str">
        <f t="shared" si="2643"/>
        <v>1</v>
      </c>
      <c r="F13462" t="str">
        <f t="shared" si="2649"/>
        <v>COM</v>
      </c>
      <c r="G13462" t="str">
        <f>"PENSE FARMA 46 (10194)"</f>
        <v>PENSE FARMA 46 (10194)</v>
      </c>
      <c r="H13462" t="str">
        <f>"Serv.Prest. 17/11/2025 a 23/11/2025 - RPS: 1656 - NFSe: 3780"</f>
        <v>Serv.Prest. 17/11/2025 a 23/11/2025 - RPS: 1656 - NFSe: 3780</v>
      </c>
      <c r="I13462" t="str">
        <f t="shared" si="2646"/>
        <v>26/11/2025</v>
      </c>
      <c r="J13462" t="str">
        <f t="shared" si="2650"/>
        <v>24/11/2025</v>
      </c>
      <c r="K13462" t="str">
        <f>("27/11/2025")</f>
        <v>27/11/2025</v>
      </c>
      <c r="L13462">
        <v>1938</v>
      </c>
      <c r="M13462">
        <v>1938</v>
      </c>
      <c r="N13462">
        <v>303</v>
      </c>
      <c r="O13462" t="str">
        <f>"RECEITAS COM ENTREGAS"</f>
        <v>RECEITAS COM ENTREGAS</v>
      </c>
      <c r="P13462">
        <v>1938</v>
      </c>
      <c r="S13462" t="str">
        <f>"RECEITAS COM ENTREGAS (303)"</f>
        <v>RECEITAS COM ENTREGAS (303)</v>
      </c>
      <c r="T13462">
        <v>22996</v>
      </c>
      <c r="U13462">
        <v>26050</v>
      </c>
      <c r="V13462" t="s">
        <v>22</v>
      </c>
    </row>
    <row r="13463" spans="1:22">
      <c r="A13463" t="str">
        <f t="shared" si="2641"/>
        <v>27/11/2025</v>
      </c>
      <c r="B13463" t="str">
        <f t="shared" si="2644"/>
        <v>ENTRADA</v>
      </c>
      <c r="C13463" t="str">
        <f t="shared" si="2645"/>
        <v>NFSE</v>
      </c>
      <c r="D13463" t="str">
        <f>"3780"</f>
        <v>3780</v>
      </c>
      <c r="E13463" t="str">
        <f t="shared" si="2643"/>
        <v>1</v>
      </c>
      <c r="F13463" t="str">
        <f t="shared" si="2649"/>
        <v>COM</v>
      </c>
      <c r="G13463" t="str">
        <f>"PENSE FARMA 46 (10194)"</f>
        <v>PENSE FARMA 46 (10194)</v>
      </c>
      <c r="H13463" t="s">
        <v>3675</v>
      </c>
      <c r="I13463" t="str">
        <f t="shared" si="2646"/>
        <v>26/11/2025</v>
      </c>
      <c r="J13463" t="str">
        <f t="shared" si="2650"/>
        <v>24/11/2025</v>
      </c>
      <c r="K13463">
        <v>45988</v>
      </c>
      <c r="N13463">
        <v>303</v>
      </c>
      <c r="O13463" t="s">
        <v>69</v>
      </c>
      <c r="Q13463">
        <v>1938</v>
      </c>
      <c r="R13463" t="str">
        <f>"PENSE FARMA 46 (10194)"</f>
        <v>PENSE FARMA 46 (10194)</v>
      </c>
      <c r="S13463" t="s">
        <v>70</v>
      </c>
      <c r="T13463">
        <v>22996</v>
      </c>
      <c r="U13463">
        <v>26050</v>
      </c>
      <c r="V13463" t="s">
        <v>22</v>
      </c>
    </row>
    <row r="13464" spans="1:22">
      <c r="A13464" t="str">
        <f t="shared" si="2641"/>
        <v>27/11/2025</v>
      </c>
      <c r="B13464" t="str">
        <f t="shared" si="2644"/>
        <v>ENTRADA</v>
      </c>
      <c r="C13464" t="str">
        <f t="shared" si="2645"/>
        <v>NFSE</v>
      </c>
      <c r="D13464" t="str">
        <f t="shared" ref="D13464:D13470" si="2651">"3781"</f>
        <v>3781</v>
      </c>
      <c r="E13464" t="str">
        <f t="shared" si="2643"/>
        <v>1</v>
      </c>
      <c r="F13464" t="str">
        <f t="shared" si="2649"/>
        <v>COM</v>
      </c>
      <c r="G13464" t="str">
        <f t="shared" ref="G13464:G13470" si="2652">"PENSE FARMA 36 (10206)"</f>
        <v>PENSE FARMA 36 (10206)</v>
      </c>
      <c r="H13464" t="str">
        <f>"Serv.Prest. 17/11/2025 a 23/11/2025 - RPS: 1657 - NFSe: 3781"</f>
        <v>Serv.Prest. 17/11/2025 a 23/11/2025 - RPS: 1657 - NFSe: 3781</v>
      </c>
      <c r="I13464" t="str">
        <f t="shared" si="2646"/>
        <v>26/11/2025</v>
      </c>
      <c r="J13464" t="str">
        <f t="shared" si="2650"/>
        <v>24/11/2025</v>
      </c>
      <c r="K13464" t="str">
        <f>("27/11/2025")</f>
        <v>27/11/2025</v>
      </c>
      <c r="L13464">
        <v>5068.12</v>
      </c>
      <c r="M13464">
        <v>5068.12</v>
      </c>
      <c r="N13464">
        <v>303</v>
      </c>
      <c r="O13464" t="str">
        <f>"RECEITAS COM ENTREGAS"</f>
        <v>RECEITAS COM ENTREGAS</v>
      </c>
      <c r="P13464">
        <v>5068.12</v>
      </c>
      <c r="S13464" t="str">
        <f>"RECEITAS COM ENTREGAS (303)"</f>
        <v>RECEITAS COM ENTREGAS (303)</v>
      </c>
      <c r="T13464">
        <v>22997</v>
      </c>
      <c r="U13464">
        <v>26056</v>
      </c>
      <c r="V13464" t="s">
        <v>22</v>
      </c>
    </row>
    <row r="13465" spans="1:22">
      <c r="A13465" t="str">
        <f t="shared" si="2641"/>
        <v>27/11/2025</v>
      </c>
      <c r="B13465" t="str">
        <f t="shared" si="2644"/>
        <v>ENTRADA</v>
      </c>
      <c r="C13465" t="str">
        <f t="shared" si="2645"/>
        <v>NFSE</v>
      </c>
      <c r="D13465" t="str">
        <f t="shared" si="2651"/>
        <v>3781</v>
      </c>
      <c r="E13465" t="str">
        <f t="shared" si="2643"/>
        <v>1</v>
      </c>
      <c r="F13465" t="str">
        <f t="shared" si="2649"/>
        <v>COM</v>
      </c>
      <c r="G13465" t="str">
        <f t="shared" si="2652"/>
        <v>PENSE FARMA 36 (10206)</v>
      </c>
      <c r="H13465" t="s">
        <v>3676</v>
      </c>
      <c r="I13465" t="str">
        <f t="shared" si="2646"/>
        <v>26/11/2025</v>
      </c>
      <c r="J13465" t="str">
        <f t="shared" si="2650"/>
        <v>24/11/2025</v>
      </c>
      <c r="K13465">
        <v>45988</v>
      </c>
      <c r="N13465">
        <v>303</v>
      </c>
      <c r="O13465" t="s">
        <v>69</v>
      </c>
      <c r="Q13465">
        <v>840.31</v>
      </c>
      <c r="R13465" t="str">
        <f>"PENSE FARMA 20 (10203)"</f>
        <v>PENSE FARMA 20 (10203)</v>
      </c>
      <c r="S13465" t="s">
        <v>70</v>
      </c>
      <c r="T13465">
        <v>22997</v>
      </c>
      <c r="U13465">
        <v>26056</v>
      </c>
      <c r="V13465" t="s">
        <v>22</v>
      </c>
    </row>
    <row r="13466" spans="1:22">
      <c r="A13466" t="str">
        <f t="shared" si="2641"/>
        <v>27/11/2025</v>
      </c>
      <c r="B13466" t="str">
        <f t="shared" si="2644"/>
        <v>ENTRADA</v>
      </c>
      <c r="C13466" t="str">
        <f t="shared" si="2645"/>
        <v>NFSE</v>
      </c>
      <c r="D13466" t="str">
        <f t="shared" si="2651"/>
        <v>3781</v>
      </c>
      <c r="E13466" t="str">
        <f t="shared" si="2643"/>
        <v>1</v>
      </c>
      <c r="F13466" t="str">
        <f t="shared" si="2649"/>
        <v>COM</v>
      </c>
      <c r="G13466" t="str">
        <f t="shared" si="2652"/>
        <v>PENSE FARMA 36 (10206)</v>
      </c>
      <c r="H13466" t="s">
        <v>3676</v>
      </c>
      <c r="I13466" t="str">
        <f t="shared" si="2646"/>
        <v>26/11/2025</v>
      </c>
      <c r="J13466" t="str">
        <f t="shared" si="2650"/>
        <v>24/11/2025</v>
      </c>
      <c r="K13466">
        <v>45988</v>
      </c>
      <c r="N13466">
        <v>303</v>
      </c>
      <c r="O13466" t="s">
        <v>69</v>
      </c>
      <c r="Q13466">
        <v>840.29</v>
      </c>
      <c r="R13466" t="str">
        <f>"PENSE FARMA 36 (10206)"</f>
        <v>PENSE FARMA 36 (10206)</v>
      </c>
      <c r="S13466" t="s">
        <v>70</v>
      </c>
      <c r="T13466">
        <v>22997</v>
      </c>
      <c r="U13466">
        <v>26056</v>
      </c>
      <c r="V13466" t="s">
        <v>22</v>
      </c>
    </row>
    <row r="13467" spans="1:22">
      <c r="A13467" t="str">
        <f t="shared" si="2641"/>
        <v>27/11/2025</v>
      </c>
      <c r="B13467" t="str">
        <f t="shared" si="2644"/>
        <v>ENTRADA</v>
      </c>
      <c r="C13467" t="str">
        <f t="shared" si="2645"/>
        <v>NFSE</v>
      </c>
      <c r="D13467" t="str">
        <f t="shared" si="2651"/>
        <v>3781</v>
      </c>
      <c r="E13467" t="str">
        <f t="shared" si="2643"/>
        <v>1</v>
      </c>
      <c r="F13467" t="str">
        <f t="shared" si="2649"/>
        <v>COM</v>
      </c>
      <c r="G13467" t="str">
        <f t="shared" si="2652"/>
        <v>PENSE FARMA 36 (10206)</v>
      </c>
      <c r="H13467" t="s">
        <v>3676</v>
      </c>
      <c r="I13467" t="str">
        <f t="shared" si="2646"/>
        <v>26/11/2025</v>
      </c>
      <c r="J13467" t="str">
        <f t="shared" si="2650"/>
        <v>24/11/2025</v>
      </c>
      <c r="K13467">
        <v>45988</v>
      </c>
      <c r="N13467">
        <v>303</v>
      </c>
      <c r="O13467" t="s">
        <v>69</v>
      </c>
      <c r="Q13467">
        <v>840.29</v>
      </c>
      <c r="R13467" t="str">
        <f>"PENSE FARMA 40 (10207)"</f>
        <v>PENSE FARMA 40 (10207)</v>
      </c>
      <c r="S13467" t="s">
        <v>70</v>
      </c>
      <c r="T13467">
        <v>22997</v>
      </c>
      <c r="U13467">
        <v>26056</v>
      </c>
      <c r="V13467" t="s">
        <v>22</v>
      </c>
    </row>
    <row r="13468" spans="1:22">
      <c r="A13468" t="str">
        <f t="shared" si="2641"/>
        <v>27/11/2025</v>
      </c>
      <c r="B13468" t="str">
        <f t="shared" si="2644"/>
        <v>ENTRADA</v>
      </c>
      <c r="C13468" t="str">
        <f t="shared" si="2645"/>
        <v>NFSE</v>
      </c>
      <c r="D13468" t="str">
        <f t="shared" si="2651"/>
        <v>3781</v>
      </c>
      <c r="E13468" t="str">
        <f t="shared" si="2643"/>
        <v>1</v>
      </c>
      <c r="F13468" t="str">
        <f t="shared" si="2649"/>
        <v>COM</v>
      </c>
      <c r="G13468" t="str">
        <f t="shared" si="2652"/>
        <v>PENSE FARMA 36 (10206)</v>
      </c>
      <c r="H13468" t="s">
        <v>3676</v>
      </c>
      <c r="I13468" t="str">
        <f t="shared" si="2646"/>
        <v>26/11/2025</v>
      </c>
      <c r="J13468" t="str">
        <f t="shared" si="2650"/>
        <v>24/11/2025</v>
      </c>
      <c r="K13468">
        <v>45988</v>
      </c>
      <c r="N13468">
        <v>303</v>
      </c>
      <c r="O13468" t="s">
        <v>69</v>
      </c>
      <c r="Q13468">
        <v>840.29</v>
      </c>
      <c r="R13468" t="str">
        <f>"PENSE FARMA 43 (10208)"</f>
        <v>PENSE FARMA 43 (10208)</v>
      </c>
      <c r="S13468" t="s">
        <v>70</v>
      </c>
      <c r="T13468">
        <v>22997</v>
      </c>
      <c r="U13468">
        <v>26056</v>
      </c>
      <c r="V13468" t="s">
        <v>22</v>
      </c>
    </row>
    <row r="13469" spans="1:22">
      <c r="A13469" t="str">
        <f t="shared" si="2641"/>
        <v>27/11/2025</v>
      </c>
      <c r="B13469" t="str">
        <f t="shared" si="2644"/>
        <v>ENTRADA</v>
      </c>
      <c r="C13469" t="str">
        <f t="shared" si="2645"/>
        <v>NFSE</v>
      </c>
      <c r="D13469" t="str">
        <f t="shared" si="2651"/>
        <v>3781</v>
      </c>
      <c r="E13469" t="str">
        <f t="shared" si="2643"/>
        <v>1</v>
      </c>
      <c r="F13469" t="str">
        <f t="shared" si="2649"/>
        <v>COM</v>
      </c>
      <c r="G13469" t="str">
        <f t="shared" si="2652"/>
        <v>PENSE FARMA 36 (10206)</v>
      </c>
      <c r="H13469" t="s">
        <v>3676</v>
      </c>
      <c r="I13469" t="str">
        <f t="shared" si="2646"/>
        <v>26/11/2025</v>
      </c>
      <c r="J13469" t="str">
        <f t="shared" si="2650"/>
        <v>24/11/2025</v>
      </c>
      <c r="K13469">
        <v>45988</v>
      </c>
      <c r="N13469">
        <v>303</v>
      </c>
      <c r="O13469" t="s">
        <v>69</v>
      </c>
      <c r="Q13469">
        <v>840.29</v>
      </c>
      <c r="R13469" t="str">
        <f>"PENSE FARMA 59 (10211)"</f>
        <v>PENSE FARMA 59 (10211)</v>
      </c>
      <c r="S13469" t="s">
        <v>70</v>
      </c>
      <c r="T13469">
        <v>22997</v>
      </c>
      <c r="U13469">
        <v>26056</v>
      </c>
      <c r="V13469" t="s">
        <v>22</v>
      </c>
    </row>
    <row r="13470" spans="1:22">
      <c r="A13470" t="str">
        <f t="shared" si="2641"/>
        <v>27/11/2025</v>
      </c>
      <c r="B13470" t="str">
        <f t="shared" si="2644"/>
        <v>ENTRADA</v>
      </c>
      <c r="C13470" t="str">
        <f t="shared" si="2645"/>
        <v>NFSE</v>
      </c>
      <c r="D13470" t="str">
        <f t="shared" si="2651"/>
        <v>3781</v>
      </c>
      <c r="E13470" t="str">
        <f t="shared" si="2643"/>
        <v>1</v>
      </c>
      <c r="F13470" t="str">
        <f t="shared" si="2649"/>
        <v>COM</v>
      </c>
      <c r="G13470" t="str">
        <f t="shared" si="2652"/>
        <v>PENSE FARMA 36 (10206)</v>
      </c>
      <c r="H13470" t="s">
        <v>3676</v>
      </c>
      <c r="I13470" t="str">
        <f t="shared" si="2646"/>
        <v>26/11/2025</v>
      </c>
      <c r="J13470" t="str">
        <f t="shared" si="2650"/>
        <v>24/11/2025</v>
      </c>
      <c r="K13470">
        <v>45988</v>
      </c>
      <c r="N13470">
        <v>303</v>
      </c>
      <c r="O13470" t="s">
        <v>69</v>
      </c>
      <c r="Q13470">
        <v>866.65</v>
      </c>
      <c r="R13470" t="str">
        <f>"PENSE FARMA DARK STORE 361 (10212)"</f>
        <v>PENSE FARMA DARK STORE 361 (10212)</v>
      </c>
      <c r="S13470" t="s">
        <v>70</v>
      </c>
      <c r="T13470">
        <v>22997</v>
      </c>
      <c r="U13470">
        <v>26056</v>
      </c>
      <c r="V13470" t="s">
        <v>22</v>
      </c>
    </row>
    <row r="13471" spans="1:22">
      <c r="A13471" t="str">
        <f t="shared" si="2641"/>
        <v>27/11/2025</v>
      </c>
      <c r="B13471" t="str">
        <f t="shared" si="2644"/>
        <v>ENTRADA</v>
      </c>
      <c r="C13471" t="str">
        <f t="shared" si="2645"/>
        <v>NFSE</v>
      </c>
      <c r="D13471" t="str">
        <f>"3782"</f>
        <v>3782</v>
      </c>
      <c r="E13471" t="str">
        <f t="shared" si="2643"/>
        <v>1</v>
      </c>
      <c r="F13471" t="str">
        <f t="shared" si="2649"/>
        <v>COM</v>
      </c>
      <c r="G13471" t="str">
        <f>"PENSE FARMA 27 (10204)"</f>
        <v>PENSE FARMA 27 (10204)</v>
      </c>
      <c r="H13471" t="str">
        <f>"Serv.Prest. 17/11/2025 a 23/11/2025 - RPS: 1658 - NFSe: 3782"</f>
        <v>Serv.Prest. 17/11/2025 a 23/11/2025 - RPS: 1658 - NFSe: 3782</v>
      </c>
      <c r="I13471" t="str">
        <f t="shared" si="2646"/>
        <v>26/11/2025</v>
      </c>
      <c r="J13471" t="str">
        <f t="shared" si="2650"/>
        <v>24/11/2025</v>
      </c>
      <c r="K13471" t="str">
        <f>("27/11/2025")</f>
        <v>27/11/2025</v>
      </c>
      <c r="L13471">
        <v>3272.5</v>
      </c>
      <c r="M13471">
        <v>3272.5</v>
      </c>
      <c r="N13471">
        <v>303</v>
      </c>
      <c r="O13471" t="str">
        <f>"RECEITAS COM ENTREGAS"</f>
        <v>RECEITAS COM ENTREGAS</v>
      </c>
      <c r="P13471">
        <v>3272.5</v>
      </c>
      <c r="S13471" t="str">
        <f>"RECEITAS COM ENTREGAS (303)"</f>
        <v>RECEITAS COM ENTREGAS (303)</v>
      </c>
      <c r="T13471">
        <v>22998</v>
      </c>
      <c r="U13471">
        <v>26061</v>
      </c>
      <c r="V13471" t="s">
        <v>22</v>
      </c>
    </row>
    <row r="13472" spans="1:22">
      <c r="A13472" t="str">
        <f t="shared" si="2641"/>
        <v>27/11/2025</v>
      </c>
      <c r="B13472" t="str">
        <f t="shared" si="2644"/>
        <v>ENTRADA</v>
      </c>
      <c r="C13472" t="str">
        <f t="shared" si="2645"/>
        <v>NFSE</v>
      </c>
      <c r="D13472" t="str">
        <f>"3782"</f>
        <v>3782</v>
      </c>
      <c r="E13472" t="str">
        <f t="shared" si="2643"/>
        <v>1</v>
      </c>
      <c r="F13472" t="str">
        <f t="shared" si="2649"/>
        <v>COM</v>
      </c>
      <c r="G13472" t="str">
        <f>"PENSE FARMA 27 (10204)"</f>
        <v>PENSE FARMA 27 (10204)</v>
      </c>
      <c r="H13472" t="s">
        <v>3677</v>
      </c>
      <c r="I13472" t="str">
        <f t="shared" si="2646"/>
        <v>26/11/2025</v>
      </c>
      <c r="J13472" t="str">
        <f t="shared" si="2650"/>
        <v>24/11/2025</v>
      </c>
      <c r="K13472">
        <v>45988</v>
      </c>
      <c r="N13472">
        <v>303</v>
      </c>
      <c r="O13472" t="s">
        <v>69</v>
      </c>
      <c r="Q13472">
        <v>1088.76</v>
      </c>
      <c r="R13472" t="str">
        <f>"PENSE FARMA 05 (10200)"</f>
        <v>PENSE FARMA 05 (10200)</v>
      </c>
      <c r="S13472" t="s">
        <v>70</v>
      </c>
      <c r="T13472">
        <v>22998</v>
      </c>
      <c r="U13472">
        <v>26061</v>
      </c>
      <c r="V13472" t="s">
        <v>22</v>
      </c>
    </row>
    <row r="13473" spans="1:22">
      <c r="A13473" t="str">
        <f t="shared" si="2641"/>
        <v>27/11/2025</v>
      </c>
      <c r="B13473" t="str">
        <f t="shared" si="2644"/>
        <v>ENTRADA</v>
      </c>
      <c r="C13473" t="str">
        <f t="shared" si="2645"/>
        <v>NFSE</v>
      </c>
      <c r="D13473" t="str">
        <f>"3782"</f>
        <v>3782</v>
      </c>
      <c r="E13473" t="str">
        <f t="shared" si="2643"/>
        <v>1</v>
      </c>
      <c r="F13473" t="str">
        <f t="shared" si="2649"/>
        <v>COM</v>
      </c>
      <c r="G13473" t="str">
        <f>"PENSE FARMA 27 (10204)"</f>
        <v>PENSE FARMA 27 (10204)</v>
      </c>
      <c r="H13473" t="s">
        <v>3677</v>
      </c>
      <c r="I13473" t="str">
        <f t="shared" si="2646"/>
        <v>26/11/2025</v>
      </c>
      <c r="J13473" t="str">
        <f t="shared" si="2650"/>
        <v>24/11/2025</v>
      </c>
      <c r="K13473">
        <v>45988</v>
      </c>
      <c r="N13473">
        <v>303</v>
      </c>
      <c r="O13473" t="s">
        <v>69</v>
      </c>
      <c r="Q13473">
        <v>1088.76</v>
      </c>
      <c r="R13473" t="str">
        <f>"PENSE FARMA 13 (10202)"</f>
        <v>PENSE FARMA 13 (10202)</v>
      </c>
      <c r="S13473" t="s">
        <v>70</v>
      </c>
      <c r="T13473">
        <v>22998</v>
      </c>
      <c r="U13473">
        <v>26061</v>
      </c>
      <c r="V13473" t="s">
        <v>22</v>
      </c>
    </row>
    <row r="13474" spans="1:22">
      <c r="A13474" t="str">
        <f t="shared" si="2641"/>
        <v>27/11/2025</v>
      </c>
      <c r="B13474" t="str">
        <f t="shared" si="2644"/>
        <v>ENTRADA</v>
      </c>
      <c r="C13474" t="str">
        <f t="shared" si="2645"/>
        <v>NFSE</v>
      </c>
      <c r="D13474" t="str">
        <f>"3782"</f>
        <v>3782</v>
      </c>
      <c r="E13474" t="str">
        <f t="shared" si="2643"/>
        <v>1</v>
      </c>
      <c r="F13474" t="str">
        <f t="shared" si="2649"/>
        <v>COM</v>
      </c>
      <c r="G13474" t="str">
        <f>"PENSE FARMA 27 (10204)"</f>
        <v>PENSE FARMA 27 (10204)</v>
      </c>
      <c r="H13474" t="s">
        <v>3677</v>
      </c>
      <c r="I13474" t="str">
        <f t="shared" si="2646"/>
        <v>26/11/2025</v>
      </c>
      <c r="J13474" t="str">
        <f t="shared" si="2650"/>
        <v>24/11/2025</v>
      </c>
      <c r="K13474">
        <v>45988</v>
      </c>
      <c r="N13474">
        <v>303</v>
      </c>
      <c r="O13474" t="s">
        <v>69</v>
      </c>
      <c r="Q13474">
        <v>1094.98</v>
      </c>
      <c r="R13474" t="str">
        <f>"PENSE FARMA 27 (10204)"</f>
        <v>PENSE FARMA 27 (10204)</v>
      </c>
      <c r="S13474" t="s">
        <v>70</v>
      </c>
      <c r="T13474">
        <v>22998</v>
      </c>
      <c r="U13474">
        <v>26061</v>
      </c>
      <c r="V13474" t="s">
        <v>22</v>
      </c>
    </row>
    <row r="13475" spans="1:22">
      <c r="A13475" t="str">
        <f t="shared" si="2641"/>
        <v>27/11/2025</v>
      </c>
      <c r="B13475" t="str">
        <f t="shared" si="2644"/>
        <v>ENTRADA</v>
      </c>
      <c r="C13475" t="str">
        <f t="shared" si="2645"/>
        <v>NFSE</v>
      </c>
      <c r="D13475" t="str">
        <f>"3784"</f>
        <v>3784</v>
      </c>
      <c r="E13475" t="str">
        <f t="shared" si="2643"/>
        <v>1</v>
      </c>
      <c r="F13475" t="str">
        <f t="shared" si="2649"/>
        <v>COM</v>
      </c>
      <c r="G13475" t="str">
        <f>"PENSE FARMA 07 (10201)"</f>
        <v>PENSE FARMA 07 (10201)</v>
      </c>
      <c r="H13475" t="str">
        <f>"Serv.Prest. 17/11/2025 a 23/11/2025 - RPS: 1660 - NFSe: 3784"</f>
        <v>Serv.Prest. 17/11/2025 a 23/11/2025 - RPS: 1660 - NFSe: 3784</v>
      </c>
      <c r="I13475" t="str">
        <f t="shared" si="2646"/>
        <v>26/11/2025</v>
      </c>
      <c r="J13475" t="str">
        <f t="shared" si="2650"/>
        <v>24/11/2025</v>
      </c>
      <c r="K13475" t="str">
        <f>("27/11/2025")</f>
        <v>27/11/2025</v>
      </c>
      <c r="L13475">
        <v>1755.25</v>
      </c>
      <c r="M13475">
        <v>1755.25</v>
      </c>
      <c r="N13475">
        <v>303</v>
      </c>
      <c r="O13475" t="str">
        <f>"RECEITAS COM ENTREGAS"</f>
        <v>RECEITAS COM ENTREGAS</v>
      </c>
      <c r="P13475">
        <v>1755.25</v>
      </c>
      <c r="S13475" t="str">
        <f>"RECEITAS COM ENTREGAS (303)"</f>
        <v>RECEITAS COM ENTREGAS (303)</v>
      </c>
      <c r="T13475">
        <v>22999</v>
      </c>
      <c r="U13475">
        <v>26079</v>
      </c>
      <c r="V13475" t="s">
        <v>22</v>
      </c>
    </row>
    <row r="13476" spans="1:22">
      <c r="A13476" t="str">
        <f t="shared" si="2641"/>
        <v>27/11/2025</v>
      </c>
      <c r="B13476" t="str">
        <f t="shared" si="2644"/>
        <v>ENTRADA</v>
      </c>
      <c r="C13476" t="str">
        <f t="shared" si="2645"/>
        <v>NFSE</v>
      </c>
      <c r="D13476" t="str">
        <f>"3784"</f>
        <v>3784</v>
      </c>
      <c r="E13476" t="str">
        <f t="shared" si="2643"/>
        <v>1</v>
      </c>
      <c r="F13476" t="str">
        <f t="shared" si="2649"/>
        <v>COM</v>
      </c>
      <c r="G13476" t="str">
        <f>"PENSE FARMA 07 (10201)"</f>
        <v>PENSE FARMA 07 (10201)</v>
      </c>
      <c r="H13476" t="s">
        <v>3678</v>
      </c>
      <c r="I13476" t="str">
        <f t="shared" si="2646"/>
        <v>26/11/2025</v>
      </c>
      <c r="J13476" t="str">
        <f t="shared" si="2650"/>
        <v>24/11/2025</v>
      </c>
      <c r="K13476">
        <v>45988</v>
      </c>
      <c r="N13476">
        <v>303</v>
      </c>
      <c r="O13476" t="s">
        <v>69</v>
      </c>
      <c r="Q13476">
        <v>583.1</v>
      </c>
      <c r="R13476" t="str">
        <f>"PENSE FARMA 07 (10201)"</f>
        <v>PENSE FARMA 07 (10201)</v>
      </c>
      <c r="S13476" t="s">
        <v>70</v>
      </c>
      <c r="T13476">
        <v>22999</v>
      </c>
      <c r="U13476">
        <v>26079</v>
      </c>
      <c r="V13476" t="s">
        <v>22</v>
      </c>
    </row>
    <row r="13477" spans="1:22">
      <c r="A13477" t="str">
        <f t="shared" si="2641"/>
        <v>27/11/2025</v>
      </c>
      <c r="B13477" t="str">
        <f t="shared" si="2644"/>
        <v>ENTRADA</v>
      </c>
      <c r="C13477" t="str">
        <f t="shared" si="2645"/>
        <v>NFSE</v>
      </c>
      <c r="D13477" t="str">
        <f>"3784"</f>
        <v>3784</v>
      </c>
      <c r="E13477" t="str">
        <f t="shared" si="2643"/>
        <v>1</v>
      </c>
      <c r="F13477" t="str">
        <f t="shared" si="2649"/>
        <v>COM</v>
      </c>
      <c r="G13477" t="str">
        <f>"PENSE FARMA 07 (10201)"</f>
        <v>PENSE FARMA 07 (10201)</v>
      </c>
      <c r="H13477" t="s">
        <v>3678</v>
      </c>
      <c r="I13477" t="str">
        <f t="shared" si="2646"/>
        <v>26/11/2025</v>
      </c>
      <c r="J13477" t="str">
        <f t="shared" si="2650"/>
        <v>24/11/2025</v>
      </c>
      <c r="K13477">
        <v>45988</v>
      </c>
      <c r="N13477">
        <v>303</v>
      </c>
      <c r="O13477" t="s">
        <v>69</v>
      </c>
      <c r="Q13477">
        <v>583.09</v>
      </c>
      <c r="R13477" t="str">
        <f>"PENSE FARMA 45 (10209)"</f>
        <v>PENSE FARMA 45 (10209)</v>
      </c>
      <c r="S13477" t="s">
        <v>70</v>
      </c>
      <c r="T13477">
        <v>22999</v>
      </c>
      <c r="U13477">
        <v>26079</v>
      </c>
      <c r="V13477" t="s">
        <v>22</v>
      </c>
    </row>
    <row r="13478" spans="1:22">
      <c r="A13478" t="str">
        <f t="shared" si="2641"/>
        <v>27/11/2025</v>
      </c>
      <c r="B13478" t="str">
        <f t="shared" si="2644"/>
        <v>ENTRADA</v>
      </c>
      <c r="C13478" t="str">
        <f t="shared" si="2645"/>
        <v>NFSE</v>
      </c>
      <c r="D13478" t="str">
        <f>"3784"</f>
        <v>3784</v>
      </c>
      <c r="E13478" t="str">
        <f t="shared" si="2643"/>
        <v>1</v>
      </c>
      <c r="F13478" t="str">
        <f t="shared" si="2649"/>
        <v>COM</v>
      </c>
      <c r="G13478" t="str">
        <f>"PENSE FARMA 07 (10201)"</f>
        <v>PENSE FARMA 07 (10201)</v>
      </c>
      <c r="H13478" t="s">
        <v>3678</v>
      </c>
      <c r="I13478" t="str">
        <f t="shared" si="2646"/>
        <v>26/11/2025</v>
      </c>
      <c r="J13478" t="str">
        <f t="shared" si="2650"/>
        <v>24/11/2025</v>
      </c>
      <c r="K13478">
        <v>45988</v>
      </c>
      <c r="N13478">
        <v>303</v>
      </c>
      <c r="O13478" t="s">
        <v>69</v>
      </c>
      <c r="Q13478">
        <v>589.05999999999995</v>
      </c>
      <c r="R13478" t="str">
        <f>"PENSE FARMA 50 (10210)"</f>
        <v>PENSE FARMA 50 (10210)</v>
      </c>
      <c r="S13478" t="s">
        <v>70</v>
      </c>
      <c r="T13478">
        <v>22999</v>
      </c>
      <c r="U13478">
        <v>26079</v>
      </c>
      <c r="V13478" t="s">
        <v>22</v>
      </c>
    </row>
    <row r="13479" spans="1:22">
      <c r="A13479" t="str">
        <f t="shared" si="2641"/>
        <v>27/11/2025</v>
      </c>
      <c r="B13479" t="str">
        <f t="shared" si="2644"/>
        <v>ENTRADA</v>
      </c>
      <c r="C13479" t="str">
        <f t="shared" si="2645"/>
        <v>NFSE</v>
      </c>
      <c r="D13479" t="str">
        <f>"3785"</f>
        <v>3785</v>
      </c>
      <c r="E13479" t="str">
        <f t="shared" si="2643"/>
        <v>1</v>
      </c>
      <c r="F13479" t="str">
        <f t="shared" si="2649"/>
        <v>COM</v>
      </c>
      <c r="G13479" t="str">
        <f>"PENSE FARMA 15 (10195)"</f>
        <v>PENSE FARMA 15 (10195)</v>
      </c>
      <c r="H13479" t="str">
        <f>"Serv.Prest. 17/11/2025 a 23/11/2025 - RPS: 1661 - NFSe: 3785"</f>
        <v>Serv.Prest. 17/11/2025 a 23/11/2025 - RPS: 1661 - NFSe: 3785</v>
      </c>
      <c r="I13479" t="str">
        <f t="shared" si="2646"/>
        <v>26/11/2025</v>
      </c>
      <c r="J13479" t="str">
        <f t="shared" si="2650"/>
        <v>24/11/2025</v>
      </c>
      <c r="K13479" t="str">
        <f>("27/11/2025")</f>
        <v>27/11/2025</v>
      </c>
      <c r="L13479">
        <v>3638</v>
      </c>
      <c r="M13479">
        <v>3638</v>
      </c>
      <c r="N13479">
        <v>303</v>
      </c>
      <c r="O13479" t="str">
        <f>"RECEITAS COM ENTREGAS"</f>
        <v>RECEITAS COM ENTREGAS</v>
      </c>
      <c r="P13479">
        <v>3638</v>
      </c>
      <c r="S13479" t="str">
        <f>"RECEITAS COM ENTREGAS (303)"</f>
        <v>RECEITAS COM ENTREGAS (303)</v>
      </c>
      <c r="T13479">
        <v>23000</v>
      </c>
      <c r="U13479">
        <v>26099</v>
      </c>
      <c r="V13479" t="s">
        <v>22</v>
      </c>
    </row>
    <row r="13480" spans="1:22">
      <c r="A13480" t="str">
        <f t="shared" si="2641"/>
        <v>27/11/2025</v>
      </c>
      <c r="B13480" t="str">
        <f t="shared" si="2644"/>
        <v>ENTRADA</v>
      </c>
      <c r="C13480" t="str">
        <f t="shared" si="2645"/>
        <v>NFSE</v>
      </c>
      <c r="D13480" t="str">
        <f>"3785"</f>
        <v>3785</v>
      </c>
      <c r="E13480" t="str">
        <f t="shared" ref="E13480:E13505" si="2653">"1"</f>
        <v>1</v>
      </c>
      <c r="F13480" t="str">
        <f t="shared" si="2649"/>
        <v>COM</v>
      </c>
      <c r="G13480" t="str">
        <f>"PENSE FARMA 15 (10195)"</f>
        <v>PENSE FARMA 15 (10195)</v>
      </c>
      <c r="H13480" t="s">
        <v>3679</v>
      </c>
      <c r="I13480" t="str">
        <f t="shared" si="2646"/>
        <v>26/11/2025</v>
      </c>
      <c r="J13480" t="str">
        <f t="shared" si="2650"/>
        <v>24/11/2025</v>
      </c>
      <c r="K13480">
        <v>45988</v>
      </c>
      <c r="N13480">
        <v>303</v>
      </c>
      <c r="O13480" t="s">
        <v>69</v>
      </c>
      <c r="Q13480">
        <v>909.5</v>
      </c>
      <c r="R13480" t="str">
        <f>"PENSE FARMA 15 (10195)"</f>
        <v>PENSE FARMA 15 (10195)</v>
      </c>
      <c r="S13480" t="s">
        <v>70</v>
      </c>
      <c r="T13480">
        <v>23000</v>
      </c>
      <c r="U13480">
        <v>26099</v>
      </c>
      <c r="V13480" t="s">
        <v>22</v>
      </c>
    </row>
    <row r="13481" spans="1:22">
      <c r="A13481" t="str">
        <f t="shared" si="2641"/>
        <v>27/11/2025</v>
      </c>
      <c r="B13481" t="str">
        <f t="shared" si="2644"/>
        <v>ENTRADA</v>
      </c>
      <c r="C13481" t="str">
        <f t="shared" si="2645"/>
        <v>NFSE</v>
      </c>
      <c r="D13481" t="str">
        <f>"3785"</f>
        <v>3785</v>
      </c>
      <c r="E13481" t="str">
        <f t="shared" si="2653"/>
        <v>1</v>
      </c>
      <c r="F13481" t="str">
        <f t="shared" si="2649"/>
        <v>COM</v>
      </c>
      <c r="G13481" t="str">
        <f>"PENSE FARMA 15 (10195)"</f>
        <v>PENSE FARMA 15 (10195)</v>
      </c>
      <c r="H13481" t="s">
        <v>3679</v>
      </c>
      <c r="I13481" t="str">
        <f t="shared" si="2646"/>
        <v>26/11/2025</v>
      </c>
      <c r="J13481" t="str">
        <f t="shared" si="2650"/>
        <v>24/11/2025</v>
      </c>
      <c r="K13481">
        <v>45988</v>
      </c>
      <c r="N13481">
        <v>303</v>
      </c>
      <c r="O13481" t="s">
        <v>69</v>
      </c>
      <c r="Q13481">
        <v>909.5</v>
      </c>
      <c r="R13481" t="str">
        <f>"PENSE FARMA 26 (10196)"</f>
        <v>PENSE FARMA 26 (10196)</v>
      </c>
      <c r="S13481" t="s">
        <v>70</v>
      </c>
      <c r="T13481">
        <v>23000</v>
      </c>
      <c r="U13481">
        <v>26099</v>
      </c>
      <c r="V13481" t="s">
        <v>22</v>
      </c>
    </row>
    <row r="13482" spans="1:22">
      <c r="A13482" t="str">
        <f t="shared" si="2641"/>
        <v>27/11/2025</v>
      </c>
      <c r="B13482" t="str">
        <f t="shared" si="2644"/>
        <v>ENTRADA</v>
      </c>
      <c r="C13482" t="str">
        <f t="shared" si="2645"/>
        <v>NFSE</v>
      </c>
      <c r="D13482" t="str">
        <f>"3785"</f>
        <v>3785</v>
      </c>
      <c r="E13482" t="str">
        <f t="shared" si="2653"/>
        <v>1</v>
      </c>
      <c r="F13482" t="str">
        <f t="shared" si="2649"/>
        <v>COM</v>
      </c>
      <c r="G13482" t="str">
        <f>"PENSE FARMA 15 (10195)"</f>
        <v>PENSE FARMA 15 (10195)</v>
      </c>
      <c r="H13482" t="s">
        <v>3679</v>
      </c>
      <c r="I13482" t="str">
        <f t="shared" si="2646"/>
        <v>26/11/2025</v>
      </c>
      <c r="J13482" t="str">
        <f t="shared" si="2650"/>
        <v>24/11/2025</v>
      </c>
      <c r="K13482">
        <v>45988</v>
      </c>
      <c r="N13482">
        <v>303</v>
      </c>
      <c r="O13482" t="s">
        <v>69</v>
      </c>
      <c r="Q13482">
        <v>909.5</v>
      </c>
      <c r="R13482" t="str">
        <f>"PENSE FARMA 60 (10197)"</f>
        <v>PENSE FARMA 60 (10197)</v>
      </c>
      <c r="S13482" t="s">
        <v>70</v>
      </c>
      <c r="T13482">
        <v>23000</v>
      </c>
      <c r="U13482">
        <v>26099</v>
      </c>
      <c r="V13482" t="s">
        <v>22</v>
      </c>
    </row>
    <row r="13483" spans="1:22">
      <c r="A13483" t="str">
        <f t="shared" si="2641"/>
        <v>27/11/2025</v>
      </c>
      <c r="B13483" t="str">
        <f t="shared" si="2644"/>
        <v>ENTRADA</v>
      </c>
      <c r="C13483" t="str">
        <f t="shared" si="2645"/>
        <v>NFSE</v>
      </c>
      <c r="D13483" t="str">
        <f>"3785"</f>
        <v>3785</v>
      </c>
      <c r="E13483" t="str">
        <f t="shared" si="2653"/>
        <v>1</v>
      </c>
      <c r="F13483" t="str">
        <f t="shared" si="2649"/>
        <v>COM</v>
      </c>
      <c r="G13483" t="str">
        <f>"PENSE FARMA 15 (10195)"</f>
        <v>PENSE FARMA 15 (10195)</v>
      </c>
      <c r="H13483" t="s">
        <v>3679</v>
      </c>
      <c r="I13483" t="str">
        <f t="shared" si="2646"/>
        <v>26/11/2025</v>
      </c>
      <c r="J13483" t="str">
        <f t="shared" si="2650"/>
        <v>24/11/2025</v>
      </c>
      <c r="K13483">
        <v>45988</v>
      </c>
      <c r="N13483">
        <v>303</v>
      </c>
      <c r="O13483" t="s">
        <v>69</v>
      </c>
      <c r="Q13483">
        <v>909.5</v>
      </c>
      <c r="R13483" t="str">
        <f>"PENSE FARMA 61 (10243)"</f>
        <v>PENSE FARMA 61 (10243)</v>
      </c>
      <c r="S13483" t="s">
        <v>70</v>
      </c>
      <c r="T13483">
        <v>23000</v>
      </c>
      <c r="U13483">
        <v>26099</v>
      </c>
      <c r="V13483" t="s">
        <v>22</v>
      </c>
    </row>
    <row r="13484" spans="1:22">
      <c r="A13484" t="str">
        <f t="shared" si="2641"/>
        <v>27/11/2025</v>
      </c>
      <c r="B13484" t="str">
        <f t="shared" ref="B13484:B13497" si="2654">"ENTRADA"</f>
        <v>ENTRADA</v>
      </c>
      <c r="C13484" t="str">
        <f t="shared" ref="C13484:C13497" si="2655">"NFSE"</f>
        <v>NFSE</v>
      </c>
      <c r="D13484" t="str">
        <f>"3786"</f>
        <v>3786</v>
      </c>
      <c r="E13484" t="str">
        <f t="shared" si="2653"/>
        <v>1</v>
      </c>
      <c r="F13484" t="str">
        <f t="shared" si="2649"/>
        <v>COM</v>
      </c>
      <c r="G13484" t="str">
        <f>"PENSE FARMA 22 (10198)"</f>
        <v>PENSE FARMA 22 (10198)</v>
      </c>
      <c r="H13484" t="str">
        <f>"Serv.Prest. 17/11/2025 a 23/11/2025 - RPS: 1662 - NFSe: 3786"</f>
        <v>Serv.Prest. 17/11/2025 a 23/11/2025 - RPS: 1662 - NFSe: 3786</v>
      </c>
      <c r="I13484" t="str">
        <f t="shared" ref="I13484:I13497" si="2656">("26/11/2025")</f>
        <v>26/11/2025</v>
      </c>
      <c r="J13484" t="str">
        <f t="shared" si="2650"/>
        <v>24/11/2025</v>
      </c>
      <c r="K13484" t="str">
        <f>("27/11/2025")</f>
        <v>27/11/2025</v>
      </c>
      <c r="L13484">
        <v>4031.91</v>
      </c>
      <c r="M13484">
        <v>4031.91</v>
      </c>
      <c r="N13484">
        <v>303</v>
      </c>
      <c r="O13484" t="str">
        <f>"RECEITAS COM ENTREGAS"</f>
        <v>RECEITAS COM ENTREGAS</v>
      </c>
      <c r="P13484">
        <v>4031.91</v>
      </c>
      <c r="S13484" t="str">
        <f>"RECEITAS COM ENTREGAS (303)"</f>
        <v>RECEITAS COM ENTREGAS (303)</v>
      </c>
      <c r="T13484">
        <v>23001</v>
      </c>
      <c r="U13484">
        <v>26110</v>
      </c>
      <c r="V13484" t="s">
        <v>22</v>
      </c>
    </row>
    <row r="13485" spans="1:22">
      <c r="A13485" t="str">
        <f t="shared" si="2641"/>
        <v>27/11/2025</v>
      </c>
      <c r="B13485" t="str">
        <f t="shared" si="2654"/>
        <v>ENTRADA</v>
      </c>
      <c r="C13485" t="str">
        <f t="shared" si="2655"/>
        <v>NFSE</v>
      </c>
      <c r="D13485" t="str">
        <f>"3786"</f>
        <v>3786</v>
      </c>
      <c r="E13485" t="str">
        <f t="shared" si="2653"/>
        <v>1</v>
      </c>
      <c r="F13485" t="str">
        <f t="shared" si="2649"/>
        <v>COM</v>
      </c>
      <c r="G13485" t="str">
        <f>"PENSE FARMA 22 (10198)"</f>
        <v>PENSE FARMA 22 (10198)</v>
      </c>
      <c r="H13485" t="s">
        <v>3680</v>
      </c>
      <c r="I13485" t="str">
        <f t="shared" si="2656"/>
        <v>26/11/2025</v>
      </c>
      <c r="J13485" t="str">
        <f t="shared" si="2650"/>
        <v>24/11/2025</v>
      </c>
      <c r="K13485">
        <v>45988</v>
      </c>
      <c r="N13485">
        <v>303</v>
      </c>
      <c r="O13485" t="s">
        <v>69</v>
      </c>
      <c r="Q13485">
        <v>4031.91</v>
      </c>
      <c r="R13485" t="str">
        <f>"PENSE FARMA 22 (10198)"</f>
        <v>PENSE FARMA 22 (10198)</v>
      </c>
      <c r="S13485" t="s">
        <v>70</v>
      </c>
      <c r="T13485">
        <v>23001</v>
      </c>
      <c r="U13485">
        <v>26110</v>
      </c>
      <c r="V13485" t="s">
        <v>22</v>
      </c>
    </row>
    <row r="13486" spans="1:22">
      <c r="A13486" t="str">
        <f t="shared" si="2641"/>
        <v>27/11/2025</v>
      </c>
      <c r="B13486" t="str">
        <f t="shared" si="2654"/>
        <v>ENTRADA</v>
      </c>
      <c r="C13486" t="str">
        <f t="shared" si="2655"/>
        <v>NFSE</v>
      </c>
      <c r="D13486" t="str">
        <f>"3788"</f>
        <v>3788</v>
      </c>
      <c r="E13486" t="str">
        <f t="shared" si="2653"/>
        <v>1</v>
      </c>
      <c r="F13486" t="str">
        <f t="shared" si="2649"/>
        <v>COM</v>
      </c>
      <c r="G13486" t="str">
        <f>"DROGARIA MEDIC CENTER LTDA (10172)"</f>
        <v>DROGARIA MEDIC CENTER LTDA (10172)</v>
      </c>
      <c r="H13486" t="str">
        <f>"Serv.Prest. 17/11/2025 a 23/11/2025 - RPS: 1664 - NFSe: 3788"</f>
        <v>Serv.Prest. 17/11/2025 a 23/11/2025 - RPS: 1664 - NFSe: 3788</v>
      </c>
      <c r="I13486" t="str">
        <f t="shared" si="2656"/>
        <v>26/11/2025</v>
      </c>
      <c r="J13486" t="str">
        <f t="shared" si="2650"/>
        <v>24/11/2025</v>
      </c>
      <c r="K13486" t="str">
        <f>("27/11/2025")</f>
        <v>27/11/2025</v>
      </c>
      <c r="L13486">
        <v>899.1</v>
      </c>
      <c r="M13486">
        <v>899.1</v>
      </c>
      <c r="N13486">
        <v>303</v>
      </c>
      <c r="O13486" t="str">
        <f>"RECEITAS COM ENTREGAS"</f>
        <v>RECEITAS COM ENTREGAS</v>
      </c>
      <c r="P13486">
        <v>899.1</v>
      </c>
      <c r="S13486" t="str">
        <f>"RECEITAS COM ENTREGAS (303)"</f>
        <v>RECEITAS COM ENTREGAS (303)</v>
      </c>
      <c r="T13486">
        <v>23002</v>
      </c>
      <c r="U13486">
        <v>26122</v>
      </c>
      <c r="V13486" t="s">
        <v>22</v>
      </c>
    </row>
    <row r="13487" spans="1:22">
      <c r="A13487" t="str">
        <f t="shared" si="2641"/>
        <v>27/11/2025</v>
      </c>
      <c r="B13487" t="str">
        <f t="shared" si="2654"/>
        <v>ENTRADA</v>
      </c>
      <c r="C13487" t="str">
        <f t="shared" si="2655"/>
        <v>NFSE</v>
      </c>
      <c r="D13487" t="str">
        <f>"3788"</f>
        <v>3788</v>
      </c>
      <c r="E13487" t="str">
        <f t="shared" si="2653"/>
        <v>1</v>
      </c>
      <c r="F13487" t="str">
        <f t="shared" si="2649"/>
        <v>COM</v>
      </c>
      <c r="G13487" t="str">
        <f>"DROGARIA MEDIC CENTER LTDA (10172)"</f>
        <v>DROGARIA MEDIC CENTER LTDA (10172)</v>
      </c>
      <c r="H13487" t="s">
        <v>3681</v>
      </c>
      <c r="I13487" t="str">
        <f t="shared" si="2656"/>
        <v>26/11/2025</v>
      </c>
      <c r="J13487" t="str">
        <f t="shared" si="2650"/>
        <v>24/11/2025</v>
      </c>
      <c r="K13487">
        <v>45988</v>
      </c>
      <c r="N13487">
        <v>303</v>
      </c>
      <c r="O13487" t="s">
        <v>69</v>
      </c>
      <c r="Q13487">
        <v>899.1</v>
      </c>
      <c r="R13487" t="str">
        <f>"DROGARIA MEDIC CENTER LTDA (10172)"</f>
        <v>DROGARIA MEDIC CENTER LTDA (10172)</v>
      </c>
      <c r="S13487" t="s">
        <v>70</v>
      </c>
      <c r="T13487">
        <v>23002</v>
      </c>
      <c r="U13487">
        <v>26122</v>
      </c>
      <c r="V13487" t="s">
        <v>22</v>
      </c>
    </row>
    <row r="13488" spans="1:22">
      <c r="A13488" t="str">
        <f t="shared" si="2641"/>
        <v>27/11/2025</v>
      </c>
      <c r="B13488" t="str">
        <f t="shared" si="2654"/>
        <v>ENTRADA</v>
      </c>
      <c r="C13488" t="str">
        <f t="shared" si="2655"/>
        <v>NFSE</v>
      </c>
      <c r="D13488" t="str">
        <f>"3789"</f>
        <v>3789</v>
      </c>
      <c r="E13488" t="str">
        <f t="shared" si="2653"/>
        <v>1</v>
      </c>
      <c r="F13488" t="str">
        <f t="shared" si="2649"/>
        <v>COM</v>
      </c>
      <c r="G13488" t="str">
        <f>"DROGARIA TOTAL JUNDIAI (10177)"</f>
        <v>DROGARIA TOTAL JUNDIAI (10177)</v>
      </c>
      <c r="H13488" t="str">
        <f>"Serv.Prest. 17/11/2025 a 23/11/2025 - RPS: 1665 - NFSe: 3789"</f>
        <v>Serv.Prest. 17/11/2025 a 23/11/2025 - RPS: 1665 - NFSe: 3789</v>
      </c>
      <c r="I13488" t="str">
        <f t="shared" si="2656"/>
        <v>26/11/2025</v>
      </c>
      <c r="J13488" t="str">
        <f t="shared" si="2650"/>
        <v>24/11/2025</v>
      </c>
      <c r="K13488" t="str">
        <f>("27/11/2025")</f>
        <v>27/11/2025</v>
      </c>
      <c r="L13488">
        <v>902.42</v>
      </c>
      <c r="M13488">
        <v>902.42</v>
      </c>
      <c r="N13488">
        <v>303</v>
      </c>
      <c r="O13488" t="str">
        <f>"RECEITAS COM ENTREGAS"</f>
        <v>RECEITAS COM ENTREGAS</v>
      </c>
      <c r="P13488">
        <v>902.42</v>
      </c>
      <c r="S13488" t="str">
        <f>"RECEITAS COM ENTREGAS (303)"</f>
        <v>RECEITAS COM ENTREGAS (303)</v>
      </c>
      <c r="T13488">
        <v>23003</v>
      </c>
      <c r="U13488">
        <v>26125</v>
      </c>
      <c r="V13488" t="s">
        <v>22</v>
      </c>
    </row>
    <row r="13489" spans="1:22">
      <c r="A13489" t="str">
        <f t="shared" si="2641"/>
        <v>27/11/2025</v>
      </c>
      <c r="B13489" t="str">
        <f t="shared" si="2654"/>
        <v>ENTRADA</v>
      </c>
      <c r="C13489" t="str">
        <f t="shared" si="2655"/>
        <v>NFSE</v>
      </c>
      <c r="D13489" t="str">
        <f>"3789"</f>
        <v>3789</v>
      </c>
      <c r="E13489" t="str">
        <f t="shared" si="2653"/>
        <v>1</v>
      </c>
      <c r="F13489" t="str">
        <f t="shared" si="2649"/>
        <v>COM</v>
      </c>
      <c r="G13489" t="str">
        <f>"DROGARIA TOTAL JUNDIAI (10177)"</f>
        <v>DROGARIA TOTAL JUNDIAI (10177)</v>
      </c>
      <c r="H13489" t="s">
        <v>3682</v>
      </c>
      <c r="I13489" t="str">
        <f t="shared" si="2656"/>
        <v>26/11/2025</v>
      </c>
      <c r="J13489" t="str">
        <f t="shared" si="2650"/>
        <v>24/11/2025</v>
      </c>
      <c r="K13489">
        <v>45988</v>
      </c>
      <c r="N13489">
        <v>303</v>
      </c>
      <c r="O13489" t="s">
        <v>69</v>
      </c>
      <c r="Q13489">
        <v>902.42</v>
      </c>
      <c r="R13489" t="str">
        <f>"DROGARIA TOTAL JUNDIAI (10177)"</f>
        <v>DROGARIA TOTAL JUNDIAI (10177)</v>
      </c>
      <c r="S13489" t="s">
        <v>70</v>
      </c>
      <c r="T13489">
        <v>23003</v>
      </c>
      <c r="U13489">
        <v>26125</v>
      </c>
      <c r="V13489" t="s">
        <v>22</v>
      </c>
    </row>
    <row r="13490" spans="1:22">
      <c r="A13490" t="str">
        <f t="shared" si="2641"/>
        <v>27/11/2025</v>
      </c>
      <c r="B13490" t="str">
        <f t="shared" si="2654"/>
        <v>ENTRADA</v>
      </c>
      <c r="C13490" t="str">
        <f t="shared" si="2655"/>
        <v>NFSE</v>
      </c>
      <c r="D13490" t="str">
        <f>"3792"</f>
        <v>3792</v>
      </c>
      <c r="E13490" t="str">
        <f t="shared" si="2653"/>
        <v>1</v>
      </c>
      <c r="F13490" t="str">
        <f t="shared" si="2649"/>
        <v>COM</v>
      </c>
      <c r="G13490" t="str">
        <f>"JAL FARMACIA E DROGARIA LJ 1 (10137)"</f>
        <v>JAL FARMACIA E DROGARIA LJ 1 (10137)</v>
      </c>
      <c r="H13490" t="str">
        <f>"Serv.Prest. 17/11/2025 a 23/11/2025 - RPS: 1668 - NFSe: 3792"</f>
        <v>Serv.Prest. 17/11/2025 a 23/11/2025 - RPS: 1668 - NFSe: 3792</v>
      </c>
      <c r="I13490" t="str">
        <f t="shared" si="2656"/>
        <v>26/11/2025</v>
      </c>
      <c r="J13490" t="str">
        <f t="shared" ref="J13490:J13497" si="2657">("25/11/2025")</f>
        <v>25/11/2025</v>
      </c>
      <c r="K13490" t="str">
        <f>("27/11/2025")</f>
        <v>27/11/2025</v>
      </c>
      <c r="L13490">
        <v>2601</v>
      </c>
      <c r="M13490">
        <v>2601</v>
      </c>
      <c r="N13490">
        <v>303</v>
      </c>
      <c r="O13490" t="str">
        <f>"RECEITAS COM ENTREGAS"</f>
        <v>RECEITAS COM ENTREGAS</v>
      </c>
      <c r="P13490">
        <v>2601</v>
      </c>
      <c r="S13490" t="str">
        <f>"RECEITAS COM ENTREGAS (303)"</f>
        <v>RECEITAS COM ENTREGAS (303)</v>
      </c>
      <c r="T13490">
        <v>23004</v>
      </c>
      <c r="U13490">
        <v>26144</v>
      </c>
      <c r="V13490" t="s">
        <v>22</v>
      </c>
    </row>
    <row r="13491" spans="1:22">
      <c r="A13491" t="str">
        <f t="shared" ref="A13491:A13554" si="2658">("27/11/2025")</f>
        <v>27/11/2025</v>
      </c>
      <c r="B13491" t="str">
        <f t="shared" si="2654"/>
        <v>ENTRADA</v>
      </c>
      <c r="C13491" t="str">
        <f t="shared" si="2655"/>
        <v>NFSE</v>
      </c>
      <c r="D13491" t="str">
        <f>"3792"</f>
        <v>3792</v>
      </c>
      <c r="E13491" t="str">
        <f t="shared" si="2653"/>
        <v>1</v>
      </c>
      <c r="F13491" t="str">
        <f t="shared" si="2649"/>
        <v>COM</v>
      </c>
      <c r="G13491" t="str">
        <f>"JAL FARMACIA E DROGARIA LJ 1 (10137)"</f>
        <v>JAL FARMACIA E DROGARIA LJ 1 (10137)</v>
      </c>
      <c r="H13491" t="s">
        <v>3683</v>
      </c>
      <c r="I13491" t="str">
        <f t="shared" si="2656"/>
        <v>26/11/2025</v>
      </c>
      <c r="J13491" t="str">
        <f t="shared" si="2657"/>
        <v>25/11/2025</v>
      </c>
      <c r="K13491">
        <v>45988</v>
      </c>
      <c r="N13491">
        <v>303</v>
      </c>
      <c r="O13491" t="s">
        <v>69</v>
      </c>
      <c r="Q13491">
        <v>2601</v>
      </c>
      <c r="R13491" t="str">
        <f>"JAL FARMACIA E DROGARIA LJ 1 (10137)"</f>
        <v>JAL FARMACIA E DROGARIA LJ 1 (10137)</v>
      </c>
      <c r="S13491" t="s">
        <v>70</v>
      </c>
      <c r="T13491">
        <v>23004</v>
      </c>
      <c r="U13491">
        <v>26144</v>
      </c>
      <c r="V13491" t="s">
        <v>22</v>
      </c>
    </row>
    <row r="13492" spans="1:22">
      <c r="A13492" t="str">
        <f t="shared" si="2658"/>
        <v>27/11/2025</v>
      </c>
      <c r="B13492" t="str">
        <f t="shared" si="2654"/>
        <v>ENTRADA</v>
      </c>
      <c r="C13492" t="str">
        <f t="shared" si="2655"/>
        <v>NFSE</v>
      </c>
      <c r="D13492" t="str">
        <f>"3794"</f>
        <v>3794</v>
      </c>
      <c r="E13492" t="str">
        <f t="shared" si="2653"/>
        <v>1</v>
      </c>
      <c r="F13492" t="str">
        <f t="shared" si="2649"/>
        <v>COM</v>
      </c>
      <c r="G13492" t="str">
        <f>"LBL FARMACIA LTDA (10189)"</f>
        <v>LBL FARMACIA LTDA (10189)</v>
      </c>
      <c r="H13492" t="str">
        <f>"Serv.Prest. 17/11/2025 a 23/11/2025 - RPS: 1670 - NFSe: 3794"</f>
        <v>Serv.Prest. 17/11/2025 a 23/11/2025 - RPS: 1670 - NFSe: 3794</v>
      </c>
      <c r="I13492" t="str">
        <f t="shared" si="2656"/>
        <v>26/11/2025</v>
      </c>
      <c r="J13492" t="str">
        <f t="shared" si="2657"/>
        <v>25/11/2025</v>
      </c>
      <c r="K13492" t="str">
        <f>("27/11/2025")</f>
        <v>27/11/2025</v>
      </c>
      <c r="L13492">
        <v>975.8</v>
      </c>
      <c r="M13492">
        <v>975.8</v>
      </c>
      <c r="N13492">
        <v>303</v>
      </c>
      <c r="O13492" t="str">
        <f>"RECEITAS COM ENTREGAS"</f>
        <v>RECEITAS COM ENTREGAS</v>
      </c>
      <c r="P13492">
        <v>975.8</v>
      </c>
      <c r="S13492" t="str">
        <f>"RECEITAS COM ENTREGAS (303)"</f>
        <v>RECEITAS COM ENTREGAS (303)</v>
      </c>
      <c r="T13492">
        <v>23005</v>
      </c>
      <c r="U13492">
        <v>26152</v>
      </c>
      <c r="V13492" t="s">
        <v>22</v>
      </c>
    </row>
    <row r="13493" spans="1:22">
      <c r="A13493" t="str">
        <f t="shared" si="2658"/>
        <v>27/11/2025</v>
      </c>
      <c r="B13493" t="str">
        <f t="shared" si="2654"/>
        <v>ENTRADA</v>
      </c>
      <c r="C13493" t="str">
        <f t="shared" si="2655"/>
        <v>NFSE</v>
      </c>
      <c r="D13493" t="str">
        <f>"3794"</f>
        <v>3794</v>
      </c>
      <c r="E13493" t="str">
        <f t="shared" si="2653"/>
        <v>1</v>
      </c>
      <c r="F13493" t="str">
        <f t="shared" si="2649"/>
        <v>COM</v>
      </c>
      <c r="G13493" t="str">
        <f>"LBL FARMACIA LTDA (10189)"</f>
        <v>LBL FARMACIA LTDA (10189)</v>
      </c>
      <c r="H13493" t="s">
        <v>3684</v>
      </c>
      <c r="I13493" t="str">
        <f t="shared" si="2656"/>
        <v>26/11/2025</v>
      </c>
      <c r="J13493" t="str">
        <f t="shared" si="2657"/>
        <v>25/11/2025</v>
      </c>
      <c r="K13493">
        <v>45988</v>
      </c>
      <c r="N13493">
        <v>303</v>
      </c>
      <c r="O13493" t="s">
        <v>69</v>
      </c>
      <c r="Q13493">
        <v>975.8</v>
      </c>
      <c r="R13493" t="str">
        <f>"LBL FARMACIA LTDA (10189)"</f>
        <v>LBL FARMACIA LTDA (10189)</v>
      </c>
      <c r="S13493" t="s">
        <v>70</v>
      </c>
      <c r="T13493">
        <v>23005</v>
      </c>
      <c r="U13493">
        <v>26152</v>
      </c>
      <c r="V13493" t="s">
        <v>22</v>
      </c>
    </row>
    <row r="13494" spans="1:22">
      <c r="A13494" t="str">
        <f t="shared" si="2658"/>
        <v>27/11/2025</v>
      </c>
      <c r="B13494" t="str">
        <f t="shared" si="2654"/>
        <v>ENTRADA</v>
      </c>
      <c r="C13494" t="str">
        <f t="shared" si="2655"/>
        <v>NFSE</v>
      </c>
      <c r="D13494" t="str">
        <f>"3795"</f>
        <v>3795</v>
      </c>
      <c r="E13494" t="str">
        <f t="shared" si="2653"/>
        <v>1</v>
      </c>
      <c r="F13494" t="str">
        <f t="shared" si="2649"/>
        <v>COM</v>
      </c>
      <c r="G13494" t="str">
        <f>"LBL FARMACIA LTDA FILIAL (10192)"</f>
        <v>LBL FARMACIA LTDA FILIAL (10192)</v>
      </c>
      <c r="H13494" t="str">
        <f>"Serv.Prest. 17/11/2025 a 23/11/2025 - RPS: 1671 - NFSe: 3795"</f>
        <v>Serv.Prest. 17/11/2025 a 23/11/2025 - RPS: 1671 - NFSe: 3795</v>
      </c>
      <c r="I13494" t="str">
        <f t="shared" si="2656"/>
        <v>26/11/2025</v>
      </c>
      <c r="J13494" t="str">
        <f t="shared" si="2657"/>
        <v>25/11/2025</v>
      </c>
      <c r="K13494" t="str">
        <f>("27/11/2025")</f>
        <v>27/11/2025</v>
      </c>
      <c r="L13494">
        <v>1285.2</v>
      </c>
      <c r="M13494">
        <v>1285.2</v>
      </c>
      <c r="N13494">
        <v>303</v>
      </c>
      <c r="O13494" t="str">
        <f>"RECEITAS COM ENTREGAS"</f>
        <v>RECEITAS COM ENTREGAS</v>
      </c>
      <c r="P13494">
        <v>1285.2</v>
      </c>
      <c r="S13494" t="str">
        <f>"RECEITAS COM ENTREGAS (303)"</f>
        <v>RECEITAS COM ENTREGAS (303)</v>
      </c>
      <c r="T13494">
        <v>23006</v>
      </c>
      <c r="U13494">
        <v>26156</v>
      </c>
      <c r="V13494" t="s">
        <v>22</v>
      </c>
    </row>
    <row r="13495" spans="1:22">
      <c r="A13495" t="str">
        <f t="shared" si="2658"/>
        <v>27/11/2025</v>
      </c>
      <c r="B13495" t="str">
        <f t="shared" si="2654"/>
        <v>ENTRADA</v>
      </c>
      <c r="C13495" t="str">
        <f t="shared" si="2655"/>
        <v>NFSE</v>
      </c>
      <c r="D13495" t="str">
        <f>"3795"</f>
        <v>3795</v>
      </c>
      <c r="E13495" t="str">
        <f t="shared" si="2653"/>
        <v>1</v>
      </c>
      <c r="F13495" t="str">
        <f t="shared" si="2649"/>
        <v>COM</v>
      </c>
      <c r="G13495" t="str">
        <f>"LBL FARMACIA LTDA FILIAL (10192)"</f>
        <v>LBL FARMACIA LTDA FILIAL (10192)</v>
      </c>
      <c r="H13495" t="s">
        <v>3685</v>
      </c>
      <c r="I13495" t="str">
        <f t="shared" si="2656"/>
        <v>26/11/2025</v>
      </c>
      <c r="J13495" t="str">
        <f t="shared" si="2657"/>
        <v>25/11/2025</v>
      </c>
      <c r="K13495">
        <v>45988</v>
      </c>
      <c r="N13495">
        <v>303</v>
      </c>
      <c r="O13495" t="s">
        <v>69</v>
      </c>
      <c r="Q13495">
        <v>1285.2</v>
      </c>
      <c r="R13495" t="str">
        <f>"LBL FARMACIA LTDA FILIAL (10192)"</f>
        <v>LBL FARMACIA LTDA FILIAL (10192)</v>
      </c>
      <c r="S13495" t="s">
        <v>70</v>
      </c>
      <c r="T13495">
        <v>23006</v>
      </c>
      <c r="U13495">
        <v>26156</v>
      </c>
      <c r="V13495" t="s">
        <v>22</v>
      </c>
    </row>
    <row r="13496" spans="1:22">
      <c r="A13496" t="str">
        <f t="shared" si="2658"/>
        <v>27/11/2025</v>
      </c>
      <c r="B13496" t="str">
        <f t="shared" si="2654"/>
        <v>ENTRADA</v>
      </c>
      <c r="C13496" t="str">
        <f t="shared" si="2655"/>
        <v>NFSE</v>
      </c>
      <c r="D13496" t="str">
        <f>"3796"</f>
        <v>3796</v>
      </c>
      <c r="E13496" t="str">
        <f t="shared" si="2653"/>
        <v>1</v>
      </c>
      <c r="F13496" t="str">
        <f t="shared" si="2649"/>
        <v>COM</v>
      </c>
      <c r="G13496" t="str">
        <f>"FARMACIA ECONOMIZE (10103)"</f>
        <v>FARMACIA ECONOMIZE (10103)</v>
      </c>
      <c r="H13496" t="str">
        <f>"Serv.Prest. 17/11/2025 a 23/11/2025 - RPS: 1672 - NFSe: 3796"</f>
        <v>Serv.Prest. 17/11/2025 a 23/11/2025 - RPS: 1672 - NFSe: 3796</v>
      </c>
      <c r="I13496" t="str">
        <f t="shared" si="2656"/>
        <v>26/11/2025</v>
      </c>
      <c r="J13496" t="str">
        <f t="shared" si="2657"/>
        <v>25/11/2025</v>
      </c>
      <c r="K13496" t="str">
        <f>("27/11/2025")</f>
        <v>27/11/2025</v>
      </c>
      <c r="L13496">
        <v>2368.08</v>
      </c>
      <c r="M13496">
        <v>2368.08</v>
      </c>
      <c r="N13496">
        <v>303</v>
      </c>
      <c r="O13496" t="str">
        <f>"RECEITAS COM ENTREGAS"</f>
        <v>RECEITAS COM ENTREGAS</v>
      </c>
      <c r="P13496">
        <v>2368.08</v>
      </c>
      <c r="S13496" t="str">
        <f>"RECEITAS COM ENTREGAS (303)"</f>
        <v>RECEITAS COM ENTREGAS (303)</v>
      </c>
      <c r="T13496">
        <v>23007</v>
      </c>
      <c r="U13496">
        <v>26160</v>
      </c>
      <c r="V13496" t="s">
        <v>22</v>
      </c>
    </row>
    <row r="13497" spans="1:22">
      <c r="A13497" t="str">
        <f t="shared" si="2658"/>
        <v>27/11/2025</v>
      </c>
      <c r="B13497" t="str">
        <f t="shared" si="2654"/>
        <v>ENTRADA</v>
      </c>
      <c r="C13497" t="str">
        <f t="shared" si="2655"/>
        <v>NFSE</v>
      </c>
      <c r="D13497" t="str">
        <f>"3796"</f>
        <v>3796</v>
      </c>
      <c r="E13497" t="str">
        <f t="shared" si="2653"/>
        <v>1</v>
      </c>
      <c r="F13497" t="str">
        <f t="shared" si="2649"/>
        <v>COM</v>
      </c>
      <c r="G13497" t="str">
        <f>"FARMACIA ECONOMIZE (10103)"</f>
        <v>FARMACIA ECONOMIZE (10103)</v>
      </c>
      <c r="H13497" t="s">
        <v>3686</v>
      </c>
      <c r="I13497" t="str">
        <f t="shared" si="2656"/>
        <v>26/11/2025</v>
      </c>
      <c r="J13497" t="str">
        <f t="shared" si="2657"/>
        <v>25/11/2025</v>
      </c>
      <c r="K13497">
        <v>45988</v>
      </c>
      <c r="N13497">
        <v>303</v>
      </c>
      <c r="O13497" t="s">
        <v>69</v>
      </c>
      <c r="Q13497">
        <v>2368.08</v>
      </c>
      <c r="R13497" t="str">
        <f>"FARMACIA ECONOMIZE (10103)"</f>
        <v>FARMACIA ECONOMIZE (10103)</v>
      </c>
      <c r="S13497" t="s">
        <v>70</v>
      </c>
      <c r="T13497">
        <v>23007</v>
      </c>
      <c r="U13497">
        <v>26160</v>
      </c>
      <c r="V13497" t="s">
        <v>22</v>
      </c>
    </row>
    <row r="13498" spans="1:22">
      <c r="A13498" t="str">
        <f t="shared" si="2658"/>
        <v>27/11/2025</v>
      </c>
      <c r="B13498" t="str">
        <f t="shared" ref="B13498:B13503" si="2659">"SAÍDA"</f>
        <v>SAÍDA</v>
      </c>
      <c r="C13498" t="str">
        <f t="shared" ref="C13498:C13503" si="2660">"PIX"</f>
        <v>PIX</v>
      </c>
      <c r="D13498" t="str">
        <f>"26523"</f>
        <v>26523</v>
      </c>
      <c r="E13498" t="str">
        <f t="shared" si="2653"/>
        <v>1</v>
      </c>
      <c r="F13498" t="str">
        <f t="shared" si="2649"/>
        <v>COM</v>
      </c>
      <c r="G13498" t="str">
        <f>"REGINALDO ANDRE BORTOLETTO (802)"</f>
        <v>REGINALDO ANDRE BORTOLETTO (802)</v>
      </c>
      <c r="H13498" t="str">
        <f>"Serv.Prest. 24/11/2025 a 30/11/2025 - PIX: CELULAR - CHAVE: (11) 94281-7123"</f>
        <v>Serv.Prest. 24/11/2025 a 30/11/2025 - PIX: CELULAR - CHAVE: (11) 94281-7123</v>
      </c>
      <c r="I13498" t="str">
        <f>("27/11/2025")</f>
        <v>27/11/2025</v>
      </c>
      <c r="J13498" t="str">
        <f>("27/11/2025")</f>
        <v>27/11/2025</v>
      </c>
      <c r="K13498" t="str">
        <f>("27/11/2025")</f>
        <v>27/11/2025</v>
      </c>
      <c r="L13498">
        <v>130</v>
      </c>
      <c r="M13498">
        <v>130</v>
      </c>
      <c r="N13498">
        <v>134</v>
      </c>
      <c r="O13498" t="str">
        <f>"DIARIA DE MOTOBOY"</f>
        <v>DIARIA DE MOTOBOY</v>
      </c>
      <c r="P13498">
        <v>130</v>
      </c>
      <c r="S13498" t="str">
        <f>"BANCO CORA (102)"</f>
        <v>BANCO CORA (102)</v>
      </c>
      <c r="T13498">
        <v>23010</v>
      </c>
      <c r="U13498">
        <v>26523</v>
      </c>
      <c r="V13498" t="s">
        <v>22</v>
      </c>
    </row>
    <row r="13499" spans="1:22">
      <c r="A13499" t="str">
        <f t="shared" si="2658"/>
        <v>27/11/2025</v>
      </c>
      <c r="B13499" t="str">
        <f t="shared" si="2659"/>
        <v>SAÍDA</v>
      </c>
      <c r="C13499" t="str">
        <f t="shared" si="2660"/>
        <v>PIX</v>
      </c>
      <c r="D13499" t="str">
        <f>"26523"</f>
        <v>26523</v>
      </c>
      <c r="E13499" t="str">
        <f t="shared" si="2653"/>
        <v>1</v>
      </c>
      <c r="F13499" t="str">
        <f t="shared" si="2649"/>
        <v>COM</v>
      </c>
      <c r="G13499" t="str">
        <f>"REGINALDO ANDRE BORTOLETTO (802)"</f>
        <v>REGINALDO ANDRE BORTOLETTO (802)</v>
      </c>
      <c r="H13499" t="s">
        <v>3687</v>
      </c>
      <c r="I13499" t="str">
        <f>("27/11/2025")</f>
        <v>27/11/2025</v>
      </c>
      <c r="J13499" t="str">
        <f>("27/11/2025")</f>
        <v>27/11/2025</v>
      </c>
      <c r="K13499">
        <v>45988</v>
      </c>
      <c r="N13499">
        <v>134</v>
      </c>
      <c r="O13499" t="s">
        <v>41</v>
      </c>
      <c r="Q13499">
        <v>130</v>
      </c>
      <c r="R13499" t="str">
        <f>"DROGARIA MEDIC CENTER LTDA (10172)"</f>
        <v>DROGARIA MEDIC CENTER LTDA (10172)</v>
      </c>
      <c r="S13499" t="s">
        <v>22</v>
      </c>
      <c r="T13499">
        <v>23010</v>
      </c>
      <c r="U13499">
        <v>26523</v>
      </c>
      <c r="V13499" t="s">
        <v>22</v>
      </c>
    </row>
    <row r="13500" spans="1:22">
      <c r="A13500" t="str">
        <f t="shared" si="2658"/>
        <v>27/11/2025</v>
      </c>
      <c r="B13500" t="str">
        <f t="shared" si="2659"/>
        <v>SAÍDA</v>
      </c>
      <c r="C13500" t="str">
        <f t="shared" si="2660"/>
        <v>PIX</v>
      </c>
      <c r="D13500" t="str">
        <f>"26797"</f>
        <v>26797</v>
      </c>
      <c r="E13500" t="str">
        <f t="shared" si="2653"/>
        <v>1</v>
      </c>
      <c r="F13500" t="str">
        <f t="shared" si="2649"/>
        <v>COM</v>
      </c>
      <c r="G13500" t="str">
        <f>"CLEBER GARCIA DA SILVA (1113)"</f>
        <v>CLEBER GARCIA DA SILVA (1113)</v>
      </c>
      <c r="H13500" t="str">
        <f>"Serv.Prest. 24/11/2025 a 30/11/2025 - PIX: CELULAR - CHAVE: (11) 94848-0368"</f>
        <v>Serv.Prest. 24/11/2025 a 30/11/2025 - PIX: CELULAR - CHAVE: (11) 94848-0368</v>
      </c>
      <c r="I13500" t="str">
        <f>("27/11/2025")</f>
        <v>27/11/2025</v>
      </c>
      <c r="J13500" t="str">
        <f>("26/11/2025")</f>
        <v>26/11/2025</v>
      </c>
      <c r="K13500" t="str">
        <f>("27/11/2025")</f>
        <v>27/11/2025</v>
      </c>
      <c r="L13500">
        <v>170</v>
      </c>
      <c r="M13500">
        <v>170</v>
      </c>
      <c r="N13500">
        <v>134</v>
      </c>
      <c r="O13500" t="str">
        <f>"DIARIA DE MOTOBOY"</f>
        <v>DIARIA DE MOTOBOY</v>
      </c>
      <c r="P13500">
        <v>170</v>
      </c>
      <c r="S13500" t="str">
        <f>"BANCO CORA (102)"</f>
        <v>BANCO CORA (102)</v>
      </c>
      <c r="T13500">
        <v>23011</v>
      </c>
      <c r="U13500">
        <v>26797</v>
      </c>
      <c r="V13500" t="s">
        <v>22</v>
      </c>
    </row>
    <row r="13501" spans="1:22">
      <c r="A13501" t="str">
        <f t="shared" si="2658"/>
        <v>27/11/2025</v>
      </c>
      <c r="B13501" t="str">
        <f t="shared" si="2659"/>
        <v>SAÍDA</v>
      </c>
      <c r="C13501" t="str">
        <f t="shared" si="2660"/>
        <v>PIX</v>
      </c>
      <c r="D13501" t="str">
        <f>"26797"</f>
        <v>26797</v>
      </c>
      <c r="E13501" t="str">
        <f t="shared" si="2653"/>
        <v>1</v>
      </c>
      <c r="F13501" t="str">
        <f t="shared" si="2649"/>
        <v>COM</v>
      </c>
      <c r="G13501" t="str">
        <f>"CLEBER GARCIA DA SILVA (1113)"</f>
        <v>CLEBER GARCIA DA SILVA (1113)</v>
      </c>
      <c r="H13501" t="s">
        <v>3438</v>
      </c>
      <c r="I13501" t="str">
        <f>("27/11/2025")</f>
        <v>27/11/2025</v>
      </c>
      <c r="J13501" t="str">
        <f>("26/11/2025")</f>
        <v>26/11/2025</v>
      </c>
      <c r="K13501">
        <v>45988</v>
      </c>
      <c r="N13501">
        <v>134</v>
      </c>
      <c r="O13501" t="s">
        <v>41</v>
      </c>
      <c r="Q13501">
        <v>170</v>
      </c>
      <c r="R13501" t="str">
        <f>"PENSE FARMA 46 (10194)"</f>
        <v>PENSE FARMA 46 (10194)</v>
      </c>
      <c r="S13501" t="s">
        <v>22</v>
      </c>
      <c r="T13501">
        <v>23011</v>
      </c>
      <c r="U13501">
        <v>26797</v>
      </c>
      <c r="V13501" t="s">
        <v>22</v>
      </c>
    </row>
    <row r="13502" spans="1:22">
      <c r="A13502" t="str">
        <f t="shared" si="2658"/>
        <v>27/11/2025</v>
      </c>
      <c r="B13502" t="str">
        <f t="shared" si="2659"/>
        <v>SAÍDA</v>
      </c>
      <c r="C13502" t="str">
        <f t="shared" si="2660"/>
        <v>PIX</v>
      </c>
      <c r="D13502" t="str">
        <f>"26801"</f>
        <v>26801</v>
      </c>
      <c r="E13502" t="str">
        <f t="shared" si="2653"/>
        <v>1</v>
      </c>
      <c r="F13502" t="str">
        <f t="shared" si="2649"/>
        <v>COM</v>
      </c>
      <c r="G13502" t="str">
        <f>"PAULO EDUARDO FALCAO (1014)"</f>
        <v>PAULO EDUARDO FALCAO (1014)</v>
      </c>
      <c r="H13502" t="str">
        <f>"Serv.Prest. 24/11/2025 a 30/11/2025 - PIX: CPF - CHAVE: 281.600.398-16"</f>
        <v>Serv.Prest. 24/11/2025 a 30/11/2025 - PIX: CPF - CHAVE: 281.600.398-16</v>
      </c>
      <c r="I13502" t="str">
        <f>("27/11/2025")</f>
        <v>27/11/2025</v>
      </c>
      <c r="J13502" t="str">
        <f>("27/11/2025")</f>
        <v>27/11/2025</v>
      </c>
      <c r="K13502" t="str">
        <f>("27/11/2025")</f>
        <v>27/11/2025</v>
      </c>
      <c r="L13502">
        <v>20</v>
      </c>
      <c r="M13502">
        <v>20</v>
      </c>
      <c r="N13502">
        <v>134</v>
      </c>
      <c r="O13502" t="str">
        <f>"DIARIA DE MOTOBOY"</f>
        <v>DIARIA DE MOTOBOY</v>
      </c>
      <c r="P13502">
        <v>20</v>
      </c>
      <c r="S13502" t="str">
        <f>"BANCO CORA (102)"</f>
        <v>BANCO CORA (102)</v>
      </c>
      <c r="T13502">
        <v>23012</v>
      </c>
      <c r="U13502">
        <v>27012</v>
      </c>
      <c r="V13502" t="s">
        <v>22</v>
      </c>
    </row>
    <row r="13503" spans="1:22">
      <c r="A13503" t="str">
        <f t="shared" si="2658"/>
        <v>27/11/2025</v>
      </c>
      <c r="B13503" t="str">
        <f t="shared" si="2659"/>
        <v>SAÍDA</v>
      </c>
      <c r="C13503" t="str">
        <f t="shared" si="2660"/>
        <v>PIX</v>
      </c>
      <c r="D13503" t="str">
        <f>"26801"</f>
        <v>26801</v>
      </c>
      <c r="E13503" t="str">
        <f t="shared" si="2653"/>
        <v>1</v>
      </c>
      <c r="F13503" t="str">
        <f t="shared" si="2649"/>
        <v>COM</v>
      </c>
      <c r="G13503" t="str">
        <f>"PAULO EDUARDO FALCAO (1014)"</f>
        <v>PAULO EDUARDO FALCAO (1014)</v>
      </c>
      <c r="H13503" t="s">
        <v>3688</v>
      </c>
      <c r="I13503" t="str">
        <f>("27/11/2025")</f>
        <v>27/11/2025</v>
      </c>
      <c r="J13503" t="str">
        <f>("27/11/2025")</f>
        <v>27/11/2025</v>
      </c>
      <c r="K13503">
        <v>45988</v>
      </c>
      <c r="N13503">
        <v>134</v>
      </c>
      <c r="O13503" t="s">
        <v>41</v>
      </c>
      <c r="Q13503">
        <v>20</v>
      </c>
      <c r="R13503" t="str">
        <f>"PENSE FARMA 46 (10194)"</f>
        <v>PENSE FARMA 46 (10194)</v>
      </c>
      <c r="S13503" t="s">
        <v>22</v>
      </c>
      <c r="T13503">
        <v>23012</v>
      </c>
      <c r="U13503">
        <v>27012</v>
      </c>
      <c r="V13503" t="s">
        <v>22</v>
      </c>
    </row>
    <row r="13504" spans="1:22">
      <c r="A13504" t="str">
        <f t="shared" si="2658"/>
        <v>27/11/2025</v>
      </c>
      <c r="B13504" t="str">
        <f>"ENTRADA"</f>
        <v>ENTRADA</v>
      </c>
      <c r="C13504" t="str">
        <f>"NFSE"</f>
        <v>NFSE</v>
      </c>
      <c r="D13504" t="str">
        <f>"3802"</f>
        <v>3802</v>
      </c>
      <c r="E13504" t="str">
        <f t="shared" si="2653"/>
        <v>1</v>
      </c>
      <c r="F13504" t="str">
        <f t="shared" si="2649"/>
        <v>COM</v>
      </c>
      <c r="G13504" t="str">
        <f>"DROGARIA NIQUINHO (10257)"</f>
        <v>DROGARIA NIQUINHO (10257)</v>
      </c>
      <c r="H13504" t="str">
        <f>"Serv.Prest. 17/11/2025 a 23/11/2025 - RPS: 1678 - NFSe: 3802"</f>
        <v>Serv.Prest. 17/11/2025 a 23/11/2025 - RPS: 1678 - NFSe: 3802</v>
      </c>
      <c r="I13504" t="str">
        <f>("26/11/2025")</f>
        <v>26/11/2025</v>
      </c>
      <c r="J13504" t="str">
        <f>("25/11/2025")</f>
        <v>25/11/2025</v>
      </c>
      <c r="K13504" t="str">
        <f>("27/11/2025")</f>
        <v>27/11/2025</v>
      </c>
      <c r="L13504">
        <v>978.82</v>
      </c>
      <c r="M13504">
        <v>998.71</v>
      </c>
      <c r="N13504">
        <v>303</v>
      </c>
      <c r="O13504" t="str">
        <f>"RECEITAS COM ENTREGAS"</f>
        <v>RECEITAS COM ENTREGAS</v>
      </c>
      <c r="P13504">
        <v>998.71</v>
      </c>
      <c r="S13504" t="str">
        <f>"RECEITAS COM ENTREGAS (303)"</f>
        <v>RECEITAS COM ENTREGAS (303)</v>
      </c>
      <c r="T13504">
        <v>23016</v>
      </c>
      <c r="U13504">
        <v>26348</v>
      </c>
      <c r="V13504" t="s">
        <v>22</v>
      </c>
    </row>
    <row r="13505" spans="1:22">
      <c r="A13505" t="str">
        <f t="shared" si="2658"/>
        <v>27/11/2025</v>
      </c>
      <c r="B13505" t="str">
        <f>"ENTRADA"</f>
        <v>ENTRADA</v>
      </c>
      <c r="C13505" t="str">
        <f>"NFSE"</f>
        <v>NFSE</v>
      </c>
      <c r="D13505" t="str">
        <f>"3802"</f>
        <v>3802</v>
      </c>
      <c r="E13505" t="str">
        <f t="shared" si="2653"/>
        <v>1</v>
      </c>
      <c r="F13505" t="str">
        <f t="shared" si="2649"/>
        <v>COM</v>
      </c>
      <c r="G13505" t="str">
        <f>"DROGARIA NIQUINHO (10257)"</f>
        <v>DROGARIA NIQUINHO (10257)</v>
      </c>
      <c r="H13505" t="s">
        <v>3689</v>
      </c>
      <c r="I13505" t="str">
        <f>("26/11/2025")</f>
        <v>26/11/2025</v>
      </c>
      <c r="J13505" t="str">
        <f>("25/11/2025")</f>
        <v>25/11/2025</v>
      </c>
      <c r="K13505">
        <v>45988</v>
      </c>
      <c r="N13505">
        <v>303</v>
      </c>
      <c r="O13505" t="s">
        <v>69</v>
      </c>
      <c r="Q13505">
        <v>998.71</v>
      </c>
      <c r="R13505" t="str">
        <f>"DROGARIA NIQUINHO (10257)"</f>
        <v>DROGARIA NIQUINHO (10257)</v>
      </c>
      <c r="S13505" t="s">
        <v>70</v>
      </c>
      <c r="T13505">
        <v>23016</v>
      </c>
      <c r="U13505">
        <v>26348</v>
      </c>
      <c r="V13505" t="s">
        <v>22</v>
      </c>
    </row>
    <row r="13506" spans="1:22">
      <c r="A13506" t="str">
        <f t="shared" si="2658"/>
        <v>27/11/2025</v>
      </c>
      <c r="B13506" t="str">
        <f t="shared" ref="B13506:B13537" si="2661">"SAÍDA"</f>
        <v>SAÍDA</v>
      </c>
      <c r="C13506" t="str">
        <f t="shared" ref="C13506:C13537" si="2662">"CONHECIMENTO"</f>
        <v>CONHECIMENTO</v>
      </c>
      <c r="D13506" t="str">
        <f t="shared" ref="D13506:D13537" si="2663">"01092025"</f>
        <v>01092025</v>
      </c>
      <c r="E13506" t="str">
        <f>"2"</f>
        <v>2</v>
      </c>
      <c r="F13506" t="str">
        <f t="shared" si="2649"/>
        <v>COM</v>
      </c>
      <c r="G13506" t="str">
        <f t="shared" ref="G13506:G13537" si="2664">"CORA SOCIEDADE DE CREDITO, FINANCIAMENTO E INVESTIMENTO (20035)"</f>
        <v>CORA SOCIEDADE DE CREDITO, FINANCIAMENTO E INVESTIMENTO (20035)</v>
      </c>
      <c r="H13506" t="str">
        <f>"TAXA BOLETO "</f>
        <v xml:space="preserve">TAXA BOLETO </v>
      </c>
      <c r="I13506" t="str">
        <f t="shared" ref="I13506:I13537" si="2665">("27/11/2025")</f>
        <v>27/11/2025</v>
      </c>
      <c r="J13506" t="str">
        <f t="shared" ref="J13506:J13537" si="2666">("01/09/2025")</f>
        <v>01/09/2025</v>
      </c>
      <c r="K13506" t="str">
        <f>("27/11/2025")</f>
        <v>27/11/2025</v>
      </c>
      <c r="L13506">
        <v>1.7</v>
      </c>
      <c r="M13506">
        <v>1.7</v>
      </c>
      <c r="N13506">
        <v>401</v>
      </c>
      <c r="O13506" t="str">
        <f>"IOF/JUROS/DESP.FINANCEIRA"</f>
        <v>IOF/JUROS/DESP.FINANCEIRA</v>
      </c>
      <c r="P13506">
        <v>1.7</v>
      </c>
      <c r="S13506" t="str">
        <f>"BANCO CORA (102)"</f>
        <v>BANCO CORA (102)</v>
      </c>
      <c r="T13506">
        <v>23017</v>
      </c>
      <c r="U13506">
        <v>27102</v>
      </c>
      <c r="V13506" t="s">
        <v>22</v>
      </c>
    </row>
    <row r="13507" spans="1:22">
      <c r="A13507" t="str">
        <f t="shared" si="2658"/>
        <v>27/11/2025</v>
      </c>
      <c r="B13507" t="str">
        <f t="shared" si="2661"/>
        <v>SAÍDA</v>
      </c>
      <c r="C13507" t="str">
        <f t="shared" si="2662"/>
        <v>CONHECIMENTO</v>
      </c>
      <c r="D13507" t="str">
        <f t="shared" si="2663"/>
        <v>01092025</v>
      </c>
      <c r="E13507" t="str">
        <f>"2"</f>
        <v>2</v>
      </c>
      <c r="F13507" t="str">
        <f t="shared" si="2649"/>
        <v>COM</v>
      </c>
      <c r="G13507" t="str">
        <f t="shared" si="2664"/>
        <v>CORA SOCIEDADE DE CREDITO, FINANCIAMENTO E INVESTIMENTO (20035)</v>
      </c>
      <c r="H13507" t="s">
        <v>75</v>
      </c>
      <c r="I13507" t="str">
        <f t="shared" si="2665"/>
        <v>27/11/2025</v>
      </c>
      <c r="J13507" t="str">
        <f t="shared" si="2666"/>
        <v>01/09/2025</v>
      </c>
      <c r="K13507">
        <v>45988</v>
      </c>
      <c r="N13507">
        <v>401</v>
      </c>
      <c r="O13507" t="s">
        <v>76</v>
      </c>
      <c r="Q13507">
        <v>1.7</v>
      </c>
      <c r="R13507" t="str">
        <f>"CORA SOCIEDADE DE CREDITO, FINANCIAMENTO E INVESTIMENTO (20035)"</f>
        <v>CORA SOCIEDADE DE CREDITO, FINANCIAMENTO E INVESTIMENTO (20035)</v>
      </c>
      <c r="S13507" t="s">
        <v>22</v>
      </c>
      <c r="T13507">
        <v>23017</v>
      </c>
      <c r="U13507">
        <v>27102</v>
      </c>
      <c r="V13507" t="s">
        <v>22</v>
      </c>
    </row>
    <row r="13508" spans="1:22">
      <c r="A13508" t="str">
        <f t="shared" si="2658"/>
        <v>27/11/2025</v>
      </c>
      <c r="B13508" t="str">
        <f t="shared" si="2661"/>
        <v>SAÍDA</v>
      </c>
      <c r="C13508" t="str">
        <f t="shared" si="2662"/>
        <v>CONHECIMENTO</v>
      </c>
      <c r="D13508" t="str">
        <f t="shared" si="2663"/>
        <v>01092025</v>
      </c>
      <c r="E13508" t="str">
        <f>"3"</f>
        <v>3</v>
      </c>
      <c r="F13508" t="str">
        <f t="shared" si="2649"/>
        <v>COM</v>
      </c>
      <c r="G13508" t="str">
        <f t="shared" si="2664"/>
        <v>CORA SOCIEDADE DE CREDITO, FINANCIAMENTO E INVESTIMENTO (20035)</v>
      </c>
      <c r="H13508" t="str">
        <f>"TAXA BOLETO "</f>
        <v xml:space="preserve">TAXA BOLETO </v>
      </c>
      <c r="I13508" t="str">
        <f t="shared" si="2665"/>
        <v>27/11/2025</v>
      </c>
      <c r="J13508" t="str">
        <f t="shared" si="2666"/>
        <v>01/09/2025</v>
      </c>
      <c r="K13508" t="str">
        <f>("27/11/2025")</f>
        <v>27/11/2025</v>
      </c>
      <c r="L13508">
        <v>1.7</v>
      </c>
      <c r="M13508">
        <v>1.7</v>
      </c>
      <c r="N13508">
        <v>401</v>
      </c>
      <c r="O13508" t="str">
        <f>"IOF/JUROS/DESP.FINANCEIRA"</f>
        <v>IOF/JUROS/DESP.FINANCEIRA</v>
      </c>
      <c r="P13508">
        <v>1.7</v>
      </c>
      <c r="S13508" t="str">
        <f>"BANCO CORA (102)"</f>
        <v>BANCO CORA (102)</v>
      </c>
      <c r="T13508">
        <v>23018</v>
      </c>
      <c r="U13508">
        <v>27103</v>
      </c>
      <c r="V13508" t="s">
        <v>22</v>
      </c>
    </row>
    <row r="13509" spans="1:22">
      <c r="A13509" t="str">
        <f t="shared" si="2658"/>
        <v>27/11/2025</v>
      </c>
      <c r="B13509" t="str">
        <f t="shared" si="2661"/>
        <v>SAÍDA</v>
      </c>
      <c r="C13509" t="str">
        <f t="shared" si="2662"/>
        <v>CONHECIMENTO</v>
      </c>
      <c r="D13509" t="str">
        <f t="shared" si="2663"/>
        <v>01092025</v>
      </c>
      <c r="E13509" t="str">
        <f>"3"</f>
        <v>3</v>
      </c>
      <c r="F13509" t="str">
        <f t="shared" si="2649"/>
        <v>COM</v>
      </c>
      <c r="G13509" t="str">
        <f t="shared" si="2664"/>
        <v>CORA SOCIEDADE DE CREDITO, FINANCIAMENTO E INVESTIMENTO (20035)</v>
      </c>
      <c r="H13509" t="s">
        <v>75</v>
      </c>
      <c r="I13509" t="str">
        <f t="shared" si="2665"/>
        <v>27/11/2025</v>
      </c>
      <c r="J13509" t="str">
        <f t="shared" si="2666"/>
        <v>01/09/2025</v>
      </c>
      <c r="K13509">
        <v>45988</v>
      </c>
      <c r="N13509">
        <v>401</v>
      </c>
      <c r="O13509" t="s">
        <v>76</v>
      </c>
      <c r="Q13509">
        <v>1.7</v>
      </c>
      <c r="R13509" t="str">
        <f>"CORA SOCIEDADE DE CREDITO, FINANCIAMENTO E INVESTIMENTO (20035)"</f>
        <v>CORA SOCIEDADE DE CREDITO, FINANCIAMENTO E INVESTIMENTO (20035)</v>
      </c>
      <c r="S13509" t="s">
        <v>22</v>
      </c>
      <c r="T13509">
        <v>23018</v>
      </c>
      <c r="U13509">
        <v>27103</v>
      </c>
      <c r="V13509" t="s">
        <v>22</v>
      </c>
    </row>
    <row r="13510" spans="1:22">
      <c r="A13510" t="str">
        <f t="shared" si="2658"/>
        <v>27/11/2025</v>
      </c>
      <c r="B13510" t="str">
        <f t="shared" si="2661"/>
        <v>SAÍDA</v>
      </c>
      <c r="C13510" t="str">
        <f t="shared" si="2662"/>
        <v>CONHECIMENTO</v>
      </c>
      <c r="D13510" t="str">
        <f t="shared" si="2663"/>
        <v>01092025</v>
      </c>
      <c r="E13510" t="str">
        <f>"4"</f>
        <v>4</v>
      </c>
      <c r="F13510" t="str">
        <f t="shared" si="2649"/>
        <v>COM</v>
      </c>
      <c r="G13510" t="str">
        <f t="shared" si="2664"/>
        <v>CORA SOCIEDADE DE CREDITO, FINANCIAMENTO E INVESTIMENTO (20035)</v>
      </c>
      <c r="H13510" t="str">
        <f>"TAXA BOLETO "</f>
        <v xml:space="preserve">TAXA BOLETO </v>
      </c>
      <c r="I13510" t="str">
        <f t="shared" si="2665"/>
        <v>27/11/2025</v>
      </c>
      <c r="J13510" t="str">
        <f t="shared" si="2666"/>
        <v>01/09/2025</v>
      </c>
      <c r="K13510" t="str">
        <f>("27/11/2025")</f>
        <v>27/11/2025</v>
      </c>
      <c r="L13510">
        <v>1.7</v>
      </c>
      <c r="M13510">
        <v>1.7</v>
      </c>
      <c r="N13510">
        <v>401</v>
      </c>
      <c r="O13510" t="str">
        <f>"IOF/JUROS/DESP.FINANCEIRA"</f>
        <v>IOF/JUROS/DESP.FINANCEIRA</v>
      </c>
      <c r="P13510">
        <v>1.7</v>
      </c>
      <c r="S13510" t="str">
        <f>"BANCO CORA (102)"</f>
        <v>BANCO CORA (102)</v>
      </c>
      <c r="T13510">
        <v>23019</v>
      </c>
      <c r="U13510">
        <v>27104</v>
      </c>
      <c r="V13510" t="s">
        <v>22</v>
      </c>
    </row>
    <row r="13511" spans="1:22">
      <c r="A13511" t="str">
        <f t="shared" si="2658"/>
        <v>27/11/2025</v>
      </c>
      <c r="B13511" t="str">
        <f t="shared" si="2661"/>
        <v>SAÍDA</v>
      </c>
      <c r="C13511" t="str">
        <f t="shared" si="2662"/>
        <v>CONHECIMENTO</v>
      </c>
      <c r="D13511" t="str">
        <f t="shared" si="2663"/>
        <v>01092025</v>
      </c>
      <c r="E13511" t="str">
        <f>"4"</f>
        <v>4</v>
      </c>
      <c r="F13511" t="str">
        <f t="shared" si="2649"/>
        <v>COM</v>
      </c>
      <c r="G13511" t="str">
        <f t="shared" si="2664"/>
        <v>CORA SOCIEDADE DE CREDITO, FINANCIAMENTO E INVESTIMENTO (20035)</v>
      </c>
      <c r="H13511" t="s">
        <v>75</v>
      </c>
      <c r="I13511" t="str">
        <f t="shared" si="2665"/>
        <v>27/11/2025</v>
      </c>
      <c r="J13511" t="str">
        <f t="shared" si="2666"/>
        <v>01/09/2025</v>
      </c>
      <c r="K13511">
        <v>45988</v>
      </c>
      <c r="N13511">
        <v>401</v>
      </c>
      <c r="O13511" t="s">
        <v>76</v>
      </c>
      <c r="Q13511">
        <v>1.7</v>
      </c>
      <c r="R13511" t="str">
        <f>"CORA SOCIEDADE DE CREDITO, FINANCIAMENTO E INVESTIMENTO (20035)"</f>
        <v>CORA SOCIEDADE DE CREDITO, FINANCIAMENTO E INVESTIMENTO (20035)</v>
      </c>
      <c r="S13511" t="s">
        <v>22</v>
      </c>
      <c r="T13511">
        <v>23019</v>
      </c>
      <c r="U13511">
        <v>27104</v>
      </c>
      <c r="V13511" t="s">
        <v>22</v>
      </c>
    </row>
    <row r="13512" spans="1:22">
      <c r="A13512" t="str">
        <f t="shared" si="2658"/>
        <v>27/11/2025</v>
      </c>
      <c r="B13512" t="str">
        <f t="shared" si="2661"/>
        <v>SAÍDA</v>
      </c>
      <c r="C13512" t="str">
        <f t="shared" si="2662"/>
        <v>CONHECIMENTO</v>
      </c>
      <c r="D13512" t="str">
        <f t="shared" si="2663"/>
        <v>01092025</v>
      </c>
      <c r="E13512" t="str">
        <f>"5"</f>
        <v>5</v>
      </c>
      <c r="F13512" t="str">
        <f t="shared" si="2649"/>
        <v>COM</v>
      </c>
      <c r="G13512" t="str">
        <f t="shared" si="2664"/>
        <v>CORA SOCIEDADE DE CREDITO, FINANCIAMENTO E INVESTIMENTO (20035)</v>
      </c>
      <c r="H13512" t="str">
        <f>"TAXA BOLETO "</f>
        <v xml:space="preserve">TAXA BOLETO </v>
      </c>
      <c r="I13512" t="str">
        <f t="shared" si="2665"/>
        <v>27/11/2025</v>
      </c>
      <c r="J13512" t="str">
        <f t="shared" si="2666"/>
        <v>01/09/2025</v>
      </c>
      <c r="K13512" t="str">
        <f>("27/11/2025")</f>
        <v>27/11/2025</v>
      </c>
      <c r="L13512">
        <v>1.7</v>
      </c>
      <c r="M13512">
        <v>1.7</v>
      </c>
      <c r="N13512">
        <v>401</v>
      </c>
      <c r="O13512" t="str">
        <f>"IOF/JUROS/DESP.FINANCEIRA"</f>
        <v>IOF/JUROS/DESP.FINANCEIRA</v>
      </c>
      <c r="P13512">
        <v>1.7</v>
      </c>
      <c r="S13512" t="str">
        <f>"BANCO CORA (102)"</f>
        <v>BANCO CORA (102)</v>
      </c>
      <c r="T13512">
        <v>23020</v>
      </c>
      <c r="U13512">
        <v>27105</v>
      </c>
      <c r="V13512" t="s">
        <v>22</v>
      </c>
    </row>
    <row r="13513" spans="1:22">
      <c r="A13513" t="str">
        <f t="shared" si="2658"/>
        <v>27/11/2025</v>
      </c>
      <c r="B13513" t="str">
        <f t="shared" si="2661"/>
        <v>SAÍDA</v>
      </c>
      <c r="C13513" t="str">
        <f t="shared" si="2662"/>
        <v>CONHECIMENTO</v>
      </c>
      <c r="D13513" t="str">
        <f t="shared" si="2663"/>
        <v>01092025</v>
      </c>
      <c r="E13513" t="str">
        <f>"5"</f>
        <v>5</v>
      </c>
      <c r="F13513" t="str">
        <f t="shared" si="2649"/>
        <v>COM</v>
      </c>
      <c r="G13513" t="str">
        <f t="shared" si="2664"/>
        <v>CORA SOCIEDADE DE CREDITO, FINANCIAMENTO E INVESTIMENTO (20035)</v>
      </c>
      <c r="H13513" t="s">
        <v>75</v>
      </c>
      <c r="I13513" t="str">
        <f t="shared" si="2665"/>
        <v>27/11/2025</v>
      </c>
      <c r="J13513" t="str">
        <f t="shared" si="2666"/>
        <v>01/09/2025</v>
      </c>
      <c r="K13513">
        <v>45988</v>
      </c>
      <c r="N13513">
        <v>401</v>
      </c>
      <c r="O13513" t="s">
        <v>76</v>
      </c>
      <c r="Q13513">
        <v>1.7</v>
      </c>
      <c r="R13513" t="str">
        <f>"CORA SOCIEDADE DE CREDITO, FINANCIAMENTO E INVESTIMENTO (20035)"</f>
        <v>CORA SOCIEDADE DE CREDITO, FINANCIAMENTO E INVESTIMENTO (20035)</v>
      </c>
      <c r="S13513" t="s">
        <v>22</v>
      </c>
      <c r="T13513">
        <v>23020</v>
      </c>
      <c r="U13513">
        <v>27105</v>
      </c>
      <c r="V13513" t="s">
        <v>22</v>
      </c>
    </row>
    <row r="13514" spans="1:22">
      <c r="A13514" t="str">
        <f t="shared" si="2658"/>
        <v>27/11/2025</v>
      </c>
      <c r="B13514" t="str">
        <f t="shared" si="2661"/>
        <v>SAÍDA</v>
      </c>
      <c r="C13514" t="str">
        <f t="shared" si="2662"/>
        <v>CONHECIMENTO</v>
      </c>
      <c r="D13514" t="str">
        <f t="shared" si="2663"/>
        <v>01092025</v>
      </c>
      <c r="E13514" t="str">
        <f>"6"</f>
        <v>6</v>
      </c>
      <c r="F13514" t="str">
        <f t="shared" si="2649"/>
        <v>COM</v>
      </c>
      <c r="G13514" t="str">
        <f t="shared" si="2664"/>
        <v>CORA SOCIEDADE DE CREDITO, FINANCIAMENTO E INVESTIMENTO (20035)</v>
      </c>
      <c r="H13514" t="str">
        <f>"TAXA BOLETO "</f>
        <v xml:space="preserve">TAXA BOLETO </v>
      </c>
      <c r="I13514" t="str">
        <f t="shared" si="2665"/>
        <v>27/11/2025</v>
      </c>
      <c r="J13514" t="str">
        <f t="shared" si="2666"/>
        <v>01/09/2025</v>
      </c>
      <c r="K13514" t="str">
        <f>("27/11/2025")</f>
        <v>27/11/2025</v>
      </c>
      <c r="L13514">
        <v>1.7</v>
      </c>
      <c r="M13514">
        <v>1.7</v>
      </c>
      <c r="N13514">
        <v>401</v>
      </c>
      <c r="O13514" t="str">
        <f>"IOF/JUROS/DESP.FINANCEIRA"</f>
        <v>IOF/JUROS/DESP.FINANCEIRA</v>
      </c>
      <c r="P13514">
        <v>1.7</v>
      </c>
      <c r="S13514" t="str">
        <f>"BANCO CORA (102)"</f>
        <v>BANCO CORA (102)</v>
      </c>
      <c r="T13514">
        <v>23021</v>
      </c>
      <c r="U13514">
        <v>27106</v>
      </c>
      <c r="V13514" t="s">
        <v>22</v>
      </c>
    </row>
    <row r="13515" spans="1:22">
      <c r="A13515" t="str">
        <f t="shared" si="2658"/>
        <v>27/11/2025</v>
      </c>
      <c r="B13515" t="str">
        <f t="shared" si="2661"/>
        <v>SAÍDA</v>
      </c>
      <c r="C13515" t="str">
        <f t="shared" si="2662"/>
        <v>CONHECIMENTO</v>
      </c>
      <c r="D13515" t="str">
        <f t="shared" si="2663"/>
        <v>01092025</v>
      </c>
      <c r="E13515" t="str">
        <f>"6"</f>
        <v>6</v>
      </c>
      <c r="F13515" t="str">
        <f t="shared" si="2649"/>
        <v>COM</v>
      </c>
      <c r="G13515" t="str">
        <f t="shared" si="2664"/>
        <v>CORA SOCIEDADE DE CREDITO, FINANCIAMENTO E INVESTIMENTO (20035)</v>
      </c>
      <c r="H13515" t="s">
        <v>75</v>
      </c>
      <c r="I13515" t="str">
        <f t="shared" si="2665"/>
        <v>27/11/2025</v>
      </c>
      <c r="J13515" t="str">
        <f t="shared" si="2666"/>
        <v>01/09/2025</v>
      </c>
      <c r="K13515">
        <v>45988</v>
      </c>
      <c r="N13515">
        <v>401</v>
      </c>
      <c r="O13515" t="s">
        <v>76</v>
      </c>
      <c r="Q13515">
        <v>1.7</v>
      </c>
      <c r="R13515" t="str">
        <f>"CORA SOCIEDADE DE CREDITO, FINANCIAMENTO E INVESTIMENTO (20035)"</f>
        <v>CORA SOCIEDADE DE CREDITO, FINANCIAMENTO E INVESTIMENTO (20035)</v>
      </c>
      <c r="S13515" t="s">
        <v>22</v>
      </c>
      <c r="T13515">
        <v>23021</v>
      </c>
      <c r="U13515">
        <v>27106</v>
      </c>
      <c r="V13515" t="s">
        <v>22</v>
      </c>
    </row>
    <row r="13516" spans="1:22">
      <c r="A13516" t="str">
        <f t="shared" si="2658"/>
        <v>27/11/2025</v>
      </c>
      <c r="B13516" t="str">
        <f t="shared" si="2661"/>
        <v>SAÍDA</v>
      </c>
      <c r="C13516" t="str">
        <f t="shared" si="2662"/>
        <v>CONHECIMENTO</v>
      </c>
      <c r="D13516" t="str">
        <f t="shared" si="2663"/>
        <v>01092025</v>
      </c>
      <c r="E13516" t="str">
        <f>"7"</f>
        <v>7</v>
      </c>
      <c r="F13516" t="str">
        <f t="shared" si="2649"/>
        <v>COM</v>
      </c>
      <c r="G13516" t="str">
        <f t="shared" si="2664"/>
        <v>CORA SOCIEDADE DE CREDITO, FINANCIAMENTO E INVESTIMENTO (20035)</v>
      </c>
      <c r="H13516" t="str">
        <f>"TAXA BOLETO "</f>
        <v xml:space="preserve">TAXA BOLETO </v>
      </c>
      <c r="I13516" t="str">
        <f t="shared" si="2665"/>
        <v>27/11/2025</v>
      </c>
      <c r="J13516" t="str">
        <f t="shared" si="2666"/>
        <v>01/09/2025</v>
      </c>
      <c r="K13516" t="str">
        <f>("27/11/2025")</f>
        <v>27/11/2025</v>
      </c>
      <c r="L13516">
        <v>1.7</v>
      </c>
      <c r="M13516">
        <v>1.7</v>
      </c>
      <c r="N13516">
        <v>401</v>
      </c>
      <c r="O13516" t="str">
        <f>"IOF/JUROS/DESP.FINANCEIRA"</f>
        <v>IOF/JUROS/DESP.FINANCEIRA</v>
      </c>
      <c r="P13516">
        <v>1.7</v>
      </c>
      <c r="S13516" t="str">
        <f>"BANCO CORA (102)"</f>
        <v>BANCO CORA (102)</v>
      </c>
      <c r="T13516">
        <v>23022</v>
      </c>
      <c r="U13516">
        <v>27107</v>
      </c>
      <c r="V13516" t="s">
        <v>22</v>
      </c>
    </row>
    <row r="13517" spans="1:22">
      <c r="A13517" t="str">
        <f t="shared" si="2658"/>
        <v>27/11/2025</v>
      </c>
      <c r="B13517" t="str">
        <f t="shared" si="2661"/>
        <v>SAÍDA</v>
      </c>
      <c r="C13517" t="str">
        <f t="shared" si="2662"/>
        <v>CONHECIMENTO</v>
      </c>
      <c r="D13517" t="str">
        <f t="shared" si="2663"/>
        <v>01092025</v>
      </c>
      <c r="E13517" t="str">
        <f>"7"</f>
        <v>7</v>
      </c>
      <c r="F13517" t="str">
        <f t="shared" si="2649"/>
        <v>COM</v>
      </c>
      <c r="G13517" t="str">
        <f t="shared" si="2664"/>
        <v>CORA SOCIEDADE DE CREDITO, FINANCIAMENTO E INVESTIMENTO (20035)</v>
      </c>
      <c r="H13517" t="s">
        <v>75</v>
      </c>
      <c r="I13517" t="str">
        <f t="shared" si="2665"/>
        <v>27/11/2025</v>
      </c>
      <c r="J13517" t="str">
        <f t="shared" si="2666"/>
        <v>01/09/2025</v>
      </c>
      <c r="K13517">
        <v>45988</v>
      </c>
      <c r="N13517">
        <v>401</v>
      </c>
      <c r="O13517" t="s">
        <v>76</v>
      </c>
      <c r="Q13517">
        <v>1.7</v>
      </c>
      <c r="R13517" t="str">
        <f>"CORA SOCIEDADE DE CREDITO, FINANCIAMENTO E INVESTIMENTO (20035)"</f>
        <v>CORA SOCIEDADE DE CREDITO, FINANCIAMENTO E INVESTIMENTO (20035)</v>
      </c>
      <c r="S13517" t="s">
        <v>22</v>
      </c>
      <c r="T13517">
        <v>23022</v>
      </c>
      <c r="U13517">
        <v>27107</v>
      </c>
      <c r="V13517" t="s">
        <v>22</v>
      </c>
    </row>
    <row r="13518" spans="1:22">
      <c r="A13518" t="str">
        <f t="shared" si="2658"/>
        <v>27/11/2025</v>
      </c>
      <c r="B13518" t="str">
        <f t="shared" si="2661"/>
        <v>SAÍDA</v>
      </c>
      <c r="C13518" t="str">
        <f t="shared" si="2662"/>
        <v>CONHECIMENTO</v>
      </c>
      <c r="D13518" t="str">
        <f t="shared" si="2663"/>
        <v>01092025</v>
      </c>
      <c r="E13518" t="str">
        <f>"8"</f>
        <v>8</v>
      </c>
      <c r="F13518" t="str">
        <f t="shared" si="2649"/>
        <v>COM</v>
      </c>
      <c r="G13518" t="str">
        <f t="shared" si="2664"/>
        <v>CORA SOCIEDADE DE CREDITO, FINANCIAMENTO E INVESTIMENTO (20035)</v>
      </c>
      <c r="H13518" t="str">
        <f>"TAXA BOLETO "</f>
        <v xml:space="preserve">TAXA BOLETO </v>
      </c>
      <c r="I13518" t="str">
        <f t="shared" si="2665"/>
        <v>27/11/2025</v>
      </c>
      <c r="J13518" t="str">
        <f t="shared" si="2666"/>
        <v>01/09/2025</v>
      </c>
      <c r="K13518" t="str">
        <f>("27/11/2025")</f>
        <v>27/11/2025</v>
      </c>
      <c r="L13518">
        <v>1.7</v>
      </c>
      <c r="M13518">
        <v>1.7</v>
      </c>
      <c r="N13518">
        <v>401</v>
      </c>
      <c r="O13518" t="str">
        <f>"IOF/JUROS/DESP.FINANCEIRA"</f>
        <v>IOF/JUROS/DESP.FINANCEIRA</v>
      </c>
      <c r="P13518">
        <v>1.7</v>
      </c>
      <c r="S13518" t="str">
        <f>"BANCO CORA (102)"</f>
        <v>BANCO CORA (102)</v>
      </c>
      <c r="T13518">
        <v>23023</v>
      </c>
      <c r="U13518">
        <v>27108</v>
      </c>
      <c r="V13518" t="s">
        <v>22</v>
      </c>
    </row>
    <row r="13519" spans="1:22">
      <c r="A13519" t="str">
        <f t="shared" si="2658"/>
        <v>27/11/2025</v>
      </c>
      <c r="B13519" t="str">
        <f t="shared" si="2661"/>
        <v>SAÍDA</v>
      </c>
      <c r="C13519" t="str">
        <f t="shared" si="2662"/>
        <v>CONHECIMENTO</v>
      </c>
      <c r="D13519" t="str">
        <f t="shared" si="2663"/>
        <v>01092025</v>
      </c>
      <c r="E13519" t="str">
        <f>"8"</f>
        <v>8</v>
      </c>
      <c r="F13519" t="str">
        <f t="shared" si="2649"/>
        <v>COM</v>
      </c>
      <c r="G13519" t="str">
        <f t="shared" si="2664"/>
        <v>CORA SOCIEDADE DE CREDITO, FINANCIAMENTO E INVESTIMENTO (20035)</v>
      </c>
      <c r="H13519" t="s">
        <v>75</v>
      </c>
      <c r="I13519" t="str">
        <f t="shared" si="2665"/>
        <v>27/11/2025</v>
      </c>
      <c r="J13519" t="str">
        <f t="shared" si="2666"/>
        <v>01/09/2025</v>
      </c>
      <c r="K13519">
        <v>45988</v>
      </c>
      <c r="N13519">
        <v>401</v>
      </c>
      <c r="O13519" t="s">
        <v>76</v>
      </c>
      <c r="Q13519">
        <v>1.7</v>
      </c>
      <c r="R13519" t="str">
        <f>"CORA SOCIEDADE DE CREDITO, FINANCIAMENTO E INVESTIMENTO (20035)"</f>
        <v>CORA SOCIEDADE DE CREDITO, FINANCIAMENTO E INVESTIMENTO (20035)</v>
      </c>
      <c r="S13519" t="s">
        <v>22</v>
      </c>
      <c r="T13519">
        <v>23023</v>
      </c>
      <c r="U13519">
        <v>27108</v>
      </c>
      <c r="V13519" t="s">
        <v>22</v>
      </c>
    </row>
    <row r="13520" spans="1:22">
      <c r="A13520" t="str">
        <f t="shared" si="2658"/>
        <v>27/11/2025</v>
      </c>
      <c r="B13520" t="str">
        <f t="shared" si="2661"/>
        <v>SAÍDA</v>
      </c>
      <c r="C13520" t="str">
        <f t="shared" si="2662"/>
        <v>CONHECIMENTO</v>
      </c>
      <c r="D13520" t="str">
        <f t="shared" si="2663"/>
        <v>01092025</v>
      </c>
      <c r="E13520" t="str">
        <f>"9"</f>
        <v>9</v>
      </c>
      <c r="F13520" t="str">
        <f t="shared" si="2649"/>
        <v>COM</v>
      </c>
      <c r="G13520" t="str">
        <f t="shared" si="2664"/>
        <v>CORA SOCIEDADE DE CREDITO, FINANCIAMENTO E INVESTIMENTO (20035)</v>
      </c>
      <c r="H13520" t="str">
        <f>"TAXA BOLETO "</f>
        <v xml:space="preserve">TAXA BOLETO </v>
      </c>
      <c r="I13520" t="str">
        <f t="shared" si="2665"/>
        <v>27/11/2025</v>
      </c>
      <c r="J13520" t="str">
        <f t="shared" si="2666"/>
        <v>01/09/2025</v>
      </c>
      <c r="K13520" t="str">
        <f>("27/11/2025")</f>
        <v>27/11/2025</v>
      </c>
      <c r="L13520">
        <v>1.7</v>
      </c>
      <c r="M13520">
        <v>1.7</v>
      </c>
      <c r="N13520">
        <v>401</v>
      </c>
      <c r="O13520" t="str">
        <f>"IOF/JUROS/DESP.FINANCEIRA"</f>
        <v>IOF/JUROS/DESP.FINANCEIRA</v>
      </c>
      <c r="P13520">
        <v>1.7</v>
      </c>
      <c r="S13520" t="str">
        <f>"BANCO CORA (102)"</f>
        <v>BANCO CORA (102)</v>
      </c>
      <c r="T13520">
        <v>23024</v>
      </c>
      <c r="U13520">
        <v>27109</v>
      </c>
      <c r="V13520" t="s">
        <v>22</v>
      </c>
    </row>
    <row r="13521" spans="1:22">
      <c r="A13521" t="str">
        <f t="shared" si="2658"/>
        <v>27/11/2025</v>
      </c>
      <c r="B13521" t="str">
        <f t="shared" si="2661"/>
        <v>SAÍDA</v>
      </c>
      <c r="C13521" t="str">
        <f t="shared" si="2662"/>
        <v>CONHECIMENTO</v>
      </c>
      <c r="D13521" t="str">
        <f t="shared" si="2663"/>
        <v>01092025</v>
      </c>
      <c r="E13521" t="str">
        <f>"9"</f>
        <v>9</v>
      </c>
      <c r="F13521" t="str">
        <f t="shared" si="2649"/>
        <v>COM</v>
      </c>
      <c r="G13521" t="str">
        <f t="shared" si="2664"/>
        <v>CORA SOCIEDADE DE CREDITO, FINANCIAMENTO E INVESTIMENTO (20035)</v>
      </c>
      <c r="H13521" t="s">
        <v>75</v>
      </c>
      <c r="I13521" t="str">
        <f t="shared" si="2665"/>
        <v>27/11/2025</v>
      </c>
      <c r="J13521" t="str">
        <f t="shared" si="2666"/>
        <v>01/09/2025</v>
      </c>
      <c r="K13521">
        <v>45988</v>
      </c>
      <c r="N13521">
        <v>401</v>
      </c>
      <c r="O13521" t="s">
        <v>76</v>
      </c>
      <c r="Q13521">
        <v>1.7</v>
      </c>
      <c r="R13521" t="str">
        <f>"CORA SOCIEDADE DE CREDITO, FINANCIAMENTO E INVESTIMENTO (20035)"</f>
        <v>CORA SOCIEDADE DE CREDITO, FINANCIAMENTO E INVESTIMENTO (20035)</v>
      </c>
      <c r="S13521" t="s">
        <v>22</v>
      </c>
      <c r="T13521">
        <v>23024</v>
      </c>
      <c r="U13521">
        <v>27109</v>
      </c>
      <c r="V13521" t="s">
        <v>22</v>
      </c>
    </row>
    <row r="13522" spans="1:22">
      <c r="A13522" t="str">
        <f t="shared" si="2658"/>
        <v>27/11/2025</v>
      </c>
      <c r="B13522" t="str">
        <f t="shared" si="2661"/>
        <v>SAÍDA</v>
      </c>
      <c r="C13522" t="str">
        <f t="shared" si="2662"/>
        <v>CONHECIMENTO</v>
      </c>
      <c r="D13522" t="str">
        <f t="shared" si="2663"/>
        <v>01092025</v>
      </c>
      <c r="E13522" t="str">
        <f>"10"</f>
        <v>10</v>
      </c>
      <c r="F13522" t="str">
        <f t="shared" si="2649"/>
        <v>COM</v>
      </c>
      <c r="G13522" t="str">
        <f t="shared" si="2664"/>
        <v>CORA SOCIEDADE DE CREDITO, FINANCIAMENTO E INVESTIMENTO (20035)</v>
      </c>
      <c r="H13522" t="str">
        <f>"TAXA BOLETO "</f>
        <v xml:space="preserve">TAXA BOLETO </v>
      </c>
      <c r="I13522" t="str">
        <f t="shared" si="2665"/>
        <v>27/11/2025</v>
      </c>
      <c r="J13522" t="str">
        <f t="shared" si="2666"/>
        <v>01/09/2025</v>
      </c>
      <c r="K13522" t="str">
        <f>("27/11/2025")</f>
        <v>27/11/2025</v>
      </c>
      <c r="L13522">
        <v>1.7</v>
      </c>
      <c r="M13522">
        <v>1.7</v>
      </c>
      <c r="N13522">
        <v>401</v>
      </c>
      <c r="O13522" t="str">
        <f>"IOF/JUROS/DESP.FINANCEIRA"</f>
        <v>IOF/JUROS/DESP.FINANCEIRA</v>
      </c>
      <c r="P13522">
        <v>1.7</v>
      </c>
      <c r="S13522" t="str">
        <f>"BANCO CORA (102)"</f>
        <v>BANCO CORA (102)</v>
      </c>
      <c r="T13522">
        <v>23025</v>
      </c>
      <c r="U13522">
        <v>27110</v>
      </c>
      <c r="V13522" t="s">
        <v>22</v>
      </c>
    </row>
    <row r="13523" spans="1:22">
      <c r="A13523" t="str">
        <f t="shared" si="2658"/>
        <v>27/11/2025</v>
      </c>
      <c r="B13523" t="str">
        <f t="shared" si="2661"/>
        <v>SAÍDA</v>
      </c>
      <c r="C13523" t="str">
        <f t="shared" si="2662"/>
        <v>CONHECIMENTO</v>
      </c>
      <c r="D13523" t="str">
        <f t="shared" si="2663"/>
        <v>01092025</v>
      </c>
      <c r="E13523" t="str">
        <f>"10"</f>
        <v>10</v>
      </c>
      <c r="F13523" t="str">
        <f t="shared" ref="F13523:F13567" si="2667">"COM"</f>
        <v>COM</v>
      </c>
      <c r="G13523" t="str">
        <f t="shared" si="2664"/>
        <v>CORA SOCIEDADE DE CREDITO, FINANCIAMENTO E INVESTIMENTO (20035)</v>
      </c>
      <c r="H13523" t="s">
        <v>75</v>
      </c>
      <c r="I13523" t="str">
        <f t="shared" si="2665"/>
        <v>27/11/2025</v>
      </c>
      <c r="J13523" t="str">
        <f t="shared" si="2666"/>
        <v>01/09/2025</v>
      </c>
      <c r="K13523">
        <v>45988</v>
      </c>
      <c r="N13523">
        <v>401</v>
      </c>
      <c r="O13523" t="s">
        <v>76</v>
      </c>
      <c r="Q13523">
        <v>1.7</v>
      </c>
      <c r="R13523" t="str">
        <f>"CORA SOCIEDADE DE CREDITO, FINANCIAMENTO E INVESTIMENTO (20035)"</f>
        <v>CORA SOCIEDADE DE CREDITO, FINANCIAMENTO E INVESTIMENTO (20035)</v>
      </c>
      <c r="S13523" t="s">
        <v>22</v>
      </c>
      <c r="T13523">
        <v>23025</v>
      </c>
      <c r="U13523">
        <v>27110</v>
      </c>
      <c r="V13523" t="s">
        <v>22</v>
      </c>
    </row>
    <row r="13524" spans="1:22">
      <c r="A13524" t="str">
        <f t="shared" si="2658"/>
        <v>27/11/2025</v>
      </c>
      <c r="B13524" t="str">
        <f t="shared" si="2661"/>
        <v>SAÍDA</v>
      </c>
      <c r="C13524" t="str">
        <f t="shared" si="2662"/>
        <v>CONHECIMENTO</v>
      </c>
      <c r="D13524" t="str">
        <f t="shared" si="2663"/>
        <v>01092025</v>
      </c>
      <c r="E13524" t="str">
        <f>"11"</f>
        <v>11</v>
      </c>
      <c r="F13524" t="str">
        <f t="shared" si="2667"/>
        <v>COM</v>
      </c>
      <c r="G13524" t="str">
        <f t="shared" si="2664"/>
        <v>CORA SOCIEDADE DE CREDITO, FINANCIAMENTO E INVESTIMENTO (20035)</v>
      </c>
      <c r="H13524" t="str">
        <f>"TAXA BOLETO "</f>
        <v xml:space="preserve">TAXA BOLETO </v>
      </c>
      <c r="I13524" t="str">
        <f t="shared" si="2665"/>
        <v>27/11/2025</v>
      </c>
      <c r="J13524" t="str">
        <f t="shared" si="2666"/>
        <v>01/09/2025</v>
      </c>
      <c r="K13524" t="str">
        <f>("27/11/2025")</f>
        <v>27/11/2025</v>
      </c>
      <c r="L13524">
        <v>1.7</v>
      </c>
      <c r="M13524">
        <v>1.7</v>
      </c>
      <c r="N13524">
        <v>401</v>
      </c>
      <c r="O13524" t="str">
        <f>"IOF/JUROS/DESP.FINANCEIRA"</f>
        <v>IOF/JUROS/DESP.FINANCEIRA</v>
      </c>
      <c r="P13524">
        <v>1.7</v>
      </c>
      <c r="S13524" t="str">
        <f>"BANCO CORA (102)"</f>
        <v>BANCO CORA (102)</v>
      </c>
      <c r="T13524">
        <v>23026</v>
      </c>
      <c r="U13524">
        <v>27111</v>
      </c>
      <c r="V13524" t="s">
        <v>22</v>
      </c>
    </row>
    <row r="13525" spans="1:22">
      <c r="A13525" t="str">
        <f t="shared" si="2658"/>
        <v>27/11/2025</v>
      </c>
      <c r="B13525" t="str">
        <f t="shared" si="2661"/>
        <v>SAÍDA</v>
      </c>
      <c r="C13525" t="str">
        <f t="shared" si="2662"/>
        <v>CONHECIMENTO</v>
      </c>
      <c r="D13525" t="str">
        <f t="shared" si="2663"/>
        <v>01092025</v>
      </c>
      <c r="E13525" t="str">
        <f>"11"</f>
        <v>11</v>
      </c>
      <c r="F13525" t="str">
        <f t="shared" si="2667"/>
        <v>COM</v>
      </c>
      <c r="G13525" t="str">
        <f t="shared" si="2664"/>
        <v>CORA SOCIEDADE DE CREDITO, FINANCIAMENTO E INVESTIMENTO (20035)</v>
      </c>
      <c r="H13525" t="s">
        <v>75</v>
      </c>
      <c r="I13525" t="str">
        <f t="shared" si="2665"/>
        <v>27/11/2025</v>
      </c>
      <c r="J13525" t="str">
        <f t="shared" si="2666"/>
        <v>01/09/2025</v>
      </c>
      <c r="K13525">
        <v>45988</v>
      </c>
      <c r="N13525">
        <v>401</v>
      </c>
      <c r="O13525" t="s">
        <v>76</v>
      </c>
      <c r="Q13525">
        <v>1.7</v>
      </c>
      <c r="R13525" t="str">
        <f>"CORA SOCIEDADE DE CREDITO, FINANCIAMENTO E INVESTIMENTO (20035)"</f>
        <v>CORA SOCIEDADE DE CREDITO, FINANCIAMENTO E INVESTIMENTO (20035)</v>
      </c>
      <c r="S13525" t="s">
        <v>22</v>
      </c>
      <c r="T13525">
        <v>23026</v>
      </c>
      <c r="U13525">
        <v>27111</v>
      </c>
      <c r="V13525" t="s">
        <v>22</v>
      </c>
    </row>
    <row r="13526" spans="1:22">
      <c r="A13526" t="str">
        <f t="shared" si="2658"/>
        <v>27/11/2025</v>
      </c>
      <c r="B13526" t="str">
        <f t="shared" si="2661"/>
        <v>SAÍDA</v>
      </c>
      <c r="C13526" t="str">
        <f t="shared" si="2662"/>
        <v>CONHECIMENTO</v>
      </c>
      <c r="D13526" t="str">
        <f t="shared" si="2663"/>
        <v>01092025</v>
      </c>
      <c r="E13526" t="str">
        <f>"12"</f>
        <v>12</v>
      </c>
      <c r="F13526" t="str">
        <f t="shared" si="2667"/>
        <v>COM</v>
      </c>
      <c r="G13526" t="str">
        <f t="shared" si="2664"/>
        <v>CORA SOCIEDADE DE CREDITO, FINANCIAMENTO E INVESTIMENTO (20035)</v>
      </c>
      <c r="H13526" t="str">
        <f>"TAXA BOLETO "</f>
        <v xml:space="preserve">TAXA BOLETO </v>
      </c>
      <c r="I13526" t="str">
        <f t="shared" si="2665"/>
        <v>27/11/2025</v>
      </c>
      <c r="J13526" t="str">
        <f t="shared" si="2666"/>
        <v>01/09/2025</v>
      </c>
      <c r="K13526" t="str">
        <f>("27/11/2025")</f>
        <v>27/11/2025</v>
      </c>
      <c r="L13526">
        <v>1.7</v>
      </c>
      <c r="M13526">
        <v>1.7</v>
      </c>
      <c r="N13526">
        <v>401</v>
      </c>
      <c r="O13526" t="str">
        <f>"IOF/JUROS/DESP.FINANCEIRA"</f>
        <v>IOF/JUROS/DESP.FINANCEIRA</v>
      </c>
      <c r="P13526">
        <v>1.7</v>
      </c>
      <c r="S13526" t="str">
        <f>"BANCO CORA (102)"</f>
        <v>BANCO CORA (102)</v>
      </c>
      <c r="T13526">
        <v>23027</v>
      </c>
      <c r="U13526">
        <v>27112</v>
      </c>
      <c r="V13526" t="s">
        <v>22</v>
      </c>
    </row>
    <row r="13527" spans="1:22">
      <c r="A13527" t="str">
        <f t="shared" si="2658"/>
        <v>27/11/2025</v>
      </c>
      <c r="B13527" t="str">
        <f t="shared" si="2661"/>
        <v>SAÍDA</v>
      </c>
      <c r="C13527" t="str">
        <f t="shared" si="2662"/>
        <v>CONHECIMENTO</v>
      </c>
      <c r="D13527" t="str">
        <f t="shared" si="2663"/>
        <v>01092025</v>
      </c>
      <c r="E13527" t="str">
        <f>"12"</f>
        <v>12</v>
      </c>
      <c r="F13527" t="str">
        <f t="shared" si="2667"/>
        <v>COM</v>
      </c>
      <c r="G13527" t="str">
        <f t="shared" si="2664"/>
        <v>CORA SOCIEDADE DE CREDITO, FINANCIAMENTO E INVESTIMENTO (20035)</v>
      </c>
      <c r="H13527" t="s">
        <v>75</v>
      </c>
      <c r="I13527" t="str">
        <f t="shared" si="2665"/>
        <v>27/11/2025</v>
      </c>
      <c r="J13527" t="str">
        <f t="shared" si="2666"/>
        <v>01/09/2025</v>
      </c>
      <c r="K13527">
        <v>45988</v>
      </c>
      <c r="N13527">
        <v>401</v>
      </c>
      <c r="O13527" t="s">
        <v>76</v>
      </c>
      <c r="Q13527">
        <v>1.7</v>
      </c>
      <c r="R13527" t="str">
        <f>"CORA SOCIEDADE DE CREDITO, FINANCIAMENTO E INVESTIMENTO (20035)"</f>
        <v>CORA SOCIEDADE DE CREDITO, FINANCIAMENTO E INVESTIMENTO (20035)</v>
      </c>
      <c r="S13527" t="s">
        <v>22</v>
      </c>
      <c r="T13527">
        <v>23027</v>
      </c>
      <c r="U13527">
        <v>27112</v>
      </c>
      <c r="V13527" t="s">
        <v>22</v>
      </c>
    </row>
    <row r="13528" spans="1:22">
      <c r="A13528" t="str">
        <f t="shared" si="2658"/>
        <v>27/11/2025</v>
      </c>
      <c r="B13528" t="str">
        <f t="shared" si="2661"/>
        <v>SAÍDA</v>
      </c>
      <c r="C13528" t="str">
        <f t="shared" si="2662"/>
        <v>CONHECIMENTO</v>
      </c>
      <c r="D13528" t="str">
        <f t="shared" si="2663"/>
        <v>01092025</v>
      </c>
      <c r="E13528" t="str">
        <f>"13"</f>
        <v>13</v>
      </c>
      <c r="F13528" t="str">
        <f t="shared" si="2667"/>
        <v>COM</v>
      </c>
      <c r="G13528" t="str">
        <f t="shared" si="2664"/>
        <v>CORA SOCIEDADE DE CREDITO, FINANCIAMENTO E INVESTIMENTO (20035)</v>
      </c>
      <c r="H13528" t="str">
        <f>"TAXA BOLETO "</f>
        <v xml:space="preserve">TAXA BOLETO </v>
      </c>
      <c r="I13528" t="str">
        <f t="shared" si="2665"/>
        <v>27/11/2025</v>
      </c>
      <c r="J13528" t="str">
        <f t="shared" si="2666"/>
        <v>01/09/2025</v>
      </c>
      <c r="K13528" t="str">
        <f>("27/11/2025")</f>
        <v>27/11/2025</v>
      </c>
      <c r="L13528">
        <v>1.7</v>
      </c>
      <c r="M13528">
        <v>1.7</v>
      </c>
      <c r="N13528">
        <v>401</v>
      </c>
      <c r="O13528" t="str">
        <f>"IOF/JUROS/DESP.FINANCEIRA"</f>
        <v>IOF/JUROS/DESP.FINANCEIRA</v>
      </c>
      <c r="P13528">
        <v>1.7</v>
      </c>
      <c r="S13528" t="str">
        <f>"BANCO CORA (102)"</f>
        <v>BANCO CORA (102)</v>
      </c>
      <c r="T13528">
        <v>23028</v>
      </c>
      <c r="U13528">
        <v>27113</v>
      </c>
      <c r="V13528" t="s">
        <v>22</v>
      </c>
    </row>
    <row r="13529" spans="1:22">
      <c r="A13529" t="str">
        <f t="shared" si="2658"/>
        <v>27/11/2025</v>
      </c>
      <c r="B13529" t="str">
        <f t="shared" si="2661"/>
        <v>SAÍDA</v>
      </c>
      <c r="C13529" t="str">
        <f t="shared" si="2662"/>
        <v>CONHECIMENTO</v>
      </c>
      <c r="D13529" t="str">
        <f t="shared" si="2663"/>
        <v>01092025</v>
      </c>
      <c r="E13529" t="str">
        <f>"13"</f>
        <v>13</v>
      </c>
      <c r="F13529" t="str">
        <f t="shared" si="2667"/>
        <v>COM</v>
      </c>
      <c r="G13529" t="str">
        <f t="shared" si="2664"/>
        <v>CORA SOCIEDADE DE CREDITO, FINANCIAMENTO E INVESTIMENTO (20035)</v>
      </c>
      <c r="H13529" t="s">
        <v>75</v>
      </c>
      <c r="I13529" t="str">
        <f t="shared" si="2665"/>
        <v>27/11/2025</v>
      </c>
      <c r="J13529" t="str">
        <f t="shared" si="2666"/>
        <v>01/09/2025</v>
      </c>
      <c r="K13529">
        <v>45988</v>
      </c>
      <c r="N13529">
        <v>401</v>
      </c>
      <c r="O13529" t="s">
        <v>76</v>
      </c>
      <c r="Q13529">
        <v>1.7</v>
      </c>
      <c r="R13529" t="str">
        <f>"CORA SOCIEDADE DE CREDITO, FINANCIAMENTO E INVESTIMENTO (20035)"</f>
        <v>CORA SOCIEDADE DE CREDITO, FINANCIAMENTO E INVESTIMENTO (20035)</v>
      </c>
      <c r="S13529" t="s">
        <v>22</v>
      </c>
      <c r="T13529">
        <v>23028</v>
      </c>
      <c r="U13529">
        <v>27113</v>
      </c>
      <c r="V13529" t="s">
        <v>22</v>
      </c>
    </row>
    <row r="13530" spans="1:22">
      <c r="A13530" t="str">
        <f t="shared" si="2658"/>
        <v>27/11/2025</v>
      </c>
      <c r="B13530" t="str">
        <f t="shared" si="2661"/>
        <v>SAÍDA</v>
      </c>
      <c r="C13530" t="str">
        <f t="shared" si="2662"/>
        <v>CONHECIMENTO</v>
      </c>
      <c r="D13530" t="str">
        <f t="shared" si="2663"/>
        <v>01092025</v>
      </c>
      <c r="E13530" t="str">
        <f>"14"</f>
        <v>14</v>
      </c>
      <c r="F13530" t="str">
        <f t="shared" si="2667"/>
        <v>COM</v>
      </c>
      <c r="G13530" t="str">
        <f t="shared" si="2664"/>
        <v>CORA SOCIEDADE DE CREDITO, FINANCIAMENTO E INVESTIMENTO (20035)</v>
      </c>
      <c r="H13530" t="str">
        <f>"TAXA BOLETO "</f>
        <v xml:space="preserve">TAXA BOLETO </v>
      </c>
      <c r="I13530" t="str">
        <f t="shared" si="2665"/>
        <v>27/11/2025</v>
      </c>
      <c r="J13530" t="str">
        <f t="shared" si="2666"/>
        <v>01/09/2025</v>
      </c>
      <c r="K13530" t="str">
        <f>("27/11/2025")</f>
        <v>27/11/2025</v>
      </c>
      <c r="L13530">
        <v>1.7</v>
      </c>
      <c r="M13530">
        <v>1.7</v>
      </c>
      <c r="N13530">
        <v>401</v>
      </c>
      <c r="O13530" t="str">
        <f>"IOF/JUROS/DESP.FINANCEIRA"</f>
        <v>IOF/JUROS/DESP.FINANCEIRA</v>
      </c>
      <c r="P13530">
        <v>1.7</v>
      </c>
      <c r="S13530" t="str">
        <f>"BANCO CORA (102)"</f>
        <v>BANCO CORA (102)</v>
      </c>
      <c r="T13530">
        <v>23029</v>
      </c>
      <c r="U13530">
        <v>27114</v>
      </c>
      <c r="V13530" t="s">
        <v>22</v>
      </c>
    </row>
    <row r="13531" spans="1:22">
      <c r="A13531" t="str">
        <f t="shared" si="2658"/>
        <v>27/11/2025</v>
      </c>
      <c r="B13531" t="str">
        <f t="shared" si="2661"/>
        <v>SAÍDA</v>
      </c>
      <c r="C13531" t="str">
        <f t="shared" si="2662"/>
        <v>CONHECIMENTO</v>
      </c>
      <c r="D13531" t="str">
        <f t="shared" si="2663"/>
        <v>01092025</v>
      </c>
      <c r="E13531" t="str">
        <f>"14"</f>
        <v>14</v>
      </c>
      <c r="F13531" t="str">
        <f t="shared" si="2667"/>
        <v>COM</v>
      </c>
      <c r="G13531" t="str">
        <f t="shared" si="2664"/>
        <v>CORA SOCIEDADE DE CREDITO, FINANCIAMENTO E INVESTIMENTO (20035)</v>
      </c>
      <c r="H13531" t="s">
        <v>75</v>
      </c>
      <c r="I13531" t="str">
        <f t="shared" si="2665"/>
        <v>27/11/2025</v>
      </c>
      <c r="J13531" t="str">
        <f t="shared" si="2666"/>
        <v>01/09/2025</v>
      </c>
      <c r="K13531">
        <v>45988</v>
      </c>
      <c r="N13531">
        <v>401</v>
      </c>
      <c r="O13531" t="s">
        <v>76</v>
      </c>
      <c r="Q13531">
        <v>1.7</v>
      </c>
      <c r="R13531" t="str">
        <f>"CORA SOCIEDADE DE CREDITO, FINANCIAMENTO E INVESTIMENTO (20035)"</f>
        <v>CORA SOCIEDADE DE CREDITO, FINANCIAMENTO E INVESTIMENTO (20035)</v>
      </c>
      <c r="S13531" t="s">
        <v>22</v>
      </c>
      <c r="T13531">
        <v>23029</v>
      </c>
      <c r="U13531">
        <v>27114</v>
      </c>
      <c r="V13531" t="s">
        <v>22</v>
      </c>
    </row>
    <row r="13532" spans="1:22">
      <c r="A13532" t="str">
        <f t="shared" si="2658"/>
        <v>27/11/2025</v>
      </c>
      <c r="B13532" t="str">
        <f t="shared" si="2661"/>
        <v>SAÍDA</v>
      </c>
      <c r="C13532" t="str">
        <f t="shared" si="2662"/>
        <v>CONHECIMENTO</v>
      </c>
      <c r="D13532" t="str">
        <f t="shared" si="2663"/>
        <v>01092025</v>
      </c>
      <c r="E13532" t="str">
        <f>"15"</f>
        <v>15</v>
      </c>
      <c r="F13532" t="str">
        <f t="shared" si="2667"/>
        <v>COM</v>
      </c>
      <c r="G13532" t="str">
        <f t="shared" si="2664"/>
        <v>CORA SOCIEDADE DE CREDITO, FINANCIAMENTO E INVESTIMENTO (20035)</v>
      </c>
      <c r="H13532" t="str">
        <f>"TAXA BOLETO "</f>
        <v xml:space="preserve">TAXA BOLETO </v>
      </c>
      <c r="I13532" t="str">
        <f t="shared" si="2665"/>
        <v>27/11/2025</v>
      </c>
      <c r="J13532" t="str">
        <f t="shared" si="2666"/>
        <v>01/09/2025</v>
      </c>
      <c r="K13532" t="str">
        <f>("27/11/2025")</f>
        <v>27/11/2025</v>
      </c>
      <c r="L13532">
        <v>1.7</v>
      </c>
      <c r="M13532">
        <v>1.7</v>
      </c>
      <c r="N13532">
        <v>401</v>
      </c>
      <c r="O13532" t="str">
        <f>"IOF/JUROS/DESP.FINANCEIRA"</f>
        <v>IOF/JUROS/DESP.FINANCEIRA</v>
      </c>
      <c r="P13532">
        <v>1.7</v>
      </c>
      <c r="S13532" t="str">
        <f>"BANCO CORA (102)"</f>
        <v>BANCO CORA (102)</v>
      </c>
      <c r="T13532">
        <v>23030</v>
      </c>
      <c r="U13532">
        <v>27115</v>
      </c>
      <c r="V13532" t="s">
        <v>22</v>
      </c>
    </row>
    <row r="13533" spans="1:22">
      <c r="A13533" t="str">
        <f t="shared" si="2658"/>
        <v>27/11/2025</v>
      </c>
      <c r="B13533" t="str">
        <f t="shared" si="2661"/>
        <v>SAÍDA</v>
      </c>
      <c r="C13533" t="str">
        <f t="shared" si="2662"/>
        <v>CONHECIMENTO</v>
      </c>
      <c r="D13533" t="str">
        <f t="shared" si="2663"/>
        <v>01092025</v>
      </c>
      <c r="E13533" t="str">
        <f>"15"</f>
        <v>15</v>
      </c>
      <c r="F13533" t="str">
        <f t="shared" si="2667"/>
        <v>COM</v>
      </c>
      <c r="G13533" t="str">
        <f t="shared" si="2664"/>
        <v>CORA SOCIEDADE DE CREDITO, FINANCIAMENTO E INVESTIMENTO (20035)</v>
      </c>
      <c r="H13533" t="s">
        <v>75</v>
      </c>
      <c r="I13533" t="str">
        <f t="shared" si="2665"/>
        <v>27/11/2025</v>
      </c>
      <c r="J13533" t="str">
        <f t="shared" si="2666"/>
        <v>01/09/2025</v>
      </c>
      <c r="K13533">
        <v>45988</v>
      </c>
      <c r="N13533">
        <v>401</v>
      </c>
      <c r="O13533" t="s">
        <v>76</v>
      </c>
      <c r="Q13533">
        <v>1.7</v>
      </c>
      <c r="R13533" t="str">
        <f>"CORA SOCIEDADE DE CREDITO, FINANCIAMENTO E INVESTIMENTO (20035)"</f>
        <v>CORA SOCIEDADE DE CREDITO, FINANCIAMENTO E INVESTIMENTO (20035)</v>
      </c>
      <c r="S13533" t="s">
        <v>22</v>
      </c>
      <c r="T13533">
        <v>23030</v>
      </c>
      <c r="U13533">
        <v>27115</v>
      </c>
      <c r="V13533" t="s">
        <v>22</v>
      </c>
    </row>
    <row r="13534" spans="1:22">
      <c r="A13534" t="str">
        <f t="shared" si="2658"/>
        <v>27/11/2025</v>
      </c>
      <c r="B13534" t="str">
        <f t="shared" si="2661"/>
        <v>SAÍDA</v>
      </c>
      <c r="C13534" t="str">
        <f t="shared" si="2662"/>
        <v>CONHECIMENTO</v>
      </c>
      <c r="D13534" t="str">
        <f t="shared" si="2663"/>
        <v>01092025</v>
      </c>
      <c r="E13534" t="str">
        <f>"16"</f>
        <v>16</v>
      </c>
      <c r="F13534" t="str">
        <f t="shared" si="2667"/>
        <v>COM</v>
      </c>
      <c r="G13534" t="str">
        <f t="shared" si="2664"/>
        <v>CORA SOCIEDADE DE CREDITO, FINANCIAMENTO E INVESTIMENTO (20035)</v>
      </c>
      <c r="H13534" t="str">
        <f>"TAXA BOLETO "</f>
        <v xml:space="preserve">TAXA BOLETO </v>
      </c>
      <c r="I13534" t="str">
        <f t="shared" si="2665"/>
        <v>27/11/2025</v>
      </c>
      <c r="J13534" t="str">
        <f t="shared" si="2666"/>
        <v>01/09/2025</v>
      </c>
      <c r="K13534" t="str">
        <f>("27/11/2025")</f>
        <v>27/11/2025</v>
      </c>
      <c r="L13534">
        <v>1.7</v>
      </c>
      <c r="M13534">
        <v>1.7</v>
      </c>
      <c r="N13534">
        <v>401</v>
      </c>
      <c r="O13534" t="str">
        <f>"IOF/JUROS/DESP.FINANCEIRA"</f>
        <v>IOF/JUROS/DESP.FINANCEIRA</v>
      </c>
      <c r="P13534">
        <v>1.7</v>
      </c>
      <c r="S13534" t="str">
        <f>"BANCO CORA (102)"</f>
        <v>BANCO CORA (102)</v>
      </c>
      <c r="T13534">
        <v>23031</v>
      </c>
      <c r="U13534">
        <v>27116</v>
      </c>
      <c r="V13534" t="s">
        <v>22</v>
      </c>
    </row>
    <row r="13535" spans="1:22">
      <c r="A13535" t="str">
        <f t="shared" si="2658"/>
        <v>27/11/2025</v>
      </c>
      <c r="B13535" t="str">
        <f t="shared" si="2661"/>
        <v>SAÍDA</v>
      </c>
      <c r="C13535" t="str">
        <f t="shared" si="2662"/>
        <v>CONHECIMENTO</v>
      </c>
      <c r="D13535" t="str">
        <f t="shared" si="2663"/>
        <v>01092025</v>
      </c>
      <c r="E13535" t="str">
        <f>"16"</f>
        <v>16</v>
      </c>
      <c r="F13535" t="str">
        <f t="shared" si="2667"/>
        <v>COM</v>
      </c>
      <c r="G13535" t="str">
        <f t="shared" si="2664"/>
        <v>CORA SOCIEDADE DE CREDITO, FINANCIAMENTO E INVESTIMENTO (20035)</v>
      </c>
      <c r="H13535" t="s">
        <v>75</v>
      </c>
      <c r="I13535" t="str">
        <f t="shared" si="2665"/>
        <v>27/11/2025</v>
      </c>
      <c r="J13535" t="str">
        <f t="shared" si="2666"/>
        <v>01/09/2025</v>
      </c>
      <c r="K13535">
        <v>45988</v>
      </c>
      <c r="N13535">
        <v>401</v>
      </c>
      <c r="O13535" t="s">
        <v>76</v>
      </c>
      <c r="Q13535">
        <v>1.7</v>
      </c>
      <c r="R13535" t="str">
        <f>"CORA SOCIEDADE DE CREDITO, FINANCIAMENTO E INVESTIMENTO (20035)"</f>
        <v>CORA SOCIEDADE DE CREDITO, FINANCIAMENTO E INVESTIMENTO (20035)</v>
      </c>
      <c r="S13535" t="s">
        <v>22</v>
      </c>
      <c r="T13535">
        <v>23031</v>
      </c>
      <c r="U13535">
        <v>27116</v>
      </c>
      <c r="V13535" t="s">
        <v>22</v>
      </c>
    </row>
    <row r="13536" spans="1:22">
      <c r="A13536" t="str">
        <f t="shared" si="2658"/>
        <v>27/11/2025</v>
      </c>
      <c r="B13536" t="str">
        <f t="shared" si="2661"/>
        <v>SAÍDA</v>
      </c>
      <c r="C13536" t="str">
        <f t="shared" si="2662"/>
        <v>CONHECIMENTO</v>
      </c>
      <c r="D13536" t="str">
        <f t="shared" si="2663"/>
        <v>01092025</v>
      </c>
      <c r="E13536" t="str">
        <f>"17"</f>
        <v>17</v>
      </c>
      <c r="F13536" t="str">
        <f t="shared" si="2667"/>
        <v>COM</v>
      </c>
      <c r="G13536" t="str">
        <f t="shared" si="2664"/>
        <v>CORA SOCIEDADE DE CREDITO, FINANCIAMENTO E INVESTIMENTO (20035)</v>
      </c>
      <c r="H13536" t="str">
        <f>"TAXA BOLETO "</f>
        <v xml:space="preserve">TAXA BOLETO </v>
      </c>
      <c r="I13536" t="str">
        <f t="shared" si="2665"/>
        <v>27/11/2025</v>
      </c>
      <c r="J13536" t="str">
        <f t="shared" si="2666"/>
        <v>01/09/2025</v>
      </c>
      <c r="K13536" t="str">
        <f>("27/11/2025")</f>
        <v>27/11/2025</v>
      </c>
      <c r="L13536">
        <v>1.7</v>
      </c>
      <c r="M13536">
        <v>1.7</v>
      </c>
      <c r="N13536">
        <v>401</v>
      </c>
      <c r="O13536" t="str">
        <f>"IOF/JUROS/DESP.FINANCEIRA"</f>
        <v>IOF/JUROS/DESP.FINANCEIRA</v>
      </c>
      <c r="P13536">
        <v>1.7</v>
      </c>
      <c r="S13536" t="str">
        <f>"BANCO CORA (102)"</f>
        <v>BANCO CORA (102)</v>
      </c>
      <c r="T13536">
        <v>23032</v>
      </c>
      <c r="U13536">
        <v>27117</v>
      </c>
      <c r="V13536" t="s">
        <v>22</v>
      </c>
    </row>
    <row r="13537" spans="1:22">
      <c r="A13537" t="str">
        <f t="shared" si="2658"/>
        <v>27/11/2025</v>
      </c>
      <c r="B13537" t="str">
        <f t="shared" si="2661"/>
        <v>SAÍDA</v>
      </c>
      <c r="C13537" t="str">
        <f t="shared" si="2662"/>
        <v>CONHECIMENTO</v>
      </c>
      <c r="D13537" t="str">
        <f t="shared" si="2663"/>
        <v>01092025</v>
      </c>
      <c r="E13537" t="str">
        <f>"17"</f>
        <v>17</v>
      </c>
      <c r="F13537" t="str">
        <f t="shared" si="2667"/>
        <v>COM</v>
      </c>
      <c r="G13537" t="str">
        <f t="shared" si="2664"/>
        <v>CORA SOCIEDADE DE CREDITO, FINANCIAMENTO E INVESTIMENTO (20035)</v>
      </c>
      <c r="H13537" t="s">
        <v>75</v>
      </c>
      <c r="I13537" t="str">
        <f t="shared" si="2665"/>
        <v>27/11/2025</v>
      </c>
      <c r="J13537" t="str">
        <f t="shared" si="2666"/>
        <v>01/09/2025</v>
      </c>
      <c r="K13537">
        <v>45988</v>
      </c>
      <c r="N13537">
        <v>401</v>
      </c>
      <c r="O13537" t="s">
        <v>76</v>
      </c>
      <c r="Q13537">
        <v>1.7</v>
      </c>
      <c r="R13537" t="str">
        <f>"CORA SOCIEDADE DE CREDITO, FINANCIAMENTO E INVESTIMENTO (20035)"</f>
        <v>CORA SOCIEDADE DE CREDITO, FINANCIAMENTO E INVESTIMENTO (20035)</v>
      </c>
      <c r="S13537" t="s">
        <v>22</v>
      </c>
      <c r="T13537">
        <v>23032</v>
      </c>
      <c r="U13537">
        <v>27117</v>
      </c>
      <c r="V13537" t="s">
        <v>22</v>
      </c>
    </row>
    <row r="13538" spans="1:22">
      <c r="A13538" t="str">
        <f t="shared" si="2658"/>
        <v>27/11/2025</v>
      </c>
      <c r="B13538" t="str">
        <f t="shared" ref="B13538:B13568" si="2668">"SAÍDA"</f>
        <v>SAÍDA</v>
      </c>
      <c r="C13538" t="str">
        <f t="shared" ref="C13538:C13561" si="2669">"CONHECIMENTO"</f>
        <v>CONHECIMENTO</v>
      </c>
      <c r="D13538" t="str">
        <f t="shared" ref="D13538:D13561" si="2670">"01092025"</f>
        <v>01092025</v>
      </c>
      <c r="E13538" t="str">
        <f>"18"</f>
        <v>18</v>
      </c>
      <c r="F13538" t="str">
        <f t="shared" si="2667"/>
        <v>COM</v>
      </c>
      <c r="G13538" t="str">
        <f t="shared" ref="G13538:G13561" si="2671">"CORA SOCIEDADE DE CREDITO, FINANCIAMENTO E INVESTIMENTO (20035)"</f>
        <v>CORA SOCIEDADE DE CREDITO, FINANCIAMENTO E INVESTIMENTO (20035)</v>
      </c>
      <c r="H13538" t="str">
        <f>"TAXA BOLETO "</f>
        <v xml:space="preserve">TAXA BOLETO </v>
      </c>
      <c r="I13538" t="str">
        <f t="shared" ref="I13538:I13561" si="2672">("27/11/2025")</f>
        <v>27/11/2025</v>
      </c>
      <c r="J13538" t="str">
        <f t="shared" ref="J13538:J13561" si="2673">("01/09/2025")</f>
        <v>01/09/2025</v>
      </c>
      <c r="K13538" t="str">
        <f>("27/11/2025")</f>
        <v>27/11/2025</v>
      </c>
      <c r="L13538">
        <v>1.7</v>
      </c>
      <c r="M13538">
        <v>1.7</v>
      </c>
      <c r="N13538">
        <v>401</v>
      </c>
      <c r="O13538" t="str">
        <f>"IOF/JUROS/DESP.FINANCEIRA"</f>
        <v>IOF/JUROS/DESP.FINANCEIRA</v>
      </c>
      <c r="P13538">
        <v>1.7</v>
      </c>
      <c r="S13538" t="str">
        <f>"BANCO CORA (102)"</f>
        <v>BANCO CORA (102)</v>
      </c>
      <c r="T13538">
        <v>23033</v>
      </c>
      <c r="U13538">
        <v>27118</v>
      </c>
      <c r="V13538" t="s">
        <v>22</v>
      </c>
    </row>
    <row r="13539" spans="1:22">
      <c r="A13539" t="str">
        <f t="shared" si="2658"/>
        <v>27/11/2025</v>
      </c>
      <c r="B13539" t="str">
        <f t="shared" si="2668"/>
        <v>SAÍDA</v>
      </c>
      <c r="C13539" t="str">
        <f t="shared" si="2669"/>
        <v>CONHECIMENTO</v>
      </c>
      <c r="D13539" t="str">
        <f t="shared" si="2670"/>
        <v>01092025</v>
      </c>
      <c r="E13539" t="str">
        <f>"18"</f>
        <v>18</v>
      </c>
      <c r="F13539" t="str">
        <f t="shared" si="2667"/>
        <v>COM</v>
      </c>
      <c r="G13539" t="str">
        <f t="shared" si="2671"/>
        <v>CORA SOCIEDADE DE CREDITO, FINANCIAMENTO E INVESTIMENTO (20035)</v>
      </c>
      <c r="H13539" t="s">
        <v>75</v>
      </c>
      <c r="I13539" t="str">
        <f t="shared" si="2672"/>
        <v>27/11/2025</v>
      </c>
      <c r="J13539" t="str">
        <f t="shared" si="2673"/>
        <v>01/09/2025</v>
      </c>
      <c r="K13539">
        <v>45988</v>
      </c>
      <c r="N13539">
        <v>401</v>
      </c>
      <c r="O13539" t="s">
        <v>76</v>
      </c>
      <c r="Q13539">
        <v>1.7</v>
      </c>
      <c r="R13539" t="str">
        <f>"CORA SOCIEDADE DE CREDITO, FINANCIAMENTO E INVESTIMENTO (20035)"</f>
        <v>CORA SOCIEDADE DE CREDITO, FINANCIAMENTO E INVESTIMENTO (20035)</v>
      </c>
      <c r="S13539" t="s">
        <v>22</v>
      </c>
      <c r="T13539">
        <v>23033</v>
      </c>
      <c r="U13539">
        <v>27118</v>
      </c>
      <c r="V13539" t="s">
        <v>22</v>
      </c>
    </row>
    <row r="13540" spans="1:22">
      <c r="A13540" t="str">
        <f t="shared" si="2658"/>
        <v>27/11/2025</v>
      </c>
      <c r="B13540" t="str">
        <f t="shared" si="2668"/>
        <v>SAÍDA</v>
      </c>
      <c r="C13540" t="str">
        <f t="shared" si="2669"/>
        <v>CONHECIMENTO</v>
      </c>
      <c r="D13540" t="str">
        <f t="shared" si="2670"/>
        <v>01092025</v>
      </c>
      <c r="E13540" t="str">
        <f>"19"</f>
        <v>19</v>
      </c>
      <c r="F13540" t="str">
        <f t="shared" si="2667"/>
        <v>COM</v>
      </c>
      <c r="G13540" t="str">
        <f t="shared" si="2671"/>
        <v>CORA SOCIEDADE DE CREDITO, FINANCIAMENTO E INVESTIMENTO (20035)</v>
      </c>
      <c r="H13540" t="str">
        <f>"TAXA BOLETO "</f>
        <v xml:space="preserve">TAXA BOLETO </v>
      </c>
      <c r="I13540" t="str">
        <f t="shared" si="2672"/>
        <v>27/11/2025</v>
      </c>
      <c r="J13540" t="str">
        <f t="shared" si="2673"/>
        <v>01/09/2025</v>
      </c>
      <c r="K13540" t="str">
        <f>("27/11/2025")</f>
        <v>27/11/2025</v>
      </c>
      <c r="L13540">
        <v>1.7</v>
      </c>
      <c r="M13540">
        <v>1.7</v>
      </c>
      <c r="N13540">
        <v>401</v>
      </c>
      <c r="O13540" t="str">
        <f>"IOF/JUROS/DESP.FINANCEIRA"</f>
        <v>IOF/JUROS/DESP.FINANCEIRA</v>
      </c>
      <c r="P13540">
        <v>1.7</v>
      </c>
      <c r="S13540" t="str">
        <f>"BANCO CORA (102)"</f>
        <v>BANCO CORA (102)</v>
      </c>
      <c r="T13540">
        <v>23034</v>
      </c>
      <c r="U13540">
        <v>27119</v>
      </c>
      <c r="V13540" t="s">
        <v>22</v>
      </c>
    </row>
    <row r="13541" spans="1:22">
      <c r="A13541" t="str">
        <f t="shared" si="2658"/>
        <v>27/11/2025</v>
      </c>
      <c r="B13541" t="str">
        <f t="shared" si="2668"/>
        <v>SAÍDA</v>
      </c>
      <c r="C13541" t="str">
        <f t="shared" si="2669"/>
        <v>CONHECIMENTO</v>
      </c>
      <c r="D13541" t="str">
        <f t="shared" si="2670"/>
        <v>01092025</v>
      </c>
      <c r="E13541" t="str">
        <f>"19"</f>
        <v>19</v>
      </c>
      <c r="F13541" t="str">
        <f t="shared" si="2667"/>
        <v>COM</v>
      </c>
      <c r="G13541" t="str">
        <f t="shared" si="2671"/>
        <v>CORA SOCIEDADE DE CREDITO, FINANCIAMENTO E INVESTIMENTO (20035)</v>
      </c>
      <c r="H13541" t="s">
        <v>75</v>
      </c>
      <c r="I13541" t="str">
        <f t="shared" si="2672"/>
        <v>27/11/2025</v>
      </c>
      <c r="J13541" t="str">
        <f t="shared" si="2673"/>
        <v>01/09/2025</v>
      </c>
      <c r="K13541">
        <v>45988</v>
      </c>
      <c r="N13541">
        <v>401</v>
      </c>
      <c r="O13541" t="s">
        <v>76</v>
      </c>
      <c r="Q13541">
        <v>1.7</v>
      </c>
      <c r="R13541" t="str">
        <f>"CORA SOCIEDADE DE CREDITO, FINANCIAMENTO E INVESTIMENTO (20035)"</f>
        <v>CORA SOCIEDADE DE CREDITO, FINANCIAMENTO E INVESTIMENTO (20035)</v>
      </c>
      <c r="S13541" t="s">
        <v>22</v>
      </c>
      <c r="T13541">
        <v>23034</v>
      </c>
      <c r="U13541">
        <v>27119</v>
      </c>
      <c r="V13541" t="s">
        <v>22</v>
      </c>
    </row>
    <row r="13542" spans="1:22">
      <c r="A13542" t="str">
        <f t="shared" si="2658"/>
        <v>27/11/2025</v>
      </c>
      <c r="B13542" t="str">
        <f t="shared" si="2668"/>
        <v>SAÍDA</v>
      </c>
      <c r="C13542" t="str">
        <f t="shared" si="2669"/>
        <v>CONHECIMENTO</v>
      </c>
      <c r="D13542" t="str">
        <f t="shared" si="2670"/>
        <v>01092025</v>
      </c>
      <c r="E13542" t="str">
        <f>"20"</f>
        <v>20</v>
      </c>
      <c r="F13542" t="str">
        <f t="shared" si="2667"/>
        <v>COM</v>
      </c>
      <c r="G13542" t="str">
        <f t="shared" si="2671"/>
        <v>CORA SOCIEDADE DE CREDITO, FINANCIAMENTO E INVESTIMENTO (20035)</v>
      </c>
      <c r="H13542" t="str">
        <f>"TAXA BOLETO "</f>
        <v xml:space="preserve">TAXA BOLETO </v>
      </c>
      <c r="I13542" t="str">
        <f t="shared" si="2672"/>
        <v>27/11/2025</v>
      </c>
      <c r="J13542" t="str">
        <f t="shared" si="2673"/>
        <v>01/09/2025</v>
      </c>
      <c r="K13542" t="str">
        <f>("27/11/2025")</f>
        <v>27/11/2025</v>
      </c>
      <c r="L13542">
        <v>1.7</v>
      </c>
      <c r="M13542">
        <v>1.7</v>
      </c>
      <c r="N13542">
        <v>401</v>
      </c>
      <c r="O13542" t="str">
        <f>"IOF/JUROS/DESP.FINANCEIRA"</f>
        <v>IOF/JUROS/DESP.FINANCEIRA</v>
      </c>
      <c r="P13542">
        <v>1.7</v>
      </c>
      <c r="S13542" t="str">
        <f>"BANCO CORA (102)"</f>
        <v>BANCO CORA (102)</v>
      </c>
      <c r="T13542">
        <v>23035</v>
      </c>
      <c r="U13542">
        <v>27120</v>
      </c>
      <c r="V13542" t="s">
        <v>22</v>
      </c>
    </row>
    <row r="13543" spans="1:22">
      <c r="A13543" t="str">
        <f t="shared" si="2658"/>
        <v>27/11/2025</v>
      </c>
      <c r="B13543" t="str">
        <f t="shared" si="2668"/>
        <v>SAÍDA</v>
      </c>
      <c r="C13543" t="str">
        <f t="shared" si="2669"/>
        <v>CONHECIMENTO</v>
      </c>
      <c r="D13543" t="str">
        <f t="shared" si="2670"/>
        <v>01092025</v>
      </c>
      <c r="E13543" t="str">
        <f>"20"</f>
        <v>20</v>
      </c>
      <c r="F13543" t="str">
        <f t="shared" si="2667"/>
        <v>COM</v>
      </c>
      <c r="G13543" t="str">
        <f t="shared" si="2671"/>
        <v>CORA SOCIEDADE DE CREDITO, FINANCIAMENTO E INVESTIMENTO (20035)</v>
      </c>
      <c r="H13543" t="s">
        <v>75</v>
      </c>
      <c r="I13543" t="str">
        <f t="shared" si="2672"/>
        <v>27/11/2025</v>
      </c>
      <c r="J13543" t="str">
        <f t="shared" si="2673"/>
        <v>01/09/2025</v>
      </c>
      <c r="K13543">
        <v>45988</v>
      </c>
      <c r="N13543">
        <v>401</v>
      </c>
      <c r="O13543" t="s">
        <v>76</v>
      </c>
      <c r="Q13543">
        <v>1.7</v>
      </c>
      <c r="R13543" t="str">
        <f>"CORA SOCIEDADE DE CREDITO, FINANCIAMENTO E INVESTIMENTO (20035)"</f>
        <v>CORA SOCIEDADE DE CREDITO, FINANCIAMENTO E INVESTIMENTO (20035)</v>
      </c>
      <c r="S13543" t="s">
        <v>22</v>
      </c>
      <c r="T13543">
        <v>23035</v>
      </c>
      <c r="U13543">
        <v>27120</v>
      </c>
      <c r="V13543" t="s">
        <v>22</v>
      </c>
    </row>
    <row r="13544" spans="1:22">
      <c r="A13544" t="str">
        <f t="shared" si="2658"/>
        <v>27/11/2025</v>
      </c>
      <c r="B13544" t="str">
        <f t="shared" si="2668"/>
        <v>SAÍDA</v>
      </c>
      <c r="C13544" t="str">
        <f t="shared" si="2669"/>
        <v>CONHECIMENTO</v>
      </c>
      <c r="D13544" t="str">
        <f t="shared" si="2670"/>
        <v>01092025</v>
      </c>
      <c r="E13544" t="str">
        <f>"21"</f>
        <v>21</v>
      </c>
      <c r="F13544" t="str">
        <f t="shared" si="2667"/>
        <v>COM</v>
      </c>
      <c r="G13544" t="str">
        <f t="shared" si="2671"/>
        <v>CORA SOCIEDADE DE CREDITO, FINANCIAMENTO E INVESTIMENTO (20035)</v>
      </c>
      <c r="H13544" t="str">
        <f>"TAXA BOLETO "</f>
        <v xml:space="preserve">TAXA BOLETO </v>
      </c>
      <c r="I13544" t="str">
        <f t="shared" si="2672"/>
        <v>27/11/2025</v>
      </c>
      <c r="J13544" t="str">
        <f t="shared" si="2673"/>
        <v>01/09/2025</v>
      </c>
      <c r="K13544" t="str">
        <f>("27/11/2025")</f>
        <v>27/11/2025</v>
      </c>
      <c r="L13544">
        <v>1.7</v>
      </c>
      <c r="M13544">
        <v>1.7</v>
      </c>
      <c r="N13544">
        <v>401</v>
      </c>
      <c r="O13544" t="str">
        <f>"IOF/JUROS/DESP.FINANCEIRA"</f>
        <v>IOF/JUROS/DESP.FINANCEIRA</v>
      </c>
      <c r="P13544">
        <v>1.7</v>
      </c>
      <c r="S13544" t="str">
        <f>"BANCO CORA (102)"</f>
        <v>BANCO CORA (102)</v>
      </c>
      <c r="T13544">
        <v>23036</v>
      </c>
      <c r="U13544">
        <v>27121</v>
      </c>
      <c r="V13544" t="s">
        <v>22</v>
      </c>
    </row>
    <row r="13545" spans="1:22">
      <c r="A13545" t="str">
        <f t="shared" si="2658"/>
        <v>27/11/2025</v>
      </c>
      <c r="B13545" t="str">
        <f t="shared" si="2668"/>
        <v>SAÍDA</v>
      </c>
      <c r="C13545" t="str">
        <f t="shared" si="2669"/>
        <v>CONHECIMENTO</v>
      </c>
      <c r="D13545" t="str">
        <f t="shared" si="2670"/>
        <v>01092025</v>
      </c>
      <c r="E13545" t="str">
        <f>"21"</f>
        <v>21</v>
      </c>
      <c r="F13545" t="str">
        <f t="shared" si="2667"/>
        <v>COM</v>
      </c>
      <c r="G13545" t="str">
        <f t="shared" si="2671"/>
        <v>CORA SOCIEDADE DE CREDITO, FINANCIAMENTO E INVESTIMENTO (20035)</v>
      </c>
      <c r="H13545" t="s">
        <v>75</v>
      </c>
      <c r="I13545" t="str">
        <f t="shared" si="2672"/>
        <v>27/11/2025</v>
      </c>
      <c r="J13545" t="str">
        <f t="shared" si="2673"/>
        <v>01/09/2025</v>
      </c>
      <c r="K13545">
        <v>45988</v>
      </c>
      <c r="N13545">
        <v>401</v>
      </c>
      <c r="O13545" t="s">
        <v>76</v>
      </c>
      <c r="Q13545">
        <v>1.7</v>
      </c>
      <c r="R13545" t="str">
        <f>"CORA SOCIEDADE DE CREDITO, FINANCIAMENTO E INVESTIMENTO (20035)"</f>
        <v>CORA SOCIEDADE DE CREDITO, FINANCIAMENTO E INVESTIMENTO (20035)</v>
      </c>
      <c r="S13545" t="s">
        <v>22</v>
      </c>
      <c r="T13545">
        <v>23036</v>
      </c>
      <c r="U13545">
        <v>27121</v>
      </c>
      <c r="V13545" t="s">
        <v>22</v>
      </c>
    </row>
    <row r="13546" spans="1:22">
      <c r="A13546" t="str">
        <f t="shared" si="2658"/>
        <v>27/11/2025</v>
      </c>
      <c r="B13546" t="str">
        <f t="shared" si="2668"/>
        <v>SAÍDA</v>
      </c>
      <c r="C13546" t="str">
        <f t="shared" si="2669"/>
        <v>CONHECIMENTO</v>
      </c>
      <c r="D13546" t="str">
        <f t="shared" si="2670"/>
        <v>01092025</v>
      </c>
      <c r="E13546" t="str">
        <f>"22"</f>
        <v>22</v>
      </c>
      <c r="F13546" t="str">
        <f t="shared" si="2667"/>
        <v>COM</v>
      </c>
      <c r="G13546" t="str">
        <f t="shared" si="2671"/>
        <v>CORA SOCIEDADE DE CREDITO, FINANCIAMENTO E INVESTIMENTO (20035)</v>
      </c>
      <c r="H13546" t="str">
        <f>"TAXA BOLETO "</f>
        <v xml:space="preserve">TAXA BOLETO </v>
      </c>
      <c r="I13546" t="str">
        <f t="shared" si="2672"/>
        <v>27/11/2025</v>
      </c>
      <c r="J13546" t="str">
        <f t="shared" si="2673"/>
        <v>01/09/2025</v>
      </c>
      <c r="K13546" t="str">
        <f>("27/11/2025")</f>
        <v>27/11/2025</v>
      </c>
      <c r="L13546">
        <v>1.7</v>
      </c>
      <c r="M13546">
        <v>1.7</v>
      </c>
      <c r="N13546">
        <v>401</v>
      </c>
      <c r="O13546" t="str">
        <f>"IOF/JUROS/DESP.FINANCEIRA"</f>
        <v>IOF/JUROS/DESP.FINANCEIRA</v>
      </c>
      <c r="P13546">
        <v>1.7</v>
      </c>
      <c r="S13546" t="str">
        <f>"BANCO CORA (102)"</f>
        <v>BANCO CORA (102)</v>
      </c>
      <c r="T13546">
        <v>23037</v>
      </c>
      <c r="U13546">
        <v>27122</v>
      </c>
      <c r="V13546" t="s">
        <v>22</v>
      </c>
    </row>
    <row r="13547" spans="1:22">
      <c r="A13547" t="str">
        <f t="shared" si="2658"/>
        <v>27/11/2025</v>
      </c>
      <c r="B13547" t="str">
        <f t="shared" si="2668"/>
        <v>SAÍDA</v>
      </c>
      <c r="C13547" t="str">
        <f t="shared" si="2669"/>
        <v>CONHECIMENTO</v>
      </c>
      <c r="D13547" t="str">
        <f t="shared" si="2670"/>
        <v>01092025</v>
      </c>
      <c r="E13547" t="str">
        <f>"22"</f>
        <v>22</v>
      </c>
      <c r="F13547" t="str">
        <f t="shared" si="2667"/>
        <v>COM</v>
      </c>
      <c r="G13547" t="str">
        <f t="shared" si="2671"/>
        <v>CORA SOCIEDADE DE CREDITO, FINANCIAMENTO E INVESTIMENTO (20035)</v>
      </c>
      <c r="H13547" t="s">
        <v>75</v>
      </c>
      <c r="I13547" t="str">
        <f t="shared" si="2672"/>
        <v>27/11/2025</v>
      </c>
      <c r="J13547" t="str">
        <f t="shared" si="2673"/>
        <v>01/09/2025</v>
      </c>
      <c r="K13547">
        <v>45988</v>
      </c>
      <c r="N13547">
        <v>401</v>
      </c>
      <c r="O13547" t="s">
        <v>76</v>
      </c>
      <c r="Q13547">
        <v>1.7</v>
      </c>
      <c r="R13547" t="str">
        <f>"CORA SOCIEDADE DE CREDITO, FINANCIAMENTO E INVESTIMENTO (20035)"</f>
        <v>CORA SOCIEDADE DE CREDITO, FINANCIAMENTO E INVESTIMENTO (20035)</v>
      </c>
      <c r="S13547" t="s">
        <v>22</v>
      </c>
      <c r="T13547">
        <v>23037</v>
      </c>
      <c r="U13547">
        <v>27122</v>
      </c>
      <c r="V13547" t="s">
        <v>22</v>
      </c>
    </row>
    <row r="13548" spans="1:22">
      <c r="A13548" t="str">
        <f t="shared" si="2658"/>
        <v>27/11/2025</v>
      </c>
      <c r="B13548" t="str">
        <f t="shared" si="2668"/>
        <v>SAÍDA</v>
      </c>
      <c r="C13548" t="str">
        <f t="shared" si="2669"/>
        <v>CONHECIMENTO</v>
      </c>
      <c r="D13548" t="str">
        <f t="shared" si="2670"/>
        <v>01092025</v>
      </c>
      <c r="E13548" t="str">
        <f>"23"</f>
        <v>23</v>
      </c>
      <c r="F13548" t="str">
        <f t="shared" si="2667"/>
        <v>COM</v>
      </c>
      <c r="G13548" t="str">
        <f t="shared" si="2671"/>
        <v>CORA SOCIEDADE DE CREDITO, FINANCIAMENTO E INVESTIMENTO (20035)</v>
      </c>
      <c r="H13548" t="str">
        <f>"TAXA BOLETO "</f>
        <v xml:space="preserve">TAXA BOLETO </v>
      </c>
      <c r="I13548" t="str">
        <f t="shared" si="2672"/>
        <v>27/11/2025</v>
      </c>
      <c r="J13548" t="str">
        <f t="shared" si="2673"/>
        <v>01/09/2025</v>
      </c>
      <c r="K13548" t="str">
        <f>("27/11/2025")</f>
        <v>27/11/2025</v>
      </c>
      <c r="L13548">
        <v>1.7</v>
      </c>
      <c r="M13548">
        <v>1.7</v>
      </c>
      <c r="N13548">
        <v>401</v>
      </c>
      <c r="O13548" t="str">
        <f>"IOF/JUROS/DESP.FINANCEIRA"</f>
        <v>IOF/JUROS/DESP.FINANCEIRA</v>
      </c>
      <c r="P13548">
        <v>1.7</v>
      </c>
      <c r="S13548" t="str">
        <f>"BANCO CORA (102)"</f>
        <v>BANCO CORA (102)</v>
      </c>
      <c r="T13548">
        <v>23038</v>
      </c>
      <c r="U13548">
        <v>27123</v>
      </c>
      <c r="V13548" t="s">
        <v>22</v>
      </c>
    </row>
    <row r="13549" spans="1:22">
      <c r="A13549" t="str">
        <f t="shared" si="2658"/>
        <v>27/11/2025</v>
      </c>
      <c r="B13549" t="str">
        <f t="shared" si="2668"/>
        <v>SAÍDA</v>
      </c>
      <c r="C13549" t="str">
        <f t="shared" si="2669"/>
        <v>CONHECIMENTO</v>
      </c>
      <c r="D13549" t="str">
        <f t="shared" si="2670"/>
        <v>01092025</v>
      </c>
      <c r="E13549" t="str">
        <f>"23"</f>
        <v>23</v>
      </c>
      <c r="F13549" t="str">
        <f t="shared" si="2667"/>
        <v>COM</v>
      </c>
      <c r="G13549" t="str">
        <f t="shared" si="2671"/>
        <v>CORA SOCIEDADE DE CREDITO, FINANCIAMENTO E INVESTIMENTO (20035)</v>
      </c>
      <c r="H13549" t="s">
        <v>75</v>
      </c>
      <c r="I13549" t="str">
        <f t="shared" si="2672"/>
        <v>27/11/2025</v>
      </c>
      <c r="J13549" t="str">
        <f t="shared" si="2673"/>
        <v>01/09/2025</v>
      </c>
      <c r="K13549">
        <v>45988</v>
      </c>
      <c r="N13549">
        <v>401</v>
      </c>
      <c r="O13549" t="s">
        <v>76</v>
      </c>
      <c r="Q13549">
        <v>1.7</v>
      </c>
      <c r="R13549" t="str">
        <f>"CORA SOCIEDADE DE CREDITO, FINANCIAMENTO E INVESTIMENTO (20035)"</f>
        <v>CORA SOCIEDADE DE CREDITO, FINANCIAMENTO E INVESTIMENTO (20035)</v>
      </c>
      <c r="S13549" t="s">
        <v>22</v>
      </c>
      <c r="T13549">
        <v>23038</v>
      </c>
      <c r="U13549">
        <v>27123</v>
      </c>
      <c r="V13549" t="s">
        <v>22</v>
      </c>
    </row>
    <row r="13550" spans="1:22">
      <c r="A13550" t="str">
        <f t="shared" si="2658"/>
        <v>27/11/2025</v>
      </c>
      <c r="B13550" t="str">
        <f t="shared" si="2668"/>
        <v>SAÍDA</v>
      </c>
      <c r="C13550" t="str">
        <f t="shared" si="2669"/>
        <v>CONHECIMENTO</v>
      </c>
      <c r="D13550" t="str">
        <f t="shared" si="2670"/>
        <v>01092025</v>
      </c>
      <c r="E13550" t="str">
        <f>"24"</f>
        <v>24</v>
      </c>
      <c r="F13550" t="str">
        <f t="shared" si="2667"/>
        <v>COM</v>
      </c>
      <c r="G13550" t="str">
        <f t="shared" si="2671"/>
        <v>CORA SOCIEDADE DE CREDITO, FINANCIAMENTO E INVESTIMENTO (20035)</v>
      </c>
      <c r="H13550" t="str">
        <f>"TAXA BOLETO "</f>
        <v xml:space="preserve">TAXA BOLETO </v>
      </c>
      <c r="I13550" t="str">
        <f t="shared" si="2672"/>
        <v>27/11/2025</v>
      </c>
      <c r="J13550" t="str">
        <f t="shared" si="2673"/>
        <v>01/09/2025</v>
      </c>
      <c r="K13550" t="str">
        <f>("27/11/2025")</f>
        <v>27/11/2025</v>
      </c>
      <c r="L13550">
        <v>1.7</v>
      </c>
      <c r="M13550">
        <v>1.7</v>
      </c>
      <c r="N13550">
        <v>401</v>
      </c>
      <c r="O13550" t="str">
        <f>"IOF/JUROS/DESP.FINANCEIRA"</f>
        <v>IOF/JUROS/DESP.FINANCEIRA</v>
      </c>
      <c r="P13550">
        <v>1.7</v>
      </c>
      <c r="S13550" t="str">
        <f>"BANCO CORA (102)"</f>
        <v>BANCO CORA (102)</v>
      </c>
      <c r="T13550">
        <v>23039</v>
      </c>
      <c r="U13550">
        <v>27124</v>
      </c>
      <c r="V13550" t="s">
        <v>22</v>
      </c>
    </row>
    <row r="13551" spans="1:22">
      <c r="A13551" t="str">
        <f t="shared" si="2658"/>
        <v>27/11/2025</v>
      </c>
      <c r="B13551" t="str">
        <f t="shared" si="2668"/>
        <v>SAÍDA</v>
      </c>
      <c r="C13551" t="str">
        <f t="shared" si="2669"/>
        <v>CONHECIMENTO</v>
      </c>
      <c r="D13551" t="str">
        <f t="shared" si="2670"/>
        <v>01092025</v>
      </c>
      <c r="E13551" t="str">
        <f>"24"</f>
        <v>24</v>
      </c>
      <c r="F13551" t="str">
        <f t="shared" si="2667"/>
        <v>COM</v>
      </c>
      <c r="G13551" t="str">
        <f t="shared" si="2671"/>
        <v>CORA SOCIEDADE DE CREDITO, FINANCIAMENTO E INVESTIMENTO (20035)</v>
      </c>
      <c r="H13551" t="s">
        <v>75</v>
      </c>
      <c r="I13551" t="str">
        <f t="shared" si="2672"/>
        <v>27/11/2025</v>
      </c>
      <c r="J13551" t="str">
        <f t="shared" si="2673"/>
        <v>01/09/2025</v>
      </c>
      <c r="K13551">
        <v>45988</v>
      </c>
      <c r="N13551">
        <v>401</v>
      </c>
      <c r="O13551" t="s">
        <v>76</v>
      </c>
      <c r="Q13551">
        <v>1.7</v>
      </c>
      <c r="R13551" t="str">
        <f>"CORA SOCIEDADE DE CREDITO, FINANCIAMENTO E INVESTIMENTO (20035)"</f>
        <v>CORA SOCIEDADE DE CREDITO, FINANCIAMENTO E INVESTIMENTO (20035)</v>
      </c>
      <c r="S13551" t="s">
        <v>22</v>
      </c>
      <c r="T13551">
        <v>23039</v>
      </c>
      <c r="U13551">
        <v>27124</v>
      </c>
      <c r="V13551" t="s">
        <v>22</v>
      </c>
    </row>
    <row r="13552" spans="1:22">
      <c r="A13552" t="str">
        <f t="shared" si="2658"/>
        <v>27/11/2025</v>
      </c>
      <c r="B13552" t="str">
        <f t="shared" si="2668"/>
        <v>SAÍDA</v>
      </c>
      <c r="C13552" t="str">
        <f t="shared" si="2669"/>
        <v>CONHECIMENTO</v>
      </c>
      <c r="D13552" t="str">
        <f t="shared" si="2670"/>
        <v>01092025</v>
      </c>
      <c r="E13552" t="str">
        <f>"25"</f>
        <v>25</v>
      </c>
      <c r="F13552" t="str">
        <f t="shared" si="2667"/>
        <v>COM</v>
      </c>
      <c r="G13552" t="str">
        <f t="shared" si="2671"/>
        <v>CORA SOCIEDADE DE CREDITO, FINANCIAMENTO E INVESTIMENTO (20035)</v>
      </c>
      <c r="H13552" t="str">
        <f>"TAXA BOLETO "</f>
        <v xml:space="preserve">TAXA BOLETO </v>
      </c>
      <c r="I13552" t="str">
        <f t="shared" si="2672"/>
        <v>27/11/2025</v>
      </c>
      <c r="J13552" t="str">
        <f t="shared" si="2673"/>
        <v>01/09/2025</v>
      </c>
      <c r="K13552" t="str">
        <f>("27/11/2025")</f>
        <v>27/11/2025</v>
      </c>
      <c r="L13552">
        <v>1.7</v>
      </c>
      <c r="M13552">
        <v>1.7</v>
      </c>
      <c r="N13552">
        <v>401</v>
      </c>
      <c r="O13552" t="str">
        <f>"IOF/JUROS/DESP.FINANCEIRA"</f>
        <v>IOF/JUROS/DESP.FINANCEIRA</v>
      </c>
      <c r="P13552">
        <v>1.7</v>
      </c>
      <c r="S13552" t="str">
        <f>"BANCO CORA (102)"</f>
        <v>BANCO CORA (102)</v>
      </c>
      <c r="T13552">
        <v>23040</v>
      </c>
      <c r="U13552">
        <v>27125</v>
      </c>
      <c r="V13552" t="s">
        <v>22</v>
      </c>
    </row>
    <row r="13553" spans="1:22">
      <c r="A13553" t="str">
        <f t="shared" si="2658"/>
        <v>27/11/2025</v>
      </c>
      <c r="B13553" t="str">
        <f t="shared" si="2668"/>
        <v>SAÍDA</v>
      </c>
      <c r="C13553" t="str">
        <f t="shared" si="2669"/>
        <v>CONHECIMENTO</v>
      </c>
      <c r="D13553" t="str">
        <f t="shared" si="2670"/>
        <v>01092025</v>
      </c>
      <c r="E13553" t="str">
        <f>"25"</f>
        <v>25</v>
      </c>
      <c r="F13553" t="str">
        <f t="shared" si="2667"/>
        <v>COM</v>
      </c>
      <c r="G13553" t="str">
        <f t="shared" si="2671"/>
        <v>CORA SOCIEDADE DE CREDITO, FINANCIAMENTO E INVESTIMENTO (20035)</v>
      </c>
      <c r="H13553" t="s">
        <v>75</v>
      </c>
      <c r="I13553" t="str">
        <f t="shared" si="2672"/>
        <v>27/11/2025</v>
      </c>
      <c r="J13553" t="str">
        <f t="shared" si="2673"/>
        <v>01/09/2025</v>
      </c>
      <c r="K13553">
        <v>45988</v>
      </c>
      <c r="N13553">
        <v>401</v>
      </c>
      <c r="O13553" t="s">
        <v>76</v>
      </c>
      <c r="Q13553">
        <v>1.7</v>
      </c>
      <c r="R13553" t="str">
        <f>"CORA SOCIEDADE DE CREDITO, FINANCIAMENTO E INVESTIMENTO (20035)"</f>
        <v>CORA SOCIEDADE DE CREDITO, FINANCIAMENTO E INVESTIMENTO (20035)</v>
      </c>
      <c r="S13553" t="s">
        <v>22</v>
      </c>
      <c r="T13553">
        <v>23040</v>
      </c>
      <c r="U13553">
        <v>27125</v>
      </c>
      <c r="V13553" t="s">
        <v>22</v>
      </c>
    </row>
    <row r="13554" spans="1:22">
      <c r="A13554" t="str">
        <f t="shared" si="2658"/>
        <v>27/11/2025</v>
      </c>
      <c r="B13554" t="str">
        <f t="shared" si="2668"/>
        <v>SAÍDA</v>
      </c>
      <c r="C13554" t="str">
        <f t="shared" si="2669"/>
        <v>CONHECIMENTO</v>
      </c>
      <c r="D13554" t="str">
        <f t="shared" si="2670"/>
        <v>01092025</v>
      </c>
      <c r="E13554" t="str">
        <f>"26"</f>
        <v>26</v>
      </c>
      <c r="F13554" t="str">
        <f t="shared" si="2667"/>
        <v>COM</v>
      </c>
      <c r="G13554" t="str">
        <f t="shared" si="2671"/>
        <v>CORA SOCIEDADE DE CREDITO, FINANCIAMENTO E INVESTIMENTO (20035)</v>
      </c>
      <c r="H13554" t="str">
        <f>"TAXA BOLETO "</f>
        <v xml:space="preserve">TAXA BOLETO </v>
      </c>
      <c r="I13554" t="str">
        <f t="shared" si="2672"/>
        <v>27/11/2025</v>
      </c>
      <c r="J13554" t="str">
        <f t="shared" si="2673"/>
        <v>01/09/2025</v>
      </c>
      <c r="K13554" t="str">
        <f>("27/11/2025")</f>
        <v>27/11/2025</v>
      </c>
      <c r="L13554">
        <v>1.7</v>
      </c>
      <c r="M13554">
        <v>1.7</v>
      </c>
      <c r="N13554">
        <v>401</v>
      </c>
      <c r="O13554" t="str">
        <f>"IOF/JUROS/DESP.FINANCEIRA"</f>
        <v>IOF/JUROS/DESP.FINANCEIRA</v>
      </c>
      <c r="P13554">
        <v>1.7</v>
      </c>
      <c r="S13554" t="str">
        <f>"BANCO CORA (102)"</f>
        <v>BANCO CORA (102)</v>
      </c>
      <c r="T13554">
        <v>23041</v>
      </c>
      <c r="U13554">
        <v>27126</v>
      </c>
      <c r="V13554" t="s">
        <v>22</v>
      </c>
    </row>
    <row r="13555" spans="1:22">
      <c r="A13555" t="str">
        <f t="shared" ref="A13555:A13569" si="2674">("27/11/2025")</f>
        <v>27/11/2025</v>
      </c>
      <c r="B13555" t="str">
        <f t="shared" si="2668"/>
        <v>SAÍDA</v>
      </c>
      <c r="C13555" t="str">
        <f t="shared" si="2669"/>
        <v>CONHECIMENTO</v>
      </c>
      <c r="D13555" t="str">
        <f t="shared" si="2670"/>
        <v>01092025</v>
      </c>
      <c r="E13555" t="str">
        <f>"26"</f>
        <v>26</v>
      </c>
      <c r="F13555" t="str">
        <f t="shared" si="2667"/>
        <v>COM</v>
      </c>
      <c r="G13555" t="str">
        <f t="shared" si="2671"/>
        <v>CORA SOCIEDADE DE CREDITO, FINANCIAMENTO E INVESTIMENTO (20035)</v>
      </c>
      <c r="H13555" t="s">
        <v>75</v>
      </c>
      <c r="I13555" t="str">
        <f t="shared" si="2672"/>
        <v>27/11/2025</v>
      </c>
      <c r="J13555" t="str">
        <f t="shared" si="2673"/>
        <v>01/09/2025</v>
      </c>
      <c r="K13555">
        <v>45988</v>
      </c>
      <c r="N13555">
        <v>401</v>
      </c>
      <c r="O13555" t="s">
        <v>76</v>
      </c>
      <c r="Q13555">
        <v>1.7</v>
      </c>
      <c r="R13555" t="str">
        <f>"CORA SOCIEDADE DE CREDITO, FINANCIAMENTO E INVESTIMENTO (20035)"</f>
        <v>CORA SOCIEDADE DE CREDITO, FINANCIAMENTO E INVESTIMENTO (20035)</v>
      </c>
      <c r="S13555" t="s">
        <v>22</v>
      </c>
      <c r="T13555">
        <v>23041</v>
      </c>
      <c r="U13555">
        <v>27126</v>
      </c>
      <c r="V13555" t="s">
        <v>22</v>
      </c>
    </row>
    <row r="13556" spans="1:22">
      <c r="A13556" t="str">
        <f t="shared" si="2674"/>
        <v>27/11/2025</v>
      </c>
      <c r="B13556" t="str">
        <f t="shared" si="2668"/>
        <v>SAÍDA</v>
      </c>
      <c r="C13556" t="str">
        <f t="shared" si="2669"/>
        <v>CONHECIMENTO</v>
      </c>
      <c r="D13556" t="str">
        <f t="shared" si="2670"/>
        <v>01092025</v>
      </c>
      <c r="E13556" t="str">
        <f>"27"</f>
        <v>27</v>
      </c>
      <c r="F13556" t="str">
        <f t="shared" si="2667"/>
        <v>COM</v>
      </c>
      <c r="G13556" t="str">
        <f t="shared" si="2671"/>
        <v>CORA SOCIEDADE DE CREDITO, FINANCIAMENTO E INVESTIMENTO (20035)</v>
      </c>
      <c r="H13556" t="str">
        <f>"TAXA BOLETO "</f>
        <v xml:space="preserve">TAXA BOLETO </v>
      </c>
      <c r="I13556" t="str">
        <f t="shared" si="2672"/>
        <v>27/11/2025</v>
      </c>
      <c r="J13556" t="str">
        <f t="shared" si="2673"/>
        <v>01/09/2025</v>
      </c>
      <c r="K13556" t="str">
        <f>("27/11/2025")</f>
        <v>27/11/2025</v>
      </c>
      <c r="L13556">
        <v>1.7</v>
      </c>
      <c r="M13556">
        <v>1.7</v>
      </c>
      <c r="N13556">
        <v>401</v>
      </c>
      <c r="O13556" t="str">
        <f>"IOF/JUROS/DESP.FINANCEIRA"</f>
        <v>IOF/JUROS/DESP.FINANCEIRA</v>
      </c>
      <c r="P13556">
        <v>1.7</v>
      </c>
      <c r="S13556" t="str">
        <f>"BANCO CORA (102)"</f>
        <v>BANCO CORA (102)</v>
      </c>
      <c r="T13556">
        <v>23042</v>
      </c>
      <c r="U13556">
        <v>27127</v>
      </c>
      <c r="V13556" t="s">
        <v>22</v>
      </c>
    </row>
    <row r="13557" spans="1:22">
      <c r="A13557" t="str">
        <f t="shared" si="2674"/>
        <v>27/11/2025</v>
      </c>
      <c r="B13557" t="str">
        <f t="shared" si="2668"/>
        <v>SAÍDA</v>
      </c>
      <c r="C13557" t="str">
        <f t="shared" si="2669"/>
        <v>CONHECIMENTO</v>
      </c>
      <c r="D13557" t="str">
        <f t="shared" si="2670"/>
        <v>01092025</v>
      </c>
      <c r="E13557" t="str">
        <f>"27"</f>
        <v>27</v>
      </c>
      <c r="F13557" t="str">
        <f t="shared" si="2667"/>
        <v>COM</v>
      </c>
      <c r="G13557" t="str">
        <f t="shared" si="2671"/>
        <v>CORA SOCIEDADE DE CREDITO, FINANCIAMENTO E INVESTIMENTO (20035)</v>
      </c>
      <c r="H13557" t="s">
        <v>75</v>
      </c>
      <c r="I13557" t="str">
        <f t="shared" si="2672"/>
        <v>27/11/2025</v>
      </c>
      <c r="J13557" t="str">
        <f t="shared" si="2673"/>
        <v>01/09/2025</v>
      </c>
      <c r="K13557">
        <v>45988</v>
      </c>
      <c r="N13557">
        <v>401</v>
      </c>
      <c r="O13557" t="s">
        <v>76</v>
      </c>
      <c r="Q13557">
        <v>1.7</v>
      </c>
      <c r="R13557" t="str">
        <f>"CORA SOCIEDADE DE CREDITO, FINANCIAMENTO E INVESTIMENTO (20035)"</f>
        <v>CORA SOCIEDADE DE CREDITO, FINANCIAMENTO E INVESTIMENTO (20035)</v>
      </c>
      <c r="S13557" t="s">
        <v>22</v>
      </c>
      <c r="T13557">
        <v>23042</v>
      </c>
      <c r="U13557">
        <v>27127</v>
      </c>
      <c r="V13557" t="s">
        <v>22</v>
      </c>
    </row>
    <row r="13558" spans="1:22">
      <c r="A13558" t="str">
        <f t="shared" si="2674"/>
        <v>27/11/2025</v>
      </c>
      <c r="B13558" t="str">
        <f t="shared" si="2668"/>
        <v>SAÍDA</v>
      </c>
      <c r="C13558" t="str">
        <f t="shared" si="2669"/>
        <v>CONHECIMENTO</v>
      </c>
      <c r="D13558" t="str">
        <f t="shared" si="2670"/>
        <v>01092025</v>
      </c>
      <c r="E13558" t="str">
        <f>"28"</f>
        <v>28</v>
      </c>
      <c r="F13558" t="str">
        <f t="shared" si="2667"/>
        <v>COM</v>
      </c>
      <c r="G13558" t="str">
        <f t="shared" si="2671"/>
        <v>CORA SOCIEDADE DE CREDITO, FINANCIAMENTO E INVESTIMENTO (20035)</v>
      </c>
      <c r="H13558" t="str">
        <f>"TAXA BOLETO "</f>
        <v xml:space="preserve">TAXA BOLETO </v>
      </c>
      <c r="I13558" t="str">
        <f t="shared" si="2672"/>
        <v>27/11/2025</v>
      </c>
      <c r="J13558" t="str">
        <f t="shared" si="2673"/>
        <v>01/09/2025</v>
      </c>
      <c r="K13558" t="str">
        <f>("27/11/2025")</f>
        <v>27/11/2025</v>
      </c>
      <c r="L13558">
        <v>1.7</v>
      </c>
      <c r="M13558">
        <v>1.7</v>
      </c>
      <c r="N13558">
        <v>401</v>
      </c>
      <c r="O13558" t="str">
        <f>"IOF/JUROS/DESP.FINANCEIRA"</f>
        <v>IOF/JUROS/DESP.FINANCEIRA</v>
      </c>
      <c r="P13558">
        <v>1.7</v>
      </c>
      <c r="S13558" t="str">
        <f>"BANCO CORA (102)"</f>
        <v>BANCO CORA (102)</v>
      </c>
      <c r="T13558">
        <v>23043</v>
      </c>
      <c r="U13558">
        <v>27128</v>
      </c>
      <c r="V13558" t="s">
        <v>22</v>
      </c>
    </row>
    <row r="13559" spans="1:22">
      <c r="A13559" t="str">
        <f t="shared" si="2674"/>
        <v>27/11/2025</v>
      </c>
      <c r="B13559" t="str">
        <f t="shared" si="2668"/>
        <v>SAÍDA</v>
      </c>
      <c r="C13559" t="str">
        <f t="shared" si="2669"/>
        <v>CONHECIMENTO</v>
      </c>
      <c r="D13559" t="str">
        <f t="shared" si="2670"/>
        <v>01092025</v>
      </c>
      <c r="E13559" t="str">
        <f>"28"</f>
        <v>28</v>
      </c>
      <c r="F13559" t="str">
        <f t="shared" si="2667"/>
        <v>COM</v>
      </c>
      <c r="G13559" t="str">
        <f t="shared" si="2671"/>
        <v>CORA SOCIEDADE DE CREDITO, FINANCIAMENTO E INVESTIMENTO (20035)</v>
      </c>
      <c r="H13559" t="s">
        <v>75</v>
      </c>
      <c r="I13559" t="str">
        <f t="shared" si="2672"/>
        <v>27/11/2025</v>
      </c>
      <c r="J13559" t="str">
        <f t="shared" si="2673"/>
        <v>01/09/2025</v>
      </c>
      <c r="K13559">
        <v>45988</v>
      </c>
      <c r="N13559">
        <v>401</v>
      </c>
      <c r="O13559" t="s">
        <v>76</v>
      </c>
      <c r="Q13559">
        <v>1.7</v>
      </c>
      <c r="R13559" t="str">
        <f>"CORA SOCIEDADE DE CREDITO, FINANCIAMENTO E INVESTIMENTO (20035)"</f>
        <v>CORA SOCIEDADE DE CREDITO, FINANCIAMENTO E INVESTIMENTO (20035)</v>
      </c>
      <c r="S13559" t="s">
        <v>22</v>
      </c>
      <c r="T13559">
        <v>23043</v>
      </c>
      <c r="U13559">
        <v>27128</v>
      </c>
      <c r="V13559" t="s">
        <v>22</v>
      </c>
    </row>
    <row r="13560" spans="1:22">
      <c r="A13560" t="str">
        <f t="shared" si="2674"/>
        <v>27/11/2025</v>
      </c>
      <c r="B13560" t="str">
        <f t="shared" si="2668"/>
        <v>SAÍDA</v>
      </c>
      <c r="C13560" t="str">
        <f t="shared" si="2669"/>
        <v>CONHECIMENTO</v>
      </c>
      <c r="D13560" t="str">
        <f t="shared" si="2670"/>
        <v>01092025</v>
      </c>
      <c r="E13560" t="str">
        <f>"29"</f>
        <v>29</v>
      </c>
      <c r="F13560" t="str">
        <f t="shared" si="2667"/>
        <v>COM</v>
      </c>
      <c r="G13560" t="str">
        <f t="shared" si="2671"/>
        <v>CORA SOCIEDADE DE CREDITO, FINANCIAMENTO E INVESTIMENTO (20035)</v>
      </c>
      <c r="H13560" t="str">
        <f>"TAXA BOLETO "</f>
        <v xml:space="preserve">TAXA BOLETO </v>
      </c>
      <c r="I13560" t="str">
        <f t="shared" si="2672"/>
        <v>27/11/2025</v>
      </c>
      <c r="J13560" t="str">
        <f t="shared" si="2673"/>
        <v>01/09/2025</v>
      </c>
      <c r="K13560" t="str">
        <f>("27/11/2025")</f>
        <v>27/11/2025</v>
      </c>
      <c r="L13560">
        <v>1.7</v>
      </c>
      <c r="M13560">
        <v>1.7</v>
      </c>
      <c r="N13560">
        <v>401</v>
      </c>
      <c r="O13560" t="str">
        <f>"IOF/JUROS/DESP.FINANCEIRA"</f>
        <v>IOF/JUROS/DESP.FINANCEIRA</v>
      </c>
      <c r="P13560">
        <v>1.7</v>
      </c>
      <c r="S13560" t="str">
        <f>"BANCO CORA (102)"</f>
        <v>BANCO CORA (102)</v>
      </c>
      <c r="T13560">
        <v>23044</v>
      </c>
      <c r="U13560">
        <v>27129</v>
      </c>
      <c r="V13560" t="s">
        <v>22</v>
      </c>
    </row>
    <row r="13561" spans="1:22">
      <c r="A13561" t="str">
        <f t="shared" si="2674"/>
        <v>27/11/2025</v>
      </c>
      <c r="B13561" t="str">
        <f t="shared" si="2668"/>
        <v>SAÍDA</v>
      </c>
      <c r="C13561" t="str">
        <f t="shared" si="2669"/>
        <v>CONHECIMENTO</v>
      </c>
      <c r="D13561" t="str">
        <f t="shared" si="2670"/>
        <v>01092025</v>
      </c>
      <c r="E13561" t="str">
        <f>"29"</f>
        <v>29</v>
      </c>
      <c r="F13561" t="str">
        <f t="shared" si="2667"/>
        <v>COM</v>
      </c>
      <c r="G13561" t="str">
        <f t="shared" si="2671"/>
        <v>CORA SOCIEDADE DE CREDITO, FINANCIAMENTO E INVESTIMENTO (20035)</v>
      </c>
      <c r="H13561" t="s">
        <v>75</v>
      </c>
      <c r="I13561" t="str">
        <f t="shared" si="2672"/>
        <v>27/11/2025</v>
      </c>
      <c r="J13561" t="str">
        <f t="shared" si="2673"/>
        <v>01/09/2025</v>
      </c>
      <c r="K13561">
        <v>45988</v>
      </c>
      <c r="N13561">
        <v>401</v>
      </c>
      <c r="O13561" t="s">
        <v>76</v>
      </c>
      <c r="Q13561">
        <v>1.7</v>
      </c>
      <c r="R13561" t="str">
        <f>"CORA SOCIEDADE DE CREDITO, FINANCIAMENTO E INVESTIMENTO (20035)"</f>
        <v>CORA SOCIEDADE DE CREDITO, FINANCIAMENTO E INVESTIMENTO (20035)</v>
      </c>
      <c r="S13561" t="s">
        <v>22</v>
      </c>
      <c r="T13561">
        <v>23044</v>
      </c>
      <c r="U13561">
        <v>27129</v>
      </c>
      <c r="V13561" t="s">
        <v>22</v>
      </c>
    </row>
    <row r="13562" spans="1:22">
      <c r="A13562" t="str">
        <f t="shared" si="2674"/>
        <v>27/11/2025</v>
      </c>
      <c r="B13562" t="str">
        <f t="shared" si="2668"/>
        <v>SAÍDA</v>
      </c>
      <c r="C13562" t="str">
        <f t="shared" ref="C13562:C13567" si="2675">"PIX"</f>
        <v>PIX</v>
      </c>
      <c r="D13562" t="str">
        <f>"26969"</f>
        <v>26969</v>
      </c>
      <c r="E13562" t="str">
        <f>"1"</f>
        <v>1</v>
      </c>
      <c r="F13562" t="str">
        <f t="shared" si="2667"/>
        <v>COM</v>
      </c>
      <c r="G13562" t="str">
        <f>"GILSON OLIVEIRA CAMPINHO JUNIOR (132)"</f>
        <v>GILSON OLIVEIRA CAMPINHO JUNIOR (132)</v>
      </c>
      <c r="H13562" t="str">
        <f>"Serv.Prest. 24/11/2025 a 30/11/2025 - PIX: CELULAR - CHAVE: (73) 988381077"</f>
        <v>Serv.Prest. 24/11/2025 a 30/11/2025 - PIX: CELULAR - CHAVE: (73) 988381077</v>
      </c>
      <c r="I13562" t="str">
        <f>("11/12/2025")</f>
        <v>11/12/2025</v>
      </c>
      <c r="J13562" t="str">
        <f>("02/12/2025")</f>
        <v>02/12/2025</v>
      </c>
      <c r="K13562" t="str">
        <f>("27/11/2025")</f>
        <v>27/11/2025</v>
      </c>
      <c r="L13562">
        <v>700</v>
      </c>
      <c r="M13562">
        <v>700</v>
      </c>
      <c r="N13562">
        <v>109</v>
      </c>
      <c r="O13562" t="str">
        <f>"PAGAMENTO DE ENTREGADORES"</f>
        <v>PAGAMENTO DE ENTREGADORES</v>
      </c>
      <c r="P13562">
        <v>700</v>
      </c>
      <c r="S13562" t="str">
        <f>"BANCO CORA (102)"</f>
        <v>BANCO CORA (102)</v>
      </c>
      <c r="T13562">
        <v>23058</v>
      </c>
      <c r="U13562">
        <v>27132</v>
      </c>
      <c r="V13562" t="s">
        <v>22</v>
      </c>
    </row>
    <row r="13563" spans="1:22">
      <c r="A13563" t="str">
        <f t="shared" si="2674"/>
        <v>27/11/2025</v>
      </c>
      <c r="B13563" t="str">
        <f t="shared" si="2668"/>
        <v>SAÍDA</v>
      </c>
      <c r="C13563" t="str">
        <f t="shared" si="2675"/>
        <v>PIX</v>
      </c>
      <c r="D13563" t="str">
        <f>"26969"</f>
        <v>26969</v>
      </c>
      <c r="E13563" t="str">
        <f>"1"</f>
        <v>1</v>
      </c>
      <c r="F13563" t="str">
        <f t="shared" si="2667"/>
        <v>COM</v>
      </c>
      <c r="G13563" t="str">
        <f>"GILSON OLIVEIRA CAMPINHO JUNIOR (132)"</f>
        <v>GILSON OLIVEIRA CAMPINHO JUNIOR (132)</v>
      </c>
      <c r="H13563" t="s">
        <v>3690</v>
      </c>
      <c r="I13563" t="str">
        <f>("11/12/2025")</f>
        <v>11/12/2025</v>
      </c>
      <c r="J13563" t="str">
        <f>("02/12/2025")</f>
        <v>02/12/2025</v>
      </c>
      <c r="K13563">
        <v>45988</v>
      </c>
      <c r="N13563">
        <v>109</v>
      </c>
      <c r="O13563" t="s">
        <v>24</v>
      </c>
      <c r="Q13563">
        <v>700</v>
      </c>
      <c r="R13563" t="str">
        <f>"FARMÁCIA INDIANA LJ 91 (10037)"</f>
        <v>FARMÁCIA INDIANA LJ 91 (10037)</v>
      </c>
      <c r="S13563" t="s">
        <v>22</v>
      </c>
      <c r="T13563">
        <v>23058</v>
      </c>
      <c r="U13563">
        <v>27132</v>
      </c>
      <c r="V13563" t="s">
        <v>22</v>
      </c>
    </row>
    <row r="13564" spans="1:22">
      <c r="A13564" t="str">
        <f t="shared" si="2674"/>
        <v>27/11/2025</v>
      </c>
      <c r="B13564" t="str">
        <f t="shared" si="2668"/>
        <v>SAÍDA</v>
      </c>
      <c r="C13564" t="str">
        <f t="shared" si="2675"/>
        <v>PIX</v>
      </c>
      <c r="D13564" t="str">
        <f>"25963"</f>
        <v>25963</v>
      </c>
      <c r="E13564" t="str">
        <f>"2"</f>
        <v>2</v>
      </c>
      <c r="F13564" t="str">
        <f t="shared" si="2667"/>
        <v>COM</v>
      </c>
      <c r="G13564" t="str">
        <f>"CARLOS EDUARDO LESSA ROCHA (1070)"</f>
        <v>CARLOS EDUARDO LESSA ROCHA (1070)</v>
      </c>
      <c r="H13564" t="str">
        <f>"DIARIA MOTOBOY PIX: CPF - CHAVE: 162.570.846-79"</f>
        <v>DIARIA MOTOBOY PIX: CPF - CHAVE: 162.570.846-79</v>
      </c>
      <c r="I13564" t="str">
        <f t="shared" ref="I13564:I13569" si="2676">("27/11/2025")</f>
        <v>27/11/2025</v>
      </c>
      <c r="J13564" t="str">
        <f>("24/11/2025")</f>
        <v>24/11/2025</v>
      </c>
      <c r="K13564" t="str">
        <f>("27/11/2025")</f>
        <v>27/11/2025</v>
      </c>
      <c r="L13564">
        <v>120</v>
      </c>
      <c r="M13564">
        <v>120</v>
      </c>
      <c r="N13564">
        <v>109</v>
      </c>
      <c r="O13564" t="str">
        <f>"PAGAMENTO DE ENTREGADORES"</f>
        <v>PAGAMENTO DE ENTREGADORES</v>
      </c>
      <c r="P13564">
        <v>120</v>
      </c>
      <c r="S13564" t="str">
        <f>"BANCO CORA (102)"</f>
        <v>BANCO CORA (102)</v>
      </c>
      <c r="T13564">
        <v>23059</v>
      </c>
      <c r="U13564">
        <v>26414</v>
      </c>
      <c r="V13564" t="s">
        <v>22</v>
      </c>
    </row>
    <row r="13565" spans="1:22">
      <c r="A13565" t="str">
        <f t="shared" si="2674"/>
        <v>27/11/2025</v>
      </c>
      <c r="B13565" t="str">
        <f t="shared" si="2668"/>
        <v>SAÍDA</v>
      </c>
      <c r="C13565" t="str">
        <f t="shared" si="2675"/>
        <v>PIX</v>
      </c>
      <c r="D13565" t="str">
        <f>"25963"</f>
        <v>25963</v>
      </c>
      <c r="E13565" t="str">
        <f>"2"</f>
        <v>2</v>
      </c>
      <c r="F13565" t="str">
        <f t="shared" si="2667"/>
        <v>COM</v>
      </c>
      <c r="G13565" t="str">
        <f>"CARLOS EDUARDO LESSA ROCHA (1070)"</f>
        <v>CARLOS EDUARDO LESSA ROCHA (1070)</v>
      </c>
      <c r="H13565" t="s">
        <v>3691</v>
      </c>
      <c r="I13565" t="str">
        <f t="shared" si="2676"/>
        <v>27/11/2025</v>
      </c>
      <c r="J13565" t="str">
        <f>("24/11/2025")</f>
        <v>24/11/2025</v>
      </c>
      <c r="K13565">
        <v>45988</v>
      </c>
      <c r="N13565">
        <v>109</v>
      </c>
      <c r="O13565" t="s">
        <v>24</v>
      </c>
      <c r="Q13565">
        <v>120</v>
      </c>
      <c r="R13565" t="str">
        <f>"PAGMENOS - LJ 768 (10266)"</f>
        <v>PAGMENOS - LJ 768 (10266)</v>
      </c>
      <c r="S13565" t="s">
        <v>22</v>
      </c>
      <c r="T13565">
        <v>23059</v>
      </c>
      <c r="U13565">
        <v>26414</v>
      </c>
      <c r="V13565" t="s">
        <v>22</v>
      </c>
    </row>
    <row r="13566" spans="1:22">
      <c r="A13566" t="str">
        <f t="shared" si="2674"/>
        <v>27/11/2025</v>
      </c>
      <c r="B13566" t="str">
        <f t="shared" si="2668"/>
        <v>SAÍDA</v>
      </c>
      <c r="C13566" t="str">
        <f t="shared" si="2675"/>
        <v>PIX</v>
      </c>
      <c r="D13566" t="str">
        <f>"25964"</f>
        <v>25964</v>
      </c>
      <c r="E13566" t="str">
        <f>"2"</f>
        <v>2</v>
      </c>
      <c r="F13566" t="str">
        <f t="shared" si="2667"/>
        <v>COM</v>
      </c>
      <c r="G13566" t="str">
        <f>"ODAIR SEBASTIAO DE ARAUJO FILHO (1061)"</f>
        <v>ODAIR SEBASTIAO DE ARAUJO FILHO (1061)</v>
      </c>
      <c r="H13566" t="str">
        <f>"DIARIA MOTOBOY PIX: E-MAIL - CHAVE: odair.araujo@onmail.com"</f>
        <v>DIARIA MOTOBOY PIX: E-MAIL - CHAVE: odair.araujo@onmail.com</v>
      </c>
      <c r="I13566" t="str">
        <f t="shared" si="2676"/>
        <v>27/11/2025</v>
      </c>
      <c r="J13566" t="str">
        <f>("24/11/2025")</f>
        <v>24/11/2025</v>
      </c>
      <c r="K13566" t="str">
        <f>("27/11/2025")</f>
        <v>27/11/2025</v>
      </c>
      <c r="L13566">
        <v>120</v>
      </c>
      <c r="M13566">
        <v>120</v>
      </c>
      <c r="N13566">
        <v>109</v>
      </c>
      <c r="O13566" t="str">
        <f>"PAGAMENTO DE ENTREGADORES"</f>
        <v>PAGAMENTO DE ENTREGADORES</v>
      </c>
      <c r="P13566">
        <v>120</v>
      </c>
      <c r="S13566" t="str">
        <f>"BANCO CORA (102)"</f>
        <v>BANCO CORA (102)</v>
      </c>
      <c r="T13566">
        <v>23060</v>
      </c>
      <c r="U13566">
        <v>26413</v>
      </c>
      <c r="V13566" t="s">
        <v>22</v>
      </c>
    </row>
    <row r="13567" spans="1:22">
      <c r="A13567" t="str">
        <f t="shared" si="2674"/>
        <v>27/11/2025</v>
      </c>
      <c r="B13567" t="str">
        <f t="shared" si="2668"/>
        <v>SAÍDA</v>
      </c>
      <c r="C13567" t="str">
        <f t="shared" si="2675"/>
        <v>PIX</v>
      </c>
      <c r="D13567" t="str">
        <f>"25964"</f>
        <v>25964</v>
      </c>
      <c r="E13567" t="str">
        <f>"2"</f>
        <v>2</v>
      </c>
      <c r="F13567" t="str">
        <f t="shared" si="2667"/>
        <v>COM</v>
      </c>
      <c r="G13567" t="str">
        <f>"ODAIR SEBASTIAO DE ARAUJO FILHO (1061)"</f>
        <v>ODAIR SEBASTIAO DE ARAUJO FILHO (1061)</v>
      </c>
      <c r="H13567" t="s">
        <v>3692</v>
      </c>
      <c r="I13567" t="str">
        <f t="shared" si="2676"/>
        <v>27/11/2025</v>
      </c>
      <c r="J13567" t="str">
        <f>("24/11/2025")</f>
        <v>24/11/2025</v>
      </c>
      <c r="K13567">
        <v>45988</v>
      </c>
      <c r="N13567">
        <v>109</v>
      </c>
      <c r="O13567" t="s">
        <v>24</v>
      </c>
      <c r="Q13567">
        <v>120</v>
      </c>
      <c r="R13567" t="str">
        <f>"PAGMENOS - LJ 768 (10266)"</f>
        <v>PAGMENOS - LJ 768 (10266)</v>
      </c>
      <c r="S13567" t="s">
        <v>22</v>
      </c>
      <c r="T13567">
        <v>23060</v>
      </c>
      <c r="U13567">
        <v>26413</v>
      </c>
      <c r="V13567" t="s">
        <v>22</v>
      </c>
    </row>
    <row r="13568" spans="1:22">
      <c r="A13568" t="str">
        <f t="shared" si="2674"/>
        <v>27/11/2025</v>
      </c>
      <c r="B13568" t="str">
        <f t="shared" si="2668"/>
        <v>SAÍDA</v>
      </c>
      <c r="C13568" t="str">
        <f>"TRANSFERENCIA"</f>
        <v>TRANSFERENCIA</v>
      </c>
      <c r="D13568" t="str">
        <f>""</f>
        <v/>
      </c>
      <c r="F13568" t="str">
        <f>"TRF"</f>
        <v>TRF</v>
      </c>
      <c r="G13568" t="str">
        <f>""</f>
        <v/>
      </c>
      <c r="H13568" t="str">
        <f>"TRANSFERENCIA ENTRE CONTAS (102-&gt;149)"</f>
        <v>TRANSFERENCIA ENTRE CONTAS (102-&gt;149)</v>
      </c>
      <c r="I13568" t="str">
        <f t="shared" si="2676"/>
        <v>27/11/2025</v>
      </c>
      <c r="J13568" t="str">
        <f>("27/11/2025")</f>
        <v>27/11/2025</v>
      </c>
      <c r="K13568" t="str">
        <f>("27/11/2025")</f>
        <v>27/11/2025</v>
      </c>
      <c r="N13568">
        <v>102</v>
      </c>
      <c r="O13568" t="str">
        <f>"BANCO CORA"</f>
        <v>BANCO CORA</v>
      </c>
      <c r="P13568">
        <v>63165.46</v>
      </c>
      <c r="S13568" t="str">
        <f>"BANCO CORA (102)"</f>
        <v>BANCO CORA (102)</v>
      </c>
      <c r="T13568">
        <v>23454</v>
      </c>
      <c r="U13568">
        <v>0</v>
      </c>
      <c r="V13568" t="s">
        <v>22</v>
      </c>
    </row>
    <row r="13569" spans="1:22">
      <c r="A13569" t="str">
        <f t="shared" si="2674"/>
        <v>27/11/2025</v>
      </c>
      <c r="B13569" t="str">
        <f>"ENTRADA"</f>
        <v>ENTRADA</v>
      </c>
      <c r="C13569" t="str">
        <f>"TRANSFERENCIA"</f>
        <v>TRANSFERENCIA</v>
      </c>
      <c r="D13569" t="str">
        <f>""</f>
        <v/>
      </c>
      <c r="F13569" t="str">
        <f>"TRF"</f>
        <v>TRF</v>
      </c>
      <c r="G13569" t="str">
        <f>""</f>
        <v/>
      </c>
      <c r="H13569" t="str">
        <f>"TRANSFERENCIA ENTRE CONTAS (102-&gt;149)"</f>
        <v>TRANSFERENCIA ENTRE CONTAS (102-&gt;149)</v>
      </c>
      <c r="I13569" t="str">
        <f t="shared" si="2676"/>
        <v>27/11/2025</v>
      </c>
      <c r="J13569" t="str">
        <f>("27/11/2025")</f>
        <v>27/11/2025</v>
      </c>
      <c r="K13569" t="str">
        <f>("27/11/2025")</f>
        <v>27/11/2025</v>
      </c>
      <c r="N13569">
        <v>149</v>
      </c>
      <c r="O13569" t="str">
        <f>"BANCO C6"</f>
        <v>BANCO C6</v>
      </c>
      <c r="S13569" t="str">
        <f>"BANCO C6 (149)"</f>
        <v>BANCO C6 (149)</v>
      </c>
      <c r="T13569">
        <v>23454</v>
      </c>
      <c r="U13569">
        <v>0</v>
      </c>
      <c r="V13569" t="s">
        <v>77</v>
      </c>
    </row>
    <row r="13570" spans="1:22">
      <c r="A13570" t="str">
        <f t="shared" ref="A13570:A13614" si="2677">("28/11/2025")</f>
        <v>28/11/2025</v>
      </c>
      <c r="B13570" t="str">
        <f t="shared" ref="B13570:B13595" si="2678">"SAÍDA"</f>
        <v>SAÍDA</v>
      </c>
      <c r="C13570" t="str">
        <f t="shared" ref="C13570:C13595" si="2679">"PIX"</f>
        <v>PIX</v>
      </c>
      <c r="D13570" t="str">
        <f>"2811"</f>
        <v>2811</v>
      </c>
      <c r="E13570" t="str">
        <f>"25"</f>
        <v>25</v>
      </c>
      <c r="F13570" t="str">
        <f t="shared" ref="F13570:F13601" si="2680">"COM"</f>
        <v>COM</v>
      </c>
      <c r="G13570" t="str">
        <f>"REGINALDO ANDRE BORTOLETTO (802)"</f>
        <v>REGINALDO ANDRE BORTOLETTO (802)</v>
      </c>
      <c r="H13570" t="str">
        <f>"Complemento Serv.Prest. 17/11/2025 a 23/11/2025 - PIX: CELULAR - CHAVE: (11) 94281-7123"</f>
        <v>Complemento Serv.Prest. 17/11/2025 a 23/11/2025 - PIX: CELULAR - CHAVE: (11) 94281-7123</v>
      </c>
      <c r="I13570" t="str">
        <f t="shared" ref="I13570:I13593" si="2681">("28/11/2025")</f>
        <v>28/11/2025</v>
      </c>
      <c r="J13570" t="str">
        <f>("24/11/2025")</f>
        <v>24/11/2025</v>
      </c>
      <c r="K13570" t="str">
        <f>("28/11/2025")</f>
        <v>28/11/2025</v>
      </c>
      <c r="L13570">
        <v>67</v>
      </c>
      <c r="M13570">
        <v>67</v>
      </c>
      <c r="N13570">
        <v>109</v>
      </c>
      <c r="O13570" t="str">
        <f>"PAGAMENTO DE ENTREGADORES"</f>
        <v>PAGAMENTO DE ENTREGADORES</v>
      </c>
      <c r="P13570">
        <v>67</v>
      </c>
      <c r="S13570" t="str">
        <f>"BANCO CORA (102)"</f>
        <v>BANCO CORA (102)</v>
      </c>
      <c r="T13570">
        <v>22852</v>
      </c>
      <c r="U13570">
        <v>26470</v>
      </c>
      <c r="V13570" t="s">
        <v>22</v>
      </c>
    </row>
    <row r="13571" spans="1:22">
      <c r="A13571" t="str">
        <f t="shared" si="2677"/>
        <v>28/11/2025</v>
      </c>
      <c r="B13571" t="str">
        <f t="shared" si="2678"/>
        <v>SAÍDA</v>
      </c>
      <c r="C13571" t="str">
        <f t="shared" si="2679"/>
        <v>PIX</v>
      </c>
      <c r="D13571" t="str">
        <f>"2811"</f>
        <v>2811</v>
      </c>
      <c r="E13571" t="str">
        <f>"25"</f>
        <v>25</v>
      </c>
      <c r="F13571" t="str">
        <f t="shared" si="2680"/>
        <v>COM</v>
      </c>
      <c r="G13571" t="str">
        <f>"REGINALDO ANDRE BORTOLETTO (802)"</f>
        <v>REGINALDO ANDRE BORTOLETTO (802)</v>
      </c>
      <c r="H13571" t="s">
        <v>3693</v>
      </c>
      <c r="I13571" t="str">
        <f t="shared" si="2681"/>
        <v>28/11/2025</v>
      </c>
      <c r="J13571" t="str">
        <f>("24/11/2025")</f>
        <v>24/11/2025</v>
      </c>
      <c r="K13571">
        <v>45989</v>
      </c>
      <c r="N13571">
        <v>109</v>
      </c>
      <c r="O13571" t="s">
        <v>24</v>
      </c>
      <c r="Q13571">
        <v>67</v>
      </c>
      <c r="R13571" t="str">
        <f>"DROGARIA TOTAL JUNDIAI (10177)"</f>
        <v>DROGARIA TOTAL JUNDIAI (10177)</v>
      </c>
      <c r="S13571" t="s">
        <v>22</v>
      </c>
      <c r="T13571">
        <v>22852</v>
      </c>
      <c r="U13571">
        <v>26470</v>
      </c>
      <c r="V13571" t="s">
        <v>22</v>
      </c>
    </row>
    <row r="13572" spans="1:22">
      <c r="A13572" t="str">
        <f t="shared" si="2677"/>
        <v>28/11/2025</v>
      </c>
      <c r="B13572" t="str">
        <f t="shared" si="2678"/>
        <v>SAÍDA</v>
      </c>
      <c r="C13572" t="str">
        <f t="shared" si="2679"/>
        <v>PIX</v>
      </c>
      <c r="D13572" t="str">
        <f>"052025"</f>
        <v>052025</v>
      </c>
      <c r="E13572" t="str">
        <f>"7"</f>
        <v>7</v>
      </c>
      <c r="F13572" t="str">
        <f t="shared" si="2680"/>
        <v>COM</v>
      </c>
      <c r="G13572" t="str">
        <f>"AUTENTIQUE LTDA (20040)"</f>
        <v>AUTENTIQUE LTDA (20040)</v>
      </c>
      <c r="H13572" t="str">
        <f>"PLATAFORMA DE ASSINATUARS DIGITAIS"</f>
        <v>PLATAFORMA DE ASSINATUARS DIGITAIS</v>
      </c>
      <c r="I13572" t="str">
        <f t="shared" si="2681"/>
        <v>28/11/2025</v>
      </c>
      <c r="J13572" t="str">
        <f>("23/11/2025")</f>
        <v>23/11/2025</v>
      </c>
      <c r="K13572" t="str">
        <f>("28/11/2025")</f>
        <v>28/11/2025</v>
      </c>
      <c r="L13572">
        <v>99</v>
      </c>
      <c r="M13572">
        <v>99</v>
      </c>
      <c r="N13572">
        <v>104</v>
      </c>
      <c r="O13572" t="str">
        <f>"SOFTWARE / LICENÇAS"</f>
        <v>SOFTWARE / LICENÇAS</v>
      </c>
      <c r="P13572">
        <v>99</v>
      </c>
      <c r="S13572" t="str">
        <f>"BANCO CORA (102)"</f>
        <v>BANCO CORA (102)</v>
      </c>
      <c r="T13572">
        <v>22853</v>
      </c>
      <c r="U13572">
        <v>14970</v>
      </c>
      <c r="V13572" t="s">
        <v>22</v>
      </c>
    </row>
    <row r="13573" spans="1:22">
      <c r="A13573" t="str">
        <f t="shared" si="2677"/>
        <v>28/11/2025</v>
      </c>
      <c r="B13573" t="str">
        <f t="shared" si="2678"/>
        <v>SAÍDA</v>
      </c>
      <c r="C13573" t="str">
        <f t="shared" si="2679"/>
        <v>PIX</v>
      </c>
      <c r="D13573" t="str">
        <f>"052025"</f>
        <v>052025</v>
      </c>
      <c r="E13573" t="str">
        <f>"7"</f>
        <v>7</v>
      </c>
      <c r="F13573" t="str">
        <f t="shared" si="2680"/>
        <v>COM</v>
      </c>
      <c r="G13573" t="str">
        <f>"AUTENTIQUE LTDA (20040)"</f>
        <v>AUTENTIQUE LTDA (20040)</v>
      </c>
      <c r="H13573" t="s">
        <v>820</v>
      </c>
      <c r="I13573" t="str">
        <f t="shared" si="2681"/>
        <v>28/11/2025</v>
      </c>
      <c r="J13573" t="str">
        <f>("23/11/2025")</f>
        <v>23/11/2025</v>
      </c>
      <c r="K13573">
        <v>45989</v>
      </c>
      <c r="N13573">
        <v>104</v>
      </c>
      <c r="O13573" t="s">
        <v>34</v>
      </c>
      <c r="Q13573">
        <v>99</v>
      </c>
      <c r="R13573" t="str">
        <f>"AUTENTIQUE LTDA (20040)"</f>
        <v>AUTENTIQUE LTDA (20040)</v>
      </c>
      <c r="S13573" t="s">
        <v>22</v>
      </c>
      <c r="T13573">
        <v>22853</v>
      </c>
      <c r="U13573">
        <v>14970</v>
      </c>
      <c r="V13573" t="s">
        <v>22</v>
      </c>
    </row>
    <row r="13574" spans="1:22">
      <c r="A13574" t="str">
        <f t="shared" si="2677"/>
        <v>28/11/2025</v>
      </c>
      <c r="B13574" t="str">
        <f t="shared" si="2678"/>
        <v>SAÍDA</v>
      </c>
      <c r="C13574" t="str">
        <f t="shared" si="2679"/>
        <v>PIX</v>
      </c>
      <c r="D13574" t="str">
        <f>"1010"</f>
        <v>1010</v>
      </c>
      <c r="E13574" t="str">
        <f t="shared" ref="E13574:E13593" si="2682">"25"</f>
        <v>25</v>
      </c>
      <c r="F13574" t="str">
        <f t="shared" si="2680"/>
        <v>COM</v>
      </c>
      <c r="G13574" t="str">
        <f t="shared" ref="G13574:G13593" si="2683">"DROGARIA E PERFUMARIA COTIA LTDA (10201)"</f>
        <v>DROGARIA E PERFUMARIA COTIA LTDA (10201)</v>
      </c>
      <c r="H13574" t="str">
        <f>"REEMBOLSO VALOR NAO COBRADO DIA 10/10/2025 - PIX CNPJ 37.579.920/0009-73"</f>
        <v>REEMBOLSO VALOR NAO COBRADO DIA 10/10/2025 - PIX CNPJ 37.579.920/0009-73</v>
      </c>
      <c r="I13574" t="str">
        <f t="shared" si="2681"/>
        <v>28/11/2025</v>
      </c>
      <c r="J13574" t="str">
        <f>("10/10/2025")</f>
        <v>10/10/2025</v>
      </c>
      <c r="K13574" t="str">
        <f>("28/11/2025")</f>
        <v>28/11/2025</v>
      </c>
      <c r="L13574">
        <v>25.96</v>
      </c>
      <c r="M13574">
        <v>25.96</v>
      </c>
      <c r="N13574">
        <v>110</v>
      </c>
      <c r="O13574" t="str">
        <f>"DESPESAS COM REEMBOLSOS"</f>
        <v>DESPESAS COM REEMBOLSOS</v>
      </c>
      <c r="P13574">
        <v>25.96</v>
      </c>
      <c r="S13574" t="str">
        <f>"BANCO CORA (102)"</f>
        <v>BANCO CORA (102)</v>
      </c>
      <c r="T13574">
        <v>22854</v>
      </c>
      <c r="U13574">
        <v>26392</v>
      </c>
      <c r="V13574" t="s">
        <v>22</v>
      </c>
    </row>
    <row r="13575" spans="1:22">
      <c r="A13575" t="str">
        <f t="shared" si="2677"/>
        <v>28/11/2025</v>
      </c>
      <c r="B13575" t="str">
        <f t="shared" si="2678"/>
        <v>SAÍDA</v>
      </c>
      <c r="C13575" t="str">
        <f t="shared" si="2679"/>
        <v>PIX</v>
      </c>
      <c r="D13575" t="str">
        <f>"1010"</f>
        <v>1010</v>
      </c>
      <c r="E13575" t="str">
        <f t="shared" si="2682"/>
        <v>25</v>
      </c>
      <c r="F13575" t="str">
        <f t="shared" si="2680"/>
        <v>COM</v>
      </c>
      <c r="G13575" t="str">
        <f t="shared" si="2683"/>
        <v>DROGARIA E PERFUMARIA COTIA LTDA (10201)</v>
      </c>
      <c r="H13575" t="s">
        <v>3694</v>
      </c>
      <c r="I13575" t="str">
        <f t="shared" si="2681"/>
        <v>28/11/2025</v>
      </c>
      <c r="J13575" t="str">
        <f>("10/10/2025")</f>
        <v>10/10/2025</v>
      </c>
      <c r="K13575">
        <v>45989</v>
      </c>
      <c r="N13575">
        <v>110</v>
      </c>
      <c r="O13575" t="s">
        <v>2439</v>
      </c>
      <c r="Q13575">
        <v>25.96</v>
      </c>
      <c r="R13575" t="str">
        <f>"PENSE FARMA 07 (10201)"</f>
        <v>PENSE FARMA 07 (10201)</v>
      </c>
      <c r="S13575" t="s">
        <v>22</v>
      </c>
      <c r="T13575">
        <v>22854</v>
      </c>
      <c r="U13575">
        <v>26392</v>
      </c>
      <c r="V13575" t="s">
        <v>22</v>
      </c>
    </row>
    <row r="13576" spans="1:22">
      <c r="A13576" t="str">
        <f t="shared" si="2677"/>
        <v>28/11/2025</v>
      </c>
      <c r="B13576" t="str">
        <f t="shared" si="2678"/>
        <v>SAÍDA</v>
      </c>
      <c r="C13576" t="str">
        <f t="shared" si="2679"/>
        <v>PIX</v>
      </c>
      <c r="D13576" t="str">
        <f>"0210"</f>
        <v>0210</v>
      </c>
      <c r="E13576" t="str">
        <f t="shared" si="2682"/>
        <v>25</v>
      </c>
      <c r="F13576" t="str">
        <f t="shared" si="2680"/>
        <v>COM</v>
      </c>
      <c r="G13576" t="str">
        <f t="shared" si="2683"/>
        <v>DROGARIA E PERFUMARIA COTIA LTDA (10201)</v>
      </c>
      <c r="H13576" t="str">
        <f>"REEMBOLSO VALOR NAO COBRADO DIA 02/10/2025 - PIX CNPJ 37.579.920/0009-73"</f>
        <v>REEMBOLSO VALOR NAO COBRADO DIA 02/10/2025 - PIX CNPJ 37.579.920/0009-73</v>
      </c>
      <c r="I13576" t="str">
        <f t="shared" si="2681"/>
        <v>28/11/2025</v>
      </c>
      <c r="J13576" t="str">
        <f>("02/10/2025")</f>
        <v>02/10/2025</v>
      </c>
      <c r="K13576" t="str">
        <f>("28/11/2025")</f>
        <v>28/11/2025</v>
      </c>
      <c r="L13576">
        <v>32.99</v>
      </c>
      <c r="M13576">
        <v>32.99</v>
      </c>
      <c r="N13576">
        <v>110</v>
      </c>
      <c r="O13576" t="str">
        <f>"DESPESAS COM REEMBOLSOS"</f>
        <v>DESPESAS COM REEMBOLSOS</v>
      </c>
      <c r="P13576">
        <v>32.99</v>
      </c>
      <c r="S13576" t="str">
        <f>"BANCO CORA (102)"</f>
        <v>BANCO CORA (102)</v>
      </c>
      <c r="T13576">
        <v>22855</v>
      </c>
      <c r="U13576">
        <v>26393</v>
      </c>
      <c r="V13576" t="s">
        <v>22</v>
      </c>
    </row>
    <row r="13577" spans="1:22">
      <c r="A13577" t="str">
        <f t="shared" si="2677"/>
        <v>28/11/2025</v>
      </c>
      <c r="B13577" t="str">
        <f t="shared" si="2678"/>
        <v>SAÍDA</v>
      </c>
      <c r="C13577" t="str">
        <f t="shared" si="2679"/>
        <v>PIX</v>
      </c>
      <c r="D13577" t="str">
        <f>"0210"</f>
        <v>0210</v>
      </c>
      <c r="E13577" t="str">
        <f t="shared" si="2682"/>
        <v>25</v>
      </c>
      <c r="F13577" t="str">
        <f t="shared" si="2680"/>
        <v>COM</v>
      </c>
      <c r="G13577" t="str">
        <f t="shared" si="2683"/>
        <v>DROGARIA E PERFUMARIA COTIA LTDA (10201)</v>
      </c>
      <c r="H13577" t="s">
        <v>3695</v>
      </c>
      <c r="I13577" t="str">
        <f t="shared" si="2681"/>
        <v>28/11/2025</v>
      </c>
      <c r="J13577" t="str">
        <f>("02/10/2025")</f>
        <v>02/10/2025</v>
      </c>
      <c r="K13577">
        <v>45989</v>
      </c>
      <c r="N13577">
        <v>110</v>
      </c>
      <c r="O13577" t="s">
        <v>2439</v>
      </c>
      <c r="Q13577">
        <v>32.99</v>
      </c>
      <c r="R13577" t="str">
        <f>"PENSE FARMA 07 (10201)"</f>
        <v>PENSE FARMA 07 (10201)</v>
      </c>
      <c r="S13577" t="s">
        <v>22</v>
      </c>
      <c r="T13577">
        <v>22855</v>
      </c>
      <c r="U13577">
        <v>26393</v>
      </c>
      <c r="V13577" t="s">
        <v>22</v>
      </c>
    </row>
    <row r="13578" spans="1:22">
      <c r="A13578" t="str">
        <f t="shared" si="2677"/>
        <v>28/11/2025</v>
      </c>
      <c r="B13578" t="str">
        <f t="shared" si="2678"/>
        <v>SAÍDA</v>
      </c>
      <c r="C13578" t="str">
        <f t="shared" si="2679"/>
        <v>PIX</v>
      </c>
      <c r="D13578" t="str">
        <f>"0410"</f>
        <v>0410</v>
      </c>
      <c r="E13578" t="str">
        <f t="shared" si="2682"/>
        <v>25</v>
      </c>
      <c r="F13578" t="str">
        <f t="shared" si="2680"/>
        <v>COM</v>
      </c>
      <c r="G13578" t="str">
        <f t="shared" si="2683"/>
        <v>DROGARIA E PERFUMARIA COTIA LTDA (10201)</v>
      </c>
      <c r="H13578" t="str">
        <f>"REEMBOLSO VALOR PAGO A UBER DIA 04/10/2025 - PIX CNPJ 37.579.920/0009-73"</f>
        <v>REEMBOLSO VALOR PAGO A UBER DIA 04/10/2025 - PIX CNPJ 37.579.920/0009-73</v>
      </c>
      <c r="I13578" t="str">
        <f t="shared" si="2681"/>
        <v>28/11/2025</v>
      </c>
      <c r="J13578" t="str">
        <f>("10/10/2025")</f>
        <v>10/10/2025</v>
      </c>
      <c r="K13578" t="str">
        <f>("28/11/2025")</f>
        <v>28/11/2025</v>
      </c>
      <c r="L13578">
        <v>28.92</v>
      </c>
      <c r="M13578">
        <v>28.92</v>
      </c>
      <c r="N13578">
        <v>110</v>
      </c>
      <c r="O13578" t="str">
        <f>"DESPESAS COM REEMBOLSOS"</f>
        <v>DESPESAS COM REEMBOLSOS</v>
      </c>
      <c r="P13578">
        <v>28.92</v>
      </c>
      <c r="S13578" t="str">
        <f>"BANCO CORA (102)"</f>
        <v>BANCO CORA (102)</v>
      </c>
      <c r="T13578">
        <v>22856</v>
      </c>
      <c r="U13578">
        <v>26394</v>
      </c>
      <c r="V13578" t="s">
        <v>22</v>
      </c>
    </row>
    <row r="13579" spans="1:22">
      <c r="A13579" t="str">
        <f t="shared" si="2677"/>
        <v>28/11/2025</v>
      </c>
      <c r="B13579" t="str">
        <f t="shared" si="2678"/>
        <v>SAÍDA</v>
      </c>
      <c r="C13579" t="str">
        <f t="shared" si="2679"/>
        <v>PIX</v>
      </c>
      <c r="D13579" t="str">
        <f>"0410"</f>
        <v>0410</v>
      </c>
      <c r="E13579" t="str">
        <f t="shared" si="2682"/>
        <v>25</v>
      </c>
      <c r="F13579" t="str">
        <f t="shared" si="2680"/>
        <v>COM</v>
      </c>
      <c r="G13579" t="str">
        <f t="shared" si="2683"/>
        <v>DROGARIA E PERFUMARIA COTIA LTDA (10201)</v>
      </c>
      <c r="H13579" t="s">
        <v>3696</v>
      </c>
      <c r="I13579" t="str">
        <f t="shared" si="2681"/>
        <v>28/11/2025</v>
      </c>
      <c r="J13579" t="str">
        <f>("10/10/2025")</f>
        <v>10/10/2025</v>
      </c>
      <c r="K13579">
        <v>45989</v>
      </c>
      <c r="N13579">
        <v>110</v>
      </c>
      <c r="O13579" t="s">
        <v>2439</v>
      </c>
      <c r="Q13579">
        <v>28.92</v>
      </c>
      <c r="R13579" t="str">
        <f>"PENSE FARMA 07 (10201)"</f>
        <v>PENSE FARMA 07 (10201)</v>
      </c>
      <c r="S13579" t="s">
        <v>22</v>
      </c>
      <c r="T13579">
        <v>22856</v>
      </c>
      <c r="U13579">
        <v>26394</v>
      </c>
      <c r="V13579" t="s">
        <v>22</v>
      </c>
    </row>
    <row r="13580" spans="1:22">
      <c r="A13580" t="str">
        <f t="shared" si="2677"/>
        <v>28/11/2025</v>
      </c>
      <c r="B13580" t="str">
        <f t="shared" si="2678"/>
        <v>SAÍDA</v>
      </c>
      <c r="C13580" t="str">
        <f t="shared" si="2679"/>
        <v>PIX</v>
      </c>
      <c r="D13580" t="str">
        <f>"1610"</f>
        <v>1610</v>
      </c>
      <c r="E13580" t="str">
        <f t="shared" si="2682"/>
        <v>25</v>
      </c>
      <c r="F13580" t="str">
        <f t="shared" si="2680"/>
        <v>COM</v>
      </c>
      <c r="G13580" t="str">
        <f t="shared" si="2683"/>
        <v>DROGARIA E PERFUMARIA COTIA LTDA (10201)</v>
      </c>
      <c r="H13580" t="str">
        <f>"REEMBOLSO VALOR NAO COBRADO DIA 16/10/2025 - PIX CNPJ 37.579.920/0009-73"</f>
        <v>REEMBOLSO VALOR NAO COBRADO DIA 16/10/2025 - PIX CNPJ 37.579.920/0009-73</v>
      </c>
      <c r="I13580" t="str">
        <f t="shared" si="2681"/>
        <v>28/11/2025</v>
      </c>
      <c r="J13580" t="str">
        <f t="shared" ref="J13580:J13587" si="2684">("16/10/2025")</f>
        <v>16/10/2025</v>
      </c>
      <c r="K13580" t="str">
        <f>("28/11/2025")</f>
        <v>28/11/2025</v>
      </c>
      <c r="L13580">
        <v>58.89</v>
      </c>
      <c r="M13580">
        <v>58.89</v>
      </c>
      <c r="N13580">
        <v>110</v>
      </c>
      <c r="O13580" t="str">
        <f>"DESPESAS COM REEMBOLSOS"</f>
        <v>DESPESAS COM REEMBOLSOS</v>
      </c>
      <c r="P13580">
        <v>58.89</v>
      </c>
      <c r="S13580" t="str">
        <f>"BANCO CORA (102)"</f>
        <v>BANCO CORA (102)</v>
      </c>
      <c r="T13580">
        <v>22857</v>
      </c>
      <c r="U13580">
        <v>26395</v>
      </c>
      <c r="V13580" t="s">
        <v>22</v>
      </c>
    </row>
    <row r="13581" spans="1:22">
      <c r="A13581" t="str">
        <f t="shared" si="2677"/>
        <v>28/11/2025</v>
      </c>
      <c r="B13581" t="str">
        <f t="shared" si="2678"/>
        <v>SAÍDA</v>
      </c>
      <c r="C13581" t="str">
        <f t="shared" si="2679"/>
        <v>PIX</v>
      </c>
      <c r="D13581" t="str">
        <f>"1610"</f>
        <v>1610</v>
      </c>
      <c r="E13581" t="str">
        <f t="shared" si="2682"/>
        <v>25</v>
      </c>
      <c r="F13581" t="str">
        <f t="shared" si="2680"/>
        <v>COM</v>
      </c>
      <c r="G13581" t="str">
        <f t="shared" si="2683"/>
        <v>DROGARIA E PERFUMARIA COTIA LTDA (10201)</v>
      </c>
      <c r="H13581" t="s">
        <v>3697</v>
      </c>
      <c r="I13581" t="str">
        <f t="shared" si="2681"/>
        <v>28/11/2025</v>
      </c>
      <c r="J13581" t="str">
        <f t="shared" si="2684"/>
        <v>16/10/2025</v>
      </c>
      <c r="K13581">
        <v>45989</v>
      </c>
      <c r="N13581">
        <v>110</v>
      </c>
      <c r="O13581" t="s">
        <v>2439</v>
      </c>
      <c r="Q13581">
        <v>58.89</v>
      </c>
      <c r="R13581" t="str">
        <f>"PENSE FARMA 07 (10201)"</f>
        <v>PENSE FARMA 07 (10201)</v>
      </c>
      <c r="S13581" t="s">
        <v>22</v>
      </c>
      <c r="T13581">
        <v>22857</v>
      </c>
      <c r="U13581">
        <v>26395</v>
      </c>
      <c r="V13581" t="s">
        <v>22</v>
      </c>
    </row>
    <row r="13582" spans="1:22">
      <c r="A13582" t="str">
        <f t="shared" si="2677"/>
        <v>28/11/2025</v>
      </c>
      <c r="B13582" t="str">
        <f t="shared" si="2678"/>
        <v>SAÍDA</v>
      </c>
      <c r="C13582" t="str">
        <f t="shared" si="2679"/>
        <v>PIX</v>
      </c>
      <c r="D13582" t="str">
        <f>"1710"</f>
        <v>1710</v>
      </c>
      <c r="E13582" t="str">
        <f t="shared" si="2682"/>
        <v>25</v>
      </c>
      <c r="F13582" t="str">
        <f t="shared" si="2680"/>
        <v>COM</v>
      </c>
      <c r="G13582" t="str">
        <f t="shared" si="2683"/>
        <v>DROGARIA E PERFUMARIA COTIA LTDA (10201)</v>
      </c>
      <c r="H13582" t="str">
        <f>"REEMBOLSO VALOR NAO COBRADO DIA 17/10/2025 - PIX CNPJ 37.579.920/0009-73"</f>
        <v>REEMBOLSO VALOR NAO COBRADO DIA 17/10/2025 - PIX CNPJ 37.579.920/0009-73</v>
      </c>
      <c r="I13582" t="str">
        <f t="shared" si="2681"/>
        <v>28/11/2025</v>
      </c>
      <c r="J13582" t="str">
        <f t="shared" si="2684"/>
        <v>16/10/2025</v>
      </c>
      <c r="K13582" t="str">
        <f>("28/11/2025")</f>
        <v>28/11/2025</v>
      </c>
      <c r="L13582">
        <v>43.96</v>
      </c>
      <c r="M13582">
        <v>43.96</v>
      </c>
      <c r="N13582">
        <v>110</v>
      </c>
      <c r="O13582" t="str">
        <f>"DESPESAS COM REEMBOLSOS"</f>
        <v>DESPESAS COM REEMBOLSOS</v>
      </c>
      <c r="P13582">
        <v>43.96</v>
      </c>
      <c r="S13582" t="str">
        <f>"BANCO CORA (102)"</f>
        <v>BANCO CORA (102)</v>
      </c>
      <c r="T13582">
        <v>22858</v>
      </c>
      <c r="U13582">
        <v>26396</v>
      </c>
      <c r="V13582" t="s">
        <v>22</v>
      </c>
    </row>
    <row r="13583" spans="1:22">
      <c r="A13583" t="str">
        <f t="shared" si="2677"/>
        <v>28/11/2025</v>
      </c>
      <c r="B13583" t="str">
        <f t="shared" si="2678"/>
        <v>SAÍDA</v>
      </c>
      <c r="C13583" t="str">
        <f t="shared" si="2679"/>
        <v>PIX</v>
      </c>
      <c r="D13583" t="str">
        <f>"1710"</f>
        <v>1710</v>
      </c>
      <c r="E13583" t="str">
        <f t="shared" si="2682"/>
        <v>25</v>
      </c>
      <c r="F13583" t="str">
        <f t="shared" si="2680"/>
        <v>COM</v>
      </c>
      <c r="G13583" t="str">
        <f t="shared" si="2683"/>
        <v>DROGARIA E PERFUMARIA COTIA LTDA (10201)</v>
      </c>
      <c r="H13583" t="s">
        <v>3698</v>
      </c>
      <c r="I13583" t="str">
        <f t="shared" si="2681"/>
        <v>28/11/2025</v>
      </c>
      <c r="J13583" t="str">
        <f t="shared" si="2684"/>
        <v>16/10/2025</v>
      </c>
      <c r="K13583">
        <v>45989</v>
      </c>
      <c r="N13583">
        <v>110</v>
      </c>
      <c r="O13583" t="s">
        <v>2439</v>
      </c>
      <c r="Q13583">
        <v>43.96</v>
      </c>
      <c r="R13583" t="str">
        <f>"PENSE FARMA 07 (10201)"</f>
        <v>PENSE FARMA 07 (10201)</v>
      </c>
      <c r="S13583" t="s">
        <v>22</v>
      </c>
      <c r="T13583">
        <v>22858</v>
      </c>
      <c r="U13583">
        <v>26396</v>
      </c>
      <c r="V13583" t="s">
        <v>22</v>
      </c>
    </row>
    <row r="13584" spans="1:22">
      <c r="A13584" t="str">
        <f t="shared" si="2677"/>
        <v>28/11/2025</v>
      </c>
      <c r="B13584" t="str">
        <f t="shared" si="2678"/>
        <v>SAÍDA</v>
      </c>
      <c r="C13584" t="str">
        <f t="shared" si="2679"/>
        <v>PIX</v>
      </c>
      <c r="D13584" t="str">
        <f>"2210"</f>
        <v>2210</v>
      </c>
      <c r="E13584" t="str">
        <f t="shared" si="2682"/>
        <v>25</v>
      </c>
      <c r="F13584" t="str">
        <f t="shared" si="2680"/>
        <v>COM</v>
      </c>
      <c r="G13584" t="str">
        <f t="shared" si="2683"/>
        <v>DROGARIA E PERFUMARIA COTIA LTDA (10201)</v>
      </c>
      <c r="H13584" t="str">
        <f>"REEMBOLSO VALOR NAO COBRADO DIA 22/10/2025 - PIX CNPJ 37.579.920/0009-73"</f>
        <v>REEMBOLSO VALOR NAO COBRADO DIA 22/10/2025 - PIX CNPJ 37.579.920/0009-73</v>
      </c>
      <c r="I13584" t="str">
        <f t="shared" si="2681"/>
        <v>28/11/2025</v>
      </c>
      <c r="J13584" t="str">
        <f t="shared" si="2684"/>
        <v>16/10/2025</v>
      </c>
      <c r="K13584" t="str">
        <f>("28/11/2025")</f>
        <v>28/11/2025</v>
      </c>
      <c r="L13584">
        <v>24.66</v>
      </c>
      <c r="M13584">
        <v>24.66</v>
      </c>
      <c r="N13584">
        <v>110</v>
      </c>
      <c r="O13584" t="str">
        <f>"DESPESAS COM REEMBOLSOS"</f>
        <v>DESPESAS COM REEMBOLSOS</v>
      </c>
      <c r="P13584">
        <v>24.66</v>
      </c>
      <c r="S13584" t="str">
        <f>"BANCO CORA (102)"</f>
        <v>BANCO CORA (102)</v>
      </c>
      <c r="T13584">
        <v>22859</v>
      </c>
      <c r="U13584">
        <v>26397</v>
      </c>
      <c r="V13584" t="s">
        <v>22</v>
      </c>
    </row>
    <row r="13585" spans="1:22">
      <c r="A13585" t="str">
        <f t="shared" si="2677"/>
        <v>28/11/2025</v>
      </c>
      <c r="B13585" t="str">
        <f t="shared" si="2678"/>
        <v>SAÍDA</v>
      </c>
      <c r="C13585" t="str">
        <f t="shared" si="2679"/>
        <v>PIX</v>
      </c>
      <c r="D13585" t="str">
        <f>"2210"</f>
        <v>2210</v>
      </c>
      <c r="E13585" t="str">
        <f t="shared" si="2682"/>
        <v>25</v>
      </c>
      <c r="F13585" t="str">
        <f t="shared" si="2680"/>
        <v>COM</v>
      </c>
      <c r="G13585" t="str">
        <f t="shared" si="2683"/>
        <v>DROGARIA E PERFUMARIA COTIA LTDA (10201)</v>
      </c>
      <c r="H13585" t="s">
        <v>3699</v>
      </c>
      <c r="I13585" t="str">
        <f t="shared" si="2681"/>
        <v>28/11/2025</v>
      </c>
      <c r="J13585" t="str">
        <f t="shared" si="2684"/>
        <v>16/10/2025</v>
      </c>
      <c r="K13585">
        <v>45989</v>
      </c>
      <c r="N13585">
        <v>110</v>
      </c>
      <c r="O13585" t="s">
        <v>2439</v>
      </c>
      <c r="Q13585">
        <v>24.66</v>
      </c>
      <c r="R13585" t="str">
        <f>"PENSE FARMA 07 (10201)"</f>
        <v>PENSE FARMA 07 (10201)</v>
      </c>
      <c r="S13585" t="s">
        <v>22</v>
      </c>
      <c r="T13585">
        <v>22859</v>
      </c>
      <c r="U13585">
        <v>26397</v>
      </c>
      <c r="V13585" t="s">
        <v>22</v>
      </c>
    </row>
    <row r="13586" spans="1:22">
      <c r="A13586" t="str">
        <f t="shared" si="2677"/>
        <v>28/11/2025</v>
      </c>
      <c r="B13586" t="str">
        <f t="shared" si="2678"/>
        <v>SAÍDA</v>
      </c>
      <c r="C13586" t="str">
        <f t="shared" si="2679"/>
        <v>PIX</v>
      </c>
      <c r="D13586" t="str">
        <f>"221020"</f>
        <v>221020</v>
      </c>
      <c r="E13586" t="str">
        <f t="shared" si="2682"/>
        <v>25</v>
      </c>
      <c r="F13586" t="str">
        <f t="shared" si="2680"/>
        <v>COM</v>
      </c>
      <c r="G13586" t="str">
        <f t="shared" si="2683"/>
        <v>DROGARIA E PERFUMARIA COTIA LTDA (10201)</v>
      </c>
      <c r="H13586" t="str">
        <f>"REEMBOLSO VALOR NAO COBRADO DIA 22/10/2025 - PIX CNPJ 37.579.920/0009-73"</f>
        <v>REEMBOLSO VALOR NAO COBRADO DIA 22/10/2025 - PIX CNPJ 37.579.920/0009-73</v>
      </c>
      <c r="I13586" t="str">
        <f t="shared" si="2681"/>
        <v>28/11/2025</v>
      </c>
      <c r="J13586" t="str">
        <f t="shared" si="2684"/>
        <v>16/10/2025</v>
      </c>
      <c r="K13586" t="str">
        <f>("28/11/2025")</f>
        <v>28/11/2025</v>
      </c>
      <c r="L13586">
        <v>42.68</v>
      </c>
      <c r="M13586">
        <v>42.68</v>
      </c>
      <c r="N13586">
        <v>110</v>
      </c>
      <c r="O13586" t="str">
        <f>"DESPESAS COM REEMBOLSOS"</f>
        <v>DESPESAS COM REEMBOLSOS</v>
      </c>
      <c r="P13586">
        <v>42.68</v>
      </c>
      <c r="S13586" t="str">
        <f>"BANCO CORA (102)"</f>
        <v>BANCO CORA (102)</v>
      </c>
      <c r="T13586">
        <v>22860</v>
      </c>
      <c r="U13586">
        <v>26398</v>
      </c>
      <c r="V13586" t="s">
        <v>22</v>
      </c>
    </row>
    <row r="13587" spans="1:22">
      <c r="A13587" t="str">
        <f t="shared" si="2677"/>
        <v>28/11/2025</v>
      </c>
      <c r="B13587" t="str">
        <f t="shared" si="2678"/>
        <v>SAÍDA</v>
      </c>
      <c r="C13587" t="str">
        <f t="shared" si="2679"/>
        <v>PIX</v>
      </c>
      <c r="D13587" t="str">
        <f>"221020"</f>
        <v>221020</v>
      </c>
      <c r="E13587" t="str">
        <f t="shared" si="2682"/>
        <v>25</v>
      </c>
      <c r="F13587" t="str">
        <f t="shared" si="2680"/>
        <v>COM</v>
      </c>
      <c r="G13587" t="str">
        <f t="shared" si="2683"/>
        <v>DROGARIA E PERFUMARIA COTIA LTDA (10201)</v>
      </c>
      <c r="H13587" t="s">
        <v>3699</v>
      </c>
      <c r="I13587" t="str">
        <f t="shared" si="2681"/>
        <v>28/11/2025</v>
      </c>
      <c r="J13587" t="str">
        <f t="shared" si="2684"/>
        <v>16/10/2025</v>
      </c>
      <c r="K13587">
        <v>45989</v>
      </c>
      <c r="N13587">
        <v>110</v>
      </c>
      <c r="O13587" t="s">
        <v>2439</v>
      </c>
      <c r="Q13587">
        <v>42.68</v>
      </c>
      <c r="R13587" t="str">
        <f>"PENSE FARMA 07 (10201)"</f>
        <v>PENSE FARMA 07 (10201)</v>
      </c>
      <c r="S13587" t="s">
        <v>22</v>
      </c>
      <c r="T13587">
        <v>22860</v>
      </c>
      <c r="U13587">
        <v>26398</v>
      </c>
      <c r="V13587" t="s">
        <v>22</v>
      </c>
    </row>
    <row r="13588" spans="1:22">
      <c r="A13588" t="str">
        <f t="shared" si="2677"/>
        <v>28/11/2025</v>
      </c>
      <c r="B13588" t="str">
        <f t="shared" si="2678"/>
        <v>SAÍDA</v>
      </c>
      <c r="C13588" t="str">
        <f t="shared" si="2679"/>
        <v>PIX</v>
      </c>
      <c r="D13588" t="str">
        <f>"1911"</f>
        <v>1911</v>
      </c>
      <c r="E13588" t="str">
        <f t="shared" si="2682"/>
        <v>25</v>
      </c>
      <c r="F13588" t="str">
        <f t="shared" si="2680"/>
        <v>COM</v>
      </c>
      <c r="G13588" t="str">
        <f t="shared" si="2683"/>
        <v>DROGARIA E PERFUMARIA COTIA LTDA (10201)</v>
      </c>
      <c r="H13588" t="str">
        <f>"REEMBOLSO VALOR NAO COBRADO DIA 19/11/2025 - PIX CNPJ 37.579.920/0009-73"</f>
        <v>REEMBOLSO VALOR NAO COBRADO DIA 19/11/2025 - PIX CNPJ 37.579.920/0009-73</v>
      </c>
      <c r="I13588" t="str">
        <f t="shared" si="2681"/>
        <v>28/11/2025</v>
      </c>
      <c r="J13588" t="str">
        <f t="shared" ref="J13588:J13593" si="2685">("19/11/2025")</f>
        <v>19/11/2025</v>
      </c>
      <c r="K13588" t="str">
        <f>("28/11/2025")</f>
        <v>28/11/2025</v>
      </c>
      <c r="L13588">
        <v>28.38</v>
      </c>
      <c r="M13588">
        <v>28.38</v>
      </c>
      <c r="N13588">
        <v>110</v>
      </c>
      <c r="O13588" t="str">
        <f>"DESPESAS COM REEMBOLSOS"</f>
        <v>DESPESAS COM REEMBOLSOS</v>
      </c>
      <c r="P13588">
        <v>28.38</v>
      </c>
      <c r="S13588" t="str">
        <f>"BANCO CORA (102)"</f>
        <v>BANCO CORA (102)</v>
      </c>
      <c r="T13588">
        <v>22861</v>
      </c>
      <c r="U13588">
        <v>26399</v>
      </c>
      <c r="V13588" t="s">
        <v>22</v>
      </c>
    </row>
    <row r="13589" spans="1:22">
      <c r="A13589" t="str">
        <f t="shared" si="2677"/>
        <v>28/11/2025</v>
      </c>
      <c r="B13589" t="str">
        <f t="shared" si="2678"/>
        <v>SAÍDA</v>
      </c>
      <c r="C13589" t="str">
        <f t="shared" si="2679"/>
        <v>PIX</v>
      </c>
      <c r="D13589" t="str">
        <f>"1911"</f>
        <v>1911</v>
      </c>
      <c r="E13589" t="str">
        <f t="shared" si="2682"/>
        <v>25</v>
      </c>
      <c r="F13589" t="str">
        <f t="shared" si="2680"/>
        <v>COM</v>
      </c>
      <c r="G13589" t="str">
        <f t="shared" si="2683"/>
        <v>DROGARIA E PERFUMARIA COTIA LTDA (10201)</v>
      </c>
      <c r="H13589" t="s">
        <v>3700</v>
      </c>
      <c r="I13589" t="str">
        <f t="shared" si="2681"/>
        <v>28/11/2025</v>
      </c>
      <c r="J13589" t="str">
        <f t="shared" si="2685"/>
        <v>19/11/2025</v>
      </c>
      <c r="K13589">
        <v>45989</v>
      </c>
      <c r="N13589">
        <v>110</v>
      </c>
      <c r="O13589" t="s">
        <v>2439</v>
      </c>
      <c r="Q13589">
        <v>28.38</v>
      </c>
      <c r="R13589" t="str">
        <f>"PENSE FARMA 07 (10201)"</f>
        <v>PENSE FARMA 07 (10201)</v>
      </c>
      <c r="S13589" t="s">
        <v>22</v>
      </c>
      <c r="T13589">
        <v>22861</v>
      </c>
      <c r="U13589">
        <v>26399</v>
      </c>
      <c r="V13589" t="s">
        <v>22</v>
      </c>
    </row>
    <row r="13590" spans="1:22">
      <c r="A13590" t="str">
        <f t="shared" si="2677"/>
        <v>28/11/2025</v>
      </c>
      <c r="B13590" t="str">
        <f t="shared" si="2678"/>
        <v>SAÍDA</v>
      </c>
      <c r="C13590" t="str">
        <f t="shared" si="2679"/>
        <v>PIX</v>
      </c>
      <c r="D13590" t="str">
        <f>"191120"</f>
        <v>191120</v>
      </c>
      <c r="E13590" t="str">
        <f t="shared" si="2682"/>
        <v>25</v>
      </c>
      <c r="F13590" t="str">
        <f t="shared" si="2680"/>
        <v>COM</v>
      </c>
      <c r="G13590" t="str">
        <f t="shared" si="2683"/>
        <v>DROGARIA E PERFUMARIA COTIA LTDA (10201)</v>
      </c>
      <c r="H13590" t="str">
        <f>"REEMBOLSO VALOR NAO COBRADO DIA 19/11/2025 - PIX CNPJ 37.579.920/0009-73"</f>
        <v>REEMBOLSO VALOR NAO COBRADO DIA 19/11/2025 - PIX CNPJ 37.579.920/0009-73</v>
      </c>
      <c r="I13590" t="str">
        <f t="shared" si="2681"/>
        <v>28/11/2025</v>
      </c>
      <c r="J13590" t="str">
        <f t="shared" si="2685"/>
        <v>19/11/2025</v>
      </c>
      <c r="K13590" t="str">
        <f>("28/11/2025")</f>
        <v>28/11/2025</v>
      </c>
      <c r="L13590">
        <v>29.32</v>
      </c>
      <c r="M13590">
        <v>29.32</v>
      </c>
      <c r="N13590">
        <v>110</v>
      </c>
      <c r="O13590" t="str">
        <f>"DESPESAS COM REEMBOLSOS"</f>
        <v>DESPESAS COM REEMBOLSOS</v>
      </c>
      <c r="P13590">
        <v>29.32</v>
      </c>
      <c r="S13590" t="str">
        <f>"BANCO CORA (102)"</f>
        <v>BANCO CORA (102)</v>
      </c>
      <c r="T13590">
        <v>22862</v>
      </c>
      <c r="U13590">
        <v>26400</v>
      </c>
      <c r="V13590" t="s">
        <v>22</v>
      </c>
    </row>
    <row r="13591" spans="1:22">
      <c r="A13591" t="str">
        <f t="shared" si="2677"/>
        <v>28/11/2025</v>
      </c>
      <c r="B13591" t="str">
        <f t="shared" si="2678"/>
        <v>SAÍDA</v>
      </c>
      <c r="C13591" t="str">
        <f t="shared" si="2679"/>
        <v>PIX</v>
      </c>
      <c r="D13591" t="str">
        <f>"191120"</f>
        <v>191120</v>
      </c>
      <c r="E13591" t="str">
        <f t="shared" si="2682"/>
        <v>25</v>
      </c>
      <c r="F13591" t="str">
        <f t="shared" si="2680"/>
        <v>COM</v>
      </c>
      <c r="G13591" t="str">
        <f t="shared" si="2683"/>
        <v>DROGARIA E PERFUMARIA COTIA LTDA (10201)</v>
      </c>
      <c r="H13591" t="s">
        <v>3700</v>
      </c>
      <c r="I13591" t="str">
        <f t="shared" si="2681"/>
        <v>28/11/2025</v>
      </c>
      <c r="J13591" t="str">
        <f t="shared" si="2685"/>
        <v>19/11/2025</v>
      </c>
      <c r="K13591">
        <v>45989</v>
      </c>
      <c r="N13591">
        <v>110</v>
      </c>
      <c r="O13591" t="s">
        <v>2439</v>
      </c>
      <c r="Q13591">
        <v>29.32</v>
      </c>
      <c r="R13591" t="str">
        <f>"PENSE FARMA 07 (10201)"</f>
        <v>PENSE FARMA 07 (10201)</v>
      </c>
      <c r="S13591" t="s">
        <v>22</v>
      </c>
      <c r="T13591">
        <v>22862</v>
      </c>
      <c r="U13591">
        <v>26400</v>
      </c>
      <c r="V13591" t="s">
        <v>22</v>
      </c>
    </row>
    <row r="13592" spans="1:22">
      <c r="A13592" t="str">
        <f t="shared" si="2677"/>
        <v>28/11/2025</v>
      </c>
      <c r="B13592" t="str">
        <f t="shared" si="2678"/>
        <v>SAÍDA</v>
      </c>
      <c r="C13592" t="str">
        <f t="shared" si="2679"/>
        <v>PIX</v>
      </c>
      <c r="D13592" t="str">
        <f>"19112025"</f>
        <v>19112025</v>
      </c>
      <c r="E13592" t="str">
        <f t="shared" si="2682"/>
        <v>25</v>
      </c>
      <c r="F13592" t="str">
        <f t="shared" si="2680"/>
        <v>COM</v>
      </c>
      <c r="G13592" t="str">
        <f t="shared" si="2683"/>
        <v>DROGARIA E PERFUMARIA COTIA LTDA (10201)</v>
      </c>
      <c r="H13592" t="str">
        <f>"REEMBOLSO VALOR NAO COBRADO DIA 19/11/2025 - PIX CNPJ 37.579.920/0009-73"</f>
        <v>REEMBOLSO VALOR NAO COBRADO DIA 19/11/2025 - PIX CNPJ 37.579.920/0009-73</v>
      </c>
      <c r="I13592" t="str">
        <f t="shared" si="2681"/>
        <v>28/11/2025</v>
      </c>
      <c r="J13592" t="str">
        <f t="shared" si="2685"/>
        <v>19/11/2025</v>
      </c>
      <c r="K13592" t="str">
        <f>("28/11/2025")</f>
        <v>28/11/2025</v>
      </c>
      <c r="L13592">
        <v>58.75</v>
      </c>
      <c r="M13592">
        <v>58.75</v>
      </c>
      <c r="N13592">
        <v>110</v>
      </c>
      <c r="O13592" t="str">
        <f>"DESPESAS COM REEMBOLSOS"</f>
        <v>DESPESAS COM REEMBOLSOS</v>
      </c>
      <c r="P13592">
        <v>58.75</v>
      </c>
      <c r="S13592" t="str">
        <f>"BANCO CORA (102)"</f>
        <v>BANCO CORA (102)</v>
      </c>
      <c r="T13592">
        <v>22863</v>
      </c>
      <c r="U13592">
        <v>26401</v>
      </c>
      <c r="V13592" t="s">
        <v>22</v>
      </c>
    </row>
    <row r="13593" spans="1:22">
      <c r="A13593" t="str">
        <f t="shared" si="2677"/>
        <v>28/11/2025</v>
      </c>
      <c r="B13593" t="str">
        <f t="shared" si="2678"/>
        <v>SAÍDA</v>
      </c>
      <c r="C13593" t="str">
        <f t="shared" si="2679"/>
        <v>PIX</v>
      </c>
      <c r="D13593" t="str">
        <f>"19112025"</f>
        <v>19112025</v>
      </c>
      <c r="E13593" t="str">
        <f t="shared" si="2682"/>
        <v>25</v>
      </c>
      <c r="F13593" t="str">
        <f t="shared" si="2680"/>
        <v>COM</v>
      </c>
      <c r="G13593" t="str">
        <f t="shared" si="2683"/>
        <v>DROGARIA E PERFUMARIA COTIA LTDA (10201)</v>
      </c>
      <c r="H13593" t="s">
        <v>3700</v>
      </c>
      <c r="I13593" t="str">
        <f t="shared" si="2681"/>
        <v>28/11/2025</v>
      </c>
      <c r="J13593" t="str">
        <f t="shared" si="2685"/>
        <v>19/11/2025</v>
      </c>
      <c r="K13593">
        <v>45989</v>
      </c>
      <c r="N13593">
        <v>110</v>
      </c>
      <c r="O13593" t="s">
        <v>2439</v>
      </c>
      <c r="Q13593">
        <v>58.75</v>
      </c>
      <c r="R13593" t="str">
        <f>"PENSE FARMA 07 (10201)"</f>
        <v>PENSE FARMA 07 (10201)</v>
      </c>
      <c r="S13593" t="s">
        <v>22</v>
      </c>
      <c r="T13593">
        <v>22863</v>
      </c>
      <c r="U13593">
        <v>26401</v>
      </c>
      <c r="V13593" t="s">
        <v>22</v>
      </c>
    </row>
    <row r="13594" spans="1:22">
      <c r="A13594" t="str">
        <f t="shared" si="2677"/>
        <v>28/11/2025</v>
      </c>
      <c r="B13594" t="str">
        <f t="shared" si="2678"/>
        <v>SAÍDA</v>
      </c>
      <c r="C13594" t="str">
        <f t="shared" si="2679"/>
        <v>PIX</v>
      </c>
      <c r="D13594" t="str">
        <f>"26306"</f>
        <v>26306</v>
      </c>
      <c r="E13594" t="str">
        <f t="shared" ref="E13594:E13601" si="2686">"1"</f>
        <v>1</v>
      </c>
      <c r="F13594" t="str">
        <f t="shared" si="2680"/>
        <v>COM</v>
      </c>
      <c r="G13594" t="str">
        <f>"YAN BRENDO CORREIA VIEIRA (861)"</f>
        <v>YAN BRENDO CORREIA VIEIRA (861)</v>
      </c>
      <c r="H13594" t="str">
        <f>"Serv.Prest. 17/11/2025 a 23/11/2025 - PIX: CPF - CHAVE: 096.891.935-97"</f>
        <v>Serv.Prest. 17/11/2025 a 23/11/2025 - PIX: CPF - CHAVE: 096.891.935-97</v>
      </c>
      <c r="I13594" t="str">
        <f>("04/12/2025")</f>
        <v>04/12/2025</v>
      </c>
      <c r="J13594" t="str">
        <f>("25/11/2025")</f>
        <v>25/11/2025</v>
      </c>
      <c r="K13594" t="str">
        <f>("28/11/2025")</f>
        <v>28/11/2025</v>
      </c>
      <c r="L13594">
        <v>200</v>
      </c>
      <c r="M13594">
        <v>200</v>
      </c>
      <c r="N13594">
        <v>109</v>
      </c>
      <c r="O13594" t="str">
        <f>"PAGAMENTO DE ENTREGADORES"</f>
        <v>PAGAMENTO DE ENTREGADORES</v>
      </c>
      <c r="P13594">
        <v>200</v>
      </c>
      <c r="S13594" t="str">
        <f>"BANCO CORA (102)"</f>
        <v>BANCO CORA (102)</v>
      </c>
      <c r="T13594">
        <v>22864</v>
      </c>
      <c r="U13594">
        <v>26472</v>
      </c>
      <c r="V13594" t="s">
        <v>22</v>
      </c>
    </row>
    <row r="13595" spans="1:22">
      <c r="A13595" t="str">
        <f t="shared" si="2677"/>
        <v>28/11/2025</v>
      </c>
      <c r="B13595" t="str">
        <f t="shared" si="2678"/>
        <v>SAÍDA</v>
      </c>
      <c r="C13595" t="str">
        <f t="shared" si="2679"/>
        <v>PIX</v>
      </c>
      <c r="D13595" t="str">
        <f>"26306"</f>
        <v>26306</v>
      </c>
      <c r="E13595" t="str">
        <f t="shared" si="2686"/>
        <v>1</v>
      </c>
      <c r="F13595" t="str">
        <f t="shared" si="2680"/>
        <v>COM</v>
      </c>
      <c r="G13595" t="str">
        <f>"YAN BRENDO CORREIA VIEIRA (861)"</f>
        <v>YAN BRENDO CORREIA VIEIRA (861)</v>
      </c>
      <c r="H13595" t="s">
        <v>3414</v>
      </c>
      <c r="I13595" t="str">
        <f>("04/12/2025")</f>
        <v>04/12/2025</v>
      </c>
      <c r="J13595" t="str">
        <f>("25/11/2025")</f>
        <v>25/11/2025</v>
      </c>
      <c r="K13595">
        <v>45989</v>
      </c>
      <c r="N13595">
        <v>109</v>
      </c>
      <c r="O13595" t="s">
        <v>24</v>
      </c>
      <c r="Q13595">
        <v>200</v>
      </c>
      <c r="R13595" t="str">
        <f>"FARMÁCIA INDIANA LJ 200 (10155)"</f>
        <v>FARMÁCIA INDIANA LJ 200 (10155)</v>
      </c>
      <c r="S13595" t="s">
        <v>22</v>
      </c>
      <c r="T13595">
        <v>22864</v>
      </c>
      <c r="U13595">
        <v>26472</v>
      </c>
      <c r="V13595" t="s">
        <v>22</v>
      </c>
    </row>
    <row r="13596" spans="1:22">
      <c r="A13596" t="str">
        <f t="shared" si="2677"/>
        <v>28/11/2025</v>
      </c>
      <c r="B13596" t="str">
        <f>"ENTRADA"</f>
        <v>ENTRADA</v>
      </c>
      <c r="C13596" t="str">
        <f>"NFSE"</f>
        <v>NFSE</v>
      </c>
      <c r="D13596" t="str">
        <f>"3766"</f>
        <v>3766</v>
      </c>
      <c r="E13596" t="str">
        <f t="shared" si="2686"/>
        <v>1</v>
      </c>
      <c r="F13596" t="str">
        <f t="shared" si="2680"/>
        <v>COM</v>
      </c>
      <c r="G13596" t="str">
        <f>"DROGARIA POUPA MINAS (ULTRAMINAS) 3 (10129)"</f>
        <v>DROGARIA POUPA MINAS (ULTRAMINAS) 3 (10129)</v>
      </c>
      <c r="H13596" t="str">
        <f>"Serv.Prest. 17/11/2025 a 23/11/2025 - RPS: 1642 - NFSe: 3766"</f>
        <v>Serv.Prest. 17/11/2025 a 23/11/2025 - RPS: 1642 - NFSe: 3766</v>
      </c>
      <c r="I13596" t="str">
        <f>("27/11/2025")</f>
        <v>27/11/2025</v>
      </c>
      <c r="J13596" t="str">
        <f>("24/11/2025")</f>
        <v>24/11/2025</v>
      </c>
      <c r="K13596" t="str">
        <f>("28/11/2025")</f>
        <v>28/11/2025</v>
      </c>
      <c r="L13596">
        <v>1544.4</v>
      </c>
      <c r="M13596">
        <v>1544.4</v>
      </c>
      <c r="N13596">
        <v>303</v>
      </c>
      <c r="O13596" t="str">
        <f>"RECEITAS COM ENTREGAS"</f>
        <v>RECEITAS COM ENTREGAS</v>
      </c>
      <c r="P13596">
        <v>1544.4</v>
      </c>
      <c r="S13596" t="str">
        <f>"RECEITAS COM ENTREGAS (303)"</f>
        <v>RECEITAS COM ENTREGAS (303)</v>
      </c>
      <c r="T13596">
        <v>23008</v>
      </c>
      <c r="U13596">
        <v>25985</v>
      </c>
      <c r="V13596" t="s">
        <v>22</v>
      </c>
    </row>
    <row r="13597" spans="1:22">
      <c r="A13597" t="str">
        <f t="shared" si="2677"/>
        <v>28/11/2025</v>
      </c>
      <c r="B13597" t="str">
        <f>"ENTRADA"</f>
        <v>ENTRADA</v>
      </c>
      <c r="C13597" t="str">
        <f>"NFSE"</f>
        <v>NFSE</v>
      </c>
      <c r="D13597" t="str">
        <f>"3766"</f>
        <v>3766</v>
      </c>
      <c r="E13597" t="str">
        <f t="shared" si="2686"/>
        <v>1</v>
      </c>
      <c r="F13597" t="str">
        <f t="shared" si="2680"/>
        <v>COM</v>
      </c>
      <c r="G13597" t="str">
        <f>"DROGARIA POUPA MINAS (ULTRAMINAS) 3 (10129)"</f>
        <v>DROGARIA POUPA MINAS (ULTRAMINAS) 3 (10129)</v>
      </c>
      <c r="H13597" t="s">
        <v>3701</v>
      </c>
      <c r="I13597" t="str">
        <f>("27/11/2025")</f>
        <v>27/11/2025</v>
      </c>
      <c r="J13597" t="str">
        <f>("24/11/2025")</f>
        <v>24/11/2025</v>
      </c>
      <c r="K13597">
        <v>45989</v>
      </c>
      <c r="N13597">
        <v>303</v>
      </c>
      <c r="O13597" t="s">
        <v>69</v>
      </c>
      <c r="Q13597">
        <v>1544.4</v>
      </c>
      <c r="R13597" t="str">
        <f>"DROGARIA POUPA MINAS (ULTRAMINAS) 3 (10129)"</f>
        <v>DROGARIA POUPA MINAS (ULTRAMINAS) 3 (10129)</v>
      </c>
      <c r="S13597" t="s">
        <v>70</v>
      </c>
      <c r="T13597">
        <v>23008</v>
      </c>
      <c r="U13597">
        <v>25985</v>
      </c>
      <c r="V13597" t="s">
        <v>22</v>
      </c>
    </row>
    <row r="13598" spans="1:22">
      <c r="A13598" t="str">
        <f t="shared" si="2677"/>
        <v>28/11/2025</v>
      </c>
      <c r="B13598" t="str">
        <f>"ENTRADA"</f>
        <v>ENTRADA</v>
      </c>
      <c r="C13598" t="str">
        <f>"NFSE"</f>
        <v>NFSE</v>
      </c>
      <c r="D13598" t="str">
        <f>"3791"</f>
        <v>3791</v>
      </c>
      <c r="E13598" t="str">
        <f t="shared" si="2686"/>
        <v>1</v>
      </c>
      <c r="F13598" t="str">
        <f t="shared" si="2680"/>
        <v>COM</v>
      </c>
      <c r="G13598" t="str">
        <f>"DROGARIA POUPA MINAS (DOIS AMIGOS) 5 (10140)"</f>
        <v>DROGARIA POUPA MINAS (DOIS AMIGOS) 5 (10140)</v>
      </c>
      <c r="H13598" t="str">
        <f>"Serv.Prest. 17/11/2025 a 23/11/2025 - RPS: 1667 - NFSe: 3791"</f>
        <v>Serv.Prest. 17/11/2025 a 23/11/2025 - RPS: 1667 - NFSe: 3791</v>
      </c>
      <c r="I13598" t="str">
        <f>("27/11/2025")</f>
        <v>27/11/2025</v>
      </c>
      <c r="J13598" t="str">
        <f>("25/11/2025")</f>
        <v>25/11/2025</v>
      </c>
      <c r="K13598" t="str">
        <f>("28/11/2025")</f>
        <v>28/11/2025</v>
      </c>
      <c r="L13598">
        <v>7566.61</v>
      </c>
      <c r="M13598">
        <v>7566.61</v>
      </c>
      <c r="N13598">
        <v>303</v>
      </c>
      <c r="O13598" t="str">
        <f>"RECEITAS COM ENTREGAS"</f>
        <v>RECEITAS COM ENTREGAS</v>
      </c>
      <c r="P13598">
        <v>7566.61</v>
      </c>
      <c r="S13598" t="str">
        <f>"RECEITAS COM ENTREGAS (303)"</f>
        <v>RECEITAS COM ENTREGAS (303)</v>
      </c>
      <c r="T13598">
        <v>23009</v>
      </c>
      <c r="U13598">
        <v>26137</v>
      </c>
      <c r="V13598" t="s">
        <v>22</v>
      </c>
    </row>
    <row r="13599" spans="1:22">
      <c r="A13599" t="str">
        <f t="shared" si="2677"/>
        <v>28/11/2025</v>
      </c>
      <c r="B13599" t="str">
        <f>"ENTRADA"</f>
        <v>ENTRADA</v>
      </c>
      <c r="C13599" t="str">
        <f>"NFSE"</f>
        <v>NFSE</v>
      </c>
      <c r="D13599" t="str">
        <f>"3791"</f>
        <v>3791</v>
      </c>
      <c r="E13599" t="str">
        <f t="shared" si="2686"/>
        <v>1</v>
      </c>
      <c r="F13599" t="str">
        <f t="shared" si="2680"/>
        <v>COM</v>
      </c>
      <c r="G13599" t="str">
        <f>"DROGARIA POUPA MINAS (DOIS AMIGOS) 5 (10140)"</f>
        <v>DROGARIA POUPA MINAS (DOIS AMIGOS) 5 (10140)</v>
      </c>
      <c r="H13599" t="s">
        <v>3702</v>
      </c>
      <c r="I13599" t="str">
        <f>("27/11/2025")</f>
        <v>27/11/2025</v>
      </c>
      <c r="J13599" t="str">
        <f>("25/11/2025")</f>
        <v>25/11/2025</v>
      </c>
      <c r="K13599">
        <v>45989</v>
      </c>
      <c r="N13599">
        <v>303</v>
      </c>
      <c r="O13599" t="s">
        <v>69</v>
      </c>
      <c r="Q13599">
        <v>7566.61</v>
      </c>
      <c r="R13599" t="str">
        <f>"DROGARIA POUPA MINAS (ULTRAMINAS) 1 (10181)"</f>
        <v>DROGARIA POUPA MINAS (ULTRAMINAS) 1 (10181)</v>
      </c>
      <c r="S13599" t="s">
        <v>70</v>
      </c>
      <c r="T13599">
        <v>23009</v>
      </c>
      <c r="U13599">
        <v>26137</v>
      </c>
      <c r="V13599" t="s">
        <v>22</v>
      </c>
    </row>
    <row r="13600" spans="1:22">
      <c r="A13600" t="str">
        <f t="shared" si="2677"/>
        <v>28/11/2025</v>
      </c>
      <c r="B13600" t="str">
        <f>"SAÍDA"</f>
        <v>SAÍDA</v>
      </c>
      <c r="C13600" t="str">
        <f>"PIX"</f>
        <v>PIX</v>
      </c>
      <c r="D13600" t="str">
        <f>"26801"</f>
        <v>26801</v>
      </c>
      <c r="E13600" t="str">
        <f t="shared" si="2686"/>
        <v>1</v>
      </c>
      <c r="F13600" t="str">
        <f t="shared" si="2680"/>
        <v>COM</v>
      </c>
      <c r="G13600" t="str">
        <f>"PAULO EDUARDO FALCAO (1014)"</f>
        <v>PAULO EDUARDO FALCAO (1014)</v>
      </c>
      <c r="H13600" t="str">
        <f>"Serv.Prest. 24/11/2025 a 30/11/2025 - PIX: CPF - CHAVE: 281.600.398-16"</f>
        <v>Serv.Prest. 24/11/2025 a 30/11/2025 - PIX: CPF - CHAVE: 281.600.398-16</v>
      </c>
      <c r="I13600" t="str">
        <f>("28/11/2025")</f>
        <v>28/11/2025</v>
      </c>
      <c r="J13600" t="str">
        <f>("28/11/2025")</f>
        <v>28/11/2025</v>
      </c>
      <c r="K13600" t="str">
        <f>("28/11/2025")</f>
        <v>28/11/2025</v>
      </c>
      <c r="L13600">
        <v>150</v>
      </c>
      <c r="M13600">
        <v>150</v>
      </c>
      <c r="N13600">
        <v>134</v>
      </c>
      <c r="O13600" t="str">
        <f>"DIARIA DE MOTOBOY"</f>
        <v>DIARIA DE MOTOBOY</v>
      </c>
      <c r="P13600">
        <v>150</v>
      </c>
      <c r="S13600" t="str">
        <f>"BANCO CORA (102)"</f>
        <v>BANCO CORA (102)</v>
      </c>
      <c r="T13600">
        <v>23047</v>
      </c>
      <c r="U13600">
        <v>26801</v>
      </c>
      <c r="V13600" t="s">
        <v>22</v>
      </c>
    </row>
    <row r="13601" spans="1:22">
      <c r="A13601" t="str">
        <f t="shared" si="2677"/>
        <v>28/11/2025</v>
      </c>
      <c r="B13601" t="str">
        <f>"SAÍDA"</f>
        <v>SAÍDA</v>
      </c>
      <c r="C13601" t="str">
        <f>"PIX"</f>
        <v>PIX</v>
      </c>
      <c r="D13601" t="str">
        <f>"26801"</f>
        <v>26801</v>
      </c>
      <c r="E13601" t="str">
        <f t="shared" si="2686"/>
        <v>1</v>
      </c>
      <c r="F13601" t="str">
        <f t="shared" si="2680"/>
        <v>COM</v>
      </c>
      <c r="G13601" t="str">
        <f>"PAULO EDUARDO FALCAO (1014)"</f>
        <v>PAULO EDUARDO FALCAO (1014)</v>
      </c>
      <c r="H13601" t="s">
        <v>3688</v>
      </c>
      <c r="I13601" t="str">
        <f t="shared" ref="I13601:J13605" si="2687">("28/11/2025")</f>
        <v>28/11/2025</v>
      </c>
      <c r="J13601" t="str">
        <f t="shared" si="2687"/>
        <v>28/11/2025</v>
      </c>
      <c r="K13601">
        <v>45989</v>
      </c>
      <c r="N13601">
        <v>134</v>
      </c>
      <c r="O13601" t="s">
        <v>41</v>
      </c>
      <c r="Q13601">
        <v>150</v>
      </c>
      <c r="R13601" t="str">
        <f>"PENSE FARMA 46 (10194)"</f>
        <v>PENSE FARMA 46 (10194)</v>
      </c>
      <c r="S13601" t="s">
        <v>22</v>
      </c>
      <c r="T13601">
        <v>23047</v>
      </c>
      <c r="U13601">
        <v>26801</v>
      </c>
      <c r="V13601" t="s">
        <v>22</v>
      </c>
    </row>
    <row r="13602" spans="1:22">
      <c r="A13602" t="str">
        <f t="shared" si="2677"/>
        <v>28/11/2025</v>
      </c>
      <c r="B13602" t="str">
        <f>"SAÍDA"</f>
        <v>SAÍDA</v>
      </c>
      <c r="C13602" t="str">
        <f>"TRANSFERENCIA"</f>
        <v>TRANSFERENCIA</v>
      </c>
      <c r="D13602" t="str">
        <f>""</f>
        <v/>
      </c>
      <c r="F13602" t="str">
        <f>"TRF"</f>
        <v>TRF</v>
      </c>
      <c r="G13602" t="str">
        <f>""</f>
        <v/>
      </c>
      <c r="H13602" t="str">
        <f>"DEVOLUÇÃO DA AJUDA DE MOVIMENTAÇÃO DE CAIXA (102-&gt;131)"</f>
        <v>DEVOLUÇÃO DA AJUDA DE MOVIMENTAÇÃO DE CAIXA (102-&gt;131)</v>
      </c>
      <c r="I13602" t="str">
        <f t="shared" si="2687"/>
        <v>28/11/2025</v>
      </c>
      <c r="J13602" t="str">
        <f t="shared" si="2687"/>
        <v>28/11/2025</v>
      </c>
      <c r="K13602" t="str">
        <f>("28/11/2025")</f>
        <v>28/11/2025</v>
      </c>
      <c r="N13602">
        <v>102</v>
      </c>
      <c r="O13602" t="str">
        <f>"BANCO CORA"</f>
        <v>BANCO CORA</v>
      </c>
      <c r="P13602">
        <v>25000</v>
      </c>
      <c r="S13602" t="str">
        <f>"BANCO CORA (102)"</f>
        <v>BANCO CORA (102)</v>
      </c>
      <c r="T13602">
        <v>23048</v>
      </c>
      <c r="U13602">
        <v>0</v>
      </c>
      <c r="V13602" t="s">
        <v>22</v>
      </c>
    </row>
    <row r="13603" spans="1:22">
      <c r="A13603" t="str">
        <f t="shared" si="2677"/>
        <v>28/11/2025</v>
      </c>
      <c r="B13603" t="str">
        <f>"ENTRADA"</f>
        <v>ENTRADA</v>
      </c>
      <c r="C13603" t="str">
        <f>"TRANSFERENCIA"</f>
        <v>TRANSFERENCIA</v>
      </c>
      <c r="D13603" t="str">
        <f>""</f>
        <v/>
      </c>
      <c r="F13603" t="str">
        <f>"TRF"</f>
        <v>TRF</v>
      </c>
      <c r="G13603" t="str">
        <f>""</f>
        <v/>
      </c>
      <c r="H13603" t="str">
        <f>"DEVOLUÇÃO DA AJUDA DE MOVIMENTAÇÃO DE CAIXA (102-&gt;131)"</f>
        <v>DEVOLUÇÃO DA AJUDA DE MOVIMENTAÇÃO DE CAIXA (102-&gt;131)</v>
      </c>
      <c r="I13603" t="str">
        <f t="shared" si="2687"/>
        <v>28/11/2025</v>
      </c>
      <c r="J13603" t="str">
        <f t="shared" si="2687"/>
        <v>28/11/2025</v>
      </c>
      <c r="K13603" t="str">
        <f>("28/11/2025")</f>
        <v>28/11/2025</v>
      </c>
      <c r="N13603">
        <v>131</v>
      </c>
      <c r="O13603" t="str">
        <f>"CAIXA - FLUX"</f>
        <v>CAIXA - FLUX</v>
      </c>
      <c r="S13603" t="str">
        <f>"CAIXA - FLUX (131)"</f>
        <v>CAIXA - FLUX (131)</v>
      </c>
      <c r="T13603">
        <v>23048</v>
      </c>
      <c r="U13603">
        <v>0</v>
      </c>
      <c r="V13603" t="s">
        <v>577</v>
      </c>
    </row>
    <row r="13604" spans="1:22">
      <c r="A13604" t="str">
        <f t="shared" si="2677"/>
        <v>28/11/2025</v>
      </c>
      <c r="B13604" t="str">
        <f>"SAÍDA"</f>
        <v>SAÍDA</v>
      </c>
      <c r="C13604" t="str">
        <f>"TRANSFERENCIA"</f>
        <v>TRANSFERENCIA</v>
      </c>
      <c r="D13604" t="str">
        <f>""</f>
        <v/>
      </c>
      <c r="F13604" t="str">
        <f>"TRF"</f>
        <v>TRF</v>
      </c>
      <c r="G13604" t="str">
        <f>""</f>
        <v/>
      </c>
      <c r="H13604" t="str">
        <f>"TRANSFERENCIA ENTRE BANCOS (102-&gt;149)"</f>
        <v>TRANSFERENCIA ENTRE BANCOS (102-&gt;149)</v>
      </c>
      <c r="I13604" t="str">
        <f t="shared" si="2687"/>
        <v>28/11/2025</v>
      </c>
      <c r="J13604" t="str">
        <f t="shared" si="2687"/>
        <v>28/11/2025</v>
      </c>
      <c r="K13604" t="str">
        <f>("28/11/2025")</f>
        <v>28/11/2025</v>
      </c>
      <c r="N13604">
        <v>102</v>
      </c>
      <c r="O13604" t="str">
        <f>"BANCO CORA"</f>
        <v>BANCO CORA</v>
      </c>
      <c r="P13604">
        <v>10000</v>
      </c>
      <c r="S13604" t="str">
        <f>"BANCO CORA (102)"</f>
        <v>BANCO CORA (102)</v>
      </c>
      <c r="T13604">
        <v>23049</v>
      </c>
      <c r="U13604">
        <v>0</v>
      </c>
      <c r="V13604" t="s">
        <v>22</v>
      </c>
    </row>
    <row r="13605" spans="1:22">
      <c r="A13605" t="str">
        <f t="shared" si="2677"/>
        <v>28/11/2025</v>
      </c>
      <c r="B13605" t="str">
        <f>"ENTRADA"</f>
        <v>ENTRADA</v>
      </c>
      <c r="C13605" t="str">
        <f>"TRANSFERENCIA"</f>
        <v>TRANSFERENCIA</v>
      </c>
      <c r="D13605" t="str">
        <f>""</f>
        <v/>
      </c>
      <c r="F13605" t="str">
        <f>"TRF"</f>
        <v>TRF</v>
      </c>
      <c r="G13605" t="str">
        <f>""</f>
        <v/>
      </c>
      <c r="H13605" t="str">
        <f>"TRANSFERENCIA ENTRE BANCOS (102-&gt;149)"</f>
        <v>TRANSFERENCIA ENTRE BANCOS (102-&gt;149)</v>
      </c>
      <c r="I13605" t="str">
        <f t="shared" si="2687"/>
        <v>28/11/2025</v>
      </c>
      <c r="J13605" t="str">
        <f t="shared" si="2687"/>
        <v>28/11/2025</v>
      </c>
      <c r="K13605" t="str">
        <f>("28/11/2025")</f>
        <v>28/11/2025</v>
      </c>
      <c r="N13605">
        <v>149</v>
      </c>
      <c r="O13605" t="str">
        <f>"BANCO C6"</f>
        <v>BANCO C6</v>
      </c>
      <c r="S13605" t="str">
        <f>"BANCO C6 (149)"</f>
        <v>BANCO C6 (149)</v>
      </c>
      <c r="T13605">
        <v>23049</v>
      </c>
      <c r="U13605">
        <v>0</v>
      </c>
      <c r="V13605" t="s">
        <v>77</v>
      </c>
    </row>
    <row r="13606" spans="1:22">
      <c r="A13606" t="str">
        <f t="shared" si="2677"/>
        <v>28/11/2025</v>
      </c>
      <c r="B13606" t="str">
        <f t="shared" ref="B13606:B13612" si="2688">"SAÍDA"</f>
        <v>SAÍDA</v>
      </c>
      <c r="C13606" t="str">
        <f>"CONHECIMENTO"</f>
        <v>CONHECIMENTO</v>
      </c>
      <c r="D13606" t="str">
        <f>"01092025"</f>
        <v>01092025</v>
      </c>
      <c r="E13606" t="str">
        <f>"2"</f>
        <v>2</v>
      </c>
      <c r="F13606" t="str">
        <f>"COM"</f>
        <v>COM</v>
      </c>
      <c r="G13606" t="str">
        <f>"CORA SOCIEDADE DE CREDITO, FINANCIAMENTO E INVESTIMENTO (20035)"</f>
        <v>CORA SOCIEDADE DE CREDITO, FINANCIAMENTO E INVESTIMENTO (20035)</v>
      </c>
      <c r="H13606" t="str">
        <f>"TAXA BOLETO "</f>
        <v xml:space="preserve">TAXA BOLETO </v>
      </c>
      <c r="I13606" t="str">
        <f t="shared" ref="I13606:I13614" si="2689">("28/11/2025")</f>
        <v>28/11/2025</v>
      </c>
      <c r="J13606" t="str">
        <f>("01/09/2025")</f>
        <v>01/09/2025</v>
      </c>
      <c r="K13606" t="str">
        <f>("28/11/2025")</f>
        <v>28/11/2025</v>
      </c>
      <c r="L13606">
        <v>1.7</v>
      </c>
      <c r="M13606">
        <v>1.7</v>
      </c>
      <c r="N13606">
        <v>401</v>
      </c>
      <c r="O13606" t="str">
        <f>"IOF/JUROS/DESP.FINANCEIRA"</f>
        <v>IOF/JUROS/DESP.FINANCEIRA</v>
      </c>
      <c r="P13606">
        <v>1.7</v>
      </c>
      <c r="S13606" t="str">
        <f>"BANCO CORA (102)"</f>
        <v>BANCO CORA (102)</v>
      </c>
      <c r="T13606">
        <v>23050</v>
      </c>
      <c r="U13606">
        <v>27130</v>
      </c>
      <c r="V13606" t="s">
        <v>22</v>
      </c>
    </row>
    <row r="13607" spans="1:22">
      <c r="A13607" t="str">
        <f t="shared" si="2677"/>
        <v>28/11/2025</v>
      </c>
      <c r="B13607" t="str">
        <f t="shared" si="2688"/>
        <v>SAÍDA</v>
      </c>
      <c r="C13607" t="str">
        <f>"CONHECIMENTO"</f>
        <v>CONHECIMENTO</v>
      </c>
      <c r="D13607" t="str">
        <f>"01092025"</f>
        <v>01092025</v>
      </c>
      <c r="E13607" t="str">
        <f>"2"</f>
        <v>2</v>
      </c>
      <c r="F13607" t="str">
        <f>"COM"</f>
        <v>COM</v>
      </c>
      <c r="G13607" t="str">
        <f>"CORA SOCIEDADE DE CREDITO, FINANCIAMENTO E INVESTIMENTO (20035)"</f>
        <v>CORA SOCIEDADE DE CREDITO, FINANCIAMENTO E INVESTIMENTO (20035)</v>
      </c>
      <c r="H13607" t="s">
        <v>75</v>
      </c>
      <c r="I13607" t="str">
        <f t="shared" si="2689"/>
        <v>28/11/2025</v>
      </c>
      <c r="J13607" t="str">
        <f>("01/09/2025")</f>
        <v>01/09/2025</v>
      </c>
      <c r="K13607">
        <v>45989</v>
      </c>
      <c r="N13607">
        <v>401</v>
      </c>
      <c r="O13607" t="s">
        <v>76</v>
      </c>
      <c r="Q13607">
        <v>1.7</v>
      </c>
      <c r="R13607" t="str">
        <f>"CORA SOCIEDADE DE CREDITO, FINANCIAMENTO E INVESTIMENTO (20035)"</f>
        <v>CORA SOCIEDADE DE CREDITO, FINANCIAMENTO E INVESTIMENTO (20035)</v>
      </c>
      <c r="S13607" t="s">
        <v>22</v>
      </c>
      <c r="T13607">
        <v>23050</v>
      </c>
      <c r="U13607">
        <v>27130</v>
      </c>
      <c r="V13607" t="s">
        <v>22</v>
      </c>
    </row>
    <row r="13608" spans="1:22">
      <c r="A13608" t="str">
        <f t="shared" si="2677"/>
        <v>28/11/2025</v>
      </c>
      <c r="B13608" t="str">
        <f t="shared" si="2688"/>
        <v>SAÍDA</v>
      </c>
      <c r="C13608" t="str">
        <f>"CONHECIMENTO"</f>
        <v>CONHECIMENTO</v>
      </c>
      <c r="D13608" t="str">
        <f>"01092025"</f>
        <v>01092025</v>
      </c>
      <c r="E13608" t="str">
        <f>"3"</f>
        <v>3</v>
      </c>
      <c r="F13608" t="str">
        <f>"COM"</f>
        <v>COM</v>
      </c>
      <c r="G13608" t="str">
        <f>"CORA SOCIEDADE DE CREDITO, FINANCIAMENTO E INVESTIMENTO (20035)"</f>
        <v>CORA SOCIEDADE DE CREDITO, FINANCIAMENTO E INVESTIMENTO (20035)</v>
      </c>
      <c r="H13608" t="str">
        <f>"TAXA BOLETO "</f>
        <v xml:space="preserve">TAXA BOLETO </v>
      </c>
      <c r="I13608" t="str">
        <f t="shared" si="2689"/>
        <v>28/11/2025</v>
      </c>
      <c r="J13608" t="str">
        <f>("01/09/2025")</f>
        <v>01/09/2025</v>
      </c>
      <c r="K13608" t="str">
        <f>("28/11/2025")</f>
        <v>28/11/2025</v>
      </c>
      <c r="L13608">
        <v>1.7</v>
      </c>
      <c r="M13608">
        <v>1.7</v>
      </c>
      <c r="N13608">
        <v>401</v>
      </c>
      <c r="O13608" t="str">
        <f>"IOF/JUROS/DESP.FINANCEIRA"</f>
        <v>IOF/JUROS/DESP.FINANCEIRA</v>
      </c>
      <c r="P13608">
        <v>1.7</v>
      </c>
      <c r="S13608" t="str">
        <f>"BANCO CORA (102)"</f>
        <v>BANCO CORA (102)</v>
      </c>
      <c r="T13608">
        <v>23051</v>
      </c>
      <c r="U13608">
        <v>27131</v>
      </c>
      <c r="V13608" t="s">
        <v>22</v>
      </c>
    </row>
    <row r="13609" spans="1:22">
      <c r="A13609" t="str">
        <f t="shared" si="2677"/>
        <v>28/11/2025</v>
      </c>
      <c r="B13609" t="str">
        <f t="shared" si="2688"/>
        <v>SAÍDA</v>
      </c>
      <c r="C13609" t="str">
        <f>"CONHECIMENTO"</f>
        <v>CONHECIMENTO</v>
      </c>
      <c r="D13609" t="str">
        <f>"01092025"</f>
        <v>01092025</v>
      </c>
      <c r="E13609" t="str">
        <f>"3"</f>
        <v>3</v>
      </c>
      <c r="F13609" t="str">
        <f>"COM"</f>
        <v>COM</v>
      </c>
      <c r="G13609" t="str">
        <f>"CORA SOCIEDADE DE CREDITO, FINANCIAMENTO E INVESTIMENTO (20035)"</f>
        <v>CORA SOCIEDADE DE CREDITO, FINANCIAMENTO E INVESTIMENTO (20035)</v>
      </c>
      <c r="H13609" t="s">
        <v>75</v>
      </c>
      <c r="I13609" t="str">
        <f t="shared" si="2689"/>
        <v>28/11/2025</v>
      </c>
      <c r="J13609" t="str">
        <f>("01/09/2025")</f>
        <v>01/09/2025</v>
      </c>
      <c r="K13609">
        <v>45989</v>
      </c>
      <c r="N13609">
        <v>401</v>
      </c>
      <c r="O13609" t="s">
        <v>76</v>
      </c>
      <c r="Q13609">
        <v>1.7</v>
      </c>
      <c r="R13609" t="str">
        <f>"CORA SOCIEDADE DE CREDITO, FINANCIAMENTO E INVESTIMENTO (20035)"</f>
        <v>CORA SOCIEDADE DE CREDITO, FINANCIAMENTO E INVESTIMENTO (20035)</v>
      </c>
      <c r="S13609" t="s">
        <v>22</v>
      </c>
      <c r="T13609">
        <v>23051</v>
      </c>
      <c r="U13609">
        <v>27131</v>
      </c>
      <c r="V13609" t="s">
        <v>22</v>
      </c>
    </row>
    <row r="13610" spans="1:22">
      <c r="A13610" t="str">
        <f t="shared" si="2677"/>
        <v>28/11/2025</v>
      </c>
      <c r="B13610" t="str">
        <f t="shared" si="2688"/>
        <v>SAÍDA</v>
      </c>
      <c r="C13610" t="str">
        <f>""</f>
        <v/>
      </c>
      <c r="D13610" t="str">
        <f>""</f>
        <v/>
      </c>
      <c r="F13610" t="str">
        <f>"CXA"</f>
        <v>CXA</v>
      </c>
      <c r="G13610" t="str">
        <f>""</f>
        <v/>
      </c>
      <c r="H13610" t="str">
        <f>"DESPESAS CONFRATERNIZAÇÃO"</f>
        <v>DESPESAS CONFRATERNIZAÇÃO</v>
      </c>
      <c r="I13610" t="str">
        <f t="shared" si="2689"/>
        <v>28/11/2025</v>
      </c>
      <c r="J13610" t="str">
        <f t="shared" ref="J13610:K13614" si="2690">("28/11/2025")</f>
        <v>28/11/2025</v>
      </c>
      <c r="K13610" t="str">
        <f t="shared" si="2690"/>
        <v>28/11/2025</v>
      </c>
      <c r="L13610">
        <v>757.84</v>
      </c>
      <c r="M13610">
        <v>757.84</v>
      </c>
      <c r="N13610">
        <v>144</v>
      </c>
      <c r="O13610" t="str">
        <f>"DESPESAS COM EVENTOS E CONFRATERNIZAÇÕES"</f>
        <v>DESPESAS COM EVENTOS E CONFRATERNIZAÇÕES</v>
      </c>
      <c r="P13610">
        <v>757.84</v>
      </c>
      <c r="S13610" t="str">
        <f>"BANCO CORA (102)"</f>
        <v>BANCO CORA (102)</v>
      </c>
      <c r="T13610">
        <v>23061</v>
      </c>
      <c r="U13610">
        <v>0</v>
      </c>
      <c r="V13610" t="s">
        <v>556</v>
      </c>
    </row>
    <row r="13611" spans="1:22">
      <c r="A13611" t="str">
        <f t="shared" si="2677"/>
        <v>28/11/2025</v>
      </c>
      <c r="B13611" t="str">
        <f t="shared" si="2688"/>
        <v>SAÍDA</v>
      </c>
      <c r="C13611" t="str">
        <f>""</f>
        <v/>
      </c>
      <c r="D13611" t="str">
        <f>""</f>
        <v/>
      </c>
      <c r="F13611" t="str">
        <f>"CXA"</f>
        <v>CXA</v>
      </c>
      <c r="G13611" t="str">
        <f>""</f>
        <v/>
      </c>
      <c r="H13611" t="str">
        <f>"DESPESAS CONFRATERNIZAÇÃO"</f>
        <v>DESPESAS CONFRATERNIZAÇÃO</v>
      </c>
      <c r="I13611" t="str">
        <f t="shared" si="2689"/>
        <v>28/11/2025</v>
      </c>
      <c r="J13611" t="str">
        <f t="shared" si="2690"/>
        <v>28/11/2025</v>
      </c>
      <c r="K13611" t="str">
        <f t="shared" si="2690"/>
        <v>28/11/2025</v>
      </c>
      <c r="L13611">
        <v>30</v>
      </c>
      <c r="M13611">
        <v>30</v>
      </c>
      <c r="N13611">
        <v>144</v>
      </c>
      <c r="O13611" t="str">
        <f>"DESPESAS COM EVENTOS E CONFRATERNIZAÇÕES"</f>
        <v>DESPESAS COM EVENTOS E CONFRATERNIZAÇÕES</v>
      </c>
      <c r="P13611">
        <v>30</v>
      </c>
      <c r="S13611" t="str">
        <f>"BANCO CORA (102)"</f>
        <v>BANCO CORA (102)</v>
      </c>
      <c r="T13611">
        <v>23062</v>
      </c>
      <c r="U13611">
        <v>0</v>
      </c>
      <c r="V13611" t="s">
        <v>556</v>
      </c>
    </row>
    <row r="13612" spans="1:22">
      <c r="A13612" t="str">
        <f t="shared" si="2677"/>
        <v>28/11/2025</v>
      </c>
      <c r="B13612" t="str">
        <f t="shared" si="2688"/>
        <v>SAÍDA</v>
      </c>
      <c r="C13612" t="str">
        <f>"JUROS"</f>
        <v>JUROS</v>
      </c>
      <c r="D13612" t="str">
        <f>""</f>
        <v/>
      </c>
      <c r="F13612" t="str">
        <f>"CXA"</f>
        <v>CXA</v>
      </c>
      <c r="G13612" t="str">
        <f>""</f>
        <v/>
      </c>
      <c r="H13612" t="str">
        <f>"TARIFA SERV.COBR.TITULOS"</f>
        <v>TARIFA SERV.COBR.TITULOS</v>
      </c>
      <c r="I13612" t="str">
        <f t="shared" si="2689"/>
        <v>28/11/2025</v>
      </c>
      <c r="J13612" t="str">
        <f t="shared" si="2690"/>
        <v>28/11/2025</v>
      </c>
      <c r="K13612" t="str">
        <f t="shared" si="2690"/>
        <v>28/11/2025</v>
      </c>
      <c r="L13612">
        <v>1.39</v>
      </c>
      <c r="M13612">
        <v>1.39</v>
      </c>
      <c r="N13612">
        <v>401</v>
      </c>
      <c r="O13612" t="str">
        <f>"IOF/JUROS/DESP.FINANCEIRA"</f>
        <v>IOF/JUROS/DESP.FINANCEIRA</v>
      </c>
      <c r="P13612">
        <v>1.39</v>
      </c>
      <c r="S13612" t="str">
        <f>"BANCO SICREDI (143)"</f>
        <v>BANCO SICREDI (143)</v>
      </c>
      <c r="T13612">
        <v>23403</v>
      </c>
      <c r="U13612">
        <v>0</v>
      </c>
      <c r="V13612" t="s">
        <v>1112</v>
      </c>
    </row>
    <row r="13613" spans="1:22">
      <c r="A13613" t="str">
        <f t="shared" si="2677"/>
        <v>28/11/2025</v>
      </c>
      <c r="B13613" t="str">
        <f>"ENTRADA"</f>
        <v>ENTRADA</v>
      </c>
      <c r="C13613" t="str">
        <f>"APLICACAO"</f>
        <v>APLICACAO</v>
      </c>
      <c r="D13613" t="str">
        <f>""</f>
        <v/>
      </c>
      <c r="F13613" t="str">
        <f>"APL"</f>
        <v>APL</v>
      </c>
      <c r="G13613" t="str">
        <f>""</f>
        <v/>
      </c>
      <c r="H13613" t="str">
        <f>"APLICAÇAO CDB C6"</f>
        <v>APLICAÇAO CDB C6</v>
      </c>
      <c r="I13613" t="str">
        <f t="shared" si="2689"/>
        <v>28/11/2025</v>
      </c>
      <c r="J13613" t="str">
        <f t="shared" si="2690"/>
        <v>28/11/2025</v>
      </c>
      <c r="K13613" t="str">
        <f t="shared" si="2690"/>
        <v>28/11/2025</v>
      </c>
      <c r="N13613">
        <v>121</v>
      </c>
      <c r="O13613" t="str">
        <f>"APLICAÇÃO BANCO A"</f>
        <v>APLICAÇÃO BANCO A</v>
      </c>
      <c r="P13613">
        <v>10000</v>
      </c>
      <c r="S13613" t="str">
        <f>"APLICAÇÃO BANCO A (121)"</f>
        <v>APLICAÇÃO BANCO A (121)</v>
      </c>
      <c r="T13613">
        <v>23455</v>
      </c>
      <c r="U13613">
        <v>0</v>
      </c>
      <c r="V13613" t="s">
        <v>1071</v>
      </c>
    </row>
    <row r="13614" spans="1:22">
      <c r="A13614" t="str">
        <f t="shared" si="2677"/>
        <v>28/11/2025</v>
      </c>
      <c r="B13614" t="str">
        <f t="shared" ref="B13614:B13630" si="2691">"SAÍDA"</f>
        <v>SAÍDA</v>
      </c>
      <c r="C13614" t="str">
        <f>"APLICACAO"</f>
        <v>APLICACAO</v>
      </c>
      <c r="D13614" t="str">
        <f>""</f>
        <v/>
      </c>
      <c r="F13614" t="str">
        <f>"APL"</f>
        <v>APL</v>
      </c>
      <c r="G13614" t="str">
        <f>""</f>
        <v/>
      </c>
      <c r="H13614" t="str">
        <f>"APLICAÇAO CDB C6"</f>
        <v>APLICAÇAO CDB C6</v>
      </c>
      <c r="I13614" t="str">
        <f t="shared" si="2689"/>
        <v>28/11/2025</v>
      </c>
      <c r="J13614" t="str">
        <f t="shared" si="2690"/>
        <v>28/11/2025</v>
      </c>
      <c r="K13614" t="str">
        <f t="shared" si="2690"/>
        <v>28/11/2025</v>
      </c>
      <c r="N13614">
        <v>149</v>
      </c>
      <c r="O13614" t="str">
        <f>"BANCO C6"</f>
        <v>BANCO C6</v>
      </c>
      <c r="S13614" t="str">
        <f>"BANCO C6 (149)"</f>
        <v>BANCO C6 (149)</v>
      </c>
      <c r="T13614">
        <v>23455</v>
      </c>
      <c r="U13614">
        <v>0</v>
      </c>
      <c r="V13614" t="s">
        <v>77</v>
      </c>
    </row>
    <row r="13615" spans="1:22">
      <c r="A13615" t="str">
        <f t="shared" ref="A13615:A13622" si="2692">("29/11/2025")</f>
        <v>29/11/2025</v>
      </c>
      <c r="B13615" t="str">
        <f t="shared" si="2691"/>
        <v>SAÍDA</v>
      </c>
      <c r="C13615" t="str">
        <f t="shared" ref="C13615:C13620" si="2693">"PIX"</f>
        <v>PIX</v>
      </c>
      <c r="D13615" t="str">
        <f>"26823"</f>
        <v>26823</v>
      </c>
      <c r="E13615" t="str">
        <f t="shared" ref="E13615:E13620" si="2694">"1"</f>
        <v>1</v>
      </c>
      <c r="F13615" t="str">
        <f t="shared" ref="F13615:F13620" si="2695">"COM"</f>
        <v>COM</v>
      </c>
      <c r="G13615" t="str">
        <f>"FELIPE BRITO DOS SANTOS (1111)"</f>
        <v>FELIPE BRITO DOS SANTOS (1111)</v>
      </c>
      <c r="H13615" t="str">
        <f>"Serv.Prest. 24/11/2025 a 30/11/2025 - PIX: E-MAIL - CHAVE: felipebrito00009@gmail.com"</f>
        <v>Serv.Prest. 24/11/2025 a 30/11/2025 - PIX: E-MAIL - CHAVE: felipebrito00009@gmail.com</v>
      </c>
      <c r="I13615" t="str">
        <f>("29/11/2025")</f>
        <v>29/11/2025</v>
      </c>
      <c r="J13615" t="str">
        <f>("29/11/2025")</f>
        <v>29/11/2025</v>
      </c>
      <c r="K13615" t="str">
        <f>("29/11/2025")</f>
        <v>29/11/2025</v>
      </c>
      <c r="L13615">
        <v>170</v>
      </c>
      <c r="M13615">
        <v>170</v>
      </c>
      <c r="N13615">
        <v>134</v>
      </c>
      <c r="O13615" t="str">
        <f>"DIARIA DE MOTOBOY"</f>
        <v>DIARIA DE MOTOBOY</v>
      </c>
      <c r="P13615">
        <v>170</v>
      </c>
      <c r="S13615" t="str">
        <f>"BANCO CORA (102)"</f>
        <v>BANCO CORA (102)</v>
      </c>
      <c r="T13615">
        <v>23014</v>
      </c>
      <c r="U13615">
        <v>26823</v>
      </c>
      <c r="V13615" t="s">
        <v>22</v>
      </c>
    </row>
    <row r="13616" spans="1:22">
      <c r="A13616" t="str">
        <f t="shared" si="2692"/>
        <v>29/11/2025</v>
      </c>
      <c r="B13616" t="str">
        <f t="shared" si="2691"/>
        <v>SAÍDA</v>
      </c>
      <c r="C13616" t="str">
        <f t="shared" si="2693"/>
        <v>PIX</v>
      </c>
      <c r="D13616" t="str">
        <f>"26823"</f>
        <v>26823</v>
      </c>
      <c r="E13616" t="str">
        <f t="shared" si="2694"/>
        <v>1</v>
      </c>
      <c r="F13616" t="str">
        <f t="shared" si="2695"/>
        <v>COM</v>
      </c>
      <c r="G13616" t="str">
        <f>"FELIPE BRITO DOS SANTOS (1111)"</f>
        <v>FELIPE BRITO DOS SANTOS (1111)</v>
      </c>
      <c r="H13616" t="s">
        <v>3420</v>
      </c>
      <c r="I13616" t="str">
        <f t="shared" ref="I13616:J13622" si="2696">("29/11/2025")</f>
        <v>29/11/2025</v>
      </c>
      <c r="J13616" t="str">
        <f t="shared" si="2696"/>
        <v>29/11/2025</v>
      </c>
      <c r="K13616">
        <v>45990</v>
      </c>
      <c r="N13616">
        <v>134</v>
      </c>
      <c r="O13616" t="s">
        <v>41</v>
      </c>
      <c r="Q13616">
        <v>170</v>
      </c>
      <c r="R13616" t="str">
        <f>"PENSE FARMA 15 (10195)"</f>
        <v>PENSE FARMA 15 (10195)</v>
      </c>
      <c r="S13616" t="s">
        <v>22</v>
      </c>
      <c r="T13616">
        <v>23014</v>
      </c>
      <c r="U13616">
        <v>26823</v>
      </c>
      <c r="V13616" t="s">
        <v>22</v>
      </c>
    </row>
    <row r="13617" spans="1:22">
      <c r="A13617" t="str">
        <f t="shared" si="2692"/>
        <v>29/11/2025</v>
      </c>
      <c r="B13617" t="str">
        <f t="shared" si="2691"/>
        <v>SAÍDA</v>
      </c>
      <c r="C13617" t="str">
        <f t="shared" si="2693"/>
        <v>PIX</v>
      </c>
      <c r="D13617" t="str">
        <f>"26799"</f>
        <v>26799</v>
      </c>
      <c r="E13617" t="str">
        <f t="shared" si="2694"/>
        <v>1</v>
      </c>
      <c r="F13617" t="str">
        <f t="shared" si="2695"/>
        <v>COM</v>
      </c>
      <c r="G13617" t="str">
        <f>"HENRIQUE VALENTIM FERREIRA (1083)"</f>
        <v>HENRIQUE VALENTIM FERREIRA (1083)</v>
      </c>
      <c r="H13617" t="str">
        <f>"Serv.Prest. 24/11/2025 a 30/11/2025 - PIX: CELULAR - CHAVE: (11) 99293-5521"</f>
        <v>Serv.Prest. 24/11/2025 a 30/11/2025 - PIX: CELULAR - CHAVE: (11) 99293-5521</v>
      </c>
      <c r="I13617" t="str">
        <f t="shared" si="2696"/>
        <v>29/11/2025</v>
      </c>
      <c r="J13617" t="str">
        <f t="shared" si="2696"/>
        <v>29/11/2025</v>
      </c>
      <c r="K13617" t="str">
        <f>("29/11/2025")</f>
        <v>29/11/2025</v>
      </c>
      <c r="L13617">
        <v>170</v>
      </c>
      <c r="M13617">
        <v>170</v>
      </c>
      <c r="N13617">
        <v>134</v>
      </c>
      <c r="O13617" t="str">
        <f>"DIARIA DE MOTOBOY"</f>
        <v>DIARIA DE MOTOBOY</v>
      </c>
      <c r="P13617">
        <v>170</v>
      </c>
      <c r="S13617" t="str">
        <f>"BANCO CORA (102)"</f>
        <v>BANCO CORA (102)</v>
      </c>
      <c r="T13617">
        <v>23053</v>
      </c>
      <c r="U13617">
        <v>27011</v>
      </c>
      <c r="V13617" t="s">
        <v>22</v>
      </c>
    </row>
    <row r="13618" spans="1:22">
      <c r="A13618" t="str">
        <f t="shared" si="2692"/>
        <v>29/11/2025</v>
      </c>
      <c r="B13618" t="str">
        <f t="shared" si="2691"/>
        <v>SAÍDA</v>
      </c>
      <c r="C13618" t="str">
        <f t="shared" si="2693"/>
        <v>PIX</v>
      </c>
      <c r="D13618" t="str">
        <f>"26799"</f>
        <v>26799</v>
      </c>
      <c r="E13618" t="str">
        <f t="shared" si="2694"/>
        <v>1</v>
      </c>
      <c r="F13618" t="str">
        <f t="shared" si="2695"/>
        <v>COM</v>
      </c>
      <c r="G13618" t="str">
        <f>"HENRIQUE VALENTIM FERREIRA (1083)"</f>
        <v>HENRIQUE VALENTIM FERREIRA (1083)</v>
      </c>
      <c r="H13618" t="s">
        <v>3703</v>
      </c>
      <c r="I13618" t="str">
        <f t="shared" si="2696"/>
        <v>29/11/2025</v>
      </c>
      <c r="J13618" t="str">
        <f t="shared" si="2696"/>
        <v>29/11/2025</v>
      </c>
      <c r="K13618">
        <v>45990</v>
      </c>
      <c r="N13618">
        <v>134</v>
      </c>
      <c r="O13618" t="s">
        <v>41</v>
      </c>
      <c r="Q13618">
        <v>170</v>
      </c>
      <c r="R13618" t="str">
        <f>"PENSE FARMA 46 (10194)"</f>
        <v>PENSE FARMA 46 (10194)</v>
      </c>
      <c r="S13618" t="s">
        <v>22</v>
      </c>
      <c r="T13618">
        <v>23053</v>
      </c>
      <c r="U13618">
        <v>27011</v>
      </c>
      <c r="V13618" t="s">
        <v>22</v>
      </c>
    </row>
    <row r="13619" spans="1:22">
      <c r="A13619" t="str">
        <f t="shared" si="2692"/>
        <v>29/11/2025</v>
      </c>
      <c r="B13619" t="str">
        <f t="shared" si="2691"/>
        <v>SAÍDA</v>
      </c>
      <c r="C13619" t="str">
        <f t="shared" si="2693"/>
        <v>PIX</v>
      </c>
      <c r="D13619" t="str">
        <f>"26515"</f>
        <v>26515</v>
      </c>
      <c r="E13619" t="str">
        <f t="shared" si="2694"/>
        <v>1</v>
      </c>
      <c r="F13619" t="str">
        <f t="shared" si="2695"/>
        <v>COM</v>
      </c>
      <c r="G13619" t="str">
        <f>"ULISSES SOUSA SANTOS (757)"</f>
        <v>ULISSES SOUSA SANTOS (757)</v>
      </c>
      <c r="H13619" t="str">
        <f>"Serv.Prest. 24/11/2025 a 30/11/2025 - PIX: CELULAR - CHAVE: (64) 99926-4484"</f>
        <v>Serv.Prest. 24/11/2025 a 30/11/2025 - PIX: CELULAR - CHAVE: (64) 99926-4484</v>
      </c>
      <c r="I13619" t="str">
        <f t="shared" si="2696"/>
        <v>29/11/2025</v>
      </c>
      <c r="J13619" t="str">
        <f t="shared" si="2696"/>
        <v>29/11/2025</v>
      </c>
      <c r="K13619" t="str">
        <f>("29/11/2025")</f>
        <v>29/11/2025</v>
      </c>
      <c r="L13619">
        <v>150</v>
      </c>
      <c r="M13619">
        <v>150</v>
      </c>
      <c r="N13619">
        <v>134</v>
      </c>
      <c r="O13619" t="str">
        <f>"DIARIA DE MOTOBOY"</f>
        <v>DIARIA DE MOTOBOY</v>
      </c>
      <c r="P13619">
        <v>150</v>
      </c>
      <c r="S13619" t="str">
        <f>"BANCO CORA (102)"</f>
        <v>BANCO CORA (102)</v>
      </c>
      <c r="T13619">
        <v>23054</v>
      </c>
      <c r="U13619">
        <v>26515</v>
      </c>
      <c r="V13619" t="s">
        <v>22</v>
      </c>
    </row>
    <row r="13620" spans="1:22">
      <c r="A13620" t="str">
        <f t="shared" si="2692"/>
        <v>29/11/2025</v>
      </c>
      <c r="B13620" t="str">
        <f t="shared" si="2691"/>
        <v>SAÍDA</v>
      </c>
      <c r="C13620" t="str">
        <f t="shared" si="2693"/>
        <v>PIX</v>
      </c>
      <c r="D13620" t="str">
        <f>"26515"</f>
        <v>26515</v>
      </c>
      <c r="E13620" t="str">
        <f t="shared" si="2694"/>
        <v>1</v>
      </c>
      <c r="F13620" t="str">
        <f t="shared" si="2695"/>
        <v>COM</v>
      </c>
      <c r="G13620" t="str">
        <f>"ULISSES SOUSA SANTOS (757)"</f>
        <v>ULISSES SOUSA SANTOS (757)</v>
      </c>
      <c r="H13620" t="s">
        <v>3704</v>
      </c>
      <c r="I13620" t="str">
        <f t="shared" si="2696"/>
        <v>29/11/2025</v>
      </c>
      <c r="J13620" t="str">
        <f t="shared" si="2696"/>
        <v>29/11/2025</v>
      </c>
      <c r="K13620">
        <v>45990</v>
      </c>
      <c r="N13620">
        <v>134</v>
      </c>
      <c r="O13620" t="s">
        <v>41</v>
      </c>
      <c r="Q13620">
        <v>150</v>
      </c>
      <c r="R13620" t="str">
        <f>"FARMACIA ECONOMIZE (10103)"</f>
        <v>FARMACIA ECONOMIZE (10103)</v>
      </c>
      <c r="S13620" t="s">
        <v>22</v>
      </c>
      <c r="T13620">
        <v>23054</v>
      </c>
      <c r="U13620">
        <v>26515</v>
      </c>
      <c r="V13620" t="s">
        <v>22</v>
      </c>
    </row>
    <row r="13621" spans="1:22">
      <c r="A13621" t="str">
        <f t="shared" si="2692"/>
        <v>29/11/2025</v>
      </c>
      <c r="B13621" t="str">
        <f t="shared" si="2691"/>
        <v>SAÍDA</v>
      </c>
      <c r="C13621" t="str">
        <f>""</f>
        <v/>
      </c>
      <c r="D13621" t="str">
        <f>""</f>
        <v/>
      </c>
      <c r="F13621" t="str">
        <f>"CXA"</f>
        <v>CXA</v>
      </c>
      <c r="G13621" t="str">
        <f>""</f>
        <v/>
      </c>
      <c r="H13621" t="str">
        <f>"DESPESAS CONFRATERNIZAÇÃO "</f>
        <v xml:space="preserve">DESPESAS CONFRATERNIZAÇÃO </v>
      </c>
      <c r="I13621" t="str">
        <f t="shared" si="2696"/>
        <v>29/11/2025</v>
      </c>
      <c r="J13621" t="str">
        <f t="shared" si="2696"/>
        <v>29/11/2025</v>
      </c>
      <c r="K13621" t="str">
        <f>("29/11/2025")</f>
        <v>29/11/2025</v>
      </c>
      <c r="L13621">
        <v>1300</v>
      </c>
      <c r="M13621">
        <v>1300</v>
      </c>
      <c r="N13621">
        <v>144</v>
      </c>
      <c r="O13621" t="str">
        <f>"DESPESAS COM EVENTOS E CONFRATERNIZAÇÕES"</f>
        <v>DESPESAS COM EVENTOS E CONFRATERNIZAÇÕES</v>
      </c>
      <c r="P13621">
        <v>1300</v>
      </c>
      <c r="S13621" t="str">
        <f>"BANCO CORA (102)"</f>
        <v>BANCO CORA (102)</v>
      </c>
      <c r="T13621">
        <v>23055</v>
      </c>
      <c r="U13621">
        <v>0</v>
      </c>
      <c r="V13621" t="s">
        <v>556</v>
      </c>
    </row>
    <row r="13622" spans="1:22">
      <c r="A13622" t="str">
        <f t="shared" si="2692"/>
        <v>29/11/2025</v>
      </c>
      <c r="B13622" t="str">
        <f t="shared" si="2691"/>
        <v>SAÍDA</v>
      </c>
      <c r="C13622" t="str">
        <f>""</f>
        <v/>
      </c>
      <c r="D13622" t="str">
        <f>""</f>
        <v/>
      </c>
      <c r="F13622" t="str">
        <f>"CXA"</f>
        <v>CXA</v>
      </c>
      <c r="G13622" t="str">
        <f>""</f>
        <v/>
      </c>
      <c r="H13622" t="str">
        <f>"DESPESAS CONFRATERNIZAÇÃO "</f>
        <v xml:space="preserve">DESPESAS CONFRATERNIZAÇÃO </v>
      </c>
      <c r="I13622" t="str">
        <f t="shared" si="2696"/>
        <v>29/11/2025</v>
      </c>
      <c r="J13622" t="str">
        <f t="shared" si="2696"/>
        <v>29/11/2025</v>
      </c>
      <c r="K13622" t="str">
        <f>("29/11/2025")</f>
        <v>29/11/2025</v>
      </c>
      <c r="L13622">
        <v>480</v>
      </c>
      <c r="M13622">
        <v>480</v>
      </c>
      <c r="N13622">
        <v>144</v>
      </c>
      <c r="O13622" t="str">
        <f>"DESPESAS COM EVENTOS E CONFRATERNIZAÇÕES"</f>
        <v>DESPESAS COM EVENTOS E CONFRATERNIZAÇÕES</v>
      </c>
      <c r="P13622">
        <v>480</v>
      </c>
      <c r="S13622" t="str">
        <f>"BANCO CORA (102)"</f>
        <v>BANCO CORA (102)</v>
      </c>
      <c r="T13622">
        <v>23056</v>
      </c>
      <c r="U13622">
        <v>0</v>
      </c>
      <c r="V13622" t="s">
        <v>556</v>
      </c>
    </row>
    <row r="13623" spans="1:22">
      <c r="A13623" t="str">
        <f t="shared" ref="A13623:A13630" si="2697">("30/11/2025")</f>
        <v>30/11/2025</v>
      </c>
      <c r="B13623" t="str">
        <f t="shared" si="2691"/>
        <v>SAÍDA</v>
      </c>
      <c r="C13623" t="str">
        <f t="shared" ref="C13623:C13630" si="2698">"PIX"</f>
        <v>PIX</v>
      </c>
      <c r="D13623" t="str">
        <f>"26571"</f>
        <v>26571</v>
      </c>
      <c r="E13623" t="str">
        <f t="shared" ref="E13623:E13630" si="2699">"1"</f>
        <v>1</v>
      </c>
      <c r="F13623" t="str">
        <f t="shared" ref="F13623:F13630" si="2700">"COM"</f>
        <v>COM</v>
      </c>
      <c r="G13623" t="str">
        <f>"FELIPE BRITO DOS SANTOS (1111)"</f>
        <v>FELIPE BRITO DOS SANTOS (1111)</v>
      </c>
      <c r="H13623" t="str">
        <f>"Serv.Prest. 24/11/2025 a 30/11/2025 - PIX: E-MAIL - CHAVE: felipebrito00009@gmail.com"</f>
        <v>Serv.Prest. 24/11/2025 a 30/11/2025 - PIX: E-MAIL - CHAVE: felipebrito00009@gmail.com</v>
      </c>
      <c r="I13623" t="str">
        <f>("30/11/2025")</f>
        <v>30/11/2025</v>
      </c>
      <c r="J13623" t="str">
        <f>("30/11/2025")</f>
        <v>30/11/2025</v>
      </c>
      <c r="K13623" t="str">
        <f>("30/11/2025")</f>
        <v>30/11/2025</v>
      </c>
      <c r="L13623">
        <v>250</v>
      </c>
      <c r="M13623">
        <v>200</v>
      </c>
      <c r="N13623">
        <v>134</v>
      </c>
      <c r="O13623" t="str">
        <f>"DIARIA DE MOTOBOY"</f>
        <v>DIARIA DE MOTOBOY</v>
      </c>
      <c r="P13623">
        <v>200</v>
      </c>
      <c r="S13623" t="str">
        <f>"BANCO CORA (102)"</f>
        <v>BANCO CORA (102)</v>
      </c>
      <c r="T13623">
        <v>23015</v>
      </c>
      <c r="U13623">
        <v>26571</v>
      </c>
      <c r="V13623" t="s">
        <v>22</v>
      </c>
    </row>
    <row r="13624" spans="1:22">
      <c r="A13624" t="str">
        <f t="shared" si="2697"/>
        <v>30/11/2025</v>
      </c>
      <c r="B13624" t="str">
        <f t="shared" si="2691"/>
        <v>SAÍDA</v>
      </c>
      <c r="C13624" t="str">
        <f t="shared" si="2698"/>
        <v>PIX</v>
      </c>
      <c r="D13624" t="str">
        <f>"26571"</f>
        <v>26571</v>
      </c>
      <c r="E13624" t="str">
        <f t="shared" si="2699"/>
        <v>1</v>
      </c>
      <c r="F13624" t="str">
        <f t="shared" si="2700"/>
        <v>COM</v>
      </c>
      <c r="G13624" t="str">
        <f>"FELIPE BRITO DOS SANTOS (1111)"</f>
        <v>FELIPE BRITO DOS SANTOS (1111)</v>
      </c>
      <c r="H13624" t="s">
        <v>3420</v>
      </c>
      <c r="I13624" t="str">
        <f t="shared" ref="I13624:J13630" si="2701">("30/11/2025")</f>
        <v>30/11/2025</v>
      </c>
      <c r="J13624" t="str">
        <f t="shared" si="2701"/>
        <v>30/11/2025</v>
      </c>
      <c r="K13624">
        <v>45991</v>
      </c>
      <c r="N13624">
        <v>134</v>
      </c>
      <c r="O13624" t="s">
        <v>41</v>
      </c>
      <c r="Q13624">
        <v>200</v>
      </c>
      <c r="R13624" t="str">
        <f>"PENSE FARMA 19 (10223)"</f>
        <v>PENSE FARMA 19 (10223)</v>
      </c>
      <c r="S13624" t="s">
        <v>22</v>
      </c>
      <c r="T13624">
        <v>23015</v>
      </c>
      <c r="U13624">
        <v>26571</v>
      </c>
      <c r="V13624" t="s">
        <v>22</v>
      </c>
    </row>
    <row r="13625" spans="1:22">
      <c r="A13625" t="str">
        <f t="shared" si="2697"/>
        <v>30/11/2025</v>
      </c>
      <c r="B13625" t="str">
        <f t="shared" si="2691"/>
        <v>SAÍDA</v>
      </c>
      <c r="C13625" t="str">
        <f t="shared" si="2698"/>
        <v>PIX</v>
      </c>
      <c r="D13625" t="str">
        <f>"26620"</f>
        <v>26620</v>
      </c>
      <c r="E13625" t="str">
        <f t="shared" si="2699"/>
        <v>1</v>
      </c>
      <c r="F13625" t="str">
        <f t="shared" si="2700"/>
        <v>COM</v>
      </c>
      <c r="G13625" t="str">
        <f>"WESLEY JESUS SANTOS (1020)"</f>
        <v>WESLEY JESUS SANTOS (1020)</v>
      </c>
      <c r="H13625" t="str">
        <f>"Serv.Prest. 24/11/2025 a 30/11/2025 - PIX: CELULAR - CHAVE: (11) 91767-9056"</f>
        <v>Serv.Prest. 24/11/2025 a 30/11/2025 - PIX: CELULAR - CHAVE: (11) 91767-9056</v>
      </c>
      <c r="I13625" t="str">
        <f t="shared" si="2701"/>
        <v>30/11/2025</v>
      </c>
      <c r="J13625" t="str">
        <f t="shared" si="2701"/>
        <v>30/11/2025</v>
      </c>
      <c r="K13625" t="str">
        <f>("30/11/2025")</f>
        <v>30/11/2025</v>
      </c>
      <c r="L13625">
        <v>50</v>
      </c>
      <c r="M13625">
        <v>50</v>
      </c>
      <c r="N13625">
        <v>134</v>
      </c>
      <c r="O13625" t="str">
        <f>"DIARIA DE MOTOBOY"</f>
        <v>DIARIA DE MOTOBOY</v>
      </c>
      <c r="P13625">
        <v>50</v>
      </c>
      <c r="S13625" t="str">
        <f>"BANCO CORA (102)"</f>
        <v>BANCO CORA (102)</v>
      </c>
      <c r="T13625">
        <v>23045</v>
      </c>
      <c r="U13625">
        <v>27022</v>
      </c>
      <c r="V13625" t="s">
        <v>22</v>
      </c>
    </row>
    <row r="13626" spans="1:22">
      <c r="A13626" t="str">
        <f t="shared" si="2697"/>
        <v>30/11/2025</v>
      </c>
      <c r="B13626" t="str">
        <f t="shared" si="2691"/>
        <v>SAÍDA</v>
      </c>
      <c r="C13626" t="str">
        <f t="shared" si="2698"/>
        <v>PIX</v>
      </c>
      <c r="D13626" t="str">
        <f>"26620"</f>
        <v>26620</v>
      </c>
      <c r="E13626" t="str">
        <f t="shared" si="2699"/>
        <v>1</v>
      </c>
      <c r="F13626" t="str">
        <f t="shared" si="2700"/>
        <v>COM</v>
      </c>
      <c r="G13626" t="str">
        <f>"WESLEY JESUS SANTOS (1020)"</f>
        <v>WESLEY JESUS SANTOS (1020)</v>
      </c>
      <c r="H13626" t="s">
        <v>3705</v>
      </c>
      <c r="I13626" t="str">
        <f t="shared" si="2701"/>
        <v>30/11/2025</v>
      </c>
      <c r="J13626" t="str">
        <f t="shared" si="2701"/>
        <v>30/11/2025</v>
      </c>
      <c r="K13626">
        <v>45991</v>
      </c>
      <c r="N13626">
        <v>134</v>
      </c>
      <c r="O13626" t="s">
        <v>41</v>
      </c>
      <c r="Q13626">
        <v>50</v>
      </c>
      <c r="R13626" t="str">
        <f>"PENSE FARMA 09 (10218)"</f>
        <v>PENSE FARMA 09 (10218)</v>
      </c>
      <c r="S13626" t="s">
        <v>22</v>
      </c>
      <c r="T13626">
        <v>23045</v>
      </c>
      <c r="U13626">
        <v>27022</v>
      </c>
      <c r="V13626" t="s">
        <v>22</v>
      </c>
    </row>
    <row r="13627" spans="1:22">
      <c r="A13627" t="str">
        <f t="shared" si="2697"/>
        <v>30/11/2025</v>
      </c>
      <c r="B13627" t="str">
        <f t="shared" si="2691"/>
        <v>SAÍDA</v>
      </c>
      <c r="C13627" t="str">
        <f t="shared" si="2698"/>
        <v>PIX</v>
      </c>
      <c r="D13627" t="str">
        <f>"26825"</f>
        <v>26825</v>
      </c>
      <c r="E13627" t="str">
        <f t="shared" si="2699"/>
        <v>1</v>
      </c>
      <c r="F13627" t="str">
        <f t="shared" si="2700"/>
        <v>COM</v>
      </c>
      <c r="G13627" t="str">
        <f>"LUCAS SANTOS PEREIRA (1101)"</f>
        <v>LUCAS SANTOS PEREIRA (1101)</v>
      </c>
      <c r="H13627" t="str">
        <f>"Serv.Prest. 24/11/2025 a 30/11/2025 - PIX: CELULAR - CHAVE: (11) 95460-2535"</f>
        <v>Serv.Prest. 24/11/2025 a 30/11/2025 - PIX: CELULAR - CHAVE: (11) 95460-2535</v>
      </c>
      <c r="I13627" t="str">
        <f t="shared" si="2701"/>
        <v>30/11/2025</v>
      </c>
      <c r="J13627" t="str">
        <f t="shared" si="2701"/>
        <v>30/11/2025</v>
      </c>
      <c r="K13627" t="str">
        <f>("30/11/2025")</f>
        <v>30/11/2025</v>
      </c>
      <c r="L13627">
        <v>200</v>
      </c>
      <c r="M13627">
        <v>200</v>
      </c>
      <c r="N13627">
        <v>109</v>
      </c>
      <c r="O13627" t="str">
        <f>"PAGAMENTO DE ENTREGADORES"</f>
        <v>PAGAMENTO DE ENTREGADORES</v>
      </c>
      <c r="P13627">
        <v>200</v>
      </c>
      <c r="S13627" t="str">
        <f>"BANCO CORA (102)"</f>
        <v>BANCO CORA (102)</v>
      </c>
      <c r="T13627">
        <v>23046</v>
      </c>
      <c r="U13627">
        <v>27019</v>
      </c>
      <c r="V13627" t="s">
        <v>22</v>
      </c>
    </row>
    <row r="13628" spans="1:22">
      <c r="A13628" t="str">
        <f t="shared" si="2697"/>
        <v>30/11/2025</v>
      </c>
      <c r="B13628" t="str">
        <f t="shared" si="2691"/>
        <v>SAÍDA</v>
      </c>
      <c r="C13628" t="str">
        <f t="shared" si="2698"/>
        <v>PIX</v>
      </c>
      <c r="D13628" t="str">
        <f>"26825"</f>
        <v>26825</v>
      </c>
      <c r="E13628" t="str">
        <f t="shared" si="2699"/>
        <v>1</v>
      </c>
      <c r="F13628" t="str">
        <f t="shared" si="2700"/>
        <v>COM</v>
      </c>
      <c r="G13628" t="str">
        <f>"LUCAS SANTOS PEREIRA (1101)"</f>
        <v>LUCAS SANTOS PEREIRA (1101)</v>
      </c>
      <c r="H13628" t="s">
        <v>3706</v>
      </c>
      <c r="I13628" t="str">
        <f t="shared" si="2701"/>
        <v>30/11/2025</v>
      </c>
      <c r="J13628" t="str">
        <f t="shared" si="2701"/>
        <v>30/11/2025</v>
      </c>
      <c r="K13628">
        <v>45991</v>
      </c>
      <c r="N13628">
        <v>109</v>
      </c>
      <c r="O13628" t="s">
        <v>24</v>
      </c>
      <c r="Q13628">
        <v>66.66</v>
      </c>
      <c r="R13628" t="str">
        <f>"PENSE FARMA 15 (10195)"</f>
        <v>PENSE FARMA 15 (10195)</v>
      </c>
      <c r="S13628" t="s">
        <v>22</v>
      </c>
      <c r="T13628">
        <v>23046</v>
      </c>
      <c r="U13628">
        <v>27019</v>
      </c>
      <c r="V13628" t="s">
        <v>22</v>
      </c>
    </row>
    <row r="13629" spans="1:22">
      <c r="A13629" t="str">
        <f t="shared" si="2697"/>
        <v>30/11/2025</v>
      </c>
      <c r="B13629" t="str">
        <f t="shared" si="2691"/>
        <v>SAÍDA</v>
      </c>
      <c r="C13629" t="str">
        <f t="shared" si="2698"/>
        <v>PIX</v>
      </c>
      <c r="D13629" t="str">
        <f>"26825"</f>
        <v>26825</v>
      </c>
      <c r="E13629" t="str">
        <f t="shared" si="2699"/>
        <v>1</v>
      </c>
      <c r="F13629" t="str">
        <f t="shared" si="2700"/>
        <v>COM</v>
      </c>
      <c r="G13629" t="str">
        <f>"LUCAS SANTOS PEREIRA (1101)"</f>
        <v>LUCAS SANTOS PEREIRA (1101)</v>
      </c>
      <c r="H13629" t="s">
        <v>3706</v>
      </c>
      <c r="I13629" t="str">
        <f t="shared" si="2701"/>
        <v>30/11/2025</v>
      </c>
      <c r="J13629" t="str">
        <f t="shared" si="2701"/>
        <v>30/11/2025</v>
      </c>
      <c r="K13629">
        <v>45991</v>
      </c>
      <c r="N13629">
        <v>109</v>
      </c>
      <c r="O13629" t="s">
        <v>24</v>
      </c>
      <c r="Q13629">
        <v>66.66</v>
      </c>
      <c r="R13629" t="str">
        <f>"PENSE FARMA 60 (10197)"</f>
        <v>PENSE FARMA 60 (10197)</v>
      </c>
      <c r="S13629" t="s">
        <v>22</v>
      </c>
      <c r="T13629">
        <v>23046</v>
      </c>
      <c r="U13629">
        <v>27019</v>
      </c>
      <c r="V13629" t="s">
        <v>22</v>
      </c>
    </row>
    <row r="13630" spans="1:22">
      <c r="A13630" t="str">
        <f t="shared" si="2697"/>
        <v>30/11/2025</v>
      </c>
      <c r="B13630" t="str">
        <f t="shared" si="2691"/>
        <v>SAÍDA</v>
      </c>
      <c r="C13630" t="str">
        <f t="shared" si="2698"/>
        <v>PIX</v>
      </c>
      <c r="D13630" t="str">
        <f>"26825"</f>
        <v>26825</v>
      </c>
      <c r="E13630" t="str">
        <f t="shared" si="2699"/>
        <v>1</v>
      </c>
      <c r="F13630" t="str">
        <f t="shared" si="2700"/>
        <v>COM</v>
      </c>
      <c r="G13630" t="str">
        <f>"LUCAS SANTOS PEREIRA (1101)"</f>
        <v>LUCAS SANTOS PEREIRA (1101)</v>
      </c>
      <c r="H13630" t="s">
        <v>3706</v>
      </c>
      <c r="I13630" t="str">
        <f t="shared" si="2701"/>
        <v>30/11/2025</v>
      </c>
      <c r="J13630" t="str">
        <f t="shared" si="2701"/>
        <v>30/11/2025</v>
      </c>
      <c r="K13630">
        <v>45991</v>
      </c>
      <c r="N13630">
        <v>109</v>
      </c>
      <c r="O13630" t="s">
        <v>24</v>
      </c>
      <c r="Q13630">
        <v>66.680000000000007</v>
      </c>
      <c r="R13630" t="str">
        <f>"PENSE FARMA 61 (10243)"</f>
        <v>PENSE FARMA 61 (10243)</v>
      </c>
      <c r="S13630" t="s">
        <v>22</v>
      </c>
      <c r="T13630">
        <v>23046</v>
      </c>
      <c r="U13630">
        <v>27019</v>
      </c>
      <c r="V13630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</dc:creator>
  <cp:lastModifiedBy>Robert Magdiel</cp:lastModifiedBy>
  <dcterms:created xsi:type="dcterms:W3CDTF">2025-12-15T12:04:08Z</dcterms:created>
  <dcterms:modified xsi:type="dcterms:W3CDTF">2026-01-05T12:01:56Z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1046-11.2.0.9363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2026-01-05T12:01:56Z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31f5bc76-ef0a-4a69-b4b4-c5f83a2d53a4</vt:lpwstr>
  </property>
  <property fmtid="{D5CDD505-2E9C-101B-9397-08002B2CF9AE}" pid="8" name="MSIP_Label_defa4170-0d19-0005-0004-bc88714345d2_ActionId">
    <vt:lpwstr>8751986d-d066-4971-bbfd-855eec757924</vt:lpwstr>
  </property>
  <property fmtid="{D5CDD505-2E9C-101B-9397-08002B2CF9AE}" pid="9" name="MSIP_Label_defa4170-0d19-0005-0004-bc88714345d2_ContentBits">
    <vt:lpwstr>0</vt:lpwstr>
  </property>
  <property fmtid="{D5CDD505-2E9C-101B-9397-08002B2CF9AE}" pid="10" name="MSIP_Label_defa4170-0d19-0005-0004-bc88714345d2_Tag">
    <vt:lpwstr>10, 3, 0, 1</vt:lpwstr>
  </property>
</Properties>
</file>